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玉萍的 Documents\生產日報表\"/>
    </mc:Choice>
  </mc:AlternateContent>
  <xr:revisionPtr revIDLastSave="0" documentId="8_{C5E2355F-AC85-480D-83A9-BC145E0BBBA2}" xr6:coauthVersionLast="47" xr6:coauthVersionMax="47" xr10:uidLastSave="{00000000-0000-0000-0000-000000000000}"/>
  <bookViews>
    <workbookView xWindow="-120" yWindow="-120" windowWidth="29040" windowHeight="15840" tabRatio="852" firstSheet="1" activeTab="5" xr2:uid="{00000000-000D-0000-FFFF-FFFF00000000}"/>
  </bookViews>
  <sheets>
    <sheet name="M80(20250122封存)" sheetId="16" r:id="rId1"/>
    <sheet name="AFK" sheetId="1" r:id="rId2"/>
    <sheet name="33J" sheetId="2" r:id="rId3"/>
    <sheet name="MPS" sheetId="12" r:id="rId4"/>
    <sheet name="TMT" sheetId="35" r:id="rId5"/>
    <sheet name="日報表" sheetId="3" r:id="rId6"/>
    <sheet name="斷絲" sheetId="7" r:id="rId7"/>
    <sheet name="斷絲(3根以上)" sheetId="51" r:id="rId8"/>
    <sheet name="實驗紗&amp;非當月生產" sheetId="5" r:id="rId9"/>
    <sheet name="退現" sheetId="52" r:id="rId10"/>
    <sheet name="C、D級" sheetId="4" r:id="rId11"/>
    <sheet name="(示眾台)" sheetId="17" r:id="rId12"/>
    <sheet name="IAD" sheetId="34" r:id="rId13"/>
    <sheet name="IAD (月報)" sheetId="46" r:id="rId14"/>
    <sheet name="效率" sheetId="33" r:id="rId15"/>
    <sheet name="高低壓" sheetId="32" r:id="rId16"/>
    <sheet name="貼日誌" sheetId="24" r:id="rId17"/>
    <sheet name="工程師" sheetId="54" r:id="rId18"/>
    <sheet name="ISO品質目標" sheetId="38" r:id="rId19"/>
    <sheet name="月報" sheetId="41" r:id="rId20"/>
    <sheet name="外購" sheetId="42" r:id="rId21"/>
    <sheet name="整理" sheetId="8" r:id="rId22"/>
    <sheet name="各機型總產量" sheetId="53" r:id="rId23"/>
    <sheet name="產銷停機備註" sheetId="43" r:id="rId24"/>
    <sheet name="ABC區" sheetId="44" r:id="rId25"/>
    <sheet name="總表" sheetId="49" r:id="rId26"/>
    <sheet name="物性" sheetId="45" r:id="rId27"/>
    <sheet name="條件" sheetId="47" r:id="rId28"/>
    <sheet name="日誌斷絲" sheetId="48" r:id="rId29"/>
    <sheet name="保留批號" sheetId="39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DTY紙管">[1]清單!$S$2:$S$100</definedName>
    <definedName name="_xlnm.Print_Area" localSheetId="11">'(示眾台)'!$B$1:$P$33</definedName>
    <definedName name="_xlnm.Print_Area" localSheetId="2">'33J'!$AR$1:$BJ$5</definedName>
    <definedName name="_xlnm.Print_Area" localSheetId="1">AFK!$FT$1:$GK$61</definedName>
    <definedName name="_xlnm.Print_Area" localSheetId="18">ISO品質目標!$A$1:$C$9</definedName>
    <definedName name="_xlnm.Print_Area" localSheetId="3">MPS!$A$1:$AX$41</definedName>
    <definedName name="_xlnm.Print_Area" localSheetId="5">日報表!$A$1:$P$186</definedName>
    <definedName name="_xlnm.Print_Area" localSheetId="22">各機型總產量!$A$1:$N$13</definedName>
    <definedName name="_xlnm.Print_Area" localSheetId="6">斷絲!$A$1:$BD$41</definedName>
    <definedName name="_xlnm.Print_Area" localSheetId="7">'斷絲(3根以上)'!$A$3:$C$45</definedName>
    <definedName name="_xlnm.Print_Titles" localSheetId="5">日報表!$1:$1</definedName>
    <definedName name="_xlnm.Print_Titles" localSheetId="14">效率!$A:$A</definedName>
    <definedName name="_xlnm.Print_Titles" localSheetId="15">高低壓!$A:$A</definedName>
    <definedName name="_xlnm.Print_Titles" localSheetId="6">斷絲!$A:$A,斷絲!$1:$2</definedName>
    <definedName name="Z_40FADD7F_233D_11D9_A2E0_00055D0D7FDA_.wvu.Cols" localSheetId="1" hidden="1">AFK!$BG:$BX</definedName>
    <definedName name="Z_40FADD7F_233D_11D9_A2E0_00055D0D7FDA_.wvu.Cols" localSheetId="8" hidden="1">'實驗紗&amp;非當月生產'!#REF!,'實驗紗&amp;非當月生產'!#REF!</definedName>
    <definedName name="Z_40FADD7F_233D_11D9_A2E0_00055D0D7FDA_.wvu.Cols" localSheetId="21" hidden="1">整理!#REF!</definedName>
    <definedName name="Z_40FADD7F_233D_11D9_A2E0_00055D0D7FDA_.wvu.PrintArea" localSheetId="2" hidden="1">'33J'!$A$1:$BJ$41</definedName>
    <definedName name="Z_40FADD7F_233D_11D9_A2E0_00055D0D7FDA_.wvu.PrintArea" localSheetId="1" hidden="1">AFK!$A$1:$GL$41</definedName>
    <definedName name="Z_40FADD7F_233D_11D9_A2E0_00055D0D7FDA_.wvu.PrintArea" localSheetId="0" hidden="1">'M80(20250122封存)'!$A$1:$CW$41</definedName>
    <definedName name="Z_40FADD7F_233D_11D9_A2E0_00055D0D7FDA_.wvu.PrintArea" localSheetId="3" hidden="1">MPS!$A$1:$AX$41</definedName>
    <definedName name="Z_40FADD7F_233D_11D9_A2E0_00055D0D7FDA_.wvu.PrintArea" localSheetId="4" hidden="1">TMT!$A$1:$CW$41</definedName>
    <definedName name="Z_40FADD7F_233D_11D9_A2E0_00055D0D7FDA_.wvu.PrintArea" localSheetId="5" hidden="1">日報表!$A$2:$P$186</definedName>
    <definedName name="Z_40FADD7F_233D_11D9_A2E0_00055D0D7FDA_.wvu.PrintArea" localSheetId="8" hidden="1">'實驗紗&amp;非當月生產'!$D$1:$F$164</definedName>
    <definedName name="Z_40FADD7F_233D_11D9_A2E0_00055D0D7FDA_.wvu.PrintArea" localSheetId="6" hidden="1">斷絲!$A$1:$W$42</definedName>
    <definedName name="Z_40FADD7F_233D_11D9_A2E0_00055D0D7FDA_.wvu.PrintTitles" localSheetId="6" hidden="1">斷絲!$3:$7</definedName>
    <definedName name="Z_40FADD7F_233D_11D9_A2E0_00055D0D7FDA_.wvu.Rows" localSheetId="2" hidden="1">'33J'!$26:$37,'33J'!$41:$41</definedName>
    <definedName name="Z_40FADD7F_233D_11D9_A2E0_00055D0D7FDA_.wvu.Rows" localSheetId="1" hidden="1">AFK!$26:$37,AFK!$41:$41</definedName>
    <definedName name="Z_40FADD7F_233D_11D9_A2E0_00055D0D7FDA_.wvu.Rows" localSheetId="0" hidden="1">'M80(20250122封存)'!$26:$37,'M80(20250122封存)'!$41:$41</definedName>
    <definedName name="Z_40FADD7F_233D_11D9_A2E0_00055D0D7FDA_.wvu.Rows" localSheetId="3" hidden="1">MPS!$26:$37,MPS!$41:$41</definedName>
    <definedName name="Z_40FADD7F_233D_11D9_A2E0_00055D0D7FDA_.wvu.Rows" localSheetId="4" hidden="1">TMT!$26:$37,TMT!$41:$41</definedName>
    <definedName name="Z_40FADD7F_233D_11D9_A2E0_00055D0D7FDA_.wvu.Rows" localSheetId="5" hidden="1">日報表!$23:$27,日報表!$79:$107,日報表!$109:$109</definedName>
    <definedName name="Z_40FADD7F_233D_11D9_A2E0_00055D0D7FDA_.wvu.Rows" localSheetId="21" hidden="1">整理!$25:$27,整理!$101:$109</definedName>
    <definedName name="Z_40FADD7F_233D_11D9_A2E0_00055D0D7FDA_.wvu.Rows" localSheetId="6" hidden="1">斷絲!$28:$38,斷絲!#REF!</definedName>
    <definedName name="Z_B499F86B_5A3B_11D9_A2E0_00055D0D7FDA_.wvu.Cols" localSheetId="1" hidden="1">AFK!$AF:$BX</definedName>
    <definedName name="Z_B499F86B_5A3B_11D9_A2E0_00055D0D7FDA_.wvu.Cols" localSheetId="8" hidden="1">'實驗紗&amp;非當月生產'!#REF!,'實驗紗&amp;非當月生產'!#REF!</definedName>
    <definedName name="Z_B499F86B_5A3B_11D9_A2E0_00055D0D7FDA_.wvu.Cols" localSheetId="21" hidden="1">整理!#REF!</definedName>
    <definedName name="Z_B499F86B_5A3B_11D9_A2E0_00055D0D7FDA_.wvu.PrintArea" localSheetId="2" hidden="1">'33J'!$A$1:$BJ$41</definedName>
    <definedName name="Z_B499F86B_5A3B_11D9_A2E0_00055D0D7FDA_.wvu.PrintArea" localSheetId="1" hidden="1">AFK!$A$1:$GL$41</definedName>
    <definedName name="Z_B499F86B_5A3B_11D9_A2E0_00055D0D7FDA_.wvu.PrintArea" localSheetId="0" hidden="1">'M80(20250122封存)'!$A$1:$CW$41</definedName>
    <definedName name="Z_B499F86B_5A3B_11D9_A2E0_00055D0D7FDA_.wvu.PrintArea" localSheetId="3" hidden="1">MPS!$A$1:$AX$41</definedName>
    <definedName name="Z_B499F86B_5A3B_11D9_A2E0_00055D0D7FDA_.wvu.PrintArea" localSheetId="4" hidden="1">TMT!$A$1:$CW$41</definedName>
    <definedName name="Z_B499F86B_5A3B_11D9_A2E0_00055D0D7FDA_.wvu.PrintArea" localSheetId="5" hidden="1">日報表!$A$2:$P$186</definedName>
    <definedName name="Z_B499F86B_5A3B_11D9_A2E0_00055D0D7FDA_.wvu.PrintArea" localSheetId="8" hidden="1">'實驗紗&amp;非當月生產'!$D$1:$F$164</definedName>
    <definedName name="Z_B499F86B_5A3B_11D9_A2E0_00055D0D7FDA_.wvu.PrintTitles" localSheetId="6" hidden="1">斷絲!$A:$A,斷絲!$1:$2</definedName>
    <definedName name="Z_B499F86B_5A3B_11D9_A2E0_00055D0D7FDA_.wvu.Rows" localSheetId="2" hidden="1">'33J'!$9:$37,'33J'!$41:$41</definedName>
    <definedName name="Z_B499F86B_5A3B_11D9_A2E0_00055D0D7FDA_.wvu.Rows" localSheetId="1" hidden="1">AFK!$9:$37,AFK!$41:$41</definedName>
    <definedName name="Z_B499F86B_5A3B_11D9_A2E0_00055D0D7FDA_.wvu.Rows" localSheetId="0" hidden="1">'M80(20250122封存)'!$9:$37,'M80(20250122封存)'!$41:$41</definedName>
    <definedName name="Z_B499F86B_5A3B_11D9_A2E0_00055D0D7FDA_.wvu.Rows" localSheetId="3" hidden="1">MPS!$9:$37,MPS!$41:$41</definedName>
    <definedName name="Z_B499F86B_5A3B_11D9_A2E0_00055D0D7FDA_.wvu.Rows" localSheetId="4" hidden="1">TMT!$9:$37,TMT!$41:$41</definedName>
    <definedName name="Z_B499F86B_5A3B_11D9_A2E0_00055D0D7FDA_.wvu.Rows" localSheetId="5" hidden="1">日報表!$14:$27,日報表!$77:$108</definedName>
    <definedName name="Z_B499F86B_5A3B_11D9_A2E0_00055D0D7FDA_.wvu.Rows" localSheetId="21" hidden="1">整理!$98:$107</definedName>
    <definedName name="Z_B499F86B_5A3B_11D9_A2E0_00055D0D7FDA_.wvu.Rows" localSheetId="6" hidden="1">斷絲!$18:$38,斷絲!#REF!</definedName>
    <definedName name="生產項目">[2]清單!$M$2:$M$36</definedName>
    <definedName name="值車員A">[3]清單!$E$2:$E$27</definedName>
    <definedName name="值車員J">[3]清單!$F$2:$F$12</definedName>
    <definedName name="值車員M_S">[3]清單!$G$2:$G$20</definedName>
    <definedName name="傳閱" localSheetId="4">日報表!#REF!</definedName>
    <definedName name="傳閱" localSheetId="20">[4]日報表!#REF!</definedName>
    <definedName name="傳閱" localSheetId="26">[5]日報表!#REF!</definedName>
    <definedName name="傳閱">日報表!#REF!</definedName>
  </definedNames>
  <calcPr calcId="191029"/>
  <customWorkbookViews>
    <customWorkbookView name="效率" guid="{40FADD7F-233D-11D9-A2E0-00055D0D7FDA}" maximized="1" windowWidth="1020" windowHeight="593" tabRatio="879" activeSheetId="14" showStatusbar="0"/>
    <customWorkbookView name="33j" guid="{40FADD80-233D-11D9-A2E0-00055D0D7FDA}" includePrintSettings="0" includeHiddenRowCol="0" maximized="1" windowWidth="1020" windowHeight="593" tabRatio="879" activeSheetId="15" showStatusbar="0"/>
    <customWorkbookView name="朱玉萍 - 個人檢視畫面" guid="{B499F86B-5A3B-11D9-A2E0-00055D0D7FDA}" mergeInterval="0" personalView="1" maximized="1" windowWidth="1020" windowHeight="593" tabRatio="879" activeSheetId="3" showStatusbar="0"/>
  </customWorkbookViews>
  <pivotCaches>
    <pivotCache cacheId="8" r:id="rId37"/>
    <pivotCache cacheId="24" r:id="rId3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3" i="17" l="1"/>
  <c r="AF23" i="17"/>
  <c r="Z23" i="17"/>
  <c r="AF22" i="17"/>
  <c r="Z22" i="17"/>
  <c r="AF21" i="17"/>
  <c r="Z21" i="17"/>
  <c r="AM20" i="17"/>
  <c r="AF20" i="17"/>
  <c r="Z20" i="17"/>
  <c r="AM19" i="17"/>
  <c r="AF19" i="17"/>
  <c r="U19" i="17"/>
  <c r="AM18" i="17"/>
  <c r="AF18" i="17"/>
  <c r="Z18" i="17"/>
  <c r="AM17" i="17"/>
  <c r="AF17" i="17"/>
  <c r="Z17" i="17"/>
  <c r="AM16" i="17"/>
  <c r="AF16" i="17"/>
  <c r="Z16" i="17"/>
  <c r="AF15" i="17"/>
  <c r="U15" i="17"/>
  <c r="AF14" i="17"/>
  <c r="Z14" i="17"/>
  <c r="AF13" i="17"/>
  <c r="Z13" i="17"/>
  <c r="AM12" i="17"/>
  <c r="AF12" i="17"/>
  <c r="Z12" i="17"/>
  <c r="AM11" i="17"/>
  <c r="AF11" i="17"/>
  <c r="Z11" i="17"/>
  <c r="AM10" i="17"/>
  <c r="AF10" i="17"/>
  <c r="Z10" i="17"/>
  <c r="AF9" i="17"/>
  <c r="Z9" i="17"/>
  <c r="AF8" i="17"/>
  <c r="Z8" i="17"/>
  <c r="AF7" i="17"/>
  <c r="Z7" i="17"/>
  <c r="AN6" i="17"/>
  <c r="AM6" i="17"/>
  <c r="AF6" i="17"/>
  <c r="Z6" i="17"/>
  <c r="AN5" i="17"/>
  <c r="AM5" i="17"/>
  <c r="AF5" i="17"/>
  <c r="W5" i="17"/>
  <c r="U5" i="17"/>
  <c r="AM4" i="17"/>
  <c r="AG4" i="17"/>
  <c r="AJ4" i="17" s="1"/>
  <c r="AF4" i="17"/>
  <c r="Z4" i="17"/>
  <c r="AK4" i="17" l="1"/>
  <c r="AH4" i="17"/>
  <c r="AI4" i="17" s="1"/>
  <c r="AL4" i="17"/>
  <c r="Z5" i="17"/>
  <c r="AG5" i="17" s="1"/>
  <c r="Z15" i="17"/>
  <c r="Z19" i="17"/>
  <c r="AK5" i="17" l="1"/>
  <c r="AL5" i="17"/>
  <c r="AJ5" i="17"/>
  <c r="AH5" i="17"/>
  <c r="AI5" i="17" s="1"/>
  <c r="AG6" i="17"/>
  <c r="AG7" i="17" l="1"/>
  <c r="AJ6" i="17"/>
  <c r="AL6" i="17"/>
  <c r="AH6" i="17"/>
  <c r="AI6" i="17" s="1"/>
  <c r="AK6" i="17"/>
  <c r="AG8" i="17" l="1"/>
  <c r="AK7" i="17"/>
  <c r="AJ7" i="17"/>
  <c r="AL7" i="17"/>
  <c r="AH7" i="17"/>
  <c r="AI7" i="17" s="1"/>
  <c r="AG9" i="17" l="1"/>
  <c r="AK8" i="17"/>
  <c r="AH8" i="17"/>
  <c r="AI8" i="17" s="1"/>
  <c r="AJ8" i="17"/>
  <c r="AL8" i="17"/>
  <c r="AG10" i="17" l="1"/>
  <c r="AK9" i="17"/>
  <c r="AJ9" i="17"/>
  <c r="AL9" i="17"/>
  <c r="AH9" i="17"/>
  <c r="AI9" i="17" s="1"/>
  <c r="AK10" i="17" l="1"/>
  <c r="AG11" i="17"/>
  <c r="AJ10" i="17"/>
  <c r="AL10" i="17"/>
  <c r="AH10" i="17"/>
  <c r="AI10" i="17" s="1"/>
  <c r="AJ11" i="17" l="1"/>
  <c r="AK11" i="17"/>
  <c r="AG12" i="17"/>
  <c r="AL11" i="17"/>
  <c r="AH11" i="17"/>
  <c r="AI11" i="17" s="1"/>
  <c r="AG13" i="17" l="1"/>
  <c r="AL12" i="17"/>
  <c r="AH12" i="17"/>
  <c r="AI12" i="17" s="1"/>
  <c r="AJ12" i="17"/>
  <c r="AK12" i="17"/>
  <c r="AL13" i="17" l="1"/>
  <c r="AH13" i="17"/>
  <c r="AI13" i="17" s="1"/>
  <c r="AG14" i="17"/>
  <c r="AK13" i="17"/>
  <c r="AJ13" i="17"/>
  <c r="AL14" i="17" l="1"/>
  <c r="AH14" i="17"/>
  <c r="AI14" i="17" s="1"/>
  <c r="AK14" i="17"/>
  <c r="AJ14" i="17"/>
  <c r="AG15" i="17"/>
  <c r="AG16" i="17" l="1"/>
  <c r="AK15" i="17"/>
  <c r="AJ15" i="17"/>
  <c r="AH15" i="17"/>
  <c r="AI15" i="17" s="1"/>
  <c r="AL15" i="17"/>
  <c r="AK16" i="17" l="1"/>
  <c r="AL16" i="17"/>
  <c r="AJ16" i="17"/>
  <c r="AH16" i="17"/>
  <c r="AI16" i="17" s="1"/>
  <c r="AG17" i="17"/>
  <c r="AJ17" i="17" l="1"/>
  <c r="AG18" i="17"/>
  <c r="AL17" i="17"/>
  <c r="AH17" i="17"/>
  <c r="AI17" i="17" s="1"/>
  <c r="AK17" i="17"/>
  <c r="AL18" i="17" l="1"/>
  <c r="AH18" i="17"/>
  <c r="AI18" i="17" s="1"/>
  <c r="AK18" i="17"/>
  <c r="AJ18" i="17"/>
  <c r="AG19" i="17"/>
  <c r="AK19" i="17" l="1"/>
  <c r="AJ19" i="17"/>
  <c r="AL19" i="17"/>
  <c r="AG20" i="17"/>
  <c r="AH19" i="17"/>
  <c r="AI19" i="17" s="1"/>
  <c r="AJ20" i="17" l="1"/>
  <c r="AK20" i="17"/>
  <c r="AG21" i="17"/>
  <c r="AL20" i="17"/>
  <c r="AH20" i="17"/>
  <c r="AI20" i="17" s="1"/>
  <c r="AL21" i="17" l="1"/>
  <c r="AH21" i="17"/>
  <c r="AI21" i="17" s="1"/>
  <c r="AG22" i="17"/>
  <c r="AK21" i="17"/>
  <c r="AJ21" i="17"/>
  <c r="AL22" i="17" l="1"/>
  <c r="AH22" i="17"/>
  <c r="AI22" i="17" s="1"/>
  <c r="AG23" i="17"/>
  <c r="AK22" i="17"/>
  <c r="AJ22" i="17"/>
  <c r="AL23" i="17" l="1"/>
  <c r="AH23" i="17"/>
  <c r="AI23" i="17" s="1"/>
  <c r="AK23" i="17"/>
  <c r="AJ23" i="17"/>
  <c r="L159" i="3" l="1" a="1"/>
  <c r="L159" i="3" s="1"/>
  <c r="L155" i="3" a="1"/>
  <c r="L155" i="3" s="1"/>
  <c r="L154" i="3" a="1"/>
  <c r="L154" i="3" s="1"/>
  <c r="L151" i="3" a="1"/>
  <c r="L151" i="3" s="1"/>
  <c r="L150" i="3" a="1"/>
  <c r="L150" i="3" s="1"/>
  <c r="L149" i="3" a="1"/>
  <c r="L149" i="3" s="1"/>
  <c r="L94" i="3" a="1"/>
  <c r="L94" i="3" s="1"/>
  <c r="L18" i="3" a="1"/>
  <c r="L18" i="3" s="1"/>
  <c r="L14" i="3" a="1"/>
  <c r="L14" i="3" s="1"/>
  <c r="L16" i="3" a="1"/>
  <c r="L16" i="3" s="1"/>
  <c r="L7" i="3" a="1"/>
  <c r="L7" i="3" s="1"/>
  <c r="F99" i="7" l="1"/>
  <c r="F96" i="7"/>
  <c r="F95" i="7"/>
  <c r="F94" i="7"/>
  <c r="F93" i="7"/>
  <c r="F89" i="7"/>
  <c r="F88" i="7"/>
  <c r="F87" i="7"/>
  <c r="F86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57" i="7"/>
  <c r="F54" i="7"/>
  <c r="F53" i="7"/>
  <c r="F52" i="7"/>
  <c r="F44" i="7"/>
  <c r="F43" i="7" s="1"/>
  <c r="F40" i="7"/>
  <c r="F41" i="7" s="1"/>
  <c r="F39" i="7"/>
  <c r="F61" i="7" s="1"/>
  <c r="AJ99" i="7"/>
  <c r="AJ96" i="7"/>
  <c r="AJ95" i="7"/>
  <c r="AJ94" i="7"/>
  <c r="AJ93" i="7"/>
  <c r="AJ89" i="7"/>
  <c r="AJ88" i="7"/>
  <c r="AJ87" i="7"/>
  <c r="AJ86" i="7"/>
  <c r="AJ79" i="7"/>
  <c r="AJ78" i="7"/>
  <c r="AJ77" i="7"/>
  <c r="AJ76" i="7"/>
  <c r="AJ75" i="7"/>
  <c r="AJ74" i="7"/>
  <c r="AJ73" i="7"/>
  <c r="AJ72" i="7"/>
  <c r="AJ71" i="7"/>
  <c r="AJ70" i="7"/>
  <c r="AJ69" i="7"/>
  <c r="AJ68" i="7"/>
  <c r="AJ67" i="7"/>
  <c r="AJ66" i="7"/>
  <c r="AJ65" i="7"/>
  <c r="AJ64" i="7"/>
  <c r="AJ63" i="7"/>
  <c r="AJ57" i="7"/>
  <c r="AJ54" i="7"/>
  <c r="AJ53" i="7"/>
  <c r="AJ52" i="7"/>
  <c r="AJ44" i="7"/>
  <c r="AJ43" i="7" s="1"/>
  <c r="AJ40" i="7"/>
  <c r="AJ41" i="7" s="1"/>
  <c r="AJ39" i="7"/>
  <c r="AJ61" i="7" s="1"/>
  <c r="P37" i="1" l="1"/>
  <c r="N37" i="1"/>
  <c r="M37" i="1"/>
  <c r="K37" i="1"/>
  <c r="O36" i="1"/>
  <c r="L36" i="1"/>
  <c r="O35" i="1"/>
  <c r="L35" i="1"/>
  <c r="O34" i="1"/>
  <c r="L34" i="1"/>
  <c r="O33" i="1"/>
  <c r="L33" i="1"/>
  <c r="O32" i="1"/>
  <c r="L32" i="1"/>
  <c r="O31" i="1"/>
  <c r="L31" i="1"/>
  <c r="O30" i="1"/>
  <c r="L30" i="1"/>
  <c r="O29" i="1"/>
  <c r="L29" i="1"/>
  <c r="O28" i="1"/>
  <c r="L28" i="1"/>
  <c r="O27" i="1"/>
  <c r="L27" i="1"/>
  <c r="O26" i="1"/>
  <c r="L26" i="1"/>
  <c r="O25" i="1"/>
  <c r="L25" i="1"/>
  <c r="O24" i="1"/>
  <c r="L24" i="1"/>
  <c r="O23" i="1"/>
  <c r="L23" i="1"/>
  <c r="O22" i="1"/>
  <c r="L22" i="1"/>
  <c r="O21" i="1"/>
  <c r="L21" i="1"/>
  <c r="O20" i="1"/>
  <c r="L20" i="1"/>
  <c r="O19" i="1"/>
  <c r="L19" i="1"/>
  <c r="O18" i="1"/>
  <c r="L18" i="1"/>
  <c r="O17" i="1"/>
  <c r="L17" i="1"/>
  <c r="O16" i="1"/>
  <c r="L16" i="1"/>
  <c r="O15" i="1"/>
  <c r="L15" i="1"/>
  <c r="O14" i="1"/>
  <c r="L14" i="1"/>
  <c r="O13" i="1"/>
  <c r="L13" i="1"/>
  <c r="O12" i="1"/>
  <c r="L12" i="1"/>
  <c r="O11" i="1"/>
  <c r="L11" i="1"/>
  <c r="O10" i="1"/>
  <c r="L10" i="1"/>
  <c r="O9" i="1"/>
  <c r="L9" i="1"/>
  <c r="O8" i="1"/>
  <c r="L8" i="1"/>
  <c r="O7" i="1"/>
  <c r="L7" i="1"/>
  <c r="L37" i="1" s="1"/>
  <c r="O6" i="1"/>
  <c r="L6" i="1"/>
  <c r="AB37" i="1"/>
  <c r="Z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K37" i="1"/>
  <c r="AI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W37" i="1"/>
  <c r="AU37" i="1"/>
  <c r="AT37" i="1"/>
  <c r="AR37" i="1"/>
  <c r="AQ37" i="1"/>
  <c r="AO37" i="1"/>
  <c r="AN37" i="1"/>
  <c r="AL37" i="1"/>
  <c r="AV36" i="1"/>
  <c r="AS36" i="1"/>
  <c r="AP36" i="1"/>
  <c r="AM36" i="1"/>
  <c r="AV35" i="1"/>
  <c r="AS35" i="1"/>
  <c r="AP35" i="1"/>
  <c r="AM35" i="1"/>
  <c r="AV34" i="1"/>
  <c r="AS34" i="1"/>
  <c r="AP34" i="1"/>
  <c r="AM34" i="1"/>
  <c r="AV33" i="1"/>
  <c r="AS33" i="1"/>
  <c r="AP33" i="1"/>
  <c r="AM33" i="1"/>
  <c r="AV32" i="1"/>
  <c r="AS32" i="1"/>
  <c r="AP32" i="1"/>
  <c r="AM32" i="1"/>
  <c r="AV31" i="1"/>
  <c r="AS31" i="1"/>
  <c r="AP31" i="1"/>
  <c r="AM31" i="1"/>
  <c r="AV30" i="1"/>
  <c r="AS30" i="1"/>
  <c r="AP30" i="1"/>
  <c r="AM30" i="1"/>
  <c r="AV29" i="1"/>
  <c r="AS29" i="1"/>
  <c r="AP29" i="1"/>
  <c r="AM29" i="1"/>
  <c r="AV28" i="1"/>
  <c r="AS28" i="1"/>
  <c r="AP28" i="1"/>
  <c r="AM28" i="1"/>
  <c r="AV27" i="1"/>
  <c r="AS27" i="1"/>
  <c r="AP27" i="1"/>
  <c r="AM27" i="1"/>
  <c r="AV26" i="1"/>
  <c r="AS26" i="1"/>
  <c r="AP26" i="1"/>
  <c r="AM26" i="1"/>
  <c r="AV25" i="1"/>
  <c r="AS25" i="1"/>
  <c r="AP25" i="1"/>
  <c r="AM25" i="1"/>
  <c r="AV24" i="1"/>
  <c r="AS24" i="1"/>
  <c r="AP24" i="1"/>
  <c r="AP37" i="1" s="1"/>
  <c r="AM24" i="1"/>
  <c r="AV23" i="1"/>
  <c r="AS23" i="1"/>
  <c r="AP23" i="1"/>
  <c r="AM23" i="1"/>
  <c r="AV22" i="1"/>
  <c r="AS22" i="1"/>
  <c r="AP22" i="1"/>
  <c r="AM22" i="1"/>
  <c r="AV21" i="1"/>
  <c r="AS21" i="1"/>
  <c r="AP21" i="1"/>
  <c r="AM21" i="1"/>
  <c r="AV20" i="1"/>
  <c r="AS20" i="1"/>
  <c r="AP20" i="1"/>
  <c r="AM20" i="1"/>
  <c r="AV19" i="1"/>
  <c r="AS19" i="1"/>
  <c r="AP19" i="1"/>
  <c r="AM19" i="1"/>
  <c r="AV18" i="1"/>
  <c r="AS18" i="1"/>
  <c r="AP18" i="1"/>
  <c r="AM18" i="1"/>
  <c r="AV17" i="1"/>
  <c r="AS17" i="1"/>
  <c r="AP17" i="1"/>
  <c r="AM17" i="1"/>
  <c r="AV16" i="1"/>
  <c r="AS16" i="1"/>
  <c r="AP16" i="1"/>
  <c r="AM16" i="1"/>
  <c r="AV15" i="1"/>
  <c r="AS15" i="1"/>
  <c r="AP15" i="1"/>
  <c r="AM15" i="1"/>
  <c r="AV14" i="1"/>
  <c r="AS14" i="1"/>
  <c r="AP14" i="1"/>
  <c r="AM14" i="1"/>
  <c r="AV13" i="1"/>
  <c r="AS13" i="1"/>
  <c r="AP13" i="1"/>
  <c r="AM13" i="1"/>
  <c r="AV12" i="1"/>
  <c r="AS12" i="1"/>
  <c r="AP12" i="1"/>
  <c r="AM12" i="1"/>
  <c r="AV11" i="1"/>
  <c r="AS11" i="1"/>
  <c r="AP11" i="1"/>
  <c r="AM11" i="1"/>
  <c r="AV10" i="1"/>
  <c r="AS10" i="1"/>
  <c r="AP10" i="1"/>
  <c r="AM10" i="1"/>
  <c r="AV9" i="1"/>
  <c r="AS9" i="1"/>
  <c r="AP9" i="1"/>
  <c r="AM9" i="1"/>
  <c r="AV8" i="1"/>
  <c r="AS8" i="1"/>
  <c r="AP8" i="1"/>
  <c r="AM8" i="1"/>
  <c r="AV7" i="1"/>
  <c r="AS7" i="1"/>
  <c r="AP7" i="1"/>
  <c r="AM7" i="1"/>
  <c r="AV6" i="1"/>
  <c r="AV37" i="1" s="1"/>
  <c r="AS6" i="1"/>
  <c r="AS37" i="1" s="1"/>
  <c r="AP6" i="1"/>
  <c r="AM6" i="1"/>
  <c r="AM37" i="1" s="1"/>
  <c r="O37" i="1" l="1"/>
  <c r="AA37" i="1"/>
  <c r="AJ37" i="1"/>
  <c r="AD99" i="7" l="1"/>
  <c r="AD96" i="7"/>
  <c r="AD95" i="7"/>
  <c r="AD94" i="7"/>
  <c r="AD93" i="7"/>
  <c r="AD89" i="7"/>
  <c r="AD88" i="7"/>
  <c r="AD87" i="7"/>
  <c r="AD86" i="7"/>
  <c r="AD79" i="7"/>
  <c r="AD78" i="7"/>
  <c r="AD77" i="7"/>
  <c r="AD76" i="7"/>
  <c r="AD75" i="7"/>
  <c r="AD74" i="7"/>
  <c r="AD73" i="7"/>
  <c r="AD72" i="7"/>
  <c r="AD71" i="7"/>
  <c r="AD70" i="7"/>
  <c r="AD69" i="7"/>
  <c r="AD68" i="7"/>
  <c r="AD67" i="7"/>
  <c r="AD66" i="7"/>
  <c r="AD65" i="7"/>
  <c r="AD64" i="7"/>
  <c r="AD63" i="7"/>
  <c r="AD57" i="7"/>
  <c r="AD54" i="7"/>
  <c r="AD53" i="7"/>
  <c r="AD52" i="7"/>
  <c r="AD44" i="7"/>
  <c r="AD43" i="7" s="1"/>
  <c r="AD40" i="7"/>
  <c r="AD41" i="7" s="1"/>
  <c r="AD39" i="7"/>
  <c r="AD61" i="7" s="1"/>
  <c r="AF99" i="7" l="1"/>
  <c r="AF96" i="7"/>
  <c r="AF95" i="7"/>
  <c r="AF94" i="7"/>
  <c r="AF93" i="7"/>
  <c r="AF89" i="7"/>
  <c r="AF88" i="7"/>
  <c r="AF87" i="7"/>
  <c r="AF86" i="7"/>
  <c r="AF79" i="7"/>
  <c r="AF78" i="7"/>
  <c r="AF77" i="7"/>
  <c r="AF76" i="7"/>
  <c r="AF75" i="7"/>
  <c r="AF74" i="7"/>
  <c r="AF73" i="7"/>
  <c r="AF72" i="7"/>
  <c r="AF71" i="7"/>
  <c r="AF70" i="7"/>
  <c r="AF69" i="7"/>
  <c r="AF68" i="7"/>
  <c r="AF67" i="7"/>
  <c r="AF66" i="7"/>
  <c r="AF65" i="7"/>
  <c r="AF64" i="7"/>
  <c r="AF63" i="7"/>
  <c r="AF57" i="7"/>
  <c r="AF54" i="7"/>
  <c r="AF53" i="7"/>
  <c r="AF52" i="7"/>
  <c r="AF44" i="7"/>
  <c r="AF43" i="7" s="1"/>
  <c r="AF40" i="7"/>
  <c r="AF41" i="7" s="1"/>
  <c r="AF39" i="7"/>
  <c r="AF61" i="7" s="1"/>
  <c r="N99" i="7" l="1"/>
  <c r="N96" i="7"/>
  <c r="N95" i="7"/>
  <c r="N94" i="7"/>
  <c r="N93" i="7"/>
  <c r="N89" i="7"/>
  <c r="N88" i="7"/>
  <c r="N87" i="7"/>
  <c r="N86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57" i="7"/>
  <c r="N54" i="7"/>
  <c r="N53" i="7"/>
  <c r="N52" i="7"/>
  <c r="N44" i="7"/>
  <c r="N43" i="7" s="1"/>
  <c r="N40" i="7"/>
  <c r="N41" i="7" s="1"/>
  <c r="N39" i="7"/>
  <c r="N61" i="7" s="1"/>
  <c r="F14" i="1" l="1"/>
  <c r="R10" i="1" l="1"/>
  <c r="R9" i="1"/>
  <c r="R8" i="1"/>
  <c r="R7" i="1"/>
  <c r="R6" i="1"/>
  <c r="U10" i="1"/>
  <c r="U9" i="1"/>
  <c r="U8" i="1"/>
  <c r="U7" i="1"/>
  <c r="U6" i="1"/>
  <c r="W70" i="17" l="1"/>
  <c r="W69" i="17"/>
  <c r="W68" i="17"/>
  <c r="W67" i="17"/>
  <c r="W66" i="17"/>
  <c r="W65" i="17"/>
  <c r="W64" i="17"/>
  <c r="W63" i="17"/>
  <c r="W62" i="17"/>
  <c r="W61" i="17"/>
  <c r="W60" i="17"/>
  <c r="W59" i="17"/>
  <c r="W58" i="17"/>
  <c r="W57" i="17"/>
  <c r="W56" i="17"/>
  <c r="W55" i="17"/>
  <c r="W54" i="17"/>
  <c r="W53" i="17"/>
  <c r="W52" i="17"/>
  <c r="W51" i="17"/>
  <c r="W50" i="17"/>
  <c r="W49" i="17"/>
  <c r="W48" i="17"/>
  <c r="W47" i="17"/>
  <c r="W46" i="17"/>
  <c r="W45" i="17"/>
  <c r="W44" i="17"/>
  <c r="W43" i="17"/>
  <c r="W42" i="17"/>
  <c r="W41" i="17"/>
  <c r="AG35" i="35" l="1"/>
  <c r="AG34" i="35"/>
  <c r="AG33" i="35"/>
  <c r="AG32" i="35"/>
  <c r="AG31" i="35"/>
  <c r="AG30" i="35"/>
  <c r="AG29" i="35"/>
  <c r="AG28" i="35"/>
  <c r="AG27" i="35"/>
  <c r="AG26" i="35"/>
  <c r="AG25" i="35"/>
  <c r="AG24" i="35"/>
  <c r="AG23" i="35"/>
  <c r="AG22" i="35"/>
  <c r="AG21" i="35"/>
  <c r="AG20" i="35"/>
  <c r="AG19" i="35"/>
  <c r="AG18" i="35"/>
  <c r="AG17" i="35"/>
  <c r="AG16" i="35"/>
  <c r="AG15" i="35"/>
  <c r="AG14" i="35"/>
  <c r="AG13" i="35"/>
  <c r="AG12" i="35"/>
  <c r="AG11" i="35"/>
  <c r="AG10" i="35"/>
  <c r="AG9" i="35"/>
  <c r="AG8" i="35"/>
  <c r="AG7" i="35"/>
  <c r="AG6" i="35"/>
  <c r="AJ6" i="35"/>
  <c r="AM6" i="35"/>
  <c r="AP6" i="35"/>
  <c r="AJ7" i="35"/>
  <c r="AM7" i="35"/>
  <c r="AP7" i="35"/>
  <c r="AJ8" i="35"/>
  <c r="AM8" i="35"/>
  <c r="AP8" i="35"/>
  <c r="AJ9" i="35"/>
  <c r="AM9" i="35"/>
  <c r="AP9" i="35"/>
  <c r="AJ10" i="35"/>
  <c r="AM10" i="35"/>
  <c r="AP10" i="35"/>
  <c r="AJ11" i="35"/>
  <c r="AM11" i="35"/>
  <c r="AP11" i="35"/>
  <c r="AJ12" i="35"/>
  <c r="AM12" i="35"/>
  <c r="AP12" i="35"/>
  <c r="AJ13" i="35"/>
  <c r="AM13" i="35"/>
  <c r="AP13" i="35"/>
  <c r="AJ14" i="35"/>
  <c r="AM14" i="35"/>
  <c r="AP14" i="35"/>
  <c r="AJ15" i="35"/>
  <c r="AM15" i="35"/>
  <c r="AP15" i="35"/>
  <c r="AJ16" i="35"/>
  <c r="AM16" i="35"/>
  <c r="AP16" i="35"/>
  <c r="AJ17" i="35"/>
  <c r="AM17" i="35"/>
  <c r="AP17" i="35"/>
  <c r="AJ18" i="35"/>
  <c r="AM18" i="35"/>
  <c r="AP18" i="35"/>
  <c r="AJ19" i="35"/>
  <c r="AM19" i="35"/>
  <c r="AP19" i="35"/>
  <c r="AJ20" i="35"/>
  <c r="AM20" i="35"/>
  <c r="AP20" i="35"/>
  <c r="AJ21" i="35"/>
  <c r="AM21" i="35"/>
  <c r="AP21" i="35"/>
  <c r="AJ22" i="35"/>
  <c r="AM22" i="35"/>
  <c r="AP22" i="35"/>
  <c r="AJ23" i="35"/>
  <c r="AM23" i="35"/>
  <c r="AP23" i="35"/>
  <c r="AJ24" i="35"/>
  <c r="AM24" i="35"/>
  <c r="AP24" i="35"/>
  <c r="AJ25" i="35"/>
  <c r="AM25" i="35"/>
  <c r="AP25" i="35"/>
  <c r="AJ26" i="35"/>
  <c r="AM26" i="35"/>
  <c r="AP26" i="35"/>
  <c r="AJ27" i="35"/>
  <c r="AM27" i="35"/>
  <c r="AP27" i="35"/>
  <c r="AJ28" i="35"/>
  <c r="AM28" i="35"/>
  <c r="AP28" i="35"/>
  <c r="AJ29" i="35"/>
  <c r="AM29" i="35"/>
  <c r="AP29" i="35"/>
  <c r="AJ30" i="35"/>
  <c r="AM30" i="35"/>
  <c r="AP30" i="35"/>
  <c r="AJ31" i="35"/>
  <c r="AM31" i="35"/>
  <c r="AP31" i="35"/>
  <c r="AJ32" i="35"/>
  <c r="AM32" i="35"/>
  <c r="AP32" i="35"/>
  <c r="AJ33" i="35"/>
  <c r="AM33" i="35"/>
  <c r="AP33" i="35"/>
  <c r="AJ34" i="35"/>
  <c r="AM34" i="35"/>
  <c r="AP34" i="35"/>
  <c r="AJ35" i="35"/>
  <c r="AM35" i="35"/>
  <c r="AP35" i="35"/>
  <c r="AJ36" i="35"/>
  <c r="AM36" i="35"/>
  <c r="AP36" i="35"/>
  <c r="AI37" i="35"/>
  <c r="AK37" i="35"/>
  <c r="AL37" i="35"/>
  <c r="AN37" i="35"/>
  <c r="AO37" i="35"/>
  <c r="AQ37" i="35"/>
  <c r="AS35" i="35"/>
  <c r="AS34" i="35"/>
  <c r="AS33" i="35"/>
  <c r="AS32" i="35"/>
  <c r="AS31" i="35"/>
  <c r="AS30" i="35"/>
  <c r="AS29" i="35"/>
  <c r="AS28" i="35"/>
  <c r="AS27" i="35"/>
  <c r="AS26" i="35"/>
  <c r="AS25" i="35"/>
  <c r="AS24" i="35"/>
  <c r="AS23" i="35"/>
  <c r="AS22" i="35"/>
  <c r="AS21" i="35"/>
  <c r="AS20" i="35"/>
  <c r="AS19" i="35"/>
  <c r="AS18" i="35"/>
  <c r="AS17" i="35"/>
  <c r="AS16" i="35"/>
  <c r="AS15" i="35"/>
  <c r="AS14" i="35"/>
  <c r="AS13" i="35"/>
  <c r="AS12" i="35"/>
  <c r="AS11" i="35"/>
  <c r="AS10" i="35"/>
  <c r="AS9" i="35"/>
  <c r="AS8" i="35"/>
  <c r="AS7" i="35"/>
  <c r="AS6" i="35"/>
  <c r="AL99" i="7"/>
  <c r="AL96" i="7"/>
  <c r="AL95" i="7"/>
  <c r="AL94" i="7"/>
  <c r="AL93" i="7"/>
  <c r="AL89" i="7"/>
  <c r="AL88" i="7"/>
  <c r="AL87" i="7"/>
  <c r="AL86" i="7"/>
  <c r="AL79" i="7"/>
  <c r="AL78" i="7"/>
  <c r="AL77" i="7"/>
  <c r="AL76" i="7"/>
  <c r="AL75" i="7"/>
  <c r="AL74" i="7"/>
  <c r="AL73" i="7"/>
  <c r="AL72" i="7"/>
  <c r="AL71" i="7"/>
  <c r="AL70" i="7"/>
  <c r="AL69" i="7"/>
  <c r="AL68" i="7"/>
  <c r="AL67" i="7"/>
  <c r="AL66" i="7"/>
  <c r="AL65" i="7"/>
  <c r="AL64" i="7"/>
  <c r="AL63" i="7"/>
  <c r="AL57" i="7"/>
  <c r="AL54" i="7"/>
  <c r="AL53" i="7"/>
  <c r="AL52" i="7"/>
  <c r="AL44" i="7"/>
  <c r="AL43" i="7" s="1"/>
  <c r="AL40" i="7"/>
  <c r="AL41" i="7" s="1"/>
  <c r="AL39" i="7"/>
  <c r="AL61" i="7" s="1"/>
  <c r="AP37" i="35" l="1"/>
  <c r="AM37" i="35"/>
  <c r="AJ37" i="35"/>
  <c r="AO8" i="7"/>
  <c r="AN8" i="7"/>
  <c r="BC37" i="35"/>
  <c r="BA37" i="35"/>
  <c r="AZ37" i="35"/>
  <c r="AX37" i="35"/>
  <c r="AW37" i="35"/>
  <c r="AU37" i="35"/>
  <c r="BB36" i="35"/>
  <c r="AY36" i="35"/>
  <c r="AV36" i="35"/>
  <c r="BB35" i="35"/>
  <c r="AY35" i="35"/>
  <c r="AV35" i="35"/>
  <c r="BB34" i="35"/>
  <c r="AY34" i="35"/>
  <c r="AV34" i="35"/>
  <c r="BB33" i="35"/>
  <c r="AY33" i="35"/>
  <c r="AV33" i="35"/>
  <c r="BB32" i="35"/>
  <c r="AY32" i="35"/>
  <c r="AV32" i="35"/>
  <c r="BB31" i="35"/>
  <c r="AY31" i="35"/>
  <c r="AV31" i="35"/>
  <c r="BB30" i="35"/>
  <c r="AY30" i="35"/>
  <c r="AV30" i="35"/>
  <c r="BB29" i="35"/>
  <c r="AY29" i="35"/>
  <c r="AV29" i="35"/>
  <c r="BB28" i="35"/>
  <c r="AY28" i="35"/>
  <c r="AV28" i="35"/>
  <c r="BB27" i="35"/>
  <c r="AY27" i="35"/>
  <c r="AV27" i="35"/>
  <c r="BB26" i="35"/>
  <c r="AY26" i="35"/>
  <c r="AV26" i="35"/>
  <c r="BB25" i="35"/>
  <c r="AY25" i="35"/>
  <c r="AV25" i="35"/>
  <c r="BB24" i="35"/>
  <c r="AY24" i="35"/>
  <c r="AV24" i="35"/>
  <c r="BB23" i="35"/>
  <c r="AY23" i="35"/>
  <c r="AV23" i="35"/>
  <c r="BB22" i="35"/>
  <c r="AY22" i="35"/>
  <c r="AV22" i="35"/>
  <c r="BB21" i="35"/>
  <c r="AY21" i="35"/>
  <c r="AV21" i="35"/>
  <c r="BB20" i="35"/>
  <c r="AY20" i="35"/>
  <c r="AV20" i="35"/>
  <c r="BB19" i="35"/>
  <c r="AY19" i="35"/>
  <c r="AV19" i="35"/>
  <c r="BB18" i="35"/>
  <c r="AY18" i="35"/>
  <c r="AV18" i="35"/>
  <c r="BB17" i="35"/>
  <c r="AY17" i="35"/>
  <c r="AV17" i="35"/>
  <c r="BB16" i="35"/>
  <c r="AY16" i="35"/>
  <c r="AV16" i="35"/>
  <c r="BB15" i="35"/>
  <c r="AY15" i="35"/>
  <c r="AV15" i="35"/>
  <c r="BB14" i="35"/>
  <c r="AY14" i="35"/>
  <c r="AV14" i="35"/>
  <c r="BB13" i="35"/>
  <c r="AY13" i="35"/>
  <c r="AV13" i="35"/>
  <c r="BB12" i="35"/>
  <c r="AY12" i="35"/>
  <c r="AV12" i="35"/>
  <c r="BB11" i="35"/>
  <c r="AY11" i="35"/>
  <c r="AV11" i="35"/>
  <c r="BB10" i="35"/>
  <c r="AY10" i="35"/>
  <c r="AV10" i="35"/>
  <c r="BB9" i="35"/>
  <c r="AY9" i="35"/>
  <c r="AV9" i="35"/>
  <c r="BB8" i="35"/>
  <c r="AY8" i="35"/>
  <c r="AV8" i="35"/>
  <c r="BB7" i="35"/>
  <c r="AY7" i="35"/>
  <c r="AV7" i="35"/>
  <c r="BB6" i="35"/>
  <c r="AY6" i="35"/>
  <c r="AV6" i="35"/>
  <c r="BB37" i="35" l="1"/>
  <c r="AY37" i="35"/>
  <c r="AV37" i="35"/>
  <c r="F6" i="35" l="1"/>
  <c r="I6" i="35"/>
  <c r="L6" i="35"/>
  <c r="O6" i="35"/>
  <c r="R6" i="35"/>
  <c r="U6" i="35"/>
  <c r="X6" i="35"/>
  <c r="AA6" i="35"/>
  <c r="AD6" i="35"/>
  <c r="F7" i="35"/>
  <c r="I7" i="35"/>
  <c r="L7" i="35"/>
  <c r="O7" i="35"/>
  <c r="R7" i="35"/>
  <c r="U7" i="35"/>
  <c r="X7" i="35"/>
  <c r="AA7" i="35"/>
  <c r="AD7" i="35"/>
  <c r="F8" i="35"/>
  <c r="I8" i="35"/>
  <c r="L8" i="35"/>
  <c r="O8" i="35"/>
  <c r="R8" i="35"/>
  <c r="U8" i="35"/>
  <c r="X8" i="35"/>
  <c r="AA8" i="35"/>
  <c r="AD8" i="35"/>
  <c r="F9" i="35"/>
  <c r="I9" i="35"/>
  <c r="L9" i="35"/>
  <c r="O9" i="35"/>
  <c r="R9" i="35"/>
  <c r="U9" i="35"/>
  <c r="X9" i="35"/>
  <c r="AA9" i="35"/>
  <c r="AD9" i="35"/>
  <c r="F10" i="35"/>
  <c r="I10" i="35"/>
  <c r="L10" i="35"/>
  <c r="O10" i="35"/>
  <c r="R10" i="35"/>
  <c r="U10" i="35"/>
  <c r="X10" i="35"/>
  <c r="AA10" i="35"/>
  <c r="AD10" i="35"/>
  <c r="F11" i="35"/>
  <c r="I11" i="35"/>
  <c r="L11" i="35"/>
  <c r="O11" i="35"/>
  <c r="R11" i="35"/>
  <c r="U11" i="35"/>
  <c r="X11" i="35"/>
  <c r="AA11" i="35"/>
  <c r="AD11" i="35"/>
  <c r="F12" i="35"/>
  <c r="I12" i="35"/>
  <c r="L12" i="35"/>
  <c r="O12" i="35"/>
  <c r="R12" i="35"/>
  <c r="U12" i="35"/>
  <c r="X12" i="35"/>
  <c r="AA12" i="35"/>
  <c r="AD12" i="35"/>
  <c r="F13" i="35"/>
  <c r="I13" i="35"/>
  <c r="L13" i="35"/>
  <c r="O13" i="35"/>
  <c r="R13" i="35"/>
  <c r="U13" i="35"/>
  <c r="X13" i="35"/>
  <c r="AA13" i="35"/>
  <c r="AD13" i="35"/>
  <c r="F14" i="35"/>
  <c r="I14" i="35"/>
  <c r="L14" i="35"/>
  <c r="O14" i="35"/>
  <c r="R14" i="35"/>
  <c r="U14" i="35"/>
  <c r="X14" i="35"/>
  <c r="AA14" i="35"/>
  <c r="AD14" i="35"/>
  <c r="F15" i="35"/>
  <c r="I15" i="35"/>
  <c r="L15" i="35"/>
  <c r="O15" i="35"/>
  <c r="R15" i="35"/>
  <c r="U15" i="35"/>
  <c r="X15" i="35"/>
  <c r="AA15" i="35"/>
  <c r="AD15" i="35"/>
  <c r="F16" i="35"/>
  <c r="I16" i="35"/>
  <c r="L16" i="35"/>
  <c r="O16" i="35"/>
  <c r="R16" i="35"/>
  <c r="U16" i="35"/>
  <c r="X16" i="35"/>
  <c r="AA16" i="35"/>
  <c r="AD16" i="35"/>
  <c r="F17" i="35"/>
  <c r="I17" i="35"/>
  <c r="L17" i="35"/>
  <c r="O17" i="35"/>
  <c r="R17" i="35"/>
  <c r="U17" i="35"/>
  <c r="X17" i="35"/>
  <c r="AA17" i="35"/>
  <c r="AD17" i="35"/>
  <c r="F18" i="35"/>
  <c r="I18" i="35"/>
  <c r="L18" i="35"/>
  <c r="O18" i="35"/>
  <c r="R18" i="35"/>
  <c r="U18" i="35"/>
  <c r="X18" i="35"/>
  <c r="AA18" i="35"/>
  <c r="AD18" i="35"/>
  <c r="F19" i="35"/>
  <c r="I19" i="35"/>
  <c r="L19" i="35"/>
  <c r="O19" i="35"/>
  <c r="R19" i="35"/>
  <c r="U19" i="35"/>
  <c r="X19" i="35"/>
  <c r="AA19" i="35"/>
  <c r="AD19" i="35"/>
  <c r="F20" i="35"/>
  <c r="I20" i="35"/>
  <c r="L20" i="35"/>
  <c r="O20" i="35"/>
  <c r="R20" i="35"/>
  <c r="U20" i="35"/>
  <c r="X20" i="35"/>
  <c r="AA20" i="35"/>
  <c r="AD20" i="35"/>
  <c r="F21" i="35"/>
  <c r="I21" i="35"/>
  <c r="L21" i="35"/>
  <c r="O21" i="35"/>
  <c r="R21" i="35"/>
  <c r="U21" i="35"/>
  <c r="X21" i="35"/>
  <c r="AA21" i="35"/>
  <c r="AD21" i="35"/>
  <c r="F22" i="35"/>
  <c r="I22" i="35"/>
  <c r="L22" i="35"/>
  <c r="O22" i="35"/>
  <c r="R22" i="35"/>
  <c r="U22" i="35"/>
  <c r="X22" i="35"/>
  <c r="AA22" i="35"/>
  <c r="AD22" i="35"/>
  <c r="F23" i="35"/>
  <c r="I23" i="35"/>
  <c r="L23" i="35"/>
  <c r="O23" i="35"/>
  <c r="R23" i="35"/>
  <c r="U23" i="35"/>
  <c r="X23" i="35"/>
  <c r="AA23" i="35"/>
  <c r="AD23" i="35"/>
  <c r="F24" i="35"/>
  <c r="I24" i="35"/>
  <c r="L24" i="35"/>
  <c r="O24" i="35"/>
  <c r="R24" i="35"/>
  <c r="U24" i="35"/>
  <c r="X24" i="35"/>
  <c r="AA24" i="35"/>
  <c r="AD24" i="35"/>
  <c r="F25" i="35"/>
  <c r="I25" i="35"/>
  <c r="L25" i="35"/>
  <c r="O25" i="35"/>
  <c r="R25" i="35"/>
  <c r="U25" i="35"/>
  <c r="X25" i="35"/>
  <c r="AA25" i="35"/>
  <c r="AD25" i="35"/>
  <c r="F26" i="35"/>
  <c r="I26" i="35"/>
  <c r="L26" i="35"/>
  <c r="O26" i="35"/>
  <c r="R26" i="35"/>
  <c r="U26" i="35"/>
  <c r="X26" i="35"/>
  <c r="AA26" i="35"/>
  <c r="AD26" i="35"/>
  <c r="F27" i="35"/>
  <c r="I27" i="35"/>
  <c r="L27" i="35"/>
  <c r="O27" i="35"/>
  <c r="R27" i="35"/>
  <c r="U27" i="35"/>
  <c r="X27" i="35"/>
  <c r="AA27" i="35"/>
  <c r="AD27" i="35"/>
  <c r="F28" i="35"/>
  <c r="I28" i="35"/>
  <c r="L28" i="35"/>
  <c r="O28" i="35"/>
  <c r="R28" i="35"/>
  <c r="U28" i="35"/>
  <c r="X28" i="35"/>
  <c r="AA28" i="35"/>
  <c r="AD28" i="35"/>
  <c r="F29" i="35"/>
  <c r="I29" i="35"/>
  <c r="L29" i="35"/>
  <c r="O29" i="35"/>
  <c r="R29" i="35"/>
  <c r="U29" i="35"/>
  <c r="X29" i="35"/>
  <c r="AA29" i="35"/>
  <c r="AD29" i="35"/>
  <c r="F30" i="35"/>
  <c r="I30" i="35"/>
  <c r="L30" i="35"/>
  <c r="O30" i="35"/>
  <c r="R30" i="35"/>
  <c r="U30" i="35"/>
  <c r="X30" i="35"/>
  <c r="AA30" i="35"/>
  <c r="AD30" i="35"/>
  <c r="F31" i="35"/>
  <c r="I31" i="35"/>
  <c r="L31" i="35"/>
  <c r="O31" i="35"/>
  <c r="R31" i="35"/>
  <c r="U31" i="35"/>
  <c r="X31" i="35"/>
  <c r="AA31" i="35"/>
  <c r="AD31" i="35"/>
  <c r="F32" i="35"/>
  <c r="I32" i="35"/>
  <c r="L32" i="35"/>
  <c r="O32" i="35"/>
  <c r="R32" i="35"/>
  <c r="U32" i="35"/>
  <c r="X32" i="35"/>
  <c r="AA32" i="35"/>
  <c r="AD32" i="35"/>
  <c r="F33" i="35"/>
  <c r="I33" i="35"/>
  <c r="L33" i="35"/>
  <c r="O33" i="35"/>
  <c r="R33" i="35"/>
  <c r="U33" i="35"/>
  <c r="X33" i="35"/>
  <c r="AA33" i="35"/>
  <c r="AD33" i="35"/>
  <c r="F34" i="35"/>
  <c r="I34" i="35"/>
  <c r="L34" i="35"/>
  <c r="O34" i="35"/>
  <c r="R34" i="35"/>
  <c r="U34" i="35"/>
  <c r="X34" i="35"/>
  <c r="AA34" i="35"/>
  <c r="AD34" i="35"/>
  <c r="F35" i="35"/>
  <c r="I35" i="35"/>
  <c r="L35" i="35"/>
  <c r="O35" i="35"/>
  <c r="R35" i="35"/>
  <c r="U35" i="35"/>
  <c r="X35" i="35"/>
  <c r="AA35" i="35"/>
  <c r="AD35" i="35"/>
  <c r="F36" i="35"/>
  <c r="I36" i="35"/>
  <c r="L36" i="35"/>
  <c r="O36" i="35"/>
  <c r="R36" i="35"/>
  <c r="U36" i="35"/>
  <c r="X36" i="35"/>
  <c r="AA36" i="35"/>
  <c r="AD36" i="35"/>
  <c r="AG36" i="35"/>
  <c r="E37" i="35"/>
  <c r="G37" i="35"/>
  <c r="H37" i="35"/>
  <c r="J37" i="35"/>
  <c r="K37" i="35"/>
  <c r="M37" i="35"/>
  <c r="N37" i="35"/>
  <c r="P37" i="35"/>
  <c r="Q37" i="35"/>
  <c r="S37" i="35"/>
  <c r="T37" i="35"/>
  <c r="V37" i="35"/>
  <c r="W37" i="35"/>
  <c r="Y37" i="35"/>
  <c r="Z37" i="35"/>
  <c r="AB37" i="35"/>
  <c r="AC37" i="35"/>
  <c r="AE37" i="35"/>
  <c r="AF37" i="35"/>
  <c r="AH37" i="35"/>
  <c r="Y99" i="7"/>
  <c r="Y96" i="7"/>
  <c r="Y95" i="7"/>
  <c r="Y94" i="7"/>
  <c r="Y93" i="7"/>
  <c r="Y89" i="7"/>
  <c r="Y88" i="7"/>
  <c r="Y87" i="7"/>
  <c r="Y86" i="7"/>
  <c r="Y79" i="7"/>
  <c r="Y78" i="7"/>
  <c r="Y77" i="7"/>
  <c r="Y76" i="7"/>
  <c r="Y75" i="7"/>
  <c r="Y74" i="7"/>
  <c r="Y73" i="7"/>
  <c r="Y72" i="7"/>
  <c r="Y71" i="7"/>
  <c r="Y70" i="7"/>
  <c r="Y69" i="7"/>
  <c r="Y68" i="7"/>
  <c r="Y67" i="7"/>
  <c r="Y66" i="7"/>
  <c r="Y65" i="7"/>
  <c r="Y64" i="7"/>
  <c r="Y63" i="7"/>
  <c r="Y57" i="7"/>
  <c r="Y54" i="7"/>
  <c r="Y53" i="7"/>
  <c r="Y52" i="7"/>
  <c r="Y44" i="7"/>
  <c r="Y43" i="7" s="1"/>
  <c r="Y40" i="7"/>
  <c r="Y41" i="7" s="1"/>
  <c r="Y39" i="7"/>
  <c r="Y61" i="7" s="1"/>
  <c r="R37" i="35" l="1"/>
  <c r="L37" i="35"/>
  <c r="X37" i="35"/>
  <c r="AD37" i="35"/>
  <c r="F37" i="35"/>
  <c r="I37" i="35"/>
  <c r="AA37" i="35"/>
  <c r="U37" i="35"/>
  <c r="O37" i="35"/>
  <c r="AG37" i="35"/>
  <c r="L99" i="7" l="1"/>
  <c r="L96" i="7"/>
  <c r="L95" i="7"/>
  <c r="L94" i="7"/>
  <c r="L93" i="7"/>
  <c r="L89" i="7"/>
  <c r="L88" i="7"/>
  <c r="L87" i="7"/>
  <c r="L86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57" i="7"/>
  <c r="L54" i="7"/>
  <c r="L53" i="7"/>
  <c r="L52" i="7"/>
  <c r="L44" i="7"/>
  <c r="L43" i="7" s="1"/>
  <c r="L40" i="7"/>
  <c r="L41" i="7" s="1"/>
  <c r="L39" i="7"/>
  <c r="L61" i="7" s="1"/>
  <c r="AE99" i="7" l="1"/>
  <c r="AE96" i="7"/>
  <c r="AE95" i="7"/>
  <c r="AE94" i="7"/>
  <c r="AE93" i="7"/>
  <c r="AE89" i="7"/>
  <c r="AE88" i="7"/>
  <c r="AE87" i="7"/>
  <c r="AE86" i="7"/>
  <c r="AE79" i="7"/>
  <c r="AE78" i="7"/>
  <c r="AE77" i="7"/>
  <c r="AE76" i="7"/>
  <c r="AE75" i="7"/>
  <c r="AE74" i="7"/>
  <c r="AE73" i="7"/>
  <c r="AE72" i="7"/>
  <c r="AE71" i="7"/>
  <c r="AE70" i="7"/>
  <c r="AE69" i="7"/>
  <c r="AE68" i="7"/>
  <c r="AE67" i="7"/>
  <c r="AE66" i="7"/>
  <c r="AE65" i="7"/>
  <c r="AE64" i="7"/>
  <c r="AE63" i="7"/>
  <c r="AE57" i="7"/>
  <c r="AE54" i="7"/>
  <c r="AE53" i="7"/>
  <c r="AE52" i="7"/>
  <c r="AE44" i="7"/>
  <c r="AE43" i="7" s="1"/>
  <c r="AE40" i="7"/>
  <c r="AE41" i="7" s="1"/>
  <c r="AE39" i="7"/>
  <c r="AE61" i="7" s="1"/>
  <c r="AG99" i="7"/>
  <c r="AG96" i="7"/>
  <c r="AG95" i="7"/>
  <c r="AG94" i="7"/>
  <c r="AG93" i="7"/>
  <c r="AG89" i="7"/>
  <c r="AG88" i="7"/>
  <c r="AG87" i="7"/>
  <c r="AG86" i="7"/>
  <c r="AG79" i="7"/>
  <c r="AG78" i="7"/>
  <c r="AG77" i="7"/>
  <c r="AG76" i="7"/>
  <c r="AG75" i="7"/>
  <c r="AG74" i="7"/>
  <c r="AG73" i="7"/>
  <c r="AG72" i="7"/>
  <c r="AG71" i="7"/>
  <c r="AG70" i="7"/>
  <c r="AG69" i="7"/>
  <c r="AG68" i="7"/>
  <c r="AG67" i="7"/>
  <c r="AG66" i="7"/>
  <c r="AG65" i="7"/>
  <c r="AG64" i="7"/>
  <c r="AG63" i="7"/>
  <c r="AG57" i="7"/>
  <c r="AG54" i="7"/>
  <c r="AG53" i="7"/>
  <c r="AG52" i="7"/>
  <c r="AG44" i="7"/>
  <c r="AG43" i="7" s="1"/>
  <c r="AG40" i="7"/>
  <c r="AG41" i="7" s="1"/>
  <c r="AG39" i="7"/>
  <c r="AG61" i="7" s="1"/>
  <c r="G99" i="7" l="1"/>
  <c r="G96" i="7"/>
  <c r="G95" i="7"/>
  <c r="G94" i="7"/>
  <c r="G93" i="7"/>
  <c r="G89" i="7"/>
  <c r="G88" i="7"/>
  <c r="G87" i="7"/>
  <c r="G86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57" i="7"/>
  <c r="G54" i="7"/>
  <c r="G53" i="7"/>
  <c r="G52" i="7"/>
  <c r="G44" i="7"/>
  <c r="G43" i="7" s="1"/>
  <c r="G40" i="7"/>
  <c r="G41" i="7" s="1"/>
  <c r="G39" i="7"/>
  <c r="G61" i="7" s="1"/>
  <c r="Y37" i="1" l="1"/>
  <c r="W37" i="1"/>
  <c r="V37" i="1"/>
  <c r="T37" i="1"/>
  <c r="X36" i="1"/>
  <c r="U36" i="1"/>
  <c r="X35" i="1"/>
  <c r="U35" i="1"/>
  <c r="X34" i="1"/>
  <c r="U34" i="1"/>
  <c r="X33" i="1"/>
  <c r="U33" i="1"/>
  <c r="X32" i="1"/>
  <c r="U32" i="1"/>
  <c r="X31" i="1"/>
  <c r="U31" i="1"/>
  <c r="X30" i="1"/>
  <c r="U30" i="1"/>
  <c r="X29" i="1"/>
  <c r="U29" i="1"/>
  <c r="X28" i="1"/>
  <c r="U28" i="1"/>
  <c r="X27" i="1"/>
  <c r="U27" i="1"/>
  <c r="X26" i="1"/>
  <c r="U26" i="1"/>
  <c r="X25" i="1"/>
  <c r="U25" i="1"/>
  <c r="X24" i="1"/>
  <c r="U24" i="1"/>
  <c r="X23" i="1"/>
  <c r="U23" i="1"/>
  <c r="X22" i="1"/>
  <c r="U22" i="1"/>
  <c r="X21" i="1"/>
  <c r="U21" i="1"/>
  <c r="X20" i="1"/>
  <c r="U20" i="1"/>
  <c r="X19" i="1"/>
  <c r="U19" i="1"/>
  <c r="X18" i="1"/>
  <c r="U18" i="1"/>
  <c r="X17" i="1"/>
  <c r="U17" i="1"/>
  <c r="X16" i="1"/>
  <c r="U16" i="1"/>
  <c r="X15" i="1"/>
  <c r="U15" i="1"/>
  <c r="X14" i="1"/>
  <c r="U14" i="1"/>
  <c r="X13" i="1"/>
  <c r="U13" i="1"/>
  <c r="X12" i="1"/>
  <c r="U12" i="1"/>
  <c r="X11" i="1"/>
  <c r="U11" i="1"/>
  <c r="X10" i="1"/>
  <c r="X9" i="1"/>
  <c r="X8" i="1"/>
  <c r="X7" i="1"/>
  <c r="X6" i="1"/>
  <c r="AI99" i="7"/>
  <c r="AI96" i="7"/>
  <c r="AI95" i="7"/>
  <c r="AI94" i="7"/>
  <c r="AI93" i="7"/>
  <c r="AI89" i="7"/>
  <c r="AI88" i="7"/>
  <c r="AI87" i="7"/>
  <c r="AI86" i="7"/>
  <c r="AI79" i="7"/>
  <c r="AI78" i="7"/>
  <c r="AI77" i="7"/>
  <c r="AI76" i="7"/>
  <c r="AI75" i="7"/>
  <c r="AI74" i="7"/>
  <c r="AI73" i="7"/>
  <c r="AI72" i="7"/>
  <c r="AI71" i="7"/>
  <c r="AI70" i="7"/>
  <c r="AI69" i="7"/>
  <c r="AI68" i="7"/>
  <c r="AI67" i="7"/>
  <c r="AI66" i="7"/>
  <c r="AI65" i="7"/>
  <c r="AI64" i="7"/>
  <c r="AI63" i="7"/>
  <c r="AI57" i="7"/>
  <c r="AI54" i="7"/>
  <c r="AI53" i="7"/>
  <c r="AI52" i="7"/>
  <c r="AI44" i="7"/>
  <c r="AI43" i="7" s="1"/>
  <c r="AI40" i="7"/>
  <c r="AI41" i="7" s="1"/>
  <c r="AI39" i="7"/>
  <c r="AI61" i="7" s="1"/>
  <c r="X37" i="1" l="1"/>
  <c r="U37" i="1"/>
  <c r="AK99" i="7" l="1"/>
  <c r="AK96" i="7"/>
  <c r="AK95" i="7"/>
  <c r="AK94" i="7"/>
  <c r="AK93" i="7"/>
  <c r="AK89" i="7"/>
  <c r="AK88" i="7"/>
  <c r="AK87" i="7"/>
  <c r="AK86" i="7"/>
  <c r="AK79" i="7"/>
  <c r="AK78" i="7"/>
  <c r="AK77" i="7"/>
  <c r="AK76" i="7"/>
  <c r="AK75" i="7"/>
  <c r="AK74" i="7"/>
  <c r="AK73" i="7"/>
  <c r="AK72" i="7"/>
  <c r="AK71" i="7"/>
  <c r="AK70" i="7"/>
  <c r="AK69" i="7"/>
  <c r="AK68" i="7"/>
  <c r="AK67" i="7"/>
  <c r="AK66" i="7"/>
  <c r="AK65" i="7"/>
  <c r="AK64" i="7"/>
  <c r="AK63" i="7"/>
  <c r="AK57" i="7"/>
  <c r="AK54" i="7"/>
  <c r="AK53" i="7"/>
  <c r="AK52" i="7"/>
  <c r="AK44" i="7"/>
  <c r="AK43" i="7" s="1"/>
  <c r="AK40" i="7"/>
  <c r="AK41" i="7" s="1"/>
  <c r="AK39" i="7"/>
  <c r="AK61" i="7" s="1"/>
  <c r="AL35" i="17" l="1"/>
  <c r="AK35" i="17"/>
  <c r="AJ35" i="17"/>
  <c r="AI35" i="17"/>
  <c r="AH35" i="17"/>
  <c r="AG36" i="1" l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I6" i="1"/>
  <c r="I7" i="1"/>
  <c r="I8" i="1"/>
  <c r="C34" i="41" l="1"/>
  <c r="D1071" i="47" l="1"/>
  <c r="C1071" i="47" s="1"/>
  <c r="D1070" i="47"/>
  <c r="C1070" i="47"/>
  <c r="D1069" i="47"/>
  <c r="C1069" i="47" s="1"/>
  <c r="D1068" i="47"/>
  <c r="C1068" i="47"/>
  <c r="D1067" i="47"/>
  <c r="C1067" i="47" s="1"/>
  <c r="D1066" i="47"/>
  <c r="C1066" i="47"/>
  <c r="D1065" i="47"/>
  <c r="C1065" i="47" s="1"/>
  <c r="D1064" i="47"/>
  <c r="C1064" i="47"/>
  <c r="D1063" i="47"/>
  <c r="C1063" i="47" s="1"/>
  <c r="D1062" i="47"/>
  <c r="C1062" i="47"/>
  <c r="D1061" i="47"/>
  <c r="C1061" i="47" s="1"/>
  <c r="D1060" i="47"/>
  <c r="C1060" i="47"/>
  <c r="D1059" i="47"/>
  <c r="C1059" i="47" s="1"/>
  <c r="D1058" i="47"/>
  <c r="C1058" i="47"/>
  <c r="D1057" i="47"/>
  <c r="C1057" i="47" s="1"/>
  <c r="D1056" i="47"/>
  <c r="C1056" i="47"/>
  <c r="D1055" i="47"/>
  <c r="C1055" i="47" s="1"/>
  <c r="D1054" i="47"/>
  <c r="C1054" i="47"/>
  <c r="D1053" i="47"/>
  <c r="C1053" i="47" s="1"/>
  <c r="D1052" i="47"/>
  <c r="C1052" i="47"/>
  <c r="D1051" i="47"/>
  <c r="C1051" i="47" s="1"/>
  <c r="D1050" i="47"/>
  <c r="C1050" i="47"/>
  <c r="D1049" i="47"/>
  <c r="C1049" i="47" s="1"/>
  <c r="D1048" i="47"/>
  <c r="C1048" i="47"/>
  <c r="D1047" i="47"/>
  <c r="C1047" i="47" s="1"/>
  <c r="D1046" i="47"/>
  <c r="C1046" i="47"/>
  <c r="D1045" i="47"/>
  <c r="C1045" i="47" s="1"/>
  <c r="D1044" i="47"/>
  <c r="C1044" i="47"/>
  <c r="D1043" i="47"/>
  <c r="C1043" i="47" s="1"/>
  <c r="D1042" i="47"/>
  <c r="C1042" i="47"/>
  <c r="D1041" i="47"/>
  <c r="C1041" i="47" s="1"/>
  <c r="D1040" i="47"/>
  <c r="C1040" i="47"/>
  <c r="D1039" i="47"/>
  <c r="C1039" i="47" s="1"/>
  <c r="D1038" i="47"/>
  <c r="C1038" i="47"/>
  <c r="D1037" i="47"/>
  <c r="C1037" i="47" s="1"/>
  <c r="D1036" i="47"/>
  <c r="C1036" i="47"/>
  <c r="D1035" i="47"/>
  <c r="C1035" i="47" s="1"/>
  <c r="D1034" i="47"/>
  <c r="C1034" i="47"/>
  <c r="D1033" i="47"/>
  <c r="C1033" i="47" s="1"/>
  <c r="D1032" i="47"/>
  <c r="C1032" i="47"/>
  <c r="D1031" i="47"/>
  <c r="C1031" i="47" s="1"/>
  <c r="D1030" i="47"/>
  <c r="C1030" i="47"/>
  <c r="D1029" i="47"/>
  <c r="C1029" i="47" s="1"/>
  <c r="D1028" i="47"/>
  <c r="C1028" i="47"/>
  <c r="D1027" i="47"/>
  <c r="C1027" i="47" s="1"/>
  <c r="D1026" i="47"/>
  <c r="C1026" i="47"/>
  <c r="D1025" i="47"/>
  <c r="C1025" i="47" s="1"/>
  <c r="D1024" i="47"/>
  <c r="C1024" i="47"/>
  <c r="D1023" i="47"/>
  <c r="C1023" i="47" s="1"/>
  <c r="D1022" i="47"/>
  <c r="C1022" i="47"/>
  <c r="D1021" i="47"/>
  <c r="C1021" i="47" s="1"/>
  <c r="D1020" i="47"/>
  <c r="C1020" i="47"/>
  <c r="D1019" i="47"/>
  <c r="C1019" i="47" s="1"/>
  <c r="D1018" i="47"/>
  <c r="C1018" i="47"/>
  <c r="D1017" i="47"/>
  <c r="C1017" i="47" s="1"/>
  <c r="D1016" i="47"/>
  <c r="C1016" i="47"/>
  <c r="D1015" i="47"/>
  <c r="C1015" i="47" s="1"/>
  <c r="D1014" i="47"/>
  <c r="C1014" i="47"/>
  <c r="D1013" i="47"/>
  <c r="C1013" i="47" s="1"/>
  <c r="D1012" i="47"/>
  <c r="C1012" i="47"/>
  <c r="D1011" i="47"/>
  <c r="C1011" i="47" s="1"/>
  <c r="D1010" i="47"/>
  <c r="C1010" i="47"/>
  <c r="D1009" i="47"/>
  <c r="C1009" i="47" s="1"/>
  <c r="D1008" i="47"/>
  <c r="C1008" i="47"/>
  <c r="D1007" i="47"/>
  <c r="C1007" i="47" s="1"/>
  <c r="D1006" i="47"/>
  <c r="C1006" i="47"/>
  <c r="D1005" i="47"/>
  <c r="C1005" i="47" s="1"/>
  <c r="D1004" i="47"/>
  <c r="C1004" i="47"/>
  <c r="D1003" i="47"/>
  <c r="C1003" i="47" s="1"/>
  <c r="D1002" i="47"/>
  <c r="C1002" i="47"/>
  <c r="D1001" i="47"/>
  <c r="C1001" i="47" s="1"/>
  <c r="D1000" i="47"/>
  <c r="C1000" i="47"/>
  <c r="D999" i="47"/>
  <c r="C999" i="47" s="1"/>
  <c r="D998" i="47"/>
  <c r="C998" i="47"/>
  <c r="D997" i="47"/>
  <c r="C997" i="47" s="1"/>
  <c r="D996" i="47"/>
  <c r="C996" i="47"/>
  <c r="D995" i="47"/>
  <c r="C995" i="47" s="1"/>
  <c r="D994" i="47"/>
  <c r="C994" i="47"/>
  <c r="D993" i="47"/>
  <c r="C993" i="47" s="1"/>
  <c r="D992" i="47"/>
  <c r="C992" i="47"/>
  <c r="D991" i="47"/>
  <c r="C991" i="47" s="1"/>
  <c r="D990" i="47"/>
  <c r="C990" i="47"/>
  <c r="D989" i="47"/>
  <c r="C989" i="47" s="1"/>
  <c r="D988" i="47"/>
  <c r="C988" i="47"/>
  <c r="D987" i="47"/>
  <c r="C987" i="47" s="1"/>
  <c r="D986" i="47"/>
  <c r="C986" i="47"/>
  <c r="D985" i="47"/>
  <c r="C985" i="47" s="1"/>
  <c r="D984" i="47"/>
  <c r="C984" i="47"/>
  <c r="D983" i="47"/>
  <c r="C983" i="47" s="1"/>
  <c r="D982" i="47"/>
  <c r="C982" i="47"/>
  <c r="D981" i="47"/>
  <c r="C981" i="47" s="1"/>
  <c r="D980" i="47"/>
  <c r="C980" i="47"/>
  <c r="D979" i="47"/>
  <c r="C979" i="47" s="1"/>
  <c r="D978" i="47"/>
  <c r="C978" i="47" s="1"/>
  <c r="D977" i="47"/>
  <c r="C977" i="47" s="1"/>
  <c r="D976" i="47"/>
  <c r="C976" i="47"/>
  <c r="D975" i="47"/>
  <c r="C975" i="47" s="1"/>
  <c r="D974" i="47"/>
  <c r="C974" i="47"/>
  <c r="D973" i="47"/>
  <c r="C973" i="47" s="1"/>
  <c r="D972" i="47"/>
  <c r="C972" i="47"/>
  <c r="D971" i="47"/>
  <c r="C971" i="47" s="1"/>
  <c r="D970" i="47"/>
  <c r="C970" i="47" s="1"/>
  <c r="D969" i="47"/>
  <c r="C969" i="47" s="1"/>
  <c r="D968" i="47"/>
  <c r="C968" i="47"/>
  <c r="D967" i="47"/>
  <c r="C967" i="47" s="1"/>
  <c r="D966" i="47"/>
  <c r="C966" i="47"/>
  <c r="D965" i="47"/>
  <c r="C965" i="47" s="1"/>
  <c r="D964" i="47"/>
  <c r="C964" i="47"/>
  <c r="D963" i="47"/>
  <c r="C963" i="47" s="1"/>
  <c r="D962" i="47"/>
  <c r="C962" i="47" s="1"/>
  <c r="D961" i="47"/>
  <c r="C961" i="47" s="1"/>
  <c r="D960" i="47"/>
  <c r="C960" i="47" s="1"/>
  <c r="D959" i="47"/>
  <c r="C959" i="47" s="1"/>
  <c r="D958" i="47"/>
  <c r="C958" i="47"/>
  <c r="D957" i="47"/>
  <c r="C957" i="47" s="1"/>
  <c r="D956" i="47"/>
  <c r="C956" i="47"/>
  <c r="D955" i="47"/>
  <c r="C955" i="47" s="1"/>
  <c r="D954" i="47"/>
  <c r="C954" i="47" s="1"/>
  <c r="D953" i="47"/>
  <c r="C953" i="47" s="1"/>
  <c r="D952" i="47"/>
  <c r="C952" i="47"/>
  <c r="D951" i="47"/>
  <c r="C951" i="47" s="1"/>
  <c r="D950" i="47"/>
  <c r="C950" i="47" s="1"/>
  <c r="D949" i="47"/>
  <c r="C949" i="47" s="1"/>
  <c r="D948" i="47"/>
  <c r="C948" i="47"/>
  <c r="D947" i="47"/>
  <c r="C947" i="47" s="1"/>
  <c r="D946" i="47"/>
  <c r="C946" i="47" s="1"/>
  <c r="D945" i="47"/>
  <c r="C945" i="47" s="1"/>
  <c r="D944" i="47"/>
  <c r="C944" i="47" s="1"/>
  <c r="D943" i="47"/>
  <c r="C943" i="47" s="1"/>
  <c r="D942" i="47"/>
  <c r="C942" i="47"/>
  <c r="D941" i="47"/>
  <c r="C941" i="47" s="1"/>
  <c r="D940" i="47"/>
  <c r="C940" i="47"/>
  <c r="D939" i="47"/>
  <c r="C939" i="47" s="1"/>
  <c r="D938" i="47"/>
  <c r="C938" i="47" s="1"/>
  <c r="D937" i="47"/>
  <c r="C937" i="47" s="1"/>
  <c r="D936" i="47"/>
  <c r="C936" i="47"/>
  <c r="D935" i="47"/>
  <c r="C935" i="47" s="1"/>
  <c r="D934" i="47"/>
  <c r="C934" i="47" s="1"/>
  <c r="D933" i="47"/>
  <c r="C933" i="47" s="1"/>
  <c r="D932" i="47"/>
  <c r="C932" i="47"/>
  <c r="D931" i="47"/>
  <c r="C931" i="47" s="1"/>
  <c r="D930" i="47"/>
  <c r="C930" i="47" s="1"/>
  <c r="D929" i="47"/>
  <c r="C929" i="47" s="1"/>
  <c r="D928" i="47"/>
  <c r="C928" i="47" s="1"/>
  <c r="D927" i="47"/>
  <c r="C927" i="47" s="1"/>
  <c r="D926" i="47"/>
  <c r="C926" i="47"/>
  <c r="D925" i="47"/>
  <c r="C925" i="47" s="1"/>
  <c r="D924" i="47"/>
  <c r="C924" i="47"/>
  <c r="D923" i="47"/>
  <c r="C923" i="47" s="1"/>
  <c r="D922" i="47"/>
  <c r="C922" i="47" s="1"/>
  <c r="D921" i="47"/>
  <c r="C921" i="47" s="1"/>
  <c r="D920" i="47"/>
  <c r="C920" i="47"/>
  <c r="D919" i="47"/>
  <c r="C919" i="47" s="1"/>
  <c r="D918" i="47"/>
  <c r="C918" i="47" s="1"/>
  <c r="D917" i="47"/>
  <c r="C917" i="47" s="1"/>
  <c r="D916" i="47"/>
  <c r="C916" i="47"/>
  <c r="D915" i="47"/>
  <c r="C915" i="47" s="1"/>
  <c r="D914" i="47"/>
  <c r="C914" i="47" s="1"/>
  <c r="D913" i="47"/>
  <c r="C913" i="47" s="1"/>
  <c r="D912" i="47"/>
  <c r="C912" i="47" s="1"/>
  <c r="D911" i="47"/>
  <c r="C911" i="47" s="1"/>
  <c r="D910" i="47"/>
  <c r="C910" i="47"/>
  <c r="D909" i="47"/>
  <c r="C909" i="47" s="1"/>
  <c r="D908" i="47"/>
  <c r="C908" i="47"/>
  <c r="D907" i="47"/>
  <c r="C907" i="47" s="1"/>
  <c r="D906" i="47"/>
  <c r="C906" i="47" s="1"/>
  <c r="D905" i="47"/>
  <c r="C905" i="47" s="1"/>
  <c r="D904" i="47"/>
  <c r="C904" i="47"/>
  <c r="D903" i="47"/>
  <c r="C903" i="47" s="1"/>
  <c r="D902" i="47"/>
  <c r="C902" i="47" s="1"/>
  <c r="D901" i="47"/>
  <c r="C901" i="47" s="1"/>
  <c r="D900" i="47"/>
  <c r="C900" i="47"/>
  <c r="D899" i="47"/>
  <c r="C899" i="47" s="1"/>
  <c r="D898" i="47"/>
  <c r="C898" i="47" s="1"/>
  <c r="D897" i="47"/>
  <c r="C897" i="47" s="1"/>
  <c r="D896" i="47"/>
  <c r="C896" i="47"/>
  <c r="D895" i="47"/>
  <c r="C895" i="47" s="1"/>
  <c r="D894" i="47"/>
  <c r="C894" i="47" s="1"/>
  <c r="D893" i="47"/>
  <c r="C893" i="47" s="1"/>
  <c r="D892" i="47"/>
  <c r="C892" i="47"/>
  <c r="D891" i="47"/>
  <c r="C891" i="47" s="1"/>
  <c r="D890" i="47"/>
  <c r="C890" i="47" s="1"/>
  <c r="D889" i="47"/>
  <c r="C889" i="47" s="1"/>
  <c r="D888" i="47"/>
  <c r="C888" i="47"/>
  <c r="D887" i="47"/>
  <c r="C887" i="47" s="1"/>
  <c r="D886" i="47"/>
  <c r="C886" i="47" s="1"/>
  <c r="D885" i="47"/>
  <c r="C885" i="47" s="1"/>
  <c r="D884" i="47"/>
  <c r="C884" i="47"/>
  <c r="D883" i="47"/>
  <c r="C883" i="47" s="1"/>
  <c r="D882" i="47"/>
  <c r="C882" i="47" s="1"/>
  <c r="D881" i="47"/>
  <c r="C881" i="47" s="1"/>
  <c r="D880" i="47"/>
  <c r="C880" i="47"/>
  <c r="D879" i="47"/>
  <c r="C879" i="47" s="1"/>
  <c r="D878" i="47"/>
  <c r="C878" i="47" s="1"/>
  <c r="D877" i="47"/>
  <c r="C877" i="47" s="1"/>
  <c r="D876" i="47"/>
  <c r="C876" i="47"/>
  <c r="D875" i="47"/>
  <c r="C875" i="47" s="1"/>
  <c r="D874" i="47"/>
  <c r="C874" i="47" s="1"/>
  <c r="D873" i="47"/>
  <c r="C873" i="47" s="1"/>
  <c r="D872" i="47"/>
  <c r="C872" i="47"/>
  <c r="D871" i="47"/>
  <c r="C871" i="47" s="1"/>
  <c r="D870" i="47"/>
  <c r="C870" i="47" s="1"/>
  <c r="D869" i="47"/>
  <c r="C869" i="47" s="1"/>
  <c r="D868" i="47"/>
  <c r="C868" i="47"/>
  <c r="D867" i="47"/>
  <c r="C867" i="47" s="1"/>
  <c r="D866" i="47"/>
  <c r="C866" i="47" s="1"/>
  <c r="D865" i="47"/>
  <c r="C865" i="47" s="1"/>
  <c r="D864" i="47"/>
  <c r="C864" i="47"/>
  <c r="D863" i="47"/>
  <c r="C863" i="47" s="1"/>
  <c r="D862" i="47"/>
  <c r="C862" i="47" s="1"/>
  <c r="D861" i="47"/>
  <c r="C861" i="47" s="1"/>
  <c r="D860" i="47"/>
  <c r="C860" i="47"/>
  <c r="D859" i="47"/>
  <c r="C859" i="47" s="1"/>
  <c r="D858" i="47"/>
  <c r="C858" i="47" s="1"/>
  <c r="D857" i="47"/>
  <c r="C857" i="47" s="1"/>
  <c r="D856" i="47"/>
  <c r="C856" i="47"/>
  <c r="D855" i="47"/>
  <c r="C855" i="47" s="1"/>
  <c r="D854" i="47"/>
  <c r="C854" i="47" s="1"/>
  <c r="D853" i="47"/>
  <c r="C853" i="47" s="1"/>
  <c r="D852" i="47"/>
  <c r="C852" i="47"/>
  <c r="D851" i="47"/>
  <c r="C851" i="47" s="1"/>
  <c r="D850" i="47"/>
  <c r="C850" i="47" s="1"/>
  <c r="D849" i="47"/>
  <c r="C849" i="47" s="1"/>
  <c r="D848" i="47"/>
  <c r="C848" i="47"/>
  <c r="D847" i="47"/>
  <c r="C847" i="47" s="1"/>
  <c r="D846" i="47"/>
  <c r="C846" i="47" s="1"/>
  <c r="D845" i="47"/>
  <c r="C845" i="47" s="1"/>
  <c r="D844" i="47"/>
  <c r="C844" i="47"/>
  <c r="D843" i="47"/>
  <c r="C843" i="47" s="1"/>
  <c r="D842" i="47"/>
  <c r="C842" i="47" s="1"/>
  <c r="D841" i="47"/>
  <c r="C841" i="47" s="1"/>
  <c r="D840" i="47"/>
  <c r="C840" i="47"/>
  <c r="D839" i="47"/>
  <c r="C839" i="47" s="1"/>
  <c r="D838" i="47"/>
  <c r="C838" i="47" s="1"/>
  <c r="D837" i="47"/>
  <c r="C837" i="47" s="1"/>
  <c r="D836" i="47"/>
  <c r="C836" i="47"/>
  <c r="D835" i="47"/>
  <c r="C835" i="47" s="1"/>
  <c r="D834" i="47"/>
  <c r="C834" i="47" s="1"/>
  <c r="D833" i="47"/>
  <c r="C833" i="47" s="1"/>
  <c r="D832" i="47"/>
  <c r="C832" i="47"/>
  <c r="D831" i="47"/>
  <c r="C831" i="47" s="1"/>
  <c r="D830" i="47"/>
  <c r="C830" i="47" s="1"/>
  <c r="D829" i="47"/>
  <c r="C829" i="47" s="1"/>
  <c r="D828" i="47"/>
  <c r="C828" i="47"/>
  <c r="D827" i="47"/>
  <c r="C827" i="47" s="1"/>
  <c r="D826" i="47"/>
  <c r="C826" i="47" s="1"/>
  <c r="D825" i="47"/>
  <c r="C825" i="47" s="1"/>
  <c r="D824" i="47"/>
  <c r="C824" i="47"/>
  <c r="D823" i="47"/>
  <c r="C823" i="47" s="1"/>
  <c r="D822" i="47"/>
  <c r="C822" i="47" s="1"/>
  <c r="D821" i="47"/>
  <c r="C821" i="47" s="1"/>
  <c r="D820" i="47"/>
  <c r="C820" i="47"/>
  <c r="D819" i="47"/>
  <c r="C819" i="47" s="1"/>
  <c r="D818" i="47"/>
  <c r="C818" i="47" s="1"/>
  <c r="D817" i="47"/>
  <c r="C817" i="47" s="1"/>
  <c r="D816" i="47"/>
  <c r="C816" i="47"/>
  <c r="D815" i="47"/>
  <c r="C815" i="47" s="1"/>
  <c r="D814" i="47"/>
  <c r="C814" i="47" s="1"/>
  <c r="D813" i="47"/>
  <c r="C813" i="47" s="1"/>
  <c r="D812" i="47"/>
  <c r="C812" i="47"/>
  <c r="D811" i="47"/>
  <c r="C811" i="47" s="1"/>
  <c r="D810" i="47"/>
  <c r="C810" i="47" s="1"/>
  <c r="D809" i="47"/>
  <c r="C809" i="47" s="1"/>
  <c r="D808" i="47"/>
  <c r="C808" i="47"/>
  <c r="D807" i="47"/>
  <c r="C807" i="47" s="1"/>
  <c r="D806" i="47"/>
  <c r="C806" i="47" s="1"/>
  <c r="D805" i="47"/>
  <c r="C805" i="47" s="1"/>
  <c r="D804" i="47"/>
  <c r="C804" i="47"/>
  <c r="D803" i="47"/>
  <c r="C803" i="47" s="1"/>
  <c r="D802" i="47"/>
  <c r="C802" i="47" s="1"/>
  <c r="D801" i="47"/>
  <c r="C801" i="47" s="1"/>
  <c r="D800" i="47"/>
  <c r="C800" i="47"/>
  <c r="D799" i="47"/>
  <c r="C799" i="47" s="1"/>
  <c r="D798" i="47"/>
  <c r="C798" i="47" s="1"/>
  <c r="D797" i="47"/>
  <c r="C797" i="47" s="1"/>
  <c r="D796" i="47"/>
  <c r="C796" i="47"/>
  <c r="D795" i="47"/>
  <c r="C795" i="47" s="1"/>
  <c r="D794" i="47"/>
  <c r="C794" i="47" s="1"/>
  <c r="D793" i="47"/>
  <c r="C793" i="47" s="1"/>
  <c r="D792" i="47"/>
  <c r="C792" i="47"/>
  <c r="D791" i="47"/>
  <c r="C791" i="47" s="1"/>
  <c r="D790" i="47"/>
  <c r="C790" i="47" s="1"/>
  <c r="D789" i="47"/>
  <c r="C789" i="47" s="1"/>
  <c r="D788" i="47"/>
  <c r="C788" i="47"/>
  <c r="D787" i="47"/>
  <c r="C787" i="47" s="1"/>
  <c r="D786" i="47"/>
  <c r="C786" i="47" s="1"/>
  <c r="D785" i="47"/>
  <c r="C785" i="47" s="1"/>
  <c r="D784" i="47"/>
  <c r="C784" i="47"/>
  <c r="D783" i="47"/>
  <c r="C783" i="47" s="1"/>
  <c r="D782" i="47"/>
  <c r="C782" i="47" s="1"/>
  <c r="D781" i="47"/>
  <c r="C781" i="47" s="1"/>
  <c r="D780" i="47"/>
  <c r="C780" i="47"/>
  <c r="D779" i="47"/>
  <c r="C779" i="47" s="1"/>
  <c r="D778" i="47"/>
  <c r="C778" i="47" s="1"/>
  <c r="D777" i="47"/>
  <c r="C777" i="47" s="1"/>
  <c r="D776" i="47"/>
  <c r="C776" i="47"/>
  <c r="D775" i="47"/>
  <c r="C775" i="47" s="1"/>
  <c r="D774" i="47"/>
  <c r="C774" i="47" s="1"/>
  <c r="D773" i="47"/>
  <c r="C773" i="47" s="1"/>
  <c r="D772" i="47"/>
  <c r="C772" i="47"/>
  <c r="D771" i="47"/>
  <c r="C771" i="47" s="1"/>
  <c r="D770" i="47"/>
  <c r="C770" i="47" s="1"/>
  <c r="D769" i="47"/>
  <c r="C769" i="47" s="1"/>
  <c r="D768" i="47"/>
  <c r="C768" i="47"/>
  <c r="D767" i="47"/>
  <c r="C767" i="47" s="1"/>
  <c r="D766" i="47"/>
  <c r="C766" i="47" s="1"/>
  <c r="D765" i="47"/>
  <c r="C765" i="47" s="1"/>
  <c r="D764" i="47"/>
  <c r="C764" i="47"/>
  <c r="D763" i="47"/>
  <c r="C763" i="47" s="1"/>
  <c r="D762" i="47"/>
  <c r="C762" i="47" s="1"/>
  <c r="D761" i="47"/>
  <c r="C761" i="47" s="1"/>
  <c r="D760" i="47"/>
  <c r="C760" i="47"/>
  <c r="D759" i="47"/>
  <c r="C759" i="47" s="1"/>
  <c r="D758" i="47"/>
  <c r="C758" i="47" s="1"/>
  <c r="D757" i="47"/>
  <c r="C757" i="47" s="1"/>
  <c r="D756" i="47"/>
  <c r="C756" i="47"/>
  <c r="D755" i="47"/>
  <c r="C755" i="47" s="1"/>
  <c r="D754" i="47"/>
  <c r="C754" i="47" s="1"/>
  <c r="D753" i="47"/>
  <c r="C753" i="47" s="1"/>
  <c r="D752" i="47"/>
  <c r="C752" i="47"/>
  <c r="D751" i="47"/>
  <c r="C751" i="47"/>
  <c r="D750" i="47"/>
  <c r="C750" i="47"/>
  <c r="D749" i="47"/>
  <c r="C749" i="47"/>
  <c r="D748" i="47"/>
  <c r="C748" i="47"/>
  <c r="D747" i="47"/>
  <c r="C747" i="47"/>
  <c r="D746" i="47"/>
  <c r="C746" i="47"/>
  <c r="D745" i="47"/>
  <c r="C745" i="47"/>
  <c r="D744" i="47"/>
  <c r="C744" i="47"/>
  <c r="D743" i="47"/>
  <c r="C743" i="47"/>
  <c r="D742" i="47"/>
  <c r="C742" i="47"/>
  <c r="D741" i="47"/>
  <c r="C741" i="47"/>
  <c r="D740" i="47"/>
  <c r="C740" i="47"/>
  <c r="D739" i="47"/>
  <c r="C739" i="47"/>
  <c r="D738" i="47"/>
  <c r="C738" i="47"/>
  <c r="D737" i="47"/>
  <c r="C737" i="47"/>
  <c r="D736" i="47"/>
  <c r="C736" i="47"/>
  <c r="D735" i="47"/>
  <c r="C735" i="47"/>
  <c r="D734" i="47"/>
  <c r="C734" i="47"/>
  <c r="D733" i="47"/>
  <c r="C733" i="47"/>
  <c r="D732" i="47"/>
  <c r="C732" i="47"/>
  <c r="D731" i="47"/>
  <c r="C731" i="47"/>
  <c r="D730" i="47"/>
  <c r="C730" i="47"/>
  <c r="D729" i="47"/>
  <c r="C729" i="47"/>
  <c r="D728" i="47"/>
  <c r="C728" i="47"/>
  <c r="D727" i="47"/>
  <c r="C727" i="47"/>
  <c r="D726" i="47"/>
  <c r="C726" i="47"/>
  <c r="D725" i="47"/>
  <c r="C725" i="47"/>
  <c r="D724" i="47"/>
  <c r="C724" i="47"/>
  <c r="D723" i="47"/>
  <c r="C723" i="47"/>
  <c r="D722" i="47"/>
  <c r="C722" i="47"/>
  <c r="D721" i="47"/>
  <c r="C721" i="47"/>
  <c r="D720" i="47"/>
  <c r="C720" i="47"/>
  <c r="D719" i="47"/>
  <c r="C719" i="47"/>
  <c r="D718" i="47"/>
  <c r="C718" i="47"/>
  <c r="D717" i="47"/>
  <c r="C717" i="47"/>
  <c r="D716" i="47"/>
  <c r="C716" i="47"/>
  <c r="D715" i="47"/>
  <c r="C715" i="47"/>
  <c r="D714" i="47"/>
  <c r="C714" i="47"/>
  <c r="D713" i="47"/>
  <c r="C713" i="47"/>
  <c r="D712" i="47"/>
  <c r="C712" i="47"/>
  <c r="D711" i="47"/>
  <c r="C711" i="47"/>
  <c r="D710" i="47"/>
  <c r="C710" i="47"/>
  <c r="D709" i="47"/>
  <c r="C709" i="47"/>
  <c r="D708" i="47"/>
  <c r="C708" i="47"/>
  <c r="D707" i="47"/>
  <c r="C707" i="47"/>
  <c r="D706" i="47"/>
  <c r="C706" i="47"/>
  <c r="D705" i="47"/>
  <c r="C705" i="47"/>
  <c r="D704" i="47"/>
  <c r="C704" i="47"/>
  <c r="D703" i="47"/>
  <c r="C703" i="47"/>
  <c r="D702" i="47"/>
  <c r="C702" i="47"/>
  <c r="D701" i="47"/>
  <c r="C701" i="47"/>
  <c r="D700" i="47"/>
  <c r="C700" i="47"/>
  <c r="D699" i="47"/>
  <c r="C699" i="47"/>
  <c r="D698" i="47"/>
  <c r="C698" i="47"/>
  <c r="D697" i="47"/>
  <c r="C697" i="47"/>
  <c r="D696" i="47"/>
  <c r="C696" i="47"/>
  <c r="D695" i="47"/>
  <c r="C695" i="47"/>
  <c r="D694" i="47"/>
  <c r="C694" i="47"/>
  <c r="D693" i="47"/>
  <c r="C693" i="47"/>
  <c r="D692" i="47"/>
  <c r="C692" i="47"/>
  <c r="D691" i="47"/>
  <c r="C691" i="47"/>
  <c r="D690" i="47"/>
  <c r="C690" i="47"/>
  <c r="D689" i="47"/>
  <c r="C689" i="47"/>
  <c r="D688" i="47"/>
  <c r="C688" i="47"/>
  <c r="D687" i="47"/>
  <c r="C687" i="47"/>
  <c r="D686" i="47"/>
  <c r="C686" i="47"/>
  <c r="D685" i="47"/>
  <c r="C685" i="47"/>
  <c r="D684" i="47"/>
  <c r="C684" i="47"/>
  <c r="D683" i="47"/>
  <c r="C683" i="47"/>
  <c r="D682" i="47"/>
  <c r="C682" i="47"/>
  <c r="D681" i="47"/>
  <c r="C681" i="47"/>
  <c r="D680" i="47"/>
  <c r="C680" i="47"/>
  <c r="D679" i="47"/>
  <c r="C679" i="47"/>
  <c r="D678" i="47"/>
  <c r="C678" i="47"/>
  <c r="D677" i="47"/>
  <c r="C677" i="47"/>
  <c r="D676" i="47"/>
  <c r="C676" i="47"/>
  <c r="D675" i="47"/>
  <c r="C675" i="47"/>
  <c r="D674" i="47"/>
  <c r="C674" i="47"/>
  <c r="D673" i="47"/>
  <c r="C673" i="47"/>
  <c r="D672" i="47"/>
  <c r="C672" i="47"/>
  <c r="D671" i="47"/>
  <c r="C671" i="47"/>
  <c r="D670" i="47"/>
  <c r="C670" i="47"/>
  <c r="D669" i="47"/>
  <c r="C669" i="47"/>
  <c r="D668" i="47"/>
  <c r="C668" i="47"/>
  <c r="D667" i="47"/>
  <c r="C667" i="47"/>
  <c r="D666" i="47"/>
  <c r="C666" i="47"/>
  <c r="D665" i="47"/>
  <c r="C665" i="47"/>
  <c r="D664" i="47"/>
  <c r="C664" i="47"/>
  <c r="D663" i="47"/>
  <c r="C663" i="47"/>
  <c r="D662" i="47"/>
  <c r="C662" i="47"/>
  <c r="D661" i="47"/>
  <c r="C661" i="47"/>
  <c r="D660" i="47"/>
  <c r="C660" i="47"/>
  <c r="D659" i="47"/>
  <c r="C659" i="47"/>
  <c r="D658" i="47"/>
  <c r="C658" i="47"/>
  <c r="D657" i="47"/>
  <c r="C657" i="47"/>
  <c r="D656" i="47"/>
  <c r="C656" i="47"/>
  <c r="D655" i="47"/>
  <c r="C655" i="47"/>
  <c r="D654" i="47"/>
  <c r="C654" i="47"/>
  <c r="D653" i="47"/>
  <c r="C653" i="47"/>
  <c r="D652" i="47"/>
  <c r="C652" i="47"/>
  <c r="D651" i="47"/>
  <c r="C651" i="47"/>
  <c r="D650" i="47"/>
  <c r="C650" i="47"/>
  <c r="D649" i="47"/>
  <c r="C649" i="47"/>
  <c r="D648" i="47"/>
  <c r="C648" i="47"/>
  <c r="D647" i="47"/>
  <c r="C647" i="47"/>
  <c r="D646" i="47"/>
  <c r="C646" i="47"/>
  <c r="D645" i="47"/>
  <c r="C645" i="47"/>
  <c r="D644" i="47"/>
  <c r="C644" i="47"/>
  <c r="D643" i="47"/>
  <c r="C643" i="47"/>
  <c r="D642" i="47"/>
  <c r="C642" i="47"/>
  <c r="D641" i="47"/>
  <c r="C641" i="47"/>
  <c r="D640" i="47"/>
  <c r="C640" i="47"/>
  <c r="D639" i="47"/>
  <c r="C639" i="47"/>
  <c r="D638" i="47"/>
  <c r="C638" i="47"/>
  <c r="D637" i="47"/>
  <c r="C637" i="47"/>
  <c r="D636" i="47"/>
  <c r="C636" i="47"/>
  <c r="D635" i="47"/>
  <c r="C635" i="47"/>
  <c r="D634" i="47"/>
  <c r="C634" i="47"/>
  <c r="D633" i="47"/>
  <c r="C633" i="47"/>
  <c r="D632" i="47"/>
  <c r="C632" i="47"/>
  <c r="D631" i="47"/>
  <c r="C631" i="47"/>
  <c r="D630" i="47"/>
  <c r="C630" i="47"/>
  <c r="D629" i="47"/>
  <c r="C629" i="47"/>
  <c r="D628" i="47"/>
  <c r="C628" i="47"/>
  <c r="D627" i="47"/>
  <c r="C627" i="47"/>
  <c r="D626" i="47"/>
  <c r="C626" i="47"/>
  <c r="D625" i="47"/>
  <c r="C625" i="47"/>
  <c r="D624" i="47"/>
  <c r="C624" i="47"/>
  <c r="D623" i="47"/>
  <c r="C623" i="47"/>
  <c r="D622" i="47"/>
  <c r="C622" i="47"/>
  <c r="D621" i="47"/>
  <c r="C621" i="47"/>
  <c r="D620" i="47"/>
  <c r="C620" i="47"/>
  <c r="D619" i="47"/>
  <c r="C619" i="47"/>
  <c r="D618" i="47"/>
  <c r="C618" i="47"/>
  <c r="D617" i="47"/>
  <c r="C617" i="47"/>
  <c r="D616" i="47"/>
  <c r="C616" i="47"/>
  <c r="D615" i="47"/>
  <c r="C615" i="47"/>
  <c r="D614" i="47"/>
  <c r="C614" i="47"/>
  <c r="D613" i="47"/>
  <c r="C613" i="47"/>
  <c r="D612" i="47"/>
  <c r="C612" i="47"/>
  <c r="D611" i="47"/>
  <c r="C611" i="47"/>
  <c r="D610" i="47"/>
  <c r="C610" i="47"/>
  <c r="D609" i="47"/>
  <c r="C609" i="47"/>
  <c r="D608" i="47"/>
  <c r="C608" i="47"/>
  <c r="D607" i="47"/>
  <c r="C607" i="47"/>
  <c r="D606" i="47"/>
  <c r="C606" i="47"/>
  <c r="D605" i="47"/>
  <c r="C605" i="47"/>
  <c r="D604" i="47"/>
  <c r="C604" i="47"/>
  <c r="D603" i="47"/>
  <c r="C603" i="47"/>
  <c r="D602" i="47"/>
  <c r="C602" i="47"/>
  <c r="D601" i="47"/>
  <c r="C601" i="47"/>
  <c r="D600" i="47"/>
  <c r="C600" i="47"/>
  <c r="D599" i="47"/>
  <c r="C599" i="47"/>
  <c r="D598" i="47"/>
  <c r="C598" i="47"/>
  <c r="D597" i="47"/>
  <c r="C597" i="47"/>
  <c r="D596" i="47"/>
  <c r="C596" i="47"/>
  <c r="D595" i="47"/>
  <c r="C595" i="47"/>
  <c r="D594" i="47"/>
  <c r="C594" i="47"/>
  <c r="D593" i="47"/>
  <c r="C593" i="47"/>
  <c r="D592" i="47"/>
  <c r="C592" i="47"/>
  <c r="D591" i="47"/>
  <c r="C591" i="47"/>
  <c r="D590" i="47"/>
  <c r="C590" i="47"/>
  <c r="D589" i="47"/>
  <c r="C589" i="47"/>
  <c r="D588" i="47"/>
  <c r="C588" i="47"/>
  <c r="D587" i="47"/>
  <c r="C587" i="47"/>
  <c r="D586" i="47"/>
  <c r="C586" i="47"/>
  <c r="D585" i="47"/>
  <c r="C585" i="47"/>
  <c r="D584" i="47"/>
  <c r="C584" i="47"/>
  <c r="D583" i="47"/>
  <c r="C583" i="47"/>
  <c r="D582" i="47"/>
  <c r="C582" i="47"/>
  <c r="D581" i="47"/>
  <c r="C581" i="47"/>
  <c r="D580" i="47"/>
  <c r="C580" i="47"/>
  <c r="D579" i="47"/>
  <c r="C579" i="47"/>
  <c r="D578" i="47"/>
  <c r="C578" i="47"/>
  <c r="D577" i="47"/>
  <c r="C577" i="47"/>
  <c r="D576" i="47"/>
  <c r="C576" i="47"/>
  <c r="D575" i="47"/>
  <c r="C575" i="47"/>
  <c r="D574" i="47"/>
  <c r="C574" i="47"/>
  <c r="D573" i="47"/>
  <c r="C573" i="47"/>
  <c r="D572" i="47"/>
  <c r="C572" i="47"/>
  <c r="D571" i="47"/>
  <c r="C571" i="47"/>
  <c r="D570" i="47"/>
  <c r="C570" i="47"/>
  <c r="D569" i="47"/>
  <c r="C569" i="47"/>
  <c r="D568" i="47"/>
  <c r="C568" i="47"/>
  <c r="D567" i="47"/>
  <c r="C567" i="47"/>
  <c r="D566" i="47"/>
  <c r="C566" i="47"/>
  <c r="D565" i="47"/>
  <c r="C565" i="47"/>
  <c r="D564" i="47"/>
  <c r="C564" i="47"/>
  <c r="D563" i="47"/>
  <c r="C563" i="47"/>
  <c r="D562" i="47"/>
  <c r="C562" i="47"/>
  <c r="D561" i="47"/>
  <c r="C561" i="47"/>
  <c r="D560" i="47"/>
  <c r="C560" i="47"/>
  <c r="D559" i="47"/>
  <c r="C559" i="47"/>
  <c r="D558" i="47"/>
  <c r="C558" i="47"/>
  <c r="D557" i="47"/>
  <c r="C557" i="47"/>
  <c r="D556" i="47"/>
  <c r="C556" i="47"/>
  <c r="D555" i="47"/>
  <c r="C555" i="47"/>
  <c r="D554" i="47"/>
  <c r="C554" i="47"/>
  <c r="D553" i="47"/>
  <c r="C553" i="47"/>
  <c r="D552" i="47"/>
  <c r="C552" i="47"/>
  <c r="D551" i="47"/>
  <c r="C551" i="47"/>
  <c r="D550" i="47"/>
  <c r="C550" i="47"/>
  <c r="D549" i="47"/>
  <c r="C549" i="47"/>
  <c r="D548" i="47"/>
  <c r="C548" i="47"/>
  <c r="D547" i="47"/>
  <c r="C547" i="47"/>
  <c r="D546" i="47"/>
  <c r="C546" i="47"/>
  <c r="D545" i="47"/>
  <c r="C545" i="47"/>
  <c r="D544" i="47"/>
  <c r="C544" i="47"/>
  <c r="D543" i="47"/>
  <c r="C543" i="47"/>
  <c r="D542" i="47"/>
  <c r="C542" i="47"/>
  <c r="D541" i="47"/>
  <c r="C541" i="47"/>
  <c r="D540" i="47"/>
  <c r="C540" i="47"/>
  <c r="D539" i="47"/>
  <c r="C539" i="47"/>
  <c r="D538" i="47"/>
  <c r="C538" i="47"/>
  <c r="D537" i="47"/>
  <c r="C537" i="47"/>
  <c r="D536" i="47"/>
  <c r="C536" i="47"/>
  <c r="D535" i="47"/>
  <c r="C535" i="47"/>
  <c r="D534" i="47"/>
  <c r="C534" i="47"/>
  <c r="D533" i="47"/>
  <c r="C533" i="47"/>
  <c r="D532" i="47"/>
  <c r="C532" i="47"/>
  <c r="D531" i="47"/>
  <c r="C531" i="47"/>
  <c r="D530" i="47"/>
  <c r="C530" i="47"/>
  <c r="D529" i="47"/>
  <c r="C529" i="47"/>
  <c r="D528" i="47"/>
  <c r="C528" i="47"/>
  <c r="D527" i="47"/>
  <c r="C527" i="47"/>
  <c r="D526" i="47"/>
  <c r="C526" i="47"/>
  <c r="D525" i="47"/>
  <c r="C525" i="47"/>
  <c r="D524" i="47"/>
  <c r="C524" i="47"/>
  <c r="D523" i="47"/>
  <c r="C523" i="47"/>
  <c r="D522" i="47"/>
  <c r="C522" i="47"/>
  <c r="D521" i="47"/>
  <c r="C521" i="47"/>
  <c r="D520" i="47"/>
  <c r="C520" i="47"/>
  <c r="D519" i="47"/>
  <c r="C519" i="47"/>
  <c r="D518" i="47"/>
  <c r="C518" i="47"/>
  <c r="D517" i="47"/>
  <c r="C517" i="47"/>
  <c r="D516" i="47"/>
  <c r="C516" i="47"/>
  <c r="D515" i="47"/>
  <c r="C515" i="47"/>
  <c r="D514" i="47"/>
  <c r="C514" i="47"/>
  <c r="D513" i="47"/>
  <c r="C513" i="47"/>
  <c r="D512" i="47"/>
  <c r="C512" i="47"/>
  <c r="D511" i="47"/>
  <c r="C511" i="47"/>
  <c r="D510" i="47"/>
  <c r="C510" i="47"/>
  <c r="D509" i="47"/>
  <c r="C509" i="47"/>
  <c r="D508" i="47"/>
  <c r="C508" i="47"/>
  <c r="D507" i="47"/>
  <c r="C507" i="47"/>
  <c r="D506" i="47"/>
  <c r="C506" i="47"/>
  <c r="D505" i="47"/>
  <c r="C505" i="47"/>
  <c r="D504" i="47"/>
  <c r="C504" i="47"/>
  <c r="D503" i="47"/>
  <c r="C503" i="47"/>
  <c r="D502" i="47"/>
  <c r="C502" i="47"/>
  <c r="D501" i="47"/>
  <c r="C501" i="47"/>
  <c r="D500" i="47"/>
  <c r="C500" i="47"/>
  <c r="D499" i="47"/>
  <c r="C499" i="47"/>
  <c r="D498" i="47"/>
  <c r="C498" i="47"/>
  <c r="D497" i="47"/>
  <c r="C497" i="47"/>
  <c r="D496" i="47"/>
  <c r="C496" i="47"/>
  <c r="D495" i="47"/>
  <c r="C495" i="47"/>
  <c r="D494" i="47"/>
  <c r="C494" i="47"/>
  <c r="D493" i="47"/>
  <c r="C493" i="47"/>
  <c r="D492" i="47"/>
  <c r="C492" i="47"/>
  <c r="D491" i="47"/>
  <c r="C491" i="47"/>
  <c r="D490" i="47"/>
  <c r="C490" i="47"/>
  <c r="D489" i="47"/>
  <c r="C489" i="47"/>
  <c r="D488" i="47"/>
  <c r="C488" i="47"/>
  <c r="D487" i="47"/>
  <c r="C487" i="47"/>
  <c r="D486" i="47"/>
  <c r="C486" i="47"/>
  <c r="D485" i="47"/>
  <c r="C485" i="47"/>
  <c r="D484" i="47"/>
  <c r="C484" i="47"/>
  <c r="D483" i="47"/>
  <c r="C483" i="47"/>
  <c r="D482" i="47"/>
  <c r="C482" i="47"/>
  <c r="D481" i="47"/>
  <c r="C481" i="47"/>
  <c r="D480" i="47"/>
  <c r="C480" i="47"/>
  <c r="D479" i="47"/>
  <c r="C479" i="47"/>
  <c r="D478" i="47"/>
  <c r="C478" i="47"/>
  <c r="D477" i="47"/>
  <c r="C477" i="47"/>
  <c r="D476" i="47"/>
  <c r="C476" i="47"/>
  <c r="D475" i="47"/>
  <c r="C475" i="47"/>
  <c r="D474" i="47"/>
  <c r="C474" i="47"/>
  <c r="D473" i="47"/>
  <c r="C473" i="47"/>
  <c r="D472" i="47"/>
  <c r="C472" i="47"/>
  <c r="D471" i="47"/>
  <c r="C471" i="47"/>
  <c r="D470" i="47"/>
  <c r="C470" i="47"/>
  <c r="D469" i="47"/>
  <c r="C469" i="47"/>
  <c r="D468" i="47"/>
  <c r="C468" i="47"/>
  <c r="D467" i="47"/>
  <c r="C467" i="47"/>
  <c r="D466" i="47"/>
  <c r="C466" i="47"/>
  <c r="D465" i="47"/>
  <c r="C465" i="47"/>
  <c r="D464" i="47"/>
  <c r="C464" i="47"/>
  <c r="D463" i="47"/>
  <c r="C463" i="47"/>
  <c r="D462" i="47"/>
  <c r="C462" i="47"/>
  <c r="D461" i="47"/>
  <c r="C461" i="47"/>
  <c r="D460" i="47"/>
  <c r="C460" i="47"/>
  <c r="D459" i="47"/>
  <c r="C459" i="47"/>
  <c r="D458" i="47"/>
  <c r="C458" i="47"/>
  <c r="D457" i="47"/>
  <c r="C457" i="47"/>
  <c r="D456" i="47"/>
  <c r="C456" i="47"/>
  <c r="D455" i="47"/>
  <c r="C455" i="47"/>
  <c r="D454" i="47"/>
  <c r="C454" i="47"/>
  <c r="D453" i="47"/>
  <c r="C453" i="47"/>
  <c r="D452" i="47"/>
  <c r="C452" i="47"/>
  <c r="D451" i="47"/>
  <c r="C451" i="47"/>
  <c r="D450" i="47"/>
  <c r="C450" i="47"/>
  <c r="D449" i="47"/>
  <c r="C449" i="47"/>
  <c r="D448" i="47"/>
  <c r="C448" i="47"/>
  <c r="D447" i="47"/>
  <c r="C447" i="47"/>
  <c r="D446" i="47"/>
  <c r="C446" i="47"/>
  <c r="D445" i="47"/>
  <c r="C445" i="47"/>
  <c r="D444" i="47"/>
  <c r="C444" i="47"/>
  <c r="D443" i="47"/>
  <c r="C443" i="47"/>
  <c r="D442" i="47"/>
  <c r="C442" i="47"/>
  <c r="D441" i="47"/>
  <c r="C441" i="47"/>
  <c r="D440" i="47"/>
  <c r="C440" i="47"/>
  <c r="D439" i="47"/>
  <c r="C439" i="47"/>
  <c r="D438" i="47"/>
  <c r="C438" i="47"/>
  <c r="D437" i="47"/>
  <c r="C437" i="47"/>
  <c r="D436" i="47"/>
  <c r="C436" i="47"/>
  <c r="D435" i="47"/>
  <c r="C435" i="47"/>
  <c r="D434" i="47"/>
  <c r="C434" i="47"/>
  <c r="D433" i="47"/>
  <c r="C433" i="47"/>
  <c r="D432" i="47"/>
  <c r="C432" i="47"/>
  <c r="D431" i="47"/>
  <c r="C431" i="47"/>
  <c r="D430" i="47"/>
  <c r="C430" i="47"/>
  <c r="D429" i="47"/>
  <c r="C429" i="47"/>
  <c r="D428" i="47"/>
  <c r="C428" i="47"/>
  <c r="D427" i="47"/>
  <c r="C427" i="47"/>
  <c r="D426" i="47"/>
  <c r="C426" i="47"/>
  <c r="D425" i="47"/>
  <c r="C425" i="47"/>
  <c r="D424" i="47"/>
  <c r="C424" i="47"/>
  <c r="D423" i="47"/>
  <c r="C423" i="47"/>
  <c r="D422" i="47"/>
  <c r="C422" i="47"/>
  <c r="D421" i="47"/>
  <c r="C421" i="47"/>
  <c r="D420" i="47"/>
  <c r="C420" i="47"/>
  <c r="D419" i="47"/>
  <c r="C419" i="47"/>
  <c r="D418" i="47"/>
  <c r="C418" i="47"/>
  <c r="D417" i="47"/>
  <c r="C417" i="47"/>
  <c r="D416" i="47"/>
  <c r="C416" i="47"/>
  <c r="D415" i="47"/>
  <c r="C415" i="47"/>
  <c r="D414" i="47"/>
  <c r="C414" i="47"/>
  <c r="D413" i="47"/>
  <c r="C413" i="47"/>
  <c r="D412" i="47"/>
  <c r="C412" i="47"/>
  <c r="D411" i="47"/>
  <c r="C411" i="47"/>
  <c r="D410" i="47"/>
  <c r="C410" i="47"/>
  <c r="D409" i="47"/>
  <c r="C409" i="47"/>
  <c r="D408" i="47"/>
  <c r="C408" i="47"/>
  <c r="D407" i="47"/>
  <c r="C407" i="47"/>
  <c r="D406" i="47"/>
  <c r="C406" i="47"/>
  <c r="D405" i="47"/>
  <c r="C405" i="47"/>
  <c r="D404" i="47"/>
  <c r="C404" i="47"/>
  <c r="D403" i="47"/>
  <c r="C403" i="47"/>
  <c r="D402" i="47"/>
  <c r="C402" i="47"/>
  <c r="D401" i="47"/>
  <c r="C401" i="47"/>
  <c r="D400" i="47"/>
  <c r="C400" i="47"/>
  <c r="D399" i="47"/>
  <c r="C399" i="47"/>
  <c r="D398" i="47"/>
  <c r="C398" i="47"/>
  <c r="D397" i="47"/>
  <c r="C397" i="47"/>
  <c r="D396" i="47"/>
  <c r="C396" i="47"/>
  <c r="D395" i="47"/>
  <c r="C395" i="47"/>
  <c r="D394" i="47"/>
  <c r="C394" i="47"/>
  <c r="D393" i="47"/>
  <c r="C393" i="47"/>
  <c r="D392" i="47"/>
  <c r="C392" i="47"/>
  <c r="D391" i="47"/>
  <c r="C391" i="47"/>
  <c r="D390" i="47"/>
  <c r="C390" i="47"/>
  <c r="D389" i="47"/>
  <c r="C389" i="47"/>
  <c r="D388" i="47"/>
  <c r="C388" i="47"/>
  <c r="D387" i="47"/>
  <c r="C387" i="47"/>
  <c r="D386" i="47"/>
  <c r="C386" i="47"/>
  <c r="D385" i="47"/>
  <c r="C385" i="47"/>
  <c r="D384" i="47"/>
  <c r="C384" i="47"/>
  <c r="D383" i="47"/>
  <c r="C383" i="47"/>
  <c r="D382" i="47"/>
  <c r="C382" i="47"/>
  <c r="D381" i="47"/>
  <c r="C381" i="47"/>
  <c r="D380" i="47"/>
  <c r="C380" i="47"/>
  <c r="D379" i="47"/>
  <c r="C379" i="47"/>
  <c r="D378" i="47"/>
  <c r="C378" i="47"/>
  <c r="D377" i="47"/>
  <c r="C377" i="47"/>
  <c r="D376" i="47"/>
  <c r="C376" i="47"/>
  <c r="D375" i="47"/>
  <c r="C375" i="47"/>
  <c r="D374" i="47"/>
  <c r="C374" i="47"/>
  <c r="D373" i="47"/>
  <c r="C373" i="47"/>
  <c r="D372" i="47"/>
  <c r="C372" i="47"/>
  <c r="D371" i="47"/>
  <c r="C371" i="47"/>
  <c r="D370" i="47"/>
  <c r="C370" i="47"/>
  <c r="D369" i="47"/>
  <c r="C369" i="47"/>
  <c r="D368" i="47"/>
  <c r="C368" i="47"/>
  <c r="D367" i="47"/>
  <c r="C367" i="47"/>
  <c r="D366" i="47"/>
  <c r="C366" i="47"/>
  <c r="D365" i="47"/>
  <c r="C365" i="47"/>
  <c r="D364" i="47"/>
  <c r="C364" i="47"/>
  <c r="D363" i="47"/>
  <c r="C363" i="47"/>
  <c r="D362" i="47"/>
  <c r="C362" i="47"/>
  <c r="D361" i="47"/>
  <c r="C361" i="47"/>
  <c r="D360" i="47"/>
  <c r="C360" i="47"/>
  <c r="D359" i="47"/>
  <c r="C359" i="47"/>
  <c r="D358" i="47"/>
  <c r="C358" i="47"/>
  <c r="D357" i="47"/>
  <c r="C357" i="47"/>
  <c r="D356" i="47"/>
  <c r="C356" i="47"/>
  <c r="D355" i="47"/>
  <c r="C355" i="47"/>
  <c r="D354" i="47"/>
  <c r="C354" i="47"/>
  <c r="D353" i="47"/>
  <c r="C353" i="47"/>
  <c r="D352" i="47"/>
  <c r="C352" i="47"/>
  <c r="D351" i="47"/>
  <c r="C351" i="47"/>
  <c r="D350" i="47"/>
  <c r="C350" i="47"/>
  <c r="D349" i="47"/>
  <c r="C349" i="47"/>
  <c r="D348" i="47"/>
  <c r="C348" i="47"/>
  <c r="D347" i="47"/>
  <c r="C347" i="47"/>
  <c r="D346" i="47"/>
  <c r="C346" i="47"/>
  <c r="D345" i="47"/>
  <c r="C345" i="47"/>
  <c r="D344" i="47"/>
  <c r="C344" i="47"/>
  <c r="D343" i="47"/>
  <c r="C343" i="47"/>
  <c r="D342" i="47"/>
  <c r="C342" i="47"/>
  <c r="D341" i="47"/>
  <c r="C341" i="47"/>
  <c r="D340" i="47"/>
  <c r="C340" i="47"/>
  <c r="D339" i="47"/>
  <c r="C339" i="47"/>
  <c r="D338" i="47"/>
  <c r="C338" i="47"/>
  <c r="D337" i="47"/>
  <c r="C337" i="47"/>
  <c r="D336" i="47"/>
  <c r="C336" i="47"/>
  <c r="D335" i="47"/>
  <c r="C335" i="47"/>
  <c r="D334" i="47"/>
  <c r="C334" i="47"/>
  <c r="D333" i="47"/>
  <c r="C333" i="47"/>
  <c r="D332" i="47"/>
  <c r="C332" i="47"/>
  <c r="D331" i="47"/>
  <c r="C331" i="47" s="1"/>
  <c r="D330" i="47"/>
  <c r="C330" i="47"/>
  <c r="D329" i="47"/>
  <c r="C329" i="47" s="1"/>
  <c r="D328" i="47"/>
  <c r="C328" i="47"/>
  <c r="D327" i="47"/>
  <c r="C327" i="47" s="1"/>
  <c r="D326" i="47"/>
  <c r="C326" i="47"/>
  <c r="D325" i="47"/>
  <c r="C325" i="47" s="1"/>
  <c r="D324" i="47"/>
  <c r="C324" i="47"/>
  <c r="D323" i="47"/>
  <c r="C323" i="47" s="1"/>
  <c r="D322" i="47"/>
  <c r="C322" i="47"/>
  <c r="D321" i="47"/>
  <c r="C321" i="47" s="1"/>
  <c r="D320" i="47"/>
  <c r="C320" i="47"/>
  <c r="D319" i="47"/>
  <c r="C319" i="47" s="1"/>
  <c r="D318" i="47"/>
  <c r="C318" i="47"/>
  <c r="D317" i="47"/>
  <c r="C317" i="47" s="1"/>
  <c r="D316" i="47"/>
  <c r="C316" i="47"/>
  <c r="D315" i="47"/>
  <c r="C315" i="47" s="1"/>
  <c r="D314" i="47"/>
  <c r="C314" i="47"/>
  <c r="D313" i="47"/>
  <c r="C313" i="47" s="1"/>
  <c r="D312" i="47"/>
  <c r="C312" i="47"/>
  <c r="D311" i="47"/>
  <c r="C311" i="47" s="1"/>
  <c r="D310" i="47"/>
  <c r="C310" i="47"/>
  <c r="D309" i="47"/>
  <c r="C309" i="47" s="1"/>
  <c r="D308" i="47"/>
  <c r="C308" i="47"/>
  <c r="D307" i="47"/>
  <c r="C307" i="47" s="1"/>
  <c r="D306" i="47"/>
  <c r="C306" i="47"/>
  <c r="D305" i="47"/>
  <c r="C305" i="47" s="1"/>
  <c r="D304" i="47"/>
  <c r="C304" i="47"/>
  <c r="D303" i="47"/>
  <c r="C303" i="47" s="1"/>
  <c r="D302" i="47"/>
  <c r="C302" i="47"/>
  <c r="D301" i="47"/>
  <c r="C301" i="47" s="1"/>
  <c r="D300" i="47"/>
  <c r="C300" i="47"/>
  <c r="D299" i="47"/>
  <c r="C299" i="47" s="1"/>
  <c r="D298" i="47"/>
  <c r="C298" i="47"/>
  <c r="D297" i="47"/>
  <c r="C297" i="47" s="1"/>
  <c r="D296" i="47"/>
  <c r="C296" i="47"/>
  <c r="D295" i="47"/>
  <c r="C295" i="47" s="1"/>
  <c r="D294" i="47"/>
  <c r="C294" i="47"/>
  <c r="D293" i="47"/>
  <c r="C293" i="47" s="1"/>
  <c r="D292" i="47"/>
  <c r="C292" i="47"/>
  <c r="D291" i="47"/>
  <c r="C291" i="47" s="1"/>
  <c r="D290" i="47"/>
  <c r="C290" i="47"/>
  <c r="D289" i="47"/>
  <c r="C289" i="47" s="1"/>
  <c r="D288" i="47"/>
  <c r="C288" i="47"/>
  <c r="D287" i="47"/>
  <c r="C287" i="47" s="1"/>
  <c r="D286" i="47"/>
  <c r="C286" i="47"/>
  <c r="D285" i="47"/>
  <c r="C285" i="47" s="1"/>
  <c r="D284" i="47"/>
  <c r="C284" i="47"/>
  <c r="D283" i="47"/>
  <c r="C283" i="47" s="1"/>
  <c r="D282" i="47"/>
  <c r="C282" i="47"/>
  <c r="D281" i="47"/>
  <c r="C281" i="47" s="1"/>
  <c r="D280" i="47"/>
  <c r="C280" i="47"/>
  <c r="D279" i="47"/>
  <c r="C279" i="47" s="1"/>
  <c r="D278" i="47"/>
  <c r="C278" i="47"/>
  <c r="D277" i="47"/>
  <c r="C277" i="47" s="1"/>
  <c r="D276" i="47"/>
  <c r="C276" i="47"/>
  <c r="D275" i="47"/>
  <c r="C275" i="47" s="1"/>
  <c r="D274" i="47"/>
  <c r="C274" i="47"/>
  <c r="D273" i="47"/>
  <c r="C273" i="47" s="1"/>
  <c r="D272" i="47"/>
  <c r="C272" i="47"/>
  <c r="D271" i="47"/>
  <c r="C271" i="47" s="1"/>
  <c r="D270" i="47"/>
  <c r="C270" i="47"/>
  <c r="D269" i="47"/>
  <c r="C269" i="47" s="1"/>
  <c r="D268" i="47"/>
  <c r="C268" i="47"/>
  <c r="D267" i="47"/>
  <c r="C267" i="47" s="1"/>
  <c r="D266" i="47"/>
  <c r="C266" i="47"/>
  <c r="D265" i="47"/>
  <c r="C265" i="47" s="1"/>
  <c r="D264" i="47"/>
  <c r="C264" i="47"/>
  <c r="D263" i="47"/>
  <c r="C263" i="47" s="1"/>
  <c r="D262" i="47"/>
  <c r="C262" i="47"/>
  <c r="D261" i="47"/>
  <c r="C261" i="47" s="1"/>
  <c r="D260" i="47"/>
  <c r="C260" i="47"/>
  <c r="D259" i="47"/>
  <c r="C259" i="47" s="1"/>
  <c r="D258" i="47"/>
  <c r="C258" i="47"/>
  <c r="D257" i="47"/>
  <c r="C257" i="47" s="1"/>
  <c r="D256" i="47"/>
  <c r="C256" i="47"/>
  <c r="D255" i="47"/>
  <c r="C255" i="47" s="1"/>
  <c r="D254" i="47"/>
  <c r="C254" i="47"/>
  <c r="D253" i="47"/>
  <c r="C253" i="47" s="1"/>
  <c r="D252" i="47"/>
  <c r="C252" i="47"/>
  <c r="D251" i="47"/>
  <c r="C251" i="47" s="1"/>
  <c r="D250" i="47"/>
  <c r="C250" i="47"/>
  <c r="D249" i="47"/>
  <c r="C249" i="47" s="1"/>
  <c r="D248" i="47"/>
  <c r="C248" i="47"/>
  <c r="D247" i="47"/>
  <c r="C247" i="47" s="1"/>
  <c r="D246" i="47"/>
  <c r="C246" i="47"/>
  <c r="D245" i="47"/>
  <c r="C245" i="47" s="1"/>
  <c r="D244" i="47"/>
  <c r="C244" i="47"/>
  <c r="D243" i="47"/>
  <c r="C243" i="47" s="1"/>
  <c r="D242" i="47"/>
  <c r="C242" i="47"/>
  <c r="D241" i="47"/>
  <c r="C241" i="47" s="1"/>
  <c r="D240" i="47"/>
  <c r="C240" i="47"/>
  <c r="D239" i="47"/>
  <c r="C239" i="47" s="1"/>
  <c r="D238" i="47"/>
  <c r="C238" i="47"/>
  <c r="D237" i="47"/>
  <c r="C237" i="47" s="1"/>
  <c r="D236" i="47"/>
  <c r="C236" i="47"/>
  <c r="D235" i="47"/>
  <c r="C235" i="47" s="1"/>
  <c r="D234" i="47"/>
  <c r="C234" i="47"/>
  <c r="D233" i="47"/>
  <c r="C233" i="47" s="1"/>
  <c r="D232" i="47"/>
  <c r="C232" i="47"/>
  <c r="D231" i="47"/>
  <c r="C231" i="47" s="1"/>
  <c r="D230" i="47"/>
  <c r="C230" i="47"/>
  <c r="D229" i="47"/>
  <c r="C229" i="47" s="1"/>
  <c r="D228" i="47"/>
  <c r="C228" i="47"/>
  <c r="D227" i="47"/>
  <c r="C227" i="47" s="1"/>
  <c r="D226" i="47"/>
  <c r="C226" i="47"/>
  <c r="D225" i="47"/>
  <c r="C225" i="47" s="1"/>
  <c r="D224" i="47"/>
  <c r="C224" i="47"/>
  <c r="D223" i="47"/>
  <c r="C223" i="47" s="1"/>
  <c r="D222" i="47"/>
  <c r="C222" i="47"/>
  <c r="D221" i="47"/>
  <c r="C221" i="47" s="1"/>
  <c r="D220" i="47"/>
  <c r="C220" i="47"/>
  <c r="D219" i="47"/>
  <c r="C219" i="47" s="1"/>
  <c r="D218" i="47"/>
  <c r="C218" i="47"/>
  <c r="D217" i="47"/>
  <c r="C217" i="47" s="1"/>
  <c r="D216" i="47"/>
  <c r="C216" i="47"/>
  <c r="D215" i="47"/>
  <c r="C215" i="47" s="1"/>
  <c r="D214" i="47"/>
  <c r="C214" i="47"/>
  <c r="D213" i="47"/>
  <c r="C213" i="47" s="1"/>
  <c r="D212" i="47"/>
  <c r="C212" i="47"/>
  <c r="D211" i="47"/>
  <c r="C211" i="47" s="1"/>
  <c r="D210" i="47"/>
  <c r="C210" i="47"/>
  <c r="D209" i="47"/>
  <c r="C209" i="47" s="1"/>
  <c r="D208" i="47"/>
  <c r="C208" i="47"/>
  <c r="D207" i="47"/>
  <c r="C207" i="47" s="1"/>
  <c r="D206" i="47"/>
  <c r="C206" i="47"/>
  <c r="D205" i="47"/>
  <c r="C205" i="47" s="1"/>
  <c r="D204" i="47"/>
  <c r="C204" i="47"/>
  <c r="D203" i="47"/>
  <c r="C203" i="47" s="1"/>
  <c r="D202" i="47"/>
  <c r="C202" i="47"/>
  <c r="D201" i="47"/>
  <c r="C201" i="47" s="1"/>
  <c r="D200" i="47"/>
  <c r="C200" i="47"/>
  <c r="D199" i="47"/>
  <c r="C199" i="47" s="1"/>
  <c r="D198" i="47"/>
  <c r="C198" i="47"/>
  <c r="D197" i="47"/>
  <c r="C197" i="47" s="1"/>
  <c r="D196" i="47"/>
  <c r="C196" i="47"/>
  <c r="D195" i="47"/>
  <c r="C195" i="47" s="1"/>
  <c r="D194" i="47"/>
  <c r="C194" i="47"/>
  <c r="D193" i="47"/>
  <c r="C193" i="47" s="1"/>
  <c r="D192" i="47"/>
  <c r="C192" i="47"/>
  <c r="D191" i="47"/>
  <c r="C191" i="47" s="1"/>
  <c r="D190" i="47"/>
  <c r="C190" i="47"/>
  <c r="D189" i="47"/>
  <c r="C189" i="47" s="1"/>
  <c r="D188" i="47"/>
  <c r="C188" i="47"/>
  <c r="D187" i="47"/>
  <c r="C187" i="47" s="1"/>
  <c r="D186" i="47"/>
  <c r="C186" i="47"/>
  <c r="D185" i="47"/>
  <c r="C185" i="47" s="1"/>
  <c r="D184" i="47"/>
  <c r="C184" i="47"/>
  <c r="D183" i="47"/>
  <c r="C183" i="47" s="1"/>
  <c r="D182" i="47"/>
  <c r="C182" i="47"/>
  <c r="D181" i="47"/>
  <c r="C181" i="47" s="1"/>
  <c r="D180" i="47"/>
  <c r="C180" i="47"/>
  <c r="D179" i="47"/>
  <c r="C179" i="47" s="1"/>
  <c r="D178" i="47"/>
  <c r="C178" i="47"/>
  <c r="D177" i="47"/>
  <c r="C177" i="47" s="1"/>
  <c r="D176" i="47"/>
  <c r="C176" i="47"/>
  <c r="D175" i="47"/>
  <c r="C175" i="47" s="1"/>
  <c r="D174" i="47"/>
  <c r="C174" i="47"/>
  <c r="D173" i="47"/>
  <c r="C173" i="47" s="1"/>
  <c r="D172" i="47"/>
  <c r="C172" i="47"/>
  <c r="D171" i="47"/>
  <c r="C171" i="47" s="1"/>
  <c r="D170" i="47"/>
  <c r="C170" i="47"/>
  <c r="D169" i="47"/>
  <c r="C169" i="47" s="1"/>
  <c r="D168" i="47"/>
  <c r="C168" i="47"/>
  <c r="D167" i="47"/>
  <c r="C167" i="47" s="1"/>
  <c r="D166" i="47"/>
  <c r="C166" i="47"/>
  <c r="D165" i="47"/>
  <c r="C165" i="47" s="1"/>
  <c r="D164" i="47"/>
  <c r="C164" i="47"/>
  <c r="D163" i="47"/>
  <c r="C163" i="47" s="1"/>
  <c r="D162" i="47"/>
  <c r="C162" i="47"/>
  <c r="D161" i="47"/>
  <c r="C161" i="47" s="1"/>
  <c r="D160" i="47"/>
  <c r="C160" i="47"/>
  <c r="D159" i="47"/>
  <c r="C159" i="47" s="1"/>
  <c r="D158" i="47"/>
  <c r="C158" i="47"/>
  <c r="D157" i="47"/>
  <c r="C157" i="47" s="1"/>
  <c r="D156" i="47"/>
  <c r="C156" i="47"/>
  <c r="D155" i="47"/>
  <c r="C155" i="47" s="1"/>
  <c r="D154" i="47"/>
  <c r="C154" i="47"/>
  <c r="D153" i="47"/>
  <c r="C153" i="47" s="1"/>
  <c r="D152" i="47"/>
  <c r="C152" i="47"/>
  <c r="D151" i="47"/>
  <c r="C151" i="47" s="1"/>
  <c r="D150" i="47"/>
  <c r="C150" i="47"/>
  <c r="D149" i="47"/>
  <c r="C149" i="47" s="1"/>
  <c r="D148" i="47"/>
  <c r="C148" i="47"/>
  <c r="D147" i="47"/>
  <c r="C147" i="47" s="1"/>
  <c r="D146" i="47"/>
  <c r="C146" i="47"/>
  <c r="D145" i="47"/>
  <c r="C145" i="47" s="1"/>
  <c r="D144" i="47"/>
  <c r="C144" i="47"/>
  <c r="D143" i="47"/>
  <c r="C143" i="47" s="1"/>
  <c r="D142" i="47"/>
  <c r="C142" i="47"/>
  <c r="D141" i="47"/>
  <c r="C141" i="47" s="1"/>
  <c r="D140" i="47"/>
  <c r="C140" i="47"/>
  <c r="D139" i="47"/>
  <c r="C139" i="47" s="1"/>
  <c r="D138" i="47"/>
  <c r="C138" i="47"/>
  <c r="D137" i="47"/>
  <c r="C137" i="47" s="1"/>
  <c r="D136" i="47"/>
  <c r="C136" i="47"/>
  <c r="D135" i="47"/>
  <c r="C135" i="47" s="1"/>
  <c r="D134" i="47"/>
  <c r="C134" i="47"/>
  <c r="D133" i="47"/>
  <c r="C133" i="47" s="1"/>
  <c r="D132" i="47"/>
  <c r="C132" i="47"/>
  <c r="D131" i="47"/>
  <c r="C131" i="47" s="1"/>
  <c r="D130" i="47"/>
  <c r="C130" i="47"/>
  <c r="D129" i="47"/>
  <c r="C129" i="47" s="1"/>
  <c r="D128" i="47"/>
  <c r="C128" i="47"/>
  <c r="D127" i="47"/>
  <c r="C127" i="47" s="1"/>
  <c r="D126" i="47"/>
  <c r="C126" i="47"/>
  <c r="D125" i="47"/>
  <c r="C125" i="47" s="1"/>
  <c r="D124" i="47"/>
  <c r="C124" i="47"/>
  <c r="D123" i="47"/>
  <c r="C123" i="47" s="1"/>
  <c r="D122" i="47"/>
  <c r="C122" i="47"/>
  <c r="D121" i="47"/>
  <c r="C121" i="47" s="1"/>
  <c r="D120" i="47"/>
  <c r="C120" i="47"/>
  <c r="D119" i="47"/>
  <c r="C119" i="47" s="1"/>
  <c r="D118" i="47"/>
  <c r="C118" i="47"/>
  <c r="D117" i="47"/>
  <c r="C117" i="47" s="1"/>
  <c r="D116" i="47"/>
  <c r="C116" i="47"/>
  <c r="D115" i="47"/>
  <c r="C115" i="47" s="1"/>
  <c r="D114" i="47"/>
  <c r="C114" i="47"/>
  <c r="D113" i="47"/>
  <c r="C113" i="47" s="1"/>
  <c r="D112" i="47"/>
  <c r="C112" i="47"/>
  <c r="D111" i="47"/>
  <c r="C111" i="47" s="1"/>
  <c r="D110" i="47"/>
  <c r="C110" i="47"/>
  <c r="D109" i="47"/>
  <c r="C109" i="47" s="1"/>
  <c r="D108" i="47"/>
  <c r="C108" i="47"/>
  <c r="D107" i="47"/>
  <c r="C107" i="47" s="1"/>
  <c r="D106" i="47"/>
  <c r="C106" i="47"/>
  <c r="D105" i="47"/>
  <c r="C105" i="47" s="1"/>
  <c r="D104" i="47"/>
  <c r="C104" i="47"/>
  <c r="D103" i="47"/>
  <c r="C103" i="47" s="1"/>
  <c r="D102" i="47"/>
  <c r="C102" i="47"/>
  <c r="D101" i="47"/>
  <c r="C101" i="47" s="1"/>
  <c r="D100" i="47"/>
  <c r="C100" i="47"/>
  <c r="D99" i="47"/>
  <c r="C99" i="47" s="1"/>
  <c r="D98" i="47"/>
  <c r="C98" i="47"/>
  <c r="D97" i="47"/>
  <c r="C97" i="47" s="1"/>
  <c r="D96" i="47"/>
  <c r="C96" i="47"/>
  <c r="D95" i="47"/>
  <c r="C95" i="47" s="1"/>
  <c r="D94" i="47"/>
  <c r="C94" i="47"/>
  <c r="D93" i="47"/>
  <c r="C93" i="47" s="1"/>
  <c r="D92" i="47"/>
  <c r="C92" i="47"/>
  <c r="D91" i="47"/>
  <c r="C91" i="47" s="1"/>
  <c r="D90" i="47"/>
  <c r="C90" i="47"/>
  <c r="D89" i="47"/>
  <c r="C89" i="47" s="1"/>
  <c r="D88" i="47"/>
  <c r="C88" i="47"/>
  <c r="D87" i="47"/>
  <c r="C87" i="47" s="1"/>
  <c r="D86" i="47"/>
  <c r="C86" i="47"/>
  <c r="D85" i="47"/>
  <c r="C85" i="47" s="1"/>
  <c r="D84" i="47"/>
  <c r="C84" i="47"/>
  <c r="D83" i="47"/>
  <c r="C83" i="47" s="1"/>
  <c r="D82" i="47"/>
  <c r="C82" i="47"/>
  <c r="D81" i="47"/>
  <c r="C81" i="47" s="1"/>
  <c r="D80" i="47"/>
  <c r="C80" i="47"/>
  <c r="D79" i="47"/>
  <c r="C79" i="47" s="1"/>
  <c r="D78" i="47"/>
  <c r="C78" i="47"/>
  <c r="D77" i="47"/>
  <c r="C77" i="47" s="1"/>
  <c r="D76" i="47"/>
  <c r="C76" i="47"/>
  <c r="D75" i="47"/>
  <c r="C75" i="47" s="1"/>
  <c r="D74" i="47"/>
  <c r="C74" i="47"/>
  <c r="D73" i="47"/>
  <c r="C73" i="47" s="1"/>
  <c r="D72" i="47"/>
  <c r="C72" i="47"/>
  <c r="D71" i="47"/>
  <c r="C71" i="47" s="1"/>
  <c r="D70" i="47"/>
  <c r="C70" i="47"/>
  <c r="D69" i="47"/>
  <c r="C69" i="47" s="1"/>
  <c r="D68" i="47"/>
  <c r="C68" i="47"/>
  <c r="D67" i="47"/>
  <c r="C67" i="47" s="1"/>
  <c r="D66" i="47"/>
  <c r="C66" i="47"/>
  <c r="D65" i="47"/>
  <c r="C65" i="47" s="1"/>
  <c r="D64" i="47"/>
  <c r="C64" i="47"/>
  <c r="D63" i="47"/>
  <c r="C63" i="47" s="1"/>
  <c r="D62" i="47"/>
  <c r="C62" i="47"/>
  <c r="D61" i="47"/>
  <c r="C61" i="47" s="1"/>
  <c r="D60" i="47"/>
  <c r="C60" i="47"/>
  <c r="D59" i="47"/>
  <c r="C59" i="47" s="1"/>
  <c r="D58" i="47"/>
  <c r="C58" i="47"/>
  <c r="D57" i="47"/>
  <c r="C57" i="47" s="1"/>
  <c r="D56" i="47"/>
  <c r="C56" i="47"/>
  <c r="D55" i="47"/>
  <c r="C55" i="47" s="1"/>
  <c r="D54" i="47"/>
  <c r="C54" i="47"/>
  <c r="D53" i="47"/>
  <c r="C53" i="47" s="1"/>
  <c r="D52" i="47"/>
  <c r="C52" i="47"/>
  <c r="D51" i="47"/>
  <c r="C51" i="47" s="1"/>
  <c r="D50" i="47"/>
  <c r="C50" i="47"/>
  <c r="D49" i="47"/>
  <c r="C49" i="47" s="1"/>
  <c r="D48" i="47"/>
  <c r="C48" i="47"/>
  <c r="D47" i="47"/>
  <c r="C47" i="47" s="1"/>
  <c r="D46" i="47"/>
  <c r="C46" i="47"/>
  <c r="D45" i="47"/>
  <c r="C45" i="47" s="1"/>
  <c r="D44" i="47"/>
  <c r="C44" i="47"/>
  <c r="D43" i="47"/>
  <c r="C43" i="47" s="1"/>
  <c r="D42" i="47"/>
  <c r="C42" i="47"/>
  <c r="D41" i="47"/>
  <c r="C41" i="47" s="1"/>
  <c r="D40" i="47"/>
  <c r="C40" i="47"/>
  <c r="D39" i="47"/>
  <c r="C39" i="47" s="1"/>
  <c r="D38" i="47"/>
  <c r="C38" i="47"/>
  <c r="D37" i="47"/>
  <c r="C37" i="47" s="1"/>
  <c r="D36" i="47"/>
  <c r="C36" i="47"/>
  <c r="D35" i="47"/>
  <c r="C35" i="47" s="1"/>
  <c r="D34" i="47"/>
  <c r="C34" i="47"/>
  <c r="D33" i="47"/>
  <c r="C33" i="47" s="1"/>
  <c r="D32" i="47"/>
  <c r="C32" i="47"/>
  <c r="D31" i="47"/>
  <c r="C31" i="47" s="1"/>
  <c r="D30" i="47"/>
  <c r="C30" i="47"/>
  <c r="D29" i="47"/>
  <c r="C29" i="47" s="1"/>
  <c r="D28" i="47"/>
  <c r="C28" i="47"/>
  <c r="D27" i="47"/>
  <c r="C27" i="47" s="1"/>
  <c r="D26" i="47"/>
  <c r="C26" i="47"/>
  <c r="D25" i="47"/>
  <c r="C25" i="47" s="1"/>
  <c r="D24" i="47"/>
  <c r="C24" i="47"/>
  <c r="D23" i="47"/>
  <c r="C23" i="47" s="1"/>
  <c r="D22" i="47"/>
  <c r="C22" i="47"/>
  <c r="D21" i="47"/>
  <c r="C21" i="47" s="1"/>
  <c r="D20" i="47"/>
  <c r="C20" i="47"/>
  <c r="D19" i="47"/>
  <c r="C19" i="47" s="1"/>
  <c r="D18" i="47"/>
  <c r="C18" i="47"/>
  <c r="D17" i="47"/>
  <c r="C17" i="47" s="1"/>
  <c r="D16" i="47"/>
  <c r="C16" i="47"/>
  <c r="D15" i="47"/>
  <c r="C15" i="47" s="1"/>
  <c r="D14" i="47"/>
  <c r="C14" i="47"/>
  <c r="D13" i="47"/>
  <c r="C13" i="47" s="1"/>
  <c r="D12" i="47"/>
  <c r="C12" i="47"/>
  <c r="D11" i="47"/>
  <c r="C11" i="47" s="1"/>
  <c r="D10" i="47"/>
  <c r="C10" i="47"/>
  <c r="D9" i="47"/>
  <c r="C9" i="47" s="1"/>
  <c r="D8" i="47"/>
  <c r="C8" i="47"/>
  <c r="D7" i="47"/>
  <c r="C7" i="47" s="1"/>
  <c r="D6" i="47"/>
  <c r="C6" i="47"/>
  <c r="D5" i="47"/>
  <c r="C5" i="47" s="1"/>
  <c r="D4" i="47"/>
  <c r="C4" i="47"/>
  <c r="D3" i="47"/>
  <c r="C3" i="47" s="1"/>
  <c r="D2" i="47"/>
  <c r="C2" i="47"/>
  <c r="AF1231" i="48"/>
  <c r="AE1231" i="48"/>
  <c r="AC1231" i="48"/>
  <c r="AB1231" i="48"/>
  <c r="AA1231" i="48"/>
  <c r="AD1231" i="48" s="1"/>
  <c r="Z1231" i="48"/>
  <c r="I1231" i="48"/>
  <c r="H1231" i="48"/>
  <c r="G1231" i="48"/>
  <c r="F1231" i="48"/>
  <c r="AS1231" i="48" s="1"/>
  <c r="E1231" i="48"/>
  <c r="AU1231" i="48" s="1"/>
  <c r="AF1230" i="48"/>
  <c r="AE1230" i="48"/>
  <c r="AC1230" i="48"/>
  <c r="AB1230" i="48"/>
  <c r="AA1230" i="48"/>
  <c r="AD1230" i="48" s="1"/>
  <c r="Z1230" i="48"/>
  <c r="I1230" i="48"/>
  <c r="H1230" i="48"/>
  <c r="G1230" i="48"/>
  <c r="F1230" i="48"/>
  <c r="AS1230" i="48" s="1"/>
  <c r="E1230" i="48"/>
  <c r="AU1230" i="48" s="1"/>
  <c r="AF1229" i="48"/>
  <c r="AT1229" i="48" s="1"/>
  <c r="AE1229" i="48"/>
  <c r="AC1229" i="48"/>
  <c r="AB1229" i="48"/>
  <c r="AA1229" i="48"/>
  <c r="AD1229" i="48" s="1"/>
  <c r="Z1229" i="48"/>
  <c r="I1229" i="48"/>
  <c r="H1229" i="48"/>
  <c r="G1229" i="48"/>
  <c r="F1229" i="48"/>
  <c r="AS1229" i="48" s="1"/>
  <c r="E1229" i="48"/>
  <c r="AU1229" i="48" s="1"/>
  <c r="AF1228" i="48"/>
  <c r="AT1228" i="48" s="1"/>
  <c r="AE1228" i="48"/>
  <c r="AC1228" i="48"/>
  <c r="AB1228" i="48"/>
  <c r="AA1228" i="48"/>
  <c r="AD1228" i="48" s="1"/>
  <c r="Z1228" i="48"/>
  <c r="I1228" i="48"/>
  <c r="H1228" i="48"/>
  <c r="G1228" i="48"/>
  <c r="F1228" i="48"/>
  <c r="AS1228" i="48" s="1"/>
  <c r="E1228" i="48"/>
  <c r="AU1228" i="48" s="1"/>
  <c r="AF1227" i="48"/>
  <c r="AT1227" i="48" s="1"/>
  <c r="AE1227" i="48"/>
  <c r="AC1227" i="48"/>
  <c r="AB1227" i="48"/>
  <c r="AA1227" i="48"/>
  <c r="AD1227" i="48" s="1"/>
  <c r="Z1227" i="48"/>
  <c r="I1227" i="48"/>
  <c r="H1227" i="48"/>
  <c r="G1227" i="48"/>
  <c r="F1227" i="48"/>
  <c r="AS1227" i="48" s="1"/>
  <c r="E1227" i="48"/>
  <c r="AU1227" i="48" s="1"/>
  <c r="AF1226" i="48"/>
  <c r="AT1226" i="48" s="1"/>
  <c r="AE1226" i="48"/>
  <c r="AD1226" i="48"/>
  <c r="AC1226" i="48"/>
  <c r="AB1226" i="48"/>
  <c r="AA1226" i="48"/>
  <c r="Z1226" i="48"/>
  <c r="I1226" i="48"/>
  <c r="H1226" i="48"/>
  <c r="G1226" i="48"/>
  <c r="F1226" i="48"/>
  <c r="AS1226" i="48" s="1"/>
  <c r="E1226" i="48"/>
  <c r="AU1226" i="48" s="1"/>
  <c r="AF1225" i="48"/>
  <c r="AT1225" i="48" s="1"/>
  <c r="AE1225" i="48"/>
  <c r="AC1225" i="48"/>
  <c r="AB1225" i="48"/>
  <c r="AA1225" i="48"/>
  <c r="AD1225" i="48" s="1"/>
  <c r="Z1225" i="48"/>
  <c r="I1225" i="48"/>
  <c r="H1225" i="48"/>
  <c r="G1225" i="48"/>
  <c r="F1225" i="48"/>
  <c r="AS1225" i="48" s="1"/>
  <c r="E1225" i="48"/>
  <c r="AU1225" i="48" s="1"/>
  <c r="AF1224" i="48"/>
  <c r="AT1224" i="48" s="1"/>
  <c r="AE1224" i="48"/>
  <c r="AC1224" i="48"/>
  <c r="AB1224" i="48"/>
  <c r="AA1224" i="48"/>
  <c r="AD1224" i="48" s="1"/>
  <c r="Z1224" i="48"/>
  <c r="I1224" i="48"/>
  <c r="H1224" i="48"/>
  <c r="G1224" i="48"/>
  <c r="F1224" i="48"/>
  <c r="AS1224" i="48" s="1"/>
  <c r="E1224" i="48"/>
  <c r="AU1224" i="48" s="1"/>
  <c r="AF1223" i="48"/>
  <c r="AE1223" i="48"/>
  <c r="AC1223" i="48"/>
  <c r="AB1223" i="48"/>
  <c r="AA1223" i="48"/>
  <c r="AD1223" i="48" s="1"/>
  <c r="Z1223" i="48"/>
  <c r="I1223" i="48"/>
  <c r="H1223" i="48"/>
  <c r="G1223" i="48"/>
  <c r="F1223" i="48"/>
  <c r="AS1223" i="48" s="1"/>
  <c r="E1223" i="48"/>
  <c r="AU1223" i="48" s="1"/>
  <c r="AF1222" i="48"/>
  <c r="AE1222" i="48"/>
  <c r="AC1222" i="48"/>
  <c r="AA1222" i="48"/>
  <c r="AD1222" i="48" s="1"/>
  <c r="Z1222" i="48"/>
  <c r="AB1222" i="48" s="1"/>
  <c r="I1222" i="48"/>
  <c r="H1222" i="48"/>
  <c r="G1222" i="48"/>
  <c r="F1222" i="48"/>
  <c r="AS1222" i="48" s="1"/>
  <c r="E1222" i="48"/>
  <c r="AU1222" i="48" s="1"/>
  <c r="AF1221" i="48"/>
  <c r="AT1221" i="48" s="1"/>
  <c r="AE1221" i="48"/>
  <c r="AC1221" i="48"/>
  <c r="AB1221" i="48"/>
  <c r="AA1221" i="48"/>
  <c r="AD1221" i="48" s="1"/>
  <c r="Z1221" i="48"/>
  <c r="I1221" i="48"/>
  <c r="H1221" i="48"/>
  <c r="G1221" i="48"/>
  <c r="F1221" i="48"/>
  <c r="AS1221" i="48" s="1"/>
  <c r="E1221" i="48"/>
  <c r="AU1221" i="48" s="1"/>
  <c r="AF1220" i="48"/>
  <c r="AT1220" i="48" s="1"/>
  <c r="AE1220" i="48"/>
  <c r="AC1220" i="48"/>
  <c r="AB1220" i="48"/>
  <c r="AA1220" i="48"/>
  <c r="AD1220" i="48" s="1"/>
  <c r="Z1220" i="48"/>
  <c r="I1220" i="48"/>
  <c r="H1220" i="48"/>
  <c r="G1220" i="48"/>
  <c r="F1220" i="48"/>
  <c r="AS1220" i="48" s="1"/>
  <c r="E1220" i="48"/>
  <c r="AU1220" i="48" s="1"/>
  <c r="AF1219" i="48"/>
  <c r="AE1219" i="48"/>
  <c r="AC1219" i="48"/>
  <c r="Z1219" i="48"/>
  <c r="AB1219" i="48" s="1"/>
  <c r="I1219" i="48"/>
  <c r="H1219" i="48"/>
  <c r="G1219" i="48"/>
  <c r="F1219" i="48"/>
  <c r="AS1219" i="48" s="1"/>
  <c r="E1219" i="48"/>
  <c r="AU1219" i="48" s="1"/>
  <c r="AT1218" i="48"/>
  <c r="AF1218" i="48"/>
  <c r="AE1218" i="48"/>
  <c r="AC1218" i="48"/>
  <c r="AB1218" i="48"/>
  <c r="AA1218" i="48"/>
  <c r="AD1218" i="48" s="1"/>
  <c r="Z1218" i="48"/>
  <c r="I1218" i="48"/>
  <c r="H1218" i="48"/>
  <c r="G1218" i="48"/>
  <c r="F1218" i="48"/>
  <c r="AS1218" i="48" s="1"/>
  <c r="E1218" i="48"/>
  <c r="AU1218" i="48" s="1"/>
  <c r="AF1217" i="48"/>
  <c r="AE1217" i="48"/>
  <c r="AC1217" i="48"/>
  <c r="AB1217" i="48"/>
  <c r="AA1217" i="48"/>
  <c r="AD1217" i="48" s="1"/>
  <c r="Z1217" i="48"/>
  <c r="I1217" i="48"/>
  <c r="H1217" i="48"/>
  <c r="G1217" i="48"/>
  <c r="F1217" i="48"/>
  <c r="AS1217" i="48" s="1"/>
  <c r="E1217" i="48"/>
  <c r="AU1217" i="48" s="1"/>
  <c r="AU1216" i="48"/>
  <c r="AS1216" i="48"/>
  <c r="AA1216" i="48" s="1"/>
  <c r="AD1216" i="48" s="1"/>
  <c r="AF1216" i="48"/>
  <c r="AT1216" i="48" s="1"/>
  <c r="AE1216" i="48"/>
  <c r="AC1216" i="48"/>
  <c r="AB1216" i="48"/>
  <c r="Z1216" i="48"/>
  <c r="I1216" i="48"/>
  <c r="H1216" i="48"/>
  <c r="G1216" i="48"/>
  <c r="F1216" i="48"/>
  <c r="E1216" i="48"/>
  <c r="AS1215" i="48"/>
  <c r="AF1215" i="48"/>
  <c r="AE1215" i="48"/>
  <c r="AC1215" i="48"/>
  <c r="AB1215" i="48"/>
  <c r="Z1215" i="48"/>
  <c r="I1215" i="48"/>
  <c r="H1215" i="48"/>
  <c r="G1215" i="48"/>
  <c r="F1215" i="48"/>
  <c r="E1215" i="48"/>
  <c r="AU1215" i="48" s="1"/>
  <c r="AF1214" i="48"/>
  <c r="AT1214" i="48" s="1"/>
  <c r="AE1214" i="48"/>
  <c r="AC1214" i="48"/>
  <c r="AB1214" i="48"/>
  <c r="AA1214" i="48"/>
  <c r="AD1214" i="48" s="1"/>
  <c r="Z1214" i="48"/>
  <c r="I1214" i="48"/>
  <c r="H1214" i="48"/>
  <c r="G1214" i="48"/>
  <c r="F1214" i="48"/>
  <c r="AS1214" i="48" s="1"/>
  <c r="E1214" i="48"/>
  <c r="AU1214" i="48" s="1"/>
  <c r="AF1213" i="48"/>
  <c r="AE1213" i="48"/>
  <c r="AC1213" i="48"/>
  <c r="AB1213" i="48"/>
  <c r="AA1213" i="48"/>
  <c r="AD1213" i="48" s="1"/>
  <c r="Z1213" i="48"/>
  <c r="I1213" i="48"/>
  <c r="H1213" i="48"/>
  <c r="G1213" i="48"/>
  <c r="F1213" i="48"/>
  <c r="AS1213" i="48" s="1"/>
  <c r="E1213" i="48"/>
  <c r="AU1213" i="48" s="1"/>
  <c r="AF1212" i="48"/>
  <c r="AE1212" i="48"/>
  <c r="AC1212" i="48"/>
  <c r="AB1212" i="48"/>
  <c r="AA1212" i="48"/>
  <c r="AD1212" i="48" s="1"/>
  <c r="Z1212" i="48"/>
  <c r="I1212" i="48"/>
  <c r="H1212" i="48"/>
  <c r="G1212" i="48"/>
  <c r="F1212" i="48"/>
  <c r="AS1212" i="48" s="1"/>
  <c r="E1212" i="48"/>
  <c r="AU1212" i="48" s="1"/>
  <c r="AF1211" i="48"/>
  <c r="AT1211" i="48" s="1"/>
  <c r="AE1211" i="48"/>
  <c r="AD1211" i="48"/>
  <c r="AC1211" i="48"/>
  <c r="AB1211" i="48"/>
  <c r="AA1211" i="48"/>
  <c r="Z1211" i="48"/>
  <c r="I1211" i="48"/>
  <c r="H1211" i="48"/>
  <c r="G1211" i="48"/>
  <c r="F1211" i="48"/>
  <c r="AS1211" i="48" s="1"/>
  <c r="E1211" i="48"/>
  <c r="AU1211" i="48" s="1"/>
  <c r="AT1210" i="48"/>
  <c r="AF1210" i="48"/>
  <c r="AE1210" i="48"/>
  <c r="AC1210" i="48"/>
  <c r="AB1210" i="48"/>
  <c r="AA1210" i="48"/>
  <c r="AD1210" i="48" s="1"/>
  <c r="Z1210" i="48"/>
  <c r="I1210" i="48"/>
  <c r="H1210" i="48"/>
  <c r="G1210" i="48"/>
  <c r="F1210" i="48"/>
  <c r="AS1210" i="48" s="1"/>
  <c r="E1210" i="48"/>
  <c r="AU1210" i="48" s="1"/>
  <c r="AF1209" i="48"/>
  <c r="AE1209" i="48"/>
  <c r="AC1209" i="48"/>
  <c r="AB1209" i="48"/>
  <c r="AA1209" i="48"/>
  <c r="AD1209" i="48" s="1"/>
  <c r="Z1209" i="48"/>
  <c r="I1209" i="48"/>
  <c r="H1209" i="48"/>
  <c r="G1209" i="48"/>
  <c r="F1209" i="48"/>
  <c r="AS1209" i="48" s="1"/>
  <c r="E1209" i="48"/>
  <c r="AU1209" i="48" s="1"/>
  <c r="AS1208" i="48"/>
  <c r="AF1208" i="48"/>
  <c r="AE1208" i="48"/>
  <c r="AC1208" i="48"/>
  <c r="AB1208" i="48"/>
  <c r="AA1208" i="48"/>
  <c r="AD1208" i="48" s="1"/>
  <c r="Z1208" i="48"/>
  <c r="I1208" i="48"/>
  <c r="H1208" i="48"/>
  <c r="G1208" i="48"/>
  <c r="F1208" i="48"/>
  <c r="E1208" i="48"/>
  <c r="AU1208" i="48" s="1"/>
  <c r="AF1207" i="48"/>
  <c r="AE1207" i="48"/>
  <c r="AC1207" i="48"/>
  <c r="AB1207" i="48"/>
  <c r="AA1207" i="48"/>
  <c r="AD1207" i="48" s="1"/>
  <c r="Z1207" i="48"/>
  <c r="I1207" i="48"/>
  <c r="H1207" i="48"/>
  <c r="G1207" i="48"/>
  <c r="F1207" i="48"/>
  <c r="AS1207" i="48" s="1"/>
  <c r="E1207" i="48"/>
  <c r="AU1207" i="48" s="1"/>
  <c r="AF1206" i="48"/>
  <c r="AE1206" i="48"/>
  <c r="AC1206" i="48"/>
  <c r="AB1206" i="48"/>
  <c r="AA1206" i="48"/>
  <c r="AD1206" i="48" s="1"/>
  <c r="Z1206" i="48"/>
  <c r="I1206" i="48"/>
  <c r="H1206" i="48"/>
  <c r="G1206" i="48"/>
  <c r="F1206" i="48"/>
  <c r="AS1206" i="48" s="1"/>
  <c r="AT1206" i="48" s="1"/>
  <c r="E1206" i="48"/>
  <c r="AU1206" i="48" s="1"/>
  <c r="AF1205" i="48"/>
  <c r="AE1205" i="48"/>
  <c r="AC1205" i="48"/>
  <c r="AB1205" i="48"/>
  <c r="AA1205" i="48"/>
  <c r="AD1205" i="48" s="1"/>
  <c r="Z1205" i="48"/>
  <c r="I1205" i="48"/>
  <c r="H1205" i="48"/>
  <c r="G1205" i="48"/>
  <c r="F1205" i="48"/>
  <c r="AS1205" i="48" s="1"/>
  <c r="E1205" i="48"/>
  <c r="AU1205" i="48" s="1"/>
  <c r="AF1204" i="48"/>
  <c r="AE1204" i="48"/>
  <c r="AC1204" i="48"/>
  <c r="AB1204" i="48"/>
  <c r="AA1204" i="48"/>
  <c r="AD1204" i="48" s="1"/>
  <c r="Z1204" i="48"/>
  <c r="I1204" i="48"/>
  <c r="H1204" i="48"/>
  <c r="G1204" i="48"/>
  <c r="F1204" i="48"/>
  <c r="AS1204" i="48" s="1"/>
  <c r="E1204" i="48"/>
  <c r="AU1204" i="48" s="1"/>
  <c r="AF1203" i="48"/>
  <c r="AE1203" i="48"/>
  <c r="AC1203" i="48"/>
  <c r="AB1203" i="48"/>
  <c r="AA1203" i="48"/>
  <c r="AD1203" i="48" s="1"/>
  <c r="Z1203" i="48"/>
  <c r="I1203" i="48"/>
  <c r="H1203" i="48"/>
  <c r="G1203" i="48"/>
  <c r="F1203" i="48"/>
  <c r="AS1203" i="48" s="1"/>
  <c r="E1203" i="48"/>
  <c r="AU1203" i="48" s="1"/>
  <c r="AF1202" i="48"/>
  <c r="AE1202" i="48"/>
  <c r="AC1202" i="48"/>
  <c r="AB1202" i="48"/>
  <c r="AA1202" i="48"/>
  <c r="AD1202" i="48" s="1"/>
  <c r="Z1202" i="48"/>
  <c r="I1202" i="48"/>
  <c r="H1202" i="48"/>
  <c r="G1202" i="48"/>
  <c r="F1202" i="48"/>
  <c r="AS1202" i="48" s="1"/>
  <c r="AT1202" i="48" s="1"/>
  <c r="E1202" i="48"/>
  <c r="AU1202" i="48" s="1"/>
  <c r="AF1201" i="48"/>
  <c r="AE1201" i="48"/>
  <c r="AC1201" i="48"/>
  <c r="AB1201" i="48"/>
  <c r="AA1201" i="48"/>
  <c r="AD1201" i="48" s="1"/>
  <c r="Z1201" i="48"/>
  <c r="I1201" i="48"/>
  <c r="H1201" i="48"/>
  <c r="G1201" i="48"/>
  <c r="F1201" i="48"/>
  <c r="AS1201" i="48" s="1"/>
  <c r="E1201" i="48"/>
  <c r="AU1201" i="48" s="1"/>
  <c r="AS1200" i="48"/>
  <c r="AA1200" i="48" s="1"/>
  <c r="AD1200" i="48" s="1"/>
  <c r="AF1200" i="48"/>
  <c r="AE1200" i="48"/>
  <c r="AC1200" i="48"/>
  <c r="AB1200" i="48"/>
  <c r="Z1200" i="48"/>
  <c r="I1200" i="48"/>
  <c r="H1200" i="48"/>
  <c r="G1200" i="48"/>
  <c r="F1200" i="48"/>
  <c r="E1200" i="48"/>
  <c r="AU1200" i="48" s="1"/>
  <c r="AF1199" i="48"/>
  <c r="AE1199" i="48"/>
  <c r="AC1199" i="48"/>
  <c r="AB1199" i="48"/>
  <c r="AA1199" i="48"/>
  <c r="AD1199" i="48" s="1"/>
  <c r="Z1199" i="48"/>
  <c r="I1199" i="48"/>
  <c r="H1199" i="48"/>
  <c r="G1199" i="48"/>
  <c r="F1199" i="48"/>
  <c r="AS1199" i="48" s="1"/>
  <c r="E1199" i="48"/>
  <c r="AU1199" i="48" s="1"/>
  <c r="AF1198" i="48"/>
  <c r="AT1198" i="48" s="1"/>
  <c r="AE1198" i="48"/>
  <c r="AC1198" i="48"/>
  <c r="Z1198" i="48"/>
  <c r="AB1198" i="48" s="1"/>
  <c r="I1198" i="48"/>
  <c r="H1198" i="48"/>
  <c r="G1198" i="48"/>
  <c r="F1198" i="48"/>
  <c r="AS1198" i="48" s="1"/>
  <c r="E1198" i="48"/>
  <c r="AU1198" i="48" s="1"/>
  <c r="AF1197" i="48"/>
  <c r="AE1197" i="48"/>
  <c r="AD1197" i="48"/>
  <c r="AC1197" i="48"/>
  <c r="AB1197" i="48"/>
  <c r="AA1197" i="48"/>
  <c r="Z1197" i="48"/>
  <c r="I1197" i="48"/>
  <c r="H1197" i="48"/>
  <c r="G1197" i="48"/>
  <c r="F1197" i="48"/>
  <c r="AS1197" i="48" s="1"/>
  <c r="AT1197" i="48" s="1"/>
  <c r="E1197" i="48"/>
  <c r="AU1197" i="48" s="1"/>
  <c r="AS1196" i="48"/>
  <c r="AA1196" i="48" s="1"/>
  <c r="AD1196" i="48" s="1"/>
  <c r="AF1196" i="48"/>
  <c r="AE1196" i="48"/>
  <c r="AC1196" i="48"/>
  <c r="AB1196" i="48"/>
  <c r="Z1196" i="48"/>
  <c r="I1196" i="48"/>
  <c r="H1196" i="48"/>
  <c r="G1196" i="48"/>
  <c r="F1196" i="48"/>
  <c r="E1196" i="48"/>
  <c r="AU1196" i="48" s="1"/>
  <c r="AF1195" i="48"/>
  <c r="AE1195" i="48"/>
  <c r="AC1195" i="48"/>
  <c r="AB1195" i="48"/>
  <c r="AA1195" i="48"/>
  <c r="AD1195" i="48" s="1"/>
  <c r="Z1195" i="48"/>
  <c r="I1195" i="48"/>
  <c r="H1195" i="48"/>
  <c r="G1195" i="48"/>
  <c r="F1195" i="48"/>
  <c r="AS1195" i="48" s="1"/>
  <c r="E1195" i="48"/>
  <c r="AU1195" i="48" s="1"/>
  <c r="AF1194" i="48"/>
  <c r="AE1194" i="48"/>
  <c r="AC1194" i="48"/>
  <c r="AB1194" i="48"/>
  <c r="AA1194" i="48"/>
  <c r="AD1194" i="48" s="1"/>
  <c r="Z1194" i="48"/>
  <c r="I1194" i="48"/>
  <c r="H1194" i="48"/>
  <c r="G1194" i="48"/>
  <c r="F1194" i="48"/>
  <c r="AS1194" i="48" s="1"/>
  <c r="E1194" i="48"/>
  <c r="AU1194" i="48" s="1"/>
  <c r="AF1193" i="48"/>
  <c r="AE1193" i="48"/>
  <c r="AC1193" i="48"/>
  <c r="AB1193" i="48"/>
  <c r="AA1193" i="48"/>
  <c r="AD1193" i="48" s="1"/>
  <c r="Z1193" i="48"/>
  <c r="I1193" i="48"/>
  <c r="H1193" i="48"/>
  <c r="G1193" i="48"/>
  <c r="F1193" i="48"/>
  <c r="AS1193" i="48" s="1"/>
  <c r="E1193" i="48"/>
  <c r="AU1193" i="48" s="1"/>
  <c r="A1193" i="48"/>
  <c r="A1194" i="48" s="1"/>
  <c r="A1195" i="48" s="1"/>
  <c r="A1196" i="48" s="1"/>
  <c r="A1197" i="48" s="1"/>
  <c r="A1198" i="48" s="1"/>
  <c r="A1199" i="48" s="1"/>
  <c r="A1200" i="48" s="1"/>
  <c r="A1201" i="48" s="1"/>
  <c r="A1202" i="48" s="1"/>
  <c r="A1203" i="48" s="1"/>
  <c r="A1204" i="48" s="1"/>
  <c r="A1205" i="48" s="1"/>
  <c r="A1206" i="48" s="1"/>
  <c r="A1207" i="48" s="1"/>
  <c r="A1208" i="48" s="1"/>
  <c r="A1209" i="48" s="1"/>
  <c r="A1210" i="48" s="1"/>
  <c r="A1211" i="48" s="1"/>
  <c r="A1212" i="48" s="1"/>
  <c r="A1213" i="48" s="1"/>
  <c r="A1214" i="48" s="1"/>
  <c r="A1215" i="48" s="1"/>
  <c r="A1216" i="48" s="1"/>
  <c r="A1217" i="48" s="1"/>
  <c r="A1218" i="48" s="1"/>
  <c r="AS1192" i="48"/>
  <c r="AF1192" i="48"/>
  <c r="AT1192" i="48" s="1"/>
  <c r="AE1192" i="48"/>
  <c r="AC1192" i="48"/>
  <c r="AB1192" i="48"/>
  <c r="AA1192" i="48"/>
  <c r="AD1192" i="48" s="1"/>
  <c r="Z1192" i="48"/>
  <c r="I1192" i="48"/>
  <c r="H1192" i="48"/>
  <c r="G1192" i="48"/>
  <c r="F1192" i="48"/>
  <c r="E1192" i="48"/>
  <c r="AU1192" i="48" s="1"/>
  <c r="AS1191" i="48"/>
  <c r="AF1191" i="48"/>
  <c r="AT1191" i="48" s="1"/>
  <c r="AE1191" i="48"/>
  <c r="AC1191" i="48"/>
  <c r="AB1191" i="48"/>
  <c r="AA1191" i="48"/>
  <c r="AD1191" i="48" s="1"/>
  <c r="Z1191" i="48"/>
  <c r="I1191" i="48"/>
  <c r="H1191" i="48"/>
  <c r="G1191" i="48"/>
  <c r="F1191" i="48"/>
  <c r="E1191" i="48"/>
  <c r="AU1191" i="48" s="1"/>
  <c r="AS1190" i="48"/>
  <c r="AF1190" i="48"/>
  <c r="AT1190" i="48" s="1"/>
  <c r="AE1190" i="48"/>
  <c r="AC1190" i="48"/>
  <c r="AB1190" i="48"/>
  <c r="AA1190" i="48"/>
  <c r="AD1190" i="48" s="1"/>
  <c r="Z1190" i="48"/>
  <c r="I1190" i="48"/>
  <c r="H1190" i="48"/>
  <c r="G1190" i="48"/>
  <c r="F1190" i="48"/>
  <c r="E1190" i="48"/>
  <c r="AU1190" i="48" s="1"/>
  <c r="AF1189" i="48"/>
  <c r="AT1189" i="48" s="1"/>
  <c r="AE1189" i="48"/>
  <c r="AC1189" i="48"/>
  <c r="AB1189" i="48"/>
  <c r="AA1189" i="48"/>
  <c r="AD1189" i="48" s="1"/>
  <c r="Z1189" i="48"/>
  <c r="I1189" i="48"/>
  <c r="H1189" i="48"/>
  <c r="G1189" i="48"/>
  <c r="F1189" i="48"/>
  <c r="AS1189" i="48" s="1"/>
  <c r="E1189" i="48"/>
  <c r="AU1189" i="48" s="1"/>
  <c r="AU1188" i="48"/>
  <c r="AF1188" i="48"/>
  <c r="AT1188" i="48" s="1"/>
  <c r="AE1188" i="48"/>
  <c r="AC1188" i="48"/>
  <c r="AB1188" i="48"/>
  <c r="AA1188" i="48"/>
  <c r="AD1188" i="48" s="1"/>
  <c r="Z1188" i="48"/>
  <c r="I1188" i="48"/>
  <c r="H1188" i="48"/>
  <c r="G1188" i="48"/>
  <c r="F1188" i="48"/>
  <c r="AS1188" i="48" s="1"/>
  <c r="E1188" i="48"/>
  <c r="AF1187" i="48"/>
  <c r="AT1187" i="48" s="1"/>
  <c r="AE1187" i="48"/>
  <c r="AC1187" i="48"/>
  <c r="AB1187" i="48"/>
  <c r="AA1187" i="48"/>
  <c r="AD1187" i="48" s="1"/>
  <c r="Z1187" i="48"/>
  <c r="I1187" i="48"/>
  <c r="H1187" i="48"/>
  <c r="G1187" i="48"/>
  <c r="F1187" i="48"/>
  <c r="AS1187" i="48" s="1"/>
  <c r="E1187" i="48"/>
  <c r="AU1187" i="48" s="1"/>
  <c r="AF1186" i="48"/>
  <c r="AT1186" i="48" s="1"/>
  <c r="AE1186" i="48"/>
  <c r="AC1186" i="48"/>
  <c r="AB1186" i="48"/>
  <c r="AA1186" i="48"/>
  <c r="AD1186" i="48" s="1"/>
  <c r="Z1186" i="48"/>
  <c r="I1186" i="48"/>
  <c r="H1186" i="48"/>
  <c r="G1186" i="48"/>
  <c r="F1186" i="48"/>
  <c r="AS1186" i="48" s="1"/>
  <c r="E1186" i="48"/>
  <c r="AU1186" i="48" s="1"/>
  <c r="AT1185" i="48"/>
  <c r="AF1185" i="48"/>
  <c r="AE1185" i="48"/>
  <c r="AD1185" i="48"/>
  <c r="AC1185" i="48"/>
  <c r="AB1185" i="48"/>
  <c r="AA1185" i="48"/>
  <c r="Z1185" i="48"/>
  <c r="I1185" i="48"/>
  <c r="H1185" i="48"/>
  <c r="G1185" i="48"/>
  <c r="F1185" i="48"/>
  <c r="AS1185" i="48" s="1"/>
  <c r="E1185" i="48"/>
  <c r="AU1185" i="48" s="1"/>
  <c r="AF1184" i="48"/>
  <c r="AE1184" i="48"/>
  <c r="AC1184" i="48"/>
  <c r="AB1184" i="48"/>
  <c r="AA1184" i="48"/>
  <c r="AD1184" i="48" s="1"/>
  <c r="Z1184" i="48"/>
  <c r="I1184" i="48"/>
  <c r="H1184" i="48"/>
  <c r="G1184" i="48"/>
  <c r="F1184" i="48"/>
  <c r="AS1184" i="48" s="1"/>
  <c r="E1184" i="48"/>
  <c r="AU1184" i="48" s="1"/>
  <c r="AS1183" i="48"/>
  <c r="AF1183" i="48"/>
  <c r="AT1183" i="48" s="1"/>
  <c r="AE1183" i="48"/>
  <c r="AC1183" i="48"/>
  <c r="AB1183" i="48"/>
  <c r="AA1183" i="48"/>
  <c r="AD1183" i="48" s="1"/>
  <c r="Z1183" i="48"/>
  <c r="I1183" i="48"/>
  <c r="H1183" i="48"/>
  <c r="G1183" i="48"/>
  <c r="F1183" i="48"/>
  <c r="E1183" i="48"/>
  <c r="AU1183" i="48" s="1"/>
  <c r="AF1182" i="48"/>
  <c r="AE1182" i="48"/>
  <c r="AC1182" i="48"/>
  <c r="Z1182" i="48"/>
  <c r="AB1182" i="48" s="1"/>
  <c r="I1182" i="48"/>
  <c r="H1182" i="48"/>
  <c r="G1182" i="48"/>
  <c r="F1182" i="48"/>
  <c r="AS1182" i="48" s="1"/>
  <c r="E1182" i="48"/>
  <c r="AU1182" i="48" s="1"/>
  <c r="AF1181" i="48"/>
  <c r="AT1181" i="48" s="1"/>
  <c r="AE1181" i="48"/>
  <c r="AC1181" i="48"/>
  <c r="AB1181" i="48"/>
  <c r="AA1181" i="48"/>
  <c r="AD1181" i="48" s="1"/>
  <c r="Z1181" i="48"/>
  <c r="I1181" i="48"/>
  <c r="H1181" i="48"/>
  <c r="G1181" i="48"/>
  <c r="F1181" i="48"/>
  <c r="AS1181" i="48" s="1"/>
  <c r="E1181" i="48"/>
  <c r="AU1181" i="48" s="1"/>
  <c r="AU1180" i="48"/>
  <c r="AT1180" i="48"/>
  <c r="AF1180" i="48"/>
  <c r="AE1180" i="48"/>
  <c r="AC1180" i="48"/>
  <c r="Z1180" i="48"/>
  <c r="AB1180" i="48" s="1"/>
  <c r="I1180" i="48"/>
  <c r="H1180" i="48"/>
  <c r="G1180" i="48"/>
  <c r="F1180" i="48"/>
  <c r="AS1180" i="48" s="1"/>
  <c r="AA1180" i="48" s="1"/>
  <c r="AD1180" i="48" s="1"/>
  <c r="E1180" i="48"/>
  <c r="AF1179" i="48"/>
  <c r="AT1179" i="48" s="1"/>
  <c r="AE1179" i="48"/>
  <c r="AC1179" i="48"/>
  <c r="Z1179" i="48"/>
  <c r="AB1179" i="48" s="1"/>
  <c r="I1179" i="48"/>
  <c r="H1179" i="48"/>
  <c r="G1179" i="48"/>
  <c r="F1179" i="48"/>
  <c r="AS1179" i="48" s="1"/>
  <c r="E1179" i="48"/>
  <c r="AU1179" i="48" s="1"/>
  <c r="AT1178" i="48"/>
  <c r="AF1178" i="48"/>
  <c r="AE1178" i="48"/>
  <c r="AD1178" i="48"/>
  <c r="AC1178" i="48"/>
  <c r="AB1178" i="48"/>
  <c r="AA1178" i="48"/>
  <c r="Z1178" i="48"/>
  <c r="I1178" i="48"/>
  <c r="H1178" i="48"/>
  <c r="G1178" i="48"/>
  <c r="F1178" i="48"/>
  <c r="AS1178" i="48" s="1"/>
  <c r="E1178" i="48"/>
  <c r="AU1178" i="48" s="1"/>
  <c r="AF1177" i="48"/>
  <c r="AT1177" i="48" s="1"/>
  <c r="AE1177" i="48"/>
  <c r="AC1177" i="48"/>
  <c r="AB1177" i="48"/>
  <c r="AA1177" i="48"/>
  <c r="AD1177" i="48" s="1"/>
  <c r="Z1177" i="48"/>
  <c r="I1177" i="48"/>
  <c r="H1177" i="48"/>
  <c r="G1177" i="48"/>
  <c r="F1177" i="48"/>
  <c r="AS1177" i="48" s="1"/>
  <c r="E1177" i="48"/>
  <c r="AU1177" i="48" s="1"/>
  <c r="AF1176" i="48"/>
  <c r="AE1176" i="48"/>
  <c r="AC1176" i="48"/>
  <c r="Z1176" i="48"/>
  <c r="AB1176" i="48" s="1"/>
  <c r="I1176" i="48"/>
  <c r="H1176" i="48"/>
  <c r="G1176" i="48"/>
  <c r="F1176" i="48"/>
  <c r="AS1176" i="48" s="1"/>
  <c r="E1176" i="48"/>
  <c r="AU1176" i="48" s="1"/>
  <c r="AT1175" i="48"/>
  <c r="AF1175" i="48"/>
  <c r="AE1175" i="48"/>
  <c r="AC1175" i="48"/>
  <c r="Z1175" i="48"/>
  <c r="AB1175" i="48" s="1"/>
  <c r="I1175" i="48"/>
  <c r="H1175" i="48"/>
  <c r="G1175" i="48"/>
  <c r="F1175" i="48"/>
  <c r="AS1175" i="48" s="1"/>
  <c r="E1175" i="48"/>
  <c r="AU1175" i="48" s="1"/>
  <c r="AT1174" i="48"/>
  <c r="AF1174" i="48"/>
  <c r="AE1174" i="48"/>
  <c r="AD1174" i="48"/>
  <c r="AC1174" i="48"/>
  <c r="AB1174" i="48"/>
  <c r="AA1174" i="48"/>
  <c r="Z1174" i="48"/>
  <c r="I1174" i="48"/>
  <c r="H1174" i="48"/>
  <c r="G1174" i="48"/>
  <c r="F1174" i="48"/>
  <c r="AS1174" i="48" s="1"/>
  <c r="E1174" i="48"/>
  <c r="AU1174" i="48" s="1"/>
  <c r="AF1173" i="48"/>
  <c r="AT1173" i="48" s="1"/>
  <c r="AE1173" i="48"/>
  <c r="AC1173" i="48"/>
  <c r="AB1173" i="48"/>
  <c r="AA1173" i="48"/>
  <c r="AD1173" i="48" s="1"/>
  <c r="Z1173" i="48"/>
  <c r="I1173" i="48"/>
  <c r="H1173" i="48"/>
  <c r="G1173" i="48"/>
  <c r="F1173" i="48"/>
  <c r="AS1173" i="48" s="1"/>
  <c r="E1173" i="48"/>
  <c r="AU1173" i="48" s="1"/>
  <c r="AF1172" i="48"/>
  <c r="AT1172" i="48" s="1"/>
  <c r="AE1172" i="48"/>
  <c r="AC1172" i="48"/>
  <c r="AB1172" i="48"/>
  <c r="AA1172" i="48"/>
  <c r="AD1172" i="48" s="1"/>
  <c r="Z1172" i="48"/>
  <c r="I1172" i="48"/>
  <c r="H1172" i="48"/>
  <c r="G1172" i="48"/>
  <c r="F1172" i="48"/>
  <c r="AS1172" i="48" s="1"/>
  <c r="E1172" i="48"/>
  <c r="AU1172" i="48" s="1"/>
  <c r="AF1171" i="48"/>
  <c r="AE1171" i="48"/>
  <c r="AC1171" i="48"/>
  <c r="AB1171" i="48"/>
  <c r="AA1171" i="48"/>
  <c r="AD1171" i="48" s="1"/>
  <c r="Z1171" i="48"/>
  <c r="I1171" i="48"/>
  <c r="H1171" i="48"/>
  <c r="G1171" i="48"/>
  <c r="F1171" i="48"/>
  <c r="AS1171" i="48" s="1"/>
  <c r="E1171" i="48"/>
  <c r="AU1171" i="48" s="1"/>
  <c r="AT1170" i="48"/>
  <c r="AF1170" i="48"/>
  <c r="AE1170" i="48"/>
  <c r="AC1170" i="48"/>
  <c r="AB1170" i="48"/>
  <c r="AA1170" i="48"/>
  <c r="AD1170" i="48" s="1"/>
  <c r="Z1170" i="48"/>
  <c r="I1170" i="48"/>
  <c r="H1170" i="48"/>
  <c r="G1170" i="48"/>
  <c r="F1170" i="48"/>
  <c r="AS1170" i="48" s="1"/>
  <c r="E1170" i="48"/>
  <c r="AU1170" i="48" s="1"/>
  <c r="AF1169" i="48"/>
  <c r="AT1169" i="48" s="1"/>
  <c r="AE1169" i="48"/>
  <c r="AC1169" i="48"/>
  <c r="AB1169" i="48"/>
  <c r="AA1169" i="48"/>
  <c r="AD1169" i="48" s="1"/>
  <c r="Z1169" i="48"/>
  <c r="I1169" i="48"/>
  <c r="H1169" i="48"/>
  <c r="G1169" i="48"/>
  <c r="F1169" i="48"/>
  <c r="AS1169" i="48" s="1"/>
  <c r="E1169" i="48"/>
  <c r="AU1169" i="48" s="1"/>
  <c r="AF1168" i="48"/>
  <c r="AE1168" i="48"/>
  <c r="AC1168" i="48"/>
  <c r="AB1168" i="48"/>
  <c r="AA1168" i="48"/>
  <c r="AD1168" i="48" s="1"/>
  <c r="Z1168" i="48"/>
  <c r="I1168" i="48"/>
  <c r="H1168" i="48"/>
  <c r="G1168" i="48"/>
  <c r="F1168" i="48"/>
  <c r="AS1168" i="48" s="1"/>
  <c r="E1168" i="48"/>
  <c r="AU1168" i="48" s="1"/>
  <c r="AF1167" i="48"/>
  <c r="AE1167" i="48"/>
  <c r="AC1167" i="48"/>
  <c r="AB1167" i="48"/>
  <c r="AA1167" i="48"/>
  <c r="AD1167" i="48" s="1"/>
  <c r="Z1167" i="48"/>
  <c r="I1167" i="48"/>
  <c r="H1167" i="48"/>
  <c r="G1167" i="48"/>
  <c r="F1167" i="48"/>
  <c r="AS1167" i="48" s="1"/>
  <c r="AT1167" i="48" s="1"/>
  <c r="E1167" i="48"/>
  <c r="AU1167" i="48" s="1"/>
  <c r="AF1166" i="48"/>
  <c r="AE1166" i="48"/>
  <c r="AC1166" i="48"/>
  <c r="AB1166" i="48"/>
  <c r="AA1166" i="48"/>
  <c r="AD1166" i="48" s="1"/>
  <c r="Z1166" i="48"/>
  <c r="I1166" i="48"/>
  <c r="H1166" i="48"/>
  <c r="G1166" i="48"/>
  <c r="F1166" i="48"/>
  <c r="AS1166" i="48" s="1"/>
  <c r="E1166" i="48"/>
  <c r="AU1166" i="48" s="1"/>
  <c r="AU1165" i="48"/>
  <c r="AF1165" i="48"/>
  <c r="AE1165" i="48"/>
  <c r="AC1165" i="48"/>
  <c r="AB1165" i="48"/>
  <c r="AA1165" i="48"/>
  <c r="AD1165" i="48" s="1"/>
  <c r="Z1165" i="48"/>
  <c r="I1165" i="48"/>
  <c r="H1165" i="48"/>
  <c r="G1165" i="48"/>
  <c r="F1165" i="48"/>
  <c r="AS1165" i="48" s="1"/>
  <c r="E1165" i="48"/>
  <c r="AS1164" i="48"/>
  <c r="AF1164" i="48"/>
  <c r="AT1164" i="48" s="1"/>
  <c r="AE1164" i="48"/>
  <c r="AC1164" i="48"/>
  <c r="AB1164" i="48"/>
  <c r="AA1164" i="48"/>
  <c r="AD1164" i="48" s="1"/>
  <c r="Z1164" i="48"/>
  <c r="I1164" i="48"/>
  <c r="H1164" i="48"/>
  <c r="G1164" i="48"/>
  <c r="F1164" i="48"/>
  <c r="E1164" i="48"/>
  <c r="AU1164" i="48" s="1"/>
  <c r="AS1163" i="48"/>
  <c r="AF1163" i="48"/>
  <c r="AE1163" i="48"/>
  <c r="AD1163" i="48"/>
  <c r="AC1163" i="48"/>
  <c r="AB1163" i="48"/>
  <c r="AA1163" i="48"/>
  <c r="Z1163" i="48"/>
  <c r="I1163" i="48"/>
  <c r="H1163" i="48"/>
  <c r="G1163" i="48"/>
  <c r="F1163" i="48"/>
  <c r="E1163" i="48"/>
  <c r="AU1163" i="48" s="1"/>
  <c r="AU1162" i="48"/>
  <c r="AF1162" i="48"/>
  <c r="AE1162" i="48"/>
  <c r="AC1162" i="48"/>
  <c r="AB1162" i="48"/>
  <c r="AA1162" i="48"/>
  <c r="AD1162" i="48" s="1"/>
  <c r="Z1162" i="48"/>
  <c r="I1162" i="48"/>
  <c r="H1162" i="48"/>
  <c r="G1162" i="48"/>
  <c r="F1162" i="48"/>
  <c r="AS1162" i="48" s="1"/>
  <c r="E1162" i="48"/>
  <c r="AU1161" i="48"/>
  <c r="AF1161" i="48"/>
  <c r="AE1161" i="48"/>
  <c r="AC1161" i="48"/>
  <c r="AB1161" i="48"/>
  <c r="AA1161" i="48"/>
  <c r="AD1161" i="48" s="1"/>
  <c r="Z1161" i="48"/>
  <c r="I1161" i="48"/>
  <c r="H1161" i="48"/>
  <c r="G1161" i="48"/>
  <c r="F1161" i="48"/>
  <c r="AS1161" i="48" s="1"/>
  <c r="E1161" i="48"/>
  <c r="AF1160" i="48"/>
  <c r="AT1160" i="48" s="1"/>
  <c r="AE1160" i="48"/>
  <c r="AC1160" i="48"/>
  <c r="AB1160" i="48"/>
  <c r="AA1160" i="48"/>
  <c r="AD1160" i="48" s="1"/>
  <c r="Z1160" i="48"/>
  <c r="I1160" i="48"/>
  <c r="H1160" i="48"/>
  <c r="G1160" i="48"/>
  <c r="F1160" i="48"/>
  <c r="AS1160" i="48" s="1"/>
  <c r="E1160" i="48"/>
  <c r="AU1160" i="48" s="1"/>
  <c r="AF1159" i="48"/>
  <c r="AE1159" i="48"/>
  <c r="AC1159" i="48"/>
  <c r="Z1159" i="48"/>
  <c r="AB1159" i="48" s="1"/>
  <c r="I1159" i="48"/>
  <c r="H1159" i="48"/>
  <c r="G1159" i="48"/>
  <c r="F1159" i="48"/>
  <c r="AS1159" i="48" s="1"/>
  <c r="E1159" i="48"/>
  <c r="AU1159" i="48" s="1"/>
  <c r="AF1158" i="48"/>
  <c r="AE1158" i="48"/>
  <c r="AD1158" i="48"/>
  <c r="AC1158" i="48"/>
  <c r="AB1158" i="48"/>
  <c r="AA1158" i="48"/>
  <c r="Z1158" i="48"/>
  <c r="I1158" i="48"/>
  <c r="H1158" i="48"/>
  <c r="G1158" i="48"/>
  <c r="F1158" i="48"/>
  <c r="AS1158" i="48" s="1"/>
  <c r="E1158" i="48"/>
  <c r="AU1158" i="48" s="1"/>
  <c r="AF1157" i="48"/>
  <c r="AE1157" i="48"/>
  <c r="AC1157" i="48"/>
  <c r="Z1157" i="48"/>
  <c r="AB1157" i="48" s="1"/>
  <c r="I1157" i="48"/>
  <c r="H1157" i="48"/>
  <c r="G1157" i="48"/>
  <c r="F1157" i="48"/>
  <c r="AS1157" i="48" s="1"/>
  <c r="AA1157" i="48" s="1"/>
  <c r="AD1157" i="48" s="1"/>
  <c r="E1157" i="48"/>
  <c r="AU1157" i="48" s="1"/>
  <c r="AF1156" i="48"/>
  <c r="AE1156" i="48"/>
  <c r="AC1156" i="48"/>
  <c r="AB1156" i="48"/>
  <c r="AA1156" i="48"/>
  <c r="AD1156" i="48" s="1"/>
  <c r="Z1156" i="48"/>
  <c r="I1156" i="48"/>
  <c r="H1156" i="48"/>
  <c r="G1156" i="48"/>
  <c r="F1156" i="48"/>
  <c r="AS1156" i="48" s="1"/>
  <c r="E1156" i="48"/>
  <c r="AU1156" i="48" s="1"/>
  <c r="AF1155" i="48"/>
  <c r="AE1155" i="48"/>
  <c r="AC1155" i="48"/>
  <c r="Z1155" i="48"/>
  <c r="AB1155" i="48" s="1"/>
  <c r="I1155" i="48"/>
  <c r="H1155" i="48"/>
  <c r="G1155" i="48"/>
  <c r="F1155" i="48"/>
  <c r="AS1155" i="48" s="1"/>
  <c r="AT1155" i="48" s="1"/>
  <c r="E1155" i="48"/>
  <c r="AU1155" i="48" s="1"/>
  <c r="AT1154" i="48"/>
  <c r="AF1154" i="48"/>
  <c r="AE1154" i="48"/>
  <c r="AC1154" i="48"/>
  <c r="AB1154" i="48"/>
  <c r="AA1154" i="48"/>
  <c r="AD1154" i="48" s="1"/>
  <c r="Z1154" i="48"/>
  <c r="I1154" i="48"/>
  <c r="H1154" i="48"/>
  <c r="G1154" i="48"/>
  <c r="F1154" i="48"/>
  <c r="AS1154" i="48" s="1"/>
  <c r="E1154" i="48"/>
  <c r="AU1154" i="48" s="1"/>
  <c r="AF1153" i="48"/>
  <c r="AE1153" i="48"/>
  <c r="AC1153" i="48"/>
  <c r="AB1153" i="48"/>
  <c r="AA1153" i="48"/>
  <c r="AD1153" i="48" s="1"/>
  <c r="Z1153" i="48"/>
  <c r="I1153" i="48"/>
  <c r="H1153" i="48"/>
  <c r="G1153" i="48"/>
  <c r="F1153" i="48"/>
  <c r="AS1153" i="48" s="1"/>
  <c r="E1153" i="48"/>
  <c r="AU1153" i="48" s="1"/>
  <c r="AF1152" i="48"/>
  <c r="AE1152" i="48"/>
  <c r="AC1152" i="48"/>
  <c r="AB1152" i="48"/>
  <c r="AA1152" i="48"/>
  <c r="AD1152" i="48" s="1"/>
  <c r="Z1152" i="48"/>
  <c r="I1152" i="48"/>
  <c r="H1152" i="48"/>
  <c r="G1152" i="48"/>
  <c r="F1152" i="48"/>
  <c r="AS1152" i="48" s="1"/>
  <c r="E1152" i="48"/>
  <c r="AU1152" i="48" s="1"/>
  <c r="A1152" i="48"/>
  <c r="A1153" i="48" s="1"/>
  <c r="A1154" i="48" s="1"/>
  <c r="A1155" i="48" s="1"/>
  <c r="A1156" i="48" s="1"/>
  <c r="A1157" i="48" s="1"/>
  <c r="A1158" i="48" s="1"/>
  <c r="A1159" i="48" s="1"/>
  <c r="A1160" i="48" s="1"/>
  <c r="A1161" i="48" s="1"/>
  <c r="A1162" i="48" s="1"/>
  <c r="A1163" i="48" s="1"/>
  <c r="A1164" i="48" s="1"/>
  <c r="A1165" i="48" s="1"/>
  <c r="A1166" i="48" s="1"/>
  <c r="A1167" i="48" s="1"/>
  <c r="A1168" i="48" s="1"/>
  <c r="A1169" i="48" s="1"/>
  <c r="A1170" i="48" s="1"/>
  <c r="AS1151" i="48"/>
  <c r="AF1151" i="48"/>
  <c r="AE1151" i="48"/>
  <c r="AC1151" i="48"/>
  <c r="AB1151" i="48"/>
  <c r="AA1151" i="48"/>
  <c r="AD1151" i="48" s="1"/>
  <c r="Z1151" i="48"/>
  <c r="I1151" i="48"/>
  <c r="H1151" i="48"/>
  <c r="G1151" i="48"/>
  <c r="F1151" i="48"/>
  <c r="E1151" i="48"/>
  <c r="AU1151" i="48" s="1"/>
  <c r="AT1150" i="48"/>
  <c r="AF1150" i="48"/>
  <c r="AE1150" i="48"/>
  <c r="AD1150" i="48"/>
  <c r="AC1150" i="48"/>
  <c r="AB1150" i="48"/>
  <c r="AA1150" i="48"/>
  <c r="Z1150" i="48"/>
  <c r="I1150" i="48"/>
  <c r="H1150" i="48"/>
  <c r="G1150" i="48"/>
  <c r="F1150" i="48"/>
  <c r="AS1150" i="48" s="1"/>
  <c r="E1150" i="48"/>
  <c r="AU1150" i="48" s="1"/>
  <c r="AF1149" i="48"/>
  <c r="AT1149" i="48" s="1"/>
  <c r="AE1149" i="48"/>
  <c r="AC1149" i="48"/>
  <c r="AB1149" i="48"/>
  <c r="AA1149" i="48"/>
  <c r="AD1149" i="48" s="1"/>
  <c r="Z1149" i="48"/>
  <c r="I1149" i="48"/>
  <c r="H1149" i="48"/>
  <c r="G1149" i="48"/>
  <c r="F1149" i="48"/>
  <c r="AS1149" i="48" s="1"/>
  <c r="E1149" i="48"/>
  <c r="AU1149" i="48" s="1"/>
  <c r="AF1148" i="48"/>
  <c r="AT1148" i="48" s="1"/>
  <c r="AE1148" i="48"/>
  <c r="AC1148" i="48"/>
  <c r="AB1148" i="48"/>
  <c r="AA1148" i="48"/>
  <c r="AD1148" i="48" s="1"/>
  <c r="Z1148" i="48"/>
  <c r="I1148" i="48"/>
  <c r="H1148" i="48"/>
  <c r="G1148" i="48"/>
  <c r="F1148" i="48"/>
  <c r="AS1148" i="48" s="1"/>
  <c r="E1148" i="48"/>
  <c r="AU1148" i="48" s="1"/>
  <c r="AF1147" i="48"/>
  <c r="AT1147" i="48" s="1"/>
  <c r="AE1147" i="48"/>
  <c r="AC1147" i="48"/>
  <c r="AB1147" i="48"/>
  <c r="AA1147" i="48"/>
  <c r="AD1147" i="48" s="1"/>
  <c r="Z1147" i="48"/>
  <c r="I1147" i="48"/>
  <c r="H1147" i="48"/>
  <c r="G1147" i="48"/>
  <c r="F1147" i="48"/>
  <c r="AS1147" i="48" s="1"/>
  <c r="E1147" i="48"/>
  <c r="AU1147" i="48" s="1"/>
  <c r="AS1146" i="48"/>
  <c r="AF1146" i="48"/>
  <c r="AT1146" i="48" s="1"/>
  <c r="AE1146" i="48"/>
  <c r="AC1146" i="48"/>
  <c r="AB1146" i="48"/>
  <c r="AA1146" i="48"/>
  <c r="AD1146" i="48" s="1"/>
  <c r="Z1146" i="48"/>
  <c r="I1146" i="48"/>
  <c r="H1146" i="48"/>
  <c r="G1146" i="48"/>
  <c r="F1146" i="48"/>
  <c r="E1146" i="48"/>
  <c r="AU1146" i="48" s="1"/>
  <c r="AU1145" i="48"/>
  <c r="AF1145" i="48"/>
  <c r="AT1145" i="48" s="1"/>
  <c r="AE1145" i="48"/>
  <c r="AC1145" i="48"/>
  <c r="AB1145" i="48"/>
  <c r="AA1145" i="48"/>
  <c r="AD1145" i="48" s="1"/>
  <c r="Z1145" i="48"/>
  <c r="I1145" i="48"/>
  <c r="H1145" i="48"/>
  <c r="G1145" i="48"/>
  <c r="F1145" i="48"/>
  <c r="AS1145" i="48" s="1"/>
  <c r="E1145" i="48"/>
  <c r="AF1144" i="48"/>
  <c r="AT1144" i="48" s="1"/>
  <c r="AE1144" i="48"/>
  <c r="AC1144" i="48"/>
  <c r="AB1144" i="48"/>
  <c r="AA1144" i="48"/>
  <c r="AD1144" i="48" s="1"/>
  <c r="Z1144" i="48"/>
  <c r="I1144" i="48"/>
  <c r="H1144" i="48"/>
  <c r="G1144" i="48"/>
  <c r="F1144" i="48"/>
  <c r="AS1144" i="48" s="1"/>
  <c r="E1144" i="48"/>
  <c r="AU1144" i="48" s="1"/>
  <c r="AF1143" i="48"/>
  <c r="AT1143" i="48" s="1"/>
  <c r="AE1143" i="48"/>
  <c r="AC1143" i="48"/>
  <c r="AB1143" i="48"/>
  <c r="AA1143" i="48"/>
  <c r="AD1143" i="48" s="1"/>
  <c r="Z1143" i="48"/>
  <c r="I1143" i="48"/>
  <c r="H1143" i="48"/>
  <c r="G1143" i="48"/>
  <c r="F1143" i="48"/>
  <c r="AS1143" i="48" s="1"/>
  <c r="E1143" i="48"/>
  <c r="AU1143" i="48" s="1"/>
  <c r="AF1142" i="48"/>
  <c r="AE1142" i="48"/>
  <c r="AC1142" i="48"/>
  <c r="AB1142" i="48"/>
  <c r="AA1142" i="48"/>
  <c r="AD1142" i="48" s="1"/>
  <c r="Z1142" i="48"/>
  <c r="I1142" i="48"/>
  <c r="H1142" i="48"/>
  <c r="G1142" i="48"/>
  <c r="F1142" i="48"/>
  <c r="AS1142" i="48" s="1"/>
  <c r="E1142" i="48"/>
  <c r="AU1142" i="48" s="1"/>
  <c r="AT1141" i="48"/>
  <c r="AF1141" i="48"/>
  <c r="AE1141" i="48"/>
  <c r="AC1141" i="48"/>
  <c r="Z1141" i="48"/>
  <c r="AB1141" i="48" s="1"/>
  <c r="I1141" i="48"/>
  <c r="H1141" i="48"/>
  <c r="G1141" i="48"/>
  <c r="F1141" i="48"/>
  <c r="AS1141" i="48" s="1"/>
  <c r="AA1141" i="48" s="1"/>
  <c r="AD1141" i="48" s="1"/>
  <c r="E1141" i="48"/>
  <c r="AU1141" i="48" s="1"/>
  <c r="AF1140" i="48"/>
  <c r="AT1140" i="48" s="1"/>
  <c r="AE1140" i="48"/>
  <c r="AD1140" i="48"/>
  <c r="AC1140" i="48"/>
  <c r="AB1140" i="48"/>
  <c r="AA1140" i="48"/>
  <c r="Z1140" i="48"/>
  <c r="I1140" i="48"/>
  <c r="H1140" i="48"/>
  <c r="G1140" i="48"/>
  <c r="F1140" i="48"/>
  <c r="AS1140" i="48" s="1"/>
  <c r="E1140" i="48"/>
  <c r="AU1140" i="48" s="1"/>
  <c r="AF1139" i="48"/>
  <c r="AT1139" i="48" s="1"/>
  <c r="AE1139" i="48"/>
  <c r="AC1139" i="48"/>
  <c r="Z1139" i="48"/>
  <c r="AB1139" i="48" s="1"/>
  <c r="I1139" i="48"/>
  <c r="H1139" i="48"/>
  <c r="G1139" i="48"/>
  <c r="F1139" i="48"/>
  <c r="AS1139" i="48" s="1"/>
  <c r="AA1139" i="48" s="1"/>
  <c r="AD1139" i="48" s="1"/>
  <c r="E1139" i="48"/>
  <c r="AU1139" i="48" s="1"/>
  <c r="AF1138" i="48"/>
  <c r="AT1138" i="48" s="1"/>
  <c r="AE1138" i="48"/>
  <c r="AC1138" i="48"/>
  <c r="Z1138" i="48"/>
  <c r="AB1138" i="48" s="1"/>
  <c r="I1138" i="48"/>
  <c r="H1138" i="48"/>
  <c r="G1138" i="48"/>
  <c r="F1138" i="48"/>
  <c r="AS1138" i="48" s="1"/>
  <c r="E1138" i="48"/>
  <c r="AU1138" i="48" s="1"/>
  <c r="AF1137" i="48"/>
  <c r="AE1137" i="48"/>
  <c r="AC1137" i="48"/>
  <c r="Z1137" i="48"/>
  <c r="AB1137" i="48" s="1"/>
  <c r="I1137" i="48"/>
  <c r="H1137" i="48"/>
  <c r="G1137" i="48"/>
  <c r="F1137" i="48"/>
  <c r="AS1137" i="48" s="1"/>
  <c r="AA1137" i="48" s="1"/>
  <c r="AD1137" i="48" s="1"/>
  <c r="E1137" i="48"/>
  <c r="AU1137" i="48" s="1"/>
  <c r="AF1136" i="48"/>
  <c r="AE1136" i="48"/>
  <c r="AC1136" i="48"/>
  <c r="Z1136" i="48"/>
  <c r="AB1136" i="48" s="1"/>
  <c r="I1136" i="48"/>
  <c r="H1136" i="48"/>
  <c r="G1136" i="48"/>
  <c r="F1136" i="48"/>
  <c r="AS1136" i="48" s="1"/>
  <c r="E1136" i="48"/>
  <c r="AU1136" i="48" s="1"/>
  <c r="AF1135" i="48"/>
  <c r="AT1135" i="48" s="1"/>
  <c r="AE1135" i="48"/>
  <c r="AC1135" i="48"/>
  <c r="Z1135" i="48"/>
  <c r="AB1135" i="48" s="1"/>
  <c r="I1135" i="48"/>
  <c r="H1135" i="48"/>
  <c r="G1135" i="48"/>
  <c r="F1135" i="48"/>
  <c r="AS1135" i="48" s="1"/>
  <c r="AA1135" i="48" s="1"/>
  <c r="AD1135" i="48" s="1"/>
  <c r="E1135" i="48"/>
  <c r="AU1135" i="48" s="1"/>
  <c r="AU1134" i="48"/>
  <c r="AF1134" i="48"/>
  <c r="AT1134" i="48" s="1"/>
  <c r="AE1134" i="48"/>
  <c r="AC1134" i="48"/>
  <c r="Z1134" i="48"/>
  <c r="AB1134" i="48" s="1"/>
  <c r="I1134" i="48"/>
  <c r="H1134" i="48"/>
  <c r="G1134" i="48"/>
  <c r="F1134" i="48"/>
  <c r="AS1134" i="48" s="1"/>
  <c r="E1134" i="48"/>
  <c r="AF1133" i="48"/>
  <c r="AE1133" i="48"/>
  <c r="AC1133" i="48"/>
  <c r="AB1133" i="48"/>
  <c r="AA1133" i="48"/>
  <c r="AD1133" i="48" s="1"/>
  <c r="Z1133" i="48"/>
  <c r="I1133" i="48"/>
  <c r="H1133" i="48"/>
  <c r="G1133" i="48"/>
  <c r="F1133" i="48"/>
  <c r="AS1133" i="48" s="1"/>
  <c r="E1133" i="48"/>
  <c r="AU1133" i="48" s="1"/>
  <c r="AF1132" i="48"/>
  <c r="AE1132" i="48"/>
  <c r="AC1132" i="48"/>
  <c r="AB1132" i="48"/>
  <c r="AA1132" i="48"/>
  <c r="AD1132" i="48" s="1"/>
  <c r="Z1132" i="48"/>
  <c r="I1132" i="48"/>
  <c r="H1132" i="48"/>
  <c r="G1132" i="48"/>
  <c r="F1132" i="48"/>
  <c r="AS1132" i="48" s="1"/>
  <c r="E1132" i="48"/>
  <c r="AU1132" i="48" s="1"/>
  <c r="AF1131" i="48"/>
  <c r="AT1131" i="48" s="1"/>
  <c r="AE1131" i="48"/>
  <c r="AC1131" i="48"/>
  <c r="Z1131" i="48"/>
  <c r="AB1131" i="48" s="1"/>
  <c r="I1131" i="48"/>
  <c r="H1131" i="48"/>
  <c r="G1131" i="48"/>
  <c r="F1131" i="48"/>
  <c r="AS1131" i="48" s="1"/>
  <c r="E1131" i="48"/>
  <c r="AU1131" i="48" s="1"/>
  <c r="AT1130" i="48"/>
  <c r="AF1130" i="48"/>
  <c r="AE1130" i="48"/>
  <c r="AC1130" i="48"/>
  <c r="AB1130" i="48"/>
  <c r="AA1130" i="48"/>
  <c r="AD1130" i="48" s="1"/>
  <c r="Z1130" i="48"/>
  <c r="I1130" i="48"/>
  <c r="H1130" i="48"/>
  <c r="G1130" i="48"/>
  <c r="F1130" i="48"/>
  <c r="AS1130" i="48" s="1"/>
  <c r="E1130" i="48"/>
  <c r="AU1130" i="48" s="1"/>
  <c r="AF1129" i="48"/>
  <c r="AE1129" i="48"/>
  <c r="AC1129" i="48"/>
  <c r="AB1129" i="48"/>
  <c r="Z1129" i="48"/>
  <c r="I1129" i="48"/>
  <c r="H1129" i="48"/>
  <c r="G1129" i="48"/>
  <c r="F1129" i="48"/>
  <c r="AS1129" i="48" s="1"/>
  <c r="AA1129" i="48" s="1"/>
  <c r="AD1129" i="48" s="1"/>
  <c r="E1129" i="48"/>
  <c r="AU1129" i="48" s="1"/>
  <c r="AS1128" i="48"/>
  <c r="AF1128" i="48"/>
  <c r="AT1128" i="48" s="1"/>
  <c r="AE1128" i="48"/>
  <c r="AC1128" i="48"/>
  <c r="AB1128" i="48"/>
  <c r="AA1128" i="48"/>
  <c r="AD1128" i="48" s="1"/>
  <c r="Z1128" i="48"/>
  <c r="I1128" i="48"/>
  <c r="H1128" i="48"/>
  <c r="G1128" i="48"/>
  <c r="F1128" i="48"/>
  <c r="E1128" i="48"/>
  <c r="AU1128" i="48" s="1"/>
  <c r="AS1127" i="48"/>
  <c r="AF1127" i="48"/>
  <c r="AE1127" i="48"/>
  <c r="AD1127" i="48"/>
  <c r="AC1127" i="48"/>
  <c r="AB1127" i="48"/>
  <c r="AA1127" i="48"/>
  <c r="Z1127" i="48"/>
  <c r="I1127" i="48"/>
  <c r="H1127" i="48"/>
  <c r="G1127" i="48"/>
  <c r="F1127" i="48"/>
  <c r="E1127" i="48"/>
  <c r="AU1127" i="48" s="1"/>
  <c r="AF1126" i="48"/>
  <c r="AE1126" i="48"/>
  <c r="AD1126" i="48"/>
  <c r="AC1126" i="48"/>
  <c r="AB1126" i="48"/>
  <c r="AA1126" i="48"/>
  <c r="Z1126" i="48"/>
  <c r="I1126" i="48"/>
  <c r="H1126" i="48"/>
  <c r="G1126" i="48"/>
  <c r="F1126" i="48"/>
  <c r="AS1126" i="48" s="1"/>
  <c r="E1126" i="48"/>
  <c r="AU1126" i="48" s="1"/>
  <c r="AF1125" i="48"/>
  <c r="AE1125" i="48"/>
  <c r="AC1125" i="48"/>
  <c r="AB1125" i="48"/>
  <c r="AA1125" i="48"/>
  <c r="AD1125" i="48" s="1"/>
  <c r="Z1125" i="48"/>
  <c r="I1125" i="48"/>
  <c r="H1125" i="48"/>
  <c r="G1125" i="48"/>
  <c r="F1125" i="48"/>
  <c r="AS1125" i="48" s="1"/>
  <c r="E1125" i="48"/>
  <c r="AU1125" i="48" s="1"/>
  <c r="AF1124" i="48"/>
  <c r="AE1124" i="48"/>
  <c r="AD1124" i="48"/>
  <c r="AC1124" i="48"/>
  <c r="AB1124" i="48"/>
  <c r="AA1124" i="48"/>
  <c r="Z1124" i="48"/>
  <c r="I1124" i="48"/>
  <c r="H1124" i="48"/>
  <c r="G1124" i="48"/>
  <c r="F1124" i="48"/>
  <c r="AS1124" i="48" s="1"/>
  <c r="E1124" i="48"/>
  <c r="AU1124" i="48" s="1"/>
  <c r="AF1123" i="48"/>
  <c r="AE1123" i="48"/>
  <c r="AC1123" i="48"/>
  <c r="AB1123" i="48"/>
  <c r="AA1123" i="48"/>
  <c r="AD1123" i="48" s="1"/>
  <c r="Z1123" i="48"/>
  <c r="I1123" i="48"/>
  <c r="H1123" i="48"/>
  <c r="G1123" i="48"/>
  <c r="F1123" i="48"/>
  <c r="AS1123" i="48" s="1"/>
  <c r="AT1123" i="48" s="1"/>
  <c r="E1123" i="48"/>
  <c r="AU1123" i="48" s="1"/>
  <c r="AF1122" i="48"/>
  <c r="AE1122" i="48"/>
  <c r="AC1122" i="48"/>
  <c r="AB1122" i="48"/>
  <c r="AA1122" i="48"/>
  <c r="AD1122" i="48" s="1"/>
  <c r="Z1122" i="48"/>
  <c r="I1122" i="48"/>
  <c r="H1122" i="48"/>
  <c r="G1122" i="48"/>
  <c r="F1122" i="48"/>
  <c r="AS1122" i="48" s="1"/>
  <c r="AT1122" i="48" s="1"/>
  <c r="E1122" i="48"/>
  <c r="AU1122" i="48" s="1"/>
  <c r="AF1121" i="48"/>
  <c r="AE1121" i="48"/>
  <c r="AC1121" i="48"/>
  <c r="AB1121" i="48"/>
  <c r="AA1121" i="48"/>
  <c r="AD1121" i="48" s="1"/>
  <c r="Z1121" i="48"/>
  <c r="I1121" i="48"/>
  <c r="H1121" i="48"/>
  <c r="G1121" i="48"/>
  <c r="F1121" i="48"/>
  <c r="AS1121" i="48" s="1"/>
  <c r="E1121" i="48"/>
  <c r="AU1121" i="48" s="1"/>
  <c r="AF1120" i="48"/>
  <c r="AE1120" i="48"/>
  <c r="AD1120" i="48"/>
  <c r="AC1120" i="48"/>
  <c r="AB1120" i="48"/>
  <c r="AA1120" i="48"/>
  <c r="Z1120" i="48"/>
  <c r="I1120" i="48"/>
  <c r="H1120" i="48"/>
  <c r="G1120" i="48"/>
  <c r="F1120" i="48"/>
  <c r="AS1120" i="48" s="1"/>
  <c r="E1120" i="48"/>
  <c r="AU1120" i="48" s="1"/>
  <c r="AF1119" i="48"/>
  <c r="AE1119" i="48"/>
  <c r="AD1119" i="48"/>
  <c r="AC1119" i="48"/>
  <c r="AB1119" i="48"/>
  <c r="AA1119" i="48"/>
  <c r="Z1119" i="48"/>
  <c r="I1119" i="48"/>
  <c r="H1119" i="48"/>
  <c r="G1119" i="48"/>
  <c r="F1119" i="48"/>
  <c r="AS1119" i="48" s="1"/>
  <c r="AT1119" i="48" s="1"/>
  <c r="E1119" i="48"/>
  <c r="AU1119" i="48" s="1"/>
  <c r="AF1118" i="48"/>
  <c r="AE1118" i="48"/>
  <c r="AC1118" i="48"/>
  <c r="Z1118" i="48"/>
  <c r="AB1118" i="48" s="1"/>
  <c r="I1118" i="48"/>
  <c r="H1118" i="48"/>
  <c r="G1118" i="48"/>
  <c r="F1118" i="48"/>
  <c r="AS1118" i="48" s="1"/>
  <c r="AT1118" i="48" s="1"/>
  <c r="E1118" i="48"/>
  <c r="AU1118" i="48" s="1"/>
  <c r="AF1117" i="48"/>
  <c r="AE1117" i="48"/>
  <c r="AC1117" i="48"/>
  <c r="AB1117" i="48"/>
  <c r="AA1117" i="48"/>
  <c r="AD1117" i="48" s="1"/>
  <c r="Z1117" i="48"/>
  <c r="I1117" i="48"/>
  <c r="H1117" i="48"/>
  <c r="G1117" i="48"/>
  <c r="F1117" i="48"/>
  <c r="AS1117" i="48" s="1"/>
  <c r="E1117" i="48"/>
  <c r="AU1117" i="48" s="1"/>
  <c r="AS1116" i="48"/>
  <c r="AF1116" i="48"/>
  <c r="AE1116" i="48"/>
  <c r="AC1116" i="48"/>
  <c r="AB1116" i="48"/>
  <c r="Z1116" i="48"/>
  <c r="I1116" i="48"/>
  <c r="H1116" i="48"/>
  <c r="G1116" i="48"/>
  <c r="F1116" i="48"/>
  <c r="E1116" i="48"/>
  <c r="AU1116" i="48" s="1"/>
  <c r="AF1115" i="48"/>
  <c r="AE1115" i="48"/>
  <c r="AC1115" i="48"/>
  <c r="AB1115" i="48"/>
  <c r="AA1115" i="48"/>
  <c r="AD1115" i="48" s="1"/>
  <c r="Z1115" i="48"/>
  <c r="I1115" i="48"/>
  <c r="H1115" i="48"/>
  <c r="G1115" i="48"/>
  <c r="F1115" i="48"/>
  <c r="AS1115" i="48" s="1"/>
  <c r="E1115" i="48"/>
  <c r="AU1115" i="48" s="1"/>
  <c r="AU1114" i="48"/>
  <c r="AF1114" i="48"/>
  <c r="AE1114" i="48"/>
  <c r="AC1114" i="48"/>
  <c r="Z1114" i="48"/>
  <c r="AB1114" i="48" s="1"/>
  <c r="I1114" i="48"/>
  <c r="H1114" i="48"/>
  <c r="G1114" i="48"/>
  <c r="F1114" i="48"/>
  <c r="AS1114" i="48" s="1"/>
  <c r="E1114" i="48"/>
  <c r="AF1113" i="48"/>
  <c r="AE1113" i="48"/>
  <c r="AC1113" i="48"/>
  <c r="AB1113" i="48"/>
  <c r="AA1113" i="48"/>
  <c r="AD1113" i="48" s="1"/>
  <c r="Z1113" i="48"/>
  <c r="I1113" i="48"/>
  <c r="H1113" i="48"/>
  <c r="G1113" i="48"/>
  <c r="F1113" i="48"/>
  <c r="AS1113" i="48" s="1"/>
  <c r="E1113" i="48"/>
  <c r="AU1113" i="48" s="1"/>
  <c r="AF1112" i="48"/>
  <c r="AE1112" i="48"/>
  <c r="AD1112" i="48"/>
  <c r="AC1112" i="48"/>
  <c r="AB1112" i="48"/>
  <c r="AA1112" i="48"/>
  <c r="Z1112" i="48"/>
  <c r="I1112" i="48"/>
  <c r="H1112" i="48"/>
  <c r="G1112" i="48"/>
  <c r="F1112" i="48"/>
  <c r="AS1112" i="48" s="1"/>
  <c r="E1112" i="48"/>
  <c r="AU1112" i="48" s="1"/>
  <c r="A1112" i="48"/>
  <c r="A1113" i="48" s="1"/>
  <c r="A1114" i="48" s="1"/>
  <c r="A1115" i="48" s="1"/>
  <c r="A1116" i="48" s="1"/>
  <c r="A1117" i="48" s="1"/>
  <c r="A1118" i="48" s="1"/>
  <c r="A1119" i="48" s="1"/>
  <c r="A1120" i="48" s="1"/>
  <c r="A1121" i="48" s="1"/>
  <c r="A1122" i="48" s="1"/>
  <c r="A1123" i="48" s="1"/>
  <c r="A1124" i="48" s="1"/>
  <c r="A1125" i="48" s="1"/>
  <c r="A1126" i="48" s="1"/>
  <c r="A1127" i="48" s="1"/>
  <c r="A1128" i="48" s="1"/>
  <c r="A1129" i="48" s="1"/>
  <c r="AF1111" i="48"/>
  <c r="AE1111" i="48"/>
  <c r="AC1111" i="48"/>
  <c r="AB1111" i="48"/>
  <c r="AA1111" i="48"/>
  <c r="AD1111" i="48" s="1"/>
  <c r="Z1111" i="48"/>
  <c r="I1111" i="48"/>
  <c r="H1111" i="48"/>
  <c r="G1111" i="48"/>
  <c r="F1111" i="48"/>
  <c r="AS1111" i="48" s="1"/>
  <c r="AT1111" i="48" s="1"/>
  <c r="E1111" i="48"/>
  <c r="AU1111" i="48" s="1"/>
  <c r="A1111" i="48"/>
  <c r="AF1110" i="48"/>
  <c r="AT1110" i="48" s="1"/>
  <c r="AE1110" i="48"/>
  <c r="AC1110" i="48"/>
  <c r="AB1110" i="48"/>
  <c r="AA1110" i="48"/>
  <c r="AD1110" i="48" s="1"/>
  <c r="Z1110" i="48"/>
  <c r="I1110" i="48"/>
  <c r="H1110" i="48"/>
  <c r="G1110" i="48"/>
  <c r="F1110" i="48"/>
  <c r="AS1110" i="48" s="1"/>
  <c r="E1110" i="48"/>
  <c r="AU1110" i="48" s="1"/>
  <c r="AU1109" i="48"/>
  <c r="AF1109" i="48"/>
  <c r="AT1109" i="48" s="1"/>
  <c r="AE1109" i="48"/>
  <c r="AC1109" i="48"/>
  <c r="AB1109" i="48"/>
  <c r="AA1109" i="48"/>
  <c r="AD1109" i="48" s="1"/>
  <c r="Z1109" i="48"/>
  <c r="I1109" i="48"/>
  <c r="H1109" i="48"/>
  <c r="G1109" i="48"/>
  <c r="F1109" i="48"/>
  <c r="AS1109" i="48" s="1"/>
  <c r="E1109" i="48"/>
  <c r="AF1108" i="48"/>
  <c r="AT1108" i="48" s="1"/>
  <c r="AE1108" i="48"/>
  <c r="AC1108" i="48"/>
  <c r="AB1108" i="48"/>
  <c r="AA1108" i="48"/>
  <c r="AD1108" i="48" s="1"/>
  <c r="Z1108" i="48"/>
  <c r="I1108" i="48"/>
  <c r="H1108" i="48"/>
  <c r="G1108" i="48"/>
  <c r="F1108" i="48"/>
  <c r="AS1108" i="48" s="1"/>
  <c r="E1108" i="48"/>
  <c r="AU1108" i="48" s="1"/>
  <c r="AF1107" i="48"/>
  <c r="AE1107" i="48"/>
  <c r="AC1107" i="48"/>
  <c r="AB1107" i="48"/>
  <c r="AA1107" i="48"/>
  <c r="AD1107" i="48" s="1"/>
  <c r="Z1107" i="48"/>
  <c r="I1107" i="48"/>
  <c r="H1107" i="48"/>
  <c r="G1107" i="48"/>
  <c r="F1107" i="48"/>
  <c r="AS1107" i="48" s="1"/>
  <c r="E1107" i="48"/>
  <c r="AU1107" i="48" s="1"/>
  <c r="AT1106" i="48"/>
  <c r="AF1106" i="48"/>
  <c r="AE1106" i="48"/>
  <c r="AD1106" i="48"/>
  <c r="AC1106" i="48"/>
  <c r="AB1106" i="48"/>
  <c r="AA1106" i="48"/>
  <c r="Z1106" i="48"/>
  <c r="I1106" i="48"/>
  <c r="H1106" i="48"/>
  <c r="G1106" i="48"/>
  <c r="F1106" i="48"/>
  <c r="AS1106" i="48" s="1"/>
  <c r="E1106" i="48"/>
  <c r="AU1106" i="48" s="1"/>
  <c r="AF1105" i="48"/>
  <c r="AE1105" i="48"/>
  <c r="AC1105" i="48"/>
  <c r="AB1105" i="48"/>
  <c r="AA1105" i="48"/>
  <c r="AD1105" i="48" s="1"/>
  <c r="Z1105" i="48"/>
  <c r="I1105" i="48"/>
  <c r="H1105" i="48"/>
  <c r="G1105" i="48"/>
  <c r="F1105" i="48"/>
  <c r="AS1105" i="48" s="1"/>
  <c r="E1105" i="48"/>
  <c r="AU1105" i="48" s="1"/>
  <c r="AF1104" i="48"/>
  <c r="AE1104" i="48"/>
  <c r="AC1104" i="48"/>
  <c r="AB1104" i="48"/>
  <c r="AA1104" i="48"/>
  <c r="AD1104" i="48" s="1"/>
  <c r="Z1104" i="48"/>
  <c r="I1104" i="48"/>
  <c r="H1104" i="48"/>
  <c r="G1104" i="48"/>
  <c r="F1104" i="48"/>
  <c r="AS1104" i="48" s="1"/>
  <c r="E1104" i="48"/>
  <c r="AU1104" i="48" s="1"/>
  <c r="AT1103" i="48"/>
  <c r="AF1103" i="48"/>
  <c r="AE1103" i="48"/>
  <c r="AD1103" i="48"/>
  <c r="AC1103" i="48"/>
  <c r="AB1103" i="48"/>
  <c r="AA1103" i="48"/>
  <c r="Z1103" i="48"/>
  <c r="I1103" i="48"/>
  <c r="H1103" i="48"/>
  <c r="G1103" i="48"/>
  <c r="F1103" i="48"/>
  <c r="AS1103" i="48" s="1"/>
  <c r="E1103" i="48"/>
  <c r="AU1103" i="48" s="1"/>
  <c r="AF1102" i="48"/>
  <c r="AT1102" i="48" s="1"/>
  <c r="AE1102" i="48"/>
  <c r="AC1102" i="48"/>
  <c r="AB1102" i="48"/>
  <c r="AA1102" i="48"/>
  <c r="AD1102" i="48" s="1"/>
  <c r="Z1102" i="48"/>
  <c r="I1102" i="48"/>
  <c r="H1102" i="48"/>
  <c r="G1102" i="48"/>
  <c r="F1102" i="48"/>
  <c r="AS1102" i="48" s="1"/>
  <c r="E1102" i="48"/>
  <c r="AU1102" i="48" s="1"/>
  <c r="AF1101" i="48"/>
  <c r="AE1101" i="48"/>
  <c r="AD1101" i="48"/>
  <c r="AC1101" i="48"/>
  <c r="AB1101" i="48"/>
  <c r="AA1101" i="48"/>
  <c r="Z1101" i="48"/>
  <c r="I1101" i="48"/>
  <c r="H1101" i="48"/>
  <c r="G1101" i="48"/>
  <c r="F1101" i="48"/>
  <c r="AS1101" i="48" s="1"/>
  <c r="E1101" i="48"/>
  <c r="AU1101" i="48" s="1"/>
  <c r="AU1100" i="48"/>
  <c r="AF1100" i="48"/>
  <c r="AT1100" i="48" s="1"/>
  <c r="AE1100" i="48"/>
  <c r="AC1100" i="48"/>
  <c r="AB1100" i="48"/>
  <c r="AA1100" i="48"/>
  <c r="AD1100" i="48" s="1"/>
  <c r="Z1100" i="48"/>
  <c r="I1100" i="48"/>
  <c r="H1100" i="48"/>
  <c r="G1100" i="48"/>
  <c r="F1100" i="48"/>
  <c r="AS1100" i="48" s="1"/>
  <c r="E1100" i="48"/>
  <c r="AF1099" i="48"/>
  <c r="AE1099" i="48"/>
  <c r="AC1099" i="48"/>
  <c r="Z1099" i="48"/>
  <c r="AB1099" i="48" s="1"/>
  <c r="I1099" i="48"/>
  <c r="H1099" i="48"/>
  <c r="G1099" i="48"/>
  <c r="F1099" i="48"/>
  <c r="AS1099" i="48" s="1"/>
  <c r="E1099" i="48"/>
  <c r="AU1099" i="48" s="1"/>
  <c r="AF1098" i="48"/>
  <c r="AE1098" i="48"/>
  <c r="AC1098" i="48"/>
  <c r="Z1098" i="48"/>
  <c r="AB1098" i="48" s="1"/>
  <c r="I1098" i="48"/>
  <c r="H1098" i="48"/>
  <c r="G1098" i="48"/>
  <c r="F1098" i="48"/>
  <c r="AS1098" i="48" s="1"/>
  <c r="E1098" i="48"/>
  <c r="AU1098" i="48" s="1"/>
  <c r="AT1097" i="48"/>
  <c r="AF1097" i="48"/>
  <c r="AE1097" i="48"/>
  <c r="AD1097" i="48"/>
  <c r="AC1097" i="48"/>
  <c r="Z1097" i="48"/>
  <c r="AB1097" i="48" s="1"/>
  <c r="I1097" i="48"/>
  <c r="H1097" i="48"/>
  <c r="G1097" i="48"/>
  <c r="F1097" i="48"/>
  <c r="AS1097" i="48" s="1"/>
  <c r="AA1097" i="48" s="1"/>
  <c r="E1097" i="48"/>
  <c r="AU1097" i="48" s="1"/>
  <c r="AT1096" i="48"/>
  <c r="AF1096" i="48"/>
  <c r="AE1096" i="48"/>
  <c r="AC1096" i="48"/>
  <c r="AB1096" i="48"/>
  <c r="AA1096" i="48"/>
  <c r="AD1096" i="48" s="1"/>
  <c r="Z1096" i="48"/>
  <c r="I1096" i="48"/>
  <c r="H1096" i="48"/>
  <c r="G1096" i="48"/>
  <c r="F1096" i="48"/>
  <c r="AS1096" i="48" s="1"/>
  <c r="E1096" i="48"/>
  <c r="AU1096" i="48" s="1"/>
  <c r="AU1095" i="48"/>
  <c r="AF1095" i="48"/>
  <c r="AE1095" i="48"/>
  <c r="AC1095" i="48"/>
  <c r="Z1095" i="48"/>
  <c r="AB1095" i="48" s="1"/>
  <c r="I1095" i="48"/>
  <c r="H1095" i="48"/>
  <c r="G1095" i="48"/>
  <c r="F1095" i="48"/>
  <c r="AS1095" i="48" s="1"/>
  <c r="E1095" i="48"/>
  <c r="AF1094" i="48"/>
  <c r="AE1094" i="48"/>
  <c r="AC1094" i="48"/>
  <c r="Z1094" i="48"/>
  <c r="AB1094" i="48" s="1"/>
  <c r="I1094" i="48"/>
  <c r="H1094" i="48"/>
  <c r="G1094" i="48"/>
  <c r="F1094" i="48"/>
  <c r="AS1094" i="48" s="1"/>
  <c r="E1094" i="48"/>
  <c r="AU1094" i="48" s="1"/>
  <c r="AF1093" i="48"/>
  <c r="AT1093" i="48" s="1"/>
  <c r="AE1093" i="48"/>
  <c r="AC1093" i="48"/>
  <c r="Z1093" i="48"/>
  <c r="AB1093" i="48" s="1"/>
  <c r="I1093" i="48"/>
  <c r="H1093" i="48"/>
  <c r="G1093" i="48"/>
  <c r="F1093" i="48"/>
  <c r="AS1093" i="48" s="1"/>
  <c r="AA1093" i="48" s="1"/>
  <c r="AD1093" i="48" s="1"/>
  <c r="E1093" i="48"/>
  <c r="AU1093" i="48" s="1"/>
  <c r="AF1092" i="48"/>
  <c r="AT1092" i="48" s="1"/>
  <c r="AE1092" i="48"/>
  <c r="AC1092" i="48"/>
  <c r="Z1092" i="48"/>
  <c r="AB1092" i="48" s="1"/>
  <c r="I1092" i="48"/>
  <c r="H1092" i="48"/>
  <c r="G1092" i="48"/>
  <c r="F1092" i="48"/>
  <c r="AS1092" i="48" s="1"/>
  <c r="E1092" i="48"/>
  <c r="AU1092" i="48" s="1"/>
  <c r="AF1091" i="48"/>
  <c r="AT1091" i="48" s="1"/>
  <c r="AE1091" i="48"/>
  <c r="AC1091" i="48"/>
  <c r="AB1091" i="48"/>
  <c r="AA1091" i="48"/>
  <c r="AD1091" i="48" s="1"/>
  <c r="Z1091" i="48"/>
  <c r="I1091" i="48"/>
  <c r="H1091" i="48"/>
  <c r="G1091" i="48"/>
  <c r="F1091" i="48"/>
  <c r="AS1091" i="48" s="1"/>
  <c r="E1091" i="48"/>
  <c r="AU1091" i="48" s="1"/>
  <c r="AS1090" i="48"/>
  <c r="AF1090" i="48"/>
  <c r="AE1090" i="48"/>
  <c r="AC1090" i="48"/>
  <c r="AB1090" i="48"/>
  <c r="Z1090" i="48"/>
  <c r="I1090" i="48"/>
  <c r="H1090" i="48"/>
  <c r="G1090" i="48"/>
  <c r="F1090" i="48"/>
  <c r="E1090" i="48"/>
  <c r="AU1090" i="48" s="1"/>
  <c r="AT1089" i="48"/>
  <c r="AF1089" i="48"/>
  <c r="AE1089" i="48"/>
  <c r="AD1089" i="48"/>
  <c r="AC1089" i="48"/>
  <c r="AB1089" i="48"/>
  <c r="AA1089" i="48"/>
  <c r="Z1089" i="48"/>
  <c r="I1089" i="48"/>
  <c r="H1089" i="48"/>
  <c r="G1089" i="48"/>
  <c r="F1089" i="48"/>
  <c r="AS1089" i="48" s="1"/>
  <c r="E1089" i="48"/>
  <c r="AU1089" i="48" s="1"/>
  <c r="AF1088" i="48"/>
  <c r="AE1088" i="48"/>
  <c r="AC1088" i="48"/>
  <c r="AB1088" i="48"/>
  <c r="AA1088" i="48"/>
  <c r="AD1088" i="48" s="1"/>
  <c r="Z1088" i="48"/>
  <c r="I1088" i="48"/>
  <c r="H1088" i="48"/>
  <c r="G1088" i="48"/>
  <c r="F1088" i="48"/>
  <c r="AS1088" i="48" s="1"/>
  <c r="AT1088" i="48" s="1"/>
  <c r="E1088" i="48"/>
  <c r="AU1088" i="48" s="1"/>
  <c r="AF1087" i="48"/>
  <c r="AE1087" i="48"/>
  <c r="AC1087" i="48"/>
  <c r="AB1087" i="48"/>
  <c r="AA1087" i="48"/>
  <c r="AD1087" i="48" s="1"/>
  <c r="Z1087" i="48"/>
  <c r="I1087" i="48"/>
  <c r="H1087" i="48"/>
  <c r="G1087" i="48"/>
  <c r="F1087" i="48"/>
  <c r="AS1087" i="48" s="1"/>
  <c r="E1087" i="48"/>
  <c r="AU1087" i="48" s="1"/>
  <c r="AF1086" i="48"/>
  <c r="AE1086" i="48"/>
  <c r="AC1086" i="48"/>
  <c r="AB1086" i="48"/>
  <c r="AA1086" i="48"/>
  <c r="AD1086" i="48" s="1"/>
  <c r="Z1086" i="48"/>
  <c r="I1086" i="48"/>
  <c r="H1086" i="48"/>
  <c r="G1086" i="48"/>
  <c r="F1086" i="48"/>
  <c r="AS1086" i="48" s="1"/>
  <c r="E1086" i="48"/>
  <c r="AU1086" i="48" s="1"/>
  <c r="AF1085" i="48"/>
  <c r="AE1085" i="48"/>
  <c r="AC1085" i="48"/>
  <c r="AB1085" i="48"/>
  <c r="AA1085" i="48"/>
  <c r="AD1085" i="48" s="1"/>
  <c r="Z1085" i="48"/>
  <c r="I1085" i="48"/>
  <c r="H1085" i="48"/>
  <c r="G1085" i="48"/>
  <c r="F1085" i="48"/>
  <c r="AS1085" i="48" s="1"/>
  <c r="AT1085" i="48" s="1"/>
  <c r="E1085" i="48"/>
  <c r="AU1085" i="48" s="1"/>
  <c r="AF1084" i="48"/>
  <c r="AE1084" i="48"/>
  <c r="AC1084" i="48"/>
  <c r="AB1084" i="48"/>
  <c r="AA1084" i="48"/>
  <c r="AD1084" i="48" s="1"/>
  <c r="Z1084" i="48"/>
  <c r="I1084" i="48"/>
  <c r="H1084" i="48"/>
  <c r="G1084" i="48"/>
  <c r="F1084" i="48"/>
  <c r="AS1084" i="48" s="1"/>
  <c r="AT1084" i="48" s="1"/>
  <c r="E1084" i="48"/>
  <c r="AU1084" i="48" s="1"/>
  <c r="AF1083" i="48"/>
  <c r="AE1083" i="48"/>
  <c r="AC1083" i="48"/>
  <c r="AB1083" i="48"/>
  <c r="AA1083" i="48"/>
  <c r="AD1083" i="48" s="1"/>
  <c r="Z1083" i="48"/>
  <c r="I1083" i="48"/>
  <c r="H1083" i="48"/>
  <c r="G1083" i="48"/>
  <c r="F1083" i="48"/>
  <c r="AS1083" i="48" s="1"/>
  <c r="E1083" i="48"/>
  <c r="AU1083" i="48" s="1"/>
  <c r="AF1082" i="48"/>
  <c r="AE1082" i="48"/>
  <c r="AC1082" i="48"/>
  <c r="AB1082" i="48"/>
  <c r="AA1082" i="48"/>
  <c r="AD1082" i="48" s="1"/>
  <c r="Z1082" i="48"/>
  <c r="I1082" i="48"/>
  <c r="H1082" i="48"/>
  <c r="G1082" i="48"/>
  <c r="F1082" i="48"/>
  <c r="AS1082" i="48" s="1"/>
  <c r="E1082" i="48"/>
  <c r="AU1082" i="48" s="1"/>
  <c r="AF1081" i="48"/>
  <c r="AE1081" i="48"/>
  <c r="AD1081" i="48"/>
  <c r="AC1081" i="48"/>
  <c r="AB1081" i="48"/>
  <c r="AA1081" i="48"/>
  <c r="Z1081" i="48"/>
  <c r="I1081" i="48"/>
  <c r="H1081" i="48"/>
  <c r="G1081" i="48"/>
  <c r="F1081" i="48"/>
  <c r="AS1081" i="48" s="1"/>
  <c r="AT1081" i="48" s="1"/>
  <c r="E1081" i="48"/>
  <c r="AU1081" i="48" s="1"/>
  <c r="AF1080" i="48"/>
  <c r="AE1080" i="48"/>
  <c r="AC1080" i="48"/>
  <c r="AB1080" i="48"/>
  <c r="AA1080" i="48"/>
  <c r="AD1080" i="48" s="1"/>
  <c r="Z1080" i="48"/>
  <c r="I1080" i="48"/>
  <c r="H1080" i="48"/>
  <c r="G1080" i="48"/>
  <c r="F1080" i="48"/>
  <c r="AS1080" i="48" s="1"/>
  <c r="AT1080" i="48" s="1"/>
  <c r="E1080" i="48"/>
  <c r="AU1080" i="48" s="1"/>
  <c r="AF1079" i="48"/>
  <c r="AT1079" i="48" s="1"/>
  <c r="AE1079" i="48"/>
  <c r="AC1079" i="48"/>
  <c r="AB1079" i="48"/>
  <c r="AA1079" i="48"/>
  <c r="AD1079" i="48" s="1"/>
  <c r="Z1079" i="48"/>
  <c r="I1079" i="48"/>
  <c r="H1079" i="48"/>
  <c r="G1079" i="48"/>
  <c r="F1079" i="48"/>
  <c r="AS1079" i="48" s="1"/>
  <c r="E1079" i="48"/>
  <c r="AU1079" i="48" s="1"/>
  <c r="AF1078" i="48"/>
  <c r="AE1078" i="48"/>
  <c r="AC1078" i="48"/>
  <c r="AB1078" i="48"/>
  <c r="AA1078" i="48"/>
  <c r="AD1078" i="48" s="1"/>
  <c r="Z1078" i="48"/>
  <c r="I1078" i="48"/>
  <c r="H1078" i="48"/>
  <c r="G1078" i="48"/>
  <c r="F1078" i="48"/>
  <c r="AS1078" i="48" s="1"/>
  <c r="E1078" i="48"/>
  <c r="AU1078" i="48" s="1"/>
  <c r="AF1077" i="48"/>
  <c r="AE1077" i="48"/>
  <c r="AC1077" i="48"/>
  <c r="Z1077" i="48"/>
  <c r="AB1077" i="48" s="1"/>
  <c r="I1077" i="48"/>
  <c r="H1077" i="48"/>
  <c r="G1077" i="48"/>
  <c r="F1077" i="48"/>
  <c r="AS1077" i="48" s="1"/>
  <c r="AA1077" i="48" s="1"/>
  <c r="AD1077" i="48" s="1"/>
  <c r="E1077" i="48"/>
  <c r="AU1077" i="48" s="1"/>
  <c r="AF1076" i="48"/>
  <c r="AE1076" i="48"/>
  <c r="AC1076" i="48"/>
  <c r="AB1076" i="48"/>
  <c r="AA1076" i="48"/>
  <c r="AD1076" i="48" s="1"/>
  <c r="Z1076" i="48"/>
  <c r="I1076" i="48"/>
  <c r="H1076" i="48"/>
  <c r="G1076" i="48"/>
  <c r="F1076" i="48"/>
  <c r="AS1076" i="48" s="1"/>
  <c r="AT1076" i="48" s="1"/>
  <c r="E1076" i="48"/>
  <c r="AU1076" i="48" s="1"/>
  <c r="AF1075" i="48"/>
  <c r="AE1075" i="48"/>
  <c r="AC1075" i="48"/>
  <c r="Z1075" i="48"/>
  <c r="AB1075" i="48" s="1"/>
  <c r="I1075" i="48"/>
  <c r="H1075" i="48"/>
  <c r="G1075" i="48"/>
  <c r="F1075" i="48"/>
  <c r="AS1075" i="48" s="1"/>
  <c r="E1075" i="48"/>
  <c r="AU1075" i="48" s="1"/>
  <c r="AF1074" i="48"/>
  <c r="AE1074" i="48"/>
  <c r="AC1074" i="48"/>
  <c r="AB1074" i="48"/>
  <c r="AA1074" i="48"/>
  <c r="AD1074" i="48" s="1"/>
  <c r="Z1074" i="48"/>
  <c r="I1074" i="48"/>
  <c r="H1074" i="48"/>
  <c r="G1074" i="48"/>
  <c r="F1074" i="48"/>
  <c r="AS1074" i="48" s="1"/>
  <c r="E1074" i="48"/>
  <c r="AU1074" i="48" s="1"/>
  <c r="AF1073" i="48"/>
  <c r="AE1073" i="48"/>
  <c r="AC1073" i="48"/>
  <c r="AB1073" i="48"/>
  <c r="AA1073" i="48"/>
  <c r="AD1073" i="48" s="1"/>
  <c r="Z1073" i="48"/>
  <c r="I1073" i="48"/>
  <c r="H1073" i="48"/>
  <c r="G1073" i="48"/>
  <c r="F1073" i="48"/>
  <c r="AS1073" i="48" s="1"/>
  <c r="E1073" i="48"/>
  <c r="AU1073" i="48" s="1"/>
  <c r="AF1072" i="48"/>
  <c r="AE1072" i="48"/>
  <c r="AC1072" i="48"/>
  <c r="AB1072" i="48"/>
  <c r="AA1072" i="48"/>
  <c r="AD1072" i="48" s="1"/>
  <c r="Z1072" i="48"/>
  <c r="I1072" i="48"/>
  <c r="H1072" i="48"/>
  <c r="G1072" i="48"/>
  <c r="F1072" i="48"/>
  <c r="AS1072" i="48" s="1"/>
  <c r="E1072" i="48"/>
  <c r="AU1072" i="48" s="1"/>
  <c r="A1072" i="48"/>
  <c r="A1073" i="48" s="1"/>
  <c r="A1074" i="48" s="1"/>
  <c r="A1075" i="48" s="1"/>
  <c r="A1076" i="48" s="1"/>
  <c r="A1077" i="48" s="1"/>
  <c r="A1078" i="48" s="1"/>
  <c r="A1079" i="48" s="1"/>
  <c r="A1080" i="48" s="1"/>
  <c r="A1081" i="48" s="1"/>
  <c r="A1082" i="48" s="1"/>
  <c r="A1083" i="48" s="1"/>
  <c r="A1084" i="48" s="1"/>
  <c r="A1085" i="48" s="1"/>
  <c r="A1086" i="48" s="1"/>
  <c r="A1087" i="48" s="1"/>
  <c r="A1088" i="48" s="1"/>
  <c r="A1089" i="48" s="1"/>
  <c r="A1090" i="48" s="1"/>
  <c r="A1091" i="48" s="1"/>
  <c r="A1092" i="48" s="1"/>
  <c r="A1093" i="48" s="1"/>
  <c r="A1094" i="48" s="1"/>
  <c r="A1095" i="48" s="1"/>
  <c r="A1096" i="48" s="1"/>
  <c r="A1097" i="48" s="1"/>
  <c r="A1098" i="48" s="1"/>
  <c r="A1099" i="48" s="1"/>
  <c r="A1100" i="48" s="1"/>
  <c r="A1101" i="48" s="1"/>
  <c r="A1102" i="48" s="1"/>
  <c r="A1103" i="48" s="1"/>
  <c r="A1104" i="48" s="1"/>
  <c r="A1105" i="48" s="1"/>
  <c r="A1106" i="48" s="1"/>
  <c r="A1107" i="48" s="1"/>
  <c r="A1108" i="48" s="1"/>
  <c r="A1109" i="48" s="1"/>
  <c r="AF1071" i="48"/>
  <c r="AE1071" i="48"/>
  <c r="AC1071" i="48"/>
  <c r="AB1071" i="48"/>
  <c r="AA1071" i="48"/>
  <c r="AD1071" i="48" s="1"/>
  <c r="Z1071" i="48"/>
  <c r="I1071" i="48"/>
  <c r="H1071" i="48"/>
  <c r="G1071" i="48"/>
  <c r="F1071" i="48"/>
  <c r="AS1071" i="48" s="1"/>
  <c r="E1071" i="48"/>
  <c r="AU1071" i="48" s="1"/>
  <c r="AF1070" i="48"/>
  <c r="AT1070" i="48" s="1"/>
  <c r="AE1070" i="48"/>
  <c r="AC1070" i="48"/>
  <c r="AB1070" i="48"/>
  <c r="AA1070" i="48"/>
  <c r="AD1070" i="48" s="1"/>
  <c r="Z1070" i="48"/>
  <c r="I1070" i="48"/>
  <c r="H1070" i="48"/>
  <c r="G1070" i="48"/>
  <c r="F1070" i="48"/>
  <c r="AS1070" i="48" s="1"/>
  <c r="E1070" i="48"/>
  <c r="AU1070" i="48" s="1"/>
  <c r="AF1069" i="48"/>
  <c r="AE1069" i="48"/>
  <c r="AC1069" i="48"/>
  <c r="AB1069" i="48"/>
  <c r="AA1069" i="48"/>
  <c r="AD1069" i="48" s="1"/>
  <c r="Z1069" i="48"/>
  <c r="I1069" i="48"/>
  <c r="H1069" i="48"/>
  <c r="G1069" i="48"/>
  <c r="F1069" i="48"/>
  <c r="AS1069" i="48" s="1"/>
  <c r="E1069" i="48"/>
  <c r="AU1069" i="48" s="1"/>
  <c r="AS1068" i="48"/>
  <c r="AF1068" i="48"/>
  <c r="AT1068" i="48" s="1"/>
  <c r="AE1068" i="48"/>
  <c r="AC1068" i="48"/>
  <c r="AB1068" i="48"/>
  <c r="AA1068" i="48"/>
  <c r="AD1068" i="48" s="1"/>
  <c r="Z1068" i="48"/>
  <c r="I1068" i="48"/>
  <c r="H1068" i="48"/>
  <c r="G1068" i="48"/>
  <c r="F1068" i="48"/>
  <c r="E1068" i="48"/>
  <c r="AU1068" i="48" s="1"/>
  <c r="AT1067" i="48"/>
  <c r="AF1067" i="48"/>
  <c r="AE1067" i="48"/>
  <c r="AC1067" i="48"/>
  <c r="AB1067" i="48"/>
  <c r="AA1067" i="48"/>
  <c r="AD1067" i="48" s="1"/>
  <c r="Z1067" i="48"/>
  <c r="I1067" i="48"/>
  <c r="H1067" i="48"/>
  <c r="G1067" i="48"/>
  <c r="F1067" i="48"/>
  <c r="AS1067" i="48" s="1"/>
  <c r="E1067" i="48"/>
  <c r="AU1067" i="48" s="1"/>
  <c r="AF1066" i="48"/>
  <c r="AE1066" i="48"/>
  <c r="AC1066" i="48"/>
  <c r="AB1066" i="48"/>
  <c r="AA1066" i="48"/>
  <c r="AD1066" i="48" s="1"/>
  <c r="Z1066" i="48"/>
  <c r="I1066" i="48"/>
  <c r="H1066" i="48"/>
  <c r="G1066" i="48"/>
  <c r="F1066" i="48"/>
  <c r="AS1066" i="48" s="1"/>
  <c r="E1066" i="48"/>
  <c r="AU1066" i="48" s="1"/>
  <c r="AF1065" i="48"/>
  <c r="AT1065" i="48" s="1"/>
  <c r="AE1065" i="48"/>
  <c r="AC1065" i="48"/>
  <c r="AB1065" i="48"/>
  <c r="AA1065" i="48"/>
  <c r="AD1065" i="48" s="1"/>
  <c r="Z1065" i="48"/>
  <c r="I1065" i="48"/>
  <c r="H1065" i="48"/>
  <c r="G1065" i="48"/>
  <c r="F1065" i="48"/>
  <c r="AS1065" i="48" s="1"/>
  <c r="E1065" i="48"/>
  <c r="AU1065" i="48" s="1"/>
  <c r="AT1064" i="48"/>
  <c r="AF1064" i="48"/>
  <c r="AE1064" i="48"/>
  <c r="AC1064" i="48"/>
  <c r="AB1064" i="48"/>
  <c r="AA1064" i="48"/>
  <c r="AD1064" i="48" s="1"/>
  <c r="Z1064" i="48"/>
  <c r="I1064" i="48"/>
  <c r="H1064" i="48"/>
  <c r="G1064" i="48"/>
  <c r="F1064" i="48"/>
  <c r="AS1064" i="48" s="1"/>
  <c r="E1064" i="48"/>
  <c r="AU1064" i="48" s="1"/>
  <c r="AF1063" i="48"/>
  <c r="AT1063" i="48" s="1"/>
  <c r="AE1063" i="48"/>
  <c r="AC1063" i="48"/>
  <c r="AB1063" i="48"/>
  <c r="AA1063" i="48"/>
  <c r="AD1063" i="48" s="1"/>
  <c r="Z1063" i="48"/>
  <c r="I1063" i="48"/>
  <c r="H1063" i="48"/>
  <c r="G1063" i="48"/>
  <c r="F1063" i="48"/>
  <c r="AS1063" i="48" s="1"/>
  <c r="E1063" i="48"/>
  <c r="AU1063" i="48" s="1"/>
  <c r="AS1062" i="48"/>
  <c r="AF1062" i="48"/>
  <c r="AT1062" i="48" s="1"/>
  <c r="AE1062" i="48"/>
  <c r="AC1062" i="48"/>
  <c r="AB1062" i="48"/>
  <c r="AA1062" i="48"/>
  <c r="AD1062" i="48" s="1"/>
  <c r="Z1062" i="48"/>
  <c r="I1062" i="48"/>
  <c r="H1062" i="48"/>
  <c r="G1062" i="48"/>
  <c r="F1062" i="48"/>
  <c r="E1062" i="48"/>
  <c r="AU1062" i="48" s="1"/>
  <c r="AS1061" i="48"/>
  <c r="AF1061" i="48"/>
  <c r="AE1061" i="48"/>
  <c r="AC1061" i="48"/>
  <c r="AB1061" i="48"/>
  <c r="AA1061" i="48"/>
  <c r="AD1061" i="48" s="1"/>
  <c r="Z1061" i="48"/>
  <c r="I1061" i="48"/>
  <c r="H1061" i="48"/>
  <c r="G1061" i="48"/>
  <c r="F1061" i="48"/>
  <c r="E1061" i="48"/>
  <c r="AU1061" i="48" s="1"/>
  <c r="AF1060" i="48"/>
  <c r="AT1060" i="48" s="1"/>
  <c r="AE1060" i="48"/>
  <c r="AC1060" i="48"/>
  <c r="Z1060" i="48"/>
  <c r="AB1060" i="48" s="1"/>
  <c r="I1060" i="48"/>
  <c r="H1060" i="48"/>
  <c r="G1060" i="48"/>
  <c r="F1060" i="48"/>
  <c r="AS1060" i="48" s="1"/>
  <c r="AA1060" i="48" s="1"/>
  <c r="AD1060" i="48" s="1"/>
  <c r="E1060" i="48"/>
  <c r="AU1060" i="48" s="1"/>
  <c r="AT1059" i="48"/>
  <c r="AF1059" i="48"/>
  <c r="AE1059" i="48"/>
  <c r="AC1059" i="48"/>
  <c r="Z1059" i="48"/>
  <c r="AB1059" i="48" s="1"/>
  <c r="I1059" i="48"/>
  <c r="H1059" i="48"/>
  <c r="G1059" i="48"/>
  <c r="F1059" i="48"/>
  <c r="AS1059" i="48" s="1"/>
  <c r="AA1059" i="48" s="1"/>
  <c r="AD1059" i="48" s="1"/>
  <c r="E1059" i="48"/>
  <c r="AU1059" i="48" s="1"/>
  <c r="AS1058" i="48"/>
  <c r="AA1058" i="48" s="1"/>
  <c r="AD1058" i="48" s="1"/>
  <c r="AF1058" i="48"/>
  <c r="AT1058" i="48" s="1"/>
  <c r="AE1058" i="48"/>
  <c r="AC1058" i="48"/>
  <c r="AB1058" i="48"/>
  <c r="Z1058" i="48"/>
  <c r="I1058" i="48"/>
  <c r="H1058" i="48"/>
  <c r="G1058" i="48"/>
  <c r="F1058" i="48"/>
  <c r="E1058" i="48"/>
  <c r="AU1058" i="48" s="1"/>
  <c r="AS1057" i="48"/>
  <c r="AF1057" i="48"/>
  <c r="AT1057" i="48" s="1"/>
  <c r="AE1057" i="48"/>
  <c r="AC1057" i="48"/>
  <c r="AB1057" i="48"/>
  <c r="AA1057" i="48"/>
  <c r="AD1057" i="48" s="1"/>
  <c r="Z1057" i="48"/>
  <c r="I1057" i="48"/>
  <c r="H1057" i="48"/>
  <c r="G1057" i="48"/>
  <c r="F1057" i="48"/>
  <c r="E1057" i="48"/>
  <c r="AU1057" i="48" s="1"/>
  <c r="AT1056" i="48"/>
  <c r="AF1056" i="48"/>
  <c r="AE1056" i="48"/>
  <c r="AC1056" i="48"/>
  <c r="Z1056" i="48"/>
  <c r="AB1056" i="48" s="1"/>
  <c r="I1056" i="48"/>
  <c r="H1056" i="48"/>
  <c r="G1056" i="48"/>
  <c r="F1056" i="48"/>
  <c r="AS1056" i="48" s="1"/>
  <c r="E1056" i="48"/>
  <c r="AU1056" i="48" s="1"/>
  <c r="AT1055" i="48"/>
  <c r="AF1055" i="48"/>
  <c r="AE1055" i="48"/>
  <c r="AC1055" i="48"/>
  <c r="Z1055" i="48"/>
  <c r="AB1055" i="48" s="1"/>
  <c r="I1055" i="48"/>
  <c r="H1055" i="48"/>
  <c r="G1055" i="48"/>
  <c r="F1055" i="48"/>
  <c r="AS1055" i="48" s="1"/>
  <c r="AA1055" i="48" s="1"/>
  <c r="AD1055" i="48" s="1"/>
  <c r="E1055" i="48"/>
  <c r="AU1055" i="48" s="1"/>
  <c r="AF1054" i="48"/>
  <c r="AC1054" i="48"/>
  <c r="Z1054" i="48"/>
  <c r="AB1054" i="48" s="1"/>
  <c r="V1054" i="48"/>
  <c r="AE1054" i="48" s="1"/>
  <c r="I1054" i="48"/>
  <c r="H1054" i="48"/>
  <c r="G1054" i="48"/>
  <c r="F1054" i="48"/>
  <c r="AS1054" i="48" s="1"/>
  <c r="E1054" i="48"/>
  <c r="AU1054" i="48" s="1"/>
  <c r="AF1053" i="48"/>
  <c r="AT1053" i="48" s="1"/>
  <c r="AC1053" i="48"/>
  <c r="Z1053" i="48"/>
  <c r="AB1053" i="48" s="1"/>
  <c r="V1053" i="48"/>
  <c r="AE1053" i="48" s="1"/>
  <c r="I1053" i="48"/>
  <c r="H1053" i="48"/>
  <c r="G1053" i="48"/>
  <c r="F1053" i="48"/>
  <c r="AS1053" i="48" s="1"/>
  <c r="E1053" i="48"/>
  <c r="AU1053" i="48" s="1"/>
  <c r="AF1052" i="48"/>
  <c r="AT1052" i="48" s="1"/>
  <c r="AE1052" i="48"/>
  <c r="AC1052" i="48"/>
  <c r="AB1052" i="48"/>
  <c r="AA1052" i="48"/>
  <c r="AD1052" i="48" s="1"/>
  <c r="Z1052" i="48"/>
  <c r="I1052" i="48"/>
  <c r="H1052" i="48"/>
  <c r="G1052" i="48"/>
  <c r="F1052" i="48"/>
  <c r="AS1052" i="48" s="1"/>
  <c r="E1052" i="48"/>
  <c r="AU1052" i="48" s="1"/>
  <c r="AF1051" i="48"/>
  <c r="AE1051" i="48"/>
  <c r="AC1051" i="48"/>
  <c r="Z1051" i="48"/>
  <c r="AB1051" i="48" s="1"/>
  <c r="I1051" i="48"/>
  <c r="H1051" i="48"/>
  <c r="G1051" i="48"/>
  <c r="F1051" i="48"/>
  <c r="AS1051" i="48" s="1"/>
  <c r="AA1051" i="48" s="1"/>
  <c r="AD1051" i="48" s="1"/>
  <c r="E1051" i="48"/>
  <c r="AU1051" i="48" s="1"/>
  <c r="AT1050" i="48"/>
  <c r="AF1050" i="48"/>
  <c r="AE1050" i="48"/>
  <c r="AC1050" i="48"/>
  <c r="AB1050" i="48"/>
  <c r="AA1050" i="48"/>
  <c r="AD1050" i="48" s="1"/>
  <c r="Z1050" i="48"/>
  <c r="I1050" i="48"/>
  <c r="H1050" i="48"/>
  <c r="G1050" i="48"/>
  <c r="F1050" i="48"/>
  <c r="AS1050" i="48" s="1"/>
  <c r="E1050" i="48"/>
  <c r="AU1050" i="48" s="1"/>
  <c r="AF1049" i="48"/>
  <c r="AE1049" i="48"/>
  <c r="AC1049" i="48"/>
  <c r="AB1049" i="48"/>
  <c r="AA1049" i="48"/>
  <c r="AD1049" i="48" s="1"/>
  <c r="Z1049" i="48"/>
  <c r="I1049" i="48"/>
  <c r="H1049" i="48"/>
  <c r="G1049" i="48"/>
  <c r="F1049" i="48"/>
  <c r="AS1049" i="48" s="1"/>
  <c r="AT1049" i="48" s="1"/>
  <c r="E1049" i="48"/>
  <c r="AU1049" i="48" s="1"/>
  <c r="AF1048" i="48"/>
  <c r="AE1048" i="48"/>
  <c r="AC1048" i="48"/>
  <c r="AB1048" i="48"/>
  <c r="AA1048" i="48"/>
  <c r="AD1048" i="48" s="1"/>
  <c r="Z1048" i="48"/>
  <c r="I1048" i="48"/>
  <c r="H1048" i="48"/>
  <c r="G1048" i="48"/>
  <c r="F1048" i="48"/>
  <c r="AS1048" i="48" s="1"/>
  <c r="E1048" i="48"/>
  <c r="AU1048" i="48" s="1"/>
  <c r="AF1047" i="48"/>
  <c r="AE1047" i="48"/>
  <c r="AC1047" i="48"/>
  <c r="AB1047" i="48"/>
  <c r="AA1047" i="48"/>
  <c r="AD1047" i="48" s="1"/>
  <c r="Z1047" i="48"/>
  <c r="I1047" i="48"/>
  <c r="H1047" i="48"/>
  <c r="G1047" i="48"/>
  <c r="F1047" i="48"/>
  <c r="AS1047" i="48" s="1"/>
  <c r="E1047" i="48"/>
  <c r="AU1047" i="48" s="1"/>
  <c r="AF1046" i="48"/>
  <c r="AE1046" i="48"/>
  <c r="AC1046" i="48"/>
  <c r="AB1046" i="48"/>
  <c r="AA1046" i="48"/>
  <c r="AD1046" i="48" s="1"/>
  <c r="Z1046" i="48"/>
  <c r="I1046" i="48"/>
  <c r="H1046" i="48"/>
  <c r="G1046" i="48"/>
  <c r="F1046" i="48"/>
  <c r="AS1046" i="48" s="1"/>
  <c r="E1046" i="48"/>
  <c r="AU1046" i="48" s="1"/>
  <c r="AF1045" i="48"/>
  <c r="AE1045" i="48"/>
  <c r="AC1045" i="48"/>
  <c r="AB1045" i="48"/>
  <c r="AA1045" i="48"/>
  <c r="AD1045" i="48" s="1"/>
  <c r="Z1045" i="48"/>
  <c r="I1045" i="48"/>
  <c r="H1045" i="48"/>
  <c r="G1045" i="48"/>
  <c r="F1045" i="48"/>
  <c r="AS1045" i="48" s="1"/>
  <c r="AT1045" i="48" s="1"/>
  <c r="E1045" i="48"/>
  <c r="AU1045" i="48" s="1"/>
  <c r="AF1044" i="48"/>
  <c r="AE1044" i="48"/>
  <c r="AC1044" i="48"/>
  <c r="AB1044" i="48"/>
  <c r="AA1044" i="48"/>
  <c r="AD1044" i="48" s="1"/>
  <c r="Z1044" i="48"/>
  <c r="I1044" i="48"/>
  <c r="H1044" i="48"/>
  <c r="G1044" i="48"/>
  <c r="F1044" i="48"/>
  <c r="AS1044" i="48" s="1"/>
  <c r="E1044" i="48"/>
  <c r="AU1044" i="48" s="1"/>
  <c r="AF1043" i="48"/>
  <c r="AE1043" i="48"/>
  <c r="AC1043" i="48"/>
  <c r="AB1043" i="48"/>
  <c r="AA1043" i="48"/>
  <c r="AD1043" i="48" s="1"/>
  <c r="Z1043" i="48"/>
  <c r="I1043" i="48"/>
  <c r="H1043" i="48"/>
  <c r="G1043" i="48"/>
  <c r="F1043" i="48"/>
  <c r="AS1043" i="48" s="1"/>
  <c r="E1043" i="48"/>
  <c r="AU1043" i="48" s="1"/>
  <c r="AF1042" i="48"/>
  <c r="AE1042" i="48"/>
  <c r="AC1042" i="48"/>
  <c r="AB1042" i="48"/>
  <c r="AA1042" i="48"/>
  <c r="AD1042" i="48" s="1"/>
  <c r="Z1042" i="48"/>
  <c r="I1042" i="48"/>
  <c r="H1042" i="48"/>
  <c r="G1042" i="48"/>
  <c r="F1042" i="48"/>
  <c r="AS1042" i="48" s="1"/>
  <c r="AT1042" i="48" s="1"/>
  <c r="E1042" i="48"/>
  <c r="AU1042" i="48" s="1"/>
  <c r="AS1041" i="48"/>
  <c r="AF1041" i="48"/>
  <c r="AE1041" i="48"/>
  <c r="AC1041" i="48"/>
  <c r="AB1041" i="48"/>
  <c r="AA1041" i="48"/>
  <c r="AD1041" i="48" s="1"/>
  <c r="Z1041" i="48"/>
  <c r="I1041" i="48"/>
  <c r="H1041" i="48"/>
  <c r="G1041" i="48"/>
  <c r="F1041" i="48"/>
  <c r="E1041" i="48"/>
  <c r="AU1041" i="48" s="1"/>
  <c r="AF1040" i="48"/>
  <c r="AT1040" i="48" s="1"/>
  <c r="AE1040" i="48"/>
  <c r="AC1040" i="48"/>
  <c r="AB1040" i="48"/>
  <c r="AA1040" i="48"/>
  <c r="AD1040" i="48" s="1"/>
  <c r="Z1040" i="48"/>
  <c r="I1040" i="48"/>
  <c r="H1040" i="48"/>
  <c r="G1040" i="48"/>
  <c r="F1040" i="48"/>
  <c r="AS1040" i="48" s="1"/>
  <c r="E1040" i="48"/>
  <c r="AU1040" i="48" s="1"/>
  <c r="AF1039" i="48"/>
  <c r="AE1039" i="48"/>
  <c r="AC1039" i="48"/>
  <c r="AB1039" i="48"/>
  <c r="AA1039" i="48"/>
  <c r="AD1039" i="48" s="1"/>
  <c r="Z1039" i="48"/>
  <c r="I1039" i="48"/>
  <c r="H1039" i="48"/>
  <c r="G1039" i="48"/>
  <c r="F1039" i="48"/>
  <c r="AS1039" i="48" s="1"/>
  <c r="E1039" i="48"/>
  <c r="AU1039" i="48" s="1"/>
  <c r="AF1038" i="48"/>
  <c r="AE1038" i="48"/>
  <c r="AC1038" i="48"/>
  <c r="Z1038" i="48"/>
  <c r="AB1038" i="48" s="1"/>
  <c r="I1038" i="48"/>
  <c r="H1038" i="48"/>
  <c r="G1038" i="48"/>
  <c r="F1038" i="48"/>
  <c r="AS1038" i="48" s="1"/>
  <c r="E1038" i="48"/>
  <c r="AU1038" i="48" s="1"/>
  <c r="AF1037" i="48"/>
  <c r="AE1037" i="48"/>
  <c r="AC1037" i="48"/>
  <c r="AB1037" i="48"/>
  <c r="AA1037" i="48"/>
  <c r="AD1037" i="48" s="1"/>
  <c r="Z1037" i="48"/>
  <c r="I1037" i="48"/>
  <c r="H1037" i="48"/>
  <c r="G1037" i="48"/>
  <c r="F1037" i="48"/>
  <c r="AS1037" i="48" s="1"/>
  <c r="AT1037" i="48" s="1"/>
  <c r="E1037" i="48"/>
  <c r="AU1037" i="48" s="1"/>
  <c r="AF1036" i="48"/>
  <c r="AE1036" i="48"/>
  <c r="AC1036" i="48"/>
  <c r="Z1036" i="48"/>
  <c r="AB1036" i="48" s="1"/>
  <c r="I1036" i="48"/>
  <c r="H1036" i="48"/>
  <c r="G1036" i="48"/>
  <c r="F1036" i="48"/>
  <c r="AS1036" i="48" s="1"/>
  <c r="E1036" i="48"/>
  <c r="AU1036" i="48" s="1"/>
  <c r="AF1035" i="48"/>
  <c r="AE1035" i="48"/>
  <c r="AC1035" i="48"/>
  <c r="AB1035" i="48"/>
  <c r="AA1035" i="48"/>
  <c r="AD1035" i="48" s="1"/>
  <c r="Z1035" i="48"/>
  <c r="I1035" i="48"/>
  <c r="H1035" i="48"/>
  <c r="G1035" i="48"/>
  <c r="F1035" i="48"/>
  <c r="AS1035" i="48" s="1"/>
  <c r="E1035" i="48"/>
  <c r="AU1035" i="48" s="1"/>
  <c r="AF1034" i="48"/>
  <c r="AE1034" i="48"/>
  <c r="AC1034" i="48"/>
  <c r="AB1034" i="48"/>
  <c r="AA1034" i="48"/>
  <c r="AD1034" i="48" s="1"/>
  <c r="Z1034" i="48"/>
  <c r="I1034" i="48"/>
  <c r="H1034" i="48"/>
  <c r="G1034" i="48"/>
  <c r="F1034" i="48"/>
  <c r="AS1034" i="48" s="1"/>
  <c r="AT1034" i="48" s="1"/>
  <c r="E1034" i="48"/>
  <c r="AU1034" i="48" s="1"/>
  <c r="AS1033" i="48"/>
  <c r="AT1033" i="48" s="1"/>
  <c r="AF1033" i="48"/>
  <c r="AE1033" i="48"/>
  <c r="AC1033" i="48"/>
  <c r="AB1033" i="48"/>
  <c r="AA1033" i="48"/>
  <c r="AD1033" i="48" s="1"/>
  <c r="Z1033" i="48"/>
  <c r="I1033" i="48"/>
  <c r="H1033" i="48"/>
  <c r="G1033" i="48"/>
  <c r="F1033" i="48"/>
  <c r="E1033" i="48"/>
  <c r="AU1033" i="48" s="1"/>
  <c r="A1033" i="48"/>
  <c r="A1034" i="48" s="1"/>
  <c r="A1035" i="48" s="1"/>
  <c r="A1036" i="48" s="1"/>
  <c r="A1037" i="48" s="1"/>
  <c r="A1038" i="48" s="1"/>
  <c r="A1039" i="48" s="1"/>
  <c r="A1040" i="48" s="1"/>
  <c r="A1041" i="48" s="1"/>
  <c r="A1042" i="48" s="1"/>
  <c r="A1043" i="48" s="1"/>
  <c r="A1044" i="48" s="1"/>
  <c r="A1045" i="48" s="1"/>
  <c r="A1046" i="48" s="1"/>
  <c r="A1047" i="48" s="1"/>
  <c r="A1048" i="48" s="1"/>
  <c r="A1049" i="48" s="1"/>
  <c r="A1050" i="48" s="1"/>
  <c r="A1051" i="48" s="1"/>
  <c r="A1052" i="48" s="1"/>
  <c r="A1053" i="48" s="1"/>
  <c r="A1054" i="48" s="1"/>
  <c r="A1055" i="48" s="1"/>
  <c r="A1056" i="48" s="1"/>
  <c r="A1057" i="48" s="1"/>
  <c r="A1058" i="48" s="1"/>
  <c r="A1059" i="48" s="1"/>
  <c r="A1060" i="48" s="1"/>
  <c r="A1061" i="48" s="1"/>
  <c r="A1062" i="48" s="1"/>
  <c r="A1063" i="48" s="1"/>
  <c r="A1064" i="48" s="1"/>
  <c r="A1065" i="48" s="1"/>
  <c r="A1066" i="48" s="1"/>
  <c r="A1067" i="48" s="1"/>
  <c r="A1068" i="48" s="1"/>
  <c r="A1069" i="48" s="1"/>
  <c r="A1070" i="48" s="1"/>
  <c r="AF1032" i="48"/>
  <c r="AE1032" i="48"/>
  <c r="AC1032" i="48"/>
  <c r="AB1032" i="48"/>
  <c r="AA1032" i="48"/>
  <c r="AD1032" i="48" s="1"/>
  <c r="Z1032" i="48"/>
  <c r="I1032" i="48"/>
  <c r="H1032" i="48"/>
  <c r="G1032" i="48"/>
  <c r="F1032" i="48"/>
  <c r="AS1032" i="48" s="1"/>
  <c r="E1032" i="48"/>
  <c r="AU1032" i="48" s="1"/>
  <c r="AF1031" i="48"/>
  <c r="AT1031" i="48" s="1"/>
  <c r="AE1031" i="48"/>
  <c r="AC1031" i="48"/>
  <c r="AB1031" i="48"/>
  <c r="AA1031" i="48"/>
  <c r="AD1031" i="48" s="1"/>
  <c r="Z1031" i="48"/>
  <c r="I1031" i="48"/>
  <c r="H1031" i="48"/>
  <c r="G1031" i="48"/>
  <c r="F1031" i="48"/>
  <c r="AS1031" i="48" s="1"/>
  <c r="E1031" i="48"/>
  <c r="AU1031" i="48" s="1"/>
  <c r="AS1030" i="48"/>
  <c r="AF1030" i="48"/>
  <c r="AE1030" i="48"/>
  <c r="AC1030" i="48"/>
  <c r="AB1030" i="48"/>
  <c r="AA1030" i="48"/>
  <c r="AD1030" i="48" s="1"/>
  <c r="Z1030" i="48"/>
  <c r="I1030" i="48"/>
  <c r="H1030" i="48"/>
  <c r="G1030" i="48"/>
  <c r="F1030" i="48"/>
  <c r="E1030" i="48"/>
  <c r="AU1030" i="48" s="1"/>
  <c r="AF1029" i="48"/>
  <c r="AT1029" i="48" s="1"/>
  <c r="AE1029" i="48"/>
  <c r="AC1029" i="48"/>
  <c r="AB1029" i="48"/>
  <c r="AA1029" i="48"/>
  <c r="AD1029" i="48" s="1"/>
  <c r="Z1029" i="48"/>
  <c r="I1029" i="48"/>
  <c r="H1029" i="48"/>
  <c r="G1029" i="48"/>
  <c r="F1029" i="48"/>
  <c r="AS1029" i="48" s="1"/>
  <c r="E1029" i="48"/>
  <c r="AU1029" i="48" s="1"/>
  <c r="AU1028" i="48"/>
  <c r="AF1028" i="48"/>
  <c r="AT1028" i="48" s="1"/>
  <c r="AE1028" i="48"/>
  <c r="AC1028" i="48"/>
  <c r="AB1028" i="48"/>
  <c r="AA1028" i="48"/>
  <c r="AD1028" i="48" s="1"/>
  <c r="Z1028" i="48"/>
  <c r="I1028" i="48"/>
  <c r="H1028" i="48"/>
  <c r="G1028" i="48"/>
  <c r="F1028" i="48"/>
  <c r="AS1028" i="48" s="1"/>
  <c r="E1028" i="48"/>
  <c r="AF1027" i="48"/>
  <c r="AT1027" i="48" s="1"/>
  <c r="AE1027" i="48"/>
  <c r="AC1027" i="48"/>
  <c r="AB1027" i="48"/>
  <c r="AA1027" i="48"/>
  <c r="AD1027" i="48" s="1"/>
  <c r="Z1027" i="48"/>
  <c r="I1027" i="48"/>
  <c r="H1027" i="48"/>
  <c r="G1027" i="48"/>
  <c r="F1027" i="48"/>
  <c r="AS1027" i="48" s="1"/>
  <c r="E1027" i="48"/>
  <c r="AU1027" i="48" s="1"/>
  <c r="AF1026" i="48"/>
  <c r="AE1026" i="48"/>
  <c r="AC1026" i="48"/>
  <c r="AB1026" i="48"/>
  <c r="AA1026" i="48"/>
  <c r="AD1026" i="48" s="1"/>
  <c r="Z1026" i="48"/>
  <c r="I1026" i="48"/>
  <c r="H1026" i="48"/>
  <c r="G1026" i="48"/>
  <c r="F1026" i="48"/>
  <c r="AS1026" i="48" s="1"/>
  <c r="E1026" i="48"/>
  <c r="AU1026" i="48" s="1"/>
  <c r="AF1025" i="48"/>
  <c r="AE1025" i="48"/>
  <c r="AC1025" i="48"/>
  <c r="AB1025" i="48"/>
  <c r="AA1025" i="48"/>
  <c r="AD1025" i="48" s="1"/>
  <c r="Z1025" i="48"/>
  <c r="I1025" i="48"/>
  <c r="H1025" i="48"/>
  <c r="G1025" i="48"/>
  <c r="F1025" i="48"/>
  <c r="AS1025" i="48" s="1"/>
  <c r="E1025" i="48"/>
  <c r="AU1025" i="48" s="1"/>
  <c r="AU1024" i="48"/>
  <c r="AF1024" i="48"/>
  <c r="AT1024" i="48" s="1"/>
  <c r="AE1024" i="48"/>
  <c r="AC1024" i="48"/>
  <c r="AB1024" i="48"/>
  <c r="AA1024" i="48"/>
  <c r="AD1024" i="48" s="1"/>
  <c r="Z1024" i="48"/>
  <c r="I1024" i="48"/>
  <c r="H1024" i="48"/>
  <c r="G1024" i="48"/>
  <c r="F1024" i="48"/>
  <c r="AS1024" i="48" s="1"/>
  <c r="E1024" i="48"/>
  <c r="AF1023" i="48"/>
  <c r="AT1023" i="48" s="1"/>
  <c r="AE1023" i="48"/>
  <c r="AC1023" i="48"/>
  <c r="AB1023" i="48"/>
  <c r="AA1023" i="48"/>
  <c r="AD1023" i="48" s="1"/>
  <c r="Z1023" i="48"/>
  <c r="I1023" i="48"/>
  <c r="H1023" i="48"/>
  <c r="G1023" i="48"/>
  <c r="F1023" i="48"/>
  <c r="AS1023" i="48" s="1"/>
  <c r="E1023" i="48"/>
  <c r="AU1023" i="48" s="1"/>
  <c r="AS1022" i="48"/>
  <c r="AF1022" i="48"/>
  <c r="AE1022" i="48"/>
  <c r="AC1022" i="48"/>
  <c r="AB1022" i="48"/>
  <c r="AA1022" i="48"/>
  <c r="AD1022" i="48" s="1"/>
  <c r="Z1022" i="48"/>
  <c r="I1022" i="48"/>
  <c r="H1022" i="48"/>
  <c r="G1022" i="48"/>
  <c r="F1022" i="48"/>
  <c r="E1022" i="48"/>
  <c r="AU1022" i="48" s="1"/>
  <c r="AF1021" i="48"/>
  <c r="AT1021" i="48" s="1"/>
  <c r="AE1021" i="48"/>
  <c r="AC1021" i="48"/>
  <c r="AB1021" i="48"/>
  <c r="AA1021" i="48"/>
  <c r="AD1021" i="48" s="1"/>
  <c r="Z1021" i="48"/>
  <c r="I1021" i="48"/>
  <c r="H1021" i="48"/>
  <c r="G1021" i="48"/>
  <c r="F1021" i="48"/>
  <c r="AS1021" i="48" s="1"/>
  <c r="E1021" i="48"/>
  <c r="AU1021" i="48" s="1"/>
  <c r="AF1020" i="48"/>
  <c r="AT1020" i="48" s="1"/>
  <c r="AE1020" i="48"/>
  <c r="AC1020" i="48"/>
  <c r="Z1020" i="48"/>
  <c r="AB1020" i="48" s="1"/>
  <c r="I1020" i="48"/>
  <c r="H1020" i="48"/>
  <c r="G1020" i="48"/>
  <c r="F1020" i="48"/>
  <c r="AS1020" i="48" s="1"/>
  <c r="E1020" i="48"/>
  <c r="AU1020" i="48" s="1"/>
  <c r="AF1019" i="48"/>
  <c r="AE1019" i="48"/>
  <c r="AC1019" i="48"/>
  <c r="Z1019" i="48"/>
  <c r="AB1019" i="48" s="1"/>
  <c r="I1019" i="48"/>
  <c r="H1019" i="48"/>
  <c r="G1019" i="48"/>
  <c r="F1019" i="48"/>
  <c r="AS1019" i="48" s="1"/>
  <c r="E1019" i="48"/>
  <c r="AU1019" i="48" s="1"/>
  <c r="AF1018" i="48"/>
  <c r="AE1018" i="48"/>
  <c r="AC1018" i="48"/>
  <c r="Z1018" i="48"/>
  <c r="AB1018" i="48" s="1"/>
  <c r="I1018" i="48"/>
  <c r="H1018" i="48"/>
  <c r="G1018" i="48"/>
  <c r="F1018" i="48"/>
  <c r="AS1018" i="48" s="1"/>
  <c r="AA1018" i="48" s="1"/>
  <c r="AD1018" i="48" s="1"/>
  <c r="E1018" i="48"/>
  <c r="AU1018" i="48" s="1"/>
  <c r="AT1017" i="48"/>
  <c r="AF1017" i="48"/>
  <c r="AE1017" i="48"/>
  <c r="AC1017" i="48"/>
  <c r="Z1017" i="48"/>
  <c r="AB1017" i="48" s="1"/>
  <c r="I1017" i="48"/>
  <c r="H1017" i="48"/>
  <c r="G1017" i="48"/>
  <c r="F1017" i="48"/>
  <c r="AS1017" i="48" s="1"/>
  <c r="E1017" i="48"/>
  <c r="AU1017" i="48" s="1"/>
  <c r="AF1016" i="48"/>
  <c r="AE1016" i="48"/>
  <c r="AC1016" i="48"/>
  <c r="Z1016" i="48"/>
  <c r="AB1016" i="48" s="1"/>
  <c r="I1016" i="48"/>
  <c r="H1016" i="48"/>
  <c r="G1016" i="48"/>
  <c r="F1016" i="48"/>
  <c r="AS1016" i="48" s="1"/>
  <c r="AA1016" i="48" s="1"/>
  <c r="AD1016" i="48" s="1"/>
  <c r="E1016" i="48"/>
  <c r="AU1016" i="48" s="1"/>
  <c r="AF1015" i="48"/>
  <c r="AE1015" i="48"/>
  <c r="AC1015" i="48"/>
  <c r="Z1015" i="48"/>
  <c r="AB1015" i="48" s="1"/>
  <c r="I1015" i="48"/>
  <c r="H1015" i="48"/>
  <c r="G1015" i="48"/>
  <c r="F1015" i="48"/>
  <c r="AS1015" i="48" s="1"/>
  <c r="E1015" i="48"/>
  <c r="AU1015" i="48" s="1"/>
  <c r="AS1014" i="48"/>
  <c r="AA1014" i="48" s="1"/>
  <c r="AD1014" i="48" s="1"/>
  <c r="AF1014" i="48"/>
  <c r="AE1014" i="48"/>
  <c r="AC1014" i="48"/>
  <c r="AB1014" i="48"/>
  <c r="Z1014" i="48"/>
  <c r="I1014" i="48"/>
  <c r="H1014" i="48"/>
  <c r="G1014" i="48"/>
  <c r="F1014" i="48"/>
  <c r="E1014" i="48"/>
  <c r="AU1014" i="48" s="1"/>
  <c r="AT1013" i="48"/>
  <c r="AF1013" i="48"/>
  <c r="AE1013" i="48"/>
  <c r="AD1013" i="48"/>
  <c r="AC1013" i="48"/>
  <c r="AB1013" i="48"/>
  <c r="AA1013" i="48"/>
  <c r="Z1013" i="48"/>
  <c r="I1013" i="48"/>
  <c r="H1013" i="48"/>
  <c r="G1013" i="48"/>
  <c r="F1013" i="48"/>
  <c r="AS1013" i="48" s="1"/>
  <c r="E1013" i="48"/>
  <c r="AU1013" i="48" s="1"/>
  <c r="AF1012" i="48"/>
  <c r="AT1012" i="48" s="1"/>
  <c r="AE1012" i="48"/>
  <c r="AC1012" i="48"/>
  <c r="Z1012" i="48"/>
  <c r="AB1012" i="48" s="1"/>
  <c r="I1012" i="48"/>
  <c r="H1012" i="48"/>
  <c r="G1012" i="48"/>
  <c r="F1012" i="48"/>
  <c r="AS1012" i="48" s="1"/>
  <c r="AA1012" i="48" s="1"/>
  <c r="AD1012" i="48" s="1"/>
  <c r="E1012" i="48"/>
  <c r="AU1012" i="48" s="1"/>
  <c r="AF1011" i="48"/>
  <c r="AT1011" i="48" s="1"/>
  <c r="AE1011" i="48"/>
  <c r="AC1011" i="48"/>
  <c r="AB1011" i="48"/>
  <c r="AA1011" i="48"/>
  <c r="AD1011" i="48" s="1"/>
  <c r="Z1011" i="48"/>
  <c r="I1011" i="48"/>
  <c r="H1011" i="48"/>
  <c r="G1011" i="48"/>
  <c r="F1011" i="48"/>
  <c r="AS1011" i="48" s="1"/>
  <c r="E1011" i="48"/>
  <c r="AU1011" i="48" s="1"/>
  <c r="AF1010" i="48"/>
  <c r="AE1010" i="48"/>
  <c r="AC1010" i="48"/>
  <c r="AB1010" i="48"/>
  <c r="AA1010" i="48"/>
  <c r="AD1010" i="48" s="1"/>
  <c r="Z1010" i="48"/>
  <c r="I1010" i="48"/>
  <c r="H1010" i="48"/>
  <c r="G1010" i="48"/>
  <c r="F1010" i="48"/>
  <c r="AS1010" i="48" s="1"/>
  <c r="E1010" i="48"/>
  <c r="AU1010" i="48" s="1"/>
  <c r="AF1009" i="48"/>
  <c r="AE1009" i="48"/>
  <c r="AC1009" i="48"/>
  <c r="AB1009" i="48"/>
  <c r="AA1009" i="48"/>
  <c r="AD1009" i="48" s="1"/>
  <c r="Z1009" i="48"/>
  <c r="I1009" i="48"/>
  <c r="H1009" i="48"/>
  <c r="G1009" i="48"/>
  <c r="F1009" i="48"/>
  <c r="AS1009" i="48" s="1"/>
  <c r="E1009" i="48"/>
  <c r="AU1009" i="48" s="1"/>
  <c r="AF1008" i="48"/>
  <c r="AE1008" i="48"/>
  <c r="AC1008" i="48"/>
  <c r="AB1008" i="48"/>
  <c r="AA1008" i="48"/>
  <c r="AD1008" i="48" s="1"/>
  <c r="Z1008" i="48"/>
  <c r="I1008" i="48"/>
  <c r="H1008" i="48"/>
  <c r="G1008" i="48"/>
  <c r="F1008" i="48"/>
  <c r="AS1008" i="48" s="1"/>
  <c r="AT1008" i="48" s="1"/>
  <c r="E1008" i="48"/>
  <c r="AU1008" i="48" s="1"/>
  <c r="AF1007" i="48"/>
  <c r="AE1007" i="48"/>
  <c r="AC1007" i="48"/>
  <c r="AB1007" i="48"/>
  <c r="AA1007" i="48"/>
  <c r="AD1007" i="48" s="1"/>
  <c r="Z1007" i="48"/>
  <c r="I1007" i="48"/>
  <c r="H1007" i="48"/>
  <c r="G1007" i="48"/>
  <c r="F1007" i="48"/>
  <c r="AS1007" i="48" s="1"/>
  <c r="E1007" i="48"/>
  <c r="AU1007" i="48" s="1"/>
  <c r="AF1006" i="48"/>
  <c r="AE1006" i="48"/>
  <c r="AC1006" i="48"/>
  <c r="AB1006" i="48"/>
  <c r="AA1006" i="48"/>
  <c r="AD1006" i="48" s="1"/>
  <c r="Z1006" i="48"/>
  <c r="I1006" i="48"/>
  <c r="H1006" i="48"/>
  <c r="G1006" i="48"/>
  <c r="F1006" i="48"/>
  <c r="AS1006" i="48" s="1"/>
  <c r="E1006" i="48"/>
  <c r="AU1006" i="48" s="1"/>
  <c r="AF1005" i="48"/>
  <c r="AE1005" i="48"/>
  <c r="AC1005" i="48"/>
  <c r="AB1005" i="48"/>
  <c r="AA1005" i="48"/>
  <c r="AD1005" i="48" s="1"/>
  <c r="Z1005" i="48"/>
  <c r="I1005" i="48"/>
  <c r="H1005" i="48"/>
  <c r="G1005" i="48"/>
  <c r="F1005" i="48"/>
  <c r="AS1005" i="48" s="1"/>
  <c r="E1005" i="48"/>
  <c r="AU1005" i="48" s="1"/>
  <c r="AF1004" i="48"/>
  <c r="AE1004" i="48"/>
  <c r="AC1004" i="48"/>
  <c r="AB1004" i="48"/>
  <c r="AA1004" i="48"/>
  <c r="AD1004" i="48" s="1"/>
  <c r="Z1004" i="48"/>
  <c r="I1004" i="48"/>
  <c r="H1004" i="48"/>
  <c r="G1004" i="48"/>
  <c r="F1004" i="48"/>
  <c r="AS1004" i="48" s="1"/>
  <c r="AT1004" i="48" s="1"/>
  <c r="E1004" i="48"/>
  <c r="AU1004" i="48" s="1"/>
  <c r="AF1003" i="48"/>
  <c r="AE1003" i="48"/>
  <c r="AD1003" i="48"/>
  <c r="AC1003" i="48"/>
  <c r="AB1003" i="48"/>
  <c r="AA1003" i="48"/>
  <c r="Z1003" i="48"/>
  <c r="I1003" i="48"/>
  <c r="H1003" i="48"/>
  <c r="G1003" i="48"/>
  <c r="F1003" i="48"/>
  <c r="AS1003" i="48" s="1"/>
  <c r="E1003" i="48"/>
  <c r="AU1003" i="48" s="1"/>
  <c r="AF1002" i="48"/>
  <c r="AE1002" i="48"/>
  <c r="AC1002" i="48"/>
  <c r="AB1002" i="48"/>
  <c r="AA1002" i="48"/>
  <c r="AD1002" i="48" s="1"/>
  <c r="Z1002" i="48"/>
  <c r="I1002" i="48"/>
  <c r="H1002" i="48"/>
  <c r="G1002" i="48"/>
  <c r="F1002" i="48"/>
  <c r="AS1002" i="48" s="1"/>
  <c r="E1002" i="48"/>
  <c r="AU1002" i="48" s="1"/>
  <c r="AF1001" i="48"/>
  <c r="AE1001" i="48"/>
  <c r="AC1001" i="48"/>
  <c r="Z1001" i="48"/>
  <c r="AB1001" i="48" s="1"/>
  <c r="I1001" i="48"/>
  <c r="H1001" i="48"/>
  <c r="G1001" i="48"/>
  <c r="F1001" i="48"/>
  <c r="AS1001" i="48" s="1"/>
  <c r="AT1001" i="48" s="1"/>
  <c r="E1001" i="48"/>
  <c r="AU1001" i="48" s="1"/>
  <c r="AF1000" i="48"/>
  <c r="AE1000" i="48"/>
  <c r="AC1000" i="48"/>
  <c r="AB1000" i="48"/>
  <c r="AA1000" i="48"/>
  <c r="AD1000" i="48" s="1"/>
  <c r="Z1000" i="48"/>
  <c r="I1000" i="48"/>
  <c r="H1000" i="48"/>
  <c r="G1000" i="48"/>
  <c r="F1000" i="48"/>
  <c r="AS1000" i="48" s="1"/>
  <c r="AT1000" i="48" s="1"/>
  <c r="E1000" i="48"/>
  <c r="AU1000" i="48" s="1"/>
  <c r="AF999" i="48"/>
  <c r="AE999" i="48"/>
  <c r="AC999" i="48"/>
  <c r="AB999" i="48"/>
  <c r="Z999" i="48"/>
  <c r="I999" i="48"/>
  <c r="H999" i="48"/>
  <c r="G999" i="48"/>
  <c r="F999" i="48"/>
  <c r="AS999" i="48" s="1"/>
  <c r="E999" i="48"/>
  <c r="AU999" i="48" s="1"/>
  <c r="AS998" i="48"/>
  <c r="AF998" i="48"/>
  <c r="AE998" i="48"/>
  <c r="AC998" i="48"/>
  <c r="AB998" i="48"/>
  <c r="AA998" i="48"/>
  <c r="AD998" i="48" s="1"/>
  <c r="Z998" i="48"/>
  <c r="I998" i="48"/>
  <c r="H998" i="48"/>
  <c r="G998" i="48"/>
  <c r="F998" i="48"/>
  <c r="E998" i="48"/>
  <c r="AU998" i="48" s="1"/>
  <c r="AF997" i="48"/>
  <c r="AE997" i="48"/>
  <c r="AC997" i="48"/>
  <c r="Z997" i="48"/>
  <c r="AB997" i="48" s="1"/>
  <c r="I997" i="48"/>
  <c r="H997" i="48"/>
  <c r="G997" i="48"/>
  <c r="F997" i="48"/>
  <c r="AS997" i="48" s="1"/>
  <c r="E997" i="48"/>
  <c r="AU997" i="48" s="1"/>
  <c r="AF996" i="48"/>
  <c r="AE996" i="48"/>
  <c r="AC996" i="48"/>
  <c r="AB996" i="48"/>
  <c r="AA996" i="48"/>
  <c r="AD996" i="48" s="1"/>
  <c r="Z996" i="48"/>
  <c r="I996" i="48"/>
  <c r="H996" i="48"/>
  <c r="G996" i="48"/>
  <c r="F996" i="48"/>
  <c r="AS996" i="48" s="1"/>
  <c r="AT996" i="48" s="1"/>
  <c r="E996" i="48"/>
  <c r="AU996" i="48" s="1"/>
  <c r="AF995" i="48"/>
  <c r="AE995" i="48"/>
  <c r="AC995" i="48"/>
  <c r="AB995" i="48"/>
  <c r="AA995" i="48"/>
  <c r="AD995" i="48" s="1"/>
  <c r="Z995" i="48"/>
  <c r="I995" i="48"/>
  <c r="H995" i="48"/>
  <c r="G995" i="48"/>
  <c r="F995" i="48"/>
  <c r="AS995" i="48" s="1"/>
  <c r="E995" i="48"/>
  <c r="AU995" i="48" s="1"/>
  <c r="AS994" i="48"/>
  <c r="AF994" i="48"/>
  <c r="AE994" i="48"/>
  <c r="AC994" i="48"/>
  <c r="AB994" i="48"/>
  <c r="AA994" i="48"/>
  <c r="AD994" i="48" s="1"/>
  <c r="Z994" i="48"/>
  <c r="I994" i="48"/>
  <c r="H994" i="48"/>
  <c r="G994" i="48"/>
  <c r="F994" i="48"/>
  <c r="E994" i="48"/>
  <c r="AU994" i="48" s="1"/>
  <c r="A994" i="48"/>
  <c r="A995" i="48" s="1"/>
  <c r="A996" i="48" s="1"/>
  <c r="A997" i="48" s="1"/>
  <c r="A998" i="48" s="1"/>
  <c r="A999" i="48" s="1"/>
  <c r="A1000" i="48" s="1"/>
  <c r="A1001" i="48" s="1"/>
  <c r="A1002" i="48" s="1"/>
  <c r="A1003" i="48" s="1"/>
  <c r="A1004" i="48" s="1"/>
  <c r="A1005" i="48" s="1"/>
  <c r="A1006" i="48" s="1"/>
  <c r="A1007" i="48" s="1"/>
  <c r="A1008" i="48" s="1"/>
  <c r="A1009" i="48" s="1"/>
  <c r="A1010" i="48" s="1"/>
  <c r="A1011" i="48" s="1"/>
  <c r="A1012" i="48" s="1"/>
  <c r="A1013" i="48" s="1"/>
  <c r="A1014" i="48" s="1"/>
  <c r="A1015" i="48" s="1"/>
  <c r="A1016" i="48" s="1"/>
  <c r="A1017" i="48" s="1"/>
  <c r="A1018" i="48" s="1"/>
  <c r="A1019" i="48" s="1"/>
  <c r="A1020" i="48" s="1"/>
  <c r="A1021" i="48" s="1"/>
  <c r="A1022" i="48" s="1"/>
  <c r="A1023" i="48" s="1"/>
  <c r="A1024" i="48" s="1"/>
  <c r="A1025" i="48" s="1"/>
  <c r="A1026" i="48" s="1"/>
  <c r="A1027" i="48" s="1"/>
  <c r="A1028" i="48" s="1"/>
  <c r="A1029" i="48" s="1"/>
  <c r="A1030" i="48" s="1"/>
  <c r="A1031" i="48" s="1"/>
  <c r="AF993" i="48"/>
  <c r="AE993" i="48"/>
  <c r="AD993" i="48"/>
  <c r="AC993" i="48"/>
  <c r="AB993" i="48"/>
  <c r="AA993" i="48"/>
  <c r="Z993" i="48"/>
  <c r="I993" i="48"/>
  <c r="H993" i="48"/>
  <c r="G993" i="48"/>
  <c r="F993" i="48"/>
  <c r="AS993" i="48" s="1"/>
  <c r="E993" i="48"/>
  <c r="AU993" i="48" s="1"/>
  <c r="AF992" i="48"/>
  <c r="AT992" i="48" s="1"/>
  <c r="AE992" i="48"/>
  <c r="AD992" i="48"/>
  <c r="AC992" i="48"/>
  <c r="AB992" i="48"/>
  <c r="AA992" i="48"/>
  <c r="Z992" i="48"/>
  <c r="I992" i="48"/>
  <c r="H992" i="48"/>
  <c r="G992" i="48"/>
  <c r="F992" i="48"/>
  <c r="AS992" i="48" s="1"/>
  <c r="E992" i="48"/>
  <c r="AU992" i="48" s="1"/>
  <c r="AT991" i="48"/>
  <c r="AF991" i="48"/>
  <c r="AE991" i="48"/>
  <c r="AC991" i="48"/>
  <c r="AB991" i="48"/>
  <c r="AA991" i="48"/>
  <c r="AD991" i="48" s="1"/>
  <c r="Z991" i="48"/>
  <c r="I991" i="48"/>
  <c r="H991" i="48"/>
  <c r="G991" i="48"/>
  <c r="F991" i="48"/>
  <c r="AS991" i="48" s="1"/>
  <c r="E991" i="48"/>
  <c r="AU991" i="48" s="1"/>
  <c r="AF990" i="48"/>
  <c r="AE990" i="48"/>
  <c r="AD990" i="48"/>
  <c r="AC990" i="48"/>
  <c r="AB990" i="48"/>
  <c r="AA990" i="48"/>
  <c r="Z990" i="48"/>
  <c r="I990" i="48"/>
  <c r="H990" i="48"/>
  <c r="G990" i="48"/>
  <c r="F990" i="48"/>
  <c r="AS990" i="48" s="1"/>
  <c r="E990" i="48"/>
  <c r="AU990" i="48" s="1"/>
  <c r="AF989" i="48"/>
  <c r="AE989" i="48"/>
  <c r="AC989" i="48"/>
  <c r="AB989" i="48"/>
  <c r="AA989" i="48"/>
  <c r="AD989" i="48" s="1"/>
  <c r="Z989" i="48"/>
  <c r="I989" i="48"/>
  <c r="H989" i="48"/>
  <c r="G989" i="48"/>
  <c r="F989" i="48"/>
  <c r="AS989" i="48" s="1"/>
  <c r="E989" i="48"/>
  <c r="AU989" i="48" s="1"/>
  <c r="AF988" i="48"/>
  <c r="AE988" i="48"/>
  <c r="AC988" i="48"/>
  <c r="AB988" i="48"/>
  <c r="AA988" i="48"/>
  <c r="AD988" i="48" s="1"/>
  <c r="Z988" i="48"/>
  <c r="I988" i="48"/>
  <c r="H988" i="48"/>
  <c r="G988" i="48"/>
  <c r="F988" i="48"/>
  <c r="AS988" i="48" s="1"/>
  <c r="E988" i="48"/>
  <c r="AU988" i="48" s="1"/>
  <c r="AF987" i="48"/>
  <c r="AT987" i="48" s="1"/>
  <c r="AE987" i="48"/>
  <c r="AC987" i="48"/>
  <c r="AB987" i="48"/>
  <c r="AA987" i="48"/>
  <c r="AD987" i="48" s="1"/>
  <c r="Z987" i="48"/>
  <c r="I987" i="48"/>
  <c r="H987" i="48"/>
  <c r="G987" i="48"/>
  <c r="F987" i="48"/>
  <c r="AS987" i="48" s="1"/>
  <c r="E987" i="48"/>
  <c r="AU987" i="48" s="1"/>
  <c r="AF986" i="48"/>
  <c r="AT986" i="48" s="1"/>
  <c r="AE986" i="48"/>
  <c r="AC986" i="48"/>
  <c r="AB986" i="48"/>
  <c r="AA986" i="48"/>
  <c r="AD986" i="48" s="1"/>
  <c r="Z986" i="48"/>
  <c r="I986" i="48"/>
  <c r="H986" i="48"/>
  <c r="G986" i="48"/>
  <c r="F986" i="48"/>
  <c r="AS986" i="48" s="1"/>
  <c r="E986" i="48"/>
  <c r="AU986" i="48" s="1"/>
  <c r="AF985" i="48"/>
  <c r="AE985" i="48"/>
  <c r="AC985" i="48"/>
  <c r="AB985" i="48"/>
  <c r="AA985" i="48"/>
  <c r="AD985" i="48" s="1"/>
  <c r="Z985" i="48"/>
  <c r="I985" i="48"/>
  <c r="H985" i="48"/>
  <c r="G985" i="48"/>
  <c r="F985" i="48"/>
  <c r="AS985" i="48" s="1"/>
  <c r="E985" i="48"/>
  <c r="AU985" i="48" s="1"/>
  <c r="AF984" i="48"/>
  <c r="AT984" i="48" s="1"/>
  <c r="AE984" i="48"/>
  <c r="AC984" i="48"/>
  <c r="AB984" i="48"/>
  <c r="AA984" i="48"/>
  <c r="AD984" i="48" s="1"/>
  <c r="Z984" i="48"/>
  <c r="I984" i="48"/>
  <c r="H984" i="48"/>
  <c r="G984" i="48"/>
  <c r="F984" i="48"/>
  <c r="AS984" i="48" s="1"/>
  <c r="E984" i="48"/>
  <c r="AU984" i="48" s="1"/>
  <c r="AT983" i="48"/>
  <c r="AF983" i="48"/>
  <c r="AE983" i="48"/>
  <c r="AC983" i="48"/>
  <c r="AA983" i="48"/>
  <c r="AD983" i="48" s="1"/>
  <c r="Z983" i="48"/>
  <c r="AB983" i="48" s="1"/>
  <c r="I983" i="48"/>
  <c r="H983" i="48"/>
  <c r="G983" i="48"/>
  <c r="F983" i="48"/>
  <c r="AS983" i="48" s="1"/>
  <c r="E983" i="48"/>
  <c r="AU983" i="48" s="1"/>
  <c r="AF982" i="48"/>
  <c r="AT982" i="48" s="1"/>
  <c r="AE982" i="48"/>
  <c r="AC982" i="48"/>
  <c r="AB982" i="48"/>
  <c r="AA982" i="48"/>
  <c r="AD982" i="48" s="1"/>
  <c r="Z982" i="48"/>
  <c r="I982" i="48"/>
  <c r="H982" i="48"/>
  <c r="G982" i="48"/>
  <c r="F982" i="48"/>
  <c r="AS982" i="48" s="1"/>
  <c r="E982" i="48"/>
  <c r="AU982" i="48" s="1"/>
  <c r="AF981" i="48"/>
  <c r="AE981" i="48"/>
  <c r="AC981" i="48"/>
  <c r="Z981" i="48"/>
  <c r="AB981" i="48" s="1"/>
  <c r="I981" i="48"/>
  <c r="H981" i="48"/>
  <c r="G981" i="48"/>
  <c r="F981" i="48"/>
  <c r="AS981" i="48" s="1"/>
  <c r="AA981" i="48" s="1"/>
  <c r="AD981" i="48" s="1"/>
  <c r="E981" i="48"/>
  <c r="AU981" i="48" s="1"/>
  <c r="AF980" i="48"/>
  <c r="AE980" i="48"/>
  <c r="AC980" i="48"/>
  <c r="Z980" i="48"/>
  <c r="AB980" i="48" s="1"/>
  <c r="I980" i="48"/>
  <c r="H980" i="48"/>
  <c r="G980" i="48"/>
  <c r="F980" i="48"/>
  <c r="AS980" i="48" s="1"/>
  <c r="E980" i="48"/>
  <c r="AU980" i="48" s="1"/>
  <c r="AF979" i="48"/>
  <c r="AE979" i="48"/>
  <c r="AC979" i="48"/>
  <c r="Z979" i="48"/>
  <c r="AB979" i="48" s="1"/>
  <c r="I979" i="48"/>
  <c r="H979" i="48"/>
  <c r="G979" i="48"/>
  <c r="F979" i="48"/>
  <c r="AS979" i="48" s="1"/>
  <c r="E979" i="48"/>
  <c r="AU979" i="48" s="1"/>
  <c r="AF978" i="48"/>
  <c r="AT978" i="48" s="1"/>
  <c r="AE978" i="48"/>
  <c r="AC978" i="48"/>
  <c r="Z978" i="48"/>
  <c r="AB978" i="48" s="1"/>
  <c r="I978" i="48"/>
  <c r="H978" i="48"/>
  <c r="G978" i="48"/>
  <c r="F978" i="48"/>
  <c r="AS978" i="48" s="1"/>
  <c r="E978" i="48"/>
  <c r="AU978" i="48" s="1"/>
  <c r="AS977" i="48"/>
  <c r="AA977" i="48" s="1"/>
  <c r="AD977" i="48" s="1"/>
  <c r="AF977" i="48"/>
  <c r="AT977" i="48" s="1"/>
  <c r="AE977" i="48"/>
  <c r="AC977" i="48"/>
  <c r="AB977" i="48"/>
  <c r="Z977" i="48"/>
  <c r="I977" i="48"/>
  <c r="H977" i="48"/>
  <c r="G977" i="48"/>
  <c r="F977" i="48"/>
  <c r="E977" i="48"/>
  <c r="AU977" i="48" s="1"/>
  <c r="AT976" i="48"/>
  <c r="AF976" i="48"/>
  <c r="AE976" i="48"/>
  <c r="AC976" i="48"/>
  <c r="Z976" i="48"/>
  <c r="AB976" i="48" s="1"/>
  <c r="I976" i="48"/>
  <c r="H976" i="48"/>
  <c r="G976" i="48"/>
  <c r="F976" i="48"/>
  <c r="AS976" i="48" s="1"/>
  <c r="E976" i="48"/>
  <c r="AU976" i="48" s="1"/>
  <c r="AT975" i="48"/>
  <c r="AF975" i="48"/>
  <c r="AE975" i="48"/>
  <c r="AD975" i="48"/>
  <c r="AC975" i="48"/>
  <c r="AB975" i="48"/>
  <c r="AA975" i="48"/>
  <c r="Z975" i="48"/>
  <c r="I975" i="48"/>
  <c r="H975" i="48"/>
  <c r="G975" i="48"/>
  <c r="F975" i="48"/>
  <c r="AS975" i="48" s="1"/>
  <c r="E975" i="48"/>
  <c r="AU975" i="48" s="1"/>
  <c r="AF974" i="48"/>
  <c r="AT974" i="48" s="1"/>
  <c r="AE974" i="48"/>
  <c r="AC974" i="48"/>
  <c r="AB974" i="48"/>
  <c r="AA974" i="48"/>
  <c r="AD974" i="48" s="1"/>
  <c r="Z974" i="48"/>
  <c r="I974" i="48"/>
  <c r="H974" i="48"/>
  <c r="G974" i="48"/>
  <c r="F974" i="48"/>
  <c r="AS974" i="48" s="1"/>
  <c r="E974" i="48"/>
  <c r="AU974" i="48" s="1"/>
  <c r="AF973" i="48"/>
  <c r="AT973" i="48" s="1"/>
  <c r="AE973" i="48"/>
  <c r="AC973" i="48"/>
  <c r="Z973" i="48"/>
  <c r="AB973" i="48" s="1"/>
  <c r="I973" i="48"/>
  <c r="H973" i="48"/>
  <c r="G973" i="48"/>
  <c r="F973" i="48"/>
  <c r="AS973" i="48" s="1"/>
  <c r="AA973" i="48" s="1"/>
  <c r="AD973" i="48" s="1"/>
  <c r="E973" i="48"/>
  <c r="AU973" i="48" s="1"/>
  <c r="AF972" i="48"/>
  <c r="AT972" i="48" s="1"/>
  <c r="AE972" i="48"/>
  <c r="AD972" i="48"/>
  <c r="AC972" i="48"/>
  <c r="AB972" i="48"/>
  <c r="AA972" i="48"/>
  <c r="Z972" i="48"/>
  <c r="I972" i="48"/>
  <c r="H972" i="48"/>
  <c r="G972" i="48"/>
  <c r="F972" i="48"/>
  <c r="AS972" i="48" s="1"/>
  <c r="E972" i="48"/>
  <c r="AU972" i="48" s="1"/>
  <c r="AF971" i="48"/>
  <c r="AE971" i="48"/>
  <c r="AC971" i="48"/>
  <c r="AB971" i="48"/>
  <c r="AA971" i="48"/>
  <c r="AD971" i="48" s="1"/>
  <c r="Z971" i="48"/>
  <c r="I971" i="48"/>
  <c r="H971" i="48"/>
  <c r="G971" i="48"/>
  <c r="F971" i="48"/>
  <c r="AS971" i="48" s="1"/>
  <c r="E971" i="48"/>
  <c r="AU971" i="48" s="1"/>
  <c r="AF970" i="48"/>
  <c r="AT970" i="48" s="1"/>
  <c r="AE970" i="48"/>
  <c r="AD970" i="48"/>
  <c r="AC970" i="48"/>
  <c r="AB970" i="48"/>
  <c r="AA970" i="48"/>
  <c r="Z970" i="48"/>
  <c r="I970" i="48"/>
  <c r="H970" i="48"/>
  <c r="G970" i="48"/>
  <c r="F970" i="48"/>
  <c r="AS970" i="48" s="1"/>
  <c r="E970" i="48"/>
  <c r="AU970" i="48" s="1"/>
  <c r="AF969" i="48"/>
  <c r="AE969" i="48"/>
  <c r="AD969" i="48"/>
  <c r="AC969" i="48"/>
  <c r="AB969" i="48"/>
  <c r="AA969" i="48"/>
  <c r="Z969" i="48"/>
  <c r="I969" i="48"/>
  <c r="H969" i="48"/>
  <c r="G969" i="48"/>
  <c r="F969" i="48"/>
  <c r="AS969" i="48" s="1"/>
  <c r="AT969" i="48" s="1"/>
  <c r="E969" i="48"/>
  <c r="AU969" i="48" s="1"/>
  <c r="AF968" i="48"/>
  <c r="AE968" i="48"/>
  <c r="AC968" i="48"/>
  <c r="AB968" i="48"/>
  <c r="AA968" i="48"/>
  <c r="AD968" i="48" s="1"/>
  <c r="Z968" i="48"/>
  <c r="I968" i="48"/>
  <c r="H968" i="48"/>
  <c r="G968" i="48"/>
  <c r="F968" i="48"/>
  <c r="AS968" i="48" s="1"/>
  <c r="E968" i="48"/>
  <c r="AU968" i="48" s="1"/>
  <c r="AF967" i="48"/>
  <c r="AE967" i="48"/>
  <c r="AC967" i="48"/>
  <c r="AB967" i="48"/>
  <c r="AA967" i="48"/>
  <c r="AD967" i="48" s="1"/>
  <c r="Z967" i="48"/>
  <c r="I967" i="48"/>
  <c r="H967" i="48"/>
  <c r="G967" i="48"/>
  <c r="F967" i="48"/>
  <c r="AS967" i="48" s="1"/>
  <c r="E967" i="48"/>
  <c r="AU967" i="48" s="1"/>
  <c r="AF966" i="48"/>
  <c r="AE966" i="48"/>
  <c r="AC966" i="48"/>
  <c r="AB966" i="48"/>
  <c r="AA966" i="48"/>
  <c r="AD966" i="48" s="1"/>
  <c r="Z966" i="48"/>
  <c r="I966" i="48"/>
  <c r="H966" i="48"/>
  <c r="G966" i="48"/>
  <c r="F966" i="48"/>
  <c r="AS966" i="48" s="1"/>
  <c r="AT966" i="48" s="1"/>
  <c r="E966" i="48"/>
  <c r="AU966" i="48" s="1"/>
  <c r="AF965" i="48"/>
  <c r="AE965" i="48"/>
  <c r="AC965" i="48"/>
  <c r="AB965" i="48"/>
  <c r="AA965" i="48"/>
  <c r="AD965" i="48" s="1"/>
  <c r="Z965" i="48"/>
  <c r="I965" i="48"/>
  <c r="H965" i="48"/>
  <c r="G965" i="48"/>
  <c r="F965" i="48"/>
  <c r="AS965" i="48" s="1"/>
  <c r="E965" i="48"/>
  <c r="AU965" i="48" s="1"/>
  <c r="AF964" i="48"/>
  <c r="AE964" i="48"/>
  <c r="AC964" i="48"/>
  <c r="AB964" i="48"/>
  <c r="AA964" i="48"/>
  <c r="AD964" i="48" s="1"/>
  <c r="Z964" i="48"/>
  <c r="I964" i="48"/>
  <c r="H964" i="48"/>
  <c r="G964" i="48"/>
  <c r="F964" i="48"/>
  <c r="AS964" i="48" s="1"/>
  <c r="E964" i="48"/>
  <c r="AU964" i="48" s="1"/>
  <c r="AS963" i="48"/>
  <c r="AF963" i="48"/>
  <c r="AE963" i="48"/>
  <c r="AC963" i="48"/>
  <c r="AB963" i="48"/>
  <c r="AA963" i="48"/>
  <c r="AD963" i="48" s="1"/>
  <c r="Z963" i="48"/>
  <c r="I963" i="48"/>
  <c r="H963" i="48"/>
  <c r="G963" i="48"/>
  <c r="F963" i="48"/>
  <c r="E963" i="48"/>
  <c r="AU963" i="48" s="1"/>
  <c r="AF962" i="48"/>
  <c r="AE962" i="48"/>
  <c r="AC962" i="48"/>
  <c r="Z962" i="48"/>
  <c r="AB962" i="48" s="1"/>
  <c r="I962" i="48"/>
  <c r="H962" i="48"/>
  <c r="G962" i="48"/>
  <c r="F962" i="48"/>
  <c r="AS962" i="48" s="1"/>
  <c r="AT962" i="48" s="1"/>
  <c r="E962" i="48"/>
  <c r="AU962" i="48" s="1"/>
  <c r="AF961" i="48"/>
  <c r="AE961" i="48"/>
  <c r="AD961" i="48"/>
  <c r="AC961" i="48"/>
  <c r="AB961" i="48"/>
  <c r="AA961" i="48"/>
  <c r="Z961" i="48"/>
  <c r="I961" i="48"/>
  <c r="H961" i="48"/>
  <c r="G961" i="48"/>
  <c r="F961" i="48"/>
  <c r="AS961" i="48" s="1"/>
  <c r="AT961" i="48" s="1"/>
  <c r="E961" i="48"/>
  <c r="AU961" i="48" s="1"/>
  <c r="AF960" i="48"/>
  <c r="AE960" i="48"/>
  <c r="AC960" i="48"/>
  <c r="Z960" i="48"/>
  <c r="AB960" i="48" s="1"/>
  <c r="I960" i="48"/>
  <c r="H960" i="48"/>
  <c r="G960" i="48"/>
  <c r="F960" i="48"/>
  <c r="AS960" i="48" s="1"/>
  <c r="E960" i="48"/>
  <c r="AU960" i="48" s="1"/>
  <c r="AF959" i="48"/>
  <c r="AE959" i="48"/>
  <c r="AC959" i="48"/>
  <c r="AB959" i="48"/>
  <c r="AA959" i="48"/>
  <c r="AD959" i="48" s="1"/>
  <c r="Z959" i="48"/>
  <c r="I959" i="48"/>
  <c r="H959" i="48"/>
  <c r="G959" i="48"/>
  <c r="F959" i="48"/>
  <c r="AS959" i="48" s="1"/>
  <c r="E959" i="48"/>
  <c r="AU959" i="48" s="1"/>
  <c r="AF958" i="48"/>
  <c r="AE958" i="48"/>
  <c r="AD958" i="48"/>
  <c r="AC958" i="48"/>
  <c r="AB958" i="48"/>
  <c r="AA958" i="48"/>
  <c r="Z958" i="48"/>
  <c r="I958" i="48"/>
  <c r="H958" i="48"/>
  <c r="G958" i="48"/>
  <c r="F958" i="48"/>
  <c r="AS958" i="48" s="1"/>
  <c r="AT958" i="48" s="1"/>
  <c r="E958" i="48"/>
  <c r="AU958" i="48" s="1"/>
  <c r="AF957" i="48"/>
  <c r="AE957" i="48"/>
  <c r="AD957" i="48"/>
  <c r="AC957" i="48"/>
  <c r="AB957" i="48"/>
  <c r="AA957" i="48"/>
  <c r="Z957" i="48"/>
  <c r="I957" i="48"/>
  <c r="H957" i="48"/>
  <c r="G957" i="48"/>
  <c r="F957" i="48"/>
  <c r="AS957" i="48" s="1"/>
  <c r="E957" i="48"/>
  <c r="AU957" i="48" s="1"/>
  <c r="AU956" i="48"/>
  <c r="AF956" i="48"/>
  <c r="AE956" i="48"/>
  <c r="AC956" i="48"/>
  <c r="AB956" i="48"/>
  <c r="AA956" i="48"/>
  <c r="AD956" i="48" s="1"/>
  <c r="Z956" i="48"/>
  <c r="I956" i="48"/>
  <c r="H956" i="48"/>
  <c r="G956" i="48"/>
  <c r="F956" i="48"/>
  <c r="AS956" i="48" s="1"/>
  <c r="E956" i="48"/>
  <c r="AF955" i="48"/>
  <c r="AE955" i="48"/>
  <c r="AC955" i="48"/>
  <c r="AB955" i="48"/>
  <c r="AA955" i="48"/>
  <c r="AD955" i="48" s="1"/>
  <c r="Z955" i="48"/>
  <c r="I955" i="48"/>
  <c r="H955" i="48"/>
  <c r="G955" i="48"/>
  <c r="F955" i="48"/>
  <c r="AS955" i="48" s="1"/>
  <c r="E955" i="48"/>
  <c r="AU955" i="48" s="1"/>
  <c r="A955" i="48"/>
  <c r="A956" i="48" s="1"/>
  <c r="A957" i="48" s="1"/>
  <c r="A958" i="48" s="1"/>
  <c r="A959" i="48" s="1"/>
  <c r="A960" i="48" s="1"/>
  <c r="A961" i="48" s="1"/>
  <c r="A962" i="48" s="1"/>
  <c r="A963" i="48" s="1"/>
  <c r="A964" i="48" s="1"/>
  <c r="A965" i="48" s="1"/>
  <c r="A966" i="48" s="1"/>
  <c r="A967" i="48" s="1"/>
  <c r="A968" i="48" s="1"/>
  <c r="A969" i="48" s="1"/>
  <c r="A970" i="48" s="1"/>
  <c r="A971" i="48" s="1"/>
  <c r="A972" i="48" s="1"/>
  <c r="A973" i="48" s="1"/>
  <c r="A974" i="48" s="1"/>
  <c r="A975" i="48" s="1"/>
  <c r="A976" i="48" s="1"/>
  <c r="A977" i="48" s="1"/>
  <c r="A978" i="48" s="1"/>
  <c r="A979" i="48" s="1"/>
  <c r="A980" i="48" s="1"/>
  <c r="A981" i="48" s="1"/>
  <c r="A982" i="48" s="1"/>
  <c r="A983" i="48" s="1"/>
  <c r="A984" i="48" s="1"/>
  <c r="A985" i="48" s="1"/>
  <c r="A986" i="48" s="1"/>
  <c r="A987" i="48" s="1"/>
  <c r="A988" i="48" s="1"/>
  <c r="A989" i="48" s="1"/>
  <c r="A990" i="48" s="1"/>
  <c r="A991" i="48" s="1"/>
  <c r="A992" i="48" s="1"/>
  <c r="AF954" i="48"/>
  <c r="AE954" i="48"/>
  <c r="AD954" i="48"/>
  <c r="AC954" i="48"/>
  <c r="AB954" i="48"/>
  <c r="AA954" i="48"/>
  <c r="Z954" i="48"/>
  <c r="I954" i="48"/>
  <c r="H954" i="48"/>
  <c r="G954" i="48"/>
  <c r="F954" i="48"/>
  <c r="AS954" i="48" s="1"/>
  <c r="AT954" i="48" s="1"/>
  <c r="E954" i="48"/>
  <c r="AU954" i="48" s="1"/>
  <c r="AT953" i="48"/>
  <c r="AF953" i="48"/>
  <c r="AE953" i="48"/>
  <c r="AC953" i="48"/>
  <c r="AB953" i="48"/>
  <c r="AA953" i="48"/>
  <c r="AD953" i="48" s="1"/>
  <c r="Z953" i="48"/>
  <c r="I953" i="48"/>
  <c r="H953" i="48"/>
  <c r="G953" i="48"/>
  <c r="F953" i="48"/>
  <c r="AS953" i="48" s="1"/>
  <c r="E953" i="48"/>
  <c r="AU953" i="48" s="1"/>
  <c r="AF952" i="48"/>
  <c r="AE952" i="48"/>
  <c r="AD952" i="48"/>
  <c r="AC952" i="48"/>
  <c r="AB952" i="48"/>
  <c r="AA952" i="48"/>
  <c r="Z952" i="48"/>
  <c r="I952" i="48"/>
  <c r="H952" i="48"/>
  <c r="G952" i="48"/>
  <c r="F952" i="48"/>
  <c r="AS952" i="48" s="1"/>
  <c r="E952" i="48"/>
  <c r="AU952" i="48" s="1"/>
  <c r="AF951" i="48"/>
  <c r="AT951" i="48" s="1"/>
  <c r="AE951" i="48"/>
  <c r="AC951" i="48"/>
  <c r="AB951" i="48"/>
  <c r="AA951" i="48"/>
  <c r="AD951" i="48" s="1"/>
  <c r="Z951" i="48"/>
  <c r="I951" i="48"/>
  <c r="H951" i="48"/>
  <c r="G951" i="48"/>
  <c r="F951" i="48"/>
  <c r="AS951" i="48" s="1"/>
  <c r="E951" i="48"/>
  <c r="AU951" i="48" s="1"/>
  <c r="AF950" i="48"/>
  <c r="AT950" i="48" s="1"/>
  <c r="AE950" i="48"/>
  <c r="AC950" i="48"/>
  <c r="AB950" i="48"/>
  <c r="AA950" i="48"/>
  <c r="AD950" i="48" s="1"/>
  <c r="Z950" i="48"/>
  <c r="I950" i="48"/>
  <c r="H950" i="48"/>
  <c r="G950" i="48"/>
  <c r="F950" i="48"/>
  <c r="AS950" i="48" s="1"/>
  <c r="E950" i="48"/>
  <c r="AU950" i="48" s="1"/>
  <c r="AT949" i="48"/>
  <c r="AF949" i="48"/>
  <c r="AE949" i="48"/>
  <c r="AC949" i="48"/>
  <c r="AB949" i="48"/>
  <c r="AA949" i="48"/>
  <c r="AD949" i="48" s="1"/>
  <c r="Z949" i="48"/>
  <c r="I949" i="48"/>
  <c r="H949" i="48"/>
  <c r="G949" i="48"/>
  <c r="F949" i="48"/>
  <c r="AS949" i="48" s="1"/>
  <c r="E949" i="48"/>
  <c r="AU949" i="48" s="1"/>
  <c r="AF948" i="48"/>
  <c r="AE948" i="48"/>
  <c r="AC948" i="48"/>
  <c r="AB948" i="48"/>
  <c r="AA948" i="48"/>
  <c r="AD948" i="48" s="1"/>
  <c r="Z948" i="48"/>
  <c r="I948" i="48"/>
  <c r="H948" i="48"/>
  <c r="G948" i="48"/>
  <c r="F948" i="48"/>
  <c r="AS948" i="48" s="1"/>
  <c r="E948" i="48"/>
  <c r="AU948" i="48" s="1"/>
  <c r="AU947" i="48"/>
  <c r="AF947" i="48"/>
  <c r="AT947" i="48" s="1"/>
  <c r="AE947" i="48"/>
  <c r="AC947" i="48"/>
  <c r="AB947" i="48"/>
  <c r="AA947" i="48"/>
  <c r="AD947" i="48" s="1"/>
  <c r="Z947" i="48"/>
  <c r="I947" i="48"/>
  <c r="H947" i="48"/>
  <c r="G947" i="48"/>
  <c r="F947" i="48"/>
  <c r="AS947" i="48" s="1"/>
  <c r="E947" i="48"/>
  <c r="AS946" i="48"/>
  <c r="AF946" i="48"/>
  <c r="AT946" i="48" s="1"/>
  <c r="AE946" i="48"/>
  <c r="AC946" i="48"/>
  <c r="AB946" i="48"/>
  <c r="AA946" i="48"/>
  <c r="AD946" i="48" s="1"/>
  <c r="Z946" i="48"/>
  <c r="I946" i="48"/>
  <c r="H946" i="48"/>
  <c r="G946" i="48"/>
  <c r="F946" i="48"/>
  <c r="E946" i="48"/>
  <c r="AU946" i="48" s="1"/>
  <c r="AT945" i="48"/>
  <c r="AF945" i="48"/>
  <c r="AE945" i="48"/>
  <c r="AC945" i="48"/>
  <c r="AB945" i="48"/>
  <c r="AA945" i="48"/>
  <c r="AD945" i="48" s="1"/>
  <c r="Z945" i="48"/>
  <c r="I945" i="48"/>
  <c r="H945" i="48"/>
  <c r="G945" i="48"/>
  <c r="F945" i="48"/>
  <c r="AS945" i="48" s="1"/>
  <c r="E945" i="48"/>
  <c r="AU945" i="48" s="1"/>
  <c r="AF944" i="48"/>
  <c r="AT944" i="48" s="1"/>
  <c r="AE944" i="48"/>
  <c r="AC944" i="48"/>
  <c r="Z944" i="48"/>
  <c r="AB944" i="48" s="1"/>
  <c r="I944" i="48"/>
  <c r="H944" i="48"/>
  <c r="G944" i="48"/>
  <c r="F944" i="48"/>
  <c r="AS944" i="48" s="1"/>
  <c r="E944" i="48"/>
  <c r="AU944" i="48" s="1"/>
  <c r="AF943" i="48"/>
  <c r="AT943" i="48" s="1"/>
  <c r="AE943" i="48"/>
  <c r="AC943" i="48"/>
  <c r="AB943" i="48"/>
  <c r="AA943" i="48"/>
  <c r="AD943" i="48" s="1"/>
  <c r="Z943" i="48"/>
  <c r="I943" i="48"/>
  <c r="H943" i="48"/>
  <c r="G943" i="48"/>
  <c r="F943" i="48"/>
  <c r="AS943" i="48" s="1"/>
  <c r="E943" i="48"/>
  <c r="AU943" i="48" s="1"/>
  <c r="AF942" i="48"/>
  <c r="AE942" i="48"/>
  <c r="AC942" i="48"/>
  <c r="Z942" i="48"/>
  <c r="AB942" i="48" s="1"/>
  <c r="I942" i="48"/>
  <c r="H942" i="48"/>
  <c r="G942" i="48"/>
  <c r="F942" i="48"/>
  <c r="AS942" i="48" s="1"/>
  <c r="E942" i="48"/>
  <c r="AU942" i="48" s="1"/>
  <c r="AT941" i="48"/>
  <c r="AF941" i="48"/>
  <c r="AE941" i="48"/>
  <c r="AC941" i="48"/>
  <c r="Z941" i="48"/>
  <c r="AB941" i="48" s="1"/>
  <c r="I941" i="48"/>
  <c r="H941" i="48"/>
  <c r="G941" i="48"/>
  <c r="F941" i="48"/>
  <c r="AS941" i="48" s="1"/>
  <c r="AA941" i="48" s="1"/>
  <c r="AD941" i="48" s="1"/>
  <c r="E941" i="48"/>
  <c r="AU941" i="48" s="1"/>
  <c r="AT940" i="48"/>
  <c r="AF940" i="48"/>
  <c r="AE940" i="48"/>
  <c r="AC940" i="48"/>
  <c r="Z940" i="48"/>
  <c r="AB940" i="48" s="1"/>
  <c r="I940" i="48"/>
  <c r="H940" i="48"/>
  <c r="G940" i="48"/>
  <c r="F940" i="48"/>
  <c r="AS940" i="48" s="1"/>
  <c r="AA940" i="48" s="1"/>
  <c r="AD940" i="48" s="1"/>
  <c r="E940" i="48"/>
  <c r="AU940" i="48" s="1"/>
  <c r="AF939" i="48"/>
  <c r="AT939" i="48" s="1"/>
  <c r="AE939" i="48"/>
  <c r="AC939" i="48"/>
  <c r="AB939" i="48"/>
  <c r="Z939" i="48"/>
  <c r="I939" i="48"/>
  <c r="H939" i="48"/>
  <c r="G939" i="48"/>
  <c r="F939" i="48"/>
  <c r="AS939" i="48" s="1"/>
  <c r="AA939" i="48" s="1"/>
  <c r="AD939" i="48" s="1"/>
  <c r="E939" i="48"/>
  <c r="AU939" i="48" s="1"/>
  <c r="AF938" i="48"/>
  <c r="AE938" i="48"/>
  <c r="AC938" i="48"/>
  <c r="Z938" i="48"/>
  <c r="AB938" i="48" s="1"/>
  <c r="I938" i="48"/>
  <c r="H938" i="48"/>
  <c r="G938" i="48"/>
  <c r="F938" i="48"/>
  <c r="AS938" i="48" s="1"/>
  <c r="E938" i="48"/>
  <c r="AU938" i="48" s="1"/>
  <c r="AT937" i="48"/>
  <c r="AF937" i="48"/>
  <c r="AE937" i="48"/>
  <c r="AC937" i="48"/>
  <c r="Z937" i="48"/>
  <c r="AB937" i="48" s="1"/>
  <c r="I937" i="48"/>
  <c r="H937" i="48"/>
  <c r="G937" i="48"/>
  <c r="F937" i="48"/>
  <c r="AS937" i="48" s="1"/>
  <c r="AA937" i="48" s="1"/>
  <c r="AD937" i="48" s="1"/>
  <c r="E937" i="48"/>
  <c r="AU937" i="48" s="1"/>
  <c r="AT936" i="48"/>
  <c r="AF936" i="48"/>
  <c r="AE936" i="48"/>
  <c r="AC936" i="48"/>
  <c r="Z936" i="48"/>
  <c r="AB936" i="48" s="1"/>
  <c r="I936" i="48"/>
  <c r="H936" i="48"/>
  <c r="G936" i="48"/>
  <c r="F936" i="48"/>
  <c r="AS936" i="48" s="1"/>
  <c r="AA936" i="48" s="1"/>
  <c r="AD936" i="48" s="1"/>
  <c r="E936" i="48"/>
  <c r="AU936" i="48" s="1"/>
  <c r="AF935" i="48"/>
  <c r="AT935" i="48" s="1"/>
  <c r="AE935" i="48"/>
  <c r="AC935" i="48"/>
  <c r="AB935" i="48"/>
  <c r="AA935" i="48"/>
  <c r="AD935" i="48" s="1"/>
  <c r="Z935" i="48"/>
  <c r="I935" i="48"/>
  <c r="H935" i="48"/>
  <c r="G935" i="48"/>
  <c r="F935" i="48"/>
  <c r="AS935" i="48" s="1"/>
  <c r="E935" i="48"/>
  <c r="AU935" i="48" s="1"/>
  <c r="AF934" i="48"/>
  <c r="AE934" i="48"/>
  <c r="AC934" i="48"/>
  <c r="Z934" i="48"/>
  <c r="AB934" i="48" s="1"/>
  <c r="I934" i="48"/>
  <c r="H934" i="48"/>
  <c r="G934" i="48"/>
  <c r="F934" i="48"/>
  <c r="AS934" i="48" s="1"/>
  <c r="E934" i="48"/>
  <c r="AU934" i="48" s="1"/>
  <c r="AF933" i="48"/>
  <c r="AT933" i="48" s="1"/>
  <c r="AE933" i="48"/>
  <c r="AC933" i="48"/>
  <c r="AB933" i="48"/>
  <c r="AA933" i="48"/>
  <c r="AD933" i="48" s="1"/>
  <c r="Z933" i="48"/>
  <c r="I933" i="48"/>
  <c r="H933" i="48"/>
  <c r="G933" i="48"/>
  <c r="F933" i="48"/>
  <c r="AS933" i="48" s="1"/>
  <c r="E933" i="48"/>
  <c r="AU933" i="48" s="1"/>
  <c r="AF932" i="48"/>
  <c r="AE932" i="48"/>
  <c r="AD932" i="48"/>
  <c r="AC932" i="48"/>
  <c r="AB932" i="48"/>
  <c r="AA932" i="48"/>
  <c r="Z932" i="48"/>
  <c r="I932" i="48"/>
  <c r="H932" i="48"/>
  <c r="G932" i="48"/>
  <c r="F932" i="48"/>
  <c r="AS932" i="48" s="1"/>
  <c r="E932" i="48"/>
  <c r="AU932" i="48" s="1"/>
  <c r="AU931" i="48"/>
  <c r="AF931" i="48"/>
  <c r="AE931" i="48"/>
  <c r="AC931" i="48"/>
  <c r="AB931" i="48"/>
  <c r="AA931" i="48"/>
  <c r="AD931" i="48" s="1"/>
  <c r="Z931" i="48"/>
  <c r="I931" i="48"/>
  <c r="H931" i="48"/>
  <c r="G931" i="48"/>
  <c r="F931" i="48"/>
  <c r="AS931" i="48" s="1"/>
  <c r="E931" i="48"/>
  <c r="AF930" i="48"/>
  <c r="AE930" i="48"/>
  <c r="AC930" i="48"/>
  <c r="AB930" i="48"/>
  <c r="AA930" i="48"/>
  <c r="AD930" i="48" s="1"/>
  <c r="Z930" i="48"/>
  <c r="I930" i="48"/>
  <c r="H930" i="48"/>
  <c r="G930" i="48"/>
  <c r="F930" i="48"/>
  <c r="AS930" i="48" s="1"/>
  <c r="E930" i="48"/>
  <c r="AU930" i="48" s="1"/>
  <c r="AS929" i="48"/>
  <c r="AT929" i="48" s="1"/>
  <c r="AF929" i="48"/>
  <c r="AE929" i="48"/>
  <c r="AC929" i="48"/>
  <c r="AB929" i="48"/>
  <c r="AA929" i="48"/>
  <c r="AD929" i="48" s="1"/>
  <c r="Z929" i="48"/>
  <c r="I929" i="48"/>
  <c r="H929" i="48"/>
  <c r="G929" i="48"/>
  <c r="F929" i="48"/>
  <c r="E929" i="48"/>
  <c r="AU929" i="48" s="1"/>
  <c r="AF928" i="48"/>
  <c r="AE928" i="48"/>
  <c r="AC928" i="48"/>
  <c r="AB928" i="48"/>
  <c r="AA928" i="48"/>
  <c r="AD928" i="48" s="1"/>
  <c r="Z928" i="48"/>
  <c r="I928" i="48"/>
  <c r="H928" i="48"/>
  <c r="G928" i="48"/>
  <c r="F928" i="48"/>
  <c r="AS928" i="48" s="1"/>
  <c r="E928" i="48"/>
  <c r="AU928" i="48" s="1"/>
  <c r="AU927" i="48"/>
  <c r="AF927" i="48"/>
  <c r="AT927" i="48" s="1"/>
  <c r="AE927" i="48"/>
  <c r="AC927" i="48"/>
  <c r="AB927" i="48"/>
  <c r="AA927" i="48"/>
  <c r="AD927" i="48" s="1"/>
  <c r="Z927" i="48"/>
  <c r="I927" i="48"/>
  <c r="H927" i="48"/>
  <c r="G927" i="48"/>
  <c r="F927" i="48"/>
  <c r="AS927" i="48" s="1"/>
  <c r="E927" i="48"/>
  <c r="AS926" i="48"/>
  <c r="AF926" i="48"/>
  <c r="AE926" i="48"/>
  <c r="AC926" i="48"/>
  <c r="AB926" i="48"/>
  <c r="AA926" i="48"/>
  <c r="AD926" i="48" s="1"/>
  <c r="Z926" i="48"/>
  <c r="I926" i="48"/>
  <c r="H926" i="48"/>
  <c r="G926" i="48"/>
  <c r="F926" i="48"/>
  <c r="E926" i="48"/>
  <c r="AU926" i="48" s="1"/>
  <c r="AF925" i="48"/>
  <c r="AE925" i="48"/>
  <c r="AC925" i="48"/>
  <c r="AB925" i="48"/>
  <c r="AA925" i="48"/>
  <c r="AD925" i="48" s="1"/>
  <c r="Z925" i="48"/>
  <c r="I925" i="48"/>
  <c r="H925" i="48"/>
  <c r="G925" i="48"/>
  <c r="F925" i="48"/>
  <c r="AS925" i="48" s="1"/>
  <c r="AT925" i="48" s="1"/>
  <c r="E925" i="48"/>
  <c r="AU925" i="48" s="1"/>
  <c r="AU924" i="48"/>
  <c r="AF924" i="48"/>
  <c r="AT924" i="48" s="1"/>
  <c r="AE924" i="48"/>
  <c r="AC924" i="48"/>
  <c r="AB924" i="48"/>
  <c r="AA924" i="48"/>
  <c r="AD924" i="48" s="1"/>
  <c r="Z924" i="48"/>
  <c r="I924" i="48"/>
  <c r="H924" i="48"/>
  <c r="G924" i="48"/>
  <c r="F924" i="48"/>
  <c r="AS924" i="48" s="1"/>
  <c r="E924" i="48"/>
  <c r="AF923" i="48"/>
  <c r="AE923" i="48"/>
  <c r="AC923" i="48"/>
  <c r="Z923" i="48"/>
  <c r="AB923" i="48" s="1"/>
  <c r="I923" i="48"/>
  <c r="H923" i="48"/>
  <c r="G923" i="48"/>
  <c r="F923" i="48"/>
  <c r="AS923" i="48" s="1"/>
  <c r="AA923" i="48" s="1"/>
  <c r="AD923" i="48" s="1"/>
  <c r="E923" i="48"/>
  <c r="AU923" i="48" s="1"/>
  <c r="AF922" i="48"/>
  <c r="AE922" i="48"/>
  <c r="AC922" i="48"/>
  <c r="AB922" i="48"/>
  <c r="AA922" i="48"/>
  <c r="AD922" i="48" s="1"/>
  <c r="Z922" i="48"/>
  <c r="I922" i="48"/>
  <c r="H922" i="48"/>
  <c r="G922" i="48"/>
  <c r="F922" i="48"/>
  <c r="AS922" i="48" s="1"/>
  <c r="E922" i="48"/>
  <c r="AU922" i="48" s="1"/>
  <c r="AF921" i="48"/>
  <c r="AE921" i="48"/>
  <c r="AC921" i="48"/>
  <c r="Z921" i="48"/>
  <c r="AB921" i="48" s="1"/>
  <c r="I921" i="48"/>
  <c r="H921" i="48"/>
  <c r="G921" i="48"/>
  <c r="F921" i="48"/>
  <c r="AS921" i="48" s="1"/>
  <c r="E921" i="48"/>
  <c r="AU921" i="48" s="1"/>
  <c r="AF920" i="48"/>
  <c r="AE920" i="48"/>
  <c r="AD920" i="48"/>
  <c r="AC920" i="48"/>
  <c r="AB920" i="48"/>
  <c r="AA920" i="48"/>
  <c r="Z920" i="48"/>
  <c r="I920" i="48"/>
  <c r="H920" i="48"/>
  <c r="G920" i="48"/>
  <c r="F920" i="48"/>
  <c r="AS920" i="48" s="1"/>
  <c r="E920" i="48"/>
  <c r="AU920" i="48" s="1"/>
  <c r="AF919" i="48"/>
  <c r="AE919" i="48"/>
  <c r="AC919" i="48"/>
  <c r="AB919" i="48"/>
  <c r="AA919" i="48"/>
  <c r="AD919" i="48" s="1"/>
  <c r="Z919" i="48"/>
  <c r="I919" i="48"/>
  <c r="H919" i="48"/>
  <c r="G919" i="48"/>
  <c r="F919" i="48"/>
  <c r="AS919" i="48" s="1"/>
  <c r="E919" i="48"/>
  <c r="AU919" i="48" s="1"/>
  <c r="AF918" i="48"/>
  <c r="AT918" i="48" s="1"/>
  <c r="AE918" i="48"/>
  <c r="AC918" i="48"/>
  <c r="AB918" i="48"/>
  <c r="AA918" i="48"/>
  <c r="AD918" i="48" s="1"/>
  <c r="Z918" i="48"/>
  <c r="I918" i="48"/>
  <c r="H918" i="48"/>
  <c r="G918" i="48"/>
  <c r="F918" i="48"/>
  <c r="AS918" i="48" s="1"/>
  <c r="E918" i="48"/>
  <c r="AU918" i="48" s="1"/>
  <c r="AV918" i="48" s="1"/>
  <c r="A918" i="48"/>
  <c r="A919" i="48" s="1"/>
  <c r="A920" i="48" s="1"/>
  <c r="A921" i="48" s="1"/>
  <c r="A922" i="48" s="1"/>
  <c r="A923" i="48" s="1"/>
  <c r="A924" i="48" s="1"/>
  <c r="A925" i="48" s="1"/>
  <c r="A926" i="48" s="1"/>
  <c r="A927" i="48" s="1"/>
  <c r="A928" i="48" s="1"/>
  <c r="A929" i="48" s="1"/>
  <c r="A930" i="48" s="1"/>
  <c r="A931" i="48" s="1"/>
  <c r="A932" i="48" s="1"/>
  <c r="A933" i="48" s="1"/>
  <c r="A934" i="48" s="1"/>
  <c r="A935" i="48" s="1"/>
  <c r="A936" i="48" s="1"/>
  <c r="A937" i="48" s="1"/>
  <c r="A938" i="48" s="1"/>
  <c r="A939" i="48" s="1"/>
  <c r="A940" i="48" s="1"/>
  <c r="A941" i="48" s="1"/>
  <c r="A942" i="48" s="1"/>
  <c r="A943" i="48" s="1"/>
  <c r="A944" i="48" s="1"/>
  <c r="A945" i="48" s="1"/>
  <c r="A946" i="48" s="1"/>
  <c r="A947" i="48" s="1"/>
  <c r="A948" i="48" s="1"/>
  <c r="A949" i="48" s="1"/>
  <c r="A950" i="48" s="1"/>
  <c r="A951" i="48" s="1"/>
  <c r="A952" i="48" s="1"/>
  <c r="A953" i="48" s="1"/>
  <c r="AF917" i="48"/>
  <c r="AE917" i="48"/>
  <c r="AC917" i="48"/>
  <c r="AB917" i="48"/>
  <c r="AA917" i="48"/>
  <c r="AD917" i="48" s="1"/>
  <c r="Z917" i="48"/>
  <c r="I917" i="48"/>
  <c r="H917" i="48"/>
  <c r="G917" i="48"/>
  <c r="F917" i="48"/>
  <c r="AS917" i="48" s="1"/>
  <c r="AT917" i="48" s="1"/>
  <c r="E917" i="48"/>
  <c r="AU917" i="48" s="1"/>
  <c r="AF916" i="48"/>
  <c r="AE916" i="48"/>
  <c r="AC916" i="48"/>
  <c r="AB916" i="48"/>
  <c r="AA916" i="48"/>
  <c r="AD916" i="48" s="1"/>
  <c r="Z916" i="48"/>
  <c r="I916" i="48"/>
  <c r="H916" i="48"/>
  <c r="G916" i="48"/>
  <c r="F916" i="48"/>
  <c r="AS916" i="48" s="1"/>
  <c r="AT916" i="48" s="1"/>
  <c r="E916" i="48"/>
  <c r="AU916" i="48" s="1"/>
  <c r="A916" i="48"/>
  <c r="A917" i="48" s="1"/>
  <c r="AU915" i="48"/>
  <c r="AF915" i="48"/>
  <c r="AT915" i="48" s="1"/>
  <c r="AE915" i="48"/>
  <c r="AC915" i="48"/>
  <c r="AB915" i="48"/>
  <c r="AA915" i="48"/>
  <c r="AD915" i="48" s="1"/>
  <c r="Z915" i="48"/>
  <c r="I915" i="48"/>
  <c r="H915" i="48"/>
  <c r="G915" i="48"/>
  <c r="F915" i="48"/>
  <c r="AS915" i="48" s="1"/>
  <c r="E915" i="48"/>
  <c r="AU914" i="48"/>
  <c r="AV914" i="48" s="1"/>
  <c r="AF914" i="48"/>
  <c r="AT914" i="48" s="1"/>
  <c r="AE914" i="48"/>
  <c r="AC914" i="48"/>
  <c r="AB914" i="48"/>
  <c r="AA914" i="48"/>
  <c r="AD914" i="48" s="1"/>
  <c r="Z914" i="48"/>
  <c r="I914" i="48"/>
  <c r="H914" i="48"/>
  <c r="G914" i="48"/>
  <c r="F914" i="48"/>
  <c r="AS914" i="48" s="1"/>
  <c r="E914" i="48"/>
  <c r="AS913" i="48"/>
  <c r="AF913" i="48"/>
  <c r="AT913" i="48" s="1"/>
  <c r="AE913" i="48"/>
  <c r="AC913" i="48"/>
  <c r="AB913" i="48"/>
  <c r="AA913" i="48"/>
  <c r="AD913" i="48" s="1"/>
  <c r="Z913" i="48"/>
  <c r="I913" i="48"/>
  <c r="H913" i="48"/>
  <c r="G913" i="48"/>
  <c r="F913" i="48"/>
  <c r="E913" i="48"/>
  <c r="AU913" i="48" s="1"/>
  <c r="AF912" i="48"/>
  <c r="AT912" i="48" s="1"/>
  <c r="AE912" i="48"/>
  <c r="AC912" i="48"/>
  <c r="AB912" i="48"/>
  <c r="AA912" i="48"/>
  <c r="AD912" i="48" s="1"/>
  <c r="Z912" i="48"/>
  <c r="I912" i="48"/>
  <c r="H912" i="48"/>
  <c r="G912" i="48"/>
  <c r="F912" i="48"/>
  <c r="AS912" i="48" s="1"/>
  <c r="E912" i="48"/>
  <c r="AU912" i="48" s="1"/>
  <c r="AF911" i="48"/>
  <c r="AT911" i="48" s="1"/>
  <c r="AE911" i="48"/>
  <c r="AC911" i="48"/>
  <c r="AB911" i="48"/>
  <c r="AA911" i="48"/>
  <c r="AD911" i="48" s="1"/>
  <c r="Z911" i="48"/>
  <c r="I911" i="48"/>
  <c r="H911" i="48"/>
  <c r="G911" i="48"/>
  <c r="F911" i="48"/>
  <c r="AS911" i="48" s="1"/>
  <c r="E911" i="48"/>
  <c r="AU911" i="48" s="1"/>
  <c r="AF910" i="48"/>
  <c r="AT910" i="48" s="1"/>
  <c r="AE910" i="48"/>
  <c r="AC910" i="48"/>
  <c r="AB910" i="48"/>
  <c r="AA910" i="48"/>
  <c r="AD910" i="48" s="1"/>
  <c r="Z910" i="48"/>
  <c r="I910" i="48"/>
  <c r="H910" i="48"/>
  <c r="G910" i="48"/>
  <c r="F910" i="48"/>
  <c r="AS910" i="48" s="1"/>
  <c r="E910" i="48"/>
  <c r="AU910" i="48" s="1"/>
  <c r="AS909" i="48"/>
  <c r="AF909" i="48"/>
  <c r="AT909" i="48" s="1"/>
  <c r="AE909" i="48"/>
  <c r="AC909" i="48"/>
  <c r="AB909" i="48"/>
  <c r="AA909" i="48"/>
  <c r="AD909" i="48" s="1"/>
  <c r="Z909" i="48"/>
  <c r="I909" i="48"/>
  <c r="H909" i="48"/>
  <c r="G909" i="48"/>
  <c r="F909" i="48"/>
  <c r="E909" i="48"/>
  <c r="AU909" i="48" s="1"/>
  <c r="AT908" i="48"/>
  <c r="AF908" i="48"/>
  <c r="AE908" i="48"/>
  <c r="AD908" i="48"/>
  <c r="AC908" i="48"/>
  <c r="AB908" i="48"/>
  <c r="AA908" i="48"/>
  <c r="Z908" i="48"/>
  <c r="I908" i="48"/>
  <c r="H908" i="48"/>
  <c r="G908" i="48"/>
  <c r="F908" i="48"/>
  <c r="AS908" i="48" s="1"/>
  <c r="E908" i="48"/>
  <c r="AU908" i="48" s="1"/>
  <c r="AF907" i="48"/>
  <c r="AT907" i="48" s="1"/>
  <c r="AE907" i="48"/>
  <c r="AC907" i="48"/>
  <c r="AB907" i="48"/>
  <c r="AA907" i="48"/>
  <c r="AD907" i="48" s="1"/>
  <c r="Z907" i="48"/>
  <c r="I907" i="48"/>
  <c r="H907" i="48"/>
  <c r="G907" i="48"/>
  <c r="F907" i="48"/>
  <c r="AS907" i="48" s="1"/>
  <c r="E907" i="48"/>
  <c r="AU907" i="48" s="1"/>
  <c r="AS906" i="48"/>
  <c r="AF906" i="48"/>
  <c r="AT906" i="48" s="1"/>
  <c r="AE906" i="48"/>
  <c r="AC906" i="48"/>
  <c r="AB906" i="48"/>
  <c r="AA906" i="48"/>
  <c r="AD906" i="48" s="1"/>
  <c r="Z906" i="48"/>
  <c r="I906" i="48"/>
  <c r="H906" i="48"/>
  <c r="G906" i="48"/>
  <c r="F906" i="48"/>
  <c r="E906" i="48"/>
  <c r="AU906" i="48" s="1"/>
  <c r="AV906" i="48" s="1"/>
  <c r="AF905" i="48"/>
  <c r="AE905" i="48"/>
  <c r="AC905" i="48"/>
  <c r="Z905" i="48"/>
  <c r="AB905" i="48" s="1"/>
  <c r="I905" i="48"/>
  <c r="H905" i="48"/>
  <c r="G905" i="48"/>
  <c r="F905" i="48"/>
  <c r="AS905" i="48" s="1"/>
  <c r="E905" i="48"/>
  <c r="AU905" i="48" s="1"/>
  <c r="AF904" i="48"/>
  <c r="AT904" i="48" s="1"/>
  <c r="AE904" i="48"/>
  <c r="AC904" i="48"/>
  <c r="Z904" i="48"/>
  <c r="AB904" i="48" s="1"/>
  <c r="I904" i="48"/>
  <c r="H904" i="48"/>
  <c r="G904" i="48"/>
  <c r="F904" i="48"/>
  <c r="AS904" i="48" s="1"/>
  <c r="AA904" i="48" s="1"/>
  <c r="AD904" i="48" s="1"/>
  <c r="E904" i="48"/>
  <c r="AU904" i="48" s="1"/>
  <c r="AF903" i="48"/>
  <c r="AT903" i="48" s="1"/>
  <c r="AE903" i="48"/>
  <c r="AC903" i="48"/>
  <c r="Z903" i="48"/>
  <c r="AB903" i="48" s="1"/>
  <c r="I903" i="48"/>
  <c r="H903" i="48"/>
  <c r="G903" i="48"/>
  <c r="F903" i="48"/>
  <c r="AS903" i="48" s="1"/>
  <c r="E903" i="48"/>
  <c r="AU903" i="48" s="1"/>
  <c r="AS902" i="48"/>
  <c r="AA902" i="48" s="1"/>
  <c r="AD902" i="48" s="1"/>
  <c r="AF902" i="48"/>
  <c r="AT902" i="48" s="1"/>
  <c r="AE902" i="48"/>
  <c r="AC902" i="48"/>
  <c r="AB902" i="48"/>
  <c r="Z902" i="48"/>
  <c r="I902" i="48"/>
  <c r="H902" i="48"/>
  <c r="G902" i="48"/>
  <c r="F902" i="48"/>
  <c r="E902" i="48"/>
  <c r="AU902" i="48" s="1"/>
  <c r="AF901" i="48"/>
  <c r="AE901" i="48"/>
  <c r="AC901" i="48"/>
  <c r="Z901" i="48"/>
  <c r="AB901" i="48" s="1"/>
  <c r="I901" i="48"/>
  <c r="H901" i="48"/>
  <c r="G901" i="48"/>
  <c r="F901" i="48"/>
  <c r="AS901" i="48" s="1"/>
  <c r="E901" i="48"/>
  <c r="AU901" i="48" s="1"/>
  <c r="AF900" i="48"/>
  <c r="AT900" i="48" s="1"/>
  <c r="AE900" i="48"/>
  <c r="AC900" i="48"/>
  <c r="Z900" i="48"/>
  <c r="AB900" i="48" s="1"/>
  <c r="I900" i="48"/>
  <c r="H900" i="48"/>
  <c r="G900" i="48"/>
  <c r="F900" i="48"/>
  <c r="AS900" i="48" s="1"/>
  <c r="AA900" i="48" s="1"/>
  <c r="AD900" i="48" s="1"/>
  <c r="E900" i="48"/>
  <c r="AU900" i="48" s="1"/>
  <c r="AF899" i="48"/>
  <c r="AT899" i="48" s="1"/>
  <c r="AE899" i="48"/>
  <c r="AC899" i="48"/>
  <c r="AA899" i="48"/>
  <c r="AD899" i="48" s="1"/>
  <c r="Z899" i="48"/>
  <c r="AB899" i="48" s="1"/>
  <c r="I899" i="48"/>
  <c r="H899" i="48"/>
  <c r="G899" i="48"/>
  <c r="F899" i="48"/>
  <c r="AS899" i="48" s="1"/>
  <c r="E899" i="48"/>
  <c r="AU899" i="48" s="1"/>
  <c r="AS898" i="48"/>
  <c r="AA898" i="48" s="1"/>
  <c r="AD898" i="48" s="1"/>
  <c r="AF898" i="48"/>
  <c r="AT898" i="48" s="1"/>
  <c r="AE898" i="48"/>
  <c r="AC898" i="48"/>
  <c r="AB898" i="48"/>
  <c r="Z898" i="48"/>
  <c r="I898" i="48"/>
  <c r="H898" i="48"/>
  <c r="G898" i="48"/>
  <c r="F898" i="48"/>
  <c r="E898" i="48"/>
  <c r="AU898" i="48" s="1"/>
  <c r="AF897" i="48"/>
  <c r="AT897" i="48" s="1"/>
  <c r="AE897" i="48"/>
  <c r="AC897" i="48"/>
  <c r="Z897" i="48"/>
  <c r="AB897" i="48" s="1"/>
  <c r="I897" i="48"/>
  <c r="H897" i="48"/>
  <c r="G897" i="48"/>
  <c r="F897" i="48"/>
  <c r="AS897" i="48" s="1"/>
  <c r="E897" i="48"/>
  <c r="AU897" i="48" s="1"/>
  <c r="AF896" i="48"/>
  <c r="AT896" i="48" s="1"/>
  <c r="AE896" i="48"/>
  <c r="AC896" i="48"/>
  <c r="AB896" i="48"/>
  <c r="AA896" i="48"/>
  <c r="AD896" i="48" s="1"/>
  <c r="Z896" i="48"/>
  <c r="I896" i="48"/>
  <c r="H896" i="48"/>
  <c r="G896" i="48"/>
  <c r="F896" i="48"/>
  <c r="AS896" i="48" s="1"/>
  <c r="E896" i="48"/>
  <c r="AU896" i="48" s="1"/>
  <c r="AF895" i="48"/>
  <c r="AT895" i="48" s="1"/>
  <c r="AE895" i="48"/>
  <c r="AC895" i="48"/>
  <c r="Z895" i="48"/>
  <c r="AB895" i="48" s="1"/>
  <c r="I895" i="48"/>
  <c r="H895" i="48"/>
  <c r="G895" i="48"/>
  <c r="F895" i="48"/>
  <c r="AS895" i="48" s="1"/>
  <c r="E895" i="48"/>
  <c r="AU895" i="48" s="1"/>
  <c r="AF894" i="48"/>
  <c r="AT894" i="48" s="1"/>
  <c r="AE894" i="48"/>
  <c r="AC894" i="48"/>
  <c r="AB894" i="48"/>
  <c r="AA894" i="48"/>
  <c r="AD894" i="48" s="1"/>
  <c r="Z894" i="48"/>
  <c r="I894" i="48"/>
  <c r="H894" i="48"/>
  <c r="G894" i="48"/>
  <c r="F894" i="48"/>
  <c r="AS894" i="48" s="1"/>
  <c r="E894" i="48"/>
  <c r="AU894" i="48" s="1"/>
  <c r="AF893" i="48"/>
  <c r="AE893" i="48"/>
  <c r="AC893" i="48"/>
  <c r="AB893" i="48"/>
  <c r="AA893" i="48"/>
  <c r="AD893" i="48" s="1"/>
  <c r="Z893" i="48"/>
  <c r="I893" i="48"/>
  <c r="H893" i="48"/>
  <c r="G893" i="48"/>
  <c r="F893" i="48"/>
  <c r="AS893" i="48" s="1"/>
  <c r="E893" i="48"/>
  <c r="AU893" i="48" s="1"/>
  <c r="AF892" i="48"/>
  <c r="AE892" i="48"/>
  <c r="AC892" i="48"/>
  <c r="AB892" i="48"/>
  <c r="AA892" i="48"/>
  <c r="AD892" i="48" s="1"/>
  <c r="Z892" i="48"/>
  <c r="I892" i="48"/>
  <c r="H892" i="48"/>
  <c r="G892" i="48"/>
  <c r="F892" i="48"/>
  <c r="AS892" i="48" s="1"/>
  <c r="E892" i="48"/>
  <c r="AU892" i="48" s="1"/>
  <c r="AF891" i="48"/>
  <c r="AE891" i="48"/>
  <c r="AC891" i="48"/>
  <c r="AB891" i="48"/>
  <c r="AA891" i="48"/>
  <c r="AD891" i="48" s="1"/>
  <c r="Z891" i="48"/>
  <c r="I891" i="48"/>
  <c r="H891" i="48"/>
  <c r="G891" i="48"/>
  <c r="F891" i="48"/>
  <c r="AS891" i="48" s="1"/>
  <c r="AT891" i="48" s="1"/>
  <c r="E891" i="48"/>
  <c r="AU891" i="48" s="1"/>
  <c r="AF890" i="48"/>
  <c r="AE890" i="48"/>
  <c r="AC890" i="48"/>
  <c r="AB890" i="48"/>
  <c r="AA890" i="48"/>
  <c r="AD890" i="48" s="1"/>
  <c r="Z890" i="48"/>
  <c r="I890" i="48"/>
  <c r="H890" i="48"/>
  <c r="G890" i="48"/>
  <c r="F890" i="48"/>
  <c r="AS890" i="48" s="1"/>
  <c r="E890" i="48"/>
  <c r="AU890" i="48" s="1"/>
  <c r="AF889" i="48"/>
  <c r="AE889" i="48"/>
  <c r="AC889" i="48"/>
  <c r="AB889" i="48"/>
  <c r="AA889" i="48"/>
  <c r="AD889" i="48" s="1"/>
  <c r="Z889" i="48"/>
  <c r="I889" i="48"/>
  <c r="H889" i="48"/>
  <c r="G889" i="48"/>
  <c r="F889" i="48"/>
  <c r="AS889" i="48" s="1"/>
  <c r="E889" i="48"/>
  <c r="AU889" i="48" s="1"/>
  <c r="AF888" i="48"/>
  <c r="AE888" i="48"/>
  <c r="AC888" i="48"/>
  <c r="AB888" i="48"/>
  <c r="AA888" i="48"/>
  <c r="AD888" i="48" s="1"/>
  <c r="Z888" i="48"/>
  <c r="I888" i="48"/>
  <c r="H888" i="48"/>
  <c r="G888" i="48"/>
  <c r="F888" i="48"/>
  <c r="AS888" i="48" s="1"/>
  <c r="E888" i="48"/>
  <c r="AU888" i="48" s="1"/>
  <c r="AF887" i="48"/>
  <c r="AE887" i="48"/>
  <c r="AC887" i="48"/>
  <c r="AB887" i="48"/>
  <c r="AA887" i="48"/>
  <c r="AD887" i="48" s="1"/>
  <c r="Z887" i="48"/>
  <c r="I887" i="48"/>
  <c r="H887" i="48"/>
  <c r="G887" i="48"/>
  <c r="F887" i="48"/>
  <c r="AS887" i="48" s="1"/>
  <c r="AT887" i="48" s="1"/>
  <c r="E887" i="48"/>
  <c r="AU887" i="48" s="1"/>
  <c r="AF886" i="48"/>
  <c r="AE886" i="48"/>
  <c r="AC886" i="48"/>
  <c r="AB886" i="48"/>
  <c r="AA886" i="48"/>
  <c r="AD886" i="48" s="1"/>
  <c r="Z886" i="48"/>
  <c r="I886" i="48"/>
  <c r="H886" i="48"/>
  <c r="G886" i="48"/>
  <c r="F886" i="48"/>
  <c r="AS886" i="48" s="1"/>
  <c r="E886" i="48"/>
  <c r="AU886" i="48" s="1"/>
  <c r="AF885" i="48"/>
  <c r="AE885" i="48"/>
  <c r="AC885" i="48"/>
  <c r="AB885" i="48"/>
  <c r="AA885" i="48"/>
  <c r="AD885" i="48" s="1"/>
  <c r="Z885" i="48"/>
  <c r="I885" i="48"/>
  <c r="H885" i="48"/>
  <c r="G885" i="48"/>
  <c r="F885" i="48"/>
  <c r="AS885" i="48" s="1"/>
  <c r="E885" i="48"/>
  <c r="AU885" i="48" s="1"/>
  <c r="AF884" i="48"/>
  <c r="AE884" i="48"/>
  <c r="AC884" i="48"/>
  <c r="Z884" i="48"/>
  <c r="AB884" i="48" s="1"/>
  <c r="I884" i="48"/>
  <c r="H884" i="48"/>
  <c r="G884" i="48"/>
  <c r="F884" i="48"/>
  <c r="AS884" i="48" s="1"/>
  <c r="E884" i="48"/>
  <c r="AU884" i="48" s="1"/>
  <c r="AF883" i="48"/>
  <c r="AE883" i="48"/>
  <c r="AC883" i="48"/>
  <c r="AB883" i="48"/>
  <c r="AA883" i="48"/>
  <c r="AD883" i="48" s="1"/>
  <c r="Z883" i="48"/>
  <c r="I883" i="48"/>
  <c r="H883" i="48"/>
  <c r="G883" i="48"/>
  <c r="F883" i="48"/>
  <c r="AS883" i="48" s="1"/>
  <c r="E883" i="48"/>
  <c r="AU883" i="48" s="1"/>
  <c r="AU882" i="48"/>
  <c r="AF882" i="48"/>
  <c r="AE882" i="48"/>
  <c r="AC882" i="48"/>
  <c r="Z882" i="48"/>
  <c r="AB882" i="48" s="1"/>
  <c r="I882" i="48"/>
  <c r="H882" i="48"/>
  <c r="G882" i="48"/>
  <c r="F882" i="48"/>
  <c r="AS882" i="48" s="1"/>
  <c r="E882" i="48"/>
  <c r="AF881" i="48"/>
  <c r="AE881" i="48"/>
  <c r="AC881" i="48"/>
  <c r="AB881" i="48"/>
  <c r="AA881" i="48"/>
  <c r="AD881" i="48" s="1"/>
  <c r="Z881" i="48"/>
  <c r="I881" i="48"/>
  <c r="H881" i="48"/>
  <c r="G881" i="48"/>
  <c r="F881" i="48"/>
  <c r="AS881" i="48" s="1"/>
  <c r="E881" i="48"/>
  <c r="AU881" i="48" s="1"/>
  <c r="AF880" i="48"/>
  <c r="AE880" i="48"/>
  <c r="AC880" i="48"/>
  <c r="AB880" i="48"/>
  <c r="AA880" i="48"/>
  <c r="AD880" i="48" s="1"/>
  <c r="Z880" i="48"/>
  <c r="I880" i="48"/>
  <c r="H880" i="48"/>
  <c r="G880" i="48"/>
  <c r="F880" i="48"/>
  <c r="AS880" i="48" s="1"/>
  <c r="E880" i="48"/>
  <c r="AU880" i="48" s="1"/>
  <c r="AT879" i="48"/>
  <c r="AF879" i="48"/>
  <c r="AE879" i="48"/>
  <c r="AC879" i="48"/>
  <c r="AB879" i="48"/>
  <c r="AA879" i="48"/>
  <c r="AD879" i="48" s="1"/>
  <c r="Z879" i="48"/>
  <c r="I879" i="48"/>
  <c r="H879" i="48"/>
  <c r="G879" i="48"/>
  <c r="F879" i="48"/>
  <c r="AS879" i="48" s="1"/>
  <c r="E879" i="48"/>
  <c r="AU879" i="48" s="1"/>
  <c r="AF878" i="48"/>
  <c r="AE878" i="48"/>
  <c r="AC878" i="48"/>
  <c r="AB878" i="48"/>
  <c r="AA878" i="48"/>
  <c r="AD878" i="48" s="1"/>
  <c r="Z878" i="48"/>
  <c r="I878" i="48"/>
  <c r="H878" i="48"/>
  <c r="G878" i="48"/>
  <c r="F878" i="48"/>
  <c r="AS878" i="48" s="1"/>
  <c r="E878" i="48"/>
  <c r="AU878" i="48" s="1"/>
  <c r="AF877" i="48"/>
  <c r="AE877" i="48"/>
  <c r="AC877" i="48"/>
  <c r="AB877" i="48"/>
  <c r="AA877" i="48"/>
  <c r="AD877" i="48" s="1"/>
  <c r="Z877" i="48"/>
  <c r="I877" i="48"/>
  <c r="H877" i="48"/>
  <c r="G877" i="48"/>
  <c r="F877" i="48"/>
  <c r="AS877" i="48" s="1"/>
  <c r="E877" i="48"/>
  <c r="AU877" i="48" s="1"/>
  <c r="A877" i="48"/>
  <c r="A878" i="48" s="1"/>
  <c r="A879" i="48" s="1"/>
  <c r="A880" i="48" s="1"/>
  <c r="A881" i="48" s="1"/>
  <c r="A882" i="48" s="1"/>
  <c r="A883" i="48" s="1"/>
  <c r="A884" i="48" s="1"/>
  <c r="A885" i="48" s="1"/>
  <c r="A886" i="48" s="1"/>
  <c r="A887" i="48" s="1"/>
  <c r="A888" i="48" s="1"/>
  <c r="A889" i="48" s="1"/>
  <c r="A890" i="48" s="1"/>
  <c r="A891" i="48" s="1"/>
  <c r="A892" i="48" s="1"/>
  <c r="A893" i="48" s="1"/>
  <c r="A894" i="48" s="1"/>
  <c r="A895" i="48" s="1"/>
  <c r="A896" i="48" s="1"/>
  <c r="A897" i="48" s="1"/>
  <c r="A898" i="48" s="1"/>
  <c r="A899" i="48" s="1"/>
  <c r="A900" i="48" s="1"/>
  <c r="A901" i="48" s="1"/>
  <c r="A902" i="48" s="1"/>
  <c r="A903" i="48" s="1"/>
  <c r="A904" i="48" s="1"/>
  <c r="A905" i="48" s="1"/>
  <c r="A906" i="48" s="1"/>
  <c r="A907" i="48" s="1"/>
  <c r="A908" i="48" s="1"/>
  <c r="A909" i="48" s="1"/>
  <c r="A910" i="48" s="1"/>
  <c r="A911" i="48" s="1"/>
  <c r="A912" i="48" s="1"/>
  <c r="A913" i="48" s="1"/>
  <c r="A914" i="48" s="1"/>
  <c r="AS876" i="48"/>
  <c r="AF876" i="48"/>
  <c r="AE876" i="48"/>
  <c r="AC876" i="48"/>
  <c r="AB876" i="48"/>
  <c r="AA876" i="48"/>
  <c r="AD876" i="48" s="1"/>
  <c r="Z876" i="48"/>
  <c r="I876" i="48"/>
  <c r="H876" i="48"/>
  <c r="G876" i="48"/>
  <c r="F876" i="48"/>
  <c r="E876" i="48"/>
  <c r="AU876" i="48" s="1"/>
  <c r="AS875" i="48"/>
  <c r="AF875" i="48"/>
  <c r="AE875" i="48"/>
  <c r="AC875" i="48"/>
  <c r="AB875" i="48"/>
  <c r="AA875" i="48"/>
  <c r="AD875" i="48" s="1"/>
  <c r="Z875" i="48"/>
  <c r="I875" i="48"/>
  <c r="H875" i="48"/>
  <c r="G875" i="48"/>
  <c r="F875" i="48"/>
  <c r="E875" i="48"/>
  <c r="AU875" i="48" s="1"/>
  <c r="AT874" i="48"/>
  <c r="AF874" i="48"/>
  <c r="AE874" i="48"/>
  <c r="AC874" i="48"/>
  <c r="AB874" i="48"/>
  <c r="AA874" i="48"/>
  <c r="AD874" i="48" s="1"/>
  <c r="Z874" i="48"/>
  <c r="I874" i="48"/>
  <c r="H874" i="48"/>
  <c r="G874" i="48"/>
  <c r="F874" i="48"/>
  <c r="AS874" i="48" s="1"/>
  <c r="E874" i="48"/>
  <c r="AU874" i="48" s="1"/>
  <c r="AT873" i="48"/>
  <c r="AF873" i="48"/>
  <c r="AE873" i="48"/>
  <c r="AC873" i="48"/>
  <c r="AB873" i="48"/>
  <c r="AA873" i="48"/>
  <c r="AD873" i="48" s="1"/>
  <c r="Z873" i="48"/>
  <c r="I873" i="48"/>
  <c r="H873" i="48"/>
  <c r="G873" i="48"/>
  <c r="F873" i="48"/>
  <c r="AS873" i="48" s="1"/>
  <c r="E873" i="48"/>
  <c r="AU873" i="48" s="1"/>
  <c r="AF872" i="48"/>
  <c r="AE872" i="48"/>
  <c r="AC872" i="48"/>
  <c r="AB872" i="48"/>
  <c r="AA872" i="48"/>
  <c r="AD872" i="48" s="1"/>
  <c r="Z872" i="48"/>
  <c r="I872" i="48"/>
  <c r="H872" i="48"/>
  <c r="G872" i="48"/>
  <c r="F872" i="48"/>
  <c r="AS872" i="48" s="1"/>
  <c r="E872" i="48"/>
  <c r="AU872" i="48" s="1"/>
  <c r="AF871" i="48"/>
  <c r="AE871" i="48"/>
  <c r="AC871" i="48"/>
  <c r="AB871" i="48"/>
  <c r="AA871" i="48"/>
  <c r="AD871" i="48" s="1"/>
  <c r="Z871" i="48"/>
  <c r="I871" i="48"/>
  <c r="H871" i="48"/>
  <c r="G871" i="48"/>
  <c r="F871" i="48"/>
  <c r="AS871" i="48" s="1"/>
  <c r="E871" i="48"/>
  <c r="AU871" i="48" s="1"/>
  <c r="AF870" i="48"/>
  <c r="AE870" i="48"/>
  <c r="AC870" i="48"/>
  <c r="AB870" i="48"/>
  <c r="AA870" i="48"/>
  <c r="AD870" i="48" s="1"/>
  <c r="Z870" i="48"/>
  <c r="I870" i="48"/>
  <c r="H870" i="48"/>
  <c r="G870" i="48"/>
  <c r="F870" i="48"/>
  <c r="AS870" i="48" s="1"/>
  <c r="E870" i="48"/>
  <c r="AU870" i="48" s="1"/>
  <c r="AT869" i="48"/>
  <c r="AF869" i="48"/>
  <c r="AE869" i="48"/>
  <c r="AC869" i="48"/>
  <c r="AB869" i="48"/>
  <c r="AA869" i="48"/>
  <c r="AD869" i="48" s="1"/>
  <c r="Z869" i="48"/>
  <c r="I869" i="48"/>
  <c r="H869" i="48"/>
  <c r="G869" i="48"/>
  <c r="F869" i="48"/>
  <c r="AS869" i="48" s="1"/>
  <c r="E869" i="48"/>
  <c r="AU869" i="48" s="1"/>
  <c r="AF868" i="48"/>
  <c r="AE868" i="48"/>
  <c r="AC868" i="48"/>
  <c r="AB868" i="48"/>
  <c r="AA868" i="48"/>
  <c r="AD868" i="48" s="1"/>
  <c r="Z868" i="48"/>
  <c r="I868" i="48"/>
  <c r="H868" i="48"/>
  <c r="G868" i="48"/>
  <c r="F868" i="48"/>
  <c r="AS868" i="48" s="1"/>
  <c r="E868" i="48"/>
  <c r="AU868" i="48" s="1"/>
  <c r="AF867" i="48"/>
  <c r="AE867" i="48"/>
  <c r="AC867" i="48"/>
  <c r="AB867" i="48"/>
  <c r="AA867" i="48"/>
  <c r="AD867" i="48" s="1"/>
  <c r="Z867" i="48"/>
  <c r="I867" i="48"/>
  <c r="H867" i="48"/>
  <c r="G867" i="48"/>
  <c r="F867" i="48"/>
  <c r="AS867" i="48" s="1"/>
  <c r="E867" i="48"/>
  <c r="AU867" i="48" s="1"/>
  <c r="AT866" i="48"/>
  <c r="AF866" i="48"/>
  <c r="AE866" i="48"/>
  <c r="AC866" i="48"/>
  <c r="Z866" i="48"/>
  <c r="AB866" i="48" s="1"/>
  <c r="I866" i="48"/>
  <c r="H866" i="48"/>
  <c r="G866" i="48"/>
  <c r="F866" i="48"/>
  <c r="AS866" i="48" s="1"/>
  <c r="E866" i="48"/>
  <c r="AU866" i="48" s="1"/>
  <c r="AF865" i="48"/>
  <c r="AT865" i="48" s="1"/>
  <c r="AE865" i="48"/>
  <c r="AC865" i="48"/>
  <c r="Z865" i="48"/>
  <c r="AB865" i="48" s="1"/>
  <c r="I865" i="48"/>
  <c r="H865" i="48"/>
  <c r="G865" i="48"/>
  <c r="F865" i="48"/>
  <c r="AS865" i="48" s="1"/>
  <c r="E865" i="48"/>
  <c r="AU865" i="48" s="1"/>
  <c r="AF864" i="48"/>
  <c r="AE864" i="48"/>
  <c r="AC864" i="48"/>
  <c r="Z864" i="48"/>
  <c r="AB864" i="48" s="1"/>
  <c r="I864" i="48"/>
  <c r="H864" i="48"/>
  <c r="G864" i="48"/>
  <c r="F864" i="48"/>
  <c r="AS864" i="48" s="1"/>
  <c r="E864" i="48"/>
  <c r="AU864" i="48" s="1"/>
  <c r="AF863" i="48"/>
  <c r="AE863" i="48"/>
  <c r="AC863" i="48"/>
  <c r="Z863" i="48"/>
  <c r="AB863" i="48" s="1"/>
  <c r="I863" i="48"/>
  <c r="H863" i="48"/>
  <c r="G863" i="48"/>
  <c r="F863" i="48"/>
  <c r="AS863" i="48" s="1"/>
  <c r="E863" i="48"/>
  <c r="AU863" i="48" s="1"/>
  <c r="AF862" i="48"/>
  <c r="AT862" i="48" s="1"/>
  <c r="AE862" i="48"/>
  <c r="AD862" i="48"/>
  <c r="AC862" i="48"/>
  <c r="AB862" i="48"/>
  <c r="AA862" i="48"/>
  <c r="Z862" i="48"/>
  <c r="I862" i="48"/>
  <c r="H862" i="48"/>
  <c r="G862" i="48"/>
  <c r="F862" i="48"/>
  <c r="AS862" i="48" s="1"/>
  <c r="E862" i="48"/>
  <c r="AU862" i="48" s="1"/>
  <c r="AU861" i="48"/>
  <c r="AF861" i="48"/>
  <c r="AE861" i="48"/>
  <c r="AC861" i="48"/>
  <c r="Z861" i="48"/>
  <c r="AB861" i="48" s="1"/>
  <c r="I861" i="48"/>
  <c r="H861" i="48"/>
  <c r="G861" i="48"/>
  <c r="F861" i="48"/>
  <c r="AS861" i="48" s="1"/>
  <c r="E861" i="48"/>
  <c r="AU860" i="48"/>
  <c r="AF860" i="48"/>
  <c r="AE860" i="48"/>
  <c r="AC860" i="48"/>
  <c r="Z860" i="48"/>
  <c r="AB860" i="48" s="1"/>
  <c r="I860" i="48"/>
  <c r="H860" i="48"/>
  <c r="G860" i="48"/>
  <c r="F860" i="48"/>
  <c r="AS860" i="48" s="1"/>
  <c r="E860" i="48"/>
  <c r="AF859" i="48"/>
  <c r="AE859" i="48"/>
  <c r="AC859" i="48"/>
  <c r="AB859" i="48"/>
  <c r="AA859" i="48"/>
  <c r="AD859" i="48" s="1"/>
  <c r="Z859" i="48"/>
  <c r="I859" i="48"/>
  <c r="H859" i="48"/>
  <c r="G859" i="48"/>
  <c r="F859" i="48"/>
  <c r="AS859" i="48" s="1"/>
  <c r="E859" i="48"/>
  <c r="AU859" i="48" s="1"/>
  <c r="AF858" i="48"/>
  <c r="AT858" i="48" s="1"/>
  <c r="AE858" i="48"/>
  <c r="AC858" i="48"/>
  <c r="Z858" i="48"/>
  <c r="AB858" i="48" s="1"/>
  <c r="I858" i="48"/>
  <c r="H858" i="48"/>
  <c r="G858" i="48"/>
  <c r="F858" i="48"/>
  <c r="AS858" i="48" s="1"/>
  <c r="E858" i="48"/>
  <c r="AU858" i="48" s="1"/>
  <c r="AF857" i="48"/>
  <c r="AT857" i="48" s="1"/>
  <c r="AE857" i="48"/>
  <c r="AC857" i="48"/>
  <c r="AB857" i="48"/>
  <c r="AA857" i="48"/>
  <c r="AD857" i="48" s="1"/>
  <c r="Z857" i="48"/>
  <c r="I857" i="48"/>
  <c r="H857" i="48"/>
  <c r="G857" i="48"/>
  <c r="F857" i="48"/>
  <c r="AS857" i="48" s="1"/>
  <c r="E857" i="48"/>
  <c r="AU857" i="48" s="1"/>
  <c r="AF856" i="48"/>
  <c r="AE856" i="48"/>
  <c r="AC856" i="48"/>
  <c r="Z856" i="48"/>
  <c r="AB856" i="48" s="1"/>
  <c r="I856" i="48"/>
  <c r="H856" i="48"/>
  <c r="G856" i="48"/>
  <c r="F856" i="48"/>
  <c r="AS856" i="48" s="1"/>
  <c r="E856" i="48"/>
  <c r="AU856" i="48" s="1"/>
  <c r="AS855" i="48"/>
  <c r="AF855" i="48"/>
  <c r="AE855" i="48"/>
  <c r="AC855" i="48"/>
  <c r="AB855" i="48"/>
  <c r="AA855" i="48"/>
  <c r="AD855" i="48" s="1"/>
  <c r="Z855" i="48"/>
  <c r="I855" i="48"/>
  <c r="H855" i="48"/>
  <c r="G855" i="48"/>
  <c r="F855" i="48"/>
  <c r="E855" i="48"/>
  <c r="AU855" i="48" s="1"/>
  <c r="AF854" i="48"/>
  <c r="AE854" i="48"/>
  <c r="AD854" i="48"/>
  <c r="AC854" i="48"/>
  <c r="AB854" i="48"/>
  <c r="AA854" i="48"/>
  <c r="Z854" i="48"/>
  <c r="I854" i="48"/>
  <c r="H854" i="48"/>
  <c r="G854" i="48"/>
  <c r="F854" i="48"/>
  <c r="AS854" i="48" s="1"/>
  <c r="E854" i="48"/>
  <c r="AU854" i="48" s="1"/>
  <c r="AU853" i="48"/>
  <c r="AF853" i="48"/>
  <c r="AE853" i="48"/>
  <c r="AC853" i="48"/>
  <c r="AB853" i="48"/>
  <c r="AA853" i="48"/>
  <c r="AD853" i="48" s="1"/>
  <c r="Z853" i="48"/>
  <c r="I853" i="48"/>
  <c r="H853" i="48"/>
  <c r="G853" i="48"/>
  <c r="F853" i="48"/>
  <c r="AS853" i="48" s="1"/>
  <c r="AT853" i="48" s="1"/>
  <c r="E853" i="48"/>
  <c r="AU852" i="48"/>
  <c r="AF852" i="48"/>
  <c r="AE852" i="48"/>
  <c r="AC852" i="48"/>
  <c r="AB852" i="48"/>
  <c r="AA852" i="48"/>
  <c r="AD852" i="48" s="1"/>
  <c r="Z852" i="48"/>
  <c r="I852" i="48"/>
  <c r="H852" i="48"/>
  <c r="G852" i="48"/>
  <c r="F852" i="48"/>
  <c r="AS852" i="48" s="1"/>
  <c r="E852" i="48"/>
  <c r="AS851" i="48"/>
  <c r="AF851" i="48"/>
  <c r="AE851" i="48"/>
  <c r="AC851" i="48"/>
  <c r="AB851" i="48"/>
  <c r="AA851" i="48"/>
  <c r="AD851" i="48" s="1"/>
  <c r="Z851" i="48"/>
  <c r="I851" i="48"/>
  <c r="H851" i="48"/>
  <c r="G851" i="48"/>
  <c r="F851" i="48"/>
  <c r="E851" i="48"/>
  <c r="AU851" i="48" s="1"/>
  <c r="AF850" i="48"/>
  <c r="AE850" i="48"/>
  <c r="AD850" i="48"/>
  <c r="AC850" i="48"/>
  <c r="AB850" i="48"/>
  <c r="AA850" i="48"/>
  <c r="Z850" i="48"/>
  <c r="I850" i="48"/>
  <c r="H850" i="48"/>
  <c r="G850" i="48"/>
  <c r="F850" i="48"/>
  <c r="AS850" i="48" s="1"/>
  <c r="E850" i="48"/>
  <c r="AU850" i="48" s="1"/>
  <c r="AU849" i="48"/>
  <c r="AF849" i="48"/>
  <c r="AE849" i="48"/>
  <c r="AC849" i="48"/>
  <c r="AB849" i="48"/>
  <c r="AA849" i="48"/>
  <c r="AD849" i="48" s="1"/>
  <c r="Z849" i="48"/>
  <c r="I849" i="48"/>
  <c r="H849" i="48"/>
  <c r="G849" i="48"/>
  <c r="F849" i="48"/>
  <c r="AS849" i="48" s="1"/>
  <c r="AT849" i="48" s="1"/>
  <c r="E849" i="48"/>
  <c r="AU848" i="48"/>
  <c r="AF848" i="48"/>
  <c r="AE848" i="48"/>
  <c r="AC848" i="48"/>
  <c r="AB848" i="48"/>
  <c r="AA848" i="48"/>
  <c r="AD848" i="48" s="1"/>
  <c r="Z848" i="48"/>
  <c r="I848" i="48"/>
  <c r="H848" i="48"/>
  <c r="G848" i="48"/>
  <c r="F848" i="48"/>
  <c r="AS848" i="48" s="1"/>
  <c r="E848" i="48"/>
  <c r="AS847" i="48"/>
  <c r="AF847" i="48"/>
  <c r="AE847" i="48"/>
  <c r="AC847" i="48"/>
  <c r="AB847" i="48"/>
  <c r="AA847" i="48"/>
  <c r="AD847" i="48" s="1"/>
  <c r="Z847" i="48"/>
  <c r="I847" i="48"/>
  <c r="H847" i="48"/>
  <c r="G847" i="48"/>
  <c r="F847" i="48"/>
  <c r="E847" i="48"/>
  <c r="AU847" i="48" s="1"/>
  <c r="AF846" i="48"/>
  <c r="AE846" i="48"/>
  <c r="AD846" i="48"/>
  <c r="AC846" i="48"/>
  <c r="AB846" i="48"/>
  <c r="AA846" i="48"/>
  <c r="Z846" i="48"/>
  <c r="I846" i="48"/>
  <c r="H846" i="48"/>
  <c r="G846" i="48"/>
  <c r="F846" i="48"/>
  <c r="AS846" i="48" s="1"/>
  <c r="E846" i="48"/>
  <c r="AU846" i="48" s="1"/>
  <c r="AU845" i="48"/>
  <c r="AF845" i="48"/>
  <c r="AE845" i="48"/>
  <c r="AC845" i="48"/>
  <c r="Z845" i="48"/>
  <c r="AB845" i="48" s="1"/>
  <c r="I845" i="48"/>
  <c r="H845" i="48"/>
  <c r="G845" i="48"/>
  <c r="F845" i="48"/>
  <c r="AS845" i="48" s="1"/>
  <c r="E845" i="48"/>
  <c r="AU844" i="48"/>
  <c r="AF844" i="48"/>
  <c r="AE844" i="48"/>
  <c r="AC844" i="48"/>
  <c r="AB844" i="48"/>
  <c r="AA844" i="48"/>
  <c r="AD844" i="48" s="1"/>
  <c r="Z844" i="48"/>
  <c r="I844" i="48"/>
  <c r="H844" i="48"/>
  <c r="G844" i="48"/>
  <c r="F844" i="48"/>
  <c r="AS844" i="48" s="1"/>
  <c r="E844" i="48"/>
  <c r="AF843" i="48"/>
  <c r="AE843" i="48"/>
  <c r="AC843" i="48"/>
  <c r="Z843" i="48"/>
  <c r="AB843" i="48" s="1"/>
  <c r="I843" i="48"/>
  <c r="H843" i="48"/>
  <c r="G843" i="48"/>
  <c r="F843" i="48"/>
  <c r="AS843" i="48" s="1"/>
  <c r="E843" i="48"/>
  <c r="AU843" i="48" s="1"/>
  <c r="AF842" i="48"/>
  <c r="AE842" i="48"/>
  <c r="AC842" i="48"/>
  <c r="AB842" i="48"/>
  <c r="AA842" i="48"/>
  <c r="AD842" i="48" s="1"/>
  <c r="Z842" i="48"/>
  <c r="I842" i="48"/>
  <c r="H842" i="48"/>
  <c r="G842" i="48"/>
  <c r="F842" i="48"/>
  <c r="AS842" i="48" s="1"/>
  <c r="AT842" i="48" s="1"/>
  <c r="E842" i="48"/>
  <c r="AU842" i="48" s="1"/>
  <c r="AF841" i="48"/>
  <c r="AE841" i="48"/>
  <c r="AC841" i="48"/>
  <c r="AB841" i="48"/>
  <c r="AA841" i="48"/>
  <c r="AD841" i="48" s="1"/>
  <c r="Z841" i="48"/>
  <c r="I841" i="48"/>
  <c r="H841" i="48"/>
  <c r="G841" i="48"/>
  <c r="F841" i="48"/>
  <c r="AS841" i="48" s="1"/>
  <c r="AT841" i="48" s="1"/>
  <c r="E841" i="48"/>
  <c r="AU841" i="48" s="1"/>
  <c r="AF840" i="48"/>
  <c r="AE840" i="48"/>
  <c r="AC840" i="48"/>
  <c r="AB840" i="48"/>
  <c r="AA840" i="48"/>
  <c r="AD840" i="48" s="1"/>
  <c r="Z840" i="48"/>
  <c r="I840" i="48"/>
  <c r="H840" i="48"/>
  <c r="G840" i="48"/>
  <c r="F840" i="48"/>
  <c r="AS840" i="48" s="1"/>
  <c r="E840" i="48"/>
  <c r="AU840" i="48" s="1"/>
  <c r="AF839" i="48"/>
  <c r="AE839" i="48"/>
  <c r="AC839" i="48"/>
  <c r="AB839" i="48"/>
  <c r="AA839" i="48"/>
  <c r="AD839" i="48" s="1"/>
  <c r="Z839" i="48"/>
  <c r="I839" i="48"/>
  <c r="H839" i="48"/>
  <c r="G839" i="48"/>
  <c r="F839" i="48"/>
  <c r="AS839" i="48" s="1"/>
  <c r="E839" i="48"/>
  <c r="AU839" i="48" s="1"/>
  <c r="AF838" i="48"/>
  <c r="AE838" i="48"/>
  <c r="AD838" i="48"/>
  <c r="AC838" i="48"/>
  <c r="AB838" i="48"/>
  <c r="AA838" i="48"/>
  <c r="Z838" i="48"/>
  <c r="I838" i="48"/>
  <c r="H838" i="48"/>
  <c r="G838" i="48"/>
  <c r="F838" i="48"/>
  <c r="AS838" i="48" s="1"/>
  <c r="E838" i="48"/>
  <c r="AU838" i="48" s="1"/>
  <c r="A838" i="48"/>
  <c r="A839" i="48" s="1"/>
  <c r="A840" i="48" s="1"/>
  <c r="A841" i="48" s="1"/>
  <c r="A842" i="48" s="1"/>
  <c r="A843" i="48" s="1"/>
  <c r="A844" i="48" s="1"/>
  <c r="A845" i="48" s="1"/>
  <c r="A846" i="48" s="1"/>
  <c r="A847" i="48" s="1"/>
  <c r="A848" i="48" s="1"/>
  <c r="A849" i="48" s="1"/>
  <c r="A850" i="48" s="1"/>
  <c r="A851" i="48" s="1"/>
  <c r="A852" i="48" s="1"/>
  <c r="A853" i="48" s="1"/>
  <c r="A854" i="48" s="1"/>
  <c r="A855" i="48" s="1"/>
  <c r="A856" i="48" s="1"/>
  <c r="A857" i="48" s="1"/>
  <c r="A858" i="48" s="1"/>
  <c r="A859" i="48" s="1"/>
  <c r="A860" i="48" s="1"/>
  <c r="A861" i="48" s="1"/>
  <c r="A862" i="48" s="1"/>
  <c r="A863" i="48" s="1"/>
  <c r="A864" i="48" s="1"/>
  <c r="A865" i="48" s="1"/>
  <c r="A866" i="48" s="1"/>
  <c r="A867" i="48" s="1"/>
  <c r="A868" i="48" s="1"/>
  <c r="A869" i="48" s="1"/>
  <c r="A870" i="48" s="1"/>
  <c r="A871" i="48" s="1"/>
  <c r="A872" i="48" s="1"/>
  <c r="A873" i="48" s="1"/>
  <c r="A874" i="48" s="1"/>
  <c r="A875" i="48" s="1"/>
  <c r="AF837" i="48"/>
  <c r="AE837" i="48"/>
  <c r="AC837" i="48"/>
  <c r="AB837" i="48"/>
  <c r="AA837" i="48"/>
  <c r="AD837" i="48" s="1"/>
  <c r="Z837" i="48"/>
  <c r="I837" i="48"/>
  <c r="H837" i="48"/>
  <c r="G837" i="48"/>
  <c r="F837" i="48"/>
  <c r="AS837" i="48" s="1"/>
  <c r="AT837" i="48" s="1"/>
  <c r="E837" i="48"/>
  <c r="AU837" i="48" s="1"/>
  <c r="AF836" i="48"/>
  <c r="AT836" i="48" s="1"/>
  <c r="AE836" i="48"/>
  <c r="AC836" i="48"/>
  <c r="AB836" i="48"/>
  <c r="AA836" i="48"/>
  <c r="AD836" i="48" s="1"/>
  <c r="Z836" i="48"/>
  <c r="I836" i="48"/>
  <c r="H836" i="48"/>
  <c r="G836" i="48"/>
  <c r="F836" i="48"/>
  <c r="AS836" i="48" s="1"/>
  <c r="E836" i="48"/>
  <c r="AU836" i="48" s="1"/>
  <c r="AF835" i="48"/>
  <c r="AT835" i="48" s="1"/>
  <c r="AE835" i="48"/>
  <c r="AC835" i="48"/>
  <c r="AB835" i="48"/>
  <c r="AA835" i="48"/>
  <c r="AD835" i="48" s="1"/>
  <c r="Z835" i="48"/>
  <c r="I835" i="48"/>
  <c r="H835" i="48"/>
  <c r="G835" i="48"/>
  <c r="F835" i="48"/>
  <c r="AS835" i="48" s="1"/>
  <c r="E835" i="48"/>
  <c r="AU835" i="48" s="1"/>
  <c r="AS834" i="48"/>
  <c r="AF834" i="48"/>
  <c r="AE834" i="48"/>
  <c r="AC834" i="48"/>
  <c r="AB834" i="48"/>
  <c r="AA834" i="48"/>
  <c r="AD834" i="48" s="1"/>
  <c r="Z834" i="48"/>
  <c r="I834" i="48"/>
  <c r="H834" i="48"/>
  <c r="G834" i="48"/>
  <c r="F834" i="48"/>
  <c r="E834" i="48"/>
  <c r="AU834" i="48" s="1"/>
  <c r="AT833" i="48"/>
  <c r="AF833" i="48"/>
  <c r="AE833" i="48"/>
  <c r="AD833" i="48"/>
  <c r="AC833" i="48"/>
  <c r="AB833" i="48"/>
  <c r="AA833" i="48"/>
  <c r="Z833" i="48"/>
  <c r="I833" i="48"/>
  <c r="H833" i="48"/>
  <c r="G833" i="48"/>
  <c r="F833" i="48"/>
  <c r="AS833" i="48" s="1"/>
  <c r="E833" i="48"/>
  <c r="AU833" i="48" s="1"/>
  <c r="AF832" i="48"/>
  <c r="AT832" i="48" s="1"/>
  <c r="AE832" i="48"/>
  <c r="AC832" i="48"/>
  <c r="AB832" i="48"/>
  <c r="AA832" i="48"/>
  <c r="AD832" i="48" s="1"/>
  <c r="Z832" i="48"/>
  <c r="I832" i="48"/>
  <c r="H832" i="48"/>
  <c r="G832" i="48"/>
  <c r="F832" i="48"/>
  <c r="AS832" i="48" s="1"/>
  <c r="E832" i="48"/>
  <c r="AU832" i="48" s="1"/>
  <c r="AF831" i="48"/>
  <c r="AT831" i="48" s="1"/>
  <c r="AE831" i="48"/>
  <c r="AC831" i="48"/>
  <c r="AB831" i="48"/>
  <c r="AA831" i="48"/>
  <c r="AD831" i="48" s="1"/>
  <c r="Z831" i="48"/>
  <c r="I831" i="48"/>
  <c r="H831" i="48"/>
  <c r="G831" i="48"/>
  <c r="F831" i="48"/>
  <c r="AS831" i="48" s="1"/>
  <c r="E831" i="48"/>
  <c r="AU831" i="48" s="1"/>
  <c r="AF830" i="48"/>
  <c r="AE830" i="48"/>
  <c r="AC830" i="48"/>
  <c r="AB830" i="48"/>
  <c r="AA830" i="48"/>
  <c r="AD830" i="48" s="1"/>
  <c r="Z830" i="48"/>
  <c r="I830" i="48"/>
  <c r="H830" i="48"/>
  <c r="G830" i="48"/>
  <c r="F830" i="48"/>
  <c r="AS830" i="48" s="1"/>
  <c r="E830" i="48"/>
  <c r="AU830" i="48" s="1"/>
  <c r="AF829" i="48"/>
  <c r="AT829" i="48" s="1"/>
  <c r="AE829" i="48"/>
  <c r="AC829" i="48"/>
  <c r="AB829" i="48"/>
  <c r="AA829" i="48"/>
  <c r="AD829" i="48" s="1"/>
  <c r="Z829" i="48"/>
  <c r="I829" i="48"/>
  <c r="H829" i="48"/>
  <c r="G829" i="48"/>
  <c r="F829" i="48"/>
  <c r="AS829" i="48" s="1"/>
  <c r="E829" i="48"/>
  <c r="AU829" i="48" s="1"/>
  <c r="AT828" i="48"/>
  <c r="AF828" i="48"/>
  <c r="AE828" i="48"/>
  <c r="AC828" i="48"/>
  <c r="AB828" i="48"/>
  <c r="AA828" i="48"/>
  <c r="AD828" i="48" s="1"/>
  <c r="Z828" i="48"/>
  <c r="I828" i="48"/>
  <c r="H828" i="48"/>
  <c r="G828" i="48"/>
  <c r="F828" i="48"/>
  <c r="AS828" i="48" s="1"/>
  <c r="E828" i="48"/>
  <c r="AU828" i="48" s="1"/>
  <c r="AF827" i="48"/>
  <c r="AE827" i="48"/>
  <c r="AC827" i="48"/>
  <c r="AB827" i="48"/>
  <c r="Z827" i="48"/>
  <c r="I827" i="48"/>
  <c r="H827" i="48"/>
  <c r="G827" i="48"/>
  <c r="F827" i="48"/>
  <c r="AS827" i="48" s="1"/>
  <c r="E827" i="48"/>
  <c r="AU827" i="48" s="1"/>
  <c r="AF826" i="48"/>
  <c r="AE826" i="48"/>
  <c r="AC826" i="48"/>
  <c r="AB826" i="48"/>
  <c r="Z826" i="48"/>
  <c r="I826" i="48"/>
  <c r="H826" i="48"/>
  <c r="G826" i="48"/>
  <c r="F826" i="48"/>
  <c r="AS826" i="48" s="1"/>
  <c r="E826" i="48"/>
  <c r="AU826" i="48" s="1"/>
  <c r="AF825" i="48"/>
  <c r="AT825" i="48" s="1"/>
  <c r="AE825" i="48"/>
  <c r="AC825" i="48"/>
  <c r="Z825" i="48"/>
  <c r="AB825" i="48" s="1"/>
  <c r="I825" i="48"/>
  <c r="H825" i="48"/>
  <c r="G825" i="48"/>
  <c r="F825" i="48"/>
  <c r="AS825" i="48" s="1"/>
  <c r="E825" i="48"/>
  <c r="AU825" i="48" s="1"/>
  <c r="AU824" i="48"/>
  <c r="AF824" i="48"/>
  <c r="AT824" i="48" s="1"/>
  <c r="AE824" i="48"/>
  <c r="AC824" i="48"/>
  <c r="Z824" i="48"/>
  <c r="AB824" i="48" s="1"/>
  <c r="I824" i="48"/>
  <c r="H824" i="48"/>
  <c r="G824" i="48"/>
  <c r="F824" i="48"/>
  <c r="AS824" i="48" s="1"/>
  <c r="E824" i="48"/>
  <c r="AF823" i="48"/>
  <c r="AT823" i="48" s="1"/>
  <c r="AE823" i="48"/>
  <c r="AC823" i="48"/>
  <c r="AB823" i="48"/>
  <c r="AA823" i="48"/>
  <c r="AD823" i="48" s="1"/>
  <c r="Z823" i="48"/>
  <c r="I823" i="48"/>
  <c r="H823" i="48"/>
  <c r="G823" i="48"/>
  <c r="F823" i="48"/>
  <c r="AS823" i="48" s="1"/>
  <c r="E823" i="48"/>
  <c r="AU823" i="48" s="1"/>
  <c r="AS822" i="48"/>
  <c r="AF822" i="48"/>
  <c r="AE822" i="48"/>
  <c r="AC822" i="48"/>
  <c r="AB822" i="48"/>
  <c r="Z822" i="48"/>
  <c r="I822" i="48"/>
  <c r="H822" i="48"/>
  <c r="G822" i="48"/>
  <c r="F822" i="48"/>
  <c r="E822" i="48"/>
  <c r="AU822" i="48" s="1"/>
  <c r="AF821" i="48"/>
  <c r="AT821" i="48" s="1"/>
  <c r="AE821" i="48"/>
  <c r="AC821" i="48"/>
  <c r="Z821" i="48"/>
  <c r="AB821" i="48" s="1"/>
  <c r="I821" i="48"/>
  <c r="H821" i="48"/>
  <c r="G821" i="48"/>
  <c r="F821" i="48"/>
  <c r="AS821" i="48" s="1"/>
  <c r="E821" i="48"/>
  <c r="AU821" i="48" s="1"/>
  <c r="AF820" i="48"/>
  <c r="AT820" i="48" s="1"/>
  <c r="AE820" i="48"/>
  <c r="AC820" i="48"/>
  <c r="AB820" i="48"/>
  <c r="AA820" i="48"/>
  <c r="AD820" i="48" s="1"/>
  <c r="Z820" i="48"/>
  <c r="I820" i="48"/>
  <c r="H820" i="48"/>
  <c r="G820" i="48"/>
  <c r="F820" i="48"/>
  <c r="AS820" i="48" s="1"/>
  <c r="E820" i="48"/>
  <c r="AU820" i="48" s="1"/>
  <c r="AF819" i="48"/>
  <c r="AE819" i="48"/>
  <c r="AC819" i="48"/>
  <c r="Z819" i="48"/>
  <c r="AB819" i="48" s="1"/>
  <c r="I819" i="48"/>
  <c r="H819" i="48"/>
  <c r="G819" i="48"/>
  <c r="F819" i="48"/>
  <c r="AS819" i="48" s="1"/>
  <c r="E819" i="48"/>
  <c r="AU819" i="48" s="1"/>
  <c r="AF818" i="48"/>
  <c r="AE818" i="48"/>
  <c r="AC818" i="48"/>
  <c r="AB818" i="48"/>
  <c r="AA818" i="48"/>
  <c r="AD818" i="48" s="1"/>
  <c r="Z818" i="48"/>
  <c r="I818" i="48"/>
  <c r="H818" i="48"/>
  <c r="G818" i="48"/>
  <c r="F818" i="48"/>
  <c r="AS818" i="48" s="1"/>
  <c r="E818" i="48"/>
  <c r="AU818" i="48" s="1"/>
  <c r="AT817" i="48"/>
  <c r="AF817" i="48"/>
  <c r="AE817" i="48"/>
  <c r="AD817" i="48"/>
  <c r="AC817" i="48"/>
  <c r="Z817" i="48"/>
  <c r="AB817" i="48" s="1"/>
  <c r="I817" i="48"/>
  <c r="H817" i="48"/>
  <c r="G817" i="48"/>
  <c r="F817" i="48"/>
  <c r="AS817" i="48" s="1"/>
  <c r="AA817" i="48" s="1"/>
  <c r="E817" i="48"/>
  <c r="AU817" i="48" s="1"/>
  <c r="AT816" i="48"/>
  <c r="AF816" i="48"/>
  <c r="AE816" i="48"/>
  <c r="AC816" i="48"/>
  <c r="AB816" i="48"/>
  <c r="AA816" i="48"/>
  <c r="AD816" i="48" s="1"/>
  <c r="Z816" i="48"/>
  <c r="I816" i="48"/>
  <c r="H816" i="48"/>
  <c r="G816" i="48"/>
  <c r="F816" i="48"/>
  <c r="AS816" i="48" s="1"/>
  <c r="E816" i="48"/>
  <c r="AU816" i="48" s="1"/>
  <c r="AF815" i="48"/>
  <c r="AE815" i="48"/>
  <c r="AC815" i="48"/>
  <c r="AB815" i="48"/>
  <c r="AA815" i="48"/>
  <c r="AD815" i="48" s="1"/>
  <c r="Z815" i="48"/>
  <c r="I815" i="48"/>
  <c r="H815" i="48"/>
  <c r="G815" i="48"/>
  <c r="F815" i="48"/>
  <c r="AS815" i="48" s="1"/>
  <c r="E815" i="48"/>
  <c r="AU815" i="48" s="1"/>
  <c r="AS814" i="48"/>
  <c r="AF814" i="48"/>
  <c r="AE814" i="48"/>
  <c r="AC814" i="48"/>
  <c r="AB814" i="48"/>
  <c r="AA814" i="48"/>
  <c r="AD814" i="48" s="1"/>
  <c r="Z814" i="48"/>
  <c r="I814" i="48"/>
  <c r="H814" i="48"/>
  <c r="G814" i="48"/>
  <c r="F814" i="48"/>
  <c r="E814" i="48"/>
  <c r="AU814" i="48" s="1"/>
  <c r="AF813" i="48"/>
  <c r="AE813" i="48"/>
  <c r="AC813" i="48"/>
  <c r="AB813" i="48"/>
  <c r="AA813" i="48"/>
  <c r="AD813" i="48" s="1"/>
  <c r="Z813" i="48"/>
  <c r="I813" i="48"/>
  <c r="H813" i="48"/>
  <c r="G813" i="48"/>
  <c r="F813" i="48"/>
  <c r="AS813" i="48" s="1"/>
  <c r="AT813" i="48" s="1"/>
  <c r="E813" i="48"/>
  <c r="AU813" i="48" s="1"/>
  <c r="AF812" i="48"/>
  <c r="AT812" i="48" s="1"/>
  <c r="AE812" i="48"/>
  <c r="AC812" i="48"/>
  <c r="AB812" i="48"/>
  <c r="AA812" i="48"/>
  <c r="AD812" i="48" s="1"/>
  <c r="Z812" i="48"/>
  <c r="I812" i="48"/>
  <c r="H812" i="48"/>
  <c r="G812" i="48"/>
  <c r="F812" i="48"/>
  <c r="AS812" i="48" s="1"/>
  <c r="E812" i="48"/>
  <c r="AU812" i="48" s="1"/>
  <c r="AF811" i="48"/>
  <c r="AE811" i="48"/>
  <c r="AC811" i="48"/>
  <c r="AB811" i="48"/>
  <c r="AA811" i="48"/>
  <c r="AD811" i="48" s="1"/>
  <c r="Z811" i="48"/>
  <c r="I811" i="48"/>
  <c r="H811" i="48"/>
  <c r="G811" i="48"/>
  <c r="F811" i="48"/>
  <c r="AS811" i="48" s="1"/>
  <c r="E811" i="48"/>
  <c r="AU811" i="48" s="1"/>
  <c r="AF810" i="48"/>
  <c r="AE810" i="48"/>
  <c r="AC810" i="48"/>
  <c r="AB810" i="48"/>
  <c r="AA810" i="48"/>
  <c r="AD810" i="48" s="1"/>
  <c r="Z810" i="48"/>
  <c r="I810" i="48"/>
  <c r="H810" i="48"/>
  <c r="G810" i="48"/>
  <c r="F810" i="48"/>
  <c r="AS810" i="48" s="1"/>
  <c r="E810" i="48"/>
  <c r="AU810" i="48" s="1"/>
  <c r="AF809" i="48"/>
  <c r="AE809" i="48"/>
  <c r="AC809" i="48"/>
  <c r="AB809" i="48"/>
  <c r="AA809" i="48"/>
  <c r="AD809" i="48" s="1"/>
  <c r="Z809" i="48"/>
  <c r="I809" i="48"/>
  <c r="H809" i="48"/>
  <c r="G809" i="48"/>
  <c r="F809" i="48"/>
  <c r="AS809" i="48" s="1"/>
  <c r="E809" i="48"/>
  <c r="AU809" i="48" s="1"/>
  <c r="AF808" i="48"/>
  <c r="AE808" i="48"/>
  <c r="AC808" i="48"/>
  <c r="AB808" i="48"/>
  <c r="AA808" i="48"/>
  <c r="AD808" i="48" s="1"/>
  <c r="Z808" i="48"/>
  <c r="I808" i="48"/>
  <c r="H808" i="48"/>
  <c r="G808" i="48"/>
  <c r="F808" i="48"/>
  <c r="AS808" i="48" s="1"/>
  <c r="AT808" i="48" s="1"/>
  <c r="E808" i="48"/>
  <c r="AU808" i="48" s="1"/>
  <c r="AF807" i="48"/>
  <c r="AE807" i="48"/>
  <c r="AC807" i="48"/>
  <c r="AB807" i="48"/>
  <c r="AA807" i="48"/>
  <c r="AD807" i="48" s="1"/>
  <c r="Z807" i="48"/>
  <c r="I807" i="48"/>
  <c r="H807" i="48"/>
  <c r="G807" i="48"/>
  <c r="F807" i="48"/>
  <c r="AS807" i="48" s="1"/>
  <c r="E807" i="48"/>
  <c r="AU807" i="48" s="1"/>
  <c r="AS806" i="48"/>
  <c r="AF806" i="48"/>
  <c r="AE806" i="48"/>
  <c r="AC806" i="48"/>
  <c r="AB806" i="48"/>
  <c r="Z806" i="48"/>
  <c r="I806" i="48"/>
  <c r="H806" i="48"/>
  <c r="G806" i="48"/>
  <c r="F806" i="48"/>
  <c r="E806" i="48"/>
  <c r="AU806" i="48" s="1"/>
  <c r="AF805" i="48"/>
  <c r="AE805" i="48"/>
  <c r="AC805" i="48"/>
  <c r="AB805" i="48"/>
  <c r="AA805" i="48"/>
  <c r="AD805" i="48" s="1"/>
  <c r="Z805" i="48"/>
  <c r="I805" i="48"/>
  <c r="H805" i="48"/>
  <c r="G805" i="48"/>
  <c r="F805" i="48"/>
  <c r="AS805" i="48" s="1"/>
  <c r="E805" i="48"/>
  <c r="AU805" i="48" s="1"/>
  <c r="AF804" i="48"/>
  <c r="AE804" i="48"/>
  <c r="AC804" i="48"/>
  <c r="Z804" i="48"/>
  <c r="AB804" i="48" s="1"/>
  <c r="I804" i="48"/>
  <c r="H804" i="48"/>
  <c r="G804" i="48"/>
  <c r="F804" i="48"/>
  <c r="AS804" i="48" s="1"/>
  <c r="E804" i="48"/>
  <c r="AU804" i="48" s="1"/>
  <c r="AF803" i="48"/>
  <c r="AE803" i="48"/>
  <c r="AC803" i="48"/>
  <c r="AB803" i="48"/>
  <c r="AA803" i="48"/>
  <c r="AD803" i="48" s="1"/>
  <c r="Z803" i="48"/>
  <c r="I803" i="48"/>
  <c r="H803" i="48"/>
  <c r="G803" i="48"/>
  <c r="F803" i="48"/>
  <c r="AS803" i="48" s="1"/>
  <c r="AT803" i="48" s="1"/>
  <c r="E803" i="48"/>
  <c r="AU803" i="48" s="1"/>
  <c r="AF802" i="48"/>
  <c r="AE802" i="48"/>
  <c r="AC802" i="48"/>
  <c r="AB802" i="48"/>
  <c r="AA802" i="48"/>
  <c r="AD802" i="48" s="1"/>
  <c r="Z802" i="48"/>
  <c r="I802" i="48"/>
  <c r="H802" i="48"/>
  <c r="G802" i="48"/>
  <c r="F802" i="48"/>
  <c r="AS802" i="48" s="1"/>
  <c r="AT802" i="48" s="1"/>
  <c r="E802" i="48"/>
  <c r="AU802" i="48" s="1"/>
  <c r="AF801" i="48"/>
  <c r="AT801" i="48" s="1"/>
  <c r="AE801" i="48"/>
  <c r="AC801" i="48"/>
  <c r="AB801" i="48"/>
  <c r="AA801" i="48"/>
  <c r="AD801" i="48" s="1"/>
  <c r="Z801" i="48"/>
  <c r="I801" i="48"/>
  <c r="H801" i="48"/>
  <c r="G801" i="48"/>
  <c r="F801" i="48"/>
  <c r="AS801" i="48" s="1"/>
  <c r="E801" i="48"/>
  <c r="AU801" i="48" s="1"/>
  <c r="AF800" i="48"/>
  <c r="AE800" i="48"/>
  <c r="AC800" i="48"/>
  <c r="AB800" i="48"/>
  <c r="AA800" i="48"/>
  <c r="AD800" i="48" s="1"/>
  <c r="Z800" i="48"/>
  <c r="I800" i="48"/>
  <c r="H800" i="48"/>
  <c r="G800" i="48"/>
  <c r="F800" i="48"/>
  <c r="AS800" i="48" s="1"/>
  <c r="E800" i="48"/>
  <c r="AU800" i="48" s="1"/>
  <c r="A800" i="48"/>
  <c r="A801" i="48" s="1"/>
  <c r="A802" i="48" s="1"/>
  <c r="A803" i="48" s="1"/>
  <c r="A804" i="48" s="1"/>
  <c r="A805" i="48" s="1"/>
  <c r="A806" i="48" s="1"/>
  <c r="A807" i="48" s="1"/>
  <c r="A808" i="48" s="1"/>
  <c r="A809" i="48" s="1"/>
  <c r="A810" i="48" s="1"/>
  <c r="A811" i="48" s="1"/>
  <c r="A812" i="48" s="1"/>
  <c r="A813" i="48" s="1"/>
  <c r="A814" i="48" s="1"/>
  <c r="A815" i="48" s="1"/>
  <c r="A816" i="48" s="1"/>
  <c r="A817" i="48" s="1"/>
  <c r="A818" i="48" s="1"/>
  <c r="A819" i="48" s="1"/>
  <c r="A820" i="48" s="1"/>
  <c r="A821" i="48" s="1"/>
  <c r="A822" i="48" s="1"/>
  <c r="A823" i="48" s="1"/>
  <c r="A824" i="48" s="1"/>
  <c r="A825" i="48" s="1"/>
  <c r="A826" i="48" s="1"/>
  <c r="A827" i="48" s="1"/>
  <c r="A828" i="48" s="1"/>
  <c r="A829" i="48" s="1"/>
  <c r="A830" i="48" s="1"/>
  <c r="A831" i="48" s="1"/>
  <c r="A832" i="48" s="1"/>
  <c r="A833" i="48" s="1"/>
  <c r="A834" i="48" s="1"/>
  <c r="A835" i="48" s="1"/>
  <c r="A836" i="48" s="1"/>
  <c r="AF799" i="48"/>
  <c r="AE799" i="48"/>
  <c r="AC799" i="48"/>
  <c r="AB799" i="48"/>
  <c r="AA799" i="48"/>
  <c r="AD799" i="48" s="1"/>
  <c r="Z799" i="48"/>
  <c r="I799" i="48"/>
  <c r="H799" i="48"/>
  <c r="G799" i="48"/>
  <c r="F799" i="48"/>
  <c r="AS799" i="48" s="1"/>
  <c r="AT799" i="48" s="1"/>
  <c r="E799" i="48"/>
  <c r="AU799" i="48" s="1"/>
  <c r="A799" i="48"/>
  <c r="AF798" i="48"/>
  <c r="AE798" i="48"/>
  <c r="AC798" i="48"/>
  <c r="AB798" i="48"/>
  <c r="AA798" i="48"/>
  <c r="AD798" i="48" s="1"/>
  <c r="Z798" i="48"/>
  <c r="I798" i="48"/>
  <c r="H798" i="48"/>
  <c r="G798" i="48"/>
  <c r="F798" i="48"/>
  <c r="AS798" i="48" s="1"/>
  <c r="AT798" i="48" s="1"/>
  <c r="E798" i="48"/>
  <c r="AU798" i="48" s="1"/>
  <c r="AT797" i="48"/>
  <c r="AF797" i="48"/>
  <c r="AE797" i="48"/>
  <c r="AC797" i="48"/>
  <c r="AB797" i="48"/>
  <c r="AA797" i="48"/>
  <c r="AD797" i="48" s="1"/>
  <c r="Z797" i="48"/>
  <c r="I797" i="48"/>
  <c r="H797" i="48"/>
  <c r="G797" i="48"/>
  <c r="F797" i="48"/>
  <c r="AS797" i="48" s="1"/>
  <c r="E797" i="48"/>
  <c r="AU797" i="48" s="1"/>
  <c r="AF796" i="48"/>
  <c r="AT796" i="48" s="1"/>
  <c r="AE796" i="48"/>
  <c r="AC796" i="48"/>
  <c r="AB796" i="48"/>
  <c r="AA796" i="48"/>
  <c r="AD796" i="48" s="1"/>
  <c r="Z796" i="48"/>
  <c r="I796" i="48"/>
  <c r="H796" i="48"/>
  <c r="G796" i="48"/>
  <c r="F796" i="48"/>
  <c r="AS796" i="48" s="1"/>
  <c r="E796" i="48"/>
  <c r="AU796" i="48" s="1"/>
  <c r="AF795" i="48"/>
  <c r="AT795" i="48" s="1"/>
  <c r="AE795" i="48"/>
  <c r="AD795" i="48"/>
  <c r="AC795" i="48"/>
  <c r="AB795" i="48"/>
  <c r="AA795" i="48"/>
  <c r="Z795" i="48"/>
  <c r="I795" i="48"/>
  <c r="H795" i="48"/>
  <c r="G795" i="48"/>
  <c r="F795" i="48"/>
  <c r="AS795" i="48" s="1"/>
  <c r="E795" i="48"/>
  <c r="AU795" i="48" s="1"/>
  <c r="AF794" i="48"/>
  <c r="AT794" i="48" s="1"/>
  <c r="AE794" i="48"/>
  <c r="AC794" i="48"/>
  <c r="AB794" i="48"/>
  <c r="AA794" i="48"/>
  <c r="AD794" i="48" s="1"/>
  <c r="Z794" i="48"/>
  <c r="I794" i="48"/>
  <c r="H794" i="48"/>
  <c r="G794" i="48"/>
  <c r="F794" i="48"/>
  <c r="AS794" i="48" s="1"/>
  <c r="E794" i="48"/>
  <c r="AU794" i="48" s="1"/>
  <c r="AT793" i="48"/>
  <c r="AF793" i="48"/>
  <c r="AE793" i="48"/>
  <c r="AD793" i="48"/>
  <c r="AC793" i="48"/>
  <c r="AB793" i="48"/>
  <c r="AA793" i="48"/>
  <c r="Z793" i="48"/>
  <c r="I793" i="48"/>
  <c r="H793" i="48"/>
  <c r="G793" i="48"/>
  <c r="F793" i="48"/>
  <c r="AS793" i="48" s="1"/>
  <c r="E793" i="48"/>
  <c r="AU793" i="48" s="1"/>
  <c r="AF792" i="48"/>
  <c r="AT792" i="48" s="1"/>
  <c r="AE792" i="48"/>
  <c r="AC792" i="48"/>
  <c r="AB792" i="48"/>
  <c r="AA792" i="48"/>
  <c r="AD792" i="48" s="1"/>
  <c r="Z792" i="48"/>
  <c r="I792" i="48"/>
  <c r="H792" i="48"/>
  <c r="G792" i="48"/>
  <c r="F792" i="48"/>
  <c r="AS792" i="48" s="1"/>
  <c r="E792" i="48"/>
  <c r="AU792" i="48" s="1"/>
  <c r="AF791" i="48"/>
  <c r="AT791" i="48" s="1"/>
  <c r="AE791" i="48"/>
  <c r="AC791" i="48"/>
  <c r="AB791" i="48"/>
  <c r="AA791" i="48"/>
  <c r="AD791" i="48" s="1"/>
  <c r="Z791" i="48"/>
  <c r="I791" i="48"/>
  <c r="H791" i="48"/>
  <c r="G791" i="48"/>
  <c r="F791" i="48"/>
  <c r="AS791" i="48" s="1"/>
  <c r="E791" i="48"/>
  <c r="AU791" i="48" s="1"/>
  <c r="AF790" i="48"/>
  <c r="AT790" i="48" s="1"/>
  <c r="AE790" i="48"/>
  <c r="AC790" i="48"/>
  <c r="AB790" i="48"/>
  <c r="AA790" i="48"/>
  <c r="AD790" i="48" s="1"/>
  <c r="Z790" i="48"/>
  <c r="I790" i="48"/>
  <c r="H790" i="48"/>
  <c r="G790" i="48"/>
  <c r="F790" i="48"/>
  <c r="AS790" i="48" s="1"/>
  <c r="E790" i="48"/>
  <c r="AU790" i="48" s="1"/>
  <c r="AT789" i="48"/>
  <c r="AF789" i="48"/>
  <c r="AE789" i="48"/>
  <c r="AC789" i="48"/>
  <c r="AB789" i="48"/>
  <c r="AA789" i="48"/>
  <c r="AD789" i="48" s="1"/>
  <c r="Z789" i="48"/>
  <c r="I789" i="48"/>
  <c r="H789" i="48"/>
  <c r="G789" i="48"/>
  <c r="F789" i="48"/>
  <c r="AS789" i="48" s="1"/>
  <c r="E789" i="48"/>
  <c r="AU789" i="48" s="1"/>
  <c r="AF788" i="48"/>
  <c r="AT788" i="48" s="1"/>
  <c r="AE788" i="48"/>
  <c r="AC788" i="48"/>
  <c r="Z788" i="48"/>
  <c r="AB788" i="48" s="1"/>
  <c r="I788" i="48"/>
  <c r="H788" i="48"/>
  <c r="G788" i="48"/>
  <c r="F788" i="48"/>
  <c r="AS788" i="48" s="1"/>
  <c r="AA788" i="48" s="1"/>
  <c r="AD788" i="48" s="1"/>
  <c r="E788" i="48"/>
  <c r="AU788" i="48" s="1"/>
  <c r="AF787" i="48"/>
  <c r="AE787" i="48"/>
  <c r="AC787" i="48"/>
  <c r="Z787" i="48"/>
  <c r="AB787" i="48" s="1"/>
  <c r="I787" i="48"/>
  <c r="H787" i="48"/>
  <c r="G787" i="48"/>
  <c r="F787" i="48"/>
  <c r="AS787" i="48" s="1"/>
  <c r="E787" i="48"/>
  <c r="AU787" i="48" s="1"/>
  <c r="AT786" i="48"/>
  <c r="AF786" i="48"/>
  <c r="AE786" i="48"/>
  <c r="AC786" i="48"/>
  <c r="Z786" i="48"/>
  <c r="AB786" i="48" s="1"/>
  <c r="I786" i="48"/>
  <c r="H786" i="48"/>
  <c r="G786" i="48"/>
  <c r="F786" i="48"/>
  <c r="AS786" i="48" s="1"/>
  <c r="AA786" i="48" s="1"/>
  <c r="AD786" i="48" s="1"/>
  <c r="E786" i="48"/>
  <c r="AU786" i="48" s="1"/>
  <c r="AT785" i="48"/>
  <c r="AF785" i="48"/>
  <c r="AE785" i="48"/>
  <c r="AC785" i="48"/>
  <c r="Z785" i="48"/>
  <c r="AB785" i="48" s="1"/>
  <c r="I785" i="48"/>
  <c r="H785" i="48"/>
  <c r="G785" i="48"/>
  <c r="F785" i="48"/>
  <c r="AS785" i="48" s="1"/>
  <c r="E785" i="48"/>
  <c r="AU785" i="48" s="1"/>
  <c r="AF784" i="48"/>
  <c r="AT784" i="48" s="1"/>
  <c r="AE784" i="48"/>
  <c r="AC784" i="48"/>
  <c r="AB784" i="48"/>
  <c r="AA784" i="48"/>
  <c r="AD784" i="48" s="1"/>
  <c r="Z784" i="48"/>
  <c r="I784" i="48"/>
  <c r="H784" i="48"/>
  <c r="G784" i="48"/>
  <c r="F784" i="48"/>
  <c r="AS784" i="48" s="1"/>
  <c r="E784" i="48"/>
  <c r="AU784" i="48" s="1"/>
  <c r="AF783" i="48"/>
  <c r="AE783" i="48"/>
  <c r="AC783" i="48"/>
  <c r="Z783" i="48"/>
  <c r="AB783" i="48" s="1"/>
  <c r="I783" i="48"/>
  <c r="H783" i="48"/>
  <c r="G783" i="48"/>
  <c r="F783" i="48"/>
  <c r="AS783" i="48" s="1"/>
  <c r="E783" i="48"/>
  <c r="AU783" i="48" s="1"/>
  <c r="AT782" i="48"/>
  <c r="AF782" i="48"/>
  <c r="AE782" i="48"/>
  <c r="AC782" i="48"/>
  <c r="Z782" i="48"/>
  <c r="AB782" i="48" s="1"/>
  <c r="I782" i="48"/>
  <c r="H782" i="48"/>
  <c r="G782" i="48"/>
  <c r="F782" i="48"/>
  <c r="AS782" i="48" s="1"/>
  <c r="AA782" i="48" s="1"/>
  <c r="AD782" i="48" s="1"/>
  <c r="E782" i="48"/>
  <c r="AU782" i="48" s="1"/>
  <c r="AU781" i="48"/>
  <c r="AT781" i="48"/>
  <c r="AF781" i="48"/>
  <c r="AE781" i="48"/>
  <c r="AC781" i="48"/>
  <c r="Z781" i="48"/>
  <c r="AB781" i="48" s="1"/>
  <c r="I781" i="48"/>
  <c r="H781" i="48"/>
  <c r="G781" i="48"/>
  <c r="F781" i="48"/>
  <c r="AS781" i="48" s="1"/>
  <c r="E781" i="48"/>
  <c r="AF780" i="48"/>
  <c r="AT780" i="48" s="1"/>
  <c r="AE780" i="48"/>
  <c r="AC780" i="48"/>
  <c r="Z780" i="48"/>
  <c r="AB780" i="48" s="1"/>
  <c r="I780" i="48"/>
  <c r="H780" i="48"/>
  <c r="G780" i="48"/>
  <c r="F780" i="48"/>
  <c r="AS780" i="48" s="1"/>
  <c r="AA780" i="48" s="1"/>
  <c r="AD780" i="48" s="1"/>
  <c r="E780" i="48"/>
  <c r="AU780" i="48" s="1"/>
  <c r="AF779" i="48"/>
  <c r="AT779" i="48" s="1"/>
  <c r="AE779" i="48"/>
  <c r="AC779" i="48"/>
  <c r="AB779" i="48"/>
  <c r="AA779" i="48"/>
  <c r="AD779" i="48" s="1"/>
  <c r="Z779" i="48"/>
  <c r="I779" i="48"/>
  <c r="H779" i="48"/>
  <c r="G779" i="48"/>
  <c r="F779" i="48"/>
  <c r="AS779" i="48" s="1"/>
  <c r="E779" i="48"/>
  <c r="AU779" i="48" s="1"/>
  <c r="AT778" i="48"/>
  <c r="AF778" i="48"/>
  <c r="AE778" i="48"/>
  <c r="AC778" i="48"/>
  <c r="Z778" i="48"/>
  <c r="AB778" i="48" s="1"/>
  <c r="I778" i="48"/>
  <c r="H778" i="48"/>
  <c r="G778" i="48"/>
  <c r="F778" i="48"/>
  <c r="AS778" i="48" s="1"/>
  <c r="AA778" i="48" s="1"/>
  <c r="AD778" i="48" s="1"/>
  <c r="E778" i="48"/>
  <c r="AU778" i="48" s="1"/>
  <c r="AT777" i="48"/>
  <c r="AF777" i="48"/>
  <c r="AE777" i="48"/>
  <c r="AD777" i="48"/>
  <c r="AC777" i="48"/>
  <c r="AB777" i="48"/>
  <c r="AA777" i="48"/>
  <c r="Z777" i="48"/>
  <c r="I777" i="48"/>
  <c r="H777" i="48"/>
  <c r="G777" i="48"/>
  <c r="F777" i="48"/>
  <c r="AS777" i="48" s="1"/>
  <c r="E777" i="48"/>
  <c r="AU777" i="48" s="1"/>
  <c r="AF776" i="48"/>
  <c r="AE776" i="48"/>
  <c r="AC776" i="48"/>
  <c r="AB776" i="48"/>
  <c r="AA776" i="48"/>
  <c r="AD776" i="48" s="1"/>
  <c r="Z776" i="48"/>
  <c r="I776" i="48"/>
  <c r="H776" i="48"/>
  <c r="G776" i="48"/>
  <c r="F776" i="48"/>
  <c r="AS776" i="48" s="1"/>
  <c r="E776" i="48"/>
  <c r="AU776" i="48" s="1"/>
  <c r="AF775" i="48"/>
  <c r="AE775" i="48"/>
  <c r="AC775" i="48"/>
  <c r="AB775" i="48"/>
  <c r="AA775" i="48"/>
  <c r="AD775" i="48" s="1"/>
  <c r="Z775" i="48"/>
  <c r="I775" i="48"/>
  <c r="H775" i="48"/>
  <c r="G775" i="48"/>
  <c r="F775" i="48"/>
  <c r="AS775" i="48" s="1"/>
  <c r="E775" i="48"/>
  <c r="AU775" i="48" s="1"/>
  <c r="AF774" i="48"/>
  <c r="AE774" i="48"/>
  <c r="AC774" i="48"/>
  <c r="AB774" i="48"/>
  <c r="AA774" i="48"/>
  <c r="AD774" i="48" s="1"/>
  <c r="Z774" i="48"/>
  <c r="I774" i="48"/>
  <c r="H774" i="48"/>
  <c r="G774" i="48"/>
  <c r="F774" i="48"/>
  <c r="AS774" i="48" s="1"/>
  <c r="AT774" i="48" s="1"/>
  <c r="E774" i="48"/>
  <c r="AU774" i="48" s="1"/>
  <c r="AF773" i="48"/>
  <c r="AE773" i="48"/>
  <c r="AC773" i="48"/>
  <c r="AB773" i="48"/>
  <c r="AA773" i="48"/>
  <c r="AD773" i="48" s="1"/>
  <c r="Z773" i="48"/>
  <c r="I773" i="48"/>
  <c r="H773" i="48"/>
  <c r="G773" i="48"/>
  <c r="F773" i="48"/>
  <c r="AS773" i="48" s="1"/>
  <c r="AT773" i="48" s="1"/>
  <c r="E773" i="48"/>
  <c r="AU773" i="48" s="1"/>
  <c r="AF772" i="48"/>
  <c r="AE772" i="48"/>
  <c r="AC772" i="48"/>
  <c r="AB772" i="48"/>
  <c r="AA772" i="48"/>
  <c r="AD772" i="48" s="1"/>
  <c r="Z772" i="48"/>
  <c r="I772" i="48"/>
  <c r="H772" i="48"/>
  <c r="G772" i="48"/>
  <c r="F772" i="48"/>
  <c r="AS772" i="48" s="1"/>
  <c r="E772" i="48"/>
  <c r="AU772" i="48" s="1"/>
  <c r="AF771" i="48"/>
  <c r="AE771" i="48"/>
  <c r="AC771" i="48"/>
  <c r="AB771" i="48"/>
  <c r="AA771" i="48"/>
  <c r="AD771" i="48" s="1"/>
  <c r="Z771" i="48"/>
  <c r="I771" i="48"/>
  <c r="H771" i="48"/>
  <c r="G771" i="48"/>
  <c r="F771" i="48"/>
  <c r="AS771" i="48" s="1"/>
  <c r="E771" i="48"/>
  <c r="AU771" i="48" s="1"/>
  <c r="AF770" i="48"/>
  <c r="AE770" i="48"/>
  <c r="AC770" i="48"/>
  <c r="AB770" i="48"/>
  <c r="AA770" i="48"/>
  <c r="AD770" i="48" s="1"/>
  <c r="Z770" i="48"/>
  <c r="I770" i="48"/>
  <c r="H770" i="48"/>
  <c r="G770" i="48"/>
  <c r="F770" i="48"/>
  <c r="AS770" i="48" s="1"/>
  <c r="AT770" i="48" s="1"/>
  <c r="E770" i="48"/>
  <c r="AU770" i="48" s="1"/>
  <c r="AF769" i="48"/>
  <c r="AE769" i="48"/>
  <c r="AD769" i="48"/>
  <c r="AC769" i="48"/>
  <c r="AB769" i="48"/>
  <c r="AA769" i="48"/>
  <c r="Z769" i="48"/>
  <c r="I769" i="48"/>
  <c r="H769" i="48"/>
  <c r="G769" i="48"/>
  <c r="F769" i="48"/>
  <c r="AS769" i="48" s="1"/>
  <c r="E769" i="48"/>
  <c r="AU769" i="48" s="1"/>
  <c r="AF768" i="48"/>
  <c r="AE768" i="48"/>
  <c r="AC768" i="48"/>
  <c r="AB768" i="48"/>
  <c r="AA768" i="48"/>
  <c r="AD768" i="48" s="1"/>
  <c r="Z768" i="48"/>
  <c r="I768" i="48"/>
  <c r="H768" i="48"/>
  <c r="G768" i="48"/>
  <c r="F768" i="48"/>
  <c r="AS768" i="48" s="1"/>
  <c r="E768" i="48"/>
  <c r="AU768" i="48" s="1"/>
  <c r="AF767" i="48"/>
  <c r="AE767" i="48"/>
  <c r="AC767" i="48"/>
  <c r="AB767" i="48"/>
  <c r="Z767" i="48"/>
  <c r="I767" i="48"/>
  <c r="H767" i="48"/>
  <c r="G767" i="48"/>
  <c r="F767" i="48"/>
  <c r="AS767" i="48" s="1"/>
  <c r="E767" i="48"/>
  <c r="AU767" i="48" s="1"/>
  <c r="AF766" i="48"/>
  <c r="AE766" i="48"/>
  <c r="AC766" i="48"/>
  <c r="AB766" i="48"/>
  <c r="AA766" i="48"/>
  <c r="AD766" i="48" s="1"/>
  <c r="Z766" i="48"/>
  <c r="I766" i="48"/>
  <c r="H766" i="48"/>
  <c r="G766" i="48"/>
  <c r="F766" i="48"/>
  <c r="AS766" i="48" s="1"/>
  <c r="AT766" i="48" s="1"/>
  <c r="E766" i="48"/>
  <c r="AU766" i="48" s="1"/>
  <c r="AF765" i="48"/>
  <c r="AE765" i="48"/>
  <c r="AC765" i="48"/>
  <c r="Z765" i="48"/>
  <c r="AB765" i="48" s="1"/>
  <c r="I765" i="48"/>
  <c r="H765" i="48"/>
  <c r="G765" i="48"/>
  <c r="F765" i="48"/>
  <c r="AS765" i="48" s="1"/>
  <c r="AT765" i="48" s="1"/>
  <c r="E765" i="48"/>
  <c r="AU765" i="48" s="1"/>
  <c r="AF764" i="48"/>
  <c r="AE764" i="48"/>
  <c r="AC764" i="48"/>
  <c r="AB764" i="48"/>
  <c r="AA764" i="48"/>
  <c r="AD764" i="48" s="1"/>
  <c r="Z764" i="48"/>
  <c r="I764" i="48"/>
  <c r="H764" i="48"/>
  <c r="G764" i="48"/>
  <c r="F764" i="48"/>
  <c r="AS764" i="48" s="1"/>
  <c r="E764" i="48"/>
  <c r="AU764" i="48" s="1"/>
  <c r="AF763" i="48"/>
  <c r="AE763" i="48"/>
  <c r="AC763" i="48"/>
  <c r="AB763" i="48"/>
  <c r="AA763" i="48"/>
  <c r="AD763" i="48" s="1"/>
  <c r="Z763" i="48"/>
  <c r="I763" i="48"/>
  <c r="H763" i="48"/>
  <c r="G763" i="48"/>
  <c r="F763" i="48"/>
  <c r="AS763" i="48" s="1"/>
  <c r="E763" i="48"/>
  <c r="AU763" i="48" s="1"/>
  <c r="AF762" i="48"/>
  <c r="AE762" i="48"/>
  <c r="AC762" i="48"/>
  <c r="AB762" i="48"/>
  <c r="AA762" i="48"/>
  <c r="AD762" i="48" s="1"/>
  <c r="Z762" i="48"/>
  <c r="I762" i="48"/>
  <c r="H762" i="48"/>
  <c r="G762" i="48"/>
  <c r="F762" i="48"/>
  <c r="AS762" i="48" s="1"/>
  <c r="E762" i="48"/>
  <c r="AU762" i="48" s="1"/>
  <c r="AF761" i="48"/>
  <c r="AE761" i="48"/>
  <c r="AC761" i="48"/>
  <c r="AB761" i="48"/>
  <c r="AA761" i="48"/>
  <c r="AD761" i="48" s="1"/>
  <c r="Z761" i="48"/>
  <c r="I761" i="48"/>
  <c r="H761" i="48"/>
  <c r="G761" i="48"/>
  <c r="F761" i="48"/>
  <c r="AS761" i="48" s="1"/>
  <c r="AT761" i="48" s="1"/>
  <c r="E761" i="48"/>
  <c r="AU761" i="48" s="1"/>
  <c r="AF760" i="48"/>
  <c r="AE760" i="48"/>
  <c r="AC760" i="48"/>
  <c r="AB760" i="48"/>
  <c r="AA760" i="48"/>
  <c r="AD760" i="48" s="1"/>
  <c r="Z760" i="48"/>
  <c r="I760" i="48"/>
  <c r="H760" i="48"/>
  <c r="G760" i="48"/>
  <c r="F760" i="48"/>
  <c r="AS760" i="48" s="1"/>
  <c r="E760" i="48"/>
  <c r="AU760" i="48" s="1"/>
  <c r="A760" i="48"/>
  <c r="A761" i="48" s="1"/>
  <c r="A762" i="48" s="1"/>
  <c r="A763" i="48" s="1"/>
  <c r="A764" i="48" s="1"/>
  <c r="A765" i="48" s="1"/>
  <c r="A766" i="48" s="1"/>
  <c r="A767" i="48" s="1"/>
  <c r="A768" i="48" s="1"/>
  <c r="A769" i="48" s="1"/>
  <c r="A770" i="48" s="1"/>
  <c r="A771" i="48" s="1"/>
  <c r="A772" i="48" s="1"/>
  <c r="A773" i="48" s="1"/>
  <c r="A774" i="48" s="1"/>
  <c r="A775" i="48" s="1"/>
  <c r="A776" i="48" s="1"/>
  <c r="A777" i="48" s="1"/>
  <c r="A778" i="48" s="1"/>
  <c r="A779" i="48" s="1"/>
  <c r="A780" i="48" s="1"/>
  <c r="A781" i="48" s="1"/>
  <c r="A782" i="48" s="1"/>
  <c r="A783" i="48" s="1"/>
  <c r="A784" i="48" s="1"/>
  <c r="A785" i="48" s="1"/>
  <c r="A786" i="48" s="1"/>
  <c r="A787" i="48" s="1"/>
  <c r="A788" i="48" s="1"/>
  <c r="A789" i="48" s="1"/>
  <c r="A790" i="48" s="1"/>
  <c r="A791" i="48" s="1"/>
  <c r="A792" i="48" s="1"/>
  <c r="A793" i="48" s="1"/>
  <c r="A794" i="48" s="1"/>
  <c r="A795" i="48" s="1"/>
  <c r="A796" i="48" s="1"/>
  <c r="A797" i="48" s="1"/>
  <c r="AF759" i="48"/>
  <c r="AE759" i="48"/>
  <c r="AC759" i="48"/>
  <c r="AB759" i="48"/>
  <c r="AA759" i="48"/>
  <c r="AD759" i="48" s="1"/>
  <c r="Z759" i="48"/>
  <c r="I759" i="48"/>
  <c r="H759" i="48"/>
  <c r="G759" i="48"/>
  <c r="F759" i="48"/>
  <c r="AS759" i="48" s="1"/>
  <c r="E759" i="48"/>
  <c r="AU759" i="48" s="1"/>
  <c r="AF758" i="48"/>
  <c r="AT758" i="48" s="1"/>
  <c r="AE758" i="48"/>
  <c r="AC758" i="48"/>
  <c r="AB758" i="48"/>
  <c r="AA758" i="48"/>
  <c r="AD758" i="48" s="1"/>
  <c r="Z758" i="48"/>
  <c r="I758" i="48"/>
  <c r="H758" i="48"/>
  <c r="G758" i="48"/>
  <c r="F758" i="48"/>
  <c r="AS758" i="48" s="1"/>
  <c r="E758" i="48"/>
  <c r="AU758" i="48" s="1"/>
  <c r="AT757" i="48"/>
  <c r="AF757" i="48"/>
  <c r="AE757" i="48"/>
  <c r="AC757" i="48"/>
  <c r="AB757" i="48"/>
  <c r="AA757" i="48"/>
  <c r="AD757" i="48" s="1"/>
  <c r="Z757" i="48"/>
  <c r="I757" i="48"/>
  <c r="H757" i="48"/>
  <c r="G757" i="48"/>
  <c r="F757" i="48"/>
  <c r="AS757" i="48" s="1"/>
  <c r="E757" i="48"/>
  <c r="AU757" i="48" s="1"/>
  <c r="AF756" i="48"/>
  <c r="AT756" i="48" s="1"/>
  <c r="AE756" i="48"/>
  <c r="AC756" i="48"/>
  <c r="AB756" i="48"/>
  <c r="AA756" i="48"/>
  <c r="AD756" i="48" s="1"/>
  <c r="Z756" i="48"/>
  <c r="I756" i="48"/>
  <c r="H756" i="48"/>
  <c r="G756" i="48"/>
  <c r="F756" i="48"/>
  <c r="AS756" i="48" s="1"/>
  <c r="E756" i="48"/>
  <c r="AU756" i="48" s="1"/>
  <c r="AF755" i="48"/>
  <c r="AT755" i="48" s="1"/>
  <c r="AE755" i="48"/>
  <c r="AC755" i="48"/>
  <c r="AB755" i="48"/>
  <c r="AA755" i="48"/>
  <c r="AD755" i="48" s="1"/>
  <c r="Z755" i="48"/>
  <c r="I755" i="48"/>
  <c r="H755" i="48"/>
  <c r="G755" i="48"/>
  <c r="F755" i="48"/>
  <c r="AS755" i="48" s="1"/>
  <c r="E755" i="48"/>
  <c r="AU755" i="48" s="1"/>
  <c r="AF754" i="48"/>
  <c r="AT754" i="48" s="1"/>
  <c r="AE754" i="48"/>
  <c r="AC754" i="48"/>
  <c r="AB754" i="48"/>
  <c r="AA754" i="48"/>
  <c r="AD754" i="48" s="1"/>
  <c r="Z754" i="48"/>
  <c r="I754" i="48"/>
  <c r="H754" i="48"/>
  <c r="G754" i="48"/>
  <c r="F754" i="48"/>
  <c r="AS754" i="48" s="1"/>
  <c r="E754" i="48"/>
  <c r="AU754" i="48" s="1"/>
  <c r="AT753" i="48"/>
  <c r="AF753" i="48"/>
  <c r="AE753" i="48"/>
  <c r="AC753" i="48"/>
  <c r="AB753" i="48"/>
  <c r="AA753" i="48"/>
  <c r="AD753" i="48" s="1"/>
  <c r="Z753" i="48"/>
  <c r="I753" i="48"/>
  <c r="H753" i="48"/>
  <c r="G753" i="48"/>
  <c r="F753" i="48"/>
  <c r="AS753" i="48" s="1"/>
  <c r="E753" i="48"/>
  <c r="AU753" i="48" s="1"/>
  <c r="AF752" i="48"/>
  <c r="AT752" i="48" s="1"/>
  <c r="AE752" i="48"/>
  <c r="AC752" i="48"/>
  <c r="AB752" i="48"/>
  <c r="AA752" i="48"/>
  <c r="AD752" i="48" s="1"/>
  <c r="Z752" i="48"/>
  <c r="I752" i="48"/>
  <c r="H752" i="48"/>
  <c r="G752" i="48"/>
  <c r="F752" i="48"/>
  <c r="AS752" i="48" s="1"/>
  <c r="E752" i="48"/>
  <c r="AU752" i="48" s="1"/>
  <c r="AF751" i="48"/>
  <c r="AT751" i="48" s="1"/>
  <c r="AE751" i="48"/>
  <c r="AC751" i="48"/>
  <c r="AB751" i="48"/>
  <c r="AA751" i="48"/>
  <c r="AD751" i="48" s="1"/>
  <c r="Z751" i="48"/>
  <c r="I751" i="48"/>
  <c r="H751" i="48"/>
  <c r="G751" i="48"/>
  <c r="F751" i="48"/>
  <c r="AS751" i="48" s="1"/>
  <c r="E751" i="48"/>
  <c r="AU751" i="48" s="1"/>
  <c r="AF750" i="48"/>
  <c r="AT750" i="48" s="1"/>
  <c r="AE750" i="48"/>
  <c r="AC750" i="48"/>
  <c r="AB750" i="48"/>
  <c r="AA750" i="48"/>
  <c r="AD750" i="48" s="1"/>
  <c r="Z750" i="48"/>
  <c r="I750" i="48"/>
  <c r="H750" i="48"/>
  <c r="G750" i="48"/>
  <c r="F750" i="48"/>
  <c r="AS750" i="48" s="1"/>
  <c r="E750" i="48"/>
  <c r="AU750" i="48" s="1"/>
  <c r="AT749" i="48"/>
  <c r="AF749" i="48"/>
  <c r="AE749" i="48"/>
  <c r="AC749" i="48"/>
  <c r="Z749" i="48"/>
  <c r="AB749" i="48" s="1"/>
  <c r="I749" i="48"/>
  <c r="H749" i="48"/>
  <c r="G749" i="48"/>
  <c r="F749" i="48"/>
  <c r="AS749" i="48" s="1"/>
  <c r="AA749" i="48" s="1"/>
  <c r="AD749" i="48" s="1"/>
  <c r="E749" i="48"/>
  <c r="AU749" i="48" s="1"/>
  <c r="AT748" i="48"/>
  <c r="AF748" i="48"/>
  <c r="AE748" i="48"/>
  <c r="AC748" i="48"/>
  <c r="Z748" i="48"/>
  <c r="AB748" i="48" s="1"/>
  <c r="I748" i="48"/>
  <c r="H748" i="48"/>
  <c r="G748" i="48"/>
  <c r="F748" i="48"/>
  <c r="AS748" i="48" s="1"/>
  <c r="E748" i="48"/>
  <c r="AU748" i="48" s="1"/>
  <c r="AF747" i="48"/>
  <c r="AT747" i="48" s="1"/>
  <c r="AE747" i="48"/>
  <c r="AC747" i="48"/>
  <c r="Z747" i="48"/>
  <c r="AB747" i="48" s="1"/>
  <c r="I747" i="48"/>
  <c r="H747" i="48"/>
  <c r="G747" i="48"/>
  <c r="F747" i="48"/>
  <c r="AS747" i="48" s="1"/>
  <c r="AA747" i="48" s="1"/>
  <c r="AD747" i="48" s="1"/>
  <c r="E747" i="48"/>
  <c r="AU747" i="48" s="1"/>
  <c r="AF746" i="48"/>
  <c r="AE746" i="48"/>
  <c r="AC746" i="48"/>
  <c r="Z746" i="48"/>
  <c r="AB746" i="48" s="1"/>
  <c r="I746" i="48"/>
  <c r="H746" i="48"/>
  <c r="G746" i="48"/>
  <c r="F746" i="48"/>
  <c r="AS746" i="48" s="1"/>
  <c r="E746" i="48"/>
  <c r="AU746" i="48" s="1"/>
  <c r="AT745" i="48"/>
  <c r="AF745" i="48"/>
  <c r="AE745" i="48"/>
  <c r="AC745" i="48"/>
  <c r="AB745" i="48"/>
  <c r="AA745" i="48"/>
  <c r="AD745" i="48" s="1"/>
  <c r="Z745" i="48"/>
  <c r="I745" i="48"/>
  <c r="H745" i="48"/>
  <c r="G745" i="48"/>
  <c r="F745" i="48"/>
  <c r="AS745" i="48" s="1"/>
  <c r="E745" i="48"/>
  <c r="AU745" i="48" s="1"/>
  <c r="AF744" i="48"/>
  <c r="AT744" i="48" s="1"/>
  <c r="AE744" i="48"/>
  <c r="AC744" i="48"/>
  <c r="Z744" i="48"/>
  <c r="AB744" i="48" s="1"/>
  <c r="I744" i="48"/>
  <c r="H744" i="48"/>
  <c r="G744" i="48"/>
  <c r="F744" i="48"/>
  <c r="AS744" i="48" s="1"/>
  <c r="E744" i="48"/>
  <c r="AU744" i="48" s="1"/>
  <c r="AF743" i="48"/>
  <c r="AT743" i="48" s="1"/>
  <c r="AE743" i="48"/>
  <c r="AC743" i="48"/>
  <c r="Z743" i="48"/>
  <c r="AB743" i="48" s="1"/>
  <c r="I743" i="48"/>
  <c r="H743" i="48"/>
  <c r="G743" i="48"/>
  <c r="F743" i="48"/>
  <c r="AS743" i="48" s="1"/>
  <c r="AA743" i="48" s="1"/>
  <c r="AD743" i="48" s="1"/>
  <c r="E743" i="48"/>
  <c r="AU743" i="48" s="1"/>
  <c r="AF742" i="48"/>
  <c r="AE742" i="48"/>
  <c r="AC742" i="48"/>
  <c r="AB742" i="48"/>
  <c r="Z742" i="48"/>
  <c r="I742" i="48"/>
  <c r="H742" i="48"/>
  <c r="G742" i="48"/>
  <c r="F742" i="48"/>
  <c r="AS742" i="48" s="1"/>
  <c r="E742" i="48"/>
  <c r="AU742" i="48" s="1"/>
  <c r="AT741" i="48"/>
  <c r="AF741" i="48"/>
  <c r="AE741" i="48"/>
  <c r="AC741" i="48"/>
  <c r="Z741" i="48"/>
  <c r="AB741" i="48" s="1"/>
  <c r="I741" i="48"/>
  <c r="H741" i="48"/>
  <c r="G741" i="48"/>
  <c r="F741" i="48"/>
  <c r="AS741" i="48" s="1"/>
  <c r="AA741" i="48" s="1"/>
  <c r="AD741" i="48" s="1"/>
  <c r="E741" i="48"/>
  <c r="AU741" i="48" s="1"/>
  <c r="AT740" i="48"/>
  <c r="AF740" i="48"/>
  <c r="AE740" i="48"/>
  <c r="AD740" i="48"/>
  <c r="AC740" i="48"/>
  <c r="AB740" i="48"/>
  <c r="AA740" i="48"/>
  <c r="Z740" i="48"/>
  <c r="I740" i="48"/>
  <c r="H740" i="48"/>
  <c r="G740" i="48"/>
  <c r="F740" i="48"/>
  <c r="AS740" i="48" s="1"/>
  <c r="E740" i="48"/>
  <c r="AU740" i="48" s="1"/>
  <c r="AF739" i="48"/>
  <c r="AT739" i="48" s="1"/>
  <c r="AE739" i="48"/>
  <c r="AC739" i="48"/>
  <c r="Z739" i="48"/>
  <c r="AB739" i="48" s="1"/>
  <c r="I739" i="48"/>
  <c r="H739" i="48"/>
  <c r="G739" i="48"/>
  <c r="F739" i="48"/>
  <c r="AS739" i="48" s="1"/>
  <c r="AA739" i="48" s="1"/>
  <c r="AD739" i="48" s="1"/>
  <c r="E739" i="48"/>
  <c r="AU739" i="48" s="1"/>
  <c r="AF738" i="48"/>
  <c r="AT738" i="48" s="1"/>
  <c r="AE738" i="48"/>
  <c r="AC738" i="48"/>
  <c r="AB738" i="48"/>
  <c r="AA738" i="48"/>
  <c r="AD738" i="48" s="1"/>
  <c r="Z738" i="48"/>
  <c r="I738" i="48"/>
  <c r="H738" i="48"/>
  <c r="G738" i="48"/>
  <c r="F738" i="48"/>
  <c r="AS738" i="48" s="1"/>
  <c r="E738" i="48"/>
  <c r="AU738" i="48" s="1"/>
  <c r="AF737" i="48"/>
  <c r="AE737" i="48"/>
  <c r="AC737" i="48"/>
  <c r="AB737" i="48"/>
  <c r="AA737" i="48"/>
  <c r="AD737" i="48" s="1"/>
  <c r="Z737" i="48"/>
  <c r="I737" i="48"/>
  <c r="H737" i="48"/>
  <c r="G737" i="48"/>
  <c r="F737" i="48"/>
  <c r="AS737" i="48" s="1"/>
  <c r="AT737" i="48" s="1"/>
  <c r="E737" i="48"/>
  <c r="AU737" i="48" s="1"/>
  <c r="AF736" i="48"/>
  <c r="AE736" i="48"/>
  <c r="AC736" i="48"/>
  <c r="AB736" i="48"/>
  <c r="AA736" i="48"/>
  <c r="AD736" i="48" s="1"/>
  <c r="Z736" i="48"/>
  <c r="I736" i="48"/>
  <c r="H736" i="48"/>
  <c r="G736" i="48"/>
  <c r="F736" i="48"/>
  <c r="AS736" i="48" s="1"/>
  <c r="E736" i="48"/>
  <c r="AU736" i="48" s="1"/>
  <c r="AS735" i="48"/>
  <c r="AF735" i="48"/>
  <c r="AE735" i="48"/>
  <c r="AC735" i="48"/>
  <c r="AB735" i="48"/>
  <c r="AA735" i="48"/>
  <c r="AD735" i="48" s="1"/>
  <c r="Z735" i="48"/>
  <c r="I735" i="48"/>
  <c r="H735" i="48"/>
  <c r="G735" i="48"/>
  <c r="F735" i="48"/>
  <c r="E735" i="48"/>
  <c r="AU735" i="48" s="1"/>
  <c r="AF734" i="48"/>
  <c r="AE734" i="48"/>
  <c r="AC734" i="48"/>
  <c r="AB734" i="48"/>
  <c r="AA734" i="48"/>
  <c r="AD734" i="48" s="1"/>
  <c r="Z734" i="48"/>
  <c r="I734" i="48"/>
  <c r="H734" i="48"/>
  <c r="G734" i="48"/>
  <c r="F734" i="48"/>
  <c r="AS734" i="48" s="1"/>
  <c r="E734" i="48"/>
  <c r="AU734" i="48" s="1"/>
  <c r="AS733" i="48"/>
  <c r="AT733" i="48" s="1"/>
  <c r="AF733" i="48"/>
  <c r="AE733" i="48"/>
  <c r="AC733" i="48"/>
  <c r="AB733" i="48"/>
  <c r="AA733" i="48"/>
  <c r="AD733" i="48" s="1"/>
  <c r="Z733" i="48"/>
  <c r="I733" i="48"/>
  <c r="H733" i="48"/>
  <c r="G733" i="48"/>
  <c r="F733" i="48"/>
  <c r="E733" i="48"/>
  <c r="AU733" i="48" s="1"/>
  <c r="AF732" i="48"/>
  <c r="AE732" i="48"/>
  <c r="AC732" i="48"/>
  <c r="AB732" i="48"/>
  <c r="AA732" i="48"/>
  <c r="AD732" i="48" s="1"/>
  <c r="Z732" i="48"/>
  <c r="I732" i="48"/>
  <c r="H732" i="48"/>
  <c r="G732" i="48"/>
  <c r="F732" i="48"/>
  <c r="AS732" i="48" s="1"/>
  <c r="AT732" i="48" s="1"/>
  <c r="E732" i="48"/>
  <c r="AU732" i="48" s="1"/>
  <c r="AF731" i="48"/>
  <c r="AE731" i="48"/>
  <c r="AC731" i="48"/>
  <c r="Z731" i="48"/>
  <c r="AB731" i="48" s="1"/>
  <c r="I731" i="48"/>
  <c r="H731" i="48"/>
  <c r="G731" i="48"/>
  <c r="F731" i="48"/>
  <c r="AS731" i="48" s="1"/>
  <c r="AA731" i="48" s="1"/>
  <c r="AD731" i="48" s="1"/>
  <c r="E731" i="48"/>
  <c r="AU731" i="48" s="1"/>
  <c r="AF730" i="48"/>
  <c r="AE730" i="48"/>
  <c r="AC730" i="48"/>
  <c r="AB730" i="48"/>
  <c r="AA730" i="48"/>
  <c r="AD730" i="48" s="1"/>
  <c r="Z730" i="48"/>
  <c r="I730" i="48"/>
  <c r="H730" i="48"/>
  <c r="G730" i="48"/>
  <c r="F730" i="48"/>
  <c r="AS730" i="48" s="1"/>
  <c r="E730" i="48"/>
  <c r="AU730" i="48" s="1"/>
  <c r="AF729" i="48"/>
  <c r="AE729" i="48"/>
  <c r="AC729" i="48"/>
  <c r="AB729" i="48"/>
  <c r="AA729" i="48"/>
  <c r="AD729" i="48" s="1"/>
  <c r="Z729" i="48"/>
  <c r="I729" i="48"/>
  <c r="H729" i="48"/>
  <c r="G729" i="48"/>
  <c r="F729" i="48"/>
  <c r="AS729" i="48" s="1"/>
  <c r="AT729" i="48" s="1"/>
  <c r="E729" i="48"/>
  <c r="AU729" i="48" s="1"/>
  <c r="AF728" i="48"/>
  <c r="AE728" i="48"/>
  <c r="AC728" i="48"/>
  <c r="Z728" i="48"/>
  <c r="AB728" i="48" s="1"/>
  <c r="I728" i="48"/>
  <c r="H728" i="48"/>
  <c r="G728" i="48"/>
  <c r="F728" i="48"/>
  <c r="AS728" i="48" s="1"/>
  <c r="E728" i="48"/>
  <c r="AU728" i="48" s="1"/>
  <c r="AF727" i="48"/>
  <c r="AE727" i="48"/>
  <c r="AC727" i="48"/>
  <c r="AB727" i="48"/>
  <c r="AA727" i="48"/>
  <c r="AD727" i="48" s="1"/>
  <c r="Z727" i="48"/>
  <c r="I727" i="48"/>
  <c r="H727" i="48"/>
  <c r="G727" i="48"/>
  <c r="F727" i="48"/>
  <c r="AS727" i="48" s="1"/>
  <c r="E727" i="48"/>
  <c r="AU727" i="48" s="1"/>
  <c r="AF726" i="48"/>
  <c r="AE726" i="48"/>
  <c r="AC726" i="48"/>
  <c r="AB726" i="48"/>
  <c r="AA726" i="48"/>
  <c r="AD726" i="48" s="1"/>
  <c r="Z726" i="48"/>
  <c r="I726" i="48"/>
  <c r="H726" i="48"/>
  <c r="G726" i="48"/>
  <c r="F726" i="48"/>
  <c r="AS726" i="48" s="1"/>
  <c r="E726" i="48"/>
  <c r="AU726" i="48" s="1"/>
  <c r="AF725" i="48"/>
  <c r="AE725" i="48"/>
  <c r="AC725" i="48"/>
  <c r="AB725" i="48"/>
  <c r="AA725" i="48"/>
  <c r="AD725" i="48" s="1"/>
  <c r="Z725" i="48"/>
  <c r="I725" i="48"/>
  <c r="H725" i="48"/>
  <c r="G725" i="48"/>
  <c r="F725" i="48"/>
  <c r="AS725" i="48" s="1"/>
  <c r="AT725" i="48" s="1"/>
  <c r="E725" i="48"/>
  <c r="AU725" i="48" s="1"/>
  <c r="AF724" i="48"/>
  <c r="AE724" i="48"/>
  <c r="AC724" i="48"/>
  <c r="Z724" i="48"/>
  <c r="AB724" i="48" s="1"/>
  <c r="I724" i="48"/>
  <c r="H724" i="48"/>
  <c r="G724" i="48"/>
  <c r="F724" i="48"/>
  <c r="AS724" i="48" s="1"/>
  <c r="AT724" i="48" s="1"/>
  <c r="E724" i="48"/>
  <c r="AU724" i="48" s="1"/>
  <c r="AS723" i="48"/>
  <c r="AF723" i="48"/>
  <c r="AT723" i="48" s="1"/>
  <c r="AE723" i="48"/>
  <c r="AC723" i="48"/>
  <c r="AB723" i="48"/>
  <c r="AA723" i="48"/>
  <c r="AD723" i="48" s="1"/>
  <c r="Z723" i="48"/>
  <c r="I723" i="48"/>
  <c r="H723" i="48"/>
  <c r="G723" i="48"/>
  <c r="F723" i="48"/>
  <c r="E723" i="48"/>
  <c r="AU723" i="48" s="1"/>
  <c r="AF722" i="48"/>
  <c r="AE722" i="48"/>
  <c r="AC722" i="48"/>
  <c r="Z722" i="48"/>
  <c r="AB722" i="48" s="1"/>
  <c r="I722" i="48"/>
  <c r="H722" i="48"/>
  <c r="G722" i="48"/>
  <c r="F722" i="48"/>
  <c r="AS722" i="48" s="1"/>
  <c r="E722" i="48"/>
  <c r="AU722" i="48" s="1"/>
  <c r="AF721" i="48"/>
  <c r="AE721" i="48"/>
  <c r="AC721" i="48"/>
  <c r="Z721" i="48"/>
  <c r="AB721" i="48" s="1"/>
  <c r="I721" i="48"/>
  <c r="H721" i="48"/>
  <c r="G721" i="48"/>
  <c r="F721" i="48"/>
  <c r="AS721" i="48" s="1"/>
  <c r="AA721" i="48" s="1"/>
  <c r="AD721" i="48" s="1"/>
  <c r="E721" i="48"/>
  <c r="AU721" i="48" s="1"/>
  <c r="A721" i="48"/>
  <c r="A722" i="48" s="1"/>
  <c r="A723" i="48" s="1"/>
  <c r="A724" i="48" s="1"/>
  <c r="A725" i="48" s="1"/>
  <c r="A726" i="48" s="1"/>
  <c r="A727" i="48" s="1"/>
  <c r="A728" i="48" s="1"/>
  <c r="A729" i="48" s="1"/>
  <c r="A730" i="48" s="1"/>
  <c r="A731" i="48" s="1"/>
  <c r="A732" i="48" s="1"/>
  <c r="A733" i="48" s="1"/>
  <c r="A734" i="48" s="1"/>
  <c r="A735" i="48" s="1"/>
  <c r="A736" i="48" s="1"/>
  <c r="A737" i="48" s="1"/>
  <c r="A738" i="48" s="1"/>
  <c r="A739" i="48" s="1"/>
  <c r="A740" i="48" s="1"/>
  <c r="A741" i="48" s="1"/>
  <c r="A742" i="48" s="1"/>
  <c r="A743" i="48" s="1"/>
  <c r="A744" i="48" s="1"/>
  <c r="A745" i="48" s="1"/>
  <c r="A746" i="48" s="1"/>
  <c r="A747" i="48" s="1"/>
  <c r="A748" i="48" s="1"/>
  <c r="A749" i="48" s="1"/>
  <c r="A750" i="48" s="1"/>
  <c r="A751" i="48" s="1"/>
  <c r="A752" i="48" s="1"/>
  <c r="A753" i="48" s="1"/>
  <c r="A754" i="48" s="1"/>
  <c r="A755" i="48" s="1"/>
  <c r="A756" i="48" s="1"/>
  <c r="A757" i="48" s="1"/>
  <c r="A758" i="48" s="1"/>
  <c r="AF720" i="48"/>
  <c r="AE720" i="48"/>
  <c r="AC720" i="48"/>
  <c r="AB720" i="48"/>
  <c r="AA720" i="48"/>
  <c r="AD720" i="48" s="1"/>
  <c r="Z720" i="48"/>
  <c r="I720" i="48"/>
  <c r="H720" i="48"/>
  <c r="G720" i="48"/>
  <c r="F720" i="48"/>
  <c r="AS720" i="48" s="1"/>
  <c r="E720" i="48"/>
  <c r="AU720" i="48" s="1"/>
  <c r="AU719" i="48"/>
  <c r="AF719" i="48"/>
  <c r="AE719" i="48"/>
  <c r="AC719" i="48"/>
  <c r="AB719" i="48"/>
  <c r="AA719" i="48"/>
  <c r="AD719" i="48" s="1"/>
  <c r="Z719" i="48"/>
  <c r="I719" i="48"/>
  <c r="H719" i="48"/>
  <c r="G719" i="48"/>
  <c r="F719" i="48"/>
  <c r="AS719" i="48" s="1"/>
  <c r="E719" i="48"/>
  <c r="AF718" i="48"/>
  <c r="AT718" i="48" s="1"/>
  <c r="AE718" i="48"/>
  <c r="AC718" i="48"/>
  <c r="AB718" i="48"/>
  <c r="AA718" i="48"/>
  <c r="AD718" i="48" s="1"/>
  <c r="Z718" i="48"/>
  <c r="I718" i="48"/>
  <c r="H718" i="48"/>
  <c r="G718" i="48"/>
  <c r="F718" i="48"/>
  <c r="AS718" i="48" s="1"/>
  <c r="E718" i="48"/>
  <c r="AU718" i="48" s="1"/>
  <c r="AF717" i="48"/>
  <c r="AT717" i="48" s="1"/>
  <c r="AE717" i="48"/>
  <c r="AC717" i="48"/>
  <c r="AB717" i="48"/>
  <c r="AA717" i="48"/>
  <c r="AD717" i="48" s="1"/>
  <c r="Z717" i="48"/>
  <c r="I717" i="48"/>
  <c r="H717" i="48"/>
  <c r="G717" i="48"/>
  <c r="F717" i="48"/>
  <c r="AS717" i="48" s="1"/>
  <c r="E717" i="48"/>
  <c r="AU717" i="48" s="1"/>
  <c r="AT716" i="48"/>
  <c r="AF716" i="48"/>
  <c r="AE716" i="48"/>
  <c r="AC716" i="48"/>
  <c r="AB716" i="48"/>
  <c r="AA716" i="48"/>
  <c r="AD716" i="48" s="1"/>
  <c r="Z716" i="48"/>
  <c r="I716" i="48"/>
  <c r="H716" i="48"/>
  <c r="G716" i="48"/>
  <c r="F716" i="48"/>
  <c r="AS716" i="48" s="1"/>
  <c r="E716" i="48"/>
  <c r="AU716" i="48" s="1"/>
  <c r="AF715" i="48"/>
  <c r="AE715" i="48"/>
  <c r="AC715" i="48"/>
  <c r="AB715" i="48"/>
  <c r="AA715" i="48"/>
  <c r="AD715" i="48" s="1"/>
  <c r="Z715" i="48"/>
  <c r="I715" i="48"/>
  <c r="H715" i="48"/>
  <c r="G715" i="48"/>
  <c r="F715" i="48"/>
  <c r="AS715" i="48" s="1"/>
  <c r="E715" i="48"/>
  <c r="AU715" i="48" s="1"/>
  <c r="AS714" i="48"/>
  <c r="AF714" i="48"/>
  <c r="AT714" i="48" s="1"/>
  <c r="AE714" i="48"/>
  <c r="AC714" i="48"/>
  <c r="AB714" i="48"/>
  <c r="AA714" i="48"/>
  <c r="AD714" i="48" s="1"/>
  <c r="Z714" i="48"/>
  <c r="I714" i="48"/>
  <c r="H714" i="48"/>
  <c r="G714" i="48"/>
  <c r="F714" i="48"/>
  <c r="E714" i="48"/>
  <c r="AU714" i="48" s="1"/>
  <c r="AF713" i="48"/>
  <c r="AT713" i="48" s="1"/>
  <c r="AE713" i="48"/>
  <c r="AC713" i="48"/>
  <c r="AB713" i="48"/>
  <c r="AA713" i="48"/>
  <c r="AD713" i="48" s="1"/>
  <c r="Z713" i="48"/>
  <c r="I713" i="48"/>
  <c r="H713" i="48"/>
  <c r="G713" i="48"/>
  <c r="F713" i="48"/>
  <c r="AS713" i="48" s="1"/>
  <c r="E713" i="48"/>
  <c r="AU713" i="48" s="1"/>
  <c r="AT712" i="48"/>
  <c r="AS712" i="48"/>
  <c r="AF712" i="48"/>
  <c r="AE712" i="48"/>
  <c r="AC712" i="48"/>
  <c r="AB712" i="48"/>
  <c r="AA712" i="48"/>
  <c r="AD712" i="48" s="1"/>
  <c r="Z712" i="48"/>
  <c r="I712" i="48"/>
  <c r="H712" i="48"/>
  <c r="G712" i="48"/>
  <c r="F712" i="48"/>
  <c r="E712" i="48"/>
  <c r="AU712" i="48" s="1"/>
  <c r="AF711" i="48"/>
  <c r="AE711" i="48"/>
  <c r="AD711" i="48"/>
  <c r="AC711" i="48"/>
  <c r="AB711" i="48"/>
  <c r="AA711" i="48"/>
  <c r="Z711" i="48"/>
  <c r="I711" i="48"/>
  <c r="H711" i="48"/>
  <c r="G711" i="48"/>
  <c r="F711" i="48"/>
  <c r="AS711" i="48" s="1"/>
  <c r="E711" i="48"/>
  <c r="AU711" i="48" s="1"/>
  <c r="AS710" i="48"/>
  <c r="AA710" i="48" s="1"/>
  <c r="AD710" i="48" s="1"/>
  <c r="AF710" i="48"/>
  <c r="AT710" i="48" s="1"/>
  <c r="AE710" i="48"/>
  <c r="AC710" i="48"/>
  <c r="AB710" i="48"/>
  <c r="Z710" i="48"/>
  <c r="I710" i="48"/>
  <c r="H710" i="48"/>
  <c r="G710" i="48"/>
  <c r="F710" i="48"/>
  <c r="E710" i="48"/>
  <c r="AU710" i="48" s="1"/>
  <c r="AF709" i="48"/>
  <c r="AE709" i="48"/>
  <c r="AC709" i="48"/>
  <c r="Z709" i="48"/>
  <c r="AB709" i="48" s="1"/>
  <c r="I709" i="48"/>
  <c r="H709" i="48"/>
  <c r="G709" i="48"/>
  <c r="F709" i="48"/>
  <c r="AS709" i="48" s="1"/>
  <c r="E709" i="48"/>
  <c r="AU709" i="48" s="1"/>
  <c r="AF708" i="48"/>
  <c r="AT708" i="48" s="1"/>
  <c r="AE708" i="48"/>
  <c r="AC708" i="48"/>
  <c r="Z708" i="48"/>
  <c r="AB708" i="48" s="1"/>
  <c r="I708" i="48"/>
  <c r="H708" i="48"/>
  <c r="G708" i="48"/>
  <c r="F708" i="48"/>
  <c r="AS708" i="48" s="1"/>
  <c r="AA708" i="48" s="1"/>
  <c r="AD708" i="48" s="1"/>
  <c r="E708" i="48"/>
  <c r="AU708" i="48" s="1"/>
  <c r="AU707" i="48"/>
  <c r="AF707" i="48"/>
  <c r="AE707" i="48"/>
  <c r="AC707" i="48"/>
  <c r="Z707" i="48"/>
  <c r="AB707" i="48" s="1"/>
  <c r="I707" i="48"/>
  <c r="H707" i="48"/>
  <c r="G707" i="48"/>
  <c r="F707" i="48"/>
  <c r="AS707" i="48" s="1"/>
  <c r="E707" i="48"/>
  <c r="AF706" i="48"/>
  <c r="AT706" i="48" s="1"/>
  <c r="AE706" i="48"/>
  <c r="AC706" i="48"/>
  <c r="AB706" i="48"/>
  <c r="AA706" i="48"/>
  <c r="AD706" i="48" s="1"/>
  <c r="Z706" i="48"/>
  <c r="I706" i="48"/>
  <c r="H706" i="48"/>
  <c r="G706" i="48"/>
  <c r="F706" i="48"/>
  <c r="AS706" i="48" s="1"/>
  <c r="E706" i="48"/>
  <c r="AU706" i="48" s="1"/>
  <c r="AF705" i="48"/>
  <c r="AE705" i="48"/>
  <c r="AC705" i="48"/>
  <c r="Z705" i="48"/>
  <c r="AB705" i="48" s="1"/>
  <c r="I705" i="48"/>
  <c r="H705" i="48"/>
  <c r="G705" i="48"/>
  <c r="F705" i="48"/>
  <c r="AS705" i="48" s="1"/>
  <c r="E705" i="48"/>
  <c r="AU705" i="48" s="1"/>
  <c r="AF704" i="48"/>
  <c r="AT704" i="48" s="1"/>
  <c r="AE704" i="48"/>
  <c r="AC704" i="48"/>
  <c r="Z704" i="48"/>
  <c r="AB704" i="48" s="1"/>
  <c r="I704" i="48"/>
  <c r="H704" i="48"/>
  <c r="G704" i="48"/>
  <c r="F704" i="48"/>
  <c r="AS704" i="48" s="1"/>
  <c r="AA704" i="48" s="1"/>
  <c r="AD704" i="48" s="1"/>
  <c r="E704" i="48"/>
  <c r="AU704" i="48" s="1"/>
  <c r="AF703" i="48"/>
  <c r="AT703" i="48" s="1"/>
  <c r="AE703" i="48"/>
  <c r="AC703" i="48"/>
  <c r="Z703" i="48"/>
  <c r="AB703" i="48" s="1"/>
  <c r="I703" i="48"/>
  <c r="H703" i="48"/>
  <c r="G703" i="48"/>
  <c r="F703" i="48"/>
  <c r="AS703" i="48" s="1"/>
  <c r="E703" i="48"/>
  <c r="AU703" i="48" s="1"/>
  <c r="AF702" i="48"/>
  <c r="AT702" i="48" s="1"/>
  <c r="AE702" i="48"/>
  <c r="AC702" i="48"/>
  <c r="Z702" i="48"/>
  <c r="AB702" i="48" s="1"/>
  <c r="I702" i="48"/>
  <c r="H702" i="48"/>
  <c r="G702" i="48"/>
  <c r="F702" i="48"/>
  <c r="AS702" i="48" s="1"/>
  <c r="AA702" i="48" s="1"/>
  <c r="AD702" i="48" s="1"/>
  <c r="E702" i="48"/>
  <c r="AU702" i="48" s="1"/>
  <c r="AF701" i="48"/>
  <c r="AT701" i="48" s="1"/>
  <c r="AE701" i="48"/>
  <c r="AD701" i="48"/>
  <c r="AC701" i="48"/>
  <c r="AB701" i="48"/>
  <c r="AA701" i="48"/>
  <c r="Z701" i="48"/>
  <c r="I701" i="48"/>
  <c r="H701" i="48"/>
  <c r="G701" i="48"/>
  <c r="F701" i="48"/>
  <c r="AS701" i="48" s="1"/>
  <c r="E701" i="48"/>
  <c r="AU701" i="48" s="1"/>
  <c r="AF700" i="48"/>
  <c r="AT700" i="48" s="1"/>
  <c r="AE700" i="48"/>
  <c r="AC700" i="48"/>
  <c r="Z700" i="48"/>
  <c r="AB700" i="48" s="1"/>
  <c r="I700" i="48"/>
  <c r="H700" i="48"/>
  <c r="G700" i="48"/>
  <c r="F700" i="48"/>
  <c r="AS700" i="48" s="1"/>
  <c r="AA700" i="48" s="1"/>
  <c r="AD700" i="48" s="1"/>
  <c r="E700" i="48"/>
  <c r="AU700" i="48" s="1"/>
  <c r="AF699" i="48"/>
  <c r="AE699" i="48"/>
  <c r="AC699" i="48"/>
  <c r="AB699" i="48"/>
  <c r="AA699" i="48"/>
  <c r="AD699" i="48" s="1"/>
  <c r="Z699" i="48"/>
  <c r="I699" i="48"/>
  <c r="H699" i="48"/>
  <c r="G699" i="48"/>
  <c r="F699" i="48"/>
  <c r="AS699" i="48" s="1"/>
  <c r="E699" i="48"/>
  <c r="AU699" i="48" s="1"/>
  <c r="AS698" i="48"/>
  <c r="AF698" i="48"/>
  <c r="AE698" i="48"/>
  <c r="AC698" i="48"/>
  <c r="AB698" i="48"/>
  <c r="AA698" i="48"/>
  <c r="AD698" i="48" s="1"/>
  <c r="Z698" i="48"/>
  <c r="I698" i="48"/>
  <c r="H698" i="48"/>
  <c r="G698" i="48"/>
  <c r="F698" i="48"/>
  <c r="E698" i="48"/>
  <c r="AU698" i="48" s="1"/>
  <c r="AF697" i="48"/>
  <c r="AE697" i="48"/>
  <c r="AC697" i="48"/>
  <c r="AB697" i="48"/>
  <c r="AA697" i="48"/>
  <c r="AD697" i="48" s="1"/>
  <c r="Z697" i="48"/>
  <c r="I697" i="48"/>
  <c r="H697" i="48"/>
  <c r="G697" i="48"/>
  <c r="F697" i="48"/>
  <c r="AS697" i="48" s="1"/>
  <c r="E697" i="48"/>
  <c r="AU697" i="48" s="1"/>
  <c r="AF696" i="48"/>
  <c r="AE696" i="48"/>
  <c r="AC696" i="48"/>
  <c r="AB696" i="48"/>
  <c r="AA696" i="48"/>
  <c r="AD696" i="48" s="1"/>
  <c r="Z696" i="48"/>
  <c r="I696" i="48"/>
  <c r="H696" i="48"/>
  <c r="G696" i="48"/>
  <c r="F696" i="48"/>
  <c r="AS696" i="48" s="1"/>
  <c r="E696" i="48"/>
  <c r="AU696" i="48" s="1"/>
  <c r="AF695" i="48"/>
  <c r="AE695" i="48"/>
  <c r="AD695" i="48"/>
  <c r="AC695" i="48"/>
  <c r="AB695" i="48"/>
  <c r="AA695" i="48"/>
  <c r="Z695" i="48"/>
  <c r="I695" i="48"/>
  <c r="H695" i="48"/>
  <c r="G695" i="48"/>
  <c r="F695" i="48"/>
  <c r="AS695" i="48" s="1"/>
  <c r="E695" i="48"/>
  <c r="AU695" i="48" s="1"/>
  <c r="AF694" i="48"/>
  <c r="AE694" i="48"/>
  <c r="AC694" i="48"/>
  <c r="AB694" i="48"/>
  <c r="AA694" i="48"/>
  <c r="AD694" i="48" s="1"/>
  <c r="Z694" i="48"/>
  <c r="I694" i="48"/>
  <c r="H694" i="48"/>
  <c r="G694" i="48"/>
  <c r="F694" i="48"/>
  <c r="AS694" i="48" s="1"/>
  <c r="E694" i="48"/>
  <c r="AU694" i="48" s="1"/>
  <c r="AF693" i="48"/>
  <c r="AE693" i="48"/>
  <c r="AD693" i="48"/>
  <c r="AC693" i="48"/>
  <c r="AB693" i="48"/>
  <c r="AA693" i="48"/>
  <c r="Z693" i="48"/>
  <c r="I693" i="48"/>
  <c r="H693" i="48"/>
  <c r="G693" i="48"/>
  <c r="F693" i="48"/>
  <c r="AS693" i="48" s="1"/>
  <c r="E693" i="48"/>
  <c r="AU693" i="48" s="1"/>
  <c r="AF692" i="48"/>
  <c r="AE692" i="48"/>
  <c r="AC692" i="48"/>
  <c r="Z692" i="48"/>
  <c r="AB692" i="48" s="1"/>
  <c r="I692" i="48"/>
  <c r="H692" i="48"/>
  <c r="G692" i="48"/>
  <c r="F692" i="48"/>
  <c r="AS692" i="48" s="1"/>
  <c r="E692" i="48"/>
  <c r="AU692" i="48" s="1"/>
  <c r="AF691" i="48"/>
  <c r="AE691" i="48"/>
  <c r="AD691" i="48"/>
  <c r="AC691" i="48"/>
  <c r="AB691" i="48"/>
  <c r="AA691" i="48"/>
  <c r="Z691" i="48"/>
  <c r="I691" i="48"/>
  <c r="H691" i="48"/>
  <c r="G691" i="48"/>
  <c r="F691" i="48"/>
  <c r="AS691" i="48" s="1"/>
  <c r="E691" i="48"/>
  <c r="AU691" i="48" s="1"/>
  <c r="AF690" i="48"/>
  <c r="AE690" i="48"/>
  <c r="AC690" i="48"/>
  <c r="AB690" i="48"/>
  <c r="AA690" i="48"/>
  <c r="AD690" i="48" s="1"/>
  <c r="Z690" i="48"/>
  <c r="I690" i="48"/>
  <c r="H690" i="48"/>
  <c r="G690" i="48"/>
  <c r="F690" i="48"/>
  <c r="AS690" i="48" s="1"/>
  <c r="E690" i="48"/>
  <c r="AU690" i="48" s="1"/>
  <c r="AF689" i="48"/>
  <c r="AE689" i="48"/>
  <c r="AC689" i="48"/>
  <c r="Z689" i="48"/>
  <c r="AB689" i="48" s="1"/>
  <c r="I689" i="48"/>
  <c r="H689" i="48"/>
  <c r="G689" i="48"/>
  <c r="F689" i="48"/>
  <c r="AS689" i="48" s="1"/>
  <c r="E689" i="48"/>
  <c r="AU689" i="48" s="1"/>
  <c r="AF688" i="48"/>
  <c r="AE688" i="48"/>
  <c r="AC688" i="48"/>
  <c r="AB688" i="48"/>
  <c r="AA688" i="48"/>
  <c r="AD688" i="48" s="1"/>
  <c r="Z688" i="48"/>
  <c r="I688" i="48"/>
  <c r="H688" i="48"/>
  <c r="G688" i="48"/>
  <c r="F688" i="48"/>
  <c r="AS688" i="48" s="1"/>
  <c r="AT688" i="48" s="1"/>
  <c r="E688" i="48"/>
  <c r="AU688" i="48" s="1"/>
  <c r="AF687" i="48"/>
  <c r="AE687" i="48"/>
  <c r="AC687" i="48"/>
  <c r="AB687" i="48"/>
  <c r="AA687" i="48"/>
  <c r="AD687" i="48" s="1"/>
  <c r="Z687" i="48"/>
  <c r="I687" i="48"/>
  <c r="H687" i="48"/>
  <c r="G687" i="48"/>
  <c r="F687" i="48"/>
  <c r="AS687" i="48" s="1"/>
  <c r="AT687" i="48" s="1"/>
  <c r="E687" i="48"/>
  <c r="AU687" i="48" s="1"/>
  <c r="AF686" i="48"/>
  <c r="AE686" i="48"/>
  <c r="AC686" i="48"/>
  <c r="AB686" i="48"/>
  <c r="AA686" i="48"/>
  <c r="AD686" i="48" s="1"/>
  <c r="Z686" i="48"/>
  <c r="I686" i="48"/>
  <c r="H686" i="48"/>
  <c r="G686" i="48"/>
  <c r="F686" i="48"/>
  <c r="AS686" i="48" s="1"/>
  <c r="E686" i="48"/>
  <c r="AU686" i="48" s="1"/>
  <c r="AF685" i="48"/>
  <c r="AE685" i="48"/>
  <c r="AC685" i="48"/>
  <c r="Z685" i="48"/>
  <c r="AB685" i="48" s="1"/>
  <c r="I685" i="48"/>
  <c r="H685" i="48"/>
  <c r="G685" i="48"/>
  <c r="F685" i="48"/>
  <c r="AS685" i="48" s="1"/>
  <c r="E685" i="48"/>
  <c r="AU685" i="48" s="1"/>
  <c r="AT684" i="48"/>
  <c r="AF684" i="48"/>
  <c r="AE684" i="48"/>
  <c r="AC684" i="48"/>
  <c r="AB684" i="48"/>
  <c r="AA684" i="48"/>
  <c r="AD684" i="48" s="1"/>
  <c r="Z684" i="48"/>
  <c r="I684" i="48"/>
  <c r="H684" i="48"/>
  <c r="G684" i="48"/>
  <c r="F684" i="48"/>
  <c r="AS684" i="48" s="1"/>
  <c r="E684" i="48"/>
  <c r="AU684" i="48" s="1"/>
  <c r="AF683" i="48"/>
  <c r="AE683" i="48"/>
  <c r="AC683" i="48"/>
  <c r="Z683" i="48"/>
  <c r="AB683" i="48" s="1"/>
  <c r="I683" i="48"/>
  <c r="H683" i="48"/>
  <c r="G683" i="48"/>
  <c r="F683" i="48"/>
  <c r="AS683" i="48" s="1"/>
  <c r="E683" i="48"/>
  <c r="AU683" i="48" s="1"/>
  <c r="A683" i="48"/>
  <c r="A684" i="48" s="1"/>
  <c r="A685" i="48" s="1"/>
  <c r="A686" i="48" s="1"/>
  <c r="A687" i="48" s="1"/>
  <c r="A688" i="48" s="1"/>
  <c r="A689" i="48" s="1"/>
  <c r="A690" i="48" s="1"/>
  <c r="A691" i="48" s="1"/>
  <c r="A692" i="48" s="1"/>
  <c r="A693" i="48" s="1"/>
  <c r="A694" i="48" s="1"/>
  <c r="A695" i="48" s="1"/>
  <c r="A696" i="48" s="1"/>
  <c r="A697" i="48" s="1"/>
  <c r="A698" i="48" s="1"/>
  <c r="A699" i="48" s="1"/>
  <c r="A700" i="48" s="1"/>
  <c r="A701" i="48" s="1"/>
  <c r="A702" i="48" s="1"/>
  <c r="A703" i="48" s="1"/>
  <c r="A704" i="48" s="1"/>
  <c r="A705" i="48" s="1"/>
  <c r="A706" i="48" s="1"/>
  <c r="A707" i="48" s="1"/>
  <c r="A708" i="48" s="1"/>
  <c r="A709" i="48" s="1"/>
  <c r="A710" i="48" s="1"/>
  <c r="A711" i="48" s="1"/>
  <c r="A712" i="48" s="1"/>
  <c r="A713" i="48" s="1"/>
  <c r="A714" i="48" s="1"/>
  <c r="A715" i="48" s="1"/>
  <c r="A716" i="48" s="1"/>
  <c r="A717" i="48" s="1"/>
  <c r="A718" i="48" s="1"/>
  <c r="A719" i="48" s="1"/>
  <c r="AF682" i="48"/>
  <c r="AE682" i="48"/>
  <c r="AC682" i="48"/>
  <c r="AB682" i="48"/>
  <c r="AA682" i="48"/>
  <c r="AD682" i="48" s="1"/>
  <c r="Z682" i="48"/>
  <c r="I682" i="48"/>
  <c r="H682" i="48"/>
  <c r="G682" i="48"/>
  <c r="F682" i="48"/>
  <c r="AS682" i="48" s="1"/>
  <c r="E682" i="48"/>
  <c r="AU682" i="48" s="1"/>
  <c r="A682" i="48"/>
  <c r="AF681" i="48"/>
  <c r="AE681" i="48"/>
  <c r="AC681" i="48"/>
  <c r="AB681" i="48"/>
  <c r="AA681" i="48"/>
  <c r="AD681" i="48" s="1"/>
  <c r="Z681" i="48"/>
  <c r="I681" i="48"/>
  <c r="H681" i="48"/>
  <c r="G681" i="48"/>
  <c r="F681" i="48"/>
  <c r="AS681" i="48" s="1"/>
  <c r="E681" i="48"/>
  <c r="AU681" i="48" s="1"/>
  <c r="AF680" i="48"/>
  <c r="AT680" i="48" s="1"/>
  <c r="AE680" i="48"/>
  <c r="AD680" i="48"/>
  <c r="AC680" i="48"/>
  <c r="AB680" i="48"/>
  <c r="AA680" i="48"/>
  <c r="Z680" i="48"/>
  <c r="I680" i="48"/>
  <c r="H680" i="48"/>
  <c r="G680" i="48"/>
  <c r="F680" i="48"/>
  <c r="AS680" i="48" s="1"/>
  <c r="E680" i="48"/>
  <c r="AU680" i="48" s="1"/>
  <c r="AF679" i="48"/>
  <c r="AT679" i="48" s="1"/>
  <c r="AE679" i="48"/>
  <c r="AC679" i="48"/>
  <c r="AB679" i="48"/>
  <c r="AA679" i="48"/>
  <c r="AD679" i="48" s="1"/>
  <c r="Z679" i="48"/>
  <c r="I679" i="48"/>
  <c r="H679" i="48"/>
  <c r="G679" i="48"/>
  <c r="F679" i="48"/>
  <c r="AS679" i="48" s="1"/>
  <c r="E679" i="48"/>
  <c r="AU679" i="48" s="1"/>
  <c r="AF678" i="48"/>
  <c r="AE678" i="48"/>
  <c r="AD678" i="48"/>
  <c r="AC678" i="48"/>
  <c r="AB678" i="48"/>
  <c r="AA678" i="48"/>
  <c r="Z678" i="48"/>
  <c r="I678" i="48"/>
  <c r="H678" i="48"/>
  <c r="G678" i="48"/>
  <c r="F678" i="48"/>
  <c r="AS678" i="48" s="1"/>
  <c r="E678" i="48"/>
  <c r="AU678" i="48" s="1"/>
  <c r="AF677" i="48"/>
  <c r="AT677" i="48" s="1"/>
  <c r="AE677" i="48"/>
  <c r="AC677" i="48"/>
  <c r="AB677" i="48"/>
  <c r="AA677" i="48"/>
  <c r="AD677" i="48" s="1"/>
  <c r="Z677" i="48"/>
  <c r="I677" i="48"/>
  <c r="H677" i="48"/>
  <c r="G677" i="48"/>
  <c r="F677" i="48"/>
  <c r="AS677" i="48" s="1"/>
  <c r="E677" i="48"/>
  <c r="AU677" i="48" s="1"/>
  <c r="AF676" i="48"/>
  <c r="AE676" i="48"/>
  <c r="AD676" i="48"/>
  <c r="AC676" i="48"/>
  <c r="AB676" i="48"/>
  <c r="AA676" i="48"/>
  <c r="Z676" i="48"/>
  <c r="I676" i="48"/>
  <c r="H676" i="48"/>
  <c r="G676" i="48"/>
  <c r="F676" i="48"/>
  <c r="AS676" i="48" s="1"/>
  <c r="E676" i="48"/>
  <c r="AU676" i="48" s="1"/>
  <c r="AT675" i="48"/>
  <c r="AF675" i="48"/>
  <c r="AE675" i="48"/>
  <c r="AC675" i="48"/>
  <c r="AB675" i="48"/>
  <c r="AA675" i="48"/>
  <c r="AD675" i="48" s="1"/>
  <c r="Z675" i="48"/>
  <c r="I675" i="48"/>
  <c r="H675" i="48"/>
  <c r="G675" i="48"/>
  <c r="F675" i="48"/>
  <c r="AS675" i="48" s="1"/>
  <c r="E675" i="48"/>
  <c r="AU675" i="48" s="1"/>
  <c r="AF674" i="48"/>
  <c r="AT674" i="48" s="1"/>
  <c r="AE674" i="48"/>
  <c r="AD674" i="48"/>
  <c r="AC674" i="48"/>
  <c r="AB674" i="48"/>
  <c r="AA674" i="48"/>
  <c r="Z674" i="48"/>
  <c r="I674" i="48"/>
  <c r="H674" i="48"/>
  <c r="G674" i="48"/>
  <c r="F674" i="48"/>
  <c r="AS674" i="48" s="1"/>
  <c r="E674" i="48"/>
  <c r="AU674" i="48" s="1"/>
  <c r="AF673" i="48"/>
  <c r="AT673" i="48" s="1"/>
  <c r="AE673" i="48"/>
  <c r="AC673" i="48"/>
  <c r="AB673" i="48"/>
  <c r="AA673" i="48"/>
  <c r="AD673" i="48" s="1"/>
  <c r="Z673" i="48"/>
  <c r="I673" i="48"/>
  <c r="H673" i="48"/>
  <c r="G673" i="48"/>
  <c r="F673" i="48"/>
  <c r="AS673" i="48" s="1"/>
  <c r="E673" i="48"/>
  <c r="AU673" i="48" s="1"/>
  <c r="AF672" i="48"/>
  <c r="AT672" i="48" s="1"/>
  <c r="AE672" i="48"/>
  <c r="AC672" i="48"/>
  <c r="AB672" i="48"/>
  <c r="AA672" i="48"/>
  <c r="AD672" i="48" s="1"/>
  <c r="Z672" i="48"/>
  <c r="I672" i="48"/>
  <c r="H672" i="48"/>
  <c r="G672" i="48"/>
  <c r="F672" i="48"/>
  <c r="AS672" i="48" s="1"/>
  <c r="E672" i="48"/>
  <c r="AU672" i="48" s="1"/>
  <c r="AF671" i="48"/>
  <c r="AE671" i="48"/>
  <c r="AC671" i="48"/>
  <c r="Z671" i="48"/>
  <c r="AB671" i="48" s="1"/>
  <c r="I671" i="48"/>
  <c r="H671" i="48"/>
  <c r="G671" i="48"/>
  <c r="F671" i="48"/>
  <c r="AS671" i="48" s="1"/>
  <c r="E671" i="48"/>
  <c r="AU671" i="48" s="1"/>
  <c r="AF670" i="48"/>
  <c r="AT670" i="48" s="1"/>
  <c r="AE670" i="48"/>
  <c r="AC670" i="48"/>
  <c r="Z670" i="48"/>
  <c r="AB670" i="48" s="1"/>
  <c r="I670" i="48"/>
  <c r="H670" i="48"/>
  <c r="G670" i="48"/>
  <c r="F670" i="48"/>
  <c r="AS670" i="48" s="1"/>
  <c r="E670" i="48"/>
  <c r="AU670" i="48" s="1"/>
  <c r="AF669" i="48"/>
  <c r="AT669" i="48" s="1"/>
  <c r="AE669" i="48"/>
  <c r="AC669" i="48"/>
  <c r="Z669" i="48"/>
  <c r="AB669" i="48" s="1"/>
  <c r="I669" i="48"/>
  <c r="H669" i="48"/>
  <c r="G669" i="48"/>
  <c r="F669" i="48"/>
  <c r="AS669" i="48" s="1"/>
  <c r="AA669" i="48" s="1"/>
  <c r="AD669" i="48" s="1"/>
  <c r="E669" i="48"/>
  <c r="AU669" i="48" s="1"/>
  <c r="AF668" i="48"/>
  <c r="AT668" i="48" s="1"/>
  <c r="AE668" i="48"/>
  <c r="AC668" i="48"/>
  <c r="Z668" i="48"/>
  <c r="AB668" i="48" s="1"/>
  <c r="I668" i="48"/>
  <c r="H668" i="48"/>
  <c r="G668" i="48"/>
  <c r="F668" i="48"/>
  <c r="AS668" i="48" s="1"/>
  <c r="E668" i="48"/>
  <c r="AU668" i="48" s="1"/>
  <c r="AT667" i="48"/>
  <c r="AF667" i="48"/>
  <c r="AE667" i="48"/>
  <c r="AD667" i="48"/>
  <c r="AC667" i="48"/>
  <c r="AB667" i="48"/>
  <c r="AA667" i="48"/>
  <c r="Z667" i="48"/>
  <c r="I667" i="48"/>
  <c r="H667" i="48"/>
  <c r="G667" i="48"/>
  <c r="F667" i="48"/>
  <c r="AS667" i="48" s="1"/>
  <c r="E667" i="48"/>
  <c r="AU667" i="48" s="1"/>
  <c r="AF666" i="48"/>
  <c r="AT666" i="48" s="1"/>
  <c r="AE666" i="48"/>
  <c r="AC666" i="48"/>
  <c r="Z666" i="48"/>
  <c r="AB666" i="48" s="1"/>
  <c r="I666" i="48"/>
  <c r="H666" i="48"/>
  <c r="G666" i="48"/>
  <c r="F666" i="48"/>
  <c r="AS666" i="48" s="1"/>
  <c r="E666" i="48"/>
  <c r="AU666" i="48" s="1"/>
  <c r="AF665" i="48"/>
  <c r="AT665" i="48" s="1"/>
  <c r="AE665" i="48"/>
  <c r="AC665" i="48"/>
  <c r="Z665" i="48"/>
  <c r="AB665" i="48" s="1"/>
  <c r="I665" i="48"/>
  <c r="H665" i="48"/>
  <c r="G665" i="48"/>
  <c r="F665" i="48"/>
  <c r="AS665" i="48" s="1"/>
  <c r="AA665" i="48" s="1"/>
  <c r="AD665" i="48" s="1"/>
  <c r="E665" i="48"/>
  <c r="AU665" i="48" s="1"/>
  <c r="AT664" i="48"/>
  <c r="AF664" i="48"/>
  <c r="AE664" i="48"/>
  <c r="AC664" i="48"/>
  <c r="Z664" i="48"/>
  <c r="AB664" i="48" s="1"/>
  <c r="I664" i="48"/>
  <c r="H664" i="48"/>
  <c r="G664" i="48"/>
  <c r="F664" i="48"/>
  <c r="AS664" i="48" s="1"/>
  <c r="E664" i="48"/>
  <c r="AU664" i="48" s="1"/>
  <c r="AF663" i="48"/>
  <c r="AT663" i="48" s="1"/>
  <c r="AE663" i="48"/>
  <c r="AC663" i="48"/>
  <c r="Z663" i="48"/>
  <c r="AB663" i="48" s="1"/>
  <c r="I663" i="48"/>
  <c r="H663" i="48"/>
  <c r="G663" i="48"/>
  <c r="F663" i="48"/>
  <c r="AS663" i="48" s="1"/>
  <c r="AA663" i="48" s="1"/>
  <c r="AD663" i="48" s="1"/>
  <c r="E663" i="48"/>
  <c r="AU663" i="48" s="1"/>
  <c r="AF662" i="48"/>
  <c r="AT662" i="48" s="1"/>
  <c r="AE662" i="48"/>
  <c r="AC662" i="48"/>
  <c r="AB662" i="48"/>
  <c r="AA662" i="48"/>
  <c r="AD662" i="48" s="1"/>
  <c r="Z662" i="48"/>
  <c r="I662" i="48"/>
  <c r="H662" i="48"/>
  <c r="G662" i="48"/>
  <c r="F662" i="48"/>
  <c r="AS662" i="48" s="1"/>
  <c r="E662" i="48"/>
  <c r="AU662" i="48" s="1"/>
  <c r="AF661" i="48"/>
  <c r="AT661" i="48" s="1"/>
  <c r="AE661" i="48"/>
  <c r="AC661" i="48"/>
  <c r="Z661" i="48"/>
  <c r="AB661" i="48" s="1"/>
  <c r="I661" i="48"/>
  <c r="H661" i="48"/>
  <c r="G661" i="48"/>
  <c r="F661" i="48"/>
  <c r="AS661" i="48" s="1"/>
  <c r="AA661" i="48" s="1"/>
  <c r="AD661" i="48" s="1"/>
  <c r="E661" i="48"/>
  <c r="AU661" i="48" s="1"/>
  <c r="AF660" i="48"/>
  <c r="AE660" i="48"/>
  <c r="AC660" i="48"/>
  <c r="AB660" i="48"/>
  <c r="AA660" i="48"/>
  <c r="AD660" i="48" s="1"/>
  <c r="Z660" i="48"/>
  <c r="I660" i="48"/>
  <c r="H660" i="48"/>
  <c r="G660" i="48"/>
  <c r="F660" i="48"/>
  <c r="AS660" i="48" s="1"/>
  <c r="E660" i="48"/>
  <c r="AU660" i="48" s="1"/>
  <c r="AF659" i="48"/>
  <c r="AE659" i="48"/>
  <c r="AC659" i="48"/>
  <c r="AB659" i="48"/>
  <c r="AA659" i="48"/>
  <c r="AD659" i="48" s="1"/>
  <c r="Z659" i="48"/>
  <c r="I659" i="48"/>
  <c r="H659" i="48"/>
  <c r="G659" i="48"/>
  <c r="F659" i="48"/>
  <c r="AS659" i="48" s="1"/>
  <c r="AT659" i="48" s="1"/>
  <c r="E659" i="48"/>
  <c r="AU659" i="48" s="1"/>
  <c r="AF658" i="48"/>
  <c r="AE658" i="48"/>
  <c r="AC658" i="48"/>
  <c r="AB658" i="48"/>
  <c r="AA658" i="48"/>
  <c r="AD658" i="48" s="1"/>
  <c r="Z658" i="48"/>
  <c r="I658" i="48"/>
  <c r="H658" i="48"/>
  <c r="G658" i="48"/>
  <c r="F658" i="48"/>
  <c r="AS658" i="48" s="1"/>
  <c r="E658" i="48"/>
  <c r="AU658" i="48" s="1"/>
  <c r="AF657" i="48"/>
  <c r="AE657" i="48"/>
  <c r="AD657" i="48"/>
  <c r="AC657" i="48"/>
  <c r="AB657" i="48"/>
  <c r="AA657" i="48"/>
  <c r="Z657" i="48"/>
  <c r="I657" i="48"/>
  <c r="H657" i="48"/>
  <c r="G657" i="48"/>
  <c r="F657" i="48"/>
  <c r="AS657" i="48" s="1"/>
  <c r="E657" i="48"/>
  <c r="AU657" i="48" s="1"/>
  <c r="AF656" i="48"/>
  <c r="AE656" i="48"/>
  <c r="AC656" i="48"/>
  <c r="AB656" i="48"/>
  <c r="AA656" i="48"/>
  <c r="AD656" i="48" s="1"/>
  <c r="Z656" i="48"/>
  <c r="I656" i="48"/>
  <c r="H656" i="48"/>
  <c r="G656" i="48"/>
  <c r="F656" i="48"/>
  <c r="AS656" i="48" s="1"/>
  <c r="E656" i="48"/>
  <c r="AU656" i="48" s="1"/>
  <c r="AF655" i="48"/>
  <c r="AE655" i="48"/>
  <c r="AC655" i="48"/>
  <c r="AB655" i="48"/>
  <c r="AA655" i="48"/>
  <c r="AD655" i="48" s="1"/>
  <c r="Z655" i="48"/>
  <c r="I655" i="48"/>
  <c r="H655" i="48"/>
  <c r="G655" i="48"/>
  <c r="F655" i="48"/>
  <c r="AS655" i="48" s="1"/>
  <c r="E655" i="48"/>
  <c r="AU655" i="48" s="1"/>
  <c r="AF654" i="48"/>
  <c r="AE654" i="48"/>
  <c r="AC654" i="48"/>
  <c r="AB654" i="48"/>
  <c r="AA654" i="48"/>
  <c r="AD654" i="48" s="1"/>
  <c r="Z654" i="48"/>
  <c r="I654" i="48"/>
  <c r="H654" i="48"/>
  <c r="G654" i="48"/>
  <c r="F654" i="48"/>
  <c r="AS654" i="48" s="1"/>
  <c r="AT654" i="48" s="1"/>
  <c r="E654" i="48"/>
  <c r="AU654" i="48" s="1"/>
  <c r="AF653" i="48"/>
  <c r="AE653" i="48"/>
  <c r="AC653" i="48"/>
  <c r="Z653" i="48"/>
  <c r="AB653" i="48" s="1"/>
  <c r="I653" i="48"/>
  <c r="H653" i="48"/>
  <c r="G653" i="48"/>
  <c r="F653" i="48"/>
  <c r="AS653" i="48" s="1"/>
  <c r="E653" i="48"/>
  <c r="AU653" i="48" s="1"/>
  <c r="AF652" i="48"/>
  <c r="AE652" i="48"/>
  <c r="AC652" i="48"/>
  <c r="AB652" i="48"/>
  <c r="AA652" i="48"/>
  <c r="AD652" i="48" s="1"/>
  <c r="Z652" i="48"/>
  <c r="I652" i="48"/>
  <c r="H652" i="48"/>
  <c r="G652" i="48"/>
  <c r="F652" i="48"/>
  <c r="AS652" i="48" s="1"/>
  <c r="E652" i="48"/>
  <c r="AU652" i="48" s="1"/>
  <c r="AF651" i="48"/>
  <c r="AE651" i="48"/>
  <c r="AC651" i="48"/>
  <c r="AB651" i="48"/>
  <c r="AA651" i="48"/>
  <c r="AD651" i="48" s="1"/>
  <c r="Z651" i="48"/>
  <c r="I651" i="48"/>
  <c r="H651" i="48"/>
  <c r="G651" i="48"/>
  <c r="F651" i="48"/>
  <c r="AS651" i="48" s="1"/>
  <c r="E651" i="48"/>
  <c r="AU651" i="48" s="1"/>
  <c r="AF650" i="48"/>
  <c r="AE650" i="48"/>
  <c r="AC650" i="48"/>
  <c r="Z650" i="48"/>
  <c r="AB650" i="48" s="1"/>
  <c r="I650" i="48"/>
  <c r="H650" i="48"/>
  <c r="G650" i="48"/>
  <c r="F650" i="48"/>
  <c r="AS650" i="48" s="1"/>
  <c r="AT650" i="48" s="1"/>
  <c r="E650" i="48"/>
  <c r="AU650" i="48" s="1"/>
  <c r="AF649" i="48"/>
  <c r="AE649" i="48"/>
  <c r="AD649" i="48"/>
  <c r="AC649" i="48"/>
  <c r="AB649" i="48"/>
  <c r="AA649" i="48"/>
  <c r="Z649" i="48"/>
  <c r="I649" i="48"/>
  <c r="H649" i="48"/>
  <c r="G649" i="48"/>
  <c r="F649" i="48"/>
  <c r="AS649" i="48" s="1"/>
  <c r="E649" i="48"/>
  <c r="AU649" i="48" s="1"/>
  <c r="AF648" i="48"/>
  <c r="AE648" i="48"/>
  <c r="AC648" i="48"/>
  <c r="Z648" i="48"/>
  <c r="AB648" i="48" s="1"/>
  <c r="I648" i="48"/>
  <c r="H648" i="48"/>
  <c r="G648" i="48"/>
  <c r="F648" i="48"/>
  <c r="AS648" i="48" s="1"/>
  <c r="AA648" i="48" s="1"/>
  <c r="AD648" i="48" s="1"/>
  <c r="E648" i="48"/>
  <c r="AU648" i="48" s="1"/>
  <c r="AF647" i="48"/>
  <c r="AE647" i="48"/>
  <c r="AD647" i="48"/>
  <c r="AC647" i="48"/>
  <c r="AB647" i="48"/>
  <c r="AA647" i="48"/>
  <c r="Z647" i="48"/>
  <c r="I647" i="48"/>
  <c r="H647" i="48"/>
  <c r="G647" i="48"/>
  <c r="F647" i="48"/>
  <c r="AS647" i="48" s="1"/>
  <c r="E647" i="48"/>
  <c r="AU647" i="48" s="1"/>
  <c r="AF646" i="48"/>
  <c r="AE646" i="48"/>
  <c r="AC646" i="48"/>
  <c r="Z646" i="48"/>
  <c r="AB646" i="48" s="1"/>
  <c r="I646" i="48"/>
  <c r="H646" i="48"/>
  <c r="G646" i="48"/>
  <c r="F646" i="48"/>
  <c r="AS646" i="48" s="1"/>
  <c r="AT646" i="48" s="1"/>
  <c r="E646" i="48"/>
  <c r="AU646" i="48" s="1"/>
  <c r="AU645" i="48"/>
  <c r="AF645" i="48"/>
  <c r="AE645" i="48"/>
  <c r="AC645" i="48"/>
  <c r="Z645" i="48"/>
  <c r="AB645" i="48" s="1"/>
  <c r="I645" i="48"/>
  <c r="H645" i="48"/>
  <c r="G645" i="48"/>
  <c r="F645" i="48"/>
  <c r="AS645" i="48" s="1"/>
  <c r="E645" i="48"/>
  <c r="AF644" i="48"/>
  <c r="AE644" i="48"/>
  <c r="AC644" i="48"/>
  <c r="Z644" i="48"/>
  <c r="AB644" i="48" s="1"/>
  <c r="I644" i="48"/>
  <c r="H644" i="48"/>
  <c r="G644" i="48"/>
  <c r="F644" i="48"/>
  <c r="AS644" i="48" s="1"/>
  <c r="AA644" i="48" s="1"/>
  <c r="AD644" i="48" s="1"/>
  <c r="E644" i="48"/>
  <c r="AU644" i="48" s="1"/>
  <c r="AF643" i="48"/>
  <c r="AE643" i="48"/>
  <c r="AC643" i="48"/>
  <c r="AA643" i="48"/>
  <c r="AD643" i="48" s="1"/>
  <c r="Z643" i="48"/>
  <c r="AB643" i="48" s="1"/>
  <c r="I643" i="48"/>
  <c r="H643" i="48"/>
  <c r="G643" i="48"/>
  <c r="F643" i="48"/>
  <c r="AS643" i="48" s="1"/>
  <c r="AT643" i="48" s="1"/>
  <c r="E643" i="48"/>
  <c r="AU643" i="48" s="1"/>
  <c r="A643" i="48"/>
  <c r="A644" i="48" s="1"/>
  <c r="A645" i="48" s="1"/>
  <c r="A646" i="48" s="1"/>
  <c r="A647" i="48" s="1"/>
  <c r="A648" i="48" s="1"/>
  <c r="A649" i="48" s="1"/>
  <c r="A650" i="48" s="1"/>
  <c r="A651" i="48" s="1"/>
  <c r="A652" i="48" s="1"/>
  <c r="A653" i="48" s="1"/>
  <c r="A654" i="48" s="1"/>
  <c r="A655" i="48" s="1"/>
  <c r="A656" i="48" s="1"/>
  <c r="A657" i="48" s="1"/>
  <c r="A658" i="48" s="1"/>
  <c r="A659" i="48" s="1"/>
  <c r="A660" i="48" s="1"/>
  <c r="A661" i="48" s="1"/>
  <c r="A662" i="48" s="1"/>
  <c r="A663" i="48" s="1"/>
  <c r="A664" i="48" s="1"/>
  <c r="A665" i="48" s="1"/>
  <c r="A666" i="48" s="1"/>
  <c r="A667" i="48" s="1"/>
  <c r="A668" i="48" s="1"/>
  <c r="A669" i="48" s="1"/>
  <c r="A670" i="48" s="1"/>
  <c r="A671" i="48" s="1"/>
  <c r="A672" i="48" s="1"/>
  <c r="A673" i="48" s="1"/>
  <c r="A674" i="48" s="1"/>
  <c r="A675" i="48" s="1"/>
  <c r="A676" i="48" s="1"/>
  <c r="A677" i="48" s="1"/>
  <c r="A678" i="48" s="1"/>
  <c r="A679" i="48" s="1"/>
  <c r="A680" i="48" s="1"/>
  <c r="AS642" i="48"/>
  <c r="AF642" i="48"/>
  <c r="AE642" i="48"/>
  <c r="AC642" i="48"/>
  <c r="AB642" i="48"/>
  <c r="AA642" i="48"/>
  <c r="AD642" i="48" s="1"/>
  <c r="Z642" i="48"/>
  <c r="I642" i="48"/>
  <c r="H642" i="48"/>
  <c r="G642" i="48"/>
  <c r="F642" i="48"/>
  <c r="E642" i="48"/>
  <c r="AU642" i="48" s="1"/>
  <c r="AT641" i="48"/>
  <c r="AF641" i="48"/>
  <c r="AE641" i="48"/>
  <c r="AC641" i="48"/>
  <c r="AB641" i="48"/>
  <c r="AA641" i="48"/>
  <c r="AD641" i="48" s="1"/>
  <c r="Z641" i="48"/>
  <c r="I641" i="48"/>
  <c r="H641" i="48"/>
  <c r="G641" i="48"/>
  <c r="F641" i="48"/>
  <c r="AS641" i="48" s="1"/>
  <c r="E641" i="48"/>
  <c r="AU641" i="48" s="1"/>
  <c r="AF640" i="48"/>
  <c r="AE640" i="48"/>
  <c r="AC640" i="48"/>
  <c r="AB640" i="48"/>
  <c r="AA640" i="48"/>
  <c r="AD640" i="48" s="1"/>
  <c r="Z640" i="48"/>
  <c r="I640" i="48"/>
  <c r="H640" i="48"/>
  <c r="G640" i="48"/>
  <c r="F640" i="48"/>
  <c r="AS640" i="48" s="1"/>
  <c r="E640" i="48"/>
  <c r="AU640" i="48" s="1"/>
  <c r="AF639" i="48"/>
  <c r="AE639" i="48"/>
  <c r="AC639" i="48"/>
  <c r="AB639" i="48"/>
  <c r="AA639" i="48"/>
  <c r="AD639" i="48" s="1"/>
  <c r="Z639" i="48"/>
  <c r="I639" i="48"/>
  <c r="H639" i="48"/>
  <c r="G639" i="48"/>
  <c r="F639" i="48"/>
  <c r="AS639" i="48" s="1"/>
  <c r="E639" i="48"/>
  <c r="AU639" i="48" s="1"/>
  <c r="AF638" i="48"/>
  <c r="AT638" i="48" s="1"/>
  <c r="AE638" i="48"/>
  <c r="AC638" i="48"/>
  <c r="AB638" i="48"/>
  <c r="AA638" i="48"/>
  <c r="AD638" i="48" s="1"/>
  <c r="Z638" i="48"/>
  <c r="I638" i="48"/>
  <c r="H638" i="48"/>
  <c r="G638" i="48"/>
  <c r="F638" i="48"/>
  <c r="AS638" i="48" s="1"/>
  <c r="E638" i="48"/>
  <c r="AU638" i="48" s="1"/>
  <c r="AT637" i="48"/>
  <c r="AF637" i="48"/>
  <c r="AE637" i="48"/>
  <c r="AC637" i="48"/>
  <c r="AB637" i="48"/>
  <c r="AA637" i="48"/>
  <c r="AD637" i="48" s="1"/>
  <c r="Z637" i="48"/>
  <c r="I637" i="48"/>
  <c r="H637" i="48"/>
  <c r="G637" i="48"/>
  <c r="F637" i="48"/>
  <c r="AS637" i="48" s="1"/>
  <c r="E637" i="48"/>
  <c r="AU637" i="48" s="1"/>
  <c r="AF636" i="48"/>
  <c r="AE636" i="48"/>
  <c r="AD636" i="48"/>
  <c r="AC636" i="48"/>
  <c r="AB636" i="48"/>
  <c r="AA636" i="48"/>
  <c r="Z636" i="48"/>
  <c r="I636" i="48"/>
  <c r="H636" i="48"/>
  <c r="G636" i="48"/>
  <c r="F636" i="48"/>
  <c r="AS636" i="48" s="1"/>
  <c r="E636" i="48"/>
  <c r="AU636" i="48" s="1"/>
  <c r="AF635" i="48"/>
  <c r="AE635" i="48"/>
  <c r="AC635" i="48"/>
  <c r="AB635" i="48"/>
  <c r="AA635" i="48"/>
  <c r="AD635" i="48" s="1"/>
  <c r="Z635" i="48"/>
  <c r="I635" i="48"/>
  <c r="H635" i="48"/>
  <c r="G635" i="48"/>
  <c r="F635" i="48"/>
  <c r="AS635" i="48" s="1"/>
  <c r="E635" i="48"/>
  <c r="AU635" i="48" s="1"/>
  <c r="AF634" i="48"/>
  <c r="AT634" i="48" s="1"/>
  <c r="AE634" i="48"/>
  <c r="AC634" i="48"/>
  <c r="AB634" i="48"/>
  <c r="AA634" i="48"/>
  <c r="AD634" i="48" s="1"/>
  <c r="Z634" i="48"/>
  <c r="I634" i="48"/>
  <c r="H634" i="48"/>
  <c r="G634" i="48"/>
  <c r="F634" i="48"/>
  <c r="AS634" i="48" s="1"/>
  <c r="E634" i="48"/>
  <c r="AU634" i="48" s="1"/>
  <c r="AT633" i="48"/>
  <c r="AF633" i="48"/>
  <c r="AE633" i="48"/>
  <c r="AC633" i="48"/>
  <c r="AB633" i="48"/>
  <c r="AA633" i="48"/>
  <c r="AD633" i="48" s="1"/>
  <c r="Z633" i="48"/>
  <c r="I633" i="48"/>
  <c r="H633" i="48"/>
  <c r="G633" i="48"/>
  <c r="F633" i="48"/>
  <c r="AS633" i="48" s="1"/>
  <c r="E633" i="48"/>
  <c r="AU633" i="48" s="1"/>
  <c r="AF632" i="48"/>
  <c r="AE632" i="48"/>
  <c r="AC632" i="48"/>
  <c r="Z632" i="48"/>
  <c r="AB632" i="48" s="1"/>
  <c r="I632" i="48"/>
  <c r="H632" i="48"/>
  <c r="G632" i="48"/>
  <c r="F632" i="48"/>
  <c r="AS632" i="48" s="1"/>
  <c r="E632" i="48"/>
  <c r="AU632" i="48" s="1"/>
  <c r="AS631" i="48"/>
  <c r="AA631" i="48" s="1"/>
  <c r="AD631" i="48" s="1"/>
  <c r="AF631" i="48"/>
  <c r="AE631" i="48"/>
  <c r="AC631" i="48"/>
  <c r="AB631" i="48"/>
  <c r="Z631" i="48"/>
  <c r="I631" i="48"/>
  <c r="H631" i="48"/>
  <c r="G631" i="48"/>
  <c r="F631" i="48"/>
  <c r="E631" i="48"/>
  <c r="AU631" i="48" s="1"/>
  <c r="AF630" i="48"/>
  <c r="AT630" i="48" s="1"/>
  <c r="AE630" i="48"/>
  <c r="AC630" i="48"/>
  <c r="Z630" i="48"/>
  <c r="AB630" i="48" s="1"/>
  <c r="I630" i="48"/>
  <c r="H630" i="48"/>
  <c r="G630" i="48"/>
  <c r="F630" i="48"/>
  <c r="AS630" i="48" s="1"/>
  <c r="E630" i="48"/>
  <c r="AU630" i="48" s="1"/>
  <c r="AF629" i="48"/>
  <c r="AT629" i="48" s="1"/>
  <c r="AE629" i="48"/>
  <c r="AC629" i="48"/>
  <c r="Z629" i="48"/>
  <c r="AB629" i="48" s="1"/>
  <c r="I629" i="48"/>
  <c r="H629" i="48"/>
  <c r="G629" i="48"/>
  <c r="F629" i="48"/>
  <c r="AS629" i="48" s="1"/>
  <c r="E629" i="48"/>
  <c r="AU629" i="48" s="1"/>
  <c r="AF628" i="48"/>
  <c r="AE628" i="48"/>
  <c r="AC628" i="48"/>
  <c r="AB628" i="48"/>
  <c r="AA628" i="48"/>
  <c r="AD628" i="48" s="1"/>
  <c r="Z628" i="48"/>
  <c r="I628" i="48"/>
  <c r="H628" i="48"/>
  <c r="G628" i="48"/>
  <c r="F628" i="48"/>
  <c r="AS628" i="48" s="1"/>
  <c r="E628" i="48"/>
  <c r="AU628" i="48" s="1"/>
  <c r="AF627" i="48"/>
  <c r="AE627" i="48"/>
  <c r="AC627" i="48"/>
  <c r="Z627" i="48"/>
  <c r="AB627" i="48" s="1"/>
  <c r="I627" i="48"/>
  <c r="H627" i="48"/>
  <c r="G627" i="48"/>
  <c r="F627" i="48"/>
  <c r="AS627" i="48" s="1"/>
  <c r="AA627" i="48" s="1"/>
  <c r="AD627" i="48" s="1"/>
  <c r="E627" i="48"/>
  <c r="AU627" i="48" s="1"/>
  <c r="AF626" i="48"/>
  <c r="AT626" i="48" s="1"/>
  <c r="AE626" i="48"/>
  <c r="AC626" i="48"/>
  <c r="Z626" i="48"/>
  <c r="AB626" i="48" s="1"/>
  <c r="I626" i="48"/>
  <c r="H626" i="48"/>
  <c r="G626" i="48"/>
  <c r="F626" i="48"/>
  <c r="AS626" i="48" s="1"/>
  <c r="E626" i="48"/>
  <c r="AU626" i="48" s="1"/>
  <c r="AF625" i="48"/>
  <c r="AT625" i="48" s="1"/>
  <c r="AE625" i="48"/>
  <c r="AC625" i="48"/>
  <c r="Z625" i="48"/>
  <c r="AB625" i="48" s="1"/>
  <c r="I625" i="48"/>
  <c r="H625" i="48"/>
  <c r="G625" i="48"/>
  <c r="F625" i="48"/>
  <c r="AS625" i="48" s="1"/>
  <c r="E625" i="48"/>
  <c r="AU625" i="48" s="1"/>
  <c r="AF624" i="48"/>
  <c r="AE624" i="48"/>
  <c r="AC624" i="48"/>
  <c r="Z624" i="48"/>
  <c r="AB624" i="48" s="1"/>
  <c r="I624" i="48"/>
  <c r="H624" i="48"/>
  <c r="G624" i="48"/>
  <c r="F624" i="48"/>
  <c r="AS624" i="48" s="1"/>
  <c r="E624" i="48"/>
  <c r="AU624" i="48" s="1"/>
  <c r="AS623" i="48"/>
  <c r="AF623" i="48"/>
  <c r="AE623" i="48"/>
  <c r="AC623" i="48"/>
  <c r="AB623" i="48"/>
  <c r="AA623" i="48"/>
  <c r="AD623" i="48" s="1"/>
  <c r="Z623" i="48"/>
  <c r="I623" i="48"/>
  <c r="H623" i="48"/>
  <c r="G623" i="48"/>
  <c r="F623" i="48"/>
  <c r="E623" i="48"/>
  <c r="AU623" i="48" s="1"/>
  <c r="AT622" i="48"/>
  <c r="AF622" i="48"/>
  <c r="AE622" i="48"/>
  <c r="AC622" i="48"/>
  <c r="Z622" i="48"/>
  <c r="AB622" i="48" s="1"/>
  <c r="I622" i="48"/>
  <c r="H622" i="48"/>
  <c r="G622" i="48"/>
  <c r="F622" i="48"/>
  <c r="AS622" i="48" s="1"/>
  <c r="E622" i="48"/>
  <c r="AU622" i="48" s="1"/>
  <c r="AT621" i="48"/>
  <c r="AS621" i="48"/>
  <c r="AF621" i="48"/>
  <c r="AE621" i="48"/>
  <c r="AC621" i="48"/>
  <c r="AB621" i="48"/>
  <c r="AA621" i="48"/>
  <c r="AD621" i="48" s="1"/>
  <c r="Z621" i="48"/>
  <c r="I621" i="48"/>
  <c r="H621" i="48"/>
  <c r="G621" i="48"/>
  <c r="F621" i="48"/>
  <c r="E621" i="48"/>
  <c r="AU621" i="48" s="1"/>
  <c r="AF620" i="48"/>
  <c r="AE620" i="48"/>
  <c r="AC620" i="48"/>
  <c r="AB620" i="48"/>
  <c r="AA620" i="48"/>
  <c r="AD620" i="48" s="1"/>
  <c r="Z620" i="48"/>
  <c r="I620" i="48"/>
  <c r="H620" i="48"/>
  <c r="G620" i="48"/>
  <c r="F620" i="48"/>
  <c r="AS620" i="48" s="1"/>
  <c r="E620" i="48"/>
  <c r="AU620" i="48" s="1"/>
  <c r="AF619" i="48"/>
  <c r="AE619" i="48"/>
  <c r="AC619" i="48"/>
  <c r="AB619" i="48"/>
  <c r="AA619" i="48"/>
  <c r="AD619" i="48" s="1"/>
  <c r="Z619" i="48"/>
  <c r="I619" i="48"/>
  <c r="H619" i="48"/>
  <c r="G619" i="48"/>
  <c r="F619" i="48"/>
  <c r="AS619" i="48" s="1"/>
  <c r="E619" i="48"/>
  <c r="AU619" i="48" s="1"/>
  <c r="AF618" i="48"/>
  <c r="AE618" i="48"/>
  <c r="AC618" i="48"/>
  <c r="AB618" i="48"/>
  <c r="AA618" i="48"/>
  <c r="AD618" i="48" s="1"/>
  <c r="Z618" i="48"/>
  <c r="I618" i="48"/>
  <c r="H618" i="48"/>
  <c r="G618" i="48"/>
  <c r="F618" i="48"/>
  <c r="AS618" i="48" s="1"/>
  <c r="AT618" i="48" s="1"/>
  <c r="E618" i="48"/>
  <c r="AU618" i="48" s="1"/>
  <c r="AF617" i="48"/>
  <c r="AE617" i="48"/>
  <c r="AC617" i="48"/>
  <c r="AB617" i="48"/>
  <c r="AA617" i="48"/>
  <c r="AD617" i="48" s="1"/>
  <c r="Z617" i="48"/>
  <c r="I617" i="48"/>
  <c r="H617" i="48"/>
  <c r="G617" i="48"/>
  <c r="F617" i="48"/>
  <c r="AS617" i="48" s="1"/>
  <c r="AT617" i="48" s="1"/>
  <c r="E617" i="48"/>
  <c r="AU617" i="48" s="1"/>
  <c r="AF616" i="48"/>
  <c r="AE616" i="48"/>
  <c r="AC616" i="48"/>
  <c r="AB616" i="48"/>
  <c r="AA616" i="48"/>
  <c r="AD616" i="48" s="1"/>
  <c r="Z616" i="48"/>
  <c r="I616" i="48"/>
  <c r="H616" i="48"/>
  <c r="G616" i="48"/>
  <c r="F616" i="48"/>
  <c r="AS616" i="48" s="1"/>
  <c r="E616" i="48"/>
  <c r="AU616" i="48" s="1"/>
  <c r="AS615" i="48"/>
  <c r="AF615" i="48"/>
  <c r="AE615" i="48"/>
  <c r="AC615" i="48"/>
  <c r="AB615" i="48"/>
  <c r="AA615" i="48"/>
  <c r="AD615" i="48" s="1"/>
  <c r="Z615" i="48"/>
  <c r="I615" i="48"/>
  <c r="H615" i="48"/>
  <c r="G615" i="48"/>
  <c r="F615" i="48"/>
  <c r="E615" i="48"/>
  <c r="AU615" i="48" s="1"/>
  <c r="AF614" i="48"/>
  <c r="AE614" i="48"/>
  <c r="AC614" i="48"/>
  <c r="Z614" i="48"/>
  <c r="AB614" i="48" s="1"/>
  <c r="I614" i="48"/>
  <c r="H614" i="48"/>
  <c r="G614" i="48"/>
  <c r="F614" i="48"/>
  <c r="AS614" i="48" s="1"/>
  <c r="E614" i="48"/>
  <c r="AU614" i="48" s="1"/>
  <c r="AF613" i="48"/>
  <c r="AE613" i="48"/>
  <c r="AC613" i="48"/>
  <c r="AB613" i="48"/>
  <c r="AA613" i="48"/>
  <c r="AD613" i="48" s="1"/>
  <c r="Z613" i="48"/>
  <c r="I613" i="48"/>
  <c r="H613" i="48"/>
  <c r="G613" i="48"/>
  <c r="F613" i="48"/>
  <c r="AS613" i="48" s="1"/>
  <c r="AT613" i="48" s="1"/>
  <c r="E613" i="48"/>
  <c r="AU613" i="48" s="1"/>
  <c r="AF612" i="48"/>
  <c r="AE612" i="48"/>
  <c r="AD612" i="48"/>
  <c r="AC612" i="48"/>
  <c r="AB612" i="48"/>
  <c r="AA612" i="48"/>
  <c r="Z612" i="48"/>
  <c r="I612" i="48"/>
  <c r="H612" i="48"/>
  <c r="G612" i="48"/>
  <c r="F612" i="48"/>
  <c r="AS612" i="48" s="1"/>
  <c r="E612" i="48"/>
  <c r="AU612" i="48" s="1"/>
  <c r="AF611" i="48"/>
  <c r="AE611" i="48"/>
  <c r="AC611" i="48"/>
  <c r="Z611" i="48"/>
  <c r="AB611" i="48" s="1"/>
  <c r="I611" i="48"/>
  <c r="H611" i="48"/>
  <c r="G611" i="48"/>
  <c r="F611" i="48"/>
  <c r="AS611" i="48" s="1"/>
  <c r="AA611" i="48" s="1"/>
  <c r="AD611" i="48" s="1"/>
  <c r="E611" i="48"/>
  <c r="AU611" i="48" s="1"/>
  <c r="AF610" i="48"/>
  <c r="AE610" i="48"/>
  <c r="AD610" i="48"/>
  <c r="AC610" i="48"/>
  <c r="AB610" i="48"/>
  <c r="AA610" i="48"/>
  <c r="Z610" i="48"/>
  <c r="I610" i="48"/>
  <c r="H610" i="48"/>
  <c r="G610" i="48"/>
  <c r="F610" i="48"/>
  <c r="AS610" i="48" s="1"/>
  <c r="AT610" i="48" s="1"/>
  <c r="E610" i="48"/>
  <c r="AU610" i="48" s="1"/>
  <c r="AF609" i="48"/>
  <c r="AE609" i="48"/>
  <c r="AC609" i="48"/>
  <c r="Z609" i="48"/>
  <c r="AB609" i="48" s="1"/>
  <c r="I609" i="48"/>
  <c r="H609" i="48"/>
  <c r="G609" i="48"/>
  <c r="F609" i="48"/>
  <c r="AS609" i="48" s="1"/>
  <c r="AT609" i="48" s="1"/>
  <c r="E609" i="48"/>
  <c r="AU609" i="48" s="1"/>
  <c r="AF608" i="48"/>
  <c r="AE608" i="48"/>
  <c r="AC608" i="48"/>
  <c r="AB608" i="48"/>
  <c r="AA608" i="48"/>
  <c r="AD608" i="48" s="1"/>
  <c r="Z608" i="48"/>
  <c r="I608" i="48"/>
  <c r="H608" i="48"/>
  <c r="G608" i="48"/>
  <c r="F608" i="48"/>
  <c r="AS608" i="48" s="1"/>
  <c r="E608" i="48"/>
  <c r="AU608" i="48" s="1"/>
  <c r="AF607" i="48"/>
  <c r="AE607" i="48"/>
  <c r="AC607" i="48"/>
  <c r="Z607" i="48"/>
  <c r="AB607" i="48" s="1"/>
  <c r="I607" i="48"/>
  <c r="H607" i="48"/>
  <c r="G607" i="48"/>
  <c r="F607" i="48"/>
  <c r="AS607" i="48" s="1"/>
  <c r="AA607" i="48" s="1"/>
  <c r="AD607" i="48" s="1"/>
  <c r="E607" i="48"/>
  <c r="AU607" i="48" s="1"/>
  <c r="AF606" i="48"/>
  <c r="AT606" i="48" s="1"/>
  <c r="AE606" i="48"/>
  <c r="AC606" i="48"/>
  <c r="Z606" i="48"/>
  <c r="AB606" i="48" s="1"/>
  <c r="I606" i="48"/>
  <c r="H606" i="48"/>
  <c r="G606" i="48"/>
  <c r="F606" i="48"/>
  <c r="AS606" i="48" s="1"/>
  <c r="E606" i="48"/>
  <c r="AU606" i="48" s="1"/>
  <c r="AS605" i="48"/>
  <c r="AT605" i="48" s="1"/>
  <c r="AF605" i="48"/>
  <c r="AE605" i="48"/>
  <c r="AC605" i="48"/>
  <c r="AA605" i="48"/>
  <c r="AD605" i="48" s="1"/>
  <c r="Z605" i="48"/>
  <c r="AB605" i="48" s="1"/>
  <c r="I605" i="48"/>
  <c r="H605" i="48"/>
  <c r="G605" i="48"/>
  <c r="F605" i="48"/>
  <c r="E605" i="48"/>
  <c r="AU605" i="48" s="1"/>
  <c r="AU604" i="48"/>
  <c r="AF604" i="48"/>
  <c r="AE604" i="48"/>
  <c r="AC604" i="48"/>
  <c r="Z604" i="48"/>
  <c r="AB604" i="48" s="1"/>
  <c r="I604" i="48"/>
  <c r="H604" i="48"/>
  <c r="G604" i="48"/>
  <c r="F604" i="48"/>
  <c r="AS604" i="48" s="1"/>
  <c r="E604" i="48"/>
  <c r="A604" i="48"/>
  <c r="A605" i="48" s="1"/>
  <c r="A606" i="48" s="1"/>
  <c r="A607" i="48" s="1"/>
  <c r="A608" i="48" s="1"/>
  <c r="A609" i="48" s="1"/>
  <c r="A610" i="48" s="1"/>
  <c r="A611" i="48" s="1"/>
  <c r="A612" i="48" s="1"/>
  <c r="A613" i="48" s="1"/>
  <c r="A614" i="48" s="1"/>
  <c r="A615" i="48" s="1"/>
  <c r="A616" i="48" s="1"/>
  <c r="A617" i="48" s="1"/>
  <c r="A618" i="48" s="1"/>
  <c r="A619" i="48" s="1"/>
  <c r="A620" i="48" s="1"/>
  <c r="A621" i="48" s="1"/>
  <c r="A622" i="48" s="1"/>
  <c r="A623" i="48" s="1"/>
  <c r="A624" i="48" s="1"/>
  <c r="A625" i="48" s="1"/>
  <c r="A626" i="48" s="1"/>
  <c r="A627" i="48" s="1"/>
  <c r="A628" i="48" s="1"/>
  <c r="A629" i="48" s="1"/>
  <c r="A630" i="48" s="1"/>
  <c r="A631" i="48" s="1"/>
  <c r="A632" i="48" s="1"/>
  <c r="A633" i="48" s="1"/>
  <c r="A634" i="48" s="1"/>
  <c r="A635" i="48" s="1"/>
  <c r="A636" i="48" s="1"/>
  <c r="A637" i="48" s="1"/>
  <c r="A638" i="48" s="1"/>
  <c r="A639" i="48" s="1"/>
  <c r="A640" i="48" s="1"/>
  <c r="A641" i="48" s="1"/>
  <c r="AS603" i="48"/>
  <c r="AF603" i="48"/>
  <c r="AE603" i="48"/>
  <c r="AC603" i="48"/>
  <c r="AB603" i="48"/>
  <c r="AA603" i="48"/>
  <c r="AD603" i="48" s="1"/>
  <c r="Z603" i="48"/>
  <c r="I603" i="48"/>
  <c r="H603" i="48"/>
  <c r="G603" i="48"/>
  <c r="F603" i="48"/>
  <c r="E603" i="48"/>
  <c r="AU603" i="48" s="1"/>
  <c r="AS602" i="48"/>
  <c r="AF602" i="48"/>
  <c r="AE602" i="48"/>
  <c r="AC602" i="48"/>
  <c r="AB602" i="48"/>
  <c r="AA602" i="48"/>
  <c r="AD602" i="48" s="1"/>
  <c r="Z602" i="48"/>
  <c r="I602" i="48"/>
  <c r="H602" i="48"/>
  <c r="G602" i="48"/>
  <c r="F602" i="48"/>
  <c r="E602" i="48"/>
  <c r="AU602" i="48" s="1"/>
  <c r="AF601" i="48"/>
  <c r="AT601" i="48" s="1"/>
  <c r="AE601" i="48"/>
  <c r="AC601" i="48"/>
  <c r="AB601" i="48"/>
  <c r="AA601" i="48"/>
  <c r="AD601" i="48" s="1"/>
  <c r="Z601" i="48"/>
  <c r="I601" i="48"/>
  <c r="H601" i="48"/>
  <c r="G601" i="48"/>
  <c r="F601" i="48"/>
  <c r="AS601" i="48" s="1"/>
  <c r="E601" i="48"/>
  <c r="AU601" i="48" s="1"/>
  <c r="AU600" i="48"/>
  <c r="AF600" i="48"/>
  <c r="AT600" i="48" s="1"/>
  <c r="AE600" i="48"/>
  <c r="AC600" i="48"/>
  <c r="AB600" i="48"/>
  <c r="AA600" i="48"/>
  <c r="AD600" i="48" s="1"/>
  <c r="Z600" i="48"/>
  <c r="I600" i="48"/>
  <c r="H600" i="48"/>
  <c r="G600" i="48"/>
  <c r="F600" i="48"/>
  <c r="AS600" i="48" s="1"/>
  <c r="E600" i="48"/>
  <c r="AF599" i="48"/>
  <c r="AE599" i="48"/>
  <c r="AC599" i="48"/>
  <c r="AB599" i="48"/>
  <c r="AA599" i="48"/>
  <c r="AD599" i="48" s="1"/>
  <c r="Z599" i="48"/>
  <c r="I599" i="48"/>
  <c r="H599" i="48"/>
  <c r="G599" i="48"/>
  <c r="F599" i="48"/>
  <c r="AS599" i="48" s="1"/>
  <c r="E599" i="48"/>
  <c r="AU599" i="48" s="1"/>
  <c r="AF598" i="48"/>
  <c r="AE598" i="48"/>
  <c r="AC598" i="48"/>
  <c r="AB598" i="48"/>
  <c r="AA598" i="48"/>
  <c r="AD598" i="48" s="1"/>
  <c r="Z598" i="48"/>
  <c r="I598" i="48"/>
  <c r="H598" i="48"/>
  <c r="G598" i="48"/>
  <c r="F598" i="48"/>
  <c r="AS598" i="48" s="1"/>
  <c r="E598" i="48"/>
  <c r="AU598" i="48" s="1"/>
  <c r="AT597" i="48"/>
  <c r="AF597" i="48"/>
  <c r="AE597" i="48"/>
  <c r="AC597" i="48"/>
  <c r="AB597" i="48"/>
  <c r="AA597" i="48"/>
  <c r="AD597" i="48" s="1"/>
  <c r="Z597" i="48"/>
  <c r="I597" i="48"/>
  <c r="H597" i="48"/>
  <c r="G597" i="48"/>
  <c r="F597" i="48"/>
  <c r="AS597" i="48" s="1"/>
  <c r="E597" i="48"/>
  <c r="AU597" i="48" s="1"/>
  <c r="AU596" i="48"/>
  <c r="AF596" i="48"/>
  <c r="AE596" i="48"/>
  <c r="AC596" i="48"/>
  <c r="AB596" i="48"/>
  <c r="AA596" i="48"/>
  <c r="AD596" i="48" s="1"/>
  <c r="Z596" i="48"/>
  <c r="I596" i="48"/>
  <c r="H596" i="48"/>
  <c r="G596" i="48"/>
  <c r="F596" i="48"/>
  <c r="AS596" i="48" s="1"/>
  <c r="E596" i="48"/>
  <c r="AF595" i="48"/>
  <c r="AE595" i="48"/>
  <c r="AC595" i="48"/>
  <c r="AB595" i="48"/>
  <c r="AA595" i="48"/>
  <c r="AD595" i="48" s="1"/>
  <c r="Z595" i="48"/>
  <c r="I595" i="48"/>
  <c r="H595" i="48"/>
  <c r="G595" i="48"/>
  <c r="F595" i="48"/>
  <c r="AS595" i="48" s="1"/>
  <c r="E595" i="48"/>
  <c r="AU595" i="48" s="1"/>
  <c r="AF594" i="48"/>
  <c r="AE594" i="48"/>
  <c r="AC594" i="48"/>
  <c r="AB594" i="48"/>
  <c r="AA594" i="48"/>
  <c r="AD594" i="48" s="1"/>
  <c r="Z594" i="48"/>
  <c r="I594" i="48"/>
  <c r="H594" i="48"/>
  <c r="G594" i="48"/>
  <c r="F594" i="48"/>
  <c r="AS594" i="48" s="1"/>
  <c r="E594" i="48"/>
  <c r="AU594" i="48" s="1"/>
  <c r="AT593" i="48"/>
  <c r="AF593" i="48"/>
  <c r="AE593" i="48"/>
  <c r="AC593" i="48"/>
  <c r="Z593" i="48"/>
  <c r="AB593" i="48" s="1"/>
  <c r="I593" i="48"/>
  <c r="H593" i="48"/>
  <c r="G593" i="48"/>
  <c r="F593" i="48"/>
  <c r="AS593" i="48" s="1"/>
  <c r="E593" i="48"/>
  <c r="AU593" i="48" s="1"/>
  <c r="AF592" i="48"/>
  <c r="AE592" i="48"/>
  <c r="AC592" i="48"/>
  <c r="Z592" i="48"/>
  <c r="AB592" i="48" s="1"/>
  <c r="I592" i="48"/>
  <c r="H592" i="48"/>
  <c r="G592" i="48"/>
  <c r="F592" i="48"/>
  <c r="AS592" i="48" s="1"/>
  <c r="E592" i="48"/>
  <c r="AU592" i="48" s="1"/>
  <c r="AF591" i="48"/>
  <c r="AE591" i="48"/>
  <c r="AC591" i="48"/>
  <c r="Z591" i="48"/>
  <c r="AB591" i="48" s="1"/>
  <c r="I591" i="48"/>
  <c r="H591" i="48"/>
  <c r="G591" i="48"/>
  <c r="F591" i="48"/>
  <c r="AS591" i="48" s="1"/>
  <c r="E591" i="48"/>
  <c r="AU591" i="48" s="1"/>
  <c r="AF590" i="48"/>
  <c r="AE590" i="48"/>
  <c r="AC590" i="48"/>
  <c r="AA590" i="48"/>
  <c r="AD590" i="48" s="1"/>
  <c r="Z590" i="48"/>
  <c r="AB590" i="48" s="1"/>
  <c r="I590" i="48"/>
  <c r="H590" i="48"/>
  <c r="G590" i="48"/>
  <c r="F590" i="48"/>
  <c r="AS590" i="48" s="1"/>
  <c r="E590" i="48"/>
  <c r="AU590" i="48" s="1"/>
  <c r="AF589" i="48"/>
  <c r="AE589" i="48"/>
  <c r="AC589" i="48"/>
  <c r="AB589" i="48"/>
  <c r="AA589" i="48"/>
  <c r="AD589" i="48" s="1"/>
  <c r="Z589" i="48"/>
  <c r="I589" i="48"/>
  <c r="H589" i="48"/>
  <c r="G589" i="48"/>
  <c r="F589" i="48"/>
  <c r="AS589" i="48" s="1"/>
  <c r="E589" i="48"/>
  <c r="AU589" i="48" s="1"/>
  <c r="AT588" i="48"/>
  <c r="AS588" i="48"/>
  <c r="AF588" i="48"/>
  <c r="AE588" i="48"/>
  <c r="AC588" i="48"/>
  <c r="AA588" i="48"/>
  <c r="AD588" i="48" s="1"/>
  <c r="Z588" i="48"/>
  <c r="AB588" i="48" s="1"/>
  <c r="I588" i="48"/>
  <c r="H588" i="48"/>
  <c r="G588" i="48"/>
  <c r="F588" i="48"/>
  <c r="E588" i="48"/>
  <c r="AU588" i="48" s="1"/>
  <c r="AU587" i="48"/>
  <c r="AF587" i="48"/>
  <c r="AE587" i="48"/>
  <c r="AC587" i="48"/>
  <c r="AB587" i="48"/>
  <c r="Z587" i="48"/>
  <c r="I587" i="48"/>
  <c r="H587" i="48"/>
  <c r="G587" i="48"/>
  <c r="F587" i="48"/>
  <c r="AS587" i="48" s="1"/>
  <c r="E587" i="48"/>
  <c r="AF586" i="48"/>
  <c r="AE586" i="48"/>
  <c r="AC586" i="48"/>
  <c r="Z586" i="48"/>
  <c r="AB586" i="48" s="1"/>
  <c r="I586" i="48"/>
  <c r="H586" i="48"/>
  <c r="G586" i="48"/>
  <c r="F586" i="48"/>
  <c r="AS586" i="48" s="1"/>
  <c r="AA586" i="48" s="1"/>
  <c r="AD586" i="48" s="1"/>
  <c r="E586" i="48"/>
  <c r="AU586" i="48" s="1"/>
  <c r="AF585" i="48"/>
  <c r="AT585" i="48" s="1"/>
  <c r="AE585" i="48"/>
  <c r="AC585" i="48"/>
  <c r="Z585" i="48"/>
  <c r="AB585" i="48" s="1"/>
  <c r="I585" i="48"/>
  <c r="H585" i="48"/>
  <c r="G585" i="48"/>
  <c r="F585" i="48"/>
  <c r="AS585" i="48" s="1"/>
  <c r="E585" i="48"/>
  <c r="AU585" i="48" s="1"/>
  <c r="AT584" i="48"/>
  <c r="AF584" i="48"/>
  <c r="AE584" i="48"/>
  <c r="AC584" i="48"/>
  <c r="AB584" i="48"/>
  <c r="AA584" i="48"/>
  <c r="AD584" i="48" s="1"/>
  <c r="Z584" i="48"/>
  <c r="I584" i="48"/>
  <c r="H584" i="48"/>
  <c r="G584" i="48"/>
  <c r="F584" i="48"/>
  <c r="AS584" i="48" s="1"/>
  <c r="E584" i="48"/>
  <c r="AU584" i="48" s="1"/>
  <c r="AF583" i="48"/>
  <c r="AE583" i="48"/>
  <c r="AC583" i="48"/>
  <c r="Z583" i="48"/>
  <c r="AB583" i="48" s="1"/>
  <c r="I583" i="48"/>
  <c r="H583" i="48"/>
  <c r="G583" i="48"/>
  <c r="F583" i="48"/>
  <c r="AS583" i="48" s="1"/>
  <c r="E583" i="48"/>
  <c r="AU583" i="48" s="1"/>
  <c r="AF582" i="48"/>
  <c r="AE582" i="48"/>
  <c r="AC582" i="48"/>
  <c r="AB582" i="48"/>
  <c r="AA582" i="48"/>
  <c r="AD582" i="48" s="1"/>
  <c r="Z582" i="48"/>
  <c r="I582" i="48"/>
  <c r="H582" i="48"/>
  <c r="G582" i="48"/>
  <c r="F582" i="48"/>
  <c r="AS582" i="48" s="1"/>
  <c r="E582" i="48"/>
  <c r="AU582" i="48" s="1"/>
  <c r="AF581" i="48"/>
  <c r="AE581" i="48"/>
  <c r="AC581" i="48"/>
  <c r="Z581" i="48"/>
  <c r="AB581" i="48" s="1"/>
  <c r="I581" i="48"/>
  <c r="H581" i="48"/>
  <c r="G581" i="48"/>
  <c r="F581" i="48"/>
  <c r="AS581" i="48" s="1"/>
  <c r="AT581" i="48" s="1"/>
  <c r="E581" i="48"/>
  <c r="AU581" i="48" s="1"/>
  <c r="AF580" i="48"/>
  <c r="AE580" i="48"/>
  <c r="AC580" i="48"/>
  <c r="AB580" i="48"/>
  <c r="AA580" i="48"/>
  <c r="AD580" i="48" s="1"/>
  <c r="Z580" i="48"/>
  <c r="I580" i="48"/>
  <c r="H580" i="48"/>
  <c r="G580" i="48"/>
  <c r="F580" i="48"/>
  <c r="AS580" i="48" s="1"/>
  <c r="AT580" i="48" s="1"/>
  <c r="E580" i="48"/>
  <c r="AU580" i="48" s="1"/>
  <c r="AF579" i="48"/>
  <c r="AE579" i="48"/>
  <c r="AC579" i="48"/>
  <c r="AB579" i="48"/>
  <c r="AA579" i="48"/>
  <c r="AD579" i="48" s="1"/>
  <c r="Z579" i="48"/>
  <c r="I579" i="48"/>
  <c r="H579" i="48"/>
  <c r="G579" i="48"/>
  <c r="F579" i="48"/>
  <c r="AS579" i="48" s="1"/>
  <c r="E579" i="48"/>
  <c r="AU579" i="48" s="1"/>
  <c r="AF578" i="48"/>
  <c r="AE578" i="48"/>
  <c r="AC578" i="48"/>
  <c r="AB578" i="48"/>
  <c r="AA578" i="48"/>
  <c r="AD578" i="48" s="1"/>
  <c r="Z578" i="48"/>
  <c r="I578" i="48"/>
  <c r="H578" i="48"/>
  <c r="G578" i="48"/>
  <c r="F578" i="48"/>
  <c r="AS578" i="48" s="1"/>
  <c r="E578" i="48"/>
  <c r="AU578" i="48" s="1"/>
  <c r="AF577" i="48"/>
  <c r="AE577" i="48"/>
  <c r="AC577" i="48"/>
  <c r="AB577" i="48"/>
  <c r="AA577" i="48"/>
  <c r="AD577" i="48" s="1"/>
  <c r="Z577" i="48"/>
  <c r="I577" i="48"/>
  <c r="H577" i="48"/>
  <c r="G577" i="48"/>
  <c r="F577" i="48"/>
  <c r="AS577" i="48" s="1"/>
  <c r="E577" i="48"/>
  <c r="AU577" i="48" s="1"/>
  <c r="AF576" i="48"/>
  <c r="AE576" i="48"/>
  <c r="AC576" i="48"/>
  <c r="AB576" i="48"/>
  <c r="AA576" i="48"/>
  <c r="AD576" i="48" s="1"/>
  <c r="Z576" i="48"/>
  <c r="I576" i="48"/>
  <c r="H576" i="48"/>
  <c r="G576" i="48"/>
  <c r="F576" i="48"/>
  <c r="AS576" i="48" s="1"/>
  <c r="AT576" i="48" s="1"/>
  <c r="E576" i="48"/>
  <c r="AU576" i="48" s="1"/>
  <c r="AF575" i="48"/>
  <c r="AE575" i="48"/>
  <c r="AC575" i="48"/>
  <c r="Z575" i="48"/>
  <c r="AB575" i="48" s="1"/>
  <c r="I575" i="48"/>
  <c r="H575" i="48"/>
  <c r="G575" i="48"/>
  <c r="F575" i="48"/>
  <c r="AS575" i="48" s="1"/>
  <c r="E575" i="48"/>
  <c r="AU575" i="48" s="1"/>
  <c r="AF574" i="48"/>
  <c r="AE574" i="48"/>
  <c r="AC574" i="48"/>
  <c r="AB574" i="48"/>
  <c r="AA574" i="48"/>
  <c r="AD574" i="48" s="1"/>
  <c r="Z574" i="48"/>
  <c r="I574" i="48"/>
  <c r="H574" i="48"/>
  <c r="G574" i="48"/>
  <c r="F574" i="48"/>
  <c r="AS574" i="48" s="1"/>
  <c r="E574" i="48"/>
  <c r="AU574" i="48" s="1"/>
  <c r="AF573" i="48"/>
  <c r="AE573" i="48"/>
  <c r="AC573" i="48"/>
  <c r="AB573" i="48"/>
  <c r="AA573" i="48"/>
  <c r="AD573" i="48" s="1"/>
  <c r="Z573" i="48"/>
  <c r="I573" i="48"/>
  <c r="H573" i="48"/>
  <c r="G573" i="48"/>
  <c r="F573" i="48"/>
  <c r="AS573" i="48" s="1"/>
  <c r="AT573" i="48" s="1"/>
  <c r="E573" i="48"/>
  <c r="AU573" i="48" s="1"/>
  <c r="AF572" i="48"/>
  <c r="AE572" i="48"/>
  <c r="AC572" i="48"/>
  <c r="Z572" i="48"/>
  <c r="AB572" i="48" s="1"/>
  <c r="I572" i="48"/>
  <c r="H572" i="48"/>
  <c r="G572" i="48"/>
  <c r="F572" i="48"/>
  <c r="AS572" i="48" s="1"/>
  <c r="AT572" i="48" s="1"/>
  <c r="E572" i="48"/>
  <c r="AU572" i="48" s="1"/>
  <c r="AF571" i="48"/>
  <c r="AE571" i="48"/>
  <c r="AC571" i="48"/>
  <c r="AB571" i="48"/>
  <c r="AA571" i="48"/>
  <c r="AD571" i="48" s="1"/>
  <c r="Z571" i="48"/>
  <c r="I571" i="48"/>
  <c r="H571" i="48"/>
  <c r="G571" i="48"/>
  <c r="F571" i="48"/>
  <c r="AS571" i="48" s="1"/>
  <c r="E571" i="48"/>
  <c r="AU571" i="48" s="1"/>
  <c r="AF570" i="48"/>
  <c r="AE570" i="48"/>
  <c r="AC570" i="48"/>
  <c r="Z570" i="48"/>
  <c r="AB570" i="48" s="1"/>
  <c r="I570" i="48"/>
  <c r="H570" i="48"/>
  <c r="G570" i="48"/>
  <c r="F570" i="48"/>
  <c r="AS570" i="48" s="1"/>
  <c r="AA570" i="48" s="1"/>
  <c r="AD570" i="48" s="1"/>
  <c r="E570" i="48"/>
  <c r="AU570" i="48" s="1"/>
  <c r="AF569" i="48"/>
  <c r="AE569" i="48"/>
  <c r="AD569" i="48"/>
  <c r="AC569" i="48"/>
  <c r="AB569" i="48"/>
  <c r="AA569" i="48"/>
  <c r="Z569" i="48"/>
  <c r="I569" i="48"/>
  <c r="H569" i="48"/>
  <c r="G569" i="48"/>
  <c r="F569" i="48"/>
  <c r="AS569" i="48" s="1"/>
  <c r="AT569" i="48" s="1"/>
  <c r="E569" i="48"/>
  <c r="AU569" i="48" s="1"/>
  <c r="AF568" i="48"/>
  <c r="AE568" i="48"/>
  <c r="AC568" i="48"/>
  <c r="Z568" i="48"/>
  <c r="AB568" i="48" s="1"/>
  <c r="I568" i="48"/>
  <c r="H568" i="48"/>
  <c r="G568" i="48"/>
  <c r="F568" i="48"/>
  <c r="AS568" i="48" s="1"/>
  <c r="AT568" i="48" s="1"/>
  <c r="E568" i="48"/>
  <c r="AU568" i="48" s="1"/>
  <c r="AF567" i="48"/>
  <c r="AE567" i="48"/>
  <c r="AC567" i="48"/>
  <c r="AB567" i="48"/>
  <c r="Z567" i="48"/>
  <c r="I567" i="48"/>
  <c r="H567" i="48"/>
  <c r="G567" i="48"/>
  <c r="F567" i="48"/>
  <c r="AS567" i="48" s="1"/>
  <c r="E567" i="48"/>
  <c r="AU567" i="48" s="1"/>
  <c r="AS566" i="48"/>
  <c r="AA566" i="48" s="1"/>
  <c r="AD566" i="48" s="1"/>
  <c r="AF566" i="48"/>
  <c r="AE566" i="48"/>
  <c r="AC566" i="48"/>
  <c r="AB566" i="48"/>
  <c r="Z566" i="48"/>
  <c r="I566" i="48"/>
  <c r="H566" i="48"/>
  <c r="G566" i="48"/>
  <c r="F566" i="48"/>
  <c r="E566" i="48"/>
  <c r="AU566" i="48" s="1"/>
  <c r="AF565" i="48"/>
  <c r="AE565" i="48"/>
  <c r="AC565" i="48"/>
  <c r="Z565" i="48"/>
  <c r="AB565" i="48" s="1"/>
  <c r="I565" i="48"/>
  <c r="H565" i="48"/>
  <c r="G565" i="48"/>
  <c r="F565" i="48"/>
  <c r="AS565" i="48" s="1"/>
  <c r="E565" i="48"/>
  <c r="AU565" i="48" s="1"/>
  <c r="A565" i="48"/>
  <c r="A566" i="48" s="1"/>
  <c r="A567" i="48" s="1"/>
  <c r="A568" i="48" s="1"/>
  <c r="A569" i="48" s="1"/>
  <c r="A570" i="48" s="1"/>
  <c r="A571" i="48" s="1"/>
  <c r="A572" i="48" s="1"/>
  <c r="A573" i="48" s="1"/>
  <c r="A574" i="48" s="1"/>
  <c r="A575" i="48" s="1"/>
  <c r="A576" i="48" s="1"/>
  <c r="A577" i="48" s="1"/>
  <c r="A578" i="48" s="1"/>
  <c r="A579" i="48" s="1"/>
  <c r="A580" i="48" s="1"/>
  <c r="A581" i="48" s="1"/>
  <c r="A582" i="48" s="1"/>
  <c r="A583" i="48" s="1"/>
  <c r="A584" i="48" s="1"/>
  <c r="A585" i="48" s="1"/>
  <c r="A586" i="48" s="1"/>
  <c r="A587" i="48" s="1"/>
  <c r="A588" i="48" s="1"/>
  <c r="A589" i="48" s="1"/>
  <c r="A590" i="48" s="1"/>
  <c r="A591" i="48" s="1"/>
  <c r="A592" i="48" s="1"/>
  <c r="A593" i="48" s="1"/>
  <c r="A594" i="48" s="1"/>
  <c r="A595" i="48" s="1"/>
  <c r="A596" i="48" s="1"/>
  <c r="A597" i="48" s="1"/>
  <c r="A598" i="48" s="1"/>
  <c r="A599" i="48" s="1"/>
  <c r="A600" i="48" s="1"/>
  <c r="A601" i="48" s="1"/>
  <c r="A602" i="48" s="1"/>
  <c r="AF564" i="48"/>
  <c r="AE564" i="48"/>
  <c r="AC564" i="48"/>
  <c r="AB564" i="48"/>
  <c r="AA564" i="48"/>
  <c r="AD564" i="48" s="1"/>
  <c r="Z564" i="48"/>
  <c r="I564" i="48"/>
  <c r="H564" i="48"/>
  <c r="G564" i="48"/>
  <c r="F564" i="48"/>
  <c r="AS564" i="48" s="1"/>
  <c r="AT564" i="48" s="1"/>
  <c r="E564" i="48"/>
  <c r="AU564" i="48" s="1"/>
  <c r="AT563" i="48"/>
  <c r="AF563" i="48"/>
  <c r="AE563" i="48"/>
  <c r="AC563" i="48"/>
  <c r="AB563" i="48"/>
  <c r="AA563" i="48"/>
  <c r="AD563" i="48" s="1"/>
  <c r="Z563" i="48"/>
  <c r="I563" i="48"/>
  <c r="H563" i="48"/>
  <c r="G563" i="48"/>
  <c r="F563" i="48"/>
  <c r="AS563" i="48" s="1"/>
  <c r="E563" i="48"/>
  <c r="AU563" i="48" s="1"/>
  <c r="AF562" i="48"/>
  <c r="AE562" i="48"/>
  <c r="AD562" i="48"/>
  <c r="AC562" i="48"/>
  <c r="AB562" i="48"/>
  <c r="AA562" i="48"/>
  <c r="Z562" i="48"/>
  <c r="I562" i="48"/>
  <c r="H562" i="48"/>
  <c r="G562" i="48"/>
  <c r="F562" i="48"/>
  <c r="AS562" i="48" s="1"/>
  <c r="E562" i="48"/>
  <c r="AU562" i="48" s="1"/>
  <c r="AF561" i="48"/>
  <c r="AE561" i="48"/>
  <c r="AC561" i="48"/>
  <c r="AB561" i="48"/>
  <c r="AA561" i="48"/>
  <c r="AD561" i="48" s="1"/>
  <c r="Z561" i="48"/>
  <c r="I561" i="48"/>
  <c r="H561" i="48"/>
  <c r="G561" i="48"/>
  <c r="F561" i="48"/>
  <c r="AS561" i="48" s="1"/>
  <c r="E561" i="48"/>
  <c r="AU561" i="48" s="1"/>
  <c r="AT560" i="48"/>
  <c r="AF560" i="48"/>
  <c r="AE560" i="48"/>
  <c r="AC560" i="48"/>
  <c r="AB560" i="48"/>
  <c r="AA560" i="48"/>
  <c r="AD560" i="48" s="1"/>
  <c r="Z560" i="48"/>
  <c r="I560" i="48"/>
  <c r="H560" i="48"/>
  <c r="G560" i="48"/>
  <c r="F560" i="48"/>
  <c r="AS560" i="48" s="1"/>
  <c r="E560" i="48"/>
  <c r="AU560" i="48" s="1"/>
  <c r="AT559" i="48"/>
  <c r="AF559" i="48"/>
  <c r="AE559" i="48"/>
  <c r="AC559" i="48"/>
  <c r="AB559" i="48"/>
  <c r="AA559" i="48"/>
  <c r="AD559" i="48" s="1"/>
  <c r="Z559" i="48"/>
  <c r="I559" i="48"/>
  <c r="H559" i="48"/>
  <c r="G559" i="48"/>
  <c r="F559" i="48"/>
  <c r="AS559" i="48" s="1"/>
  <c r="E559" i="48"/>
  <c r="AU559" i="48" s="1"/>
  <c r="AF558" i="48"/>
  <c r="AE558" i="48"/>
  <c r="AD558" i="48"/>
  <c r="AC558" i="48"/>
  <c r="AB558" i="48"/>
  <c r="AA558" i="48"/>
  <c r="Z558" i="48"/>
  <c r="I558" i="48"/>
  <c r="H558" i="48"/>
  <c r="G558" i="48"/>
  <c r="F558" i="48"/>
  <c r="AS558" i="48" s="1"/>
  <c r="E558" i="48"/>
  <c r="AU558" i="48" s="1"/>
  <c r="AF557" i="48"/>
  <c r="AE557" i="48"/>
  <c r="AC557" i="48"/>
  <c r="AB557" i="48"/>
  <c r="AA557" i="48"/>
  <c r="AD557" i="48" s="1"/>
  <c r="Z557" i="48"/>
  <c r="I557" i="48"/>
  <c r="H557" i="48"/>
  <c r="G557" i="48"/>
  <c r="F557" i="48"/>
  <c r="AS557" i="48" s="1"/>
  <c r="E557" i="48"/>
  <c r="AU557" i="48" s="1"/>
  <c r="AT556" i="48"/>
  <c r="AF556" i="48"/>
  <c r="AE556" i="48"/>
  <c r="AC556" i="48"/>
  <c r="AB556" i="48"/>
  <c r="AA556" i="48"/>
  <c r="AD556" i="48" s="1"/>
  <c r="Z556" i="48"/>
  <c r="I556" i="48"/>
  <c r="H556" i="48"/>
  <c r="G556" i="48"/>
  <c r="F556" i="48"/>
  <c r="AS556" i="48" s="1"/>
  <c r="E556" i="48"/>
  <c r="AU556" i="48" s="1"/>
  <c r="AT555" i="48"/>
  <c r="AF555" i="48"/>
  <c r="AE555" i="48"/>
  <c r="AC555" i="48"/>
  <c r="AB555" i="48"/>
  <c r="AA555" i="48"/>
  <c r="AD555" i="48" s="1"/>
  <c r="Z555" i="48"/>
  <c r="I555" i="48"/>
  <c r="H555" i="48"/>
  <c r="G555" i="48"/>
  <c r="F555" i="48"/>
  <c r="AS555" i="48" s="1"/>
  <c r="E555" i="48"/>
  <c r="AU555" i="48" s="1"/>
  <c r="AF554" i="48"/>
  <c r="AE554" i="48"/>
  <c r="AC554" i="48"/>
  <c r="AB554" i="48"/>
  <c r="Z554" i="48"/>
  <c r="I554" i="48"/>
  <c r="H554" i="48"/>
  <c r="G554" i="48"/>
  <c r="F554" i="48"/>
  <c r="AS554" i="48" s="1"/>
  <c r="E554" i="48"/>
  <c r="AU554" i="48" s="1"/>
  <c r="AS553" i="48"/>
  <c r="AA553" i="48" s="1"/>
  <c r="AD553" i="48" s="1"/>
  <c r="AF553" i="48"/>
  <c r="AE553" i="48"/>
  <c r="AC553" i="48"/>
  <c r="AB553" i="48"/>
  <c r="Z553" i="48"/>
  <c r="I553" i="48"/>
  <c r="H553" i="48"/>
  <c r="G553" i="48"/>
  <c r="F553" i="48"/>
  <c r="E553" i="48"/>
  <c r="AU553" i="48" s="1"/>
  <c r="AF552" i="48"/>
  <c r="AT552" i="48" s="1"/>
  <c r="AE552" i="48"/>
  <c r="AC552" i="48"/>
  <c r="Z552" i="48"/>
  <c r="AB552" i="48" s="1"/>
  <c r="I552" i="48"/>
  <c r="H552" i="48"/>
  <c r="G552" i="48"/>
  <c r="F552" i="48"/>
  <c r="AS552" i="48" s="1"/>
  <c r="E552" i="48"/>
  <c r="AU552" i="48" s="1"/>
  <c r="AU551" i="48"/>
  <c r="AT551" i="48"/>
  <c r="AF551" i="48"/>
  <c r="AE551" i="48"/>
  <c r="AC551" i="48"/>
  <c r="Z551" i="48"/>
  <c r="AB551" i="48" s="1"/>
  <c r="I551" i="48"/>
  <c r="H551" i="48"/>
  <c r="G551" i="48"/>
  <c r="F551" i="48"/>
  <c r="AS551" i="48" s="1"/>
  <c r="AA551" i="48" s="1"/>
  <c r="AD551" i="48" s="1"/>
  <c r="E551" i="48"/>
  <c r="AU550" i="48"/>
  <c r="AF550" i="48"/>
  <c r="AE550" i="48"/>
  <c r="AC550" i="48"/>
  <c r="AB550" i="48"/>
  <c r="AA550" i="48"/>
  <c r="AD550" i="48" s="1"/>
  <c r="Z550" i="48"/>
  <c r="I550" i="48"/>
  <c r="H550" i="48"/>
  <c r="G550" i="48"/>
  <c r="F550" i="48"/>
  <c r="AS550" i="48" s="1"/>
  <c r="E550" i="48"/>
  <c r="AS549" i="48"/>
  <c r="AF549" i="48"/>
  <c r="AE549" i="48"/>
  <c r="AC549" i="48"/>
  <c r="AB549" i="48"/>
  <c r="AA549" i="48"/>
  <c r="AD549" i="48" s="1"/>
  <c r="Z549" i="48"/>
  <c r="I549" i="48"/>
  <c r="H549" i="48"/>
  <c r="G549" i="48"/>
  <c r="F549" i="48"/>
  <c r="E549" i="48"/>
  <c r="AU549" i="48" s="1"/>
  <c r="AT548" i="48"/>
  <c r="AF548" i="48"/>
  <c r="AE548" i="48"/>
  <c r="AC548" i="48"/>
  <c r="Z548" i="48"/>
  <c r="AB548" i="48" s="1"/>
  <c r="I548" i="48"/>
  <c r="H548" i="48"/>
  <c r="G548" i="48"/>
  <c r="F548" i="48"/>
  <c r="AS548" i="48" s="1"/>
  <c r="E548" i="48"/>
  <c r="AU548" i="48" s="1"/>
  <c r="AF547" i="48"/>
  <c r="AT547" i="48" s="1"/>
  <c r="AE547" i="48"/>
  <c r="AC547" i="48"/>
  <c r="Z547" i="48"/>
  <c r="AB547" i="48" s="1"/>
  <c r="I547" i="48"/>
  <c r="H547" i="48"/>
  <c r="G547" i="48"/>
  <c r="F547" i="48"/>
  <c r="AS547" i="48" s="1"/>
  <c r="E547" i="48"/>
  <c r="AU547" i="48" s="1"/>
  <c r="AF546" i="48"/>
  <c r="AE546" i="48"/>
  <c r="AC546" i="48"/>
  <c r="Z546" i="48"/>
  <c r="AB546" i="48" s="1"/>
  <c r="I546" i="48"/>
  <c r="H546" i="48"/>
  <c r="G546" i="48"/>
  <c r="F546" i="48"/>
  <c r="AS546" i="48" s="1"/>
  <c r="E546" i="48"/>
  <c r="AU546" i="48" s="1"/>
  <c r="AS545" i="48"/>
  <c r="AF545" i="48"/>
  <c r="AE545" i="48"/>
  <c r="AC545" i="48"/>
  <c r="AB545" i="48"/>
  <c r="Z545" i="48"/>
  <c r="I545" i="48"/>
  <c r="H545" i="48"/>
  <c r="G545" i="48"/>
  <c r="F545" i="48"/>
  <c r="E545" i="48"/>
  <c r="AU545" i="48" s="1"/>
  <c r="AF544" i="48"/>
  <c r="AT544" i="48" s="1"/>
  <c r="AE544" i="48"/>
  <c r="AC544" i="48"/>
  <c r="AB544" i="48"/>
  <c r="AA544" i="48"/>
  <c r="AD544" i="48" s="1"/>
  <c r="Z544" i="48"/>
  <c r="I544" i="48"/>
  <c r="H544" i="48"/>
  <c r="G544" i="48"/>
  <c r="F544" i="48"/>
  <c r="AS544" i="48" s="1"/>
  <c r="E544" i="48"/>
  <c r="AU544" i="48" s="1"/>
  <c r="AU543" i="48"/>
  <c r="AT543" i="48"/>
  <c r="AF543" i="48"/>
  <c r="AE543" i="48"/>
  <c r="AC543" i="48"/>
  <c r="Z543" i="48"/>
  <c r="AB543" i="48" s="1"/>
  <c r="I543" i="48"/>
  <c r="H543" i="48"/>
  <c r="G543" i="48"/>
  <c r="F543" i="48"/>
  <c r="AS543" i="48" s="1"/>
  <c r="AA543" i="48" s="1"/>
  <c r="AD543" i="48" s="1"/>
  <c r="E543" i="48"/>
  <c r="AF542" i="48"/>
  <c r="AE542" i="48"/>
  <c r="AC542" i="48"/>
  <c r="AB542" i="48"/>
  <c r="AA542" i="48"/>
  <c r="AD542" i="48" s="1"/>
  <c r="Z542" i="48"/>
  <c r="I542" i="48"/>
  <c r="H542" i="48"/>
  <c r="G542" i="48"/>
  <c r="F542" i="48"/>
  <c r="AS542" i="48" s="1"/>
  <c r="E542" i="48"/>
  <c r="AU542" i="48" s="1"/>
  <c r="AF541" i="48"/>
  <c r="AE541" i="48"/>
  <c r="AC541" i="48"/>
  <c r="Z541" i="48"/>
  <c r="AB541" i="48" s="1"/>
  <c r="I541" i="48"/>
  <c r="H541" i="48"/>
  <c r="G541" i="48"/>
  <c r="F541" i="48"/>
  <c r="AS541" i="48" s="1"/>
  <c r="E541" i="48"/>
  <c r="AU541" i="48" s="1"/>
  <c r="AF540" i="48"/>
  <c r="AE540" i="48"/>
  <c r="AD540" i="48"/>
  <c r="AC540" i="48"/>
  <c r="AB540" i="48"/>
  <c r="AA540" i="48"/>
  <c r="Z540" i="48"/>
  <c r="I540" i="48"/>
  <c r="H540" i="48"/>
  <c r="G540" i="48"/>
  <c r="F540" i="48"/>
  <c r="AS540" i="48" s="1"/>
  <c r="AT540" i="48" s="1"/>
  <c r="E540" i="48"/>
  <c r="AU540" i="48" s="1"/>
  <c r="AF539" i="48"/>
  <c r="AE539" i="48"/>
  <c r="AC539" i="48"/>
  <c r="AB539" i="48"/>
  <c r="AA539" i="48"/>
  <c r="AD539" i="48" s="1"/>
  <c r="Z539" i="48"/>
  <c r="I539" i="48"/>
  <c r="H539" i="48"/>
  <c r="G539" i="48"/>
  <c r="F539" i="48"/>
  <c r="AS539" i="48" s="1"/>
  <c r="AT539" i="48" s="1"/>
  <c r="E539" i="48"/>
  <c r="AU539" i="48" s="1"/>
  <c r="AF538" i="48"/>
  <c r="AE538" i="48"/>
  <c r="AC538" i="48"/>
  <c r="AB538" i="48"/>
  <c r="Z538" i="48"/>
  <c r="I538" i="48"/>
  <c r="H538" i="48"/>
  <c r="G538" i="48"/>
  <c r="F538" i="48"/>
  <c r="AS538" i="48" s="1"/>
  <c r="E538" i="48"/>
  <c r="AU538" i="48" s="1"/>
  <c r="AS537" i="48"/>
  <c r="AF537" i="48"/>
  <c r="AE537" i="48"/>
  <c r="AC537" i="48"/>
  <c r="AB537" i="48"/>
  <c r="AA537" i="48"/>
  <c r="AD537" i="48" s="1"/>
  <c r="Z537" i="48"/>
  <c r="I537" i="48"/>
  <c r="H537" i="48"/>
  <c r="G537" i="48"/>
  <c r="F537" i="48"/>
  <c r="E537" i="48"/>
  <c r="AU537" i="48" s="1"/>
  <c r="AF536" i="48"/>
  <c r="AE536" i="48"/>
  <c r="AC536" i="48"/>
  <c r="Z536" i="48"/>
  <c r="AB536" i="48" s="1"/>
  <c r="I536" i="48"/>
  <c r="H536" i="48"/>
  <c r="G536" i="48"/>
  <c r="F536" i="48"/>
  <c r="AS536" i="48" s="1"/>
  <c r="AT536" i="48" s="1"/>
  <c r="E536" i="48"/>
  <c r="AU536" i="48" s="1"/>
  <c r="AU535" i="48"/>
  <c r="AF535" i="48"/>
  <c r="AE535" i="48"/>
  <c r="AC535" i="48"/>
  <c r="Z535" i="48"/>
  <c r="AB535" i="48" s="1"/>
  <c r="I535" i="48"/>
  <c r="H535" i="48"/>
  <c r="G535" i="48"/>
  <c r="F535" i="48"/>
  <c r="AS535" i="48" s="1"/>
  <c r="AT535" i="48" s="1"/>
  <c r="E535" i="48"/>
  <c r="AU534" i="48"/>
  <c r="AF534" i="48"/>
  <c r="AE534" i="48"/>
  <c r="AC534" i="48"/>
  <c r="AB534" i="48"/>
  <c r="AA534" i="48"/>
  <c r="AD534" i="48" s="1"/>
  <c r="Z534" i="48"/>
  <c r="I534" i="48"/>
  <c r="H534" i="48"/>
  <c r="G534" i="48"/>
  <c r="F534" i="48"/>
  <c r="AS534" i="48" s="1"/>
  <c r="E534" i="48"/>
  <c r="AF533" i="48"/>
  <c r="AE533" i="48"/>
  <c r="AC533" i="48"/>
  <c r="AB533" i="48"/>
  <c r="AA533" i="48"/>
  <c r="AD533" i="48" s="1"/>
  <c r="Z533" i="48"/>
  <c r="I533" i="48"/>
  <c r="H533" i="48"/>
  <c r="G533" i="48"/>
  <c r="F533" i="48"/>
  <c r="AS533" i="48" s="1"/>
  <c r="E533" i="48"/>
  <c r="AU533" i="48" s="1"/>
  <c r="AF532" i="48"/>
  <c r="AE532" i="48"/>
  <c r="AC532" i="48"/>
  <c r="Z532" i="48"/>
  <c r="AB532" i="48" s="1"/>
  <c r="I532" i="48"/>
  <c r="H532" i="48"/>
  <c r="G532" i="48"/>
  <c r="F532" i="48"/>
  <c r="AS532" i="48" s="1"/>
  <c r="E532" i="48"/>
  <c r="AU532" i="48" s="1"/>
  <c r="AU531" i="48"/>
  <c r="AF531" i="48"/>
  <c r="AE531" i="48"/>
  <c r="AC531" i="48"/>
  <c r="AB531" i="48"/>
  <c r="AA531" i="48"/>
  <c r="AD531" i="48" s="1"/>
  <c r="Z531" i="48"/>
  <c r="I531" i="48"/>
  <c r="H531" i="48"/>
  <c r="G531" i="48"/>
  <c r="F531" i="48"/>
  <c r="AS531" i="48" s="1"/>
  <c r="E531" i="48"/>
  <c r="AU530" i="48"/>
  <c r="AF530" i="48"/>
  <c r="AE530" i="48"/>
  <c r="AC530" i="48"/>
  <c r="AB530" i="48"/>
  <c r="Z530" i="48"/>
  <c r="I530" i="48"/>
  <c r="H530" i="48"/>
  <c r="G530" i="48"/>
  <c r="F530" i="48"/>
  <c r="AS530" i="48" s="1"/>
  <c r="E530" i="48"/>
  <c r="AF529" i="48"/>
  <c r="AE529" i="48"/>
  <c r="AC529" i="48"/>
  <c r="AB529" i="48"/>
  <c r="AA529" i="48"/>
  <c r="AD529" i="48" s="1"/>
  <c r="Z529" i="48"/>
  <c r="I529" i="48"/>
  <c r="H529" i="48"/>
  <c r="G529" i="48"/>
  <c r="F529" i="48"/>
  <c r="AS529" i="48" s="1"/>
  <c r="E529" i="48"/>
  <c r="AU529" i="48" s="1"/>
  <c r="AF528" i="48"/>
  <c r="AE528" i="48"/>
  <c r="AC528" i="48"/>
  <c r="Z528" i="48"/>
  <c r="AB528" i="48" s="1"/>
  <c r="I528" i="48"/>
  <c r="H528" i="48"/>
  <c r="G528" i="48"/>
  <c r="F528" i="48"/>
  <c r="AS528" i="48" s="1"/>
  <c r="E528" i="48"/>
  <c r="AU528" i="48" s="1"/>
  <c r="AU527" i="48"/>
  <c r="AT527" i="48"/>
  <c r="AF527" i="48"/>
  <c r="AE527" i="48"/>
  <c r="AC527" i="48"/>
  <c r="Z527" i="48"/>
  <c r="AB527" i="48" s="1"/>
  <c r="I527" i="48"/>
  <c r="H527" i="48"/>
  <c r="G527" i="48"/>
  <c r="F527" i="48"/>
  <c r="AS527" i="48" s="1"/>
  <c r="AA527" i="48" s="1"/>
  <c r="AD527" i="48" s="1"/>
  <c r="E527" i="48"/>
  <c r="AF526" i="48"/>
  <c r="AE526" i="48"/>
  <c r="AC526" i="48"/>
  <c r="Z526" i="48"/>
  <c r="AB526" i="48" s="1"/>
  <c r="I526" i="48"/>
  <c r="H526" i="48"/>
  <c r="G526" i="48"/>
  <c r="F526" i="48"/>
  <c r="AS526" i="48" s="1"/>
  <c r="E526" i="48"/>
  <c r="AU526" i="48" s="1"/>
  <c r="AF525" i="48"/>
  <c r="AE525" i="48"/>
  <c r="AC525" i="48"/>
  <c r="Z525" i="48"/>
  <c r="AB525" i="48" s="1"/>
  <c r="I525" i="48"/>
  <c r="H525" i="48"/>
  <c r="G525" i="48"/>
  <c r="F525" i="48"/>
  <c r="AS525" i="48" s="1"/>
  <c r="E525" i="48"/>
  <c r="AU525" i="48" s="1"/>
  <c r="A525" i="48"/>
  <c r="A526" i="48" s="1"/>
  <c r="A527" i="48" s="1"/>
  <c r="A528" i="48" s="1"/>
  <c r="A529" i="48" s="1"/>
  <c r="A530" i="48" s="1"/>
  <c r="A531" i="48" s="1"/>
  <c r="A532" i="48" s="1"/>
  <c r="A533" i="48" s="1"/>
  <c r="A534" i="48" s="1"/>
  <c r="A535" i="48" s="1"/>
  <c r="A536" i="48" s="1"/>
  <c r="A537" i="48" s="1"/>
  <c r="A538" i="48" s="1"/>
  <c r="A539" i="48" s="1"/>
  <c r="A540" i="48" s="1"/>
  <c r="A541" i="48" s="1"/>
  <c r="A542" i="48" s="1"/>
  <c r="A543" i="48" s="1"/>
  <c r="A544" i="48" s="1"/>
  <c r="A545" i="48" s="1"/>
  <c r="A546" i="48" s="1"/>
  <c r="A547" i="48" s="1"/>
  <c r="A548" i="48" s="1"/>
  <c r="A549" i="48" s="1"/>
  <c r="A550" i="48" s="1"/>
  <c r="A551" i="48" s="1"/>
  <c r="A552" i="48" s="1"/>
  <c r="A553" i="48" s="1"/>
  <c r="A554" i="48" s="1"/>
  <c r="A555" i="48" s="1"/>
  <c r="A556" i="48" s="1"/>
  <c r="A557" i="48" s="1"/>
  <c r="A558" i="48" s="1"/>
  <c r="A559" i="48" s="1"/>
  <c r="A560" i="48" s="1"/>
  <c r="A561" i="48" s="1"/>
  <c r="A562" i="48" s="1"/>
  <c r="A563" i="48" s="1"/>
  <c r="AF524" i="48"/>
  <c r="AE524" i="48"/>
  <c r="AC524" i="48"/>
  <c r="AB524" i="48"/>
  <c r="AA524" i="48"/>
  <c r="AD524" i="48" s="1"/>
  <c r="Z524" i="48"/>
  <c r="I524" i="48"/>
  <c r="H524" i="48"/>
  <c r="G524" i="48"/>
  <c r="F524" i="48"/>
  <c r="AS524" i="48" s="1"/>
  <c r="E524" i="48"/>
  <c r="AU524" i="48" s="1"/>
  <c r="AT523" i="48"/>
  <c r="AF523" i="48"/>
  <c r="AE523" i="48"/>
  <c r="AC523" i="48"/>
  <c r="AB523" i="48"/>
  <c r="AA523" i="48"/>
  <c r="AD523" i="48" s="1"/>
  <c r="Z523" i="48"/>
  <c r="I523" i="48"/>
  <c r="H523" i="48"/>
  <c r="G523" i="48"/>
  <c r="F523" i="48"/>
  <c r="AS523" i="48" s="1"/>
  <c r="E523" i="48"/>
  <c r="AU523" i="48" s="1"/>
  <c r="AF522" i="48"/>
  <c r="AT522" i="48" s="1"/>
  <c r="AE522" i="48"/>
  <c r="AC522" i="48"/>
  <c r="AB522" i="48"/>
  <c r="AA522" i="48"/>
  <c r="AD522" i="48" s="1"/>
  <c r="Z522" i="48"/>
  <c r="I522" i="48"/>
  <c r="H522" i="48"/>
  <c r="G522" i="48"/>
  <c r="F522" i="48"/>
  <c r="AS522" i="48" s="1"/>
  <c r="E522" i="48"/>
  <c r="AU522" i="48" s="1"/>
  <c r="AF521" i="48"/>
  <c r="AT521" i="48" s="1"/>
  <c r="AE521" i="48"/>
  <c r="AC521" i="48"/>
  <c r="AB521" i="48"/>
  <c r="AA521" i="48"/>
  <c r="AD521" i="48" s="1"/>
  <c r="Z521" i="48"/>
  <c r="I521" i="48"/>
  <c r="H521" i="48"/>
  <c r="G521" i="48"/>
  <c r="F521" i="48"/>
  <c r="AS521" i="48" s="1"/>
  <c r="E521" i="48"/>
  <c r="AU521" i="48" s="1"/>
  <c r="AF520" i="48"/>
  <c r="AE520" i="48"/>
  <c r="AC520" i="48"/>
  <c r="AB520" i="48"/>
  <c r="AA520" i="48"/>
  <c r="AD520" i="48" s="1"/>
  <c r="Z520" i="48"/>
  <c r="I520" i="48"/>
  <c r="H520" i="48"/>
  <c r="G520" i="48"/>
  <c r="F520" i="48"/>
  <c r="AS520" i="48" s="1"/>
  <c r="E520" i="48"/>
  <c r="AU520" i="48" s="1"/>
  <c r="AF519" i="48"/>
  <c r="AT519" i="48" s="1"/>
  <c r="AE519" i="48"/>
  <c r="AC519" i="48"/>
  <c r="AB519" i="48"/>
  <c r="AA519" i="48"/>
  <c r="AD519" i="48" s="1"/>
  <c r="Z519" i="48"/>
  <c r="I519" i="48"/>
  <c r="H519" i="48"/>
  <c r="G519" i="48"/>
  <c r="F519" i="48"/>
  <c r="AS519" i="48" s="1"/>
  <c r="E519" i="48"/>
  <c r="AU519" i="48" s="1"/>
  <c r="AT518" i="48"/>
  <c r="AF518" i="48"/>
  <c r="AE518" i="48"/>
  <c r="AC518" i="48"/>
  <c r="AB518" i="48"/>
  <c r="AA518" i="48"/>
  <c r="AD518" i="48" s="1"/>
  <c r="Z518" i="48"/>
  <c r="I518" i="48"/>
  <c r="H518" i="48"/>
  <c r="G518" i="48"/>
  <c r="F518" i="48"/>
  <c r="AS518" i="48" s="1"/>
  <c r="E518" i="48"/>
  <c r="AU518" i="48" s="1"/>
  <c r="AF517" i="48"/>
  <c r="AT517" i="48" s="1"/>
  <c r="AE517" i="48"/>
  <c r="AC517" i="48"/>
  <c r="AB517" i="48"/>
  <c r="AA517" i="48"/>
  <c r="AD517" i="48" s="1"/>
  <c r="Z517" i="48"/>
  <c r="I517" i="48"/>
  <c r="H517" i="48"/>
  <c r="G517" i="48"/>
  <c r="F517" i="48"/>
  <c r="AS517" i="48" s="1"/>
  <c r="E517" i="48"/>
  <c r="AU517" i="48" s="1"/>
  <c r="AF516" i="48"/>
  <c r="AE516" i="48"/>
  <c r="AC516" i="48"/>
  <c r="AB516" i="48"/>
  <c r="AA516" i="48"/>
  <c r="AD516" i="48" s="1"/>
  <c r="Z516" i="48"/>
  <c r="I516" i="48"/>
  <c r="H516" i="48"/>
  <c r="G516" i="48"/>
  <c r="F516" i="48"/>
  <c r="AS516" i="48" s="1"/>
  <c r="E516" i="48"/>
  <c r="AU516" i="48" s="1"/>
  <c r="AT515" i="48"/>
  <c r="AF515" i="48"/>
  <c r="AE515" i="48"/>
  <c r="AC515" i="48"/>
  <c r="AB515" i="48"/>
  <c r="AA515" i="48"/>
  <c r="AD515" i="48" s="1"/>
  <c r="Z515" i="48"/>
  <c r="I515" i="48"/>
  <c r="H515" i="48"/>
  <c r="G515" i="48"/>
  <c r="F515" i="48"/>
  <c r="AS515" i="48" s="1"/>
  <c r="E515" i="48"/>
  <c r="AU515" i="48" s="1"/>
  <c r="AF514" i="48"/>
  <c r="AT514" i="48" s="1"/>
  <c r="AE514" i="48"/>
  <c r="AC514" i="48"/>
  <c r="Z514" i="48"/>
  <c r="AB514" i="48" s="1"/>
  <c r="I514" i="48"/>
  <c r="H514" i="48"/>
  <c r="G514" i="48"/>
  <c r="F514" i="48"/>
  <c r="AS514" i="48" s="1"/>
  <c r="E514" i="48"/>
  <c r="AU514" i="48" s="1"/>
  <c r="AU513" i="48"/>
  <c r="AF513" i="48"/>
  <c r="AE513" i="48"/>
  <c r="AC513" i="48"/>
  <c r="AB513" i="48"/>
  <c r="Z513" i="48"/>
  <c r="I513" i="48"/>
  <c r="H513" i="48"/>
  <c r="G513" i="48"/>
  <c r="F513" i="48"/>
  <c r="AS513" i="48" s="1"/>
  <c r="E513" i="48"/>
  <c r="AS512" i="48"/>
  <c r="AF512" i="48"/>
  <c r="AE512" i="48"/>
  <c r="AC512" i="48"/>
  <c r="AB512" i="48"/>
  <c r="AA512" i="48"/>
  <c r="AD512" i="48" s="1"/>
  <c r="Z512" i="48"/>
  <c r="I512" i="48"/>
  <c r="H512" i="48"/>
  <c r="G512" i="48"/>
  <c r="F512" i="48"/>
  <c r="E512" i="48"/>
  <c r="AU512" i="48" s="1"/>
  <c r="AT511" i="48"/>
  <c r="AF511" i="48"/>
  <c r="AE511" i="48"/>
  <c r="AC511" i="48"/>
  <c r="Z511" i="48"/>
  <c r="AB511" i="48" s="1"/>
  <c r="I511" i="48"/>
  <c r="H511" i="48"/>
  <c r="G511" i="48"/>
  <c r="F511" i="48"/>
  <c r="AS511" i="48" s="1"/>
  <c r="E511" i="48"/>
  <c r="AU511" i="48" s="1"/>
  <c r="AF510" i="48"/>
  <c r="AT510" i="48" s="1"/>
  <c r="AE510" i="48"/>
  <c r="AC510" i="48"/>
  <c r="AA510" i="48"/>
  <c r="AD510" i="48" s="1"/>
  <c r="Z510" i="48"/>
  <c r="AB510" i="48" s="1"/>
  <c r="I510" i="48"/>
  <c r="H510" i="48"/>
  <c r="G510" i="48"/>
  <c r="F510" i="48"/>
  <c r="AS510" i="48" s="1"/>
  <c r="E510" i="48"/>
  <c r="AU510" i="48" s="1"/>
  <c r="AU509" i="48"/>
  <c r="AF509" i="48"/>
  <c r="AT509" i="48" s="1"/>
  <c r="AE509" i="48"/>
  <c r="AC509" i="48"/>
  <c r="AB509" i="48"/>
  <c r="AA509" i="48"/>
  <c r="AD509" i="48" s="1"/>
  <c r="Z509" i="48"/>
  <c r="I509" i="48"/>
  <c r="H509" i="48"/>
  <c r="G509" i="48"/>
  <c r="F509" i="48"/>
  <c r="AS509" i="48" s="1"/>
  <c r="E509" i="48"/>
  <c r="AF508" i="48"/>
  <c r="AE508" i="48"/>
  <c r="AC508" i="48"/>
  <c r="Z508" i="48"/>
  <c r="AB508" i="48" s="1"/>
  <c r="I508" i="48"/>
  <c r="H508" i="48"/>
  <c r="G508" i="48"/>
  <c r="F508" i="48"/>
  <c r="AS508" i="48" s="1"/>
  <c r="E508" i="48"/>
  <c r="AU508" i="48" s="1"/>
  <c r="AF507" i="48"/>
  <c r="AT507" i="48" s="1"/>
  <c r="AE507" i="48"/>
  <c r="AC507" i="48"/>
  <c r="Z507" i="48"/>
  <c r="AB507" i="48" s="1"/>
  <c r="I507" i="48"/>
  <c r="H507" i="48"/>
  <c r="G507" i="48"/>
  <c r="F507" i="48"/>
  <c r="AS507" i="48" s="1"/>
  <c r="E507" i="48"/>
  <c r="AU507" i="48" s="1"/>
  <c r="AF506" i="48"/>
  <c r="AT506" i="48" s="1"/>
  <c r="AE506" i="48"/>
  <c r="AC506" i="48"/>
  <c r="Z506" i="48"/>
  <c r="AB506" i="48" s="1"/>
  <c r="I506" i="48"/>
  <c r="H506" i="48"/>
  <c r="G506" i="48"/>
  <c r="F506" i="48"/>
  <c r="AS506" i="48" s="1"/>
  <c r="AA506" i="48" s="1"/>
  <c r="AD506" i="48" s="1"/>
  <c r="E506" i="48"/>
  <c r="AU506" i="48" s="1"/>
  <c r="AF505" i="48"/>
  <c r="AT505" i="48" s="1"/>
  <c r="AE505" i="48"/>
  <c r="AC505" i="48"/>
  <c r="Z505" i="48"/>
  <c r="AB505" i="48" s="1"/>
  <c r="I505" i="48"/>
  <c r="H505" i="48"/>
  <c r="G505" i="48"/>
  <c r="F505" i="48"/>
  <c r="AS505" i="48" s="1"/>
  <c r="E505" i="48"/>
  <c r="AU505" i="48" s="1"/>
  <c r="AF504" i="48"/>
  <c r="AT504" i="48" s="1"/>
  <c r="AE504" i="48"/>
  <c r="AC504" i="48"/>
  <c r="AB504" i="48"/>
  <c r="AA504" i="48"/>
  <c r="AD504" i="48" s="1"/>
  <c r="Z504" i="48"/>
  <c r="I504" i="48"/>
  <c r="H504" i="48"/>
  <c r="G504" i="48"/>
  <c r="F504" i="48"/>
  <c r="AS504" i="48" s="1"/>
  <c r="E504" i="48"/>
  <c r="AU504" i="48" s="1"/>
  <c r="AF503" i="48"/>
  <c r="AE503" i="48"/>
  <c r="AC503" i="48"/>
  <c r="Z503" i="48"/>
  <c r="AB503" i="48" s="1"/>
  <c r="I503" i="48"/>
  <c r="H503" i="48"/>
  <c r="G503" i="48"/>
  <c r="F503" i="48"/>
  <c r="AS503" i="48" s="1"/>
  <c r="E503" i="48"/>
  <c r="AU503" i="48" s="1"/>
  <c r="AT502" i="48"/>
  <c r="AF502" i="48"/>
  <c r="AE502" i="48"/>
  <c r="AC502" i="48"/>
  <c r="AB502" i="48"/>
  <c r="AA502" i="48"/>
  <c r="AD502" i="48" s="1"/>
  <c r="Z502" i="48"/>
  <c r="I502" i="48"/>
  <c r="H502" i="48"/>
  <c r="G502" i="48"/>
  <c r="F502" i="48"/>
  <c r="AS502" i="48" s="1"/>
  <c r="E502" i="48"/>
  <c r="AU502" i="48" s="1"/>
  <c r="AF501" i="48"/>
  <c r="AE501" i="48"/>
  <c r="AC501" i="48"/>
  <c r="Z501" i="48"/>
  <c r="AB501" i="48" s="1"/>
  <c r="I501" i="48"/>
  <c r="H501" i="48"/>
  <c r="G501" i="48"/>
  <c r="F501" i="48"/>
  <c r="AS501" i="48" s="1"/>
  <c r="AT501" i="48" s="1"/>
  <c r="E501" i="48"/>
  <c r="AU501" i="48" s="1"/>
  <c r="AF500" i="48"/>
  <c r="AE500" i="48"/>
  <c r="AC500" i="48"/>
  <c r="AB500" i="48"/>
  <c r="AA500" i="48"/>
  <c r="AD500" i="48" s="1"/>
  <c r="Z500" i="48"/>
  <c r="I500" i="48"/>
  <c r="H500" i="48"/>
  <c r="G500" i="48"/>
  <c r="F500" i="48"/>
  <c r="AS500" i="48" s="1"/>
  <c r="E500" i="48"/>
  <c r="AU500" i="48" s="1"/>
  <c r="AF499" i="48"/>
  <c r="AE499" i="48"/>
  <c r="AC499" i="48"/>
  <c r="AB499" i="48"/>
  <c r="AA499" i="48"/>
  <c r="AD499" i="48" s="1"/>
  <c r="Z499" i="48"/>
  <c r="I499" i="48"/>
  <c r="H499" i="48"/>
  <c r="G499" i="48"/>
  <c r="F499" i="48"/>
  <c r="AS499" i="48" s="1"/>
  <c r="E499" i="48"/>
  <c r="AU499" i="48" s="1"/>
  <c r="AF498" i="48"/>
  <c r="AE498" i="48"/>
  <c r="AC498" i="48"/>
  <c r="Z498" i="48"/>
  <c r="AB498" i="48" s="1"/>
  <c r="I498" i="48"/>
  <c r="H498" i="48"/>
  <c r="G498" i="48"/>
  <c r="F498" i="48"/>
  <c r="AS498" i="48" s="1"/>
  <c r="E498" i="48"/>
  <c r="AU498" i="48" s="1"/>
  <c r="AF497" i="48"/>
  <c r="AE497" i="48"/>
  <c r="AC497" i="48"/>
  <c r="AB497" i="48"/>
  <c r="AA497" i="48"/>
  <c r="AD497" i="48" s="1"/>
  <c r="Z497" i="48"/>
  <c r="I497" i="48"/>
  <c r="H497" i="48"/>
  <c r="G497" i="48"/>
  <c r="F497" i="48"/>
  <c r="AS497" i="48" s="1"/>
  <c r="E497" i="48"/>
  <c r="AU497" i="48" s="1"/>
  <c r="AF496" i="48"/>
  <c r="AE496" i="48"/>
  <c r="AC496" i="48"/>
  <c r="Z496" i="48"/>
  <c r="AB496" i="48" s="1"/>
  <c r="I496" i="48"/>
  <c r="H496" i="48"/>
  <c r="G496" i="48"/>
  <c r="F496" i="48"/>
  <c r="AS496" i="48" s="1"/>
  <c r="AA496" i="48" s="1"/>
  <c r="AD496" i="48" s="1"/>
  <c r="E496" i="48"/>
  <c r="AU496" i="48" s="1"/>
  <c r="AF495" i="48"/>
  <c r="AE495" i="48"/>
  <c r="AC495" i="48"/>
  <c r="Z495" i="48"/>
  <c r="AB495" i="48" s="1"/>
  <c r="I495" i="48"/>
  <c r="H495" i="48"/>
  <c r="G495" i="48"/>
  <c r="F495" i="48"/>
  <c r="AS495" i="48" s="1"/>
  <c r="AT495" i="48" s="1"/>
  <c r="E495" i="48"/>
  <c r="AU495" i="48" s="1"/>
  <c r="AF494" i="48"/>
  <c r="AE494" i="48"/>
  <c r="AC494" i="48"/>
  <c r="AB494" i="48"/>
  <c r="AA494" i="48"/>
  <c r="AD494" i="48" s="1"/>
  <c r="Z494" i="48"/>
  <c r="I494" i="48"/>
  <c r="H494" i="48"/>
  <c r="G494" i="48"/>
  <c r="F494" i="48"/>
  <c r="AS494" i="48" s="1"/>
  <c r="E494" i="48"/>
  <c r="AU494" i="48" s="1"/>
  <c r="AF493" i="48"/>
  <c r="AE493" i="48"/>
  <c r="AC493" i="48"/>
  <c r="AB493" i="48"/>
  <c r="AA493" i="48"/>
  <c r="AD493" i="48" s="1"/>
  <c r="Z493" i="48"/>
  <c r="I493" i="48"/>
  <c r="H493" i="48"/>
  <c r="G493" i="48"/>
  <c r="F493" i="48"/>
  <c r="AS493" i="48" s="1"/>
  <c r="E493" i="48"/>
  <c r="AU493" i="48" s="1"/>
  <c r="AF492" i="48"/>
  <c r="AE492" i="48"/>
  <c r="AC492" i="48"/>
  <c r="Z492" i="48"/>
  <c r="AB492" i="48" s="1"/>
  <c r="I492" i="48"/>
  <c r="H492" i="48"/>
  <c r="G492" i="48"/>
  <c r="F492" i="48"/>
  <c r="AS492" i="48" s="1"/>
  <c r="AA492" i="48" s="1"/>
  <c r="AD492" i="48" s="1"/>
  <c r="E492" i="48"/>
  <c r="AU492" i="48" s="1"/>
  <c r="AF491" i="48"/>
  <c r="AE491" i="48"/>
  <c r="AC491" i="48"/>
  <c r="AB491" i="48"/>
  <c r="AA491" i="48"/>
  <c r="AD491" i="48" s="1"/>
  <c r="Z491" i="48"/>
  <c r="I491" i="48"/>
  <c r="H491" i="48"/>
  <c r="G491" i="48"/>
  <c r="F491" i="48"/>
  <c r="AS491" i="48" s="1"/>
  <c r="E491" i="48"/>
  <c r="AU491" i="48" s="1"/>
  <c r="AU490" i="48"/>
  <c r="AF490" i="48"/>
  <c r="AE490" i="48"/>
  <c r="AC490" i="48"/>
  <c r="Z490" i="48"/>
  <c r="AB490" i="48" s="1"/>
  <c r="I490" i="48"/>
  <c r="H490" i="48"/>
  <c r="G490" i="48"/>
  <c r="F490" i="48"/>
  <c r="AS490" i="48" s="1"/>
  <c r="E490" i="48"/>
  <c r="AF489" i="48"/>
  <c r="AE489" i="48"/>
  <c r="AC489" i="48"/>
  <c r="AB489" i="48"/>
  <c r="AA489" i="48"/>
  <c r="AD489" i="48" s="1"/>
  <c r="Z489" i="48"/>
  <c r="I489" i="48"/>
  <c r="H489" i="48"/>
  <c r="G489" i="48"/>
  <c r="F489" i="48"/>
  <c r="AS489" i="48" s="1"/>
  <c r="E489" i="48"/>
  <c r="AU489" i="48" s="1"/>
  <c r="AF488" i="48"/>
  <c r="AE488" i="48"/>
  <c r="AC488" i="48"/>
  <c r="Z488" i="48"/>
  <c r="AB488" i="48" s="1"/>
  <c r="I488" i="48"/>
  <c r="H488" i="48"/>
  <c r="G488" i="48"/>
  <c r="F488" i="48"/>
  <c r="AS488" i="48" s="1"/>
  <c r="AA488" i="48" s="1"/>
  <c r="AD488" i="48" s="1"/>
  <c r="E488" i="48"/>
  <c r="AU488" i="48" s="1"/>
  <c r="AS487" i="48"/>
  <c r="AF487" i="48"/>
  <c r="AE487" i="48"/>
  <c r="AC487" i="48"/>
  <c r="AB487" i="48"/>
  <c r="Z487" i="48"/>
  <c r="I487" i="48"/>
  <c r="H487" i="48"/>
  <c r="G487" i="48"/>
  <c r="F487" i="48"/>
  <c r="E487" i="48"/>
  <c r="AU487" i="48" s="1"/>
  <c r="AF486" i="48"/>
  <c r="AE486" i="48"/>
  <c r="AC486" i="48"/>
  <c r="Z486" i="48"/>
  <c r="AB486" i="48" s="1"/>
  <c r="I486" i="48"/>
  <c r="H486" i="48"/>
  <c r="G486" i="48"/>
  <c r="F486" i="48"/>
  <c r="AS486" i="48" s="1"/>
  <c r="AT486" i="48" s="1"/>
  <c r="E486" i="48"/>
  <c r="AU486" i="48" s="1"/>
  <c r="AU485" i="48"/>
  <c r="AF485" i="48"/>
  <c r="AE485" i="48"/>
  <c r="AC485" i="48"/>
  <c r="Z485" i="48"/>
  <c r="AB485" i="48" s="1"/>
  <c r="I485" i="48"/>
  <c r="H485" i="48"/>
  <c r="G485" i="48"/>
  <c r="F485" i="48"/>
  <c r="AS485" i="48" s="1"/>
  <c r="E485" i="48"/>
  <c r="A485" i="48"/>
  <c r="A486" i="48" s="1"/>
  <c r="A487" i="48" s="1"/>
  <c r="A488" i="48" s="1"/>
  <c r="A489" i="48" s="1"/>
  <c r="A490" i="48" s="1"/>
  <c r="A491" i="48" s="1"/>
  <c r="A492" i="48" s="1"/>
  <c r="A493" i="48" s="1"/>
  <c r="A494" i="48" s="1"/>
  <c r="A495" i="48" s="1"/>
  <c r="A496" i="48" s="1"/>
  <c r="A497" i="48" s="1"/>
  <c r="A498" i="48" s="1"/>
  <c r="A499" i="48" s="1"/>
  <c r="A500" i="48" s="1"/>
  <c r="A501" i="48" s="1"/>
  <c r="A502" i="48" s="1"/>
  <c r="A503" i="48" s="1"/>
  <c r="A504" i="48" s="1"/>
  <c r="A505" i="48" s="1"/>
  <c r="A506" i="48" s="1"/>
  <c r="A507" i="48" s="1"/>
  <c r="A508" i="48" s="1"/>
  <c r="A509" i="48" s="1"/>
  <c r="A510" i="48" s="1"/>
  <c r="A511" i="48" s="1"/>
  <c r="A512" i="48" s="1"/>
  <c r="A513" i="48" s="1"/>
  <c r="A514" i="48" s="1"/>
  <c r="A515" i="48" s="1"/>
  <c r="A516" i="48" s="1"/>
  <c r="A517" i="48" s="1"/>
  <c r="A518" i="48" s="1"/>
  <c r="A519" i="48" s="1"/>
  <c r="A520" i="48" s="1"/>
  <c r="A521" i="48" s="1"/>
  <c r="A522" i="48" s="1"/>
  <c r="A523" i="48" s="1"/>
  <c r="AF484" i="48"/>
  <c r="AE484" i="48"/>
  <c r="AC484" i="48"/>
  <c r="AB484" i="48"/>
  <c r="AA484" i="48"/>
  <c r="AD484" i="48" s="1"/>
  <c r="Z484" i="48"/>
  <c r="I484" i="48"/>
  <c r="H484" i="48"/>
  <c r="G484" i="48"/>
  <c r="F484" i="48"/>
  <c r="AS484" i="48" s="1"/>
  <c r="E484" i="48"/>
  <c r="AU484" i="48" s="1"/>
  <c r="AF483" i="48"/>
  <c r="AE483" i="48"/>
  <c r="AC483" i="48"/>
  <c r="AB483" i="48"/>
  <c r="AA483" i="48"/>
  <c r="AD483" i="48" s="1"/>
  <c r="Z483" i="48"/>
  <c r="I483" i="48"/>
  <c r="H483" i="48"/>
  <c r="G483" i="48"/>
  <c r="F483" i="48"/>
  <c r="AS483" i="48" s="1"/>
  <c r="E483" i="48"/>
  <c r="AU483" i="48" s="1"/>
  <c r="AF482" i="48"/>
  <c r="AE482" i="48"/>
  <c r="AC482" i="48"/>
  <c r="AB482" i="48"/>
  <c r="AA482" i="48"/>
  <c r="AD482" i="48" s="1"/>
  <c r="Z482" i="48"/>
  <c r="I482" i="48"/>
  <c r="H482" i="48"/>
  <c r="G482" i="48"/>
  <c r="F482" i="48"/>
  <c r="AS482" i="48" s="1"/>
  <c r="E482" i="48"/>
  <c r="AU482" i="48" s="1"/>
  <c r="AF481" i="48"/>
  <c r="AT481" i="48" s="1"/>
  <c r="AE481" i="48"/>
  <c r="AD481" i="48"/>
  <c r="AC481" i="48"/>
  <c r="AB481" i="48"/>
  <c r="AA481" i="48"/>
  <c r="Z481" i="48"/>
  <c r="I481" i="48"/>
  <c r="H481" i="48"/>
  <c r="G481" i="48"/>
  <c r="F481" i="48"/>
  <c r="AS481" i="48" s="1"/>
  <c r="E481" i="48"/>
  <c r="AU481" i="48" s="1"/>
  <c r="AF480" i="48"/>
  <c r="AT480" i="48" s="1"/>
  <c r="AE480" i="48"/>
  <c r="AC480" i="48"/>
  <c r="AB480" i="48"/>
  <c r="AA480" i="48"/>
  <c r="AD480" i="48" s="1"/>
  <c r="Z480" i="48"/>
  <c r="I480" i="48"/>
  <c r="H480" i="48"/>
  <c r="G480" i="48"/>
  <c r="F480" i="48"/>
  <c r="AS480" i="48" s="1"/>
  <c r="E480" i="48"/>
  <c r="AU480" i="48" s="1"/>
  <c r="AF479" i="48"/>
  <c r="AE479" i="48"/>
  <c r="AC479" i="48"/>
  <c r="AB479" i="48"/>
  <c r="AA479" i="48"/>
  <c r="AD479" i="48" s="1"/>
  <c r="Z479" i="48"/>
  <c r="I479" i="48"/>
  <c r="H479" i="48"/>
  <c r="G479" i="48"/>
  <c r="F479" i="48"/>
  <c r="AS479" i="48" s="1"/>
  <c r="E479" i="48"/>
  <c r="AU479" i="48" s="1"/>
  <c r="AF478" i="48"/>
  <c r="AE478" i="48"/>
  <c r="AC478" i="48"/>
  <c r="AB478" i="48"/>
  <c r="AA478" i="48"/>
  <c r="AD478" i="48" s="1"/>
  <c r="Z478" i="48"/>
  <c r="I478" i="48"/>
  <c r="H478" i="48"/>
  <c r="G478" i="48"/>
  <c r="F478" i="48"/>
  <c r="AS478" i="48" s="1"/>
  <c r="E478" i="48"/>
  <c r="AU478" i="48" s="1"/>
  <c r="AF477" i="48"/>
  <c r="AE477" i="48"/>
  <c r="AC477" i="48"/>
  <c r="AB477" i="48"/>
  <c r="AA477" i="48"/>
  <c r="AD477" i="48" s="1"/>
  <c r="Z477" i="48"/>
  <c r="I477" i="48"/>
  <c r="H477" i="48"/>
  <c r="G477" i="48"/>
  <c r="F477" i="48"/>
  <c r="AS477" i="48" s="1"/>
  <c r="E477" i="48"/>
  <c r="AU477" i="48" s="1"/>
  <c r="AF476" i="48"/>
  <c r="AE476" i="48"/>
  <c r="AC476" i="48"/>
  <c r="AB476" i="48"/>
  <c r="AA476" i="48"/>
  <c r="AD476" i="48" s="1"/>
  <c r="Z476" i="48"/>
  <c r="I476" i="48"/>
  <c r="H476" i="48"/>
  <c r="G476" i="48"/>
  <c r="F476" i="48"/>
  <c r="AS476" i="48" s="1"/>
  <c r="E476" i="48"/>
  <c r="AU476" i="48" s="1"/>
  <c r="AF475" i="48"/>
  <c r="AE475" i="48"/>
  <c r="AC475" i="48"/>
  <c r="AB475" i="48"/>
  <c r="AA475" i="48"/>
  <c r="AD475" i="48" s="1"/>
  <c r="Z475" i="48"/>
  <c r="I475" i="48"/>
  <c r="H475" i="48"/>
  <c r="G475" i="48"/>
  <c r="F475" i="48"/>
  <c r="AS475" i="48" s="1"/>
  <c r="E475" i="48"/>
  <c r="AU475" i="48" s="1"/>
  <c r="AF474" i="48"/>
  <c r="AE474" i="48"/>
  <c r="AC474" i="48"/>
  <c r="Z474" i="48"/>
  <c r="AB474" i="48" s="1"/>
  <c r="I474" i="48"/>
  <c r="H474" i="48"/>
  <c r="G474" i="48"/>
  <c r="F474" i="48"/>
  <c r="AS474" i="48" s="1"/>
  <c r="E474" i="48"/>
  <c r="AU474" i="48" s="1"/>
  <c r="AT473" i="48"/>
  <c r="AF473" i="48"/>
  <c r="AE473" i="48"/>
  <c r="AC473" i="48"/>
  <c r="Z473" i="48"/>
  <c r="AB473" i="48" s="1"/>
  <c r="I473" i="48"/>
  <c r="H473" i="48"/>
  <c r="G473" i="48"/>
  <c r="F473" i="48"/>
  <c r="AS473" i="48" s="1"/>
  <c r="AA473" i="48" s="1"/>
  <c r="AD473" i="48" s="1"/>
  <c r="E473" i="48"/>
  <c r="AU473" i="48" s="1"/>
  <c r="AF472" i="48"/>
  <c r="AE472" i="48"/>
  <c r="AC472" i="48"/>
  <c r="AB472" i="48"/>
  <c r="AA472" i="48"/>
  <c r="AD472" i="48" s="1"/>
  <c r="Z472" i="48"/>
  <c r="I472" i="48"/>
  <c r="H472" i="48"/>
  <c r="G472" i="48"/>
  <c r="F472" i="48"/>
  <c r="AS472" i="48" s="1"/>
  <c r="E472" i="48"/>
  <c r="AU472" i="48" s="1"/>
  <c r="AF471" i="48"/>
  <c r="AE471" i="48"/>
  <c r="AC471" i="48"/>
  <c r="Z471" i="48"/>
  <c r="AB471" i="48" s="1"/>
  <c r="I471" i="48"/>
  <c r="H471" i="48"/>
  <c r="G471" i="48"/>
  <c r="F471" i="48"/>
  <c r="AS471" i="48" s="1"/>
  <c r="E471" i="48"/>
  <c r="AU471" i="48" s="1"/>
  <c r="AS470" i="48"/>
  <c r="AF470" i="48"/>
  <c r="AE470" i="48"/>
  <c r="AC470" i="48"/>
  <c r="AB470" i="48"/>
  <c r="Z470" i="48"/>
  <c r="I470" i="48"/>
  <c r="H470" i="48"/>
  <c r="G470" i="48"/>
  <c r="F470" i="48"/>
  <c r="E470" i="48"/>
  <c r="AU470" i="48" s="1"/>
  <c r="AF469" i="48"/>
  <c r="AT469" i="48" s="1"/>
  <c r="AE469" i="48"/>
  <c r="AC469" i="48"/>
  <c r="AB469" i="48"/>
  <c r="AA469" i="48"/>
  <c r="AD469" i="48" s="1"/>
  <c r="Z469" i="48"/>
  <c r="I469" i="48"/>
  <c r="H469" i="48"/>
  <c r="G469" i="48"/>
  <c r="F469" i="48"/>
  <c r="AS469" i="48" s="1"/>
  <c r="E469" i="48"/>
  <c r="AU469" i="48" s="1"/>
  <c r="AF468" i="48"/>
  <c r="AE468" i="48"/>
  <c r="AC468" i="48"/>
  <c r="Z468" i="48"/>
  <c r="AB468" i="48" s="1"/>
  <c r="I468" i="48"/>
  <c r="H468" i="48"/>
  <c r="G468" i="48"/>
  <c r="F468" i="48"/>
  <c r="AS468" i="48" s="1"/>
  <c r="E468" i="48"/>
  <c r="AU468" i="48" s="1"/>
  <c r="AF467" i="48"/>
  <c r="AE467" i="48"/>
  <c r="AC467" i="48"/>
  <c r="Z467" i="48"/>
  <c r="AB467" i="48" s="1"/>
  <c r="I467" i="48"/>
  <c r="H467" i="48"/>
  <c r="G467" i="48"/>
  <c r="F467" i="48"/>
  <c r="AS467" i="48" s="1"/>
  <c r="E467" i="48"/>
  <c r="AU467" i="48" s="1"/>
  <c r="AS466" i="48"/>
  <c r="AF466" i="48"/>
  <c r="AE466" i="48"/>
  <c r="AC466" i="48"/>
  <c r="AB466" i="48"/>
  <c r="Z466" i="48"/>
  <c r="I466" i="48"/>
  <c r="H466" i="48"/>
  <c r="G466" i="48"/>
  <c r="F466" i="48"/>
  <c r="E466" i="48"/>
  <c r="AU466" i="48" s="1"/>
  <c r="AF465" i="48"/>
  <c r="AT465" i="48" s="1"/>
  <c r="AE465" i="48"/>
  <c r="AC465" i="48"/>
  <c r="Z465" i="48"/>
  <c r="AB465" i="48" s="1"/>
  <c r="I465" i="48"/>
  <c r="H465" i="48"/>
  <c r="G465" i="48"/>
  <c r="F465" i="48"/>
  <c r="AS465" i="48" s="1"/>
  <c r="E465" i="48"/>
  <c r="AU465" i="48" s="1"/>
  <c r="AT464" i="48"/>
  <c r="AF464" i="48"/>
  <c r="AE464" i="48"/>
  <c r="AC464" i="48"/>
  <c r="AB464" i="48"/>
  <c r="AA464" i="48"/>
  <c r="AD464" i="48" s="1"/>
  <c r="Z464" i="48"/>
  <c r="I464" i="48"/>
  <c r="H464" i="48"/>
  <c r="G464" i="48"/>
  <c r="F464" i="48"/>
  <c r="AS464" i="48" s="1"/>
  <c r="E464" i="48"/>
  <c r="AU464" i="48" s="1"/>
  <c r="AF463" i="48"/>
  <c r="AE463" i="48"/>
  <c r="AC463" i="48"/>
  <c r="AB463" i="48"/>
  <c r="Z463" i="48"/>
  <c r="I463" i="48"/>
  <c r="H463" i="48"/>
  <c r="G463" i="48"/>
  <c r="F463" i="48"/>
  <c r="AS463" i="48" s="1"/>
  <c r="E463" i="48"/>
  <c r="AU463" i="48" s="1"/>
  <c r="AF462" i="48"/>
  <c r="AE462" i="48"/>
  <c r="AC462" i="48"/>
  <c r="AB462" i="48"/>
  <c r="AA462" i="48"/>
  <c r="AD462" i="48" s="1"/>
  <c r="Z462" i="48"/>
  <c r="I462" i="48"/>
  <c r="H462" i="48"/>
  <c r="G462" i="48"/>
  <c r="F462" i="48"/>
  <c r="AS462" i="48" s="1"/>
  <c r="E462" i="48"/>
  <c r="AU462" i="48" s="1"/>
  <c r="AF461" i="48"/>
  <c r="AE461" i="48"/>
  <c r="AC461" i="48"/>
  <c r="Z461" i="48"/>
  <c r="AB461" i="48" s="1"/>
  <c r="I461" i="48"/>
  <c r="H461" i="48"/>
  <c r="G461" i="48"/>
  <c r="F461" i="48"/>
  <c r="AS461" i="48" s="1"/>
  <c r="E461" i="48"/>
  <c r="AU461" i="48" s="1"/>
  <c r="AU460" i="48"/>
  <c r="AF460" i="48"/>
  <c r="AE460" i="48"/>
  <c r="AC460" i="48"/>
  <c r="AB460" i="48"/>
  <c r="AA460" i="48"/>
  <c r="AD460" i="48" s="1"/>
  <c r="Z460" i="48"/>
  <c r="I460" i="48"/>
  <c r="H460" i="48"/>
  <c r="G460" i="48"/>
  <c r="F460" i="48"/>
  <c r="AS460" i="48" s="1"/>
  <c r="AT460" i="48" s="1"/>
  <c r="E460" i="48"/>
  <c r="AU459" i="48"/>
  <c r="AF459" i="48"/>
  <c r="AE459" i="48"/>
  <c r="AC459" i="48"/>
  <c r="AB459" i="48"/>
  <c r="AA459" i="48"/>
  <c r="AD459" i="48" s="1"/>
  <c r="Z459" i="48"/>
  <c r="I459" i="48"/>
  <c r="H459" i="48"/>
  <c r="G459" i="48"/>
  <c r="F459" i="48"/>
  <c r="AS459" i="48" s="1"/>
  <c r="E459" i="48"/>
  <c r="AF458" i="48"/>
  <c r="AE458" i="48"/>
  <c r="AC458" i="48"/>
  <c r="Z458" i="48"/>
  <c r="AB458" i="48" s="1"/>
  <c r="I458" i="48"/>
  <c r="H458" i="48"/>
  <c r="G458" i="48"/>
  <c r="F458" i="48"/>
  <c r="AS458" i="48" s="1"/>
  <c r="E458" i="48"/>
  <c r="AU458" i="48" s="1"/>
  <c r="AF457" i="48"/>
  <c r="AE457" i="48"/>
  <c r="AC457" i="48"/>
  <c r="AB457" i="48"/>
  <c r="AA457" i="48"/>
  <c r="AD457" i="48" s="1"/>
  <c r="Z457" i="48"/>
  <c r="I457" i="48"/>
  <c r="H457" i="48"/>
  <c r="G457" i="48"/>
  <c r="F457" i="48"/>
  <c r="AS457" i="48" s="1"/>
  <c r="AT457" i="48" s="1"/>
  <c r="E457" i="48"/>
  <c r="AU457" i="48" s="1"/>
  <c r="AF456" i="48"/>
  <c r="AE456" i="48"/>
  <c r="AC456" i="48"/>
  <c r="Z456" i="48"/>
  <c r="AB456" i="48" s="1"/>
  <c r="I456" i="48"/>
  <c r="H456" i="48"/>
  <c r="G456" i="48"/>
  <c r="F456" i="48"/>
  <c r="AS456" i="48" s="1"/>
  <c r="E456" i="48"/>
  <c r="AU456" i="48" s="1"/>
  <c r="AF455" i="48"/>
  <c r="AE455" i="48"/>
  <c r="AC455" i="48"/>
  <c r="Z455" i="48"/>
  <c r="AB455" i="48" s="1"/>
  <c r="I455" i="48"/>
  <c r="H455" i="48"/>
  <c r="G455" i="48"/>
  <c r="F455" i="48"/>
  <c r="AS455" i="48" s="1"/>
  <c r="E455" i="48"/>
  <c r="AU455" i="48" s="1"/>
  <c r="AF454" i="48"/>
  <c r="AE454" i="48"/>
  <c r="AC454" i="48"/>
  <c r="AB454" i="48"/>
  <c r="AA454" i="48"/>
  <c r="AD454" i="48" s="1"/>
  <c r="Z454" i="48"/>
  <c r="I454" i="48"/>
  <c r="H454" i="48"/>
  <c r="G454" i="48"/>
  <c r="F454" i="48"/>
  <c r="AS454" i="48" s="1"/>
  <c r="E454" i="48"/>
  <c r="AU454" i="48" s="1"/>
  <c r="AF453" i="48"/>
  <c r="AE453" i="48"/>
  <c r="AC453" i="48"/>
  <c r="AB453" i="48"/>
  <c r="AA453" i="48"/>
  <c r="AD453" i="48" s="1"/>
  <c r="Z453" i="48"/>
  <c r="I453" i="48"/>
  <c r="H453" i="48"/>
  <c r="G453" i="48"/>
  <c r="F453" i="48"/>
  <c r="AS453" i="48" s="1"/>
  <c r="AT453" i="48" s="1"/>
  <c r="E453" i="48"/>
  <c r="AU453" i="48" s="1"/>
  <c r="AF452" i="48"/>
  <c r="AE452" i="48"/>
  <c r="AC452" i="48"/>
  <c r="Z452" i="48"/>
  <c r="AB452" i="48" s="1"/>
  <c r="I452" i="48"/>
  <c r="H452" i="48"/>
  <c r="G452" i="48"/>
  <c r="F452" i="48"/>
  <c r="AS452" i="48" s="1"/>
  <c r="E452" i="48"/>
  <c r="AU452" i="48" s="1"/>
  <c r="AF451" i="48"/>
  <c r="AE451" i="48"/>
  <c r="AC451" i="48"/>
  <c r="AB451" i="48"/>
  <c r="AA451" i="48"/>
  <c r="AD451" i="48" s="1"/>
  <c r="Z451" i="48"/>
  <c r="I451" i="48"/>
  <c r="H451" i="48"/>
  <c r="G451" i="48"/>
  <c r="F451" i="48"/>
  <c r="AS451" i="48" s="1"/>
  <c r="E451" i="48"/>
  <c r="AU451" i="48" s="1"/>
  <c r="AS450" i="48"/>
  <c r="AF450" i="48"/>
  <c r="AE450" i="48"/>
  <c r="AC450" i="48"/>
  <c r="AB450" i="48"/>
  <c r="Z450" i="48"/>
  <c r="I450" i="48"/>
  <c r="H450" i="48"/>
  <c r="G450" i="48"/>
  <c r="F450" i="48"/>
  <c r="E450" i="48"/>
  <c r="AU450" i="48" s="1"/>
  <c r="AF449" i="48"/>
  <c r="AE449" i="48"/>
  <c r="AC449" i="48"/>
  <c r="AB449" i="48"/>
  <c r="AA449" i="48"/>
  <c r="AD449" i="48" s="1"/>
  <c r="Z449" i="48"/>
  <c r="I449" i="48"/>
  <c r="H449" i="48"/>
  <c r="G449" i="48"/>
  <c r="F449" i="48"/>
  <c r="AS449" i="48" s="1"/>
  <c r="E449" i="48"/>
  <c r="AU449" i="48" s="1"/>
  <c r="AF448" i="48"/>
  <c r="AE448" i="48"/>
  <c r="AC448" i="48"/>
  <c r="Z448" i="48"/>
  <c r="AB448" i="48" s="1"/>
  <c r="I448" i="48"/>
  <c r="H448" i="48"/>
  <c r="G448" i="48"/>
  <c r="F448" i="48"/>
  <c r="AS448" i="48" s="1"/>
  <c r="E448" i="48"/>
  <c r="AU448" i="48" s="1"/>
  <c r="AF447" i="48"/>
  <c r="AE447" i="48"/>
  <c r="AC447" i="48"/>
  <c r="Z447" i="48"/>
  <c r="AB447" i="48" s="1"/>
  <c r="I447" i="48"/>
  <c r="H447" i="48"/>
  <c r="G447" i="48"/>
  <c r="F447" i="48"/>
  <c r="AS447" i="48" s="1"/>
  <c r="E447" i="48"/>
  <c r="AU447" i="48" s="1"/>
  <c r="AF446" i="48"/>
  <c r="AE446" i="48"/>
  <c r="AC446" i="48"/>
  <c r="Z446" i="48"/>
  <c r="AB446" i="48" s="1"/>
  <c r="I446" i="48"/>
  <c r="H446" i="48"/>
  <c r="G446" i="48"/>
  <c r="F446" i="48"/>
  <c r="AS446" i="48" s="1"/>
  <c r="E446" i="48"/>
  <c r="AU446" i="48" s="1"/>
  <c r="A446" i="48"/>
  <c r="A447" i="48" s="1"/>
  <c r="A448" i="48" s="1"/>
  <c r="A449" i="48" s="1"/>
  <c r="A450" i="48" s="1"/>
  <c r="A451" i="48" s="1"/>
  <c r="A452" i="48" s="1"/>
  <c r="A453" i="48" s="1"/>
  <c r="A454" i="48" s="1"/>
  <c r="A455" i="48" s="1"/>
  <c r="A456" i="48" s="1"/>
  <c r="A457" i="48" s="1"/>
  <c r="A458" i="48" s="1"/>
  <c r="A459" i="48" s="1"/>
  <c r="A460" i="48" s="1"/>
  <c r="A461" i="48" s="1"/>
  <c r="A462" i="48" s="1"/>
  <c r="A463" i="48" s="1"/>
  <c r="A464" i="48" s="1"/>
  <c r="A465" i="48" s="1"/>
  <c r="A466" i="48" s="1"/>
  <c r="A467" i="48" s="1"/>
  <c r="A468" i="48" s="1"/>
  <c r="A469" i="48" s="1"/>
  <c r="A470" i="48" s="1"/>
  <c r="A471" i="48" s="1"/>
  <c r="A472" i="48" s="1"/>
  <c r="A473" i="48" s="1"/>
  <c r="A474" i="48" s="1"/>
  <c r="A475" i="48" s="1"/>
  <c r="A476" i="48" s="1"/>
  <c r="A477" i="48" s="1"/>
  <c r="A478" i="48" s="1"/>
  <c r="A479" i="48" s="1"/>
  <c r="A480" i="48" s="1"/>
  <c r="A481" i="48" s="1"/>
  <c r="A482" i="48" s="1"/>
  <c r="A483" i="48" s="1"/>
  <c r="AF445" i="48"/>
  <c r="AE445" i="48"/>
  <c r="AC445" i="48"/>
  <c r="Z445" i="48"/>
  <c r="AB445" i="48" s="1"/>
  <c r="I445" i="48"/>
  <c r="H445" i="48"/>
  <c r="G445" i="48"/>
  <c r="F445" i="48"/>
  <c r="AS445" i="48" s="1"/>
  <c r="E445" i="48"/>
  <c r="AU445" i="48" s="1"/>
  <c r="A445" i="48"/>
  <c r="AF444" i="48"/>
  <c r="AE444" i="48"/>
  <c r="AC444" i="48"/>
  <c r="AB444" i="48"/>
  <c r="AA444" i="48"/>
  <c r="AD444" i="48" s="1"/>
  <c r="Z444" i="48"/>
  <c r="I444" i="48"/>
  <c r="H444" i="48"/>
  <c r="G444" i="48"/>
  <c r="F444" i="48"/>
  <c r="AS444" i="48" s="1"/>
  <c r="E444" i="48"/>
  <c r="AU444" i="48" s="1"/>
  <c r="AT443" i="48"/>
  <c r="AF443" i="48"/>
  <c r="AE443" i="48"/>
  <c r="AC443" i="48"/>
  <c r="AB443" i="48"/>
  <c r="AA443" i="48"/>
  <c r="AD443" i="48" s="1"/>
  <c r="Z443" i="48"/>
  <c r="I443" i="48"/>
  <c r="H443" i="48"/>
  <c r="G443" i="48"/>
  <c r="F443" i="48"/>
  <c r="AS443" i="48" s="1"/>
  <c r="E443" i="48"/>
  <c r="AU443" i="48" s="1"/>
  <c r="AU442" i="48"/>
  <c r="AF442" i="48"/>
  <c r="AE442" i="48"/>
  <c r="AC442" i="48"/>
  <c r="AB442" i="48"/>
  <c r="AA442" i="48"/>
  <c r="AD442" i="48" s="1"/>
  <c r="Z442" i="48"/>
  <c r="I442" i="48"/>
  <c r="H442" i="48"/>
  <c r="G442" i="48"/>
  <c r="F442" i="48"/>
  <c r="AS442" i="48" s="1"/>
  <c r="E442" i="48"/>
  <c r="AS441" i="48"/>
  <c r="AF441" i="48"/>
  <c r="AE441" i="48"/>
  <c r="AC441" i="48"/>
  <c r="AB441" i="48"/>
  <c r="AA441" i="48"/>
  <c r="AD441" i="48" s="1"/>
  <c r="Z441" i="48"/>
  <c r="I441" i="48"/>
  <c r="H441" i="48"/>
  <c r="G441" i="48"/>
  <c r="F441" i="48"/>
  <c r="E441" i="48"/>
  <c r="AU441" i="48" s="1"/>
  <c r="AT440" i="48"/>
  <c r="AF440" i="48"/>
  <c r="AE440" i="48"/>
  <c r="AC440" i="48"/>
  <c r="AB440" i="48"/>
  <c r="AA440" i="48"/>
  <c r="AD440" i="48" s="1"/>
  <c r="Z440" i="48"/>
  <c r="I440" i="48"/>
  <c r="H440" i="48"/>
  <c r="G440" i="48"/>
  <c r="F440" i="48"/>
  <c r="AS440" i="48" s="1"/>
  <c r="E440" i="48"/>
  <c r="AU440" i="48" s="1"/>
  <c r="AT439" i="48"/>
  <c r="AF439" i="48"/>
  <c r="AE439" i="48"/>
  <c r="AC439" i="48"/>
  <c r="AB439" i="48"/>
  <c r="AA439" i="48"/>
  <c r="AD439" i="48" s="1"/>
  <c r="Z439" i="48"/>
  <c r="I439" i="48"/>
  <c r="H439" i="48"/>
  <c r="G439" i="48"/>
  <c r="F439" i="48"/>
  <c r="AS439" i="48" s="1"/>
  <c r="E439" i="48"/>
  <c r="AU439" i="48" s="1"/>
  <c r="AU438" i="48"/>
  <c r="AF438" i="48"/>
  <c r="AE438" i="48"/>
  <c r="AC438" i="48"/>
  <c r="AB438" i="48"/>
  <c r="AA438" i="48"/>
  <c r="AD438" i="48" s="1"/>
  <c r="Z438" i="48"/>
  <c r="I438" i="48"/>
  <c r="H438" i="48"/>
  <c r="G438" i="48"/>
  <c r="F438" i="48"/>
  <c r="AS438" i="48" s="1"/>
  <c r="E438" i="48"/>
  <c r="AF437" i="48"/>
  <c r="AE437" i="48"/>
  <c r="AC437" i="48"/>
  <c r="AB437" i="48"/>
  <c r="AA437" i="48"/>
  <c r="AD437" i="48" s="1"/>
  <c r="Z437" i="48"/>
  <c r="I437" i="48"/>
  <c r="H437" i="48"/>
  <c r="G437" i="48"/>
  <c r="F437" i="48"/>
  <c r="AS437" i="48" s="1"/>
  <c r="E437" i="48"/>
  <c r="AU437" i="48" s="1"/>
  <c r="AT436" i="48"/>
  <c r="AF436" i="48"/>
  <c r="AE436" i="48"/>
  <c r="AC436" i="48"/>
  <c r="AB436" i="48"/>
  <c r="AA436" i="48"/>
  <c r="AD436" i="48" s="1"/>
  <c r="Z436" i="48"/>
  <c r="I436" i="48"/>
  <c r="H436" i="48"/>
  <c r="G436" i="48"/>
  <c r="F436" i="48"/>
  <c r="AS436" i="48" s="1"/>
  <c r="E436" i="48"/>
  <c r="AU436" i="48" s="1"/>
  <c r="AT435" i="48"/>
  <c r="AF435" i="48"/>
  <c r="AE435" i="48"/>
  <c r="AC435" i="48"/>
  <c r="AB435" i="48"/>
  <c r="AA435" i="48"/>
  <c r="AD435" i="48" s="1"/>
  <c r="Z435" i="48"/>
  <c r="I435" i="48"/>
  <c r="H435" i="48"/>
  <c r="G435" i="48"/>
  <c r="F435" i="48"/>
  <c r="AS435" i="48" s="1"/>
  <c r="E435" i="48"/>
  <c r="AU435" i="48" s="1"/>
  <c r="AF434" i="48"/>
  <c r="AE434" i="48"/>
  <c r="AC434" i="48"/>
  <c r="AB434" i="48"/>
  <c r="AA434" i="48"/>
  <c r="AD434" i="48" s="1"/>
  <c r="Z434" i="48"/>
  <c r="I434" i="48"/>
  <c r="H434" i="48"/>
  <c r="G434" i="48"/>
  <c r="F434" i="48"/>
  <c r="AS434" i="48" s="1"/>
  <c r="E434" i="48"/>
  <c r="AU434" i="48" s="1"/>
  <c r="AF433" i="48"/>
  <c r="AE433" i="48"/>
  <c r="AC433" i="48"/>
  <c r="AB433" i="48"/>
  <c r="AA433" i="48"/>
  <c r="AD433" i="48" s="1"/>
  <c r="Z433" i="48"/>
  <c r="I433" i="48"/>
  <c r="H433" i="48"/>
  <c r="G433" i="48"/>
  <c r="F433" i="48"/>
  <c r="AS433" i="48" s="1"/>
  <c r="E433" i="48"/>
  <c r="AU433" i="48" s="1"/>
  <c r="AF432" i="48"/>
  <c r="AT432" i="48" s="1"/>
  <c r="AE432" i="48"/>
  <c r="AC432" i="48"/>
  <c r="Z432" i="48"/>
  <c r="AB432" i="48" s="1"/>
  <c r="I432" i="48"/>
  <c r="H432" i="48"/>
  <c r="G432" i="48"/>
  <c r="F432" i="48"/>
  <c r="AS432" i="48" s="1"/>
  <c r="E432" i="48"/>
  <c r="AU432" i="48" s="1"/>
  <c r="AT431" i="48"/>
  <c r="AF431" i="48"/>
  <c r="AE431" i="48"/>
  <c r="AC431" i="48"/>
  <c r="AB431" i="48"/>
  <c r="Z431" i="48"/>
  <c r="I431" i="48"/>
  <c r="H431" i="48"/>
  <c r="G431" i="48"/>
  <c r="F431" i="48"/>
  <c r="AS431" i="48" s="1"/>
  <c r="AA431" i="48" s="1"/>
  <c r="AD431" i="48" s="1"/>
  <c r="E431" i="48"/>
  <c r="AU431" i="48" s="1"/>
  <c r="AF430" i="48"/>
  <c r="AE430" i="48"/>
  <c r="AC430" i="48"/>
  <c r="Z430" i="48"/>
  <c r="AB430" i="48" s="1"/>
  <c r="I430" i="48"/>
  <c r="H430" i="48"/>
  <c r="G430" i="48"/>
  <c r="F430" i="48"/>
  <c r="AS430" i="48" s="1"/>
  <c r="E430" i="48"/>
  <c r="AU430" i="48" s="1"/>
  <c r="AS429" i="48"/>
  <c r="AF429" i="48"/>
  <c r="AE429" i="48"/>
  <c r="AC429" i="48"/>
  <c r="AB429" i="48"/>
  <c r="AA429" i="48"/>
  <c r="AD429" i="48" s="1"/>
  <c r="Z429" i="48"/>
  <c r="I429" i="48"/>
  <c r="H429" i="48"/>
  <c r="G429" i="48"/>
  <c r="F429" i="48"/>
  <c r="E429" i="48"/>
  <c r="AU429" i="48" s="1"/>
  <c r="AF428" i="48"/>
  <c r="AT428" i="48" s="1"/>
  <c r="AE428" i="48"/>
  <c r="AC428" i="48"/>
  <c r="Z428" i="48"/>
  <c r="AB428" i="48" s="1"/>
  <c r="I428" i="48"/>
  <c r="H428" i="48"/>
  <c r="G428" i="48"/>
  <c r="F428" i="48"/>
  <c r="AS428" i="48" s="1"/>
  <c r="E428" i="48"/>
  <c r="AU428" i="48" s="1"/>
  <c r="AT427" i="48"/>
  <c r="AF427" i="48"/>
  <c r="AE427" i="48"/>
  <c r="AC427" i="48"/>
  <c r="Z427" i="48"/>
  <c r="AB427" i="48" s="1"/>
  <c r="I427" i="48"/>
  <c r="H427" i="48"/>
  <c r="G427" i="48"/>
  <c r="F427" i="48"/>
  <c r="AS427" i="48" s="1"/>
  <c r="AA427" i="48" s="1"/>
  <c r="AD427" i="48" s="1"/>
  <c r="E427" i="48"/>
  <c r="AU427" i="48" s="1"/>
  <c r="AU426" i="48"/>
  <c r="AF426" i="48"/>
  <c r="AE426" i="48"/>
  <c r="AC426" i="48"/>
  <c r="Z426" i="48"/>
  <c r="AB426" i="48" s="1"/>
  <c r="I426" i="48"/>
  <c r="H426" i="48"/>
  <c r="G426" i="48"/>
  <c r="F426" i="48"/>
  <c r="AS426" i="48" s="1"/>
  <c r="E426" i="48"/>
  <c r="AS425" i="48"/>
  <c r="AF425" i="48"/>
  <c r="AE425" i="48"/>
  <c r="AC425" i="48"/>
  <c r="AB425" i="48"/>
  <c r="Z425" i="48"/>
  <c r="I425" i="48"/>
  <c r="H425" i="48"/>
  <c r="G425" i="48"/>
  <c r="F425" i="48"/>
  <c r="E425" i="48"/>
  <c r="AU425" i="48" s="1"/>
  <c r="AF424" i="48"/>
  <c r="AE424" i="48"/>
  <c r="AC424" i="48"/>
  <c r="AB424" i="48"/>
  <c r="AA424" i="48"/>
  <c r="AD424" i="48" s="1"/>
  <c r="Z424" i="48"/>
  <c r="I424" i="48"/>
  <c r="H424" i="48"/>
  <c r="G424" i="48"/>
  <c r="F424" i="48"/>
  <c r="AS424" i="48" s="1"/>
  <c r="E424" i="48"/>
  <c r="AU424" i="48" s="1"/>
  <c r="AU423" i="48"/>
  <c r="AF423" i="48"/>
  <c r="AT423" i="48" s="1"/>
  <c r="AE423" i="48"/>
  <c r="AC423" i="48"/>
  <c r="Z423" i="48"/>
  <c r="AB423" i="48" s="1"/>
  <c r="I423" i="48"/>
  <c r="H423" i="48"/>
  <c r="G423" i="48"/>
  <c r="F423" i="48"/>
  <c r="AS423" i="48" s="1"/>
  <c r="E423" i="48"/>
  <c r="AF422" i="48"/>
  <c r="AE422" i="48"/>
  <c r="AC422" i="48"/>
  <c r="AB422" i="48"/>
  <c r="AA422" i="48"/>
  <c r="AD422" i="48" s="1"/>
  <c r="Z422" i="48"/>
  <c r="I422" i="48"/>
  <c r="H422" i="48"/>
  <c r="G422" i="48"/>
  <c r="F422" i="48"/>
  <c r="AS422" i="48" s="1"/>
  <c r="E422" i="48"/>
  <c r="AU422" i="48" s="1"/>
  <c r="AF421" i="48"/>
  <c r="AE421" i="48"/>
  <c r="AC421" i="48"/>
  <c r="Z421" i="48"/>
  <c r="AB421" i="48" s="1"/>
  <c r="I421" i="48"/>
  <c r="H421" i="48"/>
  <c r="G421" i="48"/>
  <c r="F421" i="48"/>
  <c r="AS421" i="48" s="1"/>
  <c r="E421" i="48"/>
  <c r="AU421" i="48" s="1"/>
  <c r="AF420" i="48"/>
  <c r="AE420" i="48"/>
  <c r="AC420" i="48"/>
  <c r="AB420" i="48"/>
  <c r="AA420" i="48"/>
  <c r="AD420" i="48" s="1"/>
  <c r="Z420" i="48"/>
  <c r="I420" i="48"/>
  <c r="H420" i="48"/>
  <c r="G420" i="48"/>
  <c r="F420" i="48"/>
  <c r="AS420" i="48" s="1"/>
  <c r="E420" i="48"/>
  <c r="AU420" i="48" s="1"/>
  <c r="AF419" i="48"/>
  <c r="AE419" i="48"/>
  <c r="AC419" i="48"/>
  <c r="AB419" i="48"/>
  <c r="AA419" i="48"/>
  <c r="AD419" i="48" s="1"/>
  <c r="Z419" i="48"/>
  <c r="I419" i="48"/>
  <c r="H419" i="48"/>
  <c r="G419" i="48"/>
  <c r="F419" i="48"/>
  <c r="AS419" i="48" s="1"/>
  <c r="E419" i="48"/>
  <c r="AU419" i="48" s="1"/>
  <c r="AS418" i="48"/>
  <c r="AF418" i="48"/>
  <c r="AE418" i="48"/>
  <c r="AC418" i="48"/>
  <c r="AB418" i="48"/>
  <c r="Z418" i="48"/>
  <c r="I418" i="48"/>
  <c r="H418" i="48"/>
  <c r="G418" i="48"/>
  <c r="F418" i="48"/>
  <c r="E418" i="48"/>
  <c r="AU418" i="48" s="1"/>
  <c r="AF417" i="48"/>
  <c r="AE417" i="48"/>
  <c r="AC417" i="48"/>
  <c r="AB417" i="48"/>
  <c r="AA417" i="48"/>
  <c r="AD417" i="48" s="1"/>
  <c r="Z417" i="48"/>
  <c r="I417" i="48"/>
  <c r="H417" i="48"/>
  <c r="G417" i="48"/>
  <c r="F417" i="48"/>
  <c r="AS417" i="48" s="1"/>
  <c r="E417" i="48"/>
  <c r="AU417" i="48" s="1"/>
  <c r="AF416" i="48"/>
  <c r="AE416" i="48"/>
  <c r="AC416" i="48"/>
  <c r="Z416" i="48"/>
  <c r="AB416" i="48" s="1"/>
  <c r="I416" i="48"/>
  <c r="H416" i="48"/>
  <c r="G416" i="48"/>
  <c r="F416" i="48"/>
  <c r="AS416" i="48" s="1"/>
  <c r="E416" i="48"/>
  <c r="AU416" i="48" s="1"/>
  <c r="AF415" i="48"/>
  <c r="AE415" i="48"/>
  <c r="AC415" i="48"/>
  <c r="Z415" i="48"/>
  <c r="AB415" i="48" s="1"/>
  <c r="I415" i="48"/>
  <c r="H415" i="48"/>
  <c r="G415" i="48"/>
  <c r="F415" i="48"/>
  <c r="AS415" i="48" s="1"/>
  <c r="E415" i="48"/>
  <c r="AU415" i="48" s="1"/>
  <c r="AS414" i="48"/>
  <c r="AF414" i="48"/>
  <c r="AE414" i="48"/>
  <c r="AC414" i="48"/>
  <c r="AB414" i="48"/>
  <c r="AA414" i="48"/>
  <c r="AD414" i="48" s="1"/>
  <c r="Z414" i="48"/>
  <c r="I414" i="48"/>
  <c r="H414" i="48"/>
  <c r="G414" i="48"/>
  <c r="F414" i="48"/>
  <c r="E414" i="48"/>
  <c r="AU414" i="48" s="1"/>
  <c r="AS413" i="48"/>
  <c r="AF413" i="48"/>
  <c r="AE413" i="48"/>
  <c r="AC413" i="48"/>
  <c r="AB413" i="48"/>
  <c r="AA413" i="48"/>
  <c r="AD413" i="48" s="1"/>
  <c r="Z413" i="48"/>
  <c r="I413" i="48"/>
  <c r="H413" i="48"/>
  <c r="G413" i="48"/>
  <c r="F413" i="48"/>
  <c r="E413" i="48"/>
  <c r="AU413" i="48" s="1"/>
  <c r="AF412" i="48"/>
  <c r="AE412" i="48"/>
  <c r="AC412" i="48"/>
  <c r="Z412" i="48"/>
  <c r="AB412" i="48" s="1"/>
  <c r="I412" i="48"/>
  <c r="H412" i="48"/>
  <c r="G412" i="48"/>
  <c r="F412" i="48"/>
  <c r="AS412" i="48" s="1"/>
  <c r="E412" i="48"/>
  <c r="AU412" i="48" s="1"/>
  <c r="AF411" i="48"/>
  <c r="AE411" i="48"/>
  <c r="AC411" i="48"/>
  <c r="AB411" i="48"/>
  <c r="AA411" i="48"/>
  <c r="AD411" i="48" s="1"/>
  <c r="Z411" i="48"/>
  <c r="I411" i="48"/>
  <c r="H411" i="48"/>
  <c r="G411" i="48"/>
  <c r="F411" i="48"/>
  <c r="AS411" i="48" s="1"/>
  <c r="AT411" i="48" s="1"/>
  <c r="E411" i="48"/>
  <c r="AU411" i="48" s="1"/>
  <c r="AU410" i="48"/>
  <c r="AF410" i="48"/>
  <c r="AE410" i="48"/>
  <c r="AC410" i="48"/>
  <c r="Z410" i="48"/>
  <c r="AB410" i="48" s="1"/>
  <c r="I410" i="48"/>
  <c r="H410" i="48"/>
  <c r="G410" i="48"/>
  <c r="F410" i="48"/>
  <c r="AS410" i="48" s="1"/>
  <c r="E410" i="48"/>
  <c r="AS409" i="48"/>
  <c r="AF409" i="48"/>
  <c r="AE409" i="48"/>
  <c r="AC409" i="48"/>
  <c r="AB409" i="48"/>
  <c r="AA409" i="48"/>
  <c r="AD409" i="48" s="1"/>
  <c r="Z409" i="48"/>
  <c r="I409" i="48"/>
  <c r="H409" i="48"/>
  <c r="G409" i="48"/>
  <c r="F409" i="48"/>
  <c r="E409" i="48"/>
  <c r="AU409" i="48" s="1"/>
  <c r="AF408" i="48"/>
  <c r="AE408" i="48"/>
  <c r="AC408" i="48"/>
  <c r="Z408" i="48"/>
  <c r="AB408" i="48" s="1"/>
  <c r="I408" i="48"/>
  <c r="H408" i="48"/>
  <c r="G408" i="48"/>
  <c r="F408" i="48"/>
  <c r="AS408" i="48" s="1"/>
  <c r="E408" i="48"/>
  <c r="AU408" i="48" s="1"/>
  <c r="AU407" i="48"/>
  <c r="AF407" i="48"/>
  <c r="AE407" i="48"/>
  <c r="AC407" i="48"/>
  <c r="Z407" i="48"/>
  <c r="AB407" i="48" s="1"/>
  <c r="I407" i="48"/>
  <c r="H407" i="48"/>
  <c r="G407" i="48"/>
  <c r="F407" i="48"/>
  <c r="AS407" i="48" s="1"/>
  <c r="E407" i="48"/>
  <c r="AF406" i="48"/>
  <c r="AE406" i="48"/>
  <c r="AC406" i="48"/>
  <c r="Z406" i="48"/>
  <c r="AB406" i="48" s="1"/>
  <c r="I406" i="48"/>
  <c r="H406" i="48"/>
  <c r="G406" i="48"/>
  <c r="F406" i="48"/>
  <c r="AS406" i="48" s="1"/>
  <c r="E406" i="48"/>
  <c r="AU406" i="48" s="1"/>
  <c r="AS405" i="48"/>
  <c r="AF405" i="48"/>
  <c r="AE405" i="48"/>
  <c r="AC405" i="48"/>
  <c r="AB405" i="48"/>
  <c r="Z405" i="48"/>
  <c r="I405" i="48"/>
  <c r="H405" i="48"/>
  <c r="G405" i="48"/>
  <c r="F405" i="48"/>
  <c r="E405" i="48"/>
  <c r="AU405" i="48" s="1"/>
  <c r="A405" i="48"/>
  <c r="A406" i="48" s="1"/>
  <c r="A407" i="48" s="1"/>
  <c r="A408" i="48" s="1"/>
  <c r="A409" i="48" s="1"/>
  <c r="A410" i="48" s="1"/>
  <c r="A411" i="48" s="1"/>
  <c r="A412" i="48" s="1"/>
  <c r="A413" i="48" s="1"/>
  <c r="A414" i="48" s="1"/>
  <c r="A415" i="48" s="1"/>
  <c r="A416" i="48" s="1"/>
  <c r="A417" i="48" s="1"/>
  <c r="A418" i="48" s="1"/>
  <c r="A419" i="48" s="1"/>
  <c r="A420" i="48" s="1"/>
  <c r="A421" i="48" s="1"/>
  <c r="A422" i="48" s="1"/>
  <c r="A423" i="48" s="1"/>
  <c r="A424" i="48" s="1"/>
  <c r="A425" i="48" s="1"/>
  <c r="A426" i="48" s="1"/>
  <c r="A427" i="48" s="1"/>
  <c r="A428" i="48" s="1"/>
  <c r="A429" i="48" s="1"/>
  <c r="A430" i="48" s="1"/>
  <c r="A431" i="48" s="1"/>
  <c r="A432" i="48" s="1"/>
  <c r="A433" i="48" s="1"/>
  <c r="A434" i="48" s="1"/>
  <c r="A435" i="48" s="1"/>
  <c r="A436" i="48" s="1"/>
  <c r="A437" i="48" s="1"/>
  <c r="A438" i="48" s="1"/>
  <c r="A439" i="48" s="1"/>
  <c r="A440" i="48" s="1"/>
  <c r="A441" i="48" s="1"/>
  <c r="A442" i="48" s="1"/>
  <c r="A443" i="48" s="1"/>
  <c r="AF404" i="48"/>
  <c r="AE404" i="48"/>
  <c r="AD404" i="48"/>
  <c r="AC404" i="48"/>
  <c r="AB404" i="48"/>
  <c r="AA404" i="48"/>
  <c r="Z404" i="48"/>
  <c r="I404" i="48"/>
  <c r="H404" i="48"/>
  <c r="G404" i="48"/>
  <c r="F404" i="48"/>
  <c r="AS404" i="48" s="1"/>
  <c r="E404" i="48"/>
  <c r="AU404" i="48" s="1"/>
  <c r="AT403" i="48"/>
  <c r="AF403" i="48"/>
  <c r="AE403" i="48"/>
  <c r="AC403" i="48"/>
  <c r="AB403" i="48"/>
  <c r="AA403" i="48"/>
  <c r="AD403" i="48" s="1"/>
  <c r="Z403" i="48"/>
  <c r="I403" i="48"/>
  <c r="H403" i="48"/>
  <c r="G403" i="48"/>
  <c r="F403" i="48"/>
  <c r="AS403" i="48" s="1"/>
  <c r="E403" i="48"/>
  <c r="AU403" i="48" s="1"/>
  <c r="AT402" i="48"/>
  <c r="AF402" i="48"/>
  <c r="AE402" i="48"/>
  <c r="AC402" i="48"/>
  <c r="AB402" i="48"/>
  <c r="AA402" i="48"/>
  <c r="AD402" i="48" s="1"/>
  <c r="Z402" i="48"/>
  <c r="I402" i="48"/>
  <c r="H402" i="48"/>
  <c r="G402" i="48"/>
  <c r="F402" i="48"/>
  <c r="AS402" i="48" s="1"/>
  <c r="E402" i="48"/>
  <c r="AU402" i="48" s="1"/>
  <c r="AF401" i="48"/>
  <c r="AE401" i="48"/>
  <c r="AC401" i="48"/>
  <c r="AB401" i="48"/>
  <c r="AA401" i="48"/>
  <c r="AD401" i="48" s="1"/>
  <c r="Z401" i="48"/>
  <c r="I401" i="48"/>
  <c r="H401" i="48"/>
  <c r="G401" i="48"/>
  <c r="F401" i="48"/>
  <c r="AS401" i="48" s="1"/>
  <c r="E401" i="48"/>
  <c r="AU401" i="48" s="1"/>
  <c r="AF400" i="48"/>
  <c r="AE400" i="48"/>
  <c r="AD400" i="48"/>
  <c r="AC400" i="48"/>
  <c r="AB400" i="48"/>
  <c r="AA400" i="48"/>
  <c r="Z400" i="48"/>
  <c r="I400" i="48"/>
  <c r="H400" i="48"/>
  <c r="G400" i="48"/>
  <c r="F400" i="48"/>
  <c r="AS400" i="48" s="1"/>
  <c r="E400" i="48"/>
  <c r="AU400" i="48" s="1"/>
  <c r="AT399" i="48"/>
  <c r="AF399" i="48"/>
  <c r="AE399" i="48"/>
  <c r="AC399" i="48"/>
  <c r="AB399" i="48"/>
  <c r="AA399" i="48"/>
  <c r="AD399" i="48" s="1"/>
  <c r="Z399" i="48"/>
  <c r="I399" i="48"/>
  <c r="H399" i="48"/>
  <c r="G399" i="48"/>
  <c r="F399" i="48"/>
  <c r="AS399" i="48" s="1"/>
  <c r="E399" i="48"/>
  <c r="AU399" i="48" s="1"/>
  <c r="AT398" i="48"/>
  <c r="AF398" i="48"/>
  <c r="AE398" i="48"/>
  <c r="AC398" i="48"/>
  <c r="AB398" i="48"/>
  <c r="AA398" i="48"/>
  <c r="AD398" i="48" s="1"/>
  <c r="Z398" i="48"/>
  <c r="I398" i="48"/>
  <c r="H398" i="48"/>
  <c r="G398" i="48"/>
  <c r="F398" i="48"/>
  <c r="AS398" i="48" s="1"/>
  <c r="E398" i="48"/>
  <c r="AU398" i="48" s="1"/>
  <c r="AF397" i="48"/>
  <c r="AE397" i="48"/>
  <c r="AC397" i="48"/>
  <c r="AB397" i="48"/>
  <c r="AA397" i="48"/>
  <c r="AD397" i="48" s="1"/>
  <c r="Z397" i="48"/>
  <c r="I397" i="48"/>
  <c r="H397" i="48"/>
  <c r="G397" i="48"/>
  <c r="F397" i="48"/>
  <c r="AS397" i="48" s="1"/>
  <c r="E397" i="48"/>
  <c r="AU397" i="48" s="1"/>
  <c r="AF396" i="48"/>
  <c r="AE396" i="48"/>
  <c r="AD396" i="48"/>
  <c r="AC396" i="48"/>
  <c r="AB396" i="48"/>
  <c r="AA396" i="48"/>
  <c r="Z396" i="48"/>
  <c r="I396" i="48"/>
  <c r="H396" i="48"/>
  <c r="G396" i="48"/>
  <c r="F396" i="48"/>
  <c r="AS396" i="48" s="1"/>
  <c r="E396" i="48"/>
  <c r="AU396" i="48" s="1"/>
  <c r="AT395" i="48"/>
  <c r="AF395" i="48"/>
  <c r="AE395" i="48"/>
  <c r="AC395" i="48"/>
  <c r="AB395" i="48"/>
  <c r="AA395" i="48"/>
  <c r="AD395" i="48" s="1"/>
  <c r="Z395" i="48"/>
  <c r="I395" i="48"/>
  <c r="H395" i="48"/>
  <c r="G395" i="48"/>
  <c r="F395" i="48"/>
  <c r="AS395" i="48" s="1"/>
  <c r="E395" i="48"/>
  <c r="AU395" i="48" s="1"/>
  <c r="AT394" i="48"/>
  <c r="AF394" i="48"/>
  <c r="AE394" i="48"/>
  <c r="AC394" i="48"/>
  <c r="AB394" i="48"/>
  <c r="AA394" i="48"/>
  <c r="AD394" i="48" s="1"/>
  <c r="Z394" i="48"/>
  <c r="I394" i="48"/>
  <c r="H394" i="48"/>
  <c r="G394" i="48"/>
  <c r="F394" i="48"/>
  <c r="AS394" i="48" s="1"/>
  <c r="E394" i="48"/>
  <c r="AU394" i="48" s="1"/>
  <c r="AF393" i="48"/>
  <c r="AE393" i="48"/>
  <c r="AC393" i="48"/>
  <c r="Z393" i="48"/>
  <c r="AB393" i="48" s="1"/>
  <c r="I393" i="48"/>
  <c r="H393" i="48"/>
  <c r="G393" i="48"/>
  <c r="F393" i="48"/>
  <c r="AS393" i="48" s="1"/>
  <c r="E393" i="48"/>
  <c r="AU393" i="48" s="1"/>
  <c r="AS392" i="48"/>
  <c r="AF392" i="48"/>
  <c r="AE392" i="48"/>
  <c r="AC392" i="48"/>
  <c r="AB392" i="48"/>
  <c r="AA392" i="48"/>
  <c r="AD392" i="48" s="1"/>
  <c r="Z392" i="48"/>
  <c r="I392" i="48"/>
  <c r="H392" i="48"/>
  <c r="G392" i="48"/>
  <c r="F392" i="48"/>
  <c r="E392" i="48"/>
  <c r="AU392" i="48" s="1"/>
  <c r="AF391" i="48"/>
  <c r="AT391" i="48" s="1"/>
  <c r="AE391" i="48"/>
  <c r="AC391" i="48"/>
  <c r="Z391" i="48"/>
  <c r="AB391" i="48" s="1"/>
  <c r="I391" i="48"/>
  <c r="H391" i="48"/>
  <c r="G391" i="48"/>
  <c r="F391" i="48"/>
  <c r="AS391" i="48" s="1"/>
  <c r="E391" i="48"/>
  <c r="AU391" i="48" s="1"/>
  <c r="AT390" i="48"/>
  <c r="AF390" i="48"/>
  <c r="AE390" i="48"/>
  <c r="AC390" i="48"/>
  <c r="AB390" i="48"/>
  <c r="AA390" i="48"/>
  <c r="AD390" i="48" s="1"/>
  <c r="Z390" i="48"/>
  <c r="I390" i="48"/>
  <c r="H390" i="48"/>
  <c r="G390" i="48"/>
  <c r="F390" i="48"/>
  <c r="AS390" i="48" s="1"/>
  <c r="E390" i="48"/>
  <c r="AU390" i="48" s="1"/>
  <c r="AU389" i="48"/>
  <c r="AF389" i="48"/>
  <c r="AE389" i="48"/>
  <c r="AC389" i="48"/>
  <c r="Z389" i="48"/>
  <c r="AB389" i="48" s="1"/>
  <c r="I389" i="48"/>
  <c r="H389" i="48"/>
  <c r="G389" i="48"/>
  <c r="F389" i="48"/>
  <c r="AS389" i="48" s="1"/>
  <c r="E389" i="48"/>
  <c r="AF388" i="48"/>
  <c r="AE388" i="48"/>
  <c r="AC388" i="48"/>
  <c r="Z388" i="48"/>
  <c r="AB388" i="48" s="1"/>
  <c r="I388" i="48"/>
  <c r="H388" i="48"/>
  <c r="G388" i="48"/>
  <c r="F388" i="48"/>
  <c r="AS388" i="48" s="1"/>
  <c r="E388" i="48"/>
  <c r="AU388" i="48" s="1"/>
  <c r="AF387" i="48"/>
  <c r="AT387" i="48" s="1"/>
  <c r="AE387" i="48"/>
  <c r="AC387" i="48"/>
  <c r="Z387" i="48"/>
  <c r="AB387" i="48" s="1"/>
  <c r="I387" i="48"/>
  <c r="H387" i="48"/>
  <c r="G387" i="48"/>
  <c r="F387" i="48"/>
  <c r="AS387" i="48" s="1"/>
  <c r="E387" i="48"/>
  <c r="AU387" i="48" s="1"/>
  <c r="AT386" i="48"/>
  <c r="AF386" i="48"/>
  <c r="AE386" i="48"/>
  <c r="AC386" i="48"/>
  <c r="Z386" i="48"/>
  <c r="AB386" i="48" s="1"/>
  <c r="I386" i="48"/>
  <c r="H386" i="48"/>
  <c r="G386" i="48"/>
  <c r="F386" i="48"/>
  <c r="AS386" i="48" s="1"/>
  <c r="AA386" i="48" s="1"/>
  <c r="AD386" i="48" s="1"/>
  <c r="E386" i="48"/>
  <c r="AU386" i="48" s="1"/>
  <c r="AF385" i="48"/>
  <c r="AT385" i="48" s="1"/>
  <c r="AE385" i="48"/>
  <c r="AC385" i="48"/>
  <c r="AB385" i="48"/>
  <c r="AA385" i="48"/>
  <c r="AD385" i="48" s="1"/>
  <c r="Z385" i="48"/>
  <c r="I385" i="48"/>
  <c r="H385" i="48"/>
  <c r="G385" i="48"/>
  <c r="F385" i="48"/>
  <c r="AS385" i="48" s="1"/>
  <c r="E385" i="48"/>
  <c r="AU385" i="48" s="1"/>
  <c r="AF384" i="48"/>
  <c r="AE384" i="48"/>
  <c r="AC384" i="48"/>
  <c r="Z384" i="48"/>
  <c r="AB384" i="48" s="1"/>
  <c r="I384" i="48"/>
  <c r="H384" i="48"/>
  <c r="G384" i="48"/>
  <c r="F384" i="48"/>
  <c r="AS384" i="48" s="1"/>
  <c r="E384" i="48"/>
  <c r="AU384" i="48" s="1"/>
  <c r="AT383" i="48"/>
  <c r="AF383" i="48"/>
  <c r="AE383" i="48"/>
  <c r="AC383" i="48"/>
  <c r="AB383" i="48"/>
  <c r="AA383" i="48"/>
  <c r="AD383" i="48" s="1"/>
  <c r="Z383" i="48"/>
  <c r="I383" i="48"/>
  <c r="H383" i="48"/>
  <c r="G383" i="48"/>
  <c r="F383" i="48"/>
  <c r="AS383" i="48" s="1"/>
  <c r="E383" i="48"/>
  <c r="AU383" i="48" s="1"/>
  <c r="AF382" i="48"/>
  <c r="AA382" i="48" s="1"/>
  <c r="AD382" i="48" s="1"/>
  <c r="AE382" i="48"/>
  <c r="AC382" i="48"/>
  <c r="Z382" i="48"/>
  <c r="AB382" i="48" s="1"/>
  <c r="I382" i="48"/>
  <c r="H382" i="48"/>
  <c r="G382" i="48"/>
  <c r="F382" i="48"/>
  <c r="AS382" i="48" s="1"/>
  <c r="AT382" i="48" s="1"/>
  <c r="E382" i="48"/>
  <c r="AU382" i="48" s="1"/>
  <c r="AS381" i="48"/>
  <c r="AF381" i="48"/>
  <c r="AE381" i="48"/>
  <c r="AC381" i="48"/>
  <c r="AB381" i="48"/>
  <c r="AA381" i="48"/>
  <c r="AD381" i="48" s="1"/>
  <c r="Z381" i="48"/>
  <c r="I381" i="48"/>
  <c r="H381" i="48"/>
  <c r="G381" i="48"/>
  <c r="F381" i="48"/>
  <c r="E381" i="48"/>
  <c r="AU381" i="48" s="1"/>
  <c r="AS380" i="48"/>
  <c r="AF380" i="48"/>
  <c r="AE380" i="48"/>
  <c r="AC380" i="48"/>
  <c r="AB380" i="48"/>
  <c r="AA380" i="48"/>
  <c r="AD380" i="48" s="1"/>
  <c r="Z380" i="48"/>
  <c r="I380" i="48"/>
  <c r="H380" i="48"/>
  <c r="G380" i="48"/>
  <c r="F380" i="48"/>
  <c r="E380" i="48"/>
  <c r="AU380" i="48" s="1"/>
  <c r="AF379" i="48"/>
  <c r="AE379" i="48"/>
  <c r="AC379" i="48"/>
  <c r="Z379" i="48"/>
  <c r="AB379" i="48" s="1"/>
  <c r="I379" i="48"/>
  <c r="H379" i="48"/>
  <c r="G379" i="48"/>
  <c r="F379" i="48"/>
  <c r="AS379" i="48" s="1"/>
  <c r="AA379" i="48" s="1"/>
  <c r="AD379" i="48" s="1"/>
  <c r="E379" i="48"/>
  <c r="AU379" i="48" s="1"/>
  <c r="AF378" i="48"/>
  <c r="AE378" i="48"/>
  <c r="AC378" i="48"/>
  <c r="AB378" i="48"/>
  <c r="AA378" i="48"/>
  <c r="AD378" i="48" s="1"/>
  <c r="Z378" i="48"/>
  <c r="I378" i="48"/>
  <c r="H378" i="48"/>
  <c r="G378" i="48"/>
  <c r="F378" i="48"/>
  <c r="AS378" i="48" s="1"/>
  <c r="AT378" i="48" s="1"/>
  <c r="E378" i="48"/>
  <c r="AU378" i="48" s="1"/>
  <c r="AF377" i="48"/>
  <c r="AE377" i="48"/>
  <c r="AC377" i="48"/>
  <c r="Z377" i="48"/>
  <c r="AB377" i="48" s="1"/>
  <c r="I377" i="48"/>
  <c r="H377" i="48"/>
  <c r="G377" i="48"/>
  <c r="F377" i="48"/>
  <c r="AS377" i="48" s="1"/>
  <c r="E377" i="48"/>
  <c r="AU377" i="48" s="1"/>
  <c r="AS376" i="48"/>
  <c r="AF376" i="48"/>
  <c r="AE376" i="48"/>
  <c r="AC376" i="48"/>
  <c r="AB376" i="48"/>
  <c r="Z376" i="48"/>
  <c r="I376" i="48"/>
  <c r="H376" i="48"/>
  <c r="G376" i="48"/>
  <c r="F376" i="48"/>
  <c r="E376" i="48"/>
  <c r="AU376" i="48" s="1"/>
  <c r="AF375" i="48"/>
  <c r="AE375" i="48"/>
  <c r="AC375" i="48"/>
  <c r="AB375" i="48"/>
  <c r="AA375" i="48"/>
  <c r="AD375" i="48" s="1"/>
  <c r="Z375" i="48"/>
  <c r="I375" i="48"/>
  <c r="H375" i="48"/>
  <c r="G375" i="48"/>
  <c r="F375" i="48"/>
  <c r="AS375" i="48" s="1"/>
  <c r="E375" i="48"/>
  <c r="AU375" i="48" s="1"/>
  <c r="AU374" i="48"/>
  <c r="AF374" i="48"/>
  <c r="AE374" i="48"/>
  <c r="AC374" i="48"/>
  <c r="AB374" i="48"/>
  <c r="AA374" i="48"/>
  <c r="AD374" i="48" s="1"/>
  <c r="Z374" i="48"/>
  <c r="I374" i="48"/>
  <c r="H374" i="48"/>
  <c r="G374" i="48"/>
  <c r="F374" i="48"/>
  <c r="AS374" i="48" s="1"/>
  <c r="AT374" i="48" s="1"/>
  <c r="E374" i="48"/>
  <c r="AF373" i="48"/>
  <c r="AE373" i="48"/>
  <c r="AC373" i="48"/>
  <c r="Z373" i="48"/>
  <c r="AB373" i="48" s="1"/>
  <c r="I373" i="48"/>
  <c r="H373" i="48"/>
  <c r="G373" i="48"/>
  <c r="F373" i="48"/>
  <c r="AS373" i="48" s="1"/>
  <c r="E373" i="48"/>
  <c r="AU373" i="48" s="1"/>
  <c r="AS372" i="48"/>
  <c r="AF372" i="48"/>
  <c r="AE372" i="48"/>
  <c r="AC372" i="48"/>
  <c r="AB372" i="48"/>
  <c r="AA372" i="48"/>
  <c r="AD372" i="48" s="1"/>
  <c r="Z372" i="48"/>
  <c r="I372" i="48"/>
  <c r="H372" i="48"/>
  <c r="G372" i="48"/>
  <c r="F372" i="48"/>
  <c r="E372" i="48"/>
  <c r="AU372" i="48" s="1"/>
  <c r="AF371" i="48"/>
  <c r="AT371" i="48" s="1"/>
  <c r="AE371" i="48"/>
  <c r="AC371" i="48"/>
  <c r="Z371" i="48"/>
  <c r="AB371" i="48" s="1"/>
  <c r="I371" i="48"/>
  <c r="H371" i="48"/>
  <c r="G371" i="48"/>
  <c r="F371" i="48"/>
  <c r="AS371" i="48" s="1"/>
  <c r="E371" i="48"/>
  <c r="AU371" i="48" s="1"/>
  <c r="AF370" i="48"/>
  <c r="AE370" i="48"/>
  <c r="AC370" i="48"/>
  <c r="AB370" i="48"/>
  <c r="AA370" i="48"/>
  <c r="AD370" i="48" s="1"/>
  <c r="Z370" i="48"/>
  <c r="I370" i="48"/>
  <c r="H370" i="48"/>
  <c r="G370" i="48"/>
  <c r="F370" i="48"/>
  <c r="AS370" i="48" s="1"/>
  <c r="E370" i="48"/>
  <c r="AU370" i="48" s="1"/>
  <c r="AS369" i="48"/>
  <c r="AF369" i="48"/>
  <c r="AE369" i="48"/>
  <c r="AC369" i="48"/>
  <c r="AB369" i="48"/>
  <c r="Z369" i="48"/>
  <c r="I369" i="48"/>
  <c r="H369" i="48"/>
  <c r="G369" i="48"/>
  <c r="F369" i="48"/>
  <c r="E369" i="48"/>
  <c r="AU369" i="48" s="1"/>
  <c r="AF368" i="48"/>
  <c r="AE368" i="48"/>
  <c r="AC368" i="48"/>
  <c r="Z368" i="48"/>
  <c r="AB368" i="48" s="1"/>
  <c r="I368" i="48"/>
  <c r="H368" i="48"/>
  <c r="G368" i="48"/>
  <c r="F368" i="48"/>
  <c r="AS368" i="48" s="1"/>
  <c r="E368" i="48"/>
  <c r="AU368" i="48" s="1"/>
  <c r="AF367" i="48"/>
  <c r="AT367" i="48" s="1"/>
  <c r="AE367" i="48"/>
  <c r="AC367" i="48"/>
  <c r="Z367" i="48"/>
  <c r="AB367" i="48" s="1"/>
  <c r="I367" i="48"/>
  <c r="H367" i="48"/>
  <c r="G367" i="48"/>
  <c r="F367" i="48"/>
  <c r="AS367" i="48" s="1"/>
  <c r="E367" i="48"/>
  <c r="AU367" i="48" s="1"/>
  <c r="AF366" i="48"/>
  <c r="AE366" i="48"/>
  <c r="AC366" i="48"/>
  <c r="Z366" i="48"/>
  <c r="AB366" i="48" s="1"/>
  <c r="I366" i="48"/>
  <c r="H366" i="48"/>
  <c r="G366" i="48"/>
  <c r="F366" i="48"/>
  <c r="AS366" i="48" s="1"/>
  <c r="E366" i="48"/>
  <c r="AU366" i="48" s="1"/>
  <c r="A366" i="48"/>
  <c r="A367" i="48" s="1"/>
  <c r="A368" i="48" s="1"/>
  <c r="A369" i="48" s="1"/>
  <c r="A370" i="48" s="1"/>
  <c r="A371" i="48" s="1"/>
  <c r="A372" i="48" s="1"/>
  <c r="A373" i="48" s="1"/>
  <c r="A374" i="48" s="1"/>
  <c r="A375" i="48" s="1"/>
  <c r="A376" i="48" s="1"/>
  <c r="A377" i="48" s="1"/>
  <c r="A378" i="48" s="1"/>
  <c r="A379" i="48" s="1"/>
  <c r="A380" i="48" s="1"/>
  <c r="A381" i="48" s="1"/>
  <c r="A382" i="48" s="1"/>
  <c r="A383" i="48" s="1"/>
  <c r="A384" i="48" s="1"/>
  <c r="A385" i="48" s="1"/>
  <c r="A386" i="48" s="1"/>
  <c r="A387" i="48" s="1"/>
  <c r="A388" i="48" s="1"/>
  <c r="A389" i="48" s="1"/>
  <c r="A390" i="48" s="1"/>
  <c r="A391" i="48" s="1"/>
  <c r="A392" i="48" s="1"/>
  <c r="A393" i="48" s="1"/>
  <c r="A394" i="48" s="1"/>
  <c r="A395" i="48" s="1"/>
  <c r="A396" i="48" s="1"/>
  <c r="A397" i="48" s="1"/>
  <c r="A398" i="48" s="1"/>
  <c r="A399" i="48" s="1"/>
  <c r="A400" i="48" s="1"/>
  <c r="A401" i="48" s="1"/>
  <c r="A402" i="48" s="1"/>
  <c r="A403" i="48" s="1"/>
  <c r="AF365" i="48"/>
  <c r="AE365" i="48"/>
  <c r="AC365" i="48"/>
  <c r="AB365" i="48"/>
  <c r="AA365" i="48"/>
  <c r="AD365" i="48" s="1"/>
  <c r="Z365" i="48"/>
  <c r="I365" i="48"/>
  <c r="H365" i="48"/>
  <c r="G365" i="48"/>
  <c r="F365" i="48"/>
  <c r="AS365" i="48" s="1"/>
  <c r="E365" i="48"/>
  <c r="AU365" i="48" s="1"/>
  <c r="AF364" i="48"/>
  <c r="AT364" i="48" s="1"/>
  <c r="AE364" i="48"/>
  <c r="AC364" i="48"/>
  <c r="AB364" i="48"/>
  <c r="AA364" i="48"/>
  <c r="AD364" i="48" s="1"/>
  <c r="Z364" i="48"/>
  <c r="I364" i="48"/>
  <c r="H364" i="48"/>
  <c r="G364" i="48"/>
  <c r="F364" i="48"/>
  <c r="AS364" i="48" s="1"/>
  <c r="E364" i="48"/>
  <c r="AU364" i="48" s="1"/>
  <c r="AF363" i="48"/>
  <c r="AE363" i="48"/>
  <c r="AD363" i="48"/>
  <c r="AC363" i="48"/>
  <c r="AB363" i="48"/>
  <c r="AA363" i="48"/>
  <c r="Z363" i="48"/>
  <c r="I363" i="48"/>
  <c r="H363" i="48"/>
  <c r="G363" i="48"/>
  <c r="F363" i="48"/>
  <c r="AS363" i="48" s="1"/>
  <c r="E363" i="48"/>
  <c r="AU363" i="48" s="1"/>
  <c r="AT362" i="48"/>
  <c r="AF362" i="48"/>
  <c r="AE362" i="48"/>
  <c r="AC362" i="48"/>
  <c r="AB362" i="48"/>
  <c r="AA362" i="48"/>
  <c r="AD362" i="48" s="1"/>
  <c r="Z362" i="48"/>
  <c r="I362" i="48"/>
  <c r="H362" i="48"/>
  <c r="G362" i="48"/>
  <c r="F362" i="48"/>
  <c r="AS362" i="48" s="1"/>
  <c r="E362" i="48"/>
  <c r="AU362" i="48" s="1"/>
  <c r="AT361" i="48"/>
  <c r="AF361" i="48"/>
  <c r="AE361" i="48"/>
  <c r="AC361" i="48"/>
  <c r="AB361" i="48"/>
  <c r="AA361" i="48"/>
  <c r="AD361" i="48" s="1"/>
  <c r="Z361" i="48"/>
  <c r="I361" i="48"/>
  <c r="H361" i="48"/>
  <c r="G361" i="48"/>
  <c r="F361" i="48"/>
  <c r="AS361" i="48" s="1"/>
  <c r="E361" i="48"/>
  <c r="AU361" i="48" s="1"/>
  <c r="AF360" i="48"/>
  <c r="AT360" i="48" s="1"/>
  <c r="AE360" i="48"/>
  <c r="AC360" i="48"/>
  <c r="AB360" i="48"/>
  <c r="AA360" i="48"/>
  <c r="AD360" i="48" s="1"/>
  <c r="Z360" i="48"/>
  <c r="I360" i="48"/>
  <c r="H360" i="48"/>
  <c r="G360" i="48"/>
  <c r="F360" i="48"/>
  <c r="AS360" i="48" s="1"/>
  <c r="E360" i="48"/>
  <c r="AU360" i="48" s="1"/>
  <c r="AS359" i="48"/>
  <c r="AF359" i="48"/>
  <c r="AE359" i="48"/>
  <c r="AC359" i="48"/>
  <c r="AB359" i="48"/>
  <c r="AA359" i="48"/>
  <c r="AD359" i="48" s="1"/>
  <c r="Z359" i="48"/>
  <c r="I359" i="48"/>
  <c r="H359" i="48"/>
  <c r="G359" i="48"/>
  <c r="F359" i="48"/>
  <c r="E359" i="48"/>
  <c r="AU359" i="48" s="1"/>
  <c r="AF358" i="48"/>
  <c r="AE358" i="48"/>
  <c r="AC358" i="48"/>
  <c r="AB358" i="48"/>
  <c r="AA358" i="48"/>
  <c r="AD358" i="48" s="1"/>
  <c r="Z358" i="48"/>
  <c r="I358" i="48"/>
  <c r="H358" i="48"/>
  <c r="G358" i="48"/>
  <c r="F358" i="48"/>
  <c r="AS358" i="48" s="1"/>
  <c r="E358" i="48"/>
  <c r="AU358" i="48" s="1"/>
  <c r="AF357" i="48"/>
  <c r="AT357" i="48" s="1"/>
  <c r="AE357" i="48"/>
  <c r="AC357" i="48"/>
  <c r="AB357" i="48"/>
  <c r="AA357" i="48"/>
  <c r="AD357" i="48" s="1"/>
  <c r="Z357" i="48"/>
  <c r="I357" i="48"/>
  <c r="H357" i="48"/>
  <c r="G357" i="48"/>
  <c r="F357" i="48"/>
  <c r="AS357" i="48" s="1"/>
  <c r="E357" i="48"/>
  <c r="AU357" i="48" s="1"/>
  <c r="AF356" i="48"/>
  <c r="AT356" i="48" s="1"/>
  <c r="AE356" i="48"/>
  <c r="AC356" i="48"/>
  <c r="AB356" i="48"/>
  <c r="AA356" i="48"/>
  <c r="AD356" i="48" s="1"/>
  <c r="Z356" i="48"/>
  <c r="I356" i="48"/>
  <c r="H356" i="48"/>
  <c r="G356" i="48"/>
  <c r="F356" i="48"/>
  <c r="AS356" i="48" s="1"/>
  <c r="E356" i="48"/>
  <c r="AU356" i="48" s="1"/>
  <c r="AF355" i="48"/>
  <c r="AE355" i="48"/>
  <c r="AC355" i="48"/>
  <c r="AB355" i="48"/>
  <c r="AA355" i="48"/>
  <c r="AD355" i="48" s="1"/>
  <c r="Z355" i="48"/>
  <c r="I355" i="48"/>
  <c r="H355" i="48"/>
  <c r="G355" i="48"/>
  <c r="F355" i="48"/>
  <c r="AS355" i="48" s="1"/>
  <c r="E355" i="48"/>
  <c r="AU355" i="48" s="1"/>
  <c r="AF354" i="48"/>
  <c r="AT354" i="48" s="1"/>
  <c r="AE354" i="48"/>
  <c r="AC354" i="48"/>
  <c r="Z354" i="48"/>
  <c r="AB354" i="48" s="1"/>
  <c r="I354" i="48"/>
  <c r="H354" i="48"/>
  <c r="G354" i="48"/>
  <c r="F354" i="48"/>
  <c r="AS354" i="48" s="1"/>
  <c r="AA354" i="48" s="1"/>
  <c r="AD354" i="48" s="1"/>
  <c r="E354" i="48"/>
  <c r="AU354" i="48" s="1"/>
  <c r="AF353" i="48"/>
  <c r="AT353" i="48" s="1"/>
  <c r="AE353" i="48"/>
  <c r="AC353" i="48"/>
  <c r="AB353" i="48"/>
  <c r="AA353" i="48"/>
  <c r="AD353" i="48" s="1"/>
  <c r="Z353" i="48"/>
  <c r="I353" i="48"/>
  <c r="H353" i="48"/>
  <c r="G353" i="48"/>
  <c r="F353" i="48"/>
  <c r="AS353" i="48" s="1"/>
  <c r="E353" i="48"/>
  <c r="AU353" i="48" s="1"/>
  <c r="AF352" i="48"/>
  <c r="AE352" i="48"/>
  <c r="AC352" i="48"/>
  <c r="Z352" i="48"/>
  <c r="AB352" i="48" s="1"/>
  <c r="I352" i="48"/>
  <c r="H352" i="48"/>
  <c r="G352" i="48"/>
  <c r="F352" i="48"/>
  <c r="AS352" i="48" s="1"/>
  <c r="E352" i="48"/>
  <c r="AU352" i="48" s="1"/>
  <c r="AF351" i="48"/>
  <c r="AE351" i="48"/>
  <c r="AD351" i="48"/>
  <c r="AC351" i="48"/>
  <c r="AB351" i="48"/>
  <c r="AA351" i="48"/>
  <c r="Z351" i="48"/>
  <c r="I351" i="48"/>
  <c r="H351" i="48"/>
  <c r="G351" i="48"/>
  <c r="F351" i="48"/>
  <c r="AS351" i="48" s="1"/>
  <c r="E351" i="48"/>
  <c r="AU351" i="48" s="1"/>
  <c r="AT350" i="48"/>
  <c r="AF350" i="48"/>
  <c r="AE350" i="48"/>
  <c r="AC350" i="48"/>
  <c r="Z350" i="48"/>
  <c r="AB350" i="48" s="1"/>
  <c r="I350" i="48"/>
  <c r="H350" i="48"/>
  <c r="G350" i="48"/>
  <c r="F350" i="48"/>
  <c r="AS350" i="48" s="1"/>
  <c r="AA350" i="48" s="1"/>
  <c r="AD350" i="48" s="1"/>
  <c r="E350" i="48"/>
  <c r="AU350" i="48" s="1"/>
  <c r="AF349" i="48"/>
  <c r="AT349" i="48" s="1"/>
  <c r="AE349" i="48"/>
  <c r="AC349" i="48"/>
  <c r="Z349" i="48"/>
  <c r="AB349" i="48" s="1"/>
  <c r="I349" i="48"/>
  <c r="H349" i="48"/>
  <c r="G349" i="48"/>
  <c r="F349" i="48"/>
  <c r="AS349" i="48" s="1"/>
  <c r="E349" i="48"/>
  <c r="AU349" i="48" s="1"/>
  <c r="AS348" i="48"/>
  <c r="AA348" i="48" s="1"/>
  <c r="AD348" i="48" s="1"/>
  <c r="AF348" i="48"/>
  <c r="AT348" i="48" s="1"/>
  <c r="AE348" i="48"/>
  <c r="AC348" i="48"/>
  <c r="AB348" i="48"/>
  <c r="Z348" i="48"/>
  <c r="I348" i="48"/>
  <c r="H348" i="48"/>
  <c r="G348" i="48"/>
  <c r="F348" i="48"/>
  <c r="E348" i="48"/>
  <c r="AU348" i="48" s="1"/>
  <c r="AV348" i="48" s="1"/>
  <c r="AF347" i="48"/>
  <c r="AE347" i="48"/>
  <c r="AC347" i="48"/>
  <c r="Z347" i="48"/>
  <c r="AB347" i="48" s="1"/>
  <c r="I347" i="48"/>
  <c r="H347" i="48"/>
  <c r="G347" i="48"/>
  <c r="F347" i="48"/>
  <c r="AS347" i="48" s="1"/>
  <c r="E347" i="48"/>
  <c r="AU347" i="48" s="1"/>
  <c r="AF346" i="48"/>
  <c r="AT346" i="48" s="1"/>
  <c r="AE346" i="48"/>
  <c r="AD346" i="48"/>
  <c r="AC346" i="48"/>
  <c r="AB346" i="48"/>
  <c r="AA346" i="48"/>
  <c r="Z346" i="48"/>
  <c r="I346" i="48"/>
  <c r="H346" i="48"/>
  <c r="G346" i="48"/>
  <c r="F346" i="48"/>
  <c r="AS346" i="48" s="1"/>
  <c r="E346" i="48"/>
  <c r="AU346" i="48" s="1"/>
  <c r="AF345" i="48"/>
  <c r="AT345" i="48" s="1"/>
  <c r="AE345" i="48"/>
  <c r="AC345" i="48"/>
  <c r="Z345" i="48"/>
  <c r="AB345" i="48" s="1"/>
  <c r="I345" i="48"/>
  <c r="H345" i="48"/>
  <c r="G345" i="48"/>
  <c r="F345" i="48"/>
  <c r="AS345" i="48" s="1"/>
  <c r="E345" i="48"/>
  <c r="AU345" i="48" s="1"/>
  <c r="AS344" i="48"/>
  <c r="AF344" i="48"/>
  <c r="AT344" i="48" s="1"/>
  <c r="AE344" i="48"/>
  <c r="AC344" i="48"/>
  <c r="AB344" i="48"/>
  <c r="AA344" i="48"/>
  <c r="AD344" i="48" s="1"/>
  <c r="Z344" i="48"/>
  <c r="I344" i="48"/>
  <c r="H344" i="48"/>
  <c r="G344" i="48"/>
  <c r="F344" i="48"/>
  <c r="E344" i="48"/>
  <c r="AU344" i="48" s="1"/>
  <c r="AF343" i="48"/>
  <c r="AE343" i="48"/>
  <c r="AC343" i="48"/>
  <c r="Z343" i="48"/>
  <c r="AB343" i="48" s="1"/>
  <c r="I343" i="48"/>
  <c r="H343" i="48"/>
  <c r="G343" i="48"/>
  <c r="F343" i="48"/>
  <c r="AS343" i="48" s="1"/>
  <c r="E343" i="48"/>
  <c r="AU343" i="48" s="1"/>
  <c r="AF342" i="48"/>
  <c r="AE342" i="48"/>
  <c r="AD342" i="48"/>
  <c r="AC342" i="48"/>
  <c r="AB342" i="48"/>
  <c r="AA342" i="48"/>
  <c r="Z342" i="48"/>
  <c r="I342" i="48"/>
  <c r="H342" i="48"/>
  <c r="G342" i="48"/>
  <c r="F342" i="48"/>
  <c r="AS342" i="48" s="1"/>
  <c r="AT342" i="48" s="1"/>
  <c r="E342" i="48"/>
  <c r="AU342" i="48" s="1"/>
  <c r="AF341" i="48"/>
  <c r="AE341" i="48"/>
  <c r="AC341" i="48"/>
  <c r="AB341" i="48"/>
  <c r="AA341" i="48"/>
  <c r="AD341" i="48" s="1"/>
  <c r="Z341" i="48"/>
  <c r="I341" i="48"/>
  <c r="H341" i="48"/>
  <c r="G341" i="48"/>
  <c r="F341" i="48"/>
  <c r="AS341" i="48" s="1"/>
  <c r="E341" i="48"/>
  <c r="AU341" i="48" s="1"/>
  <c r="AF340" i="48"/>
  <c r="AE340" i="48"/>
  <c r="AC340" i="48"/>
  <c r="Z340" i="48"/>
  <c r="AB340" i="48" s="1"/>
  <c r="I340" i="48"/>
  <c r="H340" i="48"/>
  <c r="G340" i="48"/>
  <c r="F340" i="48"/>
  <c r="AS340" i="48" s="1"/>
  <c r="AA340" i="48" s="1"/>
  <c r="AD340" i="48" s="1"/>
  <c r="E340" i="48"/>
  <c r="AU340" i="48" s="1"/>
  <c r="AF339" i="48"/>
  <c r="AE339" i="48"/>
  <c r="AD339" i="48"/>
  <c r="AC339" i="48"/>
  <c r="AB339" i="48"/>
  <c r="AA339" i="48"/>
  <c r="Z339" i="48"/>
  <c r="I339" i="48"/>
  <c r="H339" i="48"/>
  <c r="G339" i="48"/>
  <c r="F339" i="48"/>
  <c r="AS339" i="48" s="1"/>
  <c r="E339" i="48"/>
  <c r="AU339" i="48" s="1"/>
  <c r="AF338" i="48"/>
  <c r="AE338" i="48"/>
  <c r="AC338" i="48"/>
  <c r="Z338" i="48"/>
  <c r="AB338" i="48" s="1"/>
  <c r="I338" i="48"/>
  <c r="H338" i="48"/>
  <c r="G338" i="48"/>
  <c r="F338" i="48"/>
  <c r="AS338" i="48" s="1"/>
  <c r="E338" i="48"/>
  <c r="AU338" i="48" s="1"/>
  <c r="AF337" i="48"/>
  <c r="AE337" i="48"/>
  <c r="AC337" i="48"/>
  <c r="Z337" i="48"/>
  <c r="AB337" i="48" s="1"/>
  <c r="I337" i="48"/>
  <c r="H337" i="48"/>
  <c r="G337" i="48"/>
  <c r="F337" i="48"/>
  <c r="AS337" i="48" s="1"/>
  <c r="E337" i="48"/>
  <c r="AU337" i="48" s="1"/>
  <c r="AF336" i="48"/>
  <c r="AE336" i="48"/>
  <c r="AC336" i="48"/>
  <c r="AB336" i="48"/>
  <c r="AA336" i="48"/>
  <c r="AD336" i="48" s="1"/>
  <c r="Z336" i="48"/>
  <c r="I336" i="48"/>
  <c r="H336" i="48"/>
  <c r="G336" i="48"/>
  <c r="F336" i="48"/>
  <c r="AS336" i="48" s="1"/>
  <c r="E336" i="48"/>
  <c r="AU336" i="48" s="1"/>
  <c r="AS335" i="48"/>
  <c r="AF335" i="48"/>
  <c r="AE335" i="48"/>
  <c r="AC335" i="48"/>
  <c r="AB335" i="48"/>
  <c r="AA335" i="48"/>
  <c r="AD335" i="48" s="1"/>
  <c r="Z335" i="48"/>
  <c r="I335" i="48"/>
  <c r="H335" i="48"/>
  <c r="G335" i="48"/>
  <c r="F335" i="48"/>
  <c r="E335" i="48"/>
  <c r="AU335" i="48" s="1"/>
  <c r="AF334" i="48"/>
  <c r="AE334" i="48"/>
  <c r="AC334" i="48"/>
  <c r="Z334" i="48"/>
  <c r="AB334" i="48" s="1"/>
  <c r="I334" i="48"/>
  <c r="H334" i="48"/>
  <c r="G334" i="48"/>
  <c r="F334" i="48"/>
  <c r="AS334" i="48" s="1"/>
  <c r="E334" i="48"/>
  <c r="AU334" i="48" s="1"/>
  <c r="AF333" i="48"/>
  <c r="AE333" i="48"/>
  <c r="AD333" i="48"/>
  <c r="AC333" i="48"/>
  <c r="AB333" i="48"/>
  <c r="AA333" i="48"/>
  <c r="Z333" i="48"/>
  <c r="I333" i="48"/>
  <c r="H333" i="48"/>
  <c r="G333" i="48"/>
  <c r="F333" i="48"/>
  <c r="AS333" i="48" s="1"/>
  <c r="AT333" i="48" s="1"/>
  <c r="E333" i="48"/>
  <c r="AU333" i="48" s="1"/>
  <c r="AS332" i="48"/>
  <c r="AA332" i="48" s="1"/>
  <c r="AD332" i="48" s="1"/>
  <c r="AF332" i="48"/>
  <c r="AE332" i="48"/>
  <c r="AC332" i="48"/>
  <c r="AB332" i="48"/>
  <c r="Z332" i="48"/>
  <c r="I332" i="48"/>
  <c r="H332" i="48"/>
  <c r="G332" i="48"/>
  <c r="F332" i="48"/>
  <c r="E332" i="48"/>
  <c r="AU332" i="48" s="1"/>
  <c r="AF331" i="48"/>
  <c r="AE331" i="48"/>
  <c r="AC331" i="48"/>
  <c r="AB331" i="48"/>
  <c r="AA331" i="48"/>
  <c r="AD331" i="48" s="1"/>
  <c r="Z331" i="48"/>
  <c r="I331" i="48"/>
  <c r="H331" i="48"/>
  <c r="G331" i="48"/>
  <c r="F331" i="48"/>
  <c r="AS331" i="48" s="1"/>
  <c r="E331" i="48"/>
  <c r="AU331" i="48" s="1"/>
  <c r="AS330" i="48"/>
  <c r="AF330" i="48"/>
  <c r="AE330" i="48"/>
  <c r="AC330" i="48"/>
  <c r="AB330" i="48"/>
  <c r="Z330" i="48"/>
  <c r="I330" i="48"/>
  <c r="H330" i="48"/>
  <c r="G330" i="48"/>
  <c r="F330" i="48"/>
  <c r="E330" i="48"/>
  <c r="AU330" i="48" s="1"/>
  <c r="AF329" i="48"/>
  <c r="AT329" i="48" s="1"/>
  <c r="AE329" i="48"/>
  <c r="AC329" i="48"/>
  <c r="Z329" i="48"/>
  <c r="AB329" i="48" s="1"/>
  <c r="I329" i="48"/>
  <c r="H329" i="48"/>
  <c r="G329" i="48"/>
  <c r="F329" i="48"/>
  <c r="AS329" i="48" s="1"/>
  <c r="E329" i="48"/>
  <c r="AU329" i="48" s="1"/>
  <c r="AF328" i="48"/>
  <c r="AE328" i="48"/>
  <c r="AC328" i="48"/>
  <c r="AB328" i="48"/>
  <c r="Z328" i="48"/>
  <c r="I328" i="48"/>
  <c r="H328" i="48"/>
  <c r="G328" i="48"/>
  <c r="F328" i="48"/>
  <c r="AS328" i="48" s="1"/>
  <c r="E328" i="48"/>
  <c r="AU328" i="48" s="1"/>
  <c r="AF327" i="48"/>
  <c r="AE327" i="48"/>
  <c r="AC327" i="48"/>
  <c r="Z327" i="48"/>
  <c r="AB327" i="48" s="1"/>
  <c r="I327" i="48"/>
  <c r="H327" i="48"/>
  <c r="G327" i="48"/>
  <c r="F327" i="48"/>
  <c r="AS327" i="48" s="1"/>
  <c r="E327" i="48"/>
  <c r="AU327" i="48" s="1"/>
  <c r="A327" i="48"/>
  <c r="A328" i="48" s="1"/>
  <c r="A329" i="48" s="1"/>
  <c r="A330" i="48" s="1"/>
  <c r="A331" i="48" s="1"/>
  <c r="A332" i="48" s="1"/>
  <c r="A333" i="48" s="1"/>
  <c r="A334" i="48" s="1"/>
  <c r="A335" i="48" s="1"/>
  <c r="A336" i="48" s="1"/>
  <c r="A337" i="48" s="1"/>
  <c r="A338" i="48" s="1"/>
  <c r="A339" i="48" s="1"/>
  <c r="A340" i="48" s="1"/>
  <c r="A341" i="48" s="1"/>
  <c r="A342" i="48" s="1"/>
  <c r="A343" i="48" s="1"/>
  <c r="A344" i="48" s="1"/>
  <c r="A345" i="48" s="1"/>
  <c r="A346" i="48" s="1"/>
  <c r="A347" i="48" s="1"/>
  <c r="A348" i="48" s="1"/>
  <c r="A349" i="48" s="1"/>
  <c r="A350" i="48" s="1"/>
  <c r="A351" i="48" s="1"/>
  <c r="A352" i="48" s="1"/>
  <c r="A353" i="48" s="1"/>
  <c r="A354" i="48" s="1"/>
  <c r="A355" i="48" s="1"/>
  <c r="A356" i="48" s="1"/>
  <c r="A357" i="48" s="1"/>
  <c r="A358" i="48" s="1"/>
  <c r="A359" i="48" s="1"/>
  <c r="A360" i="48" s="1"/>
  <c r="A361" i="48" s="1"/>
  <c r="A362" i="48" s="1"/>
  <c r="A363" i="48" s="1"/>
  <c r="A364" i="48" s="1"/>
  <c r="AF326" i="48"/>
  <c r="AE326" i="48"/>
  <c r="AD326" i="48"/>
  <c r="AC326" i="48"/>
  <c r="AB326" i="48"/>
  <c r="AA326" i="48"/>
  <c r="Z326" i="48"/>
  <c r="I326" i="48"/>
  <c r="H326" i="48"/>
  <c r="G326" i="48"/>
  <c r="F326" i="48"/>
  <c r="AS326" i="48" s="1"/>
  <c r="E326" i="48"/>
  <c r="AU326" i="48" s="1"/>
  <c r="AF325" i="48"/>
  <c r="AE325" i="48"/>
  <c r="AC325" i="48"/>
  <c r="AB325" i="48"/>
  <c r="AA325" i="48"/>
  <c r="AD325" i="48" s="1"/>
  <c r="Z325" i="48"/>
  <c r="I325" i="48"/>
  <c r="H325" i="48"/>
  <c r="G325" i="48"/>
  <c r="F325" i="48"/>
  <c r="AS325" i="48" s="1"/>
  <c r="E325" i="48"/>
  <c r="AU325" i="48" s="1"/>
  <c r="AF324" i="48"/>
  <c r="AT324" i="48" s="1"/>
  <c r="AE324" i="48"/>
  <c r="AD324" i="48"/>
  <c r="AC324" i="48"/>
  <c r="AB324" i="48"/>
  <c r="AA324" i="48"/>
  <c r="Z324" i="48"/>
  <c r="I324" i="48"/>
  <c r="H324" i="48"/>
  <c r="G324" i="48"/>
  <c r="F324" i="48"/>
  <c r="AS324" i="48" s="1"/>
  <c r="E324" i="48"/>
  <c r="AU324" i="48" s="1"/>
  <c r="AF323" i="48"/>
  <c r="AE323" i="48"/>
  <c r="AC323" i="48"/>
  <c r="AB323" i="48"/>
  <c r="AA323" i="48"/>
  <c r="AD323" i="48" s="1"/>
  <c r="Z323" i="48"/>
  <c r="I323" i="48"/>
  <c r="H323" i="48"/>
  <c r="G323" i="48"/>
  <c r="F323" i="48"/>
  <c r="AS323" i="48" s="1"/>
  <c r="E323" i="48"/>
  <c r="AU323" i="48" s="1"/>
  <c r="AS322" i="48"/>
  <c r="AF322" i="48"/>
  <c r="AE322" i="48"/>
  <c r="AC322" i="48"/>
  <c r="AB322" i="48"/>
  <c r="AA322" i="48"/>
  <c r="AD322" i="48" s="1"/>
  <c r="Z322" i="48"/>
  <c r="I322" i="48"/>
  <c r="H322" i="48"/>
  <c r="G322" i="48"/>
  <c r="F322" i="48"/>
  <c r="E322" i="48"/>
  <c r="AU322" i="48" s="1"/>
  <c r="AS321" i="48"/>
  <c r="AF321" i="48"/>
  <c r="AE321" i="48"/>
  <c r="AC321" i="48"/>
  <c r="AB321" i="48"/>
  <c r="AA321" i="48"/>
  <c r="AD321" i="48" s="1"/>
  <c r="Z321" i="48"/>
  <c r="I321" i="48"/>
  <c r="H321" i="48"/>
  <c r="G321" i="48"/>
  <c r="F321" i="48"/>
  <c r="E321" i="48"/>
  <c r="AU321" i="48" s="1"/>
  <c r="AF320" i="48"/>
  <c r="AT320" i="48" s="1"/>
  <c r="AE320" i="48"/>
  <c r="AC320" i="48"/>
  <c r="AB320" i="48"/>
  <c r="AA320" i="48"/>
  <c r="AD320" i="48" s="1"/>
  <c r="Z320" i="48"/>
  <c r="I320" i="48"/>
  <c r="H320" i="48"/>
  <c r="G320" i="48"/>
  <c r="F320" i="48"/>
  <c r="AS320" i="48" s="1"/>
  <c r="E320" i="48"/>
  <c r="AU320" i="48" s="1"/>
  <c r="AF319" i="48"/>
  <c r="AE319" i="48"/>
  <c r="AC319" i="48"/>
  <c r="AB319" i="48"/>
  <c r="AA319" i="48"/>
  <c r="AD319" i="48" s="1"/>
  <c r="Z319" i="48"/>
  <c r="I319" i="48"/>
  <c r="H319" i="48"/>
  <c r="G319" i="48"/>
  <c r="F319" i="48"/>
  <c r="AS319" i="48" s="1"/>
  <c r="E319" i="48"/>
  <c r="AU319" i="48" s="1"/>
  <c r="AS318" i="48"/>
  <c r="AF318" i="48"/>
  <c r="AE318" i="48"/>
  <c r="AC318" i="48"/>
  <c r="AB318" i="48"/>
  <c r="AA318" i="48"/>
  <c r="AD318" i="48" s="1"/>
  <c r="Z318" i="48"/>
  <c r="I318" i="48"/>
  <c r="H318" i="48"/>
  <c r="G318" i="48"/>
  <c r="F318" i="48"/>
  <c r="E318" i="48"/>
  <c r="AU318" i="48" s="1"/>
  <c r="AS317" i="48"/>
  <c r="AF317" i="48"/>
  <c r="AE317" i="48"/>
  <c r="AC317" i="48"/>
  <c r="AB317" i="48"/>
  <c r="AA317" i="48"/>
  <c r="AD317" i="48" s="1"/>
  <c r="Z317" i="48"/>
  <c r="I317" i="48"/>
  <c r="H317" i="48"/>
  <c r="G317" i="48"/>
  <c r="F317" i="48"/>
  <c r="E317" i="48"/>
  <c r="AU317" i="48" s="1"/>
  <c r="AF316" i="48"/>
  <c r="AT316" i="48" s="1"/>
  <c r="AE316" i="48"/>
  <c r="AC316" i="48"/>
  <c r="AB316" i="48"/>
  <c r="AA316" i="48"/>
  <c r="AD316" i="48" s="1"/>
  <c r="Z316" i="48"/>
  <c r="I316" i="48"/>
  <c r="H316" i="48"/>
  <c r="G316" i="48"/>
  <c r="F316" i="48"/>
  <c r="AS316" i="48" s="1"/>
  <c r="E316" i="48"/>
  <c r="AU316" i="48" s="1"/>
  <c r="AF315" i="48"/>
  <c r="AE315" i="48"/>
  <c r="AC315" i="48"/>
  <c r="Z315" i="48"/>
  <c r="AB315" i="48" s="1"/>
  <c r="I315" i="48"/>
  <c r="H315" i="48"/>
  <c r="G315" i="48"/>
  <c r="F315" i="48"/>
  <c r="AS315" i="48" s="1"/>
  <c r="E315" i="48"/>
  <c r="AU315" i="48" s="1"/>
  <c r="AS314" i="48"/>
  <c r="AF314" i="48"/>
  <c r="AE314" i="48"/>
  <c r="AC314" i="48"/>
  <c r="AB314" i="48"/>
  <c r="Z314" i="48"/>
  <c r="I314" i="48"/>
  <c r="H314" i="48"/>
  <c r="G314" i="48"/>
  <c r="F314" i="48"/>
  <c r="E314" i="48"/>
  <c r="AU314" i="48" s="1"/>
  <c r="AF313" i="48"/>
  <c r="AE313" i="48"/>
  <c r="AC313" i="48"/>
  <c r="Z313" i="48"/>
  <c r="AB313" i="48" s="1"/>
  <c r="I313" i="48"/>
  <c r="H313" i="48"/>
  <c r="G313" i="48"/>
  <c r="F313" i="48"/>
  <c r="AS313" i="48" s="1"/>
  <c r="E313" i="48"/>
  <c r="AU313" i="48" s="1"/>
  <c r="AT312" i="48"/>
  <c r="AF312" i="48"/>
  <c r="AE312" i="48"/>
  <c r="AC312" i="48"/>
  <c r="AB312" i="48"/>
  <c r="AA312" i="48"/>
  <c r="AD312" i="48" s="1"/>
  <c r="Z312" i="48"/>
  <c r="I312" i="48"/>
  <c r="H312" i="48"/>
  <c r="G312" i="48"/>
  <c r="F312" i="48"/>
  <c r="AS312" i="48" s="1"/>
  <c r="E312" i="48"/>
  <c r="AU312" i="48" s="1"/>
  <c r="AU311" i="48"/>
  <c r="AT311" i="48"/>
  <c r="AF311" i="48"/>
  <c r="AE311" i="48"/>
  <c r="AC311" i="48"/>
  <c r="Z311" i="48"/>
  <c r="AB311" i="48" s="1"/>
  <c r="I311" i="48"/>
  <c r="H311" i="48"/>
  <c r="G311" i="48"/>
  <c r="F311" i="48"/>
  <c r="AS311" i="48" s="1"/>
  <c r="AA311" i="48" s="1"/>
  <c r="AD311" i="48" s="1"/>
  <c r="E311" i="48"/>
  <c r="AU310" i="48"/>
  <c r="AF310" i="48"/>
  <c r="AE310" i="48"/>
  <c r="AC310" i="48"/>
  <c r="Z310" i="48"/>
  <c r="AB310" i="48" s="1"/>
  <c r="I310" i="48"/>
  <c r="H310" i="48"/>
  <c r="G310" i="48"/>
  <c r="F310" i="48"/>
  <c r="AS310" i="48" s="1"/>
  <c r="E310" i="48"/>
  <c r="AF309" i="48"/>
  <c r="AE309" i="48"/>
  <c r="AC309" i="48"/>
  <c r="AB309" i="48"/>
  <c r="Z309" i="48"/>
  <c r="I309" i="48"/>
  <c r="H309" i="48"/>
  <c r="G309" i="48"/>
  <c r="F309" i="48"/>
  <c r="AS309" i="48" s="1"/>
  <c r="E309" i="48"/>
  <c r="AU309" i="48" s="1"/>
  <c r="AF308" i="48"/>
  <c r="AT308" i="48" s="1"/>
  <c r="AE308" i="48"/>
  <c r="AC308" i="48"/>
  <c r="Z308" i="48"/>
  <c r="AB308" i="48" s="1"/>
  <c r="I308" i="48"/>
  <c r="H308" i="48"/>
  <c r="G308" i="48"/>
  <c r="F308" i="48"/>
  <c r="AS308" i="48" s="1"/>
  <c r="E308" i="48"/>
  <c r="AU308" i="48" s="1"/>
  <c r="AT307" i="48"/>
  <c r="AF307" i="48"/>
  <c r="AE307" i="48"/>
  <c r="AC307" i="48"/>
  <c r="AB307" i="48"/>
  <c r="AA307" i="48"/>
  <c r="AD307" i="48" s="1"/>
  <c r="Z307" i="48"/>
  <c r="I307" i="48"/>
  <c r="H307" i="48"/>
  <c r="G307" i="48"/>
  <c r="F307" i="48"/>
  <c r="AS307" i="48" s="1"/>
  <c r="E307" i="48"/>
  <c r="AU307" i="48" s="1"/>
  <c r="AF306" i="48"/>
  <c r="AE306" i="48"/>
  <c r="AC306" i="48"/>
  <c r="AB306" i="48"/>
  <c r="AA306" i="48"/>
  <c r="AD306" i="48" s="1"/>
  <c r="Z306" i="48"/>
  <c r="I306" i="48"/>
  <c r="H306" i="48"/>
  <c r="G306" i="48"/>
  <c r="F306" i="48"/>
  <c r="AS306" i="48" s="1"/>
  <c r="E306" i="48"/>
  <c r="AU306" i="48" s="1"/>
  <c r="AF305" i="48"/>
  <c r="AE305" i="48"/>
  <c r="AD305" i="48"/>
  <c r="AC305" i="48"/>
  <c r="AB305" i="48"/>
  <c r="AA305" i="48"/>
  <c r="Z305" i="48"/>
  <c r="I305" i="48"/>
  <c r="H305" i="48"/>
  <c r="G305" i="48"/>
  <c r="F305" i="48"/>
  <c r="AS305" i="48" s="1"/>
  <c r="E305" i="48"/>
  <c r="AU305" i="48" s="1"/>
  <c r="AF304" i="48"/>
  <c r="AE304" i="48"/>
  <c r="AC304" i="48"/>
  <c r="AA304" i="48"/>
  <c r="AD304" i="48" s="1"/>
  <c r="Z304" i="48"/>
  <c r="AB304" i="48" s="1"/>
  <c r="I304" i="48"/>
  <c r="H304" i="48"/>
  <c r="G304" i="48"/>
  <c r="F304" i="48"/>
  <c r="AS304" i="48" s="1"/>
  <c r="E304" i="48"/>
  <c r="AU304" i="48" s="1"/>
  <c r="AF303" i="48"/>
  <c r="AE303" i="48"/>
  <c r="AC303" i="48"/>
  <c r="AB303" i="48"/>
  <c r="AA303" i="48"/>
  <c r="AD303" i="48" s="1"/>
  <c r="Z303" i="48"/>
  <c r="I303" i="48"/>
  <c r="H303" i="48"/>
  <c r="G303" i="48"/>
  <c r="F303" i="48"/>
  <c r="AS303" i="48" s="1"/>
  <c r="E303" i="48"/>
  <c r="AU303" i="48" s="1"/>
  <c r="AF302" i="48"/>
  <c r="AE302" i="48"/>
  <c r="AC302" i="48"/>
  <c r="AB302" i="48"/>
  <c r="AA302" i="48"/>
  <c r="AD302" i="48" s="1"/>
  <c r="Z302" i="48"/>
  <c r="I302" i="48"/>
  <c r="H302" i="48"/>
  <c r="G302" i="48"/>
  <c r="F302" i="48"/>
  <c r="AS302" i="48" s="1"/>
  <c r="E302" i="48"/>
  <c r="AU302" i="48" s="1"/>
  <c r="AF301" i="48"/>
  <c r="AE301" i="48"/>
  <c r="AC301" i="48"/>
  <c r="Z301" i="48"/>
  <c r="AB301" i="48" s="1"/>
  <c r="I301" i="48"/>
  <c r="H301" i="48"/>
  <c r="G301" i="48"/>
  <c r="F301" i="48"/>
  <c r="AS301" i="48" s="1"/>
  <c r="E301" i="48"/>
  <c r="AU301" i="48" s="1"/>
  <c r="AF300" i="48"/>
  <c r="AE300" i="48"/>
  <c r="AC300" i="48"/>
  <c r="AB300" i="48"/>
  <c r="AA300" i="48"/>
  <c r="AD300" i="48" s="1"/>
  <c r="Z300" i="48"/>
  <c r="I300" i="48"/>
  <c r="H300" i="48"/>
  <c r="G300" i="48"/>
  <c r="F300" i="48"/>
  <c r="AS300" i="48" s="1"/>
  <c r="E300" i="48"/>
  <c r="AU300" i="48" s="1"/>
  <c r="AF299" i="48"/>
  <c r="AE299" i="48"/>
  <c r="AC299" i="48"/>
  <c r="Z299" i="48"/>
  <c r="AB299" i="48" s="1"/>
  <c r="I299" i="48"/>
  <c r="H299" i="48"/>
  <c r="G299" i="48"/>
  <c r="F299" i="48"/>
  <c r="AS299" i="48" s="1"/>
  <c r="E299" i="48"/>
  <c r="AU299" i="48" s="1"/>
  <c r="AS298" i="48"/>
  <c r="AF298" i="48"/>
  <c r="AE298" i="48"/>
  <c r="AC298" i="48"/>
  <c r="AB298" i="48"/>
  <c r="Z298" i="48"/>
  <c r="I298" i="48"/>
  <c r="H298" i="48"/>
  <c r="G298" i="48"/>
  <c r="F298" i="48"/>
  <c r="E298" i="48"/>
  <c r="AU298" i="48" s="1"/>
  <c r="AF297" i="48"/>
  <c r="AE297" i="48"/>
  <c r="AC297" i="48"/>
  <c r="AB297" i="48"/>
  <c r="AA297" i="48"/>
  <c r="AD297" i="48" s="1"/>
  <c r="Z297" i="48"/>
  <c r="I297" i="48"/>
  <c r="H297" i="48"/>
  <c r="G297" i="48"/>
  <c r="F297" i="48"/>
  <c r="AS297" i="48" s="1"/>
  <c r="E297" i="48"/>
  <c r="AU297" i="48" s="1"/>
  <c r="AF296" i="48"/>
  <c r="AE296" i="48"/>
  <c r="AC296" i="48"/>
  <c r="AB296" i="48"/>
  <c r="AA296" i="48"/>
  <c r="AD296" i="48" s="1"/>
  <c r="Z296" i="48"/>
  <c r="I296" i="48"/>
  <c r="H296" i="48"/>
  <c r="G296" i="48"/>
  <c r="F296" i="48"/>
  <c r="AS296" i="48" s="1"/>
  <c r="AT296" i="48" s="1"/>
  <c r="E296" i="48"/>
  <c r="AU296" i="48" s="1"/>
  <c r="AU295" i="48"/>
  <c r="AF295" i="48"/>
  <c r="AE295" i="48"/>
  <c r="AC295" i="48"/>
  <c r="Z295" i="48"/>
  <c r="AB295" i="48" s="1"/>
  <c r="I295" i="48"/>
  <c r="H295" i="48"/>
  <c r="G295" i="48"/>
  <c r="F295" i="48"/>
  <c r="AS295" i="48" s="1"/>
  <c r="E295" i="48"/>
  <c r="AF294" i="48"/>
  <c r="AE294" i="48"/>
  <c r="AC294" i="48"/>
  <c r="AB294" i="48"/>
  <c r="AA294" i="48"/>
  <c r="AD294" i="48" s="1"/>
  <c r="Z294" i="48"/>
  <c r="I294" i="48"/>
  <c r="H294" i="48"/>
  <c r="G294" i="48"/>
  <c r="F294" i="48"/>
  <c r="AS294" i="48" s="1"/>
  <c r="E294" i="48"/>
  <c r="AU294" i="48" s="1"/>
  <c r="AF293" i="48"/>
  <c r="AE293" i="48"/>
  <c r="AC293" i="48"/>
  <c r="Z293" i="48"/>
  <c r="AB293" i="48" s="1"/>
  <c r="I293" i="48"/>
  <c r="H293" i="48"/>
  <c r="G293" i="48"/>
  <c r="F293" i="48"/>
  <c r="AS293" i="48" s="1"/>
  <c r="E293" i="48"/>
  <c r="AU293" i="48" s="1"/>
  <c r="AF292" i="48"/>
  <c r="AE292" i="48"/>
  <c r="AD292" i="48"/>
  <c r="AC292" i="48"/>
  <c r="AB292" i="48"/>
  <c r="AA292" i="48"/>
  <c r="Z292" i="48"/>
  <c r="I292" i="48"/>
  <c r="H292" i="48"/>
  <c r="G292" i="48"/>
  <c r="F292" i="48"/>
  <c r="AS292" i="48" s="1"/>
  <c r="E292" i="48"/>
  <c r="AU292" i="48" s="1"/>
  <c r="AF291" i="48"/>
  <c r="AE291" i="48"/>
  <c r="AC291" i="48"/>
  <c r="Z291" i="48"/>
  <c r="AB291" i="48" s="1"/>
  <c r="I291" i="48"/>
  <c r="H291" i="48"/>
  <c r="G291" i="48"/>
  <c r="F291" i="48"/>
  <c r="AS291" i="48" s="1"/>
  <c r="E291" i="48"/>
  <c r="AU291" i="48" s="1"/>
  <c r="AU290" i="48"/>
  <c r="AF290" i="48"/>
  <c r="AE290" i="48"/>
  <c r="AC290" i="48"/>
  <c r="Z290" i="48"/>
  <c r="AB290" i="48" s="1"/>
  <c r="I290" i="48"/>
  <c r="H290" i="48"/>
  <c r="G290" i="48"/>
  <c r="F290" i="48"/>
  <c r="AS290" i="48" s="1"/>
  <c r="E290" i="48"/>
  <c r="AF289" i="48"/>
  <c r="AE289" i="48"/>
  <c r="AC289" i="48"/>
  <c r="AB289" i="48"/>
  <c r="AA289" i="48"/>
  <c r="AD289" i="48" s="1"/>
  <c r="Z289" i="48"/>
  <c r="I289" i="48"/>
  <c r="H289" i="48"/>
  <c r="G289" i="48"/>
  <c r="F289" i="48"/>
  <c r="AS289" i="48" s="1"/>
  <c r="E289" i="48"/>
  <c r="AU289" i="48" s="1"/>
  <c r="AF288" i="48"/>
  <c r="AE288" i="48"/>
  <c r="AC288" i="48"/>
  <c r="AB288" i="48"/>
  <c r="AA288" i="48"/>
  <c r="AD288" i="48" s="1"/>
  <c r="Z288" i="48"/>
  <c r="I288" i="48"/>
  <c r="H288" i="48"/>
  <c r="G288" i="48"/>
  <c r="F288" i="48"/>
  <c r="AS288" i="48" s="1"/>
  <c r="E288" i="48"/>
  <c r="AU288" i="48" s="1"/>
  <c r="AF287" i="48"/>
  <c r="AE287" i="48"/>
  <c r="AC287" i="48"/>
  <c r="Z287" i="48"/>
  <c r="AB287" i="48" s="1"/>
  <c r="I287" i="48"/>
  <c r="H287" i="48"/>
  <c r="G287" i="48"/>
  <c r="F287" i="48"/>
  <c r="AS287" i="48" s="1"/>
  <c r="E287" i="48"/>
  <c r="AU287" i="48" s="1"/>
  <c r="A287" i="48"/>
  <c r="A288" i="48" s="1"/>
  <c r="A289" i="48" s="1"/>
  <c r="A290" i="48" s="1"/>
  <c r="A291" i="48" s="1"/>
  <c r="A292" i="48" s="1"/>
  <c r="A293" i="48" s="1"/>
  <c r="A294" i="48" s="1"/>
  <c r="A295" i="48" s="1"/>
  <c r="A296" i="48" s="1"/>
  <c r="A297" i="48" s="1"/>
  <c r="A298" i="48" s="1"/>
  <c r="A299" i="48" s="1"/>
  <c r="A300" i="48" s="1"/>
  <c r="A301" i="48" s="1"/>
  <c r="A302" i="48" s="1"/>
  <c r="A303" i="48" s="1"/>
  <c r="A304" i="48" s="1"/>
  <c r="A305" i="48" s="1"/>
  <c r="A306" i="48" s="1"/>
  <c r="A307" i="48" s="1"/>
  <c r="A308" i="48" s="1"/>
  <c r="A309" i="48" s="1"/>
  <c r="A310" i="48" s="1"/>
  <c r="A311" i="48" s="1"/>
  <c r="A312" i="48" s="1"/>
  <c r="A313" i="48" s="1"/>
  <c r="A314" i="48" s="1"/>
  <c r="A315" i="48" s="1"/>
  <c r="A316" i="48" s="1"/>
  <c r="A317" i="48" s="1"/>
  <c r="A318" i="48" s="1"/>
  <c r="A319" i="48" s="1"/>
  <c r="A320" i="48" s="1"/>
  <c r="A321" i="48" s="1"/>
  <c r="A322" i="48" s="1"/>
  <c r="A323" i="48" s="1"/>
  <c r="A324" i="48" s="1"/>
  <c r="A325" i="48" s="1"/>
  <c r="AS286" i="48"/>
  <c r="AF286" i="48"/>
  <c r="AE286" i="48"/>
  <c r="AC286" i="48"/>
  <c r="AB286" i="48"/>
  <c r="AA286" i="48"/>
  <c r="AD286" i="48" s="1"/>
  <c r="Z286" i="48"/>
  <c r="I286" i="48"/>
  <c r="H286" i="48"/>
  <c r="G286" i="48"/>
  <c r="F286" i="48"/>
  <c r="E286" i="48"/>
  <c r="AU286" i="48" s="1"/>
  <c r="AS285" i="48"/>
  <c r="AF285" i="48"/>
  <c r="AE285" i="48"/>
  <c r="AC285" i="48"/>
  <c r="AB285" i="48"/>
  <c r="AA285" i="48"/>
  <c r="AD285" i="48" s="1"/>
  <c r="Z285" i="48"/>
  <c r="I285" i="48"/>
  <c r="H285" i="48"/>
  <c r="G285" i="48"/>
  <c r="F285" i="48"/>
  <c r="E285" i="48"/>
  <c r="AU285" i="48" s="1"/>
  <c r="AS284" i="48"/>
  <c r="AF284" i="48"/>
  <c r="AE284" i="48"/>
  <c r="AC284" i="48"/>
  <c r="AB284" i="48"/>
  <c r="AA284" i="48"/>
  <c r="AD284" i="48" s="1"/>
  <c r="Z284" i="48"/>
  <c r="I284" i="48"/>
  <c r="H284" i="48"/>
  <c r="G284" i="48"/>
  <c r="F284" i="48"/>
  <c r="E284" i="48"/>
  <c r="AU284" i="48" s="1"/>
  <c r="AF283" i="48"/>
  <c r="AT283" i="48" s="1"/>
  <c r="AE283" i="48"/>
  <c r="AC283" i="48"/>
  <c r="AB283" i="48"/>
  <c r="AA283" i="48"/>
  <c r="AD283" i="48" s="1"/>
  <c r="Z283" i="48"/>
  <c r="I283" i="48"/>
  <c r="H283" i="48"/>
  <c r="G283" i="48"/>
  <c r="F283" i="48"/>
  <c r="AS283" i="48" s="1"/>
  <c r="E283" i="48"/>
  <c r="AU283" i="48" s="1"/>
  <c r="AF282" i="48"/>
  <c r="AE282" i="48"/>
  <c r="AC282" i="48"/>
  <c r="AB282" i="48"/>
  <c r="AA282" i="48"/>
  <c r="AD282" i="48" s="1"/>
  <c r="Z282" i="48"/>
  <c r="I282" i="48"/>
  <c r="H282" i="48"/>
  <c r="G282" i="48"/>
  <c r="F282" i="48"/>
  <c r="AS282" i="48" s="1"/>
  <c r="E282" i="48"/>
  <c r="AU282" i="48" s="1"/>
  <c r="AF281" i="48"/>
  <c r="AE281" i="48"/>
  <c r="AC281" i="48"/>
  <c r="AB281" i="48"/>
  <c r="AA281" i="48"/>
  <c r="AD281" i="48" s="1"/>
  <c r="Z281" i="48"/>
  <c r="I281" i="48"/>
  <c r="H281" i="48"/>
  <c r="G281" i="48"/>
  <c r="F281" i="48"/>
  <c r="AS281" i="48" s="1"/>
  <c r="E281" i="48"/>
  <c r="AU281" i="48" s="1"/>
  <c r="AF280" i="48"/>
  <c r="AE280" i="48"/>
  <c r="AC280" i="48"/>
  <c r="AB280" i="48"/>
  <c r="AA280" i="48"/>
  <c r="AD280" i="48" s="1"/>
  <c r="Z280" i="48"/>
  <c r="I280" i="48"/>
  <c r="H280" i="48"/>
  <c r="G280" i="48"/>
  <c r="F280" i="48"/>
  <c r="AS280" i="48" s="1"/>
  <c r="E280" i="48"/>
  <c r="AU280" i="48" s="1"/>
  <c r="AF279" i="48"/>
  <c r="AT279" i="48" s="1"/>
  <c r="AE279" i="48"/>
  <c r="AC279" i="48"/>
  <c r="AB279" i="48"/>
  <c r="AA279" i="48"/>
  <c r="AD279" i="48" s="1"/>
  <c r="Z279" i="48"/>
  <c r="I279" i="48"/>
  <c r="H279" i="48"/>
  <c r="G279" i="48"/>
  <c r="F279" i="48"/>
  <c r="AS279" i="48" s="1"/>
  <c r="E279" i="48"/>
  <c r="AU279" i="48" s="1"/>
  <c r="AF278" i="48"/>
  <c r="AE278" i="48"/>
  <c r="AC278" i="48"/>
  <c r="AB278" i="48"/>
  <c r="AA278" i="48"/>
  <c r="AD278" i="48" s="1"/>
  <c r="Z278" i="48"/>
  <c r="I278" i="48"/>
  <c r="H278" i="48"/>
  <c r="G278" i="48"/>
  <c r="F278" i="48"/>
  <c r="AS278" i="48" s="1"/>
  <c r="E278" i="48"/>
  <c r="AU278" i="48" s="1"/>
  <c r="AF277" i="48"/>
  <c r="AE277" i="48"/>
  <c r="AC277" i="48"/>
  <c r="AB277" i="48"/>
  <c r="AA277" i="48"/>
  <c r="AD277" i="48" s="1"/>
  <c r="Z277" i="48"/>
  <c r="I277" i="48"/>
  <c r="H277" i="48"/>
  <c r="G277" i="48"/>
  <c r="F277" i="48"/>
  <c r="AS277" i="48" s="1"/>
  <c r="E277" i="48"/>
  <c r="AU277" i="48" s="1"/>
  <c r="AF276" i="48"/>
  <c r="AE276" i="48"/>
  <c r="AC276" i="48"/>
  <c r="AB276" i="48"/>
  <c r="AA276" i="48"/>
  <c r="AD276" i="48" s="1"/>
  <c r="Z276" i="48"/>
  <c r="I276" i="48"/>
  <c r="H276" i="48"/>
  <c r="G276" i="48"/>
  <c r="F276" i="48"/>
  <c r="AS276" i="48" s="1"/>
  <c r="E276" i="48"/>
  <c r="AU276" i="48" s="1"/>
  <c r="AF275" i="48"/>
  <c r="AT275" i="48" s="1"/>
  <c r="AE275" i="48"/>
  <c r="AD275" i="48"/>
  <c r="AC275" i="48"/>
  <c r="AB275" i="48"/>
  <c r="AA275" i="48"/>
  <c r="Z275" i="48"/>
  <c r="I275" i="48"/>
  <c r="H275" i="48"/>
  <c r="G275" i="48"/>
  <c r="F275" i="48"/>
  <c r="AS275" i="48" s="1"/>
  <c r="E275" i="48"/>
  <c r="AU275" i="48" s="1"/>
  <c r="AF274" i="48"/>
  <c r="AE274" i="48"/>
  <c r="AC274" i="48"/>
  <c r="Z274" i="48"/>
  <c r="AB274" i="48" s="1"/>
  <c r="I274" i="48"/>
  <c r="H274" i="48"/>
  <c r="G274" i="48"/>
  <c r="F274" i="48"/>
  <c r="AS274" i="48" s="1"/>
  <c r="E274" i="48"/>
  <c r="AU274" i="48" s="1"/>
  <c r="AF273" i="48"/>
  <c r="AE273" i="48"/>
  <c r="AC273" i="48"/>
  <c r="Z273" i="48"/>
  <c r="AB273" i="48" s="1"/>
  <c r="I273" i="48"/>
  <c r="H273" i="48"/>
  <c r="G273" i="48"/>
  <c r="F273" i="48"/>
  <c r="AS273" i="48" s="1"/>
  <c r="E273" i="48"/>
  <c r="AU273" i="48" s="1"/>
  <c r="AF272" i="48"/>
  <c r="AE272" i="48"/>
  <c r="AD272" i="48"/>
  <c r="AC272" i="48"/>
  <c r="AB272" i="48"/>
  <c r="AA272" i="48"/>
  <c r="Z272" i="48"/>
  <c r="I272" i="48"/>
  <c r="H272" i="48"/>
  <c r="G272" i="48"/>
  <c r="F272" i="48"/>
  <c r="AS272" i="48" s="1"/>
  <c r="E272" i="48"/>
  <c r="AU272" i="48" s="1"/>
  <c r="AT271" i="48"/>
  <c r="AF271" i="48"/>
  <c r="AE271" i="48"/>
  <c r="AC271" i="48"/>
  <c r="Z271" i="48"/>
  <c r="AB271" i="48" s="1"/>
  <c r="I271" i="48"/>
  <c r="H271" i="48"/>
  <c r="G271" i="48"/>
  <c r="F271" i="48"/>
  <c r="AS271" i="48" s="1"/>
  <c r="AA271" i="48" s="1"/>
  <c r="AD271" i="48" s="1"/>
  <c r="E271" i="48"/>
  <c r="AU271" i="48" s="1"/>
  <c r="AU270" i="48"/>
  <c r="AF270" i="48"/>
  <c r="AT270" i="48" s="1"/>
  <c r="AE270" i="48"/>
  <c r="AC270" i="48"/>
  <c r="Z270" i="48"/>
  <c r="AB270" i="48" s="1"/>
  <c r="I270" i="48"/>
  <c r="H270" i="48"/>
  <c r="G270" i="48"/>
  <c r="F270" i="48"/>
  <c r="AS270" i="48" s="1"/>
  <c r="E270" i="48"/>
  <c r="AF269" i="48"/>
  <c r="AE269" i="48"/>
  <c r="AC269" i="48"/>
  <c r="AB269" i="48"/>
  <c r="Z269" i="48"/>
  <c r="I269" i="48"/>
  <c r="H269" i="48"/>
  <c r="G269" i="48"/>
  <c r="F269" i="48"/>
  <c r="AS269" i="48" s="1"/>
  <c r="E269" i="48"/>
  <c r="AU269" i="48" s="1"/>
  <c r="AF268" i="48"/>
  <c r="AE268" i="48"/>
  <c r="AD268" i="48"/>
  <c r="AC268" i="48"/>
  <c r="AB268" i="48"/>
  <c r="AA268" i="48"/>
  <c r="Z268" i="48"/>
  <c r="I268" i="48"/>
  <c r="H268" i="48"/>
  <c r="G268" i="48"/>
  <c r="F268" i="48"/>
  <c r="AS268" i="48" s="1"/>
  <c r="E268" i="48"/>
  <c r="AU268" i="48" s="1"/>
  <c r="AT267" i="48"/>
  <c r="AF267" i="48"/>
  <c r="AE267" i="48"/>
  <c r="AC267" i="48"/>
  <c r="AB267" i="48"/>
  <c r="AA267" i="48"/>
  <c r="AD267" i="48" s="1"/>
  <c r="Z267" i="48"/>
  <c r="I267" i="48"/>
  <c r="H267" i="48"/>
  <c r="G267" i="48"/>
  <c r="F267" i="48"/>
  <c r="AS267" i="48" s="1"/>
  <c r="E267" i="48"/>
  <c r="AU267" i="48" s="1"/>
  <c r="AT266" i="48"/>
  <c r="AF266" i="48"/>
  <c r="AE266" i="48"/>
  <c r="AC266" i="48"/>
  <c r="AB266" i="48"/>
  <c r="AA266" i="48"/>
  <c r="AD266" i="48" s="1"/>
  <c r="Z266" i="48"/>
  <c r="I266" i="48"/>
  <c r="H266" i="48"/>
  <c r="G266" i="48"/>
  <c r="F266" i="48"/>
  <c r="AS266" i="48" s="1"/>
  <c r="E266" i="48"/>
  <c r="AU266" i="48" s="1"/>
  <c r="AF265" i="48"/>
  <c r="AE265" i="48"/>
  <c r="AC265" i="48"/>
  <c r="AB265" i="48"/>
  <c r="AA265" i="48"/>
  <c r="AD265" i="48" s="1"/>
  <c r="Z265" i="48"/>
  <c r="I265" i="48"/>
  <c r="H265" i="48"/>
  <c r="G265" i="48"/>
  <c r="F265" i="48"/>
  <c r="AS265" i="48" s="1"/>
  <c r="E265" i="48"/>
  <c r="AU265" i="48" s="1"/>
  <c r="AF264" i="48"/>
  <c r="AE264" i="48"/>
  <c r="AC264" i="48"/>
  <c r="Z264" i="48"/>
  <c r="AB264" i="48" s="1"/>
  <c r="I264" i="48"/>
  <c r="H264" i="48"/>
  <c r="G264" i="48"/>
  <c r="F264" i="48"/>
  <c r="AS264" i="48" s="1"/>
  <c r="E264" i="48"/>
  <c r="AU264" i="48" s="1"/>
  <c r="AF263" i="48"/>
  <c r="AE263" i="48"/>
  <c r="AD263" i="48"/>
  <c r="AC263" i="48"/>
  <c r="AB263" i="48"/>
  <c r="AA263" i="48"/>
  <c r="Z263" i="48"/>
  <c r="I263" i="48"/>
  <c r="H263" i="48"/>
  <c r="G263" i="48"/>
  <c r="F263" i="48"/>
  <c r="AS263" i="48" s="1"/>
  <c r="AT263" i="48" s="1"/>
  <c r="E263" i="48"/>
  <c r="AU263" i="48" s="1"/>
  <c r="AF262" i="48"/>
  <c r="AE262" i="48"/>
  <c r="AC262" i="48"/>
  <c r="AB262" i="48"/>
  <c r="AA262" i="48"/>
  <c r="AD262" i="48" s="1"/>
  <c r="Z262" i="48"/>
  <c r="I262" i="48"/>
  <c r="H262" i="48"/>
  <c r="G262" i="48"/>
  <c r="F262" i="48"/>
  <c r="AS262" i="48" s="1"/>
  <c r="AT262" i="48" s="1"/>
  <c r="E262" i="48"/>
  <c r="AU262" i="48" s="1"/>
  <c r="AU261" i="48"/>
  <c r="AF261" i="48"/>
  <c r="AE261" i="48"/>
  <c r="AC261" i="48"/>
  <c r="Z261" i="48"/>
  <c r="AB261" i="48" s="1"/>
  <c r="I261" i="48"/>
  <c r="H261" i="48"/>
  <c r="G261" i="48"/>
  <c r="F261" i="48"/>
  <c r="AS261" i="48" s="1"/>
  <c r="E261" i="48"/>
  <c r="AS260" i="48"/>
  <c r="AF260" i="48"/>
  <c r="AE260" i="48"/>
  <c r="AC260" i="48"/>
  <c r="AB260" i="48"/>
  <c r="AA260" i="48"/>
  <c r="AD260" i="48" s="1"/>
  <c r="Z260" i="48"/>
  <c r="I260" i="48"/>
  <c r="H260" i="48"/>
  <c r="G260" i="48"/>
  <c r="F260" i="48"/>
  <c r="E260" i="48"/>
  <c r="AU260" i="48" s="1"/>
  <c r="AF259" i="48"/>
  <c r="AE259" i="48"/>
  <c r="AC259" i="48"/>
  <c r="Z259" i="48"/>
  <c r="AB259" i="48" s="1"/>
  <c r="I259" i="48"/>
  <c r="H259" i="48"/>
  <c r="G259" i="48"/>
  <c r="F259" i="48"/>
  <c r="AS259" i="48" s="1"/>
  <c r="E259" i="48"/>
  <c r="AU259" i="48" s="1"/>
  <c r="AU258" i="48"/>
  <c r="AF258" i="48"/>
  <c r="AE258" i="48"/>
  <c r="AC258" i="48"/>
  <c r="Z258" i="48"/>
  <c r="AB258" i="48" s="1"/>
  <c r="I258" i="48"/>
  <c r="H258" i="48"/>
  <c r="G258" i="48"/>
  <c r="F258" i="48"/>
  <c r="AS258" i="48" s="1"/>
  <c r="E258" i="48"/>
  <c r="AF257" i="48"/>
  <c r="AE257" i="48"/>
  <c r="AC257" i="48"/>
  <c r="AB257" i="48"/>
  <c r="AA257" i="48"/>
  <c r="AD257" i="48" s="1"/>
  <c r="Z257" i="48"/>
  <c r="I257" i="48"/>
  <c r="H257" i="48"/>
  <c r="G257" i="48"/>
  <c r="F257" i="48"/>
  <c r="AS257" i="48" s="1"/>
  <c r="E257" i="48"/>
  <c r="AU257" i="48" s="1"/>
  <c r="AF256" i="48"/>
  <c r="AE256" i="48"/>
  <c r="AD256" i="48"/>
  <c r="AC256" i="48"/>
  <c r="AB256" i="48"/>
  <c r="AA256" i="48"/>
  <c r="Z256" i="48"/>
  <c r="I256" i="48"/>
  <c r="H256" i="48"/>
  <c r="G256" i="48"/>
  <c r="F256" i="48"/>
  <c r="AS256" i="48" s="1"/>
  <c r="E256" i="48"/>
  <c r="AU256" i="48" s="1"/>
  <c r="AF255" i="48"/>
  <c r="AE255" i="48"/>
  <c r="AC255" i="48"/>
  <c r="Z255" i="48"/>
  <c r="AB255" i="48" s="1"/>
  <c r="I255" i="48"/>
  <c r="H255" i="48"/>
  <c r="G255" i="48"/>
  <c r="F255" i="48"/>
  <c r="AS255" i="48" s="1"/>
  <c r="E255" i="48"/>
  <c r="AU255" i="48" s="1"/>
  <c r="AF254" i="48"/>
  <c r="AE254" i="48"/>
  <c r="AC254" i="48"/>
  <c r="AB254" i="48"/>
  <c r="AA254" i="48"/>
  <c r="AD254" i="48" s="1"/>
  <c r="Z254" i="48"/>
  <c r="I254" i="48"/>
  <c r="H254" i="48"/>
  <c r="G254" i="48"/>
  <c r="F254" i="48"/>
  <c r="AS254" i="48" s="1"/>
  <c r="E254" i="48"/>
  <c r="AU254" i="48" s="1"/>
  <c r="AS253" i="48"/>
  <c r="AF253" i="48"/>
  <c r="AE253" i="48"/>
  <c r="AC253" i="48"/>
  <c r="AB253" i="48"/>
  <c r="Z253" i="48"/>
  <c r="I253" i="48"/>
  <c r="H253" i="48"/>
  <c r="G253" i="48"/>
  <c r="F253" i="48"/>
  <c r="E253" i="48"/>
  <c r="AU253" i="48" s="1"/>
  <c r="AF252" i="48"/>
  <c r="AE252" i="48"/>
  <c r="AC252" i="48"/>
  <c r="AA252" i="48"/>
  <c r="AD252" i="48" s="1"/>
  <c r="Z252" i="48"/>
  <c r="AB252" i="48" s="1"/>
  <c r="I252" i="48"/>
  <c r="H252" i="48"/>
  <c r="G252" i="48"/>
  <c r="F252" i="48"/>
  <c r="AS252" i="48" s="1"/>
  <c r="E252" i="48"/>
  <c r="AU252" i="48" s="1"/>
  <c r="AF251" i="48"/>
  <c r="AE251" i="48"/>
  <c r="AC251" i="48"/>
  <c r="Z251" i="48"/>
  <c r="AB251" i="48" s="1"/>
  <c r="I251" i="48"/>
  <c r="H251" i="48"/>
  <c r="G251" i="48"/>
  <c r="F251" i="48"/>
  <c r="AS251" i="48" s="1"/>
  <c r="E251" i="48"/>
  <c r="AU251" i="48" s="1"/>
  <c r="AT250" i="48"/>
  <c r="AF250" i="48"/>
  <c r="AE250" i="48"/>
  <c r="AC250" i="48"/>
  <c r="AB250" i="48"/>
  <c r="AA250" i="48"/>
  <c r="AD250" i="48" s="1"/>
  <c r="Z250" i="48"/>
  <c r="I250" i="48"/>
  <c r="H250" i="48"/>
  <c r="G250" i="48"/>
  <c r="F250" i="48"/>
  <c r="AS250" i="48" s="1"/>
  <c r="E250" i="48"/>
  <c r="AU250" i="48" s="1"/>
  <c r="AS249" i="48"/>
  <c r="AF249" i="48"/>
  <c r="AE249" i="48"/>
  <c r="AC249" i="48"/>
  <c r="AB249" i="48"/>
  <c r="AA249" i="48"/>
  <c r="AD249" i="48" s="1"/>
  <c r="Z249" i="48"/>
  <c r="I249" i="48"/>
  <c r="H249" i="48"/>
  <c r="G249" i="48"/>
  <c r="F249" i="48"/>
  <c r="E249" i="48"/>
  <c r="AU249" i="48" s="1"/>
  <c r="AS248" i="48"/>
  <c r="AF248" i="48"/>
  <c r="AE248" i="48"/>
  <c r="AC248" i="48"/>
  <c r="AB248" i="48"/>
  <c r="AA248" i="48"/>
  <c r="AD248" i="48" s="1"/>
  <c r="Z248" i="48"/>
  <c r="I248" i="48"/>
  <c r="H248" i="48"/>
  <c r="G248" i="48"/>
  <c r="F248" i="48"/>
  <c r="E248" i="48"/>
  <c r="AU248" i="48" s="1"/>
  <c r="AF247" i="48"/>
  <c r="AE247" i="48"/>
  <c r="AC247" i="48"/>
  <c r="Z247" i="48"/>
  <c r="AB247" i="48" s="1"/>
  <c r="I247" i="48"/>
  <c r="H247" i="48"/>
  <c r="G247" i="48"/>
  <c r="F247" i="48"/>
  <c r="AS247" i="48" s="1"/>
  <c r="E247" i="48"/>
  <c r="AU247" i="48" s="1"/>
  <c r="A247" i="48"/>
  <c r="A248" i="48" s="1"/>
  <c r="A249" i="48" s="1"/>
  <c r="A250" i="48" s="1"/>
  <c r="A251" i="48" s="1"/>
  <c r="A252" i="48" s="1"/>
  <c r="A253" i="48" s="1"/>
  <c r="A254" i="48" s="1"/>
  <c r="A255" i="48" s="1"/>
  <c r="A256" i="48" s="1"/>
  <c r="A257" i="48" s="1"/>
  <c r="A258" i="48" s="1"/>
  <c r="A259" i="48" s="1"/>
  <c r="A260" i="48" s="1"/>
  <c r="A261" i="48" s="1"/>
  <c r="A262" i="48" s="1"/>
  <c r="A263" i="48" s="1"/>
  <c r="A264" i="48" s="1"/>
  <c r="A265" i="48" s="1"/>
  <c r="A266" i="48" s="1"/>
  <c r="A267" i="48" s="1"/>
  <c r="A268" i="48" s="1"/>
  <c r="A269" i="48" s="1"/>
  <c r="A270" i="48" s="1"/>
  <c r="A271" i="48" s="1"/>
  <c r="A272" i="48" s="1"/>
  <c r="A273" i="48" s="1"/>
  <c r="A274" i="48" s="1"/>
  <c r="A275" i="48" s="1"/>
  <c r="A276" i="48" s="1"/>
  <c r="A277" i="48" s="1"/>
  <c r="A278" i="48" s="1"/>
  <c r="A279" i="48" s="1"/>
  <c r="A280" i="48" s="1"/>
  <c r="A281" i="48" s="1"/>
  <c r="A282" i="48" s="1"/>
  <c r="A283" i="48" s="1"/>
  <c r="A284" i="48" s="1"/>
  <c r="A285" i="48" s="1"/>
  <c r="AF246" i="48"/>
  <c r="AE246" i="48"/>
  <c r="AC246" i="48"/>
  <c r="AB246" i="48"/>
  <c r="AA246" i="48"/>
  <c r="AD246" i="48" s="1"/>
  <c r="Z246" i="48"/>
  <c r="I246" i="48"/>
  <c r="H246" i="48"/>
  <c r="G246" i="48"/>
  <c r="F246" i="48"/>
  <c r="AS246" i="48" s="1"/>
  <c r="AT246" i="48" s="1"/>
  <c r="E246" i="48"/>
  <c r="AU246" i="48" s="1"/>
  <c r="AF245" i="48"/>
  <c r="AE245" i="48"/>
  <c r="AC245" i="48"/>
  <c r="AB245" i="48"/>
  <c r="AA245" i="48"/>
  <c r="AD245" i="48" s="1"/>
  <c r="Z245" i="48"/>
  <c r="I245" i="48"/>
  <c r="H245" i="48"/>
  <c r="G245" i="48"/>
  <c r="F245" i="48"/>
  <c r="AS245" i="48" s="1"/>
  <c r="E245" i="48"/>
  <c r="AU245" i="48" s="1"/>
  <c r="AF244" i="48"/>
  <c r="AE244" i="48"/>
  <c r="AC244" i="48"/>
  <c r="AB244" i="48"/>
  <c r="AA244" i="48"/>
  <c r="AD244" i="48" s="1"/>
  <c r="Z244" i="48"/>
  <c r="I244" i="48"/>
  <c r="H244" i="48"/>
  <c r="G244" i="48"/>
  <c r="F244" i="48"/>
  <c r="AS244" i="48" s="1"/>
  <c r="E244" i="48"/>
  <c r="AU244" i="48" s="1"/>
  <c r="AF243" i="48"/>
  <c r="AE243" i="48"/>
  <c r="AC243" i="48"/>
  <c r="AB243" i="48"/>
  <c r="AA243" i="48"/>
  <c r="AD243" i="48" s="1"/>
  <c r="Z243" i="48"/>
  <c r="I243" i="48"/>
  <c r="H243" i="48"/>
  <c r="G243" i="48"/>
  <c r="F243" i="48"/>
  <c r="AS243" i="48" s="1"/>
  <c r="E243" i="48"/>
  <c r="AU243" i="48" s="1"/>
  <c r="AF242" i="48"/>
  <c r="AT242" i="48" s="1"/>
  <c r="AE242" i="48"/>
  <c r="AD242" i="48"/>
  <c r="AC242" i="48"/>
  <c r="AB242" i="48"/>
  <c r="AA242" i="48"/>
  <c r="Z242" i="48"/>
  <c r="I242" i="48"/>
  <c r="H242" i="48"/>
  <c r="G242" i="48"/>
  <c r="F242" i="48"/>
  <c r="AS242" i="48" s="1"/>
  <c r="E242" i="48"/>
  <c r="AU242" i="48" s="1"/>
  <c r="AF241" i="48"/>
  <c r="AE241" i="48"/>
  <c r="AC241" i="48"/>
  <c r="AB241" i="48"/>
  <c r="AA241" i="48"/>
  <c r="AD241" i="48" s="1"/>
  <c r="Z241" i="48"/>
  <c r="I241" i="48"/>
  <c r="H241" i="48"/>
  <c r="G241" i="48"/>
  <c r="F241" i="48"/>
  <c r="AS241" i="48" s="1"/>
  <c r="E241" i="48"/>
  <c r="AU241" i="48" s="1"/>
  <c r="AS240" i="48"/>
  <c r="AF240" i="48"/>
  <c r="AE240" i="48"/>
  <c r="AC240" i="48"/>
  <c r="AB240" i="48"/>
  <c r="AA240" i="48"/>
  <c r="AD240" i="48" s="1"/>
  <c r="Z240" i="48"/>
  <c r="I240" i="48"/>
  <c r="H240" i="48"/>
  <c r="G240" i="48"/>
  <c r="F240" i="48"/>
  <c r="E240" i="48"/>
  <c r="AU240" i="48" s="1"/>
  <c r="AS239" i="48"/>
  <c r="AF239" i="48"/>
  <c r="AE239" i="48"/>
  <c r="AC239" i="48"/>
  <c r="AB239" i="48"/>
  <c r="AA239" i="48"/>
  <c r="AD239" i="48" s="1"/>
  <c r="Z239" i="48"/>
  <c r="I239" i="48"/>
  <c r="H239" i="48"/>
  <c r="G239" i="48"/>
  <c r="F239" i="48"/>
  <c r="E239" i="48"/>
  <c r="AU239" i="48" s="1"/>
  <c r="AF238" i="48"/>
  <c r="AT238" i="48" s="1"/>
  <c r="AE238" i="48"/>
  <c r="AC238" i="48"/>
  <c r="AB238" i="48"/>
  <c r="AA238" i="48"/>
  <c r="AD238" i="48" s="1"/>
  <c r="Z238" i="48"/>
  <c r="I238" i="48"/>
  <c r="H238" i="48"/>
  <c r="G238" i="48"/>
  <c r="F238" i="48"/>
  <c r="AS238" i="48" s="1"/>
  <c r="E238" i="48"/>
  <c r="AU238" i="48" s="1"/>
  <c r="AF237" i="48"/>
  <c r="AE237" i="48"/>
  <c r="AC237" i="48"/>
  <c r="AB237" i="48"/>
  <c r="AA237" i="48"/>
  <c r="AD237" i="48" s="1"/>
  <c r="Z237" i="48"/>
  <c r="I237" i="48"/>
  <c r="H237" i="48"/>
  <c r="G237" i="48"/>
  <c r="F237" i="48"/>
  <c r="AS237" i="48" s="1"/>
  <c r="E237" i="48"/>
  <c r="AU237" i="48" s="1"/>
  <c r="AS236" i="48"/>
  <c r="AF236" i="48"/>
  <c r="AE236" i="48"/>
  <c r="AC236" i="48"/>
  <c r="AB236" i="48"/>
  <c r="AA236" i="48"/>
  <c r="AD236" i="48" s="1"/>
  <c r="Z236" i="48"/>
  <c r="I236" i="48"/>
  <c r="H236" i="48"/>
  <c r="G236" i="48"/>
  <c r="F236" i="48"/>
  <c r="E236" i="48"/>
  <c r="AU236" i="48" s="1"/>
  <c r="AS235" i="48"/>
  <c r="AF235" i="48"/>
  <c r="AE235" i="48"/>
  <c r="AC235" i="48"/>
  <c r="AB235" i="48"/>
  <c r="AA235" i="48"/>
  <c r="AD235" i="48" s="1"/>
  <c r="Z235" i="48"/>
  <c r="I235" i="48"/>
  <c r="H235" i="48"/>
  <c r="G235" i="48"/>
  <c r="F235" i="48"/>
  <c r="E235" i="48"/>
  <c r="AU235" i="48" s="1"/>
  <c r="AF234" i="48"/>
  <c r="AT234" i="48" s="1"/>
  <c r="AE234" i="48"/>
  <c r="AC234" i="48"/>
  <c r="Z234" i="48"/>
  <c r="AB234" i="48" s="1"/>
  <c r="I234" i="48"/>
  <c r="H234" i="48"/>
  <c r="G234" i="48"/>
  <c r="F234" i="48"/>
  <c r="AS234" i="48" s="1"/>
  <c r="E234" i="48"/>
  <c r="AU234" i="48" s="1"/>
  <c r="AT233" i="48"/>
  <c r="AF233" i="48"/>
  <c r="AE233" i="48"/>
  <c r="AC233" i="48"/>
  <c r="Z233" i="48"/>
  <c r="AB233" i="48" s="1"/>
  <c r="I233" i="48"/>
  <c r="H233" i="48"/>
  <c r="G233" i="48"/>
  <c r="F233" i="48"/>
  <c r="AS233" i="48" s="1"/>
  <c r="AA233" i="48" s="1"/>
  <c r="AD233" i="48" s="1"/>
  <c r="E233" i="48"/>
  <c r="AU233" i="48" s="1"/>
  <c r="AF232" i="48"/>
  <c r="AE232" i="48"/>
  <c r="AC232" i="48"/>
  <c r="AB232" i="48"/>
  <c r="AA232" i="48"/>
  <c r="AD232" i="48" s="1"/>
  <c r="Z232" i="48"/>
  <c r="I232" i="48"/>
  <c r="H232" i="48"/>
  <c r="G232" i="48"/>
  <c r="F232" i="48"/>
  <c r="AS232" i="48" s="1"/>
  <c r="E232" i="48"/>
  <c r="AU232" i="48" s="1"/>
  <c r="AF231" i="48"/>
  <c r="AE231" i="48"/>
  <c r="AC231" i="48"/>
  <c r="Z231" i="48"/>
  <c r="AB231" i="48" s="1"/>
  <c r="I231" i="48"/>
  <c r="H231" i="48"/>
  <c r="G231" i="48"/>
  <c r="F231" i="48"/>
  <c r="AS231" i="48" s="1"/>
  <c r="E231" i="48"/>
  <c r="AU231" i="48" s="1"/>
  <c r="AT230" i="48"/>
  <c r="AF230" i="48"/>
  <c r="AE230" i="48"/>
  <c r="AC230" i="48"/>
  <c r="Z230" i="48"/>
  <c r="AB230" i="48" s="1"/>
  <c r="I230" i="48"/>
  <c r="H230" i="48"/>
  <c r="G230" i="48"/>
  <c r="F230" i="48"/>
  <c r="AS230" i="48" s="1"/>
  <c r="AA230" i="48" s="1"/>
  <c r="AD230" i="48" s="1"/>
  <c r="E230" i="48"/>
  <c r="AU230" i="48" s="1"/>
  <c r="AU229" i="48"/>
  <c r="AF229" i="48"/>
  <c r="AT229" i="48" s="1"/>
  <c r="AE229" i="48"/>
  <c r="AC229" i="48"/>
  <c r="Z229" i="48"/>
  <c r="AB229" i="48" s="1"/>
  <c r="I229" i="48"/>
  <c r="H229" i="48"/>
  <c r="G229" i="48"/>
  <c r="F229" i="48"/>
  <c r="AS229" i="48" s="1"/>
  <c r="E229" i="48"/>
  <c r="AF228" i="48"/>
  <c r="AE228" i="48"/>
  <c r="AC228" i="48"/>
  <c r="AB228" i="48"/>
  <c r="AA228" i="48"/>
  <c r="AD228" i="48" s="1"/>
  <c r="Z228" i="48"/>
  <c r="I228" i="48"/>
  <c r="H228" i="48"/>
  <c r="G228" i="48"/>
  <c r="F228" i="48"/>
  <c r="AS228" i="48" s="1"/>
  <c r="E228" i="48"/>
  <c r="AU228" i="48" s="1"/>
  <c r="AF227" i="48"/>
  <c r="AE227" i="48"/>
  <c r="AC227" i="48"/>
  <c r="AB227" i="48"/>
  <c r="AA227" i="48"/>
  <c r="AD227" i="48" s="1"/>
  <c r="Z227" i="48"/>
  <c r="I227" i="48"/>
  <c r="H227" i="48"/>
  <c r="G227" i="48"/>
  <c r="F227" i="48"/>
  <c r="AS227" i="48" s="1"/>
  <c r="E227" i="48"/>
  <c r="AU227" i="48" s="1"/>
  <c r="AF226" i="48"/>
  <c r="AT226" i="48" s="1"/>
  <c r="AE226" i="48"/>
  <c r="AC226" i="48"/>
  <c r="AB226" i="48"/>
  <c r="AA226" i="48"/>
  <c r="AD226" i="48" s="1"/>
  <c r="Z226" i="48"/>
  <c r="I226" i="48"/>
  <c r="H226" i="48"/>
  <c r="G226" i="48"/>
  <c r="F226" i="48"/>
  <c r="AS226" i="48" s="1"/>
  <c r="E226" i="48"/>
  <c r="AU226" i="48" s="1"/>
  <c r="AF225" i="48"/>
  <c r="AE225" i="48"/>
  <c r="AC225" i="48"/>
  <c r="AB225" i="48"/>
  <c r="AA225" i="48"/>
  <c r="AD225" i="48" s="1"/>
  <c r="Z225" i="48"/>
  <c r="I225" i="48"/>
  <c r="H225" i="48"/>
  <c r="G225" i="48"/>
  <c r="F225" i="48"/>
  <c r="AS225" i="48" s="1"/>
  <c r="E225" i="48"/>
  <c r="AU225" i="48" s="1"/>
  <c r="AF224" i="48"/>
  <c r="AE224" i="48"/>
  <c r="AC224" i="48"/>
  <c r="Z224" i="48"/>
  <c r="AB224" i="48" s="1"/>
  <c r="I224" i="48"/>
  <c r="H224" i="48"/>
  <c r="G224" i="48"/>
  <c r="F224" i="48"/>
  <c r="AS224" i="48" s="1"/>
  <c r="E224" i="48"/>
  <c r="AU224" i="48" s="1"/>
  <c r="AF223" i="48"/>
  <c r="AE223" i="48"/>
  <c r="AD223" i="48"/>
  <c r="AC223" i="48"/>
  <c r="AB223" i="48"/>
  <c r="AA223" i="48"/>
  <c r="Z223" i="48"/>
  <c r="I223" i="48"/>
  <c r="H223" i="48"/>
  <c r="G223" i="48"/>
  <c r="F223" i="48"/>
  <c r="AS223" i="48" s="1"/>
  <c r="E223" i="48"/>
  <c r="AU223" i="48" s="1"/>
  <c r="AF222" i="48"/>
  <c r="AE222" i="48"/>
  <c r="AD222" i="48"/>
  <c r="AC222" i="48"/>
  <c r="AB222" i="48"/>
  <c r="AA222" i="48"/>
  <c r="Z222" i="48"/>
  <c r="I222" i="48"/>
  <c r="H222" i="48"/>
  <c r="G222" i="48"/>
  <c r="F222" i="48"/>
  <c r="AS222" i="48" s="1"/>
  <c r="AT222" i="48" s="1"/>
  <c r="E222" i="48"/>
  <c r="AU222" i="48" s="1"/>
  <c r="AU221" i="48"/>
  <c r="AF221" i="48"/>
  <c r="AE221" i="48"/>
  <c r="AC221" i="48"/>
  <c r="Z221" i="48"/>
  <c r="AB221" i="48" s="1"/>
  <c r="I221" i="48"/>
  <c r="H221" i="48"/>
  <c r="G221" i="48"/>
  <c r="F221" i="48"/>
  <c r="AS221" i="48" s="1"/>
  <c r="E221" i="48"/>
  <c r="AU220" i="48"/>
  <c r="AF220" i="48"/>
  <c r="AE220" i="48"/>
  <c r="AC220" i="48"/>
  <c r="AB220" i="48"/>
  <c r="AA220" i="48"/>
  <c r="AD220" i="48" s="1"/>
  <c r="Z220" i="48"/>
  <c r="I220" i="48"/>
  <c r="H220" i="48"/>
  <c r="G220" i="48"/>
  <c r="F220" i="48"/>
  <c r="AS220" i="48" s="1"/>
  <c r="E220" i="48"/>
  <c r="AF219" i="48"/>
  <c r="AE219" i="48"/>
  <c r="AC219" i="48"/>
  <c r="Z219" i="48"/>
  <c r="AB219" i="48" s="1"/>
  <c r="I219" i="48"/>
  <c r="H219" i="48"/>
  <c r="G219" i="48"/>
  <c r="F219" i="48"/>
  <c r="AS219" i="48" s="1"/>
  <c r="E219" i="48"/>
  <c r="AU219" i="48" s="1"/>
  <c r="AF218" i="48"/>
  <c r="AE218" i="48"/>
  <c r="AC218" i="48"/>
  <c r="Z218" i="48"/>
  <c r="AB218" i="48" s="1"/>
  <c r="I218" i="48"/>
  <c r="H218" i="48"/>
  <c r="G218" i="48"/>
  <c r="F218" i="48"/>
  <c r="AS218" i="48" s="1"/>
  <c r="E218" i="48"/>
  <c r="AU218" i="48" s="1"/>
  <c r="AF217" i="48"/>
  <c r="AE217" i="48"/>
  <c r="AC217" i="48"/>
  <c r="AB217" i="48"/>
  <c r="AA217" i="48"/>
  <c r="AD217" i="48" s="1"/>
  <c r="Z217" i="48"/>
  <c r="I217" i="48"/>
  <c r="H217" i="48"/>
  <c r="G217" i="48"/>
  <c r="F217" i="48"/>
  <c r="AS217" i="48" s="1"/>
  <c r="E217" i="48"/>
  <c r="AU217" i="48" s="1"/>
  <c r="AF216" i="48"/>
  <c r="AE216" i="48"/>
  <c r="AC216" i="48"/>
  <c r="AB216" i="48"/>
  <c r="AA216" i="48"/>
  <c r="AD216" i="48" s="1"/>
  <c r="Z216" i="48"/>
  <c r="I216" i="48"/>
  <c r="H216" i="48"/>
  <c r="G216" i="48"/>
  <c r="F216" i="48"/>
  <c r="AS216" i="48" s="1"/>
  <c r="E216" i="48"/>
  <c r="AU216" i="48" s="1"/>
  <c r="AF215" i="48"/>
  <c r="AE215" i="48"/>
  <c r="AC215" i="48"/>
  <c r="AB215" i="48"/>
  <c r="AA215" i="48"/>
  <c r="AD215" i="48" s="1"/>
  <c r="Z215" i="48"/>
  <c r="I215" i="48"/>
  <c r="H215" i="48"/>
  <c r="G215" i="48"/>
  <c r="F215" i="48"/>
  <c r="AS215" i="48" s="1"/>
  <c r="E215" i="48"/>
  <c r="AU215" i="48" s="1"/>
  <c r="AF214" i="48"/>
  <c r="AE214" i="48"/>
  <c r="AC214" i="48"/>
  <c r="AB214" i="48"/>
  <c r="AA214" i="48"/>
  <c r="AD214" i="48" s="1"/>
  <c r="Z214" i="48"/>
  <c r="I214" i="48"/>
  <c r="H214" i="48"/>
  <c r="G214" i="48"/>
  <c r="F214" i="48"/>
  <c r="AS214" i="48" s="1"/>
  <c r="E214" i="48"/>
  <c r="AU214" i="48" s="1"/>
  <c r="AF213" i="48"/>
  <c r="AE213" i="48"/>
  <c r="AC213" i="48"/>
  <c r="Z213" i="48"/>
  <c r="AB213" i="48" s="1"/>
  <c r="I213" i="48"/>
  <c r="H213" i="48"/>
  <c r="G213" i="48"/>
  <c r="F213" i="48"/>
  <c r="AS213" i="48" s="1"/>
  <c r="E213" i="48"/>
  <c r="AU213" i="48" s="1"/>
  <c r="AF212" i="48"/>
  <c r="AE212" i="48"/>
  <c r="AC212" i="48"/>
  <c r="Z212" i="48"/>
  <c r="AB212" i="48" s="1"/>
  <c r="I212" i="48"/>
  <c r="H212" i="48"/>
  <c r="G212" i="48"/>
  <c r="F212" i="48"/>
  <c r="AS212" i="48" s="1"/>
  <c r="E212" i="48"/>
  <c r="AU212" i="48" s="1"/>
  <c r="AF211" i="48"/>
  <c r="AE211" i="48"/>
  <c r="AC211" i="48"/>
  <c r="Z211" i="48"/>
  <c r="AB211" i="48" s="1"/>
  <c r="I211" i="48"/>
  <c r="H211" i="48"/>
  <c r="G211" i="48"/>
  <c r="F211" i="48"/>
  <c r="AS211" i="48" s="1"/>
  <c r="E211" i="48"/>
  <c r="AU211" i="48" s="1"/>
  <c r="AF210" i="48"/>
  <c r="AE210" i="48"/>
  <c r="AC210" i="48"/>
  <c r="AB210" i="48"/>
  <c r="AA210" i="48"/>
  <c r="AD210" i="48" s="1"/>
  <c r="Z210" i="48"/>
  <c r="I210" i="48"/>
  <c r="H210" i="48"/>
  <c r="G210" i="48"/>
  <c r="F210" i="48"/>
  <c r="AS210" i="48" s="1"/>
  <c r="AT210" i="48" s="1"/>
  <c r="E210" i="48"/>
  <c r="AU210" i="48" s="1"/>
  <c r="AF209" i="48"/>
  <c r="AE209" i="48"/>
  <c r="AC209" i="48"/>
  <c r="Z209" i="48"/>
  <c r="AB209" i="48" s="1"/>
  <c r="I209" i="48"/>
  <c r="H209" i="48"/>
  <c r="G209" i="48"/>
  <c r="F209" i="48"/>
  <c r="AS209" i="48" s="1"/>
  <c r="E209" i="48"/>
  <c r="AU209" i="48" s="1"/>
  <c r="AS208" i="48"/>
  <c r="AF208" i="48"/>
  <c r="AE208" i="48"/>
  <c r="AC208" i="48"/>
  <c r="AB208" i="48"/>
  <c r="AA208" i="48"/>
  <c r="AD208" i="48" s="1"/>
  <c r="Z208" i="48"/>
  <c r="I208" i="48"/>
  <c r="H208" i="48"/>
  <c r="G208" i="48"/>
  <c r="F208" i="48"/>
  <c r="E208" i="48"/>
  <c r="AU208" i="48" s="1"/>
  <c r="AS207" i="48"/>
  <c r="AF207" i="48"/>
  <c r="AE207" i="48"/>
  <c r="AC207" i="48"/>
  <c r="AB207" i="48"/>
  <c r="Z207" i="48"/>
  <c r="I207" i="48"/>
  <c r="H207" i="48"/>
  <c r="G207" i="48"/>
  <c r="F207" i="48"/>
  <c r="E207" i="48"/>
  <c r="AU207" i="48" s="1"/>
  <c r="A207" i="48"/>
  <c r="A208" i="48" s="1"/>
  <c r="A209" i="48" s="1"/>
  <c r="A210" i="48" s="1"/>
  <c r="A211" i="48" s="1"/>
  <c r="A212" i="48" s="1"/>
  <c r="A213" i="48" s="1"/>
  <c r="A214" i="48" s="1"/>
  <c r="A215" i="48" s="1"/>
  <c r="A216" i="48" s="1"/>
  <c r="A217" i="48" s="1"/>
  <c r="A218" i="48" s="1"/>
  <c r="A219" i="48" s="1"/>
  <c r="A220" i="48" s="1"/>
  <c r="A221" i="48" s="1"/>
  <c r="A222" i="48" s="1"/>
  <c r="A223" i="48" s="1"/>
  <c r="A224" i="48" s="1"/>
  <c r="A225" i="48" s="1"/>
  <c r="A226" i="48" s="1"/>
  <c r="A227" i="48" s="1"/>
  <c r="A228" i="48" s="1"/>
  <c r="A229" i="48" s="1"/>
  <c r="A230" i="48" s="1"/>
  <c r="A231" i="48" s="1"/>
  <c r="A232" i="48" s="1"/>
  <c r="A233" i="48" s="1"/>
  <c r="A234" i="48" s="1"/>
  <c r="A235" i="48" s="1"/>
  <c r="A236" i="48" s="1"/>
  <c r="A237" i="48" s="1"/>
  <c r="A238" i="48" s="1"/>
  <c r="A239" i="48" s="1"/>
  <c r="A240" i="48" s="1"/>
  <c r="A241" i="48" s="1"/>
  <c r="A242" i="48" s="1"/>
  <c r="A243" i="48" s="1"/>
  <c r="A244" i="48" s="1"/>
  <c r="A245" i="48" s="1"/>
  <c r="AF206" i="48"/>
  <c r="AE206" i="48"/>
  <c r="AD206" i="48"/>
  <c r="AC206" i="48"/>
  <c r="AB206" i="48"/>
  <c r="AA206" i="48"/>
  <c r="Z206" i="48"/>
  <c r="I206" i="48"/>
  <c r="H206" i="48"/>
  <c r="G206" i="48"/>
  <c r="F206" i="48"/>
  <c r="AS206" i="48" s="1"/>
  <c r="AT206" i="48" s="1"/>
  <c r="E206" i="48"/>
  <c r="AU206" i="48" s="1"/>
  <c r="AT205" i="48"/>
  <c r="AF205" i="48"/>
  <c r="AE205" i="48"/>
  <c r="AC205" i="48"/>
  <c r="AB205" i="48"/>
  <c r="AA205" i="48"/>
  <c r="AD205" i="48" s="1"/>
  <c r="Z205" i="48"/>
  <c r="I205" i="48"/>
  <c r="H205" i="48"/>
  <c r="G205" i="48"/>
  <c r="F205" i="48"/>
  <c r="AS205" i="48" s="1"/>
  <c r="E205" i="48"/>
  <c r="AU205" i="48" s="1"/>
  <c r="AF204" i="48"/>
  <c r="AT204" i="48" s="1"/>
  <c r="AE204" i="48"/>
  <c r="AC204" i="48"/>
  <c r="AB204" i="48"/>
  <c r="AA204" i="48"/>
  <c r="AD204" i="48" s="1"/>
  <c r="Z204" i="48"/>
  <c r="I204" i="48"/>
  <c r="H204" i="48"/>
  <c r="G204" i="48"/>
  <c r="F204" i="48"/>
  <c r="AS204" i="48" s="1"/>
  <c r="E204" i="48"/>
  <c r="AU204" i="48" s="1"/>
  <c r="AS203" i="48"/>
  <c r="AF203" i="48"/>
  <c r="AE203" i="48"/>
  <c r="AC203" i="48"/>
  <c r="AB203" i="48"/>
  <c r="AA203" i="48"/>
  <c r="AD203" i="48" s="1"/>
  <c r="Z203" i="48"/>
  <c r="I203" i="48"/>
  <c r="H203" i="48"/>
  <c r="G203" i="48"/>
  <c r="F203" i="48"/>
  <c r="E203" i="48"/>
  <c r="AU203" i="48" s="1"/>
  <c r="AS202" i="48"/>
  <c r="AF202" i="48"/>
  <c r="AE202" i="48"/>
  <c r="AC202" i="48"/>
  <c r="AB202" i="48"/>
  <c r="AA202" i="48"/>
  <c r="AD202" i="48" s="1"/>
  <c r="Z202" i="48"/>
  <c r="I202" i="48"/>
  <c r="H202" i="48"/>
  <c r="G202" i="48"/>
  <c r="F202" i="48"/>
  <c r="E202" i="48"/>
  <c r="AU202" i="48" s="1"/>
  <c r="AT201" i="48"/>
  <c r="AF201" i="48"/>
  <c r="AE201" i="48"/>
  <c r="AC201" i="48"/>
  <c r="AB201" i="48"/>
  <c r="AA201" i="48"/>
  <c r="AD201" i="48" s="1"/>
  <c r="Z201" i="48"/>
  <c r="I201" i="48"/>
  <c r="H201" i="48"/>
  <c r="G201" i="48"/>
  <c r="F201" i="48"/>
  <c r="AS201" i="48" s="1"/>
  <c r="E201" i="48"/>
  <c r="AU201" i="48" s="1"/>
  <c r="AF200" i="48"/>
  <c r="AT200" i="48" s="1"/>
  <c r="AE200" i="48"/>
  <c r="AC200" i="48"/>
  <c r="AB200" i="48"/>
  <c r="AA200" i="48"/>
  <c r="AD200" i="48" s="1"/>
  <c r="Z200" i="48"/>
  <c r="I200" i="48"/>
  <c r="H200" i="48"/>
  <c r="G200" i="48"/>
  <c r="F200" i="48"/>
  <c r="AS200" i="48" s="1"/>
  <c r="E200" i="48"/>
  <c r="AU200" i="48" s="1"/>
  <c r="AS199" i="48"/>
  <c r="AF199" i="48"/>
  <c r="AE199" i="48"/>
  <c r="AC199" i="48"/>
  <c r="AB199" i="48"/>
  <c r="AA199" i="48"/>
  <c r="AD199" i="48" s="1"/>
  <c r="Z199" i="48"/>
  <c r="I199" i="48"/>
  <c r="H199" i="48"/>
  <c r="G199" i="48"/>
  <c r="F199" i="48"/>
  <c r="E199" i="48"/>
  <c r="AU199" i="48" s="1"/>
  <c r="AS198" i="48"/>
  <c r="AF198" i="48"/>
  <c r="AE198" i="48"/>
  <c r="AC198" i="48"/>
  <c r="AB198" i="48"/>
  <c r="AA198" i="48"/>
  <c r="AD198" i="48" s="1"/>
  <c r="Z198" i="48"/>
  <c r="I198" i="48"/>
  <c r="H198" i="48"/>
  <c r="G198" i="48"/>
  <c r="F198" i="48"/>
  <c r="E198" i="48"/>
  <c r="AU198" i="48" s="1"/>
  <c r="AT197" i="48"/>
  <c r="AF197" i="48"/>
  <c r="AE197" i="48"/>
  <c r="AC197" i="48"/>
  <c r="AB197" i="48"/>
  <c r="AA197" i="48"/>
  <c r="AD197" i="48" s="1"/>
  <c r="Z197" i="48"/>
  <c r="I197" i="48"/>
  <c r="H197" i="48"/>
  <c r="G197" i="48"/>
  <c r="F197" i="48"/>
  <c r="AS197" i="48" s="1"/>
  <c r="E197" i="48"/>
  <c r="AU197" i="48" s="1"/>
  <c r="AF196" i="48"/>
  <c r="AT196" i="48" s="1"/>
  <c r="AE196" i="48"/>
  <c r="AC196" i="48"/>
  <c r="AB196" i="48"/>
  <c r="AA196" i="48"/>
  <c r="AD196" i="48" s="1"/>
  <c r="Z196" i="48"/>
  <c r="I196" i="48"/>
  <c r="H196" i="48"/>
  <c r="G196" i="48"/>
  <c r="F196" i="48"/>
  <c r="AS196" i="48" s="1"/>
  <c r="E196" i="48"/>
  <c r="AU196" i="48" s="1"/>
  <c r="AS195" i="48"/>
  <c r="AF195" i="48"/>
  <c r="AE195" i="48"/>
  <c r="AC195" i="48"/>
  <c r="AB195" i="48"/>
  <c r="AA195" i="48"/>
  <c r="AD195" i="48" s="1"/>
  <c r="Z195" i="48"/>
  <c r="I195" i="48"/>
  <c r="H195" i="48"/>
  <c r="G195" i="48"/>
  <c r="F195" i="48"/>
  <c r="E195" i="48"/>
  <c r="AU195" i="48" s="1"/>
  <c r="AS194" i="48"/>
  <c r="AF194" i="48"/>
  <c r="AE194" i="48"/>
  <c r="AC194" i="48"/>
  <c r="AB194" i="48"/>
  <c r="Z194" i="48"/>
  <c r="I194" i="48"/>
  <c r="H194" i="48"/>
  <c r="G194" i="48"/>
  <c r="F194" i="48"/>
  <c r="E194" i="48"/>
  <c r="AU194" i="48" s="1"/>
  <c r="AF193" i="48"/>
  <c r="AT193" i="48" s="1"/>
  <c r="AE193" i="48"/>
  <c r="AC193" i="48"/>
  <c r="Z193" i="48"/>
  <c r="AB193" i="48" s="1"/>
  <c r="I193" i="48"/>
  <c r="H193" i="48"/>
  <c r="G193" i="48"/>
  <c r="F193" i="48"/>
  <c r="AS193" i="48" s="1"/>
  <c r="E193" i="48"/>
  <c r="AU193" i="48" s="1"/>
  <c r="AT192" i="48"/>
  <c r="AF192" i="48"/>
  <c r="AE192" i="48"/>
  <c r="AC192" i="48"/>
  <c r="AB192" i="48"/>
  <c r="AA192" i="48"/>
  <c r="AD192" i="48" s="1"/>
  <c r="Z192" i="48"/>
  <c r="I192" i="48"/>
  <c r="H192" i="48"/>
  <c r="G192" i="48"/>
  <c r="F192" i="48"/>
  <c r="AS192" i="48" s="1"/>
  <c r="E192" i="48"/>
  <c r="AU192" i="48" s="1"/>
  <c r="AF191" i="48"/>
  <c r="AE191" i="48"/>
  <c r="AC191" i="48"/>
  <c r="Z191" i="48"/>
  <c r="AB191" i="48" s="1"/>
  <c r="I191" i="48"/>
  <c r="H191" i="48"/>
  <c r="G191" i="48"/>
  <c r="F191" i="48"/>
  <c r="AS191" i="48" s="1"/>
  <c r="E191" i="48"/>
  <c r="AU191" i="48" s="1"/>
  <c r="AS190" i="48"/>
  <c r="AF190" i="48"/>
  <c r="AE190" i="48"/>
  <c r="AC190" i="48"/>
  <c r="AB190" i="48"/>
  <c r="Z190" i="48"/>
  <c r="I190" i="48"/>
  <c r="H190" i="48"/>
  <c r="G190" i="48"/>
  <c r="F190" i="48"/>
  <c r="E190" i="48"/>
  <c r="AU190" i="48" s="1"/>
  <c r="AT189" i="48"/>
  <c r="AF189" i="48"/>
  <c r="AE189" i="48"/>
  <c r="AC189" i="48"/>
  <c r="AB189" i="48"/>
  <c r="AA189" i="48"/>
  <c r="AD189" i="48" s="1"/>
  <c r="Z189" i="48"/>
  <c r="I189" i="48"/>
  <c r="H189" i="48"/>
  <c r="G189" i="48"/>
  <c r="F189" i="48"/>
  <c r="AS189" i="48" s="1"/>
  <c r="E189" i="48"/>
  <c r="AU189" i="48" s="1"/>
  <c r="AF188" i="48"/>
  <c r="AT188" i="48" s="1"/>
  <c r="AE188" i="48"/>
  <c r="AC188" i="48"/>
  <c r="AB188" i="48"/>
  <c r="AA188" i="48"/>
  <c r="AD188" i="48" s="1"/>
  <c r="Z188" i="48"/>
  <c r="I188" i="48"/>
  <c r="H188" i="48"/>
  <c r="G188" i="48"/>
  <c r="F188" i="48"/>
  <c r="AS188" i="48" s="1"/>
  <c r="E188" i="48"/>
  <c r="AU188" i="48" s="1"/>
  <c r="AS187" i="48"/>
  <c r="AF187" i="48"/>
  <c r="AE187" i="48"/>
  <c r="AC187" i="48"/>
  <c r="AB187" i="48"/>
  <c r="AA187" i="48"/>
  <c r="AD187" i="48" s="1"/>
  <c r="Z187" i="48"/>
  <c r="I187" i="48"/>
  <c r="H187" i="48"/>
  <c r="G187" i="48"/>
  <c r="F187" i="48"/>
  <c r="E187" i="48"/>
  <c r="AU187" i="48" s="1"/>
  <c r="AS186" i="48"/>
  <c r="AF186" i="48"/>
  <c r="AE186" i="48"/>
  <c r="AC186" i="48"/>
  <c r="AB186" i="48"/>
  <c r="AA186" i="48"/>
  <c r="AD186" i="48" s="1"/>
  <c r="Z186" i="48"/>
  <c r="I186" i="48"/>
  <c r="H186" i="48"/>
  <c r="G186" i="48"/>
  <c r="F186" i="48"/>
  <c r="E186" i="48"/>
  <c r="AU186" i="48" s="1"/>
  <c r="AT185" i="48"/>
  <c r="AF185" i="48"/>
  <c r="AE185" i="48"/>
  <c r="AC185" i="48"/>
  <c r="AB185" i="48"/>
  <c r="AA185" i="48"/>
  <c r="AD185" i="48" s="1"/>
  <c r="Z185" i="48"/>
  <c r="I185" i="48"/>
  <c r="H185" i="48"/>
  <c r="G185" i="48"/>
  <c r="F185" i="48"/>
  <c r="AS185" i="48" s="1"/>
  <c r="E185" i="48"/>
  <c r="AU185" i="48" s="1"/>
  <c r="AU184" i="48"/>
  <c r="AF184" i="48"/>
  <c r="AE184" i="48"/>
  <c r="AC184" i="48"/>
  <c r="Z184" i="48"/>
  <c r="AB184" i="48" s="1"/>
  <c r="I184" i="48"/>
  <c r="H184" i="48"/>
  <c r="G184" i="48"/>
  <c r="F184" i="48"/>
  <c r="AS184" i="48" s="1"/>
  <c r="E184" i="48"/>
  <c r="AF183" i="48"/>
  <c r="AE183" i="48"/>
  <c r="AC183" i="48"/>
  <c r="AB183" i="48"/>
  <c r="AA183" i="48"/>
  <c r="AD183" i="48" s="1"/>
  <c r="Z183" i="48"/>
  <c r="I183" i="48"/>
  <c r="H183" i="48"/>
  <c r="G183" i="48"/>
  <c r="F183" i="48"/>
  <c r="AS183" i="48" s="1"/>
  <c r="E183" i="48"/>
  <c r="AU183" i="48" s="1"/>
  <c r="AF182" i="48"/>
  <c r="AE182" i="48"/>
  <c r="AC182" i="48"/>
  <c r="AB182" i="48"/>
  <c r="AA182" i="48"/>
  <c r="AD182" i="48" s="1"/>
  <c r="Z182" i="48"/>
  <c r="I182" i="48"/>
  <c r="H182" i="48"/>
  <c r="G182" i="48"/>
  <c r="F182" i="48"/>
  <c r="AS182" i="48" s="1"/>
  <c r="E182" i="48"/>
  <c r="AU182" i="48" s="1"/>
  <c r="AF181" i="48"/>
  <c r="AE181" i="48"/>
  <c r="AC181" i="48"/>
  <c r="Z181" i="48"/>
  <c r="AB181" i="48" s="1"/>
  <c r="I181" i="48"/>
  <c r="H181" i="48"/>
  <c r="G181" i="48"/>
  <c r="F181" i="48"/>
  <c r="AS181" i="48" s="1"/>
  <c r="E181" i="48"/>
  <c r="AU181" i="48" s="1"/>
  <c r="AF180" i="48"/>
  <c r="AE180" i="48"/>
  <c r="AC180" i="48"/>
  <c r="AB180" i="48"/>
  <c r="AA180" i="48"/>
  <c r="AD180" i="48" s="1"/>
  <c r="Z180" i="48"/>
  <c r="I180" i="48"/>
  <c r="H180" i="48"/>
  <c r="G180" i="48"/>
  <c r="F180" i="48"/>
  <c r="AS180" i="48" s="1"/>
  <c r="E180" i="48"/>
  <c r="AU180" i="48" s="1"/>
  <c r="AF179" i="48"/>
  <c r="AE179" i="48"/>
  <c r="AC179" i="48"/>
  <c r="Z179" i="48"/>
  <c r="AB179" i="48" s="1"/>
  <c r="I179" i="48"/>
  <c r="H179" i="48"/>
  <c r="G179" i="48"/>
  <c r="F179" i="48"/>
  <c r="AS179" i="48" s="1"/>
  <c r="E179" i="48"/>
  <c r="AU179" i="48" s="1"/>
  <c r="AF178" i="48"/>
  <c r="AE178" i="48"/>
  <c r="AC178" i="48"/>
  <c r="Z178" i="48"/>
  <c r="AB178" i="48" s="1"/>
  <c r="I178" i="48"/>
  <c r="H178" i="48"/>
  <c r="G178" i="48"/>
  <c r="F178" i="48"/>
  <c r="AS178" i="48" s="1"/>
  <c r="E178" i="48"/>
  <c r="AU178" i="48" s="1"/>
  <c r="AF177" i="48"/>
  <c r="AE177" i="48"/>
  <c r="AC177" i="48"/>
  <c r="AB177" i="48"/>
  <c r="AA177" i="48"/>
  <c r="AD177" i="48" s="1"/>
  <c r="Z177" i="48"/>
  <c r="I177" i="48"/>
  <c r="H177" i="48"/>
  <c r="G177" i="48"/>
  <c r="F177" i="48"/>
  <c r="AS177" i="48" s="1"/>
  <c r="AT177" i="48" s="1"/>
  <c r="E177" i="48"/>
  <c r="AU177" i="48" s="1"/>
  <c r="AF176" i="48"/>
  <c r="AE176" i="48"/>
  <c r="AC176" i="48"/>
  <c r="AB176" i="48"/>
  <c r="AA176" i="48"/>
  <c r="AD176" i="48" s="1"/>
  <c r="Z176" i="48"/>
  <c r="I176" i="48"/>
  <c r="H176" i="48"/>
  <c r="G176" i="48"/>
  <c r="F176" i="48"/>
  <c r="AS176" i="48" s="1"/>
  <c r="AT176" i="48" s="1"/>
  <c r="E176" i="48"/>
  <c r="AU176" i="48" s="1"/>
  <c r="AF175" i="48"/>
  <c r="AE175" i="48"/>
  <c r="AC175" i="48"/>
  <c r="Z175" i="48"/>
  <c r="AB175" i="48" s="1"/>
  <c r="I175" i="48"/>
  <c r="H175" i="48"/>
  <c r="G175" i="48"/>
  <c r="F175" i="48"/>
  <c r="AS175" i="48" s="1"/>
  <c r="E175" i="48"/>
  <c r="AU175" i="48" s="1"/>
  <c r="AF174" i="48"/>
  <c r="AE174" i="48"/>
  <c r="AC174" i="48"/>
  <c r="AB174" i="48"/>
  <c r="AA174" i="48"/>
  <c r="AD174" i="48" s="1"/>
  <c r="Z174" i="48"/>
  <c r="I174" i="48"/>
  <c r="H174" i="48"/>
  <c r="G174" i="48"/>
  <c r="F174" i="48"/>
  <c r="AS174" i="48" s="1"/>
  <c r="E174" i="48"/>
  <c r="AU174" i="48" s="1"/>
  <c r="AF173" i="48"/>
  <c r="AE173" i="48"/>
  <c r="AC173" i="48"/>
  <c r="Z173" i="48"/>
  <c r="AB173" i="48" s="1"/>
  <c r="I173" i="48"/>
  <c r="H173" i="48"/>
  <c r="G173" i="48"/>
  <c r="F173" i="48"/>
  <c r="AS173" i="48" s="1"/>
  <c r="E173" i="48"/>
  <c r="AU173" i="48" s="1"/>
  <c r="AF172" i="48"/>
  <c r="AE172" i="48"/>
  <c r="AC172" i="48"/>
  <c r="Z172" i="48"/>
  <c r="AB172" i="48" s="1"/>
  <c r="I172" i="48"/>
  <c r="H172" i="48"/>
  <c r="G172" i="48"/>
  <c r="F172" i="48"/>
  <c r="AS172" i="48" s="1"/>
  <c r="E172" i="48"/>
  <c r="AU172" i="48" s="1"/>
  <c r="AF171" i="48"/>
  <c r="AE171" i="48"/>
  <c r="AC171" i="48"/>
  <c r="Z171" i="48"/>
  <c r="AB171" i="48" s="1"/>
  <c r="I171" i="48"/>
  <c r="H171" i="48"/>
  <c r="G171" i="48"/>
  <c r="F171" i="48"/>
  <c r="AS171" i="48" s="1"/>
  <c r="E171" i="48"/>
  <c r="AU171" i="48" s="1"/>
  <c r="AF170" i="48"/>
  <c r="AE170" i="48"/>
  <c r="AC170" i="48"/>
  <c r="AB170" i="48"/>
  <c r="AA170" i="48"/>
  <c r="AD170" i="48" s="1"/>
  <c r="Z170" i="48"/>
  <c r="I170" i="48"/>
  <c r="H170" i="48"/>
  <c r="G170" i="48"/>
  <c r="F170" i="48"/>
  <c r="AS170" i="48" s="1"/>
  <c r="E170" i="48"/>
  <c r="AU170" i="48" s="1"/>
  <c r="AF169" i="48"/>
  <c r="AE169" i="48"/>
  <c r="AC169" i="48"/>
  <c r="Z169" i="48"/>
  <c r="AB169" i="48" s="1"/>
  <c r="I169" i="48"/>
  <c r="H169" i="48"/>
  <c r="G169" i="48"/>
  <c r="F169" i="48"/>
  <c r="AS169" i="48" s="1"/>
  <c r="E169" i="48"/>
  <c r="AU169" i="48" s="1"/>
  <c r="AF168" i="48"/>
  <c r="AE168" i="48"/>
  <c r="AC168" i="48"/>
  <c r="AB168" i="48"/>
  <c r="AA168" i="48"/>
  <c r="AD168" i="48" s="1"/>
  <c r="Z168" i="48"/>
  <c r="I168" i="48"/>
  <c r="H168" i="48"/>
  <c r="G168" i="48"/>
  <c r="F168" i="48"/>
  <c r="AS168" i="48" s="1"/>
  <c r="E168" i="48"/>
  <c r="AU168" i="48" s="1"/>
  <c r="AF167" i="48"/>
  <c r="AE167" i="48"/>
  <c r="AC167" i="48"/>
  <c r="Z167" i="48"/>
  <c r="AB167" i="48" s="1"/>
  <c r="I167" i="48"/>
  <c r="H167" i="48"/>
  <c r="G167" i="48"/>
  <c r="F167" i="48"/>
  <c r="AS167" i="48" s="1"/>
  <c r="E167" i="48"/>
  <c r="AU167" i="48" s="1"/>
  <c r="A167" i="48"/>
  <c r="A168" i="48" s="1"/>
  <c r="A169" i="48" s="1"/>
  <c r="A170" i="48" s="1"/>
  <c r="A171" i="48" s="1"/>
  <c r="A172" i="48" s="1"/>
  <c r="A173" i="48" s="1"/>
  <c r="A174" i="48" s="1"/>
  <c r="A175" i="48" s="1"/>
  <c r="A176" i="48" s="1"/>
  <c r="A177" i="48" s="1"/>
  <c r="A178" i="48" s="1"/>
  <c r="A179" i="48" s="1"/>
  <c r="A180" i="48" s="1"/>
  <c r="A181" i="48" s="1"/>
  <c r="A182" i="48" s="1"/>
  <c r="A183" i="48" s="1"/>
  <c r="A184" i="48" s="1"/>
  <c r="A185" i="48" s="1"/>
  <c r="A186" i="48" s="1"/>
  <c r="A187" i="48" s="1"/>
  <c r="A188" i="48" s="1"/>
  <c r="A189" i="48" s="1"/>
  <c r="A190" i="48" s="1"/>
  <c r="A191" i="48" s="1"/>
  <c r="A192" i="48" s="1"/>
  <c r="A193" i="48" s="1"/>
  <c r="A194" i="48" s="1"/>
  <c r="A195" i="48" s="1"/>
  <c r="A196" i="48" s="1"/>
  <c r="A197" i="48" s="1"/>
  <c r="A198" i="48" s="1"/>
  <c r="A199" i="48" s="1"/>
  <c r="A200" i="48" s="1"/>
  <c r="A201" i="48" s="1"/>
  <c r="A202" i="48" s="1"/>
  <c r="A203" i="48" s="1"/>
  <c r="A204" i="48" s="1"/>
  <c r="A205" i="48" s="1"/>
  <c r="AF166" i="48"/>
  <c r="AE166" i="48"/>
  <c r="AC166" i="48"/>
  <c r="AB166" i="48"/>
  <c r="AA166" i="48"/>
  <c r="AD166" i="48" s="1"/>
  <c r="Z166" i="48"/>
  <c r="I166" i="48"/>
  <c r="H166" i="48"/>
  <c r="G166" i="48"/>
  <c r="F166" i="48"/>
  <c r="AS166" i="48" s="1"/>
  <c r="E166" i="48"/>
  <c r="AU166" i="48" s="1"/>
  <c r="AF165" i="48"/>
  <c r="AE165" i="48"/>
  <c r="AC165" i="48"/>
  <c r="AB165" i="48"/>
  <c r="AA165" i="48"/>
  <c r="AD165" i="48" s="1"/>
  <c r="Z165" i="48"/>
  <c r="I165" i="48"/>
  <c r="H165" i="48"/>
  <c r="G165" i="48"/>
  <c r="F165" i="48"/>
  <c r="AS165" i="48" s="1"/>
  <c r="E165" i="48"/>
  <c r="AU165" i="48" s="1"/>
  <c r="AF164" i="48"/>
  <c r="AT164" i="48" s="1"/>
  <c r="AE164" i="48"/>
  <c r="AC164" i="48"/>
  <c r="AB164" i="48"/>
  <c r="AA164" i="48"/>
  <c r="AD164" i="48" s="1"/>
  <c r="Z164" i="48"/>
  <c r="I164" i="48"/>
  <c r="H164" i="48"/>
  <c r="G164" i="48"/>
  <c r="F164" i="48"/>
  <c r="AS164" i="48" s="1"/>
  <c r="E164" i="48"/>
  <c r="AU164" i="48" s="1"/>
  <c r="AT163" i="48"/>
  <c r="AF163" i="48"/>
  <c r="AE163" i="48"/>
  <c r="AC163" i="48"/>
  <c r="AB163" i="48"/>
  <c r="AA163" i="48"/>
  <c r="AD163" i="48" s="1"/>
  <c r="Z163" i="48"/>
  <c r="I163" i="48"/>
  <c r="H163" i="48"/>
  <c r="G163" i="48"/>
  <c r="F163" i="48"/>
  <c r="AS163" i="48" s="1"/>
  <c r="E163" i="48"/>
  <c r="AU163" i="48" s="1"/>
  <c r="AF162" i="48"/>
  <c r="AE162" i="48"/>
  <c r="AC162" i="48"/>
  <c r="AB162" i="48"/>
  <c r="AA162" i="48"/>
  <c r="AD162" i="48" s="1"/>
  <c r="Z162" i="48"/>
  <c r="I162" i="48"/>
  <c r="H162" i="48"/>
  <c r="G162" i="48"/>
  <c r="F162" i="48"/>
  <c r="AS162" i="48" s="1"/>
  <c r="E162" i="48"/>
  <c r="AU162" i="48" s="1"/>
  <c r="AF161" i="48"/>
  <c r="AE161" i="48"/>
  <c r="AC161" i="48"/>
  <c r="AB161" i="48"/>
  <c r="AA161" i="48"/>
  <c r="AD161" i="48" s="1"/>
  <c r="Z161" i="48"/>
  <c r="I161" i="48"/>
  <c r="H161" i="48"/>
  <c r="G161" i="48"/>
  <c r="F161" i="48"/>
  <c r="AS161" i="48" s="1"/>
  <c r="E161" i="48"/>
  <c r="AU161" i="48" s="1"/>
  <c r="AF160" i="48"/>
  <c r="AT160" i="48" s="1"/>
  <c r="AE160" i="48"/>
  <c r="AC160" i="48"/>
  <c r="AB160" i="48"/>
  <c r="AA160" i="48"/>
  <c r="AD160" i="48" s="1"/>
  <c r="Z160" i="48"/>
  <c r="I160" i="48"/>
  <c r="H160" i="48"/>
  <c r="G160" i="48"/>
  <c r="F160" i="48"/>
  <c r="AS160" i="48" s="1"/>
  <c r="E160" i="48"/>
  <c r="AU160" i="48" s="1"/>
  <c r="AT159" i="48"/>
  <c r="AF159" i="48"/>
  <c r="AE159" i="48"/>
  <c r="AC159" i="48"/>
  <c r="AB159" i="48"/>
  <c r="AA159" i="48"/>
  <c r="AD159" i="48" s="1"/>
  <c r="Z159" i="48"/>
  <c r="I159" i="48"/>
  <c r="H159" i="48"/>
  <c r="G159" i="48"/>
  <c r="F159" i="48"/>
  <c r="AS159" i="48" s="1"/>
  <c r="E159" i="48"/>
  <c r="AU159" i="48" s="1"/>
  <c r="AF158" i="48"/>
  <c r="AE158" i="48"/>
  <c r="AC158" i="48"/>
  <c r="AB158" i="48"/>
  <c r="AA158" i="48"/>
  <c r="AD158" i="48" s="1"/>
  <c r="Z158" i="48"/>
  <c r="I158" i="48"/>
  <c r="H158" i="48"/>
  <c r="G158" i="48"/>
  <c r="F158" i="48"/>
  <c r="AS158" i="48" s="1"/>
  <c r="E158" i="48"/>
  <c r="AU158" i="48" s="1"/>
  <c r="AF157" i="48"/>
  <c r="AE157" i="48"/>
  <c r="AC157" i="48"/>
  <c r="AB157" i="48"/>
  <c r="AA157" i="48"/>
  <c r="AD157" i="48" s="1"/>
  <c r="Z157" i="48"/>
  <c r="I157" i="48"/>
  <c r="H157" i="48"/>
  <c r="G157" i="48"/>
  <c r="F157" i="48"/>
  <c r="AS157" i="48" s="1"/>
  <c r="E157" i="48"/>
  <c r="AU157" i="48" s="1"/>
  <c r="AF156" i="48"/>
  <c r="AT156" i="48" s="1"/>
  <c r="AE156" i="48"/>
  <c r="AC156" i="48"/>
  <c r="AB156" i="48"/>
  <c r="AA156" i="48"/>
  <c r="AD156" i="48" s="1"/>
  <c r="Z156" i="48"/>
  <c r="I156" i="48"/>
  <c r="H156" i="48"/>
  <c r="G156" i="48"/>
  <c r="F156" i="48"/>
  <c r="AS156" i="48" s="1"/>
  <c r="E156" i="48"/>
  <c r="AU156" i="48" s="1"/>
  <c r="AT155" i="48"/>
  <c r="AF155" i="48"/>
  <c r="AE155" i="48"/>
  <c r="AC155" i="48"/>
  <c r="Z155" i="48"/>
  <c r="AB155" i="48" s="1"/>
  <c r="I155" i="48"/>
  <c r="H155" i="48"/>
  <c r="G155" i="48"/>
  <c r="F155" i="48"/>
  <c r="AS155" i="48" s="1"/>
  <c r="AA155" i="48" s="1"/>
  <c r="AD155" i="48" s="1"/>
  <c r="E155" i="48"/>
  <c r="AU155" i="48" s="1"/>
  <c r="AF154" i="48"/>
  <c r="AE154" i="48"/>
  <c r="AC154" i="48"/>
  <c r="Z154" i="48"/>
  <c r="AB154" i="48" s="1"/>
  <c r="I154" i="48"/>
  <c r="H154" i="48"/>
  <c r="G154" i="48"/>
  <c r="F154" i="48"/>
  <c r="AS154" i="48" s="1"/>
  <c r="E154" i="48"/>
  <c r="AU154" i="48" s="1"/>
  <c r="AF153" i="48"/>
  <c r="AE153" i="48"/>
  <c r="AC153" i="48"/>
  <c r="Z153" i="48"/>
  <c r="AB153" i="48" s="1"/>
  <c r="I153" i="48"/>
  <c r="H153" i="48"/>
  <c r="G153" i="48"/>
  <c r="F153" i="48"/>
  <c r="AS153" i="48" s="1"/>
  <c r="E153" i="48"/>
  <c r="AU153" i="48" s="1"/>
  <c r="AT152" i="48"/>
  <c r="AF152" i="48"/>
  <c r="AE152" i="48"/>
  <c r="AC152" i="48"/>
  <c r="Z152" i="48"/>
  <c r="AB152" i="48" s="1"/>
  <c r="I152" i="48"/>
  <c r="H152" i="48"/>
  <c r="G152" i="48"/>
  <c r="F152" i="48"/>
  <c r="AS152" i="48" s="1"/>
  <c r="AA152" i="48" s="1"/>
  <c r="AD152" i="48" s="1"/>
  <c r="E152" i="48"/>
  <c r="AU152" i="48" s="1"/>
  <c r="AF151" i="48"/>
  <c r="AT151" i="48" s="1"/>
  <c r="AE151" i="48"/>
  <c r="AC151" i="48"/>
  <c r="Z151" i="48"/>
  <c r="AB151" i="48" s="1"/>
  <c r="I151" i="48"/>
  <c r="H151" i="48"/>
  <c r="G151" i="48"/>
  <c r="F151" i="48"/>
  <c r="AS151" i="48" s="1"/>
  <c r="E151" i="48"/>
  <c r="AU151" i="48" s="1"/>
  <c r="AF150" i="48"/>
  <c r="AE150" i="48"/>
  <c r="AC150" i="48"/>
  <c r="Z150" i="48"/>
  <c r="AB150" i="48" s="1"/>
  <c r="I150" i="48"/>
  <c r="H150" i="48"/>
  <c r="G150" i="48"/>
  <c r="F150" i="48"/>
  <c r="AS150" i="48" s="1"/>
  <c r="E150" i="48"/>
  <c r="AU150" i="48" s="1"/>
  <c r="AF149" i="48"/>
  <c r="AE149" i="48"/>
  <c r="AC149" i="48"/>
  <c r="AB149" i="48"/>
  <c r="AA149" i="48"/>
  <c r="AD149" i="48" s="1"/>
  <c r="Z149" i="48"/>
  <c r="I149" i="48"/>
  <c r="H149" i="48"/>
  <c r="G149" i="48"/>
  <c r="F149" i="48"/>
  <c r="AS149" i="48" s="1"/>
  <c r="E149" i="48"/>
  <c r="AU149" i="48" s="1"/>
  <c r="AT148" i="48"/>
  <c r="AF148" i="48"/>
  <c r="AE148" i="48"/>
  <c r="AC148" i="48"/>
  <c r="Z148" i="48"/>
  <c r="AB148" i="48" s="1"/>
  <c r="I148" i="48"/>
  <c r="H148" i="48"/>
  <c r="G148" i="48"/>
  <c r="F148" i="48"/>
  <c r="AS148" i="48" s="1"/>
  <c r="AA148" i="48" s="1"/>
  <c r="AD148" i="48" s="1"/>
  <c r="E148" i="48"/>
  <c r="AU148" i="48" s="1"/>
  <c r="AT147" i="48"/>
  <c r="AF147" i="48"/>
  <c r="AE147" i="48"/>
  <c r="AC147" i="48"/>
  <c r="AB147" i="48"/>
  <c r="AA147" i="48"/>
  <c r="AD147" i="48" s="1"/>
  <c r="Z147" i="48"/>
  <c r="I147" i="48"/>
  <c r="H147" i="48"/>
  <c r="G147" i="48"/>
  <c r="F147" i="48"/>
  <c r="AS147" i="48" s="1"/>
  <c r="E147" i="48"/>
  <c r="AU147" i="48" s="1"/>
  <c r="AS146" i="48"/>
  <c r="AF146" i="48"/>
  <c r="AE146" i="48"/>
  <c r="AC146" i="48"/>
  <c r="AB146" i="48"/>
  <c r="Z146" i="48"/>
  <c r="I146" i="48"/>
  <c r="H146" i="48"/>
  <c r="G146" i="48"/>
  <c r="F146" i="48"/>
  <c r="E146" i="48"/>
  <c r="AU146" i="48" s="1"/>
  <c r="AF145" i="48"/>
  <c r="AE145" i="48"/>
  <c r="AC145" i="48"/>
  <c r="AB145" i="48"/>
  <c r="AA145" i="48"/>
  <c r="AD145" i="48" s="1"/>
  <c r="Z145" i="48"/>
  <c r="I145" i="48"/>
  <c r="H145" i="48"/>
  <c r="G145" i="48"/>
  <c r="F145" i="48"/>
  <c r="AS145" i="48" s="1"/>
  <c r="E145" i="48"/>
  <c r="AU145" i="48" s="1"/>
  <c r="AF144" i="48"/>
  <c r="AE144" i="48"/>
  <c r="AC144" i="48"/>
  <c r="Z144" i="48"/>
  <c r="AB144" i="48" s="1"/>
  <c r="I144" i="48"/>
  <c r="H144" i="48"/>
  <c r="G144" i="48"/>
  <c r="F144" i="48"/>
  <c r="AS144" i="48" s="1"/>
  <c r="E144" i="48"/>
  <c r="AU144" i="48" s="1"/>
  <c r="AF143" i="48"/>
  <c r="AE143" i="48"/>
  <c r="AC143" i="48"/>
  <c r="AB143" i="48"/>
  <c r="AA143" i="48"/>
  <c r="AD143" i="48" s="1"/>
  <c r="Z143" i="48"/>
  <c r="I143" i="48"/>
  <c r="H143" i="48"/>
  <c r="G143" i="48"/>
  <c r="F143" i="48"/>
  <c r="AS143" i="48" s="1"/>
  <c r="E143" i="48"/>
  <c r="AU143" i="48" s="1"/>
  <c r="AF142" i="48"/>
  <c r="AE142" i="48"/>
  <c r="AC142" i="48"/>
  <c r="AB142" i="48"/>
  <c r="AA142" i="48"/>
  <c r="AD142" i="48" s="1"/>
  <c r="Z142" i="48"/>
  <c r="I142" i="48"/>
  <c r="H142" i="48"/>
  <c r="G142" i="48"/>
  <c r="F142" i="48"/>
  <c r="AS142" i="48" s="1"/>
  <c r="E142" i="48"/>
  <c r="AU142" i="48" s="1"/>
  <c r="AS141" i="48"/>
  <c r="AF141" i="48"/>
  <c r="AE141" i="48"/>
  <c r="AC141" i="48"/>
  <c r="AB141" i="48"/>
  <c r="Z141" i="48"/>
  <c r="I141" i="48"/>
  <c r="H141" i="48"/>
  <c r="G141" i="48"/>
  <c r="F141" i="48"/>
  <c r="E141" i="48"/>
  <c r="AU141" i="48" s="1"/>
  <c r="AF140" i="48"/>
  <c r="AE140" i="48"/>
  <c r="AC140" i="48"/>
  <c r="AB140" i="48"/>
  <c r="AA140" i="48"/>
  <c r="AD140" i="48" s="1"/>
  <c r="Z140" i="48"/>
  <c r="I140" i="48"/>
  <c r="H140" i="48"/>
  <c r="G140" i="48"/>
  <c r="F140" i="48"/>
  <c r="AS140" i="48" s="1"/>
  <c r="E140" i="48"/>
  <c r="AU140" i="48" s="1"/>
  <c r="AF139" i="48"/>
  <c r="AE139" i="48"/>
  <c r="AC139" i="48"/>
  <c r="Z139" i="48"/>
  <c r="AB139" i="48" s="1"/>
  <c r="I139" i="48"/>
  <c r="H139" i="48"/>
  <c r="G139" i="48"/>
  <c r="F139" i="48"/>
  <c r="AS139" i="48" s="1"/>
  <c r="E139" i="48"/>
  <c r="AU139" i="48" s="1"/>
  <c r="AS138" i="48"/>
  <c r="AF138" i="48"/>
  <c r="AE138" i="48"/>
  <c r="AC138" i="48"/>
  <c r="AB138" i="48"/>
  <c r="Z138" i="48"/>
  <c r="I138" i="48"/>
  <c r="H138" i="48"/>
  <c r="G138" i="48"/>
  <c r="F138" i="48"/>
  <c r="E138" i="48"/>
  <c r="AU138" i="48" s="1"/>
  <c r="AF137" i="48"/>
  <c r="AE137" i="48"/>
  <c r="AC137" i="48"/>
  <c r="AB137" i="48"/>
  <c r="AA137" i="48"/>
  <c r="AD137" i="48" s="1"/>
  <c r="Z137" i="48"/>
  <c r="I137" i="48"/>
  <c r="H137" i="48"/>
  <c r="G137" i="48"/>
  <c r="F137" i="48"/>
  <c r="AS137" i="48" s="1"/>
  <c r="E137" i="48"/>
  <c r="AU137" i="48" s="1"/>
  <c r="AF136" i="48"/>
  <c r="AE136" i="48"/>
  <c r="AC136" i="48"/>
  <c r="AB136" i="48"/>
  <c r="AA136" i="48"/>
  <c r="AD136" i="48" s="1"/>
  <c r="Z136" i="48"/>
  <c r="I136" i="48"/>
  <c r="H136" i="48"/>
  <c r="G136" i="48"/>
  <c r="F136" i="48"/>
  <c r="AS136" i="48" s="1"/>
  <c r="AT136" i="48" s="1"/>
  <c r="E136" i="48"/>
  <c r="AU136" i="48" s="1"/>
  <c r="AF135" i="48"/>
  <c r="AE135" i="48"/>
  <c r="AC135" i="48"/>
  <c r="Z135" i="48"/>
  <c r="AB135" i="48" s="1"/>
  <c r="I135" i="48"/>
  <c r="H135" i="48"/>
  <c r="G135" i="48"/>
  <c r="F135" i="48"/>
  <c r="AS135" i="48" s="1"/>
  <c r="AT135" i="48" s="1"/>
  <c r="E135" i="48"/>
  <c r="AU135" i="48" s="1"/>
  <c r="AF134" i="48"/>
  <c r="AE134" i="48"/>
  <c r="AC134" i="48"/>
  <c r="AB134" i="48"/>
  <c r="AA134" i="48"/>
  <c r="AD134" i="48" s="1"/>
  <c r="Z134" i="48"/>
  <c r="I134" i="48"/>
  <c r="H134" i="48"/>
  <c r="G134" i="48"/>
  <c r="F134" i="48"/>
  <c r="AS134" i="48" s="1"/>
  <c r="E134" i="48"/>
  <c r="AU134" i="48" s="1"/>
  <c r="AS133" i="48"/>
  <c r="AF133" i="48"/>
  <c r="AE133" i="48"/>
  <c r="AC133" i="48"/>
  <c r="AB133" i="48"/>
  <c r="Z133" i="48"/>
  <c r="I133" i="48"/>
  <c r="H133" i="48"/>
  <c r="G133" i="48"/>
  <c r="F133" i="48"/>
  <c r="E133" i="48"/>
  <c r="AU133" i="48" s="1"/>
  <c r="AF132" i="48"/>
  <c r="AE132" i="48"/>
  <c r="AC132" i="48"/>
  <c r="AB132" i="48"/>
  <c r="AA132" i="48"/>
  <c r="AD132" i="48" s="1"/>
  <c r="Z132" i="48"/>
  <c r="I132" i="48"/>
  <c r="H132" i="48"/>
  <c r="G132" i="48"/>
  <c r="F132" i="48"/>
  <c r="AS132" i="48" s="1"/>
  <c r="AT132" i="48" s="1"/>
  <c r="E132" i="48"/>
  <c r="AU132" i="48" s="1"/>
  <c r="AF131" i="48"/>
  <c r="AE131" i="48"/>
  <c r="AC131" i="48"/>
  <c r="Z131" i="48"/>
  <c r="AB131" i="48" s="1"/>
  <c r="I131" i="48"/>
  <c r="H131" i="48"/>
  <c r="G131" i="48"/>
  <c r="F131" i="48"/>
  <c r="AS131" i="48" s="1"/>
  <c r="AT131" i="48" s="1"/>
  <c r="E131" i="48"/>
  <c r="AU131" i="48" s="1"/>
  <c r="AF130" i="48"/>
  <c r="AE130" i="48"/>
  <c r="AC130" i="48"/>
  <c r="Z130" i="48"/>
  <c r="AB130" i="48" s="1"/>
  <c r="I130" i="48"/>
  <c r="H130" i="48"/>
  <c r="G130" i="48"/>
  <c r="F130" i="48"/>
  <c r="AS130" i="48" s="1"/>
  <c r="E130" i="48"/>
  <c r="AU130" i="48" s="1"/>
  <c r="AF129" i="48"/>
  <c r="AE129" i="48"/>
  <c r="AC129" i="48"/>
  <c r="AB129" i="48"/>
  <c r="AA129" i="48"/>
  <c r="AD129" i="48" s="1"/>
  <c r="Z129" i="48"/>
  <c r="I129" i="48"/>
  <c r="H129" i="48"/>
  <c r="G129" i="48"/>
  <c r="F129" i="48"/>
  <c r="AS129" i="48" s="1"/>
  <c r="E129" i="48"/>
  <c r="AU129" i="48" s="1"/>
  <c r="AF128" i="48"/>
  <c r="AE128" i="48"/>
  <c r="AD128" i="48"/>
  <c r="AC128" i="48"/>
  <c r="Z128" i="48"/>
  <c r="AB128" i="48" s="1"/>
  <c r="I128" i="48"/>
  <c r="H128" i="48"/>
  <c r="G128" i="48"/>
  <c r="F128" i="48"/>
  <c r="AS128" i="48" s="1"/>
  <c r="AA128" i="48" s="1"/>
  <c r="E128" i="48"/>
  <c r="AU128" i="48" s="1"/>
  <c r="AF127" i="48"/>
  <c r="AE127" i="48"/>
  <c r="AC127" i="48"/>
  <c r="AB127" i="48"/>
  <c r="AA127" i="48"/>
  <c r="AD127" i="48" s="1"/>
  <c r="Z127" i="48"/>
  <c r="I127" i="48"/>
  <c r="H127" i="48"/>
  <c r="G127" i="48"/>
  <c r="F127" i="48"/>
  <c r="AS127" i="48" s="1"/>
  <c r="AT127" i="48" s="1"/>
  <c r="E127" i="48"/>
  <c r="AU127" i="48" s="1"/>
  <c r="AS126" i="48"/>
  <c r="AF126" i="48"/>
  <c r="AE126" i="48"/>
  <c r="AC126" i="48"/>
  <c r="AB126" i="48"/>
  <c r="Z126" i="48"/>
  <c r="I126" i="48"/>
  <c r="H126" i="48"/>
  <c r="G126" i="48"/>
  <c r="F126" i="48"/>
  <c r="E126" i="48"/>
  <c r="AU126" i="48" s="1"/>
  <c r="A126" i="48"/>
  <c r="A127" i="48" s="1"/>
  <c r="A128" i="48" s="1"/>
  <c r="A129" i="48" s="1"/>
  <c r="A130" i="48" s="1"/>
  <c r="A131" i="48" s="1"/>
  <c r="A132" i="48" s="1"/>
  <c r="A133" i="48" s="1"/>
  <c r="A134" i="48" s="1"/>
  <c r="A135" i="48" s="1"/>
  <c r="A136" i="48" s="1"/>
  <c r="A137" i="48" s="1"/>
  <c r="A138" i="48" s="1"/>
  <c r="A139" i="48" s="1"/>
  <c r="A140" i="48" s="1"/>
  <c r="A141" i="48" s="1"/>
  <c r="A142" i="48" s="1"/>
  <c r="A143" i="48" s="1"/>
  <c r="A144" i="48" s="1"/>
  <c r="A145" i="48" s="1"/>
  <c r="A146" i="48" s="1"/>
  <c r="A147" i="48" s="1"/>
  <c r="A148" i="48" s="1"/>
  <c r="A149" i="48" s="1"/>
  <c r="A150" i="48" s="1"/>
  <c r="A151" i="48" s="1"/>
  <c r="A152" i="48" s="1"/>
  <c r="A153" i="48" s="1"/>
  <c r="A154" i="48" s="1"/>
  <c r="A155" i="48" s="1"/>
  <c r="A156" i="48" s="1"/>
  <c r="A157" i="48" s="1"/>
  <c r="A158" i="48" s="1"/>
  <c r="A159" i="48" s="1"/>
  <c r="A160" i="48" s="1"/>
  <c r="A161" i="48" s="1"/>
  <c r="A162" i="48" s="1"/>
  <c r="A163" i="48" s="1"/>
  <c r="A164" i="48" s="1"/>
  <c r="A165" i="48" s="1"/>
  <c r="AF125" i="48"/>
  <c r="AE125" i="48"/>
  <c r="AD125" i="48"/>
  <c r="AC125" i="48"/>
  <c r="AB125" i="48"/>
  <c r="AA125" i="48"/>
  <c r="Z125" i="48"/>
  <c r="I125" i="48"/>
  <c r="H125" i="48"/>
  <c r="G125" i="48"/>
  <c r="F125" i="48"/>
  <c r="AS125" i="48" s="1"/>
  <c r="E125" i="48"/>
  <c r="AU125" i="48" s="1"/>
  <c r="AF124" i="48"/>
  <c r="AT124" i="48" s="1"/>
  <c r="AE124" i="48"/>
  <c r="AC124" i="48"/>
  <c r="AB124" i="48"/>
  <c r="AA124" i="48"/>
  <c r="AD124" i="48" s="1"/>
  <c r="Z124" i="48"/>
  <c r="I124" i="48"/>
  <c r="H124" i="48"/>
  <c r="G124" i="48"/>
  <c r="F124" i="48"/>
  <c r="AS124" i="48" s="1"/>
  <c r="E124" i="48"/>
  <c r="AU124" i="48" s="1"/>
  <c r="AT123" i="48"/>
  <c r="AF123" i="48"/>
  <c r="AE123" i="48"/>
  <c r="AC123" i="48"/>
  <c r="AB123" i="48"/>
  <c r="AA123" i="48"/>
  <c r="AD123" i="48" s="1"/>
  <c r="Z123" i="48"/>
  <c r="I123" i="48"/>
  <c r="H123" i="48"/>
  <c r="G123" i="48"/>
  <c r="F123" i="48"/>
  <c r="AS123" i="48" s="1"/>
  <c r="E123" i="48"/>
  <c r="AU123" i="48" s="1"/>
  <c r="AF122" i="48"/>
  <c r="AT122" i="48" s="1"/>
  <c r="AE122" i="48"/>
  <c r="AC122" i="48"/>
  <c r="AB122" i="48"/>
  <c r="AA122" i="48"/>
  <c r="AD122" i="48" s="1"/>
  <c r="Z122" i="48"/>
  <c r="I122" i="48"/>
  <c r="H122" i="48"/>
  <c r="G122" i="48"/>
  <c r="F122" i="48"/>
  <c r="AS122" i="48" s="1"/>
  <c r="E122" i="48"/>
  <c r="AU122" i="48" s="1"/>
  <c r="AF121" i="48"/>
  <c r="AT121" i="48" s="1"/>
  <c r="AE121" i="48"/>
  <c r="AC121" i="48"/>
  <c r="AB121" i="48"/>
  <c r="AA121" i="48"/>
  <c r="AD121" i="48" s="1"/>
  <c r="Z121" i="48"/>
  <c r="I121" i="48"/>
  <c r="H121" i="48"/>
  <c r="G121" i="48"/>
  <c r="F121" i="48"/>
  <c r="AS121" i="48" s="1"/>
  <c r="E121" i="48"/>
  <c r="AU121" i="48" s="1"/>
  <c r="AS120" i="48"/>
  <c r="AF120" i="48"/>
  <c r="AT120" i="48" s="1"/>
  <c r="AE120" i="48"/>
  <c r="AC120" i="48"/>
  <c r="AB120" i="48"/>
  <c r="AA120" i="48"/>
  <c r="AD120" i="48" s="1"/>
  <c r="Z120" i="48"/>
  <c r="I120" i="48"/>
  <c r="H120" i="48"/>
  <c r="G120" i="48"/>
  <c r="F120" i="48"/>
  <c r="E120" i="48"/>
  <c r="AU120" i="48" s="1"/>
  <c r="AT119" i="48"/>
  <c r="AF119" i="48"/>
  <c r="AE119" i="48"/>
  <c r="AD119" i="48"/>
  <c r="AC119" i="48"/>
  <c r="AB119" i="48"/>
  <c r="AA119" i="48"/>
  <c r="Z119" i="48"/>
  <c r="I119" i="48"/>
  <c r="H119" i="48"/>
  <c r="G119" i="48"/>
  <c r="F119" i="48"/>
  <c r="AS119" i="48" s="1"/>
  <c r="E119" i="48"/>
  <c r="AU119" i="48" s="1"/>
  <c r="AF118" i="48"/>
  <c r="AT118" i="48" s="1"/>
  <c r="AE118" i="48"/>
  <c r="AC118" i="48"/>
  <c r="AB118" i="48"/>
  <c r="AA118" i="48"/>
  <c r="AD118" i="48" s="1"/>
  <c r="Z118" i="48"/>
  <c r="I118" i="48"/>
  <c r="H118" i="48"/>
  <c r="G118" i="48"/>
  <c r="F118" i="48"/>
  <c r="AS118" i="48" s="1"/>
  <c r="E118" i="48"/>
  <c r="AU118" i="48" s="1"/>
  <c r="AF117" i="48"/>
  <c r="AT117" i="48" s="1"/>
  <c r="AE117" i="48"/>
  <c r="AC117" i="48"/>
  <c r="AB117" i="48"/>
  <c r="AA117" i="48"/>
  <c r="AD117" i="48" s="1"/>
  <c r="Z117" i="48"/>
  <c r="I117" i="48"/>
  <c r="H117" i="48"/>
  <c r="G117" i="48"/>
  <c r="F117" i="48"/>
  <c r="AS117" i="48" s="1"/>
  <c r="E117" i="48"/>
  <c r="AU117" i="48" s="1"/>
  <c r="AS116" i="48"/>
  <c r="AF116" i="48"/>
  <c r="AT116" i="48" s="1"/>
  <c r="AE116" i="48"/>
  <c r="AC116" i="48"/>
  <c r="AB116" i="48"/>
  <c r="AA116" i="48"/>
  <c r="AD116" i="48" s="1"/>
  <c r="Z116" i="48"/>
  <c r="I116" i="48"/>
  <c r="H116" i="48"/>
  <c r="G116" i="48"/>
  <c r="F116" i="48"/>
  <c r="E116" i="48"/>
  <c r="AU116" i="48" s="1"/>
  <c r="AT115" i="48"/>
  <c r="AF115" i="48"/>
  <c r="AE115" i="48"/>
  <c r="AC115" i="48"/>
  <c r="AB115" i="48"/>
  <c r="AA115" i="48"/>
  <c r="AD115" i="48" s="1"/>
  <c r="Z115" i="48"/>
  <c r="I115" i="48"/>
  <c r="H115" i="48"/>
  <c r="G115" i="48"/>
  <c r="F115" i="48"/>
  <c r="AS115" i="48" s="1"/>
  <c r="E115" i="48"/>
  <c r="AU115" i="48" s="1"/>
  <c r="AF114" i="48"/>
  <c r="AT114" i="48" s="1"/>
  <c r="AE114" i="48"/>
  <c r="AC114" i="48"/>
  <c r="Z114" i="48"/>
  <c r="AB114" i="48" s="1"/>
  <c r="I114" i="48"/>
  <c r="H114" i="48"/>
  <c r="G114" i="48"/>
  <c r="F114" i="48"/>
  <c r="AS114" i="48" s="1"/>
  <c r="AA114" i="48" s="1"/>
  <c r="AD114" i="48" s="1"/>
  <c r="E114" i="48"/>
  <c r="AU114" i="48" s="1"/>
  <c r="AF113" i="48"/>
  <c r="AE113" i="48"/>
  <c r="AC113" i="48"/>
  <c r="Z113" i="48"/>
  <c r="AB113" i="48" s="1"/>
  <c r="I113" i="48"/>
  <c r="H113" i="48"/>
  <c r="G113" i="48"/>
  <c r="F113" i="48"/>
  <c r="AS113" i="48" s="1"/>
  <c r="E113" i="48"/>
  <c r="AU113" i="48" s="1"/>
  <c r="AT112" i="48"/>
  <c r="AF112" i="48"/>
  <c r="AE112" i="48"/>
  <c r="AC112" i="48"/>
  <c r="Z112" i="48"/>
  <c r="AB112" i="48" s="1"/>
  <c r="I112" i="48"/>
  <c r="H112" i="48"/>
  <c r="G112" i="48"/>
  <c r="F112" i="48"/>
  <c r="AS112" i="48" s="1"/>
  <c r="E112" i="48"/>
  <c r="AU112" i="48" s="1"/>
  <c r="AT111" i="48"/>
  <c r="AF111" i="48"/>
  <c r="AE111" i="48"/>
  <c r="AC111" i="48"/>
  <c r="AA111" i="48"/>
  <c r="AD111" i="48" s="1"/>
  <c r="Z111" i="48"/>
  <c r="AB111" i="48" s="1"/>
  <c r="I111" i="48"/>
  <c r="H111" i="48"/>
  <c r="G111" i="48"/>
  <c r="F111" i="48"/>
  <c r="AS111" i="48" s="1"/>
  <c r="E111" i="48"/>
  <c r="AU111" i="48" s="1"/>
  <c r="AU110" i="48"/>
  <c r="AF110" i="48"/>
  <c r="AT110" i="48" s="1"/>
  <c r="AE110" i="48"/>
  <c r="AC110" i="48"/>
  <c r="AB110" i="48"/>
  <c r="Z110" i="48"/>
  <c r="I110" i="48"/>
  <c r="H110" i="48"/>
  <c r="G110" i="48"/>
  <c r="F110" i="48"/>
  <c r="AS110" i="48" s="1"/>
  <c r="AA110" i="48" s="1"/>
  <c r="AD110" i="48" s="1"/>
  <c r="E110" i="48"/>
  <c r="AF109" i="48"/>
  <c r="AE109" i="48"/>
  <c r="AC109" i="48"/>
  <c r="Z109" i="48"/>
  <c r="AB109" i="48" s="1"/>
  <c r="I109" i="48"/>
  <c r="H109" i="48"/>
  <c r="G109" i="48"/>
  <c r="F109" i="48"/>
  <c r="AS109" i="48" s="1"/>
  <c r="E109" i="48"/>
  <c r="AU109" i="48" s="1"/>
  <c r="AT108" i="48"/>
  <c r="AF108" i="48"/>
  <c r="AE108" i="48"/>
  <c r="AC108" i="48"/>
  <c r="Z108" i="48"/>
  <c r="AB108" i="48" s="1"/>
  <c r="I108" i="48"/>
  <c r="H108" i="48"/>
  <c r="G108" i="48"/>
  <c r="F108" i="48"/>
  <c r="AS108" i="48" s="1"/>
  <c r="E108" i="48"/>
  <c r="AU108" i="48" s="1"/>
  <c r="AF107" i="48"/>
  <c r="AT107" i="48" s="1"/>
  <c r="AE107" i="48"/>
  <c r="AC107" i="48"/>
  <c r="Z107" i="48"/>
  <c r="AB107" i="48" s="1"/>
  <c r="I107" i="48"/>
  <c r="H107" i="48"/>
  <c r="G107" i="48"/>
  <c r="F107" i="48"/>
  <c r="AS107" i="48" s="1"/>
  <c r="AA107" i="48" s="1"/>
  <c r="AD107" i="48" s="1"/>
  <c r="E107" i="48"/>
  <c r="AU107" i="48" s="1"/>
  <c r="AF106" i="48"/>
  <c r="AE106" i="48"/>
  <c r="AC106" i="48"/>
  <c r="AB106" i="48"/>
  <c r="AA106" i="48"/>
  <c r="AD106" i="48" s="1"/>
  <c r="Z106" i="48"/>
  <c r="I106" i="48"/>
  <c r="H106" i="48"/>
  <c r="G106" i="48"/>
  <c r="F106" i="48"/>
  <c r="AS106" i="48" s="1"/>
  <c r="E106" i="48"/>
  <c r="AU106" i="48" s="1"/>
  <c r="AF105" i="48"/>
  <c r="AT105" i="48" s="1"/>
  <c r="AE105" i="48"/>
  <c r="AC105" i="48"/>
  <c r="Z105" i="48"/>
  <c r="AB105" i="48" s="1"/>
  <c r="I105" i="48"/>
  <c r="H105" i="48"/>
  <c r="G105" i="48"/>
  <c r="F105" i="48"/>
  <c r="AS105" i="48" s="1"/>
  <c r="AA105" i="48" s="1"/>
  <c r="AD105" i="48" s="1"/>
  <c r="E105" i="48"/>
  <c r="AU105" i="48" s="1"/>
  <c r="AF104" i="48"/>
  <c r="AT104" i="48" s="1"/>
  <c r="AE104" i="48"/>
  <c r="AD104" i="48"/>
  <c r="AC104" i="48"/>
  <c r="AB104" i="48"/>
  <c r="AA104" i="48"/>
  <c r="Z104" i="48"/>
  <c r="I104" i="48"/>
  <c r="H104" i="48"/>
  <c r="G104" i="48"/>
  <c r="F104" i="48"/>
  <c r="AS104" i="48" s="1"/>
  <c r="E104" i="48"/>
  <c r="AU104" i="48" s="1"/>
  <c r="AU103" i="48"/>
  <c r="AF103" i="48"/>
  <c r="AE103" i="48"/>
  <c r="AC103" i="48"/>
  <c r="Z103" i="48"/>
  <c r="AB103" i="48" s="1"/>
  <c r="I103" i="48"/>
  <c r="H103" i="48"/>
  <c r="G103" i="48"/>
  <c r="F103" i="48"/>
  <c r="AS103" i="48" s="1"/>
  <c r="E103" i="48"/>
  <c r="AF102" i="48"/>
  <c r="AE102" i="48"/>
  <c r="AC102" i="48"/>
  <c r="AB102" i="48"/>
  <c r="AA102" i="48"/>
  <c r="AD102" i="48" s="1"/>
  <c r="Z102" i="48"/>
  <c r="I102" i="48"/>
  <c r="H102" i="48"/>
  <c r="G102" i="48"/>
  <c r="F102" i="48"/>
  <c r="AS102" i="48" s="1"/>
  <c r="E102" i="48"/>
  <c r="AU102" i="48" s="1"/>
  <c r="AF101" i="48"/>
  <c r="AE101" i="48"/>
  <c r="AC101" i="48"/>
  <c r="AB101" i="48"/>
  <c r="AA101" i="48"/>
  <c r="AD101" i="48" s="1"/>
  <c r="Z101" i="48"/>
  <c r="I101" i="48"/>
  <c r="H101" i="48"/>
  <c r="G101" i="48"/>
  <c r="F101" i="48"/>
  <c r="AS101" i="48" s="1"/>
  <c r="E101" i="48"/>
  <c r="AU101" i="48" s="1"/>
  <c r="AF100" i="48"/>
  <c r="AE100" i="48"/>
  <c r="AC100" i="48"/>
  <c r="AB100" i="48"/>
  <c r="Z100" i="48"/>
  <c r="I100" i="48"/>
  <c r="H100" i="48"/>
  <c r="G100" i="48"/>
  <c r="F100" i="48"/>
  <c r="AS100" i="48" s="1"/>
  <c r="E100" i="48"/>
  <c r="AU100" i="48" s="1"/>
  <c r="AF99" i="48"/>
  <c r="AE99" i="48"/>
  <c r="AC99" i="48"/>
  <c r="AB99" i="48"/>
  <c r="AA99" i="48"/>
  <c r="AD99" i="48" s="1"/>
  <c r="Z99" i="48"/>
  <c r="I99" i="48"/>
  <c r="H99" i="48"/>
  <c r="G99" i="48"/>
  <c r="F99" i="48"/>
  <c r="AS99" i="48" s="1"/>
  <c r="E99" i="48"/>
  <c r="AU99" i="48" s="1"/>
  <c r="AF98" i="48"/>
  <c r="AE98" i="48"/>
  <c r="AC98" i="48"/>
  <c r="Z98" i="48"/>
  <c r="AB98" i="48" s="1"/>
  <c r="I98" i="48"/>
  <c r="H98" i="48"/>
  <c r="G98" i="48"/>
  <c r="F98" i="48"/>
  <c r="AS98" i="48" s="1"/>
  <c r="E98" i="48"/>
  <c r="AU98" i="48" s="1"/>
  <c r="AF97" i="48"/>
  <c r="AE97" i="48"/>
  <c r="AC97" i="48"/>
  <c r="Z97" i="48"/>
  <c r="AB97" i="48" s="1"/>
  <c r="I97" i="48"/>
  <c r="H97" i="48"/>
  <c r="G97" i="48"/>
  <c r="F97" i="48"/>
  <c r="AS97" i="48" s="1"/>
  <c r="AA97" i="48" s="1"/>
  <c r="AD97" i="48" s="1"/>
  <c r="E97" i="48"/>
  <c r="AU97" i="48" s="1"/>
  <c r="AS96" i="48"/>
  <c r="AF96" i="48"/>
  <c r="AE96" i="48"/>
  <c r="AC96" i="48"/>
  <c r="AB96" i="48"/>
  <c r="AA96" i="48"/>
  <c r="AD96" i="48" s="1"/>
  <c r="Z96" i="48"/>
  <c r="I96" i="48"/>
  <c r="H96" i="48"/>
  <c r="G96" i="48"/>
  <c r="F96" i="48"/>
  <c r="E96" i="48"/>
  <c r="AU96" i="48" s="1"/>
  <c r="AF95" i="48"/>
  <c r="AE95" i="48"/>
  <c r="AC95" i="48"/>
  <c r="AB95" i="48"/>
  <c r="AA95" i="48"/>
  <c r="AD95" i="48" s="1"/>
  <c r="Z95" i="48"/>
  <c r="I95" i="48"/>
  <c r="H95" i="48"/>
  <c r="G95" i="48"/>
  <c r="F95" i="48"/>
  <c r="AS95" i="48" s="1"/>
  <c r="AT95" i="48" s="1"/>
  <c r="E95" i="48"/>
  <c r="AU95" i="48" s="1"/>
  <c r="AF94" i="48"/>
  <c r="AE94" i="48"/>
  <c r="AC94" i="48"/>
  <c r="Z94" i="48"/>
  <c r="AB94" i="48" s="1"/>
  <c r="I94" i="48"/>
  <c r="H94" i="48"/>
  <c r="G94" i="48"/>
  <c r="F94" i="48"/>
  <c r="AS94" i="48" s="1"/>
  <c r="E94" i="48"/>
  <c r="AU94" i="48" s="1"/>
  <c r="AS93" i="48"/>
  <c r="AF93" i="48"/>
  <c r="AE93" i="48"/>
  <c r="AC93" i="48"/>
  <c r="AB93" i="48"/>
  <c r="AA93" i="48"/>
  <c r="AD93" i="48" s="1"/>
  <c r="Z93" i="48"/>
  <c r="I93" i="48"/>
  <c r="H93" i="48"/>
  <c r="G93" i="48"/>
  <c r="F93" i="48"/>
  <c r="E93" i="48"/>
  <c r="AU93" i="48" s="1"/>
  <c r="AF92" i="48"/>
  <c r="AE92" i="48"/>
  <c r="AC92" i="48"/>
  <c r="Z92" i="48"/>
  <c r="AB92" i="48" s="1"/>
  <c r="I92" i="48"/>
  <c r="H92" i="48"/>
  <c r="G92" i="48"/>
  <c r="F92" i="48"/>
  <c r="AS92" i="48" s="1"/>
  <c r="E92" i="48"/>
  <c r="AU92" i="48" s="1"/>
  <c r="AF91" i="48"/>
  <c r="AE91" i="48"/>
  <c r="AC91" i="48"/>
  <c r="AB91" i="48"/>
  <c r="AA91" i="48"/>
  <c r="AD91" i="48" s="1"/>
  <c r="Z91" i="48"/>
  <c r="I91" i="48"/>
  <c r="H91" i="48"/>
  <c r="G91" i="48"/>
  <c r="F91" i="48"/>
  <c r="AS91" i="48" s="1"/>
  <c r="AT91" i="48" s="1"/>
  <c r="E91" i="48"/>
  <c r="AU91" i="48" s="1"/>
  <c r="AT90" i="48"/>
  <c r="AF90" i="48"/>
  <c r="AE90" i="48"/>
  <c r="AC90" i="48"/>
  <c r="AB90" i="48"/>
  <c r="Z90" i="48"/>
  <c r="I90" i="48"/>
  <c r="H90" i="48"/>
  <c r="G90" i="48"/>
  <c r="F90" i="48"/>
  <c r="AS90" i="48" s="1"/>
  <c r="E90" i="48"/>
  <c r="AU90" i="48" s="1"/>
  <c r="AF89" i="48"/>
  <c r="AE89" i="48"/>
  <c r="AC89" i="48"/>
  <c r="Z89" i="48"/>
  <c r="AB89" i="48" s="1"/>
  <c r="I89" i="48"/>
  <c r="H89" i="48"/>
  <c r="G89" i="48"/>
  <c r="F89" i="48"/>
  <c r="AS89" i="48" s="1"/>
  <c r="AA89" i="48" s="1"/>
  <c r="AD89" i="48" s="1"/>
  <c r="E89" i="48"/>
  <c r="AU89" i="48" s="1"/>
  <c r="AF88" i="48"/>
  <c r="AE88" i="48"/>
  <c r="AC88" i="48"/>
  <c r="AB88" i="48"/>
  <c r="AA88" i="48"/>
  <c r="AD88" i="48" s="1"/>
  <c r="Z88" i="48"/>
  <c r="I88" i="48"/>
  <c r="H88" i="48"/>
  <c r="G88" i="48"/>
  <c r="F88" i="48"/>
  <c r="AS88" i="48" s="1"/>
  <c r="E88" i="48"/>
  <c r="AU88" i="48" s="1"/>
  <c r="AU87" i="48"/>
  <c r="AF87" i="48"/>
  <c r="AE87" i="48"/>
  <c r="AC87" i="48"/>
  <c r="Z87" i="48"/>
  <c r="AB87" i="48" s="1"/>
  <c r="I87" i="48"/>
  <c r="H87" i="48"/>
  <c r="G87" i="48"/>
  <c r="F87" i="48"/>
  <c r="AS87" i="48" s="1"/>
  <c r="E87" i="48"/>
  <c r="AF86" i="48"/>
  <c r="AE86" i="48"/>
  <c r="AC86" i="48"/>
  <c r="AB86" i="48"/>
  <c r="AA86" i="48"/>
  <c r="AD86" i="48" s="1"/>
  <c r="Z86" i="48"/>
  <c r="I86" i="48"/>
  <c r="H86" i="48"/>
  <c r="G86" i="48"/>
  <c r="F86" i="48"/>
  <c r="AS86" i="48" s="1"/>
  <c r="E86" i="48"/>
  <c r="AU86" i="48" s="1"/>
  <c r="AF85" i="48"/>
  <c r="AE85" i="48"/>
  <c r="AC85" i="48"/>
  <c r="Z85" i="48"/>
  <c r="AB85" i="48" s="1"/>
  <c r="I85" i="48"/>
  <c r="H85" i="48"/>
  <c r="G85" i="48"/>
  <c r="F85" i="48"/>
  <c r="AS85" i="48" s="1"/>
  <c r="AA85" i="48" s="1"/>
  <c r="AD85" i="48" s="1"/>
  <c r="E85" i="48"/>
  <c r="AU85" i="48" s="1"/>
  <c r="A85" i="48"/>
  <c r="A86" i="48" s="1"/>
  <c r="A87" i="48" s="1"/>
  <c r="A88" i="48" s="1"/>
  <c r="A89" i="48" s="1"/>
  <c r="A90" i="48" s="1"/>
  <c r="A91" i="48" s="1"/>
  <c r="A92" i="48" s="1"/>
  <c r="A93" i="48" s="1"/>
  <c r="A94" i="48" s="1"/>
  <c r="A95" i="48" s="1"/>
  <c r="A96" i="48" s="1"/>
  <c r="A97" i="48" s="1"/>
  <c r="A98" i="48" s="1"/>
  <c r="A99" i="48" s="1"/>
  <c r="A100" i="48" s="1"/>
  <c r="A101" i="48" s="1"/>
  <c r="A102" i="48" s="1"/>
  <c r="A103" i="48" s="1"/>
  <c r="A104" i="48" s="1"/>
  <c r="A105" i="48" s="1"/>
  <c r="A106" i="48" s="1"/>
  <c r="A107" i="48" s="1"/>
  <c r="A108" i="48" s="1"/>
  <c r="A109" i="48" s="1"/>
  <c r="A110" i="48" s="1"/>
  <c r="A111" i="48" s="1"/>
  <c r="A112" i="48" s="1"/>
  <c r="A113" i="48" s="1"/>
  <c r="A114" i="48" s="1"/>
  <c r="A115" i="48" s="1"/>
  <c r="A116" i="48" s="1"/>
  <c r="A117" i="48" s="1"/>
  <c r="A118" i="48" s="1"/>
  <c r="A119" i="48" s="1"/>
  <c r="A120" i="48" s="1"/>
  <c r="A121" i="48" s="1"/>
  <c r="A122" i="48" s="1"/>
  <c r="A123" i="48" s="1"/>
  <c r="A124" i="48" s="1"/>
  <c r="AF84" i="48"/>
  <c r="AE84" i="48"/>
  <c r="AC84" i="48"/>
  <c r="AB84" i="48"/>
  <c r="AA84" i="48"/>
  <c r="AD84" i="48" s="1"/>
  <c r="Z84" i="48"/>
  <c r="I84" i="48"/>
  <c r="H84" i="48"/>
  <c r="G84" i="48"/>
  <c r="F84" i="48"/>
  <c r="AS84" i="48" s="1"/>
  <c r="E84" i="48"/>
  <c r="AU84" i="48" s="1"/>
  <c r="AF83" i="48"/>
  <c r="AE83" i="48"/>
  <c r="AC83" i="48"/>
  <c r="AB83" i="48"/>
  <c r="AA83" i="48"/>
  <c r="AD83" i="48" s="1"/>
  <c r="Z83" i="48"/>
  <c r="I83" i="48"/>
  <c r="H83" i="48"/>
  <c r="G83" i="48"/>
  <c r="F83" i="48"/>
  <c r="AS83" i="48" s="1"/>
  <c r="E83" i="48"/>
  <c r="AU83" i="48" s="1"/>
  <c r="AF82" i="48"/>
  <c r="AT82" i="48" s="1"/>
  <c r="AE82" i="48"/>
  <c r="AC82" i="48"/>
  <c r="AB82" i="48"/>
  <c r="AA82" i="48"/>
  <c r="AD82" i="48" s="1"/>
  <c r="Z82" i="48"/>
  <c r="I82" i="48"/>
  <c r="H82" i="48"/>
  <c r="G82" i="48"/>
  <c r="F82" i="48"/>
  <c r="AS82" i="48" s="1"/>
  <c r="E82" i="48"/>
  <c r="AU82" i="48" s="1"/>
  <c r="AT81" i="48"/>
  <c r="AF81" i="48"/>
  <c r="AE81" i="48"/>
  <c r="AC81" i="48"/>
  <c r="AB81" i="48"/>
  <c r="AA81" i="48"/>
  <c r="AD81" i="48" s="1"/>
  <c r="Z81" i="48"/>
  <c r="I81" i="48"/>
  <c r="H81" i="48"/>
  <c r="G81" i="48"/>
  <c r="F81" i="48"/>
  <c r="AS81" i="48" s="1"/>
  <c r="E81" i="48"/>
  <c r="AU81" i="48" s="1"/>
  <c r="AF80" i="48"/>
  <c r="AT80" i="48" s="1"/>
  <c r="AE80" i="48"/>
  <c r="AC80" i="48"/>
  <c r="AB80" i="48"/>
  <c r="AA80" i="48"/>
  <c r="AD80" i="48" s="1"/>
  <c r="Z80" i="48"/>
  <c r="I80" i="48"/>
  <c r="H80" i="48"/>
  <c r="G80" i="48"/>
  <c r="F80" i="48"/>
  <c r="AS80" i="48" s="1"/>
  <c r="E80" i="48"/>
  <c r="AU80" i="48" s="1"/>
  <c r="AT79" i="48"/>
  <c r="AF79" i="48"/>
  <c r="AE79" i="48"/>
  <c r="AC79" i="48"/>
  <c r="AB79" i="48"/>
  <c r="AA79" i="48"/>
  <c r="AD79" i="48" s="1"/>
  <c r="Z79" i="48"/>
  <c r="I79" i="48"/>
  <c r="H79" i="48"/>
  <c r="G79" i="48"/>
  <c r="F79" i="48"/>
  <c r="AS79" i="48" s="1"/>
  <c r="E79" i="48"/>
  <c r="AU79" i="48" s="1"/>
  <c r="AF78" i="48"/>
  <c r="AT78" i="48" s="1"/>
  <c r="AE78" i="48"/>
  <c r="AC78" i="48"/>
  <c r="AB78" i="48"/>
  <c r="AA78" i="48"/>
  <c r="AD78" i="48" s="1"/>
  <c r="Z78" i="48"/>
  <c r="I78" i="48"/>
  <c r="H78" i="48"/>
  <c r="G78" i="48"/>
  <c r="F78" i="48"/>
  <c r="AS78" i="48" s="1"/>
  <c r="E78" i="48"/>
  <c r="AU78" i="48" s="1"/>
  <c r="AF77" i="48"/>
  <c r="AE77" i="48"/>
  <c r="AC77" i="48"/>
  <c r="AB77" i="48"/>
  <c r="AA77" i="48"/>
  <c r="AD77" i="48" s="1"/>
  <c r="Z77" i="48"/>
  <c r="I77" i="48"/>
  <c r="H77" i="48"/>
  <c r="G77" i="48"/>
  <c r="F77" i="48"/>
  <c r="AS77" i="48" s="1"/>
  <c r="E77" i="48"/>
  <c r="AU77" i="48" s="1"/>
  <c r="AF76" i="48"/>
  <c r="AT76" i="48" s="1"/>
  <c r="AE76" i="48"/>
  <c r="AC76" i="48"/>
  <c r="AB76" i="48"/>
  <c r="AA76" i="48"/>
  <c r="AD76" i="48" s="1"/>
  <c r="Z76" i="48"/>
  <c r="I76" i="48"/>
  <c r="H76" i="48"/>
  <c r="G76" i="48"/>
  <c r="F76" i="48"/>
  <c r="AS76" i="48" s="1"/>
  <c r="E76" i="48"/>
  <c r="AU76" i="48" s="1"/>
  <c r="AF75" i="48"/>
  <c r="AE75" i="48"/>
  <c r="AC75" i="48"/>
  <c r="AB75" i="48"/>
  <c r="AA75" i="48"/>
  <c r="AD75" i="48" s="1"/>
  <c r="Z75" i="48"/>
  <c r="I75" i="48"/>
  <c r="H75" i="48"/>
  <c r="G75" i="48"/>
  <c r="F75" i="48"/>
  <c r="AS75" i="48" s="1"/>
  <c r="E75" i="48"/>
  <c r="AU75" i="48" s="1"/>
  <c r="AT74" i="48"/>
  <c r="AF74" i="48"/>
  <c r="AE74" i="48"/>
  <c r="AC74" i="48"/>
  <c r="AB74" i="48"/>
  <c r="AA74" i="48"/>
  <c r="AD74" i="48" s="1"/>
  <c r="Z74" i="48"/>
  <c r="I74" i="48"/>
  <c r="H74" i="48"/>
  <c r="G74" i="48"/>
  <c r="F74" i="48"/>
  <c r="AS74" i="48" s="1"/>
  <c r="E74" i="48"/>
  <c r="AU74" i="48" s="1"/>
  <c r="AF73" i="48"/>
  <c r="AT73" i="48" s="1"/>
  <c r="AE73" i="48"/>
  <c r="AC73" i="48"/>
  <c r="Z73" i="48"/>
  <c r="AB73" i="48" s="1"/>
  <c r="I73" i="48"/>
  <c r="H73" i="48"/>
  <c r="G73" i="48"/>
  <c r="F73" i="48"/>
  <c r="AS73" i="48" s="1"/>
  <c r="E73" i="48"/>
  <c r="AU73" i="48" s="1"/>
  <c r="AS72" i="48"/>
  <c r="AA72" i="48" s="1"/>
  <c r="AD72" i="48" s="1"/>
  <c r="AF72" i="48"/>
  <c r="AT72" i="48" s="1"/>
  <c r="AE72" i="48"/>
  <c r="AC72" i="48"/>
  <c r="AB72" i="48"/>
  <c r="Z72" i="48"/>
  <c r="I72" i="48"/>
  <c r="H72" i="48"/>
  <c r="G72" i="48"/>
  <c r="F72" i="48"/>
  <c r="E72" i="48"/>
  <c r="AU72" i="48" s="1"/>
  <c r="AF71" i="48"/>
  <c r="AE71" i="48"/>
  <c r="AC71" i="48"/>
  <c r="Z71" i="48"/>
  <c r="AB71" i="48" s="1"/>
  <c r="I71" i="48"/>
  <c r="H71" i="48"/>
  <c r="G71" i="48"/>
  <c r="F71" i="48"/>
  <c r="AS71" i="48" s="1"/>
  <c r="E71" i="48"/>
  <c r="AU71" i="48" s="1"/>
  <c r="AF70" i="48"/>
  <c r="AT70" i="48" s="1"/>
  <c r="AE70" i="48"/>
  <c r="AC70" i="48"/>
  <c r="Z70" i="48"/>
  <c r="AB70" i="48" s="1"/>
  <c r="I70" i="48"/>
  <c r="H70" i="48"/>
  <c r="G70" i="48"/>
  <c r="F70" i="48"/>
  <c r="AS70" i="48" s="1"/>
  <c r="AA70" i="48" s="1"/>
  <c r="AD70" i="48" s="1"/>
  <c r="E70" i="48"/>
  <c r="AU70" i="48" s="1"/>
  <c r="AT69" i="48"/>
  <c r="AF69" i="48"/>
  <c r="AE69" i="48"/>
  <c r="AC69" i="48"/>
  <c r="Z69" i="48"/>
  <c r="AB69" i="48" s="1"/>
  <c r="I69" i="48"/>
  <c r="H69" i="48"/>
  <c r="G69" i="48"/>
  <c r="F69" i="48"/>
  <c r="AS69" i="48" s="1"/>
  <c r="AA69" i="48" s="1"/>
  <c r="AD69" i="48" s="1"/>
  <c r="E69" i="48"/>
  <c r="AU69" i="48" s="1"/>
  <c r="AF68" i="48"/>
  <c r="AT68" i="48" s="1"/>
  <c r="AE68" i="48"/>
  <c r="AC68" i="48"/>
  <c r="Z68" i="48"/>
  <c r="AB68" i="48" s="1"/>
  <c r="I68" i="48"/>
  <c r="H68" i="48"/>
  <c r="G68" i="48"/>
  <c r="F68" i="48"/>
  <c r="AS68" i="48" s="1"/>
  <c r="AA68" i="48" s="1"/>
  <c r="AD68" i="48" s="1"/>
  <c r="E68" i="48"/>
  <c r="AU68" i="48" s="1"/>
  <c r="AT67" i="48"/>
  <c r="AF67" i="48"/>
  <c r="AE67" i="48"/>
  <c r="AC67" i="48"/>
  <c r="Z67" i="48"/>
  <c r="AB67" i="48" s="1"/>
  <c r="I67" i="48"/>
  <c r="H67" i="48"/>
  <c r="G67" i="48"/>
  <c r="F67" i="48"/>
  <c r="AS67" i="48" s="1"/>
  <c r="E67" i="48"/>
  <c r="AU67" i="48" s="1"/>
  <c r="AF66" i="48"/>
  <c r="AT66" i="48" s="1"/>
  <c r="AE66" i="48"/>
  <c r="AC66" i="48"/>
  <c r="Z66" i="48"/>
  <c r="AB66" i="48" s="1"/>
  <c r="I66" i="48"/>
  <c r="H66" i="48"/>
  <c r="G66" i="48"/>
  <c r="F66" i="48"/>
  <c r="AS66" i="48" s="1"/>
  <c r="E66" i="48"/>
  <c r="AU66" i="48" s="1"/>
  <c r="AF65" i="48"/>
  <c r="AE65" i="48"/>
  <c r="AC65" i="48"/>
  <c r="AB65" i="48"/>
  <c r="AA65" i="48"/>
  <c r="AD65" i="48" s="1"/>
  <c r="Z65" i="48"/>
  <c r="I65" i="48"/>
  <c r="H65" i="48"/>
  <c r="G65" i="48"/>
  <c r="F65" i="48"/>
  <c r="AS65" i="48" s="1"/>
  <c r="E65" i="48"/>
  <c r="AU65" i="48" s="1"/>
  <c r="AF64" i="48"/>
  <c r="AE64" i="48"/>
  <c r="AC64" i="48"/>
  <c r="Z64" i="48"/>
  <c r="AB64" i="48" s="1"/>
  <c r="I64" i="48"/>
  <c r="H64" i="48"/>
  <c r="G64" i="48"/>
  <c r="F64" i="48"/>
  <c r="AS64" i="48" s="1"/>
  <c r="E64" i="48"/>
  <c r="AU64" i="48" s="1"/>
  <c r="AT63" i="48"/>
  <c r="AF63" i="48"/>
  <c r="AE63" i="48"/>
  <c r="AC63" i="48"/>
  <c r="AB63" i="48"/>
  <c r="AA63" i="48"/>
  <c r="AD63" i="48" s="1"/>
  <c r="Z63" i="48"/>
  <c r="I63" i="48"/>
  <c r="H63" i="48"/>
  <c r="G63" i="48"/>
  <c r="F63" i="48"/>
  <c r="AS63" i="48" s="1"/>
  <c r="E63" i="48"/>
  <c r="AU63" i="48" s="1"/>
  <c r="AF62" i="48"/>
  <c r="AE62" i="48"/>
  <c r="AC62" i="48"/>
  <c r="AB62" i="48"/>
  <c r="AA62" i="48"/>
  <c r="AD62" i="48" s="1"/>
  <c r="Z62" i="48"/>
  <c r="I62" i="48"/>
  <c r="H62" i="48"/>
  <c r="G62" i="48"/>
  <c r="F62" i="48"/>
  <c r="AS62" i="48" s="1"/>
  <c r="E62" i="48"/>
  <c r="AU62" i="48" s="1"/>
  <c r="AF61" i="48"/>
  <c r="AE61" i="48"/>
  <c r="AC61" i="48"/>
  <c r="AB61" i="48"/>
  <c r="AA61" i="48"/>
  <c r="AD61" i="48" s="1"/>
  <c r="Z61" i="48"/>
  <c r="I61" i="48"/>
  <c r="H61" i="48"/>
  <c r="G61" i="48"/>
  <c r="F61" i="48"/>
  <c r="AS61" i="48" s="1"/>
  <c r="E61" i="48"/>
  <c r="AU61" i="48" s="1"/>
  <c r="AF60" i="48"/>
  <c r="AE60" i="48"/>
  <c r="AC60" i="48"/>
  <c r="AB60" i="48"/>
  <c r="AA60" i="48"/>
  <c r="AD60" i="48" s="1"/>
  <c r="Z60" i="48"/>
  <c r="I60" i="48"/>
  <c r="H60" i="48"/>
  <c r="G60" i="48"/>
  <c r="F60" i="48"/>
  <c r="AS60" i="48" s="1"/>
  <c r="E60" i="48"/>
  <c r="AU60" i="48" s="1"/>
  <c r="AF59" i="48"/>
  <c r="AE59" i="48"/>
  <c r="AC59" i="48"/>
  <c r="Z59" i="48"/>
  <c r="AB59" i="48" s="1"/>
  <c r="I59" i="48"/>
  <c r="H59" i="48"/>
  <c r="G59" i="48"/>
  <c r="F59" i="48"/>
  <c r="AS59" i="48" s="1"/>
  <c r="AT59" i="48" s="1"/>
  <c r="E59" i="48"/>
  <c r="AU59" i="48" s="1"/>
  <c r="AU58" i="48"/>
  <c r="AF58" i="48"/>
  <c r="AE58" i="48"/>
  <c r="AC58" i="48"/>
  <c r="AB58" i="48"/>
  <c r="AA58" i="48"/>
  <c r="AD58" i="48" s="1"/>
  <c r="Z58" i="48"/>
  <c r="I58" i="48"/>
  <c r="H58" i="48"/>
  <c r="G58" i="48"/>
  <c r="F58" i="48"/>
  <c r="AS58" i="48" s="1"/>
  <c r="AT58" i="48" s="1"/>
  <c r="E58" i="48"/>
  <c r="AF57" i="48"/>
  <c r="AE57" i="48"/>
  <c r="AC57" i="48"/>
  <c r="Z57" i="48"/>
  <c r="AB57" i="48" s="1"/>
  <c r="I57" i="48"/>
  <c r="H57" i="48"/>
  <c r="G57" i="48"/>
  <c r="F57" i="48"/>
  <c r="AS57" i="48" s="1"/>
  <c r="E57" i="48"/>
  <c r="AU57" i="48" s="1"/>
  <c r="AF56" i="48"/>
  <c r="AE56" i="48"/>
  <c r="AC56" i="48"/>
  <c r="Z56" i="48"/>
  <c r="AB56" i="48" s="1"/>
  <c r="I56" i="48"/>
  <c r="H56" i="48"/>
  <c r="G56" i="48"/>
  <c r="F56" i="48"/>
  <c r="AS56" i="48" s="1"/>
  <c r="E56" i="48"/>
  <c r="AU56" i="48" s="1"/>
  <c r="AF55" i="48"/>
  <c r="AE55" i="48"/>
  <c r="AC55" i="48"/>
  <c r="AB55" i="48"/>
  <c r="AA55" i="48"/>
  <c r="AD55" i="48" s="1"/>
  <c r="Z55" i="48"/>
  <c r="I55" i="48"/>
  <c r="H55" i="48"/>
  <c r="G55" i="48"/>
  <c r="F55" i="48"/>
  <c r="AS55" i="48" s="1"/>
  <c r="E55" i="48"/>
  <c r="AU55" i="48" s="1"/>
  <c r="AF54" i="48"/>
  <c r="AE54" i="48"/>
  <c r="AC54" i="48"/>
  <c r="AB54" i="48"/>
  <c r="AA54" i="48"/>
  <c r="AD54" i="48" s="1"/>
  <c r="Z54" i="48"/>
  <c r="I54" i="48"/>
  <c r="H54" i="48"/>
  <c r="G54" i="48"/>
  <c r="F54" i="48"/>
  <c r="AS54" i="48" s="1"/>
  <c r="AT54" i="48" s="1"/>
  <c r="E54" i="48"/>
  <c r="AU54" i="48" s="1"/>
  <c r="AF53" i="48"/>
  <c r="AE53" i="48"/>
  <c r="AC53" i="48"/>
  <c r="Z53" i="48"/>
  <c r="AB53" i="48" s="1"/>
  <c r="I53" i="48"/>
  <c r="H53" i="48"/>
  <c r="G53" i="48"/>
  <c r="F53" i="48"/>
  <c r="AS53" i="48" s="1"/>
  <c r="E53" i="48"/>
  <c r="AU53" i="48" s="1"/>
  <c r="AF52" i="48"/>
  <c r="AE52" i="48"/>
  <c r="AC52" i="48"/>
  <c r="AB52" i="48"/>
  <c r="AA52" i="48"/>
  <c r="AD52" i="48" s="1"/>
  <c r="Z52" i="48"/>
  <c r="I52" i="48"/>
  <c r="H52" i="48"/>
  <c r="G52" i="48"/>
  <c r="F52" i="48"/>
  <c r="AS52" i="48" s="1"/>
  <c r="E52" i="48"/>
  <c r="AU52" i="48" s="1"/>
  <c r="AF51" i="48"/>
  <c r="AE51" i="48"/>
  <c r="AC51" i="48"/>
  <c r="Z51" i="48"/>
  <c r="AB51" i="48" s="1"/>
  <c r="I51" i="48"/>
  <c r="H51" i="48"/>
  <c r="G51" i="48"/>
  <c r="F51" i="48"/>
  <c r="AS51" i="48" s="1"/>
  <c r="AT51" i="48" s="1"/>
  <c r="E51" i="48"/>
  <c r="AU51" i="48" s="1"/>
  <c r="AF50" i="48"/>
  <c r="AE50" i="48"/>
  <c r="AC50" i="48"/>
  <c r="AB50" i="48"/>
  <c r="AA50" i="48"/>
  <c r="AD50" i="48" s="1"/>
  <c r="Z50" i="48"/>
  <c r="I50" i="48"/>
  <c r="H50" i="48"/>
  <c r="G50" i="48"/>
  <c r="F50" i="48"/>
  <c r="AS50" i="48" s="1"/>
  <c r="AT50" i="48" s="1"/>
  <c r="E50" i="48"/>
  <c r="AU50" i="48" s="1"/>
  <c r="AF49" i="48"/>
  <c r="AE49" i="48"/>
  <c r="AC49" i="48"/>
  <c r="Z49" i="48"/>
  <c r="AB49" i="48" s="1"/>
  <c r="I49" i="48"/>
  <c r="H49" i="48"/>
  <c r="G49" i="48"/>
  <c r="F49" i="48"/>
  <c r="AS49" i="48" s="1"/>
  <c r="E49" i="48"/>
  <c r="AU49" i="48" s="1"/>
  <c r="AF48" i="48"/>
  <c r="AE48" i="48"/>
  <c r="AC48" i="48"/>
  <c r="Z48" i="48"/>
  <c r="AB48" i="48" s="1"/>
  <c r="I48" i="48"/>
  <c r="H48" i="48"/>
  <c r="G48" i="48"/>
  <c r="F48" i="48"/>
  <c r="AS48" i="48" s="1"/>
  <c r="E48" i="48"/>
  <c r="AU48" i="48" s="1"/>
  <c r="AF47" i="48"/>
  <c r="AE47" i="48"/>
  <c r="AC47" i="48"/>
  <c r="AB47" i="48"/>
  <c r="AA47" i="48"/>
  <c r="AD47" i="48" s="1"/>
  <c r="Z47" i="48"/>
  <c r="I47" i="48"/>
  <c r="H47" i="48"/>
  <c r="G47" i="48"/>
  <c r="F47" i="48"/>
  <c r="AS47" i="48" s="1"/>
  <c r="AT47" i="48" s="1"/>
  <c r="E47" i="48"/>
  <c r="AU47" i="48" s="1"/>
  <c r="AF46" i="48"/>
  <c r="AE46" i="48"/>
  <c r="AC46" i="48"/>
  <c r="Z46" i="48"/>
  <c r="AB46" i="48" s="1"/>
  <c r="I46" i="48"/>
  <c r="H46" i="48"/>
  <c r="G46" i="48"/>
  <c r="F46" i="48"/>
  <c r="AS46" i="48" s="1"/>
  <c r="E46" i="48"/>
  <c r="AU46" i="48" s="1"/>
  <c r="AF45" i="48"/>
  <c r="AE45" i="48"/>
  <c r="AC45" i="48"/>
  <c r="AB45" i="48"/>
  <c r="AA45" i="48"/>
  <c r="AD45" i="48" s="1"/>
  <c r="Z45" i="48"/>
  <c r="I45" i="48"/>
  <c r="H45" i="48"/>
  <c r="G45" i="48"/>
  <c r="F45" i="48"/>
  <c r="AS45" i="48" s="1"/>
  <c r="E45" i="48"/>
  <c r="AU45" i="48" s="1"/>
  <c r="AF44" i="48"/>
  <c r="AE44" i="48"/>
  <c r="AC44" i="48"/>
  <c r="Z44" i="48"/>
  <c r="AB44" i="48" s="1"/>
  <c r="I44" i="48"/>
  <c r="H44" i="48"/>
  <c r="G44" i="48"/>
  <c r="F44" i="48"/>
  <c r="AS44" i="48" s="1"/>
  <c r="E44" i="48"/>
  <c r="AU44" i="48" s="1"/>
  <c r="A44" i="48"/>
  <c r="A45" i="48" s="1"/>
  <c r="A46" i="48" s="1"/>
  <c r="A47" i="48" s="1"/>
  <c r="A48" i="48" s="1"/>
  <c r="A49" i="48" s="1"/>
  <c r="A50" i="48" s="1"/>
  <c r="A51" i="48" s="1"/>
  <c r="A52" i="48" s="1"/>
  <c r="A53" i="48" s="1"/>
  <c r="A54" i="48" s="1"/>
  <c r="A55" i="48" s="1"/>
  <c r="A56" i="48" s="1"/>
  <c r="A57" i="48" s="1"/>
  <c r="A58" i="48" s="1"/>
  <c r="A59" i="48" s="1"/>
  <c r="A60" i="48" s="1"/>
  <c r="A61" i="48" s="1"/>
  <c r="A62" i="48" s="1"/>
  <c r="A63" i="48" s="1"/>
  <c r="A64" i="48" s="1"/>
  <c r="A65" i="48" s="1"/>
  <c r="A66" i="48" s="1"/>
  <c r="A67" i="48" s="1"/>
  <c r="A68" i="48" s="1"/>
  <c r="A69" i="48" s="1"/>
  <c r="A70" i="48" s="1"/>
  <c r="A71" i="48" s="1"/>
  <c r="A72" i="48" s="1"/>
  <c r="A73" i="48" s="1"/>
  <c r="A74" i="48" s="1"/>
  <c r="A75" i="48" s="1"/>
  <c r="A76" i="48" s="1"/>
  <c r="A77" i="48" s="1"/>
  <c r="A78" i="48" s="1"/>
  <c r="A79" i="48" s="1"/>
  <c r="A80" i="48" s="1"/>
  <c r="A81" i="48" s="1"/>
  <c r="A82" i="48" s="1"/>
  <c r="A83" i="48" s="1"/>
  <c r="AF43" i="48"/>
  <c r="AE43" i="48"/>
  <c r="AC43" i="48"/>
  <c r="AB43" i="48"/>
  <c r="AA43" i="48"/>
  <c r="AD43" i="48" s="1"/>
  <c r="Z43" i="48"/>
  <c r="I43" i="48"/>
  <c r="H43" i="48"/>
  <c r="G43" i="48"/>
  <c r="F43" i="48"/>
  <c r="AS43" i="48" s="1"/>
  <c r="AT43" i="48" s="1"/>
  <c r="E43" i="48"/>
  <c r="AU43" i="48" s="1"/>
  <c r="AF42" i="48"/>
  <c r="AE42" i="48"/>
  <c r="AD42" i="48"/>
  <c r="AC42" i="48"/>
  <c r="AB42" i="48"/>
  <c r="AA42" i="48"/>
  <c r="Z42" i="48"/>
  <c r="I42" i="48"/>
  <c r="H42" i="48"/>
  <c r="G42" i="48"/>
  <c r="F42" i="48"/>
  <c r="AS42" i="48" s="1"/>
  <c r="E42" i="48"/>
  <c r="AU42" i="48" s="1"/>
  <c r="AF41" i="48"/>
  <c r="AE41" i="48"/>
  <c r="AC41" i="48"/>
  <c r="AB41" i="48"/>
  <c r="AA41" i="48"/>
  <c r="AD41" i="48" s="1"/>
  <c r="Z41" i="48"/>
  <c r="I41" i="48"/>
  <c r="H41" i="48"/>
  <c r="G41" i="48"/>
  <c r="F41" i="48"/>
  <c r="AS41" i="48" s="1"/>
  <c r="E41" i="48"/>
  <c r="AU41" i="48" s="1"/>
  <c r="AF40" i="48"/>
  <c r="AE40" i="48"/>
  <c r="AC40" i="48"/>
  <c r="AB40" i="48"/>
  <c r="AA40" i="48"/>
  <c r="AD40" i="48" s="1"/>
  <c r="Z40" i="48"/>
  <c r="I40" i="48"/>
  <c r="H40" i="48"/>
  <c r="G40" i="48"/>
  <c r="F40" i="48"/>
  <c r="AS40" i="48" s="1"/>
  <c r="E40" i="48"/>
  <c r="AU40" i="48" s="1"/>
  <c r="AS39" i="48"/>
  <c r="AF39" i="48"/>
  <c r="AE39" i="48"/>
  <c r="AC39" i="48"/>
  <c r="AB39" i="48"/>
  <c r="AA39" i="48"/>
  <c r="AD39" i="48" s="1"/>
  <c r="Z39" i="48"/>
  <c r="I39" i="48"/>
  <c r="H39" i="48"/>
  <c r="G39" i="48"/>
  <c r="F39" i="48"/>
  <c r="E39" i="48"/>
  <c r="AU39" i="48" s="1"/>
  <c r="AF38" i="48"/>
  <c r="AT38" i="48" s="1"/>
  <c r="AE38" i="48"/>
  <c r="AC38" i="48"/>
  <c r="AB38" i="48"/>
  <c r="AA38" i="48"/>
  <c r="AD38" i="48" s="1"/>
  <c r="Z38" i="48"/>
  <c r="I38" i="48"/>
  <c r="H38" i="48"/>
  <c r="G38" i="48"/>
  <c r="F38" i="48"/>
  <c r="AS38" i="48" s="1"/>
  <c r="E38" i="48"/>
  <c r="AU38" i="48" s="1"/>
  <c r="AF37" i="48"/>
  <c r="AE37" i="48"/>
  <c r="AC37" i="48"/>
  <c r="AB37" i="48"/>
  <c r="AA37" i="48"/>
  <c r="AD37" i="48" s="1"/>
  <c r="Z37" i="48"/>
  <c r="I37" i="48"/>
  <c r="H37" i="48"/>
  <c r="G37" i="48"/>
  <c r="F37" i="48"/>
  <c r="AS37" i="48" s="1"/>
  <c r="E37" i="48"/>
  <c r="AU37" i="48" s="1"/>
  <c r="AF36" i="48"/>
  <c r="AE36" i="48"/>
  <c r="AC36" i="48"/>
  <c r="AB36" i="48"/>
  <c r="AA36" i="48"/>
  <c r="AD36" i="48" s="1"/>
  <c r="Z36" i="48"/>
  <c r="I36" i="48"/>
  <c r="H36" i="48"/>
  <c r="G36" i="48"/>
  <c r="F36" i="48"/>
  <c r="AS36" i="48" s="1"/>
  <c r="E36" i="48"/>
  <c r="AU36" i="48" s="1"/>
  <c r="AF35" i="48"/>
  <c r="AE35" i="48"/>
  <c r="AC35" i="48"/>
  <c r="AB35" i="48"/>
  <c r="AA35" i="48"/>
  <c r="AD35" i="48" s="1"/>
  <c r="Z35" i="48"/>
  <c r="I35" i="48"/>
  <c r="H35" i="48"/>
  <c r="G35" i="48"/>
  <c r="F35" i="48"/>
  <c r="AS35" i="48" s="1"/>
  <c r="E35" i="48"/>
  <c r="AU35" i="48" s="1"/>
  <c r="AF34" i="48"/>
  <c r="AE34" i="48"/>
  <c r="AC34" i="48"/>
  <c r="AB34" i="48"/>
  <c r="AA34" i="48"/>
  <c r="AD34" i="48" s="1"/>
  <c r="Z34" i="48"/>
  <c r="I34" i="48"/>
  <c r="H34" i="48"/>
  <c r="G34" i="48"/>
  <c r="F34" i="48"/>
  <c r="AS34" i="48" s="1"/>
  <c r="E34" i="48"/>
  <c r="AU34" i="48" s="1"/>
  <c r="AF33" i="48"/>
  <c r="AE33" i="48"/>
  <c r="AC33" i="48"/>
  <c r="AB33" i="48"/>
  <c r="AA33" i="48"/>
  <c r="AD33" i="48" s="1"/>
  <c r="Z33" i="48"/>
  <c r="I33" i="48"/>
  <c r="H33" i="48"/>
  <c r="G33" i="48"/>
  <c r="F33" i="48"/>
  <c r="AS33" i="48" s="1"/>
  <c r="E33" i="48"/>
  <c r="AU33" i="48" s="1"/>
  <c r="AU32" i="48"/>
  <c r="AF32" i="48"/>
  <c r="AE32" i="48"/>
  <c r="AC32" i="48"/>
  <c r="Z32" i="48"/>
  <c r="AB32" i="48" s="1"/>
  <c r="I32" i="48"/>
  <c r="H32" i="48"/>
  <c r="G32" i="48"/>
  <c r="F32" i="48"/>
  <c r="AS32" i="48" s="1"/>
  <c r="E32" i="48"/>
  <c r="AS31" i="48"/>
  <c r="AF31" i="48"/>
  <c r="AE31" i="48"/>
  <c r="AC31" i="48"/>
  <c r="AB31" i="48"/>
  <c r="Z31" i="48"/>
  <c r="I31" i="48"/>
  <c r="H31" i="48"/>
  <c r="G31" i="48"/>
  <c r="F31" i="48"/>
  <c r="E31" i="48"/>
  <c r="AU31" i="48" s="1"/>
  <c r="AF30" i="48"/>
  <c r="AT30" i="48" s="1"/>
  <c r="AE30" i="48"/>
  <c r="AC30" i="48"/>
  <c r="Z30" i="48"/>
  <c r="AB30" i="48" s="1"/>
  <c r="I30" i="48"/>
  <c r="H30" i="48"/>
  <c r="G30" i="48"/>
  <c r="F30" i="48"/>
  <c r="AS30" i="48" s="1"/>
  <c r="E30" i="48"/>
  <c r="AU30" i="48" s="1"/>
  <c r="AT29" i="48"/>
  <c r="AF29" i="48"/>
  <c r="AE29" i="48"/>
  <c r="AC29" i="48"/>
  <c r="Z29" i="48"/>
  <c r="AB29" i="48" s="1"/>
  <c r="I29" i="48"/>
  <c r="H29" i="48"/>
  <c r="G29" i="48"/>
  <c r="F29" i="48"/>
  <c r="AS29" i="48" s="1"/>
  <c r="AA29" i="48" s="1"/>
  <c r="AD29" i="48" s="1"/>
  <c r="E29" i="48"/>
  <c r="AU29" i="48" s="1"/>
  <c r="AF28" i="48"/>
  <c r="AE28" i="48"/>
  <c r="AC28" i="48"/>
  <c r="AB28" i="48"/>
  <c r="Z28" i="48"/>
  <c r="I28" i="48"/>
  <c r="H28" i="48"/>
  <c r="G28" i="48"/>
  <c r="F28" i="48"/>
  <c r="AS28" i="48" s="1"/>
  <c r="E28" i="48"/>
  <c r="AU28" i="48" s="1"/>
  <c r="AF27" i="48"/>
  <c r="AE27" i="48"/>
  <c r="AC27" i="48"/>
  <c r="Z27" i="48"/>
  <c r="AB27" i="48" s="1"/>
  <c r="I27" i="48"/>
  <c r="H27" i="48"/>
  <c r="G27" i="48"/>
  <c r="F27" i="48"/>
  <c r="AS27" i="48" s="1"/>
  <c r="E27" i="48"/>
  <c r="AU27" i="48" s="1"/>
  <c r="AT26" i="48"/>
  <c r="AF26" i="48"/>
  <c r="AE26" i="48"/>
  <c r="AC26" i="48"/>
  <c r="Z26" i="48"/>
  <c r="AB26" i="48" s="1"/>
  <c r="I26" i="48"/>
  <c r="H26" i="48"/>
  <c r="G26" i="48"/>
  <c r="F26" i="48"/>
  <c r="AS26" i="48" s="1"/>
  <c r="E26" i="48"/>
  <c r="AU26" i="48" s="1"/>
  <c r="AF25" i="48"/>
  <c r="AT25" i="48" s="1"/>
  <c r="AE25" i="48"/>
  <c r="AC25" i="48"/>
  <c r="Z25" i="48"/>
  <c r="AB25" i="48" s="1"/>
  <c r="I25" i="48"/>
  <c r="H25" i="48"/>
  <c r="G25" i="48"/>
  <c r="F25" i="48"/>
  <c r="AS25" i="48" s="1"/>
  <c r="E25" i="48"/>
  <c r="AU25" i="48" s="1"/>
  <c r="AF24" i="48"/>
  <c r="AT24" i="48" s="1"/>
  <c r="AE24" i="48"/>
  <c r="AC24" i="48"/>
  <c r="AB24" i="48"/>
  <c r="AA24" i="48"/>
  <c r="AD24" i="48" s="1"/>
  <c r="Z24" i="48"/>
  <c r="I24" i="48"/>
  <c r="H24" i="48"/>
  <c r="G24" i="48"/>
  <c r="F24" i="48"/>
  <c r="AS24" i="48" s="1"/>
  <c r="E24" i="48"/>
  <c r="AU24" i="48" s="1"/>
  <c r="AF23" i="48"/>
  <c r="AE23" i="48"/>
  <c r="AC23" i="48"/>
  <c r="Z23" i="48"/>
  <c r="AB23" i="48" s="1"/>
  <c r="I23" i="48"/>
  <c r="H23" i="48"/>
  <c r="G23" i="48"/>
  <c r="F23" i="48"/>
  <c r="AS23" i="48" s="1"/>
  <c r="E23" i="48"/>
  <c r="AU23" i="48" s="1"/>
  <c r="AT22" i="48"/>
  <c r="AF22" i="48"/>
  <c r="AE22" i="48"/>
  <c r="AC22" i="48"/>
  <c r="AB22" i="48"/>
  <c r="AA22" i="48"/>
  <c r="AD22" i="48" s="1"/>
  <c r="Z22" i="48"/>
  <c r="I22" i="48"/>
  <c r="H22" i="48"/>
  <c r="G22" i="48"/>
  <c r="F22" i="48"/>
  <c r="AS22" i="48" s="1"/>
  <c r="E22" i="48"/>
  <c r="AU22" i="48" s="1"/>
  <c r="AF21" i="48"/>
  <c r="AE21" i="48"/>
  <c r="AC21" i="48"/>
  <c r="AB21" i="48"/>
  <c r="AA21" i="48"/>
  <c r="AD21" i="48" s="1"/>
  <c r="Z21" i="48"/>
  <c r="I21" i="48"/>
  <c r="H21" i="48"/>
  <c r="G21" i="48"/>
  <c r="F21" i="48"/>
  <c r="AS21" i="48" s="1"/>
  <c r="E21" i="48"/>
  <c r="AU21" i="48" s="1"/>
  <c r="AF20" i="48"/>
  <c r="AT20" i="48" s="1"/>
  <c r="AE20" i="48"/>
  <c r="AC20" i="48"/>
  <c r="AB20" i="48"/>
  <c r="AA20" i="48"/>
  <c r="AD20" i="48" s="1"/>
  <c r="Z20" i="48"/>
  <c r="I20" i="48"/>
  <c r="H20" i="48"/>
  <c r="G20" i="48"/>
  <c r="F20" i="48"/>
  <c r="AS20" i="48" s="1"/>
  <c r="E20" i="48"/>
  <c r="AU20" i="48" s="1"/>
  <c r="AF19" i="48"/>
  <c r="AE19" i="48"/>
  <c r="AC19" i="48"/>
  <c r="AB19" i="48"/>
  <c r="AA19" i="48"/>
  <c r="AD19" i="48" s="1"/>
  <c r="Z19" i="48"/>
  <c r="I19" i="48"/>
  <c r="H19" i="48"/>
  <c r="G19" i="48"/>
  <c r="F19" i="48"/>
  <c r="AS19" i="48" s="1"/>
  <c r="E19" i="48"/>
  <c r="AU19" i="48" s="1"/>
  <c r="AF18" i="48"/>
  <c r="AE18" i="48"/>
  <c r="AC18" i="48"/>
  <c r="Z18" i="48"/>
  <c r="AB18" i="48" s="1"/>
  <c r="I18" i="48"/>
  <c r="H18" i="48"/>
  <c r="G18" i="48"/>
  <c r="F18" i="48"/>
  <c r="AS18" i="48" s="1"/>
  <c r="AT18" i="48" s="1"/>
  <c r="E18" i="48"/>
  <c r="AU18" i="48" s="1"/>
  <c r="AF17" i="48"/>
  <c r="AE17" i="48"/>
  <c r="AC17" i="48"/>
  <c r="AB17" i="48"/>
  <c r="AA17" i="48"/>
  <c r="AD17" i="48" s="1"/>
  <c r="Z17" i="48"/>
  <c r="I17" i="48"/>
  <c r="H17" i="48"/>
  <c r="G17" i="48"/>
  <c r="F17" i="48"/>
  <c r="AS17" i="48" s="1"/>
  <c r="AT17" i="48" s="1"/>
  <c r="E17" i="48"/>
  <c r="AU17" i="48" s="1"/>
  <c r="AF16" i="48"/>
  <c r="AE16" i="48"/>
  <c r="AC16" i="48"/>
  <c r="AB16" i="48"/>
  <c r="Z16" i="48"/>
  <c r="I16" i="48"/>
  <c r="H16" i="48"/>
  <c r="G16" i="48"/>
  <c r="F16" i="48"/>
  <c r="AS16" i="48" s="1"/>
  <c r="E16" i="48"/>
  <c r="AU16" i="48" s="1"/>
  <c r="AF15" i="48"/>
  <c r="AE15" i="48"/>
  <c r="AC15" i="48"/>
  <c r="Z15" i="48"/>
  <c r="AB15" i="48" s="1"/>
  <c r="I15" i="48"/>
  <c r="H15" i="48"/>
  <c r="G15" i="48"/>
  <c r="F15" i="48"/>
  <c r="AS15" i="48" s="1"/>
  <c r="E15" i="48"/>
  <c r="AU15" i="48" s="1"/>
  <c r="AF14" i="48"/>
  <c r="AE14" i="48"/>
  <c r="AC14" i="48"/>
  <c r="AB14" i="48"/>
  <c r="AA14" i="48"/>
  <c r="AD14" i="48" s="1"/>
  <c r="Z14" i="48"/>
  <c r="I14" i="48"/>
  <c r="H14" i="48"/>
  <c r="G14" i="48"/>
  <c r="F14" i="48"/>
  <c r="AS14" i="48" s="1"/>
  <c r="E14" i="48"/>
  <c r="AU14" i="48" s="1"/>
  <c r="AU13" i="48"/>
  <c r="AF13" i="48"/>
  <c r="AE13" i="48"/>
  <c r="AC13" i="48"/>
  <c r="AB13" i="48"/>
  <c r="AA13" i="48"/>
  <c r="AD13" i="48" s="1"/>
  <c r="Z13" i="48"/>
  <c r="I13" i="48"/>
  <c r="H13" i="48"/>
  <c r="G13" i="48"/>
  <c r="F13" i="48"/>
  <c r="AS13" i="48" s="1"/>
  <c r="AT13" i="48" s="1"/>
  <c r="E13" i="48"/>
  <c r="AU12" i="48"/>
  <c r="AF12" i="48"/>
  <c r="AE12" i="48"/>
  <c r="AC12" i="48"/>
  <c r="AB12" i="48"/>
  <c r="Z12" i="48"/>
  <c r="I12" i="48"/>
  <c r="H12" i="48"/>
  <c r="G12" i="48"/>
  <c r="F12" i="48"/>
  <c r="AS12" i="48" s="1"/>
  <c r="E12" i="48"/>
  <c r="AF11" i="48"/>
  <c r="AE11" i="48"/>
  <c r="AC11" i="48"/>
  <c r="AB11" i="48"/>
  <c r="AA11" i="48"/>
  <c r="AD11" i="48" s="1"/>
  <c r="Z11" i="48"/>
  <c r="I11" i="48"/>
  <c r="H11" i="48"/>
  <c r="G11" i="48"/>
  <c r="F11" i="48"/>
  <c r="AS11" i="48" s="1"/>
  <c r="E11" i="48"/>
  <c r="AU11" i="48" s="1"/>
  <c r="AF10" i="48"/>
  <c r="AE10" i="48"/>
  <c r="AC10" i="48"/>
  <c r="Z10" i="48"/>
  <c r="AB10" i="48" s="1"/>
  <c r="I10" i="48"/>
  <c r="H10" i="48"/>
  <c r="G10" i="48"/>
  <c r="F10" i="48"/>
  <c r="AS10" i="48" s="1"/>
  <c r="AT10" i="48" s="1"/>
  <c r="E10" i="48"/>
  <c r="AU10" i="48" s="1"/>
  <c r="AU9" i="48"/>
  <c r="AF9" i="48"/>
  <c r="AE9" i="48"/>
  <c r="AC9" i="48"/>
  <c r="Z9" i="48"/>
  <c r="AB9" i="48" s="1"/>
  <c r="I9" i="48"/>
  <c r="H9" i="48"/>
  <c r="G9" i="48"/>
  <c r="F9" i="48"/>
  <c r="AS9" i="48" s="1"/>
  <c r="E9" i="48"/>
  <c r="AF8" i="48"/>
  <c r="AE8" i="48"/>
  <c r="AC8" i="48"/>
  <c r="AB8" i="48"/>
  <c r="Z8" i="48"/>
  <c r="I8" i="48"/>
  <c r="H8" i="48"/>
  <c r="G8" i="48"/>
  <c r="F8" i="48"/>
  <c r="AS8" i="48" s="1"/>
  <c r="E8" i="48"/>
  <c r="AU8" i="48" s="1"/>
  <c r="AF7" i="48"/>
  <c r="AE7" i="48"/>
  <c r="AC7" i="48"/>
  <c r="Z7" i="48"/>
  <c r="AB7" i="48" s="1"/>
  <c r="I7" i="48"/>
  <c r="H7" i="48"/>
  <c r="G7" i="48"/>
  <c r="F7" i="48"/>
  <c r="AS7" i="48" s="1"/>
  <c r="E7" i="48"/>
  <c r="AU7" i="48" s="1"/>
  <c r="AF6" i="48"/>
  <c r="AE6" i="48"/>
  <c r="AC6" i="48"/>
  <c r="AB6" i="48"/>
  <c r="AA6" i="48"/>
  <c r="AD6" i="48" s="1"/>
  <c r="Z6" i="48"/>
  <c r="I6" i="48"/>
  <c r="H6" i="48"/>
  <c r="G6" i="48"/>
  <c r="F6" i="48"/>
  <c r="AS6" i="48" s="1"/>
  <c r="E6" i="48"/>
  <c r="AU6" i="48" s="1"/>
  <c r="AU5" i="48"/>
  <c r="AF5" i="48"/>
  <c r="AE5" i="48"/>
  <c r="AC5" i="48"/>
  <c r="Z5" i="48"/>
  <c r="AB5" i="48" s="1"/>
  <c r="I5" i="48"/>
  <c r="H5" i="48"/>
  <c r="G5" i="48"/>
  <c r="F5" i="48"/>
  <c r="AS5" i="48" s="1"/>
  <c r="E5" i="48"/>
  <c r="AF4" i="48"/>
  <c r="AE4" i="48"/>
  <c r="AC4" i="48"/>
  <c r="Z4" i="48"/>
  <c r="AB4" i="48" s="1"/>
  <c r="I4" i="48"/>
  <c r="H4" i="48"/>
  <c r="G4" i="48"/>
  <c r="F4" i="48"/>
  <c r="AS4" i="48" s="1"/>
  <c r="E4" i="48"/>
  <c r="AU4" i="48" s="1"/>
  <c r="AS3" i="48"/>
  <c r="AF3" i="48"/>
  <c r="AE3" i="48"/>
  <c r="AC3" i="48"/>
  <c r="AB3" i="48"/>
  <c r="Z3" i="48"/>
  <c r="I3" i="48"/>
  <c r="H3" i="48"/>
  <c r="G3" i="48"/>
  <c r="F3" i="48"/>
  <c r="E3" i="48"/>
  <c r="AU3" i="48" s="1"/>
  <c r="A3" i="48"/>
  <c r="A4" i="48" s="1"/>
  <c r="A5" i="48" s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F2" i="48"/>
  <c r="AE2" i="48"/>
  <c r="AC2" i="48"/>
  <c r="AB2" i="48"/>
  <c r="AA2" i="48"/>
  <c r="AD2" i="48" s="1"/>
  <c r="Z2" i="48"/>
  <c r="I2" i="48"/>
  <c r="H2" i="48"/>
  <c r="G2" i="48"/>
  <c r="F2" i="48"/>
  <c r="AS2" i="48" s="1"/>
  <c r="AT2" i="48" s="1"/>
  <c r="E2" i="48"/>
  <c r="AU2" i="48" s="1"/>
  <c r="AN35" i="7"/>
  <c r="AN36" i="7"/>
  <c r="AN37" i="7"/>
  <c r="AN38" i="7"/>
  <c r="AA131" i="48" l="1"/>
  <c r="AD131" i="48" s="1"/>
  <c r="AA135" i="48"/>
  <c r="AD135" i="48" s="1"/>
  <c r="AV1103" i="48"/>
  <c r="AV110" i="48"/>
  <c r="AV72" i="48"/>
  <c r="AV1188" i="48"/>
  <c r="AA671" i="48"/>
  <c r="AD671" i="48" s="1"/>
  <c r="AT698" i="48"/>
  <c r="AT375" i="48"/>
  <c r="AV672" i="48"/>
  <c r="AV827" i="48"/>
  <c r="AT838" i="48"/>
  <c r="AV978" i="48"/>
  <c r="AV982" i="48"/>
  <c r="AV495" i="48"/>
  <c r="AA501" i="48"/>
  <c r="AD501" i="48" s="1"/>
  <c r="AA568" i="48"/>
  <c r="AD568" i="48" s="1"/>
  <c r="AA609" i="48"/>
  <c r="AD609" i="48" s="1"/>
  <c r="AT926" i="48"/>
  <c r="AV1091" i="48"/>
  <c r="AT1112" i="48"/>
  <c r="AA1118" i="48"/>
  <c r="AD1118" i="48" s="1"/>
  <c r="AT1005" i="48"/>
  <c r="AT1046" i="48"/>
  <c r="AT1073" i="48"/>
  <c r="AT1077" i="48"/>
  <c r="AV1140" i="48"/>
  <c r="AV1144" i="48"/>
  <c r="AT1162" i="48"/>
  <c r="AV1191" i="48"/>
  <c r="AT1195" i="48"/>
  <c r="AT1196" i="48"/>
  <c r="AV1211" i="48"/>
  <c r="AT140" i="48"/>
  <c r="AT143" i="48"/>
  <c r="AA151" i="48"/>
  <c r="AD151" i="48" s="1"/>
  <c r="AV157" i="48"/>
  <c r="AV176" i="48"/>
  <c r="AV192" i="48"/>
  <c r="AA193" i="48"/>
  <c r="AD193" i="48" s="1"/>
  <c r="AV222" i="48"/>
  <c r="AV237" i="48"/>
  <c r="AT237" i="48"/>
  <c r="AA498" i="48"/>
  <c r="AD498" i="48" s="1"/>
  <c r="AT498" i="48"/>
  <c r="AA572" i="48"/>
  <c r="AD572" i="48" s="1"/>
  <c r="AA592" i="48"/>
  <c r="AD592" i="48" s="1"/>
  <c r="AV33" i="48"/>
  <c r="AV104" i="48"/>
  <c r="AT21" i="48"/>
  <c r="AA25" i="48"/>
  <c r="AD25" i="48" s="1"/>
  <c r="AT33" i="48"/>
  <c r="AT41" i="48"/>
  <c r="AV41" i="48" s="1"/>
  <c r="AV58" i="48"/>
  <c r="AT62" i="48"/>
  <c r="AA66" i="48"/>
  <c r="AD66" i="48" s="1"/>
  <c r="AV68" i="48"/>
  <c r="AV73" i="48"/>
  <c r="AA73" i="48"/>
  <c r="AD73" i="48" s="1"/>
  <c r="AV79" i="48"/>
  <c r="AV81" i="48"/>
  <c r="AV90" i="48"/>
  <c r="AT92" i="48"/>
  <c r="AV92" i="48" s="1"/>
  <c r="AT98" i="48"/>
  <c r="AV98" i="48" s="1"/>
  <c r="AT168" i="48"/>
  <c r="AV38" i="48"/>
  <c r="AV117" i="48"/>
  <c r="AT6" i="48"/>
  <c r="AV21" i="48"/>
  <c r="AV34" i="48"/>
  <c r="AV47" i="48"/>
  <c r="AT55" i="48"/>
  <c r="AV69" i="48"/>
  <c r="AT134" i="48"/>
  <c r="AV147" i="48"/>
  <c r="AV168" i="48"/>
  <c r="AT180" i="48"/>
  <c r="AT225" i="48"/>
  <c r="AV225" i="48" s="1"/>
  <c r="AV245" i="48"/>
  <c r="AT245" i="48"/>
  <c r="AV360" i="48"/>
  <c r="AV25" i="48"/>
  <c r="AV2" i="48"/>
  <c r="AT14" i="48"/>
  <c r="AT34" i="48"/>
  <c r="AT37" i="48"/>
  <c r="AV37" i="48" s="1"/>
  <c r="AT42" i="48"/>
  <c r="AV42" i="48" s="1"/>
  <c r="AT71" i="48"/>
  <c r="AV71" i="48" s="1"/>
  <c r="AT77" i="48"/>
  <c r="AV77" i="48" s="1"/>
  <c r="AV80" i="48"/>
  <c r="AT86" i="48"/>
  <c r="AT93" i="48"/>
  <c r="AT99" i="48"/>
  <c r="AT102" i="48"/>
  <c r="AV102" i="48" s="1"/>
  <c r="AT128" i="48"/>
  <c r="AV180" i="48"/>
  <c r="AV188" i="48"/>
  <c r="AV196" i="48"/>
  <c r="AV200" i="48"/>
  <c r="AV204" i="48"/>
  <c r="AT241" i="48"/>
  <c r="AV241" i="48" s="1"/>
  <c r="AT292" i="48"/>
  <c r="AT339" i="48"/>
  <c r="AV339" i="48" s="1"/>
  <c r="AT404" i="48"/>
  <c r="AV474" i="48"/>
  <c r="AV475" i="48"/>
  <c r="AT494" i="48"/>
  <c r="AT499" i="48"/>
  <c r="AA514" i="48"/>
  <c r="AD514" i="48" s="1"/>
  <c r="AV527" i="48"/>
  <c r="AT528" i="48"/>
  <c r="AT531" i="48"/>
  <c r="AT532" i="48"/>
  <c r="AA547" i="48"/>
  <c r="AD547" i="48" s="1"/>
  <c r="AT565" i="48"/>
  <c r="AT596" i="48"/>
  <c r="AV596" i="48" s="1"/>
  <c r="AT217" i="48"/>
  <c r="AV217" i="48" s="1"/>
  <c r="AA229" i="48"/>
  <c r="AD229" i="48" s="1"/>
  <c r="AA234" i="48"/>
  <c r="AD234" i="48" s="1"/>
  <c r="AV236" i="48"/>
  <c r="AV250" i="48"/>
  <c r="AA270" i="48"/>
  <c r="AD270" i="48" s="1"/>
  <c r="AV277" i="48"/>
  <c r="AT288" i="48"/>
  <c r="AT300" i="48"/>
  <c r="AT303" i="48"/>
  <c r="AT304" i="48"/>
  <c r="AA329" i="48"/>
  <c r="AD329" i="48" s="1"/>
  <c r="AT340" i="48"/>
  <c r="AA345" i="48"/>
  <c r="AD345" i="48" s="1"/>
  <c r="AT365" i="48"/>
  <c r="AV365" i="48" s="1"/>
  <c r="AA367" i="48"/>
  <c r="AD367" i="48" s="1"/>
  <c r="AT381" i="48"/>
  <c r="AV381" i="48" s="1"/>
  <c r="AA387" i="48"/>
  <c r="AD387" i="48" s="1"/>
  <c r="AV399" i="48"/>
  <c r="AV403" i="48"/>
  <c r="AA407" i="48"/>
  <c r="AD407" i="48" s="1"/>
  <c r="AT407" i="48"/>
  <c r="AV407" i="48" s="1"/>
  <c r="AT419" i="48"/>
  <c r="AT420" i="48"/>
  <c r="AA423" i="48"/>
  <c r="AD423" i="48" s="1"/>
  <c r="AA432" i="48"/>
  <c r="AD432" i="48" s="1"/>
  <c r="AV434" i="48"/>
  <c r="AV435" i="48"/>
  <c r="AV443" i="48"/>
  <c r="AT444" i="48"/>
  <c r="AT449" i="48"/>
  <c r="AT476" i="48"/>
  <c r="AV476" i="48" s="1"/>
  <c r="AT489" i="48"/>
  <c r="AT493" i="48"/>
  <c r="AV493" i="48" s="1"/>
  <c r="AV501" i="48"/>
  <c r="AV509" i="48"/>
  <c r="AV513" i="48"/>
  <c r="AV555" i="48"/>
  <c r="AV559" i="48"/>
  <c r="AV563" i="48"/>
  <c r="AV584" i="48"/>
  <c r="AV292" i="48"/>
  <c r="AV303" i="48"/>
  <c r="AV304" i="48"/>
  <c r="AV404" i="48"/>
  <c r="AV444" i="48"/>
  <c r="AT496" i="48"/>
  <c r="AV553" i="48"/>
  <c r="AT214" i="48"/>
  <c r="AT254" i="48"/>
  <c r="AV254" i="48" s="1"/>
  <c r="AA274" i="48"/>
  <c r="AD274" i="48" s="1"/>
  <c r="AT274" i="48"/>
  <c r="AV274" i="48" s="1"/>
  <c r="AT278" i="48"/>
  <c r="AV278" i="48" s="1"/>
  <c r="AT282" i="48"/>
  <c r="AV282" i="48" s="1"/>
  <c r="AA308" i="48"/>
  <c r="AD308" i="48" s="1"/>
  <c r="AA315" i="48"/>
  <c r="AD315" i="48" s="1"/>
  <c r="AT315" i="48"/>
  <c r="AV315" i="48" s="1"/>
  <c r="AT319" i="48"/>
  <c r="AV319" i="48" s="1"/>
  <c r="AT323" i="48"/>
  <c r="AV323" i="48" s="1"/>
  <c r="AA330" i="48"/>
  <c r="AD330" i="48" s="1"/>
  <c r="AT337" i="48"/>
  <c r="AV337" i="48" s="1"/>
  <c r="AA349" i="48"/>
  <c r="AD349" i="48" s="1"/>
  <c r="AT358" i="48"/>
  <c r="AV358" i="48" s="1"/>
  <c r="AT366" i="48"/>
  <c r="AT370" i="48"/>
  <c r="AA371" i="48"/>
  <c r="AD371" i="48" s="1"/>
  <c r="AA391" i="48"/>
  <c r="AD391" i="48" s="1"/>
  <c r="AT424" i="48"/>
  <c r="AV424" i="48" s="1"/>
  <c r="AA428" i="48"/>
  <c r="AD428" i="48" s="1"/>
  <c r="AA465" i="48"/>
  <c r="AD465" i="48" s="1"/>
  <c r="AA468" i="48"/>
  <c r="AD468" i="48" s="1"/>
  <c r="AT468" i="48"/>
  <c r="AV468" i="48" s="1"/>
  <c r="AT472" i="48"/>
  <c r="AV472" i="48" s="1"/>
  <c r="AT477" i="48"/>
  <c r="AV477" i="48" s="1"/>
  <c r="AV505" i="48"/>
  <c r="AT524" i="48"/>
  <c r="AV524" i="48" s="1"/>
  <c r="AV592" i="48"/>
  <c r="AT592" i="48"/>
  <c r="AV613" i="48"/>
  <c r="AT614" i="48"/>
  <c r="AA625" i="48"/>
  <c r="AD625" i="48" s="1"/>
  <c r="AV633" i="48"/>
  <c r="AV637" i="48"/>
  <c r="AV641" i="48"/>
  <c r="AV643" i="48"/>
  <c r="AV646" i="48"/>
  <c r="AT647" i="48"/>
  <c r="AV650" i="48"/>
  <c r="AT651" i="48"/>
  <c r="AV654" i="48"/>
  <c r="AT655" i="48"/>
  <c r="AA664" i="48"/>
  <c r="AD664" i="48" s="1"/>
  <c r="AV666" i="48"/>
  <c r="AA666" i="48"/>
  <c r="AD666" i="48" s="1"/>
  <c r="AT671" i="48"/>
  <c r="AA683" i="48"/>
  <c r="AD683" i="48" s="1"/>
  <c r="AT691" i="48"/>
  <c r="AT694" i="48"/>
  <c r="AT695" i="48"/>
  <c r="AV711" i="48"/>
  <c r="AT720" i="48"/>
  <c r="AT577" i="48"/>
  <c r="AV588" i="48"/>
  <c r="AT589" i="48"/>
  <c r="AV589" i="48" s="1"/>
  <c r="AV621" i="48"/>
  <c r="AA646" i="48"/>
  <c r="AD646" i="48" s="1"/>
  <c r="AA650" i="48"/>
  <c r="AD650" i="48" s="1"/>
  <c r="AT660" i="48"/>
  <c r="AV660" i="48" s="1"/>
  <c r="AT685" i="48"/>
  <c r="AV685" i="48" s="1"/>
  <c r="AT699" i="48"/>
  <c r="AV699" i="48" s="1"/>
  <c r="AT707" i="48"/>
  <c r="AV707" i="48" s="1"/>
  <c r="AT711" i="48"/>
  <c r="AT715" i="48"/>
  <c r="AV715" i="48" s="1"/>
  <c r="AT719" i="48"/>
  <c r="AV719" i="48" s="1"/>
  <c r="AV629" i="48"/>
  <c r="AV661" i="48"/>
  <c r="AV687" i="48"/>
  <c r="AV600" i="48"/>
  <c r="AV625" i="48"/>
  <c r="AA629" i="48"/>
  <c r="AD629" i="48" s="1"/>
  <c r="AT642" i="48"/>
  <c r="AT658" i="48"/>
  <c r="AV662" i="48"/>
  <c r="AV665" i="48"/>
  <c r="AV670" i="48"/>
  <c r="AT689" i="48"/>
  <c r="AT696" i="48"/>
  <c r="AT726" i="48"/>
  <c r="AV732" i="48"/>
  <c r="AV733" i="48"/>
  <c r="AT735" i="48"/>
  <c r="AT736" i="48"/>
  <c r="AV740" i="48"/>
  <c r="AV748" i="48"/>
  <c r="AV761" i="48"/>
  <c r="AV765" i="48"/>
  <c r="AV766" i="48"/>
  <c r="AV770" i="48"/>
  <c r="AT772" i="48"/>
  <c r="AV777" i="48"/>
  <c r="AV785" i="48"/>
  <c r="AV789" i="48"/>
  <c r="AV793" i="48"/>
  <c r="AV797" i="48"/>
  <c r="AV905" i="48"/>
  <c r="AV925" i="48"/>
  <c r="AV954" i="48"/>
  <c r="AT760" i="48"/>
  <c r="AT764" i="48"/>
  <c r="AV831" i="48"/>
  <c r="AA865" i="48"/>
  <c r="AD865" i="48" s="1"/>
  <c r="AV873" i="48"/>
  <c r="AT886" i="48"/>
  <c r="AT890" i="48"/>
  <c r="AV897" i="48"/>
  <c r="AA944" i="48"/>
  <c r="AD944" i="48" s="1"/>
  <c r="AT948" i="48"/>
  <c r="AV948" i="48" s="1"/>
  <c r="AT952" i="48"/>
  <c r="AV952" i="48" s="1"/>
  <c r="AA960" i="48"/>
  <c r="AD960" i="48" s="1"/>
  <c r="AT963" i="48"/>
  <c r="AV973" i="48"/>
  <c r="AV977" i="48"/>
  <c r="AA979" i="48"/>
  <c r="AD979" i="48" s="1"/>
  <c r="AT979" i="48"/>
  <c r="AT731" i="48"/>
  <c r="AT762" i="48"/>
  <c r="AV762" i="48" s="1"/>
  <c r="AT768" i="48"/>
  <c r="AT769" i="48"/>
  <c r="AV769" i="48" s="1"/>
  <c r="AT776" i="48"/>
  <c r="AT809" i="48"/>
  <c r="AA821" i="48"/>
  <c r="AD821" i="48" s="1"/>
  <c r="AA825" i="48"/>
  <c r="AD825" i="48" s="1"/>
  <c r="AV835" i="48"/>
  <c r="AT846" i="48"/>
  <c r="AT850" i="48"/>
  <c r="AT854" i="48"/>
  <c r="AT870" i="48"/>
  <c r="AV870" i="48" s="1"/>
  <c r="AT883" i="48"/>
  <c r="AV886" i="48"/>
  <c r="AV890" i="48"/>
  <c r="AA903" i="48"/>
  <c r="AD903" i="48" s="1"/>
  <c r="AT920" i="48"/>
  <c r="AT922" i="48"/>
  <c r="AV922" i="48" s="1"/>
  <c r="AV926" i="48"/>
  <c r="AT928" i="48"/>
  <c r="AV928" i="48" s="1"/>
  <c r="AT932" i="48"/>
  <c r="AV972" i="48"/>
  <c r="AV980" i="48"/>
  <c r="AT980" i="48"/>
  <c r="AT727" i="48"/>
  <c r="AT728" i="48"/>
  <c r="AT730" i="48"/>
  <c r="AV753" i="48"/>
  <c r="AV757" i="48"/>
  <c r="AT775" i="48"/>
  <c r="AV781" i="48"/>
  <c r="AV799" i="48"/>
  <c r="AT805" i="48"/>
  <c r="AA824" i="48"/>
  <c r="AD824" i="48" s="1"/>
  <c r="AV842" i="48"/>
  <c r="AV849" i="48"/>
  <c r="AA861" i="48"/>
  <c r="AD861" i="48" s="1"/>
  <c r="AT861" i="48"/>
  <c r="AV861" i="48" s="1"/>
  <c r="AT878" i="48"/>
  <c r="AV878" i="48" s="1"/>
  <c r="AV902" i="48"/>
  <c r="AV909" i="48"/>
  <c r="AT919" i="48"/>
  <c r="AT930" i="48"/>
  <c r="AT931" i="48"/>
  <c r="AT957" i="48"/>
  <c r="AV957" i="48" s="1"/>
  <c r="AT955" i="48"/>
  <c r="AT965" i="48"/>
  <c r="AV965" i="48" s="1"/>
  <c r="AT971" i="48"/>
  <c r="AT1003" i="48"/>
  <c r="AV1011" i="48"/>
  <c r="AV1013" i="48"/>
  <c r="AV1027" i="48"/>
  <c r="AV1050" i="48"/>
  <c r="AV1055" i="48"/>
  <c r="AT1072" i="48"/>
  <c r="AV1122" i="48"/>
  <c r="AT1126" i="48"/>
  <c r="AT1158" i="48"/>
  <c r="AA1182" i="48"/>
  <c r="AD1182" i="48" s="1"/>
  <c r="AV1184" i="48"/>
  <c r="AT1184" i="48"/>
  <c r="AV1216" i="48"/>
  <c r="AV1101" i="48"/>
  <c r="AV1171" i="48"/>
  <c r="AT1171" i="48"/>
  <c r="AA1198" i="48"/>
  <c r="AD1198" i="48" s="1"/>
  <c r="AV1205" i="48"/>
  <c r="AT1205" i="48"/>
  <c r="AT1009" i="48"/>
  <c r="AV1009" i="48" s="1"/>
  <c r="AV1020" i="48"/>
  <c r="AT1025" i="48"/>
  <c r="AV1025" i="48" s="1"/>
  <c r="AT1038" i="48"/>
  <c r="AT1041" i="48"/>
  <c r="AV1052" i="48"/>
  <c r="AV1057" i="48"/>
  <c r="AV1070" i="48"/>
  <c r="AT1101" i="48"/>
  <c r="AT1113" i="48"/>
  <c r="AT1127" i="48"/>
  <c r="AV1127" i="48" s="1"/>
  <c r="AA1131" i="48"/>
  <c r="AD1131" i="48" s="1"/>
  <c r="AV1180" i="48"/>
  <c r="AV958" i="48"/>
  <c r="AT959" i="48"/>
  <c r="AV961" i="48"/>
  <c r="AV966" i="48"/>
  <c r="AT967" i="48"/>
  <c r="AT968" i="48"/>
  <c r="AV974" i="48"/>
  <c r="AV976" i="48"/>
  <c r="AA978" i="48"/>
  <c r="AD978" i="48" s="1"/>
  <c r="AV984" i="48"/>
  <c r="AV986" i="48"/>
  <c r="AV992" i="48"/>
  <c r="AT995" i="48"/>
  <c r="AT997" i="48"/>
  <c r="AT1007" i="48"/>
  <c r="AT1016" i="48"/>
  <c r="AV1016" i="48" s="1"/>
  <c r="AA1020" i="48"/>
  <c r="AD1020" i="48" s="1"/>
  <c r="AV1034" i="48"/>
  <c r="AT1044" i="48"/>
  <c r="AV1065" i="48"/>
  <c r="AT1071" i="48"/>
  <c r="AV1071" i="48" s="1"/>
  <c r="AV1079" i="48"/>
  <c r="AV1081" i="48"/>
  <c r="AA1092" i="48"/>
  <c r="AD1092" i="48" s="1"/>
  <c r="AV1108" i="48"/>
  <c r="AV1112" i="48"/>
  <c r="AT1115" i="48"/>
  <c r="AT1117" i="48"/>
  <c r="AV1117" i="48" s="1"/>
  <c r="AT1120" i="48"/>
  <c r="AV1120" i="48" s="1"/>
  <c r="AT1159" i="48"/>
  <c r="AT1163" i="48"/>
  <c r="AV1163" i="48" s="1"/>
  <c r="AT1212" i="48"/>
  <c r="AV1212" i="48"/>
  <c r="AT1217" i="48"/>
  <c r="AV1217" i="48" s="1"/>
  <c r="AV1222" i="48"/>
  <c r="AT1222" i="48"/>
  <c r="AV1223" i="48"/>
  <c r="AT1230" i="48"/>
  <c r="AV1230" i="48" s="1"/>
  <c r="AV1148" i="48"/>
  <c r="AT1151" i="48"/>
  <c r="AT1156" i="48"/>
  <c r="AV1164" i="48"/>
  <c r="AV1167" i="48"/>
  <c r="AT1168" i="48"/>
  <c r="AA1176" i="48"/>
  <c r="AD1176" i="48" s="1"/>
  <c r="AV1179" i="48"/>
  <c r="AT1194" i="48"/>
  <c r="AV1210" i="48"/>
  <c r="AA1134" i="48"/>
  <c r="AD1134" i="48" s="1"/>
  <c r="AA1138" i="48"/>
  <c r="AD1138" i="48" s="1"/>
  <c r="AV1143" i="48"/>
  <c r="AT1166" i="48"/>
  <c r="AV1166" i="48" s="1"/>
  <c r="AA1179" i="48"/>
  <c r="AD1179" i="48" s="1"/>
  <c r="AV1186" i="48"/>
  <c r="AV1187" i="48"/>
  <c r="AT1193" i="48"/>
  <c r="AV1193" i="48" s="1"/>
  <c r="AT1199" i="48"/>
  <c r="AT1200" i="48"/>
  <c r="AT1201" i="48"/>
  <c r="AT1204" i="48"/>
  <c r="AV1204" i="48" s="1"/>
  <c r="AT1207" i="48"/>
  <c r="AT1208" i="48"/>
  <c r="AT1209" i="48"/>
  <c r="AT1213" i="48"/>
  <c r="AV1213" i="48" s="1"/>
  <c r="AT1223" i="48"/>
  <c r="AT1231" i="48"/>
  <c r="AV1231" i="48" s="1"/>
  <c r="AV6" i="48"/>
  <c r="AA8" i="48"/>
  <c r="AD8" i="48" s="1"/>
  <c r="AV10" i="48"/>
  <c r="AA16" i="48"/>
  <c r="AD16" i="48" s="1"/>
  <c r="AV17" i="48"/>
  <c r="AV51" i="48"/>
  <c r="AV86" i="48"/>
  <c r="AV30" i="48"/>
  <c r="AA46" i="48"/>
  <c r="AD46" i="48" s="1"/>
  <c r="AT46" i="48"/>
  <c r="AV46" i="48" s="1"/>
  <c r="AV62" i="48"/>
  <c r="AT103" i="48"/>
  <c r="AA103" i="48"/>
  <c r="AD103" i="48" s="1"/>
  <c r="AV13" i="48"/>
  <c r="AV18" i="48"/>
  <c r="AV22" i="48"/>
  <c r="AV26" i="48"/>
  <c r="AV29" i="48"/>
  <c r="AV43" i="48"/>
  <c r="AV50" i="48"/>
  <c r="AV54" i="48"/>
  <c r="AV59" i="48"/>
  <c r="AV63" i="48"/>
  <c r="AV67" i="48"/>
  <c r="AV75" i="48"/>
  <c r="AT5" i="48"/>
  <c r="AV5" i="48" s="1"/>
  <c r="AA5" i="48"/>
  <c r="AD5" i="48" s="1"/>
  <c r="AA9" i="48"/>
  <c r="AD9" i="48" s="1"/>
  <c r="AT9" i="48"/>
  <c r="AV9" i="48" s="1"/>
  <c r="AV14" i="48"/>
  <c r="AV55" i="48"/>
  <c r="AV66" i="48"/>
  <c r="AA87" i="48"/>
  <c r="AD87" i="48" s="1"/>
  <c r="AT87" i="48"/>
  <c r="AV20" i="48"/>
  <c r="AV24" i="48"/>
  <c r="AT3" i="48"/>
  <c r="AV3" i="48" s="1"/>
  <c r="AT7" i="48"/>
  <c r="AV7" i="48" s="1"/>
  <c r="AA10" i="48"/>
  <c r="AD10" i="48" s="1"/>
  <c r="AT11" i="48"/>
  <c r="AV11" i="48" s="1"/>
  <c r="AT15" i="48"/>
  <c r="AV15" i="48" s="1"/>
  <c r="AA18" i="48"/>
  <c r="AD18" i="48" s="1"/>
  <c r="AT19" i="48"/>
  <c r="AV19" i="48" s="1"/>
  <c r="AT23" i="48"/>
  <c r="AV23" i="48" s="1"/>
  <c r="AA26" i="48"/>
  <c r="AD26" i="48" s="1"/>
  <c r="AT27" i="48"/>
  <c r="AV27" i="48" s="1"/>
  <c r="AA30" i="48"/>
  <c r="AD30" i="48" s="1"/>
  <c r="AT31" i="48"/>
  <c r="AV31" i="48" s="1"/>
  <c r="AT35" i="48"/>
  <c r="AV35" i="48" s="1"/>
  <c r="AT39" i="48"/>
  <c r="AV39" i="48" s="1"/>
  <c r="AT44" i="48"/>
  <c r="AV44" i="48" s="1"/>
  <c r="AT48" i="48"/>
  <c r="AV48" i="48" s="1"/>
  <c r="AA51" i="48"/>
  <c r="AD51" i="48" s="1"/>
  <c r="AT52" i="48"/>
  <c r="AV52" i="48" s="1"/>
  <c r="AT56" i="48"/>
  <c r="AV56" i="48" s="1"/>
  <c r="AA59" i="48"/>
  <c r="AD59" i="48" s="1"/>
  <c r="AT60" i="48"/>
  <c r="AV60" i="48" s="1"/>
  <c r="AT64" i="48"/>
  <c r="AV64" i="48" s="1"/>
  <c r="AA67" i="48"/>
  <c r="AD67" i="48" s="1"/>
  <c r="AT84" i="48"/>
  <c r="AV84" i="48" s="1"/>
  <c r="AA92" i="48"/>
  <c r="AD92" i="48" s="1"/>
  <c r="AT94" i="48"/>
  <c r="AV94" i="48" s="1"/>
  <c r="AT96" i="48"/>
  <c r="AV96" i="48" s="1"/>
  <c r="AA98" i="48"/>
  <c r="AD98" i="48" s="1"/>
  <c r="AV99" i="48"/>
  <c r="AV103" i="48"/>
  <c r="AT106" i="48"/>
  <c r="AV106" i="48" s="1"/>
  <c r="AV115" i="48"/>
  <c r="AV120" i="48"/>
  <c r="AV121" i="48"/>
  <c r="AV123" i="48"/>
  <c r="AA126" i="48"/>
  <c r="AD126" i="48" s="1"/>
  <c r="AT126" i="48"/>
  <c r="AV126" i="48" s="1"/>
  <c r="AV128" i="48"/>
  <c r="AV135" i="48"/>
  <c r="AV143" i="48"/>
  <c r="AV148" i="48"/>
  <c r="AV155" i="48"/>
  <c r="AV159" i="48"/>
  <c r="AV163" i="48"/>
  <c r="AT169" i="48"/>
  <c r="AA169" i="48"/>
  <c r="AD169" i="48" s="1"/>
  <c r="AT173" i="48"/>
  <c r="AA173" i="48"/>
  <c r="AD173" i="48" s="1"/>
  <c r="AV177" i="48"/>
  <c r="AA184" i="48"/>
  <c r="AD184" i="48" s="1"/>
  <c r="AT184" i="48"/>
  <c r="AV185" i="48"/>
  <c r="AV189" i="48"/>
  <c r="AV197" i="48"/>
  <c r="AV201" i="48"/>
  <c r="AV205" i="48"/>
  <c r="AV230" i="48"/>
  <c r="AV246" i="48"/>
  <c r="AT247" i="48"/>
  <c r="AA247" i="48"/>
  <c r="AD247" i="48" s="1"/>
  <c r="AT255" i="48"/>
  <c r="AA255" i="48"/>
  <c r="AD255" i="48" s="1"/>
  <c r="AV262" i="48"/>
  <c r="AV266" i="48"/>
  <c r="AV271" i="48"/>
  <c r="AA287" i="48"/>
  <c r="AD287" i="48" s="1"/>
  <c r="AT287" i="48"/>
  <c r="AV288" i="48"/>
  <c r="AA299" i="48"/>
  <c r="AD299" i="48" s="1"/>
  <c r="AT299" i="48"/>
  <c r="AV300" i="48"/>
  <c r="AV307" i="48"/>
  <c r="AV311" i="48"/>
  <c r="AA334" i="48"/>
  <c r="AD334" i="48" s="1"/>
  <c r="AT334" i="48"/>
  <c r="AA3" i="48"/>
  <c r="AD3" i="48" s="1"/>
  <c r="AT4" i="48"/>
  <c r="AV4" i="48" s="1"/>
  <c r="AA7" i="48"/>
  <c r="AD7" i="48" s="1"/>
  <c r="AT8" i="48"/>
  <c r="AV8" i="48" s="1"/>
  <c r="AT12" i="48"/>
  <c r="AV12" i="48" s="1"/>
  <c r="AA15" i="48"/>
  <c r="AD15" i="48" s="1"/>
  <c r="AT16" i="48"/>
  <c r="AV16" i="48" s="1"/>
  <c r="AA23" i="48"/>
  <c r="AD23" i="48" s="1"/>
  <c r="AA27" i="48"/>
  <c r="AD27" i="48" s="1"/>
  <c r="AT28" i="48"/>
  <c r="AV28" i="48" s="1"/>
  <c r="AA31" i="48"/>
  <c r="AD31" i="48" s="1"/>
  <c r="AT32" i="48"/>
  <c r="AV32" i="48" s="1"/>
  <c r="AT36" i="48"/>
  <c r="AV36" i="48" s="1"/>
  <c r="AT40" i="48"/>
  <c r="AV40" i="48" s="1"/>
  <c r="AA44" i="48"/>
  <c r="AD44" i="48" s="1"/>
  <c r="AT45" i="48"/>
  <c r="AV45" i="48" s="1"/>
  <c r="AA48" i="48"/>
  <c r="AD48" i="48" s="1"/>
  <c r="AT49" i="48"/>
  <c r="AV49" i="48" s="1"/>
  <c r="AT53" i="48"/>
  <c r="AV53" i="48" s="1"/>
  <c r="AA56" i="48"/>
  <c r="AD56" i="48" s="1"/>
  <c r="AT57" i="48"/>
  <c r="AV57" i="48" s="1"/>
  <c r="AT61" i="48"/>
  <c r="AV61" i="48" s="1"/>
  <c r="AA64" i="48"/>
  <c r="AD64" i="48" s="1"/>
  <c r="AT65" i="48"/>
  <c r="AV65" i="48" s="1"/>
  <c r="AA71" i="48"/>
  <c r="AD71" i="48" s="1"/>
  <c r="AT75" i="48"/>
  <c r="AV76" i="48"/>
  <c r="AV78" i="48"/>
  <c r="AT83" i="48"/>
  <c r="AV83" i="48" s="1"/>
  <c r="AT85" i="48"/>
  <c r="AV85" i="48" s="1"/>
  <c r="AT88" i="48"/>
  <c r="AV88" i="48" s="1"/>
  <c r="AA90" i="48"/>
  <c r="AD90" i="48" s="1"/>
  <c r="AV91" i="48"/>
  <c r="AT97" i="48"/>
  <c r="AV97" i="48" s="1"/>
  <c r="AT100" i="48"/>
  <c r="AV100" i="48" s="1"/>
  <c r="AV107" i="48"/>
  <c r="AV112" i="48"/>
  <c r="AV127" i="48"/>
  <c r="AA130" i="48"/>
  <c r="AD130" i="48" s="1"/>
  <c r="AT130" i="48"/>
  <c r="AV130" i="48" s="1"/>
  <c r="AV136" i="48"/>
  <c r="AA139" i="48"/>
  <c r="AD139" i="48" s="1"/>
  <c r="AT139" i="48"/>
  <c r="AV139" i="48" s="1"/>
  <c r="AV140" i="48"/>
  <c r="AV152" i="48"/>
  <c r="AT181" i="48"/>
  <c r="AV181" i="48" s="1"/>
  <c r="AA181" i="48"/>
  <c r="AD181" i="48" s="1"/>
  <c r="AV206" i="48"/>
  <c r="AA209" i="48"/>
  <c r="AD209" i="48" s="1"/>
  <c r="AT209" i="48"/>
  <c r="AV209" i="48" s="1"/>
  <c r="AV210" i="48"/>
  <c r="AV226" i="48"/>
  <c r="AV229" i="48"/>
  <c r="AV234" i="48"/>
  <c r="AV238" i="48"/>
  <c r="AV242" i="48"/>
  <c r="AT259" i="48"/>
  <c r="AV259" i="48" s="1"/>
  <c r="AA259" i="48"/>
  <c r="AD259" i="48" s="1"/>
  <c r="AV263" i="48"/>
  <c r="AV270" i="48"/>
  <c r="AV275" i="48"/>
  <c r="AV279" i="48"/>
  <c r="AV283" i="48"/>
  <c r="AA295" i="48"/>
  <c r="AD295" i="48" s="1"/>
  <c r="AT295" i="48"/>
  <c r="AV295" i="48" s="1"/>
  <c r="AV296" i="48"/>
  <c r="AV316" i="48"/>
  <c r="AV320" i="48"/>
  <c r="AV324" i="48"/>
  <c r="AV329" i="48"/>
  <c r="AA4" i="48"/>
  <c r="AD4" i="48" s="1"/>
  <c r="AA12" i="48"/>
  <c r="AD12" i="48" s="1"/>
  <c r="AA28" i="48"/>
  <c r="AD28" i="48" s="1"/>
  <c r="AA32" i="48"/>
  <c r="AD32" i="48" s="1"/>
  <c r="AA49" i="48"/>
  <c r="AD49" i="48" s="1"/>
  <c r="AA53" i="48"/>
  <c r="AD53" i="48" s="1"/>
  <c r="AA57" i="48"/>
  <c r="AD57" i="48" s="1"/>
  <c r="AV70" i="48"/>
  <c r="AT89" i="48"/>
  <c r="AV89" i="48" s="1"/>
  <c r="AV93" i="48"/>
  <c r="AA94" i="48"/>
  <c r="AD94" i="48" s="1"/>
  <c r="AV95" i="48"/>
  <c r="AT101" i="48"/>
  <c r="AV101" i="48" s="1"/>
  <c r="AV105" i="48"/>
  <c r="AV108" i="48"/>
  <c r="AV111" i="48"/>
  <c r="AA113" i="48"/>
  <c r="AD113" i="48" s="1"/>
  <c r="AT113" i="48"/>
  <c r="AV113" i="48" s="1"/>
  <c r="AV116" i="48"/>
  <c r="AV119" i="48"/>
  <c r="AV124" i="48"/>
  <c r="AV131" i="48"/>
  <c r="AV134" i="48"/>
  <c r="AV151" i="48"/>
  <c r="AV156" i="48"/>
  <c r="AV160" i="48"/>
  <c r="AV164" i="48"/>
  <c r="AA172" i="48"/>
  <c r="AD172" i="48" s="1"/>
  <c r="AT172" i="48"/>
  <c r="AV172" i="48" s="1"/>
  <c r="AV193" i="48"/>
  <c r="AA213" i="48"/>
  <c r="AD213" i="48" s="1"/>
  <c r="AT213" i="48"/>
  <c r="AV213" i="48" s="1"/>
  <c r="AV214" i="48"/>
  <c r="AT218" i="48"/>
  <c r="AV218" i="48" s="1"/>
  <c r="AA218" i="48"/>
  <c r="AD218" i="48" s="1"/>
  <c r="AV233" i="48"/>
  <c r="AT251" i="48"/>
  <c r="AV251" i="48" s="1"/>
  <c r="AA251" i="48"/>
  <c r="AD251" i="48" s="1"/>
  <c r="AV267" i="48"/>
  <c r="AV276" i="48"/>
  <c r="AV312" i="48"/>
  <c r="AV317" i="48"/>
  <c r="AV333" i="48"/>
  <c r="AV74" i="48"/>
  <c r="AV82" i="48"/>
  <c r="AV87" i="48"/>
  <c r="AA100" i="48"/>
  <c r="AD100" i="48" s="1"/>
  <c r="AA109" i="48"/>
  <c r="AD109" i="48" s="1"/>
  <c r="AT109" i="48"/>
  <c r="AV109" i="48" s="1"/>
  <c r="AV132" i="48"/>
  <c r="AT144" i="48"/>
  <c r="AV144" i="48" s="1"/>
  <c r="AA144" i="48"/>
  <c r="AD144" i="48" s="1"/>
  <c r="AV169" i="48"/>
  <c r="AV173" i="48"/>
  <c r="AV184" i="48"/>
  <c r="AA221" i="48"/>
  <c r="AD221" i="48" s="1"/>
  <c r="AT221" i="48"/>
  <c r="AV221" i="48" s="1"/>
  <c r="AV247" i="48"/>
  <c r="AV255" i="48"/>
  <c r="AA258" i="48"/>
  <c r="AD258" i="48" s="1"/>
  <c r="AT258" i="48"/>
  <c r="AV258" i="48" s="1"/>
  <c r="AV287" i="48"/>
  <c r="AA291" i="48"/>
  <c r="AD291" i="48" s="1"/>
  <c r="AT291" i="48"/>
  <c r="AV291" i="48" s="1"/>
  <c r="AV299" i="48"/>
  <c r="AV308" i="48"/>
  <c r="AA328" i="48"/>
  <c r="AD328" i="48" s="1"/>
  <c r="AT328" i="48"/>
  <c r="AV328" i="48" s="1"/>
  <c r="AT338" i="48"/>
  <c r="AV338" i="48" s="1"/>
  <c r="AA338" i="48"/>
  <c r="AD338" i="48" s="1"/>
  <c r="AV114" i="48"/>
  <c r="AV118" i="48"/>
  <c r="AV122" i="48"/>
  <c r="AT125" i="48"/>
  <c r="AV125" i="48" s="1"/>
  <c r="AT129" i="48"/>
  <c r="AV129" i="48" s="1"/>
  <c r="AT133" i="48"/>
  <c r="AV133" i="48" s="1"/>
  <c r="AT137" i="48"/>
  <c r="AV137" i="48" s="1"/>
  <c r="AT141" i="48"/>
  <c r="AV141" i="48" s="1"/>
  <c r="AT145" i="48"/>
  <c r="AV145" i="48" s="1"/>
  <c r="AT149" i="48"/>
  <c r="AV149" i="48" s="1"/>
  <c r="AT153" i="48"/>
  <c r="AV153" i="48" s="1"/>
  <c r="AT157" i="48"/>
  <c r="AT161" i="48"/>
  <c r="AV161" i="48" s="1"/>
  <c r="AT165" i="48"/>
  <c r="AV165" i="48" s="1"/>
  <c r="AT166" i="48"/>
  <c r="AV166" i="48" s="1"/>
  <c r="AT170" i="48"/>
  <c r="AV170" i="48" s="1"/>
  <c r="AT174" i="48"/>
  <c r="AV174" i="48" s="1"/>
  <c r="AT178" i="48"/>
  <c r="AV178" i="48" s="1"/>
  <c r="AT182" i="48"/>
  <c r="AV182" i="48" s="1"/>
  <c r="AT186" i="48"/>
  <c r="AV186" i="48" s="1"/>
  <c r="AT190" i="48"/>
  <c r="AV190" i="48" s="1"/>
  <c r="AT194" i="48"/>
  <c r="AV194" i="48" s="1"/>
  <c r="AT198" i="48"/>
  <c r="AV198" i="48" s="1"/>
  <c r="AT202" i="48"/>
  <c r="AV202" i="48" s="1"/>
  <c r="AT207" i="48"/>
  <c r="AV207" i="48" s="1"/>
  <c r="AT211" i="48"/>
  <c r="AV211" i="48" s="1"/>
  <c r="AT215" i="48"/>
  <c r="AV215" i="48" s="1"/>
  <c r="AT219" i="48"/>
  <c r="AV219" i="48" s="1"/>
  <c r="AT223" i="48"/>
  <c r="AV223" i="48" s="1"/>
  <c r="AT227" i="48"/>
  <c r="AV227" i="48" s="1"/>
  <c r="AT231" i="48"/>
  <c r="AV231" i="48" s="1"/>
  <c r="AT235" i="48"/>
  <c r="AV235" i="48" s="1"/>
  <c r="AT239" i="48"/>
  <c r="AV239" i="48" s="1"/>
  <c r="AT243" i="48"/>
  <c r="AV243" i="48" s="1"/>
  <c r="AT248" i="48"/>
  <c r="AV248" i="48" s="1"/>
  <c r="AT252" i="48"/>
  <c r="AV252" i="48" s="1"/>
  <c r="AT256" i="48"/>
  <c r="AV256" i="48" s="1"/>
  <c r="AT260" i="48"/>
  <c r="AV260" i="48" s="1"/>
  <c r="AT264" i="48"/>
  <c r="AV264" i="48" s="1"/>
  <c r="AT268" i="48"/>
  <c r="AV268" i="48" s="1"/>
  <c r="AT272" i="48"/>
  <c r="AV272" i="48" s="1"/>
  <c r="AT276" i="48"/>
  <c r="AT280" i="48"/>
  <c r="AV280" i="48" s="1"/>
  <c r="AT284" i="48"/>
  <c r="AV284" i="48" s="1"/>
  <c r="AT289" i="48"/>
  <c r="AV289" i="48" s="1"/>
  <c r="AT293" i="48"/>
  <c r="AV293" i="48" s="1"/>
  <c r="AT297" i="48"/>
  <c r="AV297" i="48" s="1"/>
  <c r="AT301" i="48"/>
  <c r="AV301" i="48" s="1"/>
  <c r="AT305" i="48"/>
  <c r="AV305" i="48" s="1"/>
  <c r="AT309" i="48"/>
  <c r="AV309" i="48" s="1"/>
  <c r="AT313" i="48"/>
  <c r="AV313" i="48" s="1"/>
  <c r="AT317" i="48"/>
  <c r="AT321" i="48"/>
  <c r="AV321" i="48" s="1"/>
  <c r="AT325" i="48"/>
  <c r="AV325" i="48" s="1"/>
  <c r="AT326" i="48"/>
  <c r="AV326" i="48" s="1"/>
  <c r="AT330" i="48"/>
  <c r="AV330" i="48" s="1"/>
  <c r="AT331" i="48"/>
  <c r="AV331" i="48" s="1"/>
  <c r="AT341" i="48"/>
  <c r="AV341" i="48" s="1"/>
  <c r="AA343" i="48"/>
  <c r="AD343" i="48" s="1"/>
  <c r="AT343" i="48"/>
  <c r="AV343" i="48" s="1"/>
  <c r="AV345" i="48"/>
  <c r="AA366" i="48"/>
  <c r="AD366" i="48" s="1"/>
  <c r="AV390" i="48"/>
  <c r="AV394" i="48"/>
  <c r="AV398" i="48"/>
  <c r="AV402" i="48"/>
  <c r="AV411" i="48"/>
  <c r="AT416" i="48"/>
  <c r="AV416" i="48" s="1"/>
  <c r="AA416" i="48"/>
  <c r="AD416" i="48" s="1"/>
  <c r="AV420" i="48"/>
  <c r="AV427" i="48"/>
  <c r="AV436" i="48"/>
  <c r="AV439" i="48"/>
  <c r="AA448" i="48"/>
  <c r="AD448" i="48" s="1"/>
  <c r="AT448" i="48"/>
  <c r="AV449" i="48"/>
  <c r="AV460" i="48"/>
  <c r="AV464" i="48"/>
  <c r="AV489" i="48"/>
  <c r="AV499" i="48"/>
  <c r="AA108" i="48"/>
  <c r="AD108" i="48" s="1"/>
  <c r="AA112" i="48"/>
  <c r="AD112" i="48" s="1"/>
  <c r="AA133" i="48"/>
  <c r="AD133" i="48" s="1"/>
  <c r="AT138" i="48"/>
  <c r="AV138" i="48" s="1"/>
  <c r="AA141" i="48"/>
  <c r="AD141" i="48" s="1"/>
  <c r="AT142" i="48"/>
  <c r="AV142" i="48" s="1"/>
  <c r="AT146" i="48"/>
  <c r="AV146" i="48" s="1"/>
  <c r="AT150" i="48"/>
  <c r="AV150" i="48" s="1"/>
  <c r="AA153" i="48"/>
  <c r="AD153" i="48" s="1"/>
  <c r="AT154" i="48"/>
  <c r="AV154" i="48" s="1"/>
  <c r="AT158" i="48"/>
  <c r="AV158" i="48" s="1"/>
  <c r="AT162" i="48"/>
  <c r="AV162" i="48" s="1"/>
  <c r="AT167" i="48"/>
  <c r="AV167" i="48" s="1"/>
  <c r="AT171" i="48"/>
  <c r="AV171" i="48" s="1"/>
  <c r="AT175" i="48"/>
  <c r="AV175" i="48" s="1"/>
  <c r="AA178" i="48"/>
  <c r="AD178" i="48" s="1"/>
  <c r="AT179" i="48"/>
  <c r="AV179" i="48" s="1"/>
  <c r="AT183" i="48"/>
  <c r="AV183" i="48" s="1"/>
  <c r="AT187" i="48"/>
  <c r="AV187" i="48" s="1"/>
  <c r="AA190" i="48"/>
  <c r="AD190" i="48" s="1"/>
  <c r="AT191" i="48"/>
  <c r="AV191" i="48" s="1"/>
  <c r="AA194" i="48"/>
  <c r="AD194" i="48" s="1"/>
  <c r="AT195" i="48"/>
  <c r="AV195" i="48" s="1"/>
  <c r="AT199" i="48"/>
  <c r="AV199" i="48" s="1"/>
  <c r="AT203" i="48"/>
  <c r="AV203" i="48" s="1"/>
  <c r="AA207" i="48"/>
  <c r="AD207" i="48" s="1"/>
  <c r="AT208" i="48"/>
  <c r="AV208" i="48" s="1"/>
  <c r="AA211" i="48"/>
  <c r="AD211" i="48" s="1"/>
  <c r="AT212" i="48"/>
  <c r="AV212" i="48" s="1"/>
  <c r="AT216" i="48"/>
  <c r="AV216" i="48" s="1"/>
  <c r="AA219" i="48"/>
  <c r="AD219" i="48" s="1"/>
  <c r="AT220" i="48"/>
  <c r="AV220" i="48" s="1"/>
  <c r="AT224" i="48"/>
  <c r="AV224" i="48" s="1"/>
  <c r="AT228" i="48"/>
  <c r="AV228" i="48" s="1"/>
  <c r="AA231" i="48"/>
  <c r="AD231" i="48" s="1"/>
  <c r="AT232" i="48"/>
  <c r="AV232" i="48" s="1"/>
  <c r="AT236" i="48"/>
  <c r="AT240" i="48"/>
  <c r="AV240" i="48" s="1"/>
  <c r="AT244" i="48"/>
  <c r="AV244" i="48" s="1"/>
  <c r="AT249" i="48"/>
  <c r="AV249" i="48" s="1"/>
  <c r="AT253" i="48"/>
  <c r="AV253" i="48" s="1"/>
  <c r="AT257" i="48"/>
  <c r="AV257" i="48" s="1"/>
  <c r="AT261" i="48"/>
  <c r="AV261" i="48" s="1"/>
  <c r="AA264" i="48"/>
  <c r="AD264" i="48" s="1"/>
  <c r="AT265" i="48"/>
  <c r="AV265" i="48" s="1"/>
  <c r="AT269" i="48"/>
  <c r="AV269" i="48" s="1"/>
  <c r="AT273" i="48"/>
  <c r="AV273" i="48" s="1"/>
  <c r="AT277" i="48"/>
  <c r="AT281" i="48"/>
  <c r="AV281" i="48" s="1"/>
  <c r="AT285" i="48"/>
  <c r="AV285" i="48" s="1"/>
  <c r="AT286" i="48"/>
  <c r="AV286" i="48" s="1"/>
  <c r="AT290" i="48"/>
  <c r="AV290" i="48" s="1"/>
  <c r="AA293" i="48"/>
  <c r="AD293" i="48" s="1"/>
  <c r="AT294" i="48"/>
  <c r="AV294" i="48" s="1"/>
  <c r="AT298" i="48"/>
  <c r="AV298" i="48" s="1"/>
  <c r="AA301" i="48"/>
  <c r="AD301" i="48" s="1"/>
  <c r="AT302" i="48"/>
  <c r="AV302" i="48" s="1"/>
  <c r="AT306" i="48"/>
  <c r="AV306" i="48" s="1"/>
  <c r="AA309" i="48"/>
  <c r="AD309" i="48" s="1"/>
  <c r="AT310" i="48"/>
  <c r="AV310" i="48" s="1"/>
  <c r="AA313" i="48"/>
  <c r="AD313" i="48" s="1"/>
  <c r="AT314" i="48"/>
  <c r="AV314" i="48" s="1"/>
  <c r="AT318" i="48"/>
  <c r="AV318" i="48" s="1"/>
  <c r="AT322" i="48"/>
  <c r="AV322" i="48" s="1"/>
  <c r="AT327" i="48"/>
  <c r="AV327" i="48" s="1"/>
  <c r="AT332" i="48"/>
  <c r="AV332" i="48" s="1"/>
  <c r="AT335" i="48"/>
  <c r="AV335" i="48" s="1"/>
  <c r="AA337" i="48"/>
  <c r="AD337" i="48" s="1"/>
  <c r="AV344" i="48"/>
  <c r="AV353" i="48"/>
  <c r="AV354" i="48"/>
  <c r="AV357" i="48"/>
  <c r="AV362" i="48"/>
  <c r="AA369" i="48"/>
  <c r="AD369" i="48" s="1"/>
  <c r="AT369" i="48"/>
  <c r="AV369" i="48" s="1"/>
  <c r="AV374" i="48"/>
  <c r="AA377" i="48"/>
  <c r="AD377" i="48" s="1"/>
  <c r="AT377" i="48"/>
  <c r="AV377" i="48" s="1"/>
  <c r="AV382" i="48"/>
  <c r="AV385" i="48"/>
  <c r="AV387" i="48"/>
  <c r="AT408" i="48"/>
  <c r="AV408" i="48" s="1"/>
  <c r="AA408" i="48"/>
  <c r="AD408" i="48" s="1"/>
  <c r="AV423" i="48"/>
  <c r="AV432" i="48"/>
  <c r="AA452" i="48"/>
  <c r="AD452" i="48" s="1"/>
  <c r="AT452" i="48"/>
  <c r="AV452" i="48" s="1"/>
  <c r="AV453" i="48"/>
  <c r="AV469" i="48"/>
  <c r="AV481" i="48"/>
  <c r="AA485" i="48"/>
  <c r="AD485" i="48" s="1"/>
  <c r="AT485" i="48"/>
  <c r="AV485" i="48" s="1"/>
  <c r="AA138" i="48"/>
  <c r="AD138" i="48" s="1"/>
  <c r="AA146" i="48"/>
  <c r="AD146" i="48" s="1"/>
  <c r="AA150" i="48"/>
  <c r="AD150" i="48" s="1"/>
  <c r="AA154" i="48"/>
  <c r="AD154" i="48" s="1"/>
  <c r="AA167" i="48"/>
  <c r="AD167" i="48" s="1"/>
  <c r="AA171" i="48"/>
  <c r="AD171" i="48" s="1"/>
  <c r="AA175" i="48"/>
  <c r="AD175" i="48" s="1"/>
  <c r="AA179" i="48"/>
  <c r="AD179" i="48" s="1"/>
  <c r="AA191" i="48"/>
  <c r="AD191" i="48" s="1"/>
  <c r="AA212" i="48"/>
  <c r="AD212" i="48" s="1"/>
  <c r="AA224" i="48"/>
  <c r="AD224" i="48" s="1"/>
  <c r="AA253" i="48"/>
  <c r="AD253" i="48" s="1"/>
  <c r="AA261" i="48"/>
  <c r="AD261" i="48" s="1"/>
  <c r="AA269" i="48"/>
  <c r="AD269" i="48" s="1"/>
  <c r="AA273" i="48"/>
  <c r="AD273" i="48" s="1"/>
  <c r="AA290" i="48"/>
  <c r="AD290" i="48" s="1"/>
  <c r="AA298" i="48"/>
  <c r="AD298" i="48" s="1"/>
  <c r="AA310" i="48"/>
  <c r="AD310" i="48" s="1"/>
  <c r="AA314" i="48"/>
  <c r="AD314" i="48" s="1"/>
  <c r="AA327" i="48"/>
  <c r="AD327" i="48" s="1"/>
  <c r="AT336" i="48"/>
  <c r="AV336" i="48" s="1"/>
  <c r="AV340" i="48"/>
  <c r="AV342" i="48"/>
  <c r="AV346" i="48"/>
  <c r="AV349" i="48"/>
  <c r="AV350" i="48"/>
  <c r="AV355" i="48"/>
  <c r="AV356" i="48"/>
  <c r="AV364" i="48"/>
  <c r="AV367" i="48"/>
  <c r="AV371" i="48"/>
  <c r="AV375" i="48"/>
  <c r="AV383" i="48"/>
  <c r="AV386" i="48"/>
  <c r="AV395" i="48"/>
  <c r="AA415" i="48"/>
  <c r="AD415" i="48" s="1"/>
  <c r="AT415" i="48"/>
  <c r="AV415" i="48" s="1"/>
  <c r="AV431" i="48"/>
  <c r="AV433" i="48"/>
  <c r="AV440" i="48"/>
  <c r="AA456" i="48"/>
  <c r="AD456" i="48" s="1"/>
  <c r="AT456" i="48"/>
  <c r="AV456" i="48" s="1"/>
  <c r="AV457" i="48"/>
  <c r="AV473" i="48"/>
  <c r="AV486" i="48"/>
  <c r="AV334" i="48"/>
  <c r="AA347" i="48"/>
  <c r="AD347" i="48" s="1"/>
  <c r="AT347" i="48"/>
  <c r="AV347" i="48" s="1"/>
  <c r="AA352" i="48"/>
  <c r="AD352" i="48" s="1"/>
  <c r="AT352" i="48"/>
  <c r="AV352" i="48" s="1"/>
  <c r="AV361" i="48"/>
  <c r="AV366" i="48"/>
  <c r="AV370" i="48"/>
  <c r="AA373" i="48"/>
  <c r="AD373" i="48" s="1"/>
  <c r="AT373" i="48"/>
  <c r="AV373" i="48" s="1"/>
  <c r="AV378" i="48"/>
  <c r="AT379" i="48"/>
  <c r="AV379" i="48" s="1"/>
  <c r="AV391" i="48"/>
  <c r="AT412" i="48"/>
  <c r="AV412" i="48" s="1"/>
  <c r="AA412" i="48"/>
  <c r="AD412" i="48" s="1"/>
  <c r="AV419" i="48"/>
  <c r="AV428" i="48"/>
  <c r="AT445" i="48"/>
  <c r="AV445" i="48" s="1"/>
  <c r="AA445" i="48"/>
  <c r="AD445" i="48" s="1"/>
  <c r="AV448" i="48"/>
  <c r="AT461" i="48"/>
  <c r="AV461" i="48" s="1"/>
  <c r="AA461" i="48"/>
  <c r="AD461" i="48" s="1"/>
  <c r="AV465" i="48"/>
  <c r="AV480" i="48"/>
  <c r="AA490" i="48"/>
  <c r="AD490" i="48" s="1"/>
  <c r="AT490" i="48"/>
  <c r="AT351" i="48"/>
  <c r="AV351" i="48" s="1"/>
  <c r="AT355" i="48"/>
  <c r="AT359" i="48"/>
  <c r="AV359" i="48" s="1"/>
  <c r="AT363" i="48"/>
  <c r="AV363" i="48" s="1"/>
  <c r="AT368" i="48"/>
  <c r="AV368" i="48" s="1"/>
  <c r="AT372" i="48"/>
  <c r="AV372" i="48" s="1"/>
  <c r="AT376" i="48"/>
  <c r="AV376" i="48" s="1"/>
  <c r="AT380" i="48"/>
  <c r="AV380" i="48" s="1"/>
  <c r="AT384" i="48"/>
  <c r="AV384" i="48" s="1"/>
  <c r="AT388" i="48"/>
  <c r="AV388" i="48" s="1"/>
  <c r="AT392" i="48"/>
  <c r="AV392" i="48" s="1"/>
  <c r="AT396" i="48"/>
  <c r="AV396" i="48" s="1"/>
  <c r="AT400" i="48"/>
  <c r="AV400" i="48" s="1"/>
  <c r="AT405" i="48"/>
  <c r="AV405" i="48" s="1"/>
  <c r="AT409" i="48"/>
  <c r="AV409" i="48" s="1"/>
  <c r="AT413" i="48"/>
  <c r="AV413" i="48" s="1"/>
  <c r="AT417" i="48"/>
  <c r="AV417" i="48" s="1"/>
  <c r="AT421" i="48"/>
  <c r="AV421" i="48" s="1"/>
  <c r="AT425" i="48"/>
  <c r="AV425" i="48" s="1"/>
  <c r="AT429" i="48"/>
  <c r="AV429" i="48" s="1"/>
  <c r="AT433" i="48"/>
  <c r="AT437" i="48"/>
  <c r="AV437" i="48" s="1"/>
  <c r="AT441" i="48"/>
  <c r="AV441" i="48" s="1"/>
  <c r="AT446" i="48"/>
  <c r="AV446" i="48" s="1"/>
  <c r="AT450" i="48"/>
  <c r="AV450" i="48" s="1"/>
  <c r="AT454" i="48"/>
  <c r="AV454" i="48" s="1"/>
  <c r="AT458" i="48"/>
  <c r="AV458" i="48" s="1"/>
  <c r="AT462" i="48"/>
  <c r="AV462" i="48" s="1"/>
  <c r="AT466" i="48"/>
  <c r="AV466" i="48" s="1"/>
  <c r="AT470" i="48"/>
  <c r="AV470" i="48" s="1"/>
  <c r="AT474" i="48"/>
  <c r="AT478" i="48"/>
  <c r="AV478" i="48" s="1"/>
  <c r="AT482" i="48"/>
  <c r="AV482" i="48" s="1"/>
  <c r="AA486" i="48"/>
  <c r="AD486" i="48" s="1"/>
  <c r="AT487" i="48"/>
  <c r="AV487" i="48" s="1"/>
  <c r="AA495" i="48"/>
  <c r="AD495" i="48" s="1"/>
  <c r="AT497" i="48"/>
  <c r="AV497" i="48" s="1"/>
  <c r="AT500" i="48"/>
  <c r="AV500" i="48" s="1"/>
  <c r="AT503" i="48"/>
  <c r="AV503" i="48" s="1"/>
  <c r="AV504" i="48"/>
  <c r="AA505" i="48"/>
  <c r="AD505" i="48" s="1"/>
  <c r="AV517" i="48"/>
  <c r="AV521" i="48"/>
  <c r="AA535" i="48"/>
  <c r="AD535" i="48" s="1"/>
  <c r="AV540" i="48"/>
  <c r="AV544" i="48"/>
  <c r="AV547" i="48"/>
  <c r="AV552" i="48"/>
  <c r="AV564" i="48"/>
  <c r="AV565" i="48"/>
  <c r="AV568" i="48"/>
  <c r="AV572" i="48"/>
  <c r="AV576" i="48"/>
  <c r="AV605" i="48"/>
  <c r="AV610" i="48"/>
  <c r="AV618" i="48"/>
  <c r="AV622" i="48"/>
  <c r="AV631" i="48"/>
  <c r="AA368" i="48"/>
  <c r="AD368" i="48" s="1"/>
  <c r="AA376" i="48"/>
  <c r="AD376" i="48" s="1"/>
  <c r="AA384" i="48"/>
  <c r="AD384" i="48" s="1"/>
  <c r="AA388" i="48"/>
  <c r="AD388" i="48" s="1"/>
  <c r="AT389" i="48"/>
  <c r="AV389" i="48" s="1"/>
  <c r="AT393" i="48"/>
  <c r="AV393" i="48" s="1"/>
  <c r="AT397" i="48"/>
  <c r="AV397" i="48" s="1"/>
  <c r="AT401" i="48"/>
  <c r="AV401" i="48" s="1"/>
  <c r="AA405" i="48"/>
  <c r="AD405" i="48" s="1"/>
  <c r="AT406" i="48"/>
  <c r="AV406" i="48" s="1"/>
  <c r="AT410" i="48"/>
  <c r="AV410" i="48" s="1"/>
  <c r="AT414" i="48"/>
  <c r="AV414" i="48" s="1"/>
  <c r="AT418" i="48"/>
  <c r="AV418" i="48" s="1"/>
  <c r="AA421" i="48"/>
  <c r="AD421" i="48" s="1"/>
  <c r="AT422" i="48"/>
  <c r="AV422" i="48" s="1"/>
  <c r="AA425" i="48"/>
  <c r="AD425" i="48" s="1"/>
  <c r="AT426" i="48"/>
  <c r="AV426" i="48" s="1"/>
  <c r="AT430" i="48"/>
  <c r="AV430" i="48" s="1"/>
  <c r="AT434" i="48"/>
  <c r="AT438" i="48"/>
  <c r="AV438" i="48" s="1"/>
  <c r="AT442" i="48"/>
  <c r="AV442" i="48" s="1"/>
  <c r="AA446" i="48"/>
  <c r="AD446" i="48" s="1"/>
  <c r="AT447" i="48"/>
  <c r="AV447" i="48" s="1"/>
  <c r="AA450" i="48"/>
  <c r="AD450" i="48" s="1"/>
  <c r="AT451" i="48"/>
  <c r="AV451" i="48" s="1"/>
  <c r="AT455" i="48"/>
  <c r="AV455" i="48" s="1"/>
  <c r="AA458" i="48"/>
  <c r="AD458" i="48" s="1"/>
  <c r="AT459" i="48"/>
  <c r="AV459" i="48" s="1"/>
  <c r="AT463" i="48"/>
  <c r="AV463" i="48" s="1"/>
  <c r="AA466" i="48"/>
  <c r="AD466" i="48" s="1"/>
  <c r="AT467" i="48"/>
  <c r="AV467" i="48" s="1"/>
  <c r="AA470" i="48"/>
  <c r="AD470" i="48" s="1"/>
  <c r="AT471" i="48"/>
  <c r="AV471" i="48" s="1"/>
  <c r="AA474" i="48"/>
  <c r="AD474" i="48" s="1"/>
  <c r="AT475" i="48"/>
  <c r="AT479" i="48"/>
  <c r="AV479" i="48" s="1"/>
  <c r="AT483" i="48"/>
  <c r="AV483" i="48" s="1"/>
  <c r="AT484" i="48"/>
  <c r="AV484" i="48" s="1"/>
  <c r="AA487" i="48"/>
  <c r="AD487" i="48" s="1"/>
  <c r="AT488" i="48"/>
  <c r="AV488" i="48" s="1"/>
  <c r="AT491" i="48"/>
  <c r="AV491" i="48" s="1"/>
  <c r="AV494" i="48"/>
  <c r="AV498" i="48"/>
  <c r="AV506" i="48"/>
  <c r="AV507" i="48"/>
  <c r="AV510" i="48"/>
  <c r="AV511" i="48"/>
  <c r="AV515" i="48"/>
  <c r="AV519" i="48"/>
  <c r="AV523" i="48"/>
  <c r="AV551" i="48"/>
  <c r="AV556" i="48"/>
  <c r="AV560" i="48"/>
  <c r="AV581" i="48"/>
  <c r="AV593" i="48"/>
  <c r="AV594" i="48"/>
  <c r="AV597" i="48"/>
  <c r="AV601" i="48"/>
  <c r="AV630" i="48"/>
  <c r="AV642" i="48"/>
  <c r="AV647" i="48"/>
  <c r="AV651" i="48"/>
  <c r="AV655" i="48"/>
  <c r="AV658" i="48"/>
  <c r="AV668" i="48"/>
  <c r="AV680" i="48"/>
  <c r="AV689" i="48"/>
  <c r="AA389" i="48"/>
  <c r="AD389" i="48" s="1"/>
  <c r="AA393" i="48"/>
  <c r="AD393" i="48" s="1"/>
  <c r="AA406" i="48"/>
  <c r="AD406" i="48" s="1"/>
  <c r="AA410" i="48"/>
  <c r="AD410" i="48" s="1"/>
  <c r="AA418" i="48"/>
  <c r="AD418" i="48" s="1"/>
  <c r="AA426" i="48"/>
  <c r="AD426" i="48" s="1"/>
  <c r="AA430" i="48"/>
  <c r="AD430" i="48" s="1"/>
  <c r="AA447" i="48"/>
  <c r="AD447" i="48" s="1"/>
  <c r="AA455" i="48"/>
  <c r="AD455" i="48" s="1"/>
  <c r="AA463" i="48"/>
  <c r="AD463" i="48" s="1"/>
  <c r="AA467" i="48"/>
  <c r="AD467" i="48" s="1"/>
  <c r="AA471" i="48"/>
  <c r="AD471" i="48" s="1"/>
  <c r="AT492" i="48"/>
  <c r="AV492" i="48" s="1"/>
  <c r="AV496" i="48"/>
  <c r="AA503" i="48"/>
  <c r="AD503" i="48" s="1"/>
  <c r="AA508" i="48"/>
  <c r="AD508" i="48" s="1"/>
  <c r="AT508" i="48"/>
  <c r="AV508" i="48" s="1"/>
  <c r="AA526" i="48"/>
  <c r="AD526" i="48" s="1"/>
  <c r="AT526" i="48"/>
  <c r="AV526" i="48" s="1"/>
  <c r="AV528" i="48"/>
  <c r="AA530" i="48"/>
  <c r="AD530" i="48" s="1"/>
  <c r="AT530" i="48"/>
  <c r="AV530" i="48" s="1"/>
  <c r="AV532" i="48"/>
  <c r="AV536" i="48"/>
  <c r="AA538" i="48"/>
  <c r="AD538" i="48" s="1"/>
  <c r="AT538" i="48"/>
  <c r="AV538" i="48" s="1"/>
  <c r="AV543" i="48"/>
  <c r="AV554" i="48"/>
  <c r="AV569" i="48"/>
  <c r="AV573" i="48"/>
  <c r="AV577" i="48"/>
  <c r="AV580" i="48"/>
  <c r="AV609" i="48"/>
  <c r="AV614" i="48"/>
  <c r="AV617" i="48"/>
  <c r="AV626" i="48"/>
  <c r="AV634" i="48"/>
  <c r="AV638" i="48"/>
  <c r="AV490" i="48"/>
  <c r="AV502" i="48"/>
  <c r="AA513" i="48"/>
  <c r="AD513" i="48" s="1"/>
  <c r="AT513" i="48"/>
  <c r="AV514" i="48"/>
  <c r="AV518" i="48"/>
  <c r="AV522" i="48"/>
  <c r="AV531" i="48"/>
  <c r="AT534" i="48"/>
  <c r="AV534" i="48" s="1"/>
  <c r="AV535" i="48"/>
  <c r="AV539" i="48"/>
  <c r="AV548" i="48"/>
  <c r="AV585" i="48"/>
  <c r="AV606" i="48"/>
  <c r="AV632" i="48"/>
  <c r="AA507" i="48"/>
  <c r="AD507" i="48" s="1"/>
  <c r="AA511" i="48"/>
  <c r="AD511" i="48" s="1"/>
  <c r="AT512" i="48"/>
  <c r="AV512" i="48" s="1"/>
  <c r="AT516" i="48"/>
  <c r="AV516" i="48" s="1"/>
  <c r="AT520" i="48"/>
  <c r="AV520" i="48" s="1"/>
  <c r="AT525" i="48"/>
  <c r="AV525" i="48" s="1"/>
  <c r="AA528" i="48"/>
  <c r="AD528" i="48" s="1"/>
  <c r="AT529" i="48"/>
  <c r="AV529" i="48" s="1"/>
  <c r="AA532" i="48"/>
  <c r="AD532" i="48" s="1"/>
  <c r="AT533" i="48"/>
  <c r="AV533" i="48" s="1"/>
  <c r="AA536" i="48"/>
  <c r="AD536" i="48" s="1"/>
  <c r="AT537" i="48"/>
  <c r="AV537" i="48" s="1"/>
  <c r="AT541" i="48"/>
  <c r="AV541" i="48" s="1"/>
  <c r="AT545" i="48"/>
  <c r="AV545" i="48" s="1"/>
  <c r="AA548" i="48"/>
  <c r="AD548" i="48" s="1"/>
  <c r="AT549" i="48"/>
  <c r="AV549" i="48" s="1"/>
  <c r="AA552" i="48"/>
  <c r="AD552" i="48" s="1"/>
  <c r="AT553" i="48"/>
  <c r="AT557" i="48"/>
  <c r="AV557" i="48" s="1"/>
  <c r="AT561" i="48"/>
  <c r="AV561" i="48" s="1"/>
  <c r="AA565" i="48"/>
  <c r="AD565" i="48" s="1"/>
  <c r="AT566" i="48"/>
  <c r="AV566" i="48" s="1"/>
  <c r="AT570" i="48"/>
  <c r="AV570" i="48" s="1"/>
  <c r="AT574" i="48"/>
  <c r="AV574" i="48" s="1"/>
  <c r="AT578" i="48"/>
  <c r="AV578" i="48" s="1"/>
  <c r="AA581" i="48"/>
  <c r="AD581" i="48" s="1"/>
  <c r="AT582" i="48"/>
  <c r="AV582" i="48" s="1"/>
  <c r="AA585" i="48"/>
  <c r="AD585" i="48" s="1"/>
  <c r="AT586" i="48"/>
  <c r="AV586" i="48" s="1"/>
  <c r="AT590" i="48"/>
  <c r="AV590" i="48" s="1"/>
  <c r="AA593" i="48"/>
  <c r="AD593" i="48" s="1"/>
  <c r="AT594" i="48"/>
  <c r="AT598" i="48"/>
  <c r="AV598" i="48" s="1"/>
  <c r="AT602" i="48"/>
  <c r="AV602" i="48" s="1"/>
  <c r="AT603" i="48"/>
  <c r="AV603" i="48" s="1"/>
  <c r="AA606" i="48"/>
  <c r="AD606" i="48" s="1"/>
  <c r="AT607" i="48"/>
  <c r="AV607" i="48" s="1"/>
  <c r="AT611" i="48"/>
  <c r="AV611" i="48" s="1"/>
  <c r="AA614" i="48"/>
  <c r="AD614" i="48" s="1"/>
  <c r="AT615" i="48"/>
  <c r="AV615" i="48" s="1"/>
  <c r="AT619" i="48"/>
  <c r="AV619" i="48" s="1"/>
  <c r="AA622" i="48"/>
  <c r="AD622" i="48" s="1"/>
  <c r="AT623" i="48"/>
  <c r="AV623" i="48" s="1"/>
  <c r="AA626" i="48"/>
  <c r="AD626" i="48" s="1"/>
  <c r="AT627" i="48"/>
  <c r="AV627" i="48" s="1"/>
  <c r="AA630" i="48"/>
  <c r="AD630" i="48" s="1"/>
  <c r="AT631" i="48"/>
  <c r="AT635" i="48"/>
  <c r="AV635" i="48" s="1"/>
  <c r="AT639" i="48"/>
  <c r="AV639" i="48" s="1"/>
  <c r="AT644" i="48"/>
  <c r="AV644" i="48" s="1"/>
  <c r="AT648" i="48"/>
  <c r="AV648" i="48" s="1"/>
  <c r="AT652" i="48"/>
  <c r="AV652" i="48" s="1"/>
  <c r="AT656" i="48"/>
  <c r="AV656" i="48" s="1"/>
  <c r="AV664" i="48"/>
  <c r="AV669" i="48"/>
  <c r="AA670" i="48"/>
  <c r="AD670" i="48" s="1"/>
  <c r="AV674" i="48"/>
  <c r="AT676" i="48"/>
  <c r="AV676" i="48" s="1"/>
  <c r="AT678" i="48"/>
  <c r="AV678" i="48" s="1"/>
  <c r="AT681" i="48"/>
  <c r="AV681" i="48" s="1"/>
  <c r="AT683" i="48"/>
  <c r="AV683" i="48" s="1"/>
  <c r="AA685" i="48"/>
  <c r="AD685" i="48" s="1"/>
  <c r="AA689" i="48"/>
  <c r="AD689" i="48" s="1"/>
  <c r="AV691" i="48"/>
  <c r="AA692" i="48"/>
  <c r="AD692" i="48" s="1"/>
  <c r="AT692" i="48"/>
  <c r="AV696" i="48"/>
  <c r="AV712" i="48"/>
  <c r="AV716" i="48"/>
  <c r="AA722" i="48"/>
  <c r="AD722" i="48" s="1"/>
  <c r="AT734" i="48"/>
  <c r="AV744" i="48"/>
  <c r="AT759" i="48"/>
  <c r="AV759" i="48" s="1"/>
  <c r="AT771" i="48"/>
  <c r="AV790" i="48"/>
  <c r="AV794" i="48"/>
  <c r="AT800" i="48"/>
  <c r="AV800" i="48" s="1"/>
  <c r="AA525" i="48"/>
  <c r="AD525" i="48" s="1"/>
  <c r="AA541" i="48"/>
  <c r="AD541" i="48" s="1"/>
  <c r="AT542" i="48"/>
  <c r="AV542" i="48" s="1"/>
  <c r="AA545" i="48"/>
  <c r="AD545" i="48" s="1"/>
  <c r="AT546" i="48"/>
  <c r="AV546" i="48" s="1"/>
  <c r="AT550" i="48"/>
  <c r="AV550" i="48" s="1"/>
  <c r="AT554" i="48"/>
  <c r="AT558" i="48"/>
  <c r="AV558" i="48" s="1"/>
  <c r="AT562" i="48"/>
  <c r="AV562" i="48" s="1"/>
  <c r="AT567" i="48"/>
  <c r="AV567" i="48" s="1"/>
  <c r="AT571" i="48"/>
  <c r="AV571" i="48" s="1"/>
  <c r="AT575" i="48"/>
  <c r="AV575" i="48" s="1"/>
  <c r="AT579" i="48"/>
  <c r="AV579" i="48" s="1"/>
  <c r="AT583" i="48"/>
  <c r="AV583" i="48" s="1"/>
  <c r="AT587" i="48"/>
  <c r="AV587" i="48" s="1"/>
  <c r="AT591" i="48"/>
  <c r="AV591" i="48" s="1"/>
  <c r="AT595" i="48"/>
  <c r="AV595" i="48" s="1"/>
  <c r="AT599" i="48"/>
  <c r="AV599" i="48" s="1"/>
  <c r="AT604" i="48"/>
  <c r="AV604" i="48" s="1"/>
  <c r="AT608" i="48"/>
  <c r="AV608" i="48" s="1"/>
  <c r="AT612" i="48"/>
  <c r="AV612" i="48" s="1"/>
  <c r="AT616" i="48"/>
  <c r="AV616" i="48" s="1"/>
  <c r="AT620" i="48"/>
  <c r="AV620" i="48" s="1"/>
  <c r="AT624" i="48"/>
  <c r="AV624" i="48" s="1"/>
  <c r="AT628" i="48"/>
  <c r="AV628" i="48" s="1"/>
  <c r="AT632" i="48"/>
  <c r="AT636" i="48"/>
  <c r="AV636" i="48" s="1"/>
  <c r="AT640" i="48"/>
  <c r="AV640" i="48" s="1"/>
  <c r="AT645" i="48"/>
  <c r="AV645" i="48" s="1"/>
  <c r="AT649" i="48"/>
  <c r="AV649" i="48" s="1"/>
  <c r="AT653" i="48"/>
  <c r="AV653" i="48" s="1"/>
  <c r="AT657" i="48"/>
  <c r="AV657" i="48" s="1"/>
  <c r="AV659" i="48"/>
  <c r="AV671" i="48"/>
  <c r="AV679" i="48"/>
  <c r="AT682" i="48"/>
  <c r="AV682" i="48" s="1"/>
  <c r="AV684" i="48"/>
  <c r="AT686" i="48"/>
  <c r="AT690" i="48"/>
  <c r="AT693" i="48"/>
  <c r="AV693" i="48" s="1"/>
  <c r="AV704" i="48"/>
  <c r="AA705" i="48"/>
  <c r="AD705" i="48" s="1"/>
  <c r="AV720" i="48"/>
  <c r="AV728" i="48"/>
  <c r="AV729" i="48"/>
  <c r="AV736" i="48"/>
  <c r="AV737" i="48"/>
  <c r="AV745" i="48"/>
  <c r="AA746" i="48"/>
  <c r="AD746" i="48" s="1"/>
  <c r="AV752" i="48"/>
  <c r="AV756" i="48"/>
  <c r="AT763" i="48"/>
  <c r="AV763" i="48" s="1"/>
  <c r="AV773" i="48"/>
  <c r="AV774" i="48"/>
  <c r="AV782" i="48"/>
  <c r="AA783" i="48"/>
  <c r="AD783" i="48" s="1"/>
  <c r="AV798" i="48"/>
  <c r="AV802" i="48"/>
  <c r="AV803" i="48"/>
  <c r="AA546" i="48"/>
  <c r="AD546" i="48" s="1"/>
  <c r="AA554" i="48"/>
  <c r="AD554" i="48" s="1"/>
  <c r="AA567" i="48"/>
  <c r="AD567" i="48" s="1"/>
  <c r="AA575" i="48"/>
  <c r="AD575" i="48" s="1"/>
  <c r="AA583" i="48"/>
  <c r="AD583" i="48" s="1"/>
  <c r="AA587" i="48"/>
  <c r="AD587" i="48" s="1"/>
  <c r="AA591" i="48"/>
  <c r="AD591" i="48" s="1"/>
  <c r="AA604" i="48"/>
  <c r="AD604" i="48" s="1"/>
  <c r="AA624" i="48"/>
  <c r="AD624" i="48" s="1"/>
  <c r="AA632" i="48"/>
  <c r="AD632" i="48" s="1"/>
  <c r="AA645" i="48"/>
  <c r="AD645" i="48" s="1"/>
  <c r="AA653" i="48"/>
  <c r="AD653" i="48" s="1"/>
  <c r="AV663" i="48"/>
  <c r="AA668" i="48"/>
  <c r="AD668" i="48" s="1"/>
  <c r="AV688" i="48"/>
  <c r="AT697" i="48"/>
  <c r="AV697" i="48" s="1"/>
  <c r="AV700" i="48"/>
  <c r="AV703" i="48"/>
  <c r="AV708" i="48"/>
  <c r="AA709" i="48"/>
  <c r="AD709" i="48" s="1"/>
  <c r="AV724" i="48"/>
  <c r="AV725" i="48"/>
  <c r="AV741" i="48"/>
  <c r="AA742" i="48"/>
  <c r="AD742" i="48" s="1"/>
  <c r="AV749" i="48"/>
  <c r="AA767" i="48"/>
  <c r="AD767" i="48" s="1"/>
  <c r="AV778" i="48"/>
  <c r="AV786" i="48"/>
  <c r="AA787" i="48"/>
  <c r="AD787" i="48" s="1"/>
  <c r="AV667" i="48"/>
  <c r="AV675" i="48"/>
  <c r="AV692" i="48"/>
  <c r="AV695" i="48"/>
  <c r="AV701" i="48"/>
  <c r="AV709" i="48"/>
  <c r="AV713" i="48"/>
  <c r="AV717" i="48"/>
  <c r="AV726" i="48"/>
  <c r="AV730" i="48"/>
  <c r="AV734" i="48"/>
  <c r="AV738" i="48"/>
  <c r="AV750" i="48"/>
  <c r="AV754" i="48"/>
  <c r="AV758" i="48"/>
  <c r="AV771" i="48"/>
  <c r="AV775" i="48"/>
  <c r="AV779" i="48"/>
  <c r="AV787" i="48"/>
  <c r="AV791" i="48"/>
  <c r="AV795" i="48"/>
  <c r="AV820" i="48"/>
  <c r="AV821" i="48"/>
  <c r="AV824" i="48"/>
  <c r="AV825" i="48"/>
  <c r="AV828" i="48"/>
  <c r="AV832" i="48"/>
  <c r="AV836" i="48"/>
  <c r="AV858" i="48"/>
  <c r="AV879" i="48"/>
  <c r="AV895" i="48"/>
  <c r="AV673" i="48"/>
  <c r="AV677" i="48"/>
  <c r="AV686" i="48"/>
  <c r="AV690" i="48"/>
  <c r="AV694" i="48"/>
  <c r="AV698" i="48"/>
  <c r="AV702" i="48"/>
  <c r="AA703" i="48"/>
  <c r="AD703" i="48" s="1"/>
  <c r="AV706" i="48"/>
  <c r="AA707" i="48"/>
  <c r="AD707" i="48" s="1"/>
  <c r="AV710" i="48"/>
  <c r="AV714" i="48"/>
  <c r="AV718" i="48"/>
  <c r="AT721" i="48"/>
  <c r="AV721" i="48" s="1"/>
  <c r="AV723" i="48"/>
  <c r="AA724" i="48"/>
  <c r="AD724" i="48" s="1"/>
  <c r="AV727" i="48"/>
  <c r="AA728" i="48"/>
  <c r="AD728" i="48" s="1"/>
  <c r="AV731" i="48"/>
  <c r="AV735" i="48"/>
  <c r="AV739" i="48"/>
  <c r="AV743" i="48"/>
  <c r="AA744" i="48"/>
  <c r="AD744" i="48" s="1"/>
  <c r="AV747" i="48"/>
  <c r="AA748" i="48"/>
  <c r="AD748" i="48" s="1"/>
  <c r="AV751" i="48"/>
  <c r="AV755" i="48"/>
  <c r="AV760" i="48"/>
  <c r="AV764" i="48"/>
  <c r="AA765" i="48"/>
  <c r="AD765" i="48" s="1"/>
  <c r="AV768" i="48"/>
  <c r="AV772" i="48"/>
  <c r="AV776" i="48"/>
  <c r="AV780" i="48"/>
  <c r="AA781" i="48"/>
  <c r="AD781" i="48" s="1"/>
  <c r="AV784" i="48"/>
  <c r="AA785" i="48"/>
  <c r="AD785" i="48" s="1"/>
  <c r="AV788" i="48"/>
  <c r="AV792" i="48"/>
  <c r="AV796" i="48"/>
  <c r="AV801" i="48"/>
  <c r="AT804" i="48"/>
  <c r="AV804" i="48" s="1"/>
  <c r="AT807" i="48"/>
  <c r="AV807" i="48" s="1"/>
  <c r="AV809" i="48"/>
  <c r="AT811" i="48"/>
  <c r="AV813" i="48"/>
  <c r="AT815" i="48"/>
  <c r="AV837" i="48"/>
  <c r="AV841" i="48"/>
  <c r="AV857" i="48"/>
  <c r="AV894" i="48"/>
  <c r="AT705" i="48"/>
  <c r="AV705" i="48" s="1"/>
  <c r="AT709" i="48"/>
  <c r="AT722" i="48"/>
  <c r="AV722" i="48" s="1"/>
  <c r="AT742" i="48"/>
  <c r="AV742" i="48" s="1"/>
  <c r="AT746" i="48"/>
  <c r="AV746" i="48" s="1"/>
  <c r="AT767" i="48"/>
  <c r="AV767" i="48" s="1"/>
  <c r="AT783" i="48"/>
  <c r="AV783" i="48" s="1"/>
  <c r="AT787" i="48"/>
  <c r="AV805" i="48"/>
  <c r="AV823" i="48"/>
  <c r="AV829" i="48"/>
  <c r="AV833" i="48"/>
  <c r="AV853" i="48"/>
  <c r="AV866" i="48"/>
  <c r="AV867" i="48"/>
  <c r="AV869" i="48"/>
  <c r="AV874" i="48"/>
  <c r="AV887" i="48"/>
  <c r="AV891" i="48"/>
  <c r="AA804" i="48"/>
  <c r="AD804" i="48" s="1"/>
  <c r="AA806" i="48"/>
  <c r="AD806" i="48" s="1"/>
  <c r="AT806" i="48"/>
  <c r="AV806" i="48" s="1"/>
  <c r="AV808" i="48"/>
  <c r="AT810" i="48"/>
  <c r="AV810" i="48" s="1"/>
  <c r="AV811" i="48"/>
  <c r="AV812" i="48"/>
  <c r="AT814" i="48"/>
  <c r="AV814" i="48" s="1"/>
  <c r="AV815" i="48"/>
  <c r="AV816" i="48"/>
  <c r="AV817" i="48"/>
  <c r="AA819" i="48"/>
  <c r="AD819" i="48" s="1"/>
  <c r="AT819" i="48"/>
  <c r="AV819" i="48" s="1"/>
  <c r="AV826" i="48"/>
  <c r="AA827" i="48"/>
  <c r="AD827" i="48" s="1"/>
  <c r="AT827" i="48"/>
  <c r="AV838" i="48"/>
  <c r="AA845" i="48"/>
  <c r="AD845" i="48" s="1"/>
  <c r="AT845" i="48"/>
  <c r="AV845" i="48" s="1"/>
  <c r="AV846" i="48"/>
  <c r="AV850" i="48"/>
  <c r="AV854" i="48"/>
  <c r="AV862" i="48"/>
  <c r="AV865" i="48"/>
  <c r="AA882" i="48"/>
  <c r="AD882" i="48" s="1"/>
  <c r="AT882" i="48"/>
  <c r="AV882" i="48" s="1"/>
  <c r="AV883" i="48"/>
  <c r="AT818" i="48"/>
  <c r="AV818" i="48" s="1"/>
  <c r="AT822" i="48"/>
  <c r="AV822" i="48" s="1"/>
  <c r="AT826" i="48"/>
  <c r="AT830" i="48"/>
  <c r="AV830" i="48" s="1"/>
  <c r="AT834" i="48"/>
  <c r="AV834" i="48" s="1"/>
  <c r="AT839" i="48"/>
  <c r="AV839" i="48" s="1"/>
  <c r="AT843" i="48"/>
  <c r="AV843" i="48" s="1"/>
  <c r="AT847" i="48"/>
  <c r="AV847" i="48" s="1"/>
  <c r="AT851" i="48"/>
  <c r="AV851" i="48" s="1"/>
  <c r="AT855" i="48"/>
  <c r="AV855" i="48" s="1"/>
  <c r="AA858" i="48"/>
  <c r="AD858" i="48" s="1"/>
  <c r="AT859" i="48"/>
  <c r="AV859" i="48" s="1"/>
  <c r="AT863" i="48"/>
  <c r="AV863" i="48" s="1"/>
  <c r="AA866" i="48"/>
  <c r="AD866" i="48" s="1"/>
  <c r="AT867" i="48"/>
  <c r="AT871" i="48"/>
  <c r="AV871" i="48" s="1"/>
  <c r="AT875" i="48"/>
  <c r="AV875" i="48" s="1"/>
  <c r="AT876" i="48"/>
  <c r="AV876" i="48" s="1"/>
  <c r="AT880" i="48"/>
  <c r="AV880" i="48" s="1"/>
  <c r="AT884" i="48"/>
  <c r="AV884" i="48" s="1"/>
  <c r="AT888" i="48"/>
  <c r="AV888" i="48" s="1"/>
  <c r="AT892" i="48"/>
  <c r="AV892" i="48" s="1"/>
  <c r="AA895" i="48"/>
  <c r="AD895" i="48" s="1"/>
  <c r="AA897" i="48"/>
  <c r="AD897" i="48" s="1"/>
  <c r="AV907" i="48"/>
  <c r="AV912" i="48"/>
  <c r="AV915" i="48"/>
  <c r="AV920" i="48"/>
  <c r="AA921" i="48"/>
  <c r="AD921" i="48" s="1"/>
  <c r="AT921" i="48"/>
  <c r="AV930" i="48"/>
  <c r="AV932" i="48"/>
  <c r="AT956" i="48"/>
  <c r="AV969" i="48"/>
  <c r="AA822" i="48"/>
  <c r="AD822" i="48" s="1"/>
  <c r="AA826" i="48"/>
  <c r="AD826" i="48" s="1"/>
  <c r="AT840" i="48"/>
  <c r="AV840" i="48" s="1"/>
  <c r="AA843" i="48"/>
  <c r="AD843" i="48" s="1"/>
  <c r="AT844" i="48"/>
  <c r="AV844" i="48" s="1"/>
  <c r="AT848" i="48"/>
  <c r="AV848" i="48" s="1"/>
  <c r="AT852" i="48"/>
  <c r="AV852" i="48" s="1"/>
  <c r="AT856" i="48"/>
  <c r="AV856" i="48" s="1"/>
  <c r="AT860" i="48"/>
  <c r="AV860" i="48" s="1"/>
  <c r="AA863" i="48"/>
  <c r="AD863" i="48" s="1"/>
  <c r="AT864" i="48"/>
  <c r="AV864" i="48" s="1"/>
  <c r="AT868" i="48"/>
  <c r="AV868" i="48" s="1"/>
  <c r="AT872" i="48"/>
  <c r="AV872" i="48" s="1"/>
  <c r="AT877" i="48"/>
  <c r="AV877" i="48" s="1"/>
  <c r="AT881" i="48"/>
  <c r="AV881" i="48" s="1"/>
  <c r="AA884" i="48"/>
  <c r="AD884" i="48" s="1"/>
  <c r="AT885" i="48"/>
  <c r="AV885" i="48" s="1"/>
  <c r="AT889" i="48"/>
  <c r="AV889" i="48" s="1"/>
  <c r="AT893" i="48"/>
  <c r="AV893" i="48" s="1"/>
  <c r="AV896" i="48"/>
  <c r="AV899" i="48"/>
  <c r="AV900" i="48"/>
  <c r="AV913" i="48"/>
  <c r="AV916" i="48"/>
  <c r="AT923" i="48"/>
  <c r="AV929" i="48"/>
  <c r="AV945" i="48"/>
  <c r="AV949" i="48"/>
  <c r="AV953" i="48"/>
  <c r="AV962" i="48"/>
  <c r="AT964" i="48"/>
  <c r="AV970" i="48"/>
  <c r="AA856" i="48"/>
  <c r="AD856" i="48" s="1"/>
  <c r="AA860" i="48"/>
  <c r="AD860" i="48" s="1"/>
  <c r="AA864" i="48"/>
  <c r="AD864" i="48" s="1"/>
  <c r="AV898" i="48"/>
  <c r="AA901" i="48"/>
  <c r="AD901" i="48" s="1"/>
  <c r="AT901" i="48"/>
  <c r="AV901" i="48" s="1"/>
  <c r="AV903" i="48"/>
  <c r="AV904" i="48"/>
  <c r="AV908" i="48"/>
  <c r="AV910" i="48"/>
  <c r="AV911" i="48"/>
  <c r="AV924" i="48"/>
  <c r="AV933" i="48"/>
  <c r="AV937" i="48"/>
  <c r="AV941" i="48"/>
  <c r="AT960" i="48"/>
  <c r="AV960" i="48" s="1"/>
  <c r="AA905" i="48"/>
  <c r="AD905" i="48" s="1"/>
  <c r="AT905" i="48"/>
  <c r="AV917" i="48"/>
  <c r="AV921" i="48"/>
  <c r="AA934" i="48"/>
  <c r="AD934" i="48" s="1"/>
  <c r="AT934" i="48"/>
  <c r="AV934" i="48" s="1"/>
  <c r="AV936" i="48"/>
  <c r="AA938" i="48"/>
  <c r="AD938" i="48" s="1"/>
  <c r="AT938" i="48"/>
  <c r="AV938" i="48" s="1"/>
  <c r="AV940" i="48"/>
  <c r="AA942" i="48"/>
  <c r="AD942" i="48" s="1"/>
  <c r="AT942" i="48"/>
  <c r="AV942" i="48" s="1"/>
  <c r="AV944" i="48"/>
  <c r="AV946" i="48"/>
  <c r="AV950" i="48"/>
  <c r="AV955" i="48"/>
  <c r="AV959" i="48"/>
  <c r="AV963" i="48"/>
  <c r="AV967" i="48"/>
  <c r="AV975" i="48"/>
  <c r="AV979" i="48"/>
  <c r="AV987" i="48"/>
  <c r="AA1015" i="48"/>
  <c r="AD1015" i="48" s="1"/>
  <c r="AT1015" i="48"/>
  <c r="AV1015" i="48" s="1"/>
  <c r="AA1019" i="48"/>
  <c r="AD1019" i="48" s="1"/>
  <c r="AT1019" i="48"/>
  <c r="AV1028" i="48"/>
  <c r="AA1036" i="48"/>
  <c r="AD1036" i="48" s="1"/>
  <c r="AT1036" i="48"/>
  <c r="AV1041" i="48"/>
  <c r="AV919" i="48"/>
  <c r="AV923" i="48"/>
  <c r="AV927" i="48"/>
  <c r="AV931" i="48"/>
  <c r="AV935" i="48"/>
  <c r="AV939" i="48"/>
  <c r="AV943" i="48"/>
  <c r="AV947" i="48"/>
  <c r="AV951" i="48"/>
  <c r="AV956" i="48"/>
  <c r="AV964" i="48"/>
  <c r="AV968" i="48"/>
  <c r="AT988" i="48"/>
  <c r="AV988" i="48" s="1"/>
  <c r="AT990" i="48"/>
  <c r="AV990" i="48" s="1"/>
  <c r="AT993" i="48"/>
  <c r="AV993" i="48" s="1"/>
  <c r="AV996" i="48"/>
  <c r="AV997" i="48"/>
  <c r="AA999" i="48"/>
  <c r="AD999" i="48" s="1"/>
  <c r="AT999" i="48"/>
  <c r="AV1004" i="48"/>
  <c r="AV1017" i="48"/>
  <c r="AV1033" i="48"/>
  <c r="AV1037" i="48"/>
  <c r="AV1038" i="48"/>
  <c r="AV1040" i="48"/>
  <c r="AV1045" i="48"/>
  <c r="AT1048" i="48"/>
  <c r="AV1048" i="48" s="1"/>
  <c r="AV1053" i="48"/>
  <c r="AA1054" i="48"/>
  <c r="AD1054" i="48" s="1"/>
  <c r="AT1054" i="48"/>
  <c r="AV1054" i="48" s="1"/>
  <c r="AV1056" i="48"/>
  <c r="AT1066" i="48"/>
  <c r="AV1066" i="48" s="1"/>
  <c r="AV1072" i="48"/>
  <c r="AT1136" i="48"/>
  <c r="AA1136" i="48"/>
  <c r="AD1136" i="48" s="1"/>
  <c r="AV1136" i="48"/>
  <c r="AA962" i="48"/>
  <c r="AD962" i="48" s="1"/>
  <c r="AV971" i="48"/>
  <c r="AV983" i="48"/>
  <c r="AV991" i="48"/>
  <c r="AV995" i="48"/>
  <c r="AV1000" i="48"/>
  <c r="AV1001" i="48"/>
  <c r="AV1003" i="48"/>
  <c r="AV1008" i="48"/>
  <c r="AV1012" i="48"/>
  <c r="AV1019" i="48"/>
  <c r="AV1024" i="48"/>
  <c r="AV1036" i="48"/>
  <c r="AV1042" i="48"/>
  <c r="AV1044" i="48"/>
  <c r="AV1049" i="48"/>
  <c r="AA976" i="48"/>
  <c r="AD976" i="48" s="1"/>
  <c r="AA980" i="48"/>
  <c r="AD980" i="48" s="1"/>
  <c r="AV999" i="48"/>
  <c r="AV1005" i="48"/>
  <c r="AV1007" i="48"/>
  <c r="AV1021" i="48"/>
  <c r="AV1022" i="48"/>
  <c r="AV1023" i="48"/>
  <c r="AV1029" i="48"/>
  <c r="AV1031" i="48"/>
  <c r="AT1032" i="48"/>
  <c r="AV1032" i="48" s="1"/>
  <c r="AV1046" i="48"/>
  <c r="AT1061" i="48"/>
  <c r="AV1061" i="48"/>
  <c r="AT1087" i="48"/>
  <c r="AV1087" i="48"/>
  <c r="AT1104" i="48"/>
  <c r="AV1104" i="48"/>
  <c r="A1130" i="48"/>
  <c r="A1132" i="48" s="1"/>
  <c r="A1133" i="48" s="1"/>
  <c r="A1134" i="48" s="1"/>
  <c r="A1135" i="48" s="1"/>
  <c r="A1136" i="48" s="1"/>
  <c r="A1137" i="48" s="1"/>
  <c r="A1131" i="48"/>
  <c r="AT981" i="48"/>
  <c r="AV981" i="48" s="1"/>
  <c r="AT985" i="48"/>
  <c r="AV985" i="48" s="1"/>
  <c r="AT989" i="48"/>
  <c r="AV989" i="48" s="1"/>
  <c r="AT994" i="48"/>
  <c r="AV994" i="48" s="1"/>
  <c r="AA997" i="48"/>
  <c r="AD997" i="48" s="1"/>
  <c r="AT998" i="48"/>
  <c r="AV998" i="48" s="1"/>
  <c r="AA1001" i="48"/>
  <c r="AD1001" i="48" s="1"/>
  <c r="AT1002" i="48"/>
  <c r="AV1002" i="48" s="1"/>
  <c r="AT1006" i="48"/>
  <c r="AV1006" i="48" s="1"/>
  <c r="AT1010" i="48"/>
  <c r="AV1010" i="48" s="1"/>
  <c r="AT1014" i="48"/>
  <c r="AV1014" i="48" s="1"/>
  <c r="AA1017" i="48"/>
  <c r="AD1017" i="48" s="1"/>
  <c r="AT1018" i="48"/>
  <c r="AV1018" i="48" s="1"/>
  <c r="AT1022" i="48"/>
  <c r="AT1026" i="48"/>
  <c r="AV1026" i="48" s="1"/>
  <c r="AT1030" i="48"/>
  <c r="AV1030" i="48" s="1"/>
  <c r="AT1035" i="48"/>
  <c r="AV1035" i="48" s="1"/>
  <c r="AA1038" i="48"/>
  <c r="AD1038" i="48" s="1"/>
  <c r="AT1039" i="48"/>
  <c r="AV1039" i="48" s="1"/>
  <c r="AT1043" i="48"/>
  <c r="AV1043" i="48" s="1"/>
  <c r="AT1047" i="48"/>
  <c r="AV1047" i="48" s="1"/>
  <c r="AT1051" i="48"/>
  <c r="AV1051" i="48" s="1"/>
  <c r="AA1053" i="48"/>
  <c r="AD1053" i="48" s="1"/>
  <c r="AA1056" i="48"/>
  <c r="AD1056" i="48" s="1"/>
  <c r="AV1058" i="48"/>
  <c r="AV1059" i="48"/>
  <c r="AV1060" i="48"/>
  <c r="AV1062" i="48"/>
  <c r="AV1063" i="48"/>
  <c r="AV1068" i="48"/>
  <c r="AV1073" i="48"/>
  <c r="AA1075" i="48"/>
  <c r="AD1075" i="48" s="1"/>
  <c r="AT1075" i="48"/>
  <c r="AV1075" i="48" s="1"/>
  <c r="AV1077" i="48"/>
  <c r="AT1083" i="48"/>
  <c r="AV1083" i="48" s="1"/>
  <c r="AV1088" i="48"/>
  <c r="AA1095" i="48"/>
  <c r="AD1095" i="48" s="1"/>
  <c r="AT1095" i="48"/>
  <c r="AV1095" i="48" s="1"/>
  <c r="AA1099" i="48"/>
  <c r="AD1099" i="48" s="1"/>
  <c r="AT1099" i="48"/>
  <c r="AV1099" i="48" s="1"/>
  <c r="AT1105" i="48"/>
  <c r="AV1105" i="48" s="1"/>
  <c r="AT1116" i="48"/>
  <c r="AV1116" i="48" s="1"/>
  <c r="AA1116" i="48"/>
  <c r="AD1116" i="48" s="1"/>
  <c r="AV1118" i="48"/>
  <c r="AV1134" i="48"/>
  <c r="AV1138" i="48"/>
  <c r="AV1159" i="48"/>
  <c r="AV1076" i="48"/>
  <c r="AV1084" i="48"/>
  <c r="AV1089" i="48"/>
  <c r="AV1092" i="48"/>
  <c r="AV1093" i="48"/>
  <c r="AV1096" i="48"/>
  <c r="AV1097" i="48"/>
  <c r="AV1100" i="48"/>
  <c r="AT1114" i="48"/>
  <c r="AA1114" i="48"/>
  <c r="AD1114" i="48" s="1"/>
  <c r="AT1124" i="48"/>
  <c r="AV1124" i="48" s="1"/>
  <c r="AV1064" i="48"/>
  <c r="AV1067" i="48"/>
  <c r="AV1080" i="48"/>
  <c r="AV1085" i="48"/>
  <c r="AT1132" i="48"/>
  <c r="AV1132" i="48"/>
  <c r="A1171" i="48"/>
  <c r="A1173" i="48" s="1"/>
  <c r="A1174" i="48" s="1"/>
  <c r="A1175" i="48" s="1"/>
  <c r="A1176" i="48" s="1"/>
  <c r="A1177" i="48" s="1"/>
  <c r="A1178" i="48" s="1"/>
  <c r="A1172" i="48"/>
  <c r="AT1069" i="48"/>
  <c r="AV1069" i="48" s="1"/>
  <c r="AT1074" i="48"/>
  <c r="AV1074" i="48" s="1"/>
  <c r="AT1078" i="48"/>
  <c r="AV1078" i="48" s="1"/>
  <c r="AT1082" i="48"/>
  <c r="AV1082" i="48" s="1"/>
  <c r="AT1086" i="48"/>
  <c r="AV1086" i="48" s="1"/>
  <c r="AT1090" i="48"/>
  <c r="AV1090" i="48" s="1"/>
  <c r="AT1094" i="48"/>
  <c r="AV1094" i="48" s="1"/>
  <c r="AT1098" i="48"/>
  <c r="AV1098" i="48" s="1"/>
  <c r="AV1102" i="48"/>
  <c r="AT1107" i="48"/>
  <c r="AV1107" i="48" s="1"/>
  <c r="AV1109" i="48"/>
  <c r="AV1114" i="48"/>
  <c r="AV1128" i="48"/>
  <c r="AV1131" i="48"/>
  <c r="AT1142" i="48"/>
  <c r="AV1142" i="48"/>
  <c r="AA1090" i="48"/>
  <c r="AD1090" i="48" s="1"/>
  <c r="AA1094" i="48"/>
  <c r="AD1094" i="48" s="1"/>
  <c r="AA1098" i="48"/>
  <c r="AD1098" i="48" s="1"/>
  <c r="AV1111" i="48"/>
  <c r="AV1113" i="48"/>
  <c r="AV1119" i="48"/>
  <c r="AV1123" i="48"/>
  <c r="AV1130" i="48"/>
  <c r="AV1141" i="48"/>
  <c r="AV1106" i="48"/>
  <c r="AV1110" i="48"/>
  <c r="AV1115" i="48"/>
  <c r="AV1126" i="48"/>
  <c r="AV1135" i="48"/>
  <c r="AV1139" i="48"/>
  <c r="AT1121" i="48"/>
  <c r="AV1121" i="48" s="1"/>
  <c r="AT1125" i="48"/>
  <c r="AV1125" i="48" s="1"/>
  <c r="AT1129" i="48"/>
  <c r="AV1129" i="48" s="1"/>
  <c r="AT1133" i="48"/>
  <c r="AV1133" i="48" s="1"/>
  <c r="AT1137" i="48"/>
  <c r="AV1137" i="48" s="1"/>
  <c r="AV1146" i="48"/>
  <c r="AV1147" i="48"/>
  <c r="AV1150" i="48"/>
  <c r="AT1152" i="48"/>
  <c r="AV1152" i="48" s="1"/>
  <c r="AV1154" i="48"/>
  <c r="AV1155" i="48"/>
  <c r="AV1156" i="48"/>
  <c r="AT1157" i="48"/>
  <c r="AV1157" i="48" s="1"/>
  <c r="AV1160" i="48"/>
  <c r="AV1162" i="48"/>
  <c r="AT1165" i="48"/>
  <c r="AV1145" i="48"/>
  <c r="AV1149" i="48"/>
  <c r="AV1151" i="48"/>
  <c r="AT1153" i="48"/>
  <c r="AV1153" i="48" s="1"/>
  <c r="AV1158" i="48"/>
  <c r="AV1175" i="48"/>
  <c r="AT1161" i="48"/>
  <c r="AV1161" i="48" s="1"/>
  <c r="AV1170" i="48"/>
  <c r="AV1174" i="48"/>
  <c r="AV1178" i="48"/>
  <c r="A1220" i="48"/>
  <c r="A1219" i="48"/>
  <c r="A1221" i="48" s="1"/>
  <c r="A1222" i="48" s="1"/>
  <c r="A1223" i="48" s="1"/>
  <c r="A1224" i="48" s="1"/>
  <c r="A1225" i="48" s="1"/>
  <c r="A1226" i="48" s="1"/>
  <c r="A1227" i="48" s="1"/>
  <c r="A1228" i="48" s="1"/>
  <c r="A1229" i="48" s="1"/>
  <c r="A1230" i="48" s="1"/>
  <c r="A1231" i="48" s="1"/>
  <c r="AV1168" i="48"/>
  <c r="AV1172" i="48"/>
  <c r="AV1189" i="48"/>
  <c r="AV1202" i="48"/>
  <c r="AV1165" i="48"/>
  <c r="AV1169" i="48"/>
  <c r="AV1173" i="48"/>
  <c r="AV1177" i="48"/>
  <c r="AV1181" i="48"/>
  <c r="AA1155" i="48"/>
  <c r="AD1155" i="48" s="1"/>
  <c r="AA1159" i="48"/>
  <c r="AD1159" i="48" s="1"/>
  <c r="AA1175" i="48"/>
  <c r="AD1175" i="48" s="1"/>
  <c r="AT1176" i="48"/>
  <c r="AV1176" i="48" s="1"/>
  <c r="AT1182" i="48"/>
  <c r="AV1183" i="48"/>
  <c r="AV1185" i="48"/>
  <c r="AV1190" i="48"/>
  <c r="AV1194" i="48"/>
  <c r="AV1196" i="48"/>
  <c r="AV1197" i="48"/>
  <c r="AV1198" i="48"/>
  <c r="AV1200" i="48"/>
  <c r="AV1201" i="48"/>
  <c r="AV1206" i="48"/>
  <c r="AV1208" i="48"/>
  <c r="AV1209" i="48"/>
  <c r="AV1214" i="48"/>
  <c r="AV1218" i="48"/>
  <c r="AV1226" i="48"/>
  <c r="AV1182" i="48"/>
  <c r="AV1192" i="48"/>
  <c r="AV1195" i="48"/>
  <c r="AV1199" i="48"/>
  <c r="AT1203" i="48"/>
  <c r="AV1203" i="48" s="1"/>
  <c r="AV1207" i="48"/>
  <c r="AA1215" i="48"/>
  <c r="AD1215" i="48" s="1"/>
  <c r="AT1215" i="48"/>
  <c r="AV1215" i="48" s="1"/>
  <c r="AA1219" i="48"/>
  <c r="AD1219" i="48" s="1"/>
  <c r="AT1219" i="48"/>
  <c r="AV1219" i="48" s="1"/>
  <c r="AV1220" i="48"/>
  <c r="AV1221" i="48"/>
  <c r="AV1227" i="48"/>
  <c r="AV1224" i="48"/>
  <c r="AV1228" i="48"/>
  <c r="AV1225" i="48"/>
  <c r="AV1229" i="48"/>
  <c r="A1138" i="48" l="1"/>
  <c r="A1140" i="48" s="1"/>
  <c r="A1141" i="48" s="1"/>
  <c r="A1142" i="48" s="1"/>
  <c r="A1143" i="48" s="1"/>
  <c r="A1144" i="48" s="1"/>
  <c r="A1145" i="48" s="1"/>
  <c r="A1146" i="48" s="1"/>
  <c r="A1147" i="48" s="1"/>
  <c r="A1148" i="48" s="1"/>
  <c r="A1149" i="48" s="1"/>
  <c r="A1150" i="48" s="1"/>
  <c r="A1139" i="48"/>
  <c r="A1179" i="48"/>
  <c r="A1181" i="48" s="1"/>
  <c r="A1182" i="48" s="1"/>
  <c r="A1183" i="48" s="1"/>
  <c r="A1184" i="48" s="1"/>
  <c r="A1185" i="48" s="1"/>
  <c r="A1186" i="48" s="1"/>
  <c r="A1187" i="48" s="1"/>
  <c r="A1188" i="48" s="1"/>
  <c r="A1189" i="48" s="1"/>
  <c r="A1190" i="48" s="1"/>
  <c r="A1191" i="48" s="1"/>
  <c r="A1180" i="48"/>
  <c r="CA37" i="1" l="1"/>
  <c r="BY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Z37" i="1" l="1"/>
  <c r="AH99" i="7" l="1"/>
  <c r="AH96" i="7"/>
  <c r="AH95" i="7"/>
  <c r="AH94" i="7"/>
  <c r="AH93" i="7"/>
  <c r="AH89" i="7"/>
  <c r="AH88" i="7"/>
  <c r="AH87" i="7"/>
  <c r="AH86" i="7"/>
  <c r="AH79" i="7"/>
  <c r="AH78" i="7"/>
  <c r="AH77" i="7"/>
  <c r="AH76" i="7"/>
  <c r="AH75" i="7"/>
  <c r="AH74" i="7"/>
  <c r="AH73" i="7"/>
  <c r="AH72" i="7"/>
  <c r="AH71" i="7"/>
  <c r="AH70" i="7"/>
  <c r="AH69" i="7"/>
  <c r="AH68" i="7"/>
  <c r="AH67" i="7"/>
  <c r="AH66" i="7"/>
  <c r="AH65" i="7"/>
  <c r="AH64" i="7"/>
  <c r="AH63" i="7"/>
  <c r="AH57" i="7"/>
  <c r="AH54" i="7"/>
  <c r="AH53" i="7"/>
  <c r="AH52" i="7"/>
  <c r="AH44" i="7"/>
  <c r="AH43" i="7" s="1"/>
  <c r="AH40" i="7"/>
  <c r="AH41" i="7" s="1"/>
  <c r="AH39" i="7"/>
  <c r="AH61" i="7" s="1"/>
  <c r="V21" i="7" l="1"/>
  <c r="V22" i="7"/>
  <c r="V23" i="7"/>
  <c r="V24" i="7"/>
  <c r="AT37" i="35" l="1"/>
  <c r="AR37" i="35"/>
  <c r="AS36" i="35"/>
  <c r="AM99" i="7"/>
  <c r="AM96" i="7"/>
  <c r="AM95" i="7"/>
  <c r="AM94" i="7"/>
  <c r="AM93" i="7"/>
  <c r="AM89" i="7"/>
  <c r="AM88" i="7"/>
  <c r="AM87" i="7"/>
  <c r="AM86" i="7"/>
  <c r="AM79" i="7"/>
  <c r="AM78" i="7"/>
  <c r="AM77" i="7"/>
  <c r="AM76" i="7"/>
  <c r="AM75" i="7"/>
  <c r="AM74" i="7"/>
  <c r="AM73" i="7"/>
  <c r="AM72" i="7"/>
  <c r="AM71" i="7"/>
  <c r="AM70" i="7"/>
  <c r="AM69" i="7"/>
  <c r="AM68" i="7"/>
  <c r="AM67" i="7"/>
  <c r="AM66" i="7"/>
  <c r="AM65" i="7"/>
  <c r="AM64" i="7"/>
  <c r="AM63" i="7"/>
  <c r="AM57" i="7"/>
  <c r="AM54" i="7"/>
  <c r="AM53" i="7"/>
  <c r="AM52" i="7"/>
  <c r="AM44" i="7"/>
  <c r="AM43" i="7" s="1"/>
  <c r="AM40" i="7"/>
  <c r="AM41" i="7" s="1"/>
  <c r="AM39" i="7"/>
  <c r="AM61" i="7" s="1"/>
  <c r="AZ37" i="1"/>
  <c r="AX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37" i="1" l="1"/>
  <c r="AS37" i="35"/>
  <c r="K99" i="7"/>
  <c r="K96" i="7"/>
  <c r="K95" i="7"/>
  <c r="K94" i="7"/>
  <c r="K93" i="7"/>
  <c r="K89" i="7"/>
  <c r="K88" i="7"/>
  <c r="K87" i="7"/>
  <c r="K86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57" i="7"/>
  <c r="K54" i="7"/>
  <c r="K53" i="7"/>
  <c r="K52" i="7"/>
  <c r="K44" i="7"/>
  <c r="K43" i="7" s="1"/>
  <c r="K40" i="7"/>
  <c r="K41" i="7" s="1"/>
  <c r="K39" i="7"/>
  <c r="K61" i="7" s="1"/>
  <c r="T99" i="7" l="1"/>
  <c r="T96" i="7"/>
  <c r="T95" i="7"/>
  <c r="T94" i="7"/>
  <c r="T93" i="7"/>
  <c r="T89" i="7"/>
  <c r="T88" i="7"/>
  <c r="T87" i="7"/>
  <c r="T86" i="7"/>
  <c r="T79" i="7"/>
  <c r="T78" i="7"/>
  <c r="T77" i="7"/>
  <c r="T76" i="7"/>
  <c r="T75" i="7"/>
  <c r="T74" i="7"/>
  <c r="T73" i="7"/>
  <c r="T72" i="7"/>
  <c r="T71" i="7"/>
  <c r="T70" i="7"/>
  <c r="T69" i="7"/>
  <c r="T68" i="7"/>
  <c r="T67" i="7"/>
  <c r="T66" i="7"/>
  <c r="T65" i="7"/>
  <c r="T64" i="7"/>
  <c r="T63" i="7"/>
  <c r="T57" i="7"/>
  <c r="T54" i="7"/>
  <c r="T53" i="7"/>
  <c r="T52" i="7"/>
  <c r="T44" i="7"/>
  <c r="T43" i="7" s="1"/>
  <c r="T40" i="7"/>
  <c r="T41" i="7" s="1"/>
  <c r="T39" i="7"/>
  <c r="T61" i="7" s="1"/>
  <c r="BT9" i="1" l="1"/>
  <c r="BQ9" i="1"/>
  <c r="BN9" i="1"/>
  <c r="BK9" i="1"/>
  <c r="BT8" i="1"/>
  <c r="BQ8" i="1"/>
  <c r="BN8" i="1"/>
  <c r="BK8" i="1"/>
  <c r="BT7" i="1"/>
  <c r="BQ7" i="1"/>
  <c r="BN7" i="1"/>
  <c r="BK7" i="1"/>
  <c r="BT6" i="1"/>
  <c r="BQ6" i="1"/>
  <c r="BN6" i="1"/>
  <c r="BK6" i="1"/>
  <c r="BH35" i="1" l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W2" i="46"/>
  <c r="EF37" i="1" l="1"/>
  <c r="ED37" i="1"/>
  <c r="EE36" i="1"/>
  <c r="EE35" i="1"/>
  <c r="EE34" i="1"/>
  <c r="EE33" i="1"/>
  <c r="EE32" i="1"/>
  <c r="EE31" i="1"/>
  <c r="EE30" i="1"/>
  <c r="EE29" i="1"/>
  <c r="EE28" i="1"/>
  <c r="EE27" i="1"/>
  <c r="EE26" i="1"/>
  <c r="EE25" i="1"/>
  <c r="EE24" i="1"/>
  <c r="EE23" i="1"/>
  <c r="EE22" i="1"/>
  <c r="EE21" i="1"/>
  <c r="EE20" i="1"/>
  <c r="EE19" i="1"/>
  <c r="EE18" i="1"/>
  <c r="EE17" i="1"/>
  <c r="EE16" i="1"/>
  <c r="EE15" i="1"/>
  <c r="EE14" i="1"/>
  <c r="EE13" i="1"/>
  <c r="EE12" i="1"/>
  <c r="EE11" i="1"/>
  <c r="EE10" i="1"/>
  <c r="EE9" i="1"/>
  <c r="EE8" i="1"/>
  <c r="EE7" i="1"/>
  <c r="EE6" i="1"/>
  <c r="I99" i="7"/>
  <c r="I96" i="7"/>
  <c r="I95" i="7"/>
  <c r="I94" i="7"/>
  <c r="I93" i="7"/>
  <c r="I89" i="7"/>
  <c r="I88" i="7"/>
  <c r="I87" i="7"/>
  <c r="I86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57" i="7"/>
  <c r="I54" i="7"/>
  <c r="I53" i="7"/>
  <c r="I52" i="7"/>
  <c r="I44" i="7"/>
  <c r="I43" i="7" s="1"/>
  <c r="I40" i="7"/>
  <c r="I41" i="7" s="1"/>
  <c r="I39" i="7"/>
  <c r="I61" i="7" s="1"/>
  <c r="BR37" i="35"/>
  <c r="BP37" i="35"/>
  <c r="BO37" i="35"/>
  <c r="BM37" i="35"/>
  <c r="BQ36" i="35"/>
  <c r="BN36" i="35"/>
  <c r="BQ35" i="35"/>
  <c r="BN35" i="35"/>
  <c r="BQ34" i="35"/>
  <c r="BN34" i="35"/>
  <c r="BQ33" i="35"/>
  <c r="BN33" i="35"/>
  <c r="BQ32" i="35"/>
  <c r="BN32" i="35"/>
  <c r="BQ31" i="35"/>
  <c r="BN31" i="35"/>
  <c r="BQ30" i="35"/>
  <c r="BN30" i="35"/>
  <c r="BQ29" i="35"/>
  <c r="BN29" i="35"/>
  <c r="BQ28" i="35"/>
  <c r="BN28" i="35"/>
  <c r="BQ27" i="35"/>
  <c r="BN27" i="35"/>
  <c r="BQ26" i="35"/>
  <c r="BN26" i="35"/>
  <c r="BQ25" i="35"/>
  <c r="BN25" i="35"/>
  <c r="BQ24" i="35"/>
  <c r="BN24" i="35"/>
  <c r="BQ23" i="35"/>
  <c r="BN23" i="35"/>
  <c r="BQ22" i="35"/>
  <c r="BN22" i="35"/>
  <c r="BQ21" i="35"/>
  <c r="BN21" i="35"/>
  <c r="BQ20" i="35"/>
  <c r="BN20" i="35"/>
  <c r="BQ19" i="35"/>
  <c r="BN19" i="35"/>
  <c r="BQ18" i="35"/>
  <c r="BN18" i="35"/>
  <c r="BQ17" i="35"/>
  <c r="BN17" i="35"/>
  <c r="BQ16" i="35"/>
  <c r="BN16" i="35"/>
  <c r="BQ15" i="35"/>
  <c r="BN15" i="35"/>
  <c r="BQ14" i="35"/>
  <c r="BN14" i="35"/>
  <c r="BQ13" i="35"/>
  <c r="BN13" i="35"/>
  <c r="BQ12" i="35"/>
  <c r="BN12" i="35"/>
  <c r="BQ11" i="35"/>
  <c r="BN11" i="35"/>
  <c r="BQ10" i="35"/>
  <c r="BN10" i="35"/>
  <c r="BQ9" i="35"/>
  <c r="BN9" i="35"/>
  <c r="BQ8" i="35"/>
  <c r="BN8" i="35"/>
  <c r="BQ7" i="35"/>
  <c r="BN7" i="35"/>
  <c r="BQ6" i="35"/>
  <c r="BN6" i="35"/>
  <c r="BQ37" i="35" l="1"/>
  <c r="BN37" i="35"/>
  <c r="EE37" i="1"/>
  <c r="BL37" i="35" l="1"/>
  <c r="BJ37" i="35"/>
  <c r="BI37" i="35"/>
  <c r="BG37" i="35"/>
  <c r="BK36" i="35"/>
  <c r="BH36" i="35"/>
  <c r="BK35" i="35"/>
  <c r="BH35" i="35"/>
  <c r="BK34" i="35"/>
  <c r="BH34" i="35"/>
  <c r="BK33" i="35"/>
  <c r="BH33" i="35"/>
  <c r="BK32" i="35"/>
  <c r="BH32" i="35"/>
  <c r="BK31" i="35"/>
  <c r="BH31" i="35"/>
  <c r="BK30" i="35"/>
  <c r="BH30" i="35"/>
  <c r="BK29" i="35"/>
  <c r="BH29" i="35"/>
  <c r="BK28" i="35"/>
  <c r="BH28" i="35"/>
  <c r="BK27" i="35"/>
  <c r="BH27" i="35"/>
  <c r="BK26" i="35"/>
  <c r="BH26" i="35"/>
  <c r="BK25" i="35"/>
  <c r="BH25" i="35"/>
  <c r="BK24" i="35"/>
  <c r="BH24" i="35"/>
  <c r="BK23" i="35"/>
  <c r="BH23" i="35"/>
  <c r="BK22" i="35"/>
  <c r="BH22" i="35"/>
  <c r="BK21" i="35"/>
  <c r="BH21" i="35"/>
  <c r="BK20" i="35"/>
  <c r="BH20" i="35"/>
  <c r="BK19" i="35"/>
  <c r="BH19" i="35"/>
  <c r="BK18" i="35"/>
  <c r="BH18" i="35"/>
  <c r="BK17" i="35"/>
  <c r="BH17" i="35"/>
  <c r="BK16" i="35"/>
  <c r="BH16" i="35"/>
  <c r="BK15" i="35"/>
  <c r="BH15" i="35"/>
  <c r="BK14" i="35"/>
  <c r="BH14" i="35"/>
  <c r="BK13" i="35"/>
  <c r="BH13" i="35"/>
  <c r="BK12" i="35"/>
  <c r="BH12" i="35"/>
  <c r="BK11" i="35"/>
  <c r="BH11" i="35"/>
  <c r="BK10" i="35"/>
  <c r="BH10" i="35"/>
  <c r="BK9" i="35"/>
  <c r="BH9" i="35"/>
  <c r="BK8" i="35"/>
  <c r="BH8" i="35"/>
  <c r="BK7" i="35"/>
  <c r="BH7" i="35"/>
  <c r="BK6" i="35"/>
  <c r="BH6" i="35"/>
  <c r="BK37" i="35" l="1"/>
  <c r="BH37" i="35"/>
  <c r="V25" i="7" l="1"/>
  <c r="V26" i="7"/>
  <c r="AN23" i="7"/>
  <c r="AN24" i="7"/>
  <c r="AN25" i="7"/>
  <c r="AN26" i="7"/>
  <c r="J99" i="7" l="1"/>
  <c r="J96" i="7"/>
  <c r="J95" i="7"/>
  <c r="J94" i="7"/>
  <c r="J93" i="7"/>
  <c r="J89" i="7"/>
  <c r="J88" i="7"/>
  <c r="J87" i="7"/>
  <c r="J86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57" i="7"/>
  <c r="J54" i="7"/>
  <c r="J53" i="7"/>
  <c r="J52" i="7"/>
  <c r="J44" i="7"/>
  <c r="J43" i="7" s="1"/>
  <c r="J40" i="7"/>
  <c r="J41" i="7" s="1"/>
  <c r="J39" i="7"/>
  <c r="J61" i="7" s="1"/>
  <c r="R99" i="7"/>
  <c r="R96" i="7"/>
  <c r="R95" i="7"/>
  <c r="R94" i="7"/>
  <c r="R93" i="7"/>
  <c r="R89" i="7"/>
  <c r="R88" i="7"/>
  <c r="R87" i="7"/>
  <c r="R86" i="7"/>
  <c r="R79" i="7"/>
  <c r="R78" i="7"/>
  <c r="R77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57" i="7"/>
  <c r="R54" i="7"/>
  <c r="R53" i="7"/>
  <c r="R52" i="7"/>
  <c r="R44" i="7"/>
  <c r="R43" i="7" s="1"/>
  <c r="R40" i="7"/>
  <c r="R41" i="7" s="1"/>
  <c r="R39" i="7"/>
  <c r="R61" i="7" s="1"/>
  <c r="CC11" i="1"/>
  <c r="AM35" i="17"/>
  <c r="C99" i="7"/>
  <c r="C96" i="7"/>
  <c r="C95" i="7"/>
  <c r="C94" i="7"/>
  <c r="C93" i="7"/>
  <c r="C89" i="7"/>
  <c r="C88" i="7"/>
  <c r="C87" i="7"/>
  <c r="C86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57" i="7"/>
  <c r="C54" i="7"/>
  <c r="C53" i="7"/>
  <c r="C52" i="7"/>
  <c r="C44" i="7"/>
  <c r="C43" i="7" s="1"/>
  <c r="C40" i="7"/>
  <c r="C41" i="7" s="1"/>
  <c r="C39" i="7"/>
  <c r="C61" i="7" s="1"/>
  <c r="BI37" i="1"/>
  <c r="BG37" i="1"/>
  <c r="BH36" i="1"/>
  <c r="AN35" i="17"/>
  <c r="AO3348" i="49"/>
  <c r="AP3348" i="49"/>
  <c r="AQ3348" i="49"/>
  <c r="AR3348" i="49"/>
  <c r="AS3348" i="49"/>
  <c r="AT3348" i="49"/>
  <c r="AV3348" i="49"/>
  <c r="AW3348" i="49"/>
  <c r="AO3349" i="49"/>
  <c r="AP3349" i="49"/>
  <c r="AQ3349" i="49"/>
  <c r="AR3349" i="49"/>
  <c r="AS3349" i="49"/>
  <c r="AT3349" i="49"/>
  <c r="AV3349" i="49"/>
  <c r="AW3349" i="49"/>
  <c r="AO3350" i="49"/>
  <c r="AP3350" i="49"/>
  <c r="AQ3350" i="49"/>
  <c r="AR3350" i="49"/>
  <c r="AS3350" i="49"/>
  <c r="AT3350" i="49"/>
  <c r="AV3350" i="49"/>
  <c r="AW3350" i="49" s="1"/>
  <c r="AO3351" i="49"/>
  <c r="AP3351" i="49"/>
  <c r="AQ3351" i="49"/>
  <c r="AR3351" i="49"/>
  <c r="AS3351" i="49"/>
  <c r="AT3351" i="49"/>
  <c r="AV3351" i="49"/>
  <c r="AW3351" i="49"/>
  <c r="AO3352" i="49"/>
  <c r="AP3352" i="49"/>
  <c r="AQ3352" i="49"/>
  <c r="AR3352" i="49"/>
  <c r="AS3352" i="49"/>
  <c r="AT3352" i="49"/>
  <c r="AV3352" i="49"/>
  <c r="AW3352" i="49"/>
  <c r="EC37" i="1"/>
  <c r="EA37" i="1"/>
  <c r="DZ37" i="1"/>
  <c r="DX37" i="1"/>
  <c r="DW37" i="1"/>
  <c r="DU37" i="1"/>
  <c r="EB36" i="1"/>
  <c r="DY36" i="1"/>
  <c r="DV36" i="1"/>
  <c r="EB35" i="1"/>
  <c r="DY35" i="1"/>
  <c r="DV35" i="1"/>
  <c r="EB34" i="1"/>
  <c r="DY34" i="1"/>
  <c r="DV34" i="1"/>
  <c r="EB33" i="1"/>
  <c r="DY33" i="1"/>
  <c r="DV33" i="1"/>
  <c r="EB32" i="1"/>
  <c r="DY32" i="1"/>
  <c r="DV32" i="1"/>
  <c r="EB31" i="1"/>
  <c r="DY31" i="1"/>
  <c r="DV31" i="1"/>
  <c r="EB30" i="1"/>
  <c r="DY30" i="1"/>
  <c r="DV30" i="1"/>
  <c r="EB29" i="1"/>
  <c r="DY29" i="1"/>
  <c r="DV29" i="1"/>
  <c r="EB28" i="1"/>
  <c r="DY28" i="1"/>
  <c r="DV28" i="1"/>
  <c r="EB27" i="1"/>
  <c r="DY27" i="1"/>
  <c r="DV27" i="1"/>
  <c r="EB26" i="1"/>
  <c r="DY26" i="1"/>
  <c r="DV26" i="1"/>
  <c r="EB25" i="1"/>
  <c r="DY25" i="1"/>
  <c r="DV25" i="1"/>
  <c r="EB24" i="1"/>
  <c r="DY24" i="1"/>
  <c r="DV24" i="1"/>
  <c r="EB23" i="1"/>
  <c r="DY23" i="1"/>
  <c r="DV23" i="1"/>
  <c r="EB22" i="1"/>
  <c r="DY22" i="1"/>
  <c r="DV22" i="1"/>
  <c r="EB21" i="1"/>
  <c r="DY21" i="1"/>
  <c r="DV21" i="1"/>
  <c r="EB20" i="1"/>
  <c r="DY20" i="1"/>
  <c r="DV20" i="1"/>
  <c r="EB19" i="1"/>
  <c r="DY19" i="1"/>
  <c r="DV19" i="1"/>
  <c r="EB18" i="1"/>
  <c r="DY18" i="1"/>
  <c r="DV18" i="1"/>
  <c r="EB17" i="1"/>
  <c r="DY17" i="1"/>
  <c r="DV17" i="1"/>
  <c r="EB16" i="1"/>
  <c r="DY16" i="1"/>
  <c r="DV16" i="1"/>
  <c r="EB15" i="1"/>
  <c r="DY15" i="1"/>
  <c r="DV15" i="1"/>
  <c r="EB14" i="1"/>
  <c r="DY14" i="1"/>
  <c r="DV14" i="1"/>
  <c r="EB13" i="1"/>
  <c r="DY13" i="1"/>
  <c r="DV13" i="1"/>
  <c r="EB12" i="1"/>
  <c r="DY12" i="1"/>
  <c r="DV12" i="1"/>
  <c r="EB11" i="1"/>
  <c r="DY11" i="1"/>
  <c r="DV11" i="1"/>
  <c r="EB10" i="1"/>
  <c r="DY10" i="1"/>
  <c r="DV10" i="1"/>
  <c r="EB9" i="1"/>
  <c r="DY9" i="1"/>
  <c r="DV9" i="1"/>
  <c r="EB8" i="1"/>
  <c r="DY8" i="1"/>
  <c r="DV8" i="1"/>
  <c r="EB7" i="1"/>
  <c r="DY7" i="1"/>
  <c r="DV7" i="1"/>
  <c r="EB6" i="1"/>
  <c r="DY6" i="1"/>
  <c r="DV6" i="1"/>
  <c r="DQ37" i="1"/>
  <c r="DO37" i="1"/>
  <c r="DN37" i="1"/>
  <c r="DL37" i="1"/>
  <c r="DP36" i="1"/>
  <c r="DM36" i="1"/>
  <c r="DP35" i="1"/>
  <c r="DM35" i="1"/>
  <c r="DP34" i="1"/>
  <c r="DM34" i="1"/>
  <c r="DP33" i="1"/>
  <c r="DM33" i="1"/>
  <c r="DP32" i="1"/>
  <c r="DM32" i="1"/>
  <c r="DP31" i="1"/>
  <c r="DM31" i="1"/>
  <c r="DP30" i="1"/>
  <c r="DM30" i="1"/>
  <c r="DP29" i="1"/>
  <c r="DM29" i="1"/>
  <c r="DP28" i="1"/>
  <c r="DM28" i="1"/>
  <c r="DP27" i="1"/>
  <c r="DM27" i="1"/>
  <c r="DP26" i="1"/>
  <c r="DM26" i="1"/>
  <c r="DP25" i="1"/>
  <c r="DM25" i="1"/>
  <c r="DP24" i="1"/>
  <c r="DM24" i="1"/>
  <c r="DP23" i="1"/>
  <c r="DM23" i="1"/>
  <c r="DP22" i="1"/>
  <c r="DM22" i="1"/>
  <c r="DP21" i="1"/>
  <c r="DM21" i="1"/>
  <c r="DP20" i="1"/>
  <c r="DM20" i="1"/>
  <c r="DP19" i="1"/>
  <c r="DM19" i="1"/>
  <c r="DP18" i="1"/>
  <c r="DM18" i="1"/>
  <c r="DP17" i="1"/>
  <c r="DM17" i="1"/>
  <c r="DP16" i="1"/>
  <c r="DM16" i="1"/>
  <c r="DP15" i="1"/>
  <c r="DM15" i="1"/>
  <c r="DP14" i="1"/>
  <c r="DM14" i="1"/>
  <c r="DP13" i="1"/>
  <c r="DM13" i="1"/>
  <c r="DP12" i="1"/>
  <c r="DM12" i="1"/>
  <c r="DP11" i="1"/>
  <c r="DM11" i="1"/>
  <c r="DP10" i="1"/>
  <c r="DM10" i="1"/>
  <c r="DP9" i="1"/>
  <c r="DM9" i="1"/>
  <c r="DP8" i="1"/>
  <c r="DM8" i="1"/>
  <c r="DP7" i="1"/>
  <c r="DM7" i="1"/>
  <c r="DP6" i="1"/>
  <c r="DM6" i="1"/>
  <c r="BX37" i="1"/>
  <c r="BV37" i="1"/>
  <c r="BU37" i="1"/>
  <c r="BS37" i="1"/>
  <c r="BR37" i="1"/>
  <c r="BP37" i="1"/>
  <c r="BO37" i="1"/>
  <c r="BM37" i="1"/>
  <c r="BL37" i="1"/>
  <c r="BJ37" i="1"/>
  <c r="BW36" i="1"/>
  <c r="BT36" i="1"/>
  <c r="BQ36" i="1"/>
  <c r="BN36" i="1"/>
  <c r="BK36" i="1"/>
  <c r="BW35" i="1"/>
  <c r="BT35" i="1"/>
  <c r="BQ35" i="1"/>
  <c r="BN35" i="1"/>
  <c r="BK35" i="1"/>
  <c r="BW34" i="1"/>
  <c r="BT34" i="1"/>
  <c r="BQ34" i="1"/>
  <c r="BN34" i="1"/>
  <c r="BK34" i="1"/>
  <c r="BW33" i="1"/>
  <c r="BT33" i="1"/>
  <c r="BQ33" i="1"/>
  <c r="BN33" i="1"/>
  <c r="BK33" i="1"/>
  <c r="BW32" i="1"/>
  <c r="BT32" i="1"/>
  <c r="BQ32" i="1"/>
  <c r="BN32" i="1"/>
  <c r="BK32" i="1"/>
  <c r="BW31" i="1"/>
  <c r="BT31" i="1"/>
  <c r="BQ31" i="1"/>
  <c r="BN31" i="1"/>
  <c r="BK31" i="1"/>
  <c r="BW30" i="1"/>
  <c r="BT30" i="1"/>
  <c r="BQ30" i="1"/>
  <c r="BN30" i="1"/>
  <c r="BK30" i="1"/>
  <c r="BW29" i="1"/>
  <c r="BT29" i="1"/>
  <c r="BQ29" i="1"/>
  <c r="BN29" i="1"/>
  <c r="BK29" i="1"/>
  <c r="BW28" i="1"/>
  <c r="BT28" i="1"/>
  <c r="BQ28" i="1"/>
  <c r="BN28" i="1"/>
  <c r="BK28" i="1"/>
  <c r="BW27" i="1"/>
  <c r="BT27" i="1"/>
  <c r="BQ27" i="1"/>
  <c r="BN27" i="1"/>
  <c r="BK27" i="1"/>
  <c r="BW26" i="1"/>
  <c r="BT26" i="1"/>
  <c r="BQ26" i="1"/>
  <c r="BN26" i="1"/>
  <c r="BK26" i="1"/>
  <c r="BW25" i="1"/>
  <c r="BT25" i="1"/>
  <c r="BQ25" i="1"/>
  <c r="BN25" i="1"/>
  <c r="BK25" i="1"/>
  <c r="BW24" i="1"/>
  <c r="BT24" i="1"/>
  <c r="BQ24" i="1"/>
  <c r="BN24" i="1"/>
  <c r="BK24" i="1"/>
  <c r="BW23" i="1"/>
  <c r="BT23" i="1"/>
  <c r="BQ23" i="1"/>
  <c r="BN23" i="1"/>
  <c r="BK23" i="1"/>
  <c r="BW22" i="1"/>
  <c r="BT22" i="1"/>
  <c r="BQ22" i="1"/>
  <c r="BN22" i="1"/>
  <c r="BK22" i="1"/>
  <c r="BW21" i="1"/>
  <c r="BT21" i="1"/>
  <c r="BQ21" i="1"/>
  <c r="BN21" i="1"/>
  <c r="BK21" i="1"/>
  <c r="BW20" i="1"/>
  <c r="BT20" i="1"/>
  <c r="BQ20" i="1"/>
  <c r="BN20" i="1"/>
  <c r="BK20" i="1"/>
  <c r="BW19" i="1"/>
  <c r="BT19" i="1"/>
  <c r="BQ19" i="1"/>
  <c r="BN19" i="1"/>
  <c r="BK19" i="1"/>
  <c r="BW18" i="1"/>
  <c r="BT18" i="1"/>
  <c r="BQ18" i="1"/>
  <c r="BN18" i="1"/>
  <c r="BK18" i="1"/>
  <c r="BW17" i="1"/>
  <c r="BT17" i="1"/>
  <c r="BQ17" i="1"/>
  <c r="BN17" i="1"/>
  <c r="BK17" i="1"/>
  <c r="BW16" i="1"/>
  <c r="BT16" i="1"/>
  <c r="BQ16" i="1"/>
  <c r="BN16" i="1"/>
  <c r="BK16" i="1"/>
  <c r="BW15" i="1"/>
  <c r="BT15" i="1"/>
  <c r="BQ15" i="1"/>
  <c r="BN15" i="1"/>
  <c r="BK15" i="1"/>
  <c r="BW14" i="1"/>
  <c r="BT14" i="1"/>
  <c r="BQ14" i="1"/>
  <c r="BN14" i="1"/>
  <c r="BK14" i="1"/>
  <c r="BW13" i="1"/>
  <c r="BT13" i="1"/>
  <c r="BQ13" i="1"/>
  <c r="BN13" i="1"/>
  <c r="BK13" i="1"/>
  <c r="BW12" i="1"/>
  <c r="BT12" i="1"/>
  <c r="BQ12" i="1"/>
  <c r="BN12" i="1"/>
  <c r="BK12" i="1"/>
  <c r="BW11" i="1"/>
  <c r="BT11" i="1"/>
  <c r="BQ11" i="1"/>
  <c r="BN11" i="1"/>
  <c r="BK11" i="1"/>
  <c r="BW10" i="1"/>
  <c r="BT10" i="1"/>
  <c r="BQ10" i="1"/>
  <c r="BN10" i="1"/>
  <c r="BK10" i="1"/>
  <c r="BW9" i="1"/>
  <c r="BW8" i="1"/>
  <c r="BW7" i="1"/>
  <c r="BW6" i="1"/>
  <c r="CF6" i="1"/>
  <c r="CI6" i="1"/>
  <c r="CL6" i="1"/>
  <c r="CO6" i="1"/>
  <c r="CR6" i="1"/>
  <c r="CU6" i="1"/>
  <c r="CX6" i="1"/>
  <c r="DA6" i="1"/>
  <c r="DD6" i="1"/>
  <c r="CF7" i="1"/>
  <c r="CI7" i="1"/>
  <c r="CL7" i="1"/>
  <c r="CO7" i="1"/>
  <c r="CR7" i="1"/>
  <c r="CU7" i="1"/>
  <c r="CX7" i="1"/>
  <c r="DA7" i="1"/>
  <c r="DD7" i="1"/>
  <c r="CF8" i="1"/>
  <c r="CI8" i="1"/>
  <c r="CL8" i="1"/>
  <c r="CO8" i="1"/>
  <c r="CR8" i="1"/>
  <c r="CU8" i="1"/>
  <c r="CX8" i="1"/>
  <c r="DA8" i="1"/>
  <c r="DD8" i="1"/>
  <c r="CF9" i="1"/>
  <c r="CI9" i="1"/>
  <c r="CL9" i="1"/>
  <c r="CO9" i="1"/>
  <c r="CR9" i="1"/>
  <c r="CU9" i="1"/>
  <c r="CX9" i="1"/>
  <c r="DA9" i="1"/>
  <c r="DD9" i="1"/>
  <c r="CF10" i="1"/>
  <c r="CI10" i="1"/>
  <c r="CL10" i="1"/>
  <c r="CO10" i="1"/>
  <c r="CR10" i="1"/>
  <c r="CU10" i="1"/>
  <c r="CX10" i="1"/>
  <c r="DA10" i="1"/>
  <c r="DD10" i="1"/>
  <c r="CF11" i="1"/>
  <c r="CI11" i="1"/>
  <c r="CL11" i="1"/>
  <c r="CO11" i="1"/>
  <c r="CR11" i="1"/>
  <c r="CU11" i="1"/>
  <c r="CX11" i="1"/>
  <c r="DA11" i="1"/>
  <c r="DD11" i="1"/>
  <c r="CF12" i="1"/>
  <c r="CI12" i="1"/>
  <c r="CL12" i="1"/>
  <c r="CO12" i="1"/>
  <c r="CR12" i="1"/>
  <c r="CU12" i="1"/>
  <c r="CX12" i="1"/>
  <c r="DA12" i="1"/>
  <c r="DD12" i="1"/>
  <c r="CF13" i="1"/>
  <c r="CI13" i="1"/>
  <c r="CL13" i="1"/>
  <c r="CO13" i="1"/>
  <c r="CR13" i="1"/>
  <c r="CU13" i="1"/>
  <c r="CX13" i="1"/>
  <c r="DA13" i="1"/>
  <c r="DD13" i="1"/>
  <c r="CF14" i="1"/>
  <c r="CI14" i="1"/>
  <c r="CL14" i="1"/>
  <c r="CO14" i="1"/>
  <c r="CR14" i="1"/>
  <c r="CU14" i="1"/>
  <c r="CX14" i="1"/>
  <c r="DA14" i="1"/>
  <c r="DD14" i="1"/>
  <c r="CF15" i="1"/>
  <c r="CI15" i="1"/>
  <c r="CL15" i="1"/>
  <c r="CO15" i="1"/>
  <c r="CR15" i="1"/>
  <c r="CU15" i="1"/>
  <c r="CX15" i="1"/>
  <c r="DA15" i="1"/>
  <c r="DD15" i="1"/>
  <c r="CF16" i="1"/>
  <c r="CI16" i="1"/>
  <c r="CL16" i="1"/>
  <c r="CO16" i="1"/>
  <c r="CR16" i="1"/>
  <c r="CU16" i="1"/>
  <c r="CX16" i="1"/>
  <c r="DA16" i="1"/>
  <c r="DD16" i="1"/>
  <c r="CF17" i="1"/>
  <c r="CI17" i="1"/>
  <c r="CL17" i="1"/>
  <c r="CO17" i="1"/>
  <c r="CR17" i="1"/>
  <c r="CU17" i="1"/>
  <c r="CX17" i="1"/>
  <c r="DA17" i="1"/>
  <c r="DD17" i="1"/>
  <c r="CF18" i="1"/>
  <c r="CI18" i="1"/>
  <c r="CL18" i="1"/>
  <c r="CO18" i="1"/>
  <c r="CR18" i="1"/>
  <c r="CU18" i="1"/>
  <c r="CX18" i="1"/>
  <c r="DA18" i="1"/>
  <c r="DD18" i="1"/>
  <c r="CF19" i="1"/>
  <c r="CI19" i="1"/>
  <c r="CL19" i="1"/>
  <c r="CO19" i="1"/>
  <c r="CR19" i="1"/>
  <c r="CU19" i="1"/>
  <c r="CX19" i="1"/>
  <c r="DA19" i="1"/>
  <c r="DD19" i="1"/>
  <c r="CF20" i="1"/>
  <c r="CI20" i="1"/>
  <c r="CL20" i="1"/>
  <c r="CO20" i="1"/>
  <c r="CR20" i="1"/>
  <c r="CU20" i="1"/>
  <c r="CX20" i="1"/>
  <c r="DA20" i="1"/>
  <c r="DD20" i="1"/>
  <c r="CF21" i="1"/>
  <c r="CI21" i="1"/>
  <c r="CL21" i="1"/>
  <c r="CO21" i="1"/>
  <c r="CR21" i="1"/>
  <c r="CU21" i="1"/>
  <c r="CX21" i="1"/>
  <c r="DA21" i="1"/>
  <c r="DD21" i="1"/>
  <c r="CF22" i="1"/>
  <c r="CI22" i="1"/>
  <c r="CL22" i="1"/>
  <c r="CO22" i="1"/>
  <c r="CR22" i="1"/>
  <c r="CU22" i="1"/>
  <c r="CX22" i="1"/>
  <c r="DA22" i="1"/>
  <c r="DD22" i="1"/>
  <c r="CF23" i="1"/>
  <c r="CI23" i="1"/>
  <c r="CL23" i="1"/>
  <c r="CO23" i="1"/>
  <c r="CR23" i="1"/>
  <c r="CU23" i="1"/>
  <c r="CX23" i="1"/>
  <c r="DA23" i="1"/>
  <c r="DD23" i="1"/>
  <c r="CF24" i="1"/>
  <c r="CI24" i="1"/>
  <c r="CL24" i="1"/>
  <c r="CO24" i="1"/>
  <c r="CR24" i="1"/>
  <c r="CU24" i="1"/>
  <c r="CX24" i="1"/>
  <c r="DA24" i="1"/>
  <c r="DD24" i="1"/>
  <c r="CF25" i="1"/>
  <c r="CI25" i="1"/>
  <c r="CL25" i="1"/>
  <c r="CO25" i="1"/>
  <c r="CR25" i="1"/>
  <c r="CU25" i="1"/>
  <c r="CX25" i="1"/>
  <c r="DA25" i="1"/>
  <c r="DD25" i="1"/>
  <c r="CF26" i="1"/>
  <c r="CI26" i="1"/>
  <c r="CL26" i="1"/>
  <c r="CO26" i="1"/>
  <c r="CR26" i="1"/>
  <c r="CU26" i="1"/>
  <c r="CX26" i="1"/>
  <c r="DA26" i="1"/>
  <c r="DD26" i="1"/>
  <c r="CF27" i="1"/>
  <c r="CI27" i="1"/>
  <c r="CL27" i="1"/>
  <c r="CO27" i="1"/>
  <c r="CR27" i="1"/>
  <c r="CU27" i="1"/>
  <c r="CX27" i="1"/>
  <c r="DA27" i="1"/>
  <c r="DD27" i="1"/>
  <c r="CF28" i="1"/>
  <c r="CI28" i="1"/>
  <c r="CL28" i="1"/>
  <c r="CO28" i="1"/>
  <c r="CR28" i="1"/>
  <c r="CU28" i="1"/>
  <c r="CX28" i="1"/>
  <c r="DA28" i="1"/>
  <c r="DD28" i="1"/>
  <c r="CF29" i="1"/>
  <c r="CI29" i="1"/>
  <c r="CL29" i="1"/>
  <c r="CO29" i="1"/>
  <c r="CR29" i="1"/>
  <c r="CU29" i="1"/>
  <c r="CX29" i="1"/>
  <c r="DA29" i="1"/>
  <c r="DD29" i="1"/>
  <c r="CF30" i="1"/>
  <c r="CI30" i="1"/>
  <c r="CL30" i="1"/>
  <c r="CO30" i="1"/>
  <c r="CR30" i="1"/>
  <c r="CU30" i="1"/>
  <c r="CX30" i="1"/>
  <c r="DA30" i="1"/>
  <c r="DD30" i="1"/>
  <c r="CF31" i="1"/>
  <c r="CI31" i="1"/>
  <c r="CL31" i="1"/>
  <c r="CO31" i="1"/>
  <c r="CR31" i="1"/>
  <c r="CU31" i="1"/>
  <c r="CX31" i="1"/>
  <c r="DA31" i="1"/>
  <c r="DD31" i="1"/>
  <c r="CF32" i="1"/>
  <c r="CI32" i="1"/>
  <c r="CL32" i="1"/>
  <c r="CO32" i="1"/>
  <c r="CR32" i="1"/>
  <c r="CU32" i="1"/>
  <c r="CX32" i="1"/>
  <c r="DA32" i="1"/>
  <c r="DD32" i="1"/>
  <c r="CF33" i="1"/>
  <c r="CI33" i="1"/>
  <c r="CL33" i="1"/>
  <c r="CO33" i="1"/>
  <c r="CR33" i="1"/>
  <c r="CU33" i="1"/>
  <c r="CX33" i="1"/>
  <c r="DA33" i="1"/>
  <c r="DD33" i="1"/>
  <c r="CF34" i="1"/>
  <c r="CI34" i="1"/>
  <c r="CL34" i="1"/>
  <c r="CO34" i="1"/>
  <c r="CR34" i="1"/>
  <c r="CU34" i="1"/>
  <c r="CX34" i="1"/>
  <c r="DA34" i="1"/>
  <c r="DD34" i="1"/>
  <c r="CF35" i="1"/>
  <c r="CI35" i="1"/>
  <c r="CL35" i="1"/>
  <c r="CO35" i="1"/>
  <c r="CR35" i="1"/>
  <c r="CU35" i="1"/>
  <c r="CX35" i="1"/>
  <c r="DA35" i="1"/>
  <c r="DD35" i="1"/>
  <c r="CF36" i="1"/>
  <c r="CI36" i="1"/>
  <c r="CL36" i="1"/>
  <c r="CO36" i="1"/>
  <c r="CR36" i="1"/>
  <c r="CU36" i="1"/>
  <c r="CX36" i="1"/>
  <c r="DA36" i="1"/>
  <c r="DD36" i="1"/>
  <c r="CE37" i="1"/>
  <c r="CG37" i="1"/>
  <c r="CH37" i="1"/>
  <c r="CJ37" i="1"/>
  <c r="CK37" i="1"/>
  <c r="CM37" i="1"/>
  <c r="CN37" i="1"/>
  <c r="CP37" i="1"/>
  <c r="CQ37" i="1"/>
  <c r="CS37" i="1"/>
  <c r="CT37" i="1"/>
  <c r="CV37" i="1"/>
  <c r="CW37" i="1"/>
  <c r="CY37" i="1"/>
  <c r="CZ37" i="1"/>
  <c r="DB37" i="1"/>
  <c r="DC37" i="1"/>
  <c r="DE37" i="1"/>
  <c r="DH37" i="1"/>
  <c r="DF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DG6" i="1"/>
  <c r="AW2" i="49"/>
  <c r="AW3343" i="49"/>
  <c r="AW1" i="49"/>
  <c r="AW3331" i="49"/>
  <c r="AW3330" i="49"/>
  <c r="AW3329" i="49"/>
  <c r="AW3328" i="49"/>
  <c r="AW3327" i="49"/>
  <c r="AW3326" i="49"/>
  <c r="AW3325" i="49"/>
  <c r="AW3324" i="49"/>
  <c r="AW3323" i="49"/>
  <c r="AW3322" i="49"/>
  <c r="AW3321" i="49"/>
  <c r="AW3320" i="49"/>
  <c r="AW3319" i="49"/>
  <c r="AW3318" i="49"/>
  <c r="AW3317" i="49"/>
  <c r="AW3316" i="49"/>
  <c r="AW3315" i="49"/>
  <c r="AW3314" i="49"/>
  <c r="AW3313" i="49"/>
  <c r="AW3312" i="49"/>
  <c r="AW3311" i="49"/>
  <c r="AW3310" i="49"/>
  <c r="AW3309" i="49"/>
  <c r="AW3308" i="49"/>
  <c r="AW3307" i="49"/>
  <c r="AW3306" i="49"/>
  <c r="AW3305" i="49"/>
  <c r="AW3304" i="49"/>
  <c r="AW3303" i="49"/>
  <c r="AW3302" i="49"/>
  <c r="AW3301" i="49"/>
  <c r="AW3300" i="49"/>
  <c r="AW3299" i="49"/>
  <c r="AW3298" i="49"/>
  <c r="AW3297" i="49"/>
  <c r="AW3296" i="49"/>
  <c r="AW3295" i="49"/>
  <c r="AW3294" i="49"/>
  <c r="AW3293" i="49"/>
  <c r="AW3292" i="49"/>
  <c r="AW3291" i="49"/>
  <c r="AW3290" i="49"/>
  <c r="AW3289" i="49"/>
  <c r="AW3288" i="49"/>
  <c r="AW3287" i="49"/>
  <c r="AW3286" i="49"/>
  <c r="AW3285" i="49"/>
  <c r="AW3284" i="49"/>
  <c r="AW3283" i="49"/>
  <c r="AW3282" i="49"/>
  <c r="AW3281" i="49"/>
  <c r="AW3280" i="49"/>
  <c r="AW3279" i="49"/>
  <c r="AW3278" i="49"/>
  <c r="AW3277" i="49"/>
  <c r="AW3276" i="49"/>
  <c r="AW3275" i="49"/>
  <c r="AW3274" i="49"/>
  <c r="AW3273" i="49"/>
  <c r="AW3272" i="49"/>
  <c r="AW3271" i="49"/>
  <c r="AW3270" i="49"/>
  <c r="AW3269" i="49"/>
  <c r="AW3268" i="49"/>
  <c r="AW3267" i="49"/>
  <c r="AW3266" i="49"/>
  <c r="AW3265" i="49"/>
  <c r="AW3264" i="49"/>
  <c r="AW3263" i="49"/>
  <c r="AW3262" i="49"/>
  <c r="AW3261" i="49"/>
  <c r="AW3260" i="49"/>
  <c r="AW3259" i="49"/>
  <c r="AW3258" i="49"/>
  <c r="AW3257" i="49"/>
  <c r="AW3256" i="49"/>
  <c r="AW3255" i="49"/>
  <c r="AW3254" i="49"/>
  <c r="AW3253" i="49"/>
  <c r="AW3252" i="49"/>
  <c r="AW3251" i="49"/>
  <c r="AW3250" i="49"/>
  <c r="AW3249" i="49"/>
  <c r="AW3248" i="49"/>
  <c r="AW3247" i="49"/>
  <c r="AW3246" i="49"/>
  <c r="AW3245" i="49"/>
  <c r="AW3244" i="49"/>
  <c r="AW3243" i="49"/>
  <c r="AW3242" i="49"/>
  <c r="AW3241" i="49"/>
  <c r="AW3240" i="49"/>
  <c r="AW3239" i="49"/>
  <c r="AW3238" i="49"/>
  <c r="AW3237" i="49"/>
  <c r="AW3236" i="49"/>
  <c r="AW3235" i="49"/>
  <c r="AW3234" i="49"/>
  <c r="AW3233" i="49"/>
  <c r="AW3232" i="49"/>
  <c r="AW3231" i="49"/>
  <c r="AW3230" i="49"/>
  <c r="AW3229" i="49"/>
  <c r="AW3228" i="49"/>
  <c r="AW3227" i="49"/>
  <c r="AW3226" i="49"/>
  <c r="AW3225" i="49"/>
  <c r="AW3224" i="49"/>
  <c r="AW3223" i="49"/>
  <c r="AW3222" i="49"/>
  <c r="AW3221" i="49"/>
  <c r="AW3220" i="49"/>
  <c r="AW3219" i="49"/>
  <c r="AW3218" i="49"/>
  <c r="AW3217" i="49"/>
  <c r="AW3216" i="49"/>
  <c r="AW3215" i="49"/>
  <c r="AW3214" i="49"/>
  <c r="AW3213" i="49"/>
  <c r="AW3212" i="49"/>
  <c r="AW3211" i="49"/>
  <c r="AW3210" i="49"/>
  <c r="AW3209" i="49"/>
  <c r="AW3208" i="49"/>
  <c r="AW3207" i="49"/>
  <c r="AW3206" i="49"/>
  <c r="AW3205" i="49"/>
  <c r="AW3204" i="49"/>
  <c r="AW3203" i="49"/>
  <c r="AW3202" i="49"/>
  <c r="AW3201" i="49"/>
  <c r="AW3200" i="49"/>
  <c r="AW3199" i="49"/>
  <c r="AW3198" i="49"/>
  <c r="AW3197" i="49"/>
  <c r="AW3196" i="49"/>
  <c r="AW3195" i="49"/>
  <c r="AW3194" i="49"/>
  <c r="AW3193" i="49"/>
  <c r="AW3192" i="49"/>
  <c r="AW3191" i="49"/>
  <c r="AW3190" i="49"/>
  <c r="AW3189" i="49"/>
  <c r="AW3188" i="49"/>
  <c r="AW3187" i="49"/>
  <c r="AW3186" i="49"/>
  <c r="AW3185" i="49"/>
  <c r="AW3184" i="49"/>
  <c r="AW3183" i="49"/>
  <c r="AW3182" i="49"/>
  <c r="AW3181" i="49"/>
  <c r="AW3180" i="49"/>
  <c r="AW3179" i="49"/>
  <c r="AW3178" i="49"/>
  <c r="AW3177" i="49"/>
  <c r="AW3176" i="49"/>
  <c r="AW3175" i="49"/>
  <c r="AW3174" i="49"/>
  <c r="AW3173" i="49"/>
  <c r="AW3172" i="49"/>
  <c r="AW3171" i="49"/>
  <c r="AW3170" i="49"/>
  <c r="AW3169" i="49"/>
  <c r="AW3168" i="49"/>
  <c r="AW3167" i="49"/>
  <c r="AW3166" i="49"/>
  <c r="AW3165" i="49"/>
  <c r="AW3164" i="49"/>
  <c r="AW3163" i="49"/>
  <c r="AW3162" i="49"/>
  <c r="AW3161" i="49"/>
  <c r="AW3160" i="49"/>
  <c r="AW3159" i="49"/>
  <c r="AW3158" i="49"/>
  <c r="AW3157" i="49"/>
  <c r="AW3156" i="49"/>
  <c r="AW3155" i="49"/>
  <c r="AW3154" i="49"/>
  <c r="AW3153" i="49"/>
  <c r="AW3152" i="49"/>
  <c r="AW3151" i="49"/>
  <c r="AW3150" i="49"/>
  <c r="AW3149" i="49"/>
  <c r="AW3148" i="49"/>
  <c r="AW3147" i="49"/>
  <c r="AW3146" i="49"/>
  <c r="AW3145" i="49"/>
  <c r="AW3144" i="49"/>
  <c r="AW3143" i="49"/>
  <c r="AW3142" i="49"/>
  <c r="AW3141" i="49"/>
  <c r="AW3140" i="49"/>
  <c r="AW3139" i="49"/>
  <c r="AW3138" i="49"/>
  <c r="AW3137" i="49"/>
  <c r="AW3136" i="49"/>
  <c r="AW3135" i="49"/>
  <c r="AW3134" i="49"/>
  <c r="AW3133" i="49"/>
  <c r="AW3132" i="49"/>
  <c r="AW3131" i="49"/>
  <c r="AW3130" i="49"/>
  <c r="AW3129" i="49"/>
  <c r="AW3128" i="49"/>
  <c r="AW3127" i="49"/>
  <c r="AW3126" i="49"/>
  <c r="AW3125" i="49"/>
  <c r="AW3124" i="49"/>
  <c r="AW3123" i="49"/>
  <c r="AW3122" i="49"/>
  <c r="AW3121" i="49"/>
  <c r="AW3120" i="49"/>
  <c r="AW3119" i="49"/>
  <c r="AW3118" i="49"/>
  <c r="AW3117" i="49"/>
  <c r="AW3116" i="49"/>
  <c r="AW3115" i="49"/>
  <c r="AW3114" i="49"/>
  <c r="AW3113" i="49"/>
  <c r="AW3112" i="49"/>
  <c r="AW3111" i="49"/>
  <c r="AW3110" i="49"/>
  <c r="AW3109" i="49"/>
  <c r="AW3108" i="49"/>
  <c r="AW3107" i="49"/>
  <c r="AW3106" i="49"/>
  <c r="AW3105" i="49"/>
  <c r="AW3104" i="49"/>
  <c r="AW3103" i="49"/>
  <c r="AW3102" i="49"/>
  <c r="AW3101" i="49"/>
  <c r="AW3100" i="49"/>
  <c r="AW3099" i="49"/>
  <c r="AW3098" i="49"/>
  <c r="AW3097" i="49"/>
  <c r="AW3096" i="49"/>
  <c r="AW3095" i="49"/>
  <c r="AW3094" i="49"/>
  <c r="AW3093" i="49"/>
  <c r="AW3092" i="49"/>
  <c r="AW3091" i="49"/>
  <c r="AW3090" i="49"/>
  <c r="AW3089" i="49"/>
  <c r="AW3088" i="49"/>
  <c r="AW3087" i="49"/>
  <c r="AW3086" i="49"/>
  <c r="AW3085" i="49"/>
  <c r="AW3084" i="49"/>
  <c r="AW3083" i="49"/>
  <c r="AW3082" i="49"/>
  <c r="AW3081" i="49"/>
  <c r="AW3080" i="49"/>
  <c r="AW3079" i="49"/>
  <c r="AW3078" i="49"/>
  <c r="AW3077" i="49"/>
  <c r="AW3076" i="49"/>
  <c r="AW3075" i="49"/>
  <c r="AW3074" i="49"/>
  <c r="AW3073" i="49"/>
  <c r="AW3072" i="49"/>
  <c r="AW3071" i="49"/>
  <c r="AW3070" i="49"/>
  <c r="AW3069" i="49"/>
  <c r="AW3068" i="49"/>
  <c r="AW3067" i="49"/>
  <c r="AW3066" i="49"/>
  <c r="AW3065" i="49"/>
  <c r="AW3064" i="49"/>
  <c r="AW3063" i="49"/>
  <c r="AW3062" i="49"/>
  <c r="AW3061" i="49"/>
  <c r="AW3060" i="49"/>
  <c r="AW3059" i="49"/>
  <c r="AW3058" i="49"/>
  <c r="AW3057" i="49"/>
  <c r="AW3056" i="49"/>
  <c r="AW3055" i="49"/>
  <c r="AW3054" i="49"/>
  <c r="AW3053" i="49"/>
  <c r="AW3052" i="49"/>
  <c r="AW3051" i="49"/>
  <c r="AW3050" i="49"/>
  <c r="AW3049" i="49"/>
  <c r="AW3048" i="49"/>
  <c r="AW3047" i="49"/>
  <c r="AW3046" i="49"/>
  <c r="AW3045" i="49"/>
  <c r="AW3044" i="49"/>
  <c r="AW3043" i="49"/>
  <c r="AW3042" i="49"/>
  <c r="AW3041" i="49"/>
  <c r="AW3040" i="49"/>
  <c r="AW3039" i="49"/>
  <c r="AW3038" i="49"/>
  <c r="AW3037" i="49"/>
  <c r="AW3036" i="49"/>
  <c r="AW3035" i="49"/>
  <c r="AW3034" i="49"/>
  <c r="AW3033" i="49"/>
  <c r="AW3032" i="49"/>
  <c r="AW3031" i="49"/>
  <c r="AW3030" i="49"/>
  <c r="AW3029" i="49"/>
  <c r="AW3028" i="49"/>
  <c r="AW3027" i="49"/>
  <c r="AW3026" i="49"/>
  <c r="AW3025" i="49"/>
  <c r="AW3024" i="49"/>
  <c r="AW3023" i="49"/>
  <c r="AW3022" i="49"/>
  <c r="AW3021" i="49"/>
  <c r="AW3020" i="49"/>
  <c r="AW3019" i="49"/>
  <c r="AW3018" i="49"/>
  <c r="AW3017" i="49"/>
  <c r="AW3016" i="49"/>
  <c r="AW3015" i="49"/>
  <c r="AW3014" i="49"/>
  <c r="AW3013" i="49"/>
  <c r="AW3012" i="49"/>
  <c r="AW3011" i="49"/>
  <c r="AW3010" i="49"/>
  <c r="AW3009" i="49"/>
  <c r="AW3008" i="49"/>
  <c r="AW3007" i="49"/>
  <c r="AW3006" i="49"/>
  <c r="AW3005" i="49"/>
  <c r="AW3004" i="49"/>
  <c r="AW3003" i="49"/>
  <c r="AW3002" i="49"/>
  <c r="AW3001" i="49"/>
  <c r="AW3000" i="49"/>
  <c r="AW2999" i="49"/>
  <c r="AW2998" i="49"/>
  <c r="AW2997" i="49"/>
  <c r="AW2996" i="49"/>
  <c r="AW2995" i="49"/>
  <c r="AW2994" i="49"/>
  <c r="AW2993" i="49"/>
  <c r="AW2992" i="49"/>
  <c r="AW2991" i="49"/>
  <c r="AW2990" i="49"/>
  <c r="AW2989" i="49"/>
  <c r="AW2988" i="49"/>
  <c r="AW2987" i="49"/>
  <c r="AW2986" i="49"/>
  <c r="AW2985" i="49"/>
  <c r="AW2984" i="49"/>
  <c r="AW2983" i="49"/>
  <c r="AW2982" i="49"/>
  <c r="AW2981" i="49"/>
  <c r="AW2980" i="49"/>
  <c r="AW2979" i="49"/>
  <c r="AW2978" i="49"/>
  <c r="AW2977" i="49"/>
  <c r="AW2976" i="49"/>
  <c r="AW2975" i="49"/>
  <c r="AW2974" i="49"/>
  <c r="AW2973" i="49"/>
  <c r="AW2972" i="49"/>
  <c r="AW2971" i="49"/>
  <c r="AW2970" i="49"/>
  <c r="AW2969" i="49"/>
  <c r="AW2968" i="49"/>
  <c r="AW2967" i="49"/>
  <c r="AW2966" i="49"/>
  <c r="AW2965" i="49"/>
  <c r="AW2964" i="49"/>
  <c r="AW2963" i="49"/>
  <c r="AW2962" i="49"/>
  <c r="AW2961" i="49"/>
  <c r="AW2960" i="49"/>
  <c r="AW2959" i="49"/>
  <c r="AW2958" i="49"/>
  <c r="AW2957" i="49"/>
  <c r="AW2956" i="49"/>
  <c r="AW2955" i="49"/>
  <c r="AW2954" i="49"/>
  <c r="AW2953" i="49"/>
  <c r="AW2952" i="49"/>
  <c r="AW2951" i="49"/>
  <c r="AW2950" i="49"/>
  <c r="AW2949" i="49"/>
  <c r="AW2948" i="49"/>
  <c r="AW2947" i="49"/>
  <c r="AW2946" i="49"/>
  <c r="AW2945" i="49"/>
  <c r="AW2944" i="49"/>
  <c r="AW2943" i="49"/>
  <c r="AW2942" i="49"/>
  <c r="AW2941" i="49"/>
  <c r="AW2940" i="49"/>
  <c r="AW2939" i="49"/>
  <c r="AW2938" i="49"/>
  <c r="AW2937" i="49"/>
  <c r="AW2936" i="49"/>
  <c r="AW2935" i="49"/>
  <c r="AW2934" i="49"/>
  <c r="AW2933" i="49"/>
  <c r="AW2932" i="49"/>
  <c r="AW2931" i="49"/>
  <c r="AW2930" i="49"/>
  <c r="AW2929" i="49"/>
  <c r="AW2928" i="49"/>
  <c r="AW2927" i="49"/>
  <c r="AW2926" i="49"/>
  <c r="AW2925" i="49"/>
  <c r="AW2924" i="49"/>
  <c r="AW2923" i="49"/>
  <c r="AW2922" i="49"/>
  <c r="AW2921" i="49"/>
  <c r="AW2920" i="49"/>
  <c r="AW2919" i="49"/>
  <c r="AW2918" i="49"/>
  <c r="AW2917" i="49"/>
  <c r="AW2916" i="49"/>
  <c r="AW2915" i="49"/>
  <c r="AW2914" i="49"/>
  <c r="AW2913" i="49"/>
  <c r="AW2912" i="49"/>
  <c r="AW2911" i="49"/>
  <c r="AW2910" i="49"/>
  <c r="AW2909" i="49"/>
  <c r="AW2908" i="49"/>
  <c r="AW2907" i="49"/>
  <c r="AW2906" i="49"/>
  <c r="AW2905" i="49"/>
  <c r="AW2904" i="49"/>
  <c r="AW2903" i="49"/>
  <c r="AW2902" i="49"/>
  <c r="AW2901" i="49"/>
  <c r="AW2900" i="49"/>
  <c r="AW2899" i="49"/>
  <c r="AW2898" i="49"/>
  <c r="AW2897" i="49"/>
  <c r="AW2896" i="49"/>
  <c r="AW2895" i="49"/>
  <c r="AW2894" i="49"/>
  <c r="AW2893" i="49"/>
  <c r="AW2892" i="49"/>
  <c r="AW2891" i="49"/>
  <c r="AW2890" i="49"/>
  <c r="AW2889" i="49"/>
  <c r="AW2888" i="49"/>
  <c r="AW2887" i="49"/>
  <c r="AW2886" i="49"/>
  <c r="AW2885" i="49"/>
  <c r="AW2884" i="49"/>
  <c r="AW2883" i="49"/>
  <c r="AW2882" i="49"/>
  <c r="AW2881" i="49"/>
  <c r="AW2880" i="49"/>
  <c r="AW2879" i="49"/>
  <c r="AW2878" i="49"/>
  <c r="AW2877" i="49"/>
  <c r="AW2876" i="49"/>
  <c r="AW2875" i="49"/>
  <c r="AW2874" i="49"/>
  <c r="AW2873" i="49"/>
  <c r="AW2872" i="49"/>
  <c r="AW2871" i="49"/>
  <c r="AW2870" i="49"/>
  <c r="AW2869" i="49"/>
  <c r="AW2868" i="49"/>
  <c r="AW2867" i="49"/>
  <c r="AW2866" i="49"/>
  <c r="AW2865" i="49"/>
  <c r="AW2864" i="49"/>
  <c r="AW2863" i="49"/>
  <c r="AW2862" i="49"/>
  <c r="AW2861" i="49"/>
  <c r="AW2860" i="49"/>
  <c r="AW2859" i="49"/>
  <c r="AW2858" i="49"/>
  <c r="AW2857" i="49"/>
  <c r="AW2856" i="49"/>
  <c r="AW2855" i="49"/>
  <c r="AW2854" i="49"/>
  <c r="AW2853" i="49"/>
  <c r="AW2852" i="49"/>
  <c r="AW2851" i="49"/>
  <c r="AW2850" i="49"/>
  <c r="AW2849" i="49"/>
  <c r="AW2848" i="49"/>
  <c r="AW2847" i="49"/>
  <c r="AW2846" i="49"/>
  <c r="AW2845" i="49"/>
  <c r="AW2844" i="49"/>
  <c r="AW2843" i="49"/>
  <c r="AW2842" i="49"/>
  <c r="AW2841" i="49"/>
  <c r="AW2840" i="49"/>
  <c r="AW2839" i="49"/>
  <c r="AW2838" i="49"/>
  <c r="AW2837" i="49"/>
  <c r="AW2836" i="49"/>
  <c r="AW2835" i="49"/>
  <c r="AW2834" i="49"/>
  <c r="AW2833" i="49"/>
  <c r="AW2832" i="49"/>
  <c r="AW2831" i="49"/>
  <c r="AW2830" i="49"/>
  <c r="AW2829" i="49"/>
  <c r="AW2828" i="49"/>
  <c r="AW2827" i="49"/>
  <c r="AW2826" i="49"/>
  <c r="AW2825" i="49"/>
  <c r="AW2824" i="49"/>
  <c r="AW2823" i="49"/>
  <c r="AW2822" i="49"/>
  <c r="AW2821" i="49"/>
  <c r="AW2820" i="49"/>
  <c r="AW2819" i="49"/>
  <c r="AW2818" i="49"/>
  <c r="AW2817" i="49"/>
  <c r="AW2816" i="49"/>
  <c r="AW2815" i="49"/>
  <c r="AW2814" i="49"/>
  <c r="AW2813" i="49"/>
  <c r="AW2812" i="49"/>
  <c r="AW2811" i="49"/>
  <c r="AW2810" i="49"/>
  <c r="AW2809" i="49"/>
  <c r="AW2808" i="49"/>
  <c r="AW2807" i="49"/>
  <c r="AW2806" i="49"/>
  <c r="AW2805" i="49"/>
  <c r="AW2804" i="49"/>
  <c r="AW2803" i="49"/>
  <c r="AW2802" i="49"/>
  <c r="AW2801" i="49"/>
  <c r="AW2800" i="49"/>
  <c r="AW2799" i="49"/>
  <c r="AW2798" i="49"/>
  <c r="AW2797" i="49"/>
  <c r="AW2796" i="49"/>
  <c r="AW2795" i="49"/>
  <c r="AW2794" i="49"/>
  <c r="AW2793" i="49"/>
  <c r="AW2792" i="49"/>
  <c r="AW2791" i="49"/>
  <c r="AW2790" i="49"/>
  <c r="AW2789" i="49"/>
  <c r="AW2788" i="49"/>
  <c r="AW2787" i="49"/>
  <c r="AW2786" i="49"/>
  <c r="AW2785" i="49"/>
  <c r="AW2784" i="49"/>
  <c r="AW2783" i="49"/>
  <c r="AW2782" i="49"/>
  <c r="AW2781" i="49"/>
  <c r="AW2780" i="49"/>
  <c r="AW2779" i="49"/>
  <c r="AW2778" i="49"/>
  <c r="AW2777" i="49"/>
  <c r="AW2776" i="49"/>
  <c r="AW2775" i="49"/>
  <c r="AW2774" i="49"/>
  <c r="AW2773" i="49"/>
  <c r="AW2772" i="49"/>
  <c r="AW2771" i="49"/>
  <c r="AW2770" i="49"/>
  <c r="AW2769" i="49"/>
  <c r="AW2768" i="49"/>
  <c r="AW2767" i="49"/>
  <c r="AW2766" i="49"/>
  <c r="AW2765" i="49"/>
  <c r="AW2764" i="49"/>
  <c r="AW2763" i="49"/>
  <c r="AW2762" i="49"/>
  <c r="AW2761" i="49"/>
  <c r="AW2760" i="49"/>
  <c r="AW2759" i="49"/>
  <c r="AW2758" i="49"/>
  <c r="AW2757" i="49"/>
  <c r="AW2756" i="49"/>
  <c r="AW2755" i="49"/>
  <c r="AW2754" i="49"/>
  <c r="AW2753" i="49"/>
  <c r="AW2752" i="49"/>
  <c r="AW2751" i="49"/>
  <c r="AW2750" i="49"/>
  <c r="AW2749" i="49"/>
  <c r="AW2748" i="49"/>
  <c r="AW2747" i="49"/>
  <c r="AW2746" i="49"/>
  <c r="AW2745" i="49"/>
  <c r="AW2744" i="49"/>
  <c r="AW2743" i="49"/>
  <c r="AW2742" i="49"/>
  <c r="AW2741" i="49"/>
  <c r="AW2740" i="49"/>
  <c r="AW2739" i="49"/>
  <c r="AW2738" i="49"/>
  <c r="AW2737" i="49"/>
  <c r="AW2736" i="49"/>
  <c r="AW2735" i="49"/>
  <c r="AW2734" i="49"/>
  <c r="AW2733" i="49"/>
  <c r="AW2732" i="49"/>
  <c r="AW2731" i="49"/>
  <c r="AW2730" i="49"/>
  <c r="AW2729" i="49"/>
  <c r="AW2728" i="49"/>
  <c r="AW2727" i="49"/>
  <c r="AW2726" i="49"/>
  <c r="AW2725" i="49"/>
  <c r="AW2724" i="49"/>
  <c r="AW2723" i="49"/>
  <c r="AW2722" i="49"/>
  <c r="AW2721" i="49"/>
  <c r="AW2720" i="49"/>
  <c r="AW2719" i="49"/>
  <c r="AW2718" i="49"/>
  <c r="AW2717" i="49"/>
  <c r="AW2716" i="49"/>
  <c r="AW2715" i="49"/>
  <c r="AW2714" i="49"/>
  <c r="AW2713" i="49"/>
  <c r="AW2712" i="49"/>
  <c r="AW2711" i="49"/>
  <c r="AW2710" i="49"/>
  <c r="AW2709" i="49"/>
  <c r="AW2708" i="49"/>
  <c r="AW2707" i="49"/>
  <c r="AW2706" i="49"/>
  <c r="AW2705" i="49"/>
  <c r="AW2704" i="49"/>
  <c r="AW2703" i="49"/>
  <c r="AW2702" i="49"/>
  <c r="AW2701" i="49"/>
  <c r="AW2700" i="49"/>
  <c r="AW2699" i="49"/>
  <c r="AW2698" i="49"/>
  <c r="AW2697" i="49"/>
  <c r="AW2696" i="49"/>
  <c r="AW2695" i="49"/>
  <c r="AW2694" i="49"/>
  <c r="AW2693" i="49"/>
  <c r="AW2692" i="49"/>
  <c r="AW2691" i="49"/>
  <c r="AW2690" i="49"/>
  <c r="AW2689" i="49"/>
  <c r="AW2688" i="49"/>
  <c r="AW2687" i="49"/>
  <c r="AW2686" i="49"/>
  <c r="AW2685" i="49"/>
  <c r="AW2684" i="49"/>
  <c r="AW2683" i="49"/>
  <c r="AW2682" i="49"/>
  <c r="AW2681" i="49"/>
  <c r="AW2680" i="49"/>
  <c r="AW2679" i="49"/>
  <c r="AW2678" i="49"/>
  <c r="AW2677" i="49"/>
  <c r="AW2676" i="49"/>
  <c r="AW2675" i="49"/>
  <c r="AW2674" i="49"/>
  <c r="AW2673" i="49"/>
  <c r="AW2672" i="49"/>
  <c r="AW2671" i="49"/>
  <c r="AW2670" i="49"/>
  <c r="AW2669" i="49"/>
  <c r="AW2668" i="49"/>
  <c r="AW2667" i="49"/>
  <c r="AW2666" i="49"/>
  <c r="AW2665" i="49"/>
  <c r="AW2664" i="49"/>
  <c r="AW2663" i="49"/>
  <c r="AW2662" i="49"/>
  <c r="AW2661" i="49"/>
  <c r="AW2660" i="49"/>
  <c r="AW2659" i="49"/>
  <c r="AW2658" i="49"/>
  <c r="AW2657" i="49"/>
  <c r="AW2656" i="49"/>
  <c r="AW2655" i="49"/>
  <c r="AW2654" i="49"/>
  <c r="AW2653" i="49"/>
  <c r="AW2652" i="49"/>
  <c r="AW2651" i="49"/>
  <c r="AW2650" i="49"/>
  <c r="AW2649" i="49"/>
  <c r="AW2648" i="49"/>
  <c r="AW2647" i="49"/>
  <c r="AW2646" i="49"/>
  <c r="AW2645" i="49"/>
  <c r="AW2644" i="49"/>
  <c r="AW2643" i="49"/>
  <c r="AW2642" i="49"/>
  <c r="AW2641" i="49"/>
  <c r="AW2640" i="49"/>
  <c r="AW2639" i="49"/>
  <c r="AW2638" i="49"/>
  <c r="AW2637" i="49"/>
  <c r="AW2636" i="49"/>
  <c r="AW2635" i="49"/>
  <c r="AW2634" i="49"/>
  <c r="AW2633" i="49"/>
  <c r="AW2632" i="49"/>
  <c r="AW2631" i="49"/>
  <c r="AW2630" i="49"/>
  <c r="AW2629" i="49"/>
  <c r="AW2628" i="49"/>
  <c r="AW2627" i="49"/>
  <c r="AW2626" i="49"/>
  <c r="AW2625" i="49"/>
  <c r="AW2624" i="49"/>
  <c r="AW2623" i="49"/>
  <c r="AW2622" i="49"/>
  <c r="AW2621" i="49"/>
  <c r="AW2620" i="49"/>
  <c r="AW2619" i="49"/>
  <c r="AW2618" i="49"/>
  <c r="AW2617" i="49"/>
  <c r="AW2616" i="49"/>
  <c r="AW2615" i="49"/>
  <c r="AW2614" i="49"/>
  <c r="AW2613" i="49"/>
  <c r="AW2612" i="49"/>
  <c r="AW2611" i="49"/>
  <c r="AW2610" i="49"/>
  <c r="AW2609" i="49"/>
  <c r="AW2608" i="49"/>
  <c r="AW2607" i="49"/>
  <c r="AW2606" i="49"/>
  <c r="AW2605" i="49"/>
  <c r="AW2604" i="49"/>
  <c r="AW2603" i="49"/>
  <c r="AW2602" i="49"/>
  <c r="AW2601" i="49"/>
  <c r="AW2600" i="49"/>
  <c r="AW2599" i="49"/>
  <c r="AW2598" i="49"/>
  <c r="AW2597" i="49"/>
  <c r="AW2596" i="49"/>
  <c r="AW2595" i="49"/>
  <c r="AW2594" i="49"/>
  <c r="AW2593" i="49"/>
  <c r="AW2592" i="49"/>
  <c r="AW2591" i="49"/>
  <c r="AW2590" i="49"/>
  <c r="AW2589" i="49"/>
  <c r="AW2588" i="49"/>
  <c r="AW2587" i="49"/>
  <c r="AW2586" i="49"/>
  <c r="AW2585" i="49"/>
  <c r="AW2584" i="49"/>
  <c r="AW2583" i="49"/>
  <c r="AW2582" i="49"/>
  <c r="AW2581" i="49"/>
  <c r="AW2580" i="49"/>
  <c r="AW2579" i="49"/>
  <c r="AW2578" i="49"/>
  <c r="AW2577" i="49"/>
  <c r="AW2576" i="49"/>
  <c r="AW2575" i="49"/>
  <c r="AW2574" i="49"/>
  <c r="AW2573" i="49"/>
  <c r="AW2572" i="49"/>
  <c r="AW2571" i="49"/>
  <c r="AW2570" i="49"/>
  <c r="AW2569" i="49"/>
  <c r="AW2568" i="49"/>
  <c r="AW2567" i="49"/>
  <c r="AW2566" i="49"/>
  <c r="AW2565" i="49"/>
  <c r="AW2564" i="49"/>
  <c r="AW2563" i="49"/>
  <c r="AW2562" i="49"/>
  <c r="AW2561" i="49"/>
  <c r="AW2560" i="49"/>
  <c r="AW2559" i="49"/>
  <c r="AW2558" i="49"/>
  <c r="AW2557" i="49"/>
  <c r="AW2556" i="49"/>
  <c r="AW2555" i="49"/>
  <c r="AW2554" i="49"/>
  <c r="AW2553" i="49"/>
  <c r="AW2552" i="49"/>
  <c r="AW2551" i="49"/>
  <c r="AW2550" i="49"/>
  <c r="AW2549" i="49"/>
  <c r="AW2548" i="49"/>
  <c r="AW2547" i="49"/>
  <c r="AW2546" i="49"/>
  <c r="AW2545" i="49"/>
  <c r="AW2544" i="49"/>
  <c r="AW2543" i="49"/>
  <c r="AW2542" i="49"/>
  <c r="AW2541" i="49"/>
  <c r="AW2540" i="49"/>
  <c r="AW2539" i="49"/>
  <c r="AW2538" i="49"/>
  <c r="AW2537" i="49"/>
  <c r="AW2536" i="49"/>
  <c r="AW2535" i="49"/>
  <c r="AW2534" i="49"/>
  <c r="AW2533" i="49"/>
  <c r="AW2532" i="49"/>
  <c r="AW2531" i="49"/>
  <c r="AW2530" i="49"/>
  <c r="AW2529" i="49"/>
  <c r="AW2528" i="49"/>
  <c r="AW2527" i="49"/>
  <c r="AW2526" i="49"/>
  <c r="AW2525" i="49"/>
  <c r="AW2524" i="49"/>
  <c r="AW2523" i="49"/>
  <c r="AW2522" i="49"/>
  <c r="AW2521" i="49"/>
  <c r="AW2520" i="49"/>
  <c r="AW2519" i="49"/>
  <c r="AW2518" i="49"/>
  <c r="AW2517" i="49"/>
  <c r="AW2516" i="49"/>
  <c r="AW2515" i="49"/>
  <c r="AW2514" i="49"/>
  <c r="AW2513" i="49"/>
  <c r="AW2512" i="49"/>
  <c r="AW2511" i="49"/>
  <c r="AW2510" i="49"/>
  <c r="AW2509" i="49"/>
  <c r="AW2508" i="49"/>
  <c r="AW2507" i="49"/>
  <c r="AW2506" i="49"/>
  <c r="AW2505" i="49"/>
  <c r="AW2504" i="49"/>
  <c r="AW2503" i="49"/>
  <c r="AW2502" i="49"/>
  <c r="AW2501" i="49"/>
  <c r="AW2500" i="49"/>
  <c r="AW2499" i="49"/>
  <c r="AW2498" i="49"/>
  <c r="AW2497" i="49"/>
  <c r="AW2496" i="49"/>
  <c r="AW2495" i="49"/>
  <c r="AW2494" i="49"/>
  <c r="AW2493" i="49"/>
  <c r="AW2492" i="49"/>
  <c r="AW2491" i="49"/>
  <c r="AW2490" i="49"/>
  <c r="AW2489" i="49"/>
  <c r="AW2488" i="49"/>
  <c r="AW2487" i="49"/>
  <c r="AW2486" i="49"/>
  <c r="AW2485" i="49"/>
  <c r="AW2484" i="49"/>
  <c r="AW2483" i="49"/>
  <c r="AW2482" i="49"/>
  <c r="AW2481" i="49"/>
  <c r="AW2480" i="49"/>
  <c r="AW2479" i="49"/>
  <c r="AW2478" i="49"/>
  <c r="AW2477" i="49"/>
  <c r="AW2476" i="49"/>
  <c r="AW2475" i="49"/>
  <c r="AW2474" i="49"/>
  <c r="AW2473" i="49"/>
  <c r="AW2472" i="49"/>
  <c r="AW2471" i="49"/>
  <c r="AW2470" i="49"/>
  <c r="AW2469" i="49"/>
  <c r="AW2468" i="49"/>
  <c r="AW2467" i="49"/>
  <c r="AW2466" i="49"/>
  <c r="AW2465" i="49"/>
  <c r="AW2464" i="49"/>
  <c r="AW2463" i="49"/>
  <c r="AW2462" i="49"/>
  <c r="AW2461" i="49"/>
  <c r="AW2460" i="49"/>
  <c r="AW2459" i="49"/>
  <c r="AW2458" i="49"/>
  <c r="AW2457" i="49"/>
  <c r="AW2456" i="49"/>
  <c r="AW2455" i="49"/>
  <c r="AW2454" i="49"/>
  <c r="AW2453" i="49"/>
  <c r="AW2452" i="49"/>
  <c r="AW2451" i="49"/>
  <c r="AW2450" i="49"/>
  <c r="AW2449" i="49"/>
  <c r="AW2448" i="49"/>
  <c r="AW2447" i="49"/>
  <c r="AW2446" i="49"/>
  <c r="AW2445" i="49"/>
  <c r="AW2444" i="49"/>
  <c r="AW2443" i="49"/>
  <c r="AW2442" i="49"/>
  <c r="AW2441" i="49"/>
  <c r="AW2440" i="49"/>
  <c r="AW2439" i="49"/>
  <c r="AW2438" i="49"/>
  <c r="AW2437" i="49"/>
  <c r="AW2436" i="49"/>
  <c r="AW2435" i="49"/>
  <c r="AW2434" i="49"/>
  <c r="AW2433" i="49"/>
  <c r="AW2432" i="49"/>
  <c r="AW2431" i="49"/>
  <c r="AW2430" i="49"/>
  <c r="AW2429" i="49"/>
  <c r="AW2428" i="49"/>
  <c r="AW2427" i="49"/>
  <c r="AW2426" i="49"/>
  <c r="AW2425" i="49"/>
  <c r="AW2424" i="49"/>
  <c r="AW2423" i="49"/>
  <c r="AW2422" i="49"/>
  <c r="AW2421" i="49"/>
  <c r="AW2420" i="49"/>
  <c r="AW2419" i="49"/>
  <c r="AW2418" i="49"/>
  <c r="AW2417" i="49"/>
  <c r="AW2416" i="49"/>
  <c r="AW2415" i="49"/>
  <c r="AW2414" i="49"/>
  <c r="AW2413" i="49"/>
  <c r="AW2412" i="49"/>
  <c r="AW2411" i="49"/>
  <c r="AW2410" i="49"/>
  <c r="AW2409" i="49"/>
  <c r="AW2408" i="49"/>
  <c r="AW2407" i="49"/>
  <c r="AW2406" i="49"/>
  <c r="AW2405" i="49"/>
  <c r="AW2404" i="49"/>
  <c r="AW2403" i="49"/>
  <c r="AW2402" i="49"/>
  <c r="AW2401" i="49"/>
  <c r="AW2400" i="49"/>
  <c r="AW2399" i="49"/>
  <c r="AW2398" i="49"/>
  <c r="AW2397" i="49"/>
  <c r="AW2396" i="49"/>
  <c r="AW2395" i="49"/>
  <c r="AW2394" i="49"/>
  <c r="AW2393" i="49"/>
  <c r="AW2392" i="49"/>
  <c r="AW2391" i="49"/>
  <c r="AW2390" i="49"/>
  <c r="AW2389" i="49"/>
  <c r="AW2388" i="49"/>
  <c r="AW2387" i="49"/>
  <c r="AW2386" i="49"/>
  <c r="AW2385" i="49"/>
  <c r="AW2384" i="49"/>
  <c r="AW2383" i="49"/>
  <c r="AW2382" i="49"/>
  <c r="AW2381" i="49"/>
  <c r="AW2380" i="49"/>
  <c r="AW2379" i="49"/>
  <c r="AW2378" i="49"/>
  <c r="AW2377" i="49"/>
  <c r="AW2376" i="49"/>
  <c r="AW2375" i="49"/>
  <c r="AW2374" i="49"/>
  <c r="AW2373" i="49"/>
  <c r="AW2372" i="49"/>
  <c r="AW2371" i="49"/>
  <c r="AW2370" i="49"/>
  <c r="AW2369" i="49"/>
  <c r="AW2368" i="49"/>
  <c r="AW2367" i="49"/>
  <c r="AW2366" i="49"/>
  <c r="AW2365" i="49"/>
  <c r="AW2364" i="49"/>
  <c r="AW2363" i="49"/>
  <c r="AW2362" i="49"/>
  <c r="AW2361" i="49"/>
  <c r="AW2360" i="49"/>
  <c r="AW2359" i="49"/>
  <c r="AW2358" i="49"/>
  <c r="AW2357" i="49"/>
  <c r="AW2356" i="49"/>
  <c r="AW2355" i="49"/>
  <c r="AW2354" i="49"/>
  <c r="AW2353" i="49"/>
  <c r="AW2352" i="49"/>
  <c r="AW2351" i="49"/>
  <c r="AW2350" i="49"/>
  <c r="AW2349" i="49"/>
  <c r="AW2348" i="49"/>
  <c r="AW2347" i="49"/>
  <c r="AW2346" i="49"/>
  <c r="AW2345" i="49"/>
  <c r="AW2344" i="49"/>
  <c r="AW2343" i="49"/>
  <c r="AW2342" i="49"/>
  <c r="AW2341" i="49"/>
  <c r="AW2340" i="49"/>
  <c r="AW2339" i="49"/>
  <c r="AW2338" i="49"/>
  <c r="AW2337" i="49"/>
  <c r="AW2336" i="49"/>
  <c r="AW2335" i="49"/>
  <c r="AW2334" i="49"/>
  <c r="AW2333" i="49"/>
  <c r="AW2332" i="49"/>
  <c r="AW2331" i="49"/>
  <c r="AW2330" i="49"/>
  <c r="AW2329" i="49"/>
  <c r="AW2328" i="49"/>
  <c r="AW2327" i="49"/>
  <c r="AW2326" i="49"/>
  <c r="AW2325" i="49"/>
  <c r="AW2324" i="49"/>
  <c r="AW2323" i="49"/>
  <c r="AW2322" i="49"/>
  <c r="AW2321" i="49"/>
  <c r="AW2320" i="49"/>
  <c r="AW2319" i="49"/>
  <c r="AW2318" i="49"/>
  <c r="AW2317" i="49"/>
  <c r="AW2316" i="49"/>
  <c r="AW2315" i="49"/>
  <c r="AW2314" i="49"/>
  <c r="AW2313" i="49"/>
  <c r="AW2312" i="49"/>
  <c r="AW2311" i="49"/>
  <c r="AW2310" i="49"/>
  <c r="AW2309" i="49"/>
  <c r="AW2308" i="49"/>
  <c r="AW2307" i="49"/>
  <c r="AW2306" i="49"/>
  <c r="AW2305" i="49"/>
  <c r="AW2304" i="49"/>
  <c r="AW2303" i="49"/>
  <c r="AW2302" i="49"/>
  <c r="AW2301" i="49"/>
  <c r="AW2300" i="49"/>
  <c r="AW2299" i="49"/>
  <c r="AW2298" i="49"/>
  <c r="AW2297" i="49"/>
  <c r="AW2296" i="49"/>
  <c r="AW2295" i="49"/>
  <c r="AW2294" i="49"/>
  <c r="AW2293" i="49"/>
  <c r="AW2292" i="49"/>
  <c r="AW2291" i="49"/>
  <c r="AW2290" i="49"/>
  <c r="AW2289" i="49"/>
  <c r="AW2288" i="49"/>
  <c r="AW2287" i="49"/>
  <c r="AW2286" i="49"/>
  <c r="AW2285" i="49"/>
  <c r="AW2284" i="49"/>
  <c r="AW2283" i="49"/>
  <c r="AW2282" i="49"/>
  <c r="AW2281" i="49"/>
  <c r="AW2280" i="49"/>
  <c r="AW2279" i="49"/>
  <c r="AW2278" i="49"/>
  <c r="AW2277" i="49"/>
  <c r="AW2276" i="49"/>
  <c r="AW2275" i="49"/>
  <c r="AW2274" i="49"/>
  <c r="AW2273" i="49"/>
  <c r="AW2272" i="49"/>
  <c r="AW2271" i="49"/>
  <c r="AW2270" i="49"/>
  <c r="AW2269" i="49"/>
  <c r="AW2268" i="49"/>
  <c r="AW2267" i="49"/>
  <c r="AW2266" i="49"/>
  <c r="AW2265" i="49"/>
  <c r="AW2264" i="49"/>
  <c r="AW2263" i="49"/>
  <c r="AW2262" i="49"/>
  <c r="AW2261" i="49"/>
  <c r="AW2260" i="49"/>
  <c r="AW2259" i="49"/>
  <c r="AW2258" i="49"/>
  <c r="AW2257" i="49"/>
  <c r="AW2256" i="49"/>
  <c r="AW2255" i="49"/>
  <c r="AW2254" i="49"/>
  <c r="AW2253" i="49"/>
  <c r="AW2252" i="49"/>
  <c r="AW2251" i="49"/>
  <c r="AW2250" i="49"/>
  <c r="AW2249" i="49"/>
  <c r="AW2248" i="49"/>
  <c r="AW2247" i="49"/>
  <c r="AW2246" i="49"/>
  <c r="AW2245" i="49"/>
  <c r="AW2244" i="49"/>
  <c r="AW2243" i="49"/>
  <c r="AW2242" i="49"/>
  <c r="AW2241" i="49"/>
  <c r="AW2240" i="49"/>
  <c r="AW2239" i="49"/>
  <c r="AW2238" i="49"/>
  <c r="AW2237" i="49"/>
  <c r="AW2236" i="49"/>
  <c r="AW2235" i="49"/>
  <c r="AW2234" i="49"/>
  <c r="AW2233" i="49"/>
  <c r="AW2232" i="49"/>
  <c r="AW2231" i="49"/>
  <c r="AW2230" i="49"/>
  <c r="AW2229" i="49"/>
  <c r="AW2228" i="49"/>
  <c r="AW2227" i="49"/>
  <c r="AW2226" i="49"/>
  <c r="AW2225" i="49"/>
  <c r="AW2224" i="49"/>
  <c r="AW2223" i="49"/>
  <c r="AW2222" i="49"/>
  <c r="AW2221" i="49"/>
  <c r="AW2220" i="49"/>
  <c r="AW2219" i="49"/>
  <c r="AW2218" i="49"/>
  <c r="AW2217" i="49"/>
  <c r="AW2216" i="49"/>
  <c r="AW2215" i="49"/>
  <c r="AW2214" i="49"/>
  <c r="AW2213" i="49"/>
  <c r="AW2212" i="49"/>
  <c r="AW2211" i="49"/>
  <c r="AW2210" i="49"/>
  <c r="AW2209" i="49"/>
  <c r="AW2208" i="49"/>
  <c r="AW2207" i="49"/>
  <c r="AW2206" i="49"/>
  <c r="AW2205" i="49"/>
  <c r="AW2204" i="49"/>
  <c r="AW2203" i="49"/>
  <c r="AW2202" i="49"/>
  <c r="AW2201" i="49"/>
  <c r="AW2200" i="49"/>
  <c r="AW2199" i="49"/>
  <c r="AW2198" i="49"/>
  <c r="AW2197" i="49"/>
  <c r="AW2196" i="49"/>
  <c r="AW2195" i="49"/>
  <c r="AW2194" i="49"/>
  <c r="AW2193" i="49"/>
  <c r="AW2192" i="49"/>
  <c r="AW2191" i="49"/>
  <c r="AW2190" i="49"/>
  <c r="AW2189" i="49"/>
  <c r="AW2188" i="49"/>
  <c r="AW2187" i="49"/>
  <c r="AW2186" i="49"/>
  <c r="AW2185" i="49"/>
  <c r="AW2184" i="49"/>
  <c r="AW2183" i="49"/>
  <c r="AW2182" i="49"/>
  <c r="AW2181" i="49"/>
  <c r="AW2180" i="49"/>
  <c r="AW2179" i="49"/>
  <c r="AW2178" i="49"/>
  <c r="AW2177" i="49"/>
  <c r="AW2176" i="49"/>
  <c r="AW2175" i="49"/>
  <c r="AW2174" i="49"/>
  <c r="AW2173" i="49"/>
  <c r="AW2172" i="49"/>
  <c r="AW2171" i="49"/>
  <c r="AW2170" i="49"/>
  <c r="AW2169" i="49"/>
  <c r="AW2168" i="49"/>
  <c r="AW2167" i="49"/>
  <c r="AW2166" i="49"/>
  <c r="AW2165" i="49"/>
  <c r="AW2164" i="49"/>
  <c r="AW2163" i="49"/>
  <c r="AW2162" i="49"/>
  <c r="AW2161" i="49"/>
  <c r="AW2160" i="49"/>
  <c r="AW2159" i="49"/>
  <c r="AW2158" i="49"/>
  <c r="AW2157" i="49"/>
  <c r="AW2156" i="49"/>
  <c r="AW2155" i="49"/>
  <c r="AW2154" i="49"/>
  <c r="AW2153" i="49"/>
  <c r="AW2152" i="49"/>
  <c r="AW2151" i="49"/>
  <c r="AW2150" i="49"/>
  <c r="AW2149" i="49"/>
  <c r="AW2148" i="49"/>
  <c r="AW2147" i="49"/>
  <c r="AW2146" i="49"/>
  <c r="AW2145" i="49"/>
  <c r="AW2144" i="49"/>
  <c r="AW2143" i="49"/>
  <c r="AW2142" i="49"/>
  <c r="AW2141" i="49"/>
  <c r="AW2140" i="49"/>
  <c r="AW2139" i="49"/>
  <c r="AW2138" i="49"/>
  <c r="AW2137" i="49"/>
  <c r="AW2136" i="49"/>
  <c r="AW2135" i="49"/>
  <c r="AW2134" i="49"/>
  <c r="AW2133" i="49"/>
  <c r="AW2132" i="49"/>
  <c r="AW2131" i="49"/>
  <c r="AW2130" i="49"/>
  <c r="AW2129" i="49"/>
  <c r="AW2128" i="49"/>
  <c r="AW2127" i="49"/>
  <c r="AW2126" i="49"/>
  <c r="AW2125" i="49"/>
  <c r="AW2124" i="49"/>
  <c r="AW2123" i="49"/>
  <c r="AW2122" i="49"/>
  <c r="AW2121" i="49"/>
  <c r="AW2120" i="49"/>
  <c r="AW2119" i="49"/>
  <c r="AW2118" i="49"/>
  <c r="AW2117" i="49"/>
  <c r="AW2116" i="49"/>
  <c r="AW2115" i="49"/>
  <c r="AW2114" i="49"/>
  <c r="AW2113" i="49"/>
  <c r="AW2112" i="49"/>
  <c r="AW2111" i="49"/>
  <c r="AW2110" i="49"/>
  <c r="AW2109" i="49"/>
  <c r="AW2108" i="49"/>
  <c r="AW2107" i="49"/>
  <c r="AW2106" i="49"/>
  <c r="AW2105" i="49"/>
  <c r="AW2104" i="49"/>
  <c r="AW2103" i="49"/>
  <c r="AW2102" i="49"/>
  <c r="AW2101" i="49"/>
  <c r="AW2100" i="49"/>
  <c r="AW2099" i="49"/>
  <c r="AW2098" i="49"/>
  <c r="AW2097" i="49"/>
  <c r="AW2096" i="49"/>
  <c r="AW2095" i="49"/>
  <c r="AW2094" i="49"/>
  <c r="AW2093" i="49"/>
  <c r="AW2092" i="49"/>
  <c r="AW2091" i="49"/>
  <c r="AW2090" i="49"/>
  <c r="AW2089" i="49"/>
  <c r="AW2088" i="49"/>
  <c r="AW2087" i="49"/>
  <c r="AW2086" i="49"/>
  <c r="AW2085" i="49"/>
  <c r="AW2084" i="49"/>
  <c r="AW2083" i="49"/>
  <c r="AW2082" i="49"/>
  <c r="AW2081" i="49"/>
  <c r="AW2080" i="49"/>
  <c r="AW2079" i="49"/>
  <c r="AW2078" i="49"/>
  <c r="AW2077" i="49"/>
  <c r="AW2076" i="49"/>
  <c r="AW2075" i="49"/>
  <c r="AW2074" i="49"/>
  <c r="AW2073" i="49"/>
  <c r="AW2072" i="49"/>
  <c r="AW2071" i="49"/>
  <c r="AW2070" i="49"/>
  <c r="AW2069" i="49"/>
  <c r="AW2068" i="49"/>
  <c r="AW2067" i="49"/>
  <c r="AW2066" i="49"/>
  <c r="AW2065" i="49"/>
  <c r="AW2064" i="49"/>
  <c r="AW2063" i="49"/>
  <c r="AW2062" i="49"/>
  <c r="AW2061" i="49"/>
  <c r="AW2060" i="49"/>
  <c r="AW2059" i="49"/>
  <c r="AW2058" i="49"/>
  <c r="AW2057" i="49"/>
  <c r="AW2056" i="49"/>
  <c r="AW2055" i="49"/>
  <c r="AW2054" i="49"/>
  <c r="AW2053" i="49"/>
  <c r="AW2052" i="49"/>
  <c r="AW2051" i="49"/>
  <c r="AW2050" i="49"/>
  <c r="AW2049" i="49"/>
  <c r="AW2048" i="49"/>
  <c r="AW2047" i="49"/>
  <c r="AW2046" i="49"/>
  <c r="AW2045" i="49"/>
  <c r="AW2044" i="49"/>
  <c r="AW2043" i="49"/>
  <c r="AW2042" i="49"/>
  <c r="AW2041" i="49"/>
  <c r="AW2040" i="49"/>
  <c r="AW2039" i="49"/>
  <c r="AW2038" i="49"/>
  <c r="AW2037" i="49"/>
  <c r="AW2036" i="49"/>
  <c r="AW2035" i="49"/>
  <c r="AW2034" i="49"/>
  <c r="AW2033" i="49"/>
  <c r="AW2032" i="49"/>
  <c r="AW2031" i="49"/>
  <c r="AW2030" i="49"/>
  <c r="AW2029" i="49"/>
  <c r="AW2028" i="49"/>
  <c r="AW2027" i="49"/>
  <c r="AW2026" i="49"/>
  <c r="AW2025" i="49"/>
  <c r="AW2024" i="49"/>
  <c r="AW2023" i="49"/>
  <c r="AW2022" i="49"/>
  <c r="AW2021" i="49"/>
  <c r="AW2020" i="49"/>
  <c r="AW2019" i="49"/>
  <c r="AW2018" i="49"/>
  <c r="AW2017" i="49"/>
  <c r="AW2016" i="49"/>
  <c r="AW2015" i="49"/>
  <c r="AW2014" i="49"/>
  <c r="AW2013" i="49"/>
  <c r="AW2012" i="49"/>
  <c r="AW2011" i="49"/>
  <c r="AW2010" i="49"/>
  <c r="AW2009" i="49"/>
  <c r="AW2008" i="49"/>
  <c r="AW2007" i="49"/>
  <c r="AW2006" i="49"/>
  <c r="AW2005" i="49"/>
  <c r="AW2004" i="49"/>
  <c r="AW2003" i="49"/>
  <c r="AW2002" i="49"/>
  <c r="AW2001" i="49"/>
  <c r="AW2000" i="49"/>
  <c r="AW1999" i="49"/>
  <c r="AW1998" i="49"/>
  <c r="AW1997" i="49"/>
  <c r="AW1996" i="49"/>
  <c r="AW1995" i="49"/>
  <c r="AW1994" i="49"/>
  <c r="AW1993" i="49"/>
  <c r="AW1992" i="49"/>
  <c r="AW1991" i="49"/>
  <c r="AW1990" i="49"/>
  <c r="AW1989" i="49"/>
  <c r="AW1988" i="49"/>
  <c r="AW1987" i="49"/>
  <c r="AW1986" i="49"/>
  <c r="AW1985" i="49"/>
  <c r="AW1984" i="49"/>
  <c r="AW1983" i="49"/>
  <c r="AW1982" i="49"/>
  <c r="AW1981" i="49"/>
  <c r="AW1980" i="49"/>
  <c r="AW1979" i="49"/>
  <c r="AW1978" i="49"/>
  <c r="AW1977" i="49"/>
  <c r="AW1976" i="49"/>
  <c r="AW1975" i="49"/>
  <c r="AW1974" i="49"/>
  <c r="AW1973" i="49"/>
  <c r="AW1972" i="49"/>
  <c r="AW1971" i="49"/>
  <c r="AW1970" i="49"/>
  <c r="AW1969" i="49"/>
  <c r="AW1968" i="49"/>
  <c r="AW1967" i="49"/>
  <c r="AW1966" i="49"/>
  <c r="AW1965" i="49"/>
  <c r="AW1964" i="49"/>
  <c r="AW1963" i="49"/>
  <c r="AW1962" i="49"/>
  <c r="AW1961" i="49"/>
  <c r="AW1960" i="49"/>
  <c r="AW1959" i="49"/>
  <c r="AW1958" i="49"/>
  <c r="AW1957" i="49"/>
  <c r="AW1956" i="49"/>
  <c r="AW1955" i="49"/>
  <c r="AW1954" i="49"/>
  <c r="AW1953" i="49"/>
  <c r="AW1952" i="49"/>
  <c r="AW1951" i="49"/>
  <c r="AW1950" i="49"/>
  <c r="AW1949" i="49"/>
  <c r="AW1948" i="49"/>
  <c r="AW1947" i="49"/>
  <c r="AW1946" i="49"/>
  <c r="AW1945" i="49"/>
  <c r="AW1944" i="49"/>
  <c r="AW1943" i="49"/>
  <c r="AW1942" i="49"/>
  <c r="AW1941" i="49"/>
  <c r="AW1940" i="49"/>
  <c r="AW1939" i="49"/>
  <c r="AW1938" i="49"/>
  <c r="AW1937" i="49"/>
  <c r="AW1936" i="49"/>
  <c r="AW1935" i="49"/>
  <c r="AW1934" i="49"/>
  <c r="AW1933" i="49"/>
  <c r="AW1932" i="49"/>
  <c r="AW1931" i="49"/>
  <c r="AW1930" i="49"/>
  <c r="AW1929" i="49"/>
  <c r="AW1928" i="49"/>
  <c r="AW1927" i="49"/>
  <c r="AW1926" i="49"/>
  <c r="AW1925" i="49"/>
  <c r="AW1924" i="49"/>
  <c r="AW1923" i="49"/>
  <c r="AW1922" i="49"/>
  <c r="AW1921" i="49"/>
  <c r="AW1920" i="49"/>
  <c r="AW1919" i="49"/>
  <c r="AW1918" i="49"/>
  <c r="AW1917" i="49"/>
  <c r="AW1916" i="49"/>
  <c r="AW1915" i="49"/>
  <c r="AW1914" i="49"/>
  <c r="AW1913" i="49"/>
  <c r="AW1912" i="49"/>
  <c r="AW1911" i="49"/>
  <c r="AW1910" i="49"/>
  <c r="AW1909" i="49"/>
  <c r="AW1908" i="49"/>
  <c r="AW1907" i="49"/>
  <c r="AW1906" i="49"/>
  <c r="AW1905" i="49"/>
  <c r="AW1904" i="49"/>
  <c r="AW1903" i="49"/>
  <c r="AW1902" i="49"/>
  <c r="AW1901" i="49"/>
  <c r="AW1900" i="49"/>
  <c r="AW1899" i="49"/>
  <c r="AW1898" i="49"/>
  <c r="AW1897" i="49"/>
  <c r="AW1896" i="49"/>
  <c r="AW1895" i="49"/>
  <c r="AW1894" i="49"/>
  <c r="AW1893" i="49"/>
  <c r="AW1892" i="49"/>
  <c r="AW1891" i="49"/>
  <c r="AW1890" i="49"/>
  <c r="AW1889" i="49"/>
  <c r="AW1888" i="49"/>
  <c r="AW1887" i="49"/>
  <c r="AW1886" i="49"/>
  <c r="AW1885" i="49"/>
  <c r="AW1884" i="49"/>
  <c r="AW1883" i="49"/>
  <c r="AW1882" i="49"/>
  <c r="AW1881" i="49"/>
  <c r="AW1880" i="49"/>
  <c r="AW1879" i="49"/>
  <c r="AW1878" i="49"/>
  <c r="AW1877" i="49"/>
  <c r="AW1876" i="49"/>
  <c r="AW1875" i="49"/>
  <c r="AW1874" i="49"/>
  <c r="AW1873" i="49"/>
  <c r="AW1872" i="49"/>
  <c r="AW1871" i="49"/>
  <c r="AW1870" i="49"/>
  <c r="AW1869" i="49"/>
  <c r="AW1868" i="49"/>
  <c r="AW1867" i="49"/>
  <c r="AW1866" i="49"/>
  <c r="AW1865" i="49"/>
  <c r="AW1864" i="49"/>
  <c r="AW1863" i="49"/>
  <c r="AW1862" i="49"/>
  <c r="AW1861" i="49"/>
  <c r="AW1860" i="49"/>
  <c r="AW1859" i="49"/>
  <c r="AW1858" i="49"/>
  <c r="AW1857" i="49"/>
  <c r="AW1856" i="49"/>
  <c r="AW1855" i="49"/>
  <c r="AW1854" i="49"/>
  <c r="AW1853" i="49"/>
  <c r="AW1852" i="49"/>
  <c r="AW1851" i="49"/>
  <c r="AW1850" i="49"/>
  <c r="AW1849" i="49"/>
  <c r="AW1848" i="49"/>
  <c r="AW1847" i="49"/>
  <c r="AW1846" i="49"/>
  <c r="AW1845" i="49"/>
  <c r="AW1844" i="49"/>
  <c r="AW1843" i="49"/>
  <c r="AW1842" i="49"/>
  <c r="AW1841" i="49"/>
  <c r="AW1840" i="49"/>
  <c r="AW1839" i="49"/>
  <c r="AW1838" i="49"/>
  <c r="AW1837" i="49"/>
  <c r="AW1836" i="49"/>
  <c r="AW1835" i="49"/>
  <c r="AW1834" i="49"/>
  <c r="AW1833" i="49"/>
  <c r="AW1832" i="49"/>
  <c r="AW1831" i="49"/>
  <c r="AW1830" i="49"/>
  <c r="AW1829" i="49"/>
  <c r="AW1828" i="49"/>
  <c r="AW1827" i="49"/>
  <c r="AW1826" i="49"/>
  <c r="AW1825" i="49"/>
  <c r="AW1824" i="49"/>
  <c r="AW1823" i="49"/>
  <c r="AW1822" i="49"/>
  <c r="AW1821" i="49"/>
  <c r="AW1820" i="49"/>
  <c r="AW1819" i="49"/>
  <c r="AW1818" i="49"/>
  <c r="AW1817" i="49"/>
  <c r="AW1816" i="49"/>
  <c r="AW1815" i="49"/>
  <c r="AW1814" i="49"/>
  <c r="AW1813" i="49"/>
  <c r="AW1812" i="49"/>
  <c r="AW1811" i="49"/>
  <c r="AW1810" i="49"/>
  <c r="AW1809" i="49"/>
  <c r="AW1808" i="49"/>
  <c r="AW1807" i="49"/>
  <c r="AW1806" i="49"/>
  <c r="AW1805" i="49"/>
  <c r="AW1804" i="49"/>
  <c r="AW1803" i="49"/>
  <c r="AW1802" i="49"/>
  <c r="AW1801" i="49"/>
  <c r="AW1800" i="49"/>
  <c r="AW1799" i="49"/>
  <c r="AW1798" i="49"/>
  <c r="AW1797" i="49"/>
  <c r="AW1796" i="49"/>
  <c r="AW1795" i="49"/>
  <c r="AW1794" i="49"/>
  <c r="AW1793" i="49"/>
  <c r="AW1792" i="49"/>
  <c r="AW1791" i="49"/>
  <c r="AW1790" i="49"/>
  <c r="AW1789" i="49"/>
  <c r="AW1788" i="49"/>
  <c r="AW1787" i="49"/>
  <c r="AW1786" i="49"/>
  <c r="AW1785" i="49"/>
  <c r="AW1784" i="49"/>
  <c r="AW1783" i="49"/>
  <c r="AW1782" i="49"/>
  <c r="AW1781" i="49"/>
  <c r="AW1780" i="49"/>
  <c r="AW1779" i="49"/>
  <c r="AW1778" i="49"/>
  <c r="AW1777" i="49"/>
  <c r="AW1776" i="49"/>
  <c r="AW1775" i="49"/>
  <c r="AW1774" i="49"/>
  <c r="AW1773" i="49"/>
  <c r="AW1772" i="49"/>
  <c r="AW1771" i="49"/>
  <c r="AW1770" i="49"/>
  <c r="AW1769" i="49"/>
  <c r="AW1768" i="49"/>
  <c r="AW1767" i="49"/>
  <c r="AW1766" i="49"/>
  <c r="AW1765" i="49"/>
  <c r="AW1764" i="49"/>
  <c r="AW1763" i="49"/>
  <c r="AW1762" i="49"/>
  <c r="AW1761" i="49"/>
  <c r="AW1760" i="49"/>
  <c r="AW1759" i="49"/>
  <c r="AW1758" i="49"/>
  <c r="AW1757" i="49"/>
  <c r="AW1756" i="49"/>
  <c r="AW1755" i="49"/>
  <c r="AW1754" i="49"/>
  <c r="AW1753" i="49"/>
  <c r="AW1752" i="49"/>
  <c r="AW1751" i="49"/>
  <c r="AW1750" i="49"/>
  <c r="AW1749" i="49"/>
  <c r="AW1748" i="49"/>
  <c r="AW1747" i="49"/>
  <c r="AW1746" i="49"/>
  <c r="AW1745" i="49"/>
  <c r="AW1744" i="49"/>
  <c r="AW1743" i="49"/>
  <c r="AW1742" i="49"/>
  <c r="AW1741" i="49"/>
  <c r="AW1740" i="49"/>
  <c r="AW1739" i="49"/>
  <c r="AW1738" i="49"/>
  <c r="AW1737" i="49"/>
  <c r="AW1736" i="49"/>
  <c r="AW1735" i="49"/>
  <c r="AW1734" i="49"/>
  <c r="AW1733" i="49"/>
  <c r="AW1732" i="49"/>
  <c r="AW1731" i="49"/>
  <c r="AW1730" i="49"/>
  <c r="AW1729" i="49"/>
  <c r="AW1728" i="49"/>
  <c r="AW1727" i="49"/>
  <c r="AW1726" i="49"/>
  <c r="AW1725" i="49"/>
  <c r="AW1724" i="49"/>
  <c r="AW1723" i="49"/>
  <c r="AW1722" i="49"/>
  <c r="AW1721" i="49"/>
  <c r="AW1720" i="49"/>
  <c r="AW1719" i="49"/>
  <c r="AW1718" i="49"/>
  <c r="AW1717" i="49"/>
  <c r="AW1716" i="49"/>
  <c r="AW1715" i="49"/>
  <c r="AW1714" i="49"/>
  <c r="AW1713" i="49"/>
  <c r="AW1712" i="49"/>
  <c r="AW1711" i="49"/>
  <c r="AW1710" i="49"/>
  <c r="AW1709" i="49"/>
  <c r="AW1708" i="49"/>
  <c r="AW1707" i="49"/>
  <c r="AW1706" i="49"/>
  <c r="AW1705" i="49"/>
  <c r="AW1704" i="49"/>
  <c r="AW1703" i="49"/>
  <c r="AW1702" i="49"/>
  <c r="AW1701" i="49"/>
  <c r="AW1700" i="49"/>
  <c r="AW1699" i="49"/>
  <c r="AW1698" i="49"/>
  <c r="AW1697" i="49"/>
  <c r="AW1696" i="49"/>
  <c r="AW1695" i="49"/>
  <c r="AW1694" i="49"/>
  <c r="AW1693" i="49"/>
  <c r="AW1692" i="49"/>
  <c r="AW1691" i="49"/>
  <c r="AW1690" i="49"/>
  <c r="AW1689" i="49"/>
  <c r="AW1688" i="49"/>
  <c r="AW1687" i="49"/>
  <c r="AW1686" i="49"/>
  <c r="AW1685" i="49"/>
  <c r="AW1684" i="49"/>
  <c r="AW1683" i="49"/>
  <c r="AW1682" i="49"/>
  <c r="AW1681" i="49"/>
  <c r="AW1680" i="49"/>
  <c r="AW1679" i="49"/>
  <c r="AW1678" i="49"/>
  <c r="AW1677" i="49"/>
  <c r="AW1676" i="49"/>
  <c r="AW1675" i="49"/>
  <c r="AW1674" i="49"/>
  <c r="AW1673" i="49"/>
  <c r="AW1672" i="49"/>
  <c r="AW1671" i="49"/>
  <c r="AW1670" i="49"/>
  <c r="AW1669" i="49"/>
  <c r="AW1668" i="49"/>
  <c r="AW1667" i="49"/>
  <c r="AW1666" i="49"/>
  <c r="AW1665" i="49"/>
  <c r="AW1664" i="49"/>
  <c r="AW1663" i="49"/>
  <c r="AW1662" i="49"/>
  <c r="AW1661" i="49"/>
  <c r="AW1660" i="49"/>
  <c r="AW1659" i="49"/>
  <c r="AW1658" i="49"/>
  <c r="AW1657" i="49"/>
  <c r="AW1656" i="49"/>
  <c r="AW1655" i="49"/>
  <c r="AW1654" i="49"/>
  <c r="AW1653" i="49"/>
  <c r="AW1652" i="49"/>
  <c r="AW1651" i="49"/>
  <c r="AW1650" i="49"/>
  <c r="AW1649" i="49"/>
  <c r="AW1648" i="49"/>
  <c r="AW1647" i="49"/>
  <c r="AW1646" i="49"/>
  <c r="AW1645" i="49"/>
  <c r="AW1644" i="49"/>
  <c r="AW1643" i="49"/>
  <c r="AW1642" i="49"/>
  <c r="AW1641" i="49"/>
  <c r="AW1640" i="49"/>
  <c r="AW1639" i="49"/>
  <c r="AW1638" i="49"/>
  <c r="AW1637" i="49"/>
  <c r="AW1636" i="49"/>
  <c r="AW1635" i="49"/>
  <c r="AW1634" i="49"/>
  <c r="AW1633" i="49"/>
  <c r="AW1632" i="49"/>
  <c r="AW1631" i="49"/>
  <c r="AW1630" i="49"/>
  <c r="AW1629" i="49"/>
  <c r="AW1628" i="49"/>
  <c r="AW1627" i="49"/>
  <c r="AW1626" i="49"/>
  <c r="AW1625" i="49"/>
  <c r="AW1624" i="49"/>
  <c r="AW1623" i="49"/>
  <c r="AW1622" i="49"/>
  <c r="AW1621" i="49"/>
  <c r="AW1620" i="49"/>
  <c r="AW1619" i="49"/>
  <c r="AW1618" i="49"/>
  <c r="AW1617" i="49"/>
  <c r="AW1616" i="49"/>
  <c r="AW1615" i="49"/>
  <c r="AW1614" i="49"/>
  <c r="AW1613" i="49"/>
  <c r="AW1612" i="49"/>
  <c r="AW1611" i="49"/>
  <c r="AW1610" i="49"/>
  <c r="AW1609" i="49"/>
  <c r="AW1608" i="49"/>
  <c r="AW1607" i="49"/>
  <c r="AW1606" i="49"/>
  <c r="AW1605" i="49"/>
  <c r="AW1604" i="49"/>
  <c r="AW1603" i="49"/>
  <c r="AW1602" i="49"/>
  <c r="AW1601" i="49"/>
  <c r="AW1600" i="49"/>
  <c r="AW1599" i="49"/>
  <c r="AW1598" i="49"/>
  <c r="AW1597" i="49"/>
  <c r="AW1596" i="49"/>
  <c r="AW1595" i="49"/>
  <c r="AW1594" i="49"/>
  <c r="AW1593" i="49"/>
  <c r="AW1592" i="49"/>
  <c r="AW1591" i="49"/>
  <c r="AW1590" i="49"/>
  <c r="AW1589" i="49"/>
  <c r="AW1588" i="49"/>
  <c r="AW1587" i="49"/>
  <c r="AW1586" i="49"/>
  <c r="AW1585" i="49"/>
  <c r="AW1584" i="49"/>
  <c r="AW1583" i="49"/>
  <c r="AW1582" i="49"/>
  <c r="AW1581" i="49"/>
  <c r="AW1580" i="49"/>
  <c r="AW1579" i="49"/>
  <c r="AW1578" i="49"/>
  <c r="AW1577" i="49"/>
  <c r="AW1576" i="49"/>
  <c r="AW1575" i="49"/>
  <c r="AW1574" i="49"/>
  <c r="AW1573" i="49"/>
  <c r="AW1572" i="49"/>
  <c r="AW1571" i="49"/>
  <c r="AW1570" i="49"/>
  <c r="AW1569" i="49"/>
  <c r="AW1568" i="49"/>
  <c r="AW1567" i="49"/>
  <c r="AW1566" i="49"/>
  <c r="AW1565" i="49"/>
  <c r="AW1564" i="49"/>
  <c r="AW1563" i="49"/>
  <c r="AW1562" i="49"/>
  <c r="AW1561" i="49"/>
  <c r="AW1560" i="49"/>
  <c r="AW1559" i="49"/>
  <c r="AW1558" i="49"/>
  <c r="AW1557" i="49"/>
  <c r="AW1556" i="49"/>
  <c r="AW1555" i="49"/>
  <c r="AW1554" i="49"/>
  <c r="AW1553" i="49"/>
  <c r="AW1552" i="49"/>
  <c r="AW1551" i="49"/>
  <c r="AW1550" i="49"/>
  <c r="AW1549" i="49"/>
  <c r="AW1548" i="49"/>
  <c r="AW1547" i="49"/>
  <c r="AW1546" i="49"/>
  <c r="AW1545" i="49"/>
  <c r="AW1544" i="49"/>
  <c r="AW1543" i="49"/>
  <c r="AW1542" i="49"/>
  <c r="AW1541" i="49"/>
  <c r="AW1540" i="49"/>
  <c r="AW1539" i="49"/>
  <c r="AW1538" i="49"/>
  <c r="AW1537" i="49"/>
  <c r="AW1536" i="49"/>
  <c r="AW1535" i="49"/>
  <c r="AW1534" i="49"/>
  <c r="AW1533" i="49"/>
  <c r="AW1532" i="49"/>
  <c r="AW1531" i="49"/>
  <c r="AW1530" i="49"/>
  <c r="AW1529" i="49"/>
  <c r="AW1528" i="49"/>
  <c r="AW1527" i="49"/>
  <c r="AW1526" i="49"/>
  <c r="AW1525" i="49"/>
  <c r="AW1524" i="49"/>
  <c r="AW1523" i="49"/>
  <c r="AW1522" i="49"/>
  <c r="AW1521" i="49"/>
  <c r="AW1520" i="49"/>
  <c r="AW1519" i="49"/>
  <c r="AW1518" i="49"/>
  <c r="AW1517" i="49"/>
  <c r="AW1516" i="49"/>
  <c r="AW1515" i="49"/>
  <c r="AW1514" i="49"/>
  <c r="AW1513" i="49"/>
  <c r="AW1512" i="49"/>
  <c r="AW1511" i="49"/>
  <c r="AW1510" i="49"/>
  <c r="AW1509" i="49"/>
  <c r="AW1508" i="49"/>
  <c r="AW1507" i="49"/>
  <c r="AW1506" i="49"/>
  <c r="AW1505" i="49"/>
  <c r="AW1504" i="49"/>
  <c r="AW1503" i="49"/>
  <c r="AW1502" i="49"/>
  <c r="AW1501" i="49"/>
  <c r="AW1500" i="49"/>
  <c r="AW1499" i="49"/>
  <c r="AW1498" i="49"/>
  <c r="AW1497" i="49"/>
  <c r="AW1496" i="49"/>
  <c r="AW1495" i="49"/>
  <c r="AW1494" i="49"/>
  <c r="AW1493" i="49"/>
  <c r="AW1492" i="49"/>
  <c r="AW1491" i="49"/>
  <c r="AW1490" i="49"/>
  <c r="AW1489" i="49"/>
  <c r="AW1488" i="49"/>
  <c r="AW1487" i="49"/>
  <c r="AW1486" i="49"/>
  <c r="AW1485" i="49"/>
  <c r="AW1484" i="49"/>
  <c r="AW1483" i="49"/>
  <c r="AW1482" i="49"/>
  <c r="AW1481" i="49"/>
  <c r="AW1480" i="49"/>
  <c r="AW1479" i="49"/>
  <c r="AW1478" i="49"/>
  <c r="AW1477" i="49"/>
  <c r="AW1476" i="49"/>
  <c r="AW1475" i="49"/>
  <c r="AW1474" i="49"/>
  <c r="AW1473" i="49"/>
  <c r="AW1472" i="49"/>
  <c r="AW1471" i="49"/>
  <c r="AW1470" i="49"/>
  <c r="AW1469" i="49"/>
  <c r="AW1468" i="49"/>
  <c r="AW1467" i="49"/>
  <c r="AW1466" i="49"/>
  <c r="AW1465" i="49"/>
  <c r="AW1464" i="49"/>
  <c r="AW1463" i="49"/>
  <c r="AW1462" i="49"/>
  <c r="AW1461" i="49"/>
  <c r="AW1460" i="49"/>
  <c r="AW1459" i="49"/>
  <c r="AW1458" i="49"/>
  <c r="AW1457" i="49"/>
  <c r="AW1456" i="49"/>
  <c r="AW1455" i="49"/>
  <c r="AW1454" i="49"/>
  <c r="AW1453" i="49"/>
  <c r="AW1452" i="49"/>
  <c r="AW1451" i="49"/>
  <c r="AW1450" i="49"/>
  <c r="AW1449" i="49"/>
  <c r="AW1448" i="49"/>
  <c r="AW1447" i="49"/>
  <c r="AW1446" i="49"/>
  <c r="AW1445" i="49"/>
  <c r="AW1444" i="49"/>
  <c r="AW1443" i="49"/>
  <c r="AW1442" i="49"/>
  <c r="AW1441" i="49"/>
  <c r="AW1440" i="49"/>
  <c r="AW1439" i="49"/>
  <c r="AW1438" i="49"/>
  <c r="AW1437" i="49"/>
  <c r="AW1436" i="49"/>
  <c r="AW1435" i="49"/>
  <c r="AW1434" i="49"/>
  <c r="AW1433" i="49"/>
  <c r="AW1432" i="49"/>
  <c r="AW1431" i="49"/>
  <c r="AW1430" i="49"/>
  <c r="AW1429" i="49"/>
  <c r="AW1428" i="49"/>
  <c r="AW1427" i="49"/>
  <c r="AW1426" i="49"/>
  <c r="AW1425" i="49"/>
  <c r="AW1424" i="49"/>
  <c r="AW1423" i="49"/>
  <c r="AW1422" i="49"/>
  <c r="AW1421" i="49"/>
  <c r="AW1420" i="49"/>
  <c r="AW1419" i="49"/>
  <c r="AW1418" i="49"/>
  <c r="AW1417" i="49"/>
  <c r="AW1416" i="49"/>
  <c r="AW1415" i="49"/>
  <c r="AW1414" i="49"/>
  <c r="AW1413" i="49"/>
  <c r="AW1412" i="49"/>
  <c r="AW1411" i="49"/>
  <c r="AW1410" i="49"/>
  <c r="AW1409" i="49"/>
  <c r="AW1408" i="49"/>
  <c r="AW1407" i="49"/>
  <c r="AW1406" i="49"/>
  <c r="AW1405" i="49"/>
  <c r="AW1404" i="49"/>
  <c r="AW1403" i="49"/>
  <c r="AW1402" i="49"/>
  <c r="AW1401" i="49"/>
  <c r="AW1400" i="49"/>
  <c r="AW1399" i="49"/>
  <c r="AW1398" i="49"/>
  <c r="AW1397" i="49"/>
  <c r="AW1396" i="49"/>
  <c r="AW1395" i="49"/>
  <c r="AW1394" i="49"/>
  <c r="AW1393" i="49"/>
  <c r="AW1392" i="49"/>
  <c r="AW1391" i="49"/>
  <c r="AW1390" i="49"/>
  <c r="AW1389" i="49"/>
  <c r="AW1388" i="49"/>
  <c r="AW1387" i="49"/>
  <c r="AW1386" i="49"/>
  <c r="AW1385" i="49"/>
  <c r="AW1384" i="49"/>
  <c r="AW1383" i="49"/>
  <c r="AW1382" i="49"/>
  <c r="AW1381" i="49"/>
  <c r="AW1380" i="49"/>
  <c r="AW1379" i="49"/>
  <c r="AW1378" i="49"/>
  <c r="AW1377" i="49"/>
  <c r="AW1376" i="49"/>
  <c r="AW1375" i="49"/>
  <c r="AW1374" i="49"/>
  <c r="AW1373" i="49"/>
  <c r="AW1372" i="49"/>
  <c r="AW1371" i="49"/>
  <c r="AW1370" i="49"/>
  <c r="AW1369" i="49"/>
  <c r="AW1368" i="49"/>
  <c r="AW1367" i="49"/>
  <c r="AW1366" i="49"/>
  <c r="AW1365" i="49"/>
  <c r="AW1364" i="49"/>
  <c r="AW1363" i="49"/>
  <c r="AW1362" i="49"/>
  <c r="AW1361" i="49"/>
  <c r="AW1360" i="49"/>
  <c r="AW1359" i="49"/>
  <c r="AW1358" i="49"/>
  <c r="AW1357" i="49"/>
  <c r="AW1356" i="49"/>
  <c r="AW1355" i="49"/>
  <c r="AW1354" i="49"/>
  <c r="AW1353" i="49"/>
  <c r="AW1352" i="49"/>
  <c r="AW1351" i="49"/>
  <c r="AW1350" i="49"/>
  <c r="AW1349" i="49"/>
  <c r="AW1348" i="49"/>
  <c r="AW1347" i="49"/>
  <c r="AW1346" i="49"/>
  <c r="AW1345" i="49"/>
  <c r="AW1344" i="49"/>
  <c r="AW1343" i="49"/>
  <c r="AW1342" i="49"/>
  <c r="AW1341" i="49"/>
  <c r="AW1340" i="49"/>
  <c r="AW1339" i="49"/>
  <c r="AW1338" i="49"/>
  <c r="AW1337" i="49"/>
  <c r="AW1336" i="49"/>
  <c r="AW1335" i="49"/>
  <c r="AW1334" i="49"/>
  <c r="AW1333" i="49"/>
  <c r="AW1332" i="49"/>
  <c r="AW1331" i="49"/>
  <c r="AW1330" i="49"/>
  <c r="AW1329" i="49"/>
  <c r="AW1328" i="49"/>
  <c r="AW1327" i="49"/>
  <c r="AW1326" i="49"/>
  <c r="AW1325" i="49"/>
  <c r="AW1324" i="49"/>
  <c r="AW1323" i="49"/>
  <c r="AW1322" i="49"/>
  <c r="AW1321" i="49"/>
  <c r="AW1320" i="49"/>
  <c r="AW1319" i="49"/>
  <c r="AW1318" i="49"/>
  <c r="AW1317" i="49"/>
  <c r="AW1316" i="49"/>
  <c r="AW1315" i="49"/>
  <c r="AW1314" i="49"/>
  <c r="AW1313" i="49"/>
  <c r="AW1312" i="49"/>
  <c r="AW1311" i="49"/>
  <c r="AW1310" i="49"/>
  <c r="AW1309" i="49"/>
  <c r="AW1308" i="49"/>
  <c r="AW1307" i="49"/>
  <c r="AW1306" i="49"/>
  <c r="AW1305" i="49"/>
  <c r="AW1304" i="49"/>
  <c r="AW1303" i="49"/>
  <c r="AW1302" i="49"/>
  <c r="AW1301" i="49"/>
  <c r="AW1300" i="49"/>
  <c r="AW1299" i="49"/>
  <c r="AW1298" i="49"/>
  <c r="AW1297" i="49"/>
  <c r="AW1296" i="49"/>
  <c r="AW1295" i="49"/>
  <c r="AW1294" i="49"/>
  <c r="AW1293" i="49"/>
  <c r="AW1292" i="49"/>
  <c r="AW1291" i="49"/>
  <c r="AW1290" i="49"/>
  <c r="AW1289" i="49"/>
  <c r="AW1288" i="49"/>
  <c r="AW1287" i="49"/>
  <c r="AW1286" i="49"/>
  <c r="AW1285" i="49"/>
  <c r="AW1284" i="49"/>
  <c r="AW1283" i="49"/>
  <c r="AW1282" i="49"/>
  <c r="AW1281" i="49"/>
  <c r="AW1280" i="49"/>
  <c r="AW1279" i="49"/>
  <c r="AW1278" i="49"/>
  <c r="AW1277" i="49"/>
  <c r="AW1276" i="49"/>
  <c r="AW1275" i="49"/>
  <c r="AW1274" i="49"/>
  <c r="AW1273" i="49"/>
  <c r="AW1272" i="49"/>
  <c r="AW1271" i="49"/>
  <c r="AW1270" i="49"/>
  <c r="AW1269" i="49"/>
  <c r="AW1268" i="49"/>
  <c r="AW1267" i="49"/>
  <c r="AW1266" i="49"/>
  <c r="AW1265" i="49"/>
  <c r="AW1264" i="49"/>
  <c r="AW1263" i="49"/>
  <c r="AW1262" i="49"/>
  <c r="AW1261" i="49"/>
  <c r="AW1260" i="49"/>
  <c r="AW1259" i="49"/>
  <c r="AW1258" i="49"/>
  <c r="AW1257" i="49"/>
  <c r="AW1256" i="49"/>
  <c r="AW1255" i="49"/>
  <c r="AW1254" i="49"/>
  <c r="AW1253" i="49"/>
  <c r="AW1252" i="49"/>
  <c r="AW1251" i="49"/>
  <c r="AW1250" i="49"/>
  <c r="AW1249" i="49"/>
  <c r="AW1248" i="49"/>
  <c r="AW1247" i="49"/>
  <c r="AW1246" i="49"/>
  <c r="AW1245" i="49"/>
  <c r="AW1244" i="49"/>
  <c r="AW1243" i="49"/>
  <c r="AW1242" i="49"/>
  <c r="AW1241" i="49"/>
  <c r="AW1240" i="49"/>
  <c r="AW1239" i="49"/>
  <c r="AW1238" i="49"/>
  <c r="AW1237" i="49"/>
  <c r="AW1236" i="49"/>
  <c r="AW1235" i="49"/>
  <c r="AW1234" i="49"/>
  <c r="AW1233" i="49"/>
  <c r="AW1232" i="49"/>
  <c r="AW1231" i="49"/>
  <c r="AW1230" i="49"/>
  <c r="AW1229" i="49"/>
  <c r="AW1228" i="49"/>
  <c r="AW1227" i="49"/>
  <c r="AW1226" i="49"/>
  <c r="AW1225" i="49"/>
  <c r="AW1224" i="49"/>
  <c r="AW1223" i="49"/>
  <c r="AW1222" i="49"/>
  <c r="AW1221" i="49"/>
  <c r="AW1220" i="49"/>
  <c r="AW1219" i="49"/>
  <c r="AW1218" i="49"/>
  <c r="AW1217" i="49"/>
  <c r="AW1216" i="49"/>
  <c r="AW1215" i="49"/>
  <c r="AW1214" i="49"/>
  <c r="AW1213" i="49"/>
  <c r="AW1212" i="49"/>
  <c r="AW1211" i="49"/>
  <c r="AW1210" i="49"/>
  <c r="AW1209" i="49"/>
  <c r="AW1208" i="49"/>
  <c r="AW1207" i="49"/>
  <c r="AW1206" i="49"/>
  <c r="AW1205" i="49"/>
  <c r="AW1204" i="49"/>
  <c r="AW1203" i="49"/>
  <c r="AW1202" i="49"/>
  <c r="AW1201" i="49"/>
  <c r="AW1200" i="49"/>
  <c r="AW1199" i="49"/>
  <c r="AW1198" i="49"/>
  <c r="AW1197" i="49"/>
  <c r="AW1196" i="49"/>
  <c r="AW1195" i="49"/>
  <c r="AW1194" i="49"/>
  <c r="AW1193" i="49"/>
  <c r="AW1192" i="49"/>
  <c r="AW1191" i="49"/>
  <c r="AW1190" i="49"/>
  <c r="AW1189" i="49"/>
  <c r="AW1188" i="49"/>
  <c r="AW1187" i="49"/>
  <c r="AW1186" i="49"/>
  <c r="AW1185" i="49"/>
  <c r="AW1184" i="49"/>
  <c r="AW1183" i="49"/>
  <c r="AW1182" i="49"/>
  <c r="AW1181" i="49"/>
  <c r="AW1180" i="49"/>
  <c r="AW1179" i="49"/>
  <c r="AW1178" i="49"/>
  <c r="AW1177" i="49"/>
  <c r="AW1176" i="49"/>
  <c r="AW1175" i="49"/>
  <c r="AW1174" i="49"/>
  <c r="AW1173" i="49"/>
  <c r="AW1172" i="49"/>
  <c r="AW1171" i="49"/>
  <c r="AW1170" i="49"/>
  <c r="AW1169" i="49"/>
  <c r="AW1168" i="49"/>
  <c r="AW1167" i="49"/>
  <c r="AW1166" i="49"/>
  <c r="AW1165" i="49"/>
  <c r="AW1164" i="49"/>
  <c r="AW1163" i="49"/>
  <c r="AW1162" i="49"/>
  <c r="AW1161" i="49"/>
  <c r="AW1160" i="49"/>
  <c r="AW1159" i="49"/>
  <c r="AW1158" i="49"/>
  <c r="AW1157" i="49"/>
  <c r="AW1156" i="49"/>
  <c r="AW1155" i="49"/>
  <c r="AW1154" i="49"/>
  <c r="AW1153" i="49"/>
  <c r="AW1152" i="49"/>
  <c r="AW1151" i="49"/>
  <c r="AW1150" i="49"/>
  <c r="AW1149" i="49"/>
  <c r="AW1148" i="49"/>
  <c r="AW1147" i="49"/>
  <c r="AW1146" i="49"/>
  <c r="AW1145" i="49"/>
  <c r="AW1144" i="49"/>
  <c r="AW1143" i="49"/>
  <c r="AW1142" i="49"/>
  <c r="AW1141" i="49"/>
  <c r="AW1140" i="49"/>
  <c r="AW1139" i="49"/>
  <c r="AW1138" i="49"/>
  <c r="AW1137" i="49"/>
  <c r="AW1136" i="49"/>
  <c r="AW1135" i="49"/>
  <c r="AW1134" i="49"/>
  <c r="AW1133" i="49"/>
  <c r="AW1132" i="49"/>
  <c r="AW1131" i="49"/>
  <c r="AW1130" i="49"/>
  <c r="AW1129" i="49"/>
  <c r="AW1128" i="49"/>
  <c r="AW1127" i="49"/>
  <c r="AW1126" i="49"/>
  <c r="AW1125" i="49"/>
  <c r="AW1124" i="49"/>
  <c r="AW1123" i="49"/>
  <c r="AW1122" i="49"/>
  <c r="AW1121" i="49"/>
  <c r="AW1120" i="49"/>
  <c r="AW1119" i="49"/>
  <c r="AW1118" i="49"/>
  <c r="AW1117" i="49"/>
  <c r="AW1116" i="49"/>
  <c r="AW1115" i="49"/>
  <c r="AW1114" i="49"/>
  <c r="AW1113" i="49"/>
  <c r="AW1112" i="49"/>
  <c r="AW1111" i="49"/>
  <c r="AW1110" i="49"/>
  <c r="AW1109" i="49"/>
  <c r="AW1108" i="49"/>
  <c r="AW1107" i="49"/>
  <c r="AW1106" i="49"/>
  <c r="AW1105" i="49"/>
  <c r="AW1104" i="49"/>
  <c r="AW1103" i="49"/>
  <c r="AW1102" i="49"/>
  <c r="AW1101" i="49"/>
  <c r="AW1100" i="49"/>
  <c r="AW1099" i="49"/>
  <c r="AW1098" i="49"/>
  <c r="AW1097" i="49"/>
  <c r="AW1096" i="49"/>
  <c r="AW1095" i="49"/>
  <c r="AW1094" i="49"/>
  <c r="AW1093" i="49"/>
  <c r="AW1092" i="49"/>
  <c r="AW1091" i="49"/>
  <c r="AW1090" i="49"/>
  <c r="AW1089" i="49"/>
  <c r="AW1088" i="49"/>
  <c r="AW1087" i="49"/>
  <c r="AW1086" i="49"/>
  <c r="AW1085" i="49"/>
  <c r="AW1084" i="49"/>
  <c r="AW1083" i="49"/>
  <c r="AW1082" i="49"/>
  <c r="AW1081" i="49"/>
  <c r="AW1080" i="49"/>
  <c r="AW1079" i="49"/>
  <c r="AW1078" i="49"/>
  <c r="AW1077" i="49"/>
  <c r="AW1076" i="49"/>
  <c r="AW1075" i="49"/>
  <c r="AW1074" i="49"/>
  <c r="AW1073" i="49"/>
  <c r="AW1072" i="49"/>
  <c r="AW1071" i="49"/>
  <c r="AW1070" i="49"/>
  <c r="AW1069" i="49"/>
  <c r="AW1068" i="49"/>
  <c r="AW1067" i="49"/>
  <c r="AW1066" i="49"/>
  <c r="AW1065" i="49"/>
  <c r="AW1064" i="49"/>
  <c r="AW1063" i="49"/>
  <c r="AW1062" i="49"/>
  <c r="AW1061" i="49"/>
  <c r="AW1060" i="49"/>
  <c r="AW1059" i="49"/>
  <c r="AW1058" i="49"/>
  <c r="AW1057" i="49"/>
  <c r="AW1056" i="49"/>
  <c r="AW1055" i="49"/>
  <c r="AW1054" i="49"/>
  <c r="AW1053" i="49"/>
  <c r="AW1052" i="49"/>
  <c r="AW1051" i="49"/>
  <c r="AW1050" i="49"/>
  <c r="AW1049" i="49"/>
  <c r="AW1048" i="49"/>
  <c r="AW1047" i="49"/>
  <c r="AW1046" i="49"/>
  <c r="AW1045" i="49"/>
  <c r="AW1044" i="49"/>
  <c r="AW1043" i="49"/>
  <c r="AW1042" i="49"/>
  <c r="AW1041" i="49"/>
  <c r="AW1040" i="49"/>
  <c r="AW1039" i="49"/>
  <c r="AW1038" i="49"/>
  <c r="AW1037" i="49"/>
  <c r="AW1036" i="49"/>
  <c r="AW1035" i="49"/>
  <c r="AW1034" i="49"/>
  <c r="AW1033" i="49"/>
  <c r="AW1032" i="49"/>
  <c r="AW1031" i="49"/>
  <c r="AW1030" i="49"/>
  <c r="AW1029" i="49"/>
  <c r="AW1028" i="49"/>
  <c r="AW1027" i="49"/>
  <c r="AW1026" i="49"/>
  <c r="AW1025" i="49"/>
  <c r="AW1024" i="49"/>
  <c r="AW1023" i="49"/>
  <c r="AW1022" i="49"/>
  <c r="AW1021" i="49"/>
  <c r="AW1020" i="49"/>
  <c r="AW1019" i="49"/>
  <c r="AW1018" i="49"/>
  <c r="AW1017" i="49"/>
  <c r="AW1016" i="49"/>
  <c r="AW1015" i="49"/>
  <c r="AW1014" i="49"/>
  <c r="AW1013" i="49"/>
  <c r="AW1012" i="49"/>
  <c r="AW1011" i="49"/>
  <c r="AW1010" i="49"/>
  <c r="AW1009" i="49"/>
  <c r="AW1008" i="49"/>
  <c r="AW1007" i="49"/>
  <c r="AW1006" i="49"/>
  <c r="AW1005" i="49"/>
  <c r="AW1004" i="49"/>
  <c r="AW1003" i="49"/>
  <c r="AW1002" i="49"/>
  <c r="AW1001" i="49"/>
  <c r="AW1000" i="49"/>
  <c r="AW999" i="49"/>
  <c r="AW998" i="49"/>
  <c r="AW997" i="49"/>
  <c r="AW996" i="49"/>
  <c r="AW995" i="49"/>
  <c r="AW994" i="49"/>
  <c r="AW993" i="49"/>
  <c r="AW992" i="49"/>
  <c r="AW991" i="49"/>
  <c r="AW990" i="49"/>
  <c r="AW989" i="49"/>
  <c r="AW988" i="49"/>
  <c r="AW987" i="49"/>
  <c r="AW986" i="49"/>
  <c r="AW985" i="49"/>
  <c r="AW984" i="49"/>
  <c r="AW983" i="49"/>
  <c r="AW982" i="49"/>
  <c r="AW981" i="49"/>
  <c r="AW980" i="49"/>
  <c r="AW979" i="49"/>
  <c r="AW978" i="49"/>
  <c r="AW977" i="49"/>
  <c r="AW976" i="49"/>
  <c r="AW975" i="49"/>
  <c r="AW974" i="49"/>
  <c r="AW973" i="49"/>
  <c r="AW972" i="49"/>
  <c r="AW971" i="49"/>
  <c r="AW970" i="49"/>
  <c r="AW969" i="49"/>
  <c r="AW968" i="49"/>
  <c r="AW967" i="49"/>
  <c r="AW966" i="49"/>
  <c r="AW965" i="49"/>
  <c r="AW964" i="49"/>
  <c r="AW963" i="49"/>
  <c r="AW962" i="49"/>
  <c r="AW961" i="49"/>
  <c r="AW960" i="49"/>
  <c r="AW959" i="49"/>
  <c r="AW958" i="49"/>
  <c r="AW957" i="49"/>
  <c r="AW956" i="49"/>
  <c r="AW955" i="49"/>
  <c r="AW954" i="49"/>
  <c r="AW953" i="49"/>
  <c r="AW952" i="49"/>
  <c r="AW951" i="49"/>
  <c r="AW950" i="49"/>
  <c r="AW949" i="49"/>
  <c r="AW948" i="49"/>
  <c r="AW947" i="49"/>
  <c r="AW946" i="49"/>
  <c r="AW945" i="49"/>
  <c r="AW944" i="49"/>
  <c r="AW943" i="49"/>
  <c r="AW942" i="49"/>
  <c r="AW941" i="49"/>
  <c r="AW940" i="49"/>
  <c r="AW939" i="49"/>
  <c r="AW938" i="49"/>
  <c r="AW937" i="49"/>
  <c r="AW936" i="49"/>
  <c r="AW935" i="49"/>
  <c r="AW934" i="49"/>
  <c r="AW933" i="49"/>
  <c r="AW932" i="49"/>
  <c r="AW931" i="49"/>
  <c r="AW930" i="49"/>
  <c r="AW929" i="49"/>
  <c r="AW928" i="49"/>
  <c r="AW927" i="49"/>
  <c r="AW926" i="49"/>
  <c r="AW925" i="49"/>
  <c r="AW924" i="49"/>
  <c r="AW923" i="49"/>
  <c r="AW922" i="49"/>
  <c r="AW921" i="49"/>
  <c r="AW920" i="49"/>
  <c r="AW919" i="49"/>
  <c r="AW918" i="49"/>
  <c r="AW917" i="49"/>
  <c r="AW916" i="49"/>
  <c r="AW915" i="49"/>
  <c r="AW914" i="49"/>
  <c r="AW913" i="49"/>
  <c r="AW912" i="49"/>
  <c r="AW911" i="49"/>
  <c r="AW910" i="49"/>
  <c r="AW909" i="49"/>
  <c r="AW908" i="49"/>
  <c r="AW907" i="49"/>
  <c r="AW906" i="49"/>
  <c r="AW905" i="49"/>
  <c r="AW904" i="49"/>
  <c r="AW903" i="49"/>
  <c r="AW902" i="49"/>
  <c r="AW901" i="49"/>
  <c r="AW900" i="49"/>
  <c r="AW899" i="49"/>
  <c r="AW898" i="49"/>
  <c r="AW897" i="49"/>
  <c r="AW896" i="49"/>
  <c r="AW895" i="49"/>
  <c r="AW894" i="49"/>
  <c r="AW893" i="49"/>
  <c r="AW892" i="49"/>
  <c r="AW891" i="49"/>
  <c r="AW890" i="49"/>
  <c r="AW889" i="49"/>
  <c r="AW888" i="49"/>
  <c r="AW887" i="49"/>
  <c r="AW886" i="49"/>
  <c r="AW885" i="49"/>
  <c r="AW884" i="49"/>
  <c r="AW883" i="49"/>
  <c r="AW882" i="49"/>
  <c r="AW881" i="49"/>
  <c r="AW880" i="49"/>
  <c r="AW879" i="49"/>
  <c r="AW878" i="49"/>
  <c r="AW877" i="49"/>
  <c r="AW876" i="49"/>
  <c r="AW875" i="49"/>
  <c r="AW874" i="49"/>
  <c r="AW873" i="49"/>
  <c r="AW872" i="49"/>
  <c r="AW871" i="49"/>
  <c r="AW870" i="49"/>
  <c r="AW869" i="49"/>
  <c r="AW868" i="49"/>
  <c r="AW867" i="49"/>
  <c r="AW866" i="49"/>
  <c r="AW865" i="49"/>
  <c r="AW864" i="49"/>
  <c r="AW863" i="49"/>
  <c r="AW862" i="49"/>
  <c r="AW861" i="49"/>
  <c r="AW860" i="49"/>
  <c r="AW859" i="49"/>
  <c r="AW858" i="49"/>
  <c r="AW857" i="49"/>
  <c r="AW856" i="49"/>
  <c r="AW855" i="49"/>
  <c r="AW854" i="49"/>
  <c r="AW853" i="49"/>
  <c r="AW852" i="49"/>
  <c r="AW851" i="49"/>
  <c r="AW850" i="49"/>
  <c r="AW849" i="49"/>
  <c r="AW848" i="49"/>
  <c r="AW847" i="49"/>
  <c r="AW846" i="49"/>
  <c r="AW845" i="49"/>
  <c r="AW844" i="49"/>
  <c r="AW843" i="49"/>
  <c r="AW842" i="49"/>
  <c r="AW841" i="49"/>
  <c r="AW840" i="49"/>
  <c r="AW839" i="49"/>
  <c r="AW838" i="49"/>
  <c r="AW837" i="49"/>
  <c r="AW836" i="49"/>
  <c r="AW835" i="49"/>
  <c r="AW834" i="49"/>
  <c r="AW833" i="49"/>
  <c r="AW832" i="49"/>
  <c r="AW831" i="49"/>
  <c r="AW830" i="49"/>
  <c r="AW829" i="49"/>
  <c r="AW828" i="49"/>
  <c r="AW827" i="49"/>
  <c r="AW826" i="49"/>
  <c r="AW825" i="49"/>
  <c r="AW824" i="49"/>
  <c r="AW823" i="49"/>
  <c r="AW822" i="49"/>
  <c r="AW821" i="49"/>
  <c r="AW820" i="49"/>
  <c r="AW819" i="49"/>
  <c r="AW818" i="49"/>
  <c r="AW817" i="49"/>
  <c r="AW816" i="49"/>
  <c r="AW815" i="49"/>
  <c r="AW814" i="49"/>
  <c r="AW813" i="49"/>
  <c r="AW812" i="49"/>
  <c r="AW811" i="49"/>
  <c r="AW810" i="49"/>
  <c r="AW809" i="49"/>
  <c r="AW808" i="49"/>
  <c r="AW807" i="49"/>
  <c r="AW806" i="49"/>
  <c r="AW805" i="49"/>
  <c r="AW804" i="49"/>
  <c r="AW803" i="49"/>
  <c r="AW802" i="49"/>
  <c r="AW801" i="49"/>
  <c r="AW800" i="49"/>
  <c r="AW799" i="49"/>
  <c r="AW798" i="49"/>
  <c r="AW797" i="49"/>
  <c r="AW796" i="49"/>
  <c r="AW795" i="49"/>
  <c r="AW794" i="49"/>
  <c r="AW793" i="49"/>
  <c r="AW792" i="49"/>
  <c r="AW791" i="49"/>
  <c r="AW790" i="49"/>
  <c r="AW789" i="49"/>
  <c r="AW788" i="49"/>
  <c r="AW787" i="49"/>
  <c r="AW786" i="49"/>
  <c r="AW785" i="49"/>
  <c r="AW784" i="49"/>
  <c r="AW783" i="49"/>
  <c r="AW782" i="49"/>
  <c r="AW781" i="49"/>
  <c r="AW780" i="49"/>
  <c r="AW779" i="49"/>
  <c r="AW778" i="49"/>
  <c r="AW777" i="49"/>
  <c r="AW776" i="49"/>
  <c r="AW775" i="49"/>
  <c r="AW774" i="49"/>
  <c r="AW773" i="49"/>
  <c r="AW772" i="49"/>
  <c r="AW771" i="49"/>
  <c r="AW770" i="49"/>
  <c r="AW769" i="49"/>
  <c r="AW768" i="49"/>
  <c r="AW767" i="49"/>
  <c r="AW766" i="49"/>
  <c r="AW765" i="49"/>
  <c r="AW764" i="49"/>
  <c r="AW763" i="49"/>
  <c r="AW762" i="49"/>
  <c r="AW761" i="49"/>
  <c r="AW760" i="49"/>
  <c r="AW759" i="49"/>
  <c r="AW758" i="49"/>
  <c r="AW757" i="49"/>
  <c r="AW756" i="49"/>
  <c r="AW755" i="49"/>
  <c r="AW754" i="49"/>
  <c r="AW753" i="49"/>
  <c r="AW752" i="49"/>
  <c r="AW751" i="49"/>
  <c r="AW750" i="49"/>
  <c r="AW749" i="49"/>
  <c r="AW748" i="49"/>
  <c r="AW747" i="49"/>
  <c r="AW746" i="49"/>
  <c r="AW745" i="49"/>
  <c r="AW744" i="49"/>
  <c r="AW743" i="49"/>
  <c r="AW742" i="49"/>
  <c r="AW741" i="49"/>
  <c r="AW740" i="49"/>
  <c r="AW739" i="49"/>
  <c r="AW738" i="49"/>
  <c r="AW737" i="49"/>
  <c r="AW736" i="49"/>
  <c r="AW735" i="49"/>
  <c r="AW734" i="49"/>
  <c r="AW733" i="49"/>
  <c r="AW732" i="49"/>
  <c r="AW731" i="49"/>
  <c r="AW730" i="49"/>
  <c r="AW729" i="49"/>
  <c r="AW728" i="49"/>
  <c r="AW727" i="49"/>
  <c r="AW726" i="49"/>
  <c r="AW725" i="49"/>
  <c r="AW724" i="49"/>
  <c r="AW723" i="49"/>
  <c r="AW722" i="49"/>
  <c r="AW721" i="49"/>
  <c r="AW720" i="49"/>
  <c r="AW719" i="49"/>
  <c r="AW718" i="49"/>
  <c r="AW717" i="49"/>
  <c r="AW716" i="49"/>
  <c r="AW715" i="49"/>
  <c r="AW714" i="49"/>
  <c r="AW713" i="49"/>
  <c r="AW712" i="49"/>
  <c r="AW711" i="49"/>
  <c r="AW710" i="49"/>
  <c r="AW709" i="49"/>
  <c r="AW708" i="49"/>
  <c r="AW707" i="49"/>
  <c r="AW706" i="49"/>
  <c r="AW705" i="49"/>
  <c r="AW704" i="49"/>
  <c r="AW703" i="49"/>
  <c r="AW702" i="49"/>
  <c r="AW701" i="49"/>
  <c r="AW700" i="49"/>
  <c r="AW699" i="49"/>
  <c r="AW698" i="49"/>
  <c r="AW697" i="49"/>
  <c r="AW696" i="49"/>
  <c r="AW695" i="49"/>
  <c r="AW694" i="49"/>
  <c r="AW693" i="49"/>
  <c r="AW692" i="49"/>
  <c r="AW691" i="49"/>
  <c r="AW690" i="49"/>
  <c r="AW689" i="49"/>
  <c r="AW688" i="49"/>
  <c r="AW687" i="49"/>
  <c r="AW686" i="49"/>
  <c r="AW685" i="49"/>
  <c r="AW684" i="49"/>
  <c r="AW683" i="49"/>
  <c r="AW682" i="49"/>
  <c r="AW681" i="49"/>
  <c r="AW680" i="49"/>
  <c r="AW679" i="49"/>
  <c r="AW678" i="49"/>
  <c r="AW677" i="49"/>
  <c r="AW676" i="49"/>
  <c r="AW675" i="49"/>
  <c r="AW674" i="49"/>
  <c r="AW673" i="49"/>
  <c r="AW672" i="49"/>
  <c r="AW671" i="49"/>
  <c r="AW670" i="49"/>
  <c r="AW669" i="49"/>
  <c r="AW668" i="49"/>
  <c r="AW667" i="49"/>
  <c r="AW666" i="49"/>
  <c r="AW665" i="49"/>
  <c r="AW664" i="49"/>
  <c r="AW663" i="49"/>
  <c r="AW662" i="49"/>
  <c r="AW661" i="49"/>
  <c r="AW660" i="49"/>
  <c r="AW659" i="49"/>
  <c r="AW658" i="49"/>
  <c r="AW657" i="49"/>
  <c r="AW656" i="49"/>
  <c r="AW655" i="49"/>
  <c r="AW654" i="49"/>
  <c r="AW653" i="49"/>
  <c r="AW652" i="49"/>
  <c r="AW651" i="49"/>
  <c r="AW650" i="49"/>
  <c r="AW649" i="49"/>
  <c r="AW648" i="49"/>
  <c r="AW647" i="49"/>
  <c r="AW646" i="49"/>
  <c r="AW645" i="49"/>
  <c r="AW644" i="49"/>
  <c r="AW643" i="49"/>
  <c r="AW642" i="49"/>
  <c r="AW641" i="49"/>
  <c r="AW640" i="49"/>
  <c r="AW639" i="49"/>
  <c r="AW638" i="49"/>
  <c r="AW637" i="49"/>
  <c r="AW636" i="49"/>
  <c r="AW635" i="49"/>
  <c r="AW634" i="49"/>
  <c r="AW633" i="49"/>
  <c r="AW632" i="49"/>
  <c r="AW631" i="49"/>
  <c r="AW630" i="49"/>
  <c r="AW629" i="49"/>
  <c r="AW628" i="49"/>
  <c r="AW627" i="49"/>
  <c r="AW626" i="49"/>
  <c r="AW625" i="49"/>
  <c r="AW624" i="49"/>
  <c r="AW623" i="49"/>
  <c r="AW622" i="49"/>
  <c r="AW621" i="49"/>
  <c r="AW620" i="49"/>
  <c r="AW619" i="49"/>
  <c r="AW618" i="49"/>
  <c r="AW617" i="49"/>
  <c r="AW616" i="49"/>
  <c r="AW615" i="49"/>
  <c r="AW614" i="49"/>
  <c r="AW613" i="49"/>
  <c r="AW612" i="49"/>
  <c r="AW611" i="49"/>
  <c r="AW610" i="49"/>
  <c r="AW609" i="49"/>
  <c r="AW608" i="49"/>
  <c r="AW607" i="49"/>
  <c r="AW606" i="49"/>
  <c r="AW605" i="49"/>
  <c r="AW604" i="49"/>
  <c r="AW603" i="49"/>
  <c r="AW602" i="49"/>
  <c r="AW601" i="49"/>
  <c r="AW600" i="49"/>
  <c r="AW599" i="49"/>
  <c r="AW598" i="49"/>
  <c r="AW597" i="49"/>
  <c r="AW596" i="49"/>
  <c r="AW595" i="49"/>
  <c r="AW594" i="49"/>
  <c r="AW593" i="49"/>
  <c r="AW592" i="49"/>
  <c r="AW591" i="49"/>
  <c r="AW590" i="49"/>
  <c r="AW589" i="49"/>
  <c r="AW588" i="49"/>
  <c r="AW587" i="49"/>
  <c r="AW586" i="49"/>
  <c r="AW585" i="49"/>
  <c r="AW584" i="49"/>
  <c r="AW583" i="49"/>
  <c r="AW582" i="49"/>
  <c r="AW581" i="49"/>
  <c r="AW580" i="49"/>
  <c r="AW579" i="49"/>
  <c r="AW578" i="49"/>
  <c r="AW577" i="49"/>
  <c r="AW576" i="49"/>
  <c r="AW575" i="49"/>
  <c r="AW574" i="49"/>
  <c r="AW573" i="49"/>
  <c r="AW572" i="49"/>
  <c r="AW571" i="49"/>
  <c r="AW570" i="49"/>
  <c r="AW569" i="49"/>
  <c r="AW568" i="49"/>
  <c r="AW567" i="49"/>
  <c r="AW566" i="49"/>
  <c r="AW565" i="49"/>
  <c r="AW564" i="49"/>
  <c r="AW563" i="49"/>
  <c r="AW562" i="49"/>
  <c r="AW561" i="49"/>
  <c r="AW560" i="49"/>
  <c r="AW559" i="49"/>
  <c r="AW558" i="49"/>
  <c r="AW557" i="49"/>
  <c r="AW556" i="49"/>
  <c r="AW555" i="49"/>
  <c r="AW554" i="49"/>
  <c r="AW553" i="49"/>
  <c r="AW552" i="49"/>
  <c r="AW551" i="49"/>
  <c r="AW550" i="49"/>
  <c r="AW549" i="49"/>
  <c r="AW548" i="49"/>
  <c r="AW547" i="49"/>
  <c r="AW546" i="49"/>
  <c r="AW545" i="49"/>
  <c r="AW544" i="49"/>
  <c r="AW543" i="49"/>
  <c r="AW542" i="49"/>
  <c r="AW541" i="49"/>
  <c r="AW540" i="49"/>
  <c r="AW539" i="49"/>
  <c r="AW538" i="49"/>
  <c r="AW537" i="49"/>
  <c r="AW536" i="49"/>
  <c r="AW535" i="49"/>
  <c r="AW534" i="49"/>
  <c r="AW533" i="49"/>
  <c r="AW532" i="49"/>
  <c r="AW531" i="49"/>
  <c r="AW530" i="49"/>
  <c r="AW529" i="49"/>
  <c r="AW528" i="49"/>
  <c r="AW527" i="49"/>
  <c r="AW526" i="49"/>
  <c r="AW525" i="49"/>
  <c r="AW524" i="49"/>
  <c r="AW523" i="49"/>
  <c r="AW522" i="49"/>
  <c r="AW521" i="49"/>
  <c r="AW520" i="49"/>
  <c r="AW519" i="49"/>
  <c r="AW518" i="49"/>
  <c r="AW517" i="49"/>
  <c r="AW516" i="49"/>
  <c r="AW515" i="49"/>
  <c r="AW514" i="49"/>
  <c r="AW513" i="49"/>
  <c r="AW512" i="49"/>
  <c r="AW511" i="49"/>
  <c r="AW510" i="49"/>
  <c r="AW509" i="49"/>
  <c r="AW508" i="49"/>
  <c r="AW507" i="49"/>
  <c r="AW506" i="49"/>
  <c r="AW505" i="49"/>
  <c r="AW504" i="49"/>
  <c r="AW503" i="49"/>
  <c r="AW502" i="49"/>
  <c r="AW501" i="49"/>
  <c r="AW500" i="49"/>
  <c r="AW499" i="49"/>
  <c r="AW498" i="49"/>
  <c r="AW497" i="49"/>
  <c r="AW496" i="49"/>
  <c r="AW495" i="49"/>
  <c r="AW494" i="49"/>
  <c r="AW493" i="49"/>
  <c r="AW492" i="49"/>
  <c r="AW491" i="49"/>
  <c r="AW490" i="49"/>
  <c r="AW489" i="49"/>
  <c r="AW488" i="49"/>
  <c r="AW487" i="49"/>
  <c r="AW486" i="49"/>
  <c r="AW485" i="49"/>
  <c r="AW484" i="49"/>
  <c r="AW483" i="49"/>
  <c r="AW482" i="49"/>
  <c r="AW481" i="49"/>
  <c r="AW480" i="49"/>
  <c r="AW479" i="49"/>
  <c r="AW478" i="49"/>
  <c r="AW477" i="49"/>
  <c r="AW476" i="49"/>
  <c r="AW475" i="49"/>
  <c r="AW474" i="49"/>
  <c r="AW473" i="49"/>
  <c r="AW472" i="49"/>
  <c r="AW471" i="49"/>
  <c r="AW470" i="49"/>
  <c r="AW469" i="49"/>
  <c r="AW468" i="49"/>
  <c r="AW467" i="49"/>
  <c r="AW466" i="49"/>
  <c r="AW465" i="49"/>
  <c r="AW464" i="49"/>
  <c r="AW463" i="49"/>
  <c r="AW462" i="49"/>
  <c r="AW461" i="49"/>
  <c r="AW460" i="49"/>
  <c r="AW459" i="49"/>
  <c r="AW458" i="49"/>
  <c r="AW457" i="49"/>
  <c r="AW456" i="49"/>
  <c r="AW455" i="49"/>
  <c r="AW454" i="49"/>
  <c r="AW453" i="49"/>
  <c r="AW452" i="49"/>
  <c r="AW451" i="49"/>
  <c r="AW450" i="49"/>
  <c r="AW449" i="49"/>
  <c r="AW448" i="49"/>
  <c r="AW447" i="49"/>
  <c r="AW446" i="49"/>
  <c r="AW445" i="49"/>
  <c r="AW444" i="49"/>
  <c r="AW443" i="49"/>
  <c r="AW442" i="49"/>
  <c r="AW441" i="49"/>
  <c r="AW440" i="49"/>
  <c r="AW439" i="49"/>
  <c r="AW438" i="49"/>
  <c r="AW437" i="49"/>
  <c r="AW436" i="49"/>
  <c r="AW435" i="49"/>
  <c r="AW434" i="49"/>
  <c r="AW433" i="49"/>
  <c r="AW432" i="49"/>
  <c r="AW431" i="49"/>
  <c r="AW430" i="49"/>
  <c r="AW429" i="49"/>
  <c r="AW428" i="49"/>
  <c r="AW427" i="49"/>
  <c r="AW426" i="49"/>
  <c r="AW425" i="49"/>
  <c r="AW424" i="49"/>
  <c r="AW423" i="49"/>
  <c r="AW422" i="49"/>
  <c r="AW421" i="49"/>
  <c r="AW420" i="49"/>
  <c r="AW419" i="49"/>
  <c r="AW418" i="49"/>
  <c r="AW417" i="49"/>
  <c r="AW416" i="49"/>
  <c r="AW415" i="49"/>
  <c r="AW414" i="49"/>
  <c r="AW413" i="49"/>
  <c r="AW412" i="49"/>
  <c r="AW411" i="49"/>
  <c r="AW410" i="49"/>
  <c r="AW409" i="49"/>
  <c r="AW408" i="49"/>
  <c r="AW407" i="49"/>
  <c r="AW406" i="49"/>
  <c r="AW405" i="49"/>
  <c r="AW404" i="49"/>
  <c r="AW403" i="49"/>
  <c r="AW402" i="49"/>
  <c r="AW401" i="49"/>
  <c r="AW400" i="49"/>
  <c r="AW399" i="49"/>
  <c r="AW398" i="49"/>
  <c r="AW397" i="49"/>
  <c r="AW396" i="49"/>
  <c r="AW395" i="49"/>
  <c r="AW394" i="49"/>
  <c r="AW393" i="49"/>
  <c r="AW392" i="49"/>
  <c r="AW391" i="49"/>
  <c r="AW390" i="49"/>
  <c r="AW389" i="49"/>
  <c r="AW388" i="49"/>
  <c r="AW387" i="49"/>
  <c r="AW386" i="49"/>
  <c r="AW385" i="49"/>
  <c r="AW384" i="49"/>
  <c r="AW383" i="49"/>
  <c r="AW382" i="49"/>
  <c r="AW381" i="49"/>
  <c r="AW380" i="49"/>
  <c r="AW379" i="49"/>
  <c r="AW378" i="49"/>
  <c r="AW377" i="49"/>
  <c r="AW376" i="49"/>
  <c r="AW375" i="49"/>
  <c r="AW374" i="49"/>
  <c r="AW373" i="49"/>
  <c r="AW372" i="49"/>
  <c r="AW371" i="49"/>
  <c r="AW370" i="49"/>
  <c r="AW369" i="49"/>
  <c r="AW368" i="49"/>
  <c r="AW367" i="49"/>
  <c r="AW366" i="49"/>
  <c r="AW365" i="49"/>
  <c r="AW364" i="49"/>
  <c r="AW363" i="49"/>
  <c r="AW362" i="49"/>
  <c r="AW361" i="49"/>
  <c r="AW360" i="49"/>
  <c r="AW359" i="49"/>
  <c r="AW358" i="49"/>
  <c r="AW357" i="49"/>
  <c r="AW356" i="49"/>
  <c r="AW355" i="49"/>
  <c r="AW354" i="49"/>
  <c r="AW353" i="49"/>
  <c r="AW352" i="49"/>
  <c r="AW351" i="49"/>
  <c r="AW350" i="49"/>
  <c r="AW349" i="49"/>
  <c r="AW348" i="49"/>
  <c r="AW347" i="49"/>
  <c r="AW346" i="49"/>
  <c r="AW345" i="49"/>
  <c r="AW344" i="49"/>
  <c r="AW343" i="49"/>
  <c r="AW342" i="49"/>
  <c r="AW341" i="49"/>
  <c r="AW340" i="49"/>
  <c r="AW339" i="49"/>
  <c r="AW338" i="49"/>
  <c r="AW337" i="49"/>
  <c r="AW336" i="49"/>
  <c r="AW335" i="49"/>
  <c r="AW334" i="49"/>
  <c r="AW333" i="49"/>
  <c r="AW332" i="49"/>
  <c r="AW331" i="49"/>
  <c r="AW330" i="49"/>
  <c r="AW329" i="49"/>
  <c r="AW328" i="49"/>
  <c r="AW327" i="49"/>
  <c r="AW326" i="49"/>
  <c r="AW325" i="49"/>
  <c r="AW324" i="49"/>
  <c r="AW323" i="49"/>
  <c r="AW322" i="49"/>
  <c r="AW321" i="49"/>
  <c r="AW320" i="49"/>
  <c r="AW319" i="49"/>
  <c r="AW318" i="49"/>
  <c r="AW317" i="49"/>
  <c r="AW316" i="49"/>
  <c r="AW315" i="49"/>
  <c r="AW314" i="49"/>
  <c r="AW313" i="49"/>
  <c r="AW312" i="49"/>
  <c r="AW311" i="49"/>
  <c r="AW310" i="49"/>
  <c r="AW309" i="49"/>
  <c r="AW308" i="49"/>
  <c r="AW307" i="49"/>
  <c r="AW306" i="49"/>
  <c r="AW305" i="49"/>
  <c r="AW304" i="49"/>
  <c r="AW303" i="49"/>
  <c r="AW302" i="49"/>
  <c r="AW301" i="49"/>
  <c r="AW300" i="49"/>
  <c r="AW299" i="49"/>
  <c r="AW298" i="49"/>
  <c r="AW297" i="49"/>
  <c r="AW296" i="49"/>
  <c r="AW295" i="49"/>
  <c r="AW294" i="49"/>
  <c r="AW293" i="49"/>
  <c r="AW292" i="49"/>
  <c r="AW291" i="49"/>
  <c r="AW290" i="49"/>
  <c r="AW289" i="49"/>
  <c r="AW288" i="49"/>
  <c r="AW287" i="49"/>
  <c r="AW286" i="49"/>
  <c r="AW285" i="49"/>
  <c r="AW284" i="49"/>
  <c r="AW283" i="49"/>
  <c r="AW282" i="49"/>
  <c r="AW281" i="49"/>
  <c r="AW280" i="49"/>
  <c r="AW279" i="49"/>
  <c r="AW278" i="49"/>
  <c r="AW277" i="49"/>
  <c r="AW276" i="49"/>
  <c r="AW275" i="49"/>
  <c r="AW274" i="49"/>
  <c r="AW273" i="49"/>
  <c r="AW272" i="49"/>
  <c r="AW271" i="49"/>
  <c r="AW270" i="49"/>
  <c r="AW269" i="49"/>
  <c r="AW268" i="49"/>
  <c r="AW267" i="49"/>
  <c r="AW266" i="49"/>
  <c r="AW265" i="49"/>
  <c r="AW264" i="49"/>
  <c r="AW263" i="49"/>
  <c r="AW262" i="49"/>
  <c r="AW261" i="49"/>
  <c r="AW260" i="49"/>
  <c r="AW259" i="49"/>
  <c r="AW258" i="49"/>
  <c r="AW257" i="49"/>
  <c r="AW256" i="49"/>
  <c r="AW255" i="49"/>
  <c r="AW254" i="49"/>
  <c r="AW253" i="49"/>
  <c r="AW252" i="49"/>
  <c r="AW251" i="49"/>
  <c r="AW250" i="49"/>
  <c r="AW249" i="49"/>
  <c r="AW248" i="49"/>
  <c r="AW247" i="49"/>
  <c r="AW246" i="49"/>
  <c r="AW245" i="49"/>
  <c r="AW244" i="49"/>
  <c r="AW243" i="49"/>
  <c r="AW242" i="49"/>
  <c r="AW241" i="49"/>
  <c r="AW240" i="49"/>
  <c r="AW239" i="49"/>
  <c r="AW238" i="49"/>
  <c r="AW237" i="49"/>
  <c r="AW236" i="49"/>
  <c r="AW235" i="49"/>
  <c r="AW234" i="49"/>
  <c r="AW233" i="49"/>
  <c r="AW232" i="49"/>
  <c r="AW231" i="49"/>
  <c r="AW230" i="49"/>
  <c r="AW229" i="49"/>
  <c r="AW228" i="49"/>
  <c r="AW227" i="49"/>
  <c r="AW226" i="49"/>
  <c r="AW225" i="49"/>
  <c r="AW224" i="49"/>
  <c r="AW223" i="49"/>
  <c r="AW222" i="49"/>
  <c r="AW221" i="49"/>
  <c r="AW220" i="49"/>
  <c r="AW219" i="49"/>
  <c r="AW218" i="49"/>
  <c r="AW217" i="49"/>
  <c r="AW216" i="49"/>
  <c r="AW215" i="49"/>
  <c r="AW214" i="49"/>
  <c r="AW213" i="49"/>
  <c r="AW212" i="49"/>
  <c r="AW211" i="49"/>
  <c r="AW210" i="49"/>
  <c r="AW209" i="49"/>
  <c r="AW208" i="49"/>
  <c r="AW207" i="49"/>
  <c r="AW206" i="49"/>
  <c r="AW205" i="49"/>
  <c r="AW204" i="49"/>
  <c r="AW203" i="49"/>
  <c r="AW202" i="49"/>
  <c r="AW201" i="49"/>
  <c r="AW200" i="49"/>
  <c r="AW199" i="49"/>
  <c r="AW198" i="49"/>
  <c r="AW197" i="49"/>
  <c r="AW196" i="49"/>
  <c r="AW195" i="49"/>
  <c r="AW194" i="49"/>
  <c r="AW193" i="49"/>
  <c r="AW192" i="49"/>
  <c r="AW191" i="49"/>
  <c r="AW190" i="49"/>
  <c r="AW189" i="49"/>
  <c r="AW188" i="49"/>
  <c r="AW187" i="49"/>
  <c r="AW186" i="49"/>
  <c r="AW185" i="49"/>
  <c r="AW184" i="49"/>
  <c r="AW183" i="49"/>
  <c r="AW182" i="49"/>
  <c r="AW181" i="49"/>
  <c r="AW180" i="49"/>
  <c r="AW179" i="49"/>
  <c r="AW178" i="49"/>
  <c r="AW177" i="49"/>
  <c r="AW176" i="49"/>
  <c r="AW175" i="49"/>
  <c r="AW174" i="49"/>
  <c r="AW173" i="49"/>
  <c r="AW172" i="49"/>
  <c r="AW171" i="49"/>
  <c r="AW170" i="49"/>
  <c r="AW169" i="49"/>
  <c r="AW168" i="49"/>
  <c r="AW167" i="49"/>
  <c r="AW166" i="49"/>
  <c r="AW165" i="49"/>
  <c r="AW164" i="49"/>
  <c r="AW163" i="49"/>
  <c r="AW162" i="49"/>
  <c r="AW161" i="49"/>
  <c r="AW160" i="49"/>
  <c r="AW159" i="49"/>
  <c r="AW158" i="49"/>
  <c r="AW157" i="49"/>
  <c r="AW156" i="49"/>
  <c r="AW155" i="49"/>
  <c r="AW154" i="49"/>
  <c r="AW153" i="49"/>
  <c r="AW152" i="49"/>
  <c r="AW151" i="49"/>
  <c r="AW150" i="49"/>
  <c r="AW149" i="49"/>
  <c r="AW148" i="49"/>
  <c r="AW147" i="49"/>
  <c r="AW146" i="49"/>
  <c r="AW145" i="49"/>
  <c r="AW144" i="49"/>
  <c r="AW143" i="49"/>
  <c r="AW142" i="49"/>
  <c r="AW141" i="49"/>
  <c r="AW140" i="49"/>
  <c r="AW139" i="49"/>
  <c r="AW138" i="49"/>
  <c r="AW137" i="49"/>
  <c r="AW136" i="49"/>
  <c r="AW135" i="49"/>
  <c r="AW134" i="49"/>
  <c r="AW133" i="49"/>
  <c r="AW132" i="49"/>
  <c r="AW131" i="49"/>
  <c r="AW130" i="49"/>
  <c r="AW129" i="49"/>
  <c r="AW128" i="49"/>
  <c r="AW127" i="49"/>
  <c r="AW126" i="49"/>
  <c r="AW125" i="49"/>
  <c r="AW124" i="49"/>
  <c r="AW123" i="49"/>
  <c r="AW122" i="49"/>
  <c r="AW121" i="49"/>
  <c r="AW120" i="49"/>
  <c r="AW119" i="49"/>
  <c r="AW118" i="49"/>
  <c r="AW117" i="49"/>
  <c r="AW116" i="49"/>
  <c r="AW115" i="49"/>
  <c r="AW114" i="49"/>
  <c r="AW113" i="49"/>
  <c r="AW112" i="49"/>
  <c r="AW111" i="49"/>
  <c r="AW110" i="49"/>
  <c r="AW109" i="49"/>
  <c r="AW108" i="49"/>
  <c r="AW107" i="49"/>
  <c r="AW106" i="49"/>
  <c r="AW105" i="49"/>
  <c r="AW104" i="49"/>
  <c r="AW103" i="49"/>
  <c r="AW102" i="49"/>
  <c r="AW101" i="49"/>
  <c r="AW100" i="49"/>
  <c r="AW99" i="49"/>
  <c r="AW98" i="49"/>
  <c r="AW97" i="49"/>
  <c r="AW96" i="49"/>
  <c r="AW95" i="49"/>
  <c r="AW94" i="49"/>
  <c r="AW93" i="49"/>
  <c r="AW92" i="49"/>
  <c r="AW91" i="49"/>
  <c r="AW90" i="49"/>
  <c r="AW89" i="49"/>
  <c r="AW88" i="49"/>
  <c r="AW87" i="49"/>
  <c r="AW86" i="49"/>
  <c r="AW85" i="49"/>
  <c r="AW84" i="49"/>
  <c r="AW83" i="49"/>
  <c r="AW82" i="49"/>
  <c r="AW81" i="49"/>
  <c r="AW80" i="49"/>
  <c r="AW79" i="49"/>
  <c r="AW78" i="49"/>
  <c r="AW77" i="49"/>
  <c r="AW76" i="49"/>
  <c r="AW75" i="49"/>
  <c r="AW74" i="49"/>
  <c r="AW73" i="49"/>
  <c r="AW72" i="49"/>
  <c r="AW71" i="49"/>
  <c r="AW70" i="49"/>
  <c r="AW69" i="49"/>
  <c r="AW68" i="49"/>
  <c r="AW67" i="49"/>
  <c r="AW66" i="49"/>
  <c r="AW65" i="49"/>
  <c r="AW64" i="49"/>
  <c r="AW63" i="49"/>
  <c r="AW62" i="49"/>
  <c r="AW61" i="49"/>
  <c r="AW60" i="49"/>
  <c r="AW59" i="49"/>
  <c r="AW58" i="49"/>
  <c r="AW57" i="49"/>
  <c r="AW56" i="49"/>
  <c r="AW55" i="49"/>
  <c r="AW54" i="49"/>
  <c r="AW53" i="49"/>
  <c r="AW52" i="49"/>
  <c r="AW51" i="49"/>
  <c r="AW50" i="49"/>
  <c r="AW49" i="49"/>
  <c r="AW48" i="49"/>
  <c r="AW47" i="49"/>
  <c r="AW46" i="49"/>
  <c r="AW45" i="49"/>
  <c r="AW44" i="49"/>
  <c r="AW43" i="49"/>
  <c r="AW42" i="49"/>
  <c r="AW41" i="49"/>
  <c r="AW40" i="49"/>
  <c r="AW39" i="49"/>
  <c r="AW38" i="49"/>
  <c r="AW37" i="49"/>
  <c r="AW36" i="49"/>
  <c r="AW35" i="49"/>
  <c r="AW34" i="49"/>
  <c r="AW33" i="49"/>
  <c r="AW32" i="49"/>
  <c r="AW31" i="49"/>
  <c r="AW30" i="49"/>
  <c r="AW29" i="49"/>
  <c r="AW28" i="49"/>
  <c r="AW27" i="49"/>
  <c r="AW26" i="49"/>
  <c r="AW25" i="49"/>
  <c r="AW24" i="49"/>
  <c r="AW23" i="49"/>
  <c r="AW22" i="49"/>
  <c r="AW21" i="49"/>
  <c r="AW20" i="49"/>
  <c r="AW19" i="49"/>
  <c r="AW18" i="49"/>
  <c r="AW17" i="49"/>
  <c r="AW16" i="49"/>
  <c r="AW15" i="49"/>
  <c r="AW14" i="49"/>
  <c r="AW13" i="49"/>
  <c r="AW12" i="49"/>
  <c r="AW11" i="49"/>
  <c r="AW10" i="49"/>
  <c r="AW9" i="49"/>
  <c r="AW8" i="49"/>
  <c r="AW7" i="49"/>
  <c r="AW6" i="49"/>
  <c r="AW5" i="49"/>
  <c r="AW4" i="49"/>
  <c r="AW3" i="49"/>
  <c r="AW3347" i="49"/>
  <c r="AW3346" i="49"/>
  <c r="AW3345" i="49"/>
  <c r="AW3344" i="49"/>
  <c r="AW3342" i="49"/>
  <c r="AW3341" i="49"/>
  <c r="AW3340" i="49"/>
  <c r="AW3339" i="49"/>
  <c r="AW3338" i="49"/>
  <c r="AW3337" i="49"/>
  <c r="AW3336" i="49"/>
  <c r="AW3335" i="49"/>
  <c r="AW3334" i="49"/>
  <c r="AW3333" i="49"/>
  <c r="AW3332" i="49"/>
  <c r="AV3347" i="49"/>
  <c r="AV3346" i="49"/>
  <c r="AV3345" i="49"/>
  <c r="AV3344" i="49"/>
  <c r="AV3343" i="49"/>
  <c r="AV3342" i="49"/>
  <c r="AV3341" i="49"/>
  <c r="AV3340" i="49"/>
  <c r="AV3339" i="49"/>
  <c r="AV3338" i="49"/>
  <c r="AV3337" i="49"/>
  <c r="AV3336" i="49"/>
  <c r="AV3335" i="49"/>
  <c r="AV3334" i="49"/>
  <c r="AV3333" i="49"/>
  <c r="AV3332" i="49"/>
  <c r="AV3331" i="49"/>
  <c r="AV3330" i="49"/>
  <c r="AV3329" i="49"/>
  <c r="AV3328" i="49"/>
  <c r="AV3327" i="49"/>
  <c r="AV3326" i="49"/>
  <c r="AV3325" i="49"/>
  <c r="AV3324" i="49"/>
  <c r="AV3323" i="49"/>
  <c r="AV3322" i="49"/>
  <c r="AV3321" i="49"/>
  <c r="AV3320" i="49"/>
  <c r="AV3319" i="49"/>
  <c r="AV3318" i="49"/>
  <c r="AV3317" i="49"/>
  <c r="AV3316" i="49"/>
  <c r="AV3315" i="49"/>
  <c r="AV3314" i="49"/>
  <c r="AV3313" i="49"/>
  <c r="AV3312" i="49"/>
  <c r="AV3311" i="49"/>
  <c r="AV3310" i="49"/>
  <c r="AV3309" i="49"/>
  <c r="AV3308" i="49"/>
  <c r="AV3307" i="49"/>
  <c r="AV3306" i="49"/>
  <c r="AV3305" i="49"/>
  <c r="AV3304" i="49"/>
  <c r="AV3303" i="49"/>
  <c r="AV3302" i="49"/>
  <c r="AV3301" i="49"/>
  <c r="AV3300" i="49"/>
  <c r="AV3299" i="49"/>
  <c r="AV3298" i="49"/>
  <c r="AV3297" i="49"/>
  <c r="AV3296" i="49"/>
  <c r="AV3295" i="49"/>
  <c r="AV3294" i="49"/>
  <c r="AV3293" i="49"/>
  <c r="AV3292" i="49"/>
  <c r="AV3291" i="49"/>
  <c r="AV3290" i="49"/>
  <c r="AV3289" i="49"/>
  <c r="AV3288" i="49"/>
  <c r="AV3287" i="49"/>
  <c r="AV3286" i="49"/>
  <c r="AV3285" i="49"/>
  <c r="AV3284" i="49"/>
  <c r="AV3283" i="49"/>
  <c r="AV3282" i="49"/>
  <c r="AV3281" i="49"/>
  <c r="AV3280" i="49"/>
  <c r="AV3279" i="49"/>
  <c r="AV3278" i="49"/>
  <c r="AV3277" i="49"/>
  <c r="AV3276" i="49"/>
  <c r="AV3275" i="49"/>
  <c r="AV3274" i="49"/>
  <c r="AV3273" i="49"/>
  <c r="AV3272" i="49"/>
  <c r="AV3271" i="49"/>
  <c r="AV3270" i="49"/>
  <c r="AV3269" i="49"/>
  <c r="AV3268" i="49"/>
  <c r="AV3267" i="49"/>
  <c r="AV3266" i="49"/>
  <c r="AV3265" i="49"/>
  <c r="AV3264" i="49"/>
  <c r="AV3263" i="49"/>
  <c r="AV3262" i="49"/>
  <c r="AV3261" i="49"/>
  <c r="AV3260" i="49"/>
  <c r="AV3259" i="49"/>
  <c r="AV3258" i="49"/>
  <c r="AV3257" i="49"/>
  <c r="AV3256" i="49"/>
  <c r="AV3255" i="49"/>
  <c r="AV3254" i="49"/>
  <c r="AV3253" i="49"/>
  <c r="AV3252" i="49"/>
  <c r="AV3251" i="49"/>
  <c r="AV3250" i="49"/>
  <c r="AV3249" i="49"/>
  <c r="AV3248" i="49"/>
  <c r="AV3247" i="49"/>
  <c r="AV3246" i="49"/>
  <c r="AV3245" i="49"/>
  <c r="AV3244" i="49"/>
  <c r="AV3243" i="49"/>
  <c r="AV3242" i="49"/>
  <c r="AV3241" i="49"/>
  <c r="AV3240" i="49"/>
  <c r="AV3239" i="49"/>
  <c r="AV3238" i="49"/>
  <c r="AV3237" i="49"/>
  <c r="AV3236" i="49"/>
  <c r="AV3235" i="49"/>
  <c r="AV3234" i="49"/>
  <c r="AV3233" i="49"/>
  <c r="AV3232" i="49"/>
  <c r="AV3231" i="49"/>
  <c r="AV3230" i="49"/>
  <c r="AV3229" i="49"/>
  <c r="AV3228" i="49"/>
  <c r="AV3227" i="49"/>
  <c r="AV3226" i="49"/>
  <c r="AV3225" i="49"/>
  <c r="AV3224" i="49"/>
  <c r="AV3223" i="49"/>
  <c r="AV3222" i="49"/>
  <c r="AV3221" i="49"/>
  <c r="AV3220" i="49"/>
  <c r="AV3219" i="49"/>
  <c r="AV3218" i="49"/>
  <c r="AV3217" i="49"/>
  <c r="AV3216" i="49"/>
  <c r="AV3215" i="49"/>
  <c r="AV3214" i="49"/>
  <c r="AV3213" i="49"/>
  <c r="AV3212" i="49"/>
  <c r="AV3211" i="49"/>
  <c r="AV3210" i="49"/>
  <c r="AV3209" i="49"/>
  <c r="AV3208" i="49"/>
  <c r="AV3207" i="49"/>
  <c r="AV3206" i="49"/>
  <c r="AV3205" i="49"/>
  <c r="AV3204" i="49"/>
  <c r="AV3203" i="49"/>
  <c r="AV3202" i="49"/>
  <c r="AV3201" i="49"/>
  <c r="AV3200" i="49"/>
  <c r="AV3199" i="49"/>
  <c r="AV3198" i="49"/>
  <c r="AV3197" i="49"/>
  <c r="AV3196" i="49"/>
  <c r="AV3195" i="49"/>
  <c r="AV3194" i="49"/>
  <c r="AV3193" i="49"/>
  <c r="AV3192" i="49"/>
  <c r="AV3191" i="49"/>
  <c r="AV3190" i="49"/>
  <c r="AV3189" i="49"/>
  <c r="AV3188" i="49"/>
  <c r="AV3187" i="49"/>
  <c r="AV3186" i="49"/>
  <c r="AV3185" i="49"/>
  <c r="AV3184" i="49"/>
  <c r="AV3183" i="49"/>
  <c r="AV3182" i="49"/>
  <c r="AV3181" i="49"/>
  <c r="AV3180" i="49"/>
  <c r="AV3179" i="49"/>
  <c r="AV3178" i="49"/>
  <c r="AV3177" i="49"/>
  <c r="AV3176" i="49"/>
  <c r="AV3175" i="49"/>
  <c r="AV3174" i="49"/>
  <c r="AV3173" i="49"/>
  <c r="AV3172" i="49"/>
  <c r="AV3171" i="49"/>
  <c r="AV3170" i="49"/>
  <c r="AV3169" i="49"/>
  <c r="AV3168" i="49"/>
  <c r="AV3167" i="49"/>
  <c r="AV3166" i="49"/>
  <c r="AV3165" i="49"/>
  <c r="AV3164" i="49"/>
  <c r="AV3163" i="49"/>
  <c r="AV3162" i="49"/>
  <c r="AV3161" i="49"/>
  <c r="AV3160" i="49"/>
  <c r="AV3159" i="49"/>
  <c r="AV3158" i="49"/>
  <c r="AV3157" i="49"/>
  <c r="AV3156" i="49"/>
  <c r="AV3155" i="49"/>
  <c r="AV3154" i="49"/>
  <c r="AV3153" i="49"/>
  <c r="AV3152" i="49"/>
  <c r="AV3151" i="49"/>
  <c r="AV3150" i="49"/>
  <c r="AV3149" i="49"/>
  <c r="AV3148" i="49"/>
  <c r="AV3147" i="49"/>
  <c r="AV3146" i="49"/>
  <c r="AV3145" i="49"/>
  <c r="AV3144" i="49"/>
  <c r="AV3143" i="49"/>
  <c r="AV3142" i="49"/>
  <c r="AV3141" i="49"/>
  <c r="AV3140" i="49"/>
  <c r="AV3139" i="49"/>
  <c r="AV3138" i="49"/>
  <c r="AV3137" i="49"/>
  <c r="AV3136" i="49"/>
  <c r="AV3135" i="49"/>
  <c r="AV3134" i="49"/>
  <c r="AV3133" i="49"/>
  <c r="AV3132" i="49"/>
  <c r="AV3131" i="49"/>
  <c r="AV3130" i="49"/>
  <c r="AV3129" i="49"/>
  <c r="AV3128" i="49"/>
  <c r="AV3127" i="49"/>
  <c r="AV3126" i="49"/>
  <c r="AV3125" i="49"/>
  <c r="AV3124" i="49"/>
  <c r="AV3123" i="49"/>
  <c r="AV3122" i="49"/>
  <c r="AV3121" i="49"/>
  <c r="AV3120" i="49"/>
  <c r="AV3119" i="49"/>
  <c r="AV3118" i="49"/>
  <c r="AV3117" i="49"/>
  <c r="AV3116" i="49"/>
  <c r="AV3115" i="49"/>
  <c r="AV3114" i="49"/>
  <c r="AV3113" i="49"/>
  <c r="AV3112" i="49"/>
  <c r="AV3111" i="49"/>
  <c r="AV3110" i="49"/>
  <c r="AV3109" i="49"/>
  <c r="AV3108" i="49"/>
  <c r="AV3107" i="49"/>
  <c r="AV3106" i="49"/>
  <c r="AV3105" i="49"/>
  <c r="AV3104" i="49"/>
  <c r="AV3103" i="49"/>
  <c r="AV3102" i="49"/>
  <c r="AV3101" i="49"/>
  <c r="AV3100" i="49"/>
  <c r="AV3099" i="49"/>
  <c r="AV3098" i="49"/>
  <c r="AV3097" i="49"/>
  <c r="AV3096" i="49"/>
  <c r="AV3095" i="49"/>
  <c r="AV3094" i="49"/>
  <c r="AV3093" i="49"/>
  <c r="AV3092" i="49"/>
  <c r="AV3091" i="49"/>
  <c r="AV3090" i="49"/>
  <c r="AV3089" i="49"/>
  <c r="AV3088" i="49"/>
  <c r="AV3087" i="49"/>
  <c r="AV3086" i="49"/>
  <c r="AV3085" i="49"/>
  <c r="AV3084" i="49"/>
  <c r="AV3083" i="49"/>
  <c r="AV3082" i="49"/>
  <c r="AV3081" i="49"/>
  <c r="AV3080" i="49"/>
  <c r="AV3079" i="49"/>
  <c r="AV3078" i="49"/>
  <c r="AV3077" i="49"/>
  <c r="AV3076" i="49"/>
  <c r="AV3075" i="49"/>
  <c r="AV3074" i="49"/>
  <c r="AV3073" i="49"/>
  <c r="AV3072" i="49"/>
  <c r="AV3071" i="49"/>
  <c r="AV3070" i="49"/>
  <c r="AV3069" i="49"/>
  <c r="AV3068" i="49"/>
  <c r="AV3067" i="49"/>
  <c r="AV3066" i="49"/>
  <c r="AV3065" i="49"/>
  <c r="AV3064" i="49"/>
  <c r="AV3063" i="49"/>
  <c r="AV3062" i="49"/>
  <c r="AV3061" i="49"/>
  <c r="AV3060" i="49"/>
  <c r="AV3059" i="49"/>
  <c r="AV3058" i="49"/>
  <c r="AV3057" i="49"/>
  <c r="AV3056" i="49"/>
  <c r="AV3055" i="49"/>
  <c r="AV3054" i="49"/>
  <c r="AV3053" i="49"/>
  <c r="AV3052" i="49"/>
  <c r="AV3051" i="49"/>
  <c r="AV3050" i="49"/>
  <c r="AV3049" i="49"/>
  <c r="AV3048" i="49"/>
  <c r="AV3047" i="49"/>
  <c r="AV3046" i="49"/>
  <c r="AV3045" i="49"/>
  <c r="AV3044" i="49"/>
  <c r="AV3043" i="49"/>
  <c r="AV3042" i="49"/>
  <c r="AV3041" i="49"/>
  <c r="AV3040" i="49"/>
  <c r="AV3039" i="49"/>
  <c r="AV3038" i="49"/>
  <c r="AV3037" i="49"/>
  <c r="AV3036" i="49"/>
  <c r="AV3035" i="49"/>
  <c r="AV3034" i="49"/>
  <c r="AV3033" i="49"/>
  <c r="AV3032" i="49"/>
  <c r="AV3031" i="49"/>
  <c r="AV3030" i="49"/>
  <c r="AV3029" i="49"/>
  <c r="AV3028" i="49"/>
  <c r="AV3027" i="49"/>
  <c r="AV3026" i="49"/>
  <c r="AV3025" i="49"/>
  <c r="AV3024" i="49"/>
  <c r="AV3023" i="49"/>
  <c r="AV3022" i="49"/>
  <c r="AV3021" i="49"/>
  <c r="AV3020" i="49"/>
  <c r="AV3019" i="49"/>
  <c r="AV3018" i="49"/>
  <c r="AV3017" i="49"/>
  <c r="AV3016" i="49"/>
  <c r="AV3015" i="49"/>
  <c r="AV3014" i="49"/>
  <c r="AV3013" i="49"/>
  <c r="AV3012" i="49"/>
  <c r="AV3011" i="49"/>
  <c r="AV3010" i="49"/>
  <c r="AV3009" i="49"/>
  <c r="AV3008" i="49"/>
  <c r="AV3007" i="49"/>
  <c r="AV3006" i="49"/>
  <c r="AV3005" i="49"/>
  <c r="AV3004" i="49"/>
  <c r="AV3003" i="49"/>
  <c r="AV3002" i="49"/>
  <c r="AV3001" i="49"/>
  <c r="AV3000" i="49"/>
  <c r="AV2999" i="49"/>
  <c r="AV2998" i="49"/>
  <c r="AV2997" i="49"/>
  <c r="AV2996" i="49"/>
  <c r="AV2995" i="49"/>
  <c r="AV2994" i="49"/>
  <c r="AV2993" i="49"/>
  <c r="AV2992" i="49"/>
  <c r="AV2991" i="49"/>
  <c r="AV2990" i="49"/>
  <c r="AV2989" i="49"/>
  <c r="AV2988" i="49"/>
  <c r="AV2987" i="49"/>
  <c r="AV2986" i="49"/>
  <c r="AV2985" i="49"/>
  <c r="AV2984" i="49"/>
  <c r="AV2983" i="49"/>
  <c r="AV2982" i="49"/>
  <c r="AV2981" i="49"/>
  <c r="AV2980" i="49"/>
  <c r="AV2979" i="49"/>
  <c r="AV2978" i="49"/>
  <c r="AV2977" i="49"/>
  <c r="AV2976" i="49"/>
  <c r="AV2975" i="49"/>
  <c r="AV2974" i="49"/>
  <c r="AV2973" i="49"/>
  <c r="AV2972" i="49"/>
  <c r="AV2971" i="49"/>
  <c r="AV2970" i="49"/>
  <c r="AV2969" i="49"/>
  <c r="AV2968" i="49"/>
  <c r="AV2967" i="49"/>
  <c r="AV2966" i="49"/>
  <c r="AV2965" i="49"/>
  <c r="AV2964" i="49"/>
  <c r="AV2963" i="49"/>
  <c r="AV2962" i="49"/>
  <c r="AV2961" i="49"/>
  <c r="AV2960" i="49"/>
  <c r="AV2959" i="49"/>
  <c r="AV2958" i="49"/>
  <c r="AV2957" i="49"/>
  <c r="AV2956" i="49"/>
  <c r="AV2955" i="49"/>
  <c r="AV2954" i="49"/>
  <c r="AV2953" i="49"/>
  <c r="AV2952" i="49"/>
  <c r="AV2951" i="49"/>
  <c r="AV2950" i="49"/>
  <c r="AV2949" i="49"/>
  <c r="AV2948" i="49"/>
  <c r="AV2947" i="49"/>
  <c r="AV2946" i="49"/>
  <c r="AV2945" i="49"/>
  <c r="AV2944" i="49"/>
  <c r="AV2943" i="49"/>
  <c r="AV2942" i="49"/>
  <c r="AV2941" i="49"/>
  <c r="AV2940" i="49"/>
  <c r="AV2939" i="49"/>
  <c r="AV2938" i="49"/>
  <c r="AV2937" i="49"/>
  <c r="AV2936" i="49"/>
  <c r="AV2935" i="49"/>
  <c r="AV2934" i="49"/>
  <c r="AV2933" i="49"/>
  <c r="AV2932" i="49"/>
  <c r="AV2931" i="49"/>
  <c r="AV2930" i="49"/>
  <c r="AV2929" i="49"/>
  <c r="AV2928" i="49"/>
  <c r="AV2927" i="49"/>
  <c r="AV2926" i="49"/>
  <c r="AV2925" i="49"/>
  <c r="AV2924" i="49"/>
  <c r="AV2923" i="49"/>
  <c r="AV2922" i="49"/>
  <c r="AV2921" i="49"/>
  <c r="AV2920" i="49"/>
  <c r="AV2919" i="49"/>
  <c r="AV2918" i="49"/>
  <c r="AV2917" i="49"/>
  <c r="AV2916" i="49"/>
  <c r="AV2915" i="49"/>
  <c r="AV2914" i="49"/>
  <c r="AV2913" i="49"/>
  <c r="AV2912" i="49"/>
  <c r="AV2911" i="49"/>
  <c r="AV2910" i="49"/>
  <c r="AV2909" i="49"/>
  <c r="AV2908" i="49"/>
  <c r="AV2907" i="49"/>
  <c r="AV2906" i="49"/>
  <c r="AV2905" i="49"/>
  <c r="AV2904" i="49"/>
  <c r="AV2903" i="49"/>
  <c r="AV2902" i="49"/>
  <c r="AV2901" i="49"/>
  <c r="AV2900" i="49"/>
  <c r="AV2899" i="49"/>
  <c r="AV2898" i="49"/>
  <c r="AV2897" i="49"/>
  <c r="AV2896" i="49"/>
  <c r="AV2895" i="49"/>
  <c r="AV2894" i="49"/>
  <c r="AV2893" i="49"/>
  <c r="AV2892" i="49"/>
  <c r="AV2891" i="49"/>
  <c r="AV2890" i="49"/>
  <c r="AV2889" i="49"/>
  <c r="AV2888" i="49"/>
  <c r="AV2887" i="49"/>
  <c r="AV2886" i="49"/>
  <c r="AV2885" i="49"/>
  <c r="AV2884" i="49"/>
  <c r="AV2883" i="49"/>
  <c r="AV2882" i="49"/>
  <c r="AV2881" i="49"/>
  <c r="AV2880" i="49"/>
  <c r="AV2879" i="49"/>
  <c r="AV2878" i="49"/>
  <c r="AV2877" i="49"/>
  <c r="AV2876" i="49"/>
  <c r="AV2875" i="49"/>
  <c r="AV2874" i="49"/>
  <c r="AV2873" i="49"/>
  <c r="AV2872" i="49"/>
  <c r="AV2871" i="49"/>
  <c r="AV2870" i="49"/>
  <c r="AV2869" i="49"/>
  <c r="AV2868" i="49"/>
  <c r="AV2867" i="49"/>
  <c r="AV2866" i="49"/>
  <c r="AV2865" i="49"/>
  <c r="AV2864" i="49"/>
  <c r="AV2863" i="49"/>
  <c r="AV2862" i="49"/>
  <c r="AV2861" i="49"/>
  <c r="AV2860" i="49"/>
  <c r="AV2859" i="49"/>
  <c r="AV2858" i="49"/>
  <c r="AV2857" i="49"/>
  <c r="AV2856" i="49"/>
  <c r="AV2855" i="49"/>
  <c r="AV2854" i="49"/>
  <c r="AV2853" i="49"/>
  <c r="AV2852" i="49"/>
  <c r="AV2851" i="49"/>
  <c r="AV2850" i="49"/>
  <c r="AV2849" i="49"/>
  <c r="AV2848" i="49"/>
  <c r="AV2847" i="49"/>
  <c r="AV2846" i="49"/>
  <c r="AV2845" i="49"/>
  <c r="AV2844" i="49"/>
  <c r="AV2843" i="49"/>
  <c r="AV2842" i="49"/>
  <c r="AV2841" i="49"/>
  <c r="AV2840" i="49"/>
  <c r="AV2839" i="49"/>
  <c r="AV2838" i="49"/>
  <c r="AV2837" i="49"/>
  <c r="AV2836" i="49"/>
  <c r="AV2835" i="49"/>
  <c r="AV2834" i="49"/>
  <c r="AV2833" i="49"/>
  <c r="AV2832" i="49"/>
  <c r="AV2831" i="49"/>
  <c r="AV2830" i="49"/>
  <c r="AV2829" i="49"/>
  <c r="AV2828" i="49"/>
  <c r="AV2827" i="49"/>
  <c r="AV2826" i="49"/>
  <c r="AV2825" i="49"/>
  <c r="AV2824" i="49"/>
  <c r="AV2823" i="49"/>
  <c r="AV2822" i="49"/>
  <c r="AV2821" i="49"/>
  <c r="AV2820" i="49"/>
  <c r="AV2819" i="49"/>
  <c r="AV2818" i="49"/>
  <c r="AV2817" i="49"/>
  <c r="AV2816" i="49"/>
  <c r="AV2815" i="49"/>
  <c r="AV2814" i="49"/>
  <c r="AV2813" i="49"/>
  <c r="AV2812" i="49"/>
  <c r="AV2811" i="49"/>
  <c r="AV2810" i="49"/>
  <c r="AV2809" i="49"/>
  <c r="AV2808" i="49"/>
  <c r="AV2807" i="49"/>
  <c r="AV2806" i="49"/>
  <c r="AV2805" i="49"/>
  <c r="AV2804" i="49"/>
  <c r="AV2803" i="49"/>
  <c r="AV2802" i="49"/>
  <c r="AV2801" i="49"/>
  <c r="AV2800" i="49"/>
  <c r="AV2799" i="49"/>
  <c r="AV2798" i="49"/>
  <c r="AV2797" i="49"/>
  <c r="AV2796" i="49"/>
  <c r="AV2795" i="49"/>
  <c r="AV2794" i="49"/>
  <c r="AV2793" i="49"/>
  <c r="AV2792" i="49"/>
  <c r="AV2791" i="49"/>
  <c r="AV2790" i="49"/>
  <c r="AV2789" i="49"/>
  <c r="AV2788" i="49"/>
  <c r="AV2787" i="49"/>
  <c r="AV2786" i="49"/>
  <c r="AV2785" i="49"/>
  <c r="AV2784" i="49"/>
  <c r="AV2783" i="49"/>
  <c r="AV2782" i="49"/>
  <c r="AV2781" i="49"/>
  <c r="AV2780" i="49"/>
  <c r="AV2779" i="49"/>
  <c r="AV2778" i="49"/>
  <c r="AV2777" i="49"/>
  <c r="AV2776" i="49"/>
  <c r="AV2775" i="49"/>
  <c r="AV2774" i="49"/>
  <c r="AV2773" i="49"/>
  <c r="AV2772" i="49"/>
  <c r="AV2771" i="49"/>
  <c r="AV2770" i="49"/>
  <c r="AV2769" i="49"/>
  <c r="AV2768" i="49"/>
  <c r="AV2767" i="49"/>
  <c r="AV2766" i="49"/>
  <c r="AV2765" i="49"/>
  <c r="AV2764" i="49"/>
  <c r="AV2763" i="49"/>
  <c r="AV2762" i="49"/>
  <c r="AV2761" i="49"/>
  <c r="AV2760" i="49"/>
  <c r="AV2759" i="49"/>
  <c r="AV2758" i="49"/>
  <c r="AV2757" i="49"/>
  <c r="AV2756" i="49"/>
  <c r="AV2755" i="49"/>
  <c r="AV2754" i="49"/>
  <c r="AV2753" i="49"/>
  <c r="AV2752" i="49"/>
  <c r="AV2751" i="49"/>
  <c r="AV2750" i="49"/>
  <c r="AV2749" i="49"/>
  <c r="AV2748" i="49"/>
  <c r="AV2747" i="49"/>
  <c r="AV2746" i="49"/>
  <c r="AV2745" i="49"/>
  <c r="AV2744" i="49"/>
  <c r="AV2743" i="49"/>
  <c r="AV2742" i="49"/>
  <c r="AV2741" i="49"/>
  <c r="AV2740" i="49"/>
  <c r="AV2739" i="49"/>
  <c r="AV2738" i="49"/>
  <c r="AV2737" i="49"/>
  <c r="AV2736" i="49"/>
  <c r="AV2735" i="49"/>
  <c r="AV2734" i="49"/>
  <c r="AV2733" i="49"/>
  <c r="AV2732" i="49"/>
  <c r="AV2731" i="49"/>
  <c r="AV2730" i="49"/>
  <c r="AV2729" i="49"/>
  <c r="AV2728" i="49"/>
  <c r="AV2727" i="49"/>
  <c r="AV2726" i="49"/>
  <c r="AV2725" i="49"/>
  <c r="AV2724" i="49"/>
  <c r="AV2723" i="49"/>
  <c r="AV2722" i="49"/>
  <c r="AV2721" i="49"/>
  <c r="AV2720" i="49"/>
  <c r="AV2719" i="49"/>
  <c r="AV2718" i="49"/>
  <c r="AV2717" i="49"/>
  <c r="AV2716" i="49"/>
  <c r="AV2715" i="49"/>
  <c r="AV2714" i="49"/>
  <c r="AV2713" i="49"/>
  <c r="AV2712" i="49"/>
  <c r="AV2711" i="49"/>
  <c r="AV2710" i="49"/>
  <c r="AV2709" i="49"/>
  <c r="AV2708" i="49"/>
  <c r="AV2707" i="49"/>
  <c r="AV2706" i="49"/>
  <c r="AV2705" i="49"/>
  <c r="AV2704" i="49"/>
  <c r="AV2703" i="49"/>
  <c r="AV2702" i="49"/>
  <c r="AV2701" i="49"/>
  <c r="AV2700" i="49"/>
  <c r="AV2699" i="49"/>
  <c r="AV2698" i="49"/>
  <c r="AV2697" i="49"/>
  <c r="AV2696" i="49"/>
  <c r="AV2695" i="49"/>
  <c r="AV2694" i="49"/>
  <c r="AV2693" i="49"/>
  <c r="AV2692" i="49"/>
  <c r="AV2691" i="49"/>
  <c r="AV2690" i="49"/>
  <c r="AV2689" i="49"/>
  <c r="AV2688" i="49"/>
  <c r="AV2687" i="49"/>
  <c r="AV2686" i="49"/>
  <c r="AV2685" i="49"/>
  <c r="AV2684" i="49"/>
  <c r="AV2683" i="49"/>
  <c r="AV2682" i="49"/>
  <c r="AV2681" i="49"/>
  <c r="AV2680" i="49"/>
  <c r="AV2679" i="49"/>
  <c r="AV2678" i="49"/>
  <c r="AV2677" i="49"/>
  <c r="AV2676" i="49"/>
  <c r="AV2675" i="49"/>
  <c r="AV2674" i="49"/>
  <c r="AV2673" i="49"/>
  <c r="AV2672" i="49"/>
  <c r="AV2671" i="49"/>
  <c r="AV2670" i="49"/>
  <c r="AV2669" i="49"/>
  <c r="AV2668" i="49"/>
  <c r="AV2667" i="49"/>
  <c r="AV2666" i="49"/>
  <c r="AV2665" i="49"/>
  <c r="AV2664" i="49"/>
  <c r="AV2663" i="49"/>
  <c r="AV2662" i="49"/>
  <c r="AV2661" i="49"/>
  <c r="AV2660" i="49"/>
  <c r="AV2659" i="49"/>
  <c r="AV2658" i="49"/>
  <c r="AV2657" i="49"/>
  <c r="AV2656" i="49"/>
  <c r="AV2655" i="49"/>
  <c r="AV2654" i="49"/>
  <c r="AV2653" i="49"/>
  <c r="AV2652" i="49"/>
  <c r="AV2651" i="49"/>
  <c r="AV2650" i="49"/>
  <c r="AV2649" i="49"/>
  <c r="AV2648" i="49"/>
  <c r="AV2647" i="49"/>
  <c r="AV2646" i="49"/>
  <c r="AV2645" i="49"/>
  <c r="AV2644" i="49"/>
  <c r="AV2643" i="49"/>
  <c r="AV2642" i="49"/>
  <c r="AV2641" i="49"/>
  <c r="AV2640" i="49"/>
  <c r="AV2639" i="49"/>
  <c r="AV2638" i="49"/>
  <c r="AV2637" i="49"/>
  <c r="AV2636" i="49"/>
  <c r="AV2635" i="49"/>
  <c r="AV2634" i="49"/>
  <c r="AV2633" i="49"/>
  <c r="AV2632" i="49"/>
  <c r="AV2631" i="49"/>
  <c r="AV2630" i="49"/>
  <c r="AV2629" i="49"/>
  <c r="AV2628" i="49"/>
  <c r="AV2627" i="49"/>
  <c r="AV2626" i="49"/>
  <c r="AV2625" i="49"/>
  <c r="AV2624" i="49"/>
  <c r="AV2623" i="49"/>
  <c r="AV2622" i="49"/>
  <c r="AV2621" i="49"/>
  <c r="AV2620" i="49"/>
  <c r="AV2619" i="49"/>
  <c r="AV2618" i="49"/>
  <c r="AV2617" i="49"/>
  <c r="AV2616" i="49"/>
  <c r="AV2615" i="49"/>
  <c r="AV2614" i="49"/>
  <c r="AV2613" i="49"/>
  <c r="AV2612" i="49"/>
  <c r="AV2611" i="49"/>
  <c r="AV2610" i="49"/>
  <c r="AV2609" i="49"/>
  <c r="AV2608" i="49"/>
  <c r="AV2607" i="49"/>
  <c r="AV2606" i="49"/>
  <c r="AV2605" i="49"/>
  <c r="AV2604" i="49"/>
  <c r="AV2603" i="49"/>
  <c r="AV2602" i="49"/>
  <c r="AV2601" i="49"/>
  <c r="AV2600" i="49"/>
  <c r="AV2599" i="49"/>
  <c r="AV2598" i="49"/>
  <c r="AV2597" i="49"/>
  <c r="AV2596" i="49"/>
  <c r="AV2595" i="49"/>
  <c r="AV2594" i="49"/>
  <c r="AV2593" i="49"/>
  <c r="AV2592" i="49"/>
  <c r="AV2591" i="49"/>
  <c r="AV2590" i="49"/>
  <c r="AV2589" i="49"/>
  <c r="AV2588" i="49"/>
  <c r="AV2587" i="49"/>
  <c r="AV2586" i="49"/>
  <c r="AV2585" i="49"/>
  <c r="AV2584" i="49"/>
  <c r="AV2583" i="49"/>
  <c r="AV2582" i="49"/>
  <c r="AV2581" i="49"/>
  <c r="AV2580" i="49"/>
  <c r="AV2579" i="49"/>
  <c r="AV2578" i="49"/>
  <c r="AV2577" i="49"/>
  <c r="AV2576" i="49"/>
  <c r="AV2575" i="49"/>
  <c r="AV2574" i="49"/>
  <c r="AV2573" i="49"/>
  <c r="AV2572" i="49"/>
  <c r="AV2571" i="49"/>
  <c r="AV2570" i="49"/>
  <c r="AV2569" i="49"/>
  <c r="AV2568" i="49"/>
  <c r="AV2567" i="49"/>
  <c r="AV2566" i="49"/>
  <c r="AV2565" i="49"/>
  <c r="AV2564" i="49"/>
  <c r="AV2563" i="49"/>
  <c r="AV2562" i="49"/>
  <c r="AV2561" i="49"/>
  <c r="AV2560" i="49"/>
  <c r="AV2559" i="49"/>
  <c r="AV2558" i="49"/>
  <c r="AV2557" i="49"/>
  <c r="AV2556" i="49"/>
  <c r="AV2555" i="49"/>
  <c r="AV2554" i="49"/>
  <c r="AV2553" i="49"/>
  <c r="AV2552" i="49"/>
  <c r="AV2551" i="49"/>
  <c r="AV2550" i="49"/>
  <c r="AV2549" i="49"/>
  <c r="AV2548" i="49"/>
  <c r="AV2547" i="49"/>
  <c r="AV2546" i="49"/>
  <c r="AV2545" i="49"/>
  <c r="AV2544" i="49"/>
  <c r="AV2543" i="49"/>
  <c r="AV2542" i="49"/>
  <c r="AV2541" i="49"/>
  <c r="AV2540" i="49"/>
  <c r="AV2539" i="49"/>
  <c r="AV2538" i="49"/>
  <c r="AV2537" i="49"/>
  <c r="AV2536" i="49"/>
  <c r="AV2535" i="49"/>
  <c r="AV2534" i="49"/>
  <c r="AV2533" i="49"/>
  <c r="AV2532" i="49"/>
  <c r="AV2531" i="49"/>
  <c r="AV2530" i="49"/>
  <c r="AV2529" i="49"/>
  <c r="AV2528" i="49"/>
  <c r="AV2527" i="49"/>
  <c r="AV2526" i="49"/>
  <c r="AV2525" i="49"/>
  <c r="AV2524" i="49"/>
  <c r="AV2523" i="49"/>
  <c r="AV2522" i="49"/>
  <c r="AV2521" i="49"/>
  <c r="AV2520" i="49"/>
  <c r="AV2519" i="49"/>
  <c r="AV2518" i="49"/>
  <c r="AV2517" i="49"/>
  <c r="AV2516" i="49"/>
  <c r="AV2515" i="49"/>
  <c r="AV2514" i="49"/>
  <c r="AV2513" i="49"/>
  <c r="AV2512" i="49"/>
  <c r="AV2511" i="49"/>
  <c r="AV2510" i="49"/>
  <c r="AV2509" i="49"/>
  <c r="AV2508" i="49"/>
  <c r="AV2507" i="49"/>
  <c r="AV2506" i="49"/>
  <c r="AV2505" i="49"/>
  <c r="AV2504" i="49"/>
  <c r="AV2503" i="49"/>
  <c r="AV2502" i="49"/>
  <c r="AV2501" i="49"/>
  <c r="AV2500" i="49"/>
  <c r="AV2499" i="49"/>
  <c r="AV2498" i="49"/>
  <c r="AV2497" i="49"/>
  <c r="AV2496" i="49"/>
  <c r="AV2495" i="49"/>
  <c r="AV2494" i="49"/>
  <c r="AV2493" i="49"/>
  <c r="AV2492" i="49"/>
  <c r="AV2491" i="49"/>
  <c r="AV2490" i="49"/>
  <c r="AV2489" i="49"/>
  <c r="AV2488" i="49"/>
  <c r="AV2487" i="49"/>
  <c r="AV2486" i="49"/>
  <c r="AV2485" i="49"/>
  <c r="AV2484" i="49"/>
  <c r="AV2483" i="49"/>
  <c r="AV2482" i="49"/>
  <c r="AV2481" i="49"/>
  <c r="AV2480" i="49"/>
  <c r="AV2479" i="49"/>
  <c r="AV2478" i="49"/>
  <c r="AV2477" i="49"/>
  <c r="AV2476" i="49"/>
  <c r="AV2475" i="49"/>
  <c r="AV2474" i="49"/>
  <c r="AV2473" i="49"/>
  <c r="AV2472" i="49"/>
  <c r="AV2471" i="49"/>
  <c r="AV2470" i="49"/>
  <c r="AV2469" i="49"/>
  <c r="AV2468" i="49"/>
  <c r="AV2467" i="49"/>
  <c r="AV2466" i="49"/>
  <c r="AV2465" i="49"/>
  <c r="AV2464" i="49"/>
  <c r="AV2463" i="49"/>
  <c r="AV2462" i="49"/>
  <c r="AV2461" i="49"/>
  <c r="AV2460" i="49"/>
  <c r="AV2459" i="49"/>
  <c r="AV2458" i="49"/>
  <c r="AV2457" i="49"/>
  <c r="AV2456" i="49"/>
  <c r="AV2455" i="49"/>
  <c r="AV2454" i="49"/>
  <c r="AV2453" i="49"/>
  <c r="AV2452" i="49"/>
  <c r="AV2451" i="49"/>
  <c r="AV2450" i="49"/>
  <c r="AV2449" i="49"/>
  <c r="AV2448" i="49"/>
  <c r="AV2447" i="49"/>
  <c r="AV2446" i="49"/>
  <c r="AV2445" i="49"/>
  <c r="AV2444" i="49"/>
  <c r="AV2443" i="49"/>
  <c r="AV2442" i="49"/>
  <c r="AV2441" i="49"/>
  <c r="AV2440" i="49"/>
  <c r="AV2439" i="49"/>
  <c r="AV2438" i="49"/>
  <c r="AV2437" i="49"/>
  <c r="AV2436" i="49"/>
  <c r="AV2435" i="49"/>
  <c r="AV2434" i="49"/>
  <c r="AV2433" i="49"/>
  <c r="AV2432" i="49"/>
  <c r="AV2431" i="49"/>
  <c r="AV2430" i="49"/>
  <c r="AV2429" i="49"/>
  <c r="AV2428" i="49"/>
  <c r="AV2427" i="49"/>
  <c r="AV2426" i="49"/>
  <c r="AV2425" i="49"/>
  <c r="AV2424" i="49"/>
  <c r="AV2423" i="49"/>
  <c r="AV2422" i="49"/>
  <c r="AV2421" i="49"/>
  <c r="AV2420" i="49"/>
  <c r="AV2419" i="49"/>
  <c r="AV2418" i="49"/>
  <c r="AV2417" i="49"/>
  <c r="AV2416" i="49"/>
  <c r="AV2415" i="49"/>
  <c r="AV2414" i="49"/>
  <c r="AV2413" i="49"/>
  <c r="AV2412" i="49"/>
  <c r="AV2411" i="49"/>
  <c r="AV2410" i="49"/>
  <c r="AV2409" i="49"/>
  <c r="AV2408" i="49"/>
  <c r="AV2407" i="49"/>
  <c r="AV2406" i="49"/>
  <c r="AV2405" i="49"/>
  <c r="AV2404" i="49"/>
  <c r="AV2403" i="49"/>
  <c r="AV2402" i="49"/>
  <c r="AV2401" i="49"/>
  <c r="AV2400" i="49"/>
  <c r="AV2399" i="49"/>
  <c r="AV2398" i="49"/>
  <c r="AV2397" i="49"/>
  <c r="AV2396" i="49"/>
  <c r="AV2395" i="49"/>
  <c r="AV2394" i="49"/>
  <c r="AV2393" i="49"/>
  <c r="AV2392" i="49"/>
  <c r="AV2391" i="49"/>
  <c r="AV2390" i="49"/>
  <c r="AV2389" i="49"/>
  <c r="AV2388" i="49"/>
  <c r="AV2387" i="49"/>
  <c r="AV2386" i="49"/>
  <c r="AV2385" i="49"/>
  <c r="AV2384" i="49"/>
  <c r="AV2383" i="49"/>
  <c r="AV2382" i="49"/>
  <c r="AV2381" i="49"/>
  <c r="AV2380" i="49"/>
  <c r="AV2379" i="49"/>
  <c r="AV2378" i="49"/>
  <c r="AV2377" i="49"/>
  <c r="AV2376" i="49"/>
  <c r="AV2375" i="49"/>
  <c r="AV2374" i="49"/>
  <c r="AV2373" i="49"/>
  <c r="AV2372" i="49"/>
  <c r="AV2371" i="49"/>
  <c r="AV2370" i="49"/>
  <c r="AV2369" i="49"/>
  <c r="AV2368" i="49"/>
  <c r="AV2367" i="49"/>
  <c r="AV2366" i="49"/>
  <c r="AV2365" i="49"/>
  <c r="AV2364" i="49"/>
  <c r="AV2363" i="49"/>
  <c r="AV2362" i="49"/>
  <c r="AV2361" i="49"/>
  <c r="AV2360" i="49"/>
  <c r="AV2359" i="49"/>
  <c r="AV2358" i="49"/>
  <c r="AV2357" i="49"/>
  <c r="AV2356" i="49"/>
  <c r="AV2355" i="49"/>
  <c r="AV2354" i="49"/>
  <c r="AV2353" i="49"/>
  <c r="AV2352" i="49"/>
  <c r="AV2351" i="49"/>
  <c r="AV2350" i="49"/>
  <c r="AV2349" i="49"/>
  <c r="AV2348" i="49"/>
  <c r="AV2347" i="49"/>
  <c r="AV2346" i="49"/>
  <c r="AV2345" i="49"/>
  <c r="AV2344" i="49"/>
  <c r="AV2343" i="49"/>
  <c r="AV2342" i="49"/>
  <c r="AV2341" i="49"/>
  <c r="AV2340" i="49"/>
  <c r="AV2339" i="49"/>
  <c r="AV2338" i="49"/>
  <c r="AV2337" i="49"/>
  <c r="AV2336" i="49"/>
  <c r="AV2335" i="49"/>
  <c r="AV2334" i="49"/>
  <c r="AV2333" i="49"/>
  <c r="AV2332" i="49"/>
  <c r="AV2331" i="49"/>
  <c r="AV2330" i="49"/>
  <c r="AV2329" i="49"/>
  <c r="AV2328" i="49"/>
  <c r="AV2327" i="49"/>
  <c r="AV2326" i="49"/>
  <c r="AV2325" i="49"/>
  <c r="AV2324" i="49"/>
  <c r="AV2323" i="49"/>
  <c r="AV2322" i="49"/>
  <c r="AV2321" i="49"/>
  <c r="AV2320" i="49"/>
  <c r="AV2319" i="49"/>
  <c r="AV2318" i="49"/>
  <c r="AV2317" i="49"/>
  <c r="AV2316" i="49"/>
  <c r="AV2315" i="49"/>
  <c r="AV2314" i="49"/>
  <c r="AV2313" i="49"/>
  <c r="AV2312" i="49"/>
  <c r="AV2311" i="49"/>
  <c r="AV2310" i="49"/>
  <c r="AV2309" i="49"/>
  <c r="AV2308" i="49"/>
  <c r="AV2307" i="49"/>
  <c r="AV2306" i="49"/>
  <c r="AV2305" i="49"/>
  <c r="AV2304" i="49"/>
  <c r="AV2303" i="49"/>
  <c r="AV2302" i="49"/>
  <c r="AV2301" i="49"/>
  <c r="AV2300" i="49"/>
  <c r="AV2299" i="49"/>
  <c r="AV2298" i="49"/>
  <c r="AV2297" i="49"/>
  <c r="AV2296" i="49"/>
  <c r="AV2295" i="49"/>
  <c r="AV2294" i="49"/>
  <c r="AV2293" i="49"/>
  <c r="AV2292" i="49"/>
  <c r="AV2291" i="49"/>
  <c r="AV2290" i="49"/>
  <c r="AV2289" i="49"/>
  <c r="AV2288" i="49"/>
  <c r="AV2287" i="49"/>
  <c r="AV2286" i="49"/>
  <c r="AV2285" i="49"/>
  <c r="AV2284" i="49"/>
  <c r="AV2283" i="49"/>
  <c r="AV2282" i="49"/>
  <c r="AV2281" i="49"/>
  <c r="AV2280" i="49"/>
  <c r="AV2279" i="49"/>
  <c r="AV2278" i="49"/>
  <c r="AV2277" i="49"/>
  <c r="AV2276" i="49"/>
  <c r="AV2275" i="49"/>
  <c r="AV2274" i="49"/>
  <c r="AV2273" i="49"/>
  <c r="AV2272" i="49"/>
  <c r="AV2271" i="49"/>
  <c r="AV2270" i="49"/>
  <c r="AV2269" i="49"/>
  <c r="AV2268" i="49"/>
  <c r="AV2267" i="49"/>
  <c r="AV2266" i="49"/>
  <c r="AV2265" i="49"/>
  <c r="AV2264" i="49"/>
  <c r="AV2263" i="49"/>
  <c r="AV2262" i="49"/>
  <c r="AV2261" i="49"/>
  <c r="AV2260" i="49"/>
  <c r="AV2259" i="49"/>
  <c r="AV2258" i="49"/>
  <c r="AV2257" i="49"/>
  <c r="AV2256" i="49"/>
  <c r="AV2255" i="49"/>
  <c r="AV2254" i="49"/>
  <c r="AV2253" i="49"/>
  <c r="AV2252" i="49"/>
  <c r="AV2251" i="49"/>
  <c r="AV2250" i="49"/>
  <c r="AV2249" i="49"/>
  <c r="AV2248" i="49"/>
  <c r="AV2247" i="49"/>
  <c r="AV2246" i="49"/>
  <c r="AV2245" i="49"/>
  <c r="AV2244" i="49"/>
  <c r="AV2243" i="49"/>
  <c r="AV2242" i="49"/>
  <c r="AV2241" i="49"/>
  <c r="AV2240" i="49"/>
  <c r="AV2239" i="49"/>
  <c r="AV2238" i="49"/>
  <c r="AV2237" i="49"/>
  <c r="AV2236" i="49"/>
  <c r="AV2235" i="49"/>
  <c r="AV2234" i="49"/>
  <c r="AV2233" i="49"/>
  <c r="AV2232" i="49"/>
  <c r="AV2231" i="49"/>
  <c r="AV2230" i="49"/>
  <c r="AV2229" i="49"/>
  <c r="AV2228" i="49"/>
  <c r="AV2227" i="49"/>
  <c r="AV2226" i="49"/>
  <c r="AV2225" i="49"/>
  <c r="AV2224" i="49"/>
  <c r="AV2223" i="49"/>
  <c r="AV2222" i="49"/>
  <c r="AV2221" i="49"/>
  <c r="AV2220" i="49"/>
  <c r="AV2219" i="49"/>
  <c r="AV2218" i="49"/>
  <c r="AV2217" i="49"/>
  <c r="AV2216" i="49"/>
  <c r="AV2215" i="49"/>
  <c r="AV2214" i="49"/>
  <c r="AV2213" i="49"/>
  <c r="AV2212" i="49"/>
  <c r="AV2211" i="49"/>
  <c r="AV2210" i="49"/>
  <c r="AV2209" i="49"/>
  <c r="AV2208" i="49"/>
  <c r="AV2207" i="49"/>
  <c r="AV2206" i="49"/>
  <c r="AV2205" i="49"/>
  <c r="AV2204" i="49"/>
  <c r="AV2203" i="49"/>
  <c r="AV2202" i="49"/>
  <c r="AV2201" i="49"/>
  <c r="AV2200" i="49"/>
  <c r="AV2199" i="49"/>
  <c r="AV2198" i="49"/>
  <c r="AV2197" i="49"/>
  <c r="AV2196" i="49"/>
  <c r="AV2195" i="49"/>
  <c r="AV2194" i="49"/>
  <c r="AV2193" i="49"/>
  <c r="AV2192" i="49"/>
  <c r="AV2191" i="49"/>
  <c r="AV2190" i="49"/>
  <c r="AV2189" i="49"/>
  <c r="AV2188" i="49"/>
  <c r="AV2187" i="49"/>
  <c r="AV2186" i="49"/>
  <c r="AV2185" i="49"/>
  <c r="AV2184" i="49"/>
  <c r="AV2183" i="49"/>
  <c r="AV2182" i="49"/>
  <c r="AV2181" i="49"/>
  <c r="AV2180" i="49"/>
  <c r="AV2179" i="49"/>
  <c r="AV2178" i="49"/>
  <c r="AV2177" i="49"/>
  <c r="AV2176" i="49"/>
  <c r="AV2175" i="49"/>
  <c r="AV2174" i="49"/>
  <c r="AV2173" i="49"/>
  <c r="AV2172" i="49"/>
  <c r="AV2171" i="49"/>
  <c r="AV2170" i="49"/>
  <c r="AV2169" i="49"/>
  <c r="AV2168" i="49"/>
  <c r="AV2167" i="49"/>
  <c r="AV2166" i="49"/>
  <c r="AV2165" i="49"/>
  <c r="AV2164" i="49"/>
  <c r="AV2163" i="49"/>
  <c r="AV2162" i="49"/>
  <c r="AV2161" i="49"/>
  <c r="AV2160" i="49"/>
  <c r="AV2159" i="49"/>
  <c r="AV2158" i="49"/>
  <c r="AV2157" i="49"/>
  <c r="AV2156" i="49"/>
  <c r="AV2155" i="49"/>
  <c r="AV2154" i="49"/>
  <c r="AV2153" i="49"/>
  <c r="AV2152" i="49"/>
  <c r="AV2151" i="49"/>
  <c r="AV2150" i="49"/>
  <c r="AV2149" i="49"/>
  <c r="AV2148" i="49"/>
  <c r="AV2147" i="49"/>
  <c r="AV2146" i="49"/>
  <c r="AV2145" i="49"/>
  <c r="AV2144" i="49"/>
  <c r="AV2143" i="49"/>
  <c r="AV2142" i="49"/>
  <c r="AV2141" i="49"/>
  <c r="AV2140" i="49"/>
  <c r="AV2139" i="49"/>
  <c r="AV2138" i="49"/>
  <c r="AV2137" i="49"/>
  <c r="AV2136" i="49"/>
  <c r="AV2135" i="49"/>
  <c r="AV2134" i="49"/>
  <c r="AV2133" i="49"/>
  <c r="AV2132" i="49"/>
  <c r="AV2131" i="49"/>
  <c r="AV2130" i="49"/>
  <c r="AV2129" i="49"/>
  <c r="AV2128" i="49"/>
  <c r="AV2127" i="49"/>
  <c r="AV2126" i="49"/>
  <c r="AV2125" i="49"/>
  <c r="AV2124" i="49"/>
  <c r="AV2123" i="49"/>
  <c r="AV2122" i="49"/>
  <c r="AV2121" i="49"/>
  <c r="AV2120" i="49"/>
  <c r="AV2119" i="49"/>
  <c r="AV2118" i="49"/>
  <c r="AV2117" i="49"/>
  <c r="AV2116" i="49"/>
  <c r="AV2115" i="49"/>
  <c r="AV2114" i="49"/>
  <c r="AV2113" i="49"/>
  <c r="AV2112" i="49"/>
  <c r="AV2111" i="49"/>
  <c r="AV2110" i="49"/>
  <c r="AV2109" i="49"/>
  <c r="AV2108" i="49"/>
  <c r="AV2107" i="49"/>
  <c r="AV2106" i="49"/>
  <c r="AV2105" i="49"/>
  <c r="AV2104" i="49"/>
  <c r="AV2103" i="49"/>
  <c r="AV2102" i="49"/>
  <c r="AV2101" i="49"/>
  <c r="AV2100" i="49"/>
  <c r="AV2099" i="49"/>
  <c r="AV2098" i="49"/>
  <c r="AV2097" i="49"/>
  <c r="AV2096" i="49"/>
  <c r="AV2095" i="49"/>
  <c r="AV2094" i="49"/>
  <c r="AV2093" i="49"/>
  <c r="AV2092" i="49"/>
  <c r="AV2091" i="49"/>
  <c r="AV2090" i="49"/>
  <c r="AV2089" i="49"/>
  <c r="AV2088" i="49"/>
  <c r="AV2087" i="49"/>
  <c r="AV2086" i="49"/>
  <c r="AV2085" i="49"/>
  <c r="AV2084" i="49"/>
  <c r="AV2083" i="49"/>
  <c r="AV2082" i="49"/>
  <c r="AV2081" i="49"/>
  <c r="AV2080" i="49"/>
  <c r="AV2079" i="49"/>
  <c r="AV2078" i="49"/>
  <c r="AV2077" i="49"/>
  <c r="AV2076" i="49"/>
  <c r="AV2075" i="49"/>
  <c r="AV2074" i="49"/>
  <c r="AV2073" i="49"/>
  <c r="AV2072" i="49"/>
  <c r="AV2071" i="49"/>
  <c r="AV2070" i="49"/>
  <c r="AV2069" i="49"/>
  <c r="AV2068" i="49"/>
  <c r="AV2067" i="49"/>
  <c r="AV2066" i="49"/>
  <c r="AV2065" i="49"/>
  <c r="AV2064" i="49"/>
  <c r="AV2063" i="49"/>
  <c r="AV2062" i="49"/>
  <c r="AV2061" i="49"/>
  <c r="AV2060" i="49"/>
  <c r="AV2059" i="49"/>
  <c r="AV2058" i="49"/>
  <c r="AV2057" i="49"/>
  <c r="AV2056" i="49"/>
  <c r="AV2055" i="49"/>
  <c r="AV2054" i="49"/>
  <c r="AV2053" i="49"/>
  <c r="AV2052" i="49"/>
  <c r="AV2051" i="49"/>
  <c r="AV2050" i="49"/>
  <c r="AV2049" i="49"/>
  <c r="AV2048" i="49"/>
  <c r="AV2047" i="49"/>
  <c r="AV2046" i="49"/>
  <c r="AV2045" i="49"/>
  <c r="AV2044" i="49"/>
  <c r="AV2043" i="49"/>
  <c r="AV2042" i="49"/>
  <c r="AV2041" i="49"/>
  <c r="AV2040" i="49"/>
  <c r="AV2039" i="49"/>
  <c r="AV2038" i="49"/>
  <c r="AV2037" i="49"/>
  <c r="AV2036" i="49"/>
  <c r="AV2035" i="49"/>
  <c r="AV2034" i="49"/>
  <c r="AV2033" i="49"/>
  <c r="AV2032" i="49"/>
  <c r="AV2031" i="49"/>
  <c r="AV2030" i="49"/>
  <c r="AV2029" i="49"/>
  <c r="AV2028" i="49"/>
  <c r="AV2027" i="49"/>
  <c r="AV2026" i="49"/>
  <c r="AV2025" i="49"/>
  <c r="AV2024" i="49"/>
  <c r="AV2023" i="49"/>
  <c r="AV2022" i="49"/>
  <c r="AV2021" i="49"/>
  <c r="AV2020" i="49"/>
  <c r="AV2019" i="49"/>
  <c r="AV2018" i="49"/>
  <c r="AV2017" i="49"/>
  <c r="AV2016" i="49"/>
  <c r="AV2015" i="49"/>
  <c r="AV2014" i="49"/>
  <c r="AV2013" i="49"/>
  <c r="AV2012" i="49"/>
  <c r="AV2011" i="49"/>
  <c r="AV2010" i="49"/>
  <c r="AV2009" i="49"/>
  <c r="AV2008" i="49"/>
  <c r="AV2007" i="49"/>
  <c r="AV2006" i="49"/>
  <c r="AV2005" i="49"/>
  <c r="AV2004" i="49"/>
  <c r="AV2003" i="49"/>
  <c r="AV2002" i="49"/>
  <c r="AV2001" i="49"/>
  <c r="AV2000" i="49"/>
  <c r="AV1999" i="49"/>
  <c r="AV1998" i="49"/>
  <c r="AV1997" i="49"/>
  <c r="AV1996" i="49"/>
  <c r="AV1995" i="49"/>
  <c r="AV1994" i="49"/>
  <c r="AV1993" i="49"/>
  <c r="AV1992" i="49"/>
  <c r="AV1991" i="49"/>
  <c r="AV1990" i="49"/>
  <c r="AV1989" i="49"/>
  <c r="AV1988" i="49"/>
  <c r="AV1987" i="49"/>
  <c r="AV1986" i="49"/>
  <c r="AV1985" i="49"/>
  <c r="AV1984" i="49"/>
  <c r="AV1983" i="49"/>
  <c r="AV1982" i="49"/>
  <c r="AV1981" i="49"/>
  <c r="AV1980" i="49"/>
  <c r="AV1979" i="49"/>
  <c r="AV1978" i="49"/>
  <c r="AV1977" i="49"/>
  <c r="AV1976" i="49"/>
  <c r="AV1975" i="49"/>
  <c r="AV1974" i="49"/>
  <c r="AV1973" i="49"/>
  <c r="AV1972" i="49"/>
  <c r="AV1971" i="49"/>
  <c r="AV1970" i="49"/>
  <c r="AV1969" i="49"/>
  <c r="AV1968" i="49"/>
  <c r="AV1967" i="49"/>
  <c r="AV1966" i="49"/>
  <c r="AV1965" i="49"/>
  <c r="AV1964" i="49"/>
  <c r="AV1963" i="49"/>
  <c r="AV1962" i="49"/>
  <c r="AV1961" i="49"/>
  <c r="AV1960" i="49"/>
  <c r="AV1959" i="49"/>
  <c r="AV1958" i="49"/>
  <c r="AV1957" i="49"/>
  <c r="AV1956" i="49"/>
  <c r="AV1955" i="49"/>
  <c r="AV1954" i="49"/>
  <c r="AV1953" i="49"/>
  <c r="AV1952" i="49"/>
  <c r="AV1951" i="49"/>
  <c r="AV1950" i="49"/>
  <c r="AV1949" i="49"/>
  <c r="AV1948" i="49"/>
  <c r="AV1947" i="49"/>
  <c r="AV1946" i="49"/>
  <c r="AV1945" i="49"/>
  <c r="AV1944" i="49"/>
  <c r="AV1943" i="49"/>
  <c r="AV1942" i="49"/>
  <c r="AV1941" i="49"/>
  <c r="AV1940" i="49"/>
  <c r="AV1939" i="49"/>
  <c r="AV1938" i="49"/>
  <c r="AV1937" i="49"/>
  <c r="AV1936" i="49"/>
  <c r="AV1935" i="49"/>
  <c r="AV1934" i="49"/>
  <c r="AV1933" i="49"/>
  <c r="AV1932" i="49"/>
  <c r="AV1931" i="49"/>
  <c r="AV1930" i="49"/>
  <c r="AV1929" i="49"/>
  <c r="AV1928" i="49"/>
  <c r="AV1927" i="49"/>
  <c r="AV1926" i="49"/>
  <c r="AV1925" i="49"/>
  <c r="AV1924" i="49"/>
  <c r="AV1923" i="49"/>
  <c r="AV1922" i="49"/>
  <c r="AV1921" i="49"/>
  <c r="AV1920" i="49"/>
  <c r="AV1919" i="49"/>
  <c r="AV1918" i="49"/>
  <c r="AV1917" i="49"/>
  <c r="AV1916" i="49"/>
  <c r="AV1915" i="49"/>
  <c r="AV1914" i="49"/>
  <c r="AV1913" i="49"/>
  <c r="AV1912" i="49"/>
  <c r="AV1911" i="49"/>
  <c r="AV1910" i="49"/>
  <c r="AV1909" i="49"/>
  <c r="AV1908" i="49"/>
  <c r="AV1907" i="49"/>
  <c r="AV1906" i="49"/>
  <c r="AV1905" i="49"/>
  <c r="AV1904" i="49"/>
  <c r="AV1903" i="49"/>
  <c r="AV1902" i="49"/>
  <c r="AV1901" i="49"/>
  <c r="AV1900" i="49"/>
  <c r="AV1899" i="49"/>
  <c r="AV1898" i="49"/>
  <c r="AV1897" i="49"/>
  <c r="AV1896" i="49"/>
  <c r="AV1895" i="49"/>
  <c r="AV1894" i="49"/>
  <c r="AV1893" i="49"/>
  <c r="AV1892" i="49"/>
  <c r="AV1891" i="49"/>
  <c r="AV1890" i="49"/>
  <c r="AV1889" i="49"/>
  <c r="AV1888" i="49"/>
  <c r="AV1887" i="49"/>
  <c r="AV1886" i="49"/>
  <c r="AV1885" i="49"/>
  <c r="AV1884" i="49"/>
  <c r="AV1883" i="49"/>
  <c r="AV1882" i="49"/>
  <c r="AV1881" i="49"/>
  <c r="AV1880" i="49"/>
  <c r="AV1879" i="49"/>
  <c r="AV1878" i="49"/>
  <c r="AV1877" i="49"/>
  <c r="AV1876" i="49"/>
  <c r="AV1875" i="49"/>
  <c r="AV1874" i="49"/>
  <c r="AV1873" i="49"/>
  <c r="AV1872" i="49"/>
  <c r="AV1871" i="49"/>
  <c r="AV1870" i="49"/>
  <c r="AV1869" i="49"/>
  <c r="AV1868" i="49"/>
  <c r="AV1867" i="49"/>
  <c r="AV1866" i="49"/>
  <c r="AV1865" i="49"/>
  <c r="AV1864" i="49"/>
  <c r="AV1863" i="49"/>
  <c r="AV1862" i="49"/>
  <c r="AV1861" i="49"/>
  <c r="AV1860" i="49"/>
  <c r="AV1859" i="49"/>
  <c r="AV1858" i="49"/>
  <c r="AV1857" i="49"/>
  <c r="AV1856" i="49"/>
  <c r="AV1855" i="49"/>
  <c r="AV1854" i="49"/>
  <c r="AV1853" i="49"/>
  <c r="AV1852" i="49"/>
  <c r="AV1851" i="49"/>
  <c r="AV1850" i="49"/>
  <c r="AV1849" i="49"/>
  <c r="AV1848" i="49"/>
  <c r="AV1847" i="49"/>
  <c r="AV1846" i="49"/>
  <c r="AV1845" i="49"/>
  <c r="AV1844" i="49"/>
  <c r="AV1843" i="49"/>
  <c r="AV1842" i="49"/>
  <c r="AV1841" i="49"/>
  <c r="AV1840" i="49"/>
  <c r="AV1839" i="49"/>
  <c r="AV1838" i="49"/>
  <c r="AV1837" i="49"/>
  <c r="AV1836" i="49"/>
  <c r="AV1835" i="49"/>
  <c r="AV1834" i="49"/>
  <c r="AV1833" i="49"/>
  <c r="AV1832" i="49"/>
  <c r="AV1831" i="49"/>
  <c r="AV1830" i="49"/>
  <c r="AV1829" i="49"/>
  <c r="AV1828" i="49"/>
  <c r="AV1827" i="49"/>
  <c r="AV1826" i="49"/>
  <c r="AV1825" i="49"/>
  <c r="AV1824" i="49"/>
  <c r="AV1823" i="49"/>
  <c r="AV1822" i="49"/>
  <c r="AV1821" i="49"/>
  <c r="AV1820" i="49"/>
  <c r="AV1819" i="49"/>
  <c r="AV1818" i="49"/>
  <c r="AV1817" i="49"/>
  <c r="AV1816" i="49"/>
  <c r="AV1815" i="49"/>
  <c r="AV1814" i="49"/>
  <c r="AV1813" i="49"/>
  <c r="AV1812" i="49"/>
  <c r="AV1811" i="49"/>
  <c r="AV1810" i="49"/>
  <c r="AV1809" i="49"/>
  <c r="AV1808" i="49"/>
  <c r="AV1807" i="49"/>
  <c r="AV1806" i="49"/>
  <c r="AV1805" i="49"/>
  <c r="AV1804" i="49"/>
  <c r="AV1803" i="49"/>
  <c r="AV1802" i="49"/>
  <c r="AV1801" i="49"/>
  <c r="AV1800" i="49"/>
  <c r="AV1799" i="49"/>
  <c r="AV1798" i="49"/>
  <c r="AV1797" i="49"/>
  <c r="AV1796" i="49"/>
  <c r="AV1795" i="49"/>
  <c r="AV1794" i="49"/>
  <c r="AV1793" i="49"/>
  <c r="AV1792" i="49"/>
  <c r="AV1791" i="49"/>
  <c r="AV1790" i="49"/>
  <c r="AV1789" i="49"/>
  <c r="AV1788" i="49"/>
  <c r="AV1787" i="49"/>
  <c r="AV1786" i="49"/>
  <c r="AV1785" i="49"/>
  <c r="AV1784" i="49"/>
  <c r="AV1783" i="49"/>
  <c r="AV1782" i="49"/>
  <c r="AV1781" i="49"/>
  <c r="AV1780" i="49"/>
  <c r="AV1779" i="49"/>
  <c r="AV1778" i="49"/>
  <c r="AV1777" i="49"/>
  <c r="AV1776" i="49"/>
  <c r="AV1775" i="49"/>
  <c r="AV1774" i="49"/>
  <c r="AV1773" i="49"/>
  <c r="AV1772" i="49"/>
  <c r="AV1771" i="49"/>
  <c r="AV1770" i="49"/>
  <c r="AV1769" i="49"/>
  <c r="AV1768" i="49"/>
  <c r="AV1767" i="49"/>
  <c r="AV1766" i="49"/>
  <c r="AV1765" i="49"/>
  <c r="AV1764" i="49"/>
  <c r="AV1763" i="49"/>
  <c r="AV1762" i="49"/>
  <c r="AV1761" i="49"/>
  <c r="AV1760" i="49"/>
  <c r="AV1759" i="49"/>
  <c r="AV1758" i="49"/>
  <c r="AV1757" i="49"/>
  <c r="AV1756" i="49"/>
  <c r="AV1755" i="49"/>
  <c r="AV1754" i="49"/>
  <c r="AV1753" i="49"/>
  <c r="AV1752" i="49"/>
  <c r="AV1751" i="49"/>
  <c r="AV1750" i="49"/>
  <c r="AV1749" i="49"/>
  <c r="AV1748" i="49"/>
  <c r="AV1747" i="49"/>
  <c r="AV1746" i="49"/>
  <c r="AV1745" i="49"/>
  <c r="AV1744" i="49"/>
  <c r="AV1743" i="49"/>
  <c r="AV1742" i="49"/>
  <c r="AV1741" i="49"/>
  <c r="AV1740" i="49"/>
  <c r="AV1739" i="49"/>
  <c r="AV1738" i="49"/>
  <c r="AV1737" i="49"/>
  <c r="AV1736" i="49"/>
  <c r="AV1735" i="49"/>
  <c r="AV1734" i="49"/>
  <c r="AV1733" i="49"/>
  <c r="AV1732" i="49"/>
  <c r="AV1731" i="49"/>
  <c r="AV1730" i="49"/>
  <c r="AV1729" i="49"/>
  <c r="AV1728" i="49"/>
  <c r="AV1727" i="49"/>
  <c r="AV1726" i="49"/>
  <c r="AV1725" i="49"/>
  <c r="AV1724" i="49"/>
  <c r="AV1723" i="49"/>
  <c r="AV1722" i="49"/>
  <c r="AV1721" i="49"/>
  <c r="AV1720" i="49"/>
  <c r="AV1719" i="49"/>
  <c r="AV1718" i="49"/>
  <c r="AV1717" i="49"/>
  <c r="AV1716" i="49"/>
  <c r="AV1715" i="49"/>
  <c r="AV1714" i="49"/>
  <c r="AV1713" i="49"/>
  <c r="AV1712" i="49"/>
  <c r="AV1711" i="49"/>
  <c r="AV1710" i="49"/>
  <c r="AV1709" i="49"/>
  <c r="AV1708" i="49"/>
  <c r="AV1707" i="49"/>
  <c r="AV1706" i="49"/>
  <c r="AV1705" i="49"/>
  <c r="AV1704" i="49"/>
  <c r="AV1703" i="49"/>
  <c r="AV1702" i="49"/>
  <c r="AV1701" i="49"/>
  <c r="AV1700" i="49"/>
  <c r="AV1699" i="49"/>
  <c r="AV1698" i="49"/>
  <c r="AV1697" i="49"/>
  <c r="AV1696" i="49"/>
  <c r="AV1695" i="49"/>
  <c r="AV1694" i="49"/>
  <c r="AV1693" i="49"/>
  <c r="AV1692" i="49"/>
  <c r="AV1691" i="49"/>
  <c r="AV1690" i="49"/>
  <c r="AV1689" i="49"/>
  <c r="AV1688" i="49"/>
  <c r="AV1687" i="49"/>
  <c r="AV1686" i="49"/>
  <c r="AV1685" i="49"/>
  <c r="AV1684" i="49"/>
  <c r="AV1683" i="49"/>
  <c r="AV1682" i="49"/>
  <c r="AV1681" i="49"/>
  <c r="AV1680" i="49"/>
  <c r="AV1679" i="49"/>
  <c r="AV1678" i="49"/>
  <c r="AV1677" i="49"/>
  <c r="AV1676" i="49"/>
  <c r="AV1675" i="49"/>
  <c r="AV1674" i="49"/>
  <c r="AV1673" i="49"/>
  <c r="AV1672" i="49"/>
  <c r="AV1671" i="49"/>
  <c r="AV1670" i="49"/>
  <c r="AV1669" i="49"/>
  <c r="AV1668" i="49"/>
  <c r="AV1667" i="49"/>
  <c r="AV1666" i="49"/>
  <c r="AV1665" i="49"/>
  <c r="AV1664" i="49"/>
  <c r="AV1663" i="49"/>
  <c r="AV1662" i="49"/>
  <c r="AV1661" i="49"/>
  <c r="AV1660" i="49"/>
  <c r="AV1659" i="49"/>
  <c r="AV1658" i="49"/>
  <c r="AV1657" i="49"/>
  <c r="AV1656" i="49"/>
  <c r="AV1655" i="49"/>
  <c r="AV1654" i="49"/>
  <c r="AV1653" i="49"/>
  <c r="AV1652" i="49"/>
  <c r="AV1651" i="49"/>
  <c r="AV1650" i="49"/>
  <c r="AV1649" i="49"/>
  <c r="AV1648" i="49"/>
  <c r="AV1647" i="49"/>
  <c r="AV1646" i="49"/>
  <c r="AV1645" i="49"/>
  <c r="AV1644" i="49"/>
  <c r="AV1643" i="49"/>
  <c r="AV1642" i="49"/>
  <c r="AV1641" i="49"/>
  <c r="AV1640" i="49"/>
  <c r="AV1639" i="49"/>
  <c r="AV1638" i="49"/>
  <c r="AV1637" i="49"/>
  <c r="AV1636" i="49"/>
  <c r="AV1635" i="49"/>
  <c r="AV1634" i="49"/>
  <c r="AV1633" i="49"/>
  <c r="AV1632" i="49"/>
  <c r="AV1631" i="49"/>
  <c r="AV1630" i="49"/>
  <c r="AV1629" i="49"/>
  <c r="AV1628" i="49"/>
  <c r="AV1627" i="49"/>
  <c r="AV1626" i="49"/>
  <c r="AV1625" i="49"/>
  <c r="AV1624" i="49"/>
  <c r="AV1623" i="49"/>
  <c r="AV1622" i="49"/>
  <c r="AV1621" i="49"/>
  <c r="AV1620" i="49"/>
  <c r="AV1619" i="49"/>
  <c r="AV1618" i="49"/>
  <c r="AV1617" i="49"/>
  <c r="AV1616" i="49"/>
  <c r="AV1615" i="49"/>
  <c r="AV1614" i="49"/>
  <c r="AV1613" i="49"/>
  <c r="AV1612" i="49"/>
  <c r="AV1611" i="49"/>
  <c r="AV1610" i="49"/>
  <c r="AV1609" i="49"/>
  <c r="AV1608" i="49"/>
  <c r="AV1607" i="49"/>
  <c r="AV1606" i="49"/>
  <c r="AV1605" i="49"/>
  <c r="AV1604" i="49"/>
  <c r="AV1603" i="49"/>
  <c r="AV1602" i="49"/>
  <c r="AV1601" i="49"/>
  <c r="AV1600" i="49"/>
  <c r="AV1599" i="49"/>
  <c r="AV1598" i="49"/>
  <c r="AV1597" i="49"/>
  <c r="AV1596" i="49"/>
  <c r="AV1595" i="49"/>
  <c r="AV1594" i="49"/>
  <c r="AV1593" i="49"/>
  <c r="AV1592" i="49"/>
  <c r="AV1591" i="49"/>
  <c r="AV1590" i="49"/>
  <c r="AV1589" i="49"/>
  <c r="AV1588" i="49"/>
  <c r="AV1587" i="49"/>
  <c r="AV1586" i="49"/>
  <c r="AV1585" i="49"/>
  <c r="AV1584" i="49"/>
  <c r="AV1583" i="49"/>
  <c r="AV1582" i="49"/>
  <c r="AV1581" i="49"/>
  <c r="AV1580" i="49"/>
  <c r="AV1579" i="49"/>
  <c r="AV1578" i="49"/>
  <c r="AV1577" i="49"/>
  <c r="AV1576" i="49"/>
  <c r="AV1575" i="49"/>
  <c r="AV1574" i="49"/>
  <c r="AV1573" i="49"/>
  <c r="AV1572" i="49"/>
  <c r="AV1571" i="49"/>
  <c r="AV1570" i="49"/>
  <c r="AV1569" i="49"/>
  <c r="AV1568" i="49"/>
  <c r="AV1567" i="49"/>
  <c r="AV1566" i="49"/>
  <c r="AV1565" i="49"/>
  <c r="AV1564" i="49"/>
  <c r="AV1563" i="49"/>
  <c r="AV1562" i="49"/>
  <c r="AV1561" i="49"/>
  <c r="AV1560" i="49"/>
  <c r="AV1559" i="49"/>
  <c r="AV1558" i="49"/>
  <c r="AV1557" i="49"/>
  <c r="AV1556" i="49"/>
  <c r="AV1555" i="49"/>
  <c r="AV1554" i="49"/>
  <c r="AV1553" i="49"/>
  <c r="AV1552" i="49"/>
  <c r="AV1551" i="49"/>
  <c r="AV1550" i="49"/>
  <c r="AV1549" i="49"/>
  <c r="AV1548" i="49"/>
  <c r="AV1547" i="49"/>
  <c r="AV1546" i="49"/>
  <c r="AV1545" i="49"/>
  <c r="AV1544" i="49"/>
  <c r="AV1543" i="49"/>
  <c r="AV1542" i="49"/>
  <c r="AV1541" i="49"/>
  <c r="AV1540" i="49"/>
  <c r="AV1539" i="49"/>
  <c r="AV1538" i="49"/>
  <c r="AV1537" i="49"/>
  <c r="AV1536" i="49"/>
  <c r="AV1535" i="49"/>
  <c r="AV1534" i="49"/>
  <c r="AV1533" i="49"/>
  <c r="AV1532" i="49"/>
  <c r="AV1531" i="49"/>
  <c r="AV1530" i="49"/>
  <c r="AV1529" i="49"/>
  <c r="AV1528" i="49"/>
  <c r="AV1527" i="49"/>
  <c r="AV1526" i="49"/>
  <c r="AV1525" i="49"/>
  <c r="AV1524" i="49"/>
  <c r="AV1523" i="49"/>
  <c r="AV1522" i="49"/>
  <c r="AV1521" i="49"/>
  <c r="AV1520" i="49"/>
  <c r="AV1519" i="49"/>
  <c r="AV1518" i="49"/>
  <c r="AV1517" i="49"/>
  <c r="AV1516" i="49"/>
  <c r="AV1515" i="49"/>
  <c r="AV1514" i="49"/>
  <c r="AV1513" i="49"/>
  <c r="AV1512" i="49"/>
  <c r="AV1511" i="49"/>
  <c r="AV1510" i="49"/>
  <c r="AV1509" i="49"/>
  <c r="AV1508" i="49"/>
  <c r="AV1507" i="49"/>
  <c r="AV1506" i="49"/>
  <c r="AV1505" i="49"/>
  <c r="AV1504" i="49"/>
  <c r="AV1503" i="49"/>
  <c r="AV1502" i="49"/>
  <c r="AV1501" i="49"/>
  <c r="AV1500" i="49"/>
  <c r="AV1499" i="49"/>
  <c r="AV1498" i="49"/>
  <c r="AV1497" i="49"/>
  <c r="AV1496" i="49"/>
  <c r="AV1495" i="49"/>
  <c r="AV1494" i="49"/>
  <c r="AV1493" i="49"/>
  <c r="AV1492" i="49"/>
  <c r="AV1491" i="49"/>
  <c r="AV1490" i="49"/>
  <c r="AV1489" i="49"/>
  <c r="AV1488" i="49"/>
  <c r="AV1487" i="49"/>
  <c r="AV1486" i="49"/>
  <c r="AV1485" i="49"/>
  <c r="AV1484" i="49"/>
  <c r="AV1483" i="49"/>
  <c r="AV1482" i="49"/>
  <c r="AV1481" i="49"/>
  <c r="AV1480" i="49"/>
  <c r="AV1479" i="49"/>
  <c r="AV1478" i="49"/>
  <c r="AV1477" i="49"/>
  <c r="AV1476" i="49"/>
  <c r="AV1475" i="49"/>
  <c r="AV1474" i="49"/>
  <c r="AV1473" i="49"/>
  <c r="AV1472" i="49"/>
  <c r="AV1471" i="49"/>
  <c r="AV1470" i="49"/>
  <c r="AV1469" i="49"/>
  <c r="AV1468" i="49"/>
  <c r="AV1467" i="49"/>
  <c r="AV1466" i="49"/>
  <c r="AV1465" i="49"/>
  <c r="AV1464" i="49"/>
  <c r="AV1463" i="49"/>
  <c r="AV1462" i="49"/>
  <c r="AV1461" i="49"/>
  <c r="AV1460" i="49"/>
  <c r="AV1459" i="49"/>
  <c r="AV1458" i="49"/>
  <c r="AV1457" i="49"/>
  <c r="AV1456" i="49"/>
  <c r="AV1455" i="49"/>
  <c r="AV1454" i="49"/>
  <c r="AV1453" i="49"/>
  <c r="AV1452" i="49"/>
  <c r="AV1451" i="49"/>
  <c r="AV1450" i="49"/>
  <c r="AV1449" i="49"/>
  <c r="AV1448" i="49"/>
  <c r="AV1447" i="49"/>
  <c r="AV1446" i="49"/>
  <c r="AV1445" i="49"/>
  <c r="AV1444" i="49"/>
  <c r="AV1443" i="49"/>
  <c r="AV1442" i="49"/>
  <c r="AV1441" i="49"/>
  <c r="AV1440" i="49"/>
  <c r="AV1439" i="49"/>
  <c r="AV1438" i="49"/>
  <c r="AV1437" i="49"/>
  <c r="AV1436" i="49"/>
  <c r="AV1435" i="49"/>
  <c r="AV1434" i="49"/>
  <c r="AV1433" i="49"/>
  <c r="AV1432" i="49"/>
  <c r="AV1431" i="49"/>
  <c r="AV1430" i="49"/>
  <c r="AV1429" i="49"/>
  <c r="AV1428" i="49"/>
  <c r="AV1427" i="49"/>
  <c r="AV1426" i="49"/>
  <c r="AV1425" i="49"/>
  <c r="AV1424" i="49"/>
  <c r="AV1423" i="49"/>
  <c r="AV1422" i="49"/>
  <c r="AV1421" i="49"/>
  <c r="AV1420" i="49"/>
  <c r="AV1419" i="49"/>
  <c r="AV1418" i="49"/>
  <c r="AV1417" i="49"/>
  <c r="AV1416" i="49"/>
  <c r="AV1415" i="49"/>
  <c r="AV1414" i="49"/>
  <c r="AV1413" i="49"/>
  <c r="AV1412" i="49"/>
  <c r="AV1411" i="49"/>
  <c r="AV1410" i="49"/>
  <c r="AV1409" i="49"/>
  <c r="AV1408" i="49"/>
  <c r="AV1407" i="49"/>
  <c r="AV1406" i="49"/>
  <c r="AV1405" i="49"/>
  <c r="AV1404" i="49"/>
  <c r="AV1403" i="49"/>
  <c r="AV1402" i="49"/>
  <c r="AV1401" i="49"/>
  <c r="AV1400" i="49"/>
  <c r="AV1399" i="49"/>
  <c r="AV1398" i="49"/>
  <c r="AV1397" i="49"/>
  <c r="AV1396" i="49"/>
  <c r="AV1395" i="49"/>
  <c r="AV1394" i="49"/>
  <c r="AV1393" i="49"/>
  <c r="AV1392" i="49"/>
  <c r="AV1391" i="49"/>
  <c r="AV1390" i="49"/>
  <c r="AV1389" i="49"/>
  <c r="AV1388" i="49"/>
  <c r="AV1387" i="49"/>
  <c r="AV1386" i="49"/>
  <c r="AV1385" i="49"/>
  <c r="AV1384" i="49"/>
  <c r="AV1383" i="49"/>
  <c r="AV1382" i="49"/>
  <c r="AV1381" i="49"/>
  <c r="AV1380" i="49"/>
  <c r="AV1379" i="49"/>
  <c r="AV1378" i="49"/>
  <c r="AV1377" i="49"/>
  <c r="AV1376" i="49"/>
  <c r="AV1375" i="49"/>
  <c r="AV1374" i="49"/>
  <c r="AV1373" i="49"/>
  <c r="AV1372" i="49"/>
  <c r="AV1371" i="49"/>
  <c r="AV1370" i="49"/>
  <c r="AV1369" i="49"/>
  <c r="AV1368" i="49"/>
  <c r="AV1367" i="49"/>
  <c r="AV1366" i="49"/>
  <c r="AV1365" i="49"/>
  <c r="AV1364" i="49"/>
  <c r="AV1363" i="49"/>
  <c r="AV1362" i="49"/>
  <c r="AV1361" i="49"/>
  <c r="AV1360" i="49"/>
  <c r="AV1359" i="49"/>
  <c r="AV1358" i="49"/>
  <c r="AV1357" i="49"/>
  <c r="AV1356" i="49"/>
  <c r="AV1355" i="49"/>
  <c r="AV1354" i="49"/>
  <c r="AV1353" i="49"/>
  <c r="AV1352" i="49"/>
  <c r="AV1351" i="49"/>
  <c r="AV1350" i="49"/>
  <c r="AV1349" i="49"/>
  <c r="AV1348" i="49"/>
  <c r="AV1347" i="49"/>
  <c r="AV1346" i="49"/>
  <c r="AV1345" i="49"/>
  <c r="AV1344" i="49"/>
  <c r="AV1343" i="49"/>
  <c r="AV1342" i="49"/>
  <c r="AV1341" i="49"/>
  <c r="AV1340" i="49"/>
  <c r="AV1339" i="49"/>
  <c r="AV1338" i="49"/>
  <c r="AV1337" i="49"/>
  <c r="AV1336" i="49"/>
  <c r="AV1335" i="49"/>
  <c r="AV1334" i="49"/>
  <c r="AV1333" i="49"/>
  <c r="AV1332" i="49"/>
  <c r="AV1331" i="49"/>
  <c r="AV1330" i="49"/>
  <c r="AV1329" i="49"/>
  <c r="AV1328" i="49"/>
  <c r="AV1327" i="49"/>
  <c r="AV1326" i="49"/>
  <c r="AV1325" i="49"/>
  <c r="AV1324" i="49"/>
  <c r="AV1323" i="49"/>
  <c r="AV1322" i="49"/>
  <c r="AV1321" i="49"/>
  <c r="AV1320" i="49"/>
  <c r="AV1319" i="49"/>
  <c r="AV1318" i="49"/>
  <c r="AV1317" i="49"/>
  <c r="AV1316" i="49"/>
  <c r="AV1315" i="49"/>
  <c r="AV1314" i="49"/>
  <c r="AV1313" i="49"/>
  <c r="AV1312" i="49"/>
  <c r="AV1311" i="49"/>
  <c r="AV1310" i="49"/>
  <c r="AV1309" i="49"/>
  <c r="AV1308" i="49"/>
  <c r="AV1307" i="49"/>
  <c r="AV1306" i="49"/>
  <c r="AV1305" i="49"/>
  <c r="AV1304" i="49"/>
  <c r="AV1303" i="49"/>
  <c r="AV1302" i="49"/>
  <c r="AV1301" i="49"/>
  <c r="AV1300" i="49"/>
  <c r="AV1299" i="49"/>
  <c r="AV1298" i="49"/>
  <c r="AV1297" i="49"/>
  <c r="AV1296" i="49"/>
  <c r="AV1295" i="49"/>
  <c r="AV1294" i="49"/>
  <c r="AV1293" i="49"/>
  <c r="AV1292" i="49"/>
  <c r="AV1291" i="49"/>
  <c r="AV1290" i="49"/>
  <c r="AV1289" i="49"/>
  <c r="AV1288" i="49"/>
  <c r="AV1287" i="49"/>
  <c r="AV1286" i="49"/>
  <c r="AV1285" i="49"/>
  <c r="AV1284" i="49"/>
  <c r="AV1283" i="49"/>
  <c r="AV1282" i="49"/>
  <c r="AV1281" i="49"/>
  <c r="AV1280" i="49"/>
  <c r="AV1279" i="49"/>
  <c r="AV1278" i="49"/>
  <c r="AV1277" i="49"/>
  <c r="AV1276" i="49"/>
  <c r="AV1275" i="49"/>
  <c r="AV1274" i="49"/>
  <c r="AV1273" i="49"/>
  <c r="AV1272" i="49"/>
  <c r="AV1271" i="49"/>
  <c r="AV1270" i="49"/>
  <c r="AV1269" i="49"/>
  <c r="AV1268" i="49"/>
  <c r="AV1267" i="49"/>
  <c r="AV1266" i="49"/>
  <c r="AV1265" i="49"/>
  <c r="AV1264" i="49"/>
  <c r="AV1263" i="49"/>
  <c r="AV1262" i="49"/>
  <c r="AV1261" i="49"/>
  <c r="AV1260" i="49"/>
  <c r="AV1259" i="49"/>
  <c r="AV1258" i="49"/>
  <c r="AV1257" i="49"/>
  <c r="AV1256" i="49"/>
  <c r="AV1255" i="49"/>
  <c r="AV1254" i="49"/>
  <c r="AV1253" i="49"/>
  <c r="AV1252" i="49"/>
  <c r="AV1251" i="49"/>
  <c r="AV1250" i="49"/>
  <c r="AV1249" i="49"/>
  <c r="AV1248" i="49"/>
  <c r="AV1247" i="49"/>
  <c r="AV1246" i="49"/>
  <c r="AV1245" i="49"/>
  <c r="AV1244" i="49"/>
  <c r="AV1243" i="49"/>
  <c r="AV1242" i="49"/>
  <c r="AV1241" i="49"/>
  <c r="AV1240" i="49"/>
  <c r="AV1239" i="49"/>
  <c r="AV1238" i="49"/>
  <c r="AV1237" i="49"/>
  <c r="AV1236" i="49"/>
  <c r="AV1235" i="49"/>
  <c r="AV1234" i="49"/>
  <c r="AV1233" i="49"/>
  <c r="AV1232" i="49"/>
  <c r="AV1231" i="49"/>
  <c r="AV1230" i="49"/>
  <c r="AV1229" i="49"/>
  <c r="AV1228" i="49"/>
  <c r="AV1227" i="49"/>
  <c r="AV1226" i="49"/>
  <c r="AV1225" i="49"/>
  <c r="AV1224" i="49"/>
  <c r="AV1223" i="49"/>
  <c r="AV1222" i="49"/>
  <c r="AV1221" i="49"/>
  <c r="AV1220" i="49"/>
  <c r="AV1219" i="49"/>
  <c r="AV1218" i="49"/>
  <c r="AV1217" i="49"/>
  <c r="AV1216" i="49"/>
  <c r="AV1215" i="49"/>
  <c r="AV1214" i="49"/>
  <c r="AV1213" i="49"/>
  <c r="AV1212" i="49"/>
  <c r="AV1211" i="49"/>
  <c r="AV1210" i="49"/>
  <c r="AV1209" i="49"/>
  <c r="AV1208" i="49"/>
  <c r="AV1207" i="49"/>
  <c r="AV1206" i="49"/>
  <c r="AV1205" i="49"/>
  <c r="AV1204" i="49"/>
  <c r="AV1203" i="49"/>
  <c r="AV1202" i="49"/>
  <c r="AV1201" i="49"/>
  <c r="AV1200" i="49"/>
  <c r="AV1199" i="49"/>
  <c r="AV1198" i="49"/>
  <c r="AV1197" i="49"/>
  <c r="AV1196" i="49"/>
  <c r="AV1195" i="49"/>
  <c r="AV1194" i="49"/>
  <c r="AV1193" i="49"/>
  <c r="AV1192" i="49"/>
  <c r="AV1191" i="49"/>
  <c r="AV1190" i="49"/>
  <c r="AV1189" i="49"/>
  <c r="AV1188" i="49"/>
  <c r="AV1187" i="49"/>
  <c r="AV1186" i="49"/>
  <c r="AV1185" i="49"/>
  <c r="AV1184" i="49"/>
  <c r="AV1183" i="49"/>
  <c r="AV1182" i="49"/>
  <c r="AV1181" i="49"/>
  <c r="AV1180" i="49"/>
  <c r="AV1179" i="49"/>
  <c r="AV1178" i="49"/>
  <c r="AV1177" i="49"/>
  <c r="AV1176" i="49"/>
  <c r="AV1175" i="49"/>
  <c r="AV1174" i="49"/>
  <c r="AV1173" i="49"/>
  <c r="AV1172" i="49"/>
  <c r="AV1171" i="49"/>
  <c r="AV1170" i="49"/>
  <c r="AV1169" i="49"/>
  <c r="AV1168" i="49"/>
  <c r="AV1167" i="49"/>
  <c r="AV1166" i="49"/>
  <c r="AV1165" i="49"/>
  <c r="AV1164" i="49"/>
  <c r="AV1163" i="49"/>
  <c r="AV1162" i="49"/>
  <c r="AV1161" i="49"/>
  <c r="AV1160" i="49"/>
  <c r="AV1159" i="49"/>
  <c r="AV1158" i="49"/>
  <c r="AV1157" i="49"/>
  <c r="AV1156" i="49"/>
  <c r="AV1155" i="49"/>
  <c r="AV1154" i="49"/>
  <c r="AV1153" i="49"/>
  <c r="AV1152" i="49"/>
  <c r="AV1151" i="49"/>
  <c r="AV1150" i="49"/>
  <c r="AV1149" i="49"/>
  <c r="AV1148" i="49"/>
  <c r="AV1147" i="49"/>
  <c r="AV1146" i="49"/>
  <c r="AV1145" i="49"/>
  <c r="AV1144" i="49"/>
  <c r="AV1143" i="49"/>
  <c r="AV1142" i="49"/>
  <c r="AV1141" i="49"/>
  <c r="AV1140" i="49"/>
  <c r="AV1139" i="49"/>
  <c r="AV1138" i="49"/>
  <c r="AV1137" i="49"/>
  <c r="AV1136" i="49"/>
  <c r="AV1135" i="49"/>
  <c r="AV1134" i="49"/>
  <c r="AV1133" i="49"/>
  <c r="AV1132" i="49"/>
  <c r="AV1131" i="49"/>
  <c r="AV1130" i="49"/>
  <c r="AV1129" i="49"/>
  <c r="AV1128" i="49"/>
  <c r="AV1127" i="49"/>
  <c r="AV1126" i="49"/>
  <c r="AV1125" i="49"/>
  <c r="AV1124" i="49"/>
  <c r="AV1123" i="49"/>
  <c r="AV1122" i="49"/>
  <c r="AV1121" i="49"/>
  <c r="AV1120" i="49"/>
  <c r="AV1119" i="49"/>
  <c r="AV1118" i="49"/>
  <c r="AV1117" i="49"/>
  <c r="AV1116" i="49"/>
  <c r="AV1115" i="49"/>
  <c r="AV1114" i="49"/>
  <c r="AV1113" i="49"/>
  <c r="AV1112" i="49"/>
  <c r="AV1111" i="49"/>
  <c r="AV1110" i="49"/>
  <c r="AV1109" i="49"/>
  <c r="AV1108" i="49"/>
  <c r="AV1107" i="49"/>
  <c r="AV1106" i="49"/>
  <c r="AV1105" i="49"/>
  <c r="AV1104" i="49"/>
  <c r="AV1103" i="49"/>
  <c r="AV1102" i="49"/>
  <c r="AV1101" i="49"/>
  <c r="AV1100" i="49"/>
  <c r="AV1099" i="49"/>
  <c r="AV1098" i="49"/>
  <c r="AV1097" i="49"/>
  <c r="AV1096" i="49"/>
  <c r="AV1095" i="49"/>
  <c r="AV1094" i="49"/>
  <c r="AV1093" i="49"/>
  <c r="AV1092" i="49"/>
  <c r="AV1091" i="49"/>
  <c r="AV1090" i="49"/>
  <c r="AV1089" i="49"/>
  <c r="AV1088" i="49"/>
  <c r="AV1087" i="49"/>
  <c r="AV1086" i="49"/>
  <c r="AV1085" i="49"/>
  <c r="AV1084" i="49"/>
  <c r="AV1083" i="49"/>
  <c r="AV1082" i="49"/>
  <c r="AV1081" i="49"/>
  <c r="AV1080" i="49"/>
  <c r="AV1079" i="49"/>
  <c r="AV1078" i="49"/>
  <c r="AV1077" i="49"/>
  <c r="AV1076" i="49"/>
  <c r="AV1075" i="49"/>
  <c r="AV1074" i="49"/>
  <c r="AV1073" i="49"/>
  <c r="AV1072" i="49"/>
  <c r="AV1071" i="49"/>
  <c r="AV1070" i="49"/>
  <c r="AV1069" i="49"/>
  <c r="AV1068" i="49"/>
  <c r="AV1067" i="49"/>
  <c r="AV1066" i="49"/>
  <c r="AV1065" i="49"/>
  <c r="AV1064" i="49"/>
  <c r="AV1063" i="49"/>
  <c r="AV1062" i="49"/>
  <c r="AV1061" i="49"/>
  <c r="AV1060" i="49"/>
  <c r="AV1059" i="49"/>
  <c r="AV1058" i="49"/>
  <c r="AV1057" i="49"/>
  <c r="AV1056" i="49"/>
  <c r="AV1055" i="49"/>
  <c r="AV1054" i="49"/>
  <c r="AV1053" i="49"/>
  <c r="AV1052" i="49"/>
  <c r="AV1051" i="49"/>
  <c r="AV1050" i="49"/>
  <c r="AV1049" i="49"/>
  <c r="AV1048" i="49"/>
  <c r="AV1047" i="49"/>
  <c r="AV1046" i="49"/>
  <c r="AV1045" i="49"/>
  <c r="AV1044" i="49"/>
  <c r="AV1043" i="49"/>
  <c r="AV1042" i="49"/>
  <c r="AV1041" i="49"/>
  <c r="AV1040" i="49"/>
  <c r="AV1039" i="49"/>
  <c r="AV1038" i="49"/>
  <c r="AV1037" i="49"/>
  <c r="AV1036" i="49"/>
  <c r="AV1035" i="49"/>
  <c r="AV1034" i="49"/>
  <c r="AV1033" i="49"/>
  <c r="AV1032" i="49"/>
  <c r="AV1031" i="49"/>
  <c r="AV1030" i="49"/>
  <c r="AV1029" i="49"/>
  <c r="AV1028" i="49"/>
  <c r="AV1027" i="49"/>
  <c r="AV1026" i="49"/>
  <c r="AV1025" i="49"/>
  <c r="AV1024" i="49"/>
  <c r="AV1023" i="49"/>
  <c r="AV1022" i="49"/>
  <c r="AV1021" i="49"/>
  <c r="AV1020" i="49"/>
  <c r="AV1019" i="49"/>
  <c r="AV1018" i="49"/>
  <c r="AV1017" i="49"/>
  <c r="AV1016" i="49"/>
  <c r="AV1015" i="49"/>
  <c r="AV1014" i="49"/>
  <c r="AV1013" i="49"/>
  <c r="AV1012" i="49"/>
  <c r="AV1011" i="49"/>
  <c r="AV1010" i="49"/>
  <c r="AV1009" i="49"/>
  <c r="AV1008" i="49"/>
  <c r="AV1007" i="49"/>
  <c r="AV1006" i="49"/>
  <c r="AV1005" i="49"/>
  <c r="AV1004" i="49"/>
  <c r="AV1003" i="49"/>
  <c r="AV1002" i="49"/>
  <c r="AV1001" i="49"/>
  <c r="AV1000" i="49"/>
  <c r="AV999" i="49"/>
  <c r="AV998" i="49"/>
  <c r="AV997" i="49"/>
  <c r="AV996" i="49"/>
  <c r="AV995" i="49"/>
  <c r="AV994" i="49"/>
  <c r="AV993" i="49"/>
  <c r="AV992" i="49"/>
  <c r="AV991" i="49"/>
  <c r="AV990" i="49"/>
  <c r="AV989" i="49"/>
  <c r="AV988" i="49"/>
  <c r="AV987" i="49"/>
  <c r="AV986" i="49"/>
  <c r="AV985" i="49"/>
  <c r="AV984" i="49"/>
  <c r="AV983" i="49"/>
  <c r="AV982" i="49"/>
  <c r="AV981" i="49"/>
  <c r="AV980" i="49"/>
  <c r="AV979" i="49"/>
  <c r="AV978" i="49"/>
  <c r="AV977" i="49"/>
  <c r="AV976" i="49"/>
  <c r="AV975" i="49"/>
  <c r="AV974" i="49"/>
  <c r="AV973" i="49"/>
  <c r="AV972" i="49"/>
  <c r="AV971" i="49"/>
  <c r="AV970" i="49"/>
  <c r="AV969" i="49"/>
  <c r="AV968" i="49"/>
  <c r="AV967" i="49"/>
  <c r="AV966" i="49"/>
  <c r="AV965" i="49"/>
  <c r="AV964" i="49"/>
  <c r="AV963" i="49"/>
  <c r="AV962" i="49"/>
  <c r="AV961" i="49"/>
  <c r="AV960" i="49"/>
  <c r="AV959" i="49"/>
  <c r="AV958" i="49"/>
  <c r="AV957" i="49"/>
  <c r="AV956" i="49"/>
  <c r="AV955" i="49"/>
  <c r="AV954" i="49"/>
  <c r="AV953" i="49"/>
  <c r="AV952" i="49"/>
  <c r="AV951" i="49"/>
  <c r="AV950" i="49"/>
  <c r="AV949" i="49"/>
  <c r="AV948" i="49"/>
  <c r="AV947" i="49"/>
  <c r="AV946" i="49"/>
  <c r="AV945" i="49"/>
  <c r="AV944" i="49"/>
  <c r="AV943" i="49"/>
  <c r="AV942" i="49"/>
  <c r="AV941" i="49"/>
  <c r="AV940" i="49"/>
  <c r="AV939" i="49"/>
  <c r="AV938" i="49"/>
  <c r="AV937" i="49"/>
  <c r="AV936" i="49"/>
  <c r="AV935" i="49"/>
  <c r="AV934" i="49"/>
  <c r="AV933" i="49"/>
  <c r="AV932" i="49"/>
  <c r="AV931" i="49"/>
  <c r="AV930" i="49"/>
  <c r="AV929" i="49"/>
  <c r="AV928" i="49"/>
  <c r="AV927" i="49"/>
  <c r="AV926" i="49"/>
  <c r="AV925" i="49"/>
  <c r="AV924" i="49"/>
  <c r="AV923" i="49"/>
  <c r="AV922" i="49"/>
  <c r="AV921" i="49"/>
  <c r="AV920" i="49"/>
  <c r="AV919" i="49"/>
  <c r="AV918" i="49"/>
  <c r="AV917" i="49"/>
  <c r="AV916" i="49"/>
  <c r="AV915" i="49"/>
  <c r="AV914" i="49"/>
  <c r="AV913" i="49"/>
  <c r="AV912" i="49"/>
  <c r="AV911" i="49"/>
  <c r="AV910" i="49"/>
  <c r="AV909" i="49"/>
  <c r="AV908" i="49"/>
  <c r="AV907" i="49"/>
  <c r="AV906" i="49"/>
  <c r="AV905" i="49"/>
  <c r="AV904" i="49"/>
  <c r="AV903" i="49"/>
  <c r="AV902" i="49"/>
  <c r="AV901" i="49"/>
  <c r="AV900" i="49"/>
  <c r="AV899" i="49"/>
  <c r="AV898" i="49"/>
  <c r="AV897" i="49"/>
  <c r="AV896" i="49"/>
  <c r="AV895" i="49"/>
  <c r="AV894" i="49"/>
  <c r="AV893" i="49"/>
  <c r="AV892" i="49"/>
  <c r="AV891" i="49"/>
  <c r="AV890" i="49"/>
  <c r="AV889" i="49"/>
  <c r="AV888" i="49"/>
  <c r="AV887" i="49"/>
  <c r="AV886" i="49"/>
  <c r="AV885" i="49"/>
  <c r="AV884" i="49"/>
  <c r="AV883" i="49"/>
  <c r="AV882" i="49"/>
  <c r="AV881" i="49"/>
  <c r="AV880" i="49"/>
  <c r="AV879" i="49"/>
  <c r="AV878" i="49"/>
  <c r="AV877" i="49"/>
  <c r="AV876" i="49"/>
  <c r="AV875" i="49"/>
  <c r="AV874" i="49"/>
  <c r="AV873" i="49"/>
  <c r="AV872" i="49"/>
  <c r="AV871" i="49"/>
  <c r="AV870" i="49"/>
  <c r="AV869" i="49"/>
  <c r="AV868" i="49"/>
  <c r="AV867" i="49"/>
  <c r="AV866" i="49"/>
  <c r="AV865" i="49"/>
  <c r="AV864" i="49"/>
  <c r="AV863" i="49"/>
  <c r="AV862" i="49"/>
  <c r="AV861" i="49"/>
  <c r="AV860" i="49"/>
  <c r="AV859" i="49"/>
  <c r="AV858" i="49"/>
  <c r="AV857" i="49"/>
  <c r="AV856" i="49"/>
  <c r="AV855" i="49"/>
  <c r="AV854" i="49"/>
  <c r="AV853" i="49"/>
  <c r="AV852" i="49"/>
  <c r="AV851" i="49"/>
  <c r="AV850" i="49"/>
  <c r="AV849" i="49"/>
  <c r="AV848" i="49"/>
  <c r="AV847" i="49"/>
  <c r="AV846" i="49"/>
  <c r="AV845" i="49"/>
  <c r="AV844" i="49"/>
  <c r="AV843" i="49"/>
  <c r="AV842" i="49"/>
  <c r="AV841" i="49"/>
  <c r="AV840" i="49"/>
  <c r="AV839" i="49"/>
  <c r="AV838" i="49"/>
  <c r="AV837" i="49"/>
  <c r="AV836" i="49"/>
  <c r="AV835" i="49"/>
  <c r="AV834" i="49"/>
  <c r="AV833" i="49"/>
  <c r="AV832" i="49"/>
  <c r="AV831" i="49"/>
  <c r="AV830" i="49"/>
  <c r="AV829" i="49"/>
  <c r="AV828" i="49"/>
  <c r="AV827" i="49"/>
  <c r="AV826" i="49"/>
  <c r="AV825" i="49"/>
  <c r="AV824" i="49"/>
  <c r="AV823" i="49"/>
  <c r="AV822" i="49"/>
  <c r="AV821" i="49"/>
  <c r="AV820" i="49"/>
  <c r="AV819" i="49"/>
  <c r="AV818" i="49"/>
  <c r="AV817" i="49"/>
  <c r="AV816" i="49"/>
  <c r="AV815" i="49"/>
  <c r="AV814" i="49"/>
  <c r="AV813" i="49"/>
  <c r="AV812" i="49"/>
  <c r="AV811" i="49"/>
  <c r="AV810" i="49"/>
  <c r="AV809" i="49"/>
  <c r="AV808" i="49"/>
  <c r="AV807" i="49"/>
  <c r="AV806" i="49"/>
  <c r="AV805" i="49"/>
  <c r="AV804" i="49"/>
  <c r="AV803" i="49"/>
  <c r="AV802" i="49"/>
  <c r="AV801" i="49"/>
  <c r="AV800" i="49"/>
  <c r="AV799" i="49"/>
  <c r="AV798" i="49"/>
  <c r="AV797" i="49"/>
  <c r="AV796" i="49"/>
  <c r="AV795" i="49"/>
  <c r="AV794" i="49"/>
  <c r="AV793" i="49"/>
  <c r="AV792" i="49"/>
  <c r="AV791" i="49"/>
  <c r="AV790" i="49"/>
  <c r="AV789" i="49"/>
  <c r="AV788" i="49"/>
  <c r="AV787" i="49"/>
  <c r="AV786" i="49"/>
  <c r="AV785" i="49"/>
  <c r="AV784" i="49"/>
  <c r="AV783" i="49"/>
  <c r="AV782" i="49"/>
  <c r="AV781" i="49"/>
  <c r="AV780" i="49"/>
  <c r="AV779" i="49"/>
  <c r="AV778" i="49"/>
  <c r="AV777" i="49"/>
  <c r="AV776" i="49"/>
  <c r="AV775" i="49"/>
  <c r="AV774" i="49"/>
  <c r="AV773" i="49"/>
  <c r="AV772" i="49"/>
  <c r="AV771" i="49"/>
  <c r="AV770" i="49"/>
  <c r="AV769" i="49"/>
  <c r="AV768" i="49"/>
  <c r="AV767" i="49"/>
  <c r="AV766" i="49"/>
  <c r="AV765" i="49"/>
  <c r="AV764" i="49"/>
  <c r="AV763" i="49"/>
  <c r="AV762" i="49"/>
  <c r="AV761" i="49"/>
  <c r="AV760" i="49"/>
  <c r="AV759" i="49"/>
  <c r="AV758" i="49"/>
  <c r="AV757" i="49"/>
  <c r="AV756" i="49"/>
  <c r="AV755" i="49"/>
  <c r="AV754" i="49"/>
  <c r="AV753" i="49"/>
  <c r="AV752" i="49"/>
  <c r="AV751" i="49"/>
  <c r="AV750" i="49"/>
  <c r="AV749" i="49"/>
  <c r="AV748" i="49"/>
  <c r="AV747" i="49"/>
  <c r="AV746" i="49"/>
  <c r="AV745" i="49"/>
  <c r="AV744" i="49"/>
  <c r="AV743" i="49"/>
  <c r="AV742" i="49"/>
  <c r="AV741" i="49"/>
  <c r="AV740" i="49"/>
  <c r="AV739" i="49"/>
  <c r="AV738" i="49"/>
  <c r="AV737" i="49"/>
  <c r="AV736" i="49"/>
  <c r="AV735" i="49"/>
  <c r="AV734" i="49"/>
  <c r="AV733" i="49"/>
  <c r="AV732" i="49"/>
  <c r="AV731" i="49"/>
  <c r="AV730" i="49"/>
  <c r="AV729" i="49"/>
  <c r="AV728" i="49"/>
  <c r="AV727" i="49"/>
  <c r="AV726" i="49"/>
  <c r="AV725" i="49"/>
  <c r="AV724" i="49"/>
  <c r="AV723" i="49"/>
  <c r="AV722" i="49"/>
  <c r="AV721" i="49"/>
  <c r="AV720" i="49"/>
  <c r="AV719" i="49"/>
  <c r="AV718" i="49"/>
  <c r="AV717" i="49"/>
  <c r="AV716" i="49"/>
  <c r="AV715" i="49"/>
  <c r="AV714" i="49"/>
  <c r="AV713" i="49"/>
  <c r="AV712" i="49"/>
  <c r="AV711" i="49"/>
  <c r="AV710" i="49"/>
  <c r="AV709" i="49"/>
  <c r="AV708" i="49"/>
  <c r="AV707" i="49"/>
  <c r="AV706" i="49"/>
  <c r="AV705" i="49"/>
  <c r="AV704" i="49"/>
  <c r="AV703" i="49"/>
  <c r="AV702" i="49"/>
  <c r="AV701" i="49"/>
  <c r="AV700" i="49"/>
  <c r="AV699" i="49"/>
  <c r="AV698" i="49"/>
  <c r="AV697" i="49"/>
  <c r="AV696" i="49"/>
  <c r="AV695" i="49"/>
  <c r="AV694" i="49"/>
  <c r="AV693" i="49"/>
  <c r="AV692" i="49"/>
  <c r="AV691" i="49"/>
  <c r="AV690" i="49"/>
  <c r="AV689" i="49"/>
  <c r="AV688" i="49"/>
  <c r="AV687" i="49"/>
  <c r="AV686" i="49"/>
  <c r="AV685" i="49"/>
  <c r="AV684" i="49"/>
  <c r="AV683" i="49"/>
  <c r="AV682" i="49"/>
  <c r="AV681" i="49"/>
  <c r="AV680" i="49"/>
  <c r="AV679" i="49"/>
  <c r="AV678" i="49"/>
  <c r="AV677" i="49"/>
  <c r="AV676" i="49"/>
  <c r="AV675" i="49"/>
  <c r="AV674" i="49"/>
  <c r="AV673" i="49"/>
  <c r="AV672" i="49"/>
  <c r="AV671" i="49"/>
  <c r="AV670" i="49"/>
  <c r="AV669" i="49"/>
  <c r="AV668" i="49"/>
  <c r="AV667" i="49"/>
  <c r="AV666" i="49"/>
  <c r="AV665" i="49"/>
  <c r="AV664" i="49"/>
  <c r="AV663" i="49"/>
  <c r="AV662" i="49"/>
  <c r="AV661" i="49"/>
  <c r="AV660" i="49"/>
  <c r="AV659" i="49"/>
  <c r="AV658" i="49"/>
  <c r="AV657" i="49"/>
  <c r="AV656" i="49"/>
  <c r="AV655" i="49"/>
  <c r="AV654" i="49"/>
  <c r="AV653" i="49"/>
  <c r="AV652" i="49"/>
  <c r="AV651" i="49"/>
  <c r="AV650" i="49"/>
  <c r="AV649" i="49"/>
  <c r="AV648" i="49"/>
  <c r="AV647" i="49"/>
  <c r="AV646" i="49"/>
  <c r="AV645" i="49"/>
  <c r="AV644" i="49"/>
  <c r="AV643" i="49"/>
  <c r="AV642" i="49"/>
  <c r="AV641" i="49"/>
  <c r="AV640" i="49"/>
  <c r="AV639" i="49"/>
  <c r="AV638" i="49"/>
  <c r="AV637" i="49"/>
  <c r="AV636" i="49"/>
  <c r="AV635" i="49"/>
  <c r="AV634" i="49"/>
  <c r="AV633" i="49"/>
  <c r="AV632" i="49"/>
  <c r="AV631" i="49"/>
  <c r="AV630" i="49"/>
  <c r="AV629" i="49"/>
  <c r="AV628" i="49"/>
  <c r="AV627" i="49"/>
  <c r="AV626" i="49"/>
  <c r="AV625" i="49"/>
  <c r="AV624" i="49"/>
  <c r="AV623" i="49"/>
  <c r="AV622" i="49"/>
  <c r="AV621" i="49"/>
  <c r="AV620" i="49"/>
  <c r="AV619" i="49"/>
  <c r="AV618" i="49"/>
  <c r="AV617" i="49"/>
  <c r="AV616" i="49"/>
  <c r="AV615" i="49"/>
  <c r="AV614" i="49"/>
  <c r="AV613" i="49"/>
  <c r="AV612" i="49"/>
  <c r="AV611" i="49"/>
  <c r="AV610" i="49"/>
  <c r="AV609" i="49"/>
  <c r="AV608" i="49"/>
  <c r="AV607" i="49"/>
  <c r="AV606" i="49"/>
  <c r="AV605" i="49"/>
  <c r="AV604" i="49"/>
  <c r="AV603" i="49"/>
  <c r="AV602" i="49"/>
  <c r="AV601" i="49"/>
  <c r="AV600" i="49"/>
  <c r="AV599" i="49"/>
  <c r="AV598" i="49"/>
  <c r="AV597" i="49"/>
  <c r="AV596" i="49"/>
  <c r="AV595" i="49"/>
  <c r="AV594" i="49"/>
  <c r="AV593" i="49"/>
  <c r="AV592" i="49"/>
  <c r="AV591" i="49"/>
  <c r="AV590" i="49"/>
  <c r="AV589" i="49"/>
  <c r="AV588" i="49"/>
  <c r="AV587" i="49"/>
  <c r="AV586" i="49"/>
  <c r="AV585" i="49"/>
  <c r="AV584" i="49"/>
  <c r="AV583" i="49"/>
  <c r="AV582" i="49"/>
  <c r="AV581" i="49"/>
  <c r="AV580" i="49"/>
  <c r="AV579" i="49"/>
  <c r="AV578" i="49"/>
  <c r="AV577" i="49"/>
  <c r="AV576" i="49"/>
  <c r="AV575" i="49"/>
  <c r="AV574" i="49"/>
  <c r="AV573" i="49"/>
  <c r="AV572" i="49"/>
  <c r="AV571" i="49"/>
  <c r="AV570" i="49"/>
  <c r="AV569" i="49"/>
  <c r="AV568" i="49"/>
  <c r="AV567" i="49"/>
  <c r="AV566" i="49"/>
  <c r="AV565" i="49"/>
  <c r="AV564" i="49"/>
  <c r="AV563" i="49"/>
  <c r="AV562" i="49"/>
  <c r="AV561" i="49"/>
  <c r="AV560" i="49"/>
  <c r="AV559" i="49"/>
  <c r="AV558" i="49"/>
  <c r="AV557" i="49"/>
  <c r="AV556" i="49"/>
  <c r="AV555" i="49"/>
  <c r="AV554" i="49"/>
  <c r="AV553" i="49"/>
  <c r="AV552" i="49"/>
  <c r="AV551" i="49"/>
  <c r="AV550" i="49"/>
  <c r="AV549" i="49"/>
  <c r="AV548" i="49"/>
  <c r="AV547" i="49"/>
  <c r="AV546" i="49"/>
  <c r="AV545" i="49"/>
  <c r="AV544" i="49"/>
  <c r="AV543" i="49"/>
  <c r="AV542" i="49"/>
  <c r="AV541" i="49"/>
  <c r="AV540" i="49"/>
  <c r="AV539" i="49"/>
  <c r="AV538" i="49"/>
  <c r="AV537" i="49"/>
  <c r="AV536" i="49"/>
  <c r="AV535" i="49"/>
  <c r="AV534" i="49"/>
  <c r="AV533" i="49"/>
  <c r="AV532" i="49"/>
  <c r="AV531" i="49"/>
  <c r="AV530" i="49"/>
  <c r="AV529" i="49"/>
  <c r="AV528" i="49"/>
  <c r="AV527" i="49"/>
  <c r="AV526" i="49"/>
  <c r="AV525" i="49"/>
  <c r="AV524" i="49"/>
  <c r="AV523" i="49"/>
  <c r="AV522" i="49"/>
  <c r="AV521" i="49"/>
  <c r="AV520" i="49"/>
  <c r="AV519" i="49"/>
  <c r="AV518" i="49"/>
  <c r="AV517" i="49"/>
  <c r="AV516" i="49"/>
  <c r="AV515" i="49"/>
  <c r="AV514" i="49"/>
  <c r="AV513" i="49"/>
  <c r="AV512" i="49"/>
  <c r="AV511" i="49"/>
  <c r="AV510" i="49"/>
  <c r="AV509" i="49"/>
  <c r="AV508" i="49"/>
  <c r="AV507" i="49"/>
  <c r="AV506" i="49"/>
  <c r="AV505" i="49"/>
  <c r="AV504" i="49"/>
  <c r="AV503" i="49"/>
  <c r="AV502" i="49"/>
  <c r="AV501" i="49"/>
  <c r="AV500" i="49"/>
  <c r="AV499" i="49"/>
  <c r="AV498" i="49"/>
  <c r="AV497" i="49"/>
  <c r="AV496" i="49"/>
  <c r="AV495" i="49"/>
  <c r="AV494" i="49"/>
  <c r="AV493" i="49"/>
  <c r="AV492" i="49"/>
  <c r="AV491" i="49"/>
  <c r="AV490" i="49"/>
  <c r="AV489" i="49"/>
  <c r="AV488" i="49"/>
  <c r="AV487" i="49"/>
  <c r="AV486" i="49"/>
  <c r="AV485" i="49"/>
  <c r="AV484" i="49"/>
  <c r="AV483" i="49"/>
  <c r="AV482" i="49"/>
  <c r="AV481" i="49"/>
  <c r="AV480" i="49"/>
  <c r="AV479" i="49"/>
  <c r="AV478" i="49"/>
  <c r="AV477" i="49"/>
  <c r="AV476" i="49"/>
  <c r="AV475" i="49"/>
  <c r="AV474" i="49"/>
  <c r="AV473" i="49"/>
  <c r="AV472" i="49"/>
  <c r="AV471" i="49"/>
  <c r="AV470" i="49"/>
  <c r="AV469" i="49"/>
  <c r="AV468" i="49"/>
  <c r="AV467" i="49"/>
  <c r="AV466" i="49"/>
  <c r="AV465" i="49"/>
  <c r="AV464" i="49"/>
  <c r="AV463" i="49"/>
  <c r="AV462" i="49"/>
  <c r="AV461" i="49"/>
  <c r="AV460" i="49"/>
  <c r="AV459" i="49"/>
  <c r="AV458" i="49"/>
  <c r="AV457" i="49"/>
  <c r="AV456" i="49"/>
  <c r="AV455" i="49"/>
  <c r="AV454" i="49"/>
  <c r="AV453" i="49"/>
  <c r="AV452" i="49"/>
  <c r="AV451" i="49"/>
  <c r="AV450" i="49"/>
  <c r="AV449" i="49"/>
  <c r="AV448" i="49"/>
  <c r="AV447" i="49"/>
  <c r="AV446" i="49"/>
  <c r="AV445" i="49"/>
  <c r="AV444" i="49"/>
  <c r="AV443" i="49"/>
  <c r="AV442" i="49"/>
  <c r="AV441" i="49"/>
  <c r="AV440" i="49"/>
  <c r="AV439" i="49"/>
  <c r="AV438" i="49"/>
  <c r="AV437" i="49"/>
  <c r="AV436" i="49"/>
  <c r="AV435" i="49"/>
  <c r="AV434" i="49"/>
  <c r="AV433" i="49"/>
  <c r="AV432" i="49"/>
  <c r="AV431" i="49"/>
  <c r="AV430" i="49"/>
  <c r="AV429" i="49"/>
  <c r="AV428" i="49"/>
  <c r="AV427" i="49"/>
  <c r="AV426" i="49"/>
  <c r="AV425" i="49"/>
  <c r="AV424" i="49"/>
  <c r="AV423" i="49"/>
  <c r="AV422" i="49"/>
  <c r="AV421" i="49"/>
  <c r="AV420" i="49"/>
  <c r="AV419" i="49"/>
  <c r="AV418" i="49"/>
  <c r="AV417" i="49"/>
  <c r="AV416" i="49"/>
  <c r="AV415" i="49"/>
  <c r="AV414" i="49"/>
  <c r="AV413" i="49"/>
  <c r="AV412" i="49"/>
  <c r="AV411" i="49"/>
  <c r="AV410" i="49"/>
  <c r="AV409" i="49"/>
  <c r="AV408" i="49"/>
  <c r="AV407" i="49"/>
  <c r="AV406" i="49"/>
  <c r="AV405" i="49"/>
  <c r="AV404" i="49"/>
  <c r="AV403" i="49"/>
  <c r="AV402" i="49"/>
  <c r="AV401" i="49"/>
  <c r="AV400" i="49"/>
  <c r="AV399" i="49"/>
  <c r="AV398" i="49"/>
  <c r="AV397" i="49"/>
  <c r="AV396" i="49"/>
  <c r="AV395" i="49"/>
  <c r="AV394" i="49"/>
  <c r="AV393" i="49"/>
  <c r="AV392" i="49"/>
  <c r="AV391" i="49"/>
  <c r="AV390" i="49"/>
  <c r="AV389" i="49"/>
  <c r="AV388" i="49"/>
  <c r="AV387" i="49"/>
  <c r="AV386" i="49"/>
  <c r="AV385" i="49"/>
  <c r="AV384" i="49"/>
  <c r="AV383" i="49"/>
  <c r="AV382" i="49"/>
  <c r="AV381" i="49"/>
  <c r="AV380" i="49"/>
  <c r="AV379" i="49"/>
  <c r="AV378" i="49"/>
  <c r="AV377" i="49"/>
  <c r="AV376" i="49"/>
  <c r="AV375" i="49"/>
  <c r="AV374" i="49"/>
  <c r="AV373" i="49"/>
  <c r="AV372" i="49"/>
  <c r="AV371" i="49"/>
  <c r="AV370" i="49"/>
  <c r="AV369" i="49"/>
  <c r="AV368" i="49"/>
  <c r="AV367" i="49"/>
  <c r="AV366" i="49"/>
  <c r="AV365" i="49"/>
  <c r="AV364" i="49"/>
  <c r="AV363" i="49"/>
  <c r="AV362" i="49"/>
  <c r="AV361" i="49"/>
  <c r="AV360" i="49"/>
  <c r="AV359" i="49"/>
  <c r="AV358" i="49"/>
  <c r="AV357" i="49"/>
  <c r="AV356" i="49"/>
  <c r="AV355" i="49"/>
  <c r="AV354" i="49"/>
  <c r="AV353" i="49"/>
  <c r="AV352" i="49"/>
  <c r="AV351" i="49"/>
  <c r="AV350" i="49"/>
  <c r="AV349" i="49"/>
  <c r="AV348" i="49"/>
  <c r="AV347" i="49"/>
  <c r="AV346" i="49"/>
  <c r="AV345" i="49"/>
  <c r="AV344" i="49"/>
  <c r="AV343" i="49"/>
  <c r="AV342" i="49"/>
  <c r="AV341" i="49"/>
  <c r="AV340" i="49"/>
  <c r="AV339" i="49"/>
  <c r="AV338" i="49"/>
  <c r="AV337" i="49"/>
  <c r="AV336" i="49"/>
  <c r="AV335" i="49"/>
  <c r="AV334" i="49"/>
  <c r="AV333" i="49"/>
  <c r="AV332" i="49"/>
  <c r="AV331" i="49"/>
  <c r="AV330" i="49"/>
  <c r="AV329" i="49"/>
  <c r="AV328" i="49"/>
  <c r="AV327" i="49"/>
  <c r="AV326" i="49"/>
  <c r="AV325" i="49"/>
  <c r="AV324" i="49"/>
  <c r="AV323" i="49"/>
  <c r="AV322" i="49"/>
  <c r="AV321" i="49"/>
  <c r="AV320" i="49"/>
  <c r="AV319" i="49"/>
  <c r="AV318" i="49"/>
  <c r="AV317" i="49"/>
  <c r="AV316" i="49"/>
  <c r="AV315" i="49"/>
  <c r="AV314" i="49"/>
  <c r="AV313" i="49"/>
  <c r="AV312" i="49"/>
  <c r="AV311" i="49"/>
  <c r="AV310" i="49"/>
  <c r="AV309" i="49"/>
  <c r="AV308" i="49"/>
  <c r="AV307" i="49"/>
  <c r="AV306" i="49"/>
  <c r="AV305" i="49"/>
  <c r="AV304" i="49"/>
  <c r="AV303" i="49"/>
  <c r="AV302" i="49"/>
  <c r="AV301" i="49"/>
  <c r="AV300" i="49"/>
  <c r="AV299" i="49"/>
  <c r="AV298" i="49"/>
  <c r="AV297" i="49"/>
  <c r="AV296" i="49"/>
  <c r="AV295" i="49"/>
  <c r="AV294" i="49"/>
  <c r="AV293" i="49"/>
  <c r="AV292" i="49"/>
  <c r="AV291" i="49"/>
  <c r="AV290" i="49"/>
  <c r="AV289" i="49"/>
  <c r="AV288" i="49"/>
  <c r="AV287" i="49"/>
  <c r="AV286" i="49"/>
  <c r="AV285" i="49"/>
  <c r="AV284" i="49"/>
  <c r="AV283" i="49"/>
  <c r="AV282" i="49"/>
  <c r="AV281" i="49"/>
  <c r="AV280" i="49"/>
  <c r="AV279" i="49"/>
  <c r="AV278" i="49"/>
  <c r="AV277" i="49"/>
  <c r="AV276" i="49"/>
  <c r="AV275" i="49"/>
  <c r="AV274" i="49"/>
  <c r="AV273" i="49"/>
  <c r="AV272" i="49"/>
  <c r="AV271" i="49"/>
  <c r="AV270" i="49"/>
  <c r="AV269" i="49"/>
  <c r="AV268" i="49"/>
  <c r="AV267" i="49"/>
  <c r="AV266" i="49"/>
  <c r="AV265" i="49"/>
  <c r="AV264" i="49"/>
  <c r="AV263" i="49"/>
  <c r="AV262" i="49"/>
  <c r="AV261" i="49"/>
  <c r="AV260" i="49"/>
  <c r="AV259" i="49"/>
  <c r="AV258" i="49"/>
  <c r="AV257" i="49"/>
  <c r="AV256" i="49"/>
  <c r="AV255" i="49"/>
  <c r="AV254" i="49"/>
  <c r="AV253" i="49"/>
  <c r="AV252" i="49"/>
  <c r="AV251" i="49"/>
  <c r="AV250" i="49"/>
  <c r="AV249" i="49"/>
  <c r="AV248" i="49"/>
  <c r="AV247" i="49"/>
  <c r="AV246" i="49"/>
  <c r="AV245" i="49"/>
  <c r="AV244" i="49"/>
  <c r="AV243" i="49"/>
  <c r="AV242" i="49"/>
  <c r="AV241" i="49"/>
  <c r="AV240" i="49"/>
  <c r="AV239" i="49"/>
  <c r="AV238" i="49"/>
  <c r="AV237" i="49"/>
  <c r="AV236" i="49"/>
  <c r="AV235" i="49"/>
  <c r="AV234" i="49"/>
  <c r="AV233" i="49"/>
  <c r="AV232" i="49"/>
  <c r="AV231" i="49"/>
  <c r="AV230" i="49"/>
  <c r="AV229" i="49"/>
  <c r="AV228" i="49"/>
  <c r="AV227" i="49"/>
  <c r="AV226" i="49"/>
  <c r="AV225" i="49"/>
  <c r="AV224" i="49"/>
  <c r="AV223" i="49"/>
  <c r="AV222" i="49"/>
  <c r="AV221" i="49"/>
  <c r="AV220" i="49"/>
  <c r="AV219" i="49"/>
  <c r="AV218" i="49"/>
  <c r="AV217" i="49"/>
  <c r="AV216" i="49"/>
  <c r="AV215" i="49"/>
  <c r="AV214" i="49"/>
  <c r="AV213" i="49"/>
  <c r="AV212" i="49"/>
  <c r="AV211" i="49"/>
  <c r="AV210" i="49"/>
  <c r="AV209" i="49"/>
  <c r="AV208" i="49"/>
  <c r="AV207" i="49"/>
  <c r="AV206" i="49"/>
  <c r="AV205" i="49"/>
  <c r="AV204" i="49"/>
  <c r="AV203" i="49"/>
  <c r="AV202" i="49"/>
  <c r="AV201" i="49"/>
  <c r="AV200" i="49"/>
  <c r="AV199" i="49"/>
  <c r="AV198" i="49"/>
  <c r="AV197" i="49"/>
  <c r="AV196" i="49"/>
  <c r="AV195" i="49"/>
  <c r="AV194" i="49"/>
  <c r="AV193" i="49"/>
  <c r="AV192" i="49"/>
  <c r="AV191" i="49"/>
  <c r="AV190" i="49"/>
  <c r="AV189" i="49"/>
  <c r="AV188" i="49"/>
  <c r="AV187" i="49"/>
  <c r="AV186" i="49"/>
  <c r="AV185" i="49"/>
  <c r="AV184" i="49"/>
  <c r="AV183" i="49"/>
  <c r="AV182" i="49"/>
  <c r="AV181" i="49"/>
  <c r="AV180" i="49"/>
  <c r="AV179" i="49"/>
  <c r="AV178" i="49"/>
  <c r="AV177" i="49"/>
  <c r="AV176" i="49"/>
  <c r="AV175" i="49"/>
  <c r="AV174" i="49"/>
  <c r="AV173" i="49"/>
  <c r="AV172" i="49"/>
  <c r="AV171" i="49"/>
  <c r="AV170" i="49"/>
  <c r="AV169" i="49"/>
  <c r="AV168" i="49"/>
  <c r="AV167" i="49"/>
  <c r="AV166" i="49"/>
  <c r="AV165" i="49"/>
  <c r="AV164" i="49"/>
  <c r="AV163" i="49"/>
  <c r="AV162" i="49"/>
  <c r="AV161" i="49"/>
  <c r="AV160" i="49"/>
  <c r="AV159" i="49"/>
  <c r="AV158" i="49"/>
  <c r="AV157" i="49"/>
  <c r="AV156" i="49"/>
  <c r="AV155" i="49"/>
  <c r="AV154" i="49"/>
  <c r="AV153" i="49"/>
  <c r="AV152" i="49"/>
  <c r="AV151" i="49"/>
  <c r="AV150" i="49"/>
  <c r="AV149" i="49"/>
  <c r="AV148" i="49"/>
  <c r="AV147" i="49"/>
  <c r="AV146" i="49"/>
  <c r="AV145" i="49"/>
  <c r="AV144" i="49"/>
  <c r="AV143" i="49"/>
  <c r="AV142" i="49"/>
  <c r="AV141" i="49"/>
  <c r="AV140" i="49"/>
  <c r="AV139" i="49"/>
  <c r="AV138" i="49"/>
  <c r="AV137" i="49"/>
  <c r="AV136" i="49"/>
  <c r="AV135" i="49"/>
  <c r="AV134" i="49"/>
  <c r="AV133" i="49"/>
  <c r="AV132" i="49"/>
  <c r="AV131" i="49"/>
  <c r="AV130" i="49"/>
  <c r="AV129" i="49"/>
  <c r="AV128" i="49"/>
  <c r="AV127" i="49"/>
  <c r="AV126" i="49"/>
  <c r="AV125" i="49"/>
  <c r="AV124" i="49"/>
  <c r="AV123" i="49"/>
  <c r="AV122" i="49"/>
  <c r="AV121" i="49"/>
  <c r="AV120" i="49"/>
  <c r="AV119" i="49"/>
  <c r="AV118" i="49"/>
  <c r="AV117" i="49"/>
  <c r="AV116" i="49"/>
  <c r="AV115" i="49"/>
  <c r="AV114" i="49"/>
  <c r="AV113" i="49"/>
  <c r="AV112" i="49"/>
  <c r="AV111" i="49"/>
  <c r="AV110" i="49"/>
  <c r="AV109" i="49"/>
  <c r="AV108" i="49"/>
  <c r="AV107" i="49"/>
  <c r="AV106" i="49"/>
  <c r="AV105" i="49"/>
  <c r="AV104" i="49"/>
  <c r="AV103" i="49"/>
  <c r="AV102" i="49"/>
  <c r="AV101" i="49"/>
  <c r="AV100" i="49"/>
  <c r="AV99" i="49"/>
  <c r="AV98" i="49"/>
  <c r="AV97" i="49"/>
  <c r="AV96" i="49"/>
  <c r="AV95" i="49"/>
  <c r="AV94" i="49"/>
  <c r="AV93" i="49"/>
  <c r="AV92" i="49"/>
  <c r="AV91" i="49"/>
  <c r="AV90" i="49"/>
  <c r="AV89" i="49"/>
  <c r="AV88" i="49"/>
  <c r="AV87" i="49"/>
  <c r="AV86" i="49"/>
  <c r="AV85" i="49"/>
  <c r="AV84" i="49"/>
  <c r="AV83" i="49"/>
  <c r="AV82" i="49"/>
  <c r="AV81" i="49"/>
  <c r="AV80" i="49"/>
  <c r="AV79" i="49"/>
  <c r="AV78" i="49"/>
  <c r="AV77" i="49"/>
  <c r="AV76" i="49"/>
  <c r="AV75" i="49"/>
  <c r="AV74" i="49"/>
  <c r="AV73" i="49"/>
  <c r="AV72" i="49"/>
  <c r="AV71" i="49"/>
  <c r="AV70" i="49"/>
  <c r="AV69" i="49"/>
  <c r="AV68" i="49"/>
  <c r="AV67" i="49"/>
  <c r="AV66" i="49"/>
  <c r="AV65" i="49"/>
  <c r="AV64" i="49"/>
  <c r="AV63" i="49"/>
  <c r="AV62" i="49"/>
  <c r="AV61" i="49"/>
  <c r="AV60" i="49"/>
  <c r="AV59" i="49"/>
  <c r="AV58" i="49"/>
  <c r="AV57" i="49"/>
  <c r="AV56" i="49"/>
  <c r="AV55" i="49"/>
  <c r="AV54" i="49"/>
  <c r="AV53" i="49"/>
  <c r="AV52" i="49"/>
  <c r="AV51" i="49"/>
  <c r="AV50" i="49"/>
  <c r="AV49" i="49"/>
  <c r="AV48" i="49"/>
  <c r="AV47" i="49"/>
  <c r="AV46" i="49"/>
  <c r="AV45" i="49"/>
  <c r="AV44" i="49"/>
  <c r="AV43" i="49"/>
  <c r="AV42" i="49"/>
  <c r="AV41" i="49"/>
  <c r="AV40" i="49"/>
  <c r="AV39" i="49"/>
  <c r="AV38" i="49"/>
  <c r="AV37" i="49"/>
  <c r="AV36" i="49"/>
  <c r="AV35" i="49"/>
  <c r="AV34" i="49"/>
  <c r="AV33" i="49"/>
  <c r="AV32" i="49"/>
  <c r="AV31" i="49"/>
  <c r="AV30" i="49"/>
  <c r="AV29" i="49"/>
  <c r="AV28" i="49"/>
  <c r="AV27" i="49"/>
  <c r="AV26" i="49"/>
  <c r="AV25" i="49"/>
  <c r="AV24" i="49"/>
  <c r="AV23" i="49"/>
  <c r="AV22" i="49"/>
  <c r="AV21" i="49"/>
  <c r="AV20" i="49"/>
  <c r="AV19" i="49"/>
  <c r="AV18" i="49"/>
  <c r="AV17" i="49"/>
  <c r="AV16" i="49"/>
  <c r="AV15" i="49"/>
  <c r="AV14" i="49"/>
  <c r="AV13" i="49"/>
  <c r="AV12" i="49"/>
  <c r="AV11" i="49"/>
  <c r="AV10" i="49"/>
  <c r="AV9" i="49"/>
  <c r="AV8" i="49"/>
  <c r="AV7" i="49"/>
  <c r="AV6" i="49"/>
  <c r="AV5" i="49"/>
  <c r="AV4" i="49"/>
  <c r="AV3" i="49"/>
  <c r="AV2" i="49"/>
  <c r="AV1" i="49"/>
  <c r="AO11" i="49"/>
  <c r="AP11" i="49"/>
  <c r="AQ11" i="49"/>
  <c r="AR11" i="49"/>
  <c r="AS11" i="49"/>
  <c r="AT11" i="49"/>
  <c r="AO12" i="49"/>
  <c r="AP12" i="49"/>
  <c r="AQ12" i="49"/>
  <c r="AR12" i="49"/>
  <c r="AS12" i="49"/>
  <c r="AT12" i="49"/>
  <c r="AO13" i="49"/>
  <c r="AP13" i="49"/>
  <c r="AQ13" i="49"/>
  <c r="AR13" i="49"/>
  <c r="AS13" i="49"/>
  <c r="AT13" i="49"/>
  <c r="AO14" i="49"/>
  <c r="AP14" i="49"/>
  <c r="AQ14" i="49"/>
  <c r="AR14" i="49"/>
  <c r="AS14" i="49"/>
  <c r="AT14" i="49"/>
  <c r="AO15" i="49"/>
  <c r="AP15" i="49"/>
  <c r="AQ15" i="49"/>
  <c r="AR15" i="49"/>
  <c r="AS15" i="49"/>
  <c r="AT15" i="49"/>
  <c r="AO16" i="49"/>
  <c r="AP16" i="49"/>
  <c r="AQ16" i="49"/>
  <c r="AR16" i="49"/>
  <c r="AS16" i="49"/>
  <c r="AT16" i="49"/>
  <c r="AO17" i="49"/>
  <c r="AP17" i="49"/>
  <c r="AQ17" i="49"/>
  <c r="AR17" i="49"/>
  <c r="AS17" i="49"/>
  <c r="AT17" i="49"/>
  <c r="AO18" i="49"/>
  <c r="AP18" i="49"/>
  <c r="AQ18" i="49"/>
  <c r="AR18" i="49"/>
  <c r="AS18" i="49"/>
  <c r="AT18" i="49"/>
  <c r="AO19" i="49"/>
  <c r="AP19" i="49"/>
  <c r="AQ19" i="49"/>
  <c r="AR19" i="49"/>
  <c r="AS19" i="49"/>
  <c r="AT19" i="49"/>
  <c r="AO20" i="49"/>
  <c r="AP20" i="49"/>
  <c r="AQ20" i="49"/>
  <c r="AR20" i="49"/>
  <c r="AS20" i="49"/>
  <c r="AT20" i="49"/>
  <c r="AO21" i="49"/>
  <c r="AP21" i="49"/>
  <c r="AQ21" i="49"/>
  <c r="AR21" i="49"/>
  <c r="AS21" i="49"/>
  <c r="AT21" i="49"/>
  <c r="AO22" i="49"/>
  <c r="AP22" i="49"/>
  <c r="AQ22" i="49"/>
  <c r="AR22" i="49"/>
  <c r="AS22" i="49"/>
  <c r="AT22" i="49"/>
  <c r="AO23" i="49"/>
  <c r="AP23" i="49"/>
  <c r="AQ23" i="49"/>
  <c r="AR23" i="49"/>
  <c r="AS23" i="49"/>
  <c r="AT23" i="49"/>
  <c r="AO24" i="49"/>
  <c r="AP24" i="49"/>
  <c r="AQ24" i="49"/>
  <c r="AR24" i="49"/>
  <c r="AS24" i="49"/>
  <c r="AT24" i="49"/>
  <c r="AO25" i="49"/>
  <c r="AP25" i="49"/>
  <c r="AQ25" i="49"/>
  <c r="AR25" i="49"/>
  <c r="AS25" i="49"/>
  <c r="AT25" i="49"/>
  <c r="AO26" i="49"/>
  <c r="AP26" i="49"/>
  <c r="AQ26" i="49"/>
  <c r="AR26" i="49"/>
  <c r="AS26" i="49"/>
  <c r="AT26" i="49"/>
  <c r="AO27" i="49"/>
  <c r="AP27" i="49"/>
  <c r="AQ27" i="49"/>
  <c r="AR27" i="49"/>
  <c r="AS27" i="49"/>
  <c r="AT27" i="49"/>
  <c r="AO28" i="49"/>
  <c r="AP28" i="49"/>
  <c r="AQ28" i="49"/>
  <c r="AR28" i="49"/>
  <c r="AS28" i="49"/>
  <c r="AT28" i="49"/>
  <c r="AO29" i="49"/>
  <c r="AP29" i="49"/>
  <c r="AQ29" i="49"/>
  <c r="AR29" i="49"/>
  <c r="AS29" i="49"/>
  <c r="AT29" i="49"/>
  <c r="AO30" i="49"/>
  <c r="AP30" i="49"/>
  <c r="AQ30" i="49"/>
  <c r="AR30" i="49"/>
  <c r="AS30" i="49"/>
  <c r="AT30" i="49"/>
  <c r="AO31" i="49"/>
  <c r="AP31" i="49"/>
  <c r="AQ31" i="49"/>
  <c r="AR31" i="49"/>
  <c r="AS31" i="49"/>
  <c r="AT31" i="49"/>
  <c r="AO32" i="49"/>
  <c r="AP32" i="49"/>
  <c r="AQ32" i="49"/>
  <c r="AR32" i="49"/>
  <c r="AS32" i="49"/>
  <c r="AT32" i="49"/>
  <c r="AO33" i="49"/>
  <c r="AP33" i="49"/>
  <c r="AQ33" i="49"/>
  <c r="AR33" i="49"/>
  <c r="AS33" i="49"/>
  <c r="AT33" i="49"/>
  <c r="AO34" i="49"/>
  <c r="AP34" i="49"/>
  <c r="AQ34" i="49"/>
  <c r="AR34" i="49"/>
  <c r="AS34" i="49"/>
  <c r="AT34" i="49"/>
  <c r="AO35" i="49"/>
  <c r="AP35" i="49"/>
  <c r="AQ35" i="49"/>
  <c r="AR35" i="49"/>
  <c r="AS35" i="49"/>
  <c r="AT35" i="49"/>
  <c r="AO36" i="49"/>
  <c r="AP36" i="49"/>
  <c r="AQ36" i="49"/>
  <c r="AR36" i="49"/>
  <c r="AS36" i="49"/>
  <c r="AT36" i="49"/>
  <c r="AO37" i="49"/>
  <c r="AP37" i="49"/>
  <c r="AQ37" i="49"/>
  <c r="AR37" i="49"/>
  <c r="AS37" i="49"/>
  <c r="AT37" i="49"/>
  <c r="AO38" i="49"/>
  <c r="AP38" i="49"/>
  <c r="AQ38" i="49"/>
  <c r="AR38" i="49"/>
  <c r="AS38" i="49"/>
  <c r="AT38" i="49"/>
  <c r="AO39" i="49"/>
  <c r="AP39" i="49"/>
  <c r="AQ39" i="49"/>
  <c r="AR39" i="49"/>
  <c r="AS39" i="49"/>
  <c r="AT39" i="49"/>
  <c r="AO40" i="49"/>
  <c r="AP40" i="49"/>
  <c r="AQ40" i="49"/>
  <c r="AR40" i="49"/>
  <c r="AS40" i="49"/>
  <c r="AT40" i="49"/>
  <c r="AO41" i="49"/>
  <c r="AP41" i="49"/>
  <c r="AQ41" i="49"/>
  <c r="AR41" i="49"/>
  <c r="AS41" i="49"/>
  <c r="AT41" i="49"/>
  <c r="AO42" i="49"/>
  <c r="AP42" i="49"/>
  <c r="AQ42" i="49"/>
  <c r="AR42" i="49"/>
  <c r="AS42" i="49"/>
  <c r="AT42" i="49"/>
  <c r="AO43" i="49"/>
  <c r="AP43" i="49"/>
  <c r="AQ43" i="49"/>
  <c r="AR43" i="49"/>
  <c r="AS43" i="49"/>
  <c r="AT43" i="49"/>
  <c r="AO44" i="49"/>
  <c r="AP44" i="49"/>
  <c r="AQ44" i="49"/>
  <c r="AR44" i="49"/>
  <c r="AS44" i="49"/>
  <c r="AT44" i="49"/>
  <c r="AO45" i="49"/>
  <c r="AP45" i="49"/>
  <c r="AQ45" i="49"/>
  <c r="AR45" i="49"/>
  <c r="AS45" i="49"/>
  <c r="AT45" i="49"/>
  <c r="AO46" i="49"/>
  <c r="AP46" i="49"/>
  <c r="AQ46" i="49"/>
  <c r="AR46" i="49"/>
  <c r="AS46" i="49"/>
  <c r="AT46" i="49"/>
  <c r="AO47" i="49"/>
  <c r="AP47" i="49"/>
  <c r="AQ47" i="49"/>
  <c r="AR47" i="49"/>
  <c r="AS47" i="49"/>
  <c r="AT47" i="49"/>
  <c r="AO48" i="49"/>
  <c r="AP48" i="49"/>
  <c r="AQ48" i="49"/>
  <c r="AR48" i="49"/>
  <c r="AS48" i="49"/>
  <c r="AT48" i="49"/>
  <c r="AO49" i="49"/>
  <c r="AP49" i="49"/>
  <c r="AQ49" i="49"/>
  <c r="AR49" i="49"/>
  <c r="AS49" i="49"/>
  <c r="AT49" i="49"/>
  <c r="AO50" i="49"/>
  <c r="AP50" i="49"/>
  <c r="AQ50" i="49"/>
  <c r="AR50" i="49"/>
  <c r="AS50" i="49"/>
  <c r="AT50" i="49"/>
  <c r="AO51" i="49"/>
  <c r="AP51" i="49"/>
  <c r="AQ51" i="49"/>
  <c r="AR51" i="49"/>
  <c r="AS51" i="49"/>
  <c r="AT51" i="49"/>
  <c r="AO52" i="49"/>
  <c r="AP52" i="49"/>
  <c r="AQ52" i="49"/>
  <c r="AR52" i="49"/>
  <c r="AS52" i="49"/>
  <c r="AT52" i="49"/>
  <c r="AO53" i="49"/>
  <c r="AP53" i="49"/>
  <c r="AQ53" i="49"/>
  <c r="AR53" i="49"/>
  <c r="AS53" i="49"/>
  <c r="AT53" i="49"/>
  <c r="AO54" i="49"/>
  <c r="AP54" i="49"/>
  <c r="AQ54" i="49"/>
  <c r="AR54" i="49"/>
  <c r="AS54" i="49"/>
  <c r="AT54" i="49"/>
  <c r="AO55" i="49"/>
  <c r="AP55" i="49"/>
  <c r="AQ55" i="49"/>
  <c r="AR55" i="49"/>
  <c r="AS55" i="49"/>
  <c r="AT55" i="49"/>
  <c r="AO56" i="49"/>
  <c r="AP56" i="49"/>
  <c r="AQ56" i="49"/>
  <c r="AR56" i="49"/>
  <c r="AS56" i="49"/>
  <c r="AT56" i="49"/>
  <c r="AO57" i="49"/>
  <c r="AP57" i="49"/>
  <c r="AQ57" i="49"/>
  <c r="AR57" i="49"/>
  <c r="AS57" i="49"/>
  <c r="AT57" i="49"/>
  <c r="AO58" i="49"/>
  <c r="AP58" i="49"/>
  <c r="AQ58" i="49"/>
  <c r="AR58" i="49"/>
  <c r="AS58" i="49"/>
  <c r="AT58" i="49"/>
  <c r="AO59" i="49"/>
  <c r="AP59" i="49"/>
  <c r="AQ59" i="49"/>
  <c r="AR59" i="49"/>
  <c r="AS59" i="49"/>
  <c r="AT59" i="49"/>
  <c r="AO60" i="49"/>
  <c r="AP60" i="49"/>
  <c r="AQ60" i="49"/>
  <c r="AR60" i="49"/>
  <c r="AS60" i="49"/>
  <c r="AT60" i="49"/>
  <c r="AO61" i="49"/>
  <c r="AP61" i="49"/>
  <c r="AQ61" i="49"/>
  <c r="AR61" i="49"/>
  <c r="AS61" i="49"/>
  <c r="AT61" i="49"/>
  <c r="AO62" i="49"/>
  <c r="AP62" i="49"/>
  <c r="AQ62" i="49"/>
  <c r="AR62" i="49"/>
  <c r="AS62" i="49"/>
  <c r="AT62" i="49"/>
  <c r="AO63" i="49"/>
  <c r="AP63" i="49"/>
  <c r="AQ63" i="49"/>
  <c r="AR63" i="49"/>
  <c r="AS63" i="49"/>
  <c r="AT63" i="49"/>
  <c r="AO64" i="49"/>
  <c r="AP64" i="49"/>
  <c r="AQ64" i="49"/>
  <c r="AR64" i="49"/>
  <c r="AS64" i="49"/>
  <c r="AT64" i="49"/>
  <c r="AO65" i="49"/>
  <c r="AP65" i="49"/>
  <c r="AQ65" i="49"/>
  <c r="AR65" i="49"/>
  <c r="AS65" i="49"/>
  <c r="AT65" i="49"/>
  <c r="AO66" i="49"/>
  <c r="AP66" i="49"/>
  <c r="AQ66" i="49"/>
  <c r="AR66" i="49"/>
  <c r="AS66" i="49"/>
  <c r="AT66" i="49"/>
  <c r="AO67" i="49"/>
  <c r="AP67" i="49"/>
  <c r="AQ67" i="49"/>
  <c r="AR67" i="49"/>
  <c r="AS67" i="49"/>
  <c r="AT67" i="49"/>
  <c r="AO68" i="49"/>
  <c r="AP68" i="49"/>
  <c r="AQ68" i="49"/>
  <c r="AR68" i="49"/>
  <c r="AS68" i="49"/>
  <c r="AT68" i="49"/>
  <c r="AO69" i="49"/>
  <c r="AP69" i="49"/>
  <c r="AQ69" i="49"/>
  <c r="AR69" i="49"/>
  <c r="AS69" i="49"/>
  <c r="AT69" i="49"/>
  <c r="AO70" i="49"/>
  <c r="AP70" i="49"/>
  <c r="AQ70" i="49"/>
  <c r="AR70" i="49"/>
  <c r="AS70" i="49"/>
  <c r="AT70" i="49"/>
  <c r="AO71" i="49"/>
  <c r="AP71" i="49"/>
  <c r="AQ71" i="49"/>
  <c r="AR71" i="49"/>
  <c r="AS71" i="49"/>
  <c r="AT71" i="49"/>
  <c r="AO72" i="49"/>
  <c r="AP72" i="49"/>
  <c r="AQ72" i="49"/>
  <c r="AR72" i="49"/>
  <c r="AS72" i="49"/>
  <c r="AT72" i="49"/>
  <c r="AO73" i="49"/>
  <c r="AP73" i="49"/>
  <c r="AQ73" i="49"/>
  <c r="AR73" i="49"/>
  <c r="AS73" i="49"/>
  <c r="AT73" i="49"/>
  <c r="AO74" i="49"/>
  <c r="AP74" i="49"/>
  <c r="AQ74" i="49"/>
  <c r="AR74" i="49"/>
  <c r="AS74" i="49"/>
  <c r="AT74" i="49"/>
  <c r="AO75" i="49"/>
  <c r="AP75" i="49"/>
  <c r="AQ75" i="49"/>
  <c r="AR75" i="49"/>
  <c r="AS75" i="49"/>
  <c r="AT75" i="49"/>
  <c r="AO76" i="49"/>
  <c r="AP76" i="49"/>
  <c r="AQ76" i="49"/>
  <c r="AR76" i="49"/>
  <c r="AS76" i="49"/>
  <c r="AT76" i="49"/>
  <c r="AO77" i="49"/>
  <c r="AP77" i="49"/>
  <c r="AQ77" i="49"/>
  <c r="AR77" i="49"/>
  <c r="AS77" i="49"/>
  <c r="AT77" i="49"/>
  <c r="AO78" i="49"/>
  <c r="AP78" i="49"/>
  <c r="AQ78" i="49"/>
  <c r="AR78" i="49"/>
  <c r="AS78" i="49"/>
  <c r="AT78" i="49"/>
  <c r="AO79" i="49"/>
  <c r="AP79" i="49"/>
  <c r="AQ79" i="49"/>
  <c r="AR79" i="49"/>
  <c r="AS79" i="49"/>
  <c r="AT79" i="49"/>
  <c r="AO80" i="49"/>
  <c r="AP80" i="49"/>
  <c r="AQ80" i="49"/>
  <c r="AR80" i="49"/>
  <c r="AS80" i="49"/>
  <c r="AT80" i="49"/>
  <c r="AO81" i="49"/>
  <c r="AP81" i="49"/>
  <c r="AQ81" i="49"/>
  <c r="AR81" i="49"/>
  <c r="AS81" i="49"/>
  <c r="AT81" i="49"/>
  <c r="AO82" i="49"/>
  <c r="AP82" i="49"/>
  <c r="AQ82" i="49"/>
  <c r="AR82" i="49"/>
  <c r="AS82" i="49"/>
  <c r="AT82" i="49"/>
  <c r="AO83" i="49"/>
  <c r="AP83" i="49"/>
  <c r="AQ83" i="49"/>
  <c r="AR83" i="49"/>
  <c r="AS83" i="49"/>
  <c r="AT83" i="49"/>
  <c r="AO84" i="49"/>
  <c r="AP84" i="49"/>
  <c r="AQ84" i="49"/>
  <c r="AR84" i="49"/>
  <c r="AS84" i="49"/>
  <c r="AT84" i="49"/>
  <c r="AO85" i="49"/>
  <c r="AP85" i="49"/>
  <c r="AQ85" i="49"/>
  <c r="AR85" i="49"/>
  <c r="AS85" i="49"/>
  <c r="AT85" i="49"/>
  <c r="AO86" i="49"/>
  <c r="AP86" i="49"/>
  <c r="AQ86" i="49"/>
  <c r="AR86" i="49"/>
  <c r="AS86" i="49"/>
  <c r="AT86" i="49"/>
  <c r="AO87" i="49"/>
  <c r="AP87" i="49"/>
  <c r="AQ87" i="49"/>
  <c r="AR87" i="49"/>
  <c r="AS87" i="49"/>
  <c r="AT87" i="49"/>
  <c r="AO88" i="49"/>
  <c r="AP88" i="49"/>
  <c r="AQ88" i="49"/>
  <c r="AR88" i="49"/>
  <c r="AS88" i="49"/>
  <c r="AT88" i="49"/>
  <c r="AO89" i="49"/>
  <c r="AP89" i="49"/>
  <c r="AQ89" i="49"/>
  <c r="AR89" i="49"/>
  <c r="AS89" i="49"/>
  <c r="AT89" i="49"/>
  <c r="AO90" i="49"/>
  <c r="AP90" i="49"/>
  <c r="AQ90" i="49"/>
  <c r="AR90" i="49"/>
  <c r="AS90" i="49"/>
  <c r="AT90" i="49"/>
  <c r="AO91" i="49"/>
  <c r="AP91" i="49"/>
  <c r="AQ91" i="49"/>
  <c r="AR91" i="49"/>
  <c r="AS91" i="49"/>
  <c r="AT91" i="49"/>
  <c r="AO92" i="49"/>
  <c r="AP92" i="49"/>
  <c r="AQ92" i="49"/>
  <c r="AR92" i="49"/>
  <c r="AS92" i="49"/>
  <c r="AT92" i="49"/>
  <c r="AO93" i="49"/>
  <c r="AP93" i="49"/>
  <c r="AQ93" i="49"/>
  <c r="AR93" i="49"/>
  <c r="AS93" i="49"/>
  <c r="AT93" i="49"/>
  <c r="AO94" i="49"/>
  <c r="AP94" i="49"/>
  <c r="AQ94" i="49"/>
  <c r="AR94" i="49"/>
  <c r="AS94" i="49"/>
  <c r="AT94" i="49"/>
  <c r="AO95" i="49"/>
  <c r="AP95" i="49"/>
  <c r="AQ95" i="49"/>
  <c r="AR95" i="49"/>
  <c r="AS95" i="49"/>
  <c r="AT95" i="49"/>
  <c r="AO96" i="49"/>
  <c r="AP96" i="49"/>
  <c r="AQ96" i="49"/>
  <c r="AR96" i="49"/>
  <c r="AS96" i="49"/>
  <c r="AT96" i="49"/>
  <c r="AO97" i="49"/>
  <c r="AP97" i="49"/>
  <c r="AQ97" i="49"/>
  <c r="AR97" i="49"/>
  <c r="AS97" i="49"/>
  <c r="AT97" i="49"/>
  <c r="AO98" i="49"/>
  <c r="AP98" i="49"/>
  <c r="AQ98" i="49"/>
  <c r="AR98" i="49"/>
  <c r="AS98" i="49"/>
  <c r="AT98" i="49"/>
  <c r="AO99" i="49"/>
  <c r="AP99" i="49"/>
  <c r="AQ99" i="49"/>
  <c r="AR99" i="49"/>
  <c r="AS99" i="49"/>
  <c r="AT99" i="49"/>
  <c r="AO100" i="49"/>
  <c r="AP100" i="49"/>
  <c r="AQ100" i="49"/>
  <c r="AR100" i="49"/>
  <c r="AS100" i="49"/>
  <c r="AT100" i="49"/>
  <c r="AO101" i="49"/>
  <c r="AP101" i="49"/>
  <c r="AQ101" i="49"/>
  <c r="AR101" i="49"/>
  <c r="AS101" i="49"/>
  <c r="AT101" i="49"/>
  <c r="AO102" i="49"/>
  <c r="AP102" i="49"/>
  <c r="AQ102" i="49"/>
  <c r="AR102" i="49"/>
  <c r="AS102" i="49"/>
  <c r="AT102" i="49"/>
  <c r="AO103" i="49"/>
  <c r="AP103" i="49"/>
  <c r="AQ103" i="49"/>
  <c r="AR103" i="49"/>
  <c r="AS103" i="49"/>
  <c r="AT103" i="49"/>
  <c r="AO104" i="49"/>
  <c r="AP104" i="49"/>
  <c r="AQ104" i="49"/>
  <c r="AR104" i="49"/>
  <c r="AS104" i="49"/>
  <c r="AT104" i="49"/>
  <c r="AO105" i="49"/>
  <c r="AP105" i="49"/>
  <c r="AQ105" i="49"/>
  <c r="AR105" i="49"/>
  <c r="AS105" i="49"/>
  <c r="AT105" i="49"/>
  <c r="AO106" i="49"/>
  <c r="AP106" i="49"/>
  <c r="AQ106" i="49"/>
  <c r="AR106" i="49"/>
  <c r="AS106" i="49"/>
  <c r="AT106" i="49"/>
  <c r="AO107" i="49"/>
  <c r="AP107" i="49"/>
  <c r="AQ107" i="49"/>
  <c r="AR107" i="49"/>
  <c r="AS107" i="49"/>
  <c r="AT107" i="49"/>
  <c r="AO108" i="49"/>
  <c r="AP108" i="49"/>
  <c r="AQ108" i="49"/>
  <c r="AR108" i="49"/>
  <c r="AS108" i="49"/>
  <c r="AT108" i="49"/>
  <c r="AO109" i="49"/>
  <c r="AP109" i="49"/>
  <c r="AQ109" i="49"/>
  <c r="AR109" i="49"/>
  <c r="AS109" i="49"/>
  <c r="AT109" i="49"/>
  <c r="AO110" i="49"/>
  <c r="AP110" i="49"/>
  <c r="AQ110" i="49"/>
  <c r="AR110" i="49"/>
  <c r="AS110" i="49"/>
  <c r="AT110" i="49"/>
  <c r="AO111" i="49"/>
  <c r="AP111" i="49"/>
  <c r="AQ111" i="49"/>
  <c r="AR111" i="49"/>
  <c r="AS111" i="49"/>
  <c r="AT111" i="49"/>
  <c r="AO112" i="49"/>
  <c r="AP112" i="49"/>
  <c r="AQ112" i="49"/>
  <c r="AR112" i="49"/>
  <c r="AS112" i="49"/>
  <c r="AT112" i="49"/>
  <c r="AO113" i="49"/>
  <c r="AP113" i="49"/>
  <c r="AQ113" i="49"/>
  <c r="AR113" i="49"/>
  <c r="AS113" i="49"/>
  <c r="AT113" i="49"/>
  <c r="AO114" i="49"/>
  <c r="AP114" i="49"/>
  <c r="AQ114" i="49"/>
  <c r="AR114" i="49"/>
  <c r="AS114" i="49"/>
  <c r="AT114" i="49"/>
  <c r="AO115" i="49"/>
  <c r="AP115" i="49"/>
  <c r="AQ115" i="49"/>
  <c r="AR115" i="49"/>
  <c r="AS115" i="49"/>
  <c r="AT115" i="49"/>
  <c r="AO116" i="49"/>
  <c r="AP116" i="49"/>
  <c r="AQ116" i="49"/>
  <c r="AR116" i="49"/>
  <c r="AS116" i="49"/>
  <c r="AT116" i="49"/>
  <c r="AO117" i="49"/>
  <c r="AP117" i="49"/>
  <c r="AQ117" i="49"/>
  <c r="AR117" i="49"/>
  <c r="AS117" i="49"/>
  <c r="AT117" i="49"/>
  <c r="AO118" i="49"/>
  <c r="AP118" i="49"/>
  <c r="AQ118" i="49"/>
  <c r="AR118" i="49"/>
  <c r="AS118" i="49"/>
  <c r="AT118" i="49"/>
  <c r="AO119" i="49"/>
  <c r="AP119" i="49"/>
  <c r="AQ119" i="49"/>
  <c r="AR119" i="49"/>
  <c r="AS119" i="49"/>
  <c r="AT119" i="49"/>
  <c r="AO120" i="49"/>
  <c r="AP120" i="49"/>
  <c r="AQ120" i="49"/>
  <c r="AR120" i="49"/>
  <c r="AS120" i="49"/>
  <c r="AT120" i="49"/>
  <c r="AO121" i="49"/>
  <c r="AP121" i="49"/>
  <c r="AQ121" i="49"/>
  <c r="AR121" i="49"/>
  <c r="AS121" i="49"/>
  <c r="AT121" i="49"/>
  <c r="AO122" i="49"/>
  <c r="AP122" i="49"/>
  <c r="AQ122" i="49"/>
  <c r="AR122" i="49"/>
  <c r="AS122" i="49"/>
  <c r="AT122" i="49"/>
  <c r="AO123" i="49"/>
  <c r="AP123" i="49"/>
  <c r="AQ123" i="49"/>
  <c r="AR123" i="49"/>
  <c r="AS123" i="49"/>
  <c r="AT123" i="49"/>
  <c r="AO124" i="49"/>
  <c r="AP124" i="49"/>
  <c r="AQ124" i="49"/>
  <c r="AR124" i="49"/>
  <c r="AS124" i="49"/>
  <c r="AT124" i="49"/>
  <c r="AO125" i="49"/>
  <c r="AP125" i="49"/>
  <c r="AQ125" i="49"/>
  <c r="AR125" i="49"/>
  <c r="AS125" i="49"/>
  <c r="AT125" i="49"/>
  <c r="AO126" i="49"/>
  <c r="AP126" i="49"/>
  <c r="AQ126" i="49"/>
  <c r="AR126" i="49"/>
  <c r="AS126" i="49"/>
  <c r="AT126" i="49"/>
  <c r="AO127" i="49"/>
  <c r="AP127" i="49"/>
  <c r="AQ127" i="49"/>
  <c r="AR127" i="49"/>
  <c r="AS127" i="49"/>
  <c r="AT127" i="49"/>
  <c r="AO128" i="49"/>
  <c r="AP128" i="49"/>
  <c r="AQ128" i="49"/>
  <c r="AR128" i="49"/>
  <c r="AS128" i="49"/>
  <c r="AT128" i="49"/>
  <c r="AO129" i="49"/>
  <c r="AP129" i="49"/>
  <c r="AQ129" i="49"/>
  <c r="AR129" i="49"/>
  <c r="AS129" i="49"/>
  <c r="AT129" i="49"/>
  <c r="AO130" i="49"/>
  <c r="AP130" i="49"/>
  <c r="AQ130" i="49"/>
  <c r="AR130" i="49"/>
  <c r="AS130" i="49"/>
  <c r="AT130" i="49"/>
  <c r="AO131" i="49"/>
  <c r="AP131" i="49"/>
  <c r="AQ131" i="49"/>
  <c r="AR131" i="49"/>
  <c r="AS131" i="49"/>
  <c r="AT131" i="49"/>
  <c r="AO132" i="49"/>
  <c r="AP132" i="49"/>
  <c r="AQ132" i="49"/>
  <c r="AR132" i="49"/>
  <c r="AS132" i="49"/>
  <c r="AT132" i="49"/>
  <c r="AO133" i="49"/>
  <c r="AP133" i="49"/>
  <c r="AQ133" i="49"/>
  <c r="AR133" i="49"/>
  <c r="AS133" i="49"/>
  <c r="AT133" i="49"/>
  <c r="AO134" i="49"/>
  <c r="AP134" i="49"/>
  <c r="AQ134" i="49"/>
  <c r="AR134" i="49"/>
  <c r="AS134" i="49"/>
  <c r="AT134" i="49"/>
  <c r="AO135" i="49"/>
  <c r="AP135" i="49"/>
  <c r="AQ135" i="49"/>
  <c r="AR135" i="49"/>
  <c r="AS135" i="49"/>
  <c r="AT135" i="49"/>
  <c r="AO136" i="49"/>
  <c r="AP136" i="49"/>
  <c r="AQ136" i="49"/>
  <c r="AR136" i="49"/>
  <c r="AS136" i="49"/>
  <c r="AT136" i="49"/>
  <c r="AO137" i="49"/>
  <c r="AP137" i="49"/>
  <c r="AQ137" i="49"/>
  <c r="AR137" i="49"/>
  <c r="AS137" i="49"/>
  <c r="AT137" i="49"/>
  <c r="AO138" i="49"/>
  <c r="AP138" i="49"/>
  <c r="AQ138" i="49"/>
  <c r="AR138" i="49"/>
  <c r="AS138" i="49"/>
  <c r="AT138" i="49"/>
  <c r="AO139" i="49"/>
  <c r="AP139" i="49"/>
  <c r="AQ139" i="49"/>
  <c r="AR139" i="49"/>
  <c r="AS139" i="49"/>
  <c r="AT139" i="49"/>
  <c r="AO140" i="49"/>
  <c r="AP140" i="49"/>
  <c r="AQ140" i="49"/>
  <c r="AR140" i="49"/>
  <c r="AS140" i="49"/>
  <c r="AT140" i="49"/>
  <c r="AO141" i="49"/>
  <c r="AP141" i="49"/>
  <c r="AQ141" i="49"/>
  <c r="AR141" i="49"/>
  <c r="AS141" i="49"/>
  <c r="AT141" i="49"/>
  <c r="AO142" i="49"/>
  <c r="AP142" i="49"/>
  <c r="AQ142" i="49"/>
  <c r="AR142" i="49"/>
  <c r="AS142" i="49"/>
  <c r="AT142" i="49"/>
  <c r="AO143" i="49"/>
  <c r="AP143" i="49"/>
  <c r="AQ143" i="49"/>
  <c r="AR143" i="49"/>
  <c r="AS143" i="49"/>
  <c r="AT143" i="49"/>
  <c r="AO144" i="49"/>
  <c r="AP144" i="49"/>
  <c r="AQ144" i="49"/>
  <c r="AR144" i="49"/>
  <c r="AS144" i="49"/>
  <c r="AT144" i="49"/>
  <c r="AO145" i="49"/>
  <c r="AP145" i="49"/>
  <c r="AQ145" i="49"/>
  <c r="AR145" i="49"/>
  <c r="AS145" i="49"/>
  <c r="AT145" i="49"/>
  <c r="AO146" i="49"/>
  <c r="AP146" i="49"/>
  <c r="AQ146" i="49"/>
  <c r="AR146" i="49"/>
  <c r="AS146" i="49"/>
  <c r="AT146" i="49"/>
  <c r="AO147" i="49"/>
  <c r="AP147" i="49"/>
  <c r="AQ147" i="49"/>
  <c r="AR147" i="49"/>
  <c r="AS147" i="49"/>
  <c r="AT147" i="49"/>
  <c r="AO148" i="49"/>
  <c r="AP148" i="49"/>
  <c r="AQ148" i="49"/>
  <c r="AR148" i="49"/>
  <c r="AS148" i="49"/>
  <c r="AT148" i="49"/>
  <c r="AO149" i="49"/>
  <c r="AP149" i="49"/>
  <c r="AQ149" i="49"/>
  <c r="AR149" i="49"/>
  <c r="AS149" i="49"/>
  <c r="AT149" i="49"/>
  <c r="AO150" i="49"/>
  <c r="AP150" i="49"/>
  <c r="AQ150" i="49"/>
  <c r="AR150" i="49"/>
  <c r="AS150" i="49"/>
  <c r="AT150" i="49"/>
  <c r="AO151" i="49"/>
  <c r="AP151" i="49"/>
  <c r="AQ151" i="49"/>
  <c r="AR151" i="49"/>
  <c r="AS151" i="49"/>
  <c r="AT151" i="49"/>
  <c r="AO152" i="49"/>
  <c r="AP152" i="49"/>
  <c r="AQ152" i="49"/>
  <c r="AR152" i="49"/>
  <c r="AS152" i="49"/>
  <c r="AT152" i="49"/>
  <c r="AO153" i="49"/>
  <c r="AP153" i="49"/>
  <c r="AQ153" i="49"/>
  <c r="AR153" i="49"/>
  <c r="AS153" i="49"/>
  <c r="AT153" i="49"/>
  <c r="AO154" i="49"/>
  <c r="AP154" i="49"/>
  <c r="AQ154" i="49"/>
  <c r="AR154" i="49"/>
  <c r="AS154" i="49"/>
  <c r="AT154" i="49"/>
  <c r="AO155" i="49"/>
  <c r="AP155" i="49"/>
  <c r="AQ155" i="49"/>
  <c r="AR155" i="49"/>
  <c r="AS155" i="49"/>
  <c r="AT155" i="49"/>
  <c r="AO156" i="49"/>
  <c r="AP156" i="49"/>
  <c r="AQ156" i="49"/>
  <c r="AR156" i="49"/>
  <c r="AS156" i="49"/>
  <c r="AT156" i="49"/>
  <c r="AO157" i="49"/>
  <c r="AP157" i="49"/>
  <c r="AQ157" i="49"/>
  <c r="AR157" i="49"/>
  <c r="AS157" i="49"/>
  <c r="AT157" i="49"/>
  <c r="AO158" i="49"/>
  <c r="AP158" i="49"/>
  <c r="AQ158" i="49"/>
  <c r="AR158" i="49"/>
  <c r="AS158" i="49"/>
  <c r="AT158" i="49"/>
  <c r="AO159" i="49"/>
  <c r="AP159" i="49"/>
  <c r="AQ159" i="49"/>
  <c r="AR159" i="49"/>
  <c r="AS159" i="49"/>
  <c r="AT159" i="49"/>
  <c r="AO160" i="49"/>
  <c r="AP160" i="49"/>
  <c r="AQ160" i="49"/>
  <c r="AR160" i="49"/>
  <c r="AS160" i="49"/>
  <c r="AT160" i="49"/>
  <c r="AO161" i="49"/>
  <c r="AP161" i="49"/>
  <c r="AQ161" i="49"/>
  <c r="AR161" i="49"/>
  <c r="AS161" i="49"/>
  <c r="AT161" i="49"/>
  <c r="AO162" i="49"/>
  <c r="AP162" i="49"/>
  <c r="AQ162" i="49"/>
  <c r="AR162" i="49"/>
  <c r="AS162" i="49"/>
  <c r="AT162" i="49"/>
  <c r="AO163" i="49"/>
  <c r="AP163" i="49"/>
  <c r="AQ163" i="49"/>
  <c r="AR163" i="49"/>
  <c r="AS163" i="49"/>
  <c r="AT163" i="49"/>
  <c r="AO164" i="49"/>
  <c r="AP164" i="49"/>
  <c r="AQ164" i="49"/>
  <c r="AR164" i="49"/>
  <c r="AS164" i="49"/>
  <c r="AT164" i="49"/>
  <c r="AO165" i="49"/>
  <c r="AP165" i="49"/>
  <c r="AQ165" i="49"/>
  <c r="AR165" i="49"/>
  <c r="AS165" i="49"/>
  <c r="AT165" i="49"/>
  <c r="AO166" i="49"/>
  <c r="AP166" i="49"/>
  <c r="AQ166" i="49"/>
  <c r="AR166" i="49"/>
  <c r="AS166" i="49"/>
  <c r="AT166" i="49"/>
  <c r="AO167" i="49"/>
  <c r="AP167" i="49"/>
  <c r="AQ167" i="49"/>
  <c r="AR167" i="49"/>
  <c r="AS167" i="49"/>
  <c r="AT167" i="49"/>
  <c r="AO168" i="49"/>
  <c r="AP168" i="49"/>
  <c r="AQ168" i="49"/>
  <c r="AR168" i="49"/>
  <c r="AS168" i="49"/>
  <c r="AT168" i="49"/>
  <c r="AO169" i="49"/>
  <c r="AP169" i="49"/>
  <c r="AQ169" i="49"/>
  <c r="AR169" i="49"/>
  <c r="AS169" i="49"/>
  <c r="AT169" i="49"/>
  <c r="AO170" i="49"/>
  <c r="AP170" i="49"/>
  <c r="AQ170" i="49"/>
  <c r="AR170" i="49"/>
  <c r="AS170" i="49"/>
  <c r="AT170" i="49"/>
  <c r="AO171" i="49"/>
  <c r="AP171" i="49"/>
  <c r="AQ171" i="49"/>
  <c r="AR171" i="49"/>
  <c r="AS171" i="49"/>
  <c r="AT171" i="49"/>
  <c r="AO172" i="49"/>
  <c r="AP172" i="49"/>
  <c r="AQ172" i="49"/>
  <c r="AR172" i="49"/>
  <c r="AS172" i="49"/>
  <c r="AT172" i="49"/>
  <c r="AO173" i="49"/>
  <c r="AP173" i="49"/>
  <c r="AQ173" i="49"/>
  <c r="AR173" i="49"/>
  <c r="AS173" i="49"/>
  <c r="AT173" i="49"/>
  <c r="AO174" i="49"/>
  <c r="AP174" i="49"/>
  <c r="AQ174" i="49"/>
  <c r="AR174" i="49"/>
  <c r="AS174" i="49"/>
  <c r="AT174" i="49"/>
  <c r="AO175" i="49"/>
  <c r="AP175" i="49"/>
  <c r="AQ175" i="49"/>
  <c r="AR175" i="49"/>
  <c r="AS175" i="49"/>
  <c r="AT175" i="49"/>
  <c r="AO176" i="49"/>
  <c r="AP176" i="49"/>
  <c r="AQ176" i="49"/>
  <c r="AR176" i="49"/>
  <c r="AS176" i="49"/>
  <c r="AT176" i="49"/>
  <c r="AO177" i="49"/>
  <c r="AP177" i="49"/>
  <c r="AQ177" i="49"/>
  <c r="AR177" i="49"/>
  <c r="AS177" i="49"/>
  <c r="AT177" i="49"/>
  <c r="AO178" i="49"/>
  <c r="AP178" i="49"/>
  <c r="AQ178" i="49"/>
  <c r="AR178" i="49"/>
  <c r="AS178" i="49"/>
  <c r="AT178" i="49"/>
  <c r="AO179" i="49"/>
  <c r="AP179" i="49"/>
  <c r="AQ179" i="49"/>
  <c r="AR179" i="49"/>
  <c r="AS179" i="49"/>
  <c r="AT179" i="49"/>
  <c r="AO180" i="49"/>
  <c r="AP180" i="49"/>
  <c r="AQ180" i="49"/>
  <c r="AR180" i="49"/>
  <c r="AS180" i="49"/>
  <c r="AT180" i="49"/>
  <c r="AO181" i="49"/>
  <c r="AP181" i="49"/>
  <c r="AQ181" i="49"/>
  <c r="AR181" i="49"/>
  <c r="AS181" i="49"/>
  <c r="AT181" i="49"/>
  <c r="AO182" i="49"/>
  <c r="AP182" i="49"/>
  <c r="AQ182" i="49"/>
  <c r="AR182" i="49"/>
  <c r="AS182" i="49"/>
  <c r="AT182" i="49"/>
  <c r="AO183" i="49"/>
  <c r="AP183" i="49"/>
  <c r="AQ183" i="49"/>
  <c r="AR183" i="49"/>
  <c r="AS183" i="49"/>
  <c r="AT183" i="49"/>
  <c r="AO184" i="49"/>
  <c r="AP184" i="49"/>
  <c r="AQ184" i="49"/>
  <c r="AR184" i="49"/>
  <c r="AS184" i="49"/>
  <c r="AT184" i="49"/>
  <c r="AO185" i="49"/>
  <c r="AP185" i="49"/>
  <c r="AQ185" i="49"/>
  <c r="AR185" i="49"/>
  <c r="AS185" i="49"/>
  <c r="AT185" i="49"/>
  <c r="AO186" i="49"/>
  <c r="AP186" i="49"/>
  <c r="AQ186" i="49"/>
  <c r="AR186" i="49"/>
  <c r="AS186" i="49"/>
  <c r="AT186" i="49"/>
  <c r="AO187" i="49"/>
  <c r="AP187" i="49"/>
  <c r="AQ187" i="49"/>
  <c r="AR187" i="49"/>
  <c r="AS187" i="49"/>
  <c r="AT187" i="49"/>
  <c r="AO188" i="49"/>
  <c r="AP188" i="49"/>
  <c r="AQ188" i="49"/>
  <c r="AR188" i="49"/>
  <c r="AS188" i="49"/>
  <c r="AT188" i="49"/>
  <c r="AO189" i="49"/>
  <c r="AP189" i="49"/>
  <c r="AQ189" i="49"/>
  <c r="AR189" i="49"/>
  <c r="AS189" i="49"/>
  <c r="AT189" i="49"/>
  <c r="AO190" i="49"/>
  <c r="AP190" i="49"/>
  <c r="AQ190" i="49"/>
  <c r="AR190" i="49"/>
  <c r="AS190" i="49"/>
  <c r="AT190" i="49"/>
  <c r="AO191" i="49"/>
  <c r="AP191" i="49"/>
  <c r="AQ191" i="49"/>
  <c r="AR191" i="49"/>
  <c r="AS191" i="49"/>
  <c r="AT191" i="49"/>
  <c r="AO192" i="49"/>
  <c r="AP192" i="49"/>
  <c r="AQ192" i="49"/>
  <c r="AR192" i="49"/>
  <c r="AS192" i="49"/>
  <c r="AT192" i="49"/>
  <c r="AO193" i="49"/>
  <c r="AP193" i="49"/>
  <c r="AQ193" i="49"/>
  <c r="AR193" i="49"/>
  <c r="AS193" i="49"/>
  <c r="AT193" i="49"/>
  <c r="AO194" i="49"/>
  <c r="AP194" i="49"/>
  <c r="AQ194" i="49"/>
  <c r="AR194" i="49"/>
  <c r="AS194" i="49"/>
  <c r="AT194" i="49"/>
  <c r="AO195" i="49"/>
  <c r="AP195" i="49"/>
  <c r="AQ195" i="49"/>
  <c r="AR195" i="49"/>
  <c r="AS195" i="49"/>
  <c r="AT195" i="49"/>
  <c r="AO196" i="49"/>
  <c r="AP196" i="49"/>
  <c r="AQ196" i="49"/>
  <c r="AR196" i="49"/>
  <c r="AS196" i="49"/>
  <c r="AT196" i="49"/>
  <c r="AO197" i="49"/>
  <c r="AP197" i="49"/>
  <c r="AQ197" i="49"/>
  <c r="AR197" i="49"/>
  <c r="AS197" i="49"/>
  <c r="AT197" i="49"/>
  <c r="AO198" i="49"/>
  <c r="AP198" i="49"/>
  <c r="AQ198" i="49"/>
  <c r="AR198" i="49"/>
  <c r="AS198" i="49"/>
  <c r="AT198" i="49"/>
  <c r="AO199" i="49"/>
  <c r="AP199" i="49"/>
  <c r="AQ199" i="49"/>
  <c r="AR199" i="49"/>
  <c r="AS199" i="49"/>
  <c r="AT199" i="49"/>
  <c r="AO200" i="49"/>
  <c r="AP200" i="49"/>
  <c r="AQ200" i="49"/>
  <c r="AR200" i="49"/>
  <c r="AS200" i="49"/>
  <c r="AT200" i="49"/>
  <c r="AO201" i="49"/>
  <c r="AP201" i="49"/>
  <c r="AQ201" i="49"/>
  <c r="AR201" i="49"/>
  <c r="AS201" i="49"/>
  <c r="AT201" i="49"/>
  <c r="AO202" i="49"/>
  <c r="AP202" i="49"/>
  <c r="AQ202" i="49"/>
  <c r="AR202" i="49"/>
  <c r="AS202" i="49"/>
  <c r="AT202" i="49"/>
  <c r="AO203" i="49"/>
  <c r="AP203" i="49"/>
  <c r="AQ203" i="49"/>
  <c r="AR203" i="49"/>
  <c r="AS203" i="49"/>
  <c r="AT203" i="49"/>
  <c r="AO204" i="49"/>
  <c r="AP204" i="49"/>
  <c r="AQ204" i="49"/>
  <c r="AR204" i="49"/>
  <c r="AS204" i="49"/>
  <c r="AT204" i="49"/>
  <c r="AO205" i="49"/>
  <c r="AP205" i="49"/>
  <c r="AQ205" i="49"/>
  <c r="AR205" i="49"/>
  <c r="AS205" i="49"/>
  <c r="AT205" i="49"/>
  <c r="AO206" i="49"/>
  <c r="AP206" i="49"/>
  <c r="AQ206" i="49"/>
  <c r="AR206" i="49"/>
  <c r="AS206" i="49"/>
  <c r="AT206" i="49"/>
  <c r="AO207" i="49"/>
  <c r="AP207" i="49"/>
  <c r="AQ207" i="49"/>
  <c r="AR207" i="49"/>
  <c r="AS207" i="49"/>
  <c r="AT207" i="49"/>
  <c r="AO208" i="49"/>
  <c r="AP208" i="49"/>
  <c r="AQ208" i="49"/>
  <c r="AR208" i="49"/>
  <c r="AS208" i="49"/>
  <c r="AT208" i="49"/>
  <c r="AO209" i="49"/>
  <c r="AP209" i="49"/>
  <c r="AQ209" i="49"/>
  <c r="AR209" i="49"/>
  <c r="AS209" i="49"/>
  <c r="AT209" i="49"/>
  <c r="AO210" i="49"/>
  <c r="AP210" i="49"/>
  <c r="AQ210" i="49"/>
  <c r="AR210" i="49"/>
  <c r="AS210" i="49"/>
  <c r="AT210" i="49"/>
  <c r="AO211" i="49"/>
  <c r="AP211" i="49"/>
  <c r="AQ211" i="49"/>
  <c r="AR211" i="49"/>
  <c r="AS211" i="49"/>
  <c r="AT211" i="49"/>
  <c r="AO212" i="49"/>
  <c r="AP212" i="49"/>
  <c r="AQ212" i="49"/>
  <c r="AR212" i="49"/>
  <c r="AS212" i="49"/>
  <c r="AT212" i="49"/>
  <c r="AO213" i="49"/>
  <c r="AP213" i="49"/>
  <c r="AQ213" i="49"/>
  <c r="AR213" i="49"/>
  <c r="AS213" i="49"/>
  <c r="AT213" i="49"/>
  <c r="AO214" i="49"/>
  <c r="AP214" i="49"/>
  <c r="AQ214" i="49"/>
  <c r="AR214" i="49"/>
  <c r="AS214" i="49"/>
  <c r="AT214" i="49"/>
  <c r="AO215" i="49"/>
  <c r="AP215" i="49"/>
  <c r="AQ215" i="49"/>
  <c r="AR215" i="49"/>
  <c r="AS215" i="49"/>
  <c r="AT215" i="49"/>
  <c r="AO216" i="49"/>
  <c r="AP216" i="49"/>
  <c r="AQ216" i="49"/>
  <c r="AR216" i="49"/>
  <c r="AS216" i="49"/>
  <c r="AT216" i="49"/>
  <c r="AO217" i="49"/>
  <c r="AP217" i="49"/>
  <c r="AQ217" i="49"/>
  <c r="AR217" i="49"/>
  <c r="AS217" i="49"/>
  <c r="AT217" i="49"/>
  <c r="AO218" i="49"/>
  <c r="AP218" i="49"/>
  <c r="AQ218" i="49"/>
  <c r="AR218" i="49"/>
  <c r="AS218" i="49"/>
  <c r="AT218" i="49"/>
  <c r="AO219" i="49"/>
  <c r="AP219" i="49"/>
  <c r="AQ219" i="49"/>
  <c r="AR219" i="49"/>
  <c r="AS219" i="49"/>
  <c r="AT219" i="49"/>
  <c r="AO220" i="49"/>
  <c r="AP220" i="49"/>
  <c r="AQ220" i="49"/>
  <c r="AR220" i="49"/>
  <c r="AS220" i="49"/>
  <c r="AT220" i="49"/>
  <c r="AO221" i="49"/>
  <c r="AP221" i="49"/>
  <c r="AQ221" i="49"/>
  <c r="AR221" i="49"/>
  <c r="AS221" i="49"/>
  <c r="AT221" i="49"/>
  <c r="AO222" i="49"/>
  <c r="AP222" i="49"/>
  <c r="AQ222" i="49"/>
  <c r="AR222" i="49"/>
  <c r="AS222" i="49"/>
  <c r="AT222" i="49"/>
  <c r="AO223" i="49"/>
  <c r="AP223" i="49"/>
  <c r="AQ223" i="49"/>
  <c r="AR223" i="49"/>
  <c r="AS223" i="49"/>
  <c r="AT223" i="49"/>
  <c r="AO224" i="49"/>
  <c r="AP224" i="49"/>
  <c r="AQ224" i="49"/>
  <c r="AR224" i="49"/>
  <c r="AS224" i="49"/>
  <c r="AT224" i="49"/>
  <c r="AO225" i="49"/>
  <c r="AP225" i="49"/>
  <c r="AQ225" i="49"/>
  <c r="AR225" i="49"/>
  <c r="AS225" i="49"/>
  <c r="AT225" i="49"/>
  <c r="AO226" i="49"/>
  <c r="AP226" i="49"/>
  <c r="AQ226" i="49"/>
  <c r="AR226" i="49"/>
  <c r="AS226" i="49"/>
  <c r="AT226" i="49"/>
  <c r="AO227" i="49"/>
  <c r="AP227" i="49"/>
  <c r="AQ227" i="49"/>
  <c r="AR227" i="49"/>
  <c r="AS227" i="49"/>
  <c r="AT227" i="49"/>
  <c r="AO228" i="49"/>
  <c r="AP228" i="49"/>
  <c r="AQ228" i="49"/>
  <c r="AR228" i="49"/>
  <c r="AS228" i="49"/>
  <c r="AT228" i="49"/>
  <c r="AO229" i="49"/>
  <c r="AP229" i="49"/>
  <c r="AQ229" i="49"/>
  <c r="AR229" i="49"/>
  <c r="AS229" i="49"/>
  <c r="AT229" i="49"/>
  <c r="AO230" i="49"/>
  <c r="AP230" i="49"/>
  <c r="AQ230" i="49"/>
  <c r="AR230" i="49"/>
  <c r="AS230" i="49"/>
  <c r="AT230" i="49"/>
  <c r="AO231" i="49"/>
  <c r="AP231" i="49"/>
  <c r="AQ231" i="49"/>
  <c r="AR231" i="49"/>
  <c r="AS231" i="49"/>
  <c r="AT231" i="49"/>
  <c r="AO232" i="49"/>
  <c r="AP232" i="49"/>
  <c r="AQ232" i="49"/>
  <c r="AR232" i="49"/>
  <c r="AS232" i="49"/>
  <c r="AT232" i="49"/>
  <c r="AO233" i="49"/>
  <c r="AP233" i="49"/>
  <c r="AQ233" i="49"/>
  <c r="AR233" i="49"/>
  <c r="AS233" i="49"/>
  <c r="AT233" i="49"/>
  <c r="AO234" i="49"/>
  <c r="AP234" i="49"/>
  <c r="AQ234" i="49"/>
  <c r="AR234" i="49"/>
  <c r="AS234" i="49"/>
  <c r="AT234" i="49"/>
  <c r="AO235" i="49"/>
  <c r="AP235" i="49"/>
  <c r="AQ235" i="49"/>
  <c r="AR235" i="49"/>
  <c r="AS235" i="49"/>
  <c r="AT235" i="49"/>
  <c r="AO236" i="49"/>
  <c r="AP236" i="49"/>
  <c r="AQ236" i="49"/>
  <c r="AR236" i="49"/>
  <c r="AS236" i="49"/>
  <c r="AT236" i="49"/>
  <c r="AO237" i="49"/>
  <c r="AP237" i="49"/>
  <c r="AQ237" i="49"/>
  <c r="AR237" i="49"/>
  <c r="AS237" i="49"/>
  <c r="AT237" i="49"/>
  <c r="AO238" i="49"/>
  <c r="AP238" i="49"/>
  <c r="AQ238" i="49"/>
  <c r="AR238" i="49"/>
  <c r="AS238" i="49"/>
  <c r="AT238" i="49"/>
  <c r="AO239" i="49"/>
  <c r="AP239" i="49"/>
  <c r="AQ239" i="49"/>
  <c r="AR239" i="49"/>
  <c r="AS239" i="49"/>
  <c r="AT239" i="49"/>
  <c r="AO240" i="49"/>
  <c r="AP240" i="49"/>
  <c r="AQ240" i="49"/>
  <c r="AR240" i="49"/>
  <c r="AS240" i="49"/>
  <c r="AT240" i="49"/>
  <c r="AO241" i="49"/>
  <c r="AP241" i="49"/>
  <c r="AQ241" i="49"/>
  <c r="AR241" i="49"/>
  <c r="AS241" i="49"/>
  <c r="AT241" i="49"/>
  <c r="AO242" i="49"/>
  <c r="AP242" i="49"/>
  <c r="AQ242" i="49"/>
  <c r="AR242" i="49"/>
  <c r="AS242" i="49"/>
  <c r="AT242" i="49"/>
  <c r="AO243" i="49"/>
  <c r="AP243" i="49"/>
  <c r="AQ243" i="49"/>
  <c r="AR243" i="49"/>
  <c r="AS243" i="49"/>
  <c r="AT243" i="49"/>
  <c r="AO244" i="49"/>
  <c r="AP244" i="49"/>
  <c r="AQ244" i="49"/>
  <c r="AR244" i="49"/>
  <c r="AS244" i="49"/>
  <c r="AT244" i="49"/>
  <c r="AO245" i="49"/>
  <c r="AP245" i="49"/>
  <c r="AQ245" i="49"/>
  <c r="AR245" i="49"/>
  <c r="AS245" i="49"/>
  <c r="AT245" i="49"/>
  <c r="AO246" i="49"/>
  <c r="AP246" i="49"/>
  <c r="AQ246" i="49"/>
  <c r="AR246" i="49"/>
  <c r="AS246" i="49"/>
  <c r="AT246" i="49"/>
  <c r="AO247" i="49"/>
  <c r="AP247" i="49"/>
  <c r="AQ247" i="49"/>
  <c r="AR247" i="49"/>
  <c r="AS247" i="49"/>
  <c r="AT247" i="49"/>
  <c r="AO248" i="49"/>
  <c r="AP248" i="49"/>
  <c r="AQ248" i="49"/>
  <c r="AR248" i="49"/>
  <c r="AS248" i="49"/>
  <c r="AT248" i="49"/>
  <c r="AO249" i="49"/>
  <c r="AP249" i="49"/>
  <c r="AQ249" i="49"/>
  <c r="AR249" i="49"/>
  <c r="AS249" i="49"/>
  <c r="AT249" i="49"/>
  <c r="AO250" i="49"/>
  <c r="AP250" i="49"/>
  <c r="AQ250" i="49"/>
  <c r="AR250" i="49"/>
  <c r="AS250" i="49"/>
  <c r="AT250" i="49"/>
  <c r="AO251" i="49"/>
  <c r="AP251" i="49"/>
  <c r="AQ251" i="49"/>
  <c r="AR251" i="49"/>
  <c r="AS251" i="49"/>
  <c r="AT251" i="49"/>
  <c r="AO252" i="49"/>
  <c r="AP252" i="49"/>
  <c r="AQ252" i="49"/>
  <c r="AR252" i="49"/>
  <c r="AS252" i="49"/>
  <c r="AT252" i="49"/>
  <c r="AO253" i="49"/>
  <c r="AP253" i="49"/>
  <c r="AQ253" i="49"/>
  <c r="AR253" i="49"/>
  <c r="AS253" i="49"/>
  <c r="AT253" i="49"/>
  <c r="AO254" i="49"/>
  <c r="AP254" i="49"/>
  <c r="AQ254" i="49"/>
  <c r="AR254" i="49"/>
  <c r="AS254" i="49"/>
  <c r="AT254" i="49"/>
  <c r="AO255" i="49"/>
  <c r="AP255" i="49"/>
  <c r="AQ255" i="49"/>
  <c r="AR255" i="49"/>
  <c r="AS255" i="49"/>
  <c r="AT255" i="49"/>
  <c r="AO256" i="49"/>
  <c r="AP256" i="49"/>
  <c r="AQ256" i="49"/>
  <c r="AR256" i="49"/>
  <c r="AS256" i="49"/>
  <c r="AT256" i="49"/>
  <c r="AO257" i="49"/>
  <c r="AP257" i="49"/>
  <c r="AQ257" i="49"/>
  <c r="AR257" i="49"/>
  <c r="AS257" i="49"/>
  <c r="AT257" i="49"/>
  <c r="AO258" i="49"/>
  <c r="AP258" i="49"/>
  <c r="AQ258" i="49"/>
  <c r="AR258" i="49"/>
  <c r="AS258" i="49"/>
  <c r="AT258" i="49"/>
  <c r="AO259" i="49"/>
  <c r="AP259" i="49"/>
  <c r="AQ259" i="49"/>
  <c r="AR259" i="49"/>
  <c r="AS259" i="49"/>
  <c r="AT259" i="49"/>
  <c r="AO260" i="49"/>
  <c r="AP260" i="49"/>
  <c r="AQ260" i="49"/>
  <c r="AR260" i="49"/>
  <c r="AS260" i="49"/>
  <c r="AT260" i="49"/>
  <c r="AO261" i="49"/>
  <c r="AP261" i="49"/>
  <c r="AQ261" i="49"/>
  <c r="AR261" i="49"/>
  <c r="AS261" i="49"/>
  <c r="AT261" i="49"/>
  <c r="AO262" i="49"/>
  <c r="AP262" i="49"/>
  <c r="AQ262" i="49"/>
  <c r="AR262" i="49"/>
  <c r="AS262" i="49"/>
  <c r="AT262" i="49"/>
  <c r="AO263" i="49"/>
  <c r="AP263" i="49"/>
  <c r="AQ263" i="49"/>
  <c r="AR263" i="49"/>
  <c r="AS263" i="49"/>
  <c r="AT263" i="49"/>
  <c r="AO264" i="49"/>
  <c r="AP264" i="49"/>
  <c r="AQ264" i="49"/>
  <c r="AR264" i="49"/>
  <c r="AS264" i="49"/>
  <c r="AT264" i="49"/>
  <c r="AO265" i="49"/>
  <c r="AP265" i="49"/>
  <c r="AQ265" i="49"/>
  <c r="AR265" i="49"/>
  <c r="AS265" i="49"/>
  <c r="AT265" i="49"/>
  <c r="AO266" i="49"/>
  <c r="AP266" i="49"/>
  <c r="AQ266" i="49"/>
  <c r="AR266" i="49"/>
  <c r="AS266" i="49"/>
  <c r="AT266" i="49"/>
  <c r="AO267" i="49"/>
  <c r="AP267" i="49"/>
  <c r="AQ267" i="49"/>
  <c r="AR267" i="49"/>
  <c r="AS267" i="49"/>
  <c r="AT267" i="49"/>
  <c r="AO268" i="49"/>
  <c r="AP268" i="49"/>
  <c r="AQ268" i="49"/>
  <c r="AR268" i="49"/>
  <c r="AS268" i="49"/>
  <c r="AT268" i="49"/>
  <c r="AO269" i="49"/>
  <c r="AP269" i="49"/>
  <c r="AQ269" i="49"/>
  <c r="AR269" i="49"/>
  <c r="AS269" i="49"/>
  <c r="AT269" i="49"/>
  <c r="AO270" i="49"/>
  <c r="AP270" i="49"/>
  <c r="AQ270" i="49"/>
  <c r="AR270" i="49"/>
  <c r="AS270" i="49"/>
  <c r="AT270" i="49"/>
  <c r="AO271" i="49"/>
  <c r="AP271" i="49"/>
  <c r="AQ271" i="49"/>
  <c r="AR271" i="49"/>
  <c r="AS271" i="49"/>
  <c r="AT271" i="49"/>
  <c r="AO272" i="49"/>
  <c r="AP272" i="49"/>
  <c r="AQ272" i="49"/>
  <c r="AR272" i="49"/>
  <c r="AS272" i="49"/>
  <c r="AT272" i="49"/>
  <c r="AO273" i="49"/>
  <c r="AP273" i="49"/>
  <c r="AQ273" i="49"/>
  <c r="AR273" i="49"/>
  <c r="AS273" i="49"/>
  <c r="AT273" i="49"/>
  <c r="AO274" i="49"/>
  <c r="AP274" i="49"/>
  <c r="AQ274" i="49"/>
  <c r="AR274" i="49"/>
  <c r="AS274" i="49"/>
  <c r="AT274" i="49"/>
  <c r="AO275" i="49"/>
  <c r="AP275" i="49"/>
  <c r="AQ275" i="49"/>
  <c r="AR275" i="49"/>
  <c r="AS275" i="49"/>
  <c r="AT275" i="49"/>
  <c r="AO276" i="49"/>
  <c r="AP276" i="49"/>
  <c r="AQ276" i="49"/>
  <c r="AR276" i="49"/>
  <c r="AS276" i="49"/>
  <c r="AT276" i="49"/>
  <c r="AO277" i="49"/>
  <c r="AP277" i="49"/>
  <c r="AQ277" i="49"/>
  <c r="AR277" i="49"/>
  <c r="AS277" i="49"/>
  <c r="AT277" i="49"/>
  <c r="AO278" i="49"/>
  <c r="AP278" i="49"/>
  <c r="AQ278" i="49"/>
  <c r="AR278" i="49"/>
  <c r="AS278" i="49"/>
  <c r="AT278" i="49"/>
  <c r="AO279" i="49"/>
  <c r="AP279" i="49"/>
  <c r="AQ279" i="49"/>
  <c r="AR279" i="49"/>
  <c r="AS279" i="49"/>
  <c r="AT279" i="49"/>
  <c r="AO280" i="49"/>
  <c r="AP280" i="49"/>
  <c r="AQ280" i="49"/>
  <c r="AR280" i="49"/>
  <c r="AS280" i="49"/>
  <c r="AT280" i="49"/>
  <c r="AO281" i="49"/>
  <c r="AP281" i="49"/>
  <c r="AQ281" i="49"/>
  <c r="AR281" i="49"/>
  <c r="AS281" i="49"/>
  <c r="AT281" i="49"/>
  <c r="AO282" i="49"/>
  <c r="AP282" i="49"/>
  <c r="AQ282" i="49"/>
  <c r="AR282" i="49"/>
  <c r="AS282" i="49"/>
  <c r="AT282" i="49"/>
  <c r="AO283" i="49"/>
  <c r="AP283" i="49"/>
  <c r="AQ283" i="49"/>
  <c r="AR283" i="49"/>
  <c r="AS283" i="49"/>
  <c r="AT283" i="49"/>
  <c r="AO284" i="49"/>
  <c r="AP284" i="49"/>
  <c r="AQ284" i="49"/>
  <c r="AR284" i="49"/>
  <c r="AS284" i="49"/>
  <c r="AT284" i="49"/>
  <c r="AO285" i="49"/>
  <c r="AP285" i="49"/>
  <c r="AQ285" i="49"/>
  <c r="AR285" i="49"/>
  <c r="AS285" i="49"/>
  <c r="AT285" i="49"/>
  <c r="AO286" i="49"/>
  <c r="AP286" i="49"/>
  <c r="AQ286" i="49"/>
  <c r="AR286" i="49"/>
  <c r="AS286" i="49"/>
  <c r="AT286" i="49"/>
  <c r="AO287" i="49"/>
  <c r="AP287" i="49"/>
  <c r="AQ287" i="49"/>
  <c r="AR287" i="49"/>
  <c r="AS287" i="49"/>
  <c r="AT287" i="49"/>
  <c r="AO288" i="49"/>
  <c r="AP288" i="49"/>
  <c r="AQ288" i="49"/>
  <c r="AR288" i="49"/>
  <c r="AS288" i="49"/>
  <c r="AT288" i="49"/>
  <c r="AO289" i="49"/>
  <c r="AP289" i="49"/>
  <c r="AQ289" i="49"/>
  <c r="AR289" i="49"/>
  <c r="AS289" i="49"/>
  <c r="AT289" i="49"/>
  <c r="AO290" i="49"/>
  <c r="AP290" i="49"/>
  <c r="AQ290" i="49"/>
  <c r="AR290" i="49"/>
  <c r="AS290" i="49"/>
  <c r="AT290" i="49"/>
  <c r="AO291" i="49"/>
  <c r="AP291" i="49"/>
  <c r="AQ291" i="49"/>
  <c r="AR291" i="49"/>
  <c r="AS291" i="49"/>
  <c r="AT291" i="49"/>
  <c r="AO292" i="49"/>
  <c r="AP292" i="49"/>
  <c r="AQ292" i="49"/>
  <c r="AR292" i="49"/>
  <c r="AS292" i="49"/>
  <c r="AT292" i="49"/>
  <c r="AO293" i="49"/>
  <c r="AP293" i="49"/>
  <c r="AQ293" i="49"/>
  <c r="AR293" i="49"/>
  <c r="AS293" i="49"/>
  <c r="AT293" i="49"/>
  <c r="AO294" i="49"/>
  <c r="AP294" i="49"/>
  <c r="AQ294" i="49"/>
  <c r="AR294" i="49"/>
  <c r="AS294" i="49"/>
  <c r="AT294" i="49"/>
  <c r="AO295" i="49"/>
  <c r="AP295" i="49"/>
  <c r="AQ295" i="49"/>
  <c r="AR295" i="49"/>
  <c r="AS295" i="49"/>
  <c r="AT295" i="49"/>
  <c r="AO296" i="49"/>
  <c r="AP296" i="49"/>
  <c r="AQ296" i="49"/>
  <c r="AR296" i="49"/>
  <c r="AS296" i="49"/>
  <c r="AT296" i="49"/>
  <c r="AO297" i="49"/>
  <c r="AP297" i="49"/>
  <c r="AQ297" i="49"/>
  <c r="AR297" i="49"/>
  <c r="AS297" i="49"/>
  <c r="AT297" i="49"/>
  <c r="AO298" i="49"/>
  <c r="AP298" i="49"/>
  <c r="AQ298" i="49"/>
  <c r="AR298" i="49"/>
  <c r="AS298" i="49"/>
  <c r="AT298" i="49"/>
  <c r="AO299" i="49"/>
  <c r="AP299" i="49"/>
  <c r="AQ299" i="49"/>
  <c r="AR299" i="49"/>
  <c r="AS299" i="49"/>
  <c r="AT299" i="49"/>
  <c r="AO300" i="49"/>
  <c r="AP300" i="49"/>
  <c r="AQ300" i="49"/>
  <c r="AR300" i="49"/>
  <c r="AS300" i="49"/>
  <c r="AT300" i="49"/>
  <c r="AO301" i="49"/>
  <c r="AP301" i="49"/>
  <c r="AQ301" i="49"/>
  <c r="AR301" i="49"/>
  <c r="AS301" i="49"/>
  <c r="AT301" i="49"/>
  <c r="AO302" i="49"/>
  <c r="AP302" i="49"/>
  <c r="AQ302" i="49"/>
  <c r="AR302" i="49"/>
  <c r="AS302" i="49"/>
  <c r="AT302" i="49"/>
  <c r="AO303" i="49"/>
  <c r="AP303" i="49"/>
  <c r="AQ303" i="49"/>
  <c r="AR303" i="49"/>
  <c r="AS303" i="49"/>
  <c r="AT303" i="49"/>
  <c r="AO304" i="49"/>
  <c r="AP304" i="49"/>
  <c r="AQ304" i="49"/>
  <c r="AR304" i="49"/>
  <c r="AS304" i="49"/>
  <c r="AT304" i="49"/>
  <c r="AO305" i="49"/>
  <c r="AP305" i="49"/>
  <c r="AQ305" i="49"/>
  <c r="AR305" i="49"/>
  <c r="AS305" i="49"/>
  <c r="AT305" i="49"/>
  <c r="AO306" i="49"/>
  <c r="AP306" i="49"/>
  <c r="AQ306" i="49"/>
  <c r="AR306" i="49"/>
  <c r="AS306" i="49"/>
  <c r="AT306" i="49"/>
  <c r="AO307" i="49"/>
  <c r="AP307" i="49"/>
  <c r="AQ307" i="49"/>
  <c r="AR307" i="49"/>
  <c r="AS307" i="49"/>
  <c r="AT307" i="49"/>
  <c r="AO308" i="49"/>
  <c r="AP308" i="49"/>
  <c r="AQ308" i="49"/>
  <c r="AR308" i="49"/>
  <c r="AS308" i="49"/>
  <c r="AT308" i="49"/>
  <c r="AO309" i="49"/>
  <c r="AP309" i="49"/>
  <c r="AQ309" i="49"/>
  <c r="AR309" i="49"/>
  <c r="AS309" i="49"/>
  <c r="AT309" i="49"/>
  <c r="AO310" i="49"/>
  <c r="AP310" i="49"/>
  <c r="AQ310" i="49"/>
  <c r="AR310" i="49"/>
  <c r="AS310" i="49"/>
  <c r="AT310" i="49"/>
  <c r="AO311" i="49"/>
  <c r="AP311" i="49"/>
  <c r="AQ311" i="49"/>
  <c r="AR311" i="49"/>
  <c r="AS311" i="49"/>
  <c r="AT311" i="49"/>
  <c r="AO312" i="49"/>
  <c r="AP312" i="49"/>
  <c r="AQ312" i="49"/>
  <c r="AR312" i="49"/>
  <c r="AS312" i="49"/>
  <c r="AT312" i="49"/>
  <c r="AO313" i="49"/>
  <c r="AP313" i="49"/>
  <c r="AQ313" i="49"/>
  <c r="AR313" i="49"/>
  <c r="AS313" i="49"/>
  <c r="AT313" i="49"/>
  <c r="AO314" i="49"/>
  <c r="AP314" i="49"/>
  <c r="AQ314" i="49"/>
  <c r="AR314" i="49"/>
  <c r="AS314" i="49"/>
  <c r="AT314" i="49"/>
  <c r="AO315" i="49"/>
  <c r="AP315" i="49"/>
  <c r="AQ315" i="49"/>
  <c r="AR315" i="49"/>
  <c r="AS315" i="49"/>
  <c r="AT315" i="49"/>
  <c r="AO316" i="49"/>
  <c r="AP316" i="49"/>
  <c r="AQ316" i="49"/>
  <c r="AR316" i="49"/>
  <c r="AS316" i="49"/>
  <c r="AT316" i="49"/>
  <c r="AO317" i="49"/>
  <c r="AP317" i="49"/>
  <c r="AQ317" i="49"/>
  <c r="AR317" i="49"/>
  <c r="AS317" i="49"/>
  <c r="AT317" i="49"/>
  <c r="AO318" i="49"/>
  <c r="AP318" i="49"/>
  <c r="AQ318" i="49"/>
  <c r="AR318" i="49"/>
  <c r="AS318" i="49"/>
  <c r="AT318" i="49"/>
  <c r="AO319" i="49"/>
  <c r="AP319" i="49"/>
  <c r="AQ319" i="49"/>
  <c r="AR319" i="49"/>
  <c r="AS319" i="49"/>
  <c r="AT319" i="49"/>
  <c r="AO320" i="49"/>
  <c r="AP320" i="49"/>
  <c r="AQ320" i="49"/>
  <c r="AR320" i="49"/>
  <c r="AS320" i="49"/>
  <c r="AT320" i="49"/>
  <c r="AO321" i="49"/>
  <c r="AP321" i="49"/>
  <c r="AQ321" i="49"/>
  <c r="AR321" i="49"/>
  <c r="AS321" i="49"/>
  <c r="AT321" i="49"/>
  <c r="AO322" i="49"/>
  <c r="AP322" i="49"/>
  <c r="AQ322" i="49"/>
  <c r="AR322" i="49"/>
  <c r="AS322" i="49"/>
  <c r="AT322" i="49"/>
  <c r="AO323" i="49"/>
  <c r="AP323" i="49"/>
  <c r="AQ323" i="49"/>
  <c r="AR323" i="49"/>
  <c r="AS323" i="49"/>
  <c r="AT323" i="49"/>
  <c r="AO324" i="49"/>
  <c r="AP324" i="49"/>
  <c r="AQ324" i="49"/>
  <c r="AR324" i="49"/>
  <c r="AS324" i="49"/>
  <c r="AT324" i="49"/>
  <c r="AO325" i="49"/>
  <c r="AP325" i="49"/>
  <c r="AQ325" i="49"/>
  <c r="AR325" i="49"/>
  <c r="AS325" i="49"/>
  <c r="AT325" i="49"/>
  <c r="AO326" i="49"/>
  <c r="AP326" i="49"/>
  <c r="AQ326" i="49"/>
  <c r="AR326" i="49"/>
  <c r="AS326" i="49"/>
  <c r="AT326" i="49"/>
  <c r="AO327" i="49"/>
  <c r="AP327" i="49"/>
  <c r="AQ327" i="49"/>
  <c r="AR327" i="49"/>
  <c r="AS327" i="49"/>
  <c r="AT327" i="49"/>
  <c r="AO328" i="49"/>
  <c r="AP328" i="49"/>
  <c r="AQ328" i="49"/>
  <c r="AR328" i="49"/>
  <c r="AS328" i="49"/>
  <c r="AT328" i="49"/>
  <c r="AO329" i="49"/>
  <c r="AP329" i="49"/>
  <c r="AQ329" i="49"/>
  <c r="AR329" i="49"/>
  <c r="AS329" i="49"/>
  <c r="AT329" i="49"/>
  <c r="AO330" i="49"/>
  <c r="AP330" i="49"/>
  <c r="AQ330" i="49"/>
  <c r="AR330" i="49"/>
  <c r="AS330" i="49"/>
  <c r="AT330" i="49"/>
  <c r="AO331" i="49"/>
  <c r="AP331" i="49"/>
  <c r="AQ331" i="49"/>
  <c r="AR331" i="49"/>
  <c r="AS331" i="49"/>
  <c r="AT331" i="49"/>
  <c r="AO332" i="49"/>
  <c r="AP332" i="49"/>
  <c r="AQ332" i="49"/>
  <c r="AR332" i="49"/>
  <c r="AS332" i="49"/>
  <c r="AT332" i="49"/>
  <c r="AO333" i="49"/>
  <c r="AP333" i="49"/>
  <c r="AQ333" i="49"/>
  <c r="AR333" i="49"/>
  <c r="AS333" i="49"/>
  <c r="AT333" i="49"/>
  <c r="AO334" i="49"/>
  <c r="AP334" i="49"/>
  <c r="AQ334" i="49"/>
  <c r="AR334" i="49"/>
  <c r="AS334" i="49"/>
  <c r="AT334" i="49"/>
  <c r="AO335" i="49"/>
  <c r="AP335" i="49"/>
  <c r="AQ335" i="49"/>
  <c r="AR335" i="49"/>
  <c r="AS335" i="49"/>
  <c r="AT335" i="49"/>
  <c r="AO336" i="49"/>
  <c r="AP336" i="49"/>
  <c r="AQ336" i="49"/>
  <c r="AR336" i="49"/>
  <c r="AS336" i="49"/>
  <c r="AT336" i="49"/>
  <c r="AO337" i="49"/>
  <c r="AP337" i="49"/>
  <c r="AQ337" i="49"/>
  <c r="AR337" i="49"/>
  <c r="AS337" i="49"/>
  <c r="AT337" i="49"/>
  <c r="AO338" i="49"/>
  <c r="AP338" i="49"/>
  <c r="AQ338" i="49"/>
  <c r="AR338" i="49"/>
  <c r="AS338" i="49"/>
  <c r="AT338" i="49"/>
  <c r="AO339" i="49"/>
  <c r="AP339" i="49"/>
  <c r="AQ339" i="49"/>
  <c r="AR339" i="49"/>
  <c r="AS339" i="49"/>
  <c r="AT339" i="49"/>
  <c r="AO340" i="49"/>
  <c r="AP340" i="49"/>
  <c r="AQ340" i="49"/>
  <c r="AR340" i="49"/>
  <c r="AS340" i="49"/>
  <c r="AT340" i="49"/>
  <c r="AO341" i="49"/>
  <c r="AP341" i="49"/>
  <c r="AQ341" i="49"/>
  <c r="AR341" i="49"/>
  <c r="AS341" i="49"/>
  <c r="AT341" i="49"/>
  <c r="AO342" i="49"/>
  <c r="AP342" i="49"/>
  <c r="AQ342" i="49"/>
  <c r="AR342" i="49"/>
  <c r="AS342" i="49"/>
  <c r="AT342" i="49"/>
  <c r="AO343" i="49"/>
  <c r="AP343" i="49"/>
  <c r="AQ343" i="49"/>
  <c r="AR343" i="49"/>
  <c r="AS343" i="49"/>
  <c r="AT343" i="49"/>
  <c r="AO344" i="49"/>
  <c r="AP344" i="49"/>
  <c r="AQ344" i="49"/>
  <c r="AR344" i="49"/>
  <c r="AS344" i="49"/>
  <c r="AT344" i="49"/>
  <c r="AO345" i="49"/>
  <c r="AP345" i="49"/>
  <c r="AQ345" i="49"/>
  <c r="AR345" i="49"/>
  <c r="AS345" i="49"/>
  <c r="AT345" i="49"/>
  <c r="AO346" i="49"/>
  <c r="AP346" i="49"/>
  <c r="AQ346" i="49"/>
  <c r="AR346" i="49"/>
  <c r="AS346" i="49"/>
  <c r="AT346" i="49"/>
  <c r="AO347" i="49"/>
  <c r="AP347" i="49"/>
  <c r="AQ347" i="49"/>
  <c r="AR347" i="49"/>
  <c r="AS347" i="49"/>
  <c r="AT347" i="49"/>
  <c r="AO348" i="49"/>
  <c r="AP348" i="49"/>
  <c r="AQ348" i="49"/>
  <c r="AR348" i="49"/>
  <c r="AS348" i="49"/>
  <c r="AT348" i="49"/>
  <c r="AO349" i="49"/>
  <c r="AP349" i="49"/>
  <c r="AQ349" i="49"/>
  <c r="AR349" i="49"/>
  <c r="AS349" i="49"/>
  <c r="AT349" i="49"/>
  <c r="AO350" i="49"/>
  <c r="AP350" i="49"/>
  <c r="AQ350" i="49"/>
  <c r="AR350" i="49"/>
  <c r="AS350" i="49"/>
  <c r="AT350" i="49"/>
  <c r="AO351" i="49"/>
  <c r="AP351" i="49"/>
  <c r="AQ351" i="49"/>
  <c r="AR351" i="49"/>
  <c r="AS351" i="49"/>
  <c r="AT351" i="49"/>
  <c r="AO352" i="49"/>
  <c r="AP352" i="49"/>
  <c r="AQ352" i="49"/>
  <c r="AR352" i="49"/>
  <c r="AS352" i="49"/>
  <c r="AT352" i="49"/>
  <c r="AO353" i="49"/>
  <c r="AP353" i="49"/>
  <c r="AQ353" i="49"/>
  <c r="AR353" i="49"/>
  <c r="AS353" i="49"/>
  <c r="AT353" i="49"/>
  <c r="AO354" i="49"/>
  <c r="AP354" i="49"/>
  <c r="AQ354" i="49"/>
  <c r="AR354" i="49"/>
  <c r="AS354" i="49"/>
  <c r="AT354" i="49"/>
  <c r="AO355" i="49"/>
  <c r="AP355" i="49"/>
  <c r="AQ355" i="49"/>
  <c r="AR355" i="49"/>
  <c r="AS355" i="49"/>
  <c r="AT355" i="49"/>
  <c r="AO356" i="49"/>
  <c r="AP356" i="49"/>
  <c r="AQ356" i="49"/>
  <c r="AR356" i="49"/>
  <c r="AS356" i="49"/>
  <c r="AT356" i="49"/>
  <c r="AO357" i="49"/>
  <c r="AP357" i="49"/>
  <c r="AQ357" i="49"/>
  <c r="AR357" i="49"/>
  <c r="AS357" i="49"/>
  <c r="AT357" i="49"/>
  <c r="AO358" i="49"/>
  <c r="AP358" i="49"/>
  <c r="AQ358" i="49"/>
  <c r="AR358" i="49"/>
  <c r="AS358" i="49"/>
  <c r="AT358" i="49"/>
  <c r="AO359" i="49"/>
  <c r="AP359" i="49"/>
  <c r="AQ359" i="49"/>
  <c r="AR359" i="49"/>
  <c r="AS359" i="49"/>
  <c r="AT359" i="49"/>
  <c r="AO360" i="49"/>
  <c r="AP360" i="49"/>
  <c r="AQ360" i="49"/>
  <c r="AR360" i="49"/>
  <c r="AS360" i="49"/>
  <c r="AT360" i="49"/>
  <c r="AO361" i="49"/>
  <c r="AP361" i="49"/>
  <c r="AQ361" i="49"/>
  <c r="AR361" i="49"/>
  <c r="AS361" i="49"/>
  <c r="AT361" i="49"/>
  <c r="AO362" i="49"/>
  <c r="AP362" i="49"/>
  <c r="AQ362" i="49"/>
  <c r="AR362" i="49"/>
  <c r="AS362" i="49"/>
  <c r="AT362" i="49"/>
  <c r="AO363" i="49"/>
  <c r="AP363" i="49"/>
  <c r="AQ363" i="49"/>
  <c r="AR363" i="49"/>
  <c r="AS363" i="49"/>
  <c r="AT363" i="49"/>
  <c r="AO364" i="49"/>
  <c r="AP364" i="49"/>
  <c r="AQ364" i="49"/>
  <c r="AR364" i="49"/>
  <c r="AS364" i="49"/>
  <c r="AT364" i="49"/>
  <c r="AO365" i="49"/>
  <c r="AP365" i="49"/>
  <c r="AQ365" i="49"/>
  <c r="AR365" i="49"/>
  <c r="AS365" i="49"/>
  <c r="AT365" i="49"/>
  <c r="AO366" i="49"/>
  <c r="AP366" i="49"/>
  <c r="AQ366" i="49"/>
  <c r="AR366" i="49"/>
  <c r="AS366" i="49"/>
  <c r="AT366" i="49"/>
  <c r="AO367" i="49"/>
  <c r="AP367" i="49"/>
  <c r="AQ367" i="49"/>
  <c r="AR367" i="49"/>
  <c r="AS367" i="49"/>
  <c r="AT367" i="49"/>
  <c r="AO368" i="49"/>
  <c r="AP368" i="49"/>
  <c r="AQ368" i="49"/>
  <c r="AR368" i="49"/>
  <c r="AS368" i="49"/>
  <c r="AT368" i="49"/>
  <c r="AO369" i="49"/>
  <c r="AP369" i="49"/>
  <c r="AQ369" i="49"/>
  <c r="AR369" i="49"/>
  <c r="AS369" i="49"/>
  <c r="AT369" i="49"/>
  <c r="AO370" i="49"/>
  <c r="AP370" i="49"/>
  <c r="AQ370" i="49"/>
  <c r="AR370" i="49"/>
  <c r="AS370" i="49"/>
  <c r="AT370" i="49"/>
  <c r="AO371" i="49"/>
  <c r="AP371" i="49"/>
  <c r="AQ371" i="49"/>
  <c r="AR371" i="49"/>
  <c r="AS371" i="49"/>
  <c r="AT371" i="49"/>
  <c r="AO372" i="49"/>
  <c r="AP372" i="49"/>
  <c r="AQ372" i="49"/>
  <c r="AR372" i="49"/>
  <c r="AS372" i="49"/>
  <c r="AT372" i="49"/>
  <c r="AO373" i="49"/>
  <c r="AP373" i="49"/>
  <c r="AQ373" i="49"/>
  <c r="AR373" i="49"/>
  <c r="AS373" i="49"/>
  <c r="AT373" i="49"/>
  <c r="AO374" i="49"/>
  <c r="AP374" i="49"/>
  <c r="AQ374" i="49"/>
  <c r="AR374" i="49"/>
  <c r="AS374" i="49"/>
  <c r="AT374" i="49"/>
  <c r="AO375" i="49"/>
  <c r="AP375" i="49"/>
  <c r="AQ375" i="49"/>
  <c r="AR375" i="49"/>
  <c r="AS375" i="49"/>
  <c r="AT375" i="49"/>
  <c r="AO376" i="49"/>
  <c r="AP376" i="49"/>
  <c r="AQ376" i="49"/>
  <c r="AR376" i="49"/>
  <c r="AS376" i="49"/>
  <c r="AT376" i="49"/>
  <c r="AO377" i="49"/>
  <c r="AP377" i="49"/>
  <c r="AQ377" i="49"/>
  <c r="AR377" i="49"/>
  <c r="AS377" i="49"/>
  <c r="AT377" i="49"/>
  <c r="AO378" i="49"/>
  <c r="AP378" i="49"/>
  <c r="AQ378" i="49"/>
  <c r="AR378" i="49"/>
  <c r="AS378" i="49"/>
  <c r="AT378" i="49"/>
  <c r="AO379" i="49"/>
  <c r="AP379" i="49"/>
  <c r="AQ379" i="49"/>
  <c r="AR379" i="49"/>
  <c r="AS379" i="49"/>
  <c r="AT379" i="49"/>
  <c r="AO380" i="49"/>
  <c r="AP380" i="49"/>
  <c r="AQ380" i="49"/>
  <c r="AR380" i="49"/>
  <c r="AS380" i="49"/>
  <c r="AT380" i="49"/>
  <c r="AO381" i="49"/>
  <c r="AP381" i="49"/>
  <c r="AQ381" i="49"/>
  <c r="AR381" i="49"/>
  <c r="AS381" i="49"/>
  <c r="AT381" i="49"/>
  <c r="AO382" i="49"/>
  <c r="AP382" i="49"/>
  <c r="AQ382" i="49"/>
  <c r="AR382" i="49"/>
  <c r="AS382" i="49"/>
  <c r="AT382" i="49"/>
  <c r="AO383" i="49"/>
  <c r="AP383" i="49"/>
  <c r="AQ383" i="49"/>
  <c r="AR383" i="49"/>
  <c r="AS383" i="49"/>
  <c r="AT383" i="49"/>
  <c r="AO384" i="49"/>
  <c r="AP384" i="49"/>
  <c r="AQ384" i="49"/>
  <c r="AR384" i="49"/>
  <c r="AS384" i="49"/>
  <c r="AT384" i="49"/>
  <c r="AO385" i="49"/>
  <c r="AP385" i="49"/>
  <c r="AQ385" i="49"/>
  <c r="AR385" i="49"/>
  <c r="AS385" i="49"/>
  <c r="AT385" i="49"/>
  <c r="AO386" i="49"/>
  <c r="AP386" i="49"/>
  <c r="AQ386" i="49"/>
  <c r="AR386" i="49"/>
  <c r="AS386" i="49"/>
  <c r="AT386" i="49"/>
  <c r="AO387" i="49"/>
  <c r="AP387" i="49"/>
  <c r="AQ387" i="49"/>
  <c r="AR387" i="49"/>
  <c r="AS387" i="49"/>
  <c r="AT387" i="49"/>
  <c r="AO388" i="49"/>
  <c r="AP388" i="49"/>
  <c r="AQ388" i="49"/>
  <c r="AR388" i="49"/>
  <c r="AS388" i="49"/>
  <c r="AT388" i="49"/>
  <c r="AO389" i="49"/>
  <c r="AP389" i="49"/>
  <c r="AQ389" i="49"/>
  <c r="AR389" i="49"/>
  <c r="AS389" i="49"/>
  <c r="AT389" i="49"/>
  <c r="AO390" i="49"/>
  <c r="AP390" i="49"/>
  <c r="AQ390" i="49"/>
  <c r="AR390" i="49"/>
  <c r="AS390" i="49"/>
  <c r="AT390" i="49"/>
  <c r="AO391" i="49"/>
  <c r="AP391" i="49"/>
  <c r="AQ391" i="49"/>
  <c r="AR391" i="49"/>
  <c r="AS391" i="49"/>
  <c r="AT391" i="49"/>
  <c r="AO392" i="49"/>
  <c r="AP392" i="49"/>
  <c r="AQ392" i="49"/>
  <c r="AR392" i="49"/>
  <c r="AS392" i="49"/>
  <c r="AT392" i="49"/>
  <c r="AO393" i="49"/>
  <c r="AP393" i="49"/>
  <c r="AQ393" i="49"/>
  <c r="AR393" i="49"/>
  <c r="AS393" i="49"/>
  <c r="AT393" i="49"/>
  <c r="AO394" i="49"/>
  <c r="AP394" i="49"/>
  <c r="AQ394" i="49"/>
  <c r="AR394" i="49"/>
  <c r="AS394" i="49"/>
  <c r="AT394" i="49"/>
  <c r="AO395" i="49"/>
  <c r="AP395" i="49"/>
  <c r="AQ395" i="49"/>
  <c r="AR395" i="49"/>
  <c r="AS395" i="49"/>
  <c r="AT395" i="49"/>
  <c r="AO396" i="49"/>
  <c r="AP396" i="49"/>
  <c r="AQ396" i="49"/>
  <c r="AR396" i="49"/>
  <c r="AS396" i="49"/>
  <c r="AT396" i="49"/>
  <c r="AO397" i="49"/>
  <c r="AP397" i="49"/>
  <c r="AQ397" i="49"/>
  <c r="AR397" i="49"/>
  <c r="AS397" i="49"/>
  <c r="AT397" i="49"/>
  <c r="AO398" i="49"/>
  <c r="AP398" i="49"/>
  <c r="AQ398" i="49"/>
  <c r="AR398" i="49"/>
  <c r="AS398" i="49"/>
  <c r="AT398" i="49"/>
  <c r="AO399" i="49"/>
  <c r="AP399" i="49"/>
  <c r="AQ399" i="49"/>
  <c r="AR399" i="49"/>
  <c r="AS399" i="49"/>
  <c r="AT399" i="49"/>
  <c r="AO400" i="49"/>
  <c r="AP400" i="49"/>
  <c r="AQ400" i="49"/>
  <c r="AR400" i="49"/>
  <c r="AS400" i="49"/>
  <c r="AT400" i="49"/>
  <c r="AO401" i="49"/>
  <c r="AP401" i="49"/>
  <c r="AQ401" i="49"/>
  <c r="AR401" i="49"/>
  <c r="AS401" i="49"/>
  <c r="AT401" i="49"/>
  <c r="AO402" i="49"/>
  <c r="AP402" i="49"/>
  <c r="AQ402" i="49"/>
  <c r="AR402" i="49"/>
  <c r="AS402" i="49"/>
  <c r="AT402" i="49"/>
  <c r="AO403" i="49"/>
  <c r="AP403" i="49"/>
  <c r="AQ403" i="49"/>
  <c r="AR403" i="49"/>
  <c r="AS403" i="49"/>
  <c r="AT403" i="49"/>
  <c r="AO404" i="49"/>
  <c r="AP404" i="49"/>
  <c r="AQ404" i="49"/>
  <c r="AR404" i="49"/>
  <c r="AS404" i="49"/>
  <c r="AT404" i="49"/>
  <c r="AO405" i="49"/>
  <c r="AP405" i="49"/>
  <c r="AQ405" i="49"/>
  <c r="AR405" i="49"/>
  <c r="AS405" i="49"/>
  <c r="AT405" i="49"/>
  <c r="AO406" i="49"/>
  <c r="AP406" i="49"/>
  <c r="AQ406" i="49"/>
  <c r="AR406" i="49"/>
  <c r="AS406" i="49"/>
  <c r="AT406" i="49"/>
  <c r="AO407" i="49"/>
  <c r="AP407" i="49"/>
  <c r="AQ407" i="49"/>
  <c r="AR407" i="49"/>
  <c r="AS407" i="49"/>
  <c r="AT407" i="49"/>
  <c r="AO408" i="49"/>
  <c r="AP408" i="49"/>
  <c r="AQ408" i="49"/>
  <c r="AR408" i="49"/>
  <c r="AS408" i="49"/>
  <c r="AT408" i="49"/>
  <c r="AO409" i="49"/>
  <c r="AP409" i="49"/>
  <c r="AQ409" i="49"/>
  <c r="AR409" i="49"/>
  <c r="AS409" i="49"/>
  <c r="AT409" i="49"/>
  <c r="AO410" i="49"/>
  <c r="AP410" i="49"/>
  <c r="AQ410" i="49"/>
  <c r="AR410" i="49"/>
  <c r="AS410" i="49"/>
  <c r="AT410" i="49"/>
  <c r="AO411" i="49"/>
  <c r="AP411" i="49"/>
  <c r="AQ411" i="49"/>
  <c r="AR411" i="49"/>
  <c r="AS411" i="49"/>
  <c r="AT411" i="49"/>
  <c r="AO412" i="49"/>
  <c r="AP412" i="49"/>
  <c r="AQ412" i="49"/>
  <c r="AR412" i="49"/>
  <c r="AS412" i="49"/>
  <c r="AT412" i="49"/>
  <c r="AO413" i="49"/>
  <c r="AP413" i="49"/>
  <c r="AQ413" i="49"/>
  <c r="AR413" i="49"/>
  <c r="AS413" i="49"/>
  <c r="AT413" i="49"/>
  <c r="AO414" i="49"/>
  <c r="AP414" i="49"/>
  <c r="AQ414" i="49"/>
  <c r="AR414" i="49"/>
  <c r="AS414" i="49"/>
  <c r="AT414" i="49"/>
  <c r="AO415" i="49"/>
  <c r="AP415" i="49"/>
  <c r="AQ415" i="49"/>
  <c r="AR415" i="49"/>
  <c r="AS415" i="49"/>
  <c r="AT415" i="49"/>
  <c r="AO416" i="49"/>
  <c r="AP416" i="49"/>
  <c r="AQ416" i="49"/>
  <c r="AR416" i="49"/>
  <c r="AS416" i="49"/>
  <c r="AT416" i="49"/>
  <c r="AO417" i="49"/>
  <c r="AP417" i="49"/>
  <c r="AQ417" i="49"/>
  <c r="AR417" i="49"/>
  <c r="AS417" i="49"/>
  <c r="AT417" i="49"/>
  <c r="AO418" i="49"/>
  <c r="AP418" i="49"/>
  <c r="AQ418" i="49"/>
  <c r="AR418" i="49"/>
  <c r="AS418" i="49"/>
  <c r="AT418" i="49"/>
  <c r="AO419" i="49"/>
  <c r="AP419" i="49"/>
  <c r="AQ419" i="49"/>
  <c r="AR419" i="49"/>
  <c r="AS419" i="49"/>
  <c r="AT419" i="49"/>
  <c r="AO420" i="49"/>
  <c r="AP420" i="49"/>
  <c r="AQ420" i="49"/>
  <c r="AR420" i="49"/>
  <c r="AS420" i="49"/>
  <c r="AT420" i="49"/>
  <c r="AO421" i="49"/>
  <c r="AP421" i="49"/>
  <c r="AQ421" i="49"/>
  <c r="AR421" i="49"/>
  <c r="AS421" i="49"/>
  <c r="AT421" i="49"/>
  <c r="AO422" i="49"/>
  <c r="AP422" i="49"/>
  <c r="AQ422" i="49"/>
  <c r="AR422" i="49"/>
  <c r="AS422" i="49"/>
  <c r="AT422" i="49"/>
  <c r="AO423" i="49"/>
  <c r="AP423" i="49"/>
  <c r="AQ423" i="49"/>
  <c r="AR423" i="49"/>
  <c r="AS423" i="49"/>
  <c r="AT423" i="49"/>
  <c r="AO424" i="49"/>
  <c r="AP424" i="49"/>
  <c r="AQ424" i="49"/>
  <c r="AR424" i="49"/>
  <c r="AS424" i="49"/>
  <c r="AT424" i="49"/>
  <c r="AO425" i="49"/>
  <c r="AP425" i="49"/>
  <c r="AQ425" i="49"/>
  <c r="AR425" i="49"/>
  <c r="AS425" i="49"/>
  <c r="AT425" i="49"/>
  <c r="AO426" i="49"/>
  <c r="AP426" i="49"/>
  <c r="AQ426" i="49"/>
  <c r="AR426" i="49"/>
  <c r="AS426" i="49"/>
  <c r="AT426" i="49"/>
  <c r="AO427" i="49"/>
  <c r="AP427" i="49"/>
  <c r="AQ427" i="49"/>
  <c r="AR427" i="49"/>
  <c r="AS427" i="49"/>
  <c r="AT427" i="49"/>
  <c r="AO428" i="49"/>
  <c r="AP428" i="49"/>
  <c r="AQ428" i="49"/>
  <c r="AR428" i="49"/>
  <c r="AS428" i="49"/>
  <c r="AT428" i="49"/>
  <c r="AO429" i="49"/>
  <c r="AP429" i="49"/>
  <c r="AQ429" i="49"/>
  <c r="AR429" i="49"/>
  <c r="AS429" i="49"/>
  <c r="AT429" i="49"/>
  <c r="AO430" i="49"/>
  <c r="AP430" i="49"/>
  <c r="AQ430" i="49"/>
  <c r="AR430" i="49"/>
  <c r="AS430" i="49"/>
  <c r="AT430" i="49"/>
  <c r="AO431" i="49"/>
  <c r="AP431" i="49"/>
  <c r="AQ431" i="49"/>
  <c r="AR431" i="49"/>
  <c r="AS431" i="49"/>
  <c r="AT431" i="49"/>
  <c r="AO432" i="49"/>
  <c r="AP432" i="49"/>
  <c r="AQ432" i="49"/>
  <c r="AR432" i="49"/>
  <c r="AS432" i="49"/>
  <c r="AT432" i="49"/>
  <c r="AO433" i="49"/>
  <c r="AP433" i="49"/>
  <c r="AQ433" i="49"/>
  <c r="AR433" i="49"/>
  <c r="AS433" i="49"/>
  <c r="AT433" i="49"/>
  <c r="AO434" i="49"/>
  <c r="AP434" i="49"/>
  <c r="AQ434" i="49"/>
  <c r="AR434" i="49"/>
  <c r="AS434" i="49"/>
  <c r="AT434" i="49"/>
  <c r="AO435" i="49"/>
  <c r="AP435" i="49"/>
  <c r="AQ435" i="49"/>
  <c r="AR435" i="49"/>
  <c r="AS435" i="49"/>
  <c r="AT435" i="49"/>
  <c r="AO436" i="49"/>
  <c r="AP436" i="49"/>
  <c r="AQ436" i="49"/>
  <c r="AR436" i="49"/>
  <c r="AS436" i="49"/>
  <c r="AT436" i="49"/>
  <c r="AO437" i="49"/>
  <c r="AP437" i="49"/>
  <c r="AQ437" i="49"/>
  <c r="AR437" i="49"/>
  <c r="AS437" i="49"/>
  <c r="AT437" i="49"/>
  <c r="AO438" i="49"/>
  <c r="AP438" i="49"/>
  <c r="AQ438" i="49"/>
  <c r="AR438" i="49"/>
  <c r="AS438" i="49"/>
  <c r="AT438" i="49"/>
  <c r="AO439" i="49"/>
  <c r="AP439" i="49"/>
  <c r="AQ439" i="49"/>
  <c r="AR439" i="49"/>
  <c r="AS439" i="49"/>
  <c r="AT439" i="49"/>
  <c r="AO440" i="49"/>
  <c r="AP440" i="49"/>
  <c r="AQ440" i="49"/>
  <c r="AR440" i="49"/>
  <c r="AS440" i="49"/>
  <c r="AT440" i="49"/>
  <c r="AO441" i="49"/>
  <c r="AP441" i="49"/>
  <c r="AQ441" i="49"/>
  <c r="AR441" i="49"/>
  <c r="AS441" i="49"/>
  <c r="AT441" i="49"/>
  <c r="AO442" i="49"/>
  <c r="AP442" i="49"/>
  <c r="AQ442" i="49"/>
  <c r="AR442" i="49"/>
  <c r="AS442" i="49"/>
  <c r="AT442" i="49"/>
  <c r="AO443" i="49"/>
  <c r="AP443" i="49"/>
  <c r="AQ443" i="49"/>
  <c r="AR443" i="49"/>
  <c r="AS443" i="49"/>
  <c r="AT443" i="49"/>
  <c r="AO444" i="49"/>
  <c r="AP444" i="49"/>
  <c r="AQ444" i="49"/>
  <c r="AR444" i="49"/>
  <c r="AS444" i="49"/>
  <c r="AT444" i="49"/>
  <c r="AO445" i="49"/>
  <c r="AP445" i="49"/>
  <c r="AQ445" i="49"/>
  <c r="AR445" i="49"/>
  <c r="AS445" i="49"/>
  <c r="AT445" i="49"/>
  <c r="AO446" i="49"/>
  <c r="AP446" i="49"/>
  <c r="AQ446" i="49"/>
  <c r="AR446" i="49"/>
  <c r="AS446" i="49"/>
  <c r="AT446" i="49"/>
  <c r="AO447" i="49"/>
  <c r="AP447" i="49"/>
  <c r="AQ447" i="49"/>
  <c r="AR447" i="49"/>
  <c r="AS447" i="49"/>
  <c r="AT447" i="49"/>
  <c r="AO448" i="49"/>
  <c r="AP448" i="49"/>
  <c r="AQ448" i="49"/>
  <c r="AR448" i="49"/>
  <c r="AS448" i="49"/>
  <c r="AT448" i="49"/>
  <c r="AO449" i="49"/>
  <c r="AP449" i="49"/>
  <c r="AQ449" i="49"/>
  <c r="AR449" i="49"/>
  <c r="AS449" i="49"/>
  <c r="AT449" i="49"/>
  <c r="AO450" i="49"/>
  <c r="AP450" i="49"/>
  <c r="AQ450" i="49"/>
  <c r="AR450" i="49"/>
  <c r="AS450" i="49"/>
  <c r="AT450" i="49"/>
  <c r="AO451" i="49"/>
  <c r="AP451" i="49"/>
  <c r="AQ451" i="49"/>
  <c r="AR451" i="49"/>
  <c r="AS451" i="49"/>
  <c r="AT451" i="49"/>
  <c r="AO452" i="49"/>
  <c r="AP452" i="49"/>
  <c r="AQ452" i="49"/>
  <c r="AR452" i="49"/>
  <c r="AS452" i="49"/>
  <c r="AT452" i="49"/>
  <c r="AO453" i="49"/>
  <c r="AP453" i="49"/>
  <c r="AQ453" i="49"/>
  <c r="AR453" i="49"/>
  <c r="AS453" i="49"/>
  <c r="AT453" i="49"/>
  <c r="AO454" i="49"/>
  <c r="AP454" i="49"/>
  <c r="AQ454" i="49"/>
  <c r="AR454" i="49"/>
  <c r="AS454" i="49"/>
  <c r="AT454" i="49"/>
  <c r="AO455" i="49"/>
  <c r="AP455" i="49"/>
  <c r="AQ455" i="49"/>
  <c r="AR455" i="49"/>
  <c r="AS455" i="49"/>
  <c r="AT455" i="49"/>
  <c r="AO456" i="49"/>
  <c r="AP456" i="49"/>
  <c r="AQ456" i="49"/>
  <c r="AR456" i="49"/>
  <c r="AS456" i="49"/>
  <c r="AT456" i="49"/>
  <c r="AO457" i="49"/>
  <c r="AP457" i="49"/>
  <c r="AQ457" i="49"/>
  <c r="AR457" i="49"/>
  <c r="AS457" i="49"/>
  <c r="AT457" i="49"/>
  <c r="AO458" i="49"/>
  <c r="AP458" i="49"/>
  <c r="AQ458" i="49"/>
  <c r="AR458" i="49"/>
  <c r="AS458" i="49"/>
  <c r="AT458" i="49"/>
  <c r="AO459" i="49"/>
  <c r="AP459" i="49"/>
  <c r="AQ459" i="49"/>
  <c r="AR459" i="49"/>
  <c r="AS459" i="49"/>
  <c r="AT459" i="49"/>
  <c r="AO460" i="49"/>
  <c r="AP460" i="49"/>
  <c r="AQ460" i="49"/>
  <c r="AR460" i="49"/>
  <c r="AS460" i="49"/>
  <c r="AT460" i="49"/>
  <c r="AO461" i="49"/>
  <c r="AP461" i="49"/>
  <c r="AQ461" i="49"/>
  <c r="AR461" i="49"/>
  <c r="AS461" i="49"/>
  <c r="AT461" i="49"/>
  <c r="AO462" i="49"/>
  <c r="AP462" i="49"/>
  <c r="AQ462" i="49"/>
  <c r="AR462" i="49"/>
  <c r="AS462" i="49"/>
  <c r="AT462" i="49"/>
  <c r="AO463" i="49"/>
  <c r="AP463" i="49"/>
  <c r="AQ463" i="49"/>
  <c r="AR463" i="49"/>
  <c r="AS463" i="49"/>
  <c r="AT463" i="49"/>
  <c r="AO464" i="49"/>
  <c r="AP464" i="49"/>
  <c r="AQ464" i="49"/>
  <c r="AR464" i="49"/>
  <c r="AS464" i="49"/>
  <c r="AT464" i="49"/>
  <c r="AO465" i="49"/>
  <c r="AP465" i="49"/>
  <c r="AQ465" i="49"/>
  <c r="AR465" i="49"/>
  <c r="AS465" i="49"/>
  <c r="AT465" i="49"/>
  <c r="AO466" i="49"/>
  <c r="AP466" i="49"/>
  <c r="AQ466" i="49"/>
  <c r="AR466" i="49"/>
  <c r="AS466" i="49"/>
  <c r="AT466" i="49"/>
  <c r="AO467" i="49"/>
  <c r="AP467" i="49"/>
  <c r="AQ467" i="49"/>
  <c r="AR467" i="49"/>
  <c r="AS467" i="49"/>
  <c r="AT467" i="49"/>
  <c r="AO468" i="49"/>
  <c r="AP468" i="49"/>
  <c r="AQ468" i="49"/>
  <c r="AR468" i="49"/>
  <c r="AS468" i="49"/>
  <c r="AT468" i="49"/>
  <c r="AO469" i="49"/>
  <c r="AP469" i="49"/>
  <c r="AQ469" i="49"/>
  <c r="AR469" i="49"/>
  <c r="AS469" i="49"/>
  <c r="AT469" i="49"/>
  <c r="AO470" i="49"/>
  <c r="AP470" i="49"/>
  <c r="AQ470" i="49"/>
  <c r="AR470" i="49"/>
  <c r="AS470" i="49"/>
  <c r="AT470" i="49"/>
  <c r="AO471" i="49"/>
  <c r="AP471" i="49"/>
  <c r="AQ471" i="49"/>
  <c r="AR471" i="49"/>
  <c r="AS471" i="49"/>
  <c r="AT471" i="49"/>
  <c r="AO472" i="49"/>
  <c r="AP472" i="49"/>
  <c r="AQ472" i="49"/>
  <c r="AR472" i="49"/>
  <c r="AS472" i="49"/>
  <c r="AT472" i="49"/>
  <c r="AO473" i="49"/>
  <c r="AP473" i="49"/>
  <c r="AQ473" i="49"/>
  <c r="AR473" i="49"/>
  <c r="AS473" i="49"/>
  <c r="AT473" i="49"/>
  <c r="AO474" i="49"/>
  <c r="AP474" i="49"/>
  <c r="AQ474" i="49"/>
  <c r="AR474" i="49"/>
  <c r="AS474" i="49"/>
  <c r="AT474" i="49"/>
  <c r="AO475" i="49"/>
  <c r="AP475" i="49"/>
  <c r="AQ475" i="49"/>
  <c r="AR475" i="49"/>
  <c r="AS475" i="49"/>
  <c r="AT475" i="49"/>
  <c r="AO476" i="49"/>
  <c r="AP476" i="49"/>
  <c r="AQ476" i="49"/>
  <c r="AR476" i="49"/>
  <c r="AS476" i="49"/>
  <c r="AT476" i="49"/>
  <c r="AO477" i="49"/>
  <c r="AP477" i="49"/>
  <c r="AQ477" i="49"/>
  <c r="AR477" i="49"/>
  <c r="AS477" i="49"/>
  <c r="AT477" i="49"/>
  <c r="AO478" i="49"/>
  <c r="AP478" i="49"/>
  <c r="AQ478" i="49"/>
  <c r="AR478" i="49"/>
  <c r="AS478" i="49"/>
  <c r="AT478" i="49"/>
  <c r="AO479" i="49"/>
  <c r="AP479" i="49"/>
  <c r="AQ479" i="49"/>
  <c r="AR479" i="49"/>
  <c r="AS479" i="49"/>
  <c r="AT479" i="49"/>
  <c r="AO480" i="49"/>
  <c r="AP480" i="49"/>
  <c r="AQ480" i="49"/>
  <c r="AR480" i="49"/>
  <c r="AS480" i="49"/>
  <c r="AT480" i="49"/>
  <c r="AO481" i="49"/>
  <c r="AP481" i="49"/>
  <c r="AQ481" i="49"/>
  <c r="AR481" i="49"/>
  <c r="AS481" i="49"/>
  <c r="AT481" i="49"/>
  <c r="AO482" i="49"/>
  <c r="AP482" i="49"/>
  <c r="AQ482" i="49"/>
  <c r="AR482" i="49"/>
  <c r="AS482" i="49"/>
  <c r="AT482" i="49"/>
  <c r="AO483" i="49"/>
  <c r="AP483" i="49"/>
  <c r="AQ483" i="49"/>
  <c r="AR483" i="49"/>
  <c r="AS483" i="49"/>
  <c r="AT483" i="49"/>
  <c r="AO484" i="49"/>
  <c r="AP484" i="49"/>
  <c r="AQ484" i="49"/>
  <c r="AR484" i="49"/>
  <c r="AS484" i="49"/>
  <c r="AT484" i="49"/>
  <c r="AO485" i="49"/>
  <c r="AP485" i="49"/>
  <c r="AQ485" i="49"/>
  <c r="AR485" i="49"/>
  <c r="AS485" i="49"/>
  <c r="AT485" i="49"/>
  <c r="AO486" i="49"/>
  <c r="AP486" i="49"/>
  <c r="AQ486" i="49"/>
  <c r="AR486" i="49"/>
  <c r="AS486" i="49"/>
  <c r="AT486" i="49"/>
  <c r="AO487" i="49"/>
  <c r="AP487" i="49"/>
  <c r="AQ487" i="49"/>
  <c r="AR487" i="49"/>
  <c r="AS487" i="49"/>
  <c r="AT487" i="49"/>
  <c r="AO488" i="49"/>
  <c r="AP488" i="49"/>
  <c r="AQ488" i="49"/>
  <c r="AR488" i="49"/>
  <c r="AS488" i="49"/>
  <c r="AT488" i="49"/>
  <c r="AO489" i="49"/>
  <c r="AP489" i="49"/>
  <c r="AQ489" i="49"/>
  <c r="AR489" i="49"/>
  <c r="AS489" i="49"/>
  <c r="AT489" i="49"/>
  <c r="AO490" i="49"/>
  <c r="AP490" i="49"/>
  <c r="AQ490" i="49"/>
  <c r="AR490" i="49"/>
  <c r="AS490" i="49"/>
  <c r="AT490" i="49"/>
  <c r="AO491" i="49"/>
  <c r="AP491" i="49"/>
  <c r="AQ491" i="49"/>
  <c r="AR491" i="49"/>
  <c r="AS491" i="49"/>
  <c r="AT491" i="49"/>
  <c r="AO492" i="49"/>
  <c r="AP492" i="49"/>
  <c r="AQ492" i="49"/>
  <c r="AR492" i="49"/>
  <c r="AS492" i="49"/>
  <c r="AT492" i="49"/>
  <c r="AO493" i="49"/>
  <c r="AP493" i="49"/>
  <c r="AQ493" i="49"/>
  <c r="AR493" i="49"/>
  <c r="AS493" i="49"/>
  <c r="AT493" i="49"/>
  <c r="AO494" i="49"/>
  <c r="AP494" i="49"/>
  <c r="AQ494" i="49"/>
  <c r="AR494" i="49"/>
  <c r="AS494" i="49"/>
  <c r="AT494" i="49"/>
  <c r="AO495" i="49"/>
  <c r="AP495" i="49"/>
  <c r="AQ495" i="49"/>
  <c r="AR495" i="49"/>
  <c r="AS495" i="49"/>
  <c r="AT495" i="49"/>
  <c r="AO496" i="49"/>
  <c r="AP496" i="49"/>
  <c r="AQ496" i="49"/>
  <c r="AR496" i="49"/>
  <c r="AS496" i="49"/>
  <c r="AT496" i="49"/>
  <c r="AO497" i="49"/>
  <c r="AP497" i="49"/>
  <c r="AQ497" i="49"/>
  <c r="AR497" i="49"/>
  <c r="AS497" i="49"/>
  <c r="AT497" i="49"/>
  <c r="AO498" i="49"/>
  <c r="AP498" i="49"/>
  <c r="AQ498" i="49"/>
  <c r="AR498" i="49"/>
  <c r="AS498" i="49"/>
  <c r="AT498" i="49"/>
  <c r="AO499" i="49"/>
  <c r="AP499" i="49"/>
  <c r="AQ499" i="49"/>
  <c r="AR499" i="49"/>
  <c r="AS499" i="49"/>
  <c r="AT499" i="49"/>
  <c r="AO500" i="49"/>
  <c r="AP500" i="49"/>
  <c r="AQ500" i="49"/>
  <c r="AR500" i="49"/>
  <c r="AS500" i="49"/>
  <c r="AT500" i="49"/>
  <c r="AO501" i="49"/>
  <c r="AP501" i="49"/>
  <c r="AQ501" i="49"/>
  <c r="AR501" i="49"/>
  <c r="AS501" i="49"/>
  <c r="AT501" i="49"/>
  <c r="AO502" i="49"/>
  <c r="AP502" i="49"/>
  <c r="AQ502" i="49"/>
  <c r="AR502" i="49"/>
  <c r="AS502" i="49"/>
  <c r="AT502" i="49"/>
  <c r="AO503" i="49"/>
  <c r="AP503" i="49"/>
  <c r="AQ503" i="49"/>
  <c r="AR503" i="49"/>
  <c r="AS503" i="49"/>
  <c r="AT503" i="49"/>
  <c r="AO504" i="49"/>
  <c r="AP504" i="49"/>
  <c r="AQ504" i="49"/>
  <c r="AR504" i="49"/>
  <c r="AS504" i="49"/>
  <c r="AT504" i="49"/>
  <c r="AO505" i="49"/>
  <c r="AP505" i="49"/>
  <c r="AQ505" i="49"/>
  <c r="AR505" i="49"/>
  <c r="AS505" i="49"/>
  <c r="AT505" i="49"/>
  <c r="AO506" i="49"/>
  <c r="AP506" i="49"/>
  <c r="AQ506" i="49"/>
  <c r="AR506" i="49"/>
  <c r="AS506" i="49"/>
  <c r="AT506" i="49"/>
  <c r="AO507" i="49"/>
  <c r="AP507" i="49"/>
  <c r="AQ507" i="49"/>
  <c r="AR507" i="49"/>
  <c r="AS507" i="49"/>
  <c r="AT507" i="49"/>
  <c r="AO508" i="49"/>
  <c r="AP508" i="49"/>
  <c r="AQ508" i="49"/>
  <c r="AR508" i="49"/>
  <c r="AS508" i="49"/>
  <c r="AT508" i="49"/>
  <c r="AO509" i="49"/>
  <c r="AP509" i="49"/>
  <c r="AQ509" i="49"/>
  <c r="AR509" i="49"/>
  <c r="AS509" i="49"/>
  <c r="AT509" i="49"/>
  <c r="AO510" i="49"/>
  <c r="AP510" i="49"/>
  <c r="AQ510" i="49"/>
  <c r="AR510" i="49"/>
  <c r="AS510" i="49"/>
  <c r="AT510" i="49"/>
  <c r="AO511" i="49"/>
  <c r="AP511" i="49"/>
  <c r="AQ511" i="49"/>
  <c r="AR511" i="49"/>
  <c r="AS511" i="49"/>
  <c r="AT511" i="49"/>
  <c r="AO512" i="49"/>
  <c r="AP512" i="49"/>
  <c r="AQ512" i="49"/>
  <c r="AR512" i="49"/>
  <c r="AS512" i="49"/>
  <c r="AT512" i="49"/>
  <c r="AO513" i="49"/>
  <c r="AP513" i="49"/>
  <c r="AQ513" i="49"/>
  <c r="AR513" i="49"/>
  <c r="AS513" i="49"/>
  <c r="AT513" i="49"/>
  <c r="AO514" i="49"/>
  <c r="AP514" i="49"/>
  <c r="AQ514" i="49"/>
  <c r="AR514" i="49"/>
  <c r="AS514" i="49"/>
  <c r="AT514" i="49"/>
  <c r="AO515" i="49"/>
  <c r="AP515" i="49"/>
  <c r="AQ515" i="49"/>
  <c r="AR515" i="49"/>
  <c r="AS515" i="49"/>
  <c r="AT515" i="49"/>
  <c r="AO516" i="49"/>
  <c r="AP516" i="49"/>
  <c r="AQ516" i="49"/>
  <c r="AR516" i="49"/>
  <c r="AS516" i="49"/>
  <c r="AT516" i="49"/>
  <c r="AO517" i="49"/>
  <c r="AP517" i="49"/>
  <c r="AQ517" i="49"/>
  <c r="AR517" i="49"/>
  <c r="AS517" i="49"/>
  <c r="AT517" i="49"/>
  <c r="AO518" i="49"/>
  <c r="AP518" i="49"/>
  <c r="AQ518" i="49"/>
  <c r="AR518" i="49"/>
  <c r="AS518" i="49"/>
  <c r="AT518" i="49"/>
  <c r="AO519" i="49"/>
  <c r="AP519" i="49"/>
  <c r="AQ519" i="49"/>
  <c r="AR519" i="49"/>
  <c r="AS519" i="49"/>
  <c r="AT519" i="49"/>
  <c r="AO520" i="49"/>
  <c r="AP520" i="49"/>
  <c r="AQ520" i="49"/>
  <c r="AR520" i="49"/>
  <c r="AS520" i="49"/>
  <c r="AT520" i="49"/>
  <c r="AO521" i="49"/>
  <c r="AP521" i="49"/>
  <c r="AQ521" i="49"/>
  <c r="AR521" i="49"/>
  <c r="AS521" i="49"/>
  <c r="AT521" i="49"/>
  <c r="AO522" i="49"/>
  <c r="AP522" i="49"/>
  <c r="AQ522" i="49"/>
  <c r="AR522" i="49"/>
  <c r="AS522" i="49"/>
  <c r="AT522" i="49"/>
  <c r="AO523" i="49"/>
  <c r="AP523" i="49"/>
  <c r="AQ523" i="49"/>
  <c r="AR523" i="49"/>
  <c r="AS523" i="49"/>
  <c r="AT523" i="49"/>
  <c r="AO524" i="49"/>
  <c r="AP524" i="49"/>
  <c r="AQ524" i="49"/>
  <c r="AR524" i="49"/>
  <c r="AS524" i="49"/>
  <c r="AT524" i="49"/>
  <c r="AO525" i="49"/>
  <c r="AP525" i="49"/>
  <c r="AQ525" i="49"/>
  <c r="AR525" i="49"/>
  <c r="AS525" i="49"/>
  <c r="AT525" i="49"/>
  <c r="AO526" i="49"/>
  <c r="AP526" i="49"/>
  <c r="AQ526" i="49"/>
  <c r="AR526" i="49"/>
  <c r="AS526" i="49"/>
  <c r="AT526" i="49"/>
  <c r="AO527" i="49"/>
  <c r="AP527" i="49"/>
  <c r="AQ527" i="49"/>
  <c r="AR527" i="49"/>
  <c r="AS527" i="49"/>
  <c r="AT527" i="49"/>
  <c r="AO528" i="49"/>
  <c r="AP528" i="49"/>
  <c r="AQ528" i="49"/>
  <c r="AR528" i="49"/>
  <c r="AS528" i="49"/>
  <c r="AT528" i="49"/>
  <c r="AO529" i="49"/>
  <c r="AP529" i="49"/>
  <c r="AQ529" i="49"/>
  <c r="AR529" i="49"/>
  <c r="AS529" i="49"/>
  <c r="AT529" i="49"/>
  <c r="AO530" i="49"/>
  <c r="AP530" i="49"/>
  <c r="AQ530" i="49"/>
  <c r="AR530" i="49"/>
  <c r="AS530" i="49"/>
  <c r="AT530" i="49"/>
  <c r="AO531" i="49"/>
  <c r="AP531" i="49"/>
  <c r="AQ531" i="49"/>
  <c r="AR531" i="49"/>
  <c r="AS531" i="49"/>
  <c r="AT531" i="49"/>
  <c r="AO532" i="49"/>
  <c r="AP532" i="49"/>
  <c r="AQ532" i="49"/>
  <c r="AR532" i="49"/>
  <c r="AS532" i="49"/>
  <c r="AT532" i="49"/>
  <c r="AO533" i="49"/>
  <c r="AP533" i="49"/>
  <c r="AQ533" i="49"/>
  <c r="AR533" i="49"/>
  <c r="AS533" i="49"/>
  <c r="AT533" i="49"/>
  <c r="AO534" i="49"/>
  <c r="AP534" i="49"/>
  <c r="AQ534" i="49"/>
  <c r="AR534" i="49"/>
  <c r="AS534" i="49"/>
  <c r="AT534" i="49"/>
  <c r="AO535" i="49"/>
  <c r="AP535" i="49"/>
  <c r="AQ535" i="49"/>
  <c r="AR535" i="49"/>
  <c r="AS535" i="49"/>
  <c r="AT535" i="49"/>
  <c r="AO536" i="49"/>
  <c r="AP536" i="49"/>
  <c r="AQ536" i="49"/>
  <c r="AR536" i="49"/>
  <c r="AS536" i="49"/>
  <c r="AT536" i="49"/>
  <c r="AO537" i="49"/>
  <c r="AP537" i="49"/>
  <c r="AQ537" i="49"/>
  <c r="AR537" i="49"/>
  <c r="AS537" i="49"/>
  <c r="AT537" i="49"/>
  <c r="AO538" i="49"/>
  <c r="AP538" i="49"/>
  <c r="AQ538" i="49"/>
  <c r="AR538" i="49"/>
  <c r="AS538" i="49"/>
  <c r="AT538" i="49"/>
  <c r="AO539" i="49"/>
  <c r="AP539" i="49"/>
  <c r="AQ539" i="49"/>
  <c r="AR539" i="49"/>
  <c r="AS539" i="49"/>
  <c r="AT539" i="49"/>
  <c r="AO540" i="49"/>
  <c r="AP540" i="49"/>
  <c r="AQ540" i="49"/>
  <c r="AR540" i="49"/>
  <c r="AS540" i="49"/>
  <c r="AT540" i="49"/>
  <c r="AO541" i="49"/>
  <c r="AP541" i="49"/>
  <c r="AQ541" i="49"/>
  <c r="AR541" i="49"/>
  <c r="AS541" i="49"/>
  <c r="AT541" i="49"/>
  <c r="AO542" i="49"/>
  <c r="AP542" i="49"/>
  <c r="AQ542" i="49"/>
  <c r="AR542" i="49"/>
  <c r="AS542" i="49"/>
  <c r="AT542" i="49"/>
  <c r="AO543" i="49"/>
  <c r="AP543" i="49"/>
  <c r="AQ543" i="49"/>
  <c r="AR543" i="49"/>
  <c r="AS543" i="49"/>
  <c r="AT543" i="49"/>
  <c r="AO544" i="49"/>
  <c r="AP544" i="49"/>
  <c r="AQ544" i="49"/>
  <c r="AR544" i="49"/>
  <c r="AS544" i="49"/>
  <c r="AT544" i="49"/>
  <c r="AO545" i="49"/>
  <c r="AP545" i="49"/>
  <c r="AQ545" i="49"/>
  <c r="AR545" i="49"/>
  <c r="AS545" i="49"/>
  <c r="AT545" i="49"/>
  <c r="AO546" i="49"/>
  <c r="AP546" i="49"/>
  <c r="AQ546" i="49"/>
  <c r="AR546" i="49"/>
  <c r="AS546" i="49"/>
  <c r="AT546" i="49"/>
  <c r="AO547" i="49"/>
  <c r="AP547" i="49"/>
  <c r="AQ547" i="49"/>
  <c r="AR547" i="49"/>
  <c r="AS547" i="49"/>
  <c r="AT547" i="49"/>
  <c r="AO548" i="49"/>
  <c r="AP548" i="49"/>
  <c r="AQ548" i="49"/>
  <c r="AR548" i="49"/>
  <c r="AS548" i="49"/>
  <c r="AT548" i="49"/>
  <c r="AO549" i="49"/>
  <c r="AP549" i="49"/>
  <c r="AQ549" i="49"/>
  <c r="AR549" i="49"/>
  <c r="AS549" i="49"/>
  <c r="AT549" i="49"/>
  <c r="AO550" i="49"/>
  <c r="AP550" i="49"/>
  <c r="AQ550" i="49"/>
  <c r="AR550" i="49"/>
  <c r="AS550" i="49"/>
  <c r="AT550" i="49"/>
  <c r="AO551" i="49"/>
  <c r="AP551" i="49"/>
  <c r="AQ551" i="49"/>
  <c r="AR551" i="49"/>
  <c r="AS551" i="49"/>
  <c r="AT551" i="49"/>
  <c r="AO552" i="49"/>
  <c r="AP552" i="49"/>
  <c r="AQ552" i="49"/>
  <c r="AR552" i="49"/>
  <c r="AS552" i="49"/>
  <c r="AT552" i="49"/>
  <c r="AO553" i="49"/>
  <c r="AP553" i="49"/>
  <c r="AQ553" i="49"/>
  <c r="AR553" i="49"/>
  <c r="AS553" i="49"/>
  <c r="AT553" i="49"/>
  <c r="AO554" i="49"/>
  <c r="AP554" i="49"/>
  <c r="AQ554" i="49"/>
  <c r="AR554" i="49"/>
  <c r="AS554" i="49"/>
  <c r="AT554" i="49"/>
  <c r="AO555" i="49"/>
  <c r="AP555" i="49"/>
  <c r="AQ555" i="49"/>
  <c r="AR555" i="49"/>
  <c r="AS555" i="49"/>
  <c r="AT555" i="49"/>
  <c r="AO556" i="49"/>
  <c r="AP556" i="49"/>
  <c r="AQ556" i="49"/>
  <c r="AR556" i="49"/>
  <c r="AS556" i="49"/>
  <c r="AT556" i="49"/>
  <c r="AO557" i="49"/>
  <c r="AP557" i="49"/>
  <c r="AQ557" i="49"/>
  <c r="AR557" i="49"/>
  <c r="AS557" i="49"/>
  <c r="AT557" i="49"/>
  <c r="AO558" i="49"/>
  <c r="AP558" i="49"/>
  <c r="AQ558" i="49"/>
  <c r="AR558" i="49"/>
  <c r="AS558" i="49"/>
  <c r="AT558" i="49"/>
  <c r="AO559" i="49"/>
  <c r="AP559" i="49"/>
  <c r="AQ559" i="49"/>
  <c r="AR559" i="49"/>
  <c r="AS559" i="49"/>
  <c r="AT559" i="49"/>
  <c r="AO560" i="49"/>
  <c r="AP560" i="49"/>
  <c r="AQ560" i="49"/>
  <c r="AR560" i="49"/>
  <c r="AS560" i="49"/>
  <c r="AT560" i="49"/>
  <c r="AO561" i="49"/>
  <c r="AP561" i="49"/>
  <c r="AQ561" i="49"/>
  <c r="AR561" i="49"/>
  <c r="AS561" i="49"/>
  <c r="AT561" i="49"/>
  <c r="AO562" i="49"/>
  <c r="AP562" i="49"/>
  <c r="AQ562" i="49"/>
  <c r="AR562" i="49"/>
  <c r="AS562" i="49"/>
  <c r="AT562" i="49"/>
  <c r="AO563" i="49"/>
  <c r="AP563" i="49"/>
  <c r="AQ563" i="49"/>
  <c r="AR563" i="49"/>
  <c r="AS563" i="49"/>
  <c r="AT563" i="49"/>
  <c r="AO564" i="49"/>
  <c r="AP564" i="49"/>
  <c r="AQ564" i="49"/>
  <c r="AR564" i="49"/>
  <c r="AS564" i="49"/>
  <c r="AT564" i="49"/>
  <c r="AO565" i="49"/>
  <c r="AP565" i="49"/>
  <c r="AQ565" i="49"/>
  <c r="AR565" i="49"/>
  <c r="AS565" i="49"/>
  <c r="AT565" i="49"/>
  <c r="AO566" i="49"/>
  <c r="AP566" i="49"/>
  <c r="AQ566" i="49"/>
  <c r="AR566" i="49"/>
  <c r="AS566" i="49"/>
  <c r="AT566" i="49"/>
  <c r="AO567" i="49"/>
  <c r="AP567" i="49"/>
  <c r="AQ567" i="49"/>
  <c r="AR567" i="49"/>
  <c r="AS567" i="49"/>
  <c r="AT567" i="49"/>
  <c r="AO568" i="49"/>
  <c r="AP568" i="49"/>
  <c r="AQ568" i="49"/>
  <c r="AR568" i="49"/>
  <c r="AS568" i="49"/>
  <c r="AT568" i="49"/>
  <c r="AO569" i="49"/>
  <c r="AP569" i="49"/>
  <c r="AQ569" i="49"/>
  <c r="AR569" i="49"/>
  <c r="AS569" i="49"/>
  <c r="AT569" i="49"/>
  <c r="AO570" i="49"/>
  <c r="AP570" i="49"/>
  <c r="AQ570" i="49"/>
  <c r="AR570" i="49"/>
  <c r="AS570" i="49"/>
  <c r="AT570" i="49"/>
  <c r="AO571" i="49"/>
  <c r="AP571" i="49"/>
  <c r="AQ571" i="49"/>
  <c r="AR571" i="49"/>
  <c r="AS571" i="49"/>
  <c r="AT571" i="49"/>
  <c r="AO572" i="49"/>
  <c r="AP572" i="49"/>
  <c r="AQ572" i="49"/>
  <c r="AR572" i="49"/>
  <c r="AS572" i="49"/>
  <c r="AT572" i="49"/>
  <c r="AO573" i="49"/>
  <c r="AP573" i="49"/>
  <c r="AQ573" i="49"/>
  <c r="AR573" i="49"/>
  <c r="AS573" i="49"/>
  <c r="AT573" i="49"/>
  <c r="AO574" i="49"/>
  <c r="AP574" i="49"/>
  <c r="AQ574" i="49"/>
  <c r="AR574" i="49"/>
  <c r="AS574" i="49"/>
  <c r="AT574" i="49"/>
  <c r="AO575" i="49"/>
  <c r="AP575" i="49"/>
  <c r="AQ575" i="49"/>
  <c r="AR575" i="49"/>
  <c r="AS575" i="49"/>
  <c r="AT575" i="49"/>
  <c r="AO576" i="49"/>
  <c r="AP576" i="49"/>
  <c r="AQ576" i="49"/>
  <c r="AR576" i="49"/>
  <c r="AS576" i="49"/>
  <c r="AT576" i="49"/>
  <c r="AO577" i="49"/>
  <c r="AP577" i="49"/>
  <c r="AQ577" i="49"/>
  <c r="AR577" i="49"/>
  <c r="AS577" i="49"/>
  <c r="AT577" i="49"/>
  <c r="AO578" i="49"/>
  <c r="AP578" i="49"/>
  <c r="AQ578" i="49"/>
  <c r="AR578" i="49"/>
  <c r="AS578" i="49"/>
  <c r="AT578" i="49"/>
  <c r="AO579" i="49"/>
  <c r="AP579" i="49"/>
  <c r="AQ579" i="49"/>
  <c r="AR579" i="49"/>
  <c r="AS579" i="49"/>
  <c r="AT579" i="49"/>
  <c r="AO580" i="49"/>
  <c r="AP580" i="49"/>
  <c r="AQ580" i="49"/>
  <c r="AR580" i="49"/>
  <c r="AS580" i="49"/>
  <c r="AT580" i="49"/>
  <c r="AO581" i="49"/>
  <c r="AP581" i="49"/>
  <c r="AQ581" i="49"/>
  <c r="AR581" i="49"/>
  <c r="AS581" i="49"/>
  <c r="AT581" i="49"/>
  <c r="AO582" i="49"/>
  <c r="AP582" i="49"/>
  <c r="AQ582" i="49"/>
  <c r="AR582" i="49"/>
  <c r="AS582" i="49"/>
  <c r="AT582" i="49"/>
  <c r="AO583" i="49"/>
  <c r="AP583" i="49"/>
  <c r="AQ583" i="49"/>
  <c r="AR583" i="49"/>
  <c r="AS583" i="49"/>
  <c r="AT583" i="49"/>
  <c r="AO584" i="49"/>
  <c r="AP584" i="49"/>
  <c r="AQ584" i="49"/>
  <c r="AR584" i="49"/>
  <c r="AS584" i="49"/>
  <c r="AT584" i="49"/>
  <c r="AO585" i="49"/>
  <c r="AP585" i="49"/>
  <c r="AQ585" i="49"/>
  <c r="AR585" i="49"/>
  <c r="AS585" i="49"/>
  <c r="AT585" i="49"/>
  <c r="AO586" i="49"/>
  <c r="AP586" i="49"/>
  <c r="AQ586" i="49"/>
  <c r="AR586" i="49"/>
  <c r="AS586" i="49"/>
  <c r="AT586" i="49"/>
  <c r="AO587" i="49"/>
  <c r="AP587" i="49"/>
  <c r="AQ587" i="49"/>
  <c r="AR587" i="49"/>
  <c r="AS587" i="49"/>
  <c r="AT587" i="49"/>
  <c r="AO588" i="49"/>
  <c r="AP588" i="49"/>
  <c r="AQ588" i="49"/>
  <c r="AR588" i="49"/>
  <c r="AS588" i="49"/>
  <c r="AT588" i="49"/>
  <c r="AO589" i="49"/>
  <c r="AP589" i="49"/>
  <c r="AQ589" i="49"/>
  <c r="AR589" i="49"/>
  <c r="AS589" i="49"/>
  <c r="AT589" i="49"/>
  <c r="AO590" i="49"/>
  <c r="AP590" i="49"/>
  <c r="AQ590" i="49"/>
  <c r="AR590" i="49"/>
  <c r="AS590" i="49"/>
  <c r="AT590" i="49"/>
  <c r="AO591" i="49"/>
  <c r="AP591" i="49"/>
  <c r="AQ591" i="49"/>
  <c r="AR591" i="49"/>
  <c r="AS591" i="49"/>
  <c r="AT591" i="49"/>
  <c r="AO592" i="49"/>
  <c r="AP592" i="49"/>
  <c r="AQ592" i="49"/>
  <c r="AR592" i="49"/>
  <c r="AS592" i="49"/>
  <c r="AT592" i="49"/>
  <c r="AO593" i="49"/>
  <c r="AP593" i="49"/>
  <c r="AQ593" i="49"/>
  <c r="AR593" i="49"/>
  <c r="AS593" i="49"/>
  <c r="AT593" i="49"/>
  <c r="AO594" i="49"/>
  <c r="AP594" i="49"/>
  <c r="AQ594" i="49"/>
  <c r="AR594" i="49"/>
  <c r="AS594" i="49"/>
  <c r="AT594" i="49"/>
  <c r="AO595" i="49"/>
  <c r="AP595" i="49"/>
  <c r="AQ595" i="49"/>
  <c r="AR595" i="49"/>
  <c r="AS595" i="49"/>
  <c r="AT595" i="49"/>
  <c r="AO596" i="49"/>
  <c r="AP596" i="49"/>
  <c r="AQ596" i="49"/>
  <c r="AR596" i="49"/>
  <c r="AS596" i="49"/>
  <c r="AT596" i="49"/>
  <c r="AO597" i="49"/>
  <c r="AP597" i="49"/>
  <c r="AQ597" i="49"/>
  <c r="AR597" i="49"/>
  <c r="AS597" i="49"/>
  <c r="AT597" i="49"/>
  <c r="AO598" i="49"/>
  <c r="AP598" i="49"/>
  <c r="AQ598" i="49"/>
  <c r="AR598" i="49"/>
  <c r="AS598" i="49"/>
  <c r="AT598" i="49"/>
  <c r="AO599" i="49"/>
  <c r="AP599" i="49"/>
  <c r="AQ599" i="49"/>
  <c r="AR599" i="49"/>
  <c r="AS599" i="49"/>
  <c r="AT599" i="49"/>
  <c r="AO600" i="49"/>
  <c r="AP600" i="49"/>
  <c r="AQ600" i="49"/>
  <c r="AR600" i="49"/>
  <c r="AS600" i="49"/>
  <c r="AT600" i="49"/>
  <c r="AO601" i="49"/>
  <c r="AP601" i="49"/>
  <c r="AQ601" i="49"/>
  <c r="AR601" i="49"/>
  <c r="AS601" i="49"/>
  <c r="AT601" i="49"/>
  <c r="AO602" i="49"/>
  <c r="AP602" i="49"/>
  <c r="AQ602" i="49"/>
  <c r="AR602" i="49"/>
  <c r="AS602" i="49"/>
  <c r="AT602" i="49"/>
  <c r="AO603" i="49"/>
  <c r="AP603" i="49"/>
  <c r="AQ603" i="49"/>
  <c r="AR603" i="49"/>
  <c r="AS603" i="49"/>
  <c r="AT603" i="49"/>
  <c r="AO604" i="49"/>
  <c r="AP604" i="49"/>
  <c r="AQ604" i="49"/>
  <c r="AR604" i="49"/>
  <c r="AS604" i="49"/>
  <c r="AT604" i="49"/>
  <c r="AO605" i="49"/>
  <c r="AP605" i="49"/>
  <c r="AQ605" i="49"/>
  <c r="AR605" i="49"/>
  <c r="AS605" i="49"/>
  <c r="AT605" i="49"/>
  <c r="AO606" i="49"/>
  <c r="AP606" i="49"/>
  <c r="AQ606" i="49"/>
  <c r="AR606" i="49"/>
  <c r="AS606" i="49"/>
  <c r="AT606" i="49"/>
  <c r="AO607" i="49"/>
  <c r="AP607" i="49"/>
  <c r="AQ607" i="49"/>
  <c r="AR607" i="49"/>
  <c r="AS607" i="49"/>
  <c r="AT607" i="49"/>
  <c r="AO608" i="49"/>
  <c r="AP608" i="49"/>
  <c r="AQ608" i="49"/>
  <c r="AR608" i="49"/>
  <c r="AS608" i="49"/>
  <c r="AT608" i="49"/>
  <c r="AO609" i="49"/>
  <c r="AP609" i="49"/>
  <c r="AQ609" i="49"/>
  <c r="AR609" i="49"/>
  <c r="AS609" i="49"/>
  <c r="AT609" i="49"/>
  <c r="AO610" i="49"/>
  <c r="AP610" i="49"/>
  <c r="AQ610" i="49"/>
  <c r="AR610" i="49"/>
  <c r="AS610" i="49"/>
  <c r="AT610" i="49"/>
  <c r="AO611" i="49"/>
  <c r="AP611" i="49"/>
  <c r="AQ611" i="49"/>
  <c r="AR611" i="49"/>
  <c r="AS611" i="49"/>
  <c r="AT611" i="49"/>
  <c r="AO612" i="49"/>
  <c r="AP612" i="49"/>
  <c r="AQ612" i="49"/>
  <c r="AR612" i="49"/>
  <c r="AS612" i="49"/>
  <c r="AT612" i="49"/>
  <c r="AO613" i="49"/>
  <c r="AP613" i="49"/>
  <c r="AQ613" i="49"/>
  <c r="AR613" i="49"/>
  <c r="AS613" i="49"/>
  <c r="AT613" i="49"/>
  <c r="AO614" i="49"/>
  <c r="AP614" i="49"/>
  <c r="AQ614" i="49"/>
  <c r="AR614" i="49"/>
  <c r="AS614" i="49"/>
  <c r="AT614" i="49"/>
  <c r="AO615" i="49"/>
  <c r="AP615" i="49"/>
  <c r="AQ615" i="49"/>
  <c r="AR615" i="49"/>
  <c r="AS615" i="49"/>
  <c r="AT615" i="49"/>
  <c r="AO616" i="49"/>
  <c r="AP616" i="49"/>
  <c r="AQ616" i="49"/>
  <c r="AR616" i="49"/>
  <c r="AS616" i="49"/>
  <c r="AT616" i="49"/>
  <c r="AO617" i="49"/>
  <c r="AP617" i="49"/>
  <c r="AQ617" i="49"/>
  <c r="AR617" i="49"/>
  <c r="AS617" i="49"/>
  <c r="AT617" i="49"/>
  <c r="AO618" i="49"/>
  <c r="AP618" i="49"/>
  <c r="AQ618" i="49"/>
  <c r="AR618" i="49"/>
  <c r="AS618" i="49"/>
  <c r="AT618" i="49"/>
  <c r="AO619" i="49"/>
  <c r="AP619" i="49"/>
  <c r="AQ619" i="49"/>
  <c r="AR619" i="49"/>
  <c r="AS619" i="49"/>
  <c r="AT619" i="49"/>
  <c r="AO620" i="49"/>
  <c r="AP620" i="49"/>
  <c r="AQ620" i="49"/>
  <c r="AR620" i="49"/>
  <c r="AS620" i="49"/>
  <c r="AT620" i="49"/>
  <c r="AO621" i="49"/>
  <c r="AP621" i="49"/>
  <c r="AQ621" i="49"/>
  <c r="AR621" i="49"/>
  <c r="AS621" i="49"/>
  <c r="AT621" i="49"/>
  <c r="AO622" i="49"/>
  <c r="AP622" i="49"/>
  <c r="AQ622" i="49"/>
  <c r="AR622" i="49"/>
  <c r="AS622" i="49"/>
  <c r="AT622" i="49"/>
  <c r="AO623" i="49"/>
  <c r="AP623" i="49"/>
  <c r="AQ623" i="49"/>
  <c r="AR623" i="49"/>
  <c r="AS623" i="49"/>
  <c r="AT623" i="49"/>
  <c r="AO624" i="49"/>
  <c r="AP624" i="49"/>
  <c r="AQ624" i="49"/>
  <c r="AR624" i="49"/>
  <c r="AS624" i="49"/>
  <c r="AT624" i="49"/>
  <c r="AO625" i="49"/>
  <c r="AP625" i="49"/>
  <c r="AQ625" i="49"/>
  <c r="AR625" i="49"/>
  <c r="AS625" i="49"/>
  <c r="AT625" i="49"/>
  <c r="AO626" i="49"/>
  <c r="AP626" i="49"/>
  <c r="AQ626" i="49"/>
  <c r="AR626" i="49"/>
  <c r="AS626" i="49"/>
  <c r="AT626" i="49"/>
  <c r="AO627" i="49"/>
  <c r="AP627" i="49"/>
  <c r="AQ627" i="49"/>
  <c r="AR627" i="49"/>
  <c r="AS627" i="49"/>
  <c r="AT627" i="49"/>
  <c r="AO628" i="49"/>
  <c r="AP628" i="49"/>
  <c r="AQ628" i="49"/>
  <c r="AR628" i="49"/>
  <c r="AS628" i="49"/>
  <c r="AT628" i="49"/>
  <c r="AO629" i="49"/>
  <c r="AP629" i="49"/>
  <c r="AQ629" i="49"/>
  <c r="AR629" i="49"/>
  <c r="AS629" i="49"/>
  <c r="AT629" i="49"/>
  <c r="AO630" i="49"/>
  <c r="AP630" i="49"/>
  <c r="AQ630" i="49"/>
  <c r="AR630" i="49"/>
  <c r="AS630" i="49"/>
  <c r="AT630" i="49"/>
  <c r="AO631" i="49"/>
  <c r="AP631" i="49"/>
  <c r="AQ631" i="49"/>
  <c r="AR631" i="49"/>
  <c r="AS631" i="49"/>
  <c r="AT631" i="49"/>
  <c r="AO632" i="49"/>
  <c r="AP632" i="49"/>
  <c r="AQ632" i="49"/>
  <c r="AR632" i="49"/>
  <c r="AS632" i="49"/>
  <c r="AT632" i="49"/>
  <c r="AO633" i="49"/>
  <c r="AP633" i="49"/>
  <c r="AQ633" i="49"/>
  <c r="AR633" i="49"/>
  <c r="AS633" i="49"/>
  <c r="AT633" i="49"/>
  <c r="AO634" i="49"/>
  <c r="AP634" i="49"/>
  <c r="AQ634" i="49"/>
  <c r="AR634" i="49"/>
  <c r="AS634" i="49"/>
  <c r="AT634" i="49"/>
  <c r="AO635" i="49"/>
  <c r="AP635" i="49"/>
  <c r="AQ635" i="49"/>
  <c r="AR635" i="49"/>
  <c r="AS635" i="49"/>
  <c r="AT635" i="49"/>
  <c r="AO636" i="49"/>
  <c r="AP636" i="49"/>
  <c r="AQ636" i="49"/>
  <c r="AR636" i="49"/>
  <c r="AS636" i="49"/>
  <c r="AT636" i="49"/>
  <c r="AO637" i="49"/>
  <c r="AP637" i="49"/>
  <c r="AQ637" i="49"/>
  <c r="AR637" i="49"/>
  <c r="AS637" i="49"/>
  <c r="AT637" i="49"/>
  <c r="AO638" i="49"/>
  <c r="AP638" i="49"/>
  <c r="AQ638" i="49"/>
  <c r="AR638" i="49"/>
  <c r="AS638" i="49"/>
  <c r="AT638" i="49"/>
  <c r="AO639" i="49"/>
  <c r="AP639" i="49"/>
  <c r="AQ639" i="49"/>
  <c r="AR639" i="49"/>
  <c r="AS639" i="49"/>
  <c r="AT639" i="49"/>
  <c r="AO640" i="49"/>
  <c r="AP640" i="49"/>
  <c r="AQ640" i="49"/>
  <c r="AR640" i="49"/>
  <c r="AS640" i="49"/>
  <c r="AT640" i="49"/>
  <c r="AO641" i="49"/>
  <c r="AP641" i="49"/>
  <c r="AQ641" i="49"/>
  <c r="AR641" i="49"/>
  <c r="AS641" i="49"/>
  <c r="AT641" i="49"/>
  <c r="AO642" i="49"/>
  <c r="AP642" i="49"/>
  <c r="AQ642" i="49"/>
  <c r="AR642" i="49"/>
  <c r="AS642" i="49"/>
  <c r="AT642" i="49"/>
  <c r="AO643" i="49"/>
  <c r="AP643" i="49"/>
  <c r="AQ643" i="49"/>
  <c r="AR643" i="49"/>
  <c r="AS643" i="49"/>
  <c r="AT643" i="49"/>
  <c r="AO644" i="49"/>
  <c r="AP644" i="49"/>
  <c r="AQ644" i="49"/>
  <c r="AR644" i="49"/>
  <c r="AS644" i="49"/>
  <c r="AT644" i="49"/>
  <c r="AO645" i="49"/>
  <c r="AP645" i="49"/>
  <c r="AQ645" i="49"/>
  <c r="AR645" i="49"/>
  <c r="AS645" i="49"/>
  <c r="AT645" i="49"/>
  <c r="AO646" i="49"/>
  <c r="AP646" i="49"/>
  <c r="AQ646" i="49"/>
  <c r="AR646" i="49"/>
  <c r="AS646" i="49"/>
  <c r="AT646" i="49"/>
  <c r="AO647" i="49"/>
  <c r="AP647" i="49"/>
  <c r="AQ647" i="49"/>
  <c r="AR647" i="49"/>
  <c r="AS647" i="49"/>
  <c r="AT647" i="49"/>
  <c r="AO648" i="49"/>
  <c r="AP648" i="49"/>
  <c r="AQ648" i="49"/>
  <c r="AR648" i="49"/>
  <c r="AS648" i="49"/>
  <c r="AT648" i="49"/>
  <c r="AO649" i="49"/>
  <c r="AP649" i="49"/>
  <c r="AQ649" i="49"/>
  <c r="AR649" i="49"/>
  <c r="AS649" i="49"/>
  <c r="AT649" i="49"/>
  <c r="AO650" i="49"/>
  <c r="AP650" i="49"/>
  <c r="AQ650" i="49"/>
  <c r="AR650" i="49"/>
  <c r="AS650" i="49"/>
  <c r="AT650" i="49"/>
  <c r="AO651" i="49"/>
  <c r="AP651" i="49"/>
  <c r="AQ651" i="49"/>
  <c r="AR651" i="49"/>
  <c r="AS651" i="49"/>
  <c r="AT651" i="49"/>
  <c r="AO652" i="49"/>
  <c r="AP652" i="49"/>
  <c r="AQ652" i="49"/>
  <c r="AR652" i="49"/>
  <c r="AS652" i="49"/>
  <c r="AT652" i="49"/>
  <c r="AO653" i="49"/>
  <c r="AP653" i="49"/>
  <c r="AQ653" i="49"/>
  <c r="AR653" i="49"/>
  <c r="AS653" i="49"/>
  <c r="AT653" i="49"/>
  <c r="AO654" i="49"/>
  <c r="AP654" i="49"/>
  <c r="AQ654" i="49"/>
  <c r="AR654" i="49"/>
  <c r="AS654" i="49"/>
  <c r="AT654" i="49"/>
  <c r="AO655" i="49"/>
  <c r="AP655" i="49"/>
  <c r="AQ655" i="49"/>
  <c r="AR655" i="49"/>
  <c r="AS655" i="49"/>
  <c r="AT655" i="49"/>
  <c r="AO656" i="49"/>
  <c r="AP656" i="49"/>
  <c r="AQ656" i="49"/>
  <c r="AR656" i="49"/>
  <c r="AS656" i="49"/>
  <c r="AT656" i="49"/>
  <c r="AO657" i="49"/>
  <c r="AP657" i="49"/>
  <c r="AQ657" i="49"/>
  <c r="AR657" i="49"/>
  <c r="AS657" i="49"/>
  <c r="AT657" i="49"/>
  <c r="AO658" i="49"/>
  <c r="AP658" i="49"/>
  <c r="AQ658" i="49"/>
  <c r="AR658" i="49"/>
  <c r="AS658" i="49"/>
  <c r="AT658" i="49"/>
  <c r="AO659" i="49"/>
  <c r="AP659" i="49"/>
  <c r="AQ659" i="49"/>
  <c r="AR659" i="49"/>
  <c r="AS659" i="49"/>
  <c r="AT659" i="49"/>
  <c r="AO660" i="49"/>
  <c r="AP660" i="49"/>
  <c r="AQ660" i="49"/>
  <c r="AR660" i="49"/>
  <c r="AS660" i="49"/>
  <c r="AT660" i="49"/>
  <c r="AO661" i="49"/>
  <c r="AP661" i="49"/>
  <c r="AQ661" i="49"/>
  <c r="AR661" i="49"/>
  <c r="AS661" i="49"/>
  <c r="AT661" i="49"/>
  <c r="AO662" i="49"/>
  <c r="AP662" i="49"/>
  <c r="AQ662" i="49"/>
  <c r="AR662" i="49"/>
  <c r="AS662" i="49"/>
  <c r="AT662" i="49"/>
  <c r="AO663" i="49"/>
  <c r="AP663" i="49"/>
  <c r="AQ663" i="49"/>
  <c r="AR663" i="49"/>
  <c r="AS663" i="49"/>
  <c r="AT663" i="49"/>
  <c r="AO664" i="49"/>
  <c r="AP664" i="49"/>
  <c r="AQ664" i="49"/>
  <c r="AR664" i="49"/>
  <c r="AS664" i="49"/>
  <c r="AT664" i="49"/>
  <c r="AO665" i="49"/>
  <c r="AP665" i="49"/>
  <c r="AQ665" i="49"/>
  <c r="AR665" i="49"/>
  <c r="AS665" i="49"/>
  <c r="AT665" i="49"/>
  <c r="AO666" i="49"/>
  <c r="AP666" i="49"/>
  <c r="AQ666" i="49"/>
  <c r="AR666" i="49"/>
  <c r="AS666" i="49"/>
  <c r="AT666" i="49"/>
  <c r="AO667" i="49"/>
  <c r="AP667" i="49"/>
  <c r="AQ667" i="49"/>
  <c r="AR667" i="49"/>
  <c r="AS667" i="49"/>
  <c r="AT667" i="49"/>
  <c r="AO668" i="49"/>
  <c r="AP668" i="49"/>
  <c r="AQ668" i="49"/>
  <c r="AR668" i="49"/>
  <c r="AS668" i="49"/>
  <c r="AT668" i="49"/>
  <c r="AO669" i="49"/>
  <c r="AP669" i="49"/>
  <c r="AQ669" i="49"/>
  <c r="AR669" i="49"/>
  <c r="AS669" i="49"/>
  <c r="AT669" i="49"/>
  <c r="AO670" i="49"/>
  <c r="AP670" i="49"/>
  <c r="AQ670" i="49"/>
  <c r="AR670" i="49"/>
  <c r="AS670" i="49"/>
  <c r="AT670" i="49"/>
  <c r="AO671" i="49"/>
  <c r="AP671" i="49"/>
  <c r="AQ671" i="49"/>
  <c r="AR671" i="49"/>
  <c r="AS671" i="49"/>
  <c r="AT671" i="49"/>
  <c r="AO672" i="49"/>
  <c r="AP672" i="49"/>
  <c r="AQ672" i="49"/>
  <c r="AR672" i="49"/>
  <c r="AS672" i="49"/>
  <c r="AT672" i="49"/>
  <c r="AO673" i="49"/>
  <c r="AP673" i="49"/>
  <c r="AQ673" i="49"/>
  <c r="AR673" i="49"/>
  <c r="AS673" i="49"/>
  <c r="AT673" i="49"/>
  <c r="AO674" i="49"/>
  <c r="AP674" i="49"/>
  <c r="AQ674" i="49"/>
  <c r="AR674" i="49"/>
  <c r="AS674" i="49"/>
  <c r="AT674" i="49"/>
  <c r="AO675" i="49"/>
  <c r="AP675" i="49"/>
  <c r="AQ675" i="49"/>
  <c r="AR675" i="49"/>
  <c r="AS675" i="49"/>
  <c r="AT675" i="49"/>
  <c r="AO676" i="49"/>
  <c r="AP676" i="49"/>
  <c r="AQ676" i="49"/>
  <c r="AR676" i="49"/>
  <c r="AS676" i="49"/>
  <c r="AT676" i="49"/>
  <c r="AO677" i="49"/>
  <c r="AP677" i="49"/>
  <c r="AQ677" i="49"/>
  <c r="AR677" i="49"/>
  <c r="AS677" i="49"/>
  <c r="AT677" i="49"/>
  <c r="AO678" i="49"/>
  <c r="AP678" i="49"/>
  <c r="AQ678" i="49"/>
  <c r="AR678" i="49"/>
  <c r="AS678" i="49"/>
  <c r="AT678" i="49"/>
  <c r="AO679" i="49"/>
  <c r="AP679" i="49"/>
  <c r="AQ679" i="49"/>
  <c r="AR679" i="49"/>
  <c r="AS679" i="49"/>
  <c r="AT679" i="49"/>
  <c r="AO680" i="49"/>
  <c r="AP680" i="49"/>
  <c r="AQ680" i="49"/>
  <c r="AR680" i="49"/>
  <c r="AS680" i="49"/>
  <c r="AT680" i="49"/>
  <c r="AO681" i="49"/>
  <c r="AP681" i="49"/>
  <c r="AQ681" i="49"/>
  <c r="AR681" i="49"/>
  <c r="AS681" i="49"/>
  <c r="AT681" i="49"/>
  <c r="AO682" i="49"/>
  <c r="AP682" i="49"/>
  <c r="AQ682" i="49"/>
  <c r="AR682" i="49"/>
  <c r="AS682" i="49"/>
  <c r="AT682" i="49"/>
  <c r="AO683" i="49"/>
  <c r="AP683" i="49"/>
  <c r="AQ683" i="49"/>
  <c r="AR683" i="49"/>
  <c r="AS683" i="49"/>
  <c r="AT683" i="49"/>
  <c r="AO684" i="49"/>
  <c r="AP684" i="49"/>
  <c r="AQ684" i="49"/>
  <c r="AR684" i="49"/>
  <c r="AS684" i="49"/>
  <c r="AT684" i="49"/>
  <c r="AO685" i="49"/>
  <c r="AP685" i="49"/>
  <c r="AQ685" i="49"/>
  <c r="AR685" i="49"/>
  <c r="AS685" i="49"/>
  <c r="AT685" i="49"/>
  <c r="AO686" i="49"/>
  <c r="AP686" i="49"/>
  <c r="AQ686" i="49"/>
  <c r="AR686" i="49"/>
  <c r="AS686" i="49"/>
  <c r="AT686" i="49"/>
  <c r="AO687" i="49"/>
  <c r="AP687" i="49"/>
  <c r="AQ687" i="49"/>
  <c r="AR687" i="49"/>
  <c r="AS687" i="49"/>
  <c r="AT687" i="49"/>
  <c r="AO688" i="49"/>
  <c r="AP688" i="49"/>
  <c r="AQ688" i="49"/>
  <c r="AR688" i="49"/>
  <c r="AS688" i="49"/>
  <c r="AT688" i="49"/>
  <c r="AO689" i="49"/>
  <c r="AP689" i="49"/>
  <c r="AQ689" i="49"/>
  <c r="AR689" i="49"/>
  <c r="AS689" i="49"/>
  <c r="AT689" i="49"/>
  <c r="AO690" i="49"/>
  <c r="AP690" i="49"/>
  <c r="AQ690" i="49"/>
  <c r="AR690" i="49"/>
  <c r="AS690" i="49"/>
  <c r="AT690" i="49"/>
  <c r="AO691" i="49"/>
  <c r="AP691" i="49"/>
  <c r="AQ691" i="49"/>
  <c r="AR691" i="49"/>
  <c r="AS691" i="49"/>
  <c r="AT691" i="49"/>
  <c r="AO692" i="49"/>
  <c r="AP692" i="49"/>
  <c r="AQ692" i="49"/>
  <c r="AR692" i="49"/>
  <c r="AS692" i="49"/>
  <c r="AT692" i="49"/>
  <c r="AO693" i="49"/>
  <c r="AP693" i="49"/>
  <c r="AQ693" i="49"/>
  <c r="AR693" i="49"/>
  <c r="AS693" i="49"/>
  <c r="AT693" i="49"/>
  <c r="AO694" i="49"/>
  <c r="AP694" i="49"/>
  <c r="AQ694" i="49"/>
  <c r="AR694" i="49"/>
  <c r="AS694" i="49"/>
  <c r="AT694" i="49"/>
  <c r="AO695" i="49"/>
  <c r="AP695" i="49"/>
  <c r="AQ695" i="49"/>
  <c r="AR695" i="49"/>
  <c r="AS695" i="49"/>
  <c r="AT695" i="49"/>
  <c r="AO696" i="49"/>
  <c r="AP696" i="49"/>
  <c r="AQ696" i="49"/>
  <c r="AR696" i="49"/>
  <c r="AS696" i="49"/>
  <c r="AT696" i="49"/>
  <c r="AO697" i="49"/>
  <c r="AP697" i="49"/>
  <c r="AQ697" i="49"/>
  <c r="AR697" i="49"/>
  <c r="AS697" i="49"/>
  <c r="AT697" i="49"/>
  <c r="AO698" i="49"/>
  <c r="AP698" i="49"/>
  <c r="AQ698" i="49"/>
  <c r="AR698" i="49"/>
  <c r="AS698" i="49"/>
  <c r="AT698" i="49"/>
  <c r="AO699" i="49"/>
  <c r="AP699" i="49"/>
  <c r="AQ699" i="49"/>
  <c r="AR699" i="49"/>
  <c r="AS699" i="49"/>
  <c r="AT699" i="49"/>
  <c r="AO700" i="49"/>
  <c r="AP700" i="49"/>
  <c r="AQ700" i="49"/>
  <c r="AR700" i="49"/>
  <c r="AS700" i="49"/>
  <c r="AT700" i="49"/>
  <c r="AO701" i="49"/>
  <c r="AP701" i="49"/>
  <c r="AQ701" i="49"/>
  <c r="AR701" i="49"/>
  <c r="AS701" i="49"/>
  <c r="AT701" i="49"/>
  <c r="AO702" i="49"/>
  <c r="AP702" i="49"/>
  <c r="AQ702" i="49"/>
  <c r="AR702" i="49"/>
  <c r="AS702" i="49"/>
  <c r="AT702" i="49"/>
  <c r="AO703" i="49"/>
  <c r="AP703" i="49"/>
  <c r="AQ703" i="49"/>
  <c r="AR703" i="49"/>
  <c r="AS703" i="49"/>
  <c r="AT703" i="49"/>
  <c r="AO704" i="49"/>
  <c r="AP704" i="49"/>
  <c r="AQ704" i="49"/>
  <c r="AR704" i="49"/>
  <c r="AS704" i="49"/>
  <c r="AT704" i="49"/>
  <c r="AO705" i="49"/>
  <c r="AP705" i="49"/>
  <c r="AQ705" i="49"/>
  <c r="AR705" i="49"/>
  <c r="AS705" i="49"/>
  <c r="AT705" i="49"/>
  <c r="AO706" i="49"/>
  <c r="AP706" i="49"/>
  <c r="AQ706" i="49"/>
  <c r="AR706" i="49"/>
  <c r="AS706" i="49"/>
  <c r="AT706" i="49"/>
  <c r="AO707" i="49"/>
  <c r="AP707" i="49"/>
  <c r="AQ707" i="49"/>
  <c r="AR707" i="49"/>
  <c r="AS707" i="49"/>
  <c r="AT707" i="49"/>
  <c r="AO708" i="49"/>
  <c r="AP708" i="49"/>
  <c r="AQ708" i="49"/>
  <c r="AR708" i="49"/>
  <c r="AS708" i="49"/>
  <c r="AT708" i="49"/>
  <c r="AO709" i="49"/>
  <c r="AP709" i="49"/>
  <c r="AQ709" i="49"/>
  <c r="AR709" i="49"/>
  <c r="AS709" i="49"/>
  <c r="AT709" i="49"/>
  <c r="AO710" i="49"/>
  <c r="AP710" i="49"/>
  <c r="AQ710" i="49"/>
  <c r="AR710" i="49"/>
  <c r="AS710" i="49"/>
  <c r="AT710" i="49"/>
  <c r="AO711" i="49"/>
  <c r="AP711" i="49"/>
  <c r="AQ711" i="49"/>
  <c r="AR711" i="49"/>
  <c r="AS711" i="49"/>
  <c r="AT711" i="49"/>
  <c r="AO712" i="49"/>
  <c r="AP712" i="49"/>
  <c r="AQ712" i="49"/>
  <c r="AR712" i="49"/>
  <c r="AS712" i="49"/>
  <c r="AT712" i="49"/>
  <c r="AO713" i="49"/>
  <c r="AP713" i="49"/>
  <c r="AQ713" i="49"/>
  <c r="AR713" i="49"/>
  <c r="AS713" i="49"/>
  <c r="AT713" i="49"/>
  <c r="AO714" i="49"/>
  <c r="AP714" i="49"/>
  <c r="AQ714" i="49"/>
  <c r="AR714" i="49"/>
  <c r="AS714" i="49"/>
  <c r="AT714" i="49"/>
  <c r="AO715" i="49"/>
  <c r="AP715" i="49"/>
  <c r="AQ715" i="49"/>
  <c r="AR715" i="49"/>
  <c r="AS715" i="49"/>
  <c r="AT715" i="49"/>
  <c r="AO716" i="49"/>
  <c r="AP716" i="49"/>
  <c r="AQ716" i="49"/>
  <c r="AR716" i="49"/>
  <c r="AS716" i="49"/>
  <c r="AT716" i="49"/>
  <c r="AO717" i="49"/>
  <c r="AP717" i="49"/>
  <c r="AQ717" i="49"/>
  <c r="AR717" i="49"/>
  <c r="AS717" i="49"/>
  <c r="AT717" i="49"/>
  <c r="AO718" i="49"/>
  <c r="AP718" i="49"/>
  <c r="AQ718" i="49"/>
  <c r="AR718" i="49"/>
  <c r="AS718" i="49"/>
  <c r="AT718" i="49"/>
  <c r="AO719" i="49"/>
  <c r="AP719" i="49"/>
  <c r="AQ719" i="49"/>
  <c r="AR719" i="49"/>
  <c r="AS719" i="49"/>
  <c r="AT719" i="49"/>
  <c r="AO720" i="49"/>
  <c r="AP720" i="49"/>
  <c r="AQ720" i="49"/>
  <c r="AR720" i="49"/>
  <c r="AS720" i="49"/>
  <c r="AT720" i="49"/>
  <c r="AO721" i="49"/>
  <c r="AP721" i="49"/>
  <c r="AQ721" i="49"/>
  <c r="AR721" i="49"/>
  <c r="AS721" i="49"/>
  <c r="AT721" i="49"/>
  <c r="AO722" i="49"/>
  <c r="AP722" i="49"/>
  <c r="AQ722" i="49"/>
  <c r="AR722" i="49"/>
  <c r="AS722" i="49"/>
  <c r="AT722" i="49"/>
  <c r="AO723" i="49"/>
  <c r="AP723" i="49"/>
  <c r="AQ723" i="49"/>
  <c r="AR723" i="49"/>
  <c r="AS723" i="49"/>
  <c r="AT723" i="49"/>
  <c r="AO724" i="49"/>
  <c r="AP724" i="49"/>
  <c r="AQ724" i="49"/>
  <c r="AR724" i="49"/>
  <c r="AS724" i="49"/>
  <c r="AT724" i="49"/>
  <c r="AO725" i="49"/>
  <c r="AP725" i="49"/>
  <c r="AQ725" i="49"/>
  <c r="AR725" i="49"/>
  <c r="AS725" i="49"/>
  <c r="AT725" i="49"/>
  <c r="AO726" i="49"/>
  <c r="AP726" i="49"/>
  <c r="AQ726" i="49"/>
  <c r="AR726" i="49"/>
  <c r="AS726" i="49"/>
  <c r="AT726" i="49"/>
  <c r="AO727" i="49"/>
  <c r="AP727" i="49"/>
  <c r="AQ727" i="49"/>
  <c r="AR727" i="49"/>
  <c r="AS727" i="49"/>
  <c r="AT727" i="49"/>
  <c r="AO728" i="49"/>
  <c r="AP728" i="49"/>
  <c r="AQ728" i="49"/>
  <c r="AR728" i="49"/>
  <c r="AS728" i="49"/>
  <c r="AT728" i="49"/>
  <c r="AO729" i="49"/>
  <c r="AP729" i="49"/>
  <c r="AQ729" i="49"/>
  <c r="AR729" i="49"/>
  <c r="AS729" i="49"/>
  <c r="AT729" i="49"/>
  <c r="AO730" i="49"/>
  <c r="AP730" i="49"/>
  <c r="AQ730" i="49"/>
  <c r="AR730" i="49"/>
  <c r="AS730" i="49"/>
  <c r="AT730" i="49"/>
  <c r="AO731" i="49"/>
  <c r="AP731" i="49"/>
  <c r="AQ731" i="49"/>
  <c r="AR731" i="49"/>
  <c r="AS731" i="49"/>
  <c r="AT731" i="49"/>
  <c r="AO732" i="49"/>
  <c r="AP732" i="49"/>
  <c r="AQ732" i="49"/>
  <c r="AR732" i="49"/>
  <c r="AS732" i="49"/>
  <c r="AT732" i="49"/>
  <c r="AO733" i="49"/>
  <c r="AP733" i="49"/>
  <c r="AQ733" i="49"/>
  <c r="AR733" i="49"/>
  <c r="AS733" i="49"/>
  <c r="AT733" i="49"/>
  <c r="AO734" i="49"/>
  <c r="AP734" i="49"/>
  <c r="AQ734" i="49"/>
  <c r="AR734" i="49"/>
  <c r="AS734" i="49"/>
  <c r="AT734" i="49"/>
  <c r="AO735" i="49"/>
  <c r="AP735" i="49"/>
  <c r="AQ735" i="49"/>
  <c r="AR735" i="49"/>
  <c r="AS735" i="49"/>
  <c r="AT735" i="49"/>
  <c r="AO736" i="49"/>
  <c r="AP736" i="49"/>
  <c r="AQ736" i="49"/>
  <c r="AR736" i="49"/>
  <c r="AS736" i="49"/>
  <c r="AT736" i="49"/>
  <c r="AO737" i="49"/>
  <c r="AP737" i="49"/>
  <c r="AQ737" i="49"/>
  <c r="AR737" i="49"/>
  <c r="AS737" i="49"/>
  <c r="AT737" i="49"/>
  <c r="AO738" i="49"/>
  <c r="AP738" i="49"/>
  <c r="AQ738" i="49"/>
  <c r="AR738" i="49"/>
  <c r="AS738" i="49"/>
  <c r="AT738" i="49"/>
  <c r="AO739" i="49"/>
  <c r="AP739" i="49"/>
  <c r="AQ739" i="49"/>
  <c r="AR739" i="49"/>
  <c r="AS739" i="49"/>
  <c r="AT739" i="49"/>
  <c r="AO740" i="49"/>
  <c r="AP740" i="49"/>
  <c r="AQ740" i="49"/>
  <c r="AR740" i="49"/>
  <c r="AS740" i="49"/>
  <c r="AT740" i="49"/>
  <c r="AO741" i="49"/>
  <c r="AP741" i="49"/>
  <c r="AQ741" i="49"/>
  <c r="AR741" i="49"/>
  <c r="AS741" i="49"/>
  <c r="AT741" i="49"/>
  <c r="AO742" i="49"/>
  <c r="AP742" i="49"/>
  <c r="AQ742" i="49"/>
  <c r="AR742" i="49"/>
  <c r="AS742" i="49"/>
  <c r="AT742" i="49"/>
  <c r="AO743" i="49"/>
  <c r="AP743" i="49"/>
  <c r="AQ743" i="49"/>
  <c r="AR743" i="49"/>
  <c r="AS743" i="49"/>
  <c r="AT743" i="49"/>
  <c r="AO744" i="49"/>
  <c r="AP744" i="49"/>
  <c r="AQ744" i="49"/>
  <c r="AR744" i="49"/>
  <c r="AS744" i="49"/>
  <c r="AT744" i="49"/>
  <c r="AO745" i="49"/>
  <c r="AP745" i="49"/>
  <c r="AQ745" i="49"/>
  <c r="AR745" i="49"/>
  <c r="AS745" i="49"/>
  <c r="AT745" i="49"/>
  <c r="AO746" i="49"/>
  <c r="AP746" i="49"/>
  <c r="AQ746" i="49"/>
  <c r="AR746" i="49"/>
  <c r="AS746" i="49"/>
  <c r="AT746" i="49"/>
  <c r="AO747" i="49"/>
  <c r="AP747" i="49"/>
  <c r="AQ747" i="49"/>
  <c r="AR747" i="49"/>
  <c r="AS747" i="49"/>
  <c r="AT747" i="49"/>
  <c r="AO748" i="49"/>
  <c r="AP748" i="49"/>
  <c r="AQ748" i="49"/>
  <c r="AR748" i="49"/>
  <c r="AS748" i="49"/>
  <c r="AT748" i="49"/>
  <c r="AO749" i="49"/>
  <c r="AP749" i="49"/>
  <c r="AQ749" i="49"/>
  <c r="AR749" i="49"/>
  <c r="AS749" i="49"/>
  <c r="AT749" i="49"/>
  <c r="AO750" i="49"/>
  <c r="AP750" i="49"/>
  <c r="AQ750" i="49"/>
  <c r="AR750" i="49"/>
  <c r="AS750" i="49"/>
  <c r="AT750" i="49"/>
  <c r="AO751" i="49"/>
  <c r="AP751" i="49"/>
  <c r="AQ751" i="49"/>
  <c r="AR751" i="49"/>
  <c r="AS751" i="49"/>
  <c r="AT751" i="49"/>
  <c r="AO752" i="49"/>
  <c r="AP752" i="49"/>
  <c r="AQ752" i="49"/>
  <c r="AR752" i="49"/>
  <c r="AS752" i="49"/>
  <c r="AT752" i="49"/>
  <c r="AO753" i="49"/>
  <c r="AP753" i="49"/>
  <c r="AQ753" i="49"/>
  <c r="AR753" i="49"/>
  <c r="AS753" i="49"/>
  <c r="AT753" i="49"/>
  <c r="AO754" i="49"/>
  <c r="AP754" i="49"/>
  <c r="AQ754" i="49"/>
  <c r="AR754" i="49"/>
  <c r="AS754" i="49"/>
  <c r="AT754" i="49"/>
  <c r="AO755" i="49"/>
  <c r="AP755" i="49"/>
  <c r="AQ755" i="49"/>
  <c r="AR755" i="49"/>
  <c r="AS755" i="49"/>
  <c r="AT755" i="49"/>
  <c r="AO756" i="49"/>
  <c r="AP756" i="49"/>
  <c r="AQ756" i="49"/>
  <c r="AR756" i="49"/>
  <c r="AS756" i="49"/>
  <c r="AT756" i="49"/>
  <c r="AO757" i="49"/>
  <c r="AP757" i="49"/>
  <c r="AQ757" i="49"/>
  <c r="AR757" i="49"/>
  <c r="AS757" i="49"/>
  <c r="AT757" i="49"/>
  <c r="AO758" i="49"/>
  <c r="AP758" i="49"/>
  <c r="AQ758" i="49"/>
  <c r="AR758" i="49"/>
  <c r="AS758" i="49"/>
  <c r="AT758" i="49"/>
  <c r="AO759" i="49"/>
  <c r="AP759" i="49"/>
  <c r="AQ759" i="49"/>
  <c r="AR759" i="49"/>
  <c r="AS759" i="49"/>
  <c r="AT759" i="49"/>
  <c r="AO760" i="49"/>
  <c r="AP760" i="49"/>
  <c r="AQ760" i="49"/>
  <c r="AR760" i="49"/>
  <c r="AS760" i="49"/>
  <c r="AT760" i="49"/>
  <c r="AO761" i="49"/>
  <c r="AP761" i="49"/>
  <c r="AQ761" i="49"/>
  <c r="AR761" i="49"/>
  <c r="AS761" i="49"/>
  <c r="AT761" i="49"/>
  <c r="AO762" i="49"/>
  <c r="AP762" i="49"/>
  <c r="AQ762" i="49"/>
  <c r="AR762" i="49"/>
  <c r="AS762" i="49"/>
  <c r="AT762" i="49"/>
  <c r="AO763" i="49"/>
  <c r="AP763" i="49"/>
  <c r="AQ763" i="49"/>
  <c r="AR763" i="49"/>
  <c r="AS763" i="49"/>
  <c r="AT763" i="49"/>
  <c r="AO764" i="49"/>
  <c r="AP764" i="49"/>
  <c r="AQ764" i="49"/>
  <c r="AR764" i="49"/>
  <c r="AS764" i="49"/>
  <c r="AT764" i="49"/>
  <c r="AO765" i="49"/>
  <c r="AP765" i="49"/>
  <c r="AQ765" i="49"/>
  <c r="AR765" i="49"/>
  <c r="AS765" i="49"/>
  <c r="AT765" i="49"/>
  <c r="AO766" i="49"/>
  <c r="AP766" i="49"/>
  <c r="AQ766" i="49"/>
  <c r="AR766" i="49"/>
  <c r="AS766" i="49"/>
  <c r="AT766" i="49"/>
  <c r="AO767" i="49"/>
  <c r="AP767" i="49"/>
  <c r="AQ767" i="49"/>
  <c r="AR767" i="49"/>
  <c r="AS767" i="49"/>
  <c r="AT767" i="49"/>
  <c r="AO768" i="49"/>
  <c r="AP768" i="49"/>
  <c r="AQ768" i="49"/>
  <c r="AR768" i="49"/>
  <c r="AS768" i="49"/>
  <c r="AT768" i="49"/>
  <c r="AO769" i="49"/>
  <c r="AP769" i="49"/>
  <c r="AQ769" i="49"/>
  <c r="AR769" i="49"/>
  <c r="AS769" i="49"/>
  <c r="AT769" i="49"/>
  <c r="AO770" i="49"/>
  <c r="AP770" i="49"/>
  <c r="AQ770" i="49"/>
  <c r="AR770" i="49"/>
  <c r="AS770" i="49"/>
  <c r="AT770" i="49"/>
  <c r="AO771" i="49"/>
  <c r="AP771" i="49"/>
  <c r="AQ771" i="49"/>
  <c r="AR771" i="49"/>
  <c r="AS771" i="49"/>
  <c r="AT771" i="49"/>
  <c r="AO772" i="49"/>
  <c r="AP772" i="49"/>
  <c r="AQ772" i="49"/>
  <c r="AR772" i="49"/>
  <c r="AS772" i="49"/>
  <c r="AT772" i="49"/>
  <c r="AO773" i="49"/>
  <c r="AP773" i="49"/>
  <c r="AQ773" i="49"/>
  <c r="AR773" i="49"/>
  <c r="AS773" i="49"/>
  <c r="AT773" i="49"/>
  <c r="AO774" i="49"/>
  <c r="AP774" i="49"/>
  <c r="AQ774" i="49"/>
  <c r="AR774" i="49"/>
  <c r="AS774" i="49"/>
  <c r="AT774" i="49"/>
  <c r="AO775" i="49"/>
  <c r="AP775" i="49"/>
  <c r="AQ775" i="49"/>
  <c r="AR775" i="49"/>
  <c r="AS775" i="49"/>
  <c r="AT775" i="49"/>
  <c r="AO776" i="49"/>
  <c r="AP776" i="49"/>
  <c r="AQ776" i="49"/>
  <c r="AR776" i="49"/>
  <c r="AS776" i="49"/>
  <c r="AT776" i="49"/>
  <c r="AO777" i="49"/>
  <c r="AP777" i="49"/>
  <c r="AQ777" i="49"/>
  <c r="AR777" i="49"/>
  <c r="AS777" i="49"/>
  <c r="AT777" i="49"/>
  <c r="AO778" i="49"/>
  <c r="AP778" i="49"/>
  <c r="AQ778" i="49"/>
  <c r="AR778" i="49"/>
  <c r="AS778" i="49"/>
  <c r="AT778" i="49"/>
  <c r="AO779" i="49"/>
  <c r="AP779" i="49"/>
  <c r="AQ779" i="49"/>
  <c r="AR779" i="49"/>
  <c r="AS779" i="49"/>
  <c r="AT779" i="49"/>
  <c r="AO780" i="49"/>
  <c r="AP780" i="49"/>
  <c r="AQ780" i="49"/>
  <c r="AR780" i="49"/>
  <c r="AS780" i="49"/>
  <c r="AT780" i="49"/>
  <c r="AO781" i="49"/>
  <c r="AP781" i="49"/>
  <c r="AQ781" i="49"/>
  <c r="AR781" i="49"/>
  <c r="AS781" i="49"/>
  <c r="AT781" i="49"/>
  <c r="AO782" i="49"/>
  <c r="AP782" i="49"/>
  <c r="AQ782" i="49"/>
  <c r="AR782" i="49"/>
  <c r="AS782" i="49"/>
  <c r="AT782" i="49"/>
  <c r="AO783" i="49"/>
  <c r="AP783" i="49"/>
  <c r="AQ783" i="49"/>
  <c r="AR783" i="49"/>
  <c r="AS783" i="49"/>
  <c r="AT783" i="49"/>
  <c r="AO784" i="49"/>
  <c r="AP784" i="49"/>
  <c r="AQ784" i="49"/>
  <c r="AR784" i="49"/>
  <c r="AS784" i="49"/>
  <c r="AT784" i="49"/>
  <c r="AO785" i="49"/>
  <c r="AP785" i="49"/>
  <c r="AQ785" i="49"/>
  <c r="AR785" i="49"/>
  <c r="AS785" i="49"/>
  <c r="AT785" i="49"/>
  <c r="AO786" i="49"/>
  <c r="AP786" i="49"/>
  <c r="AQ786" i="49"/>
  <c r="AR786" i="49"/>
  <c r="AS786" i="49"/>
  <c r="AT786" i="49"/>
  <c r="AO787" i="49"/>
  <c r="AP787" i="49"/>
  <c r="AQ787" i="49"/>
  <c r="AR787" i="49"/>
  <c r="AS787" i="49"/>
  <c r="AT787" i="49"/>
  <c r="AO788" i="49"/>
  <c r="AP788" i="49"/>
  <c r="AQ788" i="49"/>
  <c r="AR788" i="49"/>
  <c r="AS788" i="49"/>
  <c r="AT788" i="49"/>
  <c r="AO789" i="49"/>
  <c r="AP789" i="49"/>
  <c r="AQ789" i="49"/>
  <c r="AR789" i="49"/>
  <c r="AS789" i="49"/>
  <c r="AT789" i="49"/>
  <c r="AO790" i="49"/>
  <c r="AP790" i="49"/>
  <c r="AQ790" i="49"/>
  <c r="AR790" i="49"/>
  <c r="AS790" i="49"/>
  <c r="AT790" i="49"/>
  <c r="AO791" i="49"/>
  <c r="AP791" i="49"/>
  <c r="AQ791" i="49"/>
  <c r="AR791" i="49"/>
  <c r="AS791" i="49"/>
  <c r="AT791" i="49"/>
  <c r="AO792" i="49"/>
  <c r="AP792" i="49"/>
  <c r="AQ792" i="49"/>
  <c r="AR792" i="49"/>
  <c r="AS792" i="49"/>
  <c r="AT792" i="49"/>
  <c r="AO793" i="49"/>
  <c r="AP793" i="49"/>
  <c r="AQ793" i="49"/>
  <c r="AR793" i="49"/>
  <c r="AS793" i="49"/>
  <c r="AT793" i="49"/>
  <c r="AO794" i="49"/>
  <c r="AP794" i="49"/>
  <c r="AQ794" i="49"/>
  <c r="AR794" i="49"/>
  <c r="AS794" i="49"/>
  <c r="AT794" i="49"/>
  <c r="AO795" i="49"/>
  <c r="AP795" i="49"/>
  <c r="AQ795" i="49"/>
  <c r="AR795" i="49"/>
  <c r="AS795" i="49"/>
  <c r="AT795" i="49"/>
  <c r="AO796" i="49"/>
  <c r="AP796" i="49"/>
  <c r="AQ796" i="49"/>
  <c r="AR796" i="49"/>
  <c r="AS796" i="49"/>
  <c r="AT796" i="49"/>
  <c r="AO797" i="49"/>
  <c r="AP797" i="49"/>
  <c r="AQ797" i="49"/>
  <c r="AR797" i="49"/>
  <c r="AS797" i="49"/>
  <c r="AT797" i="49"/>
  <c r="AO798" i="49"/>
  <c r="AP798" i="49"/>
  <c r="AQ798" i="49"/>
  <c r="AR798" i="49"/>
  <c r="AS798" i="49"/>
  <c r="AT798" i="49"/>
  <c r="AO799" i="49"/>
  <c r="AP799" i="49"/>
  <c r="AQ799" i="49"/>
  <c r="AR799" i="49"/>
  <c r="AS799" i="49"/>
  <c r="AT799" i="49"/>
  <c r="AO800" i="49"/>
  <c r="AP800" i="49"/>
  <c r="AQ800" i="49"/>
  <c r="AR800" i="49"/>
  <c r="AS800" i="49"/>
  <c r="AT800" i="49"/>
  <c r="AO801" i="49"/>
  <c r="AP801" i="49"/>
  <c r="AQ801" i="49"/>
  <c r="AR801" i="49"/>
  <c r="AS801" i="49"/>
  <c r="AT801" i="49"/>
  <c r="AO802" i="49"/>
  <c r="AP802" i="49"/>
  <c r="AQ802" i="49"/>
  <c r="AR802" i="49"/>
  <c r="AS802" i="49"/>
  <c r="AT802" i="49"/>
  <c r="AO803" i="49"/>
  <c r="AP803" i="49"/>
  <c r="AQ803" i="49"/>
  <c r="AR803" i="49"/>
  <c r="AS803" i="49"/>
  <c r="AT803" i="49"/>
  <c r="AO804" i="49"/>
  <c r="AP804" i="49"/>
  <c r="AQ804" i="49"/>
  <c r="AR804" i="49"/>
  <c r="AS804" i="49"/>
  <c r="AT804" i="49"/>
  <c r="AO805" i="49"/>
  <c r="AP805" i="49"/>
  <c r="AQ805" i="49"/>
  <c r="AR805" i="49"/>
  <c r="AS805" i="49"/>
  <c r="AT805" i="49"/>
  <c r="AO806" i="49"/>
  <c r="AP806" i="49"/>
  <c r="AQ806" i="49"/>
  <c r="AR806" i="49"/>
  <c r="AS806" i="49"/>
  <c r="AT806" i="49"/>
  <c r="AO807" i="49"/>
  <c r="AP807" i="49"/>
  <c r="AQ807" i="49"/>
  <c r="AR807" i="49"/>
  <c r="AS807" i="49"/>
  <c r="AT807" i="49"/>
  <c r="AO808" i="49"/>
  <c r="AP808" i="49"/>
  <c r="AQ808" i="49"/>
  <c r="AR808" i="49"/>
  <c r="AS808" i="49"/>
  <c r="AT808" i="49"/>
  <c r="AO809" i="49"/>
  <c r="AP809" i="49"/>
  <c r="AQ809" i="49"/>
  <c r="AR809" i="49"/>
  <c r="AS809" i="49"/>
  <c r="AT809" i="49"/>
  <c r="AO810" i="49"/>
  <c r="AP810" i="49"/>
  <c r="AQ810" i="49"/>
  <c r="AR810" i="49"/>
  <c r="AS810" i="49"/>
  <c r="AT810" i="49"/>
  <c r="AO811" i="49"/>
  <c r="AP811" i="49"/>
  <c r="AQ811" i="49"/>
  <c r="AR811" i="49"/>
  <c r="AS811" i="49"/>
  <c r="AT811" i="49"/>
  <c r="AO812" i="49"/>
  <c r="AP812" i="49"/>
  <c r="AQ812" i="49"/>
  <c r="AR812" i="49"/>
  <c r="AS812" i="49"/>
  <c r="AT812" i="49"/>
  <c r="AO813" i="49"/>
  <c r="AP813" i="49"/>
  <c r="AQ813" i="49"/>
  <c r="AR813" i="49"/>
  <c r="AS813" i="49"/>
  <c r="AT813" i="49"/>
  <c r="AO814" i="49"/>
  <c r="AP814" i="49"/>
  <c r="AQ814" i="49"/>
  <c r="AR814" i="49"/>
  <c r="AS814" i="49"/>
  <c r="AT814" i="49"/>
  <c r="AO815" i="49"/>
  <c r="AP815" i="49"/>
  <c r="AQ815" i="49"/>
  <c r="AR815" i="49"/>
  <c r="AS815" i="49"/>
  <c r="AT815" i="49"/>
  <c r="AO816" i="49"/>
  <c r="AP816" i="49"/>
  <c r="AQ816" i="49"/>
  <c r="AR816" i="49"/>
  <c r="AS816" i="49"/>
  <c r="AT816" i="49"/>
  <c r="AO817" i="49"/>
  <c r="AP817" i="49"/>
  <c r="AQ817" i="49"/>
  <c r="AR817" i="49"/>
  <c r="AS817" i="49"/>
  <c r="AT817" i="49"/>
  <c r="AO818" i="49"/>
  <c r="AP818" i="49"/>
  <c r="AQ818" i="49"/>
  <c r="AR818" i="49"/>
  <c r="AS818" i="49"/>
  <c r="AT818" i="49"/>
  <c r="AO819" i="49"/>
  <c r="AP819" i="49"/>
  <c r="AQ819" i="49"/>
  <c r="AR819" i="49"/>
  <c r="AS819" i="49"/>
  <c r="AT819" i="49"/>
  <c r="AO820" i="49"/>
  <c r="AP820" i="49"/>
  <c r="AQ820" i="49"/>
  <c r="AR820" i="49"/>
  <c r="AS820" i="49"/>
  <c r="AT820" i="49"/>
  <c r="AO821" i="49"/>
  <c r="AP821" i="49"/>
  <c r="AQ821" i="49"/>
  <c r="AR821" i="49"/>
  <c r="AS821" i="49"/>
  <c r="AT821" i="49"/>
  <c r="AO822" i="49"/>
  <c r="AP822" i="49"/>
  <c r="AQ822" i="49"/>
  <c r="AR822" i="49"/>
  <c r="AS822" i="49"/>
  <c r="AT822" i="49"/>
  <c r="AO823" i="49"/>
  <c r="AP823" i="49"/>
  <c r="AQ823" i="49"/>
  <c r="AR823" i="49"/>
  <c r="AS823" i="49"/>
  <c r="AT823" i="49"/>
  <c r="AO824" i="49"/>
  <c r="AP824" i="49"/>
  <c r="AQ824" i="49"/>
  <c r="AR824" i="49"/>
  <c r="AS824" i="49"/>
  <c r="AT824" i="49"/>
  <c r="AO825" i="49"/>
  <c r="AP825" i="49"/>
  <c r="AQ825" i="49"/>
  <c r="AR825" i="49"/>
  <c r="AS825" i="49"/>
  <c r="AT825" i="49"/>
  <c r="AO826" i="49"/>
  <c r="AP826" i="49"/>
  <c r="AQ826" i="49"/>
  <c r="AR826" i="49"/>
  <c r="AS826" i="49"/>
  <c r="AT826" i="49"/>
  <c r="AO827" i="49"/>
  <c r="AP827" i="49"/>
  <c r="AQ827" i="49"/>
  <c r="AR827" i="49"/>
  <c r="AS827" i="49"/>
  <c r="AT827" i="49"/>
  <c r="AO828" i="49"/>
  <c r="AP828" i="49"/>
  <c r="AQ828" i="49"/>
  <c r="AR828" i="49"/>
  <c r="AS828" i="49"/>
  <c r="AT828" i="49"/>
  <c r="AO829" i="49"/>
  <c r="AP829" i="49"/>
  <c r="AQ829" i="49"/>
  <c r="AR829" i="49"/>
  <c r="AS829" i="49"/>
  <c r="AT829" i="49"/>
  <c r="AO830" i="49"/>
  <c r="AP830" i="49"/>
  <c r="AQ830" i="49"/>
  <c r="AR830" i="49"/>
  <c r="AS830" i="49"/>
  <c r="AT830" i="49"/>
  <c r="AO831" i="49"/>
  <c r="AP831" i="49"/>
  <c r="AQ831" i="49"/>
  <c r="AR831" i="49"/>
  <c r="AS831" i="49"/>
  <c r="AT831" i="49"/>
  <c r="AO832" i="49"/>
  <c r="AP832" i="49"/>
  <c r="AQ832" i="49"/>
  <c r="AR832" i="49"/>
  <c r="AS832" i="49"/>
  <c r="AT832" i="49"/>
  <c r="AO833" i="49"/>
  <c r="AP833" i="49"/>
  <c r="AQ833" i="49"/>
  <c r="AR833" i="49"/>
  <c r="AS833" i="49"/>
  <c r="AT833" i="49"/>
  <c r="AO834" i="49"/>
  <c r="AP834" i="49"/>
  <c r="AQ834" i="49"/>
  <c r="AR834" i="49"/>
  <c r="AS834" i="49"/>
  <c r="AT834" i="49"/>
  <c r="AO835" i="49"/>
  <c r="AP835" i="49"/>
  <c r="AQ835" i="49"/>
  <c r="AR835" i="49"/>
  <c r="AS835" i="49"/>
  <c r="AT835" i="49"/>
  <c r="AO836" i="49"/>
  <c r="AP836" i="49"/>
  <c r="AQ836" i="49"/>
  <c r="AR836" i="49"/>
  <c r="AS836" i="49"/>
  <c r="AT836" i="49"/>
  <c r="AO837" i="49"/>
  <c r="AP837" i="49"/>
  <c r="AQ837" i="49"/>
  <c r="AR837" i="49"/>
  <c r="AS837" i="49"/>
  <c r="AT837" i="49"/>
  <c r="AO838" i="49"/>
  <c r="AP838" i="49"/>
  <c r="AQ838" i="49"/>
  <c r="AR838" i="49"/>
  <c r="AS838" i="49"/>
  <c r="AT838" i="49"/>
  <c r="AO839" i="49"/>
  <c r="AP839" i="49"/>
  <c r="AQ839" i="49"/>
  <c r="AR839" i="49"/>
  <c r="AS839" i="49"/>
  <c r="AT839" i="49"/>
  <c r="AO840" i="49"/>
  <c r="AP840" i="49"/>
  <c r="AQ840" i="49"/>
  <c r="AR840" i="49"/>
  <c r="AS840" i="49"/>
  <c r="AT840" i="49"/>
  <c r="AO841" i="49"/>
  <c r="AP841" i="49"/>
  <c r="AQ841" i="49"/>
  <c r="AR841" i="49"/>
  <c r="AS841" i="49"/>
  <c r="AT841" i="49"/>
  <c r="AO842" i="49"/>
  <c r="AP842" i="49"/>
  <c r="AQ842" i="49"/>
  <c r="AR842" i="49"/>
  <c r="AS842" i="49"/>
  <c r="AT842" i="49"/>
  <c r="AO843" i="49"/>
  <c r="AP843" i="49"/>
  <c r="AQ843" i="49"/>
  <c r="AR843" i="49"/>
  <c r="AS843" i="49"/>
  <c r="AT843" i="49"/>
  <c r="AO844" i="49"/>
  <c r="AP844" i="49"/>
  <c r="AQ844" i="49"/>
  <c r="AR844" i="49"/>
  <c r="AS844" i="49"/>
  <c r="AT844" i="49"/>
  <c r="AO845" i="49"/>
  <c r="AP845" i="49"/>
  <c r="AQ845" i="49"/>
  <c r="AR845" i="49"/>
  <c r="AS845" i="49"/>
  <c r="AT845" i="49"/>
  <c r="AO846" i="49"/>
  <c r="AP846" i="49"/>
  <c r="AQ846" i="49"/>
  <c r="AR846" i="49"/>
  <c r="AS846" i="49"/>
  <c r="AT846" i="49"/>
  <c r="AO847" i="49"/>
  <c r="AP847" i="49"/>
  <c r="AQ847" i="49"/>
  <c r="AR847" i="49"/>
  <c r="AS847" i="49"/>
  <c r="AT847" i="49"/>
  <c r="AO848" i="49"/>
  <c r="AP848" i="49"/>
  <c r="AQ848" i="49"/>
  <c r="AR848" i="49"/>
  <c r="AS848" i="49"/>
  <c r="AT848" i="49"/>
  <c r="AO849" i="49"/>
  <c r="AP849" i="49"/>
  <c r="AQ849" i="49"/>
  <c r="AR849" i="49"/>
  <c r="AS849" i="49"/>
  <c r="AT849" i="49"/>
  <c r="AO850" i="49"/>
  <c r="AP850" i="49"/>
  <c r="AQ850" i="49"/>
  <c r="AR850" i="49"/>
  <c r="AS850" i="49"/>
  <c r="AT850" i="49"/>
  <c r="AO851" i="49"/>
  <c r="AP851" i="49"/>
  <c r="AQ851" i="49"/>
  <c r="AR851" i="49"/>
  <c r="AS851" i="49"/>
  <c r="AT851" i="49"/>
  <c r="AO852" i="49"/>
  <c r="AP852" i="49"/>
  <c r="AQ852" i="49"/>
  <c r="AR852" i="49"/>
  <c r="AS852" i="49"/>
  <c r="AT852" i="49"/>
  <c r="AO853" i="49"/>
  <c r="AP853" i="49"/>
  <c r="AQ853" i="49"/>
  <c r="AR853" i="49"/>
  <c r="AS853" i="49"/>
  <c r="AT853" i="49"/>
  <c r="AO854" i="49"/>
  <c r="AP854" i="49"/>
  <c r="AQ854" i="49"/>
  <c r="AR854" i="49"/>
  <c r="AS854" i="49"/>
  <c r="AT854" i="49"/>
  <c r="AO855" i="49"/>
  <c r="AP855" i="49"/>
  <c r="AQ855" i="49"/>
  <c r="AR855" i="49"/>
  <c r="AS855" i="49"/>
  <c r="AT855" i="49"/>
  <c r="AO856" i="49"/>
  <c r="AP856" i="49"/>
  <c r="AQ856" i="49"/>
  <c r="AR856" i="49"/>
  <c r="AS856" i="49"/>
  <c r="AT856" i="49"/>
  <c r="AO857" i="49"/>
  <c r="AP857" i="49"/>
  <c r="AQ857" i="49"/>
  <c r="AR857" i="49"/>
  <c r="AS857" i="49"/>
  <c r="AT857" i="49"/>
  <c r="AO858" i="49"/>
  <c r="AP858" i="49"/>
  <c r="AQ858" i="49"/>
  <c r="AR858" i="49"/>
  <c r="AS858" i="49"/>
  <c r="AT858" i="49"/>
  <c r="AO859" i="49"/>
  <c r="AP859" i="49"/>
  <c r="AQ859" i="49"/>
  <c r="AR859" i="49"/>
  <c r="AS859" i="49"/>
  <c r="AT859" i="49"/>
  <c r="AO860" i="49"/>
  <c r="AP860" i="49"/>
  <c r="AQ860" i="49"/>
  <c r="AR860" i="49"/>
  <c r="AS860" i="49"/>
  <c r="AT860" i="49"/>
  <c r="AO861" i="49"/>
  <c r="AP861" i="49"/>
  <c r="AQ861" i="49"/>
  <c r="AR861" i="49"/>
  <c r="AS861" i="49"/>
  <c r="AT861" i="49"/>
  <c r="AO862" i="49"/>
  <c r="AP862" i="49"/>
  <c r="AQ862" i="49"/>
  <c r="AR862" i="49"/>
  <c r="AS862" i="49"/>
  <c r="AT862" i="49"/>
  <c r="AO863" i="49"/>
  <c r="AP863" i="49"/>
  <c r="AQ863" i="49"/>
  <c r="AR863" i="49"/>
  <c r="AS863" i="49"/>
  <c r="AT863" i="49"/>
  <c r="AO864" i="49"/>
  <c r="AP864" i="49"/>
  <c r="AQ864" i="49"/>
  <c r="AR864" i="49"/>
  <c r="AS864" i="49"/>
  <c r="AT864" i="49"/>
  <c r="AO865" i="49"/>
  <c r="AP865" i="49"/>
  <c r="AQ865" i="49"/>
  <c r="AR865" i="49"/>
  <c r="AS865" i="49"/>
  <c r="AT865" i="49"/>
  <c r="AO866" i="49"/>
  <c r="AP866" i="49"/>
  <c r="AQ866" i="49"/>
  <c r="AR866" i="49"/>
  <c r="AS866" i="49"/>
  <c r="AT866" i="49"/>
  <c r="AO867" i="49"/>
  <c r="AP867" i="49"/>
  <c r="AQ867" i="49"/>
  <c r="AR867" i="49"/>
  <c r="AS867" i="49"/>
  <c r="AT867" i="49"/>
  <c r="AO868" i="49"/>
  <c r="AP868" i="49"/>
  <c r="AQ868" i="49"/>
  <c r="AR868" i="49"/>
  <c r="AS868" i="49"/>
  <c r="AT868" i="49"/>
  <c r="AO869" i="49"/>
  <c r="AP869" i="49"/>
  <c r="AQ869" i="49"/>
  <c r="AR869" i="49"/>
  <c r="AS869" i="49"/>
  <c r="AT869" i="49"/>
  <c r="AO870" i="49"/>
  <c r="AP870" i="49"/>
  <c r="AQ870" i="49"/>
  <c r="AR870" i="49"/>
  <c r="AS870" i="49"/>
  <c r="AT870" i="49"/>
  <c r="AO871" i="49"/>
  <c r="AP871" i="49"/>
  <c r="AQ871" i="49"/>
  <c r="AR871" i="49"/>
  <c r="AS871" i="49"/>
  <c r="AT871" i="49"/>
  <c r="AO872" i="49"/>
  <c r="AP872" i="49"/>
  <c r="AQ872" i="49"/>
  <c r="AR872" i="49"/>
  <c r="AS872" i="49"/>
  <c r="AT872" i="49"/>
  <c r="AO873" i="49"/>
  <c r="AP873" i="49"/>
  <c r="AQ873" i="49"/>
  <c r="AR873" i="49"/>
  <c r="AS873" i="49"/>
  <c r="AT873" i="49"/>
  <c r="AO874" i="49"/>
  <c r="AP874" i="49"/>
  <c r="AQ874" i="49"/>
  <c r="AR874" i="49"/>
  <c r="AS874" i="49"/>
  <c r="AT874" i="49"/>
  <c r="AO875" i="49"/>
  <c r="AP875" i="49"/>
  <c r="AQ875" i="49"/>
  <c r="AR875" i="49"/>
  <c r="AS875" i="49"/>
  <c r="AT875" i="49"/>
  <c r="AO876" i="49"/>
  <c r="AP876" i="49"/>
  <c r="AQ876" i="49"/>
  <c r="AR876" i="49"/>
  <c r="AS876" i="49"/>
  <c r="AT876" i="49"/>
  <c r="AO877" i="49"/>
  <c r="AP877" i="49"/>
  <c r="AQ877" i="49"/>
  <c r="AR877" i="49"/>
  <c r="AS877" i="49"/>
  <c r="AT877" i="49"/>
  <c r="AO878" i="49"/>
  <c r="AP878" i="49"/>
  <c r="AQ878" i="49"/>
  <c r="AR878" i="49"/>
  <c r="AS878" i="49"/>
  <c r="AT878" i="49"/>
  <c r="AO879" i="49"/>
  <c r="AP879" i="49"/>
  <c r="AQ879" i="49"/>
  <c r="AR879" i="49"/>
  <c r="AS879" i="49"/>
  <c r="AT879" i="49"/>
  <c r="AO880" i="49"/>
  <c r="AP880" i="49"/>
  <c r="AQ880" i="49"/>
  <c r="AR880" i="49"/>
  <c r="AS880" i="49"/>
  <c r="AT880" i="49"/>
  <c r="AO881" i="49"/>
  <c r="AP881" i="49"/>
  <c r="AQ881" i="49"/>
  <c r="AR881" i="49"/>
  <c r="AS881" i="49"/>
  <c r="AT881" i="49"/>
  <c r="AO882" i="49"/>
  <c r="AP882" i="49"/>
  <c r="AQ882" i="49"/>
  <c r="AR882" i="49"/>
  <c r="AS882" i="49"/>
  <c r="AT882" i="49"/>
  <c r="AO883" i="49"/>
  <c r="AP883" i="49"/>
  <c r="AQ883" i="49"/>
  <c r="AR883" i="49"/>
  <c r="AS883" i="49"/>
  <c r="AT883" i="49"/>
  <c r="AO884" i="49"/>
  <c r="AP884" i="49"/>
  <c r="AQ884" i="49"/>
  <c r="AR884" i="49"/>
  <c r="AS884" i="49"/>
  <c r="AT884" i="49"/>
  <c r="AO885" i="49"/>
  <c r="AP885" i="49"/>
  <c r="AQ885" i="49"/>
  <c r="AR885" i="49"/>
  <c r="AS885" i="49"/>
  <c r="AT885" i="49"/>
  <c r="AO886" i="49"/>
  <c r="AP886" i="49"/>
  <c r="AQ886" i="49"/>
  <c r="AR886" i="49"/>
  <c r="AS886" i="49"/>
  <c r="AT886" i="49"/>
  <c r="AO887" i="49"/>
  <c r="AP887" i="49"/>
  <c r="AQ887" i="49"/>
  <c r="AR887" i="49"/>
  <c r="AS887" i="49"/>
  <c r="AT887" i="49"/>
  <c r="AO888" i="49"/>
  <c r="AP888" i="49"/>
  <c r="AQ888" i="49"/>
  <c r="AR888" i="49"/>
  <c r="AS888" i="49"/>
  <c r="AT888" i="49"/>
  <c r="AO889" i="49"/>
  <c r="AP889" i="49"/>
  <c r="AQ889" i="49"/>
  <c r="AR889" i="49"/>
  <c r="AS889" i="49"/>
  <c r="AT889" i="49"/>
  <c r="AO890" i="49"/>
  <c r="AP890" i="49"/>
  <c r="AQ890" i="49"/>
  <c r="AR890" i="49"/>
  <c r="AS890" i="49"/>
  <c r="AT890" i="49"/>
  <c r="AO891" i="49"/>
  <c r="AP891" i="49"/>
  <c r="AQ891" i="49"/>
  <c r="AR891" i="49"/>
  <c r="AS891" i="49"/>
  <c r="AT891" i="49"/>
  <c r="AO892" i="49"/>
  <c r="AP892" i="49"/>
  <c r="AQ892" i="49"/>
  <c r="AR892" i="49"/>
  <c r="AS892" i="49"/>
  <c r="AT892" i="49"/>
  <c r="AO893" i="49"/>
  <c r="AP893" i="49"/>
  <c r="AQ893" i="49"/>
  <c r="AR893" i="49"/>
  <c r="AS893" i="49"/>
  <c r="AT893" i="49"/>
  <c r="AO894" i="49"/>
  <c r="AP894" i="49"/>
  <c r="AQ894" i="49"/>
  <c r="AR894" i="49"/>
  <c r="AS894" i="49"/>
  <c r="AT894" i="49"/>
  <c r="AO895" i="49"/>
  <c r="AP895" i="49"/>
  <c r="AQ895" i="49"/>
  <c r="AR895" i="49"/>
  <c r="AS895" i="49"/>
  <c r="AT895" i="49"/>
  <c r="AO896" i="49"/>
  <c r="AP896" i="49"/>
  <c r="AQ896" i="49"/>
  <c r="AR896" i="49"/>
  <c r="AS896" i="49"/>
  <c r="AT896" i="49"/>
  <c r="AO897" i="49"/>
  <c r="AP897" i="49"/>
  <c r="AQ897" i="49"/>
  <c r="AR897" i="49"/>
  <c r="AS897" i="49"/>
  <c r="AT897" i="49"/>
  <c r="AO898" i="49"/>
  <c r="AP898" i="49"/>
  <c r="AQ898" i="49"/>
  <c r="AR898" i="49"/>
  <c r="AS898" i="49"/>
  <c r="AT898" i="49"/>
  <c r="AO899" i="49"/>
  <c r="AP899" i="49"/>
  <c r="AQ899" i="49"/>
  <c r="AR899" i="49"/>
  <c r="AS899" i="49"/>
  <c r="AT899" i="49"/>
  <c r="AO900" i="49"/>
  <c r="AP900" i="49"/>
  <c r="AQ900" i="49"/>
  <c r="AR900" i="49"/>
  <c r="AS900" i="49"/>
  <c r="AT900" i="49"/>
  <c r="AO901" i="49"/>
  <c r="AP901" i="49"/>
  <c r="AQ901" i="49"/>
  <c r="AR901" i="49"/>
  <c r="AS901" i="49"/>
  <c r="AT901" i="49"/>
  <c r="AO902" i="49"/>
  <c r="AP902" i="49"/>
  <c r="AQ902" i="49"/>
  <c r="AR902" i="49"/>
  <c r="AS902" i="49"/>
  <c r="AT902" i="49"/>
  <c r="AO903" i="49"/>
  <c r="AP903" i="49"/>
  <c r="AQ903" i="49"/>
  <c r="AR903" i="49"/>
  <c r="AS903" i="49"/>
  <c r="AT903" i="49"/>
  <c r="AO904" i="49"/>
  <c r="AP904" i="49"/>
  <c r="AQ904" i="49"/>
  <c r="AR904" i="49"/>
  <c r="AS904" i="49"/>
  <c r="AT904" i="49"/>
  <c r="AO905" i="49"/>
  <c r="AP905" i="49"/>
  <c r="AQ905" i="49"/>
  <c r="AR905" i="49"/>
  <c r="AS905" i="49"/>
  <c r="AT905" i="49"/>
  <c r="AO906" i="49"/>
  <c r="AP906" i="49"/>
  <c r="AQ906" i="49"/>
  <c r="AR906" i="49"/>
  <c r="AS906" i="49"/>
  <c r="AT906" i="49"/>
  <c r="AO907" i="49"/>
  <c r="AP907" i="49"/>
  <c r="AQ907" i="49"/>
  <c r="AR907" i="49"/>
  <c r="AS907" i="49"/>
  <c r="AT907" i="49"/>
  <c r="AO908" i="49"/>
  <c r="AP908" i="49"/>
  <c r="AQ908" i="49"/>
  <c r="AR908" i="49"/>
  <c r="AS908" i="49"/>
  <c r="AT908" i="49"/>
  <c r="AO909" i="49"/>
  <c r="AP909" i="49"/>
  <c r="AQ909" i="49"/>
  <c r="AR909" i="49"/>
  <c r="AS909" i="49"/>
  <c r="AT909" i="49"/>
  <c r="AO910" i="49"/>
  <c r="AP910" i="49"/>
  <c r="AQ910" i="49"/>
  <c r="AR910" i="49"/>
  <c r="AS910" i="49"/>
  <c r="AT910" i="49"/>
  <c r="AO911" i="49"/>
  <c r="AP911" i="49"/>
  <c r="AQ911" i="49"/>
  <c r="AR911" i="49"/>
  <c r="AS911" i="49"/>
  <c r="AT911" i="49"/>
  <c r="AO912" i="49"/>
  <c r="AP912" i="49"/>
  <c r="AQ912" i="49"/>
  <c r="AR912" i="49"/>
  <c r="AS912" i="49"/>
  <c r="AT912" i="49"/>
  <c r="AO913" i="49"/>
  <c r="AP913" i="49"/>
  <c r="AQ913" i="49"/>
  <c r="AR913" i="49"/>
  <c r="AS913" i="49"/>
  <c r="AT913" i="49"/>
  <c r="AO914" i="49"/>
  <c r="AP914" i="49"/>
  <c r="AQ914" i="49"/>
  <c r="AR914" i="49"/>
  <c r="AS914" i="49"/>
  <c r="AT914" i="49"/>
  <c r="AO915" i="49"/>
  <c r="AP915" i="49"/>
  <c r="AQ915" i="49"/>
  <c r="AR915" i="49"/>
  <c r="AS915" i="49"/>
  <c r="AT915" i="49"/>
  <c r="AO916" i="49"/>
  <c r="AP916" i="49"/>
  <c r="AQ916" i="49"/>
  <c r="AR916" i="49"/>
  <c r="AS916" i="49"/>
  <c r="AT916" i="49"/>
  <c r="AO917" i="49"/>
  <c r="AP917" i="49"/>
  <c r="AQ917" i="49"/>
  <c r="AR917" i="49"/>
  <c r="AS917" i="49"/>
  <c r="AT917" i="49"/>
  <c r="AO918" i="49"/>
  <c r="AP918" i="49"/>
  <c r="AQ918" i="49"/>
  <c r="AR918" i="49"/>
  <c r="AS918" i="49"/>
  <c r="AT918" i="49"/>
  <c r="AO919" i="49"/>
  <c r="AP919" i="49"/>
  <c r="AQ919" i="49"/>
  <c r="AR919" i="49"/>
  <c r="AS919" i="49"/>
  <c r="AT919" i="49"/>
  <c r="AO920" i="49"/>
  <c r="AP920" i="49"/>
  <c r="AQ920" i="49"/>
  <c r="AR920" i="49"/>
  <c r="AS920" i="49"/>
  <c r="AT920" i="49"/>
  <c r="AO921" i="49"/>
  <c r="AP921" i="49"/>
  <c r="AQ921" i="49"/>
  <c r="AR921" i="49"/>
  <c r="AS921" i="49"/>
  <c r="AT921" i="49"/>
  <c r="AO922" i="49"/>
  <c r="AP922" i="49"/>
  <c r="AQ922" i="49"/>
  <c r="AR922" i="49"/>
  <c r="AS922" i="49"/>
  <c r="AT922" i="49"/>
  <c r="AO923" i="49"/>
  <c r="AP923" i="49"/>
  <c r="AQ923" i="49"/>
  <c r="AR923" i="49"/>
  <c r="AS923" i="49"/>
  <c r="AT923" i="49"/>
  <c r="AO924" i="49"/>
  <c r="AP924" i="49"/>
  <c r="AQ924" i="49"/>
  <c r="AR924" i="49"/>
  <c r="AS924" i="49"/>
  <c r="AT924" i="49"/>
  <c r="AO925" i="49"/>
  <c r="AP925" i="49"/>
  <c r="AQ925" i="49"/>
  <c r="AR925" i="49"/>
  <c r="AS925" i="49"/>
  <c r="AT925" i="49"/>
  <c r="AO926" i="49"/>
  <c r="AP926" i="49"/>
  <c r="AQ926" i="49"/>
  <c r="AR926" i="49"/>
  <c r="AS926" i="49"/>
  <c r="AT926" i="49"/>
  <c r="AO927" i="49"/>
  <c r="AP927" i="49"/>
  <c r="AQ927" i="49"/>
  <c r="AR927" i="49"/>
  <c r="AS927" i="49"/>
  <c r="AT927" i="49"/>
  <c r="AO928" i="49"/>
  <c r="AP928" i="49"/>
  <c r="AQ928" i="49"/>
  <c r="AR928" i="49"/>
  <c r="AS928" i="49"/>
  <c r="AT928" i="49"/>
  <c r="AO929" i="49"/>
  <c r="AP929" i="49"/>
  <c r="AQ929" i="49"/>
  <c r="AR929" i="49"/>
  <c r="AS929" i="49"/>
  <c r="AT929" i="49"/>
  <c r="AO930" i="49"/>
  <c r="AP930" i="49"/>
  <c r="AQ930" i="49"/>
  <c r="AR930" i="49"/>
  <c r="AS930" i="49"/>
  <c r="AT930" i="49"/>
  <c r="AO931" i="49"/>
  <c r="AP931" i="49"/>
  <c r="AQ931" i="49"/>
  <c r="AR931" i="49"/>
  <c r="AS931" i="49"/>
  <c r="AT931" i="49"/>
  <c r="AO932" i="49"/>
  <c r="AP932" i="49"/>
  <c r="AQ932" i="49"/>
  <c r="AR932" i="49"/>
  <c r="AS932" i="49"/>
  <c r="AT932" i="49"/>
  <c r="AO933" i="49"/>
  <c r="AP933" i="49"/>
  <c r="AQ933" i="49"/>
  <c r="AR933" i="49"/>
  <c r="AS933" i="49"/>
  <c r="AT933" i="49"/>
  <c r="AO934" i="49"/>
  <c r="AP934" i="49"/>
  <c r="AQ934" i="49"/>
  <c r="AR934" i="49"/>
  <c r="AS934" i="49"/>
  <c r="AT934" i="49"/>
  <c r="AO935" i="49"/>
  <c r="AP935" i="49"/>
  <c r="AQ935" i="49"/>
  <c r="AR935" i="49"/>
  <c r="AS935" i="49"/>
  <c r="AT935" i="49"/>
  <c r="AO936" i="49"/>
  <c r="AP936" i="49"/>
  <c r="AQ936" i="49"/>
  <c r="AR936" i="49"/>
  <c r="AS936" i="49"/>
  <c r="AT936" i="49"/>
  <c r="AO937" i="49"/>
  <c r="AP937" i="49"/>
  <c r="AQ937" i="49"/>
  <c r="AR937" i="49"/>
  <c r="AS937" i="49"/>
  <c r="AT937" i="49"/>
  <c r="AO938" i="49"/>
  <c r="AP938" i="49"/>
  <c r="AQ938" i="49"/>
  <c r="AR938" i="49"/>
  <c r="AS938" i="49"/>
  <c r="AT938" i="49"/>
  <c r="AO939" i="49"/>
  <c r="AP939" i="49"/>
  <c r="AQ939" i="49"/>
  <c r="AR939" i="49"/>
  <c r="AS939" i="49"/>
  <c r="AT939" i="49"/>
  <c r="AO940" i="49"/>
  <c r="AP940" i="49"/>
  <c r="AQ940" i="49"/>
  <c r="AR940" i="49"/>
  <c r="AS940" i="49"/>
  <c r="AT940" i="49"/>
  <c r="AO941" i="49"/>
  <c r="AP941" i="49"/>
  <c r="AQ941" i="49"/>
  <c r="AR941" i="49"/>
  <c r="AS941" i="49"/>
  <c r="AT941" i="49"/>
  <c r="AO942" i="49"/>
  <c r="AP942" i="49"/>
  <c r="AQ942" i="49"/>
  <c r="AR942" i="49"/>
  <c r="AS942" i="49"/>
  <c r="AT942" i="49"/>
  <c r="AO943" i="49"/>
  <c r="AP943" i="49"/>
  <c r="AQ943" i="49"/>
  <c r="AR943" i="49"/>
  <c r="AS943" i="49"/>
  <c r="AT943" i="49"/>
  <c r="AO944" i="49"/>
  <c r="AP944" i="49"/>
  <c r="AQ944" i="49"/>
  <c r="AR944" i="49"/>
  <c r="AS944" i="49"/>
  <c r="AT944" i="49"/>
  <c r="AO945" i="49"/>
  <c r="AP945" i="49"/>
  <c r="AQ945" i="49"/>
  <c r="AR945" i="49"/>
  <c r="AS945" i="49"/>
  <c r="AT945" i="49"/>
  <c r="AO946" i="49"/>
  <c r="AP946" i="49"/>
  <c r="AQ946" i="49"/>
  <c r="AR946" i="49"/>
  <c r="AS946" i="49"/>
  <c r="AT946" i="49"/>
  <c r="AO947" i="49"/>
  <c r="AP947" i="49"/>
  <c r="AQ947" i="49"/>
  <c r="AR947" i="49"/>
  <c r="AS947" i="49"/>
  <c r="AT947" i="49"/>
  <c r="AO948" i="49"/>
  <c r="AP948" i="49"/>
  <c r="AQ948" i="49"/>
  <c r="AR948" i="49"/>
  <c r="AS948" i="49"/>
  <c r="AT948" i="49"/>
  <c r="AO949" i="49"/>
  <c r="AP949" i="49"/>
  <c r="AQ949" i="49"/>
  <c r="AR949" i="49"/>
  <c r="AS949" i="49"/>
  <c r="AT949" i="49"/>
  <c r="AO950" i="49"/>
  <c r="AP950" i="49"/>
  <c r="AQ950" i="49"/>
  <c r="AR950" i="49"/>
  <c r="AS950" i="49"/>
  <c r="AT950" i="49"/>
  <c r="AO951" i="49"/>
  <c r="AP951" i="49"/>
  <c r="AQ951" i="49"/>
  <c r="AR951" i="49"/>
  <c r="AS951" i="49"/>
  <c r="AT951" i="49"/>
  <c r="AO952" i="49"/>
  <c r="AP952" i="49"/>
  <c r="AQ952" i="49"/>
  <c r="AR952" i="49"/>
  <c r="AS952" i="49"/>
  <c r="AT952" i="49"/>
  <c r="AO953" i="49"/>
  <c r="AP953" i="49"/>
  <c r="AQ953" i="49"/>
  <c r="AR953" i="49"/>
  <c r="AS953" i="49"/>
  <c r="AT953" i="49"/>
  <c r="AO954" i="49"/>
  <c r="AP954" i="49"/>
  <c r="AQ954" i="49"/>
  <c r="AR954" i="49"/>
  <c r="AS954" i="49"/>
  <c r="AT954" i="49"/>
  <c r="AO955" i="49"/>
  <c r="AP955" i="49"/>
  <c r="AQ955" i="49"/>
  <c r="AR955" i="49"/>
  <c r="AS955" i="49"/>
  <c r="AT955" i="49"/>
  <c r="AO956" i="49"/>
  <c r="AP956" i="49"/>
  <c r="AQ956" i="49"/>
  <c r="AR956" i="49"/>
  <c r="AS956" i="49"/>
  <c r="AT956" i="49"/>
  <c r="AO957" i="49"/>
  <c r="AP957" i="49"/>
  <c r="AQ957" i="49"/>
  <c r="AR957" i="49"/>
  <c r="AS957" i="49"/>
  <c r="AT957" i="49"/>
  <c r="AO958" i="49"/>
  <c r="AP958" i="49"/>
  <c r="AQ958" i="49"/>
  <c r="AR958" i="49"/>
  <c r="AS958" i="49"/>
  <c r="AT958" i="49"/>
  <c r="AO959" i="49"/>
  <c r="AP959" i="49"/>
  <c r="AQ959" i="49"/>
  <c r="AR959" i="49"/>
  <c r="AS959" i="49"/>
  <c r="AT959" i="49"/>
  <c r="AO960" i="49"/>
  <c r="AP960" i="49"/>
  <c r="AQ960" i="49"/>
  <c r="AR960" i="49"/>
  <c r="AS960" i="49"/>
  <c r="AT960" i="49"/>
  <c r="AO961" i="49"/>
  <c r="AP961" i="49"/>
  <c r="AQ961" i="49"/>
  <c r="AR961" i="49"/>
  <c r="AS961" i="49"/>
  <c r="AT961" i="49"/>
  <c r="AO962" i="49"/>
  <c r="AP962" i="49"/>
  <c r="AQ962" i="49"/>
  <c r="AR962" i="49"/>
  <c r="AS962" i="49"/>
  <c r="AT962" i="49"/>
  <c r="AO963" i="49"/>
  <c r="AP963" i="49"/>
  <c r="AQ963" i="49"/>
  <c r="AR963" i="49"/>
  <c r="AS963" i="49"/>
  <c r="AT963" i="49"/>
  <c r="AO964" i="49"/>
  <c r="AP964" i="49"/>
  <c r="AQ964" i="49"/>
  <c r="AR964" i="49"/>
  <c r="AS964" i="49"/>
  <c r="AT964" i="49"/>
  <c r="AO965" i="49"/>
  <c r="AP965" i="49"/>
  <c r="AQ965" i="49"/>
  <c r="AR965" i="49"/>
  <c r="AS965" i="49"/>
  <c r="AT965" i="49"/>
  <c r="AO966" i="49"/>
  <c r="AP966" i="49"/>
  <c r="AQ966" i="49"/>
  <c r="AR966" i="49"/>
  <c r="AS966" i="49"/>
  <c r="AT966" i="49"/>
  <c r="AO967" i="49"/>
  <c r="AP967" i="49"/>
  <c r="AQ967" i="49"/>
  <c r="AR967" i="49"/>
  <c r="AS967" i="49"/>
  <c r="AT967" i="49"/>
  <c r="AO968" i="49"/>
  <c r="AP968" i="49"/>
  <c r="AQ968" i="49"/>
  <c r="AR968" i="49"/>
  <c r="AS968" i="49"/>
  <c r="AT968" i="49"/>
  <c r="AO969" i="49"/>
  <c r="AP969" i="49"/>
  <c r="AQ969" i="49"/>
  <c r="AR969" i="49"/>
  <c r="AS969" i="49"/>
  <c r="AT969" i="49"/>
  <c r="AO970" i="49"/>
  <c r="AP970" i="49"/>
  <c r="AQ970" i="49"/>
  <c r="AR970" i="49"/>
  <c r="AS970" i="49"/>
  <c r="AT970" i="49"/>
  <c r="AO971" i="49"/>
  <c r="AP971" i="49"/>
  <c r="AQ971" i="49"/>
  <c r="AR971" i="49"/>
  <c r="AS971" i="49"/>
  <c r="AT971" i="49"/>
  <c r="AO972" i="49"/>
  <c r="AP972" i="49"/>
  <c r="AQ972" i="49"/>
  <c r="AR972" i="49"/>
  <c r="AS972" i="49"/>
  <c r="AT972" i="49"/>
  <c r="AO973" i="49"/>
  <c r="AP973" i="49"/>
  <c r="AQ973" i="49"/>
  <c r="AR973" i="49"/>
  <c r="AS973" i="49"/>
  <c r="AT973" i="49"/>
  <c r="AO974" i="49"/>
  <c r="AP974" i="49"/>
  <c r="AQ974" i="49"/>
  <c r="AR974" i="49"/>
  <c r="AS974" i="49"/>
  <c r="AT974" i="49"/>
  <c r="AO975" i="49"/>
  <c r="AP975" i="49"/>
  <c r="AQ975" i="49"/>
  <c r="AR975" i="49"/>
  <c r="AS975" i="49"/>
  <c r="AT975" i="49"/>
  <c r="AO976" i="49"/>
  <c r="AP976" i="49"/>
  <c r="AQ976" i="49"/>
  <c r="AR976" i="49"/>
  <c r="AS976" i="49"/>
  <c r="AT976" i="49"/>
  <c r="AO977" i="49"/>
  <c r="AP977" i="49"/>
  <c r="AQ977" i="49"/>
  <c r="AR977" i="49"/>
  <c r="AS977" i="49"/>
  <c r="AT977" i="49"/>
  <c r="AO978" i="49"/>
  <c r="AP978" i="49"/>
  <c r="AQ978" i="49"/>
  <c r="AR978" i="49"/>
  <c r="AS978" i="49"/>
  <c r="AT978" i="49"/>
  <c r="AO979" i="49"/>
  <c r="AP979" i="49"/>
  <c r="AQ979" i="49"/>
  <c r="AR979" i="49"/>
  <c r="AS979" i="49"/>
  <c r="AT979" i="49"/>
  <c r="AO980" i="49"/>
  <c r="AP980" i="49"/>
  <c r="AQ980" i="49"/>
  <c r="AR980" i="49"/>
  <c r="AS980" i="49"/>
  <c r="AT980" i="49"/>
  <c r="AO981" i="49"/>
  <c r="AP981" i="49"/>
  <c r="AQ981" i="49"/>
  <c r="AR981" i="49"/>
  <c r="AS981" i="49"/>
  <c r="AT981" i="49"/>
  <c r="AO982" i="49"/>
  <c r="AP982" i="49"/>
  <c r="AQ982" i="49"/>
  <c r="AR982" i="49"/>
  <c r="AS982" i="49"/>
  <c r="AT982" i="49"/>
  <c r="AO983" i="49"/>
  <c r="AP983" i="49"/>
  <c r="AQ983" i="49"/>
  <c r="AR983" i="49"/>
  <c r="AS983" i="49"/>
  <c r="AT983" i="49"/>
  <c r="AO984" i="49"/>
  <c r="AP984" i="49"/>
  <c r="AQ984" i="49"/>
  <c r="AR984" i="49"/>
  <c r="AS984" i="49"/>
  <c r="AT984" i="49"/>
  <c r="AO985" i="49"/>
  <c r="AP985" i="49"/>
  <c r="AQ985" i="49"/>
  <c r="AR985" i="49"/>
  <c r="AS985" i="49"/>
  <c r="AT985" i="49"/>
  <c r="AO986" i="49"/>
  <c r="AP986" i="49"/>
  <c r="AQ986" i="49"/>
  <c r="AR986" i="49"/>
  <c r="AS986" i="49"/>
  <c r="AT986" i="49"/>
  <c r="AO987" i="49"/>
  <c r="AP987" i="49"/>
  <c r="AQ987" i="49"/>
  <c r="AR987" i="49"/>
  <c r="AS987" i="49"/>
  <c r="AT987" i="49"/>
  <c r="AO988" i="49"/>
  <c r="AP988" i="49"/>
  <c r="AQ988" i="49"/>
  <c r="AR988" i="49"/>
  <c r="AS988" i="49"/>
  <c r="AT988" i="49"/>
  <c r="AO989" i="49"/>
  <c r="AP989" i="49"/>
  <c r="AQ989" i="49"/>
  <c r="AR989" i="49"/>
  <c r="AS989" i="49"/>
  <c r="AT989" i="49"/>
  <c r="AO990" i="49"/>
  <c r="AP990" i="49"/>
  <c r="AQ990" i="49"/>
  <c r="AR990" i="49"/>
  <c r="AS990" i="49"/>
  <c r="AT990" i="49"/>
  <c r="AO991" i="49"/>
  <c r="AP991" i="49"/>
  <c r="AQ991" i="49"/>
  <c r="AR991" i="49"/>
  <c r="AS991" i="49"/>
  <c r="AT991" i="49"/>
  <c r="AO992" i="49"/>
  <c r="AP992" i="49"/>
  <c r="AQ992" i="49"/>
  <c r="AR992" i="49"/>
  <c r="AS992" i="49"/>
  <c r="AT992" i="49"/>
  <c r="AO993" i="49"/>
  <c r="AP993" i="49"/>
  <c r="AQ993" i="49"/>
  <c r="AR993" i="49"/>
  <c r="AS993" i="49"/>
  <c r="AT993" i="49"/>
  <c r="AO994" i="49"/>
  <c r="AP994" i="49"/>
  <c r="AQ994" i="49"/>
  <c r="AR994" i="49"/>
  <c r="AS994" i="49"/>
  <c r="AT994" i="49"/>
  <c r="AO995" i="49"/>
  <c r="AP995" i="49"/>
  <c r="AQ995" i="49"/>
  <c r="AR995" i="49"/>
  <c r="AS995" i="49"/>
  <c r="AT995" i="49"/>
  <c r="AO996" i="49"/>
  <c r="AP996" i="49"/>
  <c r="AQ996" i="49"/>
  <c r="AR996" i="49"/>
  <c r="AS996" i="49"/>
  <c r="AT996" i="49"/>
  <c r="AO997" i="49"/>
  <c r="AP997" i="49"/>
  <c r="AQ997" i="49"/>
  <c r="AR997" i="49"/>
  <c r="AS997" i="49"/>
  <c r="AT997" i="49"/>
  <c r="AO998" i="49"/>
  <c r="AP998" i="49"/>
  <c r="AQ998" i="49"/>
  <c r="AR998" i="49"/>
  <c r="AS998" i="49"/>
  <c r="AT998" i="49"/>
  <c r="AO999" i="49"/>
  <c r="AP999" i="49"/>
  <c r="AQ999" i="49"/>
  <c r="AR999" i="49"/>
  <c r="AS999" i="49"/>
  <c r="AT999" i="49"/>
  <c r="AO1000" i="49"/>
  <c r="AP1000" i="49"/>
  <c r="AQ1000" i="49"/>
  <c r="AR1000" i="49"/>
  <c r="AS1000" i="49"/>
  <c r="AT1000" i="49"/>
  <c r="AO1001" i="49"/>
  <c r="AP1001" i="49"/>
  <c r="AQ1001" i="49"/>
  <c r="AR1001" i="49"/>
  <c r="AS1001" i="49"/>
  <c r="AT1001" i="49"/>
  <c r="AO1002" i="49"/>
  <c r="AP1002" i="49"/>
  <c r="AQ1002" i="49"/>
  <c r="AR1002" i="49"/>
  <c r="AS1002" i="49"/>
  <c r="AT1002" i="49"/>
  <c r="AO1003" i="49"/>
  <c r="AP1003" i="49"/>
  <c r="AQ1003" i="49"/>
  <c r="AR1003" i="49"/>
  <c r="AS1003" i="49"/>
  <c r="AT1003" i="49"/>
  <c r="AO1004" i="49"/>
  <c r="AP1004" i="49"/>
  <c r="AQ1004" i="49"/>
  <c r="AR1004" i="49"/>
  <c r="AS1004" i="49"/>
  <c r="AT1004" i="49"/>
  <c r="AO1005" i="49"/>
  <c r="AP1005" i="49"/>
  <c r="AQ1005" i="49"/>
  <c r="AR1005" i="49"/>
  <c r="AS1005" i="49"/>
  <c r="AT1005" i="49"/>
  <c r="AO1006" i="49"/>
  <c r="AP1006" i="49"/>
  <c r="AQ1006" i="49"/>
  <c r="AR1006" i="49"/>
  <c r="AS1006" i="49"/>
  <c r="AT1006" i="49"/>
  <c r="AO1007" i="49"/>
  <c r="AP1007" i="49"/>
  <c r="AQ1007" i="49"/>
  <c r="AR1007" i="49"/>
  <c r="AS1007" i="49"/>
  <c r="AT1007" i="49"/>
  <c r="AO1008" i="49"/>
  <c r="AP1008" i="49"/>
  <c r="AQ1008" i="49"/>
  <c r="AR1008" i="49"/>
  <c r="AS1008" i="49"/>
  <c r="AT1008" i="49"/>
  <c r="AO1009" i="49"/>
  <c r="AP1009" i="49"/>
  <c r="AQ1009" i="49"/>
  <c r="AR1009" i="49"/>
  <c r="AS1009" i="49"/>
  <c r="AT1009" i="49"/>
  <c r="AO1010" i="49"/>
  <c r="AP1010" i="49"/>
  <c r="AQ1010" i="49"/>
  <c r="AR1010" i="49"/>
  <c r="AS1010" i="49"/>
  <c r="AT1010" i="49"/>
  <c r="AO1011" i="49"/>
  <c r="AP1011" i="49"/>
  <c r="AQ1011" i="49"/>
  <c r="AR1011" i="49"/>
  <c r="AS1011" i="49"/>
  <c r="AT1011" i="49"/>
  <c r="AO1012" i="49"/>
  <c r="AP1012" i="49"/>
  <c r="AQ1012" i="49"/>
  <c r="AR1012" i="49"/>
  <c r="AS1012" i="49"/>
  <c r="AT1012" i="49"/>
  <c r="AO1013" i="49"/>
  <c r="AP1013" i="49"/>
  <c r="AQ1013" i="49"/>
  <c r="AR1013" i="49"/>
  <c r="AS1013" i="49"/>
  <c r="AT1013" i="49"/>
  <c r="AO1014" i="49"/>
  <c r="AP1014" i="49"/>
  <c r="AQ1014" i="49"/>
  <c r="AR1014" i="49"/>
  <c r="AS1014" i="49"/>
  <c r="AT1014" i="49"/>
  <c r="AO1015" i="49"/>
  <c r="AP1015" i="49"/>
  <c r="AQ1015" i="49"/>
  <c r="AR1015" i="49"/>
  <c r="AS1015" i="49"/>
  <c r="AT1015" i="49"/>
  <c r="AO1016" i="49"/>
  <c r="AP1016" i="49"/>
  <c r="AQ1016" i="49"/>
  <c r="AR1016" i="49"/>
  <c r="AS1016" i="49"/>
  <c r="AT1016" i="49"/>
  <c r="AO1017" i="49"/>
  <c r="AP1017" i="49"/>
  <c r="AQ1017" i="49"/>
  <c r="AR1017" i="49"/>
  <c r="AS1017" i="49"/>
  <c r="AT1017" i="49"/>
  <c r="AO1018" i="49"/>
  <c r="AP1018" i="49"/>
  <c r="AQ1018" i="49"/>
  <c r="AR1018" i="49"/>
  <c r="AS1018" i="49"/>
  <c r="AT1018" i="49"/>
  <c r="AO1019" i="49"/>
  <c r="AP1019" i="49"/>
  <c r="AQ1019" i="49"/>
  <c r="AR1019" i="49"/>
  <c r="AS1019" i="49"/>
  <c r="AT1019" i="49"/>
  <c r="AO1020" i="49"/>
  <c r="AP1020" i="49"/>
  <c r="AQ1020" i="49"/>
  <c r="AR1020" i="49"/>
  <c r="AS1020" i="49"/>
  <c r="AT1020" i="49"/>
  <c r="AO1021" i="49"/>
  <c r="AP1021" i="49"/>
  <c r="AQ1021" i="49"/>
  <c r="AR1021" i="49"/>
  <c r="AS1021" i="49"/>
  <c r="AT1021" i="49"/>
  <c r="AO1022" i="49"/>
  <c r="AP1022" i="49"/>
  <c r="AQ1022" i="49"/>
  <c r="AR1022" i="49"/>
  <c r="AS1022" i="49"/>
  <c r="AT1022" i="49"/>
  <c r="AO1023" i="49"/>
  <c r="AP1023" i="49"/>
  <c r="AQ1023" i="49"/>
  <c r="AR1023" i="49"/>
  <c r="AS1023" i="49"/>
  <c r="AT1023" i="49"/>
  <c r="AO1024" i="49"/>
  <c r="AP1024" i="49"/>
  <c r="AQ1024" i="49"/>
  <c r="AR1024" i="49"/>
  <c r="AS1024" i="49"/>
  <c r="AT1024" i="49"/>
  <c r="AO1025" i="49"/>
  <c r="AP1025" i="49"/>
  <c r="AQ1025" i="49"/>
  <c r="AR1025" i="49"/>
  <c r="AS1025" i="49"/>
  <c r="AT1025" i="49"/>
  <c r="AO1026" i="49"/>
  <c r="AP1026" i="49"/>
  <c r="AQ1026" i="49"/>
  <c r="AR1026" i="49"/>
  <c r="AS1026" i="49"/>
  <c r="AT1026" i="49"/>
  <c r="AO1027" i="49"/>
  <c r="AP1027" i="49"/>
  <c r="AQ1027" i="49"/>
  <c r="AR1027" i="49"/>
  <c r="AS1027" i="49"/>
  <c r="AT1027" i="49"/>
  <c r="AO1028" i="49"/>
  <c r="AP1028" i="49"/>
  <c r="AQ1028" i="49"/>
  <c r="AR1028" i="49"/>
  <c r="AS1028" i="49"/>
  <c r="AT1028" i="49"/>
  <c r="AO1029" i="49"/>
  <c r="AP1029" i="49"/>
  <c r="AQ1029" i="49"/>
  <c r="AR1029" i="49"/>
  <c r="AS1029" i="49"/>
  <c r="AT1029" i="49"/>
  <c r="AO1030" i="49"/>
  <c r="AP1030" i="49"/>
  <c r="AQ1030" i="49"/>
  <c r="AR1030" i="49"/>
  <c r="AS1030" i="49"/>
  <c r="AT1030" i="49"/>
  <c r="AO1031" i="49"/>
  <c r="AP1031" i="49"/>
  <c r="AQ1031" i="49"/>
  <c r="AR1031" i="49"/>
  <c r="AS1031" i="49"/>
  <c r="AT1031" i="49"/>
  <c r="AO1032" i="49"/>
  <c r="AP1032" i="49"/>
  <c r="AQ1032" i="49"/>
  <c r="AR1032" i="49"/>
  <c r="AS1032" i="49"/>
  <c r="AT1032" i="49"/>
  <c r="AO1033" i="49"/>
  <c r="AP1033" i="49"/>
  <c r="AQ1033" i="49"/>
  <c r="AR1033" i="49"/>
  <c r="AS1033" i="49"/>
  <c r="AT1033" i="49"/>
  <c r="AO1034" i="49"/>
  <c r="AP1034" i="49"/>
  <c r="AQ1034" i="49"/>
  <c r="AR1034" i="49"/>
  <c r="AS1034" i="49"/>
  <c r="AT1034" i="49"/>
  <c r="AO1035" i="49"/>
  <c r="AP1035" i="49"/>
  <c r="AQ1035" i="49"/>
  <c r="AR1035" i="49"/>
  <c r="AS1035" i="49"/>
  <c r="AT1035" i="49"/>
  <c r="AO1036" i="49"/>
  <c r="AP1036" i="49"/>
  <c r="AQ1036" i="49"/>
  <c r="AR1036" i="49"/>
  <c r="AS1036" i="49"/>
  <c r="AT1036" i="49"/>
  <c r="AO1037" i="49"/>
  <c r="AP1037" i="49"/>
  <c r="AQ1037" i="49"/>
  <c r="AR1037" i="49"/>
  <c r="AS1037" i="49"/>
  <c r="AT1037" i="49"/>
  <c r="AO1038" i="49"/>
  <c r="AP1038" i="49"/>
  <c r="AQ1038" i="49"/>
  <c r="AR1038" i="49"/>
  <c r="AS1038" i="49"/>
  <c r="AT1038" i="49"/>
  <c r="AO1039" i="49"/>
  <c r="AP1039" i="49"/>
  <c r="AQ1039" i="49"/>
  <c r="AR1039" i="49"/>
  <c r="AS1039" i="49"/>
  <c r="AT1039" i="49"/>
  <c r="AO1040" i="49"/>
  <c r="AP1040" i="49"/>
  <c r="AQ1040" i="49"/>
  <c r="AR1040" i="49"/>
  <c r="AS1040" i="49"/>
  <c r="AT1040" i="49"/>
  <c r="AO1041" i="49"/>
  <c r="AP1041" i="49"/>
  <c r="AQ1041" i="49"/>
  <c r="AR1041" i="49"/>
  <c r="AS1041" i="49"/>
  <c r="AT1041" i="49"/>
  <c r="AO1042" i="49"/>
  <c r="AP1042" i="49"/>
  <c r="AQ1042" i="49"/>
  <c r="AR1042" i="49"/>
  <c r="AS1042" i="49"/>
  <c r="AT1042" i="49"/>
  <c r="AO1043" i="49"/>
  <c r="AP1043" i="49"/>
  <c r="AQ1043" i="49"/>
  <c r="AR1043" i="49"/>
  <c r="AS1043" i="49"/>
  <c r="AT1043" i="49"/>
  <c r="AO1044" i="49"/>
  <c r="AP1044" i="49"/>
  <c r="AQ1044" i="49"/>
  <c r="AR1044" i="49"/>
  <c r="AS1044" i="49"/>
  <c r="AT1044" i="49"/>
  <c r="AO1045" i="49"/>
  <c r="AP1045" i="49"/>
  <c r="AQ1045" i="49"/>
  <c r="AR1045" i="49"/>
  <c r="AS1045" i="49"/>
  <c r="AT1045" i="49"/>
  <c r="AO1046" i="49"/>
  <c r="AP1046" i="49"/>
  <c r="AQ1046" i="49"/>
  <c r="AR1046" i="49"/>
  <c r="AS1046" i="49"/>
  <c r="AT1046" i="49"/>
  <c r="AO1047" i="49"/>
  <c r="AP1047" i="49"/>
  <c r="AQ1047" i="49"/>
  <c r="AR1047" i="49"/>
  <c r="AS1047" i="49"/>
  <c r="AT1047" i="49"/>
  <c r="AO1048" i="49"/>
  <c r="AP1048" i="49"/>
  <c r="AQ1048" i="49"/>
  <c r="AR1048" i="49"/>
  <c r="AS1048" i="49"/>
  <c r="AT1048" i="49"/>
  <c r="AO1049" i="49"/>
  <c r="AP1049" i="49"/>
  <c r="AQ1049" i="49"/>
  <c r="AR1049" i="49"/>
  <c r="AS1049" i="49"/>
  <c r="AT1049" i="49"/>
  <c r="AO1050" i="49"/>
  <c r="AP1050" i="49"/>
  <c r="AQ1050" i="49"/>
  <c r="AR1050" i="49"/>
  <c r="AS1050" i="49"/>
  <c r="AT1050" i="49"/>
  <c r="AO1051" i="49"/>
  <c r="AP1051" i="49"/>
  <c r="AQ1051" i="49"/>
  <c r="AR1051" i="49"/>
  <c r="AS1051" i="49"/>
  <c r="AT1051" i="49"/>
  <c r="AO1052" i="49"/>
  <c r="AP1052" i="49"/>
  <c r="AQ1052" i="49"/>
  <c r="AR1052" i="49"/>
  <c r="AS1052" i="49"/>
  <c r="AT1052" i="49"/>
  <c r="AO1053" i="49"/>
  <c r="AP1053" i="49"/>
  <c r="AQ1053" i="49"/>
  <c r="AR1053" i="49"/>
  <c r="AS1053" i="49"/>
  <c r="AT1053" i="49"/>
  <c r="AO1054" i="49"/>
  <c r="AP1054" i="49"/>
  <c r="AQ1054" i="49"/>
  <c r="AR1054" i="49"/>
  <c r="AS1054" i="49"/>
  <c r="AT1054" i="49"/>
  <c r="AO1055" i="49"/>
  <c r="AP1055" i="49"/>
  <c r="AQ1055" i="49"/>
  <c r="AR1055" i="49"/>
  <c r="AS1055" i="49"/>
  <c r="AT1055" i="49"/>
  <c r="AO1056" i="49"/>
  <c r="AP1056" i="49"/>
  <c r="AQ1056" i="49"/>
  <c r="AR1056" i="49"/>
  <c r="AS1056" i="49"/>
  <c r="AT1056" i="49"/>
  <c r="AO1057" i="49"/>
  <c r="AP1057" i="49"/>
  <c r="AQ1057" i="49"/>
  <c r="AR1057" i="49"/>
  <c r="AS1057" i="49"/>
  <c r="AT1057" i="49"/>
  <c r="AO1058" i="49"/>
  <c r="AP1058" i="49"/>
  <c r="AQ1058" i="49"/>
  <c r="AR1058" i="49"/>
  <c r="AS1058" i="49"/>
  <c r="AT1058" i="49"/>
  <c r="AO1059" i="49"/>
  <c r="AP1059" i="49"/>
  <c r="AQ1059" i="49"/>
  <c r="AR1059" i="49"/>
  <c r="AS1059" i="49"/>
  <c r="AT1059" i="49"/>
  <c r="AO1060" i="49"/>
  <c r="AP1060" i="49"/>
  <c r="AQ1060" i="49"/>
  <c r="AR1060" i="49"/>
  <c r="AS1060" i="49"/>
  <c r="AT1060" i="49"/>
  <c r="AO1061" i="49"/>
  <c r="AP1061" i="49"/>
  <c r="AQ1061" i="49"/>
  <c r="AR1061" i="49"/>
  <c r="AS1061" i="49"/>
  <c r="AT1061" i="49"/>
  <c r="AO1062" i="49"/>
  <c r="AP1062" i="49"/>
  <c r="AQ1062" i="49"/>
  <c r="AR1062" i="49"/>
  <c r="AS1062" i="49"/>
  <c r="AT1062" i="49"/>
  <c r="AO1063" i="49"/>
  <c r="AP1063" i="49"/>
  <c r="AQ1063" i="49"/>
  <c r="AR1063" i="49"/>
  <c r="AS1063" i="49"/>
  <c r="AT1063" i="49"/>
  <c r="AO1064" i="49"/>
  <c r="AP1064" i="49"/>
  <c r="AQ1064" i="49"/>
  <c r="AR1064" i="49"/>
  <c r="AS1064" i="49"/>
  <c r="AT1064" i="49"/>
  <c r="AO1065" i="49"/>
  <c r="AP1065" i="49"/>
  <c r="AQ1065" i="49"/>
  <c r="AR1065" i="49"/>
  <c r="AS1065" i="49"/>
  <c r="AT1065" i="49"/>
  <c r="AO1066" i="49"/>
  <c r="AP1066" i="49"/>
  <c r="AQ1066" i="49"/>
  <c r="AR1066" i="49"/>
  <c r="AS1066" i="49"/>
  <c r="AT1066" i="49"/>
  <c r="AO1067" i="49"/>
  <c r="AP1067" i="49"/>
  <c r="AQ1067" i="49"/>
  <c r="AR1067" i="49"/>
  <c r="AS1067" i="49"/>
  <c r="AT1067" i="49"/>
  <c r="AO1068" i="49"/>
  <c r="AP1068" i="49"/>
  <c r="AQ1068" i="49"/>
  <c r="AR1068" i="49"/>
  <c r="AS1068" i="49"/>
  <c r="AT1068" i="49"/>
  <c r="AO1069" i="49"/>
  <c r="AP1069" i="49"/>
  <c r="AQ1069" i="49"/>
  <c r="AR1069" i="49"/>
  <c r="AS1069" i="49"/>
  <c r="AT1069" i="49"/>
  <c r="AO1070" i="49"/>
  <c r="AP1070" i="49"/>
  <c r="AQ1070" i="49"/>
  <c r="AR1070" i="49"/>
  <c r="AS1070" i="49"/>
  <c r="AT1070" i="49"/>
  <c r="AO1071" i="49"/>
  <c r="AP1071" i="49"/>
  <c r="AQ1071" i="49"/>
  <c r="AR1071" i="49"/>
  <c r="AS1071" i="49"/>
  <c r="AT1071" i="49"/>
  <c r="AO1072" i="49"/>
  <c r="AP1072" i="49"/>
  <c r="AQ1072" i="49"/>
  <c r="AR1072" i="49"/>
  <c r="AS1072" i="49"/>
  <c r="AT1072" i="49"/>
  <c r="AO1073" i="49"/>
  <c r="AP1073" i="49"/>
  <c r="AQ1073" i="49"/>
  <c r="AR1073" i="49"/>
  <c r="AS1073" i="49"/>
  <c r="AT1073" i="49"/>
  <c r="AO1074" i="49"/>
  <c r="AP1074" i="49"/>
  <c r="AQ1074" i="49"/>
  <c r="AR1074" i="49"/>
  <c r="AS1074" i="49"/>
  <c r="AT1074" i="49"/>
  <c r="AO1075" i="49"/>
  <c r="AP1075" i="49"/>
  <c r="AQ1075" i="49"/>
  <c r="AR1075" i="49"/>
  <c r="AS1075" i="49"/>
  <c r="AT1075" i="49"/>
  <c r="AO1076" i="49"/>
  <c r="AP1076" i="49"/>
  <c r="AQ1076" i="49"/>
  <c r="AR1076" i="49"/>
  <c r="AS1076" i="49"/>
  <c r="AT1076" i="49"/>
  <c r="AO1077" i="49"/>
  <c r="AP1077" i="49"/>
  <c r="AQ1077" i="49"/>
  <c r="AR1077" i="49"/>
  <c r="AS1077" i="49"/>
  <c r="AT1077" i="49"/>
  <c r="AO1078" i="49"/>
  <c r="AP1078" i="49"/>
  <c r="AQ1078" i="49"/>
  <c r="AR1078" i="49"/>
  <c r="AS1078" i="49"/>
  <c r="AT1078" i="49"/>
  <c r="AO1079" i="49"/>
  <c r="AP1079" i="49"/>
  <c r="AQ1079" i="49"/>
  <c r="AR1079" i="49"/>
  <c r="AS1079" i="49"/>
  <c r="AT1079" i="49"/>
  <c r="AO1080" i="49"/>
  <c r="AP1080" i="49"/>
  <c r="AQ1080" i="49"/>
  <c r="AR1080" i="49"/>
  <c r="AS1080" i="49"/>
  <c r="AT1080" i="49"/>
  <c r="AO1081" i="49"/>
  <c r="AP1081" i="49"/>
  <c r="AQ1081" i="49"/>
  <c r="AR1081" i="49"/>
  <c r="AS1081" i="49"/>
  <c r="AT1081" i="49"/>
  <c r="AO1082" i="49"/>
  <c r="AP1082" i="49"/>
  <c r="AQ1082" i="49"/>
  <c r="AR1082" i="49"/>
  <c r="AS1082" i="49"/>
  <c r="AT1082" i="49"/>
  <c r="AO1083" i="49"/>
  <c r="AP1083" i="49"/>
  <c r="AQ1083" i="49"/>
  <c r="AR1083" i="49"/>
  <c r="AS1083" i="49"/>
  <c r="AT1083" i="49"/>
  <c r="AO1084" i="49"/>
  <c r="AP1084" i="49"/>
  <c r="AQ1084" i="49"/>
  <c r="AR1084" i="49"/>
  <c r="AS1084" i="49"/>
  <c r="AT1084" i="49"/>
  <c r="AO1085" i="49"/>
  <c r="AP1085" i="49"/>
  <c r="AQ1085" i="49"/>
  <c r="AR1085" i="49"/>
  <c r="AS1085" i="49"/>
  <c r="AT1085" i="49"/>
  <c r="AO1086" i="49"/>
  <c r="AP1086" i="49"/>
  <c r="AQ1086" i="49"/>
  <c r="AR1086" i="49"/>
  <c r="AS1086" i="49"/>
  <c r="AT1086" i="49"/>
  <c r="AO1087" i="49"/>
  <c r="AP1087" i="49"/>
  <c r="AQ1087" i="49"/>
  <c r="AR1087" i="49"/>
  <c r="AS1087" i="49"/>
  <c r="AT1087" i="49"/>
  <c r="AO1088" i="49"/>
  <c r="AP1088" i="49"/>
  <c r="AQ1088" i="49"/>
  <c r="AR1088" i="49"/>
  <c r="AS1088" i="49"/>
  <c r="AT1088" i="49"/>
  <c r="AO1089" i="49"/>
  <c r="AP1089" i="49"/>
  <c r="AQ1089" i="49"/>
  <c r="AR1089" i="49"/>
  <c r="AS1089" i="49"/>
  <c r="AT1089" i="49"/>
  <c r="AO1090" i="49"/>
  <c r="AP1090" i="49"/>
  <c r="AQ1090" i="49"/>
  <c r="AR1090" i="49"/>
  <c r="AS1090" i="49"/>
  <c r="AT1090" i="49"/>
  <c r="AO1091" i="49"/>
  <c r="AP1091" i="49"/>
  <c r="AQ1091" i="49"/>
  <c r="AR1091" i="49"/>
  <c r="AS1091" i="49"/>
  <c r="AT1091" i="49"/>
  <c r="AO1092" i="49"/>
  <c r="AP1092" i="49"/>
  <c r="AQ1092" i="49"/>
  <c r="AR1092" i="49"/>
  <c r="AS1092" i="49"/>
  <c r="AT1092" i="49"/>
  <c r="AO1093" i="49"/>
  <c r="AP1093" i="49"/>
  <c r="AQ1093" i="49"/>
  <c r="AR1093" i="49"/>
  <c r="AS1093" i="49"/>
  <c r="AT1093" i="49"/>
  <c r="AO1094" i="49"/>
  <c r="AP1094" i="49"/>
  <c r="AQ1094" i="49"/>
  <c r="AR1094" i="49"/>
  <c r="AS1094" i="49"/>
  <c r="AT1094" i="49"/>
  <c r="AO1095" i="49"/>
  <c r="AP1095" i="49"/>
  <c r="AQ1095" i="49"/>
  <c r="AR1095" i="49"/>
  <c r="AS1095" i="49"/>
  <c r="AT1095" i="49"/>
  <c r="AO1096" i="49"/>
  <c r="AP1096" i="49"/>
  <c r="AQ1096" i="49"/>
  <c r="AR1096" i="49"/>
  <c r="AS1096" i="49"/>
  <c r="AT1096" i="49"/>
  <c r="AO1097" i="49"/>
  <c r="AP1097" i="49"/>
  <c r="AQ1097" i="49"/>
  <c r="AR1097" i="49"/>
  <c r="AS1097" i="49"/>
  <c r="AT1097" i="49"/>
  <c r="AO1098" i="49"/>
  <c r="AP1098" i="49"/>
  <c r="AQ1098" i="49"/>
  <c r="AR1098" i="49"/>
  <c r="AS1098" i="49"/>
  <c r="AT1098" i="49"/>
  <c r="AO1099" i="49"/>
  <c r="AP1099" i="49"/>
  <c r="AQ1099" i="49"/>
  <c r="AR1099" i="49"/>
  <c r="AS1099" i="49"/>
  <c r="AT1099" i="49"/>
  <c r="AO1100" i="49"/>
  <c r="AP1100" i="49"/>
  <c r="AQ1100" i="49"/>
  <c r="AR1100" i="49"/>
  <c r="AS1100" i="49"/>
  <c r="AT1100" i="49"/>
  <c r="AO1101" i="49"/>
  <c r="AP1101" i="49"/>
  <c r="AQ1101" i="49"/>
  <c r="AR1101" i="49"/>
  <c r="AS1101" i="49"/>
  <c r="AT1101" i="49"/>
  <c r="AO1102" i="49"/>
  <c r="AP1102" i="49"/>
  <c r="AQ1102" i="49"/>
  <c r="AR1102" i="49"/>
  <c r="AS1102" i="49"/>
  <c r="AT1102" i="49"/>
  <c r="AO1103" i="49"/>
  <c r="AP1103" i="49"/>
  <c r="AQ1103" i="49"/>
  <c r="AR1103" i="49"/>
  <c r="AS1103" i="49"/>
  <c r="AT1103" i="49"/>
  <c r="AO1104" i="49"/>
  <c r="AP1104" i="49"/>
  <c r="AQ1104" i="49"/>
  <c r="AR1104" i="49"/>
  <c r="AS1104" i="49"/>
  <c r="AT1104" i="49"/>
  <c r="AO1105" i="49"/>
  <c r="AP1105" i="49"/>
  <c r="AQ1105" i="49"/>
  <c r="AR1105" i="49"/>
  <c r="AS1105" i="49"/>
  <c r="AT1105" i="49"/>
  <c r="AO1106" i="49"/>
  <c r="AP1106" i="49"/>
  <c r="AQ1106" i="49"/>
  <c r="AR1106" i="49"/>
  <c r="AS1106" i="49"/>
  <c r="AT1106" i="49"/>
  <c r="AO1107" i="49"/>
  <c r="AP1107" i="49"/>
  <c r="AQ1107" i="49"/>
  <c r="AR1107" i="49"/>
  <c r="AS1107" i="49"/>
  <c r="AT1107" i="49"/>
  <c r="AO1108" i="49"/>
  <c r="AP1108" i="49"/>
  <c r="AQ1108" i="49"/>
  <c r="AR1108" i="49"/>
  <c r="AS1108" i="49"/>
  <c r="AT1108" i="49"/>
  <c r="AO1109" i="49"/>
  <c r="AP1109" i="49"/>
  <c r="AQ1109" i="49"/>
  <c r="AR1109" i="49"/>
  <c r="AS1109" i="49"/>
  <c r="AT1109" i="49"/>
  <c r="AO1110" i="49"/>
  <c r="AP1110" i="49"/>
  <c r="AQ1110" i="49"/>
  <c r="AR1110" i="49"/>
  <c r="AS1110" i="49"/>
  <c r="AT1110" i="49"/>
  <c r="AO1111" i="49"/>
  <c r="AP1111" i="49"/>
  <c r="AQ1111" i="49"/>
  <c r="AR1111" i="49"/>
  <c r="AS1111" i="49"/>
  <c r="AT1111" i="49"/>
  <c r="AO1112" i="49"/>
  <c r="AP1112" i="49"/>
  <c r="AQ1112" i="49"/>
  <c r="AR1112" i="49"/>
  <c r="AS1112" i="49"/>
  <c r="AT1112" i="49"/>
  <c r="AO1113" i="49"/>
  <c r="AP1113" i="49"/>
  <c r="AQ1113" i="49"/>
  <c r="AR1113" i="49"/>
  <c r="AS1113" i="49"/>
  <c r="AT1113" i="49"/>
  <c r="AO1114" i="49"/>
  <c r="AP1114" i="49"/>
  <c r="AQ1114" i="49"/>
  <c r="AR1114" i="49"/>
  <c r="AS1114" i="49"/>
  <c r="AT1114" i="49"/>
  <c r="AO1115" i="49"/>
  <c r="AP1115" i="49"/>
  <c r="AQ1115" i="49"/>
  <c r="AR1115" i="49"/>
  <c r="AS1115" i="49"/>
  <c r="AT1115" i="49"/>
  <c r="AO1116" i="49"/>
  <c r="AP1116" i="49"/>
  <c r="AQ1116" i="49"/>
  <c r="AR1116" i="49"/>
  <c r="AS1116" i="49"/>
  <c r="AT1116" i="49"/>
  <c r="AO1117" i="49"/>
  <c r="AP1117" i="49"/>
  <c r="AQ1117" i="49"/>
  <c r="AR1117" i="49"/>
  <c r="AS1117" i="49"/>
  <c r="AT1117" i="49"/>
  <c r="AO1118" i="49"/>
  <c r="AP1118" i="49"/>
  <c r="AQ1118" i="49"/>
  <c r="AR1118" i="49"/>
  <c r="AS1118" i="49"/>
  <c r="AT1118" i="49"/>
  <c r="AO1119" i="49"/>
  <c r="AP1119" i="49"/>
  <c r="AQ1119" i="49"/>
  <c r="AR1119" i="49"/>
  <c r="AS1119" i="49"/>
  <c r="AT1119" i="49"/>
  <c r="AO1120" i="49"/>
  <c r="AP1120" i="49"/>
  <c r="AQ1120" i="49"/>
  <c r="AR1120" i="49"/>
  <c r="AS1120" i="49"/>
  <c r="AT1120" i="49"/>
  <c r="AO1121" i="49"/>
  <c r="AP1121" i="49"/>
  <c r="AQ1121" i="49"/>
  <c r="AR1121" i="49"/>
  <c r="AS1121" i="49"/>
  <c r="AT1121" i="49"/>
  <c r="AO1122" i="49"/>
  <c r="AP1122" i="49"/>
  <c r="AQ1122" i="49"/>
  <c r="AR1122" i="49"/>
  <c r="AS1122" i="49"/>
  <c r="AT1122" i="49"/>
  <c r="AO1123" i="49"/>
  <c r="AP1123" i="49"/>
  <c r="AQ1123" i="49"/>
  <c r="AR1123" i="49"/>
  <c r="AS1123" i="49"/>
  <c r="AT1123" i="49"/>
  <c r="AO1124" i="49"/>
  <c r="AP1124" i="49"/>
  <c r="AQ1124" i="49"/>
  <c r="AR1124" i="49"/>
  <c r="AS1124" i="49"/>
  <c r="AT1124" i="49"/>
  <c r="AO1125" i="49"/>
  <c r="AP1125" i="49"/>
  <c r="AQ1125" i="49"/>
  <c r="AR1125" i="49"/>
  <c r="AS1125" i="49"/>
  <c r="AT1125" i="49"/>
  <c r="AO1126" i="49"/>
  <c r="AP1126" i="49"/>
  <c r="AQ1126" i="49"/>
  <c r="AR1126" i="49"/>
  <c r="AS1126" i="49"/>
  <c r="AT1126" i="49"/>
  <c r="AO1127" i="49"/>
  <c r="AP1127" i="49"/>
  <c r="AQ1127" i="49"/>
  <c r="AR1127" i="49"/>
  <c r="AS1127" i="49"/>
  <c r="AT1127" i="49"/>
  <c r="AO1128" i="49"/>
  <c r="AP1128" i="49"/>
  <c r="AQ1128" i="49"/>
  <c r="AR1128" i="49"/>
  <c r="AS1128" i="49"/>
  <c r="AT1128" i="49"/>
  <c r="AO1129" i="49"/>
  <c r="AP1129" i="49"/>
  <c r="AQ1129" i="49"/>
  <c r="AR1129" i="49"/>
  <c r="AS1129" i="49"/>
  <c r="AT1129" i="49"/>
  <c r="AO1130" i="49"/>
  <c r="AP1130" i="49"/>
  <c r="AQ1130" i="49"/>
  <c r="AR1130" i="49"/>
  <c r="AS1130" i="49"/>
  <c r="AT1130" i="49"/>
  <c r="AO1131" i="49"/>
  <c r="AP1131" i="49"/>
  <c r="AQ1131" i="49"/>
  <c r="AR1131" i="49"/>
  <c r="AS1131" i="49"/>
  <c r="AT1131" i="49"/>
  <c r="AO1132" i="49"/>
  <c r="AP1132" i="49"/>
  <c r="AQ1132" i="49"/>
  <c r="AR1132" i="49"/>
  <c r="AS1132" i="49"/>
  <c r="AT1132" i="49"/>
  <c r="AO1133" i="49"/>
  <c r="AP1133" i="49"/>
  <c r="AQ1133" i="49"/>
  <c r="AR1133" i="49"/>
  <c r="AS1133" i="49"/>
  <c r="AT1133" i="49"/>
  <c r="AO1134" i="49"/>
  <c r="AP1134" i="49"/>
  <c r="AQ1134" i="49"/>
  <c r="AR1134" i="49"/>
  <c r="AS1134" i="49"/>
  <c r="AT1134" i="49"/>
  <c r="AO1135" i="49"/>
  <c r="AP1135" i="49"/>
  <c r="AQ1135" i="49"/>
  <c r="AR1135" i="49"/>
  <c r="AS1135" i="49"/>
  <c r="AT1135" i="49"/>
  <c r="AO1136" i="49"/>
  <c r="AP1136" i="49"/>
  <c r="AQ1136" i="49"/>
  <c r="AR1136" i="49"/>
  <c r="AS1136" i="49"/>
  <c r="AT1136" i="49"/>
  <c r="AO1137" i="49"/>
  <c r="AP1137" i="49"/>
  <c r="AQ1137" i="49"/>
  <c r="AR1137" i="49"/>
  <c r="AS1137" i="49"/>
  <c r="AT1137" i="49"/>
  <c r="AO1138" i="49"/>
  <c r="AP1138" i="49"/>
  <c r="AQ1138" i="49"/>
  <c r="AR1138" i="49"/>
  <c r="AS1138" i="49"/>
  <c r="AT1138" i="49"/>
  <c r="AO1139" i="49"/>
  <c r="AP1139" i="49"/>
  <c r="AQ1139" i="49"/>
  <c r="AR1139" i="49"/>
  <c r="AS1139" i="49"/>
  <c r="AT1139" i="49"/>
  <c r="AO1140" i="49"/>
  <c r="AP1140" i="49"/>
  <c r="AQ1140" i="49"/>
  <c r="AR1140" i="49"/>
  <c r="AS1140" i="49"/>
  <c r="AT1140" i="49"/>
  <c r="AO1141" i="49"/>
  <c r="AP1141" i="49"/>
  <c r="AQ1141" i="49"/>
  <c r="AR1141" i="49"/>
  <c r="AS1141" i="49"/>
  <c r="AT1141" i="49"/>
  <c r="AO1142" i="49"/>
  <c r="AP1142" i="49"/>
  <c r="AQ1142" i="49"/>
  <c r="AR1142" i="49"/>
  <c r="AS1142" i="49"/>
  <c r="AT1142" i="49"/>
  <c r="AO1143" i="49"/>
  <c r="AP1143" i="49"/>
  <c r="AQ1143" i="49"/>
  <c r="AR1143" i="49"/>
  <c r="AS1143" i="49"/>
  <c r="AT1143" i="49"/>
  <c r="AO1144" i="49"/>
  <c r="AP1144" i="49"/>
  <c r="AQ1144" i="49"/>
  <c r="AR1144" i="49"/>
  <c r="AS1144" i="49"/>
  <c r="AT1144" i="49"/>
  <c r="AO1145" i="49"/>
  <c r="AP1145" i="49"/>
  <c r="AQ1145" i="49"/>
  <c r="AR1145" i="49"/>
  <c r="AS1145" i="49"/>
  <c r="AT1145" i="49"/>
  <c r="AO1146" i="49"/>
  <c r="AP1146" i="49"/>
  <c r="AQ1146" i="49"/>
  <c r="AR1146" i="49"/>
  <c r="AS1146" i="49"/>
  <c r="AT1146" i="49"/>
  <c r="AO1147" i="49"/>
  <c r="AP1147" i="49"/>
  <c r="AQ1147" i="49"/>
  <c r="AR1147" i="49"/>
  <c r="AS1147" i="49"/>
  <c r="AT1147" i="49"/>
  <c r="AO1148" i="49"/>
  <c r="AP1148" i="49"/>
  <c r="AQ1148" i="49"/>
  <c r="AR1148" i="49"/>
  <c r="AS1148" i="49"/>
  <c r="AT1148" i="49"/>
  <c r="AO1149" i="49"/>
  <c r="AP1149" i="49"/>
  <c r="AQ1149" i="49"/>
  <c r="AR1149" i="49"/>
  <c r="AS1149" i="49"/>
  <c r="AT1149" i="49"/>
  <c r="AO1150" i="49"/>
  <c r="AP1150" i="49"/>
  <c r="AQ1150" i="49"/>
  <c r="AR1150" i="49"/>
  <c r="AS1150" i="49"/>
  <c r="AT1150" i="49"/>
  <c r="AO1151" i="49"/>
  <c r="AP1151" i="49"/>
  <c r="AQ1151" i="49"/>
  <c r="AR1151" i="49"/>
  <c r="AS1151" i="49"/>
  <c r="AT1151" i="49"/>
  <c r="AO1152" i="49"/>
  <c r="AP1152" i="49"/>
  <c r="AQ1152" i="49"/>
  <c r="AR1152" i="49"/>
  <c r="AS1152" i="49"/>
  <c r="AT1152" i="49"/>
  <c r="AO1153" i="49"/>
  <c r="AP1153" i="49"/>
  <c r="AQ1153" i="49"/>
  <c r="AR1153" i="49"/>
  <c r="AS1153" i="49"/>
  <c r="AT1153" i="49"/>
  <c r="AO1154" i="49"/>
  <c r="AP1154" i="49"/>
  <c r="AQ1154" i="49"/>
  <c r="AR1154" i="49"/>
  <c r="AS1154" i="49"/>
  <c r="AT1154" i="49"/>
  <c r="AO1155" i="49"/>
  <c r="AP1155" i="49"/>
  <c r="AQ1155" i="49"/>
  <c r="AR1155" i="49"/>
  <c r="AS1155" i="49"/>
  <c r="AT1155" i="49"/>
  <c r="AO1156" i="49"/>
  <c r="AP1156" i="49"/>
  <c r="AQ1156" i="49"/>
  <c r="AR1156" i="49"/>
  <c r="AS1156" i="49"/>
  <c r="AT1156" i="49"/>
  <c r="AO1157" i="49"/>
  <c r="AP1157" i="49"/>
  <c r="AQ1157" i="49"/>
  <c r="AR1157" i="49"/>
  <c r="AS1157" i="49"/>
  <c r="AT1157" i="49"/>
  <c r="AO1158" i="49"/>
  <c r="AP1158" i="49"/>
  <c r="AQ1158" i="49"/>
  <c r="AR1158" i="49"/>
  <c r="AS1158" i="49"/>
  <c r="AT1158" i="49"/>
  <c r="AO1159" i="49"/>
  <c r="AP1159" i="49"/>
  <c r="AQ1159" i="49"/>
  <c r="AR1159" i="49"/>
  <c r="AS1159" i="49"/>
  <c r="AT1159" i="49"/>
  <c r="AO1160" i="49"/>
  <c r="AP1160" i="49"/>
  <c r="AQ1160" i="49"/>
  <c r="AR1160" i="49"/>
  <c r="AS1160" i="49"/>
  <c r="AT1160" i="49"/>
  <c r="AO1161" i="49"/>
  <c r="AP1161" i="49"/>
  <c r="AQ1161" i="49"/>
  <c r="AR1161" i="49"/>
  <c r="AS1161" i="49"/>
  <c r="AT1161" i="49"/>
  <c r="AO1162" i="49"/>
  <c r="AP1162" i="49"/>
  <c r="AQ1162" i="49"/>
  <c r="AR1162" i="49"/>
  <c r="AS1162" i="49"/>
  <c r="AT1162" i="49"/>
  <c r="AO1163" i="49"/>
  <c r="AP1163" i="49"/>
  <c r="AQ1163" i="49"/>
  <c r="AR1163" i="49"/>
  <c r="AS1163" i="49"/>
  <c r="AT1163" i="49"/>
  <c r="AO1164" i="49"/>
  <c r="AP1164" i="49"/>
  <c r="AQ1164" i="49"/>
  <c r="AR1164" i="49"/>
  <c r="AS1164" i="49"/>
  <c r="AT1164" i="49"/>
  <c r="AO1165" i="49"/>
  <c r="AP1165" i="49"/>
  <c r="AQ1165" i="49"/>
  <c r="AR1165" i="49"/>
  <c r="AS1165" i="49"/>
  <c r="AT1165" i="49"/>
  <c r="AO1166" i="49"/>
  <c r="AP1166" i="49"/>
  <c r="AQ1166" i="49"/>
  <c r="AR1166" i="49"/>
  <c r="AS1166" i="49"/>
  <c r="AT1166" i="49"/>
  <c r="AO1167" i="49"/>
  <c r="AP1167" i="49"/>
  <c r="AQ1167" i="49"/>
  <c r="AR1167" i="49"/>
  <c r="AS1167" i="49"/>
  <c r="AT1167" i="49"/>
  <c r="AO1168" i="49"/>
  <c r="AP1168" i="49"/>
  <c r="AQ1168" i="49"/>
  <c r="AR1168" i="49"/>
  <c r="AS1168" i="49"/>
  <c r="AT1168" i="49"/>
  <c r="AO1169" i="49"/>
  <c r="AP1169" i="49"/>
  <c r="AQ1169" i="49"/>
  <c r="AR1169" i="49"/>
  <c r="AS1169" i="49"/>
  <c r="AT1169" i="49"/>
  <c r="AO1170" i="49"/>
  <c r="AP1170" i="49"/>
  <c r="AQ1170" i="49"/>
  <c r="AR1170" i="49"/>
  <c r="AS1170" i="49"/>
  <c r="AT1170" i="49"/>
  <c r="AO1171" i="49"/>
  <c r="AP1171" i="49"/>
  <c r="AQ1171" i="49"/>
  <c r="AR1171" i="49"/>
  <c r="AS1171" i="49"/>
  <c r="AT1171" i="49"/>
  <c r="AO1172" i="49"/>
  <c r="AP1172" i="49"/>
  <c r="AQ1172" i="49"/>
  <c r="AR1172" i="49"/>
  <c r="AS1172" i="49"/>
  <c r="AT1172" i="49"/>
  <c r="AO1173" i="49"/>
  <c r="AP1173" i="49"/>
  <c r="AQ1173" i="49"/>
  <c r="AR1173" i="49"/>
  <c r="AS1173" i="49"/>
  <c r="AT1173" i="49"/>
  <c r="AO1174" i="49"/>
  <c r="AP1174" i="49"/>
  <c r="AQ1174" i="49"/>
  <c r="AR1174" i="49"/>
  <c r="AS1174" i="49"/>
  <c r="AT1174" i="49"/>
  <c r="AO1175" i="49"/>
  <c r="AP1175" i="49"/>
  <c r="AQ1175" i="49"/>
  <c r="AR1175" i="49"/>
  <c r="AS1175" i="49"/>
  <c r="AT1175" i="49"/>
  <c r="AO1176" i="49"/>
  <c r="AP1176" i="49"/>
  <c r="AQ1176" i="49"/>
  <c r="AR1176" i="49"/>
  <c r="AS1176" i="49"/>
  <c r="AT1176" i="49"/>
  <c r="AO1177" i="49"/>
  <c r="AP1177" i="49"/>
  <c r="AQ1177" i="49"/>
  <c r="AR1177" i="49"/>
  <c r="AS1177" i="49"/>
  <c r="AT1177" i="49"/>
  <c r="AO1178" i="49"/>
  <c r="AP1178" i="49"/>
  <c r="AQ1178" i="49"/>
  <c r="AR1178" i="49"/>
  <c r="AS1178" i="49"/>
  <c r="AT1178" i="49"/>
  <c r="AO1179" i="49"/>
  <c r="AP1179" i="49"/>
  <c r="AQ1179" i="49"/>
  <c r="AR1179" i="49"/>
  <c r="AS1179" i="49"/>
  <c r="AT1179" i="49"/>
  <c r="AO1180" i="49"/>
  <c r="AP1180" i="49"/>
  <c r="AQ1180" i="49"/>
  <c r="AR1180" i="49"/>
  <c r="AS1180" i="49"/>
  <c r="AT1180" i="49"/>
  <c r="AO1181" i="49"/>
  <c r="AP1181" i="49"/>
  <c r="AQ1181" i="49"/>
  <c r="AR1181" i="49"/>
  <c r="AS1181" i="49"/>
  <c r="AT1181" i="49"/>
  <c r="AO1182" i="49"/>
  <c r="AP1182" i="49"/>
  <c r="AQ1182" i="49"/>
  <c r="AR1182" i="49"/>
  <c r="AS1182" i="49"/>
  <c r="AT1182" i="49"/>
  <c r="AO1183" i="49"/>
  <c r="AP1183" i="49"/>
  <c r="AQ1183" i="49"/>
  <c r="AR1183" i="49"/>
  <c r="AS1183" i="49"/>
  <c r="AT1183" i="49"/>
  <c r="AO1184" i="49"/>
  <c r="AP1184" i="49"/>
  <c r="AQ1184" i="49"/>
  <c r="AR1184" i="49"/>
  <c r="AS1184" i="49"/>
  <c r="AT1184" i="49"/>
  <c r="AO1185" i="49"/>
  <c r="AP1185" i="49"/>
  <c r="AQ1185" i="49"/>
  <c r="AR1185" i="49"/>
  <c r="AS1185" i="49"/>
  <c r="AT1185" i="49"/>
  <c r="AO1186" i="49"/>
  <c r="AP1186" i="49"/>
  <c r="AQ1186" i="49"/>
  <c r="AR1186" i="49"/>
  <c r="AS1186" i="49"/>
  <c r="AT1186" i="49"/>
  <c r="AO1187" i="49"/>
  <c r="AP1187" i="49"/>
  <c r="AQ1187" i="49"/>
  <c r="AR1187" i="49"/>
  <c r="AS1187" i="49"/>
  <c r="AT1187" i="49"/>
  <c r="AO1188" i="49"/>
  <c r="AP1188" i="49"/>
  <c r="AQ1188" i="49"/>
  <c r="AR1188" i="49"/>
  <c r="AS1188" i="49"/>
  <c r="AT1188" i="49"/>
  <c r="AO1189" i="49"/>
  <c r="AP1189" i="49"/>
  <c r="AQ1189" i="49"/>
  <c r="AR1189" i="49"/>
  <c r="AS1189" i="49"/>
  <c r="AT1189" i="49"/>
  <c r="AO1190" i="49"/>
  <c r="AP1190" i="49"/>
  <c r="AQ1190" i="49"/>
  <c r="AR1190" i="49"/>
  <c r="AS1190" i="49"/>
  <c r="AT1190" i="49"/>
  <c r="AO1191" i="49"/>
  <c r="AP1191" i="49"/>
  <c r="AQ1191" i="49"/>
  <c r="AR1191" i="49"/>
  <c r="AS1191" i="49"/>
  <c r="AT1191" i="49"/>
  <c r="AO1192" i="49"/>
  <c r="AP1192" i="49"/>
  <c r="AQ1192" i="49"/>
  <c r="AR1192" i="49"/>
  <c r="AS1192" i="49"/>
  <c r="AT1192" i="49"/>
  <c r="AO1193" i="49"/>
  <c r="AP1193" i="49"/>
  <c r="AQ1193" i="49"/>
  <c r="AR1193" i="49"/>
  <c r="AS1193" i="49"/>
  <c r="AT1193" i="49"/>
  <c r="AO1194" i="49"/>
  <c r="AP1194" i="49"/>
  <c r="AQ1194" i="49"/>
  <c r="AR1194" i="49"/>
  <c r="AS1194" i="49"/>
  <c r="AT1194" i="49"/>
  <c r="AO1195" i="49"/>
  <c r="AP1195" i="49"/>
  <c r="AQ1195" i="49"/>
  <c r="AR1195" i="49"/>
  <c r="AS1195" i="49"/>
  <c r="AT1195" i="49"/>
  <c r="AO1196" i="49"/>
  <c r="AP1196" i="49"/>
  <c r="AQ1196" i="49"/>
  <c r="AR1196" i="49"/>
  <c r="AS1196" i="49"/>
  <c r="AT1196" i="49"/>
  <c r="AO1197" i="49"/>
  <c r="AP1197" i="49"/>
  <c r="AQ1197" i="49"/>
  <c r="AR1197" i="49"/>
  <c r="AS1197" i="49"/>
  <c r="AT1197" i="49"/>
  <c r="AO1198" i="49"/>
  <c r="AP1198" i="49"/>
  <c r="AQ1198" i="49"/>
  <c r="AR1198" i="49"/>
  <c r="AS1198" i="49"/>
  <c r="AT1198" i="49"/>
  <c r="AO1199" i="49"/>
  <c r="AP1199" i="49"/>
  <c r="AQ1199" i="49"/>
  <c r="AR1199" i="49"/>
  <c r="AS1199" i="49"/>
  <c r="AT1199" i="49"/>
  <c r="AO1200" i="49"/>
  <c r="AP1200" i="49"/>
  <c r="AQ1200" i="49"/>
  <c r="AR1200" i="49"/>
  <c r="AS1200" i="49"/>
  <c r="AT1200" i="49"/>
  <c r="AO1201" i="49"/>
  <c r="AP1201" i="49"/>
  <c r="AQ1201" i="49"/>
  <c r="AR1201" i="49"/>
  <c r="AS1201" i="49"/>
  <c r="AT1201" i="49"/>
  <c r="AO1202" i="49"/>
  <c r="AP1202" i="49"/>
  <c r="AQ1202" i="49"/>
  <c r="AR1202" i="49"/>
  <c r="AS1202" i="49"/>
  <c r="AT1202" i="49"/>
  <c r="AO1203" i="49"/>
  <c r="AP1203" i="49"/>
  <c r="AQ1203" i="49"/>
  <c r="AR1203" i="49"/>
  <c r="AS1203" i="49"/>
  <c r="AT1203" i="49"/>
  <c r="AO1204" i="49"/>
  <c r="AP1204" i="49"/>
  <c r="AQ1204" i="49"/>
  <c r="AR1204" i="49"/>
  <c r="AS1204" i="49"/>
  <c r="AT1204" i="49"/>
  <c r="AO1205" i="49"/>
  <c r="AP1205" i="49"/>
  <c r="AQ1205" i="49"/>
  <c r="AR1205" i="49"/>
  <c r="AS1205" i="49"/>
  <c r="AT1205" i="49"/>
  <c r="AO1206" i="49"/>
  <c r="AP1206" i="49"/>
  <c r="AQ1206" i="49"/>
  <c r="AR1206" i="49"/>
  <c r="AS1206" i="49"/>
  <c r="AT1206" i="49"/>
  <c r="AO1207" i="49"/>
  <c r="AP1207" i="49"/>
  <c r="AQ1207" i="49"/>
  <c r="AR1207" i="49"/>
  <c r="AS1207" i="49"/>
  <c r="AT1207" i="49"/>
  <c r="AO1208" i="49"/>
  <c r="AP1208" i="49"/>
  <c r="AQ1208" i="49"/>
  <c r="AR1208" i="49"/>
  <c r="AS1208" i="49"/>
  <c r="AT1208" i="49"/>
  <c r="AO1209" i="49"/>
  <c r="AP1209" i="49"/>
  <c r="AQ1209" i="49"/>
  <c r="AR1209" i="49"/>
  <c r="AS1209" i="49"/>
  <c r="AT1209" i="49"/>
  <c r="AO1210" i="49"/>
  <c r="AP1210" i="49"/>
  <c r="AQ1210" i="49"/>
  <c r="AR1210" i="49"/>
  <c r="AS1210" i="49"/>
  <c r="AT1210" i="49"/>
  <c r="AO1211" i="49"/>
  <c r="AP1211" i="49"/>
  <c r="AQ1211" i="49"/>
  <c r="AR1211" i="49"/>
  <c r="AS1211" i="49"/>
  <c r="AT1211" i="49"/>
  <c r="AO1212" i="49"/>
  <c r="AP1212" i="49"/>
  <c r="AQ1212" i="49"/>
  <c r="AR1212" i="49"/>
  <c r="AS1212" i="49"/>
  <c r="AT1212" i="49"/>
  <c r="AO1213" i="49"/>
  <c r="AP1213" i="49"/>
  <c r="AQ1213" i="49"/>
  <c r="AR1213" i="49"/>
  <c r="AS1213" i="49"/>
  <c r="AT1213" i="49"/>
  <c r="AO1214" i="49"/>
  <c r="AP1214" i="49"/>
  <c r="AQ1214" i="49"/>
  <c r="AR1214" i="49"/>
  <c r="AS1214" i="49"/>
  <c r="AT1214" i="49"/>
  <c r="AO1215" i="49"/>
  <c r="AP1215" i="49"/>
  <c r="AQ1215" i="49"/>
  <c r="AR1215" i="49"/>
  <c r="AS1215" i="49"/>
  <c r="AT1215" i="49"/>
  <c r="AO1216" i="49"/>
  <c r="AP1216" i="49"/>
  <c r="AQ1216" i="49"/>
  <c r="AR1216" i="49"/>
  <c r="AS1216" i="49"/>
  <c r="AT1216" i="49"/>
  <c r="AO1217" i="49"/>
  <c r="AP1217" i="49"/>
  <c r="AQ1217" i="49"/>
  <c r="AR1217" i="49"/>
  <c r="AS1217" i="49"/>
  <c r="AT1217" i="49"/>
  <c r="AO1218" i="49"/>
  <c r="AP1218" i="49"/>
  <c r="AQ1218" i="49"/>
  <c r="AR1218" i="49"/>
  <c r="AS1218" i="49"/>
  <c r="AT1218" i="49"/>
  <c r="AO1219" i="49"/>
  <c r="AP1219" i="49"/>
  <c r="AQ1219" i="49"/>
  <c r="AR1219" i="49"/>
  <c r="AS1219" i="49"/>
  <c r="AT1219" i="49"/>
  <c r="AO1220" i="49"/>
  <c r="AP1220" i="49"/>
  <c r="AQ1220" i="49"/>
  <c r="AR1220" i="49"/>
  <c r="AS1220" i="49"/>
  <c r="AT1220" i="49"/>
  <c r="AO1221" i="49"/>
  <c r="AP1221" i="49"/>
  <c r="AQ1221" i="49"/>
  <c r="AR1221" i="49"/>
  <c r="AS1221" i="49"/>
  <c r="AT1221" i="49"/>
  <c r="AO1222" i="49"/>
  <c r="AP1222" i="49"/>
  <c r="AQ1222" i="49"/>
  <c r="AR1222" i="49"/>
  <c r="AS1222" i="49"/>
  <c r="AT1222" i="49"/>
  <c r="AO1223" i="49"/>
  <c r="AP1223" i="49"/>
  <c r="AQ1223" i="49"/>
  <c r="AR1223" i="49"/>
  <c r="AS1223" i="49"/>
  <c r="AT1223" i="49"/>
  <c r="AO1224" i="49"/>
  <c r="AP1224" i="49"/>
  <c r="AQ1224" i="49"/>
  <c r="AR1224" i="49"/>
  <c r="AS1224" i="49"/>
  <c r="AT1224" i="49"/>
  <c r="AO1225" i="49"/>
  <c r="AP1225" i="49"/>
  <c r="AQ1225" i="49"/>
  <c r="AR1225" i="49"/>
  <c r="AS1225" i="49"/>
  <c r="AT1225" i="49"/>
  <c r="AO1226" i="49"/>
  <c r="AP1226" i="49"/>
  <c r="AQ1226" i="49"/>
  <c r="AR1226" i="49"/>
  <c r="AS1226" i="49"/>
  <c r="AT1226" i="49"/>
  <c r="AO1227" i="49"/>
  <c r="AP1227" i="49"/>
  <c r="AQ1227" i="49"/>
  <c r="AR1227" i="49"/>
  <c r="AS1227" i="49"/>
  <c r="AT1227" i="49"/>
  <c r="AO1228" i="49"/>
  <c r="AP1228" i="49"/>
  <c r="AQ1228" i="49"/>
  <c r="AR1228" i="49"/>
  <c r="AS1228" i="49"/>
  <c r="AT1228" i="49"/>
  <c r="AO1229" i="49"/>
  <c r="AP1229" i="49"/>
  <c r="AQ1229" i="49"/>
  <c r="AR1229" i="49"/>
  <c r="AS1229" i="49"/>
  <c r="AT1229" i="49"/>
  <c r="AO1230" i="49"/>
  <c r="AP1230" i="49"/>
  <c r="AQ1230" i="49"/>
  <c r="AR1230" i="49"/>
  <c r="AS1230" i="49"/>
  <c r="AT1230" i="49"/>
  <c r="AO1231" i="49"/>
  <c r="AP1231" i="49"/>
  <c r="AQ1231" i="49"/>
  <c r="AR1231" i="49"/>
  <c r="AS1231" i="49"/>
  <c r="AT1231" i="49"/>
  <c r="AO1232" i="49"/>
  <c r="AP1232" i="49"/>
  <c r="AQ1232" i="49"/>
  <c r="AR1232" i="49"/>
  <c r="AS1232" i="49"/>
  <c r="AT1232" i="49"/>
  <c r="AO1233" i="49"/>
  <c r="AP1233" i="49"/>
  <c r="AQ1233" i="49"/>
  <c r="AR1233" i="49"/>
  <c r="AS1233" i="49"/>
  <c r="AT1233" i="49"/>
  <c r="AO1234" i="49"/>
  <c r="AP1234" i="49"/>
  <c r="AQ1234" i="49"/>
  <c r="AR1234" i="49"/>
  <c r="AS1234" i="49"/>
  <c r="AT1234" i="49"/>
  <c r="AO1235" i="49"/>
  <c r="AP1235" i="49"/>
  <c r="AQ1235" i="49"/>
  <c r="AR1235" i="49"/>
  <c r="AS1235" i="49"/>
  <c r="AT1235" i="49"/>
  <c r="AO1236" i="49"/>
  <c r="AP1236" i="49"/>
  <c r="AQ1236" i="49"/>
  <c r="AR1236" i="49"/>
  <c r="AS1236" i="49"/>
  <c r="AT1236" i="49"/>
  <c r="AO1237" i="49"/>
  <c r="AP1237" i="49"/>
  <c r="AQ1237" i="49"/>
  <c r="AR1237" i="49"/>
  <c r="AS1237" i="49"/>
  <c r="AT1237" i="49"/>
  <c r="AO1238" i="49"/>
  <c r="AP1238" i="49"/>
  <c r="AQ1238" i="49"/>
  <c r="AR1238" i="49"/>
  <c r="AS1238" i="49"/>
  <c r="AT1238" i="49"/>
  <c r="AO1239" i="49"/>
  <c r="AP1239" i="49"/>
  <c r="AQ1239" i="49"/>
  <c r="AR1239" i="49"/>
  <c r="AS1239" i="49"/>
  <c r="AT1239" i="49"/>
  <c r="AO1240" i="49"/>
  <c r="AP1240" i="49"/>
  <c r="AQ1240" i="49"/>
  <c r="AR1240" i="49"/>
  <c r="AS1240" i="49"/>
  <c r="AT1240" i="49"/>
  <c r="AO1241" i="49"/>
  <c r="AP1241" i="49"/>
  <c r="AQ1241" i="49"/>
  <c r="AR1241" i="49"/>
  <c r="AS1241" i="49"/>
  <c r="AT1241" i="49"/>
  <c r="AO1242" i="49"/>
  <c r="AP1242" i="49"/>
  <c r="AQ1242" i="49"/>
  <c r="AR1242" i="49"/>
  <c r="AS1242" i="49"/>
  <c r="AT1242" i="49"/>
  <c r="AO1243" i="49"/>
  <c r="AP1243" i="49"/>
  <c r="AQ1243" i="49"/>
  <c r="AR1243" i="49"/>
  <c r="AS1243" i="49"/>
  <c r="AT1243" i="49"/>
  <c r="AO1244" i="49"/>
  <c r="AP1244" i="49"/>
  <c r="AQ1244" i="49"/>
  <c r="AR1244" i="49"/>
  <c r="AS1244" i="49"/>
  <c r="AT1244" i="49"/>
  <c r="AO1245" i="49"/>
  <c r="AP1245" i="49"/>
  <c r="AQ1245" i="49"/>
  <c r="AR1245" i="49"/>
  <c r="AS1245" i="49"/>
  <c r="AT1245" i="49"/>
  <c r="AO1246" i="49"/>
  <c r="AP1246" i="49"/>
  <c r="AQ1246" i="49"/>
  <c r="AR1246" i="49"/>
  <c r="AS1246" i="49"/>
  <c r="AT1246" i="49"/>
  <c r="AO1247" i="49"/>
  <c r="AP1247" i="49"/>
  <c r="AQ1247" i="49"/>
  <c r="AR1247" i="49"/>
  <c r="AS1247" i="49"/>
  <c r="AT1247" i="49"/>
  <c r="AO1248" i="49"/>
  <c r="AP1248" i="49"/>
  <c r="AQ1248" i="49"/>
  <c r="AR1248" i="49"/>
  <c r="AS1248" i="49"/>
  <c r="AT1248" i="49"/>
  <c r="AO1249" i="49"/>
  <c r="AP1249" i="49"/>
  <c r="AQ1249" i="49"/>
  <c r="AR1249" i="49"/>
  <c r="AS1249" i="49"/>
  <c r="AT1249" i="49"/>
  <c r="AO1250" i="49"/>
  <c r="AP1250" i="49"/>
  <c r="AQ1250" i="49"/>
  <c r="AR1250" i="49"/>
  <c r="AS1250" i="49"/>
  <c r="AT1250" i="49"/>
  <c r="AO1251" i="49"/>
  <c r="AP1251" i="49"/>
  <c r="AQ1251" i="49"/>
  <c r="AR1251" i="49"/>
  <c r="AS1251" i="49"/>
  <c r="AT1251" i="49"/>
  <c r="AO1252" i="49"/>
  <c r="AP1252" i="49"/>
  <c r="AQ1252" i="49"/>
  <c r="AR1252" i="49"/>
  <c r="AS1252" i="49"/>
  <c r="AT1252" i="49"/>
  <c r="AO1253" i="49"/>
  <c r="AP1253" i="49"/>
  <c r="AQ1253" i="49"/>
  <c r="AR1253" i="49"/>
  <c r="AS1253" i="49"/>
  <c r="AT1253" i="49"/>
  <c r="AO1254" i="49"/>
  <c r="AP1254" i="49"/>
  <c r="AQ1254" i="49"/>
  <c r="AR1254" i="49"/>
  <c r="AS1254" i="49"/>
  <c r="AT1254" i="49"/>
  <c r="AO1255" i="49"/>
  <c r="AP1255" i="49"/>
  <c r="AQ1255" i="49"/>
  <c r="AR1255" i="49"/>
  <c r="AS1255" i="49"/>
  <c r="AT1255" i="49"/>
  <c r="AO1256" i="49"/>
  <c r="AP1256" i="49"/>
  <c r="AQ1256" i="49"/>
  <c r="AR1256" i="49"/>
  <c r="AS1256" i="49"/>
  <c r="AT1256" i="49"/>
  <c r="AO1257" i="49"/>
  <c r="AP1257" i="49"/>
  <c r="AQ1257" i="49"/>
  <c r="AR1257" i="49"/>
  <c r="AS1257" i="49"/>
  <c r="AT1257" i="49"/>
  <c r="AO1258" i="49"/>
  <c r="AP1258" i="49"/>
  <c r="AQ1258" i="49"/>
  <c r="AR1258" i="49"/>
  <c r="AS1258" i="49"/>
  <c r="AT1258" i="49"/>
  <c r="AO1259" i="49"/>
  <c r="AP1259" i="49"/>
  <c r="AQ1259" i="49"/>
  <c r="AR1259" i="49"/>
  <c r="AS1259" i="49"/>
  <c r="AT1259" i="49"/>
  <c r="AO1260" i="49"/>
  <c r="AP1260" i="49"/>
  <c r="AQ1260" i="49"/>
  <c r="AR1260" i="49"/>
  <c r="AS1260" i="49"/>
  <c r="AT1260" i="49"/>
  <c r="AO1261" i="49"/>
  <c r="AP1261" i="49"/>
  <c r="AQ1261" i="49"/>
  <c r="AR1261" i="49"/>
  <c r="AS1261" i="49"/>
  <c r="AT1261" i="49"/>
  <c r="AO1262" i="49"/>
  <c r="AP1262" i="49"/>
  <c r="AQ1262" i="49"/>
  <c r="AR1262" i="49"/>
  <c r="AS1262" i="49"/>
  <c r="AT1262" i="49"/>
  <c r="AO1263" i="49"/>
  <c r="AP1263" i="49"/>
  <c r="AQ1263" i="49"/>
  <c r="AR1263" i="49"/>
  <c r="AS1263" i="49"/>
  <c r="AT1263" i="49"/>
  <c r="AO1264" i="49"/>
  <c r="AP1264" i="49"/>
  <c r="AQ1264" i="49"/>
  <c r="AR1264" i="49"/>
  <c r="AS1264" i="49"/>
  <c r="AT1264" i="49"/>
  <c r="AO1265" i="49"/>
  <c r="AP1265" i="49"/>
  <c r="AQ1265" i="49"/>
  <c r="AR1265" i="49"/>
  <c r="AS1265" i="49"/>
  <c r="AT1265" i="49"/>
  <c r="AO1266" i="49"/>
  <c r="AP1266" i="49"/>
  <c r="AQ1266" i="49"/>
  <c r="AR1266" i="49"/>
  <c r="AS1266" i="49"/>
  <c r="AT1266" i="49"/>
  <c r="AO1267" i="49"/>
  <c r="AP1267" i="49"/>
  <c r="AQ1267" i="49"/>
  <c r="AR1267" i="49"/>
  <c r="AS1267" i="49"/>
  <c r="AT1267" i="49"/>
  <c r="AO1268" i="49"/>
  <c r="AP1268" i="49"/>
  <c r="AQ1268" i="49"/>
  <c r="AR1268" i="49"/>
  <c r="AS1268" i="49"/>
  <c r="AT1268" i="49"/>
  <c r="AO1269" i="49"/>
  <c r="AP1269" i="49"/>
  <c r="AQ1269" i="49"/>
  <c r="AR1269" i="49"/>
  <c r="AS1269" i="49"/>
  <c r="AT1269" i="49"/>
  <c r="AO1270" i="49"/>
  <c r="AP1270" i="49"/>
  <c r="AQ1270" i="49"/>
  <c r="AR1270" i="49"/>
  <c r="AS1270" i="49"/>
  <c r="AT1270" i="49"/>
  <c r="AO1271" i="49"/>
  <c r="AP1271" i="49"/>
  <c r="AQ1271" i="49"/>
  <c r="AR1271" i="49"/>
  <c r="AS1271" i="49"/>
  <c r="AT1271" i="49"/>
  <c r="AO1272" i="49"/>
  <c r="AP1272" i="49"/>
  <c r="AQ1272" i="49"/>
  <c r="AR1272" i="49"/>
  <c r="AS1272" i="49"/>
  <c r="AT1272" i="49"/>
  <c r="AO1273" i="49"/>
  <c r="AP1273" i="49"/>
  <c r="AQ1273" i="49"/>
  <c r="AR1273" i="49"/>
  <c r="AS1273" i="49"/>
  <c r="AT1273" i="49"/>
  <c r="AO1274" i="49"/>
  <c r="AP1274" i="49"/>
  <c r="AQ1274" i="49"/>
  <c r="AR1274" i="49"/>
  <c r="AS1274" i="49"/>
  <c r="AT1274" i="49"/>
  <c r="AO1275" i="49"/>
  <c r="AP1275" i="49"/>
  <c r="AQ1275" i="49"/>
  <c r="AR1275" i="49"/>
  <c r="AS1275" i="49"/>
  <c r="AT1275" i="49"/>
  <c r="AO1276" i="49"/>
  <c r="AP1276" i="49"/>
  <c r="AQ1276" i="49"/>
  <c r="AR1276" i="49"/>
  <c r="AS1276" i="49"/>
  <c r="AT1276" i="49"/>
  <c r="AO1277" i="49"/>
  <c r="AP1277" i="49"/>
  <c r="AQ1277" i="49"/>
  <c r="AR1277" i="49"/>
  <c r="AS1277" i="49"/>
  <c r="AT1277" i="49"/>
  <c r="AO1278" i="49"/>
  <c r="AP1278" i="49"/>
  <c r="AQ1278" i="49"/>
  <c r="AR1278" i="49"/>
  <c r="AS1278" i="49"/>
  <c r="AT1278" i="49"/>
  <c r="AO1279" i="49"/>
  <c r="AP1279" i="49"/>
  <c r="AQ1279" i="49"/>
  <c r="AR1279" i="49"/>
  <c r="AS1279" i="49"/>
  <c r="AT1279" i="49"/>
  <c r="AO1280" i="49"/>
  <c r="AP1280" i="49"/>
  <c r="AQ1280" i="49"/>
  <c r="AR1280" i="49"/>
  <c r="AS1280" i="49"/>
  <c r="AT1280" i="49"/>
  <c r="AO1281" i="49"/>
  <c r="AP1281" i="49"/>
  <c r="AQ1281" i="49"/>
  <c r="AR1281" i="49"/>
  <c r="AS1281" i="49"/>
  <c r="AT1281" i="49"/>
  <c r="AO1282" i="49"/>
  <c r="AP1282" i="49"/>
  <c r="AQ1282" i="49"/>
  <c r="AR1282" i="49"/>
  <c r="AS1282" i="49"/>
  <c r="AT1282" i="49"/>
  <c r="AO1283" i="49"/>
  <c r="AP1283" i="49"/>
  <c r="AQ1283" i="49"/>
  <c r="AR1283" i="49"/>
  <c r="AS1283" i="49"/>
  <c r="AT1283" i="49"/>
  <c r="AO1284" i="49"/>
  <c r="AP1284" i="49"/>
  <c r="AQ1284" i="49"/>
  <c r="AR1284" i="49"/>
  <c r="AS1284" i="49"/>
  <c r="AT1284" i="49"/>
  <c r="AO1285" i="49"/>
  <c r="AP1285" i="49"/>
  <c r="AQ1285" i="49"/>
  <c r="AR1285" i="49"/>
  <c r="AS1285" i="49"/>
  <c r="AT1285" i="49"/>
  <c r="AO1286" i="49"/>
  <c r="AP1286" i="49"/>
  <c r="AQ1286" i="49"/>
  <c r="AR1286" i="49"/>
  <c r="AS1286" i="49"/>
  <c r="AT1286" i="49"/>
  <c r="AO1287" i="49"/>
  <c r="AP1287" i="49"/>
  <c r="AQ1287" i="49"/>
  <c r="AR1287" i="49"/>
  <c r="AS1287" i="49"/>
  <c r="AT1287" i="49"/>
  <c r="AO1288" i="49"/>
  <c r="AP1288" i="49"/>
  <c r="AQ1288" i="49"/>
  <c r="AR1288" i="49"/>
  <c r="AS1288" i="49"/>
  <c r="AT1288" i="49"/>
  <c r="AO1289" i="49"/>
  <c r="AP1289" i="49"/>
  <c r="AQ1289" i="49"/>
  <c r="AR1289" i="49"/>
  <c r="AS1289" i="49"/>
  <c r="AT1289" i="49"/>
  <c r="AO1290" i="49"/>
  <c r="AP1290" i="49"/>
  <c r="AQ1290" i="49"/>
  <c r="AR1290" i="49"/>
  <c r="AS1290" i="49"/>
  <c r="AT1290" i="49"/>
  <c r="AO1291" i="49"/>
  <c r="AP1291" i="49"/>
  <c r="AQ1291" i="49"/>
  <c r="AR1291" i="49"/>
  <c r="AS1291" i="49"/>
  <c r="AT1291" i="49"/>
  <c r="AO1292" i="49"/>
  <c r="AP1292" i="49"/>
  <c r="AQ1292" i="49"/>
  <c r="AR1292" i="49"/>
  <c r="AS1292" i="49"/>
  <c r="AT1292" i="49"/>
  <c r="AO1293" i="49"/>
  <c r="AP1293" i="49"/>
  <c r="AQ1293" i="49"/>
  <c r="AR1293" i="49"/>
  <c r="AS1293" i="49"/>
  <c r="AT1293" i="49"/>
  <c r="AO1294" i="49"/>
  <c r="AP1294" i="49"/>
  <c r="AQ1294" i="49"/>
  <c r="AR1294" i="49"/>
  <c r="AS1294" i="49"/>
  <c r="AT1294" i="49"/>
  <c r="AO1295" i="49"/>
  <c r="AP1295" i="49"/>
  <c r="AQ1295" i="49"/>
  <c r="AR1295" i="49"/>
  <c r="AS1295" i="49"/>
  <c r="AT1295" i="49"/>
  <c r="AO1296" i="49"/>
  <c r="AP1296" i="49"/>
  <c r="AQ1296" i="49"/>
  <c r="AR1296" i="49"/>
  <c r="AS1296" i="49"/>
  <c r="AT1296" i="49"/>
  <c r="AO1297" i="49"/>
  <c r="AP1297" i="49"/>
  <c r="AQ1297" i="49"/>
  <c r="AR1297" i="49"/>
  <c r="AS1297" i="49"/>
  <c r="AT1297" i="49"/>
  <c r="AO1298" i="49"/>
  <c r="AP1298" i="49"/>
  <c r="AQ1298" i="49"/>
  <c r="AR1298" i="49"/>
  <c r="AS1298" i="49"/>
  <c r="AT1298" i="49"/>
  <c r="AO1299" i="49"/>
  <c r="AP1299" i="49"/>
  <c r="AQ1299" i="49"/>
  <c r="AR1299" i="49"/>
  <c r="AS1299" i="49"/>
  <c r="AT1299" i="49"/>
  <c r="AO1300" i="49"/>
  <c r="AP1300" i="49"/>
  <c r="AQ1300" i="49"/>
  <c r="AR1300" i="49"/>
  <c r="AS1300" i="49"/>
  <c r="AT1300" i="49"/>
  <c r="AO1301" i="49"/>
  <c r="AP1301" i="49"/>
  <c r="AQ1301" i="49"/>
  <c r="AR1301" i="49"/>
  <c r="AS1301" i="49"/>
  <c r="AT1301" i="49"/>
  <c r="AO1302" i="49"/>
  <c r="AP1302" i="49"/>
  <c r="AQ1302" i="49"/>
  <c r="AR1302" i="49"/>
  <c r="AS1302" i="49"/>
  <c r="AT1302" i="49"/>
  <c r="AO1303" i="49"/>
  <c r="AP1303" i="49"/>
  <c r="AQ1303" i="49"/>
  <c r="AR1303" i="49"/>
  <c r="AS1303" i="49"/>
  <c r="AT1303" i="49"/>
  <c r="AO1304" i="49"/>
  <c r="AP1304" i="49"/>
  <c r="AQ1304" i="49"/>
  <c r="AR1304" i="49"/>
  <c r="AS1304" i="49"/>
  <c r="AT1304" i="49"/>
  <c r="AO1305" i="49"/>
  <c r="AP1305" i="49"/>
  <c r="AQ1305" i="49"/>
  <c r="AR1305" i="49"/>
  <c r="AS1305" i="49"/>
  <c r="AT1305" i="49"/>
  <c r="AO1306" i="49"/>
  <c r="AP1306" i="49"/>
  <c r="AQ1306" i="49"/>
  <c r="AR1306" i="49"/>
  <c r="AS1306" i="49"/>
  <c r="AT1306" i="49"/>
  <c r="AO1307" i="49"/>
  <c r="AP1307" i="49"/>
  <c r="AQ1307" i="49"/>
  <c r="AR1307" i="49"/>
  <c r="AS1307" i="49"/>
  <c r="AT1307" i="49"/>
  <c r="AO1308" i="49"/>
  <c r="AP1308" i="49"/>
  <c r="AQ1308" i="49"/>
  <c r="AR1308" i="49"/>
  <c r="AS1308" i="49"/>
  <c r="AT1308" i="49"/>
  <c r="AO1309" i="49"/>
  <c r="AP1309" i="49"/>
  <c r="AQ1309" i="49"/>
  <c r="AR1309" i="49"/>
  <c r="AS1309" i="49"/>
  <c r="AT1309" i="49"/>
  <c r="AO1310" i="49"/>
  <c r="AP1310" i="49"/>
  <c r="AQ1310" i="49"/>
  <c r="AR1310" i="49"/>
  <c r="AS1310" i="49"/>
  <c r="AT1310" i="49"/>
  <c r="AO1311" i="49"/>
  <c r="AP1311" i="49"/>
  <c r="AQ1311" i="49"/>
  <c r="AR1311" i="49"/>
  <c r="AS1311" i="49"/>
  <c r="AT1311" i="49"/>
  <c r="AO1312" i="49"/>
  <c r="AP1312" i="49"/>
  <c r="AQ1312" i="49"/>
  <c r="AR1312" i="49"/>
  <c r="AS1312" i="49"/>
  <c r="AT1312" i="49"/>
  <c r="AO1313" i="49"/>
  <c r="AP1313" i="49"/>
  <c r="AQ1313" i="49"/>
  <c r="AR1313" i="49"/>
  <c r="AS1313" i="49"/>
  <c r="AT1313" i="49"/>
  <c r="AO1314" i="49"/>
  <c r="AP1314" i="49"/>
  <c r="AQ1314" i="49"/>
  <c r="AR1314" i="49"/>
  <c r="AS1314" i="49"/>
  <c r="AT1314" i="49"/>
  <c r="AO1315" i="49"/>
  <c r="AP1315" i="49"/>
  <c r="AQ1315" i="49"/>
  <c r="AR1315" i="49"/>
  <c r="AS1315" i="49"/>
  <c r="AT1315" i="49"/>
  <c r="AO1316" i="49"/>
  <c r="AP1316" i="49"/>
  <c r="AQ1316" i="49"/>
  <c r="AR1316" i="49"/>
  <c r="AS1316" i="49"/>
  <c r="AT1316" i="49"/>
  <c r="AO1317" i="49"/>
  <c r="AP1317" i="49"/>
  <c r="AQ1317" i="49"/>
  <c r="AR1317" i="49"/>
  <c r="AS1317" i="49"/>
  <c r="AT1317" i="49"/>
  <c r="AO1318" i="49"/>
  <c r="AP1318" i="49"/>
  <c r="AQ1318" i="49"/>
  <c r="AR1318" i="49"/>
  <c r="AS1318" i="49"/>
  <c r="AT1318" i="49"/>
  <c r="AO1319" i="49"/>
  <c r="AP1319" i="49"/>
  <c r="AQ1319" i="49"/>
  <c r="AR1319" i="49"/>
  <c r="AS1319" i="49"/>
  <c r="AT1319" i="49"/>
  <c r="AO1320" i="49"/>
  <c r="AP1320" i="49"/>
  <c r="AQ1320" i="49"/>
  <c r="AR1320" i="49"/>
  <c r="AS1320" i="49"/>
  <c r="AT1320" i="49"/>
  <c r="AO1321" i="49"/>
  <c r="AP1321" i="49"/>
  <c r="AQ1321" i="49"/>
  <c r="AR1321" i="49"/>
  <c r="AS1321" i="49"/>
  <c r="AT1321" i="49"/>
  <c r="AO1322" i="49"/>
  <c r="AP1322" i="49"/>
  <c r="AQ1322" i="49"/>
  <c r="AR1322" i="49"/>
  <c r="AS1322" i="49"/>
  <c r="AT1322" i="49"/>
  <c r="AO1323" i="49"/>
  <c r="AP1323" i="49"/>
  <c r="AQ1323" i="49"/>
  <c r="AR1323" i="49"/>
  <c r="AS1323" i="49"/>
  <c r="AT1323" i="49"/>
  <c r="AO1324" i="49"/>
  <c r="AP1324" i="49"/>
  <c r="AQ1324" i="49"/>
  <c r="AR1324" i="49"/>
  <c r="AS1324" i="49"/>
  <c r="AT1324" i="49"/>
  <c r="AO1325" i="49"/>
  <c r="AP1325" i="49"/>
  <c r="AQ1325" i="49"/>
  <c r="AR1325" i="49"/>
  <c r="AS1325" i="49"/>
  <c r="AT1325" i="49"/>
  <c r="AO1326" i="49"/>
  <c r="AP1326" i="49"/>
  <c r="AQ1326" i="49"/>
  <c r="AR1326" i="49"/>
  <c r="AS1326" i="49"/>
  <c r="AT1326" i="49"/>
  <c r="AO1327" i="49"/>
  <c r="AP1327" i="49"/>
  <c r="AQ1327" i="49"/>
  <c r="AR1327" i="49"/>
  <c r="AS1327" i="49"/>
  <c r="AT1327" i="49"/>
  <c r="AO1328" i="49"/>
  <c r="AP1328" i="49"/>
  <c r="AQ1328" i="49"/>
  <c r="AR1328" i="49"/>
  <c r="AS1328" i="49"/>
  <c r="AT1328" i="49"/>
  <c r="AO1329" i="49"/>
  <c r="AP1329" i="49"/>
  <c r="AQ1329" i="49"/>
  <c r="AR1329" i="49"/>
  <c r="AS1329" i="49"/>
  <c r="AT1329" i="49"/>
  <c r="AO1330" i="49"/>
  <c r="AP1330" i="49"/>
  <c r="AQ1330" i="49"/>
  <c r="AR1330" i="49"/>
  <c r="AS1330" i="49"/>
  <c r="AT1330" i="49"/>
  <c r="AO1331" i="49"/>
  <c r="AP1331" i="49"/>
  <c r="AQ1331" i="49"/>
  <c r="AR1331" i="49"/>
  <c r="AS1331" i="49"/>
  <c r="AT1331" i="49"/>
  <c r="AO1332" i="49"/>
  <c r="AP1332" i="49"/>
  <c r="AQ1332" i="49"/>
  <c r="AR1332" i="49"/>
  <c r="AS1332" i="49"/>
  <c r="AT1332" i="49"/>
  <c r="AO1333" i="49"/>
  <c r="AP1333" i="49"/>
  <c r="AQ1333" i="49"/>
  <c r="AR1333" i="49"/>
  <c r="AS1333" i="49"/>
  <c r="AT1333" i="49"/>
  <c r="AO1334" i="49"/>
  <c r="AP1334" i="49"/>
  <c r="AQ1334" i="49"/>
  <c r="AR1334" i="49"/>
  <c r="AS1334" i="49"/>
  <c r="AT1334" i="49"/>
  <c r="AO1335" i="49"/>
  <c r="AP1335" i="49"/>
  <c r="AQ1335" i="49"/>
  <c r="AR1335" i="49"/>
  <c r="AS1335" i="49"/>
  <c r="AT1335" i="49"/>
  <c r="AO1336" i="49"/>
  <c r="AP1336" i="49"/>
  <c r="AQ1336" i="49"/>
  <c r="AR1336" i="49"/>
  <c r="AS1336" i="49"/>
  <c r="AT1336" i="49"/>
  <c r="AO1337" i="49"/>
  <c r="AP1337" i="49"/>
  <c r="AQ1337" i="49"/>
  <c r="AR1337" i="49"/>
  <c r="AS1337" i="49"/>
  <c r="AT1337" i="49"/>
  <c r="AO1338" i="49"/>
  <c r="AP1338" i="49"/>
  <c r="AQ1338" i="49"/>
  <c r="AR1338" i="49"/>
  <c r="AS1338" i="49"/>
  <c r="AT1338" i="49"/>
  <c r="AO1339" i="49"/>
  <c r="AP1339" i="49"/>
  <c r="AQ1339" i="49"/>
  <c r="AR1339" i="49"/>
  <c r="AS1339" i="49"/>
  <c r="AT1339" i="49"/>
  <c r="AO1340" i="49"/>
  <c r="AP1340" i="49"/>
  <c r="AQ1340" i="49"/>
  <c r="AR1340" i="49"/>
  <c r="AS1340" i="49"/>
  <c r="AT1340" i="49"/>
  <c r="AO1341" i="49"/>
  <c r="AP1341" i="49"/>
  <c r="AQ1341" i="49"/>
  <c r="AR1341" i="49"/>
  <c r="AS1341" i="49"/>
  <c r="AT1341" i="49"/>
  <c r="AO1342" i="49"/>
  <c r="AP1342" i="49"/>
  <c r="AQ1342" i="49"/>
  <c r="AR1342" i="49"/>
  <c r="AS1342" i="49"/>
  <c r="AT1342" i="49"/>
  <c r="AO1343" i="49"/>
  <c r="AP1343" i="49"/>
  <c r="AQ1343" i="49"/>
  <c r="AR1343" i="49"/>
  <c r="AS1343" i="49"/>
  <c r="AT1343" i="49"/>
  <c r="AO1344" i="49"/>
  <c r="AP1344" i="49"/>
  <c r="AQ1344" i="49"/>
  <c r="AR1344" i="49"/>
  <c r="AS1344" i="49"/>
  <c r="AT1344" i="49"/>
  <c r="AO1345" i="49"/>
  <c r="AP1345" i="49"/>
  <c r="AQ1345" i="49"/>
  <c r="AR1345" i="49"/>
  <c r="AS1345" i="49"/>
  <c r="AT1345" i="49"/>
  <c r="AO1346" i="49"/>
  <c r="AP1346" i="49"/>
  <c r="AQ1346" i="49"/>
  <c r="AR1346" i="49"/>
  <c r="AS1346" i="49"/>
  <c r="AT1346" i="49"/>
  <c r="AO1347" i="49"/>
  <c r="AP1347" i="49"/>
  <c r="AQ1347" i="49"/>
  <c r="AR1347" i="49"/>
  <c r="AS1347" i="49"/>
  <c r="AT1347" i="49"/>
  <c r="AO1348" i="49"/>
  <c r="AP1348" i="49"/>
  <c r="AQ1348" i="49"/>
  <c r="AR1348" i="49"/>
  <c r="AS1348" i="49"/>
  <c r="AT1348" i="49"/>
  <c r="AO1349" i="49"/>
  <c r="AP1349" i="49"/>
  <c r="AQ1349" i="49"/>
  <c r="AR1349" i="49"/>
  <c r="AS1349" i="49"/>
  <c r="AT1349" i="49"/>
  <c r="AO1350" i="49"/>
  <c r="AP1350" i="49"/>
  <c r="AQ1350" i="49"/>
  <c r="AR1350" i="49"/>
  <c r="AS1350" i="49"/>
  <c r="AT1350" i="49"/>
  <c r="AO1351" i="49"/>
  <c r="AP1351" i="49"/>
  <c r="AQ1351" i="49"/>
  <c r="AR1351" i="49"/>
  <c r="AS1351" i="49"/>
  <c r="AT1351" i="49"/>
  <c r="AO1352" i="49"/>
  <c r="AP1352" i="49"/>
  <c r="AQ1352" i="49"/>
  <c r="AR1352" i="49"/>
  <c r="AS1352" i="49"/>
  <c r="AT1352" i="49"/>
  <c r="AO1353" i="49"/>
  <c r="AP1353" i="49"/>
  <c r="AQ1353" i="49"/>
  <c r="AR1353" i="49"/>
  <c r="AS1353" i="49"/>
  <c r="AT1353" i="49"/>
  <c r="AO1354" i="49"/>
  <c r="AP1354" i="49"/>
  <c r="AQ1354" i="49"/>
  <c r="AR1354" i="49"/>
  <c r="AS1354" i="49"/>
  <c r="AT1354" i="49"/>
  <c r="AO1355" i="49"/>
  <c r="AP1355" i="49"/>
  <c r="AQ1355" i="49"/>
  <c r="AR1355" i="49"/>
  <c r="AS1355" i="49"/>
  <c r="AT1355" i="49"/>
  <c r="AO1356" i="49"/>
  <c r="AP1356" i="49"/>
  <c r="AQ1356" i="49"/>
  <c r="AR1356" i="49"/>
  <c r="AS1356" i="49"/>
  <c r="AT1356" i="49"/>
  <c r="AO1357" i="49"/>
  <c r="AP1357" i="49"/>
  <c r="AQ1357" i="49"/>
  <c r="AR1357" i="49"/>
  <c r="AS1357" i="49"/>
  <c r="AT1357" i="49"/>
  <c r="AO1358" i="49"/>
  <c r="AP1358" i="49"/>
  <c r="AQ1358" i="49"/>
  <c r="AR1358" i="49"/>
  <c r="AS1358" i="49"/>
  <c r="AT1358" i="49"/>
  <c r="AO1359" i="49"/>
  <c r="AP1359" i="49"/>
  <c r="AQ1359" i="49"/>
  <c r="AR1359" i="49"/>
  <c r="AS1359" i="49"/>
  <c r="AT1359" i="49"/>
  <c r="AO1360" i="49"/>
  <c r="AP1360" i="49"/>
  <c r="AQ1360" i="49"/>
  <c r="AR1360" i="49"/>
  <c r="AS1360" i="49"/>
  <c r="AT1360" i="49"/>
  <c r="AO1361" i="49"/>
  <c r="AP1361" i="49"/>
  <c r="AQ1361" i="49"/>
  <c r="AR1361" i="49"/>
  <c r="AS1361" i="49"/>
  <c r="AT1361" i="49"/>
  <c r="AO1362" i="49"/>
  <c r="AP1362" i="49"/>
  <c r="AQ1362" i="49"/>
  <c r="AR1362" i="49"/>
  <c r="AS1362" i="49"/>
  <c r="AT1362" i="49"/>
  <c r="AO1363" i="49"/>
  <c r="AP1363" i="49"/>
  <c r="AQ1363" i="49"/>
  <c r="AR1363" i="49"/>
  <c r="AS1363" i="49"/>
  <c r="AT1363" i="49"/>
  <c r="AO1364" i="49"/>
  <c r="AP1364" i="49"/>
  <c r="AQ1364" i="49"/>
  <c r="AR1364" i="49"/>
  <c r="AS1364" i="49"/>
  <c r="AT1364" i="49"/>
  <c r="AO1365" i="49"/>
  <c r="AP1365" i="49"/>
  <c r="AQ1365" i="49"/>
  <c r="AR1365" i="49"/>
  <c r="AS1365" i="49"/>
  <c r="AT1365" i="49"/>
  <c r="AO1366" i="49"/>
  <c r="AP1366" i="49"/>
  <c r="AQ1366" i="49"/>
  <c r="AR1366" i="49"/>
  <c r="AS1366" i="49"/>
  <c r="AT1366" i="49"/>
  <c r="AO1367" i="49"/>
  <c r="AP1367" i="49"/>
  <c r="AQ1367" i="49"/>
  <c r="AR1367" i="49"/>
  <c r="AS1367" i="49"/>
  <c r="AT1367" i="49"/>
  <c r="AO1368" i="49"/>
  <c r="AP1368" i="49"/>
  <c r="AQ1368" i="49"/>
  <c r="AR1368" i="49"/>
  <c r="AS1368" i="49"/>
  <c r="AT1368" i="49"/>
  <c r="AO1369" i="49"/>
  <c r="AP1369" i="49"/>
  <c r="AQ1369" i="49"/>
  <c r="AR1369" i="49"/>
  <c r="AS1369" i="49"/>
  <c r="AT1369" i="49"/>
  <c r="AO1370" i="49"/>
  <c r="AP1370" i="49"/>
  <c r="AQ1370" i="49"/>
  <c r="AR1370" i="49"/>
  <c r="AS1370" i="49"/>
  <c r="AT1370" i="49"/>
  <c r="AO1371" i="49"/>
  <c r="AP1371" i="49"/>
  <c r="AQ1371" i="49"/>
  <c r="AR1371" i="49"/>
  <c r="AS1371" i="49"/>
  <c r="AT1371" i="49"/>
  <c r="AO1372" i="49"/>
  <c r="AP1372" i="49"/>
  <c r="AQ1372" i="49"/>
  <c r="AR1372" i="49"/>
  <c r="AS1372" i="49"/>
  <c r="AT1372" i="49"/>
  <c r="AO1373" i="49"/>
  <c r="AP1373" i="49"/>
  <c r="AQ1373" i="49"/>
  <c r="AR1373" i="49"/>
  <c r="AS1373" i="49"/>
  <c r="AT1373" i="49"/>
  <c r="AO1374" i="49"/>
  <c r="AP1374" i="49"/>
  <c r="AQ1374" i="49"/>
  <c r="AR1374" i="49"/>
  <c r="AS1374" i="49"/>
  <c r="AT1374" i="49"/>
  <c r="AO1375" i="49"/>
  <c r="AP1375" i="49"/>
  <c r="AQ1375" i="49"/>
  <c r="AR1375" i="49"/>
  <c r="AS1375" i="49"/>
  <c r="AT1375" i="49"/>
  <c r="AO1376" i="49"/>
  <c r="AP1376" i="49"/>
  <c r="AQ1376" i="49"/>
  <c r="AR1376" i="49"/>
  <c r="AS1376" i="49"/>
  <c r="AT1376" i="49"/>
  <c r="AO1377" i="49"/>
  <c r="AP1377" i="49"/>
  <c r="AQ1377" i="49"/>
  <c r="AR1377" i="49"/>
  <c r="AS1377" i="49"/>
  <c r="AT1377" i="49"/>
  <c r="AO1378" i="49"/>
  <c r="AP1378" i="49"/>
  <c r="AQ1378" i="49"/>
  <c r="AR1378" i="49"/>
  <c r="AS1378" i="49"/>
  <c r="AT1378" i="49"/>
  <c r="AO1379" i="49"/>
  <c r="AP1379" i="49"/>
  <c r="AQ1379" i="49"/>
  <c r="AR1379" i="49"/>
  <c r="AS1379" i="49"/>
  <c r="AT1379" i="49"/>
  <c r="AO1380" i="49"/>
  <c r="AP1380" i="49"/>
  <c r="AQ1380" i="49"/>
  <c r="AR1380" i="49"/>
  <c r="AS1380" i="49"/>
  <c r="AT1380" i="49"/>
  <c r="AO1381" i="49"/>
  <c r="AP1381" i="49"/>
  <c r="AQ1381" i="49"/>
  <c r="AR1381" i="49"/>
  <c r="AS1381" i="49"/>
  <c r="AT1381" i="49"/>
  <c r="AO1382" i="49"/>
  <c r="AP1382" i="49"/>
  <c r="AQ1382" i="49"/>
  <c r="AR1382" i="49"/>
  <c r="AS1382" i="49"/>
  <c r="AT1382" i="49"/>
  <c r="AO1383" i="49"/>
  <c r="AP1383" i="49"/>
  <c r="AQ1383" i="49"/>
  <c r="AR1383" i="49"/>
  <c r="AS1383" i="49"/>
  <c r="AT1383" i="49"/>
  <c r="AO1384" i="49"/>
  <c r="AP1384" i="49"/>
  <c r="AQ1384" i="49"/>
  <c r="AR1384" i="49"/>
  <c r="AS1384" i="49"/>
  <c r="AT1384" i="49"/>
  <c r="AO1385" i="49"/>
  <c r="AP1385" i="49"/>
  <c r="AQ1385" i="49"/>
  <c r="AR1385" i="49"/>
  <c r="AS1385" i="49"/>
  <c r="AT1385" i="49"/>
  <c r="AO1386" i="49"/>
  <c r="AP1386" i="49"/>
  <c r="AQ1386" i="49"/>
  <c r="AR1386" i="49"/>
  <c r="AS1386" i="49"/>
  <c r="AT1386" i="49"/>
  <c r="AO1387" i="49"/>
  <c r="AP1387" i="49"/>
  <c r="AQ1387" i="49"/>
  <c r="AR1387" i="49"/>
  <c r="AS1387" i="49"/>
  <c r="AT1387" i="49"/>
  <c r="AO1388" i="49"/>
  <c r="AP1388" i="49"/>
  <c r="AQ1388" i="49"/>
  <c r="AR1388" i="49"/>
  <c r="AS1388" i="49"/>
  <c r="AT1388" i="49"/>
  <c r="AO1389" i="49"/>
  <c r="AP1389" i="49"/>
  <c r="AQ1389" i="49"/>
  <c r="AR1389" i="49"/>
  <c r="AS1389" i="49"/>
  <c r="AT1389" i="49"/>
  <c r="AO1390" i="49"/>
  <c r="AP1390" i="49"/>
  <c r="AQ1390" i="49"/>
  <c r="AR1390" i="49"/>
  <c r="AS1390" i="49"/>
  <c r="AT1390" i="49"/>
  <c r="AO1391" i="49"/>
  <c r="AP1391" i="49"/>
  <c r="AQ1391" i="49"/>
  <c r="AR1391" i="49"/>
  <c r="AS1391" i="49"/>
  <c r="AT1391" i="49"/>
  <c r="AO1392" i="49"/>
  <c r="AP1392" i="49"/>
  <c r="AQ1392" i="49"/>
  <c r="AR1392" i="49"/>
  <c r="AS1392" i="49"/>
  <c r="AT1392" i="49"/>
  <c r="AO1393" i="49"/>
  <c r="AP1393" i="49"/>
  <c r="AQ1393" i="49"/>
  <c r="AR1393" i="49"/>
  <c r="AS1393" i="49"/>
  <c r="AT1393" i="49"/>
  <c r="AO1394" i="49"/>
  <c r="AP1394" i="49"/>
  <c r="AQ1394" i="49"/>
  <c r="AR1394" i="49"/>
  <c r="AS1394" i="49"/>
  <c r="AT1394" i="49"/>
  <c r="AO1395" i="49"/>
  <c r="AP1395" i="49"/>
  <c r="AQ1395" i="49"/>
  <c r="AR1395" i="49"/>
  <c r="AS1395" i="49"/>
  <c r="AT1395" i="49"/>
  <c r="AO1396" i="49"/>
  <c r="AP1396" i="49"/>
  <c r="AQ1396" i="49"/>
  <c r="AR1396" i="49"/>
  <c r="AS1396" i="49"/>
  <c r="AT1396" i="49"/>
  <c r="AO1397" i="49"/>
  <c r="AP1397" i="49"/>
  <c r="AQ1397" i="49"/>
  <c r="AR1397" i="49"/>
  <c r="AS1397" i="49"/>
  <c r="AT1397" i="49"/>
  <c r="AO1398" i="49"/>
  <c r="AP1398" i="49"/>
  <c r="AQ1398" i="49"/>
  <c r="AR1398" i="49"/>
  <c r="AS1398" i="49"/>
  <c r="AT1398" i="49"/>
  <c r="AO1399" i="49"/>
  <c r="AP1399" i="49"/>
  <c r="AQ1399" i="49"/>
  <c r="AR1399" i="49"/>
  <c r="AS1399" i="49"/>
  <c r="AT1399" i="49"/>
  <c r="AO1400" i="49"/>
  <c r="AP1400" i="49"/>
  <c r="AQ1400" i="49"/>
  <c r="AR1400" i="49"/>
  <c r="AS1400" i="49"/>
  <c r="AT1400" i="49"/>
  <c r="AO1401" i="49"/>
  <c r="AP1401" i="49"/>
  <c r="AQ1401" i="49"/>
  <c r="AR1401" i="49"/>
  <c r="AS1401" i="49"/>
  <c r="AT1401" i="49"/>
  <c r="AO1402" i="49"/>
  <c r="AP1402" i="49"/>
  <c r="AQ1402" i="49"/>
  <c r="AR1402" i="49"/>
  <c r="AS1402" i="49"/>
  <c r="AT1402" i="49"/>
  <c r="AO1403" i="49"/>
  <c r="AP1403" i="49"/>
  <c r="AQ1403" i="49"/>
  <c r="AR1403" i="49"/>
  <c r="AS1403" i="49"/>
  <c r="AT1403" i="49"/>
  <c r="AO1404" i="49"/>
  <c r="AP1404" i="49"/>
  <c r="AQ1404" i="49"/>
  <c r="AR1404" i="49"/>
  <c r="AS1404" i="49"/>
  <c r="AT1404" i="49"/>
  <c r="AO1405" i="49"/>
  <c r="AP1405" i="49"/>
  <c r="AQ1405" i="49"/>
  <c r="AR1405" i="49"/>
  <c r="AS1405" i="49"/>
  <c r="AT1405" i="49"/>
  <c r="AO1406" i="49"/>
  <c r="AP1406" i="49"/>
  <c r="AQ1406" i="49"/>
  <c r="AR1406" i="49"/>
  <c r="AS1406" i="49"/>
  <c r="AT1406" i="49"/>
  <c r="AO1407" i="49"/>
  <c r="AP1407" i="49"/>
  <c r="AQ1407" i="49"/>
  <c r="AR1407" i="49"/>
  <c r="AS1407" i="49"/>
  <c r="AT1407" i="49"/>
  <c r="AO1408" i="49"/>
  <c r="AP1408" i="49"/>
  <c r="AQ1408" i="49"/>
  <c r="AR1408" i="49"/>
  <c r="AS1408" i="49"/>
  <c r="AT1408" i="49"/>
  <c r="AO1409" i="49"/>
  <c r="AP1409" i="49"/>
  <c r="AQ1409" i="49"/>
  <c r="AR1409" i="49"/>
  <c r="AS1409" i="49"/>
  <c r="AT1409" i="49"/>
  <c r="AO1410" i="49"/>
  <c r="AP1410" i="49"/>
  <c r="AQ1410" i="49"/>
  <c r="AR1410" i="49"/>
  <c r="AS1410" i="49"/>
  <c r="AT1410" i="49"/>
  <c r="AO1411" i="49"/>
  <c r="AP1411" i="49"/>
  <c r="AQ1411" i="49"/>
  <c r="AR1411" i="49"/>
  <c r="AS1411" i="49"/>
  <c r="AT1411" i="49"/>
  <c r="AO1412" i="49"/>
  <c r="AP1412" i="49"/>
  <c r="AQ1412" i="49"/>
  <c r="AR1412" i="49"/>
  <c r="AS1412" i="49"/>
  <c r="AT1412" i="49"/>
  <c r="AO1413" i="49"/>
  <c r="AP1413" i="49"/>
  <c r="AQ1413" i="49"/>
  <c r="AR1413" i="49"/>
  <c r="AS1413" i="49"/>
  <c r="AT1413" i="49"/>
  <c r="AO1414" i="49"/>
  <c r="AP1414" i="49"/>
  <c r="AQ1414" i="49"/>
  <c r="AR1414" i="49"/>
  <c r="AS1414" i="49"/>
  <c r="AT1414" i="49"/>
  <c r="AO1415" i="49"/>
  <c r="AP1415" i="49"/>
  <c r="AQ1415" i="49"/>
  <c r="AR1415" i="49"/>
  <c r="AS1415" i="49"/>
  <c r="AT1415" i="49"/>
  <c r="AO1416" i="49"/>
  <c r="AP1416" i="49"/>
  <c r="AQ1416" i="49"/>
  <c r="AR1416" i="49"/>
  <c r="AS1416" i="49"/>
  <c r="AT1416" i="49"/>
  <c r="AO1417" i="49"/>
  <c r="AP1417" i="49"/>
  <c r="AQ1417" i="49"/>
  <c r="AR1417" i="49"/>
  <c r="AS1417" i="49"/>
  <c r="AT1417" i="49"/>
  <c r="AO1418" i="49"/>
  <c r="AP1418" i="49"/>
  <c r="AQ1418" i="49"/>
  <c r="AR1418" i="49"/>
  <c r="AS1418" i="49"/>
  <c r="AT1418" i="49"/>
  <c r="AO1419" i="49"/>
  <c r="AP1419" i="49"/>
  <c r="AQ1419" i="49"/>
  <c r="AR1419" i="49"/>
  <c r="AS1419" i="49"/>
  <c r="AT1419" i="49"/>
  <c r="AO1420" i="49"/>
  <c r="AP1420" i="49"/>
  <c r="AQ1420" i="49"/>
  <c r="AR1420" i="49"/>
  <c r="AS1420" i="49"/>
  <c r="AT1420" i="49"/>
  <c r="AO1421" i="49"/>
  <c r="AP1421" i="49"/>
  <c r="AQ1421" i="49"/>
  <c r="AR1421" i="49"/>
  <c r="AS1421" i="49"/>
  <c r="AT1421" i="49"/>
  <c r="AO1422" i="49"/>
  <c r="AP1422" i="49"/>
  <c r="AQ1422" i="49"/>
  <c r="AR1422" i="49"/>
  <c r="AS1422" i="49"/>
  <c r="AT1422" i="49"/>
  <c r="AO1423" i="49"/>
  <c r="AP1423" i="49"/>
  <c r="AQ1423" i="49"/>
  <c r="AR1423" i="49"/>
  <c r="AS1423" i="49"/>
  <c r="AT1423" i="49"/>
  <c r="AO1424" i="49"/>
  <c r="AP1424" i="49"/>
  <c r="AQ1424" i="49"/>
  <c r="AR1424" i="49"/>
  <c r="AS1424" i="49"/>
  <c r="AT1424" i="49"/>
  <c r="AO1425" i="49"/>
  <c r="AP1425" i="49"/>
  <c r="AQ1425" i="49"/>
  <c r="AR1425" i="49"/>
  <c r="AS1425" i="49"/>
  <c r="AT1425" i="49"/>
  <c r="AO1426" i="49"/>
  <c r="AP1426" i="49"/>
  <c r="AQ1426" i="49"/>
  <c r="AR1426" i="49"/>
  <c r="AS1426" i="49"/>
  <c r="AT1426" i="49"/>
  <c r="AO1427" i="49"/>
  <c r="AP1427" i="49"/>
  <c r="AQ1427" i="49"/>
  <c r="AR1427" i="49"/>
  <c r="AS1427" i="49"/>
  <c r="AT1427" i="49"/>
  <c r="AO1428" i="49"/>
  <c r="AP1428" i="49"/>
  <c r="AQ1428" i="49"/>
  <c r="AR1428" i="49"/>
  <c r="AS1428" i="49"/>
  <c r="AT1428" i="49"/>
  <c r="AO1429" i="49"/>
  <c r="AP1429" i="49"/>
  <c r="AQ1429" i="49"/>
  <c r="AR1429" i="49"/>
  <c r="AS1429" i="49"/>
  <c r="AT1429" i="49"/>
  <c r="AO1430" i="49"/>
  <c r="AP1430" i="49"/>
  <c r="AQ1430" i="49"/>
  <c r="AR1430" i="49"/>
  <c r="AS1430" i="49"/>
  <c r="AT1430" i="49"/>
  <c r="AO1431" i="49"/>
  <c r="AP1431" i="49"/>
  <c r="AQ1431" i="49"/>
  <c r="AR1431" i="49"/>
  <c r="AS1431" i="49"/>
  <c r="AT1431" i="49"/>
  <c r="AO1432" i="49"/>
  <c r="AP1432" i="49"/>
  <c r="AQ1432" i="49"/>
  <c r="AR1432" i="49"/>
  <c r="AS1432" i="49"/>
  <c r="AT1432" i="49"/>
  <c r="AO1433" i="49"/>
  <c r="AP1433" i="49"/>
  <c r="AQ1433" i="49"/>
  <c r="AR1433" i="49"/>
  <c r="AS1433" i="49"/>
  <c r="AT1433" i="49"/>
  <c r="AO1434" i="49"/>
  <c r="AP1434" i="49"/>
  <c r="AQ1434" i="49"/>
  <c r="AR1434" i="49"/>
  <c r="AS1434" i="49"/>
  <c r="AT1434" i="49"/>
  <c r="AO1435" i="49"/>
  <c r="AP1435" i="49"/>
  <c r="AQ1435" i="49"/>
  <c r="AR1435" i="49"/>
  <c r="AS1435" i="49"/>
  <c r="AT1435" i="49"/>
  <c r="AO1436" i="49"/>
  <c r="AP1436" i="49"/>
  <c r="AQ1436" i="49"/>
  <c r="AR1436" i="49"/>
  <c r="AS1436" i="49"/>
  <c r="AT1436" i="49"/>
  <c r="AO1437" i="49"/>
  <c r="AP1437" i="49"/>
  <c r="AQ1437" i="49"/>
  <c r="AR1437" i="49"/>
  <c r="AS1437" i="49"/>
  <c r="AT1437" i="49"/>
  <c r="AO1438" i="49"/>
  <c r="AP1438" i="49"/>
  <c r="AQ1438" i="49"/>
  <c r="AR1438" i="49"/>
  <c r="AS1438" i="49"/>
  <c r="AT1438" i="49"/>
  <c r="AO1439" i="49"/>
  <c r="AP1439" i="49"/>
  <c r="AQ1439" i="49"/>
  <c r="AR1439" i="49"/>
  <c r="AS1439" i="49"/>
  <c r="AT1439" i="49"/>
  <c r="AO1440" i="49"/>
  <c r="AP1440" i="49"/>
  <c r="AQ1440" i="49"/>
  <c r="AR1440" i="49"/>
  <c r="AS1440" i="49"/>
  <c r="AT1440" i="49"/>
  <c r="AO1441" i="49"/>
  <c r="AP1441" i="49"/>
  <c r="AQ1441" i="49"/>
  <c r="AR1441" i="49"/>
  <c r="AS1441" i="49"/>
  <c r="AT1441" i="49"/>
  <c r="AO1442" i="49"/>
  <c r="AP1442" i="49"/>
  <c r="AQ1442" i="49"/>
  <c r="AR1442" i="49"/>
  <c r="AS1442" i="49"/>
  <c r="AT1442" i="49"/>
  <c r="AO1443" i="49"/>
  <c r="AP1443" i="49"/>
  <c r="AQ1443" i="49"/>
  <c r="AR1443" i="49"/>
  <c r="AS1443" i="49"/>
  <c r="AT1443" i="49"/>
  <c r="AO1444" i="49"/>
  <c r="AP1444" i="49"/>
  <c r="AQ1444" i="49"/>
  <c r="AR1444" i="49"/>
  <c r="AS1444" i="49"/>
  <c r="AT1444" i="49"/>
  <c r="AO1445" i="49"/>
  <c r="AP1445" i="49"/>
  <c r="AQ1445" i="49"/>
  <c r="AR1445" i="49"/>
  <c r="AS1445" i="49"/>
  <c r="AT1445" i="49"/>
  <c r="AO1446" i="49"/>
  <c r="AP1446" i="49"/>
  <c r="AQ1446" i="49"/>
  <c r="AR1446" i="49"/>
  <c r="AS1446" i="49"/>
  <c r="AT1446" i="49"/>
  <c r="AO1447" i="49"/>
  <c r="AP1447" i="49"/>
  <c r="AQ1447" i="49"/>
  <c r="AR1447" i="49"/>
  <c r="AS1447" i="49"/>
  <c r="AT1447" i="49"/>
  <c r="AO1448" i="49"/>
  <c r="AP1448" i="49"/>
  <c r="AQ1448" i="49"/>
  <c r="AR1448" i="49"/>
  <c r="AS1448" i="49"/>
  <c r="AT1448" i="49"/>
  <c r="AO1449" i="49"/>
  <c r="AP1449" i="49"/>
  <c r="AQ1449" i="49"/>
  <c r="AR1449" i="49"/>
  <c r="AS1449" i="49"/>
  <c r="AT1449" i="49"/>
  <c r="AO1450" i="49"/>
  <c r="AP1450" i="49"/>
  <c r="AQ1450" i="49"/>
  <c r="AR1450" i="49"/>
  <c r="AS1450" i="49"/>
  <c r="AT1450" i="49"/>
  <c r="AO1451" i="49"/>
  <c r="AP1451" i="49"/>
  <c r="AQ1451" i="49"/>
  <c r="AR1451" i="49"/>
  <c r="AS1451" i="49"/>
  <c r="AT1451" i="49"/>
  <c r="AO1452" i="49"/>
  <c r="AP1452" i="49"/>
  <c r="AQ1452" i="49"/>
  <c r="AR1452" i="49"/>
  <c r="AS1452" i="49"/>
  <c r="AT1452" i="49"/>
  <c r="AO1453" i="49"/>
  <c r="AP1453" i="49"/>
  <c r="AQ1453" i="49"/>
  <c r="AR1453" i="49"/>
  <c r="AS1453" i="49"/>
  <c r="AT1453" i="49"/>
  <c r="AO1454" i="49"/>
  <c r="AP1454" i="49"/>
  <c r="AQ1454" i="49"/>
  <c r="AR1454" i="49"/>
  <c r="AS1454" i="49"/>
  <c r="AT1454" i="49"/>
  <c r="AO1455" i="49"/>
  <c r="AP1455" i="49"/>
  <c r="AQ1455" i="49"/>
  <c r="AR1455" i="49"/>
  <c r="AS1455" i="49"/>
  <c r="AT1455" i="49"/>
  <c r="AO1456" i="49"/>
  <c r="AP1456" i="49"/>
  <c r="AQ1456" i="49"/>
  <c r="AR1456" i="49"/>
  <c r="AS1456" i="49"/>
  <c r="AT1456" i="49"/>
  <c r="AO1457" i="49"/>
  <c r="AP1457" i="49"/>
  <c r="AQ1457" i="49"/>
  <c r="AR1457" i="49"/>
  <c r="AS1457" i="49"/>
  <c r="AT1457" i="49"/>
  <c r="AO1458" i="49"/>
  <c r="AP1458" i="49"/>
  <c r="AQ1458" i="49"/>
  <c r="AR1458" i="49"/>
  <c r="AS1458" i="49"/>
  <c r="AT1458" i="49"/>
  <c r="AO1459" i="49"/>
  <c r="AP1459" i="49"/>
  <c r="AQ1459" i="49"/>
  <c r="AR1459" i="49"/>
  <c r="AS1459" i="49"/>
  <c r="AT1459" i="49"/>
  <c r="AO1460" i="49"/>
  <c r="AP1460" i="49"/>
  <c r="AQ1460" i="49"/>
  <c r="AR1460" i="49"/>
  <c r="AS1460" i="49"/>
  <c r="AT1460" i="49"/>
  <c r="AO1461" i="49"/>
  <c r="AP1461" i="49"/>
  <c r="AQ1461" i="49"/>
  <c r="AR1461" i="49"/>
  <c r="AS1461" i="49"/>
  <c r="AT1461" i="49"/>
  <c r="AO1462" i="49"/>
  <c r="AP1462" i="49"/>
  <c r="AQ1462" i="49"/>
  <c r="AR1462" i="49"/>
  <c r="AS1462" i="49"/>
  <c r="AT1462" i="49"/>
  <c r="AO1463" i="49"/>
  <c r="AP1463" i="49"/>
  <c r="AQ1463" i="49"/>
  <c r="AR1463" i="49"/>
  <c r="AS1463" i="49"/>
  <c r="AT1463" i="49"/>
  <c r="AO1464" i="49"/>
  <c r="AP1464" i="49"/>
  <c r="AQ1464" i="49"/>
  <c r="AR1464" i="49"/>
  <c r="AS1464" i="49"/>
  <c r="AT1464" i="49"/>
  <c r="AO1465" i="49"/>
  <c r="AP1465" i="49"/>
  <c r="AQ1465" i="49"/>
  <c r="AR1465" i="49"/>
  <c r="AS1465" i="49"/>
  <c r="AT1465" i="49"/>
  <c r="AO1466" i="49"/>
  <c r="AP1466" i="49"/>
  <c r="AQ1466" i="49"/>
  <c r="AR1466" i="49"/>
  <c r="AS1466" i="49"/>
  <c r="AT1466" i="49"/>
  <c r="AO1467" i="49"/>
  <c r="AP1467" i="49"/>
  <c r="AQ1467" i="49"/>
  <c r="AR1467" i="49"/>
  <c r="AS1467" i="49"/>
  <c r="AT1467" i="49"/>
  <c r="AO1468" i="49"/>
  <c r="AP1468" i="49"/>
  <c r="AQ1468" i="49"/>
  <c r="AR1468" i="49"/>
  <c r="AS1468" i="49"/>
  <c r="AT1468" i="49"/>
  <c r="AO1469" i="49"/>
  <c r="AP1469" i="49"/>
  <c r="AQ1469" i="49"/>
  <c r="AR1469" i="49"/>
  <c r="AS1469" i="49"/>
  <c r="AT1469" i="49"/>
  <c r="AO1470" i="49"/>
  <c r="AP1470" i="49"/>
  <c r="AQ1470" i="49"/>
  <c r="AR1470" i="49"/>
  <c r="AS1470" i="49"/>
  <c r="AT1470" i="49"/>
  <c r="AO1471" i="49"/>
  <c r="AP1471" i="49"/>
  <c r="AQ1471" i="49"/>
  <c r="AR1471" i="49"/>
  <c r="AS1471" i="49"/>
  <c r="AT1471" i="49"/>
  <c r="AO1472" i="49"/>
  <c r="AP1472" i="49"/>
  <c r="AQ1472" i="49"/>
  <c r="AR1472" i="49"/>
  <c r="AS1472" i="49"/>
  <c r="AT1472" i="49"/>
  <c r="AO1473" i="49"/>
  <c r="AP1473" i="49"/>
  <c r="AQ1473" i="49"/>
  <c r="AR1473" i="49"/>
  <c r="AS1473" i="49"/>
  <c r="AT1473" i="49"/>
  <c r="AO1474" i="49"/>
  <c r="AP1474" i="49"/>
  <c r="AQ1474" i="49"/>
  <c r="AR1474" i="49"/>
  <c r="AS1474" i="49"/>
  <c r="AT1474" i="49"/>
  <c r="AO1475" i="49"/>
  <c r="AP1475" i="49"/>
  <c r="AQ1475" i="49"/>
  <c r="AR1475" i="49"/>
  <c r="AS1475" i="49"/>
  <c r="AT1475" i="49"/>
  <c r="AO1476" i="49"/>
  <c r="AP1476" i="49"/>
  <c r="AQ1476" i="49"/>
  <c r="AR1476" i="49"/>
  <c r="AS1476" i="49"/>
  <c r="AT1476" i="49"/>
  <c r="AO1477" i="49"/>
  <c r="AP1477" i="49"/>
  <c r="AQ1477" i="49"/>
  <c r="AR1477" i="49"/>
  <c r="AS1477" i="49"/>
  <c r="AT1477" i="49"/>
  <c r="AO1478" i="49"/>
  <c r="AP1478" i="49"/>
  <c r="AQ1478" i="49"/>
  <c r="AR1478" i="49"/>
  <c r="AS1478" i="49"/>
  <c r="AT1478" i="49"/>
  <c r="AO1479" i="49"/>
  <c r="AP1479" i="49"/>
  <c r="AQ1479" i="49"/>
  <c r="AR1479" i="49"/>
  <c r="AS1479" i="49"/>
  <c r="AT1479" i="49"/>
  <c r="AO1480" i="49"/>
  <c r="AP1480" i="49"/>
  <c r="AQ1480" i="49"/>
  <c r="AR1480" i="49"/>
  <c r="AS1480" i="49"/>
  <c r="AT1480" i="49"/>
  <c r="AO1481" i="49"/>
  <c r="AP1481" i="49"/>
  <c r="AQ1481" i="49"/>
  <c r="AR1481" i="49"/>
  <c r="AS1481" i="49"/>
  <c r="AT1481" i="49"/>
  <c r="AO1482" i="49"/>
  <c r="AP1482" i="49"/>
  <c r="AQ1482" i="49"/>
  <c r="AR1482" i="49"/>
  <c r="AS1482" i="49"/>
  <c r="AT1482" i="49"/>
  <c r="AO1483" i="49"/>
  <c r="AP1483" i="49"/>
  <c r="AQ1483" i="49"/>
  <c r="AR1483" i="49"/>
  <c r="AS1483" i="49"/>
  <c r="AT1483" i="49"/>
  <c r="AO1484" i="49"/>
  <c r="AP1484" i="49"/>
  <c r="AQ1484" i="49"/>
  <c r="AR1484" i="49"/>
  <c r="AS1484" i="49"/>
  <c r="AT1484" i="49"/>
  <c r="AO1485" i="49"/>
  <c r="AP1485" i="49"/>
  <c r="AQ1485" i="49"/>
  <c r="AR1485" i="49"/>
  <c r="AS1485" i="49"/>
  <c r="AT1485" i="49"/>
  <c r="AO1486" i="49"/>
  <c r="AP1486" i="49"/>
  <c r="AQ1486" i="49"/>
  <c r="AR1486" i="49"/>
  <c r="AS1486" i="49"/>
  <c r="AT1486" i="49"/>
  <c r="AO1487" i="49"/>
  <c r="AP1487" i="49"/>
  <c r="AQ1487" i="49"/>
  <c r="AR1487" i="49"/>
  <c r="AS1487" i="49"/>
  <c r="AT1487" i="49"/>
  <c r="AO1488" i="49"/>
  <c r="AP1488" i="49"/>
  <c r="AQ1488" i="49"/>
  <c r="AR1488" i="49"/>
  <c r="AS1488" i="49"/>
  <c r="AT1488" i="49"/>
  <c r="AO1489" i="49"/>
  <c r="AP1489" i="49"/>
  <c r="AQ1489" i="49"/>
  <c r="AR1489" i="49"/>
  <c r="AS1489" i="49"/>
  <c r="AT1489" i="49"/>
  <c r="AO1490" i="49"/>
  <c r="AP1490" i="49"/>
  <c r="AQ1490" i="49"/>
  <c r="AR1490" i="49"/>
  <c r="AS1490" i="49"/>
  <c r="AT1490" i="49"/>
  <c r="AO1491" i="49"/>
  <c r="AP1491" i="49"/>
  <c r="AQ1491" i="49"/>
  <c r="AR1491" i="49"/>
  <c r="AS1491" i="49"/>
  <c r="AT1491" i="49"/>
  <c r="AO1492" i="49"/>
  <c r="AP1492" i="49"/>
  <c r="AQ1492" i="49"/>
  <c r="AR1492" i="49"/>
  <c r="AS1492" i="49"/>
  <c r="AT1492" i="49"/>
  <c r="AO1493" i="49"/>
  <c r="AP1493" i="49"/>
  <c r="AQ1493" i="49"/>
  <c r="AR1493" i="49"/>
  <c r="AS1493" i="49"/>
  <c r="AT1493" i="49"/>
  <c r="AO1494" i="49"/>
  <c r="AP1494" i="49"/>
  <c r="AQ1494" i="49"/>
  <c r="AR1494" i="49"/>
  <c r="AS1494" i="49"/>
  <c r="AT1494" i="49"/>
  <c r="AO1495" i="49"/>
  <c r="AP1495" i="49"/>
  <c r="AQ1495" i="49"/>
  <c r="AR1495" i="49"/>
  <c r="AS1495" i="49"/>
  <c r="AT1495" i="49"/>
  <c r="AO1496" i="49"/>
  <c r="AP1496" i="49"/>
  <c r="AQ1496" i="49"/>
  <c r="AR1496" i="49"/>
  <c r="AS1496" i="49"/>
  <c r="AT1496" i="49"/>
  <c r="AO1497" i="49"/>
  <c r="AP1497" i="49"/>
  <c r="AQ1497" i="49"/>
  <c r="AR1497" i="49"/>
  <c r="AS1497" i="49"/>
  <c r="AT1497" i="49"/>
  <c r="AO1498" i="49"/>
  <c r="AP1498" i="49"/>
  <c r="AQ1498" i="49"/>
  <c r="AR1498" i="49"/>
  <c r="AS1498" i="49"/>
  <c r="AT1498" i="49"/>
  <c r="AO1499" i="49"/>
  <c r="AP1499" i="49"/>
  <c r="AQ1499" i="49"/>
  <c r="AR1499" i="49"/>
  <c r="AS1499" i="49"/>
  <c r="AT1499" i="49"/>
  <c r="AO1500" i="49"/>
  <c r="AP1500" i="49"/>
  <c r="AQ1500" i="49"/>
  <c r="AR1500" i="49"/>
  <c r="AS1500" i="49"/>
  <c r="AT1500" i="49"/>
  <c r="AO1501" i="49"/>
  <c r="AP1501" i="49"/>
  <c r="AQ1501" i="49"/>
  <c r="AR1501" i="49"/>
  <c r="AS1501" i="49"/>
  <c r="AT1501" i="49"/>
  <c r="AO1502" i="49"/>
  <c r="AP1502" i="49"/>
  <c r="AQ1502" i="49"/>
  <c r="AR1502" i="49"/>
  <c r="AS1502" i="49"/>
  <c r="AT1502" i="49"/>
  <c r="AO1503" i="49"/>
  <c r="AP1503" i="49"/>
  <c r="AQ1503" i="49"/>
  <c r="AR1503" i="49"/>
  <c r="AS1503" i="49"/>
  <c r="AT1503" i="49"/>
  <c r="AO1504" i="49"/>
  <c r="AP1504" i="49"/>
  <c r="AQ1504" i="49"/>
  <c r="AR1504" i="49"/>
  <c r="AS1504" i="49"/>
  <c r="AT1504" i="49"/>
  <c r="AO1505" i="49"/>
  <c r="AP1505" i="49"/>
  <c r="AQ1505" i="49"/>
  <c r="AR1505" i="49"/>
  <c r="AS1505" i="49"/>
  <c r="AT1505" i="49"/>
  <c r="AO1506" i="49"/>
  <c r="AP1506" i="49"/>
  <c r="AQ1506" i="49"/>
  <c r="AR1506" i="49"/>
  <c r="AS1506" i="49"/>
  <c r="AT1506" i="49"/>
  <c r="AO1507" i="49"/>
  <c r="AP1507" i="49"/>
  <c r="AQ1507" i="49"/>
  <c r="AR1507" i="49"/>
  <c r="AS1507" i="49"/>
  <c r="AT1507" i="49"/>
  <c r="AO1508" i="49"/>
  <c r="AP1508" i="49"/>
  <c r="AQ1508" i="49"/>
  <c r="AR1508" i="49"/>
  <c r="AS1508" i="49"/>
  <c r="AT1508" i="49"/>
  <c r="AO1509" i="49"/>
  <c r="AP1509" i="49"/>
  <c r="AQ1509" i="49"/>
  <c r="AR1509" i="49"/>
  <c r="AS1509" i="49"/>
  <c r="AT1509" i="49"/>
  <c r="AO1510" i="49"/>
  <c r="AP1510" i="49"/>
  <c r="AQ1510" i="49"/>
  <c r="AR1510" i="49"/>
  <c r="AS1510" i="49"/>
  <c r="AT1510" i="49"/>
  <c r="AO1511" i="49"/>
  <c r="AP1511" i="49"/>
  <c r="AQ1511" i="49"/>
  <c r="AR1511" i="49"/>
  <c r="AS1511" i="49"/>
  <c r="AT1511" i="49"/>
  <c r="AO1512" i="49"/>
  <c r="AP1512" i="49"/>
  <c r="AQ1512" i="49"/>
  <c r="AR1512" i="49"/>
  <c r="AS1512" i="49"/>
  <c r="AT1512" i="49"/>
  <c r="AO1513" i="49"/>
  <c r="AP1513" i="49"/>
  <c r="AQ1513" i="49"/>
  <c r="AR1513" i="49"/>
  <c r="AS1513" i="49"/>
  <c r="AT1513" i="49"/>
  <c r="AO1514" i="49"/>
  <c r="AP1514" i="49"/>
  <c r="AQ1514" i="49"/>
  <c r="AR1514" i="49"/>
  <c r="AS1514" i="49"/>
  <c r="AT1514" i="49"/>
  <c r="AO1515" i="49"/>
  <c r="AP1515" i="49"/>
  <c r="AQ1515" i="49"/>
  <c r="AR1515" i="49"/>
  <c r="AS1515" i="49"/>
  <c r="AT1515" i="49"/>
  <c r="AO1516" i="49"/>
  <c r="AP1516" i="49"/>
  <c r="AQ1516" i="49"/>
  <c r="AR1516" i="49"/>
  <c r="AS1516" i="49"/>
  <c r="AT1516" i="49"/>
  <c r="AO1517" i="49"/>
  <c r="AP1517" i="49"/>
  <c r="AQ1517" i="49"/>
  <c r="AR1517" i="49"/>
  <c r="AS1517" i="49"/>
  <c r="AT1517" i="49"/>
  <c r="AO1518" i="49"/>
  <c r="AP1518" i="49"/>
  <c r="AQ1518" i="49"/>
  <c r="AR1518" i="49"/>
  <c r="AS1518" i="49"/>
  <c r="AT1518" i="49"/>
  <c r="AO1519" i="49"/>
  <c r="AP1519" i="49"/>
  <c r="AQ1519" i="49"/>
  <c r="AR1519" i="49"/>
  <c r="AS1519" i="49"/>
  <c r="AT1519" i="49"/>
  <c r="AO1520" i="49"/>
  <c r="AP1520" i="49"/>
  <c r="AQ1520" i="49"/>
  <c r="AR1520" i="49"/>
  <c r="AS1520" i="49"/>
  <c r="AT1520" i="49"/>
  <c r="AO1521" i="49"/>
  <c r="AP1521" i="49"/>
  <c r="AQ1521" i="49"/>
  <c r="AR1521" i="49"/>
  <c r="AS1521" i="49"/>
  <c r="AT1521" i="49"/>
  <c r="AO1522" i="49"/>
  <c r="AP1522" i="49"/>
  <c r="AQ1522" i="49"/>
  <c r="AR1522" i="49"/>
  <c r="AS1522" i="49"/>
  <c r="AT1522" i="49"/>
  <c r="AO1523" i="49"/>
  <c r="AP1523" i="49"/>
  <c r="AQ1523" i="49"/>
  <c r="AR1523" i="49"/>
  <c r="AS1523" i="49"/>
  <c r="AT1523" i="49"/>
  <c r="AO1524" i="49"/>
  <c r="AP1524" i="49"/>
  <c r="AQ1524" i="49"/>
  <c r="AR1524" i="49"/>
  <c r="AS1524" i="49"/>
  <c r="AT1524" i="49"/>
  <c r="AO1525" i="49"/>
  <c r="AP1525" i="49"/>
  <c r="AQ1525" i="49"/>
  <c r="AR1525" i="49"/>
  <c r="AS1525" i="49"/>
  <c r="AT1525" i="49"/>
  <c r="AO1526" i="49"/>
  <c r="AP1526" i="49"/>
  <c r="AQ1526" i="49"/>
  <c r="AR1526" i="49"/>
  <c r="AS1526" i="49"/>
  <c r="AT1526" i="49"/>
  <c r="AO1527" i="49"/>
  <c r="AP1527" i="49"/>
  <c r="AQ1527" i="49"/>
  <c r="AR1527" i="49"/>
  <c r="AS1527" i="49"/>
  <c r="AT1527" i="49"/>
  <c r="AO1528" i="49"/>
  <c r="AP1528" i="49"/>
  <c r="AQ1528" i="49"/>
  <c r="AR1528" i="49"/>
  <c r="AS1528" i="49"/>
  <c r="AT1528" i="49"/>
  <c r="AO1529" i="49"/>
  <c r="AP1529" i="49"/>
  <c r="AQ1529" i="49"/>
  <c r="AR1529" i="49"/>
  <c r="AS1529" i="49"/>
  <c r="AT1529" i="49"/>
  <c r="AO1530" i="49"/>
  <c r="AP1530" i="49"/>
  <c r="AQ1530" i="49"/>
  <c r="AR1530" i="49"/>
  <c r="AS1530" i="49"/>
  <c r="AT1530" i="49"/>
  <c r="AO1531" i="49"/>
  <c r="AP1531" i="49"/>
  <c r="AQ1531" i="49"/>
  <c r="AR1531" i="49"/>
  <c r="AS1531" i="49"/>
  <c r="AT1531" i="49"/>
  <c r="AO1532" i="49"/>
  <c r="AP1532" i="49"/>
  <c r="AQ1532" i="49"/>
  <c r="AR1532" i="49"/>
  <c r="AS1532" i="49"/>
  <c r="AT1532" i="49"/>
  <c r="AO1533" i="49"/>
  <c r="AP1533" i="49"/>
  <c r="AQ1533" i="49"/>
  <c r="AR1533" i="49"/>
  <c r="AS1533" i="49"/>
  <c r="AT1533" i="49"/>
  <c r="AO1534" i="49"/>
  <c r="AP1534" i="49"/>
  <c r="AQ1534" i="49"/>
  <c r="AR1534" i="49"/>
  <c r="AS1534" i="49"/>
  <c r="AT1534" i="49"/>
  <c r="AO1535" i="49"/>
  <c r="AP1535" i="49"/>
  <c r="AQ1535" i="49"/>
  <c r="AR1535" i="49"/>
  <c r="AS1535" i="49"/>
  <c r="AT1535" i="49"/>
  <c r="AO1536" i="49"/>
  <c r="AP1536" i="49"/>
  <c r="AQ1536" i="49"/>
  <c r="AR1536" i="49"/>
  <c r="AS1536" i="49"/>
  <c r="AT1536" i="49"/>
  <c r="AO1537" i="49"/>
  <c r="AP1537" i="49"/>
  <c r="AQ1537" i="49"/>
  <c r="AR1537" i="49"/>
  <c r="AS1537" i="49"/>
  <c r="AT1537" i="49"/>
  <c r="AO1538" i="49"/>
  <c r="AP1538" i="49"/>
  <c r="AQ1538" i="49"/>
  <c r="AR1538" i="49"/>
  <c r="AS1538" i="49"/>
  <c r="AT1538" i="49"/>
  <c r="AO1539" i="49"/>
  <c r="AP1539" i="49"/>
  <c r="AQ1539" i="49"/>
  <c r="AR1539" i="49"/>
  <c r="AS1539" i="49"/>
  <c r="AT1539" i="49"/>
  <c r="AO1540" i="49"/>
  <c r="AP1540" i="49"/>
  <c r="AQ1540" i="49"/>
  <c r="AR1540" i="49"/>
  <c r="AS1540" i="49"/>
  <c r="AT1540" i="49"/>
  <c r="AO1541" i="49"/>
  <c r="AP1541" i="49"/>
  <c r="AQ1541" i="49"/>
  <c r="AR1541" i="49"/>
  <c r="AS1541" i="49"/>
  <c r="AT1541" i="49"/>
  <c r="AO1542" i="49"/>
  <c r="AP1542" i="49"/>
  <c r="AQ1542" i="49"/>
  <c r="AR1542" i="49"/>
  <c r="AS1542" i="49"/>
  <c r="AT1542" i="49"/>
  <c r="AO1543" i="49"/>
  <c r="AP1543" i="49"/>
  <c r="AQ1543" i="49"/>
  <c r="AR1543" i="49"/>
  <c r="AS1543" i="49"/>
  <c r="AT1543" i="49"/>
  <c r="AO1544" i="49"/>
  <c r="AP1544" i="49"/>
  <c r="AQ1544" i="49"/>
  <c r="AR1544" i="49"/>
  <c r="AS1544" i="49"/>
  <c r="AT1544" i="49"/>
  <c r="AO1545" i="49"/>
  <c r="AP1545" i="49"/>
  <c r="AQ1545" i="49"/>
  <c r="AR1545" i="49"/>
  <c r="AS1545" i="49"/>
  <c r="AT1545" i="49"/>
  <c r="AO1546" i="49"/>
  <c r="AP1546" i="49"/>
  <c r="AQ1546" i="49"/>
  <c r="AR1546" i="49"/>
  <c r="AS1546" i="49"/>
  <c r="AT1546" i="49"/>
  <c r="AO1547" i="49"/>
  <c r="AP1547" i="49"/>
  <c r="AQ1547" i="49"/>
  <c r="AR1547" i="49"/>
  <c r="AS1547" i="49"/>
  <c r="AT1547" i="49"/>
  <c r="AO1548" i="49"/>
  <c r="AP1548" i="49"/>
  <c r="AQ1548" i="49"/>
  <c r="AR1548" i="49"/>
  <c r="AS1548" i="49"/>
  <c r="AT1548" i="49"/>
  <c r="AO1549" i="49"/>
  <c r="AP1549" i="49"/>
  <c r="AQ1549" i="49"/>
  <c r="AR1549" i="49"/>
  <c r="AS1549" i="49"/>
  <c r="AT1549" i="49"/>
  <c r="AO1550" i="49"/>
  <c r="AP1550" i="49"/>
  <c r="AQ1550" i="49"/>
  <c r="AR1550" i="49"/>
  <c r="AS1550" i="49"/>
  <c r="AT1550" i="49"/>
  <c r="AO1551" i="49"/>
  <c r="AP1551" i="49"/>
  <c r="AQ1551" i="49"/>
  <c r="AR1551" i="49"/>
  <c r="AS1551" i="49"/>
  <c r="AT1551" i="49"/>
  <c r="AO1552" i="49"/>
  <c r="AP1552" i="49"/>
  <c r="AQ1552" i="49"/>
  <c r="AR1552" i="49"/>
  <c r="AS1552" i="49"/>
  <c r="AT1552" i="49"/>
  <c r="AO1553" i="49"/>
  <c r="AP1553" i="49"/>
  <c r="AQ1553" i="49"/>
  <c r="AR1553" i="49"/>
  <c r="AS1553" i="49"/>
  <c r="AT1553" i="49"/>
  <c r="AO1554" i="49"/>
  <c r="AP1554" i="49"/>
  <c r="AQ1554" i="49"/>
  <c r="AR1554" i="49"/>
  <c r="AS1554" i="49"/>
  <c r="AT1554" i="49"/>
  <c r="AO1555" i="49"/>
  <c r="AP1555" i="49"/>
  <c r="AQ1555" i="49"/>
  <c r="AR1555" i="49"/>
  <c r="AS1555" i="49"/>
  <c r="AT1555" i="49"/>
  <c r="AO1556" i="49"/>
  <c r="AP1556" i="49"/>
  <c r="AQ1556" i="49"/>
  <c r="AR1556" i="49"/>
  <c r="AS1556" i="49"/>
  <c r="AT1556" i="49"/>
  <c r="AO1557" i="49"/>
  <c r="AP1557" i="49"/>
  <c r="AQ1557" i="49"/>
  <c r="AR1557" i="49"/>
  <c r="AS1557" i="49"/>
  <c r="AT1557" i="49"/>
  <c r="AO1558" i="49"/>
  <c r="AP1558" i="49"/>
  <c r="AQ1558" i="49"/>
  <c r="AR1558" i="49"/>
  <c r="AS1558" i="49"/>
  <c r="AT1558" i="49"/>
  <c r="AO1559" i="49"/>
  <c r="AP1559" i="49"/>
  <c r="AQ1559" i="49"/>
  <c r="AR1559" i="49"/>
  <c r="AS1559" i="49"/>
  <c r="AT1559" i="49"/>
  <c r="AO1560" i="49"/>
  <c r="AP1560" i="49"/>
  <c r="AQ1560" i="49"/>
  <c r="AR1560" i="49"/>
  <c r="AS1560" i="49"/>
  <c r="AT1560" i="49"/>
  <c r="AO1561" i="49"/>
  <c r="AP1561" i="49"/>
  <c r="AQ1561" i="49"/>
  <c r="AR1561" i="49"/>
  <c r="AS1561" i="49"/>
  <c r="AT1561" i="49"/>
  <c r="AO1562" i="49"/>
  <c r="AP1562" i="49"/>
  <c r="AQ1562" i="49"/>
  <c r="AR1562" i="49"/>
  <c r="AS1562" i="49"/>
  <c r="AT1562" i="49"/>
  <c r="AO1563" i="49"/>
  <c r="AP1563" i="49"/>
  <c r="AQ1563" i="49"/>
  <c r="AR1563" i="49"/>
  <c r="AS1563" i="49"/>
  <c r="AT1563" i="49"/>
  <c r="AO1564" i="49"/>
  <c r="AP1564" i="49"/>
  <c r="AQ1564" i="49"/>
  <c r="AR1564" i="49"/>
  <c r="AS1564" i="49"/>
  <c r="AT1564" i="49"/>
  <c r="AO1565" i="49"/>
  <c r="AP1565" i="49"/>
  <c r="AQ1565" i="49"/>
  <c r="AR1565" i="49"/>
  <c r="AS1565" i="49"/>
  <c r="AT1565" i="49"/>
  <c r="AO1566" i="49"/>
  <c r="AP1566" i="49"/>
  <c r="AQ1566" i="49"/>
  <c r="AR1566" i="49"/>
  <c r="AS1566" i="49"/>
  <c r="AT1566" i="49"/>
  <c r="AO1567" i="49"/>
  <c r="AP1567" i="49"/>
  <c r="AQ1567" i="49"/>
  <c r="AR1567" i="49"/>
  <c r="AS1567" i="49"/>
  <c r="AT1567" i="49"/>
  <c r="AO1568" i="49"/>
  <c r="AP1568" i="49"/>
  <c r="AQ1568" i="49"/>
  <c r="AR1568" i="49"/>
  <c r="AS1568" i="49"/>
  <c r="AT1568" i="49"/>
  <c r="AO1569" i="49"/>
  <c r="AP1569" i="49"/>
  <c r="AQ1569" i="49"/>
  <c r="AR1569" i="49"/>
  <c r="AS1569" i="49"/>
  <c r="AT1569" i="49"/>
  <c r="AO1570" i="49"/>
  <c r="AP1570" i="49"/>
  <c r="AQ1570" i="49"/>
  <c r="AR1570" i="49"/>
  <c r="AS1570" i="49"/>
  <c r="AT1570" i="49"/>
  <c r="AO1571" i="49"/>
  <c r="AP1571" i="49"/>
  <c r="AQ1571" i="49"/>
  <c r="AR1571" i="49"/>
  <c r="AS1571" i="49"/>
  <c r="AT1571" i="49"/>
  <c r="AO1572" i="49"/>
  <c r="AP1572" i="49"/>
  <c r="AQ1572" i="49"/>
  <c r="AR1572" i="49"/>
  <c r="AS1572" i="49"/>
  <c r="AT1572" i="49"/>
  <c r="AO1573" i="49"/>
  <c r="AP1573" i="49"/>
  <c r="AQ1573" i="49"/>
  <c r="AR1573" i="49"/>
  <c r="AS1573" i="49"/>
  <c r="AT1573" i="49"/>
  <c r="AO1574" i="49"/>
  <c r="AP1574" i="49"/>
  <c r="AQ1574" i="49"/>
  <c r="AR1574" i="49"/>
  <c r="AS1574" i="49"/>
  <c r="AT1574" i="49"/>
  <c r="AO1575" i="49"/>
  <c r="AP1575" i="49"/>
  <c r="AQ1575" i="49"/>
  <c r="AR1575" i="49"/>
  <c r="AS1575" i="49"/>
  <c r="AT1575" i="49"/>
  <c r="AO1576" i="49"/>
  <c r="AP1576" i="49"/>
  <c r="AQ1576" i="49"/>
  <c r="AR1576" i="49"/>
  <c r="AS1576" i="49"/>
  <c r="AT1576" i="49"/>
  <c r="AO1577" i="49"/>
  <c r="AP1577" i="49"/>
  <c r="AQ1577" i="49"/>
  <c r="AR1577" i="49"/>
  <c r="AS1577" i="49"/>
  <c r="AT1577" i="49"/>
  <c r="AO1578" i="49"/>
  <c r="AP1578" i="49"/>
  <c r="AQ1578" i="49"/>
  <c r="AR1578" i="49"/>
  <c r="AS1578" i="49"/>
  <c r="AT1578" i="49"/>
  <c r="AO1579" i="49"/>
  <c r="AP1579" i="49"/>
  <c r="AQ1579" i="49"/>
  <c r="AR1579" i="49"/>
  <c r="AS1579" i="49"/>
  <c r="AT1579" i="49"/>
  <c r="AO1580" i="49"/>
  <c r="AP1580" i="49"/>
  <c r="AQ1580" i="49"/>
  <c r="AR1580" i="49"/>
  <c r="AS1580" i="49"/>
  <c r="AT1580" i="49"/>
  <c r="AO1581" i="49"/>
  <c r="AP1581" i="49"/>
  <c r="AQ1581" i="49"/>
  <c r="AR1581" i="49"/>
  <c r="AS1581" i="49"/>
  <c r="AT1581" i="49"/>
  <c r="AO1582" i="49"/>
  <c r="AP1582" i="49"/>
  <c r="AQ1582" i="49"/>
  <c r="AR1582" i="49"/>
  <c r="AS1582" i="49"/>
  <c r="AT1582" i="49"/>
  <c r="AO1583" i="49"/>
  <c r="AP1583" i="49"/>
  <c r="AQ1583" i="49"/>
  <c r="AR1583" i="49"/>
  <c r="AS1583" i="49"/>
  <c r="AT1583" i="49"/>
  <c r="AO1584" i="49"/>
  <c r="AP1584" i="49"/>
  <c r="AQ1584" i="49"/>
  <c r="AR1584" i="49"/>
  <c r="AS1584" i="49"/>
  <c r="AT1584" i="49"/>
  <c r="AO1585" i="49"/>
  <c r="AP1585" i="49"/>
  <c r="AQ1585" i="49"/>
  <c r="AR1585" i="49"/>
  <c r="AS1585" i="49"/>
  <c r="AT1585" i="49"/>
  <c r="AO1586" i="49"/>
  <c r="AP1586" i="49"/>
  <c r="AQ1586" i="49"/>
  <c r="AR1586" i="49"/>
  <c r="AS1586" i="49"/>
  <c r="AT1586" i="49"/>
  <c r="AO1587" i="49"/>
  <c r="AP1587" i="49"/>
  <c r="AQ1587" i="49"/>
  <c r="AR1587" i="49"/>
  <c r="AS1587" i="49"/>
  <c r="AT1587" i="49"/>
  <c r="AO1588" i="49"/>
  <c r="AP1588" i="49"/>
  <c r="AQ1588" i="49"/>
  <c r="AR1588" i="49"/>
  <c r="AS1588" i="49"/>
  <c r="AT1588" i="49"/>
  <c r="AO1589" i="49"/>
  <c r="AP1589" i="49"/>
  <c r="AQ1589" i="49"/>
  <c r="AR1589" i="49"/>
  <c r="AS1589" i="49"/>
  <c r="AT1589" i="49"/>
  <c r="AO1590" i="49"/>
  <c r="AP1590" i="49"/>
  <c r="AQ1590" i="49"/>
  <c r="AR1590" i="49"/>
  <c r="AS1590" i="49"/>
  <c r="AT1590" i="49"/>
  <c r="AO1591" i="49"/>
  <c r="AP1591" i="49"/>
  <c r="AQ1591" i="49"/>
  <c r="AR1591" i="49"/>
  <c r="AS1591" i="49"/>
  <c r="AT1591" i="49"/>
  <c r="AO1592" i="49"/>
  <c r="AP1592" i="49"/>
  <c r="AQ1592" i="49"/>
  <c r="AR1592" i="49"/>
  <c r="AS1592" i="49"/>
  <c r="AT1592" i="49"/>
  <c r="AO1593" i="49"/>
  <c r="AP1593" i="49"/>
  <c r="AQ1593" i="49"/>
  <c r="AR1593" i="49"/>
  <c r="AS1593" i="49"/>
  <c r="AT1593" i="49"/>
  <c r="AO1594" i="49"/>
  <c r="AP1594" i="49"/>
  <c r="AQ1594" i="49"/>
  <c r="AR1594" i="49"/>
  <c r="AS1594" i="49"/>
  <c r="AT1594" i="49"/>
  <c r="AO1595" i="49"/>
  <c r="AP1595" i="49"/>
  <c r="AQ1595" i="49"/>
  <c r="AR1595" i="49"/>
  <c r="AS1595" i="49"/>
  <c r="AT1595" i="49"/>
  <c r="AO1596" i="49"/>
  <c r="AP1596" i="49"/>
  <c r="AQ1596" i="49"/>
  <c r="AR1596" i="49"/>
  <c r="AS1596" i="49"/>
  <c r="AT1596" i="49"/>
  <c r="AO1597" i="49"/>
  <c r="AP1597" i="49"/>
  <c r="AQ1597" i="49"/>
  <c r="AR1597" i="49"/>
  <c r="AS1597" i="49"/>
  <c r="AT1597" i="49"/>
  <c r="AO1598" i="49"/>
  <c r="AP1598" i="49"/>
  <c r="AQ1598" i="49"/>
  <c r="AR1598" i="49"/>
  <c r="AS1598" i="49"/>
  <c r="AT1598" i="49"/>
  <c r="AO1599" i="49"/>
  <c r="AP1599" i="49"/>
  <c r="AQ1599" i="49"/>
  <c r="AR1599" i="49"/>
  <c r="AS1599" i="49"/>
  <c r="AT1599" i="49"/>
  <c r="AO1600" i="49"/>
  <c r="AP1600" i="49"/>
  <c r="AQ1600" i="49"/>
  <c r="AR1600" i="49"/>
  <c r="AS1600" i="49"/>
  <c r="AT1600" i="49"/>
  <c r="AO1601" i="49"/>
  <c r="AP1601" i="49"/>
  <c r="AQ1601" i="49"/>
  <c r="AR1601" i="49"/>
  <c r="AS1601" i="49"/>
  <c r="AT1601" i="49"/>
  <c r="AO1602" i="49"/>
  <c r="AP1602" i="49"/>
  <c r="AQ1602" i="49"/>
  <c r="AR1602" i="49"/>
  <c r="AS1602" i="49"/>
  <c r="AT1602" i="49"/>
  <c r="AO1603" i="49"/>
  <c r="AP1603" i="49"/>
  <c r="AQ1603" i="49"/>
  <c r="AR1603" i="49"/>
  <c r="AS1603" i="49"/>
  <c r="AT1603" i="49"/>
  <c r="AO1604" i="49"/>
  <c r="AP1604" i="49"/>
  <c r="AQ1604" i="49"/>
  <c r="AR1604" i="49"/>
  <c r="AS1604" i="49"/>
  <c r="AT1604" i="49"/>
  <c r="AO1605" i="49"/>
  <c r="AP1605" i="49"/>
  <c r="AQ1605" i="49"/>
  <c r="AR1605" i="49"/>
  <c r="AS1605" i="49"/>
  <c r="AT1605" i="49"/>
  <c r="AO1606" i="49"/>
  <c r="AP1606" i="49"/>
  <c r="AQ1606" i="49"/>
  <c r="AR1606" i="49"/>
  <c r="AS1606" i="49"/>
  <c r="AT1606" i="49"/>
  <c r="AO1607" i="49"/>
  <c r="AP1607" i="49"/>
  <c r="AQ1607" i="49"/>
  <c r="AR1607" i="49"/>
  <c r="AS1607" i="49"/>
  <c r="AT1607" i="49"/>
  <c r="AO1608" i="49"/>
  <c r="AP1608" i="49"/>
  <c r="AQ1608" i="49"/>
  <c r="AR1608" i="49"/>
  <c r="AS1608" i="49"/>
  <c r="AT1608" i="49"/>
  <c r="AO1609" i="49"/>
  <c r="AP1609" i="49"/>
  <c r="AQ1609" i="49"/>
  <c r="AR1609" i="49"/>
  <c r="AS1609" i="49"/>
  <c r="AT1609" i="49"/>
  <c r="AO1610" i="49"/>
  <c r="AP1610" i="49"/>
  <c r="AQ1610" i="49"/>
  <c r="AR1610" i="49"/>
  <c r="AS1610" i="49"/>
  <c r="AT1610" i="49"/>
  <c r="AO1611" i="49"/>
  <c r="AP1611" i="49"/>
  <c r="AQ1611" i="49"/>
  <c r="AR1611" i="49"/>
  <c r="AS1611" i="49"/>
  <c r="AT1611" i="49"/>
  <c r="AO1612" i="49"/>
  <c r="AP1612" i="49"/>
  <c r="AQ1612" i="49"/>
  <c r="AR1612" i="49"/>
  <c r="AS1612" i="49"/>
  <c r="AT1612" i="49"/>
  <c r="AO1613" i="49"/>
  <c r="AP1613" i="49"/>
  <c r="AQ1613" i="49"/>
  <c r="AR1613" i="49"/>
  <c r="AS1613" i="49"/>
  <c r="AT1613" i="49"/>
  <c r="AO1614" i="49"/>
  <c r="AP1614" i="49"/>
  <c r="AQ1614" i="49"/>
  <c r="AR1614" i="49"/>
  <c r="AS1614" i="49"/>
  <c r="AT1614" i="49"/>
  <c r="AO1615" i="49"/>
  <c r="AP1615" i="49"/>
  <c r="AQ1615" i="49"/>
  <c r="AR1615" i="49"/>
  <c r="AS1615" i="49"/>
  <c r="AT1615" i="49"/>
  <c r="AO1616" i="49"/>
  <c r="AP1616" i="49"/>
  <c r="AQ1616" i="49"/>
  <c r="AR1616" i="49"/>
  <c r="AS1616" i="49"/>
  <c r="AT1616" i="49"/>
  <c r="AO1617" i="49"/>
  <c r="AP1617" i="49"/>
  <c r="AQ1617" i="49"/>
  <c r="AR1617" i="49"/>
  <c r="AS1617" i="49"/>
  <c r="AT1617" i="49"/>
  <c r="AO1618" i="49"/>
  <c r="AP1618" i="49"/>
  <c r="AQ1618" i="49"/>
  <c r="AR1618" i="49"/>
  <c r="AS1618" i="49"/>
  <c r="AT1618" i="49"/>
  <c r="AO1619" i="49"/>
  <c r="AP1619" i="49"/>
  <c r="AQ1619" i="49"/>
  <c r="AR1619" i="49"/>
  <c r="AS1619" i="49"/>
  <c r="AT1619" i="49"/>
  <c r="AO1620" i="49"/>
  <c r="AP1620" i="49"/>
  <c r="AQ1620" i="49"/>
  <c r="AR1620" i="49"/>
  <c r="AS1620" i="49"/>
  <c r="AT1620" i="49"/>
  <c r="AO1621" i="49"/>
  <c r="AP1621" i="49"/>
  <c r="AQ1621" i="49"/>
  <c r="AR1621" i="49"/>
  <c r="AS1621" i="49"/>
  <c r="AT1621" i="49"/>
  <c r="AO1622" i="49"/>
  <c r="AP1622" i="49"/>
  <c r="AQ1622" i="49"/>
  <c r="AR1622" i="49"/>
  <c r="AS1622" i="49"/>
  <c r="AT1622" i="49"/>
  <c r="AO1623" i="49"/>
  <c r="AP1623" i="49"/>
  <c r="AQ1623" i="49"/>
  <c r="AR1623" i="49"/>
  <c r="AS1623" i="49"/>
  <c r="AT1623" i="49"/>
  <c r="AO1624" i="49"/>
  <c r="AP1624" i="49"/>
  <c r="AQ1624" i="49"/>
  <c r="AR1624" i="49"/>
  <c r="AS1624" i="49"/>
  <c r="AT1624" i="49"/>
  <c r="AO1625" i="49"/>
  <c r="AP1625" i="49"/>
  <c r="AQ1625" i="49"/>
  <c r="AR1625" i="49"/>
  <c r="AS1625" i="49"/>
  <c r="AT1625" i="49"/>
  <c r="AO1626" i="49"/>
  <c r="AP1626" i="49"/>
  <c r="AQ1626" i="49"/>
  <c r="AR1626" i="49"/>
  <c r="AS1626" i="49"/>
  <c r="AT1626" i="49"/>
  <c r="AO1627" i="49"/>
  <c r="AP1627" i="49"/>
  <c r="AQ1627" i="49"/>
  <c r="AR1627" i="49"/>
  <c r="AS1627" i="49"/>
  <c r="AT1627" i="49"/>
  <c r="AO1628" i="49"/>
  <c r="AP1628" i="49"/>
  <c r="AQ1628" i="49"/>
  <c r="AR1628" i="49"/>
  <c r="AS1628" i="49"/>
  <c r="AT1628" i="49"/>
  <c r="AO1629" i="49"/>
  <c r="AP1629" i="49"/>
  <c r="AQ1629" i="49"/>
  <c r="AR1629" i="49"/>
  <c r="AS1629" i="49"/>
  <c r="AT1629" i="49"/>
  <c r="AO1630" i="49"/>
  <c r="AP1630" i="49"/>
  <c r="AQ1630" i="49"/>
  <c r="AR1630" i="49"/>
  <c r="AS1630" i="49"/>
  <c r="AT1630" i="49"/>
  <c r="AO1631" i="49"/>
  <c r="AP1631" i="49"/>
  <c r="AQ1631" i="49"/>
  <c r="AR1631" i="49"/>
  <c r="AS1631" i="49"/>
  <c r="AT1631" i="49"/>
  <c r="AO1632" i="49"/>
  <c r="AP1632" i="49"/>
  <c r="AQ1632" i="49"/>
  <c r="AR1632" i="49"/>
  <c r="AS1632" i="49"/>
  <c r="AT1632" i="49"/>
  <c r="AO1633" i="49"/>
  <c r="AP1633" i="49"/>
  <c r="AQ1633" i="49"/>
  <c r="AR1633" i="49"/>
  <c r="AS1633" i="49"/>
  <c r="AT1633" i="49"/>
  <c r="AO1634" i="49"/>
  <c r="AP1634" i="49"/>
  <c r="AQ1634" i="49"/>
  <c r="AR1634" i="49"/>
  <c r="AS1634" i="49"/>
  <c r="AT1634" i="49"/>
  <c r="AO1635" i="49"/>
  <c r="AP1635" i="49"/>
  <c r="AQ1635" i="49"/>
  <c r="AR1635" i="49"/>
  <c r="AS1635" i="49"/>
  <c r="AT1635" i="49"/>
  <c r="AO1636" i="49"/>
  <c r="AP1636" i="49"/>
  <c r="AQ1636" i="49"/>
  <c r="AR1636" i="49"/>
  <c r="AS1636" i="49"/>
  <c r="AT1636" i="49"/>
  <c r="AO1637" i="49"/>
  <c r="AP1637" i="49"/>
  <c r="AQ1637" i="49"/>
  <c r="AR1637" i="49"/>
  <c r="AS1637" i="49"/>
  <c r="AT1637" i="49"/>
  <c r="AO1638" i="49"/>
  <c r="AP1638" i="49"/>
  <c r="AQ1638" i="49"/>
  <c r="AR1638" i="49"/>
  <c r="AS1638" i="49"/>
  <c r="AT1638" i="49"/>
  <c r="AO1639" i="49"/>
  <c r="AP1639" i="49"/>
  <c r="AQ1639" i="49"/>
  <c r="AR1639" i="49"/>
  <c r="AS1639" i="49"/>
  <c r="AT1639" i="49"/>
  <c r="AO1640" i="49"/>
  <c r="AP1640" i="49"/>
  <c r="AQ1640" i="49"/>
  <c r="AR1640" i="49"/>
  <c r="AS1640" i="49"/>
  <c r="AT1640" i="49"/>
  <c r="AO1641" i="49"/>
  <c r="AP1641" i="49"/>
  <c r="AQ1641" i="49"/>
  <c r="AR1641" i="49"/>
  <c r="AS1641" i="49"/>
  <c r="AT1641" i="49"/>
  <c r="AO1642" i="49"/>
  <c r="AP1642" i="49"/>
  <c r="AQ1642" i="49"/>
  <c r="AR1642" i="49"/>
  <c r="AS1642" i="49"/>
  <c r="AT1642" i="49"/>
  <c r="AO1643" i="49"/>
  <c r="AP1643" i="49"/>
  <c r="AQ1643" i="49"/>
  <c r="AR1643" i="49"/>
  <c r="AS1643" i="49"/>
  <c r="AT1643" i="49"/>
  <c r="AO1644" i="49"/>
  <c r="AP1644" i="49"/>
  <c r="AQ1644" i="49"/>
  <c r="AR1644" i="49"/>
  <c r="AS1644" i="49"/>
  <c r="AT1644" i="49"/>
  <c r="AO1645" i="49"/>
  <c r="AP1645" i="49"/>
  <c r="AQ1645" i="49"/>
  <c r="AR1645" i="49"/>
  <c r="AS1645" i="49"/>
  <c r="AT1645" i="49"/>
  <c r="AO1646" i="49"/>
  <c r="AP1646" i="49"/>
  <c r="AQ1646" i="49"/>
  <c r="AR1646" i="49"/>
  <c r="AS1646" i="49"/>
  <c r="AT1646" i="49"/>
  <c r="AO1647" i="49"/>
  <c r="AP1647" i="49"/>
  <c r="AQ1647" i="49"/>
  <c r="AR1647" i="49"/>
  <c r="AS1647" i="49"/>
  <c r="AT1647" i="49"/>
  <c r="AO1648" i="49"/>
  <c r="AP1648" i="49"/>
  <c r="AQ1648" i="49"/>
  <c r="AR1648" i="49"/>
  <c r="AS1648" i="49"/>
  <c r="AT1648" i="49"/>
  <c r="AO1649" i="49"/>
  <c r="AP1649" i="49"/>
  <c r="AQ1649" i="49"/>
  <c r="AR1649" i="49"/>
  <c r="AS1649" i="49"/>
  <c r="AT1649" i="49"/>
  <c r="AO1650" i="49"/>
  <c r="AP1650" i="49"/>
  <c r="AQ1650" i="49"/>
  <c r="AR1650" i="49"/>
  <c r="AS1650" i="49"/>
  <c r="AT1650" i="49"/>
  <c r="AO1651" i="49"/>
  <c r="AP1651" i="49"/>
  <c r="AQ1651" i="49"/>
  <c r="AR1651" i="49"/>
  <c r="AS1651" i="49"/>
  <c r="AT1651" i="49"/>
  <c r="AO1652" i="49"/>
  <c r="AP1652" i="49"/>
  <c r="AQ1652" i="49"/>
  <c r="AR1652" i="49"/>
  <c r="AS1652" i="49"/>
  <c r="AT1652" i="49"/>
  <c r="AO1653" i="49"/>
  <c r="AP1653" i="49"/>
  <c r="AQ1653" i="49"/>
  <c r="AR1653" i="49"/>
  <c r="AS1653" i="49"/>
  <c r="AT1653" i="49"/>
  <c r="AO1654" i="49"/>
  <c r="AP1654" i="49"/>
  <c r="AQ1654" i="49"/>
  <c r="AR1654" i="49"/>
  <c r="AS1654" i="49"/>
  <c r="AT1654" i="49"/>
  <c r="AO1655" i="49"/>
  <c r="AP1655" i="49"/>
  <c r="AQ1655" i="49"/>
  <c r="AR1655" i="49"/>
  <c r="AS1655" i="49"/>
  <c r="AT1655" i="49"/>
  <c r="AO1656" i="49"/>
  <c r="AP1656" i="49"/>
  <c r="AQ1656" i="49"/>
  <c r="AR1656" i="49"/>
  <c r="AS1656" i="49"/>
  <c r="AT1656" i="49"/>
  <c r="AO1657" i="49"/>
  <c r="AP1657" i="49"/>
  <c r="AQ1657" i="49"/>
  <c r="AR1657" i="49"/>
  <c r="AS1657" i="49"/>
  <c r="AT1657" i="49"/>
  <c r="AO1658" i="49"/>
  <c r="AP1658" i="49"/>
  <c r="AQ1658" i="49"/>
  <c r="AR1658" i="49"/>
  <c r="AS1658" i="49"/>
  <c r="AT1658" i="49"/>
  <c r="AO1659" i="49"/>
  <c r="AP1659" i="49"/>
  <c r="AQ1659" i="49"/>
  <c r="AR1659" i="49"/>
  <c r="AS1659" i="49"/>
  <c r="AT1659" i="49"/>
  <c r="AO1660" i="49"/>
  <c r="AP1660" i="49"/>
  <c r="AQ1660" i="49"/>
  <c r="AR1660" i="49"/>
  <c r="AS1660" i="49"/>
  <c r="AT1660" i="49"/>
  <c r="AO1661" i="49"/>
  <c r="AP1661" i="49"/>
  <c r="AQ1661" i="49"/>
  <c r="AR1661" i="49"/>
  <c r="AS1661" i="49"/>
  <c r="AT1661" i="49"/>
  <c r="AO1662" i="49"/>
  <c r="AP1662" i="49"/>
  <c r="AQ1662" i="49"/>
  <c r="AR1662" i="49"/>
  <c r="AS1662" i="49"/>
  <c r="AT1662" i="49"/>
  <c r="AO1663" i="49"/>
  <c r="AP1663" i="49"/>
  <c r="AQ1663" i="49"/>
  <c r="AR1663" i="49"/>
  <c r="AS1663" i="49"/>
  <c r="AT1663" i="49"/>
  <c r="AO1664" i="49"/>
  <c r="AP1664" i="49"/>
  <c r="AQ1664" i="49"/>
  <c r="AR1664" i="49"/>
  <c r="AS1664" i="49"/>
  <c r="AT1664" i="49"/>
  <c r="AO1665" i="49"/>
  <c r="AP1665" i="49"/>
  <c r="AQ1665" i="49"/>
  <c r="AR1665" i="49"/>
  <c r="AS1665" i="49"/>
  <c r="AT1665" i="49"/>
  <c r="AO1666" i="49"/>
  <c r="AP1666" i="49"/>
  <c r="AQ1666" i="49"/>
  <c r="AR1666" i="49"/>
  <c r="AS1666" i="49"/>
  <c r="AT1666" i="49"/>
  <c r="AO1667" i="49"/>
  <c r="AP1667" i="49"/>
  <c r="AQ1667" i="49"/>
  <c r="AR1667" i="49"/>
  <c r="AS1667" i="49"/>
  <c r="AT1667" i="49"/>
  <c r="AO1668" i="49"/>
  <c r="AP1668" i="49"/>
  <c r="AQ1668" i="49"/>
  <c r="AR1668" i="49"/>
  <c r="AS1668" i="49"/>
  <c r="AT1668" i="49"/>
  <c r="AO1669" i="49"/>
  <c r="AP1669" i="49"/>
  <c r="AQ1669" i="49"/>
  <c r="AR1669" i="49"/>
  <c r="AS1669" i="49"/>
  <c r="AT1669" i="49"/>
  <c r="AO1670" i="49"/>
  <c r="AP1670" i="49"/>
  <c r="AQ1670" i="49"/>
  <c r="AR1670" i="49"/>
  <c r="AS1670" i="49"/>
  <c r="AT1670" i="49"/>
  <c r="AO1671" i="49"/>
  <c r="AP1671" i="49"/>
  <c r="AQ1671" i="49"/>
  <c r="AR1671" i="49"/>
  <c r="AS1671" i="49"/>
  <c r="AT1671" i="49"/>
  <c r="AO1672" i="49"/>
  <c r="AP1672" i="49"/>
  <c r="AQ1672" i="49"/>
  <c r="AR1672" i="49"/>
  <c r="AS1672" i="49"/>
  <c r="AT1672" i="49"/>
  <c r="AO1673" i="49"/>
  <c r="AP1673" i="49"/>
  <c r="AQ1673" i="49"/>
  <c r="AR1673" i="49"/>
  <c r="AS1673" i="49"/>
  <c r="AT1673" i="49"/>
  <c r="AO1674" i="49"/>
  <c r="AP1674" i="49"/>
  <c r="AQ1674" i="49"/>
  <c r="AR1674" i="49"/>
  <c r="AS1674" i="49"/>
  <c r="AT1674" i="49"/>
  <c r="AO1675" i="49"/>
  <c r="AP1675" i="49"/>
  <c r="AQ1675" i="49"/>
  <c r="AR1675" i="49"/>
  <c r="AS1675" i="49"/>
  <c r="AT1675" i="49"/>
  <c r="AO1676" i="49"/>
  <c r="AP1676" i="49"/>
  <c r="AQ1676" i="49"/>
  <c r="AR1676" i="49"/>
  <c r="AS1676" i="49"/>
  <c r="AT1676" i="49"/>
  <c r="AO1677" i="49"/>
  <c r="AP1677" i="49"/>
  <c r="AQ1677" i="49"/>
  <c r="AR1677" i="49"/>
  <c r="AS1677" i="49"/>
  <c r="AT1677" i="49"/>
  <c r="AO1678" i="49"/>
  <c r="AP1678" i="49"/>
  <c r="AQ1678" i="49"/>
  <c r="AR1678" i="49"/>
  <c r="AS1678" i="49"/>
  <c r="AT1678" i="49"/>
  <c r="AO1679" i="49"/>
  <c r="AP1679" i="49"/>
  <c r="AQ1679" i="49"/>
  <c r="AR1679" i="49"/>
  <c r="AS1679" i="49"/>
  <c r="AT1679" i="49"/>
  <c r="AO1680" i="49"/>
  <c r="AP1680" i="49"/>
  <c r="AQ1680" i="49"/>
  <c r="AR1680" i="49"/>
  <c r="AS1680" i="49"/>
  <c r="AT1680" i="49"/>
  <c r="AO1681" i="49"/>
  <c r="AP1681" i="49"/>
  <c r="AQ1681" i="49"/>
  <c r="AR1681" i="49"/>
  <c r="AS1681" i="49"/>
  <c r="AT1681" i="49"/>
  <c r="AO1682" i="49"/>
  <c r="AP1682" i="49"/>
  <c r="AQ1682" i="49"/>
  <c r="AR1682" i="49"/>
  <c r="AS1682" i="49"/>
  <c r="AT1682" i="49"/>
  <c r="AO1683" i="49"/>
  <c r="AP1683" i="49"/>
  <c r="AQ1683" i="49"/>
  <c r="AR1683" i="49"/>
  <c r="AS1683" i="49"/>
  <c r="AT1683" i="49"/>
  <c r="AO1684" i="49"/>
  <c r="AP1684" i="49"/>
  <c r="AQ1684" i="49"/>
  <c r="AR1684" i="49"/>
  <c r="AS1684" i="49"/>
  <c r="AT1684" i="49"/>
  <c r="AO1685" i="49"/>
  <c r="AP1685" i="49"/>
  <c r="AQ1685" i="49"/>
  <c r="AR1685" i="49"/>
  <c r="AS1685" i="49"/>
  <c r="AT1685" i="49"/>
  <c r="AO1686" i="49"/>
  <c r="AP1686" i="49"/>
  <c r="AQ1686" i="49"/>
  <c r="AR1686" i="49"/>
  <c r="AS1686" i="49"/>
  <c r="AT1686" i="49"/>
  <c r="AO1687" i="49"/>
  <c r="AP1687" i="49"/>
  <c r="AQ1687" i="49"/>
  <c r="AR1687" i="49"/>
  <c r="AS1687" i="49"/>
  <c r="AT1687" i="49"/>
  <c r="AO1688" i="49"/>
  <c r="AP1688" i="49"/>
  <c r="AQ1688" i="49"/>
  <c r="AR1688" i="49"/>
  <c r="AS1688" i="49"/>
  <c r="AT1688" i="49"/>
  <c r="AO1689" i="49"/>
  <c r="AP1689" i="49"/>
  <c r="AQ1689" i="49"/>
  <c r="AR1689" i="49"/>
  <c r="AS1689" i="49"/>
  <c r="AT1689" i="49"/>
  <c r="AO1690" i="49"/>
  <c r="AP1690" i="49"/>
  <c r="AQ1690" i="49"/>
  <c r="AR1690" i="49"/>
  <c r="AS1690" i="49"/>
  <c r="AT1690" i="49"/>
  <c r="AO1691" i="49"/>
  <c r="AP1691" i="49"/>
  <c r="AQ1691" i="49"/>
  <c r="AR1691" i="49"/>
  <c r="AS1691" i="49"/>
  <c r="AT1691" i="49"/>
  <c r="AO1692" i="49"/>
  <c r="AP1692" i="49"/>
  <c r="AQ1692" i="49"/>
  <c r="AR1692" i="49"/>
  <c r="AS1692" i="49"/>
  <c r="AT1692" i="49"/>
  <c r="AO1693" i="49"/>
  <c r="AP1693" i="49"/>
  <c r="AQ1693" i="49"/>
  <c r="AR1693" i="49"/>
  <c r="AS1693" i="49"/>
  <c r="AT1693" i="49"/>
  <c r="AO1694" i="49"/>
  <c r="AP1694" i="49"/>
  <c r="AQ1694" i="49"/>
  <c r="AR1694" i="49"/>
  <c r="AS1694" i="49"/>
  <c r="AT1694" i="49"/>
  <c r="AO1695" i="49"/>
  <c r="AP1695" i="49"/>
  <c r="AQ1695" i="49"/>
  <c r="AR1695" i="49"/>
  <c r="AS1695" i="49"/>
  <c r="AT1695" i="49"/>
  <c r="AO1696" i="49"/>
  <c r="AP1696" i="49"/>
  <c r="AQ1696" i="49"/>
  <c r="AR1696" i="49"/>
  <c r="AS1696" i="49"/>
  <c r="AT1696" i="49"/>
  <c r="AO1697" i="49"/>
  <c r="AP1697" i="49"/>
  <c r="AQ1697" i="49"/>
  <c r="AR1697" i="49"/>
  <c r="AS1697" i="49"/>
  <c r="AT1697" i="49"/>
  <c r="AO1698" i="49"/>
  <c r="AP1698" i="49"/>
  <c r="AQ1698" i="49"/>
  <c r="AR1698" i="49"/>
  <c r="AS1698" i="49"/>
  <c r="AT1698" i="49"/>
  <c r="AO1699" i="49"/>
  <c r="AP1699" i="49"/>
  <c r="AQ1699" i="49"/>
  <c r="AR1699" i="49"/>
  <c r="AS1699" i="49"/>
  <c r="AT1699" i="49"/>
  <c r="AO1700" i="49"/>
  <c r="AP1700" i="49"/>
  <c r="AQ1700" i="49"/>
  <c r="AR1700" i="49"/>
  <c r="AS1700" i="49"/>
  <c r="AT1700" i="49"/>
  <c r="AO1701" i="49"/>
  <c r="AP1701" i="49"/>
  <c r="AQ1701" i="49"/>
  <c r="AR1701" i="49"/>
  <c r="AS1701" i="49"/>
  <c r="AT1701" i="49"/>
  <c r="AO1702" i="49"/>
  <c r="AP1702" i="49"/>
  <c r="AQ1702" i="49"/>
  <c r="AR1702" i="49"/>
  <c r="AS1702" i="49"/>
  <c r="AT1702" i="49"/>
  <c r="AO1703" i="49"/>
  <c r="AP1703" i="49"/>
  <c r="AQ1703" i="49"/>
  <c r="AR1703" i="49"/>
  <c r="AS1703" i="49"/>
  <c r="AT1703" i="49"/>
  <c r="AO1704" i="49"/>
  <c r="AP1704" i="49"/>
  <c r="AQ1704" i="49"/>
  <c r="AR1704" i="49"/>
  <c r="AS1704" i="49"/>
  <c r="AT1704" i="49"/>
  <c r="AO1705" i="49"/>
  <c r="AP1705" i="49"/>
  <c r="AQ1705" i="49"/>
  <c r="AR1705" i="49"/>
  <c r="AS1705" i="49"/>
  <c r="AT1705" i="49"/>
  <c r="AO1706" i="49"/>
  <c r="AP1706" i="49"/>
  <c r="AQ1706" i="49"/>
  <c r="AR1706" i="49"/>
  <c r="AS1706" i="49"/>
  <c r="AT1706" i="49"/>
  <c r="AO1707" i="49"/>
  <c r="AP1707" i="49"/>
  <c r="AQ1707" i="49"/>
  <c r="AR1707" i="49"/>
  <c r="AS1707" i="49"/>
  <c r="AT1707" i="49"/>
  <c r="AO1708" i="49"/>
  <c r="AP1708" i="49"/>
  <c r="AQ1708" i="49"/>
  <c r="AR1708" i="49"/>
  <c r="AS1708" i="49"/>
  <c r="AT1708" i="49"/>
  <c r="AO1709" i="49"/>
  <c r="AP1709" i="49"/>
  <c r="AQ1709" i="49"/>
  <c r="AR1709" i="49"/>
  <c r="AS1709" i="49"/>
  <c r="AT1709" i="49"/>
  <c r="AO1710" i="49"/>
  <c r="AP1710" i="49"/>
  <c r="AQ1710" i="49"/>
  <c r="AR1710" i="49"/>
  <c r="AS1710" i="49"/>
  <c r="AT1710" i="49"/>
  <c r="AO1711" i="49"/>
  <c r="AP1711" i="49"/>
  <c r="AQ1711" i="49"/>
  <c r="AR1711" i="49"/>
  <c r="AS1711" i="49"/>
  <c r="AT1711" i="49"/>
  <c r="AO1712" i="49"/>
  <c r="AP1712" i="49"/>
  <c r="AQ1712" i="49"/>
  <c r="AR1712" i="49"/>
  <c r="AS1712" i="49"/>
  <c r="AT1712" i="49"/>
  <c r="AO1713" i="49"/>
  <c r="AP1713" i="49"/>
  <c r="AQ1713" i="49"/>
  <c r="AR1713" i="49"/>
  <c r="AS1713" i="49"/>
  <c r="AT1713" i="49"/>
  <c r="AO1714" i="49"/>
  <c r="AP1714" i="49"/>
  <c r="AQ1714" i="49"/>
  <c r="AR1714" i="49"/>
  <c r="AS1714" i="49"/>
  <c r="AT1714" i="49"/>
  <c r="AO1715" i="49"/>
  <c r="AP1715" i="49"/>
  <c r="AQ1715" i="49"/>
  <c r="AR1715" i="49"/>
  <c r="AS1715" i="49"/>
  <c r="AT1715" i="49"/>
  <c r="AO1716" i="49"/>
  <c r="AP1716" i="49"/>
  <c r="AQ1716" i="49"/>
  <c r="AR1716" i="49"/>
  <c r="AS1716" i="49"/>
  <c r="AT1716" i="49"/>
  <c r="AO1717" i="49"/>
  <c r="AP1717" i="49"/>
  <c r="AQ1717" i="49"/>
  <c r="AR1717" i="49"/>
  <c r="AS1717" i="49"/>
  <c r="AT1717" i="49"/>
  <c r="AO1718" i="49"/>
  <c r="AP1718" i="49"/>
  <c r="AQ1718" i="49"/>
  <c r="AR1718" i="49"/>
  <c r="AS1718" i="49"/>
  <c r="AT1718" i="49"/>
  <c r="AO1719" i="49"/>
  <c r="AP1719" i="49"/>
  <c r="AQ1719" i="49"/>
  <c r="AR1719" i="49"/>
  <c r="AS1719" i="49"/>
  <c r="AT1719" i="49"/>
  <c r="AO1720" i="49"/>
  <c r="AP1720" i="49"/>
  <c r="AQ1720" i="49"/>
  <c r="AR1720" i="49"/>
  <c r="AS1720" i="49"/>
  <c r="AT1720" i="49"/>
  <c r="AO1721" i="49"/>
  <c r="AP1721" i="49"/>
  <c r="AQ1721" i="49"/>
  <c r="AR1721" i="49"/>
  <c r="AS1721" i="49"/>
  <c r="AT1721" i="49"/>
  <c r="AO1722" i="49"/>
  <c r="AP1722" i="49"/>
  <c r="AQ1722" i="49"/>
  <c r="AR1722" i="49"/>
  <c r="AS1722" i="49"/>
  <c r="AT1722" i="49"/>
  <c r="AO1723" i="49"/>
  <c r="AP1723" i="49"/>
  <c r="AQ1723" i="49"/>
  <c r="AR1723" i="49"/>
  <c r="AS1723" i="49"/>
  <c r="AT1723" i="49"/>
  <c r="AO1724" i="49"/>
  <c r="AP1724" i="49"/>
  <c r="AQ1724" i="49"/>
  <c r="AR1724" i="49"/>
  <c r="AS1724" i="49"/>
  <c r="AT1724" i="49"/>
  <c r="AO1725" i="49"/>
  <c r="AP1725" i="49"/>
  <c r="AQ1725" i="49"/>
  <c r="AR1725" i="49"/>
  <c r="AS1725" i="49"/>
  <c r="AT1725" i="49"/>
  <c r="AO1726" i="49"/>
  <c r="AP1726" i="49"/>
  <c r="AQ1726" i="49"/>
  <c r="AR1726" i="49"/>
  <c r="AS1726" i="49"/>
  <c r="AT1726" i="49"/>
  <c r="AO1727" i="49"/>
  <c r="AP1727" i="49"/>
  <c r="AQ1727" i="49"/>
  <c r="AR1727" i="49"/>
  <c r="AS1727" i="49"/>
  <c r="AT1727" i="49"/>
  <c r="AO1728" i="49"/>
  <c r="AP1728" i="49"/>
  <c r="AQ1728" i="49"/>
  <c r="AR1728" i="49"/>
  <c r="AS1728" i="49"/>
  <c r="AT1728" i="49"/>
  <c r="AO1729" i="49"/>
  <c r="AP1729" i="49"/>
  <c r="AQ1729" i="49"/>
  <c r="AR1729" i="49"/>
  <c r="AS1729" i="49"/>
  <c r="AT1729" i="49"/>
  <c r="AO1730" i="49"/>
  <c r="AP1730" i="49"/>
  <c r="AQ1730" i="49"/>
  <c r="AR1730" i="49"/>
  <c r="AS1730" i="49"/>
  <c r="AT1730" i="49"/>
  <c r="AO1731" i="49"/>
  <c r="AP1731" i="49"/>
  <c r="AQ1731" i="49"/>
  <c r="AR1731" i="49"/>
  <c r="AS1731" i="49"/>
  <c r="AT1731" i="49"/>
  <c r="AO1732" i="49"/>
  <c r="AP1732" i="49"/>
  <c r="AQ1732" i="49"/>
  <c r="AR1732" i="49"/>
  <c r="AS1732" i="49"/>
  <c r="AT1732" i="49"/>
  <c r="AO1733" i="49"/>
  <c r="AP1733" i="49"/>
  <c r="AQ1733" i="49"/>
  <c r="AR1733" i="49"/>
  <c r="AS1733" i="49"/>
  <c r="AT1733" i="49"/>
  <c r="AO1734" i="49"/>
  <c r="AP1734" i="49"/>
  <c r="AQ1734" i="49"/>
  <c r="AR1734" i="49"/>
  <c r="AS1734" i="49"/>
  <c r="AT1734" i="49"/>
  <c r="AO1735" i="49"/>
  <c r="AP1735" i="49"/>
  <c r="AQ1735" i="49"/>
  <c r="AR1735" i="49"/>
  <c r="AS1735" i="49"/>
  <c r="AT1735" i="49"/>
  <c r="AO1736" i="49"/>
  <c r="AP1736" i="49"/>
  <c r="AQ1736" i="49"/>
  <c r="AR1736" i="49"/>
  <c r="AS1736" i="49"/>
  <c r="AT1736" i="49"/>
  <c r="AO1737" i="49"/>
  <c r="AP1737" i="49"/>
  <c r="AQ1737" i="49"/>
  <c r="AR1737" i="49"/>
  <c r="AS1737" i="49"/>
  <c r="AT1737" i="49"/>
  <c r="AO1738" i="49"/>
  <c r="AP1738" i="49"/>
  <c r="AQ1738" i="49"/>
  <c r="AR1738" i="49"/>
  <c r="AS1738" i="49"/>
  <c r="AT1738" i="49"/>
  <c r="AO1739" i="49"/>
  <c r="AP1739" i="49"/>
  <c r="AQ1739" i="49"/>
  <c r="AR1739" i="49"/>
  <c r="AS1739" i="49"/>
  <c r="AT1739" i="49"/>
  <c r="AO1740" i="49"/>
  <c r="AP1740" i="49"/>
  <c r="AQ1740" i="49"/>
  <c r="AR1740" i="49"/>
  <c r="AS1740" i="49"/>
  <c r="AT1740" i="49"/>
  <c r="AO1741" i="49"/>
  <c r="AP1741" i="49"/>
  <c r="AQ1741" i="49"/>
  <c r="AR1741" i="49"/>
  <c r="AS1741" i="49"/>
  <c r="AT1741" i="49"/>
  <c r="AO1742" i="49"/>
  <c r="AP1742" i="49"/>
  <c r="AQ1742" i="49"/>
  <c r="AR1742" i="49"/>
  <c r="AS1742" i="49"/>
  <c r="AT1742" i="49"/>
  <c r="AO1743" i="49"/>
  <c r="AP1743" i="49"/>
  <c r="AQ1743" i="49"/>
  <c r="AR1743" i="49"/>
  <c r="AS1743" i="49"/>
  <c r="AT1743" i="49"/>
  <c r="AO1744" i="49"/>
  <c r="AP1744" i="49"/>
  <c r="AQ1744" i="49"/>
  <c r="AR1744" i="49"/>
  <c r="AS1744" i="49"/>
  <c r="AT1744" i="49"/>
  <c r="AO1745" i="49"/>
  <c r="AP1745" i="49"/>
  <c r="AQ1745" i="49"/>
  <c r="AR1745" i="49"/>
  <c r="AS1745" i="49"/>
  <c r="AT1745" i="49"/>
  <c r="AO1746" i="49"/>
  <c r="AP1746" i="49"/>
  <c r="AQ1746" i="49"/>
  <c r="AR1746" i="49"/>
  <c r="AS1746" i="49"/>
  <c r="AT1746" i="49"/>
  <c r="AO1747" i="49"/>
  <c r="AP1747" i="49"/>
  <c r="AQ1747" i="49"/>
  <c r="AR1747" i="49"/>
  <c r="AS1747" i="49"/>
  <c r="AT1747" i="49"/>
  <c r="AO1748" i="49"/>
  <c r="AP1748" i="49"/>
  <c r="AQ1748" i="49"/>
  <c r="AR1748" i="49"/>
  <c r="AS1748" i="49"/>
  <c r="AT1748" i="49"/>
  <c r="AO1749" i="49"/>
  <c r="AP1749" i="49"/>
  <c r="AQ1749" i="49"/>
  <c r="AR1749" i="49"/>
  <c r="AS1749" i="49"/>
  <c r="AT1749" i="49"/>
  <c r="AO1750" i="49"/>
  <c r="AP1750" i="49"/>
  <c r="AQ1750" i="49"/>
  <c r="AR1750" i="49"/>
  <c r="AS1750" i="49"/>
  <c r="AT1750" i="49"/>
  <c r="AO1751" i="49"/>
  <c r="AP1751" i="49"/>
  <c r="AQ1751" i="49"/>
  <c r="AR1751" i="49"/>
  <c r="AS1751" i="49"/>
  <c r="AT1751" i="49"/>
  <c r="AO1752" i="49"/>
  <c r="AP1752" i="49"/>
  <c r="AQ1752" i="49"/>
  <c r="AR1752" i="49"/>
  <c r="AS1752" i="49"/>
  <c r="AT1752" i="49"/>
  <c r="AO1753" i="49"/>
  <c r="AP1753" i="49"/>
  <c r="AQ1753" i="49"/>
  <c r="AR1753" i="49"/>
  <c r="AS1753" i="49"/>
  <c r="AT1753" i="49"/>
  <c r="AO1754" i="49"/>
  <c r="AP1754" i="49"/>
  <c r="AQ1754" i="49"/>
  <c r="AR1754" i="49"/>
  <c r="AS1754" i="49"/>
  <c r="AT1754" i="49"/>
  <c r="AO1755" i="49"/>
  <c r="AP1755" i="49"/>
  <c r="AQ1755" i="49"/>
  <c r="AR1755" i="49"/>
  <c r="AS1755" i="49"/>
  <c r="AT1755" i="49"/>
  <c r="AO1756" i="49"/>
  <c r="AP1756" i="49"/>
  <c r="AQ1756" i="49"/>
  <c r="AR1756" i="49"/>
  <c r="AS1756" i="49"/>
  <c r="AT1756" i="49"/>
  <c r="AO1757" i="49"/>
  <c r="AP1757" i="49"/>
  <c r="AQ1757" i="49"/>
  <c r="AR1757" i="49"/>
  <c r="AS1757" i="49"/>
  <c r="AT1757" i="49"/>
  <c r="AO1758" i="49"/>
  <c r="AP1758" i="49"/>
  <c r="AQ1758" i="49"/>
  <c r="AR1758" i="49"/>
  <c r="AS1758" i="49"/>
  <c r="AT1758" i="49"/>
  <c r="AO1759" i="49"/>
  <c r="AP1759" i="49"/>
  <c r="AQ1759" i="49"/>
  <c r="AR1759" i="49"/>
  <c r="AS1759" i="49"/>
  <c r="AT1759" i="49"/>
  <c r="AO1760" i="49"/>
  <c r="AP1760" i="49"/>
  <c r="AQ1760" i="49"/>
  <c r="AR1760" i="49"/>
  <c r="AS1760" i="49"/>
  <c r="AT1760" i="49"/>
  <c r="AO1761" i="49"/>
  <c r="AP1761" i="49"/>
  <c r="AQ1761" i="49"/>
  <c r="AR1761" i="49"/>
  <c r="AS1761" i="49"/>
  <c r="AT1761" i="49"/>
  <c r="AO1762" i="49"/>
  <c r="AP1762" i="49"/>
  <c r="AQ1762" i="49"/>
  <c r="AR1762" i="49"/>
  <c r="AS1762" i="49"/>
  <c r="AT1762" i="49"/>
  <c r="AO1763" i="49"/>
  <c r="AP1763" i="49"/>
  <c r="AQ1763" i="49"/>
  <c r="AR1763" i="49"/>
  <c r="AS1763" i="49"/>
  <c r="AT1763" i="49"/>
  <c r="AO1764" i="49"/>
  <c r="AP1764" i="49"/>
  <c r="AQ1764" i="49"/>
  <c r="AR1764" i="49"/>
  <c r="AS1764" i="49"/>
  <c r="AT1764" i="49"/>
  <c r="AO1765" i="49"/>
  <c r="AP1765" i="49"/>
  <c r="AQ1765" i="49"/>
  <c r="AR1765" i="49"/>
  <c r="AS1765" i="49"/>
  <c r="AT1765" i="49"/>
  <c r="AO1766" i="49"/>
  <c r="AP1766" i="49"/>
  <c r="AQ1766" i="49"/>
  <c r="AR1766" i="49"/>
  <c r="AS1766" i="49"/>
  <c r="AT1766" i="49"/>
  <c r="AO1767" i="49"/>
  <c r="AP1767" i="49"/>
  <c r="AQ1767" i="49"/>
  <c r="AR1767" i="49"/>
  <c r="AS1767" i="49"/>
  <c r="AT1767" i="49"/>
  <c r="AO1768" i="49"/>
  <c r="AP1768" i="49"/>
  <c r="AQ1768" i="49"/>
  <c r="AR1768" i="49"/>
  <c r="AS1768" i="49"/>
  <c r="AT1768" i="49"/>
  <c r="AO1769" i="49"/>
  <c r="AP1769" i="49"/>
  <c r="AQ1769" i="49"/>
  <c r="AR1769" i="49"/>
  <c r="AS1769" i="49"/>
  <c r="AT1769" i="49"/>
  <c r="AO1770" i="49"/>
  <c r="AP1770" i="49"/>
  <c r="AQ1770" i="49"/>
  <c r="AR1770" i="49"/>
  <c r="AS1770" i="49"/>
  <c r="AT1770" i="49"/>
  <c r="AO1771" i="49"/>
  <c r="AP1771" i="49"/>
  <c r="AQ1771" i="49"/>
  <c r="AR1771" i="49"/>
  <c r="AS1771" i="49"/>
  <c r="AT1771" i="49"/>
  <c r="AO1772" i="49"/>
  <c r="AP1772" i="49"/>
  <c r="AQ1772" i="49"/>
  <c r="AR1772" i="49"/>
  <c r="AS1772" i="49"/>
  <c r="AT1772" i="49"/>
  <c r="AO1773" i="49"/>
  <c r="AP1773" i="49"/>
  <c r="AQ1773" i="49"/>
  <c r="AR1773" i="49"/>
  <c r="AS1773" i="49"/>
  <c r="AT1773" i="49"/>
  <c r="AO1774" i="49"/>
  <c r="AP1774" i="49"/>
  <c r="AQ1774" i="49"/>
  <c r="AR1774" i="49"/>
  <c r="AS1774" i="49"/>
  <c r="AT1774" i="49"/>
  <c r="AO1775" i="49"/>
  <c r="AP1775" i="49"/>
  <c r="AQ1775" i="49"/>
  <c r="AR1775" i="49"/>
  <c r="AS1775" i="49"/>
  <c r="AT1775" i="49"/>
  <c r="AO1776" i="49"/>
  <c r="AP1776" i="49"/>
  <c r="AQ1776" i="49"/>
  <c r="AR1776" i="49"/>
  <c r="AS1776" i="49"/>
  <c r="AT1776" i="49"/>
  <c r="AO1777" i="49"/>
  <c r="AP1777" i="49"/>
  <c r="AQ1777" i="49"/>
  <c r="AR1777" i="49"/>
  <c r="AS1777" i="49"/>
  <c r="AT1777" i="49"/>
  <c r="AO1778" i="49"/>
  <c r="AP1778" i="49"/>
  <c r="AQ1778" i="49"/>
  <c r="AR1778" i="49"/>
  <c r="AS1778" i="49"/>
  <c r="AT1778" i="49"/>
  <c r="AO1779" i="49"/>
  <c r="AP1779" i="49"/>
  <c r="AQ1779" i="49"/>
  <c r="AR1779" i="49"/>
  <c r="AS1779" i="49"/>
  <c r="AT1779" i="49"/>
  <c r="AO1780" i="49"/>
  <c r="AP1780" i="49"/>
  <c r="AQ1780" i="49"/>
  <c r="AR1780" i="49"/>
  <c r="AS1780" i="49"/>
  <c r="AT1780" i="49"/>
  <c r="AO1781" i="49"/>
  <c r="AP1781" i="49"/>
  <c r="AQ1781" i="49"/>
  <c r="AR1781" i="49"/>
  <c r="AS1781" i="49"/>
  <c r="AT1781" i="49"/>
  <c r="AO1782" i="49"/>
  <c r="AP1782" i="49"/>
  <c r="AQ1782" i="49"/>
  <c r="AR1782" i="49"/>
  <c r="AS1782" i="49"/>
  <c r="AT1782" i="49"/>
  <c r="AO1783" i="49"/>
  <c r="AP1783" i="49"/>
  <c r="AQ1783" i="49"/>
  <c r="AR1783" i="49"/>
  <c r="AS1783" i="49"/>
  <c r="AT1783" i="49"/>
  <c r="AO1784" i="49"/>
  <c r="AP1784" i="49"/>
  <c r="AQ1784" i="49"/>
  <c r="AR1784" i="49"/>
  <c r="AS1784" i="49"/>
  <c r="AT1784" i="49"/>
  <c r="AO1785" i="49"/>
  <c r="AP1785" i="49"/>
  <c r="AQ1785" i="49"/>
  <c r="AR1785" i="49"/>
  <c r="AS1785" i="49"/>
  <c r="AT1785" i="49"/>
  <c r="AO1786" i="49"/>
  <c r="AP1786" i="49"/>
  <c r="AQ1786" i="49"/>
  <c r="AR1786" i="49"/>
  <c r="AS1786" i="49"/>
  <c r="AT1786" i="49"/>
  <c r="AO1787" i="49"/>
  <c r="AP1787" i="49"/>
  <c r="AQ1787" i="49"/>
  <c r="AR1787" i="49"/>
  <c r="AS1787" i="49"/>
  <c r="AT1787" i="49"/>
  <c r="AO1788" i="49"/>
  <c r="AP1788" i="49"/>
  <c r="AQ1788" i="49"/>
  <c r="AR1788" i="49"/>
  <c r="AS1788" i="49"/>
  <c r="AT1788" i="49"/>
  <c r="AO1789" i="49"/>
  <c r="AP1789" i="49"/>
  <c r="AQ1789" i="49"/>
  <c r="AR1789" i="49"/>
  <c r="AS1789" i="49"/>
  <c r="AT1789" i="49"/>
  <c r="AO1790" i="49"/>
  <c r="AP1790" i="49"/>
  <c r="AQ1790" i="49"/>
  <c r="AR1790" i="49"/>
  <c r="AS1790" i="49"/>
  <c r="AT1790" i="49"/>
  <c r="AO1791" i="49"/>
  <c r="AP1791" i="49"/>
  <c r="AQ1791" i="49"/>
  <c r="AR1791" i="49"/>
  <c r="AS1791" i="49"/>
  <c r="AT1791" i="49"/>
  <c r="AO1792" i="49"/>
  <c r="AP1792" i="49"/>
  <c r="AQ1792" i="49"/>
  <c r="AR1792" i="49"/>
  <c r="AS1792" i="49"/>
  <c r="AT1792" i="49"/>
  <c r="AO1793" i="49"/>
  <c r="AP1793" i="49"/>
  <c r="AQ1793" i="49"/>
  <c r="AR1793" i="49"/>
  <c r="AS1793" i="49"/>
  <c r="AT1793" i="49"/>
  <c r="AO1794" i="49"/>
  <c r="AP1794" i="49"/>
  <c r="AQ1794" i="49"/>
  <c r="AR1794" i="49"/>
  <c r="AS1794" i="49"/>
  <c r="AT1794" i="49"/>
  <c r="AO1795" i="49"/>
  <c r="AP1795" i="49"/>
  <c r="AQ1795" i="49"/>
  <c r="AR1795" i="49"/>
  <c r="AS1795" i="49"/>
  <c r="AT1795" i="49"/>
  <c r="AO1796" i="49"/>
  <c r="AP1796" i="49"/>
  <c r="AQ1796" i="49"/>
  <c r="AR1796" i="49"/>
  <c r="AS1796" i="49"/>
  <c r="AT1796" i="49"/>
  <c r="AO1797" i="49"/>
  <c r="AP1797" i="49"/>
  <c r="AQ1797" i="49"/>
  <c r="AR1797" i="49"/>
  <c r="AS1797" i="49"/>
  <c r="AT1797" i="49"/>
  <c r="AO1798" i="49"/>
  <c r="AP1798" i="49"/>
  <c r="AQ1798" i="49"/>
  <c r="AR1798" i="49"/>
  <c r="AS1798" i="49"/>
  <c r="AT1798" i="49"/>
  <c r="AO1799" i="49"/>
  <c r="AP1799" i="49"/>
  <c r="AQ1799" i="49"/>
  <c r="AR1799" i="49"/>
  <c r="AS1799" i="49"/>
  <c r="AT1799" i="49"/>
  <c r="AO1800" i="49"/>
  <c r="AP1800" i="49"/>
  <c r="AQ1800" i="49"/>
  <c r="AR1800" i="49"/>
  <c r="AS1800" i="49"/>
  <c r="AT1800" i="49"/>
  <c r="AO1801" i="49"/>
  <c r="AP1801" i="49"/>
  <c r="AQ1801" i="49"/>
  <c r="AR1801" i="49"/>
  <c r="AS1801" i="49"/>
  <c r="AT1801" i="49"/>
  <c r="AO1802" i="49"/>
  <c r="AP1802" i="49"/>
  <c r="AQ1802" i="49"/>
  <c r="AR1802" i="49"/>
  <c r="AS1802" i="49"/>
  <c r="AT1802" i="49"/>
  <c r="AO1803" i="49"/>
  <c r="AP1803" i="49"/>
  <c r="AQ1803" i="49"/>
  <c r="AR1803" i="49"/>
  <c r="AS1803" i="49"/>
  <c r="AT1803" i="49"/>
  <c r="AO1804" i="49"/>
  <c r="AP1804" i="49"/>
  <c r="AQ1804" i="49"/>
  <c r="AR1804" i="49"/>
  <c r="AS1804" i="49"/>
  <c r="AT1804" i="49"/>
  <c r="AO1805" i="49"/>
  <c r="AP1805" i="49"/>
  <c r="AQ1805" i="49"/>
  <c r="AR1805" i="49"/>
  <c r="AS1805" i="49"/>
  <c r="AT1805" i="49"/>
  <c r="AO1806" i="49"/>
  <c r="AP1806" i="49"/>
  <c r="AQ1806" i="49"/>
  <c r="AR1806" i="49"/>
  <c r="AS1806" i="49"/>
  <c r="AT1806" i="49"/>
  <c r="AO1807" i="49"/>
  <c r="AP1807" i="49"/>
  <c r="AQ1807" i="49"/>
  <c r="AR1807" i="49"/>
  <c r="AS1807" i="49"/>
  <c r="AT1807" i="49"/>
  <c r="AO1808" i="49"/>
  <c r="AP1808" i="49"/>
  <c r="AQ1808" i="49"/>
  <c r="AR1808" i="49"/>
  <c r="AS1808" i="49"/>
  <c r="AT1808" i="49"/>
  <c r="AO1809" i="49"/>
  <c r="AP1809" i="49"/>
  <c r="AQ1809" i="49"/>
  <c r="AR1809" i="49"/>
  <c r="AS1809" i="49"/>
  <c r="AT1809" i="49"/>
  <c r="AO1810" i="49"/>
  <c r="AP1810" i="49"/>
  <c r="AQ1810" i="49"/>
  <c r="AR1810" i="49"/>
  <c r="AS1810" i="49"/>
  <c r="AT1810" i="49"/>
  <c r="AO1811" i="49"/>
  <c r="AP1811" i="49"/>
  <c r="AQ1811" i="49"/>
  <c r="AR1811" i="49"/>
  <c r="AS1811" i="49"/>
  <c r="AT1811" i="49"/>
  <c r="AO1812" i="49"/>
  <c r="AP1812" i="49"/>
  <c r="AQ1812" i="49"/>
  <c r="AR1812" i="49"/>
  <c r="AS1812" i="49"/>
  <c r="AT1812" i="49"/>
  <c r="AO1813" i="49"/>
  <c r="AP1813" i="49"/>
  <c r="AQ1813" i="49"/>
  <c r="AR1813" i="49"/>
  <c r="AS1813" i="49"/>
  <c r="AT1813" i="49"/>
  <c r="AO1814" i="49"/>
  <c r="AP1814" i="49"/>
  <c r="AQ1814" i="49"/>
  <c r="AR1814" i="49"/>
  <c r="AS1814" i="49"/>
  <c r="AT1814" i="49"/>
  <c r="AO1815" i="49"/>
  <c r="AP1815" i="49"/>
  <c r="AQ1815" i="49"/>
  <c r="AR1815" i="49"/>
  <c r="AS1815" i="49"/>
  <c r="AT1815" i="49"/>
  <c r="AO1816" i="49"/>
  <c r="AP1816" i="49"/>
  <c r="AQ1816" i="49"/>
  <c r="AR1816" i="49"/>
  <c r="AS1816" i="49"/>
  <c r="AT1816" i="49"/>
  <c r="AO1817" i="49"/>
  <c r="AP1817" i="49"/>
  <c r="AQ1817" i="49"/>
  <c r="AR1817" i="49"/>
  <c r="AS1817" i="49"/>
  <c r="AT1817" i="49"/>
  <c r="AO1818" i="49"/>
  <c r="AP1818" i="49"/>
  <c r="AQ1818" i="49"/>
  <c r="AR1818" i="49"/>
  <c r="AS1818" i="49"/>
  <c r="AT1818" i="49"/>
  <c r="AO1819" i="49"/>
  <c r="AP1819" i="49"/>
  <c r="AQ1819" i="49"/>
  <c r="AR1819" i="49"/>
  <c r="AS1819" i="49"/>
  <c r="AT1819" i="49"/>
  <c r="AO1820" i="49"/>
  <c r="AP1820" i="49"/>
  <c r="AQ1820" i="49"/>
  <c r="AR1820" i="49"/>
  <c r="AS1820" i="49"/>
  <c r="AT1820" i="49"/>
  <c r="AO1821" i="49"/>
  <c r="AP1821" i="49"/>
  <c r="AQ1821" i="49"/>
  <c r="AR1821" i="49"/>
  <c r="AS1821" i="49"/>
  <c r="AT1821" i="49"/>
  <c r="AO1822" i="49"/>
  <c r="AP1822" i="49"/>
  <c r="AQ1822" i="49"/>
  <c r="AR1822" i="49"/>
  <c r="AS1822" i="49"/>
  <c r="AT1822" i="49"/>
  <c r="AO1823" i="49"/>
  <c r="AP1823" i="49"/>
  <c r="AQ1823" i="49"/>
  <c r="AR1823" i="49"/>
  <c r="AS1823" i="49"/>
  <c r="AT1823" i="49"/>
  <c r="AO1824" i="49"/>
  <c r="AP1824" i="49"/>
  <c r="AQ1824" i="49"/>
  <c r="AR1824" i="49"/>
  <c r="AS1824" i="49"/>
  <c r="AT1824" i="49"/>
  <c r="AO1825" i="49"/>
  <c r="AP1825" i="49"/>
  <c r="AQ1825" i="49"/>
  <c r="AR1825" i="49"/>
  <c r="AS1825" i="49"/>
  <c r="AT1825" i="49"/>
  <c r="AO1826" i="49"/>
  <c r="AP1826" i="49"/>
  <c r="AQ1826" i="49"/>
  <c r="AR1826" i="49"/>
  <c r="AS1826" i="49"/>
  <c r="AT1826" i="49"/>
  <c r="AO1827" i="49"/>
  <c r="AP1827" i="49"/>
  <c r="AQ1827" i="49"/>
  <c r="AR1827" i="49"/>
  <c r="AS1827" i="49"/>
  <c r="AT1827" i="49"/>
  <c r="AO1828" i="49"/>
  <c r="AP1828" i="49"/>
  <c r="AQ1828" i="49"/>
  <c r="AR1828" i="49"/>
  <c r="AS1828" i="49"/>
  <c r="AT1828" i="49"/>
  <c r="AO1829" i="49"/>
  <c r="AP1829" i="49"/>
  <c r="AQ1829" i="49"/>
  <c r="AR1829" i="49"/>
  <c r="AS1829" i="49"/>
  <c r="AT1829" i="49"/>
  <c r="AO1830" i="49"/>
  <c r="AP1830" i="49"/>
  <c r="AQ1830" i="49"/>
  <c r="AR1830" i="49"/>
  <c r="AS1830" i="49"/>
  <c r="AT1830" i="49"/>
  <c r="AO1831" i="49"/>
  <c r="AP1831" i="49"/>
  <c r="AQ1831" i="49"/>
  <c r="AR1831" i="49"/>
  <c r="AS1831" i="49"/>
  <c r="AT1831" i="49"/>
  <c r="AO1832" i="49"/>
  <c r="AP1832" i="49"/>
  <c r="AQ1832" i="49"/>
  <c r="AR1832" i="49"/>
  <c r="AS1832" i="49"/>
  <c r="AT1832" i="49"/>
  <c r="AO1833" i="49"/>
  <c r="AP1833" i="49"/>
  <c r="AQ1833" i="49"/>
  <c r="AR1833" i="49"/>
  <c r="AS1833" i="49"/>
  <c r="AT1833" i="49"/>
  <c r="AO1834" i="49"/>
  <c r="AP1834" i="49"/>
  <c r="AQ1834" i="49"/>
  <c r="AR1834" i="49"/>
  <c r="AS1834" i="49"/>
  <c r="AT1834" i="49"/>
  <c r="AO1835" i="49"/>
  <c r="AP1835" i="49"/>
  <c r="AQ1835" i="49"/>
  <c r="AR1835" i="49"/>
  <c r="AS1835" i="49"/>
  <c r="AT1835" i="49"/>
  <c r="AO1836" i="49"/>
  <c r="AP1836" i="49"/>
  <c r="AQ1836" i="49"/>
  <c r="AR1836" i="49"/>
  <c r="AS1836" i="49"/>
  <c r="AT1836" i="49"/>
  <c r="AO1837" i="49"/>
  <c r="AP1837" i="49"/>
  <c r="AQ1837" i="49"/>
  <c r="AR1837" i="49"/>
  <c r="AS1837" i="49"/>
  <c r="AT1837" i="49"/>
  <c r="AO1838" i="49"/>
  <c r="AP1838" i="49"/>
  <c r="AQ1838" i="49"/>
  <c r="AR1838" i="49"/>
  <c r="AS1838" i="49"/>
  <c r="AT1838" i="49"/>
  <c r="AO1839" i="49"/>
  <c r="AP1839" i="49"/>
  <c r="AQ1839" i="49"/>
  <c r="AR1839" i="49"/>
  <c r="AS1839" i="49"/>
  <c r="AT1839" i="49"/>
  <c r="AO1840" i="49"/>
  <c r="AP1840" i="49"/>
  <c r="AQ1840" i="49"/>
  <c r="AR1840" i="49"/>
  <c r="AS1840" i="49"/>
  <c r="AT1840" i="49"/>
  <c r="AO1841" i="49"/>
  <c r="AP1841" i="49"/>
  <c r="AQ1841" i="49"/>
  <c r="AR1841" i="49"/>
  <c r="AS1841" i="49"/>
  <c r="AT1841" i="49"/>
  <c r="AO1842" i="49"/>
  <c r="AP1842" i="49"/>
  <c r="AQ1842" i="49"/>
  <c r="AR1842" i="49"/>
  <c r="AS1842" i="49"/>
  <c r="AT1842" i="49"/>
  <c r="AO1843" i="49"/>
  <c r="AP1843" i="49"/>
  <c r="AQ1843" i="49"/>
  <c r="AR1843" i="49"/>
  <c r="AS1843" i="49"/>
  <c r="AT1843" i="49"/>
  <c r="AO1844" i="49"/>
  <c r="AP1844" i="49"/>
  <c r="AQ1844" i="49"/>
  <c r="AR1844" i="49"/>
  <c r="AS1844" i="49"/>
  <c r="AT1844" i="49"/>
  <c r="AO1845" i="49"/>
  <c r="AP1845" i="49"/>
  <c r="AQ1845" i="49"/>
  <c r="AR1845" i="49"/>
  <c r="AS1845" i="49"/>
  <c r="AT1845" i="49"/>
  <c r="AO1846" i="49"/>
  <c r="AP1846" i="49"/>
  <c r="AQ1846" i="49"/>
  <c r="AR1846" i="49"/>
  <c r="AS1846" i="49"/>
  <c r="AT1846" i="49"/>
  <c r="AO1847" i="49"/>
  <c r="AP1847" i="49"/>
  <c r="AQ1847" i="49"/>
  <c r="AR1847" i="49"/>
  <c r="AS1847" i="49"/>
  <c r="AT1847" i="49"/>
  <c r="AO1848" i="49"/>
  <c r="AP1848" i="49"/>
  <c r="AQ1848" i="49"/>
  <c r="AR1848" i="49"/>
  <c r="AS1848" i="49"/>
  <c r="AT1848" i="49"/>
  <c r="AO1849" i="49"/>
  <c r="AP1849" i="49"/>
  <c r="AQ1849" i="49"/>
  <c r="AR1849" i="49"/>
  <c r="AS1849" i="49"/>
  <c r="AT1849" i="49"/>
  <c r="AO1850" i="49"/>
  <c r="AP1850" i="49"/>
  <c r="AQ1850" i="49"/>
  <c r="AR1850" i="49"/>
  <c r="AS1850" i="49"/>
  <c r="AT1850" i="49"/>
  <c r="AO1851" i="49"/>
  <c r="AP1851" i="49"/>
  <c r="AQ1851" i="49"/>
  <c r="AR1851" i="49"/>
  <c r="AS1851" i="49"/>
  <c r="AT1851" i="49"/>
  <c r="AO1852" i="49"/>
  <c r="AP1852" i="49"/>
  <c r="AQ1852" i="49"/>
  <c r="AR1852" i="49"/>
  <c r="AS1852" i="49"/>
  <c r="AT1852" i="49"/>
  <c r="AO1853" i="49"/>
  <c r="AP1853" i="49"/>
  <c r="AQ1853" i="49"/>
  <c r="AR1853" i="49"/>
  <c r="AS1853" i="49"/>
  <c r="AT1853" i="49"/>
  <c r="AO1854" i="49"/>
  <c r="AP1854" i="49"/>
  <c r="AQ1854" i="49"/>
  <c r="AR1854" i="49"/>
  <c r="AS1854" i="49"/>
  <c r="AT1854" i="49"/>
  <c r="AO1855" i="49"/>
  <c r="AP1855" i="49"/>
  <c r="AQ1855" i="49"/>
  <c r="AR1855" i="49"/>
  <c r="AS1855" i="49"/>
  <c r="AT1855" i="49"/>
  <c r="AO1856" i="49"/>
  <c r="AP1856" i="49"/>
  <c r="AQ1856" i="49"/>
  <c r="AR1856" i="49"/>
  <c r="AS1856" i="49"/>
  <c r="AT1856" i="49"/>
  <c r="AO1857" i="49"/>
  <c r="AP1857" i="49"/>
  <c r="AQ1857" i="49"/>
  <c r="AR1857" i="49"/>
  <c r="AS1857" i="49"/>
  <c r="AT1857" i="49"/>
  <c r="AO1858" i="49"/>
  <c r="AP1858" i="49"/>
  <c r="AQ1858" i="49"/>
  <c r="AR1858" i="49"/>
  <c r="AS1858" i="49"/>
  <c r="AT1858" i="49"/>
  <c r="AO1859" i="49"/>
  <c r="AP1859" i="49"/>
  <c r="AQ1859" i="49"/>
  <c r="AR1859" i="49"/>
  <c r="AS1859" i="49"/>
  <c r="AT1859" i="49"/>
  <c r="AO1860" i="49"/>
  <c r="AP1860" i="49"/>
  <c r="AQ1860" i="49"/>
  <c r="AR1860" i="49"/>
  <c r="AS1860" i="49"/>
  <c r="AT1860" i="49"/>
  <c r="AO1861" i="49"/>
  <c r="AP1861" i="49"/>
  <c r="AQ1861" i="49"/>
  <c r="AR1861" i="49"/>
  <c r="AS1861" i="49"/>
  <c r="AT1861" i="49"/>
  <c r="AO1862" i="49"/>
  <c r="AP1862" i="49"/>
  <c r="AQ1862" i="49"/>
  <c r="AR1862" i="49"/>
  <c r="AS1862" i="49"/>
  <c r="AT1862" i="49"/>
  <c r="AO1863" i="49"/>
  <c r="AP1863" i="49"/>
  <c r="AQ1863" i="49"/>
  <c r="AR1863" i="49"/>
  <c r="AS1863" i="49"/>
  <c r="AT1863" i="49"/>
  <c r="AO1864" i="49"/>
  <c r="AP1864" i="49"/>
  <c r="AQ1864" i="49"/>
  <c r="AR1864" i="49"/>
  <c r="AS1864" i="49"/>
  <c r="AT1864" i="49"/>
  <c r="AO1865" i="49"/>
  <c r="AP1865" i="49"/>
  <c r="AQ1865" i="49"/>
  <c r="AR1865" i="49"/>
  <c r="AS1865" i="49"/>
  <c r="AT1865" i="49"/>
  <c r="AO1866" i="49"/>
  <c r="AP1866" i="49"/>
  <c r="AQ1866" i="49"/>
  <c r="AR1866" i="49"/>
  <c r="AS1866" i="49"/>
  <c r="AT1866" i="49"/>
  <c r="AO1867" i="49"/>
  <c r="AP1867" i="49"/>
  <c r="AQ1867" i="49"/>
  <c r="AR1867" i="49"/>
  <c r="AS1867" i="49"/>
  <c r="AT1867" i="49"/>
  <c r="AO1868" i="49"/>
  <c r="AP1868" i="49"/>
  <c r="AQ1868" i="49"/>
  <c r="AR1868" i="49"/>
  <c r="AS1868" i="49"/>
  <c r="AT1868" i="49"/>
  <c r="AO1869" i="49"/>
  <c r="AP1869" i="49"/>
  <c r="AQ1869" i="49"/>
  <c r="AR1869" i="49"/>
  <c r="AS1869" i="49"/>
  <c r="AT1869" i="49"/>
  <c r="AO1870" i="49"/>
  <c r="AP1870" i="49"/>
  <c r="AQ1870" i="49"/>
  <c r="AR1870" i="49"/>
  <c r="AS1870" i="49"/>
  <c r="AT1870" i="49"/>
  <c r="AO1871" i="49"/>
  <c r="AP1871" i="49"/>
  <c r="AQ1871" i="49"/>
  <c r="AR1871" i="49"/>
  <c r="AS1871" i="49"/>
  <c r="AT1871" i="49"/>
  <c r="AO1872" i="49"/>
  <c r="AP1872" i="49"/>
  <c r="AQ1872" i="49"/>
  <c r="AR1872" i="49"/>
  <c r="AS1872" i="49"/>
  <c r="AT1872" i="49"/>
  <c r="AO1873" i="49"/>
  <c r="AP1873" i="49"/>
  <c r="AQ1873" i="49"/>
  <c r="AR1873" i="49"/>
  <c r="AS1873" i="49"/>
  <c r="AT1873" i="49"/>
  <c r="AO1874" i="49"/>
  <c r="AP1874" i="49"/>
  <c r="AQ1874" i="49"/>
  <c r="AR1874" i="49"/>
  <c r="AS1874" i="49"/>
  <c r="AT1874" i="49"/>
  <c r="AO1875" i="49"/>
  <c r="AP1875" i="49"/>
  <c r="AQ1875" i="49"/>
  <c r="AR1875" i="49"/>
  <c r="AS1875" i="49"/>
  <c r="AT1875" i="49"/>
  <c r="AO1876" i="49"/>
  <c r="AP1876" i="49"/>
  <c r="AQ1876" i="49"/>
  <c r="AR1876" i="49"/>
  <c r="AS1876" i="49"/>
  <c r="AT1876" i="49"/>
  <c r="AO1877" i="49"/>
  <c r="AP1877" i="49"/>
  <c r="AQ1877" i="49"/>
  <c r="AR1877" i="49"/>
  <c r="AS1877" i="49"/>
  <c r="AT1877" i="49"/>
  <c r="AO1878" i="49"/>
  <c r="AP1878" i="49"/>
  <c r="AQ1878" i="49"/>
  <c r="AR1878" i="49"/>
  <c r="AS1878" i="49"/>
  <c r="AT1878" i="49"/>
  <c r="AO1879" i="49"/>
  <c r="AP1879" i="49"/>
  <c r="AQ1879" i="49"/>
  <c r="AR1879" i="49"/>
  <c r="AS1879" i="49"/>
  <c r="AT1879" i="49"/>
  <c r="AO1880" i="49"/>
  <c r="AP1880" i="49"/>
  <c r="AQ1880" i="49"/>
  <c r="AR1880" i="49"/>
  <c r="AS1880" i="49"/>
  <c r="AT1880" i="49"/>
  <c r="AO1881" i="49"/>
  <c r="AP1881" i="49"/>
  <c r="AQ1881" i="49"/>
  <c r="AR1881" i="49"/>
  <c r="AS1881" i="49"/>
  <c r="AT1881" i="49"/>
  <c r="AO1882" i="49"/>
  <c r="AP1882" i="49"/>
  <c r="AQ1882" i="49"/>
  <c r="AR1882" i="49"/>
  <c r="AS1882" i="49"/>
  <c r="AT1882" i="49"/>
  <c r="AO1883" i="49"/>
  <c r="AP1883" i="49"/>
  <c r="AQ1883" i="49"/>
  <c r="AR1883" i="49"/>
  <c r="AS1883" i="49"/>
  <c r="AT1883" i="49"/>
  <c r="AO1884" i="49"/>
  <c r="AP1884" i="49"/>
  <c r="AQ1884" i="49"/>
  <c r="AR1884" i="49"/>
  <c r="AS1884" i="49"/>
  <c r="AT1884" i="49"/>
  <c r="AO1885" i="49"/>
  <c r="AP1885" i="49"/>
  <c r="AQ1885" i="49"/>
  <c r="AR1885" i="49"/>
  <c r="AS1885" i="49"/>
  <c r="AT1885" i="49"/>
  <c r="AO1886" i="49"/>
  <c r="AP1886" i="49"/>
  <c r="AQ1886" i="49"/>
  <c r="AR1886" i="49"/>
  <c r="AS1886" i="49"/>
  <c r="AT1886" i="49"/>
  <c r="AO1887" i="49"/>
  <c r="AP1887" i="49"/>
  <c r="AQ1887" i="49"/>
  <c r="AR1887" i="49"/>
  <c r="AS1887" i="49"/>
  <c r="AT1887" i="49"/>
  <c r="AO1888" i="49"/>
  <c r="AP1888" i="49"/>
  <c r="AQ1888" i="49"/>
  <c r="AR1888" i="49"/>
  <c r="AS1888" i="49"/>
  <c r="AT1888" i="49"/>
  <c r="AO1889" i="49"/>
  <c r="AP1889" i="49"/>
  <c r="AQ1889" i="49"/>
  <c r="AR1889" i="49"/>
  <c r="AS1889" i="49"/>
  <c r="AT1889" i="49"/>
  <c r="AO1890" i="49"/>
  <c r="AP1890" i="49"/>
  <c r="AQ1890" i="49"/>
  <c r="AR1890" i="49"/>
  <c r="AS1890" i="49"/>
  <c r="AT1890" i="49"/>
  <c r="AO1891" i="49"/>
  <c r="AP1891" i="49"/>
  <c r="AQ1891" i="49"/>
  <c r="AR1891" i="49"/>
  <c r="AS1891" i="49"/>
  <c r="AT1891" i="49"/>
  <c r="AO1892" i="49"/>
  <c r="AP1892" i="49"/>
  <c r="AQ1892" i="49"/>
  <c r="AR1892" i="49"/>
  <c r="AS1892" i="49"/>
  <c r="AT1892" i="49"/>
  <c r="AO1893" i="49"/>
  <c r="AP1893" i="49"/>
  <c r="AQ1893" i="49"/>
  <c r="AR1893" i="49"/>
  <c r="AS1893" i="49"/>
  <c r="AT1893" i="49"/>
  <c r="AO1894" i="49"/>
  <c r="AP1894" i="49"/>
  <c r="AQ1894" i="49"/>
  <c r="AR1894" i="49"/>
  <c r="AS1894" i="49"/>
  <c r="AT1894" i="49"/>
  <c r="AO1895" i="49"/>
  <c r="AP1895" i="49"/>
  <c r="AQ1895" i="49"/>
  <c r="AR1895" i="49"/>
  <c r="AS1895" i="49"/>
  <c r="AT1895" i="49"/>
  <c r="AO1896" i="49"/>
  <c r="AP1896" i="49"/>
  <c r="AQ1896" i="49"/>
  <c r="AR1896" i="49"/>
  <c r="AS1896" i="49"/>
  <c r="AT1896" i="49"/>
  <c r="AO1897" i="49"/>
  <c r="AP1897" i="49"/>
  <c r="AQ1897" i="49"/>
  <c r="AR1897" i="49"/>
  <c r="AS1897" i="49"/>
  <c r="AT1897" i="49"/>
  <c r="AO1898" i="49"/>
  <c r="AP1898" i="49"/>
  <c r="AQ1898" i="49"/>
  <c r="AR1898" i="49"/>
  <c r="AS1898" i="49"/>
  <c r="AT1898" i="49"/>
  <c r="AO1899" i="49"/>
  <c r="AP1899" i="49"/>
  <c r="AQ1899" i="49"/>
  <c r="AR1899" i="49"/>
  <c r="AS1899" i="49"/>
  <c r="AT1899" i="49"/>
  <c r="AO1900" i="49"/>
  <c r="AP1900" i="49"/>
  <c r="AQ1900" i="49"/>
  <c r="AR1900" i="49"/>
  <c r="AS1900" i="49"/>
  <c r="AT1900" i="49"/>
  <c r="AO1901" i="49"/>
  <c r="AP1901" i="49"/>
  <c r="AQ1901" i="49"/>
  <c r="AR1901" i="49"/>
  <c r="AS1901" i="49"/>
  <c r="AT1901" i="49"/>
  <c r="AO1902" i="49"/>
  <c r="AP1902" i="49"/>
  <c r="AQ1902" i="49"/>
  <c r="AR1902" i="49"/>
  <c r="AS1902" i="49"/>
  <c r="AT1902" i="49"/>
  <c r="AO1903" i="49"/>
  <c r="AP1903" i="49"/>
  <c r="AQ1903" i="49"/>
  <c r="AR1903" i="49"/>
  <c r="AS1903" i="49"/>
  <c r="AT1903" i="49"/>
  <c r="AO1904" i="49"/>
  <c r="AP1904" i="49"/>
  <c r="AQ1904" i="49"/>
  <c r="AR1904" i="49"/>
  <c r="AS1904" i="49"/>
  <c r="AT1904" i="49"/>
  <c r="AO1905" i="49"/>
  <c r="AP1905" i="49"/>
  <c r="AQ1905" i="49"/>
  <c r="AR1905" i="49"/>
  <c r="AS1905" i="49"/>
  <c r="AT1905" i="49"/>
  <c r="AO1906" i="49"/>
  <c r="AP1906" i="49"/>
  <c r="AQ1906" i="49"/>
  <c r="AR1906" i="49"/>
  <c r="AS1906" i="49"/>
  <c r="AT1906" i="49"/>
  <c r="AO1907" i="49"/>
  <c r="AP1907" i="49"/>
  <c r="AQ1907" i="49"/>
  <c r="AR1907" i="49"/>
  <c r="AS1907" i="49"/>
  <c r="AT1907" i="49"/>
  <c r="AO1908" i="49"/>
  <c r="AP1908" i="49"/>
  <c r="AQ1908" i="49"/>
  <c r="AR1908" i="49"/>
  <c r="AS1908" i="49"/>
  <c r="AT1908" i="49"/>
  <c r="AO1909" i="49"/>
  <c r="AP1909" i="49"/>
  <c r="AQ1909" i="49"/>
  <c r="AR1909" i="49"/>
  <c r="AS1909" i="49"/>
  <c r="AT1909" i="49"/>
  <c r="AO1910" i="49"/>
  <c r="AP1910" i="49"/>
  <c r="AQ1910" i="49"/>
  <c r="AR1910" i="49"/>
  <c r="AS1910" i="49"/>
  <c r="AT1910" i="49"/>
  <c r="AO1911" i="49"/>
  <c r="AP1911" i="49"/>
  <c r="AQ1911" i="49"/>
  <c r="AR1911" i="49"/>
  <c r="AS1911" i="49"/>
  <c r="AT1911" i="49"/>
  <c r="AO1912" i="49"/>
  <c r="AP1912" i="49"/>
  <c r="AQ1912" i="49"/>
  <c r="AR1912" i="49"/>
  <c r="AS1912" i="49"/>
  <c r="AT1912" i="49"/>
  <c r="AO1913" i="49"/>
  <c r="AP1913" i="49"/>
  <c r="AQ1913" i="49"/>
  <c r="AR1913" i="49"/>
  <c r="AS1913" i="49"/>
  <c r="AT1913" i="49"/>
  <c r="AO1914" i="49"/>
  <c r="AP1914" i="49"/>
  <c r="AQ1914" i="49"/>
  <c r="AR1914" i="49"/>
  <c r="AS1914" i="49"/>
  <c r="AT1914" i="49"/>
  <c r="AO1915" i="49"/>
  <c r="AP1915" i="49"/>
  <c r="AQ1915" i="49"/>
  <c r="AR1915" i="49"/>
  <c r="AS1915" i="49"/>
  <c r="AT1915" i="49"/>
  <c r="AO1916" i="49"/>
  <c r="AP1916" i="49"/>
  <c r="AQ1916" i="49"/>
  <c r="AR1916" i="49"/>
  <c r="AS1916" i="49"/>
  <c r="AT1916" i="49"/>
  <c r="AO1917" i="49"/>
  <c r="AP1917" i="49"/>
  <c r="AQ1917" i="49"/>
  <c r="AR1917" i="49"/>
  <c r="AS1917" i="49"/>
  <c r="AT1917" i="49"/>
  <c r="AO1918" i="49"/>
  <c r="AP1918" i="49"/>
  <c r="AQ1918" i="49"/>
  <c r="AR1918" i="49"/>
  <c r="AS1918" i="49"/>
  <c r="AT1918" i="49"/>
  <c r="AO1919" i="49"/>
  <c r="AP1919" i="49"/>
  <c r="AQ1919" i="49"/>
  <c r="AR1919" i="49"/>
  <c r="AS1919" i="49"/>
  <c r="AT1919" i="49"/>
  <c r="AO1920" i="49"/>
  <c r="AP1920" i="49"/>
  <c r="AQ1920" i="49"/>
  <c r="AR1920" i="49"/>
  <c r="AS1920" i="49"/>
  <c r="AT1920" i="49"/>
  <c r="AO1921" i="49"/>
  <c r="AP1921" i="49"/>
  <c r="AQ1921" i="49"/>
  <c r="AR1921" i="49"/>
  <c r="AS1921" i="49"/>
  <c r="AT1921" i="49"/>
  <c r="AO1922" i="49"/>
  <c r="AP1922" i="49"/>
  <c r="AQ1922" i="49"/>
  <c r="AR1922" i="49"/>
  <c r="AS1922" i="49"/>
  <c r="AT1922" i="49"/>
  <c r="AO1923" i="49"/>
  <c r="AP1923" i="49"/>
  <c r="AQ1923" i="49"/>
  <c r="AR1923" i="49"/>
  <c r="AS1923" i="49"/>
  <c r="AT1923" i="49"/>
  <c r="AO1924" i="49"/>
  <c r="AP1924" i="49"/>
  <c r="AQ1924" i="49"/>
  <c r="AR1924" i="49"/>
  <c r="AS1924" i="49"/>
  <c r="AT1924" i="49"/>
  <c r="AO1925" i="49"/>
  <c r="AP1925" i="49"/>
  <c r="AQ1925" i="49"/>
  <c r="AR1925" i="49"/>
  <c r="AS1925" i="49"/>
  <c r="AT1925" i="49"/>
  <c r="AO1926" i="49"/>
  <c r="AP1926" i="49"/>
  <c r="AQ1926" i="49"/>
  <c r="AR1926" i="49"/>
  <c r="AS1926" i="49"/>
  <c r="AT1926" i="49"/>
  <c r="AO1927" i="49"/>
  <c r="AP1927" i="49"/>
  <c r="AQ1927" i="49"/>
  <c r="AR1927" i="49"/>
  <c r="AS1927" i="49"/>
  <c r="AT1927" i="49"/>
  <c r="AO1928" i="49"/>
  <c r="AP1928" i="49"/>
  <c r="AQ1928" i="49"/>
  <c r="AR1928" i="49"/>
  <c r="AS1928" i="49"/>
  <c r="AT1928" i="49"/>
  <c r="AO1929" i="49"/>
  <c r="AP1929" i="49"/>
  <c r="AQ1929" i="49"/>
  <c r="AR1929" i="49"/>
  <c r="AS1929" i="49"/>
  <c r="AT1929" i="49"/>
  <c r="AO1930" i="49"/>
  <c r="AP1930" i="49"/>
  <c r="AQ1930" i="49"/>
  <c r="AR1930" i="49"/>
  <c r="AS1930" i="49"/>
  <c r="AT1930" i="49"/>
  <c r="AO1931" i="49"/>
  <c r="AP1931" i="49"/>
  <c r="AQ1931" i="49"/>
  <c r="AR1931" i="49"/>
  <c r="AS1931" i="49"/>
  <c r="AT1931" i="49"/>
  <c r="AO1932" i="49"/>
  <c r="AP1932" i="49"/>
  <c r="AQ1932" i="49"/>
  <c r="AR1932" i="49"/>
  <c r="AS1932" i="49"/>
  <c r="AT1932" i="49"/>
  <c r="AO1933" i="49"/>
  <c r="AP1933" i="49"/>
  <c r="AQ1933" i="49"/>
  <c r="AR1933" i="49"/>
  <c r="AS1933" i="49"/>
  <c r="AT1933" i="49"/>
  <c r="AO1934" i="49"/>
  <c r="AP1934" i="49"/>
  <c r="AQ1934" i="49"/>
  <c r="AR1934" i="49"/>
  <c r="AS1934" i="49"/>
  <c r="AT1934" i="49"/>
  <c r="AO1935" i="49"/>
  <c r="AP1935" i="49"/>
  <c r="AQ1935" i="49"/>
  <c r="AR1935" i="49"/>
  <c r="AS1935" i="49"/>
  <c r="AT1935" i="49"/>
  <c r="AO1936" i="49"/>
  <c r="AP1936" i="49"/>
  <c r="AQ1936" i="49"/>
  <c r="AR1936" i="49"/>
  <c r="AS1936" i="49"/>
  <c r="AT1936" i="49"/>
  <c r="AO1937" i="49"/>
  <c r="AP1937" i="49"/>
  <c r="AQ1937" i="49"/>
  <c r="AR1937" i="49"/>
  <c r="AS1937" i="49"/>
  <c r="AT1937" i="49"/>
  <c r="AO1938" i="49"/>
  <c r="AP1938" i="49"/>
  <c r="AQ1938" i="49"/>
  <c r="AR1938" i="49"/>
  <c r="AS1938" i="49"/>
  <c r="AT1938" i="49"/>
  <c r="AO1939" i="49"/>
  <c r="AP1939" i="49"/>
  <c r="AQ1939" i="49"/>
  <c r="AR1939" i="49"/>
  <c r="AS1939" i="49"/>
  <c r="AT1939" i="49"/>
  <c r="AO1940" i="49"/>
  <c r="AP1940" i="49"/>
  <c r="AQ1940" i="49"/>
  <c r="AR1940" i="49"/>
  <c r="AS1940" i="49"/>
  <c r="AT1940" i="49"/>
  <c r="AO1941" i="49"/>
  <c r="AP1941" i="49"/>
  <c r="AQ1941" i="49"/>
  <c r="AR1941" i="49"/>
  <c r="AS1941" i="49"/>
  <c r="AT1941" i="49"/>
  <c r="AO1942" i="49"/>
  <c r="AP1942" i="49"/>
  <c r="AQ1942" i="49"/>
  <c r="AR1942" i="49"/>
  <c r="AS1942" i="49"/>
  <c r="AT1942" i="49"/>
  <c r="AO1943" i="49"/>
  <c r="AP1943" i="49"/>
  <c r="AQ1943" i="49"/>
  <c r="AR1943" i="49"/>
  <c r="AS1943" i="49"/>
  <c r="AT1943" i="49"/>
  <c r="AO1944" i="49"/>
  <c r="AP1944" i="49"/>
  <c r="AQ1944" i="49"/>
  <c r="AR1944" i="49"/>
  <c r="AS1944" i="49"/>
  <c r="AT1944" i="49"/>
  <c r="AO1945" i="49"/>
  <c r="AP1945" i="49"/>
  <c r="AQ1945" i="49"/>
  <c r="AR1945" i="49"/>
  <c r="AS1945" i="49"/>
  <c r="AT1945" i="49"/>
  <c r="AO1946" i="49"/>
  <c r="AP1946" i="49"/>
  <c r="AQ1946" i="49"/>
  <c r="AR1946" i="49"/>
  <c r="AS1946" i="49"/>
  <c r="AT1946" i="49"/>
  <c r="AO1947" i="49"/>
  <c r="AP1947" i="49"/>
  <c r="AQ1947" i="49"/>
  <c r="AR1947" i="49"/>
  <c r="AS1947" i="49"/>
  <c r="AT1947" i="49"/>
  <c r="AO1948" i="49"/>
  <c r="AP1948" i="49"/>
  <c r="AQ1948" i="49"/>
  <c r="AR1948" i="49"/>
  <c r="AS1948" i="49"/>
  <c r="AT1948" i="49"/>
  <c r="AO1949" i="49"/>
  <c r="AP1949" i="49"/>
  <c r="AQ1949" i="49"/>
  <c r="AR1949" i="49"/>
  <c r="AS1949" i="49"/>
  <c r="AT1949" i="49"/>
  <c r="AO1950" i="49"/>
  <c r="AP1950" i="49"/>
  <c r="AQ1950" i="49"/>
  <c r="AR1950" i="49"/>
  <c r="AS1950" i="49"/>
  <c r="AT1950" i="49"/>
  <c r="AO1951" i="49"/>
  <c r="AP1951" i="49"/>
  <c r="AQ1951" i="49"/>
  <c r="AR1951" i="49"/>
  <c r="AS1951" i="49"/>
  <c r="AT1951" i="49"/>
  <c r="AO1952" i="49"/>
  <c r="AP1952" i="49"/>
  <c r="AQ1952" i="49"/>
  <c r="AR1952" i="49"/>
  <c r="AS1952" i="49"/>
  <c r="AT1952" i="49"/>
  <c r="AO1953" i="49"/>
  <c r="AP1953" i="49"/>
  <c r="AQ1953" i="49"/>
  <c r="AR1953" i="49"/>
  <c r="AS1953" i="49"/>
  <c r="AT1953" i="49"/>
  <c r="AO1954" i="49"/>
  <c r="AP1954" i="49"/>
  <c r="AQ1954" i="49"/>
  <c r="AR1954" i="49"/>
  <c r="AS1954" i="49"/>
  <c r="AT1954" i="49"/>
  <c r="AO1955" i="49"/>
  <c r="AP1955" i="49"/>
  <c r="AQ1955" i="49"/>
  <c r="AR1955" i="49"/>
  <c r="AS1955" i="49"/>
  <c r="AT1955" i="49"/>
  <c r="AO1956" i="49"/>
  <c r="AP1956" i="49"/>
  <c r="AQ1956" i="49"/>
  <c r="AR1956" i="49"/>
  <c r="AS1956" i="49"/>
  <c r="AT1956" i="49"/>
  <c r="AO1957" i="49"/>
  <c r="AP1957" i="49"/>
  <c r="AQ1957" i="49"/>
  <c r="AR1957" i="49"/>
  <c r="AS1957" i="49"/>
  <c r="AT1957" i="49"/>
  <c r="AO1958" i="49"/>
  <c r="AP1958" i="49"/>
  <c r="AQ1958" i="49"/>
  <c r="AR1958" i="49"/>
  <c r="AS1958" i="49"/>
  <c r="AT1958" i="49"/>
  <c r="AO1959" i="49"/>
  <c r="AP1959" i="49"/>
  <c r="AQ1959" i="49"/>
  <c r="AR1959" i="49"/>
  <c r="AS1959" i="49"/>
  <c r="AT1959" i="49"/>
  <c r="AO1960" i="49"/>
  <c r="AP1960" i="49"/>
  <c r="AQ1960" i="49"/>
  <c r="AR1960" i="49"/>
  <c r="AS1960" i="49"/>
  <c r="AT1960" i="49"/>
  <c r="AO1961" i="49"/>
  <c r="AP1961" i="49"/>
  <c r="AQ1961" i="49"/>
  <c r="AR1961" i="49"/>
  <c r="AS1961" i="49"/>
  <c r="AT1961" i="49"/>
  <c r="AO1962" i="49"/>
  <c r="AP1962" i="49"/>
  <c r="AQ1962" i="49"/>
  <c r="AR1962" i="49"/>
  <c r="AS1962" i="49"/>
  <c r="AT1962" i="49"/>
  <c r="AO1963" i="49"/>
  <c r="AP1963" i="49"/>
  <c r="AQ1963" i="49"/>
  <c r="AR1963" i="49"/>
  <c r="AS1963" i="49"/>
  <c r="AT1963" i="49"/>
  <c r="AO1964" i="49"/>
  <c r="AP1964" i="49"/>
  <c r="AQ1964" i="49"/>
  <c r="AR1964" i="49"/>
  <c r="AS1964" i="49"/>
  <c r="AT1964" i="49"/>
  <c r="AO1965" i="49"/>
  <c r="AP1965" i="49"/>
  <c r="AQ1965" i="49"/>
  <c r="AR1965" i="49"/>
  <c r="AS1965" i="49"/>
  <c r="AT1965" i="49"/>
  <c r="AO1966" i="49"/>
  <c r="AP1966" i="49"/>
  <c r="AQ1966" i="49"/>
  <c r="AR1966" i="49"/>
  <c r="AS1966" i="49"/>
  <c r="AT1966" i="49"/>
  <c r="AO1967" i="49"/>
  <c r="AP1967" i="49"/>
  <c r="AQ1967" i="49"/>
  <c r="AR1967" i="49"/>
  <c r="AS1967" i="49"/>
  <c r="AT1967" i="49"/>
  <c r="AO1968" i="49"/>
  <c r="AP1968" i="49"/>
  <c r="AQ1968" i="49"/>
  <c r="AR1968" i="49"/>
  <c r="AS1968" i="49"/>
  <c r="AT1968" i="49"/>
  <c r="AO1969" i="49"/>
  <c r="AP1969" i="49"/>
  <c r="AQ1969" i="49"/>
  <c r="AR1969" i="49"/>
  <c r="AS1969" i="49"/>
  <c r="AT1969" i="49"/>
  <c r="AO1970" i="49"/>
  <c r="AP1970" i="49"/>
  <c r="AQ1970" i="49"/>
  <c r="AR1970" i="49"/>
  <c r="AS1970" i="49"/>
  <c r="AT1970" i="49"/>
  <c r="AO1971" i="49"/>
  <c r="AP1971" i="49"/>
  <c r="AQ1971" i="49"/>
  <c r="AR1971" i="49"/>
  <c r="AS1971" i="49"/>
  <c r="AT1971" i="49"/>
  <c r="AO1972" i="49"/>
  <c r="AP1972" i="49"/>
  <c r="AQ1972" i="49"/>
  <c r="AR1972" i="49"/>
  <c r="AS1972" i="49"/>
  <c r="AT1972" i="49"/>
  <c r="AO1973" i="49"/>
  <c r="AP1973" i="49"/>
  <c r="AQ1973" i="49"/>
  <c r="AR1973" i="49"/>
  <c r="AS1973" i="49"/>
  <c r="AT1973" i="49"/>
  <c r="AO1974" i="49"/>
  <c r="AP1974" i="49"/>
  <c r="AQ1974" i="49"/>
  <c r="AR1974" i="49"/>
  <c r="AS1974" i="49"/>
  <c r="AT1974" i="49"/>
  <c r="AO1975" i="49"/>
  <c r="AP1975" i="49"/>
  <c r="AQ1975" i="49"/>
  <c r="AR1975" i="49"/>
  <c r="AS1975" i="49"/>
  <c r="AT1975" i="49"/>
  <c r="AO1976" i="49"/>
  <c r="AP1976" i="49"/>
  <c r="AQ1976" i="49"/>
  <c r="AR1976" i="49"/>
  <c r="AS1976" i="49"/>
  <c r="AT1976" i="49"/>
  <c r="AO1977" i="49"/>
  <c r="AP1977" i="49"/>
  <c r="AQ1977" i="49"/>
  <c r="AR1977" i="49"/>
  <c r="AS1977" i="49"/>
  <c r="AT1977" i="49"/>
  <c r="AO1978" i="49"/>
  <c r="AP1978" i="49"/>
  <c r="AQ1978" i="49"/>
  <c r="AR1978" i="49"/>
  <c r="AS1978" i="49"/>
  <c r="AT1978" i="49"/>
  <c r="AO1979" i="49"/>
  <c r="AP1979" i="49"/>
  <c r="AQ1979" i="49"/>
  <c r="AR1979" i="49"/>
  <c r="AS1979" i="49"/>
  <c r="AT1979" i="49"/>
  <c r="AO1980" i="49"/>
  <c r="AP1980" i="49"/>
  <c r="AQ1980" i="49"/>
  <c r="AR1980" i="49"/>
  <c r="AS1980" i="49"/>
  <c r="AT1980" i="49"/>
  <c r="AO1981" i="49"/>
  <c r="AP1981" i="49"/>
  <c r="AQ1981" i="49"/>
  <c r="AR1981" i="49"/>
  <c r="AS1981" i="49"/>
  <c r="AT1981" i="49"/>
  <c r="AO1982" i="49"/>
  <c r="AP1982" i="49"/>
  <c r="AQ1982" i="49"/>
  <c r="AR1982" i="49"/>
  <c r="AS1982" i="49"/>
  <c r="AT1982" i="49"/>
  <c r="AO1983" i="49"/>
  <c r="AP1983" i="49"/>
  <c r="AQ1983" i="49"/>
  <c r="AR1983" i="49"/>
  <c r="AS1983" i="49"/>
  <c r="AT1983" i="49"/>
  <c r="AO1984" i="49"/>
  <c r="AP1984" i="49"/>
  <c r="AQ1984" i="49"/>
  <c r="AR1984" i="49"/>
  <c r="AS1984" i="49"/>
  <c r="AT1984" i="49"/>
  <c r="AO1985" i="49"/>
  <c r="AP1985" i="49"/>
  <c r="AQ1985" i="49"/>
  <c r="AR1985" i="49"/>
  <c r="AS1985" i="49"/>
  <c r="AT1985" i="49"/>
  <c r="AO1986" i="49"/>
  <c r="AP1986" i="49"/>
  <c r="AQ1986" i="49"/>
  <c r="AR1986" i="49"/>
  <c r="AS1986" i="49"/>
  <c r="AT1986" i="49"/>
  <c r="AO1987" i="49"/>
  <c r="AP1987" i="49"/>
  <c r="AQ1987" i="49"/>
  <c r="AR1987" i="49"/>
  <c r="AS1987" i="49"/>
  <c r="AT1987" i="49"/>
  <c r="AO1988" i="49"/>
  <c r="AP1988" i="49"/>
  <c r="AQ1988" i="49"/>
  <c r="AR1988" i="49"/>
  <c r="AS1988" i="49"/>
  <c r="AT1988" i="49"/>
  <c r="AO1989" i="49"/>
  <c r="AP1989" i="49"/>
  <c r="AQ1989" i="49"/>
  <c r="AR1989" i="49"/>
  <c r="AS1989" i="49"/>
  <c r="AT1989" i="49"/>
  <c r="AO1990" i="49"/>
  <c r="AP1990" i="49"/>
  <c r="AQ1990" i="49"/>
  <c r="AR1990" i="49"/>
  <c r="AS1990" i="49"/>
  <c r="AT1990" i="49"/>
  <c r="AO1991" i="49"/>
  <c r="AP1991" i="49"/>
  <c r="AQ1991" i="49"/>
  <c r="AR1991" i="49"/>
  <c r="AS1991" i="49"/>
  <c r="AT1991" i="49"/>
  <c r="AO1992" i="49"/>
  <c r="AP1992" i="49"/>
  <c r="AQ1992" i="49"/>
  <c r="AR1992" i="49"/>
  <c r="AS1992" i="49"/>
  <c r="AT1992" i="49"/>
  <c r="AO1993" i="49"/>
  <c r="AP1993" i="49"/>
  <c r="AQ1993" i="49"/>
  <c r="AR1993" i="49"/>
  <c r="AS1993" i="49"/>
  <c r="AT1993" i="49"/>
  <c r="AO1994" i="49"/>
  <c r="AP1994" i="49"/>
  <c r="AQ1994" i="49"/>
  <c r="AR1994" i="49"/>
  <c r="AS1994" i="49"/>
  <c r="AT1994" i="49"/>
  <c r="AO1995" i="49"/>
  <c r="AP1995" i="49"/>
  <c r="AQ1995" i="49"/>
  <c r="AR1995" i="49"/>
  <c r="AS1995" i="49"/>
  <c r="AT1995" i="49"/>
  <c r="AO1996" i="49"/>
  <c r="AP1996" i="49"/>
  <c r="AQ1996" i="49"/>
  <c r="AR1996" i="49"/>
  <c r="AS1996" i="49"/>
  <c r="AT1996" i="49"/>
  <c r="AO1997" i="49"/>
  <c r="AP1997" i="49"/>
  <c r="AQ1997" i="49"/>
  <c r="AR1997" i="49"/>
  <c r="AS1997" i="49"/>
  <c r="AT1997" i="49"/>
  <c r="AO1998" i="49"/>
  <c r="AP1998" i="49"/>
  <c r="AQ1998" i="49"/>
  <c r="AR1998" i="49"/>
  <c r="AS1998" i="49"/>
  <c r="AT1998" i="49"/>
  <c r="AO1999" i="49"/>
  <c r="AP1999" i="49"/>
  <c r="AQ1999" i="49"/>
  <c r="AR1999" i="49"/>
  <c r="AS1999" i="49"/>
  <c r="AT1999" i="49"/>
  <c r="AO2000" i="49"/>
  <c r="AP2000" i="49"/>
  <c r="AQ2000" i="49"/>
  <c r="AR2000" i="49"/>
  <c r="AS2000" i="49"/>
  <c r="AT2000" i="49"/>
  <c r="AO2001" i="49"/>
  <c r="AP2001" i="49"/>
  <c r="AQ2001" i="49"/>
  <c r="AR2001" i="49"/>
  <c r="AS2001" i="49"/>
  <c r="AT2001" i="49"/>
  <c r="AO2002" i="49"/>
  <c r="AP2002" i="49"/>
  <c r="AQ2002" i="49"/>
  <c r="AR2002" i="49"/>
  <c r="AS2002" i="49"/>
  <c r="AT2002" i="49"/>
  <c r="AO2003" i="49"/>
  <c r="AP2003" i="49"/>
  <c r="AQ2003" i="49"/>
  <c r="AR2003" i="49"/>
  <c r="AS2003" i="49"/>
  <c r="AT2003" i="49"/>
  <c r="AO2004" i="49"/>
  <c r="AP2004" i="49"/>
  <c r="AQ2004" i="49"/>
  <c r="AR2004" i="49"/>
  <c r="AS2004" i="49"/>
  <c r="AT2004" i="49"/>
  <c r="AO2005" i="49"/>
  <c r="AP2005" i="49"/>
  <c r="AQ2005" i="49"/>
  <c r="AR2005" i="49"/>
  <c r="AS2005" i="49"/>
  <c r="AT2005" i="49"/>
  <c r="AO2006" i="49"/>
  <c r="AP2006" i="49"/>
  <c r="AQ2006" i="49"/>
  <c r="AR2006" i="49"/>
  <c r="AS2006" i="49"/>
  <c r="AT2006" i="49"/>
  <c r="AO2007" i="49"/>
  <c r="AP2007" i="49"/>
  <c r="AQ2007" i="49"/>
  <c r="AR2007" i="49"/>
  <c r="AS2007" i="49"/>
  <c r="AT2007" i="49"/>
  <c r="AO2008" i="49"/>
  <c r="AP2008" i="49"/>
  <c r="AQ2008" i="49"/>
  <c r="AR2008" i="49"/>
  <c r="AS2008" i="49"/>
  <c r="AT2008" i="49"/>
  <c r="AO2009" i="49"/>
  <c r="AP2009" i="49"/>
  <c r="AQ2009" i="49"/>
  <c r="AR2009" i="49"/>
  <c r="AS2009" i="49"/>
  <c r="AT2009" i="49"/>
  <c r="AO2010" i="49"/>
  <c r="AP2010" i="49"/>
  <c r="AQ2010" i="49"/>
  <c r="AR2010" i="49"/>
  <c r="AS2010" i="49"/>
  <c r="AT2010" i="49"/>
  <c r="AO2011" i="49"/>
  <c r="AP2011" i="49"/>
  <c r="AQ2011" i="49"/>
  <c r="AR2011" i="49"/>
  <c r="AS2011" i="49"/>
  <c r="AT2011" i="49"/>
  <c r="AO2012" i="49"/>
  <c r="AP2012" i="49"/>
  <c r="AQ2012" i="49"/>
  <c r="AR2012" i="49"/>
  <c r="AS2012" i="49"/>
  <c r="AT2012" i="49"/>
  <c r="AO2013" i="49"/>
  <c r="AP2013" i="49"/>
  <c r="AQ2013" i="49"/>
  <c r="AR2013" i="49"/>
  <c r="AS2013" i="49"/>
  <c r="AT2013" i="49"/>
  <c r="AO2014" i="49"/>
  <c r="AP2014" i="49"/>
  <c r="AQ2014" i="49"/>
  <c r="AR2014" i="49"/>
  <c r="AS2014" i="49"/>
  <c r="AT2014" i="49"/>
  <c r="AO2015" i="49"/>
  <c r="AP2015" i="49"/>
  <c r="AQ2015" i="49"/>
  <c r="AR2015" i="49"/>
  <c r="AS2015" i="49"/>
  <c r="AT2015" i="49"/>
  <c r="AO2016" i="49"/>
  <c r="AP2016" i="49"/>
  <c r="AQ2016" i="49"/>
  <c r="AR2016" i="49"/>
  <c r="AS2016" i="49"/>
  <c r="AT2016" i="49"/>
  <c r="AO2017" i="49"/>
  <c r="AP2017" i="49"/>
  <c r="AQ2017" i="49"/>
  <c r="AR2017" i="49"/>
  <c r="AS2017" i="49"/>
  <c r="AT2017" i="49"/>
  <c r="AO2018" i="49"/>
  <c r="AP2018" i="49"/>
  <c r="AQ2018" i="49"/>
  <c r="AR2018" i="49"/>
  <c r="AS2018" i="49"/>
  <c r="AT2018" i="49"/>
  <c r="AO2019" i="49"/>
  <c r="AP2019" i="49"/>
  <c r="AQ2019" i="49"/>
  <c r="AR2019" i="49"/>
  <c r="AS2019" i="49"/>
  <c r="AT2019" i="49"/>
  <c r="AO2020" i="49"/>
  <c r="AP2020" i="49"/>
  <c r="AQ2020" i="49"/>
  <c r="AR2020" i="49"/>
  <c r="AS2020" i="49"/>
  <c r="AT2020" i="49"/>
  <c r="AO2021" i="49"/>
  <c r="AP2021" i="49"/>
  <c r="AQ2021" i="49"/>
  <c r="AR2021" i="49"/>
  <c r="AS2021" i="49"/>
  <c r="AT2021" i="49"/>
  <c r="AO2022" i="49"/>
  <c r="AP2022" i="49"/>
  <c r="AQ2022" i="49"/>
  <c r="AR2022" i="49"/>
  <c r="AS2022" i="49"/>
  <c r="AT2022" i="49"/>
  <c r="AO2023" i="49"/>
  <c r="AP2023" i="49"/>
  <c r="AQ2023" i="49"/>
  <c r="AR2023" i="49"/>
  <c r="AS2023" i="49"/>
  <c r="AT2023" i="49"/>
  <c r="AO2024" i="49"/>
  <c r="AP2024" i="49"/>
  <c r="AQ2024" i="49"/>
  <c r="AR2024" i="49"/>
  <c r="AS2024" i="49"/>
  <c r="AT2024" i="49"/>
  <c r="AO2025" i="49"/>
  <c r="AP2025" i="49"/>
  <c r="AQ2025" i="49"/>
  <c r="AR2025" i="49"/>
  <c r="AS2025" i="49"/>
  <c r="AT2025" i="49"/>
  <c r="AO2026" i="49"/>
  <c r="AP2026" i="49"/>
  <c r="AQ2026" i="49"/>
  <c r="AR2026" i="49"/>
  <c r="AS2026" i="49"/>
  <c r="AT2026" i="49"/>
  <c r="AO2027" i="49"/>
  <c r="AP2027" i="49"/>
  <c r="AQ2027" i="49"/>
  <c r="AR2027" i="49"/>
  <c r="AS2027" i="49"/>
  <c r="AT2027" i="49"/>
  <c r="AO2028" i="49"/>
  <c r="AP2028" i="49"/>
  <c r="AQ2028" i="49"/>
  <c r="AR2028" i="49"/>
  <c r="AS2028" i="49"/>
  <c r="AT2028" i="49"/>
  <c r="AO2029" i="49"/>
  <c r="AP2029" i="49"/>
  <c r="AQ2029" i="49"/>
  <c r="AR2029" i="49"/>
  <c r="AS2029" i="49"/>
  <c r="AT2029" i="49"/>
  <c r="AO2030" i="49"/>
  <c r="AP2030" i="49"/>
  <c r="AQ2030" i="49"/>
  <c r="AR2030" i="49"/>
  <c r="AS2030" i="49"/>
  <c r="AT2030" i="49"/>
  <c r="AO2031" i="49"/>
  <c r="AP2031" i="49"/>
  <c r="AQ2031" i="49"/>
  <c r="AR2031" i="49"/>
  <c r="AS2031" i="49"/>
  <c r="AT2031" i="49"/>
  <c r="AO2032" i="49"/>
  <c r="AP2032" i="49"/>
  <c r="AQ2032" i="49"/>
  <c r="AR2032" i="49"/>
  <c r="AS2032" i="49"/>
  <c r="AT2032" i="49"/>
  <c r="AO2033" i="49"/>
  <c r="AP2033" i="49"/>
  <c r="AQ2033" i="49"/>
  <c r="AR2033" i="49"/>
  <c r="AS2033" i="49"/>
  <c r="AT2033" i="49"/>
  <c r="AO2034" i="49"/>
  <c r="AP2034" i="49"/>
  <c r="AQ2034" i="49"/>
  <c r="AR2034" i="49"/>
  <c r="AS2034" i="49"/>
  <c r="AT2034" i="49"/>
  <c r="AO2035" i="49"/>
  <c r="AP2035" i="49"/>
  <c r="AQ2035" i="49"/>
  <c r="AR2035" i="49"/>
  <c r="AS2035" i="49"/>
  <c r="AT2035" i="49"/>
  <c r="AO2036" i="49"/>
  <c r="AP2036" i="49"/>
  <c r="AQ2036" i="49"/>
  <c r="AR2036" i="49"/>
  <c r="AS2036" i="49"/>
  <c r="AT2036" i="49"/>
  <c r="AO2037" i="49"/>
  <c r="AP2037" i="49"/>
  <c r="AQ2037" i="49"/>
  <c r="AR2037" i="49"/>
  <c r="AS2037" i="49"/>
  <c r="AT2037" i="49"/>
  <c r="AO2038" i="49"/>
  <c r="AP2038" i="49"/>
  <c r="AQ2038" i="49"/>
  <c r="AR2038" i="49"/>
  <c r="AS2038" i="49"/>
  <c r="AT2038" i="49"/>
  <c r="AO2039" i="49"/>
  <c r="AP2039" i="49"/>
  <c r="AQ2039" i="49"/>
  <c r="AR2039" i="49"/>
  <c r="AS2039" i="49"/>
  <c r="AT2039" i="49"/>
  <c r="AO2040" i="49"/>
  <c r="AP2040" i="49"/>
  <c r="AQ2040" i="49"/>
  <c r="AR2040" i="49"/>
  <c r="AS2040" i="49"/>
  <c r="AT2040" i="49"/>
  <c r="AO2041" i="49"/>
  <c r="AP2041" i="49"/>
  <c r="AQ2041" i="49"/>
  <c r="AR2041" i="49"/>
  <c r="AS2041" i="49"/>
  <c r="AT2041" i="49"/>
  <c r="AO2042" i="49"/>
  <c r="AP2042" i="49"/>
  <c r="AQ2042" i="49"/>
  <c r="AR2042" i="49"/>
  <c r="AS2042" i="49"/>
  <c r="AT2042" i="49"/>
  <c r="AO2043" i="49"/>
  <c r="AP2043" i="49"/>
  <c r="AQ2043" i="49"/>
  <c r="AR2043" i="49"/>
  <c r="AS2043" i="49"/>
  <c r="AT2043" i="49"/>
  <c r="AO2044" i="49"/>
  <c r="AP2044" i="49"/>
  <c r="AQ2044" i="49"/>
  <c r="AR2044" i="49"/>
  <c r="AS2044" i="49"/>
  <c r="AT2044" i="49"/>
  <c r="AO2045" i="49"/>
  <c r="AP2045" i="49"/>
  <c r="AQ2045" i="49"/>
  <c r="AR2045" i="49"/>
  <c r="AS2045" i="49"/>
  <c r="AT2045" i="49"/>
  <c r="AO2046" i="49"/>
  <c r="AP2046" i="49"/>
  <c r="AQ2046" i="49"/>
  <c r="AR2046" i="49"/>
  <c r="AS2046" i="49"/>
  <c r="AT2046" i="49"/>
  <c r="AO2047" i="49"/>
  <c r="AP2047" i="49"/>
  <c r="AQ2047" i="49"/>
  <c r="AR2047" i="49"/>
  <c r="AS2047" i="49"/>
  <c r="AT2047" i="49"/>
  <c r="AO2048" i="49"/>
  <c r="AP2048" i="49"/>
  <c r="AQ2048" i="49"/>
  <c r="AR2048" i="49"/>
  <c r="AS2048" i="49"/>
  <c r="AT2048" i="49"/>
  <c r="AO2049" i="49"/>
  <c r="AP2049" i="49"/>
  <c r="AQ2049" i="49"/>
  <c r="AR2049" i="49"/>
  <c r="AS2049" i="49"/>
  <c r="AT2049" i="49"/>
  <c r="AO2050" i="49"/>
  <c r="AP2050" i="49"/>
  <c r="AQ2050" i="49"/>
  <c r="AR2050" i="49"/>
  <c r="AS2050" i="49"/>
  <c r="AT2050" i="49"/>
  <c r="AO2051" i="49"/>
  <c r="AP2051" i="49"/>
  <c r="AQ2051" i="49"/>
  <c r="AR2051" i="49"/>
  <c r="AS2051" i="49"/>
  <c r="AT2051" i="49"/>
  <c r="AO2052" i="49"/>
  <c r="AP2052" i="49"/>
  <c r="AQ2052" i="49"/>
  <c r="AR2052" i="49"/>
  <c r="AS2052" i="49"/>
  <c r="AT2052" i="49"/>
  <c r="AO2053" i="49"/>
  <c r="AP2053" i="49"/>
  <c r="AQ2053" i="49"/>
  <c r="AR2053" i="49"/>
  <c r="AS2053" i="49"/>
  <c r="AT2053" i="49"/>
  <c r="AO2054" i="49"/>
  <c r="AP2054" i="49"/>
  <c r="AQ2054" i="49"/>
  <c r="AR2054" i="49"/>
  <c r="AS2054" i="49"/>
  <c r="AT2054" i="49"/>
  <c r="AO2055" i="49"/>
  <c r="AP2055" i="49"/>
  <c r="AQ2055" i="49"/>
  <c r="AR2055" i="49"/>
  <c r="AS2055" i="49"/>
  <c r="AT2055" i="49"/>
  <c r="AO2056" i="49"/>
  <c r="AP2056" i="49"/>
  <c r="AQ2056" i="49"/>
  <c r="AR2056" i="49"/>
  <c r="AS2056" i="49"/>
  <c r="AT2056" i="49"/>
  <c r="AO2057" i="49"/>
  <c r="AP2057" i="49"/>
  <c r="AQ2057" i="49"/>
  <c r="AR2057" i="49"/>
  <c r="AS2057" i="49"/>
  <c r="AT2057" i="49"/>
  <c r="AO2058" i="49"/>
  <c r="AP2058" i="49"/>
  <c r="AQ2058" i="49"/>
  <c r="AR2058" i="49"/>
  <c r="AS2058" i="49"/>
  <c r="AT2058" i="49"/>
  <c r="AO2059" i="49"/>
  <c r="AP2059" i="49"/>
  <c r="AQ2059" i="49"/>
  <c r="AR2059" i="49"/>
  <c r="AS2059" i="49"/>
  <c r="AT2059" i="49"/>
  <c r="AO2060" i="49"/>
  <c r="AP2060" i="49"/>
  <c r="AQ2060" i="49"/>
  <c r="AR2060" i="49"/>
  <c r="AS2060" i="49"/>
  <c r="AT2060" i="49"/>
  <c r="AO2061" i="49"/>
  <c r="AP2061" i="49"/>
  <c r="AQ2061" i="49"/>
  <c r="AR2061" i="49"/>
  <c r="AS2061" i="49"/>
  <c r="AT2061" i="49"/>
  <c r="AO2062" i="49"/>
  <c r="AP2062" i="49"/>
  <c r="AQ2062" i="49"/>
  <c r="AR2062" i="49"/>
  <c r="AS2062" i="49"/>
  <c r="AT2062" i="49"/>
  <c r="AO2063" i="49"/>
  <c r="AP2063" i="49"/>
  <c r="AQ2063" i="49"/>
  <c r="AR2063" i="49"/>
  <c r="AS2063" i="49"/>
  <c r="AT2063" i="49"/>
  <c r="AO2064" i="49"/>
  <c r="AP2064" i="49"/>
  <c r="AQ2064" i="49"/>
  <c r="AR2064" i="49"/>
  <c r="AS2064" i="49"/>
  <c r="AT2064" i="49"/>
  <c r="AO2065" i="49"/>
  <c r="AP2065" i="49"/>
  <c r="AQ2065" i="49"/>
  <c r="AR2065" i="49"/>
  <c r="AS2065" i="49"/>
  <c r="AT2065" i="49"/>
  <c r="AO2066" i="49"/>
  <c r="AP2066" i="49"/>
  <c r="AQ2066" i="49"/>
  <c r="AR2066" i="49"/>
  <c r="AS2066" i="49"/>
  <c r="AT2066" i="49"/>
  <c r="AO2067" i="49"/>
  <c r="AP2067" i="49"/>
  <c r="AQ2067" i="49"/>
  <c r="AR2067" i="49"/>
  <c r="AS2067" i="49"/>
  <c r="AT2067" i="49"/>
  <c r="AO2068" i="49"/>
  <c r="AP2068" i="49"/>
  <c r="AQ2068" i="49"/>
  <c r="AR2068" i="49"/>
  <c r="AS2068" i="49"/>
  <c r="AT2068" i="49"/>
  <c r="AO2069" i="49"/>
  <c r="AP2069" i="49"/>
  <c r="AQ2069" i="49"/>
  <c r="AR2069" i="49"/>
  <c r="AS2069" i="49"/>
  <c r="AT2069" i="49"/>
  <c r="AO2070" i="49"/>
  <c r="AP2070" i="49"/>
  <c r="AQ2070" i="49"/>
  <c r="AR2070" i="49"/>
  <c r="AS2070" i="49"/>
  <c r="AT2070" i="49"/>
  <c r="AO2071" i="49"/>
  <c r="AP2071" i="49"/>
  <c r="AQ2071" i="49"/>
  <c r="AR2071" i="49"/>
  <c r="AS2071" i="49"/>
  <c r="AT2071" i="49"/>
  <c r="AO2072" i="49"/>
  <c r="AP2072" i="49"/>
  <c r="AQ2072" i="49"/>
  <c r="AR2072" i="49"/>
  <c r="AS2072" i="49"/>
  <c r="AT2072" i="49"/>
  <c r="AO2073" i="49"/>
  <c r="AP2073" i="49"/>
  <c r="AQ2073" i="49"/>
  <c r="AR2073" i="49"/>
  <c r="AS2073" i="49"/>
  <c r="AT2073" i="49"/>
  <c r="AO2074" i="49"/>
  <c r="AP2074" i="49"/>
  <c r="AQ2074" i="49"/>
  <c r="AR2074" i="49"/>
  <c r="AS2074" i="49"/>
  <c r="AT2074" i="49"/>
  <c r="AO2075" i="49"/>
  <c r="AP2075" i="49"/>
  <c r="AQ2075" i="49"/>
  <c r="AR2075" i="49"/>
  <c r="AS2075" i="49"/>
  <c r="AT2075" i="49"/>
  <c r="AO2076" i="49"/>
  <c r="AP2076" i="49"/>
  <c r="AQ2076" i="49"/>
  <c r="AR2076" i="49"/>
  <c r="AS2076" i="49"/>
  <c r="AT2076" i="49"/>
  <c r="AO2077" i="49"/>
  <c r="AP2077" i="49"/>
  <c r="AQ2077" i="49"/>
  <c r="AR2077" i="49"/>
  <c r="AS2077" i="49"/>
  <c r="AT2077" i="49"/>
  <c r="AO2078" i="49"/>
  <c r="AP2078" i="49"/>
  <c r="AQ2078" i="49"/>
  <c r="AR2078" i="49"/>
  <c r="AS2078" i="49"/>
  <c r="AT2078" i="49"/>
  <c r="AO2079" i="49"/>
  <c r="AP2079" i="49"/>
  <c r="AQ2079" i="49"/>
  <c r="AR2079" i="49"/>
  <c r="AS2079" i="49"/>
  <c r="AT2079" i="49"/>
  <c r="AO2080" i="49"/>
  <c r="AP2080" i="49"/>
  <c r="AQ2080" i="49"/>
  <c r="AR2080" i="49"/>
  <c r="AS2080" i="49"/>
  <c r="AT2080" i="49"/>
  <c r="AO2081" i="49"/>
  <c r="AP2081" i="49"/>
  <c r="AQ2081" i="49"/>
  <c r="AR2081" i="49"/>
  <c r="AS2081" i="49"/>
  <c r="AT2081" i="49"/>
  <c r="AO2082" i="49"/>
  <c r="AP2082" i="49"/>
  <c r="AQ2082" i="49"/>
  <c r="AR2082" i="49"/>
  <c r="AS2082" i="49"/>
  <c r="AT2082" i="49"/>
  <c r="AO2083" i="49"/>
  <c r="AP2083" i="49"/>
  <c r="AQ2083" i="49"/>
  <c r="AR2083" i="49"/>
  <c r="AS2083" i="49"/>
  <c r="AT2083" i="49"/>
  <c r="AO2084" i="49"/>
  <c r="AP2084" i="49"/>
  <c r="AQ2084" i="49"/>
  <c r="AR2084" i="49"/>
  <c r="AS2084" i="49"/>
  <c r="AT2084" i="49"/>
  <c r="AO2085" i="49"/>
  <c r="AP2085" i="49"/>
  <c r="AQ2085" i="49"/>
  <c r="AR2085" i="49"/>
  <c r="AS2085" i="49"/>
  <c r="AT2085" i="49"/>
  <c r="AO2086" i="49"/>
  <c r="AP2086" i="49"/>
  <c r="AQ2086" i="49"/>
  <c r="AR2086" i="49"/>
  <c r="AS2086" i="49"/>
  <c r="AT2086" i="49"/>
  <c r="AO2087" i="49"/>
  <c r="AP2087" i="49"/>
  <c r="AQ2087" i="49"/>
  <c r="AR2087" i="49"/>
  <c r="AS2087" i="49"/>
  <c r="AT2087" i="49"/>
  <c r="AO2088" i="49"/>
  <c r="AP2088" i="49"/>
  <c r="AQ2088" i="49"/>
  <c r="AR2088" i="49"/>
  <c r="AS2088" i="49"/>
  <c r="AT2088" i="49"/>
  <c r="AO2089" i="49"/>
  <c r="AP2089" i="49"/>
  <c r="AQ2089" i="49"/>
  <c r="AR2089" i="49"/>
  <c r="AS2089" i="49"/>
  <c r="AT2089" i="49"/>
  <c r="AO2090" i="49"/>
  <c r="AP2090" i="49"/>
  <c r="AQ2090" i="49"/>
  <c r="AR2090" i="49"/>
  <c r="AS2090" i="49"/>
  <c r="AT2090" i="49"/>
  <c r="AO2091" i="49"/>
  <c r="AP2091" i="49"/>
  <c r="AQ2091" i="49"/>
  <c r="AR2091" i="49"/>
  <c r="AS2091" i="49"/>
  <c r="AT2091" i="49"/>
  <c r="AO2092" i="49"/>
  <c r="AP2092" i="49"/>
  <c r="AQ2092" i="49"/>
  <c r="AR2092" i="49"/>
  <c r="AS2092" i="49"/>
  <c r="AT2092" i="49"/>
  <c r="AO2093" i="49"/>
  <c r="AP2093" i="49"/>
  <c r="AQ2093" i="49"/>
  <c r="AR2093" i="49"/>
  <c r="AS2093" i="49"/>
  <c r="AT2093" i="49"/>
  <c r="AO2094" i="49"/>
  <c r="AP2094" i="49"/>
  <c r="AQ2094" i="49"/>
  <c r="AR2094" i="49"/>
  <c r="AS2094" i="49"/>
  <c r="AT2094" i="49"/>
  <c r="AO2095" i="49"/>
  <c r="AP2095" i="49"/>
  <c r="AQ2095" i="49"/>
  <c r="AR2095" i="49"/>
  <c r="AS2095" i="49"/>
  <c r="AT2095" i="49"/>
  <c r="AO2096" i="49"/>
  <c r="AP2096" i="49"/>
  <c r="AQ2096" i="49"/>
  <c r="AR2096" i="49"/>
  <c r="AS2096" i="49"/>
  <c r="AT2096" i="49"/>
  <c r="AO2097" i="49"/>
  <c r="AP2097" i="49"/>
  <c r="AQ2097" i="49"/>
  <c r="AR2097" i="49"/>
  <c r="AS2097" i="49"/>
  <c r="AT2097" i="49"/>
  <c r="AO2098" i="49"/>
  <c r="AP2098" i="49"/>
  <c r="AQ2098" i="49"/>
  <c r="AR2098" i="49"/>
  <c r="AS2098" i="49"/>
  <c r="AT2098" i="49"/>
  <c r="AO2099" i="49"/>
  <c r="AP2099" i="49"/>
  <c r="AQ2099" i="49"/>
  <c r="AR2099" i="49"/>
  <c r="AS2099" i="49"/>
  <c r="AT2099" i="49"/>
  <c r="AO2100" i="49"/>
  <c r="AP2100" i="49"/>
  <c r="AQ2100" i="49"/>
  <c r="AR2100" i="49"/>
  <c r="AS2100" i="49"/>
  <c r="AT2100" i="49"/>
  <c r="AO2101" i="49"/>
  <c r="AP2101" i="49"/>
  <c r="AQ2101" i="49"/>
  <c r="AR2101" i="49"/>
  <c r="AS2101" i="49"/>
  <c r="AT2101" i="49"/>
  <c r="AO2102" i="49"/>
  <c r="AP2102" i="49"/>
  <c r="AQ2102" i="49"/>
  <c r="AR2102" i="49"/>
  <c r="AS2102" i="49"/>
  <c r="AT2102" i="49"/>
  <c r="AO2103" i="49"/>
  <c r="AP2103" i="49"/>
  <c r="AQ2103" i="49"/>
  <c r="AR2103" i="49"/>
  <c r="AS2103" i="49"/>
  <c r="AT2103" i="49"/>
  <c r="AO2104" i="49"/>
  <c r="AP2104" i="49"/>
  <c r="AQ2104" i="49"/>
  <c r="AR2104" i="49"/>
  <c r="AS2104" i="49"/>
  <c r="AT2104" i="49"/>
  <c r="AO2105" i="49"/>
  <c r="AP2105" i="49"/>
  <c r="AQ2105" i="49"/>
  <c r="AR2105" i="49"/>
  <c r="AS2105" i="49"/>
  <c r="AT2105" i="49"/>
  <c r="AO2106" i="49"/>
  <c r="AP2106" i="49"/>
  <c r="AQ2106" i="49"/>
  <c r="AR2106" i="49"/>
  <c r="AS2106" i="49"/>
  <c r="AT2106" i="49"/>
  <c r="AO2107" i="49"/>
  <c r="AP2107" i="49"/>
  <c r="AQ2107" i="49"/>
  <c r="AR2107" i="49"/>
  <c r="AS2107" i="49"/>
  <c r="AT2107" i="49"/>
  <c r="AO2108" i="49"/>
  <c r="AP2108" i="49"/>
  <c r="AQ2108" i="49"/>
  <c r="AR2108" i="49"/>
  <c r="AS2108" i="49"/>
  <c r="AT2108" i="49"/>
  <c r="AO2109" i="49"/>
  <c r="AP2109" i="49"/>
  <c r="AQ2109" i="49"/>
  <c r="AR2109" i="49"/>
  <c r="AS2109" i="49"/>
  <c r="AT2109" i="49"/>
  <c r="AO2110" i="49"/>
  <c r="AP2110" i="49"/>
  <c r="AQ2110" i="49"/>
  <c r="AR2110" i="49"/>
  <c r="AS2110" i="49"/>
  <c r="AT2110" i="49"/>
  <c r="AO2111" i="49"/>
  <c r="AP2111" i="49"/>
  <c r="AQ2111" i="49"/>
  <c r="AR2111" i="49"/>
  <c r="AS2111" i="49"/>
  <c r="AT2111" i="49"/>
  <c r="AO2112" i="49"/>
  <c r="AP2112" i="49"/>
  <c r="AQ2112" i="49"/>
  <c r="AR2112" i="49"/>
  <c r="AS2112" i="49"/>
  <c r="AT2112" i="49"/>
  <c r="AO2113" i="49"/>
  <c r="AP2113" i="49"/>
  <c r="AQ2113" i="49"/>
  <c r="AR2113" i="49"/>
  <c r="AS2113" i="49"/>
  <c r="AT2113" i="49"/>
  <c r="AO2114" i="49"/>
  <c r="AP2114" i="49"/>
  <c r="AQ2114" i="49"/>
  <c r="AR2114" i="49"/>
  <c r="AS2114" i="49"/>
  <c r="AT2114" i="49"/>
  <c r="AO2115" i="49"/>
  <c r="AP2115" i="49"/>
  <c r="AQ2115" i="49"/>
  <c r="AR2115" i="49"/>
  <c r="AS2115" i="49"/>
  <c r="AT2115" i="49"/>
  <c r="AO2116" i="49"/>
  <c r="AP2116" i="49"/>
  <c r="AQ2116" i="49"/>
  <c r="AR2116" i="49"/>
  <c r="AS2116" i="49"/>
  <c r="AT2116" i="49"/>
  <c r="AO2117" i="49"/>
  <c r="AP2117" i="49"/>
  <c r="AQ2117" i="49"/>
  <c r="AR2117" i="49"/>
  <c r="AS2117" i="49"/>
  <c r="AT2117" i="49"/>
  <c r="AO2118" i="49"/>
  <c r="AP2118" i="49"/>
  <c r="AQ2118" i="49"/>
  <c r="AR2118" i="49"/>
  <c r="AS2118" i="49"/>
  <c r="AT2118" i="49"/>
  <c r="AO2119" i="49"/>
  <c r="AP2119" i="49"/>
  <c r="AQ2119" i="49"/>
  <c r="AR2119" i="49"/>
  <c r="AS2119" i="49"/>
  <c r="AT2119" i="49"/>
  <c r="AO2120" i="49"/>
  <c r="AP2120" i="49"/>
  <c r="AQ2120" i="49"/>
  <c r="AR2120" i="49"/>
  <c r="AS2120" i="49"/>
  <c r="AT2120" i="49"/>
  <c r="AO2121" i="49"/>
  <c r="AP2121" i="49"/>
  <c r="AQ2121" i="49"/>
  <c r="AR2121" i="49"/>
  <c r="AS2121" i="49"/>
  <c r="AT2121" i="49"/>
  <c r="AO2122" i="49"/>
  <c r="AP2122" i="49"/>
  <c r="AQ2122" i="49"/>
  <c r="AR2122" i="49"/>
  <c r="AS2122" i="49"/>
  <c r="AT2122" i="49"/>
  <c r="AO2123" i="49"/>
  <c r="AP2123" i="49"/>
  <c r="AQ2123" i="49"/>
  <c r="AR2123" i="49"/>
  <c r="AS2123" i="49"/>
  <c r="AT2123" i="49"/>
  <c r="AO2124" i="49"/>
  <c r="AP2124" i="49"/>
  <c r="AQ2124" i="49"/>
  <c r="AR2124" i="49"/>
  <c r="AS2124" i="49"/>
  <c r="AT2124" i="49"/>
  <c r="AO2125" i="49"/>
  <c r="AP2125" i="49"/>
  <c r="AQ2125" i="49"/>
  <c r="AR2125" i="49"/>
  <c r="AS2125" i="49"/>
  <c r="AT2125" i="49"/>
  <c r="AO2126" i="49"/>
  <c r="AP2126" i="49"/>
  <c r="AQ2126" i="49"/>
  <c r="AR2126" i="49"/>
  <c r="AS2126" i="49"/>
  <c r="AT2126" i="49"/>
  <c r="AO2127" i="49"/>
  <c r="AP2127" i="49"/>
  <c r="AQ2127" i="49"/>
  <c r="AR2127" i="49"/>
  <c r="AS2127" i="49"/>
  <c r="AT2127" i="49"/>
  <c r="AO2128" i="49"/>
  <c r="AP2128" i="49"/>
  <c r="AQ2128" i="49"/>
  <c r="AR2128" i="49"/>
  <c r="AS2128" i="49"/>
  <c r="AT2128" i="49"/>
  <c r="AO2129" i="49"/>
  <c r="AP2129" i="49"/>
  <c r="AQ2129" i="49"/>
  <c r="AR2129" i="49"/>
  <c r="AS2129" i="49"/>
  <c r="AT2129" i="49"/>
  <c r="AO2130" i="49"/>
  <c r="AP2130" i="49"/>
  <c r="AQ2130" i="49"/>
  <c r="AR2130" i="49"/>
  <c r="AS2130" i="49"/>
  <c r="AT2130" i="49"/>
  <c r="AO2131" i="49"/>
  <c r="AP2131" i="49"/>
  <c r="AQ2131" i="49"/>
  <c r="AR2131" i="49"/>
  <c r="AS2131" i="49"/>
  <c r="AT2131" i="49"/>
  <c r="AO2132" i="49"/>
  <c r="AP2132" i="49"/>
  <c r="AQ2132" i="49"/>
  <c r="AR2132" i="49"/>
  <c r="AS2132" i="49"/>
  <c r="AT2132" i="49"/>
  <c r="AO2133" i="49"/>
  <c r="AP2133" i="49"/>
  <c r="AQ2133" i="49"/>
  <c r="AR2133" i="49"/>
  <c r="AS2133" i="49"/>
  <c r="AT2133" i="49"/>
  <c r="AO2134" i="49"/>
  <c r="AP2134" i="49"/>
  <c r="AQ2134" i="49"/>
  <c r="AR2134" i="49"/>
  <c r="AS2134" i="49"/>
  <c r="AT2134" i="49"/>
  <c r="AO2135" i="49"/>
  <c r="AP2135" i="49"/>
  <c r="AQ2135" i="49"/>
  <c r="AR2135" i="49"/>
  <c r="AS2135" i="49"/>
  <c r="AT2135" i="49"/>
  <c r="AO2136" i="49"/>
  <c r="AP2136" i="49"/>
  <c r="AQ2136" i="49"/>
  <c r="AR2136" i="49"/>
  <c r="AS2136" i="49"/>
  <c r="AT2136" i="49"/>
  <c r="AO2137" i="49"/>
  <c r="AP2137" i="49"/>
  <c r="AQ2137" i="49"/>
  <c r="AR2137" i="49"/>
  <c r="AS2137" i="49"/>
  <c r="AT2137" i="49"/>
  <c r="AO2138" i="49"/>
  <c r="AP2138" i="49"/>
  <c r="AQ2138" i="49"/>
  <c r="AR2138" i="49"/>
  <c r="AS2138" i="49"/>
  <c r="AT2138" i="49"/>
  <c r="AO2139" i="49"/>
  <c r="AP2139" i="49"/>
  <c r="AQ2139" i="49"/>
  <c r="AR2139" i="49"/>
  <c r="AS2139" i="49"/>
  <c r="AT2139" i="49"/>
  <c r="AO2140" i="49"/>
  <c r="AP2140" i="49"/>
  <c r="AQ2140" i="49"/>
  <c r="AR2140" i="49"/>
  <c r="AS2140" i="49"/>
  <c r="AT2140" i="49"/>
  <c r="AO2141" i="49"/>
  <c r="AP2141" i="49"/>
  <c r="AQ2141" i="49"/>
  <c r="AR2141" i="49"/>
  <c r="AS2141" i="49"/>
  <c r="AT2141" i="49"/>
  <c r="AO2142" i="49"/>
  <c r="AP2142" i="49"/>
  <c r="AQ2142" i="49"/>
  <c r="AR2142" i="49"/>
  <c r="AS2142" i="49"/>
  <c r="AT2142" i="49"/>
  <c r="AO2143" i="49"/>
  <c r="AP2143" i="49"/>
  <c r="AQ2143" i="49"/>
  <c r="AR2143" i="49"/>
  <c r="AS2143" i="49"/>
  <c r="AT2143" i="49"/>
  <c r="AO2144" i="49"/>
  <c r="AP2144" i="49"/>
  <c r="AQ2144" i="49"/>
  <c r="AR2144" i="49"/>
  <c r="AS2144" i="49"/>
  <c r="AT2144" i="49"/>
  <c r="AO2145" i="49"/>
  <c r="AP2145" i="49"/>
  <c r="AQ2145" i="49"/>
  <c r="AR2145" i="49"/>
  <c r="AS2145" i="49"/>
  <c r="AT2145" i="49"/>
  <c r="AO2146" i="49"/>
  <c r="AP2146" i="49"/>
  <c r="AQ2146" i="49"/>
  <c r="AR2146" i="49"/>
  <c r="AS2146" i="49"/>
  <c r="AT2146" i="49"/>
  <c r="AO2147" i="49"/>
  <c r="AP2147" i="49"/>
  <c r="AQ2147" i="49"/>
  <c r="AR2147" i="49"/>
  <c r="AS2147" i="49"/>
  <c r="AT2147" i="49"/>
  <c r="AO2148" i="49"/>
  <c r="AP2148" i="49"/>
  <c r="AQ2148" i="49"/>
  <c r="AR2148" i="49"/>
  <c r="AS2148" i="49"/>
  <c r="AT2148" i="49"/>
  <c r="AO2149" i="49"/>
  <c r="AP2149" i="49"/>
  <c r="AQ2149" i="49"/>
  <c r="AR2149" i="49"/>
  <c r="AS2149" i="49"/>
  <c r="AT2149" i="49"/>
  <c r="AO2150" i="49"/>
  <c r="AP2150" i="49"/>
  <c r="AQ2150" i="49"/>
  <c r="AR2150" i="49"/>
  <c r="AS2150" i="49"/>
  <c r="AT2150" i="49"/>
  <c r="AO2151" i="49"/>
  <c r="AP2151" i="49"/>
  <c r="AQ2151" i="49"/>
  <c r="AR2151" i="49"/>
  <c r="AS2151" i="49"/>
  <c r="AT2151" i="49"/>
  <c r="AO2152" i="49"/>
  <c r="AP2152" i="49"/>
  <c r="AQ2152" i="49"/>
  <c r="AR2152" i="49"/>
  <c r="AS2152" i="49"/>
  <c r="AT2152" i="49"/>
  <c r="AO2153" i="49"/>
  <c r="AP2153" i="49"/>
  <c r="AQ2153" i="49"/>
  <c r="AR2153" i="49"/>
  <c r="AS2153" i="49"/>
  <c r="AT2153" i="49"/>
  <c r="AO2154" i="49"/>
  <c r="AP2154" i="49"/>
  <c r="AQ2154" i="49"/>
  <c r="AR2154" i="49"/>
  <c r="AS2154" i="49"/>
  <c r="AT2154" i="49"/>
  <c r="AO2155" i="49"/>
  <c r="AP2155" i="49"/>
  <c r="AQ2155" i="49"/>
  <c r="AR2155" i="49"/>
  <c r="AS2155" i="49"/>
  <c r="AT2155" i="49"/>
  <c r="AO2156" i="49"/>
  <c r="AP2156" i="49"/>
  <c r="AQ2156" i="49"/>
  <c r="AR2156" i="49"/>
  <c r="AS2156" i="49"/>
  <c r="AT2156" i="49"/>
  <c r="AO2157" i="49"/>
  <c r="AP2157" i="49"/>
  <c r="AQ2157" i="49"/>
  <c r="AR2157" i="49"/>
  <c r="AS2157" i="49"/>
  <c r="AT2157" i="49"/>
  <c r="AO2158" i="49"/>
  <c r="AP2158" i="49"/>
  <c r="AQ2158" i="49"/>
  <c r="AR2158" i="49"/>
  <c r="AS2158" i="49"/>
  <c r="AT2158" i="49"/>
  <c r="AO2159" i="49"/>
  <c r="AP2159" i="49"/>
  <c r="AQ2159" i="49"/>
  <c r="AR2159" i="49"/>
  <c r="AS2159" i="49"/>
  <c r="AT2159" i="49"/>
  <c r="AO2160" i="49"/>
  <c r="AP2160" i="49"/>
  <c r="AQ2160" i="49"/>
  <c r="AR2160" i="49"/>
  <c r="AS2160" i="49"/>
  <c r="AT2160" i="49"/>
  <c r="AO2161" i="49"/>
  <c r="AP2161" i="49"/>
  <c r="AQ2161" i="49"/>
  <c r="AR2161" i="49"/>
  <c r="AS2161" i="49"/>
  <c r="AT2161" i="49"/>
  <c r="AO2162" i="49"/>
  <c r="AP2162" i="49"/>
  <c r="AQ2162" i="49"/>
  <c r="AR2162" i="49"/>
  <c r="AS2162" i="49"/>
  <c r="AT2162" i="49"/>
  <c r="AO2163" i="49"/>
  <c r="AP2163" i="49"/>
  <c r="AQ2163" i="49"/>
  <c r="AR2163" i="49"/>
  <c r="AS2163" i="49"/>
  <c r="AT2163" i="49"/>
  <c r="AO2164" i="49"/>
  <c r="AP2164" i="49"/>
  <c r="AQ2164" i="49"/>
  <c r="AR2164" i="49"/>
  <c r="AS2164" i="49"/>
  <c r="AT2164" i="49"/>
  <c r="AO2165" i="49"/>
  <c r="AP2165" i="49"/>
  <c r="AQ2165" i="49"/>
  <c r="AR2165" i="49"/>
  <c r="AS2165" i="49"/>
  <c r="AT2165" i="49"/>
  <c r="AO2166" i="49"/>
  <c r="AP2166" i="49"/>
  <c r="AQ2166" i="49"/>
  <c r="AR2166" i="49"/>
  <c r="AS2166" i="49"/>
  <c r="AT2166" i="49"/>
  <c r="AO2167" i="49"/>
  <c r="AP2167" i="49"/>
  <c r="AQ2167" i="49"/>
  <c r="AR2167" i="49"/>
  <c r="AS2167" i="49"/>
  <c r="AT2167" i="49"/>
  <c r="AO2168" i="49"/>
  <c r="AP2168" i="49"/>
  <c r="AQ2168" i="49"/>
  <c r="AR2168" i="49"/>
  <c r="AS2168" i="49"/>
  <c r="AT2168" i="49"/>
  <c r="AO2169" i="49"/>
  <c r="AP2169" i="49"/>
  <c r="AQ2169" i="49"/>
  <c r="AR2169" i="49"/>
  <c r="AS2169" i="49"/>
  <c r="AT2169" i="49"/>
  <c r="AO2170" i="49"/>
  <c r="AP2170" i="49"/>
  <c r="AQ2170" i="49"/>
  <c r="AR2170" i="49"/>
  <c r="AS2170" i="49"/>
  <c r="AT2170" i="49"/>
  <c r="AO2171" i="49"/>
  <c r="AP2171" i="49"/>
  <c r="AQ2171" i="49"/>
  <c r="AR2171" i="49"/>
  <c r="AS2171" i="49"/>
  <c r="AT2171" i="49"/>
  <c r="AO2172" i="49"/>
  <c r="AP2172" i="49"/>
  <c r="AQ2172" i="49"/>
  <c r="AR2172" i="49"/>
  <c r="AS2172" i="49"/>
  <c r="AT2172" i="49"/>
  <c r="AO2173" i="49"/>
  <c r="AP2173" i="49"/>
  <c r="AQ2173" i="49"/>
  <c r="AR2173" i="49"/>
  <c r="AS2173" i="49"/>
  <c r="AT2173" i="49"/>
  <c r="AO2174" i="49"/>
  <c r="AP2174" i="49"/>
  <c r="AQ2174" i="49"/>
  <c r="AR2174" i="49"/>
  <c r="AS2174" i="49"/>
  <c r="AT2174" i="49"/>
  <c r="AO2175" i="49"/>
  <c r="AP2175" i="49"/>
  <c r="AQ2175" i="49"/>
  <c r="AR2175" i="49"/>
  <c r="AS2175" i="49"/>
  <c r="AT2175" i="49"/>
  <c r="AO2176" i="49"/>
  <c r="AP2176" i="49"/>
  <c r="AQ2176" i="49"/>
  <c r="AR2176" i="49"/>
  <c r="AS2176" i="49"/>
  <c r="AT2176" i="49"/>
  <c r="AO2177" i="49"/>
  <c r="AP2177" i="49"/>
  <c r="AQ2177" i="49"/>
  <c r="AR2177" i="49"/>
  <c r="AS2177" i="49"/>
  <c r="AT2177" i="49"/>
  <c r="AO2178" i="49"/>
  <c r="AP2178" i="49"/>
  <c r="AQ2178" i="49"/>
  <c r="AR2178" i="49"/>
  <c r="AS2178" i="49"/>
  <c r="AT2178" i="49"/>
  <c r="AO2179" i="49"/>
  <c r="AP2179" i="49"/>
  <c r="AQ2179" i="49"/>
  <c r="AR2179" i="49"/>
  <c r="AS2179" i="49"/>
  <c r="AT2179" i="49"/>
  <c r="AO2180" i="49"/>
  <c r="AP2180" i="49"/>
  <c r="AQ2180" i="49"/>
  <c r="AR2180" i="49"/>
  <c r="AS2180" i="49"/>
  <c r="AT2180" i="49"/>
  <c r="AO2181" i="49"/>
  <c r="AP2181" i="49"/>
  <c r="AQ2181" i="49"/>
  <c r="AR2181" i="49"/>
  <c r="AS2181" i="49"/>
  <c r="AT2181" i="49"/>
  <c r="AO2182" i="49"/>
  <c r="AP2182" i="49"/>
  <c r="AQ2182" i="49"/>
  <c r="AR2182" i="49"/>
  <c r="AS2182" i="49"/>
  <c r="AT2182" i="49"/>
  <c r="AO2183" i="49"/>
  <c r="AP2183" i="49"/>
  <c r="AQ2183" i="49"/>
  <c r="AR2183" i="49"/>
  <c r="AS2183" i="49"/>
  <c r="AT2183" i="49"/>
  <c r="AO2184" i="49"/>
  <c r="AP2184" i="49"/>
  <c r="AQ2184" i="49"/>
  <c r="AR2184" i="49"/>
  <c r="AS2184" i="49"/>
  <c r="AT2184" i="49"/>
  <c r="AO2185" i="49"/>
  <c r="AP2185" i="49"/>
  <c r="AQ2185" i="49"/>
  <c r="AR2185" i="49"/>
  <c r="AS2185" i="49"/>
  <c r="AT2185" i="49"/>
  <c r="AO2186" i="49"/>
  <c r="AP2186" i="49"/>
  <c r="AQ2186" i="49"/>
  <c r="AR2186" i="49"/>
  <c r="AS2186" i="49"/>
  <c r="AT2186" i="49"/>
  <c r="AO2187" i="49"/>
  <c r="AP2187" i="49"/>
  <c r="AQ2187" i="49"/>
  <c r="AR2187" i="49"/>
  <c r="AS2187" i="49"/>
  <c r="AT2187" i="49"/>
  <c r="AO2188" i="49"/>
  <c r="AP2188" i="49"/>
  <c r="AQ2188" i="49"/>
  <c r="AR2188" i="49"/>
  <c r="AS2188" i="49"/>
  <c r="AT2188" i="49"/>
  <c r="AO2189" i="49"/>
  <c r="AP2189" i="49"/>
  <c r="AQ2189" i="49"/>
  <c r="AR2189" i="49"/>
  <c r="AS2189" i="49"/>
  <c r="AT2189" i="49"/>
  <c r="AO2190" i="49"/>
  <c r="AP2190" i="49"/>
  <c r="AQ2190" i="49"/>
  <c r="AR2190" i="49"/>
  <c r="AS2190" i="49"/>
  <c r="AT2190" i="49"/>
  <c r="AO2191" i="49"/>
  <c r="AP2191" i="49"/>
  <c r="AQ2191" i="49"/>
  <c r="AR2191" i="49"/>
  <c r="AS2191" i="49"/>
  <c r="AT2191" i="49"/>
  <c r="AO2192" i="49"/>
  <c r="AP2192" i="49"/>
  <c r="AQ2192" i="49"/>
  <c r="AR2192" i="49"/>
  <c r="AS2192" i="49"/>
  <c r="AT2192" i="49"/>
  <c r="AO2193" i="49"/>
  <c r="AP2193" i="49"/>
  <c r="AQ2193" i="49"/>
  <c r="AR2193" i="49"/>
  <c r="AS2193" i="49"/>
  <c r="AT2193" i="49"/>
  <c r="AO2194" i="49"/>
  <c r="AP2194" i="49"/>
  <c r="AQ2194" i="49"/>
  <c r="AR2194" i="49"/>
  <c r="AS2194" i="49"/>
  <c r="AT2194" i="49"/>
  <c r="AO2195" i="49"/>
  <c r="AP2195" i="49"/>
  <c r="AQ2195" i="49"/>
  <c r="AR2195" i="49"/>
  <c r="AS2195" i="49"/>
  <c r="AT2195" i="49"/>
  <c r="AO2196" i="49"/>
  <c r="AP2196" i="49"/>
  <c r="AQ2196" i="49"/>
  <c r="AR2196" i="49"/>
  <c r="AS2196" i="49"/>
  <c r="AT2196" i="49"/>
  <c r="AO2197" i="49"/>
  <c r="AP2197" i="49"/>
  <c r="AQ2197" i="49"/>
  <c r="AR2197" i="49"/>
  <c r="AS2197" i="49"/>
  <c r="AT2197" i="49"/>
  <c r="AO2198" i="49"/>
  <c r="AP2198" i="49"/>
  <c r="AQ2198" i="49"/>
  <c r="AR2198" i="49"/>
  <c r="AS2198" i="49"/>
  <c r="AT2198" i="49"/>
  <c r="AO2199" i="49"/>
  <c r="AP2199" i="49"/>
  <c r="AQ2199" i="49"/>
  <c r="AR2199" i="49"/>
  <c r="AS2199" i="49"/>
  <c r="AT2199" i="49"/>
  <c r="AO2200" i="49"/>
  <c r="AP2200" i="49"/>
  <c r="AQ2200" i="49"/>
  <c r="AR2200" i="49"/>
  <c r="AS2200" i="49"/>
  <c r="AT2200" i="49"/>
  <c r="AO2201" i="49"/>
  <c r="AP2201" i="49"/>
  <c r="AQ2201" i="49"/>
  <c r="AR2201" i="49"/>
  <c r="AS2201" i="49"/>
  <c r="AT2201" i="49"/>
  <c r="AO2202" i="49"/>
  <c r="AP2202" i="49"/>
  <c r="AQ2202" i="49"/>
  <c r="AR2202" i="49"/>
  <c r="AS2202" i="49"/>
  <c r="AT2202" i="49"/>
  <c r="AO2203" i="49"/>
  <c r="AP2203" i="49"/>
  <c r="AQ2203" i="49"/>
  <c r="AR2203" i="49"/>
  <c r="AS2203" i="49"/>
  <c r="AT2203" i="49"/>
  <c r="AO2204" i="49"/>
  <c r="AP2204" i="49"/>
  <c r="AQ2204" i="49"/>
  <c r="AR2204" i="49"/>
  <c r="AS2204" i="49"/>
  <c r="AT2204" i="49"/>
  <c r="AO2205" i="49"/>
  <c r="AP2205" i="49"/>
  <c r="AQ2205" i="49"/>
  <c r="AR2205" i="49"/>
  <c r="AS2205" i="49"/>
  <c r="AT2205" i="49"/>
  <c r="AO2206" i="49"/>
  <c r="AP2206" i="49"/>
  <c r="AQ2206" i="49"/>
  <c r="AR2206" i="49"/>
  <c r="AS2206" i="49"/>
  <c r="AT2206" i="49"/>
  <c r="AO2207" i="49"/>
  <c r="AP2207" i="49"/>
  <c r="AQ2207" i="49"/>
  <c r="AR2207" i="49"/>
  <c r="AS2207" i="49"/>
  <c r="AT2207" i="49"/>
  <c r="AO2208" i="49"/>
  <c r="AP2208" i="49"/>
  <c r="AQ2208" i="49"/>
  <c r="AR2208" i="49"/>
  <c r="AS2208" i="49"/>
  <c r="AT2208" i="49"/>
  <c r="AO2209" i="49"/>
  <c r="AP2209" i="49"/>
  <c r="AQ2209" i="49"/>
  <c r="AR2209" i="49"/>
  <c r="AS2209" i="49"/>
  <c r="AT2209" i="49"/>
  <c r="AO2210" i="49"/>
  <c r="AP2210" i="49"/>
  <c r="AQ2210" i="49"/>
  <c r="AR2210" i="49"/>
  <c r="AS2210" i="49"/>
  <c r="AT2210" i="49"/>
  <c r="AO2211" i="49"/>
  <c r="AP2211" i="49"/>
  <c r="AQ2211" i="49"/>
  <c r="AR2211" i="49"/>
  <c r="AS2211" i="49"/>
  <c r="AT2211" i="49"/>
  <c r="AO2212" i="49"/>
  <c r="AP2212" i="49"/>
  <c r="AQ2212" i="49"/>
  <c r="AR2212" i="49"/>
  <c r="AS2212" i="49"/>
  <c r="AT2212" i="49"/>
  <c r="AO2213" i="49"/>
  <c r="AP2213" i="49"/>
  <c r="AQ2213" i="49"/>
  <c r="AR2213" i="49"/>
  <c r="AS2213" i="49"/>
  <c r="AT2213" i="49"/>
  <c r="AO2214" i="49"/>
  <c r="AP2214" i="49"/>
  <c r="AQ2214" i="49"/>
  <c r="AR2214" i="49"/>
  <c r="AS2214" i="49"/>
  <c r="AT2214" i="49"/>
  <c r="AO2215" i="49"/>
  <c r="AP2215" i="49"/>
  <c r="AQ2215" i="49"/>
  <c r="AR2215" i="49"/>
  <c r="AS2215" i="49"/>
  <c r="AT2215" i="49"/>
  <c r="AO2216" i="49"/>
  <c r="AP2216" i="49"/>
  <c r="AQ2216" i="49"/>
  <c r="AR2216" i="49"/>
  <c r="AS2216" i="49"/>
  <c r="AT2216" i="49"/>
  <c r="AO2217" i="49"/>
  <c r="AP2217" i="49"/>
  <c r="AQ2217" i="49"/>
  <c r="AR2217" i="49"/>
  <c r="AS2217" i="49"/>
  <c r="AT2217" i="49"/>
  <c r="AO2218" i="49"/>
  <c r="AP2218" i="49"/>
  <c r="AQ2218" i="49"/>
  <c r="AR2218" i="49"/>
  <c r="AS2218" i="49"/>
  <c r="AT2218" i="49"/>
  <c r="AO2219" i="49"/>
  <c r="AP2219" i="49"/>
  <c r="AQ2219" i="49"/>
  <c r="AR2219" i="49"/>
  <c r="AS2219" i="49"/>
  <c r="AT2219" i="49"/>
  <c r="AO2220" i="49"/>
  <c r="AP2220" i="49"/>
  <c r="AQ2220" i="49"/>
  <c r="AR2220" i="49"/>
  <c r="AS2220" i="49"/>
  <c r="AT2220" i="49"/>
  <c r="AO2221" i="49"/>
  <c r="AP2221" i="49"/>
  <c r="AQ2221" i="49"/>
  <c r="AR2221" i="49"/>
  <c r="AS2221" i="49"/>
  <c r="AT2221" i="49"/>
  <c r="AO2222" i="49"/>
  <c r="AP2222" i="49"/>
  <c r="AQ2222" i="49"/>
  <c r="AR2222" i="49"/>
  <c r="AS2222" i="49"/>
  <c r="AT2222" i="49"/>
  <c r="AO2223" i="49"/>
  <c r="AP2223" i="49"/>
  <c r="AQ2223" i="49"/>
  <c r="AR2223" i="49"/>
  <c r="AS2223" i="49"/>
  <c r="AT2223" i="49"/>
  <c r="AO2224" i="49"/>
  <c r="AP2224" i="49"/>
  <c r="AQ2224" i="49"/>
  <c r="AR2224" i="49"/>
  <c r="AS2224" i="49"/>
  <c r="AT2224" i="49"/>
  <c r="AO2225" i="49"/>
  <c r="AP2225" i="49"/>
  <c r="AQ2225" i="49"/>
  <c r="AR2225" i="49"/>
  <c r="AS2225" i="49"/>
  <c r="AT2225" i="49"/>
  <c r="AO2226" i="49"/>
  <c r="AP2226" i="49"/>
  <c r="AQ2226" i="49"/>
  <c r="AR2226" i="49"/>
  <c r="AS2226" i="49"/>
  <c r="AT2226" i="49"/>
  <c r="AO2227" i="49"/>
  <c r="AP2227" i="49"/>
  <c r="AQ2227" i="49"/>
  <c r="AR2227" i="49"/>
  <c r="AS2227" i="49"/>
  <c r="AT2227" i="49"/>
  <c r="AO2228" i="49"/>
  <c r="AP2228" i="49"/>
  <c r="AQ2228" i="49"/>
  <c r="AR2228" i="49"/>
  <c r="AS2228" i="49"/>
  <c r="AT2228" i="49"/>
  <c r="AO2229" i="49"/>
  <c r="AP2229" i="49"/>
  <c r="AQ2229" i="49"/>
  <c r="AR2229" i="49"/>
  <c r="AS2229" i="49"/>
  <c r="AT2229" i="49"/>
  <c r="AO2230" i="49"/>
  <c r="AP2230" i="49"/>
  <c r="AQ2230" i="49"/>
  <c r="AR2230" i="49"/>
  <c r="AS2230" i="49"/>
  <c r="AT2230" i="49"/>
  <c r="AO2231" i="49"/>
  <c r="AP2231" i="49"/>
  <c r="AQ2231" i="49"/>
  <c r="AR2231" i="49"/>
  <c r="AS2231" i="49"/>
  <c r="AT2231" i="49"/>
  <c r="AO2232" i="49"/>
  <c r="AP2232" i="49"/>
  <c r="AQ2232" i="49"/>
  <c r="AR2232" i="49"/>
  <c r="AS2232" i="49"/>
  <c r="AT2232" i="49"/>
  <c r="AO2233" i="49"/>
  <c r="AP2233" i="49"/>
  <c r="AQ2233" i="49"/>
  <c r="AR2233" i="49"/>
  <c r="AS2233" i="49"/>
  <c r="AT2233" i="49"/>
  <c r="AO2234" i="49"/>
  <c r="AP2234" i="49"/>
  <c r="AQ2234" i="49"/>
  <c r="AR2234" i="49"/>
  <c r="AS2234" i="49"/>
  <c r="AT2234" i="49"/>
  <c r="AO2235" i="49"/>
  <c r="AP2235" i="49"/>
  <c r="AQ2235" i="49"/>
  <c r="AR2235" i="49"/>
  <c r="AS2235" i="49"/>
  <c r="AT2235" i="49"/>
  <c r="AO2236" i="49"/>
  <c r="AP2236" i="49"/>
  <c r="AQ2236" i="49"/>
  <c r="AR2236" i="49"/>
  <c r="AS2236" i="49"/>
  <c r="AT2236" i="49"/>
  <c r="AO2237" i="49"/>
  <c r="AP2237" i="49"/>
  <c r="AQ2237" i="49"/>
  <c r="AR2237" i="49"/>
  <c r="AS2237" i="49"/>
  <c r="AT2237" i="49"/>
  <c r="AO2238" i="49"/>
  <c r="AP2238" i="49"/>
  <c r="AQ2238" i="49"/>
  <c r="AR2238" i="49"/>
  <c r="AS2238" i="49"/>
  <c r="AT2238" i="49"/>
  <c r="AO2239" i="49"/>
  <c r="AP2239" i="49"/>
  <c r="AQ2239" i="49"/>
  <c r="AR2239" i="49"/>
  <c r="AS2239" i="49"/>
  <c r="AT2239" i="49"/>
  <c r="AO2240" i="49"/>
  <c r="AP2240" i="49"/>
  <c r="AQ2240" i="49"/>
  <c r="AR2240" i="49"/>
  <c r="AS2240" i="49"/>
  <c r="AT2240" i="49"/>
  <c r="AO2241" i="49"/>
  <c r="AP2241" i="49"/>
  <c r="AQ2241" i="49"/>
  <c r="AR2241" i="49"/>
  <c r="AS2241" i="49"/>
  <c r="AT2241" i="49"/>
  <c r="AO2242" i="49"/>
  <c r="AP2242" i="49"/>
  <c r="AQ2242" i="49"/>
  <c r="AR2242" i="49"/>
  <c r="AS2242" i="49"/>
  <c r="AT2242" i="49"/>
  <c r="AO2243" i="49"/>
  <c r="AP2243" i="49"/>
  <c r="AQ2243" i="49"/>
  <c r="AR2243" i="49"/>
  <c r="AS2243" i="49"/>
  <c r="AT2243" i="49"/>
  <c r="AO2244" i="49"/>
  <c r="AP2244" i="49"/>
  <c r="AQ2244" i="49"/>
  <c r="AR2244" i="49"/>
  <c r="AS2244" i="49"/>
  <c r="AT2244" i="49"/>
  <c r="AO2245" i="49"/>
  <c r="AP2245" i="49"/>
  <c r="AQ2245" i="49"/>
  <c r="AR2245" i="49"/>
  <c r="AS2245" i="49"/>
  <c r="AT2245" i="49"/>
  <c r="AO2246" i="49"/>
  <c r="AP2246" i="49"/>
  <c r="AQ2246" i="49"/>
  <c r="AR2246" i="49"/>
  <c r="AS2246" i="49"/>
  <c r="AT2246" i="49"/>
  <c r="AO2247" i="49"/>
  <c r="AP2247" i="49"/>
  <c r="AQ2247" i="49"/>
  <c r="AR2247" i="49"/>
  <c r="AS2247" i="49"/>
  <c r="AT2247" i="49"/>
  <c r="AO2248" i="49"/>
  <c r="AP2248" i="49"/>
  <c r="AQ2248" i="49"/>
  <c r="AR2248" i="49"/>
  <c r="AS2248" i="49"/>
  <c r="AT2248" i="49"/>
  <c r="AO2249" i="49"/>
  <c r="AP2249" i="49"/>
  <c r="AQ2249" i="49"/>
  <c r="AR2249" i="49"/>
  <c r="AS2249" i="49"/>
  <c r="AT2249" i="49"/>
  <c r="AO2250" i="49"/>
  <c r="AP2250" i="49"/>
  <c r="AQ2250" i="49"/>
  <c r="AR2250" i="49"/>
  <c r="AS2250" i="49"/>
  <c r="AT2250" i="49"/>
  <c r="AO2251" i="49"/>
  <c r="AP2251" i="49"/>
  <c r="AQ2251" i="49"/>
  <c r="AR2251" i="49"/>
  <c r="AS2251" i="49"/>
  <c r="AT2251" i="49"/>
  <c r="AO2252" i="49"/>
  <c r="AP2252" i="49"/>
  <c r="AQ2252" i="49"/>
  <c r="AR2252" i="49"/>
  <c r="AS2252" i="49"/>
  <c r="AT2252" i="49"/>
  <c r="AO2253" i="49"/>
  <c r="AP2253" i="49"/>
  <c r="AQ2253" i="49"/>
  <c r="AR2253" i="49"/>
  <c r="AS2253" i="49"/>
  <c r="AT2253" i="49"/>
  <c r="AO2254" i="49"/>
  <c r="AP2254" i="49"/>
  <c r="AQ2254" i="49"/>
  <c r="AR2254" i="49"/>
  <c r="AS2254" i="49"/>
  <c r="AT2254" i="49"/>
  <c r="AO2255" i="49"/>
  <c r="AP2255" i="49"/>
  <c r="AQ2255" i="49"/>
  <c r="AR2255" i="49"/>
  <c r="AS2255" i="49"/>
  <c r="AT2255" i="49"/>
  <c r="AO2256" i="49"/>
  <c r="AP2256" i="49"/>
  <c r="AQ2256" i="49"/>
  <c r="AR2256" i="49"/>
  <c r="AS2256" i="49"/>
  <c r="AT2256" i="49"/>
  <c r="AO2257" i="49"/>
  <c r="AP2257" i="49"/>
  <c r="AQ2257" i="49"/>
  <c r="AR2257" i="49"/>
  <c r="AS2257" i="49"/>
  <c r="AT2257" i="49"/>
  <c r="AO2258" i="49"/>
  <c r="AP2258" i="49"/>
  <c r="AQ2258" i="49"/>
  <c r="AR2258" i="49"/>
  <c r="AS2258" i="49"/>
  <c r="AT2258" i="49"/>
  <c r="AO2259" i="49"/>
  <c r="AP2259" i="49"/>
  <c r="AQ2259" i="49"/>
  <c r="AR2259" i="49"/>
  <c r="AS2259" i="49"/>
  <c r="AT2259" i="49"/>
  <c r="AO2260" i="49"/>
  <c r="AP2260" i="49"/>
  <c r="AQ2260" i="49"/>
  <c r="AR2260" i="49"/>
  <c r="AS2260" i="49"/>
  <c r="AT2260" i="49"/>
  <c r="AO2261" i="49"/>
  <c r="AP2261" i="49"/>
  <c r="AQ2261" i="49"/>
  <c r="AR2261" i="49"/>
  <c r="AS2261" i="49"/>
  <c r="AT2261" i="49"/>
  <c r="AO2262" i="49"/>
  <c r="AP2262" i="49"/>
  <c r="AQ2262" i="49"/>
  <c r="AR2262" i="49"/>
  <c r="AS2262" i="49"/>
  <c r="AT2262" i="49"/>
  <c r="AO2263" i="49"/>
  <c r="AP2263" i="49"/>
  <c r="AQ2263" i="49"/>
  <c r="AR2263" i="49"/>
  <c r="AS2263" i="49"/>
  <c r="AT2263" i="49"/>
  <c r="AO2264" i="49"/>
  <c r="AP2264" i="49"/>
  <c r="AQ2264" i="49"/>
  <c r="AR2264" i="49"/>
  <c r="AS2264" i="49"/>
  <c r="AT2264" i="49"/>
  <c r="AO2265" i="49"/>
  <c r="AP2265" i="49"/>
  <c r="AQ2265" i="49"/>
  <c r="AR2265" i="49"/>
  <c r="AS2265" i="49"/>
  <c r="AT2265" i="49"/>
  <c r="AO2266" i="49"/>
  <c r="AP2266" i="49"/>
  <c r="AQ2266" i="49"/>
  <c r="AR2266" i="49"/>
  <c r="AS2266" i="49"/>
  <c r="AT2266" i="49"/>
  <c r="AO2267" i="49"/>
  <c r="AP2267" i="49"/>
  <c r="AQ2267" i="49"/>
  <c r="AR2267" i="49"/>
  <c r="AS2267" i="49"/>
  <c r="AT2267" i="49"/>
  <c r="AO2268" i="49"/>
  <c r="AP2268" i="49"/>
  <c r="AQ2268" i="49"/>
  <c r="AR2268" i="49"/>
  <c r="AS2268" i="49"/>
  <c r="AT2268" i="49"/>
  <c r="AO2269" i="49"/>
  <c r="AP2269" i="49"/>
  <c r="AQ2269" i="49"/>
  <c r="AR2269" i="49"/>
  <c r="AS2269" i="49"/>
  <c r="AT2269" i="49"/>
  <c r="AO2270" i="49"/>
  <c r="AP2270" i="49"/>
  <c r="AQ2270" i="49"/>
  <c r="AR2270" i="49"/>
  <c r="AS2270" i="49"/>
  <c r="AT2270" i="49"/>
  <c r="AO2271" i="49"/>
  <c r="AP2271" i="49"/>
  <c r="AQ2271" i="49"/>
  <c r="AR2271" i="49"/>
  <c r="AS2271" i="49"/>
  <c r="AT2271" i="49"/>
  <c r="AO2272" i="49"/>
  <c r="AP2272" i="49"/>
  <c r="AQ2272" i="49"/>
  <c r="AR2272" i="49"/>
  <c r="AS2272" i="49"/>
  <c r="AT2272" i="49"/>
  <c r="AO2273" i="49"/>
  <c r="AP2273" i="49"/>
  <c r="AQ2273" i="49"/>
  <c r="AR2273" i="49"/>
  <c r="AS2273" i="49"/>
  <c r="AT2273" i="49"/>
  <c r="AO2274" i="49"/>
  <c r="AP2274" i="49"/>
  <c r="AQ2274" i="49"/>
  <c r="AR2274" i="49"/>
  <c r="AS2274" i="49"/>
  <c r="AT2274" i="49"/>
  <c r="AO2275" i="49"/>
  <c r="AP2275" i="49"/>
  <c r="AQ2275" i="49"/>
  <c r="AR2275" i="49"/>
  <c r="AS2275" i="49"/>
  <c r="AT2275" i="49"/>
  <c r="AO2276" i="49"/>
  <c r="AP2276" i="49"/>
  <c r="AQ2276" i="49"/>
  <c r="AR2276" i="49"/>
  <c r="AS2276" i="49"/>
  <c r="AT2276" i="49"/>
  <c r="AO2277" i="49"/>
  <c r="AP2277" i="49"/>
  <c r="AQ2277" i="49"/>
  <c r="AR2277" i="49"/>
  <c r="AS2277" i="49"/>
  <c r="AT2277" i="49"/>
  <c r="AO2278" i="49"/>
  <c r="AP2278" i="49"/>
  <c r="AQ2278" i="49"/>
  <c r="AR2278" i="49"/>
  <c r="AS2278" i="49"/>
  <c r="AT2278" i="49"/>
  <c r="AO2279" i="49"/>
  <c r="AP2279" i="49"/>
  <c r="AQ2279" i="49"/>
  <c r="AR2279" i="49"/>
  <c r="AS2279" i="49"/>
  <c r="AT2279" i="49"/>
  <c r="AO2280" i="49"/>
  <c r="AP2280" i="49"/>
  <c r="AQ2280" i="49"/>
  <c r="AR2280" i="49"/>
  <c r="AS2280" i="49"/>
  <c r="AT2280" i="49"/>
  <c r="AO2281" i="49"/>
  <c r="AP2281" i="49"/>
  <c r="AQ2281" i="49"/>
  <c r="AR2281" i="49"/>
  <c r="AS2281" i="49"/>
  <c r="AT2281" i="49"/>
  <c r="AO2282" i="49"/>
  <c r="AP2282" i="49"/>
  <c r="AQ2282" i="49"/>
  <c r="AR2282" i="49"/>
  <c r="AS2282" i="49"/>
  <c r="AT2282" i="49"/>
  <c r="AO2283" i="49"/>
  <c r="AP2283" i="49"/>
  <c r="AQ2283" i="49"/>
  <c r="AR2283" i="49"/>
  <c r="AS2283" i="49"/>
  <c r="AT2283" i="49"/>
  <c r="AO2284" i="49"/>
  <c r="AP2284" i="49"/>
  <c r="AQ2284" i="49"/>
  <c r="AR2284" i="49"/>
  <c r="AS2284" i="49"/>
  <c r="AT2284" i="49"/>
  <c r="AO2285" i="49"/>
  <c r="AP2285" i="49"/>
  <c r="AQ2285" i="49"/>
  <c r="AR2285" i="49"/>
  <c r="AS2285" i="49"/>
  <c r="AT2285" i="49"/>
  <c r="AO2286" i="49"/>
  <c r="AP2286" i="49"/>
  <c r="AQ2286" i="49"/>
  <c r="AR2286" i="49"/>
  <c r="AS2286" i="49"/>
  <c r="AT2286" i="49"/>
  <c r="AO2287" i="49"/>
  <c r="AP2287" i="49"/>
  <c r="AQ2287" i="49"/>
  <c r="AR2287" i="49"/>
  <c r="AS2287" i="49"/>
  <c r="AT2287" i="49"/>
  <c r="AO2288" i="49"/>
  <c r="AP2288" i="49"/>
  <c r="AQ2288" i="49"/>
  <c r="AR2288" i="49"/>
  <c r="AS2288" i="49"/>
  <c r="AT2288" i="49"/>
  <c r="AO2289" i="49"/>
  <c r="AP2289" i="49"/>
  <c r="AQ2289" i="49"/>
  <c r="AR2289" i="49"/>
  <c r="AS2289" i="49"/>
  <c r="AT2289" i="49"/>
  <c r="AO2290" i="49"/>
  <c r="AP2290" i="49"/>
  <c r="AQ2290" i="49"/>
  <c r="AR2290" i="49"/>
  <c r="AS2290" i="49"/>
  <c r="AT2290" i="49"/>
  <c r="AO2291" i="49"/>
  <c r="AP2291" i="49"/>
  <c r="AQ2291" i="49"/>
  <c r="AR2291" i="49"/>
  <c r="AS2291" i="49"/>
  <c r="AT2291" i="49"/>
  <c r="AO2292" i="49"/>
  <c r="AP2292" i="49"/>
  <c r="AQ2292" i="49"/>
  <c r="AR2292" i="49"/>
  <c r="AS2292" i="49"/>
  <c r="AT2292" i="49"/>
  <c r="AO2293" i="49"/>
  <c r="AP2293" i="49"/>
  <c r="AQ2293" i="49"/>
  <c r="AR2293" i="49"/>
  <c r="AS2293" i="49"/>
  <c r="AT2293" i="49"/>
  <c r="AO2294" i="49"/>
  <c r="AP2294" i="49"/>
  <c r="AQ2294" i="49"/>
  <c r="AR2294" i="49"/>
  <c r="AS2294" i="49"/>
  <c r="AT2294" i="49"/>
  <c r="AO2295" i="49"/>
  <c r="AP2295" i="49"/>
  <c r="AQ2295" i="49"/>
  <c r="AR2295" i="49"/>
  <c r="AS2295" i="49"/>
  <c r="AT2295" i="49"/>
  <c r="AO2296" i="49"/>
  <c r="AP2296" i="49"/>
  <c r="AQ2296" i="49"/>
  <c r="AR2296" i="49"/>
  <c r="AS2296" i="49"/>
  <c r="AT2296" i="49"/>
  <c r="AO2297" i="49"/>
  <c r="AP2297" i="49"/>
  <c r="AQ2297" i="49"/>
  <c r="AR2297" i="49"/>
  <c r="AS2297" i="49"/>
  <c r="AT2297" i="49"/>
  <c r="AO2298" i="49"/>
  <c r="AP2298" i="49"/>
  <c r="AQ2298" i="49"/>
  <c r="AR2298" i="49"/>
  <c r="AS2298" i="49"/>
  <c r="AT2298" i="49"/>
  <c r="AO2299" i="49"/>
  <c r="AP2299" i="49"/>
  <c r="AQ2299" i="49"/>
  <c r="AR2299" i="49"/>
  <c r="AS2299" i="49"/>
  <c r="AT2299" i="49"/>
  <c r="AO2300" i="49"/>
  <c r="AP2300" i="49"/>
  <c r="AQ2300" i="49"/>
  <c r="AR2300" i="49"/>
  <c r="AS2300" i="49"/>
  <c r="AT2300" i="49"/>
  <c r="AO2301" i="49"/>
  <c r="AP2301" i="49"/>
  <c r="AQ2301" i="49"/>
  <c r="AR2301" i="49"/>
  <c r="AS2301" i="49"/>
  <c r="AT2301" i="49"/>
  <c r="AO2302" i="49"/>
  <c r="AP2302" i="49"/>
  <c r="AQ2302" i="49"/>
  <c r="AR2302" i="49"/>
  <c r="AS2302" i="49"/>
  <c r="AT2302" i="49"/>
  <c r="AO2303" i="49"/>
  <c r="AP2303" i="49"/>
  <c r="AQ2303" i="49"/>
  <c r="AR2303" i="49"/>
  <c r="AS2303" i="49"/>
  <c r="AT2303" i="49"/>
  <c r="AO2304" i="49"/>
  <c r="AP2304" i="49"/>
  <c r="AQ2304" i="49"/>
  <c r="AR2304" i="49"/>
  <c r="AS2304" i="49"/>
  <c r="AT2304" i="49"/>
  <c r="AO2305" i="49"/>
  <c r="AP2305" i="49"/>
  <c r="AQ2305" i="49"/>
  <c r="AR2305" i="49"/>
  <c r="AS2305" i="49"/>
  <c r="AT2305" i="49"/>
  <c r="AO2306" i="49"/>
  <c r="AP2306" i="49"/>
  <c r="AQ2306" i="49"/>
  <c r="AR2306" i="49"/>
  <c r="AS2306" i="49"/>
  <c r="AT2306" i="49"/>
  <c r="AO2307" i="49"/>
  <c r="AP2307" i="49"/>
  <c r="AQ2307" i="49"/>
  <c r="AR2307" i="49"/>
  <c r="AS2307" i="49"/>
  <c r="AT2307" i="49"/>
  <c r="AO2308" i="49"/>
  <c r="AP2308" i="49"/>
  <c r="AQ2308" i="49"/>
  <c r="AR2308" i="49"/>
  <c r="AS2308" i="49"/>
  <c r="AT2308" i="49"/>
  <c r="AO2309" i="49"/>
  <c r="AP2309" i="49"/>
  <c r="AQ2309" i="49"/>
  <c r="AR2309" i="49"/>
  <c r="AS2309" i="49"/>
  <c r="AT2309" i="49"/>
  <c r="AO2310" i="49"/>
  <c r="AP2310" i="49"/>
  <c r="AQ2310" i="49"/>
  <c r="AR2310" i="49"/>
  <c r="AS2310" i="49"/>
  <c r="AT2310" i="49"/>
  <c r="AO2311" i="49"/>
  <c r="AP2311" i="49"/>
  <c r="AQ2311" i="49"/>
  <c r="AR2311" i="49"/>
  <c r="AS2311" i="49"/>
  <c r="AT2311" i="49"/>
  <c r="AO2312" i="49"/>
  <c r="AP2312" i="49"/>
  <c r="AQ2312" i="49"/>
  <c r="AR2312" i="49"/>
  <c r="AS2312" i="49"/>
  <c r="AT2312" i="49"/>
  <c r="AO2313" i="49"/>
  <c r="AP2313" i="49"/>
  <c r="AQ2313" i="49"/>
  <c r="AR2313" i="49"/>
  <c r="AS2313" i="49"/>
  <c r="AT2313" i="49"/>
  <c r="AO2314" i="49"/>
  <c r="AP2314" i="49"/>
  <c r="AQ2314" i="49"/>
  <c r="AR2314" i="49"/>
  <c r="AS2314" i="49"/>
  <c r="AT2314" i="49"/>
  <c r="AO2315" i="49"/>
  <c r="AP2315" i="49"/>
  <c r="AQ2315" i="49"/>
  <c r="AR2315" i="49"/>
  <c r="AS2315" i="49"/>
  <c r="AT2315" i="49"/>
  <c r="AO2316" i="49"/>
  <c r="AP2316" i="49"/>
  <c r="AQ2316" i="49"/>
  <c r="AR2316" i="49"/>
  <c r="AS2316" i="49"/>
  <c r="AT2316" i="49"/>
  <c r="AO2317" i="49"/>
  <c r="AP2317" i="49"/>
  <c r="AQ2317" i="49"/>
  <c r="AR2317" i="49"/>
  <c r="AS2317" i="49"/>
  <c r="AT2317" i="49"/>
  <c r="AO2318" i="49"/>
  <c r="AP2318" i="49"/>
  <c r="AQ2318" i="49"/>
  <c r="AR2318" i="49"/>
  <c r="AS2318" i="49"/>
  <c r="AT2318" i="49"/>
  <c r="AO2319" i="49"/>
  <c r="AP2319" i="49"/>
  <c r="AQ2319" i="49"/>
  <c r="AR2319" i="49"/>
  <c r="AS2319" i="49"/>
  <c r="AT2319" i="49"/>
  <c r="AO2320" i="49"/>
  <c r="AP2320" i="49"/>
  <c r="AQ2320" i="49"/>
  <c r="AR2320" i="49"/>
  <c r="AS2320" i="49"/>
  <c r="AT2320" i="49"/>
  <c r="AO2321" i="49"/>
  <c r="AP2321" i="49"/>
  <c r="AQ2321" i="49"/>
  <c r="AR2321" i="49"/>
  <c r="AS2321" i="49"/>
  <c r="AT2321" i="49"/>
  <c r="AO2322" i="49"/>
  <c r="AP2322" i="49"/>
  <c r="AQ2322" i="49"/>
  <c r="AR2322" i="49"/>
  <c r="AS2322" i="49"/>
  <c r="AT2322" i="49"/>
  <c r="AO2323" i="49"/>
  <c r="AP2323" i="49"/>
  <c r="AQ2323" i="49"/>
  <c r="AR2323" i="49"/>
  <c r="AS2323" i="49"/>
  <c r="AT2323" i="49"/>
  <c r="AO2324" i="49"/>
  <c r="AP2324" i="49"/>
  <c r="AQ2324" i="49"/>
  <c r="AR2324" i="49"/>
  <c r="AS2324" i="49"/>
  <c r="AT2324" i="49"/>
  <c r="AO2325" i="49"/>
  <c r="AP2325" i="49"/>
  <c r="AQ2325" i="49"/>
  <c r="AR2325" i="49"/>
  <c r="AS2325" i="49"/>
  <c r="AT2325" i="49"/>
  <c r="AO2326" i="49"/>
  <c r="AP2326" i="49"/>
  <c r="AQ2326" i="49"/>
  <c r="AR2326" i="49"/>
  <c r="AS2326" i="49"/>
  <c r="AT2326" i="49"/>
  <c r="AO2327" i="49"/>
  <c r="AP2327" i="49"/>
  <c r="AQ2327" i="49"/>
  <c r="AR2327" i="49"/>
  <c r="AS2327" i="49"/>
  <c r="AT2327" i="49"/>
  <c r="AO2328" i="49"/>
  <c r="AP2328" i="49"/>
  <c r="AQ2328" i="49"/>
  <c r="AR2328" i="49"/>
  <c r="AS2328" i="49"/>
  <c r="AT2328" i="49"/>
  <c r="AO2329" i="49"/>
  <c r="AP2329" i="49"/>
  <c r="AQ2329" i="49"/>
  <c r="AR2329" i="49"/>
  <c r="AS2329" i="49"/>
  <c r="AT2329" i="49"/>
  <c r="AO2330" i="49"/>
  <c r="AP2330" i="49"/>
  <c r="AQ2330" i="49"/>
  <c r="AR2330" i="49"/>
  <c r="AS2330" i="49"/>
  <c r="AT2330" i="49"/>
  <c r="AO2331" i="49"/>
  <c r="AP2331" i="49"/>
  <c r="AQ2331" i="49"/>
  <c r="AR2331" i="49"/>
  <c r="AS2331" i="49"/>
  <c r="AT2331" i="49"/>
  <c r="AO2332" i="49"/>
  <c r="AP2332" i="49"/>
  <c r="AQ2332" i="49"/>
  <c r="AR2332" i="49"/>
  <c r="AS2332" i="49"/>
  <c r="AT2332" i="49"/>
  <c r="AO2333" i="49"/>
  <c r="AP2333" i="49"/>
  <c r="AQ2333" i="49"/>
  <c r="AR2333" i="49"/>
  <c r="AS2333" i="49"/>
  <c r="AT2333" i="49"/>
  <c r="AO2334" i="49"/>
  <c r="AP2334" i="49"/>
  <c r="AQ2334" i="49"/>
  <c r="AR2334" i="49"/>
  <c r="AS2334" i="49"/>
  <c r="AT2334" i="49"/>
  <c r="AO2335" i="49"/>
  <c r="AP2335" i="49"/>
  <c r="AQ2335" i="49"/>
  <c r="AR2335" i="49"/>
  <c r="AS2335" i="49"/>
  <c r="AT2335" i="49"/>
  <c r="AO2336" i="49"/>
  <c r="AP2336" i="49"/>
  <c r="AQ2336" i="49"/>
  <c r="AR2336" i="49"/>
  <c r="AS2336" i="49"/>
  <c r="AT2336" i="49"/>
  <c r="AO2337" i="49"/>
  <c r="AP2337" i="49"/>
  <c r="AQ2337" i="49"/>
  <c r="AR2337" i="49"/>
  <c r="AS2337" i="49"/>
  <c r="AT2337" i="49"/>
  <c r="AO2338" i="49"/>
  <c r="AP2338" i="49"/>
  <c r="AQ2338" i="49"/>
  <c r="AR2338" i="49"/>
  <c r="AS2338" i="49"/>
  <c r="AT2338" i="49"/>
  <c r="AO2339" i="49"/>
  <c r="AP2339" i="49"/>
  <c r="AQ2339" i="49"/>
  <c r="AR2339" i="49"/>
  <c r="AS2339" i="49"/>
  <c r="AT2339" i="49"/>
  <c r="AO2340" i="49"/>
  <c r="AP2340" i="49"/>
  <c r="AQ2340" i="49"/>
  <c r="AR2340" i="49"/>
  <c r="AS2340" i="49"/>
  <c r="AT2340" i="49"/>
  <c r="AO2341" i="49"/>
  <c r="AP2341" i="49"/>
  <c r="AQ2341" i="49"/>
  <c r="AR2341" i="49"/>
  <c r="AS2341" i="49"/>
  <c r="AT2341" i="49"/>
  <c r="AO2342" i="49"/>
  <c r="AP2342" i="49"/>
  <c r="AQ2342" i="49"/>
  <c r="AR2342" i="49"/>
  <c r="AS2342" i="49"/>
  <c r="AT2342" i="49"/>
  <c r="AO2343" i="49"/>
  <c r="AP2343" i="49"/>
  <c r="AQ2343" i="49"/>
  <c r="AR2343" i="49"/>
  <c r="AS2343" i="49"/>
  <c r="AT2343" i="49"/>
  <c r="AO2344" i="49"/>
  <c r="AP2344" i="49"/>
  <c r="AQ2344" i="49"/>
  <c r="AR2344" i="49"/>
  <c r="AS2344" i="49"/>
  <c r="AT2344" i="49"/>
  <c r="AO2345" i="49"/>
  <c r="AP2345" i="49"/>
  <c r="AQ2345" i="49"/>
  <c r="AR2345" i="49"/>
  <c r="AS2345" i="49"/>
  <c r="AT2345" i="49"/>
  <c r="AO2346" i="49"/>
  <c r="AP2346" i="49"/>
  <c r="AQ2346" i="49"/>
  <c r="AR2346" i="49"/>
  <c r="AS2346" i="49"/>
  <c r="AT2346" i="49"/>
  <c r="AO2347" i="49"/>
  <c r="AP2347" i="49"/>
  <c r="AQ2347" i="49"/>
  <c r="AR2347" i="49"/>
  <c r="AS2347" i="49"/>
  <c r="AT2347" i="49"/>
  <c r="AO2348" i="49"/>
  <c r="AP2348" i="49"/>
  <c r="AQ2348" i="49"/>
  <c r="AR2348" i="49"/>
  <c r="AS2348" i="49"/>
  <c r="AT2348" i="49"/>
  <c r="AO2349" i="49"/>
  <c r="AP2349" i="49"/>
  <c r="AQ2349" i="49"/>
  <c r="AR2349" i="49"/>
  <c r="AS2349" i="49"/>
  <c r="AT2349" i="49"/>
  <c r="AO2350" i="49"/>
  <c r="AP2350" i="49"/>
  <c r="AQ2350" i="49"/>
  <c r="AR2350" i="49"/>
  <c r="AS2350" i="49"/>
  <c r="AT2350" i="49"/>
  <c r="AO2351" i="49"/>
  <c r="AP2351" i="49"/>
  <c r="AQ2351" i="49"/>
  <c r="AR2351" i="49"/>
  <c r="AS2351" i="49"/>
  <c r="AT2351" i="49"/>
  <c r="AO2352" i="49"/>
  <c r="AP2352" i="49"/>
  <c r="AQ2352" i="49"/>
  <c r="AR2352" i="49"/>
  <c r="AS2352" i="49"/>
  <c r="AT2352" i="49"/>
  <c r="AO2353" i="49"/>
  <c r="AP2353" i="49"/>
  <c r="AQ2353" i="49"/>
  <c r="AR2353" i="49"/>
  <c r="AS2353" i="49"/>
  <c r="AT2353" i="49"/>
  <c r="AO2354" i="49"/>
  <c r="AP2354" i="49"/>
  <c r="AQ2354" i="49"/>
  <c r="AR2354" i="49"/>
  <c r="AS2354" i="49"/>
  <c r="AT2354" i="49"/>
  <c r="AO2355" i="49"/>
  <c r="AP2355" i="49"/>
  <c r="AQ2355" i="49"/>
  <c r="AR2355" i="49"/>
  <c r="AS2355" i="49"/>
  <c r="AT2355" i="49"/>
  <c r="AO2356" i="49"/>
  <c r="AP2356" i="49"/>
  <c r="AQ2356" i="49"/>
  <c r="AR2356" i="49"/>
  <c r="AS2356" i="49"/>
  <c r="AT2356" i="49"/>
  <c r="AO2357" i="49"/>
  <c r="AP2357" i="49"/>
  <c r="AQ2357" i="49"/>
  <c r="AR2357" i="49"/>
  <c r="AS2357" i="49"/>
  <c r="AT2357" i="49"/>
  <c r="AO2358" i="49"/>
  <c r="AP2358" i="49"/>
  <c r="AQ2358" i="49"/>
  <c r="AR2358" i="49"/>
  <c r="AS2358" i="49"/>
  <c r="AT2358" i="49"/>
  <c r="AO2359" i="49"/>
  <c r="AP2359" i="49"/>
  <c r="AQ2359" i="49"/>
  <c r="AR2359" i="49"/>
  <c r="AS2359" i="49"/>
  <c r="AT2359" i="49"/>
  <c r="AO2360" i="49"/>
  <c r="AP2360" i="49"/>
  <c r="AQ2360" i="49"/>
  <c r="AR2360" i="49"/>
  <c r="AS2360" i="49"/>
  <c r="AT2360" i="49"/>
  <c r="AO2361" i="49"/>
  <c r="AP2361" i="49"/>
  <c r="AQ2361" i="49"/>
  <c r="AR2361" i="49"/>
  <c r="AS2361" i="49"/>
  <c r="AT2361" i="49"/>
  <c r="AO2362" i="49"/>
  <c r="AP2362" i="49"/>
  <c r="AQ2362" i="49"/>
  <c r="AR2362" i="49"/>
  <c r="AS2362" i="49"/>
  <c r="AT2362" i="49"/>
  <c r="AO2363" i="49"/>
  <c r="AP2363" i="49"/>
  <c r="AQ2363" i="49"/>
  <c r="AR2363" i="49"/>
  <c r="AS2363" i="49"/>
  <c r="AT2363" i="49"/>
  <c r="AO2364" i="49"/>
  <c r="AP2364" i="49"/>
  <c r="AQ2364" i="49"/>
  <c r="AR2364" i="49"/>
  <c r="AS2364" i="49"/>
  <c r="AT2364" i="49"/>
  <c r="AO2365" i="49"/>
  <c r="AP2365" i="49"/>
  <c r="AQ2365" i="49"/>
  <c r="AR2365" i="49"/>
  <c r="AS2365" i="49"/>
  <c r="AT2365" i="49"/>
  <c r="AO2366" i="49"/>
  <c r="AP2366" i="49"/>
  <c r="AQ2366" i="49"/>
  <c r="AR2366" i="49"/>
  <c r="AS2366" i="49"/>
  <c r="AT2366" i="49"/>
  <c r="AO2367" i="49"/>
  <c r="AP2367" i="49"/>
  <c r="AQ2367" i="49"/>
  <c r="AR2367" i="49"/>
  <c r="AS2367" i="49"/>
  <c r="AT2367" i="49"/>
  <c r="AO2368" i="49"/>
  <c r="AP2368" i="49"/>
  <c r="AQ2368" i="49"/>
  <c r="AR2368" i="49"/>
  <c r="AS2368" i="49"/>
  <c r="AT2368" i="49"/>
  <c r="AO2369" i="49"/>
  <c r="AP2369" i="49"/>
  <c r="AQ2369" i="49"/>
  <c r="AR2369" i="49"/>
  <c r="AS2369" i="49"/>
  <c r="AT2369" i="49"/>
  <c r="AO2370" i="49"/>
  <c r="AP2370" i="49"/>
  <c r="AQ2370" i="49"/>
  <c r="AR2370" i="49"/>
  <c r="AS2370" i="49"/>
  <c r="AT2370" i="49"/>
  <c r="AO2371" i="49"/>
  <c r="AP2371" i="49"/>
  <c r="AQ2371" i="49"/>
  <c r="AR2371" i="49"/>
  <c r="AS2371" i="49"/>
  <c r="AT2371" i="49"/>
  <c r="AO2372" i="49"/>
  <c r="AP2372" i="49"/>
  <c r="AQ2372" i="49"/>
  <c r="AR2372" i="49"/>
  <c r="AS2372" i="49"/>
  <c r="AT2372" i="49"/>
  <c r="AO2373" i="49"/>
  <c r="AP2373" i="49"/>
  <c r="AQ2373" i="49"/>
  <c r="AR2373" i="49"/>
  <c r="AS2373" i="49"/>
  <c r="AT2373" i="49"/>
  <c r="AO2374" i="49"/>
  <c r="AP2374" i="49"/>
  <c r="AQ2374" i="49"/>
  <c r="AR2374" i="49"/>
  <c r="AS2374" i="49"/>
  <c r="AT2374" i="49"/>
  <c r="AO2375" i="49"/>
  <c r="AP2375" i="49"/>
  <c r="AQ2375" i="49"/>
  <c r="AR2375" i="49"/>
  <c r="AS2375" i="49"/>
  <c r="AT2375" i="49"/>
  <c r="AO2376" i="49"/>
  <c r="AP2376" i="49"/>
  <c r="AQ2376" i="49"/>
  <c r="AR2376" i="49"/>
  <c r="AS2376" i="49"/>
  <c r="AT2376" i="49"/>
  <c r="AO2377" i="49"/>
  <c r="AP2377" i="49"/>
  <c r="AQ2377" i="49"/>
  <c r="AR2377" i="49"/>
  <c r="AS2377" i="49"/>
  <c r="AT2377" i="49"/>
  <c r="AO2378" i="49"/>
  <c r="AP2378" i="49"/>
  <c r="AQ2378" i="49"/>
  <c r="AR2378" i="49"/>
  <c r="AS2378" i="49"/>
  <c r="AT2378" i="49"/>
  <c r="AO2379" i="49"/>
  <c r="AP2379" i="49"/>
  <c r="AQ2379" i="49"/>
  <c r="AR2379" i="49"/>
  <c r="AS2379" i="49"/>
  <c r="AT2379" i="49"/>
  <c r="AO2380" i="49"/>
  <c r="AP2380" i="49"/>
  <c r="AQ2380" i="49"/>
  <c r="AR2380" i="49"/>
  <c r="AS2380" i="49"/>
  <c r="AT2380" i="49"/>
  <c r="AO2381" i="49"/>
  <c r="AP2381" i="49"/>
  <c r="AQ2381" i="49"/>
  <c r="AR2381" i="49"/>
  <c r="AS2381" i="49"/>
  <c r="AT2381" i="49"/>
  <c r="AO2382" i="49"/>
  <c r="AP2382" i="49"/>
  <c r="AQ2382" i="49"/>
  <c r="AR2382" i="49"/>
  <c r="AS2382" i="49"/>
  <c r="AT2382" i="49"/>
  <c r="AO2383" i="49"/>
  <c r="AP2383" i="49"/>
  <c r="AQ2383" i="49"/>
  <c r="AR2383" i="49"/>
  <c r="AS2383" i="49"/>
  <c r="AT2383" i="49"/>
  <c r="AO2384" i="49"/>
  <c r="AP2384" i="49"/>
  <c r="AQ2384" i="49"/>
  <c r="AR2384" i="49"/>
  <c r="AS2384" i="49"/>
  <c r="AT2384" i="49"/>
  <c r="AO2385" i="49"/>
  <c r="AP2385" i="49"/>
  <c r="AQ2385" i="49"/>
  <c r="AR2385" i="49"/>
  <c r="AS2385" i="49"/>
  <c r="AT2385" i="49"/>
  <c r="AO2386" i="49"/>
  <c r="AP2386" i="49"/>
  <c r="AQ2386" i="49"/>
  <c r="AR2386" i="49"/>
  <c r="AS2386" i="49"/>
  <c r="AT2386" i="49"/>
  <c r="AO2387" i="49"/>
  <c r="AP2387" i="49"/>
  <c r="AQ2387" i="49"/>
  <c r="AR2387" i="49"/>
  <c r="AS2387" i="49"/>
  <c r="AT2387" i="49"/>
  <c r="AO2388" i="49"/>
  <c r="AP2388" i="49"/>
  <c r="AQ2388" i="49"/>
  <c r="AR2388" i="49"/>
  <c r="AS2388" i="49"/>
  <c r="AT2388" i="49"/>
  <c r="AO2389" i="49"/>
  <c r="AP2389" i="49"/>
  <c r="AQ2389" i="49"/>
  <c r="AR2389" i="49"/>
  <c r="AS2389" i="49"/>
  <c r="AT2389" i="49"/>
  <c r="AO2390" i="49"/>
  <c r="AP2390" i="49"/>
  <c r="AQ2390" i="49"/>
  <c r="AR2390" i="49"/>
  <c r="AS2390" i="49"/>
  <c r="AT2390" i="49"/>
  <c r="AO2391" i="49"/>
  <c r="AP2391" i="49"/>
  <c r="AQ2391" i="49"/>
  <c r="AR2391" i="49"/>
  <c r="AS2391" i="49"/>
  <c r="AT2391" i="49"/>
  <c r="AO2392" i="49"/>
  <c r="AP2392" i="49"/>
  <c r="AQ2392" i="49"/>
  <c r="AR2392" i="49"/>
  <c r="AS2392" i="49"/>
  <c r="AT2392" i="49"/>
  <c r="AO2393" i="49"/>
  <c r="AP2393" i="49"/>
  <c r="AQ2393" i="49"/>
  <c r="AR2393" i="49"/>
  <c r="AS2393" i="49"/>
  <c r="AT2393" i="49"/>
  <c r="AO2394" i="49"/>
  <c r="AP2394" i="49"/>
  <c r="AQ2394" i="49"/>
  <c r="AR2394" i="49"/>
  <c r="AS2394" i="49"/>
  <c r="AT2394" i="49"/>
  <c r="AO2395" i="49"/>
  <c r="AP2395" i="49"/>
  <c r="AQ2395" i="49"/>
  <c r="AR2395" i="49"/>
  <c r="AS2395" i="49"/>
  <c r="AT2395" i="49"/>
  <c r="AO2396" i="49"/>
  <c r="AP2396" i="49"/>
  <c r="AQ2396" i="49"/>
  <c r="AR2396" i="49"/>
  <c r="AS2396" i="49"/>
  <c r="AT2396" i="49"/>
  <c r="AO2397" i="49"/>
  <c r="AP2397" i="49"/>
  <c r="AQ2397" i="49"/>
  <c r="AR2397" i="49"/>
  <c r="AS2397" i="49"/>
  <c r="AT2397" i="49"/>
  <c r="AO2398" i="49"/>
  <c r="AP2398" i="49"/>
  <c r="AQ2398" i="49"/>
  <c r="AR2398" i="49"/>
  <c r="AS2398" i="49"/>
  <c r="AT2398" i="49"/>
  <c r="AO2399" i="49"/>
  <c r="AP2399" i="49"/>
  <c r="AQ2399" i="49"/>
  <c r="AR2399" i="49"/>
  <c r="AS2399" i="49"/>
  <c r="AT2399" i="49"/>
  <c r="AO2400" i="49"/>
  <c r="AP2400" i="49"/>
  <c r="AQ2400" i="49"/>
  <c r="AR2400" i="49"/>
  <c r="AS2400" i="49"/>
  <c r="AT2400" i="49"/>
  <c r="AO2401" i="49"/>
  <c r="AP2401" i="49"/>
  <c r="AQ2401" i="49"/>
  <c r="AR2401" i="49"/>
  <c r="AS2401" i="49"/>
  <c r="AT2401" i="49"/>
  <c r="AO2402" i="49"/>
  <c r="AP2402" i="49"/>
  <c r="AQ2402" i="49"/>
  <c r="AR2402" i="49"/>
  <c r="AS2402" i="49"/>
  <c r="AT2402" i="49"/>
  <c r="AO2403" i="49"/>
  <c r="AP2403" i="49"/>
  <c r="AQ2403" i="49"/>
  <c r="AR2403" i="49"/>
  <c r="AS2403" i="49"/>
  <c r="AT2403" i="49"/>
  <c r="AO2404" i="49"/>
  <c r="AP2404" i="49"/>
  <c r="AQ2404" i="49"/>
  <c r="AR2404" i="49"/>
  <c r="AS2404" i="49"/>
  <c r="AT2404" i="49"/>
  <c r="AO2405" i="49"/>
  <c r="AP2405" i="49"/>
  <c r="AQ2405" i="49"/>
  <c r="AR2405" i="49"/>
  <c r="AS2405" i="49"/>
  <c r="AT2405" i="49"/>
  <c r="AO2406" i="49"/>
  <c r="AP2406" i="49"/>
  <c r="AQ2406" i="49"/>
  <c r="AR2406" i="49"/>
  <c r="AS2406" i="49"/>
  <c r="AT2406" i="49"/>
  <c r="AO2407" i="49"/>
  <c r="AP2407" i="49"/>
  <c r="AQ2407" i="49"/>
  <c r="AR2407" i="49"/>
  <c r="AS2407" i="49"/>
  <c r="AT2407" i="49"/>
  <c r="AO2408" i="49"/>
  <c r="AP2408" i="49"/>
  <c r="AQ2408" i="49"/>
  <c r="AR2408" i="49"/>
  <c r="AS2408" i="49"/>
  <c r="AT2408" i="49"/>
  <c r="AO2409" i="49"/>
  <c r="AP2409" i="49"/>
  <c r="AQ2409" i="49"/>
  <c r="AR2409" i="49"/>
  <c r="AS2409" i="49"/>
  <c r="AT2409" i="49"/>
  <c r="AO2410" i="49"/>
  <c r="AP2410" i="49"/>
  <c r="AQ2410" i="49"/>
  <c r="AR2410" i="49"/>
  <c r="AS2410" i="49"/>
  <c r="AT2410" i="49"/>
  <c r="AO2411" i="49"/>
  <c r="AP2411" i="49"/>
  <c r="AQ2411" i="49"/>
  <c r="AR2411" i="49"/>
  <c r="AS2411" i="49"/>
  <c r="AT2411" i="49"/>
  <c r="AO2412" i="49"/>
  <c r="AP2412" i="49"/>
  <c r="AQ2412" i="49"/>
  <c r="AR2412" i="49"/>
  <c r="AS2412" i="49"/>
  <c r="AT2412" i="49"/>
  <c r="AO2413" i="49"/>
  <c r="AP2413" i="49"/>
  <c r="AQ2413" i="49"/>
  <c r="AR2413" i="49"/>
  <c r="AS2413" i="49"/>
  <c r="AT2413" i="49"/>
  <c r="AO2414" i="49"/>
  <c r="AP2414" i="49"/>
  <c r="AQ2414" i="49"/>
  <c r="AR2414" i="49"/>
  <c r="AS2414" i="49"/>
  <c r="AT2414" i="49"/>
  <c r="AO2415" i="49"/>
  <c r="AP2415" i="49"/>
  <c r="AQ2415" i="49"/>
  <c r="AR2415" i="49"/>
  <c r="AS2415" i="49"/>
  <c r="AT2415" i="49"/>
  <c r="AO2416" i="49"/>
  <c r="AP2416" i="49"/>
  <c r="AQ2416" i="49"/>
  <c r="AR2416" i="49"/>
  <c r="AS2416" i="49"/>
  <c r="AT2416" i="49"/>
  <c r="AO2417" i="49"/>
  <c r="AP2417" i="49"/>
  <c r="AQ2417" i="49"/>
  <c r="AR2417" i="49"/>
  <c r="AS2417" i="49"/>
  <c r="AT2417" i="49"/>
  <c r="AO2418" i="49"/>
  <c r="AP2418" i="49"/>
  <c r="AQ2418" i="49"/>
  <c r="AR2418" i="49"/>
  <c r="AS2418" i="49"/>
  <c r="AT2418" i="49"/>
  <c r="AO2419" i="49"/>
  <c r="AP2419" i="49"/>
  <c r="AQ2419" i="49"/>
  <c r="AR2419" i="49"/>
  <c r="AS2419" i="49"/>
  <c r="AT2419" i="49"/>
  <c r="AO2420" i="49"/>
  <c r="AP2420" i="49"/>
  <c r="AQ2420" i="49"/>
  <c r="AR2420" i="49"/>
  <c r="AS2420" i="49"/>
  <c r="AT2420" i="49"/>
  <c r="AO2421" i="49"/>
  <c r="AP2421" i="49"/>
  <c r="AQ2421" i="49"/>
  <c r="AR2421" i="49"/>
  <c r="AS2421" i="49"/>
  <c r="AT2421" i="49"/>
  <c r="AO2422" i="49"/>
  <c r="AP2422" i="49"/>
  <c r="AQ2422" i="49"/>
  <c r="AR2422" i="49"/>
  <c r="AS2422" i="49"/>
  <c r="AT2422" i="49"/>
  <c r="AO2423" i="49"/>
  <c r="AP2423" i="49"/>
  <c r="AQ2423" i="49"/>
  <c r="AR2423" i="49"/>
  <c r="AS2423" i="49"/>
  <c r="AT2423" i="49"/>
  <c r="AO2424" i="49"/>
  <c r="AP2424" i="49"/>
  <c r="AQ2424" i="49"/>
  <c r="AR2424" i="49"/>
  <c r="AS2424" i="49"/>
  <c r="AT2424" i="49"/>
  <c r="AO2425" i="49"/>
  <c r="AP2425" i="49"/>
  <c r="AQ2425" i="49"/>
  <c r="AR2425" i="49"/>
  <c r="AS2425" i="49"/>
  <c r="AT2425" i="49"/>
  <c r="AO2426" i="49"/>
  <c r="AP2426" i="49"/>
  <c r="AQ2426" i="49"/>
  <c r="AR2426" i="49"/>
  <c r="AS2426" i="49"/>
  <c r="AT2426" i="49"/>
  <c r="AO2427" i="49"/>
  <c r="AP2427" i="49"/>
  <c r="AQ2427" i="49"/>
  <c r="AR2427" i="49"/>
  <c r="AS2427" i="49"/>
  <c r="AT2427" i="49"/>
  <c r="AO2428" i="49"/>
  <c r="AP2428" i="49"/>
  <c r="AQ2428" i="49"/>
  <c r="AR2428" i="49"/>
  <c r="AS2428" i="49"/>
  <c r="AT2428" i="49"/>
  <c r="AO2429" i="49"/>
  <c r="AP2429" i="49"/>
  <c r="AQ2429" i="49"/>
  <c r="AR2429" i="49"/>
  <c r="AS2429" i="49"/>
  <c r="AT2429" i="49"/>
  <c r="AO2430" i="49"/>
  <c r="AP2430" i="49"/>
  <c r="AQ2430" i="49"/>
  <c r="AR2430" i="49"/>
  <c r="AS2430" i="49"/>
  <c r="AT2430" i="49"/>
  <c r="AO2431" i="49"/>
  <c r="AP2431" i="49"/>
  <c r="AQ2431" i="49"/>
  <c r="AR2431" i="49"/>
  <c r="AS2431" i="49"/>
  <c r="AT2431" i="49"/>
  <c r="AO2432" i="49"/>
  <c r="AP2432" i="49"/>
  <c r="AQ2432" i="49"/>
  <c r="AR2432" i="49"/>
  <c r="AS2432" i="49"/>
  <c r="AT2432" i="49"/>
  <c r="AO2433" i="49"/>
  <c r="AP2433" i="49"/>
  <c r="AQ2433" i="49"/>
  <c r="AR2433" i="49"/>
  <c r="AS2433" i="49"/>
  <c r="AT2433" i="49"/>
  <c r="AO2434" i="49"/>
  <c r="AP2434" i="49"/>
  <c r="AQ2434" i="49"/>
  <c r="AR2434" i="49"/>
  <c r="AS2434" i="49"/>
  <c r="AT2434" i="49"/>
  <c r="AO2435" i="49"/>
  <c r="AP2435" i="49"/>
  <c r="AQ2435" i="49"/>
  <c r="AR2435" i="49"/>
  <c r="AS2435" i="49"/>
  <c r="AT2435" i="49"/>
  <c r="AO2436" i="49"/>
  <c r="AP2436" i="49"/>
  <c r="AQ2436" i="49"/>
  <c r="AR2436" i="49"/>
  <c r="AS2436" i="49"/>
  <c r="AT2436" i="49"/>
  <c r="AO2437" i="49"/>
  <c r="AP2437" i="49"/>
  <c r="AQ2437" i="49"/>
  <c r="AR2437" i="49"/>
  <c r="AS2437" i="49"/>
  <c r="AT2437" i="49"/>
  <c r="AO2438" i="49"/>
  <c r="AP2438" i="49"/>
  <c r="AQ2438" i="49"/>
  <c r="AR2438" i="49"/>
  <c r="AS2438" i="49"/>
  <c r="AT2438" i="49"/>
  <c r="AO2439" i="49"/>
  <c r="AP2439" i="49"/>
  <c r="AQ2439" i="49"/>
  <c r="AR2439" i="49"/>
  <c r="AS2439" i="49"/>
  <c r="AT2439" i="49"/>
  <c r="AO2440" i="49"/>
  <c r="AP2440" i="49"/>
  <c r="AQ2440" i="49"/>
  <c r="AR2440" i="49"/>
  <c r="AS2440" i="49"/>
  <c r="AT2440" i="49"/>
  <c r="AO2441" i="49"/>
  <c r="AP2441" i="49"/>
  <c r="AQ2441" i="49"/>
  <c r="AR2441" i="49"/>
  <c r="AS2441" i="49"/>
  <c r="AT2441" i="49"/>
  <c r="AO2442" i="49"/>
  <c r="AP2442" i="49"/>
  <c r="AQ2442" i="49"/>
  <c r="AR2442" i="49"/>
  <c r="AS2442" i="49"/>
  <c r="AT2442" i="49"/>
  <c r="AO2443" i="49"/>
  <c r="AP2443" i="49"/>
  <c r="AQ2443" i="49"/>
  <c r="AR2443" i="49"/>
  <c r="AS2443" i="49"/>
  <c r="AT2443" i="49"/>
  <c r="AO2444" i="49"/>
  <c r="AP2444" i="49"/>
  <c r="AQ2444" i="49"/>
  <c r="AR2444" i="49"/>
  <c r="AS2444" i="49"/>
  <c r="AT2444" i="49"/>
  <c r="AO2445" i="49"/>
  <c r="AP2445" i="49"/>
  <c r="AQ2445" i="49"/>
  <c r="AR2445" i="49"/>
  <c r="AS2445" i="49"/>
  <c r="AT2445" i="49"/>
  <c r="AO2446" i="49"/>
  <c r="AP2446" i="49"/>
  <c r="AQ2446" i="49"/>
  <c r="AR2446" i="49"/>
  <c r="AS2446" i="49"/>
  <c r="AT2446" i="49"/>
  <c r="AO2447" i="49"/>
  <c r="AP2447" i="49"/>
  <c r="AQ2447" i="49"/>
  <c r="AR2447" i="49"/>
  <c r="AS2447" i="49"/>
  <c r="AT2447" i="49"/>
  <c r="AO2448" i="49"/>
  <c r="AP2448" i="49"/>
  <c r="AQ2448" i="49"/>
  <c r="AR2448" i="49"/>
  <c r="AS2448" i="49"/>
  <c r="AT2448" i="49"/>
  <c r="AO2449" i="49"/>
  <c r="AP2449" i="49"/>
  <c r="AQ2449" i="49"/>
  <c r="AR2449" i="49"/>
  <c r="AS2449" i="49"/>
  <c r="AT2449" i="49"/>
  <c r="AO2450" i="49"/>
  <c r="AP2450" i="49"/>
  <c r="AQ2450" i="49"/>
  <c r="AR2450" i="49"/>
  <c r="AS2450" i="49"/>
  <c r="AT2450" i="49"/>
  <c r="AO2451" i="49"/>
  <c r="AP2451" i="49"/>
  <c r="AQ2451" i="49"/>
  <c r="AR2451" i="49"/>
  <c r="AS2451" i="49"/>
  <c r="AT2451" i="49"/>
  <c r="AO2452" i="49"/>
  <c r="AP2452" i="49"/>
  <c r="AQ2452" i="49"/>
  <c r="AR2452" i="49"/>
  <c r="AS2452" i="49"/>
  <c r="AT2452" i="49"/>
  <c r="AO2453" i="49"/>
  <c r="AP2453" i="49"/>
  <c r="AQ2453" i="49"/>
  <c r="AR2453" i="49"/>
  <c r="AS2453" i="49"/>
  <c r="AT2453" i="49"/>
  <c r="AO2454" i="49"/>
  <c r="AP2454" i="49"/>
  <c r="AQ2454" i="49"/>
  <c r="AR2454" i="49"/>
  <c r="AS2454" i="49"/>
  <c r="AT2454" i="49"/>
  <c r="AO2455" i="49"/>
  <c r="AP2455" i="49"/>
  <c r="AQ2455" i="49"/>
  <c r="AR2455" i="49"/>
  <c r="AS2455" i="49"/>
  <c r="AT2455" i="49"/>
  <c r="AO2456" i="49"/>
  <c r="AP2456" i="49"/>
  <c r="AQ2456" i="49"/>
  <c r="AR2456" i="49"/>
  <c r="AS2456" i="49"/>
  <c r="AT2456" i="49"/>
  <c r="AO2457" i="49"/>
  <c r="AP2457" i="49"/>
  <c r="AQ2457" i="49"/>
  <c r="AR2457" i="49"/>
  <c r="AS2457" i="49"/>
  <c r="AT2457" i="49"/>
  <c r="AO2458" i="49"/>
  <c r="AP2458" i="49"/>
  <c r="AQ2458" i="49"/>
  <c r="AR2458" i="49"/>
  <c r="AS2458" i="49"/>
  <c r="AT2458" i="49"/>
  <c r="AO2459" i="49"/>
  <c r="AP2459" i="49"/>
  <c r="AQ2459" i="49"/>
  <c r="AR2459" i="49"/>
  <c r="AS2459" i="49"/>
  <c r="AT2459" i="49"/>
  <c r="AO2460" i="49"/>
  <c r="AP2460" i="49"/>
  <c r="AQ2460" i="49"/>
  <c r="AR2460" i="49"/>
  <c r="AS2460" i="49"/>
  <c r="AT2460" i="49"/>
  <c r="AO2461" i="49"/>
  <c r="AP2461" i="49"/>
  <c r="AQ2461" i="49"/>
  <c r="AR2461" i="49"/>
  <c r="AS2461" i="49"/>
  <c r="AT2461" i="49"/>
  <c r="AO2462" i="49"/>
  <c r="AP2462" i="49"/>
  <c r="AQ2462" i="49"/>
  <c r="AR2462" i="49"/>
  <c r="AS2462" i="49"/>
  <c r="AT2462" i="49"/>
  <c r="AO2463" i="49"/>
  <c r="AP2463" i="49"/>
  <c r="AQ2463" i="49"/>
  <c r="AR2463" i="49"/>
  <c r="AS2463" i="49"/>
  <c r="AT2463" i="49"/>
  <c r="AO2464" i="49"/>
  <c r="AP2464" i="49"/>
  <c r="AQ2464" i="49"/>
  <c r="AR2464" i="49"/>
  <c r="AS2464" i="49"/>
  <c r="AT2464" i="49"/>
  <c r="AO2465" i="49"/>
  <c r="AP2465" i="49"/>
  <c r="AQ2465" i="49"/>
  <c r="AR2465" i="49"/>
  <c r="AS2465" i="49"/>
  <c r="AT2465" i="49"/>
  <c r="AO2466" i="49"/>
  <c r="AP2466" i="49"/>
  <c r="AQ2466" i="49"/>
  <c r="AR2466" i="49"/>
  <c r="AS2466" i="49"/>
  <c r="AT2466" i="49"/>
  <c r="AO2467" i="49"/>
  <c r="AP2467" i="49"/>
  <c r="AQ2467" i="49"/>
  <c r="AR2467" i="49"/>
  <c r="AS2467" i="49"/>
  <c r="AT2467" i="49"/>
  <c r="AO2468" i="49"/>
  <c r="AP2468" i="49"/>
  <c r="AQ2468" i="49"/>
  <c r="AR2468" i="49"/>
  <c r="AS2468" i="49"/>
  <c r="AT2468" i="49"/>
  <c r="AO2469" i="49"/>
  <c r="AP2469" i="49"/>
  <c r="AQ2469" i="49"/>
  <c r="AR2469" i="49"/>
  <c r="AS2469" i="49"/>
  <c r="AT2469" i="49"/>
  <c r="AO2470" i="49"/>
  <c r="AP2470" i="49"/>
  <c r="AQ2470" i="49"/>
  <c r="AR2470" i="49"/>
  <c r="AS2470" i="49"/>
  <c r="AT2470" i="49"/>
  <c r="AO2471" i="49"/>
  <c r="AP2471" i="49"/>
  <c r="AQ2471" i="49"/>
  <c r="AR2471" i="49"/>
  <c r="AS2471" i="49"/>
  <c r="AT2471" i="49"/>
  <c r="AO2472" i="49"/>
  <c r="AP2472" i="49"/>
  <c r="AQ2472" i="49"/>
  <c r="AR2472" i="49"/>
  <c r="AS2472" i="49"/>
  <c r="AT2472" i="49"/>
  <c r="AO2473" i="49"/>
  <c r="AP2473" i="49"/>
  <c r="AQ2473" i="49"/>
  <c r="AR2473" i="49"/>
  <c r="AS2473" i="49"/>
  <c r="AT2473" i="49"/>
  <c r="AO2474" i="49"/>
  <c r="AP2474" i="49"/>
  <c r="AQ2474" i="49"/>
  <c r="AR2474" i="49"/>
  <c r="AS2474" i="49"/>
  <c r="AT2474" i="49"/>
  <c r="AO2475" i="49"/>
  <c r="AP2475" i="49"/>
  <c r="AQ2475" i="49"/>
  <c r="AR2475" i="49"/>
  <c r="AS2475" i="49"/>
  <c r="AT2475" i="49"/>
  <c r="AO2476" i="49"/>
  <c r="AP2476" i="49"/>
  <c r="AQ2476" i="49"/>
  <c r="AR2476" i="49"/>
  <c r="AS2476" i="49"/>
  <c r="AT2476" i="49"/>
  <c r="AO2477" i="49"/>
  <c r="AP2477" i="49"/>
  <c r="AQ2477" i="49"/>
  <c r="AR2477" i="49"/>
  <c r="AS2477" i="49"/>
  <c r="AT2477" i="49"/>
  <c r="AO2478" i="49"/>
  <c r="AP2478" i="49"/>
  <c r="AQ2478" i="49"/>
  <c r="AR2478" i="49"/>
  <c r="AS2478" i="49"/>
  <c r="AT2478" i="49"/>
  <c r="AO2479" i="49"/>
  <c r="AP2479" i="49"/>
  <c r="AQ2479" i="49"/>
  <c r="AR2479" i="49"/>
  <c r="AS2479" i="49"/>
  <c r="AT2479" i="49"/>
  <c r="AO2480" i="49"/>
  <c r="AP2480" i="49"/>
  <c r="AQ2480" i="49"/>
  <c r="AR2480" i="49"/>
  <c r="AS2480" i="49"/>
  <c r="AT2480" i="49"/>
  <c r="AO2481" i="49"/>
  <c r="AP2481" i="49"/>
  <c r="AQ2481" i="49"/>
  <c r="AR2481" i="49"/>
  <c r="AS2481" i="49"/>
  <c r="AT2481" i="49"/>
  <c r="AO2482" i="49"/>
  <c r="AP2482" i="49"/>
  <c r="AQ2482" i="49"/>
  <c r="AR2482" i="49"/>
  <c r="AS2482" i="49"/>
  <c r="AT2482" i="49"/>
  <c r="AO2483" i="49"/>
  <c r="AP2483" i="49"/>
  <c r="AQ2483" i="49"/>
  <c r="AR2483" i="49"/>
  <c r="AS2483" i="49"/>
  <c r="AT2483" i="49"/>
  <c r="AO2484" i="49"/>
  <c r="AP2484" i="49"/>
  <c r="AQ2484" i="49"/>
  <c r="AR2484" i="49"/>
  <c r="AS2484" i="49"/>
  <c r="AT2484" i="49"/>
  <c r="AO2485" i="49"/>
  <c r="AP2485" i="49"/>
  <c r="AQ2485" i="49"/>
  <c r="AR2485" i="49"/>
  <c r="AS2485" i="49"/>
  <c r="AT2485" i="49"/>
  <c r="AO2486" i="49"/>
  <c r="AP2486" i="49"/>
  <c r="AQ2486" i="49"/>
  <c r="AR2486" i="49"/>
  <c r="AS2486" i="49"/>
  <c r="AT2486" i="49"/>
  <c r="AO2487" i="49"/>
  <c r="AP2487" i="49"/>
  <c r="AQ2487" i="49"/>
  <c r="AR2487" i="49"/>
  <c r="AS2487" i="49"/>
  <c r="AT2487" i="49"/>
  <c r="AO2488" i="49"/>
  <c r="AP2488" i="49"/>
  <c r="AQ2488" i="49"/>
  <c r="AR2488" i="49"/>
  <c r="AS2488" i="49"/>
  <c r="AT2488" i="49"/>
  <c r="AO2489" i="49"/>
  <c r="AP2489" i="49"/>
  <c r="AQ2489" i="49"/>
  <c r="AR2489" i="49"/>
  <c r="AS2489" i="49"/>
  <c r="AT2489" i="49"/>
  <c r="AO2490" i="49"/>
  <c r="AP2490" i="49"/>
  <c r="AQ2490" i="49"/>
  <c r="AR2490" i="49"/>
  <c r="AS2490" i="49"/>
  <c r="AT2490" i="49"/>
  <c r="AO2491" i="49"/>
  <c r="AP2491" i="49"/>
  <c r="AQ2491" i="49"/>
  <c r="AR2491" i="49"/>
  <c r="AS2491" i="49"/>
  <c r="AT2491" i="49"/>
  <c r="AO2492" i="49"/>
  <c r="AP2492" i="49"/>
  <c r="AQ2492" i="49"/>
  <c r="AR2492" i="49"/>
  <c r="AS2492" i="49"/>
  <c r="AT2492" i="49"/>
  <c r="AO2493" i="49"/>
  <c r="AP2493" i="49"/>
  <c r="AQ2493" i="49"/>
  <c r="AR2493" i="49"/>
  <c r="AS2493" i="49"/>
  <c r="AT2493" i="49"/>
  <c r="AO2494" i="49"/>
  <c r="AP2494" i="49"/>
  <c r="AQ2494" i="49"/>
  <c r="AR2494" i="49"/>
  <c r="AS2494" i="49"/>
  <c r="AT2494" i="49"/>
  <c r="AO2495" i="49"/>
  <c r="AP2495" i="49"/>
  <c r="AQ2495" i="49"/>
  <c r="AR2495" i="49"/>
  <c r="AS2495" i="49"/>
  <c r="AT2495" i="49"/>
  <c r="AO2496" i="49"/>
  <c r="AP2496" i="49"/>
  <c r="AQ2496" i="49"/>
  <c r="AR2496" i="49"/>
  <c r="AS2496" i="49"/>
  <c r="AT2496" i="49"/>
  <c r="AO2497" i="49"/>
  <c r="AP2497" i="49"/>
  <c r="AQ2497" i="49"/>
  <c r="AR2497" i="49"/>
  <c r="AS2497" i="49"/>
  <c r="AT2497" i="49"/>
  <c r="AO2498" i="49"/>
  <c r="AP2498" i="49"/>
  <c r="AQ2498" i="49"/>
  <c r="AR2498" i="49"/>
  <c r="AS2498" i="49"/>
  <c r="AT2498" i="49"/>
  <c r="AO2499" i="49"/>
  <c r="AP2499" i="49"/>
  <c r="AQ2499" i="49"/>
  <c r="AR2499" i="49"/>
  <c r="AS2499" i="49"/>
  <c r="AT2499" i="49"/>
  <c r="AO2500" i="49"/>
  <c r="AP2500" i="49"/>
  <c r="AQ2500" i="49"/>
  <c r="AR2500" i="49"/>
  <c r="AS2500" i="49"/>
  <c r="AT2500" i="49"/>
  <c r="AO2501" i="49"/>
  <c r="AP2501" i="49"/>
  <c r="AQ2501" i="49"/>
  <c r="AR2501" i="49"/>
  <c r="AS2501" i="49"/>
  <c r="AT2501" i="49"/>
  <c r="AO2502" i="49"/>
  <c r="AP2502" i="49"/>
  <c r="AQ2502" i="49"/>
  <c r="AR2502" i="49"/>
  <c r="AS2502" i="49"/>
  <c r="AT2502" i="49"/>
  <c r="AO2503" i="49"/>
  <c r="AP2503" i="49"/>
  <c r="AQ2503" i="49"/>
  <c r="AR2503" i="49"/>
  <c r="AS2503" i="49"/>
  <c r="AT2503" i="49"/>
  <c r="AO2504" i="49"/>
  <c r="AP2504" i="49"/>
  <c r="AQ2504" i="49"/>
  <c r="AR2504" i="49"/>
  <c r="AS2504" i="49"/>
  <c r="AT2504" i="49"/>
  <c r="AO2505" i="49"/>
  <c r="AP2505" i="49"/>
  <c r="AQ2505" i="49"/>
  <c r="AR2505" i="49"/>
  <c r="AS2505" i="49"/>
  <c r="AT2505" i="49"/>
  <c r="AO2506" i="49"/>
  <c r="AP2506" i="49"/>
  <c r="AQ2506" i="49"/>
  <c r="AR2506" i="49"/>
  <c r="AS2506" i="49"/>
  <c r="AT2506" i="49"/>
  <c r="AO2507" i="49"/>
  <c r="AP2507" i="49"/>
  <c r="AQ2507" i="49"/>
  <c r="AR2507" i="49"/>
  <c r="AS2507" i="49"/>
  <c r="AT2507" i="49"/>
  <c r="AO2508" i="49"/>
  <c r="AP2508" i="49"/>
  <c r="AQ2508" i="49"/>
  <c r="AR2508" i="49"/>
  <c r="AS2508" i="49"/>
  <c r="AT2508" i="49"/>
  <c r="AO2509" i="49"/>
  <c r="AP2509" i="49"/>
  <c r="AQ2509" i="49"/>
  <c r="AR2509" i="49"/>
  <c r="AS2509" i="49"/>
  <c r="AT2509" i="49"/>
  <c r="AO2510" i="49"/>
  <c r="AP2510" i="49"/>
  <c r="AQ2510" i="49"/>
  <c r="AR2510" i="49"/>
  <c r="AS2510" i="49"/>
  <c r="AT2510" i="49"/>
  <c r="AO2511" i="49"/>
  <c r="AP2511" i="49"/>
  <c r="AQ2511" i="49"/>
  <c r="AR2511" i="49"/>
  <c r="AS2511" i="49"/>
  <c r="AT2511" i="49"/>
  <c r="AO2512" i="49"/>
  <c r="AP2512" i="49"/>
  <c r="AQ2512" i="49"/>
  <c r="AR2512" i="49"/>
  <c r="AS2512" i="49"/>
  <c r="AT2512" i="49"/>
  <c r="AO2513" i="49"/>
  <c r="AP2513" i="49"/>
  <c r="AQ2513" i="49"/>
  <c r="AR2513" i="49"/>
  <c r="AS2513" i="49"/>
  <c r="AT2513" i="49"/>
  <c r="AO2514" i="49"/>
  <c r="AP2514" i="49"/>
  <c r="AQ2514" i="49"/>
  <c r="AR2514" i="49"/>
  <c r="AS2514" i="49"/>
  <c r="AT2514" i="49"/>
  <c r="AO2515" i="49"/>
  <c r="AP2515" i="49"/>
  <c r="AQ2515" i="49"/>
  <c r="AR2515" i="49"/>
  <c r="AS2515" i="49"/>
  <c r="AT2515" i="49"/>
  <c r="AO2516" i="49"/>
  <c r="AP2516" i="49"/>
  <c r="AQ2516" i="49"/>
  <c r="AR2516" i="49"/>
  <c r="AS2516" i="49"/>
  <c r="AT2516" i="49"/>
  <c r="AO2517" i="49"/>
  <c r="AP2517" i="49"/>
  <c r="AQ2517" i="49"/>
  <c r="AR2517" i="49"/>
  <c r="AS2517" i="49"/>
  <c r="AT2517" i="49"/>
  <c r="AO2518" i="49"/>
  <c r="AP2518" i="49"/>
  <c r="AQ2518" i="49"/>
  <c r="AR2518" i="49"/>
  <c r="AS2518" i="49"/>
  <c r="AT2518" i="49"/>
  <c r="AO2519" i="49"/>
  <c r="AP2519" i="49"/>
  <c r="AQ2519" i="49"/>
  <c r="AR2519" i="49"/>
  <c r="AS2519" i="49"/>
  <c r="AT2519" i="49"/>
  <c r="AO2520" i="49"/>
  <c r="AP2520" i="49"/>
  <c r="AQ2520" i="49"/>
  <c r="AR2520" i="49"/>
  <c r="AS2520" i="49"/>
  <c r="AT2520" i="49"/>
  <c r="AO2521" i="49"/>
  <c r="AP2521" i="49"/>
  <c r="AQ2521" i="49"/>
  <c r="AR2521" i="49"/>
  <c r="AS2521" i="49"/>
  <c r="AT2521" i="49"/>
  <c r="AO2522" i="49"/>
  <c r="AP2522" i="49"/>
  <c r="AQ2522" i="49"/>
  <c r="AR2522" i="49"/>
  <c r="AS2522" i="49"/>
  <c r="AT2522" i="49"/>
  <c r="AO2523" i="49"/>
  <c r="AP2523" i="49"/>
  <c r="AQ2523" i="49"/>
  <c r="AR2523" i="49"/>
  <c r="AS2523" i="49"/>
  <c r="AT2523" i="49"/>
  <c r="AO2524" i="49"/>
  <c r="AP2524" i="49"/>
  <c r="AQ2524" i="49"/>
  <c r="AR2524" i="49"/>
  <c r="AS2524" i="49"/>
  <c r="AT2524" i="49"/>
  <c r="AO2525" i="49"/>
  <c r="AP2525" i="49"/>
  <c r="AQ2525" i="49"/>
  <c r="AR2525" i="49"/>
  <c r="AS2525" i="49"/>
  <c r="AT2525" i="49"/>
  <c r="AO2526" i="49"/>
  <c r="AP2526" i="49"/>
  <c r="AQ2526" i="49"/>
  <c r="AR2526" i="49"/>
  <c r="AS2526" i="49"/>
  <c r="AT2526" i="49"/>
  <c r="AO2527" i="49"/>
  <c r="AP2527" i="49"/>
  <c r="AQ2527" i="49"/>
  <c r="AR2527" i="49"/>
  <c r="AS2527" i="49"/>
  <c r="AT2527" i="49"/>
  <c r="AO2528" i="49"/>
  <c r="AP2528" i="49"/>
  <c r="AQ2528" i="49"/>
  <c r="AR2528" i="49"/>
  <c r="AS2528" i="49"/>
  <c r="AT2528" i="49"/>
  <c r="AO2529" i="49"/>
  <c r="AP2529" i="49"/>
  <c r="AQ2529" i="49"/>
  <c r="AR2529" i="49"/>
  <c r="AS2529" i="49"/>
  <c r="AT2529" i="49"/>
  <c r="AO2530" i="49"/>
  <c r="AP2530" i="49"/>
  <c r="AQ2530" i="49"/>
  <c r="AR2530" i="49"/>
  <c r="AS2530" i="49"/>
  <c r="AT2530" i="49"/>
  <c r="AO2531" i="49"/>
  <c r="AP2531" i="49"/>
  <c r="AQ2531" i="49"/>
  <c r="AR2531" i="49"/>
  <c r="AS2531" i="49"/>
  <c r="AT2531" i="49"/>
  <c r="AO2532" i="49"/>
  <c r="AP2532" i="49"/>
  <c r="AQ2532" i="49"/>
  <c r="AR2532" i="49"/>
  <c r="AS2532" i="49"/>
  <c r="AT2532" i="49"/>
  <c r="AO2533" i="49"/>
  <c r="AP2533" i="49"/>
  <c r="AQ2533" i="49"/>
  <c r="AR2533" i="49"/>
  <c r="AS2533" i="49"/>
  <c r="AT2533" i="49"/>
  <c r="AO2534" i="49"/>
  <c r="AP2534" i="49"/>
  <c r="AQ2534" i="49"/>
  <c r="AR2534" i="49"/>
  <c r="AS2534" i="49"/>
  <c r="AT2534" i="49"/>
  <c r="AO2535" i="49"/>
  <c r="AP2535" i="49"/>
  <c r="AQ2535" i="49"/>
  <c r="AR2535" i="49"/>
  <c r="AS2535" i="49"/>
  <c r="AT2535" i="49"/>
  <c r="AO2536" i="49"/>
  <c r="AP2536" i="49"/>
  <c r="AQ2536" i="49"/>
  <c r="AR2536" i="49"/>
  <c r="AS2536" i="49"/>
  <c r="AT2536" i="49"/>
  <c r="AO2537" i="49"/>
  <c r="AP2537" i="49"/>
  <c r="AQ2537" i="49"/>
  <c r="AR2537" i="49"/>
  <c r="AS2537" i="49"/>
  <c r="AT2537" i="49"/>
  <c r="AO2538" i="49"/>
  <c r="AP2538" i="49"/>
  <c r="AQ2538" i="49"/>
  <c r="AR2538" i="49"/>
  <c r="AS2538" i="49"/>
  <c r="AT2538" i="49"/>
  <c r="AO2539" i="49"/>
  <c r="AP2539" i="49"/>
  <c r="AQ2539" i="49"/>
  <c r="AR2539" i="49"/>
  <c r="AS2539" i="49"/>
  <c r="AT2539" i="49"/>
  <c r="AO2540" i="49"/>
  <c r="AP2540" i="49"/>
  <c r="AQ2540" i="49"/>
  <c r="AR2540" i="49"/>
  <c r="AS2540" i="49"/>
  <c r="AT2540" i="49"/>
  <c r="AO2541" i="49"/>
  <c r="AP2541" i="49"/>
  <c r="AQ2541" i="49"/>
  <c r="AR2541" i="49"/>
  <c r="AS2541" i="49"/>
  <c r="AT2541" i="49"/>
  <c r="AO2542" i="49"/>
  <c r="AP2542" i="49"/>
  <c r="AQ2542" i="49"/>
  <c r="AR2542" i="49"/>
  <c r="AS2542" i="49"/>
  <c r="AT2542" i="49"/>
  <c r="AO2543" i="49"/>
  <c r="AP2543" i="49"/>
  <c r="AQ2543" i="49"/>
  <c r="AR2543" i="49"/>
  <c r="AS2543" i="49"/>
  <c r="AT2543" i="49"/>
  <c r="AO2544" i="49"/>
  <c r="AP2544" i="49"/>
  <c r="AQ2544" i="49"/>
  <c r="AR2544" i="49"/>
  <c r="AS2544" i="49"/>
  <c r="AT2544" i="49"/>
  <c r="AO2545" i="49"/>
  <c r="AP2545" i="49"/>
  <c r="AQ2545" i="49"/>
  <c r="AR2545" i="49"/>
  <c r="AS2545" i="49"/>
  <c r="AT2545" i="49"/>
  <c r="AO2546" i="49"/>
  <c r="AP2546" i="49"/>
  <c r="AQ2546" i="49"/>
  <c r="AR2546" i="49"/>
  <c r="AS2546" i="49"/>
  <c r="AT2546" i="49"/>
  <c r="AO2547" i="49"/>
  <c r="AP2547" i="49"/>
  <c r="AQ2547" i="49"/>
  <c r="AR2547" i="49"/>
  <c r="AS2547" i="49"/>
  <c r="AT2547" i="49"/>
  <c r="AO2548" i="49"/>
  <c r="AP2548" i="49"/>
  <c r="AQ2548" i="49"/>
  <c r="AR2548" i="49"/>
  <c r="AS2548" i="49"/>
  <c r="AT2548" i="49"/>
  <c r="AO2549" i="49"/>
  <c r="AP2549" i="49"/>
  <c r="AQ2549" i="49"/>
  <c r="AR2549" i="49"/>
  <c r="AS2549" i="49"/>
  <c r="AT2549" i="49"/>
  <c r="AO2550" i="49"/>
  <c r="AP2550" i="49"/>
  <c r="AQ2550" i="49"/>
  <c r="AR2550" i="49"/>
  <c r="AS2550" i="49"/>
  <c r="AT2550" i="49"/>
  <c r="AO2551" i="49"/>
  <c r="AP2551" i="49"/>
  <c r="AQ2551" i="49"/>
  <c r="AR2551" i="49"/>
  <c r="AS2551" i="49"/>
  <c r="AT2551" i="49"/>
  <c r="AO2552" i="49"/>
  <c r="AP2552" i="49"/>
  <c r="AQ2552" i="49"/>
  <c r="AR2552" i="49"/>
  <c r="AS2552" i="49"/>
  <c r="AT2552" i="49"/>
  <c r="AO2553" i="49"/>
  <c r="AP2553" i="49"/>
  <c r="AQ2553" i="49"/>
  <c r="AR2553" i="49"/>
  <c r="AS2553" i="49"/>
  <c r="AT2553" i="49"/>
  <c r="AO2554" i="49"/>
  <c r="AP2554" i="49"/>
  <c r="AQ2554" i="49"/>
  <c r="AR2554" i="49"/>
  <c r="AS2554" i="49"/>
  <c r="AT2554" i="49"/>
  <c r="AO2555" i="49"/>
  <c r="AP2555" i="49"/>
  <c r="AQ2555" i="49"/>
  <c r="AR2555" i="49"/>
  <c r="AS2555" i="49"/>
  <c r="AT2555" i="49"/>
  <c r="AO2556" i="49"/>
  <c r="AP2556" i="49"/>
  <c r="AQ2556" i="49"/>
  <c r="AR2556" i="49"/>
  <c r="AS2556" i="49"/>
  <c r="AT2556" i="49"/>
  <c r="AO2557" i="49"/>
  <c r="AP2557" i="49"/>
  <c r="AQ2557" i="49"/>
  <c r="AR2557" i="49"/>
  <c r="AS2557" i="49"/>
  <c r="AT2557" i="49"/>
  <c r="AO2558" i="49"/>
  <c r="AP2558" i="49"/>
  <c r="AQ2558" i="49"/>
  <c r="AR2558" i="49"/>
  <c r="AS2558" i="49"/>
  <c r="AT2558" i="49"/>
  <c r="AO2559" i="49"/>
  <c r="AP2559" i="49"/>
  <c r="AQ2559" i="49"/>
  <c r="AR2559" i="49"/>
  <c r="AS2559" i="49"/>
  <c r="AT2559" i="49"/>
  <c r="AO2560" i="49"/>
  <c r="AP2560" i="49"/>
  <c r="AQ2560" i="49"/>
  <c r="AR2560" i="49"/>
  <c r="AS2560" i="49"/>
  <c r="AT2560" i="49"/>
  <c r="AO2561" i="49"/>
  <c r="AP2561" i="49"/>
  <c r="AQ2561" i="49"/>
  <c r="AR2561" i="49"/>
  <c r="AS2561" i="49"/>
  <c r="AT2561" i="49"/>
  <c r="AO2562" i="49"/>
  <c r="AP2562" i="49"/>
  <c r="AQ2562" i="49"/>
  <c r="AR2562" i="49"/>
  <c r="AS2562" i="49"/>
  <c r="AT2562" i="49"/>
  <c r="AO2563" i="49"/>
  <c r="AP2563" i="49"/>
  <c r="AQ2563" i="49"/>
  <c r="AR2563" i="49"/>
  <c r="AS2563" i="49"/>
  <c r="AT2563" i="49"/>
  <c r="AO2564" i="49"/>
  <c r="AP2564" i="49"/>
  <c r="AQ2564" i="49"/>
  <c r="AR2564" i="49"/>
  <c r="AS2564" i="49"/>
  <c r="AT2564" i="49"/>
  <c r="AO2565" i="49"/>
  <c r="AP2565" i="49"/>
  <c r="AQ2565" i="49"/>
  <c r="AR2565" i="49"/>
  <c r="AS2565" i="49"/>
  <c r="AT2565" i="49"/>
  <c r="AO2566" i="49"/>
  <c r="AP2566" i="49"/>
  <c r="AQ2566" i="49"/>
  <c r="AR2566" i="49"/>
  <c r="AS2566" i="49"/>
  <c r="AT2566" i="49"/>
  <c r="AO2567" i="49"/>
  <c r="AP2567" i="49"/>
  <c r="AQ2567" i="49"/>
  <c r="AR2567" i="49"/>
  <c r="AS2567" i="49"/>
  <c r="AT2567" i="49"/>
  <c r="AO2568" i="49"/>
  <c r="AP2568" i="49"/>
  <c r="AQ2568" i="49"/>
  <c r="AR2568" i="49"/>
  <c r="AS2568" i="49"/>
  <c r="AT2568" i="49"/>
  <c r="AO2569" i="49"/>
  <c r="AP2569" i="49"/>
  <c r="AQ2569" i="49"/>
  <c r="AR2569" i="49"/>
  <c r="AS2569" i="49"/>
  <c r="AT2569" i="49"/>
  <c r="AO2570" i="49"/>
  <c r="AP2570" i="49"/>
  <c r="AQ2570" i="49"/>
  <c r="AR2570" i="49"/>
  <c r="AS2570" i="49"/>
  <c r="AT2570" i="49"/>
  <c r="AO2571" i="49"/>
  <c r="AP2571" i="49"/>
  <c r="AQ2571" i="49"/>
  <c r="AR2571" i="49"/>
  <c r="AS2571" i="49"/>
  <c r="AT2571" i="49"/>
  <c r="AO2572" i="49"/>
  <c r="AP2572" i="49"/>
  <c r="AQ2572" i="49"/>
  <c r="AR2572" i="49"/>
  <c r="AS2572" i="49"/>
  <c r="AT2572" i="49"/>
  <c r="AO2573" i="49"/>
  <c r="AP2573" i="49"/>
  <c r="AQ2573" i="49"/>
  <c r="AR2573" i="49"/>
  <c r="AS2573" i="49"/>
  <c r="AT2573" i="49"/>
  <c r="AO2574" i="49"/>
  <c r="AP2574" i="49"/>
  <c r="AQ2574" i="49"/>
  <c r="AR2574" i="49"/>
  <c r="AS2574" i="49"/>
  <c r="AT2574" i="49"/>
  <c r="AO2575" i="49"/>
  <c r="AP2575" i="49"/>
  <c r="AQ2575" i="49"/>
  <c r="AR2575" i="49"/>
  <c r="AS2575" i="49"/>
  <c r="AT2575" i="49"/>
  <c r="AO2576" i="49"/>
  <c r="AP2576" i="49"/>
  <c r="AQ2576" i="49"/>
  <c r="AR2576" i="49"/>
  <c r="AS2576" i="49"/>
  <c r="AT2576" i="49"/>
  <c r="AO2577" i="49"/>
  <c r="AP2577" i="49"/>
  <c r="AQ2577" i="49"/>
  <c r="AR2577" i="49"/>
  <c r="AS2577" i="49"/>
  <c r="AT2577" i="49"/>
  <c r="AO2578" i="49"/>
  <c r="AP2578" i="49"/>
  <c r="AQ2578" i="49"/>
  <c r="AR2578" i="49"/>
  <c r="AS2578" i="49"/>
  <c r="AT2578" i="49"/>
  <c r="AO2579" i="49"/>
  <c r="AP2579" i="49"/>
  <c r="AQ2579" i="49"/>
  <c r="AR2579" i="49"/>
  <c r="AS2579" i="49"/>
  <c r="AT2579" i="49"/>
  <c r="AO2580" i="49"/>
  <c r="AP2580" i="49"/>
  <c r="AQ2580" i="49"/>
  <c r="AR2580" i="49"/>
  <c r="AS2580" i="49"/>
  <c r="AT2580" i="49"/>
  <c r="AO2581" i="49"/>
  <c r="AP2581" i="49"/>
  <c r="AQ2581" i="49"/>
  <c r="AR2581" i="49"/>
  <c r="AS2581" i="49"/>
  <c r="AT2581" i="49"/>
  <c r="AO2582" i="49"/>
  <c r="AP2582" i="49"/>
  <c r="AQ2582" i="49"/>
  <c r="AR2582" i="49"/>
  <c r="AS2582" i="49"/>
  <c r="AT2582" i="49"/>
  <c r="AO2583" i="49"/>
  <c r="AP2583" i="49"/>
  <c r="AQ2583" i="49"/>
  <c r="AR2583" i="49"/>
  <c r="AS2583" i="49"/>
  <c r="AT2583" i="49"/>
  <c r="AO2584" i="49"/>
  <c r="AP2584" i="49"/>
  <c r="AQ2584" i="49"/>
  <c r="AR2584" i="49"/>
  <c r="AS2584" i="49"/>
  <c r="AT2584" i="49"/>
  <c r="AO2585" i="49"/>
  <c r="AP2585" i="49"/>
  <c r="AQ2585" i="49"/>
  <c r="AR2585" i="49"/>
  <c r="AS2585" i="49"/>
  <c r="AT2585" i="49"/>
  <c r="AO2586" i="49"/>
  <c r="AP2586" i="49"/>
  <c r="AQ2586" i="49"/>
  <c r="AR2586" i="49"/>
  <c r="AS2586" i="49"/>
  <c r="AT2586" i="49"/>
  <c r="AO2587" i="49"/>
  <c r="AP2587" i="49"/>
  <c r="AQ2587" i="49"/>
  <c r="AR2587" i="49"/>
  <c r="AS2587" i="49"/>
  <c r="AT2587" i="49"/>
  <c r="AO2588" i="49"/>
  <c r="AP2588" i="49"/>
  <c r="AQ2588" i="49"/>
  <c r="AR2588" i="49"/>
  <c r="AS2588" i="49"/>
  <c r="AT2588" i="49"/>
  <c r="AO2589" i="49"/>
  <c r="AP2589" i="49"/>
  <c r="AQ2589" i="49"/>
  <c r="AR2589" i="49"/>
  <c r="AS2589" i="49"/>
  <c r="AT2589" i="49"/>
  <c r="AO2590" i="49"/>
  <c r="AP2590" i="49"/>
  <c r="AQ2590" i="49"/>
  <c r="AR2590" i="49"/>
  <c r="AS2590" i="49"/>
  <c r="AT2590" i="49"/>
  <c r="AO2591" i="49"/>
  <c r="AP2591" i="49"/>
  <c r="AQ2591" i="49"/>
  <c r="AR2591" i="49"/>
  <c r="AS2591" i="49"/>
  <c r="AT2591" i="49"/>
  <c r="AO2592" i="49"/>
  <c r="AP2592" i="49"/>
  <c r="AQ2592" i="49"/>
  <c r="AR2592" i="49"/>
  <c r="AS2592" i="49"/>
  <c r="AT2592" i="49"/>
  <c r="AO2593" i="49"/>
  <c r="AP2593" i="49"/>
  <c r="AQ2593" i="49"/>
  <c r="AR2593" i="49"/>
  <c r="AS2593" i="49"/>
  <c r="AT2593" i="49"/>
  <c r="AO2594" i="49"/>
  <c r="AP2594" i="49"/>
  <c r="AQ2594" i="49"/>
  <c r="AR2594" i="49"/>
  <c r="AS2594" i="49"/>
  <c r="AT2594" i="49"/>
  <c r="AO2595" i="49"/>
  <c r="AP2595" i="49"/>
  <c r="AQ2595" i="49"/>
  <c r="AR2595" i="49"/>
  <c r="AS2595" i="49"/>
  <c r="AT2595" i="49"/>
  <c r="AO2596" i="49"/>
  <c r="AP2596" i="49"/>
  <c r="AQ2596" i="49"/>
  <c r="AR2596" i="49"/>
  <c r="AS2596" i="49"/>
  <c r="AT2596" i="49"/>
  <c r="AO2597" i="49"/>
  <c r="AP2597" i="49"/>
  <c r="AQ2597" i="49"/>
  <c r="AR2597" i="49"/>
  <c r="AS2597" i="49"/>
  <c r="AT2597" i="49"/>
  <c r="AO2598" i="49"/>
  <c r="AP2598" i="49"/>
  <c r="AQ2598" i="49"/>
  <c r="AR2598" i="49"/>
  <c r="AS2598" i="49"/>
  <c r="AT2598" i="49"/>
  <c r="AO2599" i="49"/>
  <c r="AP2599" i="49"/>
  <c r="AQ2599" i="49"/>
  <c r="AR2599" i="49"/>
  <c r="AS2599" i="49"/>
  <c r="AT2599" i="49"/>
  <c r="AO2600" i="49"/>
  <c r="AP2600" i="49"/>
  <c r="AQ2600" i="49"/>
  <c r="AR2600" i="49"/>
  <c r="AS2600" i="49"/>
  <c r="AT2600" i="49"/>
  <c r="AO2601" i="49"/>
  <c r="AP2601" i="49"/>
  <c r="AQ2601" i="49"/>
  <c r="AR2601" i="49"/>
  <c r="AS2601" i="49"/>
  <c r="AT2601" i="49"/>
  <c r="AO2602" i="49"/>
  <c r="AP2602" i="49"/>
  <c r="AQ2602" i="49"/>
  <c r="AR2602" i="49"/>
  <c r="AS2602" i="49"/>
  <c r="AT2602" i="49"/>
  <c r="AO2603" i="49"/>
  <c r="AP2603" i="49"/>
  <c r="AQ2603" i="49"/>
  <c r="AR2603" i="49"/>
  <c r="AS2603" i="49"/>
  <c r="AT2603" i="49"/>
  <c r="AO2604" i="49"/>
  <c r="AP2604" i="49"/>
  <c r="AQ2604" i="49"/>
  <c r="AR2604" i="49"/>
  <c r="AS2604" i="49"/>
  <c r="AT2604" i="49"/>
  <c r="AO2605" i="49"/>
  <c r="AP2605" i="49"/>
  <c r="AQ2605" i="49"/>
  <c r="AR2605" i="49"/>
  <c r="AS2605" i="49"/>
  <c r="AT2605" i="49"/>
  <c r="AO2606" i="49"/>
  <c r="AP2606" i="49"/>
  <c r="AQ2606" i="49"/>
  <c r="AR2606" i="49"/>
  <c r="AS2606" i="49"/>
  <c r="AT2606" i="49"/>
  <c r="AO2607" i="49"/>
  <c r="AP2607" i="49"/>
  <c r="AQ2607" i="49"/>
  <c r="AR2607" i="49"/>
  <c r="AS2607" i="49"/>
  <c r="AT2607" i="49"/>
  <c r="AO2608" i="49"/>
  <c r="AP2608" i="49"/>
  <c r="AQ2608" i="49"/>
  <c r="AR2608" i="49"/>
  <c r="AS2608" i="49"/>
  <c r="AT2608" i="49"/>
  <c r="AO2609" i="49"/>
  <c r="AP2609" i="49"/>
  <c r="AQ2609" i="49"/>
  <c r="AR2609" i="49"/>
  <c r="AS2609" i="49"/>
  <c r="AT2609" i="49"/>
  <c r="AO2610" i="49"/>
  <c r="AP2610" i="49"/>
  <c r="AQ2610" i="49"/>
  <c r="AR2610" i="49"/>
  <c r="AS2610" i="49"/>
  <c r="AT2610" i="49"/>
  <c r="AO2611" i="49"/>
  <c r="AP2611" i="49"/>
  <c r="AQ2611" i="49"/>
  <c r="AR2611" i="49"/>
  <c r="AS2611" i="49"/>
  <c r="AT2611" i="49"/>
  <c r="AO2612" i="49"/>
  <c r="AP2612" i="49"/>
  <c r="AQ2612" i="49"/>
  <c r="AR2612" i="49"/>
  <c r="AS2612" i="49"/>
  <c r="AT2612" i="49"/>
  <c r="AO2613" i="49"/>
  <c r="AP2613" i="49"/>
  <c r="AQ2613" i="49"/>
  <c r="AR2613" i="49"/>
  <c r="AS2613" i="49"/>
  <c r="AT2613" i="49"/>
  <c r="AO2614" i="49"/>
  <c r="AP2614" i="49"/>
  <c r="AQ2614" i="49"/>
  <c r="AR2614" i="49"/>
  <c r="AS2614" i="49"/>
  <c r="AT2614" i="49"/>
  <c r="AO2615" i="49"/>
  <c r="AP2615" i="49"/>
  <c r="AQ2615" i="49"/>
  <c r="AR2615" i="49"/>
  <c r="AS2615" i="49"/>
  <c r="AT2615" i="49"/>
  <c r="AO2616" i="49"/>
  <c r="AP2616" i="49"/>
  <c r="AQ2616" i="49"/>
  <c r="AR2616" i="49"/>
  <c r="AS2616" i="49"/>
  <c r="AT2616" i="49"/>
  <c r="AO2617" i="49"/>
  <c r="AP2617" i="49"/>
  <c r="AQ2617" i="49"/>
  <c r="AR2617" i="49"/>
  <c r="AS2617" i="49"/>
  <c r="AT2617" i="49"/>
  <c r="AO2618" i="49"/>
  <c r="AP2618" i="49"/>
  <c r="AQ2618" i="49"/>
  <c r="AR2618" i="49"/>
  <c r="AS2618" i="49"/>
  <c r="AT2618" i="49"/>
  <c r="AO2619" i="49"/>
  <c r="AP2619" i="49"/>
  <c r="AQ2619" i="49"/>
  <c r="AR2619" i="49"/>
  <c r="AS2619" i="49"/>
  <c r="AT2619" i="49"/>
  <c r="AO2620" i="49"/>
  <c r="AP2620" i="49"/>
  <c r="AQ2620" i="49"/>
  <c r="AR2620" i="49"/>
  <c r="AS2620" i="49"/>
  <c r="AT2620" i="49"/>
  <c r="AO2621" i="49"/>
  <c r="AP2621" i="49"/>
  <c r="AQ2621" i="49"/>
  <c r="AR2621" i="49"/>
  <c r="AS2621" i="49"/>
  <c r="AT2621" i="49"/>
  <c r="AO2622" i="49"/>
  <c r="AP2622" i="49"/>
  <c r="AQ2622" i="49"/>
  <c r="AR2622" i="49"/>
  <c r="AS2622" i="49"/>
  <c r="AT2622" i="49"/>
  <c r="AO2623" i="49"/>
  <c r="AP2623" i="49"/>
  <c r="AQ2623" i="49"/>
  <c r="AR2623" i="49"/>
  <c r="AS2623" i="49"/>
  <c r="AT2623" i="49"/>
  <c r="AO2624" i="49"/>
  <c r="AP2624" i="49"/>
  <c r="AQ2624" i="49"/>
  <c r="AR2624" i="49"/>
  <c r="AS2624" i="49"/>
  <c r="AT2624" i="49"/>
  <c r="AO2625" i="49"/>
  <c r="AP2625" i="49"/>
  <c r="AQ2625" i="49"/>
  <c r="AR2625" i="49"/>
  <c r="AS2625" i="49"/>
  <c r="AT2625" i="49"/>
  <c r="AO2626" i="49"/>
  <c r="AP2626" i="49"/>
  <c r="AQ2626" i="49"/>
  <c r="AR2626" i="49"/>
  <c r="AS2626" i="49"/>
  <c r="AT2626" i="49"/>
  <c r="AO2627" i="49"/>
  <c r="AP2627" i="49"/>
  <c r="AQ2627" i="49"/>
  <c r="AR2627" i="49"/>
  <c r="AS2627" i="49"/>
  <c r="AT2627" i="49"/>
  <c r="AO2628" i="49"/>
  <c r="AP2628" i="49"/>
  <c r="AQ2628" i="49"/>
  <c r="AR2628" i="49"/>
  <c r="AS2628" i="49"/>
  <c r="AT2628" i="49"/>
  <c r="AO2629" i="49"/>
  <c r="AP2629" i="49"/>
  <c r="AQ2629" i="49"/>
  <c r="AR2629" i="49"/>
  <c r="AS2629" i="49"/>
  <c r="AT2629" i="49"/>
  <c r="AO2630" i="49"/>
  <c r="AP2630" i="49"/>
  <c r="AQ2630" i="49"/>
  <c r="AR2630" i="49"/>
  <c r="AS2630" i="49"/>
  <c r="AT2630" i="49"/>
  <c r="AO2631" i="49"/>
  <c r="AP2631" i="49"/>
  <c r="AQ2631" i="49"/>
  <c r="AR2631" i="49"/>
  <c r="AS2631" i="49"/>
  <c r="AT2631" i="49"/>
  <c r="AO2632" i="49"/>
  <c r="AP2632" i="49"/>
  <c r="AQ2632" i="49"/>
  <c r="AR2632" i="49"/>
  <c r="AS2632" i="49"/>
  <c r="AT2632" i="49"/>
  <c r="AO2633" i="49"/>
  <c r="AP2633" i="49"/>
  <c r="AQ2633" i="49"/>
  <c r="AR2633" i="49"/>
  <c r="AS2633" i="49"/>
  <c r="AT2633" i="49"/>
  <c r="AO2634" i="49"/>
  <c r="AP2634" i="49"/>
  <c r="AQ2634" i="49"/>
  <c r="AR2634" i="49"/>
  <c r="AS2634" i="49"/>
  <c r="AT2634" i="49"/>
  <c r="AO2635" i="49"/>
  <c r="AP2635" i="49"/>
  <c r="AQ2635" i="49"/>
  <c r="AR2635" i="49"/>
  <c r="AS2635" i="49"/>
  <c r="AT2635" i="49"/>
  <c r="AO2636" i="49"/>
  <c r="AP2636" i="49"/>
  <c r="AQ2636" i="49"/>
  <c r="AR2636" i="49"/>
  <c r="AS2636" i="49"/>
  <c r="AT2636" i="49"/>
  <c r="AO2637" i="49"/>
  <c r="AP2637" i="49"/>
  <c r="AQ2637" i="49"/>
  <c r="AR2637" i="49"/>
  <c r="AS2637" i="49"/>
  <c r="AT2637" i="49"/>
  <c r="AO2638" i="49"/>
  <c r="AP2638" i="49"/>
  <c r="AQ2638" i="49"/>
  <c r="AR2638" i="49"/>
  <c r="AS2638" i="49"/>
  <c r="AT2638" i="49"/>
  <c r="AO2639" i="49"/>
  <c r="AP2639" i="49"/>
  <c r="AQ2639" i="49"/>
  <c r="AR2639" i="49"/>
  <c r="AS2639" i="49"/>
  <c r="AT2639" i="49"/>
  <c r="AO2640" i="49"/>
  <c r="AP2640" i="49"/>
  <c r="AQ2640" i="49"/>
  <c r="AR2640" i="49"/>
  <c r="AS2640" i="49"/>
  <c r="AT2640" i="49"/>
  <c r="AO2641" i="49"/>
  <c r="AP2641" i="49"/>
  <c r="AQ2641" i="49"/>
  <c r="AR2641" i="49"/>
  <c r="AS2641" i="49"/>
  <c r="AT2641" i="49"/>
  <c r="AO2642" i="49"/>
  <c r="AP2642" i="49"/>
  <c r="AQ2642" i="49"/>
  <c r="AR2642" i="49"/>
  <c r="AS2642" i="49"/>
  <c r="AT2642" i="49"/>
  <c r="AO2643" i="49"/>
  <c r="AP2643" i="49"/>
  <c r="AQ2643" i="49"/>
  <c r="AR2643" i="49"/>
  <c r="AS2643" i="49"/>
  <c r="AT2643" i="49"/>
  <c r="AO2644" i="49"/>
  <c r="AP2644" i="49"/>
  <c r="AQ2644" i="49"/>
  <c r="AR2644" i="49"/>
  <c r="AS2644" i="49"/>
  <c r="AT2644" i="49"/>
  <c r="AO2645" i="49"/>
  <c r="AP2645" i="49"/>
  <c r="AQ2645" i="49"/>
  <c r="AR2645" i="49"/>
  <c r="AS2645" i="49"/>
  <c r="AT2645" i="49"/>
  <c r="AO2646" i="49"/>
  <c r="AP2646" i="49"/>
  <c r="AQ2646" i="49"/>
  <c r="AR2646" i="49"/>
  <c r="AS2646" i="49"/>
  <c r="AT2646" i="49"/>
  <c r="AO2647" i="49"/>
  <c r="AP2647" i="49"/>
  <c r="AQ2647" i="49"/>
  <c r="AR2647" i="49"/>
  <c r="AS2647" i="49"/>
  <c r="AT2647" i="49"/>
  <c r="AO2648" i="49"/>
  <c r="AP2648" i="49"/>
  <c r="AQ2648" i="49"/>
  <c r="AR2648" i="49"/>
  <c r="AS2648" i="49"/>
  <c r="AT2648" i="49"/>
  <c r="AO2649" i="49"/>
  <c r="AP2649" i="49"/>
  <c r="AQ2649" i="49"/>
  <c r="AR2649" i="49"/>
  <c r="AS2649" i="49"/>
  <c r="AT2649" i="49"/>
  <c r="AO2650" i="49"/>
  <c r="AP2650" i="49"/>
  <c r="AQ2650" i="49"/>
  <c r="AR2650" i="49"/>
  <c r="AS2650" i="49"/>
  <c r="AT2650" i="49"/>
  <c r="AO2651" i="49"/>
  <c r="AP2651" i="49"/>
  <c r="AQ2651" i="49"/>
  <c r="AR2651" i="49"/>
  <c r="AS2651" i="49"/>
  <c r="AT2651" i="49"/>
  <c r="AO2652" i="49"/>
  <c r="AP2652" i="49"/>
  <c r="AQ2652" i="49"/>
  <c r="AR2652" i="49"/>
  <c r="AS2652" i="49"/>
  <c r="AT2652" i="49"/>
  <c r="AO2653" i="49"/>
  <c r="AP2653" i="49"/>
  <c r="AQ2653" i="49"/>
  <c r="AR2653" i="49"/>
  <c r="AS2653" i="49"/>
  <c r="AT2653" i="49"/>
  <c r="AO2654" i="49"/>
  <c r="AP2654" i="49"/>
  <c r="AQ2654" i="49"/>
  <c r="AR2654" i="49"/>
  <c r="AS2654" i="49"/>
  <c r="AT2654" i="49"/>
  <c r="AO2655" i="49"/>
  <c r="AP2655" i="49"/>
  <c r="AQ2655" i="49"/>
  <c r="AR2655" i="49"/>
  <c r="AS2655" i="49"/>
  <c r="AT2655" i="49"/>
  <c r="AO2656" i="49"/>
  <c r="AP2656" i="49"/>
  <c r="AQ2656" i="49"/>
  <c r="AR2656" i="49"/>
  <c r="AS2656" i="49"/>
  <c r="AT2656" i="49"/>
  <c r="AO2657" i="49"/>
  <c r="AP2657" i="49"/>
  <c r="AQ2657" i="49"/>
  <c r="AR2657" i="49"/>
  <c r="AS2657" i="49"/>
  <c r="AT2657" i="49"/>
  <c r="AO2658" i="49"/>
  <c r="AP2658" i="49"/>
  <c r="AQ2658" i="49"/>
  <c r="AR2658" i="49"/>
  <c r="AS2658" i="49"/>
  <c r="AT2658" i="49"/>
  <c r="AO2659" i="49"/>
  <c r="AP2659" i="49"/>
  <c r="AQ2659" i="49"/>
  <c r="AR2659" i="49"/>
  <c r="AS2659" i="49"/>
  <c r="AT2659" i="49"/>
  <c r="AO2660" i="49"/>
  <c r="AP2660" i="49"/>
  <c r="AQ2660" i="49"/>
  <c r="AR2660" i="49"/>
  <c r="AS2660" i="49"/>
  <c r="AT2660" i="49"/>
  <c r="AO2661" i="49"/>
  <c r="AP2661" i="49"/>
  <c r="AQ2661" i="49"/>
  <c r="AR2661" i="49"/>
  <c r="AS2661" i="49"/>
  <c r="AT2661" i="49"/>
  <c r="AO2662" i="49"/>
  <c r="AP2662" i="49"/>
  <c r="AQ2662" i="49"/>
  <c r="AR2662" i="49"/>
  <c r="AS2662" i="49"/>
  <c r="AT2662" i="49"/>
  <c r="AO2663" i="49"/>
  <c r="AP2663" i="49"/>
  <c r="AQ2663" i="49"/>
  <c r="AR2663" i="49"/>
  <c r="AS2663" i="49"/>
  <c r="AT2663" i="49"/>
  <c r="AO2664" i="49"/>
  <c r="AP2664" i="49"/>
  <c r="AQ2664" i="49"/>
  <c r="AR2664" i="49"/>
  <c r="AS2664" i="49"/>
  <c r="AT2664" i="49"/>
  <c r="AO2665" i="49"/>
  <c r="AP2665" i="49"/>
  <c r="AQ2665" i="49"/>
  <c r="AR2665" i="49"/>
  <c r="AS2665" i="49"/>
  <c r="AT2665" i="49"/>
  <c r="AO2666" i="49"/>
  <c r="AP2666" i="49"/>
  <c r="AQ2666" i="49"/>
  <c r="AR2666" i="49"/>
  <c r="AS2666" i="49"/>
  <c r="AT2666" i="49"/>
  <c r="AO2667" i="49"/>
  <c r="AP2667" i="49"/>
  <c r="AQ2667" i="49"/>
  <c r="AR2667" i="49"/>
  <c r="AS2667" i="49"/>
  <c r="AT2667" i="49"/>
  <c r="AO2668" i="49"/>
  <c r="AP2668" i="49"/>
  <c r="AQ2668" i="49"/>
  <c r="AR2668" i="49"/>
  <c r="AS2668" i="49"/>
  <c r="AT2668" i="49"/>
  <c r="AO2669" i="49"/>
  <c r="AP2669" i="49"/>
  <c r="AQ2669" i="49"/>
  <c r="AR2669" i="49"/>
  <c r="AS2669" i="49"/>
  <c r="AT2669" i="49"/>
  <c r="AO2670" i="49"/>
  <c r="AP2670" i="49"/>
  <c r="AQ2670" i="49"/>
  <c r="AR2670" i="49"/>
  <c r="AS2670" i="49"/>
  <c r="AT2670" i="49"/>
  <c r="AO2671" i="49"/>
  <c r="AP2671" i="49"/>
  <c r="AQ2671" i="49"/>
  <c r="AR2671" i="49"/>
  <c r="AS2671" i="49"/>
  <c r="AT2671" i="49"/>
  <c r="AO2672" i="49"/>
  <c r="AP2672" i="49"/>
  <c r="AQ2672" i="49"/>
  <c r="AR2672" i="49"/>
  <c r="AS2672" i="49"/>
  <c r="AT2672" i="49"/>
  <c r="AO2673" i="49"/>
  <c r="AP2673" i="49"/>
  <c r="AQ2673" i="49"/>
  <c r="AR2673" i="49"/>
  <c r="AS2673" i="49"/>
  <c r="AT2673" i="49"/>
  <c r="AO2674" i="49"/>
  <c r="AP2674" i="49"/>
  <c r="AQ2674" i="49"/>
  <c r="AR2674" i="49"/>
  <c r="AS2674" i="49"/>
  <c r="AT2674" i="49"/>
  <c r="AO2675" i="49"/>
  <c r="AP2675" i="49"/>
  <c r="AQ2675" i="49"/>
  <c r="AR2675" i="49"/>
  <c r="AS2675" i="49"/>
  <c r="AT2675" i="49"/>
  <c r="AO2676" i="49"/>
  <c r="AP2676" i="49"/>
  <c r="AQ2676" i="49"/>
  <c r="AR2676" i="49"/>
  <c r="AS2676" i="49"/>
  <c r="AT2676" i="49"/>
  <c r="AO2677" i="49"/>
  <c r="AP2677" i="49"/>
  <c r="AQ2677" i="49"/>
  <c r="AR2677" i="49"/>
  <c r="AS2677" i="49"/>
  <c r="AT2677" i="49"/>
  <c r="AO2678" i="49"/>
  <c r="AP2678" i="49"/>
  <c r="AQ2678" i="49"/>
  <c r="AR2678" i="49"/>
  <c r="AS2678" i="49"/>
  <c r="AT2678" i="49"/>
  <c r="AO2679" i="49"/>
  <c r="AP2679" i="49"/>
  <c r="AQ2679" i="49"/>
  <c r="AR2679" i="49"/>
  <c r="AS2679" i="49"/>
  <c r="AT2679" i="49"/>
  <c r="AO2680" i="49"/>
  <c r="AP2680" i="49"/>
  <c r="AQ2680" i="49"/>
  <c r="AR2680" i="49"/>
  <c r="AS2680" i="49"/>
  <c r="AT2680" i="49"/>
  <c r="AO2681" i="49"/>
  <c r="AP2681" i="49"/>
  <c r="AQ2681" i="49"/>
  <c r="AR2681" i="49"/>
  <c r="AS2681" i="49"/>
  <c r="AT2681" i="49"/>
  <c r="AO2682" i="49"/>
  <c r="AP2682" i="49"/>
  <c r="AQ2682" i="49"/>
  <c r="AR2682" i="49"/>
  <c r="AS2682" i="49"/>
  <c r="AT2682" i="49"/>
  <c r="AO2683" i="49"/>
  <c r="AP2683" i="49"/>
  <c r="AQ2683" i="49"/>
  <c r="AR2683" i="49"/>
  <c r="AS2683" i="49"/>
  <c r="AT2683" i="49"/>
  <c r="AO2684" i="49"/>
  <c r="AP2684" i="49"/>
  <c r="AQ2684" i="49"/>
  <c r="AR2684" i="49"/>
  <c r="AS2684" i="49"/>
  <c r="AT2684" i="49"/>
  <c r="AO2685" i="49"/>
  <c r="AP2685" i="49"/>
  <c r="AQ2685" i="49"/>
  <c r="AR2685" i="49"/>
  <c r="AS2685" i="49"/>
  <c r="AT2685" i="49"/>
  <c r="AO2686" i="49"/>
  <c r="AP2686" i="49"/>
  <c r="AQ2686" i="49"/>
  <c r="AR2686" i="49"/>
  <c r="AS2686" i="49"/>
  <c r="AT2686" i="49"/>
  <c r="AO2687" i="49"/>
  <c r="AP2687" i="49"/>
  <c r="AQ2687" i="49"/>
  <c r="AR2687" i="49"/>
  <c r="AS2687" i="49"/>
  <c r="AT2687" i="49"/>
  <c r="AO2688" i="49"/>
  <c r="AP2688" i="49"/>
  <c r="AQ2688" i="49"/>
  <c r="AR2688" i="49"/>
  <c r="AS2688" i="49"/>
  <c r="AT2688" i="49"/>
  <c r="AO2689" i="49"/>
  <c r="AP2689" i="49"/>
  <c r="AQ2689" i="49"/>
  <c r="AR2689" i="49"/>
  <c r="AS2689" i="49"/>
  <c r="AT2689" i="49"/>
  <c r="AO2690" i="49"/>
  <c r="AP2690" i="49"/>
  <c r="AQ2690" i="49"/>
  <c r="AR2690" i="49"/>
  <c r="AS2690" i="49"/>
  <c r="AT2690" i="49"/>
  <c r="AO2691" i="49"/>
  <c r="AP2691" i="49"/>
  <c r="AQ2691" i="49"/>
  <c r="AR2691" i="49"/>
  <c r="AS2691" i="49"/>
  <c r="AT2691" i="49"/>
  <c r="AO2692" i="49"/>
  <c r="AP2692" i="49"/>
  <c r="AQ2692" i="49"/>
  <c r="AR2692" i="49"/>
  <c r="AS2692" i="49"/>
  <c r="AT2692" i="49"/>
  <c r="AO2693" i="49"/>
  <c r="AP2693" i="49"/>
  <c r="AQ2693" i="49"/>
  <c r="AR2693" i="49"/>
  <c r="AS2693" i="49"/>
  <c r="AT2693" i="49"/>
  <c r="AO2694" i="49"/>
  <c r="AP2694" i="49"/>
  <c r="AQ2694" i="49"/>
  <c r="AR2694" i="49"/>
  <c r="AS2694" i="49"/>
  <c r="AT2694" i="49"/>
  <c r="AO2695" i="49"/>
  <c r="AP2695" i="49"/>
  <c r="AQ2695" i="49"/>
  <c r="AR2695" i="49"/>
  <c r="AS2695" i="49"/>
  <c r="AT2695" i="49"/>
  <c r="AO2696" i="49"/>
  <c r="AP2696" i="49"/>
  <c r="AQ2696" i="49"/>
  <c r="AR2696" i="49"/>
  <c r="AS2696" i="49"/>
  <c r="AT2696" i="49"/>
  <c r="AO2697" i="49"/>
  <c r="AP2697" i="49"/>
  <c r="AQ2697" i="49"/>
  <c r="AR2697" i="49"/>
  <c r="AS2697" i="49"/>
  <c r="AT2697" i="49"/>
  <c r="AO2698" i="49"/>
  <c r="AP2698" i="49"/>
  <c r="AQ2698" i="49"/>
  <c r="AR2698" i="49"/>
  <c r="AS2698" i="49"/>
  <c r="AT2698" i="49"/>
  <c r="AO2699" i="49"/>
  <c r="AP2699" i="49"/>
  <c r="AQ2699" i="49"/>
  <c r="AR2699" i="49"/>
  <c r="AS2699" i="49"/>
  <c r="AT2699" i="49"/>
  <c r="AO2700" i="49"/>
  <c r="AP2700" i="49"/>
  <c r="AQ2700" i="49"/>
  <c r="AR2700" i="49"/>
  <c r="AS2700" i="49"/>
  <c r="AT2700" i="49"/>
  <c r="AO2701" i="49"/>
  <c r="AP2701" i="49"/>
  <c r="AQ2701" i="49"/>
  <c r="AR2701" i="49"/>
  <c r="AS2701" i="49"/>
  <c r="AT2701" i="49"/>
  <c r="AO2702" i="49"/>
  <c r="AP2702" i="49"/>
  <c r="AQ2702" i="49"/>
  <c r="AR2702" i="49"/>
  <c r="AS2702" i="49"/>
  <c r="AT2702" i="49"/>
  <c r="AO2703" i="49"/>
  <c r="AP2703" i="49"/>
  <c r="AQ2703" i="49"/>
  <c r="AR2703" i="49"/>
  <c r="AS2703" i="49"/>
  <c r="AT2703" i="49"/>
  <c r="AO2704" i="49"/>
  <c r="AP2704" i="49"/>
  <c r="AQ2704" i="49"/>
  <c r="AR2704" i="49"/>
  <c r="AS2704" i="49"/>
  <c r="AT2704" i="49"/>
  <c r="AO2705" i="49"/>
  <c r="AP2705" i="49"/>
  <c r="AQ2705" i="49"/>
  <c r="AR2705" i="49"/>
  <c r="AS2705" i="49"/>
  <c r="AT2705" i="49"/>
  <c r="AO2706" i="49"/>
  <c r="AP2706" i="49"/>
  <c r="AQ2706" i="49"/>
  <c r="AR2706" i="49"/>
  <c r="AS2706" i="49"/>
  <c r="AT2706" i="49"/>
  <c r="AO2707" i="49"/>
  <c r="AP2707" i="49"/>
  <c r="AQ2707" i="49"/>
  <c r="AR2707" i="49"/>
  <c r="AS2707" i="49"/>
  <c r="AT2707" i="49"/>
  <c r="AO2708" i="49"/>
  <c r="AP2708" i="49"/>
  <c r="AQ2708" i="49"/>
  <c r="AR2708" i="49"/>
  <c r="AS2708" i="49"/>
  <c r="AT2708" i="49"/>
  <c r="AO2709" i="49"/>
  <c r="AP2709" i="49"/>
  <c r="AQ2709" i="49"/>
  <c r="AR2709" i="49"/>
  <c r="AS2709" i="49"/>
  <c r="AT2709" i="49"/>
  <c r="AO2710" i="49"/>
  <c r="AP2710" i="49"/>
  <c r="AQ2710" i="49"/>
  <c r="AR2710" i="49"/>
  <c r="AS2710" i="49"/>
  <c r="AT2710" i="49"/>
  <c r="AO2711" i="49"/>
  <c r="AP2711" i="49"/>
  <c r="AQ2711" i="49"/>
  <c r="AR2711" i="49"/>
  <c r="AS2711" i="49"/>
  <c r="AT2711" i="49"/>
  <c r="AO2712" i="49"/>
  <c r="AP2712" i="49"/>
  <c r="AQ2712" i="49"/>
  <c r="AR2712" i="49"/>
  <c r="AS2712" i="49"/>
  <c r="AT2712" i="49"/>
  <c r="AO2713" i="49"/>
  <c r="AP2713" i="49"/>
  <c r="AQ2713" i="49"/>
  <c r="AR2713" i="49"/>
  <c r="AS2713" i="49"/>
  <c r="AT2713" i="49"/>
  <c r="AO2714" i="49"/>
  <c r="AP2714" i="49"/>
  <c r="AQ2714" i="49"/>
  <c r="AR2714" i="49"/>
  <c r="AS2714" i="49"/>
  <c r="AT2714" i="49"/>
  <c r="AO2715" i="49"/>
  <c r="AP2715" i="49"/>
  <c r="AQ2715" i="49"/>
  <c r="AR2715" i="49"/>
  <c r="AS2715" i="49"/>
  <c r="AT2715" i="49"/>
  <c r="AO2716" i="49"/>
  <c r="AP2716" i="49"/>
  <c r="AQ2716" i="49"/>
  <c r="AR2716" i="49"/>
  <c r="AS2716" i="49"/>
  <c r="AT2716" i="49"/>
  <c r="AO2717" i="49"/>
  <c r="AP2717" i="49"/>
  <c r="AQ2717" i="49"/>
  <c r="AR2717" i="49"/>
  <c r="AS2717" i="49"/>
  <c r="AT2717" i="49"/>
  <c r="AO2718" i="49"/>
  <c r="AP2718" i="49"/>
  <c r="AQ2718" i="49"/>
  <c r="AR2718" i="49"/>
  <c r="AS2718" i="49"/>
  <c r="AT2718" i="49"/>
  <c r="AO2719" i="49"/>
  <c r="AP2719" i="49"/>
  <c r="AQ2719" i="49"/>
  <c r="AR2719" i="49"/>
  <c r="AS2719" i="49"/>
  <c r="AT2719" i="49"/>
  <c r="AO2720" i="49"/>
  <c r="AP2720" i="49"/>
  <c r="AQ2720" i="49"/>
  <c r="AR2720" i="49"/>
  <c r="AS2720" i="49"/>
  <c r="AT2720" i="49"/>
  <c r="AO2721" i="49"/>
  <c r="AP2721" i="49"/>
  <c r="AQ2721" i="49"/>
  <c r="AR2721" i="49"/>
  <c r="AS2721" i="49"/>
  <c r="AT2721" i="49"/>
  <c r="AO2722" i="49"/>
  <c r="AP2722" i="49"/>
  <c r="AQ2722" i="49"/>
  <c r="AR2722" i="49"/>
  <c r="AS2722" i="49"/>
  <c r="AT2722" i="49"/>
  <c r="AO2723" i="49"/>
  <c r="AP2723" i="49"/>
  <c r="AQ2723" i="49"/>
  <c r="AR2723" i="49"/>
  <c r="AS2723" i="49"/>
  <c r="AT2723" i="49"/>
  <c r="AO2724" i="49"/>
  <c r="AP2724" i="49"/>
  <c r="AQ2724" i="49"/>
  <c r="AR2724" i="49"/>
  <c r="AS2724" i="49"/>
  <c r="AT2724" i="49"/>
  <c r="AO2725" i="49"/>
  <c r="AP2725" i="49"/>
  <c r="AQ2725" i="49"/>
  <c r="AR2725" i="49"/>
  <c r="AS2725" i="49"/>
  <c r="AT2725" i="49"/>
  <c r="AO2726" i="49"/>
  <c r="AP2726" i="49"/>
  <c r="AQ2726" i="49"/>
  <c r="AR2726" i="49"/>
  <c r="AS2726" i="49"/>
  <c r="AT2726" i="49"/>
  <c r="AO2727" i="49"/>
  <c r="AP2727" i="49"/>
  <c r="AQ2727" i="49"/>
  <c r="AR2727" i="49"/>
  <c r="AS2727" i="49"/>
  <c r="AT2727" i="49"/>
  <c r="AO2728" i="49"/>
  <c r="AP2728" i="49"/>
  <c r="AQ2728" i="49"/>
  <c r="AR2728" i="49"/>
  <c r="AS2728" i="49"/>
  <c r="AT2728" i="49"/>
  <c r="AO2729" i="49"/>
  <c r="AP2729" i="49"/>
  <c r="AQ2729" i="49"/>
  <c r="AR2729" i="49"/>
  <c r="AS2729" i="49"/>
  <c r="AT2729" i="49"/>
  <c r="AO2730" i="49"/>
  <c r="AP2730" i="49"/>
  <c r="AQ2730" i="49"/>
  <c r="AR2730" i="49"/>
  <c r="AS2730" i="49"/>
  <c r="AT2730" i="49"/>
  <c r="AO2731" i="49"/>
  <c r="AP2731" i="49"/>
  <c r="AQ2731" i="49"/>
  <c r="AR2731" i="49"/>
  <c r="AS2731" i="49"/>
  <c r="AT2731" i="49"/>
  <c r="AO2732" i="49"/>
  <c r="AP2732" i="49"/>
  <c r="AQ2732" i="49"/>
  <c r="AR2732" i="49"/>
  <c r="AS2732" i="49"/>
  <c r="AT2732" i="49"/>
  <c r="AO2733" i="49"/>
  <c r="AP2733" i="49"/>
  <c r="AQ2733" i="49"/>
  <c r="AR2733" i="49"/>
  <c r="AS2733" i="49"/>
  <c r="AT2733" i="49"/>
  <c r="AO2734" i="49"/>
  <c r="AP2734" i="49"/>
  <c r="AQ2734" i="49"/>
  <c r="AR2734" i="49"/>
  <c r="AS2734" i="49"/>
  <c r="AT2734" i="49"/>
  <c r="AO2735" i="49"/>
  <c r="AP2735" i="49"/>
  <c r="AQ2735" i="49"/>
  <c r="AR2735" i="49"/>
  <c r="AS2735" i="49"/>
  <c r="AT2735" i="49"/>
  <c r="AO2736" i="49"/>
  <c r="AP2736" i="49"/>
  <c r="AQ2736" i="49"/>
  <c r="AR2736" i="49"/>
  <c r="AS2736" i="49"/>
  <c r="AT2736" i="49"/>
  <c r="AO2737" i="49"/>
  <c r="AP2737" i="49"/>
  <c r="AQ2737" i="49"/>
  <c r="AR2737" i="49"/>
  <c r="AS2737" i="49"/>
  <c r="AT2737" i="49"/>
  <c r="AO2738" i="49"/>
  <c r="AP2738" i="49"/>
  <c r="AQ2738" i="49"/>
  <c r="AR2738" i="49"/>
  <c r="AS2738" i="49"/>
  <c r="AT2738" i="49"/>
  <c r="AO2739" i="49"/>
  <c r="AP2739" i="49"/>
  <c r="AQ2739" i="49"/>
  <c r="AR2739" i="49"/>
  <c r="AS2739" i="49"/>
  <c r="AT2739" i="49"/>
  <c r="AO2740" i="49"/>
  <c r="AP2740" i="49"/>
  <c r="AQ2740" i="49"/>
  <c r="AR2740" i="49"/>
  <c r="AS2740" i="49"/>
  <c r="AT2740" i="49"/>
  <c r="AO2741" i="49"/>
  <c r="AP2741" i="49"/>
  <c r="AQ2741" i="49"/>
  <c r="AR2741" i="49"/>
  <c r="AS2741" i="49"/>
  <c r="AT2741" i="49"/>
  <c r="AO2742" i="49"/>
  <c r="AP2742" i="49"/>
  <c r="AQ2742" i="49"/>
  <c r="AR2742" i="49"/>
  <c r="AS2742" i="49"/>
  <c r="AT2742" i="49"/>
  <c r="AO2743" i="49"/>
  <c r="AP2743" i="49"/>
  <c r="AQ2743" i="49"/>
  <c r="AR2743" i="49"/>
  <c r="AS2743" i="49"/>
  <c r="AT2743" i="49"/>
  <c r="AO2744" i="49"/>
  <c r="AP2744" i="49"/>
  <c r="AQ2744" i="49"/>
  <c r="AR2744" i="49"/>
  <c r="AS2744" i="49"/>
  <c r="AT2744" i="49"/>
  <c r="AO2745" i="49"/>
  <c r="AP2745" i="49"/>
  <c r="AQ2745" i="49"/>
  <c r="AR2745" i="49"/>
  <c r="AS2745" i="49"/>
  <c r="AT2745" i="49"/>
  <c r="AO2746" i="49"/>
  <c r="AP2746" i="49"/>
  <c r="AQ2746" i="49"/>
  <c r="AR2746" i="49"/>
  <c r="AS2746" i="49"/>
  <c r="AT2746" i="49"/>
  <c r="AO2747" i="49"/>
  <c r="AP2747" i="49"/>
  <c r="AQ2747" i="49"/>
  <c r="AR2747" i="49"/>
  <c r="AS2747" i="49"/>
  <c r="AT2747" i="49"/>
  <c r="AO2748" i="49"/>
  <c r="AP2748" i="49"/>
  <c r="AQ2748" i="49"/>
  <c r="AR2748" i="49"/>
  <c r="AS2748" i="49"/>
  <c r="AT2748" i="49"/>
  <c r="AO2749" i="49"/>
  <c r="AP2749" i="49"/>
  <c r="AQ2749" i="49"/>
  <c r="AR2749" i="49"/>
  <c r="AS2749" i="49"/>
  <c r="AT2749" i="49"/>
  <c r="AO2750" i="49"/>
  <c r="AP2750" i="49"/>
  <c r="AQ2750" i="49"/>
  <c r="AR2750" i="49"/>
  <c r="AS2750" i="49"/>
  <c r="AT2750" i="49"/>
  <c r="AO2751" i="49"/>
  <c r="AP2751" i="49"/>
  <c r="AQ2751" i="49"/>
  <c r="AR2751" i="49"/>
  <c r="AS2751" i="49"/>
  <c r="AT2751" i="49"/>
  <c r="AO2752" i="49"/>
  <c r="AP2752" i="49"/>
  <c r="AQ2752" i="49"/>
  <c r="AR2752" i="49"/>
  <c r="AS2752" i="49"/>
  <c r="AT2752" i="49"/>
  <c r="AO2753" i="49"/>
  <c r="AP2753" i="49"/>
  <c r="AQ2753" i="49"/>
  <c r="AR2753" i="49"/>
  <c r="AS2753" i="49"/>
  <c r="AT2753" i="49"/>
  <c r="AO2754" i="49"/>
  <c r="AP2754" i="49"/>
  <c r="AQ2754" i="49"/>
  <c r="AR2754" i="49"/>
  <c r="AS2754" i="49"/>
  <c r="AT2754" i="49"/>
  <c r="AO2755" i="49"/>
  <c r="AP2755" i="49"/>
  <c r="AQ2755" i="49"/>
  <c r="AR2755" i="49"/>
  <c r="AS2755" i="49"/>
  <c r="AT2755" i="49"/>
  <c r="AO2756" i="49"/>
  <c r="AP2756" i="49"/>
  <c r="AQ2756" i="49"/>
  <c r="AR2756" i="49"/>
  <c r="AS2756" i="49"/>
  <c r="AT2756" i="49"/>
  <c r="AO2757" i="49"/>
  <c r="AP2757" i="49"/>
  <c r="AQ2757" i="49"/>
  <c r="AR2757" i="49"/>
  <c r="AS2757" i="49"/>
  <c r="AT2757" i="49"/>
  <c r="AO2758" i="49"/>
  <c r="AP2758" i="49"/>
  <c r="AQ2758" i="49"/>
  <c r="AR2758" i="49"/>
  <c r="AS2758" i="49"/>
  <c r="AT2758" i="49"/>
  <c r="AO2759" i="49"/>
  <c r="AP2759" i="49"/>
  <c r="AQ2759" i="49"/>
  <c r="AR2759" i="49"/>
  <c r="AS2759" i="49"/>
  <c r="AT2759" i="49"/>
  <c r="AO2760" i="49"/>
  <c r="AP2760" i="49"/>
  <c r="AQ2760" i="49"/>
  <c r="AR2760" i="49"/>
  <c r="AS2760" i="49"/>
  <c r="AT2760" i="49"/>
  <c r="AO2761" i="49"/>
  <c r="AP2761" i="49"/>
  <c r="AQ2761" i="49"/>
  <c r="AR2761" i="49"/>
  <c r="AS2761" i="49"/>
  <c r="AT2761" i="49"/>
  <c r="AO2762" i="49"/>
  <c r="AP2762" i="49"/>
  <c r="AQ2762" i="49"/>
  <c r="AR2762" i="49"/>
  <c r="AS2762" i="49"/>
  <c r="AT2762" i="49"/>
  <c r="AO2763" i="49"/>
  <c r="AP2763" i="49"/>
  <c r="AQ2763" i="49"/>
  <c r="AR2763" i="49"/>
  <c r="AS2763" i="49"/>
  <c r="AT2763" i="49"/>
  <c r="AO2764" i="49"/>
  <c r="AP2764" i="49"/>
  <c r="AQ2764" i="49"/>
  <c r="AR2764" i="49"/>
  <c r="AS2764" i="49"/>
  <c r="AT2764" i="49"/>
  <c r="AO2765" i="49"/>
  <c r="AP2765" i="49"/>
  <c r="AQ2765" i="49"/>
  <c r="AR2765" i="49"/>
  <c r="AS2765" i="49"/>
  <c r="AT2765" i="49"/>
  <c r="AO2766" i="49"/>
  <c r="AP2766" i="49"/>
  <c r="AQ2766" i="49"/>
  <c r="AR2766" i="49"/>
  <c r="AS2766" i="49"/>
  <c r="AT2766" i="49"/>
  <c r="AO2767" i="49"/>
  <c r="AP2767" i="49"/>
  <c r="AQ2767" i="49"/>
  <c r="AR2767" i="49"/>
  <c r="AS2767" i="49"/>
  <c r="AT2767" i="49"/>
  <c r="AO2768" i="49"/>
  <c r="AP2768" i="49"/>
  <c r="AQ2768" i="49"/>
  <c r="AR2768" i="49"/>
  <c r="AS2768" i="49"/>
  <c r="AT2768" i="49"/>
  <c r="AO2769" i="49"/>
  <c r="AP2769" i="49"/>
  <c r="AQ2769" i="49"/>
  <c r="AR2769" i="49"/>
  <c r="AS2769" i="49"/>
  <c r="AT2769" i="49"/>
  <c r="AO2770" i="49"/>
  <c r="AP2770" i="49"/>
  <c r="AQ2770" i="49"/>
  <c r="AR2770" i="49"/>
  <c r="AS2770" i="49"/>
  <c r="AT2770" i="49"/>
  <c r="AO2771" i="49"/>
  <c r="AP2771" i="49"/>
  <c r="AQ2771" i="49"/>
  <c r="AR2771" i="49"/>
  <c r="AS2771" i="49"/>
  <c r="AT2771" i="49"/>
  <c r="AO2772" i="49"/>
  <c r="AP2772" i="49"/>
  <c r="AQ2772" i="49"/>
  <c r="AR2772" i="49"/>
  <c r="AS2772" i="49"/>
  <c r="AT2772" i="49"/>
  <c r="AO2773" i="49"/>
  <c r="AP2773" i="49"/>
  <c r="AQ2773" i="49"/>
  <c r="AR2773" i="49"/>
  <c r="AS2773" i="49"/>
  <c r="AT2773" i="49"/>
  <c r="AO2774" i="49"/>
  <c r="AP2774" i="49"/>
  <c r="AQ2774" i="49"/>
  <c r="AR2774" i="49"/>
  <c r="AS2774" i="49"/>
  <c r="AT2774" i="49"/>
  <c r="AO2775" i="49"/>
  <c r="AP2775" i="49"/>
  <c r="AQ2775" i="49"/>
  <c r="AR2775" i="49"/>
  <c r="AS2775" i="49"/>
  <c r="AT2775" i="49"/>
  <c r="AO2776" i="49"/>
  <c r="AP2776" i="49"/>
  <c r="AQ2776" i="49"/>
  <c r="AR2776" i="49"/>
  <c r="AS2776" i="49"/>
  <c r="AT2776" i="49"/>
  <c r="AO2777" i="49"/>
  <c r="AP2777" i="49"/>
  <c r="AQ2777" i="49"/>
  <c r="AR2777" i="49"/>
  <c r="AS2777" i="49"/>
  <c r="AT2777" i="49"/>
  <c r="AO2778" i="49"/>
  <c r="AP2778" i="49"/>
  <c r="AQ2778" i="49"/>
  <c r="AR2778" i="49"/>
  <c r="AS2778" i="49"/>
  <c r="AT2778" i="49"/>
  <c r="AO2779" i="49"/>
  <c r="AP2779" i="49"/>
  <c r="AQ2779" i="49"/>
  <c r="AR2779" i="49"/>
  <c r="AS2779" i="49"/>
  <c r="AT2779" i="49"/>
  <c r="AO2780" i="49"/>
  <c r="AP2780" i="49"/>
  <c r="AQ2780" i="49"/>
  <c r="AR2780" i="49"/>
  <c r="AS2780" i="49"/>
  <c r="AT2780" i="49"/>
  <c r="AO2781" i="49"/>
  <c r="AP2781" i="49"/>
  <c r="AQ2781" i="49"/>
  <c r="AR2781" i="49"/>
  <c r="AS2781" i="49"/>
  <c r="AT2781" i="49"/>
  <c r="AO2782" i="49"/>
  <c r="AP2782" i="49"/>
  <c r="AQ2782" i="49"/>
  <c r="AR2782" i="49"/>
  <c r="AS2782" i="49"/>
  <c r="AT2782" i="49"/>
  <c r="AO2783" i="49"/>
  <c r="AP2783" i="49"/>
  <c r="AQ2783" i="49"/>
  <c r="AR2783" i="49"/>
  <c r="AS2783" i="49"/>
  <c r="AT2783" i="49"/>
  <c r="AO2784" i="49"/>
  <c r="AP2784" i="49"/>
  <c r="AQ2784" i="49"/>
  <c r="AR2784" i="49"/>
  <c r="AS2784" i="49"/>
  <c r="AT2784" i="49"/>
  <c r="AO2785" i="49"/>
  <c r="AP2785" i="49"/>
  <c r="AQ2785" i="49"/>
  <c r="AR2785" i="49"/>
  <c r="AS2785" i="49"/>
  <c r="AT2785" i="49"/>
  <c r="AO2786" i="49"/>
  <c r="AP2786" i="49"/>
  <c r="AQ2786" i="49"/>
  <c r="AR2786" i="49"/>
  <c r="AS2786" i="49"/>
  <c r="AT2786" i="49"/>
  <c r="AO2787" i="49"/>
  <c r="AP2787" i="49"/>
  <c r="AQ2787" i="49"/>
  <c r="AR2787" i="49"/>
  <c r="AS2787" i="49"/>
  <c r="AT2787" i="49"/>
  <c r="AO2788" i="49"/>
  <c r="AP2788" i="49"/>
  <c r="AQ2788" i="49"/>
  <c r="AR2788" i="49"/>
  <c r="AS2788" i="49"/>
  <c r="AT2788" i="49"/>
  <c r="AO2789" i="49"/>
  <c r="AP2789" i="49"/>
  <c r="AQ2789" i="49"/>
  <c r="AR2789" i="49"/>
  <c r="AS2789" i="49"/>
  <c r="AT2789" i="49"/>
  <c r="AO2790" i="49"/>
  <c r="AP2790" i="49"/>
  <c r="AQ2790" i="49"/>
  <c r="AR2790" i="49"/>
  <c r="AS2790" i="49"/>
  <c r="AT2790" i="49"/>
  <c r="AO2791" i="49"/>
  <c r="AP2791" i="49"/>
  <c r="AQ2791" i="49"/>
  <c r="AR2791" i="49"/>
  <c r="AS2791" i="49"/>
  <c r="AT2791" i="49"/>
  <c r="AO2792" i="49"/>
  <c r="AP2792" i="49"/>
  <c r="AQ2792" i="49"/>
  <c r="AR2792" i="49"/>
  <c r="AS2792" i="49"/>
  <c r="AT2792" i="49"/>
  <c r="AO2793" i="49"/>
  <c r="AP2793" i="49"/>
  <c r="AQ2793" i="49"/>
  <c r="AR2793" i="49"/>
  <c r="AS2793" i="49"/>
  <c r="AT2793" i="49"/>
  <c r="AO2794" i="49"/>
  <c r="AP2794" i="49"/>
  <c r="AQ2794" i="49"/>
  <c r="AR2794" i="49"/>
  <c r="AS2794" i="49"/>
  <c r="AT2794" i="49"/>
  <c r="AO2795" i="49"/>
  <c r="AP2795" i="49"/>
  <c r="AQ2795" i="49"/>
  <c r="AR2795" i="49"/>
  <c r="AS2795" i="49"/>
  <c r="AT2795" i="49"/>
  <c r="AO2796" i="49"/>
  <c r="AP2796" i="49"/>
  <c r="AQ2796" i="49"/>
  <c r="AR2796" i="49"/>
  <c r="AS2796" i="49"/>
  <c r="AT2796" i="49"/>
  <c r="AO2797" i="49"/>
  <c r="AP2797" i="49"/>
  <c r="AQ2797" i="49"/>
  <c r="AR2797" i="49"/>
  <c r="AS2797" i="49"/>
  <c r="AT2797" i="49"/>
  <c r="AO2798" i="49"/>
  <c r="AP2798" i="49"/>
  <c r="AQ2798" i="49"/>
  <c r="AR2798" i="49"/>
  <c r="AS2798" i="49"/>
  <c r="AT2798" i="49"/>
  <c r="AO2799" i="49"/>
  <c r="AP2799" i="49"/>
  <c r="AQ2799" i="49"/>
  <c r="AR2799" i="49"/>
  <c r="AS2799" i="49"/>
  <c r="AT2799" i="49"/>
  <c r="AO2800" i="49"/>
  <c r="AP2800" i="49"/>
  <c r="AQ2800" i="49"/>
  <c r="AR2800" i="49"/>
  <c r="AS2800" i="49"/>
  <c r="AT2800" i="49"/>
  <c r="AO2801" i="49"/>
  <c r="AP2801" i="49"/>
  <c r="AQ2801" i="49"/>
  <c r="AR2801" i="49"/>
  <c r="AS2801" i="49"/>
  <c r="AT2801" i="49"/>
  <c r="AO2802" i="49"/>
  <c r="AP2802" i="49"/>
  <c r="AQ2802" i="49"/>
  <c r="AR2802" i="49"/>
  <c r="AS2802" i="49"/>
  <c r="AT2802" i="49"/>
  <c r="AO2803" i="49"/>
  <c r="AP2803" i="49"/>
  <c r="AQ2803" i="49"/>
  <c r="AR2803" i="49"/>
  <c r="AS2803" i="49"/>
  <c r="AT2803" i="49"/>
  <c r="AO2804" i="49"/>
  <c r="AP2804" i="49"/>
  <c r="AQ2804" i="49"/>
  <c r="AR2804" i="49"/>
  <c r="AS2804" i="49"/>
  <c r="AT2804" i="49"/>
  <c r="AO2805" i="49"/>
  <c r="AP2805" i="49"/>
  <c r="AQ2805" i="49"/>
  <c r="AR2805" i="49"/>
  <c r="AS2805" i="49"/>
  <c r="AT2805" i="49"/>
  <c r="AO2806" i="49"/>
  <c r="AP2806" i="49"/>
  <c r="AQ2806" i="49"/>
  <c r="AR2806" i="49"/>
  <c r="AS2806" i="49"/>
  <c r="AT2806" i="49"/>
  <c r="AO2807" i="49"/>
  <c r="AP2807" i="49"/>
  <c r="AQ2807" i="49"/>
  <c r="AR2807" i="49"/>
  <c r="AS2807" i="49"/>
  <c r="AT2807" i="49"/>
  <c r="AO2808" i="49"/>
  <c r="AP2808" i="49"/>
  <c r="AQ2808" i="49"/>
  <c r="AR2808" i="49"/>
  <c r="AS2808" i="49"/>
  <c r="AT2808" i="49"/>
  <c r="AO2809" i="49"/>
  <c r="AP2809" i="49"/>
  <c r="AQ2809" i="49"/>
  <c r="AR2809" i="49"/>
  <c r="AS2809" i="49"/>
  <c r="AT2809" i="49"/>
  <c r="AO2810" i="49"/>
  <c r="AP2810" i="49"/>
  <c r="AQ2810" i="49"/>
  <c r="AR2810" i="49"/>
  <c r="AS2810" i="49"/>
  <c r="AT2810" i="49"/>
  <c r="AO2811" i="49"/>
  <c r="AP2811" i="49"/>
  <c r="AQ2811" i="49"/>
  <c r="AR2811" i="49"/>
  <c r="AS2811" i="49"/>
  <c r="AT2811" i="49"/>
  <c r="AO2812" i="49"/>
  <c r="AP2812" i="49"/>
  <c r="AQ2812" i="49"/>
  <c r="AR2812" i="49"/>
  <c r="AS2812" i="49"/>
  <c r="AT2812" i="49"/>
  <c r="AO2813" i="49"/>
  <c r="AP2813" i="49"/>
  <c r="AQ2813" i="49"/>
  <c r="AR2813" i="49"/>
  <c r="AS2813" i="49"/>
  <c r="AT2813" i="49"/>
  <c r="AO2814" i="49"/>
  <c r="AP2814" i="49"/>
  <c r="AQ2814" i="49"/>
  <c r="AR2814" i="49"/>
  <c r="AS2814" i="49"/>
  <c r="AT2814" i="49"/>
  <c r="AO2815" i="49"/>
  <c r="AP2815" i="49"/>
  <c r="AQ2815" i="49"/>
  <c r="AR2815" i="49"/>
  <c r="AS2815" i="49"/>
  <c r="AT2815" i="49"/>
  <c r="AO2816" i="49"/>
  <c r="AP2816" i="49"/>
  <c r="AQ2816" i="49"/>
  <c r="AR2816" i="49"/>
  <c r="AS2816" i="49"/>
  <c r="AT2816" i="49"/>
  <c r="AO2817" i="49"/>
  <c r="AP2817" i="49"/>
  <c r="AQ2817" i="49"/>
  <c r="AR2817" i="49"/>
  <c r="AS2817" i="49"/>
  <c r="AT2817" i="49"/>
  <c r="AO2818" i="49"/>
  <c r="AP2818" i="49"/>
  <c r="AQ2818" i="49"/>
  <c r="AR2818" i="49"/>
  <c r="AS2818" i="49"/>
  <c r="AT2818" i="49"/>
  <c r="AO2819" i="49"/>
  <c r="AP2819" i="49"/>
  <c r="AQ2819" i="49"/>
  <c r="AR2819" i="49"/>
  <c r="AS2819" i="49"/>
  <c r="AT2819" i="49"/>
  <c r="AO2820" i="49"/>
  <c r="AP2820" i="49"/>
  <c r="AQ2820" i="49"/>
  <c r="AR2820" i="49"/>
  <c r="AS2820" i="49"/>
  <c r="AT2820" i="49"/>
  <c r="AO2821" i="49"/>
  <c r="AP2821" i="49"/>
  <c r="AQ2821" i="49"/>
  <c r="AR2821" i="49"/>
  <c r="AS2821" i="49"/>
  <c r="AT2821" i="49"/>
  <c r="AO2822" i="49"/>
  <c r="AP2822" i="49"/>
  <c r="AQ2822" i="49"/>
  <c r="AR2822" i="49"/>
  <c r="AS2822" i="49"/>
  <c r="AT2822" i="49"/>
  <c r="AO2823" i="49"/>
  <c r="AP2823" i="49"/>
  <c r="AQ2823" i="49"/>
  <c r="AR2823" i="49"/>
  <c r="AS2823" i="49"/>
  <c r="AT2823" i="49"/>
  <c r="AO2824" i="49"/>
  <c r="AP2824" i="49"/>
  <c r="AQ2824" i="49"/>
  <c r="AR2824" i="49"/>
  <c r="AS2824" i="49"/>
  <c r="AT2824" i="49"/>
  <c r="AO2825" i="49"/>
  <c r="AP2825" i="49"/>
  <c r="AQ2825" i="49"/>
  <c r="AR2825" i="49"/>
  <c r="AS2825" i="49"/>
  <c r="AT2825" i="49"/>
  <c r="AO2826" i="49"/>
  <c r="AP2826" i="49"/>
  <c r="AQ2826" i="49"/>
  <c r="AR2826" i="49"/>
  <c r="AS2826" i="49"/>
  <c r="AT2826" i="49"/>
  <c r="AO2827" i="49"/>
  <c r="AP2827" i="49"/>
  <c r="AQ2827" i="49"/>
  <c r="AR2827" i="49"/>
  <c r="AS2827" i="49"/>
  <c r="AT2827" i="49"/>
  <c r="AO2828" i="49"/>
  <c r="AP2828" i="49"/>
  <c r="AQ2828" i="49"/>
  <c r="AR2828" i="49"/>
  <c r="AS2828" i="49"/>
  <c r="AT2828" i="49"/>
  <c r="AO2829" i="49"/>
  <c r="AP2829" i="49"/>
  <c r="AQ2829" i="49"/>
  <c r="AR2829" i="49"/>
  <c r="AS2829" i="49"/>
  <c r="AT2829" i="49"/>
  <c r="AO2830" i="49"/>
  <c r="AP2830" i="49"/>
  <c r="AQ2830" i="49"/>
  <c r="AR2830" i="49"/>
  <c r="AS2830" i="49"/>
  <c r="AT2830" i="49"/>
  <c r="AO2831" i="49"/>
  <c r="AP2831" i="49"/>
  <c r="AQ2831" i="49"/>
  <c r="AR2831" i="49"/>
  <c r="AS2831" i="49"/>
  <c r="AT2831" i="49"/>
  <c r="AO2832" i="49"/>
  <c r="AP2832" i="49"/>
  <c r="AQ2832" i="49"/>
  <c r="AR2832" i="49"/>
  <c r="AS2832" i="49"/>
  <c r="AT2832" i="49"/>
  <c r="AO2833" i="49"/>
  <c r="AP2833" i="49"/>
  <c r="AQ2833" i="49"/>
  <c r="AR2833" i="49"/>
  <c r="AS2833" i="49"/>
  <c r="AT2833" i="49"/>
  <c r="AO2834" i="49"/>
  <c r="AP2834" i="49"/>
  <c r="AQ2834" i="49"/>
  <c r="AR2834" i="49"/>
  <c r="AS2834" i="49"/>
  <c r="AT2834" i="49"/>
  <c r="AO2835" i="49"/>
  <c r="AP2835" i="49"/>
  <c r="AQ2835" i="49"/>
  <c r="AR2835" i="49"/>
  <c r="AS2835" i="49"/>
  <c r="AT2835" i="49"/>
  <c r="AO2836" i="49"/>
  <c r="AP2836" i="49"/>
  <c r="AQ2836" i="49"/>
  <c r="AR2836" i="49"/>
  <c r="AS2836" i="49"/>
  <c r="AT2836" i="49"/>
  <c r="AO2837" i="49"/>
  <c r="AP2837" i="49"/>
  <c r="AQ2837" i="49"/>
  <c r="AR2837" i="49"/>
  <c r="AS2837" i="49"/>
  <c r="AT2837" i="49"/>
  <c r="AO2838" i="49"/>
  <c r="AP2838" i="49"/>
  <c r="AQ2838" i="49"/>
  <c r="AR2838" i="49"/>
  <c r="AS2838" i="49"/>
  <c r="AT2838" i="49"/>
  <c r="AO2839" i="49"/>
  <c r="AP2839" i="49"/>
  <c r="AQ2839" i="49"/>
  <c r="AR2839" i="49"/>
  <c r="AS2839" i="49"/>
  <c r="AT2839" i="49"/>
  <c r="AO2840" i="49"/>
  <c r="AP2840" i="49"/>
  <c r="AQ2840" i="49"/>
  <c r="AR2840" i="49"/>
  <c r="AS2840" i="49"/>
  <c r="AT2840" i="49"/>
  <c r="AO2841" i="49"/>
  <c r="AP2841" i="49"/>
  <c r="AQ2841" i="49"/>
  <c r="AR2841" i="49"/>
  <c r="AS2841" i="49"/>
  <c r="AT2841" i="49"/>
  <c r="AO2842" i="49"/>
  <c r="AP2842" i="49"/>
  <c r="AQ2842" i="49"/>
  <c r="AR2842" i="49"/>
  <c r="AS2842" i="49"/>
  <c r="AT2842" i="49"/>
  <c r="AO2843" i="49"/>
  <c r="AP2843" i="49"/>
  <c r="AQ2843" i="49"/>
  <c r="AR2843" i="49"/>
  <c r="AS2843" i="49"/>
  <c r="AT2843" i="49"/>
  <c r="AO2844" i="49"/>
  <c r="AP2844" i="49"/>
  <c r="AQ2844" i="49"/>
  <c r="AR2844" i="49"/>
  <c r="AS2844" i="49"/>
  <c r="AT2844" i="49"/>
  <c r="AO2845" i="49"/>
  <c r="AP2845" i="49"/>
  <c r="AQ2845" i="49"/>
  <c r="AR2845" i="49"/>
  <c r="AS2845" i="49"/>
  <c r="AT2845" i="49"/>
  <c r="AO2846" i="49"/>
  <c r="AP2846" i="49"/>
  <c r="AQ2846" i="49"/>
  <c r="AR2846" i="49"/>
  <c r="AS2846" i="49"/>
  <c r="AT2846" i="49"/>
  <c r="AO2847" i="49"/>
  <c r="AP2847" i="49"/>
  <c r="AQ2847" i="49"/>
  <c r="AR2847" i="49"/>
  <c r="AS2847" i="49"/>
  <c r="AT2847" i="49"/>
  <c r="AO2848" i="49"/>
  <c r="AP2848" i="49"/>
  <c r="AQ2848" i="49"/>
  <c r="AR2848" i="49"/>
  <c r="AS2848" i="49"/>
  <c r="AT2848" i="49"/>
  <c r="AO2849" i="49"/>
  <c r="AP2849" i="49"/>
  <c r="AQ2849" i="49"/>
  <c r="AR2849" i="49"/>
  <c r="AS2849" i="49"/>
  <c r="AT2849" i="49"/>
  <c r="AO2850" i="49"/>
  <c r="AP2850" i="49"/>
  <c r="AQ2850" i="49"/>
  <c r="AR2850" i="49"/>
  <c r="AS2850" i="49"/>
  <c r="AT2850" i="49"/>
  <c r="AO2851" i="49"/>
  <c r="AP2851" i="49"/>
  <c r="AQ2851" i="49"/>
  <c r="AR2851" i="49"/>
  <c r="AS2851" i="49"/>
  <c r="AT2851" i="49"/>
  <c r="AO2852" i="49"/>
  <c r="AP2852" i="49"/>
  <c r="AQ2852" i="49"/>
  <c r="AR2852" i="49"/>
  <c r="AS2852" i="49"/>
  <c r="AT2852" i="49"/>
  <c r="AO2853" i="49"/>
  <c r="AP2853" i="49"/>
  <c r="AQ2853" i="49"/>
  <c r="AR2853" i="49"/>
  <c r="AS2853" i="49"/>
  <c r="AT2853" i="49"/>
  <c r="AO2854" i="49"/>
  <c r="AP2854" i="49"/>
  <c r="AQ2854" i="49"/>
  <c r="AR2854" i="49"/>
  <c r="AS2854" i="49"/>
  <c r="AT2854" i="49"/>
  <c r="AO2855" i="49"/>
  <c r="AP2855" i="49"/>
  <c r="AQ2855" i="49"/>
  <c r="AR2855" i="49"/>
  <c r="AS2855" i="49"/>
  <c r="AT2855" i="49"/>
  <c r="AO2856" i="49"/>
  <c r="AP2856" i="49"/>
  <c r="AQ2856" i="49"/>
  <c r="AR2856" i="49"/>
  <c r="AS2856" i="49"/>
  <c r="AT2856" i="49"/>
  <c r="AO2857" i="49"/>
  <c r="AP2857" i="49"/>
  <c r="AQ2857" i="49"/>
  <c r="AR2857" i="49"/>
  <c r="AS2857" i="49"/>
  <c r="AT2857" i="49"/>
  <c r="AO2858" i="49"/>
  <c r="AP2858" i="49"/>
  <c r="AQ2858" i="49"/>
  <c r="AR2858" i="49"/>
  <c r="AS2858" i="49"/>
  <c r="AT2858" i="49"/>
  <c r="AO2859" i="49"/>
  <c r="AP2859" i="49"/>
  <c r="AQ2859" i="49"/>
  <c r="AR2859" i="49"/>
  <c r="AS2859" i="49"/>
  <c r="AT2859" i="49"/>
  <c r="AO2860" i="49"/>
  <c r="AP2860" i="49"/>
  <c r="AQ2860" i="49"/>
  <c r="AR2860" i="49"/>
  <c r="AS2860" i="49"/>
  <c r="AT2860" i="49"/>
  <c r="AO2861" i="49"/>
  <c r="AP2861" i="49"/>
  <c r="AQ2861" i="49"/>
  <c r="AR2861" i="49"/>
  <c r="AS2861" i="49"/>
  <c r="AT2861" i="49"/>
  <c r="AO2862" i="49"/>
  <c r="AP2862" i="49"/>
  <c r="AQ2862" i="49"/>
  <c r="AR2862" i="49"/>
  <c r="AS2862" i="49"/>
  <c r="AT2862" i="49"/>
  <c r="AO2863" i="49"/>
  <c r="AP2863" i="49"/>
  <c r="AQ2863" i="49"/>
  <c r="AR2863" i="49"/>
  <c r="AS2863" i="49"/>
  <c r="AT2863" i="49"/>
  <c r="AO2864" i="49"/>
  <c r="AP2864" i="49"/>
  <c r="AQ2864" i="49"/>
  <c r="AR2864" i="49"/>
  <c r="AS2864" i="49"/>
  <c r="AT2864" i="49"/>
  <c r="AO2865" i="49"/>
  <c r="AP2865" i="49"/>
  <c r="AQ2865" i="49"/>
  <c r="AR2865" i="49"/>
  <c r="AS2865" i="49"/>
  <c r="AT2865" i="49"/>
  <c r="AO2866" i="49"/>
  <c r="AP2866" i="49"/>
  <c r="AQ2866" i="49"/>
  <c r="AR2866" i="49"/>
  <c r="AS2866" i="49"/>
  <c r="AT2866" i="49"/>
  <c r="AO2867" i="49"/>
  <c r="AP2867" i="49"/>
  <c r="AQ2867" i="49"/>
  <c r="AR2867" i="49"/>
  <c r="AS2867" i="49"/>
  <c r="AT2867" i="49"/>
  <c r="AO2868" i="49"/>
  <c r="AP2868" i="49"/>
  <c r="AQ2868" i="49"/>
  <c r="AR2868" i="49"/>
  <c r="AS2868" i="49"/>
  <c r="AT2868" i="49"/>
  <c r="AO2869" i="49"/>
  <c r="AP2869" i="49"/>
  <c r="AQ2869" i="49"/>
  <c r="AR2869" i="49"/>
  <c r="AS2869" i="49"/>
  <c r="AT2869" i="49"/>
  <c r="AO2870" i="49"/>
  <c r="AP2870" i="49"/>
  <c r="AQ2870" i="49"/>
  <c r="AR2870" i="49"/>
  <c r="AS2870" i="49"/>
  <c r="AT2870" i="49"/>
  <c r="AO2871" i="49"/>
  <c r="AP2871" i="49"/>
  <c r="AQ2871" i="49"/>
  <c r="AR2871" i="49"/>
  <c r="AS2871" i="49"/>
  <c r="AT2871" i="49"/>
  <c r="AO2872" i="49"/>
  <c r="AP2872" i="49"/>
  <c r="AQ2872" i="49"/>
  <c r="AR2872" i="49"/>
  <c r="AS2872" i="49"/>
  <c r="AT2872" i="49"/>
  <c r="AO2873" i="49"/>
  <c r="AP2873" i="49"/>
  <c r="AQ2873" i="49"/>
  <c r="AR2873" i="49"/>
  <c r="AS2873" i="49"/>
  <c r="AT2873" i="49"/>
  <c r="AO2874" i="49"/>
  <c r="AP2874" i="49"/>
  <c r="AQ2874" i="49"/>
  <c r="AR2874" i="49"/>
  <c r="AS2874" i="49"/>
  <c r="AT2874" i="49"/>
  <c r="AO2875" i="49"/>
  <c r="AP2875" i="49"/>
  <c r="AQ2875" i="49"/>
  <c r="AR2875" i="49"/>
  <c r="AS2875" i="49"/>
  <c r="AT2875" i="49"/>
  <c r="AO2876" i="49"/>
  <c r="AP2876" i="49"/>
  <c r="AQ2876" i="49"/>
  <c r="AR2876" i="49"/>
  <c r="AS2876" i="49"/>
  <c r="AT2876" i="49"/>
  <c r="AO2877" i="49"/>
  <c r="AP2877" i="49"/>
  <c r="AQ2877" i="49"/>
  <c r="AR2877" i="49"/>
  <c r="AS2877" i="49"/>
  <c r="AT2877" i="49"/>
  <c r="AO2878" i="49"/>
  <c r="AP2878" i="49"/>
  <c r="AQ2878" i="49"/>
  <c r="AR2878" i="49"/>
  <c r="AS2878" i="49"/>
  <c r="AT2878" i="49"/>
  <c r="AO2879" i="49"/>
  <c r="AP2879" i="49"/>
  <c r="AQ2879" i="49"/>
  <c r="AR2879" i="49"/>
  <c r="AS2879" i="49"/>
  <c r="AT2879" i="49"/>
  <c r="AO2880" i="49"/>
  <c r="AP2880" i="49"/>
  <c r="AQ2880" i="49"/>
  <c r="AR2880" i="49"/>
  <c r="AS2880" i="49"/>
  <c r="AT2880" i="49"/>
  <c r="AO2881" i="49"/>
  <c r="AP2881" i="49"/>
  <c r="AQ2881" i="49"/>
  <c r="AR2881" i="49"/>
  <c r="AS2881" i="49"/>
  <c r="AT2881" i="49"/>
  <c r="AO2882" i="49"/>
  <c r="AP2882" i="49"/>
  <c r="AQ2882" i="49"/>
  <c r="AR2882" i="49"/>
  <c r="AS2882" i="49"/>
  <c r="AT2882" i="49"/>
  <c r="AO2883" i="49"/>
  <c r="AP2883" i="49"/>
  <c r="AQ2883" i="49"/>
  <c r="AR2883" i="49"/>
  <c r="AS2883" i="49"/>
  <c r="AT2883" i="49"/>
  <c r="AO2884" i="49"/>
  <c r="AP2884" i="49"/>
  <c r="AQ2884" i="49"/>
  <c r="AR2884" i="49"/>
  <c r="AS2884" i="49"/>
  <c r="AT2884" i="49"/>
  <c r="AO2885" i="49"/>
  <c r="AP2885" i="49"/>
  <c r="AQ2885" i="49"/>
  <c r="AR2885" i="49"/>
  <c r="AS2885" i="49"/>
  <c r="AT2885" i="49"/>
  <c r="AO2886" i="49"/>
  <c r="AP2886" i="49"/>
  <c r="AQ2886" i="49"/>
  <c r="AR2886" i="49"/>
  <c r="AS2886" i="49"/>
  <c r="AT2886" i="49"/>
  <c r="AO2887" i="49"/>
  <c r="AP2887" i="49"/>
  <c r="AQ2887" i="49"/>
  <c r="AR2887" i="49"/>
  <c r="AS2887" i="49"/>
  <c r="AT2887" i="49"/>
  <c r="AO2888" i="49"/>
  <c r="AP2888" i="49"/>
  <c r="AQ2888" i="49"/>
  <c r="AR2888" i="49"/>
  <c r="AS2888" i="49"/>
  <c r="AT2888" i="49"/>
  <c r="AO2889" i="49"/>
  <c r="AP2889" i="49"/>
  <c r="AQ2889" i="49"/>
  <c r="AR2889" i="49"/>
  <c r="AS2889" i="49"/>
  <c r="AT2889" i="49"/>
  <c r="AO2890" i="49"/>
  <c r="AP2890" i="49"/>
  <c r="AQ2890" i="49"/>
  <c r="AR2890" i="49"/>
  <c r="AS2890" i="49"/>
  <c r="AT2890" i="49"/>
  <c r="AO2891" i="49"/>
  <c r="AP2891" i="49"/>
  <c r="AQ2891" i="49"/>
  <c r="AR2891" i="49"/>
  <c r="AS2891" i="49"/>
  <c r="AT2891" i="49"/>
  <c r="AO2892" i="49"/>
  <c r="AP2892" i="49"/>
  <c r="AQ2892" i="49"/>
  <c r="AR2892" i="49"/>
  <c r="AS2892" i="49"/>
  <c r="AT2892" i="49"/>
  <c r="AO2893" i="49"/>
  <c r="AP2893" i="49"/>
  <c r="AQ2893" i="49"/>
  <c r="AR2893" i="49"/>
  <c r="AS2893" i="49"/>
  <c r="AT2893" i="49"/>
  <c r="AO2894" i="49"/>
  <c r="AP2894" i="49"/>
  <c r="AQ2894" i="49"/>
  <c r="AR2894" i="49"/>
  <c r="AS2894" i="49"/>
  <c r="AT2894" i="49"/>
  <c r="AO2895" i="49"/>
  <c r="AP2895" i="49"/>
  <c r="AQ2895" i="49"/>
  <c r="AR2895" i="49"/>
  <c r="AS2895" i="49"/>
  <c r="AT2895" i="49"/>
  <c r="AO2896" i="49"/>
  <c r="AP2896" i="49"/>
  <c r="AQ2896" i="49"/>
  <c r="AR2896" i="49"/>
  <c r="AS2896" i="49"/>
  <c r="AT2896" i="49"/>
  <c r="AO2897" i="49"/>
  <c r="AP2897" i="49"/>
  <c r="AQ2897" i="49"/>
  <c r="AR2897" i="49"/>
  <c r="AS2897" i="49"/>
  <c r="AT2897" i="49"/>
  <c r="AO2898" i="49"/>
  <c r="AP2898" i="49"/>
  <c r="AQ2898" i="49"/>
  <c r="AR2898" i="49"/>
  <c r="AS2898" i="49"/>
  <c r="AT2898" i="49"/>
  <c r="AO2899" i="49"/>
  <c r="AP2899" i="49"/>
  <c r="AQ2899" i="49"/>
  <c r="AR2899" i="49"/>
  <c r="AS2899" i="49"/>
  <c r="AT2899" i="49"/>
  <c r="AO2900" i="49"/>
  <c r="AP2900" i="49"/>
  <c r="AQ2900" i="49"/>
  <c r="AR2900" i="49"/>
  <c r="AS2900" i="49"/>
  <c r="AT2900" i="49"/>
  <c r="AO2901" i="49"/>
  <c r="AP2901" i="49"/>
  <c r="AQ2901" i="49"/>
  <c r="AR2901" i="49"/>
  <c r="AS2901" i="49"/>
  <c r="AT2901" i="49"/>
  <c r="AO2902" i="49"/>
  <c r="AP2902" i="49"/>
  <c r="AQ2902" i="49"/>
  <c r="AR2902" i="49"/>
  <c r="AS2902" i="49"/>
  <c r="AT2902" i="49"/>
  <c r="AO2903" i="49"/>
  <c r="AP2903" i="49"/>
  <c r="AQ2903" i="49"/>
  <c r="AR2903" i="49"/>
  <c r="AS2903" i="49"/>
  <c r="AT2903" i="49"/>
  <c r="AO2904" i="49"/>
  <c r="AP2904" i="49"/>
  <c r="AQ2904" i="49"/>
  <c r="AR2904" i="49"/>
  <c r="AS2904" i="49"/>
  <c r="AT2904" i="49"/>
  <c r="AO2905" i="49"/>
  <c r="AP2905" i="49"/>
  <c r="AQ2905" i="49"/>
  <c r="AR2905" i="49"/>
  <c r="AS2905" i="49"/>
  <c r="AT2905" i="49"/>
  <c r="AO2906" i="49"/>
  <c r="AP2906" i="49"/>
  <c r="AQ2906" i="49"/>
  <c r="AR2906" i="49"/>
  <c r="AS2906" i="49"/>
  <c r="AT2906" i="49"/>
  <c r="AO2907" i="49"/>
  <c r="AP2907" i="49"/>
  <c r="AQ2907" i="49"/>
  <c r="AR2907" i="49"/>
  <c r="AS2907" i="49"/>
  <c r="AT2907" i="49"/>
  <c r="AO2908" i="49"/>
  <c r="AP2908" i="49"/>
  <c r="AQ2908" i="49"/>
  <c r="AR2908" i="49"/>
  <c r="AS2908" i="49"/>
  <c r="AT2908" i="49"/>
  <c r="AO2909" i="49"/>
  <c r="AP2909" i="49"/>
  <c r="AQ2909" i="49"/>
  <c r="AR2909" i="49"/>
  <c r="AS2909" i="49"/>
  <c r="AT2909" i="49"/>
  <c r="AO2910" i="49"/>
  <c r="AP2910" i="49"/>
  <c r="AQ2910" i="49"/>
  <c r="AR2910" i="49"/>
  <c r="AS2910" i="49"/>
  <c r="AT2910" i="49"/>
  <c r="AO2911" i="49"/>
  <c r="AP2911" i="49"/>
  <c r="AQ2911" i="49"/>
  <c r="AR2911" i="49"/>
  <c r="AS2911" i="49"/>
  <c r="AT2911" i="49"/>
  <c r="AO2912" i="49"/>
  <c r="AP2912" i="49"/>
  <c r="AQ2912" i="49"/>
  <c r="AR2912" i="49"/>
  <c r="AS2912" i="49"/>
  <c r="AT2912" i="49"/>
  <c r="AO2913" i="49"/>
  <c r="AP2913" i="49"/>
  <c r="AQ2913" i="49"/>
  <c r="AR2913" i="49"/>
  <c r="AS2913" i="49"/>
  <c r="AT2913" i="49"/>
  <c r="AO2914" i="49"/>
  <c r="AP2914" i="49"/>
  <c r="AQ2914" i="49"/>
  <c r="AR2914" i="49"/>
  <c r="AS2914" i="49"/>
  <c r="AT2914" i="49"/>
  <c r="AO2915" i="49"/>
  <c r="AP2915" i="49"/>
  <c r="AQ2915" i="49"/>
  <c r="AR2915" i="49"/>
  <c r="AS2915" i="49"/>
  <c r="AT2915" i="49"/>
  <c r="AO2916" i="49"/>
  <c r="AP2916" i="49"/>
  <c r="AQ2916" i="49"/>
  <c r="AR2916" i="49"/>
  <c r="AS2916" i="49"/>
  <c r="AT2916" i="49"/>
  <c r="AO2917" i="49"/>
  <c r="AP2917" i="49"/>
  <c r="AQ2917" i="49"/>
  <c r="AR2917" i="49"/>
  <c r="AS2917" i="49"/>
  <c r="AT2917" i="49"/>
  <c r="AO2918" i="49"/>
  <c r="AP2918" i="49"/>
  <c r="AQ2918" i="49"/>
  <c r="AR2918" i="49"/>
  <c r="AS2918" i="49"/>
  <c r="AT2918" i="49"/>
  <c r="AO2919" i="49"/>
  <c r="AP2919" i="49"/>
  <c r="AQ2919" i="49"/>
  <c r="AR2919" i="49"/>
  <c r="AS2919" i="49"/>
  <c r="AT2919" i="49"/>
  <c r="AO2920" i="49"/>
  <c r="AP2920" i="49"/>
  <c r="AQ2920" i="49"/>
  <c r="AR2920" i="49"/>
  <c r="AS2920" i="49"/>
  <c r="AT2920" i="49"/>
  <c r="AO2921" i="49"/>
  <c r="AP2921" i="49"/>
  <c r="AQ2921" i="49"/>
  <c r="AR2921" i="49"/>
  <c r="AS2921" i="49"/>
  <c r="AT2921" i="49"/>
  <c r="AO2922" i="49"/>
  <c r="AP2922" i="49"/>
  <c r="AQ2922" i="49"/>
  <c r="AR2922" i="49"/>
  <c r="AS2922" i="49"/>
  <c r="AT2922" i="49"/>
  <c r="AO2923" i="49"/>
  <c r="AP2923" i="49"/>
  <c r="AQ2923" i="49"/>
  <c r="AR2923" i="49"/>
  <c r="AS2923" i="49"/>
  <c r="AT2923" i="49"/>
  <c r="AO2924" i="49"/>
  <c r="AP2924" i="49"/>
  <c r="AQ2924" i="49"/>
  <c r="AR2924" i="49"/>
  <c r="AS2924" i="49"/>
  <c r="AT2924" i="49"/>
  <c r="AO2925" i="49"/>
  <c r="AP2925" i="49"/>
  <c r="AQ2925" i="49"/>
  <c r="AR2925" i="49"/>
  <c r="AS2925" i="49"/>
  <c r="AT2925" i="49"/>
  <c r="AO2926" i="49"/>
  <c r="AP2926" i="49"/>
  <c r="AQ2926" i="49"/>
  <c r="AR2926" i="49"/>
  <c r="AS2926" i="49"/>
  <c r="AT2926" i="49"/>
  <c r="AO2927" i="49"/>
  <c r="AP2927" i="49"/>
  <c r="AQ2927" i="49"/>
  <c r="AR2927" i="49"/>
  <c r="AS2927" i="49"/>
  <c r="AT2927" i="49"/>
  <c r="AO2928" i="49"/>
  <c r="AP2928" i="49"/>
  <c r="AQ2928" i="49"/>
  <c r="AR2928" i="49"/>
  <c r="AS2928" i="49"/>
  <c r="AT2928" i="49"/>
  <c r="AO2929" i="49"/>
  <c r="AP2929" i="49"/>
  <c r="AQ2929" i="49"/>
  <c r="AR2929" i="49"/>
  <c r="AS2929" i="49"/>
  <c r="AT2929" i="49"/>
  <c r="AO2930" i="49"/>
  <c r="AP2930" i="49"/>
  <c r="AQ2930" i="49"/>
  <c r="AR2930" i="49"/>
  <c r="AS2930" i="49"/>
  <c r="AT2930" i="49"/>
  <c r="AO2931" i="49"/>
  <c r="AP2931" i="49"/>
  <c r="AQ2931" i="49"/>
  <c r="AR2931" i="49"/>
  <c r="AS2931" i="49"/>
  <c r="AT2931" i="49"/>
  <c r="AO2932" i="49"/>
  <c r="AP2932" i="49"/>
  <c r="AQ2932" i="49"/>
  <c r="AR2932" i="49"/>
  <c r="AS2932" i="49"/>
  <c r="AT2932" i="49"/>
  <c r="AO2933" i="49"/>
  <c r="AP2933" i="49"/>
  <c r="AQ2933" i="49"/>
  <c r="AR2933" i="49"/>
  <c r="AS2933" i="49"/>
  <c r="AT2933" i="49"/>
  <c r="AO2934" i="49"/>
  <c r="AP2934" i="49"/>
  <c r="AQ2934" i="49"/>
  <c r="AR2934" i="49"/>
  <c r="AS2934" i="49"/>
  <c r="AT2934" i="49"/>
  <c r="AO2935" i="49"/>
  <c r="AP2935" i="49"/>
  <c r="AQ2935" i="49"/>
  <c r="AR2935" i="49"/>
  <c r="AS2935" i="49"/>
  <c r="AT2935" i="49"/>
  <c r="AO2936" i="49"/>
  <c r="AP2936" i="49"/>
  <c r="AQ2936" i="49"/>
  <c r="AR2936" i="49"/>
  <c r="AS2936" i="49"/>
  <c r="AT2936" i="49"/>
  <c r="AO2937" i="49"/>
  <c r="AP2937" i="49"/>
  <c r="AQ2937" i="49"/>
  <c r="AR2937" i="49"/>
  <c r="AS2937" i="49"/>
  <c r="AT2937" i="49"/>
  <c r="AO2938" i="49"/>
  <c r="AP2938" i="49"/>
  <c r="AQ2938" i="49"/>
  <c r="AR2938" i="49"/>
  <c r="AS2938" i="49"/>
  <c r="AT2938" i="49"/>
  <c r="AO2939" i="49"/>
  <c r="AP2939" i="49"/>
  <c r="AQ2939" i="49"/>
  <c r="AR2939" i="49"/>
  <c r="AS2939" i="49"/>
  <c r="AT2939" i="49"/>
  <c r="AO2940" i="49"/>
  <c r="AP2940" i="49"/>
  <c r="AQ2940" i="49"/>
  <c r="AR2940" i="49"/>
  <c r="AS2940" i="49"/>
  <c r="AT2940" i="49"/>
  <c r="AO2941" i="49"/>
  <c r="AP2941" i="49"/>
  <c r="AQ2941" i="49"/>
  <c r="AR2941" i="49"/>
  <c r="AS2941" i="49"/>
  <c r="AT2941" i="49"/>
  <c r="AO2942" i="49"/>
  <c r="AP2942" i="49"/>
  <c r="AQ2942" i="49"/>
  <c r="AR2942" i="49"/>
  <c r="AS2942" i="49"/>
  <c r="AT2942" i="49"/>
  <c r="AO2943" i="49"/>
  <c r="AP2943" i="49"/>
  <c r="AQ2943" i="49"/>
  <c r="AR2943" i="49"/>
  <c r="AS2943" i="49"/>
  <c r="AT2943" i="49"/>
  <c r="AO2944" i="49"/>
  <c r="AP2944" i="49"/>
  <c r="AQ2944" i="49"/>
  <c r="AR2944" i="49"/>
  <c r="AS2944" i="49"/>
  <c r="AT2944" i="49"/>
  <c r="AO2945" i="49"/>
  <c r="AP2945" i="49"/>
  <c r="AQ2945" i="49"/>
  <c r="AR2945" i="49"/>
  <c r="AS2945" i="49"/>
  <c r="AT2945" i="49"/>
  <c r="AO2946" i="49"/>
  <c r="AP2946" i="49"/>
  <c r="AQ2946" i="49"/>
  <c r="AR2946" i="49"/>
  <c r="AS2946" i="49"/>
  <c r="AT2946" i="49"/>
  <c r="AO2947" i="49"/>
  <c r="AP2947" i="49"/>
  <c r="AQ2947" i="49"/>
  <c r="AR2947" i="49"/>
  <c r="AS2947" i="49"/>
  <c r="AT2947" i="49"/>
  <c r="AO2948" i="49"/>
  <c r="AP2948" i="49"/>
  <c r="AQ2948" i="49"/>
  <c r="AR2948" i="49"/>
  <c r="AS2948" i="49"/>
  <c r="AT2948" i="49"/>
  <c r="AO2949" i="49"/>
  <c r="AP2949" i="49"/>
  <c r="AQ2949" i="49"/>
  <c r="AR2949" i="49"/>
  <c r="AS2949" i="49"/>
  <c r="AT2949" i="49"/>
  <c r="AO2950" i="49"/>
  <c r="AP2950" i="49"/>
  <c r="AQ2950" i="49"/>
  <c r="AR2950" i="49"/>
  <c r="AS2950" i="49"/>
  <c r="AT2950" i="49"/>
  <c r="AO2951" i="49"/>
  <c r="AP2951" i="49"/>
  <c r="AQ2951" i="49"/>
  <c r="AR2951" i="49"/>
  <c r="AS2951" i="49"/>
  <c r="AT2951" i="49"/>
  <c r="AO2952" i="49"/>
  <c r="AP2952" i="49"/>
  <c r="AQ2952" i="49"/>
  <c r="AR2952" i="49"/>
  <c r="AS2952" i="49"/>
  <c r="AT2952" i="49"/>
  <c r="AO2953" i="49"/>
  <c r="AP2953" i="49"/>
  <c r="AQ2953" i="49"/>
  <c r="AR2953" i="49"/>
  <c r="AS2953" i="49"/>
  <c r="AT2953" i="49"/>
  <c r="AO2954" i="49"/>
  <c r="AP2954" i="49"/>
  <c r="AQ2954" i="49"/>
  <c r="AR2954" i="49"/>
  <c r="AS2954" i="49"/>
  <c r="AT2954" i="49"/>
  <c r="AO2955" i="49"/>
  <c r="AP2955" i="49"/>
  <c r="AQ2955" i="49"/>
  <c r="AR2955" i="49"/>
  <c r="AS2955" i="49"/>
  <c r="AT2955" i="49"/>
  <c r="AO2956" i="49"/>
  <c r="AP2956" i="49"/>
  <c r="AQ2956" i="49"/>
  <c r="AR2956" i="49"/>
  <c r="AS2956" i="49"/>
  <c r="AT2956" i="49"/>
  <c r="AO2957" i="49"/>
  <c r="AP2957" i="49"/>
  <c r="AQ2957" i="49"/>
  <c r="AR2957" i="49"/>
  <c r="AS2957" i="49"/>
  <c r="AT2957" i="49"/>
  <c r="AO2958" i="49"/>
  <c r="AP2958" i="49"/>
  <c r="AQ2958" i="49"/>
  <c r="AR2958" i="49"/>
  <c r="AS2958" i="49"/>
  <c r="AT2958" i="49"/>
  <c r="AO2959" i="49"/>
  <c r="AP2959" i="49"/>
  <c r="AQ2959" i="49"/>
  <c r="AR2959" i="49"/>
  <c r="AS2959" i="49"/>
  <c r="AT2959" i="49"/>
  <c r="AO2960" i="49"/>
  <c r="AP2960" i="49"/>
  <c r="AQ2960" i="49"/>
  <c r="AR2960" i="49"/>
  <c r="AS2960" i="49"/>
  <c r="AT2960" i="49"/>
  <c r="AO2961" i="49"/>
  <c r="AP2961" i="49"/>
  <c r="AQ2961" i="49"/>
  <c r="AR2961" i="49"/>
  <c r="AS2961" i="49"/>
  <c r="AT2961" i="49"/>
  <c r="AO2962" i="49"/>
  <c r="AP2962" i="49"/>
  <c r="AQ2962" i="49"/>
  <c r="AR2962" i="49"/>
  <c r="AS2962" i="49"/>
  <c r="AT2962" i="49"/>
  <c r="AO2963" i="49"/>
  <c r="AP2963" i="49"/>
  <c r="AQ2963" i="49"/>
  <c r="AR2963" i="49"/>
  <c r="AS2963" i="49"/>
  <c r="AT2963" i="49"/>
  <c r="AO2964" i="49"/>
  <c r="AP2964" i="49"/>
  <c r="AQ2964" i="49"/>
  <c r="AR2964" i="49"/>
  <c r="AS2964" i="49"/>
  <c r="AT2964" i="49"/>
  <c r="AO2965" i="49"/>
  <c r="AP2965" i="49"/>
  <c r="AQ2965" i="49"/>
  <c r="AR2965" i="49"/>
  <c r="AS2965" i="49"/>
  <c r="AT2965" i="49"/>
  <c r="AO2966" i="49"/>
  <c r="AP2966" i="49"/>
  <c r="AQ2966" i="49"/>
  <c r="AR2966" i="49"/>
  <c r="AS2966" i="49"/>
  <c r="AT2966" i="49"/>
  <c r="AO2967" i="49"/>
  <c r="AP2967" i="49"/>
  <c r="AQ2967" i="49"/>
  <c r="AR2967" i="49"/>
  <c r="AS2967" i="49"/>
  <c r="AT2967" i="49"/>
  <c r="AO2968" i="49"/>
  <c r="AP2968" i="49"/>
  <c r="AQ2968" i="49"/>
  <c r="AR2968" i="49"/>
  <c r="AS2968" i="49"/>
  <c r="AT2968" i="49"/>
  <c r="AO2969" i="49"/>
  <c r="AP2969" i="49"/>
  <c r="AQ2969" i="49"/>
  <c r="AR2969" i="49"/>
  <c r="AS2969" i="49"/>
  <c r="AT2969" i="49"/>
  <c r="AO2970" i="49"/>
  <c r="AP2970" i="49"/>
  <c r="AQ2970" i="49"/>
  <c r="AR2970" i="49"/>
  <c r="AS2970" i="49"/>
  <c r="AT2970" i="49"/>
  <c r="AO2971" i="49"/>
  <c r="AP2971" i="49"/>
  <c r="AQ2971" i="49"/>
  <c r="AR2971" i="49"/>
  <c r="AS2971" i="49"/>
  <c r="AT2971" i="49"/>
  <c r="AO2972" i="49"/>
  <c r="AP2972" i="49"/>
  <c r="AQ2972" i="49"/>
  <c r="AR2972" i="49"/>
  <c r="AS2972" i="49"/>
  <c r="AT2972" i="49"/>
  <c r="AO2973" i="49"/>
  <c r="AP2973" i="49"/>
  <c r="AQ2973" i="49"/>
  <c r="AR2973" i="49"/>
  <c r="AS2973" i="49"/>
  <c r="AT2973" i="49"/>
  <c r="AO2974" i="49"/>
  <c r="AP2974" i="49"/>
  <c r="AQ2974" i="49"/>
  <c r="AR2974" i="49"/>
  <c r="AS2974" i="49"/>
  <c r="AT2974" i="49"/>
  <c r="AO2975" i="49"/>
  <c r="AP2975" i="49"/>
  <c r="AQ2975" i="49"/>
  <c r="AR2975" i="49"/>
  <c r="AS2975" i="49"/>
  <c r="AT2975" i="49"/>
  <c r="AO2976" i="49"/>
  <c r="AP2976" i="49"/>
  <c r="AQ2976" i="49"/>
  <c r="AR2976" i="49"/>
  <c r="AS2976" i="49"/>
  <c r="AT2976" i="49"/>
  <c r="AO2977" i="49"/>
  <c r="AP2977" i="49"/>
  <c r="AQ2977" i="49"/>
  <c r="AR2977" i="49"/>
  <c r="AS2977" i="49"/>
  <c r="AT2977" i="49"/>
  <c r="AO2978" i="49"/>
  <c r="AP2978" i="49"/>
  <c r="AQ2978" i="49"/>
  <c r="AR2978" i="49"/>
  <c r="AS2978" i="49"/>
  <c r="AT2978" i="49"/>
  <c r="AO2979" i="49"/>
  <c r="AP2979" i="49"/>
  <c r="AQ2979" i="49"/>
  <c r="AR2979" i="49"/>
  <c r="AS2979" i="49"/>
  <c r="AT2979" i="49"/>
  <c r="AO2980" i="49"/>
  <c r="AP2980" i="49"/>
  <c r="AQ2980" i="49"/>
  <c r="AR2980" i="49"/>
  <c r="AS2980" i="49"/>
  <c r="AT2980" i="49"/>
  <c r="AO2981" i="49"/>
  <c r="AP2981" i="49"/>
  <c r="AQ2981" i="49"/>
  <c r="AR2981" i="49"/>
  <c r="AS2981" i="49"/>
  <c r="AT2981" i="49"/>
  <c r="AO2982" i="49"/>
  <c r="AP2982" i="49"/>
  <c r="AQ2982" i="49"/>
  <c r="AR2982" i="49"/>
  <c r="AS2982" i="49"/>
  <c r="AT2982" i="49"/>
  <c r="AO2983" i="49"/>
  <c r="AP2983" i="49"/>
  <c r="AQ2983" i="49"/>
  <c r="AR2983" i="49"/>
  <c r="AS2983" i="49"/>
  <c r="AT2983" i="49"/>
  <c r="AO2984" i="49"/>
  <c r="AP2984" i="49"/>
  <c r="AQ2984" i="49"/>
  <c r="AR2984" i="49"/>
  <c r="AS2984" i="49"/>
  <c r="AT2984" i="49"/>
  <c r="AO2985" i="49"/>
  <c r="AP2985" i="49"/>
  <c r="AQ2985" i="49"/>
  <c r="AR2985" i="49"/>
  <c r="AS2985" i="49"/>
  <c r="AT2985" i="49"/>
  <c r="AO2986" i="49"/>
  <c r="AP2986" i="49"/>
  <c r="AQ2986" i="49"/>
  <c r="AR2986" i="49"/>
  <c r="AS2986" i="49"/>
  <c r="AT2986" i="49"/>
  <c r="AO2987" i="49"/>
  <c r="AP2987" i="49"/>
  <c r="AQ2987" i="49"/>
  <c r="AR2987" i="49"/>
  <c r="AS2987" i="49"/>
  <c r="AT2987" i="49"/>
  <c r="AO2988" i="49"/>
  <c r="AP2988" i="49"/>
  <c r="AQ2988" i="49"/>
  <c r="AR2988" i="49"/>
  <c r="AS2988" i="49"/>
  <c r="AT2988" i="49"/>
  <c r="AO2989" i="49"/>
  <c r="AP2989" i="49"/>
  <c r="AQ2989" i="49"/>
  <c r="AR2989" i="49"/>
  <c r="AS2989" i="49"/>
  <c r="AT2989" i="49"/>
  <c r="AO2990" i="49"/>
  <c r="AP2990" i="49"/>
  <c r="AQ2990" i="49"/>
  <c r="AR2990" i="49"/>
  <c r="AS2990" i="49"/>
  <c r="AT2990" i="49"/>
  <c r="AO2991" i="49"/>
  <c r="AP2991" i="49"/>
  <c r="AQ2991" i="49"/>
  <c r="AR2991" i="49"/>
  <c r="AS2991" i="49"/>
  <c r="AT2991" i="49"/>
  <c r="AO2992" i="49"/>
  <c r="AP2992" i="49"/>
  <c r="AQ2992" i="49"/>
  <c r="AR2992" i="49"/>
  <c r="AS2992" i="49"/>
  <c r="AT2992" i="49"/>
  <c r="AO2993" i="49"/>
  <c r="AP2993" i="49"/>
  <c r="AQ2993" i="49"/>
  <c r="AR2993" i="49"/>
  <c r="AS2993" i="49"/>
  <c r="AT2993" i="49"/>
  <c r="AO2994" i="49"/>
  <c r="AP2994" i="49"/>
  <c r="AQ2994" i="49"/>
  <c r="AR2994" i="49"/>
  <c r="AS2994" i="49"/>
  <c r="AT2994" i="49"/>
  <c r="AO2995" i="49"/>
  <c r="AP2995" i="49"/>
  <c r="AQ2995" i="49"/>
  <c r="AR2995" i="49"/>
  <c r="AS2995" i="49"/>
  <c r="AT2995" i="49"/>
  <c r="AO2996" i="49"/>
  <c r="AP2996" i="49"/>
  <c r="AQ2996" i="49"/>
  <c r="AR2996" i="49"/>
  <c r="AS2996" i="49"/>
  <c r="AT2996" i="49"/>
  <c r="AO2997" i="49"/>
  <c r="AP2997" i="49"/>
  <c r="AQ2997" i="49"/>
  <c r="AR2997" i="49"/>
  <c r="AS2997" i="49"/>
  <c r="AT2997" i="49"/>
  <c r="AO2998" i="49"/>
  <c r="AP2998" i="49"/>
  <c r="AQ2998" i="49"/>
  <c r="AR2998" i="49"/>
  <c r="AS2998" i="49"/>
  <c r="AT2998" i="49"/>
  <c r="AO2999" i="49"/>
  <c r="AP2999" i="49"/>
  <c r="AQ2999" i="49"/>
  <c r="AR2999" i="49"/>
  <c r="AS2999" i="49"/>
  <c r="AT2999" i="49"/>
  <c r="AO3000" i="49"/>
  <c r="AP3000" i="49"/>
  <c r="AQ3000" i="49"/>
  <c r="AR3000" i="49"/>
  <c r="AS3000" i="49"/>
  <c r="AT3000" i="49"/>
  <c r="AO3001" i="49"/>
  <c r="AP3001" i="49"/>
  <c r="AQ3001" i="49"/>
  <c r="AR3001" i="49"/>
  <c r="AS3001" i="49"/>
  <c r="AT3001" i="49"/>
  <c r="AO3002" i="49"/>
  <c r="AP3002" i="49"/>
  <c r="AQ3002" i="49"/>
  <c r="AR3002" i="49"/>
  <c r="AS3002" i="49"/>
  <c r="AT3002" i="49"/>
  <c r="AO3003" i="49"/>
  <c r="AP3003" i="49"/>
  <c r="AQ3003" i="49"/>
  <c r="AR3003" i="49"/>
  <c r="AS3003" i="49"/>
  <c r="AT3003" i="49"/>
  <c r="AO3004" i="49"/>
  <c r="AP3004" i="49"/>
  <c r="AQ3004" i="49"/>
  <c r="AR3004" i="49"/>
  <c r="AS3004" i="49"/>
  <c r="AT3004" i="49"/>
  <c r="AO3005" i="49"/>
  <c r="AP3005" i="49"/>
  <c r="AQ3005" i="49"/>
  <c r="AR3005" i="49"/>
  <c r="AS3005" i="49"/>
  <c r="AT3005" i="49"/>
  <c r="AO3006" i="49"/>
  <c r="AP3006" i="49"/>
  <c r="AQ3006" i="49"/>
  <c r="AR3006" i="49"/>
  <c r="AS3006" i="49"/>
  <c r="AT3006" i="49"/>
  <c r="AO3007" i="49"/>
  <c r="AP3007" i="49"/>
  <c r="AQ3007" i="49"/>
  <c r="AR3007" i="49"/>
  <c r="AS3007" i="49"/>
  <c r="AT3007" i="49"/>
  <c r="AO3008" i="49"/>
  <c r="AP3008" i="49"/>
  <c r="AQ3008" i="49"/>
  <c r="AR3008" i="49"/>
  <c r="AS3008" i="49"/>
  <c r="AT3008" i="49"/>
  <c r="AO3009" i="49"/>
  <c r="AP3009" i="49"/>
  <c r="AQ3009" i="49"/>
  <c r="AR3009" i="49"/>
  <c r="AS3009" i="49"/>
  <c r="AT3009" i="49"/>
  <c r="AO3010" i="49"/>
  <c r="AP3010" i="49"/>
  <c r="AQ3010" i="49"/>
  <c r="AR3010" i="49"/>
  <c r="AS3010" i="49"/>
  <c r="AT3010" i="49"/>
  <c r="AO3011" i="49"/>
  <c r="AP3011" i="49"/>
  <c r="AQ3011" i="49"/>
  <c r="AR3011" i="49"/>
  <c r="AS3011" i="49"/>
  <c r="AT3011" i="49"/>
  <c r="AO3012" i="49"/>
  <c r="AP3012" i="49"/>
  <c r="AQ3012" i="49"/>
  <c r="AR3012" i="49"/>
  <c r="AS3012" i="49"/>
  <c r="AT3012" i="49"/>
  <c r="AO3013" i="49"/>
  <c r="AP3013" i="49"/>
  <c r="AQ3013" i="49"/>
  <c r="AR3013" i="49"/>
  <c r="AS3013" i="49"/>
  <c r="AT3013" i="49"/>
  <c r="AO3014" i="49"/>
  <c r="AP3014" i="49"/>
  <c r="AQ3014" i="49"/>
  <c r="AR3014" i="49"/>
  <c r="AS3014" i="49"/>
  <c r="AT3014" i="49"/>
  <c r="AO3015" i="49"/>
  <c r="AP3015" i="49"/>
  <c r="AQ3015" i="49"/>
  <c r="AR3015" i="49"/>
  <c r="AS3015" i="49"/>
  <c r="AT3015" i="49"/>
  <c r="AO3016" i="49"/>
  <c r="AP3016" i="49"/>
  <c r="AQ3016" i="49"/>
  <c r="AR3016" i="49"/>
  <c r="AS3016" i="49"/>
  <c r="AT3016" i="49"/>
  <c r="AO3017" i="49"/>
  <c r="AP3017" i="49"/>
  <c r="AQ3017" i="49"/>
  <c r="AR3017" i="49"/>
  <c r="AS3017" i="49"/>
  <c r="AT3017" i="49"/>
  <c r="AO3018" i="49"/>
  <c r="AP3018" i="49"/>
  <c r="AQ3018" i="49"/>
  <c r="AR3018" i="49"/>
  <c r="AS3018" i="49"/>
  <c r="AT3018" i="49"/>
  <c r="AO3019" i="49"/>
  <c r="AP3019" i="49"/>
  <c r="AQ3019" i="49"/>
  <c r="AR3019" i="49"/>
  <c r="AS3019" i="49"/>
  <c r="AT3019" i="49"/>
  <c r="AO3020" i="49"/>
  <c r="AP3020" i="49"/>
  <c r="AQ3020" i="49"/>
  <c r="AR3020" i="49"/>
  <c r="AS3020" i="49"/>
  <c r="AT3020" i="49"/>
  <c r="AO3021" i="49"/>
  <c r="AP3021" i="49"/>
  <c r="AQ3021" i="49"/>
  <c r="AR3021" i="49"/>
  <c r="AS3021" i="49"/>
  <c r="AT3021" i="49"/>
  <c r="AO3022" i="49"/>
  <c r="AP3022" i="49"/>
  <c r="AQ3022" i="49"/>
  <c r="AR3022" i="49"/>
  <c r="AS3022" i="49"/>
  <c r="AT3022" i="49"/>
  <c r="AO3023" i="49"/>
  <c r="AP3023" i="49"/>
  <c r="AQ3023" i="49"/>
  <c r="AR3023" i="49"/>
  <c r="AS3023" i="49"/>
  <c r="AT3023" i="49"/>
  <c r="AO3024" i="49"/>
  <c r="AP3024" i="49"/>
  <c r="AQ3024" i="49"/>
  <c r="AR3024" i="49"/>
  <c r="AS3024" i="49"/>
  <c r="AT3024" i="49"/>
  <c r="AO3025" i="49"/>
  <c r="AP3025" i="49"/>
  <c r="AQ3025" i="49"/>
  <c r="AR3025" i="49"/>
  <c r="AS3025" i="49"/>
  <c r="AT3025" i="49"/>
  <c r="AO3026" i="49"/>
  <c r="AP3026" i="49"/>
  <c r="AQ3026" i="49"/>
  <c r="AR3026" i="49"/>
  <c r="AS3026" i="49"/>
  <c r="AT3026" i="49"/>
  <c r="AO3027" i="49"/>
  <c r="AP3027" i="49"/>
  <c r="AQ3027" i="49"/>
  <c r="AR3027" i="49"/>
  <c r="AS3027" i="49"/>
  <c r="AT3027" i="49"/>
  <c r="AO3028" i="49"/>
  <c r="AP3028" i="49"/>
  <c r="AQ3028" i="49"/>
  <c r="AR3028" i="49"/>
  <c r="AS3028" i="49"/>
  <c r="AT3028" i="49"/>
  <c r="AO3029" i="49"/>
  <c r="AP3029" i="49"/>
  <c r="AQ3029" i="49"/>
  <c r="AR3029" i="49"/>
  <c r="AS3029" i="49"/>
  <c r="AT3029" i="49"/>
  <c r="AO3030" i="49"/>
  <c r="AP3030" i="49"/>
  <c r="AQ3030" i="49"/>
  <c r="AR3030" i="49"/>
  <c r="AS3030" i="49"/>
  <c r="AT3030" i="49"/>
  <c r="AO3031" i="49"/>
  <c r="AP3031" i="49"/>
  <c r="AQ3031" i="49"/>
  <c r="AR3031" i="49"/>
  <c r="AS3031" i="49"/>
  <c r="AT3031" i="49"/>
  <c r="AO3032" i="49"/>
  <c r="AP3032" i="49"/>
  <c r="AQ3032" i="49"/>
  <c r="AR3032" i="49"/>
  <c r="AS3032" i="49"/>
  <c r="AT3032" i="49"/>
  <c r="AO3033" i="49"/>
  <c r="AP3033" i="49"/>
  <c r="AQ3033" i="49"/>
  <c r="AR3033" i="49"/>
  <c r="AS3033" i="49"/>
  <c r="AT3033" i="49"/>
  <c r="AO3034" i="49"/>
  <c r="AP3034" i="49"/>
  <c r="AQ3034" i="49"/>
  <c r="AR3034" i="49"/>
  <c r="AS3034" i="49"/>
  <c r="AT3034" i="49"/>
  <c r="AO3035" i="49"/>
  <c r="AP3035" i="49"/>
  <c r="AQ3035" i="49"/>
  <c r="AR3035" i="49"/>
  <c r="AS3035" i="49"/>
  <c r="AT3035" i="49"/>
  <c r="AO3036" i="49"/>
  <c r="AP3036" i="49"/>
  <c r="AQ3036" i="49"/>
  <c r="AR3036" i="49"/>
  <c r="AS3036" i="49"/>
  <c r="AT3036" i="49"/>
  <c r="AO3037" i="49"/>
  <c r="AP3037" i="49"/>
  <c r="AQ3037" i="49"/>
  <c r="AR3037" i="49"/>
  <c r="AS3037" i="49"/>
  <c r="AT3037" i="49"/>
  <c r="AO3038" i="49"/>
  <c r="AP3038" i="49"/>
  <c r="AQ3038" i="49"/>
  <c r="AR3038" i="49"/>
  <c r="AS3038" i="49"/>
  <c r="AT3038" i="49"/>
  <c r="AO3039" i="49"/>
  <c r="AP3039" i="49"/>
  <c r="AQ3039" i="49"/>
  <c r="AR3039" i="49"/>
  <c r="AS3039" i="49"/>
  <c r="AT3039" i="49"/>
  <c r="AO3040" i="49"/>
  <c r="AP3040" i="49"/>
  <c r="AQ3040" i="49"/>
  <c r="AR3040" i="49"/>
  <c r="AS3040" i="49"/>
  <c r="AT3040" i="49"/>
  <c r="AO3041" i="49"/>
  <c r="AP3041" i="49"/>
  <c r="AQ3041" i="49"/>
  <c r="AR3041" i="49"/>
  <c r="AS3041" i="49"/>
  <c r="AT3041" i="49"/>
  <c r="AO3042" i="49"/>
  <c r="AP3042" i="49"/>
  <c r="AQ3042" i="49"/>
  <c r="AR3042" i="49"/>
  <c r="AS3042" i="49"/>
  <c r="AT3042" i="49"/>
  <c r="AO3043" i="49"/>
  <c r="AP3043" i="49"/>
  <c r="AQ3043" i="49"/>
  <c r="AR3043" i="49"/>
  <c r="AS3043" i="49"/>
  <c r="AT3043" i="49"/>
  <c r="AO3044" i="49"/>
  <c r="AP3044" i="49"/>
  <c r="AQ3044" i="49"/>
  <c r="AR3044" i="49"/>
  <c r="AS3044" i="49"/>
  <c r="AT3044" i="49"/>
  <c r="AO3045" i="49"/>
  <c r="AP3045" i="49"/>
  <c r="AQ3045" i="49"/>
  <c r="AR3045" i="49"/>
  <c r="AS3045" i="49"/>
  <c r="AT3045" i="49"/>
  <c r="AO3046" i="49"/>
  <c r="AP3046" i="49"/>
  <c r="AQ3046" i="49"/>
  <c r="AR3046" i="49"/>
  <c r="AS3046" i="49"/>
  <c r="AT3046" i="49"/>
  <c r="AO3047" i="49"/>
  <c r="AP3047" i="49"/>
  <c r="AQ3047" i="49"/>
  <c r="AR3047" i="49"/>
  <c r="AS3047" i="49"/>
  <c r="AT3047" i="49"/>
  <c r="AO3048" i="49"/>
  <c r="AP3048" i="49"/>
  <c r="AQ3048" i="49"/>
  <c r="AR3048" i="49"/>
  <c r="AS3048" i="49"/>
  <c r="AT3048" i="49"/>
  <c r="AO3049" i="49"/>
  <c r="AP3049" i="49"/>
  <c r="AQ3049" i="49"/>
  <c r="AR3049" i="49"/>
  <c r="AS3049" i="49"/>
  <c r="AT3049" i="49"/>
  <c r="AO3050" i="49"/>
  <c r="AP3050" i="49"/>
  <c r="AQ3050" i="49"/>
  <c r="AR3050" i="49"/>
  <c r="AS3050" i="49"/>
  <c r="AT3050" i="49"/>
  <c r="AO3051" i="49"/>
  <c r="AP3051" i="49"/>
  <c r="AQ3051" i="49"/>
  <c r="AR3051" i="49"/>
  <c r="AS3051" i="49"/>
  <c r="AT3051" i="49"/>
  <c r="AO3052" i="49"/>
  <c r="AP3052" i="49"/>
  <c r="AQ3052" i="49"/>
  <c r="AR3052" i="49"/>
  <c r="AS3052" i="49"/>
  <c r="AT3052" i="49"/>
  <c r="AO3053" i="49"/>
  <c r="AP3053" i="49"/>
  <c r="AQ3053" i="49"/>
  <c r="AR3053" i="49"/>
  <c r="AS3053" i="49"/>
  <c r="AT3053" i="49"/>
  <c r="AO3054" i="49"/>
  <c r="AP3054" i="49"/>
  <c r="AQ3054" i="49"/>
  <c r="AR3054" i="49"/>
  <c r="AS3054" i="49"/>
  <c r="AT3054" i="49"/>
  <c r="AO3055" i="49"/>
  <c r="AP3055" i="49"/>
  <c r="AQ3055" i="49"/>
  <c r="AR3055" i="49"/>
  <c r="AS3055" i="49"/>
  <c r="AT3055" i="49"/>
  <c r="AO3056" i="49"/>
  <c r="AP3056" i="49"/>
  <c r="AQ3056" i="49"/>
  <c r="AR3056" i="49"/>
  <c r="AS3056" i="49"/>
  <c r="AT3056" i="49"/>
  <c r="AO3057" i="49"/>
  <c r="AP3057" i="49"/>
  <c r="AQ3057" i="49"/>
  <c r="AR3057" i="49"/>
  <c r="AS3057" i="49"/>
  <c r="AT3057" i="49"/>
  <c r="AO3058" i="49"/>
  <c r="AP3058" i="49"/>
  <c r="AQ3058" i="49"/>
  <c r="AR3058" i="49"/>
  <c r="AS3058" i="49"/>
  <c r="AT3058" i="49"/>
  <c r="AO3059" i="49"/>
  <c r="AP3059" i="49"/>
  <c r="AQ3059" i="49"/>
  <c r="AR3059" i="49"/>
  <c r="AS3059" i="49"/>
  <c r="AT3059" i="49"/>
  <c r="AO3060" i="49"/>
  <c r="AP3060" i="49"/>
  <c r="AQ3060" i="49"/>
  <c r="AR3060" i="49"/>
  <c r="AS3060" i="49"/>
  <c r="AT3060" i="49"/>
  <c r="AO3061" i="49"/>
  <c r="AP3061" i="49"/>
  <c r="AQ3061" i="49"/>
  <c r="AR3061" i="49"/>
  <c r="AS3061" i="49"/>
  <c r="AT3061" i="49"/>
  <c r="AO3062" i="49"/>
  <c r="AP3062" i="49"/>
  <c r="AQ3062" i="49"/>
  <c r="AR3062" i="49"/>
  <c r="AS3062" i="49"/>
  <c r="AT3062" i="49"/>
  <c r="AO3063" i="49"/>
  <c r="AP3063" i="49"/>
  <c r="AQ3063" i="49"/>
  <c r="AR3063" i="49"/>
  <c r="AS3063" i="49"/>
  <c r="AT3063" i="49"/>
  <c r="AO3064" i="49"/>
  <c r="AP3064" i="49"/>
  <c r="AQ3064" i="49"/>
  <c r="AR3064" i="49"/>
  <c r="AS3064" i="49"/>
  <c r="AT3064" i="49"/>
  <c r="AO3065" i="49"/>
  <c r="AP3065" i="49"/>
  <c r="AQ3065" i="49"/>
  <c r="AR3065" i="49"/>
  <c r="AS3065" i="49"/>
  <c r="AT3065" i="49"/>
  <c r="AO3066" i="49"/>
  <c r="AP3066" i="49"/>
  <c r="AQ3066" i="49"/>
  <c r="AR3066" i="49"/>
  <c r="AS3066" i="49"/>
  <c r="AT3066" i="49"/>
  <c r="AO3067" i="49"/>
  <c r="AP3067" i="49"/>
  <c r="AQ3067" i="49"/>
  <c r="AR3067" i="49"/>
  <c r="AS3067" i="49"/>
  <c r="AT3067" i="49"/>
  <c r="AO3068" i="49"/>
  <c r="AP3068" i="49"/>
  <c r="AQ3068" i="49"/>
  <c r="AR3068" i="49"/>
  <c r="AS3068" i="49"/>
  <c r="AT3068" i="49"/>
  <c r="AO3069" i="49"/>
  <c r="AP3069" i="49"/>
  <c r="AQ3069" i="49"/>
  <c r="AR3069" i="49"/>
  <c r="AS3069" i="49"/>
  <c r="AT3069" i="49"/>
  <c r="AO3070" i="49"/>
  <c r="AP3070" i="49"/>
  <c r="AQ3070" i="49"/>
  <c r="AR3070" i="49"/>
  <c r="AS3070" i="49"/>
  <c r="AT3070" i="49"/>
  <c r="AO3071" i="49"/>
  <c r="AP3071" i="49"/>
  <c r="AQ3071" i="49"/>
  <c r="AR3071" i="49"/>
  <c r="AS3071" i="49"/>
  <c r="AT3071" i="49"/>
  <c r="AO3072" i="49"/>
  <c r="AP3072" i="49"/>
  <c r="AQ3072" i="49"/>
  <c r="AR3072" i="49"/>
  <c r="AS3072" i="49"/>
  <c r="AT3072" i="49"/>
  <c r="AO3073" i="49"/>
  <c r="AP3073" i="49"/>
  <c r="AQ3073" i="49"/>
  <c r="AR3073" i="49"/>
  <c r="AS3073" i="49"/>
  <c r="AT3073" i="49"/>
  <c r="AO3074" i="49"/>
  <c r="AP3074" i="49"/>
  <c r="AQ3074" i="49"/>
  <c r="AR3074" i="49"/>
  <c r="AS3074" i="49"/>
  <c r="AT3074" i="49"/>
  <c r="AO3075" i="49"/>
  <c r="AP3075" i="49"/>
  <c r="AQ3075" i="49"/>
  <c r="AR3075" i="49"/>
  <c r="AS3075" i="49"/>
  <c r="AT3075" i="49"/>
  <c r="AO3076" i="49"/>
  <c r="AP3076" i="49"/>
  <c r="AQ3076" i="49"/>
  <c r="AR3076" i="49"/>
  <c r="AS3076" i="49"/>
  <c r="AT3076" i="49"/>
  <c r="AO3077" i="49"/>
  <c r="AP3077" i="49"/>
  <c r="AQ3077" i="49"/>
  <c r="AR3077" i="49"/>
  <c r="AS3077" i="49"/>
  <c r="AT3077" i="49"/>
  <c r="AO3078" i="49"/>
  <c r="AP3078" i="49"/>
  <c r="AQ3078" i="49"/>
  <c r="AR3078" i="49"/>
  <c r="AS3078" i="49"/>
  <c r="AT3078" i="49"/>
  <c r="AO3079" i="49"/>
  <c r="AP3079" i="49"/>
  <c r="AQ3079" i="49"/>
  <c r="AR3079" i="49"/>
  <c r="AS3079" i="49"/>
  <c r="AT3079" i="49"/>
  <c r="AO3080" i="49"/>
  <c r="AP3080" i="49"/>
  <c r="AQ3080" i="49"/>
  <c r="AR3080" i="49"/>
  <c r="AS3080" i="49"/>
  <c r="AT3080" i="49"/>
  <c r="AO3081" i="49"/>
  <c r="AP3081" i="49"/>
  <c r="AQ3081" i="49"/>
  <c r="AR3081" i="49"/>
  <c r="AS3081" i="49"/>
  <c r="AT3081" i="49"/>
  <c r="AO3082" i="49"/>
  <c r="AP3082" i="49"/>
  <c r="AQ3082" i="49"/>
  <c r="AR3082" i="49"/>
  <c r="AS3082" i="49"/>
  <c r="AT3082" i="49"/>
  <c r="AO3083" i="49"/>
  <c r="AP3083" i="49"/>
  <c r="AQ3083" i="49"/>
  <c r="AR3083" i="49"/>
  <c r="AS3083" i="49"/>
  <c r="AT3083" i="49"/>
  <c r="AO3084" i="49"/>
  <c r="AP3084" i="49"/>
  <c r="AQ3084" i="49"/>
  <c r="AR3084" i="49"/>
  <c r="AS3084" i="49"/>
  <c r="AT3084" i="49"/>
  <c r="AO3085" i="49"/>
  <c r="AP3085" i="49"/>
  <c r="AQ3085" i="49"/>
  <c r="AR3085" i="49"/>
  <c r="AS3085" i="49"/>
  <c r="AT3085" i="49"/>
  <c r="AO3086" i="49"/>
  <c r="AP3086" i="49"/>
  <c r="AQ3086" i="49"/>
  <c r="AR3086" i="49"/>
  <c r="AS3086" i="49"/>
  <c r="AT3086" i="49"/>
  <c r="AO3087" i="49"/>
  <c r="AP3087" i="49"/>
  <c r="AQ3087" i="49"/>
  <c r="AR3087" i="49"/>
  <c r="AS3087" i="49"/>
  <c r="AT3087" i="49"/>
  <c r="AO3088" i="49"/>
  <c r="AP3088" i="49"/>
  <c r="AQ3088" i="49"/>
  <c r="AR3088" i="49"/>
  <c r="AS3088" i="49"/>
  <c r="AT3088" i="49"/>
  <c r="AO3089" i="49"/>
  <c r="AP3089" i="49"/>
  <c r="AQ3089" i="49"/>
  <c r="AR3089" i="49"/>
  <c r="AS3089" i="49"/>
  <c r="AT3089" i="49"/>
  <c r="AO3090" i="49"/>
  <c r="AP3090" i="49"/>
  <c r="AQ3090" i="49"/>
  <c r="AR3090" i="49"/>
  <c r="AS3090" i="49"/>
  <c r="AT3090" i="49"/>
  <c r="AO3091" i="49"/>
  <c r="AP3091" i="49"/>
  <c r="AQ3091" i="49"/>
  <c r="AR3091" i="49"/>
  <c r="AS3091" i="49"/>
  <c r="AT3091" i="49"/>
  <c r="AO3092" i="49"/>
  <c r="AP3092" i="49"/>
  <c r="AQ3092" i="49"/>
  <c r="AR3092" i="49"/>
  <c r="AS3092" i="49"/>
  <c r="AT3092" i="49"/>
  <c r="AO3093" i="49"/>
  <c r="AP3093" i="49"/>
  <c r="AQ3093" i="49"/>
  <c r="AR3093" i="49"/>
  <c r="AS3093" i="49"/>
  <c r="AT3093" i="49"/>
  <c r="AO3094" i="49"/>
  <c r="AP3094" i="49"/>
  <c r="AQ3094" i="49"/>
  <c r="AR3094" i="49"/>
  <c r="AS3094" i="49"/>
  <c r="AT3094" i="49"/>
  <c r="AO3095" i="49"/>
  <c r="AP3095" i="49"/>
  <c r="AQ3095" i="49"/>
  <c r="AR3095" i="49"/>
  <c r="AS3095" i="49"/>
  <c r="AT3095" i="49"/>
  <c r="AO3096" i="49"/>
  <c r="AP3096" i="49"/>
  <c r="AQ3096" i="49"/>
  <c r="AR3096" i="49"/>
  <c r="AS3096" i="49"/>
  <c r="AT3096" i="49"/>
  <c r="AO3097" i="49"/>
  <c r="AP3097" i="49"/>
  <c r="AQ3097" i="49"/>
  <c r="AR3097" i="49"/>
  <c r="AS3097" i="49"/>
  <c r="AT3097" i="49"/>
  <c r="AO3098" i="49"/>
  <c r="AP3098" i="49"/>
  <c r="AQ3098" i="49"/>
  <c r="AR3098" i="49"/>
  <c r="AS3098" i="49"/>
  <c r="AT3098" i="49"/>
  <c r="AO3099" i="49"/>
  <c r="AP3099" i="49"/>
  <c r="AQ3099" i="49"/>
  <c r="AR3099" i="49"/>
  <c r="AS3099" i="49"/>
  <c r="AT3099" i="49"/>
  <c r="AO3100" i="49"/>
  <c r="AP3100" i="49"/>
  <c r="AQ3100" i="49"/>
  <c r="AR3100" i="49"/>
  <c r="AS3100" i="49"/>
  <c r="AT3100" i="49"/>
  <c r="AO3101" i="49"/>
  <c r="AP3101" i="49"/>
  <c r="AQ3101" i="49"/>
  <c r="AR3101" i="49"/>
  <c r="AS3101" i="49"/>
  <c r="AT3101" i="49"/>
  <c r="AO3102" i="49"/>
  <c r="AP3102" i="49"/>
  <c r="AQ3102" i="49"/>
  <c r="AR3102" i="49"/>
  <c r="AS3102" i="49"/>
  <c r="AT3102" i="49"/>
  <c r="AO3103" i="49"/>
  <c r="AP3103" i="49"/>
  <c r="AQ3103" i="49"/>
  <c r="AR3103" i="49"/>
  <c r="AS3103" i="49"/>
  <c r="AT3103" i="49"/>
  <c r="AO3104" i="49"/>
  <c r="AP3104" i="49"/>
  <c r="AQ3104" i="49"/>
  <c r="AR3104" i="49"/>
  <c r="AS3104" i="49"/>
  <c r="AT3104" i="49"/>
  <c r="AO3105" i="49"/>
  <c r="AP3105" i="49"/>
  <c r="AQ3105" i="49"/>
  <c r="AR3105" i="49"/>
  <c r="AS3105" i="49"/>
  <c r="AT3105" i="49"/>
  <c r="AO3106" i="49"/>
  <c r="AP3106" i="49"/>
  <c r="AQ3106" i="49"/>
  <c r="AR3106" i="49"/>
  <c r="AS3106" i="49"/>
  <c r="AT3106" i="49"/>
  <c r="AO3107" i="49"/>
  <c r="AP3107" i="49"/>
  <c r="AQ3107" i="49"/>
  <c r="AR3107" i="49"/>
  <c r="AS3107" i="49"/>
  <c r="AT3107" i="49"/>
  <c r="AO3108" i="49"/>
  <c r="AP3108" i="49"/>
  <c r="AQ3108" i="49"/>
  <c r="AR3108" i="49"/>
  <c r="AS3108" i="49"/>
  <c r="AT3108" i="49"/>
  <c r="AO3109" i="49"/>
  <c r="AP3109" i="49"/>
  <c r="AQ3109" i="49"/>
  <c r="AR3109" i="49"/>
  <c r="AS3109" i="49"/>
  <c r="AT3109" i="49"/>
  <c r="AO3110" i="49"/>
  <c r="AP3110" i="49"/>
  <c r="AQ3110" i="49"/>
  <c r="AR3110" i="49"/>
  <c r="AS3110" i="49"/>
  <c r="AT3110" i="49"/>
  <c r="AO3111" i="49"/>
  <c r="AP3111" i="49"/>
  <c r="AQ3111" i="49"/>
  <c r="AR3111" i="49"/>
  <c r="AS3111" i="49"/>
  <c r="AT3111" i="49"/>
  <c r="AO3112" i="49"/>
  <c r="AP3112" i="49"/>
  <c r="AQ3112" i="49"/>
  <c r="AR3112" i="49"/>
  <c r="AS3112" i="49"/>
  <c r="AT3112" i="49"/>
  <c r="AO3113" i="49"/>
  <c r="AP3113" i="49"/>
  <c r="AQ3113" i="49"/>
  <c r="AR3113" i="49"/>
  <c r="AS3113" i="49"/>
  <c r="AT3113" i="49"/>
  <c r="AO3114" i="49"/>
  <c r="AP3114" i="49"/>
  <c r="AQ3114" i="49"/>
  <c r="AR3114" i="49"/>
  <c r="AS3114" i="49"/>
  <c r="AT3114" i="49"/>
  <c r="AO3115" i="49"/>
  <c r="AP3115" i="49"/>
  <c r="AQ3115" i="49"/>
  <c r="AR3115" i="49"/>
  <c r="AS3115" i="49"/>
  <c r="AT3115" i="49"/>
  <c r="AO3116" i="49"/>
  <c r="AP3116" i="49"/>
  <c r="AQ3116" i="49"/>
  <c r="AR3116" i="49"/>
  <c r="AS3116" i="49"/>
  <c r="AT3116" i="49"/>
  <c r="AO3117" i="49"/>
  <c r="AP3117" i="49"/>
  <c r="AQ3117" i="49"/>
  <c r="AR3117" i="49"/>
  <c r="AS3117" i="49"/>
  <c r="AT3117" i="49"/>
  <c r="AO3118" i="49"/>
  <c r="AP3118" i="49"/>
  <c r="AQ3118" i="49"/>
  <c r="AR3118" i="49"/>
  <c r="AS3118" i="49"/>
  <c r="AT3118" i="49"/>
  <c r="AO3119" i="49"/>
  <c r="AP3119" i="49"/>
  <c r="AQ3119" i="49"/>
  <c r="AR3119" i="49"/>
  <c r="AS3119" i="49"/>
  <c r="AT3119" i="49"/>
  <c r="AO3120" i="49"/>
  <c r="AP3120" i="49"/>
  <c r="AQ3120" i="49"/>
  <c r="AR3120" i="49"/>
  <c r="AS3120" i="49"/>
  <c r="AT3120" i="49"/>
  <c r="AO3121" i="49"/>
  <c r="AP3121" i="49"/>
  <c r="AQ3121" i="49"/>
  <c r="AR3121" i="49"/>
  <c r="AS3121" i="49"/>
  <c r="AT3121" i="49"/>
  <c r="AO3122" i="49"/>
  <c r="AP3122" i="49"/>
  <c r="AQ3122" i="49"/>
  <c r="AR3122" i="49"/>
  <c r="AS3122" i="49"/>
  <c r="AT3122" i="49"/>
  <c r="AO3123" i="49"/>
  <c r="AP3123" i="49"/>
  <c r="AQ3123" i="49"/>
  <c r="AR3123" i="49"/>
  <c r="AS3123" i="49"/>
  <c r="AT3123" i="49"/>
  <c r="AO3124" i="49"/>
  <c r="AP3124" i="49"/>
  <c r="AQ3124" i="49"/>
  <c r="AR3124" i="49"/>
  <c r="AS3124" i="49"/>
  <c r="AT3124" i="49"/>
  <c r="AO3125" i="49"/>
  <c r="AP3125" i="49"/>
  <c r="AQ3125" i="49"/>
  <c r="AR3125" i="49"/>
  <c r="AS3125" i="49"/>
  <c r="AT3125" i="49"/>
  <c r="AO3126" i="49"/>
  <c r="AP3126" i="49"/>
  <c r="AQ3126" i="49"/>
  <c r="AR3126" i="49"/>
  <c r="AS3126" i="49"/>
  <c r="AT3126" i="49"/>
  <c r="AO3127" i="49"/>
  <c r="AP3127" i="49"/>
  <c r="AQ3127" i="49"/>
  <c r="AR3127" i="49"/>
  <c r="AS3127" i="49"/>
  <c r="AT3127" i="49"/>
  <c r="AO3128" i="49"/>
  <c r="AP3128" i="49"/>
  <c r="AQ3128" i="49"/>
  <c r="AR3128" i="49"/>
  <c r="AS3128" i="49"/>
  <c r="AT3128" i="49"/>
  <c r="AO3129" i="49"/>
  <c r="AP3129" i="49"/>
  <c r="AQ3129" i="49"/>
  <c r="AR3129" i="49"/>
  <c r="AS3129" i="49"/>
  <c r="AT3129" i="49"/>
  <c r="AO3130" i="49"/>
  <c r="AP3130" i="49"/>
  <c r="AQ3130" i="49"/>
  <c r="AR3130" i="49"/>
  <c r="AS3130" i="49"/>
  <c r="AT3130" i="49"/>
  <c r="AO3131" i="49"/>
  <c r="AP3131" i="49"/>
  <c r="AQ3131" i="49"/>
  <c r="AR3131" i="49"/>
  <c r="AS3131" i="49"/>
  <c r="AT3131" i="49"/>
  <c r="AO3132" i="49"/>
  <c r="AP3132" i="49"/>
  <c r="AQ3132" i="49"/>
  <c r="AR3132" i="49"/>
  <c r="AS3132" i="49"/>
  <c r="AT3132" i="49"/>
  <c r="AO3133" i="49"/>
  <c r="AP3133" i="49"/>
  <c r="AQ3133" i="49"/>
  <c r="AR3133" i="49"/>
  <c r="AS3133" i="49"/>
  <c r="AT3133" i="49"/>
  <c r="AO3134" i="49"/>
  <c r="AP3134" i="49"/>
  <c r="AQ3134" i="49"/>
  <c r="AR3134" i="49"/>
  <c r="AS3134" i="49"/>
  <c r="AT3134" i="49"/>
  <c r="AO3135" i="49"/>
  <c r="AP3135" i="49"/>
  <c r="AQ3135" i="49"/>
  <c r="AR3135" i="49"/>
  <c r="AS3135" i="49"/>
  <c r="AT3135" i="49"/>
  <c r="AO3136" i="49"/>
  <c r="AP3136" i="49"/>
  <c r="AQ3136" i="49"/>
  <c r="AR3136" i="49"/>
  <c r="AS3136" i="49"/>
  <c r="AT3136" i="49"/>
  <c r="AO3137" i="49"/>
  <c r="AP3137" i="49"/>
  <c r="AQ3137" i="49"/>
  <c r="AR3137" i="49"/>
  <c r="AS3137" i="49"/>
  <c r="AT3137" i="49"/>
  <c r="AO3138" i="49"/>
  <c r="AP3138" i="49"/>
  <c r="AQ3138" i="49"/>
  <c r="AR3138" i="49"/>
  <c r="AS3138" i="49"/>
  <c r="AT3138" i="49"/>
  <c r="AO3139" i="49"/>
  <c r="AP3139" i="49"/>
  <c r="AQ3139" i="49"/>
  <c r="AR3139" i="49"/>
  <c r="AS3139" i="49"/>
  <c r="AT3139" i="49"/>
  <c r="AO3140" i="49"/>
  <c r="AP3140" i="49"/>
  <c r="AQ3140" i="49"/>
  <c r="AR3140" i="49"/>
  <c r="AS3140" i="49"/>
  <c r="AT3140" i="49"/>
  <c r="AO3141" i="49"/>
  <c r="AP3141" i="49"/>
  <c r="AQ3141" i="49"/>
  <c r="AR3141" i="49"/>
  <c r="AS3141" i="49"/>
  <c r="AT3141" i="49"/>
  <c r="AO3142" i="49"/>
  <c r="AP3142" i="49"/>
  <c r="AQ3142" i="49"/>
  <c r="AR3142" i="49"/>
  <c r="AS3142" i="49"/>
  <c r="AT3142" i="49"/>
  <c r="AO3143" i="49"/>
  <c r="AP3143" i="49"/>
  <c r="AQ3143" i="49"/>
  <c r="AR3143" i="49"/>
  <c r="AS3143" i="49"/>
  <c r="AT3143" i="49"/>
  <c r="AO3144" i="49"/>
  <c r="AP3144" i="49"/>
  <c r="AQ3144" i="49"/>
  <c r="AR3144" i="49"/>
  <c r="AS3144" i="49"/>
  <c r="AT3144" i="49"/>
  <c r="AO3145" i="49"/>
  <c r="AP3145" i="49"/>
  <c r="AQ3145" i="49"/>
  <c r="AR3145" i="49"/>
  <c r="AS3145" i="49"/>
  <c r="AT3145" i="49"/>
  <c r="AO3146" i="49"/>
  <c r="AP3146" i="49"/>
  <c r="AQ3146" i="49"/>
  <c r="AR3146" i="49"/>
  <c r="AS3146" i="49"/>
  <c r="AT3146" i="49"/>
  <c r="AO3147" i="49"/>
  <c r="AP3147" i="49"/>
  <c r="AQ3147" i="49"/>
  <c r="AR3147" i="49"/>
  <c r="AS3147" i="49"/>
  <c r="AT3147" i="49"/>
  <c r="AO3148" i="49"/>
  <c r="AP3148" i="49"/>
  <c r="AQ3148" i="49"/>
  <c r="AR3148" i="49"/>
  <c r="AS3148" i="49"/>
  <c r="AT3148" i="49"/>
  <c r="AO3149" i="49"/>
  <c r="AP3149" i="49"/>
  <c r="AQ3149" i="49"/>
  <c r="AR3149" i="49"/>
  <c r="AS3149" i="49"/>
  <c r="AT3149" i="49"/>
  <c r="AO3150" i="49"/>
  <c r="AP3150" i="49"/>
  <c r="AQ3150" i="49"/>
  <c r="AR3150" i="49"/>
  <c r="AS3150" i="49"/>
  <c r="AT3150" i="49"/>
  <c r="AO3151" i="49"/>
  <c r="AP3151" i="49"/>
  <c r="AQ3151" i="49"/>
  <c r="AR3151" i="49"/>
  <c r="AS3151" i="49"/>
  <c r="AT3151" i="49"/>
  <c r="AO3152" i="49"/>
  <c r="AP3152" i="49"/>
  <c r="AQ3152" i="49"/>
  <c r="AR3152" i="49"/>
  <c r="AS3152" i="49"/>
  <c r="AT3152" i="49"/>
  <c r="AO3153" i="49"/>
  <c r="AP3153" i="49"/>
  <c r="AQ3153" i="49"/>
  <c r="AR3153" i="49"/>
  <c r="AS3153" i="49"/>
  <c r="AT3153" i="49"/>
  <c r="AO3154" i="49"/>
  <c r="AP3154" i="49"/>
  <c r="AQ3154" i="49"/>
  <c r="AR3154" i="49"/>
  <c r="AS3154" i="49"/>
  <c r="AT3154" i="49"/>
  <c r="AO3155" i="49"/>
  <c r="AP3155" i="49"/>
  <c r="AQ3155" i="49"/>
  <c r="AR3155" i="49"/>
  <c r="AS3155" i="49"/>
  <c r="AT3155" i="49"/>
  <c r="AO3156" i="49"/>
  <c r="AP3156" i="49"/>
  <c r="AQ3156" i="49"/>
  <c r="AR3156" i="49"/>
  <c r="AS3156" i="49"/>
  <c r="AT3156" i="49"/>
  <c r="AO3157" i="49"/>
  <c r="AP3157" i="49"/>
  <c r="AQ3157" i="49"/>
  <c r="AR3157" i="49"/>
  <c r="AS3157" i="49"/>
  <c r="AT3157" i="49"/>
  <c r="AO3158" i="49"/>
  <c r="AP3158" i="49"/>
  <c r="AQ3158" i="49"/>
  <c r="AR3158" i="49"/>
  <c r="AS3158" i="49"/>
  <c r="AT3158" i="49"/>
  <c r="AO3159" i="49"/>
  <c r="AP3159" i="49"/>
  <c r="AQ3159" i="49"/>
  <c r="AR3159" i="49"/>
  <c r="AS3159" i="49"/>
  <c r="AT3159" i="49"/>
  <c r="AO3160" i="49"/>
  <c r="AP3160" i="49"/>
  <c r="AQ3160" i="49"/>
  <c r="AR3160" i="49"/>
  <c r="AS3160" i="49"/>
  <c r="AT3160" i="49"/>
  <c r="AO3161" i="49"/>
  <c r="AP3161" i="49"/>
  <c r="AQ3161" i="49"/>
  <c r="AR3161" i="49"/>
  <c r="AS3161" i="49"/>
  <c r="AT3161" i="49"/>
  <c r="AO3162" i="49"/>
  <c r="AP3162" i="49"/>
  <c r="AQ3162" i="49"/>
  <c r="AR3162" i="49"/>
  <c r="AS3162" i="49"/>
  <c r="AT3162" i="49"/>
  <c r="AO3163" i="49"/>
  <c r="AP3163" i="49"/>
  <c r="AQ3163" i="49"/>
  <c r="AR3163" i="49"/>
  <c r="AS3163" i="49"/>
  <c r="AT3163" i="49"/>
  <c r="AO3164" i="49"/>
  <c r="AP3164" i="49"/>
  <c r="AQ3164" i="49"/>
  <c r="AR3164" i="49"/>
  <c r="AS3164" i="49"/>
  <c r="AT3164" i="49"/>
  <c r="AO3165" i="49"/>
  <c r="AP3165" i="49"/>
  <c r="AQ3165" i="49"/>
  <c r="AR3165" i="49"/>
  <c r="AS3165" i="49"/>
  <c r="AT3165" i="49"/>
  <c r="AO3166" i="49"/>
  <c r="AP3166" i="49"/>
  <c r="AQ3166" i="49"/>
  <c r="AR3166" i="49"/>
  <c r="AS3166" i="49"/>
  <c r="AT3166" i="49"/>
  <c r="AO3167" i="49"/>
  <c r="AP3167" i="49"/>
  <c r="AQ3167" i="49"/>
  <c r="AR3167" i="49"/>
  <c r="AS3167" i="49"/>
  <c r="AT3167" i="49"/>
  <c r="AO3168" i="49"/>
  <c r="AP3168" i="49"/>
  <c r="AQ3168" i="49"/>
  <c r="AR3168" i="49"/>
  <c r="AS3168" i="49"/>
  <c r="AT3168" i="49"/>
  <c r="AO3169" i="49"/>
  <c r="AP3169" i="49"/>
  <c r="AQ3169" i="49"/>
  <c r="AR3169" i="49"/>
  <c r="AS3169" i="49"/>
  <c r="AT3169" i="49"/>
  <c r="AO3170" i="49"/>
  <c r="AP3170" i="49"/>
  <c r="AQ3170" i="49"/>
  <c r="AR3170" i="49"/>
  <c r="AS3170" i="49"/>
  <c r="AT3170" i="49"/>
  <c r="AO3171" i="49"/>
  <c r="AP3171" i="49"/>
  <c r="AQ3171" i="49"/>
  <c r="AR3171" i="49"/>
  <c r="AS3171" i="49"/>
  <c r="AT3171" i="49"/>
  <c r="AO3172" i="49"/>
  <c r="AP3172" i="49"/>
  <c r="AQ3172" i="49"/>
  <c r="AR3172" i="49"/>
  <c r="AS3172" i="49"/>
  <c r="AT3172" i="49"/>
  <c r="AO3173" i="49"/>
  <c r="AP3173" i="49"/>
  <c r="AQ3173" i="49"/>
  <c r="AR3173" i="49"/>
  <c r="AS3173" i="49"/>
  <c r="AT3173" i="49"/>
  <c r="AO3174" i="49"/>
  <c r="AP3174" i="49"/>
  <c r="AQ3174" i="49"/>
  <c r="AR3174" i="49"/>
  <c r="AS3174" i="49"/>
  <c r="AT3174" i="49"/>
  <c r="AO3175" i="49"/>
  <c r="AP3175" i="49"/>
  <c r="AQ3175" i="49"/>
  <c r="AR3175" i="49"/>
  <c r="AS3175" i="49"/>
  <c r="AT3175" i="49"/>
  <c r="AO3176" i="49"/>
  <c r="AP3176" i="49"/>
  <c r="AQ3176" i="49"/>
  <c r="AR3176" i="49"/>
  <c r="AS3176" i="49"/>
  <c r="AT3176" i="49"/>
  <c r="AO3177" i="49"/>
  <c r="AP3177" i="49"/>
  <c r="AQ3177" i="49"/>
  <c r="AR3177" i="49"/>
  <c r="AS3177" i="49"/>
  <c r="AT3177" i="49"/>
  <c r="AO3178" i="49"/>
  <c r="AP3178" i="49"/>
  <c r="AQ3178" i="49"/>
  <c r="AR3178" i="49"/>
  <c r="AS3178" i="49"/>
  <c r="AT3178" i="49"/>
  <c r="AO3179" i="49"/>
  <c r="AP3179" i="49"/>
  <c r="AQ3179" i="49"/>
  <c r="AR3179" i="49"/>
  <c r="AS3179" i="49"/>
  <c r="AT3179" i="49"/>
  <c r="AO3180" i="49"/>
  <c r="AP3180" i="49"/>
  <c r="AQ3180" i="49"/>
  <c r="AR3180" i="49"/>
  <c r="AS3180" i="49"/>
  <c r="AT3180" i="49"/>
  <c r="AO3181" i="49"/>
  <c r="AP3181" i="49"/>
  <c r="AQ3181" i="49"/>
  <c r="AR3181" i="49"/>
  <c r="AS3181" i="49"/>
  <c r="AT3181" i="49"/>
  <c r="AO3182" i="49"/>
  <c r="AP3182" i="49"/>
  <c r="AQ3182" i="49"/>
  <c r="AR3182" i="49"/>
  <c r="AS3182" i="49"/>
  <c r="AT3182" i="49"/>
  <c r="AO3183" i="49"/>
  <c r="AP3183" i="49"/>
  <c r="AQ3183" i="49"/>
  <c r="AR3183" i="49"/>
  <c r="AS3183" i="49"/>
  <c r="AT3183" i="49"/>
  <c r="AO3184" i="49"/>
  <c r="AP3184" i="49"/>
  <c r="AQ3184" i="49"/>
  <c r="AR3184" i="49"/>
  <c r="AS3184" i="49"/>
  <c r="AT3184" i="49"/>
  <c r="AO3185" i="49"/>
  <c r="AP3185" i="49"/>
  <c r="AQ3185" i="49"/>
  <c r="AR3185" i="49"/>
  <c r="AS3185" i="49"/>
  <c r="AT3185" i="49"/>
  <c r="AO3186" i="49"/>
  <c r="AP3186" i="49"/>
  <c r="AQ3186" i="49"/>
  <c r="AR3186" i="49"/>
  <c r="AS3186" i="49"/>
  <c r="AT3186" i="49"/>
  <c r="AO3187" i="49"/>
  <c r="AP3187" i="49"/>
  <c r="AQ3187" i="49"/>
  <c r="AR3187" i="49"/>
  <c r="AS3187" i="49"/>
  <c r="AT3187" i="49"/>
  <c r="AO3188" i="49"/>
  <c r="AP3188" i="49"/>
  <c r="AQ3188" i="49"/>
  <c r="AR3188" i="49"/>
  <c r="AS3188" i="49"/>
  <c r="AT3188" i="49"/>
  <c r="AO3189" i="49"/>
  <c r="AP3189" i="49"/>
  <c r="AQ3189" i="49"/>
  <c r="AR3189" i="49"/>
  <c r="AS3189" i="49"/>
  <c r="AT3189" i="49"/>
  <c r="AO3190" i="49"/>
  <c r="AP3190" i="49"/>
  <c r="AQ3190" i="49"/>
  <c r="AR3190" i="49"/>
  <c r="AS3190" i="49"/>
  <c r="AT3190" i="49"/>
  <c r="AO3191" i="49"/>
  <c r="AP3191" i="49"/>
  <c r="AQ3191" i="49"/>
  <c r="AR3191" i="49"/>
  <c r="AS3191" i="49"/>
  <c r="AT3191" i="49"/>
  <c r="AO3192" i="49"/>
  <c r="AP3192" i="49"/>
  <c r="AQ3192" i="49"/>
  <c r="AR3192" i="49"/>
  <c r="AS3192" i="49"/>
  <c r="AT3192" i="49"/>
  <c r="AO3193" i="49"/>
  <c r="AP3193" i="49"/>
  <c r="AQ3193" i="49"/>
  <c r="AR3193" i="49"/>
  <c r="AS3193" i="49"/>
  <c r="AT3193" i="49"/>
  <c r="AO3194" i="49"/>
  <c r="AP3194" i="49"/>
  <c r="AQ3194" i="49"/>
  <c r="AR3194" i="49"/>
  <c r="AS3194" i="49"/>
  <c r="AT3194" i="49"/>
  <c r="AO3195" i="49"/>
  <c r="AP3195" i="49"/>
  <c r="AQ3195" i="49"/>
  <c r="AR3195" i="49"/>
  <c r="AS3195" i="49"/>
  <c r="AT3195" i="49"/>
  <c r="AO3196" i="49"/>
  <c r="AP3196" i="49"/>
  <c r="AQ3196" i="49"/>
  <c r="AR3196" i="49"/>
  <c r="AS3196" i="49"/>
  <c r="AT3196" i="49"/>
  <c r="AO3197" i="49"/>
  <c r="AP3197" i="49"/>
  <c r="AQ3197" i="49"/>
  <c r="AR3197" i="49"/>
  <c r="AS3197" i="49"/>
  <c r="AT3197" i="49"/>
  <c r="AO3198" i="49"/>
  <c r="AP3198" i="49"/>
  <c r="AQ3198" i="49"/>
  <c r="AR3198" i="49"/>
  <c r="AS3198" i="49"/>
  <c r="AT3198" i="49"/>
  <c r="AO3199" i="49"/>
  <c r="AP3199" i="49"/>
  <c r="AQ3199" i="49"/>
  <c r="AR3199" i="49"/>
  <c r="AS3199" i="49"/>
  <c r="AT3199" i="49"/>
  <c r="AO3200" i="49"/>
  <c r="AP3200" i="49"/>
  <c r="AQ3200" i="49"/>
  <c r="AR3200" i="49"/>
  <c r="AS3200" i="49"/>
  <c r="AT3200" i="49"/>
  <c r="AO3201" i="49"/>
  <c r="AP3201" i="49"/>
  <c r="AQ3201" i="49"/>
  <c r="AR3201" i="49"/>
  <c r="AS3201" i="49"/>
  <c r="AT3201" i="49"/>
  <c r="AO3202" i="49"/>
  <c r="AP3202" i="49"/>
  <c r="AQ3202" i="49"/>
  <c r="AR3202" i="49"/>
  <c r="AS3202" i="49"/>
  <c r="AT3202" i="49"/>
  <c r="AO3203" i="49"/>
  <c r="AP3203" i="49"/>
  <c r="AQ3203" i="49"/>
  <c r="AR3203" i="49"/>
  <c r="AS3203" i="49"/>
  <c r="AT3203" i="49"/>
  <c r="AO3204" i="49"/>
  <c r="AP3204" i="49"/>
  <c r="AQ3204" i="49"/>
  <c r="AR3204" i="49"/>
  <c r="AS3204" i="49"/>
  <c r="AT3204" i="49"/>
  <c r="AO3205" i="49"/>
  <c r="AP3205" i="49"/>
  <c r="AQ3205" i="49"/>
  <c r="AR3205" i="49"/>
  <c r="AS3205" i="49"/>
  <c r="AT3205" i="49"/>
  <c r="AO3206" i="49"/>
  <c r="AP3206" i="49"/>
  <c r="AQ3206" i="49"/>
  <c r="AR3206" i="49"/>
  <c r="AS3206" i="49"/>
  <c r="AT3206" i="49"/>
  <c r="AO3207" i="49"/>
  <c r="AP3207" i="49"/>
  <c r="AQ3207" i="49"/>
  <c r="AR3207" i="49"/>
  <c r="AS3207" i="49"/>
  <c r="AT3207" i="49"/>
  <c r="AO3208" i="49"/>
  <c r="AP3208" i="49"/>
  <c r="AQ3208" i="49"/>
  <c r="AR3208" i="49"/>
  <c r="AS3208" i="49"/>
  <c r="AT3208" i="49"/>
  <c r="AO3209" i="49"/>
  <c r="AP3209" i="49"/>
  <c r="AQ3209" i="49"/>
  <c r="AR3209" i="49"/>
  <c r="AS3209" i="49"/>
  <c r="AT3209" i="49"/>
  <c r="AO3210" i="49"/>
  <c r="AP3210" i="49"/>
  <c r="AQ3210" i="49"/>
  <c r="AR3210" i="49"/>
  <c r="AS3210" i="49"/>
  <c r="AT3210" i="49"/>
  <c r="AO3211" i="49"/>
  <c r="AP3211" i="49"/>
  <c r="AQ3211" i="49"/>
  <c r="AR3211" i="49"/>
  <c r="AS3211" i="49"/>
  <c r="AT3211" i="49"/>
  <c r="AO3212" i="49"/>
  <c r="AP3212" i="49"/>
  <c r="AQ3212" i="49"/>
  <c r="AR3212" i="49"/>
  <c r="AS3212" i="49"/>
  <c r="AT3212" i="49"/>
  <c r="AO3213" i="49"/>
  <c r="AP3213" i="49"/>
  <c r="AQ3213" i="49"/>
  <c r="AR3213" i="49"/>
  <c r="AS3213" i="49"/>
  <c r="AT3213" i="49"/>
  <c r="AO3214" i="49"/>
  <c r="AP3214" i="49"/>
  <c r="AQ3214" i="49"/>
  <c r="AR3214" i="49"/>
  <c r="AS3214" i="49"/>
  <c r="AT3214" i="49"/>
  <c r="AO3215" i="49"/>
  <c r="AP3215" i="49"/>
  <c r="AQ3215" i="49"/>
  <c r="AR3215" i="49"/>
  <c r="AS3215" i="49"/>
  <c r="AT3215" i="49"/>
  <c r="AO3216" i="49"/>
  <c r="AP3216" i="49"/>
  <c r="AQ3216" i="49"/>
  <c r="AR3216" i="49"/>
  <c r="AS3216" i="49"/>
  <c r="AT3216" i="49"/>
  <c r="AO3217" i="49"/>
  <c r="AP3217" i="49"/>
  <c r="AQ3217" i="49"/>
  <c r="AR3217" i="49"/>
  <c r="AS3217" i="49"/>
  <c r="AT3217" i="49"/>
  <c r="AO3218" i="49"/>
  <c r="AP3218" i="49"/>
  <c r="AQ3218" i="49"/>
  <c r="AR3218" i="49"/>
  <c r="AS3218" i="49"/>
  <c r="AT3218" i="49"/>
  <c r="AO3219" i="49"/>
  <c r="AP3219" i="49"/>
  <c r="AQ3219" i="49"/>
  <c r="AR3219" i="49"/>
  <c r="AS3219" i="49"/>
  <c r="AT3219" i="49"/>
  <c r="AO3220" i="49"/>
  <c r="AP3220" i="49"/>
  <c r="AQ3220" i="49"/>
  <c r="AR3220" i="49"/>
  <c r="AS3220" i="49"/>
  <c r="AT3220" i="49"/>
  <c r="AO3221" i="49"/>
  <c r="AP3221" i="49"/>
  <c r="AQ3221" i="49"/>
  <c r="AR3221" i="49"/>
  <c r="AS3221" i="49"/>
  <c r="AT3221" i="49"/>
  <c r="AO3222" i="49"/>
  <c r="AP3222" i="49"/>
  <c r="AQ3222" i="49"/>
  <c r="AR3222" i="49"/>
  <c r="AS3222" i="49"/>
  <c r="AT3222" i="49"/>
  <c r="AO3223" i="49"/>
  <c r="AP3223" i="49"/>
  <c r="AQ3223" i="49"/>
  <c r="AR3223" i="49"/>
  <c r="AS3223" i="49"/>
  <c r="AT3223" i="49"/>
  <c r="AO3224" i="49"/>
  <c r="AP3224" i="49"/>
  <c r="AQ3224" i="49"/>
  <c r="AR3224" i="49"/>
  <c r="AS3224" i="49"/>
  <c r="AT3224" i="49"/>
  <c r="AO3225" i="49"/>
  <c r="AP3225" i="49"/>
  <c r="AQ3225" i="49"/>
  <c r="AR3225" i="49"/>
  <c r="AS3225" i="49"/>
  <c r="AT3225" i="49"/>
  <c r="AO3226" i="49"/>
  <c r="AP3226" i="49"/>
  <c r="AQ3226" i="49"/>
  <c r="AR3226" i="49"/>
  <c r="AS3226" i="49"/>
  <c r="AT3226" i="49"/>
  <c r="AO3227" i="49"/>
  <c r="AP3227" i="49"/>
  <c r="AQ3227" i="49"/>
  <c r="AR3227" i="49"/>
  <c r="AS3227" i="49"/>
  <c r="AT3227" i="49"/>
  <c r="AO3228" i="49"/>
  <c r="AP3228" i="49"/>
  <c r="AQ3228" i="49"/>
  <c r="AR3228" i="49"/>
  <c r="AS3228" i="49"/>
  <c r="AT3228" i="49"/>
  <c r="AO3229" i="49"/>
  <c r="AP3229" i="49"/>
  <c r="AQ3229" i="49"/>
  <c r="AR3229" i="49"/>
  <c r="AS3229" i="49"/>
  <c r="AT3229" i="49"/>
  <c r="AO3230" i="49"/>
  <c r="AP3230" i="49"/>
  <c r="AQ3230" i="49"/>
  <c r="AR3230" i="49"/>
  <c r="AS3230" i="49"/>
  <c r="AT3230" i="49"/>
  <c r="AO3231" i="49"/>
  <c r="AP3231" i="49"/>
  <c r="AQ3231" i="49"/>
  <c r="AR3231" i="49"/>
  <c r="AS3231" i="49"/>
  <c r="AT3231" i="49"/>
  <c r="AO3232" i="49"/>
  <c r="AP3232" i="49"/>
  <c r="AQ3232" i="49"/>
  <c r="AR3232" i="49"/>
  <c r="AS3232" i="49"/>
  <c r="AT3232" i="49"/>
  <c r="AO3233" i="49"/>
  <c r="AP3233" i="49"/>
  <c r="AQ3233" i="49"/>
  <c r="AR3233" i="49"/>
  <c r="AS3233" i="49"/>
  <c r="AT3233" i="49"/>
  <c r="AO3234" i="49"/>
  <c r="AP3234" i="49"/>
  <c r="AQ3234" i="49"/>
  <c r="AR3234" i="49"/>
  <c r="AS3234" i="49"/>
  <c r="AT3234" i="49"/>
  <c r="AO3235" i="49"/>
  <c r="AP3235" i="49"/>
  <c r="AQ3235" i="49"/>
  <c r="AR3235" i="49"/>
  <c r="AS3235" i="49"/>
  <c r="AT3235" i="49"/>
  <c r="AO3236" i="49"/>
  <c r="AP3236" i="49"/>
  <c r="AQ3236" i="49"/>
  <c r="AR3236" i="49"/>
  <c r="AS3236" i="49"/>
  <c r="AT3236" i="49"/>
  <c r="AO3237" i="49"/>
  <c r="AP3237" i="49"/>
  <c r="AQ3237" i="49"/>
  <c r="AR3237" i="49"/>
  <c r="AS3237" i="49"/>
  <c r="AT3237" i="49"/>
  <c r="AO3238" i="49"/>
  <c r="AP3238" i="49"/>
  <c r="AQ3238" i="49"/>
  <c r="AR3238" i="49"/>
  <c r="AS3238" i="49"/>
  <c r="AT3238" i="49"/>
  <c r="AO3239" i="49"/>
  <c r="AP3239" i="49"/>
  <c r="AQ3239" i="49"/>
  <c r="AR3239" i="49"/>
  <c r="AS3239" i="49"/>
  <c r="AT3239" i="49"/>
  <c r="AO3240" i="49"/>
  <c r="AP3240" i="49"/>
  <c r="AQ3240" i="49"/>
  <c r="AR3240" i="49"/>
  <c r="AS3240" i="49"/>
  <c r="AT3240" i="49"/>
  <c r="AO3241" i="49"/>
  <c r="AP3241" i="49"/>
  <c r="AQ3241" i="49"/>
  <c r="AR3241" i="49"/>
  <c r="AS3241" i="49"/>
  <c r="AT3241" i="49"/>
  <c r="AO3242" i="49"/>
  <c r="AP3242" i="49"/>
  <c r="AQ3242" i="49"/>
  <c r="AR3242" i="49"/>
  <c r="AS3242" i="49"/>
  <c r="AT3242" i="49"/>
  <c r="AO3243" i="49"/>
  <c r="AP3243" i="49"/>
  <c r="AQ3243" i="49"/>
  <c r="AR3243" i="49"/>
  <c r="AS3243" i="49"/>
  <c r="AT3243" i="49"/>
  <c r="AO3244" i="49"/>
  <c r="AP3244" i="49"/>
  <c r="AQ3244" i="49"/>
  <c r="AR3244" i="49"/>
  <c r="AS3244" i="49"/>
  <c r="AT3244" i="49"/>
  <c r="AO3245" i="49"/>
  <c r="AP3245" i="49"/>
  <c r="AQ3245" i="49"/>
  <c r="AR3245" i="49"/>
  <c r="AS3245" i="49"/>
  <c r="AT3245" i="49"/>
  <c r="AO3246" i="49"/>
  <c r="AP3246" i="49"/>
  <c r="AQ3246" i="49"/>
  <c r="AR3246" i="49"/>
  <c r="AS3246" i="49"/>
  <c r="AT3246" i="49"/>
  <c r="AO3247" i="49"/>
  <c r="AP3247" i="49"/>
  <c r="AQ3247" i="49"/>
  <c r="AR3247" i="49"/>
  <c r="AS3247" i="49"/>
  <c r="AT3247" i="49"/>
  <c r="AO3248" i="49"/>
  <c r="AP3248" i="49"/>
  <c r="AQ3248" i="49"/>
  <c r="AR3248" i="49"/>
  <c r="AS3248" i="49"/>
  <c r="AT3248" i="49"/>
  <c r="AO3249" i="49"/>
  <c r="AP3249" i="49"/>
  <c r="AQ3249" i="49"/>
  <c r="AR3249" i="49"/>
  <c r="AS3249" i="49"/>
  <c r="AT3249" i="49"/>
  <c r="AO3250" i="49"/>
  <c r="AP3250" i="49"/>
  <c r="AQ3250" i="49"/>
  <c r="AR3250" i="49"/>
  <c r="AS3250" i="49"/>
  <c r="AT3250" i="49"/>
  <c r="AO3251" i="49"/>
  <c r="AP3251" i="49"/>
  <c r="AQ3251" i="49"/>
  <c r="AR3251" i="49"/>
  <c r="AS3251" i="49"/>
  <c r="AT3251" i="49"/>
  <c r="AO3252" i="49"/>
  <c r="AP3252" i="49"/>
  <c r="AQ3252" i="49"/>
  <c r="AR3252" i="49"/>
  <c r="AS3252" i="49"/>
  <c r="AT3252" i="49"/>
  <c r="AO3253" i="49"/>
  <c r="AP3253" i="49"/>
  <c r="AQ3253" i="49"/>
  <c r="AR3253" i="49"/>
  <c r="AS3253" i="49"/>
  <c r="AT3253" i="49"/>
  <c r="AO3254" i="49"/>
  <c r="AP3254" i="49"/>
  <c r="AQ3254" i="49"/>
  <c r="AR3254" i="49"/>
  <c r="AS3254" i="49"/>
  <c r="AT3254" i="49"/>
  <c r="AO3255" i="49"/>
  <c r="AP3255" i="49"/>
  <c r="AQ3255" i="49"/>
  <c r="AR3255" i="49"/>
  <c r="AS3255" i="49"/>
  <c r="AT3255" i="49"/>
  <c r="AO3256" i="49"/>
  <c r="AP3256" i="49"/>
  <c r="AQ3256" i="49"/>
  <c r="AR3256" i="49"/>
  <c r="AS3256" i="49"/>
  <c r="AT3256" i="49"/>
  <c r="AO3257" i="49"/>
  <c r="AP3257" i="49"/>
  <c r="AQ3257" i="49"/>
  <c r="AR3257" i="49"/>
  <c r="AS3257" i="49"/>
  <c r="AT3257" i="49"/>
  <c r="AO3258" i="49"/>
  <c r="AP3258" i="49"/>
  <c r="AQ3258" i="49"/>
  <c r="AR3258" i="49"/>
  <c r="AS3258" i="49"/>
  <c r="AT3258" i="49"/>
  <c r="AO3259" i="49"/>
  <c r="AP3259" i="49"/>
  <c r="AQ3259" i="49"/>
  <c r="AR3259" i="49"/>
  <c r="AS3259" i="49"/>
  <c r="AT3259" i="49"/>
  <c r="AO3260" i="49"/>
  <c r="AP3260" i="49"/>
  <c r="AQ3260" i="49"/>
  <c r="AR3260" i="49"/>
  <c r="AS3260" i="49"/>
  <c r="AT3260" i="49"/>
  <c r="AO3261" i="49"/>
  <c r="AP3261" i="49"/>
  <c r="AQ3261" i="49"/>
  <c r="AR3261" i="49"/>
  <c r="AS3261" i="49"/>
  <c r="AT3261" i="49"/>
  <c r="AO3262" i="49"/>
  <c r="AP3262" i="49"/>
  <c r="AQ3262" i="49"/>
  <c r="AR3262" i="49"/>
  <c r="AS3262" i="49"/>
  <c r="AT3262" i="49"/>
  <c r="AO3263" i="49"/>
  <c r="AP3263" i="49"/>
  <c r="AQ3263" i="49"/>
  <c r="AR3263" i="49"/>
  <c r="AS3263" i="49"/>
  <c r="AT3263" i="49"/>
  <c r="AO3264" i="49"/>
  <c r="AP3264" i="49"/>
  <c r="AQ3264" i="49"/>
  <c r="AR3264" i="49"/>
  <c r="AS3264" i="49"/>
  <c r="AT3264" i="49"/>
  <c r="AO3265" i="49"/>
  <c r="AP3265" i="49"/>
  <c r="AQ3265" i="49"/>
  <c r="AR3265" i="49"/>
  <c r="AS3265" i="49"/>
  <c r="AT3265" i="49"/>
  <c r="AO3266" i="49"/>
  <c r="AP3266" i="49"/>
  <c r="AQ3266" i="49"/>
  <c r="AR3266" i="49"/>
  <c r="AS3266" i="49"/>
  <c r="AT3266" i="49"/>
  <c r="AO3267" i="49"/>
  <c r="AP3267" i="49"/>
  <c r="AQ3267" i="49"/>
  <c r="AR3267" i="49"/>
  <c r="AS3267" i="49"/>
  <c r="AT3267" i="49"/>
  <c r="AO3268" i="49"/>
  <c r="AP3268" i="49"/>
  <c r="AQ3268" i="49"/>
  <c r="AR3268" i="49"/>
  <c r="AS3268" i="49"/>
  <c r="AT3268" i="49"/>
  <c r="AO3269" i="49"/>
  <c r="AP3269" i="49"/>
  <c r="AQ3269" i="49"/>
  <c r="AR3269" i="49"/>
  <c r="AS3269" i="49"/>
  <c r="AT3269" i="49"/>
  <c r="AO3270" i="49"/>
  <c r="AP3270" i="49"/>
  <c r="AQ3270" i="49"/>
  <c r="AR3270" i="49"/>
  <c r="AS3270" i="49"/>
  <c r="AT3270" i="49"/>
  <c r="AO3271" i="49"/>
  <c r="AP3271" i="49"/>
  <c r="AQ3271" i="49"/>
  <c r="AR3271" i="49"/>
  <c r="AS3271" i="49"/>
  <c r="AT3271" i="49"/>
  <c r="AO3272" i="49"/>
  <c r="AP3272" i="49"/>
  <c r="AQ3272" i="49"/>
  <c r="AR3272" i="49"/>
  <c r="AS3272" i="49"/>
  <c r="AT3272" i="49"/>
  <c r="AO3273" i="49"/>
  <c r="AP3273" i="49"/>
  <c r="AQ3273" i="49"/>
  <c r="AR3273" i="49"/>
  <c r="AS3273" i="49"/>
  <c r="AT3273" i="49"/>
  <c r="AO3274" i="49"/>
  <c r="AP3274" i="49"/>
  <c r="AQ3274" i="49"/>
  <c r="AR3274" i="49"/>
  <c r="AS3274" i="49"/>
  <c r="AT3274" i="49"/>
  <c r="AO3275" i="49"/>
  <c r="AP3275" i="49"/>
  <c r="AQ3275" i="49"/>
  <c r="AR3275" i="49"/>
  <c r="AS3275" i="49"/>
  <c r="AT3275" i="49"/>
  <c r="AO3276" i="49"/>
  <c r="AP3276" i="49"/>
  <c r="AQ3276" i="49"/>
  <c r="AR3276" i="49"/>
  <c r="AS3276" i="49"/>
  <c r="AT3276" i="49"/>
  <c r="AO3277" i="49"/>
  <c r="AP3277" i="49"/>
  <c r="AQ3277" i="49"/>
  <c r="AR3277" i="49"/>
  <c r="AS3277" i="49"/>
  <c r="AT3277" i="49"/>
  <c r="AO3278" i="49"/>
  <c r="AP3278" i="49"/>
  <c r="AQ3278" i="49"/>
  <c r="AR3278" i="49"/>
  <c r="AS3278" i="49"/>
  <c r="AT3278" i="49"/>
  <c r="AO3279" i="49"/>
  <c r="AP3279" i="49"/>
  <c r="AQ3279" i="49"/>
  <c r="AR3279" i="49"/>
  <c r="AS3279" i="49"/>
  <c r="AT3279" i="49"/>
  <c r="AO3280" i="49"/>
  <c r="AP3280" i="49"/>
  <c r="AQ3280" i="49"/>
  <c r="AR3280" i="49"/>
  <c r="AS3280" i="49"/>
  <c r="AT3280" i="49"/>
  <c r="AO3281" i="49"/>
  <c r="AP3281" i="49"/>
  <c r="AQ3281" i="49"/>
  <c r="AR3281" i="49"/>
  <c r="AS3281" i="49"/>
  <c r="AT3281" i="49"/>
  <c r="AO3282" i="49"/>
  <c r="AP3282" i="49"/>
  <c r="AQ3282" i="49"/>
  <c r="AR3282" i="49"/>
  <c r="AS3282" i="49"/>
  <c r="AT3282" i="49"/>
  <c r="AO3283" i="49"/>
  <c r="AP3283" i="49"/>
  <c r="AQ3283" i="49"/>
  <c r="AR3283" i="49"/>
  <c r="AS3283" i="49"/>
  <c r="AT3283" i="49"/>
  <c r="AO3284" i="49"/>
  <c r="AP3284" i="49"/>
  <c r="AQ3284" i="49"/>
  <c r="AR3284" i="49"/>
  <c r="AS3284" i="49"/>
  <c r="AT3284" i="49"/>
  <c r="AO3285" i="49"/>
  <c r="AP3285" i="49"/>
  <c r="AQ3285" i="49"/>
  <c r="AR3285" i="49"/>
  <c r="AS3285" i="49"/>
  <c r="AT3285" i="49"/>
  <c r="AO3286" i="49"/>
  <c r="AP3286" i="49"/>
  <c r="AQ3286" i="49"/>
  <c r="AR3286" i="49"/>
  <c r="AS3286" i="49"/>
  <c r="AT3286" i="49"/>
  <c r="AO3287" i="49"/>
  <c r="AP3287" i="49"/>
  <c r="AQ3287" i="49"/>
  <c r="AR3287" i="49"/>
  <c r="AS3287" i="49"/>
  <c r="AT3287" i="49"/>
  <c r="AO3288" i="49"/>
  <c r="AP3288" i="49"/>
  <c r="AQ3288" i="49"/>
  <c r="AR3288" i="49"/>
  <c r="AS3288" i="49"/>
  <c r="AT3288" i="49"/>
  <c r="AO3289" i="49"/>
  <c r="AP3289" i="49"/>
  <c r="AQ3289" i="49"/>
  <c r="AR3289" i="49"/>
  <c r="AS3289" i="49"/>
  <c r="AT3289" i="49"/>
  <c r="AO3290" i="49"/>
  <c r="AP3290" i="49"/>
  <c r="AQ3290" i="49"/>
  <c r="AR3290" i="49"/>
  <c r="AS3290" i="49"/>
  <c r="AT3290" i="49"/>
  <c r="AO3291" i="49"/>
  <c r="AP3291" i="49"/>
  <c r="AQ3291" i="49"/>
  <c r="AR3291" i="49"/>
  <c r="AS3291" i="49"/>
  <c r="AT3291" i="49"/>
  <c r="AO3292" i="49"/>
  <c r="AP3292" i="49"/>
  <c r="AQ3292" i="49"/>
  <c r="AR3292" i="49"/>
  <c r="AS3292" i="49"/>
  <c r="AT3292" i="49"/>
  <c r="AO3293" i="49"/>
  <c r="AP3293" i="49"/>
  <c r="AQ3293" i="49"/>
  <c r="AR3293" i="49"/>
  <c r="AS3293" i="49"/>
  <c r="AT3293" i="49"/>
  <c r="AO3294" i="49"/>
  <c r="AP3294" i="49"/>
  <c r="AQ3294" i="49"/>
  <c r="AR3294" i="49"/>
  <c r="AS3294" i="49"/>
  <c r="AT3294" i="49"/>
  <c r="AO3295" i="49"/>
  <c r="AP3295" i="49"/>
  <c r="AQ3295" i="49"/>
  <c r="AR3295" i="49"/>
  <c r="AS3295" i="49"/>
  <c r="AT3295" i="49"/>
  <c r="AO3296" i="49"/>
  <c r="AP3296" i="49"/>
  <c r="AQ3296" i="49"/>
  <c r="AR3296" i="49"/>
  <c r="AS3296" i="49"/>
  <c r="AT3296" i="49"/>
  <c r="AO3297" i="49"/>
  <c r="AP3297" i="49"/>
  <c r="AQ3297" i="49"/>
  <c r="AR3297" i="49"/>
  <c r="AS3297" i="49"/>
  <c r="AT3297" i="49"/>
  <c r="AO3298" i="49"/>
  <c r="AP3298" i="49"/>
  <c r="AQ3298" i="49"/>
  <c r="AR3298" i="49"/>
  <c r="AS3298" i="49"/>
  <c r="AT3298" i="49"/>
  <c r="AO3299" i="49"/>
  <c r="AP3299" i="49"/>
  <c r="AQ3299" i="49"/>
  <c r="AR3299" i="49"/>
  <c r="AS3299" i="49"/>
  <c r="AT3299" i="49"/>
  <c r="AO3300" i="49"/>
  <c r="AP3300" i="49"/>
  <c r="AQ3300" i="49"/>
  <c r="AR3300" i="49"/>
  <c r="AS3300" i="49"/>
  <c r="AT3300" i="49"/>
  <c r="AO3301" i="49"/>
  <c r="AP3301" i="49"/>
  <c r="AQ3301" i="49"/>
  <c r="AR3301" i="49"/>
  <c r="AS3301" i="49"/>
  <c r="AT3301" i="49"/>
  <c r="AO3302" i="49"/>
  <c r="AP3302" i="49"/>
  <c r="AQ3302" i="49"/>
  <c r="AR3302" i="49"/>
  <c r="AS3302" i="49"/>
  <c r="AT3302" i="49"/>
  <c r="AO3303" i="49"/>
  <c r="AP3303" i="49"/>
  <c r="AQ3303" i="49"/>
  <c r="AR3303" i="49"/>
  <c r="AS3303" i="49"/>
  <c r="AT3303" i="49"/>
  <c r="AO3304" i="49"/>
  <c r="AP3304" i="49"/>
  <c r="AQ3304" i="49"/>
  <c r="AR3304" i="49"/>
  <c r="AS3304" i="49"/>
  <c r="AT3304" i="49"/>
  <c r="AO3305" i="49"/>
  <c r="AP3305" i="49"/>
  <c r="AQ3305" i="49"/>
  <c r="AR3305" i="49"/>
  <c r="AS3305" i="49"/>
  <c r="AT3305" i="49"/>
  <c r="AO3306" i="49"/>
  <c r="AP3306" i="49"/>
  <c r="AQ3306" i="49"/>
  <c r="AR3306" i="49"/>
  <c r="AS3306" i="49"/>
  <c r="AT3306" i="49"/>
  <c r="AO3307" i="49"/>
  <c r="AP3307" i="49"/>
  <c r="AQ3307" i="49"/>
  <c r="AR3307" i="49"/>
  <c r="AS3307" i="49"/>
  <c r="AT3307" i="49"/>
  <c r="AO3308" i="49"/>
  <c r="AP3308" i="49"/>
  <c r="AQ3308" i="49"/>
  <c r="AR3308" i="49"/>
  <c r="AS3308" i="49"/>
  <c r="AT3308" i="49"/>
  <c r="AO3309" i="49"/>
  <c r="AP3309" i="49"/>
  <c r="AQ3309" i="49"/>
  <c r="AR3309" i="49"/>
  <c r="AS3309" i="49"/>
  <c r="AT3309" i="49"/>
  <c r="AO3310" i="49"/>
  <c r="AP3310" i="49"/>
  <c r="AQ3310" i="49"/>
  <c r="AR3310" i="49"/>
  <c r="AS3310" i="49"/>
  <c r="AT3310" i="49"/>
  <c r="AO3311" i="49"/>
  <c r="AP3311" i="49"/>
  <c r="AQ3311" i="49"/>
  <c r="AR3311" i="49"/>
  <c r="AS3311" i="49"/>
  <c r="AT3311" i="49"/>
  <c r="AO3312" i="49"/>
  <c r="AP3312" i="49"/>
  <c r="AQ3312" i="49"/>
  <c r="AR3312" i="49"/>
  <c r="AS3312" i="49"/>
  <c r="AT3312" i="49"/>
  <c r="AO3313" i="49"/>
  <c r="AP3313" i="49"/>
  <c r="AQ3313" i="49"/>
  <c r="AR3313" i="49"/>
  <c r="AS3313" i="49"/>
  <c r="AT3313" i="49"/>
  <c r="AO3314" i="49"/>
  <c r="AP3314" i="49"/>
  <c r="AQ3314" i="49"/>
  <c r="AR3314" i="49"/>
  <c r="AS3314" i="49"/>
  <c r="AT3314" i="49"/>
  <c r="AO3315" i="49"/>
  <c r="AP3315" i="49"/>
  <c r="AQ3315" i="49"/>
  <c r="AR3315" i="49"/>
  <c r="AS3315" i="49"/>
  <c r="AT3315" i="49"/>
  <c r="AO3316" i="49"/>
  <c r="AP3316" i="49"/>
  <c r="AQ3316" i="49"/>
  <c r="AR3316" i="49"/>
  <c r="AS3316" i="49"/>
  <c r="AT3316" i="49"/>
  <c r="AO3317" i="49"/>
  <c r="AP3317" i="49"/>
  <c r="AQ3317" i="49"/>
  <c r="AR3317" i="49"/>
  <c r="AS3317" i="49"/>
  <c r="AT3317" i="49"/>
  <c r="AO3318" i="49"/>
  <c r="AP3318" i="49"/>
  <c r="AQ3318" i="49"/>
  <c r="AR3318" i="49"/>
  <c r="AS3318" i="49"/>
  <c r="AT3318" i="49"/>
  <c r="AO3319" i="49"/>
  <c r="AP3319" i="49"/>
  <c r="AQ3319" i="49"/>
  <c r="AR3319" i="49"/>
  <c r="AS3319" i="49"/>
  <c r="AT3319" i="49"/>
  <c r="AO3320" i="49"/>
  <c r="AP3320" i="49"/>
  <c r="AQ3320" i="49"/>
  <c r="AR3320" i="49"/>
  <c r="AS3320" i="49"/>
  <c r="AT3320" i="49"/>
  <c r="AO3321" i="49"/>
  <c r="AP3321" i="49"/>
  <c r="AQ3321" i="49"/>
  <c r="AR3321" i="49"/>
  <c r="AS3321" i="49"/>
  <c r="AT3321" i="49"/>
  <c r="AO3322" i="49"/>
  <c r="AP3322" i="49"/>
  <c r="AQ3322" i="49"/>
  <c r="AR3322" i="49"/>
  <c r="AS3322" i="49"/>
  <c r="AT3322" i="49"/>
  <c r="AO3323" i="49"/>
  <c r="AP3323" i="49"/>
  <c r="AQ3323" i="49"/>
  <c r="AR3323" i="49"/>
  <c r="AS3323" i="49"/>
  <c r="AT3323" i="49"/>
  <c r="AO3324" i="49"/>
  <c r="AP3324" i="49"/>
  <c r="AQ3324" i="49"/>
  <c r="AR3324" i="49"/>
  <c r="AS3324" i="49"/>
  <c r="AT3324" i="49"/>
  <c r="AO3325" i="49"/>
  <c r="AP3325" i="49"/>
  <c r="AQ3325" i="49"/>
  <c r="AR3325" i="49"/>
  <c r="AS3325" i="49"/>
  <c r="AT3325" i="49"/>
  <c r="AO3326" i="49"/>
  <c r="AP3326" i="49"/>
  <c r="AQ3326" i="49"/>
  <c r="AR3326" i="49"/>
  <c r="AS3326" i="49"/>
  <c r="AT3326" i="49"/>
  <c r="AO3327" i="49"/>
  <c r="AP3327" i="49"/>
  <c r="AQ3327" i="49"/>
  <c r="AR3327" i="49"/>
  <c r="AS3327" i="49"/>
  <c r="AT3327" i="49"/>
  <c r="AO3328" i="49"/>
  <c r="AP3328" i="49"/>
  <c r="AQ3328" i="49"/>
  <c r="AR3328" i="49"/>
  <c r="AS3328" i="49"/>
  <c r="AT3328" i="49"/>
  <c r="AO3329" i="49"/>
  <c r="AP3329" i="49"/>
  <c r="AQ3329" i="49"/>
  <c r="AR3329" i="49"/>
  <c r="AS3329" i="49"/>
  <c r="AT3329" i="49"/>
  <c r="AO3330" i="49"/>
  <c r="AP3330" i="49"/>
  <c r="AQ3330" i="49"/>
  <c r="AR3330" i="49"/>
  <c r="AS3330" i="49"/>
  <c r="AT3330" i="49"/>
  <c r="AO3331" i="49"/>
  <c r="AP3331" i="49"/>
  <c r="AQ3331" i="49"/>
  <c r="AR3331" i="49"/>
  <c r="AS3331" i="49"/>
  <c r="AT3331" i="49"/>
  <c r="AO3332" i="49"/>
  <c r="AP3332" i="49"/>
  <c r="AQ3332" i="49"/>
  <c r="AR3332" i="49"/>
  <c r="AS3332" i="49"/>
  <c r="AT3332" i="49"/>
  <c r="AO3333" i="49"/>
  <c r="AP3333" i="49"/>
  <c r="AQ3333" i="49"/>
  <c r="AR3333" i="49"/>
  <c r="AS3333" i="49"/>
  <c r="AT3333" i="49"/>
  <c r="AO3334" i="49"/>
  <c r="AP3334" i="49"/>
  <c r="AQ3334" i="49"/>
  <c r="AR3334" i="49"/>
  <c r="AS3334" i="49"/>
  <c r="AT3334" i="49"/>
  <c r="AO3335" i="49"/>
  <c r="AP3335" i="49"/>
  <c r="AQ3335" i="49"/>
  <c r="AR3335" i="49"/>
  <c r="AS3335" i="49"/>
  <c r="AT3335" i="49"/>
  <c r="AO3336" i="49"/>
  <c r="AP3336" i="49"/>
  <c r="AQ3336" i="49"/>
  <c r="AR3336" i="49"/>
  <c r="AS3336" i="49"/>
  <c r="AT3336" i="49"/>
  <c r="AO3337" i="49"/>
  <c r="AP3337" i="49"/>
  <c r="AQ3337" i="49"/>
  <c r="AR3337" i="49"/>
  <c r="AS3337" i="49"/>
  <c r="AT3337" i="49"/>
  <c r="AO3338" i="49"/>
  <c r="AP3338" i="49"/>
  <c r="AQ3338" i="49"/>
  <c r="AR3338" i="49"/>
  <c r="AS3338" i="49"/>
  <c r="AT3338" i="49"/>
  <c r="AO3339" i="49"/>
  <c r="AP3339" i="49"/>
  <c r="AQ3339" i="49"/>
  <c r="AR3339" i="49"/>
  <c r="AS3339" i="49"/>
  <c r="AT3339" i="49"/>
  <c r="AO3340" i="49"/>
  <c r="AP3340" i="49"/>
  <c r="AQ3340" i="49"/>
  <c r="AR3340" i="49"/>
  <c r="AS3340" i="49"/>
  <c r="AT3340" i="49"/>
  <c r="AO3341" i="49"/>
  <c r="AP3341" i="49"/>
  <c r="AQ3341" i="49"/>
  <c r="AR3341" i="49"/>
  <c r="AS3341" i="49"/>
  <c r="AT3341" i="49"/>
  <c r="AO3342" i="49"/>
  <c r="AP3342" i="49"/>
  <c r="AQ3342" i="49"/>
  <c r="AR3342" i="49"/>
  <c r="AS3342" i="49"/>
  <c r="AT3342" i="49"/>
  <c r="AO3343" i="49"/>
  <c r="AP3343" i="49"/>
  <c r="AQ3343" i="49"/>
  <c r="AR3343" i="49"/>
  <c r="AS3343" i="49"/>
  <c r="AT3343" i="49"/>
  <c r="AO3344" i="49"/>
  <c r="AP3344" i="49"/>
  <c r="AQ3344" i="49"/>
  <c r="AR3344" i="49"/>
  <c r="AS3344" i="49"/>
  <c r="AT3344" i="49"/>
  <c r="AO3345" i="49"/>
  <c r="AP3345" i="49"/>
  <c r="AQ3345" i="49"/>
  <c r="AR3345" i="49"/>
  <c r="AS3345" i="49"/>
  <c r="AT3345" i="49"/>
  <c r="AO3346" i="49"/>
  <c r="AP3346" i="49"/>
  <c r="AQ3346" i="49"/>
  <c r="AR3346" i="49"/>
  <c r="AS3346" i="49"/>
  <c r="AT3346" i="49"/>
  <c r="AO3347" i="49"/>
  <c r="AP3347" i="49"/>
  <c r="AQ3347" i="49"/>
  <c r="AR3347" i="49"/>
  <c r="AS3347" i="49"/>
  <c r="AT3347" i="49"/>
  <c r="H96" i="7"/>
  <c r="H95" i="7"/>
  <c r="H88" i="7"/>
  <c r="H87" i="7"/>
  <c r="H86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57" i="7"/>
  <c r="H54" i="7"/>
  <c r="H53" i="7"/>
  <c r="H52" i="7"/>
  <c r="H44" i="7"/>
  <c r="H43" i="7" s="1"/>
  <c r="H40" i="7"/>
  <c r="H41" i="7" s="1"/>
  <c r="H39" i="7"/>
  <c r="H61" i="7" s="1"/>
  <c r="I9" i="1"/>
  <c r="AN32" i="7"/>
  <c r="D96" i="7"/>
  <c r="D95" i="7"/>
  <c r="D88" i="7"/>
  <c r="D87" i="7"/>
  <c r="D86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57" i="7"/>
  <c r="D54" i="7"/>
  <c r="D53" i="7"/>
  <c r="D52" i="7"/>
  <c r="D44" i="7"/>
  <c r="D43" i="7" s="1"/>
  <c r="D40" i="7"/>
  <c r="D41" i="7" s="1"/>
  <c r="D39" i="7"/>
  <c r="D61" i="7" s="1"/>
  <c r="AN18" i="7"/>
  <c r="BF37" i="1"/>
  <c r="BD37" i="1"/>
  <c r="BC37" i="1"/>
  <c r="BA37" i="1"/>
  <c r="BE36" i="1"/>
  <c r="BB36" i="1"/>
  <c r="Q96" i="7"/>
  <c r="Q95" i="7"/>
  <c r="Q88" i="7"/>
  <c r="Q87" i="7"/>
  <c r="Q86" i="7"/>
  <c r="Q79" i="7"/>
  <c r="Q78" i="7"/>
  <c r="Q77" i="7"/>
  <c r="Q76" i="7"/>
  <c r="Q75" i="7"/>
  <c r="Q74" i="7"/>
  <c r="Q73" i="7"/>
  <c r="Q72" i="7"/>
  <c r="Q71" i="7"/>
  <c r="Q70" i="7"/>
  <c r="Q69" i="7"/>
  <c r="Q68" i="7"/>
  <c r="Q67" i="7"/>
  <c r="Q66" i="7"/>
  <c r="Q65" i="7"/>
  <c r="Q64" i="7"/>
  <c r="Q63" i="7"/>
  <c r="Q57" i="7"/>
  <c r="Q54" i="7"/>
  <c r="Q53" i="7"/>
  <c r="Q52" i="7"/>
  <c r="Q44" i="7"/>
  <c r="Q43" i="7" s="1"/>
  <c r="Q40" i="7"/>
  <c r="Q41" i="7" s="1"/>
  <c r="Q39" i="7"/>
  <c r="Q61" i="7" s="1"/>
  <c r="F9" i="1"/>
  <c r="F8" i="1"/>
  <c r="F7" i="1"/>
  <c r="F6" i="1"/>
  <c r="P1" i="3"/>
  <c r="W71" i="17"/>
  <c r="B117" i="42"/>
  <c r="F16" i="41"/>
  <c r="F13" i="41"/>
  <c r="AU34" i="17"/>
  <c r="V30" i="7"/>
  <c r="V31" i="7"/>
  <c r="V32" i="7"/>
  <c r="V33" i="7"/>
  <c r="ER37" i="1"/>
  <c r="EP37" i="1"/>
  <c r="EO37" i="1"/>
  <c r="EM37" i="1"/>
  <c r="EL37" i="1"/>
  <c r="EJ37" i="1"/>
  <c r="EI37" i="1"/>
  <c r="EG37" i="1"/>
  <c r="EQ36" i="1"/>
  <c r="EN36" i="1"/>
  <c r="EK36" i="1"/>
  <c r="EH36" i="1"/>
  <c r="EQ35" i="1"/>
  <c r="EN35" i="1"/>
  <c r="EK35" i="1"/>
  <c r="EH35" i="1"/>
  <c r="EQ34" i="1"/>
  <c r="EN34" i="1"/>
  <c r="EK34" i="1"/>
  <c r="EH34" i="1"/>
  <c r="EQ33" i="1"/>
  <c r="EN33" i="1"/>
  <c r="EK33" i="1"/>
  <c r="EH33" i="1"/>
  <c r="EQ32" i="1"/>
  <c r="EN32" i="1"/>
  <c r="EK32" i="1"/>
  <c r="EH32" i="1"/>
  <c r="EQ31" i="1"/>
  <c r="EN31" i="1"/>
  <c r="EK31" i="1"/>
  <c r="EH31" i="1"/>
  <c r="EQ30" i="1"/>
  <c r="EN30" i="1"/>
  <c r="EK30" i="1"/>
  <c r="EH30" i="1"/>
  <c r="EQ29" i="1"/>
  <c r="EN29" i="1"/>
  <c r="EK29" i="1"/>
  <c r="EH29" i="1"/>
  <c r="EQ28" i="1"/>
  <c r="EN28" i="1"/>
  <c r="EK28" i="1"/>
  <c r="EH28" i="1"/>
  <c r="EQ27" i="1"/>
  <c r="EN27" i="1"/>
  <c r="EK27" i="1"/>
  <c r="EH27" i="1"/>
  <c r="EQ26" i="1"/>
  <c r="EN26" i="1"/>
  <c r="EK26" i="1"/>
  <c r="EH26" i="1"/>
  <c r="EQ25" i="1"/>
  <c r="EN25" i="1"/>
  <c r="EK25" i="1"/>
  <c r="EH25" i="1"/>
  <c r="EQ24" i="1"/>
  <c r="EN24" i="1"/>
  <c r="EK24" i="1"/>
  <c r="EH24" i="1"/>
  <c r="EQ23" i="1"/>
  <c r="EN23" i="1"/>
  <c r="EK23" i="1"/>
  <c r="EH23" i="1"/>
  <c r="EQ22" i="1"/>
  <c r="EN22" i="1"/>
  <c r="EK22" i="1"/>
  <c r="EH22" i="1"/>
  <c r="EQ21" i="1"/>
  <c r="EN21" i="1"/>
  <c r="EK21" i="1"/>
  <c r="EH21" i="1"/>
  <c r="EQ20" i="1"/>
  <c r="EN20" i="1"/>
  <c r="EK20" i="1"/>
  <c r="EH20" i="1"/>
  <c r="EQ19" i="1"/>
  <c r="EN19" i="1"/>
  <c r="EK19" i="1"/>
  <c r="EH19" i="1"/>
  <c r="EQ18" i="1"/>
  <c r="EN18" i="1"/>
  <c r="EK18" i="1"/>
  <c r="EH18" i="1"/>
  <c r="EQ17" i="1"/>
  <c r="EN17" i="1"/>
  <c r="EK17" i="1"/>
  <c r="EH17" i="1"/>
  <c r="EQ16" i="1"/>
  <c r="EN16" i="1"/>
  <c r="EK16" i="1"/>
  <c r="EH16" i="1"/>
  <c r="EQ15" i="1"/>
  <c r="EN15" i="1"/>
  <c r="EK15" i="1"/>
  <c r="EH15" i="1"/>
  <c r="EQ14" i="1"/>
  <c r="EN14" i="1"/>
  <c r="EK14" i="1"/>
  <c r="EH14" i="1"/>
  <c r="EQ13" i="1"/>
  <c r="EN13" i="1"/>
  <c r="EK13" i="1"/>
  <c r="EH13" i="1"/>
  <c r="EQ12" i="1"/>
  <c r="EN12" i="1"/>
  <c r="EK12" i="1"/>
  <c r="EH12" i="1"/>
  <c r="EQ11" i="1"/>
  <c r="EN11" i="1"/>
  <c r="EK11" i="1"/>
  <c r="EH11" i="1"/>
  <c r="EQ10" i="1"/>
  <c r="EN10" i="1"/>
  <c r="EK10" i="1"/>
  <c r="EH10" i="1"/>
  <c r="EQ9" i="1"/>
  <c r="EN9" i="1"/>
  <c r="EK9" i="1"/>
  <c r="EH9" i="1"/>
  <c r="EQ8" i="1"/>
  <c r="EN8" i="1"/>
  <c r="EK8" i="1"/>
  <c r="EH8" i="1"/>
  <c r="EQ7" i="1"/>
  <c r="EN7" i="1"/>
  <c r="EK7" i="1"/>
  <c r="EH7" i="1"/>
  <c r="EQ6" i="1"/>
  <c r="EN6" i="1"/>
  <c r="EK6" i="1"/>
  <c r="EH6" i="1"/>
  <c r="V29" i="7"/>
  <c r="O96" i="7"/>
  <c r="O95" i="7"/>
  <c r="O88" i="7"/>
  <c r="O87" i="7"/>
  <c r="O86" i="7"/>
  <c r="O79" i="7"/>
  <c r="O78" i="7"/>
  <c r="O76" i="7"/>
  <c r="O75" i="7"/>
  <c r="O74" i="7"/>
  <c r="O73" i="7"/>
  <c r="O72" i="7"/>
  <c r="O71" i="7"/>
  <c r="O70" i="7"/>
  <c r="O69" i="7"/>
  <c r="O68" i="7"/>
  <c r="O67" i="7"/>
  <c r="O66" i="7"/>
  <c r="O65" i="7"/>
  <c r="O57" i="7"/>
  <c r="O54" i="7"/>
  <c r="O53" i="7"/>
  <c r="O52" i="7"/>
  <c r="O44" i="7"/>
  <c r="O43" i="7" s="1"/>
  <c r="O40" i="7"/>
  <c r="O41" i="7" s="1"/>
  <c r="O39" i="7"/>
  <c r="O61" i="7" s="1"/>
  <c r="P96" i="7"/>
  <c r="P95" i="7"/>
  <c r="P88" i="7"/>
  <c r="P87" i="7"/>
  <c r="P86" i="7"/>
  <c r="P79" i="7"/>
  <c r="P78" i="7"/>
  <c r="P76" i="7"/>
  <c r="P75" i="7"/>
  <c r="P74" i="7"/>
  <c r="P73" i="7"/>
  <c r="P72" i="7"/>
  <c r="P71" i="7"/>
  <c r="P70" i="7"/>
  <c r="P69" i="7"/>
  <c r="P68" i="7"/>
  <c r="P67" i="7"/>
  <c r="P66" i="7"/>
  <c r="P65" i="7"/>
  <c r="P57" i="7"/>
  <c r="P54" i="7"/>
  <c r="P53" i="7"/>
  <c r="P52" i="7"/>
  <c r="P44" i="7"/>
  <c r="P43" i="7" s="1"/>
  <c r="P40" i="7"/>
  <c r="P41" i="7" s="1"/>
  <c r="P39" i="7"/>
  <c r="P61" i="7" s="1"/>
  <c r="AN16" i="7"/>
  <c r="AN17" i="7"/>
  <c r="N2" i="53"/>
  <c r="S96" i="7"/>
  <c r="S95" i="7"/>
  <c r="S88" i="7"/>
  <c r="S87" i="7"/>
  <c r="S86" i="7"/>
  <c r="S79" i="7"/>
  <c r="S78" i="7"/>
  <c r="S76" i="7"/>
  <c r="S75" i="7"/>
  <c r="S74" i="7"/>
  <c r="S73" i="7"/>
  <c r="S72" i="7"/>
  <c r="S71" i="7"/>
  <c r="S70" i="7"/>
  <c r="S69" i="7"/>
  <c r="S68" i="7"/>
  <c r="S67" i="7"/>
  <c r="S66" i="7"/>
  <c r="S65" i="7"/>
  <c r="S57" i="7"/>
  <c r="S54" i="7"/>
  <c r="S53" i="7"/>
  <c r="S52" i="7"/>
  <c r="S44" i="7"/>
  <c r="S43" i="7" s="1"/>
  <c r="S40" i="7"/>
  <c r="S41" i="7" s="1"/>
  <c r="S39" i="7"/>
  <c r="S61" i="7" s="1"/>
  <c r="E96" i="7"/>
  <c r="E95" i="7"/>
  <c r="E88" i="7"/>
  <c r="E87" i="7"/>
  <c r="E86" i="7"/>
  <c r="E79" i="7"/>
  <c r="E78" i="7"/>
  <c r="E76" i="7"/>
  <c r="E75" i="7"/>
  <c r="E74" i="7"/>
  <c r="E73" i="7"/>
  <c r="E72" i="7"/>
  <c r="E71" i="7"/>
  <c r="E70" i="7"/>
  <c r="E69" i="7"/>
  <c r="E68" i="7"/>
  <c r="E67" i="7"/>
  <c r="E66" i="7"/>
  <c r="E65" i="7"/>
  <c r="E57" i="7"/>
  <c r="E54" i="7"/>
  <c r="E53" i="7"/>
  <c r="E52" i="7"/>
  <c r="E44" i="7"/>
  <c r="E43" i="7" s="1"/>
  <c r="E40" i="7"/>
  <c r="E41" i="7" s="1"/>
  <c r="E39" i="7"/>
  <c r="E61" i="7" s="1"/>
  <c r="AN29" i="7"/>
  <c r="M96" i="7"/>
  <c r="M95" i="7"/>
  <c r="M88" i="7"/>
  <c r="M87" i="7"/>
  <c r="M86" i="7"/>
  <c r="M79" i="7"/>
  <c r="M78" i="7"/>
  <c r="M76" i="7"/>
  <c r="M75" i="7"/>
  <c r="M74" i="7"/>
  <c r="M73" i="7"/>
  <c r="M72" i="7"/>
  <c r="M71" i="7"/>
  <c r="M70" i="7"/>
  <c r="M69" i="7"/>
  <c r="M68" i="7"/>
  <c r="M67" i="7"/>
  <c r="M66" i="7"/>
  <c r="M65" i="7"/>
  <c r="M57" i="7"/>
  <c r="M54" i="7"/>
  <c r="M53" i="7"/>
  <c r="M52" i="7"/>
  <c r="M44" i="7"/>
  <c r="M43" i="7" s="1"/>
  <c r="M40" i="7"/>
  <c r="M41" i="7" s="1"/>
  <c r="M39" i="7"/>
  <c r="M61" i="7" s="1"/>
  <c r="AO24" i="7"/>
  <c r="AN22" i="7"/>
  <c r="AS38" i="7"/>
  <c r="M110" i="3" s="1"/>
  <c r="AR38" i="7"/>
  <c r="AS37" i="7"/>
  <c r="AR37" i="7"/>
  <c r="AS36" i="7"/>
  <c r="AR36" i="7"/>
  <c r="AS35" i="7"/>
  <c r="AR35" i="7"/>
  <c r="AS34" i="7"/>
  <c r="AR34" i="7"/>
  <c r="AS33" i="7"/>
  <c r="AR33" i="7"/>
  <c r="AS32" i="7"/>
  <c r="AR32" i="7"/>
  <c r="AS31" i="7"/>
  <c r="AR31" i="7"/>
  <c r="AS30" i="7"/>
  <c r="AR30" i="7"/>
  <c r="AS29" i="7"/>
  <c r="AR29" i="7"/>
  <c r="AS28" i="7"/>
  <c r="AR28" i="7"/>
  <c r="AS27" i="7"/>
  <c r="AR27" i="7"/>
  <c r="AS26" i="7"/>
  <c r="AR26" i="7"/>
  <c r="AS25" i="7"/>
  <c r="AR25" i="7"/>
  <c r="AS24" i="7"/>
  <c r="AR24" i="7"/>
  <c r="AS23" i="7"/>
  <c r="AR23" i="7"/>
  <c r="AS22" i="7"/>
  <c r="AR22" i="7"/>
  <c r="AS21" i="7"/>
  <c r="AR21" i="7"/>
  <c r="AS20" i="7"/>
  <c r="AR20" i="7"/>
  <c r="AS19" i="7"/>
  <c r="AR19" i="7"/>
  <c r="AS18" i="7"/>
  <c r="AR18" i="7"/>
  <c r="AS17" i="7"/>
  <c r="AR17" i="7"/>
  <c r="AS16" i="7"/>
  <c r="AR16" i="7"/>
  <c r="AS15" i="7"/>
  <c r="AR15" i="7"/>
  <c r="AS14" i="7"/>
  <c r="AR14" i="7"/>
  <c r="AS13" i="7"/>
  <c r="AR13" i="7"/>
  <c r="AS12" i="7"/>
  <c r="AR12" i="7"/>
  <c r="AS11" i="7"/>
  <c r="AR11" i="7"/>
  <c r="AS10" i="7"/>
  <c r="AR10" i="7"/>
  <c r="AS9" i="7"/>
  <c r="AR9" i="7"/>
  <c r="AS8" i="7"/>
  <c r="AR8" i="7"/>
  <c r="N13" i="53"/>
  <c r="N12" i="53"/>
  <c r="N11" i="53"/>
  <c r="N10" i="53"/>
  <c r="N9" i="53"/>
  <c r="N6" i="53"/>
  <c r="N5" i="53"/>
  <c r="N4" i="53"/>
  <c r="N3" i="53"/>
  <c r="W32" i="46"/>
  <c r="W24" i="46"/>
  <c r="E39" i="46"/>
  <c r="F39" i="46"/>
  <c r="G39" i="46"/>
  <c r="H39" i="46"/>
  <c r="I39" i="46"/>
  <c r="J39" i="46"/>
  <c r="K39" i="46"/>
  <c r="L39" i="46"/>
  <c r="M39" i="46"/>
  <c r="N39" i="46"/>
  <c r="E30" i="46"/>
  <c r="F30" i="46"/>
  <c r="G30" i="46"/>
  <c r="H30" i="46"/>
  <c r="I30" i="46"/>
  <c r="J30" i="46"/>
  <c r="K30" i="46"/>
  <c r="L30" i="46"/>
  <c r="M30" i="46"/>
  <c r="N30" i="46"/>
  <c r="E28" i="46"/>
  <c r="F28" i="46"/>
  <c r="G28" i="46"/>
  <c r="H28" i="46"/>
  <c r="I28" i="46"/>
  <c r="J28" i="46"/>
  <c r="K28" i="46"/>
  <c r="L28" i="46"/>
  <c r="M28" i="46"/>
  <c r="N28" i="46"/>
  <c r="E20" i="46"/>
  <c r="F20" i="46"/>
  <c r="G20" i="46"/>
  <c r="H20" i="46"/>
  <c r="I20" i="46"/>
  <c r="J20" i="46"/>
  <c r="K20" i="46"/>
  <c r="L20" i="46"/>
  <c r="M20" i="46"/>
  <c r="N20" i="46"/>
  <c r="F61" i="41"/>
  <c r="F51" i="41"/>
  <c r="W10" i="46"/>
  <c r="W3" i="46"/>
  <c r="W14" i="46"/>
  <c r="W38" i="46"/>
  <c r="W34" i="46"/>
  <c r="W33" i="46"/>
  <c r="W12" i="46"/>
  <c r="W9" i="46"/>
  <c r="W4" i="46"/>
  <c r="W19" i="46"/>
  <c r="W15" i="46"/>
  <c r="W36" i="46"/>
  <c r="W35" i="46"/>
  <c r="W8" i="46"/>
  <c r="W26" i="46"/>
  <c r="W29" i="46"/>
  <c r="W13" i="46"/>
  <c r="W27" i="46"/>
  <c r="W17" i="46"/>
  <c r="W6" i="46"/>
  <c r="W5" i="46"/>
  <c r="W25" i="46"/>
  <c r="W7" i="46"/>
  <c r="W37" i="46"/>
  <c r="W18" i="46"/>
  <c r="W11" i="46"/>
  <c r="W16" i="46"/>
  <c r="DA37" i="1" l="1"/>
  <c r="CO37" i="1"/>
  <c r="DY37" i="1"/>
  <c r="BH37" i="1"/>
  <c r="CR37" i="1"/>
  <c r="BN37" i="1"/>
  <c r="W28" i="46"/>
  <c r="W20" i="46"/>
  <c r="W39" i="46"/>
  <c r="W30" i="46"/>
  <c r="BQ37" i="1"/>
  <c r="EB37" i="1"/>
  <c r="BT37" i="1"/>
  <c r="DG37" i="1"/>
  <c r="CL37" i="1"/>
  <c r="CX37" i="1"/>
  <c r="CF37" i="1"/>
  <c r="DM37" i="1"/>
  <c r="CU37" i="1"/>
  <c r="CI37" i="1"/>
  <c r="DV37" i="1"/>
  <c r="BW37" i="1"/>
  <c r="DP37" i="1"/>
  <c r="DD37" i="1"/>
  <c r="BK37" i="1"/>
  <c r="BB37" i="1"/>
  <c r="EQ37" i="1"/>
  <c r="BE37" i="1"/>
  <c r="EH37" i="1"/>
  <c r="EK37" i="1"/>
  <c r="EN37" i="1"/>
  <c r="AS4" i="17"/>
  <c r="AQ4" i="17"/>
  <c r="AQ5" i="17" l="1"/>
  <c r="U96" i="7" l="1"/>
  <c r="U95" i="7"/>
  <c r="U88" i="7"/>
  <c r="U87" i="7"/>
  <c r="U86" i="7"/>
  <c r="U79" i="7"/>
  <c r="U78" i="7"/>
  <c r="U76" i="7"/>
  <c r="U75" i="7"/>
  <c r="U74" i="7"/>
  <c r="U73" i="7"/>
  <c r="U72" i="7"/>
  <c r="U71" i="7"/>
  <c r="U70" i="7"/>
  <c r="U69" i="7"/>
  <c r="U68" i="7"/>
  <c r="U67" i="7"/>
  <c r="U66" i="7"/>
  <c r="U65" i="7"/>
  <c r="U57" i="7"/>
  <c r="U54" i="7"/>
  <c r="U53" i="7"/>
  <c r="U52" i="7"/>
  <c r="U44" i="7"/>
  <c r="U43" i="7" s="1"/>
  <c r="U40" i="7"/>
  <c r="U41" i="7" s="1"/>
  <c r="U39" i="7"/>
  <c r="U61" i="7" s="1"/>
  <c r="DT37" i="1" l="1"/>
  <c r="DR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S6" i="1"/>
  <c r="DS37" i="1" l="1"/>
  <c r="S35" i="17" l="1"/>
  <c r="M37" i="12" l="1"/>
  <c r="K37" i="12"/>
  <c r="J37" i="12"/>
  <c r="H37" i="12"/>
  <c r="L36" i="12"/>
  <c r="I36" i="12"/>
  <c r="L35" i="12"/>
  <c r="I35" i="12"/>
  <c r="L34" i="12"/>
  <c r="I34" i="12"/>
  <c r="L33" i="12"/>
  <c r="I33" i="12"/>
  <c r="L32" i="12"/>
  <c r="I32" i="12"/>
  <c r="L31" i="12"/>
  <c r="I31" i="12"/>
  <c r="L30" i="12"/>
  <c r="I30" i="12"/>
  <c r="L29" i="12"/>
  <c r="I29" i="12"/>
  <c r="L28" i="12"/>
  <c r="I28" i="12"/>
  <c r="L27" i="12"/>
  <c r="I27" i="12"/>
  <c r="L26" i="12"/>
  <c r="I26" i="12"/>
  <c r="L25" i="12"/>
  <c r="I25" i="12"/>
  <c r="L24" i="12"/>
  <c r="I24" i="12"/>
  <c r="L23" i="12"/>
  <c r="I23" i="12"/>
  <c r="L22" i="12"/>
  <c r="I22" i="12"/>
  <c r="L21" i="12"/>
  <c r="I21" i="12"/>
  <c r="L20" i="12"/>
  <c r="I20" i="12"/>
  <c r="L19" i="12"/>
  <c r="I19" i="12"/>
  <c r="L18" i="12"/>
  <c r="I18" i="12"/>
  <c r="L17" i="12"/>
  <c r="I17" i="12"/>
  <c r="L16" i="12"/>
  <c r="I16" i="12"/>
  <c r="L15" i="12"/>
  <c r="I15" i="12"/>
  <c r="L14" i="12"/>
  <c r="I14" i="12"/>
  <c r="L13" i="12"/>
  <c r="I13" i="12"/>
  <c r="L12" i="12"/>
  <c r="I12" i="12"/>
  <c r="L11" i="12"/>
  <c r="I11" i="12"/>
  <c r="L10" i="12"/>
  <c r="I10" i="12"/>
  <c r="L9" i="12"/>
  <c r="I9" i="12"/>
  <c r="L8" i="12"/>
  <c r="I8" i="12"/>
  <c r="L7" i="12"/>
  <c r="I7" i="12"/>
  <c r="L6" i="12"/>
  <c r="I6" i="12"/>
  <c r="L37" i="12" l="1"/>
  <c r="I37" i="12"/>
  <c r="AQ96" i="7" l="1"/>
  <c r="AQ95" i="7"/>
  <c r="AQ88" i="7"/>
  <c r="AQ87" i="7"/>
  <c r="AQ86" i="7"/>
  <c r="AQ79" i="7"/>
  <c r="AQ78" i="7"/>
  <c r="AQ76" i="7"/>
  <c r="AQ75" i="7"/>
  <c r="AQ74" i="7"/>
  <c r="AQ73" i="7"/>
  <c r="AQ72" i="7"/>
  <c r="AQ71" i="7"/>
  <c r="AQ70" i="7"/>
  <c r="AQ69" i="7"/>
  <c r="AQ68" i="7"/>
  <c r="AQ67" i="7"/>
  <c r="AQ66" i="7"/>
  <c r="AQ65" i="7"/>
  <c r="AQ57" i="7"/>
  <c r="AQ54" i="7"/>
  <c r="AQ53" i="7"/>
  <c r="AQ52" i="7"/>
  <c r="AQ44" i="7"/>
  <c r="AQ43" i="7" s="1"/>
  <c r="AQ40" i="7"/>
  <c r="AQ41" i="7" s="1"/>
  <c r="AQ39" i="7"/>
  <c r="AQ61" i="7" s="1"/>
  <c r="G37" i="12"/>
  <c r="E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37" i="12" l="1"/>
  <c r="AP96" i="7"/>
  <c r="AP95" i="7"/>
  <c r="AP88" i="7"/>
  <c r="AP87" i="7"/>
  <c r="AP86" i="7"/>
  <c r="AP79" i="7"/>
  <c r="AP78" i="7"/>
  <c r="AP76" i="7"/>
  <c r="AP75" i="7"/>
  <c r="AP74" i="7"/>
  <c r="AP73" i="7"/>
  <c r="AP72" i="7"/>
  <c r="AP71" i="7"/>
  <c r="AP70" i="7"/>
  <c r="AP69" i="7"/>
  <c r="AP68" i="7"/>
  <c r="AP67" i="7"/>
  <c r="AP66" i="7"/>
  <c r="AP65" i="7"/>
  <c r="AP57" i="7"/>
  <c r="AP54" i="7"/>
  <c r="AP53" i="7"/>
  <c r="AP52" i="7"/>
  <c r="AP44" i="7"/>
  <c r="AP43" i="7" s="1"/>
  <c r="AP40" i="7"/>
  <c r="AP41" i="7" s="1"/>
  <c r="AP39" i="7"/>
  <c r="M94" i="3" s="1" a="1"/>
  <c r="M94" i="3" s="1"/>
  <c r="AP61" i="7" l="1"/>
  <c r="CD37" i="1" l="1"/>
  <c r="CB37" i="1"/>
  <c r="CC36" i="1"/>
  <c r="CC35" i="1"/>
  <c r="CC34" i="1"/>
  <c r="CC33" i="1"/>
  <c r="CC32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0" i="1"/>
  <c r="CC9" i="1"/>
  <c r="CC8" i="1"/>
  <c r="CC7" i="1"/>
  <c r="CC6" i="1"/>
  <c r="CC37" i="1" l="1"/>
  <c r="P1" i="5"/>
  <c r="O1" i="5"/>
  <c r="I11" i="1" l="1"/>
  <c r="I10" i="1"/>
  <c r="AT10" i="49"/>
  <c r="AS10" i="49"/>
  <c r="AR10" i="49"/>
  <c r="AQ10" i="49"/>
  <c r="AP10" i="49"/>
  <c r="AO10" i="49"/>
  <c r="AT9" i="49"/>
  <c r="AS9" i="49"/>
  <c r="AR9" i="49"/>
  <c r="AQ9" i="49"/>
  <c r="AP9" i="49"/>
  <c r="AO9" i="49"/>
  <c r="AT8" i="49"/>
  <c r="AS8" i="49"/>
  <c r="AR8" i="49"/>
  <c r="AQ8" i="49"/>
  <c r="AP8" i="49"/>
  <c r="AO8" i="49"/>
  <c r="AT7" i="49"/>
  <c r="AS7" i="49"/>
  <c r="AR7" i="49"/>
  <c r="AQ7" i="49"/>
  <c r="AP7" i="49"/>
  <c r="AO7" i="49"/>
  <c r="AT6" i="49"/>
  <c r="AS6" i="49"/>
  <c r="AR6" i="49"/>
  <c r="AQ6" i="49"/>
  <c r="AP6" i="49"/>
  <c r="AO6" i="49"/>
  <c r="AT5" i="49"/>
  <c r="AS5" i="49"/>
  <c r="AR5" i="49"/>
  <c r="AQ5" i="49"/>
  <c r="AP5" i="49"/>
  <c r="AO5" i="49"/>
  <c r="AT4" i="49"/>
  <c r="AS4" i="49"/>
  <c r="AR4" i="49"/>
  <c r="AQ4" i="49"/>
  <c r="AP4" i="49"/>
  <c r="AO4" i="49"/>
  <c r="AT3" i="49"/>
  <c r="AS3" i="49"/>
  <c r="AR3" i="49"/>
  <c r="AQ3" i="49"/>
  <c r="AP3" i="49"/>
  <c r="AO3" i="49"/>
  <c r="AT2" i="49"/>
  <c r="AS2" i="49"/>
  <c r="AR2" i="49"/>
  <c r="AQ2" i="49"/>
  <c r="AP2" i="49"/>
  <c r="AO2" i="49"/>
  <c r="AS1" i="49"/>
  <c r="AR1" i="49"/>
  <c r="AQ1" i="49"/>
  <c r="AP1" i="49"/>
  <c r="AO1" i="49"/>
  <c r="AM1" i="49"/>
  <c r="H99" i="7" l="1"/>
  <c r="H94" i="7"/>
  <c r="H93" i="7"/>
  <c r="H89" i="7"/>
  <c r="D99" i="7"/>
  <c r="D94" i="7"/>
  <c r="D93" i="7"/>
  <c r="D89" i="7"/>
  <c r="Q99" i="7"/>
  <c r="Q94" i="7"/>
  <c r="Q93" i="7"/>
  <c r="Q89" i="7"/>
  <c r="O99" i="7"/>
  <c r="O94" i="7"/>
  <c r="O93" i="7"/>
  <c r="O89" i="7"/>
  <c r="P99" i="7"/>
  <c r="P94" i="7"/>
  <c r="P93" i="7"/>
  <c r="P89" i="7"/>
  <c r="S94" i="7"/>
  <c r="S93" i="7"/>
  <c r="S89" i="7"/>
  <c r="S99" i="7"/>
  <c r="E99" i="7"/>
  <c r="E94" i="7"/>
  <c r="E93" i="7"/>
  <c r="E89" i="7"/>
  <c r="M99" i="7"/>
  <c r="M94" i="7"/>
  <c r="M93" i="7"/>
  <c r="M89" i="7"/>
  <c r="U99" i="7"/>
  <c r="U94" i="7"/>
  <c r="U89" i="7"/>
  <c r="U93" i="7"/>
  <c r="AQ99" i="7"/>
  <c r="AQ94" i="7"/>
  <c r="AQ93" i="7"/>
  <c r="AQ89" i="7"/>
  <c r="AP99" i="7"/>
  <c r="AP93" i="7"/>
  <c r="AP89" i="7"/>
  <c r="AP94" i="7"/>
  <c r="F11" i="2" l="1"/>
  <c r="P184" i="3" l="1"/>
  <c r="L6" i="41" l="1"/>
  <c r="P37" i="12" l="1"/>
  <c r="N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37" i="12" l="1"/>
  <c r="R14" i="1" l="1"/>
  <c r="DK37" i="1" l="1"/>
  <c r="DI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J37" i="1" l="1"/>
  <c r="AN13" i="7" l="1"/>
  <c r="AH37" i="1" l="1"/>
  <c r="AF37" i="1"/>
  <c r="AE37" i="1"/>
  <c r="AC37" i="1"/>
  <c r="S37" i="1"/>
  <c r="Q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3" i="1"/>
  <c r="R12" i="1"/>
  <c r="R11" i="1"/>
  <c r="R37" i="1" l="1"/>
  <c r="AD37" i="1"/>
  <c r="AG37" i="1"/>
  <c r="B99" i="7" l="1"/>
  <c r="X99" i="7"/>
  <c r="Z99" i="7"/>
  <c r="AC99" i="7"/>
  <c r="AN99" i="7"/>
  <c r="AO99" i="7"/>
  <c r="X95" i="7"/>
  <c r="Z95" i="7"/>
  <c r="AC95" i="7"/>
  <c r="B95" i="7"/>
  <c r="W30" i="7" l="1"/>
  <c r="BF37" i="35" l="1"/>
  <c r="BD37" i="35"/>
  <c r="BE36" i="35"/>
  <c r="BE35" i="35"/>
  <c r="BE34" i="35"/>
  <c r="BE33" i="35"/>
  <c r="BE32" i="35"/>
  <c r="BE31" i="35"/>
  <c r="BE30" i="35"/>
  <c r="BE29" i="35"/>
  <c r="BE28" i="35"/>
  <c r="BE27" i="35"/>
  <c r="BE26" i="35"/>
  <c r="BE25" i="35"/>
  <c r="BE24" i="35"/>
  <c r="BE23" i="35"/>
  <c r="BE22" i="35"/>
  <c r="BE21" i="35"/>
  <c r="BE20" i="35"/>
  <c r="BE19" i="35"/>
  <c r="BE18" i="35"/>
  <c r="BE17" i="35"/>
  <c r="BE16" i="35"/>
  <c r="BE15" i="35"/>
  <c r="BE14" i="35"/>
  <c r="BE13" i="35"/>
  <c r="BE12" i="35"/>
  <c r="BE11" i="35"/>
  <c r="BE10" i="35"/>
  <c r="BE9" i="35"/>
  <c r="BE8" i="35"/>
  <c r="BE7" i="35"/>
  <c r="BE6" i="35"/>
  <c r="AN28" i="7"/>
  <c r="V28" i="7"/>
  <c r="BE37" i="35" l="1"/>
  <c r="W24" i="7" l="1"/>
  <c r="W25" i="7"/>
  <c r="W26" i="7"/>
  <c r="V27" i="7"/>
  <c r="W27" i="7"/>
  <c r="D37" i="35" l="1"/>
  <c r="B37" i="35"/>
  <c r="C36" i="35"/>
  <c r="C35" i="35"/>
  <c r="C34" i="35"/>
  <c r="C33" i="35"/>
  <c r="C32" i="35"/>
  <c r="C31" i="35"/>
  <c r="C30" i="35"/>
  <c r="C29" i="35"/>
  <c r="C28" i="35"/>
  <c r="C27" i="35"/>
  <c r="C26" i="35"/>
  <c r="C25" i="35"/>
  <c r="C24" i="35"/>
  <c r="C23" i="35"/>
  <c r="C22" i="35"/>
  <c r="C21" i="35"/>
  <c r="C20" i="35"/>
  <c r="C19" i="35"/>
  <c r="C18" i="35"/>
  <c r="C17" i="35"/>
  <c r="C16" i="35"/>
  <c r="C15" i="35"/>
  <c r="C14" i="35"/>
  <c r="C13" i="35"/>
  <c r="C12" i="35"/>
  <c r="C11" i="35"/>
  <c r="C10" i="35"/>
  <c r="C9" i="35"/>
  <c r="C8" i="35"/>
  <c r="C7" i="35"/>
  <c r="C6" i="35"/>
  <c r="C37" i="35" l="1"/>
  <c r="AN33" i="7" l="1"/>
  <c r="AN34" i="7"/>
  <c r="AA26" i="7" l="1"/>
  <c r="B96" i="7" l="1"/>
  <c r="AV34" i="17" l="1"/>
  <c r="AV33" i="17"/>
  <c r="AU33" i="17"/>
  <c r="AV32" i="17"/>
  <c r="AU32" i="17"/>
  <c r="AV31" i="17"/>
  <c r="AU31" i="17"/>
  <c r="AV30" i="17"/>
  <c r="AU30" i="17"/>
  <c r="AV29" i="17"/>
  <c r="AU29" i="17"/>
  <c r="AV28" i="17"/>
  <c r="AU28" i="17"/>
  <c r="AV27" i="17"/>
  <c r="AU27" i="17"/>
  <c r="AV26" i="17"/>
  <c r="AU26" i="17"/>
  <c r="AV25" i="17"/>
  <c r="AU25" i="17"/>
  <c r="AV24" i="17"/>
  <c r="AU24" i="17"/>
  <c r="AV23" i="17"/>
  <c r="AU23" i="17"/>
  <c r="AV22" i="17"/>
  <c r="AU22" i="17"/>
  <c r="AV21" i="17"/>
  <c r="AU21" i="17"/>
  <c r="AV20" i="17"/>
  <c r="AU20" i="17"/>
  <c r="AV19" i="17"/>
  <c r="AU19" i="17"/>
  <c r="AV18" i="17"/>
  <c r="AU18" i="17"/>
  <c r="AV17" i="17"/>
  <c r="AU17" i="17"/>
  <c r="AV16" i="17"/>
  <c r="AU16" i="17"/>
  <c r="AV15" i="17"/>
  <c r="AU15" i="17"/>
  <c r="AV14" i="17"/>
  <c r="AU14" i="17"/>
  <c r="AV13" i="17"/>
  <c r="AU13" i="17"/>
  <c r="AV12" i="17"/>
  <c r="AU12" i="17"/>
  <c r="AV11" i="17"/>
  <c r="AU11" i="17"/>
  <c r="AV10" i="17"/>
  <c r="AU10" i="17"/>
  <c r="AV9" i="17"/>
  <c r="AU9" i="17"/>
  <c r="AV8" i="17"/>
  <c r="AU8" i="17"/>
  <c r="AV7" i="17"/>
  <c r="AU7" i="17"/>
  <c r="AV6" i="17"/>
  <c r="AU6" i="17"/>
  <c r="AV5" i="17"/>
  <c r="AU5" i="17"/>
  <c r="AV4" i="17"/>
  <c r="AU4" i="17"/>
  <c r="V34" i="7" l="1"/>
  <c r="AP4" i="17" l="1"/>
  <c r="AR4" i="17"/>
  <c r="D2" i="17" s="1"/>
  <c r="AX4" i="17"/>
  <c r="AR5" i="17"/>
  <c r="D3" i="17" s="1"/>
  <c r="AS5" i="17"/>
  <c r="AX5" i="17"/>
  <c r="AR6" i="17"/>
  <c r="D4" i="17" s="1"/>
  <c r="AS6" i="17"/>
  <c r="AX6" i="17"/>
  <c r="AR7" i="17"/>
  <c r="D5" i="17" s="1"/>
  <c r="AS7" i="17"/>
  <c r="AX7" i="17"/>
  <c r="AR8" i="17"/>
  <c r="D6" i="17" s="1"/>
  <c r="AS8" i="17"/>
  <c r="AX8" i="17"/>
  <c r="AR9" i="17"/>
  <c r="D7" i="17" s="1"/>
  <c r="AS9" i="17"/>
  <c r="AX9" i="17"/>
  <c r="AR10" i="17"/>
  <c r="D8" i="17" s="1"/>
  <c r="AS10" i="17"/>
  <c r="AX10" i="17"/>
  <c r="AR11" i="17"/>
  <c r="D9" i="17" s="1"/>
  <c r="AS11" i="17"/>
  <c r="AX11" i="17"/>
  <c r="AR12" i="17"/>
  <c r="D10" i="17" s="1"/>
  <c r="AS12" i="17"/>
  <c r="AX12" i="17"/>
  <c r="AR13" i="17"/>
  <c r="D11" i="17" s="1"/>
  <c r="AS13" i="17"/>
  <c r="AX13" i="17"/>
  <c r="AR14" i="17"/>
  <c r="D12" i="17" s="1"/>
  <c r="AS14" i="17"/>
  <c r="AX14" i="17"/>
  <c r="AR15" i="17"/>
  <c r="D13" i="17" s="1"/>
  <c r="AS15" i="17"/>
  <c r="AX15" i="17"/>
  <c r="AR16" i="17"/>
  <c r="D14" i="17" s="1"/>
  <c r="AS16" i="17"/>
  <c r="AX16" i="17"/>
  <c r="AR17" i="17"/>
  <c r="D15" i="17" s="1"/>
  <c r="AS17" i="17"/>
  <c r="AX17" i="17"/>
  <c r="AR18" i="17"/>
  <c r="D16" i="17" s="1"/>
  <c r="AS18" i="17"/>
  <c r="AX18" i="17"/>
  <c r="AR19" i="17"/>
  <c r="D17" i="17" s="1"/>
  <c r="AS19" i="17"/>
  <c r="AX19" i="17"/>
  <c r="AR20" i="17"/>
  <c r="D18" i="17" s="1"/>
  <c r="AS20" i="17"/>
  <c r="AX20" i="17"/>
  <c r="AR21" i="17"/>
  <c r="D19" i="17" s="1"/>
  <c r="AS21" i="17"/>
  <c r="AX21" i="17"/>
  <c r="AR22" i="17"/>
  <c r="D20" i="17" s="1"/>
  <c r="AS22" i="17"/>
  <c r="AX22" i="17"/>
  <c r="AR23" i="17"/>
  <c r="D21" i="17" s="1"/>
  <c r="AS23" i="17"/>
  <c r="AX23" i="17"/>
  <c r="AR24" i="17"/>
  <c r="D22" i="17" s="1"/>
  <c r="AS24" i="17"/>
  <c r="AX24" i="17"/>
  <c r="AR25" i="17"/>
  <c r="D23" i="17" s="1"/>
  <c r="AS25" i="17"/>
  <c r="AX25" i="17"/>
  <c r="AR26" i="17"/>
  <c r="D24" i="17" s="1"/>
  <c r="AS26" i="17"/>
  <c r="AX26" i="17"/>
  <c r="AR27" i="17"/>
  <c r="D25" i="17" s="1"/>
  <c r="AS27" i="17"/>
  <c r="AX27" i="17"/>
  <c r="AR28" i="17"/>
  <c r="D26" i="17" s="1"/>
  <c r="AS28" i="17"/>
  <c r="AX28" i="17"/>
  <c r="AR29" i="17"/>
  <c r="D27" i="17" s="1"/>
  <c r="AS29" i="17"/>
  <c r="AX29" i="17"/>
  <c r="AR30" i="17"/>
  <c r="D28" i="17" s="1"/>
  <c r="AS30" i="17"/>
  <c r="AX30" i="17"/>
  <c r="AQ30" i="17" l="1"/>
  <c r="C28" i="17" s="1"/>
  <c r="AW30" i="17"/>
  <c r="AW4" i="17"/>
  <c r="C2" i="17"/>
  <c r="AW5" i="17"/>
  <c r="C3" i="17"/>
  <c r="AQ6" i="17"/>
  <c r="C4" i="17" s="1"/>
  <c r="AW6" i="17"/>
  <c r="AQ7" i="17"/>
  <c r="C5" i="17" s="1"/>
  <c r="AW7" i="17"/>
  <c r="AQ8" i="17"/>
  <c r="C6" i="17" s="1"/>
  <c r="AW8" i="17"/>
  <c r="AQ9" i="17"/>
  <c r="C7" i="17" s="1"/>
  <c r="AW9" i="17"/>
  <c r="AW10" i="17"/>
  <c r="AQ10" i="17"/>
  <c r="C8" i="17" s="1"/>
  <c r="AW11" i="17"/>
  <c r="AQ11" i="17"/>
  <c r="C9" i="17" s="1"/>
  <c r="AQ12" i="17"/>
  <c r="C10" i="17" s="1"/>
  <c r="AW12" i="17"/>
  <c r="AW13" i="17"/>
  <c r="AQ13" i="17"/>
  <c r="C11" i="17" s="1"/>
  <c r="AQ14" i="17"/>
  <c r="C12" i="17" s="1"/>
  <c r="AW14" i="17"/>
  <c r="AQ15" i="17"/>
  <c r="C13" i="17" s="1"/>
  <c r="AW15" i="17"/>
  <c r="AW16" i="17"/>
  <c r="AQ16" i="17"/>
  <c r="C14" i="17" s="1"/>
  <c r="AQ17" i="17"/>
  <c r="C15" i="17" s="1"/>
  <c r="AW17" i="17"/>
  <c r="AW18" i="17"/>
  <c r="AQ18" i="17"/>
  <c r="C16" i="17" s="1"/>
  <c r="AQ19" i="17"/>
  <c r="C17" i="17" s="1"/>
  <c r="AW19" i="17"/>
  <c r="AW20" i="17"/>
  <c r="AQ20" i="17"/>
  <c r="C18" i="17" s="1"/>
  <c r="AQ21" i="17"/>
  <c r="C19" i="17" s="1"/>
  <c r="AW21" i="17"/>
  <c r="AW22" i="17"/>
  <c r="AQ22" i="17"/>
  <c r="C20" i="17" s="1"/>
  <c r="AQ23" i="17"/>
  <c r="C21" i="17" s="1"/>
  <c r="AW23" i="17"/>
  <c r="AW24" i="17"/>
  <c r="AQ24" i="17"/>
  <c r="C22" i="17" s="1"/>
  <c r="AQ25" i="17"/>
  <c r="C23" i="17" s="1"/>
  <c r="AW25" i="17"/>
  <c r="AW26" i="17"/>
  <c r="AQ26" i="17"/>
  <c r="C24" i="17" s="1"/>
  <c r="AQ27" i="17"/>
  <c r="C25" i="17" s="1"/>
  <c r="AW27" i="17"/>
  <c r="AW28" i="17"/>
  <c r="AQ28" i="17"/>
  <c r="C26" i="17" s="1"/>
  <c r="AQ29" i="17"/>
  <c r="C27" i="17" s="1"/>
  <c r="AW29" i="17"/>
  <c r="AY4" i="17" l="1"/>
  <c r="AY5" i="17" l="1"/>
  <c r="AY6" i="17" l="1"/>
  <c r="AY7" i="17" l="1"/>
  <c r="AY8" i="17" l="1"/>
  <c r="AY9" i="17" l="1"/>
  <c r="AY10" i="17" l="1"/>
  <c r="AY11" i="17" l="1"/>
  <c r="AY12" i="17" l="1"/>
  <c r="AY13" i="17" l="1"/>
  <c r="AY14" i="17" l="1"/>
  <c r="AY15" i="17" l="1"/>
  <c r="AY16" i="17" l="1"/>
  <c r="AY17" i="17" l="1"/>
  <c r="AY18" i="17" l="1"/>
  <c r="AY19" i="17" l="1"/>
  <c r="AY20" i="17" l="1"/>
  <c r="AY21" i="17" l="1"/>
  <c r="AY22" i="17" l="1"/>
  <c r="AY23" i="17" l="1"/>
  <c r="AY24" i="17" l="1"/>
  <c r="AY25" i="17" l="1"/>
  <c r="AY26" i="17" l="1"/>
  <c r="AY27" i="17" l="1"/>
  <c r="AY28" i="17" l="1"/>
  <c r="AY29" i="17" l="1"/>
  <c r="AY30" i="17" l="1"/>
  <c r="AA33" i="7" l="1"/>
  <c r="AO35" i="17" l="1"/>
  <c r="AM37" i="17" s="1"/>
  <c r="A27" i="3" l="1"/>
  <c r="A28" i="3"/>
  <c r="D35" i="4" l="1"/>
  <c r="Z7" i="46" l="1"/>
  <c r="AN14" i="7" l="1"/>
  <c r="AO14" i="7"/>
  <c r="AN15" i="7"/>
  <c r="AO15" i="7"/>
  <c r="AN27" i="7" l="1"/>
  <c r="AN30" i="7"/>
  <c r="AN31" i="7"/>
  <c r="AA25" i="46" l="1"/>
  <c r="X89" i="7" l="1"/>
  <c r="Z89" i="7"/>
  <c r="AC89" i="7"/>
  <c r="AN89" i="7"/>
  <c r="AO89" i="7"/>
  <c r="AT89" i="7"/>
  <c r="AU89" i="7"/>
  <c r="AV89" i="7"/>
  <c r="AW89" i="7"/>
  <c r="AX89" i="7"/>
  <c r="AY89" i="7"/>
  <c r="AZ89" i="7"/>
  <c r="BA89" i="7"/>
  <c r="BB89" i="7"/>
  <c r="BC89" i="7"/>
  <c r="X93" i="7"/>
  <c r="Z93" i="7"/>
  <c r="AC93" i="7"/>
  <c r="AN93" i="7"/>
  <c r="AO93" i="7"/>
  <c r="AT93" i="7"/>
  <c r="AU93" i="7"/>
  <c r="AV93" i="7"/>
  <c r="AW93" i="7"/>
  <c r="AX93" i="7"/>
  <c r="AY93" i="7"/>
  <c r="AZ93" i="7"/>
  <c r="BA93" i="7"/>
  <c r="BB93" i="7"/>
  <c r="BC93" i="7"/>
  <c r="X94" i="7"/>
  <c r="Z94" i="7"/>
  <c r="AC94" i="7"/>
  <c r="AN94" i="7"/>
  <c r="AO94" i="7"/>
  <c r="AT94" i="7"/>
  <c r="AU94" i="7"/>
  <c r="AV94" i="7"/>
  <c r="AW94" i="7"/>
  <c r="AX94" i="7"/>
  <c r="AY94" i="7"/>
  <c r="AZ94" i="7"/>
  <c r="BA94" i="7"/>
  <c r="BB94" i="7"/>
  <c r="BC94" i="7"/>
  <c r="B94" i="7"/>
  <c r="B93" i="7"/>
  <c r="B89" i="7"/>
  <c r="X96" i="7" l="1"/>
  <c r="Z96" i="7"/>
  <c r="AC96" i="7"/>
  <c r="AN96" i="7"/>
  <c r="AO96" i="7"/>
  <c r="AT96" i="7"/>
  <c r="AU96" i="7"/>
  <c r="AV96" i="7"/>
  <c r="AW96" i="7"/>
  <c r="AX96" i="7"/>
  <c r="AY96" i="7"/>
  <c r="AZ96" i="7"/>
  <c r="BA96" i="7"/>
  <c r="BB96" i="7"/>
  <c r="BC96" i="7"/>
  <c r="B78" i="7"/>
  <c r="X52" i="7"/>
  <c r="Z52" i="7"/>
  <c r="AC52" i="7"/>
  <c r="AT52" i="7"/>
  <c r="AU52" i="7"/>
  <c r="AV52" i="7"/>
  <c r="AW52" i="7"/>
  <c r="AX52" i="7"/>
  <c r="AY52" i="7"/>
  <c r="AZ52" i="7"/>
  <c r="BA52" i="7"/>
  <c r="BB52" i="7"/>
  <c r="BC52" i="7"/>
  <c r="X53" i="7"/>
  <c r="Z53" i="7"/>
  <c r="AC53" i="7"/>
  <c r="AT53" i="7"/>
  <c r="AU53" i="7"/>
  <c r="AV53" i="7"/>
  <c r="AW53" i="7"/>
  <c r="AX53" i="7"/>
  <c r="AY53" i="7"/>
  <c r="AZ53" i="7"/>
  <c r="BA53" i="7"/>
  <c r="BB53" i="7"/>
  <c r="BC53" i="7"/>
  <c r="X54" i="7"/>
  <c r="Z54" i="7"/>
  <c r="AC54" i="7"/>
  <c r="AT54" i="7"/>
  <c r="AU54" i="7"/>
  <c r="AV54" i="7"/>
  <c r="AW54" i="7"/>
  <c r="AX54" i="7"/>
  <c r="AY54" i="7"/>
  <c r="AZ54" i="7"/>
  <c r="BA54" i="7"/>
  <c r="BB54" i="7"/>
  <c r="BC54" i="7"/>
  <c r="X57" i="7"/>
  <c r="Z57" i="7"/>
  <c r="AC57" i="7"/>
  <c r="AT57" i="7"/>
  <c r="AU57" i="7"/>
  <c r="AV57" i="7"/>
  <c r="AW57" i="7"/>
  <c r="AX57" i="7"/>
  <c r="AY57" i="7"/>
  <c r="AZ57" i="7"/>
  <c r="BA57" i="7"/>
  <c r="BB57" i="7"/>
  <c r="BC57" i="7"/>
  <c r="BB61" i="7"/>
  <c r="BC61" i="7"/>
  <c r="X65" i="7"/>
  <c r="Z65" i="7"/>
  <c r="AC65" i="7"/>
  <c r="AT65" i="7"/>
  <c r="AU65" i="7"/>
  <c r="AV65" i="7"/>
  <c r="AW65" i="7"/>
  <c r="AX65" i="7"/>
  <c r="AY65" i="7"/>
  <c r="AZ65" i="7"/>
  <c r="BA65" i="7"/>
  <c r="BB65" i="7"/>
  <c r="BC65" i="7"/>
  <c r="X66" i="7"/>
  <c r="Z66" i="7"/>
  <c r="AC66" i="7"/>
  <c r="AT66" i="7"/>
  <c r="AU66" i="7"/>
  <c r="AV66" i="7"/>
  <c r="AW66" i="7"/>
  <c r="AX66" i="7"/>
  <c r="AY66" i="7"/>
  <c r="AZ66" i="7"/>
  <c r="BA66" i="7"/>
  <c r="BB66" i="7"/>
  <c r="BC66" i="7"/>
  <c r="X67" i="7"/>
  <c r="Z67" i="7"/>
  <c r="AC67" i="7"/>
  <c r="AT67" i="7"/>
  <c r="AU67" i="7"/>
  <c r="AV67" i="7"/>
  <c r="AW67" i="7"/>
  <c r="AX67" i="7"/>
  <c r="AY67" i="7"/>
  <c r="AZ67" i="7"/>
  <c r="BA67" i="7"/>
  <c r="BB67" i="7"/>
  <c r="BC67" i="7"/>
  <c r="X68" i="7"/>
  <c r="Z68" i="7"/>
  <c r="AC68" i="7"/>
  <c r="AT68" i="7"/>
  <c r="AU68" i="7"/>
  <c r="AV68" i="7"/>
  <c r="AW68" i="7"/>
  <c r="AX68" i="7"/>
  <c r="AY68" i="7"/>
  <c r="AZ68" i="7"/>
  <c r="BA68" i="7"/>
  <c r="BB68" i="7"/>
  <c r="BC68" i="7"/>
  <c r="X69" i="7"/>
  <c r="Z69" i="7"/>
  <c r="AC69" i="7"/>
  <c r="AT69" i="7"/>
  <c r="AU69" i="7"/>
  <c r="AV69" i="7"/>
  <c r="AW69" i="7"/>
  <c r="AX69" i="7"/>
  <c r="AY69" i="7"/>
  <c r="AZ69" i="7"/>
  <c r="BA69" i="7"/>
  <c r="BB69" i="7"/>
  <c r="BC69" i="7"/>
  <c r="X70" i="7"/>
  <c r="Z70" i="7"/>
  <c r="AC70" i="7"/>
  <c r="AT70" i="7"/>
  <c r="AU70" i="7"/>
  <c r="AV70" i="7"/>
  <c r="AW70" i="7"/>
  <c r="AX70" i="7"/>
  <c r="AY70" i="7"/>
  <c r="AZ70" i="7"/>
  <c r="BA70" i="7"/>
  <c r="BB70" i="7"/>
  <c r="BC70" i="7"/>
  <c r="X71" i="7"/>
  <c r="Z71" i="7"/>
  <c r="AC71" i="7"/>
  <c r="AT71" i="7"/>
  <c r="AU71" i="7"/>
  <c r="AV71" i="7"/>
  <c r="AW71" i="7"/>
  <c r="AX71" i="7"/>
  <c r="AY71" i="7"/>
  <c r="AZ71" i="7"/>
  <c r="BA71" i="7"/>
  <c r="BB71" i="7"/>
  <c r="BC71" i="7"/>
  <c r="X72" i="7"/>
  <c r="Z72" i="7"/>
  <c r="AC72" i="7"/>
  <c r="AT72" i="7"/>
  <c r="AU72" i="7"/>
  <c r="AV72" i="7"/>
  <c r="AW72" i="7"/>
  <c r="AX72" i="7"/>
  <c r="AY72" i="7"/>
  <c r="AZ72" i="7"/>
  <c r="BA72" i="7"/>
  <c r="BB72" i="7"/>
  <c r="BC72" i="7"/>
  <c r="X73" i="7"/>
  <c r="Z73" i="7"/>
  <c r="AC73" i="7"/>
  <c r="AT73" i="7"/>
  <c r="AU73" i="7"/>
  <c r="AV73" i="7"/>
  <c r="AW73" i="7"/>
  <c r="AX73" i="7"/>
  <c r="AY73" i="7"/>
  <c r="AZ73" i="7"/>
  <c r="BA73" i="7"/>
  <c r="BB73" i="7"/>
  <c r="BC73" i="7"/>
  <c r="X74" i="7"/>
  <c r="Z74" i="7"/>
  <c r="AC74" i="7"/>
  <c r="AT74" i="7"/>
  <c r="AU74" i="7"/>
  <c r="AV74" i="7"/>
  <c r="AW74" i="7"/>
  <c r="AX74" i="7"/>
  <c r="AY74" i="7"/>
  <c r="AZ74" i="7"/>
  <c r="BA74" i="7"/>
  <c r="BB74" i="7"/>
  <c r="BC74" i="7"/>
  <c r="X75" i="7"/>
  <c r="Z75" i="7"/>
  <c r="AC75" i="7"/>
  <c r="AT75" i="7"/>
  <c r="AU75" i="7"/>
  <c r="AV75" i="7"/>
  <c r="AW75" i="7"/>
  <c r="AX75" i="7"/>
  <c r="AY75" i="7"/>
  <c r="AZ75" i="7"/>
  <c r="BA75" i="7"/>
  <c r="BB75" i="7"/>
  <c r="BC75" i="7"/>
  <c r="X76" i="7"/>
  <c r="Z76" i="7"/>
  <c r="AC76" i="7"/>
  <c r="AT76" i="7"/>
  <c r="AU76" i="7"/>
  <c r="AV76" i="7"/>
  <c r="AW76" i="7"/>
  <c r="AX76" i="7"/>
  <c r="AY76" i="7"/>
  <c r="AZ76" i="7"/>
  <c r="BA76" i="7"/>
  <c r="BB76" i="7"/>
  <c r="BC76" i="7"/>
  <c r="X78" i="7"/>
  <c r="Z78" i="7"/>
  <c r="AC78" i="7"/>
  <c r="AT78" i="7"/>
  <c r="AU78" i="7"/>
  <c r="AV78" i="7"/>
  <c r="AW78" i="7"/>
  <c r="AX78" i="7"/>
  <c r="AY78" i="7"/>
  <c r="AZ78" i="7"/>
  <c r="BA78" i="7"/>
  <c r="BB78" i="7"/>
  <c r="BC78" i="7"/>
  <c r="X79" i="7"/>
  <c r="Z79" i="7"/>
  <c r="AC79" i="7"/>
  <c r="AT79" i="7"/>
  <c r="AU79" i="7"/>
  <c r="AV79" i="7"/>
  <c r="AW79" i="7"/>
  <c r="AX79" i="7"/>
  <c r="AY79" i="7"/>
  <c r="AZ79" i="7"/>
  <c r="BA79" i="7"/>
  <c r="BB79" i="7"/>
  <c r="BC79" i="7"/>
  <c r="X86" i="7"/>
  <c r="Z86" i="7"/>
  <c r="AC86" i="7"/>
  <c r="AN86" i="7"/>
  <c r="AO86" i="7"/>
  <c r="AT86" i="7"/>
  <c r="AU86" i="7"/>
  <c r="AV86" i="7"/>
  <c r="AW86" i="7"/>
  <c r="AX86" i="7"/>
  <c r="AY86" i="7"/>
  <c r="AZ86" i="7"/>
  <c r="BA86" i="7"/>
  <c r="BB86" i="7"/>
  <c r="BC86" i="7"/>
  <c r="X87" i="7"/>
  <c r="Z87" i="7"/>
  <c r="AC87" i="7"/>
  <c r="AN87" i="7"/>
  <c r="AO87" i="7"/>
  <c r="AT87" i="7"/>
  <c r="AU87" i="7"/>
  <c r="AV87" i="7"/>
  <c r="AW87" i="7"/>
  <c r="AX87" i="7"/>
  <c r="AY87" i="7"/>
  <c r="AZ87" i="7"/>
  <c r="BA87" i="7"/>
  <c r="BB87" i="7"/>
  <c r="BC87" i="7"/>
  <c r="X88" i="7"/>
  <c r="Z88" i="7"/>
  <c r="AC88" i="7"/>
  <c r="AN88" i="7"/>
  <c r="AO88" i="7"/>
  <c r="AT88" i="7"/>
  <c r="AU88" i="7"/>
  <c r="AV88" i="7"/>
  <c r="AW88" i="7"/>
  <c r="AX88" i="7"/>
  <c r="AY88" i="7"/>
  <c r="AZ88" i="7"/>
  <c r="BA88" i="7"/>
  <c r="BB88" i="7"/>
  <c r="BC88" i="7"/>
  <c r="B88" i="7"/>
  <c r="B87" i="7"/>
  <c r="B79" i="7"/>
  <c r="B57" i="7" l="1"/>
  <c r="R6" i="12" l="1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Q37" i="12"/>
  <c r="S37" i="12"/>
  <c r="R37" i="12" l="1"/>
  <c r="FG37" i="1" l="1"/>
  <c r="FE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24" i="1"/>
  <c r="FF23" i="1"/>
  <c r="FF22" i="1"/>
  <c r="FF21" i="1"/>
  <c r="FF20" i="1"/>
  <c r="FF19" i="1"/>
  <c r="FF18" i="1"/>
  <c r="FF17" i="1"/>
  <c r="FF16" i="1"/>
  <c r="FF15" i="1"/>
  <c r="FF14" i="1"/>
  <c r="FF13" i="1"/>
  <c r="FF12" i="1"/>
  <c r="FF11" i="1"/>
  <c r="FF10" i="1"/>
  <c r="FF9" i="1"/>
  <c r="FF8" i="1"/>
  <c r="FF7" i="1"/>
  <c r="FF6" i="1"/>
  <c r="FF37" i="1" l="1"/>
  <c r="AA33" i="46" l="1"/>
  <c r="AB33" i="46"/>
  <c r="AC33" i="46"/>
  <c r="AD33" i="46"/>
  <c r="AA34" i="46"/>
  <c r="AB34" i="46"/>
  <c r="AC34" i="46"/>
  <c r="AD34" i="46"/>
  <c r="AA35" i="46"/>
  <c r="AB35" i="46"/>
  <c r="AC35" i="46"/>
  <c r="AD35" i="46"/>
  <c r="AA36" i="46"/>
  <c r="AB36" i="46"/>
  <c r="AC36" i="46"/>
  <c r="AD36" i="46"/>
  <c r="AA37" i="46"/>
  <c r="AB37" i="46"/>
  <c r="AC37" i="46"/>
  <c r="AD37" i="46"/>
  <c r="AA38" i="46"/>
  <c r="AB38" i="46"/>
  <c r="AC38" i="46"/>
  <c r="AD38" i="46"/>
  <c r="AB25" i="46"/>
  <c r="AC25" i="46"/>
  <c r="AD25" i="46"/>
  <c r="AE25" i="46"/>
  <c r="AA26" i="46"/>
  <c r="AB26" i="46"/>
  <c r="AC26" i="46"/>
  <c r="AD26" i="46"/>
  <c r="AE26" i="46"/>
  <c r="AA27" i="46"/>
  <c r="AB27" i="46"/>
  <c r="AC27" i="46"/>
  <c r="AD27" i="46"/>
  <c r="AE27" i="46"/>
  <c r="AA29" i="46"/>
  <c r="AB29" i="46"/>
  <c r="AC29" i="46"/>
  <c r="AD29" i="46"/>
  <c r="AA13" i="46"/>
  <c r="AB13" i="46"/>
  <c r="AC13" i="46"/>
  <c r="AD13" i="46"/>
  <c r="AA14" i="46"/>
  <c r="AB14" i="46"/>
  <c r="AC14" i="46"/>
  <c r="AD14" i="46"/>
  <c r="AA15" i="46"/>
  <c r="AB15" i="46"/>
  <c r="AC15" i="46"/>
  <c r="AD15" i="46"/>
  <c r="AA16" i="46"/>
  <c r="AB16" i="46"/>
  <c r="AC16" i="46"/>
  <c r="AD16" i="46"/>
  <c r="AA17" i="46"/>
  <c r="AB17" i="46"/>
  <c r="AC17" i="46"/>
  <c r="AD17" i="46"/>
  <c r="AA18" i="46"/>
  <c r="AB18" i="46"/>
  <c r="AC18" i="46"/>
  <c r="AD18" i="46"/>
  <c r="AA19" i="46"/>
  <c r="AB19" i="46"/>
  <c r="AC19" i="46"/>
  <c r="AD19" i="46"/>
  <c r="AA20" i="46"/>
  <c r="AB20" i="46"/>
  <c r="AC20" i="46"/>
  <c r="AD20" i="46"/>
  <c r="AA21" i="46"/>
  <c r="AB21" i="46"/>
  <c r="AC21" i="46"/>
  <c r="AD21" i="46"/>
  <c r="AA2" i="46"/>
  <c r="AB2" i="46"/>
  <c r="AC2" i="46"/>
  <c r="AD2" i="46"/>
  <c r="AA3" i="46"/>
  <c r="AB3" i="46"/>
  <c r="AC3" i="46"/>
  <c r="AD3" i="46"/>
  <c r="AA4" i="46"/>
  <c r="AB4" i="46"/>
  <c r="AC4" i="46"/>
  <c r="AD4" i="46"/>
  <c r="AA5" i="46"/>
  <c r="AB5" i="46"/>
  <c r="AC5" i="46"/>
  <c r="AD5" i="46"/>
  <c r="AA6" i="46"/>
  <c r="AB6" i="46"/>
  <c r="AC6" i="46"/>
  <c r="AD6" i="46"/>
  <c r="AA7" i="46"/>
  <c r="AB7" i="46"/>
  <c r="AC7" i="46"/>
  <c r="AD7" i="46"/>
  <c r="AA8" i="46"/>
  <c r="AB8" i="46"/>
  <c r="AC8" i="46"/>
  <c r="AD8" i="46"/>
  <c r="AA9" i="46"/>
  <c r="AB9" i="46"/>
  <c r="AC9" i="46"/>
  <c r="AD9" i="46"/>
  <c r="AA10" i="46"/>
  <c r="AB10" i="46"/>
  <c r="AC10" i="46"/>
  <c r="AD10" i="46"/>
  <c r="AE10" i="46"/>
  <c r="Z26" i="46"/>
  <c r="Z25" i="46"/>
  <c r="Z21" i="46"/>
  <c r="Z20" i="46"/>
  <c r="Z19" i="46"/>
  <c r="Z18" i="46"/>
  <c r="Z17" i="46"/>
  <c r="Z16" i="46"/>
  <c r="Z15" i="46"/>
  <c r="Z14" i="46"/>
  <c r="Z13" i="46"/>
  <c r="Z10" i="46"/>
  <c r="Z9" i="46"/>
  <c r="Z8" i="46"/>
  <c r="Z6" i="46"/>
  <c r="Z5" i="46"/>
  <c r="Z4" i="46"/>
  <c r="Z3" i="46"/>
  <c r="Z2" i="46"/>
  <c r="Z38" i="46"/>
  <c r="Z37" i="46"/>
  <c r="Z36" i="46"/>
  <c r="Z35" i="46"/>
  <c r="Z34" i="46"/>
  <c r="Z33" i="46"/>
  <c r="Z29" i="46"/>
  <c r="Z27" i="46"/>
  <c r="AE32" i="46"/>
  <c r="AD32" i="46"/>
  <c r="AC32" i="46"/>
  <c r="AB32" i="46"/>
  <c r="AA32" i="46"/>
  <c r="Z32" i="46"/>
  <c r="AE24" i="46"/>
  <c r="AD24" i="46"/>
  <c r="AC24" i="46"/>
  <c r="AB24" i="46"/>
  <c r="AA24" i="46"/>
  <c r="Z24" i="46"/>
  <c r="AA12" i="46"/>
  <c r="AB12" i="46"/>
  <c r="AC12" i="46"/>
  <c r="AD12" i="46"/>
  <c r="AE12" i="46"/>
  <c r="Z12" i="46"/>
  <c r="FD37" i="1"/>
  <c r="FB37" i="1"/>
  <c r="FC36" i="1"/>
  <c r="FC35" i="1"/>
  <c r="FC34" i="1"/>
  <c r="FC33" i="1"/>
  <c r="FC32" i="1"/>
  <c r="FC31" i="1"/>
  <c r="FC30" i="1"/>
  <c r="FC29" i="1"/>
  <c r="FC28" i="1"/>
  <c r="FC27" i="1"/>
  <c r="FC26" i="1"/>
  <c r="FC25" i="1"/>
  <c r="FC24" i="1"/>
  <c r="FC23" i="1"/>
  <c r="FC22" i="1"/>
  <c r="FC21" i="1"/>
  <c r="FC20" i="1"/>
  <c r="FC19" i="1"/>
  <c r="FC18" i="1"/>
  <c r="FC17" i="1"/>
  <c r="FC16" i="1"/>
  <c r="FC15" i="1"/>
  <c r="FC14" i="1"/>
  <c r="FC13" i="1"/>
  <c r="FC12" i="1"/>
  <c r="FC11" i="1"/>
  <c r="FC10" i="1"/>
  <c r="FC9" i="1"/>
  <c r="FC8" i="1"/>
  <c r="FC7" i="1"/>
  <c r="FC6" i="1"/>
  <c r="AG25" i="46" l="1"/>
  <c r="AG26" i="46"/>
  <c r="AG10" i="46"/>
  <c r="AG27" i="46"/>
  <c r="AE34" i="46"/>
  <c r="AG34" i="46" s="1"/>
  <c r="AE8" i="46"/>
  <c r="AG8" i="46" s="1"/>
  <c r="AE21" i="46"/>
  <c r="AG21" i="46" s="1"/>
  <c r="AE13" i="46"/>
  <c r="AG13" i="46" s="1"/>
  <c r="AE38" i="46"/>
  <c r="AG38" i="46" s="1"/>
  <c r="AE18" i="46"/>
  <c r="AG18" i="46" s="1"/>
  <c r="AE6" i="46"/>
  <c r="AG6" i="46" s="1"/>
  <c r="AE2" i="46"/>
  <c r="AG2" i="46" s="1"/>
  <c r="AE36" i="46"/>
  <c r="AG36" i="46" s="1"/>
  <c r="AE5" i="46"/>
  <c r="AG5" i="46" s="1"/>
  <c r="AE20" i="46"/>
  <c r="AG20" i="46" s="1"/>
  <c r="AE29" i="46"/>
  <c r="AG29" i="46" s="1"/>
  <c r="AE33" i="46"/>
  <c r="AG33" i="46" s="1"/>
  <c r="AE37" i="46"/>
  <c r="AG37" i="46" s="1"/>
  <c r="AE4" i="46"/>
  <c r="AG4" i="46" s="1"/>
  <c r="AE16" i="46"/>
  <c r="AG16" i="46" s="1"/>
  <c r="AE19" i="46"/>
  <c r="AG19" i="46" s="1"/>
  <c r="AE7" i="46"/>
  <c r="AG7" i="46" s="1"/>
  <c r="AE35" i="46"/>
  <c r="AG35" i="46" s="1"/>
  <c r="AE15" i="46"/>
  <c r="AG15" i="46" s="1"/>
  <c r="AE14" i="46"/>
  <c r="AG14" i="46" s="1"/>
  <c r="AE17" i="46"/>
  <c r="AG17" i="46" s="1"/>
  <c r="AE3" i="46"/>
  <c r="AG3" i="46" s="1"/>
  <c r="AE9" i="46"/>
  <c r="AG9" i="46" s="1"/>
  <c r="FC37" i="1"/>
  <c r="AA39" i="46" l="1"/>
  <c r="AB39" i="46"/>
  <c r="AD39" i="46"/>
  <c r="Z39" i="46"/>
  <c r="AC39" i="46" l="1"/>
  <c r="AE39" i="46"/>
  <c r="E32" i="46"/>
  <c r="F32" i="46"/>
  <c r="E24" i="46"/>
  <c r="F24" i="46"/>
  <c r="AA30" i="46"/>
  <c r="AC30" i="46"/>
  <c r="Z28" i="46"/>
  <c r="AA28" i="46"/>
  <c r="AD28" i="46"/>
  <c r="AG39" i="46" l="1"/>
  <c r="AC28" i="46"/>
  <c r="AB30" i="46"/>
  <c r="AB28" i="46"/>
  <c r="AD30" i="46"/>
  <c r="Z30" i="46"/>
  <c r="AE30" i="46"/>
  <c r="AE28" i="46"/>
  <c r="AG30" i="46" l="1"/>
  <c r="AG28" i="46"/>
  <c r="Z22" i="46"/>
  <c r="AB22" i="46"/>
  <c r="AD22" i="46"/>
  <c r="AA22" i="46" l="1"/>
  <c r="AC22" i="46"/>
  <c r="AE22" i="46"/>
  <c r="AG22" i="46" l="1"/>
  <c r="EW8" i="1" l="1"/>
  <c r="ET8" i="1"/>
  <c r="EW7" i="1"/>
  <c r="ET7" i="1"/>
  <c r="EW6" i="1"/>
  <c r="ET6" i="1"/>
  <c r="Z2" i="45" l="1"/>
  <c r="AA2" i="45"/>
  <c r="B75" i="7" l="1"/>
  <c r="B74" i="7"/>
  <c r="B73" i="7"/>
  <c r="B72" i="7"/>
  <c r="B71" i="7"/>
  <c r="B70" i="7"/>
  <c r="B69" i="7"/>
  <c r="B68" i="7"/>
  <c r="B67" i="7"/>
  <c r="B66" i="7"/>
  <c r="B65" i="7"/>
  <c r="B76" i="7"/>
  <c r="Y86" i="45"/>
  <c r="X86" i="45"/>
  <c r="Y85" i="45"/>
  <c r="X85" i="45"/>
  <c r="AC84" i="45"/>
  <c r="AA84" i="45"/>
  <c r="AD84" i="45" s="1"/>
  <c r="Z84" i="45"/>
  <c r="Y84" i="45"/>
  <c r="X84" i="45"/>
  <c r="AB84" i="45" s="1"/>
  <c r="AC83" i="45"/>
  <c r="AA83" i="45"/>
  <c r="AD83" i="45" s="1"/>
  <c r="Z83" i="45"/>
  <c r="Y83" i="45"/>
  <c r="X83" i="45"/>
  <c r="AB83" i="45" s="1"/>
  <c r="AC82" i="45"/>
  <c r="AA82" i="45"/>
  <c r="AD82" i="45" s="1"/>
  <c r="Z82" i="45"/>
  <c r="Y82" i="45"/>
  <c r="X82" i="45"/>
  <c r="AB82" i="45" s="1"/>
  <c r="AC81" i="45"/>
  <c r="AA81" i="45"/>
  <c r="AD81" i="45" s="1"/>
  <c r="Z81" i="45"/>
  <c r="Y81" i="45"/>
  <c r="X81" i="45"/>
  <c r="AB81" i="45" s="1"/>
  <c r="AC80" i="45"/>
  <c r="AA80" i="45"/>
  <c r="AD80" i="45" s="1"/>
  <c r="Z80" i="45"/>
  <c r="Y80" i="45"/>
  <c r="X80" i="45"/>
  <c r="AC79" i="45"/>
  <c r="AA79" i="45"/>
  <c r="AD79" i="45" s="1"/>
  <c r="Z79" i="45"/>
  <c r="Y79" i="45"/>
  <c r="X79" i="45"/>
  <c r="AB79" i="45" s="1"/>
  <c r="AC78" i="45"/>
  <c r="AA78" i="45"/>
  <c r="AD78" i="45" s="1"/>
  <c r="Z78" i="45"/>
  <c r="Y78" i="45"/>
  <c r="X78" i="45"/>
  <c r="AC77" i="45"/>
  <c r="AA77" i="45"/>
  <c r="AD77" i="45" s="1"/>
  <c r="Z77" i="45"/>
  <c r="Y77" i="45"/>
  <c r="X77" i="45"/>
  <c r="AB77" i="45" s="1"/>
  <c r="AC76" i="45"/>
  <c r="AA76" i="45"/>
  <c r="AD76" i="45" s="1"/>
  <c r="Z76" i="45"/>
  <c r="Y76" i="45"/>
  <c r="X76" i="45"/>
  <c r="AB76" i="45" s="1"/>
  <c r="AC75" i="45"/>
  <c r="AA75" i="45"/>
  <c r="AD75" i="45" s="1"/>
  <c r="Z75" i="45"/>
  <c r="Y75" i="45"/>
  <c r="X75" i="45"/>
  <c r="AB75" i="45" s="1"/>
  <c r="AC74" i="45"/>
  <c r="AA74" i="45"/>
  <c r="AD74" i="45" s="1"/>
  <c r="Z74" i="45"/>
  <c r="Y74" i="45"/>
  <c r="X74" i="45"/>
  <c r="AB74" i="45" s="1"/>
  <c r="AC73" i="45"/>
  <c r="AA73" i="45"/>
  <c r="AD73" i="45" s="1"/>
  <c r="Z73" i="45"/>
  <c r="Y73" i="45"/>
  <c r="X73" i="45"/>
  <c r="AB73" i="45" s="1"/>
  <c r="AC72" i="45"/>
  <c r="AA72" i="45"/>
  <c r="AD72" i="45" s="1"/>
  <c r="Z72" i="45"/>
  <c r="Y72" i="45"/>
  <c r="X72" i="45"/>
  <c r="AB72" i="45" s="1"/>
  <c r="AC71" i="45"/>
  <c r="AA71" i="45"/>
  <c r="AD71" i="45" s="1"/>
  <c r="Z71" i="45"/>
  <c r="Y71" i="45"/>
  <c r="X71" i="45"/>
  <c r="AC70" i="45"/>
  <c r="AA70" i="45"/>
  <c r="AD70" i="45" s="1"/>
  <c r="Z70" i="45"/>
  <c r="Y70" i="45"/>
  <c r="X70" i="45"/>
  <c r="AB70" i="45" s="1"/>
  <c r="AC69" i="45"/>
  <c r="AA69" i="45"/>
  <c r="AD69" i="45" s="1"/>
  <c r="Z69" i="45"/>
  <c r="Y69" i="45"/>
  <c r="X69" i="45"/>
  <c r="AC68" i="45"/>
  <c r="AA68" i="45"/>
  <c r="AD68" i="45" s="1"/>
  <c r="Z68" i="45"/>
  <c r="Y68" i="45"/>
  <c r="X68" i="45"/>
  <c r="AB68" i="45" s="1"/>
  <c r="AC67" i="45"/>
  <c r="AA67" i="45"/>
  <c r="AD67" i="45" s="1"/>
  <c r="Z67" i="45"/>
  <c r="Y67" i="45"/>
  <c r="X67" i="45"/>
  <c r="AC66" i="45"/>
  <c r="AA66" i="45"/>
  <c r="AD66" i="45" s="1"/>
  <c r="Z66" i="45"/>
  <c r="Y66" i="45"/>
  <c r="X66" i="45"/>
  <c r="AC65" i="45"/>
  <c r="AA65" i="45"/>
  <c r="AD65" i="45" s="1"/>
  <c r="Z65" i="45"/>
  <c r="Y65" i="45"/>
  <c r="X65" i="45"/>
  <c r="AB65" i="45" s="1"/>
  <c r="AC64" i="45"/>
  <c r="AA64" i="45"/>
  <c r="AD64" i="45" s="1"/>
  <c r="Z64" i="45"/>
  <c r="Y64" i="45"/>
  <c r="X64" i="45"/>
  <c r="AC63" i="45"/>
  <c r="AA63" i="45"/>
  <c r="AD63" i="45" s="1"/>
  <c r="Z63" i="45"/>
  <c r="Y63" i="45"/>
  <c r="X63" i="45"/>
  <c r="AB63" i="45" s="1"/>
  <c r="AC62" i="45"/>
  <c r="AA62" i="45"/>
  <c r="AD62" i="45" s="1"/>
  <c r="Z62" i="45"/>
  <c r="Y62" i="45"/>
  <c r="X62" i="45"/>
  <c r="AC61" i="45"/>
  <c r="AA61" i="45"/>
  <c r="AD61" i="45" s="1"/>
  <c r="Z61" i="45"/>
  <c r="Y61" i="45"/>
  <c r="X61" i="45"/>
  <c r="AB61" i="45" s="1"/>
  <c r="AC60" i="45"/>
  <c r="AA60" i="45"/>
  <c r="AD60" i="45" s="1"/>
  <c r="Z60" i="45"/>
  <c r="Y60" i="45"/>
  <c r="X60" i="45"/>
  <c r="AB60" i="45" s="1"/>
  <c r="AC59" i="45"/>
  <c r="AA59" i="45"/>
  <c r="AD59" i="45" s="1"/>
  <c r="Z59" i="45"/>
  <c r="Y59" i="45"/>
  <c r="X59" i="45"/>
  <c r="AB59" i="45" s="1"/>
  <c r="AC58" i="45"/>
  <c r="AA58" i="45"/>
  <c r="AD58" i="45" s="1"/>
  <c r="Z58" i="45"/>
  <c r="Y58" i="45"/>
  <c r="X58" i="45"/>
  <c r="AB58" i="45" s="1"/>
  <c r="AC57" i="45"/>
  <c r="AA57" i="45"/>
  <c r="AD57" i="45" s="1"/>
  <c r="Z57" i="45"/>
  <c r="Y57" i="45"/>
  <c r="X57" i="45"/>
  <c r="AB57" i="45" s="1"/>
  <c r="AC56" i="45"/>
  <c r="AA56" i="45"/>
  <c r="AD56" i="45" s="1"/>
  <c r="Z56" i="45"/>
  <c r="Y56" i="45"/>
  <c r="X56" i="45"/>
  <c r="AB56" i="45" s="1"/>
  <c r="AC55" i="45"/>
  <c r="AA55" i="45"/>
  <c r="AD55" i="45" s="1"/>
  <c r="Z55" i="45"/>
  <c r="Y55" i="45"/>
  <c r="X55" i="45"/>
  <c r="AB55" i="45" s="1"/>
  <c r="AC54" i="45"/>
  <c r="AA54" i="45"/>
  <c r="AD54" i="45" s="1"/>
  <c r="Z54" i="45"/>
  <c r="Y54" i="45"/>
  <c r="X54" i="45"/>
  <c r="AB54" i="45" s="1"/>
  <c r="AC53" i="45"/>
  <c r="AA53" i="45"/>
  <c r="AD53" i="45" s="1"/>
  <c r="Z53" i="45"/>
  <c r="Y53" i="45"/>
  <c r="X53" i="45"/>
  <c r="AB53" i="45" s="1"/>
  <c r="AC52" i="45"/>
  <c r="AA52" i="45"/>
  <c r="AD52" i="45" s="1"/>
  <c r="Z52" i="45"/>
  <c r="Y52" i="45"/>
  <c r="X52" i="45"/>
  <c r="AB52" i="45" s="1"/>
  <c r="AC51" i="45"/>
  <c r="AA51" i="45"/>
  <c r="AD51" i="45" s="1"/>
  <c r="Z51" i="45"/>
  <c r="Y51" i="45"/>
  <c r="X51" i="45"/>
  <c r="AC50" i="45"/>
  <c r="AA50" i="45"/>
  <c r="AD50" i="45" s="1"/>
  <c r="Z50" i="45"/>
  <c r="Y50" i="45"/>
  <c r="X50" i="45"/>
  <c r="AB50" i="45" s="1"/>
  <c r="AC49" i="45"/>
  <c r="AA49" i="45"/>
  <c r="AD49" i="45" s="1"/>
  <c r="Z49" i="45"/>
  <c r="Y49" i="45"/>
  <c r="X49" i="45"/>
  <c r="AC48" i="45"/>
  <c r="AA48" i="45"/>
  <c r="AD48" i="45" s="1"/>
  <c r="Z48" i="45"/>
  <c r="Y48" i="45"/>
  <c r="X48" i="45"/>
  <c r="AB48" i="45" s="1"/>
  <c r="AC47" i="45"/>
  <c r="AA47" i="45"/>
  <c r="AD47" i="45" s="1"/>
  <c r="Z47" i="45"/>
  <c r="Y47" i="45"/>
  <c r="X47" i="45"/>
  <c r="AB47" i="45" s="1"/>
  <c r="AC46" i="45"/>
  <c r="AA46" i="45"/>
  <c r="AD46" i="45" s="1"/>
  <c r="Z46" i="45"/>
  <c r="Y46" i="45"/>
  <c r="X46" i="45"/>
  <c r="AB46" i="45" s="1"/>
  <c r="AC45" i="45"/>
  <c r="AA45" i="45"/>
  <c r="AD45" i="45" s="1"/>
  <c r="Z45" i="45"/>
  <c r="Y45" i="45"/>
  <c r="X45" i="45"/>
  <c r="AB45" i="45" s="1"/>
  <c r="AC44" i="45"/>
  <c r="AA44" i="45"/>
  <c r="AD44" i="45" s="1"/>
  <c r="Z44" i="45"/>
  <c r="Y44" i="45"/>
  <c r="X44" i="45"/>
  <c r="AC43" i="45"/>
  <c r="AA43" i="45"/>
  <c r="AD43" i="45" s="1"/>
  <c r="Z43" i="45"/>
  <c r="Y43" i="45"/>
  <c r="X43" i="45"/>
  <c r="AB43" i="45" s="1"/>
  <c r="AC42" i="45"/>
  <c r="AA42" i="45"/>
  <c r="AD42" i="45" s="1"/>
  <c r="Z42" i="45"/>
  <c r="Y42" i="45"/>
  <c r="X42" i="45"/>
  <c r="AC41" i="45"/>
  <c r="AA41" i="45"/>
  <c r="AD41" i="45" s="1"/>
  <c r="Z41" i="45"/>
  <c r="Y41" i="45"/>
  <c r="X41" i="45"/>
  <c r="AB41" i="45" s="1"/>
  <c r="AC40" i="45"/>
  <c r="AA40" i="45"/>
  <c r="AD40" i="45" s="1"/>
  <c r="Z40" i="45"/>
  <c r="Y40" i="45"/>
  <c r="X40" i="45"/>
  <c r="AB40" i="45" s="1"/>
  <c r="AC39" i="45"/>
  <c r="AA39" i="45"/>
  <c r="AD39" i="45" s="1"/>
  <c r="Z39" i="45"/>
  <c r="Y39" i="45"/>
  <c r="X39" i="45"/>
  <c r="AB39" i="45" s="1"/>
  <c r="AC38" i="45"/>
  <c r="AA38" i="45"/>
  <c r="AD38" i="45" s="1"/>
  <c r="Z38" i="45"/>
  <c r="Y38" i="45"/>
  <c r="X38" i="45"/>
  <c r="AB38" i="45" s="1"/>
  <c r="AC37" i="45"/>
  <c r="AA37" i="45"/>
  <c r="AD37" i="45" s="1"/>
  <c r="Z37" i="45"/>
  <c r="Y37" i="45"/>
  <c r="X37" i="45"/>
  <c r="AB37" i="45" s="1"/>
  <c r="AC36" i="45"/>
  <c r="AA36" i="45"/>
  <c r="AD36" i="45" s="1"/>
  <c r="Z36" i="45"/>
  <c r="Y36" i="45"/>
  <c r="X36" i="45"/>
  <c r="AB36" i="45" s="1"/>
  <c r="AC35" i="45"/>
  <c r="AA35" i="45"/>
  <c r="AD35" i="45" s="1"/>
  <c r="Z35" i="45"/>
  <c r="Y35" i="45"/>
  <c r="X35" i="45"/>
  <c r="AC34" i="45"/>
  <c r="AA34" i="45"/>
  <c r="AD34" i="45" s="1"/>
  <c r="Z34" i="45"/>
  <c r="Y34" i="45"/>
  <c r="X34" i="45"/>
  <c r="AB34" i="45" s="1"/>
  <c r="AC33" i="45"/>
  <c r="AA33" i="45"/>
  <c r="AD33" i="45" s="1"/>
  <c r="Z33" i="45"/>
  <c r="Y33" i="45"/>
  <c r="X33" i="45"/>
  <c r="AC32" i="45"/>
  <c r="AA32" i="45"/>
  <c r="AD32" i="45" s="1"/>
  <c r="Z32" i="45"/>
  <c r="Y32" i="45"/>
  <c r="X32" i="45"/>
  <c r="AB32" i="45" s="1"/>
  <c r="AC31" i="45"/>
  <c r="AA31" i="45"/>
  <c r="AD31" i="45" s="1"/>
  <c r="Z31" i="45"/>
  <c r="Y31" i="45"/>
  <c r="X31" i="45"/>
  <c r="AB31" i="45" s="1"/>
  <c r="AC30" i="45"/>
  <c r="AA30" i="45"/>
  <c r="AD30" i="45" s="1"/>
  <c r="Z30" i="45"/>
  <c r="Y30" i="45"/>
  <c r="X30" i="45"/>
  <c r="AB30" i="45" s="1"/>
  <c r="AC29" i="45"/>
  <c r="AA29" i="45"/>
  <c r="AD29" i="45" s="1"/>
  <c r="Z29" i="45"/>
  <c r="Y29" i="45"/>
  <c r="X29" i="45"/>
  <c r="AB29" i="45" s="1"/>
  <c r="AC28" i="45"/>
  <c r="AA28" i="45"/>
  <c r="AD28" i="45" s="1"/>
  <c r="Z28" i="45"/>
  <c r="Y28" i="45"/>
  <c r="X28" i="45"/>
  <c r="AC27" i="45"/>
  <c r="AA27" i="45"/>
  <c r="AD27" i="45" s="1"/>
  <c r="Z27" i="45"/>
  <c r="Y27" i="45"/>
  <c r="X27" i="45"/>
  <c r="AB27" i="45" s="1"/>
  <c r="AC26" i="45"/>
  <c r="AA26" i="45"/>
  <c r="AD26" i="45" s="1"/>
  <c r="Z26" i="45"/>
  <c r="Y26" i="45"/>
  <c r="X26" i="45"/>
  <c r="AC25" i="45"/>
  <c r="AA25" i="45"/>
  <c r="AD25" i="45" s="1"/>
  <c r="Z25" i="45"/>
  <c r="Y25" i="45"/>
  <c r="X25" i="45"/>
  <c r="AB25" i="45" s="1"/>
  <c r="AC24" i="45"/>
  <c r="AA24" i="45"/>
  <c r="AD24" i="45" s="1"/>
  <c r="Z24" i="45"/>
  <c r="Y24" i="45"/>
  <c r="X24" i="45"/>
  <c r="AC23" i="45"/>
  <c r="AA23" i="45"/>
  <c r="AD23" i="45" s="1"/>
  <c r="Z23" i="45"/>
  <c r="Y23" i="45"/>
  <c r="X23" i="45"/>
  <c r="AB23" i="45" s="1"/>
  <c r="AC22" i="45"/>
  <c r="AA22" i="45"/>
  <c r="AD22" i="45" s="1"/>
  <c r="Z22" i="45"/>
  <c r="Y22" i="45"/>
  <c r="X22" i="45"/>
  <c r="AB22" i="45" s="1"/>
  <c r="AC21" i="45"/>
  <c r="AA21" i="45"/>
  <c r="AD21" i="45" s="1"/>
  <c r="Z21" i="45"/>
  <c r="Y21" i="45"/>
  <c r="X21" i="45"/>
  <c r="AB21" i="45" s="1"/>
  <c r="AC20" i="45"/>
  <c r="AA20" i="45"/>
  <c r="AD20" i="45" s="1"/>
  <c r="Z20" i="45"/>
  <c r="Y20" i="45"/>
  <c r="X20" i="45"/>
  <c r="AB20" i="45" s="1"/>
  <c r="AC19" i="45"/>
  <c r="AA19" i="45"/>
  <c r="AD19" i="45" s="1"/>
  <c r="Z19" i="45"/>
  <c r="Y19" i="45"/>
  <c r="X19" i="45"/>
  <c r="AC18" i="45"/>
  <c r="AA18" i="45"/>
  <c r="AD18" i="45" s="1"/>
  <c r="Z18" i="45"/>
  <c r="Y18" i="45"/>
  <c r="X18" i="45"/>
  <c r="AB18" i="45" s="1"/>
  <c r="AC17" i="45"/>
  <c r="AA17" i="45"/>
  <c r="AD17" i="45" s="1"/>
  <c r="Z17" i="45"/>
  <c r="Y17" i="45"/>
  <c r="X17" i="45"/>
  <c r="AC16" i="45"/>
  <c r="AA16" i="45"/>
  <c r="AD16" i="45" s="1"/>
  <c r="Z16" i="45"/>
  <c r="Y16" i="45"/>
  <c r="X16" i="45"/>
  <c r="AB16" i="45" s="1"/>
  <c r="AC15" i="45"/>
  <c r="AA15" i="45"/>
  <c r="AD15" i="45" s="1"/>
  <c r="Z15" i="45"/>
  <c r="Y15" i="45"/>
  <c r="X15" i="45"/>
  <c r="AB15" i="45" s="1"/>
  <c r="AC14" i="45"/>
  <c r="AA14" i="45"/>
  <c r="AD14" i="45" s="1"/>
  <c r="Z14" i="45"/>
  <c r="Y14" i="45"/>
  <c r="X14" i="45"/>
  <c r="AB14" i="45" s="1"/>
  <c r="AC13" i="45"/>
  <c r="AA13" i="45"/>
  <c r="AD13" i="45" s="1"/>
  <c r="Z13" i="45"/>
  <c r="Y13" i="45"/>
  <c r="X13" i="45"/>
  <c r="AB13" i="45" s="1"/>
  <c r="AC12" i="45"/>
  <c r="AA12" i="45"/>
  <c r="AD12" i="45" s="1"/>
  <c r="Z12" i="45"/>
  <c r="Y12" i="45"/>
  <c r="X12" i="45"/>
  <c r="AC11" i="45"/>
  <c r="AA11" i="45"/>
  <c r="AD11" i="45" s="1"/>
  <c r="Z11" i="45"/>
  <c r="Y11" i="45"/>
  <c r="X11" i="45"/>
  <c r="AB11" i="45" s="1"/>
  <c r="AC10" i="45"/>
  <c r="AA10" i="45"/>
  <c r="AD10" i="45" s="1"/>
  <c r="Z10" i="45"/>
  <c r="Y10" i="45"/>
  <c r="X10" i="45"/>
  <c r="AC9" i="45"/>
  <c r="AA9" i="45"/>
  <c r="AD9" i="45" s="1"/>
  <c r="Z9" i="45"/>
  <c r="Y9" i="45"/>
  <c r="X9" i="45"/>
  <c r="AB9" i="45" s="1"/>
  <c r="AC8" i="45"/>
  <c r="AA8" i="45"/>
  <c r="AD8" i="45" s="1"/>
  <c r="Z8" i="45"/>
  <c r="Y8" i="45"/>
  <c r="X8" i="45"/>
  <c r="AB8" i="45" s="1"/>
  <c r="AC7" i="45"/>
  <c r="AA7" i="45"/>
  <c r="AD7" i="45" s="1"/>
  <c r="Z7" i="45"/>
  <c r="Y7" i="45"/>
  <c r="X7" i="45"/>
  <c r="AB7" i="45" s="1"/>
  <c r="AC6" i="45"/>
  <c r="AA6" i="45"/>
  <c r="AD6" i="45" s="1"/>
  <c r="Z6" i="45"/>
  <c r="Y6" i="45"/>
  <c r="X6" i="45"/>
  <c r="AB6" i="45" s="1"/>
  <c r="AC5" i="45"/>
  <c r="AA5" i="45"/>
  <c r="AD5" i="45" s="1"/>
  <c r="Z5" i="45"/>
  <c r="Y5" i="45"/>
  <c r="X5" i="45"/>
  <c r="AB5" i="45" s="1"/>
  <c r="AC4" i="45"/>
  <c r="AA4" i="45"/>
  <c r="AD4" i="45" s="1"/>
  <c r="Z4" i="45"/>
  <c r="Y4" i="45"/>
  <c r="X4" i="45"/>
  <c r="AB4" i="45" s="1"/>
  <c r="AC3" i="45"/>
  <c r="AA3" i="45"/>
  <c r="Z3" i="45"/>
  <c r="Y3" i="45"/>
  <c r="X3" i="45"/>
  <c r="AC2" i="45"/>
  <c r="AD2" i="45"/>
  <c r="Y2" i="45"/>
  <c r="X2" i="45"/>
  <c r="AB2" i="45" s="1"/>
  <c r="AB24" i="45" l="1"/>
  <c r="AB67" i="45"/>
  <c r="O77" i="7"/>
  <c r="O64" i="7"/>
  <c r="O63" i="7"/>
  <c r="P77" i="7"/>
  <c r="P64" i="7"/>
  <c r="P63" i="7"/>
  <c r="AB66" i="45"/>
  <c r="M64" i="7"/>
  <c r="M63" i="7"/>
  <c r="U77" i="7"/>
  <c r="U64" i="7"/>
  <c r="U63" i="7"/>
  <c r="AQ77" i="7"/>
  <c r="AQ64" i="7"/>
  <c r="AQ63" i="7"/>
  <c r="AP63" i="7"/>
  <c r="AP77" i="7"/>
  <c r="AP64" i="7"/>
  <c r="BC63" i="7"/>
  <c r="X64" i="7"/>
  <c r="Z64" i="7"/>
  <c r="AC64" i="7"/>
  <c r="AT64" i="7"/>
  <c r="AU64" i="7"/>
  <c r="AV64" i="7"/>
  <c r="AW64" i="7"/>
  <c r="AX64" i="7"/>
  <c r="AY64" i="7"/>
  <c r="AZ64" i="7"/>
  <c r="BA64" i="7"/>
  <c r="BB64" i="7"/>
  <c r="BC64" i="7"/>
  <c r="X63" i="7"/>
  <c r="Z63" i="7"/>
  <c r="AT63" i="7"/>
  <c r="AV63" i="7"/>
  <c r="AX63" i="7"/>
  <c r="BB63" i="7"/>
  <c r="X77" i="7"/>
  <c r="Z77" i="7"/>
  <c r="AC77" i="7"/>
  <c r="AT77" i="7"/>
  <c r="AU77" i="7"/>
  <c r="AV77" i="7"/>
  <c r="AW77" i="7"/>
  <c r="AX77" i="7"/>
  <c r="AY77" i="7"/>
  <c r="AZ77" i="7"/>
  <c r="BA77" i="7"/>
  <c r="BB77" i="7"/>
  <c r="BC77" i="7"/>
  <c r="AC63" i="7"/>
  <c r="AU63" i="7"/>
  <c r="AW63" i="7"/>
  <c r="AY63" i="7"/>
  <c r="BA63" i="7"/>
  <c r="B77" i="7"/>
  <c r="AD3" i="45"/>
  <c r="B64" i="7"/>
  <c r="AZ63" i="7"/>
  <c r="S77" i="7"/>
  <c r="S64" i="7"/>
  <c r="S63" i="7"/>
  <c r="E77" i="7"/>
  <c r="E64" i="7"/>
  <c r="E63" i="7"/>
  <c r="M77" i="7"/>
  <c r="B63" i="7"/>
  <c r="AB3" i="45"/>
  <c r="AB10" i="45"/>
  <c r="AB12" i="45"/>
  <c r="AB17" i="45"/>
  <c r="AB19" i="45"/>
  <c r="AB26" i="45"/>
  <c r="AB28" i="45"/>
  <c r="AB33" i="45"/>
  <c r="AB35" i="45"/>
  <c r="AB42" i="45"/>
  <c r="AB44" i="45"/>
  <c r="AB49" i="45"/>
  <c r="AB51" i="45"/>
  <c r="AB62" i="45"/>
  <c r="AB64" i="45"/>
  <c r="AB69" i="45"/>
  <c r="AB71" i="45"/>
  <c r="AB78" i="45"/>
  <c r="AB80" i="45"/>
  <c r="B104" i="42" l="1"/>
  <c r="V17" i="7" l="1"/>
  <c r="W17" i="7"/>
  <c r="V18" i="7"/>
  <c r="W18" i="7"/>
  <c r="FO14" i="1" l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11" i="1"/>
  <c r="FO12" i="1"/>
  <c r="FO13" i="1"/>
  <c r="AW44" i="7" l="1"/>
  <c r="AW43" i="7" s="1"/>
  <c r="AW40" i="7"/>
  <c r="AW41" i="7" s="1"/>
  <c r="AW39" i="7"/>
  <c r="AW61" i="7" s="1"/>
  <c r="AU44" i="7" l="1"/>
  <c r="AU43" i="7" s="1"/>
  <c r="AU40" i="7"/>
  <c r="AU41" i="7" s="1"/>
  <c r="AU39" i="7"/>
  <c r="AU61" i="7" s="1"/>
  <c r="FV37" i="1" l="1"/>
  <c r="FT37" i="1"/>
  <c r="FS37" i="1"/>
  <c r="FQ37" i="1"/>
  <c r="FU36" i="1"/>
  <c r="FR36" i="1"/>
  <c r="FU35" i="1"/>
  <c r="FR35" i="1"/>
  <c r="FU34" i="1"/>
  <c r="FR34" i="1"/>
  <c r="FU33" i="1"/>
  <c r="FR33" i="1"/>
  <c r="FU32" i="1"/>
  <c r="FR32" i="1"/>
  <c r="FU31" i="1"/>
  <c r="FR31" i="1"/>
  <c r="FU30" i="1"/>
  <c r="FR30" i="1"/>
  <c r="FU29" i="1"/>
  <c r="FR29" i="1"/>
  <c r="FU28" i="1"/>
  <c r="FR28" i="1"/>
  <c r="FU27" i="1"/>
  <c r="FR27" i="1"/>
  <c r="FU26" i="1"/>
  <c r="FR26" i="1"/>
  <c r="FU25" i="1"/>
  <c r="FR25" i="1"/>
  <c r="FU24" i="1"/>
  <c r="FR24" i="1"/>
  <c r="FU23" i="1"/>
  <c r="FR23" i="1"/>
  <c r="FU22" i="1"/>
  <c r="FR22" i="1"/>
  <c r="FU21" i="1"/>
  <c r="FR21" i="1"/>
  <c r="FU20" i="1"/>
  <c r="FR20" i="1"/>
  <c r="FU19" i="1"/>
  <c r="FR19" i="1"/>
  <c r="FU18" i="1"/>
  <c r="FR18" i="1"/>
  <c r="FU17" i="1"/>
  <c r="FR17" i="1"/>
  <c r="FU16" i="1"/>
  <c r="FR16" i="1"/>
  <c r="FU15" i="1"/>
  <c r="FR15" i="1"/>
  <c r="FU14" i="1"/>
  <c r="FR14" i="1"/>
  <c r="FU13" i="1"/>
  <c r="FR13" i="1"/>
  <c r="FU12" i="1"/>
  <c r="FR12" i="1"/>
  <c r="FU11" i="1"/>
  <c r="FR11" i="1"/>
  <c r="FU10" i="1"/>
  <c r="FR10" i="1"/>
  <c r="FU9" i="1"/>
  <c r="FR9" i="1"/>
  <c r="FU8" i="1"/>
  <c r="FR8" i="1"/>
  <c r="FU7" i="1"/>
  <c r="FR7" i="1"/>
  <c r="FU6" i="1"/>
  <c r="FR6" i="1"/>
  <c r="L6" i="16"/>
  <c r="O6" i="16"/>
  <c r="R6" i="16"/>
  <c r="L7" i="16"/>
  <c r="O7" i="16"/>
  <c r="R7" i="16"/>
  <c r="L8" i="16"/>
  <c r="O8" i="16"/>
  <c r="R8" i="16"/>
  <c r="L9" i="16"/>
  <c r="O9" i="16"/>
  <c r="R9" i="16"/>
  <c r="L10" i="16"/>
  <c r="O10" i="16"/>
  <c r="R10" i="16"/>
  <c r="L11" i="16"/>
  <c r="O11" i="16"/>
  <c r="R11" i="16"/>
  <c r="L12" i="16"/>
  <c r="O12" i="16"/>
  <c r="R12" i="16"/>
  <c r="L13" i="16"/>
  <c r="O13" i="16"/>
  <c r="R13" i="16"/>
  <c r="L14" i="16"/>
  <c r="O14" i="16"/>
  <c r="R14" i="16"/>
  <c r="L15" i="16"/>
  <c r="O15" i="16"/>
  <c r="R15" i="16"/>
  <c r="L16" i="16"/>
  <c r="O16" i="16"/>
  <c r="R16" i="16"/>
  <c r="L17" i="16"/>
  <c r="O17" i="16"/>
  <c r="R17" i="16"/>
  <c r="L18" i="16"/>
  <c r="O18" i="16"/>
  <c r="R18" i="16"/>
  <c r="L19" i="16"/>
  <c r="O19" i="16"/>
  <c r="R19" i="16"/>
  <c r="L20" i="16"/>
  <c r="O20" i="16"/>
  <c r="R20" i="16"/>
  <c r="L21" i="16"/>
  <c r="O21" i="16"/>
  <c r="R21" i="16"/>
  <c r="L22" i="16"/>
  <c r="O22" i="16"/>
  <c r="R22" i="16"/>
  <c r="L23" i="16"/>
  <c r="O23" i="16"/>
  <c r="R23" i="16"/>
  <c r="L24" i="16"/>
  <c r="O24" i="16"/>
  <c r="R24" i="16"/>
  <c r="L25" i="16"/>
  <c r="O25" i="16"/>
  <c r="R25" i="16"/>
  <c r="L26" i="16"/>
  <c r="O26" i="16"/>
  <c r="R26" i="16"/>
  <c r="L27" i="16"/>
  <c r="O27" i="16"/>
  <c r="R27" i="16"/>
  <c r="L28" i="16"/>
  <c r="O28" i="16"/>
  <c r="R28" i="16"/>
  <c r="L29" i="16"/>
  <c r="O29" i="16"/>
  <c r="R29" i="16"/>
  <c r="L30" i="16"/>
  <c r="O30" i="16"/>
  <c r="R30" i="16"/>
  <c r="L31" i="16"/>
  <c r="O31" i="16"/>
  <c r="R31" i="16"/>
  <c r="L32" i="16"/>
  <c r="O32" i="16"/>
  <c r="R32" i="16"/>
  <c r="L33" i="16"/>
  <c r="O33" i="16"/>
  <c r="R33" i="16"/>
  <c r="L34" i="16"/>
  <c r="O34" i="16"/>
  <c r="R34" i="16"/>
  <c r="L35" i="16"/>
  <c r="O35" i="16"/>
  <c r="R35" i="16"/>
  <c r="L36" i="16"/>
  <c r="O36" i="16"/>
  <c r="R36" i="16"/>
  <c r="K37" i="16"/>
  <c r="M37" i="16"/>
  <c r="N37" i="16"/>
  <c r="P37" i="16"/>
  <c r="Q37" i="16"/>
  <c r="S37" i="16"/>
  <c r="O37" i="16" l="1"/>
  <c r="FR37" i="1"/>
  <c r="FU37" i="1"/>
  <c r="L37" i="16"/>
  <c r="R37" i="16"/>
  <c r="FJ37" i="1" l="1"/>
  <c r="FH37" i="1"/>
  <c r="FI36" i="1"/>
  <c r="FI35" i="1"/>
  <c r="FI34" i="1"/>
  <c r="FI33" i="1"/>
  <c r="FI32" i="1"/>
  <c r="FI31" i="1"/>
  <c r="FI30" i="1"/>
  <c r="FI29" i="1"/>
  <c r="FI28" i="1"/>
  <c r="FI27" i="1"/>
  <c r="FI26" i="1"/>
  <c r="FI25" i="1"/>
  <c r="FI24" i="1"/>
  <c r="FI23" i="1"/>
  <c r="FI22" i="1"/>
  <c r="FI21" i="1"/>
  <c r="FI20" i="1"/>
  <c r="FI19" i="1"/>
  <c r="FI18" i="1"/>
  <c r="FI17" i="1"/>
  <c r="FI16" i="1"/>
  <c r="FI15" i="1"/>
  <c r="FI14" i="1"/>
  <c r="FI13" i="1"/>
  <c r="FI12" i="1"/>
  <c r="FI11" i="1"/>
  <c r="FI10" i="1"/>
  <c r="FI9" i="1"/>
  <c r="FI8" i="1"/>
  <c r="FI7" i="1"/>
  <c r="FI6" i="1"/>
  <c r="FI37" i="1" l="1"/>
  <c r="FA37" i="1" l="1"/>
  <c r="EY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EZ8" i="1"/>
  <c r="EZ7" i="1"/>
  <c r="EZ6" i="1"/>
  <c r="EZ37" i="1" l="1"/>
  <c r="AV44" i="7" l="1"/>
  <c r="AV43" i="7" s="1"/>
  <c r="AV40" i="7"/>
  <c r="AV41" i="7" s="1"/>
  <c r="AV39" i="7"/>
  <c r="AV61" i="7" s="1"/>
  <c r="EX37" i="1" l="1"/>
  <c r="EV37" i="1"/>
  <c r="EU37" i="1"/>
  <c r="ES37" i="1"/>
  <c r="EW36" i="1"/>
  <c r="ET36" i="1"/>
  <c r="EW35" i="1"/>
  <c r="ET35" i="1"/>
  <c r="EW34" i="1"/>
  <c r="ET34" i="1"/>
  <c r="EW33" i="1"/>
  <c r="ET33" i="1"/>
  <c r="EW32" i="1"/>
  <c r="ET32" i="1"/>
  <c r="EW31" i="1"/>
  <c r="ET31" i="1"/>
  <c r="EW30" i="1"/>
  <c r="ET30" i="1"/>
  <c r="EW29" i="1"/>
  <c r="ET29" i="1"/>
  <c r="EW28" i="1"/>
  <c r="ET28" i="1"/>
  <c r="EW27" i="1"/>
  <c r="ET27" i="1"/>
  <c r="EW26" i="1"/>
  <c r="ET26" i="1"/>
  <c r="EW25" i="1"/>
  <c r="ET25" i="1"/>
  <c r="EW24" i="1"/>
  <c r="ET24" i="1"/>
  <c r="EW23" i="1"/>
  <c r="ET23" i="1"/>
  <c r="EW22" i="1"/>
  <c r="ET22" i="1"/>
  <c r="EW21" i="1"/>
  <c r="ET21" i="1"/>
  <c r="EW20" i="1"/>
  <c r="ET20" i="1"/>
  <c r="EW19" i="1"/>
  <c r="ET19" i="1"/>
  <c r="EW18" i="1"/>
  <c r="ET18" i="1"/>
  <c r="EW17" i="1"/>
  <c r="ET17" i="1"/>
  <c r="EW16" i="1"/>
  <c r="ET16" i="1"/>
  <c r="EW15" i="1"/>
  <c r="ET15" i="1"/>
  <c r="EW14" i="1"/>
  <c r="ET14" i="1"/>
  <c r="EW13" i="1"/>
  <c r="ET13" i="1"/>
  <c r="EW12" i="1"/>
  <c r="ET12" i="1"/>
  <c r="EW11" i="1"/>
  <c r="ET11" i="1"/>
  <c r="EW10" i="1"/>
  <c r="ET10" i="1"/>
  <c r="EW9" i="1"/>
  <c r="ET9" i="1"/>
  <c r="ET37" i="1" l="1"/>
  <c r="EW37" i="1"/>
  <c r="I6" i="16" l="1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H37" i="16"/>
  <c r="J37" i="16"/>
  <c r="I37" i="16" l="1"/>
  <c r="T5" i="17" l="1"/>
  <c r="AP5" i="17" l="1"/>
  <c r="T6" i="17"/>
  <c r="AP6" i="17" l="1"/>
  <c r="T7" i="17"/>
  <c r="AP7" i="17" l="1"/>
  <c r="T8" i="17"/>
  <c r="AP8" i="17" l="1"/>
  <c r="T9" i="17"/>
  <c r="AP9" i="17" l="1"/>
  <c r="T10" i="17"/>
  <c r="AP10" i="17" l="1"/>
  <c r="T11" i="17"/>
  <c r="AP11" i="17" l="1"/>
  <c r="T12" i="17"/>
  <c r="AP12" i="17" l="1"/>
  <c r="T13" i="17"/>
  <c r="AP13" i="17" l="1"/>
  <c r="T14" i="17"/>
  <c r="AP14" i="17" l="1"/>
  <c r="T15" i="17"/>
  <c r="AP15" i="17" l="1"/>
  <c r="T16" i="17"/>
  <c r="AE35" i="17"/>
  <c r="AD35" i="17"/>
  <c r="AC35" i="17"/>
  <c r="AB35" i="17"/>
  <c r="AA35" i="17"/>
  <c r="Y35" i="17"/>
  <c r="X35" i="17"/>
  <c r="W35" i="17"/>
  <c r="V35" i="17"/>
  <c r="U35" i="17"/>
  <c r="AP16" i="17" l="1"/>
  <c r="AV35" i="17"/>
  <c r="T17" i="17"/>
  <c r="Z37" i="17"/>
  <c r="AF35" i="17"/>
  <c r="AF36" i="17" s="1"/>
  <c r="Z35" i="17"/>
  <c r="AS35" i="17" s="1"/>
  <c r="AI36" i="17"/>
  <c r="AQ35" i="17" l="1"/>
  <c r="F23" i="41" s="1"/>
  <c r="F48" i="41" s="1"/>
  <c r="AT38" i="17"/>
  <c r="AP17" i="17"/>
  <c r="F20" i="41"/>
  <c r="F10" i="41"/>
  <c r="AU35" i="17"/>
  <c r="V36" i="17"/>
  <c r="T18" i="17"/>
  <c r="Z36" i="17"/>
  <c r="AS36" i="17" s="1"/>
  <c r="AD36" i="17"/>
  <c r="AG35" i="17"/>
  <c r="X36" i="17"/>
  <c r="U36" i="17"/>
  <c r="W36" i="17"/>
  <c r="Y36" i="17"/>
  <c r="AE36" i="17"/>
  <c r="AC36" i="17"/>
  <c r="AA36" i="17"/>
  <c r="AB36" i="17"/>
  <c r="AG36" i="17" l="1"/>
  <c r="F32" i="41" s="1"/>
  <c r="AL36" i="17"/>
  <c r="AK36" i="17"/>
  <c r="AJ36" i="17"/>
  <c r="AH36" i="17"/>
  <c r="AP18" i="17"/>
  <c r="AP19" i="17" s="1"/>
  <c r="AP20" i="17" s="1"/>
  <c r="AP21" i="17" s="1"/>
  <c r="AP22" i="17" s="1"/>
  <c r="AP23" i="17" s="1"/>
  <c r="AP24" i="17" s="1"/>
  <c r="AP25" i="17" s="1"/>
  <c r="AP26" i="17" s="1"/>
  <c r="AP27" i="17" s="1"/>
  <c r="AP28" i="17" s="1"/>
  <c r="AP29" i="17" s="1"/>
  <c r="AP30" i="17" s="1"/>
  <c r="F19" i="41"/>
  <c r="T19" i="17"/>
  <c r="F21" i="41" l="1"/>
  <c r="C93" i="41"/>
  <c r="T20" i="17"/>
  <c r="T21" i="17" l="1"/>
  <c r="T22" i="17" l="1"/>
  <c r="T23" i="17" l="1"/>
  <c r="T24" i="17" l="1"/>
  <c r="T25" i="17" l="1"/>
  <c r="K8" i="44"/>
  <c r="K7" i="44"/>
  <c r="K6" i="44"/>
  <c r="K4" i="44"/>
  <c r="K3" i="44"/>
  <c r="K2" i="44"/>
  <c r="S5" i="44"/>
  <c r="S4" i="44"/>
  <c r="S3" i="44"/>
  <c r="S2" i="44"/>
  <c r="T26" i="17" l="1"/>
  <c r="T27" i="17" l="1"/>
  <c r="J4" i="3"/>
  <c r="T28" i="17" l="1"/>
  <c r="V44" i="7"/>
  <c r="V43" i="7" s="1"/>
  <c r="W44" i="7"/>
  <c r="W43" i="7" s="1"/>
  <c r="X44" i="7"/>
  <c r="X43" i="7" s="1"/>
  <c r="Z44" i="7"/>
  <c r="Z43" i="7" s="1"/>
  <c r="AA44" i="7"/>
  <c r="AA43" i="7" s="1"/>
  <c r="AB44" i="7"/>
  <c r="AB43" i="7" s="1"/>
  <c r="AT44" i="7"/>
  <c r="AT43" i="7" s="1"/>
  <c r="AX44" i="7"/>
  <c r="AX43" i="7" s="1"/>
  <c r="AY44" i="7"/>
  <c r="AY43" i="7" s="1"/>
  <c r="AZ44" i="7"/>
  <c r="AZ43" i="7" s="1"/>
  <c r="BA44" i="7"/>
  <c r="BA43" i="7" s="1"/>
  <c r="BB44" i="7"/>
  <c r="BB43" i="7" s="1"/>
  <c r="BC44" i="7"/>
  <c r="BC43" i="7" s="1"/>
  <c r="AR44" i="7"/>
  <c r="AR43" i="7" s="1"/>
  <c r="AS44" i="7"/>
  <c r="AS43" i="7" s="1"/>
  <c r="AC44" i="7"/>
  <c r="AC43" i="7" s="1"/>
  <c r="B44" i="7"/>
  <c r="B43" i="7" s="1"/>
  <c r="T29" i="17" l="1"/>
  <c r="T30" i="17" l="1"/>
  <c r="T31" i="17" l="1"/>
  <c r="T32" i="17" l="1"/>
  <c r="AS34" i="17"/>
  <c r="AS33" i="17"/>
  <c r="AS32" i="17"/>
  <c r="AS31" i="17"/>
  <c r="F9" i="41"/>
  <c r="B185" i="3" l="1"/>
  <c r="T33" i="17"/>
  <c r="AH45" i="17"/>
  <c r="AH43" i="17"/>
  <c r="AG47" i="17"/>
  <c r="AG46" i="17"/>
  <c r="AJ46" i="17" s="1"/>
  <c r="AG45" i="17"/>
  <c r="AG44" i="17"/>
  <c r="AJ44" i="17" s="1"/>
  <c r="AX34" i="17"/>
  <c r="AQ34" i="17"/>
  <c r="C32" i="17" s="1"/>
  <c r="AX33" i="17"/>
  <c r="AR33" i="17"/>
  <c r="D31" i="17" s="1"/>
  <c r="AQ33" i="17"/>
  <c r="C31" i="17" s="1"/>
  <c r="AX32" i="17"/>
  <c r="AQ32" i="17"/>
  <c r="C30" i="17" s="1"/>
  <c r="AX31" i="17"/>
  <c r="AR31" i="17"/>
  <c r="D29" i="17" s="1"/>
  <c r="AQ31" i="17"/>
  <c r="C29" i="17" s="1"/>
  <c r="AW31" i="17"/>
  <c r="AP31" i="17"/>
  <c r="AP32" i="17" s="1"/>
  <c r="AP33" i="17" s="1"/>
  <c r="AP34" i="17" s="1"/>
  <c r="T34" i="17" l="1"/>
  <c r="T71" i="17" s="1"/>
  <c r="U73" i="17" s="1"/>
  <c r="AH48" i="17"/>
  <c r="AJ45" i="17"/>
  <c r="AX35" i="17"/>
  <c r="AY31" i="17"/>
  <c r="AW32" i="17"/>
  <c r="AR32" i="17"/>
  <c r="D30" i="17" s="1"/>
  <c r="AY33" i="17"/>
  <c r="AW34" i="17"/>
  <c r="AR34" i="17"/>
  <c r="D32" i="17" s="1"/>
  <c r="AG59" i="17"/>
  <c r="AJ47" i="17"/>
  <c r="AY32" i="17"/>
  <c r="AW33" i="17"/>
  <c r="AY34" i="17"/>
  <c r="AG61" i="17"/>
  <c r="AG43" i="17"/>
  <c r="AR35" i="17"/>
  <c r="F25" i="41" s="1"/>
  <c r="F49" i="41" s="1"/>
  <c r="U74" i="17" l="1"/>
  <c r="W73" i="17"/>
  <c r="W74" i="17"/>
  <c r="AJ43" i="17"/>
  <c r="AG48" i="17"/>
  <c r="AW35" i="17"/>
  <c r="AG58" i="17"/>
  <c r="AG60" i="17" l="1"/>
  <c r="AY35" i="17"/>
  <c r="AJ48" i="17"/>
  <c r="AK43" i="17" s="1"/>
  <c r="AL45" i="17"/>
  <c r="AL47" i="17"/>
  <c r="AL44" i="17"/>
  <c r="AL46" i="17"/>
  <c r="AL43" i="17"/>
  <c r="AK53" i="17" l="1"/>
  <c r="AQ36" i="17" s="1"/>
  <c r="AK54" i="17"/>
  <c r="N184" i="3" s="1"/>
  <c r="F24" i="41" s="1"/>
  <c r="AL48" i="17"/>
  <c r="AK46" i="17"/>
  <c r="AK44" i="17"/>
  <c r="AK45" i="17"/>
  <c r="AK47" i="17"/>
  <c r="F59" i="41" l="1"/>
  <c r="F3" i="41"/>
  <c r="K184" i="3"/>
  <c r="F22" i="41" s="1"/>
  <c r="AK50" i="17"/>
  <c r="AL50" i="17" s="1"/>
  <c r="AL54" i="17"/>
  <c r="AR36" i="17"/>
  <c r="AL53" i="17"/>
  <c r="AK51" i="17"/>
  <c r="AL51" i="17" s="1"/>
  <c r="AK48" i="17"/>
  <c r="F58" i="41" l="1"/>
  <c r="F2" i="41"/>
  <c r="AE37" i="16"/>
  <c r="AC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B86" i="7"/>
  <c r="B54" i="7"/>
  <c r="B53" i="7"/>
  <c r="B52" i="7"/>
  <c r="AD37" i="16" l="1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E37" i="16"/>
  <c r="G37" i="16"/>
  <c r="F37" i="16" l="1"/>
  <c r="A45" i="3" l="1"/>
  <c r="B45" i="3"/>
  <c r="E45" i="3"/>
  <c r="J45" i="3"/>
  <c r="R45" i="3"/>
  <c r="A46" i="3"/>
  <c r="B46" i="3"/>
  <c r="E46" i="3"/>
  <c r="J46" i="3"/>
  <c r="R46" i="3"/>
  <c r="A47" i="3"/>
  <c r="B47" i="3"/>
  <c r="E47" i="3"/>
  <c r="J47" i="3"/>
  <c r="R47" i="3"/>
  <c r="A48" i="3"/>
  <c r="B48" i="3"/>
  <c r="E48" i="3"/>
  <c r="J48" i="3"/>
  <c r="R48" i="3"/>
  <c r="A49" i="3"/>
  <c r="B49" i="3"/>
  <c r="E49" i="3"/>
  <c r="J49" i="3"/>
  <c r="R49" i="3"/>
  <c r="A50" i="3"/>
  <c r="B50" i="3"/>
  <c r="E50" i="3"/>
  <c r="J50" i="3"/>
  <c r="R50" i="3"/>
  <c r="U9" i="16"/>
  <c r="U48" i="3" l="1"/>
  <c r="U47" i="3"/>
  <c r="U49" i="3"/>
  <c r="U45" i="3"/>
  <c r="U50" i="3"/>
  <c r="U46" i="3"/>
  <c r="C6" i="16" l="1"/>
  <c r="AK37" i="12" l="1"/>
  <c r="AI37" i="12"/>
  <c r="AH37" i="12"/>
  <c r="AF37" i="12"/>
  <c r="AE37" i="12"/>
  <c r="AC37" i="12"/>
  <c r="AJ36" i="12"/>
  <c r="AG36" i="12"/>
  <c r="AD36" i="12"/>
  <c r="AJ35" i="12"/>
  <c r="AG35" i="12"/>
  <c r="AD35" i="12"/>
  <c r="AJ34" i="12"/>
  <c r="AG34" i="12"/>
  <c r="AD34" i="12"/>
  <c r="AJ33" i="12"/>
  <c r="AG33" i="12"/>
  <c r="AD33" i="12"/>
  <c r="AJ32" i="12"/>
  <c r="AG32" i="12"/>
  <c r="AD32" i="12"/>
  <c r="AJ31" i="12"/>
  <c r="AG31" i="12"/>
  <c r="AD31" i="12"/>
  <c r="AJ30" i="12"/>
  <c r="AG30" i="12"/>
  <c r="AD30" i="12"/>
  <c r="AJ29" i="12"/>
  <c r="AG29" i="12"/>
  <c r="AD29" i="12"/>
  <c r="AJ28" i="12"/>
  <c r="AG28" i="12"/>
  <c r="AD28" i="12"/>
  <c r="AJ27" i="12"/>
  <c r="AG27" i="12"/>
  <c r="AD27" i="12"/>
  <c r="AJ26" i="12"/>
  <c r="AG26" i="12"/>
  <c r="AD26" i="12"/>
  <c r="AJ25" i="12"/>
  <c r="AG25" i="12"/>
  <c r="AD25" i="12"/>
  <c r="AJ24" i="12"/>
  <c r="AG24" i="12"/>
  <c r="AD24" i="12"/>
  <c r="AJ23" i="12"/>
  <c r="AG23" i="12"/>
  <c r="AD23" i="12"/>
  <c r="AJ22" i="12"/>
  <c r="AG22" i="12"/>
  <c r="AD22" i="12"/>
  <c r="AJ21" i="12"/>
  <c r="AG21" i="12"/>
  <c r="AD21" i="12"/>
  <c r="AJ20" i="12"/>
  <c r="AG20" i="12"/>
  <c r="AD20" i="12"/>
  <c r="AJ19" i="12"/>
  <c r="AG19" i="12"/>
  <c r="AD19" i="12"/>
  <c r="AJ18" i="12"/>
  <c r="AG18" i="12"/>
  <c r="AD18" i="12"/>
  <c r="AJ17" i="12"/>
  <c r="AG17" i="12"/>
  <c r="AD17" i="12"/>
  <c r="AJ16" i="12"/>
  <c r="AG16" i="12"/>
  <c r="AD16" i="12"/>
  <c r="AJ15" i="12"/>
  <c r="AG15" i="12"/>
  <c r="AD15" i="12"/>
  <c r="AJ14" i="12"/>
  <c r="AG14" i="12"/>
  <c r="AD14" i="12"/>
  <c r="AJ13" i="12"/>
  <c r="AG13" i="12"/>
  <c r="AD13" i="12"/>
  <c r="AJ12" i="12"/>
  <c r="AG12" i="12"/>
  <c r="AD12" i="12"/>
  <c r="AJ11" i="12"/>
  <c r="AG11" i="12"/>
  <c r="AD11" i="12"/>
  <c r="AJ10" i="12"/>
  <c r="AG10" i="12"/>
  <c r="AD10" i="12"/>
  <c r="AJ9" i="12"/>
  <c r="AG9" i="12"/>
  <c r="AD9" i="12"/>
  <c r="AJ8" i="12"/>
  <c r="AG8" i="12"/>
  <c r="AD8" i="12"/>
  <c r="AJ7" i="12"/>
  <c r="AG7" i="12"/>
  <c r="AD7" i="12"/>
  <c r="AJ6" i="12"/>
  <c r="AG6" i="12"/>
  <c r="AD6" i="12"/>
  <c r="AG37" i="12" l="1"/>
  <c r="AJ37" i="12"/>
  <c r="AD37" i="12"/>
  <c r="U6" i="12" l="1"/>
  <c r="X6" i="12"/>
  <c r="AA6" i="12"/>
  <c r="U7" i="12"/>
  <c r="X7" i="12"/>
  <c r="AA7" i="12"/>
  <c r="U8" i="12"/>
  <c r="X8" i="12"/>
  <c r="AA8" i="12"/>
  <c r="U9" i="12"/>
  <c r="X9" i="12"/>
  <c r="AA9" i="12"/>
  <c r="U10" i="12"/>
  <c r="X10" i="12"/>
  <c r="AA10" i="12"/>
  <c r="U11" i="12"/>
  <c r="X11" i="12"/>
  <c r="AA11" i="12"/>
  <c r="U12" i="12"/>
  <c r="X12" i="12"/>
  <c r="AA12" i="12"/>
  <c r="U13" i="12"/>
  <c r="X13" i="12"/>
  <c r="AA13" i="12"/>
  <c r="U14" i="12"/>
  <c r="X14" i="12"/>
  <c r="AA14" i="12"/>
  <c r="U15" i="12"/>
  <c r="X15" i="12"/>
  <c r="AA15" i="12"/>
  <c r="U16" i="12"/>
  <c r="X16" i="12"/>
  <c r="AA16" i="12"/>
  <c r="U17" i="12"/>
  <c r="X17" i="12"/>
  <c r="AA17" i="12"/>
  <c r="U18" i="12"/>
  <c r="X18" i="12"/>
  <c r="AA18" i="12"/>
  <c r="U19" i="12"/>
  <c r="X19" i="12"/>
  <c r="AA19" i="12"/>
  <c r="U20" i="12"/>
  <c r="X20" i="12"/>
  <c r="AA20" i="12"/>
  <c r="U21" i="12"/>
  <c r="X21" i="12"/>
  <c r="AA21" i="12"/>
  <c r="U22" i="12"/>
  <c r="X22" i="12"/>
  <c r="AA22" i="12"/>
  <c r="U23" i="12"/>
  <c r="X23" i="12"/>
  <c r="AA23" i="12"/>
  <c r="U24" i="12"/>
  <c r="X24" i="12"/>
  <c r="AA24" i="12"/>
  <c r="U25" i="12"/>
  <c r="X25" i="12"/>
  <c r="AA25" i="12"/>
  <c r="U26" i="12"/>
  <c r="X26" i="12"/>
  <c r="AA26" i="12"/>
  <c r="U27" i="12"/>
  <c r="X27" i="12"/>
  <c r="AA27" i="12"/>
  <c r="U28" i="12"/>
  <c r="X28" i="12"/>
  <c r="AA28" i="12"/>
  <c r="U29" i="12"/>
  <c r="X29" i="12"/>
  <c r="AA29" i="12"/>
  <c r="U30" i="12"/>
  <c r="X30" i="12"/>
  <c r="AA30" i="12"/>
  <c r="U31" i="12"/>
  <c r="X31" i="12"/>
  <c r="AA31" i="12"/>
  <c r="U32" i="12"/>
  <c r="X32" i="12"/>
  <c r="AA32" i="12"/>
  <c r="U33" i="12"/>
  <c r="X33" i="12"/>
  <c r="AA33" i="12"/>
  <c r="U34" i="12"/>
  <c r="X34" i="12"/>
  <c r="AA34" i="12"/>
  <c r="U35" i="12"/>
  <c r="X35" i="12"/>
  <c r="AA35" i="12"/>
  <c r="U36" i="12"/>
  <c r="X36" i="12"/>
  <c r="AA36" i="12"/>
  <c r="T37" i="12"/>
  <c r="V37" i="12"/>
  <c r="W37" i="12"/>
  <c r="Y37" i="12"/>
  <c r="Z37" i="12"/>
  <c r="AB37" i="12"/>
  <c r="U37" i="12" l="1"/>
  <c r="X37" i="12"/>
  <c r="AA37" i="12"/>
  <c r="AK37" i="16"/>
  <c r="AI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J9" i="16"/>
  <c r="AJ8" i="16"/>
  <c r="AJ7" i="16"/>
  <c r="AJ6" i="16"/>
  <c r="AJ37" i="16" l="1"/>
  <c r="AH37" i="16" l="1"/>
  <c r="AF37" i="16"/>
  <c r="AG36" i="16"/>
  <c r="AG35" i="16"/>
  <c r="AG34" i="16"/>
  <c r="AG33" i="16"/>
  <c r="AG32" i="16"/>
  <c r="AG31" i="16"/>
  <c r="AG30" i="16"/>
  <c r="AG29" i="16"/>
  <c r="AG28" i="16"/>
  <c r="AG27" i="16"/>
  <c r="AG26" i="16"/>
  <c r="AG25" i="16"/>
  <c r="AG24" i="16"/>
  <c r="AG23" i="16"/>
  <c r="AG22" i="16"/>
  <c r="AG21" i="16"/>
  <c r="AG20" i="16"/>
  <c r="AG19" i="16"/>
  <c r="AG18" i="16"/>
  <c r="AG17" i="16"/>
  <c r="AG16" i="16"/>
  <c r="AG15" i="16"/>
  <c r="AG14" i="16"/>
  <c r="AG13" i="16"/>
  <c r="AG12" i="16"/>
  <c r="AG11" i="16"/>
  <c r="AG10" i="16"/>
  <c r="AG9" i="16"/>
  <c r="AG8" i="16"/>
  <c r="AG7" i="16"/>
  <c r="AG6" i="16"/>
  <c r="AG37" i="16" l="1"/>
  <c r="X6" i="16" l="1"/>
  <c r="AA6" i="16"/>
  <c r="X7" i="16"/>
  <c r="AA7" i="16"/>
  <c r="X8" i="16"/>
  <c r="AA8" i="16"/>
  <c r="X9" i="16"/>
  <c r="AA9" i="16"/>
  <c r="X10" i="16"/>
  <c r="AA10" i="16"/>
  <c r="X11" i="16"/>
  <c r="AA11" i="16"/>
  <c r="X12" i="16"/>
  <c r="AA12" i="16"/>
  <c r="X13" i="16"/>
  <c r="AA13" i="16"/>
  <c r="X14" i="16"/>
  <c r="AA14" i="16"/>
  <c r="X15" i="16"/>
  <c r="AA15" i="16"/>
  <c r="X16" i="16"/>
  <c r="AA16" i="16"/>
  <c r="X17" i="16"/>
  <c r="AA17" i="16"/>
  <c r="X18" i="16"/>
  <c r="AA18" i="16"/>
  <c r="X19" i="16"/>
  <c r="AA19" i="16"/>
  <c r="X20" i="16"/>
  <c r="AA20" i="16"/>
  <c r="X21" i="16"/>
  <c r="AA21" i="16"/>
  <c r="X22" i="16"/>
  <c r="AA22" i="16"/>
  <c r="X23" i="16"/>
  <c r="AA23" i="16"/>
  <c r="X24" i="16"/>
  <c r="AA24" i="16"/>
  <c r="X25" i="16"/>
  <c r="AA25" i="16"/>
  <c r="X26" i="16"/>
  <c r="AA26" i="16"/>
  <c r="X27" i="16"/>
  <c r="AA27" i="16"/>
  <c r="X28" i="16"/>
  <c r="AA28" i="16"/>
  <c r="X29" i="16"/>
  <c r="AA29" i="16"/>
  <c r="X30" i="16"/>
  <c r="AA30" i="16"/>
  <c r="X31" i="16"/>
  <c r="AA31" i="16"/>
  <c r="X32" i="16"/>
  <c r="AA32" i="16"/>
  <c r="X33" i="16"/>
  <c r="AA33" i="16"/>
  <c r="X34" i="16"/>
  <c r="AA34" i="16"/>
  <c r="X35" i="16"/>
  <c r="AA35" i="16"/>
  <c r="X36" i="16"/>
  <c r="AA36" i="16"/>
  <c r="W37" i="16"/>
  <c r="Y37" i="16"/>
  <c r="Z37" i="16"/>
  <c r="AB37" i="16"/>
  <c r="AA37" i="16" l="1"/>
  <c r="X37" i="16"/>
  <c r="V37" i="16" l="1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8" i="16"/>
  <c r="U7" i="16"/>
  <c r="U6" i="16"/>
  <c r="U37" i="16" l="1"/>
  <c r="C9" i="2" l="1"/>
  <c r="C8" i="16" l="1"/>
  <c r="C7" i="16"/>
  <c r="GL27" i="1" l="1"/>
  <c r="D45" i="3" l="1"/>
  <c r="F45" i="3" l="1"/>
  <c r="AY40" i="7" l="1"/>
  <c r="AY41" i="7" s="1"/>
  <c r="AY39" i="7"/>
  <c r="AY61" i="7" s="1"/>
  <c r="C9" i="16" l="1"/>
  <c r="J37" i="1" l="1"/>
  <c r="H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37" i="1" l="1"/>
  <c r="AX40" i="7" l="1"/>
  <c r="AX41" i="7" s="1"/>
  <c r="AX39" i="7"/>
  <c r="AX61" i="7" s="1"/>
  <c r="F12" i="41" l="1"/>
  <c r="C9" i="12"/>
  <c r="C8" i="12"/>
  <c r="C7" i="12"/>
  <c r="C6" i="12"/>
  <c r="F27" i="41" l="1"/>
  <c r="F50" i="41" s="1"/>
  <c r="F47" i="41"/>
  <c r="H8" i="38"/>
  <c r="GE37" i="1" l="1"/>
  <c r="GC37" i="1"/>
  <c r="GB37" i="1"/>
  <c r="FZ37" i="1"/>
  <c r="GD36" i="1"/>
  <c r="GA36" i="1"/>
  <c r="GD35" i="1"/>
  <c r="GA35" i="1"/>
  <c r="GD34" i="1"/>
  <c r="GA34" i="1"/>
  <c r="GD33" i="1"/>
  <c r="GA33" i="1"/>
  <c r="GD32" i="1"/>
  <c r="GA32" i="1"/>
  <c r="GD31" i="1"/>
  <c r="GA31" i="1"/>
  <c r="GD30" i="1"/>
  <c r="GA30" i="1"/>
  <c r="GD29" i="1"/>
  <c r="GA29" i="1"/>
  <c r="GD28" i="1"/>
  <c r="GA28" i="1"/>
  <c r="GD27" i="1"/>
  <c r="GA27" i="1"/>
  <c r="GD26" i="1"/>
  <c r="GA26" i="1"/>
  <c r="GD25" i="1"/>
  <c r="GA25" i="1"/>
  <c r="GD24" i="1"/>
  <c r="GA24" i="1"/>
  <c r="GD23" i="1"/>
  <c r="GA23" i="1"/>
  <c r="GD22" i="1"/>
  <c r="GA22" i="1"/>
  <c r="GD21" i="1"/>
  <c r="GA21" i="1"/>
  <c r="GD20" i="1"/>
  <c r="GA20" i="1"/>
  <c r="GD19" i="1"/>
  <c r="GA19" i="1"/>
  <c r="GD18" i="1"/>
  <c r="GA18" i="1"/>
  <c r="GD17" i="1"/>
  <c r="GA17" i="1"/>
  <c r="GD16" i="1"/>
  <c r="GA16" i="1"/>
  <c r="GD15" i="1"/>
  <c r="GA15" i="1"/>
  <c r="GD14" i="1"/>
  <c r="GA14" i="1"/>
  <c r="GD13" i="1"/>
  <c r="GA13" i="1"/>
  <c r="GD12" i="1"/>
  <c r="GA12" i="1"/>
  <c r="GD11" i="1"/>
  <c r="GA11" i="1"/>
  <c r="GD10" i="1"/>
  <c r="GA10" i="1"/>
  <c r="GD9" i="1"/>
  <c r="GA9" i="1"/>
  <c r="GD8" i="1"/>
  <c r="GA8" i="1"/>
  <c r="GD7" i="1"/>
  <c r="GA7" i="1"/>
  <c r="GD6" i="1"/>
  <c r="GA6" i="1"/>
  <c r="I3" i="41"/>
  <c r="K3" i="41"/>
  <c r="H3" i="41"/>
  <c r="J3" i="41"/>
  <c r="F40" i="41" l="1"/>
  <c r="F38" i="41"/>
  <c r="F39" i="41"/>
  <c r="F37" i="41"/>
  <c r="GA37" i="1"/>
  <c r="GD37" i="1"/>
  <c r="J37" i="2" l="1"/>
  <c r="H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37" i="2" l="1"/>
  <c r="FY37" i="1" l="1"/>
  <c r="FW37" i="1"/>
  <c r="FX36" i="1"/>
  <c r="FX35" i="1"/>
  <c r="FX34" i="1"/>
  <c r="FX33" i="1"/>
  <c r="FX32" i="1"/>
  <c r="FX31" i="1"/>
  <c r="FX30" i="1"/>
  <c r="FX29" i="1"/>
  <c r="FX28" i="1"/>
  <c r="FX27" i="1"/>
  <c r="FX26" i="1"/>
  <c r="FX25" i="1"/>
  <c r="FX24" i="1"/>
  <c r="FX23" i="1"/>
  <c r="FX22" i="1"/>
  <c r="FX21" i="1"/>
  <c r="FX20" i="1"/>
  <c r="FX19" i="1"/>
  <c r="FX18" i="1"/>
  <c r="FX17" i="1"/>
  <c r="FX16" i="1"/>
  <c r="FX15" i="1"/>
  <c r="FX14" i="1"/>
  <c r="FX13" i="1"/>
  <c r="FX12" i="1"/>
  <c r="FX11" i="1"/>
  <c r="FX10" i="1"/>
  <c r="FX9" i="1"/>
  <c r="FX8" i="1"/>
  <c r="FX7" i="1"/>
  <c r="FX6" i="1"/>
  <c r="FX37" i="1" l="1"/>
  <c r="F6" i="2" l="1"/>
  <c r="C6" i="2"/>
  <c r="Z40" i="7" l="1"/>
  <c r="Z41" i="7" s="1"/>
  <c r="Z39" i="7"/>
  <c r="Z61" i="7" l="1"/>
  <c r="FM37" i="1"/>
  <c r="FK37" i="1"/>
  <c r="FL36" i="1"/>
  <c r="FL35" i="1"/>
  <c r="FL34" i="1"/>
  <c r="FL33" i="1"/>
  <c r="FL32" i="1"/>
  <c r="FL31" i="1"/>
  <c r="FL30" i="1"/>
  <c r="FL29" i="1"/>
  <c r="FL28" i="1"/>
  <c r="FL27" i="1"/>
  <c r="FL26" i="1"/>
  <c r="FL25" i="1"/>
  <c r="FL24" i="1"/>
  <c r="FL23" i="1"/>
  <c r="FL22" i="1"/>
  <c r="FL21" i="1"/>
  <c r="FL20" i="1"/>
  <c r="FL19" i="1"/>
  <c r="FL18" i="1"/>
  <c r="FL17" i="1"/>
  <c r="FL16" i="1"/>
  <c r="FL15" i="1"/>
  <c r="FL14" i="1"/>
  <c r="FL13" i="1"/>
  <c r="FL12" i="1"/>
  <c r="FL11" i="1"/>
  <c r="FL10" i="1"/>
  <c r="FL9" i="1"/>
  <c r="FL8" i="1"/>
  <c r="FL7" i="1"/>
  <c r="FL6" i="1"/>
  <c r="FL37" i="1" l="1"/>
  <c r="D37" i="16" l="1"/>
  <c r="B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37" i="16" l="1"/>
  <c r="L150" i="8" l="1"/>
  <c r="M150" i="8"/>
  <c r="N150" i="8"/>
  <c r="O150" i="8"/>
  <c r="L151" i="8"/>
  <c r="M151" i="8"/>
  <c r="N151" i="8"/>
  <c r="O151" i="8"/>
  <c r="L152" i="8"/>
  <c r="M152" i="8"/>
  <c r="N152" i="8"/>
  <c r="O152" i="8"/>
  <c r="L153" i="8"/>
  <c r="M153" i="8"/>
  <c r="N153" i="8"/>
  <c r="O153" i="8"/>
  <c r="L154" i="8"/>
  <c r="M154" i="8"/>
  <c r="N154" i="8"/>
  <c r="O154" i="8"/>
  <c r="L155" i="8"/>
  <c r="M155" i="8"/>
  <c r="N155" i="8"/>
  <c r="O155" i="8"/>
  <c r="L156" i="8"/>
  <c r="M156" i="8"/>
  <c r="N156" i="8"/>
  <c r="O156" i="8"/>
  <c r="L157" i="8"/>
  <c r="M157" i="8"/>
  <c r="N157" i="8"/>
  <c r="O157" i="8"/>
  <c r="L158" i="8"/>
  <c r="M158" i="8"/>
  <c r="N158" i="8"/>
  <c r="O158" i="8"/>
  <c r="L159" i="8"/>
  <c r="M159" i="8"/>
  <c r="N159" i="8"/>
  <c r="O159" i="8"/>
  <c r="L160" i="8"/>
  <c r="M160" i="8"/>
  <c r="N160" i="8"/>
  <c r="O160" i="8"/>
  <c r="L161" i="8"/>
  <c r="M161" i="8"/>
  <c r="N161" i="8"/>
  <c r="O161" i="8"/>
  <c r="L162" i="8"/>
  <c r="M162" i="8"/>
  <c r="N162" i="8"/>
  <c r="O162" i="8"/>
  <c r="L163" i="8"/>
  <c r="M163" i="8"/>
  <c r="N163" i="8"/>
  <c r="O163" i="8"/>
  <c r="L164" i="8"/>
  <c r="M164" i="8"/>
  <c r="N164" i="8"/>
  <c r="O164" i="8"/>
  <c r="L165" i="8"/>
  <c r="M165" i="8"/>
  <c r="N165" i="8"/>
  <c r="O165" i="8"/>
  <c r="L166" i="8"/>
  <c r="M166" i="8"/>
  <c r="N166" i="8"/>
  <c r="O166" i="8"/>
  <c r="L167" i="8"/>
  <c r="M167" i="8"/>
  <c r="N167" i="8"/>
  <c r="O167" i="8"/>
  <c r="L168" i="8"/>
  <c r="M168" i="8"/>
  <c r="N168" i="8"/>
  <c r="O168" i="8"/>
  <c r="L169" i="8"/>
  <c r="M169" i="8"/>
  <c r="N169" i="8"/>
  <c r="O169" i="8"/>
  <c r="L170" i="8"/>
  <c r="M170" i="8"/>
  <c r="N170" i="8"/>
  <c r="O170" i="8"/>
  <c r="L171" i="8"/>
  <c r="M171" i="8"/>
  <c r="N171" i="8"/>
  <c r="O171" i="8"/>
  <c r="L172" i="8"/>
  <c r="M172" i="8"/>
  <c r="N172" i="8"/>
  <c r="O172" i="8"/>
  <c r="L173" i="8"/>
  <c r="M173" i="8"/>
  <c r="N173" i="8"/>
  <c r="O173" i="8"/>
  <c r="L174" i="8"/>
  <c r="M174" i="8"/>
  <c r="N174" i="8"/>
  <c r="O174" i="8"/>
  <c r="L175" i="8"/>
  <c r="M175" i="8"/>
  <c r="N175" i="8"/>
  <c r="O175" i="8"/>
  <c r="L176" i="8"/>
  <c r="M176" i="8"/>
  <c r="N176" i="8"/>
  <c r="O176" i="8"/>
  <c r="L177" i="8"/>
  <c r="M177" i="8"/>
  <c r="N177" i="8"/>
  <c r="O177" i="8"/>
  <c r="L178" i="8"/>
  <c r="M178" i="8"/>
  <c r="N178" i="8"/>
  <c r="O178" i="8"/>
  <c r="L179" i="8"/>
  <c r="M179" i="8"/>
  <c r="N179" i="8"/>
  <c r="O179" i="8"/>
  <c r="L180" i="8"/>
  <c r="M180" i="8"/>
  <c r="N180" i="8"/>
  <c r="O180" i="8"/>
  <c r="L181" i="8"/>
  <c r="M181" i="8"/>
  <c r="N181" i="8"/>
  <c r="O181" i="8"/>
  <c r="L114" i="8"/>
  <c r="M114" i="8"/>
  <c r="N114" i="8"/>
  <c r="O114" i="8"/>
  <c r="L115" i="8"/>
  <c r="M115" i="8"/>
  <c r="N115" i="8"/>
  <c r="O115" i="8"/>
  <c r="L116" i="8"/>
  <c r="M116" i="8"/>
  <c r="N116" i="8"/>
  <c r="O116" i="8"/>
  <c r="L117" i="8"/>
  <c r="M117" i="8"/>
  <c r="N117" i="8"/>
  <c r="O117" i="8"/>
  <c r="L118" i="8"/>
  <c r="M118" i="8"/>
  <c r="N118" i="8"/>
  <c r="O118" i="8"/>
  <c r="L119" i="8"/>
  <c r="M119" i="8"/>
  <c r="N119" i="8"/>
  <c r="O119" i="8"/>
  <c r="L120" i="8"/>
  <c r="M120" i="8"/>
  <c r="N120" i="8"/>
  <c r="O120" i="8"/>
  <c r="L121" i="8"/>
  <c r="M121" i="8"/>
  <c r="N121" i="8"/>
  <c r="O121" i="8"/>
  <c r="L122" i="8"/>
  <c r="M122" i="8"/>
  <c r="N122" i="8"/>
  <c r="O122" i="8"/>
  <c r="L123" i="8"/>
  <c r="M123" i="8"/>
  <c r="N123" i="8"/>
  <c r="O123" i="8"/>
  <c r="L124" i="8"/>
  <c r="M124" i="8"/>
  <c r="N124" i="8"/>
  <c r="O124" i="8"/>
  <c r="L125" i="8"/>
  <c r="M125" i="8"/>
  <c r="N125" i="8"/>
  <c r="O125" i="8"/>
  <c r="L126" i="8"/>
  <c r="M126" i="8"/>
  <c r="N126" i="8"/>
  <c r="O126" i="8"/>
  <c r="L127" i="8"/>
  <c r="M127" i="8"/>
  <c r="N127" i="8"/>
  <c r="O127" i="8"/>
  <c r="L128" i="8"/>
  <c r="M128" i="8"/>
  <c r="N128" i="8"/>
  <c r="O128" i="8"/>
  <c r="L129" i="8"/>
  <c r="M129" i="8"/>
  <c r="N129" i="8"/>
  <c r="O129" i="8"/>
  <c r="L130" i="8"/>
  <c r="M130" i="8"/>
  <c r="N130" i="8"/>
  <c r="O130" i="8"/>
  <c r="L131" i="8"/>
  <c r="M131" i="8"/>
  <c r="N131" i="8"/>
  <c r="O131" i="8"/>
  <c r="L132" i="8"/>
  <c r="M132" i="8"/>
  <c r="N132" i="8"/>
  <c r="O132" i="8"/>
  <c r="L133" i="8"/>
  <c r="M133" i="8"/>
  <c r="N133" i="8"/>
  <c r="O133" i="8"/>
  <c r="L134" i="8"/>
  <c r="M134" i="8"/>
  <c r="N134" i="8"/>
  <c r="O134" i="8"/>
  <c r="L135" i="8"/>
  <c r="M135" i="8"/>
  <c r="N135" i="8"/>
  <c r="O135" i="8"/>
  <c r="L136" i="8"/>
  <c r="M136" i="8"/>
  <c r="N136" i="8"/>
  <c r="O136" i="8"/>
  <c r="L137" i="8"/>
  <c r="M137" i="8"/>
  <c r="N137" i="8"/>
  <c r="O137" i="8"/>
  <c r="L138" i="8"/>
  <c r="M138" i="8"/>
  <c r="N138" i="8"/>
  <c r="O138" i="8"/>
  <c r="L139" i="8"/>
  <c r="M139" i="8"/>
  <c r="N139" i="8"/>
  <c r="O139" i="8"/>
  <c r="L140" i="8"/>
  <c r="M140" i="8"/>
  <c r="N140" i="8"/>
  <c r="O140" i="8"/>
  <c r="L141" i="8"/>
  <c r="M141" i="8"/>
  <c r="N141" i="8"/>
  <c r="O141" i="8"/>
  <c r="L142" i="8"/>
  <c r="M142" i="8"/>
  <c r="N142" i="8"/>
  <c r="O142" i="8"/>
  <c r="L143" i="8"/>
  <c r="M143" i="8"/>
  <c r="N143" i="8"/>
  <c r="O143" i="8"/>
  <c r="L144" i="8"/>
  <c r="M144" i="8"/>
  <c r="N144" i="8"/>
  <c r="O144" i="8"/>
  <c r="L145" i="8"/>
  <c r="M145" i="8"/>
  <c r="N145" i="8"/>
  <c r="O145" i="8"/>
  <c r="O149" i="8"/>
  <c r="N149" i="8"/>
  <c r="M149" i="8"/>
  <c r="L149" i="8"/>
  <c r="O113" i="8"/>
  <c r="N113" i="8"/>
  <c r="M113" i="8"/>
  <c r="L113" i="8"/>
  <c r="L95" i="8"/>
  <c r="M95" i="8"/>
  <c r="N95" i="8"/>
  <c r="O95" i="8"/>
  <c r="L96" i="8"/>
  <c r="M96" i="8"/>
  <c r="N96" i="8"/>
  <c r="O96" i="8"/>
  <c r="L97" i="8"/>
  <c r="M97" i="8"/>
  <c r="N97" i="8"/>
  <c r="O97" i="8"/>
  <c r="L98" i="8"/>
  <c r="M98" i="8"/>
  <c r="N98" i="8"/>
  <c r="O98" i="8"/>
  <c r="L99" i="8"/>
  <c r="M99" i="8"/>
  <c r="N99" i="8"/>
  <c r="O99" i="8"/>
  <c r="L100" i="8"/>
  <c r="M100" i="8"/>
  <c r="N100" i="8"/>
  <c r="O100" i="8"/>
  <c r="L101" i="8"/>
  <c r="M101" i="8"/>
  <c r="N101" i="8"/>
  <c r="O101" i="8"/>
  <c r="L102" i="8"/>
  <c r="M102" i="8"/>
  <c r="N102" i="8"/>
  <c r="O102" i="8"/>
  <c r="L103" i="8"/>
  <c r="M103" i="8"/>
  <c r="N103" i="8"/>
  <c r="O103" i="8"/>
  <c r="L104" i="8"/>
  <c r="M104" i="8"/>
  <c r="N104" i="8"/>
  <c r="O104" i="8"/>
  <c r="L105" i="8"/>
  <c r="M105" i="8"/>
  <c r="N105" i="8"/>
  <c r="O105" i="8"/>
  <c r="L106" i="8"/>
  <c r="M106" i="8"/>
  <c r="N106" i="8"/>
  <c r="O106" i="8"/>
  <c r="L107" i="8"/>
  <c r="M107" i="8"/>
  <c r="N107" i="8"/>
  <c r="O107" i="8"/>
  <c r="L108" i="8"/>
  <c r="M108" i="8"/>
  <c r="N108" i="8"/>
  <c r="O108" i="8"/>
  <c r="L109" i="8"/>
  <c r="M109" i="8"/>
  <c r="N109" i="8"/>
  <c r="O109" i="8"/>
  <c r="O94" i="8"/>
  <c r="N94" i="8"/>
  <c r="M94" i="8"/>
  <c r="L94" i="8"/>
  <c r="L72" i="8"/>
  <c r="M72" i="8"/>
  <c r="N72" i="8"/>
  <c r="O72" i="8"/>
  <c r="L73" i="8"/>
  <c r="M73" i="8"/>
  <c r="N73" i="8"/>
  <c r="O73" i="8"/>
  <c r="L74" i="8"/>
  <c r="M74" i="8"/>
  <c r="N74" i="8"/>
  <c r="O74" i="8"/>
  <c r="L75" i="8"/>
  <c r="M75" i="8"/>
  <c r="N75" i="8"/>
  <c r="O75" i="8"/>
  <c r="L76" i="8"/>
  <c r="M76" i="8"/>
  <c r="N76" i="8"/>
  <c r="O76" i="8"/>
  <c r="L77" i="8"/>
  <c r="M77" i="8"/>
  <c r="N77" i="8"/>
  <c r="O77" i="8"/>
  <c r="L78" i="8"/>
  <c r="M78" i="8"/>
  <c r="N78" i="8"/>
  <c r="O78" i="8"/>
  <c r="L79" i="8"/>
  <c r="M79" i="8"/>
  <c r="N79" i="8"/>
  <c r="O79" i="8"/>
  <c r="L80" i="8"/>
  <c r="M80" i="8"/>
  <c r="N80" i="8"/>
  <c r="O80" i="8"/>
  <c r="L81" i="8"/>
  <c r="M81" i="8"/>
  <c r="N81" i="8"/>
  <c r="O81" i="8"/>
  <c r="L82" i="8"/>
  <c r="M82" i="8"/>
  <c r="N82" i="8"/>
  <c r="O82" i="8"/>
  <c r="L83" i="8"/>
  <c r="M83" i="8"/>
  <c r="N83" i="8"/>
  <c r="O83" i="8"/>
  <c r="L84" i="8"/>
  <c r="M84" i="8"/>
  <c r="N84" i="8"/>
  <c r="O84" i="8"/>
  <c r="L85" i="8"/>
  <c r="M85" i="8"/>
  <c r="N85" i="8"/>
  <c r="O85" i="8"/>
  <c r="L86" i="8"/>
  <c r="M86" i="8"/>
  <c r="N86" i="8"/>
  <c r="O86" i="8"/>
  <c r="L87" i="8"/>
  <c r="M87" i="8"/>
  <c r="N87" i="8"/>
  <c r="O87" i="8"/>
  <c r="L88" i="8"/>
  <c r="M88" i="8"/>
  <c r="N88" i="8"/>
  <c r="O88" i="8"/>
  <c r="L89" i="8"/>
  <c r="M89" i="8"/>
  <c r="N89" i="8"/>
  <c r="O89" i="8"/>
  <c r="L90" i="8"/>
  <c r="M90" i="8"/>
  <c r="N90" i="8"/>
  <c r="O90" i="8"/>
  <c r="O71" i="8"/>
  <c r="N71" i="8"/>
  <c r="M71" i="8"/>
  <c r="L71" i="8"/>
  <c r="L5" i="8"/>
  <c r="M5" i="8"/>
  <c r="N5" i="8"/>
  <c r="O5" i="8"/>
  <c r="L6" i="8"/>
  <c r="M6" i="8"/>
  <c r="N6" i="8"/>
  <c r="O6" i="8"/>
  <c r="L7" i="8"/>
  <c r="M7" i="8"/>
  <c r="N7" i="8"/>
  <c r="O7" i="8"/>
  <c r="L8" i="8"/>
  <c r="M8" i="8"/>
  <c r="N8" i="8"/>
  <c r="O8" i="8"/>
  <c r="L9" i="8"/>
  <c r="M9" i="8"/>
  <c r="N9" i="8"/>
  <c r="O9" i="8"/>
  <c r="L10" i="8"/>
  <c r="M10" i="8"/>
  <c r="N10" i="8"/>
  <c r="O10" i="8"/>
  <c r="L11" i="8"/>
  <c r="M11" i="8"/>
  <c r="N11" i="8"/>
  <c r="O11" i="8"/>
  <c r="L12" i="8"/>
  <c r="M12" i="8"/>
  <c r="N12" i="8"/>
  <c r="O12" i="8"/>
  <c r="L13" i="8"/>
  <c r="M13" i="8"/>
  <c r="N13" i="8"/>
  <c r="O13" i="8"/>
  <c r="L14" i="8"/>
  <c r="M14" i="8"/>
  <c r="N14" i="8"/>
  <c r="O14" i="8"/>
  <c r="L15" i="8"/>
  <c r="M15" i="8"/>
  <c r="N15" i="8"/>
  <c r="O15" i="8"/>
  <c r="L16" i="8"/>
  <c r="M16" i="8"/>
  <c r="N16" i="8"/>
  <c r="O16" i="8"/>
  <c r="L17" i="8"/>
  <c r="M17" i="8"/>
  <c r="N17" i="8"/>
  <c r="O17" i="8"/>
  <c r="L18" i="8"/>
  <c r="M18" i="8"/>
  <c r="N18" i="8"/>
  <c r="O18" i="8"/>
  <c r="L19" i="8"/>
  <c r="M19" i="8"/>
  <c r="N19" i="8"/>
  <c r="O19" i="8"/>
  <c r="L20" i="8"/>
  <c r="M20" i="8"/>
  <c r="N20" i="8"/>
  <c r="O20" i="8"/>
  <c r="L21" i="8"/>
  <c r="M21" i="8"/>
  <c r="N21" i="8"/>
  <c r="O21" i="8"/>
  <c r="L22" i="8"/>
  <c r="M22" i="8"/>
  <c r="N22" i="8"/>
  <c r="O22" i="8"/>
  <c r="L23" i="8"/>
  <c r="M23" i="8"/>
  <c r="N23" i="8"/>
  <c r="O23" i="8"/>
  <c r="L24" i="8"/>
  <c r="M24" i="8"/>
  <c r="N24" i="8"/>
  <c r="O24" i="8"/>
  <c r="L25" i="8"/>
  <c r="M25" i="8"/>
  <c r="N25" i="8"/>
  <c r="O25" i="8"/>
  <c r="L26" i="8"/>
  <c r="M26" i="8"/>
  <c r="N26" i="8"/>
  <c r="O26" i="8"/>
  <c r="L27" i="8"/>
  <c r="M27" i="8"/>
  <c r="N27" i="8"/>
  <c r="O27" i="8"/>
  <c r="L28" i="8"/>
  <c r="M28" i="8"/>
  <c r="N28" i="8"/>
  <c r="O28" i="8"/>
  <c r="L29" i="8"/>
  <c r="M29" i="8"/>
  <c r="N29" i="8"/>
  <c r="O29" i="8"/>
  <c r="L30" i="8"/>
  <c r="M30" i="8"/>
  <c r="N30" i="8"/>
  <c r="O30" i="8"/>
  <c r="L31" i="8"/>
  <c r="M31" i="8"/>
  <c r="N31" i="8"/>
  <c r="O31" i="8"/>
  <c r="L32" i="8"/>
  <c r="M32" i="8"/>
  <c r="N32" i="8"/>
  <c r="O32" i="8"/>
  <c r="L33" i="8"/>
  <c r="M33" i="8"/>
  <c r="N33" i="8"/>
  <c r="O33" i="8"/>
  <c r="L34" i="8"/>
  <c r="M34" i="8"/>
  <c r="N34" i="8"/>
  <c r="O34" i="8"/>
  <c r="L35" i="8"/>
  <c r="M35" i="8"/>
  <c r="N35" i="8"/>
  <c r="O35" i="8"/>
  <c r="L36" i="8"/>
  <c r="M36" i="8"/>
  <c r="N36" i="8"/>
  <c r="O36" i="8"/>
  <c r="L37" i="8"/>
  <c r="M37" i="8"/>
  <c r="N37" i="8"/>
  <c r="O37" i="8"/>
  <c r="L38" i="8"/>
  <c r="M38" i="8"/>
  <c r="N38" i="8"/>
  <c r="O38" i="8"/>
  <c r="L39" i="8"/>
  <c r="M39" i="8"/>
  <c r="N39" i="8"/>
  <c r="O39" i="8"/>
  <c r="L40" i="8"/>
  <c r="M40" i="8"/>
  <c r="N40" i="8"/>
  <c r="O40" i="8"/>
  <c r="L41" i="8"/>
  <c r="M41" i="8"/>
  <c r="N41" i="8"/>
  <c r="O41" i="8"/>
  <c r="L42" i="8"/>
  <c r="M42" i="8"/>
  <c r="N42" i="8"/>
  <c r="O42" i="8"/>
  <c r="L43" i="8"/>
  <c r="M43" i="8"/>
  <c r="N43" i="8"/>
  <c r="O43" i="8"/>
  <c r="L44" i="8"/>
  <c r="M44" i="8"/>
  <c r="N44" i="8"/>
  <c r="O44" i="8"/>
  <c r="L45" i="8"/>
  <c r="M45" i="8"/>
  <c r="N45" i="8"/>
  <c r="O45" i="8"/>
  <c r="L46" i="8"/>
  <c r="M46" i="8"/>
  <c r="N46" i="8"/>
  <c r="O46" i="8"/>
  <c r="L47" i="8"/>
  <c r="M47" i="8"/>
  <c r="N47" i="8"/>
  <c r="O47" i="8"/>
  <c r="L48" i="8"/>
  <c r="M48" i="8"/>
  <c r="N48" i="8"/>
  <c r="O48" i="8"/>
  <c r="L49" i="8"/>
  <c r="M49" i="8"/>
  <c r="N49" i="8"/>
  <c r="O49" i="8"/>
  <c r="L50" i="8"/>
  <c r="M50" i="8"/>
  <c r="N50" i="8"/>
  <c r="O50" i="8"/>
  <c r="L51" i="8"/>
  <c r="M51" i="8"/>
  <c r="N51" i="8"/>
  <c r="O51" i="8"/>
  <c r="L52" i="8"/>
  <c r="M52" i="8"/>
  <c r="N52" i="8"/>
  <c r="O52" i="8"/>
  <c r="L53" i="8"/>
  <c r="M53" i="8"/>
  <c r="N53" i="8"/>
  <c r="O53" i="8"/>
  <c r="L54" i="8"/>
  <c r="M54" i="8"/>
  <c r="N54" i="8"/>
  <c r="O54" i="8"/>
  <c r="L55" i="8"/>
  <c r="M55" i="8"/>
  <c r="N55" i="8"/>
  <c r="O55" i="8"/>
  <c r="L56" i="8"/>
  <c r="M56" i="8"/>
  <c r="N56" i="8"/>
  <c r="O56" i="8"/>
  <c r="L57" i="8"/>
  <c r="M57" i="8"/>
  <c r="N57" i="8"/>
  <c r="O57" i="8"/>
  <c r="L58" i="8"/>
  <c r="M58" i="8"/>
  <c r="N58" i="8"/>
  <c r="O58" i="8"/>
  <c r="L59" i="8"/>
  <c r="M59" i="8"/>
  <c r="N59" i="8"/>
  <c r="O59" i="8"/>
  <c r="L60" i="8"/>
  <c r="M60" i="8"/>
  <c r="N60" i="8"/>
  <c r="O60" i="8"/>
  <c r="L61" i="8"/>
  <c r="M61" i="8"/>
  <c r="N61" i="8"/>
  <c r="O61" i="8"/>
  <c r="L62" i="8"/>
  <c r="M62" i="8"/>
  <c r="N62" i="8"/>
  <c r="O62" i="8"/>
  <c r="L63" i="8"/>
  <c r="M63" i="8"/>
  <c r="N63" i="8"/>
  <c r="O63" i="8"/>
  <c r="L64" i="8"/>
  <c r="M64" i="8"/>
  <c r="N64" i="8"/>
  <c r="O64" i="8"/>
  <c r="L65" i="8"/>
  <c r="M65" i="8"/>
  <c r="N65" i="8"/>
  <c r="O65" i="8"/>
  <c r="L66" i="8"/>
  <c r="M66" i="8"/>
  <c r="N66" i="8"/>
  <c r="O66" i="8"/>
  <c r="L67" i="8"/>
  <c r="M67" i="8"/>
  <c r="N67" i="8"/>
  <c r="O67" i="8"/>
  <c r="O4" i="8"/>
  <c r="N4" i="8"/>
  <c r="M4" i="8"/>
  <c r="L4" i="8"/>
  <c r="M37" i="2" l="1"/>
  <c r="K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37" i="2" l="1"/>
  <c r="GG10" i="1" l="1"/>
  <c r="GG9" i="1"/>
  <c r="GG8" i="1"/>
  <c r="GG7" i="1"/>
  <c r="GG6" i="1"/>
  <c r="GG11" i="1"/>
  <c r="GG12" i="1"/>
  <c r="GG13" i="1"/>
  <c r="GG14" i="1"/>
  <c r="GG15" i="1"/>
  <c r="GG16" i="1"/>
  <c r="GG17" i="1"/>
  <c r="GG18" i="1"/>
  <c r="GG19" i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R10" i="2" l="1"/>
  <c r="R9" i="2"/>
  <c r="R8" i="2"/>
  <c r="R7" i="2"/>
  <c r="R6" i="2"/>
  <c r="O10" i="2"/>
  <c r="O9" i="2"/>
  <c r="O8" i="2"/>
  <c r="O7" i="2"/>
  <c r="O6" i="2"/>
  <c r="B91" i="42" l="1"/>
  <c r="B78" i="42"/>
  <c r="D50" i="3" l="1"/>
  <c r="F50" i="3" l="1"/>
  <c r="GL14" i="1" l="1"/>
  <c r="GJ14" i="1" l="1"/>
  <c r="GJ15" i="1"/>
  <c r="GJ16" i="1"/>
  <c r="GJ17" i="1"/>
  <c r="GJ18" i="1"/>
  <c r="GJ19" i="1"/>
  <c r="GJ20" i="1"/>
  <c r="GJ21" i="1"/>
  <c r="GJ22" i="1"/>
  <c r="GJ23" i="1"/>
  <c r="GJ24" i="1"/>
  <c r="GJ25" i="1"/>
  <c r="GJ26" i="1"/>
  <c r="GJ27" i="1"/>
  <c r="GJ28" i="1"/>
  <c r="GJ29" i="1"/>
  <c r="GJ30" i="1"/>
  <c r="GJ31" i="1"/>
  <c r="GJ32" i="1"/>
  <c r="GJ33" i="1"/>
  <c r="GJ34" i="1"/>
  <c r="GJ35" i="1"/>
  <c r="GJ36" i="1"/>
  <c r="GJ7" i="1"/>
  <c r="GJ8" i="1"/>
  <c r="GJ9" i="1"/>
  <c r="GJ10" i="1"/>
  <c r="GJ11" i="1"/>
  <c r="GJ12" i="1"/>
  <c r="GJ13" i="1"/>
  <c r="GJ6" i="1"/>
  <c r="GH37" i="1"/>
  <c r="GF37" i="1"/>
  <c r="GG37" i="1" l="1"/>
  <c r="FO10" i="1" l="1"/>
  <c r="FO9" i="1"/>
  <c r="FO8" i="1"/>
  <c r="FO7" i="1"/>
  <c r="FO6" i="1"/>
  <c r="F8" i="2" l="1"/>
  <c r="C8" i="2"/>
  <c r="F7" i="2"/>
  <c r="C7" i="2"/>
  <c r="P37" i="2" l="1"/>
  <c r="N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37" i="2" l="1"/>
  <c r="AZ40" i="7" l="1"/>
  <c r="AZ41" i="7" s="1"/>
  <c r="AZ39" i="7"/>
  <c r="AZ61" i="7" s="1"/>
  <c r="AS28" i="16" l="1"/>
  <c r="BA40" i="7" l="1"/>
  <c r="BA41" i="7" s="1"/>
  <c r="BA39" i="7"/>
  <c r="BA61" i="7" s="1"/>
  <c r="AM36" i="16" l="1"/>
  <c r="AM35" i="16"/>
  <c r="AM34" i="16"/>
  <c r="AM33" i="16"/>
  <c r="AM32" i="16"/>
  <c r="AM31" i="16"/>
  <c r="AM30" i="16"/>
  <c r="AM29" i="16"/>
  <c r="AM28" i="16"/>
  <c r="AM27" i="16"/>
  <c r="AM26" i="16"/>
  <c r="AM25" i="16"/>
  <c r="AM24" i="16"/>
  <c r="AM23" i="16"/>
  <c r="AM22" i="16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M6" i="16"/>
  <c r="P33" i="17"/>
  <c r="AT37" i="16" l="1"/>
  <c r="AR37" i="16"/>
  <c r="AQ37" i="16"/>
  <c r="AO37" i="16"/>
  <c r="AS36" i="16"/>
  <c r="AP36" i="16"/>
  <c r="AS35" i="16"/>
  <c r="AP35" i="16"/>
  <c r="AS34" i="16"/>
  <c r="AP34" i="16"/>
  <c r="AS33" i="16"/>
  <c r="AP33" i="16"/>
  <c r="AS32" i="16"/>
  <c r="AP32" i="16"/>
  <c r="AS31" i="16"/>
  <c r="AP31" i="16"/>
  <c r="AS30" i="16"/>
  <c r="AP30" i="16"/>
  <c r="AS29" i="16"/>
  <c r="AP29" i="16"/>
  <c r="AP28" i="16"/>
  <c r="AS27" i="16"/>
  <c r="AP27" i="16"/>
  <c r="AS26" i="16"/>
  <c r="AP26" i="16"/>
  <c r="AS25" i="16"/>
  <c r="AP25" i="16"/>
  <c r="AS24" i="16"/>
  <c r="AP24" i="16"/>
  <c r="AS23" i="16"/>
  <c r="AP23" i="16"/>
  <c r="AS22" i="16"/>
  <c r="AP22" i="16"/>
  <c r="AS21" i="16"/>
  <c r="AP21" i="16"/>
  <c r="AS20" i="16"/>
  <c r="AP20" i="16"/>
  <c r="AS19" i="16"/>
  <c r="AP19" i="16"/>
  <c r="AS18" i="16"/>
  <c r="AP18" i="16"/>
  <c r="AS17" i="16"/>
  <c r="AP17" i="16"/>
  <c r="AS16" i="16"/>
  <c r="AP16" i="16"/>
  <c r="AS15" i="16"/>
  <c r="AP15" i="16"/>
  <c r="AS14" i="16"/>
  <c r="AP14" i="16"/>
  <c r="AS13" i="16"/>
  <c r="AP13" i="16"/>
  <c r="AS12" i="16"/>
  <c r="AP12" i="16"/>
  <c r="AS11" i="16"/>
  <c r="AP11" i="16"/>
  <c r="AS10" i="16"/>
  <c r="AP10" i="16"/>
  <c r="AS9" i="16"/>
  <c r="AP9" i="16"/>
  <c r="AS8" i="16"/>
  <c r="AP8" i="16"/>
  <c r="AS7" i="16"/>
  <c r="AP7" i="16"/>
  <c r="AS6" i="16"/>
  <c r="AP6" i="16"/>
  <c r="AS37" i="16" l="1"/>
  <c r="AP37" i="16"/>
  <c r="V37" i="2" l="1"/>
  <c r="T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37" i="2" l="1"/>
  <c r="AV6" i="16"/>
  <c r="AY6" i="16"/>
  <c r="BB6" i="16"/>
  <c r="AV7" i="16"/>
  <c r="AY7" i="16"/>
  <c r="BB7" i="16"/>
  <c r="AV8" i="16"/>
  <c r="AY8" i="16"/>
  <c r="BB8" i="16"/>
  <c r="AV9" i="16"/>
  <c r="AY9" i="16"/>
  <c r="BB9" i="16"/>
  <c r="AV10" i="16"/>
  <c r="AY10" i="16"/>
  <c r="BB10" i="16"/>
  <c r="AV11" i="16"/>
  <c r="AY11" i="16"/>
  <c r="BB11" i="16"/>
  <c r="AV12" i="16"/>
  <c r="AY12" i="16"/>
  <c r="BB12" i="16"/>
  <c r="AV13" i="16"/>
  <c r="AY13" i="16"/>
  <c r="BB13" i="16"/>
  <c r="AV14" i="16"/>
  <c r="AY14" i="16"/>
  <c r="BB14" i="16"/>
  <c r="AV15" i="16"/>
  <c r="AY15" i="16"/>
  <c r="BB15" i="16"/>
  <c r="AV16" i="16"/>
  <c r="AY16" i="16"/>
  <c r="BB16" i="16"/>
  <c r="AV17" i="16"/>
  <c r="AY17" i="16"/>
  <c r="BB17" i="16"/>
  <c r="AV18" i="16"/>
  <c r="AY18" i="16"/>
  <c r="BB18" i="16"/>
  <c r="AV19" i="16"/>
  <c r="AY19" i="16"/>
  <c r="BB19" i="16"/>
  <c r="AV20" i="16"/>
  <c r="AY20" i="16"/>
  <c r="BB20" i="16"/>
  <c r="AV21" i="16"/>
  <c r="AY21" i="16"/>
  <c r="BB21" i="16"/>
  <c r="AV22" i="16"/>
  <c r="AY22" i="16"/>
  <c r="BB22" i="16"/>
  <c r="AV23" i="16"/>
  <c r="AY23" i="16"/>
  <c r="BB23" i="16"/>
  <c r="AV24" i="16"/>
  <c r="AY24" i="16"/>
  <c r="BB24" i="16"/>
  <c r="AV25" i="16"/>
  <c r="AY25" i="16"/>
  <c r="BB25" i="16"/>
  <c r="AV26" i="16"/>
  <c r="AY26" i="16"/>
  <c r="BB26" i="16"/>
  <c r="AV27" i="16"/>
  <c r="AY27" i="16"/>
  <c r="BB27" i="16"/>
  <c r="AV28" i="16"/>
  <c r="AY28" i="16"/>
  <c r="BB28" i="16"/>
  <c r="AV29" i="16"/>
  <c r="AY29" i="16"/>
  <c r="BB29" i="16"/>
  <c r="AV30" i="16"/>
  <c r="AY30" i="16"/>
  <c r="BB30" i="16"/>
  <c r="AV31" i="16"/>
  <c r="AY31" i="16"/>
  <c r="BB31" i="16"/>
  <c r="AV32" i="16"/>
  <c r="AY32" i="16"/>
  <c r="BB32" i="16"/>
  <c r="AV33" i="16"/>
  <c r="AY33" i="16"/>
  <c r="BB33" i="16"/>
  <c r="AV34" i="16"/>
  <c r="AY34" i="16"/>
  <c r="BB34" i="16"/>
  <c r="AV35" i="16"/>
  <c r="AY35" i="16"/>
  <c r="BB35" i="16"/>
  <c r="AV36" i="16"/>
  <c r="AY36" i="16"/>
  <c r="BB36" i="16"/>
  <c r="AU37" i="16"/>
  <c r="AW37" i="16"/>
  <c r="AX37" i="16"/>
  <c r="AZ37" i="16"/>
  <c r="BA37" i="16"/>
  <c r="BC37" i="16"/>
  <c r="AY37" i="16" l="1"/>
  <c r="AV37" i="16"/>
  <c r="BB37" i="16"/>
  <c r="D46" i="3"/>
  <c r="F46" i="3" l="1"/>
  <c r="F9" i="2" l="1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E37" i="2"/>
  <c r="G37" i="2"/>
  <c r="F37" i="2" l="1"/>
  <c r="AL37" i="16" l="1"/>
  <c r="AN37" i="16"/>
  <c r="AM37" i="16" l="1"/>
  <c r="V8" i="7" l="1" a="1"/>
  <c r="V8" i="7" s="1"/>
  <c r="FN37" i="1" l="1"/>
  <c r="FP37" i="1"/>
  <c r="FO37" i="1" l="1"/>
  <c r="C10" i="2" l="1"/>
  <c r="S37" i="2" l="1"/>
  <c r="Q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37" i="2" l="1"/>
  <c r="D37" i="1" l="1"/>
  <c r="B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37" i="1" l="1"/>
  <c r="B65" i="42" l="1"/>
  <c r="B52" i="42"/>
  <c r="B39" i="42"/>
  <c r="B26" i="42"/>
  <c r="B13" i="42"/>
  <c r="V20" i="7" l="1"/>
  <c r="AB60" i="16" l="1"/>
  <c r="AC60" i="16"/>
  <c r="AC41" i="16" s="1"/>
  <c r="AD60" i="16"/>
  <c r="AE60" i="16"/>
  <c r="AF60" i="16"/>
  <c r="AF41" i="16" s="1"/>
  <c r="AG60" i="16"/>
  <c r="AH60" i="16"/>
  <c r="AI60" i="16"/>
  <c r="AI41" i="16" s="1"/>
  <c r="AF61" i="16" l="1"/>
  <c r="AC61" i="16"/>
  <c r="V9" i="7" l="1"/>
  <c r="V10" i="7"/>
  <c r="F10" i="1" l="1"/>
  <c r="F11" i="1"/>
  <c r="D48" i="3" l="1"/>
  <c r="F48" i="3" l="1"/>
  <c r="BB25" i="7" l="1"/>
  <c r="BC25" i="7" a="1"/>
  <c r="BC25" i="7" s="1"/>
  <c r="BB26" i="7"/>
  <c r="BC26" i="7" a="1"/>
  <c r="BC26" i="7" s="1"/>
  <c r="BB27" i="7"/>
  <c r="BC27" i="7" a="1"/>
  <c r="BC27" i="7" s="1"/>
  <c r="BQ36" i="16" l="1"/>
  <c r="BQ35" i="16"/>
  <c r="BQ34" i="16"/>
  <c r="BQ33" i="16"/>
  <c r="BQ32" i="16"/>
  <c r="BQ31" i="16"/>
  <c r="BQ30" i="16"/>
  <c r="BQ29" i="16"/>
  <c r="BQ28" i="16"/>
  <c r="BQ27" i="16"/>
  <c r="BQ26" i="16"/>
  <c r="BQ25" i="16"/>
  <c r="BQ24" i="16"/>
  <c r="BQ23" i="16"/>
  <c r="BQ22" i="16"/>
  <c r="BQ21" i="16"/>
  <c r="BQ20" i="16"/>
  <c r="BN36" i="16"/>
  <c r="BN35" i="16"/>
  <c r="BN34" i="16"/>
  <c r="BN33" i="16"/>
  <c r="BN32" i="16"/>
  <c r="BN31" i="16"/>
  <c r="BN30" i="16"/>
  <c r="BN29" i="16"/>
  <c r="BN28" i="16"/>
  <c r="BN27" i="16"/>
  <c r="BN26" i="16"/>
  <c r="BN25" i="16"/>
  <c r="BN24" i="16"/>
  <c r="BN23" i="16"/>
  <c r="BN22" i="16"/>
  <c r="BN21" i="16"/>
  <c r="BN20" i="16"/>
  <c r="BK36" i="16"/>
  <c r="BK35" i="16"/>
  <c r="BK34" i="16"/>
  <c r="BK33" i="16"/>
  <c r="BK32" i="16"/>
  <c r="BK31" i="16"/>
  <c r="BK30" i="16"/>
  <c r="BK29" i="16"/>
  <c r="BK28" i="16"/>
  <c r="BK27" i="16"/>
  <c r="BK26" i="16"/>
  <c r="BK25" i="16"/>
  <c r="BK24" i="16"/>
  <c r="BK23" i="16"/>
  <c r="BK22" i="16"/>
  <c r="BK21" i="16"/>
  <c r="BK20" i="16"/>
  <c r="BQ19" i="16" l="1"/>
  <c r="BQ18" i="16"/>
  <c r="BQ17" i="16"/>
  <c r="BQ16" i="16"/>
  <c r="BQ15" i="16"/>
  <c r="BQ14" i="16"/>
  <c r="BQ13" i="16"/>
  <c r="BQ12" i="16"/>
  <c r="BQ11" i="16"/>
  <c r="BQ10" i="16"/>
  <c r="BQ9" i="16"/>
  <c r="BN19" i="16"/>
  <c r="BN18" i="16"/>
  <c r="BN17" i="16"/>
  <c r="BN16" i="16"/>
  <c r="BN15" i="16"/>
  <c r="BN14" i="16"/>
  <c r="BN13" i="16"/>
  <c r="BN12" i="16"/>
  <c r="BN11" i="16"/>
  <c r="BN10" i="16"/>
  <c r="BN9" i="16"/>
  <c r="BK19" i="16"/>
  <c r="BK18" i="16"/>
  <c r="BK17" i="16"/>
  <c r="BK16" i="16"/>
  <c r="BK15" i="16"/>
  <c r="BK14" i="16"/>
  <c r="BK13" i="16"/>
  <c r="BK12" i="16"/>
  <c r="BK11" i="16"/>
  <c r="BK10" i="16"/>
  <c r="BK9" i="16"/>
  <c r="AB37" i="2" l="1"/>
  <c r="Z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37" i="2" l="1"/>
  <c r="Y37" i="2" l="1"/>
  <c r="W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37" i="2" l="1"/>
  <c r="V15" i="7" l="1"/>
  <c r="V16" i="7"/>
  <c r="C13" i="41" l="1"/>
  <c r="C7" i="41"/>
  <c r="C1" i="41"/>
  <c r="K181" i="8"/>
  <c r="I181" i="8"/>
  <c r="H181" i="8"/>
  <c r="C181" i="8"/>
  <c r="K180" i="8"/>
  <c r="I180" i="8"/>
  <c r="H180" i="8"/>
  <c r="C180" i="8"/>
  <c r="K179" i="8"/>
  <c r="I179" i="8"/>
  <c r="H179" i="8"/>
  <c r="C179" i="8"/>
  <c r="K178" i="8"/>
  <c r="I178" i="8"/>
  <c r="H178" i="8"/>
  <c r="C178" i="8"/>
  <c r="K177" i="8"/>
  <c r="I177" i="8"/>
  <c r="H177" i="8"/>
  <c r="C177" i="8"/>
  <c r="K176" i="8"/>
  <c r="I176" i="8"/>
  <c r="H176" i="8"/>
  <c r="C176" i="8"/>
  <c r="K175" i="8"/>
  <c r="I175" i="8"/>
  <c r="H175" i="8"/>
  <c r="C175" i="8"/>
  <c r="K174" i="8"/>
  <c r="I174" i="8"/>
  <c r="H174" i="8"/>
  <c r="C174" i="8"/>
  <c r="K173" i="8"/>
  <c r="I173" i="8"/>
  <c r="H173" i="8"/>
  <c r="C173" i="8"/>
  <c r="K172" i="8"/>
  <c r="I172" i="8"/>
  <c r="H172" i="8"/>
  <c r="C172" i="8"/>
  <c r="K171" i="8"/>
  <c r="I171" i="8"/>
  <c r="H171" i="8"/>
  <c r="C171" i="8"/>
  <c r="K170" i="8"/>
  <c r="I170" i="8"/>
  <c r="H170" i="8"/>
  <c r="C170" i="8"/>
  <c r="K169" i="8"/>
  <c r="I169" i="8"/>
  <c r="H169" i="8"/>
  <c r="C169" i="8"/>
  <c r="K168" i="8"/>
  <c r="I168" i="8"/>
  <c r="H168" i="8"/>
  <c r="C168" i="8"/>
  <c r="K167" i="8"/>
  <c r="I167" i="8"/>
  <c r="H167" i="8"/>
  <c r="C167" i="8"/>
  <c r="K166" i="8"/>
  <c r="I166" i="8"/>
  <c r="H166" i="8"/>
  <c r="C166" i="8"/>
  <c r="K165" i="8"/>
  <c r="I165" i="8"/>
  <c r="H165" i="8"/>
  <c r="C165" i="8"/>
  <c r="K164" i="8"/>
  <c r="I164" i="8"/>
  <c r="H164" i="8"/>
  <c r="C164" i="8"/>
  <c r="K163" i="8"/>
  <c r="I163" i="8"/>
  <c r="H163" i="8"/>
  <c r="C163" i="8"/>
  <c r="K162" i="8"/>
  <c r="I162" i="8"/>
  <c r="H162" i="8"/>
  <c r="C162" i="8"/>
  <c r="K161" i="8"/>
  <c r="I161" i="8"/>
  <c r="H161" i="8"/>
  <c r="C161" i="8"/>
  <c r="K160" i="8"/>
  <c r="I160" i="8"/>
  <c r="H160" i="8"/>
  <c r="C160" i="8"/>
  <c r="K159" i="8"/>
  <c r="I159" i="8"/>
  <c r="H159" i="8"/>
  <c r="C159" i="8"/>
  <c r="K158" i="8"/>
  <c r="I158" i="8"/>
  <c r="H158" i="8"/>
  <c r="C158" i="8"/>
  <c r="K157" i="8"/>
  <c r="I157" i="8"/>
  <c r="H157" i="8"/>
  <c r="C157" i="8"/>
  <c r="K156" i="8"/>
  <c r="I156" i="8"/>
  <c r="H156" i="8"/>
  <c r="C156" i="8"/>
  <c r="K155" i="8"/>
  <c r="I155" i="8"/>
  <c r="H155" i="8"/>
  <c r="C155" i="8"/>
  <c r="K154" i="8"/>
  <c r="I154" i="8"/>
  <c r="H154" i="8"/>
  <c r="C154" i="8"/>
  <c r="K153" i="8"/>
  <c r="I153" i="8"/>
  <c r="H153" i="8"/>
  <c r="C153" i="8"/>
  <c r="K152" i="8"/>
  <c r="I152" i="8"/>
  <c r="H152" i="8"/>
  <c r="C152" i="8"/>
  <c r="K151" i="8"/>
  <c r="I151" i="8"/>
  <c r="H151" i="8"/>
  <c r="C151" i="8"/>
  <c r="K150" i="8"/>
  <c r="I150" i="8"/>
  <c r="H150" i="8"/>
  <c r="C150" i="8"/>
  <c r="K149" i="8"/>
  <c r="I149" i="8"/>
  <c r="H149" i="8"/>
  <c r="C149" i="8"/>
  <c r="K148" i="8"/>
  <c r="I148" i="8"/>
  <c r="H148" i="8"/>
  <c r="G148" i="8"/>
  <c r="F148" i="8"/>
  <c r="E148" i="8"/>
  <c r="D148" i="8"/>
  <c r="C148" i="8"/>
  <c r="B148" i="8"/>
  <c r="A148" i="8"/>
  <c r="A147" i="8"/>
  <c r="K145" i="8"/>
  <c r="I145" i="8"/>
  <c r="H145" i="8"/>
  <c r="C145" i="8"/>
  <c r="K144" i="8"/>
  <c r="I144" i="8"/>
  <c r="H144" i="8"/>
  <c r="C144" i="8"/>
  <c r="K143" i="8"/>
  <c r="I143" i="8"/>
  <c r="H143" i="8"/>
  <c r="C143" i="8"/>
  <c r="K142" i="8"/>
  <c r="I142" i="8"/>
  <c r="H142" i="8"/>
  <c r="C142" i="8"/>
  <c r="K141" i="8"/>
  <c r="I141" i="8"/>
  <c r="H141" i="8"/>
  <c r="C141" i="8"/>
  <c r="K140" i="8"/>
  <c r="I140" i="8"/>
  <c r="H140" i="8"/>
  <c r="C140" i="8"/>
  <c r="K139" i="8"/>
  <c r="I139" i="8"/>
  <c r="H139" i="8"/>
  <c r="C139" i="8"/>
  <c r="K138" i="8"/>
  <c r="I138" i="8"/>
  <c r="H138" i="8"/>
  <c r="C138" i="8"/>
  <c r="K137" i="8"/>
  <c r="I137" i="8"/>
  <c r="H137" i="8"/>
  <c r="C137" i="8"/>
  <c r="K136" i="8"/>
  <c r="I136" i="8"/>
  <c r="H136" i="8"/>
  <c r="C136" i="8"/>
  <c r="K135" i="8"/>
  <c r="I135" i="8"/>
  <c r="H135" i="8"/>
  <c r="C135" i="8"/>
  <c r="K134" i="8"/>
  <c r="I134" i="8"/>
  <c r="H134" i="8"/>
  <c r="C134" i="8"/>
  <c r="K133" i="8"/>
  <c r="I133" i="8"/>
  <c r="H133" i="8"/>
  <c r="C133" i="8"/>
  <c r="K132" i="8"/>
  <c r="I132" i="8"/>
  <c r="H132" i="8"/>
  <c r="C132" i="8"/>
  <c r="K131" i="8"/>
  <c r="I131" i="8"/>
  <c r="H131" i="8"/>
  <c r="C131" i="8"/>
  <c r="K130" i="8"/>
  <c r="I130" i="8"/>
  <c r="H130" i="8"/>
  <c r="C130" i="8"/>
  <c r="K129" i="8"/>
  <c r="I129" i="8"/>
  <c r="H129" i="8"/>
  <c r="C129" i="8"/>
  <c r="K128" i="8"/>
  <c r="I128" i="8"/>
  <c r="H128" i="8"/>
  <c r="C128" i="8"/>
  <c r="K127" i="8"/>
  <c r="I127" i="8"/>
  <c r="H127" i="8"/>
  <c r="C127" i="8"/>
  <c r="K126" i="8"/>
  <c r="I126" i="8"/>
  <c r="H126" i="8"/>
  <c r="C126" i="8"/>
  <c r="K125" i="8"/>
  <c r="I125" i="8"/>
  <c r="H125" i="8"/>
  <c r="C125" i="8"/>
  <c r="K124" i="8"/>
  <c r="I124" i="8"/>
  <c r="H124" i="8"/>
  <c r="C124" i="8"/>
  <c r="K123" i="8"/>
  <c r="I123" i="8"/>
  <c r="H123" i="8"/>
  <c r="C123" i="8"/>
  <c r="K122" i="8"/>
  <c r="I122" i="8"/>
  <c r="H122" i="8"/>
  <c r="C122" i="8"/>
  <c r="K121" i="8"/>
  <c r="I121" i="8"/>
  <c r="H121" i="8"/>
  <c r="C121" i="8"/>
  <c r="K120" i="8"/>
  <c r="I120" i="8"/>
  <c r="H120" i="8"/>
  <c r="C120" i="8"/>
  <c r="K119" i="8"/>
  <c r="I119" i="8"/>
  <c r="H119" i="8"/>
  <c r="C119" i="8"/>
  <c r="K118" i="8"/>
  <c r="I118" i="8"/>
  <c r="H118" i="8"/>
  <c r="C118" i="8"/>
  <c r="K117" i="8"/>
  <c r="I117" i="8"/>
  <c r="H117" i="8"/>
  <c r="C117" i="8"/>
  <c r="K116" i="8"/>
  <c r="I116" i="8"/>
  <c r="H116" i="8"/>
  <c r="C116" i="8"/>
  <c r="K115" i="8"/>
  <c r="I115" i="8"/>
  <c r="H115" i="8"/>
  <c r="C115" i="8"/>
  <c r="K114" i="8"/>
  <c r="I114" i="8"/>
  <c r="H114" i="8"/>
  <c r="C114" i="8"/>
  <c r="K113" i="8"/>
  <c r="I113" i="8"/>
  <c r="H113" i="8"/>
  <c r="C113" i="8"/>
  <c r="K112" i="8"/>
  <c r="F112" i="8"/>
  <c r="E112" i="8"/>
  <c r="C112" i="8"/>
  <c r="B112" i="8"/>
  <c r="A112" i="8"/>
  <c r="A111" i="8"/>
  <c r="K109" i="8"/>
  <c r="I109" i="8"/>
  <c r="H109" i="8"/>
  <c r="C109" i="8"/>
  <c r="K108" i="8"/>
  <c r="I108" i="8"/>
  <c r="H108" i="8"/>
  <c r="C108" i="8"/>
  <c r="K107" i="8"/>
  <c r="I107" i="8"/>
  <c r="H107" i="8"/>
  <c r="C107" i="8"/>
  <c r="K106" i="8"/>
  <c r="I106" i="8"/>
  <c r="H106" i="8"/>
  <c r="C106" i="8"/>
  <c r="K105" i="8"/>
  <c r="I105" i="8"/>
  <c r="H105" i="8"/>
  <c r="C105" i="8"/>
  <c r="K104" i="8"/>
  <c r="I104" i="8"/>
  <c r="H104" i="8"/>
  <c r="C104" i="8"/>
  <c r="K103" i="8"/>
  <c r="I103" i="8"/>
  <c r="H103" i="8"/>
  <c r="C103" i="8"/>
  <c r="K102" i="8"/>
  <c r="I102" i="8"/>
  <c r="H102" i="8"/>
  <c r="C102" i="8"/>
  <c r="K101" i="8"/>
  <c r="I101" i="8"/>
  <c r="H101" i="8"/>
  <c r="C101" i="8"/>
  <c r="K100" i="8"/>
  <c r="I100" i="8"/>
  <c r="H100" i="8"/>
  <c r="C100" i="8"/>
  <c r="K99" i="8"/>
  <c r="I99" i="8"/>
  <c r="H99" i="8"/>
  <c r="C99" i="8"/>
  <c r="K98" i="8"/>
  <c r="I98" i="8"/>
  <c r="H98" i="8"/>
  <c r="C98" i="8"/>
  <c r="K97" i="8"/>
  <c r="I97" i="8"/>
  <c r="H97" i="8"/>
  <c r="C97" i="8"/>
  <c r="K96" i="8"/>
  <c r="I96" i="8"/>
  <c r="H96" i="8"/>
  <c r="C96" i="8"/>
  <c r="K95" i="8"/>
  <c r="I95" i="8"/>
  <c r="H95" i="8"/>
  <c r="C95" i="8"/>
  <c r="K94" i="8"/>
  <c r="I94" i="8"/>
  <c r="H94" i="8"/>
  <c r="C94" i="8"/>
  <c r="K93" i="8"/>
  <c r="I93" i="8"/>
  <c r="H93" i="8"/>
  <c r="G93" i="8"/>
  <c r="F93" i="8"/>
  <c r="E93" i="8"/>
  <c r="D93" i="8"/>
  <c r="C93" i="8"/>
  <c r="B93" i="8"/>
  <c r="A93" i="8"/>
  <c r="B92" i="8"/>
  <c r="A92" i="8"/>
  <c r="K90" i="8"/>
  <c r="I90" i="8"/>
  <c r="H90" i="8"/>
  <c r="C90" i="8"/>
  <c r="K89" i="8"/>
  <c r="I89" i="8"/>
  <c r="H89" i="8"/>
  <c r="C89" i="8"/>
  <c r="K88" i="8"/>
  <c r="I88" i="8"/>
  <c r="H88" i="8"/>
  <c r="C88" i="8"/>
  <c r="K87" i="8"/>
  <c r="I87" i="8"/>
  <c r="H87" i="8"/>
  <c r="C87" i="8"/>
  <c r="K86" i="8"/>
  <c r="I86" i="8"/>
  <c r="H86" i="8"/>
  <c r="C86" i="8"/>
  <c r="K85" i="8"/>
  <c r="I85" i="8"/>
  <c r="H85" i="8"/>
  <c r="C85" i="8"/>
  <c r="K84" i="8"/>
  <c r="I84" i="8"/>
  <c r="H84" i="8"/>
  <c r="C84" i="8"/>
  <c r="K83" i="8"/>
  <c r="I83" i="8"/>
  <c r="H83" i="8"/>
  <c r="C83" i="8"/>
  <c r="K82" i="8"/>
  <c r="I82" i="8"/>
  <c r="H82" i="8"/>
  <c r="C82" i="8"/>
  <c r="K81" i="8"/>
  <c r="I81" i="8"/>
  <c r="H81" i="8"/>
  <c r="C81" i="8"/>
  <c r="K80" i="8"/>
  <c r="I80" i="8"/>
  <c r="H80" i="8"/>
  <c r="C80" i="8"/>
  <c r="K79" i="8"/>
  <c r="I79" i="8"/>
  <c r="H79" i="8"/>
  <c r="C79" i="8"/>
  <c r="K78" i="8"/>
  <c r="I78" i="8"/>
  <c r="H78" i="8"/>
  <c r="C78" i="8"/>
  <c r="K77" i="8"/>
  <c r="I77" i="8"/>
  <c r="H77" i="8"/>
  <c r="C77" i="8"/>
  <c r="K76" i="8"/>
  <c r="I76" i="8"/>
  <c r="H76" i="8"/>
  <c r="C76" i="8"/>
  <c r="K75" i="8"/>
  <c r="I75" i="8"/>
  <c r="H75" i="8"/>
  <c r="C75" i="8"/>
  <c r="K74" i="8"/>
  <c r="I74" i="8"/>
  <c r="H74" i="8"/>
  <c r="C74" i="8"/>
  <c r="K73" i="8"/>
  <c r="I73" i="8"/>
  <c r="H73" i="8"/>
  <c r="C73" i="8"/>
  <c r="K72" i="8"/>
  <c r="I72" i="8"/>
  <c r="H72" i="8"/>
  <c r="C72" i="8"/>
  <c r="K71" i="8"/>
  <c r="I71" i="8"/>
  <c r="H71" i="8"/>
  <c r="C71" i="8"/>
  <c r="K70" i="8"/>
  <c r="C70" i="8"/>
  <c r="B70" i="8"/>
  <c r="A70" i="8"/>
  <c r="A69" i="8"/>
  <c r="K67" i="8"/>
  <c r="I67" i="8"/>
  <c r="H67" i="8"/>
  <c r="C67" i="8"/>
  <c r="K66" i="8"/>
  <c r="I66" i="8"/>
  <c r="H66" i="8"/>
  <c r="C66" i="8"/>
  <c r="K65" i="8"/>
  <c r="I65" i="8"/>
  <c r="H65" i="8"/>
  <c r="C65" i="8"/>
  <c r="K64" i="8"/>
  <c r="I64" i="8"/>
  <c r="H64" i="8"/>
  <c r="C64" i="8"/>
  <c r="K63" i="8"/>
  <c r="I63" i="8"/>
  <c r="H63" i="8"/>
  <c r="C63" i="8"/>
  <c r="K62" i="8"/>
  <c r="I62" i="8"/>
  <c r="H62" i="8"/>
  <c r="C62" i="8"/>
  <c r="K61" i="8"/>
  <c r="I61" i="8"/>
  <c r="H61" i="8"/>
  <c r="C61" i="8"/>
  <c r="K60" i="8"/>
  <c r="I60" i="8"/>
  <c r="H60" i="8"/>
  <c r="C60" i="8"/>
  <c r="K59" i="8"/>
  <c r="I59" i="8"/>
  <c r="H59" i="8"/>
  <c r="C59" i="8"/>
  <c r="K58" i="8"/>
  <c r="I58" i="8"/>
  <c r="H58" i="8"/>
  <c r="C58" i="8"/>
  <c r="K57" i="8"/>
  <c r="I57" i="8"/>
  <c r="H57" i="8"/>
  <c r="C57" i="8"/>
  <c r="K56" i="8"/>
  <c r="I56" i="8"/>
  <c r="H56" i="8"/>
  <c r="C56" i="8"/>
  <c r="K55" i="8"/>
  <c r="I55" i="8"/>
  <c r="H55" i="8"/>
  <c r="C55" i="8"/>
  <c r="K54" i="8"/>
  <c r="I54" i="8"/>
  <c r="H54" i="8"/>
  <c r="C54" i="8"/>
  <c r="K53" i="8"/>
  <c r="I53" i="8"/>
  <c r="H53" i="8"/>
  <c r="C53" i="8"/>
  <c r="K52" i="8"/>
  <c r="I52" i="8"/>
  <c r="H52" i="8"/>
  <c r="C52" i="8"/>
  <c r="K51" i="8"/>
  <c r="I51" i="8"/>
  <c r="H51" i="8"/>
  <c r="C51" i="8"/>
  <c r="K50" i="8"/>
  <c r="I50" i="8"/>
  <c r="H50" i="8"/>
  <c r="C50" i="8"/>
  <c r="K49" i="8"/>
  <c r="I49" i="8"/>
  <c r="H49" i="8"/>
  <c r="C49" i="8"/>
  <c r="K48" i="8"/>
  <c r="I48" i="8"/>
  <c r="H48" i="8"/>
  <c r="C48" i="8"/>
  <c r="K47" i="8"/>
  <c r="I47" i="8"/>
  <c r="H47" i="8"/>
  <c r="C47" i="8"/>
  <c r="K46" i="8"/>
  <c r="I46" i="8"/>
  <c r="H46" i="8"/>
  <c r="C46" i="8"/>
  <c r="K45" i="8"/>
  <c r="I45" i="8"/>
  <c r="H45" i="8"/>
  <c r="C45" i="8"/>
  <c r="K44" i="8"/>
  <c r="I44" i="8"/>
  <c r="H44" i="8"/>
  <c r="C44" i="8"/>
  <c r="K43" i="8"/>
  <c r="I43" i="8"/>
  <c r="H43" i="8"/>
  <c r="C43" i="8"/>
  <c r="K42" i="8"/>
  <c r="I42" i="8"/>
  <c r="H42" i="8"/>
  <c r="C42" i="8"/>
  <c r="K41" i="8"/>
  <c r="I41" i="8"/>
  <c r="H41" i="8"/>
  <c r="C41" i="8"/>
  <c r="K40" i="8"/>
  <c r="I40" i="8"/>
  <c r="H40" i="8"/>
  <c r="C40" i="8"/>
  <c r="K39" i="8"/>
  <c r="I39" i="8"/>
  <c r="H39" i="8"/>
  <c r="C39" i="8"/>
  <c r="K38" i="8"/>
  <c r="I38" i="8"/>
  <c r="H38" i="8"/>
  <c r="C38" i="8"/>
  <c r="K37" i="8"/>
  <c r="I37" i="8"/>
  <c r="H37" i="8"/>
  <c r="C37" i="8"/>
  <c r="K36" i="8"/>
  <c r="I36" i="8"/>
  <c r="H36" i="8"/>
  <c r="C36" i="8"/>
  <c r="K35" i="8"/>
  <c r="I35" i="8"/>
  <c r="H35" i="8"/>
  <c r="C35" i="8"/>
  <c r="K34" i="8"/>
  <c r="I34" i="8"/>
  <c r="H34" i="8"/>
  <c r="C34" i="8"/>
  <c r="K33" i="8"/>
  <c r="I33" i="8"/>
  <c r="H33" i="8"/>
  <c r="C33" i="8"/>
  <c r="K32" i="8"/>
  <c r="I32" i="8"/>
  <c r="H32" i="8"/>
  <c r="C32" i="8"/>
  <c r="K31" i="8"/>
  <c r="I31" i="8"/>
  <c r="H31" i="8"/>
  <c r="C31" i="8"/>
  <c r="K30" i="8"/>
  <c r="I30" i="8"/>
  <c r="H30" i="8"/>
  <c r="C30" i="8"/>
  <c r="K29" i="8"/>
  <c r="I29" i="8"/>
  <c r="H29" i="8"/>
  <c r="C29" i="8"/>
  <c r="K28" i="8"/>
  <c r="I28" i="8"/>
  <c r="H28" i="8"/>
  <c r="C28" i="8"/>
  <c r="K27" i="8"/>
  <c r="I27" i="8"/>
  <c r="H27" i="8"/>
  <c r="C27" i="8"/>
  <c r="K26" i="8"/>
  <c r="I26" i="8"/>
  <c r="H26" i="8"/>
  <c r="C26" i="8"/>
  <c r="K25" i="8"/>
  <c r="I25" i="8"/>
  <c r="H25" i="8"/>
  <c r="C25" i="8"/>
  <c r="K24" i="8"/>
  <c r="I24" i="8"/>
  <c r="H24" i="8"/>
  <c r="C24" i="8"/>
  <c r="K23" i="8"/>
  <c r="I23" i="8"/>
  <c r="H23" i="8"/>
  <c r="C23" i="8"/>
  <c r="K22" i="8"/>
  <c r="I22" i="8"/>
  <c r="H22" i="8"/>
  <c r="C22" i="8"/>
  <c r="K21" i="8"/>
  <c r="I21" i="8"/>
  <c r="H21" i="8"/>
  <c r="C21" i="8"/>
  <c r="K20" i="8"/>
  <c r="I20" i="8"/>
  <c r="H20" i="8"/>
  <c r="C20" i="8"/>
  <c r="K19" i="8"/>
  <c r="I19" i="8"/>
  <c r="H19" i="8"/>
  <c r="C19" i="8"/>
  <c r="K18" i="8"/>
  <c r="I18" i="8"/>
  <c r="H18" i="8"/>
  <c r="C18" i="8"/>
  <c r="K17" i="8"/>
  <c r="I17" i="8"/>
  <c r="H17" i="8"/>
  <c r="C17" i="8"/>
  <c r="K16" i="8"/>
  <c r="I16" i="8"/>
  <c r="H16" i="8"/>
  <c r="C16" i="8"/>
  <c r="K15" i="8"/>
  <c r="I15" i="8"/>
  <c r="H15" i="8"/>
  <c r="C15" i="8"/>
  <c r="K14" i="8"/>
  <c r="I14" i="8"/>
  <c r="H14" i="8"/>
  <c r="C14" i="8"/>
  <c r="K13" i="8"/>
  <c r="I13" i="8"/>
  <c r="H13" i="8"/>
  <c r="C13" i="8"/>
  <c r="K12" i="8"/>
  <c r="I12" i="8"/>
  <c r="H12" i="8"/>
  <c r="C12" i="8"/>
  <c r="K11" i="8"/>
  <c r="I11" i="8"/>
  <c r="H11" i="8"/>
  <c r="C11" i="8"/>
  <c r="K10" i="8"/>
  <c r="I10" i="8"/>
  <c r="H10" i="8"/>
  <c r="C10" i="8"/>
  <c r="K9" i="8"/>
  <c r="I9" i="8"/>
  <c r="H9" i="8"/>
  <c r="C9" i="8"/>
  <c r="K8" i="8"/>
  <c r="I8" i="8"/>
  <c r="H8" i="8"/>
  <c r="C8" i="8"/>
  <c r="K7" i="8"/>
  <c r="I7" i="8"/>
  <c r="H7" i="8"/>
  <c r="C7" i="8"/>
  <c r="K6" i="8"/>
  <c r="I6" i="8"/>
  <c r="H6" i="8"/>
  <c r="C6" i="8"/>
  <c r="K5" i="8"/>
  <c r="I5" i="8"/>
  <c r="H5" i="8"/>
  <c r="C5" i="8"/>
  <c r="K4" i="8"/>
  <c r="I4" i="8"/>
  <c r="H4" i="8"/>
  <c r="C4" i="8"/>
  <c r="K3" i="8"/>
  <c r="C3" i="8"/>
  <c r="B3" i="8"/>
  <c r="A3" i="8"/>
  <c r="A2" i="8"/>
  <c r="C6" i="38"/>
  <c r="D6" i="38" s="1"/>
  <c r="C5" i="38"/>
  <c r="D5" i="38" s="1"/>
  <c r="O33" i="17"/>
  <c r="N33" i="17"/>
  <c r="M33" i="17"/>
  <c r="C32" i="41" s="1"/>
  <c r="C85" i="41" s="1"/>
  <c r="L33" i="17"/>
  <c r="C31" i="41" s="1"/>
  <c r="C84" i="41" s="1"/>
  <c r="E35" i="4"/>
  <c r="C35" i="4"/>
  <c r="B35" i="4"/>
  <c r="AC40" i="7"/>
  <c r="AC41" i="7" s="1"/>
  <c r="AT40" i="7"/>
  <c r="AT41" i="7" s="1"/>
  <c r="X40" i="7"/>
  <c r="X41" i="7" s="1"/>
  <c r="B40" i="7"/>
  <c r="B41" i="7" s="1"/>
  <c r="AC39" i="7"/>
  <c r="AT39" i="7"/>
  <c r="X39" i="7"/>
  <c r="B39" i="7"/>
  <c r="AO38" i="7"/>
  <c r="BC38" i="7" a="1"/>
  <c r="BC38" i="7" s="1"/>
  <c r="BB38" i="7"/>
  <c r="AB38" i="7"/>
  <c r="M91" i="3" s="1"/>
  <c r="AA38" i="7"/>
  <c r="W38" i="7"/>
  <c r="V38" i="7"/>
  <c r="AO37" i="7"/>
  <c r="BC37" i="7" a="1"/>
  <c r="BC37" i="7" s="1"/>
  <c r="BB37" i="7"/>
  <c r="AB37" i="7"/>
  <c r="AA37" i="7"/>
  <c r="W37" i="7"/>
  <c r="V37" i="7"/>
  <c r="AO36" i="7"/>
  <c r="BC36" i="7" a="1"/>
  <c r="BC36" i="7" s="1"/>
  <c r="BB36" i="7"/>
  <c r="AB36" i="7"/>
  <c r="AA36" i="7"/>
  <c r="W36" i="7"/>
  <c r="V36" i="7"/>
  <c r="AO35" i="7"/>
  <c r="BC35" i="7" a="1"/>
  <c r="BC35" i="7" s="1"/>
  <c r="BB35" i="7"/>
  <c r="AB35" i="7"/>
  <c r="AA35" i="7"/>
  <c r="W35" i="7"/>
  <c r="V35" i="7"/>
  <c r="AO34" i="7"/>
  <c r="BC34" i="7" a="1"/>
  <c r="BC34" i="7" s="1"/>
  <c r="BB34" i="7"/>
  <c r="AB34" i="7"/>
  <c r="AA34" i="7"/>
  <c r="W34" i="7"/>
  <c r="AO33" i="7"/>
  <c r="BC33" i="7" a="1"/>
  <c r="BC33" i="7" s="1"/>
  <c r="BB33" i="7"/>
  <c r="AB33" i="7"/>
  <c r="W33" i="7"/>
  <c r="AO32" i="7"/>
  <c r="BC32" i="7" a="1"/>
  <c r="BC32" i="7" s="1"/>
  <c r="BB32" i="7"/>
  <c r="AB32" i="7"/>
  <c r="AA32" i="7"/>
  <c r="W32" i="7"/>
  <c r="AO31" i="7"/>
  <c r="BC31" i="7" a="1"/>
  <c r="BC31" i="7" s="1"/>
  <c r="BB31" i="7"/>
  <c r="AB31" i="7"/>
  <c r="AA31" i="7"/>
  <c r="W31" i="7"/>
  <c r="AO30" i="7"/>
  <c r="BC30" i="7" a="1"/>
  <c r="BC30" i="7" s="1"/>
  <c r="BB30" i="7"/>
  <c r="AB30" i="7"/>
  <c r="AA30" i="7"/>
  <c r="AO29" i="7"/>
  <c r="BC29" i="7" a="1"/>
  <c r="BC29" i="7" s="1"/>
  <c r="BB29" i="7"/>
  <c r="AB29" i="7"/>
  <c r="AA29" i="7"/>
  <c r="W29" i="7"/>
  <c r="AO28" i="7"/>
  <c r="BC28" i="7" a="1"/>
  <c r="BC28" i="7" s="1"/>
  <c r="BB28" i="7"/>
  <c r="AB28" i="7"/>
  <c r="AA28" i="7"/>
  <c r="W28" i="7"/>
  <c r="AO27" i="7"/>
  <c r="AB27" i="7"/>
  <c r="AA27" i="7"/>
  <c r="AO26" i="7"/>
  <c r="AB26" i="7"/>
  <c r="AO25" i="7"/>
  <c r="AB25" i="7"/>
  <c r="AA25" i="7"/>
  <c r="BC24" i="7" a="1"/>
  <c r="BC24" i="7" s="1"/>
  <c r="BB24" i="7"/>
  <c r="AB24" i="7"/>
  <c r="AA24" i="7"/>
  <c r="AO23" i="7"/>
  <c r="BC23" i="7" a="1"/>
  <c r="BC23" i="7" s="1"/>
  <c r="BB23" i="7"/>
  <c r="AB23" i="7"/>
  <c r="AA23" i="7"/>
  <c r="W23" i="7"/>
  <c r="AO22" i="7"/>
  <c r="BC22" i="7" a="1"/>
  <c r="BC22" i="7" s="1"/>
  <c r="BB22" i="7"/>
  <c r="AB22" i="7"/>
  <c r="AA22" i="7"/>
  <c r="W22" i="7"/>
  <c r="AO21" i="7"/>
  <c r="AN21" i="7"/>
  <c r="BC21" i="7" a="1"/>
  <c r="BC21" i="7" s="1"/>
  <c r="BB21" i="7"/>
  <c r="AB21" i="7"/>
  <c r="AA21" i="7"/>
  <c r="W21" i="7"/>
  <c r="AO20" i="7"/>
  <c r="AN20" i="7"/>
  <c r="BC20" i="7" a="1"/>
  <c r="BC20" i="7" s="1"/>
  <c r="BB20" i="7"/>
  <c r="AB20" i="7"/>
  <c r="AA20" i="7"/>
  <c r="W20" i="7"/>
  <c r="AO19" i="7"/>
  <c r="AN19" i="7"/>
  <c r="BC19" i="7" a="1"/>
  <c r="BC19" i="7" s="1"/>
  <c r="BB19" i="7"/>
  <c r="AB19" i="7"/>
  <c r="AA19" i="7"/>
  <c r="W19" i="7"/>
  <c r="V19" i="7"/>
  <c r="AO18" i="7"/>
  <c r="BC18" i="7" a="1"/>
  <c r="BC18" i="7" s="1"/>
  <c r="BB18" i="7"/>
  <c r="AB18" i="7"/>
  <c r="AA18" i="7"/>
  <c r="AO17" i="7"/>
  <c r="BC17" i="7" a="1"/>
  <c r="BC17" i="7" s="1"/>
  <c r="BB17" i="7"/>
  <c r="AB17" i="7"/>
  <c r="AA17" i="7"/>
  <c r="AO16" i="7"/>
  <c r="BC16" i="7" a="1"/>
  <c r="BC16" i="7" s="1"/>
  <c r="BB16" i="7"/>
  <c r="AB16" i="7"/>
  <c r="AA16" i="7"/>
  <c r="W16" i="7"/>
  <c r="BC15" i="7" a="1"/>
  <c r="BC15" i="7" s="1"/>
  <c r="BB15" i="7"/>
  <c r="AB15" i="7"/>
  <c r="AA15" i="7"/>
  <c r="W15" i="7"/>
  <c r="BC14" i="7" a="1"/>
  <c r="BC14" i="7" s="1"/>
  <c r="BB14" i="7"/>
  <c r="AB14" i="7"/>
  <c r="AA14" i="7"/>
  <c r="W14" i="7"/>
  <c r="V14" i="7"/>
  <c r="AO13" i="7"/>
  <c r="BC13" i="7" a="1"/>
  <c r="BC13" i="7" s="1"/>
  <c r="BB13" i="7"/>
  <c r="AB13" i="7"/>
  <c r="AA13" i="7"/>
  <c r="W13" i="7"/>
  <c r="V13" i="7"/>
  <c r="AO12" i="7"/>
  <c r="AN12" i="7"/>
  <c r="BC12" i="7" a="1"/>
  <c r="BC12" i="7" s="1"/>
  <c r="BB12" i="7"/>
  <c r="AB12" i="7"/>
  <c r="AA12" i="7"/>
  <c r="W12" i="7"/>
  <c r="V12" i="7"/>
  <c r="AO11" i="7"/>
  <c r="AN11" i="7"/>
  <c r="BC11" i="7" a="1"/>
  <c r="BC11" i="7" s="1"/>
  <c r="BB11" i="7"/>
  <c r="AB11" i="7"/>
  <c r="AA11" i="7"/>
  <c r="W11" i="7"/>
  <c r="V11" i="7"/>
  <c r="AO10" i="7"/>
  <c r="AN10" i="7"/>
  <c r="BC10" i="7" a="1"/>
  <c r="BC10" i="7" s="1"/>
  <c r="BB10" i="7"/>
  <c r="AB10" i="7"/>
  <c r="AA10" i="7"/>
  <c r="W10" i="7"/>
  <c r="AO9" i="7"/>
  <c r="AN9" i="7"/>
  <c r="BC9" i="7"/>
  <c r="BB9" i="7"/>
  <c r="AB9" i="7"/>
  <c r="AA9" i="7"/>
  <c r="W9" i="7"/>
  <c r="BC8" i="7"/>
  <c r="BB8" i="7"/>
  <c r="AB8" i="7"/>
  <c r="AA8" i="7"/>
  <c r="W8" i="7"/>
  <c r="P187" i="3"/>
  <c r="R181" i="3"/>
  <c r="J181" i="3"/>
  <c r="E181" i="3"/>
  <c r="B181" i="3"/>
  <c r="B181" i="8" s="1"/>
  <c r="A181" i="3"/>
  <c r="A181" i="8" s="1"/>
  <c r="J181" i="8" s="1"/>
  <c r="R180" i="3"/>
  <c r="J180" i="3"/>
  <c r="E180" i="3"/>
  <c r="B180" i="3"/>
  <c r="B180" i="8" s="1"/>
  <c r="A180" i="3"/>
  <c r="R179" i="3"/>
  <c r="J179" i="3"/>
  <c r="E179" i="3"/>
  <c r="B179" i="3"/>
  <c r="B179" i="8" s="1"/>
  <c r="A179" i="3"/>
  <c r="A179" i="8" s="1"/>
  <c r="J179" i="8" s="1"/>
  <c r="R178" i="3"/>
  <c r="J178" i="3"/>
  <c r="E178" i="3"/>
  <c r="B178" i="3"/>
  <c r="B178" i="8" s="1"/>
  <c r="A178" i="3"/>
  <c r="A178" i="8" s="1"/>
  <c r="J178" i="8" s="1"/>
  <c r="R177" i="3"/>
  <c r="J177" i="3"/>
  <c r="E177" i="3"/>
  <c r="B177" i="3"/>
  <c r="B177" i="8" s="1"/>
  <c r="A177" i="3"/>
  <c r="A177" i="8" s="1"/>
  <c r="J177" i="8" s="1"/>
  <c r="R176" i="3"/>
  <c r="J176" i="3"/>
  <c r="E176" i="3"/>
  <c r="B176" i="3"/>
  <c r="B176" i="8" s="1"/>
  <c r="A176" i="3"/>
  <c r="R175" i="3"/>
  <c r="J175" i="3"/>
  <c r="E175" i="3"/>
  <c r="B175" i="3"/>
  <c r="B175" i="8" s="1"/>
  <c r="A175" i="3"/>
  <c r="A175" i="8" s="1"/>
  <c r="J175" i="8" s="1"/>
  <c r="R174" i="3"/>
  <c r="J174" i="3"/>
  <c r="E174" i="3"/>
  <c r="B174" i="3"/>
  <c r="B174" i="8" s="1"/>
  <c r="A174" i="3"/>
  <c r="A174" i="8" s="1"/>
  <c r="J174" i="8" s="1"/>
  <c r="R173" i="3"/>
  <c r="J173" i="3"/>
  <c r="E173" i="3"/>
  <c r="B173" i="3"/>
  <c r="B173" i="8" s="1"/>
  <c r="A173" i="3"/>
  <c r="A173" i="8" s="1"/>
  <c r="J173" i="8" s="1"/>
  <c r="R172" i="3"/>
  <c r="J172" i="3"/>
  <c r="E172" i="3"/>
  <c r="B172" i="3"/>
  <c r="B172" i="8" s="1"/>
  <c r="A172" i="3"/>
  <c r="A172" i="8" s="1"/>
  <c r="J172" i="8" s="1"/>
  <c r="R171" i="3"/>
  <c r="J171" i="3"/>
  <c r="E171" i="3"/>
  <c r="B171" i="3"/>
  <c r="B171" i="8" s="1"/>
  <c r="A171" i="3"/>
  <c r="A171" i="8" s="1"/>
  <c r="J171" i="8" s="1"/>
  <c r="R170" i="3"/>
  <c r="J170" i="3"/>
  <c r="E170" i="3"/>
  <c r="B170" i="3"/>
  <c r="B170" i="8" s="1"/>
  <c r="A170" i="3"/>
  <c r="R169" i="3"/>
  <c r="J169" i="3"/>
  <c r="E169" i="3"/>
  <c r="B169" i="3"/>
  <c r="B169" i="8" s="1"/>
  <c r="A169" i="3"/>
  <c r="R168" i="3"/>
  <c r="J168" i="3"/>
  <c r="E168" i="3"/>
  <c r="B168" i="3"/>
  <c r="B168" i="8" s="1"/>
  <c r="A168" i="3"/>
  <c r="R167" i="3"/>
  <c r="J167" i="3"/>
  <c r="E167" i="3"/>
  <c r="B167" i="3"/>
  <c r="B167" i="8" s="1"/>
  <c r="A167" i="3"/>
  <c r="R166" i="3"/>
  <c r="J166" i="3"/>
  <c r="E166" i="3"/>
  <c r="B166" i="3"/>
  <c r="B166" i="8" s="1"/>
  <c r="A166" i="3"/>
  <c r="R165" i="3"/>
  <c r="J165" i="3"/>
  <c r="E165" i="3"/>
  <c r="B165" i="3"/>
  <c r="B165" i="8" s="1"/>
  <c r="A165" i="3"/>
  <c r="R164" i="3"/>
  <c r="J164" i="3"/>
  <c r="E164" i="3"/>
  <c r="B164" i="3"/>
  <c r="B164" i="8" s="1"/>
  <c r="A164" i="3"/>
  <c r="R163" i="3"/>
  <c r="J163" i="3"/>
  <c r="E163" i="3"/>
  <c r="B163" i="3"/>
  <c r="B163" i="8" s="1"/>
  <c r="A163" i="3"/>
  <c r="R162" i="3"/>
  <c r="J162" i="3"/>
  <c r="E162" i="3"/>
  <c r="B162" i="3"/>
  <c r="B162" i="8" s="1"/>
  <c r="A162" i="3"/>
  <c r="R161" i="3"/>
  <c r="J161" i="3"/>
  <c r="E161" i="3"/>
  <c r="B161" i="3"/>
  <c r="B161" i="8" s="1"/>
  <c r="A161" i="3"/>
  <c r="R160" i="3"/>
  <c r="J160" i="3"/>
  <c r="E160" i="3"/>
  <c r="B160" i="3"/>
  <c r="B160" i="8" s="1"/>
  <c r="A160" i="3"/>
  <c r="R159" i="3"/>
  <c r="J159" i="3"/>
  <c r="E159" i="3"/>
  <c r="B159" i="3"/>
  <c r="B159" i="8" s="1"/>
  <c r="A159" i="3"/>
  <c r="R158" i="3"/>
  <c r="J158" i="3"/>
  <c r="E158" i="3"/>
  <c r="B158" i="3"/>
  <c r="B158" i="8" s="1"/>
  <c r="A158" i="3"/>
  <c r="R157" i="3"/>
  <c r="J157" i="3"/>
  <c r="E157" i="3"/>
  <c r="B157" i="3"/>
  <c r="B157" i="8" s="1"/>
  <c r="A157" i="3"/>
  <c r="R156" i="3"/>
  <c r="J156" i="3"/>
  <c r="E156" i="3"/>
  <c r="B156" i="3"/>
  <c r="B156" i="8" s="1"/>
  <c r="A156" i="3"/>
  <c r="R155" i="3"/>
  <c r="J155" i="3"/>
  <c r="E155" i="3"/>
  <c r="B155" i="3"/>
  <c r="B155" i="8" s="1"/>
  <c r="A155" i="3"/>
  <c r="R154" i="3"/>
  <c r="J154" i="3"/>
  <c r="E154" i="3"/>
  <c r="B154" i="3"/>
  <c r="B154" i="8" s="1"/>
  <c r="A154" i="3"/>
  <c r="R153" i="3"/>
  <c r="J153" i="3"/>
  <c r="E153" i="3"/>
  <c r="B153" i="3"/>
  <c r="B153" i="8" s="1"/>
  <c r="A153" i="3"/>
  <c r="R152" i="3"/>
  <c r="J152" i="3"/>
  <c r="E152" i="3"/>
  <c r="B152" i="3"/>
  <c r="B152" i="8" s="1"/>
  <c r="A152" i="3"/>
  <c r="R151" i="3"/>
  <c r="J151" i="3"/>
  <c r="E151" i="3"/>
  <c r="B151" i="3"/>
  <c r="B151" i="8" s="1"/>
  <c r="A151" i="3"/>
  <c r="R150" i="3"/>
  <c r="J150" i="3"/>
  <c r="E150" i="3"/>
  <c r="B150" i="3"/>
  <c r="B150" i="8" s="1"/>
  <c r="A150" i="3"/>
  <c r="R149" i="3"/>
  <c r="J149" i="3"/>
  <c r="E149" i="3"/>
  <c r="B149" i="3"/>
  <c r="B149" i="8" s="1"/>
  <c r="A149" i="3"/>
  <c r="U147" i="3"/>
  <c r="U146" i="3"/>
  <c r="R145" i="3"/>
  <c r="J145" i="3"/>
  <c r="E145" i="3"/>
  <c r="B145" i="3"/>
  <c r="B145" i="8" s="1"/>
  <c r="A145" i="3"/>
  <c r="U145" i="3" s="1"/>
  <c r="R144" i="3"/>
  <c r="J144" i="3"/>
  <c r="E144" i="3"/>
  <c r="B144" i="3"/>
  <c r="B144" i="8" s="1"/>
  <c r="A144" i="3"/>
  <c r="U144" i="3" s="1"/>
  <c r="R143" i="3"/>
  <c r="J143" i="3"/>
  <c r="E143" i="3"/>
  <c r="B143" i="3"/>
  <c r="B143" i="8" s="1"/>
  <c r="A143" i="3"/>
  <c r="U143" i="3" s="1"/>
  <c r="R142" i="3"/>
  <c r="J142" i="3"/>
  <c r="E142" i="3"/>
  <c r="B142" i="3"/>
  <c r="B142" i="8" s="1"/>
  <c r="A142" i="3"/>
  <c r="U142" i="3" s="1"/>
  <c r="R141" i="3"/>
  <c r="J141" i="3"/>
  <c r="E141" i="3"/>
  <c r="B141" i="3"/>
  <c r="B141" i="8" s="1"/>
  <c r="A141" i="3"/>
  <c r="U141" i="3" s="1"/>
  <c r="R140" i="3"/>
  <c r="J140" i="3"/>
  <c r="E140" i="3"/>
  <c r="B140" i="3"/>
  <c r="B140" i="8" s="1"/>
  <c r="A140" i="3"/>
  <c r="U140" i="3" s="1"/>
  <c r="R139" i="3"/>
  <c r="J139" i="3"/>
  <c r="E139" i="3"/>
  <c r="B139" i="3"/>
  <c r="B139" i="8" s="1"/>
  <c r="A139" i="3"/>
  <c r="U139" i="3" s="1"/>
  <c r="R138" i="3"/>
  <c r="J138" i="3"/>
  <c r="E138" i="3"/>
  <c r="B138" i="3"/>
  <c r="B138" i="8" s="1"/>
  <c r="A138" i="3"/>
  <c r="U138" i="3" s="1"/>
  <c r="R137" i="3"/>
  <c r="J137" i="3"/>
  <c r="E137" i="3"/>
  <c r="B137" i="3"/>
  <c r="B137" i="8" s="1"/>
  <c r="A137" i="3"/>
  <c r="U137" i="3" s="1"/>
  <c r="R136" i="3"/>
  <c r="J136" i="3"/>
  <c r="E136" i="3"/>
  <c r="B136" i="3"/>
  <c r="B136" i="8" s="1"/>
  <c r="A136" i="3"/>
  <c r="U136" i="3" s="1"/>
  <c r="R135" i="3"/>
  <c r="J135" i="3"/>
  <c r="E135" i="3"/>
  <c r="B135" i="3"/>
  <c r="B135" i="8" s="1"/>
  <c r="A135" i="3"/>
  <c r="U135" i="3" s="1"/>
  <c r="R134" i="3"/>
  <c r="J134" i="3"/>
  <c r="E134" i="3"/>
  <c r="B134" i="3"/>
  <c r="B134" i="8" s="1"/>
  <c r="A134" i="3"/>
  <c r="U134" i="3" s="1"/>
  <c r="R133" i="3"/>
  <c r="J133" i="3"/>
  <c r="E133" i="3"/>
  <c r="B133" i="3"/>
  <c r="B133" i="8" s="1"/>
  <c r="A133" i="3"/>
  <c r="U133" i="3" s="1"/>
  <c r="R132" i="3"/>
  <c r="J132" i="3"/>
  <c r="E132" i="3"/>
  <c r="B132" i="3"/>
  <c r="B132" i="8" s="1"/>
  <c r="A132" i="3"/>
  <c r="R131" i="3"/>
  <c r="J131" i="3"/>
  <c r="E131" i="3"/>
  <c r="B131" i="3"/>
  <c r="B131" i="8" s="1"/>
  <c r="A131" i="3"/>
  <c r="R130" i="3"/>
  <c r="J130" i="3"/>
  <c r="E130" i="3"/>
  <c r="B130" i="3"/>
  <c r="B130" i="8" s="1"/>
  <c r="A130" i="3"/>
  <c r="R129" i="3"/>
  <c r="J129" i="3"/>
  <c r="E129" i="3"/>
  <c r="B129" i="3"/>
  <c r="B129" i="8" s="1"/>
  <c r="A129" i="3"/>
  <c r="R128" i="3"/>
  <c r="J128" i="3"/>
  <c r="E128" i="3"/>
  <c r="B128" i="3"/>
  <c r="B128" i="8" s="1"/>
  <c r="A128" i="3"/>
  <c r="U128" i="3" s="1"/>
  <c r="R127" i="3"/>
  <c r="J127" i="3"/>
  <c r="E127" i="3"/>
  <c r="B127" i="3"/>
  <c r="B127" i="8" s="1"/>
  <c r="A127" i="3"/>
  <c r="R126" i="3"/>
  <c r="J126" i="3"/>
  <c r="E126" i="3"/>
  <c r="B126" i="3"/>
  <c r="B126" i="8" s="1"/>
  <c r="A126" i="3"/>
  <c r="R125" i="3"/>
  <c r="J125" i="3"/>
  <c r="E125" i="3"/>
  <c r="B125" i="3"/>
  <c r="B125" i="8" s="1"/>
  <c r="A125" i="3"/>
  <c r="U125" i="3" s="1"/>
  <c r="R124" i="3"/>
  <c r="J124" i="3"/>
  <c r="E124" i="3"/>
  <c r="B124" i="3"/>
  <c r="B124" i="8" s="1"/>
  <c r="A124" i="3"/>
  <c r="R123" i="3"/>
  <c r="J123" i="3"/>
  <c r="E123" i="3"/>
  <c r="B123" i="3"/>
  <c r="B123" i="8" s="1"/>
  <c r="A123" i="3"/>
  <c r="R122" i="3"/>
  <c r="J122" i="3"/>
  <c r="E122" i="3"/>
  <c r="B122" i="3"/>
  <c r="B122" i="8" s="1"/>
  <c r="A122" i="3"/>
  <c r="R121" i="3"/>
  <c r="J121" i="3"/>
  <c r="E121" i="3"/>
  <c r="B121" i="3"/>
  <c r="B121" i="8" s="1"/>
  <c r="A121" i="3"/>
  <c r="R120" i="3"/>
  <c r="J120" i="3"/>
  <c r="E120" i="3"/>
  <c r="B120" i="3"/>
  <c r="B120" i="8" s="1"/>
  <c r="A120" i="3"/>
  <c r="R119" i="3"/>
  <c r="J119" i="3"/>
  <c r="E119" i="3"/>
  <c r="B119" i="3"/>
  <c r="B119" i="8" s="1"/>
  <c r="A119" i="3"/>
  <c r="R118" i="3"/>
  <c r="J118" i="3"/>
  <c r="E118" i="3"/>
  <c r="B118" i="3"/>
  <c r="B118" i="8" s="1"/>
  <c r="A118" i="3"/>
  <c r="R117" i="3"/>
  <c r="J117" i="3"/>
  <c r="E117" i="3"/>
  <c r="B117" i="3"/>
  <c r="B117" i="8" s="1"/>
  <c r="A117" i="3"/>
  <c r="R116" i="3"/>
  <c r="J116" i="3"/>
  <c r="E116" i="3"/>
  <c r="B116" i="3"/>
  <c r="B116" i="8" s="1"/>
  <c r="A116" i="3"/>
  <c r="R115" i="3"/>
  <c r="J115" i="3"/>
  <c r="E115" i="3"/>
  <c r="B115" i="3"/>
  <c r="B115" i="8" s="1"/>
  <c r="A115" i="3"/>
  <c r="R114" i="3"/>
  <c r="J114" i="3"/>
  <c r="E114" i="3"/>
  <c r="B114" i="3"/>
  <c r="B114" i="8" s="1"/>
  <c r="A114" i="3"/>
  <c r="R113" i="3"/>
  <c r="J113" i="3"/>
  <c r="E113" i="3"/>
  <c r="B113" i="3"/>
  <c r="B113" i="8" s="1"/>
  <c r="A113" i="3"/>
  <c r="U111" i="3"/>
  <c r="U110" i="3"/>
  <c r="R109" i="3"/>
  <c r="J109" i="3"/>
  <c r="E109" i="3"/>
  <c r="B109" i="3"/>
  <c r="B109" i="8" s="1"/>
  <c r="A109" i="3"/>
  <c r="R108" i="3"/>
  <c r="J108" i="3"/>
  <c r="E108" i="3"/>
  <c r="B108" i="3"/>
  <c r="B108" i="8" s="1"/>
  <c r="A108" i="3"/>
  <c r="R107" i="3"/>
  <c r="J107" i="3"/>
  <c r="E107" i="3"/>
  <c r="B107" i="3"/>
  <c r="B107" i="8" s="1"/>
  <c r="A107" i="3"/>
  <c r="R106" i="3"/>
  <c r="J106" i="3"/>
  <c r="E106" i="3"/>
  <c r="B106" i="3"/>
  <c r="B106" i="8" s="1"/>
  <c r="A106" i="3"/>
  <c r="R105" i="3"/>
  <c r="J105" i="3"/>
  <c r="E105" i="3"/>
  <c r="B105" i="3"/>
  <c r="B105" i="8" s="1"/>
  <c r="A105" i="3"/>
  <c r="R104" i="3"/>
  <c r="J104" i="3"/>
  <c r="E104" i="3"/>
  <c r="B104" i="3"/>
  <c r="B104" i="8" s="1"/>
  <c r="A104" i="3"/>
  <c r="M104" i="3" s="1" a="1"/>
  <c r="M104" i="3" s="1"/>
  <c r="R103" i="3"/>
  <c r="J103" i="3"/>
  <c r="E103" i="3"/>
  <c r="B103" i="3"/>
  <c r="B103" i="8" s="1"/>
  <c r="A103" i="3"/>
  <c r="R102" i="3"/>
  <c r="J102" i="3"/>
  <c r="E102" i="3"/>
  <c r="B102" i="3"/>
  <c r="B102" i="8" s="1"/>
  <c r="A102" i="3"/>
  <c r="M102" i="3" s="1" a="1"/>
  <c r="M102" i="3" s="1"/>
  <c r="R101" i="3"/>
  <c r="J101" i="3"/>
  <c r="E101" i="3"/>
  <c r="B101" i="3"/>
  <c r="B101" i="8" s="1"/>
  <c r="A101" i="3"/>
  <c r="R100" i="3"/>
  <c r="J100" i="3"/>
  <c r="E100" i="3"/>
  <c r="B100" i="3"/>
  <c r="B100" i="8" s="1"/>
  <c r="A100" i="3"/>
  <c r="R99" i="3"/>
  <c r="J99" i="3"/>
  <c r="E99" i="3"/>
  <c r="B99" i="3"/>
  <c r="B99" i="8" s="1"/>
  <c r="A99" i="3"/>
  <c r="M99" i="3" s="1" a="1"/>
  <c r="M99" i="3" s="1"/>
  <c r="R98" i="3"/>
  <c r="J98" i="3"/>
  <c r="E98" i="3"/>
  <c r="B98" i="3"/>
  <c r="B98" i="8" s="1"/>
  <c r="A98" i="3"/>
  <c r="M98" i="3" s="1" a="1"/>
  <c r="M98" i="3" s="1"/>
  <c r="R97" i="3"/>
  <c r="J97" i="3"/>
  <c r="E97" i="3"/>
  <c r="B97" i="3"/>
  <c r="B97" i="8" s="1"/>
  <c r="A97" i="3"/>
  <c r="M97" i="3" s="1" a="1"/>
  <c r="M97" i="3" s="1"/>
  <c r="R96" i="3"/>
  <c r="J96" i="3"/>
  <c r="F96" i="3"/>
  <c r="E96" i="3"/>
  <c r="D96" i="3"/>
  <c r="B96" i="3"/>
  <c r="B96" i="8" s="1"/>
  <c r="A96" i="3"/>
  <c r="M96" i="3" s="1" a="1"/>
  <c r="M96" i="3" s="1"/>
  <c r="R95" i="3"/>
  <c r="J95" i="3"/>
  <c r="E95" i="3"/>
  <c r="B95" i="3"/>
  <c r="B95" i="8" s="1"/>
  <c r="A95" i="3"/>
  <c r="R94" i="3"/>
  <c r="J94" i="3"/>
  <c r="E94" i="3"/>
  <c r="B94" i="3"/>
  <c r="B94" i="8" s="1"/>
  <c r="A94" i="3"/>
  <c r="U92" i="3"/>
  <c r="U91" i="3"/>
  <c r="R90" i="3"/>
  <c r="J90" i="3"/>
  <c r="E90" i="3"/>
  <c r="B90" i="3"/>
  <c r="B90" i="8" s="1"/>
  <c r="A90" i="3"/>
  <c r="A90" i="8" s="1"/>
  <c r="J90" i="8" s="1"/>
  <c r="R89" i="3"/>
  <c r="J89" i="3"/>
  <c r="E89" i="3"/>
  <c r="B89" i="3"/>
  <c r="B89" i="8" s="1"/>
  <c r="A89" i="3"/>
  <c r="R88" i="3"/>
  <c r="J88" i="3"/>
  <c r="E88" i="3"/>
  <c r="B88" i="3"/>
  <c r="B88" i="8" s="1"/>
  <c r="A88" i="3"/>
  <c r="A88" i="8" s="1"/>
  <c r="J88" i="8" s="1"/>
  <c r="R87" i="3"/>
  <c r="J87" i="3"/>
  <c r="E87" i="3"/>
  <c r="B87" i="3"/>
  <c r="B87" i="8" s="1"/>
  <c r="A87" i="3"/>
  <c r="A87" i="8" s="1"/>
  <c r="J87" i="8" s="1"/>
  <c r="R86" i="3"/>
  <c r="J86" i="3"/>
  <c r="E86" i="3"/>
  <c r="B86" i="3"/>
  <c r="B86" i="8" s="1"/>
  <c r="A86" i="3"/>
  <c r="A86" i="8" s="1"/>
  <c r="J86" i="8" s="1"/>
  <c r="R85" i="3"/>
  <c r="J85" i="3"/>
  <c r="E85" i="3"/>
  <c r="B85" i="3"/>
  <c r="B85" i="8" s="1"/>
  <c r="A85" i="3"/>
  <c r="R84" i="3"/>
  <c r="J84" i="3"/>
  <c r="E84" i="3"/>
  <c r="B84" i="3"/>
  <c r="B84" i="8" s="1"/>
  <c r="A84" i="3"/>
  <c r="A84" i="8" s="1"/>
  <c r="J84" i="8" s="1"/>
  <c r="R83" i="3"/>
  <c r="J83" i="3"/>
  <c r="E83" i="3"/>
  <c r="B83" i="3"/>
  <c r="B83" i="8" s="1"/>
  <c r="A83" i="3"/>
  <c r="A83" i="8" s="1"/>
  <c r="J83" i="8" s="1"/>
  <c r="R82" i="3"/>
  <c r="J82" i="3"/>
  <c r="E82" i="3"/>
  <c r="B82" i="3"/>
  <c r="B82" i="8" s="1"/>
  <c r="A82" i="3"/>
  <c r="A82" i="8" s="1"/>
  <c r="J82" i="8" s="1"/>
  <c r="R81" i="3"/>
  <c r="J81" i="3"/>
  <c r="E81" i="3"/>
  <c r="B81" i="3"/>
  <c r="B81" i="8" s="1"/>
  <c r="A81" i="3"/>
  <c r="A81" i="8" s="1"/>
  <c r="J81" i="8" s="1"/>
  <c r="R80" i="3"/>
  <c r="J80" i="3"/>
  <c r="E80" i="3"/>
  <c r="B80" i="3"/>
  <c r="B80" i="8" s="1"/>
  <c r="A80" i="3"/>
  <c r="A80" i="8" s="1"/>
  <c r="J80" i="8" s="1"/>
  <c r="R79" i="3"/>
  <c r="J79" i="3"/>
  <c r="E79" i="3"/>
  <c r="B79" i="3"/>
  <c r="B79" i="8" s="1"/>
  <c r="A79" i="3"/>
  <c r="U79" i="3" s="1"/>
  <c r="R78" i="3"/>
  <c r="J78" i="3"/>
  <c r="E78" i="3"/>
  <c r="B78" i="3"/>
  <c r="B78" i="8" s="1"/>
  <c r="A78" i="3"/>
  <c r="A78" i="8" s="1"/>
  <c r="J78" i="8" s="1"/>
  <c r="R77" i="3"/>
  <c r="J77" i="3"/>
  <c r="E77" i="3"/>
  <c r="B77" i="3"/>
  <c r="B77" i="8" s="1"/>
  <c r="A77" i="3"/>
  <c r="A77" i="8" s="1"/>
  <c r="J77" i="8" s="1"/>
  <c r="R76" i="3"/>
  <c r="J76" i="3"/>
  <c r="E76" i="3"/>
  <c r="B76" i="3"/>
  <c r="B76" i="8" s="1"/>
  <c r="A76" i="3"/>
  <c r="A76" i="8" s="1"/>
  <c r="J76" i="8" s="1"/>
  <c r="R75" i="3"/>
  <c r="J75" i="3"/>
  <c r="E75" i="3"/>
  <c r="B75" i="3"/>
  <c r="B75" i="8" s="1"/>
  <c r="A75" i="3"/>
  <c r="R74" i="3"/>
  <c r="J74" i="3"/>
  <c r="E74" i="3"/>
  <c r="B74" i="3"/>
  <c r="B74" i="8" s="1"/>
  <c r="A74" i="3"/>
  <c r="R73" i="3"/>
  <c r="J73" i="3"/>
  <c r="E73" i="3"/>
  <c r="B73" i="3"/>
  <c r="B73" i="8" s="1"/>
  <c r="A73" i="3"/>
  <c r="R72" i="3"/>
  <c r="J72" i="3"/>
  <c r="E72" i="3"/>
  <c r="B72" i="3"/>
  <c r="B72" i="8" s="1"/>
  <c r="A72" i="3"/>
  <c r="R71" i="3"/>
  <c r="J71" i="3"/>
  <c r="E71" i="3"/>
  <c r="B71" i="3"/>
  <c r="B71" i="8" s="1"/>
  <c r="A71" i="3"/>
  <c r="U69" i="3"/>
  <c r="U68" i="3"/>
  <c r="R67" i="3"/>
  <c r="J67" i="3"/>
  <c r="E67" i="3"/>
  <c r="B67" i="3"/>
  <c r="B67" i="8" s="1"/>
  <c r="A67" i="3"/>
  <c r="A67" i="8" s="1"/>
  <c r="J67" i="8" s="1"/>
  <c r="R66" i="3"/>
  <c r="J66" i="3"/>
  <c r="E66" i="3"/>
  <c r="B66" i="3"/>
  <c r="B66" i="8" s="1"/>
  <c r="A66" i="3"/>
  <c r="A66" i="8" s="1"/>
  <c r="J66" i="8" s="1"/>
  <c r="R65" i="3"/>
  <c r="J65" i="3"/>
  <c r="E65" i="3"/>
  <c r="B65" i="3"/>
  <c r="B65" i="8" s="1"/>
  <c r="A65" i="3"/>
  <c r="A65" i="8" s="1"/>
  <c r="J65" i="8" s="1"/>
  <c r="R64" i="3"/>
  <c r="J64" i="3"/>
  <c r="E64" i="3"/>
  <c r="B64" i="3"/>
  <c r="B64" i="8" s="1"/>
  <c r="A64" i="3"/>
  <c r="A64" i="8" s="1"/>
  <c r="R63" i="3"/>
  <c r="J63" i="3"/>
  <c r="E63" i="3"/>
  <c r="B63" i="3"/>
  <c r="B63" i="8" s="1"/>
  <c r="A63" i="3"/>
  <c r="A63" i="8" s="1"/>
  <c r="J63" i="8" s="1"/>
  <c r="R62" i="3"/>
  <c r="J62" i="3"/>
  <c r="E62" i="3"/>
  <c r="B62" i="3"/>
  <c r="B62" i="8" s="1"/>
  <c r="A62" i="3"/>
  <c r="R61" i="3"/>
  <c r="J61" i="3"/>
  <c r="E61" i="3"/>
  <c r="B61" i="3"/>
  <c r="B61" i="8" s="1"/>
  <c r="A61" i="3"/>
  <c r="R60" i="3"/>
  <c r="J60" i="3"/>
  <c r="E60" i="3"/>
  <c r="B60" i="3"/>
  <c r="B60" i="8" s="1"/>
  <c r="A60" i="3"/>
  <c r="R59" i="3"/>
  <c r="J59" i="3"/>
  <c r="E59" i="3"/>
  <c r="B59" i="3"/>
  <c r="B59" i="8" s="1"/>
  <c r="A59" i="3"/>
  <c r="R58" i="3"/>
  <c r="J58" i="3"/>
  <c r="E58" i="3"/>
  <c r="B58" i="3"/>
  <c r="B58" i="8" s="1"/>
  <c r="A58" i="3"/>
  <c r="R57" i="3"/>
  <c r="J57" i="3"/>
  <c r="E57" i="3"/>
  <c r="B57" i="3"/>
  <c r="B57" i="8" s="1"/>
  <c r="A57" i="3"/>
  <c r="R56" i="3"/>
  <c r="J56" i="3"/>
  <c r="E56" i="3"/>
  <c r="B56" i="3"/>
  <c r="B56" i="8" s="1"/>
  <c r="A56" i="3"/>
  <c r="R55" i="3"/>
  <c r="J55" i="3"/>
  <c r="E55" i="3"/>
  <c r="B55" i="3"/>
  <c r="B55" i="8" s="1"/>
  <c r="A55" i="3"/>
  <c r="R54" i="3"/>
  <c r="J54" i="3"/>
  <c r="E54" i="3"/>
  <c r="B54" i="3"/>
  <c r="B54" i="8" s="1"/>
  <c r="A54" i="3"/>
  <c r="A54" i="8" s="1"/>
  <c r="R53" i="3"/>
  <c r="J53" i="3"/>
  <c r="E53" i="3"/>
  <c r="B53" i="3"/>
  <c r="B53" i="8" s="1"/>
  <c r="A53" i="3"/>
  <c r="R52" i="3"/>
  <c r="J52" i="3"/>
  <c r="E52" i="3"/>
  <c r="B52" i="3"/>
  <c r="B52" i="8" s="1"/>
  <c r="A52" i="3"/>
  <c r="R51" i="3"/>
  <c r="J51" i="3"/>
  <c r="E51" i="3"/>
  <c r="B51" i="3"/>
  <c r="B51" i="8" s="1"/>
  <c r="A51" i="3"/>
  <c r="B50" i="8"/>
  <c r="A50" i="8"/>
  <c r="B49" i="8"/>
  <c r="A49" i="8"/>
  <c r="B48" i="8"/>
  <c r="A48" i="8"/>
  <c r="B47" i="8"/>
  <c r="B46" i="8"/>
  <c r="B45" i="8"/>
  <c r="R44" i="3"/>
  <c r="J44" i="3"/>
  <c r="E44" i="3"/>
  <c r="B44" i="3"/>
  <c r="B44" i="8" s="1"/>
  <c r="A44" i="3"/>
  <c r="R43" i="3"/>
  <c r="J43" i="3"/>
  <c r="E43" i="3"/>
  <c r="B43" i="3"/>
  <c r="B43" i="8" s="1"/>
  <c r="A43" i="3"/>
  <c r="R42" i="3"/>
  <c r="J42" i="3"/>
  <c r="E42" i="3"/>
  <c r="B42" i="3"/>
  <c r="B42" i="8" s="1"/>
  <c r="A42" i="3"/>
  <c r="R41" i="3"/>
  <c r="J41" i="3"/>
  <c r="E41" i="3"/>
  <c r="B41" i="3"/>
  <c r="B41" i="8" s="1"/>
  <c r="A41" i="3"/>
  <c r="R40" i="3"/>
  <c r="J40" i="3"/>
  <c r="E40" i="3"/>
  <c r="B40" i="3"/>
  <c r="B40" i="8" s="1"/>
  <c r="A40" i="3"/>
  <c r="R39" i="3"/>
  <c r="J39" i="3"/>
  <c r="E39" i="3"/>
  <c r="B39" i="3"/>
  <c r="B39" i="8" s="1"/>
  <c r="A39" i="3"/>
  <c r="R38" i="3"/>
  <c r="J38" i="3"/>
  <c r="E38" i="3"/>
  <c r="B38" i="3"/>
  <c r="B38" i="8" s="1"/>
  <c r="A38" i="3"/>
  <c r="R37" i="3"/>
  <c r="J37" i="3"/>
  <c r="E37" i="3"/>
  <c r="B37" i="3"/>
  <c r="B37" i="8" s="1"/>
  <c r="A37" i="3"/>
  <c r="R36" i="3"/>
  <c r="J36" i="3"/>
  <c r="E36" i="3"/>
  <c r="B36" i="3"/>
  <c r="B36" i="8" s="1"/>
  <c r="A36" i="3"/>
  <c r="R35" i="3"/>
  <c r="J35" i="3"/>
  <c r="E35" i="3"/>
  <c r="B35" i="3"/>
  <c r="B35" i="8" s="1"/>
  <c r="A35" i="3"/>
  <c r="R34" i="3"/>
  <c r="J34" i="3"/>
  <c r="E34" i="3"/>
  <c r="B34" i="3"/>
  <c r="B34" i="8" s="1"/>
  <c r="A34" i="3"/>
  <c r="R33" i="3"/>
  <c r="J33" i="3"/>
  <c r="E33" i="3"/>
  <c r="B33" i="3"/>
  <c r="B33" i="8" s="1"/>
  <c r="A33" i="3"/>
  <c r="R32" i="3"/>
  <c r="J32" i="3"/>
  <c r="E32" i="3"/>
  <c r="B32" i="3"/>
  <c r="B32" i="8" s="1"/>
  <c r="A32" i="3"/>
  <c r="R31" i="3"/>
  <c r="J31" i="3"/>
  <c r="E31" i="3"/>
  <c r="B31" i="3"/>
  <c r="B31" i="8" s="1"/>
  <c r="A31" i="3"/>
  <c r="R30" i="3"/>
  <c r="J30" i="3"/>
  <c r="E30" i="3"/>
  <c r="B30" i="3"/>
  <c r="B30" i="8" s="1"/>
  <c r="A30" i="3"/>
  <c r="R29" i="3"/>
  <c r="J29" i="3"/>
  <c r="E29" i="3"/>
  <c r="B29" i="3"/>
  <c r="B29" i="8" s="1"/>
  <c r="A29" i="3"/>
  <c r="R28" i="3"/>
  <c r="J28" i="3"/>
  <c r="E28" i="3"/>
  <c r="B28" i="3"/>
  <c r="B28" i="8" s="1"/>
  <c r="R27" i="3"/>
  <c r="J27" i="3"/>
  <c r="E27" i="3"/>
  <c r="B27" i="3"/>
  <c r="B27" i="8" s="1"/>
  <c r="R26" i="3"/>
  <c r="J26" i="3"/>
  <c r="E26" i="3"/>
  <c r="B26" i="3"/>
  <c r="B26" i="8" s="1"/>
  <c r="A26" i="3"/>
  <c r="R25" i="3"/>
  <c r="J25" i="3"/>
  <c r="E25" i="3"/>
  <c r="B25" i="3"/>
  <c r="B25" i="8" s="1"/>
  <c r="A25" i="3"/>
  <c r="R24" i="3"/>
  <c r="J24" i="3"/>
  <c r="E24" i="3"/>
  <c r="B24" i="3"/>
  <c r="B24" i="8" s="1"/>
  <c r="A24" i="3"/>
  <c r="R23" i="3"/>
  <c r="J23" i="3"/>
  <c r="E23" i="3"/>
  <c r="B23" i="3"/>
  <c r="B23" i="8" s="1"/>
  <c r="A23" i="3"/>
  <c r="R22" i="3"/>
  <c r="J22" i="3"/>
  <c r="E22" i="3"/>
  <c r="B22" i="3"/>
  <c r="B22" i="8" s="1"/>
  <c r="A22" i="3"/>
  <c r="R21" i="3"/>
  <c r="J21" i="3"/>
  <c r="E21" i="3"/>
  <c r="B21" i="3"/>
  <c r="B21" i="8" s="1"/>
  <c r="A21" i="3"/>
  <c r="R20" i="3"/>
  <c r="J20" i="3"/>
  <c r="E20" i="3"/>
  <c r="B20" i="3"/>
  <c r="B20" i="8" s="1"/>
  <c r="A20" i="3"/>
  <c r="R19" i="3"/>
  <c r="J19" i="3"/>
  <c r="E19" i="3"/>
  <c r="B19" i="3"/>
  <c r="B19" i="8" s="1"/>
  <c r="A19" i="3"/>
  <c r="R18" i="3"/>
  <c r="J18" i="3"/>
  <c r="E18" i="3"/>
  <c r="B18" i="3"/>
  <c r="B18" i="8" s="1"/>
  <c r="A18" i="3"/>
  <c r="R17" i="3"/>
  <c r="J17" i="3"/>
  <c r="E17" i="3"/>
  <c r="B17" i="3"/>
  <c r="B17" i="8" s="1"/>
  <c r="A17" i="3"/>
  <c r="R16" i="3"/>
  <c r="J16" i="3"/>
  <c r="E16" i="3"/>
  <c r="B16" i="3"/>
  <c r="B16" i="8" s="1"/>
  <c r="A16" i="3"/>
  <c r="R15" i="3"/>
  <c r="J15" i="3"/>
  <c r="E15" i="3"/>
  <c r="B15" i="3"/>
  <c r="B15" i="8" s="1"/>
  <c r="A15" i="3"/>
  <c r="R14" i="3"/>
  <c r="J14" i="3"/>
  <c r="E14" i="3"/>
  <c r="B14" i="3"/>
  <c r="B14" i="8" s="1"/>
  <c r="A14" i="3"/>
  <c r="R13" i="3"/>
  <c r="J13" i="3"/>
  <c r="E13" i="3"/>
  <c r="B13" i="3"/>
  <c r="B13" i="8" s="1"/>
  <c r="A13" i="3"/>
  <c r="R12" i="3"/>
  <c r="J12" i="3"/>
  <c r="E12" i="3"/>
  <c r="B12" i="3"/>
  <c r="B12" i="8" s="1"/>
  <c r="A12" i="3"/>
  <c r="R11" i="3"/>
  <c r="J11" i="3"/>
  <c r="E11" i="3"/>
  <c r="B11" i="3"/>
  <c r="B11" i="8" s="1"/>
  <c r="A11" i="3"/>
  <c r="R10" i="3"/>
  <c r="J10" i="3"/>
  <c r="E10" i="3"/>
  <c r="B10" i="3"/>
  <c r="B10" i="8" s="1"/>
  <c r="A10" i="3"/>
  <c r="R9" i="3"/>
  <c r="J9" i="3"/>
  <c r="E9" i="3"/>
  <c r="B9" i="3"/>
  <c r="B9" i="8" s="1"/>
  <c r="A9" i="3"/>
  <c r="R8" i="3"/>
  <c r="J8" i="3"/>
  <c r="E8" i="3"/>
  <c r="B8" i="3"/>
  <c r="B8" i="8" s="1"/>
  <c r="A8" i="3"/>
  <c r="R7" i="3"/>
  <c r="J7" i="3"/>
  <c r="E7" i="3"/>
  <c r="B7" i="3"/>
  <c r="B7" i="8" s="1"/>
  <c r="A7" i="3"/>
  <c r="R6" i="3"/>
  <c r="J6" i="3"/>
  <c r="E6" i="3"/>
  <c r="B6" i="3"/>
  <c r="B6" i="8" s="1"/>
  <c r="A6" i="3"/>
  <c r="R5" i="3"/>
  <c r="J5" i="3"/>
  <c r="E5" i="3"/>
  <c r="B5" i="3"/>
  <c r="B5" i="8" s="1"/>
  <c r="A5" i="3"/>
  <c r="R4" i="3"/>
  <c r="E4" i="3"/>
  <c r="B4" i="3"/>
  <c r="B4" i="8" s="1"/>
  <c r="A4" i="3"/>
  <c r="CV60" i="35"/>
  <c r="CU60" i="35"/>
  <c r="CT60" i="35"/>
  <c r="CT41" i="35" s="1"/>
  <c r="CS60" i="35"/>
  <c r="CR60" i="35"/>
  <c r="CQ60" i="35"/>
  <c r="CP60" i="35"/>
  <c r="CO60" i="35"/>
  <c r="CN60" i="35"/>
  <c r="CM60" i="35"/>
  <c r="CL60" i="35"/>
  <c r="CK60" i="35"/>
  <c r="CK41" i="35" s="1"/>
  <c r="CJ60" i="35"/>
  <c r="CI60" i="35"/>
  <c r="CH60" i="35"/>
  <c r="CH41" i="35" s="1"/>
  <c r="CG60" i="35"/>
  <c r="CF60" i="35"/>
  <c r="CE60" i="35"/>
  <c r="CD60" i="35"/>
  <c r="CC60" i="35"/>
  <c r="CB60" i="35"/>
  <c r="CB41" i="35" s="1"/>
  <c r="CA60" i="35"/>
  <c r="BZ60" i="35"/>
  <c r="BY60" i="35"/>
  <c r="BY41" i="35" s="1"/>
  <c r="BX60" i="35"/>
  <c r="BW60" i="35"/>
  <c r="BV60" i="35"/>
  <c r="BV41" i="35" s="1"/>
  <c r="BU60" i="35"/>
  <c r="BT60" i="35"/>
  <c r="BS60" i="35"/>
  <c r="BR60" i="35"/>
  <c r="BQ60" i="35"/>
  <c r="BP60" i="35"/>
  <c r="BO60" i="35"/>
  <c r="BN60" i="35"/>
  <c r="BM60" i="35"/>
  <c r="BM41" i="35" s="1"/>
  <c r="BL60" i="35"/>
  <c r="BK60" i="35"/>
  <c r="BJ60" i="35"/>
  <c r="BJ41" i="35" s="1"/>
  <c r="BI60" i="35"/>
  <c r="BH60" i="35"/>
  <c r="BG60" i="35"/>
  <c r="BG41" i="35" s="1"/>
  <c r="BF60" i="35"/>
  <c r="BE60" i="35"/>
  <c r="BD60" i="35"/>
  <c r="BD41" i="35" s="1"/>
  <c r="BC60" i="35"/>
  <c r="BB60" i="35"/>
  <c r="BA60" i="35"/>
  <c r="BA41" i="35" s="1"/>
  <c r="AZ60" i="35"/>
  <c r="AY60" i="35"/>
  <c r="AX60" i="35"/>
  <c r="AX41" i="35" s="1"/>
  <c r="AW60" i="35"/>
  <c r="AV60" i="35"/>
  <c r="AU60" i="35"/>
  <c r="AU41" i="35" s="1"/>
  <c r="AT60" i="35"/>
  <c r="AS60" i="35"/>
  <c r="AR60" i="35"/>
  <c r="AR41" i="35" s="1"/>
  <c r="AQ60" i="35"/>
  <c r="AP60" i="35"/>
  <c r="AO60" i="35"/>
  <c r="AO41" i="35" s="1"/>
  <c r="AN60" i="35"/>
  <c r="AM60" i="35"/>
  <c r="AL60" i="35"/>
  <c r="AL41" i="35" s="1"/>
  <c r="AK60" i="35"/>
  <c r="AJ60" i="35"/>
  <c r="AI60" i="35"/>
  <c r="AI41" i="35" s="1"/>
  <c r="AH60" i="35"/>
  <c r="AG60" i="35"/>
  <c r="AF60" i="35"/>
  <c r="AF41" i="35" s="1"/>
  <c r="AE60" i="35"/>
  <c r="AD60" i="35"/>
  <c r="AC60" i="35"/>
  <c r="AC41" i="35" s="1"/>
  <c r="AB60" i="35"/>
  <c r="AA60" i="35"/>
  <c r="Z60" i="35"/>
  <c r="Z41" i="35" s="1"/>
  <c r="Y60" i="35"/>
  <c r="X60" i="35"/>
  <c r="W60" i="35"/>
  <c r="W41" i="35" s="1"/>
  <c r="V60" i="35"/>
  <c r="U60" i="35"/>
  <c r="T60" i="35"/>
  <c r="T41" i="35" s="1"/>
  <c r="S60" i="35"/>
  <c r="R60" i="35"/>
  <c r="Q60" i="35"/>
  <c r="Q41" i="35" s="1"/>
  <c r="P60" i="35"/>
  <c r="O60" i="35"/>
  <c r="N60" i="35"/>
  <c r="N41" i="35" s="1"/>
  <c r="M60" i="35"/>
  <c r="L60" i="35"/>
  <c r="K60" i="35"/>
  <c r="K41" i="35" s="1"/>
  <c r="J60" i="35"/>
  <c r="I60" i="35"/>
  <c r="H60" i="35"/>
  <c r="H41" i="35" s="1"/>
  <c r="G60" i="35"/>
  <c r="F60" i="35"/>
  <c r="E60" i="35"/>
  <c r="E41" i="35" s="1"/>
  <c r="D60" i="35"/>
  <c r="C60" i="35"/>
  <c r="B60" i="35"/>
  <c r="B41" i="35" s="1"/>
  <c r="CV37" i="35"/>
  <c r="CT37" i="35"/>
  <c r="D181" i="3" s="1"/>
  <c r="CS37" i="35"/>
  <c r="CQ37" i="35"/>
  <c r="D180" i="3" s="1"/>
  <c r="CP37" i="35"/>
  <c r="CN37" i="35"/>
  <c r="D179" i="3" s="1"/>
  <c r="CM37" i="35"/>
  <c r="CK37" i="35"/>
  <c r="D178" i="3" s="1"/>
  <c r="CJ37" i="35"/>
  <c r="CH37" i="35"/>
  <c r="D177" i="3" s="1"/>
  <c r="CG37" i="35"/>
  <c r="CE37" i="35"/>
  <c r="D176" i="3" s="1"/>
  <c r="CD37" i="35"/>
  <c r="CB37" i="35"/>
  <c r="D175" i="3" s="1"/>
  <c r="CA37" i="35"/>
  <c r="BY37" i="35"/>
  <c r="D174" i="3" s="1"/>
  <c r="BX37" i="35"/>
  <c r="BV37" i="35"/>
  <c r="D173" i="3" s="1"/>
  <c r="BU37" i="35"/>
  <c r="BS37" i="35"/>
  <c r="D172" i="3" s="1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4" i="3"/>
  <c r="D153" i="3"/>
  <c r="D152" i="3"/>
  <c r="D151" i="3"/>
  <c r="D150" i="3"/>
  <c r="D149" i="3"/>
  <c r="CX36" i="35"/>
  <c r="CU36" i="35"/>
  <c r="CR36" i="35"/>
  <c r="CO36" i="35"/>
  <c r="CL36" i="35"/>
  <c r="CI36" i="35"/>
  <c r="CF36" i="35"/>
  <c r="CC36" i="35"/>
  <c r="BZ36" i="35"/>
  <c r="BW36" i="35"/>
  <c r="BT36" i="35"/>
  <c r="CX35" i="35"/>
  <c r="CU35" i="35"/>
  <c r="CR35" i="35"/>
  <c r="CO35" i="35"/>
  <c r="CL35" i="35"/>
  <c r="CI35" i="35"/>
  <c r="CF35" i="35"/>
  <c r="CC35" i="35"/>
  <c r="BZ35" i="35"/>
  <c r="BW35" i="35"/>
  <c r="BT35" i="35"/>
  <c r="CX34" i="35"/>
  <c r="CU34" i="35"/>
  <c r="CR34" i="35"/>
  <c r="CO34" i="35"/>
  <c r="CL34" i="35"/>
  <c r="CI34" i="35"/>
  <c r="CF34" i="35"/>
  <c r="CC34" i="35"/>
  <c r="BZ34" i="35"/>
  <c r="BW34" i="35"/>
  <c r="BT34" i="35"/>
  <c r="CX33" i="35"/>
  <c r="CU33" i="35"/>
  <c r="CR33" i="35"/>
  <c r="CO33" i="35"/>
  <c r="CL33" i="35"/>
  <c r="CI33" i="35"/>
  <c r="CF33" i="35"/>
  <c r="CC33" i="35"/>
  <c r="BZ33" i="35"/>
  <c r="BW33" i="35"/>
  <c r="BT33" i="35"/>
  <c r="CX32" i="35"/>
  <c r="CU32" i="35"/>
  <c r="CR32" i="35"/>
  <c r="CO32" i="35"/>
  <c r="CL32" i="35"/>
  <c r="CI32" i="35"/>
  <c r="CF32" i="35"/>
  <c r="CC32" i="35"/>
  <c r="BZ32" i="35"/>
  <c r="BW32" i="35"/>
  <c r="BT32" i="35"/>
  <c r="CX31" i="35"/>
  <c r="CU31" i="35"/>
  <c r="CR31" i="35"/>
  <c r="CO31" i="35"/>
  <c r="CL31" i="35"/>
  <c r="CI31" i="35"/>
  <c r="CF31" i="35"/>
  <c r="CC31" i="35"/>
  <c r="BZ31" i="35"/>
  <c r="BW31" i="35"/>
  <c r="BT31" i="35"/>
  <c r="CX30" i="35"/>
  <c r="CU30" i="35"/>
  <c r="CR30" i="35"/>
  <c r="CO30" i="35"/>
  <c r="CL30" i="35"/>
  <c r="CI30" i="35"/>
  <c r="CF30" i="35"/>
  <c r="CC30" i="35"/>
  <c r="BZ30" i="35"/>
  <c r="BW30" i="35"/>
  <c r="BT30" i="35"/>
  <c r="CX29" i="35"/>
  <c r="CU29" i="35"/>
  <c r="CR29" i="35"/>
  <c r="CO29" i="35"/>
  <c r="CL29" i="35"/>
  <c r="CI29" i="35"/>
  <c r="CF29" i="35"/>
  <c r="CC29" i="35"/>
  <c r="BZ29" i="35"/>
  <c r="BW29" i="35"/>
  <c r="BT29" i="35"/>
  <c r="CX28" i="35"/>
  <c r="CU28" i="35"/>
  <c r="CR28" i="35"/>
  <c r="CO28" i="35"/>
  <c r="CL28" i="35"/>
  <c r="CI28" i="35"/>
  <c r="CF28" i="35"/>
  <c r="CC28" i="35"/>
  <c r="BZ28" i="35"/>
  <c r="BW28" i="35"/>
  <c r="BT28" i="35"/>
  <c r="CX27" i="35"/>
  <c r="CU27" i="35"/>
  <c r="CR27" i="35"/>
  <c r="CO27" i="35"/>
  <c r="CL27" i="35"/>
  <c r="CI27" i="35"/>
  <c r="CF27" i="35"/>
  <c r="CC27" i="35"/>
  <c r="BZ27" i="35"/>
  <c r="BW27" i="35"/>
  <c r="BT27" i="35"/>
  <c r="CX26" i="35"/>
  <c r="CU26" i="35"/>
  <c r="CR26" i="35"/>
  <c r="CO26" i="35"/>
  <c r="CL26" i="35"/>
  <c r="CI26" i="35"/>
  <c r="CF26" i="35"/>
  <c r="CC26" i="35"/>
  <c r="BZ26" i="35"/>
  <c r="BW26" i="35"/>
  <c r="BT26" i="35"/>
  <c r="F160" i="3"/>
  <c r="CX25" i="35"/>
  <c r="CU25" i="35"/>
  <c r="CR25" i="35"/>
  <c r="CO25" i="35"/>
  <c r="CL25" i="35"/>
  <c r="CI25" i="35"/>
  <c r="CF25" i="35"/>
  <c r="CC25" i="35"/>
  <c r="BZ25" i="35"/>
  <c r="BW25" i="35"/>
  <c r="BT25" i="35"/>
  <c r="CX24" i="35"/>
  <c r="CU24" i="35"/>
  <c r="CR24" i="35"/>
  <c r="CO24" i="35"/>
  <c r="CL24" i="35"/>
  <c r="CI24" i="35"/>
  <c r="CF24" i="35"/>
  <c r="CC24" i="35"/>
  <c r="BZ24" i="35"/>
  <c r="BW24" i="35"/>
  <c r="BT24" i="35"/>
  <c r="CX23" i="35"/>
  <c r="CU23" i="35"/>
  <c r="CR23" i="35"/>
  <c r="CO23" i="35"/>
  <c r="CL23" i="35"/>
  <c r="CI23" i="35"/>
  <c r="CF23" i="35"/>
  <c r="CC23" i="35"/>
  <c r="BZ23" i="35"/>
  <c r="BW23" i="35"/>
  <c r="BT23" i="35"/>
  <c r="CX22" i="35"/>
  <c r="CU22" i="35"/>
  <c r="CR22" i="35"/>
  <c r="CO22" i="35"/>
  <c r="CL22" i="35"/>
  <c r="CI22" i="35"/>
  <c r="CF22" i="35"/>
  <c r="CC22" i="35"/>
  <c r="BZ22" i="35"/>
  <c r="BW22" i="35"/>
  <c r="BT22" i="35"/>
  <c r="CX21" i="35"/>
  <c r="CU21" i="35"/>
  <c r="CR21" i="35"/>
  <c r="CO21" i="35"/>
  <c r="CL21" i="35"/>
  <c r="CI21" i="35"/>
  <c r="CF21" i="35"/>
  <c r="CC21" i="35"/>
  <c r="BZ21" i="35"/>
  <c r="BW21" i="35"/>
  <c r="BT21" i="35"/>
  <c r="CX20" i="35"/>
  <c r="CU20" i="35"/>
  <c r="CR20" i="35"/>
  <c r="CO20" i="35"/>
  <c r="CL20" i="35"/>
  <c r="CI20" i="35"/>
  <c r="CF20" i="35"/>
  <c r="CC20" i="35"/>
  <c r="BZ20" i="35"/>
  <c r="BW20" i="35"/>
  <c r="BT20" i="35"/>
  <c r="CX19" i="35"/>
  <c r="CU19" i="35"/>
  <c r="CR19" i="35"/>
  <c r="CO19" i="35"/>
  <c r="CL19" i="35"/>
  <c r="CI19" i="35"/>
  <c r="CF19" i="35"/>
  <c r="CC19" i="35"/>
  <c r="BZ19" i="35"/>
  <c r="BW19" i="35"/>
  <c r="BT19" i="35"/>
  <c r="CX18" i="35"/>
  <c r="CU18" i="35"/>
  <c r="CR18" i="35"/>
  <c r="CO18" i="35"/>
  <c r="CL18" i="35"/>
  <c r="CI18" i="35"/>
  <c r="CF18" i="35"/>
  <c r="CC18" i="35"/>
  <c r="BZ18" i="35"/>
  <c r="BW18" i="35"/>
  <c r="BT18" i="35"/>
  <c r="CX17" i="35"/>
  <c r="CU17" i="35"/>
  <c r="CR17" i="35"/>
  <c r="CO17" i="35"/>
  <c r="CL17" i="35"/>
  <c r="CI17" i="35"/>
  <c r="CF17" i="35"/>
  <c r="CC17" i="35"/>
  <c r="BZ17" i="35"/>
  <c r="BW17" i="35"/>
  <c r="BT17" i="35"/>
  <c r="CX16" i="35"/>
  <c r="CU16" i="35"/>
  <c r="CR16" i="35"/>
  <c r="CO16" i="35"/>
  <c r="CL16" i="35"/>
  <c r="CI16" i="35"/>
  <c r="CF16" i="35"/>
  <c r="CC16" i="35"/>
  <c r="BZ16" i="35"/>
  <c r="BW16" i="35"/>
  <c r="BT16" i="35"/>
  <c r="CX15" i="35"/>
  <c r="CU15" i="35"/>
  <c r="CR15" i="35"/>
  <c r="CO15" i="35"/>
  <c r="CL15" i="35"/>
  <c r="CI15" i="35"/>
  <c r="CF15" i="35"/>
  <c r="CC15" i="35"/>
  <c r="BZ15" i="35"/>
  <c r="BW15" i="35"/>
  <c r="BT15" i="35"/>
  <c r="CX14" i="35"/>
  <c r="CU14" i="35"/>
  <c r="CR14" i="35"/>
  <c r="CO14" i="35"/>
  <c r="CL14" i="35"/>
  <c r="CI14" i="35"/>
  <c r="CF14" i="35"/>
  <c r="CC14" i="35"/>
  <c r="BZ14" i="35"/>
  <c r="BW14" i="35"/>
  <c r="BT14" i="35"/>
  <c r="CX13" i="35"/>
  <c r="CU13" i="35"/>
  <c r="CR13" i="35"/>
  <c r="CO13" i="35"/>
  <c r="CL13" i="35"/>
  <c r="CI13" i="35"/>
  <c r="CF13" i="35"/>
  <c r="CC13" i="35"/>
  <c r="BZ13" i="35"/>
  <c r="BW13" i="35"/>
  <c r="BT13" i="35"/>
  <c r="CX12" i="35"/>
  <c r="CU12" i="35"/>
  <c r="CR12" i="35"/>
  <c r="CO12" i="35"/>
  <c r="CL12" i="35"/>
  <c r="CI12" i="35"/>
  <c r="CF12" i="35"/>
  <c r="CC12" i="35"/>
  <c r="BZ12" i="35"/>
  <c r="BW12" i="35"/>
  <c r="BT12" i="35"/>
  <c r="CX11" i="35"/>
  <c r="CU11" i="35"/>
  <c r="CR11" i="35"/>
  <c r="CO11" i="35"/>
  <c r="CL11" i="35"/>
  <c r="CI11" i="35"/>
  <c r="CF11" i="35"/>
  <c r="CC11" i="35"/>
  <c r="BZ11" i="35"/>
  <c r="BW11" i="35"/>
  <c r="BT11" i="35"/>
  <c r="CX10" i="35"/>
  <c r="CU10" i="35"/>
  <c r="CR10" i="35"/>
  <c r="CO10" i="35"/>
  <c r="CL10" i="35"/>
  <c r="CI10" i="35"/>
  <c r="CF10" i="35"/>
  <c r="CC10" i="35"/>
  <c r="BZ10" i="35"/>
  <c r="BW10" i="35"/>
  <c r="BT10" i="35"/>
  <c r="CX9" i="35"/>
  <c r="CU9" i="35"/>
  <c r="CR9" i="35"/>
  <c r="CO9" i="35"/>
  <c r="CL9" i="35"/>
  <c r="CI9" i="35"/>
  <c r="CF9" i="35"/>
  <c r="CC9" i="35"/>
  <c r="BZ9" i="35"/>
  <c r="BW9" i="35"/>
  <c r="BT9" i="35"/>
  <c r="CX8" i="35"/>
  <c r="CU8" i="35"/>
  <c r="CR8" i="35"/>
  <c r="CO8" i="35"/>
  <c r="CL8" i="35"/>
  <c r="CI8" i="35"/>
  <c r="CF8" i="35"/>
  <c r="CC8" i="35"/>
  <c r="BZ8" i="35"/>
  <c r="BW8" i="35"/>
  <c r="BT8" i="35"/>
  <c r="CX7" i="35"/>
  <c r="CU7" i="35"/>
  <c r="CR7" i="35"/>
  <c r="CO7" i="35"/>
  <c r="CL7" i="35"/>
  <c r="CI7" i="35"/>
  <c r="CF7" i="35"/>
  <c r="CC7" i="35"/>
  <c r="BZ7" i="35"/>
  <c r="BW7" i="35"/>
  <c r="BT7" i="35"/>
  <c r="CX6" i="35"/>
  <c r="CU6" i="35"/>
  <c r="CR6" i="35"/>
  <c r="CO6" i="35"/>
  <c r="CL6" i="35"/>
  <c r="CI6" i="35"/>
  <c r="CF6" i="35"/>
  <c r="CC6" i="35"/>
  <c r="BZ6" i="35"/>
  <c r="BW6" i="35"/>
  <c r="BT6" i="35"/>
  <c r="CV60" i="16"/>
  <c r="CU60" i="16"/>
  <c r="CT60" i="16"/>
  <c r="CS60" i="16"/>
  <c r="CR60" i="16"/>
  <c r="CQ60" i="16"/>
  <c r="CP60" i="16"/>
  <c r="CO60" i="16"/>
  <c r="CN60" i="16"/>
  <c r="CN41" i="16" s="1"/>
  <c r="CM60" i="16"/>
  <c r="CL60" i="16"/>
  <c r="CK60" i="16"/>
  <c r="CK41" i="16" s="1"/>
  <c r="CJ60" i="16"/>
  <c r="CI60" i="16"/>
  <c r="CH60" i="16"/>
  <c r="CG60" i="16"/>
  <c r="CF60" i="16"/>
  <c r="CE60" i="16"/>
  <c r="CD60" i="16"/>
  <c r="CC60" i="16"/>
  <c r="CB60" i="16"/>
  <c r="CB41" i="16" s="1"/>
  <c r="CA60" i="16"/>
  <c r="BZ60" i="16"/>
  <c r="BY60" i="16"/>
  <c r="BY41" i="16" s="1"/>
  <c r="BX60" i="16"/>
  <c r="BW60" i="16"/>
  <c r="BV60" i="16"/>
  <c r="BU60" i="16"/>
  <c r="BT60" i="16"/>
  <c r="BS60" i="16"/>
  <c r="BR60" i="16"/>
  <c r="BQ60" i="16"/>
  <c r="BP60" i="16"/>
  <c r="BP41" i="16" s="1"/>
  <c r="BO60" i="16"/>
  <c r="BN60" i="16"/>
  <c r="BM60" i="16"/>
  <c r="BM41" i="16" s="1"/>
  <c r="BL60" i="16"/>
  <c r="BK60" i="16"/>
  <c r="BJ60" i="16"/>
  <c r="BI60" i="16"/>
  <c r="BH60" i="16"/>
  <c r="BG60" i="16"/>
  <c r="BF60" i="16"/>
  <c r="BE60" i="16"/>
  <c r="BD60" i="16"/>
  <c r="BD41" i="16" s="1"/>
  <c r="BC60" i="16"/>
  <c r="BB60" i="16"/>
  <c r="BA60" i="16"/>
  <c r="BA41" i="16" s="1"/>
  <c r="AZ60" i="16"/>
  <c r="AY60" i="16"/>
  <c r="AX60" i="16"/>
  <c r="AX41" i="16" s="1"/>
  <c r="AW60" i="16"/>
  <c r="AV60" i="16"/>
  <c r="AU60" i="16"/>
  <c r="AU41" i="16" s="1"/>
  <c r="AT60" i="16"/>
  <c r="AS60" i="16"/>
  <c r="AR60" i="16"/>
  <c r="AR41" i="16" s="1"/>
  <c r="AQ60" i="16"/>
  <c r="AP60" i="16"/>
  <c r="AO60" i="16"/>
  <c r="AO41" i="16" s="1"/>
  <c r="AN60" i="16"/>
  <c r="AM60" i="16"/>
  <c r="AL60" i="16"/>
  <c r="AL41" i="16" s="1"/>
  <c r="AK60" i="16"/>
  <c r="AJ60" i="16"/>
  <c r="AA60" i="16"/>
  <c r="Z60" i="16"/>
  <c r="Z41" i="16" s="1"/>
  <c r="Y60" i="16"/>
  <c r="X60" i="16"/>
  <c r="W60" i="16"/>
  <c r="W41" i="16" s="1"/>
  <c r="V60" i="16"/>
  <c r="U60" i="16"/>
  <c r="T60" i="16"/>
  <c r="T41" i="16" s="1"/>
  <c r="S60" i="16"/>
  <c r="R60" i="16"/>
  <c r="Q60" i="16"/>
  <c r="Q41" i="16" s="1"/>
  <c r="P60" i="16"/>
  <c r="O60" i="16"/>
  <c r="N60" i="16"/>
  <c r="N41" i="16" s="1"/>
  <c r="M60" i="16"/>
  <c r="L60" i="16"/>
  <c r="K60" i="16"/>
  <c r="K41" i="16" s="1"/>
  <c r="J60" i="16"/>
  <c r="I60" i="16"/>
  <c r="H60" i="16"/>
  <c r="H41" i="16" s="1"/>
  <c r="G60" i="16"/>
  <c r="F60" i="16"/>
  <c r="E60" i="16"/>
  <c r="E41" i="16" s="1"/>
  <c r="D60" i="16"/>
  <c r="C60" i="16"/>
  <c r="B60" i="16"/>
  <c r="B41" i="16" s="1"/>
  <c r="CV37" i="16"/>
  <c r="CT37" i="16"/>
  <c r="D145" i="3" s="1"/>
  <c r="CS37" i="16"/>
  <c r="CQ37" i="16"/>
  <c r="D144" i="3" s="1"/>
  <c r="CP37" i="16"/>
  <c r="CN37" i="16"/>
  <c r="D143" i="3" s="1"/>
  <c r="CM37" i="16"/>
  <c r="CK37" i="16"/>
  <c r="D142" i="3" s="1"/>
  <c r="CJ37" i="16"/>
  <c r="CH37" i="16"/>
  <c r="D141" i="3" s="1"/>
  <c r="CG37" i="16"/>
  <c r="CE37" i="16"/>
  <c r="D140" i="3" s="1"/>
  <c r="CD37" i="16"/>
  <c r="CB37" i="16"/>
  <c r="D139" i="3" s="1"/>
  <c r="CA37" i="16"/>
  <c r="BY37" i="16"/>
  <c r="D138" i="3" s="1"/>
  <c r="BX37" i="16"/>
  <c r="BV37" i="16"/>
  <c r="D137" i="3" s="1"/>
  <c r="BU37" i="16"/>
  <c r="BS37" i="16"/>
  <c r="D136" i="3" s="1"/>
  <c r="BR37" i="16"/>
  <c r="BP37" i="16"/>
  <c r="D135" i="3" s="1"/>
  <c r="BO37" i="16"/>
  <c r="BM37" i="16"/>
  <c r="D134" i="3" s="1"/>
  <c r="BL37" i="16"/>
  <c r="BJ37" i="16"/>
  <c r="D133" i="3" s="1"/>
  <c r="BI37" i="16"/>
  <c r="BG37" i="16"/>
  <c r="D132" i="3" s="1"/>
  <c r="BF37" i="16"/>
  <c r="BD37" i="16"/>
  <c r="D131" i="3" s="1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46" i="3" s="1"/>
  <c r="CX36" i="16"/>
  <c r="CU36" i="16"/>
  <c r="CR36" i="16"/>
  <c r="CO36" i="16"/>
  <c r="CL36" i="16"/>
  <c r="CI36" i="16"/>
  <c r="CF36" i="16"/>
  <c r="CC36" i="16"/>
  <c r="BZ36" i="16"/>
  <c r="BW36" i="16"/>
  <c r="BT36" i="16"/>
  <c r="BH36" i="16"/>
  <c r="BE36" i="16"/>
  <c r="CX35" i="16"/>
  <c r="CU35" i="16"/>
  <c r="CR35" i="16"/>
  <c r="CO35" i="16"/>
  <c r="CL35" i="16"/>
  <c r="CI35" i="16"/>
  <c r="CF35" i="16"/>
  <c r="CC35" i="16"/>
  <c r="BZ35" i="16"/>
  <c r="BW35" i="16"/>
  <c r="BT35" i="16"/>
  <c r="BH35" i="16"/>
  <c r="BE35" i="16"/>
  <c r="CX34" i="16"/>
  <c r="CU34" i="16"/>
  <c r="CR34" i="16"/>
  <c r="CO34" i="16"/>
  <c r="CL34" i="16"/>
  <c r="CI34" i="16"/>
  <c r="CF34" i="16"/>
  <c r="CC34" i="16"/>
  <c r="BZ34" i="16"/>
  <c r="BW34" i="16"/>
  <c r="BT34" i="16"/>
  <c r="BH34" i="16"/>
  <c r="BE34" i="16"/>
  <c r="CX33" i="16"/>
  <c r="CU33" i="16"/>
  <c r="CR33" i="16"/>
  <c r="CO33" i="16"/>
  <c r="CL33" i="16"/>
  <c r="CI33" i="16"/>
  <c r="CF33" i="16"/>
  <c r="CC33" i="16"/>
  <c r="BZ33" i="16"/>
  <c r="BW33" i="16"/>
  <c r="BT33" i="16"/>
  <c r="BH33" i="16"/>
  <c r="BE33" i="16"/>
  <c r="CX32" i="16"/>
  <c r="CU32" i="16"/>
  <c r="CR32" i="16"/>
  <c r="CO32" i="16"/>
  <c r="CL32" i="16"/>
  <c r="CI32" i="16"/>
  <c r="CF32" i="16"/>
  <c r="CC32" i="16"/>
  <c r="BZ32" i="16"/>
  <c r="BW32" i="16"/>
  <c r="BT32" i="16"/>
  <c r="BH32" i="16"/>
  <c r="BE32" i="16"/>
  <c r="CX31" i="16"/>
  <c r="CU31" i="16"/>
  <c r="CR31" i="16"/>
  <c r="CO31" i="16"/>
  <c r="CL31" i="16"/>
  <c r="CI31" i="16"/>
  <c r="CF31" i="16"/>
  <c r="CC31" i="16"/>
  <c r="BZ31" i="16"/>
  <c r="BW31" i="16"/>
  <c r="BT31" i="16"/>
  <c r="BH31" i="16"/>
  <c r="BE31" i="16"/>
  <c r="CX30" i="16"/>
  <c r="CU30" i="16"/>
  <c r="CR30" i="16"/>
  <c r="CO30" i="16"/>
  <c r="CL30" i="16"/>
  <c r="CI30" i="16"/>
  <c r="CF30" i="16"/>
  <c r="CC30" i="16"/>
  <c r="BZ30" i="16"/>
  <c r="BW30" i="16"/>
  <c r="BT30" i="16"/>
  <c r="BH30" i="16"/>
  <c r="BE30" i="16"/>
  <c r="CX29" i="16"/>
  <c r="CU29" i="16"/>
  <c r="CR29" i="16"/>
  <c r="CO29" i="16"/>
  <c r="CL29" i="16"/>
  <c r="CI29" i="16"/>
  <c r="CF29" i="16"/>
  <c r="CC29" i="16"/>
  <c r="BZ29" i="16"/>
  <c r="BW29" i="16"/>
  <c r="BT29" i="16"/>
  <c r="BH29" i="16"/>
  <c r="BE29" i="16"/>
  <c r="CX28" i="16"/>
  <c r="CU28" i="16"/>
  <c r="CR28" i="16"/>
  <c r="CO28" i="16"/>
  <c r="CL28" i="16"/>
  <c r="CI28" i="16"/>
  <c r="CF28" i="16"/>
  <c r="CC28" i="16"/>
  <c r="BZ28" i="16"/>
  <c r="BW28" i="16"/>
  <c r="BT28" i="16"/>
  <c r="BH28" i="16"/>
  <c r="BE28" i="16"/>
  <c r="CX27" i="16"/>
  <c r="CU27" i="16"/>
  <c r="CR27" i="16"/>
  <c r="CO27" i="16"/>
  <c r="CL27" i="16"/>
  <c r="CI27" i="16"/>
  <c r="CF27" i="16"/>
  <c r="CC27" i="16"/>
  <c r="BZ27" i="16"/>
  <c r="BW27" i="16"/>
  <c r="BT27" i="16"/>
  <c r="BH27" i="16"/>
  <c r="BE27" i="16"/>
  <c r="CX26" i="16"/>
  <c r="CU26" i="16"/>
  <c r="CR26" i="16"/>
  <c r="CO26" i="16"/>
  <c r="CL26" i="16"/>
  <c r="CI26" i="16"/>
  <c r="CF26" i="16"/>
  <c r="CC26" i="16"/>
  <c r="BZ26" i="16"/>
  <c r="BW26" i="16"/>
  <c r="BT26" i="16"/>
  <c r="BH26" i="16"/>
  <c r="BE26" i="16"/>
  <c r="CX25" i="16"/>
  <c r="CU25" i="16"/>
  <c r="CR25" i="16"/>
  <c r="CO25" i="16"/>
  <c r="CL25" i="16"/>
  <c r="CI25" i="16"/>
  <c r="CF25" i="16"/>
  <c r="CC25" i="16"/>
  <c r="BZ25" i="16"/>
  <c r="BW25" i="16"/>
  <c r="BT25" i="16"/>
  <c r="BH25" i="16"/>
  <c r="BE25" i="16"/>
  <c r="CX24" i="16"/>
  <c r="CU24" i="16"/>
  <c r="CR24" i="16"/>
  <c r="CO24" i="16"/>
  <c r="CL24" i="16"/>
  <c r="CI24" i="16"/>
  <c r="CF24" i="16"/>
  <c r="CC24" i="16"/>
  <c r="BZ24" i="16"/>
  <c r="BW24" i="16"/>
  <c r="BT24" i="16"/>
  <c r="BH24" i="16"/>
  <c r="BE24" i="16"/>
  <c r="CX23" i="16"/>
  <c r="CU23" i="16"/>
  <c r="CR23" i="16"/>
  <c r="CO23" i="16"/>
  <c r="CL23" i="16"/>
  <c r="CI23" i="16"/>
  <c r="CF23" i="16"/>
  <c r="CC23" i="16"/>
  <c r="BZ23" i="16"/>
  <c r="BW23" i="16"/>
  <c r="BT23" i="16"/>
  <c r="BH23" i="16"/>
  <c r="BE23" i="16"/>
  <c r="CX22" i="16"/>
  <c r="CU22" i="16"/>
  <c r="CR22" i="16"/>
  <c r="CO22" i="16"/>
  <c r="CL22" i="16"/>
  <c r="CI22" i="16"/>
  <c r="CF22" i="16"/>
  <c r="CC22" i="16"/>
  <c r="BZ22" i="16"/>
  <c r="BW22" i="16"/>
  <c r="BT22" i="16"/>
  <c r="BH22" i="16"/>
  <c r="BE22" i="16"/>
  <c r="CX21" i="16"/>
  <c r="CU21" i="16"/>
  <c r="CR21" i="16"/>
  <c r="CO21" i="16"/>
  <c r="CL21" i="16"/>
  <c r="CI21" i="16"/>
  <c r="CF21" i="16"/>
  <c r="CC21" i="16"/>
  <c r="BZ21" i="16"/>
  <c r="BW21" i="16"/>
  <c r="BT21" i="16"/>
  <c r="BH21" i="16"/>
  <c r="BE21" i="16"/>
  <c r="CX20" i="16"/>
  <c r="CU20" i="16"/>
  <c r="CR20" i="16"/>
  <c r="CO20" i="16"/>
  <c r="CL20" i="16"/>
  <c r="CI20" i="16"/>
  <c r="CF20" i="16"/>
  <c r="CC20" i="16"/>
  <c r="BZ20" i="16"/>
  <c r="BW20" i="16"/>
  <c r="BT20" i="16"/>
  <c r="BH20" i="16"/>
  <c r="BE20" i="16"/>
  <c r="CX19" i="16"/>
  <c r="CU19" i="16"/>
  <c r="CR19" i="16"/>
  <c r="CO19" i="16"/>
  <c r="CL19" i="16"/>
  <c r="CI19" i="16"/>
  <c r="CF19" i="16"/>
  <c r="CC19" i="16"/>
  <c r="BZ19" i="16"/>
  <c r="BW19" i="16"/>
  <c r="BT19" i="16"/>
  <c r="BH19" i="16"/>
  <c r="BE19" i="16"/>
  <c r="CX18" i="16"/>
  <c r="CU18" i="16"/>
  <c r="CR18" i="16"/>
  <c r="CO18" i="16"/>
  <c r="CL18" i="16"/>
  <c r="CI18" i="16"/>
  <c r="CF18" i="16"/>
  <c r="CC18" i="16"/>
  <c r="BZ18" i="16"/>
  <c r="BW18" i="16"/>
  <c r="BT18" i="16"/>
  <c r="BH18" i="16"/>
  <c r="BE18" i="16"/>
  <c r="CX17" i="16"/>
  <c r="CU17" i="16"/>
  <c r="CR17" i="16"/>
  <c r="CO17" i="16"/>
  <c r="CL17" i="16"/>
  <c r="CI17" i="16"/>
  <c r="CF17" i="16"/>
  <c r="CC17" i="16"/>
  <c r="BZ17" i="16"/>
  <c r="BW17" i="16"/>
  <c r="BT17" i="16"/>
  <c r="BH17" i="16"/>
  <c r="BE17" i="16"/>
  <c r="CX16" i="16"/>
  <c r="CU16" i="16"/>
  <c r="CR16" i="16"/>
  <c r="CO16" i="16"/>
  <c r="CL16" i="16"/>
  <c r="CI16" i="16"/>
  <c r="CF16" i="16"/>
  <c r="CC16" i="16"/>
  <c r="BZ16" i="16"/>
  <c r="BW16" i="16"/>
  <c r="BT16" i="16"/>
  <c r="BH16" i="16"/>
  <c r="BE16" i="16"/>
  <c r="CX15" i="16"/>
  <c r="CU15" i="16"/>
  <c r="CR15" i="16"/>
  <c r="CO15" i="16"/>
  <c r="CL15" i="16"/>
  <c r="CI15" i="16"/>
  <c r="CF15" i="16"/>
  <c r="CC15" i="16"/>
  <c r="BZ15" i="16"/>
  <c r="BW15" i="16"/>
  <c r="BT15" i="16"/>
  <c r="BH15" i="16"/>
  <c r="BE15" i="16"/>
  <c r="CX14" i="16"/>
  <c r="CU14" i="16"/>
  <c r="CR14" i="16"/>
  <c r="CO14" i="16"/>
  <c r="CL14" i="16"/>
  <c r="CI14" i="16"/>
  <c r="CF14" i="16"/>
  <c r="CC14" i="16"/>
  <c r="BZ14" i="16"/>
  <c r="BW14" i="16"/>
  <c r="BT14" i="16"/>
  <c r="BH14" i="16"/>
  <c r="BE14" i="16"/>
  <c r="CX13" i="16"/>
  <c r="CU13" i="16"/>
  <c r="CR13" i="16"/>
  <c r="CO13" i="16"/>
  <c r="CL13" i="16"/>
  <c r="CI13" i="16"/>
  <c r="CF13" i="16"/>
  <c r="CC13" i="16"/>
  <c r="BZ13" i="16"/>
  <c r="BW13" i="16"/>
  <c r="BT13" i="16"/>
  <c r="BH13" i="16"/>
  <c r="BE13" i="16"/>
  <c r="CX12" i="16"/>
  <c r="CU12" i="16"/>
  <c r="CR12" i="16"/>
  <c r="CO12" i="16"/>
  <c r="CL12" i="16"/>
  <c r="CI12" i="16"/>
  <c r="CF12" i="16"/>
  <c r="CC12" i="16"/>
  <c r="BZ12" i="16"/>
  <c r="BW12" i="16"/>
  <c r="BT12" i="16"/>
  <c r="BH12" i="16"/>
  <c r="BE12" i="16"/>
  <c r="CX11" i="16"/>
  <c r="CU11" i="16"/>
  <c r="CR11" i="16"/>
  <c r="CO11" i="16"/>
  <c r="CL11" i="16"/>
  <c r="CI11" i="16"/>
  <c r="CF11" i="16"/>
  <c r="CC11" i="16"/>
  <c r="BZ11" i="16"/>
  <c r="BW11" i="16"/>
  <c r="BT11" i="16"/>
  <c r="BH11" i="16"/>
  <c r="BE11" i="16"/>
  <c r="CX10" i="16"/>
  <c r="CU10" i="16"/>
  <c r="CR10" i="16"/>
  <c r="CO10" i="16"/>
  <c r="CL10" i="16"/>
  <c r="CI10" i="16"/>
  <c r="CF10" i="16"/>
  <c r="CC10" i="16"/>
  <c r="BZ10" i="16"/>
  <c r="BW10" i="16"/>
  <c r="BT10" i="16"/>
  <c r="BH10" i="16"/>
  <c r="BE10" i="16"/>
  <c r="CX9" i="16"/>
  <c r="CU9" i="16"/>
  <c r="CR9" i="16"/>
  <c r="CO9" i="16"/>
  <c r="CL9" i="16"/>
  <c r="CI9" i="16"/>
  <c r="CF9" i="16"/>
  <c r="CC9" i="16"/>
  <c r="BZ9" i="16"/>
  <c r="BW9" i="16"/>
  <c r="BT9" i="16"/>
  <c r="BH9" i="16"/>
  <c r="BE9" i="16"/>
  <c r="CX8" i="16"/>
  <c r="CU8" i="16"/>
  <c r="CR8" i="16"/>
  <c r="CO8" i="16"/>
  <c r="CL8" i="16"/>
  <c r="CI8" i="16"/>
  <c r="CF8" i="16"/>
  <c r="CC8" i="16"/>
  <c r="BZ8" i="16"/>
  <c r="BW8" i="16"/>
  <c r="BT8" i="16"/>
  <c r="BQ8" i="16"/>
  <c r="BN8" i="16"/>
  <c r="BK8" i="16"/>
  <c r="BH8" i="16"/>
  <c r="BE8" i="16"/>
  <c r="CX7" i="16"/>
  <c r="CU7" i="16"/>
  <c r="CR7" i="16"/>
  <c r="CO7" i="16"/>
  <c r="CL7" i="16"/>
  <c r="CI7" i="16"/>
  <c r="CF7" i="16"/>
  <c r="CC7" i="16"/>
  <c r="BZ7" i="16"/>
  <c r="BW7" i="16"/>
  <c r="BT7" i="16"/>
  <c r="BQ7" i="16"/>
  <c r="BN7" i="16"/>
  <c r="BK7" i="16"/>
  <c r="BH7" i="16"/>
  <c r="BE7" i="16"/>
  <c r="CX6" i="16"/>
  <c r="CU6" i="16"/>
  <c r="CR6" i="16"/>
  <c r="CO6" i="16"/>
  <c r="CL6" i="16"/>
  <c r="CI6" i="16"/>
  <c r="CF6" i="16"/>
  <c r="CC6" i="16"/>
  <c r="BZ6" i="16"/>
  <c r="BW6" i="16"/>
  <c r="BT6" i="16"/>
  <c r="BQ6" i="16"/>
  <c r="BN6" i="16"/>
  <c r="BK6" i="16"/>
  <c r="BH6" i="16"/>
  <c r="BE6" i="16"/>
  <c r="AW60" i="12"/>
  <c r="AV60" i="12"/>
  <c r="AU60" i="12"/>
  <c r="AT60" i="12"/>
  <c r="AS60" i="12"/>
  <c r="AR60" i="12"/>
  <c r="AR41" i="12" s="1"/>
  <c r="AQ60" i="12"/>
  <c r="AP60" i="12"/>
  <c r="AO60" i="12"/>
  <c r="AO41" i="12" s="1"/>
  <c r="AN60" i="12"/>
  <c r="AM60" i="12"/>
  <c r="AL60" i="12"/>
  <c r="AL41" i="12" s="1"/>
  <c r="AK60" i="12"/>
  <c r="AJ60" i="12"/>
  <c r="AI60" i="12"/>
  <c r="AI41" i="12" s="1"/>
  <c r="AH60" i="12"/>
  <c r="AG60" i="12"/>
  <c r="AF60" i="12"/>
  <c r="AF41" i="12" s="1"/>
  <c r="AE60" i="12"/>
  <c r="AD60" i="12"/>
  <c r="AC60" i="12"/>
  <c r="AC41" i="12" s="1"/>
  <c r="AB60" i="12"/>
  <c r="AA60" i="12"/>
  <c r="Z60" i="12"/>
  <c r="Z41" i="12" s="1"/>
  <c r="Y60" i="12"/>
  <c r="X60" i="12"/>
  <c r="W60" i="12"/>
  <c r="W41" i="12" s="1"/>
  <c r="V60" i="12"/>
  <c r="U60" i="12"/>
  <c r="T60" i="12"/>
  <c r="T41" i="12" s="1"/>
  <c r="S60" i="12"/>
  <c r="R60" i="12"/>
  <c r="Q60" i="12"/>
  <c r="Q41" i="12" s="1"/>
  <c r="P60" i="12"/>
  <c r="O60" i="12"/>
  <c r="N60" i="12"/>
  <c r="N41" i="12" s="1"/>
  <c r="M60" i="12"/>
  <c r="L60" i="12"/>
  <c r="K60" i="12"/>
  <c r="K41" i="12" s="1"/>
  <c r="J60" i="12"/>
  <c r="I60" i="12"/>
  <c r="H60" i="12"/>
  <c r="H41" i="12" s="1"/>
  <c r="G60" i="12"/>
  <c r="F60" i="12"/>
  <c r="E60" i="12"/>
  <c r="E41" i="12" s="1"/>
  <c r="D60" i="12"/>
  <c r="C60" i="12"/>
  <c r="B60" i="12"/>
  <c r="B41" i="12" s="1"/>
  <c r="AW37" i="12"/>
  <c r="AU37" i="12"/>
  <c r="D109" i="3" s="1"/>
  <c r="AT37" i="12"/>
  <c r="AR37" i="12"/>
  <c r="D108" i="3" s="1"/>
  <c r="AQ37" i="12"/>
  <c r="AO37" i="12"/>
  <c r="D107" i="3" s="1"/>
  <c r="AN37" i="12"/>
  <c r="AL37" i="12"/>
  <c r="D106" i="3" s="1"/>
  <c r="D105" i="3"/>
  <c r="D104" i="3"/>
  <c r="D103" i="3"/>
  <c r="D102" i="3"/>
  <c r="D101" i="3"/>
  <c r="D100" i="3"/>
  <c r="D99" i="3"/>
  <c r="D98" i="3"/>
  <c r="D97" i="3"/>
  <c r="D95" i="3"/>
  <c r="D37" i="12"/>
  <c r="B37" i="12"/>
  <c r="D94" i="3" s="1"/>
  <c r="AY36" i="12"/>
  <c r="AV36" i="12"/>
  <c r="AS36" i="12"/>
  <c r="AP36" i="12"/>
  <c r="AM36" i="12"/>
  <c r="C36" i="12"/>
  <c r="AY35" i="12"/>
  <c r="AV35" i="12"/>
  <c r="AS35" i="12"/>
  <c r="AP35" i="12"/>
  <c r="AM35" i="12"/>
  <c r="C35" i="12"/>
  <c r="AY34" i="12"/>
  <c r="AV34" i="12"/>
  <c r="AS34" i="12"/>
  <c r="AP34" i="12"/>
  <c r="AM34" i="12"/>
  <c r="C34" i="12"/>
  <c r="AY33" i="12"/>
  <c r="AV33" i="12"/>
  <c r="AS33" i="12"/>
  <c r="AP33" i="12"/>
  <c r="AM33" i="12"/>
  <c r="C33" i="12"/>
  <c r="AY32" i="12"/>
  <c r="AV32" i="12"/>
  <c r="AS32" i="12"/>
  <c r="AP32" i="12"/>
  <c r="AM32" i="12"/>
  <c r="C32" i="12"/>
  <c r="AY31" i="12"/>
  <c r="AV31" i="12"/>
  <c r="AS31" i="12"/>
  <c r="AP31" i="12"/>
  <c r="AM31" i="12"/>
  <c r="C31" i="12"/>
  <c r="AY30" i="12"/>
  <c r="AV30" i="12"/>
  <c r="AS30" i="12"/>
  <c r="AP30" i="12"/>
  <c r="AM30" i="12"/>
  <c r="C30" i="12"/>
  <c r="AY29" i="12"/>
  <c r="AV29" i="12"/>
  <c r="AS29" i="12"/>
  <c r="AP29" i="12"/>
  <c r="AM29" i="12"/>
  <c r="C29" i="12"/>
  <c r="AY28" i="12"/>
  <c r="AV28" i="12"/>
  <c r="AS28" i="12"/>
  <c r="AP28" i="12"/>
  <c r="AM28" i="12"/>
  <c r="C28" i="12"/>
  <c r="AY27" i="12"/>
  <c r="AV27" i="12"/>
  <c r="AS27" i="12"/>
  <c r="AP27" i="12"/>
  <c r="AM27" i="12"/>
  <c r="C27" i="12"/>
  <c r="AY26" i="12"/>
  <c r="AV26" i="12"/>
  <c r="AS26" i="12"/>
  <c r="AP26" i="12"/>
  <c r="AM26" i="12"/>
  <c r="C26" i="12"/>
  <c r="AY25" i="12"/>
  <c r="AV25" i="12"/>
  <c r="AS25" i="12"/>
  <c r="AP25" i="12"/>
  <c r="AM25" i="12"/>
  <c r="C25" i="12"/>
  <c r="AY24" i="12"/>
  <c r="AV24" i="12"/>
  <c r="AS24" i="12"/>
  <c r="AP24" i="12"/>
  <c r="AM24" i="12"/>
  <c r="C24" i="12"/>
  <c r="AY23" i="12"/>
  <c r="AV23" i="12"/>
  <c r="AS23" i="12"/>
  <c r="AP23" i="12"/>
  <c r="AM23" i="12"/>
  <c r="C23" i="12"/>
  <c r="AY22" i="12"/>
  <c r="AV22" i="12"/>
  <c r="AS22" i="12"/>
  <c r="AP22" i="12"/>
  <c r="AM22" i="12"/>
  <c r="C22" i="12"/>
  <c r="AY21" i="12"/>
  <c r="AV21" i="12"/>
  <c r="AS21" i="12"/>
  <c r="AP21" i="12"/>
  <c r="AM21" i="12"/>
  <c r="C21" i="12"/>
  <c r="AY20" i="12"/>
  <c r="AV20" i="12"/>
  <c r="AS20" i="12"/>
  <c r="AP20" i="12"/>
  <c r="AM20" i="12"/>
  <c r="C20" i="12"/>
  <c r="AY19" i="12"/>
  <c r="AV19" i="12"/>
  <c r="AS19" i="12"/>
  <c r="AP19" i="12"/>
  <c r="AM19" i="12"/>
  <c r="C19" i="12"/>
  <c r="AY18" i="12"/>
  <c r="AV18" i="12"/>
  <c r="AS18" i="12"/>
  <c r="AP18" i="12"/>
  <c r="AM18" i="12"/>
  <c r="C18" i="12"/>
  <c r="AY17" i="12"/>
  <c r="AV17" i="12"/>
  <c r="AS17" i="12"/>
  <c r="AP17" i="12"/>
  <c r="AM17" i="12"/>
  <c r="C17" i="12"/>
  <c r="AY16" i="12"/>
  <c r="AV16" i="12"/>
  <c r="AS16" i="12"/>
  <c r="AP16" i="12"/>
  <c r="AM16" i="12"/>
  <c r="C16" i="12"/>
  <c r="AY15" i="12"/>
  <c r="AV15" i="12"/>
  <c r="AS15" i="12"/>
  <c r="AP15" i="12"/>
  <c r="AM15" i="12"/>
  <c r="C15" i="12"/>
  <c r="AY14" i="12"/>
  <c r="AV14" i="12"/>
  <c r="AS14" i="12"/>
  <c r="AP14" i="12"/>
  <c r="AM14" i="12"/>
  <c r="C14" i="12"/>
  <c r="AY13" i="12"/>
  <c r="AV13" i="12"/>
  <c r="AS13" i="12"/>
  <c r="AP13" i="12"/>
  <c r="AM13" i="12"/>
  <c r="C13" i="12"/>
  <c r="AY12" i="12"/>
  <c r="AV12" i="12"/>
  <c r="AS12" i="12"/>
  <c r="AP12" i="12"/>
  <c r="AM12" i="12"/>
  <c r="C12" i="12"/>
  <c r="AY11" i="12"/>
  <c r="AV11" i="12"/>
  <c r="AS11" i="12"/>
  <c r="AP11" i="12"/>
  <c r="AM11" i="12"/>
  <c r="C11" i="12"/>
  <c r="AY10" i="12"/>
  <c r="AV10" i="12"/>
  <c r="AS10" i="12"/>
  <c r="AP10" i="12"/>
  <c r="AM10" i="12"/>
  <c r="C10" i="12"/>
  <c r="AY9" i="12"/>
  <c r="AV9" i="12"/>
  <c r="AS9" i="12"/>
  <c r="AP9" i="12"/>
  <c r="AM9" i="12"/>
  <c r="AY8" i="12"/>
  <c r="AV8" i="12"/>
  <c r="AS8" i="12"/>
  <c r="AP8" i="12"/>
  <c r="AM8" i="12"/>
  <c r="AY7" i="12"/>
  <c r="AV7" i="12"/>
  <c r="AS7" i="12"/>
  <c r="AP7" i="12"/>
  <c r="AM7" i="12"/>
  <c r="AY6" i="12"/>
  <c r="AV6" i="12"/>
  <c r="AS6" i="12"/>
  <c r="AP6" i="12"/>
  <c r="AM6" i="12"/>
  <c r="BI60" i="2"/>
  <c r="BH60" i="2"/>
  <c r="BG60" i="2"/>
  <c r="BG41" i="2" s="1"/>
  <c r="BF60" i="2"/>
  <c r="BE60" i="2"/>
  <c r="BD60" i="2"/>
  <c r="BD41" i="2" s="1"/>
  <c r="BC60" i="2"/>
  <c r="BB60" i="2"/>
  <c r="BA60" i="2"/>
  <c r="BA41" i="2" s="1"/>
  <c r="AZ60" i="2"/>
  <c r="AY60" i="2"/>
  <c r="AX60" i="2"/>
  <c r="AX41" i="2" s="1"/>
  <c r="AW60" i="2"/>
  <c r="AV60" i="2"/>
  <c r="AU60" i="2"/>
  <c r="AT60" i="2"/>
  <c r="AS60" i="2"/>
  <c r="AR60" i="2"/>
  <c r="AR41" i="2" s="1"/>
  <c r="AQ60" i="2"/>
  <c r="AP60" i="2"/>
  <c r="AO60" i="2"/>
  <c r="AO41" i="2" s="1"/>
  <c r="AN60" i="2"/>
  <c r="AM60" i="2"/>
  <c r="AL60" i="2"/>
  <c r="AK60" i="2"/>
  <c r="AJ60" i="2"/>
  <c r="AI60" i="2"/>
  <c r="AI41" i="2" s="1"/>
  <c r="AH60" i="2"/>
  <c r="AG60" i="2"/>
  <c r="AF60" i="2"/>
  <c r="AF41" i="2" s="1"/>
  <c r="AE60" i="2"/>
  <c r="AD60" i="2"/>
  <c r="AC60" i="2"/>
  <c r="AC41" i="2" s="1"/>
  <c r="AB60" i="2"/>
  <c r="AA60" i="2"/>
  <c r="Z60" i="2"/>
  <c r="Y60" i="2"/>
  <c r="X60" i="2"/>
  <c r="W60" i="2"/>
  <c r="W41" i="2" s="1"/>
  <c r="V60" i="2"/>
  <c r="U60" i="2"/>
  <c r="T60" i="2"/>
  <c r="T41" i="2" s="1"/>
  <c r="S60" i="2"/>
  <c r="R60" i="2"/>
  <c r="Q60" i="2"/>
  <c r="Q41" i="2" s="1"/>
  <c r="P60" i="2"/>
  <c r="O60" i="2"/>
  <c r="N60" i="2"/>
  <c r="N41" i="2" s="1"/>
  <c r="M60" i="2"/>
  <c r="L60" i="2"/>
  <c r="K60" i="2"/>
  <c r="K41" i="2" s="1"/>
  <c r="J60" i="2"/>
  <c r="I60" i="2"/>
  <c r="H60" i="2"/>
  <c r="H41" i="2" s="1"/>
  <c r="G60" i="2"/>
  <c r="F60" i="2"/>
  <c r="E60" i="2"/>
  <c r="E41" i="2" s="1"/>
  <c r="D60" i="2"/>
  <c r="C60" i="2"/>
  <c r="B60" i="2"/>
  <c r="BI37" i="2"/>
  <c r="BG37" i="2"/>
  <c r="D90" i="3" s="1"/>
  <c r="BF37" i="2"/>
  <c r="BD37" i="2"/>
  <c r="D89" i="3" s="1"/>
  <c r="BC37" i="2"/>
  <c r="BA37" i="2"/>
  <c r="D88" i="3" s="1"/>
  <c r="AZ37" i="2"/>
  <c r="AX37" i="2"/>
  <c r="D87" i="3" s="1"/>
  <c r="AW37" i="2"/>
  <c r="AU37" i="2"/>
  <c r="D86" i="3" s="1"/>
  <c r="AT37" i="2"/>
  <c r="AR37" i="2"/>
  <c r="D85" i="3" s="1"/>
  <c r="AQ37" i="2"/>
  <c r="AO37" i="2"/>
  <c r="D84" i="3" s="1"/>
  <c r="AN37" i="2"/>
  <c r="AL37" i="2"/>
  <c r="D83" i="3" s="1"/>
  <c r="AK37" i="2"/>
  <c r="AI37" i="2"/>
  <c r="D82" i="3" s="1"/>
  <c r="AH37" i="2"/>
  <c r="AF37" i="2"/>
  <c r="D81" i="3" s="1"/>
  <c r="AE37" i="2"/>
  <c r="AC37" i="2"/>
  <c r="D80" i="3" s="1"/>
  <c r="D79" i="3"/>
  <c r="D78" i="3"/>
  <c r="D77" i="3"/>
  <c r="D76" i="3"/>
  <c r="D75" i="3"/>
  <c r="D74" i="3"/>
  <c r="D73" i="3"/>
  <c r="D72" i="3"/>
  <c r="D37" i="2"/>
  <c r="B37" i="2"/>
  <c r="BK36" i="2"/>
  <c r="BH36" i="2"/>
  <c r="BE36" i="2"/>
  <c r="BB36" i="2"/>
  <c r="AY36" i="2"/>
  <c r="AV36" i="2"/>
  <c r="AS36" i="2"/>
  <c r="AP36" i="2"/>
  <c r="AM36" i="2"/>
  <c r="AJ36" i="2"/>
  <c r="AG36" i="2"/>
  <c r="AD36" i="2"/>
  <c r="C36" i="2"/>
  <c r="BK35" i="2"/>
  <c r="BH35" i="2"/>
  <c r="BE35" i="2"/>
  <c r="BB35" i="2"/>
  <c r="AY35" i="2"/>
  <c r="AV35" i="2"/>
  <c r="AS35" i="2"/>
  <c r="AP35" i="2"/>
  <c r="AM35" i="2"/>
  <c r="AJ35" i="2"/>
  <c r="AG35" i="2"/>
  <c r="AD35" i="2"/>
  <c r="C35" i="2"/>
  <c r="BK34" i="2"/>
  <c r="BH34" i="2"/>
  <c r="BE34" i="2"/>
  <c r="BB34" i="2"/>
  <c r="AY34" i="2"/>
  <c r="AV34" i="2"/>
  <c r="AS34" i="2"/>
  <c r="AP34" i="2"/>
  <c r="AM34" i="2"/>
  <c r="AJ34" i="2"/>
  <c r="AG34" i="2"/>
  <c r="AD34" i="2"/>
  <c r="C34" i="2"/>
  <c r="BK33" i="2"/>
  <c r="BH33" i="2"/>
  <c r="BE33" i="2"/>
  <c r="BB33" i="2"/>
  <c r="AY33" i="2"/>
  <c r="AV33" i="2"/>
  <c r="AS33" i="2"/>
  <c r="AP33" i="2"/>
  <c r="AM33" i="2"/>
  <c r="AJ33" i="2"/>
  <c r="AG33" i="2"/>
  <c r="AD33" i="2"/>
  <c r="C33" i="2"/>
  <c r="BK32" i="2"/>
  <c r="BH32" i="2"/>
  <c r="BE32" i="2"/>
  <c r="BB32" i="2"/>
  <c r="AY32" i="2"/>
  <c r="AV32" i="2"/>
  <c r="AS32" i="2"/>
  <c r="AP32" i="2"/>
  <c r="AM32" i="2"/>
  <c r="AJ32" i="2"/>
  <c r="AG32" i="2"/>
  <c r="AD32" i="2"/>
  <c r="C32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C31" i="2"/>
  <c r="BK30" i="2"/>
  <c r="BH30" i="2"/>
  <c r="BE30" i="2"/>
  <c r="BB30" i="2"/>
  <c r="AY30" i="2"/>
  <c r="AV30" i="2"/>
  <c r="AS30" i="2"/>
  <c r="AP30" i="2"/>
  <c r="AM30" i="2"/>
  <c r="AJ30" i="2"/>
  <c r="AG30" i="2"/>
  <c r="AD30" i="2"/>
  <c r="C30" i="2"/>
  <c r="BK29" i="2"/>
  <c r="BH29" i="2"/>
  <c r="BE29" i="2"/>
  <c r="BB29" i="2"/>
  <c r="AY29" i="2"/>
  <c r="AV29" i="2"/>
  <c r="AS29" i="2"/>
  <c r="AP29" i="2"/>
  <c r="AM29" i="2"/>
  <c r="AJ29" i="2"/>
  <c r="AG29" i="2"/>
  <c r="AD29" i="2"/>
  <c r="C29" i="2"/>
  <c r="BK28" i="2"/>
  <c r="BH28" i="2"/>
  <c r="BE28" i="2"/>
  <c r="BB28" i="2"/>
  <c r="AY28" i="2"/>
  <c r="AV28" i="2"/>
  <c r="AS28" i="2"/>
  <c r="AP28" i="2"/>
  <c r="AM28" i="2"/>
  <c r="AJ28" i="2"/>
  <c r="AG28" i="2"/>
  <c r="AD28" i="2"/>
  <c r="C28" i="2"/>
  <c r="BK27" i="2"/>
  <c r="BH27" i="2"/>
  <c r="BE27" i="2"/>
  <c r="BB27" i="2"/>
  <c r="AY27" i="2"/>
  <c r="AV27" i="2"/>
  <c r="AS27" i="2"/>
  <c r="AP27" i="2"/>
  <c r="AM27" i="2"/>
  <c r="AJ27" i="2"/>
  <c r="AG27" i="2"/>
  <c r="AD27" i="2"/>
  <c r="C27" i="2"/>
  <c r="BK26" i="2"/>
  <c r="BH26" i="2"/>
  <c r="BE26" i="2"/>
  <c r="BB26" i="2"/>
  <c r="AY26" i="2"/>
  <c r="AV26" i="2"/>
  <c r="AS26" i="2"/>
  <c r="AP26" i="2"/>
  <c r="AM26" i="2"/>
  <c r="AJ26" i="2"/>
  <c r="AG26" i="2"/>
  <c r="AD26" i="2"/>
  <c r="C26" i="2"/>
  <c r="BK25" i="2"/>
  <c r="BH25" i="2"/>
  <c r="BE25" i="2"/>
  <c r="BB25" i="2"/>
  <c r="AY25" i="2"/>
  <c r="AV25" i="2"/>
  <c r="AS25" i="2"/>
  <c r="AP25" i="2"/>
  <c r="AM25" i="2"/>
  <c r="AJ25" i="2"/>
  <c r="AG25" i="2"/>
  <c r="AD25" i="2"/>
  <c r="C25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C24" i="2"/>
  <c r="BK23" i="2"/>
  <c r="BH23" i="2"/>
  <c r="BE23" i="2"/>
  <c r="BB23" i="2"/>
  <c r="AY23" i="2"/>
  <c r="AV23" i="2"/>
  <c r="AS23" i="2"/>
  <c r="AP23" i="2"/>
  <c r="AM23" i="2"/>
  <c r="AJ23" i="2"/>
  <c r="AG23" i="2"/>
  <c r="AD23" i="2"/>
  <c r="C23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C22" i="2"/>
  <c r="BK21" i="2"/>
  <c r="BH21" i="2"/>
  <c r="BE21" i="2"/>
  <c r="BB21" i="2"/>
  <c r="AY21" i="2"/>
  <c r="AV21" i="2"/>
  <c r="AS21" i="2"/>
  <c r="AP21" i="2"/>
  <c r="AM21" i="2"/>
  <c r="AJ21" i="2"/>
  <c r="AG21" i="2"/>
  <c r="AD21" i="2"/>
  <c r="C21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C20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C19" i="2"/>
  <c r="BK18" i="2"/>
  <c r="BH18" i="2"/>
  <c r="BE18" i="2"/>
  <c r="BB18" i="2"/>
  <c r="AY18" i="2"/>
  <c r="AV18" i="2"/>
  <c r="AS18" i="2"/>
  <c r="AP18" i="2"/>
  <c r="AM18" i="2"/>
  <c r="AJ18" i="2"/>
  <c r="AG18" i="2"/>
  <c r="AD18" i="2"/>
  <c r="C18" i="2"/>
  <c r="BK17" i="2"/>
  <c r="BH17" i="2"/>
  <c r="BE17" i="2"/>
  <c r="BB17" i="2"/>
  <c r="AY17" i="2"/>
  <c r="AV17" i="2"/>
  <c r="AS17" i="2"/>
  <c r="AP17" i="2"/>
  <c r="AM17" i="2"/>
  <c r="AJ17" i="2"/>
  <c r="AG17" i="2"/>
  <c r="AD17" i="2"/>
  <c r="C17" i="2"/>
  <c r="BK16" i="2"/>
  <c r="BH16" i="2"/>
  <c r="BE16" i="2"/>
  <c r="BB16" i="2"/>
  <c r="AY16" i="2"/>
  <c r="AV16" i="2"/>
  <c r="AS16" i="2"/>
  <c r="AP16" i="2"/>
  <c r="AM16" i="2"/>
  <c r="AJ16" i="2"/>
  <c r="AG16" i="2"/>
  <c r="AD16" i="2"/>
  <c r="C16" i="2"/>
  <c r="BK15" i="2"/>
  <c r="BH15" i="2"/>
  <c r="BE15" i="2"/>
  <c r="BB15" i="2"/>
  <c r="AY15" i="2"/>
  <c r="AV15" i="2"/>
  <c r="AS15" i="2"/>
  <c r="AP15" i="2"/>
  <c r="AM15" i="2"/>
  <c r="AJ15" i="2"/>
  <c r="AG15" i="2"/>
  <c r="AD15" i="2"/>
  <c r="C15" i="2"/>
  <c r="BK14" i="2"/>
  <c r="BH14" i="2"/>
  <c r="BE14" i="2"/>
  <c r="BB14" i="2"/>
  <c r="AY14" i="2"/>
  <c r="AV14" i="2"/>
  <c r="AS14" i="2"/>
  <c r="AP14" i="2"/>
  <c r="AM14" i="2"/>
  <c r="AJ14" i="2"/>
  <c r="AG14" i="2"/>
  <c r="AD14" i="2"/>
  <c r="C14" i="2"/>
  <c r="BK13" i="2"/>
  <c r="BH13" i="2"/>
  <c r="BE13" i="2"/>
  <c r="BB13" i="2"/>
  <c r="AY13" i="2"/>
  <c r="AV13" i="2"/>
  <c r="AS13" i="2"/>
  <c r="AP13" i="2"/>
  <c r="AM13" i="2"/>
  <c r="AJ13" i="2"/>
  <c r="AG13" i="2"/>
  <c r="AD13" i="2"/>
  <c r="C13" i="2"/>
  <c r="BK12" i="2"/>
  <c r="BH12" i="2"/>
  <c r="BE12" i="2"/>
  <c r="BB12" i="2"/>
  <c r="AY12" i="2"/>
  <c r="AV12" i="2"/>
  <c r="AS12" i="2"/>
  <c r="AP12" i="2"/>
  <c r="AM12" i="2"/>
  <c r="AJ12" i="2"/>
  <c r="AG12" i="2"/>
  <c r="AD12" i="2"/>
  <c r="C12" i="2"/>
  <c r="BK11" i="2"/>
  <c r="BH11" i="2"/>
  <c r="BE11" i="2"/>
  <c r="BB11" i="2"/>
  <c r="AY11" i="2"/>
  <c r="AV11" i="2"/>
  <c r="AS11" i="2"/>
  <c r="AP11" i="2"/>
  <c r="AM11" i="2"/>
  <c r="AJ11" i="2"/>
  <c r="AG11" i="2"/>
  <c r="AD11" i="2"/>
  <c r="C11" i="2"/>
  <c r="BK10" i="2"/>
  <c r="BH10" i="2"/>
  <c r="BE10" i="2"/>
  <c r="BB10" i="2"/>
  <c r="AY10" i="2"/>
  <c r="AV10" i="2"/>
  <c r="AS10" i="2"/>
  <c r="AP10" i="2"/>
  <c r="AM10" i="2"/>
  <c r="AJ10" i="2"/>
  <c r="AG10" i="2"/>
  <c r="AD10" i="2"/>
  <c r="BK9" i="2"/>
  <c r="BH9" i="2"/>
  <c r="BE9" i="2"/>
  <c r="BB9" i="2"/>
  <c r="AY9" i="2"/>
  <c r="AV9" i="2"/>
  <c r="AS9" i="2"/>
  <c r="AP9" i="2"/>
  <c r="AM9" i="2"/>
  <c r="AJ9" i="2"/>
  <c r="AG9" i="2"/>
  <c r="AD9" i="2"/>
  <c r="BK8" i="2"/>
  <c r="BH8" i="2"/>
  <c r="BE8" i="2"/>
  <c r="BB8" i="2"/>
  <c r="AY8" i="2"/>
  <c r="AV8" i="2"/>
  <c r="AS8" i="2"/>
  <c r="AP8" i="2"/>
  <c r="AM8" i="2"/>
  <c r="AJ8" i="2"/>
  <c r="AG8" i="2"/>
  <c r="AD8" i="2"/>
  <c r="BK7" i="2"/>
  <c r="BH7" i="2"/>
  <c r="BE7" i="2"/>
  <c r="BB7" i="2"/>
  <c r="AY7" i="2"/>
  <c r="AV7" i="2"/>
  <c r="AS7" i="2"/>
  <c r="AP7" i="2"/>
  <c r="AM7" i="2"/>
  <c r="AJ7" i="2"/>
  <c r="AG7" i="2"/>
  <c r="AD7" i="2"/>
  <c r="BK6" i="2"/>
  <c r="BH6" i="2"/>
  <c r="BE6" i="2"/>
  <c r="BB6" i="2"/>
  <c r="AY6" i="2"/>
  <c r="AV6" i="2"/>
  <c r="AS6" i="2"/>
  <c r="AP6" i="2"/>
  <c r="AM6" i="2"/>
  <c r="AJ6" i="2"/>
  <c r="AG6" i="2"/>
  <c r="AD6" i="2"/>
  <c r="GK60" i="1"/>
  <c r="GJ60" i="1"/>
  <c r="GI60" i="1"/>
  <c r="GH60" i="1"/>
  <c r="GG60" i="1"/>
  <c r="GF60" i="1"/>
  <c r="GE60" i="1"/>
  <c r="GD60" i="1"/>
  <c r="GC60" i="1"/>
  <c r="GB60" i="1"/>
  <c r="GA60" i="1"/>
  <c r="FZ60" i="1"/>
  <c r="FZ41" i="1" s="1"/>
  <c r="FY60" i="1"/>
  <c r="FX60" i="1"/>
  <c r="FW60" i="1"/>
  <c r="FV60" i="1"/>
  <c r="FU60" i="1"/>
  <c r="FT60" i="1"/>
  <c r="FT41" i="1" s="1"/>
  <c r="FS60" i="1"/>
  <c r="FR60" i="1"/>
  <c r="FQ60" i="1"/>
  <c r="FQ41" i="1" s="1"/>
  <c r="FP60" i="1"/>
  <c r="FO60" i="1"/>
  <c r="FN60" i="1"/>
  <c r="FN41" i="1" s="1"/>
  <c r="FM60" i="1"/>
  <c r="FL60" i="1"/>
  <c r="FK60" i="1"/>
  <c r="FJ60" i="1"/>
  <c r="FI60" i="1"/>
  <c r="FH60" i="1"/>
  <c r="FH41" i="1" s="1"/>
  <c r="FG60" i="1"/>
  <c r="FF60" i="1"/>
  <c r="FE60" i="1"/>
  <c r="FE41" i="1" s="1"/>
  <c r="FD60" i="1"/>
  <c r="FC60" i="1"/>
  <c r="FB60" i="1"/>
  <c r="FB41" i="1" s="1"/>
  <c r="FA60" i="1"/>
  <c r="EZ60" i="1"/>
  <c r="EY60" i="1"/>
  <c r="EX60" i="1"/>
  <c r="EW60" i="1"/>
  <c r="EV60" i="1"/>
  <c r="EU60" i="1"/>
  <c r="ET60" i="1"/>
  <c r="ES60" i="1"/>
  <c r="ES41" i="1" s="1"/>
  <c r="ER60" i="1"/>
  <c r="EQ60" i="1"/>
  <c r="EP60" i="1"/>
  <c r="EP41" i="1" s="1"/>
  <c r="EP42" i="1" s="1"/>
  <c r="EO60" i="1"/>
  <c r="EN60" i="1"/>
  <c r="EM60" i="1"/>
  <c r="EM41" i="1" s="1"/>
  <c r="EL60" i="1"/>
  <c r="EK60" i="1"/>
  <c r="EJ60" i="1"/>
  <c r="EJ41" i="1" s="1"/>
  <c r="EI60" i="1"/>
  <c r="EH60" i="1"/>
  <c r="EG60" i="1"/>
  <c r="EG41" i="1" s="1"/>
  <c r="EF60" i="1"/>
  <c r="EE60" i="1"/>
  <c r="ED60" i="1"/>
  <c r="ED41" i="1" s="1"/>
  <c r="EC60" i="1"/>
  <c r="EB60" i="1"/>
  <c r="EA60" i="1"/>
  <c r="DZ60" i="1"/>
  <c r="DY60" i="1"/>
  <c r="DX60" i="1"/>
  <c r="DX41" i="1" s="1"/>
  <c r="DW60" i="1"/>
  <c r="DV60" i="1"/>
  <c r="DU60" i="1"/>
  <c r="DU41" i="1" s="1"/>
  <c r="DU42" i="1" s="1"/>
  <c r="DT60" i="1"/>
  <c r="DS60" i="1"/>
  <c r="DR60" i="1"/>
  <c r="DR41" i="1" s="1"/>
  <c r="DR42" i="1" s="1"/>
  <c r="DQ60" i="1"/>
  <c r="DP60" i="1"/>
  <c r="DO60" i="1"/>
  <c r="DO41" i="1" s="1"/>
  <c r="DN60" i="1"/>
  <c r="DM60" i="1"/>
  <c r="DL60" i="1"/>
  <c r="DL41" i="1" s="1"/>
  <c r="DK60" i="1"/>
  <c r="DJ60" i="1"/>
  <c r="DI60" i="1"/>
  <c r="DI41" i="1" s="1"/>
  <c r="DH60" i="1"/>
  <c r="DG60" i="1"/>
  <c r="DF60" i="1"/>
  <c r="DF41" i="1" s="1"/>
  <c r="DE60" i="1"/>
  <c r="DD60" i="1"/>
  <c r="DC60" i="1"/>
  <c r="DC41" i="1" s="1"/>
  <c r="DB60" i="1"/>
  <c r="DA60" i="1"/>
  <c r="CZ60" i="1"/>
  <c r="CZ41" i="1" s="1"/>
  <c r="CY60" i="1"/>
  <c r="CX60" i="1"/>
  <c r="CW60" i="1"/>
  <c r="CW41" i="1" s="1"/>
  <c r="CW42" i="1" s="1"/>
  <c r="CV60" i="1"/>
  <c r="CU60" i="1"/>
  <c r="CT60" i="1"/>
  <c r="CT41" i="1" s="1"/>
  <c r="CS60" i="1"/>
  <c r="CR60" i="1"/>
  <c r="CQ60" i="1"/>
  <c r="CQ41" i="1" s="1"/>
  <c r="CP60" i="1"/>
  <c r="CO60" i="1"/>
  <c r="CN60" i="1"/>
  <c r="CN41" i="1" s="1"/>
  <c r="CM60" i="1"/>
  <c r="CL60" i="1"/>
  <c r="CK60" i="1"/>
  <c r="CK41" i="1" s="1"/>
  <c r="CK42" i="1" s="1"/>
  <c r="CJ60" i="1"/>
  <c r="CI60" i="1"/>
  <c r="CH60" i="1"/>
  <c r="CH41" i="1" s="1"/>
  <c r="CH42" i="1" s="1"/>
  <c r="CG60" i="1"/>
  <c r="CF60" i="1"/>
  <c r="CE60" i="1"/>
  <c r="CE41" i="1" s="1"/>
  <c r="CD60" i="1"/>
  <c r="CC60" i="1"/>
  <c r="CB60" i="1"/>
  <c r="CB41" i="1" s="1"/>
  <c r="CA60" i="1"/>
  <c r="BZ60" i="1"/>
  <c r="BY60" i="1"/>
  <c r="BY41" i="1" s="1"/>
  <c r="BX60" i="1"/>
  <c r="BW60" i="1"/>
  <c r="BV60" i="1"/>
  <c r="BV41" i="1" s="1"/>
  <c r="BU60" i="1"/>
  <c r="BT60" i="1"/>
  <c r="BS60" i="1"/>
  <c r="BS41" i="1" s="1"/>
  <c r="BR60" i="1"/>
  <c r="BQ60" i="1"/>
  <c r="BP60" i="1"/>
  <c r="BP41" i="1" s="1"/>
  <c r="BO60" i="1"/>
  <c r="BN60" i="1"/>
  <c r="BM60" i="1"/>
  <c r="BM41" i="1" s="1"/>
  <c r="BL60" i="1"/>
  <c r="BK60" i="1"/>
  <c r="BJ60" i="1"/>
  <c r="BJ41" i="1" s="1"/>
  <c r="BI60" i="1"/>
  <c r="BH60" i="1"/>
  <c r="BG60" i="1"/>
  <c r="BG41" i="1" s="1"/>
  <c r="BF60" i="1"/>
  <c r="BE60" i="1"/>
  <c r="BD60" i="1"/>
  <c r="BD41" i="1" s="1"/>
  <c r="BC60" i="1"/>
  <c r="BB60" i="1"/>
  <c r="BA60" i="1"/>
  <c r="BA41" i="1" s="1"/>
  <c r="AZ60" i="1"/>
  <c r="AY60" i="1"/>
  <c r="AX60" i="1"/>
  <c r="AX41" i="1" s="1"/>
  <c r="AW60" i="1"/>
  <c r="AV60" i="1"/>
  <c r="AU60" i="1"/>
  <c r="AU41" i="1" s="1"/>
  <c r="AT60" i="1"/>
  <c r="AS60" i="1"/>
  <c r="AR60" i="1"/>
  <c r="AR41" i="1" s="1"/>
  <c r="AR42" i="1" s="1"/>
  <c r="AQ60" i="1"/>
  <c r="AP60" i="1"/>
  <c r="AO60" i="1"/>
  <c r="AO41" i="1" s="1"/>
  <c r="AN60" i="1"/>
  <c r="AM60" i="1"/>
  <c r="AL60" i="1"/>
  <c r="AL41" i="1" s="1"/>
  <c r="AK60" i="1"/>
  <c r="AJ60" i="1"/>
  <c r="AI60" i="1"/>
  <c r="AI41" i="1" s="1"/>
  <c r="AH60" i="1"/>
  <c r="AG60" i="1"/>
  <c r="AF60" i="1"/>
  <c r="AF41" i="1" s="1"/>
  <c r="AE60" i="1"/>
  <c r="AD60" i="1"/>
  <c r="AC60" i="1"/>
  <c r="AC41" i="1" s="1"/>
  <c r="AB60" i="1"/>
  <c r="AA60" i="1"/>
  <c r="Z60" i="1"/>
  <c r="Z41" i="1" s="1"/>
  <c r="Y60" i="1"/>
  <c r="X60" i="1"/>
  <c r="W60" i="1"/>
  <c r="W41" i="1" s="1"/>
  <c r="V60" i="1"/>
  <c r="U60" i="1"/>
  <c r="T60" i="1"/>
  <c r="T41" i="1" s="1"/>
  <c r="S60" i="1"/>
  <c r="R60" i="1"/>
  <c r="Q60" i="1"/>
  <c r="Q41" i="1" s="1"/>
  <c r="P60" i="1"/>
  <c r="O60" i="1"/>
  <c r="N60" i="1"/>
  <c r="N41" i="1" s="1"/>
  <c r="N42" i="1" s="1"/>
  <c r="M60" i="1"/>
  <c r="L60" i="1"/>
  <c r="K60" i="1"/>
  <c r="K41" i="1" s="1"/>
  <c r="J60" i="1"/>
  <c r="I60" i="1"/>
  <c r="H60" i="1"/>
  <c r="H41" i="1" s="1"/>
  <c r="G60" i="1"/>
  <c r="F60" i="1"/>
  <c r="E60" i="1"/>
  <c r="E41" i="1" s="1"/>
  <c r="D60" i="1"/>
  <c r="C60" i="1"/>
  <c r="B60" i="1"/>
  <c r="B41" i="1" s="1"/>
  <c r="GC41" i="1"/>
  <c r="EV41" i="1"/>
  <c r="GK37" i="1"/>
  <c r="GI37" i="1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1" i="3"/>
  <c r="D10" i="3"/>
  <c r="D7" i="3"/>
  <c r="D6" i="3"/>
  <c r="G37" i="1"/>
  <c r="E37" i="1"/>
  <c r="D4" i="3"/>
  <c r="GL36" i="1"/>
  <c r="F36" i="1"/>
  <c r="GL35" i="1"/>
  <c r="F35" i="1"/>
  <c r="GL34" i="1"/>
  <c r="F34" i="1"/>
  <c r="GL33" i="1"/>
  <c r="F33" i="1"/>
  <c r="GL32" i="1"/>
  <c r="F32" i="1"/>
  <c r="GL31" i="1"/>
  <c r="F31" i="1"/>
  <c r="GL30" i="1"/>
  <c r="F30" i="1"/>
  <c r="GL29" i="1"/>
  <c r="F29" i="1"/>
  <c r="GL28" i="1"/>
  <c r="F28" i="1"/>
  <c r="F27" i="1"/>
  <c r="GL26" i="1"/>
  <c r="F26" i="1"/>
  <c r="GL25" i="1"/>
  <c r="F25" i="1"/>
  <c r="GL24" i="1"/>
  <c r="F24" i="1"/>
  <c r="GL23" i="1"/>
  <c r="F23" i="1"/>
  <c r="GL22" i="1"/>
  <c r="F22" i="1"/>
  <c r="GL21" i="1"/>
  <c r="F21" i="1"/>
  <c r="GL20" i="1"/>
  <c r="F20" i="1"/>
  <c r="GL19" i="1"/>
  <c r="F19" i="1"/>
  <c r="GL18" i="1"/>
  <c r="F18" i="1"/>
  <c r="GL17" i="1"/>
  <c r="F17" i="1"/>
  <c r="GL16" i="1"/>
  <c r="F16" i="1"/>
  <c r="GL15" i="1"/>
  <c r="F15" i="1"/>
  <c r="GL13" i="1"/>
  <c r="F13" i="1"/>
  <c r="GL12" i="1"/>
  <c r="F12" i="1"/>
  <c r="GL11" i="1"/>
  <c r="GL10" i="1"/>
  <c r="GL9" i="1"/>
  <c r="GL8" i="1"/>
  <c r="GL7" i="1"/>
  <c r="GL6" i="1"/>
  <c r="C39" i="41"/>
  <c r="C28" i="41"/>
  <c r="C38" i="41"/>
  <c r="C41" i="41"/>
  <c r="C26" i="41"/>
  <c r="C40" i="41"/>
  <c r="C27" i="41"/>
  <c r="C25" i="41"/>
  <c r="C29" i="41"/>
  <c r="K42" i="1" l="1"/>
  <c r="AX42" i="1"/>
  <c r="BJ42" i="1"/>
  <c r="ED42" i="1"/>
  <c r="CQ42" i="1"/>
  <c r="EM42" i="1"/>
  <c r="C35" i="41"/>
  <c r="C88" i="41" s="1"/>
  <c r="C87" i="41"/>
  <c r="C33" i="41"/>
  <c r="C86" i="41" s="1"/>
  <c r="AU42" i="1"/>
  <c r="EG42" i="1"/>
  <c r="CT42" i="1"/>
  <c r="DC42" i="1"/>
  <c r="AF42" i="1"/>
  <c r="CN42" i="1"/>
  <c r="CZ42" i="1"/>
  <c r="DX42" i="1"/>
  <c r="EJ42" i="1"/>
  <c r="A166" i="8"/>
  <c r="CE42" i="1"/>
  <c r="A180" i="8"/>
  <c r="J180" i="8" s="1"/>
  <c r="U180" i="3"/>
  <c r="A176" i="8"/>
  <c r="J176" i="8" s="1"/>
  <c r="U176" i="3"/>
  <c r="A109" i="8"/>
  <c r="J109" i="8" s="1"/>
  <c r="M109" i="3" a="1"/>
  <c r="M109" i="3" s="1"/>
  <c r="G109" i="8" s="1"/>
  <c r="A108" i="8"/>
  <c r="J108" i="8" s="1"/>
  <c r="U108" i="3"/>
  <c r="M108" i="3" a="1"/>
  <c r="M108" i="3" s="1"/>
  <c r="G108" i="8" s="1"/>
  <c r="A107" i="8"/>
  <c r="J107" i="8" s="1"/>
  <c r="M107" i="3" a="1"/>
  <c r="M107" i="3" s="1"/>
  <c r="G107" i="8" s="1"/>
  <c r="A106" i="8"/>
  <c r="J106" i="8" s="1"/>
  <c r="M106" i="3" a="1"/>
  <c r="M106" i="3" s="1"/>
  <c r="G106" i="8" s="1"/>
  <c r="A105" i="8"/>
  <c r="J105" i="8" s="1"/>
  <c r="M105" i="3" a="1"/>
  <c r="M105" i="3" s="1"/>
  <c r="G105" i="8" s="1"/>
  <c r="A103" i="8"/>
  <c r="J103" i="8" s="1"/>
  <c r="M103" i="3" a="1"/>
  <c r="M103" i="3" s="1"/>
  <c r="G103" i="8" s="1"/>
  <c r="U101" i="3"/>
  <c r="M101" i="3" a="1"/>
  <c r="M101" i="3" s="1"/>
  <c r="G101" i="8" s="1"/>
  <c r="A100" i="8"/>
  <c r="J100" i="8" s="1"/>
  <c r="M100" i="3" a="1"/>
  <c r="M100" i="3" s="1"/>
  <c r="G100" i="8" s="1"/>
  <c r="A89" i="8"/>
  <c r="J89" i="8" s="1"/>
  <c r="U89" i="3"/>
  <c r="A85" i="8"/>
  <c r="J85" i="8" s="1"/>
  <c r="U85" i="3"/>
  <c r="Z42" i="1"/>
  <c r="M95" i="3" a="1"/>
  <c r="M95" i="3" s="1"/>
  <c r="G95" i="8" s="1"/>
  <c r="T42" i="1"/>
  <c r="U75" i="3"/>
  <c r="DF42" i="1"/>
  <c r="A10" i="8"/>
  <c r="U172" i="3"/>
  <c r="AQ45" i="7"/>
  <c r="AQ47" i="7"/>
  <c r="AQ46" i="7"/>
  <c r="D110" i="3"/>
  <c r="DO42" i="1"/>
  <c r="DL42" i="1"/>
  <c r="AL42" i="1"/>
  <c r="A15" i="8"/>
  <c r="CB42" i="1"/>
  <c r="BM42" i="1"/>
  <c r="BY42" i="1"/>
  <c r="BG42" i="1"/>
  <c r="BP42" i="1"/>
  <c r="W42" i="1"/>
  <c r="AI42" i="1"/>
  <c r="Q42" i="1"/>
  <c r="AC42" i="1"/>
  <c r="AO42" i="1"/>
  <c r="BA42" i="1"/>
  <c r="DI42" i="1"/>
  <c r="BV42" i="1"/>
  <c r="BS42" i="1"/>
  <c r="A169" i="8"/>
  <c r="U168" i="3"/>
  <c r="U162" i="3"/>
  <c r="B61" i="7"/>
  <c r="X61" i="7"/>
  <c r="AT61" i="7"/>
  <c r="D49" i="3"/>
  <c r="D5" i="3"/>
  <c r="D47" i="3"/>
  <c r="D67" i="3"/>
  <c r="D16" i="3"/>
  <c r="D8" i="3"/>
  <c r="D71" i="3"/>
  <c r="D91" i="3" s="1"/>
  <c r="D12" i="3"/>
  <c r="D14" i="3"/>
  <c r="A9" i="8"/>
  <c r="J9" i="8" s="1"/>
  <c r="D9" i="3"/>
  <c r="D15" i="3"/>
  <c r="M182" i="3"/>
  <c r="AC61" i="7"/>
  <c r="C15" i="41"/>
  <c r="O4" i="5"/>
  <c r="U81" i="3"/>
  <c r="A167" i="8"/>
  <c r="A155" i="8"/>
  <c r="A32" i="8"/>
  <c r="A165" i="8"/>
  <c r="J165" i="8" s="1"/>
  <c r="A31" i="8"/>
  <c r="U14" i="3"/>
  <c r="FE42" i="1"/>
  <c r="FQ42" i="1"/>
  <c r="U51" i="3"/>
  <c r="J48" i="8"/>
  <c r="BD8" i="7"/>
  <c r="E2" i="17" s="1"/>
  <c r="U157" i="3"/>
  <c r="BE34" i="7"/>
  <c r="A161" i="8"/>
  <c r="BE8" i="7"/>
  <c r="BE16" i="7"/>
  <c r="BE36" i="7"/>
  <c r="BE38" i="7"/>
  <c r="BE24" i="7"/>
  <c r="BE10" i="7"/>
  <c r="BE15" i="7"/>
  <c r="BE11" i="7"/>
  <c r="BE13" i="7"/>
  <c r="BE9" i="7"/>
  <c r="BE12" i="7"/>
  <c r="BE14" i="7"/>
  <c r="BE17" i="7"/>
  <c r="BE18" i="7"/>
  <c r="BE25" i="7"/>
  <c r="BE26" i="7"/>
  <c r="BE30" i="7"/>
  <c r="BE19" i="7"/>
  <c r="BE20" i="7"/>
  <c r="BE21" i="7"/>
  <c r="BE22" i="7"/>
  <c r="BE27" i="7"/>
  <c r="BE28" i="7"/>
  <c r="BE31" i="7"/>
  <c r="BE32" i="7"/>
  <c r="BE33" i="7"/>
  <c r="BE35" i="7"/>
  <c r="BE37" i="7"/>
  <c r="BE23" i="7"/>
  <c r="BE29" i="7"/>
  <c r="A158" i="8"/>
  <c r="U159" i="3"/>
  <c r="A11" i="8"/>
  <c r="U99" i="3"/>
  <c r="BD19" i="7"/>
  <c r="J54" i="8"/>
  <c r="U55" i="3"/>
  <c r="M175" i="3" a="1"/>
  <c r="M175" i="3" s="1"/>
  <c r="G175" i="8" s="1"/>
  <c r="M176" i="3" a="1"/>
  <c r="M176" i="3" s="1"/>
  <c r="G176" i="8" s="1"/>
  <c r="M174" i="3" a="1"/>
  <c r="M174" i="3" s="1"/>
  <c r="G174" i="8" s="1"/>
  <c r="M177" i="3" a="1"/>
  <c r="M177" i="3" s="1"/>
  <c r="G177" i="8" s="1"/>
  <c r="J50" i="8"/>
  <c r="FT42" i="1"/>
  <c r="J64" i="8"/>
  <c r="U58" i="3"/>
  <c r="U61" i="3"/>
  <c r="FH42" i="1"/>
  <c r="A7" i="8"/>
  <c r="U160" i="3"/>
  <c r="U34" i="3"/>
  <c r="J49" i="8"/>
  <c r="A163" i="8"/>
  <c r="A164" i="8"/>
  <c r="A56" i="8"/>
  <c r="A57" i="8"/>
  <c r="A170" i="8"/>
  <c r="A52" i="8"/>
  <c r="U20" i="3"/>
  <c r="A156" i="8"/>
  <c r="AS46" i="7"/>
  <c r="BC46" i="7"/>
  <c r="AA46" i="7"/>
  <c r="AR45" i="7"/>
  <c r="V45" i="7"/>
  <c r="BC47" i="7"/>
  <c r="AA47" i="7"/>
  <c r="BB46" i="7"/>
  <c r="W46" i="7"/>
  <c r="AB45" i="7"/>
  <c r="AS47" i="7"/>
  <c r="BB47" i="7"/>
  <c r="W47" i="7"/>
  <c r="AR46" i="7"/>
  <c r="V46" i="7"/>
  <c r="BC45" i="7"/>
  <c r="AA45" i="7"/>
  <c r="AR47" i="7"/>
  <c r="V47" i="7"/>
  <c r="AB46" i="7"/>
  <c r="AS45" i="7"/>
  <c r="BB45" i="7"/>
  <c r="W45" i="7"/>
  <c r="AB47" i="7"/>
  <c r="M47" i="3" a="1"/>
  <c r="M47" i="3" s="1"/>
  <c r="G47" i="8" s="1"/>
  <c r="M48" i="3" a="1"/>
  <c r="M48" i="3" s="1"/>
  <c r="G48" i="8" s="1"/>
  <c r="M49" i="3" a="1"/>
  <c r="M49" i="3" s="1"/>
  <c r="G49" i="8" s="1"/>
  <c r="M45" i="3" a="1"/>
  <c r="M45" i="3" s="1"/>
  <c r="G45" i="8" s="1"/>
  <c r="M50" i="3" a="1"/>
  <c r="M50" i="3" s="1"/>
  <c r="G50" i="8" s="1"/>
  <c r="M46" i="3" a="1"/>
  <c r="M46" i="3" s="1"/>
  <c r="G46" i="8" s="1"/>
  <c r="M117" i="3" a="1"/>
  <c r="M117" i="3" s="1"/>
  <c r="G117" i="8" s="1"/>
  <c r="U114" i="3"/>
  <c r="U96" i="3"/>
  <c r="A18" i="8"/>
  <c r="U22" i="3"/>
  <c r="U43" i="3"/>
  <c r="A24" i="8"/>
  <c r="U5" i="3"/>
  <c r="U13" i="3"/>
  <c r="A33" i="8"/>
  <c r="U41" i="3"/>
  <c r="A53" i="8"/>
  <c r="A71" i="8"/>
  <c r="A94" i="8"/>
  <c r="A95" i="8"/>
  <c r="M68" i="3"/>
  <c r="U67" i="3"/>
  <c r="C16" i="41"/>
  <c r="U123" i="3"/>
  <c r="U74" i="3"/>
  <c r="A60" i="8"/>
  <c r="J60" i="8" s="1"/>
  <c r="U121" i="3"/>
  <c r="U113" i="3"/>
  <c r="U151" i="3"/>
  <c r="U36" i="3"/>
  <c r="U83" i="3"/>
  <c r="U106" i="3"/>
  <c r="U170" i="3"/>
  <c r="U178" i="3"/>
  <c r="U87" i="3"/>
  <c r="U174" i="3"/>
  <c r="A12" i="8"/>
  <c r="U17" i="3"/>
  <c r="A45" i="8"/>
  <c r="A104" i="8"/>
  <c r="J104" i="8" s="1"/>
  <c r="A6" i="8"/>
  <c r="U73" i="3"/>
  <c r="U80" i="3"/>
  <c r="U82" i="3"/>
  <c r="U84" i="3"/>
  <c r="U86" i="3"/>
  <c r="U88" i="3"/>
  <c r="U90" i="3"/>
  <c r="A97" i="8"/>
  <c r="U153" i="3"/>
  <c r="A62" i="8"/>
  <c r="J62" i="8" s="1"/>
  <c r="U98" i="3"/>
  <c r="U105" i="3"/>
  <c r="U107" i="3"/>
  <c r="U109" i="3"/>
  <c r="U169" i="3"/>
  <c r="U171" i="3"/>
  <c r="U173" i="3"/>
  <c r="U175" i="3"/>
  <c r="U177" i="3"/>
  <c r="U179" i="3"/>
  <c r="U181" i="3"/>
  <c r="A59" i="8"/>
  <c r="B184" i="3"/>
  <c r="A35" i="8"/>
  <c r="F105" i="3"/>
  <c r="A16" i="8"/>
  <c r="A40" i="8"/>
  <c r="AV37" i="12"/>
  <c r="F109" i="3" s="1"/>
  <c r="A154" i="8"/>
  <c r="U149" i="3"/>
  <c r="AI61" i="16"/>
  <c r="G124" i="3" s="1"/>
  <c r="H124" i="3" s="1"/>
  <c r="A143" i="8"/>
  <c r="J143" i="8" s="1"/>
  <c r="A135" i="8"/>
  <c r="J135" i="8" s="1"/>
  <c r="BK37" i="16"/>
  <c r="F133" i="3" s="1"/>
  <c r="I133" i="3" s="1"/>
  <c r="A139" i="8"/>
  <c r="J139" i="8" s="1"/>
  <c r="U117" i="3"/>
  <c r="A141" i="8"/>
  <c r="J141" i="8" s="1"/>
  <c r="A145" i="8"/>
  <c r="J145" i="8" s="1"/>
  <c r="A138" i="8"/>
  <c r="J138" i="8" s="1"/>
  <c r="A140" i="8"/>
  <c r="J140" i="8" s="1"/>
  <c r="A142" i="8"/>
  <c r="J142" i="8" s="1"/>
  <c r="A144" i="8"/>
  <c r="J144" i="8" s="1"/>
  <c r="A133" i="8"/>
  <c r="J133" i="8" s="1"/>
  <c r="BQ37" i="16"/>
  <c r="F135" i="3" s="1"/>
  <c r="U124" i="3"/>
  <c r="A132" i="8"/>
  <c r="J132" i="8" s="1"/>
  <c r="U132" i="3"/>
  <c r="A134" i="8"/>
  <c r="J134" i="8" s="1"/>
  <c r="C89" i="41"/>
  <c r="C91" i="41"/>
  <c r="C90" i="41"/>
  <c r="C92" i="41"/>
  <c r="A137" i="8"/>
  <c r="J137" i="8" s="1"/>
  <c r="A19" i="8"/>
  <c r="A21" i="8"/>
  <c r="A115" i="8"/>
  <c r="U115" i="3"/>
  <c r="C17" i="41"/>
  <c r="K61" i="1"/>
  <c r="G7" i="3" s="1"/>
  <c r="AI61" i="1"/>
  <c r="G15" i="3" s="1"/>
  <c r="EV42" i="1"/>
  <c r="A34" i="8"/>
  <c r="U66" i="3"/>
  <c r="A116" i="8"/>
  <c r="U116" i="3"/>
  <c r="BV61" i="1"/>
  <c r="G28" i="3" s="1"/>
  <c r="GC42" i="1"/>
  <c r="E42" i="1"/>
  <c r="ES42" i="1"/>
  <c r="AM37" i="12"/>
  <c r="F106" i="3" s="1"/>
  <c r="AP37" i="12"/>
  <c r="F107" i="3" s="1"/>
  <c r="A51" i="8"/>
  <c r="A114" i="8"/>
  <c r="J114" i="8" s="1"/>
  <c r="BJ61" i="1"/>
  <c r="G24" i="3" s="1"/>
  <c r="U32" i="3"/>
  <c r="A25" i="8"/>
  <c r="A28" i="8"/>
  <c r="A30" i="8"/>
  <c r="J30" i="8" s="1"/>
  <c r="A29" i="8"/>
  <c r="U27" i="3"/>
  <c r="A4" i="8"/>
  <c r="U4" i="3"/>
  <c r="U60" i="3"/>
  <c r="A122" i="8"/>
  <c r="J122" i="8" s="1"/>
  <c r="U122" i="3"/>
  <c r="A120" i="8"/>
  <c r="J120" i="8" s="1"/>
  <c r="U120" i="3"/>
  <c r="A119" i="8"/>
  <c r="U119" i="3"/>
  <c r="A113" i="8"/>
  <c r="J113" i="8" s="1"/>
  <c r="U166" i="3"/>
  <c r="A168" i="8"/>
  <c r="U165" i="3"/>
  <c r="U167" i="3"/>
  <c r="E61" i="12"/>
  <c r="G95" i="3" s="1"/>
  <c r="K61" i="12"/>
  <c r="G97" i="3" s="1"/>
  <c r="Q61" i="12"/>
  <c r="G99" i="3" s="1"/>
  <c r="W61" i="12"/>
  <c r="G101" i="3" s="1"/>
  <c r="AC61" i="12"/>
  <c r="G103" i="3" s="1"/>
  <c r="N103" i="3" s="1"/>
  <c r="F103" i="8" s="1"/>
  <c r="AI61" i="12"/>
  <c r="G105" i="3" s="1"/>
  <c r="N105" i="3" s="1"/>
  <c r="F105" i="8" s="1"/>
  <c r="AO61" i="12"/>
  <c r="G107" i="3" s="1"/>
  <c r="I107" i="3" s="1"/>
  <c r="AU61" i="12"/>
  <c r="G109" i="3" s="1"/>
  <c r="A150" i="8"/>
  <c r="U152" i="3"/>
  <c r="A8" i="8"/>
  <c r="A118" i="8"/>
  <c r="J118" i="8" s="1"/>
  <c r="U118" i="3"/>
  <c r="A117" i="8"/>
  <c r="A129" i="8"/>
  <c r="J129" i="8" s="1"/>
  <c r="U129" i="3"/>
  <c r="AC61" i="35"/>
  <c r="Q61" i="1"/>
  <c r="G9" i="3" s="1"/>
  <c r="A127" i="8"/>
  <c r="J127" i="8" s="1"/>
  <c r="U127" i="3"/>
  <c r="AC61" i="1"/>
  <c r="G13" i="3" s="1"/>
  <c r="F47" i="7" s="1"/>
  <c r="U63" i="3"/>
  <c r="A61" i="8"/>
  <c r="U21" i="3"/>
  <c r="A13" i="8"/>
  <c r="U62" i="3"/>
  <c r="U53" i="3"/>
  <c r="A5" i="8"/>
  <c r="U7" i="3"/>
  <c r="U9" i="3"/>
  <c r="U11" i="3"/>
  <c r="U6" i="3"/>
  <c r="U8" i="3"/>
  <c r="U10" i="3"/>
  <c r="A126" i="8"/>
  <c r="J126" i="8" s="1"/>
  <c r="U126" i="3"/>
  <c r="A130" i="8"/>
  <c r="J130" i="8" s="1"/>
  <c r="U130" i="3"/>
  <c r="A131" i="8"/>
  <c r="J131" i="8" s="1"/>
  <c r="U131" i="3"/>
  <c r="AO61" i="1"/>
  <c r="G17" i="3" s="1"/>
  <c r="CW61" i="1"/>
  <c r="G37" i="3" s="1"/>
  <c r="DC61" i="1"/>
  <c r="G39" i="3" s="1"/>
  <c r="DI61" i="1"/>
  <c r="G41" i="3" s="1"/>
  <c r="DO61" i="1"/>
  <c r="G43" i="3" s="1"/>
  <c r="DU61" i="1"/>
  <c r="EA61" i="1"/>
  <c r="G47" i="3" s="1"/>
  <c r="EG61" i="1"/>
  <c r="G49" i="3" s="1"/>
  <c r="EM61" i="1"/>
  <c r="G51" i="3" s="1"/>
  <c r="ES61" i="1"/>
  <c r="G53" i="3" s="1"/>
  <c r="N53" i="3" s="1"/>
  <c r="F53" i="8" s="1"/>
  <c r="EY61" i="1"/>
  <c r="G55" i="3" s="1"/>
  <c r="D55" i="8" s="1"/>
  <c r="FE61" i="1"/>
  <c r="G57" i="3" s="1"/>
  <c r="K57" i="3" s="1"/>
  <c r="E57" i="8" s="1"/>
  <c r="FK61" i="1"/>
  <c r="G59" i="3" s="1"/>
  <c r="FQ61" i="1"/>
  <c r="G61" i="3" s="1"/>
  <c r="N61" i="3" s="1"/>
  <c r="F61" i="8" s="1"/>
  <c r="FW61" i="1"/>
  <c r="G63" i="3" s="1"/>
  <c r="D63" i="8" s="1"/>
  <c r="GC61" i="1"/>
  <c r="G65" i="3" s="1"/>
  <c r="N65" i="3" s="1"/>
  <c r="F65" i="8" s="1"/>
  <c r="GI61" i="1"/>
  <c r="G67" i="3" s="1"/>
  <c r="H61" i="1"/>
  <c r="G6" i="3" s="1"/>
  <c r="AR61" i="1"/>
  <c r="G18" i="3" s="1"/>
  <c r="BD61" i="1"/>
  <c r="G22" i="3" s="1"/>
  <c r="BP61" i="1"/>
  <c r="G26" i="3" s="1"/>
  <c r="CB61" i="1"/>
  <c r="G30" i="3" s="1"/>
  <c r="CN61" i="1"/>
  <c r="G34" i="3" s="1"/>
  <c r="CZ61" i="1"/>
  <c r="G38" i="3" s="1"/>
  <c r="DL61" i="1"/>
  <c r="G42" i="3" s="1"/>
  <c r="DX61" i="1"/>
  <c r="EJ61" i="1"/>
  <c r="EV61" i="1"/>
  <c r="G54" i="3" s="1"/>
  <c r="FH61" i="1"/>
  <c r="G58" i="3" s="1"/>
  <c r="H58" i="3" s="1"/>
  <c r="FT61" i="1"/>
  <c r="G62" i="3" s="1"/>
  <c r="K62" i="3" s="1"/>
  <c r="E62" i="8" s="1"/>
  <c r="GF61" i="1"/>
  <c r="G66" i="3" s="1"/>
  <c r="K66" i="3" s="1"/>
  <c r="E66" i="8" s="1"/>
  <c r="H42" i="1"/>
  <c r="BD42" i="1"/>
  <c r="K61" i="2"/>
  <c r="G74" i="3" s="1"/>
  <c r="AU61" i="2"/>
  <c r="G86" i="3" s="1"/>
  <c r="BD61" i="16"/>
  <c r="G131" i="3" s="1"/>
  <c r="D131" i="8" s="1"/>
  <c r="CB61" i="16"/>
  <c r="G139" i="3" s="1"/>
  <c r="D139" i="8" s="1"/>
  <c r="H61" i="16"/>
  <c r="G115" i="3" s="1"/>
  <c r="BP61" i="16"/>
  <c r="G135" i="3" s="1"/>
  <c r="N135" i="3" s="1"/>
  <c r="F135" i="8" s="1"/>
  <c r="CN61" i="16"/>
  <c r="G143" i="3" s="1"/>
  <c r="U154" i="3"/>
  <c r="A153" i="8"/>
  <c r="U158" i="3"/>
  <c r="K61" i="35"/>
  <c r="G152" i="3" s="1"/>
  <c r="W61" i="35"/>
  <c r="G156" i="3" s="1"/>
  <c r="AD47" i="7" s="1"/>
  <c r="AI61" i="35"/>
  <c r="AU61" i="35"/>
  <c r="BG61" i="35"/>
  <c r="G168" i="3" s="1"/>
  <c r="H168" i="3" s="1"/>
  <c r="BS61" i="35"/>
  <c r="G172" i="3" s="1"/>
  <c r="D172" i="8" s="1"/>
  <c r="CE61" i="35"/>
  <c r="G176" i="3" s="1"/>
  <c r="K176" i="3" s="1"/>
  <c r="E176" i="8" s="1"/>
  <c r="CQ61" i="35"/>
  <c r="G180" i="3" s="1"/>
  <c r="T61" i="35"/>
  <c r="G155" i="3" s="1"/>
  <c r="AF47" i="7" s="1"/>
  <c r="AF61" i="35"/>
  <c r="G159" i="3" s="1"/>
  <c r="AJ47" i="7" s="1"/>
  <c r="AR61" i="35"/>
  <c r="G163" i="3" s="1"/>
  <c r="BD61" i="35"/>
  <c r="G167" i="3" s="1"/>
  <c r="BP61" i="35"/>
  <c r="G171" i="3" s="1"/>
  <c r="D171" i="8" s="1"/>
  <c r="AF61" i="1"/>
  <c r="G14" i="3" s="1"/>
  <c r="W61" i="1"/>
  <c r="AU61" i="1"/>
  <c r="G19" i="3" s="1"/>
  <c r="U26" i="3"/>
  <c r="U25" i="3"/>
  <c r="A55" i="8"/>
  <c r="F104" i="3"/>
  <c r="U104" i="3"/>
  <c r="U164" i="3"/>
  <c r="T61" i="1"/>
  <c r="A152" i="8"/>
  <c r="U54" i="3"/>
  <c r="U29" i="3"/>
  <c r="U28" i="3"/>
  <c r="U30" i="3"/>
  <c r="A20" i="8"/>
  <c r="A41" i="8"/>
  <c r="CH61" i="1"/>
  <c r="G32" i="3" s="1"/>
  <c r="BT37" i="35"/>
  <c r="F172" i="3" s="1"/>
  <c r="I172" i="3" s="1"/>
  <c r="CF37" i="35"/>
  <c r="F176" i="3" s="1"/>
  <c r="I176" i="3" s="1"/>
  <c r="F165" i="3"/>
  <c r="F169" i="3"/>
  <c r="BW37" i="35"/>
  <c r="F173" i="3" s="1"/>
  <c r="I173" i="3" s="1"/>
  <c r="CI37" i="35"/>
  <c r="F177" i="3" s="1"/>
  <c r="I177" i="3" s="1"/>
  <c r="CU37" i="35"/>
  <c r="F181" i="3" s="1"/>
  <c r="I181" i="3" s="1"/>
  <c r="F168" i="3"/>
  <c r="CR37" i="35"/>
  <c r="F180" i="3" s="1"/>
  <c r="I180" i="3" s="1"/>
  <c r="BW37" i="16"/>
  <c r="F137" i="3" s="1"/>
  <c r="CI37" i="16"/>
  <c r="F141" i="3" s="1"/>
  <c r="I141" i="3" s="1"/>
  <c r="CU37" i="16"/>
  <c r="F145" i="3" s="1"/>
  <c r="I145" i="3" s="1"/>
  <c r="CO37" i="16"/>
  <c r="F143" i="3" s="1"/>
  <c r="I143" i="3" s="1"/>
  <c r="CF37" i="16"/>
  <c r="F140" i="3" s="1"/>
  <c r="I140" i="3" s="1"/>
  <c r="CR37" i="16"/>
  <c r="F144" i="3" s="1"/>
  <c r="I144" i="3" s="1"/>
  <c r="CC37" i="16"/>
  <c r="F139" i="3" s="1"/>
  <c r="I139" i="3" s="1"/>
  <c r="E61" i="1"/>
  <c r="G5" i="3" s="1"/>
  <c r="U19" i="3"/>
  <c r="U18" i="3"/>
  <c r="F95" i="3"/>
  <c r="U95" i="3"/>
  <c r="A101" i="8"/>
  <c r="J101" i="8" s="1"/>
  <c r="A99" i="8"/>
  <c r="F99" i="3"/>
  <c r="A128" i="8"/>
  <c r="J128" i="8" s="1"/>
  <c r="A123" i="8"/>
  <c r="J123" i="8" s="1"/>
  <c r="A124" i="8"/>
  <c r="J124" i="8" s="1"/>
  <c r="U52" i="3"/>
  <c r="A43" i="8"/>
  <c r="U39" i="3"/>
  <c r="U44" i="3"/>
  <c r="U37" i="3"/>
  <c r="A44" i="8"/>
  <c r="A37" i="8"/>
  <c r="J37" i="8" s="1"/>
  <c r="U42" i="3"/>
  <c r="A39" i="8"/>
  <c r="A42" i="8"/>
  <c r="U38" i="3"/>
  <c r="A38" i="8"/>
  <c r="U31" i="3"/>
  <c r="U33" i="3"/>
  <c r="U15" i="3"/>
  <c r="U64" i="3"/>
  <c r="U65" i="3"/>
  <c r="U56" i="3"/>
  <c r="U57" i="3"/>
  <c r="A46" i="8"/>
  <c r="U40" i="3"/>
  <c r="A36" i="8"/>
  <c r="U16" i="3"/>
  <c r="A17" i="8"/>
  <c r="A14" i="8"/>
  <c r="U12" i="3"/>
  <c r="A74" i="8"/>
  <c r="U72" i="3"/>
  <c r="A72" i="8"/>
  <c r="A79" i="8"/>
  <c r="J79" i="8" s="1"/>
  <c r="A73" i="8"/>
  <c r="A75" i="8"/>
  <c r="U71" i="3"/>
  <c r="U100" i="3"/>
  <c r="A98" i="8"/>
  <c r="U94" i="3"/>
  <c r="F115" i="3"/>
  <c r="F116" i="3"/>
  <c r="A159" i="8"/>
  <c r="A160" i="8"/>
  <c r="U161" i="3"/>
  <c r="U155" i="3"/>
  <c r="A151" i="8"/>
  <c r="U150" i="3"/>
  <c r="GF41" i="1"/>
  <c r="GF42" i="1" s="1"/>
  <c r="BA61" i="1"/>
  <c r="G21" i="3" s="1"/>
  <c r="BM61" i="1"/>
  <c r="G25" i="3" s="1"/>
  <c r="BY61" i="1"/>
  <c r="G29" i="3" s="1"/>
  <c r="CK61" i="1"/>
  <c r="B42" i="1"/>
  <c r="B61" i="1"/>
  <c r="G4" i="3" s="1"/>
  <c r="N61" i="1"/>
  <c r="G8" i="3" s="1"/>
  <c r="Z61" i="1"/>
  <c r="G12" i="3" s="1"/>
  <c r="AL61" i="1"/>
  <c r="G16" i="3" s="1"/>
  <c r="AX61" i="1"/>
  <c r="G20" i="3" s="1"/>
  <c r="DF61" i="1"/>
  <c r="G40" i="3" s="1"/>
  <c r="DR61" i="1"/>
  <c r="G44" i="3" s="1"/>
  <c r="ED61" i="1"/>
  <c r="G48" i="3" s="1"/>
  <c r="EP61" i="1"/>
  <c r="G52" i="3" s="1"/>
  <c r="FB61" i="1"/>
  <c r="G56" i="3" s="1"/>
  <c r="K56" i="3" s="1"/>
  <c r="E56" i="8" s="1"/>
  <c r="FN61" i="1"/>
  <c r="G60" i="3" s="1"/>
  <c r="FZ61" i="1"/>
  <c r="G64" i="3" s="1"/>
  <c r="N64" i="3" s="1"/>
  <c r="F64" i="8" s="1"/>
  <c r="B61" i="2"/>
  <c r="G71" i="3" s="1"/>
  <c r="N61" i="2"/>
  <c r="G75" i="3" s="1"/>
  <c r="Z61" i="2"/>
  <c r="G79" i="3" s="1"/>
  <c r="K79" i="3" s="1"/>
  <c r="E79" i="8" s="1"/>
  <c r="AL61" i="2"/>
  <c r="G83" i="3" s="1"/>
  <c r="AX61" i="2"/>
  <c r="G87" i="3" s="1"/>
  <c r="D87" i="8" s="1"/>
  <c r="B41" i="2"/>
  <c r="AL41" i="2"/>
  <c r="H61" i="2"/>
  <c r="G73" i="3" s="1"/>
  <c r="Y47" i="7" s="1"/>
  <c r="T61" i="2"/>
  <c r="G77" i="3" s="1"/>
  <c r="D77" i="8" s="1"/>
  <c r="AF61" i="2"/>
  <c r="G81" i="3" s="1"/>
  <c r="AR61" i="2"/>
  <c r="G85" i="3" s="1"/>
  <c r="D85" i="8" s="1"/>
  <c r="BD61" i="2"/>
  <c r="G89" i="3" s="1"/>
  <c r="Z41" i="2"/>
  <c r="Q61" i="2"/>
  <c r="G76" i="3" s="1"/>
  <c r="K76" i="3" s="1"/>
  <c r="E76" i="8" s="1"/>
  <c r="AC61" i="2"/>
  <c r="G80" i="3" s="1"/>
  <c r="AO61" i="2"/>
  <c r="G84" i="3" s="1"/>
  <c r="BA61" i="2"/>
  <c r="G88" i="3" s="1"/>
  <c r="H88" i="3" s="1"/>
  <c r="B61" i="12"/>
  <c r="G94" i="3" s="1"/>
  <c r="N61" i="12"/>
  <c r="Z61" i="12"/>
  <c r="G102" i="3" s="1"/>
  <c r="D102" i="8" s="1"/>
  <c r="AL61" i="12"/>
  <c r="G106" i="3" s="1"/>
  <c r="K106" i="3" s="1"/>
  <c r="E106" i="8" s="1"/>
  <c r="H61" i="12"/>
  <c r="G96" i="3" s="1"/>
  <c r="T61" i="12"/>
  <c r="G100" i="3" s="1"/>
  <c r="AF61" i="12"/>
  <c r="G104" i="3" s="1"/>
  <c r="N104" i="3" s="1"/>
  <c r="F104" i="8" s="1"/>
  <c r="AR61" i="12"/>
  <c r="G108" i="3" s="1"/>
  <c r="K108" i="3" s="1"/>
  <c r="E108" i="8" s="1"/>
  <c r="K61" i="16"/>
  <c r="G116" i="3" s="1"/>
  <c r="AO61" i="16"/>
  <c r="G126" i="3" s="1"/>
  <c r="K126" i="3" s="1"/>
  <c r="E126" i="8" s="1"/>
  <c r="AU61" i="16"/>
  <c r="G128" i="3" s="1"/>
  <c r="H128" i="3" s="1"/>
  <c r="BG61" i="16"/>
  <c r="G132" i="3" s="1"/>
  <c r="BS61" i="16"/>
  <c r="G136" i="3" s="1"/>
  <c r="CE61" i="16"/>
  <c r="G140" i="3" s="1"/>
  <c r="H140" i="3" s="1"/>
  <c r="CQ61" i="16"/>
  <c r="G144" i="3" s="1"/>
  <c r="B61" i="16"/>
  <c r="G113" i="3" s="1"/>
  <c r="AW47" i="7" s="1"/>
  <c r="E61" i="16"/>
  <c r="N61" i="16"/>
  <c r="G117" i="3" s="1"/>
  <c r="T61" i="16"/>
  <c r="G119" i="3" s="1"/>
  <c r="Z61" i="16"/>
  <c r="G121" i="3" s="1"/>
  <c r="AX61" i="16"/>
  <c r="G129" i="3" s="1"/>
  <c r="K129" i="3" s="1"/>
  <c r="E129" i="8" s="1"/>
  <c r="BA61" i="16"/>
  <c r="G130" i="3" s="1"/>
  <c r="BJ61" i="16"/>
  <c r="G133" i="3" s="1"/>
  <c r="BM61" i="16"/>
  <c r="G134" i="3" s="1"/>
  <c r="N134" i="3" s="1"/>
  <c r="F134" i="8" s="1"/>
  <c r="BV61" i="16"/>
  <c r="G137" i="3" s="1"/>
  <c r="BY61" i="16"/>
  <c r="G138" i="3" s="1"/>
  <c r="CH61" i="16"/>
  <c r="G141" i="3" s="1"/>
  <c r="CK61" i="16"/>
  <c r="G142" i="3" s="1"/>
  <c r="K142" i="3" s="1"/>
  <c r="E142" i="8" s="1"/>
  <c r="CT61" i="16"/>
  <c r="G145" i="3" s="1"/>
  <c r="CQ41" i="35"/>
  <c r="N61" i="35"/>
  <c r="CN61" i="35"/>
  <c r="G179" i="3" s="1"/>
  <c r="H179" i="3" s="1"/>
  <c r="CE41" i="35"/>
  <c r="E61" i="35"/>
  <c r="G150" i="3" s="1"/>
  <c r="AO61" i="35"/>
  <c r="G162" i="3" s="1"/>
  <c r="BA61" i="35"/>
  <c r="G166" i="3" s="1"/>
  <c r="K166" i="3" s="1"/>
  <c r="E166" i="8" s="1"/>
  <c r="BM61" i="35"/>
  <c r="G170" i="3" s="1"/>
  <c r="H170" i="3" s="1"/>
  <c r="BY61" i="35"/>
  <c r="G174" i="3" s="1"/>
  <c r="K174" i="3" s="1"/>
  <c r="E174" i="8" s="1"/>
  <c r="CK61" i="35"/>
  <c r="G178" i="3" s="1"/>
  <c r="H178" i="3" s="1"/>
  <c r="BS41" i="35"/>
  <c r="B61" i="35"/>
  <c r="G149" i="3" s="1"/>
  <c r="Z61" i="35"/>
  <c r="G157" i="3" s="1"/>
  <c r="AX61" i="35"/>
  <c r="G165" i="3" s="1"/>
  <c r="H165" i="3" s="1"/>
  <c r="BJ61" i="35"/>
  <c r="G169" i="3" s="1"/>
  <c r="H169" i="3" s="1"/>
  <c r="BV61" i="35"/>
  <c r="G173" i="3" s="1"/>
  <c r="H173" i="3" s="1"/>
  <c r="CH61" i="35"/>
  <c r="G177" i="3" s="1"/>
  <c r="N177" i="3" s="1"/>
  <c r="F177" i="8" s="1"/>
  <c r="CT61" i="35"/>
  <c r="G181" i="3" s="1"/>
  <c r="H181" i="3" s="1"/>
  <c r="CB61" i="35"/>
  <c r="G175" i="3" s="1"/>
  <c r="K175" i="3" s="1"/>
  <c r="E175" i="8" s="1"/>
  <c r="AS37" i="12"/>
  <c r="F108" i="3" s="1"/>
  <c r="GM34" i="1"/>
  <c r="AT32" i="17" s="1"/>
  <c r="U59" i="3"/>
  <c r="FB42" i="1"/>
  <c r="FN42" i="1"/>
  <c r="FZ42" i="1"/>
  <c r="CT61" i="1"/>
  <c r="G36" i="3" s="1"/>
  <c r="BS61" i="1"/>
  <c r="G27" i="3" s="1"/>
  <c r="CE61" i="1"/>
  <c r="G31" i="3" s="1"/>
  <c r="CQ61" i="1"/>
  <c r="G35" i="3" s="1"/>
  <c r="BG61" i="1"/>
  <c r="G23" i="3" s="1"/>
  <c r="EA41" i="1"/>
  <c r="EA42" i="1" s="1"/>
  <c r="EY41" i="1"/>
  <c r="EY42" i="1" s="1"/>
  <c r="FK41" i="1"/>
  <c r="FK42" i="1" s="1"/>
  <c r="FW41" i="1"/>
  <c r="FW42" i="1" s="1"/>
  <c r="GI41" i="1"/>
  <c r="GI42" i="1" s="1"/>
  <c r="AI61" i="2"/>
  <c r="G82" i="3" s="1"/>
  <c r="K82" i="3" s="1"/>
  <c r="E82" i="8" s="1"/>
  <c r="W61" i="2"/>
  <c r="G78" i="3" s="1"/>
  <c r="D78" i="8" s="1"/>
  <c r="BG61" i="2"/>
  <c r="G90" i="3" s="1"/>
  <c r="AU41" i="2"/>
  <c r="E61" i="2"/>
  <c r="G72" i="3" s="1"/>
  <c r="H72" i="3" s="1"/>
  <c r="AU41" i="12"/>
  <c r="AL61" i="35"/>
  <c r="BP41" i="35"/>
  <c r="CN41" i="35"/>
  <c r="H61" i="35"/>
  <c r="Q61" i="35"/>
  <c r="G154" i="3" s="1"/>
  <c r="AL61" i="16"/>
  <c r="G125" i="3" s="1"/>
  <c r="N125" i="3" s="1"/>
  <c r="F125" i="8" s="1"/>
  <c r="W61" i="16"/>
  <c r="G120" i="3" s="1"/>
  <c r="G122" i="3"/>
  <c r="BG41" i="16"/>
  <c r="BS41" i="16"/>
  <c r="CE41" i="16"/>
  <c r="CQ41" i="16"/>
  <c r="BJ41" i="16"/>
  <c r="BV41" i="16"/>
  <c r="CH41" i="16"/>
  <c r="CT41" i="16"/>
  <c r="G123" i="3"/>
  <c r="AR61" i="16"/>
  <c r="G127" i="3" s="1"/>
  <c r="K127" i="3" s="1"/>
  <c r="E127" i="8" s="1"/>
  <c r="F164" i="3"/>
  <c r="BT37" i="16"/>
  <c r="F136" i="3" s="1"/>
  <c r="A136" i="8"/>
  <c r="J136" i="8" s="1"/>
  <c r="F103" i="3"/>
  <c r="BE37" i="16"/>
  <c r="F131" i="3" s="1"/>
  <c r="A121" i="8"/>
  <c r="J121" i="8" s="1"/>
  <c r="F149" i="3"/>
  <c r="A149" i="8"/>
  <c r="U103" i="3"/>
  <c r="GM32" i="1"/>
  <c r="AT30" i="17" s="1"/>
  <c r="A26" i="8"/>
  <c r="A27" i="8"/>
  <c r="GM30" i="1"/>
  <c r="AT28" i="17" s="1"/>
  <c r="U77" i="3"/>
  <c r="U78" i="3"/>
  <c r="BD10" i="7"/>
  <c r="E4" i="17" s="1"/>
  <c r="BD12" i="7"/>
  <c r="E6" i="17" s="1"/>
  <c r="A58" i="8"/>
  <c r="F123" i="3"/>
  <c r="F114" i="3"/>
  <c r="BN37" i="16"/>
  <c r="F134" i="3" s="1"/>
  <c r="I134" i="3" s="1"/>
  <c r="BZ37" i="16"/>
  <c r="F138" i="3" s="1"/>
  <c r="I138" i="3" s="1"/>
  <c r="CL37" i="16"/>
  <c r="F142" i="3" s="1"/>
  <c r="I142" i="3" s="1"/>
  <c r="F121" i="3"/>
  <c r="GM26" i="1"/>
  <c r="AT24" i="17" s="1"/>
  <c r="F158" i="3"/>
  <c r="F166" i="3"/>
  <c r="F170" i="3"/>
  <c r="BZ37" i="35"/>
  <c r="F174" i="3" s="1"/>
  <c r="I174" i="3" s="1"/>
  <c r="CL37" i="35"/>
  <c r="F178" i="3" s="1"/>
  <c r="I178" i="3" s="1"/>
  <c r="F159" i="3"/>
  <c r="F167" i="3"/>
  <c r="F171" i="3"/>
  <c r="I171" i="3" s="1"/>
  <c r="CC37" i="35"/>
  <c r="F175" i="3" s="1"/>
  <c r="I175" i="3" s="1"/>
  <c r="CO37" i="35"/>
  <c r="F179" i="3" s="1"/>
  <c r="I179" i="3" s="1"/>
  <c r="F126" i="3"/>
  <c r="GM8" i="1"/>
  <c r="AT6" i="17" s="1"/>
  <c r="F163" i="3"/>
  <c r="U163" i="3"/>
  <c r="F150" i="3"/>
  <c r="F120" i="3"/>
  <c r="GM23" i="1"/>
  <c r="AT21" i="17" s="1"/>
  <c r="BD30" i="7"/>
  <c r="BD38" i="7"/>
  <c r="Q61" i="16"/>
  <c r="G118" i="3" s="1"/>
  <c r="F130" i="3"/>
  <c r="BH37" i="16"/>
  <c r="F132" i="3" s="1"/>
  <c r="GM11" i="1"/>
  <c r="AT9" i="17" s="1"/>
  <c r="BD22" i="7"/>
  <c r="E16" i="17" s="1"/>
  <c r="GM10" i="1"/>
  <c r="AT8" i="17" s="1"/>
  <c r="BD25" i="7"/>
  <c r="BD33" i="7"/>
  <c r="E27" i="17" s="1"/>
  <c r="F157" i="3"/>
  <c r="A157" i="8"/>
  <c r="M163" i="3" a="1"/>
  <c r="M163" i="3" s="1"/>
  <c r="G163" i="8" s="1"/>
  <c r="F162" i="3"/>
  <c r="A162" i="8"/>
  <c r="GM22" i="1"/>
  <c r="AT20" i="17" s="1"/>
  <c r="GM19" i="1"/>
  <c r="AT17" i="17" s="1"/>
  <c r="GM21" i="1"/>
  <c r="AT19" i="17" s="1"/>
  <c r="GM18" i="1"/>
  <c r="AT16" i="17" s="1"/>
  <c r="M157" i="3" a="1"/>
  <c r="M157" i="3" s="1"/>
  <c r="G157" i="8" s="1"/>
  <c r="M85" i="3" a="1"/>
  <c r="M85" i="3" s="1"/>
  <c r="G85" i="8" s="1"/>
  <c r="M77" i="3" a="1"/>
  <c r="M77" i="3" s="1"/>
  <c r="G77" i="8" s="1"/>
  <c r="F152" i="3"/>
  <c r="U97" i="3"/>
  <c r="A96" i="8"/>
  <c r="M87" i="3" a="1"/>
  <c r="M87" i="3" s="1"/>
  <c r="G87" i="8" s="1"/>
  <c r="BD23" i="7"/>
  <c r="BD27" i="7"/>
  <c r="BD31" i="7"/>
  <c r="E25" i="17" s="1"/>
  <c r="BD35" i="7"/>
  <c r="E29" i="17" s="1"/>
  <c r="U35" i="3"/>
  <c r="U23" i="3"/>
  <c r="M76" i="3" a="1"/>
  <c r="M76" i="3" s="1"/>
  <c r="G76" i="8" s="1"/>
  <c r="M81" i="3" a="1"/>
  <c r="M81" i="3" s="1"/>
  <c r="G81" i="8" s="1"/>
  <c r="M89" i="3" a="1"/>
  <c r="M89" i="3" s="1"/>
  <c r="G89" i="8" s="1"/>
  <c r="M75" i="3" a="1"/>
  <c r="M75" i="3" s="1"/>
  <c r="G75" i="8" s="1"/>
  <c r="M83" i="3" a="1"/>
  <c r="M83" i="3" s="1"/>
  <c r="G83" i="8" s="1"/>
  <c r="M79" i="3" a="1"/>
  <c r="M79" i="3" s="1"/>
  <c r="G79" i="8" s="1"/>
  <c r="M90" i="3" a="1"/>
  <c r="M90" i="3" s="1"/>
  <c r="G90" i="8" s="1"/>
  <c r="F25" i="3"/>
  <c r="F29" i="3"/>
  <c r="F37" i="3"/>
  <c r="F57" i="3"/>
  <c r="F61" i="3"/>
  <c r="F65" i="3"/>
  <c r="F33" i="3"/>
  <c r="F53" i="3"/>
  <c r="F7" i="3"/>
  <c r="F55" i="3"/>
  <c r="F10" i="3"/>
  <c r="F26" i="3"/>
  <c r="GM36" i="1"/>
  <c r="AT34" i="17" s="1"/>
  <c r="GM17" i="1"/>
  <c r="AT15" i="17" s="1"/>
  <c r="GM25" i="1"/>
  <c r="AT23" i="17" s="1"/>
  <c r="F97" i="3"/>
  <c r="BD9" i="7"/>
  <c r="E3" i="17" s="1"/>
  <c r="BD11" i="7"/>
  <c r="M115" i="3" a="1"/>
  <c r="M115" i="3" s="1"/>
  <c r="G115" i="8" s="1"/>
  <c r="G99" i="8"/>
  <c r="BD17" i="7"/>
  <c r="M145" i="3" a="1"/>
  <c r="M145" i="3" s="1"/>
  <c r="G145" i="8" s="1"/>
  <c r="BD15" i="7"/>
  <c r="A125" i="8"/>
  <c r="J125" i="8" s="1"/>
  <c r="GM9" i="1"/>
  <c r="AT7" i="17" s="1"/>
  <c r="F156" i="3"/>
  <c r="U156" i="3"/>
  <c r="C37" i="12"/>
  <c r="F94" i="3" s="1"/>
  <c r="F119" i="3"/>
  <c r="GM7" i="1"/>
  <c r="AT5" i="17" s="1"/>
  <c r="F125" i="3"/>
  <c r="F122" i="3"/>
  <c r="F113" i="3"/>
  <c r="C37" i="2"/>
  <c r="AD37" i="2"/>
  <c r="F80" i="3" s="1"/>
  <c r="I80" i="3" s="1"/>
  <c r="AP37" i="2"/>
  <c r="F84" i="3" s="1"/>
  <c r="I84" i="3" s="1"/>
  <c r="BB37" i="2"/>
  <c r="F88" i="3" s="1"/>
  <c r="I88" i="3" s="1"/>
  <c r="F79" i="3"/>
  <c r="I79" i="3" s="1"/>
  <c r="AM37" i="2"/>
  <c r="F83" i="3" s="1"/>
  <c r="I83" i="3" s="1"/>
  <c r="AY37" i="2"/>
  <c r="F87" i="3" s="1"/>
  <c r="I87" i="3" s="1"/>
  <c r="F78" i="3"/>
  <c r="AJ37" i="2"/>
  <c r="F82" i="3" s="1"/>
  <c r="I82" i="3" s="1"/>
  <c r="AV37" i="2"/>
  <c r="F86" i="3" s="1"/>
  <c r="I86" i="3" s="1"/>
  <c r="BH37" i="2"/>
  <c r="F90" i="3" s="1"/>
  <c r="I90" i="3" s="1"/>
  <c r="F77" i="3"/>
  <c r="AG37" i="2"/>
  <c r="F81" i="3" s="1"/>
  <c r="I81" i="3" s="1"/>
  <c r="AS37" i="2"/>
  <c r="F85" i="3" s="1"/>
  <c r="I85" i="3" s="1"/>
  <c r="BE37" i="2"/>
  <c r="F89" i="3" s="1"/>
  <c r="I89" i="3" s="1"/>
  <c r="GM28" i="1"/>
  <c r="AT26" i="17" s="1"/>
  <c r="F73" i="3"/>
  <c r="GM27" i="1"/>
  <c r="AT25" i="17" s="1"/>
  <c r="GM29" i="1"/>
  <c r="AT27" i="17" s="1"/>
  <c r="GM31" i="1"/>
  <c r="AT29" i="17" s="1"/>
  <c r="GM33" i="1"/>
  <c r="AT31" i="17" s="1"/>
  <c r="GM35" i="1"/>
  <c r="AT33" i="17" s="1"/>
  <c r="GM16" i="1"/>
  <c r="AT14" i="17" s="1"/>
  <c r="GM24" i="1"/>
  <c r="AT22" i="17" s="1"/>
  <c r="F72" i="3"/>
  <c r="GM20" i="1"/>
  <c r="AT18" i="17" s="1"/>
  <c r="F74" i="3"/>
  <c r="F118" i="3"/>
  <c r="F117" i="3"/>
  <c r="F124" i="3"/>
  <c r="F129" i="3"/>
  <c r="GM6" i="1"/>
  <c r="AT4" i="17" s="1"/>
  <c r="F102" i="3"/>
  <c r="BD16" i="7"/>
  <c r="BD20" i="7"/>
  <c r="BD24" i="7"/>
  <c r="BD28" i="7"/>
  <c r="E22" i="17" s="1"/>
  <c r="BD32" i="7"/>
  <c r="E26" i="17" s="1"/>
  <c r="BD36" i="7"/>
  <c r="E30" i="17" s="1"/>
  <c r="M180" i="3" a="1"/>
  <c r="M180" i="3" s="1"/>
  <c r="G180" i="8" s="1"/>
  <c r="M165" i="3" a="1"/>
  <c r="M165" i="3" s="1"/>
  <c r="G165" i="8" s="1"/>
  <c r="M168" i="3" a="1"/>
  <c r="M168" i="3" s="1"/>
  <c r="G168" i="8" s="1"/>
  <c r="M171" i="3" a="1"/>
  <c r="M171" i="3" s="1"/>
  <c r="G171" i="8" s="1"/>
  <c r="M181" i="3" a="1"/>
  <c r="M181" i="3" s="1"/>
  <c r="G181" i="8" s="1"/>
  <c r="M173" i="3" a="1"/>
  <c r="M173" i="3" s="1"/>
  <c r="G173" i="8" s="1"/>
  <c r="M179" i="3" a="1"/>
  <c r="M179" i="3" s="1"/>
  <c r="G179" i="8" s="1"/>
  <c r="BD18" i="7"/>
  <c r="BD21" i="7"/>
  <c r="BD26" i="7"/>
  <c r="BD29" i="7"/>
  <c r="E23" i="17" s="1"/>
  <c r="BD34" i="7"/>
  <c r="E28" i="17" s="1"/>
  <c r="BD37" i="7"/>
  <c r="E31" i="17" s="1"/>
  <c r="M118" i="3" a="1"/>
  <c r="M118" i="3" s="1"/>
  <c r="G118" i="8" s="1"/>
  <c r="M131" i="3" a="1"/>
  <c r="M131" i="3" s="1"/>
  <c r="G131" i="8" s="1"/>
  <c r="M134" i="3" a="1"/>
  <c r="M134" i="3" s="1"/>
  <c r="G134" i="8" s="1"/>
  <c r="M128" i="3" a="1"/>
  <c r="M128" i="3" s="1"/>
  <c r="G128" i="8" s="1"/>
  <c r="M144" i="3" a="1"/>
  <c r="M144" i="3" s="1"/>
  <c r="G144" i="8" s="1"/>
  <c r="M125" i="3" a="1"/>
  <c r="M125" i="3" s="1"/>
  <c r="G125" i="8" s="1"/>
  <c r="M136" i="3" a="1"/>
  <c r="M136" i="3" s="1"/>
  <c r="G136" i="8" s="1"/>
  <c r="M139" i="3" a="1"/>
  <c r="M139" i="3" s="1"/>
  <c r="G139" i="8" s="1"/>
  <c r="M142" i="3" a="1"/>
  <c r="M142" i="3" s="1"/>
  <c r="G142" i="8" s="1"/>
  <c r="G102" i="8"/>
  <c r="G104" i="8"/>
  <c r="M71" i="3" a="1"/>
  <c r="M71" i="3" s="1"/>
  <c r="G71" i="8" s="1"/>
  <c r="M74" i="3" a="1"/>
  <c r="M74" i="3" s="1"/>
  <c r="G74" i="8" s="1"/>
  <c r="BD14" i="7"/>
  <c r="M72" i="3" a="1"/>
  <c r="M72" i="3" s="1"/>
  <c r="G72" i="8" s="1"/>
  <c r="M73" i="3" a="1"/>
  <c r="M73" i="3" s="1"/>
  <c r="G73" i="8" s="1"/>
  <c r="M78" i="3" a="1"/>
  <c r="M78" i="3" s="1"/>
  <c r="G78" i="8" s="1"/>
  <c r="M80" i="3" a="1"/>
  <c r="M80" i="3" s="1"/>
  <c r="G80" i="8" s="1"/>
  <c r="M82" i="3" a="1"/>
  <c r="M82" i="3" s="1"/>
  <c r="G82" i="8" s="1"/>
  <c r="M84" i="3" a="1"/>
  <c r="M84" i="3" s="1"/>
  <c r="G84" i="8" s="1"/>
  <c r="M86" i="3" a="1"/>
  <c r="M86" i="3" s="1"/>
  <c r="G86" i="8" s="1"/>
  <c r="M88" i="3" a="1"/>
  <c r="M88" i="3" s="1"/>
  <c r="G88" i="8" s="1"/>
  <c r="M34" i="3" a="1"/>
  <c r="M34" i="3" s="1"/>
  <c r="G34" i="8" s="1"/>
  <c r="F23" i="3"/>
  <c r="A22" i="8"/>
  <c r="U24" i="3"/>
  <c r="A23" i="8"/>
  <c r="A47" i="8"/>
  <c r="U102" i="3"/>
  <c r="A102" i="8"/>
  <c r="J102" i="8" s="1"/>
  <c r="F39" i="3"/>
  <c r="F37" i="1"/>
  <c r="F21" i="3"/>
  <c r="F41" i="3"/>
  <c r="F6" i="3"/>
  <c r="F18" i="3"/>
  <c r="F22" i="3"/>
  <c r="F30" i="3"/>
  <c r="F17" i="3"/>
  <c r="F11" i="3"/>
  <c r="F19" i="3"/>
  <c r="F27" i="3"/>
  <c r="F31" i="3"/>
  <c r="F35" i="3"/>
  <c r="F43" i="3"/>
  <c r="F51" i="3"/>
  <c r="F59" i="3"/>
  <c r="F63" i="3"/>
  <c r="GJ37" i="1"/>
  <c r="F34" i="3"/>
  <c r="F38" i="3"/>
  <c r="F42" i="3"/>
  <c r="F54" i="3"/>
  <c r="F58" i="3"/>
  <c r="F62" i="3"/>
  <c r="F66" i="3"/>
  <c r="F4" i="3"/>
  <c r="F20" i="3"/>
  <c r="F24" i="3"/>
  <c r="F28" i="3"/>
  <c r="F32" i="3"/>
  <c r="F36" i="3"/>
  <c r="F40" i="3"/>
  <c r="F44" i="3"/>
  <c r="F52" i="3"/>
  <c r="F56" i="3"/>
  <c r="F60" i="3"/>
  <c r="F64" i="3"/>
  <c r="GL37" i="1"/>
  <c r="D13" i="3"/>
  <c r="GM14" i="1"/>
  <c r="AT12" i="17" s="1"/>
  <c r="F75" i="3"/>
  <c r="GM13" i="1"/>
  <c r="AT11" i="17" s="1"/>
  <c r="BK37" i="2"/>
  <c r="F98" i="3"/>
  <c r="F100" i="3"/>
  <c r="F127" i="3"/>
  <c r="C146" i="3" a="1"/>
  <c r="C146" i="3" s="1"/>
  <c r="CX37" i="16"/>
  <c r="GM15" i="1"/>
  <c r="AT13" i="17" s="1"/>
  <c r="F128" i="3"/>
  <c r="GM12" i="1"/>
  <c r="AT10" i="17" s="1"/>
  <c r="F151" i="3"/>
  <c r="F153" i="3"/>
  <c r="F154" i="3"/>
  <c r="F155" i="3"/>
  <c r="F161" i="3"/>
  <c r="CX37" i="35"/>
  <c r="D155" i="3"/>
  <c r="F76" i="3"/>
  <c r="U76" i="3"/>
  <c r="F101" i="3"/>
  <c r="AY37" i="12"/>
  <c r="M5" i="3" a="1"/>
  <c r="M5" i="3" s="1"/>
  <c r="G5" i="8" s="1"/>
  <c r="M18" i="3" a="1"/>
  <c r="M18" i="3" s="1"/>
  <c r="G18" i="8" s="1"/>
  <c r="M62" i="3" a="1"/>
  <c r="M62" i="3" s="1"/>
  <c r="G62" i="8" s="1"/>
  <c r="M10" i="3" a="1"/>
  <c r="M10" i="3" s="1"/>
  <c r="G10" i="8" s="1"/>
  <c r="M66" i="3" a="1"/>
  <c r="M66" i="3" s="1"/>
  <c r="G66" i="8" s="1"/>
  <c r="M14" i="3" a="1"/>
  <c r="M14" i="3" s="1"/>
  <c r="G14" i="8" s="1"/>
  <c r="M21" i="3" a="1"/>
  <c r="M21" i="3" s="1"/>
  <c r="G21" i="8" s="1"/>
  <c r="M26" i="3" a="1"/>
  <c r="M26" i="3" s="1"/>
  <c r="G26" i="8" s="1"/>
  <c r="M29" i="3" a="1"/>
  <c r="M29" i="3" s="1"/>
  <c r="G29" i="8" s="1"/>
  <c r="M37" i="3" a="1"/>
  <c r="M37" i="3" s="1"/>
  <c r="G37" i="8" s="1"/>
  <c r="M4" i="3" a="1"/>
  <c r="M4" i="3" s="1"/>
  <c r="G4" i="8" s="1"/>
  <c r="M6" i="3" a="1"/>
  <c r="M6" i="3" s="1"/>
  <c r="G6" i="8" s="1"/>
  <c r="M9" i="3" a="1"/>
  <c r="M9" i="3" s="1"/>
  <c r="G9" i="8" s="1"/>
  <c r="M17" i="3" a="1"/>
  <c r="M17" i="3" s="1"/>
  <c r="G17" i="8" s="1"/>
  <c r="M52" i="3" a="1"/>
  <c r="M52" i="3" s="1"/>
  <c r="G52" i="8" s="1"/>
  <c r="M58" i="3" a="1"/>
  <c r="M58" i="3" s="1"/>
  <c r="G58" i="8" s="1"/>
  <c r="M64" i="3" a="1"/>
  <c r="M64" i="3" s="1"/>
  <c r="G64" i="8" s="1"/>
  <c r="M15" i="3" a="1"/>
  <c r="M15" i="3" s="1"/>
  <c r="G15" i="8" s="1"/>
  <c r="M20" i="3" a="1"/>
  <c r="M20" i="3" s="1"/>
  <c r="G20" i="8" s="1"/>
  <c r="M22" i="3" a="1"/>
  <c r="M22" i="3" s="1"/>
  <c r="G22" i="8" s="1"/>
  <c r="M25" i="3" a="1"/>
  <c r="M25" i="3" s="1"/>
  <c r="G25" i="8" s="1"/>
  <c r="M30" i="3" a="1"/>
  <c r="M30" i="3" s="1"/>
  <c r="G30" i="8" s="1"/>
  <c r="M36" i="3" a="1"/>
  <c r="M36" i="3" s="1"/>
  <c r="G36" i="8" s="1"/>
  <c r="M56" i="3" a="1"/>
  <c r="M56" i="3" s="1"/>
  <c r="G56" i="8" s="1"/>
  <c r="M151" i="3" a="1"/>
  <c r="M151" i="3" s="1"/>
  <c r="G151" i="8" s="1"/>
  <c r="M153" i="3" a="1"/>
  <c r="M153" i="3" s="1"/>
  <c r="G153" i="8" s="1"/>
  <c r="M155" i="3" a="1"/>
  <c r="M155" i="3" s="1"/>
  <c r="G155" i="8" s="1"/>
  <c r="M160" i="3" a="1"/>
  <c r="M160" i="3" s="1"/>
  <c r="G160" i="8" s="1"/>
  <c r="M166" i="3" a="1"/>
  <c r="M166" i="3" s="1"/>
  <c r="G166" i="8" s="1"/>
  <c r="M150" i="3" a="1"/>
  <c r="M150" i="3" s="1"/>
  <c r="G150" i="8" s="1"/>
  <c r="M152" i="3" a="1"/>
  <c r="M152" i="3" s="1"/>
  <c r="G152" i="8" s="1"/>
  <c r="M154" i="3" a="1"/>
  <c r="M154" i="3" s="1"/>
  <c r="G154" i="8" s="1"/>
  <c r="M156" i="3" a="1"/>
  <c r="M156" i="3" s="1"/>
  <c r="G156" i="8" s="1"/>
  <c r="M159" i="3" a="1"/>
  <c r="M159" i="3" s="1"/>
  <c r="G159" i="8" s="1"/>
  <c r="M162" i="3" a="1"/>
  <c r="M162" i="3" s="1"/>
  <c r="G162" i="8" s="1"/>
  <c r="M170" i="3" a="1"/>
  <c r="M170" i="3" s="1"/>
  <c r="G170" i="8" s="1"/>
  <c r="M178" i="3" a="1"/>
  <c r="M178" i="3" s="1"/>
  <c r="G178" i="8" s="1"/>
  <c r="M149" i="3" a="1"/>
  <c r="M149" i="3" s="1"/>
  <c r="G149" i="8" s="1"/>
  <c r="M158" i="3" a="1"/>
  <c r="M158" i="3" s="1"/>
  <c r="G158" i="8" s="1"/>
  <c r="M161" i="3" a="1"/>
  <c r="M161" i="3" s="1"/>
  <c r="G161" i="8" s="1"/>
  <c r="M164" i="3" a="1"/>
  <c r="M164" i="3" s="1"/>
  <c r="G164" i="8" s="1"/>
  <c r="M167" i="3" a="1"/>
  <c r="M167" i="3" s="1"/>
  <c r="G167" i="8" s="1"/>
  <c r="M169" i="3" a="1"/>
  <c r="M169" i="3" s="1"/>
  <c r="G169" i="8" s="1"/>
  <c r="M172" i="3" a="1"/>
  <c r="M172" i="3" s="1"/>
  <c r="G172" i="8" s="1"/>
  <c r="G97" i="8"/>
  <c r="G98" i="8"/>
  <c r="BD13" i="7"/>
  <c r="E7" i="17" s="1"/>
  <c r="G96" i="8"/>
  <c r="M114" i="3" a="1"/>
  <c r="M114" i="3" s="1"/>
  <c r="G114" i="8" s="1"/>
  <c r="M120" i="3" a="1"/>
  <c r="M120" i="3" s="1"/>
  <c r="G120" i="8" s="1"/>
  <c r="M127" i="3" a="1"/>
  <c r="M127" i="3" s="1"/>
  <c r="G127" i="8" s="1"/>
  <c r="M141" i="3" a="1"/>
  <c r="M141" i="3" s="1"/>
  <c r="G141" i="8" s="1"/>
  <c r="M116" i="3" a="1"/>
  <c r="M116" i="3" s="1"/>
  <c r="G116" i="8" s="1"/>
  <c r="M124" i="3" a="1"/>
  <c r="M124" i="3" s="1"/>
  <c r="G124" i="8" s="1"/>
  <c r="M130" i="3" a="1"/>
  <c r="M130" i="3" s="1"/>
  <c r="G130" i="8" s="1"/>
  <c r="M132" i="3" a="1"/>
  <c r="M132" i="3" s="1"/>
  <c r="G132" i="8" s="1"/>
  <c r="M135" i="3" a="1"/>
  <c r="M135" i="3" s="1"/>
  <c r="G135" i="8" s="1"/>
  <c r="M138" i="3" a="1"/>
  <c r="M138" i="3" s="1"/>
  <c r="G138" i="8" s="1"/>
  <c r="M140" i="3" a="1"/>
  <c r="M140" i="3" s="1"/>
  <c r="G140" i="8" s="1"/>
  <c r="M143" i="3" a="1"/>
  <c r="M143" i="3" s="1"/>
  <c r="G143" i="8" s="1"/>
  <c r="M122" i="3" a="1"/>
  <c r="M122" i="3" s="1"/>
  <c r="G122" i="8" s="1"/>
  <c r="M133" i="3" a="1"/>
  <c r="M133" i="3" s="1"/>
  <c r="G133" i="8" s="1"/>
  <c r="M113" i="3" a="1"/>
  <c r="M113" i="3" s="1"/>
  <c r="G113" i="8" s="1"/>
  <c r="M119" i="3" a="1"/>
  <c r="M119" i="3" s="1"/>
  <c r="G119" i="8" s="1"/>
  <c r="M121" i="3" a="1"/>
  <c r="M121" i="3" s="1"/>
  <c r="G121" i="8" s="1"/>
  <c r="M123" i="3" a="1"/>
  <c r="M123" i="3" s="1"/>
  <c r="G123" i="8" s="1"/>
  <c r="M126" i="3" a="1"/>
  <c r="M126" i="3" s="1"/>
  <c r="G126" i="8" s="1"/>
  <c r="M129" i="3" a="1"/>
  <c r="M129" i="3" s="1"/>
  <c r="G129" i="8" s="1"/>
  <c r="M137" i="3" a="1"/>
  <c r="M137" i="3" s="1"/>
  <c r="G137" i="8" s="1"/>
  <c r="A41" i="7"/>
  <c r="M33" i="3" a="1"/>
  <c r="M33" i="3" s="1"/>
  <c r="G33" i="8" s="1"/>
  <c r="M43" i="3" a="1"/>
  <c r="M43" i="3" s="1"/>
  <c r="G43" i="8" s="1"/>
  <c r="M7" i="3" a="1"/>
  <c r="M7" i="3" s="1"/>
  <c r="G7" i="8" s="1"/>
  <c r="M11" i="3" a="1"/>
  <c r="M11" i="3" s="1"/>
  <c r="G11" i="8" s="1"/>
  <c r="M13" i="3" a="1"/>
  <c r="M13" i="3" s="1"/>
  <c r="G13" i="8" s="1"/>
  <c r="M19" i="3" a="1"/>
  <c r="M19" i="3" s="1"/>
  <c r="G19" i="8" s="1"/>
  <c r="M23" i="3" a="1"/>
  <c r="M23" i="3" s="1"/>
  <c r="G23" i="8" s="1"/>
  <c r="M27" i="3" a="1"/>
  <c r="M27" i="3" s="1"/>
  <c r="G27" i="8" s="1"/>
  <c r="M31" i="3" a="1"/>
  <c r="M31" i="3" s="1"/>
  <c r="G31" i="8" s="1"/>
  <c r="M35" i="3" a="1"/>
  <c r="M35" i="3" s="1"/>
  <c r="G35" i="8" s="1"/>
  <c r="M39" i="3" a="1"/>
  <c r="M39" i="3" s="1"/>
  <c r="G39" i="8" s="1"/>
  <c r="M53" i="3" a="1"/>
  <c r="M53" i="3" s="1"/>
  <c r="G53" i="8" s="1"/>
  <c r="M59" i="3" a="1"/>
  <c r="M59" i="3" s="1"/>
  <c r="G59" i="8" s="1"/>
  <c r="M67" i="3" a="1"/>
  <c r="M67" i="3" s="1"/>
  <c r="G67" i="8" s="1"/>
  <c r="M41" i="3" a="1"/>
  <c r="M41" i="3" s="1"/>
  <c r="G41" i="8" s="1"/>
  <c r="M51" i="3" a="1"/>
  <c r="M51" i="3" s="1"/>
  <c r="G51" i="8" s="1"/>
  <c r="M55" i="3" a="1"/>
  <c r="M55" i="3" s="1"/>
  <c r="G55" i="8" s="1"/>
  <c r="M57" i="3" a="1"/>
  <c r="M57" i="3" s="1"/>
  <c r="G57" i="8" s="1"/>
  <c r="M61" i="3" a="1"/>
  <c r="M61" i="3" s="1"/>
  <c r="G61" i="8" s="1"/>
  <c r="M63" i="3" a="1"/>
  <c r="M63" i="3" s="1"/>
  <c r="G63" i="8" s="1"/>
  <c r="M65" i="3" a="1"/>
  <c r="M65" i="3" s="1"/>
  <c r="G65" i="8" s="1"/>
  <c r="M8" i="3" a="1"/>
  <c r="M8" i="3" s="1"/>
  <c r="G8" i="8" s="1"/>
  <c r="M12" i="3" a="1"/>
  <c r="M12" i="3" s="1"/>
  <c r="G12" i="8" s="1"/>
  <c r="M16" i="3" a="1"/>
  <c r="M16" i="3" s="1"/>
  <c r="G16" i="8" s="1"/>
  <c r="M24" i="3" a="1"/>
  <c r="M24" i="3" s="1"/>
  <c r="G24" i="8" s="1"/>
  <c r="M28" i="3" a="1"/>
  <c r="M28" i="3" s="1"/>
  <c r="G28" i="8" s="1"/>
  <c r="M32" i="3" a="1"/>
  <c r="M32" i="3" s="1"/>
  <c r="G32" i="8" s="1"/>
  <c r="M38" i="3" a="1"/>
  <c r="M38" i="3" s="1"/>
  <c r="G38" i="8" s="1"/>
  <c r="M40" i="3" a="1"/>
  <c r="M40" i="3" s="1"/>
  <c r="G40" i="8" s="1"/>
  <c r="M42" i="3" a="1"/>
  <c r="M42" i="3" s="1"/>
  <c r="G42" i="8" s="1"/>
  <c r="M44" i="3" a="1"/>
  <c r="M44" i="3" s="1"/>
  <c r="G44" i="8" s="1"/>
  <c r="M54" i="3" a="1"/>
  <c r="M54" i="3" s="1"/>
  <c r="G54" i="8" s="1"/>
  <c r="M60" i="3" a="1"/>
  <c r="M60" i="3" s="1"/>
  <c r="G60" i="8" s="1"/>
  <c r="A40" i="7"/>
  <c r="N47" i="7" l="1"/>
  <c r="T47" i="7"/>
  <c r="F56" i="7"/>
  <c r="F97" i="7"/>
  <c r="F98" i="7"/>
  <c r="AJ56" i="7"/>
  <c r="AJ98" i="7"/>
  <c r="AJ97" i="7"/>
  <c r="AD98" i="7"/>
  <c r="AD97" i="7"/>
  <c r="AD56" i="7"/>
  <c r="J47" i="7"/>
  <c r="J155" i="8"/>
  <c r="AF56" i="7"/>
  <c r="AF98" i="7"/>
  <c r="AF55" i="7"/>
  <c r="AF97" i="7"/>
  <c r="E15" i="17"/>
  <c r="E14" i="17"/>
  <c r="N56" i="7"/>
  <c r="N98" i="7"/>
  <c r="N97" i="7"/>
  <c r="L47" i="7"/>
  <c r="AL47" i="7"/>
  <c r="AL56" i="7"/>
  <c r="AL97" i="7"/>
  <c r="AL98" i="7"/>
  <c r="C36" i="41"/>
  <c r="E24" i="17"/>
  <c r="Y56" i="7"/>
  <c r="Y98" i="7"/>
  <c r="Y97" i="7"/>
  <c r="G47" i="7"/>
  <c r="L98" i="7"/>
  <c r="L56" i="7"/>
  <c r="L97" i="7"/>
  <c r="AE56" i="7"/>
  <c r="AE97" i="7"/>
  <c r="AE98" i="7"/>
  <c r="AG56" i="7"/>
  <c r="AG98" i="7"/>
  <c r="AG97" i="7"/>
  <c r="G56" i="7"/>
  <c r="G98" i="7"/>
  <c r="G97" i="7"/>
  <c r="AI56" i="7"/>
  <c r="AI98" i="7"/>
  <c r="AI97" i="7"/>
  <c r="E8" i="17"/>
  <c r="AK56" i="7"/>
  <c r="AK98" i="7"/>
  <c r="AK97" i="7"/>
  <c r="AM47" i="7"/>
  <c r="AH97" i="7"/>
  <c r="AH56" i="7"/>
  <c r="AH98" i="7"/>
  <c r="J10" i="8"/>
  <c r="J72" i="8"/>
  <c r="AM56" i="7"/>
  <c r="AM98" i="7"/>
  <c r="AM97" i="7"/>
  <c r="K56" i="7"/>
  <c r="K97" i="7"/>
  <c r="K98" i="7"/>
  <c r="R47" i="7"/>
  <c r="T56" i="7"/>
  <c r="T98" i="7"/>
  <c r="T97" i="7"/>
  <c r="I47" i="7"/>
  <c r="I56" i="7"/>
  <c r="I98" i="7"/>
  <c r="I97" i="7"/>
  <c r="J170" i="8"/>
  <c r="J166" i="8"/>
  <c r="J98" i="7"/>
  <c r="J56" i="7"/>
  <c r="J97" i="7"/>
  <c r="E13" i="17"/>
  <c r="R98" i="7"/>
  <c r="R56" i="7"/>
  <c r="R97" i="7"/>
  <c r="E32" i="17"/>
  <c r="C98" i="7"/>
  <c r="C97" i="7"/>
  <c r="C56" i="7"/>
  <c r="E17" i="17"/>
  <c r="K13" i="3"/>
  <c r="F45" i="7" s="1"/>
  <c r="H98" i="7"/>
  <c r="H97" i="7"/>
  <c r="H56" i="7"/>
  <c r="Q47" i="7"/>
  <c r="J11" i="8"/>
  <c r="N35" i="3"/>
  <c r="F35" i="8" s="1"/>
  <c r="D47" i="7"/>
  <c r="D98" i="7"/>
  <c r="D97" i="7"/>
  <c r="D56" i="7"/>
  <c r="Q97" i="7"/>
  <c r="Q98" i="7"/>
  <c r="Q56" i="7"/>
  <c r="E5" i="17"/>
  <c r="M47" i="7"/>
  <c r="P56" i="7"/>
  <c r="P98" i="7"/>
  <c r="P97" i="7"/>
  <c r="E47" i="7"/>
  <c r="O97" i="7"/>
  <c r="O56" i="7"/>
  <c r="O98" i="7"/>
  <c r="D182" i="3"/>
  <c r="J37" i="41" s="1"/>
  <c r="C182" i="3" a="1"/>
  <c r="M97" i="7"/>
  <c r="M56" i="7"/>
  <c r="M98" i="7"/>
  <c r="K17" i="3"/>
  <c r="S47" i="7"/>
  <c r="S98" i="7"/>
  <c r="S97" i="7"/>
  <c r="S56" i="7"/>
  <c r="E97" i="7"/>
  <c r="E56" i="7"/>
  <c r="E98" i="7"/>
  <c r="N75" i="3"/>
  <c r="F75" i="8" s="1"/>
  <c r="J75" i="8"/>
  <c r="C18" i="41"/>
  <c r="U97" i="7"/>
  <c r="U56" i="7"/>
  <c r="U98" i="7"/>
  <c r="AP47" i="7"/>
  <c r="AQ60" i="7"/>
  <c r="AQ56" i="7"/>
  <c r="AQ55" i="7"/>
  <c r="AQ97" i="7"/>
  <c r="AQ58" i="7"/>
  <c r="AQ98" i="7"/>
  <c r="AQ59" i="7"/>
  <c r="AQ62" i="7" s="1"/>
  <c r="AP56" i="7"/>
  <c r="AP97" i="7"/>
  <c r="AP98" i="7"/>
  <c r="J15" i="8"/>
  <c r="N27" i="3"/>
  <c r="K26" i="3"/>
  <c r="H74" i="3"/>
  <c r="D24" i="8"/>
  <c r="J24" i="8"/>
  <c r="E18" i="17"/>
  <c r="K25" i="3"/>
  <c r="D28" i="8"/>
  <c r="J28" i="8"/>
  <c r="I170" i="3"/>
  <c r="I169" i="3"/>
  <c r="J169" i="8"/>
  <c r="J168" i="8"/>
  <c r="J22" i="8"/>
  <c r="J33" i="8"/>
  <c r="J32" i="8"/>
  <c r="J162" i="8"/>
  <c r="J16" i="8"/>
  <c r="G161" i="3"/>
  <c r="G160" i="3"/>
  <c r="G158" i="3"/>
  <c r="AK47" i="7" s="1"/>
  <c r="G151" i="3"/>
  <c r="G33" i="3"/>
  <c r="F49" i="3"/>
  <c r="I49" i="3" s="1"/>
  <c r="D68" i="3"/>
  <c r="F67" i="3"/>
  <c r="F47" i="3"/>
  <c r="I47" i="3" s="1"/>
  <c r="F5" i="3"/>
  <c r="I5" i="3" s="1"/>
  <c r="F16" i="3"/>
  <c r="I16" i="3" s="1"/>
  <c r="F8" i="3"/>
  <c r="I8" i="3" s="1"/>
  <c r="F71" i="3"/>
  <c r="I71" i="3" s="1"/>
  <c r="G11" i="3"/>
  <c r="C47" i="7" s="1"/>
  <c r="G10" i="3"/>
  <c r="K47" i="7" s="1"/>
  <c r="F13" i="3"/>
  <c r="I13" i="3" s="1"/>
  <c r="F14" i="3"/>
  <c r="I14" i="3" s="1"/>
  <c r="F12" i="3"/>
  <c r="I12" i="3" s="1"/>
  <c r="F9" i="3"/>
  <c r="I9" i="3" s="1"/>
  <c r="F15" i="3"/>
  <c r="I15" i="3" s="1"/>
  <c r="J27" i="8"/>
  <c r="J71" i="8"/>
  <c r="J167" i="8"/>
  <c r="J26" i="8"/>
  <c r="J25" i="8"/>
  <c r="J163" i="8"/>
  <c r="J40" i="8"/>
  <c r="J149" i="8"/>
  <c r="J23" i="8"/>
  <c r="C91" i="3" a="1"/>
  <c r="J34" i="41"/>
  <c r="B110" i="3" a="1"/>
  <c r="B110" i="3" s="1"/>
  <c r="J35" i="41"/>
  <c r="J12" i="8"/>
  <c r="G164" i="3"/>
  <c r="J74" i="8"/>
  <c r="J96" i="8"/>
  <c r="J31" i="8"/>
  <c r="J43" i="8"/>
  <c r="J14" i="8"/>
  <c r="T55" i="7" s="1"/>
  <c r="J97" i="8"/>
  <c r="J73" i="8"/>
  <c r="Y55" i="7" s="1"/>
  <c r="H29" i="3"/>
  <c r="J13" i="8"/>
  <c r="F55" i="7" s="1"/>
  <c r="J44" i="8"/>
  <c r="AC97" i="7"/>
  <c r="BB97" i="7"/>
  <c r="AO97" i="7"/>
  <c r="X98" i="7"/>
  <c r="BC60" i="7"/>
  <c r="BA58" i="7"/>
  <c r="BC97" i="7"/>
  <c r="BA98" i="7"/>
  <c r="AV56" i="7"/>
  <c r="X56" i="7"/>
  <c r="AU56" i="7"/>
  <c r="AU59" i="7"/>
  <c r="AU62" i="7" s="1"/>
  <c r="AV60" i="7"/>
  <c r="Z97" i="7"/>
  <c r="AW97" i="7"/>
  <c r="AZ56" i="7"/>
  <c r="AT55" i="7"/>
  <c r="AC56" i="7"/>
  <c r="AV58" i="7"/>
  <c r="AU55" i="7"/>
  <c r="AT56" i="7"/>
  <c r="BB59" i="7"/>
  <c r="BB62" i="7" s="1"/>
  <c r="AV97" i="7"/>
  <c r="AV55" i="7"/>
  <c r="AY56" i="7"/>
  <c r="AT58" i="7"/>
  <c r="AY59" i="7"/>
  <c r="AY62" i="7" s="1"/>
  <c r="AZ60" i="7"/>
  <c r="BA97" i="7"/>
  <c r="AN98" i="7"/>
  <c r="AU98" i="7"/>
  <c r="AW55" i="7"/>
  <c r="AU58" i="7"/>
  <c r="AV59" i="7"/>
  <c r="AV62" i="7" s="1"/>
  <c r="AT97" i="7"/>
  <c r="AC98" i="7"/>
  <c r="AO98" i="7"/>
  <c r="AX55" i="7"/>
  <c r="Z56" i="7"/>
  <c r="AW56" i="7"/>
  <c r="AZ58" i="7"/>
  <c r="AT60" i="7"/>
  <c r="X97" i="7"/>
  <c r="AU97" i="7"/>
  <c r="AT98" i="7"/>
  <c r="AY55" i="7"/>
  <c r="AX56" i="7"/>
  <c r="AU60" i="7"/>
  <c r="AZ97" i="7"/>
  <c r="AZ55" i="7"/>
  <c r="BC56" i="7"/>
  <c r="AX58" i="7"/>
  <c r="BC59" i="7"/>
  <c r="BC62" i="7" s="1"/>
  <c r="AV98" i="7"/>
  <c r="BA55" i="7"/>
  <c r="AY58" i="7"/>
  <c r="AZ59" i="7"/>
  <c r="AZ62" i="7" s="1"/>
  <c r="AX97" i="7"/>
  <c r="Z98" i="7"/>
  <c r="AW98" i="7"/>
  <c r="BC98" i="7"/>
  <c r="BB55" i="7"/>
  <c r="BA56" i="7"/>
  <c r="BA59" i="7"/>
  <c r="BA62" i="7" s="1"/>
  <c r="AX60" i="7"/>
  <c r="AY97" i="7"/>
  <c r="AX98" i="7"/>
  <c r="BC55" i="7"/>
  <c r="BB56" i="7"/>
  <c r="AT59" i="7"/>
  <c r="AT62" i="7" s="1"/>
  <c r="AY60" i="7"/>
  <c r="AY98" i="7"/>
  <c r="BB58" i="7"/>
  <c r="BB60" i="7"/>
  <c r="AZ98" i="7"/>
  <c r="AN97" i="7"/>
  <c r="BB98" i="7"/>
  <c r="AX59" i="7"/>
  <c r="AX62" i="7" s="1"/>
  <c r="BA60" i="7"/>
  <c r="BC58" i="7"/>
  <c r="J95" i="8"/>
  <c r="J98" i="8"/>
  <c r="J47" i="8"/>
  <c r="J19" i="8"/>
  <c r="N54" i="3"/>
  <c r="F54" i="8" s="1"/>
  <c r="J45" i="8"/>
  <c r="C14" i="41"/>
  <c r="J39" i="8"/>
  <c r="J42" i="8"/>
  <c r="J41" i="8"/>
  <c r="J153" i="8"/>
  <c r="J157" i="8"/>
  <c r="J46" i="8"/>
  <c r="J29" i="8"/>
  <c r="J57" i="8"/>
  <c r="J161" i="8"/>
  <c r="J152" i="8"/>
  <c r="J151" i="8"/>
  <c r="E12" i="17"/>
  <c r="J56" i="8"/>
  <c r="J158" i="8"/>
  <c r="J159" i="8"/>
  <c r="AJ55" i="7" s="1"/>
  <c r="J150" i="8"/>
  <c r="J99" i="8"/>
  <c r="J20" i="8"/>
  <c r="J55" i="8"/>
  <c r="J156" i="8"/>
  <c r="AD55" i="7" s="1"/>
  <c r="J52" i="8"/>
  <c r="J17" i="8"/>
  <c r="J51" i="8"/>
  <c r="J35" i="8"/>
  <c r="J4" i="8"/>
  <c r="J119" i="8"/>
  <c r="J59" i="8"/>
  <c r="J164" i="8"/>
  <c r="J21" i="8"/>
  <c r="J58" i="8"/>
  <c r="J61" i="8"/>
  <c r="J116" i="8"/>
  <c r="J18" i="8"/>
  <c r="J8" i="8"/>
  <c r="D163" i="8"/>
  <c r="N162" i="3"/>
  <c r="J117" i="8"/>
  <c r="K8" i="3"/>
  <c r="AV47" i="7"/>
  <c r="J53" i="8"/>
  <c r="J7" i="8"/>
  <c r="B55" i="7" s="1"/>
  <c r="J160" i="8"/>
  <c r="J36" i="8"/>
  <c r="J34" i="8"/>
  <c r="J115" i="8"/>
  <c r="J154" i="8"/>
  <c r="J6" i="8"/>
  <c r="J5" i="8"/>
  <c r="B97" i="7"/>
  <c r="B56" i="7"/>
  <c r="B98" i="7"/>
  <c r="J38" i="8"/>
  <c r="J94" i="8"/>
  <c r="D7" i="8"/>
  <c r="BA47" i="7"/>
  <c r="K18" i="3"/>
  <c r="N18" i="3"/>
  <c r="AZ47" i="7"/>
  <c r="AT47" i="7"/>
  <c r="H49" i="3"/>
  <c r="K49" i="3"/>
  <c r="N49" i="3"/>
  <c r="H47" i="3"/>
  <c r="K47" i="3"/>
  <c r="K22" i="3"/>
  <c r="G45" i="3"/>
  <c r="H48" i="3"/>
  <c r="N48" i="3"/>
  <c r="I48" i="3"/>
  <c r="K48" i="3"/>
  <c r="G50" i="3"/>
  <c r="N6" i="3"/>
  <c r="AY47" i="7"/>
  <c r="AX47" i="7"/>
  <c r="Z47" i="7"/>
  <c r="X47" i="7"/>
  <c r="D99" i="8"/>
  <c r="D97" i="8"/>
  <c r="D95" i="8"/>
  <c r="D101" i="8"/>
  <c r="H115" i="3"/>
  <c r="D159" i="8"/>
  <c r="AJ58" i="7" s="1"/>
  <c r="D156" i="8"/>
  <c r="AD58" i="7" s="1"/>
  <c r="K157" i="3"/>
  <c r="N150" i="3"/>
  <c r="H155" i="3"/>
  <c r="D96" i="8"/>
  <c r="H152" i="3"/>
  <c r="N149" i="3"/>
  <c r="K121" i="3"/>
  <c r="D118" i="8"/>
  <c r="K113" i="3"/>
  <c r="AW45" i="7" s="1"/>
  <c r="D5" i="8"/>
  <c r="D40" i="8"/>
  <c r="H32" i="3"/>
  <c r="K44" i="3"/>
  <c r="D21" i="8"/>
  <c r="K20" i="3"/>
  <c r="N38" i="3"/>
  <c r="D12" i="8"/>
  <c r="H41" i="3"/>
  <c r="H19" i="3"/>
  <c r="D42" i="8"/>
  <c r="K39" i="3"/>
  <c r="N36" i="3"/>
  <c r="D37" i="8"/>
  <c r="D14" i="8"/>
  <c r="H34" i="3"/>
  <c r="D18" i="8"/>
  <c r="D51" i="8"/>
  <c r="K43" i="3"/>
  <c r="H17" i="3"/>
  <c r="H9" i="3"/>
  <c r="H15" i="3"/>
  <c r="G46" i="3"/>
  <c r="N47" i="3"/>
  <c r="G153" i="3"/>
  <c r="E21" i="17"/>
  <c r="E20" i="17"/>
  <c r="E19" i="17"/>
  <c r="G114" i="3"/>
  <c r="AU47" i="7" s="1"/>
  <c r="E11" i="17"/>
  <c r="E10" i="17"/>
  <c r="K107" i="3"/>
  <c r="E107" i="8" s="1"/>
  <c r="B68" i="3" a="1"/>
  <c r="D71" i="8"/>
  <c r="K4" i="3"/>
  <c r="B91" i="3" a="1"/>
  <c r="B91" i="3" s="1"/>
  <c r="C91" i="3"/>
  <c r="C68" i="3" a="1"/>
  <c r="I59" i="3"/>
  <c r="E9" i="17"/>
  <c r="D145" i="8"/>
  <c r="N145" i="3"/>
  <c r="F145" i="8" s="1"/>
  <c r="N143" i="3"/>
  <c r="F143" i="8" s="1"/>
  <c r="H143" i="3"/>
  <c r="I106" i="3"/>
  <c r="H145" i="3"/>
  <c r="I115" i="3"/>
  <c r="B146" i="3" a="1"/>
  <c r="B146" i="3" s="1"/>
  <c r="I6" i="3"/>
  <c r="N179" i="3"/>
  <c r="F179" i="8" s="1"/>
  <c r="N67" i="3"/>
  <c r="F67" i="8" s="1"/>
  <c r="I137" i="3"/>
  <c r="N137" i="3"/>
  <c r="F137" i="8" s="1"/>
  <c r="N30" i="3"/>
  <c r="H174" i="3"/>
  <c r="I120" i="3"/>
  <c r="H84" i="3"/>
  <c r="N84" i="3"/>
  <c r="F84" i="8" s="1"/>
  <c r="D109" i="8"/>
  <c r="I109" i="3"/>
  <c r="N107" i="3"/>
  <c r="F107" i="8" s="1"/>
  <c r="H107" i="3"/>
  <c r="D107" i="8"/>
  <c r="D167" i="8"/>
  <c r="K167" i="3"/>
  <c r="N172" i="3"/>
  <c r="F172" i="8" s="1"/>
  <c r="D105" i="8"/>
  <c r="I7" i="3"/>
  <c r="I167" i="3"/>
  <c r="I166" i="3"/>
  <c r="H166" i="3"/>
  <c r="N88" i="3"/>
  <c r="F88" i="8" s="1"/>
  <c r="N115" i="3"/>
  <c r="D137" i="8"/>
  <c r="D115" i="8"/>
  <c r="I168" i="3"/>
  <c r="K172" i="3"/>
  <c r="E172" i="8" s="1"/>
  <c r="D179" i="8"/>
  <c r="K171" i="3"/>
  <c r="E171" i="8" s="1"/>
  <c r="H171" i="3"/>
  <c r="H99" i="3"/>
  <c r="K99" i="3"/>
  <c r="K179" i="3"/>
  <c r="E179" i="8" s="1"/>
  <c r="H175" i="3"/>
  <c r="N171" i="3"/>
  <c r="F171" i="8" s="1"/>
  <c r="D174" i="8"/>
  <c r="H172" i="3"/>
  <c r="D166" i="8"/>
  <c r="D157" i="8"/>
  <c r="I165" i="3"/>
  <c r="I96" i="3"/>
  <c r="I157" i="3"/>
  <c r="I125" i="3"/>
  <c r="K101" i="3"/>
  <c r="N96" i="3"/>
  <c r="H96" i="3"/>
  <c r="D81" i="8"/>
  <c r="K81" i="3"/>
  <c r="E81" i="8" s="1"/>
  <c r="H81" i="3"/>
  <c r="N81" i="3"/>
  <c r="F81" i="8" s="1"/>
  <c r="K86" i="3"/>
  <c r="E86" i="8" s="1"/>
  <c r="H86" i="3"/>
  <c r="D74" i="8"/>
  <c r="K88" i="3"/>
  <c r="E88" i="8" s="1"/>
  <c r="H106" i="3"/>
  <c r="N109" i="3"/>
  <c r="F109" i="8" s="1"/>
  <c r="N106" i="3"/>
  <c r="F106" i="8" s="1"/>
  <c r="D106" i="8"/>
  <c r="K109" i="3"/>
  <c r="E109" i="8" s="1"/>
  <c r="B62" i="12"/>
  <c r="H137" i="3"/>
  <c r="K145" i="3"/>
  <c r="E145" i="8" s="1"/>
  <c r="K115" i="3"/>
  <c r="N180" i="3"/>
  <c r="F180" i="8" s="1"/>
  <c r="D180" i="8"/>
  <c r="H180" i="3"/>
  <c r="K180" i="3"/>
  <c r="E180" i="8" s="1"/>
  <c r="N175" i="3"/>
  <c r="F175" i="8" s="1"/>
  <c r="N167" i="3"/>
  <c r="K181" i="3"/>
  <c r="E181" i="8" s="1"/>
  <c r="K173" i="3"/>
  <c r="E173" i="8" s="1"/>
  <c r="K165" i="3"/>
  <c r="N176" i="3"/>
  <c r="F176" i="8" s="1"/>
  <c r="D168" i="8"/>
  <c r="H157" i="3"/>
  <c r="N181" i="3"/>
  <c r="F181" i="8" s="1"/>
  <c r="N173" i="3"/>
  <c r="F173" i="8" s="1"/>
  <c r="N165" i="3"/>
  <c r="D176" i="8"/>
  <c r="K168" i="3"/>
  <c r="I102" i="3"/>
  <c r="H135" i="3"/>
  <c r="I43" i="3"/>
  <c r="I135" i="3"/>
  <c r="H163" i="3"/>
  <c r="D20" i="8"/>
  <c r="N76" i="3"/>
  <c r="F76" i="8" s="1"/>
  <c r="I53" i="3"/>
  <c r="D53" i="8"/>
  <c r="D88" i="8"/>
  <c r="H82" i="3"/>
  <c r="D82" i="8"/>
  <c r="N87" i="3"/>
  <c r="F87" i="8" s="1"/>
  <c r="N82" i="3"/>
  <c r="F82" i="8" s="1"/>
  <c r="K169" i="3"/>
  <c r="K177" i="3"/>
  <c r="E177" i="8" s="1"/>
  <c r="N152" i="3"/>
  <c r="D175" i="8"/>
  <c r="H167" i="3"/>
  <c r="H176" i="3"/>
  <c r="N168" i="3"/>
  <c r="D150" i="8"/>
  <c r="D170" i="8"/>
  <c r="D152" i="8"/>
  <c r="K162" i="3"/>
  <c r="D178" i="8"/>
  <c r="N95" i="3"/>
  <c r="N42" i="3"/>
  <c r="K156" i="3"/>
  <c r="AD45" i="7" s="1"/>
  <c r="H156" i="3"/>
  <c r="I156" i="3"/>
  <c r="N156" i="3"/>
  <c r="AD46" i="7" s="1"/>
  <c r="D121" i="8"/>
  <c r="H13" i="3"/>
  <c r="N58" i="3"/>
  <c r="N121" i="3"/>
  <c r="K95" i="3"/>
  <c r="D155" i="8"/>
  <c r="AF58" i="7" s="1"/>
  <c r="I155" i="3"/>
  <c r="K155" i="3"/>
  <c r="AF45" i="7" s="1"/>
  <c r="B62" i="2"/>
  <c r="D62" i="8"/>
  <c r="N122" i="3"/>
  <c r="F122" i="8" s="1"/>
  <c r="D64" i="8"/>
  <c r="K54" i="3"/>
  <c r="H51" i="3"/>
  <c r="D34" i="8"/>
  <c r="I75" i="3"/>
  <c r="D75" i="8"/>
  <c r="D61" i="8"/>
  <c r="N71" i="3"/>
  <c r="K71" i="3"/>
  <c r="I159" i="3"/>
  <c r="I32" i="3"/>
  <c r="D13" i="8"/>
  <c r="F58" i="7" s="1"/>
  <c r="N13" i="3"/>
  <c r="F46" i="7" s="1"/>
  <c r="D39" i="8"/>
  <c r="J58" i="7" s="1"/>
  <c r="N55" i="3"/>
  <c r="I18" i="3"/>
  <c r="N8" i="3"/>
  <c r="K6" i="3"/>
  <c r="L45" i="7" s="1"/>
  <c r="K122" i="3"/>
  <c r="E122" i="8" s="1"/>
  <c r="H79" i="3"/>
  <c r="D79" i="8"/>
  <c r="I95" i="3"/>
  <c r="B62" i="1"/>
  <c r="I121" i="3"/>
  <c r="K137" i="3"/>
  <c r="E137" i="8" s="1"/>
  <c r="H142" i="3"/>
  <c r="H121" i="3"/>
  <c r="I127" i="3"/>
  <c r="D125" i="8"/>
  <c r="H139" i="3"/>
  <c r="I116" i="3"/>
  <c r="K5" i="3"/>
  <c r="K12" i="3"/>
  <c r="K67" i="3"/>
  <c r="E67" i="8" s="1"/>
  <c r="H59" i="3"/>
  <c r="H24" i="3"/>
  <c r="D35" i="8"/>
  <c r="H21" i="3"/>
  <c r="I66" i="3"/>
  <c r="D103" i="8"/>
  <c r="H102" i="3"/>
  <c r="K102" i="3"/>
  <c r="E102" i="8" s="1"/>
  <c r="H122" i="3"/>
  <c r="H113" i="3"/>
  <c r="I58" i="3"/>
  <c r="H37" i="3"/>
  <c r="H14" i="3"/>
  <c r="H5" i="3"/>
  <c r="N5" i="3"/>
  <c r="D4" i="8"/>
  <c r="D134" i="8"/>
  <c r="H162" i="3"/>
  <c r="N157" i="3"/>
  <c r="N155" i="3"/>
  <c r="AF46" i="7" s="1"/>
  <c r="N43" i="3"/>
  <c r="I52" i="3"/>
  <c r="H52" i="3"/>
  <c r="D16" i="8"/>
  <c r="H16" i="3"/>
  <c r="K16" i="3"/>
  <c r="D60" i="8"/>
  <c r="K60" i="3"/>
  <c r="E60" i="8" s="1"/>
  <c r="H4" i="3"/>
  <c r="H12" i="3"/>
  <c r="H20" i="3"/>
  <c r="D58" i="8"/>
  <c r="H35" i="3"/>
  <c r="D67" i="8"/>
  <c r="N59" i="3"/>
  <c r="N51" i="3"/>
  <c r="N21" i="3"/>
  <c r="I20" i="3"/>
  <c r="I4" i="3"/>
  <c r="D43" i="8"/>
  <c r="D66" i="8"/>
  <c r="D27" i="8"/>
  <c r="I35" i="3"/>
  <c r="N4" i="3"/>
  <c r="N12" i="3"/>
  <c r="N20" i="3"/>
  <c r="H56" i="3"/>
  <c r="D59" i="8"/>
  <c r="K58" i="3"/>
  <c r="H67" i="3"/>
  <c r="K59" i="3"/>
  <c r="I51" i="3"/>
  <c r="K40" i="3"/>
  <c r="K21" i="3"/>
  <c r="I64" i="3"/>
  <c r="H43" i="3"/>
  <c r="H66" i="3"/>
  <c r="N32" i="3"/>
  <c r="H30" i="3"/>
  <c r="I41" i="3"/>
  <c r="N62" i="3"/>
  <c r="F62" i="8" s="1"/>
  <c r="N41" i="3"/>
  <c r="H57" i="3"/>
  <c r="I67" i="3"/>
  <c r="K35" i="3"/>
  <c r="I65" i="3"/>
  <c r="K51" i="3"/>
  <c r="N66" i="3"/>
  <c r="F66" i="8" s="1"/>
  <c r="K32" i="3"/>
  <c r="I62" i="3"/>
  <c r="D30" i="8"/>
  <c r="I21" i="3"/>
  <c r="N89" i="3"/>
  <c r="F89" i="8" s="1"/>
  <c r="D89" i="8"/>
  <c r="H89" i="3"/>
  <c r="K89" i="3"/>
  <c r="E89" i="8" s="1"/>
  <c r="N83" i="3"/>
  <c r="F83" i="8" s="1"/>
  <c r="H83" i="3"/>
  <c r="D83" i="8"/>
  <c r="K83" i="3"/>
  <c r="E83" i="8" s="1"/>
  <c r="H80" i="3"/>
  <c r="D80" i="8"/>
  <c r="N80" i="3"/>
  <c r="F80" i="8" s="1"/>
  <c r="K80" i="3"/>
  <c r="E80" i="8" s="1"/>
  <c r="D90" i="8"/>
  <c r="N90" i="3"/>
  <c r="F90" i="8" s="1"/>
  <c r="H90" i="3"/>
  <c r="K90" i="3"/>
  <c r="E90" i="8" s="1"/>
  <c r="K75" i="3"/>
  <c r="K74" i="3"/>
  <c r="H75" i="3"/>
  <c r="H71" i="3"/>
  <c r="I74" i="3"/>
  <c r="K85" i="3"/>
  <c r="E85" i="8" s="1"/>
  <c r="K84" i="3"/>
  <c r="E84" i="8" s="1"/>
  <c r="N85" i="3"/>
  <c r="F85" i="8" s="1"/>
  <c r="D84" i="8"/>
  <c r="D72" i="8"/>
  <c r="H85" i="3"/>
  <c r="N79" i="3"/>
  <c r="F79" i="8" s="1"/>
  <c r="N74" i="3"/>
  <c r="N100" i="3"/>
  <c r="D100" i="8"/>
  <c r="H100" i="3"/>
  <c r="K94" i="3"/>
  <c r="D94" i="8"/>
  <c r="N94" i="3"/>
  <c r="I100" i="3"/>
  <c r="N99" i="3"/>
  <c r="N102" i="3"/>
  <c r="F102" i="8" s="1"/>
  <c r="H103" i="3"/>
  <c r="D108" i="8"/>
  <c r="I99" i="3"/>
  <c r="K96" i="3"/>
  <c r="G98" i="3"/>
  <c r="D104" i="8"/>
  <c r="K138" i="3"/>
  <c r="E138" i="8" s="1"/>
  <c r="D138" i="8"/>
  <c r="N138" i="3"/>
  <c r="F138" i="8" s="1"/>
  <c r="H138" i="3"/>
  <c r="K130" i="3"/>
  <c r="E130" i="8" s="1"/>
  <c r="H130" i="3"/>
  <c r="N117" i="3"/>
  <c r="H117" i="3"/>
  <c r="N144" i="3"/>
  <c r="F144" i="8" s="1"/>
  <c r="K144" i="3"/>
  <c r="E144" i="8" s="1"/>
  <c r="I123" i="3"/>
  <c r="D123" i="8"/>
  <c r="N123" i="3"/>
  <c r="F123" i="8" s="1"/>
  <c r="H123" i="3"/>
  <c r="K123" i="3"/>
  <c r="E123" i="8" s="1"/>
  <c r="D141" i="8"/>
  <c r="K141" i="3"/>
  <c r="E141" i="8" s="1"/>
  <c r="N141" i="3"/>
  <c r="F141" i="8" s="1"/>
  <c r="H141" i="3"/>
  <c r="D133" i="8"/>
  <c r="N133" i="3"/>
  <c r="F133" i="8" s="1"/>
  <c r="K133" i="3"/>
  <c r="E133" i="8" s="1"/>
  <c r="H133" i="3"/>
  <c r="D119" i="8"/>
  <c r="H119" i="3"/>
  <c r="K119" i="3"/>
  <c r="N119" i="3"/>
  <c r="H132" i="3"/>
  <c r="K132" i="3"/>
  <c r="E132" i="8" s="1"/>
  <c r="N132" i="3"/>
  <c r="F132" i="8" s="1"/>
  <c r="K116" i="3"/>
  <c r="N116" i="3"/>
  <c r="K124" i="3"/>
  <c r="E124" i="8" s="1"/>
  <c r="K125" i="3"/>
  <c r="E125" i="8" s="1"/>
  <c r="N142" i="3"/>
  <c r="F142" i="8" s="1"/>
  <c r="D135" i="8"/>
  <c r="D113" i="8"/>
  <c r="AW58" i="7" s="1"/>
  <c r="N127" i="3"/>
  <c r="F127" i="8" s="1"/>
  <c r="D122" i="8"/>
  <c r="H125" i="3"/>
  <c r="D142" i="8"/>
  <c r="K140" i="3"/>
  <c r="E140" i="8" s="1"/>
  <c r="H134" i="3"/>
  <c r="I113" i="3"/>
  <c r="I119" i="3"/>
  <c r="N113" i="3"/>
  <c r="AW46" i="7" s="1"/>
  <c r="D143" i="8"/>
  <c r="K134" i="3"/>
  <c r="E134" i="8" s="1"/>
  <c r="B62" i="16"/>
  <c r="N140" i="3"/>
  <c r="F140" i="8" s="1"/>
  <c r="N136" i="3"/>
  <c r="F136" i="8" s="1"/>
  <c r="H25" i="3"/>
  <c r="H97" i="3"/>
  <c r="I97" i="3"/>
  <c r="N130" i="3"/>
  <c r="F130" i="8" s="1"/>
  <c r="I130" i="3"/>
  <c r="D130" i="8"/>
  <c r="H129" i="3"/>
  <c r="K150" i="3"/>
  <c r="H150" i="3"/>
  <c r="I150" i="3"/>
  <c r="I42" i="3"/>
  <c r="H42" i="3"/>
  <c r="H78" i="3"/>
  <c r="K163" i="3"/>
  <c r="H63" i="3"/>
  <c r="K63" i="3"/>
  <c r="I63" i="3"/>
  <c r="K131" i="3"/>
  <c r="E131" i="8" s="1"/>
  <c r="N129" i="3"/>
  <c r="F129" i="8" s="1"/>
  <c r="D129" i="8"/>
  <c r="I129" i="3"/>
  <c r="K78" i="3"/>
  <c r="E78" i="8" s="1"/>
  <c r="N78" i="3"/>
  <c r="F78" i="8" s="1"/>
  <c r="I78" i="3"/>
  <c r="I163" i="3"/>
  <c r="H39" i="3"/>
  <c r="H38" i="3"/>
  <c r="K38" i="3"/>
  <c r="N126" i="3"/>
  <c r="F126" i="8" s="1"/>
  <c r="K27" i="3"/>
  <c r="H27" i="3"/>
  <c r="D26" i="8"/>
  <c r="I26" i="3"/>
  <c r="D15" i="8"/>
  <c r="K136" i="3"/>
  <c r="E136" i="8" s="1"/>
  <c r="N163" i="3"/>
  <c r="K128" i="3"/>
  <c r="E128" i="8" s="1"/>
  <c r="K42" i="3"/>
  <c r="H126" i="3"/>
  <c r="D126" i="8"/>
  <c r="I126" i="3"/>
  <c r="D25" i="8"/>
  <c r="N25" i="3"/>
  <c r="D44" i="8"/>
  <c r="K100" i="3"/>
  <c r="I94" i="3"/>
  <c r="H94" i="3"/>
  <c r="H109" i="3"/>
  <c r="I105" i="3"/>
  <c r="H95" i="3"/>
  <c r="H108" i="3"/>
  <c r="N97" i="3"/>
  <c r="H105" i="3"/>
  <c r="K105" i="3"/>
  <c r="E105" i="8" s="1"/>
  <c r="I108" i="3"/>
  <c r="N108" i="3"/>
  <c r="F108" i="8" s="1"/>
  <c r="K97" i="3"/>
  <c r="I103" i="3"/>
  <c r="K104" i="3"/>
  <c r="E104" i="8" s="1"/>
  <c r="K103" i="3"/>
  <c r="E103" i="8" s="1"/>
  <c r="H104" i="3"/>
  <c r="I104" i="3"/>
  <c r="N7" i="3"/>
  <c r="K28" i="3"/>
  <c r="H55" i="3"/>
  <c r="D29" i="8"/>
  <c r="H8" i="3"/>
  <c r="D54" i="8"/>
  <c r="I39" i="3"/>
  <c r="K15" i="3"/>
  <c r="N16" i="3"/>
  <c r="D38" i="8"/>
  <c r="H62" i="3"/>
  <c r="I54" i="3"/>
  <c r="D47" i="8"/>
  <c r="H28" i="3"/>
  <c r="H7" i="3"/>
  <c r="I55" i="3"/>
  <c r="K7" i="3"/>
  <c r="D8" i="8"/>
  <c r="H54" i="3"/>
  <c r="N28" i="3"/>
  <c r="I28" i="3"/>
  <c r="K55" i="3"/>
  <c r="I29" i="3"/>
  <c r="I38" i="3"/>
  <c r="H18" i="3"/>
  <c r="K41" i="3"/>
  <c r="N56" i="3"/>
  <c r="N57" i="3"/>
  <c r="K64" i="3"/>
  <c r="E64" i="8" s="1"/>
  <c r="N63" i="3"/>
  <c r="D65" i="8"/>
  <c r="I30" i="3"/>
  <c r="N40" i="3"/>
  <c r="N15" i="3"/>
  <c r="D41" i="8"/>
  <c r="D56" i="8"/>
  <c r="D57" i="8"/>
  <c r="H64" i="3"/>
  <c r="D49" i="8"/>
  <c r="I56" i="3"/>
  <c r="I40" i="3"/>
  <c r="D9" i="8"/>
  <c r="T58" i="7" s="1"/>
  <c r="K30" i="3"/>
  <c r="D17" i="8"/>
  <c r="H65" i="3"/>
  <c r="K65" i="3"/>
  <c r="E65" i="8" s="1"/>
  <c r="D48" i="8"/>
  <c r="H40" i="3"/>
  <c r="I57" i="3"/>
  <c r="H23" i="3"/>
  <c r="K23" i="3"/>
  <c r="D23" i="8"/>
  <c r="N23" i="3"/>
  <c r="K31" i="3"/>
  <c r="N31" i="3"/>
  <c r="I31" i="3"/>
  <c r="H31" i="3"/>
  <c r="D31" i="8"/>
  <c r="N14" i="3"/>
  <c r="N37" i="3"/>
  <c r="N44" i="3"/>
  <c r="K14" i="3"/>
  <c r="N17" i="3"/>
  <c r="K37" i="3"/>
  <c r="H44" i="3"/>
  <c r="K34" i="3"/>
  <c r="K53" i="3"/>
  <c r="K61" i="3"/>
  <c r="E61" i="8" s="1"/>
  <c r="I61" i="3"/>
  <c r="K52" i="3"/>
  <c r="N9" i="3"/>
  <c r="D6" i="8"/>
  <c r="N29" i="3"/>
  <c r="N60" i="3"/>
  <c r="F60" i="8" s="1"/>
  <c r="I27" i="3"/>
  <c r="D32" i="8"/>
  <c r="I23" i="3"/>
  <c r="I25" i="3"/>
  <c r="N39" i="3"/>
  <c r="I34" i="3"/>
  <c r="H53" i="3"/>
  <c r="D52" i="8"/>
  <c r="H61" i="3"/>
  <c r="N24" i="3"/>
  <c r="I44" i="3"/>
  <c r="N52" i="3"/>
  <c r="K9" i="3"/>
  <c r="H6" i="3"/>
  <c r="K29" i="3"/>
  <c r="H60" i="3"/>
  <c r="I60" i="3"/>
  <c r="N26" i="3"/>
  <c r="I37" i="3"/>
  <c r="N34" i="3"/>
  <c r="H26" i="3"/>
  <c r="I17" i="3"/>
  <c r="I76" i="3"/>
  <c r="H76" i="3"/>
  <c r="N77" i="3"/>
  <c r="F77" i="8" s="1"/>
  <c r="K77" i="3"/>
  <c r="E77" i="8" s="1"/>
  <c r="K87" i="3"/>
  <c r="E87" i="8" s="1"/>
  <c r="H87" i="3"/>
  <c r="N86" i="3"/>
  <c r="F86" i="8" s="1"/>
  <c r="D86" i="8"/>
  <c r="H77" i="3"/>
  <c r="D76" i="8"/>
  <c r="I77" i="3"/>
  <c r="N101" i="3"/>
  <c r="I101" i="3"/>
  <c r="H101" i="3"/>
  <c r="K154" i="3"/>
  <c r="H154" i="3"/>
  <c r="N169" i="3"/>
  <c r="K152" i="3"/>
  <c r="D149" i="8"/>
  <c r="K149" i="3"/>
  <c r="D181" i="8"/>
  <c r="D177" i="8"/>
  <c r="D173" i="8"/>
  <c r="D169" i="8"/>
  <c r="D165" i="8"/>
  <c r="N178" i="3"/>
  <c r="F178" i="8" s="1"/>
  <c r="N174" i="3"/>
  <c r="F174" i="8" s="1"/>
  <c r="N170" i="3"/>
  <c r="N166" i="3"/>
  <c r="I149" i="3"/>
  <c r="B62" i="35"/>
  <c r="N159" i="3"/>
  <c r="AJ46" i="7" s="1"/>
  <c r="H149" i="3"/>
  <c r="K159" i="3"/>
  <c r="AJ45" i="7" s="1"/>
  <c r="H177" i="3"/>
  <c r="K178" i="3"/>
  <c r="E178" i="8" s="1"/>
  <c r="K170" i="3"/>
  <c r="I152" i="3"/>
  <c r="I162" i="3"/>
  <c r="H159" i="3"/>
  <c r="D162" i="8"/>
  <c r="D120" i="8"/>
  <c r="K120" i="3"/>
  <c r="AT45" i="7" s="1"/>
  <c r="H120" i="3"/>
  <c r="N120" i="3"/>
  <c r="D117" i="8"/>
  <c r="H127" i="3"/>
  <c r="D128" i="8"/>
  <c r="K117" i="3"/>
  <c r="N124" i="3"/>
  <c r="F124" i="8" s="1"/>
  <c r="D127" i="8"/>
  <c r="N128" i="3"/>
  <c r="F128" i="8" s="1"/>
  <c r="I117" i="3"/>
  <c r="H131" i="3"/>
  <c r="K139" i="3"/>
  <c r="E139" i="8" s="1"/>
  <c r="D132" i="8"/>
  <c r="H116" i="3"/>
  <c r="D144" i="8"/>
  <c r="K135" i="3"/>
  <c r="E135" i="8" s="1"/>
  <c r="D140" i="8"/>
  <c r="K143" i="3"/>
  <c r="E143" i="8" s="1"/>
  <c r="D136" i="8"/>
  <c r="I122" i="3"/>
  <c r="I131" i="3"/>
  <c r="I136" i="3"/>
  <c r="D124" i="8"/>
  <c r="N139" i="3"/>
  <c r="F139" i="8" s="1"/>
  <c r="D116" i="8"/>
  <c r="H144" i="3"/>
  <c r="H136" i="3"/>
  <c r="I132" i="3"/>
  <c r="I124" i="3"/>
  <c r="N131" i="3"/>
  <c r="F131" i="8" s="1"/>
  <c r="N72" i="3"/>
  <c r="I24" i="3"/>
  <c r="K24" i="3"/>
  <c r="N154" i="3"/>
  <c r="D154" i="8"/>
  <c r="I154" i="3"/>
  <c r="I72" i="3"/>
  <c r="K72" i="3"/>
  <c r="L69" i="3" a="1"/>
  <c r="L69" i="3" s="1"/>
  <c r="D19" i="8"/>
  <c r="K19" i="3"/>
  <c r="N19" i="3"/>
  <c r="I19" i="3"/>
  <c r="H22" i="3"/>
  <c r="D22" i="8"/>
  <c r="N118" i="3"/>
  <c r="I22" i="3"/>
  <c r="I118" i="3"/>
  <c r="K118" i="3"/>
  <c r="N22" i="3"/>
  <c r="K36" i="3"/>
  <c r="F146" i="3"/>
  <c r="H118" i="3"/>
  <c r="D36" i="8"/>
  <c r="H36" i="3"/>
  <c r="I36" i="3"/>
  <c r="C110" i="3" a="1"/>
  <c r="C110" i="3" s="1"/>
  <c r="I128" i="3"/>
  <c r="F182" i="3"/>
  <c r="GM37" i="1"/>
  <c r="G91" i="3"/>
  <c r="O91" i="3" s="1" a="1"/>
  <c r="O91" i="3" s="1"/>
  <c r="N73" i="3"/>
  <c r="Y46" i="7" s="1"/>
  <c r="I73" i="3"/>
  <c r="D73" i="8"/>
  <c r="Y58" i="7" s="1"/>
  <c r="H73" i="3"/>
  <c r="K73" i="3"/>
  <c r="F110" i="3"/>
  <c r="T45" i="7" l="1"/>
  <c r="N58" i="7"/>
  <c r="N46" i="7"/>
  <c r="N45" i="7"/>
  <c r="T46" i="7"/>
  <c r="N55" i="7"/>
  <c r="J46" i="7"/>
  <c r="J45" i="7"/>
  <c r="J55" i="7"/>
  <c r="Y45" i="7"/>
  <c r="L58" i="7"/>
  <c r="L46" i="7"/>
  <c r="O47" i="7"/>
  <c r="L55" i="7"/>
  <c r="AI47" i="7"/>
  <c r="AI55" i="7"/>
  <c r="AE47" i="7"/>
  <c r="AH55" i="7"/>
  <c r="AL58" i="7"/>
  <c r="AL45" i="7"/>
  <c r="AL46" i="7"/>
  <c r="AL55" i="7"/>
  <c r="AH47" i="7"/>
  <c r="G46" i="7"/>
  <c r="G45" i="7"/>
  <c r="AG55" i="7"/>
  <c r="AK55" i="7"/>
  <c r="AG47" i="7"/>
  <c r="AE55" i="7"/>
  <c r="G58" i="7"/>
  <c r="G55" i="7"/>
  <c r="AM46" i="7"/>
  <c r="AM55" i="7"/>
  <c r="AM45" i="7"/>
  <c r="AM58" i="7"/>
  <c r="I45" i="7"/>
  <c r="E72" i="8"/>
  <c r="K55" i="7"/>
  <c r="I55" i="7"/>
  <c r="R55" i="7"/>
  <c r="R58" i="7"/>
  <c r="I58" i="7"/>
  <c r="I46" i="7"/>
  <c r="R45" i="7"/>
  <c r="F166" i="8"/>
  <c r="C55" i="7"/>
  <c r="F27" i="8"/>
  <c r="R46" i="7"/>
  <c r="M55" i="7"/>
  <c r="H47" i="7"/>
  <c r="P47" i="7"/>
  <c r="O55" i="7"/>
  <c r="D46" i="7"/>
  <c r="H55" i="7"/>
  <c r="D55" i="7"/>
  <c r="Q46" i="7"/>
  <c r="Q58" i="7"/>
  <c r="E13" i="8"/>
  <c r="F59" i="7" s="1"/>
  <c r="F62" i="7" s="1"/>
  <c r="D58" i="7"/>
  <c r="D45" i="7"/>
  <c r="Q45" i="7"/>
  <c r="Q55" i="7"/>
  <c r="M45" i="7"/>
  <c r="P55" i="7"/>
  <c r="M58" i="7"/>
  <c r="M46" i="7"/>
  <c r="S46" i="7"/>
  <c r="S55" i="7"/>
  <c r="B182" i="3" a="1"/>
  <c r="B182" i="3" s="1"/>
  <c r="C182" i="3"/>
  <c r="U47" i="7"/>
  <c r="E45" i="7"/>
  <c r="S58" i="7"/>
  <c r="S45" i="7"/>
  <c r="F72" i="8"/>
  <c r="E46" i="7"/>
  <c r="E58" i="7"/>
  <c r="E55" i="7"/>
  <c r="E167" i="8"/>
  <c r="F167" i="8"/>
  <c r="E75" i="8"/>
  <c r="D10" i="8"/>
  <c r="K58" i="7" s="1"/>
  <c r="B47" i="7"/>
  <c r="K151" i="3"/>
  <c r="AP46" i="7"/>
  <c r="U55" i="7"/>
  <c r="AP45" i="7"/>
  <c r="AP58" i="7"/>
  <c r="AP55" i="7"/>
  <c r="L110" i="3"/>
  <c r="E26" i="8"/>
  <c r="H11" i="3"/>
  <c r="J33" i="41"/>
  <c r="D184" i="3"/>
  <c r="M184" i="3" s="1"/>
  <c r="I161" i="3"/>
  <c r="D161" i="8"/>
  <c r="N161" i="3"/>
  <c r="H161" i="3"/>
  <c r="K161" i="3"/>
  <c r="E25" i="8"/>
  <c r="F28" i="8"/>
  <c r="E28" i="8"/>
  <c r="F91" i="3"/>
  <c r="I91" i="3" s="1"/>
  <c r="F169" i="8"/>
  <c r="E169" i="8"/>
  <c r="H158" i="3"/>
  <c r="K158" i="3"/>
  <c r="AK45" i="7" s="1"/>
  <c r="H164" i="3"/>
  <c r="I164" i="3"/>
  <c r="I158" i="3"/>
  <c r="N158" i="3"/>
  <c r="AK46" i="7" s="1"/>
  <c r="D158" i="8"/>
  <c r="AK58" i="7" s="1"/>
  <c r="K160" i="3"/>
  <c r="K10" i="3"/>
  <c r="K45" i="7" s="1"/>
  <c r="N33" i="3"/>
  <c r="I151" i="3"/>
  <c r="N160" i="3"/>
  <c r="AE46" i="7" s="1"/>
  <c r="D151" i="8"/>
  <c r="I160" i="3"/>
  <c r="D160" i="8"/>
  <c r="AE58" i="7" s="1"/>
  <c r="H160" i="3"/>
  <c r="N10" i="3"/>
  <c r="K46" i="7" s="1"/>
  <c r="D33" i="8"/>
  <c r="I33" i="3"/>
  <c r="K33" i="3"/>
  <c r="H33" i="3"/>
  <c r="H10" i="3"/>
  <c r="AC47" i="7"/>
  <c r="H151" i="3"/>
  <c r="N151" i="3"/>
  <c r="C68" i="3"/>
  <c r="B68" i="3"/>
  <c r="F68" i="3"/>
  <c r="N11" i="3"/>
  <c r="C46" i="7" s="1"/>
  <c r="D11" i="8"/>
  <c r="C58" i="7" s="1"/>
  <c r="K11" i="3"/>
  <c r="C45" i="7" s="1"/>
  <c r="I11" i="3"/>
  <c r="I10" i="3"/>
  <c r="E27" i="8"/>
  <c r="D164" i="8"/>
  <c r="X55" i="7"/>
  <c r="F13" i="8"/>
  <c r="F60" i="7" s="1"/>
  <c r="F168" i="8"/>
  <c r="E168" i="8"/>
  <c r="N164" i="3"/>
  <c r="Z55" i="7"/>
  <c r="F26" i="8"/>
  <c r="K164" i="3"/>
  <c r="F25" i="8"/>
  <c r="E24" i="8"/>
  <c r="F24" i="8"/>
  <c r="Z58" i="7"/>
  <c r="I34" i="41"/>
  <c r="E74" i="8"/>
  <c r="F74" i="8"/>
  <c r="F165" i="8"/>
  <c r="E165" i="8"/>
  <c r="F31" i="8"/>
  <c r="E31" i="8"/>
  <c r="E73" i="8"/>
  <c r="F73" i="8"/>
  <c r="AC55" i="7"/>
  <c r="X58" i="7"/>
  <c r="E30" i="8"/>
  <c r="F29" i="8"/>
  <c r="F30" i="8"/>
  <c r="E29" i="8"/>
  <c r="F119" i="8"/>
  <c r="E119" i="8"/>
  <c r="E59" i="8"/>
  <c r="F59" i="8"/>
  <c r="E22" i="8"/>
  <c r="E58" i="8"/>
  <c r="F58" i="8"/>
  <c r="F57" i="8"/>
  <c r="F63" i="8"/>
  <c r="E63" i="8"/>
  <c r="F163" i="8"/>
  <c r="E163" i="8"/>
  <c r="E162" i="8"/>
  <c r="F162" i="8"/>
  <c r="AV46" i="7"/>
  <c r="E8" i="8"/>
  <c r="AV45" i="7"/>
  <c r="F8" i="8"/>
  <c r="E48" i="8"/>
  <c r="F48" i="8"/>
  <c r="E47" i="8"/>
  <c r="E7" i="8"/>
  <c r="F7" i="8"/>
  <c r="F56" i="8"/>
  <c r="F55" i="8"/>
  <c r="E55" i="8"/>
  <c r="E170" i="8"/>
  <c r="F170" i="8"/>
  <c r="E53" i="8"/>
  <c r="E54" i="8"/>
  <c r="D50" i="8"/>
  <c r="N50" i="3"/>
  <c r="E49" i="8"/>
  <c r="F49" i="8"/>
  <c r="D45" i="8"/>
  <c r="AT46" i="7"/>
  <c r="E35" i="8"/>
  <c r="AZ45" i="7"/>
  <c r="F6" i="8"/>
  <c r="AZ46" i="7"/>
  <c r="G68" i="3"/>
  <c r="AY46" i="7"/>
  <c r="K45" i="3"/>
  <c r="H45" i="3"/>
  <c r="I45" i="3"/>
  <c r="N45" i="3"/>
  <c r="AX46" i="7"/>
  <c r="K50" i="3"/>
  <c r="H50" i="3"/>
  <c r="I50" i="3"/>
  <c r="E23" i="8"/>
  <c r="AY45" i="7"/>
  <c r="AX45" i="7"/>
  <c r="F23" i="8"/>
  <c r="X45" i="7"/>
  <c r="Z45" i="7"/>
  <c r="X46" i="7"/>
  <c r="Z46" i="7"/>
  <c r="D98" i="8"/>
  <c r="E97" i="8"/>
  <c r="E100" i="8"/>
  <c r="E101" i="8"/>
  <c r="F97" i="8"/>
  <c r="E95" i="8"/>
  <c r="F100" i="8"/>
  <c r="E99" i="8"/>
  <c r="F101" i="8"/>
  <c r="F99" i="8"/>
  <c r="F95" i="8"/>
  <c r="E117" i="8"/>
  <c r="BA45" i="7"/>
  <c r="F116" i="8"/>
  <c r="E116" i="8"/>
  <c r="F117" i="8"/>
  <c r="BA46" i="7"/>
  <c r="E155" i="8"/>
  <c r="AF59" i="7" s="1"/>
  <c r="AF62" i="7" s="1"/>
  <c r="F156" i="8"/>
  <c r="AD60" i="7" s="1"/>
  <c r="F150" i="8"/>
  <c r="E159" i="8"/>
  <c r="AJ59" i="7" s="1"/>
  <c r="AJ62" i="7" s="1"/>
  <c r="F157" i="8"/>
  <c r="F159" i="8"/>
  <c r="AJ60" i="7" s="1"/>
  <c r="F155" i="8"/>
  <c r="AF60" i="7" s="1"/>
  <c r="E150" i="8"/>
  <c r="E156" i="8"/>
  <c r="AD59" i="7" s="1"/>
  <c r="AD62" i="7" s="1"/>
  <c r="D153" i="8"/>
  <c r="E157" i="8"/>
  <c r="F22" i="8"/>
  <c r="E6" i="8"/>
  <c r="F115" i="8"/>
  <c r="E115" i="8"/>
  <c r="E94" i="8"/>
  <c r="F94" i="8"/>
  <c r="F96" i="8"/>
  <c r="E96" i="8"/>
  <c r="E71" i="8"/>
  <c r="F71" i="8"/>
  <c r="E149" i="8"/>
  <c r="F149" i="8"/>
  <c r="F121" i="8"/>
  <c r="E121" i="8"/>
  <c r="E120" i="8"/>
  <c r="F120" i="8"/>
  <c r="E118" i="8"/>
  <c r="F118" i="8"/>
  <c r="D114" i="8"/>
  <c r="F113" i="8"/>
  <c r="AW60" i="7" s="1"/>
  <c r="E113" i="8"/>
  <c r="AW59" i="7" s="1"/>
  <c r="AW62" i="7" s="1"/>
  <c r="E14" i="8"/>
  <c r="F43" i="8"/>
  <c r="E39" i="8"/>
  <c r="E20" i="8"/>
  <c r="E44" i="8"/>
  <c r="F34" i="8"/>
  <c r="F40" i="8"/>
  <c r="F41" i="8"/>
  <c r="F4" i="8"/>
  <c r="F51" i="8"/>
  <c r="F5" i="8"/>
  <c r="N46" i="3"/>
  <c r="F12" i="8"/>
  <c r="F47" i="8"/>
  <c r="E19" i="8"/>
  <c r="E9" i="8"/>
  <c r="F39" i="8"/>
  <c r="F44" i="8"/>
  <c r="E36" i="8"/>
  <c r="E17" i="8"/>
  <c r="F52" i="8"/>
  <c r="F9" i="8"/>
  <c r="E37" i="8"/>
  <c r="F37" i="8"/>
  <c r="F16" i="8"/>
  <c r="E38" i="8"/>
  <c r="E51" i="8"/>
  <c r="F20" i="8"/>
  <c r="E12" i="8"/>
  <c r="F42" i="8"/>
  <c r="E4" i="8"/>
  <c r="E43" i="8"/>
  <c r="F36" i="8"/>
  <c r="F38" i="8"/>
  <c r="F19" i="8"/>
  <c r="F15" i="8"/>
  <c r="E52" i="8"/>
  <c r="E34" i="8"/>
  <c r="F17" i="8"/>
  <c r="F14" i="8"/>
  <c r="F18" i="8"/>
  <c r="E41" i="8"/>
  <c r="E15" i="8"/>
  <c r="N59" i="7" s="1"/>
  <c r="N62" i="7" s="1"/>
  <c r="E42" i="8"/>
  <c r="E40" i="8"/>
  <c r="E18" i="8"/>
  <c r="E16" i="8"/>
  <c r="E5" i="8"/>
  <c r="E21" i="8"/>
  <c r="F21" i="8"/>
  <c r="E32" i="8"/>
  <c r="F32" i="8"/>
  <c r="E154" i="8"/>
  <c r="F154" i="8"/>
  <c r="E152" i="8"/>
  <c r="F152" i="8"/>
  <c r="K46" i="3"/>
  <c r="H46" i="3"/>
  <c r="I46" i="3"/>
  <c r="D46" i="8"/>
  <c r="N153" i="3"/>
  <c r="G182" i="3"/>
  <c r="K153" i="3"/>
  <c r="H153" i="3"/>
  <c r="I153" i="3"/>
  <c r="H114" i="3"/>
  <c r="H146" i="3" s="1"/>
  <c r="I114" i="3"/>
  <c r="G146" i="3"/>
  <c r="O146" i="3" s="1" a="1"/>
  <c r="O146" i="3" s="1"/>
  <c r="K114" i="3"/>
  <c r="AU45" i="7" s="1"/>
  <c r="N114" i="3"/>
  <c r="AU46" i="7" s="1"/>
  <c r="N98" i="3"/>
  <c r="K98" i="3"/>
  <c r="G110" i="3"/>
  <c r="H98" i="3"/>
  <c r="I98" i="3"/>
  <c r="H110" i="3"/>
  <c r="C185" i="3"/>
  <c r="G187" i="3" s="1"/>
  <c r="L91" i="3" a="1"/>
  <c r="L91" i="3" s="1"/>
  <c r="L182" i="3"/>
  <c r="L146" i="3"/>
  <c r="N60" i="7" l="1"/>
  <c r="T59" i="7"/>
  <c r="T62" i="7" s="1"/>
  <c r="T60" i="7"/>
  <c r="J60" i="7"/>
  <c r="J59" i="7"/>
  <c r="J62" i="7" s="1"/>
  <c r="L60" i="7"/>
  <c r="L59" i="7"/>
  <c r="L62" i="7" s="1"/>
  <c r="O46" i="7"/>
  <c r="O58" i="7"/>
  <c r="O45" i="7"/>
  <c r="AI58" i="7"/>
  <c r="AI45" i="7"/>
  <c r="AI46" i="7"/>
  <c r="Y60" i="7"/>
  <c r="Y59" i="7"/>
  <c r="Y62" i="7" s="1"/>
  <c r="AE45" i="7"/>
  <c r="AL59" i="7"/>
  <c r="AL62" i="7" s="1"/>
  <c r="AL60" i="7"/>
  <c r="AH46" i="7"/>
  <c r="AH58" i="7"/>
  <c r="AH45" i="7"/>
  <c r="G59" i="7"/>
  <c r="G62" i="7" s="1"/>
  <c r="G60" i="7"/>
  <c r="AG46" i="7"/>
  <c r="AG45" i="7"/>
  <c r="AG58" i="7"/>
  <c r="AM60" i="7"/>
  <c r="AM59" i="7"/>
  <c r="AM62" i="7" s="1"/>
  <c r="D60" i="7"/>
  <c r="I60" i="7"/>
  <c r="I59" i="7"/>
  <c r="I62" i="7" s="1"/>
  <c r="R60" i="7"/>
  <c r="R59" i="7"/>
  <c r="R62" i="7" s="1"/>
  <c r="H4" i="38"/>
  <c r="AT35" i="17"/>
  <c r="AT39" i="17" s="1"/>
  <c r="AT40" i="17" s="1"/>
  <c r="H46" i="7"/>
  <c r="P46" i="7"/>
  <c r="H45" i="7"/>
  <c r="P45" i="7"/>
  <c r="H58" i="7"/>
  <c r="P58" i="7"/>
  <c r="D59" i="7"/>
  <c r="D62" i="7" s="1"/>
  <c r="Q59" i="7"/>
  <c r="Q62" i="7" s="1"/>
  <c r="Q60" i="7"/>
  <c r="M59" i="7"/>
  <c r="M62" i="7" s="1"/>
  <c r="M60" i="7"/>
  <c r="S60" i="7"/>
  <c r="U46" i="7"/>
  <c r="U45" i="7"/>
  <c r="U58" i="7"/>
  <c r="O68" i="3" a="1"/>
  <c r="O68" i="3" s="1"/>
  <c r="E60" i="7"/>
  <c r="S59" i="7"/>
  <c r="S62" i="7" s="1"/>
  <c r="E59" i="7"/>
  <c r="E62" i="7" s="1"/>
  <c r="B58" i="7"/>
  <c r="F190" i="3"/>
  <c r="E151" i="8"/>
  <c r="E10" i="8"/>
  <c r="K59" i="7" s="1"/>
  <c r="K62" i="7" s="1"/>
  <c r="B45" i="7"/>
  <c r="F10" i="8"/>
  <c r="K60" i="7" s="1"/>
  <c r="B46" i="7"/>
  <c r="F151" i="8"/>
  <c r="H68" i="3"/>
  <c r="H184" i="3" s="1"/>
  <c r="AP59" i="7"/>
  <c r="AP62" i="7" s="1"/>
  <c r="AP60" i="7"/>
  <c r="Q2" i="17"/>
  <c r="O2" i="5"/>
  <c r="E161" i="8"/>
  <c r="G184" i="3"/>
  <c r="G185" i="3"/>
  <c r="E11" i="8"/>
  <c r="C59" i="7" s="1"/>
  <c r="C62" i="7" s="1"/>
  <c r="F158" i="8"/>
  <c r="AK60" i="7" s="1"/>
  <c r="AC46" i="7"/>
  <c r="F161" i="8"/>
  <c r="F184" i="3"/>
  <c r="E33" i="8"/>
  <c r="E158" i="8"/>
  <c r="AK59" i="7" s="1"/>
  <c r="AK62" i="7" s="1"/>
  <c r="F33" i="8"/>
  <c r="E164" i="8"/>
  <c r="E160" i="8"/>
  <c r="AE59" i="7" s="1"/>
  <c r="AE62" i="7" s="1"/>
  <c r="F160" i="8"/>
  <c r="H182" i="3"/>
  <c r="AC45" i="7"/>
  <c r="AC58" i="7"/>
  <c r="F183" i="3"/>
  <c r="H7" i="38" s="1"/>
  <c r="K4" i="38"/>
  <c r="F6" i="41"/>
  <c r="H5" i="38"/>
  <c r="E183" i="3"/>
  <c r="M4" i="38" s="1"/>
  <c r="F11" i="8"/>
  <c r="C60" i="7" s="1"/>
  <c r="F164" i="8"/>
  <c r="Z60" i="7"/>
  <c r="Z59" i="7"/>
  <c r="Z62" i="7" s="1"/>
  <c r="O110" i="3" a="1"/>
  <c r="O110" i="3" s="1"/>
  <c r="I35" i="41"/>
  <c r="I33" i="41"/>
  <c r="O182" i="3" a="1"/>
  <c r="O182" i="3" s="1"/>
  <c r="I37" i="41"/>
  <c r="X60" i="7"/>
  <c r="X59" i="7"/>
  <c r="X62" i="7" s="1"/>
  <c r="F50" i="8"/>
  <c r="I68" i="3"/>
  <c r="E45" i="8"/>
  <c r="F45" i="8"/>
  <c r="E50" i="8"/>
  <c r="F98" i="8"/>
  <c r="E98" i="8"/>
  <c r="F153" i="8"/>
  <c r="E153" i="8"/>
  <c r="F114" i="8"/>
  <c r="E114" i="8"/>
  <c r="E46" i="8"/>
  <c r="F46" i="8"/>
  <c r="H183" i="3"/>
  <c r="I182" i="3"/>
  <c r="I146" i="3"/>
  <c r="I110" i="3"/>
  <c r="H91" i="3"/>
  <c r="O59" i="7" l="1"/>
  <c r="O62" i="7" s="1"/>
  <c r="O60" i="7"/>
  <c r="AI60" i="7"/>
  <c r="AI59" i="7"/>
  <c r="AI62" i="7" s="1"/>
  <c r="AE60" i="7"/>
  <c r="AH59" i="7"/>
  <c r="AH62" i="7" s="1"/>
  <c r="AH60" i="7"/>
  <c r="AG59" i="7"/>
  <c r="AG62" i="7" s="1"/>
  <c r="AG60" i="7"/>
  <c r="H59" i="7"/>
  <c r="H62" i="7" s="1"/>
  <c r="P59" i="7"/>
  <c r="P62" i="7" s="1"/>
  <c r="H60" i="7"/>
  <c r="P60" i="7"/>
  <c r="L5" i="41"/>
  <c r="G6" i="41"/>
  <c r="O184" i="3" a="1"/>
  <c r="U59" i="7"/>
  <c r="U62" i="7" s="1"/>
  <c r="U60" i="7"/>
  <c r="B59" i="7"/>
  <c r="B62" i="7" s="1"/>
  <c r="B60" i="7"/>
  <c r="I184" i="3"/>
  <c r="F5" i="41"/>
  <c r="C19" i="41"/>
  <c r="AC59" i="7"/>
  <c r="AC62" i="7" s="1"/>
  <c r="H6" i="41"/>
  <c r="AC60" i="7"/>
  <c r="F8" i="41"/>
  <c r="I6" i="41"/>
  <c r="L4" i="38"/>
  <c r="F7" i="41"/>
  <c r="J6" i="41" s="1"/>
  <c r="H6" i="38"/>
  <c r="G69" i="3"/>
  <c r="G111" i="3"/>
  <c r="K146" i="3" s="1" a="1"/>
  <c r="K146" i="3" s="1"/>
  <c r="G4" i="44"/>
  <c r="G12" i="44"/>
  <c r="F4" i="44"/>
  <c r="E4" i="44"/>
  <c r="F17" i="44"/>
  <c r="E2" i="44"/>
  <c r="E29" i="44"/>
  <c r="E31" i="44"/>
  <c r="E30" i="44"/>
  <c r="M4" i="44" s="1"/>
  <c r="F10" i="44"/>
  <c r="F22" i="44"/>
  <c r="E32" i="44"/>
  <c r="G11" i="44"/>
  <c r="E3" i="44"/>
  <c r="G32" i="44"/>
  <c r="F15" i="44"/>
  <c r="G16" i="44"/>
  <c r="G25" i="44"/>
  <c r="E19" i="44"/>
  <c r="M3" i="44" s="1"/>
  <c r="E6" i="44"/>
  <c r="F8" i="44"/>
  <c r="M6" i="44" s="1"/>
  <c r="E18" i="44"/>
  <c r="G21" i="44"/>
  <c r="G33" i="44"/>
  <c r="G26" i="44"/>
  <c r="E27" i="44"/>
  <c r="E23" i="44"/>
  <c r="F29" i="44"/>
  <c r="F13" i="44"/>
  <c r="G22" i="44"/>
  <c r="F23" i="44"/>
  <c r="G9" i="44"/>
  <c r="G3" i="44"/>
  <c r="F25" i="44"/>
  <c r="G29" i="44"/>
  <c r="G15" i="44"/>
  <c r="F19" i="44"/>
  <c r="M7" i="44" s="1"/>
  <c r="E5" i="44"/>
  <c r="G8" i="44"/>
  <c r="F2" i="44"/>
  <c r="E20" i="44"/>
  <c r="E17" i="44"/>
  <c r="G2" i="44"/>
  <c r="F6" i="44"/>
  <c r="F9" i="44"/>
  <c r="F12" i="44"/>
  <c r="F7" i="44"/>
  <c r="G14" i="44"/>
  <c r="E15" i="44"/>
  <c r="E16" i="44"/>
  <c r="G13" i="44"/>
  <c r="F11" i="44"/>
  <c r="G30" i="44"/>
  <c r="E11" i="44"/>
  <c r="E26" i="44"/>
  <c r="F20" i="44"/>
  <c r="G5" i="44"/>
  <c r="F14" i="44"/>
  <c r="E8" i="44"/>
  <c r="M2" i="44" s="1"/>
  <c r="G17" i="44"/>
  <c r="E7" i="44"/>
  <c r="F30" i="44"/>
  <c r="M8" i="44" s="1"/>
  <c r="G6" i="44"/>
  <c r="G27" i="44"/>
  <c r="E25" i="44"/>
  <c r="E33" i="44"/>
  <c r="E28" i="44"/>
  <c r="G24" i="44"/>
  <c r="F24" i="44"/>
  <c r="F31" i="44"/>
  <c r="F27" i="44"/>
  <c r="G20" i="44"/>
  <c r="F34" i="44"/>
  <c r="F18" i="44"/>
  <c r="F33" i="44"/>
  <c r="E9" i="44"/>
  <c r="E34" i="44"/>
  <c r="E12" i="44"/>
  <c r="F28" i="44"/>
  <c r="F32" i="44"/>
  <c r="G34" i="44"/>
  <c r="G7" i="44"/>
  <c r="E13" i="44"/>
  <c r="E24" i="44"/>
  <c r="G19" i="44"/>
  <c r="F21" i="44"/>
  <c r="E10" i="44"/>
  <c r="G10" i="44"/>
  <c r="G31" i="44"/>
  <c r="F16" i="44"/>
  <c r="E21" i="44"/>
  <c r="F26" i="44"/>
  <c r="G28" i="44"/>
  <c r="G23" i="44"/>
  <c r="F5" i="44"/>
  <c r="G18" i="44"/>
  <c r="F3" i="44"/>
  <c r="E14" i="44"/>
  <c r="E22" i="44"/>
  <c r="N186" i="3"/>
  <c r="O184" i="3"/>
  <c r="P185" i="3"/>
  <c r="F15" i="41" s="1"/>
  <c r="G147" i="3"/>
  <c r="K182" i="3" s="1" a="1"/>
  <c r="K182" i="3" s="1"/>
  <c r="C6" i="41" s="1"/>
  <c r="C78" i="41" s="1"/>
  <c r="Q1" i="17"/>
  <c r="F3" i="4"/>
  <c r="C23" i="41"/>
  <c r="G92" i="3"/>
  <c r="K110" i="3" s="1" a="1"/>
  <c r="K110" i="3" s="1"/>
  <c r="A1" i="2"/>
  <c r="P2" i="5"/>
  <c r="C20" i="41"/>
  <c r="G2" i="3"/>
  <c r="A2" i="35" l="1"/>
  <c r="A2" i="12"/>
  <c r="A2" i="2"/>
  <c r="A2" i="1"/>
  <c r="AU36" i="17"/>
  <c r="F4" i="41"/>
  <c r="F26" i="41" s="1"/>
  <c r="F60" i="41" s="1"/>
  <c r="F57" i="41"/>
  <c r="D7" i="38"/>
  <c r="C22" i="41"/>
  <c r="K91" i="3" a="1"/>
  <c r="K91" i="3" s="1"/>
  <c r="N91" i="3" a="1"/>
  <c r="N91" i="3" s="1"/>
  <c r="C9" i="41" s="1"/>
  <c r="C80" i="41" s="1"/>
  <c r="O3" i="44"/>
  <c r="O8" i="44"/>
  <c r="O7" i="44"/>
  <c r="O6" i="44"/>
  <c r="N8" i="44"/>
  <c r="N7" i="44"/>
  <c r="N6" i="44"/>
  <c r="L8" i="44"/>
  <c r="L7" i="44"/>
  <c r="L6" i="44"/>
  <c r="O4" i="44"/>
  <c r="O2" i="44"/>
  <c r="N4" i="44"/>
  <c r="N3" i="44"/>
  <c r="N2" i="44"/>
  <c r="L4" i="44"/>
  <c r="L3" i="44"/>
  <c r="L2" i="44"/>
  <c r="C4" i="41"/>
  <c r="C76" i="41" s="1"/>
  <c r="C5" i="41"/>
  <c r="C77" i="41" s="1"/>
  <c r="N68" i="3" a="1"/>
  <c r="N68" i="3" s="1"/>
  <c r="C8" i="41" s="1"/>
  <c r="C79" i="41" s="1"/>
  <c r="K68" i="3" a="1"/>
  <c r="K68" i="3" s="1"/>
  <c r="BL1" i="2"/>
  <c r="CY1" i="16"/>
  <c r="CY1" i="35"/>
  <c r="N182" i="3" a="1"/>
  <c r="N182" i="3" s="1"/>
  <c r="C12" i="41" s="1"/>
  <c r="C83" i="41" s="1"/>
  <c r="N110" i="3" a="1"/>
  <c r="N110" i="3" s="1"/>
  <c r="C10" i="41" s="1"/>
  <c r="C81" i="41" s="1"/>
  <c r="N146" i="3" a="1"/>
  <c r="N146" i="3" s="1"/>
  <c r="C11" i="41" s="1"/>
  <c r="C82" i="41" s="1"/>
  <c r="GM1" i="1"/>
  <c r="K185" i="3" l="1"/>
  <c r="C3" i="41"/>
  <c r="C75" i="41" s="1"/>
  <c r="C2" i="41"/>
  <c r="C74" i="41" s="1"/>
  <c r="L185" i="3"/>
  <c r="L68" i="3" l="1"/>
  <c r="L184" i="3" s="1"/>
  <c r="G9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B41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定重率：</t>
        </r>
        <r>
          <rPr>
            <b/>
            <sz val="9"/>
            <color indexed="81"/>
            <rFont val="新細明體"/>
            <family val="1"/>
            <charset val="136"/>
          </rPr>
          <t xml:space="preserve">
A</t>
        </r>
        <r>
          <rPr>
            <b/>
            <sz val="9"/>
            <color indexed="81"/>
            <rFont val="新細明體"/>
            <family val="1"/>
            <charset val="136"/>
          </rPr>
          <t xml:space="preserve">級量 </t>
        </r>
        <r>
          <rPr>
            <b/>
            <sz val="9"/>
            <color indexed="81"/>
            <rFont val="新細明體"/>
            <family val="1"/>
            <charset val="136"/>
          </rPr>
          <t>- AX</t>
        </r>
        <r>
          <rPr>
            <b/>
            <sz val="9"/>
            <color indexed="81"/>
            <rFont val="新細明體"/>
            <family val="1"/>
            <charset val="136"/>
          </rPr>
          <t xml:space="preserve">量 </t>
        </r>
        <r>
          <rPr>
            <b/>
            <sz val="9"/>
            <color indexed="81"/>
            <rFont val="新細明體"/>
            <family val="1"/>
            <charset val="136"/>
          </rPr>
          <t>- A0</t>
        </r>
        <r>
          <rPr>
            <b/>
            <sz val="9"/>
            <color indexed="81"/>
            <rFont val="新細明體"/>
            <family val="1"/>
            <charset val="136"/>
          </rPr>
          <t>量</t>
        </r>
        <r>
          <rPr>
            <b/>
            <sz val="9"/>
            <color indexed="81"/>
            <rFont val="新細明體"/>
            <family val="1"/>
            <charset val="136"/>
          </rPr>
          <t xml:space="preserve"> / </t>
        </r>
        <r>
          <rPr>
            <b/>
            <sz val="9"/>
            <color indexed="81"/>
            <rFont val="新細明體"/>
            <family val="1"/>
            <charset val="136"/>
          </rPr>
          <t>繳庫量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E2" authorId="0" shapeId="0" xr:uid="{00000000-0006-0000-0500-000001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2" authorId="0" shapeId="0" xr:uid="{00000000-0006-0000-0500-000002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69" authorId="0" shapeId="0" xr:uid="{00000000-0006-0000-0500-000003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69" authorId="0" shapeId="0" xr:uid="{00000000-0006-0000-0500-000004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92" authorId="0" shapeId="0" xr:uid="{00000000-0006-0000-0500-000005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92" authorId="0" shapeId="0" xr:uid="{00000000-0006-0000-0500-000006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11" authorId="0" shapeId="0" xr:uid="{00000000-0006-0000-0500-000007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11" authorId="0" shapeId="0" xr:uid="{00000000-0006-0000-0500-000008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47" authorId="0" shapeId="0" xr:uid="{00000000-0006-0000-0500-000009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47" authorId="0" shapeId="0" xr:uid="{00000000-0006-0000-0500-00000A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83" authorId="0" shapeId="0" xr:uid="{00000000-0006-0000-0500-00000B000000}">
      <text>
        <r>
          <rPr>
            <b/>
            <sz val="14"/>
            <color indexed="81"/>
            <rFont val="細明體"/>
            <family val="3"/>
            <charset val="136"/>
          </rPr>
          <t>呂副廠指示：自</t>
        </r>
        <r>
          <rPr>
            <b/>
            <sz val="14"/>
            <color indexed="81"/>
            <rFont val="Tahoma"/>
            <family val="2"/>
          </rPr>
          <t>2010/11</t>
        </r>
        <r>
          <rPr>
            <b/>
            <sz val="14"/>
            <color indexed="81"/>
            <rFont val="細明體"/>
            <family val="3"/>
            <charset val="136"/>
          </rPr>
          <t>起打</t>
        </r>
        <r>
          <rPr>
            <b/>
            <sz val="14"/>
            <color indexed="81"/>
            <rFont val="Tahoma"/>
            <family val="2"/>
          </rPr>
          <t>0.9</t>
        </r>
        <r>
          <rPr>
            <b/>
            <sz val="14"/>
            <color indexed="81"/>
            <rFont val="細明體"/>
            <family val="3"/>
            <charset val="136"/>
          </rPr>
          <t>折</t>
        </r>
      </text>
    </comment>
    <comment ref="G184" authorId="0" shapeId="0" xr:uid="{00000000-0006-0000-0500-00000C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檢查是否與報表相同</t>
        </r>
      </text>
    </comment>
    <comment ref="I184" authorId="0" shapeId="0" xr:uid="{00000000-0006-0000-0500-00000D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效率</t>
        </r>
        <r>
          <rPr>
            <sz val="9"/>
            <color indexed="81"/>
            <rFont val="新細明體"/>
            <family val="1"/>
            <charset val="136"/>
          </rPr>
          <t>＝（繳庫總量－實驗&amp;非當月生產＋當月生產批號之退庫）／理論產量</t>
        </r>
      </text>
    </comment>
    <comment ref="J184" authorId="0" shapeId="0" xr:uid="{00000000-0006-0000-0500-00000E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手動-每天要KEY</t>
        </r>
      </text>
    </comment>
    <comment ref="G185" authorId="0" shapeId="0" xr:uid="{00000000-0006-0000-0500-00000F000000}">
      <text>
        <r>
          <rPr>
            <b/>
            <sz val="11"/>
            <color indexed="81"/>
            <rFont val="細明體"/>
            <family val="3"/>
            <charset val="136"/>
          </rPr>
          <t xml:space="preserve">各機型當月生產產量
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細明體"/>
            <family val="3"/>
            <charset val="136"/>
          </rPr>
          <t>計算</t>
        </r>
        <r>
          <rPr>
            <b/>
            <sz val="11"/>
            <color indexed="81"/>
            <rFont val="Tahoma"/>
            <family val="2"/>
          </rPr>
          <t>C</t>
        </r>
        <r>
          <rPr>
            <b/>
            <sz val="11"/>
            <color indexed="81"/>
            <rFont val="細明體"/>
            <family val="3"/>
            <charset val="136"/>
          </rPr>
          <t>級分攤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G187" authorId="0" shapeId="0" xr:uid="{00000000-0006-0000-0500-000010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檢查是否與繳庫日報表最後一頁調整累計符合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G62" authorId="0" shapeId="0" xr:uid="{8965A60C-8DF7-4227-926B-2C463B73001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細明體"/>
            <family val="3"/>
            <charset val="136"/>
          </rPr>
          <t>月底再另</t>
        </r>
        <r>
          <rPr>
            <b/>
            <sz val="9"/>
            <color indexed="81"/>
            <rFont val="Tahoma"/>
            <family val="2"/>
          </rPr>
          <t>KEY IN</t>
        </r>
      </text>
    </comment>
    <comment ref="AG63" authorId="0" shapeId="0" xr:uid="{A980BC9C-E4EB-465C-AE20-7E5011518CB6}">
      <text>
        <r>
          <rPr>
            <b/>
            <sz val="9"/>
            <color indexed="81"/>
            <rFont val="細明體"/>
            <family val="3"/>
            <charset val="136"/>
          </rPr>
          <t xml:space="preserve">
月底再另</t>
        </r>
        <r>
          <rPr>
            <b/>
            <sz val="9"/>
            <color indexed="81"/>
            <rFont val="Tahoma"/>
            <family val="2"/>
          </rPr>
          <t>KEY 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A3" authorId="0" shapeId="0" xr:uid="{00000000-0006-0000-0F00-000001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B3" authorId="0" shapeId="0" xr:uid="{00000000-0006-0000-0F00-000002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C3" authorId="0" shapeId="0" xr:uid="{00000000-0006-0000-0F00-000003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<sst xmlns="http://schemas.openxmlformats.org/spreadsheetml/2006/main" count="84866" uniqueCount="17596">
  <si>
    <t>A+Aw</t>
    <phoneticPr fontId="12" type="noConversion"/>
  </si>
  <si>
    <t>Ao+Ax</t>
    <phoneticPr fontId="12" type="noConversion"/>
  </si>
  <si>
    <t>B</t>
    <phoneticPr fontId="12" type="noConversion"/>
  </si>
  <si>
    <t>台數</t>
    <phoneticPr fontId="12" type="noConversion"/>
  </si>
  <si>
    <t>A+Aw</t>
    <phoneticPr fontId="12" type="noConversion"/>
  </si>
  <si>
    <t xml:space="preserve">Date </t>
    <phoneticPr fontId="12" type="noConversion"/>
  </si>
  <si>
    <t>理論</t>
    <phoneticPr fontId="12" type="noConversion"/>
  </si>
  <si>
    <t>實際</t>
    <phoneticPr fontId="12" type="noConversion"/>
  </si>
  <si>
    <t>Lot no.</t>
    <phoneticPr fontId="12" type="noConversion"/>
  </si>
  <si>
    <t>Speed</t>
    <phoneticPr fontId="12" type="noConversion"/>
  </si>
  <si>
    <t>繳庫量</t>
    <phoneticPr fontId="17" type="noConversion"/>
  </si>
  <si>
    <t>退庫</t>
    <phoneticPr fontId="17" type="noConversion"/>
  </si>
  <si>
    <t>日期</t>
    <phoneticPr fontId="17" type="noConversion"/>
  </si>
  <si>
    <t>FD5F300D</t>
    <phoneticPr fontId="17" type="noConversion"/>
  </si>
  <si>
    <t>退庫</t>
    <phoneticPr fontId="12" type="noConversion"/>
  </si>
  <si>
    <t>Ao+Ax</t>
    <phoneticPr fontId="12" type="noConversion"/>
  </si>
  <si>
    <t>B</t>
    <phoneticPr fontId="12" type="noConversion"/>
  </si>
  <si>
    <t>節數</t>
    <phoneticPr fontId="12" type="noConversion"/>
  </si>
  <si>
    <r>
      <t>MPS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</si>
  <si>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>AFK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</si>
  <si>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>33J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</si>
  <si>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t>A%</t>
    <phoneticPr fontId="17" type="noConversion"/>
  </si>
  <si>
    <t>AW%</t>
    <phoneticPr fontId="17" type="noConversion"/>
  </si>
  <si>
    <r>
      <t>AFK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</si>
  <si>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33J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</si>
  <si>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MPS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</si>
  <si>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M80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</si>
  <si>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>M80</t>
    </r>
    <r>
      <rPr>
        <b/>
        <sz val="12"/>
        <rFont val="標楷體"/>
        <family val="4"/>
        <charset val="136"/>
      </rPr>
      <t>小計</t>
    </r>
    <phoneticPr fontId="12" type="noConversion"/>
  </si>
  <si>
    <t>FD5G510C</t>
    <phoneticPr fontId="17" type="noConversion"/>
  </si>
  <si>
    <t>FD5F550C</t>
    <phoneticPr fontId="17" type="noConversion"/>
  </si>
  <si>
    <t>AFK</t>
    <phoneticPr fontId="12" type="noConversion"/>
  </si>
  <si>
    <t>33J</t>
    <phoneticPr fontId="12" type="noConversion"/>
  </si>
  <si>
    <t>MPS</t>
    <phoneticPr fontId="12" type="noConversion"/>
  </si>
  <si>
    <t>M80</t>
    <phoneticPr fontId="12" type="noConversion"/>
  </si>
  <si>
    <t>A%</t>
    <phoneticPr fontId="12" type="noConversion"/>
  </si>
  <si>
    <t>AW%</t>
    <phoneticPr fontId="12" type="noConversion"/>
  </si>
  <si>
    <r>
      <rPr>
        <sz val="16"/>
        <color indexed="10"/>
        <rFont val="細明體"/>
        <family val="3"/>
        <charset val="136"/>
      </rPr>
      <t>自</t>
    </r>
    <r>
      <rPr>
        <sz val="16"/>
        <color indexed="10"/>
        <rFont val="Arial"/>
        <family val="2"/>
      </rPr>
      <t>2010/11</t>
    </r>
    <r>
      <rPr>
        <sz val="16"/>
        <color indexed="10"/>
        <rFont val="細明體"/>
        <family val="3"/>
        <charset val="136"/>
      </rPr>
      <t>起原絲丹尼÷</t>
    </r>
    <r>
      <rPr>
        <sz val="16"/>
        <color indexed="10"/>
        <rFont val="Arial"/>
        <family val="2"/>
      </rPr>
      <t>DR</t>
    </r>
    <r>
      <rPr>
        <sz val="16"/>
        <color indexed="10"/>
        <rFont val="細明體"/>
        <family val="3"/>
        <charset val="136"/>
      </rPr>
      <t>再×</t>
    </r>
    <r>
      <rPr>
        <sz val="16"/>
        <color indexed="10"/>
        <rFont val="Arial"/>
        <family val="2"/>
      </rPr>
      <t>1.8%</t>
    </r>
    <phoneticPr fontId="12" type="noConversion"/>
  </si>
  <si>
    <t>日期</t>
  </si>
  <si>
    <t>機台</t>
  </si>
  <si>
    <t>批號</t>
  </si>
  <si>
    <t>字尾</t>
  </si>
  <si>
    <t>規格</t>
  </si>
  <si>
    <t>POY</t>
  </si>
  <si>
    <t>車速</t>
  </si>
  <si>
    <t>早班斷絲</t>
  </si>
  <si>
    <t>早班IAD</t>
  </si>
  <si>
    <t>早班效率</t>
  </si>
  <si>
    <t>中班斷絲</t>
  </si>
  <si>
    <t>中班IAD</t>
  </si>
  <si>
    <t>中班效率</t>
  </si>
  <si>
    <t>中後斷絲</t>
  </si>
  <si>
    <t>中後IAD</t>
  </si>
  <si>
    <t>中後效率</t>
  </si>
  <si>
    <t>夜班斷絲</t>
  </si>
  <si>
    <t>夜班IAD</t>
  </si>
  <si>
    <t>夜班效率</t>
  </si>
  <si>
    <t>落數</t>
  </si>
  <si>
    <t>斷絲(班)</t>
  </si>
  <si>
    <t>IAD</t>
  </si>
  <si>
    <t>效率平均</t>
  </si>
  <si>
    <t>斷絲(H)</t>
  </si>
  <si>
    <t>機型</t>
  </si>
  <si>
    <t>MPS節數</t>
  </si>
  <si>
    <t>高低壓</t>
  </si>
  <si>
    <t>打結器</t>
  </si>
  <si>
    <t>係數</t>
  </si>
  <si>
    <t>Air Pressure
Kg/c㎡</t>
  </si>
  <si>
    <t>時數</t>
  </si>
  <si>
    <t>錠位
數量</t>
  </si>
  <si>
    <t>乘數</t>
  </si>
  <si>
    <t>總計</t>
  </si>
  <si>
    <t>平均值 - IAD</t>
  </si>
  <si>
    <t>資料</t>
  </si>
  <si>
    <t>產量</t>
    <phoneticPr fontId="17" type="noConversion"/>
  </si>
  <si>
    <t>計數 - 高低壓 的加總</t>
  </si>
  <si>
    <t>平均值 - 效率平均</t>
  </si>
  <si>
    <t>JET</t>
    <phoneticPr fontId="17" type="noConversion"/>
  </si>
  <si>
    <t>壓力</t>
    <phoneticPr fontId="17" type="noConversion"/>
  </si>
  <si>
    <t>斷絲</t>
    <phoneticPr fontId="17" type="noConversion"/>
  </si>
  <si>
    <t>Lot no.</t>
    <phoneticPr fontId="12" type="noConversion"/>
  </si>
  <si>
    <t>Speed</t>
    <phoneticPr fontId="12" type="noConversion"/>
  </si>
  <si>
    <t>計數 - 高低壓</t>
  </si>
  <si>
    <t>AFK</t>
  </si>
  <si>
    <t>管色</t>
  </si>
  <si>
    <t>定重</t>
  </si>
  <si>
    <t>斷絲扣IAD</t>
  </si>
  <si>
    <t xml:space="preserve"> </t>
    <phoneticPr fontId="12" type="noConversion"/>
  </si>
  <si>
    <t xml:space="preserve"> 製表：朱玉萍</t>
    <phoneticPr fontId="12" type="noConversion"/>
  </si>
  <si>
    <t>JET</t>
  </si>
  <si>
    <r>
      <t xml:space="preserve">AFK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</si>
  <si>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 xml:space="preserve">33J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</si>
  <si>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 xml:space="preserve">MPS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</si>
  <si>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t>退庫</t>
    <phoneticPr fontId="12" type="noConversion"/>
  </si>
  <si>
    <t>全部開車台數</t>
    <phoneticPr fontId="12" type="noConversion"/>
  </si>
  <si>
    <t>斷絲率</t>
    <phoneticPr fontId="12" type="noConversion"/>
  </si>
  <si>
    <t>斷絲率</t>
    <phoneticPr fontId="12" type="noConversion"/>
  </si>
  <si>
    <t>DTY批號</t>
    <phoneticPr fontId="12" type="noConversion"/>
  </si>
  <si>
    <t>規格</t>
    <phoneticPr fontId="12" type="noConversion"/>
  </si>
  <si>
    <t>POY批號</t>
    <phoneticPr fontId="12" type="noConversion"/>
  </si>
  <si>
    <t>台數</t>
    <phoneticPr fontId="12" type="noConversion"/>
  </si>
  <si>
    <t>車速m/min</t>
    <phoneticPr fontId="12" type="noConversion"/>
  </si>
  <si>
    <t>理論產量kg</t>
    <phoneticPr fontId="12" type="noConversion"/>
  </si>
  <si>
    <t>實際產量kg</t>
    <phoneticPr fontId="12" type="noConversion"/>
  </si>
  <si>
    <t>折合產量kg</t>
    <phoneticPr fontId="12" type="noConversion"/>
  </si>
  <si>
    <t>效率</t>
    <phoneticPr fontId="12" type="noConversion"/>
  </si>
  <si>
    <t>當日A級率</t>
    <phoneticPr fontId="12" type="noConversion"/>
  </si>
  <si>
    <t xml:space="preserve"> Ａ級率</t>
    <phoneticPr fontId="12" type="noConversion"/>
  </si>
  <si>
    <t>累計斷絲率</t>
    <phoneticPr fontId="12" type="noConversion"/>
  </si>
  <si>
    <t>滿管率</t>
    <phoneticPr fontId="12" type="noConversion"/>
  </si>
  <si>
    <t>紗重</t>
    <phoneticPr fontId="12" type="noConversion"/>
  </si>
  <si>
    <t>備                 註</t>
    <phoneticPr fontId="12" type="noConversion"/>
  </si>
  <si>
    <t>DTY批號</t>
    <phoneticPr fontId="12" type="noConversion"/>
  </si>
  <si>
    <t>規格</t>
    <phoneticPr fontId="12" type="noConversion"/>
  </si>
  <si>
    <t>POY批號</t>
    <phoneticPr fontId="12" type="noConversion"/>
  </si>
  <si>
    <t>台數</t>
    <phoneticPr fontId="12" type="noConversion"/>
  </si>
  <si>
    <t>車速m/min</t>
    <phoneticPr fontId="12" type="noConversion"/>
  </si>
  <si>
    <t>理論產量kg</t>
    <phoneticPr fontId="12" type="noConversion"/>
  </si>
  <si>
    <t>實際產量kg</t>
    <phoneticPr fontId="12" type="noConversion"/>
  </si>
  <si>
    <t>折合產量kg</t>
    <phoneticPr fontId="12" type="noConversion"/>
  </si>
  <si>
    <t>效率</t>
    <phoneticPr fontId="12" type="noConversion"/>
  </si>
  <si>
    <t>當日A級率</t>
    <phoneticPr fontId="12" type="noConversion"/>
  </si>
  <si>
    <t xml:space="preserve"> Ａ級率</t>
    <phoneticPr fontId="12" type="noConversion"/>
  </si>
  <si>
    <t>累計斷絲率</t>
    <phoneticPr fontId="12" type="noConversion"/>
  </si>
  <si>
    <t>滿管率</t>
    <phoneticPr fontId="12" type="noConversion"/>
  </si>
  <si>
    <t>紗重</t>
    <phoneticPr fontId="12" type="noConversion"/>
  </si>
  <si>
    <t>備                 註</t>
    <phoneticPr fontId="12" type="noConversion"/>
  </si>
  <si>
    <t>P203</t>
  </si>
  <si>
    <t>了機</t>
  </si>
  <si>
    <r>
      <t>TMT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</si>
  <si>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TMT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</si>
  <si>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 xml:space="preserve">M80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</si>
  <si>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 xml:space="preserve">TMT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</si>
  <si>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>AFK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</si>
  <si>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MPS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</si>
  <si>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33J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</si>
  <si>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M80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</si>
  <si>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TMT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</si>
  <si>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 xml:space="preserve">AFK+33J+MPS+M80+TMT  </t>
    </r>
    <r>
      <rPr>
        <b/>
        <sz val="12"/>
        <rFont val="細明體"/>
        <family val="3"/>
        <charset val="136"/>
      </rPr>
      <t>平均丹尼</t>
    </r>
    <r>
      <rPr>
        <b/>
        <sz val="12"/>
        <rFont val="Arial"/>
        <family val="2"/>
      </rPr>
      <t xml:space="preserve"> / </t>
    </r>
    <r>
      <rPr>
        <b/>
        <sz val="12"/>
        <rFont val="細明體"/>
        <family val="3"/>
        <charset val="136"/>
      </rPr>
      <t>車速</t>
    </r>
    <phoneticPr fontId="12" type="noConversion"/>
  </si>
  <si>
    <r>
      <t>C</t>
    </r>
    <r>
      <rPr>
        <b/>
        <sz val="14"/>
        <rFont val="微軟正黑體"/>
        <family val="2"/>
        <charset val="136"/>
      </rPr>
      <t>級</t>
    </r>
    <phoneticPr fontId="12" type="noConversion"/>
  </si>
  <si>
    <r>
      <rPr>
        <b/>
        <sz val="14"/>
        <rFont val="微軟正黑體"/>
        <family val="2"/>
        <charset val="136"/>
      </rPr>
      <t>當月批號退庫量</t>
    </r>
    <phoneticPr fontId="12" type="noConversion"/>
  </si>
  <si>
    <r>
      <rPr>
        <b/>
        <sz val="14"/>
        <rFont val="微軟正黑體"/>
        <family val="2"/>
        <charset val="136"/>
      </rPr>
      <t>總計</t>
    </r>
    <phoneticPr fontId="12" type="noConversion"/>
  </si>
  <si>
    <r>
      <rPr>
        <b/>
        <sz val="12"/>
        <rFont val="微軟正黑體"/>
        <family val="2"/>
        <charset val="136"/>
      </rPr>
      <t xml:space="preserve">本月份生產的
</t>
    </r>
    <r>
      <rPr>
        <b/>
        <sz val="12"/>
        <rFont val="Arial"/>
        <family val="2"/>
      </rPr>
      <t>A</t>
    </r>
    <r>
      <rPr>
        <b/>
        <sz val="12"/>
        <rFont val="微軟正黑體"/>
        <family val="2"/>
        <charset val="136"/>
      </rPr>
      <t>級率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定重率→</t>
    </r>
    <phoneticPr fontId="12" type="noConversion"/>
  </si>
  <si>
    <t>各機型當月生產產量
(計算C級分攤)</t>
    <phoneticPr fontId="12" type="noConversion"/>
  </si>
  <si>
    <t>TMT</t>
    <phoneticPr fontId="12" type="noConversion"/>
  </si>
  <si>
    <t>退</t>
    <phoneticPr fontId="12" type="noConversion"/>
  </si>
  <si>
    <t>累計生產天數</t>
    <phoneticPr fontId="12" type="noConversion"/>
  </si>
  <si>
    <r>
      <rPr>
        <b/>
        <sz val="12"/>
        <rFont val="微軟正黑體"/>
        <family val="2"/>
        <charset val="136"/>
      </rPr>
      <t>日</t>
    </r>
  </si>
  <si>
    <r>
      <rPr>
        <b/>
        <sz val="12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</si>
  <si>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</t>
    </r>
  </si>
  <si>
    <r>
      <rPr>
        <sz val="36"/>
        <rFont val="微軟正黑體"/>
        <family val="2"/>
        <charset val="136"/>
      </rPr>
      <t>定重率</t>
    </r>
    <phoneticPr fontId="12" type="noConversion"/>
  </si>
  <si>
    <r>
      <rPr>
        <sz val="36"/>
        <rFont val="微軟正黑體"/>
        <family val="2"/>
        <charset val="136"/>
      </rPr>
      <t xml:space="preserve">品判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2" type="noConversion"/>
  </si>
  <si>
    <r>
      <rPr>
        <sz val="48"/>
        <rFont val="微軟正黑體"/>
        <family val="2"/>
        <charset val="136"/>
      </rPr>
      <t>撚二科</t>
    </r>
    <r>
      <rPr>
        <sz val="48"/>
        <rFont val="Arial Black"/>
        <family val="2"/>
      </rPr>
      <t xml:space="preserve"> ISO</t>
    </r>
    <r>
      <rPr>
        <sz val="48"/>
        <rFont val="微軟正黑體"/>
        <family val="2"/>
        <charset val="136"/>
      </rPr>
      <t>品質目標</t>
    </r>
    <phoneticPr fontId="12" type="noConversion"/>
  </si>
  <si>
    <t>海洋回收</t>
    <phoneticPr fontId="12" type="noConversion"/>
  </si>
  <si>
    <t>耗氣量(立方/日)</t>
    <phoneticPr fontId="12" type="noConversion"/>
  </si>
  <si>
    <t>加總 - 耗氣量(立方/日) 的加總</t>
  </si>
  <si>
    <t>加總 - 耗氣量(立方/日)</t>
  </si>
  <si>
    <t>Lot no.</t>
    <phoneticPr fontId="12" type="noConversion"/>
  </si>
  <si>
    <t>Speed</t>
    <phoneticPr fontId="12" type="noConversion"/>
  </si>
  <si>
    <t>P203</t>
    <phoneticPr fontId="12" type="noConversion"/>
  </si>
  <si>
    <t>ＴＭＴ</t>
    <phoneticPr fontId="12" type="noConversion"/>
  </si>
  <si>
    <t>效率</t>
    <phoneticPr fontId="108" type="noConversion"/>
  </si>
  <si>
    <t>空錠率</t>
    <phoneticPr fontId="108" type="noConversion"/>
  </si>
  <si>
    <t>IAD</t>
    <phoneticPr fontId="108" type="noConversion"/>
  </si>
  <si>
    <t>A%</t>
    <phoneticPr fontId="12" type="noConversion"/>
  </si>
  <si>
    <t>AW%</t>
    <phoneticPr fontId="12" type="noConversion"/>
  </si>
  <si>
    <t>空錠數</t>
  </si>
  <si>
    <t>跳車成績(台次)</t>
  </si>
  <si>
    <t>包裝成績</t>
  </si>
  <si>
    <t>撚維成績</t>
  </si>
  <si>
    <t>值車成績</t>
  </si>
  <si>
    <t>絲尾成績</t>
  </si>
  <si>
    <t>上紗成績</t>
  </si>
  <si>
    <t>IAD成績</t>
  </si>
  <si>
    <t>廢絲率成績</t>
  </si>
  <si>
    <t>稽核成績</t>
  </si>
  <si>
    <t>污碰成績</t>
  </si>
  <si>
    <t>棧板成績</t>
  </si>
  <si>
    <t>POY包材成績</t>
  </si>
  <si>
    <t>保全跳車次數</t>
  </si>
  <si>
    <t>幹部成績</t>
  </si>
  <si>
    <t>包材工繳</t>
  </si>
  <si>
    <t>人工生產力</t>
  </si>
  <si>
    <t>客訴成績</t>
  </si>
  <si>
    <t>能源成績(單耗)</t>
  </si>
  <si>
    <r>
      <rPr>
        <b/>
        <sz val="10"/>
        <rFont val="標楷體"/>
        <family val="4"/>
        <charset val="136"/>
      </rPr>
      <t>Ａ級率</t>
    </r>
    <phoneticPr fontId="108" type="noConversion"/>
  </si>
  <si>
    <r>
      <rPr>
        <b/>
        <sz val="10"/>
        <rFont val="標楷體"/>
        <family val="4"/>
        <charset val="136"/>
      </rPr>
      <t>ＡＦＫ</t>
    </r>
    <phoneticPr fontId="108" type="noConversion"/>
  </si>
  <si>
    <r>
      <rPr>
        <b/>
        <sz val="10"/>
        <rFont val="標楷體"/>
        <family val="4"/>
        <charset val="136"/>
      </rPr>
      <t>３３Ｊ</t>
    </r>
    <phoneticPr fontId="108" type="noConversion"/>
  </si>
  <si>
    <r>
      <rPr>
        <b/>
        <sz val="10"/>
        <rFont val="標楷體"/>
        <family val="4"/>
        <charset val="136"/>
      </rPr>
      <t>ＭＰＳ</t>
    </r>
    <phoneticPr fontId="108" type="noConversion"/>
  </si>
  <si>
    <r>
      <rPr>
        <b/>
        <sz val="10"/>
        <rFont val="標楷體"/>
        <family val="4"/>
        <charset val="136"/>
      </rPr>
      <t>Ｍ８０</t>
    </r>
    <phoneticPr fontId="108" type="noConversion"/>
  </si>
  <si>
    <r>
      <rPr>
        <b/>
        <sz val="10"/>
        <rFont val="標楷體"/>
        <family val="4"/>
        <charset val="136"/>
      </rPr>
      <t>平均</t>
    </r>
    <phoneticPr fontId="108" type="noConversion"/>
  </si>
  <si>
    <r>
      <rPr>
        <b/>
        <sz val="10"/>
        <rFont val="標楷體"/>
        <family val="4"/>
        <charset val="136"/>
      </rPr>
      <t>定重率</t>
    </r>
    <phoneticPr fontId="108" type="noConversion"/>
  </si>
  <si>
    <r>
      <rPr>
        <b/>
        <sz val="10"/>
        <rFont val="標楷體"/>
        <family val="4"/>
        <charset val="136"/>
      </rPr>
      <t>斷絲率</t>
    </r>
    <phoneticPr fontId="108" type="noConversion"/>
  </si>
  <si>
    <r>
      <rPr>
        <b/>
        <sz val="10"/>
        <rFont val="標楷體"/>
        <family val="4"/>
        <charset val="136"/>
      </rPr>
      <t>Ｃ級</t>
    </r>
    <phoneticPr fontId="17" type="noConversion"/>
  </si>
  <si>
    <r>
      <rPr>
        <b/>
        <sz val="10"/>
        <rFont val="標楷體"/>
        <family val="4"/>
        <charset val="136"/>
      </rPr>
      <t>Ｄ級</t>
    </r>
    <phoneticPr fontId="17" type="noConversion"/>
  </si>
  <si>
    <r>
      <rPr>
        <b/>
        <sz val="10"/>
        <rFont val="標楷體"/>
        <family val="4"/>
        <charset val="136"/>
      </rPr>
      <t>廢絲率</t>
    </r>
    <phoneticPr fontId="108" type="noConversion"/>
  </si>
  <si>
    <r>
      <rPr>
        <b/>
        <sz val="10"/>
        <rFont val="標楷體"/>
        <family val="4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噸</t>
    </r>
    <r>
      <rPr>
        <b/>
        <sz val="10"/>
        <rFont val="Arial"/>
        <family val="2"/>
      </rPr>
      <t>)</t>
    </r>
    <phoneticPr fontId="108" type="noConversion"/>
  </si>
  <si>
    <r>
      <rPr>
        <b/>
        <sz val="10"/>
        <rFont val="微軟正黑體"/>
        <family val="2"/>
        <charset val="136"/>
      </rPr>
      <t>評比資料</t>
    </r>
    <phoneticPr fontId="12" type="noConversion"/>
  </si>
  <si>
    <r>
      <rPr>
        <b/>
        <sz val="10"/>
        <rFont val="微軟正黑體"/>
        <family val="2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微軟正黑體"/>
        <family val="2"/>
        <charset val="136"/>
      </rPr>
      <t>噸</t>
    </r>
    <r>
      <rPr>
        <b/>
        <sz val="10"/>
        <rFont val="Arial"/>
        <family val="2"/>
      </rPr>
      <t>)</t>
    </r>
    <phoneticPr fontId="108" type="noConversion"/>
  </si>
  <si>
    <r>
      <rPr>
        <sz val="36"/>
        <rFont val="微軟正黑體"/>
        <family val="2"/>
        <charset val="136"/>
      </rPr>
      <t>項目</t>
    </r>
    <phoneticPr fontId="12" type="noConversion"/>
  </si>
  <si>
    <r>
      <t xml:space="preserve">ISO
</t>
    </r>
    <r>
      <rPr>
        <sz val="48"/>
        <rFont val="微軟正黑體"/>
        <family val="2"/>
        <charset val="136"/>
      </rPr>
      <t>目標值</t>
    </r>
    <phoneticPr fontId="12" type="noConversion"/>
  </si>
  <si>
    <r>
      <rPr>
        <sz val="36"/>
        <rFont val="微軟正黑體"/>
        <family val="2"/>
        <charset val="136"/>
      </rPr>
      <t xml:space="preserve">繳庫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2" type="noConversion"/>
  </si>
  <si>
    <r>
      <rPr>
        <sz val="36"/>
        <rFont val="微軟正黑體"/>
        <family val="2"/>
        <charset val="136"/>
      </rPr>
      <t>廢料率</t>
    </r>
    <phoneticPr fontId="12" type="noConversion"/>
  </si>
  <si>
    <t>A+Aw</t>
  </si>
  <si>
    <t>Ao+Ax</t>
  </si>
  <si>
    <t>B</t>
  </si>
  <si>
    <t>管色</t>
    <phoneticPr fontId="12" type="noConversion"/>
  </si>
  <si>
    <t>紙管色</t>
    <phoneticPr fontId="17" type="noConversion"/>
  </si>
  <si>
    <r>
      <rPr>
        <b/>
        <sz val="12"/>
        <color rgb="FF0000CC"/>
        <rFont val="微軟正黑體"/>
        <family val="2"/>
        <charset val="136"/>
      </rPr>
      <t>壓力</t>
    </r>
  </si>
  <si>
    <r>
      <rPr>
        <b/>
        <sz val="12"/>
        <color indexed="10"/>
        <rFont val="微軟正黑體"/>
        <family val="2"/>
        <charset val="136"/>
      </rPr>
      <t>丹尼</t>
    </r>
    <phoneticPr fontId="12" type="noConversion"/>
  </si>
  <si>
    <t>管色(參考)</t>
    <phoneticPr fontId="12" type="noConversion"/>
  </si>
  <si>
    <t>150/48SDR</t>
  </si>
  <si>
    <t>(空白)</t>
  </si>
  <si>
    <t>A07</t>
  </si>
  <si>
    <t>A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</si>
  <si>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</si>
  <si>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</si>
  <si>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</si>
  <si>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</si>
  <si>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</si>
  <si>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</si>
  <si>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</si>
  <si>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</si>
  <si>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</si>
  <si>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</si>
  <si>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</si>
  <si>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</si>
  <si>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</si>
  <si>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</si>
  <si>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</si>
  <si>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</si>
  <si>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</si>
  <si>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J07</t>
  </si>
  <si>
    <t>J</t>
  </si>
  <si>
    <t>J08</t>
  </si>
  <si>
    <t>J09</t>
  </si>
  <si>
    <t>T01</t>
  </si>
  <si>
    <t>T</t>
  </si>
  <si>
    <t>T02</t>
  </si>
  <si>
    <t>T03</t>
  </si>
  <si>
    <t>T04</t>
  </si>
  <si>
    <t>S01</t>
  </si>
  <si>
    <t>S</t>
  </si>
  <si>
    <t>S02</t>
  </si>
  <si>
    <t>M02</t>
  </si>
  <si>
    <t>M03</t>
  </si>
  <si>
    <t>M04</t>
  </si>
  <si>
    <t>M05</t>
  </si>
  <si>
    <t>M06</t>
  </si>
  <si>
    <t>M07</t>
  </si>
  <si>
    <t>M08</t>
  </si>
  <si>
    <t>低壓</t>
  </si>
  <si>
    <t>高壓</t>
  </si>
  <si>
    <t>A 合計</t>
  </si>
  <si>
    <t>J 合計</t>
  </si>
  <si>
    <t>T 合計</t>
  </si>
  <si>
    <t>日期</t>
    <phoneticPr fontId="12" type="noConversion"/>
  </si>
  <si>
    <t>斷絲</t>
    <phoneticPr fontId="12" type="noConversion"/>
  </si>
  <si>
    <t>5F1N</t>
    <phoneticPr fontId="12" type="noConversion"/>
  </si>
  <si>
    <t>5F1P</t>
    <phoneticPr fontId="12" type="noConversion"/>
  </si>
  <si>
    <t>5F3J</t>
    <phoneticPr fontId="12" type="noConversion"/>
  </si>
  <si>
    <t>5F3K</t>
    <phoneticPr fontId="12" type="noConversion"/>
  </si>
  <si>
    <t>5F3L</t>
    <phoneticPr fontId="12" type="noConversion"/>
  </si>
  <si>
    <t>5F3M</t>
    <phoneticPr fontId="12" type="noConversion"/>
  </si>
  <si>
    <t>月</t>
    <phoneticPr fontId="12" type="noConversion"/>
  </si>
  <si>
    <t>品判
A級率</t>
  </si>
  <si>
    <t>J09</t>
    <phoneticPr fontId="14" type="noConversion"/>
  </si>
  <si>
    <t>本月產量預估值</t>
    <phoneticPr fontId="12" type="noConversion"/>
  </si>
  <si>
    <t>本月產量</t>
    <phoneticPr fontId="12" type="noConversion"/>
  </si>
  <si>
    <r>
      <rPr>
        <b/>
        <sz val="14"/>
        <rFont val="微軟正黑體"/>
        <family val="2"/>
        <charset val="136"/>
      </rPr>
      <t>機台</t>
    </r>
    <phoneticPr fontId="14" type="noConversion"/>
  </si>
  <si>
    <r>
      <t xml:space="preserve">DTY
</t>
    </r>
    <r>
      <rPr>
        <b/>
        <sz val="12"/>
        <rFont val="微軟正黑體"/>
        <family val="2"/>
        <charset val="136"/>
      </rPr>
      <t>批號</t>
    </r>
    <phoneticPr fontId="14" type="noConversion"/>
  </si>
  <si>
    <r>
      <rPr>
        <b/>
        <sz val="12"/>
        <rFont val="微軟正黑體"/>
        <family val="2"/>
        <charset val="136"/>
      </rPr>
      <t>規格</t>
    </r>
    <phoneticPr fontId="14" type="noConversion"/>
  </si>
  <si>
    <r>
      <t xml:space="preserve">POY
</t>
    </r>
    <r>
      <rPr>
        <b/>
        <sz val="12"/>
        <rFont val="微軟正黑體"/>
        <family val="2"/>
        <charset val="136"/>
      </rPr>
      <t>批號</t>
    </r>
    <phoneticPr fontId="14" type="noConversion"/>
  </si>
  <si>
    <r>
      <rPr>
        <b/>
        <sz val="14"/>
        <rFont val="微軟正黑體"/>
        <family val="2"/>
        <charset val="136"/>
      </rPr>
      <t>車速</t>
    </r>
    <phoneticPr fontId="14" type="noConversion"/>
  </si>
  <si>
    <r>
      <rPr>
        <b/>
        <sz val="13"/>
        <rFont val="微軟正黑體"/>
        <family val="2"/>
        <charset val="136"/>
      </rPr>
      <t>平均</t>
    </r>
    <phoneticPr fontId="12" type="noConversion"/>
  </si>
  <si>
    <t>開車台數</t>
    <phoneticPr fontId="12" type="noConversion"/>
  </si>
  <si>
    <t>平均丹尼</t>
    <phoneticPr fontId="12" type="noConversion"/>
  </si>
  <si>
    <t>外購量</t>
  </si>
  <si>
    <t>未調整</t>
  </si>
  <si>
    <t>P204</t>
    <phoneticPr fontId="12" type="noConversion"/>
  </si>
  <si>
    <t>A級率_AFK</t>
  </si>
  <si>
    <t>A級率_33J</t>
  </si>
  <si>
    <t>A級率_MPS</t>
  </si>
  <si>
    <t>A級率_M80</t>
  </si>
  <si>
    <t>A級率_TMT</t>
  </si>
  <si>
    <t>定重率_AFK</t>
  </si>
  <si>
    <t>定重率_33J</t>
  </si>
  <si>
    <t>定重率_MPS</t>
  </si>
  <si>
    <t>定重率_M80</t>
  </si>
  <si>
    <t>定重率_TMT</t>
  </si>
  <si>
    <t>空錠率_AFK</t>
  </si>
  <si>
    <t>空錠率_33J</t>
  </si>
  <si>
    <t>空錠率_MPS</t>
  </si>
  <si>
    <t>空錠率_M80</t>
  </si>
  <si>
    <t>空錠率_TMT</t>
  </si>
  <si>
    <t>ＩＡＤ_AFK</t>
  </si>
  <si>
    <t>ＩＡＤ_33J</t>
  </si>
  <si>
    <t>ＩＡＤ_MPS</t>
  </si>
  <si>
    <t>ＩＡＤ_TMT</t>
  </si>
  <si>
    <t>100/36SDR</t>
  </si>
  <si>
    <t>年/月</t>
    <phoneticPr fontId="12" type="noConversion"/>
  </si>
  <si>
    <t>代工繳庫量【107/02起】</t>
  </si>
  <si>
    <t>2018/02</t>
    <phoneticPr fontId="12" type="noConversion"/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</si>
  <si>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</si>
  <si>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</si>
  <si>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</si>
  <si>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</si>
  <si>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</si>
  <si>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</si>
  <si>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</si>
  <si>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</si>
  <si>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</si>
  <si>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</si>
  <si>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2018平均</t>
    <phoneticPr fontId="12" type="noConversion"/>
  </si>
  <si>
    <t>2019/01</t>
    <phoneticPr fontId="12" type="noConversion"/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</si>
  <si>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</si>
  <si>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</si>
  <si>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</si>
  <si>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</si>
  <si>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</si>
  <si>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</si>
  <si>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</si>
  <si>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</si>
  <si>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</si>
  <si>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</si>
  <si>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</si>
  <si>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2019平均</t>
    <phoneticPr fontId="12" type="noConversion"/>
  </si>
  <si>
    <t>2020/01</t>
    <phoneticPr fontId="12" type="noConversion"/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</si>
  <si>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</si>
  <si>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</si>
  <si>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</si>
  <si>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</si>
  <si>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</si>
  <si>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</si>
  <si>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</si>
  <si>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</si>
  <si>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</si>
  <si>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</si>
  <si>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</si>
  <si>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2020平均</t>
    <phoneticPr fontId="12" type="noConversion"/>
  </si>
  <si>
    <t>2021/01</t>
    <phoneticPr fontId="12" type="noConversion"/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</si>
  <si>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</si>
  <si>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</si>
  <si>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</si>
  <si>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</si>
  <si>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</si>
  <si>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</si>
  <si>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</si>
  <si>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</si>
  <si>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</si>
  <si>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</si>
  <si>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</si>
  <si>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2021平均</t>
    <phoneticPr fontId="12" type="noConversion"/>
  </si>
  <si>
    <t>2022/01</t>
    <phoneticPr fontId="12" type="noConversion"/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</si>
  <si>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</si>
  <si>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</si>
  <si>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</si>
  <si>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</si>
  <si>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</si>
  <si>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</si>
  <si>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</si>
  <si>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</si>
  <si>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</si>
  <si>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</si>
  <si>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</si>
  <si>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2022平均</t>
    <phoneticPr fontId="12" type="noConversion"/>
  </si>
  <si>
    <t>2023/01</t>
    <phoneticPr fontId="12" type="noConversion"/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</si>
  <si>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</si>
  <si>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</si>
  <si>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</si>
  <si>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</si>
  <si>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</si>
  <si>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</si>
  <si>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</si>
  <si>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</si>
  <si>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</si>
  <si>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</si>
  <si>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</si>
  <si>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產銷停機</t>
  </si>
  <si>
    <t>故障次數</t>
    <phoneticPr fontId="12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</si>
  <si>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2</t>
    </r>
    <phoneticPr fontId="12" type="noConversion"/>
  </si>
  <si>
    <t>故障時數</t>
    <phoneticPr fontId="12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</si>
  <si>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5</t>
    </r>
    <phoneticPr fontId="12" type="noConversion"/>
  </si>
  <si>
    <t>OP設備機台：A07.A08.A13.A14.A19.A20</t>
  </si>
  <si>
    <t>M06</t>
    <phoneticPr fontId="14" type="noConversion"/>
  </si>
  <si>
    <t>M01</t>
    <phoneticPr fontId="14" type="noConversion"/>
  </si>
  <si>
    <t>絲開發</t>
  </si>
  <si>
    <r>
      <t>S02-2023/5/2</t>
    </r>
    <r>
      <rPr>
        <b/>
        <sz val="12"/>
        <color rgb="FFFF0000"/>
        <rFont val="微軟正黑體"/>
        <family val="2"/>
        <charset val="136"/>
      </rPr>
      <t>起拆節</t>
    </r>
    <phoneticPr fontId="12" type="noConversion"/>
  </si>
  <si>
    <t>產銷停機台數</t>
  </si>
  <si>
    <t>T05</t>
  </si>
  <si>
    <r>
      <t>2023/7</t>
    </r>
    <r>
      <rPr>
        <b/>
        <sz val="12"/>
        <rFont val="微軟正黑體"/>
        <family val="2"/>
        <charset val="136"/>
      </rPr>
      <t>月</t>
    </r>
    <phoneticPr fontId="14" type="noConversion"/>
  </si>
  <si>
    <r>
      <t>2023/6</t>
    </r>
    <r>
      <rPr>
        <b/>
        <sz val="12"/>
        <rFont val="微軟正黑體"/>
        <family val="2"/>
        <charset val="136"/>
      </rPr>
      <t>月</t>
    </r>
    <phoneticPr fontId="14" type="noConversion"/>
  </si>
  <si>
    <r>
      <t>2023/5</t>
    </r>
    <r>
      <rPr>
        <b/>
        <sz val="12"/>
        <rFont val="微軟正黑體"/>
        <family val="2"/>
        <charset val="136"/>
      </rPr>
      <t>月</t>
    </r>
    <phoneticPr fontId="14" type="noConversion"/>
  </si>
  <si>
    <r>
      <t>2023/4</t>
    </r>
    <r>
      <rPr>
        <b/>
        <sz val="12"/>
        <rFont val="微軟正黑體"/>
        <family val="2"/>
        <charset val="136"/>
      </rPr>
      <t>月</t>
    </r>
    <phoneticPr fontId="14" type="noConversion"/>
  </si>
  <si>
    <t>年度</t>
    <phoneticPr fontId="12" type="noConversion"/>
  </si>
  <si>
    <t>月/日</t>
    <phoneticPr fontId="12" type="noConversion"/>
  </si>
  <si>
    <t>1/31~2/5</t>
    <phoneticPr fontId="12" type="noConversion"/>
  </si>
  <si>
    <t>說明</t>
    <phoneticPr fontId="12" type="noConversion"/>
  </si>
  <si>
    <t>M80停機(8台)</t>
    <phoneticPr fontId="12" type="noConversion"/>
  </si>
  <si>
    <t>10/27~10/31</t>
    <phoneticPr fontId="12" type="noConversion"/>
  </si>
  <si>
    <t>M80停機(7台)</t>
    <phoneticPr fontId="12" type="noConversion"/>
  </si>
  <si>
    <t>11/1~11/30</t>
    <phoneticPr fontId="12" type="noConversion"/>
  </si>
  <si>
    <t>12/1~12/4</t>
    <phoneticPr fontId="12" type="noConversion"/>
  </si>
  <si>
    <t>5/18~5/28</t>
    <phoneticPr fontId="12" type="noConversion"/>
  </si>
  <si>
    <t>確診&amp;隔離人數多，停部份機台；M80停機(8台)、斷絲/效率不計</t>
    <phoneticPr fontId="12" type="noConversion"/>
  </si>
  <si>
    <t>2023/1月</t>
  </si>
  <si>
    <t>2023/2月</t>
  </si>
  <si>
    <t>2023/3月</t>
  </si>
  <si>
    <t>1/21~1/31</t>
    <phoneticPr fontId="12" type="noConversion"/>
  </si>
  <si>
    <t>春節；停部份機台</t>
    <phoneticPr fontId="12" type="noConversion"/>
  </si>
  <si>
    <t>停部份機台</t>
  </si>
  <si>
    <t>3/20~3/31</t>
    <phoneticPr fontId="12" type="noConversion"/>
  </si>
  <si>
    <t>4/1~4/30</t>
    <phoneticPr fontId="12" type="noConversion"/>
  </si>
  <si>
    <t>5/1~5/14</t>
    <phoneticPr fontId="12" type="noConversion"/>
  </si>
  <si>
    <t>5/24~5/31</t>
    <phoneticPr fontId="12" type="noConversion"/>
  </si>
  <si>
    <t>產銷停機(全)</t>
    <phoneticPr fontId="12" type="noConversion"/>
  </si>
  <si>
    <t>2023/8月</t>
  </si>
  <si>
    <t>150/48SDR2</t>
  </si>
  <si>
    <t>T06</t>
  </si>
  <si>
    <t>2023/9月</t>
  </si>
  <si>
    <t/>
  </si>
  <si>
    <t>2023/10月</t>
  </si>
  <si>
    <t>2023/11月</t>
  </si>
  <si>
    <r>
      <t>2023/12</t>
    </r>
    <r>
      <rPr>
        <b/>
        <sz val="12"/>
        <rFont val="細明體"/>
        <family val="2"/>
        <charset val="136"/>
      </rPr>
      <t>月</t>
    </r>
    <phoneticPr fontId="14" type="noConversion"/>
  </si>
  <si>
    <t>節約目標</t>
    <phoneticPr fontId="12" type="noConversion"/>
  </si>
  <si>
    <t>75/36SDR</t>
  </si>
  <si>
    <t>2023平均</t>
    <phoneticPr fontId="12" type="noConversion"/>
  </si>
  <si>
    <t>2024/01</t>
    <phoneticPr fontId="12" type="noConversion"/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</si>
  <si>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</si>
  <si>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</si>
  <si>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</si>
  <si>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</si>
  <si>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</si>
  <si>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</si>
  <si>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</si>
  <si>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</si>
  <si>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</si>
  <si>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</si>
  <si>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</si>
  <si>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2024平均</t>
    <phoneticPr fontId="12" type="noConversion"/>
  </si>
  <si>
    <t>開車
台數</t>
  </si>
  <si>
    <t>平均
車速</t>
  </si>
  <si>
    <t>平均
丹尼</t>
  </si>
  <si>
    <t>假撚用電</t>
    <phoneticPr fontId="12" type="noConversion"/>
  </si>
  <si>
    <t>T1</t>
  </si>
  <si>
    <t>T2</t>
  </si>
  <si>
    <t>T3</t>
  </si>
  <si>
    <t>張力值比</t>
  </si>
  <si>
    <t>T1</t>
    <phoneticPr fontId="12" type="noConversion"/>
  </si>
  <si>
    <t>T2</t>
    <phoneticPr fontId="12" type="noConversion"/>
  </si>
  <si>
    <t>T3</t>
    <phoneticPr fontId="12" type="noConversion"/>
  </si>
  <si>
    <t>張力值比</t>
    <phoneticPr fontId="12" type="noConversion"/>
  </si>
  <si>
    <t>2024/1月</t>
  </si>
  <si>
    <t>2024/2月</t>
  </si>
  <si>
    <t>75/72SDR</t>
  </si>
  <si>
    <t>2/9~2/13</t>
    <phoneticPr fontId="12" type="noConversion"/>
  </si>
  <si>
    <t>2024/3月</t>
  </si>
  <si>
    <t>白底紅星</t>
  </si>
  <si>
    <t>A11</t>
    <phoneticPr fontId="12" type="noConversion"/>
  </si>
  <si>
    <t>M01</t>
    <phoneticPr fontId="12" type="noConversion"/>
  </si>
  <si>
    <t>2024/4月</t>
  </si>
  <si>
    <t>P204</t>
  </si>
  <si>
    <r>
      <rPr>
        <b/>
        <sz val="14"/>
        <rFont val="細明體"/>
        <family val="3"/>
        <charset val="136"/>
      </rPr>
      <t>產銷停機台數</t>
    </r>
    <phoneticPr fontId="14" type="noConversion"/>
  </si>
  <si>
    <r>
      <rPr>
        <b/>
        <sz val="14"/>
        <rFont val="細明體"/>
        <family val="3"/>
        <charset val="136"/>
      </rPr>
      <t>產銷停機台數</t>
    </r>
  </si>
  <si>
    <t>2024/5月</t>
  </si>
  <si>
    <t>黃底紅三角</t>
  </si>
  <si>
    <t>75/24/2SDR2</t>
  </si>
  <si>
    <t>白黑條紋</t>
  </si>
  <si>
    <t>150/48/2SDR2</t>
  </si>
  <si>
    <t>白黃條紋</t>
  </si>
  <si>
    <r>
      <t>T05:2023/8</t>
    </r>
    <r>
      <rPr>
        <b/>
        <sz val="10.5"/>
        <rFont val="細明體"/>
        <family val="2"/>
        <charset val="136"/>
      </rPr>
      <t>裝機生產</t>
    </r>
    <phoneticPr fontId="14" type="noConversion"/>
  </si>
  <si>
    <t>2024/6月</t>
  </si>
  <si>
    <t>DH4318</t>
  </si>
  <si>
    <t>75/72SR6</t>
  </si>
  <si>
    <t>假撚用電資料</t>
    <phoneticPr fontId="12" type="noConversion"/>
  </si>
  <si>
    <t>綠藍雙色</t>
  </si>
  <si>
    <t>2024/7月</t>
  </si>
  <si>
    <t>2024/8月</t>
  </si>
  <si>
    <t>開車</t>
  </si>
  <si>
    <t>2024/9月</t>
  </si>
  <si>
    <t>33J</t>
  </si>
  <si>
    <t>M80</t>
  </si>
  <si>
    <t>TMT</t>
  </si>
  <si>
    <t>紅黑條紋</t>
  </si>
  <si>
    <t>白底黑星</t>
  </si>
  <si>
    <t>T01</t>
    <phoneticPr fontId="12" type="noConversion"/>
  </si>
  <si>
    <t>白底紅十字</t>
  </si>
  <si>
    <t>生產機台</t>
  </si>
  <si>
    <t>加工絲批號</t>
  </si>
  <si>
    <t>紗重(Kg)</t>
  </si>
  <si>
    <t>生產日期</t>
  </si>
  <si>
    <t>統計重量(Kg)</t>
  </si>
  <si>
    <t>Ａ級率(%)</t>
  </si>
  <si>
    <t>定重率(%)</t>
  </si>
  <si>
    <t>斷絲 (%根/Hr)</t>
  </si>
  <si>
    <t>B          (%)</t>
  </si>
  <si>
    <t>不合格\零暇率(%)</t>
  </si>
  <si>
    <t>外觀A級率(%)</t>
  </si>
  <si>
    <t>染色M 率 (%)</t>
  </si>
  <si>
    <t>丹尼     (g)</t>
  </si>
  <si>
    <t>強度     (g)</t>
  </si>
  <si>
    <t>伸度     (%)</t>
  </si>
  <si>
    <t>BWS  (%)</t>
  </si>
  <si>
    <t>106/11月起BWS  (%) (GB)</t>
  </si>
  <si>
    <t>CC   (%)</t>
  </si>
  <si>
    <t>OPU   (%)</t>
  </si>
  <si>
    <t>TSI結數</t>
  </si>
  <si>
    <t>TSI牢度3</t>
  </si>
  <si>
    <t>Torque\出絲</t>
  </si>
  <si>
    <t>原絲批號 (g)</t>
  </si>
  <si>
    <t>原絲規格 (g)</t>
  </si>
  <si>
    <t>生產線別/酯粒</t>
  </si>
  <si>
    <t>油劑</t>
  </si>
  <si>
    <t>丹尼DEN (g)</t>
  </si>
  <si>
    <t>強度ｔ  (g/d)</t>
  </si>
  <si>
    <t>伸度Ｅ   (%)</t>
  </si>
  <si>
    <t>均勻度Ｕ (%) /KU</t>
  </si>
  <si>
    <t>D.F.   (%)</t>
  </si>
  <si>
    <t>D.R.</t>
  </si>
  <si>
    <t>D/Y【V.R】</t>
  </si>
  <si>
    <t>1st/2nd H</t>
  </si>
  <si>
    <t>WX；GX【P1/P2】</t>
  </si>
  <si>
    <t>W3；G3【O.F2】</t>
  </si>
  <si>
    <t>W4；G4【O.F3】</t>
  </si>
  <si>
    <t>錠組組合;Twist Angle</t>
  </si>
  <si>
    <t>Crossing Angle</t>
  </si>
  <si>
    <t>Oil speed(M80-HZ)</t>
  </si>
  <si>
    <t>Doffing time</t>
  </si>
  <si>
    <t>打節器</t>
  </si>
  <si>
    <t>打節壓力(Kg)</t>
  </si>
  <si>
    <t>撚向【Twist Direct】</t>
  </si>
  <si>
    <t>T/U Program；成型條件</t>
  </si>
  <si>
    <t>【Ratio / Length】</t>
  </si>
  <si>
    <t>Unitens Tension</t>
  </si>
  <si>
    <t>K值(T2÷T1)</t>
  </si>
  <si>
    <t>當日繳庫</t>
    <phoneticPr fontId="17" type="noConversion"/>
  </si>
  <si>
    <t>每日總繳庫</t>
    <phoneticPr fontId="17" type="noConversion"/>
  </si>
  <si>
    <t>當日出庫</t>
    <phoneticPr fontId="17" type="noConversion"/>
  </si>
  <si>
    <t>每日總出庫</t>
    <phoneticPr fontId="17" type="noConversion"/>
  </si>
  <si>
    <t>庫存結存</t>
    <phoneticPr fontId="17" type="noConversion"/>
  </si>
  <si>
    <t>當日結存</t>
    <phoneticPr fontId="12" type="noConversion"/>
  </si>
  <si>
    <t>每日外購量</t>
    <phoneticPr fontId="12" type="noConversion"/>
  </si>
  <si>
    <t>等級</t>
    <phoneticPr fontId="17" type="noConversion"/>
  </si>
  <si>
    <t>上期結存</t>
    <phoneticPr fontId="17" type="noConversion"/>
  </si>
  <si>
    <t>繳庫量</t>
    <phoneticPr fontId="12" type="noConversion"/>
  </si>
  <si>
    <t>庫存量</t>
    <phoneticPr fontId="12" type="noConversion"/>
  </si>
  <si>
    <t>本月累計繳庫</t>
    <phoneticPr fontId="17" type="noConversion"/>
  </si>
  <si>
    <t>月累計</t>
    <phoneticPr fontId="12" type="noConversion"/>
  </si>
  <si>
    <t>比率</t>
    <phoneticPr fontId="17" type="noConversion"/>
  </si>
  <si>
    <t>KG</t>
    <phoneticPr fontId="12" type="noConversion"/>
  </si>
  <si>
    <t>KG</t>
    <phoneticPr fontId="17" type="noConversion"/>
  </si>
  <si>
    <t>(含新埔代管)</t>
    <phoneticPr fontId="12" type="noConversion"/>
  </si>
  <si>
    <t>當日</t>
    <phoneticPr fontId="12" type="noConversion"/>
  </si>
  <si>
    <t>退現量</t>
    <phoneticPr fontId="12" type="noConversion"/>
  </si>
  <si>
    <t>自產量</t>
    <phoneticPr fontId="12" type="noConversion"/>
  </si>
  <si>
    <t>扣外購紗預估</t>
    <phoneticPr fontId="12" type="noConversion"/>
  </si>
  <si>
    <t>等級</t>
    <phoneticPr fontId="12" type="noConversion"/>
  </si>
  <si>
    <t>外購調整</t>
    <phoneticPr fontId="17" type="noConversion"/>
  </si>
  <si>
    <t>調整後</t>
    <phoneticPr fontId="17" type="noConversion"/>
  </si>
  <si>
    <t>調後品級率</t>
    <phoneticPr fontId="17" type="noConversion"/>
  </si>
  <si>
    <t>調前品級率</t>
    <phoneticPr fontId="17" type="noConversion"/>
  </si>
  <si>
    <t>A</t>
    <phoneticPr fontId="17" type="noConversion"/>
  </si>
  <si>
    <t>A0</t>
    <phoneticPr fontId="12" type="noConversion"/>
  </si>
  <si>
    <t>AX</t>
    <phoneticPr fontId="17" type="noConversion"/>
  </si>
  <si>
    <t>B</t>
    <phoneticPr fontId="17" type="noConversion"/>
  </si>
  <si>
    <t>C</t>
    <phoneticPr fontId="17" type="noConversion"/>
  </si>
  <si>
    <t>TOTAL</t>
    <phoneticPr fontId="17" type="noConversion"/>
  </si>
  <si>
    <t>有調整後</t>
    <phoneticPr fontId="17" type="noConversion"/>
  </si>
  <si>
    <r>
      <t>A</t>
    </r>
    <r>
      <rPr>
        <sz val="14"/>
        <color indexed="10"/>
        <rFont val="細明體"/>
        <family val="3"/>
        <charset val="136"/>
      </rPr>
      <t>級率</t>
    </r>
    <r>
      <rPr>
        <sz val="14"/>
        <color indexed="10"/>
        <rFont val="Times New Roman"/>
        <family val="1"/>
      </rPr>
      <t>=</t>
    </r>
    <phoneticPr fontId="17" type="noConversion"/>
  </si>
  <si>
    <t>自產標準</t>
    <phoneticPr fontId="12" type="noConversion"/>
  </si>
  <si>
    <r>
      <t>定重率</t>
    </r>
    <r>
      <rPr>
        <sz val="14"/>
        <color indexed="10"/>
        <rFont val="Times New Roman"/>
        <family val="1"/>
      </rPr>
      <t>=</t>
    </r>
    <phoneticPr fontId="17" type="noConversion"/>
  </si>
  <si>
    <t>未調整前</t>
    <phoneticPr fontId="17" type="noConversion"/>
  </si>
  <si>
    <r>
      <t>A</t>
    </r>
    <r>
      <rPr>
        <sz val="14"/>
        <rFont val="細明體"/>
        <family val="3"/>
        <charset val="136"/>
      </rPr>
      <t>級率</t>
    </r>
    <r>
      <rPr>
        <sz val="14"/>
        <rFont val="Times New Roman"/>
        <family val="1"/>
      </rPr>
      <t>=</t>
    </r>
    <phoneticPr fontId="17" type="noConversion"/>
  </si>
  <si>
    <t>ISO</t>
    <phoneticPr fontId="12" type="noConversion"/>
  </si>
  <si>
    <r>
      <t>定重率</t>
    </r>
    <r>
      <rPr>
        <sz val="14"/>
        <rFont val="Times New Roman"/>
        <family val="1"/>
      </rPr>
      <t>=</t>
    </r>
    <phoneticPr fontId="17" type="noConversion"/>
  </si>
  <si>
    <t>月底結帳</t>
    <phoneticPr fontId="12" type="noConversion"/>
  </si>
  <si>
    <t>欄1</t>
  </si>
  <si>
    <t>繳庫</t>
    <phoneticPr fontId="12" type="noConversion"/>
  </si>
  <si>
    <t>出庫</t>
    <phoneticPr fontId="12" type="noConversion"/>
  </si>
  <si>
    <t>庫存</t>
    <phoneticPr fontId="12" type="noConversion"/>
  </si>
  <si>
    <t>外購進量(繳)</t>
    <phoneticPr fontId="12" type="noConversion"/>
  </si>
  <si>
    <t>外購出量(出)</t>
    <phoneticPr fontId="12" type="noConversion"/>
  </si>
  <si>
    <t>外購庫存量(結)</t>
    <phoneticPr fontId="12" type="noConversion"/>
  </si>
  <si>
    <t>總計</t>
    <phoneticPr fontId="12" type="noConversion"/>
  </si>
  <si>
    <t>平均</t>
    <phoneticPr fontId="12" type="noConversion"/>
  </si>
  <si>
    <t>廢絲量</t>
    <phoneticPr fontId="12" type="noConversion"/>
  </si>
  <si>
    <r>
      <t>A</t>
    </r>
    <r>
      <rPr>
        <sz val="14"/>
        <rFont val="書法家顏楷體"/>
        <family val="1"/>
        <charset val="136"/>
      </rPr>
      <t>級</t>
    </r>
    <phoneticPr fontId="17" type="noConversion"/>
  </si>
  <si>
    <r>
      <t>A0</t>
    </r>
    <r>
      <rPr>
        <sz val="14"/>
        <rFont val="書法家顏楷體"/>
        <family val="1"/>
        <charset val="136"/>
      </rPr>
      <t>級</t>
    </r>
    <phoneticPr fontId="17" type="noConversion"/>
  </si>
  <si>
    <r>
      <t>AX</t>
    </r>
    <r>
      <rPr>
        <sz val="14"/>
        <rFont val="書法家顏楷體"/>
        <family val="1"/>
        <charset val="136"/>
      </rPr>
      <t>級</t>
    </r>
    <phoneticPr fontId="17" type="noConversion"/>
  </si>
  <si>
    <r>
      <t>B</t>
    </r>
    <r>
      <rPr>
        <sz val="14"/>
        <rFont val="書法家顏楷體"/>
        <family val="1"/>
        <charset val="136"/>
      </rPr>
      <t>級</t>
    </r>
    <phoneticPr fontId="17" type="noConversion"/>
  </si>
  <si>
    <r>
      <t>C</t>
    </r>
    <r>
      <rPr>
        <sz val="14"/>
        <rFont val="書法家顏楷體"/>
        <family val="1"/>
        <charset val="136"/>
      </rPr>
      <t>級</t>
    </r>
    <phoneticPr fontId="17" type="noConversion"/>
  </si>
  <si>
    <r>
      <t>(</t>
    </r>
    <r>
      <rPr>
        <sz val="14"/>
        <rFont val="細明體"/>
        <family val="3"/>
        <charset val="136"/>
      </rPr>
      <t>總繳庫</t>
    </r>
    <r>
      <rPr>
        <sz val="14"/>
        <rFont val="Times New Roman"/>
        <family val="1"/>
      </rPr>
      <t>)</t>
    </r>
    <phoneticPr fontId="17" type="noConversion"/>
  </si>
  <si>
    <t>A%</t>
  </si>
  <si>
    <t>A%</t>
    <phoneticPr fontId="14" type="noConversion"/>
  </si>
  <si>
    <t>AW%</t>
  </si>
  <si>
    <t>AW%</t>
    <phoneticPr fontId="14" type="noConversion"/>
  </si>
  <si>
    <t>A區</t>
    <phoneticPr fontId="12" type="noConversion"/>
  </si>
  <si>
    <t>B區</t>
    <phoneticPr fontId="12" type="noConversion"/>
  </si>
  <si>
    <t>C區</t>
    <phoneticPr fontId="12" type="noConversion"/>
  </si>
  <si>
    <t>A07</t>
    <phoneticPr fontId="12" type="noConversion"/>
  </si>
  <si>
    <t>A08</t>
    <phoneticPr fontId="12" type="noConversion"/>
  </si>
  <si>
    <t>J07</t>
    <phoneticPr fontId="12" type="noConversion"/>
  </si>
  <si>
    <r>
      <t>ABC</t>
    </r>
    <r>
      <rPr>
        <b/>
        <sz val="14"/>
        <rFont val="細明體"/>
        <family val="2"/>
        <charset val="136"/>
      </rPr>
      <t>區</t>
    </r>
    <phoneticPr fontId="14" type="noConversion"/>
  </si>
  <si>
    <t>機台</t>
    <phoneticPr fontId="12" type="noConversion"/>
  </si>
  <si>
    <t>ABC區</t>
  </si>
  <si>
    <t>ABC區</t>
    <phoneticPr fontId="12" type="noConversion"/>
  </si>
  <si>
    <t>產量</t>
  </si>
  <si>
    <t>產量</t>
    <phoneticPr fontId="14" type="noConversion"/>
  </si>
  <si>
    <t>A%目標</t>
  </si>
  <si>
    <t>A%目標</t>
    <phoneticPr fontId="12" type="noConversion"/>
  </si>
  <si>
    <t>AW%目標</t>
  </si>
  <si>
    <t>AW%目標</t>
    <phoneticPr fontId="12" type="noConversion"/>
  </si>
  <si>
    <t>機型</t>
    <phoneticPr fontId="12" type="noConversion"/>
  </si>
  <si>
    <t>3區%(2025年起M80只生產6台)(AFK+6+33J+1+M80+2+TMT+2=11)</t>
    <phoneticPr fontId="12" type="noConversion"/>
  </si>
  <si>
    <t>不計</t>
    <phoneticPr fontId="12" type="noConversion"/>
  </si>
  <si>
    <t>黃底黑點</t>
  </si>
  <si>
    <t>2024/10月</t>
  </si>
  <si>
    <r>
      <t>2024/11</t>
    </r>
    <r>
      <rPr>
        <b/>
        <sz val="12"/>
        <rFont val="細明體"/>
        <family val="2"/>
        <charset val="136"/>
      </rPr>
      <t>月</t>
    </r>
    <phoneticPr fontId="14" type="noConversion"/>
  </si>
  <si>
    <t>150/48CDR</t>
  </si>
  <si>
    <t>紫色</t>
  </si>
  <si>
    <t>白藍條紋</t>
  </si>
  <si>
    <t>75/72SDFFR</t>
  </si>
  <si>
    <t>黃色</t>
  </si>
  <si>
    <t>洋綠色</t>
  </si>
  <si>
    <t>P227</t>
    <phoneticPr fontId="12" type="noConversion"/>
  </si>
  <si>
    <t>2F4292</t>
  </si>
  <si>
    <t>75/36SAXT</t>
  </si>
  <si>
    <t>P123</t>
  </si>
  <si>
    <t>FINAL</t>
  </si>
  <si>
    <t>清車</t>
  </si>
  <si>
    <t>RICKY</t>
  </si>
  <si>
    <t>MACMAC</t>
  </si>
  <si>
    <t>CEDIE</t>
  </si>
  <si>
    <t>停機</t>
  </si>
  <si>
    <t>K</t>
  </si>
  <si>
    <t>RON</t>
  </si>
  <si>
    <t>EDISON</t>
  </si>
  <si>
    <t>KIM</t>
  </si>
  <si>
    <t>JUNJUN</t>
  </si>
  <si>
    <t>DENDEN</t>
  </si>
  <si>
    <t>MAMAY</t>
  </si>
  <si>
    <t>N/A</t>
  </si>
  <si>
    <t>JERON</t>
  </si>
  <si>
    <t>改紡</t>
  </si>
  <si>
    <t>P227</t>
  </si>
  <si>
    <t>MPS</t>
  </si>
  <si>
    <t>檢修</t>
  </si>
  <si>
    <t>白桔方塊</t>
  </si>
  <si>
    <t>紅底藍點</t>
  </si>
  <si>
    <t>NA</t>
  </si>
  <si>
    <t>2F4342</t>
  </si>
  <si>
    <t>紫底白點</t>
  </si>
  <si>
    <t>MAR</t>
  </si>
  <si>
    <t>VIN</t>
  </si>
  <si>
    <t>2F4461</t>
  </si>
  <si>
    <t>225/72/2SDR</t>
  </si>
  <si>
    <t>2F4471</t>
  </si>
  <si>
    <t>2F27Y1</t>
  </si>
  <si>
    <t>75/24/2YLR29</t>
  </si>
  <si>
    <t>2024/12月</t>
  </si>
  <si>
    <t>2F1VD2</t>
  </si>
  <si>
    <t>2F4532</t>
  </si>
  <si>
    <t>2F1VF2</t>
  </si>
  <si>
    <t>2F1VE2</t>
  </si>
  <si>
    <t>150/48/2SR6</t>
  </si>
  <si>
    <t>部門</t>
  </si>
  <si>
    <t>2024年項目</t>
  </si>
  <si>
    <t>2025年項目</t>
  </si>
  <si>
    <t>趨勢</t>
  </si>
  <si>
    <t>撚二科</t>
  </si>
  <si>
    <t>繳庫A級率≧97.60</t>
  </si>
  <si>
    <t>繳庫A級率≧97.10</t>
  </si>
  <si>
    <t>放寛</t>
  </si>
  <si>
    <t>定重率≧91.60</t>
  </si>
  <si>
    <t>定重率≧90.50</t>
  </si>
  <si>
    <t>廢料率≦1.20</t>
  </si>
  <si>
    <t>廢料率≦2.50</t>
  </si>
  <si>
    <t>品判A級率≧97.20</t>
  </si>
  <si>
    <t>和去年同</t>
  </si>
  <si>
    <t>故障次數≦2</t>
  </si>
  <si>
    <t>故障時數≦5.0</t>
  </si>
  <si>
    <t>藍白十字</t>
  </si>
  <si>
    <t>藍底黑點</t>
  </si>
  <si>
    <t>75/24/2WTR25</t>
  </si>
  <si>
    <t>2F1VG2</t>
  </si>
  <si>
    <t>白黑十字</t>
  </si>
  <si>
    <r>
      <t>2025/1/22</t>
    </r>
    <r>
      <rPr>
        <b/>
        <sz val="14"/>
        <color rgb="FFFF0000"/>
        <rFont val="細明體"/>
        <family val="2"/>
        <charset val="136"/>
      </rPr>
      <t>起</t>
    </r>
    <r>
      <rPr>
        <b/>
        <sz val="14"/>
        <color rgb="FFFF0000"/>
        <rFont val="Microsoft JhengHei UI"/>
        <family val="2"/>
        <charset val="136"/>
      </rPr>
      <t>，</t>
    </r>
    <r>
      <rPr>
        <b/>
        <sz val="14"/>
        <color rgb="FFFF0000"/>
        <rFont val="Arial"/>
        <family val="2"/>
      </rPr>
      <t>M80</t>
    </r>
    <r>
      <rPr>
        <b/>
        <sz val="14"/>
        <color rgb="FFFF0000"/>
        <rFont val="細明體"/>
        <family val="2"/>
        <charset val="136"/>
      </rPr>
      <t>機台封存</t>
    </r>
    <phoneticPr fontId="14" type="noConversion"/>
  </si>
  <si>
    <t>2F4591</t>
  </si>
  <si>
    <t>2F4611</t>
  </si>
  <si>
    <t>M01~M08產銷停機(2025/1/22起封存)</t>
    <phoneticPr fontId="12" type="noConversion"/>
  </si>
  <si>
    <t>2025/01</t>
    <phoneticPr fontId="12" type="noConversion"/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</si>
  <si>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</si>
  <si>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</si>
  <si>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</si>
  <si>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</si>
  <si>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</si>
  <si>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</si>
  <si>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</si>
  <si>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</si>
  <si>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</si>
  <si>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</si>
  <si>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</si>
  <si>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2025平均</t>
    <phoneticPr fontId="12" type="noConversion"/>
  </si>
  <si>
    <t>1/22~1/26</t>
    <phoneticPr fontId="12" type="noConversion"/>
  </si>
  <si>
    <t>2025/01月</t>
  </si>
  <si>
    <r>
      <t>2025/02</t>
    </r>
    <r>
      <rPr>
        <b/>
        <sz val="12"/>
        <rFont val="細明體"/>
        <family val="2"/>
        <charset val="136"/>
      </rPr>
      <t>月</t>
    </r>
    <phoneticPr fontId="14" type="noConversion"/>
  </si>
  <si>
    <t>M02</t>
    <phoneticPr fontId="14" type="noConversion"/>
  </si>
  <si>
    <t>M03</t>
    <phoneticPr fontId="14" type="noConversion"/>
  </si>
  <si>
    <t>M05</t>
    <phoneticPr fontId="14" type="noConversion"/>
  </si>
  <si>
    <t>A15</t>
    <phoneticPr fontId="14" type="noConversion"/>
  </si>
  <si>
    <t>2F4641</t>
  </si>
  <si>
    <t>2F4632</t>
  </si>
  <si>
    <t>2F4621</t>
  </si>
  <si>
    <t>黃底紅點</t>
  </si>
  <si>
    <t>2F6CZ1</t>
  </si>
  <si>
    <t>150/48/2SDR</t>
  </si>
  <si>
    <t>100/72PFR</t>
  </si>
  <si>
    <t>2F6CY1</t>
  </si>
  <si>
    <t>150/48/2BG2</t>
  </si>
  <si>
    <t>早班
值車員</t>
  </si>
  <si>
    <t>中班
值車員</t>
  </si>
  <si>
    <t>中後
值車員</t>
  </si>
  <si>
    <t>夜班
值車員</t>
  </si>
  <si>
    <t>黃紅三角</t>
  </si>
  <si>
    <t>藍黑直條</t>
  </si>
  <si>
    <t>藍色</t>
  </si>
  <si>
    <t>CHALS</t>
  </si>
  <si>
    <t>紫黃條紋</t>
  </si>
  <si>
    <t>產品編號</t>
  </si>
  <si>
    <t>項目</t>
  </si>
  <si>
    <t>染色</t>
  </si>
  <si>
    <t>Den平均</t>
  </si>
  <si>
    <t>T平均</t>
  </si>
  <si>
    <t>E%平均</t>
  </si>
  <si>
    <t>BWS%平均(GB)</t>
  </si>
  <si>
    <t>CC平均</t>
  </si>
  <si>
    <t>OPU平均</t>
  </si>
  <si>
    <t>TSI節數平均</t>
  </si>
  <si>
    <t>TSI牢度3%平均</t>
  </si>
  <si>
    <t>脫落次數平均</t>
  </si>
  <si>
    <t>Torque平均</t>
  </si>
  <si>
    <t>不合格率</t>
  </si>
  <si>
    <t>零瑕率</t>
  </si>
  <si>
    <r>
      <rPr>
        <b/>
        <sz val="12"/>
        <color indexed="8"/>
        <rFont val="Microsoft JhengHei Light"/>
        <family val="2"/>
        <charset val="136"/>
      </rPr>
      <t>批號</t>
    </r>
  </si>
  <si>
    <r>
      <rPr>
        <b/>
        <sz val="12"/>
        <rFont val="Microsoft JhengHei Light"/>
        <family val="2"/>
        <charset val="136"/>
      </rPr>
      <t>物性月報用</t>
    </r>
  </si>
  <si>
    <t>POY規格</t>
  </si>
  <si>
    <t>Percent</t>
  </si>
  <si>
    <t>M/C</t>
  </si>
  <si>
    <t>LOT_NO</t>
  </si>
  <si>
    <t>INSP</t>
  </si>
  <si>
    <t>1/22起</t>
    <phoneticPr fontId="12" type="noConversion"/>
  </si>
  <si>
    <t>M80機型8台政策性封存</t>
    <phoneticPr fontId="12" type="noConversion"/>
  </si>
  <si>
    <t>2F1VH2</t>
  </si>
  <si>
    <t>75/72BSD3</t>
  </si>
  <si>
    <t>2F4682</t>
  </si>
  <si>
    <t>75/72/2PDR</t>
  </si>
  <si>
    <t>2F28A2</t>
  </si>
  <si>
    <t>2F4692</t>
  </si>
  <si>
    <t>150/48BKR95</t>
  </si>
  <si>
    <t>白底藍點</t>
  </si>
  <si>
    <t>2F6DA2</t>
  </si>
  <si>
    <t>150/48/2BKR95</t>
  </si>
  <si>
    <t>2F1VJ2</t>
  </si>
  <si>
    <t>白綠方塊</t>
  </si>
  <si>
    <t>2F4712</t>
  </si>
  <si>
    <t>2F7A13</t>
  </si>
  <si>
    <t>2F1VK2</t>
  </si>
  <si>
    <t>A14</t>
    <phoneticPr fontId="0" type="noConversion"/>
  </si>
  <si>
    <t>白底黑心</t>
  </si>
  <si>
    <t>2F6DB3</t>
  </si>
  <si>
    <t>2F4751</t>
  </si>
  <si>
    <t>2F1VM2</t>
  </si>
  <si>
    <t>75/48SDR</t>
  </si>
  <si>
    <t>2F6DD2</t>
  </si>
  <si>
    <t>2F4731</t>
  </si>
  <si>
    <t>2F6DC1</t>
  </si>
  <si>
    <t>150/48/2BG3</t>
  </si>
  <si>
    <t>黃紅雙色</t>
  </si>
  <si>
    <t>2025/1/22起，M80機台封存</t>
  </si>
  <si>
    <t>2F4742</t>
  </si>
  <si>
    <t>2F1VL2</t>
  </si>
  <si>
    <t>2F7A22</t>
  </si>
  <si>
    <t>80/36PCM</t>
  </si>
  <si>
    <t>桔色</t>
  </si>
  <si>
    <t>灰色</t>
  </si>
  <si>
    <t>2F4771</t>
  </si>
  <si>
    <t>白紫條紋</t>
  </si>
  <si>
    <t>2F4781</t>
  </si>
  <si>
    <t>2F4791</t>
  </si>
  <si>
    <t>75/36/2SDR</t>
  </si>
  <si>
    <t>合計</t>
  </si>
  <si>
    <t>標準</t>
    <phoneticPr fontId="12" type="noConversion"/>
  </si>
  <si>
    <t>目標</t>
    <phoneticPr fontId="12" type="noConversion"/>
  </si>
  <si>
    <t>114-01月</t>
  </si>
  <si>
    <t>114-02月</t>
  </si>
  <si>
    <t>114-03月</t>
  </si>
  <si>
    <t>標準</t>
  </si>
  <si>
    <t>目標</t>
  </si>
  <si>
    <t>平均</t>
  </si>
  <si>
    <t>2F4761</t>
  </si>
  <si>
    <t>150/48SDR1</t>
  </si>
  <si>
    <t>2F6DE2</t>
  </si>
  <si>
    <t>外觀\\10.16.65.9</t>
    <phoneticPr fontId="12" type="noConversion"/>
  </si>
  <si>
    <t>2F1VN2</t>
  </si>
  <si>
    <t>黃綠條紋</t>
  </si>
  <si>
    <t>白底藍方塊</t>
  </si>
  <si>
    <t>2F4722</t>
  </si>
  <si>
    <t>2F28B1</t>
  </si>
  <si>
    <t>AFK平均</t>
    <phoneticPr fontId="12" type="noConversion"/>
  </si>
  <si>
    <t>33J平均</t>
    <phoneticPr fontId="12" type="noConversion"/>
  </si>
  <si>
    <t>MPS平均</t>
    <phoneticPr fontId="12" type="noConversion"/>
  </si>
  <si>
    <t>TMT平均</t>
    <phoneticPr fontId="12" type="noConversion"/>
  </si>
  <si>
    <t>FP82757R</t>
  </si>
  <si>
    <t>粉紅色</t>
  </si>
  <si>
    <t>黃黑條紋</t>
  </si>
  <si>
    <t>J.P</t>
  </si>
  <si>
    <t>NASH</t>
  </si>
  <si>
    <t>2F6DF3</t>
  </si>
  <si>
    <t>114-04月</t>
  </si>
  <si>
    <t>114-05月</t>
  </si>
  <si>
    <t>114-06月</t>
  </si>
  <si>
    <t>114-07月</t>
  </si>
  <si>
    <t>114-08月</t>
  </si>
  <si>
    <t>114-10月</t>
  </si>
  <si>
    <t>114-11月</t>
  </si>
  <si>
    <t>114-12月</t>
  </si>
  <si>
    <t>150/48/2BK14</t>
  </si>
  <si>
    <t>2F6DG2</t>
  </si>
  <si>
    <t>2F4802</t>
  </si>
  <si>
    <t>75/48/2SDR</t>
  </si>
  <si>
    <t>JOHNDEL</t>
  </si>
  <si>
    <t>藍白直條</t>
  </si>
  <si>
    <t>白底黑點</t>
  </si>
  <si>
    <t>2F4811</t>
  </si>
  <si>
    <t>2F6DH1</t>
  </si>
  <si>
    <t>2F4821</t>
  </si>
  <si>
    <t>WILSON</t>
  </si>
  <si>
    <t>150/48/2GY5</t>
  </si>
  <si>
    <t>2F1VP2</t>
  </si>
  <si>
    <t>白底綠點</t>
  </si>
  <si>
    <t>2F1VQ2</t>
  </si>
  <si>
    <t>75/36HC</t>
  </si>
  <si>
    <t>2F4842</t>
  </si>
  <si>
    <t>紅底黃星</t>
  </si>
  <si>
    <t>2F4833</t>
  </si>
  <si>
    <t>150/48SR6</t>
  </si>
  <si>
    <t>綠底藍三角</t>
  </si>
  <si>
    <t>2F4851</t>
  </si>
  <si>
    <t>150/48FBKR</t>
  </si>
  <si>
    <t>2F6DK2</t>
  </si>
  <si>
    <t>2F1VR2</t>
  </si>
  <si>
    <t>75/72CDR</t>
  </si>
  <si>
    <t>2F6DI2</t>
  </si>
  <si>
    <t>2F6DJ3</t>
  </si>
  <si>
    <t>白底紅點</t>
  </si>
  <si>
    <t>紅黑直條</t>
  </si>
  <si>
    <t>150/36/2ODR</t>
  </si>
  <si>
    <t>2F4861</t>
  </si>
  <si>
    <t>2F7A42</t>
  </si>
  <si>
    <t>2F6DL2</t>
  </si>
  <si>
    <t>Doff
Time</t>
  </si>
  <si>
    <t>壓力</t>
  </si>
  <si>
    <t>紙管</t>
  </si>
  <si>
    <t>白綠直條</t>
  </si>
  <si>
    <t>粉紅</t>
  </si>
  <si>
    <t>2F6CU3</t>
  </si>
  <si>
    <t>2F6CV3</t>
  </si>
  <si>
    <t>2F6CW1</t>
  </si>
  <si>
    <t>T04L</t>
    <phoneticPr fontId="12" type="noConversion"/>
  </si>
  <si>
    <t>白紅條紋</t>
  </si>
  <si>
    <t>白底綠心</t>
  </si>
  <si>
    <t>白底紅心</t>
  </si>
  <si>
    <t>2F08E1</t>
  </si>
  <si>
    <t>50/36SDR</t>
  </si>
  <si>
    <t>2F08F2</t>
  </si>
  <si>
    <t>50/36BK</t>
  </si>
  <si>
    <t>黃綠色</t>
  </si>
  <si>
    <t>白底黑方塊</t>
  </si>
  <si>
    <t>棕色</t>
  </si>
  <si>
    <t>白綠條紋</t>
  </si>
  <si>
    <t>2F4541</t>
  </si>
  <si>
    <t>75/24/2ORR13</t>
  </si>
  <si>
    <t>2F4551</t>
  </si>
  <si>
    <t>75/24/2BUR62</t>
  </si>
  <si>
    <t>2F4601</t>
  </si>
  <si>
    <t>白藍方塊</t>
  </si>
  <si>
    <t>2F4662</t>
  </si>
  <si>
    <t>150/48BSD3</t>
  </si>
  <si>
    <t>黃黑直條</t>
  </si>
  <si>
    <t>2F4703</t>
  </si>
  <si>
    <t>黃底白點</t>
  </si>
  <si>
    <t>2F1TV2</t>
  </si>
  <si>
    <t>2F27V1</t>
  </si>
  <si>
    <t>2F4432</t>
  </si>
  <si>
    <t>2F4511</t>
  </si>
  <si>
    <t>2F27W1</t>
  </si>
  <si>
    <t>2F4521</t>
  </si>
  <si>
    <t>2F1VC2</t>
  </si>
  <si>
    <t>2F1TP2</t>
  </si>
  <si>
    <t>2F4491</t>
  </si>
  <si>
    <t>2F3XW1</t>
  </si>
  <si>
    <t>2F4571</t>
  </si>
  <si>
    <t>2F4581</t>
  </si>
  <si>
    <t>2F6BR2</t>
  </si>
  <si>
    <t>2F6CT2</t>
  </si>
  <si>
    <t>2F79W3</t>
  </si>
  <si>
    <t>2F6CQ2</t>
  </si>
  <si>
    <t>2F6CX1</t>
  </si>
  <si>
    <t>2F4561</t>
  </si>
  <si>
    <t>T04R</t>
    <phoneticPr fontId="12" type="noConversion"/>
  </si>
  <si>
    <t>POY酯粒</t>
    <phoneticPr fontId="14" type="noConversion"/>
  </si>
  <si>
    <t>YS</t>
  </si>
  <si>
    <t>DR</t>
  </si>
  <si>
    <t>Crssing Angle</t>
  </si>
  <si>
    <t>紗重(字尾)</t>
  </si>
  <si>
    <t>溫度</t>
  </si>
  <si>
    <t>AP</t>
  </si>
  <si>
    <t>POY-原絲</t>
  </si>
  <si>
    <t>den</t>
  </si>
  <si>
    <t>個別</t>
  </si>
  <si>
    <t xml:space="preserve">T↑         
</t>
  </si>
  <si>
    <t>E
(106.5.10)±4.0</t>
  </si>
  <si>
    <t xml:space="preserve">HCC              ±4 
</t>
  </si>
  <si>
    <t xml:space="preserve">CC              ±4(105.11) 
</t>
  </si>
  <si>
    <t>BWS
±0.7(106.11/1-改GB)</t>
  </si>
  <si>
    <t>HAS
±1</t>
  </si>
  <si>
    <t>節數
±20/15(TSI-106.9)</t>
  </si>
  <si>
    <t>牢度
±</t>
  </si>
  <si>
    <t>OPU 
±0.8(減量線-106.10/31)</t>
  </si>
  <si>
    <t>torque
 ↓</t>
  </si>
  <si>
    <t>針</t>
  </si>
  <si>
    <t>經</t>
  </si>
  <si>
    <t>緯</t>
  </si>
  <si>
    <t>經編</t>
  </si>
  <si>
    <t>包紗</t>
  </si>
  <si>
    <t>筒染</t>
  </si>
  <si>
    <t>L</t>
  </si>
  <si>
    <t>a</t>
  </si>
  <si>
    <t>b</t>
  </si>
  <si>
    <t>2F0AA2(T04-L)01R2換原絲</t>
  </si>
  <si>
    <t>50/72SDRO</t>
  </si>
  <si>
    <t>4.0</t>
  </si>
  <si>
    <t>185/OFF</t>
  </si>
  <si>
    <t>P142</t>
  </si>
  <si>
    <t>FP-80944R</t>
  </si>
  <si>
    <t>80/72SDRO</t>
  </si>
  <si>
    <t>±</t>
  </si>
  <si>
    <t>4.7(4.0)</t>
  </si>
  <si>
    <t>108.12.27</t>
  </si>
  <si>
    <t>黃底綠星</t>
  </si>
  <si>
    <t>2F0AB2(T04-R)0AA2換原絲</t>
  </si>
  <si>
    <t>FP-80907R</t>
  </si>
  <si>
    <t>109.5.13</t>
  </si>
  <si>
    <t>白黃</t>
  </si>
  <si>
    <t>2F0AC2(A16-B)01E2(物/牢-LIKE-0AB2)</t>
  </si>
  <si>
    <t>31</t>
  </si>
  <si>
    <t>260/260/OFF</t>
  </si>
  <si>
    <t>4.8(4.0)</t>
  </si>
  <si>
    <t>109.6.1</t>
  </si>
  <si>
    <t>綠藍双色</t>
  </si>
  <si>
    <t>迪卡儂作業</t>
  </si>
  <si>
    <t>2F0AD2(A14-A)01E2(結/牢-LIKE-0AB2)</t>
  </si>
  <si>
    <t>4.6(4.0)</t>
  </si>
  <si>
    <t>109.6.2</t>
  </si>
  <si>
    <t>白紅三角</t>
  </si>
  <si>
    <t>2F0AE2(A16)0AC2吃新紗</t>
  </si>
  <si>
    <t>109.6.29</t>
  </si>
  <si>
    <t>白藍三角</t>
  </si>
  <si>
    <t>2F0AF2(A24-A)01E2換原絲</t>
  </si>
  <si>
    <t>FP-80802R</t>
  </si>
  <si>
    <t>110.5.12</t>
  </si>
  <si>
    <t>2F0003(T04-L)5F0V03升速/機型</t>
  </si>
  <si>
    <t>FP-80930R</t>
  </si>
  <si>
    <t>80/36SDRD</t>
  </si>
  <si>
    <t>108.1.10</t>
  </si>
  <si>
    <t>2F0011(A18)5F0Q91-換原絲</t>
  </si>
  <si>
    <t>31.5</t>
  </si>
  <si>
    <t>230/230/140</t>
  </si>
  <si>
    <t>FP-80940R</t>
  </si>
  <si>
    <t>80/36SDR</t>
  </si>
  <si>
    <t>4.9(4.0)</t>
  </si>
  <si>
    <t>10±15/10-110.5.20-修</t>
  </si>
  <si>
    <t>廠商-迪卡儂</t>
  </si>
  <si>
    <t>2F0103(A09-B)0W13色差</t>
  </si>
  <si>
    <t>50/72SDR</t>
  </si>
  <si>
    <t>30</t>
  </si>
  <si>
    <t>230/230/155</t>
  </si>
  <si>
    <t>FP-80918R</t>
  </si>
  <si>
    <t>85/72SDR</t>
  </si>
  <si>
    <t>4.5(4.0)</t>
  </si>
  <si>
    <t>108.1.4</t>
  </si>
  <si>
    <t>桔黑三角</t>
  </si>
  <si>
    <t>2F00K2(A14)0W32換原絲</t>
  </si>
  <si>
    <t>262/262/OFF</t>
  </si>
  <si>
    <t>108.1.26</t>
  </si>
  <si>
    <t>白黑三角</t>
  </si>
  <si>
    <t>2F00L2(A13-A)0W32換原絲</t>
  </si>
  <si>
    <t>256/256/OFF</t>
  </si>
  <si>
    <t>108.1.27</t>
  </si>
  <si>
    <t>白綠點</t>
  </si>
  <si>
    <t>2F00M2(A16-B)0R42換原絲</t>
  </si>
  <si>
    <t>50/36HC</t>
  </si>
  <si>
    <t>3.0</t>
  </si>
  <si>
    <t>212/212/133</t>
  </si>
  <si>
    <t>FP-60442</t>
  </si>
  <si>
    <t>80/36HC</t>
  </si>
  <si>
    <t>3.4(3.0)</t>
  </si>
  <si>
    <t>108.1.31</t>
  </si>
  <si>
    <t>2F00N2(A07-B)0V12換原絲</t>
  </si>
  <si>
    <t>50/24BP</t>
  </si>
  <si>
    <t>195/195/OFF</t>
  </si>
  <si>
    <t>FP60446</t>
  </si>
  <si>
    <t>80/24BP</t>
  </si>
  <si>
    <t>3.6(3.0)</t>
  </si>
  <si>
    <t>108.1.30</t>
  </si>
  <si>
    <t>2F00P2(A12-B)0Q82-換原絲</t>
  </si>
  <si>
    <t>50/36SCCE</t>
  </si>
  <si>
    <t>2.0</t>
  </si>
  <si>
    <t>200/200/OFF</t>
  </si>
  <si>
    <t>FP-60415</t>
  </si>
  <si>
    <t>80/36SCCE</t>
  </si>
  <si>
    <t>3.8(3.0)</t>
  </si>
  <si>
    <t>4.5(3.8)</t>
  </si>
  <si>
    <t>108.3.11</t>
  </si>
  <si>
    <t>白底綠星</t>
  </si>
  <si>
    <t>2F00Q2(A19-B)00K2換原絲</t>
  </si>
  <si>
    <t>261/261/OFF</t>
  </si>
  <si>
    <t>FP-80909R</t>
  </si>
  <si>
    <t>108.3.15</t>
  </si>
  <si>
    <t>2F00S3(A07-B)5F0V03換原絲</t>
  </si>
  <si>
    <t>250/250/OFF</t>
  </si>
  <si>
    <t>FP-80916R</t>
  </si>
  <si>
    <t>108.4.25</t>
  </si>
  <si>
    <t>2F00T2(A13)00U2</t>
  </si>
  <si>
    <t>50/72FDR</t>
  </si>
  <si>
    <t>237/237/OFF</t>
  </si>
  <si>
    <t>FP-60794R</t>
  </si>
  <si>
    <t>80/72FDR</t>
  </si>
  <si>
    <t>4.4(4.0)</t>
  </si>
  <si>
    <t>108.5.3</t>
  </si>
  <si>
    <t>2F00U2(A19)</t>
  </si>
  <si>
    <t>240/240/OFF</t>
  </si>
  <si>
    <t>108.4.30</t>
  </si>
  <si>
    <t>2F00V2(A07-B)5F0R42換原絲</t>
  </si>
  <si>
    <t>212/212/132</t>
  </si>
  <si>
    <t>FP-80712</t>
  </si>
  <si>
    <t>108.5.6</t>
  </si>
  <si>
    <t>黃底白點-108.10.31</t>
  </si>
  <si>
    <t>2F00W2(T02-R)00K2換原絲/機型/DR</t>
  </si>
  <si>
    <t>188/OFF</t>
  </si>
  <si>
    <t>FP-60456R</t>
  </si>
  <si>
    <t>108.5.13</t>
  </si>
  <si>
    <t>2F00X2(T04)00W2</t>
  </si>
  <si>
    <t>108.5.20</t>
  </si>
  <si>
    <t>黃紅双色</t>
  </si>
  <si>
    <t>2F00Y2(A12)00P2-換原絲</t>
  </si>
  <si>
    <t>FP-60457</t>
  </si>
  <si>
    <t>108.5.21</t>
  </si>
  <si>
    <t>2F00Z2(A14-A)00N2換原絲</t>
  </si>
  <si>
    <t>FP60452</t>
  </si>
  <si>
    <t>3.7(3.0)</t>
  </si>
  <si>
    <t>2F0112(A18-A)02J2色差/升速</t>
  </si>
  <si>
    <t>255/255/OFF</t>
  </si>
  <si>
    <t>FP-80913R</t>
  </si>
  <si>
    <t>80±15</t>
  </si>
  <si>
    <t>109.1.13</t>
  </si>
  <si>
    <t>2F0122(A18-B)0112色差</t>
  </si>
  <si>
    <t>109.2.12</t>
  </si>
  <si>
    <t>2F0132(A11)0122換原絲/JET</t>
  </si>
  <si>
    <t>0.8↑0.9</t>
  </si>
  <si>
    <t>FP-80902R</t>
  </si>
  <si>
    <t>109.5.18</t>
  </si>
  <si>
    <t>2F0142(M04)0132-JET/機型/DR/降速</t>
  </si>
  <si>
    <t>168/OFF</t>
  </si>
  <si>
    <t>P102</t>
  </si>
  <si>
    <t>4(2.6)</t>
  </si>
  <si>
    <t>109.6.10</t>
  </si>
  <si>
    <t>2F0152(A14)0132原絲/降速/DR/不LIK丹尼/E%</t>
  </si>
  <si>
    <t>245/245/OFF</t>
  </si>
  <si>
    <t>FP-60886R</t>
  </si>
  <si>
    <t>80/72SDR</t>
  </si>
  <si>
    <t>4.0(2.3)</t>
  </si>
  <si>
    <t>109.7.18</t>
  </si>
  <si>
    <t>2F0162(A14-A)0122換原絲</t>
  </si>
  <si>
    <t>FP-80952R</t>
  </si>
  <si>
    <t>109.8.3</t>
  </si>
  <si>
    <t>2F0172(A14-B)0162色差</t>
  </si>
  <si>
    <t>FP-80952R(6/23之後)</t>
  </si>
  <si>
    <t>4(3.0)</t>
  </si>
  <si>
    <t>109.8.20</t>
  </si>
  <si>
    <t>2F0182(A14-A)0172換原絲</t>
  </si>
  <si>
    <t>2.2(2.4)</t>
  </si>
  <si>
    <t>109.9.10</t>
  </si>
  <si>
    <t>2F0192(A14-A)0182換原絲</t>
  </si>
  <si>
    <t>FP-80961R</t>
  </si>
  <si>
    <t>109.10.12</t>
  </si>
  <si>
    <t>2F01A2(A18-A)00Q2換原絲</t>
  </si>
  <si>
    <t>108.5.31</t>
  </si>
  <si>
    <t>2F01B2(A19)5F0V42換原絲</t>
  </si>
  <si>
    <t>FP-80900R</t>
  </si>
  <si>
    <t>108.7.15</t>
  </si>
  <si>
    <t>2F01C3(A19)0W13色差</t>
  </si>
  <si>
    <t>108.6.4</t>
  </si>
  <si>
    <t>2F01D3(A19-B)01C3換原絲/降速</t>
  </si>
  <si>
    <t>220/220/154</t>
  </si>
  <si>
    <t>FP-60458R</t>
  </si>
  <si>
    <t>92±8/10</t>
  </si>
  <si>
    <t>108.6.14</t>
  </si>
  <si>
    <t>2F01E2(A18-A)01A2換原絲</t>
  </si>
  <si>
    <t>108.6.13</t>
  </si>
  <si>
    <t>2F01F1(M07)0V21-換原絲/蟬翼紗</t>
  </si>
  <si>
    <t>50/72CW</t>
  </si>
  <si>
    <t>OFF/120</t>
  </si>
  <si>
    <t>N20</t>
  </si>
  <si>
    <t>FP80946R</t>
  </si>
  <si>
    <t>75/72SDRD</t>
  </si>
  <si>
    <t>2.8(2.0)</t>
  </si>
  <si>
    <t>108.6.21</t>
  </si>
  <si>
    <t>2F01G2(M01)5F0W52換原絲</t>
  </si>
  <si>
    <t>50/24KP</t>
  </si>
  <si>
    <t>29</t>
  </si>
  <si>
    <t>138/OFF</t>
  </si>
  <si>
    <t>FP-60464</t>
  </si>
  <si>
    <t>80/24KP</t>
  </si>
  <si>
    <t>2.7(2.5)</t>
  </si>
  <si>
    <t>4(3.7)</t>
  </si>
  <si>
    <t>108.7.6</t>
  </si>
  <si>
    <t>2F01H3(A19-B)01D3換原絲</t>
  </si>
  <si>
    <t>108.7.8</t>
  </si>
  <si>
    <t>2F01I2(A12-B)00T2換原絲/DR</t>
  </si>
  <si>
    <t>FP-60465R</t>
  </si>
  <si>
    <t>85±15</t>
  </si>
  <si>
    <t>108.7.9</t>
  </si>
  <si>
    <t>2F01J1(A10)D681 -S撚</t>
  </si>
  <si>
    <t>50/48SDR</t>
  </si>
  <si>
    <t>FP-60795R</t>
  </si>
  <si>
    <t>80/48SDR</t>
  </si>
  <si>
    <t>108.7.17</t>
  </si>
  <si>
    <t>白紅十字</t>
  </si>
  <si>
    <t>2F01K3(A14)01H3換原絲</t>
  </si>
  <si>
    <t>FP-60466R</t>
  </si>
  <si>
    <t>92±10</t>
  </si>
  <si>
    <t>2(0.3)</t>
  </si>
  <si>
    <t>108.7.22</t>
  </si>
  <si>
    <t>紅底白點</t>
  </si>
  <si>
    <t>2F01L2(A13)01B2換原絲</t>
  </si>
  <si>
    <t>235/235/OFF</t>
  </si>
  <si>
    <t>4(2.8)</t>
  </si>
  <si>
    <t>108.7.20</t>
  </si>
  <si>
    <t>2F01M2(A13-A)01L2換原絲</t>
  </si>
  <si>
    <t>108.7.31</t>
  </si>
  <si>
    <t>2F01N3(T03-R)0003換原絲/降速</t>
  </si>
  <si>
    <t>FP-60796R</t>
  </si>
  <si>
    <t>108.8.5</t>
  </si>
  <si>
    <t>2F01P2(S1)5F0V82換原絲/DR</t>
  </si>
  <si>
    <t>50/36SDRO</t>
  </si>
  <si>
    <t>215/215/OFF</t>
  </si>
  <si>
    <t>FP-60468R</t>
  </si>
  <si>
    <t>80/36SDRO</t>
  </si>
  <si>
    <t>108.8.6</t>
  </si>
  <si>
    <t>2F01R2(T03-L)00W2換原絲</t>
  </si>
  <si>
    <t>FP-60469R</t>
  </si>
  <si>
    <t>108.8.8</t>
  </si>
  <si>
    <t>2F01S2(A19)01B2換原絲</t>
  </si>
  <si>
    <t>FP-80931R</t>
  </si>
  <si>
    <t>108.8.7</t>
  </si>
  <si>
    <t>2F01T2(M02-A)5F0W22換原絲</t>
  </si>
  <si>
    <t>170/OFF</t>
  </si>
  <si>
    <t>YI-203</t>
  </si>
  <si>
    <t>4(2.7)</t>
  </si>
  <si>
    <t>108.8.12</t>
  </si>
  <si>
    <t>白紅點</t>
  </si>
  <si>
    <t>2F01U3(A19)01C3換原絲</t>
  </si>
  <si>
    <t>2F01V2(M03)5F0L22色差</t>
  </si>
  <si>
    <t>28.5</t>
  </si>
  <si>
    <t>3</t>
  </si>
  <si>
    <t>FP-70282</t>
  </si>
  <si>
    <t>85/36BK</t>
  </si>
  <si>
    <t>108.8.15</t>
  </si>
  <si>
    <t>白黃十字</t>
  </si>
  <si>
    <t>2F01W2(A13-B)01M2換原絲</t>
  </si>
  <si>
    <t>FP-80932R</t>
  </si>
  <si>
    <t>108.8.17</t>
  </si>
  <si>
    <t>2F01X3(A14-A)01K3換原絲</t>
  </si>
  <si>
    <t>2F01Y2(A13)01W2換原絲</t>
  </si>
  <si>
    <t>FP-80934R</t>
  </si>
  <si>
    <t>108.9.9</t>
  </si>
  <si>
    <t>白黑方塊</t>
  </si>
  <si>
    <t>2F01Z2(T02)5F0V52換原絲/降速</t>
  </si>
  <si>
    <t>177/OFF</t>
  </si>
  <si>
    <t>4(2.1)</t>
  </si>
  <si>
    <t>108.9.2</t>
  </si>
  <si>
    <t>2F0202(A20)0182降速</t>
  </si>
  <si>
    <t>4(3.1)</t>
  </si>
  <si>
    <t>109.11.2</t>
  </si>
  <si>
    <t>2F0212(A14-B)0182降速</t>
  </si>
  <si>
    <t>4(2.9)</t>
  </si>
  <si>
    <t>109.11.6</t>
  </si>
  <si>
    <t>2F0222(A14)0212換原絲</t>
  </si>
  <si>
    <t>109.11.30</t>
  </si>
  <si>
    <t>2F0232(A20)0202換原絲</t>
  </si>
  <si>
    <t>4(3.4)</t>
  </si>
  <si>
    <t>109.12.12</t>
  </si>
  <si>
    <t>2F0242(A14)0222換原絲</t>
  </si>
  <si>
    <t>FP-80001R</t>
  </si>
  <si>
    <t>109.12.21</t>
  </si>
  <si>
    <t>2F0252(A20)0232換原絲</t>
  </si>
  <si>
    <t>109.12.22</t>
  </si>
  <si>
    <t>2F0262(A20)0252色差/低M%</t>
  </si>
  <si>
    <t>109.12.28</t>
  </si>
  <si>
    <t>2F0282(A11)0262換原絲</t>
  </si>
  <si>
    <t>FP-80002R</t>
  </si>
  <si>
    <t>110.1.4</t>
  </si>
  <si>
    <t>2F0292(A14-B)0242換原絲</t>
  </si>
  <si>
    <t>110.1.7</t>
  </si>
  <si>
    <t>2F02A2(A20-B)01E2換原絲</t>
  </si>
  <si>
    <t>FP-80936R</t>
  </si>
  <si>
    <t>108.10.21</t>
  </si>
  <si>
    <t>2F02B3(A11)00S3換原絲</t>
  </si>
  <si>
    <t>108.11.1</t>
  </si>
  <si>
    <t>2F02C1(A11-A)92E1/DR修-S撚</t>
  </si>
  <si>
    <t>108.11.6</t>
  </si>
  <si>
    <t>白紫三角</t>
  </si>
  <si>
    <t>2F02D1(A11-B)02C1-S撚</t>
  </si>
  <si>
    <t>FP-80938R</t>
  </si>
  <si>
    <t>108.11.8</t>
  </si>
  <si>
    <t>2F02E2(A16)5F0V82換原絲</t>
  </si>
  <si>
    <t>230/230/OFF</t>
  </si>
  <si>
    <t>108.11.11</t>
  </si>
  <si>
    <t>2F02F2(A18)01Y2色差</t>
  </si>
  <si>
    <t>108.11.25</t>
  </si>
  <si>
    <t>2F02G1(M04-A)01F1-換原絲</t>
  </si>
  <si>
    <t>FP80922R</t>
  </si>
  <si>
    <t>108.11.21</t>
  </si>
  <si>
    <t>2F02H1(M04)02G1-換原絲</t>
  </si>
  <si>
    <t>OFF/123</t>
  </si>
  <si>
    <t>FP80937R</t>
  </si>
  <si>
    <t>3.0(2.0)</t>
  </si>
  <si>
    <t>108.12.6</t>
  </si>
  <si>
    <t>綠底白點</t>
  </si>
  <si>
    <t>2F02J2(A18)02F2換原絲</t>
  </si>
  <si>
    <t>108.12.11</t>
  </si>
  <si>
    <t>2F02K2(A16-B)02E2換原絲</t>
  </si>
  <si>
    <t>FP-80942R</t>
  </si>
  <si>
    <t>108.12.23</t>
  </si>
  <si>
    <t>白黑星</t>
  </si>
  <si>
    <t>2F02L2(S2)</t>
  </si>
  <si>
    <t>50/36FBKRO</t>
  </si>
  <si>
    <t>FP-60485R</t>
  </si>
  <si>
    <t>85/36FBKRO</t>
  </si>
  <si>
    <t>4.4(3.5)</t>
  </si>
  <si>
    <t>5.0(4.6)</t>
  </si>
  <si>
    <t>108.12.24</t>
  </si>
  <si>
    <t>2F02M1(A10-B)01J1 -S撚換原絲</t>
  </si>
  <si>
    <t>FP-60771R</t>
  </si>
  <si>
    <t>紅黑條紋/棕色</t>
  </si>
  <si>
    <t>2F02N2(S2)</t>
  </si>
  <si>
    <t>50/36WTRO22</t>
  </si>
  <si>
    <t>FP-60487R</t>
  </si>
  <si>
    <t>85/36WTR22</t>
  </si>
  <si>
    <t>4.6(3.5)</t>
  </si>
  <si>
    <t>5.0(4.3)</t>
  </si>
  <si>
    <t>108.12.31</t>
  </si>
  <si>
    <t>2F02P2(M08)02L2-升速/DR/換機型</t>
  </si>
  <si>
    <t>163/OFF</t>
  </si>
  <si>
    <t>4.2(3.5)</t>
  </si>
  <si>
    <t>5.0(3.4)</t>
  </si>
  <si>
    <t>109.1.20</t>
  </si>
  <si>
    <t>白黑點</t>
  </si>
  <si>
    <t>2F02Q1(M04)02H1-色差</t>
  </si>
  <si>
    <t>2F02R2(A10)02K2換原絲</t>
  </si>
  <si>
    <t>FP-80942R                       FP-80945R</t>
  </si>
  <si>
    <t>109.2.27</t>
  </si>
  <si>
    <t>2F02S2(A16-B)5F0P42換原絲/DR</t>
  </si>
  <si>
    <t>50/72SWZ</t>
  </si>
  <si>
    <t>210/210/OFF</t>
  </si>
  <si>
    <t>FP-60936</t>
  </si>
  <si>
    <t>85/72SWZ</t>
  </si>
  <si>
    <t>4.3(4.0)</t>
  </si>
  <si>
    <t>109.3.4</t>
  </si>
  <si>
    <t>2F02T1(A11-B)02M1 -S撚色差/DR</t>
  </si>
  <si>
    <t>2F02U1(M04)02Q1-換原絲</t>
  </si>
  <si>
    <t>31.8</t>
  </si>
  <si>
    <t>2.9(2.0)</t>
  </si>
  <si>
    <t>109.3.20</t>
  </si>
  <si>
    <t>2F02V1(A11-A)02T1 -S撚-升速/換線別</t>
  </si>
  <si>
    <t>2F02W2(A16)00Z2換原絲/DR</t>
  </si>
  <si>
    <t>FP60495</t>
  </si>
  <si>
    <t>109.4.6</t>
  </si>
  <si>
    <t>2F02X2(A15-A)01I2換原絲/溫度</t>
  </si>
  <si>
    <t>50/72FDRO</t>
  </si>
  <si>
    <t>220/220/OFF</t>
  </si>
  <si>
    <t>FP-60494R</t>
  </si>
  <si>
    <t>109.6.3</t>
  </si>
  <si>
    <t>2F02Y2(A15-B)02X2異常染色原絲(4/5.6日期)</t>
  </si>
  <si>
    <t>109.6.30</t>
  </si>
  <si>
    <t>2F02Z2(M08)02R2換原絲/機型</t>
  </si>
  <si>
    <t>FP-80910R</t>
  </si>
  <si>
    <t>4.5(3.5)</t>
  </si>
  <si>
    <t>109.7.27</t>
  </si>
  <si>
    <t>白黃十字/白紫條紋-1</t>
  </si>
  <si>
    <t>2F0302(A20-B)0262換原絲</t>
  </si>
  <si>
    <t>242/242/OFF</t>
  </si>
  <si>
    <t>FP-80000R</t>
  </si>
  <si>
    <t>110.1.18</t>
  </si>
  <si>
    <t>2F0312(A13-A)0302換原絲</t>
  </si>
  <si>
    <t>110.2.1</t>
  </si>
  <si>
    <t>2F0322(A13-A)0312色差</t>
  </si>
  <si>
    <t>110.4.14</t>
  </si>
  <si>
    <t>2F0332(A09-B)0322換原絲</t>
  </si>
  <si>
    <t>FP-80006R</t>
  </si>
  <si>
    <t>110.6.21</t>
  </si>
  <si>
    <t>2F0342(A07-A)0302換原絲</t>
  </si>
  <si>
    <t>110.7.1</t>
  </si>
  <si>
    <t>2FK030G(光明)-發-迪卡儂用0342物性</t>
  </si>
  <si>
    <t>110.9.10</t>
  </si>
  <si>
    <t>2F0352(A09-B)0342色差/DR</t>
  </si>
  <si>
    <t>110.8.11</t>
  </si>
  <si>
    <t>2F03A2(A07-A)0912退改標加O</t>
  </si>
  <si>
    <t>30.7</t>
  </si>
  <si>
    <t>4.0/2.0(S)</t>
  </si>
  <si>
    <t>FP-60489R</t>
  </si>
  <si>
    <t>4.2(4.0)</t>
  </si>
  <si>
    <t>109.8.9</t>
  </si>
  <si>
    <t>2F03B2(A07-A)03A2</t>
  </si>
  <si>
    <t>FP-60503R</t>
  </si>
  <si>
    <t>109.8.17</t>
  </si>
  <si>
    <t>2F03C2(A07)03B2換原絲</t>
  </si>
  <si>
    <t>232/232/OFF</t>
  </si>
  <si>
    <t>FP-60506R</t>
  </si>
  <si>
    <t>4(2.5)</t>
  </si>
  <si>
    <t>109.8.27</t>
  </si>
  <si>
    <t>2F03D2(A08-A)02L2換原絲/機型</t>
  </si>
  <si>
    <t>50/36BKRO</t>
  </si>
  <si>
    <t>FP-60944R</t>
  </si>
  <si>
    <t>85/36BKRO</t>
  </si>
  <si>
    <t>2.5(2F02L2-2.5)</t>
  </si>
  <si>
    <t>5.0(3.8)</t>
  </si>
  <si>
    <t>109.9.1</t>
  </si>
  <si>
    <t>2F03E2(A12-A)02R2換原絲</t>
  </si>
  <si>
    <t>2.7(2.3)</t>
  </si>
  <si>
    <t>109.9.30</t>
  </si>
  <si>
    <t>2F03F1(M07)02U1色差</t>
  </si>
  <si>
    <t>FP80922R-L50</t>
  </si>
  <si>
    <t>2.6(2.0)</t>
  </si>
  <si>
    <t>109.10.7</t>
  </si>
  <si>
    <t>2F03G2(A13)03C2換原絲</t>
  </si>
  <si>
    <t>FP-60508R</t>
  </si>
  <si>
    <t>109.10.19</t>
  </si>
  <si>
    <t>2F03H1(M07-B)03F1-轉線-色差</t>
  </si>
  <si>
    <t>31.2</t>
  </si>
  <si>
    <t>FP80922R-L53</t>
  </si>
  <si>
    <t>109.10.21</t>
  </si>
  <si>
    <t>2F03I2(M07-B)99L2</t>
  </si>
  <si>
    <t>50/72CDRO</t>
  </si>
  <si>
    <t>140/120</t>
  </si>
  <si>
    <t>FP-60463R</t>
  </si>
  <si>
    <t>80/72CDR</t>
  </si>
  <si>
    <t>3.0(3.0)</t>
  </si>
  <si>
    <t>1.0(0.6)</t>
  </si>
  <si>
    <t>109.10.29</t>
  </si>
  <si>
    <t>紅黃星</t>
  </si>
  <si>
    <t>2F03K2(A19)99L2換原絲</t>
  </si>
  <si>
    <t>170/170/130</t>
  </si>
  <si>
    <t>3.3(3.0)</t>
  </si>
  <si>
    <t>1.0(0.2)</t>
  </si>
  <si>
    <t>109.11.4</t>
  </si>
  <si>
    <t>2F03L2(A19-B)03K2換原絲</t>
  </si>
  <si>
    <t>160/160/130</t>
  </si>
  <si>
    <t>FP-80724R</t>
  </si>
  <si>
    <t>3.5(3.0)</t>
  </si>
  <si>
    <t>2F03M2(A12-A)02W2換原絲</t>
  </si>
  <si>
    <t>FP60516</t>
  </si>
  <si>
    <t>109.12.18</t>
  </si>
  <si>
    <t>2F03N1(A07-B)02V1 -S撚-換原絲</t>
  </si>
  <si>
    <t>FP-60772R</t>
  </si>
  <si>
    <t>109.12.24</t>
  </si>
  <si>
    <t>紅白直條</t>
  </si>
  <si>
    <t>2F03P2(M04)02Z2</t>
  </si>
  <si>
    <t>31.1</t>
  </si>
  <si>
    <t>167/OFF</t>
  </si>
  <si>
    <t>110.2.2</t>
  </si>
  <si>
    <t>2F03Q2(M04)02P2換原絲</t>
  </si>
  <si>
    <t>FP-80800R</t>
  </si>
  <si>
    <t>2.7(2.7)</t>
  </si>
  <si>
    <t>110.2.17</t>
  </si>
  <si>
    <t>2F03R1(M05)03H1</t>
  </si>
  <si>
    <t>110.2.24</t>
  </si>
  <si>
    <t>2F03S2(A15-A)03M2換原絲/DR</t>
  </si>
  <si>
    <t>FP60524</t>
  </si>
  <si>
    <t>110.3.4</t>
  </si>
  <si>
    <t>2F03T2(A15)03S2</t>
  </si>
  <si>
    <t>FP60524/60526(4/12)</t>
  </si>
  <si>
    <t>110.4.6</t>
  </si>
  <si>
    <t>2F03U1(A13-B)9E51-升速</t>
  </si>
  <si>
    <t>50/72SDRT</t>
  </si>
  <si>
    <t>252/252/OFF</t>
  </si>
  <si>
    <t>110.4.12</t>
  </si>
  <si>
    <t>2F03V2(M04)03Q2色差</t>
  </si>
  <si>
    <t>32.5</t>
  </si>
  <si>
    <t>110.5.6</t>
  </si>
  <si>
    <t>2F03W1(A09-A)0011-換原絲</t>
  </si>
  <si>
    <t>235/235/140</t>
  </si>
  <si>
    <t>FP-80005R</t>
  </si>
  <si>
    <t>25--0</t>
  </si>
  <si>
    <t>110.5.31</t>
  </si>
  <si>
    <t>2F03X1(A09-B)02D1-S撚換原絲</t>
  </si>
  <si>
    <t>110.6.3</t>
  </si>
  <si>
    <t>2F03Z2(A24-B)00P2-換原絲</t>
  </si>
  <si>
    <t>FP-60941</t>
  </si>
  <si>
    <t>110.7.2</t>
  </si>
  <si>
    <t>2F04A2(M04)03V2換原絲</t>
  </si>
  <si>
    <t>FP-80804R</t>
  </si>
  <si>
    <t>110.7.6</t>
  </si>
  <si>
    <t>2F04B2(A07-A)03T2換原絲</t>
  </si>
  <si>
    <t>193/193/OFF</t>
  </si>
  <si>
    <t>FP60534</t>
  </si>
  <si>
    <t>110.7.15</t>
  </si>
  <si>
    <t>白桔双色</t>
  </si>
  <si>
    <t>2F04C1(M04)03R1換原絲</t>
  </si>
  <si>
    <t>FP80015R</t>
  </si>
  <si>
    <t>110.8.3</t>
  </si>
  <si>
    <t>黃</t>
  </si>
  <si>
    <t>2F04D2(A07-A)03Z2-換原絲/DR</t>
  </si>
  <si>
    <t>50/36CE</t>
  </si>
  <si>
    <t>FP-60537</t>
  </si>
  <si>
    <t>85/36CE</t>
  </si>
  <si>
    <t>110.8.27</t>
  </si>
  <si>
    <t>2F04E2(A23-B)03G2換原絲/DR</t>
  </si>
  <si>
    <t>FP-80012</t>
  </si>
  <si>
    <t>80/72FD</t>
  </si>
  <si>
    <t>2F04F2(A09-B)9M72 -換原絲</t>
  </si>
  <si>
    <t>FP-60774R</t>
  </si>
  <si>
    <t>110.8.30</t>
  </si>
  <si>
    <t>2F04G2(A24-B)02S2換原絲/加R</t>
  </si>
  <si>
    <t>50/72SWZR</t>
  </si>
  <si>
    <t>FP-60931</t>
  </si>
  <si>
    <t>110.9.13</t>
  </si>
  <si>
    <t>2F04H1(M07)04C1換原絲</t>
  </si>
  <si>
    <t>32.1</t>
  </si>
  <si>
    <t>FP80017R</t>
  </si>
  <si>
    <t>110.10.6</t>
  </si>
  <si>
    <t>2F04I2(A07-B)04D2-換原絲/AP</t>
  </si>
  <si>
    <t>FP-60548</t>
  </si>
  <si>
    <t>110.11.8</t>
  </si>
  <si>
    <t>2F04J2(A15-B)04B2換原絲/溫度/AP壓力/錠片</t>
  </si>
  <si>
    <t>207/207/OFF</t>
  </si>
  <si>
    <t>FP60549</t>
  </si>
  <si>
    <t>110.11.26</t>
  </si>
  <si>
    <t>綠白點</t>
  </si>
  <si>
    <t>2F04K2(A07-B)04I2-DR/溫度</t>
  </si>
  <si>
    <t>110.12.20</t>
  </si>
  <si>
    <t>2F04L2(A07-A)04E2-DR</t>
  </si>
  <si>
    <t>白藍點</t>
  </si>
  <si>
    <t>2F04M1(M08)03U1/降速</t>
  </si>
  <si>
    <t>32.2</t>
  </si>
  <si>
    <t>YI203</t>
  </si>
  <si>
    <t>111.1.20</t>
  </si>
  <si>
    <t>2F04N2(A07-B)04L2</t>
  </si>
  <si>
    <t>111.1.22</t>
  </si>
  <si>
    <t>2F04P2(A15)04J2換原絲/溫度</t>
  </si>
  <si>
    <t>FP60553</t>
  </si>
  <si>
    <t>111.2.14</t>
  </si>
  <si>
    <t>2F04Q2(M08)9AQ2換機型</t>
  </si>
  <si>
    <t>50/72BSD3</t>
  </si>
  <si>
    <t>158/OFF</t>
  </si>
  <si>
    <t>FP60547</t>
  </si>
  <si>
    <t>80/72BSD3</t>
  </si>
  <si>
    <t>111.3.1</t>
  </si>
  <si>
    <t>2F04R2(M08)04Q2換原絲/DR</t>
  </si>
  <si>
    <t>30.5</t>
  </si>
  <si>
    <t>160/OFF</t>
  </si>
  <si>
    <t>FP60555</t>
  </si>
  <si>
    <t>111.3.17</t>
  </si>
  <si>
    <t>2F04S2(A20-A)04F2 -色差</t>
  </si>
  <si>
    <t>111.4.1</t>
  </si>
  <si>
    <t>2F04T2(A21-B)04N2-換原絲/DR</t>
  </si>
  <si>
    <t>FP-60556R</t>
  </si>
  <si>
    <t>111.4.8</t>
  </si>
  <si>
    <t>2F04U2(A22-B)03K2換原絲/DR/錠組</t>
  </si>
  <si>
    <t>165/165/130</t>
  </si>
  <si>
    <t>FP-60559R</t>
  </si>
  <si>
    <t>111.4.22</t>
  </si>
  <si>
    <t>白藍十字</t>
  </si>
  <si>
    <t>2F04V2(M08)03V2換原絲</t>
  </si>
  <si>
    <t>165/OFF</t>
  </si>
  <si>
    <t>111.4.20</t>
  </si>
  <si>
    <t>白綠十字</t>
  </si>
  <si>
    <t>2F04W2(M08)0142-DR/換原絲</t>
  </si>
  <si>
    <t>FP-80028R</t>
  </si>
  <si>
    <t>111.5.4</t>
  </si>
  <si>
    <t>2F04X2(A19)04P2換原絲</t>
  </si>
  <si>
    <t>FP60557</t>
  </si>
  <si>
    <t>111.5.3</t>
  </si>
  <si>
    <t>2F04Y1(A22-A)03U1-換原絲</t>
  </si>
  <si>
    <t>111.5.13</t>
  </si>
  <si>
    <t>2F05A2(M08)04R2換原絲</t>
  </si>
  <si>
    <t>FP60560</t>
  </si>
  <si>
    <t>111.5.31</t>
  </si>
  <si>
    <t>2F05B2(A20-A)04P2</t>
  </si>
  <si>
    <t>111.5.25</t>
  </si>
  <si>
    <t>2F05C3(M08)</t>
  </si>
  <si>
    <t>28</t>
  </si>
  <si>
    <t>170/135</t>
  </si>
  <si>
    <t>111.6.10</t>
  </si>
  <si>
    <t xml:space="preserve">黃紅双色 </t>
  </si>
  <si>
    <t>2F05D2(A20-A)05B2換原絲</t>
  </si>
  <si>
    <t>111.6.16</t>
  </si>
  <si>
    <t>2F05E1(M08)9DY1改重量</t>
  </si>
  <si>
    <t>31.6</t>
  </si>
  <si>
    <t>FP70382</t>
  </si>
  <si>
    <t>80/72SD</t>
  </si>
  <si>
    <t>111.7.1</t>
  </si>
  <si>
    <t>2F05F1(M07)04C1換原絲/改規格</t>
  </si>
  <si>
    <t>50/72CWR</t>
  </si>
  <si>
    <t>32</t>
  </si>
  <si>
    <t>FP80038R</t>
  </si>
  <si>
    <t>111.9.1</t>
  </si>
  <si>
    <t>2F05G2(T01-R)0AB2換原絲/DR</t>
  </si>
  <si>
    <t>FP-80808R</t>
  </si>
  <si>
    <t>111.9.5</t>
  </si>
  <si>
    <t>旭寬灰5嚴挑加G</t>
  </si>
  <si>
    <t>2F05H2(A19-B)04X2換原絲</t>
  </si>
  <si>
    <t>FP60567</t>
  </si>
  <si>
    <t>111.9.7</t>
  </si>
  <si>
    <t>2F05I1(A22-A)04Y1-</t>
  </si>
  <si>
    <t>111.10.3</t>
  </si>
  <si>
    <t>2F05J2(A07-B)</t>
  </si>
  <si>
    <t>50/36CDR</t>
  </si>
  <si>
    <t>FP-60562R</t>
  </si>
  <si>
    <t>80/36CDR</t>
  </si>
  <si>
    <t>111.10.17</t>
  </si>
  <si>
    <t>2F05K2(A13)04R2換原絲/DR</t>
  </si>
  <si>
    <t>650↓600-11/15</t>
  </si>
  <si>
    <t>223/223/OFF</t>
  </si>
  <si>
    <t>FP60569</t>
  </si>
  <si>
    <t>111.11.3</t>
  </si>
  <si>
    <t>2F05L2(A07-B)04K2-AP壓力</t>
  </si>
  <si>
    <t>111.11.4</t>
  </si>
  <si>
    <t>2F05M2(A07-A)03E2換原絲</t>
  </si>
  <si>
    <t>FP-80809R</t>
  </si>
  <si>
    <t>2.7(2.9)</t>
  </si>
  <si>
    <t>111.11.11</t>
  </si>
  <si>
    <t>2F05N3(A13)05C3換原絲/機型/降速/DR</t>
  </si>
  <si>
    <t>225/225/130</t>
  </si>
  <si>
    <t>111.12.7</t>
  </si>
  <si>
    <t>2F05P2(A19-B)05H2原絲色差</t>
  </si>
  <si>
    <t>111.12.8</t>
  </si>
  <si>
    <t>2F05Q2(A07-A)05M2色差</t>
  </si>
  <si>
    <t>23↑24-12/21</t>
  </si>
  <si>
    <t>110(120)</t>
  </si>
  <si>
    <t>111.12.19</t>
  </si>
  <si>
    <t>2F05R2(A07-A)05L2-換原絲/DR</t>
  </si>
  <si>
    <t>FP-60568</t>
  </si>
  <si>
    <t>112.1.9</t>
  </si>
  <si>
    <t>2F05S3(A13)05N3換原絲丹尼不同/DR</t>
  </si>
  <si>
    <t>220/220/130</t>
  </si>
  <si>
    <t>FP-80042</t>
  </si>
  <si>
    <t>85/72BSD3</t>
  </si>
  <si>
    <t>112.1.13</t>
  </si>
  <si>
    <t>2F05T2(A07)0352換原絲/DR(物性LIKE-外購紗0RH2)</t>
  </si>
  <si>
    <t>112.2.6</t>
  </si>
  <si>
    <t>2F05U2(A07-B)05T2換原絲</t>
  </si>
  <si>
    <t>FP-80050R</t>
  </si>
  <si>
    <t>112.2.22</t>
  </si>
  <si>
    <t>2F05V2(A15-A)05P2原絲色差/DR</t>
  </si>
  <si>
    <t>112.3.20</t>
  </si>
  <si>
    <t>2F05W2(A08-A)DNE2換原絲</t>
  </si>
  <si>
    <t>50/72F2CF</t>
  </si>
  <si>
    <t>FP-60960R</t>
  </si>
  <si>
    <t>85/72F2FC</t>
  </si>
  <si>
    <t>112.4.24</t>
  </si>
  <si>
    <t>2F05X1(A08-A)03W1-換原絲/DR/溫度</t>
  </si>
  <si>
    <t>240/240/140</t>
  </si>
  <si>
    <t>112.5.8</t>
  </si>
  <si>
    <t>2F05Y2(M08)0352/0RH2改標</t>
  </si>
  <si>
    <t>FP-60887R</t>
  </si>
  <si>
    <t>112.5.1</t>
  </si>
  <si>
    <t xml:space="preserve">白洋綠双色 </t>
  </si>
  <si>
    <t>2F05Z2(T04-L)05K2換原絲/DR/機型</t>
  </si>
  <si>
    <t>FP-80055</t>
  </si>
  <si>
    <t>112.6.1</t>
  </si>
  <si>
    <t>2F06A2(A15)05U2換原絲/CQA同0352業務產銷押錯</t>
  </si>
  <si>
    <t>FP-80056R</t>
  </si>
  <si>
    <t>2F0352(A09-B)</t>
  </si>
  <si>
    <t>2F06B2(A11)05U2換原絲/CQA同0352業務產銷押錯</t>
  </si>
  <si>
    <t>2F06C2(A10-B)9HZ2</t>
  </si>
  <si>
    <t>FP-70580</t>
  </si>
  <si>
    <t>112.6.2</t>
  </si>
  <si>
    <t>藍</t>
  </si>
  <si>
    <t>2F06D2(T04-L)05Z2換原絲</t>
  </si>
  <si>
    <t>FP-70382</t>
  </si>
  <si>
    <t>112.6.16</t>
  </si>
  <si>
    <t>2F06E2(M06)04V2換原絲(物性-LIKE05Q2)</t>
  </si>
  <si>
    <t>112.6.17</t>
  </si>
  <si>
    <t>2F06F2(A15)0352換原絲</t>
  </si>
  <si>
    <t>FP-80058R</t>
  </si>
  <si>
    <t>112.7.10</t>
  </si>
  <si>
    <t>未測</t>
  </si>
  <si>
    <t>2F06G2(A11-A)0352換原絲</t>
  </si>
  <si>
    <t>112.7.11</t>
  </si>
  <si>
    <t xml:space="preserve">洋綠色 </t>
  </si>
  <si>
    <t>2F06H2(A11-A)01I2換原絲/DR/AP壓力</t>
  </si>
  <si>
    <t>FP-80059R</t>
  </si>
  <si>
    <t>4.0↓3.5</t>
  </si>
  <si>
    <t>23↑25</t>
  </si>
  <si>
    <t>125↓120</t>
  </si>
  <si>
    <t>1.8↑2.2-7/25</t>
  </si>
  <si>
    <t>112.7.21</t>
  </si>
  <si>
    <t>2F06H2(A11-A)發迪卡儂物性不同</t>
  </si>
  <si>
    <t>2F06I2(A15-A)06F2換原絲/升速</t>
  </si>
  <si>
    <t>FP-80060R</t>
  </si>
  <si>
    <t>112.8.1</t>
  </si>
  <si>
    <t>2F06J2(A10-B)06C2</t>
  </si>
  <si>
    <t>112.8.23</t>
  </si>
  <si>
    <t>2F06K2(A15-B)06I2換原絲</t>
  </si>
  <si>
    <t>FP-80065R</t>
  </si>
  <si>
    <t>112.8.28</t>
  </si>
  <si>
    <t>2F06L2(M02)05K2換原絲(物性-LIKE05K2)</t>
  </si>
  <si>
    <t>650↓550-10/3</t>
  </si>
  <si>
    <t>FP-80073</t>
  </si>
  <si>
    <t>112.9.29</t>
  </si>
  <si>
    <t>2F06M2(A10-A)06J2</t>
  </si>
  <si>
    <t>112.10.16</t>
  </si>
  <si>
    <t>2F06N2(M02)06L2色差/降速</t>
  </si>
  <si>
    <t>155/OFF</t>
  </si>
  <si>
    <t>112.10.19</t>
  </si>
  <si>
    <t>2F06P2(M02)06E2</t>
  </si>
  <si>
    <t>112.11.20</t>
  </si>
  <si>
    <t>2F06Q1(M07)05F1(同9JI1)改規格</t>
  </si>
  <si>
    <t>112.12.4</t>
  </si>
  <si>
    <t>2F06R1(M07)06Q1(同05F1)改規格</t>
  </si>
  <si>
    <t>112.12.11</t>
  </si>
  <si>
    <t>2F06S2(T04-L)06I2換原絲/DR/機型/降速</t>
  </si>
  <si>
    <t>112.12.25</t>
  </si>
  <si>
    <t>2F06T2(M02)05G2-DR/降速/機型</t>
  </si>
  <si>
    <t>113.1.10</t>
  </si>
  <si>
    <t>2F06U2(M05)06N2</t>
  </si>
  <si>
    <t>113.1.16</t>
  </si>
  <si>
    <t>2F06V2(S1)絲開發DPJ2</t>
  </si>
  <si>
    <t>50/24DO</t>
  </si>
  <si>
    <t>FP-60404</t>
  </si>
  <si>
    <t>80/24DO</t>
  </si>
  <si>
    <t>113.2.2</t>
  </si>
  <si>
    <t>紅黑曲線</t>
  </si>
  <si>
    <t>2F06W2(S1)</t>
  </si>
  <si>
    <t>50/72BSD2</t>
  </si>
  <si>
    <t>FP-60203</t>
  </si>
  <si>
    <t>85/72BSD2</t>
  </si>
  <si>
    <t>2F06X2(A11)05K2換原絲</t>
  </si>
  <si>
    <t>225/225/OFF</t>
  </si>
  <si>
    <t>FP80080</t>
  </si>
  <si>
    <t>113.2.20</t>
  </si>
  <si>
    <t>2F06Y2(A09-B)06M2/DR…等</t>
  </si>
  <si>
    <t>113.3.1</t>
  </si>
  <si>
    <t>2F06Z2(A12-A)06K2換原絲/DR</t>
  </si>
  <si>
    <t>FP-80079R</t>
  </si>
  <si>
    <t>85/72SDR2</t>
  </si>
  <si>
    <t>113.3.5</t>
  </si>
  <si>
    <t>2F07A3(A22-B)</t>
  </si>
  <si>
    <t>50/72CDR</t>
  </si>
  <si>
    <t>180/180/OFF</t>
  </si>
  <si>
    <t>FP-80743R</t>
  </si>
  <si>
    <t>113.3.18</t>
  </si>
  <si>
    <t>2F07B2(A11-B)</t>
  </si>
  <si>
    <t>200/200/130</t>
  </si>
  <si>
    <t>FP-80756R</t>
  </si>
  <si>
    <t>113.3.27</t>
  </si>
  <si>
    <t>2F07C2(A11-A)06Z2換原絲</t>
  </si>
  <si>
    <t>FP-80018R</t>
  </si>
  <si>
    <t>113.4.1</t>
  </si>
  <si>
    <t>2F07D2(M04)06Z2/換原絲升速…修條件.物性</t>
  </si>
  <si>
    <t>172/OFF</t>
  </si>
  <si>
    <t>FP-80085R</t>
  </si>
  <si>
    <t>21↑23.5-4/12</t>
  </si>
  <si>
    <t>113.4.8</t>
  </si>
  <si>
    <t>2F07E2(A07-A)04K2-DR/換原絲</t>
  </si>
  <si>
    <t>FP-60205</t>
  </si>
  <si>
    <t>113.4.10</t>
  </si>
  <si>
    <t>2F07F2(M04)07D2/換原絲</t>
  </si>
  <si>
    <t>650↓600-5/13</t>
  </si>
  <si>
    <t>171/OFF</t>
  </si>
  <si>
    <t>113.5.7</t>
  </si>
  <si>
    <t>2F07G2(A22-B)06H2換原絲</t>
  </si>
  <si>
    <t>113.5.8</t>
  </si>
  <si>
    <t>白藍條</t>
  </si>
  <si>
    <t>2F07H1(S1)03W1-換原絲/DR/機型…</t>
  </si>
  <si>
    <t>225/225/140</t>
  </si>
  <si>
    <t>113.5.17</t>
  </si>
  <si>
    <t>2F07I2(M04)07F2/DR降速</t>
  </si>
  <si>
    <t>29.5</t>
  </si>
  <si>
    <t>113.5.21</t>
  </si>
  <si>
    <t>2F07J2(S1)06X2換原絲</t>
  </si>
  <si>
    <t>FP80070</t>
  </si>
  <si>
    <t>113.5.24</t>
  </si>
  <si>
    <t>2F07K2(M04)06U2換原絲</t>
  </si>
  <si>
    <t>FP-80070</t>
  </si>
  <si>
    <t>24↑30-6/4</t>
  </si>
  <si>
    <t>113.5.30</t>
  </si>
  <si>
    <t>2F07L2(A08-B)06X2/DR</t>
  </si>
  <si>
    <t>113.6.24</t>
  </si>
  <si>
    <t>2F07M2(M03)06M2/機型/DR</t>
  </si>
  <si>
    <t>113.6.7</t>
  </si>
  <si>
    <t>2F07N3(A08)</t>
  </si>
  <si>
    <t>245/245/130</t>
  </si>
  <si>
    <t>FP-80080</t>
  </si>
  <si>
    <t>113.6.18</t>
  </si>
  <si>
    <t>2F07P2(T06-L)9PV2(物性-LIKE06E2)升速.../規格不加O</t>
  </si>
  <si>
    <t>113.6.21</t>
  </si>
  <si>
    <t>2F07Q2(A08-B)07B2換原絲/DR</t>
  </si>
  <si>
    <t>FP-80761R</t>
  </si>
  <si>
    <t>3-2.8-7/11</t>
  </si>
  <si>
    <t>113.7.1</t>
  </si>
  <si>
    <t>2F07R2(A07-B)07E2-DR/換原絲</t>
  </si>
  <si>
    <t>FP-60102</t>
  </si>
  <si>
    <t>113.7.15</t>
  </si>
  <si>
    <t>2F07S2(A19A)06W2/DR/換原絲/改重量….</t>
  </si>
  <si>
    <t>FP-60103</t>
  </si>
  <si>
    <t>24-28-8/22</t>
  </si>
  <si>
    <t>113.8.15</t>
  </si>
  <si>
    <t>2F07T2(A08-A)07L2/DR換原絲</t>
  </si>
  <si>
    <t>FP60104</t>
  </si>
  <si>
    <t>113.8.19</t>
  </si>
  <si>
    <t>2F07U2(A08-A)07T2/原絲(換油劑)</t>
  </si>
  <si>
    <t>113.9.9</t>
  </si>
  <si>
    <t>2F07V2(A08-A)07U2/原絲/DR</t>
  </si>
  <si>
    <t>FP60318</t>
  </si>
  <si>
    <t>113.9.27</t>
  </si>
  <si>
    <t>2F07W1(M04)06Q1換原絲</t>
  </si>
  <si>
    <t>FP80090R</t>
  </si>
  <si>
    <t>75/72SDR2</t>
  </si>
  <si>
    <t>61-54-10/21</t>
  </si>
  <si>
    <t>113.10.16</t>
  </si>
  <si>
    <t>2F07X3(A21-A)07A3/換原絲/DR</t>
  </si>
  <si>
    <t>FP-80772</t>
  </si>
  <si>
    <t>80/72HC</t>
  </si>
  <si>
    <t>113.10.31</t>
  </si>
  <si>
    <t>2F07Y2(A14-B)07P2/降速/換原絲/換機型/修DR</t>
  </si>
  <si>
    <t>FP-70074R</t>
  </si>
  <si>
    <t>113.11.15</t>
  </si>
  <si>
    <t>2F07Z1(A14-B)05X1-換原絲/升速</t>
  </si>
  <si>
    <t>245/245/140</t>
  </si>
  <si>
    <t>112.12.13</t>
  </si>
  <si>
    <t>2F08A2(A13-A)07Q2換原絲/DR</t>
  </si>
  <si>
    <t>FP-80766R</t>
  </si>
  <si>
    <t>113.12.2</t>
  </si>
  <si>
    <t>2F08C2(A13-A)07S2/換原絲/改重量</t>
  </si>
  <si>
    <t>FP-60105</t>
  </si>
  <si>
    <t>113.12.19</t>
  </si>
  <si>
    <t>2F08D3(A13-A)07X3/換原絲</t>
  </si>
  <si>
    <t>FP-80769R</t>
  </si>
  <si>
    <t>114.1.6</t>
  </si>
  <si>
    <t>2F08E1(A14-B)07Z1-換原絲</t>
  </si>
  <si>
    <t>FP-80103R</t>
  </si>
  <si>
    <t>114.1.27</t>
  </si>
  <si>
    <t>2F08F2(A10-B)06M2/DR</t>
  </si>
  <si>
    <t xml:space="preserve">白綠直條 </t>
  </si>
  <si>
    <t>2F0902(A16-B)01I2換原絲</t>
  </si>
  <si>
    <t>109.1.21</t>
  </si>
  <si>
    <t>2F0912(A07-A)0902色差(取消開錯)</t>
  </si>
  <si>
    <t>109.7.28</t>
  </si>
  <si>
    <t>2F1P02(A20-B)1K02換原絲/修E</t>
  </si>
  <si>
    <t>191/191/OFF</t>
  </si>
  <si>
    <t>FP-61683R</t>
  </si>
  <si>
    <t>130/72CDR</t>
  </si>
  <si>
    <t>111.1.7</t>
  </si>
  <si>
    <t>2F1P11(M03)1C61</t>
  </si>
  <si>
    <t>75/36BK</t>
  </si>
  <si>
    <t>5.0</t>
  </si>
  <si>
    <t xml:space="preserve">FP-71232                                     </t>
  </si>
  <si>
    <t>130/36BK</t>
  </si>
  <si>
    <t>111.1.13</t>
  </si>
  <si>
    <t>黃紅點</t>
  </si>
  <si>
    <t>2F1P22(A13-A)1J12-換原絲/DR</t>
  </si>
  <si>
    <t>30.2</t>
  </si>
  <si>
    <t>249/249/OFF</t>
  </si>
  <si>
    <t xml:space="preserve">FP-81062R                       </t>
  </si>
  <si>
    <t>120/72SDR</t>
  </si>
  <si>
    <t>111.1.14</t>
  </si>
  <si>
    <t>2F1P32(A20-B)13U2-換原絲/DR/錠片</t>
  </si>
  <si>
    <t>FP-61672</t>
  </si>
  <si>
    <t>125/36HC</t>
  </si>
  <si>
    <t>111.1.21</t>
  </si>
  <si>
    <t>2F1P41(A09-B)1N81不同台</t>
  </si>
  <si>
    <t>75/144SDR</t>
  </si>
  <si>
    <t>3.7</t>
  </si>
  <si>
    <t>243/243/OFF</t>
  </si>
  <si>
    <t xml:space="preserve">FP-81036R                    </t>
  </si>
  <si>
    <t>120/144SDR</t>
  </si>
  <si>
    <t>111.1.26</t>
  </si>
  <si>
    <t>2F1P51(A23)1N01換原絲/降速/DR</t>
  </si>
  <si>
    <t xml:space="preserve">FP-61653R                    </t>
  </si>
  <si>
    <t>2F1P62(A22-B)1N72色差</t>
  </si>
  <si>
    <t>75/36SDRO</t>
  </si>
  <si>
    <t>270/270/OFF</t>
  </si>
  <si>
    <t>FP-81813R</t>
  </si>
  <si>
    <t>125/36SDRO</t>
  </si>
  <si>
    <t>紅白點</t>
  </si>
  <si>
    <t>2F1P72(A12)1K12-色差</t>
  </si>
  <si>
    <t>2F1P82(M08)1J02-降速/機型</t>
  </si>
  <si>
    <t>153/OFF</t>
  </si>
  <si>
    <t xml:space="preserve">FP-61973R                       </t>
  </si>
  <si>
    <t>125/72SDFFR</t>
  </si>
  <si>
    <t>111.2.7</t>
  </si>
  <si>
    <t>黃綠星</t>
  </si>
  <si>
    <t>2F1P92(A16)1H32換原絲</t>
  </si>
  <si>
    <t>75/72SXRO</t>
  </si>
  <si>
    <t>280/280/OFF</t>
  </si>
  <si>
    <t>FP-81810R</t>
  </si>
  <si>
    <t>125/72SXRO</t>
  </si>
  <si>
    <t>2F1PA2(A12-B)1JF2</t>
  </si>
  <si>
    <t>FP-81608</t>
  </si>
  <si>
    <t>120/72SR6</t>
  </si>
  <si>
    <t>113.4.9</t>
  </si>
  <si>
    <t>磷含量-6720</t>
  </si>
  <si>
    <t>2F1PB2(A08)1JU2換原絲</t>
  </si>
  <si>
    <t>75/72FDR</t>
  </si>
  <si>
    <t>FP-81169R</t>
  </si>
  <si>
    <t>125/72FDR</t>
  </si>
  <si>
    <t>113.4.12</t>
  </si>
  <si>
    <t>2F1PC2(A17)1JV2</t>
  </si>
  <si>
    <t xml:space="preserve">FP-81209R                       </t>
  </si>
  <si>
    <t>120/72SDR2</t>
  </si>
  <si>
    <t>2F1PD2(A07-B)1IK2換原絲</t>
  </si>
  <si>
    <t>75/72SCCE</t>
  </si>
  <si>
    <t>FP-61109</t>
  </si>
  <si>
    <t>125/72SCCE</t>
  </si>
  <si>
    <t>113.4.13</t>
  </si>
  <si>
    <t>白紫十字</t>
  </si>
  <si>
    <t>2F1PE2(A19)1JU2換原絲</t>
  </si>
  <si>
    <t>113.4.15</t>
  </si>
  <si>
    <t>2F1PF2(A11)1IX2/換原絲/DR</t>
  </si>
  <si>
    <t>260/260/165</t>
  </si>
  <si>
    <t xml:space="preserve">FP-81209R                      </t>
  </si>
  <si>
    <t>113.4.25</t>
  </si>
  <si>
    <t>2F1PG1(A13)1II1換原絲-3.3KG</t>
  </si>
  <si>
    <t>3.3</t>
  </si>
  <si>
    <t>247/247/OFF</t>
  </si>
  <si>
    <t>白黑條</t>
  </si>
  <si>
    <t>2F1PI2(A08)1PB2換原絲</t>
  </si>
  <si>
    <t>FP-81189R</t>
  </si>
  <si>
    <t>113.4.29</t>
  </si>
  <si>
    <t>2F1PJ2(A09-A)1JL2新紗</t>
  </si>
  <si>
    <t>75/72CE</t>
  </si>
  <si>
    <t>FP-81537</t>
  </si>
  <si>
    <t>125/72CE</t>
  </si>
  <si>
    <t>113.4.27</t>
  </si>
  <si>
    <t>2F1PK2(S1)1HW2換原絲</t>
  </si>
  <si>
    <t>650↓550-5/8</t>
  </si>
  <si>
    <t>FP-81769</t>
  </si>
  <si>
    <t>113.4.30</t>
  </si>
  <si>
    <t>2F1PL2(A12)1PA2換原絲</t>
  </si>
  <si>
    <t>FP-81612</t>
  </si>
  <si>
    <t>113.5.2</t>
  </si>
  <si>
    <t>磷含量-6665</t>
  </si>
  <si>
    <t>2F1PM2(A19-B)1PE2換原絲/DR</t>
  </si>
  <si>
    <t>2F1PN2(A11-B)1JT2換原絲/DR</t>
  </si>
  <si>
    <t>113.5.3</t>
  </si>
  <si>
    <t>2F1PP2(S1)1GF2-DR/機型/重量…</t>
  </si>
  <si>
    <t>75/72FR6</t>
  </si>
  <si>
    <t>FP-81607</t>
  </si>
  <si>
    <t>120/72FR6</t>
  </si>
  <si>
    <t>磷含量-6330</t>
  </si>
  <si>
    <t>2F1PQ2(M02)1JI2/DR/降速</t>
  </si>
  <si>
    <t>650↓600-5/24</t>
  </si>
  <si>
    <t>FP-81819R</t>
  </si>
  <si>
    <t>113.5.9</t>
  </si>
  <si>
    <t>2F1PR2(A14)1GF2</t>
  </si>
  <si>
    <t>4.5</t>
  </si>
  <si>
    <t>113.5.13</t>
  </si>
  <si>
    <t>磷含量-6310</t>
  </si>
  <si>
    <t>2F1PS2(A09-B)1JD2-換原絲(物性同-1PK2)</t>
  </si>
  <si>
    <t>2F1PT2(A13)1JT2換原絲/DR</t>
  </si>
  <si>
    <t xml:space="preserve">FP-81211R                       </t>
  </si>
  <si>
    <t>2F1PU2(A08-A)1PI2換原絲/DR</t>
  </si>
  <si>
    <t>650↓600-5/28</t>
  </si>
  <si>
    <t>267/267/OFF</t>
  </si>
  <si>
    <t>FP-81230R</t>
  </si>
  <si>
    <t>113.5.20</t>
  </si>
  <si>
    <t>2F1PV2(A12-A)1PL2換原絲/DR</t>
  </si>
  <si>
    <t>FP-81613</t>
  </si>
  <si>
    <t>磷含量-6505</t>
  </si>
  <si>
    <t>2F1PW2(A19-B)1PM2換原絲/DR</t>
  </si>
  <si>
    <t>2F1PX2(M03)1JS2換原絲</t>
  </si>
  <si>
    <t>75/36FBKR</t>
  </si>
  <si>
    <t>FP-81541R</t>
  </si>
  <si>
    <t>130/36FBKR</t>
  </si>
  <si>
    <t>AN</t>
  </si>
  <si>
    <t>113.5.22</t>
  </si>
  <si>
    <t>2F1PY2(A14)S撚-11M2-換原絲/DR</t>
  </si>
  <si>
    <t>265/265/165</t>
  </si>
  <si>
    <t>2F1PZ2(A12-A)1JM2-新紗</t>
  </si>
  <si>
    <t>75/72SRR5</t>
  </si>
  <si>
    <t>FP-81611R</t>
  </si>
  <si>
    <t>120/72SRR5</t>
  </si>
  <si>
    <t>113.5.27</t>
  </si>
  <si>
    <t>磷含量-5530</t>
  </si>
  <si>
    <t>2F1Q01(A07-A)1J71色差</t>
  </si>
  <si>
    <t>30.8</t>
  </si>
  <si>
    <t>2F1Q12(A20)1M92降速</t>
  </si>
  <si>
    <t>75/36CDRO</t>
  </si>
  <si>
    <t>FP-81729R</t>
  </si>
  <si>
    <t>125/36CDRO</t>
  </si>
  <si>
    <t>2F1Q22(A17)1N32-換原絲</t>
  </si>
  <si>
    <t>75/72FR5</t>
  </si>
  <si>
    <t>FP-61615</t>
  </si>
  <si>
    <t>120/72FR5</t>
  </si>
  <si>
    <t>2F1Q31(M03-A)1LE1(外購紗)</t>
  </si>
  <si>
    <t>170/155</t>
  </si>
  <si>
    <t xml:space="preserve">FP-61542R                                   </t>
  </si>
  <si>
    <t>111.2.10</t>
  </si>
  <si>
    <t>2F1Q42(M08)1AG2(物性LIKE1AI2)</t>
  </si>
  <si>
    <t>75/48SDRO</t>
  </si>
  <si>
    <t xml:space="preserve">FP-81808R                      </t>
  </si>
  <si>
    <t>125/48SDRO</t>
  </si>
  <si>
    <t>2F1Q52(A07-B)1N12色差/DR</t>
  </si>
  <si>
    <t>FP-61664</t>
  </si>
  <si>
    <t>111.2.17</t>
  </si>
  <si>
    <t>2F1Q62(A21-B)1M82-換原絲/DR</t>
  </si>
  <si>
    <t>233/233/OFF</t>
  </si>
  <si>
    <t>FP-61689R</t>
  </si>
  <si>
    <t>110.2.16</t>
  </si>
  <si>
    <t>2F1Q72(A23-A)1F02-換原絲/DR</t>
  </si>
  <si>
    <t>111.2.24</t>
  </si>
  <si>
    <t>2F1Q81(A20)1E71換原絲/降速/加錠片/DR</t>
  </si>
  <si>
    <t>120/36CDRO</t>
  </si>
  <si>
    <t>111.3.2</t>
  </si>
  <si>
    <t>2F1Q91(A13-B)19G1換原絲/加錠片/物性LIKE1A31</t>
  </si>
  <si>
    <t>111.3.7</t>
  </si>
  <si>
    <t>2F1QB2(A07-B)1PJ2</t>
  </si>
  <si>
    <t>113.5.31</t>
  </si>
  <si>
    <t>2F1QC2(A17)1PF2</t>
  </si>
  <si>
    <t>2F1QD2(M05)1JJ2</t>
  </si>
  <si>
    <t xml:space="preserve">FP-81228                  </t>
  </si>
  <si>
    <t>120/72BSD3</t>
  </si>
  <si>
    <t>113.6.3</t>
  </si>
  <si>
    <t>2F1QE2(M02)1PQ2/升速換原絲</t>
  </si>
  <si>
    <t>175/OFF</t>
  </si>
  <si>
    <t>FP-61834R</t>
  </si>
  <si>
    <t>125/36SDR</t>
  </si>
  <si>
    <t>113.6.4</t>
  </si>
  <si>
    <t>2F1QF2(A22-B)1PF2</t>
  </si>
  <si>
    <t>2F1QG2(T04-R)1JW2</t>
  </si>
  <si>
    <t xml:space="preserve">FP-81207R                       </t>
  </si>
  <si>
    <t>125/48SDR</t>
  </si>
  <si>
    <t>113.6.6</t>
  </si>
  <si>
    <t>2F1QH2(A14-B)1PF2</t>
  </si>
  <si>
    <t>2F1QI1(A15-A)1HF1-換原絲/DR</t>
  </si>
  <si>
    <t>75/36GYR29</t>
  </si>
  <si>
    <t>265/265/130</t>
  </si>
  <si>
    <t>FP-81542R</t>
  </si>
  <si>
    <t>125/36GYR29</t>
  </si>
  <si>
    <t>2F1QJ2(M05)1GD2-換原絲/DR</t>
  </si>
  <si>
    <t>166/OFF</t>
  </si>
  <si>
    <t>113.6.11</t>
  </si>
  <si>
    <t>2F1QK2(A19-B)1PW2換原絲</t>
  </si>
  <si>
    <t>FP-81240R</t>
  </si>
  <si>
    <t>2F1QL2(A15-A)1QF2換原絲</t>
  </si>
  <si>
    <t xml:space="preserve">FP-81237R                      </t>
  </si>
  <si>
    <t>2F1QM2(A12-B)1QK2/DR</t>
  </si>
  <si>
    <t>113.6.19</t>
  </si>
  <si>
    <t>2F1QN2(A17)1QM2/DR</t>
  </si>
  <si>
    <t>2F1QP2(A22)1PS2-換原絲</t>
  </si>
  <si>
    <t>650↓600-7/10</t>
  </si>
  <si>
    <t>FP-81766R→81778R-7/10</t>
  </si>
  <si>
    <t>125/36CDR</t>
  </si>
  <si>
    <t>2F1QQ2(A15-B)1QM2/DR</t>
  </si>
  <si>
    <t>2F1QR2(M02)1QE2/換原絲</t>
  </si>
  <si>
    <t>FP-81206R</t>
  </si>
  <si>
    <t>125/36SDR2</t>
  </si>
  <si>
    <t>113.7.3</t>
  </si>
  <si>
    <t>2F1QS2(A08-A)1JG2-換原絲/DR</t>
  </si>
  <si>
    <t xml:space="preserve">FP-81233R                    </t>
  </si>
  <si>
    <t>113.7.8</t>
  </si>
  <si>
    <t>2F1QT2(A16-B)1X02換原絲</t>
  </si>
  <si>
    <t>75/72ODR</t>
  </si>
  <si>
    <t xml:space="preserve">FP-81071R                       </t>
  </si>
  <si>
    <t>120/72ODR</t>
  </si>
  <si>
    <t>113.7.17</t>
  </si>
  <si>
    <t>2F1QU2(A13-B)1PV2換原絲/DR</t>
  </si>
  <si>
    <t>FP-81614</t>
  </si>
  <si>
    <t>113.7.22</t>
  </si>
  <si>
    <t>磷含量-6040</t>
  </si>
  <si>
    <t>2F1QV2(A08-B)1PV2換原絲/DR</t>
  </si>
  <si>
    <t>113.7.23</t>
  </si>
  <si>
    <t>磷含量-6120</t>
  </si>
  <si>
    <t>2F1QW2(S1)DYN2絲開發</t>
  </si>
  <si>
    <t>FP-61420</t>
  </si>
  <si>
    <t>125/36SAXT</t>
  </si>
  <si>
    <t>2F1QX2(M02)1QR2/色差</t>
  </si>
  <si>
    <t>113.7.26</t>
  </si>
  <si>
    <t>桔</t>
  </si>
  <si>
    <t>2F1QY2(A11)S撚-1PY2-DR</t>
  </si>
  <si>
    <t>113.8.1</t>
  </si>
  <si>
    <t>2F1QZ2(A19-B)1JH2換原絲/DR</t>
  </si>
  <si>
    <t>113.8.2</t>
  </si>
  <si>
    <t>2F1RJ2(M08)1QL2(外購-做假資料)宜新</t>
  </si>
  <si>
    <t>29.6</t>
  </si>
  <si>
    <t>166/155</t>
  </si>
  <si>
    <t xml:space="preserve">FP-81257R                      </t>
  </si>
  <si>
    <t>113.10.30</t>
  </si>
  <si>
    <t>2F1S01(A23-B)1S01換原絲/DR/減錠片</t>
  </si>
  <si>
    <t>29.9</t>
  </si>
  <si>
    <t xml:space="preserve">FP-81078R                    </t>
  </si>
  <si>
    <t>111.3.4</t>
  </si>
  <si>
    <t>2F1S12(A21-A)1M42色差</t>
  </si>
  <si>
    <t xml:space="preserve">FP-81041R                       </t>
  </si>
  <si>
    <t>111.3.10</t>
  </si>
  <si>
    <t>2F1S22(A12-B)-1F42換原絲/溫度/重量改</t>
  </si>
  <si>
    <t>1.0(S)/3.0</t>
  </si>
  <si>
    <t>265/265/OFF</t>
  </si>
  <si>
    <t xml:space="preserve">FP-61964                   </t>
  </si>
  <si>
    <t>111.3.14</t>
  </si>
  <si>
    <t>2F1S32(S1)19L2/DR(物性LIKE-1H12)</t>
  </si>
  <si>
    <t>75/36CDR</t>
  </si>
  <si>
    <t>FP-61646R</t>
  </si>
  <si>
    <t>111.3.16</t>
  </si>
  <si>
    <t xml:space="preserve">紅黑條紋  </t>
  </si>
  <si>
    <t>2F1S41(A09)1S01換原絲/DR/溫度/重量改</t>
  </si>
  <si>
    <t>3.9</t>
  </si>
  <si>
    <t xml:space="preserve">FP-81082R                    </t>
  </si>
  <si>
    <t>111.3.25</t>
  </si>
  <si>
    <t xml:space="preserve">白黃條紋  </t>
  </si>
  <si>
    <t>2F1S52(S1)1S32色差</t>
  </si>
  <si>
    <t>111.3.31</t>
  </si>
  <si>
    <t>2F1S62(A07-B)1J42-換原絲</t>
  </si>
  <si>
    <t>FP-61675</t>
  </si>
  <si>
    <t>111.4.6</t>
  </si>
  <si>
    <t>2F1S72(A07-A)1F22-色差</t>
  </si>
  <si>
    <t xml:space="preserve">FP-81808R                       </t>
  </si>
  <si>
    <t>111.4.7</t>
  </si>
  <si>
    <t>2F1S82(M07)1P82/DR/換原絲/重量改</t>
  </si>
  <si>
    <t xml:space="preserve">FP-81083R                       </t>
  </si>
  <si>
    <t>120/72SDFR</t>
  </si>
  <si>
    <t>111.4.11</t>
  </si>
  <si>
    <t>2F1S91(A23-B)1S41換原絲</t>
  </si>
  <si>
    <t xml:space="preserve">FP-81089R                    </t>
  </si>
  <si>
    <t xml:space="preserve">白黑條紋  </t>
  </si>
  <si>
    <t>2F1SA1(M05)1PG1換原絲-3.3KG/降速/機型…</t>
  </si>
  <si>
    <t>550↓500-9/10</t>
  </si>
  <si>
    <t>162/OFF</t>
  </si>
  <si>
    <t>113.8.7</t>
  </si>
  <si>
    <t>2F1SB2(A19A)DWU2</t>
  </si>
  <si>
    <t>75/72TGE</t>
  </si>
  <si>
    <t>FP-61404</t>
  </si>
  <si>
    <t>125/72TGE</t>
  </si>
  <si>
    <t>2F1SC2(A07)1PT2換原絲/DR</t>
  </si>
  <si>
    <t xml:space="preserve">FP-71823R                     </t>
  </si>
  <si>
    <t>2F1SE2(A12)1QH2換原絲</t>
  </si>
  <si>
    <t xml:space="preserve">FP-81211R                      </t>
  </si>
  <si>
    <t>113.8.12</t>
  </si>
  <si>
    <t>2F1SF2(A21)1QH2換原絲</t>
  </si>
  <si>
    <t>113.8.13</t>
  </si>
  <si>
    <t>2F1SG2(A19-B)1QK2換原絲</t>
  </si>
  <si>
    <t>FP-81243R</t>
  </si>
  <si>
    <t>113.8.14</t>
  </si>
  <si>
    <t>紅黑條</t>
  </si>
  <si>
    <t>2F1SH2(A13)1QK2換原絲</t>
  </si>
  <si>
    <t>2F1SI2(A17-A)1QN2/換原絲</t>
  </si>
  <si>
    <t>2F1SJ1(A09-B)1JP1/DR/機型</t>
  </si>
  <si>
    <t>295/295/160</t>
  </si>
  <si>
    <t>113.8.20</t>
  </si>
  <si>
    <t>2F1SK2(A07-A)1QU2換原絲/DR</t>
  </si>
  <si>
    <t>FP-81615</t>
  </si>
  <si>
    <t>113.9.2</t>
  </si>
  <si>
    <t>磷含量-6500</t>
  </si>
  <si>
    <t>2F1SL1(A09)1JX1升速DR/機型</t>
  </si>
  <si>
    <t>2F1SM2(S1)1HT2-DR/機型</t>
  </si>
  <si>
    <t>250/250/150</t>
  </si>
  <si>
    <t xml:space="preserve">FP-81173R                       </t>
  </si>
  <si>
    <t>113.9.3</t>
  </si>
  <si>
    <t>2F1SN2(M02)1QX2/換原絲</t>
  </si>
  <si>
    <t>FP-81246R</t>
  </si>
  <si>
    <t>113.9.4</t>
  </si>
  <si>
    <t>2F1SP2(A13)1SH2換原絲</t>
  </si>
  <si>
    <t>FP-81247R</t>
  </si>
  <si>
    <t>113.9.6</t>
  </si>
  <si>
    <t>2F1SQ2(A19)1SG2換原絲</t>
  </si>
  <si>
    <t>2F1SR2(A17-B)1SI2/換原絲/DR</t>
  </si>
  <si>
    <t>113.9.11</t>
  </si>
  <si>
    <t>2F1SS1(A09-B)1SL1換原絲</t>
  </si>
  <si>
    <t>113.9.12</t>
  </si>
  <si>
    <t>2F1ST2(A11)1QZ2換原絲/DR/改重量</t>
  </si>
  <si>
    <t>113.9.13</t>
  </si>
  <si>
    <t>2F1SU1(S1)1JN1換機台/DR/改重量</t>
  </si>
  <si>
    <t>1.0</t>
  </si>
  <si>
    <t>10--0</t>
  </si>
  <si>
    <t>113.9.19</t>
  </si>
  <si>
    <t>2F1SV2(A09)1PZ2-換原絲/DR</t>
  </si>
  <si>
    <t>FP-81617R</t>
  </si>
  <si>
    <t>113.9.23</t>
  </si>
  <si>
    <t>磷含量-5030</t>
  </si>
  <si>
    <t>2F1SW2(A11-B)1ST2換原絲</t>
  </si>
  <si>
    <t xml:space="preserve">FP-81248R                       </t>
  </si>
  <si>
    <t>113.9.26</t>
  </si>
  <si>
    <t>2F1SY2(A13)1SP2換原絲/DR</t>
  </si>
  <si>
    <t>FP-81254R</t>
  </si>
  <si>
    <t>113.10.1</t>
  </si>
  <si>
    <t>2F1SZ2(A17)1SR2/換原絲</t>
  </si>
  <si>
    <t>113.10.4</t>
  </si>
  <si>
    <t>2F1T01(A18-A)1S41換原絲</t>
  </si>
  <si>
    <t>111.4.21</t>
  </si>
  <si>
    <t>2F1T12(A19)1BI2-換原絲</t>
  </si>
  <si>
    <t>75/72SDRO</t>
  </si>
  <si>
    <t>FP-81812R</t>
  </si>
  <si>
    <t>120/72SDRO</t>
  </si>
  <si>
    <t>111.4.14</t>
  </si>
  <si>
    <t>2F1T22(A22-B)1P02換原絲/DR</t>
  </si>
  <si>
    <t>FP-61696R</t>
  </si>
  <si>
    <t>2F1T32(A13-B)1M32換原絲/降速</t>
  </si>
  <si>
    <t>227/227/OFF</t>
  </si>
  <si>
    <t>FP-61669R</t>
  </si>
  <si>
    <t>111.4.19</t>
  </si>
  <si>
    <t>2F1T42(A07-A)1Q52換原絲</t>
  </si>
  <si>
    <t>FP-61002</t>
  </si>
  <si>
    <t>111.4.25</t>
  </si>
  <si>
    <t>2F1T52(A19)1T12-換原絲/改規格</t>
  </si>
  <si>
    <t>75/72SDRC</t>
  </si>
  <si>
    <t>111.4.23</t>
  </si>
  <si>
    <t>2F1T61(M03)1Q31/DR</t>
  </si>
  <si>
    <t>111.4.27</t>
  </si>
  <si>
    <t>2F1T72(A13-A)1M32換原絲/DR</t>
  </si>
  <si>
    <t>111.4.28</t>
  </si>
  <si>
    <t>2F1T82(A09-B)1Q22-換原絲/DR</t>
  </si>
  <si>
    <t>FP-61489</t>
  </si>
  <si>
    <t>111.4.29</t>
  </si>
  <si>
    <t>2F1T92(M03)</t>
  </si>
  <si>
    <t>2F1TA2(A19-B)1SQ2換原絲/DR</t>
  </si>
  <si>
    <t>113.10.9</t>
  </si>
  <si>
    <t>2F1TB2(A10-A)</t>
  </si>
  <si>
    <t>75/72BK</t>
  </si>
  <si>
    <t>270/270/150</t>
  </si>
  <si>
    <t>FP-81543</t>
  </si>
  <si>
    <t>125/72BK</t>
  </si>
  <si>
    <t>113.10.7</t>
  </si>
  <si>
    <t>2F1TC2(M04)1HT2/DR/溫度</t>
  </si>
  <si>
    <t>165/160</t>
  </si>
  <si>
    <t>2F1TF2(S1)1JJ2機型/DR/升速</t>
  </si>
  <si>
    <t>113.10.14</t>
  </si>
  <si>
    <t xml:space="preserve">藍黑直條 </t>
  </si>
  <si>
    <t>2F1TG2(S1)</t>
  </si>
  <si>
    <t>113.10.23</t>
  </si>
  <si>
    <t>2F1TH2(A13)1SY2換原絲/DR</t>
  </si>
  <si>
    <t>FP-81256R</t>
  </si>
  <si>
    <t>2F1TI2(A07-B)1TC2換原絲/機型/DR/改重量/升速</t>
  </si>
  <si>
    <t>250/250/155</t>
  </si>
  <si>
    <t xml:space="preserve">FP-81262R                       </t>
  </si>
  <si>
    <t>113.11.8</t>
  </si>
  <si>
    <t>2F1TJ2(A21-B)1JI2/DR換原絲</t>
  </si>
  <si>
    <t>2F1TK2(A17)1SZ2/換原絲</t>
  </si>
  <si>
    <t>113.11.4</t>
  </si>
  <si>
    <t>2F1TL2(A19-B)1TA2換原絲</t>
  </si>
  <si>
    <t>113.11.5</t>
  </si>
  <si>
    <t>2F1TM2(A13)1TH2換原絲/DR</t>
  </si>
  <si>
    <t>FP-81261R</t>
  </si>
  <si>
    <t>113.11.11</t>
  </si>
  <si>
    <t>2F1TN2(A17)1SK2換原絲</t>
  </si>
  <si>
    <t>FP-81619</t>
  </si>
  <si>
    <t>113.11.22</t>
  </si>
  <si>
    <t>磷含量-6110</t>
  </si>
  <si>
    <t>2F1TP2(A21-B)S撚-1QY2/換原絲</t>
  </si>
  <si>
    <t>113.11.28</t>
  </si>
  <si>
    <t>2F1TQ2(A09-A)1SK2/DR</t>
  </si>
  <si>
    <t>磷含量-</t>
  </si>
  <si>
    <t>2F1TR2(S1)1QW2/DR換原絲</t>
  </si>
  <si>
    <t>FP-61444</t>
  </si>
  <si>
    <t>2F1TS2(A19-B)1TL2換原絲/DR</t>
  </si>
  <si>
    <t>2F1TT2(M04)1JQ2換原絲</t>
  </si>
  <si>
    <t>33</t>
  </si>
  <si>
    <t>113.12.9</t>
  </si>
  <si>
    <t>2F1TV2(A07-A)1QB2換原絲/DR</t>
  </si>
  <si>
    <t>FP-61329</t>
  </si>
  <si>
    <t>113.12.13</t>
  </si>
  <si>
    <t>2F1TW2(A07-B)1SW2換原絲</t>
  </si>
  <si>
    <t xml:space="preserve">FP-81275R                       </t>
  </si>
  <si>
    <t>125/48SDR2</t>
  </si>
  <si>
    <t>113.12.20</t>
  </si>
  <si>
    <t>2F1TX2(A17-B)1PR2換原絲/DR</t>
  </si>
  <si>
    <t>FP-81616</t>
  </si>
  <si>
    <t>2F1TY2(M02)1SN2/換原絲</t>
  </si>
  <si>
    <t>FP-81273R</t>
  </si>
  <si>
    <t>113.12.23</t>
  </si>
  <si>
    <t>2F1TZ2(A09-A)1TQ2/換原絲DR</t>
  </si>
  <si>
    <t>FP-81618</t>
  </si>
  <si>
    <t>113.12.24</t>
  </si>
  <si>
    <t>磷含量-6150</t>
  </si>
  <si>
    <t>品技未測</t>
  </si>
  <si>
    <t>2F1U02(A09-A)-1S22換原絲</t>
  </si>
  <si>
    <t xml:space="preserve">FP-61008                   </t>
  </si>
  <si>
    <t>111.5.6</t>
  </si>
  <si>
    <t>2F1U12(M07)</t>
  </si>
  <si>
    <t>160/158</t>
  </si>
  <si>
    <t>2F1U22(T01-L)1H32/機型/DR</t>
  </si>
  <si>
    <t>180/OFF</t>
  </si>
  <si>
    <t>FP-81818R</t>
  </si>
  <si>
    <t>2F1U32(A15-B)1S72-色差</t>
  </si>
  <si>
    <t>111.5.11</t>
  </si>
  <si>
    <t>2F1U42(A13-B)1Q62-換原絲</t>
  </si>
  <si>
    <t>FP-61001R</t>
  </si>
  <si>
    <t>111.5.12</t>
  </si>
  <si>
    <t>2F1U52(A13-A)</t>
  </si>
  <si>
    <t>2F1U61(A23-B)1S91換原絲</t>
  </si>
  <si>
    <t xml:space="preserve">FP-81091R                    </t>
  </si>
  <si>
    <t>111.5.16</t>
  </si>
  <si>
    <t>2F1U71(A18-B)1T01換原絲</t>
  </si>
  <si>
    <t>570↓500-6/15</t>
  </si>
  <si>
    <t>216/216/OFF</t>
  </si>
  <si>
    <t>2F1U82(A21)1D62-換原絲/DR</t>
  </si>
  <si>
    <t>75/72FDRT</t>
  </si>
  <si>
    <t>FP-61011R</t>
  </si>
  <si>
    <t>120/72FDR</t>
  </si>
  <si>
    <t>19-修22.5-7/29</t>
  </si>
  <si>
    <t>4-修-4.5</t>
  </si>
  <si>
    <t>111.5.30</t>
  </si>
  <si>
    <t>2F1U92(M07)1U12換原絲/DR</t>
  </si>
  <si>
    <t>160/160</t>
  </si>
  <si>
    <t xml:space="preserve">FP-81093R                       </t>
  </si>
  <si>
    <t>2F1V01(A23)1U61改重量</t>
  </si>
  <si>
    <t>570↓500-6/9</t>
  </si>
  <si>
    <t>111.6.6</t>
  </si>
  <si>
    <t>2F1V12(M05)1S82/換原絲</t>
  </si>
  <si>
    <t xml:space="preserve">FP-81102R                       </t>
  </si>
  <si>
    <t>111.6.9</t>
  </si>
  <si>
    <t>白桔双色/白黃十字-1</t>
  </si>
  <si>
    <t>2F1V22(A07-A)1T42換原絲</t>
  </si>
  <si>
    <t>FP-61003</t>
  </si>
  <si>
    <t>2F1V31(M03)1P11色差</t>
  </si>
  <si>
    <t>2F1V42(M07)1U92換原絲</t>
  </si>
  <si>
    <t>111.6.14</t>
  </si>
  <si>
    <t>2F1V52(A07-B)1S62-色差</t>
  </si>
  <si>
    <t>500↓450-7/20</t>
  </si>
  <si>
    <t>111.6.17</t>
  </si>
  <si>
    <t>2F1V62(A13-B)19I2-換原絲</t>
  </si>
  <si>
    <t>FP-61695</t>
  </si>
  <si>
    <t>2F1V71(S2)18K1(AFK)-機型/重量/DR</t>
  </si>
  <si>
    <t>33.5</t>
  </si>
  <si>
    <t>290/290/130</t>
  </si>
  <si>
    <t>FP-61980R</t>
  </si>
  <si>
    <t>2F1V81(A18)1U71換原絲</t>
  </si>
  <si>
    <t xml:space="preserve">FP-81101R                    </t>
  </si>
  <si>
    <t>111.6.21</t>
  </si>
  <si>
    <t>2F1V91(A15-B)1Q01色差/DR</t>
  </si>
  <si>
    <t>111.6.23</t>
  </si>
  <si>
    <t>2F1VA2(M04)1TT2換原絲</t>
  </si>
  <si>
    <t>113.12.31</t>
  </si>
  <si>
    <t>2F1VB2(A14-B)1PQ2</t>
  </si>
  <si>
    <t>FP-81778R</t>
  </si>
  <si>
    <t>2F1VC2(A17-A)1TN2換原絲</t>
  </si>
  <si>
    <t>FP-81620</t>
  </si>
  <si>
    <t>2F1VD2(S1)1TR2/DR換原絲</t>
  </si>
  <si>
    <t>FP-61453</t>
  </si>
  <si>
    <t>75↓73-1/21</t>
  </si>
  <si>
    <t>23↑28-1/21</t>
  </si>
  <si>
    <t>114.1.9</t>
  </si>
  <si>
    <t>2F1VE2(A07-B)1TI2換原絲/DR..</t>
  </si>
  <si>
    <t>247/247/155</t>
  </si>
  <si>
    <t xml:space="preserve">FP-71047                       </t>
  </si>
  <si>
    <t>125/72SD</t>
  </si>
  <si>
    <t>114.1.10</t>
  </si>
  <si>
    <t>2F1VF2(A21-A)1TJ2/換原絲..</t>
  </si>
  <si>
    <t>275/275/OFF</t>
  </si>
  <si>
    <t>FP-81277R</t>
  </si>
  <si>
    <t>2F1VG2(A19-A)1VF2/換原絲..</t>
  </si>
  <si>
    <t>114.1.16</t>
  </si>
  <si>
    <t>2F1VH2(A07-A)1ER2換原絲</t>
  </si>
  <si>
    <t xml:space="preserve">FP-81228                   </t>
  </si>
  <si>
    <t>114.2.14</t>
  </si>
  <si>
    <t>2F1VJ2(A17-A)1VC2換原絲/DR</t>
  </si>
  <si>
    <t>FP-81621</t>
  </si>
  <si>
    <t>114.2.19</t>
  </si>
  <si>
    <t>磷含量-6290</t>
  </si>
  <si>
    <t>2F1VK2(A14-A)1PN2換原絲</t>
  </si>
  <si>
    <t xml:space="preserve">FP-81232R                       </t>
  </si>
  <si>
    <t>114.2.21</t>
  </si>
  <si>
    <t>2F1VL2(A21)1VF2</t>
  </si>
  <si>
    <t>114.3.3</t>
  </si>
  <si>
    <t>2F1VM2(A08-A)1TW2換原絲</t>
  </si>
  <si>
    <t xml:space="preserve">FP-81278R                       </t>
  </si>
  <si>
    <t>114.2.27</t>
  </si>
  <si>
    <t>2F1VN2(A19-B)1VG2/換原絲..</t>
  </si>
  <si>
    <t>FP-81283R</t>
  </si>
  <si>
    <t>114.3.6</t>
  </si>
  <si>
    <t>2F1VP2(A14-A)S撚-1TP2/換原絲</t>
  </si>
  <si>
    <t xml:space="preserve">FP-81232R                      </t>
  </si>
  <si>
    <t>114.3.14</t>
  </si>
  <si>
    <t>2F1VQ2(A07-A)1VB2</t>
  </si>
  <si>
    <t>114.3.17</t>
  </si>
  <si>
    <t>2F1VR2(S1)1DT2換原絲/機型/DR</t>
  </si>
  <si>
    <t>FP-81788</t>
  </si>
  <si>
    <t>130/72HC</t>
  </si>
  <si>
    <t>114.3.21</t>
  </si>
  <si>
    <t>2F1W01(A23-B)1V01改重量</t>
  </si>
  <si>
    <t>111.6.24</t>
  </si>
  <si>
    <t>2F1W11(A23-A)1V01改重量/換原絲</t>
  </si>
  <si>
    <t>2F1W22(A21)1U82不加T</t>
  </si>
  <si>
    <t>2F1W32(A11)1T22換原絲/DR</t>
  </si>
  <si>
    <t>205/205/OFF</t>
  </si>
  <si>
    <t>FP-61004R</t>
  </si>
  <si>
    <t>111.6.27</t>
  </si>
  <si>
    <t>2F1W42(A21-B)1G42-換原絲</t>
  </si>
  <si>
    <t>75/72HNIR</t>
  </si>
  <si>
    <t xml:space="preserve">FP-61928                   </t>
  </si>
  <si>
    <t>120/72HNIR2</t>
  </si>
  <si>
    <t>21.5-7/13</t>
  </si>
  <si>
    <t>5.0-7/13</t>
  </si>
  <si>
    <t>111.7.4</t>
  </si>
  <si>
    <t>2F1W52(M08)1Q42</t>
  </si>
  <si>
    <t>29.1</t>
  </si>
  <si>
    <t>111.7.8</t>
  </si>
  <si>
    <t>2F1W62(A13)1G12-換原絲/DR</t>
  </si>
  <si>
    <t xml:space="preserve">FP-81088R                      </t>
  </si>
  <si>
    <t>111.7.11</t>
  </si>
  <si>
    <t>2F1W72(A24-B)1T32換原絲/DR</t>
  </si>
  <si>
    <t>FP-61020R</t>
  </si>
  <si>
    <t>2F1W82(A23-B)1Q72-換原絲/DR/降速/錠片少1片</t>
  </si>
  <si>
    <t>2F1W92(A15)1P72-色差</t>
  </si>
  <si>
    <t>111.7.15</t>
  </si>
  <si>
    <t>2F1X02(A13-B)1S12色差</t>
  </si>
  <si>
    <t>111.7.25</t>
  </si>
  <si>
    <t>2F1X12(A07-A)1V22色差</t>
  </si>
  <si>
    <t>111.7.19</t>
  </si>
  <si>
    <t>2F1X32(M05)1V12換原絲</t>
  </si>
  <si>
    <t>28.7</t>
  </si>
  <si>
    <t xml:space="preserve">FP-81109R                       </t>
  </si>
  <si>
    <t>紅底藍點/黃紅双色-1</t>
  </si>
  <si>
    <t>2F1X42(A24)1W72改不加O</t>
  </si>
  <si>
    <t>2F1X52(T01-R)1BJ2換原絲/DR</t>
  </si>
  <si>
    <t>173/OFF</t>
  </si>
  <si>
    <t>FP-81820R</t>
  </si>
  <si>
    <t>2F1X62(A09)1U82-換原絲</t>
  </si>
  <si>
    <t>FP-61023R</t>
  </si>
  <si>
    <t>111.8.1</t>
  </si>
  <si>
    <t>2F1X72(A24-B)1W32換原絲</t>
  </si>
  <si>
    <t>FP-61014R</t>
  </si>
  <si>
    <t>2F1X82(A24-A)1W72</t>
  </si>
  <si>
    <t>111.8.2</t>
  </si>
  <si>
    <t>2F1X92(A07-A)1X12色差</t>
  </si>
  <si>
    <t>111.8.8</t>
  </si>
  <si>
    <t>2F1Y02(A07-B)1V52-換原絲</t>
  </si>
  <si>
    <t>FP-61028</t>
  </si>
  <si>
    <t>111.8.18</t>
  </si>
  <si>
    <t>2F1Y12(A21-B)1W82-換原絲/DR/錠片加1片</t>
  </si>
  <si>
    <t xml:space="preserve">FP-81045R                    </t>
  </si>
  <si>
    <t>111.8.22</t>
  </si>
  <si>
    <t>2F1Y22(A24-B)1X72換原絲</t>
  </si>
  <si>
    <t>FP-61015R</t>
  </si>
  <si>
    <t>111.8.26</t>
  </si>
  <si>
    <t>2F1Y31(A23)1W11改重量/DR</t>
  </si>
  <si>
    <t>2F1Y41(A18)1V81改重量/DR</t>
  </si>
  <si>
    <t>2F1Y52(S2)DFM2絲開發</t>
  </si>
  <si>
    <t>FP-61993</t>
  </si>
  <si>
    <t>111.8.25</t>
  </si>
  <si>
    <t>2F1Y62(A09-B)1X62-換原絲</t>
  </si>
  <si>
    <t>FP-61031R</t>
  </si>
  <si>
    <t>22.5↑25.0-9/2</t>
  </si>
  <si>
    <t>111.8.27</t>
  </si>
  <si>
    <t>2F1Y72(A24-A)1X82換原絲</t>
  </si>
  <si>
    <t>FP-61024R</t>
  </si>
  <si>
    <t>111.8.31</t>
  </si>
  <si>
    <t>2F1Y92(T01-R)1X52</t>
  </si>
  <si>
    <t>174/OFF</t>
  </si>
  <si>
    <t>111.9.2</t>
  </si>
  <si>
    <t>2F1Z02(A16)1M52換原絲/DR</t>
  </si>
  <si>
    <t xml:space="preserve">FP-81112R                       </t>
  </si>
  <si>
    <t>28↓20-9/7</t>
  </si>
  <si>
    <t>2F1Z12(A21-B)1U42-換原絲/DR/溫度</t>
  </si>
  <si>
    <t>FP-61030R</t>
  </si>
  <si>
    <t>111.9.6</t>
  </si>
  <si>
    <t>2F1Z22(T04-R)1X52換原絲/DR(物性1LX2-外購紗)</t>
  </si>
  <si>
    <t>FP-81075R</t>
  </si>
  <si>
    <t>2F1Z31(A14)1Y41改重量</t>
  </si>
  <si>
    <t>2F1Z42(T04-R)1Z22</t>
  </si>
  <si>
    <t>2F1Z52(A09-B)1W22換原絲/DR/溫度</t>
  </si>
  <si>
    <t>FP-61038R</t>
  </si>
  <si>
    <t>19-23-9/28-迪卡儂不改用19</t>
  </si>
  <si>
    <t>111.9.16</t>
  </si>
  <si>
    <t>2F1Z61(S2)1A31換原絲/DR/機型</t>
  </si>
  <si>
    <t>FP-61029</t>
  </si>
  <si>
    <t>111.9.15</t>
  </si>
  <si>
    <t>2F1Z72(A07-A)1X92換原絲/DR</t>
  </si>
  <si>
    <t>FP-61039</t>
  </si>
  <si>
    <t>111.9.19</t>
  </si>
  <si>
    <t>2F1Z82(M08)1X32換原絲/DR</t>
  </si>
  <si>
    <t>161/OFF</t>
  </si>
  <si>
    <t xml:space="preserve">FP-81119R                       </t>
  </si>
  <si>
    <t>白黑曲線</t>
  </si>
  <si>
    <t>2F1Z92(M07)1V42換原絲</t>
  </si>
  <si>
    <t xml:space="preserve">FP-81117R                       </t>
  </si>
  <si>
    <t>2F1001(A09)-1WJ1色差</t>
  </si>
  <si>
    <t>310/310/162</t>
  </si>
  <si>
    <t>FP-81904R</t>
  </si>
  <si>
    <t>125/36SDRD</t>
  </si>
  <si>
    <t>108.1.17</t>
  </si>
  <si>
    <t>2F1022(A22-B)15X2-換原絲</t>
  </si>
  <si>
    <t>310/310/OFF</t>
  </si>
  <si>
    <t>FP-81996R</t>
  </si>
  <si>
    <t>60±15</t>
  </si>
  <si>
    <t>5.5(4.7)</t>
  </si>
  <si>
    <t>109.1.22</t>
  </si>
  <si>
    <t>黃白點</t>
  </si>
  <si>
    <t>2F1033(A22)16E3換原絲</t>
  </si>
  <si>
    <t>290/290/149</t>
  </si>
  <si>
    <t>4.0(3.5)</t>
  </si>
  <si>
    <t>90±10</t>
  </si>
  <si>
    <t>109.2.3</t>
  </si>
  <si>
    <t>2F1042(A22-A)5F1SU2換原絲</t>
  </si>
  <si>
    <t>300/300/170</t>
  </si>
  <si>
    <t xml:space="preserve">FP-81999R                       </t>
  </si>
  <si>
    <t>4.6(4.2)</t>
  </si>
  <si>
    <t>109.2.17</t>
  </si>
  <si>
    <t>2F1052(A18)1042換原絲</t>
  </si>
  <si>
    <t xml:space="preserve">FP-81916R                       </t>
  </si>
  <si>
    <t>109.5.20</t>
  </si>
  <si>
    <t>2F1062(M07)14I2換原絲(物性LIKE-15X2)</t>
  </si>
  <si>
    <t>5.5(4.0)</t>
  </si>
  <si>
    <t>2F1072(A24-B)1082-降速</t>
  </si>
  <si>
    <t>280/280/170</t>
  </si>
  <si>
    <t>4.4(4.2)</t>
  </si>
  <si>
    <t>109.7.20</t>
  </si>
  <si>
    <t>2F1082(A21)1052色差/降速</t>
  </si>
  <si>
    <t>290/290/170</t>
  </si>
  <si>
    <t>2F1093(A24-B)1033換原絲</t>
  </si>
  <si>
    <t>FP-81998R</t>
  </si>
  <si>
    <t>3.9(3.5)</t>
  </si>
  <si>
    <t>109.7.29</t>
  </si>
  <si>
    <t>2F10U2(A16-A)1222-換原絲</t>
  </si>
  <si>
    <t xml:space="preserve">FP-81921R                      </t>
  </si>
  <si>
    <t>109.7.14</t>
  </si>
  <si>
    <t>洋綠</t>
  </si>
  <si>
    <t>2F10V2(M08)1292-換原絲(不保染-加Q)</t>
  </si>
  <si>
    <t xml:space="preserve">FP-61823R                       </t>
  </si>
  <si>
    <t>120/72SDRD</t>
  </si>
  <si>
    <t>4.5(3.4)</t>
  </si>
  <si>
    <t>2F10W2(A09)10U2-換原絲</t>
  </si>
  <si>
    <t xml:space="preserve">FP-81945R                      </t>
  </si>
  <si>
    <t>4.7(4.2)</t>
  </si>
  <si>
    <t>109.7.31</t>
  </si>
  <si>
    <t>2F10X2(A16)10U2-換原絲</t>
  </si>
  <si>
    <t>4.8(4.2)</t>
  </si>
  <si>
    <t>109.8.7</t>
  </si>
  <si>
    <t>2F10Y2(A09)10W2-換原絲</t>
  </si>
  <si>
    <t xml:space="preserve">FP-81962R                      </t>
  </si>
  <si>
    <t>4.5(4.2)</t>
  </si>
  <si>
    <t>2.5(1.3)</t>
  </si>
  <si>
    <t>109.8.28</t>
  </si>
  <si>
    <t>2F10Z2(A18)10Y2-換原絲</t>
  </si>
  <si>
    <t>2.1(1.8)</t>
  </si>
  <si>
    <t>2F11A2(T03-R)10Z2-換原絲/機型/升速</t>
  </si>
  <si>
    <t>180/165</t>
  </si>
  <si>
    <t xml:space="preserve">FP-81980R                      </t>
  </si>
  <si>
    <t>2.5(1.7)</t>
  </si>
  <si>
    <t>2F11B2(A11-B)10Z2-換原絲</t>
  </si>
  <si>
    <t xml:space="preserve">FP-81902R                      </t>
  </si>
  <si>
    <t>109.11.9</t>
  </si>
  <si>
    <t>2F11C2(A18)10Z2-換原絲</t>
  </si>
  <si>
    <t xml:space="preserve">FP-81910R                      </t>
  </si>
  <si>
    <t>109.11.13</t>
  </si>
  <si>
    <t>2F11D2(A19)S撚-1252-換原絲</t>
  </si>
  <si>
    <t xml:space="preserve">FP-81013R                      </t>
  </si>
  <si>
    <t>2.5(0.9)</t>
  </si>
  <si>
    <t>109.11.17</t>
  </si>
  <si>
    <t>2F11E2(A09-A)10Y2-換原絲</t>
  </si>
  <si>
    <t>2.5(1.0)</t>
  </si>
  <si>
    <t>109.11.18</t>
  </si>
  <si>
    <t>2F11F2(M05)1292-換原絲</t>
  </si>
  <si>
    <t xml:space="preserve">FP-61575R                       </t>
  </si>
  <si>
    <t>125/72SDR</t>
  </si>
  <si>
    <t>4.5(3.6)</t>
  </si>
  <si>
    <t>109.11.24</t>
  </si>
  <si>
    <t>2F11G2(A18-B)11C2-換原絲</t>
  </si>
  <si>
    <t xml:space="preserve">FP-81923R                      </t>
  </si>
  <si>
    <t>2F11H2(A19-B)11G2-換原絲</t>
  </si>
  <si>
    <t>2.5(1.2</t>
  </si>
  <si>
    <t>109.11.27</t>
  </si>
  <si>
    <t>2F11I2(M05)11F2-換原絲</t>
  </si>
  <si>
    <t xml:space="preserve">FP-81015R                       </t>
  </si>
  <si>
    <t>2F11J2(A18-B)11G2-換原絲</t>
  </si>
  <si>
    <t xml:space="preserve">FP-81019R                      </t>
  </si>
  <si>
    <t>2F11K2(A09)11E2-換原絲</t>
  </si>
  <si>
    <t>109.12.25</t>
  </si>
  <si>
    <t>2F11L2(A19-B)1272-換原絲</t>
  </si>
  <si>
    <t>251/251/OFF</t>
  </si>
  <si>
    <t>109.12.31</t>
  </si>
  <si>
    <t>黃色/白黑方塊-1</t>
  </si>
  <si>
    <t>2F11M2(A18)S撚-11D2-換原絲</t>
  </si>
  <si>
    <t xml:space="preserve">FP-81014R                      </t>
  </si>
  <si>
    <t>110.1.15</t>
  </si>
  <si>
    <t>2F1202(A16-B)1WG2-換原絲/降速</t>
  </si>
  <si>
    <t xml:space="preserve">FP-81918R                       </t>
  </si>
  <si>
    <t>4.5(3.9)</t>
  </si>
  <si>
    <t>108.2.25</t>
  </si>
  <si>
    <t>2F1212(A16)1WG2-換原絲</t>
  </si>
  <si>
    <t xml:space="preserve">FP-81915R                       </t>
  </si>
  <si>
    <t>108.3.8</t>
  </si>
  <si>
    <t>2F1222(A12)16F2-換原絲</t>
  </si>
  <si>
    <t>257/257/165</t>
  </si>
  <si>
    <t xml:space="preserve">FP-61509R                      </t>
  </si>
  <si>
    <t>2F1232(A19)16L2換原絲</t>
  </si>
  <si>
    <t>2F1242(A15-A)14S2-換原絲</t>
  </si>
  <si>
    <t xml:space="preserve">FP-81985R                       </t>
  </si>
  <si>
    <t>109.1.15</t>
  </si>
  <si>
    <t>2F1252(A18)S撚-1222-換原絲/DR</t>
  </si>
  <si>
    <t xml:space="preserve">FP-61507R                      </t>
  </si>
  <si>
    <t>109.3.18</t>
  </si>
  <si>
    <t>2F1272(A09)1242-換原絲/DR</t>
  </si>
  <si>
    <t xml:space="preserve">FP-81980R                       </t>
  </si>
  <si>
    <t>109.6.19</t>
  </si>
  <si>
    <t>2F1282(M07)1242-換原絲(不保染-加Q)</t>
  </si>
  <si>
    <t xml:space="preserve">FP-61743R                       </t>
  </si>
  <si>
    <t>109.6.22</t>
  </si>
  <si>
    <t>2F1292(M07)1282-換原絲(不保染-加Q)</t>
  </si>
  <si>
    <t xml:space="preserve">FP-61732R                       </t>
  </si>
  <si>
    <t>109.7.3</t>
  </si>
  <si>
    <t>2F12I2(M01)1VV2-換原絲</t>
  </si>
  <si>
    <t>75/72KR5</t>
  </si>
  <si>
    <t>125/72KR5</t>
  </si>
  <si>
    <t>108.1.12</t>
  </si>
  <si>
    <t>2F12J2(S2)1WH2-紫色紗/換原絲</t>
  </si>
  <si>
    <t>75/72RDR23</t>
  </si>
  <si>
    <t>130/72RDR23</t>
  </si>
  <si>
    <t>4.4(3.0)</t>
  </si>
  <si>
    <t>*</t>
  </si>
  <si>
    <t>108.1.11</t>
  </si>
  <si>
    <t>2F12K2(A16-A)1ZW2-換原絲/DR</t>
  </si>
  <si>
    <t>FP-61416R</t>
  </si>
  <si>
    <t>130/72CDRD</t>
  </si>
  <si>
    <t>108.1.14</t>
  </si>
  <si>
    <t>2F12L2(A15-B)1WG2-加T</t>
  </si>
  <si>
    <t>75/72SDRT</t>
  </si>
  <si>
    <t xml:space="preserve">FP-81929R                       </t>
  </si>
  <si>
    <t>108.1.23</t>
  </si>
  <si>
    <t>2F12M2(A11-B)1ZT2-換原絲/DR</t>
  </si>
  <si>
    <t>FP-714225</t>
  </si>
  <si>
    <t>95±20</t>
  </si>
  <si>
    <t>108.1.18</t>
  </si>
  <si>
    <t>2F12N2(A19-B)1SG2-換原絲</t>
  </si>
  <si>
    <t>FP-713211</t>
  </si>
  <si>
    <t>3.9(3.0)</t>
  </si>
  <si>
    <t>2F12P2(A12-A)1ZX2-色差-含氧紗</t>
  </si>
  <si>
    <t>FP-61358</t>
  </si>
  <si>
    <t>2F12Q2(A16-B)1WA2-降速換原絲</t>
  </si>
  <si>
    <t>300/300/OFF</t>
  </si>
  <si>
    <t>FP-81907R</t>
  </si>
  <si>
    <t>108.2.15</t>
  </si>
  <si>
    <t>2F12R1(A07-B)1SQ1-換原絲</t>
  </si>
  <si>
    <t>75/24BP</t>
  </si>
  <si>
    <t>260/270/OFF</t>
  </si>
  <si>
    <t>FP-61427</t>
  </si>
  <si>
    <t>120/24BP</t>
  </si>
  <si>
    <t>108.2.13</t>
  </si>
  <si>
    <t>2F12S2(A13)1ZD2-換原絲</t>
  </si>
  <si>
    <t>75/48FX</t>
  </si>
  <si>
    <t>FP-71626</t>
  </si>
  <si>
    <t>125/48FX</t>
  </si>
  <si>
    <t>4.1(3.5)</t>
  </si>
  <si>
    <t>2F12T2(A11-B)12M2-換原絲</t>
  </si>
  <si>
    <t>FP-714226</t>
  </si>
  <si>
    <t>108.2.21</t>
  </si>
  <si>
    <t>2F12U2(A13-B)1ZU2-換原絲</t>
  </si>
  <si>
    <t>222/222/OFF</t>
  </si>
  <si>
    <t>FP-81700</t>
  </si>
  <si>
    <t>120/36HC</t>
  </si>
  <si>
    <t>5(4.0)</t>
  </si>
  <si>
    <t>108.2.27</t>
  </si>
  <si>
    <t>2F12V2(A19)1SH2</t>
  </si>
  <si>
    <t xml:space="preserve">FP-61423                </t>
  </si>
  <si>
    <t>130/72HNIR</t>
  </si>
  <si>
    <t>2F12W2(J07)1ZH2-換原絲</t>
  </si>
  <si>
    <t>75/72ESDRO</t>
  </si>
  <si>
    <t>120°</t>
  </si>
  <si>
    <t>14.8</t>
  </si>
  <si>
    <t>330/330/OFF</t>
  </si>
  <si>
    <t>FP-81934R</t>
  </si>
  <si>
    <t>108.3.18</t>
  </si>
  <si>
    <t>2F12X2(A07-B)12K2-DR/色差</t>
  </si>
  <si>
    <t>4.0(2.9)</t>
  </si>
  <si>
    <t>108.3.22</t>
  </si>
  <si>
    <t>2F12Y2(A22)1212-機台別</t>
  </si>
  <si>
    <t>108.4.3</t>
  </si>
  <si>
    <t>2F12Z1(A17-B)5F1MI1-色差/DR</t>
  </si>
  <si>
    <t>75/36BR6</t>
  </si>
  <si>
    <t>FP-61287</t>
  </si>
  <si>
    <t>120/36BR6</t>
  </si>
  <si>
    <t>5.5(5.0)</t>
  </si>
  <si>
    <t>108.4.1</t>
  </si>
  <si>
    <t>2F1302(A19-A)1302-色差</t>
  </si>
  <si>
    <t xml:space="preserve">FP-81903R                    </t>
  </si>
  <si>
    <t>125/144SDRD</t>
  </si>
  <si>
    <t>108.2.2</t>
  </si>
  <si>
    <t>2F1312(A14-A)16Q2-換原絲/升速</t>
  </si>
  <si>
    <t xml:space="preserve">FP-81990R                    </t>
  </si>
  <si>
    <t>125/144SDR</t>
  </si>
  <si>
    <t>2F1321(A15-A)16V1-換原絲</t>
  </si>
  <si>
    <t>3.5</t>
  </si>
  <si>
    <t>4.1(4.0)</t>
  </si>
  <si>
    <t>50±20</t>
  </si>
  <si>
    <t>109.7.2</t>
  </si>
  <si>
    <t>2F1331(A15-B)1321-色差</t>
  </si>
  <si>
    <t>109.7.24</t>
  </si>
  <si>
    <t>2F1341(A11)1331-換原絲</t>
  </si>
  <si>
    <t xml:space="preserve">FP-81023R                    </t>
  </si>
  <si>
    <t>2F13A2(M03)1QG2-換原絲</t>
  </si>
  <si>
    <t>178/145</t>
  </si>
  <si>
    <t xml:space="preserve">FP-61432                                    </t>
  </si>
  <si>
    <t>108.4.9</t>
  </si>
  <si>
    <t>2F13B2(A09-B)12Q2-更改重量</t>
  </si>
  <si>
    <t>108.4.10</t>
  </si>
  <si>
    <t>2F13C2(A13)1202-換原絲</t>
  </si>
  <si>
    <t xml:space="preserve">FP-81946R                       </t>
  </si>
  <si>
    <t>108.4.15</t>
  </si>
  <si>
    <t>紫</t>
  </si>
  <si>
    <t>2F13D2(A10)12N2-換原絲</t>
  </si>
  <si>
    <t>FP-61438</t>
  </si>
  <si>
    <t>4.0(3.0)</t>
  </si>
  <si>
    <t>4(3.6)</t>
  </si>
  <si>
    <t>108.4.17</t>
  </si>
  <si>
    <t>2F13E2(A09)5F1UW2-換原絲</t>
  </si>
  <si>
    <t>FP-61749R</t>
  </si>
  <si>
    <t>108.4.22</t>
  </si>
  <si>
    <t>2F13F2(T04-L)1NJ2-換原絲</t>
  </si>
  <si>
    <t xml:space="preserve">FP-61411R                       </t>
  </si>
  <si>
    <t>125/48SDROD</t>
  </si>
  <si>
    <t>2F13H2(A11-B)12M2-換原絲/重量</t>
  </si>
  <si>
    <t>2.5</t>
  </si>
  <si>
    <t>FP-61435R</t>
  </si>
  <si>
    <t>108.5.27</t>
  </si>
  <si>
    <t>2F13I2(A16)5F1WF2-換原絲</t>
  </si>
  <si>
    <t>257/257/166</t>
  </si>
  <si>
    <t xml:space="preserve">FP-81946R                      </t>
  </si>
  <si>
    <t>108.4.26</t>
  </si>
  <si>
    <t>2F13J2(A12-B)12X2-色差</t>
  </si>
  <si>
    <t>108.5.10</t>
  </si>
  <si>
    <t>2F13K2(A15)5F1WG2-換原絲</t>
  </si>
  <si>
    <t xml:space="preserve">FP-81949R                       </t>
  </si>
  <si>
    <t>2F13L1(A14-A)12R1-換原絲</t>
  </si>
  <si>
    <t>FP-61439</t>
  </si>
  <si>
    <t>108.5.2</t>
  </si>
  <si>
    <t>2F13M1(A10-A)5F1VM1換原絲</t>
  </si>
  <si>
    <t>228/228/OFF</t>
  </si>
  <si>
    <t>108.5.17</t>
  </si>
  <si>
    <t>2F13N2(A09-B)5F1VN2-換原絲/DR</t>
  </si>
  <si>
    <t>FP-61443</t>
  </si>
  <si>
    <t>2F13P2(A08-A)1RS2-換原絲/物性LIKE-13A2</t>
  </si>
  <si>
    <t>280/280/155</t>
  </si>
  <si>
    <t>FP-71326</t>
  </si>
  <si>
    <t>108.5.23</t>
  </si>
  <si>
    <t>2F13Q2(A16-B)13I2-換原絲</t>
  </si>
  <si>
    <t>2F13R2(A24)13K2-換原絲</t>
  </si>
  <si>
    <t xml:space="preserve">FP-61426R                       </t>
  </si>
  <si>
    <t>2F13S2(A09-A)13E2-換原絲</t>
  </si>
  <si>
    <t>FP-61450R</t>
  </si>
  <si>
    <t>65±15</t>
  </si>
  <si>
    <t>108.6.3</t>
  </si>
  <si>
    <t>2F13T3(A22)-5FAQ13色差</t>
  </si>
  <si>
    <t>FP-81916R</t>
  </si>
  <si>
    <t>4.0(3.1)</t>
  </si>
  <si>
    <t>108.6.5</t>
  </si>
  <si>
    <t>2F13U2(A10-B)12U2-換原絲</t>
  </si>
  <si>
    <t>FP-81701</t>
  </si>
  <si>
    <t>108.6.7</t>
  </si>
  <si>
    <t>藍綠双色</t>
  </si>
  <si>
    <t>2F13V1(A14-B)13L1-換原絲</t>
  </si>
  <si>
    <t>FP-61449</t>
  </si>
  <si>
    <t>108.6.6</t>
  </si>
  <si>
    <t>2F13W2(代工紗)L110改包</t>
  </si>
  <si>
    <t>FP61745R</t>
  </si>
  <si>
    <t>5.5(4.5)</t>
  </si>
  <si>
    <t>108.6.</t>
  </si>
  <si>
    <t>2F13X2(A15-B)S撚13K2</t>
  </si>
  <si>
    <t>268/268/OFF</t>
  </si>
  <si>
    <t>2F13Y2(A11-B)12T2-換原絲/DR</t>
  </si>
  <si>
    <t>FP-61451</t>
  </si>
  <si>
    <t>2F13Z2(A17-B)5F1VB2-換原絲/DR</t>
  </si>
  <si>
    <t>108.6.24</t>
  </si>
  <si>
    <t>2F14A2(M03)13A2-換原絲</t>
  </si>
  <si>
    <t xml:space="preserve">FP-71722                                   </t>
  </si>
  <si>
    <t>108.6.28</t>
  </si>
  <si>
    <t>2F14B2(A07-B)5F1012-換原絲/DR</t>
  </si>
  <si>
    <t>75/72HC</t>
  </si>
  <si>
    <t>FP-81709</t>
  </si>
  <si>
    <t>108.7.1</t>
  </si>
  <si>
    <t>ˇ</t>
  </si>
  <si>
    <t>2F14C2(M02)13Z2換機型/降速</t>
  </si>
  <si>
    <t>108.7.3</t>
  </si>
  <si>
    <t>2F14D2(A13-A)13B2-換原絲/更改重量</t>
  </si>
  <si>
    <t>FP-81960R</t>
  </si>
  <si>
    <t>5.0(4.0)</t>
  </si>
  <si>
    <t>108.7.5</t>
  </si>
  <si>
    <t>2F14E3(A22-B)-13T3換原絲</t>
  </si>
  <si>
    <t>2F14F2(A09-B)13S2-換原絲/DR</t>
  </si>
  <si>
    <t>FP-61454R</t>
  </si>
  <si>
    <t>2F14G2(A11-B)13S2-換原絲/DR</t>
  </si>
  <si>
    <t>2F14H2(A15-B)13K2-換原絲</t>
  </si>
  <si>
    <t>271/271/OFF</t>
  </si>
  <si>
    <t xml:space="preserve">FP-81950R                       </t>
  </si>
  <si>
    <t>2F14I2(M02)14C2換原絲/DR</t>
  </si>
  <si>
    <t>108.7.13</t>
  </si>
  <si>
    <t>2F14J2(J08)12W2-換原絲</t>
  </si>
  <si>
    <t>FP-81959R</t>
  </si>
  <si>
    <t>4.7(3.5)</t>
  </si>
  <si>
    <t>108.7.16</t>
  </si>
  <si>
    <t>2F14K3(A17-B)14E3</t>
  </si>
  <si>
    <t>2F14L2(A18)13Y2-換原絲</t>
  </si>
  <si>
    <t>FP-61458</t>
  </si>
  <si>
    <t>108.7.18</t>
  </si>
  <si>
    <t>2F14M2(A10-B)S撚</t>
  </si>
  <si>
    <t>FP-61721R</t>
  </si>
  <si>
    <t>108.7.24</t>
  </si>
  <si>
    <t>2F14N1(A10-B)5F1VL1-S撚-換原絲</t>
  </si>
  <si>
    <t>295/295/OFF</t>
  </si>
  <si>
    <t>30±20</t>
  </si>
  <si>
    <t>108.7.25</t>
  </si>
  <si>
    <t>2F14P2(A12-A)12P2-色差-含氧紗</t>
  </si>
  <si>
    <t>234/234/OFF</t>
  </si>
  <si>
    <t>108.7.26</t>
  </si>
  <si>
    <t>2F14Q2(A20)13Q2-換原絲</t>
  </si>
  <si>
    <t xml:space="preserve">FP-81918R                      </t>
  </si>
  <si>
    <t>108.7.29</t>
  </si>
  <si>
    <t>2F14R2(S2)13J2-換原絲/機型</t>
  </si>
  <si>
    <t>FP-61460R</t>
  </si>
  <si>
    <t>2F14S2(A24-A)13R2-換原絲</t>
  </si>
  <si>
    <t>白綠條</t>
  </si>
  <si>
    <t>2F14T2(A18-A)14S2-換原絲</t>
  </si>
  <si>
    <t xml:space="preserve">FP-81964R                       </t>
  </si>
  <si>
    <t>108.8.10</t>
  </si>
  <si>
    <t>2F14U2(A09-B)14F2-色差</t>
  </si>
  <si>
    <t>108.8.9</t>
  </si>
  <si>
    <t>2F14V2(A16-A)13Q2-換原絲</t>
  </si>
  <si>
    <t>2F14W2(A07-B)13D2-色差</t>
  </si>
  <si>
    <t>2F14X3(A22)14E3換原絲</t>
  </si>
  <si>
    <t>FP-81963R</t>
  </si>
  <si>
    <t>2F14Y1(A10-A)S撚</t>
  </si>
  <si>
    <t>75/24SDR</t>
  </si>
  <si>
    <t>280/280/165</t>
  </si>
  <si>
    <t>FP-81928R</t>
  </si>
  <si>
    <t>125/24SDRD</t>
  </si>
  <si>
    <t>108.8.13</t>
  </si>
  <si>
    <t>2F14Z1(M02)-2F1001換原絲/機型/降速/DR</t>
  </si>
  <si>
    <t>750↓680</t>
  </si>
  <si>
    <t>185/161</t>
  </si>
  <si>
    <t>108.8.26</t>
  </si>
  <si>
    <t>2F15A1(A10-A)14Y1換原絲-S撚</t>
  </si>
  <si>
    <t>FP-81965R</t>
  </si>
  <si>
    <t>108.8.21</t>
  </si>
  <si>
    <t>2F15B2(A18-A)14T2-換原絲</t>
  </si>
  <si>
    <t xml:space="preserve">FP-61459R                       </t>
  </si>
  <si>
    <t>108.8.29</t>
  </si>
  <si>
    <t>2F15C2(A11-B)13F2-換原絲/機型/降速</t>
  </si>
  <si>
    <t xml:space="preserve">FP-61725R                       </t>
  </si>
  <si>
    <t>108.8.30</t>
  </si>
  <si>
    <t>2F15D2(A10-B)14D2-換原絲</t>
  </si>
  <si>
    <t>FP-81956R</t>
  </si>
  <si>
    <t>2F15F2(A20-B)14Q2-換原絲</t>
  </si>
  <si>
    <t xml:space="preserve">FP-61463R                      </t>
  </si>
  <si>
    <t>108.9.6</t>
  </si>
  <si>
    <t>2F15G2(M08-A)14A2-換原絲/DR</t>
  </si>
  <si>
    <t>A1204</t>
  </si>
  <si>
    <t>120/72BK</t>
  </si>
  <si>
    <t>3(2.3)</t>
  </si>
  <si>
    <t>108.9.7</t>
  </si>
  <si>
    <t>2F15H2(A18-B)15B2-換原絲</t>
  </si>
  <si>
    <t xml:space="preserve">FP-61466R                       </t>
  </si>
  <si>
    <t>108.9.11</t>
  </si>
  <si>
    <t>2F15I1(M02)-14Z1色差</t>
  </si>
  <si>
    <t>182/161</t>
  </si>
  <si>
    <t>3.5(3.1)</t>
  </si>
  <si>
    <t>108.9.12</t>
  </si>
  <si>
    <t>2F15J2(A10-B)14U2-色差</t>
  </si>
  <si>
    <t>FP-61467R</t>
  </si>
  <si>
    <t>108.9.16</t>
  </si>
  <si>
    <t>2F15K2(A11)14U2-換原絲</t>
  </si>
  <si>
    <t>2F15L1(A16-A)-1001換原絲/降速/DR</t>
  </si>
  <si>
    <t>310/310/161</t>
  </si>
  <si>
    <t>108.9.17</t>
  </si>
  <si>
    <t>2F15M2(A18-B)15H2-換原絲/DR</t>
  </si>
  <si>
    <t>108.9.27</t>
  </si>
  <si>
    <t>2F15N1(A14-A)15D2-9621(節/牢)-換原絲S撚</t>
  </si>
  <si>
    <t>FP-81970R</t>
  </si>
  <si>
    <t>108.9.30</t>
  </si>
  <si>
    <t>2F15P2(A10)14M2轉-Z撚</t>
  </si>
  <si>
    <t>108.10.2</t>
  </si>
  <si>
    <t>2F15Q2(A18-A)14L2-換原絲</t>
  </si>
  <si>
    <t>FP-61475</t>
  </si>
  <si>
    <t>3.8(3.5)</t>
  </si>
  <si>
    <t>108.10.3</t>
  </si>
  <si>
    <t>2F15R3(A22-B)14X3換原絲</t>
  </si>
  <si>
    <t>FP-61472R</t>
  </si>
  <si>
    <t>108.10.7</t>
  </si>
  <si>
    <t>2F15S2(A08-A)15D2-換原絲/降速</t>
  </si>
  <si>
    <t>700↓600</t>
  </si>
  <si>
    <t>108.10.15</t>
  </si>
  <si>
    <t>2F15T2(A22)13Z2-換原絲</t>
  </si>
  <si>
    <t>108.10.16</t>
  </si>
  <si>
    <t>2F15V1(A13-B)13V1-換原絲</t>
  </si>
  <si>
    <t>FP-61478</t>
  </si>
  <si>
    <t>3.2(3.0)</t>
  </si>
  <si>
    <t>2F15W1(M01)5F1MX1換原絲/降速/DR</t>
  </si>
  <si>
    <t>184/180</t>
  </si>
  <si>
    <t>A1208</t>
  </si>
  <si>
    <t>120/36BK</t>
  </si>
  <si>
    <t>3(2.1)</t>
  </si>
  <si>
    <t>108.10.23</t>
  </si>
  <si>
    <t>2F15X2(A22-B)15T2-換原絲</t>
  </si>
  <si>
    <t>FP-61477R</t>
  </si>
  <si>
    <t>108.10.24</t>
  </si>
  <si>
    <t>2F15Y2(A18-B)15F2-換原絲</t>
  </si>
  <si>
    <t xml:space="preserve">FP-61480R                      </t>
  </si>
  <si>
    <t>2F15Z2(A07-B)5F1LZ2-換原絲</t>
  </si>
  <si>
    <t>75/72FD</t>
  </si>
  <si>
    <t>FP-71721</t>
  </si>
  <si>
    <t>120/72FD</t>
  </si>
  <si>
    <t>2F16A3(T04-R)5F1ZJ3(併股)換原絲</t>
  </si>
  <si>
    <t>75/72SCT</t>
  </si>
  <si>
    <t>P312(W0)/P312(W2)</t>
  </si>
  <si>
    <t>1.1/1.3</t>
  </si>
  <si>
    <t>FP-70064+80714</t>
  </si>
  <si>
    <t>60/36SD+60/36HC</t>
  </si>
  <si>
    <t>70±20</t>
  </si>
  <si>
    <t>108.11.20</t>
  </si>
  <si>
    <t>2F16B1(M01)5F1TF1換原絲/降速/DR</t>
  </si>
  <si>
    <t>186/OFF</t>
  </si>
  <si>
    <t>5.5(5.2)</t>
  </si>
  <si>
    <t>108.11.22</t>
  </si>
  <si>
    <t>2F16C3(A22-A)15R3換原絲</t>
  </si>
  <si>
    <t>FP-61490R</t>
  </si>
  <si>
    <t>4(3.2)</t>
  </si>
  <si>
    <t>2F16D2(A13-B)14W2-換原絲</t>
  </si>
  <si>
    <t>2F16E3(A22-B)16C3換原絲</t>
  </si>
  <si>
    <t>FP-81981R</t>
  </si>
  <si>
    <t>108.12.2</t>
  </si>
  <si>
    <t>2F16F2(A12)15Y2-換原絲</t>
  </si>
  <si>
    <t xml:space="preserve">FP-61491R                      </t>
  </si>
  <si>
    <t>2F16G2(A11-B)94L2S撚改-5.0KG</t>
  </si>
  <si>
    <t>2F16H2(M06)12I2-換原絲</t>
  </si>
  <si>
    <t>150/OFF</t>
  </si>
  <si>
    <t>FP-61428</t>
  </si>
  <si>
    <t>108.12.3</t>
  </si>
  <si>
    <t>黃黑點</t>
  </si>
  <si>
    <t>2F16I2(S2)14B2機型/DR</t>
  </si>
  <si>
    <t>3.1(3.0)</t>
  </si>
  <si>
    <t>2F16J2(A14-B)15K2-色差</t>
  </si>
  <si>
    <t>108.12.5</t>
  </si>
  <si>
    <t>2F16L2(A19)16F2加開第2台</t>
  </si>
  <si>
    <t>108.12.9</t>
  </si>
  <si>
    <t>2F16M2(A10)15M2-換原絲</t>
  </si>
  <si>
    <t>2F16N2(A13-B)13N2-換原絲</t>
  </si>
  <si>
    <t>FP-61492</t>
  </si>
  <si>
    <t>2F16Q2(A07-B)5F1VT2-換原絲</t>
  </si>
  <si>
    <t xml:space="preserve">FP-81978R                    </t>
  </si>
  <si>
    <t>108.12.10</t>
  </si>
  <si>
    <t>2F16R3(M01)93Y3-升速</t>
  </si>
  <si>
    <t>650↑700</t>
  </si>
  <si>
    <t>191/OFF</t>
  </si>
  <si>
    <t>4.2(3.7)</t>
  </si>
  <si>
    <t>5.1(4.8)</t>
  </si>
  <si>
    <t>108.12.13</t>
  </si>
  <si>
    <t>2F16S2(A07-B)14P2-換原絲-含氧紗</t>
  </si>
  <si>
    <t>FP-61497</t>
  </si>
  <si>
    <t>2F16T2(A11)16G2-S撚換原絲</t>
  </si>
  <si>
    <t>FP-81983R</t>
  </si>
  <si>
    <t>108.12.16</t>
  </si>
  <si>
    <t>2F16U2(A13-B)15Q2-換原絲</t>
  </si>
  <si>
    <t>FP-61496</t>
  </si>
  <si>
    <t>2F16V1(A14-B)5F1TL1-換原絲</t>
  </si>
  <si>
    <t>2F16W1(M02)-15I1換原絲</t>
  </si>
  <si>
    <t>FP-61724R</t>
  </si>
  <si>
    <t>3.5(3.3)</t>
  </si>
  <si>
    <t>108.12.18</t>
  </si>
  <si>
    <t>2F16X2(A08)15S2-換原絲</t>
  </si>
  <si>
    <t>108.12.20</t>
  </si>
  <si>
    <t>2F16Y2(M08)</t>
  </si>
  <si>
    <t>75/72FBKRO</t>
  </si>
  <si>
    <t>FP-61501R</t>
  </si>
  <si>
    <t>125/72FBKRO</t>
  </si>
  <si>
    <t>4.5(3.7)</t>
  </si>
  <si>
    <t>2F16Z2(S2)色紗</t>
  </si>
  <si>
    <t>75/72BURO54</t>
  </si>
  <si>
    <t>290/290/OFF</t>
  </si>
  <si>
    <t>FP-61998R</t>
  </si>
  <si>
    <t>125/72BURO54</t>
  </si>
  <si>
    <t>4.5(4.1)</t>
  </si>
  <si>
    <t>2F1712(A19-A)1ZI2-換原絲</t>
  </si>
  <si>
    <t>75/144SDRD</t>
  </si>
  <si>
    <t>108.1.7</t>
  </si>
  <si>
    <t>2F17A2(J07)14J2-換原絲/DR</t>
  </si>
  <si>
    <t>14.9</t>
  </si>
  <si>
    <t>335/335/OFF</t>
  </si>
  <si>
    <t>FP-81977R</t>
  </si>
  <si>
    <t>2F17B2(A14-B)15M2-換原絲/降速/重量</t>
  </si>
  <si>
    <t>75/72WTRO22</t>
  </si>
  <si>
    <t xml:space="preserve">FP-61503R                       </t>
  </si>
  <si>
    <t>120/72WTRO22</t>
  </si>
  <si>
    <t>2F17C2(A07-A)13J2-換原絲</t>
  </si>
  <si>
    <t>FP-61500R</t>
  </si>
  <si>
    <t>109.1.16</t>
  </si>
  <si>
    <t>2F17D2(A07-B)16S2-換原絲/DR-含氧紗</t>
  </si>
  <si>
    <t>FP-61510</t>
  </si>
  <si>
    <t>109.1.26</t>
  </si>
  <si>
    <t>2F17E2(J09)17A2-換原絲</t>
  </si>
  <si>
    <t>109.2.4</t>
  </si>
  <si>
    <t>2F17F1(M02)5F1TA1換原絲/DR</t>
  </si>
  <si>
    <t>FP-81710</t>
  </si>
  <si>
    <t>5.0(4.8)</t>
  </si>
  <si>
    <t>2F17G2(A16-B)5F14H2</t>
  </si>
  <si>
    <t>FP-61516R</t>
  </si>
  <si>
    <t>120/36CDR</t>
  </si>
  <si>
    <t>5.0(4.4)</t>
  </si>
  <si>
    <t>109.2.7</t>
  </si>
  <si>
    <t>2F17H2(A18-A)12S2-換原絲</t>
  </si>
  <si>
    <t>FP-71529</t>
  </si>
  <si>
    <t>109.2.13</t>
  </si>
  <si>
    <t>2F17J2(A14-A)17H2-換原絲/DR</t>
  </si>
  <si>
    <t>FP-61518</t>
  </si>
  <si>
    <t>109.2.26</t>
  </si>
  <si>
    <t>2F17K2(A16-B)17G2換原絲油劑</t>
  </si>
  <si>
    <t>2F17L3(S1)</t>
  </si>
  <si>
    <t>280/280/130</t>
  </si>
  <si>
    <t>FP-61909R</t>
  </si>
  <si>
    <t>109.3.3</t>
  </si>
  <si>
    <t>2F17M2(A07-A)17C2-換原絲</t>
  </si>
  <si>
    <t>FP-61521R</t>
  </si>
  <si>
    <t>2F17N2(A16)94N2-</t>
  </si>
  <si>
    <t>FP-81975R</t>
  </si>
  <si>
    <t>109.3.23</t>
  </si>
  <si>
    <t>2F17P1(M08)5F1MX1-色差</t>
  </si>
  <si>
    <t>192/193</t>
  </si>
  <si>
    <t xml:space="preserve">FP-71134                                 </t>
  </si>
  <si>
    <t>109.3.16</t>
  </si>
  <si>
    <t>2F17Q2(A07-B)17D2-換原絲-含氧紗</t>
  </si>
  <si>
    <t>FP-61523</t>
  </si>
  <si>
    <t>109.3.31</t>
  </si>
  <si>
    <t>2F17R3(M01)5F1TC3-色差</t>
  </si>
  <si>
    <t>195/OFF</t>
  </si>
  <si>
    <t>FP-71230</t>
  </si>
  <si>
    <t>5.1(4.5)</t>
  </si>
  <si>
    <t>109.3.26</t>
  </si>
  <si>
    <t>2F17S2(A15)16D2-換原絲</t>
  </si>
  <si>
    <t>FP-61527</t>
  </si>
  <si>
    <t>109.3.30</t>
  </si>
  <si>
    <t>2F17T2(A08-A)13P2-換原絲/物性LIKE-15G2</t>
  </si>
  <si>
    <t>300/300/155</t>
  </si>
  <si>
    <t>2F17U1(M08)5F1TF1換原絲</t>
  </si>
  <si>
    <t>190/OFF</t>
  </si>
  <si>
    <t xml:space="preserve">FP-61531                                     </t>
  </si>
  <si>
    <t>5.5(5.1)</t>
  </si>
  <si>
    <t>109.4.21</t>
  </si>
  <si>
    <t>2F17V1(M03)17P1-換原絲</t>
  </si>
  <si>
    <t>192/191</t>
  </si>
  <si>
    <t xml:space="preserve">FP-61531                                 </t>
  </si>
  <si>
    <t>109.4.17</t>
  </si>
  <si>
    <t>2F17W2(A08-B)17T2-色差</t>
  </si>
  <si>
    <t>4.3(3.5)</t>
  </si>
  <si>
    <t>2F17X1(A14-B)15V1-換原絲</t>
  </si>
  <si>
    <t>FP-61517</t>
  </si>
  <si>
    <t>2F17Y1(M01)17V1-換原絲</t>
  </si>
  <si>
    <t xml:space="preserve">FP-71230                                 </t>
  </si>
  <si>
    <t>109.5.15</t>
  </si>
  <si>
    <t>2F17Z2(A07-B)17Q2-換原絲-含氧紗</t>
  </si>
  <si>
    <t>FP-61530</t>
  </si>
  <si>
    <t>109.4.20</t>
  </si>
  <si>
    <t>2F18A2(A09-B)5F1QB2-換原絲16H2(M06)</t>
  </si>
  <si>
    <t>FP-61532</t>
  </si>
  <si>
    <t>109.4.23</t>
  </si>
  <si>
    <t>2F18B1(A14)17X1-換原絲/DR</t>
  </si>
  <si>
    <t>FP-61528</t>
  </si>
  <si>
    <t>2F18C2(A12)16U2-換原絲</t>
  </si>
  <si>
    <t>FP-61519</t>
  </si>
  <si>
    <t>109.5.8</t>
  </si>
  <si>
    <t>2F18D2(A15-B)17Z2-換原絲-含氧紗</t>
  </si>
  <si>
    <t>FP-61537</t>
  </si>
  <si>
    <t>109.5.11</t>
  </si>
  <si>
    <t>2F18E2(A08-B)17T2-換原絲/修DR</t>
  </si>
  <si>
    <t>295/295/155</t>
  </si>
  <si>
    <t>FP-61534</t>
  </si>
  <si>
    <t>109.5.25</t>
  </si>
  <si>
    <t>2F18F2(A15-B)15J2-換原絲</t>
  </si>
  <si>
    <t>75/72FDRO</t>
  </si>
  <si>
    <t>FP-61526R</t>
  </si>
  <si>
    <t>109.5.29</t>
  </si>
  <si>
    <t>2F18G1(A08-B)5F1QD1換原絲/物性LIKE17U1</t>
  </si>
  <si>
    <t>109.6.8</t>
  </si>
  <si>
    <t>2F18H2(A12-B)18C2-色差/DR</t>
  </si>
  <si>
    <t>109.6.12</t>
  </si>
  <si>
    <t>2F18I1(M01)17Y1-換原絲</t>
  </si>
  <si>
    <t xml:space="preserve">FP-71232                                </t>
  </si>
  <si>
    <t>3(2.4)</t>
  </si>
  <si>
    <t>109.6.18</t>
  </si>
  <si>
    <t>2F18J2(A07-B)18D2-換原絲-含氧紗</t>
  </si>
  <si>
    <t>FP-61545</t>
  </si>
  <si>
    <t>2F18K1(A10-B)17L3-機型/重量-節牢不LIKE/灰色紗</t>
  </si>
  <si>
    <t>109.7.7</t>
  </si>
  <si>
    <t>2F18L2(A10-A)17B2-換原絲-紅色紗</t>
  </si>
  <si>
    <t>75/72RDRO24</t>
  </si>
  <si>
    <t xml:space="preserve">FP-61543R                       </t>
  </si>
  <si>
    <t>125/72RDRO24</t>
  </si>
  <si>
    <t>109.7.8</t>
  </si>
  <si>
    <t>2F18M2(A12-A)18H2-換原絲</t>
  </si>
  <si>
    <t>FP-61514</t>
  </si>
  <si>
    <t>109.7.10</t>
  </si>
  <si>
    <t>2F18N2(A10-B)18L2-換原絲-藍色紗</t>
  </si>
  <si>
    <t xml:space="preserve">FP-61546R                       </t>
  </si>
  <si>
    <t>120/72BURO54</t>
  </si>
  <si>
    <t>4.1(3.0)</t>
  </si>
  <si>
    <t>109.7.13</t>
  </si>
  <si>
    <t>2F18P2(A07-B)18J2-偏淺紗-含氧紗</t>
  </si>
  <si>
    <t>FP-61545(109.7/8.9)</t>
  </si>
  <si>
    <t>2F18Q2(A08)16Y2換原絲/機型</t>
  </si>
  <si>
    <t>FP-61540R</t>
  </si>
  <si>
    <t>109.7.30</t>
  </si>
  <si>
    <t>2F18R2(A12-B)18M2-換原絲/DR</t>
  </si>
  <si>
    <t>FP-61555</t>
  </si>
  <si>
    <t>3.7(3.5)</t>
  </si>
  <si>
    <t>109.8.5</t>
  </si>
  <si>
    <t>2F18S2(J09)17E2-換原絲</t>
  </si>
  <si>
    <t>FP-81989R</t>
  </si>
  <si>
    <t>109.8.8</t>
  </si>
  <si>
    <t>2F18T1(A11)18K1-換原絲/DR</t>
  </si>
  <si>
    <t>FP-61953R</t>
  </si>
  <si>
    <t>109.8.11</t>
  </si>
  <si>
    <t>2F18U2(A11-B)17B2-換原絲</t>
  </si>
  <si>
    <t xml:space="preserve">FP-61539R                       </t>
  </si>
  <si>
    <t>2F18V2(A07-B)17Q2-換原絲/DR-含氧紗</t>
  </si>
  <si>
    <t>109.8.19</t>
  </si>
  <si>
    <t>2F18W2(A08-A)DV82換機型</t>
  </si>
  <si>
    <t>75/36BKRO</t>
  </si>
  <si>
    <t>FP-61559R</t>
  </si>
  <si>
    <t>125/36BKRO</t>
  </si>
  <si>
    <t>2F18X2(M07)16N2-換原絲/機型/降速</t>
  </si>
  <si>
    <t>FP-61550</t>
  </si>
  <si>
    <t>藍黑點</t>
  </si>
  <si>
    <t>2F18Y2(A10-A)17M2-換原絲</t>
  </si>
  <si>
    <t>FP-61558R</t>
  </si>
  <si>
    <t>1.4(0.7)</t>
  </si>
  <si>
    <t>109.9.9</t>
  </si>
  <si>
    <t>2F18Z2(A11-B)18N2-換原絲-藍色紗</t>
  </si>
  <si>
    <t xml:space="preserve">FP-61557R                       </t>
  </si>
  <si>
    <t>2F1902(M04)1UW2-換原絲/機型</t>
  </si>
  <si>
    <t>FP-61746R</t>
  </si>
  <si>
    <t>120/72FDRD</t>
  </si>
  <si>
    <t>4.0(4.0)</t>
  </si>
  <si>
    <t>108.2.12</t>
  </si>
  <si>
    <t>2F1912(A16-A)16J2-換原絲</t>
  </si>
  <si>
    <t>FP-61504R</t>
  </si>
  <si>
    <t>2F1942(A18-B)1912-換原絲/DR</t>
  </si>
  <si>
    <t>109.7.1</t>
  </si>
  <si>
    <t>2F1952(A18-B)1942-換原絲</t>
  </si>
  <si>
    <t>FP-61554R</t>
  </si>
  <si>
    <t>109.7.23</t>
  </si>
  <si>
    <t>2F1962(A10)1952-換原絲/降速</t>
  </si>
  <si>
    <t>2F1972(A18)1952-降速</t>
  </si>
  <si>
    <t>2F1982(A12)1972-換原絲</t>
  </si>
  <si>
    <t>FP-81000R</t>
  </si>
  <si>
    <t>109.8.25</t>
  </si>
  <si>
    <t>2F1992(A18)1982-機台別</t>
  </si>
  <si>
    <t>4(3.3)</t>
  </si>
  <si>
    <t>109.8.26</t>
  </si>
  <si>
    <t>2F19A2(A11-A)18L2-換原絲/DR-紅色紗</t>
  </si>
  <si>
    <t xml:space="preserve">FP-61989R                       </t>
  </si>
  <si>
    <t>1.5(18L2-1.2)</t>
  </si>
  <si>
    <t>109.9.4</t>
  </si>
  <si>
    <t>2F19B2(A11-A)19A2-原絲日期不同</t>
  </si>
  <si>
    <t>1.5(2.2)</t>
  </si>
  <si>
    <t>2F19C2(M07)18X2-換原絲/重量/輕節/LIKE-17S2物性</t>
  </si>
  <si>
    <t>550↓500-9/15</t>
  </si>
  <si>
    <t>4.5/2.0(110.3.9)</t>
  </si>
  <si>
    <t>148/OFF</t>
  </si>
  <si>
    <t>FP-61541</t>
  </si>
  <si>
    <t>1.8(1.7)</t>
  </si>
  <si>
    <t>白綠星</t>
  </si>
  <si>
    <t>2F19D1(A08-A)18G1換原絲</t>
  </si>
  <si>
    <t>109.9.16</t>
  </si>
  <si>
    <t>2F19E2(M01)14A2-換原絲</t>
  </si>
  <si>
    <t xml:space="preserve">FP-61534                                  </t>
  </si>
  <si>
    <t>3(2.5)</t>
  </si>
  <si>
    <t>109.9.23</t>
  </si>
  <si>
    <t>紫白點</t>
  </si>
  <si>
    <t>2F19F2(J09)18S2-換原絲</t>
  </si>
  <si>
    <t>338/338/OFF</t>
  </si>
  <si>
    <t>2F19G1(A11-B)13M1換原絲/DR</t>
  </si>
  <si>
    <t>FP-61567</t>
  </si>
  <si>
    <t>2F19H2(A07-A)18V2-換原絲-含氧紗</t>
  </si>
  <si>
    <t>FP-61565</t>
  </si>
  <si>
    <t>109.10.14</t>
  </si>
  <si>
    <t>2F19I2(A12-A)18R2-換原絲</t>
  </si>
  <si>
    <t>FP-61561</t>
  </si>
  <si>
    <t>2F19J1(A12-B)18B1-換原絲</t>
  </si>
  <si>
    <t>FP-61547</t>
  </si>
  <si>
    <t>6(5.3)</t>
  </si>
  <si>
    <t>109.10.30</t>
  </si>
  <si>
    <t>2F19L2(S2)</t>
  </si>
  <si>
    <t>FP-61560R</t>
  </si>
  <si>
    <t>5(4.4)</t>
  </si>
  <si>
    <t>2F19M2(S2)13H2-換原絲/機型/DR</t>
  </si>
  <si>
    <t>FP-61584R</t>
  </si>
  <si>
    <t>109.12.14</t>
  </si>
  <si>
    <t>2F19P2(M01)16H2-換原絲</t>
  </si>
  <si>
    <t>FP-61582</t>
  </si>
  <si>
    <t>109.12.17</t>
  </si>
  <si>
    <t>2F19Q1(M01)17U1換原絲</t>
  </si>
  <si>
    <t>110.1.8</t>
  </si>
  <si>
    <t>2F19R1(A08-A)5F1MX1-機型/DR</t>
  </si>
  <si>
    <t>300/300/185</t>
  </si>
  <si>
    <t>FP-71232</t>
  </si>
  <si>
    <t>110.1.13</t>
  </si>
  <si>
    <t>2F19S2(A09-B)11K2-換原絲</t>
  </si>
  <si>
    <t>110.1.27</t>
  </si>
  <si>
    <t>2F19T2(A15-B)17N2</t>
  </si>
  <si>
    <t>FP-81803R</t>
  </si>
  <si>
    <t>110.1.22</t>
  </si>
  <si>
    <t>2F19U2(A19)11L2-換原絲</t>
  </si>
  <si>
    <t xml:space="preserve">FP-81027R                       </t>
  </si>
  <si>
    <t>110.1.25</t>
  </si>
  <si>
    <t>2F19V2(A19)19U2-換原絲/DR</t>
  </si>
  <si>
    <t xml:space="preserve">FP-81022R                       </t>
  </si>
  <si>
    <t>紫/-1白底黑星</t>
  </si>
  <si>
    <t>2F19W2(S2)11F2-換原絲/升速/機型/DR</t>
  </si>
  <si>
    <t>110.1.28</t>
  </si>
  <si>
    <t>2F19X2(A24)14B2-換原絲/DR</t>
  </si>
  <si>
    <t>204/204/OFF</t>
  </si>
  <si>
    <t>FP-61579/61588/61592</t>
  </si>
  <si>
    <t>2F19Y2(M02)10V2-換規格(不保染-加Q)</t>
  </si>
  <si>
    <t>75/72SD</t>
  </si>
  <si>
    <t xml:space="preserve">FP-61823R +71120                      </t>
  </si>
  <si>
    <t>120/72SDRD+125/72SD</t>
  </si>
  <si>
    <t>110.2.22</t>
  </si>
  <si>
    <t>2F19Z2(M06)11I2-換原絲/DR</t>
  </si>
  <si>
    <t>169/OFF</t>
  </si>
  <si>
    <t xml:space="preserve">FP-81031R                       </t>
  </si>
  <si>
    <t>2F1A02(M03)1D42-換原絲</t>
  </si>
  <si>
    <t>FP-81032R</t>
  </si>
  <si>
    <t>110.3.5</t>
  </si>
  <si>
    <t>2F1A12(A11)1072-換原絲/AP壓力</t>
  </si>
  <si>
    <t>285/285/170</t>
  </si>
  <si>
    <t xml:space="preserve">FP-81018R                       </t>
  </si>
  <si>
    <t>110(114)</t>
  </si>
  <si>
    <t>60(73)</t>
  </si>
  <si>
    <t>2F1A22(A24-A)13H2-換原絲</t>
  </si>
  <si>
    <t>FP-61596R</t>
  </si>
  <si>
    <t>120/72SRR6</t>
  </si>
  <si>
    <t>110.3.8</t>
  </si>
  <si>
    <t>2F1A31(M05)17F1換原絲/DR/19G1(物性)</t>
  </si>
  <si>
    <t>FP-61604</t>
  </si>
  <si>
    <t>110.3.18</t>
  </si>
  <si>
    <t>2F1A41(A21)L132-外購</t>
  </si>
  <si>
    <t>300/300/160</t>
  </si>
  <si>
    <t xml:space="preserve">FP-61826R                       </t>
  </si>
  <si>
    <t>110.3.12</t>
  </si>
  <si>
    <t>2F1A52(A08-B)18A2-換原絲</t>
  </si>
  <si>
    <t>FP-61600</t>
  </si>
  <si>
    <t>110.3.15</t>
  </si>
  <si>
    <t>2F1A62(A23-B)19V2-換原絲/DR</t>
  </si>
  <si>
    <t>110.3.17</t>
  </si>
  <si>
    <t>2F1A72(M05)DU62</t>
  </si>
  <si>
    <t>FP-61607</t>
  </si>
  <si>
    <t>110.3.31</t>
  </si>
  <si>
    <t>2F1A82(M07)2FL126</t>
  </si>
  <si>
    <t>75/72CDRO</t>
  </si>
  <si>
    <t>FP-61590R</t>
  </si>
  <si>
    <t>110.4.1</t>
  </si>
  <si>
    <t>2F1A92(S2)98Y2-換原絲/重量</t>
  </si>
  <si>
    <t xml:space="preserve">FP-61912                     </t>
  </si>
  <si>
    <t>120/72HNIR</t>
  </si>
  <si>
    <t>2F1AA2(A14-B)5F1NN2-換原絲/DR/升速</t>
  </si>
  <si>
    <t xml:space="preserve">FP-81930R                       </t>
  </si>
  <si>
    <t>109.1.30</t>
  </si>
  <si>
    <t>2F1AB2(A13)1AA2-色差</t>
  </si>
  <si>
    <t>109.4.1</t>
  </si>
  <si>
    <t>2F1AC2(M04)1AB2-換原絲</t>
  </si>
  <si>
    <t xml:space="preserve">FP-81935R                       </t>
  </si>
  <si>
    <t>2F1AD2(M04)1AC2-原絲日期不同</t>
  </si>
  <si>
    <t xml:space="preserve">FP-81935R(5/30-之後)     FP-81930R(4/19)                          </t>
  </si>
  <si>
    <t>5.0(4.2)</t>
  </si>
  <si>
    <t>109.9.17</t>
  </si>
  <si>
    <t>2F1AE2(M04-A)1AD2-原絲日期不同</t>
  </si>
  <si>
    <t xml:space="preserve">FP-81935R(6/8)                       </t>
  </si>
  <si>
    <t>2F1AF2(M04-B)1AE2換原絲</t>
  </si>
  <si>
    <t xml:space="preserve">FP-81969R                      </t>
  </si>
  <si>
    <t>109.9.29</t>
  </si>
  <si>
    <t>2F1AG2(M08)1AF2/機台別</t>
  </si>
  <si>
    <t>2F1AH2(A23)1AB2-換原絲</t>
  </si>
  <si>
    <t xml:space="preserve">FP-81801R                       </t>
  </si>
  <si>
    <t>109.12.29</t>
  </si>
  <si>
    <t>2F1AI2(T01-R)5F1NJ2-換原絲/DR/1F22物性/降速</t>
  </si>
  <si>
    <t>110.10.4</t>
  </si>
  <si>
    <t>2F1AJ1(A23)1Y31換原絲/DR</t>
  </si>
  <si>
    <t xml:space="preserve">FP-81116R                    </t>
  </si>
  <si>
    <t>111.9.21</t>
  </si>
  <si>
    <t>2F1AL2(A22-B)1W42-DR/AP壓力</t>
  </si>
  <si>
    <t>111.9.28</t>
  </si>
  <si>
    <t>2F1AM2(T03-L)1AI2-換原絲/DR</t>
  </si>
  <si>
    <t xml:space="preserve">FP-81811R                       </t>
  </si>
  <si>
    <t>2F1AN2(M05)1X32換原絲/DR</t>
  </si>
  <si>
    <t xml:space="preserve">FP-81125R                       </t>
  </si>
  <si>
    <t>111.10.4</t>
  </si>
  <si>
    <t>白桔方塊/白底黑點-1</t>
  </si>
  <si>
    <t>2F1AP2(A09)1Z52(1Y62-75/72FDRT改標)</t>
  </si>
  <si>
    <t>111.10.5改標日</t>
  </si>
  <si>
    <t>2F1AQ2(T04-R)11A2-換原絲/DR/降速(物性同1W62)</t>
  </si>
  <si>
    <t>175/165</t>
  </si>
  <si>
    <t>111.10.6</t>
  </si>
  <si>
    <t>黃綠條</t>
  </si>
  <si>
    <t>2F1AR2(A23-A)1G72-DR/機型</t>
  </si>
  <si>
    <t>75/72SAR</t>
  </si>
  <si>
    <t>FP-61976R</t>
  </si>
  <si>
    <t>120/72SAR</t>
  </si>
  <si>
    <t>111.10.7</t>
  </si>
  <si>
    <t>2F1AS2(T01-R)1Z22換原絲/DR</t>
  </si>
  <si>
    <t>600↑650-12/5</t>
  </si>
  <si>
    <t>FP-81112R</t>
  </si>
  <si>
    <t>111.10.11</t>
  </si>
  <si>
    <t>2F1AT2(T03-R)1AM2-不加O</t>
  </si>
  <si>
    <t>2F1AU2(M06-A)1A02</t>
  </si>
  <si>
    <t>111.10.13</t>
  </si>
  <si>
    <t>2F1AV2(S2)1Z61換原絲(物性132P)DR/機型/調壓力</t>
  </si>
  <si>
    <t>綠藍三角</t>
  </si>
  <si>
    <t>2F1AX1(A14)1Z31改重量</t>
  </si>
  <si>
    <t>111.10.18</t>
  </si>
  <si>
    <t>2F1AY2(A13-B)1T82-換原絲</t>
  </si>
  <si>
    <t>FP-61005</t>
  </si>
  <si>
    <t>111.10.20</t>
  </si>
  <si>
    <t>2F1AZ2(A24)1Y72換原絲</t>
  </si>
  <si>
    <t>FP-61048R</t>
  </si>
  <si>
    <t>111.10.24</t>
  </si>
  <si>
    <t>2F1B02(M02)1062色差</t>
  </si>
  <si>
    <t>5.5(4.6)</t>
  </si>
  <si>
    <t>2F1B12(A15)1022-換原絲</t>
  </si>
  <si>
    <t>109.8.31</t>
  </si>
  <si>
    <t>2F1B23(A24-B)1093換原絲/DR</t>
  </si>
  <si>
    <t>285/285/149</t>
  </si>
  <si>
    <t>109.9.7</t>
  </si>
  <si>
    <t>2F1B33(A15)1B23機台別</t>
  </si>
  <si>
    <t>2.1(2.4)</t>
  </si>
  <si>
    <t>109.9.11</t>
  </si>
  <si>
    <t>2F1B43(A15)1B33</t>
  </si>
  <si>
    <t>2F1B53(A15)1B43換原絲</t>
  </si>
  <si>
    <t>FP-81999R</t>
  </si>
  <si>
    <t>2F1B63(A24-B)1B23換原絲</t>
  </si>
  <si>
    <t>109.11.19</t>
  </si>
  <si>
    <t>2F1B73(A24-B)1B63換原絲</t>
  </si>
  <si>
    <t>FP-81018R</t>
  </si>
  <si>
    <t>2F1B82(A24)1B12-換原絲</t>
  </si>
  <si>
    <t>2F1B93(A24)1B73</t>
  </si>
  <si>
    <t>110.1.26</t>
  </si>
  <si>
    <t>2F1BA2(A20)5F1PK2-換原絲/DR</t>
  </si>
  <si>
    <t xml:space="preserve">FP-81989R                      </t>
  </si>
  <si>
    <t>2F1BB2(A20-B)1BA2-換原絲</t>
  </si>
  <si>
    <t xml:space="preserve">FP-81959R                      </t>
  </si>
  <si>
    <t>109.1.31</t>
  </si>
  <si>
    <t>2F1BC2(A13)1BB2-換原絲/升速</t>
  </si>
  <si>
    <t>270/270/165</t>
  </si>
  <si>
    <t xml:space="preserve">FP-81968R                      </t>
  </si>
  <si>
    <t>2F1BD2(T01-R)5F1PE2換原絲/升速</t>
  </si>
  <si>
    <t>109.8.10</t>
  </si>
  <si>
    <t>2F1BE2(A13-A)1BC2-換原絲</t>
  </si>
  <si>
    <t>109.8.24</t>
  </si>
  <si>
    <t>2F1BF2(T01-R)1BD2換原絲</t>
  </si>
  <si>
    <t>2F1BG2(M07)11I2-換原絲/LIKE1BD2物性</t>
  </si>
  <si>
    <t xml:space="preserve">FP-81959R                       </t>
  </si>
  <si>
    <t>110.4.7</t>
  </si>
  <si>
    <t>2F1BH2(T01-L)1BF2換原絲/降速</t>
  </si>
  <si>
    <t>FP-61562R</t>
  </si>
  <si>
    <t>110.6.18</t>
  </si>
  <si>
    <t>2F1BI2(A22-B)5F1PJ2-換原絲</t>
  </si>
  <si>
    <t>FP-81809R</t>
  </si>
  <si>
    <t>2F1BJ2(T03-R)1BH2換原絲/DR/降速</t>
  </si>
  <si>
    <t>110.8.10</t>
  </si>
  <si>
    <t>2F1BK2(A15-A)1W62</t>
  </si>
  <si>
    <t>111.10.27</t>
  </si>
  <si>
    <t>2F1BL1(S2)1V71-換原絲</t>
  </si>
  <si>
    <t>FP-81521R</t>
  </si>
  <si>
    <t>2F1BM2(T03-R)1AT2換原絲</t>
  </si>
  <si>
    <t xml:space="preserve">FP-81096R                       </t>
  </si>
  <si>
    <t>2F1BN1(A23-B)1AJ1換原絲/DR</t>
  </si>
  <si>
    <t xml:space="preserve">FP-81127R                    </t>
  </si>
  <si>
    <t>111.11.7</t>
  </si>
  <si>
    <t>2F1BP2(A11)1V62-換原絲</t>
  </si>
  <si>
    <t>FP-61026</t>
  </si>
  <si>
    <t>60(65)</t>
  </si>
  <si>
    <t>2F1BQ2(A07-B)1E32-換原絲/DR/AP壓力修</t>
  </si>
  <si>
    <t>FP-81021R</t>
  </si>
  <si>
    <t>60(72)</t>
  </si>
  <si>
    <t>111.12.12</t>
  </si>
  <si>
    <t>2F1BR2(A17)1BK2不同機台</t>
  </si>
  <si>
    <t>111.11.14</t>
  </si>
  <si>
    <t>2F1BS2(A09)1Z52換原絲/E%改回19</t>
  </si>
  <si>
    <t>FP-61054R</t>
  </si>
  <si>
    <t>111.11.17</t>
  </si>
  <si>
    <t>2F1BT2(A14-B)1Y52換原絲/DR/機型/重量</t>
  </si>
  <si>
    <t>FP-61992</t>
  </si>
  <si>
    <t>29(27)</t>
  </si>
  <si>
    <t>111.11.22</t>
  </si>
  <si>
    <t>2F1BU2(A07-B)1Y02</t>
  </si>
  <si>
    <t>2F1BV1(A21-B)1AJ1換原絲/DR/溫度</t>
  </si>
  <si>
    <t xml:space="preserve">FP-81122R                    </t>
  </si>
  <si>
    <t>4↓3.5-12/21</t>
  </si>
  <si>
    <t>2F1BW2(M06)1LZ2(外購紗)</t>
  </si>
  <si>
    <t>FP-81130R</t>
  </si>
  <si>
    <t>100-110-12/19</t>
  </si>
  <si>
    <t>2(1.8)</t>
  </si>
  <si>
    <t>111.12.6</t>
  </si>
  <si>
    <t>2F1BX2(M07)1Z92換原絲</t>
  </si>
  <si>
    <t>158/160</t>
  </si>
  <si>
    <t>80(90)</t>
  </si>
  <si>
    <t>2F1BY2(A07-A)1Z72換原絲</t>
  </si>
  <si>
    <t>70(80)</t>
  </si>
  <si>
    <t>2F1BZ1(A23)1BN1換原絲/DR/溫度</t>
  </si>
  <si>
    <t xml:space="preserve">FP-61728R                    </t>
  </si>
  <si>
    <t>13(11)</t>
  </si>
  <si>
    <t>4(4.8)</t>
  </si>
  <si>
    <t>111.12.26</t>
  </si>
  <si>
    <t>2F1C02(A23)18Y2-換原絲/DR/加O</t>
  </si>
  <si>
    <t>2F1C22(A24-A)17K2換原絲/DR/壓力</t>
  </si>
  <si>
    <t>FP-61610R</t>
  </si>
  <si>
    <t>110.4.21</t>
  </si>
  <si>
    <t>2F1C32(A09-A)1A12-換原絲/DR</t>
  </si>
  <si>
    <t>290/290/165</t>
  </si>
  <si>
    <t>2F1C42(A23-A)1C02-錠片/不加O</t>
  </si>
  <si>
    <t>2F1C52(A21)1B82-換原絲/降速</t>
  </si>
  <si>
    <t>FP-61826R</t>
  </si>
  <si>
    <t>110.4.22</t>
  </si>
  <si>
    <t>2F1C61(M08)19Q1</t>
  </si>
  <si>
    <t>110.4.29</t>
  </si>
  <si>
    <t>紅藍點</t>
  </si>
  <si>
    <t>2F1C73(A09)1B93</t>
  </si>
  <si>
    <t>110.5.4</t>
  </si>
  <si>
    <t>2F1C82(A21-B)19T2色差</t>
  </si>
  <si>
    <t>2F1C92(A07-A)1A92-重量/降速/DR</t>
  </si>
  <si>
    <t>2F1CA2(A10-A)16T2-S撚-換原絲升速</t>
  </si>
  <si>
    <t>280/280/150</t>
  </si>
  <si>
    <t>109.1.17</t>
  </si>
  <si>
    <t>2F1CB2(A08-B)16X2-換原絲/升速</t>
  </si>
  <si>
    <t>2F1CC2(A08-A)1CB2-換原絲</t>
  </si>
  <si>
    <t>2F1CD2(A23)1CA2-S撚-色差</t>
  </si>
  <si>
    <t>2F1CE2(A23-B)1CC2-換原絲/DR</t>
  </si>
  <si>
    <t>109.6.11</t>
  </si>
  <si>
    <t>2F1CF2(A20)1CC2-換原絲/DR</t>
  </si>
  <si>
    <t>109.7.6</t>
  </si>
  <si>
    <t>2F1CG1(A23-B)15N1-(不LIKE-S撚)</t>
  </si>
  <si>
    <t>6(4.7)</t>
  </si>
  <si>
    <t>109.7.17</t>
  </si>
  <si>
    <t>2F1CH2(A20)1CD2-S撚-換原絲</t>
  </si>
  <si>
    <t>廠商-冠星作業</t>
  </si>
  <si>
    <t>2F1CI2(A15)1CC2-換原絲/DR</t>
  </si>
  <si>
    <t>FP-81008R</t>
  </si>
  <si>
    <t>5.5(4.8)</t>
  </si>
  <si>
    <t>2F1CJ2(A20-B)1CI2-換原絲/不同機台</t>
  </si>
  <si>
    <t>2F1CK2(T02-L)5F1TY2(1CH2-物性)S撚/H2有溫度</t>
  </si>
  <si>
    <t>182/150</t>
  </si>
  <si>
    <t>3.5(2.4)</t>
  </si>
  <si>
    <t>2F1CL2(M03)1CI2-換原絲/機型/降速</t>
  </si>
  <si>
    <t>164/OFF</t>
  </si>
  <si>
    <t>32(28.5)</t>
  </si>
  <si>
    <t>5.5(4.2)</t>
  </si>
  <si>
    <t>109.9.18</t>
  </si>
  <si>
    <t>2F1CN2(A20-B)1CJ2-換原絲</t>
  </si>
  <si>
    <t>1.5(1.7)</t>
  </si>
  <si>
    <t>2F1CP1(T01-L)(1CG1-物性)</t>
  </si>
  <si>
    <t>182/OFF</t>
  </si>
  <si>
    <t>6(4.4)</t>
  </si>
  <si>
    <t>2F1CQ2(M06)1CL2</t>
  </si>
  <si>
    <t>2F1CR1(M04)-1CP1-機型/降速</t>
  </si>
  <si>
    <t>6(4.5)</t>
  </si>
  <si>
    <t>2F1CS2(M04)1CQ2色差</t>
  </si>
  <si>
    <t>2F1CT2(S2)1CS2機型/升速/DR</t>
  </si>
  <si>
    <t>277/277/OFF</t>
  </si>
  <si>
    <t>2F1CU2(M04)1CS2換原絲</t>
  </si>
  <si>
    <t>FP-81800R</t>
  </si>
  <si>
    <t>60(45)</t>
  </si>
  <si>
    <t>2F1CW1(A19)1CG1</t>
  </si>
  <si>
    <t>FP-81805R</t>
  </si>
  <si>
    <t>6(4.8)</t>
  </si>
  <si>
    <t>110.6.25</t>
  </si>
  <si>
    <t>2F1CX1(A12-B)1CW1換原絲</t>
  </si>
  <si>
    <t>110.8.19</t>
  </si>
  <si>
    <t>2F1CY1(A12-B)1CX1換原絲</t>
  </si>
  <si>
    <t>110.9.17</t>
  </si>
  <si>
    <t>2F1CZ2(A12-A)1CN2-換原絲</t>
  </si>
  <si>
    <t>FP-81807R</t>
  </si>
  <si>
    <t>110.10.12</t>
  </si>
  <si>
    <t>2F1D02(A18)1992-換原絲/升速</t>
  </si>
  <si>
    <t>FP-81010R</t>
  </si>
  <si>
    <t>1.6(2.2)</t>
  </si>
  <si>
    <t>109.9.14</t>
  </si>
  <si>
    <t>2F1D12(A12-B)1D02-不同機台</t>
  </si>
  <si>
    <t>2F1D32(A15)1D12-色差</t>
  </si>
  <si>
    <t>2F1D42(M07)1D32-機型</t>
  </si>
  <si>
    <t>110.2.9</t>
  </si>
  <si>
    <t>2F1D52(M07)1D42-換原絲</t>
  </si>
  <si>
    <t>2F1D62(A21-B)1D32-換原絲</t>
  </si>
  <si>
    <t>FP-81046R</t>
  </si>
  <si>
    <t>110.5.15</t>
  </si>
  <si>
    <t>2F1DA2(M04)1BG2-換原絲/LIKE1Z02物性</t>
  </si>
  <si>
    <t>28.2</t>
  </si>
  <si>
    <t>3.5(4.0)</t>
  </si>
  <si>
    <t>2F1DC2(A11-B)1BP2-換原絲/DR/溫度</t>
  </si>
  <si>
    <t>FP-61063</t>
  </si>
  <si>
    <t>12.5(14.5)</t>
  </si>
  <si>
    <t>60(55)</t>
  </si>
  <si>
    <t>111.12.23</t>
  </si>
  <si>
    <t>2F1DD2(A15-A)1T12-換原絲/DR</t>
  </si>
  <si>
    <t>111.12.21</t>
  </si>
  <si>
    <t>2F1DE2(M06)1CU2換原絲/AP壓力升</t>
  </si>
  <si>
    <t>112.1.3</t>
  </si>
  <si>
    <t>2F1DF2(A19-A)1BS2-DR</t>
  </si>
  <si>
    <t>65±15(75)</t>
  </si>
  <si>
    <t>2F1DG2(A15)1BS2換原絲/DR</t>
  </si>
  <si>
    <t>FP-81138R</t>
  </si>
  <si>
    <t>19(22)</t>
  </si>
  <si>
    <t>2F1DH1(A23)1BV1/條件用1BZ1/改3.9KG</t>
  </si>
  <si>
    <t>112.1.7</t>
  </si>
  <si>
    <t>2F1DI2(T01-R)1AS2換原絲</t>
  </si>
  <si>
    <t>FP-81121R</t>
  </si>
  <si>
    <t>80(70)</t>
  </si>
  <si>
    <t>旭寬灰5嚴挑</t>
  </si>
  <si>
    <t>2F1DJ2(A19-B)1DG2/修DR</t>
  </si>
  <si>
    <t>65±15(70)</t>
  </si>
  <si>
    <t>2F1DK1(A23-B)1BZ1-新紗</t>
  </si>
  <si>
    <t>30(45)</t>
  </si>
  <si>
    <t>112.1.27</t>
  </si>
  <si>
    <t>2F1DL2(A24)1Y22換原絲丹尼不同/DR</t>
  </si>
  <si>
    <t>FP-61064R</t>
  </si>
  <si>
    <t>125/72CDR</t>
  </si>
  <si>
    <t>27-29.5-2/2修</t>
  </si>
  <si>
    <t>112.1.17</t>
  </si>
  <si>
    <t>2F1DM2(A07-A)1BY2</t>
  </si>
  <si>
    <t>112.3.13</t>
  </si>
  <si>
    <t>2F1DP1(A21)1G21-換原絲/DR/降速/錠片減</t>
  </si>
  <si>
    <t xml:space="preserve">FP-81131R                    </t>
  </si>
  <si>
    <t>112.2.3</t>
  </si>
  <si>
    <t>2F1DQ2(A19-B)1DJ2-新紗</t>
  </si>
  <si>
    <t>112.2.9</t>
  </si>
  <si>
    <t>2F1DR2(A15)1DG2新紗</t>
  </si>
  <si>
    <t>2F1DS1(A23)1DK1-改3.6KG/DR修丹尼</t>
  </si>
  <si>
    <t>3.6</t>
  </si>
  <si>
    <t>30(25)</t>
  </si>
  <si>
    <t>2F1DT2(A24-B)1DL2換異常原絲</t>
  </si>
  <si>
    <t>112.2.8</t>
  </si>
  <si>
    <t>2F1DU2(M02)1DD2-換原絲/機型/DR(條件用1DA2)</t>
  </si>
  <si>
    <t>FP-81823R</t>
  </si>
  <si>
    <t>112.2.14</t>
  </si>
  <si>
    <t>2F1DV2(A24-A)1Y22換原絲</t>
  </si>
  <si>
    <t>FP-61663R</t>
  </si>
  <si>
    <t>130/72CDRO</t>
  </si>
  <si>
    <t>112.2.17</t>
  </si>
  <si>
    <t>2F1DW2(A08)1Z02換原絲/DR</t>
  </si>
  <si>
    <t xml:space="preserve">FP-81139R                       </t>
  </si>
  <si>
    <t>20↑23-3/20</t>
  </si>
  <si>
    <t>2F1DX2(A15)1P32-換原絲/DR/溫度</t>
  </si>
  <si>
    <t>FP-61071</t>
  </si>
  <si>
    <t>112.3.2</t>
  </si>
  <si>
    <t>2F1DY2(A10-B)5F1WE2換原絲/改重量</t>
  </si>
  <si>
    <t>FP-61076R</t>
  </si>
  <si>
    <t>112.3.1</t>
  </si>
  <si>
    <t>2F1DZ2(A08-B)1U02</t>
  </si>
  <si>
    <t>112.2.24</t>
  </si>
  <si>
    <t>2F1E02(M08)19P2-換原絲</t>
  </si>
  <si>
    <t>FP-61617</t>
  </si>
  <si>
    <t>110.5.24</t>
  </si>
  <si>
    <t>2F1E11(A15)19J1-換原絲</t>
  </si>
  <si>
    <t>FP-61620</t>
  </si>
  <si>
    <t>110.5.27</t>
  </si>
  <si>
    <t>2F1E22(A23-A)19X2-換原絲/DR</t>
  </si>
  <si>
    <t>FP-61616</t>
  </si>
  <si>
    <t>2F1E32(A13-B)1C52-色差/DR</t>
  </si>
  <si>
    <t>2F1E42(A12-A)1C22改不加O</t>
  </si>
  <si>
    <t>231/231/OFF</t>
  </si>
  <si>
    <t>18(14.8)</t>
  </si>
  <si>
    <t>2F1E52(A07)1A22-換原絲</t>
  </si>
  <si>
    <t>FP-61621R</t>
  </si>
  <si>
    <t>2F1E62(A24-B)19H2-換原絲-含氧紗</t>
  </si>
  <si>
    <t>FP-61618</t>
  </si>
  <si>
    <t>110.6.1</t>
  </si>
  <si>
    <t>2F1E71(A12-B)D2S1</t>
  </si>
  <si>
    <t>110.6.4</t>
  </si>
  <si>
    <t>2F1E82(A12-A)1E42改加O/DR</t>
  </si>
  <si>
    <t>110.6.7</t>
  </si>
  <si>
    <t>2F1E91(A20)-5F1TS1換原絲/降速/重量</t>
  </si>
  <si>
    <t>3.4</t>
  </si>
  <si>
    <t xml:space="preserve">FP-61748R                       </t>
  </si>
  <si>
    <t>110.6.8</t>
  </si>
  <si>
    <t>2F1EA1(M06)1MG1(外購紗)3.0KG</t>
  </si>
  <si>
    <t>32(34-3/3)</t>
  </si>
  <si>
    <t>2F1EB1(M05)1ME1(外購紗)</t>
  </si>
  <si>
    <t>170/160</t>
  </si>
  <si>
    <t>112.3.3</t>
  </si>
  <si>
    <t>2F1EC2(M01)1BX2</t>
  </si>
  <si>
    <t>2F1ED2(A11-B)1Z12-換原絲</t>
  </si>
  <si>
    <t>FP-61073R</t>
  </si>
  <si>
    <t>2F1EF2(A21)1BQ2-換原絲</t>
  </si>
  <si>
    <t>FP-81141R</t>
  </si>
  <si>
    <t>2F1EG2(M01)1EC2換原絲/DR</t>
  </si>
  <si>
    <t>112.3.15</t>
  </si>
  <si>
    <t>2F1EH2(A16-B)1S72-換原絲</t>
  </si>
  <si>
    <t xml:space="preserve">FP-81822R                       </t>
  </si>
  <si>
    <t>2F1EI2(A16-B)1BT2-DR/重量…</t>
  </si>
  <si>
    <t>112.3.27</t>
  </si>
  <si>
    <t>2F1EJ2(A07-B)1BU2換原絲</t>
  </si>
  <si>
    <t>FP-61080</t>
  </si>
  <si>
    <t>112.3.24</t>
  </si>
  <si>
    <t>2F1EK2(M02)1BW2/1LZ2(外購紗)換原絲</t>
  </si>
  <si>
    <t>FP-61737R</t>
  </si>
  <si>
    <t>2F1EL2(A08)1DW2換原絲/溫度</t>
  </si>
  <si>
    <t xml:space="preserve">FP-61811R                       </t>
  </si>
  <si>
    <t>2F1EM2(A21-A)1EF2-色差</t>
  </si>
  <si>
    <t>2F1EN1(M05)1EB1換原絲</t>
  </si>
  <si>
    <t>112.4.6</t>
  </si>
  <si>
    <t>2F1EP1(M06-A)1EA1換原絲</t>
  </si>
  <si>
    <t>112.4.7</t>
  </si>
  <si>
    <t>2F1EQ2(A07-A)1P92換原絲/DR/溫度</t>
  </si>
  <si>
    <t>FP-81826R</t>
  </si>
  <si>
    <t>2F1ER2(A16-A)1DZ2/DR</t>
  </si>
  <si>
    <t>112.4.12</t>
  </si>
  <si>
    <t>2F1ES2(A11-A)1DC2-DR/溫度</t>
  </si>
  <si>
    <t>23.5↑27.0-5/3</t>
  </si>
  <si>
    <t>112.4.17</t>
  </si>
  <si>
    <t>2F1ET2(A21)1DC2-換原絲/溫度</t>
  </si>
  <si>
    <t>FP-61087</t>
  </si>
  <si>
    <t>112.4.21</t>
  </si>
  <si>
    <t>2F1EU2(M01)1AN2換原絲</t>
  </si>
  <si>
    <t>29.7</t>
  </si>
  <si>
    <t xml:space="preserve">FP-81148R                       </t>
  </si>
  <si>
    <t>2F1EV2(A19-A)1DQ2-換原絲</t>
  </si>
  <si>
    <t>FP-81146R</t>
  </si>
  <si>
    <t>112.4.28</t>
  </si>
  <si>
    <t>2F1EW2(M02)1EG2換原絲</t>
  </si>
  <si>
    <t>112.5.2</t>
  </si>
  <si>
    <t>2F1EX2(A07-B)1EJ2換原絲</t>
  </si>
  <si>
    <t>FP-61088</t>
  </si>
  <si>
    <t>112.5.3</t>
  </si>
  <si>
    <t>2F1EY2(A08-B)絲開發</t>
  </si>
  <si>
    <t>250/250/130</t>
  </si>
  <si>
    <t>2F1EZ2(A15)1EL2換原絲</t>
  </si>
  <si>
    <t xml:space="preserve">FP-81145R                       </t>
  </si>
  <si>
    <t>2F1F02(A21)1312-換原絲/DR</t>
  </si>
  <si>
    <t>110.6.11</t>
  </si>
  <si>
    <t>2F1F12(A23-A)1C02-換原絲</t>
  </si>
  <si>
    <t>FP-61626R</t>
  </si>
  <si>
    <t>110.6.15</t>
  </si>
  <si>
    <t>2F1F22(A13-A)1AH2-換原絲/DR</t>
  </si>
  <si>
    <t>2F1F31(A21)1341-換原絲/DR</t>
  </si>
  <si>
    <t>30±20(42)</t>
  </si>
  <si>
    <t>2F1F42(A20)-D4X2</t>
  </si>
  <si>
    <t xml:space="preserve">FP-61624                    </t>
  </si>
  <si>
    <t>110.6.17</t>
  </si>
  <si>
    <t>2F1F53(A15)1C73色差</t>
  </si>
  <si>
    <t>2F1F62(A12-B)1E82換原絲/DR/加錠片</t>
  </si>
  <si>
    <t>FP-61630R</t>
  </si>
  <si>
    <t>110.6.22</t>
  </si>
  <si>
    <t>2F1F72(A15-A)1C32-色差</t>
  </si>
  <si>
    <t>2F1F81(A21)1F31-改重量3.7KG</t>
  </si>
  <si>
    <t>2F1F92(A23-A)1C42-加錠片</t>
  </si>
  <si>
    <t>FP-61631R</t>
  </si>
  <si>
    <t>135(131)</t>
  </si>
  <si>
    <t>65(60)</t>
  </si>
  <si>
    <t>110.7.5</t>
  </si>
  <si>
    <t>2F1FA2(A11-B)1ED2-換原絲</t>
  </si>
  <si>
    <t>FP-61089R</t>
  </si>
  <si>
    <t>112.5.11</t>
  </si>
  <si>
    <t>2F1FB2(A08-B)1EV2-機台別</t>
  </si>
  <si>
    <t>112.5.9</t>
  </si>
  <si>
    <t>2F1FC2(A18-B)1EV2-改規格</t>
  </si>
  <si>
    <t>112.5.10</t>
  </si>
  <si>
    <t>2F1FD1(A13)1DP1-換原絲</t>
  </si>
  <si>
    <t xml:space="preserve">FP-81133R                    </t>
  </si>
  <si>
    <t>112.5.12</t>
  </si>
  <si>
    <t>2F1FF2(T02-R)1DI2換原絲T/E-不同</t>
  </si>
  <si>
    <t>FP-81145R</t>
  </si>
  <si>
    <t>2F1FG2(A12)1BK2換原絲</t>
  </si>
  <si>
    <t xml:space="preserve">FP-81823R                      </t>
  </si>
  <si>
    <t>2F1FH2(T02-L)</t>
  </si>
  <si>
    <t>75/96SDR</t>
  </si>
  <si>
    <t>165/150</t>
  </si>
  <si>
    <t xml:space="preserve">FP-81124R                      </t>
  </si>
  <si>
    <t>125/96SDR</t>
  </si>
  <si>
    <t>2F1FI2(T04-R)1DZ2換原絲/DR/機型</t>
  </si>
  <si>
    <t xml:space="preserve">FP-81161                   </t>
  </si>
  <si>
    <t>2F1FJ1(S1)1BL1-換原絲/DR/AP壓力</t>
  </si>
  <si>
    <t>FP-81522R</t>
  </si>
  <si>
    <t>112.6.12</t>
  </si>
  <si>
    <t>2F1FK2(M02)1EU2換原絲/DR/溫度</t>
  </si>
  <si>
    <t xml:space="preserve">FP-81157R                       </t>
  </si>
  <si>
    <t>112.6.26</t>
  </si>
  <si>
    <t>2F1FL2(M02)1EW2換原絲</t>
  </si>
  <si>
    <t>112.6.5</t>
  </si>
  <si>
    <t>2F1FM2(M04)1DA2-換原絲/規格</t>
  </si>
  <si>
    <t xml:space="preserve">FP-81823R                       </t>
  </si>
  <si>
    <t>112.6.6</t>
  </si>
  <si>
    <t>2F1FN2(A07-B)1DM2</t>
  </si>
  <si>
    <t>FP-81524</t>
  </si>
  <si>
    <t>112.6.7</t>
  </si>
  <si>
    <t>2F1FP2(A18)1AY2-換原絲</t>
  </si>
  <si>
    <t>FP-61078</t>
  </si>
  <si>
    <t>112.6.9</t>
  </si>
  <si>
    <t>磷含量-6265</t>
  </si>
  <si>
    <t>2F1FQ2(T03)1FF2換原絲</t>
  </si>
  <si>
    <t>650↓600-6/14</t>
  </si>
  <si>
    <t>FP-61811R</t>
  </si>
  <si>
    <t>廠商-旭寬迪卡儂作業4.5</t>
  </si>
  <si>
    <t>2F1FR2(M01)1DU2-DR</t>
  </si>
  <si>
    <t>112.6.14</t>
  </si>
  <si>
    <t>2F1FS2(A12-B)1FG2換原絲</t>
  </si>
  <si>
    <t xml:space="preserve">FP-81145R                      </t>
  </si>
  <si>
    <t>白紅星</t>
  </si>
  <si>
    <t>2F1FT2(M05)1EK2/1LZ2(外購紗)換原絲</t>
  </si>
  <si>
    <t>2F1FU2(A08)1FB2-換原絲</t>
  </si>
  <si>
    <t>FP-81158R</t>
  </si>
  <si>
    <t>112.6.19</t>
  </si>
  <si>
    <t>2F1FV2(A17)1EZ2換原絲</t>
  </si>
  <si>
    <t>2F1FW2(A19-B)1EV2-換原絲</t>
  </si>
  <si>
    <t>FP-81160R</t>
  </si>
  <si>
    <t>112.6.28</t>
  </si>
  <si>
    <t>2F1FX2(A20-A)1EM2</t>
  </si>
  <si>
    <t>112.6.30</t>
  </si>
  <si>
    <t>2F1FY2(A18-B)1FA2</t>
  </si>
  <si>
    <t>磷含量-5855</t>
  </si>
  <si>
    <t>2F1FZ2(A14)1AZ2換原絲/DR/溫度</t>
  </si>
  <si>
    <t>FP-61092</t>
  </si>
  <si>
    <t>29↓27-7/19</t>
  </si>
  <si>
    <t>112.7.7</t>
  </si>
  <si>
    <t>2F1G01(A13-B)1F81機台別</t>
  </si>
  <si>
    <t>110.7.8</t>
  </si>
  <si>
    <t>2F1G12(A15-A)19S2-色差</t>
  </si>
  <si>
    <t>2F1G21(A19-A)1F31-換原絲/修節牢</t>
  </si>
  <si>
    <t>3.5/3.2(S)</t>
  </si>
  <si>
    <t>110.7.14</t>
  </si>
  <si>
    <t>黃底白點/白黃條紋</t>
  </si>
  <si>
    <t>2F1G32(A12)1E22-換原絲/DR</t>
  </si>
  <si>
    <t>FP-61629</t>
  </si>
  <si>
    <t>110.7.13</t>
  </si>
  <si>
    <t>2F1G42(A15-B)1C92-換原絲</t>
  </si>
  <si>
    <t xml:space="preserve">FP-61921                    </t>
  </si>
  <si>
    <t>110.7.17</t>
  </si>
  <si>
    <t>2F1G52(A08-B)1A52-換原絲</t>
  </si>
  <si>
    <t>110.7.21</t>
  </si>
  <si>
    <t>2F1G62(A23-A)1F62換原絲/DR</t>
  </si>
  <si>
    <t>FP-81723R</t>
  </si>
  <si>
    <t>2F1G72(S1)9892換原絲/DR</t>
  </si>
  <si>
    <t>110.8.4</t>
  </si>
  <si>
    <t>2F1G83(A24-A)1F53色差</t>
  </si>
  <si>
    <t>2F1G91(A21-A)1F81-色差</t>
  </si>
  <si>
    <t>110.8.6</t>
  </si>
  <si>
    <t>2F1GA2(A18-B)1GG2-換原絲</t>
  </si>
  <si>
    <t>112.7.27</t>
  </si>
  <si>
    <t>2F1GB2(A12-B)1FS2換原絲/DR</t>
  </si>
  <si>
    <t xml:space="preserve">FP-81166R                      </t>
  </si>
  <si>
    <t>2F1GC2(A19-B)1FW2-換原絲</t>
  </si>
  <si>
    <t>FP-81163R</t>
  </si>
  <si>
    <t>112.7.12</t>
  </si>
  <si>
    <t>2F1GD2(M01)1DA2-換原絲/LIKE-1FF2物性</t>
  </si>
  <si>
    <t xml:space="preserve">FP-81166R                       </t>
  </si>
  <si>
    <t>2F1GE2(M02)1FL2</t>
  </si>
  <si>
    <t>2F1GF2(A20)1FP2-換原絲/DR</t>
  </si>
  <si>
    <t>26↑30-7/21</t>
  </si>
  <si>
    <t>112.7.18</t>
  </si>
  <si>
    <t>磷含量-6820</t>
  </si>
  <si>
    <t>2F1GG2(A18-B)1FW2-換原絲</t>
  </si>
  <si>
    <t>FP-81165R</t>
  </si>
  <si>
    <t>112.7.14</t>
  </si>
  <si>
    <t>2F1GH2(M06)1GD2-換原絲/LIKE-1FF2物性</t>
  </si>
  <si>
    <t>600↓550-8/8</t>
  </si>
  <si>
    <t>31.4</t>
  </si>
  <si>
    <t>112.7.20</t>
  </si>
  <si>
    <t>2F1GI2(A19-A)1GC2-換原絲</t>
  </si>
  <si>
    <t>2F1GJ2(A08)1FU2-換原絲</t>
  </si>
  <si>
    <t>2F1GK2(A07)1FN2</t>
  </si>
  <si>
    <t>112.7.28</t>
  </si>
  <si>
    <t>2F1GL1(M05)1EN1換原絲</t>
  </si>
  <si>
    <t>FP-81159R</t>
  </si>
  <si>
    <t>2F1GM2(S1)1G72換原絲/DR</t>
  </si>
  <si>
    <t>FP-81523R</t>
  </si>
  <si>
    <t>125/72SAR</t>
  </si>
  <si>
    <t>112.7.31</t>
  </si>
  <si>
    <t>2F1GN2(A07-B)1GK2換原絲</t>
  </si>
  <si>
    <t>FP-81528</t>
  </si>
  <si>
    <t>4↓3.5-8/10</t>
  </si>
  <si>
    <t>23↑28-8/10</t>
  </si>
  <si>
    <t>112.8.4</t>
  </si>
  <si>
    <t>2F1GP2(A10-B)1DY2換原絲/降速/DR</t>
  </si>
  <si>
    <t>FP-81525R</t>
  </si>
  <si>
    <t>4↓3.5-8/18</t>
  </si>
  <si>
    <t>23.5↓21.0-8/18</t>
  </si>
  <si>
    <t>112.8.10</t>
  </si>
  <si>
    <t>2F1GQ2(A19)1FX2換原絲/DR/溫度迪卡儂COA-Den-73.0↑75.0-8/25-發給迪卡儂作假-不同合約(合約Den73)</t>
  </si>
  <si>
    <t>75-不同合約</t>
  </si>
  <si>
    <t>112.8.15</t>
  </si>
  <si>
    <t>2F1GR2(M02)1GE2換原絲/DR/升速</t>
  </si>
  <si>
    <t>30.6</t>
  </si>
  <si>
    <t>161/160</t>
  </si>
  <si>
    <t>112.8.21</t>
  </si>
  <si>
    <t>2F1GS2(A07-A)1EX2升速/DR</t>
  </si>
  <si>
    <t>112.8.18</t>
  </si>
  <si>
    <t>2F1GT1(S1)</t>
  </si>
  <si>
    <t xml:space="preserve">FP-81200           </t>
  </si>
  <si>
    <t>112.8.17</t>
  </si>
  <si>
    <t>2F1GU2(A08)1GJ2改不同規格</t>
  </si>
  <si>
    <t>2F1GV2(A12)1EZ2換原絲/DR/升速-改不同規格</t>
  </si>
  <si>
    <t>112.8.22</t>
  </si>
  <si>
    <t>2F1GW2(A13-A)1FZ2換原絲</t>
  </si>
  <si>
    <t>112.8.24</t>
  </si>
  <si>
    <t>2F1GX2(A07-B)1GS2換原絲</t>
  </si>
  <si>
    <t>FP-61096</t>
  </si>
  <si>
    <t>2F1GY2(M05)1FT2換原絲/DR</t>
  </si>
  <si>
    <t>112.8.29</t>
  </si>
  <si>
    <t>2F1GZ2(A11-B)1ET2升速</t>
  </si>
  <si>
    <t>112.8.31</t>
  </si>
  <si>
    <t>磷含量-6550</t>
  </si>
  <si>
    <t>2F1H02(A07-B)1E62-換原絲-含氧紗</t>
  </si>
  <si>
    <t>110.8.16</t>
  </si>
  <si>
    <t>2F1H12(A23-B)1G62規格不加O</t>
  </si>
  <si>
    <t>110.8.20</t>
  </si>
  <si>
    <t>2F1H23(A24-A)1G83換原絲/DR</t>
  </si>
  <si>
    <t>287/287/149</t>
  </si>
  <si>
    <t>110.8.23</t>
  </si>
  <si>
    <t>2F1H32(A15-A)1C82色差/DR</t>
  </si>
  <si>
    <t>110.8.26</t>
  </si>
  <si>
    <t>2F1H42(A07-B)1H02-換原絲-含氧紗</t>
  </si>
  <si>
    <t>FP-61650</t>
  </si>
  <si>
    <t>110.9.3</t>
  </si>
  <si>
    <t>2F1H51(A23-B)1A41換原絲</t>
  </si>
  <si>
    <t xml:space="preserve">FP-61827R                       </t>
  </si>
  <si>
    <t>40(56)</t>
  </si>
  <si>
    <t>2F1H61(A09-A)-1E91換原絲/重量</t>
  </si>
  <si>
    <t xml:space="preserve">FP-81049R                       </t>
  </si>
  <si>
    <t>110.9.8</t>
  </si>
  <si>
    <t>2F1H72(A22)1A62-換原絲</t>
  </si>
  <si>
    <t>2F1H82(A13-A)1A62-換原絲</t>
  </si>
  <si>
    <t>700↓650</t>
  </si>
  <si>
    <t>244/244/OFF</t>
  </si>
  <si>
    <t>110.9.9</t>
  </si>
  <si>
    <t>2F1H91(A19)1G01色差</t>
  </si>
  <si>
    <t>2F1HA1(A13)1DP1-換原絲</t>
  </si>
  <si>
    <t xml:space="preserve">FP-81177R                    </t>
  </si>
  <si>
    <t>120/144SDR2</t>
  </si>
  <si>
    <t>112.9.4</t>
  </si>
  <si>
    <t>2F1HB2(A12-A)1GB2換原絲/DR</t>
  </si>
  <si>
    <t xml:space="preserve">FP-81180R                      </t>
  </si>
  <si>
    <t>112.9.1</t>
  </si>
  <si>
    <t>2F1HC2(A11-B)1GZ2換原絲/降速/DR</t>
  </si>
  <si>
    <t>112.9.12</t>
  </si>
  <si>
    <t>磷含量-6655</t>
  </si>
  <si>
    <t>2F1HD2(A15-B)1EZ2換原絲/升速/DR</t>
  </si>
  <si>
    <t xml:space="preserve">FP-81175R                       </t>
  </si>
  <si>
    <t>2F1HE2(M02)1W52(物性LIKE-1EH2同1W52)</t>
  </si>
  <si>
    <t xml:space="preserve">FP-81935R                      </t>
  </si>
  <si>
    <t>112.9.13</t>
  </si>
  <si>
    <t>2F1HF1(A24-A)1FJ1-換原絲/DR/機型/降速</t>
  </si>
  <si>
    <t>FP-81532R</t>
  </si>
  <si>
    <t>112.9.15</t>
  </si>
  <si>
    <t>2F1HG1(A13-A)1DS1-改換原絲/溫度/DR</t>
  </si>
  <si>
    <t>500↑550-11/3(A15)</t>
  </si>
  <si>
    <t>2F1HH2(M06)1GY2換原絲/升速/DR/改規格</t>
  </si>
  <si>
    <t>75/36SDR2</t>
  </si>
  <si>
    <t>650↑700-11/7</t>
  </si>
  <si>
    <t>FP-81181R</t>
  </si>
  <si>
    <t>2F1HI2(A11-A)1FA2-換原絲/DR/降速</t>
  </si>
  <si>
    <t>FP-81610R</t>
  </si>
  <si>
    <t>112.9.18</t>
  </si>
  <si>
    <t>磷含量-5845</t>
  </si>
  <si>
    <t>2F1HJ1(A12-A)-1M11換原絲-改5.0KG/規格/降速</t>
  </si>
  <si>
    <t xml:space="preserve">FP-81180R                       </t>
  </si>
  <si>
    <t>112.9.20</t>
  </si>
  <si>
    <t>2F1HK2(A11-A)1GI2</t>
  </si>
  <si>
    <t>112.10.6</t>
  </si>
  <si>
    <t>2F1HL1(M05)1GL1換原絲/降速</t>
  </si>
  <si>
    <t>29.2</t>
  </si>
  <si>
    <t>167/160</t>
  </si>
  <si>
    <t>2F1HM2(A08)1GN2換原絲</t>
  </si>
  <si>
    <t>FP-81534</t>
  </si>
  <si>
    <t>28↓25-10/17</t>
  </si>
  <si>
    <t>112.10.12</t>
  </si>
  <si>
    <t>2F1HN1(A15-B)1HA1</t>
  </si>
  <si>
    <t>19↑20.5-10/26</t>
  </si>
  <si>
    <t>2F1HP2(A17)1HC2</t>
  </si>
  <si>
    <t>磷含量-5959</t>
  </si>
  <si>
    <t>2F1HR2(S1)1GW2換原絲</t>
  </si>
  <si>
    <t>FP-61085</t>
  </si>
  <si>
    <t>2F1HS1(A19)1HG1-</t>
  </si>
  <si>
    <t>112.10.20</t>
  </si>
  <si>
    <t>2F1HT2(M05)1GR2</t>
  </si>
  <si>
    <t>157/160</t>
  </si>
  <si>
    <t>4↓3.5-10/26</t>
  </si>
  <si>
    <t>3.5↓3.0-11/2</t>
  </si>
  <si>
    <t>112.10.24</t>
  </si>
  <si>
    <t>2F1HU2(M05)1W52換原絲/規格(物性LIKE-1AT2)</t>
  </si>
  <si>
    <t xml:space="preserve">FP-81991R                      </t>
  </si>
  <si>
    <t>2F1HV1(A12)1M11換原絲/DR/重量-3.3KG</t>
  </si>
  <si>
    <t>2F1HW2(S1)1AV2換原絲/DR</t>
  </si>
  <si>
    <t>FP-81747</t>
  </si>
  <si>
    <t>112.10.31</t>
  </si>
  <si>
    <t>2F1HX2(S1)1EY2換原絲/DR/機型</t>
  </si>
  <si>
    <t>255/255/130</t>
  </si>
  <si>
    <t xml:space="preserve">FP-81535                 </t>
  </si>
  <si>
    <t>112.11.3</t>
  </si>
  <si>
    <t>2F1HY2(A12)1HB2/DR</t>
  </si>
  <si>
    <t>112.11.6</t>
  </si>
  <si>
    <t>2F1HZ2(A17)1FY2/換原絲/DR</t>
  </si>
  <si>
    <t>磷含量-5675</t>
  </si>
  <si>
    <t>2F1I02(M03)1E02-換原絲</t>
  </si>
  <si>
    <t>FP-61657</t>
  </si>
  <si>
    <t>125/72KR6</t>
  </si>
  <si>
    <t>110.9.16</t>
  </si>
  <si>
    <t>2F1I12(A15-A)1H82-機台別/降速</t>
  </si>
  <si>
    <t>241/241/OFF</t>
  </si>
  <si>
    <t>110.9.15</t>
  </si>
  <si>
    <t>2F1I22(A09)1A22-換原絲/DR</t>
  </si>
  <si>
    <t>FP-61649R</t>
  </si>
  <si>
    <t>2F1I32(A12-A)9Y62-降速</t>
  </si>
  <si>
    <t>110.9.28</t>
  </si>
  <si>
    <t>2F1I41(A24-A)1H51換原絲/DR</t>
  </si>
  <si>
    <t>2F1I52(A22)1H72-換原絲/降速/DR</t>
  </si>
  <si>
    <t>110.9.22</t>
  </si>
  <si>
    <t>2F1I62(A07-B)</t>
  </si>
  <si>
    <t>FP-61636</t>
  </si>
  <si>
    <t>110.9.24</t>
  </si>
  <si>
    <t>2F1I72(A21)1H82-換原絲/升速</t>
  </si>
  <si>
    <t xml:space="preserve">FP-81054R                       </t>
  </si>
  <si>
    <t>110.10.1</t>
  </si>
  <si>
    <t>2F1I82(A13)1I72-換原絲/DR</t>
  </si>
  <si>
    <t>110.10.7</t>
  </si>
  <si>
    <t>2F1I92(A23)1F12-換原絲</t>
  </si>
  <si>
    <t>FP-61648R</t>
  </si>
  <si>
    <t>2F1IA2(M01)1HU2換原絲</t>
  </si>
  <si>
    <t xml:space="preserve">FP-81822R                      </t>
  </si>
  <si>
    <t>2F1IB2(A07-B)1GX2/DR</t>
  </si>
  <si>
    <t>112.11.13</t>
  </si>
  <si>
    <t>2F1IC2(A22)1ID2</t>
  </si>
  <si>
    <t>550↓500-12/1</t>
  </si>
  <si>
    <t>FP-81536</t>
  </si>
  <si>
    <t>112.11.17</t>
  </si>
  <si>
    <t>2F1ID2(A08-B)1HM2換原絲/升速</t>
  </si>
  <si>
    <t>112.11.16</t>
  </si>
  <si>
    <t>紫黃條</t>
  </si>
  <si>
    <t>2F1IE1(M08)1HL1換原絲/升速</t>
  </si>
  <si>
    <t>172/160</t>
  </si>
  <si>
    <t>112.11.15</t>
  </si>
  <si>
    <t>2F1IF2(M08)1HH2/DR</t>
  </si>
  <si>
    <t>112.11.22</t>
  </si>
  <si>
    <t>2F1IG2(A09)1HK2換原絲/升速</t>
  </si>
  <si>
    <t>700↓650-11/28</t>
  </si>
  <si>
    <t>2F1IH2(A14-A)1GW2換原絲</t>
  </si>
  <si>
    <t>FP-81745R</t>
  </si>
  <si>
    <t>112.11.29</t>
  </si>
  <si>
    <t>2F1II1(A12)1HV1降速</t>
  </si>
  <si>
    <t>2F1IJ1(A19)1HS1-換原絲</t>
  </si>
  <si>
    <t>3.6/3.7(紫色)</t>
  </si>
  <si>
    <t xml:space="preserve">FP-81191R                    </t>
  </si>
  <si>
    <t>112.12.1</t>
  </si>
  <si>
    <t>2F1IK2(A07-B)1IB2換原絲</t>
  </si>
  <si>
    <t>FP-61098</t>
  </si>
  <si>
    <t>2F1IL2(A14-A)1IH2改規格</t>
  </si>
  <si>
    <t>112.12.5</t>
  </si>
  <si>
    <t>2F1IN2(T04-R)1FI2換原絲/DR/降速</t>
  </si>
  <si>
    <t xml:space="preserve">FP-81226                  </t>
  </si>
  <si>
    <t>112.12.8</t>
  </si>
  <si>
    <t>2F1IP1(M08)1IE1升速</t>
  </si>
  <si>
    <t>177/160</t>
  </si>
  <si>
    <t>112.12.12</t>
  </si>
  <si>
    <t>2F1IQ2(A17-B)1HP2升速</t>
  </si>
  <si>
    <t>112.12.14</t>
  </si>
  <si>
    <t>磷含量-6545</t>
  </si>
  <si>
    <t>2F1IR2(T04-R)1IN2換原絲</t>
  </si>
  <si>
    <t xml:space="preserve">FP-81227                  </t>
  </si>
  <si>
    <t>2F1IS2(A22-A)1HD2換原絲/改規格</t>
  </si>
  <si>
    <t xml:space="preserve">FP-81178R                       </t>
  </si>
  <si>
    <t>112.12.20</t>
  </si>
  <si>
    <t>2F1IT2(A12-B)1GQ2發給迪卡儂作假-不同合約(合約Den73)</t>
  </si>
  <si>
    <t>2F1IT2(A12-B)1GQ2發給迪卡儂(合約Den73)</t>
  </si>
  <si>
    <t>2F1IU2(A22-B)1GU2換原絲</t>
  </si>
  <si>
    <t>2F1IV2(A08-B)1ID2換原絲</t>
  </si>
  <si>
    <t>550↓500-1/4</t>
  </si>
  <si>
    <t>112.12.27</t>
  </si>
  <si>
    <t>2F1IW2(S1)S撚13X2換原絲/DR/降速/機型</t>
  </si>
  <si>
    <t xml:space="preserve">FP-81061R                       </t>
  </si>
  <si>
    <t>112.12.26</t>
  </si>
  <si>
    <t>2F1IW2(S1)S撚發迪卡儂作假-不同合約</t>
  </si>
  <si>
    <t>2F1IX2(A13)1HY2/換原絲</t>
  </si>
  <si>
    <t xml:space="preserve">FP-81199R                      </t>
  </si>
  <si>
    <t>112.12.28</t>
  </si>
  <si>
    <t>2F1IY2(A17-A)1IQ2換原絲</t>
  </si>
  <si>
    <t>FP-81609</t>
  </si>
  <si>
    <t>112.12.29</t>
  </si>
  <si>
    <t>磷含量-6250</t>
  </si>
  <si>
    <t>2F1IZ2(A11)1HK2換原絲</t>
  </si>
  <si>
    <t>113.1.3</t>
  </si>
  <si>
    <t>2F1J02(A19-B)9B82-換原絲/DR</t>
  </si>
  <si>
    <t>110.10.13</t>
  </si>
  <si>
    <t>2F1J12(A15-B)1I12-換原絲/升速/DR</t>
  </si>
  <si>
    <t>248/248/OFF</t>
  </si>
  <si>
    <t>2F1J22(A22-B)1H72-換原絲</t>
  </si>
  <si>
    <t>110.10.14</t>
  </si>
  <si>
    <t>2F1J31(A12)1CY1換原絲/DR</t>
  </si>
  <si>
    <t>2F1J42(A07-A)1H42-換原絲/DR</t>
  </si>
  <si>
    <t>FP-61656</t>
  </si>
  <si>
    <t>110.10.20</t>
  </si>
  <si>
    <t>2F1J71(A12-B)1J31換原絲/DR/溫度</t>
  </si>
  <si>
    <t>110.10.22</t>
  </si>
  <si>
    <t>2F1J81(A23-A)1E11-換原絲</t>
  </si>
  <si>
    <t>FP-61662</t>
  </si>
  <si>
    <t>110.10.29</t>
  </si>
  <si>
    <t>2F1J92(A09-B)1I32</t>
  </si>
  <si>
    <t>2F1JA2(M05)1IR2-DR/機型</t>
  </si>
  <si>
    <t>113.1.4</t>
  </si>
  <si>
    <t>2F1JB2(A12-A)1EQ2</t>
  </si>
  <si>
    <t>113.1.5</t>
  </si>
  <si>
    <t>2F1JC2(A12-B)1IY2換原絲</t>
  </si>
  <si>
    <t>113.1.12</t>
  </si>
  <si>
    <t>磷含量-6230</t>
  </si>
  <si>
    <t>2F1JD2(A22-A)1DX2-換原絲</t>
  </si>
  <si>
    <t>113.1.15</t>
  </si>
  <si>
    <t>2F1JE1(A19-B)1IJ1S-換原絲</t>
  </si>
  <si>
    <t xml:space="preserve">FP-81202R                    </t>
  </si>
  <si>
    <t>2F1JF2(A17)1IY2換原絲/DR</t>
  </si>
  <si>
    <t>113.1.19</t>
  </si>
  <si>
    <t>2F1JG2(A19)1Y12-換原絲/錠片減1片/升速</t>
  </si>
  <si>
    <t>113.1.22</t>
  </si>
  <si>
    <t>2F1JH2(A12-B)1BM2換原絲/DR/機型</t>
  </si>
  <si>
    <t xml:space="preserve">FP-81100R                       </t>
  </si>
  <si>
    <t>113.1.26</t>
  </si>
  <si>
    <t>2F1JI2(A12-A)1IT2/DR</t>
  </si>
  <si>
    <t>113.1.31</t>
  </si>
  <si>
    <t>2F1JJ2(M05)1JA2換原絲</t>
  </si>
  <si>
    <t>113.2.6</t>
  </si>
  <si>
    <t>2F1JK2(M04)1HH2換原絲/降速/DR/改規格</t>
  </si>
  <si>
    <t>113.1.30</t>
  </si>
  <si>
    <t>2F1JL2(A22-A)1IV2換機台</t>
  </si>
  <si>
    <t>2F1JM2(A17)1HZ2</t>
  </si>
  <si>
    <t>113.2.15</t>
  </si>
  <si>
    <t>磷含量-5716</t>
  </si>
  <si>
    <t>2F1JN1(M05)1GT1物性不同/換機台/換原絲</t>
  </si>
  <si>
    <t>3.5-2/21修</t>
  </si>
  <si>
    <t>20-2/21-修</t>
  </si>
  <si>
    <t>113.2.19</t>
  </si>
  <si>
    <t>2F1JP1(M05)1IP1換原絲</t>
  </si>
  <si>
    <t>177/170</t>
  </si>
  <si>
    <t>113.2.26</t>
  </si>
  <si>
    <t>2F1JQ2(M06)1HH2換原絲/改規格</t>
  </si>
  <si>
    <t>113.2.23</t>
  </si>
  <si>
    <t>2F1JR1(A13-B)1II1-DR/改規格/重量/換原絲</t>
  </si>
  <si>
    <t xml:space="preserve">FP-81199R                       </t>
  </si>
  <si>
    <t>2F1JS2(M03)1GP2換原絲/DR不同機型</t>
  </si>
  <si>
    <t>FP-81540R</t>
  </si>
  <si>
    <t>113.3.11</t>
  </si>
  <si>
    <t>2F1JT2(A13-B)1HD2換原絲/DR</t>
  </si>
  <si>
    <t>2F1JU2(A07-B)1IZ2/DR</t>
  </si>
  <si>
    <t>113.3.14</t>
  </si>
  <si>
    <t>2F1JV2(A17-B)1MM2(外購紗)</t>
  </si>
  <si>
    <t>113.3.19</t>
  </si>
  <si>
    <t>2F1JW2(T02-L)1BM2換原絲/DR(同物性1JH2)</t>
  </si>
  <si>
    <t>113.3.29</t>
  </si>
  <si>
    <t>2F1JX1(M05)1EA1升速</t>
  </si>
  <si>
    <t>700↓650-5/9</t>
  </si>
  <si>
    <t>30.1</t>
  </si>
  <si>
    <t>112.3.26</t>
  </si>
  <si>
    <t>2F1JY2(S1)1GM2換原絲/DR</t>
  </si>
  <si>
    <t>FP-61211R</t>
  </si>
  <si>
    <t>113.3.25</t>
  </si>
  <si>
    <t>2F1JZ1(M03)1V31換原絲</t>
  </si>
  <si>
    <t xml:space="preserve">FP-61103                                     </t>
  </si>
  <si>
    <t>2F1K02(A20-A)1F92換原絲/DR</t>
  </si>
  <si>
    <t>FP-61640R</t>
  </si>
  <si>
    <t>2F1K12(A12)1CZ2-換原絲/DR</t>
  </si>
  <si>
    <t>110.11.3</t>
  </si>
  <si>
    <t>2F1K22(A09-A)1J92色差</t>
  </si>
  <si>
    <t>110.11.2</t>
  </si>
  <si>
    <t>2F1M02(A09-A)1I62換原絲</t>
  </si>
  <si>
    <t>FP-61659</t>
  </si>
  <si>
    <t>110.11.5</t>
  </si>
  <si>
    <t>2F1M11(A22)-1H61換原絲-3.7KG</t>
  </si>
  <si>
    <t>257/257/OFF</t>
  </si>
  <si>
    <t>110.11.10</t>
  </si>
  <si>
    <t>2F1M22(A20-B)1I92-換原絲</t>
  </si>
  <si>
    <t>194/194/OFF</t>
  </si>
  <si>
    <t>110.11.12</t>
  </si>
  <si>
    <t>2F1M32(A20-A)1F62換原絲/DR/CC</t>
  </si>
  <si>
    <t>FP-61654R</t>
  </si>
  <si>
    <t>110.11.16</t>
  </si>
  <si>
    <t>2F1M42(A07-B)1K22色差</t>
  </si>
  <si>
    <t>110.11.19</t>
  </si>
  <si>
    <t>2F1M52(A22)2FL146</t>
  </si>
  <si>
    <t xml:space="preserve">FP-61606R                       </t>
  </si>
  <si>
    <t>110.11.18</t>
  </si>
  <si>
    <t>2F1M61(S1)1E71(AFK)降速/DR</t>
  </si>
  <si>
    <t>2F1M72(A09-A)1M02換原絲</t>
  </si>
  <si>
    <t>2F1M82(A21-B)1I22-換原絲/改重量</t>
  </si>
  <si>
    <t>FP-61673R</t>
  </si>
  <si>
    <t>110.11.29</t>
  </si>
  <si>
    <t>2F1M92(A20-A)1G62換原絲</t>
  </si>
  <si>
    <t>110.12.2</t>
  </si>
  <si>
    <t>2F1MS2(M07)1QL2(外購-做假資料)聯發</t>
  </si>
  <si>
    <t>黃底紫心</t>
  </si>
  <si>
    <t>2F1MT2(M03)1QL2(外購-做假資料)聯發</t>
  </si>
  <si>
    <t>2F1N01(A23)1H91色差</t>
  </si>
  <si>
    <t>110.12.6</t>
  </si>
  <si>
    <t>2F1N12(A07-B)1M72色差</t>
  </si>
  <si>
    <t>218/218/OFF</t>
  </si>
  <si>
    <t>110.12.10</t>
  </si>
  <si>
    <t>2F1N22(S2)1BI2-DR/機型</t>
  </si>
  <si>
    <t>2F1N32(A17-A)17S2-換原絲</t>
  </si>
  <si>
    <t>FP-61677</t>
  </si>
  <si>
    <t>110.12.21</t>
  </si>
  <si>
    <t>2F1N41(A09)1N01不同台/降速</t>
  </si>
  <si>
    <t>110.12.23</t>
  </si>
  <si>
    <t>2F1N52(S2)1K22-DR/機型</t>
  </si>
  <si>
    <t>110.12.24</t>
  </si>
  <si>
    <t>2F1N62(A07-A)1K12-DR</t>
  </si>
  <si>
    <t>283/283/OFF</t>
  </si>
  <si>
    <t>111.1.3</t>
  </si>
  <si>
    <t>2F1N72(A22-A)1N62</t>
  </si>
  <si>
    <t>111.1.4</t>
  </si>
  <si>
    <t>2F1N81(A18-B)1N01換原絲/降速</t>
  </si>
  <si>
    <t>111.1.6</t>
  </si>
  <si>
    <t>2F1N92(S2)1H32換原絲/DR</t>
  </si>
  <si>
    <t>120/72SXRO</t>
  </si>
  <si>
    <t>2F2001(A10-A)2BI1換原絲</t>
  </si>
  <si>
    <t>30.3</t>
  </si>
  <si>
    <t>342/292/159</t>
  </si>
  <si>
    <t xml:space="preserve">FP-61781R                                                                              </t>
  </si>
  <si>
    <t>170/36SDRD</t>
  </si>
  <si>
    <t>2F2011(A10)2001換原絲</t>
  </si>
  <si>
    <t>342/292/157</t>
  </si>
  <si>
    <t xml:space="preserve">FP-61782R                                                                              </t>
  </si>
  <si>
    <t>2F2021(A10)2011色差</t>
  </si>
  <si>
    <t>343/293/157</t>
  </si>
  <si>
    <t>108.2.9</t>
  </si>
  <si>
    <t>2F2031(A10-A)2021換原絲/DR</t>
  </si>
  <si>
    <t xml:space="preserve">FP-81905R                                                                              </t>
  </si>
  <si>
    <t>108.3.14</t>
  </si>
  <si>
    <t>2F2041(A10-A)2031色差</t>
  </si>
  <si>
    <t>2F2051(A24-B)20R1換原絲/DR</t>
  </si>
  <si>
    <t xml:space="preserve">FP-81988R                                                                                                  </t>
  </si>
  <si>
    <t>170/36SDR</t>
  </si>
  <si>
    <t>109.1.2</t>
  </si>
  <si>
    <t>2F2062(A24)5F2W92-換原絲</t>
  </si>
  <si>
    <t>335/285/OFF</t>
  </si>
  <si>
    <t xml:space="preserve">FP-81988R                                                                              </t>
  </si>
  <si>
    <t>2F2072(A24)2062-換原絲/降速/DR</t>
  </si>
  <si>
    <t>320/270/OFF</t>
  </si>
  <si>
    <t xml:space="preserve">FP-61525R                                                                              </t>
  </si>
  <si>
    <t>109.3.17</t>
  </si>
  <si>
    <t>2F2081(A24-A)2051換原絲</t>
  </si>
  <si>
    <t xml:space="preserve">FP-81937R                                                                                                  </t>
  </si>
  <si>
    <t>109.3.25</t>
  </si>
  <si>
    <t>2F2092(A24)2072-換原絲</t>
  </si>
  <si>
    <t>109.5.14</t>
  </si>
  <si>
    <t>2F20A3(M03)5F2Z43換原絲</t>
  </si>
  <si>
    <t>100/36BK</t>
  </si>
  <si>
    <t>190/165</t>
  </si>
  <si>
    <t>FP-61455</t>
  </si>
  <si>
    <t>170/36BK</t>
  </si>
  <si>
    <t>3.6(3.5)</t>
  </si>
  <si>
    <t>2F20B1(A20-B)2991換原絲</t>
  </si>
  <si>
    <t xml:space="preserve">FP-81905R       FP-81920R                                                                                                 </t>
  </si>
  <si>
    <t>2F20C2(T02-L)20D2-降速/色差</t>
  </si>
  <si>
    <t>50/72/2SDR</t>
  </si>
  <si>
    <t>FP-60466R×2</t>
  </si>
  <si>
    <t>87±10</t>
  </si>
  <si>
    <t>2F20D2(T02-L)2922-換原絲</t>
  </si>
  <si>
    <t>108.7.30</t>
  </si>
  <si>
    <t>2F20E2(T01)2902-換原絲</t>
  </si>
  <si>
    <t>FP-80932R×2</t>
  </si>
  <si>
    <t>2F20F2(T04-L)2982-換原絲</t>
  </si>
  <si>
    <t>FP-80931R×2</t>
  </si>
  <si>
    <t>2F20G1(A11-A)5F2Z91換原絲/DR</t>
  </si>
  <si>
    <t>100/96SDR</t>
  </si>
  <si>
    <t>FP-81961R</t>
  </si>
  <si>
    <t>165/96SDR</t>
  </si>
  <si>
    <t>108.8.16</t>
  </si>
  <si>
    <t>2F20H2(A11-B)2972換原絲</t>
  </si>
  <si>
    <t>108.8.19</t>
  </si>
  <si>
    <t>2F20I1(J07-R)91U1換原絲</t>
  </si>
  <si>
    <t>100/144SCTR</t>
  </si>
  <si>
    <t>15.5</t>
  </si>
  <si>
    <t>DH140</t>
  </si>
  <si>
    <t>FP-80934R+60445R</t>
  </si>
  <si>
    <t>85/72SDR+80/72CDRD</t>
  </si>
  <si>
    <t>108.9.24</t>
  </si>
  <si>
    <t>2F20J1(M01)5F2S81-換原絲-物性(LIKE-2871)</t>
  </si>
  <si>
    <t>FP-61471</t>
  </si>
  <si>
    <t>108.9.26</t>
  </si>
  <si>
    <t>2F20K2(S2)20H2換原絲/機型</t>
  </si>
  <si>
    <t>FP-61368R</t>
  </si>
  <si>
    <t>170/96SDR</t>
  </si>
  <si>
    <t>108.10.1</t>
  </si>
  <si>
    <t>2F20L2(M05)</t>
  </si>
  <si>
    <t>100/36SDRO</t>
  </si>
  <si>
    <t xml:space="preserve">FP-81973R                                                                              </t>
  </si>
  <si>
    <t>170/36SDRO</t>
  </si>
  <si>
    <t>2F20M2(M05)</t>
  </si>
  <si>
    <t>FP-81966R</t>
  </si>
  <si>
    <t>4.0(3.8)</t>
  </si>
  <si>
    <t>108.11.14</t>
  </si>
  <si>
    <t>2F20N1(A24)20B1換原絲</t>
  </si>
  <si>
    <t xml:space="preserve">FP-61666R                                                                                                  </t>
  </si>
  <si>
    <t>2F20P2(T02)2922-換原絲</t>
  </si>
  <si>
    <t>FP-80934R×2       FP-80913R×2</t>
  </si>
  <si>
    <t>2F20Q2(J08)換機型/降速</t>
  </si>
  <si>
    <t>100/36CDR</t>
  </si>
  <si>
    <t>320/300/150</t>
  </si>
  <si>
    <t>FP-61481R</t>
  </si>
  <si>
    <t>160/36CDR</t>
  </si>
  <si>
    <t>3.0(2.3)</t>
  </si>
  <si>
    <t>108.11.12</t>
  </si>
  <si>
    <t>2F20R1(A24-B)20N1換原絲</t>
  </si>
  <si>
    <t xml:space="preserve">FP-61667R                                                                                                  </t>
  </si>
  <si>
    <t>2F20U2(T03-R)20P2-色差</t>
  </si>
  <si>
    <t>FP-80913R×2</t>
  </si>
  <si>
    <t>109.2.10</t>
  </si>
  <si>
    <t>2F20V2(A16-A)5FDL22換原絲/降速/機型</t>
  </si>
  <si>
    <t>100/48ODBR</t>
  </si>
  <si>
    <t xml:space="preserve">FP-61493R                                                                                                  </t>
  </si>
  <si>
    <t>160/48ODBR</t>
  </si>
  <si>
    <t>6.0(5.5)</t>
  </si>
  <si>
    <t>109.2.19</t>
  </si>
  <si>
    <t>2F20W2(A17)2122-改標</t>
  </si>
  <si>
    <t>100/96SDRO</t>
  </si>
  <si>
    <t>FP-81992R</t>
  </si>
  <si>
    <t>2F20X1(A09)2871換原絲/升速</t>
  </si>
  <si>
    <t>109.4.7</t>
  </si>
  <si>
    <t>2F20Y2(A16)2072-換原絲/降速/DR</t>
  </si>
  <si>
    <t>280/260/OFF</t>
  </si>
  <si>
    <t xml:space="preserve">FP-81917R                                                                              </t>
  </si>
  <si>
    <t>2F20Z2(A15-A)</t>
  </si>
  <si>
    <t>50/72/2FDRO</t>
  </si>
  <si>
    <t>FP-60494R×2</t>
  </si>
  <si>
    <t>2F2102(A22)2Z72換原絲</t>
  </si>
  <si>
    <t>FP-613968R</t>
  </si>
  <si>
    <t>2F2112(A22)2Z72換原絲/DR</t>
  </si>
  <si>
    <t>FP-81908R</t>
  </si>
  <si>
    <t>170/96SDRD</t>
  </si>
  <si>
    <t>108.3.20</t>
  </si>
  <si>
    <t>2F2122(A23-A)20H2換原絲/DR</t>
  </si>
  <si>
    <t>109.1.3</t>
  </si>
  <si>
    <t>2F2132(A20)2122換原絲/DR</t>
  </si>
  <si>
    <t>FP-81004R</t>
  </si>
  <si>
    <t>110.5.17</t>
  </si>
  <si>
    <t>2F2142(S2)21W2換原絲/DR</t>
  </si>
  <si>
    <t>FP-61770R</t>
  </si>
  <si>
    <t>2F21A2(A16-B)20Y2換原絲</t>
  </si>
  <si>
    <t xml:space="preserve">FP-81939R                                                                              </t>
  </si>
  <si>
    <t>2F21B2(T03)2AC2換原絲/物性LIKE20Z2</t>
  </si>
  <si>
    <t>FP-60491×2</t>
  </si>
  <si>
    <t>2F21C2(T03-R)21B2換原絲/DR</t>
  </si>
  <si>
    <t>FP-60506R×2</t>
  </si>
  <si>
    <t>109.8.22</t>
  </si>
  <si>
    <t>2F21D2(M08)20L2換原絲</t>
  </si>
  <si>
    <t>109.9.22</t>
  </si>
  <si>
    <t>2F21E2(S1)20K2換原絲/DR</t>
  </si>
  <si>
    <t>FP-81011R</t>
  </si>
  <si>
    <t>165/96SDRO</t>
  </si>
  <si>
    <t>2F21F2(A21-A)99Y2換原絲/DR</t>
  </si>
  <si>
    <t>100/36CDRO</t>
  </si>
  <si>
    <t>FP-61551R</t>
  </si>
  <si>
    <t>170/36CDR</t>
  </si>
  <si>
    <t>3.0(2.4)</t>
  </si>
  <si>
    <t>2F21G2(A21-B)21F2換原絲</t>
  </si>
  <si>
    <t>FP-61573R</t>
  </si>
  <si>
    <t>3.0(2.9)</t>
  </si>
  <si>
    <t>2F21H2(A17)2122換原絲</t>
  </si>
  <si>
    <t>2F21I2(A21-B)21G2改重量</t>
  </si>
  <si>
    <t>2F21J2(M02)21D2色差</t>
  </si>
  <si>
    <t>2F21K2(S2-1)21I2改機型/DR</t>
  </si>
  <si>
    <t>270/270/145</t>
  </si>
  <si>
    <t>FP-61586R</t>
  </si>
  <si>
    <t>2F21L1(M02)2A61換原絲</t>
  </si>
  <si>
    <t>178/175</t>
  </si>
  <si>
    <t xml:space="preserve">FP-81020R                                                                                                  </t>
  </si>
  <si>
    <t>廠商-NIKE</t>
  </si>
  <si>
    <t>2F21M1(S2)91U1換原絲/機型</t>
  </si>
  <si>
    <t>1.73↑1.770</t>
  </si>
  <si>
    <t>190/190/OFF</t>
  </si>
  <si>
    <t>FP-80000R+60513R      FP-80006R+60445R-110.6.8</t>
  </si>
  <si>
    <t>85/72SDR+80/72CDR</t>
  </si>
  <si>
    <t>2F21N2(A07-A)21A2換原絲/DR</t>
  </si>
  <si>
    <t xml:space="preserve">FP-81802R                                                                              </t>
  </si>
  <si>
    <t>2F21P2(A18-A)2A02-換原絲</t>
  </si>
  <si>
    <t>315/265/OFF</t>
  </si>
  <si>
    <t xml:space="preserve">FP-81030R                                                                                                  </t>
  </si>
  <si>
    <t>2F21Q1(M08)2A81換原絲</t>
  </si>
  <si>
    <t>181/175</t>
  </si>
  <si>
    <t xml:space="preserve">FP-61783R                                                                                                  </t>
  </si>
  <si>
    <t>110.2.8</t>
  </si>
  <si>
    <t>2F21R1(M02)21L1換原絲/DR</t>
  </si>
  <si>
    <t xml:space="preserve">FP-61597R                                                                                                  </t>
  </si>
  <si>
    <t>110.2.26</t>
  </si>
  <si>
    <t>2F21S2(M08)21J2換原絲</t>
  </si>
  <si>
    <t xml:space="preserve">FP-81804R                                                                              </t>
  </si>
  <si>
    <t>110.3.30</t>
  </si>
  <si>
    <t>2F21T2(S2)21K2-改4.0KG</t>
  </si>
  <si>
    <t>2F21U1(M08)21Q1</t>
  </si>
  <si>
    <t>110.4.13</t>
  </si>
  <si>
    <t>2F21V2(S2)21T2換原絲</t>
  </si>
  <si>
    <t>FP-61591R</t>
  </si>
  <si>
    <t>110.4.15</t>
  </si>
  <si>
    <t>2F21W2(S2)2122換原絲/DR</t>
  </si>
  <si>
    <t>100/96SDRT</t>
  </si>
  <si>
    <t>2F21X1(M02-A)21R1換原絲</t>
  </si>
  <si>
    <t>110.4.23</t>
  </si>
  <si>
    <t>2F21Z2(M01)21S2色差</t>
  </si>
  <si>
    <t>2F22A2(A12-B)21G2換原絲</t>
  </si>
  <si>
    <t>FP-61611R</t>
  </si>
  <si>
    <t>110.5.11</t>
  </si>
  <si>
    <t>2F22B1(T03-L)</t>
  </si>
  <si>
    <t>6.0(5.3)</t>
  </si>
  <si>
    <t>110.5.13</t>
  </si>
  <si>
    <t>2F22C1(M02)21X1換原絲/DR</t>
  </si>
  <si>
    <t>31.9</t>
  </si>
  <si>
    <t>紅黑條紋/白藍點-2/綠藍双色-3</t>
  </si>
  <si>
    <t>2F22D2(A20-B)21H2換原絲/DR</t>
  </si>
  <si>
    <t>FP-81806R</t>
  </si>
  <si>
    <t>白黃條</t>
  </si>
  <si>
    <t>2F22E2(M01-B)21Z2換原絲</t>
  </si>
  <si>
    <t>2F22F2(A12-B)22A2換原絲/DR</t>
  </si>
  <si>
    <t>FP-61627R</t>
  </si>
  <si>
    <t>170/36CDRO</t>
  </si>
  <si>
    <t>110.6.16</t>
  </si>
  <si>
    <t>2F22G1(M01)22B1換機型/DR/換原絲/降速</t>
  </si>
  <si>
    <t>110.6.19</t>
  </si>
  <si>
    <t>2F22H2(A12)22A2換原絲/DR</t>
  </si>
  <si>
    <t>2F22I2(A24-B)5F2K32換原絲/DR/JET</t>
  </si>
  <si>
    <t>50/72/2CDR</t>
  </si>
  <si>
    <t>FP-80726R*2</t>
  </si>
  <si>
    <t>110.7.12</t>
  </si>
  <si>
    <t>2F22J2(A07-A)2822換原絲不同規格</t>
  </si>
  <si>
    <t>50/36/2CE</t>
  </si>
  <si>
    <t>FP-60537×2</t>
  </si>
  <si>
    <t>2F22K2(M01)22E2色差</t>
  </si>
  <si>
    <t>2F22L2(T01-L)2C92-換原絲</t>
  </si>
  <si>
    <t>FP-80002R×2</t>
  </si>
  <si>
    <t>2F22M1(M07)22C1換原絲/DR</t>
  </si>
  <si>
    <t xml:space="preserve">FP-81053R                                                                                                  </t>
  </si>
  <si>
    <t>2F22P1(M02)22C1換原絲/DR</t>
  </si>
  <si>
    <t xml:space="preserve">FP-81058R                                                                                                  </t>
  </si>
  <si>
    <t>110.9.30</t>
  </si>
  <si>
    <t>廠商-NIKE(22P12)</t>
  </si>
  <si>
    <t>白黑方塊/白底綠點</t>
  </si>
  <si>
    <t>2F22Q2(S1)2142-加O/DR</t>
  </si>
  <si>
    <t>2F22R1(M01)22P1換原絲/DR</t>
  </si>
  <si>
    <t>34</t>
  </si>
  <si>
    <t xml:space="preserve">FP-61773R                                                                                                  </t>
  </si>
  <si>
    <t>黃白點/白綠條紋/紫黃條</t>
  </si>
  <si>
    <t>2F22S2(A16-A)21N2色差</t>
  </si>
  <si>
    <t>2F22T2(M04)2A52-換原絲</t>
  </si>
  <si>
    <t>110.11.15</t>
  </si>
  <si>
    <t>2F22U2(A20-A)5F2I22換原絲/降速/DR/機型</t>
  </si>
  <si>
    <t>100/96CDR</t>
  </si>
  <si>
    <t>FP-61513R</t>
  </si>
  <si>
    <t>170/96CDR</t>
  </si>
  <si>
    <t>2F22V1(A16)22G1換機型/DR</t>
  </si>
  <si>
    <t>290/270/OFF</t>
  </si>
  <si>
    <t>2F22W2(M07)22T2-換原絲/DR</t>
  </si>
  <si>
    <t>110.12.1</t>
  </si>
  <si>
    <t>2F22X2(S1)22U2-DR/機型</t>
  </si>
  <si>
    <t>110.12.7</t>
  </si>
  <si>
    <t>2F22Y2(A13-A)22S2換原絲</t>
  </si>
  <si>
    <t xml:space="preserve">FP-81815R                                                                              </t>
  </si>
  <si>
    <t>110.12.14</t>
  </si>
  <si>
    <t>2F22Z2(M08)換原絲-LIKE22Q2</t>
  </si>
  <si>
    <t>2F2302(T02)2BJ2-機台別</t>
  </si>
  <si>
    <t>FP-80918R×2</t>
  </si>
  <si>
    <t>108.1.21</t>
  </si>
  <si>
    <t>2F2312(T01)2302-換原絲</t>
  </si>
  <si>
    <t>FP-80900R×2</t>
  </si>
  <si>
    <t>108.2.3</t>
  </si>
  <si>
    <t>2F2322(T02-L)2302-換原絲</t>
  </si>
  <si>
    <t>108.2.11</t>
  </si>
  <si>
    <t>2F2332(T01-L)20U2-機台別</t>
  </si>
  <si>
    <t>109.3.9</t>
  </si>
  <si>
    <t>2F2342(T03-L)2332-換原絲</t>
  </si>
  <si>
    <t>FP-80952R×2</t>
  </si>
  <si>
    <t>109.6.23</t>
  </si>
  <si>
    <t>2F2352(T01)2342-機台別</t>
  </si>
  <si>
    <t>2F2362(T03)2352-機台別/異常紗</t>
  </si>
  <si>
    <t>23(24.2)</t>
  </si>
  <si>
    <t>2.5(2F2342-2.2)</t>
  </si>
  <si>
    <t>2F2372(T03-R)2362-換原絲</t>
  </si>
  <si>
    <t>109.9.8</t>
  </si>
  <si>
    <t>2F2382(T02-L)2372-機台別</t>
  </si>
  <si>
    <t>2.5( 2.4 )</t>
  </si>
  <si>
    <t>2F2392(T01-L)2382-換原絲</t>
  </si>
  <si>
    <t>FP-80902R×2</t>
  </si>
  <si>
    <t>109.10.15</t>
  </si>
  <si>
    <t>2F23A1(M01)22R1換原絲</t>
  </si>
  <si>
    <t xml:space="preserve">FP-61774R                                                                                                  </t>
  </si>
  <si>
    <t>110.12.28</t>
  </si>
  <si>
    <t>黃綠條紋/紅底黃星-1/藍底黑點-2</t>
  </si>
  <si>
    <t>2F23B2(M08)22Z2換原絲</t>
  </si>
  <si>
    <t>FP-81816R</t>
  </si>
  <si>
    <t>110.12.29</t>
  </si>
  <si>
    <t>2F23C2(A18-A)22H2換原絲/DR</t>
  </si>
  <si>
    <t>FP-81731R</t>
  </si>
  <si>
    <t>110.12.30</t>
  </si>
  <si>
    <t>2F23D2(A13-B)22Y2色差</t>
  </si>
  <si>
    <t>110.12.31</t>
  </si>
  <si>
    <t>2F23E2(M08)23B2色差</t>
  </si>
  <si>
    <t>2F23F1(A13)22V1換原絲</t>
  </si>
  <si>
    <t>285/265/OFF</t>
  </si>
  <si>
    <t>111.1.10</t>
  </si>
  <si>
    <t>2F23G2(M08)23E2換原絲/DR</t>
  </si>
  <si>
    <t>2F23H2(A07-B)22J2換原絲</t>
  </si>
  <si>
    <t>FP-60548×2</t>
  </si>
  <si>
    <t>2F23I2(M06)22K2換原絲</t>
  </si>
  <si>
    <t>111.2.6</t>
  </si>
  <si>
    <t>白紅條紋/黃底黑點-1</t>
  </si>
  <si>
    <t>2F23J1(M07)22G1換原絲</t>
  </si>
  <si>
    <t>111.1.28</t>
  </si>
  <si>
    <t>紅黑曲線/白底黑點-1</t>
  </si>
  <si>
    <t>2F23K2(A22)23C2換原絲/降速</t>
  </si>
  <si>
    <t>260/260/150</t>
  </si>
  <si>
    <t>FP-61687R</t>
  </si>
  <si>
    <t>2F23L2(M06)23I2換原絲</t>
  </si>
  <si>
    <t>111.2.21</t>
  </si>
  <si>
    <t>黃綠條紋-2/紫底白點-3</t>
  </si>
  <si>
    <t>2F23M2(M05)23E2色差</t>
  </si>
  <si>
    <t>111.3.3</t>
  </si>
  <si>
    <t>2F23N2(M06)22T2-換原絲</t>
  </si>
  <si>
    <t>159/OFF</t>
  </si>
  <si>
    <t xml:space="preserve">FP-81081R                                                                                                  </t>
  </si>
  <si>
    <t>111.3.11</t>
  </si>
  <si>
    <t>2F23P2(S2)2142色差/DR</t>
  </si>
  <si>
    <t>111.3.18</t>
  </si>
  <si>
    <t>2F23Q1(M01)23A1換原絲/DR</t>
  </si>
  <si>
    <t xml:space="preserve">FP-81058R                                                                                               </t>
  </si>
  <si>
    <t>2F23R2(M06)23N2-換原絲</t>
  </si>
  <si>
    <t xml:space="preserve">FP-81090R                                                                                                  </t>
  </si>
  <si>
    <t>紅底黃星/白底綠星-1</t>
  </si>
  <si>
    <t>2F23S1(M02)23Q1/DR</t>
  </si>
  <si>
    <t>白底紅心/黃底黑點-1</t>
  </si>
  <si>
    <t>2F23T2(T01-L)22L2-換原絲</t>
  </si>
  <si>
    <t>FP-80001R×2</t>
  </si>
  <si>
    <t>2F23U2(A24-A)22D2換原絲</t>
  </si>
  <si>
    <t>2F23W2(T01-R)</t>
  </si>
  <si>
    <t>50/72/2SDFFR</t>
  </si>
  <si>
    <t>FP-80032R×2</t>
  </si>
  <si>
    <t>85/72SDFR</t>
  </si>
  <si>
    <t>111.6.8</t>
  </si>
  <si>
    <t>2F23X2(M01)23G2換原絲</t>
  </si>
  <si>
    <t>FP-61771R</t>
  </si>
  <si>
    <t>2F23Y2(M04)23L2換原絲</t>
  </si>
  <si>
    <t xml:space="preserve">FP-81815R/81817R-111.10.18                                                                            </t>
  </si>
  <si>
    <t>2F23Z2(M04)22T2-換原絲/DR</t>
  </si>
  <si>
    <t>2F24A1(M02)23S1/換原絲</t>
  </si>
  <si>
    <t xml:space="preserve">FP-81095R                                                                                               </t>
  </si>
  <si>
    <t>111.6.28</t>
  </si>
  <si>
    <t>2F24B1(M06)23S1換原絲</t>
  </si>
  <si>
    <t xml:space="preserve">FP-81098R                                                                                               </t>
  </si>
  <si>
    <t>111.6.30</t>
  </si>
  <si>
    <t>2F24C1(M06)24B1換原絲</t>
  </si>
  <si>
    <t xml:space="preserve">FP-81107R                                                                                               </t>
  </si>
  <si>
    <t>2F24D2(T02)2C92-換原絲/DR</t>
  </si>
  <si>
    <t>112.4.14</t>
  </si>
  <si>
    <t>2F2AG2(T03-L)2AF2換原絲/DR</t>
  </si>
  <si>
    <t>50/72/2SDRO</t>
  </si>
  <si>
    <t>FP-80802R×2</t>
  </si>
  <si>
    <t>110.8.2</t>
  </si>
  <si>
    <t>2F24E2(T01-R)23W2/降速</t>
  </si>
  <si>
    <t>111.7.20</t>
  </si>
  <si>
    <t>2F24F1(M02)24A1/換原絲/DR</t>
  </si>
  <si>
    <t xml:space="preserve">FP-61776R                                                                                               </t>
  </si>
  <si>
    <t>灰色/白紅條紋-1</t>
  </si>
  <si>
    <t>2F24G2(A09-A)9AP2/DR</t>
  </si>
  <si>
    <t>100/144SDFFR</t>
  </si>
  <si>
    <t>FP-61927R</t>
  </si>
  <si>
    <t>170/144SDFFR</t>
  </si>
  <si>
    <t>18.5-8/16-修24.5</t>
  </si>
  <si>
    <t>111.8.10</t>
  </si>
  <si>
    <t>2F24H2(A09-B)DBT2併股</t>
  </si>
  <si>
    <t xml:space="preserve">FP-80028R+60564R      </t>
  </si>
  <si>
    <t>80/72SDR+75/72CDRO</t>
  </si>
  <si>
    <t>111.8.11</t>
  </si>
  <si>
    <t>2F24I2(M01)色差-LIKE22Z2</t>
  </si>
  <si>
    <t>111.8.12</t>
  </si>
  <si>
    <t>2F24J2(A21)23D2色差/錠片加1</t>
  </si>
  <si>
    <t>111.8.15</t>
  </si>
  <si>
    <t>2F24K2(T02-R)24E2換原絲</t>
  </si>
  <si>
    <t>500↓450-8/22</t>
  </si>
  <si>
    <t>FP-80037R×2</t>
  </si>
  <si>
    <t>2F24M2(T02-R)22B1/換原絲/降速(物性LIKE24J2)</t>
  </si>
  <si>
    <t>2F24N2(T03-L)23X2換原絲/升速/DR</t>
  </si>
  <si>
    <t>FP-61775R</t>
  </si>
  <si>
    <t>2F24P2(A15-A)2132換原絲/DR/AP壓力</t>
  </si>
  <si>
    <t>206/206/OFF</t>
  </si>
  <si>
    <t>111.10.12</t>
  </si>
  <si>
    <t>2F24Q2(T01-L)24K2</t>
  </si>
  <si>
    <t>2F24R2(A15-B)23U2換原絲</t>
  </si>
  <si>
    <t>111.10.21</t>
  </si>
  <si>
    <t>2F24S2(A18)24R2換原絲/DR</t>
  </si>
  <si>
    <t>FP-81821R</t>
  </si>
  <si>
    <t>111.11.16</t>
  </si>
  <si>
    <t>2F24T2(A13-B)24Q2/DR/機型</t>
  </si>
  <si>
    <t>2F24U2(M04)23Z2-換原絲</t>
  </si>
  <si>
    <t xml:space="preserve">FP-81107R                                                                                                  </t>
  </si>
  <si>
    <t>112.1.10</t>
  </si>
  <si>
    <t>有發-迪卡儂</t>
  </si>
  <si>
    <t>2F24V2(M02)23M2換原絲</t>
  </si>
  <si>
    <t>145/OFF</t>
  </si>
  <si>
    <t>2F24W2(A13-B)24T2換白度異常紗</t>
  </si>
  <si>
    <t>80(72)</t>
  </si>
  <si>
    <t>111.12.30</t>
  </si>
  <si>
    <t>2F24X1(M08)24F1/換原絲</t>
  </si>
  <si>
    <t>32.3</t>
  </si>
  <si>
    <t>180/175</t>
  </si>
  <si>
    <t xml:space="preserve">FP-81123R                                                                                               </t>
  </si>
  <si>
    <t>112.1.20</t>
  </si>
  <si>
    <t>2F24Y1(A21-A)</t>
  </si>
  <si>
    <t>210/210/140</t>
  </si>
  <si>
    <t>112.1.31</t>
  </si>
  <si>
    <t>2F24Z1(M04)24X1/換原絲/DR</t>
  </si>
  <si>
    <t xml:space="preserve">FP-81140R                                                                                               </t>
  </si>
  <si>
    <t>2F25A1(A21-B)S撚</t>
  </si>
  <si>
    <t>112.1.30</t>
  </si>
  <si>
    <t>2F25B1(M08)24X1/換原絲/DR</t>
  </si>
  <si>
    <t xml:space="preserve">FP-81132R                                                                                               </t>
  </si>
  <si>
    <t>112.2.23</t>
  </si>
  <si>
    <t>2F25C2(A09)24W2換原絲</t>
  </si>
  <si>
    <t>FP-80045R×2</t>
  </si>
  <si>
    <t>2F25D2(M02)24V2換原絲</t>
  </si>
  <si>
    <t>FP-81825R</t>
  </si>
  <si>
    <t>2F25E1(M07)25Z1/換原絲/DR</t>
  </si>
  <si>
    <t>178/178</t>
  </si>
  <si>
    <t>112.3.8</t>
  </si>
  <si>
    <t>2F25F1(M07)25E1/換原絲</t>
  </si>
  <si>
    <t xml:space="preserve">FP-81142R                                                                                               </t>
  </si>
  <si>
    <t>2F25G1(M08)25B1/換原絲/DR</t>
  </si>
  <si>
    <t>112.4.11</t>
  </si>
  <si>
    <t>2F25H1(M04)24Z1/換原絲</t>
  </si>
  <si>
    <t>2F25I2(A12-B)24S2換原絲</t>
  </si>
  <si>
    <t>112.4.18</t>
  </si>
  <si>
    <t>2F25J2(A12-A)21P2-換原絲/DR/加錠片</t>
  </si>
  <si>
    <t>2F25K2(M06)24I2-換原絲/DR(AFK-物性25I2)</t>
  </si>
  <si>
    <t>2F25L1(M08)25H1/機台不同</t>
  </si>
  <si>
    <t>112.6.8</t>
  </si>
  <si>
    <t>2F25M2(T03)2AG2-改標.物性LIKE-24D2</t>
  </si>
  <si>
    <t>112.6.21</t>
  </si>
  <si>
    <t>2F25N1(M04)25H1/換原絲/DR</t>
  </si>
  <si>
    <t xml:space="preserve">FP-81170R                                                                                               </t>
  </si>
  <si>
    <t>112.7.13</t>
  </si>
  <si>
    <t>2F25P1(M08)25L1/換原絲/DR</t>
  </si>
  <si>
    <t>183/175</t>
  </si>
  <si>
    <t>2F25Q2(M06)25K2</t>
  </si>
  <si>
    <t>2F25R2(A14-A)25C2換原絲</t>
  </si>
  <si>
    <t>FP-80052R×2</t>
  </si>
  <si>
    <t>22↑24.0-7/21</t>
  </si>
  <si>
    <t>2F25S1(M08)25P1/換原絲/DR</t>
  </si>
  <si>
    <t>600↑650↓600-8/30.10/20</t>
  </si>
  <si>
    <t xml:space="preserve">FP-81174R                                                                                               </t>
  </si>
  <si>
    <t>23.5↓20.0-8/18</t>
  </si>
  <si>
    <t>112.8.14</t>
  </si>
  <si>
    <t>2F25T1(M04)25N1/換原絲/DR</t>
  </si>
  <si>
    <t xml:space="preserve">FP-61777R                                                                                               </t>
  </si>
  <si>
    <t>112.8.16</t>
  </si>
  <si>
    <t>2F25U2(T03-R)24D2</t>
  </si>
  <si>
    <t>2F25W1(A17)2081換原絲/降速/錠片加1/E修20(LIKE-25S1物性)</t>
  </si>
  <si>
    <t>325/275/150</t>
  </si>
  <si>
    <t xml:space="preserve">FP-61777R                                                                                                  </t>
  </si>
  <si>
    <t>2F25X2(M01)23R2-換原絲/升速</t>
  </si>
  <si>
    <t>2F25Y2(M07)25Q2換原絲</t>
  </si>
  <si>
    <t>30.4</t>
  </si>
  <si>
    <t>FP-81828R</t>
  </si>
  <si>
    <t>112.8.25</t>
  </si>
  <si>
    <t>2F25Z1(M07)24X1/換原絲</t>
  </si>
  <si>
    <t>33.2</t>
  </si>
  <si>
    <t>2F26A2(T03-R)25U2換原絲/DR</t>
  </si>
  <si>
    <t>FP-80808R×2</t>
  </si>
  <si>
    <t>2F26B1(A17-B)25W1/DR</t>
  </si>
  <si>
    <t>2F26C1(M04)25T1/升速</t>
  </si>
  <si>
    <t>2F26D1(M01)25S1/換原絲/升速/DR</t>
  </si>
  <si>
    <t>112.9.8</t>
  </si>
  <si>
    <t>2F26E2(M01)24U2-換原絲/升速</t>
  </si>
  <si>
    <t>112.10.21</t>
  </si>
  <si>
    <t>2F26G2(M08)25Y2-/DR</t>
  </si>
  <si>
    <t>550↓500-11/9</t>
  </si>
  <si>
    <t>143/OFF</t>
  </si>
  <si>
    <t>112.11.8</t>
  </si>
  <si>
    <t>2F26H2(M04)25X2-DR</t>
  </si>
  <si>
    <t>2F26I1(M01)26D1/DR</t>
  </si>
  <si>
    <t>2F26J2(T04-L)26A2/DR</t>
  </si>
  <si>
    <t>2F26K1(M04)25S1/升速</t>
  </si>
  <si>
    <t>112.12.15</t>
  </si>
  <si>
    <t>2F26M1(A10-B)</t>
  </si>
  <si>
    <t>100/36FBKR</t>
  </si>
  <si>
    <t xml:space="preserve">FP-81538R                                                                                               </t>
  </si>
  <si>
    <t>170/36FBKR</t>
  </si>
  <si>
    <t>2F26N1(A14-B)</t>
  </si>
  <si>
    <t>600↑650-3/6</t>
  </si>
  <si>
    <t>242/232/OFF</t>
  </si>
  <si>
    <t>113.1.13</t>
  </si>
  <si>
    <t>2F26P1(M01)26N1換原絲/機型</t>
  </si>
  <si>
    <t xml:space="preserve">FP-81188R                                                                                                  </t>
  </si>
  <si>
    <t>170/36SDR2</t>
  </si>
  <si>
    <t>2F26Q2(T04)26A2/DR</t>
  </si>
  <si>
    <t>113.1.18</t>
  </si>
  <si>
    <t>2F26S2(T05-R)26J2/DR/換原絲</t>
  </si>
  <si>
    <t>FP-80018R×2</t>
  </si>
  <si>
    <t>2F26T1(A0826N1升速</t>
  </si>
  <si>
    <t>250/240/OFF</t>
  </si>
  <si>
    <t>113.3.13</t>
  </si>
  <si>
    <t>2F26U1(M01)26P1換原絲/升速</t>
  </si>
  <si>
    <t>151/OFF</t>
  </si>
  <si>
    <t xml:space="preserve">FP-81212R                                                                                                  </t>
  </si>
  <si>
    <t>2F26V2(T06-L)26S2/DR/換原絲</t>
  </si>
  <si>
    <t>FP-80083R×2</t>
  </si>
  <si>
    <t>113.5.10</t>
  </si>
  <si>
    <t>2F26W2(T06-R)26V2/DR/換原絲</t>
  </si>
  <si>
    <t>FP-70073R×2</t>
  </si>
  <si>
    <t>113.5.23</t>
  </si>
  <si>
    <t>2F26X1(A09-B)26N1/DR/換原絲</t>
  </si>
  <si>
    <t xml:space="preserve">FP-71048R                                                                                                  </t>
  </si>
  <si>
    <t>2F26Y2(A08)26W2/DR/換原絲/降速/規格不同</t>
  </si>
  <si>
    <t>50/72/2BSD3</t>
  </si>
  <si>
    <t>FP-80080×2</t>
  </si>
  <si>
    <t>2F26Z2(M01)DTD2</t>
  </si>
  <si>
    <t>100/36BSD3</t>
  </si>
  <si>
    <t xml:space="preserve">FP-81103                                                                                                 </t>
  </si>
  <si>
    <t>170/36BSD3</t>
  </si>
  <si>
    <t>2F27A1(M01)26U1換原絲</t>
  </si>
  <si>
    <t xml:space="preserve">FP-81236R                                                                                                  </t>
  </si>
  <si>
    <t>113.6.26</t>
  </si>
  <si>
    <t>2F27B2(T04-R)26W2/DR</t>
  </si>
  <si>
    <t>113.7.6</t>
  </si>
  <si>
    <t>2F27C1(A09-B)26X1/新紗</t>
  </si>
  <si>
    <t>113.7.19</t>
  </si>
  <si>
    <t>2F27D1(M06)27A1</t>
  </si>
  <si>
    <t>2F27E2(A12)9QW2/DR/重量</t>
  </si>
  <si>
    <t>100/72OFR</t>
  </si>
  <si>
    <t xml:space="preserve">FP-81239R                                                                                                  </t>
  </si>
  <si>
    <t>165/72OFR</t>
  </si>
  <si>
    <t>2F27F2(A08-B)27E2換原絲</t>
  </si>
  <si>
    <t xml:space="preserve">FP-81245R                                                                                                  </t>
  </si>
  <si>
    <t>113.8.24</t>
  </si>
  <si>
    <t>2F27G2(T04-R)27B2色差</t>
  </si>
  <si>
    <t>2F27H2(A08-B)27F2/DR</t>
  </si>
  <si>
    <t xml:space="preserve">FP-81245R (代碼C)                                                                                                 </t>
  </si>
  <si>
    <t>2F27I1(M06)27D1換原絲</t>
  </si>
  <si>
    <t xml:space="preserve">FP-81251R                                                                                                  </t>
  </si>
  <si>
    <t>2F27J2(M08)26H2-DR換原絲</t>
  </si>
  <si>
    <t xml:space="preserve">FP-81105R                                                                                                  </t>
  </si>
  <si>
    <t>113.9.17</t>
  </si>
  <si>
    <t>2F27K1(A14-A)27C1</t>
  </si>
  <si>
    <t>240/230/OFF</t>
  </si>
  <si>
    <t>113.10.8</t>
  </si>
  <si>
    <t>2F27L2(A08-B)27H2/規格改</t>
  </si>
  <si>
    <t xml:space="preserve">FP-81253R                                                                                         </t>
  </si>
  <si>
    <t>113.10.15</t>
  </si>
  <si>
    <t>2F27M2(M04)27J2-換原絲</t>
  </si>
  <si>
    <t>113.10.25</t>
  </si>
  <si>
    <t>2F27P2(S1)26Y2/DR/換原絲.機型</t>
  </si>
  <si>
    <t>FP-60318×2</t>
  </si>
  <si>
    <t>2F27Q2(A12)</t>
  </si>
  <si>
    <t xml:space="preserve">FP-81263R                                                                                         </t>
  </si>
  <si>
    <t>165/72PFR</t>
  </si>
  <si>
    <t>113.11.7</t>
  </si>
  <si>
    <t>2F27R1(M04)27I1</t>
  </si>
  <si>
    <t>113.11.14</t>
  </si>
  <si>
    <t>2F27S2(A14-A)26E2-換原絲/升速/DR.機型</t>
  </si>
  <si>
    <t>113.11.13</t>
  </si>
  <si>
    <t>2F27U1(A13-B)27K1換原絲/DR</t>
  </si>
  <si>
    <t>2F27V1(A08)27K1</t>
  </si>
  <si>
    <t>245/235/OFF</t>
  </si>
  <si>
    <t>2F27W1(A14-A)27K1</t>
  </si>
  <si>
    <t>650↑670-1/27</t>
  </si>
  <si>
    <t>2F27X2(A12)27L2/升速/換原絲</t>
  </si>
  <si>
    <t>113.12.11</t>
  </si>
  <si>
    <t>2F27Y1(A13-B)27U1換原絲</t>
  </si>
  <si>
    <t xml:space="preserve">FP-81271R                                                                                                  </t>
  </si>
  <si>
    <t>114.1.3</t>
  </si>
  <si>
    <t>2F27Z2(A22)27X2</t>
  </si>
  <si>
    <t>114.2.7</t>
  </si>
  <si>
    <t>2F2802(A12-B)2BC2色差</t>
  </si>
  <si>
    <t>50/36/2SCCE</t>
  </si>
  <si>
    <t>FP-60415×2</t>
  </si>
  <si>
    <t>108.1.2</t>
  </si>
  <si>
    <t>2F2811(A10-B)2BI1換原絲</t>
  </si>
  <si>
    <t>342/292/160</t>
  </si>
  <si>
    <t>108.1.8</t>
  </si>
  <si>
    <t>2F2822(A12-B)2802色差</t>
  </si>
  <si>
    <t>108.1.15</t>
  </si>
  <si>
    <t>2F2831(A08-A)2BE1色差</t>
  </si>
  <si>
    <t>FP-61400</t>
  </si>
  <si>
    <t>6.5(5.8)</t>
  </si>
  <si>
    <t>2F2842(A17-A)AL02換原絲/DR</t>
  </si>
  <si>
    <t>270/270/155</t>
  </si>
  <si>
    <t>FP-61429R</t>
  </si>
  <si>
    <t>108.3.28</t>
  </si>
  <si>
    <t>2F2852(T02-L)2322-換原絲</t>
  </si>
  <si>
    <t>108.4.2</t>
  </si>
  <si>
    <t>2F2862(T01-R)2312-換原絲</t>
  </si>
  <si>
    <t>2F2871(A08)2831換原絲</t>
  </si>
  <si>
    <t>FP-61440</t>
  </si>
  <si>
    <t>2F2882(T04-L)</t>
  </si>
  <si>
    <t>FP-60413R×2</t>
  </si>
  <si>
    <t>4.9(4.2)</t>
  </si>
  <si>
    <t>2F2892(A08-A)5F2BB2-換原絲</t>
  </si>
  <si>
    <t>100/96BK</t>
  </si>
  <si>
    <t>FP-61442</t>
  </si>
  <si>
    <t>170/96BK</t>
  </si>
  <si>
    <t>108.5.8</t>
  </si>
  <si>
    <t>2F28A2(A22)27Z2換原絲</t>
  </si>
  <si>
    <t xml:space="preserve">FP-81269R                                                                                         </t>
  </si>
  <si>
    <t>114.2.17</t>
  </si>
  <si>
    <t>2F28B1(A13-B)27Y1色差</t>
  </si>
  <si>
    <t>114.3.7</t>
  </si>
  <si>
    <t>2F2902(T01)2862-換原絲</t>
  </si>
  <si>
    <t>2F2911(A20-A)2041色差</t>
  </si>
  <si>
    <t>2F2922(T02-L)2852-換原絲</t>
  </si>
  <si>
    <t>2F2931(A20-B)2911換原絲</t>
  </si>
  <si>
    <t xml:space="preserve">FP-81920R                                                                              </t>
  </si>
  <si>
    <t>108.6.8</t>
  </si>
  <si>
    <t>2F2942(T04-L)2922-換原絲/降速</t>
  </si>
  <si>
    <t>FP-60458R×2</t>
  </si>
  <si>
    <t>2F2962(T04-L)2882換原絲</t>
  </si>
  <si>
    <t>FP-80907R×2</t>
  </si>
  <si>
    <t>2F2972(A09)2112換原絲/DR/降速</t>
  </si>
  <si>
    <t>FP-81936R</t>
  </si>
  <si>
    <t>108.7.2</t>
  </si>
  <si>
    <t>2F2982(T04-L)2922-換原絲</t>
  </si>
  <si>
    <t>2F2991(A20-A)2931色差</t>
  </si>
  <si>
    <t>340/290/157</t>
  </si>
  <si>
    <t>108.7.11</t>
  </si>
  <si>
    <t>2F2A02(A24)2092-換原絲</t>
  </si>
  <si>
    <t>2F2A11(M05)2081換原絲/機型/降速</t>
  </si>
  <si>
    <t>2F2A21(M02)2A11換原絲</t>
  </si>
  <si>
    <t>109.9.3</t>
  </si>
  <si>
    <t>2F2A31(M02)2A21換原絲</t>
  </si>
  <si>
    <t>2F2A41(M05)2A11換原絲</t>
  </si>
  <si>
    <t>109.9.25</t>
  </si>
  <si>
    <t>2F2A52(M02)2A02-換原絲/機型/降速</t>
  </si>
  <si>
    <t xml:space="preserve">FP-61525R                                                                                                  </t>
  </si>
  <si>
    <t>6(5.4)</t>
  </si>
  <si>
    <t>109.11.16</t>
  </si>
  <si>
    <t>2F2A61(M02)2A31</t>
  </si>
  <si>
    <t>4(3.8)</t>
  </si>
  <si>
    <t>白綠心</t>
  </si>
  <si>
    <t>2F2A81(M08)2A61色差</t>
  </si>
  <si>
    <t>2F2A91(M06)2A61換原絲</t>
  </si>
  <si>
    <t>2F2AA2(T02-R)2962換原絲</t>
  </si>
  <si>
    <t>FP-80944R×2</t>
  </si>
  <si>
    <t>2F2AB2(T04-L)2AA2換原絲/升速</t>
  </si>
  <si>
    <t>700↓650(5/13)</t>
  </si>
  <si>
    <t>109.4.10</t>
  </si>
  <si>
    <t>2F2AC2(T03-R)2AB2吃新紗</t>
  </si>
  <si>
    <t>2F2AD2(T04-R)2AC2換原絲/DR</t>
  </si>
  <si>
    <t>FP-80957R×2</t>
  </si>
  <si>
    <t>2F2AE2(T04-R)2AD2</t>
  </si>
  <si>
    <t>2F2AF2(T03-R)2AE2換原絲</t>
  </si>
  <si>
    <t>110.3.11</t>
  </si>
  <si>
    <t>2F2C02(T03-L)2372-換原絲</t>
  </si>
  <si>
    <t>FP-80962R×2</t>
  </si>
  <si>
    <t>2F2C12(T02-L)2382-換原絲</t>
  </si>
  <si>
    <t>2F2C22(T03-L)2C02-換原絲</t>
  </si>
  <si>
    <t>FP-80000R×2</t>
  </si>
  <si>
    <t>2F2C32(T02-L)2C12-換原絲</t>
  </si>
  <si>
    <t>2F2C42(T02-L)2C32-色差</t>
  </si>
  <si>
    <t>2F2C52(T02)2C42-換原絲</t>
  </si>
  <si>
    <t>110.1.5</t>
  </si>
  <si>
    <t>2F2C62(T03-R)2C52</t>
  </si>
  <si>
    <t>2F2C72(T02)2C52-換原絲</t>
  </si>
  <si>
    <t>FP-80006R×2</t>
  </si>
  <si>
    <t>2F2C82(T01-R)2C72-機台別</t>
  </si>
  <si>
    <t>2F2C92(T01-R)2C82-機台別</t>
  </si>
  <si>
    <t>110.6.29</t>
  </si>
  <si>
    <t>2F2T02(S2)20L2換原絲/DR/機型</t>
  </si>
  <si>
    <t>260/240/OFF</t>
  </si>
  <si>
    <t xml:space="preserve">FP-81984R                                                                              </t>
  </si>
  <si>
    <t>5.5(5.3)</t>
  </si>
  <si>
    <t>2F3001(A23)3XZ1換原絲</t>
  </si>
  <si>
    <t>343/303/164</t>
  </si>
  <si>
    <t>FP-62664R</t>
  </si>
  <si>
    <t>255/48SDR</t>
  </si>
  <si>
    <t>85±20</t>
  </si>
  <si>
    <t>2F3011(A22)3SD1換原絲</t>
  </si>
  <si>
    <t>357/317/155</t>
  </si>
  <si>
    <t>FP-62775R</t>
  </si>
  <si>
    <t>108.2.1</t>
  </si>
  <si>
    <t>2F3021(A18)3841-色差</t>
  </si>
  <si>
    <t>343/303/163</t>
  </si>
  <si>
    <t>FP-82915R</t>
  </si>
  <si>
    <t>255/48SDRD</t>
  </si>
  <si>
    <t>108.2.4</t>
  </si>
  <si>
    <t>2F3031(A21)3841換原絲</t>
  </si>
  <si>
    <t>FP-82917R</t>
  </si>
  <si>
    <t>108.3.5</t>
  </si>
  <si>
    <t>2F3041(A17)3E01換原絲</t>
  </si>
  <si>
    <t>337/297/165</t>
  </si>
  <si>
    <t>FP-62781R</t>
  </si>
  <si>
    <t>109.2.28</t>
  </si>
  <si>
    <t>2F3051(A23-B)</t>
  </si>
  <si>
    <t>390/350/155</t>
  </si>
  <si>
    <t>109.2.24</t>
  </si>
  <si>
    <t>2F3071(A23)3041換原絲</t>
  </si>
  <si>
    <t>FP-62750R</t>
  </si>
  <si>
    <t>2F3082(A21)3H02換原絲</t>
  </si>
  <si>
    <t>380/340/OFF</t>
  </si>
  <si>
    <t>2F3091(A23-B)換原絲</t>
  </si>
  <si>
    <t>白紫三角/黃紅三角(-1)</t>
  </si>
  <si>
    <t>2F3102(M04)3XG2換原絲</t>
  </si>
  <si>
    <t>150/72SDR</t>
  </si>
  <si>
    <t>32.8</t>
  </si>
  <si>
    <t>186/170</t>
  </si>
  <si>
    <t>FP-62776R</t>
  </si>
  <si>
    <t>250/72SDRD</t>
  </si>
  <si>
    <t>2F3112(M04)3F02換原絲</t>
  </si>
  <si>
    <t>180/168</t>
  </si>
  <si>
    <t>FP-62784R</t>
  </si>
  <si>
    <t>250/72SDR</t>
  </si>
  <si>
    <t>109.2.18</t>
  </si>
  <si>
    <t>白桔双色                                 白底紅點-108.12.16</t>
  </si>
  <si>
    <t>2F3122(M07)3112換原絲/DR</t>
  </si>
  <si>
    <t>185/169</t>
  </si>
  <si>
    <t>FP-82951R</t>
  </si>
  <si>
    <t>109.3.5</t>
  </si>
  <si>
    <t>2F3132(M03)3122換原絲</t>
  </si>
  <si>
    <t>186/169</t>
  </si>
  <si>
    <t>FP-82910R</t>
  </si>
  <si>
    <t>4.8(3.7)</t>
  </si>
  <si>
    <t>2F3142(M03)3132換原絲</t>
  </si>
  <si>
    <t>4.8(4.3)</t>
  </si>
  <si>
    <t>109.8.6</t>
  </si>
  <si>
    <t>2F3152(M03)3142換原絲</t>
  </si>
  <si>
    <t>2F3162(M03)3152換原絲</t>
  </si>
  <si>
    <t>31.3</t>
  </si>
  <si>
    <t>FP-82976R</t>
  </si>
  <si>
    <t>2F3172(A22-A)3162換機型/升速</t>
  </si>
  <si>
    <t>325/325/150</t>
  </si>
  <si>
    <t>2F3182(M05)9R12換原絲/溫度</t>
  </si>
  <si>
    <t>195/160</t>
  </si>
  <si>
    <t>FP-82010R</t>
  </si>
  <si>
    <t>2F3192(M05)3182換原絲</t>
  </si>
  <si>
    <t>32.6</t>
  </si>
  <si>
    <t>FP-82018R</t>
  </si>
  <si>
    <t>2F3202(A17)3D02換原絲</t>
  </si>
  <si>
    <t>150/96SDR</t>
  </si>
  <si>
    <t>FP-62785R</t>
  </si>
  <si>
    <t>255/96SDR</t>
  </si>
  <si>
    <t>109.3.19</t>
  </si>
  <si>
    <t>2F3212(A17-A)3202換原絲</t>
  </si>
  <si>
    <t>FP-82902R</t>
  </si>
  <si>
    <t>109.4.9</t>
  </si>
  <si>
    <t>2F3222(A07-A)3D02降速/換原絲</t>
  </si>
  <si>
    <t>FP-82975R</t>
  </si>
  <si>
    <t>109.7.16</t>
  </si>
  <si>
    <t>2F3232(T03-L)3222</t>
  </si>
  <si>
    <t>FP-62850R</t>
  </si>
  <si>
    <t>5.5(4.3)</t>
  </si>
  <si>
    <t>2F3241(A19)9I21</t>
  </si>
  <si>
    <t>330/330/172</t>
  </si>
  <si>
    <t>FP-82908R</t>
  </si>
  <si>
    <t>2F3252(A22-B)3222換原絲</t>
  </si>
  <si>
    <t>2F3261(A22-B)3241</t>
  </si>
  <si>
    <t>5(3.4)</t>
  </si>
  <si>
    <t>109.11.11</t>
  </si>
  <si>
    <t>2F3271(A22-B)3261換原絲</t>
  </si>
  <si>
    <t>FP-82988R</t>
  </si>
  <si>
    <t>5(3.5)</t>
  </si>
  <si>
    <t>2F3281(A22-B)3271換原絲</t>
  </si>
  <si>
    <t>FP-82947R</t>
  </si>
  <si>
    <t>255/96SDRD</t>
  </si>
  <si>
    <t>109.12.15</t>
  </si>
  <si>
    <t>2F3291(A22-B)3281換原絲</t>
  </si>
  <si>
    <t>FP-82804R</t>
  </si>
  <si>
    <t>255/96SDRO</t>
  </si>
  <si>
    <t>2F33C3(S2)</t>
  </si>
  <si>
    <t>150/48FBR</t>
  </si>
  <si>
    <t>330/330/155</t>
  </si>
  <si>
    <t>FP-62666R</t>
  </si>
  <si>
    <t>265/48FBR</t>
  </si>
  <si>
    <t>2F33Y1(A21)3071色差</t>
  </si>
  <si>
    <t>2F33Z1(A23-B)3071色差</t>
  </si>
  <si>
    <t>2F3402(T03)3XM2換原絲</t>
  </si>
  <si>
    <t>75/72/2SDR</t>
  </si>
  <si>
    <t xml:space="preserve">FP-81910R*2            </t>
  </si>
  <si>
    <t>108.1.16</t>
  </si>
  <si>
    <t>2F3412(T03-L)3402換原絲</t>
  </si>
  <si>
    <t xml:space="preserve">FP-81921R*2            </t>
  </si>
  <si>
    <t>2F3422(T01-R)3M02換原絲/升速</t>
  </si>
  <si>
    <t>176/OFF</t>
  </si>
  <si>
    <t xml:space="preserve">FP-61507R*2            </t>
  </si>
  <si>
    <t>2F3432(T03-L)3422換原絲</t>
  </si>
  <si>
    <t>178/OFF</t>
  </si>
  <si>
    <t>2F3442(T01-R)3422色差</t>
  </si>
  <si>
    <t>109.3.7</t>
  </si>
  <si>
    <t>2F3452(T01-R)3472換原絲</t>
  </si>
  <si>
    <t>650↑700(5/21)</t>
  </si>
  <si>
    <t xml:space="preserve">FP-81943R*2            </t>
  </si>
  <si>
    <t>109.5.19</t>
  </si>
  <si>
    <t>2F3462(T02-R)3432色差</t>
  </si>
  <si>
    <t>109.5.7</t>
  </si>
  <si>
    <t>2F3472(T01)3432換原絲</t>
  </si>
  <si>
    <t xml:space="preserve">FP-61509R*2            </t>
  </si>
  <si>
    <t>2F3482(T02)3452</t>
  </si>
  <si>
    <t>2F3492(T04)3452</t>
  </si>
  <si>
    <t>2F34A1(A21-B)3091色差/DR</t>
  </si>
  <si>
    <t>2F34B1(A21)34A1換原絲</t>
  </si>
  <si>
    <t>385/345/155</t>
  </si>
  <si>
    <t>FP-62755R</t>
  </si>
  <si>
    <t>2F34C1(A16)34A1換原絲/機台別</t>
  </si>
  <si>
    <t>1(1.1)</t>
  </si>
  <si>
    <t>2F34D1(A23)33Z1換原絲</t>
  </si>
  <si>
    <t>334/294/165</t>
  </si>
  <si>
    <t>1.5(1.6)</t>
  </si>
  <si>
    <t>2F34E1(A22-B)34C1機台別</t>
  </si>
  <si>
    <t>2F34F2(A23)3082換原絲</t>
  </si>
  <si>
    <t>109.9.21</t>
  </si>
  <si>
    <t>2F34G1(A16)34C1換原絲</t>
  </si>
  <si>
    <t>2F34H1(A21)34B1換原絲/機台別</t>
  </si>
  <si>
    <t>1(1.2)</t>
  </si>
  <si>
    <t>109.10.5</t>
  </si>
  <si>
    <t>2F34I3(A17)9H23換原絲</t>
  </si>
  <si>
    <t>390/360/175</t>
  </si>
  <si>
    <t>FP-82978R</t>
  </si>
  <si>
    <t>240/48SDR</t>
  </si>
  <si>
    <t>109.10.8</t>
  </si>
  <si>
    <t>2F34J1(A10)34E1機台別-新紗</t>
  </si>
  <si>
    <t>383/343/155</t>
  </si>
  <si>
    <t>2F34K1(A22)34E1-新紗</t>
  </si>
  <si>
    <t>109.10.9</t>
  </si>
  <si>
    <t>2F34L1(A21)34E1新紗</t>
  </si>
  <si>
    <t>2F34M1(A16-A)34E1新紗</t>
  </si>
  <si>
    <t>109.10.13</t>
  </si>
  <si>
    <t>2F34N1(A21)34L1-轉線</t>
  </si>
  <si>
    <t>FP-62755R-L34</t>
  </si>
  <si>
    <t>109.10.23</t>
  </si>
  <si>
    <t>2F34P3(S2)34I3換原絲</t>
  </si>
  <si>
    <t>390/360/155</t>
  </si>
  <si>
    <t>1.8(2.2)</t>
  </si>
  <si>
    <t>109.11.10</t>
  </si>
  <si>
    <t>2F34Q2(T02)3482換原絲/降速/DR</t>
  </si>
  <si>
    <t>2F34R2(T01-L)34Q2-機台別</t>
  </si>
  <si>
    <t>2F34S2(T02-R)34Q2換原絲/DR</t>
  </si>
  <si>
    <t xml:space="preserve">FP-81945R*2            </t>
  </si>
  <si>
    <t>1.7(1.9)</t>
  </si>
  <si>
    <t>109.8.14</t>
  </si>
  <si>
    <t>2F34U2(T04-L)34S2換原絲</t>
  </si>
  <si>
    <t xml:space="preserve">FP-81962R*2            </t>
  </si>
  <si>
    <t>109.9.2</t>
  </si>
  <si>
    <t>2F34V2(T01-R)34U2</t>
  </si>
  <si>
    <t>2F34W2(T01-L)34V2換原絲</t>
  </si>
  <si>
    <t>2F34X2(T01-L)34W2換原絲/DR</t>
  </si>
  <si>
    <t xml:space="preserve">FP-81017R*2            </t>
  </si>
  <si>
    <t>2F34Y2(T03-R)34X2</t>
  </si>
  <si>
    <t>2F34Z2(T03-L)34Y2換原絲</t>
  </si>
  <si>
    <t xml:space="preserve">FP-81027R*2            </t>
  </si>
  <si>
    <t>2F35A2(T04-R)34X2換原絲/DR</t>
  </si>
  <si>
    <t xml:space="preserve">FP-81031R*2            </t>
  </si>
  <si>
    <t>2F35B2(T04-R)34Z2不同機台</t>
  </si>
  <si>
    <t>110.3.10</t>
  </si>
  <si>
    <t>2F35C2(T01-R)34X2換原絲</t>
  </si>
  <si>
    <t>2F35D2(T03-R)34Z2色差</t>
  </si>
  <si>
    <t>110.6.30</t>
  </si>
  <si>
    <t>2F35E2(T01-R)35D2色差</t>
  </si>
  <si>
    <t>2F35F2(T03-R)35E2不同機台</t>
  </si>
  <si>
    <t>2F35G2(T03-R)35F2換原絲</t>
  </si>
  <si>
    <t>110.10.30</t>
  </si>
  <si>
    <t>2F35H2(T01-R)35G2換原絲</t>
  </si>
  <si>
    <t>2F36Y2(S1)3QM2換原絲/機型</t>
  </si>
  <si>
    <t>FP-62628R</t>
  </si>
  <si>
    <t>250/48CDR</t>
  </si>
  <si>
    <t>108.1.3</t>
  </si>
  <si>
    <t>2F36Z1(T04-R)3FG1換原絲/機型</t>
  </si>
  <si>
    <t>75/72/2SR6</t>
  </si>
  <si>
    <t>FP-714224×2</t>
  </si>
  <si>
    <t>2F3702(J07)39G2換原絲</t>
  </si>
  <si>
    <t>75/24/2SDR</t>
  </si>
  <si>
    <t>105°</t>
  </si>
  <si>
    <t>360/340/OFF</t>
  </si>
  <si>
    <t>FP-81995R*2</t>
  </si>
  <si>
    <t>125/24SDR</t>
  </si>
  <si>
    <t>2F3712(T03)5F9YL2換原絲/3702物性</t>
  </si>
  <si>
    <t>109.5.22</t>
  </si>
  <si>
    <t>2F3722(T04-R)換原絲/3712</t>
  </si>
  <si>
    <t>FP-81995R+81965R</t>
  </si>
  <si>
    <t>2.2(1.6)</t>
  </si>
  <si>
    <t>2F3732(T04-L)換原絲/3722</t>
  </si>
  <si>
    <t>184/OFF</t>
  </si>
  <si>
    <t>FP-81026R*2</t>
  </si>
  <si>
    <t>2F3742(T02-R)色差/3732/JET</t>
  </si>
  <si>
    <t>187/OFF</t>
  </si>
  <si>
    <t>2F3752(T02-R)換原絲</t>
  </si>
  <si>
    <t>FP-61836R*2</t>
  </si>
  <si>
    <t>2F3762(T02-R)3752換原絲</t>
  </si>
  <si>
    <t>FP-61837R*2</t>
  </si>
  <si>
    <t>2F37A3(S2)3XB3</t>
  </si>
  <si>
    <t>150/72FD</t>
  </si>
  <si>
    <t>340/340/150</t>
  </si>
  <si>
    <t>FP-72264</t>
  </si>
  <si>
    <t>265/72FD</t>
  </si>
  <si>
    <t>2F37B1(M04)3RA1-換原絲</t>
  </si>
  <si>
    <t>150/48FB</t>
  </si>
  <si>
    <t>185/174</t>
  </si>
  <si>
    <t>A2542</t>
  </si>
  <si>
    <t>250/48BR</t>
  </si>
  <si>
    <t>5.8(5.8)</t>
  </si>
  <si>
    <t>2F37C3(M04)3RW3換原絲</t>
  </si>
  <si>
    <t>182/175</t>
  </si>
  <si>
    <t>108.1.24</t>
  </si>
  <si>
    <t>2F37D3(S2-5.6)DT73(BEAT RED色紗)</t>
  </si>
  <si>
    <t>75/72/2RDR23</t>
  </si>
  <si>
    <t>FP-61980R*2</t>
  </si>
  <si>
    <t>4.5(3.0)</t>
  </si>
  <si>
    <t>2F37E2(T03-R)3402-加T</t>
  </si>
  <si>
    <t>75/72/2SDRT</t>
  </si>
  <si>
    <t>108.1.22</t>
  </si>
  <si>
    <t>桔綠條紋</t>
  </si>
  <si>
    <t>2F37F2(T04-L)36Y2換機型</t>
  </si>
  <si>
    <t>2F37G2D(M05)3XC2D換原絲</t>
  </si>
  <si>
    <t>170/163</t>
  </si>
  <si>
    <t>N20/DJ31</t>
  </si>
  <si>
    <t>1.5/2.2</t>
  </si>
  <si>
    <t>FP-724595</t>
  </si>
  <si>
    <t>250/48SR6</t>
  </si>
  <si>
    <t>2F37H1(A21-B)3841機台換管</t>
  </si>
  <si>
    <t>150/48SDRT</t>
  </si>
  <si>
    <t>342/302/165</t>
  </si>
  <si>
    <t>2F37I2(M07)3SM2換原絲</t>
  </si>
  <si>
    <t>150/48FD</t>
  </si>
  <si>
    <t>181/158</t>
  </si>
  <si>
    <t xml:space="preserve">FP-62665              </t>
  </si>
  <si>
    <t>255/48FD</t>
  </si>
  <si>
    <t>6.0(5.7)</t>
  </si>
  <si>
    <t>2F37J1(M05)3SY1-換原絲</t>
  </si>
  <si>
    <t>166/140</t>
  </si>
  <si>
    <t>FP-724596</t>
  </si>
  <si>
    <t>2F37K1(A08-B)5F36B1</t>
  </si>
  <si>
    <t>150/36BK</t>
  </si>
  <si>
    <t>350/350/150</t>
  </si>
  <si>
    <t>FP-72450</t>
  </si>
  <si>
    <t>250/36BK</t>
  </si>
  <si>
    <t>6.0(5.0)</t>
  </si>
  <si>
    <t>2F37L2(A16-A)3RV2-換原絲修條件/機型</t>
  </si>
  <si>
    <t>75/72/2CDR</t>
  </si>
  <si>
    <t>FP-61416R×2</t>
  </si>
  <si>
    <t>2F37M3(M05)3SZ3- 換原絲</t>
  </si>
  <si>
    <t>160/155</t>
  </si>
  <si>
    <t>2F37N1(T02-R)3PX1換原絲/機型/DR</t>
  </si>
  <si>
    <t>150/144FCDR</t>
  </si>
  <si>
    <t>FP-61746R+81702</t>
  </si>
  <si>
    <t>120/72FDRD+130/72HC</t>
  </si>
  <si>
    <t>2F37P1(A08-B)3RS1-Z+S換原絲</t>
  </si>
  <si>
    <t>75/72/2BK</t>
  </si>
  <si>
    <t>FP-713263×2</t>
  </si>
  <si>
    <t>108.2.20</t>
  </si>
  <si>
    <t>2F37Q1(A08)-3XT1色差</t>
  </si>
  <si>
    <t>320/320/155</t>
  </si>
  <si>
    <t>FP-62654R</t>
  </si>
  <si>
    <t>250/48FBKRD</t>
  </si>
  <si>
    <t>2F37R1(A18)3RN1換原絲5.5kg</t>
  </si>
  <si>
    <t>150/48HC</t>
  </si>
  <si>
    <t>FP-82700</t>
  </si>
  <si>
    <t>250/48HC</t>
  </si>
  <si>
    <t>90±20</t>
  </si>
  <si>
    <t>6(5.7)</t>
  </si>
  <si>
    <t>2F37S3(A08-A)5F38Z3換原絲/降速/重量</t>
  </si>
  <si>
    <t>150/48KR5</t>
  </si>
  <si>
    <t>FP-62671</t>
  </si>
  <si>
    <t>260/48KR5</t>
  </si>
  <si>
    <t>2F37T2(A17-A)5F3QM2-換原絲/降速/DR</t>
  </si>
  <si>
    <t>2F37U3(A23)37A3換原絲/機型/DR</t>
  </si>
  <si>
    <t>340/340/149</t>
  </si>
  <si>
    <t>108.3.27</t>
  </si>
  <si>
    <t>2F37V2(T03)37E2換原絲</t>
  </si>
  <si>
    <t>108.3.31</t>
  </si>
  <si>
    <t>2F37W3(M05)37M3- 換原絲</t>
  </si>
  <si>
    <t>FP-724597</t>
  </si>
  <si>
    <t>2F37X2(T03-R)3412換原絲</t>
  </si>
  <si>
    <t xml:space="preserve">FP-81946R*2            </t>
  </si>
  <si>
    <t>2F37Y2(T03-L)37V2換原絲</t>
  </si>
  <si>
    <t>108.4.5</t>
  </si>
  <si>
    <t>紅黃双色</t>
  </si>
  <si>
    <t>2F37Z2(M07)3102換原絲</t>
  </si>
  <si>
    <t>2F3801(A20)3XN1換原絲</t>
  </si>
  <si>
    <t>150/48SDRD</t>
  </si>
  <si>
    <t>2F3812(A22)3GG2換原絲</t>
  </si>
  <si>
    <t>2F3821(A22-A)3XV1</t>
  </si>
  <si>
    <t>2F3831(A17)3SP1換原絲</t>
  </si>
  <si>
    <t>345/305/165</t>
  </si>
  <si>
    <t>108.1.5</t>
  </si>
  <si>
    <t>2F3841(A21-B)3XQ1換原絲</t>
  </si>
  <si>
    <t>2F38A1(A08-A)5F3XF1換原絲</t>
  </si>
  <si>
    <t>150/48BK</t>
  </si>
  <si>
    <t>340/337/152</t>
  </si>
  <si>
    <t>FP-72451</t>
  </si>
  <si>
    <t>250/48BK</t>
  </si>
  <si>
    <t>2.6(GB)</t>
  </si>
  <si>
    <t>108.4.8</t>
  </si>
  <si>
    <t>2F38B1(M05)37J1-換原絲</t>
  </si>
  <si>
    <t>5.6(4.9)</t>
  </si>
  <si>
    <t>2F38C1(A08)37P1-換原絲</t>
  </si>
  <si>
    <t>FP-61432×2</t>
  </si>
  <si>
    <t>2F38D3(J08)3XW3-換原絲</t>
  </si>
  <si>
    <t>150/144SCTR</t>
  </si>
  <si>
    <t>250/270/150</t>
  </si>
  <si>
    <t>FP-81946R+81702</t>
  </si>
  <si>
    <t>120/72SDR+130/72HC</t>
  </si>
  <si>
    <t>2F38E2(J08)5F3EJ2換原絲-物性LIKE-3RL2</t>
  </si>
  <si>
    <t>150/108SCTR</t>
  </si>
  <si>
    <t>FP-81946R+81700</t>
  </si>
  <si>
    <t>120/72SDR+120/36HC</t>
  </si>
  <si>
    <t>108.5.7</t>
  </si>
  <si>
    <t>2F38F2(J07)37X2換原絲</t>
  </si>
  <si>
    <t>360/320/OFF</t>
  </si>
  <si>
    <t>FP-81918R*2</t>
  </si>
  <si>
    <t>108.5.9</t>
  </si>
  <si>
    <t>2F38G2(S2)5F3XL2換原絲</t>
  </si>
  <si>
    <t>345/345/150</t>
  </si>
  <si>
    <t xml:space="preserve">FP-62665                  </t>
  </si>
  <si>
    <t>4.2(3.0)</t>
  </si>
  <si>
    <t>2F38H3(J08)5FDV43</t>
  </si>
  <si>
    <t>150/144FCT</t>
  </si>
  <si>
    <t>FP-71721+81702</t>
  </si>
  <si>
    <t>120/72FD+130/72HC</t>
  </si>
  <si>
    <t>2F38I1(A08-A)38A1色差</t>
  </si>
  <si>
    <t>5.9(5.3)</t>
  </si>
  <si>
    <t>108.5.16</t>
  </si>
  <si>
    <t>2F38J2(J07)</t>
  </si>
  <si>
    <t>75/144/2SDR</t>
  </si>
  <si>
    <t>107.5°</t>
  </si>
  <si>
    <t>290/275/OFF</t>
  </si>
  <si>
    <t>FP-81922R*2</t>
  </si>
  <si>
    <t>2F38K2(M07)37Z2換原絲</t>
  </si>
  <si>
    <t>187/170</t>
  </si>
  <si>
    <t>FP-82950R</t>
  </si>
  <si>
    <t>2F38L2(T03-R)5F3SR2-換原絲/壓力</t>
  </si>
  <si>
    <t>108.5.24</t>
  </si>
  <si>
    <t>2F38M3(M05)37W3- 換原絲</t>
  </si>
  <si>
    <t>FP-62003</t>
  </si>
  <si>
    <t>108.6.17</t>
  </si>
  <si>
    <t>2F38N1(S1)5F3XY1換原絲</t>
  </si>
  <si>
    <t>FP-82701</t>
  </si>
  <si>
    <t>2F38P1(S2)37B1-換原絲/機型/DR</t>
  </si>
  <si>
    <t>320/320/140</t>
  </si>
  <si>
    <t>5.8(5.5)</t>
  </si>
  <si>
    <t>2F38Q3(S1)37C3換原絲/機型/DR</t>
  </si>
  <si>
    <t>335/335/155</t>
  </si>
  <si>
    <t>2F38R1(A08-A)5F3QQ1降速/換原絲</t>
  </si>
  <si>
    <t>FP-62010</t>
  </si>
  <si>
    <t>108.6.18</t>
  </si>
  <si>
    <t>2F38S1(M08)5F3EK1-換原絲/DR-37Q1物性</t>
  </si>
  <si>
    <t>174/159</t>
  </si>
  <si>
    <t>FP-62015R</t>
  </si>
  <si>
    <t>250/48FBKR</t>
  </si>
  <si>
    <t>2F38T2(A21-B)3812</t>
  </si>
  <si>
    <t>2F38U3(J09)3XW3-換原絲</t>
  </si>
  <si>
    <t>245/265/150</t>
  </si>
  <si>
    <t>FP-81950R+61405R</t>
  </si>
  <si>
    <t>120/72SDR+130/72CDRD</t>
  </si>
  <si>
    <t>2F38V1(M07)38B1-換原絲</t>
  </si>
  <si>
    <t>FP-62017</t>
  </si>
  <si>
    <t>5.6(4.7)</t>
  </si>
  <si>
    <t>108.7.23</t>
  </si>
  <si>
    <t>2F38W3(S2)5F3RG3換原絲/機型/DR</t>
  </si>
  <si>
    <t>300/300/130</t>
  </si>
  <si>
    <t>108.7.19</t>
  </si>
  <si>
    <t>2F38X1(T03)3801換原絲/機型/DR</t>
  </si>
  <si>
    <t>2F38Y1(M04)5F3RA1-換原絲</t>
  </si>
  <si>
    <t>185/175</t>
  </si>
  <si>
    <t>FP-62009</t>
  </si>
  <si>
    <t>255/48FB</t>
  </si>
  <si>
    <t>45±20</t>
  </si>
  <si>
    <t>5.8(5.2)</t>
  </si>
  <si>
    <t>108.8.14</t>
  </si>
  <si>
    <t>2F38Z1(A21-A)3801換原絲</t>
  </si>
  <si>
    <t>FP-62777R</t>
  </si>
  <si>
    <t>108.8.1</t>
  </si>
  <si>
    <t>2F3902(M07)3XG2換原絲</t>
  </si>
  <si>
    <t>150/72SDRD</t>
  </si>
  <si>
    <t>2F39A2(M05)38K2換原絲</t>
  </si>
  <si>
    <t>4.8(4.4)</t>
  </si>
  <si>
    <t>2F39B1(A17-B)38Z1換原絲</t>
  </si>
  <si>
    <t>FP-62778R</t>
  </si>
  <si>
    <t>2F39C2(A11-A)</t>
  </si>
  <si>
    <t>75/48/2SDRO</t>
  </si>
  <si>
    <t>FP-61462R×2</t>
  </si>
  <si>
    <t>108.8.23</t>
  </si>
  <si>
    <t>2F39D2(M05)39A2換原絲</t>
  </si>
  <si>
    <t>FP-82954R</t>
  </si>
  <si>
    <t>4.8(3.9)</t>
  </si>
  <si>
    <t>2F39E2(T03-L)37X2換原絲</t>
  </si>
  <si>
    <t xml:space="preserve">FP-61463R*2            </t>
  </si>
  <si>
    <t>108.8.27</t>
  </si>
  <si>
    <t>2F39F2(A11-A)39C2併股</t>
  </si>
  <si>
    <t>150/96SDRO</t>
  </si>
  <si>
    <t>2F39G2(J07)5F3SI2換原絲</t>
  </si>
  <si>
    <t>FP-81965R*2</t>
  </si>
  <si>
    <t>108.9.3</t>
  </si>
  <si>
    <t>2F39H1(A23)39B1換原絲/降速</t>
  </si>
  <si>
    <t>325/285/163</t>
  </si>
  <si>
    <t>FP-62669R</t>
  </si>
  <si>
    <t>2F39I1(M04)38V1-換原絲</t>
  </si>
  <si>
    <t>FP-62029</t>
  </si>
  <si>
    <t>2F39J2(S2)38T2換原絲/降速/機型/DR</t>
  </si>
  <si>
    <t>363/323/OFF</t>
  </si>
  <si>
    <t>6.5(5.4)</t>
  </si>
  <si>
    <t>2F39K2(T02)37X2換原絲/DR</t>
  </si>
  <si>
    <t xml:space="preserve">FP-81950R*2            </t>
  </si>
  <si>
    <t>108.10.5</t>
  </si>
  <si>
    <t>2F39L2(M07)39D2換原絲</t>
  </si>
  <si>
    <t>185/170</t>
  </si>
  <si>
    <t>4.8(4.1)</t>
  </si>
  <si>
    <t>108.9.23</t>
  </si>
  <si>
    <t>2F39M3(J08)38U3-換原絲/DR</t>
  </si>
  <si>
    <t>255/275/150</t>
  </si>
  <si>
    <t>FP-61736R+61470R</t>
  </si>
  <si>
    <t>120/72SDR+130/72CDR</t>
  </si>
  <si>
    <t>2F39N3(M04)38M3- 換原絲</t>
  </si>
  <si>
    <t>2F39P1(A23-B)3011換原絲</t>
  </si>
  <si>
    <t>359/319/155</t>
  </si>
  <si>
    <t>2F39Q3(S1)37A3-修DR</t>
  </si>
  <si>
    <t>340/340/145</t>
  </si>
  <si>
    <t>2F39R2(T01-R)38L2-換原絲</t>
  </si>
  <si>
    <t>FP-81903R*2</t>
  </si>
  <si>
    <t>5F3RZ1(J07)3QL1換原絲</t>
  </si>
  <si>
    <t>FP-81952R*2</t>
  </si>
  <si>
    <t>107.8.9</t>
  </si>
  <si>
    <t>2F39S2(A12-A)37T2-換原絲/升速/DR</t>
  </si>
  <si>
    <t>FP-62032R</t>
  </si>
  <si>
    <t>2F39T2(S1)38G2換原絲/降速/DR</t>
  </si>
  <si>
    <t>333/333/140</t>
  </si>
  <si>
    <t xml:space="preserve">FP-62039                  </t>
  </si>
  <si>
    <t>108.10.8</t>
  </si>
  <si>
    <t>2F39U3(J08)38H3換原絲/DR</t>
  </si>
  <si>
    <t>FP-71721+81709</t>
  </si>
  <si>
    <t>108.10.9</t>
  </si>
  <si>
    <t>2F39V2(A23-B)38T2換原絲</t>
  </si>
  <si>
    <t>108.10.22</t>
  </si>
  <si>
    <t>2F39W2(T01-R)39E2換原絲</t>
  </si>
  <si>
    <t xml:space="preserve">FP-61480R*2            </t>
  </si>
  <si>
    <t>2F39X1(T02-R)38N1換原絲/DR/機型</t>
  </si>
  <si>
    <t>2F39Y3(A09)5F3RG3換原絲</t>
  </si>
  <si>
    <t>300/300/140</t>
  </si>
  <si>
    <t>FP-62041</t>
  </si>
  <si>
    <t>108.10.25</t>
  </si>
  <si>
    <t>2F39Z2(T03-R)39K2換原絲</t>
  </si>
  <si>
    <t xml:space="preserve">FP-81957R+81943R           </t>
  </si>
  <si>
    <t>120/72SDRD+120/72SDR</t>
  </si>
  <si>
    <t>108.11.13</t>
  </si>
  <si>
    <t>2F3A02(J07)37F2換機型/降速</t>
  </si>
  <si>
    <t>15.6</t>
  </si>
  <si>
    <t>330/335/OFF</t>
  </si>
  <si>
    <t>FP-62043R</t>
  </si>
  <si>
    <t>2F3A13(M02)39Q3換原絲/機型</t>
  </si>
  <si>
    <t>FP-62053</t>
  </si>
  <si>
    <t>5(4.6)</t>
  </si>
  <si>
    <t>109.2.14</t>
  </si>
  <si>
    <t>2F3A22(T04-R)94B2換原絲/降速</t>
  </si>
  <si>
    <t xml:space="preserve">FP-81982R*2            </t>
  </si>
  <si>
    <t>2F3A32(S2)36Y2換原絲/DR</t>
  </si>
  <si>
    <t>FP-62092R</t>
  </si>
  <si>
    <t>6.5(5.7)</t>
  </si>
  <si>
    <t>109.10.17</t>
  </si>
  <si>
    <t>2F3A41(M05)3AV1換原絲/換機型/降速</t>
  </si>
  <si>
    <t>150/48SDRO</t>
  </si>
  <si>
    <t>29.3</t>
  </si>
  <si>
    <t>175/175</t>
  </si>
  <si>
    <t>FP-82802R</t>
  </si>
  <si>
    <t>250/48SDRO</t>
  </si>
  <si>
    <t>2F3A51(A19)3V41換原絲</t>
  </si>
  <si>
    <t>350/310/158</t>
  </si>
  <si>
    <t>110.3.3</t>
  </si>
  <si>
    <t>2F3A62(A12)3Q52-換原絲</t>
  </si>
  <si>
    <t>150/48CDRO</t>
  </si>
  <si>
    <t>FP-62156R</t>
  </si>
  <si>
    <t>250/48CDRO</t>
  </si>
  <si>
    <t>110.5.21</t>
  </si>
  <si>
    <t>2F3A72(A11)3A62-色差</t>
  </si>
  <si>
    <t>277/277/150</t>
  </si>
  <si>
    <t>110.7.16</t>
  </si>
  <si>
    <t>2F3A81(A17)3M71色差</t>
  </si>
  <si>
    <t>360/320/155</t>
  </si>
  <si>
    <t>FP-62856R</t>
  </si>
  <si>
    <t>2F3A91(A11)3H81色差</t>
  </si>
  <si>
    <t>110.11.4</t>
  </si>
  <si>
    <t>2F3AA2(T03-R)5F3JJ2換原絲</t>
  </si>
  <si>
    <t xml:space="preserve">FP-82967R         </t>
  </si>
  <si>
    <t>6.5(6.0)</t>
  </si>
  <si>
    <t>2F3AB2(T03-L)3AA2換原絲</t>
  </si>
  <si>
    <t xml:space="preserve">FP-82952R         </t>
  </si>
  <si>
    <t>6.5(6.3)</t>
  </si>
  <si>
    <t>109.1.10</t>
  </si>
  <si>
    <t>2F3AC2(A19)5F3JI2色差</t>
  </si>
  <si>
    <t>365/325/OFF</t>
  </si>
  <si>
    <t>FP-82952R</t>
  </si>
  <si>
    <t>2F3AD2(A19-B)3AC2換原絲</t>
  </si>
  <si>
    <t>FP-82957R</t>
  </si>
  <si>
    <t>6.5(6.2)</t>
  </si>
  <si>
    <t>109.2.6</t>
  </si>
  <si>
    <t>2F3AE1(A21)3L01(95M1改標)換原絲/降速/DR</t>
  </si>
  <si>
    <t>360/320/158</t>
  </si>
  <si>
    <t>FP-82971R</t>
  </si>
  <si>
    <t>2F3AF1(A19-B)3AE1換原絲</t>
  </si>
  <si>
    <t>FP-82974R</t>
  </si>
  <si>
    <t>2F3AG1(A19)3AF1色差</t>
  </si>
  <si>
    <t>2F3AI2(A19)3AD2換原絲/降速</t>
  </si>
  <si>
    <t>355/315/OFF</t>
  </si>
  <si>
    <t>2F3AJ1(A17)</t>
  </si>
  <si>
    <t>355/315/158</t>
  </si>
  <si>
    <t>6.0(5.1)</t>
  </si>
  <si>
    <t>2F3AK1(A19-A)3AG1換原絲/DR</t>
  </si>
  <si>
    <t>109.7.22</t>
  </si>
  <si>
    <t>2F3AL2(A17-B)3AI2換原絲/DR</t>
  </si>
  <si>
    <t>2F3AM2(A17)3AL2換原絲</t>
  </si>
  <si>
    <t>2F3AN1(A19-A)3AK1換原絲</t>
  </si>
  <si>
    <t>700↑750</t>
  </si>
  <si>
    <t>370/330/158</t>
  </si>
  <si>
    <t>2F3AP1(A17-B)3AJ1換原絲/升速</t>
  </si>
  <si>
    <t>365/325/158</t>
  </si>
  <si>
    <t>2F3AQ1(A19-B)3AP1換原絲</t>
  </si>
  <si>
    <t>FP-82959R</t>
  </si>
  <si>
    <t>2F3AR2(A17)3AM2換原絲</t>
  </si>
  <si>
    <t>FP-82979R</t>
  </si>
  <si>
    <t>2F3AS1(A19-A)3AN1換原絲</t>
  </si>
  <si>
    <t>2F3AT2(A17-B)3AR2換原絲</t>
  </si>
  <si>
    <t>FP-82984R</t>
  </si>
  <si>
    <t>2F3AU1(M07)3AS1換原絲/降速/機型</t>
  </si>
  <si>
    <t>170/170</t>
  </si>
  <si>
    <t>109.11.5</t>
  </si>
  <si>
    <t>2F3AV1(A22-A)3AQ1換原絲</t>
  </si>
  <si>
    <t>6(5.2)</t>
  </si>
  <si>
    <t>2F3AW1(M07)3AU1換原絲</t>
  </si>
  <si>
    <t>FP-82960R</t>
  </si>
  <si>
    <t>4.5(4.5)</t>
  </si>
  <si>
    <t>2F3AX2(A17-B)3AT2換原絲</t>
  </si>
  <si>
    <t>109.11.26</t>
  </si>
  <si>
    <t>2F3AY2(M08)3AT2換原絲/機型/DR</t>
  </si>
  <si>
    <t>6.5(6.5)</t>
  </si>
  <si>
    <t>2F3AZ1(M07)3AW1換原絲</t>
  </si>
  <si>
    <t>170/173</t>
  </si>
  <si>
    <t>FP-82801R</t>
  </si>
  <si>
    <t>2F3B02(T03-L)39K2換原絲</t>
  </si>
  <si>
    <t xml:space="preserve">FP-61828R*2            FP-61829R*2            </t>
  </si>
  <si>
    <t>2F3B12(M02)5F3NX2-換原絲/DR</t>
  </si>
  <si>
    <t>109.2.20</t>
  </si>
  <si>
    <t>2F3B23(A22)37U3換原絲/3A13物性/DR</t>
  </si>
  <si>
    <t>320/320/150</t>
  </si>
  <si>
    <t>FP-62064</t>
  </si>
  <si>
    <t>2F3B32(A07-B)3C02(併股)</t>
  </si>
  <si>
    <t>150/144SCCET</t>
  </si>
  <si>
    <t>FP-61565+61571</t>
  </si>
  <si>
    <t>125/72SCCE+130/72HC</t>
  </si>
  <si>
    <t>2F3B43(A12-A)34I3換原絲/DR</t>
  </si>
  <si>
    <t>FP-82003R</t>
  </si>
  <si>
    <t>2F3B53(A22-A)5F3X53</t>
  </si>
  <si>
    <t>150/48SD</t>
  </si>
  <si>
    <t>360/320/152</t>
  </si>
  <si>
    <t>FP-72364</t>
  </si>
  <si>
    <t>260/48SD</t>
  </si>
  <si>
    <t>2F3B62(A11-B)3F52-換原絲/DR</t>
  </si>
  <si>
    <t>FP-62145R</t>
  </si>
  <si>
    <t>2F3B81(A08-A)3I71換原絲/DR</t>
  </si>
  <si>
    <t>FP-62184R</t>
  </si>
  <si>
    <t>2F3B91(A19-A)3U81色差</t>
  </si>
  <si>
    <t>340/300/155</t>
  </si>
  <si>
    <t>2F3BA2(M03)5F3KL2換原絲(海洋回收)</t>
  </si>
  <si>
    <t>150/72SDRO</t>
  </si>
  <si>
    <t>188/169</t>
  </si>
  <si>
    <t xml:space="preserve">FP-82964R                                            FP-82966R-108.12.20                 </t>
  </si>
  <si>
    <t>250/72SDRO</t>
  </si>
  <si>
    <t>2F3BB2(M03)3BA2換原絲(海洋回收)升速</t>
  </si>
  <si>
    <t xml:space="preserve">FP-82953R                                                       </t>
  </si>
  <si>
    <t>2F3BC2(M03)3BB2換原絲(海洋回收)</t>
  </si>
  <si>
    <t xml:space="preserve">FP-82955R                                                       </t>
  </si>
  <si>
    <t>4.5(4.3)</t>
  </si>
  <si>
    <t>2F3BD2(M02)3BC2換原絲(海洋回收)</t>
  </si>
  <si>
    <t xml:space="preserve">FP-82972R                                                       </t>
  </si>
  <si>
    <t>4.5(4.4)</t>
  </si>
  <si>
    <t>白紅條</t>
  </si>
  <si>
    <t>2F3BE2(M04)3BD2換原絲(海洋回收)</t>
  </si>
  <si>
    <t>190/169</t>
  </si>
  <si>
    <t xml:space="preserve">FP-82973R                                                       </t>
  </si>
  <si>
    <t>2F3BF2(M08)3BG2換原絲(海洋回收)</t>
  </si>
  <si>
    <t xml:space="preserve">FP-82964R                    </t>
  </si>
  <si>
    <t>2F3BG2(M08)3BE2換原絲(海洋回收)</t>
  </si>
  <si>
    <t xml:space="preserve">FP-82953R                    FP-82966R-109.8.21                                              </t>
  </si>
  <si>
    <t>109.8.13</t>
  </si>
  <si>
    <t>2F3BH2(M03)3BF2換原絲(海洋回收)</t>
  </si>
  <si>
    <t>109.12.16</t>
  </si>
  <si>
    <t>2F3BI2(M03)3BH2換原絲(海洋回收)</t>
  </si>
  <si>
    <t xml:space="preserve">FP-82803R                    </t>
  </si>
  <si>
    <t>2F3BJ2(M03)3BH2換原絲(海洋回收)</t>
  </si>
  <si>
    <t xml:space="preserve">FP-82800R                    </t>
  </si>
  <si>
    <t>2F3BK2(M03)3BI2換原絲(海洋回收)</t>
  </si>
  <si>
    <t xml:space="preserve">FP-82807R                    </t>
  </si>
  <si>
    <t>2F3BL2(M01)3E42換原絲(海洋回收)</t>
  </si>
  <si>
    <t xml:space="preserve">FP-82808R                    </t>
  </si>
  <si>
    <t>110.2.4</t>
  </si>
  <si>
    <t>2F3BM2(A17)9L32換原絲/機型(海洋回收)</t>
  </si>
  <si>
    <t>345/345/135</t>
  </si>
  <si>
    <t xml:space="preserve">FP-82811R                    </t>
  </si>
  <si>
    <t>2F3BN2(M01)3BL2換原絲(海洋回收)</t>
  </si>
  <si>
    <t xml:space="preserve">FP-82812R                    </t>
  </si>
  <si>
    <t>2F3BP2(A07-A)3BN2換原絲/機型/升速(海洋回收)</t>
  </si>
  <si>
    <t>110.3.29</t>
  </si>
  <si>
    <t>2F3BQ2(A18-A)3BM2換原絲/DR(海洋回收)</t>
  </si>
  <si>
    <t xml:space="preserve">FP-62146R                    </t>
  </si>
  <si>
    <t>2F3BR2(M05)3T72換原絲</t>
  </si>
  <si>
    <t>205/152</t>
  </si>
  <si>
    <t>FP-82800R</t>
  </si>
  <si>
    <t>110.9.1</t>
  </si>
  <si>
    <t>2F3BS2(M04-A)3BR2換原絲</t>
  </si>
  <si>
    <t>600↓550</t>
  </si>
  <si>
    <t>200/152</t>
  </si>
  <si>
    <t>FP-82805R</t>
  </si>
  <si>
    <t>2F3BT1(A16-B)3X91換原絲</t>
  </si>
  <si>
    <t>370/330/155</t>
  </si>
  <si>
    <t>FP-62764R</t>
  </si>
  <si>
    <t>110.12.16</t>
  </si>
  <si>
    <t>2F3BU2(A24-B)3I92換原絲/規格</t>
  </si>
  <si>
    <t>150/48SDROP</t>
  </si>
  <si>
    <t>350/320/OFF</t>
  </si>
  <si>
    <t>2F3BV1(A22-B)3R51換原絲</t>
  </si>
  <si>
    <t>FP-62197</t>
  </si>
  <si>
    <t>2F3BW1(M04)3P41(LIKE-3A91)</t>
  </si>
  <si>
    <t>170/178</t>
  </si>
  <si>
    <t>110.12.22</t>
  </si>
  <si>
    <t>廠商-愛迪達</t>
  </si>
  <si>
    <t>2F3BX2(A24-A)3I92-規格不同</t>
  </si>
  <si>
    <t>2F3BY2(A20-A)3Z72/DR</t>
  </si>
  <si>
    <t>75/36/2CDRO</t>
  </si>
  <si>
    <t>FP-61669R*2</t>
  </si>
  <si>
    <t>110.12.27</t>
  </si>
  <si>
    <t>2F3BZ2(T03-L)35G2換原絲</t>
  </si>
  <si>
    <t xml:space="preserve">FP-81062R*2            </t>
  </si>
  <si>
    <t>紫底白點/白紅點</t>
  </si>
  <si>
    <t>2F3C02(A07-B)5F3SV2(併股)</t>
  </si>
  <si>
    <t>FP-61358+81709</t>
  </si>
  <si>
    <t>2F3C12(T04-L)3R02換原絲</t>
  </si>
  <si>
    <t xml:space="preserve">FP-81930R*2            </t>
  </si>
  <si>
    <t>2F3C23(M05)3Z03- 換原絲</t>
  </si>
  <si>
    <t>158/155</t>
  </si>
  <si>
    <t>FP-62063</t>
  </si>
  <si>
    <t>2F3C32(T04-L)99J2-換原絲</t>
  </si>
  <si>
    <t>160/150</t>
  </si>
  <si>
    <t>4.6(4.3)</t>
  </si>
  <si>
    <t>2F3C43(S2)3N33換原絲</t>
  </si>
  <si>
    <t>FP-82809R</t>
  </si>
  <si>
    <t>240/48SDRO</t>
  </si>
  <si>
    <t>2F3C51(A07)3AV1換原絲/DR</t>
  </si>
  <si>
    <t>750↓650</t>
  </si>
  <si>
    <t>340/300/158</t>
  </si>
  <si>
    <t>FP-82813R</t>
  </si>
  <si>
    <t>2F3C62(A07-A)3I12換原絲</t>
  </si>
  <si>
    <t>75/72/2CE</t>
  </si>
  <si>
    <t>FP-61966*2</t>
  </si>
  <si>
    <t>2F3C72(A23)37L2-換原絲/JET(物性LIKE3Y32)</t>
  </si>
  <si>
    <t>202/202/OFF</t>
  </si>
  <si>
    <t>FP-61631R×2</t>
  </si>
  <si>
    <t>110.7.22</t>
  </si>
  <si>
    <t>2F3C81(A11)3A51換原絲/DR</t>
  </si>
  <si>
    <t>FP-82816R</t>
  </si>
  <si>
    <t>110.9.27</t>
  </si>
  <si>
    <t>2F3C92(A19-B)3T82S色差</t>
  </si>
  <si>
    <t>(S)2.0</t>
  </si>
  <si>
    <t>2F3CA1(A14)3E71換原絲/DR</t>
  </si>
  <si>
    <t>2F3CB2(A24-B)3I92換原絲</t>
  </si>
  <si>
    <t>2F3CC2(A24-A)3I92色差</t>
  </si>
  <si>
    <t>2F3CD1(A19)3U91換原絲/DR</t>
  </si>
  <si>
    <t>2F3CE1(A10)3R81換原絲/DR</t>
  </si>
  <si>
    <t>2F3CF1(M04)3BW1色差</t>
  </si>
  <si>
    <t>2F3CG2(S1)3X72換原絲/DR/降速</t>
  </si>
  <si>
    <t>75/72/2HNIR</t>
  </si>
  <si>
    <t>FP-61928*2</t>
  </si>
  <si>
    <t>2F3CH1(A08-B)3B81換原絲</t>
  </si>
  <si>
    <t>FP-62193R</t>
  </si>
  <si>
    <t>2F3CI2(M05)3T72換原絲/DR/降速</t>
  </si>
  <si>
    <t>195/155</t>
  </si>
  <si>
    <t>FP-62175R</t>
  </si>
  <si>
    <t>255/72SDR</t>
  </si>
  <si>
    <t>2F3CJ1(A16-A)3BT1換原絲/DR</t>
  </si>
  <si>
    <t>2F3CK2(A24-B)3CC2色差</t>
  </si>
  <si>
    <t>2F3CL1(A11-B)3A91色差</t>
  </si>
  <si>
    <t>111.1.17</t>
  </si>
  <si>
    <t>2F3CM2(A11-A)3K82-降速</t>
  </si>
  <si>
    <t>FP-82712R</t>
  </si>
  <si>
    <t>111.1.19</t>
  </si>
  <si>
    <t>2F3CN2(T04-R)3DH2-換原絲</t>
  </si>
  <si>
    <t>75/72/2SDRO</t>
  </si>
  <si>
    <t>FP-81812R*2</t>
  </si>
  <si>
    <t>白綠星/白紅條紋-1</t>
  </si>
  <si>
    <t>2F3CP2(A11-B)3Y72-換原絲</t>
  </si>
  <si>
    <t>FP-62195R</t>
  </si>
  <si>
    <t>111.2.8</t>
  </si>
  <si>
    <t>2F3CQ2(A24)3CK2色差</t>
  </si>
  <si>
    <t>2F3CR1(A13)3W91換原絲5.5kg</t>
  </si>
  <si>
    <t>FP-62209</t>
  </si>
  <si>
    <t>111.2.9</t>
  </si>
  <si>
    <t>2F3CS1(M02)3W81換原絲/DR/條件3F91</t>
  </si>
  <si>
    <t>175/178</t>
  </si>
  <si>
    <t>111.2.11</t>
  </si>
  <si>
    <t>2F3CT2(T02-R)3762換原絲/DR</t>
  </si>
  <si>
    <t>FP-61723R*2</t>
  </si>
  <si>
    <t>2F3CU1(A17-B)3BV1換原絲/DR</t>
  </si>
  <si>
    <t>FP-62203</t>
  </si>
  <si>
    <t>2F3CV2(M05)3CI2換原絲</t>
  </si>
  <si>
    <t>FP-62171R</t>
  </si>
  <si>
    <t>2F3CW1(A08-B)3CH1換原絲/DR</t>
  </si>
  <si>
    <t>FP-62210R</t>
  </si>
  <si>
    <t>111.2.16</t>
  </si>
  <si>
    <t>2F3CX2(T04-L)3J92換原絲</t>
  </si>
  <si>
    <t xml:space="preserve">FP-81068R*2            </t>
  </si>
  <si>
    <t>110.2.18</t>
  </si>
  <si>
    <t>2F3CY1(A12)3DI1換原絲</t>
  </si>
  <si>
    <t>650↓600-4/11</t>
  </si>
  <si>
    <t>303/263/153</t>
  </si>
  <si>
    <t>FP-82038R</t>
  </si>
  <si>
    <t>111.3.21</t>
  </si>
  <si>
    <t>2F3CZ1(A16-A)3CD1不同台</t>
  </si>
  <si>
    <t>2F3D02(A21-B)5F3BD2</t>
  </si>
  <si>
    <t>FP-82961R</t>
  </si>
  <si>
    <t>108.11.15</t>
  </si>
  <si>
    <t>2F3D12(T04-L)5F3HB2-換原絲/DR</t>
  </si>
  <si>
    <t>FP-61521R×2</t>
  </si>
  <si>
    <t>109.2.25</t>
  </si>
  <si>
    <t>2F3D21(A07-B)DN21</t>
  </si>
  <si>
    <t>75/72/2SCCE</t>
  </si>
  <si>
    <t>FP-61970*2</t>
  </si>
  <si>
    <t>109.5.21</t>
  </si>
  <si>
    <t>2F3D33(A21-B)39Y3換原絲</t>
  </si>
  <si>
    <t>FP-62089</t>
  </si>
  <si>
    <t>2F3D41(M07)9U21換原絲</t>
  </si>
  <si>
    <t>180/190</t>
  </si>
  <si>
    <t>FP-82810R</t>
  </si>
  <si>
    <t>2F3D52(A12-B)3W42換原絲</t>
  </si>
  <si>
    <t>FP-62758R</t>
  </si>
  <si>
    <t>2F3D63(T02-L)3I23換原絲/DR</t>
  </si>
  <si>
    <t>FP-71725+61616</t>
  </si>
  <si>
    <t>110.5.26</t>
  </si>
  <si>
    <t>2F3D72(T01-L)膠管3K62</t>
  </si>
  <si>
    <t>200/175</t>
  </si>
  <si>
    <t xml:space="preserve">FP-82802R         </t>
  </si>
  <si>
    <t>110.7.20</t>
  </si>
  <si>
    <t>桔膠管</t>
  </si>
  <si>
    <t>2F3D82(A20)3Z72-Z+S換原絲/DR/重量(物性-3Y32)</t>
  </si>
  <si>
    <t>75/36/2CDR</t>
  </si>
  <si>
    <t>FP-61646R*2</t>
  </si>
  <si>
    <t>2F3D91(A17-A)3W51換原絲</t>
  </si>
  <si>
    <t>330/330/170</t>
  </si>
  <si>
    <t>FP-82015R</t>
  </si>
  <si>
    <t>2F3DA2(T02-R)5F3MG2換原絲/升速</t>
  </si>
  <si>
    <t>183/OFF</t>
  </si>
  <si>
    <t>FP-81989R*2</t>
  </si>
  <si>
    <t>109.1.14</t>
  </si>
  <si>
    <t>2F3DB2(T04-R)5F3MG2換原絲/升速</t>
  </si>
  <si>
    <t>FP-81959R*2</t>
  </si>
  <si>
    <t>2F3DC2(T04-R)3DB2吃新紗/DR修</t>
  </si>
  <si>
    <t>2F3DD2(T04)3DC2換原絲/DR</t>
  </si>
  <si>
    <t>FP-81968R*2</t>
  </si>
  <si>
    <t>2F3DE2(T04-L)3DD2換原絲</t>
  </si>
  <si>
    <t>2F3DF2(T03-R)3DE2換原絲/DR/降速</t>
  </si>
  <si>
    <t>FP-81809R*2</t>
  </si>
  <si>
    <t>110.7.26</t>
  </si>
  <si>
    <t>2F3DG2(T03-R)3DF2-DR/降速/AP</t>
  </si>
  <si>
    <t>2F3DH2(T02-R)3DG2-不同機台</t>
  </si>
  <si>
    <t>110.11.9</t>
  </si>
  <si>
    <t>2F3DI1(A15-B)3F81換原絲</t>
  </si>
  <si>
    <t>315/275/158</t>
  </si>
  <si>
    <t>FP-82032R</t>
  </si>
  <si>
    <t>綠藍三角/白紅心-1</t>
  </si>
  <si>
    <t>2F3DJ2(A17-A)3CQ2/DR</t>
  </si>
  <si>
    <t>340/310/OFF</t>
  </si>
  <si>
    <t>111.3.8</t>
  </si>
  <si>
    <t>2F3DK2(A11-A)3CM2-換原絲/溫度</t>
  </si>
  <si>
    <t>255/255/150</t>
  </si>
  <si>
    <t>2F3DL1(A08-A)3W71-換原絲/調溫</t>
  </si>
  <si>
    <t>FP-62214</t>
  </si>
  <si>
    <t>2F3DM1(A07-B)3L71換原絲/DR</t>
  </si>
  <si>
    <t>2F3DN3(A13-B)3L13/換原絲/機型/DR/物性like3D63(T04)</t>
  </si>
  <si>
    <t>FP-71725+61670</t>
  </si>
  <si>
    <t>2F3DP1(M07)9AZ1</t>
  </si>
  <si>
    <t>190/170</t>
  </si>
  <si>
    <t>FP-82807R</t>
  </si>
  <si>
    <t>2F3DQ2(M02)3M82(A16)換原絲/降速</t>
  </si>
  <si>
    <t>111.3.22</t>
  </si>
  <si>
    <t>2F3DR2(M05)3L92色差</t>
  </si>
  <si>
    <t>197/160</t>
  </si>
  <si>
    <t>111.3.23</t>
  </si>
  <si>
    <t>2F3DS2(T01-R)3S92換原絲</t>
  </si>
  <si>
    <t xml:space="preserve">FP-81014R*2            </t>
  </si>
  <si>
    <t>111.3.28</t>
  </si>
  <si>
    <t>2F3DT2(A22-B)3C72-換原絲/DR</t>
  </si>
  <si>
    <t>FP-61696R×2</t>
  </si>
  <si>
    <t>2F3DU2(A13)3P92-Z+S色差</t>
  </si>
  <si>
    <t>2F3DV2(A19)34F2換原絲/降速</t>
  </si>
  <si>
    <t>2F3DW1(A14)3CA1換原絲/降速</t>
  </si>
  <si>
    <t>340/300/145</t>
  </si>
  <si>
    <t>FP-82039R</t>
  </si>
  <si>
    <t>2F3DY1(A10)3CE1換原絲/降速</t>
  </si>
  <si>
    <t>350/310/150</t>
  </si>
  <si>
    <t>2F3DZ1(A16-A)3DW1換原絲</t>
  </si>
  <si>
    <t>600↓550-6/13</t>
  </si>
  <si>
    <t>330/290/140</t>
  </si>
  <si>
    <t>FP-82040R/82046R</t>
  </si>
  <si>
    <t>2F3E01(A17)39B1換原絲</t>
  </si>
  <si>
    <t>108.11.18</t>
  </si>
  <si>
    <t>2F3E12(T04-R)DM92</t>
  </si>
  <si>
    <t>75/72/2FDR</t>
  </si>
  <si>
    <t>FP-61504R×2</t>
  </si>
  <si>
    <t>2F3E23(M05-B)3C23- 換原絲</t>
  </si>
  <si>
    <t>FP-62069</t>
  </si>
  <si>
    <t>4.5(3.2)</t>
  </si>
  <si>
    <t>109.5.28</t>
  </si>
  <si>
    <t>2F3E31(A22-A)5F3RN1換原絲5.5kg/DR</t>
  </si>
  <si>
    <t>FP-62101</t>
  </si>
  <si>
    <t>109.11.23</t>
  </si>
  <si>
    <t>2F3E42(M03)3BK2換原絲(海洋回收)</t>
  </si>
  <si>
    <t>2F3E51(A20)3E31換原絲5.5kg/DR</t>
  </si>
  <si>
    <t>FP-62125</t>
  </si>
  <si>
    <t>110.3.13</t>
  </si>
  <si>
    <t>2F3E62(T03-R)3U52換原絲</t>
  </si>
  <si>
    <t>192/OFF</t>
  </si>
  <si>
    <t xml:space="preserve">FP-81808R*2            </t>
  </si>
  <si>
    <t>2F3E71(A14-B)3P61換原絲</t>
  </si>
  <si>
    <t>110.7.23</t>
  </si>
  <si>
    <t>廠商-NIKE(OIA)</t>
  </si>
  <si>
    <t>2F3E82(A07-A)3B32(併股)/DR</t>
  </si>
  <si>
    <t>150/144CET</t>
  </si>
  <si>
    <t>FP-61636+61616</t>
  </si>
  <si>
    <t>125/72CE+130/72HC</t>
  </si>
  <si>
    <t>2F3E92(A20-A)3P72-換原絲/DR</t>
  </si>
  <si>
    <t>75/72/2CDRO</t>
  </si>
  <si>
    <t>FP-61663R×2</t>
  </si>
  <si>
    <t>2F3EA1(A24)3CL1換原絲/DR</t>
  </si>
  <si>
    <t>340/300/160</t>
  </si>
  <si>
    <t>2F3EB2(T02-L)3Q82換原絲/降速</t>
  </si>
  <si>
    <t>75/72/2SDRC</t>
  </si>
  <si>
    <t xml:space="preserve">FP-81812R*2            </t>
  </si>
  <si>
    <t>2F3EC2(T03-L)膠管3D72/DR/色差</t>
  </si>
  <si>
    <t>粉紅膠管</t>
  </si>
  <si>
    <t>2F3ED1(A16)3W81換原絲/降速/DR</t>
  </si>
  <si>
    <t>345/305/145</t>
  </si>
  <si>
    <t>FP-82040R</t>
  </si>
  <si>
    <t>2F3EE2(M01)3L32換原絲</t>
  </si>
  <si>
    <t>2F3EF2(T04-R)3CX2換原絲/DR</t>
  </si>
  <si>
    <t xml:space="preserve">FP-81088R*2            </t>
  </si>
  <si>
    <t>111.4.15</t>
  </si>
  <si>
    <t>2F3EG2(T02)3CT2換原絲/降速</t>
  </si>
  <si>
    <t>FP-81073R*2</t>
  </si>
  <si>
    <t>2F3EH1(A16-B)3K91色差</t>
  </si>
  <si>
    <t>FP-82024R</t>
  </si>
  <si>
    <t>20±15</t>
  </si>
  <si>
    <t>111.4.18</t>
  </si>
  <si>
    <t>111.5/4-改發廠商-迪卡儂</t>
  </si>
  <si>
    <t>2F3EI2(A08-B)-3M92換原絲</t>
  </si>
  <si>
    <t>2F3EJ2(T03-R)3E62/換原絲/修結牢</t>
  </si>
  <si>
    <t>FP-81025R*2</t>
  </si>
  <si>
    <t>2F3EK3(A11-B)3Y93換原絲/DR</t>
  </si>
  <si>
    <t>FP-62222</t>
  </si>
  <si>
    <t>2F3EL2(T02-L)3EG2換原絲</t>
  </si>
  <si>
    <t>FP-81085R*2</t>
  </si>
  <si>
    <t>2F3EM1(A24)3EA1換原絲</t>
  </si>
  <si>
    <t>650↓550-6/14</t>
  </si>
  <si>
    <t>320/280/150</t>
  </si>
  <si>
    <t>FP-82819R</t>
  </si>
  <si>
    <t>2F3EP2(M01)3EE2換原絲/DR</t>
  </si>
  <si>
    <t>111.4.26</t>
  </si>
  <si>
    <t>2F3EQ2(T03-L)3EG2降速</t>
  </si>
  <si>
    <t>2F3ER1(A15)3ED1換原絲</t>
  </si>
  <si>
    <t>FP-82036R/82032R</t>
  </si>
  <si>
    <t>2F3ES2(A17-B)3V52/DR/改重量(物性LIKE3Q92)</t>
  </si>
  <si>
    <t>FP-62194</t>
  </si>
  <si>
    <t>255/48BSD3</t>
  </si>
  <si>
    <t>2F3ET2(M05)3DR2換原絲</t>
  </si>
  <si>
    <t>FP-82818R</t>
  </si>
  <si>
    <t>2F3EU3(A17-A)3I63/換JET</t>
  </si>
  <si>
    <t>FP-82815R</t>
  </si>
  <si>
    <t xml:space="preserve">綠藍双色 </t>
  </si>
  <si>
    <t>2F3EV1(A12)3DZ1換原絲</t>
  </si>
  <si>
    <t>2F3EX2(T04-R)3EB2/DR</t>
  </si>
  <si>
    <t>2F3EY2(T01-L)</t>
  </si>
  <si>
    <t>75/96/2SDR</t>
  </si>
  <si>
    <t xml:space="preserve">FP-61722R*2            </t>
  </si>
  <si>
    <t>111.5.10</t>
  </si>
  <si>
    <t>2F3EZ2(A11)3CP2-降速</t>
  </si>
  <si>
    <t>2F3F02(M07)39L2換原絲</t>
  </si>
  <si>
    <t>FP-62782R                      FP-62784R-108.12.16</t>
  </si>
  <si>
    <t>108.11.19</t>
  </si>
  <si>
    <t>2F3F11(M02)38Y1-色差</t>
  </si>
  <si>
    <t>188/175</t>
  </si>
  <si>
    <t>5.8(5.6)</t>
  </si>
  <si>
    <t>2F3F21(A23-B)97Z1-換原絲</t>
  </si>
  <si>
    <t>150/72SR6</t>
  </si>
  <si>
    <t>FP-62036</t>
  </si>
  <si>
    <t>250/72SR6</t>
  </si>
  <si>
    <t>6.0(5.2)</t>
  </si>
  <si>
    <t>2F3F32(S2)9H32-Z+S換原絲</t>
  </si>
  <si>
    <t>FP-61560R*2</t>
  </si>
  <si>
    <t>109.11.25</t>
  </si>
  <si>
    <t>2F3F41(A10-A)34J1換原絲</t>
  </si>
  <si>
    <t>370/338/155</t>
  </si>
  <si>
    <t>2F3F52(A18-A)3M12-換原絲/DR</t>
  </si>
  <si>
    <t>FP-62139R</t>
  </si>
  <si>
    <t>110.3.26</t>
  </si>
  <si>
    <t>2F3F62(T01-L)35C2加T</t>
  </si>
  <si>
    <t>2F3F71(A10-A)3Q61換原絲</t>
  </si>
  <si>
    <t>FP-62852R</t>
  </si>
  <si>
    <t>2F3F81(A17-B)3J71換原絲/DR</t>
  </si>
  <si>
    <t>FP-82021R</t>
  </si>
  <si>
    <t>2F3F91(M04)3W81換原絲/機型/DR</t>
  </si>
  <si>
    <t>2F3FA1(A16-B)3EH1換原絲</t>
  </si>
  <si>
    <t>FP-82029R</t>
  </si>
  <si>
    <t>2F3FB1(A12)3EV1換原絲</t>
  </si>
  <si>
    <t>600↓550-6/15</t>
  </si>
  <si>
    <t>2F3FC2(T04-R)3CN2/DR</t>
  </si>
  <si>
    <t>2F3FD1(M04)3CF1換原絲</t>
  </si>
  <si>
    <t>165/178</t>
  </si>
  <si>
    <t>FP-82820R</t>
  </si>
  <si>
    <t>2F3FE2(T03-R)3CT2換原絲/DR/降速</t>
  </si>
  <si>
    <t>FP-61822R*2</t>
  </si>
  <si>
    <t>111.5.21</t>
  </si>
  <si>
    <t>2F3FF2(A17-B)3ES2/DR</t>
  </si>
  <si>
    <t>FP-62230</t>
  </si>
  <si>
    <t>111.5.20</t>
  </si>
  <si>
    <t>2F3FG2(T01-L)膠管3EC2/換原絲</t>
  </si>
  <si>
    <t xml:space="preserve">FP-82819R         </t>
  </si>
  <si>
    <t>2F3FH1(A22)3DW1換原絲</t>
  </si>
  <si>
    <t>600↓550-6/9</t>
  </si>
  <si>
    <t>FP-82043R</t>
  </si>
  <si>
    <t>2F3FI1(S2)3CW1換原絲/升速/DR</t>
  </si>
  <si>
    <t>150/48WTR22</t>
  </si>
  <si>
    <t>FP-82516R</t>
  </si>
  <si>
    <t>250/48WTR</t>
  </si>
  <si>
    <t>綠黑曲線</t>
  </si>
  <si>
    <t>2F3FJ1(M05)3DP1換原絲</t>
  </si>
  <si>
    <t>111.6.1</t>
  </si>
  <si>
    <t>紫黑曲線</t>
  </si>
  <si>
    <t>2F3FK2(A11)3EZ2-換原絲</t>
  </si>
  <si>
    <t>FP-62237R</t>
  </si>
  <si>
    <t>2F3FL1(A17)3FH1換原絲/降速</t>
  </si>
  <si>
    <t>600↓550-6/9↑600-10/20</t>
  </si>
  <si>
    <t>FP-82025R</t>
  </si>
  <si>
    <t>2F3FM3(M01)3P83- 換原絲/DR</t>
  </si>
  <si>
    <t>FP-62240</t>
  </si>
  <si>
    <t>111.6.15</t>
  </si>
  <si>
    <t>2F3FN1(A10)3DY1換原絲/降速</t>
  </si>
  <si>
    <t>550↑600-10/21</t>
  </si>
  <si>
    <t>342/302/145</t>
  </si>
  <si>
    <t>FP-82051R</t>
  </si>
  <si>
    <t>111.6.13</t>
  </si>
  <si>
    <t>2F3FP1(A14-A)3DW1換原絲/降速</t>
  </si>
  <si>
    <t>2F3FQ1(A08-B)3CW1換原絲/DR/錠組型號</t>
  </si>
  <si>
    <t>FP-62234R</t>
  </si>
  <si>
    <t>2F3FR1(A08-A)3FQ1換原絲/DR</t>
  </si>
  <si>
    <t>550↓450-7/12</t>
  </si>
  <si>
    <t>300/300/145</t>
  </si>
  <si>
    <t>FP-62238R</t>
  </si>
  <si>
    <t>2F3FT2(T04-R)3EJ2/色差</t>
  </si>
  <si>
    <t>2F3FU1(A24-A)3EM1換原絲</t>
  </si>
  <si>
    <t>FP-62973R</t>
  </si>
  <si>
    <t>2F3FV2(A24-A)3BQ2換原絲/降速</t>
  </si>
  <si>
    <t>335/335/130</t>
  </si>
  <si>
    <t xml:space="preserve">FP-62977R                    </t>
  </si>
  <si>
    <t>110.6.20</t>
  </si>
  <si>
    <t>2F3FW2(T02-R)3EL2換原絲</t>
  </si>
  <si>
    <t>600↓500-7/8</t>
  </si>
  <si>
    <t>FP-81099R*2</t>
  </si>
  <si>
    <t>2F3FX1(A16-B)3DZ1換原絲</t>
  </si>
  <si>
    <t>111.6.22</t>
  </si>
  <si>
    <t>2F3FY1(A22-A)DDM1</t>
  </si>
  <si>
    <t>150/48BSD</t>
  </si>
  <si>
    <t>345/305/150</t>
  </si>
  <si>
    <t>FP-62185</t>
  </si>
  <si>
    <t>10↓</t>
  </si>
  <si>
    <t>111.6.29</t>
  </si>
  <si>
    <t>2F3FZ1(M03)3Y01-換原絲/改規格/無JET/升速(物性3CW1)</t>
  </si>
  <si>
    <t>150/48BKRO</t>
  </si>
  <si>
    <t>500↓450-7/14</t>
  </si>
  <si>
    <t>174/158</t>
  </si>
  <si>
    <t>2F3G12(M04)37I2換原絲</t>
  </si>
  <si>
    <t>181/157</t>
  </si>
  <si>
    <t xml:space="preserve">FP-62039            </t>
  </si>
  <si>
    <t>6.0(5.6)</t>
  </si>
  <si>
    <t>109.3.2</t>
  </si>
  <si>
    <t>2F3G22(T03)3A22換原絲</t>
  </si>
  <si>
    <t xml:space="preserve">FP-81904R*2            </t>
  </si>
  <si>
    <t>2F3G31(M01)3K11換原絲</t>
  </si>
  <si>
    <t>197/187</t>
  </si>
  <si>
    <t>FP-72751</t>
  </si>
  <si>
    <t>40±20</t>
  </si>
  <si>
    <t>5.3(4.6)</t>
  </si>
  <si>
    <t>2F3G41(A16)34M1換原絲</t>
  </si>
  <si>
    <t>110.1.29</t>
  </si>
  <si>
    <t>2F3G53(T03-R)3Q33-換原絲</t>
  </si>
  <si>
    <t>75/36/2BP</t>
  </si>
  <si>
    <t>FP-61593×2</t>
  </si>
  <si>
    <t>120/36BP</t>
  </si>
  <si>
    <t>白黑直條</t>
  </si>
  <si>
    <t>2F3G61(A18)3C51換原絲/DR</t>
  </si>
  <si>
    <t>2F3G72(A11-B)3U62-換原絲/DR/加O</t>
  </si>
  <si>
    <t>FP-62169R</t>
  </si>
  <si>
    <t>110.7.29</t>
  </si>
  <si>
    <t>2F3G81(A18)38N1(S1)換原絲/DR</t>
  </si>
  <si>
    <t>FP-62181R</t>
  </si>
  <si>
    <t>2F3G92(A18-B)3S82-Z+S色差</t>
  </si>
  <si>
    <t>186/186/OFF</t>
  </si>
  <si>
    <t>FP-81728R*2</t>
  </si>
  <si>
    <t>2F3GA2(T01-R)3EY2</t>
  </si>
  <si>
    <t>2F3GB1(A22-A)3ER1換原絲/降速</t>
  </si>
  <si>
    <t>325/285/145</t>
  </si>
  <si>
    <t>FP-82054R</t>
  </si>
  <si>
    <t>2F3GC2(A07-A)3C62換原絲/DR</t>
  </si>
  <si>
    <t>FP-61003*2</t>
  </si>
  <si>
    <t>2F3GD2(M01)3EP2</t>
  </si>
  <si>
    <t>111.7.7</t>
  </si>
  <si>
    <t>2F3GE2(A21-A)39C2/DR/JET(物性3E62)</t>
  </si>
  <si>
    <t>FP-81808R×2</t>
  </si>
  <si>
    <t>2F3GF1(A22-B)9CY1(M02)/降速/DR</t>
  </si>
  <si>
    <t>2F3GG2(A11)3FK2-色差</t>
  </si>
  <si>
    <t>2F3GH2(T01-R)3GA2/降速</t>
  </si>
  <si>
    <t>2F3GI2(T04)3EF2換原絲</t>
  </si>
  <si>
    <t xml:space="preserve">FP-81067R*2            </t>
  </si>
  <si>
    <t>2F3GJ2(A21)3GE2/DR</t>
  </si>
  <si>
    <t>FP-81811R×2</t>
  </si>
  <si>
    <t>2F3GK1(M04)3A41換原絲</t>
  </si>
  <si>
    <t>650↓500-7/20</t>
  </si>
  <si>
    <t>168/170</t>
  </si>
  <si>
    <t>111.7.16</t>
  </si>
  <si>
    <t>白底綠星/藍黑直條-1</t>
  </si>
  <si>
    <t>2F3GL1(A12-B)3FB1換原絲/DR</t>
  </si>
  <si>
    <t>550↑600-10/19↑650-12/5</t>
  </si>
  <si>
    <t>2F3GM3(M08)3FM3- 換原絲/DR</t>
  </si>
  <si>
    <t>FP-62245</t>
  </si>
  <si>
    <t>2F3GN1(A22)3GL1不同機台</t>
  </si>
  <si>
    <t>2F3GP1(S1)3FI1換原絲/DR</t>
  </si>
  <si>
    <t>FP-82519R</t>
  </si>
  <si>
    <t>2F3GQ3(M08-A)3GM3- 原絲偏淺</t>
  </si>
  <si>
    <t>111.8.4</t>
  </si>
  <si>
    <t>2F3GR2(A11)3GG2-換原絲</t>
  </si>
  <si>
    <t>FP-62247R</t>
  </si>
  <si>
    <t>2F3GS2(A21)3DK2-換原絲</t>
  </si>
  <si>
    <t>FP-62248R</t>
  </si>
  <si>
    <t>111.8.5</t>
  </si>
  <si>
    <t>2F3GT1(M01)3FJ1色差</t>
  </si>
  <si>
    <t>2F3GU2(T04-R)3GI2換原絲(LIKE-3RB2-外購紗物性)</t>
  </si>
  <si>
    <t xml:space="preserve">FP-81092R*2            </t>
  </si>
  <si>
    <t>111.8.6</t>
  </si>
  <si>
    <t>2F3GW1(M03)3FZ1-換原絲/修溫度(同3FR1-A08)</t>
  </si>
  <si>
    <t>183/170</t>
  </si>
  <si>
    <t>FP-82520R</t>
  </si>
  <si>
    <t>2F3GX1(A20-A)3FP1換原絲/DR</t>
  </si>
  <si>
    <t>FP-62206R</t>
  </si>
  <si>
    <t>19.1-22.5-8/11-修</t>
  </si>
  <si>
    <t>2F3GY1(M08)3GQ3/改無JET-偏淺紗(物性3CU1)</t>
  </si>
  <si>
    <t>167/145</t>
  </si>
  <si>
    <t>22.4↑25-8/12-修</t>
  </si>
  <si>
    <t>2F3GZ2(A08-B)-3EI2換原絲/降速/錠片型號</t>
  </si>
  <si>
    <t>FP-62249R</t>
  </si>
  <si>
    <t>2F3H02(A23)39V2換原絲</t>
  </si>
  <si>
    <t>2F3H11(M05)3V01-換原絲</t>
  </si>
  <si>
    <t>164/140</t>
  </si>
  <si>
    <t>FP-62047</t>
  </si>
  <si>
    <t>5.6(5.2)</t>
  </si>
  <si>
    <t>2F3H21(A07-B)3D21換原絲</t>
  </si>
  <si>
    <t>FP-61537*2</t>
  </si>
  <si>
    <t>109.6.15</t>
  </si>
  <si>
    <t>2F3H33(S2)34P3換原絲</t>
  </si>
  <si>
    <t>FP-82989R</t>
  </si>
  <si>
    <t>5.5(4.4)</t>
  </si>
  <si>
    <t>2F3H43(A22-A)3B23換原絲/DR</t>
  </si>
  <si>
    <t>FP-62078</t>
  </si>
  <si>
    <t>2F3H61(A14)3T41換原絲</t>
  </si>
  <si>
    <t>2F3H72(A18)3Q72-色差/DR</t>
  </si>
  <si>
    <t>FP-62172R</t>
  </si>
  <si>
    <t>110.8.13</t>
  </si>
  <si>
    <t>黃黑條</t>
  </si>
  <si>
    <t>2F3H81(A11-A)3C81換原絲</t>
  </si>
  <si>
    <t>2F3I02(T01-R)39W2換原絲</t>
  </si>
  <si>
    <t>700↓600(108.12/4)</t>
  </si>
  <si>
    <t xml:space="preserve">FP-61491R*2            </t>
  </si>
  <si>
    <t>2F3I12(A07-B)5F3XI2換原絲/DR</t>
  </si>
  <si>
    <t>FP-61523*2</t>
  </si>
  <si>
    <t>109.3.6</t>
  </si>
  <si>
    <t>2F3I23(T03)39U3換原絲/機型/DR</t>
  </si>
  <si>
    <t>FP-61526R+81709</t>
  </si>
  <si>
    <t>120/72FDR+130/72HC</t>
  </si>
  <si>
    <t>109.6.16</t>
  </si>
  <si>
    <t>2F3I31(A08-A)-37Q1換原絲</t>
  </si>
  <si>
    <t>FP-62104R</t>
  </si>
  <si>
    <t>5.5(4.9)</t>
  </si>
  <si>
    <t>2F3I41(A22-B)3291換原絲</t>
  </si>
  <si>
    <t>FP-82007R</t>
  </si>
  <si>
    <t>80(86)</t>
  </si>
  <si>
    <t>20(20)</t>
  </si>
  <si>
    <t>110.1.30</t>
  </si>
  <si>
    <t>2F3I51(M08)9N51換原絲/DR/升速</t>
  </si>
  <si>
    <t>FP-62966R</t>
  </si>
  <si>
    <t>2F3I63(A18-A)3Z53換原絲</t>
  </si>
  <si>
    <t>2F3I71(A08-A)</t>
  </si>
  <si>
    <t>FP-62157R</t>
  </si>
  <si>
    <t>3.5(3.9)</t>
  </si>
  <si>
    <t>110.7.30</t>
  </si>
  <si>
    <t>2F3I81(S1)3Q41換原絲/DR/機型</t>
  </si>
  <si>
    <t>255/48BSD2</t>
  </si>
  <si>
    <t>2F3I92(A24-B)3X82換原絲</t>
  </si>
  <si>
    <t>110.11.17</t>
  </si>
  <si>
    <t>2F3IA2(T01)3FC2換原絲</t>
  </si>
  <si>
    <t>FP-81820R*2</t>
  </si>
  <si>
    <t>2F3IB2(T04-L)3GU2換原絲</t>
  </si>
  <si>
    <t xml:space="preserve">FP-81075R*2            </t>
  </si>
  <si>
    <t>111.9.8</t>
  </si>
  <si>
    <t>白底綠星/白底紅點-1</t>
  </si>
  <si>
    <t>2F3IC2(A11)3GR2-換原絲/DR</t>
  </si>
  <si>
    <t>FP-62252R</t>
  </si>
  <si>
    <t>24.5-9/20↑30</t>
  </si>
  <si>
    <t>111.9.12</t>
  </si>
  <si>
    <t>2F3ID2(A15)3DT2-換原絲/DR</t>
  </si>
  <si>
    <t>FP-61015R×2</t>
  </si>
  <si>
    <t>2F3IE2(T02-L)3FW2換原絲</t>
  </si>
  <si>
    <t>FP-81118R*2</t>
  </si>
  <si>
    <t>2F3IF2(A08-B)-3GZ2</t>
  </si>
  <si>
    <t>111.9.13</t>
  </si>
  <si>
    <t>2F3IG1(S2)3I81換原絲/降速/DR(物性LIKE-3FY1)</t>
  </si>
  <si>
    <t>FP-62929</t>
  </si>
  <si>
    <t>255/48BSD</t>
  </si>
  <si>
    <t>22.5-9/21↑28</t>
  </si>
  <si>
    <t>2F3IH1(M03)3GW1-換原絲</t>
  </si>
  <si>
    <t>FP-82521R</t>
  </si>
  <si>
    <t>2F3II1(M01)3GK1換原絲</t>
  </si>
  <si>
    <t>29.4</t>
  </si>
  <si>
    <t>2F3IJ1(A07-B)3DM1換原絲/DR</t>
  </si>
  <si>
    <t>111.9.30</t>
  </si>
  <si>
    <t>2F3IK2(T02-R)3GH2/換原絲/DR</t>
  </si>
  <si>
    <t xml:space="preserve">FP-81037R*2            </t>
  </si>
  <si>
    <t>111.9.26</t>
  </si>
  <si>
    <t>2F3IL1(M04)3BW1</t>
  </si>
  <si>
    <t>紫黃條/紅底藍點-1/白桔双色-2</t>
  </si>
  <si>
    <t>2F3IM1(A22-B)3FX1</t>
  </si>
  <si>
    <t>550↑600-10/14</t>
  </si>
  <si>
    <t>2F3IN1(A18)3FX1升速</t>
  </si>
  <si>
    <t>2F3IP1(A15)3FA1換原絲</t>
  </si>
  <si>
    <t>FP-82047R</t>
  </si>
  <si>
    <t>2F3IQ2(M06)3112換原絲/溫度</t>
  </si>
  <si>
    <t>173/165</t>
  </si>
  <si>
    <t>FP-82045R</t>
  </si>
  <si>
    <t>2F3IR2(T02-L)3IE2換原絲</t>
  </si>
  <si>
    <t>2F3IS2(T02-R)3IK2/換原絲/溫度</t>
  </si>
  <si>
    <t xml:space="preserve">FP-81124R*2            </t>
  </si>
  <si>
    <t>2F3IT3(A23-A)3DN3/換原絲/DR</t>
  </si>
  <si>
    <t>FP-71725+61693</t>
  </si>
  <si>
    <t>2F3IU1(A21-B)3IN1/機台別</t>
  </si>
  <si>
    <t>2F3IV2(A24)3IC2-換原絲/DR</t>
  </si>
  <si>
    <t>FP-62253R</t>
  </si>
  <si>
    <t>2F3IW1(A17-A)3FL1換原絲/升速</t>
  </si>
  <si>
    <t>FP-82060R</t>
  </si>
  <si>
    <t>111.10.25</t>
  </si>
  <si>
    <t>2F3IX2(T02)3GI2換原絲/升速</t>
  </si>
  <si>
    <t>111.11.1</t>
  </si>
  <si>
    <t>2F3IY2(A11-B)3FF2</t>
  </si>
  <si>
    <t>111.10.31</t>
  </si>
  <si>
    <t>2F3IZ2(T03-R)3EJ2/換原絲</t>
  </si>
  <si>
    <t>FP-81096R*2</t>
  </si>
  <si>
    <t>70(65)</t>
  </si>
  <si>
    <t>2F3J01(M08)38R1-換原絲/修DR/降速</t>
  </si>
  <si>
    <t>156/OFF</t>
  </si>
  <si>
    <t>FP-62037</t>
  </si>
  <si>
    <t>2F3J13(M02-A)3Z03- 換原絲</t>
  </si>
  <si>
    <t>FP-72459</t>
  </si>
  <si>
    <t>109.3.11</t>
  </si>
  <si>
    <t>2F3J22(J09)38F2換原絲-(物性LIKE-5F3EI2)</t>
  </si>
  <si>
    <t>75/72/2SD</t>
  </si>
  <si>
    <t>320/280/OFF</t>
  </si>
  <si>
    <t>FP-71120+71723</t>
  </si>
  <si>
    <t>109.6.25</t>
  </si>
  <si>
    <t>不保染</t>
  </si>
  <si>
    <t>2F3J33(T04-L)3D33機型/DR/升速</t>
  </si>
  <si>
    <t>175/160</t>
  </si>
  <si>
    <t>5(4.3)</t>
  </si>
  <si>
    <t>2F3J43(J08)39U3換原絲/DR</t>
  </si>
  <si>
    <t>305/305/OFF</t>
  </si>
  <si>
    <t>FP-71725+61588</t>
  </si>
  <si>
    <t>2F3J51(A20)9U21換原絲/降速/DR</t>
  </si>
  <si>
    <t>380/350/150</t>
  </si>
  <si>
    <t>FP-62141R</t>
  </si>
  <si>
    <t>2F3J71(A20)3W61換原絲</t>
  </si>
  <si>
    <t>315/275/160</t>
  </si>
  <si>
    <t>FP-82017R</t>
  </si>
  <si>
    <t>2F3J92(T04)35G2不同機台</t>
  </si>
  <si>
    <t>2F3JA2(S1)降速/DR</t>
  </si>
  <si>
    <t>150/48BK30</t>
  </si>
  <si>
    <t>345/345/OFF</t>
  </si>
  <si>
    <t>FP-62936</t>
  </si>
  <si>
    <t>255/48BK30</t>
  </si>
  <si>
    <t>111.11.8</t>
  </si>
  <si>
    <t>2F3JB2(A10)3IA2機型/DR</t>
  </si>
  <si>
    <t>111.11.10</t>
  </si>
  <si>
    <t>2F3JC1(A22)3CY1換原絲</t>
  </si>
  <si>
    <t>309/269/158</t>
  </si>
  <si>
    <t>2F3JD2(T04)3IX2機台別/DR</t>
  </si>
  <si>
    <t>2F3JE2(A16)3JB2/溫度(物性3IB2-TMT)</t>
  </si>
  <si>
    <t>FP-81112R*2</t>
  </si>
  <si>
    <t>80(75)</t>
  </si>
  <si>
    <t>2F3JF2(S2)3M42/DR/AP壓力/溫度</t>
  </si>
  <si>
    <t>150/48BSD2</t>
  </si>
  <si>
    <t>340/340/OFF</t>
  </si>
  <si>
    <t>FP-62263</t>
  </si>
  <si>
    <t>111.11.18</t>
  </si>
  <si>
    <t>2F3JG1(M02)3UC1(外購紗)</t>
  </si>
  <si>
    <t>163/165</t>
  </si>
  <si>
    <t>111.12.5</t>
  </si>
  <si>
    <t>2F3JH2(A17)3IR2換原絲/DR/機型</t>
  </si>
  <si>
    <t>FP-81128R*2</t>
  </si>
  <si>
    <t>40(45)</t>
  </si>
  <si>
    <t>2F3JI2(T02)3IX2換原絲</t>
  </si>
  <si>
    <t xml:space="preserve">FP-81108R*2            </t>
  </si>
  <si>
    <t>2F3JJ2(A09)3IR2/DR/機型</t>
  </si>
  <si>
    <t>40(50)</t>
  </si>
  <si>
    <t>2F3JK1(A08-A)3DL1-換原絲/錠片型號</t>
  </si>
  <si>
    <t>FP-62244</t>
  </si>
  <si>
    <t>2F3JL2(T04-L)3JD2換原絲</t>
  </si>
  <si>
    <t>2F3JM1(M01)3UC1(外購紗)</t>
  </si>
  <si>
    <t>161/165</t>
  </si>
  <si>
    <t>1.2↑1.6(1/6)</t>
  </si>
  <si>
    <t>20(10)</t>
  </si>
  <si>
    <t>灰5.0挑G字尾</t>
  </si>
  <si>
    <t>2F3JN1(M05)3UC1(外購紗)</t>
  </si>
  <si>
    <t>1.1↑1.6(1/9)</t>
  </si>
  <si>
    <t>2F3JP3(A14)3EK3換原絲</t>
  </si>
  <si>
    <t>FP-62256</t>
  </si>
  <si>
    <t>1.5(1.8)</t>
  </si>
  <si>
    <t>2F3JQ2(A10)3JE2/DR/AP壓力上修</t>
  </si>
  <si>
    <t>FP-81076R*2</t>
  </si>
  <si>
    <t>111.12.16</t>
  </si>
  <si>
    <t>黃綠</t>
  </si>
  <si>
    <t>2F3JR1(A18-B)3IP1換原絲</t>
  </si>
  <si>
    <t>FP-62860R</t>
  </si>
  <si>
    <t>2F3JS1(A14)3GL1</t>
  </si>
  <si>
    <t>2F3JT2(A16-B)3JB2/修AP壓力</t>
  </si>
  <si>
    <t>120(130)</t>
  </si>
  <si>
    <t>2F3JU2(T02)3JI2換原絲/DR</t>
  </si>
  <si>
    <t xml:space="preserve">FP-81820R*2            </t>
  </si>
  <si>
    <t>2F3JV2(S2)3JA2換原絲/DR/溫度</t>
  </si>
  <si>
    <t>FP-62269</t>
  </si>
  <si>
    <t>111.12.29</t>
  </si>
  <si>
    <t>2F3JW1(A12-B)3GL1換原絲</t>
  </si>
  <si>
    <t>2F3JX1(A18)3IN1升速</t>
  </si>
  <si>
    <t>2F3JY1(A22)3IM1升速/DR-降速</t>
  </si>
  <si>
    <t>650↓600-2/23</t>
  </si>
  <si>
    <t>2F3JZ2(A10)3JQ2/色差</t>
  </si>
  <si>
    <t>112.1.11</t>
  </si>
  <si>
    <t>2F3K01(M05)39I1-換原絲</t>
  </si>
  <si>
    <t>5.6(5.4)</t>
  </si>
  <si>
    <t>2F3K11(M03)5F3SJ1換原絲</t>
  </si>
  <si>
    <t>192/187</t>
  </si>
  <si>
    <t>FP-62060</t>
  </si>
  <si>
    <t>5.3(4.9)</t>
  </si>
  <si>
    <t>2F3K22(T04)3G22吃新絲</t>
  </si>
  <si>
    <t>2F3K31(A22-A)3AS1換原絲</t>
  </si>
  <si>
    <t>2F3K41(A12-B)3F41機台別</t>
  </si>
  <si>
    <t>381/341/155</t>
  </si>
  <si>
    <t>2F3K52(T03-R)3Q12換原絲/DR/JET</t>
  </si>
  <si>
    <t xml:space="preserve">FP-81801R*2            </t>
  </si>
  <si>
    <t>2F3K62(T01-R)膠管</t>
  </si>
  <si>
    <t>2F3K71(A11)9K81</t>
  </si>
  <si>
    <t>2F3K82(A18-B)3A72-換原絲/DR</t>
  </si>
  <si>
    <t>110.10.5</t>
  </si>
  <si>
    <t>2F3K91(A17)3D91換原絲</t>
  </si>
  <si>
    <t>2F3L01(A23-B)39P1換原絲</t>
  </si>
  <si>
    <t>2F3L13(S2)39U3換原絲/機型/DR</t>
  </si>
  <si>
    <t>2F3L23(M03)3A13換原絲</t>
  </si>
  <si>
    <t>175/168</t>
  </si>
  <si>
    <t>5(4.1)</t>
  </si>
  <si>
    <t>2F3L32(M08)3AY2換原絲</t>
  </si>
  <si>
    <t>109.12.23</t>
  </si>
  <si>
    <t>黃底黑點/黃綠色</t>
  </si>
  <si>
    <t>2F3L42(A22-A)3W32換原絲/DR</t>
  </si>
  <si>
    <t>2F3L51(A08-B)3R21-修DR</t>
  </si>
  <si>
    <t>FP-62085</t>
  </si>
  <si>
    <t>2F3L71(A07-B)3X21換原絲</t>
  </si>
  <si>
    <t>FP-61618*2</t>
  </si>
  <si>
    <t>2F3L82(M05)3L32</t>
  </si>
  <si>
    <t>26(29)</t>
  </si>
  <si>
    <t>2F3L92(M05)3BS2換原絲</t>
  </si>
  <si>
    <t>197/152</t>
  </si>
  <si>
    <t>110.11.22</t>
  </si>
  <si>
    <t>2F3M02(T01)3I02換原絲</t>
  </si>
  <si>
    <t xml:space="preserve">FP-61494R*2            </t>
  </si>
  <si>
    <t>2F3M12(A19)39S2-換原絲</t>
  </si>
  <si>
    <t>FP-62059R</t>
  </si>
  <si>
    <t>2F3M21(A08-B)3N11-換原絲</t>
  </si>
  <si>
    <t>2F3M32(S1)3C32-換原絲/DR/機型</t>
  </si>
  <si>
    <t>280/280/140</t>
  </si>
  <si>
    <t>FP-62107R</t>
  </si>
  <si>
    <t>2F3M42(A20-A)9I42換原絲</t>
  </si>
  <si>
    <t>FP-62120</t>
  </si>
  <si>
    <t>2F3V72(S1)9I42/DR/AP改重量</t>
  </si>
  <si>
    <t>360/360/OFF</t>
  </si>
  <si>
    <t>7.0(6.0)</t>
  </si>
  <si>
    <t>110.8.31</t>
  </si>
  <si>
    <t>2F3M51(A22)3I41換原絲/DR</t>
  </si>
  <si>
    <t>FP-82011R</t>
  </si>
  <si>
    <t>110.4.16</t>
  </si>
  <si>
    <t>2F3M61(A11)3J51換原絲</t>
  </si>
  <si>
    <t>FP-62159R</t>
  </si>
  <si>
    <t>2F3M71(A17-A)3S61換原絲</t>
  </si>
  <si>
    <t>2F3M82(A16)3D52換原絲</t>
  </si>
  <si>
    <t>FP-62855R</t>
  </si>
  <si>
    <t>2F3M92(A08)-2F9Z82換原絲</t>
  </si>
  <si>
    <t>2F3N01(M08)5F38M1色差</t>
  </si>
  <si>
    <t>192/196</t>
  </si>
  <si>
    <t>4(4.0)</t>
  </si>
  <si>
    <t>108.12.12</t>
  </si>
  <si>
    <t>2F3N11(A08)38C1-換原絲/錠組/AP壓力</t>
  </si>
  <si>
    <t>A1204×2</t>
  </si>
  <si>
    <t>2F3N22(A08-B)-5F38W2-換原絲/AP壓力</t>
  </si>
  <si>
    <t>FP-62065R</t>
  </si>
  <si>
    <t>2F3N33(S2)3H33換原絲</t>
  </si>
  <si>
    <t>FP-82990R</t>
  </si>
  <si>
    <t>109.12.30</t>
  </si>
  <si>
    <t>2F3N43(J08)3Q33-換原絲/機型/降速</t>
  </si>
  <si>
    <t>299/299/OFF</t>
  </si>
  <si>
    <t>2F3N52(T03-L)</t>
  </si>
  <si>
    <t>147/OFF</t>
  </si>
  <si>
    <t xml:space="preserve">FP-61610R*2            </t>
  </si>
  <si>
    <t>2F3N61(A16)3G41換原絲/DR</t>
  </si>
  <si>
    <t>2F3N71(A11)3G61換原絲</t>
  </si>
  <si>
    <t>2F3N81(A17)3R71換原絲</t>
  </si>
  <si>
    <t>350/310/152</t>
  </si>
  <si>
    <t>2F3P02(T04-L)3M02換原絲/升速</t>
  </si>
  <si>
    <t>108.12.15</t>
  </si>
  <si>
    <t>2F3P11(M03)3N01換原絲</t>
  </si>
  <si>
    <t>FP-62062</t>
  </si>
  <si>
    <t>4(4.2)</t>
  </si>
  <si>
    <t>2F3P21(A07-B)3H21換原絲/DR</t>
  </si>
  <si>
    <t>FP-61545*2</t>
  </si>
  <si>
    <t>2F3P32(A17-B)3AX2換原絲</t>
  </si>
  <si>
    <t>2F3P41(M05)3T31換原絲</t>
  </si>
  <si>
    <t>110.2.5</t>
  </si>
  <si>
    <t>2F3P52(A20-A)3P32換原絲</t>
  </si>
  <si>
    <t>350/310/OFF</t>
  </si>
  <si>
    <t>2F3P61(A14-A)3H61換原絲/DR</t>
  </si>
  <si>
    <t>FP-62854R</t>
  </si>
  <si>
    <t>2F3P72(A12-A)3C72-換原絲規格加O</t>
  </si>
  <si>
    <t>2F3P83(M07)3E23- 換原絲/DR/3Y53物性</t>
  </si>
  <si>
    <t>FP-62160</t>
  </si>
  <si>
    <t>110.10.15</t>
  </si>
  <si>
    <t>2F3P92(A18)3D82-Z+S色差</t>
  </si>
  <si>
    <t>2F3PA2(T04-L)3JL2換原絲</t>
  </si>
  <si>
    <t xml:space="preserve">FP-61811R*2            </t>
  </si>
  <si>
    <t>20.8(22.8)</t>
  </si>
  <si>
    <t>112.1.6</t>
  </si>
  <si>
    <t>2F3PB1(M02)3JG1/AP壓力修/換原絲</t>
  </si>
  <si>
    <t>FP-62851R</t>
  </si>
  <si>
    <t>112.1.5</t>
  </si>
  <si>
    <t>2F3PC2(M01)3ET2色差/升速</t>
  </si>
  <si>
    <t>198/165</t>
  </si>
  <si>
    <t>2F3PD2(S2)</t>
  </si>
  <si>
    <t>150/48ODR</t>
  </si>
  <si>
    <t>FP-62862R</t>
  </si>
  <si>
    <t>255/48ODR</t>
  </si>
  <si>
    <t>70(60)</t>
  </si>
  <si>
    <t>2F3PE1(A14)3JS1換原絲</t>
  </si>
  <si>
    <t>2F3PF2(T02-R)3PA2/DR</t>
  </si>
  <si>
    <t>60(50)</t>
  </si>
  <si>
    <t>112.1.19</t>
  </si>
  <si>
    <t>2F3PG1(S2)3JS1換原絲/DR/機型</t>
  </si>
  <si>
    <t>340/300/150</t>
  </si>
  <si>
    <t>FP-82058R</t>
  </si>
  <si>
    <t>2F3PH2(A08)3JZ2換原絲</t>
  </si>
  <si>
    <t>FP-61811R*2</t>
  </si>
  <si>
    <t>20.8-22.5-2/23</t>
  </si>
  <si>
    <t>112.2.4</t>
  </si>
  <si>
    <t>2F3PI1(S2)3PG1換原絲/溫度</t>
  </si>
  <si>
    <t>FP-82985R</t>
  </si>
  <si>
    <t>2F3PJ1(A13-B)3PE1換原絲</t>
  </si>
  <si>
    <t>FP-82061R</t>
  </si>
  <si>
    <t>2F3PK1(A12)3JW1換原絲</t>
  </si>
  <si>
    <t>650↓600-2/20</t>
  </si>
  <si>
    <t>2F3PL2(A16-B)3JT2換原絲</t>
  </si>
  <si>
    <t>FP-81823R*2</t>
  </si>
  <si>
    <t>112.2.15</t>
  </si>
  <si>
    <t>2F3PM1(A14)3PE1換原絲/降速</t>
  </si>
  <si>
    <t>2F3PN2(A09-B)3JJ2換原絲</t>
  </si>
  <si>
    <t>FP-61824R*2</t>
  </si>
  <si>
    <t>112.2.20</t>
  </si>
  <si>
    <t>2F3PP1(S2)3JC1(A22)換原絲..等/降速</t>
  </si>
  <si>
    <t>315/275/150</t>
  </si>
  <si>
    <t>FP-82050R</t>
  </si>
  <si>
    <t>112.2.21</t>
  </si>
  <si>
    <t>2F3PQ1(S1)3PP1換原絲/DR</t>
  </si>
  <si>
    <t>2F3PR2(T02-R)3PF2</t>
  </si>
  <si>
    <t>112.5.5</t>
  </si>
  <si>
    <t>2F3PS2(A24)3IV2</t>
  </si>
  <si>
    <t>2F3PT2(T02)3CT2換原絲/降速-LIKE-3JH2</t>
  </si>
  <si>
    <t>111.3.15</t>
  </si>
  <si>
    <t>2F3PU1(A09)3JY1降速</t>
  </si>
  <si>
    <t>2F3PV3(A24)3JP3換原絲</t>
  </si>
  <si>
    <t>FP-62276</t>
  </si>
  <si>
    <t>2F3PW2(T02-R)39R2(5F3RZ1)-換原絲</t>
  </si>
  <si>
    <t>FP-61728R*2</t>
  </si>
  <si>
    <t>112.4.8</t>
  </si>
  <si>
    <t>2F3PX1(A10-A)3JK1-換原絲/DR/溫度</t>
  </si>
  <si>
    <t>FP-62260</t>
  </si>
  <si>
    <t>2F3PY1(A10-B)3FQ1換原絲/DR/溫度</t>
  </si>
  <si>
    <t>310/310/155</t>
  </si>
  <si>
    <t>FP-82525R</t>
  </si>
  <si>
    <t>2F3PZ3(A24-B)3Z53換原絲</t>
  </si>
  <si>
    <t>2F3Q01(M04)3K01-換原絲</t>
  </si>
  <si>
    <t>FP-62045</t>
  </si>
  <si>
    <t>5.6(5.5)</t>
  </si>
  <si>
    <t>108.12.26</t>
  </si>
  <si>
    <t>2F3Q12(T04-L)3C12色差</t>
  </si>
  <si>
    <t>2F3Q21(T04-R)99R1</t>
  </si>
  <si>
    <t>2F3Q33(T04-L)3X03-換原絲</t>
  </si>
  <si>
    <t>FP-61580×2</t>
  </si>
  <si>
    <t>2F3Q41(A20-A)9X21換原絲/DR</t>
  </si>
  <si>
    <t>300/300/150</t>
  </si>
  <si>
    <t>85(104)</t>
  </si>
  <si>
    <t>2F3Q52(A19)99J2-換原絲/DR</t>
  </si>
  <si>
    <t>FP-62144R</t>
  </si>
  <si>
    <t>4.0(3.3)</t>
  </si>
  <si>
    <t>2F3Q61(A10-B)3T51換原絲</t>
  </si>
  <si>
    <t>FP-62853R</t>
  </si>
  <si>
    <t>2F3Q72(A18)3U62-換原絲</t>
  </si>
  <si>
    <t>110.8.9</t>
  </si>
  <si>
    <t>2F3Q82(T03-R)35F2換原絲/規格加C</t>
  </si>
  <si>
    <t>110.10.25</t>
  </si>
  <si>
    <t>2F3Q92(S2)</t>
  </si>
  <si>
    <t>110.11.25</t>
  </si>
  <si>
    <t>2F3QA1(A18)3JR1</t>
  </si>
  <si>
    <t>2F3QB2(A10-B)DKP2絲開發</t>
  </si>
  <si>
    <t>550↓500-5/3</t>
  </si>
  <si>
    <t>320/320/OFF</t>
  </si>
  <si>
    <t>FP-82526R</t>
  </si>
  <si>
    <t>250/48BK95</t>
  </si>
  <si>
    <t>112.4.26</t>
  </si>
  <si>
    <t>2F3QC2(A17-B)3PL2</t>
  </si>
  <si>
    <t>112.5.4</t>
  </si>
  <si>
    <t>2F3QD1(A18)3GB1換原絲</t>
  </si>
  <si>
    <t>2F3QE1(A16)3PJ1換原絲/降速</t>
  </si>
  <si>
    <t>FP-82066R</t>
  </si>
  <si>
    <t>2F3QF1(A12)3JC1換原絲/DR</t>
  </si>
  <si>
    <t>310/270/158</t>
  </si>
  <si>
    <t>2F3QH3(A21)3IT3/換原絲/溫度/壓力AP</t>
  </si>
  <si>
    <t>FP-71725+61032R</t>
  </si>
  <si>
    <t>120/72FD+130/72CDR</t>
  </si>
  <si>
    <t>112.5.15</t>
  </si>
  <si>
    <t>2F3QI1(M08)3JN1/DR</t>
  </si>
  <si>
    <t>112.5.17</t>
  </si>
  <si>
    <t>灰4.5挑G字尾包裝5.0</t>
  </si>
  <si>
    <t>2F3QJ2(A24-B)3PS2換原絲/壓力AP</t>
  </si>
  <si>
    <t>2F3QK1(A21-B)3QE1機台別</t>
  </si>
  <si>
    <t>2F3QL2(A17-A)3QC2改規格</t>
  </si>
  <si>
    <t>2F3QM2(T04-R)3PT2換原絲</t>
  </si>
  <si>
    <t>FP-81156R*2</t>
  </si>
  <si>
    <t>2F3QP2(A24-A)3QJ2換LL偏淺紗</t>
  </si>
  <si>
    <t>2F3QQ3(A24-B)3PV3</t>
  </si>
  <si>
    <t>112.6.13</t>
  </si>
  <si>
    <t>磷含量-6615</t>
  </si>
  <si>
    <t>2F3QR2(T02-L)3IS2/換原絲/升速/DR</t>
  </si>
  <si>
    <t xml:space="preserve">FP-61731R*2            </t>
  </si>
  <si>
    <t>112.6.15</t>
  </si>
  <si>
    <t>旭寬/迪卡儂灰5嚴挑加G</t>
  </si>
  <si>
    <t>2F3QS2(A10-B)3JV2換原絲/DR../機型/降速</t>
  </si>
  <si>
    <t>FP-82528</t>
  </si>
  <si>
    <t>2F3QT1(A14)3PM1換原絲/升速</t>
  </si>
  <si>
    <t>2F3QU3(A24-A)3QQ3/不同規格/換原絲</t>
  </si>
  <si>
    <t>150/48SRR5</t>
  </si>
  <si>
    <t>FP-62286R</t>
  </si>
  <si>
    <t>250/48SRR5</t>
  </si>
  <si>
    <t>磷含量-5955</t>
  </si>
  <si>
    <t>2F3QV2(S1)3JF2/改JET/換原絲</t>
  </si>
  <si>
    <t>FP-82049</t>
  </si>
  <si>
    <t>112.6.27</t>
  </si>
  <si>
    <t>白黑心</t>
  </si>
  <si>
    <t>2F3QW2(T02-L)3IA2換原絲/DR</t>
  </si>
  <si>
    <t>FP-81139R*2</t>
  </si>
  <si>
    <t>2F3QX2(A10-B)3QB2</t>
  </si>
  <si>
    <t>2F3QY1(A09-B)3PU1升速/換原絲/DR</t>
  </si>
  <si>
    <t>112.6.29</t>
  </si>
  <si>
    <t>2F3QZ2(A24-A)3QP2換原絲</t>
  </si>
  <si>
    <t>FP-82717R</t>
  </si>
  <si>
    <t>112.7.3</t>
  </si>
  <si>
    <t>2F3R02(T04-R)94G2換原絲</t>
  </si>
  <si>
    <t xml:space="preserve">FP-81991R*2            </t>
  </si>
  <si>
    <t>2F3R13(A21-A)3U03-機型</t>
  </si>
  <si>
    <t>335/335/152</t>
  </si>
  <si>
    <t>2F3R21(A08-A)3Y11換原絲</t>
  </si>
  <si>
    <t>2F3R32(A21-B)34F2換原絲</t>
  </si>
  <si>
    <t>383/343/OFF</t>
  </si>
  <si>
    <t>50(42/43)</t>
  </si>
  <si>
    <t>2F3R41(M06)3T31換原絲</t>
  </si>
  <si>
    <t>2F3R51(A19)3Y41換原絲</t>
  </si>
  <si>
    <t>FP-62128</t>
  </si>
  <si>
    <t>110.4.27</t>
  </si>
  <si>
    <t>2F3R61(A08-B)3L51-換原絲</t>
  </si>
  <si>
    <t>FP-62149</t>
  </si>
  <si>
    <t>110.6.28</t>
  </si>
  <si>
    <t>2F3R71(A17-A)3X61換原絲</t>
  </si>
  <si>
    <t>110.8.18</t>
  </si>
  <si>
    <t>2F3R81(A10)3F71換原絲/DR</t>
  </si>
  <si>
    <t>FP-62857R</t>
  </si>
  <si>
    <t>110.10.18</t>
  </si>
  <si>
    <t>2F3R92(M08)3BS2換原絲/DR</t>
  </si>
  <si>
    <t>FP-82814R</t>
  </si>
  <si>
    <t>2F3S03(M04)39N3- 換原絲</t>
  </si>
  <si>
    <t>2F3S11(T02-R)39X1換原絲/DR/重量</t>
  </si>
  <si>
    <t>FP-62593</t>
  </si>
  <si>
    <t>250/48DCD</t>
  </si>
  <si>
    <t>2F3S21(A08-A)37K1換原絲</t>
  </si>
  <si>
    <t>355/355/150</t>
  </si>
  <si>
    <t>FP-72752</t>
  </si>
  <si>
    <t>2F3S32(S1)3A32換原絲</t>
  </si>
  <si>
    <t>2F3S43(A20)3D33換原絲/DR</t>
  </si>
  <si>
    <t>110.2.10</t>
  </si>
  <si>
    <t>2F3S52(A11-A)3B62-換原絲</t>
  </si>
  <si>
    <t>FP-62150R</t>
  </si>
  <si>
    <t>110.5.28</t>
  </si>
  <si>
    <t>2F3S61(A17)3G41換原絲/降溫</t>
  </si>
  <si>
    <t>FP-62161R</t>
  </si>
  <si>
    <t>2F3S72(A18-A)3H72-換原絲/DR</t>
  </si>
  <si>
    <t>FP-62176R</t>
  </si>
  <si>
    <t>2F3S82(A20-A)3Z72-Z+S換原絲/DR</t>
  </si>
  <si>
    <t>110.10.19</t>
  </si>
  <si>
    <t>2F3S92(T01)35H2換原絲/降速</t>
  </si>
  <si>
    <t xml:space="preserve">FP-81066R*2            </t>
  </si>
  <si>
    <t>2F3SA2(T02-R)3QR2/換原絲</t>
  </si>
  <si>
    <t>112.7.6</t>
  </si>
  <si>
    <t>迪卡儂灰4.5加G</t>
  </si>
  <si>
    <t>2F3SB1(A24-B)3Q41換原絲</t>
  </si>
  <si>
    <t>25↓22-7/20</t>
  </si>
  <si>
    <t>2F3SC2(T02-L)3PR2/降速/DR/換原絲</t>
  </si>
  <si>
    <t xml:space="preserve">FP-81139R*2            </t>
  </si>
  <si>
    <t>2F3SD1(A16)3QE1/升速/降速</t>
  </si>
  <si>
    <t>650↓600-8/14</t>
  </si>
  <si>
    <t>2F3SE2(T03-R)3PR2/DR換原絲</t>
  </si>
  <si>
    <t xml:space="preserve">FP-81166R*2            </t>
  </si>
  <si>
    <t>112.7.17</t>
  </si>
  <si>
    <t>2F3SF2(A17)3QC2-DR/換原絲</t>
  </si>
  <si>
    <t>FP-81827R*2</t>
  </si>
  <si>
    <t>2F3SG2(T02-R)3SC2/改規格</t>
  </si>
  <si>
    <t>112.7.19</t>
  </si>
  <si>
    <t>2F3SH2(A10-B)3QS2</t>
  </si>
  <si>
    <t>2F3SI2(T02-L)3SE2/DR</t>
  </si>
  <si>
    <t>2F3SJ2(T04-L)3QM2換原絲/升速</t>
  </si>
  <si>
    <t>P204/DH4318</t>
  </si>
  <si>
    <t>1.9/2.1</t>
  </si>
  <si>
    <t>FP-81167R/81185R*2</t>
  </si>
  <si>
    <t>125/24SDR(125/24SDR2)</t>
  </si>
  <si>
    <t>2F3SK1(A22-A)3E51換原絲5.5kg/DR/降速</t>
  </si>
  <si>
    <t>FP-82721</t>
  </si>
  <si>
    <t>28↑31-8/1</t>
  </si>
  <si>
    <t>2F3SL3(A24-B)3QQ3換原絲/DR</t>
  </si>
  <si>
    <t>FP-82614</t>
  </si>
  <si>
    <t>255/48SR6</t>
  </si>
  <si>
    <t>2F3SM1(A21-B)3QY1</t>
  </si>
  <si>
    <t>2F3SN1(A14)3QD1換原絲/升速/DR</t>
  </si>
  <si>
    <t>345/305/155</t>
  </si>
  <si>
    <t>FP-82070R</t>
  </si>
  <si>
    <t>112.8.3</t>
  </si>
  <si>
    <t>2F3SQ3(A13-B)3QH3/換原絲</t>
  </si>
  <si>
    <t>FP-71821+61067</t>
  </si>
  <si>
    <t>120/72FD+125/72HC</t>
  </si>
  <si>
    <t>112.8.7</t>
  </si>
  <si>
    <t>2F3SR2(M01)3GD2</t>
  </si>
  <si>
    <t>112.8.8</t>
  </si>
  <si>
    <t>2F3SS3(A24-B)3SL3換原絲</t>
  </si>
  <si>
    <t>FP-82615</t>
  </si>
  <si>
    <t>磷含量-6575</t>
  </si>
  <si>
    <t>2F3ST2(A22)3QZ2換原絲/DR/降速</t>
  </si>
  <si>
    <t>FP-82722R</t>
  </si>
  <si>
    <t>2F3SU2(J08)38E2換原絲/DR</t>
  </si>
  <si>
    <t>FP-81061R+81738R</t>
  </si>
  <si>
    <t>120/72SDR+125/36CDR</t>
  </si>
  <si>
    <t>112.8.11</t>
  </si>
  <si>
    <t>2F3SV1(A14)3QT1換原絲/DR</t>
  </si>
  <si>
    <t>2F3SW2(M01)3PC2規格不同</t>
  </si>
  <si>
    <t>2F3SX1(A16-A)3SD1/升速/換原絲/DR</t>
  </si>
  <si>
    <t>FP-82067R</t>
  </si>
  <si>
    <t>2F3SY1(A23-A)3QT1換原絲/DR</t>
  </si>
  <si>
    <t>2F3SZ2(S1)</t>
  </si>
  <si>
    <t>75/72/2BSD3</t>
  </si>
  <si>
    <t xml:space="preserve">FP-81200*2            </t>
  </si>
  <si>
    <t>2F3T02(S1)38G2換原絲</t>
  </si>
  <si>
    <t xml:space="preserve">FP-62039                 </t>
  </si>
  <si>
    <t>4.3(3.0)</t>
  </si>
  <si>
    <t>6(5.5)</t>
  </si>
  <si>
    <t>2F3T12(A22)5F3HL2換原絲93E2</t>
  </si>
  <si>
    <t>360/350/OFF</t>
  </si>
  <si>
    <t>109.4.24</t>
  </si>
  <si>
    <t>2F3T22(S1)36Y2換原絲/物性LIKE-3W02</t>
  </si>
  <si>
    <t>FP-62080R</t>
  </si>
  <si>
    <t>6.5(5.5)</t>
  </si>
  <si>
    <t>109.9.15</t>
  </si>
  <si>
    <t>2F3T31(M07)3AZ1換原絲</t>
  </si>
  <si>
    <t>170/175</t>
  </si>
  <si>
    <t>2F3T41(A14)3F41</t>
  </si>
  <si>
    <t>2F3T51(A10)3F41換原絲</t>
  </si>
  <si>
    <t>110.5.3</t>
  </si>
  <si>
    <t>2F3T62(A20-A)3W42換原絲/DR</t>
  </si>
  <si>
    <t>FP-82014R</t>
  </si>
  <si>
    <t>2F3T72(M05)3192調溫度/AP</t>
  </si>
  <si>
    <t>2F3T82S(A19-B)3U72換原絲/DR</t>
  </si>
  <si>
    <t>2F3T91(A09)3E71不同機台</t>
  </si>
  <si>
    <t>2F3TA1(A22)3QF1換原絲/DR</t>
  </si>
  <si>
    <t>2F3TB1(A14-A)3SV1換原絲/DR</t>
  </si>
  <si>
    <t>FP-82072R</t>
  </si>
  <si>
    <t>255/48SDR2</t>
  </si>
  <si>
    <t>2F3TC2(T02-R)3SI2/換原絲</t>
  </si>
  <si>
    <t xml:space="preserve">FP-81175R*2            </t>
  </si>
  <si>
    <t>112.9.7</t>
  </si>
  <si>
    <t>2F3TD1(A18)3SY1換原絲/DR</t>
  </si>
  <si>
    <t>112.9.6</t>
  </si>
  <si>
    <t>2F3TE1(A23-B)3SY1換原絲/DR</t>
  </si>
  <si>
    <t>FP-82071R</t>
  </si>
  <si>
    <t>2F3TE1S(A23-B)發給NiKE物性不同</t>
  </si>
  <si>
    <t>70±15</t>
  </si>
  <si>
    <t>2F3TG2(M02)3PC2</t>
  </si>
  <si>
    <t>2F3TH1(A08-B)3TA1換原絲/DR</t>
  </si>
  <si>
    <t>2F3TI1(A16-B)3SX1/換原絲/規格</t>
  </si>
  <si>
    <t>FP-82076R</t>
  </si>
  <si>
    <t>2F3TJ1(A22)3TA1換原絲/DR</t>
  </si>
  <si>
    <t>FP-82853R</t>
  </si>
  <si>
    <t>2F3TK2(A19-B)3SF2-DR</t>
  </si>
  <si>
    <t>112.9.11</t>
  </si>
  <si>
    <t>2F3TL2(T03-R)3SA2/換原絲</t>
  </si>
  <si>
    <t xml:space="preserve">FP-81171R*2            </t>
  </si>
  <si>
    <t>旭寬灰5加G</t>
  </si>
  <si>
    <t>2F3TM1(A23-B)3TE1換原絲/DR/改規格</t>
  </si>
  <si>
    <t>2F3TN1(A09)3QY1換原絲/改規格</t>
  </si>
  <si>
    <t>2F3TP1(A21-B)3SM1換原絲/改規格</t>
  </si>
  <si>
    <t>112.9.22</t>
  </si>
  <si>
    <t>2F3TQ1(A14)3TH1</t>
  </si>
  <si>
    <t>2F3TR2(T02-R)9KK2/換原絲</t>
  </si>
  <si>
    <t xml:space="preserve">FP-81154R*2            </t>
  </si>
  <si>
    <t>130/72SDR2</t>
  </si>
  <si>
    <t>2F3TS2(A24-B)3QZ2換原絲</t>
  </si>
  <si>
    <t>FP-82741R</t>
  </si>
  <si>
    <t>30-25.5-10/5</t>
  </si>
  <si>
    <t>112.9.28</t>
  </si>
  <si>
    <t>2F3TU3(A08)3PZ3/AP壓力升</t>
  </si>
  <si>
    <t>112.10.4</t>
  </si>
  <si>
    <t>2F3TV1(A19-A)3QA1換原絲/DR/降速</t>
  </si>
  <si>
    <t>FP-62863R</t>
  </si>
  <si>
    <t>112.10.11</t>
  </si>
  <si>
    <t>2F3TW1(A18)3TD1換原絲/DR</t>
  </si>
  <si>
    <t>FP-82026R</t>
  </si>
  <si>
    <t>112.10.18</t>
  </si>
  <si>
    <t>2F3TX1(A23)3TM1換原絲/DR</t>
  </si>
  <si>
    <t>2F3TY2(T02-R)3SJ2換原絲</t>
  </si>
  <si>
    <t>FP-81186R*2</t>
  </si>
  <si>
    <t>125/24SDR2</t>
  </si>
  <si>
    <t>2F3TZ1(A09)3TN1換原絲</t>
  </si>
  <si>
    <t>FP-82077R</t>
  </si>
  <si>
    <t>2F3U03(M05)5F3RW3換原絲</t>
  </si>
  <si>
    <t>109.1.9</t>
  </si>
  <si>
    <t>2F3U11(A09-B)38I1換原絲</t>
  </si>
  <si>
    <t>2F3U32(T04-R)3W22-換原絲</t>
  </si>
  <si>
    <t>FP-61587R×2</t>
  </si>
  <si>
    <t>2F3U43(A18-A)34I3換原絲</t>
  </si>
  <si>
    <t>110.2.19</t>
  </si>
  <si>
    <t>2F3U52(T03-R)3K52色差</t>
  </si>
  <si>
    <t>110.5.5</t>
  </si>
  <si>
    <t>2F3U62(A11-B)3S52-色差</t>
  </si>
  <si>
    <t>2F3U72(A11)3X52換原絲/DR/AP</t>
  </si>
  <si>
    <t>2F3U81(A19-A)3N71換原絲/DR</t>
  </si>
  <si>
    <t>110.10.21</t>
  </si>
  <si>
    <t>2F3U91(A19)3Y81換原絲</t>
  </si>
  <si>
    <t>2F3V01(M04)3Q01-換原絲</t>
  </si>
  <si>
    <t>2F3V11(T02-R)3S11換原絲/DR</t>
  </si>
  <si>
    <t>109.4.16</t>
  </si>
  <si>
    <t>2F3V32(T04-R)3W22-換原絲/DR</t>
  </si>
  <si>
    <t>2F3V41(A07)3X31換原絲</t>
  </si>
  <si>
    <t>2F3V52(A07-A)3M42改重量</t>
  </si>
  <si>
    <t>30.1(26.2)</t>
  </si>
  <si>
    <t>110.5.10</t>
  </si>
  <si>
    <t>2F3V62(A08-B)DK42</t>
  </si>
  <si>
    <t>150/48BK19</t>
  </si>
  <si>
    <t xml:space="preserve">FP-62902                 </t>
  </si>
  <si>
    <t>250/48BK19</t>
  </si>
  <si>
    <t>110.7.7</t>
  </si>
  <si>
    <t>2F3V83(M07-A)3P83- 換原絲</t>
  </si>
  <si>
    <t>FP-62191</t>
  </si>
  <si>
    <t>2F3VA1(A21)3TP1換原絲/升速</t>
  </si>
  <si>
    <t>2F3VB1(M04)3TJ1換原絲/機型/DR</t>
  </si>
  <si>
    <t>168/165</t>
  </si>
  <si>
    <t>FP-82075R</t>
  </si>
  <si>
    <t>112.11.1</t>
  </si>
  <si>
    <t>2F3VC1(A16-B)3TI1/換原絲/DR</t>
  </si>
  <si>
    <t>112.10.30</t>
  </si>
  <si>
    <t>2F3VD2(T06)3TC2</t>
  </si>
  <si>
    <t>181/OFF</t>
  </si>
  <si>
    <t>112.11.7</t>
  </si>
  <si>
    <t>2F3VE1(M01)3VB1換原絲/DR(物性-LIKE外購紗-3LS1)</t>
  </si>
  <si>
    <t>112.11.14</t>
  </si>
  <si>
    <t>2F3VF1(A18)3TW1換原絲</t>
  </si>
  <si>
    <t>FP-82079R</t>
  </si>
  <si>
    <t>2F3VG1(S1)3GP1換原絲/DR</t>
  </si>
  <si>
    <t>315/315/140</t>
  </si>
  <si>
    <t>FP-82537R</t>
  </si>
  <si>
    <t>2F3VH1(A23-B)3TX1換原絲</t>
  </si>
  <si>
    <t>112.11.23</t>
  </si>
  <si>
    <t>2F3VI3(A24-A)3SS3換原絲/角度</t>
  </si>
  <si>
    <t>112.11.24</t>
  </si>
  <si>
    <t>磷含量-6315</t>
  </si>
  <si>
    <t>2F3VJ1(S1)3VG1換原絲/DR/溫度</t>
  </si>
  <si>
    <t>305/305/140</t>
  </si>
  <si>
    <t>FP-82540R</t>
  </si>
  <si>
    <t>112.11.21</t>
  </si>
  <si>
    <t>2F3VK1(A10-B)3PY1換原絲/DR</t>
  </si>
  <si>
    <t>2F3VL1(A11-B)3TZ1</t>
  </si>
  <si>
    <t>112.11.30</t>
  </si>
  <si>
    <t>2F3VM1(A10-B)</t>
  </si>
  <si>
    <t>330/330/150</t>
  </si>
  <si>
    <t>FP-82539</t>
  </si>
  <si>
    <t>2F3VN2(T02-R)3SA2/換原絲</t>
  </si>
  <si>
    <t xml:space="preserve">FP-81176R*2            </t>
  </si>
  <si>
    <t>125/96SDR2</t>
  </si>
  <si>
    <t>2F3VP2(T04-R)3SZ2換原絲/機型/升速/DR</t>
  </si>
  <si>
    <t>600↓500-12/5</t>
  </si>
  <si>
    <t xml:space="preserve">FP-81226*2            </t>
  </si>
  <si>
    <t>2F3VQ2(A24-B)3ST2換原絲</t>
  </si>
  <si>
    <t>FP-82735R</t>
  </si>
  <si>
    <t>112.12.6</t>
  </si>
  <si>
    <t>2F3VR2(A12-B)</t>
  </si>
  <si>
    <t>75/24/2CDR</t>
  </si>
  <si>
    <t>215/215/150</t>
  </si>
  <si>
    <t>FP-81735R*2</t>
  </si>
  <si>
    <t>125/24CDR</t>
  </si>
  <si>
    <t>2F3VS1(A18)3VF1換原絲</t>
  </si>
  <si>
    <t>FP-82080R</t>
  </si>
  <si>
    <t>2F3VT2(T04-R)DLC2(絲開發)</t>
  </si>
  <si>
    <t>75/72/2EBSD3</t>
  </si>
  <si>
    <t>205/OFF</t>
  </si>
  <si>
    <t xml:space="preserve">FP-81227*2            </t>
  </si>
  <si>
    <t>黃黑曲線</t>
  </si>
  <si>
    <t>2F3VU2(T04-R)3VP2換原絲</t>
  </si>
  <si>
    <t>25-22.0-113.1.9</t>
  </si>
  <si>
    <t>2F3VV1(A24-A)3SN1換原絲</t>
  </si>
  <si>
    <t>2F3VW2(T06-L)3VD2換原絲</t>
  </si>
  <si>
    <t xml:space="preserve">FP-81199R*2            </t>
  </si>
  <si>
    <t>2F3VX1(A10-B)3VK1換原絲/DR</t>
  </si>
  <si>
    <t>FP-82538R</t>
  </si>
  <si>
    <t>113.1.8</t>
  </si>
  <si>
    <t>2F3VY2(M04)3LK2(外購紗)</t>
  </si>
  <si>
    <t>2F3VZ1(A15)3VL1換原絲</t>
  </si>
  <si>
    <t>2F3W02(T04-R)37F2換原絲/DR</t>
  </si>
  <si>
    <t>FP-62051R</t>
  </si>
  <si>
    <t>2F3W11(A23-A)5F3RM1換原絲</t>
  </si>
  <si>
    <t>2F3W22(T04-L)3D12-換原絲</t>
  </si>
  <si>
    <t>FP-81721R×2</t>
  </si>
  <si>
    <t>109.10.6</t>
  </si>
  <si>
    <t>2F3W32(A22-B)3252換原絲</t>
  </si>
  <si>
    <t>2F3W42(A21-A)3R32換原絲/降速</t>
  </si>
  <si>
    <t>2F3W51(A22-A)3M51換原絲</t>
  </si>
  <si>
    <t>FP-82012R</t>
  </si>
  <si>
    <t>2F3W61(A20-B)L335</t>
  </si>
  <si>
    <t>2F3W71(A08-A)3R61-色差</t>
  </si>
  <si>
    <t>110.9.2</t>
  </si>
  <si>
    <t>2F3W81(A17-B)3N81換原絲</t>
  </si>
  <si>
    <t>FP-82023R</t>
  </si>
  <si>
    <t>2F3W91(A17-A)3E51換原絲5.5kg</t>
  </si>
  <si>
    <t>FP-62188</t>
  </si>
  <si>
    <t>2F3WA1(A16)3VC1/換原絲</t>
  </si>
  <si>
    <t>650↓600-113.5/16</t>
  </si>
  <si>
    <t>2F3WB3(A22-B)3SQ3/換原絲/DR</t>
  </si>
  <si>
    <t>FP-81189R+81755</t>
  </si>
  <si>
    <t>125/72FDR+125/72HC</t>
  </si>
  <si>
    <t>2F3WC2(A24-B)3VQ2換原絲/DR</t>
  </si>
  <si>
    <t>FP-82743R</t>
  </si>
  <si>
    <t>2F3WD1(A21-A)3VA1換原絲/降速</t>
  </si>
  <si>
    <t>2F3WE1(A24-A)3TV1換原絲/DR</t>
  </si>
  <si>
    <t>FP-62783R</t>
  </si>
  <si>
    <t>2F3WF2(T06-R)3VW2換原絲/DR</t>
  </si>
  <si>
    <t xml:space="preserve">FP-81211R*2            </t>
  </si>
  <si>
    <t>2F3WG1(A18)3VS1換原絲/DR</t>
  </si>
  <si>
    <t>2F3WH1(A11)3VV1換原絲/DR</t>
  </si>
  <si>
    <t>FP-82084R</t>
  </si>
  <si>
    <t>113.1.23</t>
  </si>
  <si>
    <t>2F3WI2(T02)3SJ2換原絲</t>
  </si>
  <si>
    <t>750↓700-5/13</t>
  </si>
  <si>
    <t>1.7/2.1</t>
  </si>
  <si>
    <t>FP-81210R*2</t>
  </si>
  <si>
    <t>113.1.24</t>
  </si>
  <si>
    <t>2F3WJ3(A24-A)3VI3</t>
  </si>
  <si>
    <t>2F3WK1(A20)3VA1換原絲/降速/DR/改無字尾</t>
  </si>
  <si>
    <t>113.1.29</t>
  </si>
  <si>
    <t>2F3WL2(A11)3SW2換原絲/機型/升速</t>
  </si>
  <si>
    <t>2F3WM1(A23-B)3VH1換原絲/DR</t>
  </si>
  <si>
    <t>FP-82081R</t>
  </si>
  <si>
    <t>2F3WN1(A10-B)3VX1/DR</t>
  </si>
  <si>
    <t>113.2.5</t>
  </si>
  <si>
    <t>2F3WP2(T04-R)3WF2</t>
  </si>
  <si>
    <t>2F3WQ2(T02)3E62換原絲/規格</t>
  </si>
  <si>
    <t xml:space="preserve">FP-81207R*2            </t>
  </si>
  <si>
    <t>2F3WR3(A19)3PZ3換原絲/DR</t>
  </si>
  <si>
    <t>380/350/175</t>
  </si>
  <si>
    <t>FP-82086R</t>
  </si>
  <si>
    <t>240/48SDR2</t>
  </si>
  <si>
    <t>2F3WS2(T01-R)3SA2/換原絲/DR..等</t>
  </si>
  <si>
    <t xml:space="preserve">FP-81205R*2            </t>
  </si>
  <si>
    <t>2F3WT2(A10-A)3QX2換原絲</t>
  </si>
  <si>
    <t>FP-82545R</t>
  </si>
  <si>
    <t>2F3WU2(T04)3WP2換原絲/降速/DR</t>
  </si>
  <si>
    <t xml:space="preserve">FP-81209R*2            </t>
  </si>
  <si>
    <t>2F3WV2(T02-R)3WU2換原絲</t>
  </si>
  <si>
    <t>2F3WW1(A19)3WK1換原絲</t>
  </si>
  <si>
    <t>FP-82082R</t>
  </si>
  <si>
    <t>113.3.6</t>
  </si>
  <si>
    <t>2F3WX1(A10-B)3PY1</t>
  </si>
  <si>
    <t>113.3.8</t>
  </si>
  <si>
    <t>2F3WY2(A19-B)3DJ2換原絲</t>
  </si>
  <si>
    <t>113.3.20</t>
  </si>
  <si>
    <t>2F3WZ1(A10-A)3WN1/DR換原絲</t>
  </si>
  <si>
    <t>FP-82546R</t>
  </si>
  <si>
    <t xml:space="preserve">紅黑條紋 </t>
  </si>
  <si>
    <t>2F3X03(T04-L)5F3NZ3-換原絲/DR</t>
  </si>
  <si>
    <t>FP-61506×2</t>
  </si>
  <si>
    <t>2F3X11(A24)5F3IP1-換原絲</t>
  </si>
  <si>
    <t>380/350/155</t>
  </si>
  <si>
    <t xml:space="preserve">FP-72361                      </t>
  </si>
  <si>
    <t>109.3.22</t>
  </si>
  <si>
    <t>2F3X21(A07-B)3D21換原絲</t>
  </si>
  <si>
    <t>FP-61565*2</t>
  </si>
  <si>
    <t>2F3X31(A22-A)3K31換原絲</t>
  </si>
  <si>
    <t>110.1.6</t>
  </si>
  <si>
    <t>2F3X42(T04-R)35A2加T</t>
  </si>
  <si>
    <t>110.3.2</t>
  </si>
  <si>
    <t>2F3X52(A18-B)3P32/3P52</t>
  </si>
  <si>
    <t>2F3X61(A18-A)3L01換原絲/降速</t>
  </si>
  <si>
    <t>2F3X72(S1)3Y22換原絲/DR/降速</t>
  </si>
  <si>
    <t>FP-61912*2</t>
  </si>
  <si>
    <t>2F3X82(A11)3U72換原絲/AP</t>
  </si>
  <si>
    <t>FP-82817R</t>
  </si>
  <si>
    <t>110.11.1</t>
  </si>
  <si>
    <t>2F3X91(A16-A)3Y81色差</t>
  </si>
  <si>
    <t>2F3XA2(A19)3DV2換原絲/降速</t>
  </si>
  <si>
    <t>345/305/OFF</t>
  </si>
  <si>
    <t>2F3XB2(A10-B)3WT2/DR</t>
  </si>
  <si>
    <t>2F3XC2(T06)3VN2/換原絲/DR</t>
  </si>
  <si>
    <t>2F3XD1(A20-B)3WK1換原絲/DR</t>
  </si>
  <si>
    <t>FP-82087R</t>
  </si>
  <si>
    <t>113.4.11</t>
  </si>
  <si>
    <t>2F3XE3(A24-B)3WJ3換原絲/DR</t>
  </si>
  <si>
    <t>113.4.16</t>
  </si>
  <si>
    <t>磷含量-6750</t>
  </si>
  <si>
    <t>2F3XF2(A14-B)3WV2</t>
  </si>
  <si>
    <t>FP-81209R*2</t>
  </si>
  <si>
    <t>113.4.19</t>
  </si>
  <si>
    <t>2F3XG3(T05-R)3WB3(同3D63)換原絲</t>
  </si>
  <si>
    <t>FP-81771+81189R</t>
  </si>
  <si>
    <t>125/72HC+125/72FDR</t>
  </si>
  <si>
    <t>21↑25-5/10</t>
  </si>
  <si>
    <t>2F3XH1(A24-A)3WH1換原絲</t>
  </si>
  <si>
    <t>2F3XI2(T04-L)3IZ2/換原絲/DR.../降速</t>
  </si>
  <si>
    <t>FP-81207R*2</t>
  </si>
  <si>
    <t>2F3XJ1(S1)DYE1-絲開發</t>
  </si>
  <si>
    <t>265/265/155</t>
  </si>
  <si>
    <t>FP-61411R*2</t>
  </si>
  <si>
    <t>125/24BUR62</t>
  </si>
  <si>
    <t>2F3XK3(A24-B)3WR3換原絲/DR</t>
  </si>
  <si>
    <t>FP-82088R</t>
  </si>
  <si>
    <t>113.5.6</t>
  </si>
  <si>
    <t>2F3XL2(A10-A)3SH2換原絲/DR</t>
  </si>
  <si>
    <t>150/48BK33</t>
  </si>
  <si>
    <t>FP-62116</t>
  </si>
  <si>
    <t>255/48BK33</t>
  </si>
  <si>
    <t>2F3XM1(A10-B)3WZ1</t>
  </si>
  <si>
    <t>2F3XN2(A09-B)DYM2</t>
  </si>
  <si>
    <t>150/144SDR</t>
  </si>
  <si>
    <t>FP-82027R</t>
  </si>
  <si>
    <t>245/144SDR</t>
  </si>
  <si>
    <t>113.5.28</t>
  </si>
  <si>
    <t>2F3XP2(S1)3JA2(物性3XL2)降速</t>
  </si>
  <si>
    <t>FP-62306</t>
  </si>
  <si>
    <t>2F3XQ1(A24-B)3XH1/DR</t>
  </si>
  <si>
    <t>350/310/155</t>
  </si>
  <si>
    <t>113.6.5</t>
  </si>
  <si>
    <t>2F3XR2(T01)3WI2改規格</t>
  </si>
  <si>
    <t>700↓650-7/4.5↓600-9/13</t>
  </si>
  <si>
    <t>1.8/2.0</t>
  </si>
  <si>
    <t>2F3XS2(T02-L)3WI2換原絲/改規格</t>
  </si>
  <si>
    <t>700↓650-6/25↓600-7/5</t>
  </si>
  <si>
    <t>FP-81238R*2</t>
  </si>
  <si>
    <t>113.6.12</t>
  </si>
  <si>
    <t>2F3XT1(A24-A)3XD1換原絲/DR/規格</t>
  </si>
  <si>
    <t>2F3XU2(T06-R)3XC2/換原絲/DR</t>
  </si>
  <si>
    <t xml:space="preserve">FP-81234R*2            </t>
  </si>
  <si>
    <t>2F8010(外購)Z8010-做假資料宏益</t>
  </si>
  <si>
    <t>113.11.12</t>
  </si>
  <si>
    <t>2F3XV1(A10-B)3XM1/DR換原絲</t>
  </si>
  <si>
    <t>FP-82550R</t>
  </si>
  <si>
    <t>113.6.20</t>
  </si>
  <si>
    <t>2F3XW1(A23-A)3WM1換原絲/DR</t>
  </si>
  <si>
    <t>2F3XX1(A10-A)3XM1換原絲</t>
  </si>
  <si>
    <t>FP-82552R</t>
  </si>
  <si>
    <t>2F3XY2(S1)3XP2換原絲</t>
  </si>
  <si>
    <t>FP-62307</t>
  </si>
  <si>
    <t>2F3XZ1(A07-A)3IJ1換原絲</t>
  </si>
  <si>
    <t>FP-61109*2</t>
  </si>
  <si>
    <t>113.7.2</t>
  </si>
  <si>
    <t>2F3Y01(M08)38S1-換原絲</t>
  </si>
  <si>
    <t>176/159</t>
  </si>
  <si>
    <t>FP-62044R</t>
  </si>
  <si>
    <t>109.2.1</t>
  </si>
  <si>
    <t>2F3Y11(A08-B)38R1換原絲</t>
  </si>
  <si>
    <t>FP-62056</t>
  </si>
  <si>
    <t>2F3Y22(S1)5F3QT2換原絲/DR/JET</t>
  </si>
  <si>
    <t>FP-61952*2</t>
  </si>
  <si>
    <t>2F3Y32(T04-R)3V32-換原絲(POY-E%異常)</t>
  </si>
  <si>
    <t>6.3(6.9)</t>
  </si>
  <si>
    <t>2F3Y41(A20)3W11換原絲</t>
  </si>
  <si>
    <t>2F3Y53(A19)3S43換原絲/DR</t>
  </si>
  <si>
    <t>FP-62137</t>
  </si>
  <si>
    <t>2F3Y61(A08-B)3Z21換原絲/DR</t>
  </si>
  <si>
    <t>FP-62112</t>
  </si>
  <si>
    <t>2F3Y72(A18)3S72-換原絲/DR</t>
  </si>
  <si>
    <t>2F3Y81(A16)3N61色差</t>
  </si>
  <si>
    <t>2F3Y93(A22-B)3Y53換原絲/AP壓力</t>
  </si>
  <si>
    <t>2F3YA3(A22)3XE3/DR</t>
  </si>
  <si>
    <t>磷含量-6465</t>
  </si>
  <si>
    <t>2F3YB1(S1)3XJ1</t>
  </si>
  <si>
    <t>白紅心</t>
  </si>
  <si>
    <t>2F3YC2(T06-L)3PD2升速/DR/機型</t>
  </si>
  <si>
    <t>170/150</t>
  </si>
  <si>
    <t>FP-72368R</t>
  </si>
  <si>
    <t>2F3YD2(T06L)3WC2換原絲/DR降速</t>
  </si>
  <si>
    <t>FP-82750R</t>
  </si>
  <si>
    <t>25.5-31-7/15</t>
  </si>
  <si>
    <t>113.7.12</t>
  </si>
  <si>
    <t>2F3YE1(M01)3XD1換原絲/DR降速/機型</t>
  </si>
  <si>
    <t>2F3YF3(A22)3YA3/換原絲</t>
  </si>
  <si>
    <t>FP-82625</t>
  </si>
  <si>
    <t>磷含量-6190</t>
  </si>
  <si>
    <t>2F3YG3(T04-L)3QU3/換原絲/機型降速DR</t>
  </si>
  <si>
    <t>178/150</t>
  </si>
  <si>
    <t>FP-82617R</t>
  </si>
  <si>
    <t>112.7.26</t>
  </si>
  <si>
    <t>磷含量-5200</t>
  </si>
  <si>
    <t>2F3YH2(T04-L)9JU2換原絲</t>
  </si>
  <si>
    <t xml:space="preserve">FP-81154R            </t>
  </si>
  <si>
    <t>113.8.6</t>
  </si>
  <si>
    <t>2F3YI1(A15A)3TQ1換原絲</t>
  </si>
  <si>
    <t>FP-72759R</t>
  </si>
  <si>
    <t>113.8.5</t>
  </si>
  <si>
    <t>2F3YJ2(A08-B)9QR2</t>
  </si>
  <si>
    <t>75/72/2ODR</t>
  </si>
  <si>
    <t>FP-81071R*2</t>
  </si>
  <si>
    <t>2F3YK1(A16)3XD1/DR</t>
  </si>
  <si>
    <t>113.8.9</t>
  </si>
  <si>
    <t>2F3YL1(M01)3YE1換原絲/DR</t>
  </si>
  <si>
    <t>19.1-29-8/14</t>
  </si>
  <si>
    <t>2F3YM1(M01)3YE1換原絲/DR</t>
  </si>
  <si>
    <t>FP-62743R</t>
  </si>
  <si>
    <t>245/48SDR</t>
  </si>
  <si>
    <t>19.1-29-9/4</t>
  </si>
  <si>
    <t>2F3YN1(A15)3YK1/DR換原絲改規格</t>
  </si>
  <si>
    <t>FP-82090R</t>
  </si>
  <si>
    <t>2F3YP2(A22)3WC2換原絲</t>
  </si>
  <si>
    <t>25.5-31-8/22</t>
  </si>
  <si>
    <t>2F3YQ1(S1)9FF1(桔色紗)換原絲</t>
  </si>
  <si>
    <t>FP-61431R*2</t>
  </si>
  <si>
    <t>125/24ORR13</t>
  </si>
  <si>
    <t>2F3YR2(A10-B)3XL2換原絲</t>
  </si>
  <si>
    <t>FP-62313</t>
  </si>
  <si>
    <t>113.8.27</t>
  </si>
  <si>
    <t>2F3YS2(T06-R)3XI2/DR.../升速</t>
  </si>
  <si>
    <t>2F3YT3(A07-B)3XK3</t>
  </si>
  <si>
    <t>2F3YU1(A24)3XT1換原絲/DR</t>
  </si>
  <si>
    <t>2F3YV1(A22-B)3YI1換原絲/DR</t>
  </si>
  <si>
    <t>2F3YW1(A18-B)3WG1換原絲/DR</t>
  </si>
  <si>
    <t>2F3YY2(T02-L)3YJ2換原絲/DR/機型</t>
  </si>
  <si>
    <t>FP-81252R*2</t>
  </si>
  <si>
    <t>2F3YZ2(A07-B)3XA2換原絲/DR</t>
  </si>
  <si>
    <t>113.9.10</t>
  </si>
  <si>
    <t>2F3Z03(M04)3S03- 換原絲</t>
  </si>
  <si>
    <t>109.2.5</t>
  </si>
  <si>
    <t>2F3Z21(A08-B)3S21換原絲</t>
  </si>
  <si>
    <t>2F3Z32(A07-A)3B32(併股)</t>
  </si>
  <si>
    <t>FP-61565+61579</t>
  </si>
  <si>
    <t>2F3Z41(A12)34D1換原絲</t>
  </si>
  <si>
    <t>2F3Z53(A18)3U43換原絲/JET</t>
  </si>
  <si>
    <t>FP-82806R</t>
  </si>
  <si>
    <t>2F3Z61(A08-A)-3I31換原絲</t>
  </si>
  <si>
    <t>2F3Z72(A20)3F32-Z+S換原絲/機型/重量/JET</t>
  </si>
  <si>
    <t>FP-61654R*2</t>
  </si>
  <si>
    <t>2F3Z82(M05)3L82色差/AP</t>
  </si>
  <si>
    <t>33.3</t>
  </si>
  <si>
    <t>2F3Z92(S1)Z+S</t>
  </si>
  <si>
    <t>FP-81730R*2</t>
  </si>
  <si>
    <t>2F4001(M01)3YE1換原絲</t>
  </si>
  <si>
    <t>19.1-25-9/20</t>
  </si>
  <si>
    <t>2F4011(S1)3SB1換原絲/機型/DR</t>
  </si>
  <si>
    <t>FP-62405</t>
  </si>
  <si>
    <t>2F4021(S1)3YQ1(桔色紗)換原絲</t>
  </si>
  <si>
    <t>FP-61433R*2</t>
  </si>
  <si>
    <t>2F4031(A08-A)3XQ1/換原絲</t>
  </si>
  <si>
    <t>2F4041(M01)3VB1換原絲/DR</t>
  </si>
  <si>
    <t>170/165</t>
  </si>
  <si>
    <t>FP-82044R</t>
  </si>
  <si>
    <t>250/48SDR</t>
  </si>
  <si>
    <t>19-22-9/23</t>
  </si>
  <si>
    <t>113.9.18</t>
  </si>
  <si>
    <t>2F4051(A22A)</t>
  </si>
  <si>
    <t>150/48CR5</t>
  </si>
  <si>
    <t>FP-62224</t>
  </si>
  <si>
    <t>250/48CR5</t>
  </si>
  <si>
    <t>113.9.20</t>
  </si>
  <si>
    <t>磷含量-4051</t>
  </si>
  <si>
    <t>2F4061(M01)3VB1換原絲</t>
  </si>
  <si>
    <t>3.0/5.0</t>
  </si>
  <si>
    <t>113.9.24</t>
  </si>
  <si>
    <t>白紫條紋/黃紅双色40611</t>
  </si>
  <si>
    <t>2F4071(S1)9EU1換原絲/重量</t>
  </si>
  <si>
    <t>250/250/145</t>
  </si>
  <si>
    <t>FP-61434R*2</t>
  </si>
  <si>
    <t>125/24WTR25</t>
  </si>
  <si>
    <t>2F4081(S2)9FC1換原絲/重量</t>
  </si>
  <si>
    <t>75/24/2YLR9</t>
  </si>
  <si>
    <t>FP-61436R*2</t>
  </si>
  <si>
    <t>125/24YLR9</t>
  </si>
  <si>
    <t>2F4091(S1)3YB1換原絲/DR</t>
  </si>
  <si>
    <t>FP-61437R*2</t>
  </si>
  <si>
    <t>2F4103(A22-A)3YF3/換原絲/DR</t>
  </si>
  <si>
    <t>FP-82628</t>
  </si>
  <si>
    <t>113.9.30</t>
  </si>
  <si>
    <t>磷含量-6640</t>
  </si>
  <si>
    <t>2F4111(A22-B)3YV1換原絲/DR</t>
  </si>
  <si>
    <t>FP-72758R</t>
  </si>
  <si>
    <t>2F4122(T01-R)3XR2/換原絲/升速</t>
  </si>
  <si>
    <t>FP-81249R*2</t>
  </si>
  <si>
    <t>113.10.11</t>
  </si>
  <si>
    <t>2F4131(A20)3XD1換原絲/DR/規格</t>
  </si>
  <si>
    <t>FP-82092R</t>
  </si>
  <si>
    <t>2F4141(A11)3XD1換原絲/DR/規格</t>
  </si>
  <si>
    <t>113.10.21</t>
  </si>
  <si>
    <t>2F4151(M06)3YE1換原絲/規格改</t>
  </si>
  <si>
    <t>171/160</t>
  </si>
  <si>
    <t>2F4161(A09-B)3CU1換原絲/DR</t>
  </si>
  <si>
    <t>FP-62628</t>
  </si>
  <si>
    <t>2F4171(A24)3YU1換原絲/規格改</t>
  </si>
  <si>
    <t>FP-82093R</t>
  </si>
  <si>
    <t>2F4182(T02-L)3YS2/DR換原絲</t>
  </si>
  <si>
    <t>FP-81248R*2</t>
  </si>
  <si>
    <t>2F4192(A22-A)3YP2換原絲/E修</t>
  </si>
  <si>
    <t>FP-62133R→82713R-11/7</t>
  </si>
  <si>
    <t>25.5↑31.0-11/7</t>
  </si>
  <si>
    <t>113.11.1</t>
  </si>
  <si>
    <t>2F4202(T06)4122/換原絲</t>
  </si>
  <si>
    <t>FP-81250R*2</t>
  </si>
  <si>
    <t>2F4211(A07-A)3XZ1</t>
  </si>
  <si>
    <t>113.11.9</t>
  </si>
  <si>
    <t>2F4223(A08-B)3YT3換原絲</t>
  </si>
  <si>
    <t>385/355/175</t>
  </si>
  <si>
    <t>FP-82094R</t>
  </si>
  <si>
    <t>2F4231(A15)3YN1/DR換原絲</t>
  </si>
  <si>
    <t>2F4242(T05-R)3YY2改規格/重量</t>
  </si>
  <si>
    <t>FP-81260R*2</t>
  </si>
  <si>
    <t>120/72PDR</t>
  </si>
  <si>
    <t>2F4253(A09)4103/DR</t>
  </si>
  <si>
    <t>2F4261(A16)3YK1/DR加2字尾換原絲</t>
  </si>
  <si>
    <t>113.11.18</t>
  </si>
  <si>
    <t>2F4271(A18-B)3YW1換原絲</t>
  </si>
  <si>
    <t>2F4282(A22-A)4192換原絲</t>
  </si>
  <si>
    <t>113.11.19</t>
  </si>
  <si>
    <t>2F4292(A09-B)3YZ2換原絲/DR/溫度</t>
  </si>
  <si>
    <t>FP-72755R</t>
  </si>
  <si>
    <t>2F4311(S1)4091換原絲/AP壓力修</t>
  </si>
  <si>
    <t>FP-61121R*2</t>
  </si>
  <si>
    <t>2F4321(A22-B)</t>
  </si>
  <si>
    <t>315/305/135</t>
  </si>
  <si>
    <t>2F4332(T02-R)3YH2/DR</t>
  </si>
  <si>
    <t>2F4342(T01-R)4202/換原絲/DR</t>
  </si>
  <si>
    <t>FP-81259R*2</t>
  </si>
  <si>
    <t>2F4352(T05-R)4242換原絲</t>
  </si>
  <si>
    <t>FP-81270R*2</t>
  </si>
  <si>
    <t>22-25(12/25)</t>
  </si>
  <si>
    <t>2F4361(S1)4311</t>
  </si>
  <si>
    <t>2F4372(A22-A)4282換原絲</t>
  </si>
  <si>
    <t>FP-82749</t>
  </si>
  <si>
    <t>113.12.12</t>
  </si>
  <si>
    <t>2F4382(A10-A)3WT2</t>
  </si>
  <si>
    <t>325/325/OFF</t>
  </si>
  <si>
    <t>113.12.16</t>
  </si>
  <si>
    <t>2F4391(M06)4151換原絲</t>
  </si>
  <si>
    <t>113.12.17</t>
  </si>
  <si>
    <t>2F4401(A24)4171換原絲</t>
  </si>
  <si>
    <t>FP-82097R</t>
  </si>
  <si>
    <t>113.12.18</t>
  </si>
  <si>
    <t>2F4411(A16)4261/DR/換原絲</t>
  </si>
  <si>
    <t>2F4421(A20)4431換原絲</t>
  </si>
  <si>
    <t>FP-82099R</t>
  </si>
  <si>
    <t>2F4432(A10-B)3YR2換原絲/DR/JET</t>
  </si>
  <si>
    <t>FP-82554</t>
  </si>
  <si>
    <t>2F4442(A22-A)4372</t>
  </si>
  <si>
    <t>2F4451(A22-B)4031/換原絲/DR</t>
  </si>
  <si>
    <t>2F4461(A18)4271換原絲/DR</t>
  </si>
  <si>
    <t>2F4471(A11-B)4141換原絲</t>
  </si>
  <si>
    <t>FP-82098R</t>
  </si>
  <si>
    <t>2F4481(S1)4081換原絲</t>
  </si>
  <si>
    <t>FP-61450R*2</t>
  </si>
  <si>
    <t>114.1.2</t>
  </si>
  <si>
    <t>2F4491(A22-B)4111/DR</t>
  </si>
  <si>
    <t>2F4503(A15-B)4253/DR換原絲</t>
  </si>
  <si>
    <t>FP-82633</t>
  </si>
  <si>
    <t>2F4511(A12-B)4111換原絲</t>
  </si>
  <si>
    <t>114.1.7</t>
  </si>
  <si>
    <t>2F4521(A16)4111換原絲/DR</t>
  </si>
  <si>
    <t>114.1.8</t>
  </si>
  <si>
    <t>2F4532(A08-B)4442換原絲</t>
  </si>
  <si>
    <t>FP-82728</t>
  </si>
  <si>
    <t>2F4541(A24A)3YQ1(桔色紗)換原絲/DR..</t>
  </si>
  <si>
    <t>240/240/160</t>
  </si>
  <si>
    <t>FP-61335R*2</t>
  </si>
  <si>
    <t>2F4551(24-B)4361換原絲/DR…</t>
  </si>
  <si>
    <t>FP-61124R*2</t>
  </si>
  <si>
    <t>2F4561(S1)4071換原絲</t>
  </si>
  <si>
    <t>FP-61333R*2</t>
  </si>
  <si>
    <t>114.1.13</t>
  </si>
  <si>
    <t>2F4571(A24A)4541(桔色紗)換原絲/DR..</t>
  </si>
  <si>
    <t>250/250/160</t>
  </si>
  <si>
    <t>FP-61458R*2</t>
  </si>
  <si>
    <t>114.1.17</t>
  </si>
  <si>
    <t>2F4581(A24-B)4551換原絲/DR…</t>
  </si>
  <si>
    <t>FP-61338R*2</t>
  </si>
  <si>
    <t>155↓150-1/20</t>
  </si>
  <si>
    <t>2F4591(S1)4481換原絲</t>
  </si>
  <si>
    <t>FP-61457R*2</t>
  </si>
  <si>
    <t>2F4601(A20)4421換原絲</t>
  </si>
  <si>
    <t>FP-82104R</t>
  </si>
  <si>
    <t>2F4611(A23-B)3XW1換原絲/DR</t>
  </si>
  <si>
    <t>2F4621(A12-B)4391/機型升速/DR</t>
  </si>
  <si>
    <t>353/313/150</t>
  </si>
  <si>
    <t>114.2.3</t>
  </si>
  <si>
    <t>2F4632(T05-R)4342/換原絲</t>
  </si>
  <si>
    <t>FP-81280R*2</t>
  </si>
  <si>
    <t>2F4641(S1)4561換原絲</t>
  </si>
  <si>
    <t>FP-61337R*2</t>
  </si>
  <si>
    <t>2F4651(A12-A)4321/換原絲升速</t>
  </si>
  <si>
    <t>2F4662(S1)3IY2機型/DR…</t>
  </si>
  <si>
    <t>2F4673(A16)4503</t>
  </si>
  <si>
    <t>2F4682(T02)4352</t>
  </si>
  <si>
    <t>2F4692(A10-B)4382/DR</t>
  </si>
  <si>
    <t>21.5↑23.5-2/24</t>
  </si>
  <si>
    <t>114.2.18</t>
  </si>
  <si>
    <t>2F4703(A12-A)4223換原絲</t>
  </si>
  <si>
    <t>FP-82105R</t>
  </si>
  <si>
    <t>2F4712(T01)4342/換原絲/DR</t>
  </si>
  <si>
    <t>FP-81286R*2</t>
  </si>
  <si>
    <t>114.2.20</t>
  </si>
  <si>
    <t>2F4722(A08-B)4532換原絲</t>
  </si>
  <si>
    <t>FP-82757R</t>
  </si>
  <si>
    <t>2F4731(A12-A)4621/降速/換原絲</t>
  </si>
  <si>
    <t>FP-82110R</t>
  </si>
  <si>
    <t>2F4742(A09)4292換原絲/DR</t>
  </si>
  <si>
    <t>650↓600-3/14</t>
  </si>
  <si>
    <t>353/313/OFF</t>
  </si>
  <si>
    <t>FP-82107R</t>
  </si>
  <si>
    <t>2F4751(A20)4601換原絲</t>
  </si>
  <si>
    <t>FP-82112R</t>
  </si>
  <si>
    <t>2F4761(A18-A)4461換原絲/DR/規格</t>
  </si>
  <si>
    <t>2F4771(A23-A)4611換原絲</t>
  </si>
  <si>
    <t>2F4781(A16-B)4451/換原絲</t>
  </si>
  <si>
    <t>114.3.4</t>
  </si>
  <si>
    <t>2F4791(T06-R)3LP1(外購紗)</t>
  </si>
  <si>
    <t xml:space="preserve">FP-81277*2            </t>
  </si>
  <si>
    <t>2F4802(T05-R)4182/換原絲/DR</t>
  </si>
  <si>
    <t>FP-81278R*2</t>
  </si>
  <si>
    <t>114.3.10</t>
  </si>
  <si>
    <t>2F4811(A16)4521換原絲/DR</t>
  </si>
  <si>
    <t>114.3.12</t>
  </si>
  <si>
    <t>2F4821(A12-B)4731/換原絲/規格</t>
  </si>
  <si>
    <t>FP-82103R</t>
  </si>
  <si>
    <t>114.3.13</t>
  </si>
  <si>
    <t>2F4833(S1)4673換原絲/DR機型…</t>
  </si>
  <si>
    <t>114.3.19</t>
  </si>
  <si>
    <t>2F4842(A09)4742色差/DR/降速</t>
  </si>
  <si>
    <t>340/300/OFF</t>
  </si>
  <si>
    <t>2F4851(A10)3XX1換原絲/DR</t>
  </si>
  <si>
    <t>FP-82562R</t>
  </si>
  <si>
    <t>2F6001(J09)6AS1換原絲</t>
  </si>
  <si>
    <t>5.5</t>
  </si>
  <si>
    <t>478/438/OFF</t>
  </si>
  <si>
    <t>DH4318*1.7</t>
  </si>
  <si>
    <t>FP-82907R×2                                     FP-82901R×2</t>
  </si>
  <si>
    <t>65±20</t>
  </si>
  <si>
    <t>2F6011(J07)6AG1換原絲/升速</t>
  </si>
  <si>
    <t>140/48/2SDR</t>
  </si>
  <si>
    <t>475/435/OFF</t>
  </si>
  <si>
    <t>DH4318*1.6</t>
  </si>
  <si>
    <t>FP-82946R+82944R</t>
  </si>
  <si>
    <t>240/48SDRD</t>
  </si>
  <si>
    <t>2F6022(T01-L)65K1換原絲-6AJ2-物性</t>
  </si>
  <si>
    <t>200/OFF</t>
  </si>
  <si>
    <t>P227*2.3</t>
  </si>
  <si>
    <t>FP-82915R×2</t>
  </si>
  <si>
    <t>100±20</t>
  </si>
  <si>
    <t>2F6031(J07)6AL1換原絲</t>
  </si>
  <si>
    <t>FP-82901R×2</t>
  </si>
  <si>
    <t>2F6041(T04-L)6031換原絲</t>
  </si>
  <si>
    <t>DH4318*1.8</t>
  </si>
  <si>
    <t>108.2.18</t>
  </si>
  <si>
    <t>2F6051(J07)6031色差</t>
  </si>
  <si>
    <t>108.2.19</t>
  </si>
  <si>
    <t>2F6061(T04-L)6041換原絲</t>
  </si>
  <si>
    <t>FP-62775R×2</t>
  </si>
  <si>
    <t>2F6071(J09)6001換原絲</t>
  </si>
  <si>
    <t>481/441/OFF</t>
  </si>
  <si>
    <t xml:space="preserve">FP-82918R×2                                     FP-82919R×2-108.11.9                    FP-82917R×2-108.9.26                       FP-82959R×2-108.10.15                      FP-82968R×2-109.9.11                                                                                    </t>
  </si>
  <si>
    <t>108.3.19</t>
  </si>
  <si>
    <t>2F6082(J07)62E2換原絲</t>
  </si>
  <si>
    <t>507/467/OFF</t>
  </si>
  <si>
    <t>P227*1.9</t>
  </si>
  <si>
    <t xml:space="preserve">FP-62750R×2                                     </t>
  </si>
  <si>
    <t>2F6092(T03)63M2換原絲</t>
  </si>
  <si>
    <t>FP-62781R×2</t>
  </si>
  <si>
    <t>2F60A1(S2)5F68I1-色紗-灰(換原絲)</t>
  </si>
  <si>
    <t>33.6</t>
  </si>
  <si>
    <t>310/310/190</t>
  </si>
  <si>
    <t>P227*1.5</t>
  </si>
  <si>
    <t>FP-62677×2</t>
  </si>
  <si>
    <t>250/48GY5</t>
  </si>
  <si>
    <t>2F60B1(S1)-6211換原絲</t>
  </si>
  <si>
    <t>150/48/2FBR</t>
  </si>
  <si>
    <t>310/310/180</t>
  </si>
  <si>
    <t>P204*2.1</t>
  </si>
  <si>
    <t>FP-62676R*2</t>
  </si>
  <si>
    <t>108.3.29</t>
  </si>
  <si>
    <t>2F60C3(A12-B)5F67T3-換原絲/機型</t>
  </si>
  <si>
    <t>150/72/2SCCE</t>
  </si>
  <si>
    <t>P227*2.5</t>
  </si>
  <si>
    <t xml:space="preserve">FP-62674×2                  </t>
  </si>
  <si>
    <t>250/72SCCE</t>
  </si>
  <si>
    <t>2F60D1(S2)-68U1換原絲-色紗-岩灰</t>
  </si>
  <si>
    <t>P227*1.6</t>
  </si>
  <si>
    <t>FP-62678×2</t>
  </si>
  <si>
    <t>250/48BG2</t>
  </si>
  <si>
    <t>2F60E1(M04-A)</t>
  </si>
  <si>
    <t>300/96SDR</t>
  </si>
  <si>
    <t>185/160</t>
  </si>
  <si>
    <t>FP-64034R</t>
  </si>
  <si>
    <t>495/96SDR</t>
  </si>
  <si>
    <t>108.4.11</t>
  </si>
  <si>
    <t>2F60F3(J07)6AQ3-換原絲</t>
  </si>
  <si>
    <t>370/355/153</t>
  </si>
  <si>
    <t>DH4318*3.8</t>
  </si>
  <si>
    <t>FP-724597×2</t>
  </si>
  <si>
    <t>2F60G1(S2)-68R1換原絲-色紗-深棕</t>
  </si>
  <si>
    <t>FP-62680×2</t>
  </si>
  <si>
    <t>250/48BG3</t>
  </si>
  <si>
    <t>108.4.16</t>
  </si>
  <si>
    <t>2F60H2(J07-R)-5F68B2換原絲</t>
  </si>
  <si>
    <t>369/354/153</t>
  </si>
  <si>
    <t>P204*2.7</t>
  </si>
  <si>
    <t>108.4.29</t>
  </si>
  <si>
    <t>2F60I1(M06-A)6971換原絲</t>
  </si>
  <si>
    <t>150/48/2KR5</t>
  </si>
  <si>
    <t>P204*1.3</t>
  </si>
  <si>
    <t>FP-62625*2</t>
  </si>
  <si>
    <t>3.3(2.8)</t>
  </si>
  <si>
    <t>2F60J3(S2)6943換原絲</t>
  </si>
  <si>
    <t>300/96CRT</t>
  </si>
  <si>
    <t>320/300/158</t>
  </si>
  <si>
    <t>P204*4.2</t>
  </si>
  <si>
    <t>FP-82700+724594</t>
  </si>
  <si>
    <t>250/48HC+250/48SR6</t>
  </si>
  <si>
    <t>2F60K3(S1)色紗-6823淺灰</t>
  </si>
  <si>
    <t>150/48/2GY21</t>
  </si>
  <si>
    <t>340/340/140</t>
  </si>
  <si>
    <t>P227*2.8</t>
  </si>
  <si>
    <t>FP-62002×2</t>
  </si>
  <si>
    <t>255/48GY21</t>
  </si>
  <si>
    <t>2F60L1(S2)68P2-色紗Z+S</t>
  </si>
  <si>
    <t>300/96MBB3R</t>
  </si>
  <si>
    <t>320/340/160</t>
  </si>
  <si>
    <t xml:space="preserve">FP-62982R(S)+62980R(Z)       </t>
  </si>
  <si>
    <t>255/48BUR36+255/48BUR35</t>
  </si>
  <si>
    <t>2F60M1(S2)68P2-色紗</t>
  </si>
  <si>
    <t>150/48/2BUR33</t>
  </si>
  <si>
    <t>FP-62981R*2</t>
  </si>
  <si>
    <t>255/48BUR33</t>
  </si>
  <si>
    <t>2F60N2(J07)-60H2換原絲</t>
  </si>
  <si>
    <t>374/359/153</t>
  </si>
  <si>
    <t>P204*2.8</t>
  </si>
  <si>
    <t>FP-62003×2</t>
  </si>
  <si>
    <t>2F60P3(J07)60F3-換原絲</t>
  </si>
  <si>
    <t>DH4318*4.0</t>
  </si>
  <si>
    <t>108.5.28</t>
  </si>
  <si>
    <t>2F60Q3(S2)60J3換原絲</t>
  </si>
  <si>
    <t>FP-82701+724595</t>
  </si>
  <si>
    <t>2F60R1(J08-L)60L1-色紗Z+S-</t>
  </si>
  <si>
    <t>300/96MBB1R</t>
  </si>
  <si>
    <t>400/390/155</t>
  </si>
  <si>
    <t xml:space="preserve">FP-62004R+62008R     </t>
  </si>
  <si>
    <t>255/48BUR29+255/48BUR28</t>
  </si>
  <si>
    <t>108.6.10</t>
  </si>
  <si>
    <t>2F60S1(J08-R)60L1-色紗Z+S-</t>
  </si>
  <si>
    <t>2F60T1(J07)5F68E1換原絲</t>
  </si>
  <si>
    <t>375/365/153</t>
  </si>
  <si>
    <t>P204*1.8</t>
  </si>
  <si>
    <t>2F60U1(M06)60I1換原絲</t>
  </si>
  <si>
    <t>FP-62010*2</t>
  </si>
  <si>
    <t>108.6.19</t>
  </si>
  <si>
    <t>2F60V1(A08-B)5F6AF1換原絲</t>
  </si>
  <si>
    <t>P204*1.4</t>
  </si>
  <si>
    <t>3.2(2.8)</t>
  </si>
  <si>
    <t>80±20</t>
  </si>
  <si>
    <t>2F60W1(S2)60A1-色紗-灰(換原絲)</t>
  </si>
  <si>
    <t>FP-62011×2</t>
  </si>
  <si>
    <t>2F60X1(S2)60M1-色紗</t>
  </si>
  <si>
    <t>150/48/2BU38</t>
  </si>
  <si>
    <t>FP-62988*2</t>
  </si>
  <si>
    <t>255/48BU38</t>
  </si>
  <si>
    <t>108.6.26</t>
  </si>
  <si>
    <t>2F60Y3(A08-B)6873色紗-深棕</t>
  </si>
  <si>
    <t>150/144/2BK26</t>
  </si>
  <si>
    <t>350/350/149</t>
  </si>
  <si>
    <t>P227*1.7</t>
  </si>
  <si>
    <t>FP-62014×2</t>
  </si>
  <si>
    <t>250/144BK26</t>
  </si>
  <si>
    <t>2F60Z3(S2)6913色紗-棕</t>
  </si>
  <si>
    <t>150/144/2BE5</t>
  </si>
  <si>
    <t>FP-62990×2</t>
  </si>
  <si>
    <t>255/144BE5</t>
  </si>
  <si>
    <t>2F61A1(M06)5F6W01-DR/降速/68N1物性</t>
  </si>
  <si>
    <t>150/36/2BK</t>
  </si>
  <si>
    <t>190/179</t>
  </si>
  <si>
    <t>P204/1.8</t>
  </si>
  <si>
    <t>FP-72450×2</t>
  </si>
  <si>
    <t>2F61B3(S2)色紗-米色-6833換原絲</t>
  </si>
  <si>
    <t>150/144/2GY22</t>
  </si>
  <si>
    <t>342/342/140</t>
  </si>
  <si>
    <t>FP-62991×2</t>
  </si>
  <si>
    <t>250/144GY22</t>
  </si>
  <si>
    <t>2F61C3(J08)6853換原絲</t>
  </si>
  <si>
    <t>150/36/2OD</t>
  </si>
  <si>
    <t>452/422/OFF</t>
  </si>
  <si>
    <t>P227*3.1</t>
  </si>
  <si>
    <t>FP-82909R×2</t>
  </si>
  <si>
    <t>245/36ODRD</t>
  </si>
  <si>
    <t>108.7.10</t>
  </si>
  <si>
    <t>2F61D2(A08)6802換原絲/機型/升速</t>
  </si>
  <si>
    <t>150/48/2BK</t>
  </si>
  <si>
    <t>342/342/160</t>
  </si>
  <si>
    <t>P204*2.4</t>
  </si>
  <si>
    <t>FP-62675×2</t>
  </si>
  <si>
    <t>108.7.12</t>
  </si>
  <si>
    <t>2F61E3(S1)60Z3深咖啡色紗</t>
  </si>
  <si>
    <t>150/144/2BN16</t>
  </si>
  <si>
    <t>FP-62992×2</t>
  </si>
  <si>
    <t>250/144BN16</t>
  </si>
  <si>
    <t>2F61F3(J07)60P3-換原絲</t>
  </si>
  <si>
    <t>FP-62017×2</t>
  </si>
  <si>
    <t>2F61G1(J07)60T1換原絲</t>
  </si>
  <si>
    <t>2F61I1(M06)60U1換原絲</t>
  </si>
  <si>
    <t>FP-62021*2</t>
  </si>
  <si>
    <t>108.8.3</t>
  </si>
  <si>
    <t>2F61J3(J08)5F68M3換原絲</t>
  </si>
  <si>
    <t>150/48/2FB</t>
  </si>
  <si>
    <t>428/408/160</t>
  </si>
  <si>
    <t>DH4318*4.2</t>
  </si>
  <si>
    <t>FP-62009*2</t>
  </si>
  <si>
    <t>2F61K2(J07)5F6AJ2換原絲/DR</t>
  </si>
  <si>
    <t>485/445/OFF</t>
  </si>
  <si>
    <t>P227*1.8</t>
  </si>
  <si>
    <t>FP-62778R×2</t>
  </si>
  <si>
    <t>2F61L1(S1)-60D1換原絲-色紗-岩灰</t>
  </si>
  <si>
    <t>FP-62024×2</t>
  </si>
  <si>
    <t>2F61M2(M06)6802換原絲</t>
  </si>
  <si>
    <t>FP-62023×2</t>
  </si>
  <si>
    <t>2F61N1(J08)5F68S1-換JET/改溫度</t>
  </si>
  <si>
    <t>150/48/2HC</t>
  </si>
  <si>
    <t>360/375/OFF</t>
  </si>
  <si>
    <t>P204*1.5</t>
  </si>
  <si>
    <t xml:space="preserve">FP-82704×2                  </t>
  </si>
  <si>
    <t>108.9.5</t>
  </si>
  <si>
    <t>2F61P1(S1)-60G1換原絲-色紗-深棕</t>
  </si>
  <si>
    <t>FP-62025×2</t>
  </si>
  <si>
    <t>2F61Q3(J07)61F3-換原絲</t>
  </si>
  <si>
    <t>FP-62029+62035</t>
  </si>
  <si>
    <t>2F61R1(T01-R)6061換原絲</t>
  </si>
  <si>
    <t>FP-62664R×2</t>
  </si>
  <si>
    <t>108.9.20</t>
  </si>
  <si>
    <t>2F61S2(M06)-5F6AR2-換原絲-機型/降速</t>
  </si>
  <si>
    <t>150/48/2FBKR</t>
  </si>
  <si>
    <t>P204*2.3</t>
  </si>
  <si>
    <t>FP-62015R×2</t>
  </si>
  <si>
    <t>2F61T1(M06)61I1換原絲</t>
  </si>
  <si>
    <t>500↓450</t>
  </si>
  <si>
    <t>152/OFF</t>
  </si>
  <si>
    <t>FP-62037*2</t>
  </si>
  <si>
    <t>3.1(2.8)</t>
  </si>
  <si>
    <t>108.10.14</t>
  </si>
  <si>
    <t>2F61U3(S2)60Z3色紗-棕-色差</t>
  </si>
  <si>
    <t>108.10.17</t>
  </si>
  <si>
    <t>2F61V3(S2)色紗-60K3換原絲/DR</t>
  </si>
  <si>
    <t>150/48/2GY26</t>
  </si>
  <si>
    <t>FP-62926×2</t>
  </si>
  <si>
    <t>255/48GY26</t>
  </si>
  <si>
    <t>2F61W1(J07)61G1換原絲/DR</t>
  </si>
  <si>
    <t>FP-62035×2</t>
  </si>
  <si>
    <t>2F61X3(S2)色紗-61V3換原絲/DR</t>
  </si>
  <si>
    <t>150/48/2GY28</t>
  </si>
  <si>
    <t>P227*3.2</t>
  </si>
  <si>
    <t>FP-62927×2</t>
  </si>
  <si>
    <t>255/48GY28</t>
  </si>
  <si>
    <t>2F61Y2(S1)</t>
  </si>
  <si>
    <t>150/48/2SDRO</t>
  </si>
  <si>
    <t>360/330/OFF</t>
  </si>
  <si>
    <t>FP-82960R×2</t>
  </si>
  <si>
    <t>2F63V2(S1)61Y2換原絲/換JET</t>
  </si>
  <si>
    <t>P204*2.2</t>
  </si>
  <si>
    <t>FP-82974R×2</t>
  </si>
  <si>
    <t>2F61Z1(J07)61N1-換原絲/改DR</t>
  </si>
  <si>
    <t xml:space="preserve">FP-82700×2                  </t>
  </si>
  <si>
    <t>108.10.31</t>
  </si>
  <si>
    <t>2F6201(S2)-66B1換原絲</t>
  </si>
  <si>
    <t>FP-62666R*2</t>
  </si>
  <si>
    <t>2F6211(S1)-6201色差</t>
  </si>
  <si>
    <t>2F6221(S2)</t>
  </si>
  <si>
    <t>310/310/175</t>
  </si>
  <si>
    <t>P204*1.6</t>
  </si>
  <si>
    <t>FP-62061R*2</t>
  </si>
  <si>
    <t>109.9.26</t>
  </si>
  <si>
    <t>2F62A3(S2)色紗</t>
  </si>
  <si>
    <t>150/144/2BK28</t>
  </si>
  <si>
    <t>FP-62928×2</t>
  </si>
  <si>
    <t>255/144BK28</t>
  </si>
  <si>
    <t>108.10.30</t>
  </si>
  <si>
    <t>2F62B2(J07)92W2-換原絲/改DR</t>
  </si>
  <si>
    <t>150/48/2CDR</t>
  </si>
  <si>
    <t>345/360/OFF</t>
  </si>
  <si>
    <t xml:space="preserve">FP-62043R×2                  </t>
  </si>
  <si>
    <t>108.11.7</t>
  </si>
  <si>
    <t>2F62C3(S1)61E3深咖啡色紗-色差</t>
  </si>
  <si>
    <t>2F62D3(S1)色紗-61B3色差</t>
  </si>
  <si>
    <t>2F62E2(J08)61K2換原絲</t>
  </si>
  <si>
    <t>550↑600</t>
  </si>
  <si>
    <t>2.5(S)/5.5</t>
  </si>
  <si>
    <t>495/455/OFF</t>
  </si>
  <si>
    <t>FP-62783R×2                                     FP-62781R×2</t>
  </si>
  <si>
    <t>△E&lt;0.8</t>
  </si>
  <si>
    <t>2F62F3(J07)61Q3-換原絲</t>
  </si>
  <si>
    <t>FP-62045*2</t>
  </si>
  <si>
    <t>2F62H1(T04-R)5F64I1換原絲</t>
  </si>
  <si>
    <t>190/168</t>
  </si>
  <si>
    <t>FP-62026R*2</t>
  </si>
  <si>
    <t>2F62I3(S1-11.12)6883換原絲-色紗</t>
  </si>
  <si>
    <t>150/48/2BBG24</t>
  </si>
  <si>
    <t>FP-62934×2</t>
  </si>
  <si>
    <t>260/48GY24</t>
  </si>
  <si>
    <t>2F62K2(M06)-5F67B2-Z+Z換原絲/機型</t>
  </si>
  <si>
    <t>173/160</t>
  </si>
  <si>
    <t>P204*2.5</t>
  </si>
  <si>
    <t>FP-62044R×2</t>
  </si>
  <si>
    <t>7(6.7)</t>
  </si>
  <si>
    <t>109.1.7</t>
  </si>
  <si>
    <t>2F62L1(S1)6991-灰色紗-(換新原絲)</t>
  </si>
  <si>
    <t>150/48/2GYR19</t>
  </si>
  <si>
    <t>360/360/150</t>
  </si>
  <si>
    <t>P203*0.5</t>
  </si>
  <si>
    <t>FP-62978R×2</t>
  </si>
  <si>
    <t>255/48GYR19</t>
  </si>
  <si>
    <t>2F62M2(T03-R)61Y2-換原絲/升速/機型</t>
  </si>
  <si>
    <t>2F62N3(S1)6863色紗-米黃色/換原絲</t>
  </si>
  <si>
    <t>150/48/2BE4</t>
  </si>
  <si>
    <t>P227*2.9</t>
  </si>
  <si>
    <t>FP-62935×2</t>
  </si>
  <si>
    <t>250/48BE4</t>
  </si>
  <si>
    <t>2F62P2(T03-R)62B2</t>
  </si>
  <si>
    <t>P227*2.1</t>
  </si>
  <si>
    <t xml:space="preserve">FP-62501R×2                  </t>
  </si>
  <si>
    <t>2F62Q1(S2)60W1-色紗-灰(換原絲)</t>
  </si>
  <si>
    <t>FP-62049×2</t>
  </si>
  <si>
    <t>2F62R3(S1)61U3色紗-棕-色差/DR</t>
  </si>
  <si>
    <t>2F62S3(S1)色紗-61V3色差/DR</t>
  </si>
  <si>
    <t>2F62T3(T03-R)6953-換原絲</t>
  </si>
  <si>
    <t>DH4318*3.9</t>
  </si>
  <si>
    <t>FP-62047×2</t>
  </si>
  <si>
    <t>2F62U1(M06)6921換原絲</t>
  </si>
  <si>
    <t>650↓550</t>
  </si>
  <si>
    <t>185/188</t>
  </si>
  <si>
    <t>FP-62023*2</t>
  </si>
  <si>
    <t>2F62V3(S1-12)62N3色紗-米黃色/色差</t>
  </si>
  <si>
    <t>260/48BE4</t>
  </si>
  <si>
    <t>109.2.11</t>
  </si>
  <si>
    <t>2F62W3(S2)60Q3換原絲</t>
  </si>
  <si>
    <t>FP-82700+62047</t>
  </si>
  <si>
    <t>2F62X3(S1)色紗-62D3色差</t>
  </si>
  <si>
    <t>2F62Y1(S2)62L1-灰色紗/換原絲</t>
  </si>
  <si>
    <t>FP-62054R×2</t>
  </si>
  <si>
    <t>2F62Z3(S1)深咖啡色紗</t>
  </si>
  <si>
    <t>2F63A1(T04-R)6981-換JET/錠片數</t>
  </si>
  <si>
    <t>P204*1.75</t>
  </si>
  <si>
    <t>2F63B1(S2)62Q1-色紗-灰(換原絲)</t>
  </si>
  <si>
    <t>FP-62057×2</t>
  </si>
  <si>
    <t>2F63C1(M06)61T1換原絲/DR</t>
  </si>
  <si>
    <t>P204*1.2</t>
  </si>
  <si>
    <t>FP-62037+62056</t>
  </si>
  <si>
    <t>2F63D3(S1)62A3色紗色差</t>
  </si>
  <si>
    <t>2F63E2(A19-B)</t>
  </si>
  <si>
    <t>FP-82957R×2</t>
  </si>
  <si>
    <t>2F63F3(S2)色紗</t>
  </si>
  <si>
    <t>FP-62968×2</t>
  </si>
  <si>
    <t>2F63G3(S1)色紗-61X3/改紗重</t>
  </si>
  <si>
    <t>2F63H1(S2)-60B1換原絲/DR/AP壓力</t>
  </si>
  <si>
    <t>109.4.2</t>
  </si>
  <si>
    <t>2F63I2(T03-L)-6842換原絲降速</t>
  </si>
  <si>
    <t xml:space="preserve">FP-62063×2                                      </t>
  </si>
  <si>
    <t>2F63J1(T02-L)63A1-換JET/DR/換原絲</t>
  </si>
  <si>
    <t xml:space="preserve">FP-62593×2                  </t>
  </si>
  <si>
    <t>2F63K1(M06)61A1-換原絲</t>
  </si>
  <si>
    <t>193/175</t>
  </si>
  <si>
    <t>FP-62062×2</t>
  </si>
  <si>
    <t>109.4.13</t>
  </si>
  <si>
    <t>2F63L1(S1)62Y1色紗-換原絲</t>
  </si>
  <si>
    <t>109.4.14</t>
  </si>
  <si>
    <t>2F63M2(T01)6022/62E2換原絲</t>
  </si>
  <si>
    <t>FP-82900R×2</t>
  </si>
  <si>
    <t>2F63N1(T02-L)63A1-換JET</t>
  </si>
  <si>
    <t>2F63P3(T03)5F6L33-換原絲/機型/升速</t>
  </si>
  <si>
    <t>150/48/2OD</t>
  </si>
  <si>
    <t>197/OFF</t>
  </si>
  <si>
    <t>FP-721469*2</t>
  </si>
  <si>
    <t>245/48OD</t>
  </si>
  <si>
    <t>109.4.27</t>
  </si>
  <si>
    <t>2F63Q1(M06)62U1換原絲</t>
  </si>
  <si>
    <t>187/185</t>
  </si>
  <si>
    <t>FP-62060/62023</t>
  </si>
  <si>
    <t>2F63R3(T04-R)5F6L33-換原絲/機型/升速</t>
  </si>
  <si>
    <t>150/48/2ODR</t>
  </si>
  <si>
    <t>DH4318*3.6</t>
  </si>
  <si>
    <t>FP-62763R*2</t>
  </si>
  <si>
    <t>109.4.22</t>
  </si>
  <si>
    <t>2F63S2(M08)62K2-Z+Z換原絲</t>
  </si>
  <si>
    <t>FP-62065R×2</t>
  </si>
  <si>
    <t>7(6.2)</t>
  </si>
  <si>
    <t>2F63T3(S1)62Z3深咖啡色紗</t>
  </si>
  <si>
    <t>2F63U1(S2)-61L1換原絲-色紗-岩灰</t>
  </si>
  <si>
    <t>2.0(S)/4.0</t>
  </si>
  <si>
    <t>FP-62070×2</t>
  </si>
  <si>
    <t>2F63W1(J09)5F68S1-改DR</t>
  </si>
  <si>
    <t>2F63X3(J09)5F68G3換原絲/DR(62W3-物性)</t>
  </si>
  <si>
    <t>355/370/160</t>
  </si>
  <si>
    <t>P204*3.2</t>
  </si>
  <si>
    <t>FP-82700+62069</t>
  </si>
  <si>
    <t>2F63Y1(S2)-61P1換原絲-色紗-深棕</t>
  </si>
  <si>
    <t>FP-62071×2</t>
  </si>
  <si>
    <t>2F63Z1(S2)63B1-色紗-灰(換原絲)</t>
  </si>
  <si>
    <t>2.0(S)/4</t>
  </si>
  <si>
    <t>FP-62075×2</t>
  </si>
  <si>
    <t>2F6411(J08)6071換原絲</t>
  </si>
  <si>
    <t>FP-62073R+62058R</t>
  </si>
  <si>
    <t>2F6421(J08-L)6411換原絲</t>
  </si>
  <si>
    <t>FP-62073R*2</t>
  </si>
  <si>
    <t>109.6.17</t>
  </si>
  <si>
    <t>2F6431(J07)6421換原絲(物性LIKE-K602)</t>
  </si>
  <si>
    <t>445/405/OFF</t>
  </si>
  <si>
    <t>DH4318*1.5</t>
  </si>
  <si>
    <t>FP-62750R*2</t>
  </si>
  <si>
    <t>2F6441(J07)6421換原絲</t>
  </si>
  <si>
    <t>FP-82917R*2</t>
  </si>
  <si>
    <t>2F6452(J07)6082換線別</t>
  </si>
  <si>
    <t>2F6461(J08)6441色差</t>
  </si>
  <si>
    <t>1.5(1.3)</t>
  </si>
  <si>
    <t>2F6471(J07)6431色差</t>
  </si>
  <si>
    <t>2F6481(J07-R)6471換原絲</t>
  </si>
  <si>
    <t>FP-62755R*2                                       FP-62757R*2(109.9.21)</t>
  </si>
  <si>
    <t>2F6491(J08-L)6461換原絲</t>
  </si>
  <si>
    <t>FP-82905R*2</t>
  </si>
  <si>
    <t>2F64A1(S1)-63U1換原絲-色紗-岩灰</t>
  </si>
  <si>
    <t>FP-62074×2</t>
  </si>
  <si>
    <t>2F64B2(M06)-61S2-換原絲</t>
  </si>
  <si>
    <t>P204*2.0</t>
  </si>
  <si>
    <t>FP-62065R/62044R</t>
  </si>
  <si>
    <t>109.6.24</t>
  </si>
  <si>
    <t>2F64C1(S1)-5F6AB1換原絲/DR-色紗-棕</t>
  </si>
  <si>
    <t>150/48/2BG</t>
  </si>
  <si>
    <t>300/300/190</t>
  </si>
  <si>
    <t>FP-62077×2</t>
  </si>
  <si>
    <t>255/48BG</t>
  </si>
  <si>
    <t>2F64D1(S2)63Z1-色紗-灰(換原絲)</t>
  </si>
  <si>
    <t>FP-62076×2</t>
  </si>
  <si>
    <t>2F64E1(M06)63Q1換原絲</t>
  </si>
  <si>
    <t>189/185</t>
  </si>
  <si>
    <t>FP-72751*2</t>
  </si>
  <si>
    <t>2F64F3(J08)62F3-換原絲</t>
  </si>
  <si>
    <t>362/347/153</t>
  </si>
  <si>
    <t>FP-62069*2</t>
  </si>
  <si>
    <t>109.7.15</t>
  </si>
  <si>
    <t>2F64G1(S1)64D1-色紗-灰(機台別/DR)</t>
  </si>
  <si>
    <t>2F64H1(M06-A)63K1-換原絲</t>
  </si>
  <si>
    <t>FP-72752×2</t>
  </si>
  <si>
    <t>2F64I2(J08)5F68Z2-換原絲/DR</t>
  </si>
  <si>
    <t>FP-82952R×2</t>
  </si>
  <si>
    <t>2F64J2(J09)62B2-換原絲</t>
  </si>
  <si>
    <t>352/367/OFF</t>
  </si>
  <si>
    <t xml:space="preserve">FP-62080R×2                  </t>
  </si>
  <si>
    <t>2F64K3(J09-L)64L3換原絲/DR</t>
  </si>
  <si>
    <t>150/48/2BN22</t>
  </si>
  <si>
    <t>420/400/150</t>
  </si>
  <si>
    <t xml:space="preserve">FP-62957×2                  </t>
  </si>
  <si>
    <t>255/48BN22</t>
  </si>
  <si>
    <t>2F64L3(J08)</t>
  </si>
  <si>
    <t>150/48/2BK13</t>
  </si>
  <si>
    <t xml:space="preserve">FP-62083×2                  </t>
  </si>
  <si>
    <t>260/48BK13</t>
  </si>
  <si>
    <t>2F64L6(S1)64L3(異常紗)</t>
  </si>
  <si>
    <t xml:space="preserve">FP-62083×2  (異常紗)                                </t>
  </si>
  <si>
    <t>2F64M1(S2)64D1-色紗-灰(換原絲)/DR</t>
  </si>
  <si>
    <t>FP-62081×2</t>
  </si>
  <si>
    <t>2F64N3(J08-L)64L3換原絲</t>
  </si>
  <si>
    <t xml:space="preserve">FP-62084×2                  </t>
  </si>
  <si>
    <t>260/48BK14</t>
  </si>
  <si>
    <t>109.8.4</t>
  </si>
  <si>
    <t>2F64N9(S1)64N3換原絲(異常紗)</t>
  </si>
  <si>
    <t xml:space="preserve">FP-62084×2 (異常紗)                </t>
  </si>
  <si>
    <t>2F64P3(S1)色紗</t>
  </si>
  <si>
    <t>150/144/2BN24</t>
  </si>
  <si>
    <t>FP-62959×2</t>
  </si>
  <si>
    <t>255/144BN24</t>
  </si>
  <si>
    <t>2F64Q3(J09-R)64L3換原絲/DR</t>
  </si>
  <si>
    <t>150/48/2BN23</t>
  </si>
  <si>
    <t xml:space="preserve">FP-62958×2                  </t>
  </si>
  <si>
    <t>255/48BN23</t>
  </si>
  <si>
    <t xml:space="preserve">                                                    </t>
  </si>
  <si>
    <t>2F64R1(S1)-63Y1換原絲-色紗-深棕</t>
  </si>
  <si>
    <t>FP-62086×2</t>
  </si>
  <si>
    <t>2F64S3(J08-R)64N3換原絲</t>
  </si>
  <si>
    <t>150/48/2BK16</t>
  </si>
  <si>
    <t xml:space="preserve">FP-62088×2                  </t>
  </si>
  <si>
    <t>260/48BK16</t>
  </si>
  <si>
    <t>2F64S6(S1)64S3換原絲(異常紗)</t>
  </si>
  <si>
    <t xml:space="preserve">FP-62088×2 (異常紗)                </t>
  </si>
  <si>
    <t>2F64T1(J08)60R1-色紗Z+S-</t>
  </si>
  <si>
    <t>P227*1.4</t>
  </si>
  <si>
    <t xml:space="preserve">FP-62087R+62554R   </t>
  </si>
  <si>
    <t>2F64U1(M06)63C1換原絲</t>
  </si>
  <si>
    <t>2F64V1(J08-L)60R1-色紗Z+S-</t>
  </si>
  <si>
    <t xml:space="preserve">FP-62087R+62651    </t>
  </si>
  <si>
    <t>255/48BUR29+255/48BU28</t>
  </si>
  <si>
    <t>2F64W1(T03-L)63N1-換原絲/DR</t>
  </si>
  <si>
    <t>P227*1.75</t>
  </si>
  <si>
    <t>2F64Y3(S1)64P3色紗</t>
  </si>
  <si>
    <t>150/144/2BK17</t>
  </si>
  <si>
    <t>FP-62960×2</t>
  </si>
  <si>
    <t>255/144BK17</t>
  </si>
  <si>
    <t>2F64Z1(J08)64T1-色紗-換原絲</t>
  </si>
  <si>
    <t xml:space="preserve">FP-62087R+62090R   </t>
  </si>
  <si>
    <t>2F6501(J08)6491換原絲</t>
  </si>
  <si>
    <t>FP-82918R*2</t>
  </si>
  <si>
    <t>2F6511(J08)6531換原絲</t>
  </si>
  <si>
    <t>FP-82970R*2</t>
  </si>
  <si>
    <t>2F6522(J07)6452換原絲</t>
  </si>
  <si>
    <t>504/464/OFF</t>
  </si>
  <si>
    <t xml:space="preserve">FP-62757R×2                                     </t>
  </si>
  <si>
    <t>2F6531(J08)6501換原絲</t>
  </si>
  <si>
    <t>2F6542(J07)6522換原絲</t>
  </si>
  <si>
    <t xml:space="preserve">FP-62755R×2                                     </t>
  </si>
  <si>
    <t>109.10.22</t>
  </si>
  <si>
    <t>2F6552(J07-R)6542換原絲/DR</t>
  </si>
  <si>
    <t xml:space="preserve">FP-62115R×2                                     </t>
  </si>
  <si>
    <t>2F6561(J08)6481換原絲</t>
  </si>
  <si>
    <t xml:space="preserve">FP-62755R*2                                       </t>
  </si>
  <si>
    <t>2F6571(J08)6561換原絲/DR</t>
  </si>
  <si>
    <t>440/400/OFF</t>
  </si>
  <si>
    <t xml:space="preserve">FP-82920R*2                                       </t>
  </si>
  <si>
    <t>2F6581(J08)6571換原絲</t>
  </si>
  <si>
    <t xml:space="preserve">FP-62757R*2                                       </t>
  </si>
  <si>
    <t>2F6591(T03-L)61R1換原絲</t>
  </si>
  <si>
    <t>FP-82000R×2</t>
  </si>
  <si>
    <t>2F65A1(S2)-64C1換原絲/色紗-棕</t>
  </si>
  <si>
    <t>FP-62091×2</t>
  </si>
  <si>
    <t>2F65B1(S2)-64A1換原絲-色紗-岩灰</t>
  </si>
  <si>
    <t>FP-62094×2</t>
  </si>
  <si>
    <t>1.6(1.5)</t>
  </si>
  <si>
    <t>2F65C1(M06)64H1-換原絲</t>
  </si>
  <si>
    <t>32.4</t>
  </si>
  <si>
    <t>FP-62096×2</t>
  </si>
  <si>
    <t>2F65D2(T01-L)62M2-換原絲</t>
  </si>
  <si>
    <t>196/OFF</t>
  </si>
  <si>
    <t>2F65E3(J09)61C3換原絲</t>
  </si>
  <si>
    <t>455/425/OFF</t>
  </si>
  <si>
    <t>FP-82906R×2</t>
  </si>
  <si>
    <t>2F65F2(A08-B)-5F68W2-換原絲</t>
  </si>
  <si>
    <t>FP-62093R×2</t>
  </si>
  <si>
    <t>2F65G2(J09)-60N2換原絲/升速</t>
  </si>
  <si>
    <t>385/370/153</t>
  </si>
  <si>
    <t>P204*3.0</t>
  </si>
  <si>
    <t>FP-62069×2</t>
  </si>
  <si>
    <t>2F65H2(A08-B)-5F67B2-Z+Z換原絲</t>
  </si>
  <si>
    <t>330/330/160</t>
  </si>
  <si>
    <t>7(6.4)</t>
  </si>
  <si>
    <t>2F65I1(S1)-65A1換原絲/色紗-棕</t>
  </si>
  <si>
    <t>FP-62100×2</t>
  </si>
  <si>
    <t>2F65J3(T01-R)63P3-換原絲/降速</t>
  </si>
  <si>
    <t>2F65K3(S2)</t>
  </si>
  <si>
    <t>300/96CRS6</t>
  </si>
  <si>
    <t>340/320/140</t>
  </si>
  <si>
    <t>FP-62082+62089</t>
  </si>
  <si>
    <t>250/48CR+250/48SR6</t>
  </si>
  <si>
    <t>3.0(2.8)</t>
  </si>
  <si>
    <t>109.10.26</t>
  </si>
  <si>
    <t>2F65L1(M06)64E1色差</t>
  </si>
  <si>
    <t>109.10.28</t>
  </si>
  <si>
    <t>2F65M1(T04-L)6931換原絲/DR</t>
  </si>
  <si>
    <t>FP-62089×2</t>
  </si>
  <si>
    <t>2F65N2(A08-A)-65H2-Z+Z換原絲</t>
  </si>
  <si>
    <t>FP-62104R×2</t>
  </si>
  <si>
    <t>7(6.6)</t>
  </si>
  <si>
    <t>2F65P2(A08-B)-65F2-換原絲</t>
  </si>
  <si>
    <t>2F65Q3(T04-L)62T3-換原絲</t>
  </si>
  <si>
    <t>2F65R1(A08-B)5F68N1換原絲</t>
  </si>
  <si>
    <t>340/340/148</t>
  </si>
  <si>
    <t>2F65S2(T04-R)65D2-換原絲</t>
  </si>
  <si>
    <t>FP-82801R×2</t>
  </si>
  <si>
    <t>2F65T3(J08)5F6L33換原絲</t>
  </si>
  <si>
    <t>480/450/OFF</t>
  </si>
  <si>
    <t>DH4318*3.3</t>
  </si>
  <si>
    <t>FP-72148*2</t>
  </si>
  <si>
    <t>2F65U1(A08-B)65R1換原絲</t>
  </si>
  <si>
    <t>FP-62112×2</t>
  </si>
  <si>
    <t>2F65V2(J08)64J2-換原絲改O</t>
  </si>
  <si>
    <t>150/48/2CDRO</t>
  </si>
  <si>
    <t xml:space="preserve">FP-62114R×2                  </t>
  </si>
  <si>
    <t>2F65W1(S1)-63Y1換原絲-色紗-深棕</t>
  </si>
  <si>
    <t>FP-62116×2</t>
  </si>
  <si>
    <t>2F65X1(A08-B)60V1換原絲/DR</t>
  </si>
  <si>
    <t>FP-62085*2</t>
  </si>
  <si>
    <t>110.1.19</t>
  </si>
  <si>
    <t>2F65Y2(J08)65V2-換原絲</t>
  </si>
  <si>
    <t xml:space="preserve">FP-62119R×2                  </t>
  </si>
  <si>
    <t>110.1.21</t>
  </si>
  <si>
    <t>2F65Z2(J08)65Y2-換原絲</t>
  </si>
  <si>
    <t>110.1.24</t>
  </si>
  <si>
    <t>2F66A3(T04-L)6813換原絲/DR/降速</t>
  </si>
  <si>
    <t>178/155</t>
  </si>
  <si>
    <t>A2566*2</t>
  </si>
  <si>
    <t>2F66B3(J08)65E3換原絲</t>
  </si>
  <si>
    <t>FP-82004R×2</t>
  </si>
  <si>
    <t>245/36ODR</t>
  </si>
  <si>
    <t>2F66C1(T04-L)62H1換原絲</t>
  </si>
  <si>
    <t>2F66D1(T04-R)62H1換原絲</t>
  </si>
  <si>
    <t>FP-62121R*2</t>
  </si>
  <si>
    <t>2F66E1(S1)-64A1換原絲-色紗-岩灰</t>
  </si>
  <si>
    <t>FP-62117×2</t>
  </si>
  <si>
    <t>2F66F1(A20-B)9W21換原絲/DR</t>
  </si>
  <si>
    <t>150/48/2BSD</t>
  </si>
  <si>
    <t>FP-62120*2</t>
  </si>
  <si>
    <t>2F66G3(S2)65K3</t>
  </si>
  <si>
    <t>FP-62082+62069</t>
  </si>
  <si>
    <t>110.2.3</t>
  </si>
  <si>
    <t>2F66H2(J09)64I2-換原絲</t>
  </si>
  <si>
    <t>FP-82802R×2</t>
  </si>
  <si>
    <t>2F66I1(J09-R)63W1-換原絲</t>
  </si>
  <si>
    <t xml:space="preserve">FP-62124×2                  </t>
  </si>
  <si>
    <t>2F66J1(S1)64D1-色紗-灰(換原絲)/DR</t>
  </si>
  <si>
    <t>FP-62129×2</t>
  </si>
  <si>
    <t>2F66K1(J09)63W1-換原絲</t>
  </si>
  <si>
    <t>P204*1.7</t>
  </si>
  <si>
    <t xml:space="preserve">FP-62125×2                  </t>
  </si>
  <si>
    <t>2F66L3(S2)66G3換原絲/DR</t>
  </si>
  <si>
    <t>P227*3.0</t>
  </si>
  <si>
    <t>FP-62130+62128</t>
  </si>
  <si>
    <t>2F66M1(S2)-66E1換原絲/DR-色紗-岩灰</t>
  </si>
  <si>
    <t>FP-62118×2</t>
  </si>
  <si>
    <t>2F66N2(J08)-65G2換原絲/DR</t>
  </si>
  <si>
    <t>390/375/150</t>
  </si>
  <si>
    <t>FP-62128×2</t>
  </si>
  <si>
    <t>2F66P1(T04-L)</t>
  </si>
  <si>
    <t>150/48/2SD</t>
  </si>
  <si>
    <t>190/160</t>
  </si>
  <si>
    <t>P227*1.3</t>
  </si>
  <si>
    <t xml:space="preserve">FP-72364×2                                      </t>
  </si>
  <si>
    <t>2F66Q3(T04-L)</t>
  </si>
  <si>
    <t>P227*3.3</t>
  </si>
  <si>
    <t>2F66R1(S2)-65I1換原絲/色紗-棕</t>
  </si>
  <si>
    <t>FP-62132×2</t>
  </si>
  <si>
    <t>110.3.19</t>
  </si>
  <si>
    <t>2F66S3(S1)62I3換原絲/重量-色紗</t>
  </si>
  <si>
    <t>FP-62964×2</t>
  </si>
  <si>
    <t>110.3.22</t>
  </si>
  <si>
    <t>2F66T1(S2)-66M1換原絲-色紗-岩灰</t>
  </si>
  <si>
    <t>FP-62135×2</t>
  </si>
  <si>
    <t>2F66U2(T04-L)5F6AH2換原絲/機型/DR</t>
  </si>
  <si>
    <t>FP-72364*2</t>
  </si>
  <si>
    <t>110.3.23</t>
  </si>
  <si>
    <t>2F66V1(T04-R)6B31機型/升速</t>
  </si>
  <si>
    <t>165/165</t>
  </si>
  <si>
    <t>FP-82000R*2</t>
  </si>
  <si>
    <t>110.3.25</t>
  </si>
  <si>
    <t>2F66W1(J09)66K1-色差</t>
  </si>
  <si>
    <t>350/365/OFF</t>
  </si>
  <si>
    <t>2F66X2(S2)61Y2換原絲</t>
  </si>
  <si>
    <t>2F66Y1(S1)-65W1換原絲-色紗-深棕</t>
  </si>
  <si>
    <t>FP-62136×2</t>
  </si>
  <si>
    <t>2F66Z3(S1)色紗-66F3換原絲/改重量</t>
  </si>
  <si>
    <t>FP-62907×2</t>
  </si>
  <si>
    <t>110.4.9</t>
  </si>
  <si>
    <t>2F67A3(J09)64F3-換原絲/DR</t>
  </si>
  <si>
    <t>355/340/153</t>
  </si>
  <si>
    <t>FP-62137*2</t>
  </si>
  <si>
    <t>2F67B2(J09)65Z2-換原絲</t>
  </si>
  <si>
    <t xml:space="preserve">FP-62145R+62139R                 </t>
  </si>
  <si>
    <t>110.4.19</t>
  </si>
  <si>
    <t>2F67C1(J08)6B11換原絲</t>
  </si>
  <si>
    <t xml:space="preserve">FP-82003R*2                                       </t>
  </si>
  <si>
    <t>110.4.26</t>
  </si>
  <si>
    <t>2F67D2(J09)65Y2-換原絲/DR</t>
  </si>
  <si>
    <t xml:space="preserve">FP-62148R×2                  </t>
  </si>
  <si>
    <t>2F67E3(S1)63D3色紗色差/DR</t>
  </si>
  <si>
    <t>2F67F2(J07)6B22換原絲</t>
  </si>
  <si>
    <t>DH4318*2.6</t>
  </si>
  <si>
    <t xml:space="preserve">FP-62764R*2                                       </t>
  </si>
  <si>
    <t>40(30)</t>
  </si>
  <si>
    <t>110.4.28</t>
  </si>
  <si>
    <t>2F67G2(J09-L)67D2-換原絲</t>
  </si>
  <si>
    <t xml:space="preserve">FP-62145R×2                  </t>
  </si>
  <si>
    <t>2F67H1(S2)-66R1色差</t>
  </si>
  <si>
    <t>2F67I1(S2)</t>
  </si>
  <si>
    <t>150/48/2WT19</t>
  </si>
  <si>
    <t>310/330/150</t>
  </si>
  <si>
    <t xml:space="preserve">FP-62151×2                  </t>
  </si>
  <si>
    <t>255/48WT19</t>
  </si>
  <si>
    <t>2F67J2(S1)-2F6082換原絲/DR/機型/重量</t>
  </si>
  <si>
    <t>150/48/2GY31</t>
  </si>
  <si>
    <t>FP-62908×2</t>
  </si>
  <si>
    <t>255/48GY31</t>
  </si>
  <si>
    <t>2F67K2(T03-L)65S2-換原絲/降速/JET/加錠片</t>
  </si>
  <si>
    <t>DH4318*2.4</t>
  </si>
  <si>
    <t>110.5.18</t>
  </si>
  <si>
    <t>2F67L3(J09)65T3色差</t>
  </si>
  <si>
    <t>DH4318*3.4</t>
  </si>
  <si>
    <t>110.5.20</t>
  </si>
  <si>
    <t>2F67M3(T04-R)66B3機型/升速/DR</t>
  </si>
  <si>
    <t>2F67N2(A08)65N2-Z+Z換原絲</t>
  </si>
  <si>
    <t>FP-62157R×2</t>
  </si>
  <si>
    <t>2F67P2(T04-L)6092換原絲/降速/DR</t>
  </si>
  <si>
    <t>202/OFF</t>
  </si>
  <si>
    <t>2F67Q2(T04-R)-63I2換原絲/降速/DR</t>
  </si>
  <si>
    <t>170/145</t>
  </si>
  <si>
    <t xml:space="preserve">FP-62137×2                                      </t>
  </si>
  <si>
    <t>2F67R1(T04-R)65M1換原絲/降速/DR</t>
  </si>
  <si>
    <t>110.6.2</t>
  </si>
  <si>
    <t>2F67S2(J09)67B2-換原絲/DR</t>
  </si>
  <si>
    <t xml:space="preserve">FP-62150R*2                 </t>
  </si>
  <si>
    <t>2F67T3(S1)66L3色差改規格</t>
  </si>
  <si>
    <t>300/96CRS</t>
  </si>
  <si>
    <t>2F67U2(A08)65F2-換原絲</t>
  </si>
  <si>
    <t>2F67V3(J09)66B3換原絲/DR</t>
  </si>
  <si>
    <t>FP-82013R×2</t>
  </si>
  <si>
    <t>2F67W1(A08-B)65X1換原絲</t>
  </si>
  <si>
    <t>FP-62149*2</t>
  </si>
  <si>
    <t>2F67X1(S2)66J1-色紗-灰/色差</t>
  </si>
  <si>
    <t>2.0/4.0</t>
  </si>
  <si>
    <t>110.6.10</t>
  </si>
  <si>
    <t>2F67Y3(S1)色紗-62S3新紗/DR</t>
  </si>
  <si>
    <t>2F67Z1(S1)66J1-色紗-灰(換原絲)</t>
  </si>
  <si>
    <t>2F6802(M06)63H2換原絲/DR</t>
  </si>
  <si>
    <t>FP-72451×2</t>
  </si>
  <si>
    <t>2F6813(T04-L)5F67M3換原絲/機型</t>
  </si>
  <si>
    <t>180/160</t>
  </si>
  <si>
    <t>A2542*2</t>
  </si>
  <si>
    <t>2F6823(S1)色紗-淺灰</t>
  </si>
  <si>
    <t>2F6833(S1)色紗-米色</t>
  </si>
  <si>
    <t>FP-62969×2</t>
  </si>
  <si>
    <t>2F6842(T04-L)-64C2換原絲6AN2-物性</t>
  </si>
  <si>
    <t>FP-724595×2                                      FP-724596*2</t>
  </si>
  <si>
    <t>2F6853(J08)64U3換原絲</t>
  </si>
  <si>
    <t>450/420/OFF</t>
  </si>
  <si>
    <t>2F6863(S1)色紗-米黃色</t>
  </si>
  <si>
    <t>FP-62972×2</t>
  </si>
  <si>
    <t>108.1.25</t>
  </si>
  <si>
    <t>2F6873(A08-B)色紗-深棕</t>
  </si>
  <si>
    <t>FP-62667×2</t>
  </si>
  <si>
    <t>108.1.29</t>
  </si>
  <si>
    <t>2F6883(S2)6823換原絲/DR-色紗-黑</t>
  </si>
  <si>
    <t>FP-62668×2</t>
  </si>
  <si>
    <t>2F6893(S2)6833色紗-淺灰</t>
  </si>
  <si>
    <t>150/144/2GY23</t>
  </si>
  <si>
    <t>FP-62971×2</t>
  </si>
  <si>
    <t>255/144GY23</t>
  </si>
  <si>
    <t>2F68A1(T04-R)6591色差</t>
  </si>
  <si>
    <t>2F68B2(T03-L)67P2換原絲/DR</t>
  </si>
  <si>
    <t>FP-62854R×2</t>
  </si>
  <si>
    <t>2F68C3(S1)63T3深咖啡色紗/新紗</t>
  </si>
  <si>
    <t>2F68D1(S1)-67H1換原絲/DR</t>
  </si>
  <si>
    <t>FP-62166×2</t>
  </si>
  <si>
    <t>2F68E2(J09)67G2-換原絲</t>
  </si>
  <si>
    <t>355/370/OFF</t>
  </si>
  <si>
    <t xml:space="preserve">FP-62162R×2                  </t>
  </si>
  <si>
    <t>2F68F1(S2)-66T1色差-色紗-岩灰</t>
  </si>
  <si>
    <t>2F68G1(S2)</t>
  </si>
  <si>
    <t>150/48/2GR17</t>
  </si>
  <si>
    <t>FP-62163×2</t>
  </si>
  <si>
    <t>255/48GR17</t>
  </si>
  <si>
    <t>2F68H3(S1)色紗-62X3色差/DR</t>
  </si>
  <si>
    <t>110.7.9</t>
  </si>
  <si>
    <t>2F68I3(J09)67A3-換原絲</t>
  </si>
  <si>
    <t>FP-62160*2</t>
  </si>
  <si>
    <t>2F68J1(S2)-66Y1換原絲-色紗-深棕</t>
  </si>
  <si>
    <t>FP-62168×2</t>
  </si>
  <si>
    <t>白紅直條</t>
  </si>
  <si>
    <t>2F68K2(T03-L)68B2換原絲</t>
  </si>
  <si>
    <t>P227*2.0</t>
  </si>
  <si>
    <t>FP-62856R×2</t>
  </si>
  <si>
    <t>110.7.19</t>
  </si>
  <si>
    <t>2F68L1(T04)68A1降速/換JET</t>
  </si>
  <si>
    <t>2F68M1(T04-L)68L1</t>
  </si>
  <si>
    <t>150/48/2SDRC</t>
  </si>
  <si>
    <t>2F68N1(S2)67X1-色紗-灰/換原絲</t>
  </si>
  <si>
    <t>FP-62177×2</t>
  </si>
  <si>
    <t>110.8.14</t>
  </si>
  <si>
    <t>2F68P3(S1)色紗-66Z3色差/DR</t>
  </si>
  <si>
    <t>110.8.17</t>
  </si>
  <si>
    <t>2F68Q3(S2)66S3色差/改重量-色紗</t>
  </si>
  <si>
    <t>2F68R3(J09)67L3換原絲/DR</t>
  </si>
  <si>
    <t>490/460/OFF</t>
  </si>
  <si>
    <t>FP-62791R*2</t>
  </si>
  <si>
    <t>245/48ODR</t>
  </si>
  <si>
    <t>2F68S3(S2)62R3色紗-棕-色差/DR</t>
  </si>
  <si>
    <t>2F68T1(A18-B)66W1-換原絲/機型/升速/DR/重量</t>
  </si>
  <si>
    <t xml:space="preserve">FP-62181R×2                  </t>
  </si>
  <si>
    <t>3(3.6)</t>
  </si>
  <si>
    <t>2F68V2(A18-A)67B2-換原絲/機型/升速/DR</t>
  </si>
  <si>
    <t>2F68W1(T04-L)68L1換原絲</t>
  </si>
  <si>
    <t>FP-82014R×2</t>
  </si>
  <si>
    <t>2F68X1(J09)67C1換原絲</t>
  </si>
  <si>
    <t>2F68Y1(A08-B)67W1換原絲</t>
  </si>
  <si>
    <t>FP-62183*2</t>
  </si>
  <si>
    <t>260/48KR6</t>
  </si>
  <si>
    <t>2F68Z3(J09)67V3色差/DR</t>
  </si>
  <si>
    <t>2F6903(S1)6833換原絲/DR色紗-棕灰</t>
  </si>
  <si>
    <t>150/144/2GY25</t>
  </si>
  <si>
    <t>FP-62973×2</t>
  </si>
  <si>
    <t>255/144GY25</t>
  </si>
  <si>
    <t>2F6913(S2)6893色紗-棕</t>
  </si>
  <si>
    <t>FP-62975×2</t>
  </si>
  <si>
    <t>2F6921(M06)6T91(67S1-物性)換原絲</t>
  </si>
  <si>
    <t>192/198</t>
  </si>
  <si>
    <t>FP-72451*2</t>
  </si>
  <si>
    <t>2F6931(T04-L)68E1換原絲/機型</t>
  </si>
  <si>
    <t>FP-724596×2</t>
  </si>
  <si>
    <t>2F6943(S1)63I3換原絲/DR</t>
  </si>
  <si>
    <t>FP-82700+724596</t>
  </si>
  <si>
    <t>2F6953(T04-R)68A3-換原絲/機型</t>
  </si>
  <si>
    <t>2F6961(S2)6AP1-色紗-灰(換原絲)</t>
  </si>
  <si>
    <t>150/48/2GY19</t>
  </si>
  <si>
    <t>FP-62976×2</t>
  </si>
  <si>
    <t>255/48GY19</t>
  </si>
  <si>
    <t>2F6971(M06)6AC1換原絲</t>
  </si>
  <si>
    <t>FP-62671*2</t>
  </si>
  <si>
    <t>2F6981(T04)68S1-換原絲/機型/升速/DR</t>
  </si>
  <si>
    <t>2F6991(S2)6961-灰色紗-(換原絲)</t>
  </si>
  <si>
    <t>2F69A3(S2)67E3色紗-色差</t>
  </si>
  <si>
    <t>2F69B1(T03-L)66V1換原絲/溫度</t>
  </si>
  <si>
    <t>FP-62856R*2</t>
  </si>
  <si>
    <t>2F69C2(J08)6B42換原絲</t>
  </si>
  <si>
    <t>499/459/OFF</t>
  </si>
  <si>
    <t>廠商-YKK</t>
  </si>
  <si>
    <t>2F69D1(T03-L)69B1換原絲</t>
  </si>
  <si>
    <t>FP-82022R*2</t>
  </si>
  <si>
    <t>2F69E1(S1)66F1換原絲/DR/降速/機型/JET</t>
  </si>
  <si>
    <t>P227*1.1</t>
  </si>
  <si>
    <t>FP-62185*2</t>
  </si>
  <si>
    <t>2F69F2(J09)68E2-換原絲</t>
  </si>
  <si>
    <t xml:space="preserve">FP-62180R×2                  </t>
  </si>
  <si>
    <t>2F69H2(A08-A)67U2-換原絲/DR/降速</t>
  </si>
  <si>
    <t>FP-62184R×2</t>
  </si>
  <si>
    <t>2F69I2(J09)66H2</t>
  </si>
  <si>
    <t>2F69K1(J08)68X1換原絲</t>
  </si>
  <si>
    <t xml:space="preserve">FP-62856R*2                                       </t>
  </si>
  <si>
    <t>2F69L1(J08)-9E71換原絲/JET</t>
  </si>
  <si>
    <t>150/72/2ESDRO</t>
  </si>
  <si>
    <t>400/400/OFF</t>
  </si>
  <si>
    <t>P227*1.2</t>
  </si>
  <si>
    <t>FP-82807R*2</t>
  </si>
  <si>
    <t>110.10.28</t>
  </si>
  <si>
    <t>2F69M1(T03-L)69D1換原絲</t>
  </si>
  <si>
    <t>FP-82017R*2</t>
  </si>
  <si>
    <t>2F69N1(T04-L)68W1換原絲/降速</t>
  </si>
  <si>
    <t>FP-82019R×2</t>
  </si>
  <si>
    <t>2F69P2(J08)</t>
  </si>
  <si>
    <t>550↓500</t>
  </si>
  <si>
    <t>FP-62793R*2</t>
  </si>
  <si>
    <t>2F69Q3(J09)68I3-換原絲/JET</t>
  </si>
  <si>
    <t>FP-62191*2</t>
  </si>
  <si>
    <t>110.10.27</t>
  </si>
  <si>
    <t>2F69R2(J08)69P2換原絲</t>
  </si>
  <si>
    <t>470/440/OFF</t>
  </si>
  <si>
    <t>FP-62794R*2</t>
  </si>
  <si>
    <t>2F69S2(J09)69C2色差</t>
  </si>
  <si>
    <t>500/460/OFF</t>
  </si>
  <si>
    <t>2F69T1(T03-L)69N1換原絲</t>
  </si>
  <si>
    <t>FP-82017R×2</t>
  </si>
  <si>
    <t>2F69U2(A08-B)67N2-Z+Z換原絲/降速</t>
  </si>
  <si>
    <t>310/310/160</t>
  </si>
  <si>
    <t>FP-62193R×2</t>
  </si>
  <si>
    <t>110.11.11</t>
  </si>
  <si>
    <t>2F69V2(J08)69I2換原絲</t>
  </si>
  <si>
    <t>FP-82805R×2</t>
  </si>
  <si>
    <t>白藍直條</t>
  </si>
  <si>
    <t>2F69W3(S2)色紗-62S3色差</t>
  </si>
  <si>
    <t>2F69X3(S2)64Q3-DR/機型/升速</t>
  </si>
  <si>
    <t>110.11.30</t>
  </si>
  <si>
    <t>2F69Z1(J09)6B01換原絲/降溫/DR</t>
  </si>
  <si>
    <t>FP-82023R*2</t>
  </si>
  <si>
    <t>110.12.3</t>
  </si>
  <si>
    <t>2F6A03(S2)67E3色紗-色差/DR</t>
  </si>
  <si>
    <t>2F6A12(T03-R)69P2/機型/DR</t>
  </si>
  <si>
    <t>2F6A21(A08-A)68Y1換原絲</t>
  </si>
  <si>
    <t>FP-62196*2</t>
  </si>
  <si>
    <t>2F6A32(T03)68K2換原絲/降速</t>
  </si>
  <si>
    <t>2F6A41(J08)-69L1換JET</t>
  </si>
  <si>
    <t>2F6A52(J08-R)67S2-換原絲/DR</t>
  </si>
  <si>
    <t xml:space="preserve">FP-62181R+62119R                </t>
  </si>
  <si>
    <t>2F6A61(J09)69Z1換原絲</t>
  </si>
  <si>
    <t>FP-82025R*2</t>
  </si>
  <si>
    <t>2F6A72(A08)69H2-換原絲</t>
  </si>
  <si>
    <t>2F6A82(T03-R)6A12-DR/換原絲</t>
  </si>
  <si>
    <t>2F6A92(J07)67F2換原絲</t>
  </si>
  <si>
    <t>DH4318*2.5</t>
  </si>
  <si>
    <t xml:space="preserve">FP-62750R*2 /62852R*2                                      </t>
  </si>
  <si>
    <t>2F6AA1(T01-R)6Z01換原絲/DR</t>
  </si>
  <si>
    <t>179/173</t>
  </si>
  <si>
    <t>P204*1.0</t>
  </si>
  <si>
    <t>FP-82082R*2</t>
  </si>
  <si>
    <t>113.1.11</t>
  </si>
  <si>
    <t>2F6AB1(J08)6T81改規格/DR/換原絲</t>
  </si>
  <si>
    <t>150/48/2SDR1</t>
  </si>
  <si>
    <t>493/453/OFF</t>
  </si>
  <si>
    <t>FP-62850R*2</t>
  </si>
  <si>
    <t>2F6AC3(S1)6S33換原絲/DR</t>
  </si>
  <si>
    <t xml:space="preserve">FP-62203×2                  </t>
  </si>
  <si>
    <t>2F6AE1(J09)6Z71換原絲</t>
  </si>
  <si>
    <t>473/433/OFF</t>
  </si>
  <si>
    <t>113.1.17</t>
  </si>
  <si>
    <t>2F6AF1(S1)-6X51</t>
  </si>
  <si>
    <t>FP-82536×2</t>
  </si>
  <si>
    <t>2F6AG2(J09)6W42換原絲/改規格不加字尾</t>
  </si>
  <si>
    <t xml:space="preserve">FP-62850R*2                                      </t>
  </si>
  <si>
    <t>綠白直條</t>
  </si>
  <si>
    <t>2F6AH2(J08)6Z12改規格不加字尾</t>
  </si>
  <si>
    <t>494/454/OFF</t>
  </si>
  <si>
    <t>2F6AI3(A10-B)6V83換原絲</t>
  </si>
  <si>
    <t>P227*3.4</t>
  </si>
  <si>
    <t>FP-82538R×2</t>
  </si>
  <si>
    <t>113.2.22</t>
  </si>
  <si>
    <t>2F6AJ1(A15)-6AF1機型/DR…等</t>
  </si>
  <si>
    <t>2F6AK3(S1)6P13色紗換原絲</t>
  </si>
  <si>
    <t>FP-62110×2</t>
  </si>
  <si>
    <t>113.3.12</t>
  </si>
  <si>
    <t>2F6AL3(S1)色紗-6U73-淺灰/修DR換原絲</t>
  </si>
  <si>
    <t>FP-62208×2</t>
  </si>
  <si>
    <t>2F6AM1(A15-B)-6Z51機型/DR</t>
  </si>
  <si>
    <t>600↓550-3/1</t>
  </si>
  <si>
    <t>290/290/190</t>
  </si>
  <si>
    <t>FP-82541×2</t>
  </si>
  <si>
    <t>113.2.29</t>
  </si>
  <si>
    <t>2F6AN1(S1)6F41-色紗-灰</t>
  </si>
  <si>
    <t>FP-82515×2</t>
  </si>
  <si>
    <t>113.2.27</t>
  </si>
  <si>
    <t>2F6AP1(A15-B)6V71-色紗-灰/機型/降速</t>
  </si>
  <si>
    <t>FP-82533×2</t>
  </si>
  <si>
    <t>2F6AQ3(T01-R)6Q63換原絲/DR</t>
  </si>
  <si>
    <t>5500↓500-3/21</t>
  </si>
  <si>
    <t>FP-82085R×2</t>
  </si>
  <si>
    <t>2F6AR3(A24-A)6Y43-換原絲/DR</t>
  </si>
  <si>
    <t>280/280/160</t>
  </si>
  <si>
    <t>P227*3.5</t>
  </si>
  <si>
    <t>FP-82615*2</t>
  </si>
  <si>
    <t>113.3.15</t>
  </si>
  <si>
    <t>磷含量-6660</t>
  </si>
  <si>
    <t>2F6AS3(S1)6V83/升速/機型/DR換原絲</t>
  </si>
  <si>
    <t>290/290/140</t>
  </si>
  <si>
    <t>FP-82543R×2</t>
  </si>
  <si>
    <t>2F6AS3(A10-B)升速/機型/DR</t>
  </si>
  <si>
    <t>290/290/150</t>
  </si>
  <si>
    <t>2F6AT3(S1)6S53-換原絲</t>
  </si>
  <si>
    <t>150/48/2BN24</t>
  </si>
  <si>
    <t xml:space="preserve">FP-62209×2                  </t>
  </si>
  <si>
    <t>255/48BN24</t>
  </si>
  <si>
    <t>2F6AU1(A24-B)</t>
  </si>
  <si>
    <t>150/96/2SDR</t>
  </si>
  <si>
    <t>320/290/OFF</t>
  </si>
  <si>
    <t>FP-62783R*2</t>
  </si>
  <si>
    <t>2F6AV3(S1)6U93-換原絲/DR</t>
  </si>
  <si>
    <t xml:space="preserve">FP-62401×2                  </t>
  </si>
  <si>
    <t>112.3.21</t>
  </si>
  <si>
    <t>2F6AW3(S1)6P73換原絲</t>
  </si>
  <si>
    <t>150/48/2BK26</t>
  </si>
  <si>
    <t>FP-62210×2</t>
  </si>
  <si>
    <t>255/48BK26</t>
  </si>
  <si>
    <t>23-2/9</t>
  </si>
  <si>
    <t>113.3.28</t>
  </si>
  <si>
    <t>2F6AX1(A15-A)-6X71換原絲/DR-色紗-岩灰</t>
  </si>
  <si>
    <t>FP-82547×2</t>
  </si>
  <si>
    <t>255/48BG2</t>
  </si>
  <si>
    <t>2F6AY3(S1)64N3換原絲/DR(同6Z23物性)</t>
  </si>
  <si>
    <t xml:space="preserve">FP-62202×2 </t>
  </si>
  <si>
    <t>113.4.2</t>
  </si>
  <si>
    <t>2F6AZ1(A15)-6AX1換原絲/DR/規格不同</t>
  </si>
  <si>
    <t>113.4.3</t>
  </si>
  <si>
    <t>2F6B01(J09)6531換原絲/jet</t>
  </si>
  <si>
    <t>110.2.20</t>
  </si>
  <si>
    <t>黑白直條</t>
  </si>
  <si>
    <t>2F6B11(J07)6581換原絲</t>
  </si>
  <si>
    <t xml:space="preserve">FP-62852R*2                                       </t>
  </si>
  <si>
    <t>2F6B22(J07)6552換原絲/JET</t>
  </si>
  <si>
    <t>2F6B31(J09)</t>
  </si>
  <si>
    <t>420/400/175</t>
  </si>
  <si>
    <t>2F6B42(J08-R)6552換原絲</t>
  </si>
  <si>
    <t xml:space="preserve">FP-82003R×2                                     </t>
  </si>
  <si>
    <t>2F6B53(J08)69Q3-換原絲</t>
  </si>
  <si>
    <t>FP-62197*2</t>
  </si>
  <si>
    <t>2F6B61(J08)61W1換原絲</t>
  </si>
  <si>
    <t>P204*1.9</t>
  </si>
  <si>
    <t>FP-62203×2</t>
  </si>
  <si>
    <t>2F6B73(T03-R)67M3換原絲/DR</t>
  </si>
  <si>
    <t>FP-82028R×2</t>
  </si>
  <si>
    <t>111.1.11</t>
  </si>
  <si>
    <t>紅黃條</t>
  </si>
  <si>
    <t>2F6B82(J08)</t>
  </si>
  <si>
    <t>460/420/180</t>
  </si>
  <si>
    <t>2F6B93(T03-R)65J3-換原絲/DR</t>
  </si>
  <si>
    <t>FP-72243*2</t>
  </si>
  <si>
    <t>2F6BA1(A24-B)6X91換原絲</t>
  </si>
  <si>
    <t>285/285/155</t>
  </si>
  <si>
    <t xml:space="preserve">FP-82615×2                                      </t>
  </si>
  <si>
    <t>磷含量-6980</t>
  </si>
  <si>
    <t>2F6BB2(A24-A)</t>
  </si>
  <si>
    <t>FP-62121R×2</t>
  </si>
  <si>
    <t>2F6BC1(A15)6AX1升速-色紗-岩灰</t>
  </si>
  <si>
    <t>2F6BD2(J09)6W42改規格/換原絲</t>
  </si>
  <si>
    <t>600↓550-5/23</t>
  </si>
  <si>
    <t>480/440/OFF</t>
  </si>
  <si>
    <t>DH4318*2.8                 P227*2.1</t>
  </si>
  <si>
    <t xml:space="preserve">FP-72758R*2                                       FP-72757R*2-4/18                                                                    </t>
  </si>
  <si>
    <t>2F6BE2(A10-B)6Y62換原絲/升速</t>
  </si>
  <si>
    <t>FP-82546R×2</t>
  </si>
  <si>
    <t>2F6BF1(T03-R)6W21換原絲/DR….</t>
  </si>
  <si>
    <t>185/150</t>
  </si>
  <si>
    <t>P204*0.9</t>
  </si>
  <si>
    <t>FP-72368R*2</t>
  </si>
  <si>
    <t>113.4.23</t>
  </si>
  <si>
    <t>2F6BG1(A15)6BC1降速/換原絲</t>
  </si>
  <si>
    <t>FP-82548×2</t>
  </si>
  <si>
    <t>255/48GY5</t>
  </si>
  <si>
    <t>113.4.22</t>
  </si>
  <si>
    <t>2F6BH1(A15-B)-6AZ1/升速</t>
  </si>
  <si>
    <t>2F6BI3(T03-R)6AQ3換原絲/JET</t>
  </si>
  <si>
    <t>FP-82083R×2</t>
  </si>
  <si>
    <t>245/36ODR2</t>
  </si>
  <si>
    <t>2F6BJ1(T03-L)6AA1換原絲/DR</t>
  </si>
  <si>
    <t>P204*0.8</t>
  </si>
  <si>
    <t>FP-82087R*2</t>
  </si>
  <si>
    <t>2F6BK1(A15-A)-6BH1/降速換原絲</t>
  </si>
  <si>
    <t>FP-82551×2</t>
  </si>
  <si>
    <t>255/48BG3</t>
  </si>
  <si>
    <t>113.5.16</t>
  </si>
  <si>
    <t>2F6BL1(A24-A)6X91換原絲</t>
  </si>
  <si>
    <t>磷含量-6650</t>
  </si>
  <si>
    <t>2F6BM1(A15-B)6BG1/新紗</t>
  </si>
  <si>
    <t>2F6BP1(A10-A)6Z61/降溫度</t>
  </si>
  <si>
    <t>FP-82622*2</t>
  </si>
  <si>
    <t>磷含量-5425</t>
  </si>
  <si>
    <t>2F6BQ3(A10-B)6AS3換原絲/DR</t>
  </si>
  <si>
    <t>FP-82549R×2</t>
  </si>
  <si>
    <t>2F6BR2(J07)6W42改規格</t>
  </si>
  <si>
    <t xml:space="preserve">FP-72758R*2                                       FP-72757R*2                                                      </t>
  </si>
  <si>
    <t>2F6BS2(T03)6Y82改規格</t>
  </si>
  <si>
    <t>FP-62858R×2</t>
  </si>
  <si>
    <t>113.6.14</t>
  </si>
  <si>
    <t>2F6BT3(T06-L)6Z83換原絲(物性6Z93)/DR</t>
  </si>
  <si>
    <t>P204*3.7</t>
  </si>
  <si>
    <t>2F6BU1(T04-L)6Y51-換原絲/DR/機型</t>
  </si>
  <si>
    <t xml:space="preserve">FP-62217R×2                  </t>
  </si>
  <si>
    <t>113.6.27</t>
  </si>
  <si>
    <t>2F6BV2(T03-L)6BS2換原絲/DR</t>
  </si>
  <si>
    <t>204/OFF</t>
  </si>
  <si>
    <t>P204*2.9</t>
  </si>
  <si>
    <t>FP-72755R×2                                   FP-72759R×2</t>
  </si>
  <si>
    <t>2F6BW1(T04-L)6BU-換原絲/DR</t>
  </si>
  <si>
    <t xml:space="preserve">FP-82749×2                  </t>
  </si>
  <si>
    <t>113.7.5</t>
  </si>
  <si>
    <t>2F6BX3(A10-A)6BQ3</t>
  </si>
  <si>
    <t>2F6BY3(T04L)6U13-換原絲/DR/機型升速</t>
  </si>
  <si>
    <t>150/48/2SRR5</t>
  </si>
  <si>
    <t>P227*3.6</t>
  </si>
  <si>
    <t>FP-82617R*2</t>
  </si>
  <si>
    <t>磷含量-5450</t>
  </si>
  <si>
    <t>2F6BZ3(A16-A)6AR3-換原絲/DR</t>
  </si>
  <si>
    <t>FP-82625*2</t>
  </si>
  <si>
    <t>2F6C02(J08)67F2換原絲/DR/JET</t>
  </si>
  <si>
    <t xml:space="preserve">FP-82026R*2                                       </t>
  </si>
  <si>
    <t>2F6C12(A08)69U2-Z+Z換原絲</t>
  </si>
  <si>
    <t>310/310/150</t>
  </si>
  <si>
    <t>FP-62210R×2</t>
  </si>
  <si>
    <t>2F6C21(S2)-67H1換原絲</t>
  </si>
  <si>
    <t>2F6C31(T03-L)69M1換原絲</t>
  </si>
  <si>
    <t>FP-62758R*2</t>
  </si>
  <si>
    <t>2F6C41(J09)6A61換原絲</t>
  </si>
  <si>
    <t>FP-62852R*2</t>
  </si>
  <si>
    <t>2F6C53(T03-R)63R3-換原絲/DR</t>
  </si>
  <si>
    <t>DH4318*3.7</t>
  </si>
  <si>
    <t>2F6C63(T03-R)6B73-DR</t>
  </si>
  <si>
    <t>2F6C72(A08-A)6A72-換原絲/DR</t>
  </si>
  <si>
    <t>2F6C82(A24-B)63E2(物性LIKE69V2)換原絲/降速/DR</t>
  </si>
  <si>
    <t>2F6C91(A13-A)68T1-換原絲/重量(物性LIKE66W1)</t>
  </si>
  <si>
    <t>2F6CA2(S1)6Y72換原絲/DR</t>
  </si>
  <si>
    <t>150/48/2WTR22</t>
  </si>
  <si>
    <t xml:space="preserve">FP-82544R×2                  </t>
  </si>
  <si>
    <t>250/48WTR22</t>
  </si>
  <si>
    <t>2F6CB3(A10-A)6BX3換原絲</t>
  </si>
  <si>
    <t>FP-82553R×2</t>
  </si>
  <si>
    <t>2F6CC3(T06-L)6BT3/DR色差</t>
  </si>
  <si>
    <t>2F6CD3(S1)6S33換原絲/DR</t>
  </si>
  <si>
    <t xml:space="preserve">FP-62119×2                  </t>
  </si>
  <si>
    <t>113.8.23</t>
  </si>
  <si>
    <t>2F6CE2(A10-A)</t>
  </si>
  <si>
    <t>FP-82545R×2</t>
  </si>
  <si>
    <t>113.8.26</t>
  </si>
  <si>
    <t>2F6CF1(T06-R)6BJ1換原絲</t>
  </si>
  <si>
    <t>FP-72759R*2</t>
  </si>
  <si>
    <t>113.9.16</t>
  </si>
  <si>
    <t>2F6CG2(A10-B)6BE2換原絲/DR</t>
  </si>
  <si>
    <t>FP-82552R×2</t>
  </si>
  <si>
    <t>2F6CH3(T06-L)6BI3換原絲/DR</t>
  </si>
  <si>
    <t>2F6CI3(T06-R)6H13(物性6BZ3)-換原絲/DR</t>
  </si>
  <si>
    <t>P204*3.8</t>
  </si>
  <si>
    <t>FP-82628×2</t>
  </si>
  <si>
    <t>2F6CJ1(A10-B)6BP1/DR</t>
  </si>
  <si>
    <t>磷含量-5290</t>
  </si>
  <si>
    <t>2F6CK1(S1)-6BK1/換機型/DR….</t>
  </si>
  <si>
    <t>325/325/190</t>
  </si>
  <si>
    <t>113.11.6</t>
  </si>
  <si>
    <t>2F6CL3(T03-R)6CC3/DR換原絲</t>
  </si>
  <si>
    <t>P204*3.5</t>
  </si>
  <si>
    <t>FP-72369R*2</t>
  </si>
  <si>
    <t>2F6CM1(T03L)6V51換原絲/DR/機型/升速</t>
  </si>
  <si>
    <t xml:space="preserve">FP-82630×2                                      </t>
  </si>
  <si>
    <t>113.11.16</t>
  </si>
  <si>
    <t>2F6CN3(T03-L)6CI3-換原絲./降速</t>
  </si>
  <si>
    <t>FP-82630×2</t>
  </si>
  <si>
    <t>113.11.21</t>
  </si>
  <si>
    <t>磷含量-修6020</t>
  </si>
  <si>
    <t>2F6CP3(T03-L)6CH3換原絲/DR</t>
  </si>
  <si>
    <t>FP-82096R×2</t>
  </si>
  <si>
    <t>2F6CQ2(T04-L)6BV2/DR</t>
  </si>
  <si>
    <t>FP-72759R×2</t>
  </si>
  <si>
    <t>113.11.29</t>
  </si>
  <si>
    <t>2F6CR3(A10-B)6CB3/DR</t>
  </si>
  <si>
    <t>2F6CS1(T06)</t>
  </si>
  <si>
    <t xml:space="preserve">FP-82723×2                  </t>
  </si>
  <si>
    <t>230/48HC</t>
  </si>
  <si>
    <t>2F6CT2(T03-L)6BV2/DR/升速/換原絲</t>
  </si>
  <si>
    <t>FP-72757R×2</t>
  </si>
  <si>
    <t>113.12.10</t>
  </si>
  <si>
    <t>2F6CU3(T05-L)6CL3</t>
  </si>
  <si>
    <t>2F6CV3(T05-R)6CN3-換原絲</t>
  </si>
  <si>
    <t>FP-82633×2</t>
  </si>
  <si>
    <t>磷含量-6600</t>
  </si>
  <si>
    <t>2F6CW1(T02-L)6CF1換原絲/DR</t>
  </si>
  <si>
    <t>176/173</t>
  </si>
  <si>
    <t>FP-82097R*2</t>
  </si>
  <si>
    <t>114.1.11</t>
  </si>
  <si>
    <t>2F6CX1(T05-R)6CM1換原絲</t>
  </si>
  <si>
    <t xml:space="preserve">FP-82633×2                                      </t>
  </si>
  <si>
    <t>磷含量-6435</t>
  </si>
  <si>
    <t>2F6CY1(S1)-6H31換原絲/DR-色紗-岩灰</t>
  </si>
  <si>
    <t>FP-82555×2</t>
  </si>
  <si>
    <t>2F6CZ1(T03-L)6CW1</t>
  </si>
  <si>
    <t>114.2.8</t>
  </si>
  <si>
    <t>2F6D01(T03-R)69T1換原絲/DR</t>
  </si>
  <si>
    <t>FP-82026R×2</t>
  </si>
  <si>
    <t>2F6D12(J08)6A92換原絲</t>
  </si>
  <si>
    <t>111.2.15</t>
  </si>
  <si>
    <t>2F6D21(A08-A)6A21換原絲/DR</t>
  </si>
  <si>
    <t>FP-62214*2</t>
  </si>
  <si>
    <t>2F6D41(S2)-66Y1換原絲/DR</t>
  </si>
  <si>
    <t>FP-62211×2</t>
  </si>
  <si>
    <t>2F6D51(A13-A)6C91-色差</t>
  </si>
  <si>
    <t>111.2.25</t>
  </si>
  <si>
    <t>2F6D61(J09)6C41換原絲/DR</t>
  </si>
  <si>
    <t>FP-82031R*2</t>
  </si>
  <si>
    <t>2F6D73(A17)69Q3-換原絲/機型/升速</t>
  </si>
  <si>
    <t>285/285/160</t>
  </si>
  <si>
    <t>FP-62203*2</t>
  </si>
  <si>
    <t>2F6D82(A24-B)6C82/改規格</t>
  </si>
  <si>
    <t>2F6D93(J07)68R3換原絲/DR/物性LIKE(T04-63R3)</t>
  </si>
  <si>
    <t>485/455/OFF</t>
  </si>
  <si>
    <t>FP-62752R*2</t>
  </si>
  <si>
    <t>2F6DA2(A10-A)6CE2</t>
  </si>
  <si>
    <t>2F6DB3(A16)6BZ3-換原絲/DR</t>
  </si>
  <si>
    <t>FP-82633*2</t>
  </si>
  <si>
    <t>磷含量-6910</t>
  </si>
  <si>
    <t>2F6DC1(A24-A)-6BK1/換原絲</t>
  </si>
  <si>
    <t>FP-82259×2</t>
  </si>
  <si>
    <t>114.2.28</t>
  </si>
  <si>
    <t>2F6DD2(T04-L)6CQ2/換原絲降速</t>
  </si>
  <si>
    <t>201/OFF</t>
  </si>
  <si>
    <t>FP-82107R×2</t>
  </si>
  <si>
    <t>2F6DE2(T03-L)6CT2/DR/換原絲</t>
  </si>
  <si>
    <t>206/OFF</t>
  </si>
  <si>
    <t>FP-82111R×2</t>
  </si>
  <si>
    <t>114.3.5</t>
  </si>
  <si>
    <t>2F6DF3(A10-A)6Z23色紗-換原絲/DR</t>
  </si>
  <si>
    <t>330/330/145</t>
  </si>
  <si>
    <t>FP-82556×2</t>
  </si>
  <si>
    <t>2F6DG2(J08)6BR2換原絲/升速</t>
  </si>
  <si>
    <t>510/470/OFF</t>
  </si>
  <si>
    <t xml:space="preserve">DH4318*3.0                </t>
  </si>
  <si>
    <t xml:space="preserve">FP-82113R*2                                                                                             </t>
  </si>
  <si>
    <t>2F6DH1(A24-A)6BM1/換原絲</t>
  </si>
  <si>
    <t>FP-82561×2</t>
  </si>
  <si>
    <t>2F6DI2(T04-L)6DD2/換原絲/升速</t>
  </si>
  <si>
    <t>FP-82098R×2</t>
  </si>
  <si>
    <t>2F6DJ3(T03-R)6CH3換原絲/DR</t>
  </si>
  <si>
    <t>FP-82114R×2</t>
  </si>
  <si>
    <t>113.3.24</t>
  </si>
  <si>
    <t>2F6DK2(J09)6BR2換原絲/DR</t>
  </si>
  <si>
    <t>500/470/OFF</t>
  </si>
  <si>
    <t xml:space="preserve">DH4318*3.0                 </t>
  </si>
  <si>
    <t xml:space="preserve">FP-7KR25HGR*2                                                                                       </t>
  </si>
  <si>
    <t>2F6E02(J09)6A92換原絲/降速/DR/JET</t>
  </si>
  <si>
    <t>455/415/OFF</t>
  </si>
  <si>
    <t>2F6E13(S2)色紗-68H3色差/DR</t>
  </si>
  <si>
    <t>2F6E23(J07)68Z3換原絲/DR/物性LIKE(T03-6C63)</t>
  </si>
  <si>
    <t>FP-82037R×2</t>
  </si>
  <si>
    <t>2F6E31(J07)6B31/降速/物性LIKE(69M1)</t>
  </si>
  <si>
    <t>400/380/170</t>
  </si>
  <si>
    <t>P204*0.7</t>
  </si>
  <si>
    <t>FP-82039R*2</t>
  </si>
  <si>
    <t>2F6E42(A11)68V2-換原絲/DR/JET</t>
  </si>
  <si>
    <t xml:space="preserve">FP-62195R×2                  </t>
  </si>
  <si>
    <t>2F6E51(A11-A)67R1換原絲/降速/DR/JET</t>
  </si>
  <si>
    <t xml:space="preserve">FP-62222×2                                      </t>
  </si>
  <si>
    <t>2F6E63(S2)68Q3色差/色紗</t>
  </si>
  <si>
    <t>2F6E73(S1)62V3色紗/DR/換原絲/重量</t>
  </si>
  <si>
    <t>150/48/2BE5</t>
  </si>
  <si>
    <t>FP-62909×2</t>
  </si>
  <si>
    <t>255/48BE5</t>
  </si>
  <si>
    <t>2F6E83(S1)色紗-68P3/DR</t>
  </si>
  <si>
    <t>2F6E91(J08)6D61換原絲/降速</t>
  </si>
  <si>
    <t>460/420/OFF</t>
  </si>
  <si>
    <t>FP-82035R*2</t>
  </si>
  <si>
    <t>2F6F02(J09-L)6E02換原絲</t>
  </si>
  <si>
    <t>FP-82042R*2</t>
  </si>
  <si>
    <t>2F6F23(S2)62V3色紗-換原絲/DR</t>
  </si>
  <si>
    <t>FP-62901×2</t>
  </si>
  <si>
    <t>2F6F32(A08-A)-9BW2換錠組型號</t>
  </si>
  <si>
    <t>150/48/2BKRO</t>
  </si>
  <si>
    <t>FP-62212R×2</t>
  </si>
  <si>
    <t>270/48BKRO</t>
  </si>
  <si>
    <t>111.5.5</t>
  </si>
  <si>
    <t>2F6F41(S1.2)68N1-色紗-灰/換原絲</t>
  </si>
  <si>
    <t>111.5.17</t>
  </si>
  <si>
    <t>白黑曲線/白綠直條-1</t>
  </si>
  <si>
    <t>2F6F52(S2)9CL2</t>
  </si>
  <si>
    <t>150/48/2BSD3</t>
  </si>
  <si>
    <t>P227*2.4</t>
  </si>
  <si>
    <t>FP-62230×2</t>
  </si>
  <si>
    <t>2F6F63(S2)色紗-63G3</t>
  </si>
  <si>
    <t>2F6F72(J07)69V2換原絲/DR/JET</t>
  </si>
  <si>
    <t>DH4318*2.0</t>
  </si>
  <si>
    <t>2F6F82(J07)6B82換原絲/降速/JET</t>
  </si>
  <si>
    <t>445/405/170</t>
  </si>
  <si>
    <t>DH4318*2.1</t>
  </si>
  <si>
    <t>2F6F92(J09-R)6A92換原絲/JET</t>
  </si>
  <si>
    <t>P227*1.9/DH4318*2.5/2.6</t>
  </si>
  <si>
    <t xml:space="preserve">FP-62857R*2                                      </t>
  </si>
  <si>
    <t>111.5.27</t>
  </si>
  <si>
    <t>2F6G03(S2)色紗</t>
  </si>
  <si>
    <t>150/48/2BK28</t>
  </si>
  <si>
    <t>FP-62904×2</t>
  </si>
  <si>
    <t>255/48BK28</t>
  </si>
  <si>
    <t>2F6G12(A08-B)6A72-換原絲/溫度</t>
  </si>
  <si>
    <t>FP-62234R×2</t>
  </si>
  <si>
    <t>2F6G21(S2)-6D41換原絲/DR</t>
  </si>
  <si>
    <t>FP-62236×2</t>
  </si>
  <si>
    <t>2F6G33(S2-1～3)色紗-69W3色差</t>
  </si>
  <si>
    <t>2F6G42(A08-A)6G12-換原絲</t>
  </si>
  <si>
    <t>FP-62238R×2</t>
  </si>
  <si>
    <t>111.6.2</t>
  </si>
  <si>
    <t>2F6G51(J07)6E91換原絲/DR</t>
  </si>
  <si>
    <t>FP-82820R*2</t>
  </si>
  <si>
    <t>2F6G63(S2)69X3-換原絲/改重量</t>
  </si>
  <si>
    <t xml:space="preserve">FP-62915×2                  </t>
  </si>
  <si>
    <t>111.6.7</t>
  </si>
  <si>
    <t>2F6G72(S2)</t>
  </si>
  <si>
    <t xml:space="preserve">FP-82516R×2                  </t>
  </si>
  <si>
    <t>2F6G81(T03-R)6C31換原絲</t>
  </si>
  <si>
    <t>172/165</t>
  </si>
  <si>
    <t>P204*1.1</t>
  </si>
  <si>
    <t>2F6G91(S2)69E1換原絲</t>
  </si>
  <si>
    <t>FP-62230*2</t>
  </si>
  <si>
    <t>2F6H02(J09)6F02色差</t>
  </si>
  <si>
    <t>2F6H13(T01-R)65Q3-換原絲/DR</t>
  </si>
  <si>
    <t>FP-62240×2</t>
  </si>
  <si>
    <t>111.6.20</t>
  </si>
  <si>
    <t>2F6H31(S1)-68F1換原絲/DR-色紗-岩灰</t>
  </si>
  <si>
    <t>FP-62226×2</t>
  </si>
  <si>
    <t>2F6H43(T03)6C53-換原絲/DR</t>
  </si>
  <si>
    <t>600↓500-6/28</t>
  </si>
  <si>
    <t>FP-62855R*2</t>
  </si>
  <si>
    <t>2F6H51(J08)6E91換原絲</t>
  </si>
  <si>
    <t>2F6H71(A22-B)66F1換原絲/JET</t>
  </si>
  <si>
    <t>20-7/13-修</t>
  </si>
  <si>
    <t>2F6H82(J07)69I2換原絲/降速</t>
  </si>
  <si>
    <t>465/425/OFF</t>
  </si>
  <si>
    <t>FP-82819R×2</t>
  </si>
  <si>
    <t xml:space="preserve">黃黑直條 </t>
  </si>
  <si>
    <t>2F6H91(A08-B)6D21錠組型號/溫度</t>
  </si>
  <si>
    <t>2F6I03(S2)69X3-色差</t>
  </si>
  <si>
    <t>111.7.5</t>
  </si>
  <si>
    <t>2F6I11(S2)-6C21換原絲</t>
  </si>
  <si>
    <t>FP-62239×2</t>
  </si>
  <si>
    <t>111.7.6</t>
  </si>
  <si>
    <t>2F6I22(J07)6H82挑紗/改批號</t>
  </si>
  <si>
    <t>2F6I33(S2-10～12)色紗-6G33換原絲/DR/重量</t>
  </si>
  <si>
    <t>150/48/2GY22</t>
  </si>
  <si>
    <t>FP-62917×2</t>
  </si>
  <si>
    <t>250/48GY22</t>
  </si>
  <si>
    <t>2F6I42(T03-R)6A82-換原絲/換JET</t>
  </si>
  <si>
    <t>111.7.14</t>
  </si>
  <si>
    <t>2F6I52(J08)6A52-換原絲/DR/換JET</t>
  </si>
  <si>
    <t>DH4318*2.2</t>
  </si>
  <si>
    <t xml:space="preserve">FP-62237R*2                </t>
  </si>
  <si>
    <t>111.7.21</t>
  </si>
  <si>
    <t>2F6I62(A08-B)69U2-Z+Z換原絲/降速/錠片型號</t>
  </si>
  <si>
    <t>FP-62243R×2</t>
  </si>
  <si>
    <t>2F6I72(A08-A)6G42-降速</t>
  </si>
  <si>
    <t>111.7.28</t>
  </si>
  <si>
    <t>2F6I83(T03-R)6H43-換原絲</t>
  </si>
  <si>
    <t>白黃十字/白桔双色-1</t>
  </si>
  <si>
    <t>2F6I92(S2)6G72換原絲/DR/壓力</t>
  </si>
  <si>
    <t>P204*2.6</t>
  </si>
  <si>
    <t xml:space="preserve">FP-82519R×2                  </t>
  </si>
  <si>
    <t>2F6J03(J09)6B53-換原絲</t>
  </si>
  <si>
    <t>FP-62245*2</t>
  </si>
  <si>
    <t>2F6J13(T04-R)6C63換原絲/換JET</t>
  </si>
  <si>
    <t>FP-82056R×2</t>
  </si>
  <si>
    <t>111.7.26</t>
  </si>
  <si>
    <t>2F6J21(J09)6B61換原絲/DR/降速</t>
  </si>
  <si>
    <t>365/355/153</t>
  </si>
  <si>
    <t>FP-62245×2</t>
  </si>
  <si>
    <t>2F6J32(J08)6I52-換原絲</t>
  </si>
  <si>
    <t xml:space="preserve">FP-62247R*2                </t>
  </si>
  <si>
    <t>2F6J41(T03-L)6G81換原絲</t>
  </si>
  <si>
    <t>FP-82054R*2</t>
  </si>
  <si>
    <t>2F6J53(S2)6I03(同64K3-33J)換原絲/DR</t>
  </si>
  <si>
    <t>2F6J62(T03-L)6G81換原絲/DR/JET(物性LIKE-6F82-33J)</t>
  </si>
  <si>
    <t>178/165</t>
  </si>
  <si>
    <t>FP-82819R*2</t>
  </si>
  <si>
    <t>2F6J72(J09)6H02換原絲/溫度修</t>
  </si>
  <si>
    <t>2F6J81(J08)6H51色差</t>
  </si>
  <si>
    <t>2F6J92(A08-A)6I72-換原絲</t>
  </si>
  <si>
    <t>FP-82521R×2</t>
  </si>
  <si>
    <t>111.8.17</t>
  </si>
  <si>
    <t>2F6M02(T03-R)6I42-色差/提升壓力</t>
  </si>
  <si>
    <t>DH4318*2.7</t>
  </si>
  <si>
    <t>2F6M13(S2)6G03換原絲/DR</t>
  </si>
  <si>
    <t>FP-62918×2</t>
  </si>
  <si>
    <t>2F6M23(S2)色紗-6G33色差</t>
  </si>
  <si>
    <t>P227*2.7</t>
  </si>
  <si>
    <t>2F6M32(A08-B)6J92-換原絲/溫度</t>
  </si>
  <si>
    <t>FP-62249R×2</t>
  </si>
  <si>
    <t>2F6M43(S1)6E63色差/色紗</t>
  </si>
  <si>
    <t>2F6M52(T03-L)66U2換原絲/DR/JET</t>
  </si>
  <si>
    <t>DH4318*2.3</t>
  </si>
  <si>
    <t>FP-72051×2</t>
  </si>
  <si>
    <t>255/48SD</t>
  </si>
  <si>
    <t>2F6M63(S2)6J53換原絲/DR</t>
  </si>
  <si>
    <t>150/48/2BN16</t>
  </si>
  <si>
    <t xml:space="preserve">FP-62993×2                  </t>
  </si>
  <si>
    <t>255/48BN16</t>
  </si>
  <si>
    <t>2F6M72(J09)6J72換原絲/JET</t>
  </si>
  <si>
    <t>500↓450-9/21</t>
  </si>
  <si>
    <t>450/410/OFF</t>
  </si>
  <si>
    <t>FP-82051R*2</t>
  </si>
  <si>
    <t>2F6M92(J08)6J32-換原絲/AP壓力</t>
  </si>
  <si>
    <t xml:space="preserve">FP-62252R*2                </t>
  </si>
  <si>
    <t>28.5-30.5-9/27</t>
  </si>
  <si>
    <t>2F6N03(S1)色紗-6E83-淺灰AP壓力</t>
  </si>
  <si>
    <t>2F6N11(T03-R)97B1換原絲/降速/機型/JET/DR</t>
  </si>
  <si>
    <t>2F6N23(J08)6J03-換原絲/DR</t>
  </si>
  <si>
    <t>FP-62256*2</t>
  </si>
  <si>
    <t>2F6N41(T03)6D01換原絲/升速/壓力AP</t>
  </si>
  <si>
    <t>FP-82025R×2</t>
  </si>
  <si>
    <t>2F6N53(S2)黑紗6G03換原絲</t>
  </si>
  <si>
    <t>FP-82523×2</t>
  </si>
  <si>
    <t>111.11.15</t>
  </si>
  <si>
    <t>2F6N63(S1)色紗-6N03-淺灰換原絲</t>
  </si>
  <si>
    <t>FP-82522×2</t>
  </si>
  <si>
    <t>111.11.24</t>
  </si>
  <si>
    <t>2F6N71(A08-B)6H91換原絲/AP壓力升</t>
  </si>
  <si>
    <t>FP-62260*2</t>
  </si>
  <si>
    <t>2F6N82(J09)6F82換原絲</t>
  </si>
  <si>
    <t>40(35)</t>
  </si>
  <si>
    <t>2F6N92(S2)DFI2-色紗深棕</t>
  </si>
  <si>
    <t>150/48/2BN25</t>
  </si>
  <si>
    <t xml:space="preserve">FP-62265×2                  </t>
  </si>
  <si>
    <t>255/48BN25</t>
  </si>
  <si>
    <t>2F6P03(S1)6E73色紗/DR/換原絲</t>
  </si>
  <si>
    <t>FP-62266×2</t>
  </si>
  <si>
    <t>2F6P13(S2)6F23色紗-色紗/AP壓力升</t>
  </si>
  <si>
    <t>85(80)</t>
  </si>
  <si>
    <t>2F6P23(S2)6M63深棕/色差</t>
  </si>
  <si>
    <t>2F6P32(J09)6M72換原絲/AP壓力降/升速</t>
  </si>
  <si>
    <t>FP-82060R*2</t>
  </si>
  <si>
    <t>100(115)</t>
  </si>
  <si>
    <t>2F6P43(T03)6I83-DR</t>
  </si>
  <si>
    <t>2F6P53(S1)6M43換原絲/DR</t>
  </si>
  <si>
    <t>FP-62267×2</t>
  </si>
  <si>
    <t>1.2(1.5)</t>
  </si>
  <si>
    <t>2F6P63(T03-L)6P43換原絲</t>
  </si>
  <si>
    <t>FP-62862R*2</t>
  </si>
  <si>
    <t>2F6P73(S1)6M13換原絲/DR</t>
  </si>
  <si>
    <t>FP-82524×2</t>
  </si>
  <si>
    <t>2F6P82(T03)68K2換原絲/DR/降速/JET</t>
  </si>
  <si>
    <t>FP-62851R×2</t>
  </si>
  <si>
    <t>2F6P92(J09)6F92換原絲</t>
  </si>
  <si>
    <t xml:space="preserve">FP-62851R*2                                      </t>
  </si>
  <si>
    <t>2F6Q03(S1)6F63色紗/DR</t>
  </si>
  <si>
    <t>112.2.10</t>
  </si>
  <si>
    <t>2F6Q12(S2)66X2換原絲</t>
  </si>
  <si>
    <t>112.2.13</t>
  </si>
  <si>
    <t>2F6Q21(A10-B)6N71</t>
  </si>
  <si>
    <t>2F6Q33(S1)色紗-6I33/DR</t>
  </si>
  <si>
    <t>85(75)</t>
  </si>
  <si>
    <t>2F6Q43(S2)色紗-6M23色差/DR</t>
  </si>
  <si>
    <t>2F6Q51(J08)6J81換原絲/升速/DR</t>
  </si>
  <si>
    <t>FP-62851R*2</t>
  </si>
  <si>
    <t>2F6Q63(T04-R)6J13換新紗/降速</t>
  </si>
  <si>
    <t>112.3.7</t>
  </si>
  <si>
    <t>2F6Q72(T01)6P82換原絲/JET</t>
  </si>
  <si>
    <t>FP-62857R×2</t>
  </si>
  <si>
    <t>112.3.10</t>
  </si>
  <si>
    <t>2F6Q81(J07)6J21換原絲</t>
  </si>
  <si>
    <t>FP-62256×2</t>
  </si>
  <si>
    <t>112.3.14</t>
  </si>
  <si>
    <t>2F6Q92(A24-B)6E42-換原絲</t>
  </si>
  <si>
    <t xml:space="preserve">FP-62254R×2                  </t>
  </si>
  <si>
    <t>28.5↑32-3/20</t>
  </si>
  <si>
    <t>2F6S03(S2)6I03-色差/DR</t>
  </si>
  <si>
    <t>112.3.16</t>
  </si>
  <si>
    <t>2F6S12(J09)6P92換原絲</t>
  </si>
  <si>
    <t>DH4318*2.5/P227*1.9</t>
  </si>
  <si>
    <t xml:space="preserve">FP-62853R*2                                      </t>
  </si>
  <si>
    <t>112.3.17</t>
  </si>
  <si>
    <t>2F6S22(T03)6P82換原絲</t>
  </si>
  <si>
    <t>2F6S33(S1)6J53換新紗</t>
  </si>
  <si>
    <t>2F6S41(J08)6Q51換原絲</t>
  </si>
  <si>
    <t>FP-62853R*2</t>
  </si>
  <si>
    <t>112.3.25</t>
  </si>
  <si>
    <t>2F6S53(S1)6G63-DR</t>
  </si>
  <si>
    <t>2F6S72(T04)6S22換原絲</t>
  </si>
  <si>
    <t>600↑700-6/5</t>
  </si>
  <si>
    <t>DH4318*2.5/227*2.0</t>
  </si>
  <si>
    <t>2F6S83(A10-A)色紗-6N63/DR/降速/機型</t>
  </si>
  <si>
    <t>2F6S93(A10-B)色紗-6Q33/DR/降速/機型</t>
  </si>
  <si>
    <t>FP-82527×2</t>
  </si>
  <si>
    <t>2F6T03(A10-A)黑紗6N53機型/降速/DR</t>
  </si>
  <si>
    <t>21↑23-6/15</t>
  </si>
  <si>
    <t>2F6T12(T01)6S72改規格</t>
  </si>
  <si>
    <t>227*2.0</t>
  </si>
  <si>
    <t>2F6T23(A10-A)色紗-6S83/DR/重量(物性-6Q03)</t>
  </si>
  <si>
    <t>2F6T32(A10-B)-6F32/DR</t>
  </si>
  <si>
    <t>2F6T41(J08)6Q81色差</t>
  </si>
  <si>
    <t>磷含量-6375</t>
  </si>
  <si>
    <t>2F6T53(J08)6N23-換原絲/DR</t>
  </si>
  <si>
    <t>FP-62276*2</t>
  </si>
  <si>
    <t>2F6T63(A10-A)色紗-換原絲6S83/DR/AP壓力(物性-64N3)</t>
  </si>
  <si>
    <t>FP-62995×2</t>
  </si>
  <si>
    <t>2F6T71(A10-A)6Q21/DR</t>
  </si>
  <si>
    <t>磷含量-4740</t>
  </si>
  <si>
    <t>2F6T81(J08)6S41</t>
  </si>
  <si>
    <t>2F6T93(S1)6P23深棕/換新紗/DR</t>
  </si>
  <si>
    <t>2F6U03(S1)色紗-6Q43換新紗</t>
  </si>
  <si>
    <t>112.6.20</t>
  </si>
  <si>
    <t>2F6U13(A24-A)6D73-換原絲/改規格/改重量/溫度</t>
  </si>
  <si>
    <t>FP-62286R*2</t>
  </si>
  <si>
    <t>3.5↓3.0-7/6</t>
  </si>
  <si>
    <t>120↓110-7/6</t>
  </si>
  <si>
    <t>磷含量-5925</t>
  </si>
  <si>
    <t>2F6U21(S1)9C71/DR/降速/換原絲</t>
  </si>
  <si>
    <t xml:space="preserve">FP-62862R×2                  </t>
  </si>
  <si>
    <t>2F6U43(S1)6P53換原絲/修溫度</t>
  </si>
  <si>
    <t>330/330/140</t>
  </si>
  <si>
    <t>FP-82529×2</t>
  </si>
  <si>
    <t>2F6U52(A10-A)6J92</t>
  </si>
  <si>
    <t>2F6U61(J08)6T81換原絲</t>
  </si>
  <si>
    <t>2F6U73(S1)色紗-6N63-淺灰/修DR</t>
  </si>
  <si>
    <t>2F6U82(J09)6S12換原絲</t>
  </si>
  <si>
    <t xml:space="preserve">FP-62858R*2                                      </t>
  </si>
  <si>
    <t>2F6U93(S1)6S03-換原絲</t>
  </si>
  <si>
    <t xml:space="preserve">FP-82530×2                  </t>
  </si>
  <si>
    <t>2F6V02(J09)6U82改規格/更換JET</t>
  </si>
  <si>
    <t>112.8.9</t>
  </si>
  <si>
    <t>2F6V13(S1)6T93深棕/換原絲</t>
  </si>
  <si>
    <t>FP-82532*2</t>
  </si>
  <si>
    <t>2F6V21(T01)6N41換原絲/升速</t>
  </si>
  <si>
    <t>198/OFF</t>
  </si>
  <si>
    <t>2F6V31(T05-L洗車)6N41換原絲/升速</t>
  </si>
  <si>
    <t>FP-82065R×2</t>
  </si>
  <si>
    <t>2F6V42(T05-L)6S72換原絲</t>
  </si>
  <si>
    <t>203/OFF</t>
  </si>
  <si>
    <t>2F6V51(A24-A)6E51換原絲/DR/改重量</t>
  </si>
  <si>
    <t>磷含量-6455</t>
  </si>
  <si>
    <t>2F6V71(S1)6F41-色紗-灰/換原絲</t>
  </si>
  <si>
    <t>2F6V83(A10-A)9LI3</t>
  </si>
  <si>
    <t>2F6V91(J08)6U61換原絲</t>
  </si>
  <si>
    <t>600↓550-11/16</t>
  </si>
  <si>
    <t>488/448/OFF</t>
  </si>
  <si>
    <t>FP-82075R*2</t>
  </si>
  <si>
    <t>2F6W03(A24-A)6D73-換原絲/DR/溫度/改節數</t>
  </si>
  <si>
    <t>3.5↓3.0-9/4</t>
  </si>
  <si>
    <t>112.8.30</t>
  </si>
  <si>
    <t>磷含量-6155</t>
  </si>
  <si>
    <t>2F6W12(T01)6S72改規格</t>
  </si>
  <si>
    <t>3.0(S)/5.5</t>
  </si>
  <si>
    <t>112.9.5</t>
  </si>
  <si>
    <t>2F6W21(A24-A)</t>
  </si>
  <si>
    <t>2F6W33(A24-A)6P63換機型/升速/DR/改規格</t>
  </si>
  <si>
    <t>2F6W42(J07)6S12改規格</t>
  </si>
  <si>
    <t>DH4318*2.5/P204*2.5</t>
  </si>
  <si>
    <t>2F6W52(T05-R)6V42換原絲</t>
  </si>
  <si>
    <t>2F6W61(J09)6T81換原絲</t>
  </si>
  <si>
    <t>FP-62858R*2</t>
  </si>
  <si>
    <t>2F6W71(S1)-6I11換原絲</t>
  </si>
  <si>
    <t>FP-82534×2</t>
  </si>
  <si>
    <t>2F6W83(A24-A)6W33/改規格</t>
  </si>
  <si>
    <t>112.9.25</t>
  </si>
  <si>
    <t>2F6W91(T06-洗車)6V21-換原絲</t>
  </si>
  <si>
    <t>2F6X02(T06-R)6W52換原絲/DR改規格</t>
  </si>
  <si>
    <t>FP-62850R×2</t>
  </si>
  <si>
    <t>2F6X11(A10-B)6T71換原絲/DR/降速</t>
  </si>
  <si>
    <t>FP-82619*2</t>
  </si>
  <si>
    <t>磷含量-5465</t>
  </si>
  <si>
    <t xml:space="preserve">白綠條紋 </t>
  </si>
  <si>
    <t>2F6X22(S1)6I92換原絲/壓力</t>
  </si>
  <si>
    <t xml:space="preserve">FP-82537R×2                  </t>
  </si>
  <si>
    <t>2.5-9/27</t>
  </si>
  <si>
    <t>2F6X31(T06-L)6J41換原絲/升速/DR</t>
  </si>
  <si>
    <t>176/170</t>
  </si>
  <si>
    <t>112.9.26</t>
  </si>
  <si>
    <t>2F6X42(A10-B)6U52</t>
  </si>
  <si>
    <t>112.10.5</t>
  </si>
  <si>
    <t>2F6X51(S1)-6G21換原絲</t>
  </si>
  <si>
    <t>112.10.3</t>
  </si>
  <si>
    <t>2F6X62(S1)</t>
  </si>
  <si>
    <t>150/48/2BSD2</t>
  </si>
  <si>
    <t>350/350/OFF</t>
  </si>
  <si>
    <t>FP-82049×2</t>
  </si>
  <si>
    <t>2F6X71(A24-A)-6H31換原絲/DR/機型-色紗-岩灰</t>
  </si>
  <si>
    <t>FP-82535×2</t>
  </si>
  <si>
    <t>2F6X83(T03-R)6P63</t>
  </si>
  <si>
    <t>112.10.8</t>
  </si>
  <si>
    <t>2F6X91(A24)6V51換原絲</t>
  </si>
  <si>
    <t xml:space="preserve">FP-82620×2                                      </t>
  </si>
  <si>
    <t>磷含量-5760</t>
  </si>
  <si>
    <t>2F6Y02(S1)DRB1</t>
  </si>
  <si>
    <t>150/72/2SDR</t>
  </si>
  <si>
    <t xml:space="preserve">FP-82045R×2                  </t>
  </si>
  <si>
    <t>2F6Y12(S1)6X22</t>
  </si>
  <si>
    <t>112.10.23</t>
  </si>
  <si>
    <t>2F6Y21(A14-A)6X31換原絲/升速/DR機型</t>
  </si>
  <si>
    <t>335/305/170</t>
  </si>
  <si>
    <t>FP-62764R*2</t>
  </si>
  <si>
    <t>112.11.2</t>
  </si>
  <si>
    <t>2F6Y32(T03-R)6X02換原絲/升速/降速</t>
  </si>
  <si>
    <t>750↓700-11/15</t>
  </si>
  <si>
    <t>DH4318*2.8</t>
  </si>
  <si>
    <t>2F6Y43(A24-A)6W03-換原絲/升速</t>
  </si>
  <si>
    <t>FP-82614*2</t>
  </si>
  <si>
    <t>2F6Y51(A24-B)6D51-換原絲/DR</t>
  </si>
  <si>
    <t xml:space="preserve">FP-82725×2                  </t>
  </si>
  <si>
    <t>2F6Y62(A10-A)6X42換原絲/DR/溫度</t>
  </si>
  <si>
    <t>2F6Y72(S1)6Y12換原絲/DR/升速</t>
  </si>
  <si>
    <t xml:space="preserve">FP-82540R×2                  </t>
  </si>
  <si>
    <t>112.11.28</t>
  </si>
  <si>
    <t>2F6Y82(T03-R)6Y32改規格</t>
  </si>
  <si>
    <t>700↓650-4/2</t>
  </si>
  <si>
    <t>199/OFF</t>
  </si>
  <si>
    <t>DH4318/P204*2.8</t>
  </si>
  <si>
    <t>2F6Y91(T03-L)6V21換原絲/DR</t>
  </si>
  <si>
    <t>2F6Z01(T01-R)6X31換原絲/升速/DR</t>
  </si>
  <si>
    <t>白紫條</t>
  </si>
  <si>
    <t>2F6Z12(J08)6W42換原絲/色差</t>
  </si>
  <si>
    <t>2F6Z23(A10-B)6T63色紗-換原絲/DR</t>
  </si>
  <si>
    <t>FP-62202×2</t>
  </si>
  <si>
    <t>2F6Z31(A10-B)6X11</t>
  </si>
  <si>
    <t>29.5-26-12/27</t>
  </si>
  <si>
    <t>磷含量-5160</t>
  </si>
  <si>
    <t>2F6Z42(A10-B)-6T32/DR換原絲</t>
  </si>
  <si>
    <t>FP-62204R×2</t>
  </si>
  <si>
    <t>270/48FBKRO</t>
  </si>
  <si>
    <t>2F6Z51(S1)-6W71換原絲/DR</t>
  </si>
  <si>
    <t>2F6Z61(A10-A)6Z31換原絲/DR</t>
  </si>
  <si>
    <t>450↑500-1/11</t>
  </si>
  <si>
    <t>29.5-26-1/5</t>
  </si>
  <si>
    <t>112.12.22</t>
  </si>
  <si>
    <t>磷含量-5140</t>
  </si>
  <si>
    <t>2F6Z71(J09)6V91降速</t>
  </si>
  <si>
    <t>2F6Z83(T06-R)6X83換原絲/DR/溫度</t>
  </si>
  <si>
    <t>FP-62732R*2</t>
  </si>
  <si>
    <t>113.1.2</t>
  </si>
  <si>
    <t>2F6Z93(A15-B)6Z83機型/升速/壓力</t>
  </si>
  <si>
    <t>P204*4.3</t>
  </si>
  <si>
    <t>2F7002(A07-B)7U22-換原絲</t>
  </si>
  <si>
    <t>30/12SDR</t>
  </si>
  <si>
    <t>FP-80947R</t>
  </si>
  <si>
    <t>50/12SDR</t>
  </si>
  <si>
    <t>2F7012(A13-B)71C2換原絲</t>
  </si>
  <si>
    <t>208/208/OFF</t>
  </si>
  <si>
    <t>FP-80008R</t>
  </si>
  <si>
    <t>2F7022(M04)5F7V32-換原絲/DR/71C2-物性</t>
  </si>
  <si>
    <t>廠商-迪卡儂-110.8/12-發</t>
  </si>
  <si>
    <t>2F7032(A09-B)7012</t>
  </si>
  <si>
    <t>110.10.8</t>
  </si>
  <si>
    <t>紫綠條紋</t>
  </si>
  <si>
    <t>2F7052(A13-B)71I2換原絲</t>
  </si>
  <si>
    <t>30/24SDR</t>
  </si>
  <si>
    <t>FP-60500R</t>
  </si>
  <si>
    <t>50/24SDR</t>
  </si>
  <si>
    <t>2F70A1(M05)AQ31換原絲</t>
  </si>
  <si>
    <t>160/72SDRO</t>
  </si>
  <si>
    <t>178/162</t>
  </si>
  <si>
    <t>FP-82928R</t>
  </si>
  <si>
    <t>2F70B2(A07-B)1ZY2-換原絲</t>
  </si>
  <si>
    <t>70/36SAXT</t>
  </si>
  <si>
    <t>FP-61408</t>
  </si>
  <si>
    <t>120/36SAXT</t>
  </si>
  <si>
    <t>2F70C2(A07-B)70B2-色差</t>
  </si>
  <si>
    <t>2F70D2(A17-B)AS52-換原絲</t>
  </si>
  <si>
    <t>200/72CDR</t>
  </si>
  <si>
    <t>280/280/159</t>
  </si>
  <si>
    <t>FP-63032R</t>
  </si>
  <si>
    <t>340/72CDR</t>
  </si>
  <si>
    <t>2F70E2(A14)7W02換原絲</t>
  </si>
  <si>
    <t>30/24SDRO</t>
  </si>
  <si>
    <t>FP-60451R</t>
  </si>
  <si>
    <t>50/24SDRO</t>
  </si>
  <si>
    <t>108.3.21</t>
  </si>
  <si>
    <t>2F70F2(A18)7T92換原絲</t>
  </si>
  <si>
    <t>30/36SDR</t>
  </si>
  <si>
    <t>FP-80921R</t>
  </si>
  <si>
    <t>5.1(4.0)</t>
  </si>
  <si>
    <t>2F70G2(A07-A)1TM2換原絲</t>
  </si>
  <si>
    <t>140/140/OFF</t>
  </si>
  <si>
    <t>FP-61434</t>
  </si>
  <si>
    <t>145/36PCM</t>
  </si>
  <si>
    <t>3.0(1.0)</t>
  </si>
  <si>
    <t>2F70H3(A21)7T73換原絲/降速/DR</t>
  </si>
  <si>
    <t>165/48SR6</t>
  </si>
  <si>
    <t>2F70I2(A14-A)70E2色差</t>
  </si>
  <si>
    <t>2F70J2(A17-A)70F2換原絲</t>
  </si>
  <si>
    <t>FP-80919R</t>
  </si>
  <si>
    <t>50/36SDRD</t>
  </si>
  <si>
    <t>3.0(2.1)</t>
  </si>
  <si>
    <t>2F70K1(M04)70A1換原絲</t>
  </si>
  <si>
    <t>FP-82904R</t>
  </si>
  <si>
    <t>2F70L2(T04-R)</t>
  </si>
  <si>
    <t xml:space="preserve">FP-81997R                  </t>
  </si>
  <si>
    <t>140/72SDR</t>
  </si>
  <si>
    <t>2F70M2(A18-A)70F2換原絲</t>
  </si>
  <si>
    <t>FP-60455R</t>
  </si>
  <si>
    <t>2F70N2(A17-A)70J2換原絲</t>
  </si>
  <si>
    <t>108.5.14</t>
  </si>
  <si>
    <t>2F70P2(A07-B)7002-換原絲</t>
  </si>
  <si>
    <t>212/212/OFF</t>
  </si>
  <si>
    <t>FP-80917R</t>
  </si>
  <si>
    <t>2F70Q3(M05)70H3換原絲/降速/DR</t>
  </si>
  <si>
    <t>158/142</t>
  </si>
  <si>
    <t>2F70R1(M05)70K1色差</t>
  </si>
  <si>
    <t>175/163</t>
  </si>
  <si>
    <t>2F70S1(J07)6011換原絲/DR</t>
  </si>
  <si>
    <t>FP-62743R*2   FP-62744R*2</t>
  </si>
  <si>
    <t>108.7.4</t>
  </si>
  <si>
    <t>2F70T2(A07-A)70P2色差</t>
  </si>
  <si>
    <t>213/213/OFF</t>
  </si>
  <si>
    <t>2F70U2(J07)5F7G02R</t>
  </si>
  <si>
    <t>100/96/2SDR</t>
  </si>
  <si>
    <t>305/280/145</t>
  </si>
  <si>
    <t>FP-81936R*2</t>
  </si>
  <si>
    <t>2F70V2(T03)5F7G02R換原絲/升速</t>
  </si>
  <si>
    <t>175/150</t>
  </si>
  <si>
    <t>2F70W2(A07-A)70T2換原絲</t>
  </si>
  <si>
    <t>FP-80933R</t>
  </si>
  <si>
    <t>2F70X2(M05)70N2換原絲/機型</t>
  </si>
  <si>
    <t>FP-60750R</t>
  </si>
  <si>
    <t>3.0(1.5)</t>
  </si>
  <si>
    <t>2F70Y3(J08)5F7V73換原絲</t>
  </si>
  <si>
    <t>470/410/165</t>
  </si>
  <si>
    <t xml:space="preserve">FP-83903R*2    </t>
  </si>
  <si>
    <t>340/72SDRD</t>
  </si>
  <si>
    <t>2F70Z2(T03-L)70V2換原絲</t>
  </si>
  <si>
    <t>FP-81966R*2</t>
  </si>
  <si>
    <t>2F7102(M04)71D2色差</t>
  </si>
  <si>
    <t>3.0(1.7)</t>
  </si>
  <si>
    <t>2F7112(M02)7102換原絲</t>
  </si>
  <si>
    <t>FP-60751R</t>
  </si>
  <si>
    <t>3.0(1.6)</t>
  </si>
  <si>
    <t>2F7122(M02-A)7122換原絲</t>
  </si>
  <si>
    <t>FP-60501R</t>
  </si>
  <si>
    <t>3.0(1.3)</t>
  </si>
  <si>
    <t>2F71A2(A19-B)70I2換原絲</t>
  </si>
  <si>
    <t>FP-60470R</t>
  </si>
  <si>
    <t>2F71B2(A07-B)70G2換原絲</t>
  </si>
  <si>
    <t>FP-61474</t>
  </si>
  <si>
    <t>2F71C2(A07-A)70W2換原絲</t>
  </si>
  <si>
    <t>FP-80935R</t>
  </si>
  <si>
    <t>2F71D2(M04)70X2</t>
  </si>
  <si>
    <t>2F71E2(A07-B)71B2色差</t>
  </si>
  <si>
    <t>108.10.18</t>
  </si>
  <si>
    <t>2F71F2(S2)</t>
  </si>
  <si>
    <t>307/307/140</t>
  </si>
  <si>
    <t xml:space="preserve">FP-62041     </t>
  </si>
  <si>
    <t>2F71G2(T04-L)70Z2色差</t>
  </si>
  <si>
    <t>108.11.5</t>
  </si>
  <si>
    <t>2F71H3(S2)70Q3換原絲/升速/DR/機型</t>
  </si>
  <si>
    <t>2F71I2(A19-A)71A2換原絲</t>
  </si>
  <si>
    <t>FP-60477R</t>
  </si>
  <si>
    <t>2F71J2(T04-R)93R2色差</t>
  </si>
  <si>
    <t>100/36/2CDR</t>
  </si>
  <si>
    <t>FP-61481R*2</t>
  </si>
  <si>
    <t>2F71K2(T04-L)70L2-換原絲/降速/DR</t>
  </si>
  <si>
    <t xml:space="preserve">FP-61487R                  </t>
  </si>
  <si>
    <t>2F71L1(S2)5F7U51-換原絲/DR/降速</t>
  </si>
  <si>
    <t>165/48/2SR6</t>
  </si>
  <si>
    <t>FP-62041*2</t>
  </si>
  <si>
    <t>2F71N1(J08)70S1色差</t>
  </si>
  <si>
    <t>FP-62744R*2</t>
  </si>
  <si>
    <t>108.11.26</t>
  </si>
  <si>
    <t>2F71P2(S1)94H2</t>
  </si>
  <si>
    <t>100/36/2SDRO</t>
  </si>
  <si>
    <t>260/240/137</t>
  </si>
  <si>
    <t>FP-81973R*2</t>
  </si>
  <si>
    <t>108.11.27</t>
  </si>
  <si>
    <t>2F71Q1(J07)5F7V11換原絲</t>
  </si>
  <si>
    <t>225/72/2SRR5</t>
  </si>
  <si>
    <t>380/360/155</t>
  </si>
  <si>
    <t>FP-63033R×2</t>
  </si>
  <si>
    <t>375/72SRR5</t>
  </si>
  <si>
    <t>5.8(GB)</t>
  </si>
  <si>
    <t>35±20</t>
  </si>
  <si>
    <t>2F71R2(A07-A)5F7V92換原絲</t>
  </si>
  <si>
    <t>35/36HC</t>
  </si>
  <si>
    <t>FP-80714</t>
  </si>
  <si>
    <t>60/36HC</t>
  </si>
  <si>
    <t>5.5(GB)</t>
  </si>
  <si>
    <t>2F71S2(T04-R)71G2換原絲/DR</t>
  </si>
  <si>
    <t>FP-81992R*2</t>
  </si>
  <si>
    <t>109.1.6</t>
  </si>
  <si>
    <t>2F71T3(J09)5F7K63換原絲</t>
  </si>
  <si>
    <t>300/96/2SR6</t>
  </si>
  <si>
    <t>P312</t>
  </si>
  <si>
    <t>FP-65025*2</t>
  </si>
  <si>
    <t>500/96SR6</t>
  </si>
  <si>
    <t>2F71U1(J08)70S1換原絲</t>
  </si>
  <si>
    <t>FP-62745R*2</t>
  </si>
  <si>
    <t>2F71V1(M03)70R1換原絲</t>
  </si>
  <si>
    <t>FP-82953R</t>
  </si>
  <si>
    <t>5.5(5.4)</t>
  </si>
  <si>
    <t>2F71W2(M05-A)71K2-換原絲/降速/機型</t>
  </si>
  <si>
    <t xml:space="preserve">FP-81994R                  </t>
  </si>
  <si>
    <t>2F71X2(A23-A)71P2機型/DR</t>
  </si>
  <si>
    <t>260/240/140</t>
  </si>
  <si>
    <t>2F71Y2(J09-R)9762</t>
  </si>
  <si>
    <t>300/96/2SDRO</t>
  </si>
  <si>
    <t>460/430/OFF</t>
  </si>
  <si>
    <t>FP-64034R*2</t>
  </si>
  <si>
    <t>109.2.21</t>
  </si>
  <si>
    <t>2F71Z3(J09)70Y3換原絲</t>
  </si>
  <si>
    <t>460/400/160</t>
  </si>
  <si>
    <t xml:space="preserve">FP-63034R*2    </t>
  </si>
  <si>
    <t>340/72SDR</t>
  </si>
  <si>
    <t>2F7252(A15)71S2-DR/降速/機型</t>
  </si>
  <si>
    <t>245/245/145</t>
  </si>
  <si>
    <t>2F72A2(A19-A)71X2 加原絲</t>
  </si>
  <si>
    <t>FP-81973R+819117R</t>
  </si>
  <si>
    <t>109.3.12</t>
  </si>
  <si>
    <t>2F72B1(M04)71V1換原絲</t>
  </si>
  <si>
    <t>FP-82972R</t>
  </si>
  <si>
    <t>2F72C1(S2)5F7U51換原絲</t>
  </si>
  <si>
    <t>335/335/150</t>
  </si>
  <si>
    <t>FP-62066*2</t>
  </si>
  <si>
    <t>275/48SR6</t>
  </si>
  <si>
    <t>2F72D2(A17-B)5F7U42換原絲/修DR/牢度</t>
  </si>
  <si>
    <t>315/315/150</t>
  </si>
  <si>
    <t>FP-62066</t>
  </si>
  <si>
    <t>2F72E2(J08-R)71Y2色差/DR</t>
  </si>
  <si>
    <t>2F72F1(M04)72B1換原絲</t>
  </si>
  <si>
    <t>FP-82973R</t>
  </si>
  <si>
    <t>5.5(5.5)</t>
  </si>
  <si>
    <t>2F72G3(A17)70H3換原絲/DR</t>
  </si>
  <si>
    <t>2F72H2(T03-L)71J2換原絲</t>
  </si>
  <si>
    <t>FP-61535R*2</t>
  </si>
  <si>
    <t>2F72I2(M05)72D2換原絲/DR/降速/機型</t>
  </si>
  <si>
    <t>167/164</t>
  </si>
  <si>
    <t>FP-62079</t>
  </si>
  <si>
    <t>2F72J1(J09-R)5F7S21-換原絲</t>
  </si>
  <si>
    <t>385/380/150</t>
  </si>
  <si>
    <t>FP-62079×2</t>
  </si>
  <si>
    <t>2F72K2(J09-R)</t>
  </si>
  <si>
    <t>225/72/2SDRO</t>
  </si>
  <si>
    <t>462/402/OFF</t>
  </si>
  <si>
    <t xml:space="preserve">FP-83905R*2    </t>
  </si>
  <si>
    <t>355/72SDRO</t>
  </si>
  <si>
    <t>2F72L2(M05)</t>
  </si>
  <si>
    <t>225/48CDR</t>
  </si>
  <si>
    <t>FP-63036R</t>
  </si>
  <si>
    <t>375/48CDR</t>
  </si>
  <si>
    <t>7.5(6.2)</t>
  </si>
  <si>
    <t>2F72M2(J08)72K2換原絲/DR</t>
  </si>
  <si>
    <t xml:space="preserve">FP-83906R*2    </t>
  </si>
  <si>
    <t>340/72SDRO</t>
  </si>
  <si>
    <t>18(21.5)</t>
  </si>
  <si>
    <t>1(0.7-72K2)</t>
  </si>
  <si>
    <t>2F72N2(T01-L)72H2換原絲/DR</t>
  </si>
  <si>
    <t>FP-61551R*2</t>
  </si>
  <si>
    <t>2F72Q2(A21-A)72N2換原絲/DR/升速/機型</t>
  </si>
  <si>
    <t>FP-61537R*2</t>
  </si>
  <si>
    <t>2F72R2(A21-A)72Q2換原絲</t>
  </si>
  <si>
    <t>281/281/155</t>
  </si>
  <si>
    <t>FP-61586R*2</t>
  </si>
  <si>
    <t>2F72S2(A21-A)72R2改重量加O</t>
  </si>
  <si>
    <t>100/36/2CDRO</t>
  </si>
  <si>
    <t>2F72T2(A13-B)70N2換原絲</t>
  </si>
  <si>
    <t>150(155)</t>
  </si>
  <si>
    <t>110.1.11</t>
  </si>
  <si>
    <t>2F72U2(A13-A)70N2換原絲/DR</t>
  </si>
  <si>
    <t>FP-80007R</t>
  </si>
  <si>
    <t>2F72V2(A21-A)72R2換原絲</t>
  </si>
  <si>
    <t>FP-61591R*2</t>
  </si>
  <si>
    <t>2F72W3(S2)</t>
  </si>
  <si>
    <t>375/156SBKCTR</t>
  </si>
  <si>
    <t>FP-62125+62112+81017R</t>
  </si>
  <si>
    <t>250/48HC+250/36BK+120/72SDR</t>
  </si>
  <si>
    <t>2F72X2(J08)72K2換原絲</t>
  </si>
  <si>
    <t xml:space="preserve">FP-83801R*2    </t>
  </si>
  <si>
    <t>2F72Y1(J08-R)</t>
  </si>
  <si>
    <t>462/402/180</t>
  </si>
  <si>
    <t>110.3.9</t>
  </si>
  <si>
    <t>2F72Z2(A15-A)71R2換原絲/DR</t>
  </si>
  <si>
    <t>FP-60509</t>
  </si>
  <si>
    <t>2F7302(A24-B)5F7V22換原絲/升速/JET</t>
  </si>
  <si>
    <t>100/36/2SDR</t>
  </si>
  <si>
    <t>343/293/OFF</t>
  </si>
  <si>
    <t>FP-81988R*2</t>
  </si>
  <si>
    <t>2F7311(T03-L)9791換原絲/DR/降速/機型</t>
  </si>
  <si>
    <t>197/140</t>
  </si>
  <si>
    <t>FP-81020R*2</t>
  </si>
  <si>
    <t>2F73A3(J09)71Z3換原絲/JET</t>
  </si>
  <si>
    <t xml:space="preserve">FP-63039R*2    </t>
  </si>
  <si>
    <t>2F73B2(A07-B)D6E2-取消建錯無生產</t>
  </si>
  <si>
    <t>FP-61943</t>
  </si>
  <si>
    <t>2F73C2(A20-B)72D2換原絲</t>
  </si>
  <si>
    <t>315/315/160</t>
  </si>
  <si>
    <t>FP-62138</t>
  </si>
  <si>
    <t>2F73D2(A24-A)71W2-換原絲/升速/機型</t>
  </si>
  <si>
    <t>2F73E2(J09)</t>
  </si>
  <si>
    <t>500/470/160</t>
  </si>
  <si>
    <t>FP-84800R*2</t>
  </si>
  <si>
    <t>495/96SDRO</t>
  </si>
  <si>
    <t>2F73F1(A20-A)72C1換原絲/DR/升速/機型</t>
  </si>
  <si>
    <t>325/325/160</t>
  </si>
  <si>
    <t>FP-62138*2</t>
  </si>
  <si>
    <t>2F73G1(A11)72B1換原絲/機型/DR</t>
  </si>
  <si>
    <t>295/295/150</t>
  </si>
  <si>
    <t>FP-82808R</t>
  </si>
  <si>
    <t>2F73H2(A20-B)7252-DR/換原絲</t>
  </si>
  <si>
    <t>FP-81004R*2</t>
  </si>
  <si>
    <t>2F73I3(J09)73A3換原絲/JET/DR</t>
  </si>
  <si>
    <t xml:space="preserve">FP-83003R*2    </t>
  </si>
  <si>
    <t>110.5.14</t>
  </si>
  <si>
    <t>2F73J2(A07-B)D6E2</t>
  </si>
  <si>
    <t>2F73K2(A07-B)5F7V02-換原絲/DR/重量</t>
  </si>
  <si>
    <t>40/24SAXT</t>
  </si>
  <si>
    <t>FP-60940</t>
  </si>
  <si>
    <t>70/24SAXT</t>
  </si>
  <si>
    <t>2F73L2(A12-B)72S2換原絲</t>
  </si>
  <si>
    <t>FP-61611R*2</t>
  </si>
  <si>
    <t>2F73M3(J09)71T3換原絲/DR</t>
  </si>
  <si>
    <t>470/430/OFF</t>
  </si>
  <si>
    <t>FP-65028*2</t>
  </si>
  <si>
    <t>2F73N2(A07-A)5FDBT2</t>
  </si>
  <si>
    <t>70/36SAXTS</t>
  </si>
  <si>
    <t>FP-61969</t>
  </si>
  <si>
    <t>120/36SAXTS</t>
  </si>
  <si>
    <t>5.0(4.5)</t>
  </si>
  <si>
    <t>2F73P2(J09)73E2換原絲/DR</t>
  </si>
  <si>
    <t>FP-84801R*2</t>
  </si>
  <si>
    <t>110.6.23</t>
  </si>
  <si>
    <t>2F73Q3(J09)73I3換原絲/DR</t>
  </si>
  <si>
    <t>480/420/160</t>
  </si>
  <si>
    <t xml:space="preserve">FP-83004R*2    </t>
  </si>
  <si>
    <t>2F73R2(A09-A)72T2換原絲/DR</t>
  </si>
  <si>
    <t>FP-60850R</t>
  </si>
  <si>
    <t>2F73S1(A11-B)97N1換原絲</t>
  </si>
  <si>
    <t>FP-61627R*2</t>
  </si>
  <si>
    <t>2F73T1(M04-A)72F1換原絲/DR-規格改不加O</t>
  </si>
  <si>
    <t>160/72SDR</t>
  </si>
  <si>
    <t>2F73U2(A15-B)73J2改重量/AP</t>
  </si>
  <si>
    <t>2F73V2(A15-B)73K2-色差</t>
  </si>
  <si>
    <t>2F73W2(A15-A)73N2改重量</t>
  </si>
  <si>
    <t>2F73X1(J09-R)73Q1換原絲</t>
  </si>
  <si>
    <t>FP-63040R×2</t>
  </si>
  <si>
    <t>375/72SRR6</t>
  </si>
  <si>
    <t>2F73Y1(M05)73T1色差/DR</t>
  </si>
  <si>
    <t>2F73Z2(J09)72V2換原絲/機型/降速/DR</t>
  </si>
  <si>
    <t>340/320/150</t>
  </si>
  <si>
    <t>FP-61645R*2</t>
  </si>
  <si>
    <t>2F74A2(A09-B)7AB2</t>
  </si>
  <si>
    <t>30/24SDROP</t>
  </si>
  <si>
    <t>FP-80801R</t>
  </si>
  <si>
    <t>2F74B2(S2)73H2-DR/換原絲/機型</t>
  </si>
  <si>
    <t>FP-61770R*2</t>
  </si>
  <si>
    <t>2F74C1(M07)73Y1色差</t>
  </si>
  <si>
    <t>2F74D2(S2)71P2換原絲/降速/DR</t>
  </si>
  <si>
    <t>248/228/135</t>
  </si>
  <si>
    <t>FP-81802R*2</t>
  </si>
  <si>
    <t>2F74E1(M07)74C1換原絲/DR</t>
  </si>
  <si>
    <t>2F74F2(S2)74D2換原絲/DR/溫度/AP</t>
  </si>
  <si>
    <t>260/240/135</t>
  </si>
  <si>
    <t>FP-61773R*2</t>
  </si>
  <si>
    <t>2F74G2(M07)72L2換原絲</t>
  </si>
  <si>
    <t>FP-63041R</t>
  </si>
  <si>
    <t>2F74H2(A23-A)73W2/DR/換原絲</t>
  </si>
  <si>
    <t>2F74I2(A23-B)71E2換原絲/DR</t>
  </si>
  <si>
    <t>FP-61655</t>
  </si>
  <si>
    <t>2F74J2(A22-A)73V2-換原絲/DR/規格</t>
  </si>
  <si>
    <t>40/24AXTSR</t>
  </si>
  <si>
    <t>FP-60967R</t>
  </si>
  <si>
    <t>70/24AXTSR</t>
  </si>
  <si>
    <t>2F74K2(J08)73P2換原絲</t>
  </si>
  <si>
    <t>2F74L2(A20-B)73L2換原絲/DR/錠組</t>
  </si>
  <si>
    <t>2F74M2(M08)7122換原絲/物性LIKE-73R2</t>
  </si>
  <si>
    <t>FP-80020R</t>
  </si>
  <si>
    <t>2F74N3(J08)73Q3換原絲/DR</t>
  </si>
  <si>
    <t xml:space="preserve">FP-63740R*2    </t>
  </si>
  <si>
    <t>345/72SDR</t>
  </si>
  <si>
    <t>2F74P1(J08)5F7R41換原絲/規格/溫度</t>
  </si>
  <si>
    <t>15.7</t>
  </si>
  <si>
    <t>505/490/200</t>
  </si>
  <si>
    <t xml:space="preserve">FP-63770R*2                </t>
  </si>
  <si>
    <t>375/72SDR</t>
  </si>
  <si>
    <t>2F74Q2(A21-B)72U2換原絲/DR</t>
  </si>
  <si>
    <t>2F74R2(J08)73Z2換原絲/DR</t>
  </si>
  <si>
    <t>5/4.0(S)</t>
  </si>
  <si>
    <t>FP-81731R*2</t>
  </si>
  <si>
    <t>2F74S2(T02-R)74D2換原絲/機型/DR</t>
  </si>
  <si>
    <t>160/140</t>
  </si>
  <si>
    <t>FP-81817R*2</t>
  </si>
  <si>
    <t>2F74T2(A21-B)74A2換原絲/DR</t>
  </si>
  <si>
    <t>FP-80806R</t>
  </si>
  <si>
    <t>111.1.5</t>
  </si>
  <si>
    <t>2F74U2(T02-R)74S2換原絲/DR</t>
  </si>
  <si>
    <t>162/145</t>
  </si>
  <si>
    <t>FP-61774R*2</t>
  </si>
  <si>
    <t>2F74V2(S2)74H2/DR/換原絲</t>
  </si>
  <si>
    <t>2F74W2(S1)73C2換原絲/機型/DR/降速</t>
  </si>
  <si>
    <t>2F74X1(S2)9R31</t>
  </si>
  <si>
    <t>350/350/135</t>
  </si>
  <si>
    <t>0.7↓0.4</t>
  </si>
  <si>
    <t>FP-63042R</t>
  </si>
  <si>
    <t>2F74Y2(T01-R)74S2色差</t>
  </si>
  <si>
    <t>2F74Z1(S1)72C1換原絲</t>
  </si>
  <si>
    <t>2F75A1(M05)74E1色差/DR</t>
  </si>
  <si>
    <t>2F75B2(A16)74J2-換原絲/DR</t>
  </si>
  <si>
    <t>FP-60974R</t>
  </si>
  <si>
    <t>2F75C2(A22-A)74L2換原絲/降速</t>
  </si>
  <si>
    <t>FP-61687R*2</t>
  </si>
  <si>
    <t>2F75D2(S1)74H2/DR</t>
  </si>
  <si>
    <t>2F75E2(S2)74F2換原絲</t>
  </si>
  <si>
    <t>2F75F2(S2)74F2換原絲</t>
  </si>
  <si>
    <t>FP-81815R*2</t>
  </si>
  <si>
    <t>2F75G2(A16-B)75B2-換原絲/DR</t>
  </si>
  <si>
    <t>40/24SAXTR</t>
  </si>
  <si>
    <t>FP-60968R</t>
  </si>
  <si>
    <t>70/24SAXTR</t>
  </si>
  <si>
    <t>2F75I1(A22-A)73S1換原絲/降速</t>
  </si>
  <si>
    <t>FP-61684R*2</t>
  </si>
  <si>
    <t>2F75J2(M02)74G2換原絲/DR</t>
  </si>
  <si>
    <t>2F75K2(J07)74K2換原絲</t>
  </si>
  <si>
    <t>2F75L2(T03-R)74Y2換原絲</t>
  </si>
  <si>
    <t>2F75M2(A20-B)74T2色差</t>
  </si>
  <si>
    <t>2F75N2(A21-A)75E2-DR/機型</t>
  </si>
  <si>
    <t>270/250/155</t>
  </si>
  <si>
    <t>111.4.13</t>
  </si>
  <si>
    <t>2F75P1(S2)7311(T03)換原絲/DR/機型</t>
  </si>
  <si>
    <t>295/275/135</t>
  </si>
  <si>
    <t>FP-81058R*2</t>
  </si>
  <si>
    <t>2F75Q1(M02)75A1換原絲</t>
  </si>
  <si>
    <t>172/163</t>
  </si>
  <si>
    <t>2F75R2(S2)73V2-DR/機型/壓力</t>
  </si>
  <si>
    <t>2F75S2(S1)72V2換原絲/降速/DR</t>
  </si>
  <si>
    <t>260/260/135</t>
  </si>
  <si>
    <t>2F75T2(A21)74I2換原絲</t>
  </si>
  <si>
    <t>FP-61009</t>
  </si>
  <si>
    <t>2F75U2(A20)7AB2換原絲/DR/降速</t>
  </si>
  <si>
    <t>2F75V2(A23-A)73V2-換原絲/DR</t>
  </si>
  <si>
    <t>FP-60976</t>
  </si>
  <si>
    <t>綠底黑點</t>
  </si>
  <si>
    <t>2F75W2(A23-A)75B2-換原絲</t>
  </si>
  <si>
    <t>FP-60975R</t>
  </si>
  <si>
    <t>111.5.26</t>
  </si>
  <si>
    <t>淺綠紅三角</t>
  </si>
  <si>
    <t>2F75X1(A17-A)73G1換原絲/機型/DR/75Q1物性</t>
  </si>
  <si>
    <t>325/325/155</t>
  </si>
  <si>
    <t>FP-82048R</t>
  </si>
  <si>
    <t>270/72SDR</t>
  </si>
  <si>
    <t>2F75Y2(A09-B)74Q2換原絲</t>
  </si>
  <si>
    <t>500↓450-6/23</t>
  </si>
  <si>
    <t>FP-80033R</t>
  </si>
  <si>
    <t>2F75Z3(J07)74N3換原絲/DR</t>
  </si>
  <si>
    <t xml:space="preserve">FP-83005R*2    </t>
  </si>
  <si>
    <t>2F76A2(J07)72M2換原絲/DR/降速</t>
  </si>
  <si>
    <t>225/72/2BSD3</t>
  </si>
  <si>
    <t>460/400/OFF</t>
  </si>
  <si>
    <t xml:space="preserve">FP-83030*2    </t>
  </si>
  <si>
    <t>355/72BSD3</t>
  </si>
  <si>
    <t>2F76B2(A09-B)75U2/降速</t>
  </si>
  <si>
    <t>2F76C1(A24)75I1換原絲/DR</t>
  </si>
  <si>
    <t>FP-61018R*2</t>
  </si>
  <si>
    <t>2F76D2(M02)75J2色差</t>
  </si>
  <si>
    <t>157/OFF</t>
  </si>
  <si>
    <t>2F76E2(A13-B)75V2-換原絲</t>
  </si>
  <si>
    <t>111.7.18</t>
  </si>
  <si>
    <t>2F76F2(M08)76D2換原絲/AP↑</t>
  </si>
  <si>
    <t>FP-63043R</t>
  </si>
  <si>
    <t>2F76G3(A20)9ER3/DR+OP紗</t>
  </si>
  <si>
    <t>90/75BU59S</t>
  </si>
  <si>
    <t xml:space="preserve">FP-61970+Z4011   </t>
  </si>
  <si>
    <t>120/72BU59+40/3OP</t>
  </si>
  <si>
    <t>90(6%)</t>
  </si>
  <si>
    <t>111.8.19</t>
  </si>
  <si>
    <t>2F76H2(T04-R)74U2換原絲</t>
  </si>
  <si>
    <t>FP-61776R*2</t>
  </si>
  <si>
    <t>2F76I3(A20-B)9EB3+OP紗</t>
  </si>
  <si>
    <t>90/75SDRS</t>
  </si>
  <si>
    <t xml:space="preserve">FP-81054R+Z4011   </t>
  </si>
  <si>
    <t>120/72SDR+40/3OP</t>
  </si>
  <si>
    <t>111.8.29</t>
  </si>
  <si>
    <t>2F76J2(A13-B)76B2</t>
  </si>
  <si>
    <t>2F76K2(A22)75T2換原絲/DR/AP壓力</t>
  </si>
  <si>
    <t>FP-61033</t>
  </si>
  <si>
    <t>2F76L2(M08)76F2換原絲</t>
  </si>
  <si>
    <t>FP-63045R</t>
  </si>
  <si>
    <t>2F76M2(A22-B)76K2-D紗</t>
  </si>
  <si>
    <t>111.9.14</t>
  </si>
  <si>
    <t>2F76N3(A20-B)76I3+OP紗換原絲</t>
  </si>
  <si>
    <t xml:space="preserve">FP-81112R+Z4011   </t>
  </si>
  <si>
    <t xml:space="preserve">黃綠色 </t>
  </si>
  <si>
    <t>2F76P3(J08)75Z3換原絲</t>
  </si>
  <si>
    <t xml:space="preserve">FP-83006R*2    </t>
  </si>
  <si>
    <t>2F76Q2(T03-L)71S2換原絲(物性74B2)</t>
  </si>
  <si>
    <t>FP-61775R*2</t>
  </si>
  <si>
    <t>2F76R1(S2)74Z1</t>
  </si>
  <si>
    <t>2F76S2(S1)74W2換原絲/DR/AP壓力升</t>
  </si>
  <si>
    <t>FP-62255</t>
  </si>
  <si>
    <t>111.9.29</t>
  </si>
  <si>
    <t>2F76T2(A13)7032換原絲/AP壓力升</t>
  </si>
  <si>
    <t>FP-80039R</t>
  </si>
  <si>
    <t>2F76U3(A20-A)9FX3(+OP紗)藍色紗</t>
  </si>
  <si>
    <t>90/75BU60S</t>
  </si>
  <si>
    <t xml:space="preserve">FP-61971+Z4011   </t>
  </si>
  <si>
    <t>120/72BU60+40/3OP</t>
  </si>
  <si>
    <t>2F76V1(S2)76R1換原絲/調溫度</t>
  </si>
  <si>
    <t>FP-62255*2</t>
  </si>
  <si>
    <t xml:space="preserve">黃黑直條  </t>
  </si>
  <si>
    <t>2F76W1(J08)73X1換原絲</t>
  </si>
  <si>
    <t>FP-63046R×2</t>
  </si>
  <si>
    <t>2F76X3(A20-B)+OP紗</t>
  </si>
  <si>
    <t>165/51 SDS</t>
  </si>
  <si>
    <t>300/280/OFF</t>
  </si>
  <si>
    <t xml:space="preserve">FP-72051+Z4011   </t>
  </si>
  <si>
    <t>255/48SD+40/3 OP</t>
  </si>
  <si>
    <t>50(6%)</t>
  </si>
  <si>
    <t>2F76Y2(A07-A)76E2-換原絲/AP</t>
  </si>
  <si>
    <t>FP-60978</t>
  </si>
  <si>
    <t>2F76Z3(A20-A)9EY3(+OP紗)</t>
  </si>
  <si>
    <t>90/147SDS</t>
  </si>
  <si>
    <t>500/500(OP紗)</t>
  </si>
  <si>
    <t>1.66/3.2(OP)</t>
  </si>
  <si>
    <t xml:space="preserve">FP-81113+Z4011   </t>
  </si>
  <si>
    <t>120/144SD+40/3  OP</t>
  </si>
  <si>
    <t>24.5↑26.5-11/16</t>
  </si>
  <si>
    <t>2F77A2(T03-R)76H2換原絲/DR</t>
  </si>
  <si>
    <t>162/150</t>
  </si>
  <si>
    <t>4.1(4.8)</t>
  </si>
  <si>
    <t>2F77B3(J09)76P3換原絲/換JET</t>
  </si>
  <si>
    <t>90(82)</t>
  </si>
  <si>
    <t>111.11.21</t>
  </si>
  <si>
    <t>2F77C2(S2)75S2換原絲/調H2溫度/AP壓力上修</t>
  </si>
  <si>
    <t>260/260/140</t>
  </si>
  <si>
    <t>28(26)</t>
  </si>
  <si>
    <t>130(120)</t>
  </si>
  <si>
    <t>2F77D3(A20-B)76X3+OP紗色差</t>
  </si>
  <si>
    <t>50(6%)60</t>
  </si>
  <si>
    <t>111.12.9</t>
  </si>
  <si>
    <t>2F77E2(A12)76T2/AP壓力降</t>
  </si>
  <si>
    <t>140(150)</t>
  </si>
  <si>
    <t>111.12.14</t>
  </si>
  <si>
    <t>2F77F2(M04)76L2色差</t>
  </si>
  <si>
    <t>2F77G3(A20-B)77D3+OP紗-換OP紗</t>
  </si>
  <si>
    <t xml:space="preserve">FP-72051+S4808-A   </t>
  </si>
  <si>
    <t>50(6%)66</t>
  </si>
  <si>
    <t>2F77H2(M04)77F2換原絲</t>
  </si>
  <si>
    <t>FP-63047R</t>
  </si>
  <si>
    <t>110(100)</t>
  </si>
  <si>
    <t>2F77I3(J09)77B3換原絲</t>
  </si>
  <si>
    <t>90(85)</t>
  </si>
  <si>
    <t>2F77J1(J07)74P1換原絲/溫度/JET</t>
  </si>
  <si>
    <t>500/480/200</t>
  </si>
  <si>
    <t xml:space="preserve">FP-83007R*2                </t>
  </si>
  <si>
    <t>112.3.6</t>
  </si>
  <si>
    <t>2F77K3(A20)77G3+OP紗-換OP紗</t>
  </si>
  <si>
    <t xml:space="preserve">FP-72051+Z4209  </t>
  </si>
  <si>
    <t>2F77L2(T04-L)77A2換原絲</t>
  </si>
  <si>
    <t>FP-61777R*2</t>
  </si>
  <si>
    <t>112.3.12</t>
  </si>
  <si>
    <t>2F77M3(A13-B)76U3(+OP紗)經典藍黑色紗/DR</t>
  </si>
  <si>
    <t>90/75BU61S</t>
  </si>
  <si>
    <t xml:space="preserve">FP-61994+Z4209   </t>
  </si>
  <si>
    <t>120/72BU61+40/3OP</t>
  </si>
  <si>
    <t>2F77N1(J07)76W1換原絲/JET</t>
  </si>
  <si>
    <t>FP-63048R×2</t>
  </si>
  <si>
    <t>磷含量-5910</t>
  </si>
  <si>
    <t>2F77P3(A08-B)76Z3(換OP紗)</t>
  </si>
  <si>
    <t xml:space="preserve">FP-81113+Z4209  </t>
  </si>
  <si>
    <t>112.4.20</t>
  </si>
  <si>
    <t xml:space="preserve">黃黑條  </t>
  </si>
  <si>
    <t>2F77Q1(A24-A)73F1換原絲/DR/AP壓力</t>
  </si>
  <si>
    <t>FP-62255×2</t>
  </si>
  <si>
    <t>2F77R1(A24)77Q1換原絲</t>
  </si>
  <si>
    <t>FP-62290×2</t>
  </si>
  <si>
    <t>2F77S2(A24)73C2換原絲/AP壓力</t>
  </si>
  <si>
    <t>FP-62290</t>
  </si>
  <si>
    <t>2F77T3(A14-B)77M3(+OP紗)經典藍黑色紗</t>
  </si>
  <si>
    <t>2F77U3(J08)76P3新紗</t>
  </si>
  <si>
    <t>2F77V3(A13-B)77P3/DR(OP紗)</t>
  </si>
  <si>
    <t>1.66/3.35(OP)</t>
  </si>
  <si>
    <t>2F77W2(M07)77H2-DR</t>
  </si>
  <si>
    <t>2F77Y2(A24-B)73H2-DR/換原絲/(物性LIKE-76Q2)</t>
  </si>
  <si>
    <t>2F77Z3(A13-A)77V3換原絲</t>
  </si>
  <si>
    <t xml:space="preserve">FP-61728R+Z4209  </t>
  </si>
  <si>
    <t>120/144SDR+40/3  OP</t>
  </si>
  <si>
    <t>2F7AA2(A13-A)71I2換原絲</t>
  </si>
  <si>
    <t>FP-80960R</t>
  </si>
  <si>
    <t>2F7AB2(A15-B)7AA2換原絲</t>
  </si>
  <si>
    <t>2F78A2(A22-A)77W2-不同機型/DR….等.修物性</t>
  </si>
  <si>
    <t>FP-83700R</t>
  </si>
  <si>
    <t>365/48CDR</t>
  </si>
  <si>
    <t>2F78B2(A24-A)77S2換原絲</t>
  </si>
  <si>
    <t>FP-82612</t>
  </si>
  <si>
    <t>2F78C1(A24-A)77R1換原絲/DR/AP壓力</t>
  </si>
  <si>
    <t>FP-82612×2</t>
  </si>
  <si>
    <t>磷含量-6460</t>
  </si>
  <si>
    <t>2F78D2(A23-B)</t>
  </si>
  <si>
    <t>30/24BSD3</t>
  </si>
  <si>
    <t>FP-60754R</t>
  </si>
  <si>
    <t>2F78E3(A20)77Z3換原絲</t>
  </si>
  <si>
    <t xml:space="preserve">FP-71118+Z4209  </t>
  </si>
  <si>
    <t>2F78F3(J08)77U3換原絲</t>
  </si>
  <si>
    <t xml:space="preserve">FP-83008R*2    </t>
  </si>
  <si>
    <t>2F78G2(S1)DQQ2-(絲開發)</t>
  </si>
  <si>
    <t>225/96/2SDR</t>
  </si>
  <si>
    <t>FP-63710R*2</t>
  </si>
  <si>
    <t>375/96SDR</t>
  </si>
  <si>
    <t>2FM0952(A20-A)78E3改規格(外購批號宏遠)</t>
  </si>
  <si>
    <t>90/147SDRS</t>
  </si>
  <si>
    <t>3↑3.4-113.1.5</t>
  </si>
  <si>
    <t>2F78H3(J09)75Z3換原絲/規格</t>
  </si>
  <si>
    <t>225/72/2SDR2</t>
  </si>
  <si>
    <t xml:space="preserve">FP-83009R*2    </t>
  </si>
  <si>
    <t>340/72SDR2</t>
  </si>
  <si>
    <t>112.9.21</t>
  </si>
  <si>
    <t>2F78I2(A24-B)78A2-升速/DR</t>
  </si>
  <si>
    <t>315/315/OFF</t>
  </si>
  <si>
    <t>2F78K2(A22)75N2-換原絲/DR/錠片加</t>
  </si>
  <si>
    <t>FP-81174R*2</t>
  </si>
  <si>
    <t>2F78L3(A14-B)78E3</t>
  </si>
  <si>
    <t>2F78M3(J08)78H3-升速/DR</t>
  </si>
  <si>
    <t>485/425/160</t>
  </si>
  <si>
    <t xml:space="preserve">FP-83009R/83011R*2    </t>
  </si>
  <si>
    <t>2F78N2(A14)78I2</t>
  </si>
  <si>
    <t>2F78P2(S1)78G2-DR/調升AP壓力</t>
  </si>
  <si>
    <t>2F78Q2(A12-A)76Y2-換原絲/AP</t>
  </si>
  <si>
    <t xml:space="preserve">紅黑曲線  </t>
  </si>
  <si>
    <t>2F78R2(A20-B)78D2/DR/改重量</t>
  </si>
  <si>
    <t>2F78S2(T02-L)72N2換原絲/DR/改重量</t>
  </si>
  <si>
    <t>600↓550-12/29</t>
  </si>
  <si>
    <t>156/153</t>
  </si>
  <si>
    <t>FP-81756R*2</t>
  </si>
  <si>
    <t>2F78T2(A14-A)78P2-DR/調升AP壓力/換機型</t>
  </si>
  <si>
    <t>2F78U2(A08-A)76M2-換原絲</t>
  </si>
  <si>
    <t>FP-61104</t>
  </si>
  <si>
    <t>113.2.1</t>
  </si>
  <si>
    <t>2F78V2(M02)外購紗7LU2</t>
  </si>
  <si>
    <t>60/96ESDR</t>
  </si>
  <si>
    <t>212/OFF</t>
  </si>
  <si>
    <t>FP-81201R</t>
  </si>
  <si>
    <t>2F78W2(A12-B)DVZ2絲開發</t>
  </si>
  <si>
    <t>220/220/120</t>
  </si>
  <si>
    <t>FP-60303</t>
  </si>
  <si>
    <t>50/24BSD3</t>
  </si>
  <si>
    <t>2F78X2(T01-R)77Y2-換原絲/換機型….等</t>
  </si>
  <si>
    <t>FP-61771R*2</t>
  </si>
  <si>
    <t>2F78Y2(M02)78V2色差</t>
  </si>
  <si>
    <t>2F78Z2(A22-A)78Q2-換原絲/升速</t>
  </si>
  <si>
    <t>FP-60204</t>
  </si>
  <si>
    <t>2F79A2(T06-L)77L2-DR(物性同-78K2)</t>
  </si>
  <si>
    <t>2F79B2(A07-B)78D2換原絲/DR</t>
  </si>
  <si>
    <t>FP-60305</t>
  </si>
  <si>
    <t>2F79C2(M02)78Y2換原絲/DR/修丹尼物性</t>
  </si>
  <si>
    <t>FP-81155R</t>
  </si>
  <si>
    <t>2F79D2(S1)78G2-</t>
  </si>
  <si>
    <t>113.5.14</t>
  </si>
  <si>
    <t>2F79E3(J08)78M3-換原絲</t>
  </si>
  <si>
    <t xml:space="preserve">FP-83012R*2    </t>
  </si>
  <si>
    <t>2F79F2(M04)79B2換原絲/換機型….等</t>
  </si>
  <si>
    <t>FP-60308</t>
  </si>
  <si>
    <t>20-22.5-6/18</t>
  </si>
  <si>
    <t>37-31-6/18</t>
  </si>
  <si>
    <t>3.5-4.4-6/18</t>
  </si>
  <si>
    <t>2F79G1(T04-R)77N1-DR/JET機型….等</t>
  </si>
  <si>
    <t>2F79H2(M04)79F2換原絲</t>
  </si>
  <si>
    <t>FP-60313</t>
  </si>
  <si>
    <t>2F79I1(S1)77J1換原絲/降速/DR機型JET</t>
  </si>
  <si>
    <t>325/325/130</t>
  </si>
  <si>
    <t xml:space="preserve">FP-83013R*2                </t>
  </si>
  <si>
    <t>375/72SDR2</t>
  </si>
  <si>
    <t>2F79J2(M04)7022-換原絲</t>
  </si>
  <si>
    <t>20.5-26-8/22</t>
  </si>
  <si>
    <t>37-39-8/22</t>
  </si>
  <si>
    <t>2F79K2(T04-L)79A2-DR/換原絲</t>
  </si>
  <si>
    <t>FP-81251R*2</t>
  </si>
  <si>
    <t>2F79L2(M04)79H2換原絲/重量</t>
  </si>
  <si>
    <t>FP-60317</t>
  </si>
  <si>
    <t>桔(紫黃條-缺紙管-1)</t>
  </si>
  <si>
    <t>2F79M3(T04-L)79E3-機型</t>
  </si>
  <si>
    <t>19.6-24-9/24</t>
  </si>
  <si>
    <t>2F79N2(A14-B)79B2換原絲/改重量</t>
  </si>
  <si>
    <t>2F79P1(T06-R)79G1-換原絲DR</t>
  </si>
  <si>
    <t>FP-83600R×2</t>
  </si>
  <si>
    <t>磷含量-5110</t>
  </si>
  <si>
    <t>2F79Q2(T06-L)79D2-機型/DR</t>
  </si>
  <si>
    <t>2F79R1(T04-L)79I1升速/DR機型….</t>
  </si>
  <si>
    <t>180/170</t>
  </si>
  <si>
    <t>2F79S2(T05-R)79K2-換原絲</t>
  </si>
  <si>
    <t>170/36SDR0</t>
  </si>
  <si>
    <t>20-24-11/19</t>
  </si>
  <si>
    <t>2F79T3(T04-L)79M3</t>
  </si>
  <si>
    <t>2F79U2(S1)78Z2-換原絲/DR機型….</t>
  </si>
  <si>
    <t>FP-60423</t>
  </si>
  <si>
    <t>2F79V2(A17-A)78B2/DR</t>
  </si>
  <si>
    <t>112.12.23</t>
  </si>
  <si>
    <t>磷含量-修6120</t>
  </si>
  <si>
    <t>2F79W3(T03-R)79T3換原絲</t>
  </si>
  <si>
    <t xml:space="preserve">FP-83014R*2    </t>
  </si>
  <si>
    <t>113.12.26</t>
  </si>
  <si>
    <t>2F79X2(A14-B)</t>
  </si>
  <si>
    <t>2F79Y2(A14-B)79X2換原絲/DR</t>
  </si>
  <si>
    <t>FP-80101R</t>
  </si>
  <si>
    <t>50/12SDR2</t>
  </si>
  <si>
    <t>114.2.10</t>
  </si>
  <si>
    <t>2F79Z1(T03-R)79R1/換原絲/DR</t>
  </si>
  <si>
    <t>182/170</t>
  </si>
  <si>
    <t xml:space="preserve">FP-83015R*2                </t>
  </si>
  <si>
    <t>114.2.11</t>
  </si>
  <si>
    <t>2F7A13(T03-R)79W3吃新紗</t>
  </si>
  <si>
    <t>2F7A22(A07-B)78U2</t>
  </si>
  <si>
    <t>DTY管色</t>
    <phoneticPr fontId="12" type="noConversion"/>
  </si>
  <si>
    <t>2F0003</t>
  </si>
  <si>
    <t>T04-L)5F0V03升速/機型</t>
  </si>
  <si>
    <t>2F0011</t>
  </si>
  <si>
    <t>A18)5F0Q91-換原絲</t>
  </si>
  <si>
    <t>2F0103</t>
  </si>
  <si>
    <t>A09-B)0W13色差</t>
  </si>
  <si>
    <t>2F00K2</t>
  </si>
  <si>
    <t>A14)0W32換原絲</t>
  </si>
  <si>
    <t>2F00L2</t>
  </si>
  <si>
    <t>A13-A)0W32換原絲</t>
  </si>
  <si>
    <t>2F00M2</t>
  </si>
  <si>
    <t>A16-B)0R42換原絲</t>
  </si>
  <si>
    <t>2F00N2</t>
  </si>
  <si>
    <t>A07-B)0V12換原絲</t>
  </si>
  <si>
    <t>2F00P2</t>
  </si>
  <si>
    <t>A12-B)0Q82-換原絲</t>
  </si>
  <si>
    <t>2F00Q2</t>
  </si>
  <si>
    <t>A19-B)00K2換原絲</t>
  </si>
  <si>
    <t>2F00S3</t>
  </si>
  <si>
    <t>A07-B)5F0V03換原絲</t>
  </si>
  <si>
    <t>2F00T2</t>
  </si>
  <si>
    <t>A13)00U2</t>
  </si>
  <si>
    <t>2F00U2</t>
  </si>
  <si>
    <t>A19)</t>
  </si>
  <si>
    <t>2F00V2</t>
  </si>
  <si>
    <t>A07-B)5F0R42換原絲</t>
  </si>
  <si>
    <t>2F00W2</t>
  </si>
  <si>
    <t>T02-R)00K2換原絲/機型/DR</t>
  </si>
  <si>
    <t>2F00X2</t>
  </si>
  <si>
    <t>T04)00W2</t>
  </si>
  <si>
    <t>2F00Y2</t>
  </si>
  <si>
    <t>A12)00P2-換原絲</t>
  </si>
  <si>
    <t>2F00Z2</t>
  </si>
  <si>
    <t>A14-A)00N2換原絲</t>
  </si>
  <si>
    <t>2F0112</t>
  </si>
  <si>
    <t>A18-A)02J2色差/升速</t>
  </si>
  <si>
    <t>2F0122</t>
  </si>
  <si>
    <t>A18-B)0112色差</t>
  </si>
  <si>
    <t>2F0132</t>
  </si>
  <si>
    <t>A11)0122換原絲/JET</t>
  </si>
  <si>
    <t>2F0142</t>
  </si>
  <si>
    <t>M04)0132-JET/機型/DR/降速</t>
  </si>
  <si>
    <t>2F0152</t>
  </si>
  <si>
    <t>A14)0132原絲/降速/DR/不LIK丹尼/E%</t>
  </si>
  <si>
    <t>2F0162</t>
  </si>
  <si>
    <t>A14-A)0122換原絲</t>
  </si>
  <si>
    <t>2F0172</t>
  </si>
  <si>
    <t>A14-B)0162色差</t>
  </si>
  <si>
    <t>2F0182</t>
  </si>
  <si>
    <t>A14-A)0172換原絲</t>
  </si>
  <si>
    <t>2F0192</t>
  </si>
  <si>
    <t>A14-A)0182換原絲</t>
  </si>
  <si>
    <t>2F01A2</t>
  </si>
  <si>
    <t>A18-A)00Q2換原絲</t>
  </si>
  <si>
    <t>2F01B2</t>
  </si>
  <si>
    <t>A19)5F0V42換原絲</t>
  </si>
  <si>
    <t>2F01C3</t>
  </si>
  <si>
    <t>A19)0W13色差</t>
  </si>
  <si>
    <t>2F01D3</t>
  </si>
  <si>
    <t>A19-B)01C3換原絲/降速</t>
  </si>
  <si>
    <t>2F01E2</t>
  </si>
  <si>
    <t>A18-A)01A2換原絲</t>
  </si>
  <si>
    <t>2F01F1</t>
  </si>
  <si>
    <t>M07)0V21-換原絲/蟬翼紗</t>
  </si>
  <si>
    <t>2F01G2</t>
  </si>
  <si>
    <t>M01)5F0W52換原絲</t>
  </si>
  <si>
    <t>2F01H3</t>
  </si>
  <si>
    <t>A19-B)01D3換原絲</t>
  </si>
  <si>
    <t>2F01I2</t>
  </si>
  <si>
    <t>A12-B)00T2換原絲/DR</t>
  </si>
  <si>
    <t>2F01J1</t>
  </si>
  <si>
    <t>A10)D681 -S撚</t>
  </si>
  <si>
    <t>2F01K3</t>
  </si>
  <si>
    <t>A14)01H3換原絲</t>
  </si>
  <si>
    <t>2F01L2</t>
  </si>
  <si>
    <t>A13)01B2換原絲</t>
  </si>
  <si>
    <t>2F01M2</t>
  </si>
  <si>
    <t>A13-A)01L2換原絲</t>
  </si>
  <si>
    <t>2F01N3</t>
  </si>
  <si>
    <t>T03-R)0003換原絲/降速</t>
  </si>
  <si>
    <t>2F01P2</t>
  </si>
  <si>
    <t>S1)5F0V82換原絲/DR</t>
  </si>
  <si>
    <t>2F01R2</t>
  </si>
  <si>
    <t>T03-L)00W2換原絲</t>
  </si>
  <si>
    <t>2F01S2</t>
  </si>
  <si>
    <t>A19)01B2換原絲</t>
  </si>
  <si>
    <t>2F01T2</t>
  </si>
  <si>
    <t>M02-A)5F0W22換原絲</t>
  </si>
  <si>
    <t>2F01U3</t>
  </si>
  <si>
    <t>A19)01C3換原絲</t>
  </si>
  <si>
    <t>2F01V2</t>
  </si>
  <si>
    <t>M03)5F0L22色差</t>
  </si>
  <si>
    <t>2F01W2</t>
  </si>
  <si>
    <t>A13-B)01M2換原絲</t>
  </si>
  <si>
    <t>2F01X3</t>
  </si>
  <si>
    <t>A14-A)01K3換原絲</t>
  </si>
  <si>
    <t>2F01Y2</t>
  </si>
  <si>
    <t>A13)01W2換原絲</t>
  </si>
  <si>
    <t>2F01Z2</t>
  </si>
  <si>
    <t>T02)5F0V52換原絲/降速</t>
  </si>
  <si>
    <t>2F0202</t>
  </si>
  <si>
    <t>A20)0182降速</t>
  </si>
  <si>
    <t>2F0212</t>
  </si>
  <si>
    <t>A14-B)0182降速</t>
  </si>
  <si>
    <t>2F0222</t>
  </si>
  <si>
    <t>A14)0212換原絲</t>
  </si>
  <si>
    <t>2F0232</t>
  </si>
  <si>
    <t>A20)0202換原絲</t>
  </si>
  <si>
    <t>2F0242</t>
  </si>
  <si>
    <t>A14)0222換原絲</t>
  </si>
  <si>
    <t>2F0252</t>
  </si>
  <si>
    <t>A20)0232換原絲</t>
  </si>
  <si>
    <t>2F0262</t>
  </si>
  <si>
    <t>A20)0252色差/低M%</t>
  </si>
  <si>
    <t>2F0282</t>
  </si>
  <si>
    <t>A11)0262換原絲</t>
  </si>
  <si>
    <t>2F0292</t>
  </si>
  <si>
    <t>A14-B)0242換原絲</t>
  </si>
  <si>
    <t>2F02A2</t>
  </si>
  <si>
    <t>A20-B)01E2換原絲</t>
  </si>
  <si>
    <t>2F02B3</t>
  </si>
  <si>
    <t>A11)00S3換原絲</t>
  </si>
  <si>
    <t>2F02C1</t>
  </si>
  <si>
    <t>A11-A)92E1/DR修-S撚</t>
  </si>
  <si>
    <t>2F02D1</t>
  </si>
  <si>
    <t>A11-B)02C1-S撚</t>
  </si>
  <si>
    <t>2F02E2</t>
  </si>
  <si>
    <t>A16)5F0V82換原絲</t>
  </si>
  <si>
    <t>2F02F2</t>
  </si>
  <si>
    <t>A18)01Y2色差</t>
  </si>
  <si>
    <t>2F02G1</t>
  </si>
  <si>
    <t>M04-A)01F1-換原絲</t>
  </si>
  <si>
    <t>2F02H1</t>
  </si>
  <si>
    <t>M04)02G1-換原絲</t>
  </si>
  <si>
    <t>2F02J2</t>
  </si>
  <si>
    <t>A18)02F2換原絲</t>
  </si>
  <si>
    <t>2F02K2</t>
  </si>
  <si>
    <t>A16-B)02E2換原絲</t>
  </si>
  <si>
    <t>2F02L2</t>
  </si>
  <si>
    <t>S2)</t>
  </si>
  <si>
    <t>2F02M1</t>
  </si>
  <si>
    <t>A10-B)01J1 -S撚換原絲</t>
  </si>
  <si>
    <t>2F02N2</t>
  </si>
  <si>
    <t>2F02P2</t>
  </si>
  <si>
    <t>M08)02L2-升速/DR/換機型</t>
  </si>
  <si>
    <t>2F02Q1</t>
  </si>
  <si>
    <t>M04)02H1-色差</t>
  </si>
  <si>
    <t>2F02R2</t>
  </si>
  <si>
    <t>A10)02K2換原絲</t>
  </si>
  <si>
    <t>2F02S2</t>
  </si>
  <si>
    <t>A16-B)5F0P42換原絲/DR</t>
  </si>
  <si>
    <t>2F02T1</t>
  </si>
  <si>
    <t>A11-B)02M1 -S撚色差/DR</t>
  </si>
  <si>
    <t>2F02U1</t>
  </si>
  <si>
    <t>M04)02Q1-換原絲</t>
  </si>
  <si>
    <t>2F02V1</t>
  </si>
  <si>
    <t>A11-A)02T1 -S撚-升速/換線別</t>
  </si>
  <si>
    <t>2F02W2</t>
  </si>
  <si>
    <t>A16)00Z2換原絲/DR</t>
  </si>
  <si>
    <t>2F02X2</t>
  </si>
  <si>
    <t>A15-A)01I2換原絲/溫度</t>
  </si>
  <si>
    <t>2F02Y2</t>
  </si>
  <si>
    <t>A15-B)02X2異常染色原絲</t>
  </si>
  <si>
    <t>2F02Z2</t>
  </si>
  <si>
    <t>M08)02R2換原絲/機型</t>
  </si>
  <si>
    <t>2F0302</t>
  </si>
  <si>
    <t>A20-B)0262換原絲</t>
  </si>
  <si>
    <t>2F0312</t>
  </si>
  <si>
    <t>A13-A)0302換原絲</t>
  </si>
  <si>
    <t>2F0322</t>
  </si>
  <si>
    <t>A13-A)0312色差</t>
  </si>
  <si>
    <t>2F0332</t>
  </si>
  <si>
    <t>A09-B)0322換原絲</t>
  </si>
  <si>
    <t>2F0342</t>
  </si>
  <si>
    <t>A07-A)0302換原絲</t>
  </si>
  <si>
    <t>2FK030G</t>
  </si>
  <si>
    <t>光明)-發-迪卡儂用0342物性</t>
  </si>
  <si>
    <t>2F0352</t>
  </si>
  <si>
    <t>A09-B)0342色差/DR</t>
  </si>
  <si>
    <t>2F03A2</t>
  </si>
  <si>
    <t>A07-A)0912退改標加O</t>
  </si>
  <si>
    <t>2F03B2</t>
  </si>
  <si>
    <t>A07-A)03A2</t>
  </si>
  <si>
    <t>2F03C2</t>
  </si>
  <si>
    <t>A07)03B2換原絲</t>
  </si>
  <si>
    <t>2F03D2</t>
  </si>
  <si>
    <t>A08-A)02L2換原絲/機型</t>
  </si>
  <si>
    <t>2F03E2</t>
  </si>
  <si>
    <t>A12-A)02R2換原絲</t>
  </si>
  <si>
    <t>2F03F1</t>
  </si>
  <si>
    <t>M07)02U1色差</t>
  </si>
  <si>
    <t>2F03G2</t>
  </si>
  <si>
    <t>A13)03C2換原絲</t>
  </si>
  <si>
    <t>2F03H1</t>
  </si>
  <si>
    <t>M07-B)03F1-轉線-色差</t>
  </si>
  <si>
    <t>2F03I2</t>
  </si>
  <si>
    <t>M07-B)99L2</t>
  </si>
  <si>
    <t>2F03K2</t>
  </si>
  <si>
    <t>A19)99L2換原絲</t>
  </si>
  <si>
    <t>2F03L2</t>
  </si>
  <si>
    <t>A19-B)03K2換原絲</t>
  </si>
  <si>
    <t>2F03M2</t>
  </si>
  <si>
    <t>A12-A)02W2換原絲</t>
  </si>
  <si>
    <t>2F03N1</t>
  </si>
  <si>
    <t>A07-B)02V1 -S撚-換原絲</t>
  </si>
  <si>
    <t>2F03P2</t>
  </si>
  <si>
    <t>M04)02Z2</t>
  </si>
  <si>
    <t>2F03Q2</t>
  </si>
  <si>
    <t>M04)02P2換原絲</t>
  </si>
  <si>
    <t>2F03R1</t>
  </si>
  <si>
    <t>M05)03H1</t>
  </si>
  <si>
    <t>2F03S2</t>
  </si>
  <si>
    <t>A15-A)03M2換原絲/DR</t>
  </si>
  <si>
    <t>2F03T2</t>
  </si>
  <si>
    <t>A15)03S2</t>
  </si>
  <si>
    <t>2F03U1</t>
  </si>
  <si>
    <t>A13-B)9E51-升速</t>
  </si>
  <si>
    <t>2F03V2</t>
  </si>
  <si>
    <t>M04)03Q2色差</t>
  </si>
  <si>
    <t>2F03W1</t>
  </si>
  <si>
    <t>A09-A)0011-換原絲</t>
  </si>
  <si>
    <t>2F03X1</t>
  </si>
  <si>
    <t>A09-B)02D1-S撚換原絲</t>
  </si>
  <si>
    <t>2F03Z2</t>
  </si>
  <si>
    <t>A24-B)00P2-換原絲</t>
  </si>
  <si>
    <t>2F04A2</t>
  </si>
  <si>
    <t>M04)03V2換原絲</t>
  </si>
  <si>
    <t>2F04B2</t>
  </si>
  <si>
    <t>A07-A)03T2換原絲</t>
  </si>
  <si>
    <t>2F04C1</t>
  </si>
  <si>
    <t>M04)03R1換原絲</t>
  </si>
  <si>
    <t>2F04D2</t>
  </si>
  <si>
    <t>A07-A)03Z2-換原絲/DR</t>
  </si>
  <si>
    <t>2F04E2</t>
  </si>
  <si>
    <t>A23-B)03G2換原絲/DR</t>
  </si>
  <si>
    <t>2F04F2</t>
  </si>
  <si>
    <t>A09-B)9M72 -換原絲</t>
  </si>
  <si>
    <t>2F04G2</t>
  </si>
  <si>
    <t>A24-B)02S2換原絲/加R</t>
  </si>
  <si>
    <t>2F04H1</t>
  </si>
  <si>
    <t>M07)04C1換原絲</t>
  </si>
  <si>
    <t>2F04I2</t>
  </si>
  <si>
    <t>A07-B)04D2-換原絲/AP</t>
  </si>
  <si>
    <t>2F04J2</t>
  </si>
  <si>
    <t>A15-B)04B2換原絲/溫度/AP壓力/錠片</t>
  </si>
  <si>
    <t>2F04K2</t>
  </si>
  <si>
    <t>A07-B)04I2-DR/溫度</t>
  </si>
  <si>
    <t>2F04L2</t>
  </si>
  <si>
    <t>A07-A)04E2-DR</t>
  </si>
  <si>
    <t>2F04M1</t>
  </si>
  <si>
    <t>M08)03U1/降速</t>
  </si>
  <si>
    <t>2F04N2</t>
  </si>
  <si>
    <t>A07-B)04L2</t>
  </si>
  <si>
    <t>2F04P2</t>
  </si>
  <si>
    <t>A15)04J2換原絲/溫度</t>
  </si>
  <si>
    <t>2F04Q2</t>
  </si>
  <si>
    <t>M08)9AQ2換機型</t>
  </si>
  <si>
    <t>2F04R2</t>
  </si>
  <si>
    <t>M08)04Q2換原絲/DR</t>
  </si>
  <si>
    <t>2F04S2</t>
  </si>
  <si>
    <t>A20-A)04F2 -色差</t>
  </si>
  <si>
    <t>2F04T2</t>
  </si>
  <si>
    <t>A21-B)04N2-換原絲/DR</t>
  </si>
  <si>
    <t>2F04U2</t>
  </si>
  <si>
    <t>A22-B)03K2換原絲/DR/錠組</t>
  </si>
  <si>
    <t>2F04V2</t>
  </si>
  <si>
    <t>M08)03V2換原絲</t>
  </si>
  <si>
    <t>2F04W2</t>
  </si>
  <si>
    <t>M08)0142-DR/換原絲</t>
  </si>
  <si>
    <t>2F04X2</t>
  </si>
  <si>
    <t>A19)04P2換原絲</t>
  </si>
  <si>
    <t>2F04Y1</t>
  </si>
  <si>
    <t>A22-A)03U1-換原絲</t>
  </si>
  <si>
    <t>2F05A2</t>
  </si>
  <si>
    <t>M08)04R2換原絲</t>
  </si>
  <si>
    <t>2F05B2</t>
  </si>
  <si>
    <t>A20-A)04P2</t>
  </si>
  <si>
    <t>2F05C3</t>
  </si>
  <si>
    <t>M08)</t>
  </si>
  <si>
    <t>2F05D2</t>
  </si>
  <si>
    <t>A20-A)05B2換原絲</t>
  </si>
  <si>
    <t>2F05E1</t>
  </si>
  <si>
    <t>M08)9DY1改重量</t>
  </si>
  <si>
    <t>2F05F1</t>
  </si>
  <si>
    <t>M07)04C1換原絲/改規格</t>
  </si>
  <si>
    <t>2F05G2</t>
  </si>
  <si>
    <t>T01-R)0AB2換原絲/DR</t>
  </si>
  <si>
    <t>2F05H2</t>
  </si>
  <si>
    <t>A19-B)04X2換原絲</t>
  </si>
  <si>
    <t>2F05I1</t>
  </si>
  <si>
    <t>A22-A)04Y1-</t>
  </si>
  <si>
    <t>2F05J2</t>
  </si>
  <si>
    <t>A07-B)</t>
  </si>
  <si>
    <t>2F05K2</t>
  </si>
  <si>
    <t>A13)04R2換原絲/DR</t>
  </si>
  <si>
    <t>2F05L2</t>
  </si>
  <si>
    <t>A07-B)04K2-AP壓力</t>
  </si>
  <si>
    <t>2F05M2</t>
  </si>
  <si>
    <t>A07-A)03E2換原絲</t>
  </si>
  <si>
    <t>2F05N3</t>
  </si>
  <si>
    <t>A13)05C3換原絲/機型/降速/DR</t>
  </si>
  <si>
    <t>2F05P2</t>
  </si>
  <si>
    <t>A19-B)05H2原絲色差</t>
  </si>
  <si>
    <t>2F05Q2</t>
  </si>
  <si>
    <t>A07-A)05M2色差</t>
  </si>
  <si>
    <t>2F05R2</t>
  </si>
  <si>
    <t>A07-A)05L2-換原絲/DR</t>
  </si>
  <si>
    <t>2F05S3</t>
  </si>
  <si>
    <t>A13)05N3換原絲丹尼不同/DR</t>
  </si>
  <si>
    <t>2F05T2</t>
  </si>
  <si>
    <t>A07)0352換原絲/DR</t>
  </si>
  <si>
    <t>2F05U2</t>
  </si>
  <si>
    <t>A07-B)05T2換原絲</t>
  </si>
  <si>
    <t>2F05V2</t>
  </si>
  <si>
    <t>A15-A)05P2原絲色差/DR</t>
  </si>
  <si>
    <t>2F05W2</t>
  </si>
  <si>
    <t>A08-A)DNE2換原絲</t>
  </si>
  <si>
    <t>2F05X1</t>
  </si>
  <si>
    <t>A08-A)03W1-換原絲/DR/溫度</t>
  </si>
  <si>
    <t>2F05Y2</t>
  </si>
  <si>
    <t>M08)0352/0RH2改標</t>
  </si>
  <si>
    <t>2F05Z2</t>
  </si>
  <si>
    <t>T04-L)05K2換原絲/DR/機型</t>
  </si>
  <si>
    <t>2F06A2</t>
  </si>
  <si>
    <t>A15)05U2換原絲/CQA同0352業務產銷押錯</t>
  </si>
  <si>
    <t>A09-B)</t>
  </si>
  <si>
    <t>2F06B2</t>
  </si>
  <si>
    <t>A11)05U2換原絲/CQA同0352業務產銷押錯</t>
  </si>
  <si>
    <t>2F06C2</t>
  </si>
  <si>
    <t>A10-B)9HZ2</t>
  </si>
  <si>
    <t>2F06D2</t>
  </si>
  <si>
    <t>T04-L)05Z2換原絲</t>
  </si>
  <si>
    <t>2F06E2</t>
  </si>
  <si>
    <t>M06)04V2換原絲</t>
  </si>
  <si>
    <t>2F06F2</t>
  </si>
  <si>
    <t>A15)0352換原絲</t>
  </si>
  <si>
    <t>2F06G2</t>
  </si>
  <si>
    <t>A11-A)0352換原絲</t>
  </si>
  <si>
    <t>2F06H2</t>
  </si>
  <si>
    <t>A11-A)01I2換原絲/DR/AP壓力</t>
  </si>
  <si>
    <t>A11-A)發迪卡儂物性不同</t>
  </si>
  <si>
    <t>2F06I2</t>
  </si>
  <si>
    <t>A15-A)06F2換原絲/升速</t>
  </si>
  <si>
    <t>2F06J2</t>
  </si>
  <si>
    <t>A10-B)06C2</t>
  </si>
  <si>
    <t>2F06K2</t>
  </si>
  <si>
    <t>A15-B)06I2換原絲</t>
  </si>
  <si>
    <t>2F06L2</t>
  </si>
  <si>
    <t>M02)05K2換原絲</t>
  </si>
  <si>
    <t>2F06M2</t>
  </si>
  <si>
    <t>A10-A)06J2</t>
  </si>
  <si>
    <t>2F06N2</t>
  </si>
  <si>
    <t>M02)06L2色差/降速</t>
  </si>
  <si>
    <t>2F06P2</t>
  </si>
  <si>
    <t>M02)06E2</t>
  </si>
  <si>
    <t>2F06Q1</t>
  </si>
  <si>
    <t>M07)05F1</t>
  </si>
  <si>
    <t>2F06R1</t>
  </si>
  <si>
    <t>M07)06Q1</t>
  </si>
  <si>
    <t>2F06S2</t>
  </si>
  <si>
    <t>T04-L)06I2換原絲/DR/機型/降速</t>
  </si>
  <si>
    <t>2F06T2</t>
  </si>
  <si>
    <t>M02)05G2-DR/降速/機型</t>
  </si>
  <si>
    <t>2F06U2</t>
  </si>
  <si>
    <t>M05)06N2</t>
  </si>
  <si>
    <t>2F06V2</t>
  </si>
  <si>
    <t>S1)絲開發DPJ2</t>
  </si>
  <si>
    <t>2F06W2</t>
  </si>
  <si>
    <t>S1)</t>
  </si>
  <si>
    <t>2F06X2</t>
  </si>
  <si>
    <t>A11)05K2換原絲</t>
  </si>
  <si>
    <t>2F06Y2</t>
  </si>
  <si>
    <t>A09-B)06M2/DR…等</t>
  </si>
  <si>
    <t>2F06Z2</t>
  </si>
  <si>
    <t>A12-A)06K2換原絲/DR</t>
  </si>
  <si>
    <t>2F07A3</t>
  </si>
  <si>
    <t>A22-B)</t>
  </si>
  <si>
    <t>2F07B2</t>
  </si>
  <si>
    <t>A11-B)</t>
  </si>
  <si>
    <t>2F07C2</t>
  </si>
  <si>
    <t>A11-A)06Z2換原絲</t>
  </si>
  <si>
    <t>2F07D2</t>
  </si>
  <si>
    <t>M04)06Z2/換原絲升速…修條件.物性</t>
  </si>
  <si>
    <t>2F07E2</t>
  </si>
  <si>
    <t>A07-A)04K2-DR/換原絲</t>
  </si>
  <si>
    <t>2F07F2</t>
  </si>
  <si>
    <t>M04)07D2/換原絲</t>
  </si>
  <si>
    <t>2F07G2</t>
  </si>
  <si>
    <t>A22-B)06H2換原絲</t>
  </si>
  <si>
    <t>2F07H1</t>
  </si>
  <si>
    <t>S1)03W1-換原絲/DR/機型…</t>
  </si>
  <si>
    <t>2F07I2</t>
  </si>
  <si>
    <t>M04)07F2/DR降速</t>
  </si>
  <si>
    <t>2F07J2</t>
  </si>
  <si>
    <t>S1)06X2換原絲</t>
  </si>
  <si>
    <t>2F07K2</t>
  </si>
  <si>
    <t>M04)06U2換原絲</t>
  </si>
  <si>
    <t>2F07L2</t>
  </si>
  <si>
    <t>A08-B)06X2/DR</t>
  </si>
  <si>
    <t>2F07M2</t>
  </si>
  <si>
    <t>M03)06M2/機型/DR</t>
  </si>
  <si>
    <t>2F07N3</t>
  </si>
  <si>
    <t>A08)</t>
  </si>
  <si>
    <t>2F07P2</t>
  </si>
  <si>
    <t>T06-L)9PV2</t>
  </si>
  <si>
    <t>2F07Q2</t>
  </si>
  <si>
    <t>A08-B)07B2換原絲/DR</t>
  </si>
  <si>
    <t>2F07R2</t>
  </si>
  <si>
    <t>A07-B)07E2-DR/換原絲</t>
  </si>
  <si>
    <t>2F07S2</t>
  </si>
  <si>
    <t>A19A)06W2/DR/換原絲/改重量….</t>
  </si>
  <si>
    <t>2F07T2</t>
  </si>
  <si>
    <t>A08-A)07L2/DR換原絲</t>
  </si>
  <si>
    <t>2F07U2</t>
  </si>
  <si>
    <t>A08-A)07T2/原絲</t>
  </si>
  <si>
    <t>2F07V2</t>
  </si>
  <si>
    <t>A08-A)07U2/原絲/DR</t>
  </si>
  <si>
    <t>2F07W1</t>
  </si>
  <si>
    <t>M04)06Q1換原絲</t>
  </si>
  <si>
    <t>2F07X3</t>
  </si>
  <si>
    <t>A21-A)07A3/換原絲/DR</t>
  </si>
  <si>
    <t>2F07Y2</t>
  </si>
  <si>
    <t>A14-B)07P2/降速/換原絲/換機型/修DR</t>
  </si>
  <si>
    <t>2F07Z1</t>
  </si>
  <si>
    <t>A14-B)05X1-換原絲/升速</t>
  </si>
  <si>
    <t>2F08A2</t>
  </si>
  <si>
    <t>A13-A)07Q2換原絲/DR</t>
  </si>
  <si>
    <t>2F08C2</t>
  </si>
  <si>
    <t>A13-A)07S2/換原絲/改重量</t>
  </si>
  <si>
    <t>2F08D3</t>
  </si>
  <si>
    <t>A13-A)07X3/換原絲</t>
  </si>
  <si>
    <t>A14-B)07Z1-換原絲</t>
  </si>
  <si>
    <t>A10-B)06M2/DR</t>
  </si>
  <si>
    <t>2F0902</t>
  </si>
  <si>
    <t>A16-B)01I2換原絲</t>
  </si>
  <si>
    <t>2F0912</t>
  </si>
  <si>
    <t>A07-A)0902色差</t>
  </si>
  <si>
    <t>2F0AA2</t>
  </si>
  <si>
    <t>T04-L)01R2換原絲</t>
  </si>
  <si>
    <t>2F0AB2</t>
  </si>
  <si>
    <t>T04-R)0AA2換原絲</t>
  </si>
  <si>
    <t>2F0AC2</t>
  </si>
  <si>
    <t>A16-B)01E2</t>
  </si>
  <si>
    <t>2F0AD2</t>
  </si>
  <si>
    <t>A14-A)01E2</t>
  </si>
  <si>
    <t>2F0AE2</t>
  </si>
  <si>
    <t>A16)0AC2吃新紗</t>
  </si>
  <si>
    <t>2F0AF2</t>
  </si>
  <si>
    <t>A24-A)01E2換原絲</t>
  </si>
  <si>
    <t>2F1001</t>
  </si>
  <si>
    <t>A09)-1WJ1色差</t>
  </si>
  <si>
    <t>2F1022</t>
  </si>
  <si>
    <t>A22-B)15X2-換原絲</t>
  </si>
  <si>
    <t>2F1033</t>
  </si>
  <si>
    <t>A22)16E3換原絲</t>
  </si>
  <si>
    <t>2F1042</t>
  </si>
  <si>
    <t>A22-A)5F1SU2換原絲</t>
  </si>
  <si>
    <t>2F1052</t>
  </si>
  <si>
    <t>A18)1042換原絲</t>
  </si>
  <si>
    <t>2F1062</t>
  </si>
  <si>
    <t>M07)14I2換原絲</t>
  </si>
  <si>
    <t>2F1072</t>
  </si>
  <si>
    <t>A24-B)1082-降速</t>
  </si>
  <si>
    <t>2F1082</t>
  </si>
  <si>
    <t>A21)1052色差/降速</t>
  </si>
  <si>
    <t>2F1093</t>
  </si>
  <si>
    <t>A24-B)1033換原絲</t>
  </si>
  <si>
    <t>2F10U2</t>
  </si>
  <si>
    <t>A16-A)1222-換原絲</t>
  </si>
  <si>
    <t>2F10V2</t>
  </si>
  <si>
    <t>M08)1292-換原絲</t>
  </si>
  <si>
    <t>2F10W2</t>
  </si>
  <si>
    <t>A09)10U2-換原絲</t>
  </si>
  <si>
    <t>2F10X2</t>
  </si>
  <si>
    <t>A16)10U2-換原絲</t>
  </si>
  <si>
    <t>2F10Y2</t>
  </si>
  <si>
    <t>A09)10W2-換原絲</t>
  </si>
  <si>
    <t>2F10Z2</t>
  </si>
  <si>
    <t>A18)10Y2-換原絲</t>
  </si>
  <si>
    <t>2F11A2</t>
  </si>
  <si>
    <t>T03-R)10Z2-換原絲/機型/升速</t>
  </si>
  <si>
    <t>2F11B2</t>
  </si>
  <si>
    <t>A11-B)10Z2-換原絲</t>
  </si>
  <si>
    <t>2F11C2</t>
  </si>
  <si>
    <t>A18)10Z2-換原絲</t>
  </si>
  <si>
    <t>2F11D2</t>
  </si>
  <si>
    <t>A19)S撚-1252-換原絲</t>
  </si>
  <si>
    <t>2F11E2</t>
  </si>
  <si>
    <t>A09-A)10Y2-換原絲</t>
  </si>
  <si>
    <t>2F11F2</t>
  </si>
  <si>
    <t>M05)1292-換原絲</t>
  </si>
  <si>
    <t>2F11G2</t>
  </si>
  <si>
    <t>A18-B)11C2-換原絲</t>
  </si>
  <si>
    <t>2F11H2</t>
  </si>
  <si>
    <t>A19-B)11G2-換原絲</t>
  </si>
  <si>
    <t>2F11I2</t>
  </si>
  <si>
    <t>M05)11F2-換原絲</t>
  </si>
  <si>
    <t>2F11J2</t>
  </si>
  <si>
    <t>A18-B)11G2-換原絲</t>
  </si>
  <si>
    <t>2F11K2</t>
  </si>
  <si>
    <t>A09)11E2-換原絲</t>
  </si>
  <si>
    <t>2F11L2</t>
  </si>
  <si>
    <t>A19-B)1272-換原絲</t>
  </si>
  <si>
    <t>2F11M2</t>
  </si>
  <si>
    <t>A18)S撚-11D2-換原絲</t>
  </si>
  <si>
    <t>2F1202</t>
  </si>
  <si>
    <t>A16-B)1WG2-換原絲/降速</t>
  </si>
  <si>
    <t>2F1212</t>
  </si>
  <si>
    <t>A16)1WG2-換原絲</t>
  </si>
  <si>
    <t>2F1222</t>
  </si>
  <si>
    <t>A12)16F2-換原絲</t>
  </si>
  <si>
    <t>2F1232</t>
  </si>
  <si>
    <t>A19)16L2換原絲</t>
  </si>
  <si>
    <t>2F1242</t>
  </si>
  <si>
    <t>A15-A)14S2-換原絲</t>
  </si>
  <si>
    <t>2F1252</t>
  </si>
  <si>
    <t>A18)S撚-1222-換原絲/DR</t>
  </si>
  <si>
    <t>2F1272</t>
  </si>
  <si>
    <t>A09)1242-換原絲/DR</t>
  </si>
  <si>
    <t>2F1282</t>
  </si>
  <si>
    <t>M07)1242-換原絲</t>
  </si>
  <si>
    <t>2F1292</t>
  </si>
  <si>
    <t>M07)1282-換原絲</t>
  </si>
  <si>
    <t>2F12I2</t>
  </si>
  <si>
    <t>M01)1VV2-換原絲</t>
  </si>
  <si>
    <t>2F12J2</t>
  </si>
  <si>
    <t>S2)1WH2-紫色紗/換原絲</t>
  </si>
  <si>
    <t>2F12K2</t>
  </si>
  <si>
    <t>A16-A)1ZW2-換原絲/DR</t>
  </si>
  <si>
    <t>2F12L2</t>
  </si>
  <si>
    <t>A15-B)1WG2-加T</t>
  </si>
  <si>
    <t>2F12M2</t>
  </si>
  <si>
    <t>A11-B)1ZT2-換原絲/DR</t>
  </si>
  <si>
    <t>2F12N2</t>
  </si>
  <si>
    <t>A19-B)1SG2-換原絲</t>
  </si>
  <si>
    <t>2F12P2</t>
  </si>
  <si>
    <t>A12-A)1ZX2-色差-含氧紗</t>
  </si>
  <si>
    <t>2F12Q2</t>
  </si>
  <si>
    <t>A16-B)1WA2-降速換原絲</t>
  </si>
  <si>
    <t>2F12R1</t>
  </si>
  <si>
    <t>A07-B)1SQ1-換原絲</t>
  </si>
  <si>
    <t>2F12S2</t>
  </si>
  <si>
    <t>A13)1ZD2-換原絲</t>
  </si>
  <si>
    <t>2F12T2</t>
  </si>
  <si>
    <t>A11-B)12M2-換原絲</t>
  </si>
  <si>
    <t>2F12U2</t>
  </si>
  <si>
    <t>A13-B)1ZU2-換原絲</t>
  </si>
  <si>
    <t>2F12V2</t>
  </si>
  <si>
    <t>A19)1SH2</t>
  </si>
  <si>
    <t>2F12W2</t>
  </si>
  <si>
    <t>J07)1ZH2-換原絲</t>
  </si>
  <si>
    <t>2F12X2</t>
  </si>
  <si>
    <t>A07-B)12K2-DR/色差</t>
  </si>
  <si>
    <t>2F12Y2</t>
  </si>
  <si>
    <t>A22)1212-機台別</t>
  </si>
  <si>
    <t>2F12Z1</t>
  </si>
  <si>
    <t>A17-B)5F1MI1-色差/DR</t>
  </si>
  <si>
    <t>2F1302</t>
  </si>
  <si>
    <t>A19-A)1302-色差</t>
  </si>
  <si>
    <t>2F1312</t>
  </si>
  <si>
    <t>A14-A)16Q2-換原絲/升速</t>
  </si>
  <si>
    <t>2F1321</t>
  </si>
  <si>
    <t>A15-A)16V1-換原絲</t>
  </si>
  <si>
    <t>2F1331</t>
  </si>
  <si>
    <t>A15-B)1321-色差</t>
  </si>
  <si>
    <t>2F1341</t>
  </si>
  <si>
    <t>A11)1331-換原絲</t>
  </si>
  <si>
    <t>2F13A2</t>
  </si>
  <si>
    <t>M03)1QG2-換原絲</t>
  </si>
  <si>
    <t>2F13B2</t>
  </si>
  <si>
    <t>A09-B)12Q2-更改重量</t>
  </si>
  <si>
    <t>2F13C2</t>
  </si>
  <si>
    <t>A13)1202-換原絲</t>
  </si>
  <si>
    <t>2F13D2</t>
  </si>
  <si>
    <t>A10)12N2-換原絲</t>
  </si>
  <si>
    <t>2F13E2</t>
  </si>
  <si>
    <t>A09)5F1UW2-換原絲</t>
  </si>
  <si>
    <t>2F13F2</t>
  </si>
  <si>
    <t>T04-L)1NJ2-換原絲</t>
  </si>
  <si>
    <t>2F13H2</t>
  </si>
  <si>
    <t>A11-B)12M2-換原絲/重量</t>
  </si>
  <si>
    <t>2F13I2</t>
  </si>
  <si>
    <t>A16)5F1WF2-換原絲</t>
  </si>
  <si>
    <t>2F13J2</t>
  </si>
  <si>
    <t>A12-B)12X2-色差</t>
  </si>
  <si>
    <t>2F13K2</t>
  </si>
  <si>
    <t>A15)5F1WG2-換原絲</t>
  </si>
  <si>
    <t>2F13L1</t>
  </si>
  <si>
    <t>A14-A)12R1-換原絲</t>
  </si>
  <si>
    <t>2F13M1</t>
  </si>
  <si>
    <t>A10-A)5F1VM1換原絲</t>
  </si>
  <si>
    <t>2F13N2</t>
  </si>
  <si>
    <t>A09-B)5F1VN2-換原絲/DR</t>
  </si>
  <si>
    <t>2F13P2</t>
  </si>
  <si>
    <t>A08-A)1RS2-換原絲/物性LIKE-13A2</t>
  </si>
  <si>
    <t>2F13Q2</t>
  </si>
  <si>
    <t>A16-B)13I2-換原絲</t>
  </si>
  <si>
    <t>2F13R2</t>
  </si>
  <si>
    <t>A24)13K2-換原絲</t>
  </si>
  <si>
    <t>2F13S2</t>
  </si>
  <si>
    <t>A09-A)13E2-換原絲</t>
  </si>
  <si>
    <t>2F13T3</t>
  </si>
  <si>
    <t>A22)-5FAQ13色差</t>
  </si>
  <si>
    <t>2F13U2</t>
  </si>
  <si>
    <t>A10-B)12U2-換原絲</t>
  </si>
  <si>
    <t>2F13V1</t>
  </si>
  <si>
    <t>A14-B)13L1-換原絲</t>
  </si>
  <si>
    <t>2F13W2</t>
  </si>
  <si>
    <t>代工紗)L110改包</t>
  </si>
  <si>
    <t>2F13X2</t>
  </si>
  <si>
    <t>A15-B)S撚13K2</t>
  </si>
  <si>
    <t>2F13Y2</t>
  </si>
  <si>
    <t>A11-B)12T2-換原絲/DR</t>
  </si>
  <si>
    <t>2F13Z2</t>
  </si>
  <si>
    <t>A17-B)5F1VB2-換原絲/DR</t>
  </si>
  <si>
    <t>2F14A2</t>
  </si>
  <si>
    <t>M03)13A2-換原絲</t>
  </si>
  <si>
    <t>2F14B2</t>
  </si>
  <si>
    <t>A07-B)5F1012-換原絲/DR</t>
  </si>
  <si>
    <t>2F14C2</t>
  </si>
  <si>
    <t>M02)13Z2換機型/降速</t>
  </si>
  <si>
    <t>2F14D2</t>
  </si>
  <si>
    <t>A13-A)13B2-換原絲/更改重量</t>
  </si>
  <si>
    <t>2F14E3</t>
  </si>
  <si>
    <t>A22-B)-13T3換原絲</t>
  </si>
  <si>
    <t>2F14F2</t>
  </si>
  <si>
    <t>A09-B)13S2-換原絲/DR</t>
  </si>
  <si>
    <t>2F14G2</t>
  </si>
  <si>
    <t>A11-B)13S2-換原絲/DR</t>
  </si>
  <si>
    <t>2F14H2</t>
  </si>
  <si>
    <t>A15-B)13K2-換原絲</t>
  </si>
  <si>
    <t>2F14I2</t>
  </si>
  <si>
    <t>M02)14C2換原絲/DR</t>
  </si>
  <si>
    <t>2F14J2</t>
  </si>
  <si>
    <t>J08)12W2-換原絲</t>
  </si>
  <si>
    <t>2F14K3</t>
  </si>
  <si>
    <t>A17-B)14E3</t>
  </si>
  <si>
    <t>2F14L2</t>
  </si>
  <si>
    <t>A18)13Y2-換原絲</t>
  </si>
  <si>
    <t>2F14M2</t>
  </si>
  <si>
    <t>A10-B)S撚</t>
  </si>
  <si>
    <t>2F14N1</t>
  </si>
  <si>
    <t>A10-B)5F1VL1-S撚-換原絲</t>
  </si>
  <si>
    <t>2F14P2</t>
  </si>
  <si>
    <t>A12-A)12P2-色差-含氧紗</t>
  </si>
  <si>
    <t>2F14Q2</t>
  </si>
  <si>
    <t>A20)13Q2-換原絲</t>
  </si>
  <si>
    <t>2F14R2</t>
  </si>
  <si>
    <t>S2)13J2-換原絲/機型</t>
  </si>
  <si>
    <t>2F14S2</t>
  </si>
  <si>
    <t>A24-A)13R2-換原絲</t>
  </si>
  <si>
    <t>2F14T2</t>
  </si>
  <si>
    <t>A18-A)14S2-換原絲</t>
  </si>
  <si>
    <t>2F14U2</t>
  </si>
  <si>
    <t>A09-B)14F2-色差</t>
  </si>
  <si>
    <t>2F14V2</t>
  </si>
  <si>
    <t>A16-A)13Q2-換原絲</t>
  </si>
  <si>
    <t>2F14W2</t>
  </si>
  <si>
    <t>A07-B)13D2-色差</t>
  </si>
  <si>
    <t>2F14X3</t>
  </si>
  <si>
    <t>A22)14E3換原絲</t>
  </si>
  <si>
    <t>2F14Y1</t>
  </si>
  <si>
    <t>A10-A)S撚</t>
  </si>
  <si>
    <t>2F14Z1</t>
  </si>
  <si>
    <t>M02)-2F1001換原絲/機型/降速/DR</t>
  </si>
  <si>
    <t>2F15A1</t>
  </si>
  <si>
    <t>A10-A)14Y1換原絲-S撚</t>
  </si>
  <si>
    <t>2F15B2</t>
  </si>
  <si>
    <t>A18-A)14T2-換原絲</t>
  </si>
  <si>
    <t>2F15C2</t>
  </si>
  <si>
    <t>A11-B)13F2-換原絲/機型/降速</t>
  </si>
  <si>
    <t>2F15D2</t>
  </si>
  <si>
    <t>A10-B)14D2-換原絲</t>
  </si>
  <si>
    <t>2F15F2</t>
  </si>
  <si>
    <t>A20-B)14Q2-換原絲</t>
  </si>
  <si>
    <t>2F15G2</t>
  </si>
  <si>
    <t>M08-A)14A2-換原絲/DR</t>
  </si>
  <si>
    <t>2F15H2</t>
  </si>
  <si>
    <t>A18-B)15B2-換原絲</t>
  </si>
  <si>
    <t>2F15I1</t>
  </si>
  <si>
    <t>M02)-14Z1色差</t>
  </si>
  <si>
    <t>2F15J2</t>
  </si>
  <si>
    <t>A10-B)14U2-色差</t>
  </si>
  <si>
    <t>2F15K2</t>
  </si>
  <si>
    <t>A11)14U2-換原絲</t>
  </si>
  <si>
    <t>2F15L1</t>
  </si>
  <si>
    <t>A16-A)-1001換原絲/降速/DR</t>
  </si>
  <si>
    <t>2F15M2</t>
  </si>
  <si>
    <t>A18-B)15H2-換原絲/DR</t>
  </si>
  <si>
    <t>2F15N1</t>
  </si>
  <si>
    <t>A14-A)15D2-9621</t>
  </si>
  <si>
    <t>2F15P2</t>
  </si>
  <si>
    <t>A10)14M2轉-Z撚</t>
  </si>
  <si>
    <t>2F15Q2</t>
  </si>
  <si>
    <t>A18-A)14L2-換原絲</t>
  </si>
  <si>
    <t>2F15R3</t>
  </si>
  <si>
    <t>A22-B)14X3換原絲</t>
  </si>
  <si>
    <t>2F15S2</t>
  </si>
  <si>
    <t>A08-A)15D2-換原絲/降速</t>
  </si>
  <si>
    <t>2F15T2</t>
  </si>
  <si>
    <t>A22)13Z2-換原絲</t>
  </si>
  <si>
    <t>2F15V1</t>
  </si>
  <si>
    <t>A13-B)13V1-換原絲</t>
  </si>
  <si>
    <t>2F15W1</t>
  </si>
  <si>
    <t>M01)5F1MX1換原絲/降速/DR</t>
  </si>
  <si>
    <t>2F15X2</t>
  </si>
  <si>
    <t>A22-B)15T2-換原絲</t>
  </si>
  <si>
    <t>2F15Y2</t>
  </si>
  <si>
    <t>A18-B)15F2-換原絲</t>
  </si>
  <si>
    <t>2F15Z2</t>
  </si>
  <si>
    <t>A07-B)5F1LZ2-換原絲</t>
  </si>
  <si>
    <t>2F16A3</t>
  </si>
  <si>
    <t>T04-R)5F1ZJ3</t>
  </si>
  <si>
    <t>2F16B1</t>
  </si>
  <si>
    <t>M01)5F1TF1換原絲/降速/DR</t>
  </si>
  <si>
    <t>2F16C3</t>
  </si>
  <si>
    <t>A22-A)15R3換原絲</t>
  </si>
  <si>
    <t>2F16D2</t>
  </si>
  <si>
    <t>A13-B)14W2-換原絲</t>
  </si>
  <si>
    <t>2F16E3</t>
  </si>
  <si>
    <t>A22-B)16C3換原絲</t>
  </si>
  <si>
    <t>2F16F2</t>
  </si>
  <si>
    <t>A12)15Y2-換原絲</t>
  </si>
  <si>
    <t>2F16G2</t>
  </si>
  <si>
    <t>A11-B)94L2S撚改-5.0KG</t>
  </si>
  <si>
    <t>2F16H2</t>
  </si>
  <si>
    <t>M06)12I2-換原絲</t>
  </si>
  <si>
    <t>2F16I2</t>
  </si>
  <si>
    <t>S2)14B2機型/DR</t>
  </si>
  <si>
    <t>2F16J2</t>
  </si>
  <si>
    <t>A14-B)15K2-色差</t>
  </si>
  <si>
    <t>2F16L2</t>
  </si>
  <si>
    <t>A19)16F2加開第2台</t>
  </si>
  <si>
    <t>2F16M2</t>
  </si>
  <si>
    <t>A10)15M2-換原絲</t>
  </si>
  <si>
    <t>2F16N2</t>
  </si>
  <si>
    <t>A13-B)13N2-換原絲</t>
  </si>
  <si>
    <t>2F16Q2</t>
  </si>
  <si>
    <t>A07-B)5F1VT2-換原絲</t>
  </si>
  <si>
    <t>2F16R3</t>
  </si>
  <si>
    <t>M01)93Y3-升速</t>
  </si>
  <si>
    <t>2F16S2</t>
  </si>
  <si>
    <t>A07-B)14P2-換原絲-含氧紗</t>
  </si>
  <si>
    <t>2F16T2</t>
  </si>
  <si>
    <t>A11)16G2-S撚換原絲</t>
  </si>
  <si>
    <t>2F16U2</t>
  </si>
  <si>
    <t>A13-B)15Q2-換原絲</t>
  </si>
  <si>
    <t>2F16V1</t>
  </si>
  <si>
    <t>A14-B)5F1TL1-換原絲</t>
  </si>
  <si>
    <t>2F16W1</t>
  </si>
  <si>
    <t>M02)-15I1換原絲</t>
  </si>
  <si>
    <t>2F16X2</t>
  </si>
  <si>
    <t>A08)15S2-換原絲</t>
  </si>
  <si>
    <t>2F16Y2</t>
  </si>
  <si>
    <t>2F16Z2</t>
  </si>
  <si>
    <t>S2)色紗</t>
  </si>
  <si>
    <t>2F1712</t>
  </si>
  <si>
    <t>A19-A)1ZI2-換原絲</t>
  </si>
  <si>
    <t>2F17A2</t>
  </si>
  <si>
    <t>J07)14J2-換原絲/DR</t>
  </si>
  <si>
    <t>2F17B2</t>
  </si>
  <si>
    <t>A14-B)15M2-換原絲/降速/重量</t>
  </si>
  <si>
    <t>2F17C2</t>
  </si>
  <si>
    <t>A07-A)13J2-換原絲</t>
  </si>
  <si>
    <t>2F17D2</t>
  </si>
  <si>
    <t>A07-B)16S2-換原絲/DR-含氧紗</t>
  </si>
  <si>
    <t>2F17E2</t>
  </si>
  <si>
    <t>J09)17A2-換原絲</t>
  </si>
  <si>
    <t>2F17F1</t>
  </si>
  <si>
    <t>M02)5F1TA1換原絲/DR</t>
  </si>
  <si>
    <t>2F17G2</t>
  </si>
  <si>
    <t>A16-B)5F14H2</t>
  </si>
  <si>
    <t>2F17H2</t>
  </si>
  <si>
    <t>A18-A)12S2-換原絲</t>
  </si>
  <si>
    <t>2F17J2</t>
  </si>
  <si>
    <t>A14-A)17H2-換原絲/DR</t>
  </si>
  <si>
    <t>2F17K2</t>
  </si>
  <si>
    <t>A16-B)17G2換原絲油劑</t>
  </si>
  <si>
    <t>2F17L3</t>
  </si>
  <si>
    <t>2F17M2</t>
  </si>
  <si>
    <t>A07-A)17C2-換原絲</t>
  </si>
  <si>
    <t>2F17N2</t>
  </si>
  <si>
    <t>A16)94N2-</t>
  </si>
  <si>
    <t>2F17P1</t>
  </si>
  <si>
    <t>M08)5F1MX1-色差</t>
  </si>
  <si>
    <t>2F17Q2</t>
  </si>
  <si>
    <t>A07-B)17D2-換原絲-含氧紗</t>
  </si>
  <si>
    <t>2F17R3</t>
  </si>
  <si>
    <t>M01)5F1TC3-色差</t>
  </si>
  <si>
    <t>2F17S2</t>
  </si>
  <si>
    <t>A15)16D2-換原絲</t>
  </si>
  <si>
    <t>2F17T2</t>
  </si>
  <si>
    <t>A08-A)13P2-換原絲/物性LIKE-15G2</t>
  </si>
  <si>
    <t>2F17U1</t>
  </si>
  <si>
    <t>M08)5F1TF1換原絲</t>
  </si>
  <si>
    <t>2F17V1</t>
  </si>
  <si>
    <t>M03)17P1-換原絲</t>
  </si>
  <si>
    <t>2F17W2</t>
  </si>
  <si>
    <t>A08-B)17T2-色差</t>
  </si>
  <si>
    <t>2F17X1</t>
  </si>
  <si>
    <t>A14-B)15V1-換原絲</t>
  </si>
  <si>
    <t>2F17Y1</t>
  </si>
  <si>
    <t>M01)17V1-換原絲</t>
  </si>
  <si>
    <t>2F17Z2</t>
  </si>
  <si>
    <t>A07-B)17Q2-換原絲-含氧紗</t>
  </si>
  <si>
    <t>2F18A2</t>
  </si>
  <si>
    <t>A09-B)5F1QB2-換原絲16H2</t>
  </si>
  <si>
    <t>2F18B1</t>
  </si>
  <si>
    <t>A14)17X1-換原絲/DR</t>
  </si>
  <si>
    <t>2F18C2</t>
  </si>
  <si>
    <t>A12)16U2-換原絲</t>
  </si>
  <si>
    <t>2F18D2</t>
  </si>
  <si>
    <t>A15-B)17Z2-換原絲-含氧紗</t>
  </si>
  <si>
    <t>2F18E2</t>
  </si>
  <si>
    <t>A08-B)17T2-換原絲/修DR</t>
  </si>
  <si>
    <t>2F18F2</t>
  </si>
  <si>
    <t>A15-B)15J2-換原絲</t>
  </si>
  <si>
    <t>2F18G1</t>
  </si>
  <si>
    <t>A08-B)5F1QD1換原絲/物性LIKE17U1</t>
  </si>
  <si>
    <t>2F18H2</t>
  </si>
  <si>
    <t>A12-B)18C2-色差/DR</t>
  </si>
  <si>
    <t>2F18I1</t>
  </si>
  <si>
    <t>M01)17Y1-換原絲</t>
  </si>
  <si>
    <t>2F18J2</t>
  </si>
  <si>
    <t>A07-B)18D2-換原絲-含氧紗</t>
  </si>
  <si>
    <t>2F18K1</t>
  </si>
  <si>
    <t>A10-B)17L3-機型/重量-節牢不LIKE/灰色紗</t>
  </si>
  <si>
    <t>2F18L2</t>
  </si>
  <si>
    <t>A10-A)17B2-換原絲-紅色紗</t>
  </si>
  <si>
    <t>2F18M2</t>
  </si>
  <si>
    <t>A12-A)18H2-換原絲</t>
  </si>
  <si>
    <t>2F18N2</t>
  </si>
  <si>
    <t>A10-B)18L2-換原絲-藍色紗</t>
  </si>
  <si>
    <t>2F18P2</t>
  </si>
  <si>
    <t>A07-B)18J2-偏淺紗-含氧紗</t>
  </si>
  <si>
    <t>2F18Q2</t>
  </si>
  <si>
    <t>A08)16Y2換原絲/機型</t>
  </si>
  <si>
    <t>2F18R2</t>
  </si>
  <si>
    <t>A12-B)18M2-換原絲/DR</t>
  </si>
  <si>
    <t>2F18S2</t>
  </si>
  <si>
    <t>J09)17E2-換原絲</t>
  </si>
  <si>
    <t>2F18T1</t>
  </si>
  <si>
    <t>A11)18K1-換原絲/DR</t>
  </si>
  <si>
    <t>2F18U2</t>
  </si>
  <si>
    <t>A11-B)17B2-換原絲</t>
  </si>
  <si>
    <t>2F18V2</t>
  </si>
  <si>
    <t>A07-B)17Q2-換原絲/DR-含氧紗</t>
  </si>
  <si>
    <t>2F18W2</t>
  </si>
  <si>
    <t>A08-A)DV82換機型</t>
  </si>
  <si>
    <t>2F18X2</t>
  </si>
  <si>
    <t>M07)16N2-換原絲/機型/降速</t>
  </si>
  <si>
    <t>2F18Y2</t>
  </si>
  <si>
    <t>A10-A)17M2-換原絲</t>
  </si>
  <si>
    <t>2F18Z2</t>
  </si>
  <si>
    <t>A11-B)18N2-換原絲-藍色紗</t>
  </si>
  <si>
    <t>2F1902</t>
  </si>
  <si>
    <t>M04)1UW2-換原絲/機型</t>
  </si>
  <si>
    <t>2F1912</t>
  </si>
  <si>
    <t>A16-A)16J2-換原絲</t>
  </si>
  <si>
    <t>2F1942</t>
  </si>
  <si>
    <t>A18-B)1912-換原絲/DR</t>
  </si>
  <si>
    <t>2F1952</t>
  </si>
  <si>
    <t>A18-B)1942-換原絲</t>
  </si>
  <si>
    <t>2F1962</t>
  </si>
  <si>
    <t>A10)1952-換原絲/降速</t>
  </si>
  <si>
    <t>2F1972</t>
  </si>
  <si>
    <t>A18)1952-降速</t>
  </si>
  <si>
    <t>2F1982</t>
  </si>
  <si>
    <t>A12)1972-換原絲</t>
  </si>
  <si>
    <t>2F1992</t>
  </si>
  <si>
    <t>A18)1982-機台別</t>
  </si>
  <si>
    <t>2F19A2</t>
  </si>
  <si>
    <t>A11-A)18L2-換原絲/DR-紅色紗</t>
  </si>
  <si>
    <t>2F19B2</t>
  </si>
  <si>
    <t>A11-A)19A2-原絲日期不同</t>
  </si>
  <si>
    <t>2F19C2</t>
  </si>
  <si>
    <t>M07)18X2-換原絲/重量/輕節/LIKE-17S2物性</t>
  </si>
  <si>
    <t>2F19D1</t>
  </si>
  <si>
    <t>A08-A)18G1換原絲</t>
  </si>
  <si>
    <t>2F19E2</t>
  </si>
  <si>
    <t>M01)14A2-換原絲</t>
  </si>
  <si>
    <t>2F19F2</t>
  </si>
  <si>
    <t>J09)18S2-換原絲</t>
  </si>
  <si>
    <t>2F19G1</t>
  </si>
  <si>
    <t>A11-B)13M1換原絲/DR</t>
  </si>
  <si>
    <t>2F19H2</t>
  </si>
  <si>
    <t>A07-A)18V2-換原絲-含氧紗</t>
  </si>
  <si>
    <t>2F19I2</t>
  </si>
  <si>
    <t>A12-A)18R2-換原絲</t>
  </si>
  <si>
    <t>2F19J1</t>
  </si>
  <si>
    <t>A12-B)18B1-換原絲</t>
  </si>
  <si>
    <t>2F19L2</t>
  </si>
  <si>
    <t>2F19M2</t>
  </si>
  <si>
    <t>S2)13H2-換原絲/機型/DR</t>
  </si>
  <si>
    <t>2F19P2</t>
  </si>
  <si>
    <t>M01)16H2-換原絲</t>
  </si>
  <si>
    <t>2F19Q1</t>
  </si>
  <si>
    <t>M01)17U1換原絲</t>
  </si>
  <si>
    <t>2F19R1</t>
  </si>
  <si>
    <t>A08-A)5F1MX1-機型/DR</t>
  </si>
  <si>
    <t>2F19S2</t>
  </si>
  <si>
    <t>A09-B)11K2-換原絲</t>
  </si>
  <si>
    <t>2F19T2</t>
  </si>
  <si>
    <t>A15-B)17N2</t>
  </si>
  <si>
    <t>2F19U2</t>
  </si>
  <si>
    <t>A19)11L2-換原絲</t>
  </si>
  <si>
    <t>2F19V2</t>
  </si>
  <si>
    <t>A19)19U2-換原絲/DR</t>
  </si>
  <si>
    <t>2F19W2</t>
  </si>
  <si>
    <t>S2)11F2-換原絲/升速/機型/DR</t>
  </si>
  <si>
    <t>2F19X2</t>
  </si>
  <si>
    <t>A24)14B2-換原絲/DR</t>
  </si>
  <si>
    <t>2F19Y2</t>
  </si>
  <si>
    <t>M02)10V2-換規格</t>
  </si>
  <si>
    <t>2F19Z2</t>
  </si>
  <si>
    <t>M06)11I2-換原絲/DR</t>
  </si>
  <si>
    <t>2F1A02</t>
  </si>
  <si>
    <t>M03)1D42-換原絲</t>
  </si>
  <si>
    <t>2F1A12</t>
  </si>
  <si>
    <t>A11)1072-換原絲/AP壓力</t>
  </si>
  <si>
    <t>2F1A22</t>
  </si>
  <si>
    <t>A24-A)13H2-換原絲</t>
  </si>
  <si>
    <t>2F1A31</t>
  </si>
  <si>
    <t>M05)17F1換原絲/DR/19G1</t>
  </si>
  <si>
    <t>2F1A41</t>
  </si>
  <si>
    <t>A21)L132-外購</t>
  </si>
  <si>
    <t>2F1A52</t>
  </si>
  <si>
    <t>A08-B)18A2-換原絲</t>
  </si>
  <si>
    <t>2F1A62</t>
  </si>
  <si>
    <t>A23-B)19V2-換原絲/DR</t>
  </si>
  <si>
    <t>2F1A72</t>
  </si>
  <si>
    <t>M05)DU62</t>
  </si>
  <si>
    <t>2F1A82</t>
  </si>
  <si>
    <t>M07)2FL126</t>
  </si>
  <si>
    <t>2F1A92</t>
  </si>
  <si>
    <t>S2)98Y2-換原絲/重量</t>
  </si>
  <si>
    <t>2F1AA2</t>
  </si>
  <si>
    <t>A14-B)5F1NN2-換原絲/DR/升速</t>
  </si>
  <si>
    <t>2F1AB2</t>
  </si>
  <si>
    <t>A13)1AA2-色差</t>
  </si>
  <si>
    <t>2F1AC2</t>
  </si>
  <si>
    <t>M04)1AB2-換原絲</t>
  </si>
  <si>
    <t>2F1AD2</t>
  </si>
  <si>
    <t>M04)1AC2-原絲日期不同</t>
  </si>
  <si>
    <t>2F1AE2</t>
  </si>
  <si>
    <t>M04-A)1AD2-原絲日期不同</t>
  </si>
  <si>
    <t>2F1AF2</t>
  </si>
  <si>
    <t>M04-B)1AE2換原絲</t>
  </si>
  <si>
    <t>2F1AG2</t>
  </si>
  <si>
    <t>M08)1AF2/機台別</t>
  </si>
  <si>
    <t>2F1AH2</t>
  </si>
  <si>
    <t>A23)1AB2-換原絲</t>
  </si>
  <si>
    <t>2F1AI2</t>
  </si>
  <si>
    <t>T01-R)5F1NJ2-換原絲/DR/1F22物性/降速</t>
  </si>
  <si>
    <t>2F1AJ1</t>
  </si>
  <si>
    <t>A23)1Y31換原絲/DR</t>
  </si>
  <si>
    <t>2F1AL2</t>
  </si>
  <si>
    <t>A22-B)1W42-DR/AP壓力</t>
  </si>
  <si>
    <t>2F1AM2</t>
  </si>
  <si>
    <t>T03-L)1AI2-換原絲/DR</t>
  </si>
  <si>
    <t>2F1AN2</t>
  </si>
  <si>
    <t>M05)1X32換原絲/DR</t>
  </si>
  <si>
    <t>2F1AP2</t>
  </si>
  <si>
    <t>A09)1Z52</t>
  </si>
  <si>
    <t>2F1AQ2</t>
  </si>
  <si>
    <t>T04-R)11A2-換原絲/DR/降速</t>
  </si>
  <si>
    <t>2F1AR2</t>
  </si>
  <si>
    <t>A23-A)1G72-DR/機型</t>
  </si>
  <si>
    <t>2F1AS2</t>
  </si>
  <si>
    <t>T01-R)1Z22換原絲/DR</t>
  </si>
  <si>
    <t>2F1AT2</t>
  </si>
  <si>
    <t>T03-R)1AM2-不加O</t>
  </si>
  <si>
    <t>2F1AU2</t>
  </si>
  <si>
    <t>M06-A)1A02</t>
  </si>
  <si>
    <t>2F1AV2</t>
  </si>
  <si>
    <t>S2)1Z61換原絲</t>
  </si>
  <si>
    <t>2F1AX1</t>
  </si>
  <si>
    <t>A14)1Z31改重量</t>
  </si>
  <si>
    <t>2F1AY2</t>
  </si>
  <si>
    <t>A13-B)1T82-換原絲</t>
  </si>
  <si>
    <t>2F1AZ2</t>
  </si>
  <si>
    <t>A24)1Y72換原絲</t>
  </si>
  <si>
    <t>2F1B02</t>
  </si>
  <si>
    <t>M02)1062色差</t>
  </si>
  <si>
    <t>2F1B12</t>
  </si>
  <si>
    <t>A15)1022-換原絲</t>
  </si>
  <si>
    <t>2F1B23</t>
  </si>
  <si>
    <t>A24-B)1093換原絲/DR</t>
  </si>
  <si>
    <t>2F1B33</t>
  </si>
  <si>
    <t>A15)1B23機台別</t>
  </si>
  <si>
    <t>2F1B43</t>
  </si>
  <si>
    <t>A15)1B33</t>
  </si>
  <si>
    <t>2F1B53</t>
  </si>
  <si>
    <t>A15)1B43換原絲</t>
  </si>
  <si>
    <t>2F1B63</t>
  </si>
  <si>
    <t>A24-B)1B23換原絲</t>
  </si>
  <si>
    <t>2F1B73</t>
  </si>
  <si>
    <t>A24-B)1B63換原絲</t>
  </si>
  <si>
    <t>2F1B82</t>
  </si>
  <si>
    <t>A24)1B12-換原絲</t>
  </si>
  <si>
    <t>2F1B93</t>
  </si>
  <si>
    <t>A24)1B73</t>
  </si>
  <si>
    <t>2F1BA2</t>
  </si>
  <si>
    <t>A20)5F1PK2-換原絲/DR</t>
  </si>
  <si>
    <t>2F1BB2</t>
  </si>
  <si>
    <t>A20-B)1BA2-換原絲</t>
  </si>
  <si>
    <t>2F1BC2</t>
  </si>
  <si>
    <t>A13)1BB2-換原絲/升速</t>
  </si>
  <si>
    <t>2F1BD2</t>
  </si>
  <si>
    <t>T01-R)5F1PE2換原絲/升速</t>
  </si>
  <si>
    <t>2F1BE2</t>
  </si>
  <si>
    <t>A13-A)1BC2-換原絲</t>
  </si>
  <si>
    <t>2F1BF2</t>
  </si>
  <si>
    <t>T01-R)1BD2換原絲</t>
  </si>
  <si>
    <t>2F1BG2</t>
  </si>
  <si>
    <t>M07)11I2-換原絲/LIKE1BD2物性</t>
  </si>
  <si>
    <t>2F1BH2</t>
  </si>
  <si>
    <t>T01-L)1BF2換原絲/降速</t>
  </si>
  <si>
    <t>2F1BI2</t>
  </si>
  <si>
    <t>A22-B)5F1PJ2-換原絲</t>
  </si>
  <si>
    <t>2F1BJ2</t>
  </si>
  <si>
    <t>T03-R)1BH2換原絲/DR/降速</t>
  </si>
  <si>
    <t>2F1BK2</t>
  </si>
  <si>
    <t>A15-A)1W62</t>
  </si>
  <si>
    <t>2F1BL1</t>
  </si>
  <si>
    <t>S2)1V71-換原絲</t>
  </si>
  <si>
    <t>2F1BM2</t>
  </si>
  <si>
    <t>T03-R)1AT2換原絲</t>
  </si>
  <si>
    <t>2F1BN1</t>
  </si>
  <si>
    <t>A23-B)1AJ1換原絲/DR</t>
  </si>
  <si>
    <t>2F1BP2</t>
  </si>
  <si>
    <t>A11)1V62-換原絲</t>
  </si>
  <si>
    <t>2F1BQ2</t>
  </si>
  <si>
    <t>A07-B)1E32-換原絲/DR/AP壓力修</t>
  </si>
  <si>
    <t>2F1BR2</t>
  </si>
  <si>
    <t>A17)1BK2不同機台</t>
  </si>
  <si>
    <t>2F1BS2</t>
  </si>
  <si>
    <t>A09)1Z52換原絲/E%改回19</t>
  </si>
  <si>
    <t>2F1BT2</t>
  </si>
  <si>
    <t>A14-B)1Y52換原絲/DR/機型/重量</t>
  </si>
  <si>
    <t>2F1BU2</t>
  </si>
  <si>
    <t>A07-B)1Y02</t>
  </si>
  <si>
    <t>2F1BV1</t>
  </si>
  <si>
    <t>A21-B)1AJ1換原絲/DR/溫度</t>
  </si>
  <si>
    <t>2F1BW2</t>
  </si>
  <si>
    <t>M06)1LZ2</t>
  </si>
  <si>
    <t>2F1BX2</t>
  </si>
  <si>
    <t>M07)1Z92換原絲</t>
  </si>
  <si>
    <t>2F1BY2</t>
  </si>
  <si>
    <t>A07-A)1Z72換原絲</t>
  </si>
  <si>
    <t>2F1BZ1</t>
  </si>
  <si>
    <t>A23)1BN1換原絲/DR/溫度</t>
  </si>
  <si>
    <t>2F1C02</t>
  </si>
  <si>
    <t>A23)18Y2-換原絲/DR/加O</t>
  </si>
  <si>
    <t>2F1C22</t>
  </si>
  <si>
    <t>A24-A)17K2換原絲/DR/壓力</t>
  </si>
  <si>
    <t>2F1C32</t>
  </si>
  <si>
    <t>A09-A)1A12-換原絲/DR</t>
  </si>
  <si>
    <t>2F1C42</t>
  </si>
  <si>
    <t>A23-A)1C02-錠片/不加O</t>
  </si>
  <si>
    <t>2F1C52</t>
  </si>
  <si>
    <t>A21)1B82-換原絲/降速</t>
  </si>
  <si>
    <t>2F1C61</t>
  </si>
  <si>
    <t>M08)19Q1</t>
  </si>
  <si>
    <t>2F1C73</t>
  </si>
  <si>
    <t>A09)1B93</t>
  </si>
  <si>
    <t>2F1C82</t>
  </si>
  <si>
    <t>A21-B)19T2色差</t>
  </si>
  <si>
    <t>2F1C92</t>
  </si>
  <si>
    <t>A07-A)1A92-重量/降速/DR</t>
  </si>
  <si>
    <t>2F1CA2</t>
  </si>
  <si>
    <t>A10-A)16T2-S撚-換原絲升速</t>
  </si>
  <si>
    <t>2F1CB2</t>
  </si>
  <si>
    <t>A08-B)16X2-換原絲/升速</t>
  </si>
  <si>
    <t>2F1CC2</t>
  </si>
  <si>
    <t>A08-A)1CB2-換原絲</t>
  </si>
  <si>
    <t>2F1CD2</t>
  </si>
  <si>
    <t>A23)1CA2-S撚-色差</t>
  </si>
  <si>
    <t>2F1CE2</t>
  </si>
  <si>
    <t>A23-B)1CC2-換原絲/DR</t>
  </si>
  <si>
    <t>2F1CF2</t>
  </si>
  <si>
    <t>A20)1CC2-換原絲/DR</t>
  </si>
  <si>
    <t>2F1CG1</t>
  </si>
  <si>
    <t>A23-B)15N1-</t>
  </si>
  <si>
    <t>2F1CH2</t>
  </si>
  <si>
    <t>A20)1CD2-S撚-換原絲</t>
  </si>
  <si>
    <t>2F1CI2</t>
  </si>
  <si>
    <t>A15)1CC2-換原絲/DR</t>
  </si>
  <si>
    <t>2F1CJ2</t>
  </si>
  <si>
    <t>A20-B)1CI2-換原絲/不同機台</t>
  </si>
  <si>
    <t>2F1CK2</t>
  </si>
  <si>
    <t>T02-L)5F1TY2</t>
  </si>
  <si>
    <t>2F1CL2</t>
  </si>
  <si>
    <t>M03)1CI2-換原絲/機型/降速</t>
  </si>
  <si>
    <t>2F1CN2</t>
  </si>
  <si>
    <t>A20-B)1CJ2-換原絲</t>
  </si>
  <si>
    <t>2F1CP1</t>
  </si>
  <si>
    <t>T01-L)</t>
  </si>
  <si>
    <t>2F1CQ2</t>
  </si>
  <si>
    <t>M06)1CL2</t>
  </si>
  <si>
    <t>2F1CR1</t>
  </si>
  <si>
    <t>M04)-1CP1-機型/降速</t>
  </si>
  <si>
    <t>2F1CS2</t>
  </si>
  <si>
    <t>M04)1CQ2色差</t>
  </si>
  <si>
    <t>2F1CT2</t>
  </si>
  <si>
    <t>S2)1CS2機型/升速/DR</t>
  </si>
  <si>
    <t>2F1CU2</t>
  </si>
  <si>
    <t>M04)1CS2換原絲</t>
  </si>
  <si>
    <t>2F1CW1</t>
  </si>
  <si>
    <t>A19)1CG1</t>
  </si>
  <si>
    <t>2F1CX1</t>
  </si>
  <si>
    <t>A12-B)1CW1換原絲</t>
  </si>
  <si>
    <t>2F1CY1</t>
  </si>
  <si>
    <t>A12-B)1CX1換原絲</t>
  </si>
  <si>
    <t>2F1CZ2</t>
  </si>
  <si>
    <t>A12-A)1CN2-換原絲</t>
  </si>
  <si>
    <t>2F1D02</t>
  </si>
  <si>
    <t>A18)1992-換原絲/升速</t>
  </si>
  <si>
    <t>2F1D12</t>
  </si>
  <si>
    <t>A12-B)1D02-不同機台</t>
  </si>
  <si>
    <t>2F1D32</t>
  </si>
  <si>
    <t>A15)1D12-色差</t>
  </si>
  <si>
    <t>2F1D42</t>
  </si>
  <si>
    <t>M07)1D32-機型</t>
  </si>
  <si>
    <t>2F1D52</t>
  </si>
  <si>
    <t>M07)1D42-換原絲</t>
  </si>
  <si>
    <t>2F1D62</t>
  </si>
  <si>
    <t>A21-B)1D32-換原絲</t>
  </si>
  <si>
    <t>2F1DA2</t>
  </si>
  <si>
    <t>M04)1BG2-換原絲/LIKE1Z02物性</t>
  </si>
  <si>
    <t>2F1DC2</t>
  </si>
  <si>
    <t>A11-B)1BP2-換原絲/DR/溫度</t>
  </si>
  <si>
    <t>2F1DD2</t>
  </si>
  <si>
    <t>A15-A)1T12-換原絲/DR</t>
  </si>
  <si>
    <t>2F1DE2</t>
  </si>
  <si>
    <t>M06)1CU2換原絲/AP壓力升</t>
  </si>
  <si>
    <t>2F1DF2</t>
  </si>
  <si>
    <t>A19-A)1BS2-DR</t>
  </si>
  <si>
    <t>2F1DG2</t>
  </si>
  <si>
    <t>A15)1BS2換原絲/DR</t>
  </si>
  <si>
    <t>2F1DH1</t>
  </si>
  <si>
    <t>A23)1BV1/條件用1BZ1/改3.9KG</t>
  </si>
  <si>
    <t>2F1DI2</t>
  </si>
  <si>
    <t>T01-R)1AS2換原絲</t>
  </si>
  <si>
    <t>2F1DJ2</t>
  </si>
  <si>
    <t>A19-B)1DG2/修DR</t>
  </si>
  <si>
    <t>2F1DK1</t>
  </si>
  <si>
    <t>A23-B)1BZ1-新紗</t>
  </si>
  <si>
    <t>2F1DL2</t>
  </si>
  <si>
    <t>A24)1Y22換原絲丹尼不同/DR</t>
  </si>
  <si>
    <t>2F1DM2</t>
  </si>
  <si>
    <t>A07-A)1BY2</t>
  </si>
  <si>
    <t>2F1DP1</t>
  </si>
  <si>
    <t>A21)1G21-換原絲/DR/降速/錠片減</t>
  </si>
  <si>
    <t>2F1DQ2</t>
  </si>
  <si>
    <t>A19-B)1DJ2-新紗</t>
  </si>
  <si>
    <t>2F1DR2</t>
  </si>
  <si>
    <t>A15)1DG2新紗</t>
  </si>
  <si>
    <t>2F1DS1</t>
  </si>
  <si>
    <t>A23)1DK1-改3.6KG/DR修丹尼</t>
  </si>
  <si>
    <t>2F1DT2</t>
  </si>
  <si>
    <t>A24-B)1DL2換異常原絲</t>
  </si>
  <si>
    <t>2F1DU2</t>
  </si>
  <si>
    <t>M02)1DD2-換原絲/機型/DR</t>
  </si>
  <si>
    <t>2F1DV2</t>
  </si>
  <si>
    <t>A24-A)1Y22換原絲</t>
  </si>
  <si>
    <t>2F1DW2</t>
  </si>
  <si>
    <t>A08)1Z02換原絲/DR</t>
  </si>
  <si>
    <t>2F1DX2</t>
  </si>
  <si>
    <t>A15)1P32-換原絲/DR/溫度</t>
  </si>
  <si>
    <t>2F1DY2</t>
  </si>
  <si>
    <t>A10-B)5F1WE2換原絲/改重量</t>
  </si>
  <si>
    <t>2F1DZ2</t>
  </si>
  <si>
    <t>A08-B)1U02</t>
  </si>
  <si>
    <t>2F1E02</t>
  </si>
  <si>
    <t>M08)19P2-換原絲</t>
  </si>
  <si>
    <t>2F1E11</t>
  </si>
  <si>
    <t>A15)19J1-換原絲</t>
  </si>
  <si>
    <t>2F1E22</t>
  </si>
  <si>
    <t>A23-A)19X2-換原絲/DR</t>
  </si>
  <si>
    <t>2F1E32</t>
  </si>
  <si>
    <t>A13-B)1C52-色差/DR</t>
  </si>
  <si>
    <t>2F1E42</t>
  </si>
  <si>
    <t>A12-A)1C22改不加O</t>
  </si>
  <si>
    <t>2F1E52</t>
  </si>
  <si>
    <t>A07)1A22-換原絲</t>
  </si>
  <si>
    <t>2F1E62</t>
  </si>
  <si>
    <t>A24-B)19H2-換原絲-含氧紗</t>
  </si>
  <si>
    <t>2F1E71</t>
  </si>
  <si>
    <t>A12-B)D2S1</t>
  </si>
  <si>
    <t>2F1E82</t>
  </si>
  <si>
    <t>A12-A)1E42改加O/DR</t>
  </si>
  <si>
    <t>2F1E91</t>
  </si>
  <si>
    <t>A20)-5F1TS1換原絲/降速/重量</t>
  </si>
  <si>
    <t>2F1EA1</t>
  </si>
  <si>
    <t>M06)1MG1</t>
  </si>
  <si>
    <t>2F1EB1</t>
  </si>
  <si>
    <t>M05)1ME1</t>
  </si>
  <si>
    <t>2F1EC2</t>
  </si>
  <si>
    <t>M01)1BX2</t>
  </si>
  <si>
    <t>2F1ED2</t>
  </si>
  <si>
    <t>A11-B)1Z12-換原絲</t>
  </si>
  <si>
    <t>2F1EF2</t>
  </si>
  <si>
    <t>A21)1BQ2-換原絲</t>
  </si>
  <si>
    <t>2F1EG2</t>
  </si>
  <si>
    <t>M01)1EC2換原絲/DR</t>
  </si>
  <si>
    <t>2F1EH2</t>
  </si>
  <si>
    <t>A16-B)1S72-換原絲</t>
  </si>
  <si>
    <t>2F1EI2</t>
  </si>
  <si>
    <t>A16-B)1BT2-DR/重量…</t>
  </si>
  <si>
    <t>2F1EJ2</t>
  </si>
  <si>
    <t>A07-B)1BU2換原絲</t>
  </si>
  <si>
    <t>2F1EK2</t>
  </si>
  <si>
    <t>M02)1BW2/1LZ2</t>
  </si>
  <si>
    <t>2F1EL2</t>
  </si>
  <si>
    <t>A08)1DW2換原絲/溫度</t>
  </si>
  <si>
    <t>2F1EM2</t>
  </si>
  <si>
    <t>A21-A)1EF2-色差</t>
  </si>
  <si>
    <t>2F1EN1</t>
  </si>
  <si>
    <t>M05)1EB1換原絲</t>
  </si>
  <si>
    <t>2F1EP1</t>
  </si>
  <si>
    <t>M06-A)1EA1換原絲</t>
  </si>
  <si>
    <t>2F1EQ2</t>
  </si>
  <si>
    <t>A07-A)1P92換原絲/DR/溫度</t>
  </si>
  <si>
    <t>2F1ER2</t>
  </si>
  <si>
    <t>A16-A)1DZ2/DR</t>
  </si>
  <si>
    <t>2F1ES2</t>
  </si>
  <si>
    <t>A11-A)1DC2-DR/溫度</t>
  </si>
  <si>
    <t>2F1ET2</t>
  </si>
  <si>
    <t>A21)1DC2-換原絲/溫度</t>
  </si>
  <si>
    <t>2F1EU2</t>
  </si>
  <si>
    <t>M01)1AN2換原絲</t>
  </si>
  <si>
    <t>2F1EV2</t>
  </si>
  <si>
    <t>A19-A)1DQ2-換原絲</t>
  </si>
  <si>
    <t>2F1EW2</t>
  </si>
  <si>
    <t>M02)1EG2換原絲</t>
  </si>
  <si>
    <t>2F1EX2</t>
  </si>
  <si>
    <t>A07-B)1EJ2換原絲</t>
  </si>
  <si>
    <t>2F1EY2</t>
  </si>
  <si>
    <t>A08-B)絲開發</t>
  </si>
  <si>
    <t>2F1EZ2</t>
  </si>
  <si>
    <t>A15)1EL2換原絲</t>
  </si>
  <si>
    <t>2F1F02</t>
  </si>
  <si>
    <t>A21)1312-換原絲/DR</t>
  </si>
  <si>
    <t>2F1F12</t>
  </si>
  <si>
    <t>A23-A)1C02-換原絲</t>
  </si>
  <si>
    <t>2F1F22</t>
  </si>
  <si>
    <t>A13-A)1AH2-換原絲/DR</t>
  </si>
  <si>
    <t>2F1F31</t>
  </si>
  <si>
    <t>A21)1341-換原絲/DR</t>
  </si>
  <si>
    <t>2F1F42</t>
  </si>
  <si>
    <t>A20)-D4X2</t>
  </si>
  <si>
    <t>2F1F53</t>
  </si>
  <si>
    <t>A15)1C73色差</t>
  </si>
  <si>
    <t>2F1F62</t>
  </si>
  <si>
    <t>A12-B)1E82換原絲/DR/加錠片</t>
  </si>
  <si>
    <t>2F1F72</t>
  </si>
  <si>
    <t>A15-A)1C32-色差</t>
  </si>
  <si>
    <t>2F1F81</t>
  </si>
  <si>
    <t>A21)1F31-改重量3.7KG</t>
  </si>
  <si>
    <t>2F1F92</t>
  </si>
  <si>
    <t>A23-A)1C42-加錠片</t>
  </si>
  <si>
    <t>2F1FA2</t>
  </si>
  <si>
    <t>A11-B)1ED2-換原絲</t>
  </si>
  <si>
    <t>2F1FB2</t>
  </si>
  <si>
    <t>A08-B)1EV2-機台別</t>
  </si>
  <si>
    <t>2F1FC2</t>
  </si>
  <si>
    <t>A18-B)1EV2-改規格</t>
  </si>
  <si>
    <t>2F1FD1</t>
  </si>
  <si>
    <t>A13)1DP1-換原絲</t>
  </si>
  <si>
    <t>2F1FF2</t>
  </si>
  <si>
    <t>T02-R)1DI2換原絲T/E-不同</t>
  </si>
  <si>
    <t>2F1FG2</t>
  </si>
  <si>
    <t>A12)1BK2換原絲</t>
  </si>
  <si>
    <t>2F1FH2</t>
  </si>
  <si>
    <t>T02-L)</t>
  </si>
  <si>
    <t>2F1FI2</t>
  </si>
  <si>
    <t>T04-R)1DZ2換原絲/DR/機型</t>
  </si>
  <si>
    <t>2F1FJ1</t>
  </si>
  <si>
    <t>S1)1BL1-換原絲/DR/AP壓力</t>
  </si>
  <si>
    <t>2F1FK2</t>
  </si>
  <si>
    <t>M02)1EU2換原絲/DR/溫度</t>
  </si>
  <si>
    <t>2F1FL2</t>
  </si>
  <si>
    <t>M02)1EW2換原絲</t>
  </si>
  <si>
    <t>2F1FM2</t>
  </si>
  <si>
    <t>M04)1DA2-換原絲/規格</t>
  </si>
  <si>
    <t>2F1FN2</t>
  </si>
  <si>
    <t>A07-B)1DM2</t>
  </si>
  <si>
    <t>2F1FP2</t>
  </si>
  <si>
    <t>A18)1AY2-換原絲</t>
  </si>
  <si>
    <t>2F1FQ2</t>
  </si>
  <si>
    <t>T03)1FF2換原絲</t>
  </si>
  <si>
    <t>2F1FR2</t>
  </si>
  <si>
    <t>M01)1DU2-DR</t>
  </si>
  <si>
    <t>2F1FS2</t>
  </si>
  <si>
    <t>A12-B)1FG2換原絲</t>
  </si>
  <si>
    <t>2F1FT2</t>
  </si>
  <si>
    <t>M05)1EK2/1LZ2</t>
  </si>
  <si>
    <t>2F1FU2</t>
  </si>
  <si>
    <t>A08)1FB2-換原絲</t>
  </si>
  <si>
    <t>2F1FV2</t>
  </si>
  <si>
    <t>A17)1EZ2換原絲</t>
  </si>
  <si>
    <t>2F1FW2</t>
  </si>
  <si>
    <t>A19-B)1EV2-換原絲</t>
  </si>
  <si>
    <t>2F1FX2</t>
  </si>
  <si>
    <t>A20-A)1EM2</t>
  </si>
  <si>
    <t>2F1FY2</t>
  </si>
  <si>
    <t>A18-B)1FA2</t>
  </si>
  <si>
    <t>2F1FZ2</t>
  </si>
  <si>
    <t>A14)1AZ2換原絲/DR/溫度</t>
  </si>
  <si>
    <t>2F1G01</t>
  </si>
  <si>
    <t>A13-B)1F81機台別</t>
  </si>
  <si>
    <t>2F1G12</t>
  </si>
  <si>
    <t>A15-A)19S2-色差</t>
  </si>
  <si>
    <t>2F1G21</t>
  </si>
  <si>
    <t>A19-A)1F31-換原絲/修節牢</t>
  </si>
  <si>
    <t>2F1G32</t>
  </si>
  <si>
    <t>A12)1E22-換原絲/DR</t>
  </si>
  <si>
    <t>2F1G42</t>
  </si>
  <si>
    <t>A15-B)1C92-換原絲</t>
  </si>
  <si>
    <t>2F1G52</t>
  </si>
  <si>
    <t>A08-B)1A52-換原絲</t>
  </si>
  <si>
    <t>2F1G62</t>
  </si>
  <si>
    <t>A23-A)1F62換原絲/DR</t>
  </si>
  <si>
    <t>2F1G72</t>
  </si>
  <si>
    <t>S1)9892換原絲/DR</t>
  </si>
  <si>
    <t>2F1G83</t>
  </si>
  <si>
    <t>A24-A)1F53色差</t>
  </si>
  <si>
    <t>2F1G91</t>
  </si>
  <si>
    <t>A21-A)1F81-色差</t>
  </si>
  <si>
    <t>2F1GA2</t>
  </si>
  <si>
    <t>A18-B)1GG2-換原絲</t>
  </si>
  <si>
    <t>2F1GB2</t>
  </si>
  <si>
    <t>A12-B)1FS2換原絲/DR</t>
  </si>
  <si>
    <t>2F1GC2</t>
  </si>
  <si>
    <t>A19-B)1FW2-換原絲</t>
  </si>
  <si>
    <t>2F1GD2</t>
  </si>
  <si>
    <t>M01)1DA2-換原絲/LIKE-1FF2物性</t>
  </si>
  <si>
    <t>2F1GE2</t>
  </si>
  <si>
    <t>M02)1FL2</t>
  </si>
  <si>
    <t>2F1GF2</t>
  </si>
  <si>
    <t>A20)1FP2-換原絲/DR</t>
  </si>
  <si>
    <t>2F1GG2</t>
  </si>
  <si>
    <t>A18-B)1FW2-換原絲</t>
  </si>
  <si>
    <t>2F1GH2</t>
  </si>
  <si>
    <t>M06)1GD2-換原絲/LIKE-1FF2物性</t>
  </si>
  <si>
    <t>2F1GI2</t>
  </si>
  <si>
    <t>A19-A)1GC2-換原絲</t>
  </si>
  <si>
    <t>2F1GJ2</t>
  </si>
  <si>
    <t>A08)1FU2-換原絲</t>
  </si>
  <si>
    <t>2F1GK2</t>
  </si>
  <si>
    <t>A07)1FN2</t>
  </si>
  <si>
    <t>2F1GL1</t>
  </si>
  <si>
    <t>M05)1EN1換原絲</t>
  </si>
  <si>
    <t>2F1GM2</t>
  </si>
  <si>
    <t>S1)1G72換原絲/DR</t>
  </si>
  <si>
    <t>2F1GN2</t>
  </si>
  <si>
    <t>A07-B)1GK2換原絲</t>
  </si>
  <si>
    <t>2F1GP2</t>
  </si>
  <si>
    <t>A10-B)1DY2換原絲/降速/DR</t>
  </si>
  <si>
    <t>2F1GQ2</t>
  </si>
  <si>
    <t>A19)1FX2換原絲/DR/溫度迪卡儂COA-Den-73.0↑75.0-8/25-發給迪卡儂作假-不同合約</t>
  </si>
  <si>
    <t>2F1GR2</t>
  </si>
  <si>
    <t>M02)1GE2換原絲/DR/升速</t>
  </si>
  <si>
    <t>2F1GS2</t>
  </si>
  <si>
    <t>A07-A)1EX2升速/DR</t>
  </si>
  <si>
    <t>2F1GT1</t>
  </si>
  <si>
    <t>2F1GU2</t>
  </si>
  <si>
    <t>A08)1GJ2改不同規格</t>
  </si>
  <si>
    <t>2F1GV2</t>
  </si>
  <si>
    <t>A12)1EZ2換原絲/DR/升速-改不同規格</t>
  </si>
  <si>
    <t>2F1GW2</t>
  </si>
  <si>
    <t>A13-A)1FZ2換原絲</t>
  </si>
  <si>
    <t>2F1GX2</t>
  </si>
  <si>
    <t>A07-B)1GS2換原絲</t>
  </si>
  <si>
    <t>2F1GY2</t>
  </si>
  <si>
    <t>M05)1FT2換原絲/DR</t>
  </si>
  <si>
    <t>2F1GZ2</t>
  </si>
  <si>
    <t>A11-B)1ET2升速</t>
  </si>
  <si>
    <t>2F1H02</t>
  </si>
  <si>
    <t>A07-B)1E62-換原絲-含氧紗</t>
  </si>
  <si>
    <t>2F1H12</t>
  </si>
  <si>
    <t>A23-B)1G62規格不加O</t>
  </si>
  <si>
    <t>2F1H23</t>
  </si>
  <si>
    <t>A24-A)1G83換原絲/DR</t>
  </si>
  <si>
    <t>2F1H32</t>
  </si>
  <si>
    <t>A15-A)1C82色差/DR</t>
  </si>
  <si>
    <t>2F1H42</t>
  </si>
  <si>
    <t>A07-B)1H02-換原絲-含氧紗</t>
  </si>
  <si>
    <t>2F1H51</t>
  </si>
  <si>
    <t>A23-B)1A41換原絲</t>
  </si>
  <si>
    <t>2F1H61</t>
  </si>
  <si>
    <t>A09-A)-1E91換原絲/重量</t>
  </si>
  <si>
    <t>2F1H72</t>
  </si>
  <si>
    <t>A22)1A62-換原絲</t>
  </si>
  <si>
    <t>2F1H82</t>
  </si>
  <si>
    <t>A13-A)1A62-換原絲</t>
  </si>
  <si>
    <t>2F1H91</t>
  </si>
  <si>
    <t>A19)1G01色差</t>
  </si>
  <si>
    <t>2F1HA1</t>
  </si>
  <si>
    <t>2F1HB2</t>
  </si>
  <si>
    <t>A12-A)1GB2換原絲/DR</t>
  </si>
  <si>
    <t>2F1HC2</t>
  </si>
  <si>
    <t>A11-B)1GZ2換原絲/降速/DR</t>
  </si>
  <si>
    <t>2F1HD2</t>
  </si>
  <si>
    <t>A15-B)1EZ2換原絲/升速/DR</t>
  </si>
  <si>
    <t>2F1HE2</t>
  </si>
  <si>
    <t>M02)1W52</t>
  </si>
  <si>
    <t>2F1HF1</t>
  </si>
  <si>
    <t>A24-A)1FJ1-換原絲/DR/機型/降速</t>
  </si>
  <si>
    <t>2F1HG1</t>
  </si>
  <si>
    <t>A13-A)1DS1-改換原絲/溫度/DR</t>
  </si>
  <si>
    <t>2F1HH2</t>
  </si>
  <si>
    <t>M06)1GY2換原絲/升速/DR/改規格</t>
  </si>
  <si>
    <t>2F1HI2</t>
  </si>
  <si>
    <t>A11-A)1FA2-換原絲/DR/降速</t>
  </si>
  <si>
    <t>2F1HJ1</t>
  </si>
  <si>
    <t>A12-A)-1M11換原絲-改5.0KG/規格/降速</t>
  </si>
  <si>
    <t>2F1HK2</t>
  </si>
  <si>
    <t>A11-A)1GI2</t>
  </si>
  <si>
    <t>2F1HL1</t>
  </si>
  <si>
    <t>M05)1GL1換原絲/降速</t>
  </si>
  <si>
    <t>2F1HM2</t>
  </si>
  <si>
    <t>A08)1GN2換原絲</t>
  </si>
  <si>
    <t>2F1HN1</t>
  </si>
  <si>
    <t>A15-B)1HA1</t>
  </si>
  <si>
    <t>2F1HP2</t>
  </si>
  <si>
    <t>A17)1HC2</t>
  </si>
  <si>
    <t>2F1HR2</t>
  </si>
  <si>
    <t>S1)1GW2換原絲</t>
  </si>
  <si>
    <t>2F1HS1</t>
  </si>
  <si>
    <t>A19)1HG1-</t>
  </si>
  <si>
    <t>2F1HT2</t>
  </si>
  <si>
    <t>M05)1GR2</t>
  </si>
  <si>
    <t>2F1HU2</t>
  </si>
  <si>
    <t>M05)1W52換原絲/規格</t>
  </si>
  <si>
    <t>2F1HV1</t>
  </si>
  <si>
    <t>A12)1M11換原絲/DR/重量-3.3KG</t>
  </si>
  <si>
    <t>2F1HW2</t>
  </si>
  <si>
    <t>S1)1AV2換原絲/DR</t>
  </si>
  <si>
    <t>2F1HX2</t>
  </si>
  <si>
    <t>S1)1EY2換原絲/DR/機型</t>
  </si>
  <si>
    <t>2F1HY2</t>
  </si>
  <si>
    <t>A12)1HB2/DR</t>
  </si>
  <si>
    <t>2F1HZ2</t>
  </si>
  <si>
    <t>A17)1FY2/換原絲/DR</t>
  </si>
  <si>
    <t>2F1I02</t>
  </si>
  <si>
    <t>M03)1E02-換原絲</t>
  </si>
  <si>
    <t>2F1I12</t>
  </si>
  <si>
    <t>A15-A)1H82-機台別/降速</t>
  </si>
  <si>
    <t>2F1I22</t>
  </si>
  <si>
    <t>A09)1A22-換原絲/DR</t>
  </si>
  <si>
    <t>2F1I32</t>
  </si>
  <si>
    <t>A12-A)9Y62-降速</t>
  </si>
  <si>
    <t>2F1I41</t>
  </si>
  <si>
    <t>A24-A)1H51換原絲/DR</t>
  </si>
  <si>
    <t>2F1I52</t>
  </si>
  <si>
    <t>A22)1H72-換原絲/降速/DR</t>
  </si>
  <si>
    <t>2F1I62</t>
  </si>
  <si>
    <t>2F1I72</t>
  </si>
  <si>
    <t>A21)1H82-換原絲/升速</t>
  </si>
  <si>
    <t>2F1I82</t>
  </si>
  <si>
    <t>A13)1I72-換原絲/DR</t>
  </si>
  <si>
    <t>2F1I92</t>
  </si>
  <si>
    <t>A23)1F12-換原絲</t>
  </si>
  <si>
    <t>2F1IA2</t>
  </si>
  <si>
    <t>M01)1HU2換原絲</t>
  </si>
  <si>
    <t>2F1IB2</t>
  </si>
  <si>
    <t>A07-B)1GX2/DR</t>
  </si>
  <si>
    <t>2F1IC2</t>
  </si>
  <si>
    <t>A22)1ID2</t>
  </si>
  <si>
    <t>2F1ID2</t>
  </si>
  <si>
    <t>A08-B)1HM2換原絲/升速</t>
  </si>
  <si>
    <t>2F1IE1</t>
  </si>
  <si>
    <t>M08)1HL1換原絲/升速</t>
  </si>
  <si>
    <t>2F1IF2</t>
  </si>
  <si>
    <t>M08)1HH2/DR</t>
  </si>
  <si>
    <t>2F1IG2</t>
  </si>
  <si>
    <t>A09)1HK2換原絲/升速</t>
  </si>
  <si>
    <t>2F1IH2</t>
  </si>
  <si>
    <t>A14-A)1GW2換原絲</t>
  </si>
  <si>
    <t>2F1II1</t>
  </si>
  <si>
    <t>A12)1HV1降速</t>
  </si>
  <si>
    <t>2F1IJ1</t>
  </si>
  <si>
    <t>A19)1HS1-換原絲</t>
  </si>
  <si>
    <t>2F1IK2</t>
  </si>
  <si>
    <t>A07-B)1IB2換原絲</t>
  </si>
  <si>
    <t>2F1IL2</t>
  </si>
  <si>
    <t>A14-A)1IH2改規格</t>
  </si>
  <si>
    <t>2F1IN2</t>
  </si>
  <si>
    <t>T04-R)1FI2換原絲/DR/降速</t>
  </si>
  <si>
    <t>2F1IP1</t>
  </si>
  <si>
    <t>M08)1IE1升速</t>
  </si>
  <si>
    <t>2F1IQ2</t>
  </si>
  <si>
    <t>A17-B)1HP2升速</t>
  </si>
  <si>
    <t>2F1IR2</t>
  </si>
  <si>
    <t>T04-R)1IN2換原絲</t>
  </si>
  <si>
    <t>2F1IS2</t>
  </si>
  <si>
    <t>A22-A)1HD2換原絲/改規格</t>
  </si>
  <si>
    <t>2F1IT2</t>
  </si>
  <si>
    <t>A12-B)1GQ2發給迪卡儂作假-不同合約</t>
  </si>
  <si>
    <t>A12-B)1GQ2發給迪卡儂</t>
  </si>
  <si>
    <t>2F1IU2</t>
  </si>
  <si>
    <t>A22-B)1GU2換原絲</t>
  </si>
  <si>
    <t>2F1IV2</t>
  </si>
  <si>
    <t>A08-B)1ID2換原絲</t>
  </si>
  <si>
    <t>2F1IW2</t>
  </si>
  <si>
    <t>S1)S撚13X2換原絲/DR/降速/機型</t>
  </si>
  <si>
    <t>S1)S撚發迪卡儂作假-不同合約</t>
  </si>
  <si>
    <t>2F1IX2</t>
  </si>
  <si>
    <t>A13)1HY2/換原絲</t>
  </si>
  <si>
    <t>2F1IY2</t>
  </si>
  <si>
    <t>A17-A)1IQ2換原絲</t>
  </si>
  <si>
    <t>2F1IZ2</t>
  </si>
  <si>
    <t>A11)1HK2換原絲</t>
  </si>
  <si>
    <t>2F1J02</t>
  </si>
  <si>
    <t>A19-B)9B82-換原絲/DR</t>
  </si>
  <si>
    <t>2F1J12</t>
  </si>
  <si>
    <t>A15-B)1I12-換原絲/升速/DR</t>
  </si>
  <si>
    <t>2F1J22</t>
  </si>
  <si>
    <t>A22-B)1H72-換原絲</t>
  </si>
  <si>
    <t>2F1J31</t>
  </si>
  <si>
    <t>A12)1CY1換原絲/DR</t>
  </si>
  <si>
    <t>2F1J42</t>
  </si>
  <si>
    <t>A07-A)1H42-換原絲/DR</t>
  </si>
  <si>
    <t>2F1J71</t>
  </si>
  <si>
    <t>A12-B)1J31換原絲/DR/溫度</t>
  </si>
  <si>
    <t>2F1J81</t>
  </si>
  <si>
    <t>A23-A)1E11-換原絲</t>
  </si>
  <si>
    <t>2F1J92</t>
  </si>
  <si>
    <t>A09-B)1I32</t>
  </si>
  <si>
    <t>2F1JA2</t>
  </si>
  <si>
    <t>M05)1IR2-DR/機型</t>
  </si>
  <si>
    <t>2F1JB2</t>
  </si>
  <si>
    <t>A12-A)1EQ2</t>
  </si>
  <si>
    <t>2F1JC2</t>
  </si>
  <si>
    <t>A12-B)1IY2換原絲</t>
  </si>
  <si>
    <t>2F1JD2</t>
  </si>
  <si>
    <t>A22-A)1DX2-換原絲</t>
  </si>
  <si>
    <t>2F1JE1</t>
  </si>
  <si>
    <t>A19-B)1IJ1S-換原絲</t>
  </si>
  <si>
    <t>2F1JF2</t>
  </si>
  <si>
    <t>A17)1IY2換原絲/DR</t>
  </si>
  <si>
    <t>2F1JG2</t>
  </si>
  <si>
    <t>A19)1Y12-換原絲/錠片減1片/升速</t>
  </si>
  <si>
    <t>2F1JH2</t>
  </si>
  <si>
    <t>A12-B)1BM2換原絲/DR/機型</t>
  </si>
  <si>
    <t>2F1JI2</t>
  </si>
  <si>
    <t>A12-A)1IT2/DR</t>
  </si>
  <si>
    <t>2F1JJ2</t>
  </si>
  <si>
    <t>M05)1JA2換原絲</t>
  </si>
  <si>
    <t>2F1JK2</t>
  </si>
  <si>
    <t>M04)1HH2換原絲/降速/DR/改規格</t>
  </si>
  <si>
    <t>2F1JL2</t>
  </si>
  <si>
    <t>A22-A)1IV2換機台</t>
  </si>
  <si>
    <t>2F1JM2</t>
  </si>
  <si>
    <t>A17)1HZ2</t>
  </si>
  <si>
    <t>2F1JN1</t>
  </si>
  <si>
    <t>M05)1GT1物性不同/換機台/換原絲</t>
  </si>
  <si>
    <t>2F1JP1</t>
  </si>
  <si>
    <t>M05)1IP1換原絲</t>
  </si>
  <si>
    <t>2F1JQ2</t>
  </si>
  <si>
    <t>M06)1HH2換原絲/改規格</t>
  </si>
  <si>
    <t>2F1JR1</t>
  </si>
  <si>
    <t>A13-B)1II1-DR/改規格/重量/換原絲</t>
  </si>
  <si>
    <t>2F1JS2</t>
  </si>
  <si>
    <t>M03)1GP2換原絲/DR不同機型</t>
  </si>
  <si>
    <t>2F1JT2</t>
  </si>
  <si>
    <t>A13-B)1HD2換原絲/DR</t>
  </si>
  <si>
    <t>2F1JU2</t>
  </si>
  <si>
    <t>A07-B)1IZ2/DR</t>
  </si>
  <si>
    <t>2F1JV2</t>
  </si>
  <si>
    <t>A17-B)1MM2</t>
  </si>
  <si>
    <t>2F1JW2</t>
  </si>
  <si>
    <t>T02-L)1BM2換原絲/DR</t>
  </si>
  <si>
    <t>2F1JX1</t>
  </si>
  <si>
    <t>M05)1EA1升速</t>
  </si>
  <si>
    <t>2F1JY2</t>
  </si>
  <si>
    <t>S1)1GM2換原絲/DR</t>
  </si>
  <si>
    <t>2F1JZ1</t>
  </si>
  <si>
    <t>M03)1V31換原絲</t>
  </si>
  <si>
    <t>2F1K02</t>
  </si>
  <si>
    <t>A20-A)1F92換原絲/DR</t>
  </si>
  <si>
    <t>2F1K12</t>
  </si>
  <si>
    <t>A12)1CZ2-換原絲/DR</t>
  </si>
  <si>
    <t>2F1K22</t>
  </si>
  <si>
    <t>A09-A)1J92色差</t>
  </si>
  <si>
    <t>2F1M02</t>
  </si>
  <si>
    <t>A09-A)1I62換原絲</t>
  </si>
  <si>
    <t>2F1M11</t>
  </si>
  <si>
    <t>A22)-1H61換原絲-3.7KG</t>
  </si>
  <si>
    <t>2F1M22</t>
  </si>
  <si>
    <t>A20-B)1I92-換原絲</t>
  </si>
  <si>
    <t>2F1M32</t>
  </si>
  <si>
    <t>A20-A)1F62換原絲/DR/CC</t>
  </si>
  <si>
    <t>2F1M42</t>
  </si>
  <si>
    <t>A07-B)1K22色差</t>
  </si>
  <si>
    <t>2F1M52</t>
  </si>
  <si>
    <t>A22)2FL146</t>
  </si>
  <si>
    <t>2F1M61</t>
  </si>
  <si>
    <t>S1)1E71</t>
  </si>
  <si>
    <t>2F1M72</t>
  </si>
  <si>
    <t>A09-A)1M02換原絲</t>
  </si>
  <si>
    <t>2F1M82</t>
  </si>
  <si>
    <t>A21-B)1I22-換原絲/改重量</t>
  </si>
  <si>
    <t>2F1M92</t>
  </si>
  <si>
    <t>A20-A)1G62換原絲</t>
  </si>
  <si>
    <t>2F1MS2</t>
  </si>
  <si>
    <t>M07)1QL2</t>
  </si>
  <si>
    <t>2F1MT2</t>
  </si>
  <si>
    <t>M03)1QL2</t>
  </si>
  <si>
    <t>2F1N01</t>
  </si>
  <si>
    <t>A23)1H91色差</t>
  </si>
  <si>
    <t>2F1N12</t>
  </si>
  <si>
    <t>A07-B)1M72色差</t>
  </si>
  <si>
    <t>2F1N22</t>
  </si>
  <si>
    <t>S2)1BI2-DR/機型</t>
  </si>
  <si>
    <t>2F1N32</t>
  </si>
  <si>
    <t>A17-A)17S2-換原絲</t>
  </si>
  <si>
    <t>2F1N41</t>
  </si>
  <si>
    <t>A09)1N01不同台/降速</t>
  </si>
  <si>
    <t>2F1N52</t>
  </si>
  <si>
    <t>S2)1K22-DR/機型</t>
  </si>
  <si>
    <t>2F1N62</t>
  </si>
  <si>
    <t>A07-A)1K12-DR</t>
  </si>
  <si>
    <t>2F1N72</t>
  </si>
  <si>
    <t>A22-A)1N62</t>
  </si>
  <si>
    <t>2F1N81</t>
  </si>
  <si>
    <t>A18-B)1N01換原絲/降速</t>
  </si>
  <si>
    <t>2F1N92</t>
  </si>
  <si>
    <t>S2)1H32換原絲/DR</t>
  </si>
  <si>
    <t>2F1P02</t>
  </si>
  <si>
    <t>A20-B)1K02換原絲/修E</t>
  </si>
  <si>
    <t>2F1P11</t>
  </si>
  <si>
    <t>M03)1C61</t>
  </si>
  <si>
    <t>2F1P22</t>
  </si>
  <si>
    <t>A13-A)1J12-換原絲/DR</t>
  </si>
  <si>
    <t>2F1P32</t>
  </si>
  <si>
    <t>A20-B)13U2-換原絲/DR/錠片</t>
  </si>
  <si>
    <t>2F1P41</t>
  </si>
  <si>
    <t>A09-B)1N81不同台</t>
  </si>
  <si>
    <t>2F1P51</t>
  </si>
  <si>
    <t>A23)1N01換原絲/降速/DR</t>
  </si>
  <si>
    <t>2F1P62</t>
  </si>
  <si>
    <t>A22-B)1N72色差</t>
  </si>
  <si>
    <t>2F1P72</t>
  </si>
  <si>
    <t>A12)1K12-色差</t>
  </si>
  <si>
    <t>2F1P82</t>
  </si>
  <si>
    <t>M08)1J02-降速/機型</t>
  </si>
  <si>
    <t>2F1P92</t>
  </si>
  <si>
    <t>A16)1H32換原絲</t>
  </si>
  <si>
    <t>2F1PA2</t>
  </si>
  <si>
    <t>A12-B)1JF2</t>
  </si>
  <si>
    <t>2F1PB2</t>
  </si>
  <si>
    <t>A08)1JU2換原絲</t>
  </si>
  <si>
    <t>2F1PC2</t>
  </si>
  <si>
    <t>A17)1JV2</t>
  </si>
  <si>
    <t>2F1PD2</t>
  </si>
  <si>
    <t>A07-B)1IK2換原絲</t>
  </si>
  <si>
    <t>2F1PE2</t>
  </si>
  <si>
    <t>A19)1JU2換原絲</t>
  </si>
  <si>
    <t>2F1PF2</t>
  </si>
  <si>
    <t>A11)1IX2/換原絲/DR</t>
  </si>
  <si>
    <t>2F1PG1</t>
  </si>
  <si>
    <t>A13)1II1換原絲-3.3KG</t>
  </si>
  <si>
    <t>2F1PI2</t>
  </si>
  <si>
    <t>A08)1PB2換原絲</t>
  </si>
  <si>
    <t>2F1PJ2</t>
  </si>
  <si>
    <t>A09-A)1JL2新紗</t>
  </si>
  <si>
    <t>2F1PK2</t>
  </si>
  <si>
    <t>S1)1HW2換原絲</t>
  </si>
  <si>
    <t>2F1PL2</t>
  </si>
  <si>
    <t>A12)1PA2換原絲</t>
  </si>
  <si>
    <t>2F1PM2</t>
  </si>
  <si>
    <t>A19-B)1PE2換原絲/DR</t>
  </si>
  <si>
    <t>2F1PN2</t>
  </si>
  <si>
    <t>A11-B)1JT2換原絲/DR</t>
  </si>
  <si>
    <t>2F1PP2</t>
  </si>
  <si>
    <t>S1)1GF2-DR/機型/重量…</t>
  </si>
  <si>
    <t>2F1PQ2</t>
  </si>
  <si>
    <t>M02)1JI2/DR/降速</t>
  </si>
  <si>
    <t>2F1PR2</t>
  </si>
  <si>
    <t>A14)1GF2</t>
  </si>
  <si>
    <t>2F1PS2</t>
  </si>
  <si>
    <t>A09-B)1JD2-換原絲</t>
  </si>
  <si>
    <t>2F1PT2</t>
  </si>
  <si>
    <t>A13)1JT2換原絲/DR</t>
  </si>
  <si>
    <t>2F1PU2</t>
  </si>
  <si>
    <t>A08-A)1PI2換原絲/DR</t>
  </si>
  <si>
    <t>2F1PV2</t>
  </si>
  <si>
    <t>A12-A)1PL2換原絲/DR</t>
  </si>
  <si>
    <t>2F1PW2</t>
  </si>
  <si>
    <t>A19-B)1PM2換原絲/DR</t>
  </si>
  <si>
    <t>2F1PX2</t>
  </si>
  <si>
    <t>M03)1JS2換原絲</t>
  </si>
  <si>
    <t>2F1PY2</t>
  </si>
  <si>
    <t>A14)S撚-11M2-換原絲/DR</t>
  </si>
  <si>
    <t>2F1PZ2</t>
  </si>
  <si>
    <t>A12-A)1JM2-新紗</t>
  </si>
  <si>
    <t>2F1Q01</t>
  </si>
  <si>
    <t>A07-A)1J71色差</t>
  </si>
  <si>
    <t>2F1Q12</t>
  </si>
  <si>
    <t>A20)1M92降速</t>
  </si>
  <si>
    <t>2F1Q22</t>
  </si>
  <si>
    <t>A17)1N32-換原絲</t>
  </si>
  <si>
    <t>2F1Q31</t>
  </si>
  <si>
    <t>M03-A)1LE1</t>
  </si>
  <si>
    <t>2F1Q42</t>
  </si>
  <si>
    <t>M08)1AG2</t>
  </si>
  <si>
    <t>2F1Q52</t>
  </si>
  <si>
    <t>A07-B)1N12色差/DR</t>
  </si>
  <si>
    <t>2F1Q62</t>
  </si>
  <si>
    <t>A21-B)1M82-換原絲/DR</t>
  </si>
  <si>
    <t>2F1Q72</t>
  </si>
  <si>
    <t>A23-A)1F02-換原絲/DR</t>
  </si>
  <si>
    <t>2F1Q81</t>
  </si>
  <si>
    <t>A20)1E71換原絲/降速/加錠片/DR</t>
  </si>
  <si>
    <t>2F1Q91</t>
  </si>
  <si>
    <t>A13-B)19G1換原絲/加錠片/物性LIKE1A31</t>
  </si>
  <si>
    <t>2F1QB2</t>
  </si>
  <si>
    <t>A07-B)1PJ2</t>
  </si>
  <si>
    <t>2F1QC2</t>
  </si>
  <si>
    <t>A17)1PF2</t>
  </si>
  <si>
    <t>2F1QD2</t>
  </si>
  <si>
    <t>M05)1JJ2</t>
  </si>
  <si>
    <t>2F1QE2</t>
  </si>
  <si>
    <t>M02)1PQ2/升速換原絲</t>
  </si>
  <si>
    <t>2F1QF2</t>
  </si>
  <si>
    <t>A22-B)1PF2</t>
  </si>
  <si>
    <t>2F1QG2</t>
  </si>
  <si>
    <t>T04-R)1JW2</t>
  </si>
  <si>
    <t>2F1QH2</t>
  </si>
  <si>
    <t>A14-B)1PF2</t>
  </si>
  <si>
    <t>2F1QI1</t>
  </si>
  <si>
    <t>A15-A)1HF1-換原絲/DR</t>
  </si>
  <si>
    <t>2F1QJ2</t>
  </si>
  <si>
    <t>M05)1GD2-換原絲/DR</t>
  </si>
  <si>
    <t>2F1QK2</t>
  </si>
  <si>
    <t>A19-B)1PW2換原絲</t>
  </si>
  <si>
    <t>2F1QL2</t>
  </si>
  <si>
    <t>A15-A)1QF2換原絲</t>
  </si>
  <si>
    <t>2F1QM2</t>
  </si>
  <si>
    <t>A12-B)1QK2/DR</t>
  </si>
  <si>
    <t>2F1QN2</t>
  </si>
  <si>
    <t>A17)1QM2/DR</t>
  </si>
  <si>
    <t>2F1QP2</t>
  </si>
  <si>
    <t>A22)1PS2-換原絲</t>
  </si>
  <si>
    <t>2F1QQ2</t>
  </si>
  <si>
    <t>A15-B)1QM2/DR</t>
  </si>
  <si>
    <t>2F1QR2</t>
  </si>
  <si>
    <t>M02)1QE2/換原絲</t>
  </si>
  <si>
    <t>2F1QS2</t>
  </si>
  <si>
    <t>A08-A)1JG2-換原絲/DR</t>
  </si>
  <si>
    <t>2F1QT2</t>
  </si>
  <si>
    <t>A16-B)1X02換原絲</t>
  </si>
  <si>
    <t>2F1QU2</t>
  </si>
  <si>
    <t>A13-B)1PV2換原絲/DR</t>
  </si>
  <si>
    <t>2F1QV2</t>
  </si>
  <si>
    <t>A08-B)1PV2換原絲/DR</t>
  </si>
  <si>
    <t>2F1QW2</t>
  </si>
  <si>
    <t>S1)DYN2絲開發</t>
  </si>
  <si>
    <t>2F1QX2</t>
  </si>
  <si>
    <t>M02)1QR2/色差</t>
  </si>
  <si>
    <t>2F1QY2</t>
  </si>
  <si>
    <t>A11)S撚-1PY2-DR</t>
  </si>
  <si>
    <t>2F1QZ2</t>
  </si>
  <si>
    <t>A19-B)1JH2換原絲/DR</t>
  </si>
  <si>
    <t>2F1RJ2</t>
  </si>
  <si>
    <t>M08)1QL2</t>
  </si>
  <si>
    <t>2F1S01</t>
  </si>
  <si>
    <t>A23-B)1S01換原絲/DR/減錠片</t>
  </si>
  <si>
    <t>2F1S12</t>
  </si>
  <si>
    <t>A21-A)1M42色差</t>
  </si>
  <si>
    <t>2F1S22</t>
  </si>
  <si>
    <t>A12-B)-1F42換原絲/溫度/重量改</t>
  </si>
  <si>
    <t>2F1S32</t>
  </si>
  <si>
    <t>S1)19L2/DR</t>
  </si>
  <si>
    <t>2F1S41</t>
  </si>
  <si>
    <t>A09)1S01換原絲/DR/溫度/重量改</t>
  </si>
  <si>
    <t>2F1S52</t>
  </si>
  <si>
    <t>S1)1S32色差</t>
  </si>
  <si>
    <t>2F1S62</t>
  </si>
  <si>
    <t>A07-B)1J42-換原絲</t>
  </si>
  <si>
    <t>2F1S72</t>
  </si>
  <si>
    <t>A07-A)1F22-色差</t>
  </si>
  <si>
    <t>2F1S82</t>
  </si>
  <si>
    <t>M07)1P82/DR/換原絲/重量改</t>
  </si>
  <si>
    <t>2F1S91</t>
  </si>
  <si>
    <t>A23-B)1S41換原絲</t>
  </si>
  <si>
    <t>2F1SA1</t>
  </si>
  <si>
    <t>M05)1PG1換原絲-3.3KG/降速/機型…</t>
  </si>
  <si>
    <t>2F1SB2</t>
  </si>
  <si>
    <t>A19A)DWU2</t>
  </si>
  <si>
    <t>2F1SC2</t>
  </si>
  <si>
    <t>A07)1PT2換原絲/DR</t>
  </si>
  <si>
    <t>2F1SE2</t>
  </si>
  <si>
    <t>A12)1QH2換原絲</t>
  </si>
  <si>
    <t>2F1SF2</t>
  </si>
  <si>
    <t>A21)1QH2換原絲</t>
  </si>
  <si>
    <t>2F1SG2</t>
  </si>
  <si>
    <t>A19-B)1QK2換原絲</t>
  </si>
  <si>
    <t>2F1SH2</t>
  </si>
  <si>
    <t>A13)1QK2換原絲</t>
  </si>
  <si>
    <t>2F1SI2</t>
  </si>
  <si>
    <t>A17-A)1QN2/換原絲</t>
  </si>
  <si>
    <t>2F1SJ1</t>
  </si>
  <si>
    <t>A09-B)1JP1/DR/機型</t>
  </si>
  <si>
    <t>2F1SK2</t>
  </si>
  <si>
    <t>A07-A)1QU2換原絲/DR</t>
  </si>
  <si>
    <t>2F1SL1</t>
  </si>
  <si>
    <t>A09)1JX1升速DR/機型</t>
  </si>
  <si>
    <t>2F1SM2</t>
  </si>
  <si>
    <t>S1)1HT2-DR/機型</t>
  </si>
  <si>
    <t>2F1SN2</t>
  </si>
  <si>
    <t>M02)1QX2/換原絲</t>
  </si>
  <si>
    <t>2F1SP2</t>
  </si>
  <si>
    <t>A13)1SH2換原絲</t>
  </si>
  <si>
    <t>2F1SQ2</t>
  </si>
  <si>
    <t>A19)1SG2換原絲</t>
  </si>
  <si>
    <t>2F1SR2</t>
  </si>
  <si>
    <t>A17-B)1SI2/換原絲/DR</t>
  </si>
  <si>
    <t>2F1SS1</t>
  </si>
  <si>
    <t>A09-B)1SL1換原絲</t>
  </si>
  <si>
    <t>2F1ST2</t>
  </si>
  <si>
    <t>A11)1QZ2換原絲/DR/改重量</t>
  </si>
  <si>
    <t>2F1SU1</t>
  </si>
  <si>
    <t>S1)1JN1換機台/DR/改重量</t>
  </si>
  <si>
    <t>2F1SV2</t>
  </si>
  <si>
    <t>A09)1PZ2-換原絲/DR</t>
  </si>
  <si>
    <t>2F1SW2</t>
  </si>
  <si>
    <t>A11-B)1ST2換原絲</t>
  </si>
  <si>
    <t>2F1SY2</t>
  </si>
  <si>
    <t>A13)1SP2換原絲/DR</t>
  </si>
  <si>
    <t>2F1SZ2</t>
  </si>
  <si>
    <t>A17)1SR2/換原絲</t>
  </si>
  <si>
    <t>2F1T01</t>
  </si>
  <si>
    <t>A18-A)1S41換原絲</t>
  </si>
  <si>
    <t>2F1T12</t>
  </si>
  <si>
    <t>A19)1BI2-換原絲</t>
  </si>
  <si>
    <t>2F1T22</t>
  </si>
  <si>
    <t>A22-B)1P02換原絲/DR</t>
  </si>
  <si>
    <t>2F1T32</t>
  </si>
  <si>
    <t>A13-B)1M32換原絲/降速</t>
  </si>
  <si>
    <t>2F1T42</t>
  </si>
  <si>
    <t>A07-A)1Q52換原絲</t>
  </si>
  <si>
    <t>2F1T52</t>
  </si>
  <si>
    <t>A19)1T12-換原絲/改規格</t>
  </si>
  <si>
    <t>2F1T61</t>
  </si>
  <si>
    <t>M03)1Q31/DR</t>
  </si>
  <si>
    <t>2F1T72</t>
  </si>
  <si>
    <t>A13-A)1M32換原絲/DR</t>
  </si>
  <si>
    <t>2F1T82</t>
  </si>
  <si>
    <t>A09-B)1Q22-換原絲/DR</t>
  </si>
  <si>
    <t>2F1T92</t>
  </si>
  <si>
    <t>M03)</t>
  </si>
  <si>
    <t>2F1TA2</t>
  </si>
  <si>
    <t>A19-B)1SQ2換原絲/DR</t>
  </si>
  <si>
    <t>2F1TB2</t>
  </si>
  <si>
    <t>A10-A)</t>
  </si>
  <si>
    <t>2F1TC2</t>
  </si>
  <si>
    <t>M04)1HT2/DR/溫度</t>
  </si>
  <si>
    <t>2F1TF2</t>
  </si>
  <si>
    <t>S1)1JJ2機型/DR/升速</t>
  </si>
  <si>
    <t>2F1TG2</t>
  </si>
  <si>
    <t>2F1TH2</t>
  </si>
  <si>
    <t>A13)1SY2換原絲/DR</t>
  </si>
  <si>
    <t>2F1TI2</t>
  </si>
  <si>
    <t>A07-B)1TC2換原絲/機型/DR/改重量/升速</t>
  </si>
  <si>
    <t>2F1TJ2</t>
  </si>
  <si>
    <t>A21-B)1JI2/DR換原絲</t>
  </si>
  <si>
    <t>2F1TK2</t>
  </si>
  <si>
    <t>A17)1SZ2/換原絲</t>
  </si>
  <si>
    <t>2F1TL2</t>
  </si>
  <si>
    <t>A19-B)1TA2換原絲</t>
  </si>
  <si>
    <t>2F1TM2</t>
  </si>
  <si>
    <t>A13)1TH2換原絲/DR</t>
  </si>
  <si>
    <t>2F1TN2</t>
  </si>
  <si>
    <t>A17)1SK2換原絲</t>
  </si>
  <si>
    <t>A21-B)S撚-1QY2/換原絲</t>
  </si>
  <si>
    <t>2F1TQ2</t>
  </si>
  <si>
    <t>A09-A)1SK2/DR</t>
  </si>
  <si>
    <t>2F1TR2</t>
  </si>
  <si>
    <t>S1)1QW2/DR換原絲</t>
  </si>
  <si>
    <t>2F1TS2</t>
  </si>
  <si>
    <t>A19-B)1TL2換原絲/DR</t>
  </si>
  <si>
    <t>2F1TT2</t>
  </si>
  <si>
    <t>M04)1JQ2換原絲</t>
  </si>
  <si>
    <t>A07-A)1QB2換原絲/DR</t>
  </si>
  <si>
    <t>2F1TW2</t>
  </si>
  <si>
    <t>A07-B)1SW2換原絲</t>
  </si>
  <si>
    <t>2F1TX2</t>
  </si>
  <si>
    <t>A17-B)1PR2換原絲/DR</t>
  </si>
  <si>
    <t>2F1TY2</t>
  </si>
  <si>
    <t>M02)1SN2/換原絲</t>
  </si>
  <si>
    <t>2F1TZ2</t>
  </si>
  <si>
    <t>A09-A)1TQ2/換原絲DR</t>
  </si>
  <si>
    <t>2F1U02</t>
  </si>
  <si>
    <t>A09-A)-1S22換原絲</t>
  </si>
  <si>
    <t>2F1U12</t>
  </si>
  <si>
    <t>M07)</t>
  </si>
  <si>
    <t>2F1U22</t>
  </si>
  <si>
    <t>T01-L)1H32/機型/DR</t>
  </si>
  <si>
    <t>2F1U32</t>
  </si>
  <si>
    <t>A15-B)1S72-色差</t>
  </si>
  <si>
    <t>2F1U42</t>
  </si>
  <si>
    <t>A13-B)1Q62-換原絲</t>
  </si>
  <si>
    <t>2F1U52</t>
  </si>
  <si>
    <t>A13-A)</t>
  </si>
  <si>
    <t>2F1U61</t>
  </si>
  <si>
    <t>A23-B)1S91換原絲</t>
  </si>
  <si>
    <t>2F1U71</t>
  </si>
  <si>
    <t>A18-B)1T01換原絲</t>
  </si>
  <si>
    <t>2F1U82</t>
  </si>
  <si>
    <t>A21)1D62-換原絲/DR</t>
  </si>
  <si>
    <t>2F1U92</t>
  </si>
  <si>
    <t>M07)1U12換原絲/DR</t>
  </si>
  <si>
    <t>2F1V01</t>
  </si>
  <si>
    <t>A23)1U61改重量</t>
  </si>
  <si>
    <t>2F1V12</t>
  </si>
  <si>
    <t>M05)1S82/換原絲</t>
  </si>
  <si>
    <t>2F1V22</t>
  </si>
  <si>
    <t>A07-A)1T42換原絲</t>
  </si>
  <si>
    <t>2F1V31</t>
  </si>
  <si>
    <t>M03)1P11色差</t>
  </si>
  <si>
    <t>2F1V42</t>
  </si>
  <si>
    <t>M07)1U92換原絲</t>
  </si>
  <si>
    <t>2F1V52</t>
  </si>
  <si>
    <t>A07-B)1S62-色差</t>
  </si>
  <si>
    <t>2F1V62</t>
  </si>
  <si>
    <t>A13-B)19I2-換原絲</t>
  </si>
  <si>
    <t>2F1V71</t>
  </si>
  <si>
    <t>S2)18K1</t>
  </si>
  <si>
    <t>2F1V81</t>
  </si>
  <si>
    <t>A18)1U71換原絲</t>
  </si>
  <si>
    <t>2F1V91</t>
  </si>
  <si>
    <t>A15-B)1Q01色差/DR</t>
  </si>
  <si>
    <t>2F1VA2</t>
  </si>
  <si>
    <t>M04)1TT2換原絲</t>
  </si>
  <si>
    <t>2F1VB2</t>
  </si>
  <si>
    <t>A14-B)1PQ2</t>
  </si>
  <si>
    <t>A17-A)1TN2換原絲</t>
  </si>
  <si>
    <t>S1)1TR2/DR換原絲</t>
  </si>
  <si>
    <t>A07-B)1TI2換原絲/DR..</t>
  </si>
  <si>
    <t>A21-A)1TJ2/換原絲..</t>
  </si>
  <si>
    <t>A19-A)1VF2/換原絲..</t>
  </si>
  <si>
    <t>A07-A)1ER2換原絲</t>
  </si>
  <si>
    <t>A17-A)1VC2換原絲/DR</t>
  </si>
  <si>
    <t>A14-A)1PN2換原絲</t>
  </si>
  <si>
    <t>A21)1VF2</t>
  </si>
  <si>
    <t>A08-A)1TW2換原絲</t>
  </si>
  <si>
    <t>A19-B)1VG2/換原絲..</t>
  </si>
  <si>
    <t>A14-A)S撚-1TP2/換原絲</t>
  </si>
  <si>
    <t>A07-A)1VB2</t>
  </si>
  <si>
    <t>S1)1DT2換原絲/機型/DR</t>
  </si>
  <si>
    <t>2F1W01</t>
  </si>
  <si>
    <t>A23-B)1V01改重量</t>
  </si>
  <si>
    <t>2F1W11</t>
  </si>
  <si>
    <t>A23-A)1V01改重量/換原絲</t>
  </si>
  <si>
    <t>2F1W22</t>
  </si>
  <si>
    <t>A21)1U82不加T</t>
  </si>
  <si>
    <t>2F1W32</t>
  </si>
  <si>
    <t>A11)1T22換原絲/DR</t>
  </si>
  <si>
    <t>2F1W42</t>
  </si>
  <si>
    <t>A21-B)1G42-換原絲</t>
  </si>
  <si>
    <t>2F1W52</t>
  </si>
  <si>
    <t>M08)1Q42</t>
  </si>
  <si>
    <t>2F1W62</t>
  </si>
  <si>
    <t>A13)1G12-換原絲/DR</t>
  </si>
  <si>
    <t>2F1W72</t>
  </si>
  <si>
    <t>A24-B)1T32換原絲/DR</t>
  </si>
  <si>
    <t>2F1W82</t>
  </si>
  <si>
    <t>A23-B)1Q72-換原絲/DR/降速/錠片少1片</t>
  </si>
  <si>
    <t>2F1W92</t>
  </si>
  <si>
    <t>A15)1P72-色差</t>
  </si>
  <si>
    <t>2F1X02</t>
  </si>
  <si>
    <t>A13-B)1S12色差</t>
  </si>
  <si>
    <t>2F1X12</t>
  </si>
  <si>
    <t>A07-A)1V22色差</t>
  </si>
  <si>
    <t>2F1X32</t>
  </si>
  <si>
    <t>M05)1V12換原絲</t>
  </si>
  <si>
    <t>2F1X42</t>
  </si>
  <si>
    <t>A24)1W72改不加O</t>
  </si>
  <si>
    <t>2F1X52</t>
  </si>
  <si>
    <t>T01-R)1BJ2換原絲/DR</t>
  </si>
  <si>
    <t>2F1X62</t>
  </si>
  <si>
    <t>A09)1U82-換原絲</t>
  </si>
  <si>
    <t>2F1X72</t>
  </si>
  <si>
    <t>A24-B)1W32換原絲</t>
  </si>
  <si>
    <t>2F1X82</t>
  </si>
  <si>
    <t>A24-A)1W72</t>
  </si>
  <si>
    <t>2F1X92</t>
  </si>
  <si>
    <t>A07-A)1X12色差</t>
  </si>
  <si>
    <t>2F1Y02</t>
  </si>
  <si>
    <t>A07-B)1V52-換原絲</t>
  </si>
  <si>
    <t>2F1Y12</t>
  </si>
  <si>
    <t>A21-B)1W82-換原絲/DR/錠片加1片</t>
  </si>
  <si>
    <t>2F1Y22</t>
  </si>
  <si>
    <t>A24-B)1X72換原絲</t>
  </si>
  <si>
    <t>2F1Y31</t>
  </si>
  <si>
    <t>A23)1W11改重量/DR</t>
  </si>
  <si>
    <t>2F1Y41</t>
  </si>
  <si>
    <t>A18)1V81改重量/DR</t>
  </si>
  <si>
    <t>2F1Y52</t>
  </si>
  <si>
    <t>S2)DFM2絲開發</t>
  </si>
  <si>
    <t>2F1Y62</t>
  </si>
  <si>
    <t>A09-B)1X62-換原絲</t>
  </si>
  <si>
    <t>2F1Y72</t>
  </si>
  <si>
    <t>A24-A)1X82換原絲</t>
  </si>
  <si>
    <t>2F1Y92</t>
  </si>
  <si>
    <t>T01-R)1X52</t>
  </si>
  <si>
    <t>2F1Z02</t>
  </si>
  <si>
    <t>A16)1M52換原絲/DR</t>
  </si>
  <si>
    <t>2F1Z12</t>
  </si>
  <si>
    <t>A21-B)1U42-換原絲/DR/溫度</t>
  </si>
  <si>
    <t>2F1Z22</t>
  </si>
  <si>
    <t>T04-R)1X52換原絲/DR</t>
  </si>
  <si>
    <t>2F1Z31</t>
  </si>
  <si>
    <t>A14)1Y41改重量</t>
  </si>
  <si>
    <t>2F1Z42</t>
  </si>
  <si>
    <t>T04-R)1Z22</t>
  </si>
  <si>
    <t>2F1Z52</t>
  </si>
  <si>
    <t>A09-B)1W22換原絲/DR/溫度</t>
  </si>
  <si>
    <t>2F1Z61</t>
  </si>
  <si>
    <t>S2)1A31換原絲/DR/機型</t>
  </si>
  <si>
    <t>2F1Z72</t>
  </si>
  <si>
    <t>A07-A)1X92換原絲/DR</t>
  </si>
  <si>
    <t>2F1Z82</t>
  </si>
  <si>
    <t>M08)1X32換原絲/DR</t>
  </si>
  <si>
    <t>2F1Z92</t>
  </si>
  <si>
    <t>M07)1V42換原絲</t>
  </si>
  <si>
    <t>2F2001</t>
  </si>
  <si>
    <t>A10-A)2BI1換原絲</t>
  </si>
  <si>
    <t>2F2011</t>
  </si>
  <si>
    <t>A10)2001換原絲</t>
  </si>
  <si>
    <t>2F2021</t>
  </si>
  <si>
    <t>A10)2011色差</t>
  </si>
  <si>
    <t>2F2031</t>
  </si>
  <si>
    <t>A10-A)2021換原絲/DR</t>
  </si>
  <si>
    <t>2F2041</t>
  </si>
  <si>
    <t>A10-A)2031色差</t>
  </si>
  <si>
    <t>2F2051</t>
  </si>
  <si>
    <t>A24-B)20R1換原絲/DR</t>
  </si>
  <si>
    <t>2F2062</t>
  </si>
  <si>
    <t>A24)5F2W92-換原絲</t>
  </si>
  <si>
    <t>2F2072</t>
  </si>
  <si>
    <t>A24)2062-換原絲/降速/DR</t>
  </si>
  <si>
    <t>2F2081</t>
  </si>
  <si>
    <t>A24-A)2051換原絲</t>
  </si>
  <si>
    <t>2F2092</t>
  </si>
  <si>
    <t>A24)2072-換原絲</t>
  </si>
  <si>
    <t>2F20A3</t>
  </si>
  <si>
    <t>M03)5F2Z43換原絲</t>
  </si>
  <si>
    <t>2F20B1</t>
  </si>
  <si>
    <t>A20-B)2991換原絲</t>
  </si>
  <si>
    <t>2F20C2</t>
  </si>
  <si>
    <t>T02-L)20D2-降速/色差</t>
  </si>
  <si>
    <t>2F20D2</t>
  </si>
  <si>
    <t>T02-L)2922-換原絲</t>
  </si>
  <si>
    <t>2F20E2</t>
  </si>
  <si>
    <t>T01)2902-換原絲</t>
  </si>
  <si>
    <t>2F20F2</t>
  </si>
  <si>
    <t>T04-L)2982-換原絲</t>
  </si>
  <si>
    <t>2F20G1</t>
  </si>
  <si>
    <t>A11-A)5F2Z91換原絲/DR</t>
  </si>
  <si>
    <t>2F20H2</t>
  </si>
  <si>
    <t>A11-B)2972換原絲</t>
  </si>
  <si>
    <t>2F20I1</t>
  </si>
  <si>
    <t>J07-R)91U1換原絲</t>
  </si>
  <si>
    <t>2F20J1</t>
  </si>
  <si>
    <t>M01)5F2S81-換原絲-物性</t>
  </si>
  <si>
    <t>2F20K2</t>
  </si>
  <si>
    <t>S2)20H2換原絲/機型</t>
  </si>
  <si>
    <t>2F20L2</t>
  </si>
  <si>
    <t>M05)</t>
  </si>
  <si>
    <t>2F20M2</t>
  </si>
  <si>
    <t>2F20N1</t>
  </si>
  <si>
    <t>A24)20B1換原絲</t>
  </si>
  <si>
    <t>2F20P2</t>
  </si>
  <si>
    <t>T02)2922-換原絲</t>
  </si>
  <si>
    <t>2F20Q2</t>
  </si>
  <si>
    <t>J08)換機型/降速</t>
  </si>
  <si>
    <t>2F20R1</t>
  </si>
  <si>
    <t>A24-B)20N1換原絲</t>
  </si>
  <si>
    <t>2F20U2</t>
  </si>
  <si>
    <t>T03-R)20P2-色差</t>
  </si>
  <si>
    <t>2F20V2</t>
  </si>
  <si>
    <t>A16-A)5FDL22換原絲/降速/機型</t>
  </si>
  <si>
    <t>2F20W2</t>
  </si>
  <si>
    <t>A17)2122-改標</t>
  </si>
  <si>
    <t>2F20X1</t>
  </si>
  <si>
    <t>A09)2871換原絲/升速</t>
  </si>
  <si>
    <t>2F20Y2</t>
  </si>
  <si>
    <t>A16)2072-換原絲/降速/DR</t>
  </si>
  <si>
    <t>2F20Z2</t>
  </si>
  <si>
    <t>A15-A)</t>
  </si>
  <si>
    <t>2F2102</t>
  </si>
  <si>
    <t>A22)2Z72換原絲</t>
  </si>
  <si>
    <t>2F2112</t>
  </si>
  <si>
    <t>A22)2Z72換原絲/DR</t>
  </si>
  <si>
    <t>2F2122</t>
  </si>
  <si>
    <t>A23-A)20H2換原絲/DR</t>
  </si>
  <si>
    <t>2F2132</t>
  </si>
  <si>
    <t>A20)2122換原絲/DR</t>
  </si>
  <si>
    <t>2F2142</t>
  </si>
  <si>
    <t>S2)21W2換原絲/DR</t>
  </si>
  <si>
    <t>2F21A2</t>
  </si>
  <si>
    <t>A16-B)20Y2換原絲</t>
  </si>
  <si>
    <t>2F21B2</t>
  </si>
  <si>
    <t>T03)2AC2換原絲/物性LIKE20Z2</t>
  </si>
  <si>
    <t>2F21C2</t>
  </si>
  <si>
    <t>T03-R)21B2換原絲/DR</t>
  </si>
  <si>
    <t>2F21D2</t>
  </si>
  <si>
    <t>M08)20L2換原絲</t>
  </si>
  <si>
    <t>2F21E2</t>
  </si>
  <si>
    <t>S1)20K2換原絲/DR</t>
  </si>
  <si>
    <t>2F21F2</t>
  </si>
  <si>
    <t>A21-A)99Y2換原絲/DR</t>
  </si>
  <si>
    <t>2F21G2</t>
  </si>
  <si>
    <t>A21-B)21F2換原絲</t>
  </si>
  <si>
    <t>2F21H2</t>
  </si>
  <si>
    <t>A17)2122換原絲</t>
  </si>
  <si>
    <t>2F21I2</t>
  </si>
  <si>
    <t>A21-B)21G2改重量</t>
  </si>
  <si>
    <t>2F21J2</t>
  </si>
  <si>
    <t>M02)21D2色差</t>
  </si>
  <si>
    <t>2F21K2</t>
  </si>
  <si>
    <t>S2-1)21I2改機型/DR</t>
  </si>
  <si>
    <t>2F21L1</t>
  </si>
  <si>
    <t>M02)2A61換原絲</t>
  </si>
  <si>
    <t>2F21M1</t>
  </si>
  <si>
    <t>S2)91U1換原絲/機型</t>
  </si>
  <si>
    <t>2F21N2</t>
  </si>
  <si>
    <t>A07-A)21A2換原絲/DR</t>
  </si>
  <si>
    <t>2F21P2</t>
  </si>
  <si>
    <t>A18-A)2A02-換原絲</t>
  </si>
  <si>
    <t>2F21Q1</t>
  </si>
  <si>
    <t>M08)2A81換原絲</t>
  </si>
  <si>
    <t>2F21R1</t>
  </si>
  <si>
    <t>M02)21L1換原絲/DR</t>
  </si>
  <si>
    <t>2F21S2</t>
  </si>
  <si>
    <t>M08)21J2換原絲</t>
  </si>
  <si>
    <t>2F21T2</t>
  </si>
  <si>
    <t>S2)21K2-改4.0KG</t>
  </si>
  <si>
    <t>2F21U1</t>
  </si>
  <si>
    <t>M08)21Q1</t>
  </si>
  <si>
    <t>2F21V2</t>
  </si>
  <si>
    <t>S2)21T2換原絲</t>
  </si>
  <si>
    <t>2F21W2</t>
  </si>
  <si>
    <t>S2)2122換原絲/DR</t>
  </si>
  <si>
    <t>2F21X1</t>
  </si>
  <si>
    <t>M02-A)21R1換原絲</t>
  </si>
  <si>
    <t>2F21Z2</t>
  </si>
  <si>
    <t>M01)21S2色差</t>
  </si>
  <si>
    <t>2F22A2</t>
  </si>
  <si>
    <t>A12-B)21G2換原絲</t>
  </si>
  <si>
    <t>2F22B1</t>
  </si>
  <si>
    <t>T03-L)</t>
  </si>
  <si>
    <t>2F22C1</t>
  </si>
  <si>
    <t>M02)21X1換原絲/DR</t>
  </si>
  <si>
    <t>2F22D2</t>
  </si>
  <si>
    <t>A20-B)21H2換原絲/DR</t>
  </si>
  <si>
    <t>2F22E2</t>
  </si>
  <si>
    <t>M01-B)21Z2換原絲</t>
  </si>
  <si>
    <t>2F22F2</t>
  </si>
  <si>
    <t>A12-B)22A2換原絲/DR</t>
  </si>
  <si>
    <t>2F22G1</t>
  </si>
  <si>
    <t>M01)22B1換機型/DR/換原絲/降速</t>
  </si>
  <si>
    <t>2F22H2</t>
  </si>
  <si>
    <t>A12)22A2換原絲/DR</t>
  </si>
  <si>
    <t>2F22I2</t>
  </si>
  <si>
    <t>A24-B)5F2K32換原絲/DR/JET</t>
  </si>
  <si>
    <t>2F22J2</t>
  </si>
  <si>
    <t>A07-A)2822換原絲不同規格</t>
  </si>
  <si>
    <t>2F22K2</t>
  </si>
  <si>
    <t>M01)22E2色差</t>
  </si>
  <si>
    <t>2F22L2</t>
  </si>
  <si>
    <t>T01-L)2C92-換原絲</t>
  </si>
  <si>
    <t>2F22M1</t>
  </si>
  <si>
    <t>M07)22C1換原絲/DR</t>
  </si>
  <si>
    <t>2F22P1</t>
  </si>
  <si>
    <t>M02)22C1換原絲/DR</t>
  </si>
  <si>
    <t>2F22Q2</t>
  </si>
  <si>
    <t>S1)2142-加O/DR</t>
  </si>
  <si>
    <t>2F22R1</t>
  </si>
  <si>
    <t>M01)22P1換原絲/DR</t>
  </si>
  <si>
    <t>2F22S2</t>
  </si>
  <si>
    <t>A16-A)21N2色差</t>
  </si>
  <si>
    <t>2F22T2</t>
  </si>
  <si>
    <t>M04)2A52-換原絲</t>
  </si>
  <si>
    <t>2F22U2</t>
  </si>
  <si>
    <t>A20-A)5F2I22換原絲/降速/DR/機型</t>
  </si>
  <si>
    <t>2F22V1</t>
  </si>
  <si>
    <t>A16)22G1換機型/DR</t>
  </si>
  <si>
    <t>2F22W2</t>
  </si>
  <si>
    <t>M07)22T2-換原絲/DR</t>
  </si>
  <si>
    <t>2F22X2</t>
  </si>
  <si>
    <t>S1)22U2-DR/機型</t>
  </si>
  <si>
    <t>2F22Y2</t>
  </si>
  <si>
    <t>A13-A)22S2換原絲</t>
  </si>
  <si>
    <t>2F22Z2</t>
  </si>
  <si>
    <t>M08)換原絲-LIKE22Q2</t>
  </si>
  <si>
    <t>2F2302</t>
  </si>
  <si>
    <t>T02)2BJ2-機台別</t>
  </si>
  <si>
    <t>2F2312</t>
  </si>
  <si>
    <t>T01)2302-換原絲</t>
  </si>
  <si>
    <t>2F2322</t>
  </si>
  <si>
    <t>T02-L)2302-換原絲</t>
  </si>
  <si>
    <t>2F2332</t>
  </si>
  <si>
    <t>T01-L)20U2-機台別</t>
  </si>
  <si>
    <t>2F2342</t>
  </si>
  <si>
    <t>T03-L)2332-換原絲</t>
  </si>
  <si>
    <t>2F2352</t>
  </si>
  <si>
    <t>T01)2342-機台別</t>
  </si>
  <si>
    <t>2F2362</t>
  </si>
  <si>
    <t>T03)2352-機台別/異常紗</t>
  </si>
  <si>
    <t>2F2372</t>
  </si>
  <si>
    <t>T03-R)2362-換原絲</t>
  </si>
  <si>
    <t>2F2382</t>
  </si>
  <si>
    <t>T02-L)2372-機台別</t>
  </si>
  <si>
    <t>2F2392</t>
  </si>
  <si>
    <t>T01-L)2382-換原絲</t>
  </si>
  <si>
    <t>2F23A1</t>
  </si>
  <si>
    <t>M01)22R1換原絲</t>
  </si>
  <si>
    <t>2F23B2</t>
  </si>
  <si>
    <t>M08)22Z2換原絲</t>
  </si>
  <si>
    <t>2F23C2</t>
  </si>
  <si>
    <t>A18-A)22H2換原絲/DR</t>
  </si>
  <si>
    <t>2F23D2</t>
  </si>
  <si>
    <t>A13-B)22Y2色差</t>
  </si>
  <si>
    <t>2F23E2</t>
  </si>
  <si>
    <t>M08)23B2色差</t>
  </si>
  <si>
    <t>2F23F1</t>
  </si>
  <si>
    <t>A13)22V1換原絲</t>
  </si>
  <si>
    <t>2F23G2</t>
  </si>
  <si>
    <t>M08)23E2換原絲/DR</t>
  </si>
  <si>
    <t>2F23H2</t>
  </si>
  <si>
    <t>A07-B)22J2換原絲</t>
  </si>
  <si>
    <t>2F23I2</t>
  </si>
  <si>
    <t>M06)22K2換原絲</t>
  </si>
  <si>
    <t>2F23J1</t>
  </si>
  <si>
    <t>M07)22G1換原絲</t>
  </si>
  <si>
    <t>2F23K2</t>
  </si>
  <si>
    <t>A22)23C2換原絲/降速</t>
  </si>
  <si>
    <t>2F23L2</t>
  </si>
  <si>
    <t>M06)23I2換原絲</t>
  </si>
  <si>
    <t>2F23M2</t>
  </si>
  <si>
    <t>M05)23E2色差</t>
  </si>
  <si>
    <t>2F23N2</t>
  </si>
  <si>
    <t>M06)22T2-換原絲</t>
  </si>
  <si>
    <t>2F23P2</t>
  </si>
  <si>
    <t>S2)2142色差/DR</t>
  </si>
  <si>
    <t>2F23Q1</t>
  </si>
  <si>
    <t>M01)23A1換原絲/DR</t>
  </si>
  <si>
    <t>2F23R2</t>
  </si>
  <si>
    <t>M06)23N2-換原絲</t>
  </si>
  <si>
    <t>2F23S1</t>
  </si>
  <si>
    <t>M02)23Q1/DR</t>
  </si>
  <si>
    <t>2F23T2</t>
  </si>
  <si>
    <t>T01-L)22L2-換原絲</t>
  </si>
  <si>
    <t>2F23U2</t>
  </si>
  <si>
    <t>A24-A)22D2換原絲</t>
  </si>
  <si>
    <t>2F23W2</t>
  </si>
  <si>
    <t>T01-R)</t>
  </si>
  <si>
    <t>2F23X2</t>
  </si>
  <si>
    <t>M01)23G2換原絲</t>
  </si>
  <si>
    <t>2F23Y2</t>
  </si>
  <si>
    <t>M04)23L2換原絲</t>
  </si>
  <si>
    <t>2F23Z2</t>
  </si>
  <si>
    <t>M04)22T2-換原絲/DR</t>
  </si>
  <si>
    <t>2F24A1</t>
  </si>
  <si>
    <t>M02)23S1/換原絲</t>
  </si>
  <si>
    <t>2F24B1</t>
  </si>
  <si>
    <t>M06)23S1換原絲</t>
  </si>
  <si>
    <t>2F24C1</t>
  </si>
  <si>
    <t>M06)24B1換原絲</t>
  </si>
  <si>
    <t>2F24D2</t>
  </si>
  <si>
    <t>T02)2C92-換原絲/DR</t>
  </si>
  <si>
    <t>2F2AG2</t>
  </si>
  <si>
    <t>T03-L)2AF2換原絲/DR</t>
  </si>
  <si>
    <t>2F24E2</t>
  </si>
  <si>
    <t>T01-R)23W2/降速</t>
  </si>
  <si>
    <t>2F24F1</t>
  </si>
  <si>
    <t>M02)24A1/換原絲/DR</t>
  </si>
  <si>
    <t>2F24G2</t>
  </si>
  <si>
    <t>A09-A)9AP2/DR</t>
  </si>
  <si>
    <t>2F24H2</t>
  </si>
  <si>
    <t>A09-B)DBT2併股</t>
  </si>
  <si>
    <t>2F24I2</t>
  </si>
  <si>
    <t>M01)色差-LIKE22Z2</t>
  </si>
  <si>
    <t>2F24J2</t>
  </si>
  <si>
    <t>A21)23D2色差/錠片加1</t>
  </si>
  <si>
    <t>2F24K2</t>
  </si>
  <si>
    <t>T02-R)24E2換原絲</t>
  </si>
  <si>
    <t>2F24M2</t>
  </si>
  <si>
    <t>T02-R)22B1/換原絲/降速</t>
  </si>
  <si>
    <t>2F24N2</t>
  </si>
  <si>
    <t>T03-L)23X2換原絲/升速/DR</t>
  </si>
  <si>
    <t>2F24P2</t>
  </si>
  <si>
    <t>A15-A)2132換原絲/DR/AP壓力</t>
  </si>
  <si>
    <t>2F24Q2</t>
  </si>
  <si>
    <t>T01-L)24K2</t>
  </si>
  <si>
    <t>2F24R2</t>
  </si>
  <si>
    <t>A15-B)23U2換原絲</t>
  </si>
  <si>
    <t>2F24S2</t>
  </si>
  <si>
    <t>A18)24R2換原絲/DR</t>
  </si>
  <si>
    <t>2F24T2</t>
  </si>
  <si>
    <t>A13-B)24Q2/DR/機型</t>
  </si>
  <si>
    <t>2F24U2</t>
  </si>
  <si>
    <t>M04)23Z2-換原絲</t>
  </si>
  <si>
    <t>2F24V2</t>
  </si>
  <si>
    <t>M02)23M2換原絲</t>
  </si>
  <si>
    <t>2F24W2</t>
  </si>
  <si>
    <t>A13-B)24T2換白度異常紗</t>
  </si>
  <si>
    <t>2F24X1</t>
  </si>
  <si>
    <t>M08)24F1/換原絲</t>
  </si>
  <si>
    <t>2F24Y1</t>
  </si>
  <si>
    <t>A21-A)</t>
  </si>
  <si>
    <t>2F24Z1</t>
  </si>
  <si>
    <t>M04)24X1/換原絲/DR</t>
  </si>
  <si>
    <t>2F25A1</t>
  </si>
  <si>
    <t>A21-B)S撚</t>
  </si>
  <si>
    <t>2F25B1</t>
  </si>
  <si>
    <t>M08)24X1/換原絲/DR</t>
  </si>
  <si>
    <t>2F25C2</t>
  </si>
  <si>
    <t>A09)24W2換原絲</t>
  </si>
  <si>
    <t>2F25D2</t>
  </si>
  <si>
    <t>M02)24V2換原絲</t>
  </si>
  <si>
    <t>2F25E1</t>
  </si>
  <si>
    <t>M07)25Z1/換原絲/DR</t>
  </si>
  <si>
    <t>2F25F1</t>
  </si>
  <si>
    <t>M07)25E1/換原絲</t>
  </si>
  <si>
    <t>2F25G1</t>
  </si>
  <si>
    <t>M08)25B1/換原絲/DR</t>
  </si>
  <si>
    <t>2F25H1</t>
  </si>
  <si>
    <t>M04)24Z1/換原絲</t>
  </si>
  <si>
    <t>2F25I2</t>
  </si>
  <si>
    <t>A12-B)24S2換原絲</t>
  </si>
  <si>
    <t>2F25J2</t>
  </si>
  <si>
    <t>A12-A)21P2-換原絲/DR/加錠片</t>
  </si>
  <si>
    <t>2F25K2</t>
  </si>
  <si>
    <t>M06)24I2-換原絲/DR</t>
  </si>
  <si>
    <t>2F25L1</t>
  </si>
  <si>
    <t>M08)25H1/機台不同</t>
  </si>
  <si>
    <t>2F25M2</t>
  </si>
  <si>
    <t>T03)2AG2-改標.物性LIKE-24D2</t>
  </si>
  <si>
    <t>2F25N1</t>
  </si>
  <si>
    <t>M04)25H1/換原絲/DR</t>
  </si>
  <si>
    <t>2F25P1</t>
  </si>
  <si>
    <t>M08)25L1/換原絲/DR</t>
  </si>
  <si>
    <t>2F25Q2</t>
  </si>
  <si>
    <t>M06)25K2</t>
  </si>
  <si>
    <t>2F25R2</t>
  </si>
  <si>
    <t>A14-A)25C2換原絲</t>
  </si>
  <si>
    <t>2F25S1</t>
  </si>
  <si>
    <t>M08)25P1/換原絲/DR</t>
  </si>
  <si>
    <t>2F25T1</t>
  </si>
  <si>
    <t>M04)25N1/換原絲/DR</t>
  </si>
  <si>
    <t>2F25U2</t>
  </si>
  <si>
    <t>T03-R)24D2</t>
  </si>
  <si>
    <t>2F25W1</t>
  </si>
  <si>
    <t>A17)2081換原絲/降速/錠片加1/E修20</t>
  </si>
  <si>
    <t>2F25X2</t>
  </si>
  <si>
    <t>M01)23R2-換原絲/升速</t>
  </si>
  <si>
    <t>2F25Y2</t>
  </si>
  <si>
    <t>M07)25Q2換原絲</t>
  </si>
  <si>
    <t>2F25Z1</t>
  </si>
  <si>
    <t>M07)24X1/換原絲</t>
  </si>
  <si>
    <t>2F26A2</t>
  </si>
  <si>
    <t>T03-R)25U2換原絲/DR</t>
  </si>
  <si>
    <t>2F26B1</t>
  </si>
  <si>
    <t>A17-B)25W1/DR</t>
  </si>
  <si>
    <t>2F26C1</t>
  </si>
  <si>
    <t>M04)25T1/升速</t>
  </si>
  <si>
    <t>2F26D1</t>
  </si>
  <si>
    <t>M01)25S1/換原絲/升速/DR</t>
  </si>
  <si>
    <t>2F26E2</t>
  </si>
  <si>
    <t>M01)24U2-換原絲/升速</t>
  </si>
  <si>
    <t>2F26G2</t>
  </si>
  <si>
    <t>M08)25Y2-/DR</t>
  </si>
  <si>
    <t>2F26H2</t>
  </si>
  <si>
    <t>M04)25X2-DR</t>
  </si>
  <si>
    <t>2F26I1</t>
  </si>
  <si>
    <t>M01)26D1/DR</t>
  </si>
  <si>
    <t>2F26J2</t>
  </si>
  <si>
    <t>T04-L)26A2/DR</t>
  </si>
  <si>
    <t>2F26K1</t>
  </si>
  <si>
    <t>M04)25S1/升速</t>
  </si>
  <si>
    <t>2F26M1</t>
  </si>
  <si>
    <t>A10-B)</t>
  </si>
  <si>
    <t>2F26N1</t>
  </si>
  <si>
    <t>A14-B)</t>
  </si>
  <si>
    <t>2F26P1</t>
  </si>
  <si>
    <t>M01)26N1換原絲/機型</t>
  </si>
  <si>
    <t>2F26Q2</t>
  </si>
  <si>
    <t>T04)26A2/DR</t>
  </si>
  <si>
    <t>2F26S2</t>
  </si>
  <si>
    <t>T05-R)26J2/DR/換原絲</t>
  </si>
  <si>
    <t>2F26T1</t>
  </si>
  <si>
    <t>A0826N1升速</t>
  </si>
  <si>
    <t>2F26U1</t>
  </si>
  <si>
    <t>M01)26P1換原絲/升速</t>
  </si>
  <si>
    <t>2F26V2</t>
  </si>
  <si>
    <t>T06-L)26S2/DR/換原絲</t>
  </si>
  <si>
    <t>2F26W2</t>
  </si>
  <si>
    <t>T06-R)26V2/DR/換原絲</t>
  </si>
  <si>
    <t>2F26X1</t>
  </si>
  <si>
    <t>A09-B)26N1/DR/換原絲</t>
  </si>
  <si>
    <t>2F26Y2</t>
  </si>
  <si>
    <t>A08)26W2/DR/換原絲/降速/規格不同</t>
  </si>
  <si>
    <t>2F26Z2</t>
  </si>
  <si>
    <t>M01)DTD2</t>
  </si>
  <si>
    <t>2F27A1</t>
  </si>
  <si>
    <t>M01)26U1換原絲</t>
  </si>
  <si>
    <t>2F27B2</t>
  </si>
  <si>
    <t>T04-R)26W2/DR</t>
  </si>
  <si>
    <t>2F27C1</t>
  </si>
  <si>
    <t>A09-B)26X1/新紗</t>
  </si>
  <si>
    <t>2F27D1</t>
  </si>
  <si>
    <t>M06)27A1</t>
  </si>
  <si>
    <t>2F27E2</t>
  </si>
  <si>
    <t>A12)9QW2/DR/重量</t>
  </si>
  <si>
    <t>2F27F2</t>
  </si>
  <si>
    <t>A08-B)27E2換原絲</t>
  </si>
  <si>
    <t>2F27G2</t>
  </si>
  <si>
    <t>T04-R)27B2色差</t>
  </si>
  <si>
    <t>2F27H2</t>
  </si>
  <si>
    <t>A08-B)27F2/DR</t>
  </si>
  <si>
    <t>2F27I1</t>
  </si>
  <si>
    <t>M06)27D1換原絲</t>
  </si>
  <si>
    <t>2F27J2</t>
  </si>
  <si>
    <t>M08)26H2-DR換原絲</t>
  </si>
  <si>
    <t>2F27K1</t>
  </si>
  <si>
    <t>A14-A)27C1</t>
  </si>
  <si>
    <t>2F27L2</t>
  </si>
  <si>
    <t>A08-B)27H2/規格改</t>
  </si>
  <si>
    <t>2F27M2</t>
  </si>
  <si>
    <t>M04)27J2-換原絲</t>
  </si>
  <si>
    <t>2F27P2</t>
  </si>
  <si>
    <t>S1)26Y2/DR/換原絲.機型</t>
  </si>
  <si>
    <t>2F27Q2</t>
  </si>
  <si>
    <t>A12)</t>
  </si>
  <si>
    <t>2F27R1</t>
  </si>
  <si>
    <t>M04)27I1</t>
  </si>
  <si>
    <t>2F27S2</t>
  </si>
  <si>
    <t>A14-A)26E2-換原絲/升速/DR.機型</t>
  </si>
  <si>
    <t>2F27U1</t>
  </si>
  <si>
    <t>A13-B)27K1換原絲/DR</t>
  </si>
  <si>
    <t>A08)27K1</t>
  </si>
  <si>
    <t>A14-A)27K1</t>
  </si>
  <si>
    <t>2F27X2</t>
  </si>
  <si>
    <t>A12)27L2/升速/換原絲</t>
  </si>
  <si>
    <t>A13-B)27U1換原絲</t>
  </si>
  <si>
    <t>2F27Z2</t>
  </si>
  <si>
    <t>A22)27X2</t>
  </si>
  <si>
    <t>2F2802</t>
  </si>
  <si>
    <t>A12-B)2BC2色差</t>
  </si>
  <si>
    <t>2F2811</t>
  </si>
  <si>
    <t>A10-B)2BI1換原絲</t>
  </si>
  <si>
    <t>2F2822</t>
  </si>
  <si>
    <t>A12-B)2802色差</t>
  </si>
  <si>
    <t>2F2831</t>
  </si>
  <si>
    <t>A08-A)2BE1色差</t>
  </si>
  <si>
    <t>2F2842</t>
  </si>
  <si>
    <t>A17-A)AL02換原絲/DR</t>
  </si>
  <si>
    <t>2F2852</t>
  </si>
  <si>
    <t>T02-L)2322-換原絲</t>
  </si>
  <si>
    <t>2F2862</t>
  </si>
  <si>
    <t>T01-R)2312-換原絲</t>
  </si>
  <si>
    <t>2F2871</t>
  </si>
  <si>
    <t>A08)2831換原絲</t>
  </si>
  <si>
    <t>2F2882</t>
  </si>
  <si>
    <t>T04-L)</t>
  </si>
  <si>
    <t>2F2892</t>
  </si>
  <si>
    <t>A08-A)5F2BB2-換原絲</t>
  </si>
  <si>
    <t>A22)27Z2換原絲</t>
  </si>
  <si>
    <t>A13-B)27Y1色差</t>
  </si>
  <si>
    <t>2F2902</t>
  </si>
  <si>
    <t>T01)2862-換原絲</t>
  </si>
  <si>
    <t>2F2911</t>
  </si>
  <si>
    <t>A20-A)2041色差</t>
  </si>
  <si>
    <t>2F2922</t>
  </si>
  <si>
    <t>T02-L)2852-換原絲</t>
  </si>
  <si>
    <t>2F2931</t>
  </si>
  <si>
    <t>A20-B)2911換原絲</t>
  </si>
  <si>
    <t>2F2942</t>
  </si>
  <si>
    <t>T04-L)2922-換原絲/降速</t>
  </si>
  <si>
    <t>2F2962</t>
  </si>
  <si>
    <t>T04-L)2882換原絲</t>
  </si>
  <si>
    <t>2F2972</t>
  </si>
  <si>
    <t>A09)2112換原絲/DR/降速</t>
  </si>
  <si>
    <t>2F2982</t>
  </si>
  <si>
    <t>T04-L)2922-換原絲</t>
  </si>
  <si>
    <t>2F2991</t>
  </si>
  <si>
    <t>A20-A)2931色差</t>
  </si>
  <si>
    <t>2F2A02</t>
  </si>
  <si>
    <t>A24)2092-換原絲</t>
  </si>
  <si>
    <t>2F2A11</t>
  </si>
  <si>
    <t>M05)2081換原絲/機型/降速</t>
  </si>
  <si>
    <t>2F2A21</t>
  </si>
  <si>
    <t>M02)2A11換原絲</t>
  </si>
  <si>
    <t>2F2A31</t>
  </si>
  <si>
    <t>M02)2A21換原絲</t>
  </si>
  <si>
    <t>2F2A41</t>
  </si>
  <si>
    <t>M05)2A11換原絲</t>
  </si>
  <si>
    <t>2F2A52</t>
  </si>
  <si>
    <t>M02)2A02-換原絲/機型/降速</t>
  </si>
  <si>
    <t>2F2A61</t>
  </si>
  <si>
    <t>M02)2A31</t>
  </si>
  <si>
    <t>2F2A81</t>
  </si>
  <si>
    <t>M08)2A61色差</t>
  </si>
  <si>
    <t>2F2A91</t>
  </si>
  <si>
    <t>M06)2A61換原絲</t>
  </si>
  <si>
    <t>2F2AA2</t>
  </si>
  <si>
    <t>T02-R)2962換原絲</t>
  </si>
  <si>
    <t>2F2AB2</t>
  </si>
  <si>
    <t>T04-L)2AA2換原絲/升速</t>
  </si>
  <si>
    <t>2F2AC2</t>
  </si>
  <si>
    <t>T03-R)2AB2吃新紗</t>
  </si>
  <si>
    <t>2F2AD2</t>
  </si>
  <si>
    <t>T04-R)2AC2換原絲/DR</t>
  </si>
  <si>
    <t>2F2AE2</t>
  </si>
  <si>
    <t>T04-R)2AD2</t>
  </si>
  <si>
    <t>2F2AF2</t>
  </si>
  <si>
    <t>T03-R)2AE2換原絲</t>
  </si>
  <si>
    <t>2F2C02</t>
  </si>
  <si>
    <t>T03-L)2372-換原絲</t>
  </si>
  <si>
    <t>2F2C12</t>
  </si>
  <si>
    <t>T02-L)2382-換原絲</t>
  </si>
  <si>
    <t>2F2C22</t>
  </si>
  <si>
    <t>T03-L)2C02-換原絲</t>
  </si>
  <si>
    <t>2F2C32</t>
  </si>
  <si>
    <t>T02-L)2C12-換原絲</t>
  </si>
  <si>
    <t>2F2C42</t>
  </si>
  <si>
    <t>T02-L)2C32-色差</t>
  </si>
  <si>
    <t>2F2C52</t>
  </si>
  <si>
    <t>T02)2C42-換原絲</t>
  </si>
  <si>
    <t>2F2C62</t>
  </si>
  <si>
    <t>T03-R)2C52</t>
  </si>
  <si>
    <t>2F2C72</t>
  </si>
  <si>
    <t>T02)2C52-換原絲</t>
  </si>
  <si>
    <t>2F2C82</t>
  </si>
  <si>
    <t>T01-R)2C72-機台別</t>
  </si>
  <si>
    <t>2F2C92</t>
  </si>
  <si>
    <t>T01-R)2C82-機台別</t>
  </si>
  <si>
    <t>2F2T02</t>
  </si>
  <si>
    <t>S2)20L2換原絲/DR/機型</t>
  </si>
  <si>
    <t>2F3001</t>
  </si>
  <si>
    <t>A23)3XZ1換原絲</t>
  </si>
  <si>
    <t>2F3011</t>
  </si>
  <si>
    <t>A22)3SD1換原絲</t>
  </si>
  <si>
    <t>2F3021</t>
  </si>
  <si>
    <t>A18)3841-色差</t>
  </si>
  <si>
    <t>2F3031</t>
  </si>
  <si>
    <t>A21)3841換原絲</t>
  </si>
  <si>
    <t>2F3041</t>
  </si>
  <si>
    <t>A17)3E01換原絲</t>
  </si>
  <si>
    <t>2F3051</t>
  </si>
  <si>
    <t>A23-B)</t>
  </si>
  <si>
    <t>2F3071</t>
  </si>
  <si>
    <t>A23)3041換原絲</t>
  </si>
  <si>
    <t>2F3082</t>
  </si>
  <si>
    <t>A21)3H02換原絲</t>
  </si>
  <si>
    <t>2F3091</t>
  </si>
  <si>
    <t>A23-B)換原絲</t>
  </si>
  <si>
    <t>2F3102</t>
  </si>
  <si>
    <t>M04)3XG2換原絲</t>
  </si>
  <si>
    <t>2F3112</t>
  </si>
  <si>
    <t>M04)3F02換原絲</t>
  </si>
  <si>
    <t>2F3122</t>
  </si>
  <si>
    <t>M07)3112換原絲/DR</t>
  </si>
  <si>
    <t>2F3132</t>
  </si>
  <si>
    <t>M03)3122換原絲</t>
  </si>
  <si>
    <t>2F3142</t>
  </si>
  <si>
    <t>M03)3132換原絲</t>
  </si>
  <si>
    <t>2F3152</t>
  </si>
  <si>
    <t>M03)3142換原絲</t>
  </si>
  <si>
    <t>2F3162</t>
  </si>
  <si>
    <t>M03)3152換原絲</t>
  </si>
  <si>
    <t>2F3172</t>
  </si>
  <si>
    <t>A22-A)3162換機型/升速</t>
  </si>
  <si>
    <t>2F3182</t>
  </si>
  <si>
    <t>M05)9R12換原絲/溫度</t>
  </si>
  <si>
    <t>2F3192</t>
  </si>
  <si>
    <t>M05)3182換原絲</t>
  </si>
  <si>
    <t>2F3202</t>
  </si>
  <si>
    <t>A17)3D02換原絲</t>
  </si>
  <si>
    <t>2F3212</t>
  </si>
  <si>
    <t>A17-A)3202換原絲</t>
  </si>
  <si>
    <t>2F3222</t>
  </si>
  <si>
    <t>A07-A)3D02降速/換原絲</t>
  </si>
  <si>
    <t>2F3232</t>
  </si>
  <si>
    <t>T03-L)3222</t>
  </si>
  <si>
    <t>2F3241</t>
  </si>
  <si>
    <t>A19)9I21</t>
  </si>
  <si>
    <t>2F3252</t>
  </si>
  <si>
    <t>A22-B)3222換原絲</t>
  </si>
  <si>
    <t>2F3261</t>
  </si>
  <si>
    <t>A22-B)3241</t>
  </si>
  <si>
    <t>2F3271</t>
  </si>
  <si>
    <t>A22-B)3261換原絲</t>
  </si>
  <si>
    <t>2F3281</t>
  </si>
  <si>
    <t>A22-B)3271換原絲</t>
  </si>
  <si>
    <t>2F3291</t>
  </si>
  <si>
    <t>A22-B)3281換原絲</t>
  </si>
  <si>
    <t>2F33C3</t>
  </si>
  <si>
    <t>2F33Y1</t>
  </si>
  <si>
    <t>A21)3071色差</t>
  </si>
  <si>
    <t>2F33Z1</t>
  </si>
  <si>
    <t>A23-B)3071色差</t>
  </si>
  <si>
    <t>2F3402</t>
  </si>
  <si>
    <t>T03)3XM2換原絲</t>
  </si>
  <si>
    <t>2F3412</t>
  </si>
  <si>
    <t>T03-L)3402換原絲</t>
  </si>
  <si>
    <t>2F3422</t>
  </si>
  <si>
    <t>T01-R)3M02換原絲/升速</t>
  </si>
  <si>
    <t>2F3432</t>
  </si>
  <si>
    <t>T03-L)3422換原絲</t>
  </si>
  <si>
    <t>2F3442</t>
  </si>
  <si>
    <t>T01-R)3422色差</t>
  </si>
  <si>
    <t>2F3452</t>
  </si>
  <si>
    <t>T01-R)3472換原絲</t>
  </si>
  <si>
    <t>2F3462</t>
  </si>
  <si>
    <t>T02-R)3432色差</t>
  </si>
  <si>
    <t>2F3472</t>
  </si>
  <si>
    <t>T01)3432換原絲</t>
  </si>
  <si>
    <t>2F3482</t>
  </si>
  <si>
    <t>T02)3452</t>
  </si>
  <si>
    <t>2F3492</t>
  </si>
  <si>
    <t>T04)3452</t>
  </si>
  <si>
    <t>2F34A1</t>
  </si>
  <si>
    <t>A21-B)3091色差/DR</t>
  </si>
  <si>
    <t>2F34B1</t>
  </si>
  <si>
    <t>A21)34A1換原絲</t>
  </si>
  <si>
    <t>2F34C1</t>
  </si>
  <si>
    <t>A16)34A1換原絲/機台別</t>
  </si>
  <si>
    <t>2F34D1</t>
  </si>
  <si>
    <t>A23)33Z1換原絲</t>
  </si>
  <si>
    <t>2F34E1</t>
  </si>
  <si>
    <t>A22-B)34C1機台別</t>
  </si>
  <si>
    <t>2F34F2</t>
  </si>
  <si>
    <t>A23)3082換原絲</t>
  </si>
  <si>
    <t>2F34G1</t>
  </si>
  <si>
    <t>A16)34C1換原絲</t>
  </si>
  <si>
    <t>2F34H1</t>
  </si>
  <si>
    <t>A21)34B1換原絲/機台別</t>
  </si>
  <si>
    <t>2F34I3</t>
  </si>
  <si>
    <t>A17)9H23換原絲</t>
  </si>
  <si>
    <t>2F34J1</t>
  </si>
  <si>
    <t>A10)34E1機台別-新紗</t>
  </si>
  <si>
    <t>2F34K1</t>
  </si>
  <si>
    <t>A22)34E1-新紗</t>
  </si>
  <si>
    <t>2F34L1</t>
  </si>
  <si>
    <t>A21)34E1新紗</t>
  </si>
  <si>
    <t>2F34M1</t>
  </si>
  <si>
    <t>A16-A)34E1新紗</t>
  </si>
  <si>
    <t>2F34N1</t>
  </si>
  <si>
    <t>A21)34L1-轉線</t>
  </si>
  <si>
    <t>2F34P3</t>
  </si>
  <si>
    <t>S2)34I3換原絲</t>
  </si>
  <si>
    <t>2F34Q2</t>
  </si>
  <si>
    <t>T02)3482換原絲/降速/DR</t>
  </si>
  <si>
    <t>2F34R2</t>
  </si>
  <si>
    <t>T01-L)34Q2-機台別</t>
  </si>
  <si>
    <t>2F34S2</t>
  </si>
  <si>
    <t>T02-R)34Q2換原絲/DR</t>
  </si>
  <si>
    <t>2F34U2</t>
  </si>
  <si>
    <t>T04-L)34S2換原絲</t>
  </si>
  <si>
    <t>2F34V2</t>
  </si>
  <si>
    <t>T01-R)34U2</t>
  </si>
  <si>
    <t>2F34W2</t>
  </si>
  <si>
    <t>T01-L)34V2換原絲</t>
  </si>
  <si>
    <t>2F34X2</t>
  </si>
  <si>
    <t>T01-L)34W2換原絲/DR</t>
  </si>
  <si>
    <t>2F34Y2</t>
  </si>
  <si>
    <t>T03-R)34X2</t>
  </si>
  <si>
    <t>2F34Z2</t>
  </si>
  <si>
    <t>T03-L)34Y2換原絲</t>
  </si>
  <si>
    <t>2F35A2</t>
  </si>
  <si>
    <t>T04-R)34X2換原絲/DR</t>
  </si>
  <si>
    <t>2F35B2</t>
  </si>
  <si>
    <t>T04-R)34Z2不同機台</t>
  </si>
  <si>
    <t>2F35C2</t>
  </si>
  <si>
    <t>T01-R)34X2換原絲</t>
  </si>
  <si>
    <t>2F35D2</t>
  </si>
  <si>
    <t>T03-R)34Z2色差</t>
  </si>
  <si>
    <t>2F35E2</t>
  </si>
  <si>
    <t>T01-R)35D2色差</t>
  </si>
  <si>
    <t>2F35F2</t>
  </si>
  <si>
    <t>T03-R)35E2不同機台</t>
  </si>
  <si>
    <t>2F35G2</t>
  </si>
  <si>
    <t>T03-R)35F2換原絲</t>
  </si>
  <si>
    <t>2F35H2</t>
  </si>
  <si>
    <t>T01-R)35G2換原絲</t>
  </si>
  <si>
    <t>2F36Y2</t>
  </si>
  <si>
    <t>S1)3QM2換原絲/機型</t>
  </si>
  <si>
    <t>2F36Z1</t>
  </si>
  <si>
    <t>T04-R)3FG1換原絲/機型</t>
  </si>
  <si>
    <t>2F3702</t>
  </si>
  <si>
    <t>J07)39G2換原絲</t>
  </si>
  <si>
    <t>2F3712</t>
  </si>
  <si>
    <t>T03)5F9YL2換原絲/3702物性</t>
  </si>
  <si>
    <t>2F3722</t>
  </si>
  <si>
    <t>T04-R)換原絲/3712</t>
  </si>
  <si>
    <t>2F3732</t>
  </si>
  <si>
    <t>T04-L)換原絲/3722</t>
  </si>
  <si>
    <t>2F3742</t>
  </si>
  <si>
    <t>T02-R)色差/3732/JET</t>
  </si>
  <si>
    <t>2F3752</t>
  </si>
  <si>
    <t>T02-R)換原絲</t>
  </si>
  <si>
    <t>2F3762</t>
  </si>
  <si>
    <t>T02-R)3752換原絲</t>
  </si>
  <si>
    <t>2F37A3</t>
  </si>
  <si>
    <t>S2)3XB3</t>
  </si>
  <si>
    <t>2F37B1</t>
  </si>
  <si>
    <t>M04)3RA1-換原絲</t>
  </si>
  <si>
    <t>2F37C3</t>
  </si>
  <si>
    <t>M04)3RW3換原絲</t>
  </si>
  <si>
    <t>2F37D3</t>
  </si>
  <si>
    <t>S2-5.6)DT73</t>
  </si>
  <si>
    <t>2F37E2</t>
  </si>
  <si>
    <t>T03-R)3402-加T</t>
  </si>
  <si>
    <t>2F37F2</t>
  </si>
  <si>
    <t>T04-L)36Y2換機型</t>
  </si>
  <si>
    <t>2F37G2D</t>
  </si>
  <si>
    <t>M05)3XC2D換原絲</t>
  </si>
  <si>
    <t>2F37H1</t>
  </si>
  <si>
    <t>A21-B)3841機台換管</t>
  </si>
  <si>
    <t>2F37I2</t>
  </si>
  <si>
    <t>M07)3SM2換原絲</t>
  </si>
  <si>
    <t>2F37J1</t>
  </si>
  <si>
    <t>M05)3SY1-換原絲</t>
  </si>
  <si>
    <t>2F37K1</t>
  </si>
  <si>
    <t>A08-B)5F36B1</t>
  </si>
  <si>
    <t>2F37L2</t>
  </si>
  <si>
    <t>A16-A)3RV2-換原絲修條件/機型</t>
  </si>
  <si>
    <t>2F37M3</t>
  </si>
  <si>
    <t>M05)3SZ3- 換原絲</t>
  </si>
  <si>
    <t>2F37N1</t>
  </si>
  <si>
    <t>T02-R)3PX1換原絲/機型/DR</t>
  </si>
  <si>
    <t>2F37P1</t>
  </si>
  <si>
    <t>A08-B)3RS1-Z+S換原絲</t>
  </si>
  <si>
    <t>2F37Q1</t>
  </si>
  <si>
    <t>A08)-3XT1色差</t>
  </si>
  <si>
    <t>2F37R1</t>
  </si>
  <si>
    <t>A18)3RN1換原絲5.5kg</t>
  </si>
  <si>
    <t>2F37S3</t>
  </si>
  <si>
    <t>A08-A)5F38Z3換原絲/降速/重量</t>
  </si>
  <si>
    <t>2F37T2</t>
  </si>
  <si>
    <t>A17-A)5F3QM2-換原絲/降速/DR</t>
  </si>
  <si>
    <t>2F37U3</t>
  </si>
  <si>
    <t>A23)37A3換原絲/機型/DR</t>
  </si>
  <si>
    <t>2F37V2</t>
  </si>
  <si>
    <t>T03)37E2換原絲</t>
  </si>
  <si>
    <t>2F37W3</t>
  </si>
  <si>
    <t>M05)37M3- 換原絲</t>
  </si>
  <si>
    <t>2F37X2</t>
  </si>
  <si>
    <t>T03-R)3412換原絲</t>
  </si>
  <si>
    <t>2F37Y2</t>
  </si>
  <si>
    <t>T03-L)37V2換原絲</t>
  </si>
  <si>
    <t>2F37Z2</t>
  </si>
  <si>
    <t>M07)3102換原絲</t>
  </si>
  <si>
    <t>2F3801</t>
  </si>
  <si>
    <t>A20)3XN1換原絲</t>
  </si>
  <si>
    <t>2F3812</t>
  </si>
  <si>
    <t>A22)3GG2換原絲</t>
  </si>
  <si>
    <t>2F3821</t>
  </si>
  <si>
    <t>A22-A)3XV1</t>
  </si>
  <si>
    <t>2F3831</t>
  </si>
  <si>
    <t>A17)3SP1換原絲</t>
  </si>
  <si>
    <t>2F3841</t>
  </si>
  <si>
    <t>A21-B)3XQ1換原絲</t>
  </si>
  <si>
    <t>2F38A1</t>
  </si>
  <si>
    <t>A08-A)5F3XF1換原絲</t>
  </si>
  <si>
    <t>2F38B1</t>
  </si>
  <si>
    <t>M05)37J1-換原絲</t>
  </si>
  <si>
    <t>2F38C1</t>
  </si>
  <si>
    <t>A08)37P1-換原絲</t>
  </si>
  <si>
    <t>2F38D3</t>
  </si>
  <si>
    <t>J08)3XW3-換原絲</t>
  </si>
  <si>
    <t>2F38E2</t>
  </si>
  <si>
    <t>J08)5F3EJ2換原絲-物性LIKE-3RL2</t>
  </si>
  <si>
    <t>2F38F2</t>
  </si>
  <si>
    <t>J07)37X2換原絲</t>
  </si>
  <si>
    <t>2F38G2</t>
  </si>
  <si>
    <t>S2)5F3XL2換原絲</t>
  </si>
  <si>
    <t>2F38H3</t>
  </si>
  <si>
    <t>J08)5FDV43</t>
  </si>
  <si>
    <t>2F38I1</t>
  </si>
  <si>
    <t>A08-A)38A1色差</t>
  </si>
  <si>
    <t>2F38J2</t>
  </si>
  <si>
    <t>J07)</t>
  </si>
  <si>
    <t>2F38K2</t>
  </si>
  <si>
    <t>M07)37Z2換原絲</t>
  </si>
  <si>
    <t>2F38L2</t>
  </si>
  <si>
    <t>T03-R)5F3SR2-換原絲/壓力</t>
  </si>
  <si>
    <t>2F38M3</t>
  </si>
  <si>
    <t>M05)37W3- 換原絲</t>
  </si>
  <si>
    <t>2F38N1</t>
  </si>
  <si>
    <t>S1)5F3XY1換原絲</t>
  </si>
  <si>
    <t>2F38P1</t>
  </si>
  <si>
    <t>S2)37B1-換原絲/機型/DR</t>
  </si>
  <si>
    <t>2F38Q3</t>
  </si>
  <si>
    <t>S1)37C3換原絲/機型/DR</t>
  </si>
  <si>
    <t>2F38R1</t>
  </si>
  <si>
    <t>A08-A)5F3QQ1降速/換原絲</t>
  </si>
  <si>
    <t>2F38S1</t>
  </si>
  <si>
    <t>M08)5F3EK1-換原絲/DR-37Q1物性</t>
  </si>
  <si>
    <t>2F38T2</t>
  </si>
  <si>
    <t>A21-B)3812</t>
  </si>
  <si>
    <t>2F38U3</t>
  </si>
  <si>
    <t>J09)3XW3-換原絲</t>
  </si>
  <si>
    <t>2F38V1</t>
  </si>
  <si>
    <t>M07)38B1-換原絲</t>
  </si>
  <si>
    <t>2F38W3</t>
  </si>
  <si>
    <t>S2)5F3RG3換原絲/機型/DR</t>
  </si>
  <si>
    <t>2F38X1</t>
  </si>
  <si>
    <t>T03)3801換原絲/機型/DR</t>
  </si>
  <si>
    <t>2F38Y1</t>
  </si>
  <si>
    <t>M04)5F3RA1-換原絲</t>
  </si>
  <si>
    <t>2F38Z1</t>
  </si>
  <si>
    <t>A21-A)3801換原絲</t>
  </si>
  <si>
    <t>2F3902</t>
  </si>
  <si>
    <t>M07)3XG2換原絲</t>
  </si>
  <si>
    <t>2F39A2</t>
  </si>
  <si>
    <t>M05)38K2換原絲</t>
  </si>
  <si>
    <t>2F39B1</t>
  </si>
  <si>
    <t>A17-B)38Z1換原絲</t>
  </si>
  <si>
    <t>2F39C2</t>
  </si>
  <si>
    <t>A11-A)</t>
  </si>
  <si>
    <t>2F39D2</t>
  </si>
  <si>
    <t>M05)39A2換原絲</t>
  </si>
  <si>
    <t>2F39E2</t>
  </si>
  <si>
    <t>T03-L)37X2換原絲</t>
  </si>
  <si>
    <t>2F39F2</t>
  </si>
  <si>
    <t>A11-A)39C2併股</t>
  </si>
  <si>
    <t>2F39G2</t>
  </si>
  <si>
    <t>J07)5F3SI2換原絲</t>
  </si>
  <si>
    <t>2F39H1</t>
  </si>
  <si>
    <t>A23)39B1換原絲/降速</t>
  </si>
  <si>
    <t>2F39I1</t>
  </si>
  <si>
    <t>M04)38V1-換原絲</t>
  </si>
  <si>
    <t>2F39J2</t>
  </si>
  <si>
    <t>S2)38T2換原絲/降速/機型/DR</t>
  </si>
  <si>
    <t>2F39K2</t>
  </si>
  <si>
    <t>T02)37X2換原絲/DR</t>
  </si>
  <si>
    <t>2F39L2</t>
  </si>
  <si>
    <t>M07)39D2換原絲</t>
  </si>
  <si>
    <t>2F39M3</t>
  </si>
  <si>
    <t>J08)38U3-換原絲/DR</t>
  </si>
  <si>
    <t>2F39N3</t>
  </si>
  <si>
    <t>M04)38M3- 換原絲</t>
  </si>
  <si>
    <t>2F39P1</t>
  </si>
  <si>
    <t>A23-B)3011換原絲</t>
  </si>
  <si>
    <t>2F39Q3</t>
  </si>
  <si>
    <t>S1)37A3-修DR</t>
  </si>
  <si>
    <t>2F39R2</t>
  </si>
  <si>
    <t>T01-R)38L2-換原絲</t>
  </si>
  <si>
    <t>5F3RZ1</t>
  </si>
  <si>
    <t>J07)3QL1換原絲</t>
  </si>
  <si>
    <t>2F39S2</t>
  </si>
  <si>
    <t>A12-A)37T2-換原絲/升速/DR</t>
  </si>
  <si>
    <t>2F39T2</t>
  </si>
  <si>
    <t>S1)38G2換原絲/降速/DR</t>
  </si>
  <si>
    <t>2F39U3</t>
  </si>
  <si>
    <t>J08)38H3換原絲/DR</t>
  </si>
  <si>
    <t>2F39V2</t>
  </si>
  <si>
    <t>A23-B)38T2換原絲</t>
  </si>
  <si>
    <t>2F39W2</t>
  </si>
  <si>
    <t>T01-R)39E2換原絲</t>
  </si>
  <si>
    <t>2F39X1</t>
  </si>
  <si>
    <t>T02-R)38N1換原絲/DR/機型</t>
  </si>
  <si>
    <t>2F39Y3</t>
  </si>
  <si>
    <t>A09)5F3RG3換原絲</t>
  </si>
  <si>
    <t>2F39Z2</t>
  </si>
  <si>
    <t>T03-R)39K2換原絲</t>
  </si>
  <si>
    <t>2F3A02</t>
  </si>
  <si>
    <t>J07)37F2換機型/降速</t>
  </si>
  <si>
    <t>2F3A13</t>
  </si>
  <si>
    <t>M02)39Q3換原絲/機型</t>
  </si>
  <si>
    <t>2F3A22</t>
  </si>
  <si>
    <t>T04-R)94B2換原絲/降速</t>
  </si>
  <si>
    <t>2F3A32</t>
  </si>
  <si>
    <t>S2)36Y2換原絲/DR</t>
  </si>
  <si>
    <t>2F3A41</t>
  </si>
  <si>
    <t>M05)3AV1換原絲/換機型/降速</t>
  </si>
  <si>
    <t>2F3A51</t>
  </si>
  <si>
    <t>A19)3V41換原絲</t>
  </si>
  <si>
    <t>2F3A62</t>
  </si>
  <si>
    <t>A12)3Q52-換原絲</t>
  </si>
  <si>
    <t>2F3A72</t>
  </si>
  <si>
    <t>A11)3A62-色差</t>
  </si>
  <si>
    <t>2F3A81</t>
  </si>
  <si>
    <t>A17)3M71色差</t>
  </si>
  <si>
    <t>2F3A91</t>
  </si>
  <si>
    <t>A11)3H81色差</t>
  </si>
  <si>
    <t>2F3AA2</t>
  </si>
  <si>
    <t>T03-R)5F3JJ2換原絲</t>
  </si>
  <si>
    <t>2F3AB2</t>
  </si>
  <si>
    <t>T03-L)3AA2換原絲</t>
  </si>
  <si>
    <t>2F3AC2</t>
  </si>
  <si>
    <t>A19)5F3JI2色差</t>
  </si>
  <si>
    <t>2F3AD2</t>
  </si>
  <si>
    <t>A19-B)3AC2換原絲</t>
  </si>
  <si>
    <t>2F3AE1</t>
  </si>
  <si>
    <t>A21)3L01</t>
  </si>
  <si>
    <t>2F3AF1</t>
  </si>
  <si>
    <t>A19-B)3AE1換原絲</t>
  </si>
  <si>
    <t>2F3AG1</t>
  </si>
  <si>
    <t>A19)3AF1色差</t>
  </si>
  <si>
    <t>2F3AI2</t>
  </si>
  <si>
    <t>A19)3AD2換原絲/降速</t>
  </si>
  <si>
    <t>2F3AJ1</t>
  </si>
  <si>
    <t>A17)</t>
  </si>
  <si>
    <t>2F3AK1</t>
  </si>
  <si>
    <t>A19-A)3AG1換原絲/DR</t>
  </si>
  <si>
    <t>2F3AL2</t>
  </si>
  <si>
    <t>A17-B)3AI2換原絲/DR</t>
  </si>
  <si>
    <t>2F3AM2</t>
  </si>
  <si>
    <t>A17)3AL2換原絲</t>
  </si>
  <si>
    <t>2F3AN1</t>
  </si>
  <si>
    <t>A19-A)3AK1換原絲</t>
  </si>
  <si>
    <t>2F3AP1</t>
  </si>
  <si>
    <t>A17-B)3AJ1換原絲/升速</t>
  </si>
  <si>
    <t>2F3AQ1</t>
  </si>
  <si>
    <t>A19-B)3AP1換原絲</t>
  </si>
  <si>
    <t>2F3AR2</t>
  </si>
  <si>
    <t>A17)3AM2換原絲</t>
  </si>
  <si>
    <t>2F3AS1</t>
  </si>
  <si>
    <t>A19-A)3AN1換原絲</t>
  </si>
  <si>
    <t>2F3AT2</t>
  </si>
  <si>
    <t>A17-B)3AR2換原絲</t>
  </si>
  <si>
    <t>2F3AU1</t>
  </si>
  <si>
    <t>M07)3AS1換原絲/降速/機型</t>
  </si>
  <si>
    <t>2F3AV1</t>
  </si>
  <si>
    <t>A22-A)3AQ1換原絲</t>
  </si>
  <si>
    <t>2F3AW1</t>
  </si>
  <si>
    <t>M07)3AU1換原絲</t>
  </si>
  <si>
    <t>2F3AX2</t>
  </si>
  <si>
    <t>A17-B)3AT2換原絲</t>
  </si>
  <si>
    <t>2F3AY2</t>
  </si>
  <si>
    <t>M08)3AT2換原絲/機型/DR</t>
  </si>
  <si>
    <t>2F3AZ1</t>
  </si>
  <si>
    <t>M07)3AW1換原絲</t>
  </si>
  <si>
    <t>2F3B02</t>
  </si>
  <si>
    <t>T03-L)39K2換原絲</t>
  </si>
  <si>
    <t>2F3B12</t>
  </si>
  <si>
    <t>M02)5F3NX2-換原絲/DR</t>
  </si>
  <si>
    <t>2F3B23</t>
  </si>
  <si>
    <t>A22)37U3換原絲/3A13物性/DR</t>
  </si>
  <si>
    <t>2F3B32</t>
  </si>
  <si>
    <t>A07-B)3C02</t>
  </si>
  <si>
    <t>2F3B43</t>
  </si>
  <si>
    <t>A12-A)34I3換原絲/DR</t>
  </si>
  <si>
    <t>2F3B53</t>
  </si>
  <si>
    <t>A22-A)5F3X53</t>
  </si>
  <si>
    <t>2F3B62</t>
  </si>
  <si>
    <t>A11-B)3F52-換原絲/DR</t>
  </si>
  <si>
    <t>2F3B81</t>
  </si>
  <si>
    <t>A08-A)3I71換原絲/DR</t>
  </si>
  <si>
    <t>2F3B91</t>
  </si>
  <si>
    <t>A19-A)3U81色差</t>
  </si>
  <si>
    <t>2F3BA2</t>
  </si>
  <si>
    <t>M03)5F3KL2換原絲</t>
  </si>
  <si>
    <t>2F3BB2</t>
  </si>
  <si>
    <t>M03)3BA2換原絲</t>
  </si>
  <si>
    <t>2F3BC2</t>
  </si>
  <si>
    <t>M03)3BB2換原絲</t>
  </si>
  <si>
    <t>2F3BD2</t>
  </si>
  <si>
    <t>M02)3BC2換原絲</t>
  </si>
  <si>
    <t>2F3BE2</t>
  </si>
  <si>
    <t>M04)3BD2換原絲</t>
  </si>
  <si>
    <t>2F3BF2</t>
  </si>
  <si>
    <t>M08)3BG2換原絲</t>
  </si>
  <si>
    <t>2F3BG2</t>
  </si>
  <si>
    <t>M08)3BE2換原絲</t>
  </si>
  <si>
    <t>2F3BH2</t>
  </si>
  <si>
    <t>M03)3BF2換原絲</t>
  </si>
  <si>
    <t>2F3BI2</t>
  </si>
  <si>
    <t>M03)3BH2換原絲</t>
  </si>
  <si>
    <t>2F3BJ2</t>
  </si>
  <si>
    <t>2F3BK2</t>
  </si>
  <si>
    <t>M03)3BI2換原絲</t>
  </si>
  <si>
    <t>2F3BL2</t>
  </si>
  <si>
    <t>M01)3E42換原絲</t>
  </si>
  <si>
    <t>2F3BM2</t>
  </si>
  <si>
    <t>A17)9L32換原絲/機型</t>
  </si>
  <si>
    <t>2F3BN2</t>
  </si>
  <si>
    <t>M01)3BL2換原絲</t>
  </si>
  <si>
    <t>2F3BP2</t>
  </si>
  <si>
    <t>A07-A)3BN2換原絲/機型/升速</t>
  </si>
  <si>
    <t>2F3BQ2</t>
  </si>
  <si>
    <t>A18-A)3BM2換原絲/DR</t>
  </si>
  <si>
    <t>2F3BR2</t>
  </si>
  <si>
    <t>M05)3T72換原絲</t>
  </si>
  <si>
    <t>2F3BS2</t>
  </si>
  <si>
    <t>M04-A)3BR2換原絲</t>
  </si>
  <si>
    <t>2F3BT1</t>
  </si>
  <si>
    <t>A16-B)3X91換原絲</t>
  </si>
  <si>
    <t>2F3BU2</t>
  </si>
  <si>
    <t>A24-B)3I92換原絲/規格</t>
  </si>
  <si>
    <t>2F3BV1</t>
  </si>
  <si>
    <t>A22-B)3R51換原絲</t>
  </si>
  <si>
    <t>2F3BW1</t>
  </si>
  <si>
    <t>M04)3P41</t>
  </si>
  <si>
    <t>2F3BX2</t>
  </si>
  <si>
    <t>A24-A)3I92-規格不同</t>
  </si>
  <si>
    <t>2F3BY2</t>
  </si>
  <si>
    <t>A20-A)3Z72/DR</t>
  </si>
  <si>
    <t>2F3BZ2</t>
  </si>
  <si>
    <t>T03-L)35G2換原絲</t>
  </si>
  <si>
    <t>2F3C02</t>
  </si>
  <si>
    <t>A07-B)5F3SV2</t>
  </si>
  <si>
    <t>2F3C12</t>
  </si>
  <si>
    <t>T04-L)3R02換原絲</t>
  </si>
  <si>
    <t>2F3C23</t>
  </si>
  <si>
    <t>M05)3Z03- 換原絲</t>
  </si>
  <si>
    <t>2F3C32</t>
  </si>
  <si>
    <t>T04-L)99J2-換原絲</t>
  </si>
  <si>
    <t>2F3C43</t>
  </si>
  <si>
    <t>S2)3N33換原絲</t>
  </si>
  <si>
    <t>2F3C51</t>
  </si>
  <si>
    <t>A07)3AV1換原絲/DR</t>
  </si>
  <si>
    <t>2F3C62</t>
  </si>
  <si>
    <t>A07-A)3I12換原絲</t>
  </si>
  <si>
    <t>2F3C72</t>
  </si>
  <si>
    <t>A23)37L2-換原絲/JET</t>
  </si>
  <si>
    <t>2F3C81</t>
  </si>
  <si>
    <t>A11)3A51換原絲/DR</t>
  </si>
  <si>
    <t>2F3C92</t>
  </si>
  <si>
    <t>A19-B)3T82S色差</t>
  </si>
  <si>
    <t>2F3CA1</t>
  </si>
  <si>
    <t>A14)3E71換原絲/DR</t>
  </si>
  <si>
    <t>2F3CB2</t>
  </si>
  <si>
    <t>A24-B)3I92換原絲</t>
  </si>
  <si>
    <t>2F3CC2</t>
  </si>
  <si>
    <t>A24-A)3I92色差</t>
  </si>
  <si>
    <t>2F3CD1</t>
  </si>
  <si>
    <t>A19)3U91換原絲/DR</t>
  </si>
  <si>
    <t>2F3CE1</t>
  </si>
  <si>
    <t>A10)3R81換原絲/DR</t>
  </si>
  <si>
    <t>2F3CF1</t>
  </si>
  <si>
    <t>M04)3BW1色差</t>
  </si>
  <si>
    <t>2F3CG2</t>
  </si>
  <si>
    <t>S1)3X72換原絲/DR/降速</t>
  </si>
  <si>
    <t>2F3CH1</t>
  </si>
  <si>
    <t>A08-B)3B81換原絲</t>
  </si>
  <si>
    <t>2F3CI2</t>
  </si>
  <si>
    <t>M05)3T72換原絲/DR/降速</t>
  </si>
  <si>
    <t>2F3CJ1</t>
  </si>
  <si>
    <t>A16-A)3BT1換原絲/DR</t>
  </si>
  <si>
    <t>2F3CK2</t>
  </si>
  <si>
    <t>A24-B)3CC2色差</t>
  </si>
  <si>
    <t>2F3CL1</t>
  </si>
  <si>
    <t>A11-B)3A91色差</t>
  </si>
  <si>
    <t>2F3CM2</t>
  </si>
  <si>
    <t>A11-A)3K82-降速</t>
  </si>
  <si>
    <t>2F3CN2</t>
  </si>
  <si>
    <t>T04-R)3DH2-換原絲</t>
  </si>
  <si>
    <t>2F3CP2</t>
  </si>
  <si>
    <t>A11-B)3Y72-換原絲</t>
  </si>
  <si>
    <t>2F3CQ2</t>
  </si>
  <si>
    <t>A24)3CK2色差</t>
  </si>
  <si>
    <t>2F3CR1</t>
  </si>
  <si>
    <t>A13)3W91換原絲5.5kg</t>
  </si>
  <si>
    <t>2F3CS1</t>
  </si>
  <si>
    <t>M02)3W81換原絲/DR/條件3F91</t>
  </si>
  <si>
    <t>2F3CT2</t>
  </si>
  <si>
    <t>T02-R)3762換原絲/DR</t>
  </si>
  <si>
    <t>2F3CU1</t>
  </si>
  <si>
    <t>A17-B)3BV1換原絲/DR</t>
  </si>
  <si>
    <t>2F3CV2</t>
  </si>
  <si>
    <t>M05)3CI2換原絲</t>
  </si>
  <si>
    <t>2F3CW1</t>
  </si>
  <si>
    <t>A08-B)3CH1換原絲/DR</t>
  </si>
  <si>
    <t>2F3CX2</t>
  </si>
  <si>
    <t>T04-L)3J92換原絲</t>
  </si>
  <si>
    <t>2F3CY1</t>
  </si>
  <si>
    <t>A12)3DI1換原絲</t>
  </si>
  <si>
    <t>2F3CZ1</t>
  </si>
  <si>
    <t>A16-A)3CD1不同台</t>
  </si>
  <si>
    <t>2F3D02</t>
  </si>
  <si>
    <t>A21-B)5F3BD2</t>
  </si>
  <si>
    <t>2F3D12</t>
  </si>
  <si>
    <t>T04-L)5F3HB2-換原絲/DR</t>
  </si>
  <si>
    <t>2F3D21</t>
  </si>
  <si>
    <t>A07-B)DN21</t>
  </si>
  <si>
    <t>2F3D33</t>
  </si>
  <si>
    <t>A21-B)39Y3換原絲</t>
  </si>
  <si>
    <t>2F3D41</t>
  </si>
  <si>
    <t>M07)9U21換原絲</t>
  </si>
  <si>
    <t>2F3D52</t>
  </si>
  <si>
    <t>A12-B)3W42換原絲</t>
  </si>
  <si>
    <t>2F3D63</t>
  </si>
  <si>
    <t>T02-L)3I23換原絲/DR</t>
  </si>
  <si>
    <t>2F3D72</t>
  </si>
  <si>
    <t>T01-L)膠管3K62</t>
  </si>
  <si>
    <t>2F3D82</t>
  </si>
  <si>
    <t>A20)3Z72-Z+S換原絲/DR/重量</t>
  </si>
  <si>
    <t>2F3D91</t>
  </si>
  <si>
    <t>A17-A)3W51換原絲</t>
  </si>
  <si>
    <t>2F3DA2</t>
  </si>
  <si>
    <t>T02-R)5F3MG2換原絲/升速</t>
  </si>
  <si>
    <t>2F3DB2</t>
  </si>
  <si>
    <t>T04-R)5F3MG2換原絲/升速</t>
  </si>
  <si>
    <t>2F3DC2</t>
  </si>
  <si>
    <t>T04-R)3DB2吃新紗/DR修</t>
  </si>
  <si>
    <t>2F3DD2</t>
  </si>
  <si>
    <t>T04)3DC2換原絲/DR</t>
  </si>
  <si>
    <t>2F3DE2</t>
  </si>
  <si>
    <t>T04-L)3DD2換原絲</t>
  </si>
  <si>
    <t>2F3DF2</t>
  </si>
  <si>
    <t>T03-R)3DE2換原絲/DR/降速</t>
  </si>
  <si>
    <t>2F3DG2</t>
  </si>
  <si>
    <t>T03-R)3DF2-DR/降速/AP</t>
  </si>
  <si>
    <t>2F3DH2</t>
  </si>
  <si>
    <t>T02-R)3DG2-不同機台</t>
  </si>
  <si>
    <t>2F3DI1</t>
  </si>
  <si>
    <t>A15-B)3F81換原絲</t>
  </si>
  <si>
    <t>2F3DJ2</t>
  </si>
  <si>
    <t>A17-A)3CQ2/DR</t>
  </si>
  <si>
    <t>2F3DK2</t>
  </si>
  <si>
    <t>A11-A)3CM2-換原絲/溫度</t>
  </si>
  <si>
    <t>2F3DL1</t>
  </si>
  <si>
    <t>A08-A)3W71-換原絲/調溫</t>
  </si>
  <si>
    <t>2F3DM1</t>
  </si>
  <si>
    <t>A07-B)3L71換原絲/DR</t>
  </si>
  <si>
    <t>2F3DN3</t>
  </si>
  <si>
    <t>A13-B)3L13/換原絲/機型/DR/物性like3D63</t>
  </si>
  <si>
    <t>2F3DP1</t>
  </si>
  <si>
    <t>M07)9AZ1</t>
  </si>
  <si>
    <t>2F3DQ2</t>
  </si>
  <si>
    <t>M02)3M82</t>
  </si>
  <si>
    <t>2F3DR2</t>
  </si>
  <si>
    <t>M05)3L92色差</t>
  </si>
  <si>
    <t>2F3DS2</t>
  </si>
  <si>
    <t>T01-R)3S92換原絲</t>
  </si>
  <si>
    <t>2F3DT2</t>
  </si>
  <si>
    <t>A22-B)3C72-換原絲/DR</t>
  </si>
  <si>
    <t>2F3DU2</t>
  </si>
  <si>
    <t>A13)3P92-Z+S色差</t>
  </si>
  <si>
    <t>2F3DV2</t>
  </si>
  <si>
    <t>A19)34F2換原絲/降速</t>
  </si>
  <si>
    <t>2F3DW1</t>
  </si>
  <si>
    <t>A14)3CA1換原絲/降速</t>
  </si>
  <si>
    <t>2F3DY1</t>
  </si>
  <si>
    <t>A10)3CE1換原絲/降速</t>
  </si>
  <si>
    <t>2F3DZ1</t>
  </si>
  <si>
    <t>A16-A)3DW1換原絲</t>
  </si>
  <si>
    <t>2F3E01</t>
  </si>
  <si>
    <t>A17)39B1換原絲</t>
  </si>
  <si>
    <t>2F3E12</t>
  </si>
  <si>
    <t>T04-R)DM92</t>
  </si>
  <si>
    <t>2F3E23</t>
  </si>
  <si>
    <t>M05-B)3C23- 換原絲</t>
  </si>
  <si>
    <t>2F3E31</t>
  </si>
  <si>
    <t>A22-A)5F3RN1換原絲5.5kg/DR</t>
  </si>
  <si>
    <t>2F3E42</t>
  </si>
  <si>
    <t>M03)3BK2換原絲</t>
  </si>
  <si>
    <t>2F3E51</t>
  </si>
  <si>
    <t>A20)3E31換原絲5.5kg/DR</t>
  </si>
  <si>
    <t>2F3E62</t>
  </si>
  <si>
    <t>T03-R)3U52換原絲</t>
  </si>
  <si>
    <t>2F3E71</t>
  </si>
  <si>
    <t>A14-B)3P61換原絲</t>
  </si>
  <si>
    <t>2F3E82</t>
  </si>
  <si>
    <t>A07-A)3B32</t>
  </si>
  <si>
    <t>2F3E92</t>
  </si>
  <si>
    <t>A20-A)3P72-換原絲/DR</t>
  </si>
  <si>
    <t>2F3EA1</t>
  </si>
  <si>
    <t>A24)3CL1換原絲/DR</t>
  </si>
  <si>
    <t>2F3EB2</t>
  </si>
  <si>
    <t>T02-L)3Q82換原絲/降速</t>
  </si>
  <si>
    <t>2F3EC2</t>
  </si>
  <si>
    <t>T03-L)膠管3D72/DR/色差</t>
  </si>
  <si>
    <t>2F3ED1</t>
  </si>
  <si>
    <t>A16)3W81換原絲/降速/DR</t>
  </si>
  <si>
    <t>2F3EE2</t>
  </si>
  <si>
    <t>M01)3L32換原絲</t>
  </si>
  <si>
    <t>2F3EF2</t>
  </si>
  <si>
    <t>T04-R)3CX2換原絲/DR</t>
  </si>
  <si>
    <t>2F3EG2</t>
  </si>
  <si>
    <t>T02)3CT2換原絲/降速</t>
  </si>
  <si>
    <t>2F3EH1</t>
  </si>
  <si>
    <t>A16-B)3K91色差</t>
  </si>
  <si>
    <t>2F3EI2</t>
  </si>
  <si>
    <t>A08-B)-3M92換原絲</t>
  </si>
  <si>
    <t>2F3EJ2</t>
  </si>
  <si>
    <t>T03-R)3E62/換原絲/修結牢</t>
  </si>
  <si>
    <t>2F3EK3</t>
  </si>
  <si>
    <t>A11-B)3Y93換原絲/DR</t>
  </si>
  <si>
    <t>2F3EL2</t>
  </si>
  <si>
    <t>T02-L)3EG2換原絲</t>
  </si>
  <si>
    <t>2F3EM1</t>
  </si>
  <si>
    <t>A24)3EA1換原絲</t>
  </si>
  <si>
    <t>2F3EP2</t>
  </si>
  <si>
    <t>M01)3EE2換原絲/DR</t>
  </si>
  <si>
    <t>2F3EQ2</t>
  </si>
  <si>
    <t>T03-L)3EG2降速</t>
  </si>
  <si>
    <t>2F3ER1</t>
  </si>
  <si>
    <t>A15)3ED1換原絲</t>
  </si>
  <si>
    <t>2F3ES2</t>
  </si>
  <si>
    <t>A17-B)3V52/DR/改重量</t>
  </si>
  <si>
    <t>2F3ET2</t>
  </si>
  <si>
    <t>M05)3DR2換原絲</t>
  </si>
  <si>
    <t>2F3EU3</t>
  </si>
  <si>
    <t>A17-A)3I63/換JET</t>
  </si>
  <si>
    <t>2F3EV1</t>
  </si>
  <si>
    <t>A12)3DZ1換原絲</t>
  </si>
  <si>
    <t>2F3EX2</t>
  </si>
  <si>
    <t>T04-R)3EB2/DR</t>
  </si>
  <si>
    <t>2F3EY2</t>
  </si>
  <si>
    <t>2F3EZ2</t>
  </si>
  <si>
    <t>A11)3CP2-降速</t>
  </si>
  <si>
    <t>2F3F02</t>
  </si>
  <si>
    <t>M07)39L2換原絲</t>
  </si>
  <si>
    <t>2F3F11</t>
  </si>
  <si>
    <t>M02)38Y1-色差</t>
  </si>
  <si>
    <t>2F3F21</t>
  </si>
  <si>
    <t>A23-B)97Z1-換原絲</t>
  </si>
  <si>
    <t>2F3F32</t>
  </si>
  <si>
    <t>S2)9H32-Z+S換原絲</t>
  </si>
  <si>
    <t>2F3F41</t>
  </si>
  <si>
    <t>A10-A)34J1換原絲</t>
  </si>
  <si>
    <t>2F3F52</t>
  </si>
  <si>
    <t>A18-A)3M12-換原絲/DR</t>
  </si>
  <si>
    <t>2F3F62</t>
  </si>
  <si>
    <t>T01-L)35C2加T</t>
  </si>
  <si>
    <t>2F3F71</t>
  </si>
  <si>
    <t>A10-A)3Q61換原絲</t>
  </si>
  <si>
    <t>2F3F81</t>
  </si>
  <si>
    <t>A17-B)3J71換原絲/DR</t>
  </si>
  <si>
    <t>2F3F91</t>
  </si>
  <si>
    <t>M04)3W81換原絲/機型/DR</t>
  </si>
  <si>
    <t>2F3FA1</t>
  </si>
  <si>
    <t>A16-B)3EH1換原絲</t>
  </si>
  <si>
    <t>2F3FB1</t>
  </si>
  <si>
    <t>A12)3EV1換原絲</t>
  </si>
  <si>
    <t>2F3FC2</t>
  </si>
  <si>
    <t>T04-R)3CN2/DR</t>
  </si>
  <si>
    <t>2F3FD1</t>
  </si>
  <si>
    <t>M04)3CF1換原絲</t>
  </si>
  <si>
    <t>2F3FE2</t>
  </si>
  <si>
    <t>T03-R)3CT2換原絲/DR/降速</t>
  </si>
  <si>
    <t>2F3FF2</t>
  </si>
  <si>
    <t>A17-B)3ES2/DR</t>
  </si>
  <si>
    <t>2F3FG2</t>
  </si>
  <si>
    <t>T01-L)膠管3EC2/換原絲</t>
  </si>
  <si>
    <t>2F3FH1</t>
  </si>
  <si>
    <t>A22)3DW1換原絲</t>
  </si>
  <si>
    <t>2F3FI1</t>
  </si>
  <si>
    <t>S2)3CW1換原絲/升速/DR</t>
  </si>
  <si>
    <t>2F3FJ1</t>
  </si>
  <si>
    <t>M05)3DP1換原絲</t>
  </si>
  <si>
    <t>2F3FK2</t>
  </si>
  <si>
    <t>A11)3EZ2-換原絲</t>
  </si>
  <si>
    <t>2F3FL1</t>
  </si>
  <si>
    <t>A17)3FH1換原絲/降速</t>
  </si>
  <si>
    <t>2F3FM3</t>
  </si>
  <si>
    <t>M01)3P83- 換原絲/DR</t>
  </si>
  <si>
    <t>2F3FN1</t>
  </si>
  <si>
    <t>A10)3DY1換原絲/降速</t>
  </si>
  <si>
    <t>2F3FP1</t>
  </si>
  <si>
    <t>A14-A)3DW1換原絲/降速</t>
  </si>
  <si>
    <t>2F3FQ1</t>
  </si>
  <si>
    <t>A08-B)3CW1換原絲/DR/錠組型號</t>
  </si>
  <si>
    <t>2F3FR1</t>
  </si>
  <si>
    <t>A08-A)3FQ1換原絲/DR</t>
  </si>
  <si>
    <t>2F3FT2</t>
  </si>
  <si>
    <t>T04-R)3EJ2/色差</t>
  </si>
  <si>
    <t>2F3FU1</t>
  </si>
  <si>
    <t>A24-A)3EM1換原絲</t>
  </si>
  <si>
    <t>2F3FV2</t>
  </si>
  <si>
    <t>A24-A)3BQ2換原絲/降速</t>
  </si>
  <si>
    <t>2F3FW2</t>
  </si>
  <si>
    <t>T02-R)3EL2換原絲</t>
  </si>
  <si>
    <t>2F3FX1</t>
  </si>
  <si>
    <t>A16-B)3DZ1換原絲</t>
  </si>
  <si>
    <t>2F3FY1</t>
  </si>
  <si>
    <t>A22-A)DDM1</t>
  </si>
  <si>
    <t>2F3FZ1</t>
  </si>
  <si>
    <t>M03)3Y01-換原絲/改規格/無JET/升速</t>
  </si>
  <si>
    <t>2F3G12</t>
  </si>
  <si>
    <t>M04)37I2換原絲</t>
  </si>
  <si>
    <t>2F3G22</t>
  </si>
  <si>
    <t>T03)3A22換原絲</t>
  </si>
  <si>
    <t>2F3G31</t>
  </si>
  <si>
    <t>M01)3K11換原絲</t>
  </si>
  <si>
    <t>2F3G41</t>
  </si>
  <si>
    <t>A16)34M1換原絲</t>
  </si>
  <si>
    <t>2F3G53</t>
  </si>
  <si>
    <t>T03-R)3Q33-換原絲</t>
  </si>
  <si>
    <t>2F3G61</t>
  </si>
  <si>
    <t>A18)3C51換原絲/DR</t>
  </si>
  <si>
    <t>2F3G72</t>
  </si>
  <si>
    <t>A11-B)3U62-換原絲/DR/加O</t>
  </si>
  <si>
    <t>2F3G81</t>
  </si>
  <si>
    <t>A18)38N1</t>
  </si>
  <si>
    <t>2F3G92</t>
  </si>
  <si>
    <t>A18-B)3S82-Z+S色差</t>
  </si>
  <si>
    <t>2F3GA2</t>
  </si>
  <si>
    <t>T01-R)3EY2</t>
  </si>
  <si>
    <t>2F3GB1</t>
  </si>
  <si>
    <t>A22-A)3ER1換原絲/降速</t>
  </si>
  <si>
    <t>2F3GC2</t>
  </si>
  <si>
    <t>A07-A)3C62換原絲/DR</t>
  </si>
  <si>
    <t>2F3GD2</t>
  </si>
  <si>
    <t>M01)3EP2</t>
  </si>
  <si>
    <t>2F3GE2</t>
  </si>
  <si>
    <t>A21-A)39C2/DR/JET</t>
  </si>
  <si>
    <t>2F3GF1</t>
  </si>
  <si>
    <t>A22-B)9CY1</t>
  </si>
  <si>
    <t>2F3GG2</t>
  </si>
  <si>
    <t>A11)3FK2-色差</t>
  </si>
  <si>
    <t>2F3GH2</t>
  </si>
  <si>
    <t>T01-R)3GA2/降速</t>
  </si>
  <si>
    <t>2F3GI2</t>
  </si>
  <si>
    <t>T04)3EF2換原絲</t>
  </si>
  <si>
    <t>2F3GJ2</t>
  </si>
  <si>
    <t>A21)3GE2/DR</t>
  </si>
  <si>
    <t>2F3GK1</t>
  </si>
  <si>
    <t>M04)3A41換原絲</t>
  </si>
  <si>
    <t>2F3GL1</t>
  </si>
  <si>
    <t>A12-B)3FB1換原絲/DR</t>
  </si>
  <si>
    <t>2F3GM3</t>
  </si>
  <si>
    <t>M08)3FM3- 換原絲/DR</t>
  </si>
  <si>
    <t>2F3GN1</t>
  </si>
  <si>
    <t>A22)3GL1不同機台</t>
  </si>
  <si>
    <t>2F3GP1</t>
  </si>
  <si>
    <t>S1)3FI1換原絲/DR</t>
  </si>
  <si>
    <t>2F3GQ3</t>
  </si>
  <si>
    <t>M08-A)3GM3- 原絲偏淺</t>
  </si>
  <si>
    <t>2F3GR2</t>
  </si>
  <si>
    <t>A11)3GG2-換原絲</t>
  </si>
  <si>
    <t>2F3GS2</t>
  </si>
  <si>
    <t>A21)3DK2-換原絲</t>
  </si>
  <si>
    <t>2F3GT1</t>
  </si>
  <si>
    <t>M01)3FJ1色差</t>
  </si>
  <si>
    <t>2F3GU2</t>
  </si>
  <si>
    <t>T04-R)3GI2換原絲</t>
  </si>
  <si>
    <t>2F3GW1</t>
  </si>
  <si>
    <t>M03)3FZ1-換原絲/修溫度</t>
  </si>
  <si>
    <t>2F3GX1</t>
  </si>
  <si>
    <t>A20-A)3FP1換原絲/DR</t>
  </si>
  <si>
    <t>2F3GY1</t>
  </si>
  <si>
    <t>M08)3GQ3/改無JET-偏淺紗</t>
  </si>
  <si>
    <t>2F3GZ2</t>
  </si>
  <si>
    <t>A08-B)-3EI2換原絲/降速/錠片型號</t>
  </si>
  <si>
    <t>2F3H02</t>
  </si>
  <si>
    <t>A23)39V2換原絲</t>
  </si>
  <si>
    <t>2F3H11</t>
  </si>
  <si>
    <t>M05)3V01-換原絲</t>
  </si>
  <si>
    <t>2F3H21</t>
  </si>
  <si>
    <t>A07-B)3D21換原絲</t>
  </si>
  <si>
    <t>2F3H33</t>
  </si>
  <si>
    <t>S2)34P3換原絲</t>
  </si>
  <si>
    <t>2F3H43</t>
  </si>
  <si>
    <t>A22-A)3B23換原絲/DR</t>
  </si>
  <si>
    <t>2F3H61</t>
  </si>
  <si>
    <t>A14)3T41換原絲</t>
  </si>
  <si>
    <t>2F3H72</t>
  </si>
  <si>
    <t>A18)3Q72-色差/DR</t>
  </si>
  <si>
    <t>2F3H81</t>
  </si>
  <si>
    <t>A11-A)3C81換原絲</t>
  </si>
  <si>
    <t>2F3I02</t>
  </si>
  <si>
    <t>T01-R)39W2換原絲</t>
  </si>
  <si>
    <t>2F3I12</t>
  </si>
  <si>
    <t>A07-B)5F3XI2換原絲/DR</t>
  </si>
  <si>
    <t>2F3I23</t>
  </si>
  <si>
    <t>T03)39U3換原絲/機型/DR</t>
  </si>
  <si>
    <t>2F3I31</t>
  </si>
  <si>
    <t>A08-A)-37Q1換原絲</t>
  </si>
  <si>
    <t>2F3I41</t>
  </si>
  <si>
    <t>A22-B)3291換原絲</t>
  </si>
  <si>
    <t>2F3I51</t>
  </si>
  <si>
    <t>M08)9N51換原絲/DR/升速</t>
  </si>
  <si>
    <t>2F3I63</t>
  </si>
  <si>
    <t>A18-A)3Z53換原絲</t>
  </si>
  <si>
    <t>2F3I71</t>
  </si>
  <si>
    <t>A08-A)</t>
  </si>
  <si>
    <t>2F3I81</t>
  </si>
  <si>
    <t>S1)3Q41換原絲/DR/機型</t>
  </si>
  <si>
    <t>2F3I92</t>
  </si>
  <si>
    <t>A24-B)3X82換原絲</t>
  </si>
  <si>
    <t>2F3IA2</t>
  </si>
  <si>
    <t>T01)3FC2換原絲</t>
  </si>
  <si>
    <t>2F3IB2</t>
  </si>
  <si>
    <t>T04-L)3GU2換原絲</t>
  </si>
  <si>
    <t>2F3IC2</t>
  </si>
  <si>
    <t>A11)3GR2-換原絲/DR</t>
  </si>
  <si>
    <t>2F3ID2</t>
  </si>
  <si>
    <t>A15)3DT2-換原絲/DR</t>
  </si>
  <si>
    <t>2F3IE2</t>
  </si>
  <si>
    <t>T02-L)3FW2換原絲</t>
  </si>
  <si>
    <t>2F3IF2</t>
  </si>
  <si>
    <t>A08-B)-3GZ2</t>
  </si>
  <si>
    <t>2F3IG1</t>
  </si>
  <si>
    <t>S2)3I81換原絲/降速/DR</t>
  </si>
  <si>
    <t>2F3IH1</t>
  </si>
  <si>
    <t>M03)3GW1-換原絲</t>
  </si>
  <si>
    <t>2F3II1</t>
  </si>
  <si>
    <t>M01)3GK1換原絲</t>
  </si>
  <si>
    <t>2F3IJ1</t>
  </si>
  <si>
    <t>A07-B)3DM1換原絲/DR</t>
  </si>
  <si>
    <t>2F3IK2</t>
  </si>
  <si>
    <t>T02-R)3GH2/換原絲/DR</t>
  </si>
  <si>
    <t>2F3IL1</t>
  </si>
  <si>
    <t>M04)3BW1</t>
  </si>
  <si>
    <t>2F3IM1</t>
  </si>
  <si>
    <t>A22-B)3FX1</t>
  </si>
  <si>
    <t>2F3IN1</t>
  </si>
  <si>
    <t>A18)3FX1升速</t>
  </si>
  <si>
    <t>2F3IP1</t>
  </si>
  <si>
    <t>A15)3FA1換原絲</t>
  </si>
  <si>
    <t>2F3IQ2</t>
  </si>
  <si>
    <t>M06)3112換原絲/溫度</t>
  </si>
  <si>
    <t>2F3IR2</t>
  </si>
  <si>
    <t>T02-L)3IE2換原絲</t>
  </si>
  <si>
    <t>2F3IS2</t>
  </si>
  <si>
    <t>T02-R)3IK2/換原絲/溫度</t>
  </si>
  <si>
    <t>2F3IT3</t>
  </si>
  <si>
    <t>A23-A)3DN3/換原絲/DR</t>
  </si>
  <si>
    <t>2F3IU1</t>
  </si>
  <si>
    <t>A21-B)3IN1/機台別</t>
  </si>
  <si>
    <t>2F3IV2</t>
  </si>
  <si>
    <t>A24)3IC2-換原絲/DR</t>
  </si>
  <si>
    <t>2F3IW1</t>
  </si>
  <si>
    <t>A17-A)3FL1換原絲/升速</t>
  </si>
  <si>
    <t>2F3IX2</t>
  </si>
  <si>
    <t>T02)3GI2換原絲/升速</t>
  </si>
  <si>
    <t>2F3IY2</t>
  </si>
  <si>
    <t>A11-B)3FF2</t>
  </si>
  <si>
    <t>2F3IZ2</t>
  </si>
  <si>
    <t>T03-R)3EJ2/換原絲</t>
  </si>
  <si>
    <t>2F3J01</t>
  </si>
  <si>
    <t>M08)38R1-換原絲/修DR/降速</t>
  </si>
  <si>
    <t>2F3J13</t>
  </si>
  <si>
    <t>M02-A)3Z03- 換原絲</t>
  </si>
  <si>
    <t>2F3J22</t>
  </si>
  <si>
    <t>J09)38F2換原絲-</t>
  </si>
  <si>
    <t>2F3J33</t>
  </si>
  <si>
    <t>T04-L)3D33機型/DR/升速</t>
  </si>
  <si>
    <t>2F3J43</t>
  </si>
  <si>
    <t>J08)39U3換原絲/DR</t>
  </si>
  <si>
    <t>2F3J51</t>
  </si>
  <si>
    <t>A20)9U21換原絲/降速/DR</t>
  </si>
  <si>
    <t>2F3J71</t>
  </si>
  <si>
    <t>A20)3W61換原絲</t>
  </si>
  <si>
    <t>2F3J92</t>
  </si>
  <si>
    <t>T04)35G2不同機台</t>
  </si>
  <si>
    <t>2F3JA2</t>
  </si>
  <si>
    <t>S1)降速/DR</t>
  </si>
  <si>
    <t>2F3JB2</t>
  </si>
  <si>
    <t>A10)3IA2機型/DR</t>
  </si>
  <si>
    <t>2F3JC1</t>
  </si>
  <si>
    <t>A22)3CY1換原絲</t>
  </si>
  <si>
    <t>2F3JD2</t>
  </si>
  <si>
    <t>T04)3IX2機台別/DR</t>
  </si>
  <si>
    <t>2F3JE2</t>
  </si>
  <si>
    <t>A16)3JB2/溫度</t>
  </si>
  <si>
    <t>2F3JF2</t>
  </si>
  <si>
    <t>S2)3M42/DR/AP壓力/溫度</t>
  </si>
  <si>
    <t>2F3JG1</t>
  </si>
  <si>
    <t>M02)3UC1</t>
  </si>
  <si>
    <t>2F3JH2</t>
  </si>
  <si>
    <t>A17)3IR2換原絲/DR/機型</t>
  </si>
  <si>
    <t>2F3JI2</t>
  </si>
  <si>
    <t>T02)3IX2換原絲</t>
  </si>
  <si>
    <t>2F3JJ2</t>
  </si>
  <si>
    <t>A09)3IR2/DR/機型</t>
  </si>
  <si>
    <t>2F3JK1</t>
  </si>
  <si>
    <t>A08-A)3DL1-換原絲/錠片型號</t>
  </si>
  <si>
    <t>2F3JL2</t>
  </si>
  <si>
    <t>T04-L)3JD2換原絲</t>
  </si>
  <si>
    <t>2F3JM1</t>
  </si>
  <si>
    <t>M01)3UC1</t>
  </si>
  <si>
    <t>2F3JN1</t>
  </si>
  <si>
    <t>M05)3UC1</t>
  </si>
  <si>
    <t>2F3JP3</t>
  </si>
  <si>
    <t>A14)3EK3換原絲</t>
  </si>
  <si>
    <t>2F3JQ2</t>
  </si>
  <si>
    <t>A10)3JE2/DR/AP壓力上修</t>
  </si>
  <si>
    <t>2F3JR1</t>
  </si>
  <si>
    <t>A18-B)3IP1換原絲</t>
  </si>
  <si>
    <t>2F3JS1</t>
  </si>
  <si>
    <t>A14)3GL1</t>
  </si>
  <si>
    <t>2F3JT2</t>
  </si>
  <si>
    <t>A16-B)3JB2/修AP壓力</t>
  </si>
  <si>
    <t>2F3JU2</t>
  </si>
  <si>
    <t>T02)3JI2換原絲/DR</t>
  </si>
  <si>
    <t>2F3JV2</t>
  </si>
  <si>
    <t>S2)3JA2換原絲/DR/溫度</t>
  </si>
  <si>
    <t>2F3JW1</t>
  </si>
  <si>
    <t>A12-B)3GL1換原絲</t>
  </si>
  <si>
    <t>2F3JX1</t>
  </si>
  <si>
    <t>A18)3IN1升速</t>
  </si>
  <si>
    <t>2F3JY1</t>
  </si>
  <si>
    <t>A22)3IM1升速/DR-降速</t>
  </si>
  <si>
    <t>2F3JZ2</t>
  </si>
  <si>
    <t>A10)3JQ2/色差</t>
  </si>
  <si>
    <t>2F3K01</t>
  </si>
  <si>
    <t>M05)39I1-換原絲</t>
  </si>
  <si>
    <t>2F3K11</t>
  </si>
  <si>
    <t>M03)5F3SJ1換原絲</t>
  </si>
  <si>
    <t>2F3K22</t>
  </si>
  <si>
    <t>T04)3G22吃新絲</t>
  </si>
  <si>
    <t>2F3K31</t>
  </si>
  <si>
    <t>A22-A)3AS1換原絲</t>
  </si>
  <si>
    <t>2F3K41</t>
  </si>
  <si>
    <t>A12-B)3F41機台別</t>
  </si>
  <si>
    <t>2F3K52</t>
  </si>
  <si>
    <t>T03-R)3Q12換原絲/DR/JET</t>
  </si>
  <si>
    <t>2F3K62</t>
  </si>
  <si>
    <t>T01-R)膠管</t>
  </si>
  <si>
    <t>2F3K71</t>
  </si>
  <si>
    <t>A11)9K81</t>
  </si>
  <si>
    <t>2F3K82</t>
  </si>
  <si>
    <t>A18-B)3A72-換原絲/DR</t>
  </si>
  <si>
    <t>2F3K91</t>
  </si>
  <si>
    <t>A17)3D91換原絲</t>
  </si>
  <si>
    <t>2F3L01</t>
  </si>
  <si>
    <t>A23-B)39P1換原絲</t>
  </si>
  <si>
    <t>2F3L13</t>
  </si>
  <si>
    <t>S2)39U3換原絲/機型/DR</t>
  </si>
  <si>
    <t>2F3L23</t>
  </si>
  <si>
    <t>M03)3A13換原絲</t>
  </si>
  <si>
    <t>2F3L32</t>
  </si>
  <si>
    <t>M08)3AY2換原絲</t>
  </si>
  <si>
    <t>2F3L42</t>
  </si>
  <si>
    <t>A22-A)3W32換原絲/DR</t>
  </si>
  <si>
    <t>2F3L51</t>
  </si>
  <si>
    <t>A08-B)3R21-修DR</t>
  </si>
  <si>
    <t>2F3L71</t>
  </si>
  <si>
    <t>A07-B)3X21換原絲</t>
  </si>
  <si>
    <t>2F3L82</t>
  </si>
  <si>
    <t>M05)3L32</t>
  </si>
  <si>
    <t>2F3L92</t>
  </si>
  <si>
    <t>M05)3BS2換原絲</t>
  </si>
  <si>
    <t>2F3M02</t>
  </si>
  <si>
    <t>T01)3I02換原絲</t>
  </si>
  <si>
    <t>2F3M12</t>
  </si>
  <si>
    <t>A19)39S2-換原絲</t>
  </si>
  <si>
    <t>2F3M21</t>
  </si>
  <si>
    <t>A08-B)3N11-換原絲</t>
  </si>
  <si>
    <t>2F3M32</t>
  </si>
  <si>
    <t>S1)3C32-換原絲/DR/機型</t>
  </si>
  <si>
    <t>2F3M42</t>
  </si>
  <si>
    <t>A20-A)9I42換原絲</t>
  </si>
  <si>
    <t>2F3V72</t>
  </si>
  <si>
    <t>S1)9I42/DR/AP改重量</t>
  </si>
  <si>
    <t>2F3M51</t>
  </si>
  <si>
    <t>A22)3I41換原絲/DR</t>
  </si>
  <si>
    <t>2F3M61</t>
  </si>
  <si>
    <t>A11)3J51換原絲</t>
  </si>
  <si>
    <t>2F3M71</t>
  </si>
  <si>
    <t>A17-A)3S61換原絲</t>
  </si>
  <si>
    <t>2F3M82</t>
  </si>
  <si>
    <t>A16)3D52換原絲</t>
  </si>
  <si>
    <t>2F3M92</t>
  </si>
  <si>
    <t>A08)-2F9Z82換原絲</t>
  </si>
  <si>
    <t>2F3N01</t>
  </si>
  <si>
    <t>M08)5F38M1色差</t>
  </si>
  <si>
    <t>2F3N11</t>
  </si>
  <si>
    <t>A08)38C1-換原絲/錠組/AP壓力</t>
  </si>
  <si>
    <t>2F3N22</t>
  </si>
  <si>
    <t>A08-B)-5F38W2-換原絲/AP壓力</t>
  </si>
  <si>
    <t>2F3N33</t>
  </si>
  <si>
    <t>S2)3H33換原絲</t>
  </si>
  <si>
    <t>2F3N43</t>
  </si>
  <si>
    <t>J08)3Q33-換原絲/機型/降速</t>
  </si>
  <si>
    <t>2F3N52</t>
  </si>
  <si>
    <t>2F3N61</t>
  </si>
  <si>
    <t>A16)3G41換原絲/DR</t>
  </si>
  <si>
    <t>2F3N71</t>
  </si>
  <si>
    <t>A11)3G61換原絲</t>
  </si>
  <si>
    <t>2F3N81</t>
  </si>
  <si>
    <t>A17)3R71換原絲</t>
  </si>
  <si>
    <t>2F3P02</t>
  </si>
  <si>
    <t>T04-L)3M02換原絲/升速</t>
  </si>
  <si>
    <t>2F3P11</t>
  </si>
  <si>
    <t>M03)3N01換原絲</t>
  </si>
  <si>
    <t>2F3P21</t>
  </si>
  <si>
    <t>A07-B)3H21換原絲/DR</t>
  </si>
  <si>
    <t>2F3P32</t>
  </si>
  <si>
    <t>A17-B)3AX2換原絲</t>
  </si>
  <si>
    <t>2F3P41</t>
  </si>
  <si>
    <t>M05)3T31換原絲</t>
  </si>
  <si>
    <t>2F3P52</t>
  </si>
  <si>
    <t>A20-A)3P32換原絲</t>
  </si>
  <si>
    <t>2F3P61</t>
  </si>
  <si>
    <t>A14-A)3H61換原絲/DR</t>
  </si>
  <si>
    <t>2F3P72</t>
  </si>
  <si>
    <t>A12-A)3C72-換原絲規格加O</t>
  </si>
  <si>
    <t>2F3P83</t>
  </si>
  <si>
    <t>M07)3E23- 換原絲/DR/3Y53物性</t>
  </si>
  <si>
    <t>2F3P92</t>
  </si>
  <si>
    <t>A18)3D82-Z+S色差</t>
  </si>
  <si>
    <t>2F3PA2</t>
  </si>
  <si>
    <t>T04-L)3JL2換原絲</t>
  </si>
  <si>
    <t>2F3PB1</t>
  </si>
  <si>
    <t>M02)3JG1/AP壓力修/換原絲</t>
  </si>
  <si>
    <t>2F3PC2</t>
  </si>
  <si>
    <t>M01)3ET2色差/升速</t>
  </si>
  <si>
    <t>2F3PD2</t>
  </si>
  <si>
    <t>2F3PE1</t>
  </si>
  <si>
    <t>A14)3JS1換原絲</t>
  </si>
  <si>
    <t>2F3PF2</t>
  </si>
  <si>
    <t>T02-R)3PA2/DR</t>
  </si>
  <si>
    <t>2F3PG1</t>
  </si>
  <si>
    <t>S2)3JS1換原絲/DR/機型</t>
  </si>
  <si>
    <t>2F3PH2</t>
  </si>
  <si>
    <t>A08)3JZ2換原絲</t>
  </si>
  <si>
    <t>2F3PI1</t>
  </si>
  <si>
    <t>S2)3PG1換原絲/溫度</t>
  </si>
  <si>
    <t>2F3PJ1</t>
  </si>
  <si>
    <t>A13-B)3PE1換原絲</t>
  </si>
  <si>
    <t>2F3PK1</t>
  </si>
  <si>
    <t>A12)3JW1換原絲</t>
  </si>
  <si>
    <t>2F3PL2</t>
  </si>
  <si>
    <t>A16-B)3JT2換原絲</t>
  </si>
  <si>
    <t>2F3PM1</t>
  </si>
  <si>
    <t>A14)3PE1換原絲/降速</t>
  </si>
  <si>
    <t>2F3PN2</t>
  </si>
  <si>
    <t>A09-B)3JJ2換原絲</t>
  </si>
  <si>
    <t>2F3PP1</t>
  </si>
  <si>
    <t>S2)3JC1</t>
  </si>
  <si>
    <t>2F3PQ1</t>
  </si>
  <si>
    <t>S1)3PP1換原絲/DR</t>
  </si>
  <si>
    <t>2F3PR2</t>
  </si>
  <si>
    <t>T02-R)3PF2</t>
  </si>
  <si>
    <t>2F3PS2</t>
  </si>
  <si>
    <t>A24)3IV2</t>
  </si>
  <si>
    <t>2F3PT2</t>
  </si>
  <si>
    <t>T02)3CT2換原絲/降速-LIKE-3JH2</t>
  </si>
  <si>
    <t>2F3PU1</t>
  </si>
  <si>
    <t>A09)3JY1降速</t>
  </si>
  <si>
    <t>2F3PV3</t>
  </si>
  <si>
    <t>A24)3JP3換原絲</t>
  </si>
  <si>
    <t>2F3PW2</t>
  </si>
  <si>
    <t>T02-R)39R2</t>
  </si>
  <si>
    <t>2F3PX1</t>
  </si>
  <si>
    <t>A10-A)3JK1-換原絲/DR/溫度</t>
  </si>
  <si>
    <t>2F3PY1</t>
  </si>
  <si>
    <t>A10-B)3FQ1換原絲/DR/溫度</t>
  </si>
  <si>
    <t>2F3PZ3</t>
  </si>
  <si>
    <t>A24-B)3Z53換原絲</t>
  </si>
  <si>
    <t>2F3Q01</t>
  </si>
  <si>
    <t>M04)3K01-換原絲</t>
  </si>
  <si>
    <t>2F3Q12</t>
  </si>
  <si>
    <t>T04-L)3C12色差</t>
  </si>
  <si>
    <t>2F3Q21</t>
  </si>
  <si>
    <t>T04-R)99R1</t>
  </si>
  <si>
    <t>2F3Q33</t>
  </si>
  <si>
    <t>T04-L)3X03-換原絲</t>
  </si>
  <si>
    <t>2F3Q41</t>
  </si>
  <si>
    <t>A20-A)9X21換原絲/DR</t>
  </si>
  <si>
    <t>2F3Q52</t>
  </si>
  <si>
    <t>A19)99J2-換原絲/DR</t>
  </si>
  <si>
    <t>2F3Q61</t>
  </si>
  <si>
    <t>A10-B)3T51換原絲</t>
  </si>
  <si>
    <t>2F3Q72</t>
  </si>
  <si>
    <t>A18)3U62-換原絲</t>
  </si>
  <si>
    <t>2F3Q82</t>
  </si>
  <si>
    <t>T03-R)35F2換原絲/規格加C</t>
  </si>
  <si>
    <t>2F3Q92</t>
  </si>
  <si>
    <t>2F3QA1</t>
  </si>
  <si>
    <t>A18)3JR1</t>
  </si>
  <si>
    <t>2F3QB2</t>
  </si>
  <si>
    <t>A10-B)DKP2絲開發</t>
  </si>
  <si>
    <t>2F3QC2</t>
  </si>
  <si>
    <t>A17-B)3PL2</t>
  </si>
  <si>
    <t>2F3QD1</t>
  </si>
  <si>
    <t>A18)3GB1換原絲</t>
  </si>
  <si>
    <t>2F3QE1</t>
  </si>
  <si>
    <t>A16)3PJ1換原絲/降速</t>
  </si>
  <si>
    <t>2F3QF1</t>
  </si>
  <si>
    <t>A12)3JC1換原絲/DR</t>
  </si>
  <si>
    <t>2F3QH3</t>
  </si>
  <si>
    <t>A21)3IT3/換原絲/溫度/壓力AP</t>
  </si>
  <si>
    <t>2F3QI1</t>
  </si>
  <si>
    <t>M08)3JN1/DR</t>
  </si>
  <si>
    <t>2F3QJ2</t>
  </si>
  <si>
    <t>A24-B)3PS2換原絲/壓力AP</t>
  </si>
  <si>
    <t>2F3QK1</t>
  </si>
  <si>
    <t>A21-B)3QE1機台別</t>
  </si>
  <si>
    <t>2F3QL2</t>
  </si>
  <si>
    <t>A17-A)3QC2改規格</t>
  </si>
  <si>
    <t>2F3QM2</t>
  </si>
  <si>
    <t>T04-R)3PT2換原絲</t>
  </si>
  <si>
    <t>2F3QP2</t>
  </si>
  <si>
    <t>A24-A)3QJ2換LL偏淺紗</t>
  </si>
  <si>
    <t>2F3QQ3</t>
  </si>
  <si>
    <t>A24-B)3PV3</t>
  </si>
  <si>
    <t>2F3QR2</t>
  </si>
  <si>
    <t>T02-L)3IS2/換原絲/升速/DR</t>
  </si>
  <si>
    <t>2F3QS2</t>
  </si>
  <si>
    <t>A10-B)3JV2換原絲/DR../機型/降速</t>
  </si>
  <si>
    <t>2F3QT1</t>
  </si>
  <si>
    <t>A14)3PM1換原絲/升速</t>
  </si>
  <si>
    <t>2F3QU3</t>
  </si>
  <si>
    <t>A24-A)3QQ3/不同規格/換原絲</t>
  </si>
  <si>
    <t>2F3QV2</t>
  </si>
  <si>
    <t>S1)3JF2/改JET/換原絲</t>
  </si>
  <si>
    <t>2F3QW2</t>
  </si>
  <si>
    <t>T02-L)3IA2換原絲/DR</t>
  </si>
  <si>
    <t>2F3QX2</t>
  </si>
  <si>
    <t>A10-B)3QB2</t>
  </si>
  <si>
    <t>2F3QY1</t>
  </si>
  <si>
    <t>A09-B)3PU1升速/換原絲/DR</t>
  </si>
  <si>
    <t>2F3QZ2</t>
  </si>
  <si>
    <t>A24-A)3QP2換原絲</t>
  </si>
  <si>
    <t>2F3R02</t>
  </si>
  <si>
    <t>T04-R)94G2換原絲</t>
  </si>
  <si>
    <t>2F3R13</t>
  </si>
  <si>
    <t>A21-A)3U03-機型</t>
  </si>
  <si>
    <t>2F3R21</t>
  </si>
  <si>
    <t>A08-A)3Y11換原絲</t>
  </si>
  <si>
    <t>2F3R32</t>
  </si>
  <si>
    <t>A21-B)34F2換原絲</t>
  </si>
  <si>
    <t>2F3R41</t>
  </si>
  <si>
    <t>M06)3T31換原絲</t>
  </si>
  <si>
    <t>2F3R51</t>
  </si>
  <si>
    <t>A19)3Y41換原絲</t>
  </si>
  <si>
    <t>2F3R61</t>
  </si>
  <si>
    <t>A08-B)3L51-換原絲</t>
  </si>
  <si>
    <t>2F3R71</t>
  </si>
  <si>
    <t>A17-A)3X61換原絲</t>
  </si>
  <si>
    <t>2F3R81</t>
  </si>
  <si>
    <t>A10)3F71換原絲/DR</t>
  </si>
  <si>
    <t>2F3R92</t>
  </si>
  <si>
    <t>M08)3BS2換原絲/DR</t>
  </si>
  <si>
    <t>2F3S03</t>
  </si>
  <si>
    <t>M04)39N3- 換原絲</t>
  </si>
  <si>
    <t>2F3S11</t>
  </si>
  <si>
    <t>T02-R)39X1換原絲/DR/重量</t>
  </si>
  <si>
    <t>2F3S21</t>
  </si>
  <si>
    <t>A08-A)37K1換原絲</t>
  </si>
  <si>
    <t>2F3S32</t>
  </si>
  <si>
    <t>S1)3A32換原絲</t>
  </si>
  <si>
    <t>2F3S43</t>
  </si>
  <si>
    <t>A20)3D33換原絲/DR</t>
  </si>
  <si>
    <t>2F3S52</t>
  </si>
  <si>
    <t>A11-A)3B62-換原絲</t>
  </si>
  <si>
    <t>2F3S61</t>
  </si>
  <si>
    <t>A17)3G41換原絲/降溫</t>
  </si>
  <si>
    <t>2F3S72</t>
  </si>
  <si>
    <t>A18-A)3H72-換原絲/DR</t>
  </si>
  <si>
    <t>2F3S82</t>
  </si>
  <si>
    <t>A20-A)3Z72-Z+S換原絲/DR</t>
  </si>
  <si>
    <t>2F3S92</t>
  </si>
  <si>
    <t>T01)35H2換原絲/降速</t>
  </si>
  <si>
    <t>2F3SA2</t>
  </si>
  <si>
    <t>T02-R)3QR2/換原絲</t>
  </si>
  <si>
    <t>2F3SB1</t>
  </si>
  <si>
    <t>A24-B)3Q41換原絲</t>
  </si>
  <si>
    <t>2F3SC2</t>
  </si>
  <si>
    <t>T02-L)3PR2/降速/DR/換原絲</t>
  </si>
  <si>
    <t>2F3SD1</t>
  </si>
  <si>
    <t>A16)3QE1/升速/降速</t>
  </si>
  <si>
    <t>2F3SE2</t>
  </si>
  <si>
    <t>T03-R)3PR2/DR換原絲</t>
  </si>
  <si>
    <t>2F3SF2</t>
  </si>
  <si>
    <t>A17)3QC2-DR/換原絲</t>
  </si>
  <si>
    <t>2F3SG2</t>
  </si>
  <si>
    <t>T02-R)3SC2/改規格</t>
  </si>
  <si>
    <t>2F3SH2</t>
  </si>
  <si>
    <t>A10-B)3QS2</t>
  </si>
  <si>
    <t>2F3SI2</t>
  </si>
  <si>
    <t>T02-L)3SE2/DR</t>
  </si>
  <si>
    <t>2F3SJ2</t>
  </si>
  <si>
    <t>T04-L)3QM2換原絲/升速</t>
  </si>
  <si>
    <t>2F3SK1</t>
  </si>
  <si>
    <t>A22-A)3E51換原絲5.5kg/DR/降速</t>
  </si>
  <si>
    <t>2F3SL3</t>
  </si>
  <si>
    <t>A24-B)3QQ3換原絲/DR</t>
  </si>
  <si>
    <t>2F3SM1</t>
  </si>
  <si>
    <t>A21-B)3QY1</t>
  </si>
  <si>
    <t>2F3SN1</t>
  </si>
  <si>
    <t>A14)3QD1換原絲/升速/DR</t>
  </si>
  <si>
    <t>2F3SQ3</t>
  </si>
  <si>
    <t>A13-B)3QH3/換原絲</t>
  </si>
  <si>
    <t>2F3SR2</t>
  </si>
  <si>
    <t>M01)3GD2</t>
  </si>
  <si>
    <t>2F3SS3</t>
  </si>
  <si>
    <t>A24-B)3SL3換原絲</t>
  </si>
  <si>
    <t>2F3ST2</t>
  </si>
  <si>
    <t>A22)3QZ2換原絲/DR/降速</t>
  </si>
  <si>
    <t>2F3SU2</t>
  </si>
  <si>
    <t>J08)38E2換原絲/DR</t>
  </si>
  <si>
    <t>2F3SV1</t>
  </si>
  <si>
    <t>A14)3QT1換原絲/DR</t>
  </si>
  <si>
    <t>2F3SW2</t>
  </si>
  <si>
    <t>M01)3PC2規格不同</t>
  </si>
  <si>
    <t>2F3SX1</t>
  </si>
  <si>
    <t>A16-A)3SD1/升速/換原絲/DR</t>
  </si>
  <si>
    <t>2F3SY1</t>
  </si>
  <si>
    <t>A23-A)3QT1換原絲/DR</t>
  </si>
  <si>
    <t>2F3SZ2</t>
  </si>
  <si>
    <t>2F3T02</t>
  </si>
  <si>
    <t>S1)38G2換原絲</t>
  </si>
  <si>
    <t>2F3T12</t>
  </si>
  <si>
    <t>A22)5F3HL2換原絲93E2</t>
  </si>
  <si>
    <t>2F3T22</t>
  </si>
  <si>
    <t>S1)36Y2換原絲/物性LIKE-3W02</t>
  </si>
  <si>
    <t>2F3T31</t>
  </si>
  <si>
    <t>M07)3AZ1換原絲</t>
  </si>
  <si>
    <t>2F3T41</t>
  </si>
  <si>
    <t>A14)3F41</t>
  </si>
  <si>
    <t>2F3T51</t>
  </si>
  <si>
    <t>A10)3F41換原絲</t>
  </si>
  <si>
    <t>2F3T62</t>
  </si>
  <si>
    <t>A20-A)3W42換原絲/DR</t>
  </si>
  <si>
    <t>2F3T72</t>
  </si>
  <si>
    <t>M05)3192調溫度/AP</t>
  </si>
  <si>
    <t>2F3T82S</t>
  </si>
  <si>
    <t>A19-B)3U72換原絲/DR</t>
  </si>
  <si>
    <t>2F3T91</t>
  </si>
  <si>
    <t>A09)3E71不同機台</t>
  </si>
  <si>
    <t>2F3TA1</t>
  </si>
  <si>
    <t>A22)3QF1換原絲/DR</t>
  </si>
  <si>
    <t>2F3TB1</t>
  </si>
  <si>
    <t>A14-A)3SV1換原絲/DR</t>
  </si>
  <si>
    <t>2F3TC2</t>
  </si>
  <si>
    <t>T02-R)3SI2/換原絲</t>
  </si>
  <si>
    <t>2F3TD1</t>
  </si>
  <si>
    <t>A18)3SY1換原絲/DR</t>
  </si>
  <si>
    <t>2F3TE1</t>
  </si>
  <si>
    <t>A23-B)3SY1換原絲/DR</t>
  </si>
  <si>
    <t>2F3TE1S</t>
  </si>
  <si>
    <t>A23-B)發給NiKE物性不同</t>
  </si>
  <si>
    <t>2F3TG2</t>
  </si>
  <si>
    <t>M02)3PC2</t>
  </si>
  <si>
    <t>2F3TH1</t>
  </si>
  <si>
    <t>A08-B)3TA1換原絲/DR</t>
  </si>
  <si>
    <t>2F3TI1</t>
  </si>
  <si>
    <t>A16-B)3SX1/換原絲/規格</t>
  </si>
  <si>
    <t>2F3TJ1</t>
  </si>
  <si>
    <t>A22)3TA1換原絲/DR</t>
  </si>
  <si>
    <t>2F3TK2</t>
  </si>
  <si>
    <t>A19-B)3SF2-DR</t>
  </si>
  <si>
    <t>2F3TL2</t>
  </si>
  <si>
    <t>T03-R)3SA2/換原絲</t>
  </si>
  <si>
    <t>2F3TM1</t>
  </si>
  <si>
    <t>A23-B)3TE1換原絲/DR/改規格</t>
  </si>
  <si>
    <t>2F3TN1</t>
  </si>
  <si>
    <t>A09)3QY1換原絲/改規格</t>
  </si>
  <si>
    <t>2F3TP1</t>
  </si>
  <si>
    <t>A21-B)3SM1換原絲/改規格</t>
  </si>
  <si>
    <t>2F3TQ1</t>
  </si>
  <si>
    <t>A14)3TH1</t>
  </si>
  <si>
    <t>2F3TR2</t>
  </si>
  <si>
    <t>T02-R)9KK2/換原絲</t>
  </si>
  <si>
    <t>2F3TS2</t>
  </si>
  <si>
    <t>A24-B)3QZ2換原絲</t>
  </si>
  <si>
    <t>2F3TU3</t>
  </si>
  <si>
    <t>A08)3PZ3/AP壓力升</t>
  </si>
  <si>
    <t>2F3TV1</t>
  </si>
  <si>
    <t>A19-A)3QA1換原絲/DR/降速</t>
  </si>
  <si>
    <t>2F3TW1</t>
  </si>
  <si>
    <t>A18)3TD1換原絲/DR</t>
  </si>
  <si>
    <t>2F3TX1</t>
  </si>
  <si>
    <t>A23)3TM1換原絲/DR</t>
  </si>
  <si>
    <t>2F3TY2</t>
  </si>
  <si>
    <t>T02-R)3SJ2換原絲</t>
  </si>
  <si>
    <t>2F3TZ1</t>
  </si>
  <si>
    <t>A09)3TN1換原絲</t>
  </si>
  <si>
    <t>2F3U03</t>
  </si>
  <si>
    <t>M05)5F3RW3換原絲</t>
  </si>
  <si>
    <t>2F3U11</t>
  </si>
  <si>
    <t>A09-B)38I1換原絲</t>
  </si>
  <si>
    <t>2F3U32</t>
  </si>
  <si>
    <t>T04-R)3W22-換原絲</t>
  </si>
  <si>
    <t>2F3U43</t>
  </si>
  <si>
    <t>A18-A)34I3換原絲</t>
  </si>
  <si>
    <t>2F3U52</t>
  </si>
  <si>
    <t>T03-R)3K52色差</t>
  </si>
  <si>
    <t>2F3U62</t>
  </si>
  <si>
    <t>A11-B)3S52-色差</t>
  </si>
  <si>
    <t>2F3U72</t>
  </si>
  <si>
    <t>A11)3X52換原絲/DR/AP</t>
  </si>
  <si>
    <t>2F3U81</t>
  </si>
  <si>
    <t>A19-A)3N71換原絲/DR</t>
  </si>
  <si>
    <t>2F3U91</t>
  </si>
  <si>
    <t>A19)3Y81換原絲</t>
  </si>
  <si>
    <t>2F3V01</t>
  </si>
  <si>
    <t>M04)3Q01-換原絲</t>
  </si>
  <si>
    <t>2F3V11</t>
  </si>
  <si>
    <t>T02-R)3S11換原絲/DR</t>
  </si>
  <si>
    <t>2F3V32</t>
  </si>
  <si>
    <t>T04-R)3W22-換原絲/DR</t>
  </si>
  <si>
    <t>2F3V41</t>
  </si>
  <si>
    <t>A07)3X31換原絲</t>
  </si>
  <si>
    <t>2F3V52</t>
  </si>
  <si>
    <t>A07-A)3M42改重量</t>
  </si>
  <si>
    <t>2F3V62</t>
  </si>
  <si>
    <t>A08-B)DK42</t>
  </si>
  <si>
    <t>2F3V83</t>
  </si>
  <si>
    <t>M07-A)3P83- 換原絲</t>
  </si>
  <si>
    <t>2F3VA1</t>
  </si>
  <si>
    <t>A21)3TP1換原絲/升速</t>
  </si>
  <si>
    <t>2F3VB1</t>
  </si>
  <si>
    <t>M04)3TJ1換原絲/機型/DR</t>
  </si>
  <si>
    <t>2F3VC1</t>
  </si>
  <si>
    <t>A16-B)3TI1/換原絲/DR</t>
  </si>
  <si>
    <t>2F3VD2</t>
  </si>
  <si>
    <t>T06)3TC2</t>
  </si>
  <si>
    <t>2F3VE1</t>
  </si>
  <si>
    <t>M01)3VB1換原絲/DR</t>
  </si>
  <si>
    <t>2F3VF1</t>
  </si>
  <si>
    <t>A18)3TW1換原絲</t>
  </si>
  <si>
    <t>2F3VG1</t>
  </si>
  <si>
    <t>S1)3GP1換原絲/DR</t>
  </si>
  <si>
    <t>2F3VH1</t>
  </si>
  <si>
    <t>A23-B)3TX1換原絲</t>
  </si>
  <si>
    <t>2F3VI3</t>
  </si>
  <si>
    <t>A24-A)3SS3換原絲/角度</t>
  </si>
  <si>
    <t>2F3VJ1</t>
  </si>
  <si>
    <t>S1)3VG1換原絲/DR/溫度</t>
  </si>
  <si>
    <t>2F3VK1</t>
  </si>
  <si>
    <t>A10-B)3PY1換原絲/DR</t>
  </si>
  <si>
    <t>2F3VL1</t>
  </si>
  <si>
    <t>A11-B)3TZ1</t>
  </si>
  <si>
    <t>2F3VM1</t>
  </si>
  <si>
    <t>2F3VN2</t>
  </si>
  <si>
    <t>T02-R)3SA2/換原絲</t>
  </si>
  <si>
    <t>2F3VP2</t>
  </si>
  <si>
    <t>T04-R)3SZ2換原絲/機型/升速/DR</t>
  </si>
  <si>
    <t>2F3VQ2</t>
  </si>
  <si>
    <t>A24-B)3ST2換原絲</t>
  </si>
  <si>
    <t>2F3VR2</t>
  </si>
  <si>
    <t>A12-B)</t>
  </si>
  <si>
    <t>2F3VS1</t>
  </si>
  <si>
    <t>A18)3VF1換原絲</t>
  </si>
  <si>
    <t>2F3VT2</t>
  </si>
  <si>
    <t>T04-R)DLC2</t>
  </si>
  <si>
    <t>2F3VU2</t>
  </si>
  <si>
    <t>T04-R)3VP2換原絲</t>
  </si>
  <si>
    <t>2F3VV1</t>
  </si>
  <si>
    <t>A24-A)3SN1換原絲</t>
  </si>
  <si>
    <t>2F3VW2</t>
  </si>
  <si>
    <t>T06-L)3VD2換原絲</t>
  </si>
  <si>
    <t>2F3VX1</t>
  </si>
  <si>
    <t>A10-B)3VK1換原絲/DR</t>
  </si>
  <si>
    <t>2F3VY2</t>
  </si>
  <si>
    <t>M04)3LK2</t>
  </si>
  <si>
    <t>2F3VZ1</t>
  </si>
  <si>
    <t>A15)3VL1換原絲</t>
  </si>
  <si>
    <t>2F3W02</t>
  </si>
  <si>
    <t>T04-R)37F2換原絲/DR</t>
  </si>
  <si>
    <t>2F3W11</t>
  </si>
  <si>
    <t>A23-A)5F3RM1換原絲</t>
  </si>
  <si>
    <t>2F3W22</t>
  </si>
  <si>
    <t>T04-L)3D12-換原絲</t>
  </si>
  <si>
    <t>2F3W32</t>
  </si>
  <si>
    <t>A22-B)3252換原絲</t>
  </si>
  <si>
    <t>2F3W42</t>
  </si>
  <si>
    <t>A21-A)3R32換原絲/降速</t>
  </si>
  <si>
    <t>2F3W51</t>
  </si>
  <si>
    <t>A22-A)3M51換原絲</t>
  </si>
  <si>
    <t>2F3W61</t>
  </si>
  <si>
    <t>A20-B)L335</t>
  </si>
  <si>
    <t>2F3W71</t>
  </si>
  <si>
    <t>A08-A)3R61-色差</t>
  </si>
  <si>
    <t>2F3W81</t>
  </si>
  <si>
    <t>A17-B)3N81換原絲</t>
  </si>
  <si>
    <t>2F3W91</t>
  </si>
  <si>
    <t>A17-A)3E51換原絲5.5kg</t>
  </si>
  <si>
    <t>2F3WA1</t>
  </si>
  <si>
    <t>A16)3VC1/換原絲</t>
  </si>
  <si>
    <t>2F3WB3</t>
  </si>
  <si>
    <t>A22-B)3SQ3/換原絲/DR</t>
  </si>
  <si>
    <t>2F3WC2</t>
  </si>
  <si>
    <t>A24-B)3VQ2換原絲/DR</t>
  </si>
  <si>
    <t>2F3WD1</t>
  </si>
  <si>
    <t>A21-A)3VA1換原絲/降速</t>
  </si>
  <si>
    <t>2F3WE1</t>
  </si>
  <si>
    <t>A24-A)3TV1換原絲/DR</t>
  </si>
  <si>
    <t>2F3WF2</t>
  </si>
  <si>
    <t>T06-R)3VW2換原絲/DR</t>
  </si>
  <si>
    <t>2F3WG1</t>
  </si>
  <si>
    <t>A18)3VS1換原絲/DR</t>
  </si>
  <si>
    <t>2F3WH1</t>
  </si>
  <si>
    <t>A11)3VV1換原絲/DR</t>
  </si>
  <si>
    <t>2F3WI2</t>
  </si>
  <si>
    <t>T02)3SJ2換原絲</t>
  </si>
  <si>
    <t>2F3WJ3</t>
  </si>
  <si>
    <t>A24-A)3VI3</t>
  </si>
  <si>
    <t>2F3WK1</t>
  </si>
  <si>
    <t>A20)3VA1換原絲/降速/DR/改無字尾</t>
  </si>
  <si>
    <t>2F3WL2</t>
  </si>
  <si>
    <t>A11)3SW2換原絲/機型/升速</t>
  </si>
  <si>
    <t>2F3WM1</t>
  </si>
  <si>
    <t>A23-B)3VH1換原絲/DR</t>
  </si>
  <si>
    <t>2F3WN1</t>
  </si>
  <si>
    <t>A10-B)3VX1/DR</t>
  </si>
  <si>
    <t>2F3WP2</t>
  </si>
  <si>
    <t>T04-R)3WF2</t>
  </si>
  <si>
    <t>2F3WQ2</t>
  </si>
  <si>
    <t>T02)3E62換原絲/規格</t>
  </si>
  <si>
    <t>2F3WR3</t>
  </si>
  <si>
    <t>A19)3PZ3換原絲/DR</t>
  </si>
  <si>
    <t>2F3WS2</t>
  </si>
  <si>
    <t>T01-R)3SA2/換原絲/DR..等</t>
  </si>
  <si>
    <t>2F3WT2</t>
  </si>
  <si>
    <t>A10-A)3QX2換原絲</t>
  </si>
  <si>
    <t>2F3WU2</t>
  </si>
  <si>
    <t>T04)3WP2換原絲/降速/DR</t>
  </si>
  <si>
    <t>2F3WV2</t>
  </si>
  <si>
    <t>T02-R)3WU2換原絲</t>
  </si>
  <si>
    <t>2F3WW1</t>
  </si>
  <si>
    <t>A19)3WK1換原絲</t>
  </si>
  <si>
    <t>2F3WX1</t>
  </si>
  <si>
    <t>A10-B)3PY1</t>
  </si>
  <si>
    <t>2F3WY2</t>
  </si>
  <si>
    <t>A19-B)3DJ2換原絲</t>
  </si>
  <si>
    <t>2F3WZ1</t>
  </si>
  <si>
    <t>A10-A)3WN1/DR換原絲</t>
  </si>
  <si>
    <t>2F3X03</t>
  </si>
  <si>
    <t>T04-L)5F3NZ3-換原絲/DR</t>
  </si>
  <si>
    <t>2F3X11</t>
  </si>
  <si>
    <t>A24)5F3IP1-換原絲</t>
  </si>
  <si>
    <t>2F3X21</t>
  </si>
  <si>
    <t>2F3X31</t>
  </si>
  <si>
    <t>A22-A)3K31換原絲</t>
  </si>
  <si>
    <t>2F3X42</t>
  </si>
  <si>
    <t>T04-R)35A2加T</t>
  </si>
  <si>
    <t>2F3X52</t>
  </si>
  <si>
    <t>A18-B)3P32/3P52</t>
  </si>
  <si>
    <t>2F3X61</t>
  </si>
  <si>
    <t>A18-A)3L01換原絲/降速</t>
  </si>
  <si>
    <t>2F3X72</t>
  </si>
  <si>
    <t>S1)3Y22換原絲/DR/降速</t>
  </si>
  <si>
    <t>2F3X82</t>
  </si>
  <si>
    <t>A11)3U72換原絲/AP</t>
  </si>
  <si>
    <t>2F3X91</t>
  </si>
  <si>
    <t>A16-A)3Y81色差</t>
  </si>
  <si>
    <t>2F3XA2</t>
  </si>
  <si>
    <t>A19)3DV2換原絲/降速</t>
  </si>
  <si>
    <t>2F3XB2</t>
  </si>
  <si>
    <t>A10-B)3WT2/DR</t>
  </si>
  <si>
    <t>2F3XC2</t>
  </si>
  <si>
    <t>T06)3VN2/換原絲/DR</t>
  </si>
  <si>
    <t>2F3XD1</t>
  </si>
  <si>
    <t>A20-B)3WK1換原絲/DR</t>
  </si>
  <si>
    <t>2F3XE3</t>
  </si>
  <si>
    <t>A24-B)3WJ3換原絲/DR</t>
  </si>
  <si>
    <t>2F3XF2</t>
  </si>
  <si>
    <t>A14-B)3WV2</t>
  </si>
  <si>
    <t>2F3XG3</t>
  </si>
  <si>
    <t>T05-R)3WB3</t>
  </si>
  <si>
    <t>2F3XH1</t>
  </si>
  <si>
    <t>A24-A)3WH1換原絲</t>
  </si>
  <si>
    <t>2F3XI2</t>
  </si>
  <si>
    <t>T04-L)3IZ2/換原絲/DR.../降速</t>
  </si>
  <si>
    <t>2F3XJ1</t>
  </si>
  <si>
    <t>S1)DYE1-絲開發</t>
  </si>
  <si>
    <t>2F3XK3</t>
  </si>
  <si>
    <t>A24-B)3WR3換原絲/DR</t>
  </si>
  <si>
    <t>2F3XL2</t>
  </si>
  <si>
    <t>A10-A)3SH2換原絲/DR</t>
  </si>
  <si>
    <t>2F3XM1</t>
  </si>
  <si>
    <t>A10-B)3WZ1</t>
  </si>
  <si>
    <t>2F3XN2</t>
  </si>
  <si>
    <t>A09-B)DYM2</t>
  </si>
  <si>
    <t>2F3XP2</t>
  </si>
  <si>
    <t>S1)3JA2</t>
  </si>
  <si>
    <t>2F3XQ1</t>
  </si>
  <si>
    <t>A24-B)3XH1/DR</t>
  </si>
  <si>
    <t>2F3XR2</t>
  </si>
  <si>
    <t>T01)3WI2改規格</t>
  </si>
  <si>
    <t>2F3XS2</t>
  </si>
  <si>
    <t>T02-L)3WI2換原絲/改規格</t>
  </si>
  <si>
    <t>2F3XT1</t>
  </si>
  <si>
    <t>A24-A)3XD1換原絲/DR/規格</t>
  </si>
  <si>
    <t>2F3XU2</t>
  </si>
  <si>
    <t>T06-R)3XC2/換原絲/DR</t>
  </si>
  <si>
    <t>2F8010</t>
  </si>
  <si>
    <t>外購)Z8010-做假資料宏益</t>
  </si>
  <si>
    <t>2F3XV1</t>
  </si>
  <si>
    <t>A10-B)3XM1/DR換原絲</t>
  </si>
  <si>
    <t>A23-A)3WM1換原絲/DR</t>
  </si>
  <si>
    <t>2F3XX1</t>
  </si>
  <si>
    <t>A10-A)3XM1換原絲</t>
  </si>
  <si>
    <t>2F3XY2</t>
  </si>
  <si>
    <t>S1)3XP2換原絲</t>
  </si>
  <si>
    <t>2F3XZ1</t>
  </si>
  <si>
    <t>A07-A)3IJ1換原絲</t>
  </si>
  <si>
    <t>2F3Y01</t>
  </si>
  <si>
    <t>M08)38S1-換原絲</t>
  </si>
  <si>
    <t>2F3Y11</t>
  </si>
  <si>
    <t>A08-B)38R1換原絲</t>
  </si>
  <si>
    <t>2F3Y22</t>
  </si>
  <si>
    <t>S1)5F3QT2換原絲/DR/JET</t>
  </si>
  <si>
    <t>2F3Y32</t>
  </si>
  <si>
    <t>T04-R)3V32-換原絲</t>
  </si>
  <si>
    <t>2F3Y41</t>
  </si>
  <si>
    <t>A20)3W11換原絲</t>
  </si>
  <si>
    <t>2F3Y53</t>
  </si>
  <si>
    <t>A19)3S43換原絲/DR</t>
  </si>
  <si>
    <t>2F3Y61</t>
  </si>
  <si>
    <t>A08-B)3Z21換原絲/DR</t>
  </si>
  <si>
    <t>2F3Y72</t>
  </si>
  <si>
    <t>A18)3S72-換原絲/DR</t>
  </si>
  <si>
    <t>2F3Y81</t>
  </si>
  <si>
    <t>A16)3N61色差</t>
  </si>
  <si>
    <t>2F3Y93</t>
  </si>
  <si>
    <t>A22-B)3Y53換原絲/AP壓力</t>
  </si>
  <si>
    <t>2F3YA3</t>
  </si>
  <si>
    <t>A22)3XE3/DR</t>
  </si>
  <si>
    <t>2F3YB1</t>
  </si>
  <si>
    <t>S1)3XJ1</t>
  </si>
  <si>
    <t>2F3YC2</t>
  </si>
  <si>
    <t>T06-L)3PD2升速/DR/機型</t>
  </si>
  <si>
    <t>2F3YD2</t>
  </si>
  <si>
    <t>T06L)3WC2換原絲/DR降速</t>
  </si>
  <si>
    <t>2F3YE1</t>
  </si>
  <si>
    <t>M01)3XD1換原絲/DR降速/機型</t>
  </si>
  <si>
    <t>2F3YF3</t>
  </si>
  <si>
    <t>A22)3YA3/換原絲</t>
  </si>
  <si>
    <t>2F3YG3</t>
  </si>
  <si>
    <t>T04-L)3QU3/換原絲/機型降速DR</t>
  </si>
  <si>
    <t>2F3YH2</t>
  </si>
  <si>
    <t>T04-L)9JU2換原絲</t>
  </si>
  <si>
    <t>2F3YI1</t>
  </si>
  <si>
    <t>A15A)3TQ1換原絲</t>
  </si>
  <si>
    <t>2F3YJ2</t>
  </si>
  <si>
    <t>A08-B)9QR2</t>
  </si>
  <si>
    <t>2F3YK1</t>
  </si>
  <si>
    <t>A16)3XD1/DR</t>
  </si>
  <si>
    <t>2F3YL1</t>
  </si>
  <si>
    <t>M01)3YE1換原絲/DR</t>
  </si>
  <si>
    <t>2F3YM1</t>
  </si>
  <si>
    <t>2F3YN1</t>
  </si>
  <si>
    <t>A15)3YK1/DR換原絲改規格</t>
  </si>
  <si>
    <t>2F3YP2</t>
  </si>
  <si>
    <t>A22)3WC2換原絲</t>
  </si>
  <si>
    <t>2F3YQ1</t>
  </si>
  <si>
    <t>S1)9FF1</t>
  </si>
  <si>
    <t>2F3YR2</t>
  </si>
  <si>
    <t>A10-B)3XL2換原絲</t>
  </si>
  <si>
    <t>2F3YS2</t>
  </si>
  <si>
    <t>T06-R)3XI2/DR.../升速</t>
  </si>
  <si>
    <t>2F3YT3</t>
  </si>
  <si>
    <t>A07-B)3XK3</t>
  </si>
  <si>
    <t>2F3YU1</t>
  </si>
  <si>
    <t>A24)3XT1換原絲/DR</t>
  </si>
  <si>
    <t>2F3YV1</t>
  </si>
  <si>
    <t>A22-B)3YI1換原絲/DR</t>
  </si>
  <si>
    <t>2F3YW1</t>
  </si>
  <si>
    <t>A18-B)3WG1換原絲/DR</t>
  </si>
  <si>
    <t>2F3YY2</t>
  </si>
  <si>
    <t>T02-L)3YJ2換原絲/DR/機型</t>
  </si>
  <si>
    <t>2F3YZ2</t>
  </si>
  <si>
    <t>A07-B)3XA2換原絲/DR</t>
  </si>
  <si>
    <t>2F3Z03</t>
  </si>
  <si>
    <t>M04)3S03- 換原絲</t>
  </si>
  <si>
    <t>2F3Z21</t>
  </si>
  <si>
    <t>A08-B)3S21換原絲</t>
  </si>
  <si>
    <t>2F3Z32</t>
  </si>
  <si>
    <t>2F3Z41</t>
  </si>
  <si>
    <t>A12)34D1換原絲</t>
  </si>
  <si>
    <t>2F3Z53</t>
  </si>
  <si>
    <t>A18)3U43換原絲/JET</t>
  </si>
  <si>
    <t>2F3Z61</t>
  </si>
  <si>
    <t>A08-A)-3I31換原絲</t>
  </si>
  <si>
    <t>2F3Z72</t>
  </si>
  <si>
    <t>A20)3F32-Z+S換原絲/機型/重量/JET</t>
  </si>
  <si>
    <t>2F3Z82</t>
  </si>
  <si>
    <t>M05)3L82色差/AP</t>
  </si>
  <si>
    <t>2F3Z92</t>
  </si>
  <si>
    <t>S1)Z+S</t>
  </si>
  <si>
    <t>2F4001</t>
  </si>
  <si>
    <t>M01)3YE1換原絲</t>
  </si>
  <si>
    <t>2F4011</t>
  </si>
  <si>
    <t>S1)3SB1換原絲/機型/DR</t>
  </si>
  <si>
    <t>2F4021</t>
  </si>
  <si>
    <t>S1)3YQ1</t>
  </si>
  <si>
    <t>2F4031</t>
  </si>
  <si>
    <t>A08-A)3XQ1/換原絲</t>
  </si>
  <si>
    <t>2F4041</t>
  </si>
  <si>
    <t>2F4051</t>
  </si>
  <si>
    <t>A22A)</t>
  </si>
  <si>
    <t>2F4061</t>
  </si>
  <si>
    <t>M01)3VB1換原絲</t>
  </si>
  <si>
    <t>2F4071</t>
  </si>
  <si>
    <t>S1)9EU1換原絲/重量</t>
  </si>
  <si>
    <t>2F4081</t>
  </si>
  <si>
    <t>S2)9FC1換原絲/重量</t>
  </si>
  <si>
    <t>2F4091</t>
  </si>
  <si>
    <t>S1)3YB1換原絲/DR</t>
  </si>
  <si>
    <t>2F4103</t>
  </si>
  <si>
    <t>A22-A)3YF3/換原絲/DR</t>
  </si>
  <si>
    <t>2F4111</t>
  </si>
  <si>
    <t>A22-B)3YV1換原絲/DR</t>
  </si>
  <si>
    <t>2F4122</t>
  </si>
  <si>
    <t>T01-R)3XR2/換原絲/升速</t>
  </si>
  <si>
    <t>2F4131</t>
  </si>
  <si>
    <t>A20)3XD1換原絲/DR/規格</t>
  </si>
  <si>
    <t>2F4141</t>
  </si>
  <si>
    <t>A11)3XD1換原絲/DR/規格</t>
  </si>
  <si>
    <t>2F4151</t>
  </si>
  <si>
    <t>M06)3YE1換原絲/規格改</t>
  </si>
  <si>
    <t>2F4161</t>
  </si>
  <si>
    <t>A09-B)3CU1換原絲/DR</t>
  </si>
  <si>
    <t>2F4171</t>
  </si>
  <si>
    <t>A24)3YU1換原絲/規格改</t>
  </si>
  <si>
    <t>2F4182</t>
  </si>
  <si>
    <t>T02-L)3YS2/DR換原絲</t>
  </si>
  <si>
    <t>2F4192</t>
  </si>
  <si>
    <t>A22-A)3YP2換原絲/E修</t>
  </si>
  <si>
    <t>2F4202</t>
  </si>
  <si>
    <t>T06)4122/換原絲</t>
  </si>
  <si>
    <t>2F4211</t>
  </si>
  <si>
    <t>A07-A)3XZ1</t>
  </si>
  <si>
    <t>2F4223</t>
  </si>
  <si>
    <t>A08-B)3YT3換原絲</t>
  </si>
  <si>
    <t>2F4231</t>
  </si>
  <si>
    <t>A15)3YN1/DR換原絲</t>
  </si>
  <si>
    <t>2F4242</t>
  </si>
  <si>
    <t>T05-R)3YY2改規格/重量</t>
  </si>
  <si>
    <t>2F4253</t>
  </si>
  <si>
    <t>A09)4103/DR</t>
  </si>
  <si>
    <t>2F4261</t>
  </si>
  <si>
    <t>A16)3YK1/DR加2字尾換原絲</t>
  </si>
  <si>
    <t>2F4271</t>
  </si>
  <si>
    <t>A18-B)3YW1換原絲</t>
  </si>
  <si>
    <t>2F4282</t>
  </si>
  <si>
    <t>A22-A)4192換原絲</t>
  </si>
  <si>
    <t>A09-B)3YZ2換原絲/DR/溫度</t>
  </si>
  <si>
    <t>2F4311</t>
  </si>
  <si>
    <t>S1)4091換原絲/AP壓力修</t>
  </si>
  <si>
    <t>2F4321</t>
  </si>
  <si>
    <t>2F4332</t>
  </si>
  <si>
    <t>T02-R)3YH2/DR</t>
  </si>
  <si>
    <t>T01-R)4202/換原絲/DR</t>
  </si>
  <si>
    <t>2F4352</t>
  </si>
  <si>
    <t>T05-R)4242換原絲</t>
  </si>
  <si>
    <t>2F4361</t>
  </si>
  <si>
    <t>S1)4311</t>
  </si>
  <si>
    <t>2F4372</t>
  </si>
  <si>
    <t>A22-A)4282換原絲</t>
  </si>
  <si>
    <t>2F4382</t>
  </si>
  <si>
    <t>A10-A)3WT2</t>
  </si>
  <si>
    <t>2F4391</t>
  </si>
  <si>
    <t>M06)4151換原絲</t>
  </si>
  <si>
    <t>2F4401</t>
  </si>
  <si>
    <t>A24)4171換原絲</t>
  </si>
  <si>
    <t>2F4411</t>
  </si>
  <si>
    <t>A16)4261/DR/換原絲</t>
  </si>
  <si>
    <t>2F4421</t>
  </si>
  <si>
    <t>A20)4431換原絲</t>
  </si>
  <si>
    <t>A10-B)3YR2換原絲/DR/JET</t>
  </si>
  <si>
    <t>2F4442</t>
  </si>
  <si>
    <t>A22-A)4372</t>
  </si>
  <si>
    <t>2F4451</t>
  </si>
  <si>
    <t>A22-B)4031/換原絲/DR</t>
  </si>
  <si>
    <t>A18)4271換原絲/DR</t>
  </si>
  <si>
    <t>A11-B)4141換原絲</t>
  </si>
  <si>
    <t>2F4481</t>
  </si>
  <si>
    <t>S1)4081換原絲</t>
  </si>
  <si>
    <t>A22-B)4111/DR</t>
  </si>
  <si>
    <t>2F4503</t>
  </si>
  <si>
    <t>A15-B)4253/DR換原絲</t>
  </si>
  <si>
    <t>A12-B)4111換原絲</t>
  </si>
  <si>
    <t>A16)4111換原絲/DR</t>
  </si>
  <si>
    <t>A08-B)4442換原絲</t>
  </si>
  <si>
    <t>A24A)3YQ1</t>
  </si>
  <si>
    <t>24-B)4361換原絲/DR…</t>
  </si>
  <si>
    <t>S1)4071換原絲</t>
  </si>
  <si>
    <t>A24A)4541</t>
  </si>
  <si>
    <t>A24-B)4551換原絲/DR…</t>
  </si>
  <si>
    <t>S1)4481換原絲</t>
  </si>
  <si>
    <t>A20)4421換原絲</t>
  </si>
  <si>
    <t>A23-B)3XW1換原絲/DR</t>
  </si>
  <si>
    <t>A12-B)4391/機型升速/DR</t>
  </si>
  <si>
    <t>T05-R)4342/換原絲</t>
  </si>
  <si>
    <t>S1)4561換原絲</t>
  </si>
  <si>
    <t>2F4651</t>
  </si>
  <si>
    <t>A12-A)4321/換原絲升速</t>
  </si>
  <si>
    <t>S1)3IY2機型/DR…</t>
  </si>
  <si>
    <t>2F4673</t>
  </si>
  <si>
    <t>A16)4503</t>
  </si>
  <si>
    <t>T02)4352</t>
  </si>
  <si>
    <t>A10-B)4382/DR</t>
  </si>
  <si>
    <t>A12-A)4223換原絲</t>
  </si>
  <si>
    <t>T01)4342/換原絲/DR</t>
  </si>
  <si>
    <t>A08-B)4532換原絲</t>
  </si>
  <si>
    <t>A12-A)4621/降速/換原絲</t>
  </si>
  <si>
    <t>A09)4292換原絲/DR</t>
  </si>
  <si>
    <t>A20)4601換原絲</t>
  </si>
  <si>
    <t>A18-A)4461換原絲/DR/規格</t>
  </si>
  <si>
    <t>A23-A)4611換原絲</t>
  </si>
  <si>
    <t>A16-B)4451/換原絲</t>
  </si>
  <si>
    <t>T06-R)3LP1</t>
  </si>
  <si>
    <t>T05-R)4182/換原絲/DR</t>
  </si>
  <si>
    <t>A16)4521換原絲/DR</t>
  </si>
  <si>
    <t>A12-B)4731/換原絲/規格</t>
  </si>
  <si>
    <t>S1)4673換原絲/DR機型…</t>
  </si>
  <si>
    <t>A09)4742色差/DR/降速</t>
  </si>
  <si>
    <t>A10)3XX1換原絲/DR</t>
  </si>
  <si>
    <t>2F6001</t>
  </si>
  <si>
    <t>J09)6AS1換原絲</t>
  </si>
  <si>
    <t>2F6011</t>
  </si>
  <si>
    <t>J07)6AG1換原絲/升速</t>
  </si>
  <si>
    <t>2F6022</t>
  </si>
  <si>
    <t>T01-L)65K1換原絲-6AJ2-物性</t>
  </si>
  <si>
    <t>2F6031</t>
  </si>
  <si>
    <t>J07)6AL1換原絲</t>
  </si>
  <si>
    <t>2F6041</t>
  </si>
  <si>
    <t>T04-L)6031換原絲</t>
  </si>
  <si>
    <t>2F6051</t>
  </si>
  <si>
    <t>J07)6031色差</t>
  </si>
  <si>
    <t>2F6061</t>
  </si>
  <si>
    <t>T04-L)6041換原絲</t>
  </si>
  <si>
    <t>2F6071</t>
  </si>
  <si>
    <t>J09)6001換原絲</t>
  </si>
  <si>
    <t>2F6082</t>
  </si>
  <si>
    <t>J07)62E2換原絲</t>
  </si>
  <si>
    <t>2F6092</t>
  </si>
  <si>
    <t>T03)63M2換原絲</t>
  </si>
  <si>
    <t>2F60A1</t>
  </si>
  <si>
    <t>S2)5F68I1-色紗-灰</t>
  </si>
  <si>
    <t>2F60B1</t>
  </si>
  <si>
    <t>S1)-6211換原絲</t>
  </si>
  <si>
    <t>2F60C3</t>
  </si>
  <si>
    <t>A12-B)5F67T3-換原絲/機型</t>
  </si>
  <si>
    <t>2F60D1</t>
  </si>
  <si>
    <t>S2)-68U1換原絲-色紗-岩灰</t>
  </si>
  <si>
    <t>2F60E1</t>
  </si>
  <si>
    <t>M04-A)</t>
  </si>
  <si>
    <t>2F60F3</t>
  </si>
  <si>
    <t>J07)6AQ3-換原絲</t>
  </si>
  <si>
    <t>2F60G1</t>
  </si>
  <si>
    <t>S2)-68R1換原絲-色紗-深棕</t>
  </si>
  <si>
    <t>2F60H2</t>
  </si>
  <si>
    <t>J07-R)-5F68B2換原絲</t>
  </si>
  <si>
    <t>2F60I1</t>
  </si>
  <si>
    <t>M06-A)6971換原絲</t>
  </si>
  <si>
    <t>2F60J3</t>
  </si>
  <si>
    <t>S2)6943換原絲</t>
  </si>
  <si>
    <t>2F60K3</t>
  </si>
  <si>
    <t>S1)色紗-6823淺灰</t>
  </si>
  <si>
    <t>2F60L1</t>
  </si>
  <si>
    <t>S2)68P2-色紗Z+S</t>
  </si>
  <si>
    <t>2F60M1</t>
  </si>
  <si>
    <t>S2)68P2-色紗</t>
  </si>
  <si>
    <t>2F60N2</t>
  </si>
  <si>
    <t>J07)-60H2換原絲</t>
  </si>
  <si>
    <t>2F60P3</t>
  </si>
  <si>
    <t>J07)60F3-換原絲</t>
  </si>
  <si>
    <t>2F60Q3</t>
  </si>
  <si>
    <t>S2)60J3換原絲</t>
  </si>
  <si>
    <t>2F60R1</t>
  </si>
  <si>
    <t>J08-L)60L1-色紗Z+S-</t>
  </si>
  <si>
    <t>2F60S1</t>
  </si>
  <si>
    <t>J08-R)60L1-色紗Z+S-</t>
  </si>
  <si>
    <t>2F60T1</t>
  </si>
  <si>
    <t>J07)5F68E1換原絲</t>
  </si>
  <si>
    <t>2F60U1</t>
  </si>
  <si>
    <t>M06)60I1換原絲</t>
  </si>
  <si>
    <t>2F60V1</t>
  </si>
  <si>
    <t>A08-B)5F6AF1換原絲</t>
  </si>
  <si>
    <t>2F60W1</t>
  </si>
  <si>
    <t>S2)60A1-色紗-灰</t>
  </si>
  <si>
    <t>2F60X1</t>
  </si>
  <si>
    <t>S2)60M1-色紗</t>
  </si>
  <si>
    <t>2F60Y3</t>
  </si>
  <si>
    <t>A08-B)6873色紗-深棕</t>
  </si>
  <si>
    <t>2F60Z3</t>
  </si>
  <si>
    <t>S2)6913色紗-棕</t>
  </si>
  <si>
    <t>2F61A1</t>
  </si>
  <si>
    <t>M06)5F6W01-DR/降速/68N1物性</t>
  </si>
  <si>
    <t>2F61B3</t>
  </si>
  <si>
    <t>S2)色紗-米色-6833換原絲</t>
  </si>
  <si>
    <t>2F61C3</t>
  </si>
  <si>
    <t>J08)6853換原絲</t>
  </si>
  <si>
    <t>2F61D2</t>
  </si>
  <si>
    <t>A08)6802換原絲/機型/升速</t>
  </si>
  <si>
    <t>2F61E3</t>
  </si>
  <si>
    <t>S1)60Z3深咖啡色紗</t>
  </si>
  <si>
    <t>2F61F3</t>
  </si>
  <si>
    <t>J07)60P3-換原絲</t>
  </si>
  <si>
    <t>2F61G1</t>
  </si>
  <si>
    <t>J07)60T1換原絲</t>
  </si>
  <si>
    <t>2F61I1</t>
  </si>
  <si>
    <t>M06)60U1換原絲</t>
  </si>
  <si>
    <t>2F61J3</t>
  </si>
  <si>
    <t>J08)5F68M3換原絲</t>
  </si>
  <si>
    <t>2F61K2</t>
  </si>
  <si>
    <t>J07)5F6AJ2換原絲/DR</t>
  </si>
  <si>
    <t>2F61L1</t>
  </si>
  <si>
    <t>S1)-60D1換原絲-色紗-岩灰</t>
  </si>
  <si>
    <t>2F61M2</t>
  </si>
  <si>
    <t>M06)6802換原絲</t>
  </si>
  <si>
    <t>2F61N1</t>
  </si>
  <si>
    <t>J08)5F68S1-換JET/改溫度</t>
  </si>
  <si>
    <t>2F61P1</t>
  </si>
  <si>
    <t>S1)-60G1換原絲-色紗-深棕</t>
  </si>
  <si>
    <t>2F61Q3</t>
  </si>
  <si>
    <t>J07)61F3-換原絲</t>
  </si>
  <si>
    <t>2F61R1</t>
  </si>
  <si>
    <t>T01-R)6061換原絲</t>
  </si>
  <si>
    <t>2F61S2</t>
  </si>
  <si>
    <t>M06)-5F6AR2-換原絲-機型/降速</t>
  </si>
  <si>
    <t>2F61T1</t>
  </si>
  <si>
    <t>M06)61I1換原絲</t>
  </si>
  <si>
    <t>2F61U3</t>
  </si>
  <si>
    <t>S2)60Z3色紗-棕-色差</t>
  </si>
  <si>
    <t>2F61V3</t>
  </si>
  <si>
    <t>S2)色紗-60K3換原絲/DR</t>
  </si>
  <si>
    <t>2F61W1</t>
  </si>
  <si>
    <t>J07)61G1換原絲/DR</t>
  </si>
  <si>
    <t>2F61X3</t>
  </si>
  <si>
    <t>S2)色紗-61V3換原絲/DR</t>
  </si>
  <si>
    <t>2F61Y2</t>
  </si>
  <si>
    <t>2F63V2</t>
  </si>
  <si>
    <t>S1)61Y2換原絲/換JET</t>
  </si>
  <si>
    <t>2F61Z1</t>
  </si>
  <si>
    <t>J07)61N1-換原絲/改DR</t>
  </si>
  <si>
    <t>2F6201</t>
  </si>
  <si>
    <t>S2)-66B1換原絲</t>
  </si>
  <si>
    <t>2F6211</t>
  </si>
  <si>
    <t>S1)-6201色差</t>
  </si>
  <si>
    <t>2F6221</t>
  </si>
  <si>
    <t>2F62A3</t>
  </si>
  <si>
    <t>2F62B2</t>
  </si>
  <si>
    <t>J07)92W2-換原絲/改DR</t>
  </si>
  <si>
    <t>2F62C3</t>
  </si>
  <si>
    <t>S1)61E3深咖啡色紗-色差</t>
  </si>
  <si>
    <t>2F62D3</t>
  </si>
  <si>
    <t>S1)色紗-61B3色差</t>
  </si>
  <si>
    <t>2F62E2</t>
  </si>
  <si>
    <t>J08)61K2換原絲</t>
  </si>
  <si>
    <t>2F62F3</t>
  </si>
  <si>
    <t>J07)61Q3-換原絲</t>
  </si>
  <si>
    <t>2F62H1</t>
  </si>
  <si>
    <t>T04-R)5F64I1換原絲</t>
  </si>
  <si>
    <t>2F62I3</t>
  </si>
  <si>
    <t>S1-11.12)6883換原絲-色紗</t>
  </si>
  <si>
    <t>2F62K2</t>
  </si>
  <si>
    <t>M06)-5F67B2-Z+Z換原絲/機型</t>
  </si>
  <si>
    <t>2F62L1</t>
  </si>
  <si>
    <t>S1)6991-灰色紗-</t>
  </si>
  <si>
    <t>2F62M2</t>
  </si>
  <si>
    <t>T03-R)61Y2-換原絲/升速/機型</t>
  </si>
  <si>
    <t>2F62N3</t>
  </si>
  <si>
    <t>S1)6863色紗-米黃色/換原絲</t>
  </si>
  <si>
    <t>2F62P2</t>
  </si>
  <si>
    <t>T03-R)62B2</t>
  </si>
  <si>
    <t>2F62Q1</t>
  </si>
  <si>
    <t>S2)60W1-色紗-灰</t>
  </si>
  <si>
    <t>2F62R3</t>
  </si>
  <si>
    <t>S1)61U3色紗-棕-色差/DR</t>
  </si>
  <si>
    <t>2F62S3</t>
  </si>
  <si>
    <t>S1)色紗-61V3色差/DR</t>
  </si>
  <si>
    <t>2F62T3</t>
  </si>
  <si>
    <t>T03-R)6953-換原絲</t>
  </si>
  <si>
    <t>2F62U1</t>
  </si>
  <si>
    <t>M06)6921換原絲</t>
  </si>
  <si>
    <t>2F62V3</t>
  </si>
  <si>
    <t>S1-12)62N3色紗-米黃色/色差</t>
  </si>
  <si>
    <t>2F62W3</t>
  </si>
  <si>
    <t>S2)60Q3換原絲</t>
  </si>
  <si>
    <t>2F62X3</t>
  </si>
  <si>
    <t>S1)色紗-62D3色差</t>
  </si>
  <si>
    <t>2F62Y1</t>
  </si>
  <si>
    <t>S2)62L1-灰色紗/換原絲</t>
  </si>
  <si>
    <t>2F62Z3</t>
  </si>
  <si>
    <t>S1)深咖啡色紗</t>
  </si>
  <si>
    <t>2F63A1</t>
  </si>
  <si>
    <t>T04-R)6981-換JET/錠片數</t>
  </si>
  <si>
    <t>2F63B1</t>
  </si>
  <si>
    <t>S2)62Q1-色紗-灰</t>
  </si>
  <si>
    <t>2F63C1</t>
  </si>
  <si>
    <t>M06)61T1換原絲/DR</t>
  </si>
  <si>
    <t>2F63D3</t>
  </si>
  <si>
    <t>S1)62A3色紗色差</t>
  </si>
  <si>
    <t>2F63E2</t>
  </si>
  <si>
    <t>A19-B)</t>
  </si>
  <si>
    <t>2F63F3</t>
  </si>
  <si>
    <t>2F63G3</t>
  </si>
  <si>
    <t>S1)色紗-61X3/改紗重</t>
  </si>
  <si>
    <t>2F63H1</t>
  </si>
  <si>
    <t>S2)-60B1換原絲/DR/AP壓力</t>
  </si>
  <si>
    <t>2F63I2</t>
  </si>
  <si>
    <t>T03-L)-6842換原絲降速</t>
  </si>
  <si>
    <t>2F63J1</t>
  </si>
  <si>
    <t>T02-L)63A1-換JET/DR/換原絲</t>
  </si>
  <si>
    <t>2F63K1</t>
  </si>
  <si>
    <t>M06)61A1-換原絲</t>
  </si>
  <si>
    <t>2F63L1</t>
  </si>
  <si>
    <t>S1)62Y1色紗-換原絲</t>
  </si>
  <si>
    <t>2F63M2</t>
  </si>
  <si>
    <t>T01)6022/62E2換原絲</t>
  </si>
  <si>
    <t>2F63N1</t>
  </si>
  <si>
    <t>T02-L)63A1-換JET</t>
  </si>
  <si>
    <t>2F63P3</t>
  </si>
  <si>
    <t>T03)5F6L33-換原絲/機型/升速</t>
  </si>
  <si>
    <t>2F63Q1</t>
  </si>
  <si>
    <t>M06)62U1換原絲</t>
  </si>
  <si>
    <t>2F63R3</t>
  </si>
  <si>
    <t>T04-R)5F6L33-換原絲/機型/升速</t>
  </si>
  <si>
    <t>2F63S2</t>
  </si>
  <si>
    <t>M08)62K2-Z+Z換原絲</t>
  </si>
  <si>
    <t>2F63T3</t>
  </si>
  <si>
    <t>S1)62Z3深咖啡色紗</t>
  </si>
  <si>
    <t>2F63U1</t>
  </si>
  <si>
    <t>S2)-61L1換原絲-色紗-岩灰</t>
  </si>
  <si>
    <t>2F63W1</t>
  </si>
  <si>
    <t>J09)5F68S1-改DR</t>
  </si>
  <si>
    <t>2F63X3</t>
  </si>
  <si>
    <t>J09)5F68G3換原絲/DR</t>
  </si>
  <si>
    <t>2F63Y1</t>
  </si>
  <si>
    <t>S2)-61P1換原絲-色紗-深棕</t>
  </si>
  <si>
    <t>2F63Z1</t>
  </si>
  <si>
    <t>S2)63B1-色紗-灰</t>
  </si>
  <si>
    <t>2F6411</t>
  </si>
  <si>
    <t>J08)6071換原絲</t>
  </si>
  <si>
    <t>2F6421</t>
  </si>
  <si>
    <t>J08-L)6411換原絲</t>
  </si>
  <si>
    <t>2F6431</t>
  </si>
  <si>
    <t>J07)6421換原絲</t>
  </si>
  <si>
    <t>2F6441</t>
  </si>
  <si>
    <t>2F6452</t>
  </si>
  <si>
    <t>J07)6082換線別</t>
  </si>
  <si>
    <t>2F6461</t>
  </si>
  <si>
    <t>J08)6441色差</t>
  </si>
  <si>
    <t>2F6471</t>
  </si>
  <si>
    <t>J07)6431色差</t>
  </si>
  <si>
    <t>2F6481</t>
  </si>
  <si>
    <t>J07-R)6471換原絲</t>
  </si>
  <si>
    <t>2F6491</t>
  </si>
  <si>
    <t>J08-L)6461換原絲</t>
  </si>
  <si>
    <t>2F64A1</t>
  </si>
  <si>
    <t>S1)-63U1換原絲-色紗-岩灰</t>
  </si>
  <si>
    <t>2F64B2</t>
  </si>
  <si>
    <t>M06)-61S2-換原絲</t>
  </si>
  <si>
    <t>2F64C1</t>
  </si>
  <si>
    <t>S1)-5F6AB1換原絲/DR-色紗-棕</t>
  </si>
  <si>
    <t>2F64D1</t>
  </si>
  <si>
    <t>S2)63Z1-色紗-灰</t>
  </si>
  <si>
    <t>2F64E1</t>
  </si>
  <si>
    <t>M06)63Q1換原絲</t>
  </si>
  <si>
    <t>2F64F3</t>
  </si>
  <si>
    <t>J08)62F3-換原絲</t>
  </si>
  <si>
    <t>2F64G1</t>
  </si>
  <si>
    <t>S1)64D1-色紗-灰</t>
  </si>
  <si>
    <t>2F64H1</t>
  </si>
  <si>
    <t>M06-A)63K1-換原絲</t>
  </si>
  <si>
    <t>2F64I2</t>
  </si>
  <si>
    <t>J08)5F68Z2-換原絲/DR</t>
  </si>
  <si>
    <t>2F64J2</t>
  </si>
  <si>
    <t>J09)62B2-換原絲</t>
  </si>
  <si>
    <t>2F64K3</t>
  </si>
  <si>
    <t>J09-L)64L3換原絲/DR</t>
  </si>
  <si>
    <t>2F64L3</t>
  </si>
  <si>
    <t>J08)</t>
  </si>
  <si>
    <t>2F64L6</t>
  </si>
  <si>
    <t>S1)64L3</t>
  </si>
  <si>
    <t>2F64M1</t>
  </si>
  <si>
    <t>S2)64D1-色紗-灰</t>
  </si>
  <si>
    <t>2F64N3</t>
  </si>
  <si>
    <t>J08-L)64L3換原絲</t>
  </si>
  <si>
    <t>2F64N9</t>
  </si>
  <si>
    <t>S1)64N3換原絲</t>
  </si>
  <si>
    <t>2F64P3</t>
  </si>
  <si>
    <t>S1)色紗</t>
  </si>
  <si>
    <t>2F64Q3</t>
  </si>
  <si>
    <t>J09-R)64L3換原絲/DR</t>
  </si>
  <si>
    <t>2F64R1</t>
  </si>
  <si>
    <t>S1)-63Y1換原絲-色紗-深棕</t>
  </si>
  <si>
    <t>2F64S3</t>
  </si>
  <si>
    <t>J08-R)64N3換原絲</t>
  </si>
  <si>
    <t>2F64S6</t>
  </si>
  <si>
    <t>S1)64S3換原絲</t>
  </si>
  <si>
    <t>2F64T1</t>
  </si>
  <si>
    <t>J08)60R1-色紗Z+S-</t>
  </si>
  <si>
    <t>2F64U1</t>
  </si>
  <si>
    <t>M06)63C1換原絲</t>
  </si>
  <si>
    <t>2F64V1</t>
  </si>
  <si>
    <t>J08-L)60R1-色紗Z+S-</t>
  </si>
  <si>
    <t>2F64W1</t>
  </si>
  <si>
    <t>T03-L)63N1-換原絲/DR</t>
  </si>
  <si>
    <t>2F64Y3</t>
  </si>
  <si>
    <t>S1)64P3色紗</t>
  </si>
  <si>
    <t>2F64Z1</t>
  </si>
  <si>
    <t>J08)64T1-色紗-換原絲</t>
  </si>
  <si>
    <t>2F6501</t>
  </si>
  <si>
    <t>J08)6491換原絲</t>
  </si>
  <si>
    <t>2F6511</t>
  </si>
  <si>
    <t>J08)6531換原絲</t>
  </si>
  <si>
    <t>2F6522</t>
  </si>
  <si>
    <t>J07)6452換原絲</t>
  </si>
  <si>
    <t>2F6531</t>
  </si>
  <si>
    <t>J08)6501換原絲</t>
  </si>
  <si>
    <t>2F6542</t>
  </si>
  <si>
    <t>J07)6522換原絲</t>
  </si>
  <si>
    <t>2F6552</t>
  </si>
  <si>
    <t>J07-R)6542換原絲/DR</t>
  </si>
  <si>
    <t>2F6561</t>
  </si>
  <si>
    <t>J08)6481換原絲</t>
  </si>
  <si>
    <t>2F6571</t>
  </si>
  <si>
    <t>J08)6561換原絲/DR</t>
  </si>
  <si>
    <t>2F6581</t>
  </si>
  <si>
    <t>J08)6571換原絲</t>
  </si>
  <si>
    <t>2F6591</t>
  </si>
  <si>
    <t>T03-L)61R1換原絲</t>
  </si>
  <si>
    <t>2F65A1</t>
  </si>
  <si>
    <t>S2)-64C1換原絲/色紗-棕</t>
  </si>
  <si>
    <t>2F65B1</t>
  </si>
  <si>
    <t>S2)-64A1換原絲-色紗-岩灰</t>
  </si>
  <si>
    <t>2F65C1</t>
  </si>
  <si>
    <t>M06)64H1-換原絲</t>
  </si>
  <si>
    <t>2F65D2</t>
  </si>
  <si>
    <t>T01-L)62M2-換原絲</t>
  </si>
  <si>
    <t>2F65E3</t>
  </si>
  <si>
    <t>J09)61C3換原絲</t>
  </si>
  <si>
    <t>2F65F2</t>
  </si>
  <si>
    <t>A08-B)-5F68W2-換原絲</t>
  </si>
  <si>
    <t>2F65G2</t>
  </si>
  <si>
    <t>J09)-60N2換原絲/升速</t>
  </si>
  <si>
    <t>2F65H2</t>
  </si>
  <si>
    <t>A08-B)-5F67B2-Z+Z換原絲</t>
  </si>
  <si>
    <t>2F65I1</t>
  </si>
  <si>
    <t>S1)-65A1換原絲/色紗-棕</t>
  </si>
  <si>
    <t>2F65J3</t>
  </si>
  <si>
    <t>T01-R)63P3-換原絲/降速</t>
  </si>
  <si>
    <t>2F65K3</t>
  </si>
  <si>
    <t>2F65L1</t>
  </si>
  <si>
    <t>M06)64E1色差</t>
  </si>
  <si>
    <t>2F65M1</t>
  </si>
  <si>
    <t>T04-L)6931換原絲/DR</t>
  </si>
  <si>
    <t>2F65N2</t>
  </si>
  <si>
    <t>A08-A)-65H2-Z+Z換原絲</t>
  </si>
  <si>
    <t>2F65P2</t>
  </si>
  <si>
    <t>A08-B)-65F2-換原絲</t>
  </si>
  <si>
    <t>2F65Q3</t>
  </si>
  <si>
    <t>T04-L)62T3-換原絲</t>
  </si>
  <si>
    <t>2F65R1</t>
  </si>
  <si>
    <t>A08-B)5F68N1換原絲</t>
  </si>
  <si>
    <t>2F65S2</t>
  </si>
  <si>
    <t>T04-R)65D2-換原絲</t>
  </si>
  <si>
    <t>2F65T3</t>
  </si>
  <si>
    <t>J08)5F6L33換原絲</t>
  </si>
  <si>
    <t>2F65U1</t>
  </si>
  <si>
    <t>A08-B)65R1換原絲</t>
  </si>
  <si>
    <t>2F65V2</t>
  </si>
  <si>
    <t>J08)64J2-換原絲改O</t>
  </si>
  <si>
    <t>2F65W1</t>
  </si>
  <si>
    <t>2F65X1</t>
  </si>
  <si>
    <t>A08-B)60V1換原絲/DR</t>
  </si>
  <si>
    <t>2F65Y2</t>
  </si>
  <si>
    <t>J08)65V2-換原絲</t>
  </si>
  <si>
    <t>2F65Z2</t>
  </si>
  <si>
    <t>J08)65Y2-換原絲</t>
  </si>
  <si>
    <t>2F66A3</t>
  </si>
  <si>
    <t>T04-L)6813換原絲/DR/降速</t>
  </si>
  <si>
    <t>2F66B3</t>
  </si>
  <si>
    <t>J08)65E3換原絲</t>
  </si>
  <si>
    <t>2F66C1</t>
  </si>
  <si>
    <t>T04-L)62H1換原絲</t>
  </si>
  <si>
    <t>2F66D1</t>
  </si>
  <si>
    <t>T04-R)62H1換原絲</t>
  </si>
  <si>
    <t>2F66E1</t>
  </si>
  <si>
    <t>S1)-64A1換原絲-色紗-岩灰</t>
  </si>
  <si>
    <t>2F66F1</t>
  </si>
  <si>
    <t>A20-B)9W21換原絲/DR</t>
  </si>
  <si>
    <t>2F66G3</t>
  </si>
  <si>
    <t>S2)65K3</t>
  </si>
  <si>
    <t>2F66H2</t>
  </si>
  <si>
    <t>J09)64I2-換原絲</t>
  </si>
  <si>
    <t>2F66I1</t>
  </si>
  <si>
    <t>J09-R)63W1-換原絲</t>
  </si>
  <si>
    <t>2F66J1</t>
  </si>
  <si>
    <t>2F66K1</t>
  </si>
  <si>
    <t>J09)63W1-換原絲</t>
  </si>
  <si>
    <t>2F66L3</t>
  </si>
  <si>
    <t>S2)66G3換原絲/DR</t>
  </si>
  <si>
    <t>2F66M1</t>
  </si>
  <si>
    <t>S2)-66E1換原絲/DR-色紗-岩灰</t>
  </si>
  <si>
    <t>2F66N2</t>
  </si>
  <si>
    <t>J08)-65G2換原絲/DR</t>
  </si>
  <si>
    <t>2F66P1</t>
  </si>
  <si>
    <t>2F66Q3</t>
  </si>
  <si>
    <t>2F66R1</t>
  </si>
  <si>
    <t>S2)-65I1換原絲/色紗-棕</t>
  </si>
  <si>
    <t>2F66S3</t>
  </si>
  <si>
    <t>S1)62I3換原絲/重量-色紗</t>
  </si>
  <si>
    <t>2F66T1</t>
  </si>
  <si>
    <t>S2)-66M1換原絲-色紗-岩灰</t>
  </si>
  <si>
    <t>2F66U2</t>
  </si>
  <si>
    <t>T04-L)5F6AH2換原絲/機型/DR</t>
  </si>
  <si>
    <t>2F66V1</t>
  </si>
  <si>
    <t>T04-R)6B31機型/升速</t>
  </si>
  <si>
    <t>2F66W1</t>
  </si>
  <si>
    <t>J09)66K1-色差</t>
  </si>
  <si>
    <t>2F66X2</t>
  </si>
  <si>
    <t>S2)61Y2換原絲</t>
  </si>
  <si>
    <t>2F66Y1</t>
  </si>
  <si>
    <t>S1)-65W1換原絲-色紗-深棕</t>
  </si>
  <si>
    <t>2F66Z3</t>
  </si>
  <si>
    <t>S1)色紗-66F3換原絲/改重量</t>
  </si>
  <si>
    <t>2F67A3</t>
  </si>
  <si>
    <t>J09)64F3-換原絲/DR</t>
  </si>
  <si>
    <t>2F67B2</t>
  </si>
  <si>
    <t>J09)65Z2-換原絲</t>
  </si>
  <si>
    <t>2F67C1</t>
  </si>
  <si>
    <t>J08)6B11換原絲</t>
  </si>
  <si>
    <t>2F67D2</t>
  </si>
  <si>
    <t>J09)65Y2-換原絲/DR</t>
  </si>
  <si>
    <t>2F67E3</t>
  </si>
  <si>
    <t>S1)63D3色紗色差/DR</t>
  </si>
  <si>
    <t>2F67F2</t>
  </si>
  <si>
    <t>J07)6B22換原絲</t>
  </si>
  <si>
    <t>2F67G2</t>
  </si>
  <si>
    <t>J09-L)67D2-換原絲</t>
  </si>
  <si>
    <t>2F67H1</t>
  </si>
  <si>
    <t>S2)-66R1色差</t>
  </si>
  <si>
    <t>2F67I1</t>
  </si>
  <si>
    <t>2F67J2</t>
  </si>
  <si>
    <t>S1)-2F6082換原絲/DR/機型/重量</t>
  </si>
  <si>
    <t>2F67K2</t>
  </si>
  <si>
    <t>T03-L)65S2-換原絲/降速/JET/加錠片</t>
  </si>
  <si>
    <t>2F67L3</t>
  </si>
  <si>
    <t>J09)65T3色差</t>
  </si>
  <si>
    <t>2F67M3</t>
  </si>
  <si>
    <t>T04-R)66B3機型/升速/DR</t>
  </si>
  <si>
    <t>2F67N2</t>
  </si>
  <si>
    <t>A08)65N2-Z+Z換原絲</t>
  </si>
  <si>
    <t>2F67P2</t>
  </si>
  <si>
    <t>T04-L)6092換原絲/降速/DR</t>
  </si>
  <si>
    <t>2F67Q2</t>
  </si>
  <si>
    <t>T04-R)-63I2換原絲/降速/DR</t>
  </si>
  <si>
    <t>2F67R1</t>
  </si>
  <si>
    <t>T04-R)65M1換原絲/降速/DR</t>
  </si>
  <si>
    <t>2F67S2</t>
  </si>
  <si>
    <t>J09)67B2-換原絲/DR</t>
  </si>
  <si>
    <t>2F67T3</t>
  </si>
  <si>
    <t>S1)66L3色差改規格</t>
  </si>
  <si>
    <t>2F67U2</t>
  </si>
  <si>
    <t>A08)65F2-換原絲</t>
  </si>
  <si>
    <t>2F67V3</t>
  </si>
  <si>
    <t>J09)66B3換原絲/DR</t>
  </si>
  <si>
    <t>2F67W1</t>
  </si>
  <si>
    <t>A08-B)65X1換原絲</t>
  </si>
  <si>
    <t>2F67X1</t>
  </si>
  <si>
    <t>S2)66J1-色紗-灰/色差</t>
  </si>
  <si>
    <t>2F67Y3</t>
  </si>
  <si>
    <t>S1)色紗-62S3新紗/DR</t>
  </si>
  <si>
    <t>2F67Z1</t>
  </si>
  <si>
    <t>S1)66J1-色紗-灰</t>
  </si>
  <si>
    <t>2F6802</t>
  </si>
  <si>
    <t>M06)63H2換原絲/DR</t>
  </si>
  <si>
    <t>2F6813</t>
  </si>
  <si>
    <t>T04-L)5F67M3換原絲/機型</t>
  </si>
  <si>
    <t>2F6823</t>
  </si>
  <si>
    <t>S1)色紗-淺灰</t>
  </si>
  <si>
    <t>2F6833</t>
  </si>
  <si>
    <t>S1)色紗-米色</t>
  </si>
  <si>
    <t>2F6842</t>
  </si>
  <si>
    <t>T04-L)-64C2換原絲6AN2-物性</t>
  </si>
  <si>
    <t>2F6853</t>
  </si>
  <si>
    <t>J08)64U3換原絲</t>
  </si>
  <si>
    <t>2F6863</t>
  </si>
  <si>
    <t>S1)色紗-米黃色</t>
  </si>
  <si>
    <t>2F6873</t>
  </si>
  <si>
    <t>A08-B)色紗-深棕</t>
  </si>
  <si>
    <t>2F6883</t>
  </si>
  <si>
    <t>S2)6823換原絲/DR-色紗-黑</t>
  </si>
  <si>
    <t>2F6893</t>
  </si>
  <si>
    <t>S2)6833色紗-淺灰</t>
  </si>
  <si>
    <t>2F68A1</t>
  </si>
  <si>
    <t>T04-R)6591色差</t>
  </si>
  <si>
    <t>2F68B2</t>
  </si>
  <si>
    <t>T03-L)67P2換原絲/DR</t>
  </si>
  <si>
    <t>2F68C3</t>
  </si>
  <si>
    <t>S1)63T3深咖啡色紗/新紗</t>
  </si>
  <si>
    <t>2F68D1</t>
  </si>
  <si>
    <t>S1)-67H1換原絲/DR</t>
  </si>
  <si>
    <t>2F68E2</t>
  </si>
  <si>
    <t>J09)67G2-換原絲</t>
  </si>
  <si>
    <t>2F68F1</t>
  </si>
  <si>
    <t>S2)-66T1色差-色紗-岩灰</t>
  </si>
  <si>
    <t>2F68G1</t>
  </si>
  <si>
    <t>2F68H3</t>
  </si>
  <si>
    <t>S1)色紗-62X3色差/DR</t>
  </si>
  <si>
    <t>2F68I3</t>
  </si>
  <si>
    <t>J09)67A3-換原絲</t>
  </si>
  <si>
    <t>2F68J1</t>
  </si>
  <si>
    <t>S2)-66Y1換原絲-色紗-深棕</t>
  </si>
  <si>
    <t>2F68K2</t>
  </si>
  <si>
    <t>T03-L)68B2換原絲</t>
  </si>
  <si>
    <t>2F68L1</t>
  </si>
  <si>
    <t>T04)68A1降速/換JET</t>
  </si>
  <si>
    <t>2F68M1</t>
  </si>
  <si>
    <t>T04-L)68L1</t>
  </si>
  <si>
    <t>2F68N1</t>
  </si>
  <si>
    <t>S2)67X1-色紗-灰/換原絲</t>
  </si>
  <si>
    <t>2F68P3</t>
  </si>
  <si>
    <t>S1)色紗-66Z3色差/DR</t>
  </si>
  <si>
    <t>2F68Q3</t>
  </si>
  <si>
    <t>S2)66S3色差/改重量-色紗</t>
  </si>
  <si>
    <t>2F68R3</t>
  </si>
  <si>
    <t>J09)67L3換原絲/DR</t>
  </si>
  <si>
    <t>2F68S3</t>
  </si>
  <si>
    <t>S2)62R3色紗-棕-色差/DR</t>
  </si>
  <si>
    <t>2F68T1</t>
  </si>
  <si>
    <t>A18-B)66W1-換原絲/機型/升速/DR/重量</t>
  </si>
  <si>
    <t>2F68V2</t>
  </si>
  <si>
    <t>A18-A)67B2-換原絲/機型/升速/DR</t>
  </si>
  <si>
    <t>2F68W1</t>
  </si>
  <si>
    <t>T04-L)68L1換原絲</t>
  </si>
  <si>
    <t>2F68X1</t>
  </si>
  <si>
    <t>J09)67C1換原絲</t>
  </si>
  <si>
    <t>2F68Y1</t>
  </si>
  <si>
    <t>A08-B)67W1換原絲</t>
  </si>
  <si>
    <t>2F68Z3</t>
  </si>
  <si>
    <t>J09)67V3色差/DR</t>
  </si>
  <si>
    <t>2F6903</t>
  </si>
  <si>
    <t>S1)6833換原絲/DR色紗-棕灰</t>
  </si>
  <si>
    <t>2F6913</t>
  </si>
  <si>
    <t>S2)6893色紗-棕</t>
  </si>
  <si>
    <t>2F6921</t>
  </si>
  <si>
    <t>M06)6T91</t>
  </si>
  <si>
    <t>2F6931</t>
  </si>
  <si>
    <t>T04-L)68E1換原絲/機型</t>
  </si>
  <si>
    <t>2F6943</t>
  </si>
  <si>
    <t>S1)63I3換原絲/DR</t>
  </si>
  <si>
    <t>2F6953</t>
  </si>
  <si>
    <t>T04-R)68A3-換原絲/機型</t>
  </si>
  <si>
    <t>2F6961</t>
  </si>
  <si>
    <t>S2)6AP1-色紗-灰</t>
  </si>
  <si>
    <t>2F6971</t>
  </si>
  <si>
    <t>M06)6AC1換原絲</t>
  </si>
  <si>
    <t>2F6981</t>
  </si>
  <si>
    <t>T04)68S1-換原絲/機型/升速/DR</t>
  </si>
  <si>
    <t>2F6991</t>
  </si>
  <si>
    <t>S2)6961-灰色紗-</t>
  </si>
  <si>
    <t>2F69A3</t>
  </si>
  <si>
    <t>S2)67E3色紗-色差</t>
  </si>
  <si>
    <t>2F69B1</t>
  </si>
  <si>
    <t>T03-L)66V1換原絲/溫度</t>
  </si>
  <si>
    <t>2F69C2</t>
  </si>
  <si>
    <t>J08)6B42換原絲</t>
  </si>
  <si>
    <t>2F69D1</t>
  </si>
  <si>
    <t>T03-L)69B1換原絲</t>
  </si>
  <si>
    <t>2F69E1</t>
  </si>
  <si>
    <t>S1)66F1換原絲/DR/降速/機型/JET</t>
  </si>
  <si>
    <t>2F69F2</t>
  </si>
  <si>
    <t>J09)68E2-換原絲</t>
  </si>
  <si>
    <t>2F69H2</t>
  </si>
  <si>
    <t>A08-A)67U2-換原絲/DR/降速</t>
  </si>
  <si>
    <t>2F69I2</t>
  </si>
  <si>
    <t>J09)66H2</t>
  </si>
  <si>
    <t>2F69K1</t>
  </si>
  <si>
    <t>J08)68X1換原絲</t>
  </si>
  <si>
    <t>2F69L1</t>
  </si>
  <si>
    <t>J08)-9E71換原絲/JET</t>
  </si>
  <si>
    <t>2F69M1</t>
  </si>
  <si>
    <t>T03-L)69D1換原絲</t>
  </si>
  <si>
    <t>2F69N1</t>
  </si>
  <si>
    <t>T04-L)68W1換原絲/降速</t>
  </si>
  <si>
    <t>2F69P2</t>
  </si>
  <si>
    <t>2F69Q3</t>
  </si>
  <si>
    <t>J09)68I3-換原絲/JET</t>
  </si>
  <si>
    <t>2F69R2</t>
  </si>
  <si>
    <t>J08)69P2換原絲</t>
  </si>
  <si>
    <t>2F69S2</t>
  </si>
  <si>
    <t>J09)69C2色差</t>
  </si>
  <si>
    <t>2F69T1</t>
  </si>
  <si>
    <t>T03-L)69N1換原絲</t>
  </si>
  <si>
    <t>2F69U2</t>
  </si>
  <si>
    <t>A08-B)67N2-Z+Z換原絲/降速</t>
  </si>
  <si>
    <t>2F69V2</t>
  </si>
  <si>
    <t>J08)69I2換原絲</t>
  </si>
  <si>
    <t>2F69W3</t>
  </si>
  <si>
    <t>S2)色紗-62S3色差</t>
  </si>
  <si>
    <t>2F69X3</t>
  </si>
  <si>
    <t>S2)64Q3-DR/機型/升速</t>
  </si>
  <si>
    <t>2F69Z1</t>
  </si>
  <si>
    <t>J09)6B01換原絲/降溫/DR</t>
  </si>
  <si>
    <t>2F6A03</t>
  </si>
  <si>
    <t>S2)67E3色紗-色差/DR</t>
  </si>
  <si>
    <t>2F6A12</t>
  </si>
  <si>
    <t>T03-R)69P2/機型/DR</t>
  </si>
  <si>
    <t>2F6A21</t>
  </si>
  <si>
    <t>A08-A)68Y1換原絲</t>
  </si>
  <si>
    <t>2F6A32</t>
  </si>
  <si>
    <t>T03)68K2換原絲/降速</t>
  </si>
  <si>
    <t>2F6A41</t>
  </si>
  <si>
    <t>J08)-69L1換JET</t>
  </si>
  <si>
    <t>2F6A52</t>
  </si>
  <si>
    <t>J08-R)67S2-換原絲/DR</t>
  </si>
  <si>
    <t>2F6A61</t>
  </si>
  <si>
    <t>J09)69Z1換原絲</t>
  </si>
  <si>
    <t>2F6A72</t>
  </si>
  <si>
    <t>A08)69H2-換原絲</t>
  </si>
  <si>
    <t>2F6A82</t>
  </si>
  <si>
    <t>T03-R)6A12-DR/換原絲</t>
  </si>
  <si>
    <t>2F6A92</t>
  </si>
  <si>
    <t>J07)67F2換原絲</t>
  </si>
  <si>
    <t>2F6AA1</t>
  </si>
  <si>
    <t>T01-R)6Z01換原絲/DR</t>
  </si>
  <si>
    <t>2F6AB1</t>
  </si>
  <si>
    <t>J08)6T81改規格/DR/換原絲</t>
  </si>
  <si>
    <t>2F6AC3</t>
  </si>
  <si>
    <t>S1)6S33換原絲/DR</t>
  </si>
  <si>
    <t>2F6AE1</t>
  </si>
  <si>
    <t>J09)6Z71換原絲</t>
  </si>
  <si>
    <t>2F6AF1</t>
  </si>
  <si>
    <t>S1)-6X51</t>
  </si>
  <si>
    <t>2F6AG2</t>
  </si>
  <si>
    <t>J09)6W42換原絲/改規格不加字尾</t>
  </si>
  <si>
    <t>2F6AH2</t>
  </si>
  <si>
    <t>J08)6Z12改規格不加字尾</t>
  </si>
  <si>
    <t>2F6AI3</t>
  </si>
  <si>
    <t>A10-B)6V83換原絲</t>
  </si>
  <si>
    <t>2F6AJ1</t>
  </si>
  <si>
    <t>A15)-6AF1機型/DR…等</t>
  </si>
  <si>
    <t>2F6AK3</t>
  </si>
  <si>
    <t>S1)6P13色紗換原絲</t>
  </si>
  <si>
    <t>2F6AL3</t>
  </si>
  <si>
    <t>S1)色紗-6U73-淺灰/修DR換原絲</t>
  </si>
  <si>
    <t>2F6AM1</t>
  </si>
  <si>
    <t>A15-B)-6Z51機型/DR</t>
  </si>
  <si>
    <t>2F6AN1</t>
  </si>
  <si>
    <t>S1)6F41-色紗-灰</t>
  </si>
  <si>
    <t>2F6AP1</t>
  </si>
  <si>
    <t>A15-B)6V71-色紗-灰/機型/降速</t>
  </si>
  <si>
    <t>2F6AQ3</t>
  </si>
  <si>
    <t>T01-R)6Q63換原絲/DR</t>
  </si>
  <si>
    <t>2F6AR3</t>
  </si>
  <si>
    <t>A24-A)6Y43-換原絲/DR</t>
  </si>
  <si>
    <t>2F6AS3</t>
  </si>
  <si>
    <t>S1)6V83/升速/機型/DR換原絲</t>
  </si>
  <si>
    <t>A10-B)升速/機型/DR</t>
  </si>
  <si>
    <t>2F6AT3</t>
  </si>
  <si>
    <t>S1)6S53-換原絲</t>
  </si>
  <si>
    <t>2F6AU1</t>
  </si>
  <si>
    <t>A24-B)</t>
  </si>
  <si>
    <t>2F6AV3</t>
  </si>
  <si>
    <t>S1)6U93-換原絲/DR</t>
  </si>
  <si>
    <t>2F6AW3</t>
  </si>
  <si>
    <t>S1)6P73換原絲</t>
  </si>
  <si>
    <t>2F6AX1</t>
  </si>
  <si>
    <t>A15-A)-6X71換原絲/DR-色紗-岩灰</t>
  </si>
  <si>
    <t>2F6AY3</t>
  </si>
  <si>
    <t>S1)64N3換原絲/DR</t>
  </si>
  <si>
    <t>2F6AZ1</t>
  </si>
  <si>
    <t>A15)-6AX1換原絲/DR/規格不同</t>
  </si>
  <si>
    <t>2F6B01</t>
  </si>
  <si>
    <t>J09)6531換原絲/jet</t>
  </si>
  <si>
    <t>2F6B11</t>
  </si>
  <si>
    <t>J07)6581換原絲</t>
  </si>
  <si>
    <t>2F6B22</t>
  </si>
  <si>
    <t>J07)6552換原絲/JET</t>
  </si>
  <si>
    <t>2F6B31</t>
  </si>
  <si>
    <t>J09)</t>
  </si>
  <si>
    <t>2F6B42</t>
  </si>
  <si>
    <t>J08-R)6552換原絲</t>
  </si>
  <si>
    <t>2F6B53</t>
  </si>
  <si>
    <t>J08)69Q3-換原絲</t>
  </si>
  <si>
    <t>2F6B61</t>
  </si>
  <si>
    <t>J08)61W1換原絲</t>
  </si>
  <si>
    <t>2F6B73</t>
  </si>
  <si>
    <t>T03-R)67M3換原絲/DR</t>
  </si>
  <si>
    <t>2F6B82</t>
  </si>
  <si>
    <t>2F6B93</t>
  </si>
  <si>
    <t>T03-R)65J3-換原絲/DR</t>
  </si>
  <si>
    <t>2F6BA1</t>
  </si>
  <si>
    <t>A24-B)6X91換原絲</t>
  </si>
  <si>
    <t>2F6BB2</t>
  </si>
  <si>
    <t>A24-A)</t>
  </si>
  <si>
    <t>2F6BC1</t>
  </si>
  <si>
    <t>A15)6AX1升速-色紗-岩灰</t>
  </si>
  <si>
    <t>2F6BD2</t>
  </si>
  <si>
    <t>J09)6W42改規格/換原絲</t>
  </si>
  <si>
    <t>2F6BE2</t>
  </si>
  <si>
    <t>A10-B)6Y62換原絲/升速</t>
  </si>
  <si>
    <t>2F6BF1</t>
  </si>
  <si>
    <t>T03-R)6W21換原絲/DR….</t>
  </si>
  <si>
    <t>2F6BG1</t>
  </si>
  <si>
    <t>A15)6BC1降速/換原絲</t>
  </si>
  <si>
    <t>2F6BH1</t>
  </si>
  <si>
    <t>A15-B)-6AZ1/升速</t>
  </si>
  <si>
    <t>2F6BI3</t>
  </si>
  <si>
    <t>T03-R)6AQ3換原絲/JET</t>
  </si>
  <si>
    <t>2F6BJ1</t>
  </si>
  <si>
    <t>T03-L)6AA1換原絲/DR</t>
  </si>
  <si>
    <t>2F6BK1</t>
  </si>
  <si>
    <t>A15-A)-6BH1/降速換原絲</t>
  </si>
  <si>
    <t>2F6BL1</t>
  </si>
  <si>
    <t>A24-A)6X91換原絲</t>
  </si>
  <si>
    <t>2F6BM1</t>
  </si>
  <si>
    <t>A15-B)6BG1/新紗</t>
  </si>
  <si>
    <t>2F6BP1</t>
  </si>
  <si>
    <t>A10-A)6Z61/降溫度</t>
  </si>
  <si>
    <t>2F6BQ3</t>
  </si>
  <si>
    <t>A10-B)6AS3換原絲/DR</t>
  </si>
  <si>
    <t>J07)6W42改規格</t>
  </si>
  <si>
    <t>2F6BS2</t>
  </si>
  <si>
    <t>T03)6Y82改規格</t>
  </si>
  <si>
    <t>2F6BT3</t>
  </si>
  <si>
    <t>T06-L)6Z83換原絲</t>
  </si>
  <si>
    <t>2F6BU1</t>
  </si>
  <si>
    <t>T04-L)6Y51-換原絲/DR/機型</t>
  </si>
  <si>
    <t>2F6BV2</t>
  </si>
  <si>
    <t>T03-L)6BS2換原絲/DR</t>
  </si>
  <si>
    <t>2F6BW1</t>
  </si>
  <si>
    <t>T04-L)6BU-換原絲/DR</t>
  </si>
  <si>
    <t>2F6BX3</t>
  </si>
  <si>
    <t>A10-A)6BQ3</t>
  </si>
  <si>
    <t>2F6BY3</t>
  </si>
  <si>
    <t>T04L)6U13-換原絲/DR/機型升速</t>
  </si>
  <si>
    <t>2F6BZ3</t>
  </si>
  <si>
    <t>A16-A)6AR3-換原絲/DR</t>
  </si>
  <si>
    <t>2F6C02</t>
  </si>
  <si>
    <t>J08)67F2換原絲/DR/JET</t>
  </si>
  <si>
    <t>2F6C12</t>
  </si>
  <si>
    <t>A08)69U2-Z+Z換原絲</t>
  </si>
  <si>
    <t>2F6C21</t>
  </si>
  <si>
    <t>S2)-67H1換原絲</t>
  </si>
  <si>
    <t>2F6C31</t>
  </si>
  <si>
    <t>T03-L)69M1換原絲</t>
  </si>
  <si>
    <t>2F6C41</t>
  </si>
  <si>
    <t>J09)6A61換原絲</t>
  </si>
  <si>
    <t>2F6C53</t>
  </si>
  <si>
    <t>T03-R)63R3-換原絲/DR</t>
  </si>
  <si>
    <t>2F6C63</t>
  </si>
  <si>
    <t>T03-R)6B73-DR</t>
  </si>
  <si>
    <t>2F6C72</t>
  </si>
  <si>
    <t>A08-A)6A72-換原絲/DR</t>
  </si>
  <si>
    <t>2F6C82</t>
  </si>
  <si>
    <t>A24-B)63E2</t>
  </si>
  <si>
    <t>2F6C91</t>
  </si>
  <si>
    <t>A13-A)68T1-換原絲/重量</t>
  </si>
  <si>
    <t>2F6CA2</t>
  </si>
  <si>
    <t>S1)6Y72換原絲/DR</t>
  </si>
  <si>
    <t>2F6CB3</t>
  </si>
  <si>
    <t>A10-A)6BX3換原絲</t>
  </si>
  <si>
    <t>2F6CC3</t>
  </si>
  <si>
    <t>T06-L)6BT3/DR色差</t>
  </si>
  <si>
    <t>2F6CD3</t>
  </si>
  <si>
    <t>2F6CE2</t>
  </si>
  <si>
    <t>2F6CF1</t>
  </si>
  <si>
    <t>T06-R)6BJ1換原絲</t>
  </si>
  <si>
    <t>2F6CG2</t>
  </si>
  <si>
    <t>A10-B)6BE2換原絲/DR</t>
  </si>
  <si>
    <t>2F6CH3</t>
  </si>
  <si>
    <t>T06-L)6BI3換原絲/DR</t>
  </si>
  <si>
    <t>2F6CI3</t>
  </si>
  <si>
    <t>T06-R)6H13</t>
  </si>
  <si>
    <t>2F6CJ1</t>
  </si>
  <si>
    <t>A10-B)6BP1/DR</t>
  </si>
  <si>
    <t>2F6CK1</t>
  </si>
  <si>
    <t>S1)-6BK1/換機型/DR….</t>
  </si>
  <si>
    <t>2F6CL3</t>
  </si>
  <si>
    <t>T03-R)6CC3/DR換原絲</t>
  </si>
  <si>
    <t>2F6CM1</t>
  </si>
  <si>
    <t>T03L)6V51換原絲/DR/機型/升速</t>
  </si>
  <si>
    <t>2F6CN3</t>
  </si>
  <si>
    <t>T03-L)6CI3-換原絲./降速</t>
  </si>
  <si>
    <t>2F6CP3</t>
  </si>
  <si>
    <t>T03-L)6CH3換原絲/DR</t>
  </si>
  <si>
    <t>T04-L)6BV2/DR</t>
  </si>
  <si>
    <t>2F6CR3</t>
  </si>
  <si>
    <t>A10-B)6CB3/DR</t>
  </si>
  <si>
    <t>2F6CS1</t>
  </si>
  <si>
    <t>T06)</t>
  </si>
  <si>
    <t>T03-L)6BV2/DR/升速/換原絲</t>
  </si>
  <si>
    <t>T05-L)6CL3</t>
  </si>
  <si>
    <t>T05-R)6CN3-換原絲</t>
  </si>
  <si>
    <t>T02-L)6CF1換原絲/DR</t>
  </si>
  <si>
    <t>T05-R)6CM1換原絲</t>
  </si>
  <si>
    <t>S1)-6H31換原絲/DR-色紗-岩灰</t>
  </si>
  <si>
    <t>T03-L)6CW1</t>
  </si>
  <si>
    <t>2F6D01</t>
  </si>
  <si>
    <t>T03-R)69T1換原絲/DR</t>
  </si>
  <si>
    <t>2F6D12</t>
  </si>
  <si>
    <t>J08)6A92換原絲</t>
  </si>
  <si>
    <t>2F6D21</t>
  </si>
  <si>
    <t>A08-A)6A21換原絲/DR</t>
  </si>
  <si>
    <t>2F6D41</t>
  </si>
  <si>
    <t>S2)-66Y1換原絲/DR</t>
  </si>
  <si>
    <t>2F6D51</t>
  </si>
  <si>
    <t>A13-A)6C91-色差</t>
  </si>
  <si>
    <t>2F6D61</t>
  </si>
  <si>
    <t>J09)6C41換原絲/DR</t>
  </si>
  <si>
    <t>2F6D73</t>
  </si>
  <si>
    <t>A17)69Q3-換原絲/機型/升速</t>
  </si>
  <si>
    <t>2F6D82</t>
  </si>
  <si>
    <t>A24-B)6C82/改規格</t>
  </si>
  <si>
    <t>2F6D93</t>
  </si>
  <si>
    <t>J07)68R3換原絲/DR/物性LIKE</t>
  </si>
  <si>
    <t>A10-A)6CE2</t>
  </si>
  <si>
    <t>A16)6BZ3-換原絲/DR</t>
  </si>
  <si>
    <t>A24-A)-6BK1/換原絲</t>
  </si>
  <si>
    <t>T04-L)6CQ2/換原絲降速</t>
  </si>
  <si>
    <t>T03-L)6CT2/DR/換原絲</t>
  </si>
  <si>
    <t>A10-A)6Z23色紗-換原絲/DR</t>
  </si>
  <si>
    <t>J08)6BR2換原絲/升速</t>
  </si>
  <si>
    <t>A24-A)6BM1/換原絲</t>
  </si>
  <si>
    <t>T04-L)6DD2/換原絲/升速</t>
  </si>
  <si>
    <t>T03-R)6CH3換原絲/DR</t>
  </si>
  <si>
    <t>J09)6BR2換原絲/DR</t>
  </si>
  <si>
    <t>2F6E02</t>
  </si>
  <si>
    <t>J09)6A92換原絲/降速/DR/JET</t>
  </si>
  <si>
    <t>2F6E13</t>
  </si>
  <si>
    <t>S2)色紗-68H3色差/DR</t>
  </si>
  <si>
    <t>2F6E23</t>
  </si>
  <si>
    <t>J07)68Z3換原絲/DR/物性LIKE</t>
  </si>
  <si>
    <t>2F6E31</t>
  </si>
  <si>
    <t>J07)6B31/降速/物性LIKE</t>
  </si>
  <si>
    <t>2F6E42</t>
  </si>
  <si>
    <t>A11)68V2-換原絲/DR/JET</t>
  </si>
  <si>
    <t>2F6E51</t>
  </si>
  <si>
    <t>A11-A)67R1換原絲/降速/DR/JET</t>
  </si>
  <si>
    <t>2F6E63</t>
  </si>
  <si>
    <t>S2)68Q3色差/色紗</t>
  </si>
  <si>
    <t>2F6E73</t>
  </si>
  <si>
    <t>S1)62V3色紗/DR/換原絲/重量</t>
  </si>
  <si>
    <t>2F6E83</t>
  </si>
  <si>
    <t>S1)色紗-68P3/DR</t>
  </si>
  <si>
    <t>2F6E91</t>
  </si>
  <si>
    <t>J08)6D61換原絲/降速</t>
  </si>
  <si>
    <t>2F6F02</t>
  </si>
  <si>
    <t>J09-L)6E02換原絲</t>
  </si>
  <si>
    <t>2F6F23</t>
  </si>
  <si>
    <t>S2)62V3色紗-換原絲/DR</t>
  </si>
  <si>
    <t>2F6F32</t>
  </si>
  <si>
    <t>A08-A)-9BW2換錠組型號</t>
  </si>
  <si>
    <t>2F6F41</t>
  </si>
  <si>
    <t>S1.2)68N1-色紗-灰/換原絲</t>
  </si>
  <si>
    <t>2F6F52</t>
  </si>
  <si>
    <t>S2)9CL2</t>
  </si>
  <si>
    <t>2F6F63</t>
  </si>
  <si>
    <t>S2)色紗-63G3</t>
  </si>
  <si>
    <t>2F6F72</t>
  </si>
  <si>
    <t>J07)69V2換原絲/DR/JET</t>
  </si>
  <si>
    <t>2F6F82</t>
  </si>
  <si>
    <t>J07)6B82換原絲/降速/JET</t>
  </si>
  <si>
    <t>2F6F92</t>
  </si>
  <si>
    <t>J09-R)6A92換原絲/JET</t>
  </si>
  <si>
    <t>2F6G03</t>
  </si>
  <si>
    <t>2F6G12</t>
  </si>
  <si>
    <t>A08-B)6A72-換原絲/溫度</t>
  </si>
  <si>
    <t>2F6G21</t>
  </si>
  <si>
    <t>S2)-6D41換原絲/DR</t>
  </si>
  <si>
    <t>2F6G33</t>
  </si>
  <si>
    <t>S2-1～3)色紗-69W3色差</t>
  </si>
  <si>
    <t>2F6G42</t>
  </si>
  <si>
    <t>A08-A)6G12-換原絲</t>
  </si>
  <si>
    <t>2F6G51</t>
  </si>
  <si>
    <t>J07)6E91換原絲/DR</t>
  </si>
  <si>
    <t>2F6G63</t>
  </si>
  <si>
    <t>S2)69X3-換原絲/改重量</t>
  </si>
  <si>
    <t>2F6G72</t>
  </si>
  <si>
    <t>2F6G81</t>
  </si>
  <si>
    <t>T03-R)6C31換原絲</t>
  </si>
  <si>
    <t>2F6G91</t>
  </si>
  <si>
    <t>S2)69E1換原絲</t>
  </si>
  <si>
    <t>2F6H02</t>
  </si>
  <si>
    <t>J09)6F02色差</t>
  </si>
  <si>
    <t>2F6H13</t>
  </si>
  <si>
    <t>T01-R)65Q3-換原絲/DR</t>
  </si>
  <si>
    <t>2F6H31</t>
  </si>
  <si>
    <t>S1)-68F1換原絲/DR-色紗-岩灰</t>
  </si>
  <si>
    <t>2F6H43</t>
  </si>
  <si>
    <t>T03)6C53-換原絲/DR</t>
  </si>
  <si>
    <t>2F6H51</t>
  </si>
  <si>
    <t>J08)6E91換原絲</t>
  </si>
  <si>
    <t>2F6H71</t>
  </si>
  <si>
    <t>A22-B)66F1換原絲/JET</t>
  </si>
  <si>
    <t>2F6H82</t>
  </si>
  <si>
    <t>J07)69I2換原絲/降速</t>
  </si>
  <si>
    <t>2F6H91</t>
  </si>
  <si>
    <t>A08-B)6D21錠組型號/溫度</t>
  </si>
  <si>
    <t>2F6I03</t>
  </si>
  <si>
    <t>S2)69X3-色差</t>
  </si>
  <si>
    <t>2F6I11</t>
  </si>
  <si>
    <t>S2)-6C21換原絲</t>
  </si>
  <si>
    <t>2F6I22</t>
  </si>
  <si>
    <t>J07)6H82挑紗/改批號</t>
  </si>
  <si>
    <t>2F6I33</t>
  </si>
  <si>
    <t>S2-10～12)色紗-6G33換原絲/DR/重量</t>
  </si>
  <si>
    <t>2F6I42</t>
  </si>
  <si>
    <t>T03-R)6A82-換原絲/換JET</t>
  </si>
  <si>
    <t>2F6I52</t>
  </si>
  <si>
    <t>J08)6A52-換原絲/DR/換JET</t>
  </si>
  <si>
    <t>2F6I62</t>
  </si>
  <si>
    <t>A08-B)69U2-Z+Z換原絲/降速/錠片型號</t>
  </si>
  <si>
    <t>2F6I72</t>
  </si>
  <si>
    <t>A08-A)6G42-降速</t>
  </si>
  <si>
    <t>2F6I83</t>
  </si>
  <si>
    <t>T03-R)6H43-換原絲</t>
  </si>
  <si>
    <t>2F6I92</t>
  </si>
  <si>
    <t>S2)6G72換原絲/DR/壓力</t>
  </si>
  <si>
    <t>2F6J03</t>
  </si>
  <si>
    <t>J09)6B53-換原絲</t>
  </si>
  <si>
    <t>2F6J13</t>
  </si>
  <si>
    <t>T04-R)6C63換原絲/換JET</t>
  </si>
  <si>
    <t>2F6J21</t>
  </si>
  <si>
    <t>J09)6B61換原絲/DR/降速</t>
  </si>
  <si>
    <t>2F6J32</t>
  </si>
  <si>
    <t>J08)6I52-換原絲</t>
  </si>
  <si>
    <t>2F6J41</t>
  </si>
  <si>
    <t>T03-L)6G81換原絲</t>
  </si>
  <si>
    <t>2F6J53</t>
  </si>
  <si>
    <t>S2)6I03</t>
  </si>
  <si>
    <t>2F6J62</t>
  </si>
  <si>
    <t>T03-L)6G81換原絲/DR/JET</t>
  </si>
  <si>
    <t>2F6J72</t>
  </si>
  <si>
    <t>J09)6H02換原絲/溫度修</t>
  </si>
  <si>
    <t>2F6J81</t>
  </si>
  <si>
    <t>J08)6H51色差</t>
  </si>
  <si>
    <t>2F6J92</t>
  </si>
  <si>
    <t>A08-A)6I72-換原絲</t>
  </si>
  <si>
    <t>2F6M02</t>
  </si>
  <si>
    <t>T03-R)6I42-色差/提升壓力</t>
  </si>
  <si>
    <t>2F6M13</t>
  </si>
  <si>
    <t>S2)6G03換原絲/DR</t>
  </si>
  <si>
    <t>2F6M23</t>
  </si>
  <si>
    <t>S2)色紗-6G33色差</t>
  </si>
  <si>
    <t>2F6M32</t>
  </si>
  <si>
    <t>A08-B)6J92-換原絲/溫度</t>
  </si>
  <si>
    <t>2F6M43</t>
  </si>
  <si>
    <t>S1)6E63色差/色紗</t>
  </si>
  <si>
    <t>2F6M52</t>
  </si>
  <si>
    <t>T03-L)66U2換原絲/DR/JET</t>
  </si>
  <si>
    <t>2F6M63</t>
  </si>
  <si>
    <t>S2)6J53換原絲/DR</t>
  </si>
  <si>
    <t>2F6M72</t>
  </si>
  <si>
    <t>J09)6J72換原絲/JET</t>
  </si>
  <si>
    <t>2F6M92</t>
  </si>
  <si>
    <t>J08)6J32-換原絲/AP壓力</t>
  </si>
  <si>
    <t>2F6N03</t>
  </si>
  <si>
    <t>S1)色紗-6E83-淺灰AP壓力</t>
  </si>
  <si>
    <t>2F6N11</t>
  </si>
  <si>
    <t>T03-R)97B1換原絲/降速/機型/JET/DR</t>
  </si>
  <si>
    <t>2F6N23</t>
  </si>
  <si>
    <t>J08)6J03-換原絲/DR</t>
  </si>
  <si>
    <t>2F6N41</t>
  </si>
  <si>
    <t>T03)6D01換原絲/升速/壓力AP</t>
  </si>
  <si>
    <t>2F6N53</t>
  </si>
  <si>
    <t>S2)黑紗6G03換原絲</t>
  </si>
  <si>
    <t>2F6N63</t>
  </si>
  <si>
    <t>S1)色紗-6N03-淺灰換原絲</t>
  </si>
  <si>
    <t>2F6N71</t>
  </si>
  <si>
    <t>A08-B)6H91換原絲/AP壓力升</t>
  </si>
  <si>
    <t>2F6N82</t>
  </si>
  <si>
    <t>J09)6F82換原絲</t>
  </si>
  <si>
    <t>2F6N92</t>
  </si>
  <si>
    <t>S2)DFI2-色紗深棕</t>
  </si>
  <si>
    <t>2F6P03</t>
  </si>
  <si>
    <t>S1)6E73色紗/DR/換原絲</t>
  </si>
  <si>
    <t>2F6P13</t>
  </si>
  <si>
    <t>S2)6F23色紗-色紗/AP壓力升</t>
  </si>
  <si>
    <t>2F6P23</t>
  </si>
  <si>
    <t>S2)6M63深棕/色差</t>
  </si>
  <si>
    <t>2F6P32</t>
  </si>
  <si>
    <t>J09)6M72換原絲/AP壓力降/升速</t>
  </si>
  <si>
    <t>2F6P43</t>
  </si>
  <si>
    <t>T03)6I83-DR</t>
  </si>
  <si>
    <t>2F6P53</t>
  </si>
  <si>
    <t>S1)6M43換原絲/DR</t>
  </si>
  <si>
    <t>2F6P63</t>
  </si>
  <si>
    <t>T03-L)6P43換原絲</t>
  </si>
  <si>
    <t>2F6P73</t>
  </si>
  <si>
    <t>S1)6M13換原絲/DR</t>
  </si>
  <si>
    <t>2F6P82</t>
  </si>
  <si>
    <t>T03)68K2換原絲/DR/降速/JET</t>
  </si>
  <si>
    <t>2F6P92</t>
  </si>
  <si>
    <t>J09)6F92換原絲</t>
  </si>
  <si>
    <t>2F6Q03</t>
  </si>
  <si>
    <t>S1)6F63色紗/DR</t>
  </si>
  <si>
    <t>2F6Q12</t>
  </si>
  <si>
    <t>S2)66X2換原絲</t>
  </si>
  <si>
    <t>2F6Q21</t>
  </si>
  <si>
    <t>A10-B)6N71</t>
  </si>
  <si>
    <t>2F6Q33</t>
  </si>
  <si>
    <t>S1)色紗-6I33/DR</t>
  </si>
  <si>
    <t>2F6Q43</t>
  </si>
  <si>
    <t>S2)色紗-6M23色差/DR</t>
  </si>
  <si>
    <t>2F6Q51</t>
  </si>
  <si>
    <t>J08)6J81換原絲/升速/DR</t>
  </si>
  <si>
    <t>2F6Q63</t>
  </si>
  <si>
    <t>T04-R)6J13換新紗/降速</t>
  </si>
  <si>
    <t>2F6Q72</t>
  </si>
  <si>
    <t>T01)6P82換原絲/JET</t>
  </si>
  <si>
    <t>2F6Q81</t>
  </si>
  <si>
    <t>J07)6J21換原絲</t>
  </si>
  <si>
    <t>2F6Q92</t>
  </si>
  <si>
    <t>A24-B)6E42-換原絲</t>
  </si>
  <si>
    <t>2F6S03</t>
  </si>
  <si>
    <t>S2)6I03-色差/DR</t>
  </si>
  <si>
    <t>2F6S12</t>
  </si>
  <si>
    <t>J09)6P92換原絲</t>
  </si>
  <si>
    <t>2F6S22</t>
  </si>
  <si>
    <t>T03)6P82換原絲</t>
  </si>
  <si>
    <t>2F6S33</t>
  </si>
  <si>
    <t>S1)6J53換新紗</t>
  </si>
  <si>
    <t>2F6S41</t>
  </si>
  <si>
    <t>J08)6Q51換原絲</t>
  </si>
  <si>
    <t>2F6S53</t>
  </si>
  <si>
    <t>S1)6G63-DR</t>
  </si>
  <si>
    <t>2F6S72</t>
  </si>
  <si>
    <t>T04)6S22換原絲</t>
  </si>
  <si>
    <t>2F6S83</t>
  </si>
  <si>
    <t>A10-A)色紗-6N63/DR/降速/機型</t>
  </si>
  <si>
    <t>2F6S93</t>
  </si>
  <si>
    <t>A10-B)色紗-6Q33/DR/降速/機型</t>
  </si>
  <si>
    <t>2F6T03</t>
  </si>
  <si>
    <t>A10-A)黑紗6N53機型/降速/DR</t>
  </si>
  <si>
    <t>2F6T12</t>
  </si>
  <si>
    <t>T01)6S72改規格</t>
  </si>
  <si>
    <t>2F6T23</t>
  </si>
  <si>
    <t>A10-A)色紗-6S83/DR/重量</t>
  </si>
  <si>
    <t>2F6T32</t>
  </si>
  <si>
    <t>A10-B)-6F32/DR</t>
  </si>
  <si>
    <t>2F6T41</t>
  </si>
  <si>
    <t>J08)6Q81色差</t>
  </si>
  <si>
    <t>2F6T53</t>
  </si>
  <si>
    <t>J08)6N23-換原絲/DR</t>
  </si>
  <si>
    <t>2F6T63</t>
  </si>
  <si>
    <t>A10-A)色紗-換原絲6S83/DR/AP壓力</t>
  </si>
  <si>
    <t>2F6T71</t>
  </si>
  <si>
    <t>A10-A)6Q21/DR</t>
  </si>
  <si>
    <t>2F6T81</t>
  </si>
  <si>
    <t>J08)6S41</t>
  </si>
  <si>
    <t>2F6T93</t>
  </si>
  <si>
    <t>S1)6P23深棕/換新紗/DR</t>
  </si>
  <si>
    <t>2F6U03</t>
  </si>
  <si>
    <t>S1)色紗-6Q43換新紗</t>
  </si>
  <si>
    <t>2F6U13</t>
  </si>
  <si>
    <t>A24-A)6D73-換原絲/改規格/改重量/溫度</t>
  </si>
  <si>
    <t>2F6U21</t>
  </si>
  <si>
    <t>S1)9C71/DR/降速/換原絲</t>
  </si>
  <si>
    <t>2F6U43</t>
  </si>
  <si>
    <t>S1)6P53換原絲/修溫度</t>
  </si>
  <si>
    <t>2F6U52</t>
  </si>
  <si>
    <t>A10-A)6J92</t>
  </si>
  <si>
    <t>2F6U61</t>
  </si>
  <si>
    <t>J08)6T81換原絲</t>
  </si>
  <si>
    <t>2F6U73</t>
  </si>
  <si>
    <t>S1)色紗-6N63-淺灰/修DR</t>
  </si>
  <si>
    <t>2F6U82</t>
  </si>
  <si>
    <t>J09)6S12換原絲</t>
  </si>
  <si>
    <t>2F6U93</t>
  </si>
  <si>
    <t>S1)6S03-換原絲</t>
  </si>
  <si>
    <t>2F6V02</t>
  </si>
  <si>
    <t>J09)6U82改規格/更換JET</t>
  </si>
  <si>
    <t>2F6V13</t>
  </si>
  <si>
    <t>S1)6T93深棕/換原絲</t>
  </si>
  <si>
    <t>2F6V21</t>
  </si>
  <si>
    <t>T01)6N41換原絲/升速</t>
  </si>
  <si>
    <t>2F6V31</t>
  </si>
  <si>
    <t>T05-L洗車)6N41換原絲/升速</t>
  </si>
  <si>
    <t>2F6V42</t>
  </si>
  <si>
    <t>T05-L)6S72換原絲</t>
  </si>
  <si>
    <t>2F6V51</t>
  </si>
  <si>
    <t>A24-A)6E51換原絲/DR/改重量</t>
  </si>
  <si>
    <t>2F6V71</t>
  </si>
  <si>
    <t>S1)6F41-色紗-灰/換原絲</t>
  </si>
  <si>
    <t>2F6V83</t>
  </si>
  <si>
    <t>A10-A)9LI3</t>
  </si>
  <si>
    <t>2F6V91</t>
  </si>
  <si>
    <t>J08)6U61換原絲</t>
  </si>
  <si>
    <t>2F6W03</t>
  </si>
  <si>
    <t>A24-A)6D73-換原絲/DR/溫度/改節數</t>
  </si>
  <si>
    <t>2F6W12</t>
  </si>
  <si>
    <t>2F6W21</t>
  </si>
  <si>
    <t>2F6W33</t>
  </si>
  <si>
    <t>A24-A)6P63換機型/升速/DR/改規格</t>
  </si>
  <si>
    <t>2F6W42</t>
  </si>
  <si>
    <t>J07)6S12改規格</t>
  </si>
  <si>
    <t>2F6W52</t>
  </si>
  <si>
    <t>T05-R)6V42換原絲</t>
  </si>
  <si>
    <t>2F6W61</t>
  </si>
  <si>
    <t>J09)6T81換原絲</t>
  </si>
  <si>
    <t>2F6W71</t>
  </si>
  <si>
    <t>S1)-6I11換原絲</t>
  </si>
  <si>
    <t>2F6W83</t>
  </si>
  <si>
    <t>A24-A)6W33/改規格</t>
  </si>
  <si>
    <t>2F6W91</t>
  </si>
  <si>
    <t>T06-洗車)6V21-換原絲</t>
  </si>
  <si>
    <t>2F6X02</t>
  </si>
  <si>
    <t>T06-R)6W52換原絲/DR改規格</t>
  </si>
  <si>
    <t>2F6X11</t>
  </si>
  <si>
    <t>A10-B)6T71換原絲/DR/降速</t>
  </si>
  <si>
    <t>2F6X22</t>
  </si>
  <si>
    <t>S1)6I92換原絲/壓力</t>
  </si>
  <si>
    <t>2F6X31</t>
  </si>
  <si>
    <t>T06-L)6J41換原絲/升速/DR</t>
  </si>
  <si>
    <t>2F6X42</t>
  </si>
  <si>
    <t>A10-B)6U52</t>
  </si>
  <si>
    <t>2F6X51</t>
  </si>
  <si>
    <t>S1)-6G21換原絲</t>
  </si>
  <si>
    <t>2F6X62</t>
  </si>
  <si>
    <t>2F6X71</t>
  </si>
  <si>
    <t>A24-A)-6H31換原絲/DR/機型-色紗-岩灰</t>
  </si>
  <si>
    <t>2F6X83</t>
  </si>
  <si>
    <t>T03-R)6P63</t>
  </si>
  <si>
    <t>2F6X91</t>
  </si>
  <si>
    <t>A24)6V51換原絲</t>
  </si>
  <si>
    <t>2F6Y02</t>
  </si>
  <si>
    <t>S1)DRB1</t>
  </si>
  <si>
    <t>2F6Y12</t>
  </si>
  <si>
    <t>S1)6X22</t>
  </si>
  <si>
    <t>2F6Y21</t>
  </si>
  <si>
    <t>A14-A)6X31換原絲/升速/DR機型</t>
  </si>
  <si>
    <t>2F6Y32</t>
  </si>
  <si>
    <t>T03-R)6X02換原絲/升速/降速</t>
  </si>
  <si>
    <t>2F6Y43</t>
  </si>
  <si>
    <t>A24-A)6W03-換原絲/升速</t>
  </si>
  <si>
    <t>2F6Y51</t>
  </si>
  <si>
    <t>A24-B)6D51-換原絲/DR</t>
  </si>
  <si>
    <t>2F6Y62</t>
  </si>
  <si>
    <t>A10-A)6X42換原絲/DR/溫度</t>
  </si>
  <si>
    <t>2F6Y72</t>
  </si>
  <si>
    <t>S1)6Y12換原絲/DR/升速</t>
  </si>
  <si>
    <t>2F6Y82</t>
  </si>
  <si>
    <t>T03-R)6Y32改規格</t>
  </si>
  <si>
    <t>2F6Y91</t>
  </si>
  <si>
    <t>T03-L)6V21換原絲/DR</t>
  </si>
  <si>
    <t>2F6Z01</t>
  </si>
  <si>
    <t>T01-R)6X31換原絲/升速/DR</t>
  </si>
  <si>
    <t>2F6Z12</t>
  </si>
  <si>
    <t>J08)6W42換原絲/色差</t>
  </si>
  <si>
    <t>2F6Z23</t>
  </si>
  <si>
    <t>A10-B)6T63色紗-換原絲/DR</t>
  </si>
  <si>
    <t>2F6Z31</t>
  </si>
  <si>
    <t>A10-B)6X11</t>
  </si>
  <si>
    <t>2F6Z42</t>
  </si>
  <si>
    <t>A10-B)-6T32/DR換原絲</t>
  </si>
  <si>
    <t>2F6Z51</t>
  </si>
  <si>
    <t>S1)-6W71換原絲/DR</t>
  </si>
  <si>
    <t>2F6Z61</t>
  </si>
  <si>
    <t>A10-A)6Z31換原絲/DR</t>
  </si>
  <si>
    <t>2F6Z71</t>
  </si>
  <si>
    <t>J09)6V91降速</t>
  </si>
  <si>
    <t>2F6Z83</t>
  </si>
  <si>
    <t>T06-R)6X83換原絲/DR/溫度</t>
  </si>
  <si>
    <t>2F6Z93</t>
  </si>
  <si>
    <t>A15-B)6Z83機型/升速/壓力</t>
  </si>
  <si>
    <t>2F7002</t>
  </si>
  <si>
    <t>A07-B)7U22-換原絲</t>
  </si>
  <si>
    <t>2F7012</t>
  </si>
  <si>
    <t>A13-B)71C2換原絲</t>
  </si>
  <si>
    <t>2F7022</t>
  </si>
  <si>
    <t>M04)5F7V32-換原絲/DR/71C2-物性</t>
  </si>
  <si>
    <t>2F7032</t>
  </si>
  <si>
    <t>A09-B)7012</t>
  </si>
  <si>
    <t>2F7052</t>
  </si>
  <si>
    <t>A13-B)71I2換原絲</t>
  </si>
  <si>
    <t>2F70A1</t>
  </si>
  <si>
    <t>M05)AQ31換原絲</t>
  </si>
  <si>
    <t>2F70B2</t>
  </si>
  <si>
    <t>A07-B)1ZY2-換原絲</t>
  </si>
  <si>
    <t>2F70C2</t>
  </si>
  <si>
    <t>A07-B)70B2-色差</t>
  </si>
  <si>
    <t>2F70D2</t>
  </si>
  <si>
    <t>A17-B)AS52-換原絲</t>
  </si>
  <si>
    <t>2F70E2</t>
  </si>
  <si>
    <t>A14)7W02換原絲</t>
  </si>
  <si>
    <t>2F70F2</t>
  </si>
  <si>
    <t>A18)7T92換原絲</t>
  </si>
  <si>
    <t>2F70G2</t>
  </si>
  <si>
    <t>A07-A)1TM2換原絲</t>
  </si>
  <si>
    <t>2F70H3</t>
  </si>
  <si>
    <t>A21)7T73換原絲/降速/DR</t>
  </si>
  <si>
    <t>2F70I2</t>
  </si>
  <si>
    <t>A14-A)70E2色差</t>
  </si>
  <si>
    <t>2F70J2</t>
  </si>
  <si>
    <t>A17-A)70F2換原絲</t>
  </si>
  <si>
    <t>2F70K1</t>
  </si>
  <si>
    <t>M04)70A1換原絲</t>
  </si>
  <si>
    <t>2F70L2</t>
  </si>
  <si>
    <t>T04-R)</t>
  </si>
  <si>
    <t>2F70M2</t>
  </si>
  <si>
    <t>A18-A)70F2換原絲</t>
  </si>
  <si>
    <t>2F70N2</t>
  </si>
  <si>
    <t>A17-A)70J2換原絲</t>
  </si>
  <si>
    <t>2F70P2</t>
  </si>
  <si>
    <t>A07-B)7002-換原絲</t>
  </si>
  <si>
    <t>2F70Q3</t>
  </si>
  <si>
    <t>M05)70H3換原絲/降速/DR</t>
  </si>
  <si>
    <t>2F70R1</t>
  </si>
  <si>
    <t>M05)70K1色差</t>
  </si>
  <si>
    <t>2F70S1</t>
  </si>
  <si>
    <t>J07)6011換原絲/DR</t>
  </si>
  <si>
    <t>2F70T2</t>
  </si>
  <si>
    <t>A07-A)70P2色差</t>
  </si>
  <si>
    <t>2F70U2</t>
  </si>
  <si>
    <t>J07)5F7G02R</t>
  </si>
  <si>
    <t>2F70V2</t>
  </si>
  <si>
    <t>T03)5F7G02R換原絲/升速</t>
  </si>
  <si>
    <t>2F70W2</t>
  </si>
  <si>
    <t>A07-A)70T2換原絲</t>
  </si>
  <si>
    <t>2F70X2</t>
  </si>
  <si>
    <t>M05)70N2換原絲/機型</t>
  </si>
  <si>
    <t>2F70Y3</t>
  </si>
  <si>
    <t>J08)5F7V73換原絲</t>
  </si>
  <si>
    <t>2F70Z2</t>
  </si>
  <si>
    <t>T03-L)70V2換原絲</t>
  </si>
  <si>
    <t>2F7102</t>
  </si>
  <si>
    <t>M04)71D2色差</t>
  </si>
  <si>
    <t>2F7112</t>
  </si>
  <si>
    <t>M02)7102換原絲</t>
  </si>
  <si>
    <t>2F7122</t>
  </si>
  <si>
    <t>M02-A)7122換原絲</t>
  </si>
  <si>
    <t>2F71A2</t>
  </si>
  <si>
    <t>A19-B)70I2換原絲</t>
  </si>
  <si>
    <t>2F71B2</t>
  </si>
  <si>
    <t>A07-B)70G2換原絲</t>
  </si>
  <si>
    <t>2F71C2</t>
  </si>
  <si>
    <t>A07-A)70W2換原絲</t>
  </si>
  <si>
    <t>2F71D2</t>
  </si>
  <si>
    <t>M04)70X2</t>
  </si>
  <si>
    <t>2F71E2</t>
  </si>
  <si>
    <t>A07-B)71B2色差</t>
  </si>
  <si>
    <t>2F71F2</t>
  </si>
  <si>
    <t>2F71G2</t>
  </si>
  <si>
    <t>T04-L)70Z2色差</t>
  </si>
  <si>
    <t>2F71H3</t>
  </si>
  <si>
    <t>S2)70Q3換原絲/升速/DR/機型</t>
  </si>
  <si>
    <t>2F71I2</t>
  </si>
  <si>
    <t>A19-A)71A2換原絲</t>
  </si>
  <si>
    <t>2F71J2</t>
  </si>
  <si>
    <t>T04-R)93R2色差</t>
  </si>
  <si>
    <t>2F71K2</t>
  </si>
  <si>
    <t>T04-L)70L2-換原絲/降速/DR</t>
  </si>
  <si>
    <t>2F71L1</t>
  </si>
  <si>
    <t>S2)5F7U51-換原絲/DR/降速</t>
  </si>
  <si>
    <t>2F71N1</t>
  </si>
  <si>
    <t>J08)70S1色差</t>
  </si>
  <si>
    <t>2F71P2</t>
  </si>
  <si>
    <t>S1)94H2</t>
  </si>
  <si>
    <t>2F71Q1</t>
  </si>
  <si>
    <t>J07)5F7V11換原絲</t>
  </si>
  <si>
    <t>2F71R2</t>
  </si>
  <si>
    <t>A07-A)5F7V92換原絲</t>
  </si>
  <si>
    <t>2F71S2</t>
  </si>
  <si>
    <t>T04-R)71G2換原絲/DR</t>
  </si>
  <si>
    <t>2F71T3</t>
  </si>
  <si>
    <t>J09)5F7K63換原絲</t>
  </si>
  <si>
    <t>2F71U1</t>
  </si>
  <si>
    <t>J08)70S1換原絲</t>
  </si>
  <si>
    <t>2F71V1</t>
  </si>
  <si>
    <t>M03)70R1換原絲</t>
  </si>
  <si>
    <t>2F71W2</t>
  </si>
  <si>
    <t>M05-A)71K2-換原絲/降速/機型</t>
  </si>
  <si>
    <t>2F71X2</t>
  </si>
  <si>
    <t>A23-A)71P2機型/DR</t>
  </si>
  <si>
    <t>2F71Y2</t>
  </si>
  <si>
    <t>J09-R)9762</t>
  </si>
  <si>
    <t>2F71Z3</t>
  </si>
  <si>
    <t>J09)70Y3換原絲</t>
  </si>
  <si>
    <t>2F7252</t>
  </si>
  <si>
    <t>A15)71S2-DR/降速/機型</t>
  </si>
  <si>
    <t>2F72A2</t>
  </si>
  <si>
    <t>A19-A)71X2 加原絲</t>
  </si>
  <si>
    <t>2F72B1</t>
  </si>
  <si>
    <t>M04)71V1換原絲</t>
  </si>
  <si>
    <t>2F72C1</t>
  </si>
  <si>
    <t>S2)5F7U51換原絲</t>
  </si>
  <si>
    <t>2F72D2</t>
  </si>
  <si>
    <t>A17-B)5F7U42換原絲/修DR/牢度</t>
  </si>
  <si>
    <t>2F72E2</t>
  </si>
  <si>
    <t>J08-R)71Y2色差/DR</t>
  </si>
  <si>
    <t>2F72F1</t>
  </si>
  <si>
    <t>M04)72B1換原絲</t>
  </si>
  <si>
    <t>2F72G3</t>
  </si>
  <si>
    <t>A17)70H3換原絲/DR</t>
  </si>
  <si>
    <t>2F72H2</t>
  </si>
  <si>
    <t>T03-L)71J2換原絲</t>
  </si>
  <si>
    <t>2F72I2</t>
  </si>
  <si>
    <t>M05)72D2換原絲/DR/降速/機型</t>
  </si>
  <si>
    <t>2F72J1</t>
  </si>
  <si>
    <t>J09-R)5F7S21-換原絲</t>
  </si>
  <si>
    <t>2F72K2</t>
  </si>
  <si>
    <t>J09-R)</t>
  </si>
  <si>
    <t>2F72L2</t>
  </si>
  <si>
    <t>2F72M2</t>
  </si>
  <si>
    <t>J08)72K2換原絲/DR</t>
  </si>
  <si>
    <t>2F72N2</t>
  </si>
  <si>
    <t>T01-L)72H2換原絲/DR</t>
  </si>
  <si>
    <t>2F72Q2</t>
  </si>
  <si>
    <t>A21-A)72N2換原絲/DR/升速/機型</t>
  </si>
  <si>
    <t>2F72R2</t>
  </si>
  <si>
    <t>A21-A)72Q2換原絲</t>
  </si>
  <si>
    <t>2F72S2</t>
  </si>
  <si>
    <t>A21-A)72R2改重量加O</t>
  </si>
  <si>
    <t>2F72T2</t>
  </si>
  <si>
    <t>A13-B)70N2換原絲</t>
  </si>
  <si>
    <t>2F72U2</t>
  </si>
  <si>
    <t>A13-A)70N2換原絲/DR</t>
  </si>
  <si>
    <t>2F72V2</t>
  </si>
  <si>
    <t>A21-A)72R2換原絲</t>
  </si>
  <si>
    <t>2F72W3</t>
  </si>
  <si>
    <t>2F72X2</t>
  </si>
  <si>
    <t>J08)72K2換原絲</t>
  </si>
  <si>
    <t>2F72Y1</t>
  </si>
  <si>
    <t>J08-R)</t>
  </si>
  <si>
    <t>2F72Z2</t>
  </si>
  <si>
    <t>A15-A)71R2換原絲/DR</t>
  </si>
  <si>
    <t>2F7302</t>
  </si>
  <si>
    <t>A24-B)5F7V22換原絲/升速/JET</t>
  </si>
  <si>
    <t>2F7311</t>
  </si>
  <si>
    <t>T03-L)9791換原絲/DR/降速/機型</t>
  </si>
  <si>
    <t>2F73A3</t>
  </si>
  <si>
    <t>J09)71Z3換原絲/JET</t>
  </si>
  <si>
    <t>2F73B2</t>
  </si>
  <si>
    <t>A07-B)D6E2-取消建錯無生產</t>
  </si>
  <si>
    <t>2F73C2</t>
  </si>
  <si>
    <t>A20-B)72D2換原絲</t>
  </si>
  <si>
    <t>2F73D2</t>
  </si>
  <si>
    <t>A24-A)71W2-換原絲/升速/機型</t>
  </si>
  <si>
    <t>2F73E2</t>
  </si>
  <si>
    <t>2F73F1</t>
  </si>
  <si>
    <t>A20-A)72C1換原絲/DR/升速/機型</t>
  </si>
  <si>
    <t>2F73G1</t>
  </si>
  <si>
    <t>A11)72B1換原絲/機型/DR</t>
  </si>
  <si>
    <t>2F73H2</t>
  </si>
  <si>
    <t>A20-B)7252-DR/換原絲</t>
  </si>
  <si>
    <t>2F73I3</t>
  </si>
  <si>
    <t>J09)73A3換原絲/JET/DR</t>
  </si>
  <si>
    <t>2F73J2</t>
  </si>
  <si>
    <t>A07-B)D6E2</t>
  </si>
  <si>
    <t>2F73K2</t>
  </si>
  <si>
    <t>A07-B)5F7V02-換原絲/DR/重量</t>
  </si>
  <si>
    <t>2F73L2</t>
  </si>
  <si>
    <t>A12-B)72S2換原絲</t>
  </si>
  <si>
    <t>2F73M3</t>
  </si>
  <si>
    <t>J09)71T3換原絲/DR</t>
  </si>
  <si>
    <t>2F73N2</t>
  </si>
  <si>
    <t>A07-A)5FDBT2</t>
  </si>
  <si>
    <t>2F73P2</t>
  </si>
  <si>
    <t>J09)73E2換原絲/DR</t>
  </si>
  <si>
    <t>2F73Q3</t>
  </si>
  <si>
    <t>J09)73I3換原絲/DR</t>
  </si>
  <si>
    <t>2F73R2</t>
  </si>
  <si>
    <t>A09-A)72T2換原絲/DR</t>
  </si>
  <si>
    <t>2F73S1</t>
  </si>
  <si>
    <t>A11-B)97N1換原絲</t>
  </si>
  <si>
    <t>2F73T1</t>
  </si>
  <si>
    <t>M04-A)72F1換原絲/DR-規格改不加O</t>
  </si>
  <si>
    <t>2F73U2</t>
  </si>
  <si>
    <t>A15-B)73J2改重量/AP</t>
  </si>
  <si>
    <t>2F73V2</t>
  </si>
  <si>
    <t>A15-B)73K2-色差</t>
  </si>
  <si>
    <t>2F73W2</t>
  </si>
  <si>
    <t>A15-A)73N2改重量</t>
  </si>
  <si>
    <t>2F73X1</t>
  </si>
  <si>
    <t>J09-R)73Q1換原絲</t>
  </si>
  <si>
    <t>2F73Y1</t>
  </si>
  <si>
    <t>M05)73T1色差/DR</t>
  </si>
  <si>
    <t>2F73Z2</t>
  </si>
  <si>
    <t>J09)72V2換原絲/機型/降速/DR</t>
  </si>
  <si>
    <t>2F74A2</t>
  </si>
  <si>
    <t>A09-B)7AB2</t>
  </si>
  <si>
    <t>2F74B2</t>
  </si>
  <si>
    <t>S2)73H2-DR/換原絲/機型</t>
  </si>
  <si>
    <t>2F74C1</t>
  </si>
  <si>
    <t>M07)73Y1色差</t>
  </si>
  <si>
    <t>2F74D2</t>
  </si>
  <si>
    <t>S2)71P2換原絲/降速/DR</t>
  </si>
  <si>
    <t>2F74E1</t>
  </si>
  <si>
    <t>M07)74C1換原絲/DR</t>
  </si>
  <si>
    <t>2F74F2</t>
  </si>
  <si>
    <t>S2)74D2換原絲/DR/溫度/AP</t>
  </si>
  <si>
    <t>2F74G2</t>
  </si>
  <si>
    <t>M07)72L2換原絲</t>
  </si>
  <si>
    <t>2F74H2</t>
  </si>
  <si>
    <t>A23-A)73W2/DR/換原絲</t>
  </si>
  <si>
    <t>2F74I2</t>
  </si>
  <si>
    <t>A23-B)71E2換原絲/DR</t>
  </si>
  <si>
    <t>2F74J2</t>
  </si>
  <si>
    <t>A22-A)73V2-換原絲/DR/規格</t>
  </si>
  <si>
    <t>2F74K2</t>
  </si>
  <si>
    <t>J08)73P2換原絲</t>
  </si>
  <si>
    <t>2F74L2</t>
  </si>
  <si>
    <t>A20-B)73L2換原絲/DR/錠組</t>
  </si>
  <si>
    <t>2F74M2</t>
  </si>
  <si>
    <t>M08)7122換原絲/物性LIKE-73R2</t>
  </si>
  <si>
    <t>2F74N3</t>
  </si>
  <si>
    <t>J08)73Q3換原絲/DR</t>
  </si>
  <si>
    <t>2F74P1</t>
  </si>
  <si>
    <t>J08)5F7R41換原絲/規格/溫度</t>
  </si>
  <si>
    <t>2F74Q2</t>
  </si>
  <si>
    <t>A21-B)72U2換原絲/DR</t>
  </si>
  <si>
    <t>2F74R2</t>
  </si>
  <si>
    <t>J08)73Z2換原絲/DR</t>
  </si>
  <si>
    <t>2F74S2</t>
  </si>
  <si>
    <t>T02-R)74D2換原絲/機型/DR</t>
  </si>
  <si>
    <t>2F74T2</t>
  </si>
  <si>
    <t>A21-B)74A2換原絲/DR</t>
  </si>
  <si>
    <t>2F74U2</t>
  </si>
  <si>
    <t>T02-R)74S2換原絲/DR</t>
  </si>
  <si>
    <t>2F74V2</t>
  </si>
  <si>
    <t>S2)74H2/DR/換原絲</t>
  </si>
  <si>
    <t>2F74W2</t>
  </si>
  <si>
    <t>S1)73C2換原絲/機型/DR/降速</t>
  </si>
  <si>
    <t>2F74X1</t>
  </si>
  <si>
    <t>S2)9R31</t>
  </si>
  <si>
    <t>2F74Y2</t>
  </si>
  <si>
    <t>T01-R)74S2色差</t>
  </si>
  <si>
    <t>2F74Z1</t>
  </si>
  <si>
    <t>S1)72C1換原絲</t>
  </si>
  <si>
    <t>2F75A1</t>
  </si>
  <si>
    <t>M05)74E1色差/DR</t>
  </si>
  <si>
    <t>2F75B2</t>
  </si>
  <si>
    <t>A16)74J2-換原絲/DR</t>
  </si>
  <si>
    <t>2F75C2</t>
  </si>
  <si>
    <t>A22-A)74L2換原絲/降速</t>
  </si>
  <si>
    <t>2F75D2</t>
  </si>
  <si>
    <t>S1)74H2/DR</t>
  </si>
  <si>
    <t>2F75E2</t>
  </si>
  <si>
    <t>S2)74F2換原絲</t>
  </si>
  <si>
    <t>2F75F2</t>
  </si>
  <si>
    <t>2F75G2</t>
  </si>
  <si>
    <t>A16-B)75B2-換原絲/DR</t>
  </si>
  <si>
    <t>2F75I1</t>
  </si>
  <si>
    <t>A22-A)73S1換原絲/降速</t>
  </si>
  <si>
    <t>2F75J2</t>
  </si>
  <si>
    <t>M02)74G2換原絲/DR</t>
  </si>
  <si>
    <t>2F75K2</t>
  </si>
  <si>
    <t>J07)74K2換原絲</t>
  </si>
  <si>
    <t>2F75L2</t>
  </si>
  <si>
    <t>T03-R)74Y2換原絲</t>
  </si>
  <si>
    <t>2F75M2</t>
  </si>
  <si>
    <t>A20-B)74T2色差</t>
  </si>
  <si>
    <t>2F75N2</t>
  </si>
  <si>
    <t>A21-A)75E2-DR/機型</t>
  </si>
  <si>
    <t>2F75P1</t>
  </si>
  <si>
    <t>S2)7311</t>
  </si>
  <si>
    <t>2F75Q1</t>
  </si>
  <si>
    <t>M02)75A1換原絲</t>
  </si>
  <si>
    <t>2F75R2</t>
  </si>
  <si>
    <t>S2)73V2-DR/機型/壓力</t>
  </si>
  <si>
    <t>2F75S2</t>
  </si>
  <si>
    <t>S1)72V2換原絲/降速/DR</t>
  </si>
  <si>
    <t>2F75T2</t>
  </si>
  <si>
    <t>A21)74I2換原絲</t>
  </si>
  <si>
    <t>2F75U2</t>
  </si>
  <si>
    <t>A20)7AB2換原絲/DR/降速</t>
  </si>
  <si>
    <t>2F75V2</t>
  </si>
  <si>
    <t>A23-A)73V2-換原絲/DR</t>
  </si>
  <si>
    <t>2F75W2</t>
  </si>
  <si>
    <t>A23-A)75B2-換原絲</t>
  </si>
  <si>
    <t>2F75X1</t>
  </si>
  <si>
    <t>A17-A)73G1換原絲/機型/DR/75Q1物性</t>
  </si>
  <si>
    <t>2F75Y2</t>
  </si>
  <si>
    <t>A09-B)74Q2換原絲</t>
  </si>
  <si>
    <t>2F75Z3</t>
  </si>
  <si>
    <t>J07)74N3換原絲/DR</t>
  </si>
  <si>
    <t>2F76A2</t>
  </si>
  <si>
    <t>J07)72M2換原絲/DR/降速</t>
  </si>
  <si>
    <t>2F76B2</t>
  </si>
  <si>
    <t>A09-B)75U2/降速</t>
  </si>
  <si>
    <t>2F76C1</t>
  </si>
  <si>
    <t>A24)75I1換原絲/DR</t>
  </si>
  <si>
    <t>2F76D2</t>
  </si>
  <si>
    <t>M02)75J2色差</t>
  </si>
  <si>
    <t>2F76E2</t>
  </si>
  <si>
    <t>A13-B)75V2-換原絲</t>
  </si>
  <si>
    <t>2F76F2</t>
  </si>
  <si>
    <t>M08)76D2換原絲/AP↑</t>
  </si>
  <si>
    <t>2F76G3</t>
  </si>
  <si>
    <t>A20)9ER3/DR+OP紗</t>
  </si>
  <si>
    <t>2F76H2</t>
  </si>
  <si>
    <t>T04-R)74U2換原絲</t>
  </si>
  <si>
    <t>2F76I3</t>
  </si>
  <si>
    <t>A20-B)9EB3+OP紗</t>
  </si>
  <si>
    <t>2F76J2</t>
  </si>
  <si>
    <t>A13-B)76B2</t>
  </si>
  <si>
    <t>2F76K2</t>
  </si>
  <si>
    <t>A22)75T2換原絲/DR/AP壓力</t>
  </si>
  <si>
    <t>2F76L2</t>
  </si>
  <si>
    <t>M08)76F2換原絲</t>
  </si>
  <si>
    <t>2F76M2</t>
  </si>
  <si>
    <t>A22-B)76K2-D紗</t>
  </si>
  <si>
    <t>2F76N3</t>
  </si>
  <si>
    <t>A20-B)76I3+OP紗換原絲</t>
  </si>
  <si>
    <t>2F76P3</t>
  </si>
  <si>
    <t>J08)75Z3換原絲</t>
  </si>
  <si>
    <t>2F76Q2</t>
  </si>
  <si>
    <t>T03-L)71S2換原絲</t>
  </si>
  <si>
    <t>2F76R1</t>
  </si>
  <si>
    <t>S2)74Z1</t>
  </si>
  <si>
    <t>2F76S2</t>
  </si>
  <si>
    <t>S1)74W2換原絲/DR/AP壓力升</t>
  </si>
  <si>
    <t>2F76T2</t>
  </si>
  <si>
    <t>A13)7032換原絲/AP壓力升</t>
  </si>
  <si>
    <t>2F76U3</t>
  </si>
  <si>
    <t>A20-A)9FX3</t>
  </si>
  <si>
    <t>2F76V1</t>
  </si>
  <si>
    <t>S2)76R1換原絲/調溫度</t>
  </si>
  <si>
    <t>2F76W1</t>
  </si>
  <si>
    <t>J08)73X1換原絲</t>
  </si>
  <si>
    <t>2F76X3</t>
  </si>
  <si>
    <t>A20-B)+OP紗</t>
  </si>
  <si>
    <t>2F76Y2</t>
  </si>
  <si>
    <t>A07-A)76E2-換原絲/AP</t>
  </si>
  <si>
    <t>2F76Z3</t>
  </si>
  <si>
    <t>A20-A)9EY3</t>
  </si>
  <si>
    <t>2F77A2</t>
  </si>
  <si>
    <t>T03-R)76H2換原絲/DR</t>
  </si>
  <si>
    <t>2F77B3</t>
  </si>
  <si>
    <t>J09)76P3換原絲/換JET</t>
  </si>
  <si>
    <t>2F77C2</t>
  </si>
  <si>
    <t>S2)75S2換原絲/調H2溫度/AP壓力上修</t>
  </si>
  <si>
    <t>2F77D3</t>
  </si>
  <si>
    <t>A20-B)76X3+OP紗色差</t>
  </si>
  <si>
    <t>2F77E2</t>
  </si>
  <si>
    <t>A12)76T2/AP壓力降</t>
  </si>
  <si>
    <t>2F77F2</t>
  </si>
  <si>
    <t>M04)76L2色差</t>
  </si>
  <si>
    <t>2F77G3</t>
  </si>
  <si>
    <t>A20-B)77D3+OP紗-換OP紗</t>
  </si>
  <si>
    <t>2F77H2</t>
  </si>
  <si>
    <t>M04)77F2換原絲</t>
  </si>
  <si>
    <t>2F77I3</t>
  </si>
  <si>
    <t>J09)77B3換原絲</t>
  </si>
  <si>
    <t>2F77J1</t>
  </si>
  <si>
    <t>J07)74P1換原絲/溫度/JET</t>
  </si>
  <si>
    <t>2F77K3</t>
  </si>
  <si>
    <t>A20)77G3+OP紗-換OP紗</t>
  </si>
  <si>
    <t>2F77L2</t>
  </si>
  <si>
    <t>T04-L)77A2換原絲</t>
  </si>
  <si>
    <t>2F77M3</t>
  </si>
  <si>
    <t>A13-B)76U3</t>
  </si>
  <si>
    <t>2F77N1</t>
  </si>
  <si>
    <t>J07)76W1換原絲/JET</t>
  </si>
  <si>
    <t>2F77P3</t>
  </si>
  <si>
    <t>A08-B)76Z3</t>
  </si>
  <si>
    <t>2F77Q1</t>
  </si>
  <si>
    <t>A24-A)73F1換原絲/DR/AP壓力</t>
  </si>
  <si>
    <t>2F77R1</t>
  </si>
  <si>
    <t>A24)77Q1換原絲</t>
  </si>
  <si>
    <t>2F77S2</t>
  </si>
  <si>
    <t>A24)73C2換原絲/AP壓力</t>
  </si>
  <si>
    <t>2F77T3</t>
  </si>
  <si>
    <t>A14-B)77M3</t>
  </si>
  <si>
    <t>2F77U3</t>
  </si>
  <si>
    <t>J08)76P3新紗</t>
  </si>
  <si>
    <t>2F77V3</t>
  </si>
  <si>
    <t>A13-B)77P3/DR</t>
  </si>
  <si>
    <t>2F77W2</t>
  </si>
  <si>
    <t>M07)77H2-DR</t>
  </si>
  <si>
    <t>2F77Y2</t>
  </si>
  <si>
    <t>A24-B)73H2-DR/換原絲/</t>
  </si>
  <si>
    <t>2F77Z3</t>
  </si>
  <si>
    <t>A13-A)77V3換原絲</t>
  </si>
  <si>
    <t>2F7AA2</t>
  </si>
  <si>
    <t>A13-A)71I2換原絲</t>
  </si>
  <si>
    <t>2F7AB2</t>
  </si>
  <si>
    <t>A15-B)7AA2換原絲</t>
  </si>
  <si>
    <t>2F78A2</t>
  </si>
  <si>
    <t>A22-A)77W2-不同機型/DR….等.修物性</t>
  </si>
  <si>
    <t>2F78B2</t>
  </si>
  <si>
    <t>A24-A)77S2換原絲</t>
  </si>
  <si>
    <t>2F78C1</t>
  </si>
  <si>
    <t>A24-A)77R1換原絲/DR/AP壓力</t>
  </si>
  <si>
    <t>2F78D2</t>
  </si>
  <si>
    <t>2F78E3</t>
  </si>
  <si>
    <t>A20)77Z3換原絲</t>
  </si>
  <si>
    <t>2F78F3</t>
  </si>
  <si>
    <t>J08)77U3換原絲</t>
  </si>
  <si>
    <t>2F78G2</t>
  </si>
  <si>
    <t>S1)DQQ2-</t>
  </si>
  <si>
    <t>2FM0952</t>
  </si>
  <si>
    <t>A20-A)78E3改規格</t>
  </si>
  <si>
    <t>2F78H3</t>
  </si>
  <si>
    <t>J09)75Z3換原絲/規格</t>
  </si>
  <si>
    <t>2F78I2</t>
  </si>
  <si>
    <t>A24-B)78A2-升速/DR</t>
  </si>
  <si>
    <t>2F78K2</t>
  </si>
  <si>
    <t>A22)75N2-換原絲/DR/錠片加</t>
  </si>
  <si>
    <t>2F78L3</t>
  </si>
  <si>
    <t>A14-B)78E3</t>
  </si>
  <si>
    <t>2F78M3</t>
  </si>
  <si>
    <t>J08)78H3-升速/DR</t>
  </si>
  <si>
    <t>2F78N2</t>
  </si>
  <si>
    <t>A14)78I2</t>
  </si>
  <si>
    <t>2F78P2</t>
  </si>
  <si>
    <t>S1)78G2-DR/調升AP壓力</t>
  </si>
  <si>
    <t>2F78Q2</t>
  </si>
  <si>
    <t>A12-A)76Y2-換原絲/AP</t>
  </si>
  <si>
    <t>2F78R2</t>
  </si>
  <si>
    <t>A20-B)78D2/DR/改重量</t>
  </si>
  <si>
    <t>2F78S2</t>
  </si>
  <si>
    <t>T02-L)72N2換原絲/DR/改重量</t>
  </si>
  <si>
    <t>2F78T2</t>
  </si>
  <si>
    <t>A14-A)78P2-DR/調升AP壓力/換機型</t>
  </si>
  <si>
    <t>2F78U2</t>
  </si>
  <si>
    <t>A08-A)76M2-換原絲</t>
  </si>
  <si>
    <t>2F78V2</t>
  </si>
  <si>
    <t>M02)外購紗7LU2</t>
  </si>
  <si>
    <t>2F78W2</t>
  </si>
  <si>
    <t>A12-B)DVZ2絲開發</t>
  </si>
  <si>
    <t>2F78X2</t>
  </si>
  <si>
    <t>T01-R)77Y2-換原絲/換機型….等</t>
  </si>
  <si>
    <t>2F78Y2</t>
  </si>
  <si>
    <t>M02)78V2色差</t>
  </si>
  <si>
    <t>2F78Z2</t>
  </si>
  <si>
    <t>A22-A)78Q2-換原絲/升速</t>
  </si>
  <si>
    <t>2F79A2</t>
  </si>
  <si>
    <t>T06-L)77L2-DR</t>
  </si>
  <si>
    <t>2F79B2</t>
  </si>
  <si>
    <t>A07-B)78D2換原絲/DR</t>
  </si>
  <si>
    <t>2F79C2</t>
  </si>
  <si>
    <t>M02)78Y2換原絲/DR/修丹尼物性</t>
  </si>
  <si>
    <t>2F79D2</t>
  </si>
  <si>
    <t>S1)78G2-</t>
  </si>
  <si>
    <t>2F79E3</t>
  </si>
  <si>
    <t>J08)78M3-換原絲</t>
  </si>
  <si>
    <t>2F79F2</t>
  </si>
  <si>
    <t>M04)79B2換原絲/換機型….等</t>
  </si>
  <si>
    <t>2F79G1</t>
  </si>
  <si>
    <t>T04-R)77N1-DR/JET機型….等</t>
  </si>
  <si>
    <t>2F79H2</t>
  </si>
  <si>
    <t>M04)79F2換原絲</t>
  </si>
  <si>
    <t>2F79I1</t>
  </si>
  <si>
    <t>S1)77J1換原絲/降速/DR機型JET</t>
  </si>
  <si>
    <t>2F79J2</t>
  </si>
  <si>
    <t>M04)7022-換原絲</t>
  </si>
  <si>
    <t>2F79K2</t>
  </si>
  <si>
    <t>T04-L)79A2-DR/換原絲</t>
  </si>
  <si>
    <t>2F79L2</t>
  </si>
  <si>
    <t>M04)79H2換原絲/重量</t>
  </si>
  <si>
    <t>2F79M3</t>
  </si>
  <si>
    <t>T04-L)79E3-機型</t>
  </si>
  <si>
    <t>2F79N2</t>
  </si>
  <si>
    <t>A14-B)79B2換原絲/改重量</t>
  </si>
  <si>
    <t>2F79P1</t>
  </si>
  <si>
    <t>T06-R)79G1-換原絲DR</t>
  </si>
  <si>
    <t>2F79Q2</t>
  </si>
  <si>
    <t>T06-L)79D2-機型/DR</t>
  </si>
  <si>
    <t>2F79R1</t>
  </si>
  <si>
    <t>T04-L)79I1升速/DR機型….</t>
  </si>
  <si>
    <t>2F79S2</t>
  </si>
  <si>
    <t>T05-R)79K2-換原絲</t>
  </si>
  <si>
    <t>2F79T3</t>
  </si>
  <si>
    <t>T04-L)79M3</t>
  </si>
  <si>
    <t>2F79U2</t>
  </si>
  <si>
    <t>S1)78Z2-換原絲/DR機型….</t>
  </si>
  <si>
    <t>2F79V2</t>
  </si>
  <si>
    <t>A17-A)78B2/DR</t>
  </si>
  <si>
    <t>T03-R)79T3換原絲</t>
  </si>
  <si>
    <t>2F79X2</t>
  </si>
  <si>
    <t>2F79Y2</t>
  </si>
  <si>
    <t>A14-B)79X2換原絲/DR</t>
  </si>
  <si>
    <t>2F79Z1</t>
  </si>
  <si>
    <t>T03-R)79R1/換原絲/DR</t>
  </si>
  <si>
    <t>T03-R)79W3吃新紗</t>
  </si>
  <si>
    <t>機台(剖析)</t>
    <phoneticPr fontId="12" type="noConversion"/>
  </si>
  <si>
    <t>2F4871</t>
  </si>
  <si>
    <t>2F4881</t>
  </si>
  <si>
    <t>2F6DM1</t>
  </si>
  <si>
    <t>2F4892</t>
  </si>
  <si>
    <t>2F6DP1</t>
  </si>
  <si>
    <t>150/48/2SDR</t>
    <phoneticPr fontId="12" type="noConversion"/>
  </si>
  <si>
    <t>2F6DN1</t>
  </si>
  <si>
    <t>2F7A32</t>
  </si>
  <si>
    <t>2F4902</t>
  </si>
  <si>
    <r>
      <t>2025/0</t>
    </r>
    <r>
      <rPr>
        <b/>
        <sz val="12"/>
        <rFont val="微軟正黑體"/>
        <family val="2"/>
        <charset val="136"/>
      </rPr>
      <t>3月</t>
    </r>
    <phoneticPr fontId="14" type="noConversion"/>
  </si>
  <si>
    <t>2F7A53</t>
  </si>
  <si>
    <t>2F4931</t>
  </si>
  <si>
    <t>2F4951</t>
  </si>
  <si>
    <t>2F4921</t>
  </si>
  <si>
    <t>2F4941</t>
  </si>
  <si>
    <t>2F1VT2</t>
  </si>
  <si>
    <t>75/72BKR07</t>
  </si>
  <si>
    <t>2F28C2</t>
  </si>
  <si>
    <t>2F6DQ2</t>
  </si>
  <si>
    <t>2F4972</t>
  </si>
  <si>
    <t>2F1VV2</t>
  </si>
  <si>
    <t>2F1VU2</t>
  </si>
  <si>
    <t>75/72PDR</t>
  </si>
  <si>
    <t>2F4962</t>
  </si>
  <si>
    <t>2F4911</t>
  </si>
  <si>
    <t>2F4982</t>
  </si>
  <si>
    <t>2F6DR1</t>
  </si>
  <si>
    <t>150/48BK42</t>
  </si>
  <si>
    <t>2F28D1</t>
  </si>
  <si>
    <t>2F7A61</t>
  </si>
  <si>
    <t>白底藍心</t>
  </si>
  <si>
    <t>2F7A71</t>
  </si>
  <si>
    <t>2F1VW2</t>
  </si>
  <si>
    <t>2F6DS2</t>
  </si>
  <si>
    <t>2F08G2</t>
  </si>
  <si>
    <t>2F7A82</t>
  </si>
  <si>
    <t>2F28E2</t>
  </si>
  <si>
    <t>2F6DU2</t>
  </si>
  <si>
    <t>2F6DT1</t>
  </si>
  <si>
    <t>J08</t>
    <phoneticPr fontId="12" type="noConversion"/>
  </si>
  <si>
    <r>
      <rPr>
        <b/>
        <sz val="12"/>
        <color theme="0" tint="-4.9989318521683403E-2"/>
        <rFont val="微軟正黑體"/>
        <family val="2"/>
        <charset val="136"/>
      </rPr>
      <t>節約目標資料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</si>
  <si>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平均斷絲率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</si>
  <si>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開車台數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</si>
  <si>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平均丹尼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</si>
  <si>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外購量</t>
    </r>
  </si>
  <si>
    <r>
      <rPr>
        <b/>
        <sz val="12"/>
        <rFont val="微軟正黑體"/>
        <family val="2"/>
        <charset val="136"/>
      </rPr>
      <t>本月天數</t>
    </r>
    <phoneticPr fontId="12" type="noConversion"/>
  </si>
  <si>
    <r>
      <rPr>
        <b/>
        <sz val="12"/>
        <rFont val="微軟正黑體"/>
        <family val="2"/>
        <charset val="136"/>
      </rPr>
      <t>高壓台數</t>
    </r>
  </si>
  <si>
    <r>
      <rPr>
        <b/>
        <sz val="12"/>
        <rFont val="微軟正黑體"/>
        <family val="2"/>
        <charset val="136"/>
      </rPr>
      <t>低壓台數</t>
    </r>
  </si>
  <si>
    <r>
      <rPr>
        <b/>
        <sz val="12"/>
        <rFont val="微軟正黑體"/>
        <family val="2"/>
        <charset val="136"/>
      </rPr>
      <t>高壓耗氣量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2" type="noConversion"/>
  </si>
  <si>
    <r>
      <rPr>
        <b/>
        <sz val="12"/>
        <rFont val="微軟正黑體"/>
        <family val="2"/>
        <charset val="136"/>
      </rPr>
      <t>低壓耗氣量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2" type="noConversion"/>
  </si>
  <si>
    <r>
      <rPr>
        <b/>
        <sz val="12"/>
        <color theme="0" tint="-4.9989318521683403E-2"/>
        <rFont val="微軟正黑體"/>
        <family val="2"/>
        <charset val="136"/>
      </rPr>
      <t>每日生產效率資料</t>
    </r>
    <phoneticPr fontId="12" type="noConversion"/>
  </si>
  <si>
    <r>
      <rPr>
        <b/>
        <sz val="12"/>
        <color indexed="8"/>
        <rFont val="微軟正黑體"/>
        <family val="2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65" type="noConversion"/>
  </si>
  <si>
    <r>
      <rPr>
        <b/>
        <sz val="12"/>
        <color indexed="8"/>
        <rFont val="微軟正黑體"/>
        <family val="2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微軟正黑體"/>
        <family val="2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</si>
  <si>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外購量</t>
    </r>
    <r>
      <rPr>
        <b/>
        <sz val="12"/>
        <color rgb="FF000099"/>
        <rFont val="Arial"/>
        <family val="2"/>
      </rPr>
      <t>(T)</t>
    </r>
    <phoneticPr fontId="165" type="noConversion"/>
  </si>
  <si>
    <r>
      <rPr>
        <b/>
        <sz val="12"/>
        <color rgb="FF000099"/>
        <rFont val="微軟正黑體"/>
        <family val="2"/>
        <charset val="136"/>
      </rPr>
      <t>產量</t>
    </r>
    <r>
      <rPr>
        <b/>
        <sz val="12"/>
        <color rgb="FF000099"/>
        <rFont val="Arial"/>
        <family val="2"/>
      </rPr>
      <t>(T)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 xml:space="preserve">) </t>
    </r>
    <phoneticPr fontId="12" type="noConversion"/>
  </si>
  <si>
    <r>
      <t xml:space="preserve">A </t>
    </r>
    <r>
      <rPr>
        <b/>
        <sz val="12"/>
        <color indexed="8"/>
        <rFont val="微軟正黑體"/>
        <family val="2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2" type="noConversion"/>
  </si>
  <si>
    <r>
      <t>A 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65" type="noConversion"/>
  </si>
  <si>
    <r>
      <rPr>
        <b/>
        <sz val="12"/>
        <color indexed="8"/>
        <rFont val="微軟正黑體"/>
        <family val="2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</si>
  <si>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定重率</t>
    </r>
    <r>
      <rPr>
        <b/>
        <sz val="12"/>
        <color rgb="FF000099"/>
        <rFont val="Arial"/>
        <family val="2"/>
      </rPr>
      <t>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2" type="noConversion"/>
  </si>
  <si>
    <r>
      <rPr>
        <b/>
        <sz val="12"/>
        <color indexed="8"/>
        <rFont val="微軟正黑體"/>
        <family val="2"/>
        <charset val="136"/>
      </rPr>
      <t>廢絲率</t>
    </r>
    <r>
      <rPr>
        <b/>
        <sz val="12"/>
        <color indexed="8"/>
        <rFont val="Arial"/>
        <family val="2"/>
      </rPr>
      <t>(% )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</si>
  <si>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廢絲率</t>
    </r>
    <r>
      <rPr>
        <b/>
        <sz val="12"/>
        <color rgb="FF000099"/>
        <rFont val="Arial"/>
        <family val="2"/>
      </rPr>
      <t xml:space="preserve">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%</t>
    </r>
    <phoneticPr fontId="165" type="noConversion"/>
  </si>
  <si>
    <r>
      <rPr>
        <b/>
        <sz val="12"/>
        <color indexed="8"/>
        <rFont val="微軟正黑體"/>
        <family val="2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微軟正黑體"/>
        <family val="2"/>
        <charset val="136"/>
      </rPr>
      <t>元</t>
    </r>
    <r>
      <rPr>
        <b/>
        <sz val="12"/>
        <color indexed="8"/>
        <rFont val="Arial"/>
        <family val="2"/>
      </rPr>
      <t>/KG)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</si>
  <si>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工繳</t>
    </r>
    <r>
      <rPr>
        <b/>
        <sz val="12"/>
        <color rgb="FF000099"/>
        <rFont val="Arial"/>
        <family val="2"/>
      </rPr>
      <t>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  (</t>
    </r>
    <r>
      <rPr>
        <b/>
        <sz val="12"/>
        <color rgb="FF000099"/>
        <rFont val="微軟正黑體"/>
        <family val="2"/>
        <charset val="136"/>
      </rPr>
      <t>元</t>
    </r>
    <r>
      <rPr>
        <b/>
        <sz val="12"/>
        <color rgb="FF000099"/>
        <rFont val="Arial"/>
        <family val="2"/>
      </rPr>
      <t>/KG)</t>
    </r>
    <phoneticPr fontId="12" type="noConversion"/>
  </si>
  <si>
    <r>
      <rPr>
        <b/>
        <sz val="12"/>
        <color theme="1"/>
        <rFont val="微軟正黑體"/>
        <family val="2"/>
        <charset val="136"/>
      </rPr>
      <t>客戶抱怨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次</t>
    </r>
    <r>
      <rPr>
        <b/>
        <sz val="12"/>
        <color theme="1"/>
        <rFont val="Arial"/>
        <family val="2"/>
      </rPr>
      <t>)</t>
    </r>
    <phoneticPr fontId="165" type="noConversion"/>
  </si>
  <si>
    <r>
      <rPr>
        <b/>
        <sz val="12"/>
        <color theme="1"/>
        <rFont val="微軟正黑體"/>
        <family val="2"/>
        <charset val="136"/>
      </rPr>
      <t>損益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千元</t>
    </r>
    <r>
      <rPr>
        <b/>
        <sz val="12"/>
        <color theme="1"/>
        <rFont val="Arial"/>
        <family val="2"/>
      </rPr>
      <t>)</t>
    </r>
    <phoneticPr fontId="165" type="noConversion"/>
  </si>
  <si>
    <r>
      <rPr>
        <b/>
        <sz val="12"/>
        <rFont val="微軟正黑體"/>
        <family val="2"/>
        <charset val="136"/>
      </rPr>
      <t>內銷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</si>
  <si>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外銷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</si>
  <si>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調撥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</si>
  <si>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t>廢料量</t>
    <phoneticPr fontId="12" type="noConversion"/>
  </si>
  <si>
    <t>2F4993</t>
  </si>
  <si>
    <t>2F40D1</t>
  </si>
  <si>
    <t>2F6DW3</t>
  </si>
  <si>
    <t>2F40C2</t>
  </si>
  <si>
    <t>2F6DV2</t>
  </si>
  <si>
    <t>2F40E2</t>
  </si>
  <si>
    <t>1-4-1S85°</t>
  </si>
  <si>
    <t>1-4-1S83°</t>
  </si>
  <si>
    <t>1-5-1S85°</t>
  </si>
  <si>
    <t>2-5-1S83°</t>
  </si>
  <si>
    <t>1-4-1S83°S撚</t>
  </si>
  <si>
    <t>1-4-1S撚S83°</t>
  </si>
  <si>
    <t>1-5-1S91°</t>
  </si>
  <si>
    <t>1-5-1S83°</t>
  </si>
  <si>
    <t>1-4-1S87°</t>
  </si>
  <si>
    <t>2-5-1S85°</t>
  </si>
  <si>
    <t>1-4-1S91°</t>
  </si>
  <si>
    <t>1-5-1S87°</t>
  </si>
  <si>
    <t>1-4-1S+ZS85°</t>
  </si>
  <si>
    <t>1-5-1S87°→1-4-1S83°</t>
  </si>
  <si>
    <t>2-6-1S83°</t>
  </si>
  <si>
    <t>1-4-1S85°S撚</t>
  </si>
  <si>
    <t>1-4-1S85°Z+S</t>
  </si>
  <si>
    <t>105Z+S</t>
  </si>
  <si>
    <t>105°Z</t>
  </si>
  <si>
    <t>1-5-1S87°→1-5-1S83°</t>
  </si>
  <si>
    <t>1-4-1S83°Z+S</t>
  </si>
  <si>
    <t>1-5-1S85°Z+S</t>
  </si>
  <si>
    <t>1-5-1S撚S83°</t>
  </si>
  <si>
    <t>1-5-1S91</t>
  </si>
  <si>
    <t>1-5-1S87°Z+S</t>
  </si>
  <si>
    <t>105°Z+S</t>
  </si>
  <si>
    <t>1-4-1S85Z+S</t>
  </si>
  <si>
    <t>102.5°Z</t>
  </si>
  <si>
    <t>1-5-1S83°Z+S</t>
  </si>
  <si>
    <t>1-4-1S85°S+Z</t>
  </si>
  <si>
    <t>1-5-1S83</t>
  </si>
  <si>
    <t>1-5-1S87</t>
  </si>
  <si>
    <t>2-6-1S83</t>
  </si>
  <si>
    <t>1-5-1S85°S+Z</t>
  </si>
  <si>
    <t>1-5-1S91°Z+S</t>
  </si>
  <si>
    <t>1-7-1S83°</t>
  </si>
  <si>
    <t>2-6-1S83°Z+S</t>
  </si>
  <si>
    <t>1-5-1S83°S+Z</t>
  </si>
  <si>
    <t>1-5-1S91°Z+Z</t>
  </si>
  <si>
    <t>1-5-1S87°Z+Z</t>
  </si>
  <si>
    <t>(A07-B)78U2</t>
  </si>
  <si>
    <t>2F4861(A12)4821/換原絲/DR</t>
  </si>
  <si>
    <t>FP-8G2572</t>
  </si>
  <si>
    <t>114.3.25</t>
  </si>
  <si>
    <t>(A12)4821/換原絲/DR</t>
  </si>
  <si>
    <t>2F4871(A10-A)38511換原絲</t>
  </si>
  <si>
    <t>550↓500-4/9</t>
  </si>
  <si>
    <t>290/290/160</t>
  </si>
  <si>
    <t>FP-82563R</t>
  </si>
  <si>
    <t>(A10-A)38511換原絲</t>
  </si>
  <si>
    <t>2F4881(A17-A)4771/換原絲/DR/規格/升速</t>
  </si>
  <si>
    <t>114.3.31</t>
  </si>
  <si>
    <t>(A17-A)4771/換原絲/DR/規格/升速</t>
  </si>
  <si>
    <t>2F4892(T01-R)4712/換原絲/DR</t>
  </si>
  <si>
    <t>FP-81284R*2</t>
  </si>
  <si>
    <t>114.3.31</t>
    <phoneticPr fontId="12" type="noConversion"/>
  </si>
  <si>
    <t>(T01-R)4712/換原絲/DR</t>
  </si>
  <si>
    <t>2F4902(A09-B)4842換原絲/升速</t>
  </si>
  <si>
    <t>FP-82116R</t>
  </si>
  <si>
    <t>114.4.2</t>
  </si>
  <si>
    <t>(A09-B)4842換原絲/升速</t>
  </si>
  <si>
    <t>2F4911(A07-A)4211/DR</t>
  </si>
  <si>
    <t>114.4.14</t>
  </si>
  <si>
    <t>(A07-A)4211/DR</t>
  </si>
  <si>
    <t>2F4921(A18)4761換原絲/DR…</t>
  </si>
  <si>
    <t>FP-82121R</t>
  </si>
  <si>
    <t>114.4.7</t>
  </si>
  <si>
    <t>(A18)4761換原絲/DR…</t>
  </si>
  <si>
    <t>2F4931(A23)4771換原絲/規格…</t>
  </si>
  <si>
    <t>FP-82118R</t>
  </si>
  <si>
    <t>(A23)4771換原絲/規格…</t>
  </si>
  <si>
    <t>2F4941(A16)4811換原絲/升速….</t>
  </si>
  <si>
    <t>325/285/158</t>
  </si>
  <si>
    <t>(A16)4811換原絲/升速….</t>
  </si>
  <si>
    <t>2F4951(A20-A)4751換原絲/規格…</t>
  </si>
  <si>
    <t>(A20-A)4751換原絲/規格…</t>
  </si>
  <si>
    <t>2F4962(T05-R)4632/換原絲</t>
  </si>
  <si>
    <t>FP-81291R*2</t>
  </si>
  <si>
    <t>114.4.11</t>
  </si>
  <si>
    <t>(T05-R)4632/換原絲</t>
  </si>
  <si>
    <t>2F4972(S1)3ID2換原絲/DR</t>
  </si>
  <si>
    <t>FP-81788×2</t>
  </si>
  <si>
    <t>(S1)3ID2換原絲/DR</t>
  </si>
  <si>
    <t>2F4982(A10-A)4432不同規格</t>
  </si>
  <si>
    <t>FP-82564</t>
  </si>
  <si>
    <t>(A10-A)4432不同規格</t>
  </si>
  <si>
    <t>2F6DP1(T06-L)6CZ1換原絲</t>
  </si>
  <si>
    <t>FP-82115R*2</t>
  </si>
  <si>
    <t>(T06-L)6CZ1換原絲</t>
  </si>
  <si>
    <t>2F6DQ2(J08)6DG2換原絲/DR</t>
  </si>
  <si>
    <t>501/461/OFF</t>
  </si>
  <si>
    <t xml:space="preserve">P227*2.1               </t>
  </si>
  <si>
    <t xml:space="preserve">FP-82117R*2                                                                                             </t>
  </si>
  <si>
    <t>114.4.10</t>
  </si>
  <si>
    <t>(J08)6DG2換原絲/DR</t>
  </si>
  <si>
    <t>2F6DR1(A08-B)6CS1-換原絲/機型</t>
  </si>
  <si>
    <t>FP-82723*2</t>
  </si>
  <si>
    <t>(A08-B)6CS1-換原絲/機型</t>
  </si>
  <si>
    <t>2F7A32(A13-A)79S2-換原絲/DR/機型</t>
  </si>
  <si>
    <t>FP-81298R*2</t>
  </si>
  <si>
    <t>114.4.1</t>
  </si>
  <si>
    <t>(A13-A)79S2-換原絲/DR/機型</t>
  </si>
  <si>
    <t>2F7A42(A07-B)7A22-色差</t>
  </si>
  <si>
    <t>114.3.27</t>
  </si>
  <si>
    <t>(A07-B)7A22-色差</t>
  </si>
  <si>
    <t>2F7A53(T03-R)7A13換原絲</t>
  </si>
  <si>
    <t xml:space="preserve">FP-83016R*2    </t>
  </si>
  <si>
    <t>(T03-R)7A13換原絲</t>
  </si>
  <si>
    <t>2F7A61(T03-R)79Z1/DR</t>
  </si>
  <si>
    <t>114.4.17</t>
  </si>
  <si>
    <t>(T03-R)79Z1/DR</t>
  </si>
  <si>
    <t>2F1VT2(A24-A)1RN2(外購)</t>
  </si>
  <si>
    <t>FP-81545R</t>
  </si>
  <si>
    <t>120/72BKR</t>
  </si>
  <si>
    <t>114.4.9</t>
  </si>
  <si>
    <t>(A24-A)1RN2(外購)</t>
  </si>
  <si>
    <t>2F1VU2(A19-B)1VN2/換原絲..</t>
  </si>
  <si>
    <t>FP-81281R</t>
  </si>
  <si>
    <t>(A19-B)1VN2/換原絲..</t>
  </si>
  <si>
    <t>2F1VV2(A19-A)1QT2不同規格</t>
  </si>
  <si>
    <t>219/219/OFF</t>
  </si>
  <si>
    <t xml:space="preserve">FP-81293R                       </t>
  </si>
  <si>
    <t>(A19-A)1QT2不同規格</t>
  </si>
  <si>
    <t>2F28C2(A22-B)28A2換原絲</t>
  </si>
  <si>
    <t xml:space="preserve">FP-81297R                                                                                         </t>
  </si>
  <si>
    <t>114.4.8</t>
  </si>
  <si>
    <t>(A22-B)28A2換原絲</t>
  </si>
  <si>
    <t>2F28D1(A13-A)28B1換原絲</t>
  </si>
  <si>
    <t xml:space="preserve">FP-81300R                                                                                                  </t>
  </si>
  <si>
    <t>(A13-A)28B1換原絲</t>
  </si>
  <si>
    <t>2F6DL2(T03-L)6DE2/DR/換原絲/降速</t>
  </si>
  <si>
    <t>FP-82115R×2</t>
  </si>
  <si>
    <t>114.3.26</t>
  </si>
  <si>
    <t>(T03-L)6DE2/DR/換原絲/降速</t>
  </si>
  <si>
    <t>2F6DM1(A08-B)6Y51-換原絲</t>
  </si>
  <si>
    <t>FP-82757R*2</t>
  </si>
  <si>
    <t>(A08-B)6Y51-換原絲</t>
  </si>
  <si>
    <t>2F6DN1(S1)-6CY1換原絲-色紗-岩灰</t>
  </si>
  <si>
    <t>FP-82560×2</t>
  </si>
  <si>
    <t>(S1)-6CY1換原絲-色紗-岩灰</t>
  </si>
  <si>
    <t>2F08G2(A08-A)07Y2/換原絲</t>
  </si>
  <si>
    <t>FP-80109R</t>
  </si>
  <si>
    <t>114.4.30</t>
  </si>
  <si>
    <t>(A08-A)07Y2/換原絲</t>
  </si>
  <si>
    <t>2F1VW2(S1)1VT2/S撚/降速/DR機型</t>
  </si>
  <si>
    <t>114.4.25</t>
  </si>
  <si>
    <t>(S1)1VT2/S撚/降速/DR機型</t>
  </si>
  <si>
    <t>2F28E2(A21-B)28C2/DR</t>
  </si>
  <si>
    <t>114.4.29</t>
  </si>
  <si>
    <t>(A21-B)28C2/DR</t>
  </si>
  <si>
    <t>2F40C2(T04-R)4802/換原絲/DR</t>
  </si>
  <si>
    <t>FP-81304R*2</t>
  </si>
  <si>
    <t>114.5.2</t>
  </si>
  <si>
    <t>(T04-R)4802/換原絲/DR</t>
  </si>
  <si>
    <t>2F40D1(A18)4921換原絲</t>
  </si>
  <si>
    <t>351/311/156</t>
  </si>
  <si>
    <t>FP-82124R</t>
  </si>
  <si>
    <t>(A18)4921換原絲</t>
  </si>
  <si>
    <t>2F40E2(A19-A)4682/換原絲/機型/DR….</t>
  </si>
  <si>
    <t>FP-81293R*2</t>
  </si>
  <si>
    <t>114.5.6</t>
  </si>
  <si>
    <t>(A19-A)4682/換原絲/機型/DR….</t>
  </si>
  <si>
    <t>2F4993(A17-A)4703換原絲/DR</t>
  </si>
  <si>
    <t>FP-82125R</t>
  </si>
  <si>
    <t>114.5.4</t>
  </si>
  <si>
    <t>(A17-A)4703換原絲/DR</t>
  </si>
  <si>
    <t>2F6DS2(T06-R)6DL2/DR/換原絲</t>
  </si>
  <si>
    <t xml:space="preserve">FP-7KR25HG*2                                                                                       </t>
  </si>
  <si>
    <t>(T06-R)6DL2/DR/換原絲</t>
  </si>
  <si>
    <t>2F6DT1(S1)-6CK1/換原絲</t>
  </si>
  <si>
    <t>FP-82565×2</t>
  </si>
  <si>
    <t>(S1)-6CK1/換原絲</t>
  </si>
  <si>
    <t>2F6DU2(J07)6DK2換原絲</t>
  </si>
  <si>
    <t>488/458/OFF</t>
  </si>
  <si>
    <t>P227*2.1/DH4318*3.2</t>
  </si>
  <si>
    <t xml:space="preserve">FP-7KR25HJ*2                                                                                       </t>
  </si>
  <si>
    <t>(J07)6DK2換原絲</t>
  </si>
  <si>
    <t>2F6DV2(A11)6DI2/機型…</t>
  </si>
  <si>
    <t>350/320OFF</t>
  </si>
  <si>
    <t>114.5.5</t>
  </si>
  <si>
    <t>(A11)6DI2/機型…</t>
  </si>
  <si>
    <t>2F6DW3(T03-R)6CL3/換原絲</t>
  </si>
  <si>
    <t>FP-82123R*2</t>
  </si>
  <si>
    <t>(T03-R)6CL3/換原絲</t>
  </si>
  <si>
    <t>2F7A71(T03-R)7A61/DR換原絲</t>
  </si>
  <si>
    <t xml:space="preserve">FP-83017R*2                </t>
  </si>
  <si>
    <t>114.4.23</t>
  </si>
  <si>
    <t>(T03-R)7A61/DR換原絲</t>
  </si>
  <si>
    <t>2F7A82(A12-A)79V2/DR…換原絲</t>
  </si>
  <si>
    <t>FP-82636</t>
  </si>
  <si>
    <t>114.5.1</t>
  </si>
  <si>
    <t>(A12-A)79V2/DR…換原絲</t>
  </si>
  <si>
    <t>2F1VZ2</t>
  </si>
  <si>
    <t>2F1VX2</t>
  </si>
  <si>
    <t>2F1VY2</t>
  </si>
  <si>
    <t>2F40G2</t>
  </si>
  <si>
    <t>2F1WA2</t>
  </si>
  <si>
    <t>75/72EBFSD</t>
  </si>
  <si>
    <t>2F7B03</t>
  </si>
  <si>
    <t>2F08H2</t>
  </si>
  <si>
    <t>2F7A92</t>
  </si>
  <si>
    <t>50/72EBFSD</t>
  </si>
  <si>
    <t>30/36EBFSD</t>
  </si>
  <si>
    <t>2F6DY2</t>
  </si>
  <si>
    <t>2F7B13</t>
  </si>
  <si>
    <t>2F40H2</t>
  </si>
  <si>
    <t>2F40I2</t>
  </si>
  <si>
    <t>2F08H2(T02-L)</t>
  </si>
  <si>
    <t>FP-80111R</t>
  </si>
  <si>
    <t>85/72BFSD</t>
  </si>
  <si>
    <t>114.5.15</t>
  </si>
  <si>
    <t>2F1VX2(A20)1VL2換原絲</t>
  </si>
  <si>
    <t>276/276/OFF</t>
  </si>
  <si>
    <t>FP-81288R</t>
  </si>
  <si>
    <t>114.5.8</t>
  </si>
  <si>
    <t>2F1VY2(T05-R)</t>
  </si>
  <si>
    <t>FP-81307R</t>
  </si>
  <si>
    <t>120/72BFSD</t>
  </si>
  <si>
    <t>114.5.9</t>
  </si>
  <si>
    <t>2F1VZ2(A12-B)1VK2換原絲</t>
  </si>
  <si>
    <t xml:space="preserve">FP-81272R                       </t>
  </si>
  <si>
    <t>2F1WA2(A16-B)1TS2/DR</t>
  </si>
  <si>
    <t>114.5.10</t>
  </si>
  <si>
    <t>2F40G2(A08-B)4722</t>
  </si>
  <si>
    <t>2F6DY2(A18)6DV2/降速</t>
  </si>
  <si>
    <t>347/317OFF</t>
  </si>
  <si>
    <t>FP-82124R×2</t>
  </si>
  <si>
    <t>2F7A92(T02-R)</t>
  </si>
  <si>
    <t>FP-80112R</t>
  </si>
  <si>
    <t>50/36BFSD</t>
  </si>
  <si>
    <t>114.5.13</t>
  </si>
  <si>
    <t>2F7B03(T03-R)7A53換原絲</t>
  </si>
  <si>
    <t>114.5.12</t>
  </si>
  <si>
    <t>2F7B13(T03-R)7B03換原絲/DR</t>
  </si>
  <si>
    <t xml:space="preserve">FP-83018R*2    </t>
  </si>
  <si>
    <t>114.5.16</t>
  </si>
  <si>
    <t>(T02-L)</t>
  </si>
  <si>
    <t>(A20)1VL2換原絲</t>
  </si>
  <si>
    <t>(T05-R)</t>
  </si>
  <si>
    <t>(A12-B)1VK2換原絲</t>
  </si>
  <si>
    <t>(A16-B)1TS2/DR</t>
  </si>
  <si>
    <t>(A08-B)4722</t>
  </si>
  <si>
    <t>(A18)6DV2/降速</t>
  </si>
  <si>
    <t>(T02-R)</t>
  </si>
  <si>
    <t>(T03-R)7A53換原絲</t>
  </si>
  <si>
    <t>(T03-R)7B03換原絲/DR</t>
  </si>
  <si>
    <r>
      <t>B</t>
    </r>
    <r>
      <rPr>
        <sz val="14"/>
        <rFont val="新細明體"/>
        <family val="1"/>
        <charset val="136"/>
      </rPr>
      <t>級</t>
    </r>
    <phoneticPr fontId="17" type="noConversion"/>
  </si>
  <si>
    <t>2F7B22</t>
  </si>
  <si>
    <t>2F1WC2</t>
  </si>
  <si>
    <t>BRYAN</t>
  </si>
  <si>
    <t>2F40L2</t>
  </si>
  <si>
    <t>2F6EA1</t>
  </si>
  <si>
    <t>2F6EB2</t>
  </si>
  <si>
    <t>2F40M2</t>
  </si>
  <si>
    <r>
      <t>150/48</t>
    </r>
    <r>
      <rPr>
        <b/>
        <sz val="12"/>
        <rFont val="細明體"/>
        <family val="3"/>
        <charset val="136"/>
      </rPr>
      <t>以下</t>
    </r>
    <phoneticPr fontId="17" type="noConversion"/>
  </si>
  <si>
    <r>
      <t>150/48</t>
    </r>
    <r>
      <rPr>
        <b/>
        <sz val="12"/>
        <rFont val="細明體"/>
        <family val="3"/>
        <charset val="136"/>
      </rPr>
      <t>以上</t>
    </r>
    <phoneticPr fontId="17" type="noConversion"/>
  </si>
  <si>
    <t>2F6EC2</t>
  </si>
  <si>
    <t>2F1WE2</t>
  </si>
  <si>
    <t>2F28F2</t>
  </si>
  <si>
    <t>2F7B32</t>
  </si>
  <si>
    <t>30/36BFSD</t>
  </si>
  <si>
    <t>2F6DZ2</t>
  </si>
  <si>
    <t>2F6ED2</t>
  </si>
  <si>
    <t>平均車速</t>
    <phoneticPr fontId="12" type="noConversion"/>
  </si>
  <si>
    <t>會計_繳庫量</t>
    <phoneticPr fontId="12" type="noConversion"/>
  </si>
  <si>
    <t>會計_約當產量</t>
    <phoneticPr fontId="12" type="noConversion"/>
  </si>
  <si>
    <t>→哲銘傳的資料</t>
    <phoneticPr fontId="12" type="noConversion"/>
  </si>
  <si>
    <r>
      <rPr>
        <sz val="14"/>
        <color theme="1"/>
        <rFont val="新細明體"/>
        <family val="1"/>
        <charset val="136"/>
      </rPr>
      <t>新埔絲開發繳庫量</t>
    </r>
    <phoneticPr fontId="12" type="noConversion"/>
  </si>
  <si>
    <r>
      <rPr>
        <sz val="14"/>
        <rFont val="細明體"/>
        <family val="3"/>
        <charset val="136"/>
      </rPr>
      <t>平均日產量：</t>
    </r>
    <phoneticPr fontId="17" type="noConversion"/>
  </si>
  <si>
    <r>
      <t>(</t>
    </r>
    <r>
      <rPr>
        <sz val="14"/>
        <rFont val="新細明體"/>
        <family val="1"/>
        <charset val="136"/>
      </rPr>
      <t>含新埔代管</t>
    </r>
    <r>
      <rPr>
        <sz val="14"/>
        <rFont val="Times New Roman"/>
        <family val="1"/>
      </rPr>
      <t>)</t>
    </r>
    <phoneticPr fontId="12" type="noConversion"/>
  </si>
  <si>
    <r>
      <rPr>
        <sz val="14"/>
        <rFont val="新細明體"/>
        <family val="1"/>
        <charset val="136"/>
      </rPr>
      <t>代工累計</t>
    </r>
    <r>
      <rPr>
        <sz val="14"/>
        <rFont val="Times New Roman"/>
        <family val="1"/>
      </rPr>
      <t>A+AX</t>
    </r>
  </si>
  <si>
    <t>2025/01起廢料率==&gt;廢料產出量(用約當產量計算)</t>
    <phoneticPr fontId="12" type="noConversion"/>
  </si>
  <si>
    <r>
      <rPr>
        <b/>
        <sz val="18"/>
        <rFont val="新細明體"/>
        <family val="1"/>
        <charset val="136"/>
      </rPr>
      <t>平均斷絲率</t>
    </r>
    <phoneticPr fontId="12" type="noConversion"/>
  </si>
  <si>
    <t>2F1WF1</t>
  </si>
  <si>
    <t>2F40N1</t>
  </si>
  <si>
    <t>2F08J2</t>
  </si>
  <si>
    <t>50/72BFSD</t>
  </si>
  <si>
    <r>
      <rPr>
        <sz val="12"/>
        <rFont val="新細明體"/>
        <family val="1"/>
        <charset val="136"/>
      </rPr>
      <t>未調整</t>
    </r>
    <phoneticPr fontId="12" type="noConversion"/>
  </si>
  <si>
    <t>2F1WG2</t>
  </si>
  <si>
    <t>2F6EE2</t>
  </si>
  <si>
    <t>DENNIS</t>
  </si>
  <si>
    <t>2F6EF2</t>
  </si>
  <si>
    <t>JP</t>
  </si>
  <si>
    <t>2F1WI1</t>
  </si>
  <si>
    <t>2F6EG1</t>
  </si>
  <si>
    <t>A18</t>
    <phoneticPr fontId="0" type="noConversion"/>
  </si>
  <si>
    <t>2F40P2</t>
  </si>
  <si>
    <t>FP82567R</t>
  </si>
  <si>
    <t>JB</t>
  </si>
  <si>
    <t>2F1WK2</t>
  </si>
  <si>
    <t>白紅星星</t>
  </si>
  <si>
    <t>2F08J2(T02-L)</t>
  </si>
  <si>
    <t>170/130</t>
  </si>
  <si>
    <t>114.6.2</t>
  </si>
  <si>
    <t>2F1WC2(T05)</t>
  </si>
  <si>
    <t>114.5.23</t>
  </si>
  <si>
    <t>2F1WE2(A12-B)1PK2</t>
  </si>
  <si>
    <t>FP-81791</t>
  </si>
  <si>
    <t>114.5.27</t>
  </si>
  <si>
    <t>2F1WF1(A14)1JE1-換原絲/DR</t>
  </si>
  <si>
    <t xml:space="preserve">FP-7TR12AK             </t>
  </si>
  <si>
    <t>2F1WG2(A07-A)1PD2</t>
  </si>
  <si>
    <t>114.6.4</t>
  </si>
  <si>
    <t>2F28F2(A22)28C2換原絲</t>
  </si>
  <si>
    <t xml:space="preserve">FP-81311R                                                                                         </t>
  </si>
  <si>
    <t>114.4.27</t>
  </si>
  <si>
    <t>2F40H2(A08-B)40G2換原絲/DR</t>
  </si>
  <si>
    <t>FP-82761R</t>
  </si>
  <si>
    <t>114.5.19</t>
  </si>
  <si>
    <t>2F40I2(T01-L)4892/換原絲/DR….</t>
  </si>
  <si>
    <t>2F40J2(A09-B)4902換原絲</t>
  </si>
  <si>
    <t>FP-82126R</t>
  </si>
  <si>
    <t>2F40L2(T04-L)4892/換原絲</t>
  </si>
  <si>
    <t>FP-81314R*2</t>
  </si>
  <si>
    <t>114.5.28</t>
  </si>
  <si>
    <t>2F40M2(T04-R)40C2/換原絲</t>
  </si>
  <si>
    <t>FP-81316R*2</t>
  </si>
  <si>
    <t>114.5.26</t>
  </si>
  <si>
    <t>2F40N1(A17)4941換原絲/降速….</t>
  </si>
  <si>
    <t>FP-82130R</t>
  </si>
  <si>
    <t>2F6DZ2(T03)6DL2/換原絲</t>
  </si>
  <si>
    <t>FP-82127R×2</t>
  </si>
  <si>
    <t>2F6EA1(A24-A)6BC1-換原絲/DR色紗-岩灰</t>
  </si>
  <si>
    <t>FP-82566×2</t>
  </si>
  <si>
    <t>2F6EB2(J08)6DQ2換原絲</t>
  </si>
  <si>
    <t>496/456/OFF</t>
  </si>
  <si>
    <t xml:space="preserve">DH4318*2.9               </t>
  </si>
  <si>
    <t xml:space="preserve">FP-82127R*2                                                                                             </t>
  </si>
  <si>
    <t>2F6EC2(A11-B)6DV2/換原絲/DR</t>
  </si>
  <si>
    <t>P227*2.2</t>
  </si>
  <si>
    <t>FP-82126R×2</t>
  </si>
  <si>
    <t>2F6ED2(A18-A)6DY2/換原絲/DR</t>
  </si>
  <si>
    <t>FP-82128R×2</t>
  </si>
  <si>
    <t>2F6EE2(T02-R)6DL2/換原絲</t>
  </si>
  <si>
    <t>FP-82131R×2</t>
  </si>
  <si>
    <t>114.6.5</t>
  </si>
  <si>
    <t>2F7B22(A23-B)78N2換原絲</t>
  </si>
  <si>
    <t>FP-83701R</t>
  </si>
  <si>
    <t>114.5.22</t>
  </si>
  <si>
    <t>2F7B32(T02-R)</t>
  </si>
  <si>
    <t>165/130</t>
  </si>
  <si>
    <t>(T05)</t>
  </si>
  <si>
    <t>(A12-B)1PK2</t>
  </si>
  <si>
    <t>(A14)1JE1-換原絲/DR</t>
  </si>
  <si>
    <t>(A07-A)1PD2</t>
  </si>
  <si>
    <t>(A22)28C2換原絲</t>
  </si>
  <si>
    <t>(A08-B)40G2換原絲/DR</t>
  </si>
  <si>
    <t>(T01-L)4892/換原絲/DR….</t>
  </si>
  <si>
    <t>2F40J2</t>
  </si>
  <si>
    <t>(A09-B)4902換原絲</t>
  </si>
  <si>
    <t>(T04-L)4892/換原絲</t>
  </si>
  <si>
    <t>(T04-R)40C2/換原絲</t>
  </si>
  <si>
    <t>(A17)4941換原絲/降速….</t>
  </si>
  <si>
    <t>(T03)6DL2/換原絲</t>
  </si>
  <si>
    <t>(A24-A)6BC1-換原絲/DR色紗-岩灰</t>
  </si>
  <si>
    <t>(J08)6DQ2換原絲</t>
  </si>
  <si>
    <t>(A11-B)6DV2/換原絲/DR</t>
  </si>
  <si>
    <t>(A18-A)6DY2/換原絲/DR</t>
  </si>
  <si>
    <t>(T02-R)6DL2/換原絲</t>
  </si>
  <si>
    <t>(A23-B)78N2換原絲</t>
  </si>
  <si>
    <t>2F6EH2</t>
  </si>
  <si>
    <t>2F1WL2</t>
  </si>
  <si>
    <t>2F1WM2</t>
  </si>
  <si>
    <t>2F1WN2</t>
  </si>
  <si>
    <t>2F40Q2</t>
  </si>
  <si>
    <t>2F40S2</t>
  </si>
  <si>
    <t>2F6EI3</t>
  </si>
  <si>
    <t>2F7B43</t>
  </si>
  <si>
    <t>2F28H2</t>
  </si>
  <si>
    <t>2F1WP2</t>
  </si>
  <si>
    <t>T02</t>
    <phoneticPr fontId="14" type="noConversion"/>
  </si>
  <si>
    <t>2F6EJ3</t>
  </si>
  <si>
    <t>FP82124R</t>
  </si>
  <si>
    <t>紫白條紋</t>
  </si>
  <si>
    <t>FP82126R</t>
  </si>
  <si>
    <t>2F1WI1(A13)1WF1</t>
  </si>
  <si>
    <t>114.6.9</t>
  </si>
  <si>
    <t>2F1WK2(A24-B)1VT2</t>
  </si>
  <si>
    <t>114.6.16</t>
  </si>
  <si>
    <t>2F1WL2(A16)1WA2/DR</t>
  </si>
  <si>
    <t>FP-81319R</t>
  </si>
  <si>
    <t>114.6.19</t>
  </si>
  <si>
    <t>2F1WM2(S1)1VD2換原絲</t>
  </si>
  <si>
    <t>2F1WN2(S1)1TR2換原絲</t>
  </si>
  <si>
    <t>FP-81548</t>
  </si>
  <si>
    <t>2F40P2(A10-A)4692/DR</t>
  </si>
  <si>
    <t>FP-82567R</t>
  </si>
  <si>
    <t>23.5↓21.5-6/16</t>
  </si>
  <si>
    <t>114.6.13</t>
  </si>
  <si>
    <t>2F6EF2(J07)6DU2換原絲...</t>
  </si>
  <si>
    <t xml:space="preserve">FP-82131R*2                                                                                       </t>
  </si>
  <si>
    <t>114.6.6</t>
  </si>
  <si>
    <t>2F6EG1(T05-L)6CZ1換原絲</t>
  </si>
  <si>
    <t>FP-82128R*2</t>
  </si>
  <si>
    <t>114.6.11</t>
  </si>
  <si>
    <t>2F6EH2(T03)6DZ2/換原絲/DR</t>
  </si>
  <si>
    <t>FP-82134R×2</t>
  </si>
  <si>
    <t>114.6.17</t>
  </si>
  <si>
    <t>(A13)1WF1</t>
  </si>
  <si>
    <t>(A24-B)1VT2</t>
  </si>
  <si>
    <t>(A16)1WA2/DR</t>
  </si>
  <si>
    <t>(S1)1VD2換原絲</t>
  </si>
  <si>
    <t>(S1)1TR2換原絲</t>
  </si>
  <si>
    <t>(A10-A)4692/DR</t>
  </si>
  <si>
    <t>(J07)6DU2換原絲...</t>
  </si>
  <si>
    <t>(T05-L)6CZ1換原絲</t>
  </si>
  <si>
    <t>(T03)6DZ2/換原絲/DR</t>
  </si>
  <si>
    <t>M04</t>
    <phoneticPr fontId="14" type="noConversion"/>
  </si>
  <si>
    <t>2F40R2</t>
  </si>
  <si>
    <t>2025/06月</t>
  </si>
  <si>
    <t>2025/04月</t>
  </si>
  <si>
    <t>2025/05月</t>
  </si>
  <si>
    <t>A23</t>
    <phoneticPr fontId="14" type="noConversion"/>
  </si>
  <si>
    <r>
      <rPr>
        <b/>
        <sz val="12"/>
        <rFont val="微軟正黑體"/>
        <family val="2"/>
        <charset val="136"/>
      </rPr>
      <t>約當產量</t>
    </r>
    <r>
      <rPr>
        <b/>
        <sz val="12"/>
        <rFont val="Arial"/>
        <family val="2"/>
      </rPr>
      <t>(</t>
    </r>
    <r>
      <rPr>
        <b/>
        <sz val="12"/>
        <rFont val="細明體"/>
        <family val="2"/>
        <charset val="136"/>
      </rPr>
      <t>成本計算</t>
    </r>
    <r>
      <rPr>
        <b/>
        <sz val="12"/>
        <rFont val="Arial"/>
        <family val="2"/>
      </rPr>
      <t>)(</t>
    </r>
    <r>
      <rPr>
        <b/>
        <sz val="12"/>
        <rFont val="微軟正黑體"/>
        <family val="2"/>
        <charset val="136"/>
      </rPr>
      <t>盤點表</t>
    </r>
    <r>
      <rPr>
        <b/>
        <sz val="12"/>
        <rFont val="Arial"/>
        <family val="2"/>
      </rPr>
      <t>)</t>
    </r>
    <phoneticPr fontId="12" type="noConversion"/>
  </si>
  <si>
    <t>2F1WQ1</t>
  </si>
  <si>
    <t>2F1WR2</t>
  </si>
  <si>
    <t>FP81326R</t>
  </si>
  <si>
    <t>2F1WU2</t>
  </si>
  <si>
    <t>FP81623</t>
  </si>
  <si>
    <t>平均值 - 斷絲(H)</t>
  </si>
  <si>
    <t>2F1WS2</t>
  </si>
  <si>
    <t>2F1WT2</t>
  </si>
  <si>
    <t>2F40T3</t>
  </si>
  <si>
    <t>2F6EK3</t>
  </si>
  <si>
    <t>2F6EL1</t>
  </si>
  <si>
    <t>2F6EM3</t>
  </si>
  <si>
    <t>2F1WV2</t>
  </si>
  <si>
    <t>1月</t>
    <phoneticPr fontId="12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</si>
  <si>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</si>
  <si>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</si>
  <si>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</si>
  <si>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</si>
  <si>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</si>
  <si>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</si>
  <si>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</si>
  <si>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</si>
  <si>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</si>
  <si>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</si>
  <si>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</si>
  <si>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2F6EN1</t>
  </si>
  <si>
    <t>FP81550</t>
  </si>
  <si>
    <t>2F6EP1</t>
  </si>
  <si>
    <t>2F1WW2</t>
  </si>
  <si>
    <t>2F6ES1</t>
  </si>
  <si>
    <t>2F40W2</t>
  </si>
  <si>
    <t>2F6ER2</t>
  </si>
  <si>
    <t>FP82767R</t>
  </si>
  <si>
    <t>2F40X2</t>
  </si>
  <si>
    <t>2F1WX2</t>
  </si>
  <si>
    <t>2F28J1</t>
  </si>
  <si>
    <t>FP81303R</t>
  </si>
  <si>
    <t>2F6ET1</t>
  </si>
  <si>
    <t>2F7B51</t>
  </si>
  <si>
    <t>白桔雙色</t>
  </si>
  <si>
    <t>DiscType/TwistAngle</t>
    <phoneticPr fontId="12" type="noConversion"/>
  </si>
  <si>
    <t>DiscType/</t>
    <phoneticPr fontId="12" type="noConversion"/>
  </si>
  <si>
    <t>TwistAngle</t>
    <phoneticPr fontId="12" type="noConversion"/>
  </si>
  <si>
    <t>S撚</t>
  </si>
  <si>
    <t>→1-4-1S83</t>
  </si>
  <si>
    <t>Z+S</t>
  </si>
  <si>
    <t>Z</t>
  </si>
  <si>
    <t>→1-5-1S83</t>
  </si>
  <si>
    <t>S+Z</t>
  </si>
  <si>
    <t>Z+Z</t>
  </si>
  <si>
    <t>1-5-1S85°Z撚</t>
  </si>
  <si>
    <t>Z撚</t>
  </si>
  <si>
    <t>1-5-1S85°</t>
    <phoneticPr fontId="12" type="noConversion"/>
  </si>
  <si>
    <t>2F1WP2(A20-B)1VX2換原絲/升速</t>
  </si>
  <si>
    <t>114.6.23</t>
  </si>
  <si>
    <t>(A20-B)1VX2換原絲/升速</t>
  </si>
  <si>
    <t>2F28H2(A08-A)28F2</t>
  </si>
  <si>
    <t>114.6.24</t>
  </si>
  <si>
    <t>(A08-A)28F2</t>
  </si>
  <si>
    <t>2F40Q2(A08-B)40H2換原絲</t>
  </si>
  <si>
    <t>FP-82765R</t>
  </si>
  <si>
    <t>114.6.20</t>
  </si>
  <si>
    <t>(A08-B)40H2換原絲</t>
  </si>
  <si>
    <t>2F40S2(T01-L)4682換原絲</t>
  </si>
  <si>
    <t>FP-81310R*2</t>
  </si>
  <si>
    <t>(T01-L)4682換原絲</t>
  </si>
  <si>
    <t>2F6EI3(A23-A)6DW3機型/升速/壓力/改重量</t>
  </si>
  <si>
    <t>(A23-A)6DW3機型/升速/壓力/改重量</t>
  </si>
  <si>
    <t>2F6EJ3(A23-A)6EI3換原絲</t>
  </si>
  <si>
    <t>FP-82136R*2</t>
  </si>
  <si>
    <t>114.6.27</t>
  </si>
  <si>
    <t>(A23-A)6EI3換原絲</t>
  </si>
  <si>
    <t>2F7B43(T05-R)7A13換原絲</t>
  </si>
  <si>
    <t>1-5-1S85°Z+S</t>
    <phoneticPr fontId="12" type="noConversion"/>
  </si>
  <si>
    <t xml:space="preserve">FP-83020R*2    </t>
  </si>
  <si>
    <t>(T05-R)7A13換原絲</t>
  </si>
  <si>
    <t>2F7B61</t>
  </si>
  <si>
    <t>2F40Y2</t>
  </si>
  <si>
    <t>2F28I2</t>
  </si>
  <si>
    <t>2F28K2</t>
  </si>
  <si>
    <t>2F1WY2</t>
  </si>
  <si>
    <t>2F7B73</t>
  </si>
  <si>
    <t>55</t>
    <phoneticPr fontId="12" type="noConversion"/>
  </si>
  <si>
    <t>-5.6</t>
    <phoneticPr fontId="12" type="noConversion"/>
  </si>
  <si>
    <t>IAD_114年</t>
    <phoneticPr fontId="12" type="noConversion"/>
  </si>
  <si>
    <t>丹尼</t>
  </si>
  <si>
    <r>
      <t>2025</t>
    </r>
    <r>
      <rPr>
        <sz val="14"/>
        <color rgb="FF000000"/>
        <rFont val="標楷體"/>
        <family val="4"/>
        <charset val="136"/>
      </rPr>
      <t>年度</t>
    </r>
  </si>
  <si>
    <t>本月成績</t>
  </si>
  <si>
    <t>ISO 9001</t>
  </si>
  <si>
    <r>
      <t>品判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</si>
  <si>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r>
      <t>繳庫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</si>
  <si>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t>定　重　率：</t>
  </si>
  <si>
    <r>
      <t>廢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料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</si>
  <si>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t>%</t>
  </si>
  <si>
    <t>ISO 14001</t>
  </si>
  <si>
    <r>
      <t>環保違規次數：</t>
    </r>
    <r>
      <rPr>
        <sz val="14"/>
        <color rgb="FF000000"/>
        <rFont val="Times New Roman"/>
        <family val="1"/>
      </rPr>
      <t xml:space="preserve"> </t>
    </r>
  </si>
  <si>
    <t>件</t>
  </si>
  <si>
    <t>ISO 45001</t>
  </si>
  <si>
    <r>
      <t>工安事件件數：</t>
    </r>
    <r>
      <rPr>
        <sz val="14"/>
        <color rgb="FF000000"/>
        <rFont val="Times New Roman"/>
        <family val="1"/>
      </rPr>
      <t xml:space="preserve"> </t>
    </r>
  </si>
  <si>
    <t>ISO 50001</t>
  </si>
  <si>
    <r>
      <t>節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電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</si>
  <si>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r>
      <t>單</t>
    </r>
    <r>
      <rPr>
        <sz val="14"/>
        <color rgb="FF000000"/>
        <rFont val="Times New Roman"/>
        <family val="1"/>
      </rPr>
      <t xml:space="preserve">      </t>
    </r>
    <r>
      <rPr>
        <sz val="14"/>
        <color rgb="FF000000"/>
        <rFont val="標楷體"/>
        <family val="4"/>
        <charset val="136"/>
      </rPr>
      <t>耗：</t>
    </r>
  </si>
  <si>
    <r>
      <t>1900</t>
    </r>
    <r>
      <rPr>
        <sz val="14"/>
        <color rgb="FF000000"/>
        <rFont val="標楷體"/>
        <family val="4"/>
        <charset val="136"/>
      </rPr>
      <t>噸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月</t>
    </r>
  </si>
  <si>
    <t>工繳</t>
  </si>
  <si>
    <r>
      <t>19.5</t>
    </r>
    <r>
      <rPr>
        <sz val="14"/>
        <color rgb="FF000000"/>
        <rFont val="標楷體"/>
        <family val="4"/>
        <charset val="136"/>
      </rPr>
      <t>元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公斤</t>
    </r>
  </si>
  <si>
    <t>淨利</t>
  </si>
  <si>
    <r>
      <t>-2,237.1</t>
    </r>
    <r>
      <rPr>
        <sz val="14"/>
        <color rgb="FF000000"/>
        <rFont val="標楷體"/>
        <family val="4"/>
        <charset val="136"/>
      </rPr>
      <t>萬元</t>
    </r>
  </si>
  <si>
    <r>
      <t xml:space="preserve">       *</t>
    </r>
    <r>
      <rPr>
        <sz val="14"/>
        <rFont val="標楷體"/>
        <family val="4"/>
        <charset val="136"/>
      </rPr>
      <t>本月產能較同期</t>
    </r>
    <r>
      <rPr>
        <sz val="14"/>
        <rFont val="Times New Roman"/>
        <family val="1"/>
      </rPr>
      <t>-201</t>
    </r>
    <r>
      <rPr>
        <sz val="14"/>
        <rFont val="標楷體"/>
        <family val="4"/>
        <charset val="136"/>
      </rPr>
      <t>噸，故單耗較高。</t>
    </r>
  </si>
  <si>
    <r>
      <t>≦</t>
    </r>
    <r>
      <rPr>
        <u/>
        <sz val="14"/>
        <color rgb="FF000000"/>
        <rFont val="Cambria Math"/>
        <family val="1"/>
      </rPr>
      <t>2</t>
    </r>
    <phoneticPr fontId="12" type="noConversion"/>
  </si>
  <si>
    <r>
      <t>≧</t>
    </r>
    <r>
      <rPr>
        <u/>
        <sz val="14"/>
        <color rgb="FF000000"/>
        <rFont val="Times New Roman"/>
        <family val="1"/>
      </rPr>
      <t>1</t>
    </r>
    <phoneticPr fontId="12" type="noConversion"/>
  </si>
  <si>
    <t>2F40Z2</t>
  </si>
  <si>
    <t>2F1WZ2</t>
  </si>
  <si>
    <t>2F28L1</t>
  </si>
  <si>
    <t>2F41A2</t>
  </si>
  <si>
    <t>FP81333R×2</t>
  </si>
  <si>
    <t>2F6EU1</t>
  </si>
  <si>
    <t>2F28M2</t>
  </si>
  <si>
    <t>2F28N2</t>
  </si>
  <si>
    <t>2F41B2</t>
  </si>
  <si>
    <t>2F6EV1</t>
  </si>
  <si>
    <t>2F7B82</t>
  </si>
  <si>
    <t>2F1XA2</t>
  </si>
  <si>
    <t>45/24SAXT</t>
  </si>
  <si>
    <t>2F6EW1</t>
  </si>
  <si>
    <t>2F41C2</t>
  </si>
  <si>
    <t>2F1XB2</t>
  </si>
  <si>
    <t>2F41D2</t>
  </si>
  <si>
    <t>2F1XC2</t>
  </si>
  <si>
    <t>2.8</t>
    <phoneticPr fontId="12" type="noConversion"/>
  </si>
  <si>
    <t>2F6EX1</t>
  </si>
  <si>
    <t>2F6EY2</t>
  </si>
  <si>
    <t>2F41E1</t>
  </si>
  <si>
    <t>2F6EZ1</t>
  </si>
  <si>
    <t>2F1WZ2(A09)1VZ2</t>
  </si>
  <si>
    <t>114.8.1</t>
  </si>
  <si>
    <t>2F1XA2(A12)1VR2換原絲/機型/DR</t>
  </si>
  <si>
    <t>FP-81787</t>
  </si>
  <si>
    <t>125/72HC</t>
  </si>
  <si>
    <t>114.8.11</t>
  </si>
  <si>
    <t>2F1WQ1(A14)1WF1-換原絲</t>
  </si>
  <si>
    <t xml:space="preserve">FP-79R12AJ             </t>
  </si>
  <si>
    <t>114.7.4</t>
  </si>
  <si>
    <t>2F1WR2(A21)1VL2換原絲/DR</t>
  </si>
  <si>
    <t>FP-81326R</t>
  </si>
  <si>
    <t>2F1WS2(A11-A)1VJ2換原絲</t>
  </si>
  <si>
    <t>FP-81623</t>
  </si>
  <si>
    <t>114.7.11</t>
  </si>
  <si>
    <t>2F1WT2(A09)1VJ2換原絲</t>
  </si>
  <si>
    <t>114.7.14</t>
  </si>
  <si>
    <t>磷含量-6925</t>
  </si>
  <si>
    <t>2F1WU2(A12-A)1SV2-換原絲/DR….</t>
  </si>
  <si>
    <t>114.7.9</t>
  </si>
  <si>
    <t>磷含量-6810</t>
  </si>
  <si>
    <t>2F1WV2(A24-A)1TB2換原絲</t>
  </si>
  <si>
    <t>FP-81550</t>
  </si>
  <si>
    <t>114.7.16</t>
  </si>
  <si>
    <t>2F1WW2(A13-A)1WJ2換原絲</t>
  </si>
  <si>
    <t>FP-81856</t>
  </si>
  <si>
    <t>114.7.18</t>
  </si>
  <si>
    <t>2F1WX2(A07-A)1QB2換原絲</t>
  </si>
  <si>
    <t>FP-81551</t>
  </si>
  <si>
    <t>114.7.25</t>
  </si>
  <si>
    <t>2F1WY2(A20-A)S撚-1VP2</t>
  </si>
  <si>
    <t>114.7.29</t>
  </si>
  <si>
    <t>2F28I2(A22)28F2換原絲/DR</t>
  </si>
  <si>
    <t xml:space="preserve">FP-81325R                                                                                         </t>
  </si>
  <si>
    <t>114.7.28</t>
  </si>
  <si>
    <t>2F28J1(A17-B)28D1換原絲/DR</t>
  </si>
  <si>
    <t xml:space="preserve">FP-81303R                                                                                                  </t>
  </si>
  <si>
    <t>2F28K2(A08-A)28H2換原絲</t>
  </si>
  <si>
    <t>2F28L1(A17-A)28J1換原絲</t>
  </si>
  <si>
    <t xml:space="preserve">FP-81329R                                                                                                  </t>
  </si>
  <si>
    <t>114.8.5</t>
  </si>
  <si>
    <t>2F28M2(A08-A)28K2換原絲</t>
  </si>
  <si>
    <t xml:space="preserve">FP-81336R                                                                                         </t>
  </si>
  <si>
    <t>114.8.6</t>
  </si>
  <si>
    <t>2F28N2(A22)28I2換原絲/DR</t>
  </si>
  <si>
    <t>114.8.7</t>
  </si>
  <si>
    <t>2F41A2(A23)40R2/換原絲/機型/DR….</t>
  </si>
  <si>
    <t>FP-81333R*2</t>
  </si>
  <si>
    <t>2F41B2(A19-A)40Y2/換原絲</t>
  </si>
  <si>
    <t>FP-81334R*2</t>
  </si>
  <si>
    <t>114.8.8</t>
  </si>
  <si>
    <t>2F41C2(T03-R)40L2/換原絲/DR</t>
  </si>
  <si>
    <t>114.8.14</t>
  </si>
  <si>
    <t>2F40R2(T01-R)40I2/換原絲.降速/DR….</t>
  </si>
  <si>
    <t>179/OFF</t>
  </si>
  <si>
    <t>FP-81312R*2</t>
  </si>
  <si>
    <t>114.7.1</t>
  </si>
  <si>
    <t>2F40T3(T04-R)3XG3換原絲/DR</t>
  </si>
  <si>
    <t>FP-81787+81319R</t>
  </si>
  <si>
    <t>114.7.10</t>
  </si>
  <si>
    <t>2F40U3(A17)3VI3換原絲</t>
  </si>
  <si>
    <t>FP-82634</t>
  </si>
  <si>
    <t>磷含量-6525</t>
  </si>
  <si>
    <t>2F40V1(A10-A)3PX1-換原絲/DR….</t>
  </si>
  <si>
    <t>FP-62639</t>
  </si>
  <si>
    <t>255/48KR5</t>
  </si>
  <si>
    <t>114.7.15</t>
  </si>
  <si>
    <t>2F40W2(A17-A)40Q2換原絲/DR</t>
  </si>
  <si>
    <t>FP-82767R</t>
  </si>
  <si>
    <t>3↓2.8-7/31</t>
  </si>
  <si>
    <t>114.7.27</t>
  </si>
  <si>
    <t>2F40X2(A08-B)40J2換原絲</t>
  </si>
  <si>
    <t>114.7.24</t>
  </si>
  <si>
    <t>2F40Y2(A19)40E2/換原絲</t>
  </si>
  <si>
    <t>2F40Z2(T01-R)40S2換原絲(SDR)</t>
  </si>
  <si>
    <t>FP-81331R*2</t>
  </si>
  <si>
    <t>原絲SDR→改標PDR</t>
  </si>
  <si>
    <t>2F6EK3(T05-R)6CV3-換原絲</t>
  </si>
  <si>
    <t>FP-82634×2</t>
  </si>
  <si>
    <t>磷含量-6780</t>
  </si>
  <si>
    <t>2F6EL1(A10-B)6BP1/換原絲/DR</t>
  </si>
  <si>
    <t>FP-82639*2</t>
  </si>
  <si>
    <t>2F6EM3(T03-R)6EJ3/DR/機型升速</t>
  </si>
  <si>
    <t>P204*3.6</t>
  </si>
  <si>
    <t>2F6EN1(A24-B)-6BH1/DR...換原絲</t>
  </si>
  <si>
    <t>308/308/190</t>
  </si>
  <si>
    <t>FP-82569×2</t>
  </si>
  <si>
    <t>2F6EP1(T03-L)6CZ1換原絲</t>
  </si>
  <si>
    <t>FP-82135R*2</t>
  </si>
  <si>
    <t>2F6EQ1(T05-R)6CX1換原絲</t>
  </si>
  <si>
    <t xml:space="preserve">FP-82634×2                                      </t>
  </si>
  <si>
    <t>磷含量-6440</t>
  </si>
  <si>
    <t>2F6ER2(A18-B)6ED2/換原絲/重量</t>
  </si>
  <si>
    <t>353/323OFF</t>
  </si>
  <si>
    <t>FP-82138R×2</t>
  </si>
  <si>
    <t>114.7.23</t>
  </si>
  <si>
    <t>2F6ES1(T05-L)6EG1換原絲</t>
  </si>
  <si>
    <t>175/173</t>
  </si>
  <si>
    <t>114.7.22</t>
  </si>
  <si>
    <t>2F6ET1(S1)6BM1/換原絲/機型/物性LIKE6AN1</t>
  </si>
  <si>
    <t>FP-82570×2</t>
  </si>
  <si>
    <t>2F6EU1(A24-A)-6DT1/換原絲/DR/機型</t>
  </si>
  <si>
    <t>FP-82571×2</t>
  </si>
  <si>
    <t>2F6EV1(S1)6ET1/吃偏深紗</t>
  </si>
  <si>
    <t>114.8.12</t>
  </si>
  <si>
    <t>2F6EW1(T05-R)66D1換原絲/DR</t>
  </si>
  <si>
    <t>FP-82141R*2</t>
  </si>
  <si>
    <t>255/48FBR</t>
  </si>
  <si>
    <t>2F7B51(T04-R)78C1換原絲/DR/機型….</t>
  </si>
  <si>
    <t>181/162</t>
  </si>
  <si>
    <t>FP-82640×2</t>
  </si>
  <si>
    <t>磷含量-6340</t>
  </si>
  <si>
    <t>2F7B61(T04-R)77N1-換原絲DR</t>
  </si>
  <si>
    <t>FP-83601R×2</t>
  </si>
  <si>
    <t>磷含量-6180</t>
  </si>
  <si>
    <t>2F7B73(T05-R)7B43換原絲</t>
  </si>
  <si>
    <t xml:space="preserve">FP-83021R*2    </t>
  </si>
  <si>
    <t>114.7.30</t>
  </si>
  <si>
    <t>2F7B82(S1)M1I2</t>
  </si>
  <si>
    <t>FP-00301</t>
  </si>
  <si>
    <t>75/24SAXT</t>
  </si>
  <si>
    <t>(A09)1VZ2</t>
  </si>
  <si>
    <t>(A12)1VR2換原絲/機型/DR</t>
  </si>
  <si>
    <t>(A14)1WF1-換原絲</t>
  </si>
  <si>
    <t>(A21)1VL2換原絲/DR</t>
  </si>
  <si>
    <t>(A11-A)1VJ2換原絲</t>
  </si>
  <si>
    <t>(A09)1VJ2換原絲</t>
  </si>
  <si>
    <t>(A12-A)1SV2-換原絲/DR….</t>
  </si>
  <si>
    <t>(A24-A)1TB2換原絲</t>
  </si>
  <si>
    <t>(A13-A)1WJ2換原絲</t>
  </si>
  <si>
    <t>(A07-A)1QB2換原絲</t>
  </si>
  <si>
    <t>(A20-A)S撚-1VP2</t>
  </si>
  <si>
    <t>(A22)28F2換原絲/DR</t>
  </si>
  <si>
    <t>(A17-B)28D1換原絲/DR</t>
  </si>
  <si>
    <t>(A08-A)28H2換原絲</t>
  </si>
  <si>
    <t>(A17-A)28J1換原絲</t>
  </si>
  <si>
    <t>(A08-A)28K2換原絲</t>
  </si>
  <si>
    <t>(A22)28I2換原絲/DR</t>
  </si>
  <si>
    <t>(A23)40R2/換原絲/機型/DR….</t>
  </si>
  <si>
    <t>(A19-A)40Y2/換原絲</t>
  </si>
  <si>
    <t>(T03-R)40L2/換原絲/DR</t>
  </si>
  <si>
    <t>(T01-R)40I2/換原絲.降速/DR….</t>
  </si>
  <si>
    <t>(T04-R)3XG3換原絲/DR</t>
  </si>
  <si>
    <t>2F40U3</t>
  </si>
  <si>
    <t>(A17)3VI3換原絲</t>
  </si>
  <si>
    <t>2F40V1</t>
  </si>
  <si>
    <t>(A10-A)3PX1-換原絲/DR….</t>
  </si>
  <si>
    <t>(A17-A)40Q2換原絲/DR</t>
  </si>
  <si>
    <t>(A08-B)40J2換原絲</t>
  </si>
  <si>
    <t>(A19)40E2/換原絲</t>
  </si>
  <si>
    <t>(T01-R)40S2換原絲(SDR)</t>
  </si>
  <si>
    <t>(T05-R)6CV3-換原絲</t>
  </si>
  <si>
    <t>(A10-B)6BP1/換原絲/DR</t>
  </si>
  <si>
    <t>(T03-R)6EJ3/DR/機型升速</t>
  </si>
  <si>
    <t>(A24-B)-6BH1/DR...換原絲</t>
  </si>
  <si>
    <t>(T03-L)6CZ1換原絲</t>
  </si>
  <si>
    <t>2F6EQ1</t>
  </si>
  <si>
    <t>(T05-R)6CX1換原絲</t>
  </si>
  <si>
    <t>(A18-B)6ED2/換原絲/重量</t>
  </si>
  <si>
    <t>(T05-L)6EG1換原絲</t>
  </si>
  <si>
    <t>(S1)6BM1/換原絲/機型/物性LIKE6AN1</t>
  </si>
  <si>
    <t>(A24-A)-6DT1/換原絲/DR/機型</t>
  </si>
  <si>
    <t>(S1)6ET1/吃偏深紗</t>
  </si>
  <si>
    <t>(T05-R)66D1換原絲/DR</t>
  </si>
  <si>
    <t>(T04-R)78C1換原絲/DR/機型….</t>
  </si>
  <si>
    <t>(T04-R)77N1-換原絲DR</t>
  </si>
  <si>
    <t>(T05-R)7B43換原絲</t>
  </si>
  <si>
    <t>(S1)M1I2</t>
  </si>
  <si>
    <t>白底綠方塊</t>
  </si>
  <si>
    <t>2F1XB2(A24)1WZ2換原絲/DR/升速</t>
  </si>
  <si>
    <t xml:space="preserve">FP-81330R                       </t>
  </si>
  <si>
    <t>114.8.15</t>
  </si>
  <si>
    <t>(A24)1WZ2換原絲/DR/升速</t>
  </si>
  <si>
    <t>2F1XC2(A20)1BR2換原絲</t>
  </si>
  <si>
    <t>114.8.18</t>
  </si>
  <si>
    <t>(A20)1BR2換原絲</t>
  </si>
  <si>
    <t>2F41D2(A17-B)40W2</t>
  </si>
  <si>
    <t>(A17-B)40W2</t>
  </si>
  <si>
    <t>2F41E1(A10-A)4871換原絲/DR</t>
  </si>
  <si>
    <t>305/305/160</t>
  </si>
  <si>
    <t>FP-82572R</t>
  </si>
  <si>
    <t>114.8.21</t>
  </si>
  <si>
    <t>(A10-A)4871換原絲/DR</t>
  </si>
  <si>
    <t>2F6EX1(S1)6EV1</t>
  </si>
  <si>
    <t>(S1)6EV1</t>
  </si>
  <si>
    <t>2F6EY2(S1)6Y02換原絲</t>
  </si>
  <si>
    <t xml:space="preserve">FP-82818R×2                  </t>
  </si>
  <si>
    <t>114.8.20</t>
  </si>
  <si>
    <t>(S1)6Y02換原絲</t>
  </si>
  <si>
    <t>2F6EZ1(A10-B)6EL1/換原絲/DR</t>
  </si>
  <si>
    <t>FP-82643*2</t>
  </si>
  <si>
    <t>(A10-B)6EL1/換原絲/DR</t>
  </si>
  <si>
    <t>2025/08→</t>
    <phoneticPr fontId="12" type="noConversion"/>
  </si>
  <si>
    <t>2F41F2</t>
  </si>
  <si>
    <t>2F6FB1</t>
  </si>
  <si>
    <t>2F1XG2</t>
  </si>
  <si>
    <t>2F1XF2</t>
  </si>
  <si>
    <t>2F1XI2</t>
  </si>
  <si>
    <t>FP81625</t>
  </si>
  <si>
    <t>2F7B92</t>
  </si>
  <si>
    <t>2F1XH2</t>
  </si>
  <si>
    <t>FP81338R</t>
  </si>
  <si>
    <t>2025/07月</t>
  </si>
  <si>
    <t>2F7C03</t>
  </si>
  <si>
    <t>114-09月</t>
    <phoneticPr fontId="12" type="noConversion"/>
  </si>
  <si>
    <t>年度加班費</t>
    <phoneticPr fontId="12" type="noConversion"/>
  </si>
  <si>
    <t>開車台數</t>
  </si>
  <si>
    <t>約當產量(人工/製造費用)</t>
  </si>
  <si>
    <t>廢料產出量(2025/01起用約當產量計算廢料率)</t>
    <phoneticPr fontId="12" type="noConversion"/>
  </si>
  <si>
    <t>外購繳庫量【107/02起】</t>
    <phoneticPr fontId="12" type="noConversion"/>
  </si>
  <si>
    <t>2F1XK2</t>
  </si>
  <si>
    <t>FP81337R</t>
  </si>
  <si>
    <t>2F41G2</t>
  </si>
  <si>
    <t>2F1XJ2</t>
  </si>
  <si>
    <t>BERT</t>
  </si>
  <si>
    <t>2F41H3</t>
  </si>
  <si>
    <t>FP82645</t>
  </si>
  <si>
    <t>2F1XM2</t>
  </si>
  <si>
    <t>FP81334R</t>
  </si>
  <si>
    <t>2F1XN2</t>
  </si>
  <si>
    <t>2F41I2</t>
  </si>
  <si>
    <t>FINAL</t>
    <phoneticPr fontId="12" type="noConversion"/>
  </si>
  <si>
    <t>日期</t>
    <phoneticPr fontId="165" type="noConversion"/>
  </si>
  <si>
    <t>重量</t>
  </si>
  <si>
    <t>2F6FE2</t>
  </si>
  <si>
    <r>
      <rPr>
        <b/>
        <sz val="12"/>
        <rFont val="微軟正黑體"/>
        <family val="2"/>
        <charset val="136"/>
      </rPr>
      <t>日期</t>
    </r>
    <phoneticPr fontId="165" type="noConversion"/>
  </si>
  <si>
    <r>
      <rPr>
        <b/>
        <sz val="12"/>
        <rFont val="微軟正黑體"/>
        <family val="2"/>
        <charset val="136"/>
      </rPr>
      <t>批號</t>
    </r>
  </si>
  <si>
    <r>
      <rPr>
        <b/>
        <sz val="12"/>
        <rFont val="微軟正黑體"/>
        <family val="2"/>
        <charset val="136"/>
      </rPr>
      <t>重量</t>
    </r>
  </si>
  <si>
    <r>
      <rPr>
        <b/>
        <sz val="12"/>
        <rFont val="微軟正黑體"/>
        <family val="2"/>
        <charset val="136"/>
      </rPr>
      <t>實際產量</t>
    </r>
    <r>
      <rPr>
        <b/>
        <sz val="12"/>
        <rFont val="Arial"/>
        <family val="2"/>
      </rPr>
      <t>kg</t>
    </r>
    <phoneticPr fontId="12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</si>
  <si>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1</t>
    </r>
    <phoneticPr fontId="17" type="noConversion"/>
  </si>
  <si>
    <r>
      <t xml:space="preserve">DTY </t>
    </r>
    <r>
      <rPr>
        <b/>
        <sz val="12"/>
        <rFont val="微軟正黑體"/>
        <family val="2"/>
        <charset val="136"/>
      </rPr>
      <t>批號</t>
    </r>
    <r>
      <rPr>
        <b/>
        <sz val="12"/>
        <color rgb="FFFF0000"/>
        <rFont val="微軟正黑體"/>
        <family val="2"/>
        <charset val="136"/>
      </rPr>
      <t>【</t>
    </r>
    <r>
      <rPr>
        <b/>
        <sz val="12"/>
        <color rgb="FFFF0000"/>
        <rFont val="Arial"/>
        <family val="2"/>
      </rPr>
      <t>2F</t>
    </r>
    <r>
      <rPr>
        <b/>
        <sz val="12"/>
        <color rgb="FFFF0000"/>
        <rFont val="微軟正黑體"/>
        <family val="2"/>
        <charset val="136"/>
      </rPr>
      <t>】</t>
    </r>
    <phoneticPr fontId="12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</si>
  <si>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2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</si>
  <si>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3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</si>
  <si>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4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</si>
  <si>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5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</si>
  <si>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6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</si>
  <si>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7</t>
    </r>
    <phoneticPr fontId="17" type="noConversion"/>
  </si>
  <si>
    <r>
      <rPr>
        <b/>
        <sz val="12"/>
        <rFont val="微軟正黑體"/>
        <family val="2"/>
        <charset val="136"/>
      </rPr>
      <t>Ｃ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Ｄ級</t>
    </r>
    <phoneticPr fontId="17" type="noConversion"/>
  </si>
  <si>
    <t>總重</t>
    <phoneticPr fontId="165" type="noConversion"/>
  </si>
  <si>
    <t>加總 - 重量</t>
  </si>
  <si>
    <t>列標籤</t>
  </si>
  <si>
    <t>2F1XP2</t>
  </si>
  <si>
    <t>JONA</t>
  </si>
  <si>
    <t>2F08K3</t>
  </si>
  <si>
    <t>2F7C12</t>
  </si>
  <si>
    <t>100/96/2SDR2</t>
  </si>
  <si>
    <t>2F6FD1</t>
  </si>
  <si>
    <t>橘色</t>
  </si>
  <si>
    <t>2F1XR2</t>
  </si>
  <si>
    <t>2F6FF2</t>
  </si>
  <si>
    <t>FP82147R×2</t>
  </si>
  <si>
    <t>2F28Q2</t>
  </si>
  <si>
    <t>2F28R2</t>
  </si>
  <si>
    <t>2F6FH2</t>
  </si>
  <si>
    <t>FP82137R×2</t>
  </si>
  <si>
    <t>2F6FG1</t>
  </si>
  <si>
    <t>2F28P2</t>
  </si>
  <si>
    <t>FP81328R</t>
  </si>
  <si>
    <t>JHO</t>
  </si>
  <si>
    <t>白底藍三角</t>
  </si>
  <si>
    <t>1-4-1S83°Z+S</t>
    <phoneticPr fontId="12" type="noConversion"/>
  </si>
  <si>
    <t>1-5-1S83°Z+S+Z</t>
    <phoneticPr fontId="12" type="noConversion"/>
  </si>
  <si>
    <t>1-4-1S83°S撚</t>
    <phoneticPr fontId="12" type="noConversion"/>
  </si>
  <si>
    <t>2F08K3(A14)08D3/換原絲</t>
  </si>
  <si>
    <t>FP-80790R</t>
  </si>
  <si>
    <t>114.9.16</t>
  </si>
  <si>
    <t>(A14)08D3/換原絲</t>
  </si>
  <si>
    <t>2F1XF2(A12-A)1WU2-換原絲</t>
  </si>
  <si>
    <t>FP-81625</t>
  </si>
  <si>
    <t>114.8.29</t>
  </si>
  <si>
    <t>磷含量-7650</t>
  </si>
  <si>
    <t>(A12-A)1WU2-換原絲</t>
  </si>
  <si>
    <t>2F1XG2(A20-B)S撚-1WY2換原絲/DR</t>
  </si>
  <si>
    <t xml:space="preserve">FP-11014R                      </t>
  </si>
  <si>
    <t>114.8.28</t>
  </si>
  <si>
    <t>(A20-B)S撚-1WY2換原絲/DR</t>
  </si>
  <si>
    <t>2F1XH2(A16-A)1WL2/換原絲</t>
  </si>
  <si>
    <t>FP-81338R</t>
  </si>
  <si>
    <t>(A16-A)1WL2/換原絲</t>
  </si>
  <si>
    <t>2F1XI2(A14-B)1WS2換原絲</t>
  </si>
  <si>
    <t>磷含量-7720</t>
  </si>
  <si>
    <t>(A14-B)1WS2換原絲</t>
  </si>
  <si>
    <t>2F1XJ2(A24)1WZ2換原絲/DR升速</t>
  </si>
  <si>
    <t>114.9.5</t>
  </si>
  <si>
    <t>(A24)1WZ2換原絲/DR升速</t>
  </si>
  <si>
    <t>2F1XK2(A09-A)1WZ2換原絲/DR/升速</t>
  </si>
  <si>
    <t xml:space="preserve">FP-81337R                       </t>
  </si>
  <si>
    <t>114.9.4</t>
  </si>
  <si>
    <t>(A09-A)1WZ2換原絲/DR/升速</t>
  </si>
  <si>
    <t>2F1XM2(A21-B)1VV2換原絲/DR升速</t>
  </si>
  <si>
    <t xml:space="preserve">FP-81334R                       </t>
  </si>
  <si>
    <t>114.9.8</t>
  </si>
  <si>
    <t>(A21-B)1VV2換原絲/DR升速</t>
  </si>
  <si>
    <t>2F1XN2(A11-A)1WZ2換原絲/DR/升速</t>
  </si>
  <si>
    <t>114.9.9</t>
  </si>
  <si>
    <t>(A11-A)1WZ2換原絲/DR/升速</t>
  </si>
  <si>
    <t>2F1XP2(A20-B)1XC2換原絲/DR/升速</t>
  </si>
  <si>
    <t>114.9.15</t>
  </si>
  <si>
    <t>(A20-B)1XC2換原絲/DR/升速</t>
  </si>
  <si>
    <t>2F1XR2(A16-A)1XK2不同台</t>
  </si>
  <si>
    <t>114.9.17</t>
  </si>
  <si>
    <t>(A16-A)1XK2不同台</t>
  </si>
  <si>
    <t>2F28Q2(A08)28M2換原絲/升速</t>
  </si>
  <si>
    <t xml:space="preserve">FP-81345R                                                                                         </t>
  </si>
  <si>
    <t>(A08)28M2換原絲/升速</t>
  </si>
  <si>
    <t>2F28R2(A22-B)28N2換原絲/升速</t>
  </si>
  <si>
    <t>114.9.18</t>
  </si>
  <si>
    <t>(A22-B)28N2換原絲/升速</t>
  </si>
  <si>
    <t>2F41F2(T03-L)4332/DR/升速</t>
  </si>
  <si>
    <t xml:space="preserve">FP-11014R            </t>
  </si>
  <si>
    <t>20.8↑26.0-9/2</t>
  </si>
  <si>
    <t>114.8.27</t>
  </si>
  <si>
    <t>(T03-L)4332/DR/升速</t>
  </si>
  <si>
    <t>2F41G2(T01)40Z2原絲是SDR/升速</t>
  </si>
  <si>
    <t>120/72PDR(SDR)</t>
  </si>
  <si>
    <t>(T01)40Z2原絲是SDR/升速</t>
  </si>
  <si>
    <t>2F41H3(A11-B)40U3換原絲</t>
  </si>
  <si>
    <t>FP-82645</t>
  </si>
  <si>
    <t>磷含量-6350</t>
  </si>
  <si>
    <t>(A11-B)40U3換原絲</t>
  </si>
  <si>
    <t>2F41I2(T05-L)40Z2換原絲(SDR)</t>
  </si>
  <si>
    <t>FP-81342R*2</t>
  </si>
  <si>
    <t>114.9.10</t>
  </si>
  <si>
    <t>(T05-L)40Z2換原絲(SDR)</t>
  </si>
  <si>
    <t>2F6FD1(T05-R)6BW1-換原絲</t>
  </si>
  <si>
    <t xml:space="preserve">FP-82764×2                  </t>
  </si>
  <si>
    <t>(T05-R)6BW1-換原絲</t>
  </si>
  <si>
    <t>2F6FE2(J09)6EF2換原絲...</t>
  </si>
  <si>
    <t xml:space="preserve">FP-82134R*2                                                                                       </t>
  </si>
  <si>
    <t>114.9.12</t>
  </si>
  <si>
    <t>(J09)6EF2換原絲...</t>
  </si>
  <si>
    <t>2F6FF2(J08)6EF2換原絲/DR...</t>
  </si>
  <si>
    <t xml:space="preserve">FP-82147R*2                                                                                       </t>
  </si>
  <si>
    <t>(J08)6EF2換原絲/DR...</t>
  </si>
  <si>
    <t>2F6FH2(A18-B)6ER2/換原絲/升速</t>
  </si>
  <si>
    <t>355/325OFF</t>
  </si>
  <si>
    <t>P204*3.1</t>
  </si>
  <si>
    <t>FP-82137R×2</t>
  </si>
  <si>
    <t>(A18-B)6ER2/換原絲/升速</t>
  </si>
  <si>
    <t>2F7B92(A11-B)79Y2換原絲</t>
  </si>
  <si>
    <t>FP-80122R</t>
  </si>
  <si>
    <t>(A11-B)79Y2換原絲</t>
  </si>
  <si>
    <t>2F7C03(T05-R)7B73</t>
  </si>
  <si>
    <t>114.9.2</t>
  </si>
  <si>
    <t>(T05-R)7B73</t>
  </si>
  <si>
    <t>2F7C12(T03-L)78X2-換原絲/規格/DR</t>
  </si>
  <si>
    <t>1-5-1S85°S+Z</t>
    <phoneticPr fontId="12" type="noConversion"/>
  </si>
  <si>
    <t>FP-81335R*2</t>
  </si>
  <si>
    <t>(T03-L)78X2-換原絲/規格/DR</t>
  </si>
  <si>
    <t>POY線別(L)</t>
  </si>
  <si>
    <t>POY使用日期1</t>
  </si>
  <si>
    <t>POY使用日期2</t>
  </si>
  <si>
    <t>POY使用日期3</t>
  </si>
  <si>
    <t>POY使用日期4</t>
  </si>
  <si>
    <t>POY使用日期5</t>
  </si>
  <si>
    <t>其他POY</t>
  </si>
  <si>
    <t>單/雙</t>
  </si>
  <si>
    <t>台</t>
  </si>
  <si>
    <t>單根丹尼</t>
  </si>
  <si>
    <t>實際產量T/日</t>
  </si>
  <si>
    <t>JERON</t>
    <phoneticPr fontId="12" type="noConversion"/>
  </si>
  <si>
    <t>CHALS</t>
    <phoneticPr fontId="12" type="noConversion"/>
  </si>
  <si>
    <t>開車</t>
    <phoneticPr fontId="12" type="noConversion"/>
  </si>
  <si>
    <t>RON</t>
    <phoneticPr fontId="12" type="noConversion"/>
  </si>
  <si>
    <t>MAR</t>
    <phoneticPr fontId="12" type="noConversion"/>
  </si>
  <si>
    <t>改紡</t>
    <phoneticPr fontId="12" type="noConversion"/>
  </si>
  <si>
    <t>KIM</t>
    <phoneticPr fontId="12" type="noConversion"/>
  </si>
  <si>
    <t>DENNIS</t>
    <phoneticPr fontId="12" type="noConversion"/>
  </si>
  <si>
    <t>了機</t>
    <phoneticPr fontId="12" type="noConversion"/>
  </si>
  <si>
    <t>跳車</t>
    <phoneticPr fontId="12" type="noConversion"/>
  </si>
  <si>
    <t>停機</t>
    <phoneticPr fontId="12" type="noConversion"/>
  </si>
  <si>
    <t>EDISON</t>
    <phoneticPr fontId="12" type="noConversion"/>
  </si>
  <si>
    <t>JUNJUN</t>
    <phoneticPr fontId="12" type="noConversion"/>
  </si>
  <si>
    <t>檢修</t>
    <phoneticPr fontId="12" type="noConversion"/>
  </si>
  <si>
    <t>DENDEN</t>
    <phoneticPr fontId="12" type="noConversion"/>
  </si>
  <si>
    <t>MAMAY</t>
    <phoneticPr fontId="12" type="noConversion"/>
  </si>
  <si>
    <t>WILSON</t>
    <phoneticPr fontId="12" type="noConversion"/>
  </si>
  <si>
    <t>N/A</t>
    <phoneticPr fontId="12" type="noConversion"/>
  </si>
  <si>
    <t>RICKY</t>
    <phoneticPr fontId="12" type="noConversion"/>
  </si>
  <si>
    <t>JOHNDEL</t>
    <phoneticPr fontId="12" type="noConversion"/>
  </si>
  <si>
    <t>VIN</t>
    <phoneticPr fontId="12" type="noConversion"/>
  </si>
  <si>
    <t>JB</t>
    <phoneticPr fontId="12" type="noConversion"/>
  </si>
  <si>
    <t>CEDIE</t>
    <phoneticPr fontId="12" type="noConversion"/>
  </si>
  <si>
    <t>清車</t>
    <phoneticPr fontId="12" type="noConversion"/>
  </si>
  <si>
    <t>復開</t>
    <phoneticPr fontId="12" type="noConversion"/>
  </si>
  <si>
    <t>NASH</t>
    <phoneticPr fontId="12" type="noConversion"/>
  </si>
  <si>
    <t>BRYAN</t>
    <phoneticPr fontId="12" type="noConversion"/>
  </si>
  <si>
    <t>J.P</t>
    <phoneticPr fontId="12" type="noConversion"/>
  </si>
  <si>
    <t>BERT</t>
    <phoneticPr fontId="12" type="noConversion"/>
  </si>
  <si>
    <t>JERBY</t>
    <phoneticPr fontId="12" type="noConversion"/>
  </si>
  <si>
    <t>JHO</t>
    <phoneticPr fontId="12" type="noConversion"/>
  </si>
  <si>
    <t>白橘雙色</t>
  </si>
  <si>
    <t>FP81787</t>
  </si>
  <si>
    <t>-3.6</t>
    <phoneticPr fontId="12" type="noConversion"/>
  </si>
  <si>
    <t>-6.23</t>
  </si>
  <si>
    <t>-4.9</t>
  </si>
  <si>
    <t>-3.8</t>
    <phoneticPr fontId="12" type="noConversion"/>
  </si>
  <si>
    <t>75/72SRR5</t>
    <phoneticPr fontId="12" type="noConversion"/>
  </si>
  <si>
    <t>114-09月</t>
  </si>
  <si>
    <t>FP81346R</t>
  </si>
  <si>
    <r>
      <t>繳庫量</t>
    </r>
    <r>
      <rPr>
        <b/>
        <sz val="12"/>
        <color rgb="FFFF0000"/>
        <rFont val="微軟正黑體"/>
        <family val="2"/>
        <charset val="136"/>
      </rPr>
      <t>(繳庫日報表或生產日報表)</t>
    </r>
    <phoneticPr fontId="12" type="noConversion"/>
  </si>
  <si>
    <t>2025/08月</t>
  </si>
  <si>
    <t>2025/09月</t>
  </si>
  <si>
    <t>2F6FM2</t>
  </si>
  <si>
    <t>S 合計</t>
  </si>
  <si>
    <t>2F41M1</t>
  </si>
  <si>
    <t>FP82150R</t>
  </si>
  <si>
    <t>2F41P2</t>
  </si>
  <si>
    <t>75/72/2SDR1</t>
  </si>
  <si>
    <t>2F1YA1</t>
  </si>
  <si>
    <t>FP11908R</t>
  </si>
  <si>
    <t>S02-1~5</t>
    <phoneticPr fontId="14" type="noConversion"/>
  </si>
  <si>
    <r>
      <rPr>
        <b/>
        <sz val="12"/>
        <color rgb="FFC00000"/>
        <rFont val="微軟正黑體"/>
        <family val="2"/>
        <charset val="136"/>
      </rPr>
      <t>約當產量</t>
    </r>
    <r>
      <rPr>
        <b/>
        <sz val="12"/>
        <color rgb="FFC00000"/>
        <rFont val="Arial"/>
        <family val="2"/>
      </rPr>
      <t>(</t>
    </r>
    <r>
      <rPr>
        <b/>
        <sz val="12"/>
        <color rgb="FFC00000"/>
        <rFont val="微軟正黑體"/>
        <family val="2"/>
        <charset val="136"/>
      </rPr>
      <t>成本計算</t>
    </r>
    <r>
      <rPr>
        <b/>
        <sz val="12"/>
        <color rgb="FFC00000"/>
        <rFont val="Arial"/>
        <family val="2"/>
      </rPr>
      <t>)(</t>
    </r>
    <r>
      <rPr>
        <b/>
        <sz val="12"/>
        <color rgb="FFC00000"/>
        <rFont val="微軟正黑體"/>
        <family val="2"/>
        <charset val="136"/>
      </rPr>
      <t>盤點表</t>
    </r>
    <r>
      <rPr>
        <b/>
        <sz val="12"/>
        <color rgb="FFC00000"/>
        <rFont val="Arial"/>
        <family val="2"/>
      </rPr>
      <t>)</t>
    </r>
    <phoneticPr fontId="12" type="noConversion"/>
  </si>
  <si>
    <r>
      <rPr>
        <b/>
        <sz val="12"/>
        <color rgb="FFFF0000"/>
        <rFont val="Microsoft JhengHei Light"/>
        <family val="2"/>
        <charset val="136"/>
      </rPr>
      <t>廢絲率</t>
    </r>
    <r>
      <rPr>
        <b/>
        <sz val="12"/>
        <color rgb="FFFF0000"/>
        <rFont val="Arial"/>
        <family val="2"/>
      </rPr>
      <t>%(</t>
    </r>
    <r>
      <rPr>
        <b/>
        <sz val="12"/>
        <color rgb="FFFF0000"/>
        <rFont val="細明體"/>
        <family val="2"/>
        <charset val="136"/>
      </rPr>
      <t>用繳庫量計算</t>
    </r>
    <r>
      <rPr>
        <b/>
        <sz val="12"/>
        <color rgb="FFFF0000"/>
        <rFont val="Arial"/>
        <family val="2"/>
      </rPr>
      <t>)→ISO</t>
    </r>
    <phoneticPr fontId="12" type="noConversion"/>
  </si>
  <si>
    <r>
      <rPr>
        <b/>
        <sz val="12"/>
        <color rgb="FFFF0000"/>
        <rFont val="微軟正黑體"/>
        <family val="2"/>
        <charset val="136"/>
      </rPr>
      <t>定重率</t>
    </r>
    <r>
      <rPr>
        <b/>
        <sz val="12"/>
        <color rgb="FFFF0000"/>
        <rFont val="Arial"/>
        <family val="2"/>
      </rPr>
      <t>%→ISO</t>
    </r>
    <phoneticPr fontId="12" type="noConversion"/>
  </si>
  <si>
    <r>
      <rPr>
        <b/>
        <sz val="12"/>
        <color rgb="FFFF0000"/>
        <rFont val="微軟正黑體"/>
        <family val="2"/>
        <charset val="136"/>
      </rPr>
      <t>Ａ級率</t>
    </r>
    <r>
      <rPr>
        <b/>
        <sz val="12"/>
        <color rgb="FFFF0000"/>
        <rFont val="Arial"/>
        <family val="2"/>
      </rPr>
      <t>%→ISO</t>
    </r>
    <phoneticPr fontId="12" type="noConversion"/>
  </si>
  <si>
    <t>S02：2023/5/2起拆7節(1~5絲開發)</t>
    <phoneticPr fontId="14" type="noConversion"/>
  </si>
  <si>
    <r>
      <rPr>
        <b/>
        <sz val="13"/>
        <rFont val="微軟正黑體"/>
        <family val="2"/>
        <charset val="136"/>
      </rPr>
      <t>絲開發</t>
    </r>
  </si>
  <si>
    <t>(空白) 合計</t>
  </si>
  <si>
    <t>2F41V2</t>
  </si>
  <si>
    <t>→總廠長室系統\品質管理系統\品質目標推移圖</t>
    <phoneticPr fontId="12" type="noConversion"/>
  </si>
  <si>
    <t>2F1YF2</t>
  </si>
  <si>
    <t>FP01308</t>
  </si>
  <si>
    <t>A07</t>
    <phoneticPr fontId="0" type="noConversion"/>
  </si>
  <si>
    <t>2F41X2</t>
  </si>
  <si>
    <t>2F1YG2</t>
  </si>
  <si>
    <t>2F6FR2</t>
  </si>
  <si>
    <t>FP82148R×2</t>
  </si>
  <si>
    <t>2F1YH2</t>
  </si>
  <si>
    <t>自產數據由侯主任提供 (產量=約當扣外購)</t>
    <phoneticPr fontId="12" type="noConversion"/>
  </si>
  <si>
    <t>撚二科</t>
    <phoneticPr fontId="12" type="noConversion"/>
  </si>
  <si>
    <t>(產量=繳庫月報表數據)</t>
    <phoneticPr fontId="12" type="noConversion"/>
  </si>
  <si>
    <r>
      <t>(</t>
    </r>
    <r>
      <rPr>
        <b/>
        <sz val="12"/>
        <color rgb="FFFF0000"/>
        <rFont val="細明體"/>
        <family val="2"/>
        <charset val="136"/>
      </rPr>
      <t>產量</t>
    </r>
    <r>
      <rPr>
        <b/>
        <sz val="12"/>
        <color rgb="FFFF0000"/>
        <rFont val="Arial"/>
        <family val="2"/>
      </rPr>
      <t>=</t>
    </r>
    <r>
      <rPr>
        <b/>
        <sz val="12"/>
        <color rgb="FFFF0000"/>
        <rFont val="細明體"/>
        <family val="2"/>
        <charset val="136"/>
      </rPr>
      <t>約當扣外購</t>
    </r>
    <r>
      <rPr>
        <b/>
        <sz val="12"/>
        <color rgb="FFFF0000"/>
        <rFont val="Arial"/>
        <family val="2"/>
      </rPr>
      <t>)</t>
    </r>
    <phoneticPr fontId="12" type="noConversion"/>
  </si>
  <si>
    <r>
      <rPr>
        <b/>
        <sz val="12"/>
        <color indexed="12"/>
        <rFont val="新細明體"/>
        <family val="1"/>
        <charset val="136"/>
      </rPr>
      <t>撚二科</t>
    </r>
    <r>
      <rPr>
        <b/>
        <sz val="12"/>
        <color indexed="12"/>
        <rFont val="Arial"/>
        <family val="2"/>
      </rPr>
      <t>(</t>
    </r>
    <r>
      <rPr>
        <b/>
        <sz val="12"/>
        <color indexed="12"/>
        <rFont val="細明體"/>
        <family val="3"/>
        <charset val="136"/>
      </rPr>
      <t>自產</t>
    </r>
    <r>
      <rPr>
        <b/>
        <sz val="12"/>
        <color indexed="12"/>
        <rFont val="Arial"/>
        <family val="2"/>
      </rPr>
      <t>)</t>
    </r>
    <phoneticPr fontId="12" type="noConversion"/>
  </si>
  <si>
    <r>
      <rPr>
        <b/>
        <sz val="12"/>
        <color indexed="8"/>
        <rFont val="新細明體"/>
        <family val="1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2" type="noConversion"/>
  </si>
  <si>
    <r>
      <rPr>
        <b/>
        <sz val="12"/>
        <color indexed="8"/>
        <rFont val="新細明體"/>
        <family val="1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新細明體"/>
        <family val="1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2" type="noConversion"/>
  </si>
  <si>
    <r>
      <t xml:space="preserve">A </t>
    </r>
    <r>
      <rPr>
        <b/>
        <sz val="12"/>
        <color indexed="8"/>
        <rFont val="新細明體"/>
        <family val="1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2" type="noConversion"/>
  </si>
  <si>
    <r>
      <rPr>
        <b/>
        <sz val="12"/>
        <color indexed="8"/>
        <rFont val="新細明體"/>
        <family val="1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2" type="noConversion"/>
  </si>
  <si>
    <r>
      <rPr>
        <b/>
        <sz val="12"/>
        <color indexed="8"/>
        <rFont val="新細明體"/>
        <family val="1"/>
        <charset val="136"/>
      </rPr>
      <t>廢絲率</t>
    </r>
    <r>
      <rPr>
        <b/>
        <sz val="12"/>
        <color indexed="8"/>
        <rFont val="Arial"/>
        <family val="2"/>
      </rPr>
      <t xml:space="preserve"> (% )</t>
    </r>
    <phoneticPr fontId="12" type="noConversion"/>
  </si>
  <si>
    <r>
      <rPr>
        <b/>
        <sz val="12"/>
        <color indexed="8"/>
        <rFont val="新細明體"/>
        <family val="1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新細明體"/>
        <family val="1"/>
        <charset val="136"/>
      </rPr>
      <t>元</t>
    </r>
    <r>
      <rPr>
        <b/>
        <sz val="12"/>
        <color indexed="8"/>
        <rFont val="Arial"/>
        <family val="2"/>
      </rPr>
      <t>/KG)</t>
    </r>
    <phoneticPr fontId="12" type="noConversion"/>
  </si>
  <si>
    <t>2025/11月</t>
  </si>
  <si>
    <t>2025/10月</t>
  </si>
  <si>
    <t>114-12月</t>
    <phoneticPr fontId="12" type="noConversion"/>
  </si>
  <si>
    <r>
      <rPr>
        <b/>
        <sz val="16"/>
        <color rgb="FF0000CC"/>
        <rFont val="Microsoft JhengHei UI"/>
        <family val="2"/>
        <charset val="136"/>
      </rPr>
      <t>侯主任指示</t>
    </r>
    <r>
      <rPr>
        <b/>
        <sz val="16"/>
        <color rgb="FF0000CC"/>
        <rFont val="Microsoft JhengHei"/>
        <family val="2"/>
        <charset val="136"/>
      </rPr>
      <t>：</t>
    </r>
    <r>
      <rPr>
        <b/>
        <sz val="16"/>
        <color rgb="FF0000CC"/>
        <rFont val="Arial"/>
        <family val="2"/>
      </rPr>
      <t>2025/12</t>
    </r>
    <r>
      <rPr>
        <b/>
        <sz val="16"/>
        <color rgb="FF0000CC"/>
        <rFont val="Microsoft JhengHei UI"/>
        <family val="2"/>
        <charset val="136"/>
      </rPr>
      <t>起，</t>
    </r>
    <r>
      <rPr>
        <b/>
        <sz val="16"/>
        <color rgb="FF0000CC"/>
        <rFont val="Arial"/>
        <family val="2"/>
      </rPr>
      <t>AFK &amp; MPS</t>
    </r>
    <r>
      <rPr>
        <b/>
        <sz val="16"/>
        <color rgb="FF0000CC"/>
        <rFont val="細明體"/>
        <family val="2"/>
        <charset val="136"/>
      </rPr>
      <t>機型併股紗</t>
    </r>
    <r>
      <rPr>
        <b/>
        <sz val="16"/>
        <color rgb="FF0000CC"/>
        <rFont val="Microsoft JhengHei"/>
        <family val="2"/>
        <charset val="136"/>
      </rPr>
      <t>，「台數」用實際值，「丹尼」用規格(不併股)，例：</t>
    </r>
    <r>
      <rPr>
        <b/>
        <u/>
        <sz val="16"/>
        <color rgb="FF0000CC"/>
        <rFont val="Microsoft JhengHei"/>
        <family val="2"/>
        <charset val="136"/>
      </rPr>
      <t>75/24/2</t>
    </r>
    <r>
      <rPr>
        <b/>
        <u/>
        <sz val="16"/>
        <color rgb="FF0000CC"/>
        <rFont val="Arial"/>
        <family val="2"/>
      </rPr>
      <t>SD</t>
    </r>
    <r>
      <rPr>
        <b/>
        <sz val="16"/>
        <color rgb="FF0000CC"/>
        <rFont val="Microsoft JhengHei"/>
        <family val="2"/>
        <charset val="1"/>
      </rPr>
      <t>→</t>
    </r>
    <r>
      <rPr>
        <b/>
        <sz val="16"/>
        <color rgb="FF0000CC"/>
        <rFont val="Microsoft JhengHei"/>
        <family val="2"/>
        <charset val="136"/>
      </rPr>
      <t>用</t>
    </r>
    <r>
      <rPr>
        <b/>
        <u/>
        <sz val="16"/>
        <color rgb="FF0000CC"/>
        <rFont val="Microsoft JhengHei"/>
        <family val="2"/>
        <charset val="136"/>
      </rPr>
      <t>75</t>
    </r>
    <phoneticPr fontId="12" type="noConversion"/>
  </si>
  <si>
    <t>M01</t>
  </si>
  <si>
    <t>復開</t>
  </si>
  <si>
    <t>2F6FS1</t>
  </si>
  <si>
    <t>FP81351R</t>
  </si>
  <si>
    <t>0.7</t>
    <phoneticPr fontId="12" type="noConversion"/>
  </si>
  <si>
    <t>2F6FU2</t>
  </si>
  <si>
    <t>FP82155R×2</t>
  </si>
  <si>
    <t>2F6FV2</t>
  </si>
  <si>
    <t>2F1YJ2</t>
  </si>
  <si>
    <t>2F1YK1</t>
  </si>
  <si>
    <t>FP81324R</t>
  </si>
  <si>
    <t>FP81355R</t>
  </si>
  <si>
    <t>FP81629</t>
  </si>
  <si>
    <t>白底紫三角</t>
  </si>
  <si>
    <t>2F6FX1</t>
  </si>
  <si>
    <t>2F7D02</t>
  </si>
  <si>
    <t>2F28W1</t>
  </si>
  <si>
    <t>FP82156R×2</t>
  </si>
  <si>
    <t>FP02307×2</t>
  </si>
  <si>
    <t>FP82652</t>
  </si>
  <si>
    <t>跳車</t>
  </si>
  <si>
    <t>2F42B2</t>
  </si>
  <si>
    <t>FP81361R×2</t>
  </si>
  <si>
    <t>2F6FY2</t>
  </si>
  <si>
    <t>2F1YL2</t>
  </si>
  <si>
    <t>2F41T2</t>
  </si>
  <si>
    <t>FP01314</t>
  </si>
  <si>
    <t>75/72/2SDFFR</t>
  </si>
  <si>
    <t>FP81235R×2</t>
  </si>
  <si>
    <t>2F1YM2</t>
  </si>
  <si>
    <t>開機%(28台)不含FADIS、S02</t>
    <phoneticPr fontId="12" type="noConversion"/>
  </si>
  <si>
    <t>2F6GA3</t>
  </si>
  <si>
    <t>2F6FZ2</t>
  </si>
  <si>
    <t>FP82649×2</t>
  </si>
  <si>
    <t>白底橘方塊</t>
  </si>
  <si>
    <t>JERBY</t>
  </si>
  <si>
    <t>2F42C2</t>
  </si>
  <si>
    <t>2F42D1</t>
  </si>
  <si>
    <t>FP02410</t>
  </si>
  <si>
    <t>FP82161R</t>
  </si>
  <si>
    <t>FP82153R×2</t>
  </si>
  <si>
    <t>2F6GB1</t>
  </si>
  <si>
    <t>FP02411×2</t>
  </si>
  <si>
    <t>2F1YN1</t>
  </si>
  <si>
    <t>115-01月</t>
    <phoneticPr fontId="12" type="noConversion"/>
  </si>
  <si>
    <t>FP81360R+81858</t>
  </si>
  <si>
    <t>A20</t>
    <phoneticPr fontId="14" type="noConversion"/>
  </si>
  <si>
    <t>FP81305R</t>
  </si>
  <si>
    <t>2F42H2</t>
  </si>
  <si>
    <t>3.0</t>
    <phoneticPr fontId="12" type="noConversion"/>
  </si>
  <si>
    <t>橘底黑三角</t>
  </si>
  <si>
    <t>115年</t>
    <phoneticPr fontId="12" type="noConversion"/>
  </si>
  <si>
    <t>FP02308R</t>
  </si>
  <si>
    <t>2F42J2</t>
  </si>
  <si>
    <t>FP81334R×2</t>
  </si>
  <si>
    <t>2F08N2</t>
  </si>
  <si>
    <t>FP80137</t>
  </si>
  <si>
    <t>A11</t>
    <phoneticPr fontId="0" type="noConversion"/>
  </si>
  <si>
    <t>產銷停機</t>
    <phoneticPr fontId="14" type="noConversion"/>
  </si>
  <si>
    <t>FP82161R×2</t>
  </si>
  <si>
    <t>2F6GD2</t>
  </si>
  <si>
    <t>FP82159R×2</t>
  </si>
  <si>
    <t>2F42K2</t>
  </si>
  <si>
    <t>75/24/2SDR1</t>
  </si>
  <si>
    <t>FP02412×2</t>
  </si>
  <si>
    <t>1.7</t>
    <phoneticPr fontId="12" type="noConversion"/>
  </si>
  <si>
    <t>2F42L2</t>
  </si>
  <si>
    <t>2F42M2</t>
  </si>
  <si>
    <t>FP82162R</t>
  </si>
  <si>
    <t>FP81364R×2</t>
  </si>
  <si>
    <t>2F42P2</t>
  </si>
  <si>
    <t>FP82777</t>
  </si>
  <si>
    <t>2F1YP2</t>
  </si>
  <si>
    <t>2F42Q1</t>
  </si>
  <si>
    <t>2F42N1</t>
  </si>
  <si>
    <t>FP82163R</t>
  </si>
  <si>
    <t>KV</t>
  </si>
  <si>
    <t>盤點表貼上值</t>
    <phoneticPr fontId="12" type="noConversion"/>
  </si>
  <si>
    <t>2026/01</t>
    <phoneticPr fontId="12" type="noConversion"/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</si>
  <si>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</si>
  <si>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</si>
  <si>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</si>
  <si>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</si>
  <si>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</si>
  <si>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</si>
  <si>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</si>
  <si>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</si>
  <si>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2026/10</t>
  </si>
  <si>
    <t>2026/11</t>
  </si>
  <si>
    <t>2026/12</t>
  </si>
  <si>
    <t>2026平均</t>
    <phoneticPr fontId="12" type="noConversion"/>
  </si>
  <si>
    <r>
      <t>2026</t>
    </r>
    <r>
      <rPr>
        <sz val="36"/>
        <rFont val="細明體"/>
        <family val="2"/>
        <charset val="136"/>
      </rPr>
      <t>年度</t>
    </r>
    <phoneticPr fontId="12" type="noConversion"/>
  </si>
  <si>
    <t>開車率=&gt;用28台</t>
    <phoneticPr fontId="12" type="noConversion"/>
  </si>
  <si>
    <t>115-01月</t>
  </si>
  <si>
    <t>2F6GG2</t>
  </si>
  <si>
    <t>2F7D42</t>
  </si>
  <si>
    <t>2F29B1</t>
  </si>
  <si>
    <t>2F6GI1</t>
  </si>
  <si>
    <t>2025/12月</t>
  </si>
  <si>
    <r>
      <t>2026/01</t>
    </r>
    <r>
      <rPr>
        <b/>
        <sz val="12"/>
        <rFont val="微軟正黑體"/>
        <family val="2"/>
        <charset val="136"/>
      </rPr>
      <t>月</t>
    </r>
    <phoneticPr fontId="14" type="noConversion"/>
  </si>
  <si>
    <t>2F6GH2</t>
  </si>
  <si>
    <t>2F6GJ2</t>
  </si>
  <si>
    <t>150/48/2BFSD</t>
  </si>
  <si>
    <t>2F29D2</t>
  </si>
  <si>
    <t>2F29C2</t>
  </si>
  <si>
    <t>T04(R)</t>
    <phoneticPr fontId="14" type="noConversion"/>
  </si>
  <si>
    <t>T04(L)</t>
    <phoneticPr fontId="14" type="noConversion"/>
  </si>
  <si>
    <t>封存</t>
  </si>
  <si>
    <t>2F7D63</t>
  </si>
  <si>
    <t>2F1YQ2</t>
  </si>
  <si>
    <t>2F42S2</t>
  </si>
  <si>
    <t>FP81363R×2</t>
  </si>
  <si>
    <t>2F1YS1</t>
  </si>
  <si>
    <t>2F42T2</t>
  </si>
  <si>
    <t>2F1YT1</t>
  </si>
  <si>
    <t>橘黑三角</t>
  </si>
  <si>
    <t>B級</t>
  </si>
  <si>
    <t>2F08P2</t>
  </si>
  <si>
    <t>2F7D73</t>
  </si>
  <si>
    <t>2F1YR2</t>
  </si>
  <si>
    <t>225/72/2FBKR</t>
  </si>
  <si>
    <t>FP80141</t>
  </si>
  <si>
    <t>FP81857R</t>
  </si>
  <si>
    <t>2F29E2</t>
  </si>
  <si>
    <t>2F1YU2</t>
  </si>
  <si>
    <t>115-0２月</t>
  </si>
  <si>
    <t>115-02月</t>
  </si>
  <si>
    <t>115-02月</t>
    <phoneticPr fontId="12" type="noConversion"/>
  </si>
  <si>
    <t>115-03月</t>
  </si>
  <si>
    <t>115-03月</t>
    <phoneticPr fontId="12" type="noConversion"/>
  </si>
  <si>
    <t>2F1YV1</t>
  </si>
  <si>
    <t>2F42U2</t>
  </si>
  <si>
    <t>2F1YW1</t>
  </si>
  <si>
    <t>2F7D33(T05-L)</t>
  </si>
  <si>
    <t>225/72/2SR6</t>
  </si>
  <si>
    <t>FP-83602R×2</t>
  </si>
  <si>
    <t>114.12.26</t>
  </si>
  <si>
    <t>磷含量-7815</t>
  </si>
  <si>
    <t>2F7D42(T04-R)7UC2(外購)</t>
  </si>
  <si>
    <t>FP-81359R</t>
  </si>
  <si>
    <t>115.2.3</t>
  </si>
  <si>
    <t>2F7D53(T05-L)7C43加2字尾</t>
  </si>
  <si>
    <t>90±15</t>
  </si>
  <si>
    <t>115.2.6</t>
  </si>
  <si>
    <t>2F7D63(T05-L)7D53換原絲</t>
  </si>
  <si>
    <t xml:space="preserve">FP-83023R*2    </t>
  </si>
  <si>
    <t>115.2.23</t>
  </si>
  <si>
    <t>2F7D73(A10-B)7C53換原絲….</t>
  </si>
  <si>
    <t xml:space="preserve">FP-03301R*2    </t>
  </si>
  <si>
    <t>365/72FBKR</t>
  </si>
  <si>
    <t>115.3.3</t>
  </si>
  <si>
    <t>2F7D33</t>
  </si>
  <si>
    <t>(T05-L)</t>
  </si>
  <si>
    <t>(T04-R)7UC2(外購)</t>
  </si>
  <si>
    <t>2F7D53</t>
  </si>
  <si>
    <t>(T05-L)7C43加2字尾</t>
  </si>
  <si>
    <t>(T05-L)7D53換原絲</t>
  </si>
  <si>
    <t>(A10-B)7C53換原絲….</t>
  </si>
  <si>
    <t>2F08L2(A07-B)07R2</t>
  </si>
  <si>
    <t>114.10.17</t>
  </si>
  <si>
    <t>2F08M2(A08)07V2/原絲/DR</t>
  </si>
  <si>
    <t>224/224/OFF</t>
  </si>
  <si>
    <t>FP80127</t>
  </si>
  <si>
    <t>114.11.20</t>
  </si>
  <si>
    <t>2F08N2(A08)08M2/換原絲/升速</t>
  </si>
  <si>
    <t>115.1.11</t>
  </si>
  <si>
    <t>2F08P2(A08-A)08N2/換原絲…</t>
  </si>
  <si>
    <t>115.3.2</t>
  </si>
  <si>
    <t>2F1YA1(A13-B)1BV1換原絲/DR/溫度</t>
  </si>
  <si>
    <t xml:space="preserve">FP-11908R                    </t>
  </si>
  <si>
    <t>114.10.29</t>
  </si>
  <si>
    <t>2F1YB2(S1)1SM2-DR/重量</t>
  </si>
  <si>
    <t xml:space="preserve">FP-81235R                       </t>
  </si>
  <si>
    <t>2F1YC2(A14-B)1XW2換原絲/DR</t>
  </si>
  <si>
    <t>FP-81627</t>
  </si>
  <si>
    <t>114.10.30</t>
  </si>
  <si>
    <t>磷含量-6410</t>
  </si>
  <si>
    <t>2F1YD1(A24-A)1QI1-換原絲/改重量</t>
  </si>
  <si>
    <t>FP-01306</t>
  </si>
  <si>
    <t>114.11.10</t>
  </si>
  <si>
    <t>2F1YE2(A07-A)1WX2</t>
  </si>
  <si>
    <t>114.11.3</t>
  </si>
  <si>
    <t>2F1YF2(A07-A)1YE2換原絲</t>
  </si>
  <si>
    <t>FP-01308</t>
  </si>
  <si>
    <t>114.11.14</t>
  </si>
  <si>
    <t>2F1YG2(A20)1XR2換原絲/加2字尾</t>
  </si>
  <si>
    <t>266/266/OFF</t>
  </si>
  <si>
    <t xml:space="preserve">FP-81346R                       </t>
  </si>
  <si>
    <t>2F1YH2(A14)1YC2換原絲</t>
  </si>
  <si>
    <t>FP-81629</t>
  </si>
  <si>
    <t>114.12.15</t>
  </si>
  <si>
    <t>磷含量-6115</t>
  </si>
  <si>
    <t>2F1YI1(A17)1YA1換原絲/DR</t>
  </si>
  <si>
    <t xml:space="preserve">FP-81308R                    </t>
  </si>
  <si>
    <t>114.12.3</t>
  </si>
  <si>
    <t>2F1YJ2(A08-B)1VM2換原絲</t>
  </si>
  <si>
    <t xml:space="preserve">FP-81324R                       </t>
  </si>
  <si>
    <t>114.12.11</t>
  </si>
  <si>
    <t>2F1YK1(A22-A)1YI1換原絲</t>
  </si>
  <si>
    <t xml:space="preserve">FP-81355R                    </t>
  </si>
  <si>
    <t>114.12.12</t>
  </si>
  <si>
    <t>2F1YL2(A07-A)1YF2換原絲</t>
  </si>
  <si>
    <t>FP-01314</t>
  </si>
  <si>
    <t>114.12.18</t>
  </si>
  <si>
    <t>2F1YM2(S1)1YB2-換原絲</t>
  </si>
  <si>
    <t>114.12.22</t>
  </si>
  <si>
    <t>2F1YN1(A22-B)1YK1換原絲/換錠片</t>
  </si>
  <si>
    <t>114.12.31</t>
  </si>
  <si>
    <t>2F1YP2(A11)1XZ2-換原絲/降速</t>
  </si>
  <si>
    <t>115.1.28</t>
  </si>
  <si>
    <t>磷含量-6680</t>
  </si>
  <si>
    <t>2F1YQ2(A08-B)1WR2/升速</t>
  </si>
  <si>
    <t>279/279/OFF</t>
  </si>
  <si>
    <t>2F1YR2(A11-B)1XU2</t>
  </si>
  <si>
    <t>FP-81857R</t>
  </si>
  <si>
    <t>2F1YS1(A16-B)M2P1</t>
  </si>
  <si>
    <t>260/260/130</t>
  </si>
  <si>
    <t>115.2.25</t>
  </si>
  <si>
    <t>2F1YT1(A13)1YA1換原絲</t>
  </si>
  <si>
    <t xml:space="preserve">FP-11914R                    </t>
  </si>
  <si>
    <t>115.2.26</t>
  </si>
  <si>
    <t>2F1YU2(A17-A)1QZ2換原絲</t>
  </si>
  <si>
    <t>115.3.4</t>
  </si>
  <si>
    <t>2F28S1(A17-A)28L1換原絲/升速/DR</t>
  </si>
  <si>
    <t xml:space="preserve">FP-81328R                                                                                                  </t>
  </si>
  <si>
    <t>114.10.7</t>
  </si>
  <si>
    <t>2F28T2(A22)28R2換原絲</t>
  </si>
  <si>
    <t xml:space="preserve">FP-81349R                                                                                         </t>
  </si>
  <si>
    <t>114.10.28</t>
  </si>
  <si>
    <t>2F28U2(A08-B)28Q2換原絲</t>
  </si>
  <si>
    <t>2F28V2(A22-B)28T2換原絲</t>
  </si>
  <si>
    <t xml:space="preserve">FP-81351R                                                                                         </t>
  </si>
  <si>
    <t>114.12.10</t>
  </si>
  <si>
    <t>2F28W1(A21)28S1-DR</t>
  </si>
  <si>
    <t>2F28X2(A11-B)28V2換Disc Type/DR</t>
  </si>
  <si>
    <t>115.1.5</t>
  </si>
  <si>
    <t>2F28Y1(A21-B)28W1換原絲Disc Type</t>
  </si>
  <si>
    <t xml:space="preserve">FP-81305R                                                                                                  </t>
  </si>
  <si>
    <t>115.1.6</t>
  </si>
  <si>
    <t>2F28Z2(A20-A)28V2</t>
  </si>
  <si>
    <t>115.1.9</t>
  </si>
  <si>
    <t>2F29A2(A15-B)28X2</t>
  </si>
  <si>
    <t>115.1.14</t>
  </si>
  <si>
    <t>2F29B1(A21-A)28Y1換原絲</t>
  </si>
  <si>
    <t xml:space="preserve">FP-81368R                                                                                                  </t>
  </si>
  <si>
    <t>115.2.4</t>
  </si>
  <si>
    <t>2F29C2(A20)28Z2換原絲/升速</t>
  </si>
  <si>
    <t xml:space="preserve">FP-81370R                                                                                         </t>
  </si>
  <si>
    <t>115.2.5</t>
  </si>
  <si>
    <t>2F29D2(A15-B)29A2換原絲</t>
  </si>
  <si>
    <t xml:space="preserve">FP-81372R                                                                                         </t>
  </si>
  <si>
    <t>2F29E2(A15-B)29D2色差</t>
  </si>
  <si>
    <t>229/229/OFF</t>
  </si>
  <si>
    <t>2F42A1(A23-A)41W1/DR</t>
  </si>
  <si>
    <t>FP-02306R</t>
  </si>
  <si>
    <t>114.12.9</t>
  </si>
  <si>
    <t>2F42B2(A09)41U2</t>
  </si>
  <si>
    <t>FP-81361R*2</t>
  </si>
  <si>
    <t>114.12.17</t>
  </si>
  <si>
    <t>2F42C2(A10)4982換原絲/JET</t>
  </si>
  <si>
    <t>FP-02410</t>
  </si>
  <si>
    <t>255/48BK42</t>
  </si>
  <si>
    <t>114.12.29</t>
  </si>
  <si>
    <t>2F42D1(A23-A)42A1/DR</t>
  </si>
  <si>
    <t>350/310/160</t>
  </si>
  <si>
    <t>FP-82161R</t>
  </si>
  <si>
    <t>2F42E3(T03-R)40T3換原絲</t>
  </si>
  <si>
    <t>FP-81858+81360R</t>
  </si>
  <si>
    <t>2F42F1(A19-B)42A1/換原絲/Disc Type</t>
  </si>
  <si>
    <t>FP-82150R</t>
  </si>
  <si>
    <t>2F42G2(A19-A)41N2換Disc Type</t>
  </si>
  <si>
    <t>2F42H2(A10-B)41Z2/換原絲/升速…</t>
  </si>
  <si>
    <t>FP-02308R</t>
  </si>
  <si>
    <t>115.1.7</t>
  </si>
  <si>
    <t>2F42I2(T03-L)41I2換原絲/降速…</t>
  </si>
  <si>
    <t>115.1.12</t>
  </si>
  <si>
    <t>2F42J2(T04)41I2換原絲/降速…</t>
  </si>
  <si>
    <t>2F42K2(A12)41V2換原絲</t>
  </si>
  <si>
    <t>115.1.21</t>
  </si>
  <si>
    <t>2F42L2(A19-A)42G2換原絲</t>
  </si>
  <si>
    <t>FP-82162R</t>
  </si>
  <si>
    <t>115.1.22</t>
  </si>
  <si>
    <t>2F42M2(A18)41X2換原絲</t>
  </si>
  <si>
    <t>FP-81364R*2</t>
  </si>
  <si>
    <t>115.1.23</t>
  </si>
  <si>
    <t>2F42N1(A19-B)42F1/換原絲</t>
  </si>
  <si>
    <t>2F42P2(A14-A)41Q2換原絲</t>
  </si>
  <si>
    <t>263/263/OFF</t>
  </si>
  <si>
    <t>FP-82777</t>
  </si>
  <si>
    <t>115.1.26</t>
  </si>
  <si>
    <t>2F42Q1(A23)42D1/DR換原絲</t>
  </si>
  <si>
    <t>150/48SDR3</t>
  </si>
  <si>
    <t>355/315/160</t>
  </si>
  <si>
    <t>FP-82163R</t>
  </si>
  <si>
    <t>2F42R1(A23-B)4161換原絲</t>
  </si>
  <si>
    <t>FP-82654</t>
  </si>
  <si>
    <t>2F42S2(A09)42B2換原絲</t>
  </si>
  <si>
    <t>FP-81363R*2</t>
  </si>
  <si>
    <t>115.2.24</t>
  </si>
  <si>
    <t>2F42T2(A12-B)42K2換原絲</t>
  </si>
  <si>
    <t>2F41J2(A19-B)40X2換原絲</t>
  </si>
  <si>
    <t>FP-82132R</t>
  </si>
  <si>
    <t>114.9.25</t>
  </si>
  <si>
    <t>2F41K2(T03-R)3WP2換原絲/升速/DR</t>
  </si>
  <si>
    <t xml:space="preserve">FP-81348R*2            </t>
  </si>
  <si>
    <t>114.10.9</t>
  </si>
  <si>
    <t>2F41L3(A11-B)41H3換原絲</t>
  </si>
  <si>
    <t>FP-82648</t>
  </si>
  <si>
    <t>磷含量-6370</t>
  </si>
  <si>
    <t>2F41M1(A19-B)40N1換原絲</t>
  </si>
  <si>
    <t>2F41N2(A19-A)40X2換原絲</t>
  </si>
  <si>
    <t>2F41P2(T03-R)41K2降速/DR</t>
  </si>
  <si>
    <t>20.8↑22.0-10/21</t>
  </si>
  <si>
    <t>114.10.15</t>
  </si>
  <si>
    <t>2F41Q2(A21-B)41D2</t>
  </si>
  <si>
    <t>264/264/OFF</t>
  </si>
  <si>
    <t>114.10.31</t>
  </si>
  <si>
    <t>2F41R1(A23-A)4651/換原絲</t>
  </si>
  <si>
    <t>FP-02406R</t>
  </si>
  <si>
    <t>2F41S3(A11-B)41L3換原絲/DR</t>
  </si>
  <si>
    <t>FP-82649</t>
  </si>
  <si>
    <t>磷含量-6520</t>
  </si>
  <si>
    <t>2F41T2(S2)M852</t>
  </si>
  <si>
    <t>FP-81235R*2</t>
  </si>
  <si>
    <t>2F41U2(A09)41A2</t>
  </si>
  <si>
    <t>114.11.5</t>
  </si>
  <si>
    <t>2F41V2(A12)41C2</t>
  </si>
  <si>
    <t>114.11.6</t>
  </si>
  <si>
    <t>2F41W1(A23)4931/換原絲2字尾</t>
  </si>
  <si>
    <t>114.11.13</t>
  </si>
  <si>
    <t>2F41X2(A18)41U2</t>
  </si>
  <si>
    <t>114.11.19</t>
  </si>
  <si>
    <t>2F41Y1(A21-B)40N1換原絲/升速….</t>
  </si>
  <si>
    <t>320/280/160</t>
  </si>
  <si>
    <t>FP-82137R</t>
  </si>
  <si>
    <t>2F41Z2(A10)40P2/換原絲</t>
  </si>
  <si>
    <t>FP-02304R</t>
  </si>
  <si>
    <t>114.11.24</t>
  </si>
  <si>
    <t>2F6FI1(T03-L)6V21換原絲</t>
  </si>
  <si>
    <t>FP-82146R×2</t>
  </si>
  <si>
    <t>112.10.1</t>
  </si>
  <si>
    <t>2F6FJ3(T05-R)6EK3-換原絲</t>
  </si>
  <si>
    <t>FP-82648×2</t>
  </si>
  <si>
    <t>114.10.14</t>
  </si>
  <si>
    <t>磷含量-6210</t>
  </si>
  <si>
    <t>2F6FK1(A24-A)-6EN1/DR...換原絲</t>
  </si>
  <si>
    <t>FP-02404×2</t>
  </si>
  <si>
    <t>2F6FL1(A10-B)6EZ1/DR</t>
  </si>
  <si>
    <t>磷含量-6480</t>
  </si>
  <si>
    <t>2F6FM2(T01-R)6EE2/換原絲/降速/DR</t>
  </si>
  <si>
    <t>FP-82147R×2</t>
  </si>
  <si>
    <t>114.10.10</t>
  </si>
  <si>
    <t>2F6FN3(T06-R)6FA3改重量</t>
  </si>
  <si>
    <t>FP-82144R×2</t>
  </si>
  <si>
    <t>114.10.21</t>
  </si>
  <si>
    <t>2F6FP2(S2)69F2-換原絲/升速……</t>
  </si>
  <si>
    <t xml:space="preserve">FP-82767R×2                  </t>
  </si>
  <si>
    <t>114.10.23</t>
  </si>
  <si>
    <t>2F6FQ1(T03-L)6FI1換原絲/加2字尾</t>
  </si>
  <si>
    <t>2F6FR2(T04)6EH2/換原絲</t>
  </si>
  <si>
    <t>FP-82148R×2</t>
  </si>
  <si>
    <t>2F6FS1(T05-R)6FQ1</t>
  </si>
  <si>
    <t>2F6FT2(J09)6FE2換原絲...</t>
  </si>
  <si>
    <t xml:space="preserve">DH4318*3.1                </t>
  </si>
  <si>
    <t xml:space="preserve">FP-82148R*2                                                                                       </t>
  </si>
  <si>
    <t>114.12.8</t>
  </si>
  <si>
    <t>2F6FU2(J07)6EF2換原絲...</t>
  </si>
  <si>
    <t xml:space="preserve">FP-82155R*2                                                                                       </t>
  </si>
  <si>
    <t>2F6FV2(T02-L)6EE2/換原絲</t>
  </si>
  <si>
    <t>FP-82155R×2</t>
  </si>
  <si>
    <t>2F6FW2(J08)6FF2換原絲</t>
  </si>
  <si>
    <t xml:space="preserve">DH4318*2.8               </t>
  </si>
  <si>
    <t xml:space="preserve">FP-82156R*2                                                                                       </t>
  </si>
  <si>
    <t>2F6FX1(A24)6FG1/換原絲/DR</t>
  </si>
  <si>
    <t>FP-02307×2</t>
  </si>
  <si>
    <t>2F6FY2(T01-R)6FM2/換原絲</t>
  </si>
  <si>
    <t>FP-82156R×2</t>
  </si>
  <si>
    <t>2F6FZ2(T05-L)6DI2/換原絲-不加字尾</t>
  </si>
  <si>
    <t>FP-82153R×2</t>
  </si>
  <si>
    <t>2F6GA3(T03-L)6FJ3-換原絲</t>
  </si>
  <si>
    <t>FP-82649×2</t>
  </si>
  <si>
    <t>磷含量-7225</t>
  </si>
  <si>
    <t>2F6GB1(A24-B)-6EN1/DR...換原絲</t>
  </si>
  <si>
    <t>FP-02411×2</t>
  </si>
  <si>
    <t>114.12.30</t>
  </si>
  <si>
    <t>2F6GC2(T05-L)6FZ2/換原絲/升速</t>
  </si>
  <si>
    <t>210/OFF</t>
  </si>
  <si>
    <t>FP-82161R×2</t>
  </si>
  <si>
    <t>2F6GD2(T06-R)6FR2/換原絲</t>
  </si>
  <si>
    <t>FP-82159R×2</t>
  </si>
  <si>
    <t>115.1.16</t>
  </si>
  <si>
    <t>2F6GF1(A24-A)6EA1-換原絲/色紗-岩灰</t>
  </si>
  <si>
    <t>FP-02412×2</t>
  </si>
  <si>
    <t>2F6GG2(T05-R)6GC2/換原絲</t>
  </si>
  <si>
    <t>FP-82163R×2</t>
  </si>
  <si>
    <t>115.2.2</t>
  </si>
  <si>
    <t>2F6GH2(T01-R)6FM2/換原絲/升速改字尾</t>
  </si>
  <si>
    <t>40±15</t>
  </si>
  <si>
    <t>2F6GI1(A24-A)-6EU1/換原絲</t>
  </si>
  <si>
    <t>FP-02413×2</t>
  </si>
  <si>
    <t>2F6GJ2(S2)M1F2</t>
  </si>
  <si>
    <t>FP-02311×2</t>
  </si>
  <si>
    <t>255/48BFSD</t>
  </si>
  <si>
    <t>2F7C21(T05-R)7B51換原絲</t>
  </si>
  <si>
    <t>FP-82644×2</t>
  </si>
  <si>
    <t>磷含量-6530</t>
  </si>
  <si>
    <t>2F7C43(T05-R)7C03</t>
  </si>
  <si>
    <t>114.10.1</t>
  </si>
  <si>
    <t>2F7C53(S1)DZU3</t>
  </si>
  <si>
    <t xml:space="preserve">FP-83500R*2    </t>
  </si>
  <si>
    <t>2F7C62(A24-B)7A82/DR…換原絲</t>
  </si>
  <si>
    <t>317/317/160</t>
  </si>
  <si>
    <t>FP-82644</t>
  </si>
  <si>
    <t>114.10.16</t>
  </si>
  <si>
    <t>磷含量-6385</t>
  </si>
  <si>
    <t>2F7C71(T05-R)7B61-換原絲</t>
  </si>
  <si>
    <t>114.10.27</t>
  </si>
  <si>
    <t>磷含量-5970</t>
  </si>
  <si>
    <t>2F7C82(A21-A)7B22換原絲/DR</t>
  </si>
  <si>
    <t>FP-83702R</t>
  </si>
  <si>
    <t>2F7C93(T03-L)7C43換原絲</t>
  </si>
  <si>
    <t xml:space="preserve">FP-83022R*2    </t>
  </si>
  <si>
    <t>2F7D02(A11-B)7C62換原絲</t>
  </si>
  <si>
    <t>FP-82652</t>
  </si>
  <si>
    <t>2F7D11(T03-L)7C21降速/DR</t>
  </si>
  <si>
    <t>114.12.19</t>
  </si>
  <si>
    <t>磷含量-8130</t>
  </si>
  <si>
    <t>2F7D21(T03-L)7D11換原絲</t>
  </si>
  <si>
    <t>FP-82652×2</t>
  </si>
  <si>
    <t>磷含量-6830</t>
  </si>
  <si>
    <t>2F08L2</t>
  </si>
  <si>
    <t>(A07-B)07R2</t>
  </si>
  <si>
    <t>2F08M2</t>
  </si>
  <si>
    <t>(A08)07V2/原絲/DR</t>
  </si>
  <si>
    <t>(A08)08M2/換原絲/升速</t>
  </si>
  <si>
    <t>(A08-A)08N2/換原絲…</t>
  </si>
  <si>
    <t>(A13-B)1BV1換原絲/DR/溫度</t>
  </si>
  <si>
    <t>2F1YB2</t>
  </si>
  <si>
    <t>(S1)1SM2-DR/重量</t>
  </si>
  <si>
    <t>2F1YC2</t>
  </si>
  <si>
    <t>(A14-B)1XW2換原絲/DR</t>
  </si>
  <si>
    <t>2F1YD1</t>
  </si>
  <si>
    <t>(A24-A)1QI1-換原絲/改重量</t>
  </si>
  <si>
    <t>2F1YE2</t>
  </si>
  <si>
    <t>(A07-A)1WX2</t>
  </si>
  <si>
    <t>(A07-A)1YE2換原絲</t>
  </si>
  <si>
    <t>(A20)1XR2換原絲/加2字尾</t>
  </si>
  <si>
    <t>(A14)1YC2換原絲</t>
  </si>
  <si>
    <t>2F1YI1</t>
  </si>
  <si>
    <t>(A17)1YA1換原絲/DR</t>
  </si>
  <si>
    <t>(A08-B)1VM2換原絲</t>
  </si>
  <si>
    <t>(A22-A)1YI1換原絲</t>
  </si>
  <si>
    <t>(A07-A)1YF2換原絲</t>
  </si>
  <si>
    <t>(S1)1YB2-換原絲</t>
  </si>
  <si>
    <t>(A22-B)1YK1換原絲/換錠片</t>
  </si>
  <si>
    <t>(A11)1XZ2-換原絲/降速</t>
  </si>
  <si>
    <t>(A08-B)1WR2/升速</t>
  </si>
  <si>
    <t>(A11-B)1XU2</t>
  </si>
  <si>
    <t>(A16-B)M2P1</t>
  </si>
  <si>
    <t>(A13)1YA1換原絲</t>
  </si>
  <si>
    <t>(A17-A)1QZ2換原絲</t>
  </si>
  <si>
    <t>2F28S1</t>
  </si>
  <si>
    <t>(A17-A)28L1換原絲/升速/DR</t>
  </si>
  <si>
    <t>2F28T2</t>
  </si>
  <si>
    <t>(A22)28R2換原絲</t>
  </si>
  <si>
    <t>2F28U2</t>
  </si>
  <si>
    <t>(A08-B)28Q2換原絲</t>
  </si>
  <si>
    <t>2F28V2</t>
  </si>
  <si>
    <t>(A22-B)28T2換原絲</t>
  </si>
  <si>
    <t>(A21)28S1-DR</t>
  </si>
  <si>
    <t>2F28X2</t>
  </si>
  <si>
    <t>(A11-B)28V2換Disc Type/DR</t>
  </si>
  <si>
    <t>2F28Y1</t>
  </si>
  <si>
    <t>(A21-B)28W1換原絲Disc Type</t>
  </si>
  <si>
    <t>2F28Z2</t>
  </si>
  <si>
    <t>(A20-A)28V2</t>
  </si>
  <si>
    <t>2F29A2</t>
  </si>
  <si>
    <t>(A15-B)28X2</t>
  </si>
  <si>
    <t>(A21-A)28Y1換原絲</t>
  </si>
  <si>
    <t>(A20)28Z2換原絲/升速</t>
  </si>
  <si>
    <t>(A15-B)29A2換原絲</t>
  </si>
  <si>
    <t>(A15-B)29D2色差</t>
  </si>
  <si>
    <t>2F42A1</t>
  </si>
  <si>
    <t>(A23-A)41W1/DR</t>
  </si>
  <si>
    <t>(A09)41U2</t>
  </si>
  <si>
    <t>(A10)4982換原絲/JET</t>
  </si>
  <si>
    <t>(A23-A)42A1/DR</t>
  </si>
  <si>
    <t>2F42E3</t>
  </si>
  <si>
    <t>(T03-R)40T3換原絲</t>
  </si>
  <si>
    <t>2F42F1</t>
  </si>
  <si>
    <t>(A19-B)42A1/換原絲/Disc Type</t>
  </si>
  <si>
    <t>2F42G2</t>
  </si>
  <si>
    <t>(A19-A)41N2換Disc Type</t>
  </si>
  <si>
    <t>(A10-B)41Z2/換原絲/升速…</t>
  </si>
  <si>
    <t>2F42I2</t>
  </si>
  <si>
    <t>(T03-L)41I2換原絲/降速…</t>
  </si>
  <si>
    <t>(T04)41I2換原絲/降速…</t>
  </si>
  <si>
    <t>(A12)41V2換原絲</t>
  </si>
  <si>
    <t>(A19-A)42G2換原絲</t>
  </si>
  <si>
    <t>(A18)41X2換原絲</t>
  </si>
  <si>
    <t>(A19-B)42F1/換原絲</t>
  </si>
  <si>
    <t>(A14-A)41Q2換原絲</t>
  </si>
  <si>
    <t>(A23)42D1/DR換原絲</t>
  </si>
  <si>
    <t>2F42R1</t>
  </si>
  <si>
    <t>(A23-B)4161換原絲</t>
  </si>
  <si>
    <t>(A09)42B2換原絲</t>
  </si>
  <si>
    <t>(A12-B)42K2換原絲</t>
  </si>
  <si>
    <t>2F41J2</t>
  </si>
  <si>
    <t>(A19-B)40X2換原絲</t>
  </si>
  <si>
    <t>2F41K2</t>
  </si>
  <si>
    <t>(T03-R)3WP2換原絲/升速/DR</t>
  </si>
  <si>
    <t>2F41L3</t>
  </si>
  <si>
    <t>(A11-B)41H3換原絲</t>
  </si>
  <si>
    <t>(A19-B)40N1換原絲</t>
  </si>
  <si>
    <t>2F41N2</t>
  </si>
  <si>
    <t>(A19-A)40X2換原絲</t>
  </si>
  <si>
    <t>(T03-R)41K2降速/DR</t>
  </si>
  <si>
    <t>2F41Q2</t>
  </si>
  <si>
    <t>(A21-B)41D2</t>
  </si>
  <si>
    <t>2F41R1</t>
  </si>
  <si>
    <t>(A23-A)4651/換原絲</t>
  </si>
  <si>
    <t>2F41S3</t>
  </si>
  <si>
    <t>(A11-B)41L3換原絲/DR</t>
  </si>
  <si>
    <t>(S2)M852</t>
  </si>
  <si>
    <t>2F41U2</t>
  </si>
  <si>
    <t>(A09)41A2</t>
  </si>
  <si>
    <t>(A12)41C2</t>
  </si>
  <si>
    <t>2F41W1</t>
  </si>
  <si>
    <t>(A23)4931/換原絲2字尾</t>
  </si>
  <si>
    <t>(A18)41U2</t>
  </si>
  <si>
    <t>2F41Y1</t>
  </si>
  <si>
    <t>(A21-B)40N1換原絲/升速….</t>
  </si>
  <si>
    <t>2F41Z2</t>
  </si>
  <si>
    <t>(A10)40P2/換原絲</t>
  </si>
  <si>
    <t>2F6FI1</t>
  </si>
  <si>
    <t>(T03-L)6V21換原絲</t>
  </si>
  <si>
    <t>2F6FJ3</t>
  </si>
  <si>
    <t>(T05-R)6EK3-換原絲</t>
  </si>
  <si>
    <t>2F6FK1</t>
  </si>
  <si>
    <t>(A24-A)-6EN1/DR...換原絲</t>
  </si>
  <si>
    <t>2F6FL1</t>
  </si>
  <si>
    <t>(A10-B)6EZ1/DR</t>
  </si>
  <si>
    <t>(T01-R)6EE2/換原絲/降速/DR</t>
  </si>
  <si>
    <t>2F6FN3</t>
  </si>
  <si>
    <t>(T06-R)6FA3改重量</t>
  </si>
  <si>
    <t>2F6FP2</t>
  </si>
  <si>
    <t>(S2)69F2-換原絲/升速……</t>
  </si>
  <si>
    <t>2F6FQ1</t>
  </si>
  <si>
    <t>(T03-L)6FI1換原絲/加2字尾</t>
  </si>
  <si>
    <t>(T04)6EH2/換原絲</t>
  </si>
  <si>
    <t>(T05-R)6FQ1</t>
  </si>
  <si>
    <t>2F6FT2</t>
  </si>
  <si>
    <t>(J09)6FE2換原絲...</t>
  </si>
  <si>
    <t>(J07)6EF2換原絲...</t>
  </si>
  <si>
    <t>(T02-L)6EE2/換原絲</t>
  </si>
  <si>
    <t>2F6FW2</t>
  </si>
  <si>
    <t>(J08)6FF2換原絲</t>
  </si>
  <si>
    <t>(A24)6FG1/換原絲/DR</t>
  </si>
  <si>
    <t>(T01-R)6FM2/換原絲</t>
  </si>
  <si>
    <t>(T05-L)6DI2/換原絲-不加字尾</t>
  </si>
  <si>
    <t>(S2)色紗</t>
  </si>
  <si>
    <t>(A08-B)6A72-換原絲/溫度</t>
  </si>
  <si>
    <t>(S2)-6D41換原絲/DR</t>
  </si>
  <si>
    <t>(S2-1～3)色紗-69W3色差</t>
  </si>
  <si>
    <t>(A08-A)6G12-換原絲</t>
  </si>
  <si>
    <t>(J07)6E91換原絲/DR</t>
  </si>
  <si>
    <t>(S2)69X3-換原絲/改重量</t>
  </si>
  <si>
    <t>(S2)</t>
  </si>
  <si>
    <t>(T03-R)6C31換原絲</t>
  </si>
  <si>
    <t>(S2)69E1換原絲</t>
  </si>
  <si>
    <t>(T03-L)6FJ3-換原絲</t>
  </si>
  <si>
    <t>(A24-B)-6EN1/DR...換原絲</t>
  </si>
  <si>
    <t>2F6GC2</t>
  </si>
  <si>
    <t>(T05-L)6FZ2/換原絲/升速</t>
  </si>
  <si>
    <t>(T06-R)6FR2/換原絲</t>
  </si>
  <si>
    <t>2F6GF1</t>
  </si>
  <si>
    <t>(A24-A)6EA1-換原絲/色紗-岩灰</t>
  </si>
  <si>
    <t>(T05-R)6GC2/換原絲</t>
  </si>
  <si>
    <t>(T01-R)6FM2/換原絲/升速改字尾</t>
  </si>
  <si>
    <t>(A24-A)-6EU1/換原絲</t>
  </si>
  <si>
    <t>(S2)M1F2</t>
  </si>
  <si>
    <t>2F7C21</t>
  </si>
  <si>
    <t>(T05-R)7B51換原絲</t>
  </si>
  <si>
    <t>2F7C43</t>
  </si>
  <si>
    <t>(T05-R)7C03</t>
  </si>
  <si>
    <t>2F7C53</t>
  </si>
  <si>
    <t>(S1)DZU3</t>
  </si>
  <si>
    <t>2F7C62</t>
  </si>
  <si>
    <t>(A24-B)7A82/DR…換原絲</t>
  </si>
  <si>
    <t>2F7C71</t>
  </si>
  <si>
    <t>(T05-R)7B61-換原絲</t>
  </si>
  <si>
    <t>2F7C82</t>
  </si>
  <si>
    <t>(A21-A)7B22換原絲/DR</t>
  </si>
  <si>
    <t>2F7C93</t>
  </si>
  <si>
    <t>(T03-L)7C43換原絲</t>
  </si>
  <si>
    <t>(A11-B)7C62換原絲</t>
  </si>
  <si>
    <t>2F7D11</t>
  </si>
  <si>
    <t>(T03-L)7C21降速/DR</t>
  </si>
  <si>
    <t>2F7D21</t>
  </si>
  <si>
    <t>(T03-L)7D11換原絲</t>
  </si>
  <si>
    <t>2F1YX2</t>
  </si>
  <si>
    <t>2F29F2</t>
  </si>
  <si>
    <t>總表更新日期</t>
    <phoneticPr fontId="12" type="noConversion"/>
  </si>
  <si>
    <t>1-5-1S+ZS85°</t>
  </si>
  <si>
    <t>1-5-1Z+SS85°</t>
  </si>
  <si>
    <t>1-5-1Z+SS83°</t>
  </si>
  <si>
    <t>1-6-1ZS85°</t>
  </si>
  <si>
    <t>1-5-1Z+SS91°</t>
  </si>
  <si>
    <t>2F1YV1(A08-B)1SJ1換原絲</t>
  </si>
  <si>
    <t>1-4-1  S83°</t>
  </si>
  <si>
    <t>115.3.6</t>
  </si>
  <si>
    <t>2F1YW1(A22-B)1YN1換原絲</t>
  </si>
  <si>
    <t>1-4-1  S87°</t>
  </si>
  <si>
    <t>115.3.9</t>
  </si>
  <si>
    <t>2F1YX2(A16-B)1XR2換原絲/DR</t>
  </si>
  <si>
    <t xml:space="preserve">FP-81362R                       </t>
  </si>
  <si>
    <t>115.3.11</t>
  </si>
  <si>
    <t>1-5-1  S87°</t>
  </si>
  <si>
    <t>2F29F2(A20-B)29C2色差</t>
  </si>
  <si>
    <t>2F42U2(T04-L)42J2換原絲</t>
  </si>
  <si>
    <t xml:space="preserve">1-5-1 S85° S+Z </t>
  </si>
  <si>
    <t>FP-81365R*2</t>
  </si>
  <si>
    <t>(A08-B)1SJ1換原絲</t>
  </si>
  <si>
    <t>(A22-B)1YN1換原絲</t>
  </si>
  <si>
    <t>(A16-B)1XR2換原絲/DR</t>
  </si>
  <si>
    <t>(A20-B)29C2色差</t>
  </si>
  <si>
    <t>(T04-L)42J2換原絲</t>
  </si>
  <si>
    <t>2026/3/11</t>
    <phoneticPr fontId="12" type="noConversion"/>
  </si>
  <si>
    <t>FP81386R</t>
  </si>
  <si>
    <t>FP81384R</t>
  </si>
  <si>
    <t>2FA032</t>
  </si>
  <si>
    <t>T06</t>
    <phoneticPr fontId="12" type="noConversion"/>
  </si>
  <si>
    <t>A08</t>
    <phoneticPr fontId="0" type="noConversion"/>
  </si>
  <si>
    <t>115-04月</t>
    <phoneticPr fontId="12" type="noConversion"/>
  </si>
  <si>
    <t>2F29I1</t>
  </si>
  <si>
    <t>A21</t>
    <phoneticPr fontId="14" type="noConversion"/>
  </si>
  <si>
    <t>100/36SDr</t>
  </si>
  <si>
    <t>白底紅三角</t>
  </si>
  <si>
    <t>2F6GU2</t>
  </si>
  <si>
    <t>FP82170R×2</t>
  </si>
  <si>
    <t>2F6GT2</t>
  </si>
  <si>
    <t>150/48/2SDr</t>
  </si>
  <si>
    <t>2F6GV2</t>
  </si>
  <si>
    <t>2F6GW2</t>
  </si>
  <si>
    <t>FP82168R×2</t>
  </si>
  <si>
    <t>225/72/2SDr</t>
  </si>
  <si>
    <t>2FA042</t>
  </si>
  <si>
    <t>2F43G2</t>
  </si>
  <si>
    <t>FP82781</t>
  </si>
  <si>
    <t>FP01422</t>
  </si>
  <si>
    <t>藍底白十字</t>
  </si>
  <si>
    <t>白紅愛心</t>
  </si>
  <si>
    <t>2F7E03</t>
  </si>
  <si>
    <t>2F43I1</t>
  </si>
  <si>
    <t>FP82167R</t>
  </si>
  <si>
    <t>FP83024R×2</t>
  </si>
  <si>
    <t>2F43K2</t>
  </si>
  <si>
    <t>2F6GZ3</t>
  </si>
  <si>
    <t>2F6IA2</t>
  </si>
  <si>
    <t>J08</t>
    <phoneticPr fontId="14" type="noConversion"/>
  </si>
  <si>
    <t>75/24/2SDr</t>
  </si>
  <si>
    <t>FP81382R×2</t>
  </si>
  <si>
    <t>FP82658×2</t>
  </si>
  <si>
    <t>A22</t>
    <phoneticPr fontId="14" type="noConversion"/>
  </si>
  <si>
    <t>2F6ID2</t>
  </si>
  <si>
    <t>2F6IB1</t>
  </si>
  <si>
    <t>2F43N2</t>
  </si>
  <si>
    <t>2F08R2</t>
  </si>
  <si>
    <t>2F43L2</t>
  </si>
  <si>
    <t>2F43M1</t>
  </si>
  <si>
    <t>G</t>
  </si>
  <si>
    <t>FP82169R</t>
  </si>
  <si>
    <t>FP82169R×2</t>
  </si>
  <si>
    <t>2F6IC1</t>
  </si>
  <si>
    <t>FP02422×2</t>
  </si>
  <si>
    <t>FP81391R×2</t>
  </si>
  <si>
    <t>A13</t>
    <phoneticPr fontId="0" type="noConversion"/>
  </si>
  <si>
    <t>待料</t>
  </si>
  <si>
    <t>115-05月</t>
    <phoneticPr fontId="12" type="noConversion"/>
  </si>
  <si>
    <t>115-04月</t>
  </si>
  <si>
    <t>A19</t>
    <phoneticPr fontId="14" type="noConversion"/>
  </si>
  <si>
    <t>2F6IE2</t>
  </si>
  <si>
    <t>FP82171R×2</t>
  </si>
  <si>
    <t>廢絲率</t>
    <phoneticPr fontId="12" type="noConversion"/>
  </si>
  <si>
    <t>開車%</t>
    <phoneticPr fontId="12" type="noConversion"/>
  </si>
  <si>
    <t>2F43P2</t>
  </si>
  <si>
    <t>2F43E2</t>
  </si>
  <si>
    <t>2F6IG2</t>
  </si>
  <si>
    <t>FP82173R×2</t>
  </si>
  <si>
    <t>2F6IH2</t>
  </si>
  <si>
    <t>2026/04月</t>
  </si>
  <si>
    <t>2026/03月</t>
  </si>
  <si>
    <t>2026/02月</t>
  </si>
  <si>
    <t>封存</t>
    <phoneticPr fontId="12" type="noConversion"/>
  </si>
  <si>
    <t>2F6IF2</t>
  </si>
  <si>
    <t>FP02421</t>
  </si>
  <si>
    <t>2.0</t>
    <phoneticPr fontId="12" type="noConversion"/>
  </si>
  <si>
    <t>2F6II2</t>
  </si>
  <si>
    <t>2F29J2</t>
  </si>
  <si>
    <t>2F43Q2</t>
  </si>
  <si>
    <t>final</t>
  </si>
  <si>
    <t>FP80099R×2</t>
  </si>
  <si>
    <t>FP81209R×2</t>
  </si>
  <si>
    <t>T05</t>
    <phoneticPr fontId="14" type="noConversion"/>
  </si>
  <si>
    <t>T05</t>
    <phoneticPr fontId="12" type="noConversion"/>
  </si>
  <si>
    <t>無值車員</t>
  </si>
  <si>
    <t>FP82171R</t>
  </si>
  <si>
    <t xml:space="preserve">停機 </t>
    <phoneticPr fontId="12" type="noConversion"/>
  </si>
  <si>
    <t>T04</t>
    <phoneticPr fontId="12" type="noConversion"/>
  </si>
  <si>
    <t>2F6IJ1</t>
    <phoneticPr fontId="12" type="noConversion"/>
  </si>
  <si>
    <t>A</t>
    <phoneticPr fontId="12" type="noConversion"/>
  </si>
  <si>
    <t xml:space="preserve"> 停機</t>
    <phoneticPr fontId="12" type="noConversion"/>
  </si>
  <si>
    <t>2FA062</t>
    <phoneticPr fontId="12" type="noConversion"/>
  </si>
  <si>
    <t>2F9VH2</t>
    <phoneticPr fontId="12" type="noConversion"/>
  </si>
  <si>
    <t xml:space="preserve"> BRYAN</t>
    <phoneticPr fontId="12" type="noConversion"/>
  </si>
  <si>
    <t xml:space="preserve"> BRYAN</t>
  </si>
  <si>
    <t>待料</t>
    <phoneticPr fontId="12" type="noConversion"/>
  </si>
  <si>
    <t xml:space="preserve"> 了機</t>
    <phoneticPr fontId="12" type="noConversion"/>
  </si>
  <si>
    <t>原絲管色</t>
  </si>
  <si>
    <t>D/Y
V.R</t>
  </si>
  <si>
    <t>OIL</t>
  </si>
  <si>
    <t>WX
GX</t>
  </si>
  <si>
    <t>W3
G3</t>
  </si>
  <si>
    <t>W4
G4</t>
  </si>
  <si>
    <t>TU</t>
  </si>
  <si>
    <t>T03R</t>
  </si>
  <si>
    <t>橘黑三角+白黑大點</t>
  </si>
  <si>
    <t>T03L</t>
  </si>
  <si>
    <t>白黑小三角</t>
  </si>
  <si>
    <t>FP81365R×2</t>
  </si>
  <si>
    <t>T04L</t>
  </si>
  <si>
    <t>白黃大點</t>
  </si>
  <si>
    <t>FP82127R×2</t>
  </si>
  <si>
    <t>紅黑大點</t>
  </si>
  <si>
    <t>FP82131R×2</t>
  </si>
  <si>
    <t>1.82/1.83</t>
  </si>
  <si>
    <t>FP82128R×2</t>
  </si>
  <si>
    <t>T05L</t>
  </si>
  <si>
    <t>黃紅十字</t>
  </si>
  <si>
    <t>FP82134R×2</t>
  </si>
  <si>
    <t>T06,T05R</t>
  </si>
  <si>
    <t>FP82634×2</t>
  </si>
  <si>
    <t>T05R</t>
  </si>
  <si>
    <t>FP82136R×2</t>
  </si>
  <si>
    <t>FP82135R×2</t>
  </si>
  <si>
    <t>FP82141R×2</t>
  </si>
  <si>
    <t>紫黃直條</t>
  </si>
  <si>
    <t>2F6FA3</t>
  </si>
  <si>
    <t>FP82144R×2</t>
  </si>
  <si>
    <t>綠黑大點</t>
  </si>
  <si>
    <t>FP82645×2</t>
  </si>
  <si>
    <t>FP82764×2</t>
  </si>
  <si>
    <t>FP82146R×2</t>
  </si>
  <si>
    <t>FP82648×2</t>
  </si>
  <si>
    <t>綠黑十字</t>
  </si>
  <si>
    <t>T01R;T01L</t>
  </si>
  <si>
    <t>T06R</t>
  </si>
  <si>
    <t>T04,T06</t>
  </si>
  <si>
    <t>紅底藍點/綠白大點</t>
  </si>
  <si>
    <t>T01R</t>
  </si>
  <si>
    <t>紅黑小三角</t>
  </si>
  <si>
    <t>藍黑三角</t>
  </si>
  <si>
    <t>FP82163R×2</t>
  </si>
  <si>
    <t>黃紅大點</t>
  </si>
  <si>
    <t>2F6GL1</t>
  </si>
  <si>
    <t>FP82644×2</t>
  </si>
  <si>
    <t>FP82652×2</t>
  </si>
  <si>
    <t>FP83602R×2</t>
  </si>
  <si>
    <t>FP81359R</t>
  </si>
  <si>
    <t>T04R</t>
  </si>
  <si>
    <t>綠黑條紋</t>
  </si>
  <si>
    <t>FP83021R×2</t>
  </si>
  <si>
    <t>藍底白點</t>
  </si>
  <si>
    <t>FP83023R×2</t>
  </si>
  <si>
    <t>黑底白點</t>
  </si>
  <si>
    <t>2F6GM1</t>
  </si>
  <si>
    <t>2F6GK3</t>
  </si>
  <si>
    <t>2F6GN2</t>
  </si>
  <si>
    <t>2F6GP1</t>
  </si>
  <si>
    <t>2F42Z2</t>
  </si>
  <si>
    <t>FP81383R×2</t>
  </si>
  <si>
    <t>2FA023</t>
  </si>
  <si>
    <t>FP81365R</t>
  </si>
  <si>
    <t>2F43C2</t>
  </si>
  <si>
    <t>FP11915R×2</t>
  </si>
  <si>
    <t>2F6GS1</t>
  </si>
  <si>
    <t>FP82166R×2</t>
  </si>
  <si>
    <t>白紅小三角</t>
  </si>
  <si>
    <t>2F6GR2</t>
  </si>
  <si>
    <t>2F7D93</t>
  </si>
  <si>
    <t>灰底白點</t>
  </si>
  <si>
    <t>2F6GY2</t>
  </si>
  <si>
    <t>FP82167R×2</t>
  </si>
  <si>
    <t>2F6GX1</t>
  </si>
  <si>
    <t>J08R</t>
  </si>
  <si>
    <t>白綠大點</t>
  </si>
  <si>
    <t>1.86/1.89</t>
  </si>
  <si>
    <t>FP80790R</t>
  </si>
  <si>
    <t>-6.7</t>
  </si>
  <si>
    <t>-6.8</t>
  </si>
  <si>
    <t>-4.3</t>
  </si>
  <si>
    <t>55</t>
  </si>
  <si>
    <t>FP60102</t>
  </si>
  <si>
    <t>A07B</t>
  </si>
  <si>
    <t>-6.2</t>
  </si>
  <si>
    <t>FP7TR12AK</t>
  </si>
  <si>
    <t>綠黑雙色</t>
  </si>
  <si>
    <t>2F1WJ2</t>
  </si>
  <si>
    <t>FP81853</t>
  </si>
  <si>
    <t>A12B</t>
  </si>
  <si>
    <t>FP81545R</t>
  </si>
  <si>
    <t>FP81319R</t>
  </si>
  <si>
    <t>黃底綠點</t>
  </si>
  <si>
    <t>1.78/1.83</t>
  </si>
  <si>
    <t>FP61438</t>
  </si>
  <si>
    <t>S01-1~4</t>
  </si>
  <si>
    <t>FP81548</t>
  </si>
  <si>
    <t>S01-7~12</t>
  </si>
  <si>
    <t>FP81281R</t>
  </si>
  <si>
    <t>FP79R12AJ</t>
  </si>
  <si>
    <t>1.78/1.86</t>
  </si>
  <si>
    <t>1.81/1.8</t>
  </si>
  <si>
    <t>-4.3/-4.42</t>
  </si>
  <si>
    <t>A24A</t>
  </si>
  <si>
    <t>FP81856</t>
  </si>
  <si>
    <t>-4.5</t>
  </si>
  <si>
    <t>-5.6</t>
  </si>
  <si>
    <t>-4.65</t>
  </si>
  <si>
    <t>FP81551</t>
  </si>
  <si>
    <t>橘底白點</t>
  </si>
  <si>
    <t>FP81232R</t>
  </si>
  <si>
    <t>-4.15</t>
  </si>
  <si>
    <t>-6.45</t>
  </si>
  <si>
    <t>-5.98</t>
  </si>
  <si>
    <t>FP81272R</t>
  </si>
  <si>
    <t>-4.1</t>
  </si>
  <si>
    <t>-5.73</t>
  </si>
  <si>
    <t>-4.13</t>
  </si>
  <si>
    <t>墨綠色</t>
  </si>
  <si>
    <t>-5.0</t>
  </si>
  <si>
    <t>-5.40</t>
  </si>
  <si>
    <t>-4.20</t>
  </si>
  <si>
    <t>FP81330R</t>
  </si>
  <si>
    <t>A20A</t>
  </si>
  <si>
    <t>-6.05</t>
  </si>
  <si>
    <t>2F1XD2</t>
  </si>
  <si>
    <t>FP81552R</t>
  </si>
  <si>
    <t>A11A</t>
  </si>
  <si>
    <t>-5.2</t>
  </si>
  <si>
    <t>2F1XE2</t>
  </si>
  <si>
    <t>FP81624</t>
  </si>
  <si>
    <t>-4.68</t>
  </si>
  <si>
    <t>-5.85</t>
  </si>
  <si>
    <t>-3.6</t>
  </si>
  <si>
    <t>黃黑三角</t>
  </si>
  <si>
    <t>-4.53</t>
  </si>
  <si>
    <t>FP11014R</t>
  </si>
  <si>
    <t>A20B</t>
  </si>
  <si>
    <t>-6.35</t>
  </si>
  <si>
    <t>A16A</t>
  </si>
  <si>
    <t>-5.02</t>
  </si>
  <si>
    <t>-4.62</t>
  </si>
  <si>
    <t>A16B</t>
  </si>
  <si>
    <t>-3.5</t>
  </si>
  <si>
    <t>-4.75</t>
  </si>
  <si>
    <t>-3.74</t>
  </si>
  <si>
    <t>-4.2</t>
  </si>
  <si>
    <t>-4.12</t>
  </si>
  <si>
    <t>-5.7</t>
  </si>
  <si>
    <t>-4.0</t>
  </si>
  <si>
    <t>-6.4</t>
  </si>
  <si>
    <t>-4</t>
  </si>
  <si>
    <t>2F1XS2</t>
  </si>
  <si>
    <t>FP81348R</t>
  </si>
  <si>
    <t>-6.36</t>
  </si>
  <si>
    <t>2F1XT2</t>
  </si>
  <si>
    <t>FP81626</t>
  </si>
  <si>
    <t>黑紅十字</t>
  </si>
  <si>
    <t>2F1XU2</t>
  </si>
  <si>
    <t>紫黑條紋</t>
  </si>
  <si>
    <t>2F1XV2</t>
  </si>
  <si>
    <t>2F1XW2</t>
  </si>
  <si>
    <t>2F1XX2</t>
  </si>
  <si>
    <t>-5.9</t>
  </si>
  <si>
    <t>2F1XY2</t>
  </si>
  <si>
    <t>FP81858</t>
  </si>
  <si>
    <t>A21B</t>
  </si>
  <si>
    <t>白黑大點</t>
  </si>
  <si>
    <t>-5</t>
  </si>
  <si>
    <t>-5.4</t>
  </si>
  <si>
    <t>2F1XZ2</t>
  </si>
  <si>
    <t>FP81627</t>
  </si>
  <si>
    <t>-4.73/-4.8</t>
  </si>
  <si>
    <t>A13;A17B</t>
  </si>
  <si>
    <t>-9.25</t>
  </si>
  <si>
    <t>-2.85</t>
  </si>
  <si>
    <t>FP81235R</t>
  </si>
  <si>
    <t>S01-1~6</t>
  </si>
  <si>
    <t>黃黑大三角</t>
  </si>
  <si>
    <t>-5.3</t>
  </si>
  <si>
    <t>-3.52/-3.4</t>
  </si>
  <si>
    <t>A07A</t>
  </si>
  <si>
    <t>-4.85</t>
  </si>
  <si>
    <t>58</t>
  </si>
  <si>
    <t>FP81311R</t>
  </si>
  <si>
    <t>A08A</t>
  </si>
  <si>
    <t>FP81325R</t>
  </si>
  <si>
    <t>A17B</t>
  </si>
  <si>
    <t>-6.3</t>
  </si>
  <si>
    <t>-4.8</t>
  </si>
  <si>
    <t>FP81329R</t>
  </si>
  <si>
    <t>A17A</t>
  </si>
  <si>
    <t>-6.0</t>
  </si>
  <si>
    <t>FP81336R</t>
  </si>
  <si>
    <t>-5.08</t>
  </si>
  <si>
    <t>-6.39</t>
  </si>
  <si>
    <t>-4.38</t>
  </si>
  <si>
    <t>FP81345R</t>
  </si>
  <si>
    <t>綠紅條紋</t>
  </si>
  <si>
    <t>1.58//1.66</t>
  </si>
  <si>
    <t>-5.18/-4.88</t>
  </si>
  <si>
    <t>A22B</t>
  </si>
  <si>
    <t>-4.4</t>
  </si>
  <si>
    <t>FP81349R</t>
  </si>
  <si>
    <t>-4.96</t>
  </si>
  <si>
    <t>-5.07/-4.76</t>
  </si>
  <si>
    <t>FP81293R×2</t>
  </si>
  <si>
    <t>A08B</t>
  </si>
  <si>
    <t>FP82761R</t>
  </si>
  <si>
    <t>白藍大點</t>
  </si>
  <si>
    <t>A09B</t>
  </si>
  <si>
    <t>FP82130R</t>
  </si>
  <si>
    <t>A10A</t>
  </si>
  <si>
    <t>FP82765R</t>
  </si>
  <si>
    <t>橘綠條紋</t>
  </si>
  <si>
    <t>FP82634</t>
  </si>
  <si>
    <t>FP82639</t>
  </si>
  <si>
    <t>FP81310R×2</t>
  </si>
  <si>
    <t>1.95/1.92</t>
  </si>
  <si>
    <t>白底黑十字</t>
  </si>
  <si>
    <t>-4.72</t>
  </si>
  <si>
    <t>-5.55</t>
  </si>
  <si>
    <t>FP82572R</t>
  </si>
  <si>
    <t>-4.88</t>
  </si>
  <si>
    <t>-5.5</t>
  </si>
  <si>
    <t>-6.25</t>
  </si>
  <si>
    <t>A11B</t>
  </si>
  <si>
    <t>FP82132R</t>
  </si>
  <si>
    <t>A19B</t>
  </si>
  <si>
    <t>-3.4</t>
  </si>
  <si>
    <t>FP82648</t>
  </si>
  <si>
    <t>白紅方塊</t>
  </si>
  <si>
    <t>-4.6</t>
  </si>
  <si>
    <t>綠黑小三角</t>
  </si>
  <si>
    <t>-5.05</t>
  </si>
  <si>
    <t>白紫大三角</t>
  </si>
  <si>
    <t>A19A</t>
  </si>
  <si>
    <t>-3.9</t>
  </si>
  <si>
    <t>-4.34</t>
  </si>
  <si>
    <t>FP02406R</t>
  </si>
  <si>
    <t>黃黑小三角</t>
  </si>
  <si>
    <t>-4.26</t>
  </si>
  <si>
    <t>36</t>
  </si>
  <si>
    <t>S02-5~6</t>
  </si>
  <si>
    <t>FP82566×2</t>
  </si>
  <si>
    <t>FP82126R×2</t>
  </si>
  <si>
    <t>FP82123R×2</t>
  </si>
  <si>
    <t>FP82639×2</t>
  </si>
  <si>
    <t>A10B</t>
  </si>
  <si>
    <t>FP82569×2</t>
  </si>
  <si>
    <t>A24B</t>
  </si>
  <si>
    <t>FP82138R×2</t>
  </si>
  <si>
    <t>1.66/1.68</t>
  </si>
  <si>
    <t>-4.69</t>
  </si>
  <si>
    <t>-5.29/-5.04</t>
  </si>
  <si>
    <t>FP82570×2</t>
  </si>
  <si>
    <t>S01-1~12</t>
  </si>
  <si>
    <t>FP82571×2</t>
  </si>
  <si>
    <t>-3.8</t>
  </si>
  <si>
    <t>-5.35</t>
  </si>
  <si>
    <t>-6.74</t>
  </si>
  <si>
    <t>-6.75</t>
  </si>
  <si>
    <t>FP82818R×2</t>
  </si>
  <si>
    <t>S01-7~10</t>
  </si>
  <si>
    <t>-4.67</t>
  </si>
  <si>
    <t>FP82643×2</t>
  </si>
  <si>
    <t>-3.85</t>
  </si>
  <si>
    <t>2F6FC3</t>
  </si>
  <si>
    <t>FP82573R×2</t>
  </si>
  <si>
    <t>-5.1</t>
  </si>
  <si>
    <t>FP82574×2</t>
  </si>
  <si>
    <t>-5.04</t>
  </si>
  <si>
    <t>FP02404×2</t>
  </si>
  <si>
    <t>-5.21</t>
  </si>
  <si>
    <t>-3.93</t>
  </si>
  <si>
    <t>FP82767R×2</t>
  </si>
  <si>
    <t>S02-3~5</t>
  </si>
  <si>
    <t>-4.7</t>
  </si>
  <si>
    <t>40</t>
  </si>
  <si>
    <t>FP83701R</t>
  </si>
  <si>
    <t>A23B</t>
  </si>
  <si>
    <t>紅綠條紋</t>
  </si>
  <si>
    <t>FP00301</t>
  </si>
  <si>
    <t>-5.53</t>
  </si>
  <si>
    <t>-7.0</t>
  </si>
  <si>
    <t>-4.17</t>
  </si>
  <si>
    <t>FP80122R</t>
  </si>
  <si>
    <t>2F7C33</t>
  </si>
  <si>
    <t>FP83500R×2</t>
  </si>
  <si>
    <t>-5.8</t>
  </si>
  <si>
    <t>-5.22</t>
  </si>
  <si>
    <t>FP82644</t>
  </si>
  <si>
    <t>FP83702R</t>
  </si>
  <si>
    <t>A21A</t>
  </si>
  <si>
    <t>-5.65</t>
  </si>
  <si>
    <t>FP82649</t>
  </si>
  <si>
    <t>FP01306</t>
  </si>
  <si>
    <t>-4.75/-4.66</t>
  </si>
  <si>
    <t>橘白大點</t>
  </si>
  <si>
    <t>-4.64</t>
  </si>
  <si>
    <t>FP82137R</t>
  </si>
  <si>
    <t>-4.93</t>
  </si>
  <si>
    <t>-6.1</t>
  </si>
  <si>
    <t>-6.9</t>
  </si>
  <si>
    <t>-4.24</t>
  </si>
  <si>
    <t>FP02304R</t>
  </si>
  <si>
    <t>-5.18</t>
  </si>
  <si>
    <t>FP81308R</t>
  </si>
  <si>
    <t>FP02306R</t>
  </si>
  <si>
    <t>-4.25</t>
  </si>
  <si>
    <t>紅藍條紋</t>
  </si>
  <si>
    <t>-4.44</t>
  </si>
  <si>
    <t>1.97/1.94</t>
  </si>
  <si>
    <t>-3.72/3.76</t>
  </si>
  <si>
    <t>-5.68</t>
  </si>
  <si>
    <t>-4.39/-4.45</t>
  </si>
  <si>
    <t>-4.58</t>
  </si>
  <si>
    <t>-6.5</t>
  </si>
  <si>
    <t>-4.29</t>
  </si>
  <si>
    <t>-5.28</t>
  </si>
  <si>
    <t>-2.88</t>
  </si>
  <si>
    <t>-4.35</t>
  </si>
  <si>
    <t>-6</t>
  </si>
  <si>
    <t>-3.95</t>
  </si>
  <si>
    <t>-5.24</t>
  </si>
  <si>
    <t>-4.56</t>
  </si>
  <si>
    <t>-3.7</t>
  </si>
  <si>
    <t>1.79/1.8</t>
  </si>
  <si>
    <t>-4.06</t>
  </si>
  <si>
    <t>-3.58</t>
  </si>
  <si>
    <t>-4.67/-4.57</t>
  </si>
  <si>
    <t>FP81368R</t>
  </si>
  <si>
    <t>-3.68</t>
  </si>
  <si>
    <t>FP02413×2</t>
  </si>
  <si>
    <t>FP02311×2</t>
  </si>
  <si>
    <t>S02-1~3</t>
  </si>
  <si>
    <t>紅藍雙色</t>
  </si>
  <si>
    <t>-5.32</t>
  </si>
  <si>
    <t>FP81370R</t>
  </si>
  <si>
    <t>-4.85/-4.9</t>
  </si>
  <si>
    <t>FP82654</t>
  </si>
  <si>
    <t>FP81372R</t>
  </si>
  <si>
    <t>1.65/1.63</t>
  </si>
  <si>
    <t>-4.6/-4.7</t>
  </si>
  <si>
    <t>1.81/1.83</t>
  </si>
  <si>
    <t>-4.33/-4.47</t>
  </si>
  <si>
    <t>FP11914R</t>
  </si>
  <si>
    <t>A13,A17B</t>
  </si>
  <si>
    <t>灰底藍星</t>
  </si>
  <si>
    <t>-3.18/-3.08</t>
  </si>
  <si>
    <t>-4.45</t>
  </si>
  <si>
    <t>FP03301R×2</t>
  </si>
  <si>
    <t>-4.46</t>
  </si>
  <si>
    <t>-4.78/-4.86</t>
  </si>
  <si>
    <t>-3</t>
  </si>
  <si>
    <t>-4.95</t>
  </si>
  <si>
    <t>FP81362R</t>
  </si>
  <si>
    <t>2F1YY2</t>
  </si>
  <si>
    <t>75/72F2FC</t>
  </si>
  <si>
    <t>FP01419</t>
  </si>
  <si>
    <t>-3.75</t>
  </si>
  <si>
    <t>2F1YZ2</t>
  </si>
  <si>
    <t>FP01418</t>
  </si>
  <si>
    <t>A22A</t>
  </si>
  <si>
    <t>-5.15</t>
  </si>
  <si>
    <t>2F7D83</t>
  </si>
  <si>
    <t>2F42W2</t>
  </si>
  <si>
    <t>FP82780R</t>
  </si>
  <si>
    <t>紅底綠點</t>
  </si>
  <si>
    <t>-3.98</t>
  </si>
  <si>
    <t>2F42V1</t>
  </si>
  <si>
    <t>75/36/2SDRP</t>
  </si>
  <si>
    <t>FP81380R×2</t>
  </si>
  <si>
    <t>2FA001</t>
  </si>
  <si>
    <t>-5.58</t>
  </si>
  <si>
    <t>2F42X2</t>
  </si>
  <si>
    <t>1.73/1.72</t>
  </si>
  <si>
    <t>-4.05</t>
  </si>
  <si>
    <t>2F08Q2</t>
  </si>
  <si>
    <t>50/72F2FC</t>
  </si>
  <si>
    <t>FP80139</t>
  </si>
  <si>
    <t>2F29G1</t>
  </si>
  <si>
    <t>-5.47</t>
  </si>
  <si>
    <t>2F42Y1</t>
  </si>
  <si>
    <t>2F29H2</t>
  </si>
  <si>
    <t>FP81385R</t>
  </si>
  <si>
    <t>1.55/1.53</t>
  </si>
  <si>
    <t>2F6GQ3</t>
  </si>
  <si>
    <t>FP02420R×2</t>
  </si>
  <si>
    <t>2F43A1</t>
  </si>
  <si>
    <t>FP82166R</t>
  </si>
  <si>
    <t>1.77/1.78</t>
  </si>
  <si>
    <t>-4.59/-4.64</t>
  </si>
  <si>
    <t>-3.78</t>
  </si>
  <si>
    <t>2F43B1</t>
  </si>
  <si>
    <t>150/48SDr</t>
  </si>
  <si>
    <t>-4.78</t>
  </si>
  <si>
    <t>2F43D2</t>
  </si>
  <si>
    <t>FP82778</t>
  </si>
  <si>
    <t>1.69/1.75</t>
  </si>
  <si>
    <t>2F43F1</t>
  </si>
  <si>
    <t>FP82658</t>
  </si>
  <si>
    <t>-4.52</t>
  </si>
  <si>
    <t>2FA052</t>
  </si>
  <si>
    <t>2F43H1</t>
  </si>
  <si>
    <t>A23A</t>
  </si>
  <si>
    <t>-4.74</t>
  </si>
  <si>
    <t>-4.55</t>
  </si>
  <si>
    <t>2F43J1</t>
  </si>
  <si>
    <t>1.77/1.75</t>
  </si>
  <si>
    <t>A12A</t>
  </si>
  <si>
    <t>藍黃直條</t>
  </si>
  <si>
    <t>-4.64/-4.75</t>
  </si>
  <si>
    <t>1.63/1.65</t>
  </si>
  <si>
    <t>S01-1~3</t>
  </si>
  <si>
    <t>S01-4~6</t>
  </si>
  <si>
    <t>FP82169R×2</t>
    <phoneticPr fontId="12" type="noConversion"/>
  </si>
  <si>
    <t>FP81631R</t>
    <phoneticPr fontId="12" type="noConversion"/>
  </si>
  <si>
    <t>白藍條</t>
    <phoneticPr fontId="12" type="noConversion"/>
  </si>
  <si>
    <t>75/72/2PFBR</t>
    <phoneticPr fontId="12" type="noConversion"/>
  </si>
  <si>
    <t>FP01432R×2</t>
    <phoneticPr fontId="12" type="noConversion"/>
  </si>
  <si>
    <t>綠黑小三角</t>
    <phoneticPr fontId="12" type="noConversion"/>
  </si>
  <si>
    <t>5月
成績</t>
    <phoneticPr fontId="12" type="noConversion"/>
  </si>
  <si>
    <t>2F43R2</t>
  </si>
  <si>
    <t>2F43R2</t>
    <phoneticPr fontId="12" type="noConversion"/>
  </si>
  <si>
    <t>A09</t>
    <phoneticPr fontId="14" type="noConversion"/>
  </si>
  <si>
    <t>A12</t>
    <phoneticPr fontId="0" type="noConversion"/>
  </si>
  <si>
    <t>3.3</t>
    <phoneticPr fontId="12" type="noConversion"/>
  </si>
  <si>
    <t>75/72/2SDr</t>
    <phoneticPr fontId="12" type="noConversion"/>
  </si>
  <si>
    <t>2F43R2</t>
    <phoneticPr fontId="14" type="noConversion"/>
  </si>
  <si>
    <t>75/72/2SDr</t>
    <phoneticPr fontId="14" type="noConversion"/>
  </si>
  <si>
    <t>FP81390R×2</t>
  </si>
  <si>
    <t>FP81390R×2</t>
    <phoneticPr fontId="14" type="noConversion"/>
  </si>
  <si>
    <t>A12</t>
    <phoneticPr fontId="12" type="noConversion"/>
  </si>
  <si>
    <t>115-05月</t>
  </si>
  <si>
    <t>115-06月</t>
    <phoneticPr fontId="12" type="noConversion"/>
  </si>
  <si>
    <t>T02</t>
    <phoneticPr fontId="12" type="noConversion"/>
  </si>
  <si>
    <t>2.9</t>
    <phoneticPr fontId="12" type="noConversion"/>
  </si>
  <si>
    <t>FD2FZ7430</t>
  </si>
  <si>
    <t>75/72/2SDr</t>
  </si>
  <si>
    <t>2.1</t>
    <phoneticPr fontId="12" type="noConversion"/>
  </si>
  <si>
    <t>FD2F1YX2</t>
  </si>
  <si>
    <t>FD2G41V2</t>
  </si>
  <si>
    <t>2F7E13</t>
  </si>
  <si>
    <t>2F7E13</t>
    <phoneticPr fontId="14" type="noConversion"/>
  </si>
  <si>
    <t>FP83025R×2</t>
  </si>
  <si>
    <t>FP83025R×2</t>
    <phoneticPr fontId="14" type="noConversion"/>
  </si>
  <si>
    <t>FD2F30372</t>
  </si>
  <si>
    <t>FD2F43S2</t>
  </si>
  <si>
    <t>A22</t>
    <phoneticPr fontId="12" type="noConversion"/>
  </si>
  <si>
    <t>2F6IT2</t>
  </si>
  <si>
    <t>FP12902R×2</t>
  </si>
  <si>
    <t>T03</t>
    <phoneticPr fontId="14" type="noConversion"/>
  </si>
  <si>
    <t>2F6IU2</t>
  </si>
  <si>
    <t>FP12902R×2</t>
    <phoneticPr fontId="12" type="noConversion"/>
  </si>
  <si>
    <t>FP82180R×2</t>
  </si>
  <si>
    <t>FP82180R×2</t>
    <phoneticPr fontId="12" type="noConversion"/>
  </si>
  <si>
    <t>T03</t>
    <phoneticPr fontId="12" type="noConversion"/>
  </si>
  <si>
    <t>2F6IU2</t>
    <phoneticPr fontId="14" type="noConversion"/>
  </si>
  <si>
    <t>FP82180R×2</t>
    <phoneticPr fontId="14" type="noConversion"/>
  </si>
  <si>
    <t>2F7E31</t>
  </si>
  <si>
    <t>A18</t>
    <phoneticPr fontId="12" type="noConversion"/>
  </si>
  <si>
    <t>FP82659×2</t>
  </si>
  <si>
    <t>2F08T2</t>
  </si>
  <si>
    <t>FP00413</t>
  </si>
  <si>
    <t>2FA092</t>
  </si>
  <si>
    <t>FP01436</t>
  </si>
  <si>
    <r>
      <rPr>
        <b/>
        <sz val="16"/>
        <color indexed="10"/>
        <rFont val="細明體"/>
        <family val="3"/>
        <charset val="136"/>
      </rPr>
      <t>自</t>
    </r>
    <r>
      <rPr>
        <b/>
        <sz val="16"/>
        <color indexed="10"/>
        <rFont val="Arial"/>
        <family val="2"/>
      </rPr>
      <t>2010/11</t>
    </r>
    <r>
      <rPr>
        <b/>
        <sz val="16"/>
        <color indexed="10"/>
        <rFont val="細明體"/>
        <family val="3"/>
        <charset val="136"/>
      </rPr>
      <t>起原絲丹尼÷</t>
    </r>
    <r>
      <rPr>
        <b/>
        <sz val="16"/>
        <color indexed="10"/>
        <rFont val="Arial"/>
        <family val="2"/>
      </rPr>
      <t>DR</t>
    </r>
    <r>
      <rPr>
        <b/>
        <sz val="16"/>
        <color indexed="10"/>
        <rFont val="細明體"/>
        <family val="3"/>
        <charset val="136"/>
      </rPr>
      <t>再×</t>
    </r>
    <r>
      <rPr>
        <b/>
        <sz val="16"/>
        <color indexed="10"/>
        <rFont val="Arial"/>
        <family val="2"/>
      </rPr>
      <t>1.8%</t>
    </r>
    <phoneticPr fontId="12" type="noConversion"/>
  </si>
  <si>
    <t>2F43T2</t>
  </si>
  <si>
    <t>FP81392R</t>
  </si>
  <si>
    <t>2F6IV2</t>
  </si>
  <si>
    <t>1.5</t>
    <phoneticPr fontId="12" type="noConversion"/>
  </si>
  <si>
    <t>FP81392R×2</t>
    <phoneticPr fontId="12" type="noConversion"/>
  </si>
  <si>
    <t>FP81392R×2</t>
    <phoneticPr fontId="14" type="noConversion"/>
  </si>
  <si>
    <t>A17A</t>
    <phoneticPr fontId="12" type="noConversion"/>
  </si>
  <si>
    <t>0.8</t>
    <phoneticPr fontId="12" type="noConversion"/>
  </si>
  <si>
    <t>A16A</t>
    <phoneticPr fontId="12" type="noConversion"/>
  </si>
  <si>
    <t>工程師</t>
    <phoneticPr fontId="12" type="noConversion"/>
  </si>
  <si>
    <t>羅文亨</t>
    <phoneticPr fontId="12" type="noConversion"/>
  </si>
  <si>
    <t>吳宥庭</t>
    <phoneticPr fontId="12" type="noConversion"/>
  </si>
  <si>
    <t>劉政賢</t>
    <phoneticPr fontId="12" type="noConversion"/>
  </si>
  <si>
    <t>A07、A08、A09、A13、A14、A15、A19、A20、A21</t>
  </si>
  <si>
    <t>A10、A11、A12、A16、A17、A18、A22、A23、A24</t>
  </si>
  <si>
    <t>更新年月：2026年02月</t>
    <phoneticPr fontId="12" type="noConversion"/>
  </si>
  <si>
    <t>T04、T05、T06</t>
    <phoneticPr fontId="12" type="noConversion"/>
  </si>
  <si>
    <t>T01、T02、T03</t>
    <phoneticPr fontId="12" type="noConversion"/>
  </si>
  <si>
    <t>S01</t>
    <phoneticPr fontId="12" type="noConversion"/>
  </si>
  <si>
    <t>J09</t>
    <phoneticPr fontId="12" type="noConversion"/>
  </si>
  <si>
    <t>M80+工安</t>
    <phoneticPr fontId="12" type="noConversion"/>
  </si>
  <si>
    <t>FADIS</t>
    <phoneticPr fontId="12" type="noConversion"/>
  </si>
  <si>
    <t>S02</t>
    <phoneticPr fontId="12" type="noConversion"/>
  </si>
  <si>
    <t>2F6IW2</t>
  </si>
  <si>
    <t>FP82184R×2</t>
  </si>
  <si>
    <t>2F6IS2</t>
  </si>
  <si>
    <t>150/48/2SDr</t>
    <phoneticPr fontId="14" type="noConversion"/>
  </si>
  <si>
    <t>2F6IX1</t>
  </si>
  <si>
    <t>FP82781×2</t>
  </si>
  <si>
    <t>1.9</t>
    <phoneticPr fontId="12" type="noConversion"/>
  </si>
  <si>
    <t>2F6IY2</t>
  </si>
  <si>
    <t>115/06</t>
    <phoneticPr fontId="12" type="noConversion"/>
  </si>
  <si>
    <r>
      <rPr>
        <sz val="14"/>
        <rFont val="新細明體"/>
        <family val="1"/>
        <charset val="136"/>
      </rPr>
      <t>開車台數</t>
    </r>
    <phoneticPr fontId="12" type="noConversion"/>
  </si>
  <si>
    <r>
      <rPr>
        <sz val="14"/>
        <rFont val="新細明體"/>
        <family val="1"/>
        <charset val="136"/>
      </rPr>
      <t>出庫量</t>
    </r>
    <phoneticPr fontId="12" type="noConversion"/>
  </si>
  <si>
    <r>
      <rPr>
        <sz val="14"/>
        <rFont val="新細明體"/>
        <family val="1"/>
        <charset val="136"/>
      </rPr>
      <t>庫存量</t>
    </r>
    <phoneticPr fontId="12" type="noConversion"/>
  </si>
  <si>
    <r>
      <rPr>
        <sz val="14"/>
        <rFont val="新細明體"/>
        <family val="1"/>
        <charset val="136"/>
      </rPr>
      <t>撚二科</t>
    </r>
    <r>
      <rPr>
        <sz val="14"/>
        <rFont val="Times New Roman"/>
        <family val="1"/>
      </rPr>
      <t>(</t>
    </r>
    <r>
      <rPr>
        <sz val="14"/>
        <rFont val="新細明體"/>
        <family val="1"/>
        <charset val="136"/>
      </rPr>
      <t>扣外購量</t>
    </r>
    <r>
      <rPr>
        <sz val="14"/>
        <rFont val="Times New Roman"/>
        <family val="1"/>
      </rPr>
      <t>)</t>
    </r>
    <phoneticPr fontId="12" type="noConversion"/>
  </si>
  <si>
    <r>
      <t>A</t>
    </r>
    <r>
      <rPr>
        <sz val="14"/>
        <rFont val="新細明體"/>
        <family val="1"/>
        <charset val="136"/>
      </rPr>
      <t>級率</t>
    </r>
    <r>
      <rPr>
        <sz val="14"/>
        <rFont val="Times New Roman"/>
        <family val="1"/>
      </rPr>
      <t>%</t>
    </r>
    <phoneticPr fontId="12" type="noConversion"/>
  </si>
  <si>
    <r>
      <rPr>
        <sz val="14"/>
        <rFont val="新細明體"/>
        <family val="1"/>
        <charset val="136"/>
      </rPr>
      <t>定重率</t>
    </r>
    <r>
      <rPr>
        <sz val="14"/>
        <rFont val="Times New Roman"/>
        <family val="1"/>
      </rPr>
      <t>%</t>
    </r>
    <phoneticPr fontId="12" type="noConversion"/>
  </si>
  <si>
    <r>
      <rPr>
        <sz val="14"/>
        <rFont val="新細明體"/>
        <family val="1"/>
        <charset val="136"/>
      </rPr>
      <t>廢絲率</t>
    </r>
    <r>
      <rPr>
        <sz val="14"/>
        <rFont val="Times New Roman"/>
        <family val="1"/>
      </rPr>
      <t>%</t>
    </r>
    <phoneticPr fontId="12" type="noConversion"/>
  </si>
  <si>
    <r>
      <rPr>
        <sz val="14"/>
        <color rgb="FFFF0000"/>
        <rFont val="新細明體"/>
        <family val="1"/>
        <charset val="136"/>
      </rPr>
      <t>撚二自產</t>
    </r>
    <phoneticPr fontId="165" type="noConversion"/>
  </si>
  <si>
    <r>
      <rPr>
        <sz val="14"/>
        <color rgb="FFFF0000"/>
        <rFont val="新細明體"/>
        <family val="1"/>
        <charset val="136"/>
      </rPr>
      <t>外購</t>
    </r>
  </si>
  <si>
    <r>
      <rPr>
        <sz val="14"/>
        <color rgb="FFFF0000"/>
        <rFont val="新細明體"/>
        <family val="1"/>
        <charset val="136"/>
      </rPr>
      <t>小計</t>
    </r>
    <phoneticPr fontId="165" type="noConversion"/>
  </si>
  <si>
    <r>
      <rPr>
        <sz val="14"/>
        <color theme="1"/>
        <rFont val="新細明體"/>
        <family val="1"/>
        <charset val="136"/>
      </rPr>
      <t>開車</t>
    </r>
    <r>
      <rPr>
        <sz val="14"/>
        <color theme="1"/>
        <rFont val="Times New Roman"/>
        <family val="1"/>
      </rPr>
      <t>%</t>
    </r>
    <phoneticPr fontId="165" type="noConversion"/>
  </si>
  <si>
    <t>2026/06月</t>
  </si>
  <si>
    <r>
      <t>2026/07</t>
    </r>
    <r>
      <rPr>
        <b/>
        <sz val="12"/>
        <rFont val="細明體"/>
        <family val="2"/>
        <charset val="136"/>
      </rPr>
      <t>月</t>
    </r>
    <phoneticPr fontId="14" type="noConversion"/>
  </si>
  <si>
    <t>撚二科斷絲率統計表１１５年０７月份【 MURATA &amp; M80 &amp; MPS &amp; TMT】</t>
    <phoneticPr fontId="14" type="noConversion"/>
  </si>
  <si>
    <t>撚二科斷絲率統計表１１５年０７月份 【BARMAG】</t>
    <phoneticPr fontId="14" type="noConversion"/>
  </si>
  <si>
    <t>L待料停機</t>
  </si>
  <si>
    <t>清車</t>
    <phoneticPr fontId="14" type="noConversion"/>
  </si>
  <si>
    <t>L缺料</t>
  </si>
  <si>
    <t>2F43U3</t>
  </si>
  <si>
    <t>FP81360R+FP81858</t>
  </si>
  <si>
    <t>115-06月</t>
  </si>
  <si>
    <t>115-07月</t>
    <phoneticPr fontId="12" type="noConversion"/>
  </si>
  <si>
    <t>A09</t>
    <phoneticPr fontId="12" type="noConversion"/>
  </si>
  <si>
    <t>FD2F1YL2</t>
  </si>
  <si>
    <t>FD2F4311</t>
  </si>
  <si>
    <t>FD2F4361</t>
  </si>
  <si>
    <t>FD2G4361</t>
  </si>
  <si>
    <t>FD2F4551</t>
  </si>
  <si>
    <t>FD2F4581</t>
  </si>
  <si>
    <t>FD2G4551</t>
  </si>
  <si>
    <t>FD2F28X2T</t>
  </si>
  <si>
    <t>FD2FM3G2</t>
  </si>
  <si>
    <t>FD2FDW71</t>
  </si>
  <si>
    <t>FD2F28Z2</t>
  </si>
  <si>
    <t>FD2F4541</t>
  </si>
  <si>
    <t>FD2F4571</t>
  </si>
  <si>
    <t>FD2G4571</t>
  </si>
  <si>
    <t>FD2G4541</t>
  </si>
  <si>
    <t>FD2F4021</t>
  </si>
  <si>
    <t>FD2G4021</t>
  </si>
  <si>
    <t>FD2F4591</t>
  </si>
  <si>
    <t>FD2F4481</t>
  </si>
  <si>
    <t>FD2G4481</t>
  </si>
  <si>
    <t>FD2F4081</t>
  </si>
  <si>
    <t>FD2G4081</t>
  </si>
  <si>
    <t>FD2FDW51</t>
  </si>
  <si>
    <t>FD2F4561</t>
  </si>
  <si>
    <t>FD2G4561</t>
  </si>
  <si>
    <t>FD2F4641</t>
  </si>
  <si>
    <t>FD2G43S2</t>
  </si>
  <si>
    <t>FD2F1V62</t>
  </si>
  <si>
    <t>FD2F0RI5</t>
  </si>
  <si>
    <t>FD2F1FP2R</t>
  </si>
  <si>
    <t>FD2F1J81</t>
  </si>
  <si>
    <t>FD2F27L2</t>
  </si>
  <si>
    <t>FD2F7UB0</t>
  </si>
  <si>
    <t>FD2G07M2</t>
  </si>
  <si>
    <t>FDLF1042</t>
  </si>
  <si>
    <t>2026/7/1 合計</t>
  </si>
  <si>
    <t>2026/7/2 合計</t>
  </si>
  <si>
    <t>2026/7/3 合計</t>
  </si>
  <si>
    <t>2026/7/6 合計</t>
  </si>
  <si>
    <t>FD2F07M2</t>
  </si>
  <si>
    <t>FD2F41V2</t>
  </si>
  <si>
    <t>FD2F28X2</t>
    <phoneticPr fontId="17" type="noConversion"/>
  </si>
  <si>
    <t>FD2F1MX1</t>
    <phoneticPr fontId="17" type="noConversion"/>
  </si>
  <si>
    <t>FD2F28C2</t>
    <phoneticPr fontId="17" type="noConversion"/>
  </si>
  <si>
    <t>FD2F42U2</t>
    <phoneticPr fontId="17" type="noConversion"/>
  </si>
  <si>
    <t>FD2F60281/292</t>
    <phoneticPr fontId="17" type="noConversion"/>
  </si>
  <si>
    <t>FD2F6EL1</t>
    <phoneticPr fontId="17" type="noConversion"/>
  </si>
  <si>
    <t>FD2F6IB1</t>
    <phoneticPr fontId="17" type="noConversion"/>
  </si>
  <si>
    <t>FD2FM4Z2</t>
    <phoneticPr fontId="17" type="noConversion"/>
  </si>
  <si>
    <t>FD2FM5E2</t>
    <phoneticPr fontId="17" type="noConversion"/>
  </si>
  <si>
    <t>FD2FM5F2</t>
    <phoneticPr fontId="17" type="noConversion"/>
  </si>
  <si>
    <t>FD2FM5G2</t>
    <phoneticPr fontId="17" type="noConversion"/>
  </si>
  <si>
    <t>FD2FM5I2</t>
    <phoneticPr fontId="17" type="noConversion"/>
  </si>
  <si>
    <t>FD2F6IR2</t>
    <phoneticPr fontId="17" type="noConversion"/>
  </si>
  <si>
    <t>FD2F7E22</t>
    <phoneticPr fontId="17" type="noConversion"/>
  </si>
  <si>
    <t>FD2F9VM2</t>
    <phoneticPr fontId="17" type="noConversion"/>
  </si>
  <si>
    <t>FD2FA072</t>
    <phoneticPr fontId="17" type="noConversion"/>
  </si>
  <si>
    <t>FD2F3XC2</t>
    <phoneticPr fontId="17" type="noConversion"/>
  </si>
  <si>
    <t>FD2F6RP2</t>
    <phoneticPr fontId="17" type="noConversion"/>
  </si>
  <si>
    <t>2FA102</t>
  </si>
  <si>
    <t>75/48SDr</t>
  </si>
  <si>
    <t>FP81388R</t>
  </si>
  <si>
    <t>FINAL</t>
    <phoneticPr fontId="14" type="noConversion"/>
  </si>
  <si>
    <t>1.3</t>
    <phoneticPr fontId="12" type="noConversion"/>
  </si>
  <si>
    <t>J08(L缺料)</t>
    <phoneticPr fontId="12" type="noConversion"/>
  </si>
  <si>
    <t>FD2F1TY2R</t>
  </si>
  <si>
    <t>FD2F1VL2R</t>
  </si>
  <si>
    <t>FD2F1WV2</t>
  </si>
  <si>
    <t>FD2F41M1</t>
  </si>
  <si>
    <t>FD2F7D02</t>
  </si>
  <si>
    <t>FD2FZ7440</t>
  </si>
  <si>
    <t>FDLF1042R</t>
  </si>
  <si>
    <t>2026/7/7 合計</t>
  </si>
  <si>
    <t>FD2F1TY2</t>
    <phoneticPr fontId="17" type="noConversion"/>
  </si>
  <si>
    <t>FD2F1VL2</t>
    <phoneticPr fontId="17" type="noConversion"/>
  </si>
  <si>
    <t>FD2FM5H2</t>
    <phoneticPr fontId="17" type="noConversion"/>
  </si>
  <si>
    <t>FD2FZ7430/40</t>
    <phoneticPr fontId="17" type="noConversion"/>
  </si>
  <si>
    <t>FD2F6IU2K</t>
  </si>
  <si>
    <t>FD2F6IM2K</t>
  </si>
  <si>
    <t>FD2F6IV2K</t>
  </si>
  <si>
    <t>2026/7/8 合計</t>
  </si>
  <si>
    <t>FD2F6IM2</t>
    <phoneticPr fontId="17" type="noConversion"/>
  </si>
  <si>
    <t>FD2FM232</t>
  </si>
  <si>
    <t>FD2G1TB2</t>
  </si>
  <si>
    <t>FD2F1IF2R</t>
  </si>
  <si>
    <t>FD2F1IY2</t>
  </si>
  <si>
    <t>FD2F1QV2</t>
  </si>
  <si>
    <t>FD2F1TC3</t>
  </si>
  <si>
    <t>FD2F1TN2</t>
  </si>
  <si>
    <t>FD2F1TX2</t>
  </si>
  <si>
    <t>FD2F1TZ2</t>
  </si>
  <si>
    <t>FD2F1YJ2</t>
  </si>
  <si>
    <t>FD2F1YM2</t>
  </si>
  <si>
    <t>FD2F28F2T</t>
  </si>
  <si>
    <t>FD2F3SI2R</t>
  </si>
  <si>
    <t>FD2F40M2R</t>
  </si>
  <si>
    <t>FD2F42H2</t>
  </si>
  <si>
    <t>FD2F7LS2</t>
  </si>
  <si>
    <t>FD2FM0952</t>
  </si>
  <si>
    <t>FD2FM1B2T</t>
  </si>
  <si>
    <t>FD2FM3B2</t>
  </si>
  <si>
    <t>2026/7/9 合計</t>
  </si>
  <si>
    <t>FD2F1IF2</t>
    <phoneticPr fontId="17" type="noConversion"/>
  </si>
  <si>
    <t>FD2F28F2</t>
    <phoneticPr fontId="17" type="noConversion"/>
  </si>
  <si>
    <t>FD2F3SI2</t>
    <phoneticPr fontId="17" type="noConversion"/>
  </si>
  <si>
    <t>FD2F40M2</t>
    <phoneticPr fontId="17" type="noConversion"/>
  </si>
  <si>
    <t>FD2FM1B2</t>
    <phoneticPr fontId="17" type="noConversion"/>
  </si>
  <si>
    <t>FD2F1TB2</t>
    <phoneticPr fontId="17" type="noConversion"/>
  </si>
  <si>
    <t>2FA132</t>
  </si>
  <si>
    <t>2FA112</t>
  </si>
  <si>
    <t>2FA122</t>
  </si>
  <si>
    <t>FD2FM5J2</t>
    <phoneticPr fontId="17" type="noConversion"/>
  </si>
  <si>
    <t>FP81630</t>
  </si>
  <si>
    <t>75/72SDM</t>
  </si>
  <si>
    <t>FP81390R</t>
  </si>
  <si>
    <t>A17(A)</t>
    <phoneticPr fontId="0" type="noConversion"/>
  </si>
  <si>
    <t>A17(B)</t>
    <phoneticPr fontId="0" type="noConversion"/>
  </si>
  <si>
    <t>B-2FA122</t>
    <phoneticPr fontId="14" type="noConversion"/>
  </si>
  <si>
    <r>
      <t>B</t>
    </r>
    <r>
      <rPr>
        <b/>
        <sz val="13"/>
        <rFont val="微軟正黑體"/>
        <family val="2"/>
        <charset val="136"/>
      </rPr>
      <t>待料停機</t>
    </r>
    <phoneticPr fontId="14" type="noConversion"/>
  </si>
  <si>
    <t>B待料停機</t>
  </si>
  <si>
    <t>A16(A)</t>
    <phoneticPr fontId="0" type="noConversion"/>
  </si>
  <si>
    <t>1~9-2FA132</t>
    <phoneticPr fontId="14" type="noConversion"/>
  </si>
  <si>
    <t>S01-1~9</t>
    <phoneticPr fontId="14" type="noConversion"/>
  </si>
  <si>
    <t>停機：S01-10~12</t>
    <phoneticPr fontId="12" type="noConversion"/>
  </si>
  <si>
    <t>sec.1~9</t>
    <phoneticPr fontId="12" type="noConversion"/>
  </si>
  <si>
    <t>P123</t>
    <phoneticPr fontId="12" type="noConversion"/>
  </si>
  <si>
    <t>1.6</t>
    <phoneticPr fontId="12" type="noConversion"/>
  </si>
  <si>
    <t>A17B</t>
    <phoneticPr fontId="12" type="noConversion"/>
  </si>
  <si>
    <t>A14</t>
    <phoneticPr fontId="12" type="noConversion"/>
  </si>
  <si>
    <t>FD2F30642</t>
  </si>
  <si>
    <t>FD2F41L3</t>
  </si>
  <si>
    <t>2026/7/13 合計</t>
  </si>
  <si>
    <t>FD2FM5K2</t>
    <phoneticPr fontId="17" type="noConversion"/>
  </si>
  <si>
    <t>FD2FM5L2</t>
    <phoneticPr fontId="17" type="noConversion"/>
  </si>
  <si>
    <t>FD2F43R2</t>
  </si>
  <si>
    <t>FD2F6IT2K</t>
  </si>
  <si>
    <t>FD2F6GY2</t>
  </si>
  <si>
    <t>2026/7/14 合計</t>
  </si>
  <si>
    <t>FD2F20352</t>
    <phoneticPr fontId="17" type="noConversion"/>
  </si>
  <si>
    <t>停機：J07~J09</t>
    <phoneticPr fontId="12" type="noConversion"/>
  </si>
  <si>
    <t>FD2G08N2</t>
  </si>
  <si>
    <t>FD2G08N8</t>
  </si>
  <si>
    <t>FD2G1IU2</t>
  </si>
  <si>
    <t>FD2G1IY2</t>
  </si>
  <si>
    <t>FD2G1JA2</t>
  </si>
  <si>
    <t>FD2G1TN2</t>
  </si>
  <si>
    <t>FD2G1TX2</t>
  </si>
  <si>
    <t>FD2G1TZ2</t>
  </si>
  <si>
    <t>FD2G1VC2</t>
  </si>
  <si>
    <t>FD2G1WK2</t>
  </si>
  <si>
    <t>FD2G1YA8</t>
  </si>
  <si>
    <t>FD2G1YF8</t>
  </si>
  <si>
    <t>FD2G1YJ2</t>
  </si>
  <si>
    <t>FD2G28H2</t>
  </si>
  <si>
    <t>FD2G28W1</t>
  </si>
  <si>
    <t>FD2G28X8</t>
  </si>
  <si>
    <t>FD2G3VN2</t>
  </si>
  <si>
    <t>FD2G41G8</t>
  </si>
  <si>
    <t>FD2G41P2</t>
  </si>
  <si>
    <t>FD2G41X2</t>
  </si>
  <si>
    <t>FD2G42B2</t>
  </si>
  <si>
    <t>FD2G42H2</t>
  </si>
  <si>
    <t>FD2G77T3</t>
  </si>
  <si>
    <t>FD2G79F2</t>
  </si>
  <si>
    <t>FD2G7LS2</t>
  </si>
  <si>
    <t>2026/7/15 合計</t>
  </si>
  <si>
    <t>FD2F08N2</t>
  </si>
  <si>
    <t>FD2F1IU2</t>
  </si>
  <si>
    <t>FD2F1JA2</t>
  </si>
  <si>
    <t>FD2F1VC2</t>
  </si>
  <si>
    <t>FD2F1WK2</t>
  </si>
  <si>
    <t>FD2F1YF8</t>
  </si>
  <si>
    <t>FD2F28H2</t>
  </si>
  <si>
    <t>FD2F28W1</t>
  </si>
  <si>
    <t>FD2F3VN2</t>
  </si>
  <si>
    <t>FD2F41G8</t>
  </si>
  <si>
    <t>FD2F41P2</t>
  </si>
  <si>
    <t>FD2F41X2</t>
  </si>
  <si>
    <t>FD2F42B2</t>
  </si>
  <si>
    <t>FD2F77T3</t>
  </si>
  <si>
    <t>FD2F79F2</t>
  </si>
  <si>
    <t>FD2F9VN2</t>
    <phoneticPr fontId="17" type="noConversion"/>
  </si>
  <si>
    <t>2F6JA2</t>
  </si>
  <si>
    <t>A23</t>
    <phoneticPr fontId="12" type="noConversion"/>
  </si>
  <si>
    <t>待料：16B；停機：7,8,10,11,13,15,16,18~21,24</t>
    <phoneticPr fontId="12" type="noConversion"/>
  </si>
  <si>
    <t>FD2FM2Q2</t>
  </si>
  <si>
    <t>FD2FM2P1</t>
  </si>
  <si>
    <t>FD2FM2N2</t>
  </si>
  <si>
    <t>FD2F6FR2</t>
  </si>
  <si>
    <t>FD2FM802</t>
  </si>
  <si>
    <t>FD2FM792</t>
  </si>
  <si>
    <t>FD2FM3E2</t>
  </si>
  <si>
    <t>FD2FM3D2</t>
  </si>
  <si>
    <t>FD2FM3C2</t>
  </si>
  <si>
    <t>FD2FM2V2</t>
  </si>
  <si>
    <t>FD2FM2W2</t>
  </si>
  <si>
    <t>FD2FM2U2</t>
  </si>
  <si>
    <t>FD2FM812</t>
  </si>
  <si>
    <t>FD2GM3B2</t>
  </si>
  <si>
    <t>FD2GM2Z2</t>
  </si>
  <si>
    <t>FD2GM2Y2</t>
  </si>
  <si>
    <t>FD2GM2T2</t>
  </si>
  <si>
    <t>FD2FM5H2</t>
  </si>
  <si>
    <t>FD2G42P2</t>
  </si>
  <si>
    <t>FD2F25R2</t>
  </si>
  <si>
    <t>FD2F30322</t>
  </si>
  <si>
    <t>FD2G1YH8</t>
  </si>
  <si>
    <t>FD2G28F8</t>
  </si>
  <si>
    <t>FD2G28Z8</t>
  </si>
  <si>
    <t>FD2G41V8</t>
  </si>
  <si>
    <t>FD2G41X8</t>
  </si>
  <si>
    <t>FD2G7UB8</t>
  </si>
  <si>
    <t>FD2F43P2</t>
  </si>
  <si>
    <t>FD2G08T2</t>
  </si>
  <si>
    <t>2026/7/16 合計</t>
  </si>
  <si>
    <t>2026/7/17 合計</t>
  </si>
  <si>
    <t>FD2FM2T2</t>
  </si>
  <si>
    <t>FD2FM2Y2</t>
  </si>
  <si>
    <t>FD2FM2Z2</t>
  </si>
  <si>
    <t>FD2F1YH2</t>
    <phoneticPr fontId="17" type="noConversion"/>
  </si>
  <si>
    <t>FD2F42P2</t>
    <phoneticPr fontId="17" type="noConversion"/>
  </si>
  <si>
    <t>FD2F7UB2</t>
    <phoneticPr fontId="17" type="noConversion"/>
  </si>
  <si>
    <t>FD2F1YA8</t>
    <phoneticPr fontId="17" type="noConversion"/>
  </si>
  <si>
    <t>FD2FM812</t>
    <phoneticPr fontId="17" type="noConversion"/>
  </si>
  <si>
    <t>FD2F30322/72</t>
    <phoneticPr fontId="17" type="noConversion"/>
  </si>
  <si>
    <t>FD2F28U2</t>
    <phoneticPr fontId="17" type="noConversion"/>
  </si>
  <si>
    <t>2F6JB2</t>
  </si>
  <si>
    <t>150/48/2SDR4</t>
  </si>
  <si>
    <t>FP82186R×2</t>
  </si>
  <si>
    <t>2F6JE2</t>
  </si>
  <si>
    <t>停機：NA</t>
    <phoneticPr fontId="12" type="noConversion"/>
  </si>
  <si>
    <t>FP82179R×2</t>
  </si>
  <si>
    <t>2F43V1</t>
  </si>
  <si>
    <t>2.6</t>
    <phoneticPr fontId="12" type="noConversion"/>
  </si>
  <si>
    <t>T02L</t>
    <phoneticPr fontId="12" type="noConversion"/>
  </si>
  <si>
    <t xml:space="preserve"> 了機</t>
  </si>
  <si>
    <t>2F7E43</t>
  </si>
  <si>
    <t>FP83026R×2</t>
  </si>
  <si>
    <t>改紡待料</t>
  </si>
  <si>
    <t xml:space="preserve">停機 </t>
  </si>
  <si>
    <t>L-2F6IY2</t>
    <phoneticPr fontId="14" type="noConversion"/>
  </si>
  <si>
    <t>R-2F7E43</t>
    <phoneticPr fontId="14" type="noConversion"/>
  </si>
  <si>
    <r>
      <t>R</t>
    </r>
    <r>
      <rPr>
        <b/>
        <sz val="13"/>
        <rFont val="微軟正黑體"/>
        <family val="2"/>
        <charset val="136"/>
      </rPr>
      <t>待料停機</t>
    </r>
    <phoneticPr fontId="14" type="noConversion"/>
  </si>
  <si>
    <t>L-2F6JB2</t>
    <phoneticPr fontId="14" type="noConversion"/>
  </si>
  <si>
    <t>R-2F6JB2</t>
    <phoneticPr fontId="14" type="noConversion"/>
  </si>
  <si>
    <t>L-2F6JE2</t>
    <phoneticPr fontId="14" type="noConversion"/>
  </si>
  <si>
    <r>
      <t>L</t>
    </r>
    <r>
      <rPr>
        <b/>
        <sz val="13"/>
        <rFont val="微軟正黑體"/>
        <family val="2"/>
        <charset val="136"/>
      </rPr>
      <t>待料停機</t>
    </r>
    <phoneticPr fontId="14" type="noConversion"/>
  </si>
  <si>
    <t>R-2F6JE2</t>
    <phoneticPr fontId="14" type="noConversion"/>
  </si>
  <si>
    <t>了機/停機</t>
  </si>
  <si>
    <r>
      <t>FINAL/</t>
    </r>
    <r>
      <rPr>
        <b/>
        <sz val="13"/>
        <rFont val="微軟正黑體"/>
        <family val="2"/>
        <charset val="136"/>
      </rPr>
      <t>停機</t>
    </r>
    <phoneticPr fontId="14" type="noConversion"/>
  </si>
  <si>
    <t>2F6IZ3</t>
  </si>
  <si>
    <t>2.7</t>
    <phoneticPr fontId="12" type="noConversion"/>
  </si>
  <si>
    <t>FP82661</t>
  </si>
  <si>
    <t>FP02423R×2</t>
  </si>
  <si>
    <t>2F29K1</t>
  </si>
  <si>
    <t>100/36SDR2</t>
  </si>
  <si>
    <t>2F43W1</t>
  </si>
  <si>
    <t>150/48SDR4</t>
  </si>
  <si>
    <t>FP82179R</t>
  </si>
  <si>
    <t>FD2F6RP2</t>
  </si>
  <si>
    <t>FD2F6IS2K</t>
  </si>
  <si>
    <t>FD2GA001</t>
  </si>
  <si>
    <t>2026/7/20 合計</t>
  </si>
  <si>
    <t>FD2FA001</t>
    <phoneticPr fontId="17" type="noConversion"/>
  </si>
  <si>
    <r>
      <rPr>
        <b/>
        <sz val="14"/>
        <color rgb="FF0000CC"/>
        <rFont val="Microsoft JhengHei UI"/>
        <family val="2"/>
        <charset val="136"/>
      </rPr>
      <t>侯主任指示</t>
    </r>
    <r>
      <rPr>
        <b/>
        <sz val="14"/>
        <color rgb="FF0000CC"/>
        <rFont val="Microsoft JhengHei"/>
        <family val="2"/>
        <charset val="136"/>
      </rPr>
      <t>：</t>
    </r>
    <r>
      <rPr>
        <b/>
        <sz val="14"/>
        <color rgb="FF0000CC"/>
        <rFont val="Arial"/>
        <family val="2"/>
      </rPr>
      <t>2025/12</t>
    </r>
    <r>
      <rPr>
        <b/>
        <sz val="14"/>
        <color rgb="FF0000CC"/>
        <rFont val="Microsoft JhengHei UI"/>
        <family val="2"/>
        <charset val="136"/>
      </rPr>
      <t>起，</t>
    </r>
    <r>
      <rPr>
        <b/>
        <sz val="14"/>
        <color rgb="FF0000CC"/>
        <rFont val="Arial"/>
        <family val="2"/>
      </rPr>
      <t>AFK &amp; MPS</t>
    </r>
    <r>
      <rPr>
        <b/>
        <sz val="14"/>
        <color rgb="FF0000CC"/>
        <rFont val="細明體"/>
        <family val="2"/>
        <charset val="136"/>
      </rPr>
      <t>機型併股紗</t>
    </r>
    <r>
      <rPr>
        <b/>
        <sz val="14"/>
        <color rgb="FF0000CC"/>
        <rFont val="Microsoft JhengHei"/>
        <family val="2"/>
        <charset val="136"/>
      </rPr>
      <t>，「台數」用實際值，「丹尼」用規格(不併股)，例：</t>
    </r>
    <r>
      <rPr>
        <b/>
        <u/>
        <sz val="14"/>
        <color rgb="FF0000CC"/>
        <rFont val="Microsoft JhengHei"/>
        <family val="2"/>
        <charset val="136"/>
      </rPr>
      <t>75/24/2</t>
    </r>
    <r>
      <rPr>
        <b/>
        <u/>
        <sz val="14"/>
        <color rgb="FF0000CC"/>
        <rFont val="Arial"/>
        <family val="2"/>
      </rPr>
      <t>SD</t>
    </r>
    <r>
      <rPr>
        <b/>
        <sz val="14"/>
        <color rgb="FF0000CC"/>
        <rFont val="Microsoft JhengHei"/>
        <family val="2"/>
        <charset val="1"/>
      </rPr>
      <t>→</t>
    </r>
    <r>
      <rPr>
        <b/>
        <sz val="14"/>
        <color rgb="FF0000CC"/>
        <rFont val="Microsoft JhengHei"/>
        <family val="2"/>
        <charset val="136"/>
      </rPr>
      <t>用</t>
    </r>
    <r>
      <rPr>
        <b/>
        <u/>
        <sz val="14"/>
        <color rgb="FF0000CC"/>
        <rFont val="Microsoft JhengHei"/>
        <family val="2"/>
        <charset val="136"/>
      </rPr>
      <t>75</t>
    </r>
    <phoneticPr fontId="12" type="noConversion"/>
  </si>
  <si>
    <r>
      <t>A</t>
    </r>
    <r>
      <rPr>
        <b/>
        <sz val="13"/>
        <rFont val="微軟正黑體"/>
        <family val="2"/>
        <charset val="136"/>
      </rPr>
      <t>待料停機</t>
    </r>
    <phoneticPr fontId="14" type="noConversion"/>
  </si>
  <si>
    <t>A10(A)</t>
    <phoneticPr fontId="0" type="noConversion"/>
  </si>
  <si>
    <t>A10(B)</t>
    <phoneticPr fontId="0" type="noConversion"/>
  </si>
  <si>
    <t>B-2F6IZ3</t>
    <phoneticPr fontId="14" type="noConversion"/>
  </si>
  <si>
    <t>A21</t>
    <phoneticPr fontId="12" type="noConversion"/>
  </si>
  <si>
    <t>2.4</t>
    <phoneticPr fontId="12" type="noConversion"/>
  </si>
  <si>
    <t>A19</t>
    <phoneticPr fontId="12" type="noConversion"/>
  </si>
  <si>
    <t>A10B</t>
    <phoneticPr fontId="12" type="noConversion"/>
  </si>
  <si>
    <t>3.4</t>
    <phoneticPr fontId="12" type="noConversion"/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</si>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</sst>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3" formatCode="_-* #,##0.00_-;\-* #,##0.00_-;_-* &quot;-&quot;??_-;_-@_-"/>
    <numFmt numFmtId="176" formatCode="0_);[Red]\(0\)"/>
    <numFmt numFmtId="177" formatCode="0.0_);[Red]\(0.0\)"/>
    <numFmt numFmtId="178" formatCode="0.00_);[Red]\(0.00\)"/>
    <numFmt numFmtId="179" formatCode="0.0%"/>
    <numFmt numFmtId="180" formatCode="[DBNum1][$-404]ggge&quot;年&quot;m&quot;月&quot;d&quot;日&quot;"/>
    <numFmt numFmtId="181" formatCode="0.0"/>
    <numFmt numFmtId="182" formatCode="0_ "/>
    <numFmt numFmtId="183" formatCode="#,##0_ "/>
    <numFmt numFmtId="184" formatCode="0.000%"/>
    <numFmt numFmtId="185" formatCode="m&quot;月&quot;d&quot;日&quot;"/>
    <numFmt numFmtId="186" formatCode="0.0_ "/>
    <numFmt numFmtId="187" formatCode="0.00_ "/>
    <numFmt numFmtId="188" formatCode="0.000_ "/>
    <numFmt numFmtId="189" formatCode="#,##0.0_);[Red]\(#,##0.0\)"/>
    <numFmt numFmtId="190" formatCode="#,##0.0_ "/>
    <numFmt numFmtId="191" formatCode="_-* #,##0_-;\-* #,##0_-;_-* &quot;-&quot;??_-;_-@_-"/>
    <numFmt numFmtId="192" formatCode="&quot;退&quot;&quot;庫&quot;&quot;調&quot;&quot;帳&quot;&quot;部&quot;&quot;份&quot;\(&quot;非&quot;&quot;當&quot;&quot;月&quot;&quot;生&quot;&quot;產&quot;&quot;批&quot;&quot;號&quot;\)\ \ \ #,##0.0_ "/>
    <numFmt numFmtId="193" formatCode="&quot;資&quot;&quot;料&quot;&quot;統&quot;&quot;計&quot;&quot;至&quot;\ \ yyyy&quot;年&quot;mm&quot;月&quot;dd&quot;日&quot;"/>
    <numFmt numFmtId="194" formatCode="&quot;FD&quot;@"/>
    <numFmt numFmtId="195" formatCode="0.0000_ "/>
    <numFmt numFmtId="196" formatCode="m/d;@"/>
    <numFmt numFmtId="197" formatCode="###,"/>
    <numFmt numFmtId="198" formatCode="#,###,"/>
    <numFmt numFmtId="199" formatCode="#,##0.0;[Red]\-#,##0.0"/>
    <numFmt numFmtId="200" formatCode="0.0_ ;[Red]\-0.0\ "/>
    <numFmt numFmtId="201" formatCode="_-* #,##0.0_-;\-* #,##0.0_-;_-* &quot;-&quot;??_-;_-@_-"/>
    <numFmt numFmtId="202" formatCode="0.000"/>
    <numFmt numFmtId="203" formatCode="yyyy/m"/>
    <numFmt numFmtId="204" formatCode="#,##0.00_ "/>
    <numFmt numFmtId="205" formatCode="h:mm;@"/>
    <numFmt numFmtId="206" formatCode="[$-404]e/m/d;@"/>
  </numFmts>
  <fonts count="288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16"/>
      <name val="標楷體"/>
      <family val="4"/>
      <charset val="136"/>
    </font>
    <font>
      <sz val="11"/>
      <name val="Times New Roman"/>
      <family val="1"/>
    </font>
    <font>
      <sz val="9"/>
      <name val="細明體"/>
      <family val="3"/>
      <charset val="136"/>
    </font>
    <font>
      <sz val="12"/>
      <name val="細明體"/>
      <family val="3"/>
      <charset val="136"/>
    </font>
    <font>
      <sz val="11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1"/>
      <color indexed="10"/>
      <name val="Arial"/>
      <family val="2"/>
    </font>
    <font>
      <sz val="11"/>
      <color indexed="12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b/>
      <sz val="12"/>
      <color indexed="57"/>
      <name val="Arial"/>
      <family val="2"/>
    </font>
    <font>
      <sz val="12"/>
      <color indexed="12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6"/>
      <color indexed="42"/>
      <name val="Arial"/>
      <family val="2"/>
    </font>
    <font>
      <sz val="36"/>
      <color indexed="9"/>
      <name val="標楷體"/>
      <family val="4"/>
      <charset val="136"/>
    </font>
    <font>
      <b/>
      <sz val="16"/>
      <color indexed="57"/>
      <name val="Arial"/>
      <family val="2"/>
    </font>
    <font>
      <b/>
      <sz val="11"/>
      <color indexed="57"/>
      <name val="Arial"/>
      <family val="2"/>
    </font>
    <font>
      <sz val="11"/>
      <color indexed="42"/>
      <name val="Arial"/>
      <family val="2"/>
    </font>
    <font>
      <sz val="12"/>
      <name val="新細明體"/>
      <family val="1"/>
      <charset val="136"/>
    </font>
    <font>
      <sz val="16"/>
      <color indexed="5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sz val="12"/>
      <name val="標楷體"/>
      <family val="4"/>
      <charset val="136"/>
    </font>
    <font>
      <b/>
      <sz val="12"/>
      <color indexed="21"/>
      <name val="Arial"/>
      <family val="2"/>
    </font>
    <font>
      <b/>
      <strike/>
      <sz val="12"/>
      <color indexed="21"/>
      <name val="Arial"/>
      <family val="2"/>
    </font>
    <font>
      <b/>
      <sz val="12"/>
      <color indexed="16"/>
      <name val="Arial"/>
      <family val="2"/>
    </font>
    <font>
      <b/>
      <sz val="14"/>
      <name val="Arial"/>
      <family val="2"/>
    </font>
    <font>
      <b/>
      <sz val="12"/>
      <name val="標楷體"/>
      <family val="4"/>
      <charset val="136"/>
    </font>
    <font>
      <b/>
      <sz val="13"/>
      <name val="Arial Narrow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12"/>
      <color indexed="1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12"/>
      <color indexed="14"/>
      <name val="細明體"/>
      <family val="3"/>
      <charset val="136"/>
    </font>
    <font>
      <b/>
      <sz val="12"/>
      <color indexed="54"/>
      <name val="Arial"/>
      <family val="2"/>
    </font>
    <font>
      <b/>
      <sz val="9"/>
      <color indexed="12"/>
      <name val="Arial"/>
      <family val="2"/>
    </font>
    <font>
      <b/>
      <sz val="12"/>
      <name val="細明體"/>
      <family val="3"/>
      <charset val="136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4"/>
      <name val="標楷體"/>
      <family val="4"/>
      <charset val="136"/>
    </font>
    <font>
      <sz val="14"/>
      <name val="Arial"/>
      <family val="2"/>
    </font>
    <font>
      <sz val="14"/>
      <color indexed="53"/>
      <name val="Arial"/>
      <family val="2"/>
    </font>
    <font>
      <sz val="12"/>
      <name val="微軟正黑體"/>
      <family val="2"/>
      <charset val="136"/>
    </font>
    <font>
      <sz val="16"/>
      <color indexed="10"/>
      <name val="Arial"/>
      <family val="2"/>
    </font>
    <font>
      <sz val="16"/>
      <color indexed="10"/>
      <name val="細明體"/>
      <family val="3"/>
      <charset val="136"/>
    </font>
    <font>
      <b/>
      <sz val="14"/>
      <color indexed="81"/>
      <name val="細明體"/>
      <family val="3"/>
      <charset val="136"/>
    </font>
    <font>
      <b/>
      <sz val="14"/>
      <color indexed="81"/>
      <name val="Tahoma"/>
      <family val="2"/>
    </font>
    <font>
      <sz val="12"/>
      <color indexed="8"/>
      <name val="新細明體"/>
      <family val="1"/>
      <charset val="136"/>
    </font>
    <font>
      <b/>
      <sz val="14"/>
      <color indexed="10"/>
      <name val="Arial Unicode MS"/>
      <family val="2"/>
      <charset val="136"/>
    </font>
    <font>
      <sz val="14"/>
      <color indexed="10"/>
      <name val="Arial"/>
      <family val="2"/>
    </font>
    <font>
      <sz val="16"/>
      <color indexed="10"/>
      <name val="標楷體"/>
      <family val="4"/>
      <charset val="136"/>
    </font>
    <font>
      <sz val="16"/>
      <color indexed="10"/>
      <name val="Arial"/>
      <family val="2"/>
    </font>
    <font>
      <sz val="28"/>
      <name val="細明體"/>
      <family val="3"/>
      <charset val="136"/>
    </font>
    <font>
      <b/>
      <sz val="18"/>
      <name val="Arial"/>
      <family val="2"/>
    </font>
    <font>
      <b/>
      <sz val="12"/>
      <name val="微軟正黑體"/>
      <family val="2"/>
      <charset val="136"/>
    </font>
    <font>
      <b/>
      <sz val="14"/>
      <color indexed="16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sz val="14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</font>
    <font>
      <b/>
      <sz val="12"/>
      <color indexed="81"/>
      <name val="Arial Narrow"/>
      <family val="2"/>
    </font>
    <font>
      <b/>
      <sz val="12"/>
      <color indexed="53"/>
      <name val="Arial"/>
      <family val="2"/>
    </font>
    <font>
      <b/>
      <sz val="12"/>
      <color indexed="53"/>
      <name val="細明體"/>
      <family val="3"/>
      <charset val="136"/>
    </font>
    <font>
      <b/>
      <sz val="14"/>
      <color indexed="16"/>
      <name val="Arial"/>
      <family val="2"/>
    </font>
    <font>
      <b/>
      <i/>
      <sz val="14"/>
      <name val="Arial"/>
      <family val="2"/>
    </font>
    <font>
      <b/>
      <sz val="14"/>
      <color indexed="12"/>
      <name val="Arial"/>
      <family val="2"/>
    </font>
    <font>
      <b/>
      <sz val="18"/>
      <name val="微軟正黑體"/>
      <family val="2"/>
      <charset val="136"/>
    </font>
    <font>
      <b/>
      <sz val="18"/>
      <color indexed="10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3"/>
      <name val="微軟正黑體"/>
      <family val="2"/>
      <charset val="136"/>
    </font>
    <font>
      <b/>
      <sz val="13"/>
      <name val="Arial"/>
      <family val="2"/>
    </font>
    <font>
      <b/>
      <sz val="10.5"/>
      <name val="Arial"/>
      <family val="2"/>
    </font>
    <font>
      <sz val="36"/>
      <name val="微軟正黑體"/>
      <family val="2"/>
      <charset val="136"/>
    </font>
    <font>
      <sz val="48"/>
      <name val="微軟正黑體"/>
      <family val="2"/>
      <charset val="136"/>
    </font>
    <font>
      <sz val="48"/>
      <name val="Arial Black"/>
      <family val="2"/>
    </font>
    <font>
      <sz val="12"/>
      <name val="Arial Black"/>
      <family val="2"/>
    </font>
    <font>
      <sz val="36"/>
      <name val="Arial Black"/>
      <family val="2"/>
    </font>
    <font>
      <sz val="12"/>
      <color theme="1"/>
      <name val="新細明體"/>
      <family val="1"/>
      <charset val="136"/>
      <scheme val="minor"/>
    </font>
    <font>
      <b/>
      <sz val="12"/>
      <color rgb="FF0000CC"/>
      <name val="Arial"/>
      <family val="2"/>
    </font>
    <font>
      <b/>
      <sz val="12"/>
      <color rgb="FFFF00FF"/>
      <name val="Arial"/>
      <family val="2"/>
    </font>
    <font>
      <sz val="16"/>
      <color rgb="FFFF0000"/>
      <name val="標楷體"/>
      <family val="4"/>
      <charset val="136"/>
    </font>
    <font>
      <b/>
      <sz val="12"/>
      <color theme="9" tint="-0.249977111117893"/>
      <name val="Arial"/>
      <family val="2"/>
    </font>
    <font>
      <b/>
      <sz val="18"/>
      <color rgb="FF0000CC"/>
      <name val="微軟正黑體"/>
      <family val="2"/>
      <charset val="136"/>
    </font>
    <font>
      <b/>
      <sz val="48"/>
      <color rgb="FF0000CC"/>
      <name val="微軟正黑體"/>
      <family val="2"/>
      <charset val="136"/>
    </font>
    <font>
      <sz val="12"/>
      <color indexed="22"/>
      <name val="Bookman Old Style"/>
      <family val="1"/>
    </font>
    <font>
      <b/>
      <sz val="10"/>
      <name val="標楷體"/>
      <family val="4"/>
      <charset val="136"/>
    </font>
    <font>
      <b/>
      <sz val="10"/>
      <name val="細明體"/>
      <family val="3"/>
      <charset val="136"/>
    </font>
    <font>
      <b/>
      <sz val="10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8"/>
      <color rgb="FFFF0000"/>
      <name val="Arial"/>
      <family val="2"/>
    </font>
    <font>
      <sz val="16"/>
      <color rgb="FFFF0000"/>
      <name val="Arial"/>
      <family val="2"/>
    </font>
    <font>
      <b/>
      <sz val="12"/>
      <color rgb="FF0000CC"/>
      <name val="微軟正黑體"/>
      <family val="2"/>
      <charset val="136"/>
    </font>
    <font>
      <b/>
      <sz val="12"/>
      <color rgb="FF00B050"/>
      <name val="微軟正黑體"/>
      <family val="2"/>
      <charset val="136"/>
    </font>
    <font>
      <b/>
      <sz val="16"/>
      <color rgb="FF00B050"/>
      <name val="Arial"/>
      <family val="2"/>
    </font>
    <font>
      <b/>
      <sz val="12"/>
      <color rgb="FF00B050"/>
      <name val="Arial"/>
      <family val="2"/>
    </font>
    <font>
      <b/>
      <sz val="18"/>
      <color rgb="FF00B050"/>
      <name val="微軟正黑體"/>
      <family val="2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sz val="14"/>
      <name val="Malgun Gothic"/>
      <family val="2"/>
      <charset val="129"/>
    </font>
    <font>
      <sz val="14"/>
      <color theme="0"/>
      <name val="Arial"/>
      <family val="2"/>
    </font>
    <font>
      <sz val="12"/>
      <color theme="0" tint="-4.9989318521683403E-2"/>
      <name val="新細明體"/>
      <family val="1"/>
      <charset val="136"/>
    </font>
    <font>
      <b/>
      <sz val="14"/>
      <color theme="5" tint="-0.249977111117893"/>
      <name val="微軟正黑體"/>
      <family val="2"/>
      <charset val="136"/>
    </font>
    <font>
      <sz val="11"/>
      <color rgb="FFFF0000"/>
      <name val="Malgun Gothic"/>
      <family val="2"/>
      <charset val="129"/>
    </font>
    <font>
      <b/>
      <sz val="14"/>
      <color rgb="FFFF0000"/>
      <name val="Malgun Gothic"/>
      <family val="2"/>
      <charset val="129"/>
    </font>
    <font>
      <sz val="48"/>
      <name val="新細明體"/>
      <family val="1"/>
      <charset val="136"/>
    </font>
    <font>
      <b/>
      <sz val="11"/>
      <color theme="0" tint="-0.499984740745262"/>
      <name val="Arial"/>
      <family val="2"/>
    </font>
    <font>
      <b/>
      <sz val="11"/>
      <color rgb="FF0000CC"/>
      <name val="微軟正黑體 Light"/>
      <family val="2"/>
      <charset val="136"/>
    </font>
    <font>
      <b/>
      <sz val="11"/>
      <name val="微軟正黑體 Light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Arial"/>
      <family val="2"/>
      <charset val="136"/>
    </font>
    <font>
      <sz val="14"/>
      <name val="微軟正黑體"/>
      <family val="2"/>
      <charset val="136"/>
    </font>
    <font>
      <b/>
      <sz val="14"/>
      <name val="細明體"/>
      <family val="3"/>
      <charset val="136"/>
    </font>
    <font>
      <b/>
      <sz val="12"/>
      <name val="細明體"/>
      <family val="2"/>
      <charset val="136"/>
    </font>
    <font>
      <b/>
      <sz val="16"/>
      <color rgb="FF0000CC"/>
      <name val="細明體"/>
      <family val="2"/>
      <charset val="136"/>
    </font>
    <font>
      <b/>
      <sz val="12"/>
      <color rgb="FF0000CC"/>
      <name val="Arial Black"/>
      <family val="2"/>
    </font>
    <font>
      <b/>
      <sz val="12"/>
      <color rgb="FFFF0000"/>
      <name val="細明體"/>
      <family val="3"/>
      <charset val="136"/>
    </font>
    <font>
      <b/>
      <sz val="12"/>
      <color indexed="12"/>
      <name val="新細明體"/>
      <family val="1"/>
      <charset val="136"/>
    </font>
    <font>
      <b/>
      <sz val="12"/>
      <color indexed="12"/>
      <name val="新細明體"/>
      <family val="1"/>
      <charset val="136"/>
      <scheme val="major"/>
    </font>
    <font>
      <b/>
      <sz val="12"/>
      <color indexed="57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b/>
      <sz val="12"/>
      <color indexed="10"/>
      <name val="新細明體"/>
      <family val="1"/>
      <charset val="136"/>
    </font>
    <font>
      <b/>
      <sz val="11"/>
      <color indexed="12"/>
      <name val="Arial"/>
      <family val="2"/>
    </font>
    <font>
      <b/>
      <sz val="11"/>
      <color indexed="12"/>
      <name val="新細明體"/>
      <family val="1"/>
      <charset val="136"/>
    </font>
    <font>
      <b/>
      <sz val="11"/>
      <name val="細明體"/>
      <family val="3"/>
      <charset val="136"/>
    </font>
    <font>
      <sz val="16"/>
      <name val="Arial Black"/>
      <family val="2"/>
    </font>
    <font>
      <b/>
      <sz val="16"/>
      <color rgb="FFC00000"/>
      <name val="Times New Roman"/>
      <family val="1"/>
    </font>
    <font>
      <sz val="16"/>
      <color theme="0" tint="-4.9989318521683403E-2"/>
      <name val="Times New Roman"/>
      <family val="1"/>
    </font>
    <font>
      <sz val="9"/>
      <name val="新細明體"/>
      <family val="2"/>
      <charset val="136"/>
      <scheme val="minor"/>
    </font>
    <font>
      <b/>
      <sz val="10.5"/>
      <name val="細明體"/>
      <family val="2"/>
      <charset val="136"/>
    </font>
    <font>
      <sz val="12"/>
      <color rgb="FFFF0000"/>
      <name val="新細明體"/>
      <family val="1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Times New Roman"/>
      <family val="1"/>
    </font>
    <font>
      <sz val="14"/>
      <name val="細明體"/>
      <family val="3"/>
      <charset val="136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indexed="10"/>
      <name val="細明體"/>
      <family val="3"/>
      <charset val="136"/>
    </font>
    <font>
      <sz val="14"/>
      <color indexed="10"/>
      <name val="Times New Roman"/>
      <family val="1"/>
    </font>
    <font>
      <sz val="14"/>
      <color rgb="FF00B050"/>
      <name val="Times New Roman"/>
      <family val="1"/>
    </font>
    <font>
      <sz val="14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4"/>
      <name val="新細明體"/>
      <family val="1"/>
      <charset val="136"/>
    </font>
    <font>
      <sz val="14"/>
      <name val="書法家顏楷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b/>
      <sz val="14"/>
      <color indexed="12"/>
      <name val="Times New Roman"/>
      <family val="1"/>
    </font>
    <font>
      <b/>
      <sz val="14"/>
      <name val="細明體"/>
      <family val="2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rgb="FF0070C0"/>
      <name val="Times New Roman"/>
      <family val="1"/>
    </font>
    <font>
      <b/>
      <sz val="18"/>
      <name val="Arial Black"/>
      <family val="2"/>
    </font>
    <font>
      <b/>
      <sz val="14"/>
      <color rgb="FFFF0000"/>
      <name val="Arial"/>
      <family val="2"/>
    </font>
    <font>
      <b/>
      <sz val="14"/>
      <color rgb="FFFF0000"/>
      <name val="細明體"/>
      <family val="2"/>
      <charset val="136"/>
    </font>
    <font>
      <b/>
      <sz val="14"/>
      <color rgb="FFFF0000"/>
      <name val="Microsoft JhengHei UI"/>
      <family val="2"/>
      <charset val="136"/>
    </font>
    <font>
      <b/>
      <sz val="11"/>
      <color rgb="FF0000CC"/>
      <name val="微軟正黑體"/>
      <family val="2"/>
      <charset val="136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Microsoft JhengHei Light"/>
      <family val="2"/>
      <charset val="136"/>
    </font>
    <font>
      <b/>
      <sz val="12"/>
      <name val="Microsoft JhengHei Light"/>
      <family val="2"/>
      <charset val="136"/>
    </font>
    <font>
      <sz val="12"/>
      <color rgb="FF0000FF"/>
      <name val="新細明體"/>
      <family val="1"/>
      <charset val="136"/>
      <scheme val="minor"/>
    </font>
    <font>
      <sz val="14"/>
      <color rgb="FFFF0000"/>
      <name val="新細明體"/>
      <family val="1"/>
      <charset val="136"/>
    </font>
    <font>
      <sz val="48"/>
      <name val="Arial Black"/>
      <family val="2"/>
      <charset val="136"/>
    </font>
    <font>
      <sz val="36"/>
      <name val="細明體"/>
      <family val="2"/>
      <charset val="136"/>
    </font>
    <font>
      <b/>
      <sz val="12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theme="3" tint="-0.249977111117893"/>
      <name val="新細明體"/>
      <family val="1"/>
      <charset val="136"/>
    </font>
    <font>
      <b/>
      <sz val="10.5"/>
      <name val="微軟正黑體"/>
      <family val="2"/>
      <charset val="136"/>
    </font>
    <font>
      <b/>
      <sz val="16"/>
      <name val="Microsoft JhengHei Light"/>
      <family val="2"/>
      <charset val="136"/>
    </font>
    <font>
      <b/>
      <sz val="16"/>
      <name val="Microsoft JhengHei Light"/>
      <family val="2"/>
    </font>
    <font>
      <b/>
      <sz val="12"/>
      <color rgb="FFC00000"/>
      <name val="微軟正黑體"/>
      <family val="2"/>
      <charset val="136"/>
    </font>
    <font>
      <b/>
      <sz val="12"/>
      <color theme="0" tint="-4.9989318521683403E-2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000099"/>
      <name val="微軟正黑體"/>
      <family val="2"/>
      <charset val="136"/>
    </font>
    <font>
      <b/>
      <sz val="12"/>
      <color theme="0" tint="-4.9989318521683403E-2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2"/>
      <color rgb="FF000099"/>
      <name val="Arial"/>
      <family val="2"/>
    </font>
    <font>
      <b/>
      <sz val="12"/>
      <color rgb="FFFF0000"/>
      <name val="Microsoft JhengHei Light"/>
      <family val="2"/>
      <charset val="136"/>
    </font>
    <font>
      <b/>
      <sz val="12"/>
      <color rgb="FFFF0000"/>
      <name val="細明體"/>
      <family val="2"/>
      <charset val="136"/>
    </font>
    <font>
      <b/>
      <sz val="14"/>
      <color theme="0"/>
      <name val="清松手寫體1"/>
      <family val="3"/>
      <charset val="136"/>
    </font>
    <font>
      <b/>
      <sz val="12"/>
      <name val="Times New Roman"/>
      <family val="1"/>
    </font>
    <font>
      <sz val="14"/>
      <color theme="1"/>
      <name val="Times New Roman"/>
      <family val="1"/>
    </font>
    <font>
      <b/>
      <sz val="14"/>
      <color rgb="FFFFFFCC"/>
      <name val="清松手寫體1"/>
      <family val="3"/>
      <charset val="136"/>
    </font>
    <font>
      <sz val="14"/>
      <color rgb="FFFFFFCC"/>
      <name val="Times New Roman"/>
      <family val="1"/>
    </font>
    <font>
      <b/>
      <sz val="18"/>
      <name val="細明體"/>
      <family val="3"/>
      <charset val="136"/>
    </font>
    <font>
      <b/>
      <sz val="18"/>
      <name val="新細明體"/>
      <family val="1"/>
      <charset val="136"/>
    </font>
    <font>
      <b/>
      <sz val="12"/>
      <name val="Arial"/>
      <family val="2"/>
      <charset val="136"/>
    </font>
    <font>
      <sz val="10"/>
      <color theme="1"/>
      <name val="Times New Roman"/>
      <family val="1"/>
    </font>
    <font>
      <b/>
      <sz val="12"/>
      <name val="Arial Narrow"/>
      <family val="2"/>
    </font>
    <font>
      <sz val="12"/>
      <color rgb="FF00206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theme="0"/>
      <name val="新細明體"/>
      <family val="1"/>
      <charset val="136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u/>
      <sz val="14"/>
      <color rgb="FF000000"/>
      <name val="Times New Roman"/>
      <family val="1"/>
    </font>
    <font>
      <sz val="14"/>
      <color rgb="FF000000"/>
      <name val="Cambria Math"/>
      <family val="1"/>
    </font>
    <font>
      <u/>
      <sz val="14"/>
      <color rgb="FF000000"/>
      <name val="Cambria Math"/>
      <family val="1"/>
    </font>
    <font>
      <b/>
      <sz val="12"/>
      <color rgb="FF002060"/>
      <name val="微軟正黑體"/>
      <family val="2"/>
      <charset val="136"/>
    </font>
    <font>
      <b/>
      <sz val="14"/>
      <name val="Malgun Gothic"/>
      <family val="2"/>
      <charset val="129"/>
    </font>
    <font>
      <sz val="10"/>
      <color theme="5" tint="-0.249977111117893"/>
      <name val="Times New Roman"/>
      <family val="1"/>
    </font>
    <font>
      <b/>
      <sz val="12"/>
      <color rgb="FFC00000"/>
      <name val="Arial"/>
      <family val="2"/>
      <charset val="136"/>
    </font>
    <font>
      <b/>
      <sz val="20"/>
      <color rgb="FFFF0000"/>
      <name val="細明體"/>
      <family val="3"/>
      <charset val="136"/>
    </font>
    <font>
      <b/>
      <sz val="12"/>
      <color indexed="12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sz val="12"/>
      <color rgb="FFFF0000"/>
      <name val="細明體"/>
      <family val="3"/>
      <charset val="136"/>
    </font>
    <font>
      <b/>
      <sz val="12"/>
      <color indexed="8"/>
      <name val="細明體"/>
      <family val="3"/>
      <charset val="136"/>
    </font>
    <font>
      <sz val="12"/>
      <color rgb="FF000000"/>
      <name val="細明體"/>
      <family val="3"/>
      <charset val="136"/>
    </font>
    <font>
      <b/>
      <sz val="16"/>
      <color rgb="FF0000CC"/>
      <name val="Arial"/>
      <family val="2"/>
      <charset val="136"/>
    </font>
    <font>
      <b/>
      <sz val="16"/>
      <color rgb="FF0000CC"/>
      <name val="Microsoft JhengHei UI"/>
      <family val="2"/>
      <charset val="136"/>
    </font>
    <font>
      <b/>
      <sz val="16"/>
      <color rgb="FF0000CC"/>
      <name val="Microsoft JhengHei"/>
      <family val="2"/>
      <charset val="136"/>
    </font>
    <font>
      <b/>
      <sz val="16"/>
      <color rgb="FF0000CC"/>
      <name val="Arial"/>
      <family val="2"/>
    </font>
    <font>
      <b/>
      <sz val="16"/>
      <color rgb="FF0000CC"/>
      <name val="Microsoft JhengHei"/>
      <family val="2"/>
      <charset val="1"/>
    </font>
    <font>
      <b/>
      <u/>
      <sz val="16"/>
      <color rgb="FF0000CC"/>
      <name val="Microsoft JhengHei"/>
      <family val="2"/>
      <charset val="136"/>
    </font>
    <font>
      <b/>
      <u/>
      <sz val="16"/>
      <color rgb="FF0000CC"/>
      <name val="Arial"/>
      <family val="2"/>
    </font>
    <font>
      <b/>
      <sz val="10.5"/>
      <name val="Arial"/>
      <family val="2"/>
      <charset val="136"/>
    </font>
    <font>
      <b/>
      <sz val="13"/>
      <name val="細明體"/>
      <family val="3"/>
      <charset val="136"/>
    </font>
    <font>
      <b/>
      <sz val="11"/>
      <name val="Aptos Black"/>
      <family val="2"/>
    </font>
    <font>
      <b/>
      <sz val="14"/>
      <color rgb="FF0000CC"/>
      <name val="Times New Roman"/>
      <family val="1"/>
    </font>
    <font>
      <sz val="18"/>
      <color theme="3"/>
      <name val="新細明體"/>
      <family val="2"/>
      <charset val="136"/>
      <scheme val="major"/>
    </font>
    <font>
      <b/>
      <sz val="16"/>
      <color indexed="10"/>
      <name val="Arial"/>
      <family val="2"/>
    </font>
    <font>
      <b/>
      <sz val="16"/>
      <color indexed="10"/>
      <name val="細明體"/>
      <family val="3"/>
      <charset val="136"/>
    </font>
    <font>
      <b/>
      <sz val="18"/>
      <color rgb="FFFF0000"/>
      <name val="Arial"/>
      <family val="2"/>
    </font>
    <font>
      <b/>
      <sz val="14"/>
      <name val="Arial Black"/>
      <family val="2"/>
    </font>
    <font>
      <b/>
      <sz val="22"/>
      <name val="微軟正黑體"/>
      <family val="2"/>
      <charset val="136"/>
    </font>
    <font>
      <sz val="22"/>
      <name val="微軟正黑體"/>
      <family val="2"/>
      <charset val="136"/>
    </font>
    <font>
      <b/>
      <sz val="24"/>
      <name val="微軟正黑體"/>
      <family val="2"/>
      <charset val="136"/>
    </font>
    <font>
      <sz val="24"/>
      <name val="微軟正黑體"/>
      <family val="2"/>
      <charset val="136"/>
    </font>
    <font>
      <sz val="26"/>
      <name val="文鼎新藝體"/>
      <family val="5"/>
      <charset val="136"/>
    </font>
    <font>
      <b/>
      <sz val="26"/>
      <name val="文鼎新藝體"/>
      <family val="5"/>
      <charset val="136"/>
    </font>
    <font>
      <b/>
      <sz val="26"/>
      <name val="KaiTi"/>
      <family val="3"/>
      <charset val="134"/>
    </font>
    <font>
      <b/>
      <sz val="36"/>
      <name val="KaiTi"/>
      <family val="3"/>
      <charset val="134"/>
    </font>
    <font>
      <b/>
      <sz val="24"/>
      <name val="KaiTi"/>
      <family val="3"/>
      <charset val="134"/>
    </font>
    <font>
      <b/>
      <sz val="22"/>
      <name val="KaiTi"/>
      <family val="3"/>
      <charset val="134"/>
    </font>
    <font>
      <b/>
      <sz val="48"/>
      <name val="微軟正黑體"/>
      <family val="2"/>
      <charset val="136"/>
    </font>
    <font>
      <sz val="48"/>
      <name val="文鼎新藝體"/>
      <family val="5"/>
      <charset val="136"/>
    </font>
    <font>
      <b/>
      <sz val="72"/>
      <name val="KaiTi"/>
      <family val="3"/>
      <charset val="134"/>
    </font>
    <font>
      <b/>
      <sz val="13"/>
      <name val="細明體"/>
      <family val="2"/>
      <charset val="136"/>
    </font>
    <font>
      <b/>
      <sz val="12"/>
      <color indexed="10"/>
      <name val="Microsoft JhengHei UI Light"/>
      <family val="2"/>
      <charset val="136"/>
    </font>
    <font>
      <b/>
      <sz val="14"/>
      <color rgb="FF0000CC"/>
      <name val="Arial"/>
      <family val="2"/>
      <charset val="136"/>
    </font>
    <font>
      <b/>
      <sz val="14"/>
      <color rgb="FF0000CC"/>
      <name val="Microsoft JhengHei UI"/>
      <family val="2"/>
      <charset val="136"/>
    </font>
    <font>
      <b/>
      <sz val="14"/>
      <color rgb="FF0000CC"/>
      <name val="Microsoft JhengHei"/>
      <family val="2"/>
      <charset val="136"/>
    </font>
    <font>
      <b/>
      <sz val="14"/>
      <color rgb="FF0000CC"/>
      <name val="Arial"/>
      <family val="2"/>
    </font>
    <font>
      <b/>
      <sz val="14"/>
      <color rgb="FF0000CC"/>
      <name val="細明體"/>
      <family val="2"/>
      <charset val="136"/>
    </font>
    <font>
      <b/>
      <u/>
      <sz val="14"/>
      <color rgb="FF0000CC"/>
      <name val="Microsoft JhengHei"/>
      <family val="2"/>
      <charset val="136"/>
    </font>
    <font>
      <b/>
      <u/>
      <sz val="14"/>
      <color rgb="FF0000CC"/>
      <name val="Arial"/>
      <family val="2"/>
    </font>
    <font>
      <b/>
      <sz val="14"/>
      <color rgb="FF0000CC"/>
      <name val="Microsoft JhengHei"/>
      <family val="2"/>
      <charset val="1"/>
    </font>
  </fonts>
  <fills count="10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gray125">
        <fgColor indexed="34"/>
      </patternFill>
    </fill>
    <fill>
      <patternFill patternType="solid">
        <fgColor indexed="31"/>
        <bgColor indexed="64"/>
      </patternFill>
    </fill>
    <fill>
      <patternFill patternType="gray125">
        <fgColor indexed="43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gradientFill degree="90">
        <stop position="0">
          <color theme="0"/>
        </stop>
        <stop position="1">
          <color rgb="FF00B0F0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auto="1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CCFF"/>
        <bgColor indexed="64"/>
      </patternFill>
    </fill>
  </fills>
  <borders count="294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ck">
        <color indexed="64"/>
      </right>
      <top style="medium">
        <color indexed="52"/>
      </top>
      <bottom/>
      <diagonal/>
    </border>
    <border>
      <left style="thick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ck">
        <color indexed="64"/>
      </right>
      <top style="thick">
        <color indexed="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52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5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46"/>
      </left>
      <right/>
      <top style="thick">
        <color indexed="46"/>
      </top>
      <bottom style="thick">
        <color indexed="46"/>
      </bottom>
      <diagonal/>
    </border>
    <border>
      <left/>
      <right/>
      <top style="thick">
        <color indexed="46"/>
      </top>
      <bottom style="thick">
        <color indexed="46"/>
      </bottom>
      <diagonal/>
    </border>
    <border>
      <left/>
      <right style="thick">
        <color indexed="46"/>
      </right>
      <top style="thick">
        <color indexed="46"/>
      </top>
      <bottom style="thick">
        <color indexed="46"/>
      </bottom>
      <diagonal/>
    </border>
    <border>
      <left style="thick">
        <color indexed="20"/>
      </left>
      <right/>
      <top style="medium">
        <color indexed="64"/>
      </top>
      <bottom style="thick">
        <color indexed="46"/>
      </bottom>
      <diagonal/>
    </border>
    <border>
      <left/>
      <right/>
      <top style="medium">
        <color indexed="64"/>
      </top>
      <bottom style="thick">
        <color indexed="46"/>
      </bottom>
      <diagonal/>
    </border>
    <border>
      <left/>
      <right style="thick">
        <color indexed="20"/>
      </right>
      <top style="medium">
        <color indexed="64"/>
      </top>
      <bottom style="thick">
        <color indexed="46"/>
      </bottom>
      <diagonal/>
    </border>
    <border>
      <left style="thick">
        <color indexed="20"/>
      </left>
      <right/>
      <top style="medium">
        <color indexed="20"/>
      </top>
      <bottom style="thick">
        <color indexed="46"/>
      </bottom>
      <diagonal/>
    </border>
    <border>
      <left/>
      <right/>
      <top style="medium">
        <color indexed="20"/>
      </top>
      <bottom style="thick">
        <color indexed="46"/>
      </bottom>
      <diagonal/>
    </border>
    <border>
      <left/>
      <right style="thick">
        <color indexed="20"/>
      </right>
      <top style="medium">
        <color indexed="20"/>
      </top>
      <bottom style="thick">
        <color indexed="46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25"/>
      </left>
      <right style="thick">
        <color indexed="25"/>
      </right>
      <top style="medium">
        <color indexed="25"/>
      </top>
      <bottom style="thick">
        <color indexed="46"/>
      </bottom>
      <diagonal/>
    </border>
    <border>
      <left/>
      <right/>
      <top style="thick">
        <color indexed="46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25"/>
      </bottom>
      <diagonal/>
    </border>
    <border>
      <left/>
      <right/>
      <top style="thin">
        <color indexed="64"/>
      </top>
      <bottom style="medium">
        <color indexed="25"/>
      </bottom>
      <diagonal/>
    </border>
    <border>
      <left/>
      <right style="thick">
        <color indexed="64"/>
      </right>
      <top style="thin">
        <color indexed="64"/>
      </top>
      <bottom style="medium">
        <color indexed="25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20"/>
      </left>
      <right/>
      <top/>
      <bottom/>
      <diagonal/>
    </border>
    <border>
      <left style="thick">
        <color indexed="46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double">
        <color indexed="55"/>
      </top>
      <bottom style="medium">
        <color indexed="55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ck">
        <color indexed="64"/>
      </left>
      <right/>
      <top style="thin">
        <color indexed="64"/>
      </top>
      <bottom style="medium">
        <color indexed="20"/>
      </bottom>
      <diagonal/>
    </border>
    <border>
      <left/>
      <right/>
      <top style="thin">
        <color indexed="64"/>
      </top>
      <bottom style="medium">
        <color indexed="20"/>
      </bottom>
      <diagonal/>
    </border>
    <border>
      <left/>
      <right style="thick">
        <color indexed="64"/>
      </right>
      <top style="thin">
        <color indexed="64"/>
      </top>
      <bottom style="medium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ck">
        <color indexed="25"/>
      </left>
      <right/>
      <top style="medium">
        <color indexed="25"/>
      </top>
      <bottom style="thick">
        <color indexed="46"/>
      </bottom>
      <diagonal/>
    </border>
    <border>
      <left/>
      <right/>
      <top style="medium">
        <color indexed="25"/>
      </top>
      <bottom style="thick">
        <color indexed="46"/>
      </bottom>
      <diagonal/>
    </border>
    <border>
      <left/>
      <right style="thick">
        <color indexed="25"/>
      </right>
      <top style="medium">
        <color indexed="25"/>
      </top>
      <bottom style="thick">
        <color indexed="46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auto="1"/>
      </bottom>
      <diagonal/>
    </border>
    <border>
      <left style="thin">
        <color indexed="64"/>
      </left>
      <right/>
      <top style="dotted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theme="1" tint="0.34998626667073579"/>
      </left>
      <right/>
      <top style="thick">
        <color theme="1" tint="0.34998626667073579"/>
      </top>
      <bottom style="thick">
        <color theme="1" tint="0.34998626667073579"/>
      </bottom>
      <diagonal/>
    </border>
    <border>
      <left/>
      <right/>
      <top style="thick">
        <color theme="1" tint="0.34998626667073579"/>
      </top>
      <bottom style="thick">
        <color theme="1" tint="0.34998626667073579"/>
      </bottom>
      <diagonal/>
    </border>
    <border>
      <left/>
      <right style="thick">
        <color theme="1" tint="0.34998626667073579"/>
      </right>
      <top style="thick">
        <color theme="1" tint="0.34998626667073579"/>
      </top>
      <bottom style="thick">
        <color theme="1" tint="0.34998626667073579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</borders>
  <cellStyleXfs count="1111">
    <xf numFmtId="0" fontId="0" fillId="0" borderId="0"/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43" fontId="11" fillId="0" borderId="0" applyFont="0" applyFill="0" applyBorder="0" applyAlignment="0" applyProtection="0"/>
    <xf numFmtId="43" fontId="3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2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0" fillId="0" borderId="155" applyNumberFormat="0" applyFill="0" applyAlignment="0" applyProtection="0">
      <alignment vertical="center"/>
    </xf>
    <xf numFmtId="0" fontId="121" fillId="0" borderId="156" applyNumberFormat="0" applyFill="0" applyAlignment="0" applyProtection="0">
      <alignment vertical="center"/>
    </xf>
    <xf numFmtId="0" fontId="122" fillId="0" borderId="157" applyNumberFormat="0" applyFill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39" borderId="0" applyNumberFormat="0" applyBorder="0" applyAlignment="0" applyProtection="0">
      <alignment vertical="center"/>
    </xf>
    <xf numFmtId="0" fontId="124" fillId="40" borderId="0" applyNumberFormat="0" applyBorder="0" applyAlignment="0" applyProtection="0">
      <alignment vertical="center"/>
    </xf>
    <xf numFmtId="0" fontId="125" fillId="41" borderId="0" applyNumberFormat="0" applyBorder="0" applyAlignment="0" applyProtection="0">
      <alignment vertical="center"/>
    </xf>
    <xf numFmtId="0" fontId="126" fillId="42" borderId="158" applyNumberFormat="0" applyAlignment="0" applyProtection="0">
      <alignment vertical="center"/>
    </xf>
    <xf numFmtId="0" fontId="127" fillId="43" borderId="159" applyNumberFormat="0" applyAlignment="0" applyProtection="0">
      <alignment vertical="center"/>
    </xf>
    <xf numFmtId="0" fontId="128" fillId="43" borderId="158" applyNumberFormat="0" applyAlignment="0" applyProtection="0">
      <alignment vertical="center"/>
    </xf>
    <xf numFmtId="0" fontId="129" fillId="0" borderId="160" applyNumberFormat="0" applyFill="0" applyAlignment="0" applyProtection="0">
      <alignment vertical="center"/>
    </xf>
    <xf numFmtId="0" fontId="130" fillId="44" borderId="161" applyNumberFormat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163" applyNumberFormat="0" applyFill="0" applyAlignment="0" applyProtection="0">
      <alignment vertical="center"/>
    </xf>
    <xf numFmtId="0" fontId="134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134" fillId="49" borderId="0" applyNumberFormat="0" applyBorder="0" applyAlignment="0" applyProtection="0">
      <alignment vertical="center"/>
    </xf>
    <xf numFmtId="0" fontId="134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134" fillId="53" borderId="0" applyNumberFormat="0" applyBorder="0" applyAlignment="0" applyProtection="0">
      <alignment vertical="center"/>
    </xf>
    <xf numFmtId="0" fontId="134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134" fillId="57" borderId="0" applyNumberFormat="0" applyBorder="0" applyAlignment="0" applyProtection="0">
      <alignment vertical="center"/>
    </xf>
    <xf numFmtId="0" fontId="134" fillId="58" borderId="0" applyNumberFormat="0" applyBorder="0" applyAlignment="0" applyProtection="0">
      <alignment vertical="center"/>
    </xf>
    <xf numFmtId="0" fontId="8" fillId="59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134" fillId="61" borderId="0" applyNumberFormat="0" applyBorder="0" applyAlignment="0" applyProtection="0">
      <alignment vertical="center"/>
    </xf>
    <xf numFmtId="0" fontId="134" fillId="62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34" fillId="65" borderId="0" applyNumberFormat="0" applyBorder="0" applyAlignment="0" applyProtection="0">
      <alignment vertical="center"/>
    </xf>
    <xf numFmtId="0" fontId="134" fillId="66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34" fillId="69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/>
    <xf numFmtId="0" fontId="11" fillId="0" borderId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35" fillId="0" borderId="0" applyNumberFormat="0" applyFill="0" applyBorder="0" applyAlignment="0" applyProtection="0">
      <alignment vertical="center"/>
    </xf>
    <xf numFmtId="0" fontId="25" fillId="0" borderId="0"/>
    <xf numFmtId="0" fontId="8" fillId="45" borderId="162" applyNumberFormat="0" applyFont="0" applyAlignment="0" applyProtection="0">
      <alignment vertical="center"/>
    </xf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/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60" fillId="0" borderId="0" applyNumberFormat="0" applyFill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43" fontId="69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>
      <alignment vertical="center"/>
    </xf>
    <xf numFmtId="43" fontId="1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</cellStyleXfs>
  <cellXfs count="1655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9" fillId="0" borderId="0" xfId="0" applyFont="1" applyAlignment="1">
      <alignment vertical="center" shrinkToFit="1"/>
    </xf>
    <xf numFmtId="0" fontId="26" fillId="0" borderId="0" xfId="0" applyFont="1" applyAlignment="1">
      <alignment vertic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vertical="center" shrinkToFit="1"/>
    </xf>
    <xf numFmtId="0" fontId="29" fillId="0" borderId="14" xfId="0" applyFont="1" applyBorder="1" applyAlignment="1">
      <alignment vertical="center" shrinkToFit="1"/>
    </xf>
    <xf numFmtId="1" fontId="26" fillId="3" borderId="11" xfId="0" applyNumberFormat="1" applyFont="1" applyFill="1" applyBorder="1" applyAlignment="1">
      <alignment vertical="center" shrinkToFit="1"/>
    </xf>
    <xf numFmtId="0" fontId="26" fillId="0" borderId="12" xfId="0" applyFont="1" applyBorder="1" applyAlignment="1">
      <alignment vertical="center" shrinkToFit="1"/>
    </xf>
    <xf numFmtId="177" fontId="29" fillId="0" borderId="0" xfId="0" applyNumberFormat="1" applyFont="1" applyAlignment="1">
      <alignment vertical="center" shrinkToFit="1"/>
    </xf>
    <xf numFmtId="176" fontId="26" fillId="0" borderId="0" xfId="0" applyNumberFormat="1" applyFont="1" applyAlignment="1">
      <alignment vertical="center" shrinkToFit="1"/>
    </xf>
    <xf numFmtId="1" fontId="26" fillId="0" borderId="0" xfId="0" applyNumberFormat="1" applyFont="1" applyAlignment="1">
      <alignment vertical="center" shrinkToFit="1"/>
    </xf>
    <xf numFmtId="177" fontId="27" fillId="4" borderId="15" xfId="0" applyNumberFormat="1" applyFont="1" applyFill="1" applyBorder="1" applyAlignment="1">
      <alignment vertical="center" shrinkToFit="1"/>
    </xf>
    <xf numFmtId="177" fontId="25" fillId="4" borderId="16" xfId="0" applyNumberFormat="1" applyFont="1" applyFill="1" applyBorder="1" applyAlignment="1">
      <alignment vertical="center" shrinkToFit="1"/>
    </xf>
    <xf numFmtId="177" fontId="25" fillId="4" borderId="17" xfId="0" applyNumberFormat="1" applyFont="1" applyFill="1" applyBorder="1" applyAlignment="1">
      <alignment vertical="center" shrinkToFit="1"/>
    </xf>
    <xf numFmtId="177" fontId="25" fillId="4" borderId="18" xfId="0" applyNumberFormat="1" applyFont="1" applyFill="1" applyBorder="1" applyAlignment="1">
      <alignment vertical="center" shrinkToFit="1"/>
    </xf>
    <xf numFmtId="177" fontId="25" fillId="4" borderId="19" xfId="0" applyNumberFormat="1" applyFont="1" applyFill="1" applyBorder="1" applyAlignment="1">
      <alignment vertical="center" shrinkToFit="1"/>
    </xf>
    <xf numFmtId="177" fontId="25" fillId="0" borderId="0" xfId="0" applyNumberFormat="1" applyFont="1" applyAlignment="1">
      <alignment vertical="center" shrinkToFit="1"/>
    </xf>
    <xf numFmtId="0" fontId="13" fillId="0" borderId="0" xfId="0" applyFont="1"/>
    <xf numFmtId="0" fontId="24" fillId="0" borderId="0" xfId="0" applyFont="1" applyAlignment="1">
      <alignment vertical="center"/>
    </xf>
    <xf numFmtId="178" fontId="35" fillId="0" borderId="0" xfId="0" applyNumberFormat="1" applyFont="1" applyAlignment="1">
      <alignment vertical="center" shrinkToFit="1"/>
    </xf>
    <xf numFmtId="176" fontId="35" fillId="0" borderId="0" xfId="0" applyNumberFormat="1" applyFont="1" applyAlignment="1">
      <alignment vertical="center" shrinkToFit="1"/>
    </xf>
    <xf numFmtId="0" fontId="33" fillId="0" borderId="21" xfId="0" applyFont="1" applyBorder="1" applyAlignment="1">
      <alignment vertical="center" shrinkToFit="1"/>
    </xf>
    <xf numFmtId="0" fontId="33" fillId="0" borderId="0" xfId="0" applyFont="1" applyAlignment="1">
      <alignment vertical="center" shrinkToFit="1"/>
    </xf>
    <xf numFmtId="0" fontId="30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177" fontId="19" fillId="0" borderId="27" xfId="0" applyNumberFormat="1" applyFont="1" applyBorder="1" applyAlignment="1">
      <alignment vertical="center"/>
    </xf>
    <xf numFmtId="1" fontId="19" fillId="0" borderId="0" xfId="0" applyNumberFormat="1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vertical="center" shrinkToFit="1"/>
    </xf>
    <xf numFmtId="1" fontId="32" fillId="0" borderId="0" xfId="0" applyNumberFormat="1" applyFont="1" applyAlignment="1">
      <alignment vertical="center"/>
    </xf>
    <xf numFmtId="0" fontId="26" fillId="0" borderId="1" xfId="0" applyFont="1" applyBorder="1" applyAlignment="1" applyProtection="1">
      <alignment horizontal="center" vertical="center"/>
      <protection locked="0"/>
    </xf>
    <xf numFmtId="0" fontId="26" fillId="0" borderId="2" xfId="0" applyFont="1" applyBorder="1" applyAlignment="1" applyProtection="1">
      <alignment horizontal="center" vertical="center"/>
      <protection locked="0"/>
    </xf>
    <xf numFmtId="0" fontId="26" fillId="0" borderId="3" xfId="0" applyFont="1" applyBorder="1" applyAlignment="1" applyProtection="1">
      <alignment horizontal="center" vertical="center"/>
      <protection locked="0"/>
    </xf>
    <xf numFmtId="0" fontId="19" fillId="0" borderId="27" xfId="0" applyFont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19" fillId="0" borderId="12" xfId="0" applyFont="1" applyBorder="1" applyAlignment="1" applyProtection="1">
      <alignment horizontal="center" vertical="center"/>
      <protection locked="0"/>
    </xf>
    <xf numFmtId="0" fontId="26" fillId="0" borderId="27" xfId="0" applyFont="1" applyBorder="1" applyAlignment="1" applyProtection="1">
      <alignment horizontal="center" vertical="center"/>
      <protection locked="0"/>
    </xf>
    <xf numFmtId="0" fontId="26" fillId="0" borderId="11" xfId="0" applyFont="1" applyBorder="1" applyAlignment="1" applyProtection="1">
      <alignment horizontal="center" vertical="center"/>
      <protection locked="0"/>
    </xf>
    <xf numFmtId="0" fontId="26" fillId="0" borderId="12" xfId="0" applyFont="1" applyBorder="1" applyAlignment="1" applyProtection="1">
      <alignment horizontal="center" vertical="center"/>
      <protection locked="0"/>
    </xf>
    <xf numFmtId="0" fontId="19" fillId="0" borderId="34" xfId="0" applyFont="1" applyBorder="1" applyAlignment="1" applyProtection="1">
      <alignment horizontal="center" vertical="center"/>
      <protection locked="0"/>
    </xf>
    <xf numFmtId="0" fontId="19" fillId="0" borderId="17" xfId="0" applyFont="1" applyBorder="1" applyAlignment="1" applyProtection="1">
      <alignment horizontal="center" vertical="center"/>
      <protection locked="0"/>
    </xf>
    <xf numFmtId="0" fontId="19" fillId="0" borderId="20" xfId="0" applyFont="1" applyBorder="1" applyAlignment="1" applyProtection="1">
      <alignment horizontal="center" vertical="center"/>
      <protection locked="0"/>
    </xf>
    <xf numFmtId="0" fontId="26" fillId="0" borderId="34" xfId="0" applyFont="1" applyBorder="1" applyAlignment="1" applyProtection="1">
      <alignment horizontal="center" vertical="center"/>
      <protection locked="0"/>
    </xf>
    <xf numFmtId="0" fontId="26" fillId="0" borderId="17" xfId="0" applyFont="1" applyBorder="1" applyAlignment="1" applyProtection="1">
      <alignment horizontal="center" vertical="center"/>
      <protection locked="0"/>
    </xf>
    <xf numFmtId="0" fontId="26" fillId="0" borderId="20" xfId="0" applyFont="1" applyBorder="1" applyAlignment="1" applyProtection="1">
      <alignment horizontal="center" vertical="center"/>
      <protection locked="0"/>
    </xf>
    <xf numFmtId="0" fontId="32" fillId="7" borderId="8" xfId="0" applyFont="1" applyFill="1" applyBorder="1" applyAlignment="1" applyProtection="1">
      <alignment horizontal="center" vertical="center" shrinkToFit="1"/>
      <protection locked="0"/>
    </xf>
    <xf numFmtId="0" fontId="32" fillId="7" borderId="14" xfId="0" applyFont="1" applyFill="1" applyBorder="1" applyAlignment="1" applyProtection="1">
      <alignment horizontal="center" vertical="center" shrinkToFit="1"/>
      <protection locked="0"/>
    </xf>
    <xf numFmtId="0" fontId="32" fillId="0" borderId="35" xfId="0" applyFont="1" applyBorder="1" applyAlignment="1" applyProtection="1">
      <alignment horizontal="center" vertical="center" shrinkToFit="1"/>
      <protection locked="0"/>
    </xf>
    <xf numFmtId="0" fontId="31" fillId="7" borderId="8" xfId="0" applyFont="1" applyFill="1" applyBorder="1" applyAlignment="1" applyProtection="1">
      <alignment horizontal="center" vertical="center"/>
      <protection locked="0"/>
    </xf>
    <xf numFmtId="0" fontId="31" fillId="7" borderId="14" xfId="0" applyFont="1" applyFill="1" applyBorder="1" applyAlignment="1" applyProtection="1">
      <alignment horizontal="center" vertical="center"/>
      <protection locked="0"/>
    </xf>
    <xf numFmtId="0" fontId="31" fillId="0" borderId="35" xfId="0" applyFont="1" applyBorder="1" applyAlignment="1" applyProtection="1">
      <alignment horizontal="center" vertical="center"/>
      <protection locked="0"/>
    </xf>
    <xf numFmtId="0" fontId="26" fillId="0" borderId="26" xfId="0" applyFont="1" applyBorder="1" applyAlignment="1" applyProtection="1">
      <alignment vertical="center" shrinkToFit="1"/>
      <protection locked="0"/>
    </xf>
    <xf numFmtId="0" fontId="26" fillId="0" borderId="12" xfId="0" applyFont="1" applyBorder="1" applyAlignment="1" applyProtection="1">
      <alignment vertical="center" shrinkToFit="1"/>
      <protection locked="0"/>
    </xf>
    <xf numFmtId="1" fontId="31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0" fontId="41" fillId="3" borderId="0" xfId="0" applyFont="1" applyFill="1" applyAlignment="1">
      <alignment vertical="center"/>
    </xf>
    <xf numFmtId="10" fontId="43" fillId="8" borderId="37" xfId="0" applyNumberFormat="1" applyFont="1" applyFill="1" applyBorder="1" applyAlignment="1">
      <alignment horizontal="center" vertical="center" shrinkToFit="1"/>
    </xf>
    <xf numFmtId="10" fontId="40" fillId="0" borderId="38" xfId="0" applyNumberFormat="1" applyFont="1" applyBorder="1" applyAlignment="1" applyProtection="1">
      <alignment horizontal="center" vertical="center"/>
      <protection locked="0"/>
    </xf>
    <xf numFmtId="2" fontId="40" fillId="9" borderId="37" xfId="0" applyNumberFormat="1" applyFont="1" applyFill="1" applyBorder="1" applyAlignment="1" applyProtection="1">
      <alignment horizontal="center" vertical="center"/>
      <protection locked="0"/>
    </xf>
    <xf numFmtId="10" fontId="40" fillId="0" borderId="37" xfId="0" applyNumberFormat="1" applyFont="1" applyBorder="1" applyAlignment="1" applyProtection="1">
      <alignment horizontal="center" vertical="center"/>
      <protection locked="0"/>
    </xf>
    <xf numFmtId="194" fontId="40" fillId="0" borderId="39" xfId="0" applyNumberFormat="1" applyFont="1" applyBorder="1" applyAlignment="1">
      <alignment horizontal="left" vertical="center"/>
    </xf>
    <xf numFmtId="194" fontId="40" fillId="0" borderId="40" xfId="0" applyNumberFormat="1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50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176" fontId="46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vertical="center"/>
    </xf>
    <xf numFmtId="180" fontId="27" fillId="0" borderId="0" xfId="0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11" xfId="0" applyFont="1" applyBorder="1" applyAlignment="1">
      <alignment horizontal="right" vertical="center"/>
    </xf>
    <xf numFmtId="181" fontId="40" fillId="0" borderId="11" xfId="0" applyNumberFormat="1" applyFont="1" applyBorder="1" applyAlignment="1">
      <alignment horizontal="center" vertical="center"/>
    </xf>
    <xf numFmtId="0" fontId="40" fillId="0" borderId="11" xfId="0" applyFont="1" applyBorder="1" applyAlignment="1">
      <alignment vertical="center"/>
    </xf>
    <xf numFmtId="176" fontId="40" fillId="0" borderId="11" xfId="0" applyNumberFormat="1" applyFont="1" applyBorder="1" applyAlignment="1">
      <alignment vertical="center"/>
    </xf>
    <xf numFmtId="10" fontId="40" fillId="0" borderId="11" xfId="0" applyNumberFormat="1" applyFont="1" applyBorder="1" applyAlignment="1">
      <alignment horizontal="center" vertical="center"/>
    </xf>
    <xf numFmtId="179" fontId="40" fillId="0" borderId="11" xfId="0" applyNumberFormat="1" applyFont="1" applyBorder="1" applyAlignment="1">
      <alignment horizontal="center" vertical="center"/>
    </xf>
    <xf numFmtId="10" fontId="52" fillId="0" borderId="11" xfId="0" applyNumberFormat="1" applyFont="1" applyBorder="1" applyAlignment="1">
      <alignment horizontal="center" vertical="center"/>
    </xf>
    <xf numFmtId="2" fontId="40" fillId="0" borderId="11" xfId="0" applyNumberFormat="1" applyFont="1" applyBorder="1" applyAlignment="1" applyProtection="1">
      <alignment horizontal="center" vertical="center"/>
      <protection locked="0"/>
    </xf>
    <xf numFmtId="10" fontId="52" fillId="0" borderId="26" xfId="0" applyNumberFormat="1" applyFont="1" applyBorder="1" applyAlignment="1">
      <alignment horizontal="center" vertical="center"/>
    </xf>
    <xf numFmtId="10" fontId="40" fillId="0" borderId="0" xfId="460" applyNumberFormat="1" applyFont="1" applyAlignment="1">
      <alignment vertical="center"/>
    </xf>
    <xf numFmtId="10" fontId="40" fillId="0" borderId="0" xfId="0" applyNumberFormat="1" applyFont="1" applyAlignment="1">
      <alignment horizontal="center" vertical="center"/>
    </xf>
    <xf numFmtId="0" fontId="40" fillId="0" borderId="17" xfId="0" applyFont="1" applyBorder="1" applyAlignment="1">
      <alignment horizontal="right" vertical="center"/>
    </xf>
    <xf numFmtId="181" fontId="40" fillId="0" borderId="17" xfId="0" applyNumberFormat="1" applyFont="1" applyBorder="1" applyAlignment="1">
      <alignment horizontal="center" vertical="center"/>
    </xf>
    <xf numFmtId="0" fontId="40" fillId="0" borderId="17" xfId="0" applyFont="1" applyBorder="1" applyAlignment="1">
      <alignment vertical="center"/>
    </xf>
    <xf numFmtId="176" fontId="40" fillId="0" borderId="17" xfId="0" applyNumberFormat="1" applyFont="1" applyBorder="1" applyAlignment="1">
      <alignment vertical="center"/>
    </xf>
    <xf numFmtId="10" fontId="52" fillId="0" borderId="17" xfId="0" applyNumberFormat="1" applyFont="1" applyBorder="1" applyAlignment="1">
      <alignment horizontal="center" vertical="center"/>
    </xf>
    <xf numFmtId="181" fontId="40" fillId="0" borderId="41" xfId="0" applyNumberFormat="1" applyFont="1" applyBorder="1" applyAlignment="1">
      <alignment horizontal="center" vertical="center"/>
    </xf>
    <xf numFmtId="0" fontId="40" fillId="0" borderId="41" xfId="0" applyFont="1" applyBorder="1" applyAlignment="1">
      <alignment vertical="center"/>
    </xf>
    <xf numFmtId="176" fontId="40" fillId="0" borderId="41" xfId="0" applyNumberFormat="1" applyFont="1" applyBorder="1" applyAlignment="1">
      <alignment vertical="center"/>
    </xf>
    <xf numFmtId="10" fontId="40" fillId="0" borderId="41" xfId="0" applyNumberFormat="1" applyFont="1" applyBorder="1" applyAlignment="1">
      <alignment horizontal="center" vertical="center"/>
    </xf>
    <xf numFmtId="179" fontId="40" fillId="0" borderId="17" xfId="0" applyNumberFormat="1" applyFont="1" applyBorder="1" applyAlignment="1">
      <alignment horizontal="center" vertical="center"/>
    </xf>
    <xf numFmtId="0" fontId="54" fillId="0" borderId="0" xfId="0" applyFont="1" applyAlignment="1">
      <alignment horizontal="right" vertical="center"/>
    </xf>
    <xf numFmtId="176" fontId="40" fillId="0" borderId="0" xfId="0" applyNumberFormat="1" applyFont="1" applyAlignment="1">
      <alignment vertical="center"/>
    </xf>
    <xf numFmtId="2" fontId="40" fillId="0" borderId="0" xfId="0" applyNumberFormat="1" applyFont="1" applyAlignment="1" applyProtection="1">
      <alignment horizontal="left" vertical="center"/>
      <protection locked="0"/>
    </xf>
    <xf numFmtId="0" fontId="56" fillId="0" borderId="0" xfId="0" applyFont="1" applyAlignment="1">
      <alignment horizontal="center" vertical="center"/>
    </xf>
    <xf numFmtId="0" fontId="51" fillId="0" borderId="11" xfId="0" applyFont="1" applyBorder="1" applyAlignment="1" applyProtection="1">
      <alignment horizontal="center" vertical="center" wrapText="1"/>
      <protection locked="0"/>
    </xf>
    <xf numFmtId="10" fontId="52" fillId="0" borderId="17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 wrapText="1"/>
      <protection locked="0"/>
    </xf>
    <xf numFmtId="10" fontId="40" fillId="0" borderId="17" xfId="0" applyNumberFormat="1" applyFont="1" applyBorder="1" applyAlignment="1">
      <alignment horizontal="center" vertical="center"/>
    </xf>
    <xf numFmtId="181" fontId="40" fillId="0" borderId="42" xfId="0" applyNumberFormat="1" applyFont="1" applyBorder="1" applyAlignment="1">
      <alignment horizontal="center" vertical="center"/>
    </xf>
    <xf numFmtId="0" fontId="40" fillId="10" borderId="37" xfId="0" applyFont="1" applyFill="1" applyBorder="1" applyAlignment="1">
      <alignment horizontal="center" vertical="center"/>
    </xf>
    <xf numFmtId="179" fontId="40" fillId="0" borderId="37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10" fontId="40" fillId="0" borderId="0" xfId="460" applyNumberFormat="1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177" fontId="40" fillId="0" borderId="0" xfId="0" applyNumberFormat="1" applyFont="1" applyAlignment="1">
      <alignment vertical="center"/>
    </xf>
    <xf numFmtId="183" fontId="40" fillId="0" borderId="0" xfId="0" applyNumberFormat="1" applyFont="1" applyAlignment="1">
      <alignment vertical="center"/>
    </xf>
    <xf numFmtId="38" fontId="27" fillId="0" borderId="0" xfId="0" applyNumberFormat="1" applyFont="1" applyAlignment="1">
      <alignment horizontal="center" vertical="center"/>
    </xf>
    <xf numFmtId="189" fontId="40" fillId="0" borderId="0" xfId="0" applyNumberFormat="1" applyFont="1" applyAlignment="1">
      <alignment vertical="center"/>
    </xf>
    <xf numFmtId="176" fontId="53" fillId="0" borderId="0" xfId="0" applyNumberFormat="1" applyFont="1" applyAlignment="1">
      <alignment vertical="center"/>
    </xf>
    <xf numFmtId="38" fontId="59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177" fontId="27" fillId="0" borderId="0" xfId="0" applyNumberFormat="1" applyFont="1" applyAlignment="1">
      <alignment horizontal="center" vertical="center"/>
    </xf>
    <xf numFmtId="38" fontId="40" fillId="0" borderId="0" xfId="0" applyNumberFormat="1" applyFont="1" applyAlignment="1">
      <alignment vertical="center"/>
    </xf>
    <xf numFmtId="38" fontId="53" fillId="0" borderId="0" xfId="0" applyNumberFormat="1" applyFont="1" applyAlignment="1">
      <alignment vertical="center"/>
    </xf>
    <xf numFmtId="189" fontId="54" fillId="0" borderId="0" xfId="0" applyNumberFormat="1" applyFont="1" applyAlignment="1">
      <alignment vertical="center"/>
    </xf>
    <xf numFmtId="38" fontId="60" fillId="0" borderId="0" xfId="0" applyNumberFormat="1" applyFont="1" applyAlignment="1">
      <alignment vertical="center"/>
    </xf>
    <xf numFmtId="38" fontId="40" fillId="0" borderId="0" xfId="0" applyNumberFormat="1" applyFont="1" applyAlignment="1">
      <alignment horizontal="right" vertical="center"/>
    </xf>
    <xf numFmtId="38" fontId="27" fillId="0" borderId="0" xfId="0" applyNumberFormat="1" applyFont="1" applyAlignment="1">
      <alignment vertical="center"/>
    </xf>
    <xf numFmtId="177" fontId="53" fillId="0" borderId="0" xfId="0" applyNumberFormat="1" applyFont="1" applyAlignment="1">
      <alignment vertical="center"/>
    </xf>
    <xf numFmtId="179" fontId="40" fillId="0" borderId="0" xfId="460" applyNumberFormat="1" applyFont="1" applyAlignment="1">
      <alignment vertical="center"/>
    </xf>
    <xf numFmtId="2" fontId="40" fillId="0" borderId="41" xfId="0" applyNumberFormat="1" applyFont="1" applyBorder="1" applyAlignment="1" applyProtection="1">
      <alignment horizontal="center" vertical="center"/>
      <protection locked="0"/>
    </xf>
    <xf numFmtId="176" fontId="70" fillId="0" borderId="0" xfId="0" applyNumberFormat="1" applyFont="1" applyAlignment="1">
      <alignment horizontal="left" vertical="center"/>
    </xf>
    <xf numFmtId="176" fontId="40" fillId="10" borderId="38" xfId="0" applyNumberFormat="1" applyFont="1" applyFill="1" applyBorder="1" applyAlignment="1">
      <alignment vertical="center"/>
    </xf>
    <xf numFmtId="0" fontId="62" fillId="0" borderId="0" xfId="0" applyFont="1" applyAlignment="1">
      <alignment vertical="center"/>
    </xf>
    <xf numFmtId="0" fontId="71" fillId="0" borderId="0" xfId="0" applyFont="1" applyAlignment="1">
      <alignment horizontal="center" vertical="center" shrinkToFit="1"/>
    </xf>
    <xf numFmtId="0" fontId="71" fillId="0" borderId="0" xfId="0" applyFont="1" applyAlignment="1">
      <alignment vertical="center" shrinkToFit="1"/>
    </xf>
    <xf numFmtId="0" fontId="71" fillId="0" borderId="0" xfId="0" applyFont="1" applyAlignment="1">
      <alignment vertical="center"/>
    </xf>
    <xf numFmtId="0" fontId="73" fillId="0" borderId="0" xfId="0" applyFont="1" applyAlignment="1">
      <alignment vertical="center"/>
    </xf>
    <xf numFmtId="176" fontId="45" fillId="10" borderId="38" xfId="0" applyNumberFormat="1" applyFont="1" applyFill="1" applyBorder="1" applyAlignment="1">
      <alignment vertical="center"/>
    </xf>
    <xf numFmtId="10" fontId="52" fillId="0" borderId="11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/>
      <protection locked="0"/>
    </xf>
    <xf numFmtId="179" fontId="40" fillId="0" borderId="41" xfId="0" applyNumberFormat="1" applyFont="1" applyBorder="1" applyAlignment="1">
      <alignment horizontal="center" vertical="center"/>
    </xf>
    <xf numFmtId="182" fontId="54" fillId="0" borderId="0" xfId="0" applyNumberFormat="1" applyFont="1" applyAlignment="1" applyProtection="1">
      <alignment horizontal="center" vertical="center"/>
      <protection locked="0"/>
    </xf>
    <xf numFmtId="14" fontId="27" fillId="0" borderId="0" xfId="0" applyNumberFormat="1" applyFont="1" applyAlignment="1">
      <alignment horizontal="center" vertical="center"/>
    </xf>
    <xf numFmtId="10" fontId="52" fillId="0" borderId="41" xfId="460" applyNumberFormat="1" applyFont="1" applyBorder="1" applyAlignment="1">
      <alignment horizontal="center" vertical="center"/>
    </xf>
    <xf numFmtId="182" fontId="54" fillId="0" borderId="38" xfId="0" applyNumberFormat="1" applyFont="1" applyBorder="1" applyAlignment="1" applyProtection="1">
      <alignment horizontal="center" vertical="center"/>
      <protection locked="0"/>
    </xf>
    <xf numFmtId="191" fontId="58" fillId="0" borderId="0" xfId="458" applyNumberFormat="1" applyFont="1" applyBorder="1" applyAlignment="1">
      <alignment vertical="center"/>
    </xf>
    <xf numFmtId="0" fontId="26" fillId="0" borderId="45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 vertical="center"/>
    </xf>
    <xf numFmtId="10" fontId="52" fillId="0" borderId="18" xfId="0" applyNumberFormat="1" applyFont="1" applyBorder="1" applyAlignment="1">
      <alignment horizontal="center" vertical="center"/>
    </xf>
    <xf numFmtId="10" fontId="52" fillId="0" borderId="53" xfId="0" applyNumberFormat="1" applyFont="1" applyBorder="1" applyAlignment="1">
      <alignment horizontal="center" vertical="center"/>
    </xf>
    <xf numFmtId="2" fontId="40" fillId="9" borderId="42" xfId="0" applyNumberFormat="1" applyFont="1" applyFill="1" applyBorder="1" applyAlignment="1" applyProtection="1">
      <alignment horizontal="center" vertical="center"/>
      <protection locked="0"/>
    </xf>
    <xf numFmtId="1" fontId="26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39" fillId="0" borderId="0" xfId="0" applyFont="1" applyAlignment="1">
      <alignment vertical="center" shrinkToFit="1"/>
    </xf>
    <xf numFmtId="0" fontId="73" fillId="0" borderId="0" xfId="0" applyFont="1" applyAlignment="1">
      <alignment vertical="center" shrinkToFit="1"/>
    </xf>
    <xf numFmtId="1" fontId="54" fillId="0" borderId="0" xfId="0" applyNumberFormat="1" applyFont="1" applyAlignment="1" applyProtection="1">
      <alignment horizontal="center" vertical="center"/>
      <protection locked="0"/>
    </xf>
    <xf numFmtId="181" fontId="40" fillId="0" borderId="37" xfId="0" applyNumberFormat="1" applyFont="1" applyBorder="1" applyAlignment="1" applyProtection="1">
      <alignment horizontal="center" vertical="center"/>
      <protection locked="0"/>
    </xf>
    <xf numFmtId="176" fontId="40" fillId="10" borderId="54" xfId="0" applyNumberFormat="1" applyFont="1" applyFill="1" applyBorder="1" applyAlignment="1">
      <alignment vertical="center"/>
    </xf>
    <xf numFmtId="10" fontId="43" fillId="0" borderId="37" xfId="0" applyNumberFormat="1" applyFont="1" applyBorder="1" applyAlignment="1">
      <alignment vertical="center"/>
    </xf>
    <xf numFmtId="2" fontId="40" fillId="0" borderId="37" xfId="0" applyNumberFormat="1" applyFont="1" applyBorder="1" applyAlignment="1">
      <alignment horizontal="center" vertical="center"/>
    </xf>
    <xf numFmtId="10" fontId="40" fillId="0" borderId="55" xfId="0" applyNumberFormat="1" applyFont="1" applyBorder="1" applyAlignment="1" applyProtection="1">
      <alignment horizontal="center" vertical="center"/>
      <protection locked="0"/>
    </xf>
    <xf numFmtId="187" fontId="40" fillId="0" borderId="26" xfId="0" applyNumberFormat="1" applyFont="1" applyBorder="1" applyAlignment="1">
      <alignment horizontal="center" vertical="center"/>
    </xf>
    <xf numFmtId="187" fontId="40" fillId="0" borderId="11" xfId="0" applyNumberFormat="1" applyFont="1" applyBorder="1" applyAlignment="1">
      <alignment horizontal="center" vertical="center"/>
    </xf>
    <xf numFmtId="187" fontId="40" fillId="0" borderId="18" xfId="460" applyNumberFormat="1" applyFont="1" applyBorder="1" applyAlignment="1">
      <alignment horizontal="center" vertical="center"/>
    </xf>
    <xf numFmtId="187" fontId="40" fillId="0" borderId="37" xfId="0" applyNumberFormat="1" applyFont="1" applyBorder="1" applyAlignment="1">
      <alignment horizontal="center" vertical="center"/>
    </xf>
    <xf numFmtId="187" fontId="40" fillId="0" borderId="11" xfId="460" applyNumberFormat="1" applyFont="1" applyBorder="1" applyAlignment="1">
      <alignment horizontal="center" vertical="center"/>
    </xf>
    <xf numFmtId="187" fontId="40" fillId="0" borderId="17" xfId="460" applyNumberFormat="1" applyFont="1" applyBorder="1" applyAlignment="1">
      <alignment horizontal="center" vertical="center"/>
    </xf>
    <xf numFmtId="2" fontId="40" fillId="0" borderId="17" xfId="0" applyNumberFormat="1" applyFont="1" applyBorder="1" applyAlignment="1" applyProtection="1">
      <alignment horizontal="center" vertical="center"/>
      <protection locked="0"/>
    </xf>
    <xf numFmtId="19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25" fillId="4" borderId="17" xfId="0" applyNumberFormat="1" applyFont="1" applyFill="1" applyBorder="1" applyAlignment="1">
      <alignment vertical="center" shrinkToFit="1"/>
    </xf>
    <xf numFmtId="0" fontId="74" fillId="0" borderId="0" xfId="0" applyFont="1" applyAlignment="1">
      <alignment horizontal="center" vertical="center"/>
    </xf>
    <xf numFmtId="0" fontId="41" fillId="3" borderId="56" xfId="0" applyFont="1" applyFill="1" applyBorder="1" applyAlignment="1">
      <alignment vertical="center"/>
    </xf>
    <xf numFmtId="0" fontId="50" fillId="0" borderId="56" xfId="0" applyFont="1" applyBorder="1" applyAlignment="1">
      <alignment horizontal="right" vertical="center"/>
    </xf>
    <xf numFmtId="0" fontId="54" fillId="0" borderId="56" xfId="0" applyFont="1" applyBorder="1" applyAlignment="1" applyProtection="1">
      <alignment horizontal="right" vertical="center" wrapText="1"/>
      <protection locked="0"/>
    </xf>
    <xf numFmtId="1" fontId="54" fillId="0" borderId="56" xfId="0" applyNumberFormat="1" applyFont="1" applyBorder="1" applyAlignment="1" applyProtection="1">
      <alignment horizontal="center" vertical="center"/>
      <protection locked="0"/>
    </xf>
    <xf numFmtId="176" fontId="50" fillId="0" borderId="56" xfId="0" applyNumberFormat="1" applyFont="1" applyBorder="1" applyAlignment="1">
      <alignment vertical="center"/>
    </xf>
    <xf numFmtId="10" fontId="50" fillId="0" borderId="56" xfId="0" applyNumberFormat="1" applyFont="1" applyBorder="1" applyAlignment="1">
      <alignment horizontal="center" vertical="center"/>
    </xf>
    <xf numFmtId="179" fontId="50" fillId="0" borderId="56" xfId="0" applyNumberFormat="1" applyFont="1" applyBorder="1" applyAlignment="1">
      <alignment horizontal="center" vertical="center"/>
    </xf>
    <xf numFmtId="10" fontId="57" fillId="0" borderId="56" xfId="0" applyNumberFormat="1" applyFont="1" applyBorder="1" applyAlignment="1">
      <alignment horizontal="center" vertical="center"/>
    </xf>
    <xf numFmtId="2" fontId="27" fillId="0" borderId="56" xfId="0" applyNumberFormat="1" applyFont="1" applyBorder="1" applyAlignment="1" applyProtection="1">
      <alignment horizontal="center" vertical="center"/>
      <protection locked="0"/>
    </xf>
    <xf numFmtId="2" fontId="27" fillId="12" borderId="56" xfId="0" applyNumberFormat="1" applyFont="1" applyFill="1" applyBorder="1" applyAlignment="1" applyProtection="1">
      <alignment horizontal="center" vertical="center"/>
      <protection locked="0"/>
    </xf>
    <xf numFmtId="10" fontId="49" fillId="0" borderId="56" xfId="460" applyNumberFormat="1" applyFont="1" applyBorder="1" applyAlignment="1">
      <alignment horizontal="center" vertical="center"/>
    </xf>
    <xf numFmtId="10" fontId="27" fillId="0" borderId="56" xfId="460" applyNumberFormat="1" applyFont="1" applyBorder="1" applyAlignment="1">
      <alignment horizontal="center" vertical="center"/>
    </xf>
    <xf numFmtId="2" fontId="40" fillId="0" borderId="54" xfId="0" applyNumberFormat="1" applyFont="1" applyBorder="1" applyAlignment="1">
      <alignment horizontal="center" vertical="center"/>
    </xf>
    <xf numFmtId="0" fontId="76" fillId="0" borderId="0" xfId="0" applyFont="1" applyAlignment="1">
      <alignment vertical="center"/>
    </xf>
    <xf numFmtId="176" fontId="0" fillId="0" borderId="0" xfId="0" applyNumberFormat="1" applyAlignment="1">
      <alignment horizontal="left"/>
    </xf>
    <xf numFmtId="0" fontId="76" fillId="0" borderId="0" xfId="0" applyFont="1" applyAlignment="1">
      <alignment horizontal="right" vertical="center"/>
    </xf>
    <xf numFmtId="0" fontId="76" fillId="0" borderId="0" xfId="0" applyFont="1" applyAlignment="1">
      <alignment horizontal="center" vertical="center"/>
    </xf>
    <xf numFmtId="20" fontId="76" fillId="0" borderId="0" xfId="0" applyNumberFormat="1" applyFont="1" applyAlignment="1">
      <alignment vertical="center"/>
    </xf>
    <xf numFmtId="0" fontId="76" fillId="18" borderId="58" xfId="0" applyFont="1" applyFill="1" applyBorder="1" applyAlignment="1">
      <alignment vertical="center"/>
    </xf>
    <xf numFmtId="0" fontId="76" fillId="18" borderId="59" xfId="0" applyFont="1" applyFill="1" applyBorder="1" applyAlignment="1">
      <alignment horizontal="right" vertical="center"/>
    </xf>
    <xf numFmtId="0" fontId="76" fillId="18" borderId="59" xfId="0" applyFont="1" applyFill="1" applyBorder="1" applyAlignment="1">
      <alignment horizontal="center" vertical="center"/>
    </xf>
    <xf numFmtId="10" fontId="76" fillId="18" borderId="59" xfId="0" applyNumberFormat="1" applyFont="1" applyFill="1" applyBorder="1" applyAlignment="1">
      <alignment horizontal="center" vertical="center"/>
    </xf>
    <xf numFmtId="0" fontId="76" fillId="3" borderId="60" xfId="0" applyFont="1" applyFill="1" applyBorder="1" applyAlignment="1">
      <alignment horizontal="center" vertical="center"/>
    </xf>
    <xf numFmtId="0" fontId="76" fillId="3" borderId="61" xfId="0" applyFont="1" applyFill="1" applyBorder="1" applyAlignment="1">
      <alignment horizontal="center" vertical="center"/>
    </xf>
    <xf numFmtId="0" fontId="76" fillId="3" borderId="61" xfId="0" applyFont="1" applyFill="1" applyBorder="1" applyAlignment="1">
      <alignment horizontal="center" vertical="center" wrapText="1"/>
    </xf>
    <xf numFmtId="0" fontId="76" fillId="18" borderId="61" xfId="0" applyFont="1" applyFill="1" applyBorder="1" applyAlignment="1">
      <alignment horizontal="center" vertical="center" wrapText="1"/>
    </xf>
    <xf numFmtId="194" fontId="76" fillId="20" borderId="58" xfId="0" applyNumberFormat="1" applyFont="1" applyFill="1" applyBorder="1" applyAlignment="1">
      <alignment vertical="center"/>
    </xf>
    <xf numFmtId="0" fontId="76" fillId="20" borderId="59" xfId="0" applyFont="1" applyFill="1" applyBorder="1" applyAlignment="1">
      <alignment horizontal="right" vertical="center"/>
    </xf>
    <xf numFmtId="0" fontId="76" fillId="20" borderId="59" xfId="0" applyFont="1" applyFill="1" applyBorder="1" applyAlignment="1">
      <alignment horizontal="center" vertical="center"/>
    </xf>
    <xf numFmtId="10" fontId="76" fillId="20" borderId="59" xfId="0" applyNumberFormat="1" applyFont="1" applyFill="1" applyBorder="1" applyAlignment="1">
      <alignment horizontal="center" vertical="center"/>
    </xf>
    <xf numFmtId="178" fontId="76" fillId="20" borderId="59" xfId="0" applyNumberFormat="1" applyFont="1" applyFill="1" applyBorder="1" applyAlignment="1">
      <alignment horizontal="center" vertical="center"/>
    </xf>
    <xf numFmtId="194" fontId="76" fillId="21" borderId="58" xfId="0" applyNumberFormat="1" applyFont="1" applyFill="1" applyBorder="1" applyAlignment="1">
      <alignment vertical="center"/>
    </xf>
    <xf numFmtId="0" fontId="76" fillId="21" borderId="59" xfId="0" applyFont="1" applyFill="1" applyBorder="1" applyAlignment="1">
      <alignment horizontal="right" vertical="center"/>
    </xf>
    <xf numFmtId="0" fontId="76" fillId="21" borderId="59" xfId="0" applyFont="1" applyFill="1" applyBorder="1" applyAlignment="1">
      <alignment horizontal="center" vertical="center"/>
    </xf>
    <xf numFmtId="10" fontId="76" fillId="21" borderId="59" xfId="0" applyNumberFormat="1" applyFont="1" applyFill="1" applyBorder="1" applyAlignment="1">
      <alignment horizontal="center" vertical="center"/>
    </xf>
    <xf numFmtId="178" fontId="76" fillId="21" borderId="59" xfId="0" applyNumberFormat="1" applyFont="1" applyFill="1" applyBorder="1" applyAlignment="1">
      <alignment horizontal="center" vertical="center"/>
    </xf>
    <xf numFmtId="194" fontId="76" fillId="0" borderId="0" xfId="0" applyNumberFormat="1" applyFont="1" applyAlignment="1">
      <alignment vertical="center"/>
    </xf>
    <xf numFmtId="10" fontId="76" fillId="0" borderId="0" xfId="0" applyNumberFormat="1" applyFont="1" applyAlignment="1">
      <alignment horizontal="center" vertical="center"/>
    </xf>
    <xf numFmtId="2" fontId="40" fillId="0" borderId="37" xfId="0" applyNumberFormat="1" applyFont="1" applyBorder="1" applyAlignment="1" applyProtection="1">
      <alignment horizontal="center" vertical="center"/>
      <protection locked="0"/>
    </xf>
    <xf numFmtId="187" fontId="48" fillId="0" borderId="11" xfId="0" applyNumberFormat="1" applyFont="1" applyBorder="1" applyAlignment="1">
      <alignment horizontal="center" vertical="center" shrinkToFit="1"/>
    </xf>
    <xf numFmtId="193" fontId="78" fillId="0" borderId="0" xfId="0" applyNumberFormat="1" applyFont="1" applyAlignment="1" applyProtection="1">
      <alignment horizontal="center" vertical="center"/>
      <protection locked="0"/>
    </xf>
    <xf numFmtId="0" fontId="78" fillId="0" borderId="0" xfId="0" applyFont="1" applyAlignment="1">
      <alignment vertical="center"/>
    </xf>
    <xf numFmtId="0" fontId="78" fillId="0" borderId="0" xfId="0" applyFont="1" applyAlignment="1">
      <alignment horizontal="center" vertical="center"/>
    </xf>
    <xf numFmtId="184" fontId="78" fillId="0" borderId="0" xfId="460" applyNumberFormat="1" applyFont="1" applyAlignment="1">
      <alignment vertical="center"/>
    </xf>
    <xf numFmtId="1" fontId="78" fillId="0" borderId="0" xfId="0" applyNumberFormat="1" applyFont="1" applyAlignment="1">
      <alignment horizontal="center" vertical="center"/>
    </xf>
    <xf numFmtId="176" fontId="78" fillId="0" borderId="0" xfId="0" applyNumberFormat="1" applyFont="1" applyAlignment="1">
      <alignment horizontal="center" vertical="center"/>
    </xf>
    <xf numFmtId="14" fontId="78" fillId="0" borderId="0" xfId="0" applyNumberFormat="1" applyFont="1" applyAlignment="1">
      <alignment vertical="center"/>
    </xf>
    <xf numFmtId="194" fontId="40" fillId="0" borderId="72" xfId="0" applyNumberFormat="1" applyFont="1" applyBorder="1" applyAlignment="1">
      <alignment horizontal="left" vertical="center"/>
    </xf>
    <xf numFmtId="0" fontId="76" fillId="3" borderId="59" xfId="0" applyFont="1" applyFill="1" applyBorder="1" applyAlignment="1">
      <alignment horizontal="center" vertical="center"/>
    </xf>
    <xf numFmtId="0" fontId="76" fillId="3" borderId="73" xfId="0" applyFont="1" applyFill="1" applyBorder="1" applyAlignment="1">
      <alignment horizontal="center" vertical="center"/>
    </xf>
    <xf numFmtId="0" fontId="76" fillId="0" borderId="57" xfId="0" applyFont="1" applyBorder="1" applyAlignment="1">
      <alignment horizontal="center" vertical="center"/>
    </xf>
    <xf numFmtId="194" fontId="76" fillId="0" borderId="74" xfId="0" applyNumberFormat="1" applyFont="1" applyBorder="1" applyAlignment="1">
      <alignment vertical="center"/>
    </xf>
    <xf numFmtId="0" fontId="76" fillId="0" borderId="74" xfId="0" applyFont="1" applyBorder="1" applyAlignment="1">
      <alignment horizontal="right" vertical="center"/>
    </xf>
    <xf numFmtId="0" fontId="76" fillId="0" borderId="74" xfId="0" applyFont="1" applyBorder="1" applyAlignment="1">
      <alignment horizontal="center" vertical="center"/>
    </xf>
    <xf numFmtId="10" fontId="76" fillId="0" borderId="74" xfId="0" applyNumberFormat="1" applyFont="1" applyBorder="1" applyAlignment="1">
      <alignment horizontal="center" vertical="center"/>
    </xf>
    <xf numFmtId="178" fontId="76" fillId="0" borderId="74" xfId="0" applyNumberFormat="1" applyFont="1" applyBorder="1" applyAlignment="1">
      <alignment horizontal="center" vertical="center"/>
    </xf>
    <xf numFmtId="49" fontId="76" fillId="0" borderId="74" xfId="0" applyNumberFormat="1" applyFont="1" applyBorder="1" applyAlignment="1">
      <alignment horizontal="center" vertical="center"/>
    </xf>
    <xf numFmtId="0" fontId="72" fillId="0" borderId="0" xfId="0" applyFont="1" applyAlignment="1">
      <alignment horizontal="left" vertical="center"/>
    </xf>
    <xf numFmtId="0" fontId="73" fillId="0" borderId="0" xfId="0" applyFont="1" applyAlignment="1">
      <alignment horizontal="center" vertical="center" shrinkToFit="1"/>
    </xf>
    <xf numFmtId="0" fontId="53" fillId="0" borderId="0" xfId="0" applyFont="1" applyAlignment="1">
      <alignment horizontal="left" vertical="center"/>
    </xf>
    <xf numFmtId="49" fontId="76" fillId="17" borderId="59" xfId="0" applyNumberFormat="1" applyFont="1" applyFill="1" applyBorder="1" applyAlignment="1">
      <alignment horizontal="center" vertical="center"/>
    </xf>
    <xf numFmtId="49" fontId="76" fillId="17" borderId="73" xfId="0" applyNumberFormat="1" applyFont="1" applyFill="1" applyBorder="1" applyAlignment="1">
      <alignment horizontal="center" vertical="center"/>
    </xf>
    <xf numFmtId="0" fontId="76" fillId="17" borderId="59" xfId="0" applyFont="1" applyFill="1" applyBorder="1" applyAlignment="1">
      <alignment horizontal="center" vertical="center"/>
    </xf>
    <xf numFmtId="0" fontId="76" fillId="17" borderId="73" xfId="0" applyFont="1" applyFill="1" applyBorder="1" applyAlignment="1">
      <alignment horizontal="center" vertical="center"/>
    </xf>
    <xf numFmtId="0" fontId="39" fillId="0" borderId="75" xfId="0" applyFont="1" applyBorder="1" applyAlignment="1">
      <alignment horizontal="center" vertical="center" shrinkToFit="1"/>
    </xf>
    <xf numFmtId="49" fontId="102" fillId="0" borderId="0" xfId="0" applyNumberFormat="1" applyFont="1" applyAlignment="1">
      <alignment horizontal="center" vertical="center"/>
    </xf>
    <xf numFmtId="49" fontId="102" fillId="0" borderId="0" xfId="460" applyNumberFormat="1" applyFont="1" applyBorder="1" applyAlignment="1">
      <alignment horizontal="center" vertical="center"/>
    </xf>
    <xf numFmtId="0" fontId="73" fillId="0" borderId="0" xfId="0" applyFont="1" applyAlignment="1">
      <alignment horizontal="left" vertical="center"/>
    </xf>
    <xf numFmtId="182" fontId="103" fillId="0" borderId="38" xfId="0" applyNumberFormat="1" applyFont="1" applyBorder="1" applyAlignment="1">
      <alignment horizontal="center" vertical="center"/>
    </xf>
    <xf numFmtId="182" fontId="103" fillId="0" borderId="42" xfId="0" applyNumberFormat="1" applyFont="1" applyBorder="1" applyAlignment="1" applyProtection="1">
      <alignment horizontal="center" vertical="center" wrapText="1"/>
      <protection locked="0"/>
    </xf>
    <xf numFmtId="0" fontId="16" fillId="0" borderId="76" xfId="0" applyFont="1" applyBorder="1" applyAlignment="1">
      <alignment horizontal="center" vertical="center"/>
    </xf>
    <xf numFmtId="0" fontId="26" fillId="0" borderId="43" xfId="0" applyFont="1" applyBorder="1" applyAlignment="1" applyProtection="1">
      <alignment horizontal="center" vertical="center"/>
      <protection locked="0"/>
    </xf>
    <xf numFmtId="0" fontId="26" fillId="0" borderId="77" xfId="0" applyFont="1" applyBorder="1" applyAlignment="1" applyProtection="1">
      <alignment horizontal="center" vertical="center"/>
      <protection locked="0"/>
    </xf>
    <xf numFmtId="0" fontId="104" fillId="13" borderId="79" xfId="0" applyFont="1" applyFill="1" applyBorder="1" applyAlignment="1">
      <alignment horizontal="center" vertical="center"/>
    </xf>
    <xf numFmtId="0" fontId="34" fillId="13" borderId="80" xfId="0" applyFont="1" applyFill="1" applyBorder="1" applyAlignment="1">
      <alignment vertical="center" textRotation="255"/>
    </xf>
    <xf numFmtId="0" fontId="26" fillId="0" borderId="81" xfId="0" applyFont="1" applyBorder="1" applyAlignment="1">
      <alignment vertical="center" shrinkToFit="1"/>
    </xf>
    <xf numFmtId="0" fontId="34" fillId="13" borderId="82" xfId="0" applyFont="1" applyFill="1" applyBorder="1" applyAlignment="1">
      <alignment vertical="center" textRotation="255"/>
    </xf>
    <xf numFmtId="0" fontId="26" fillId="0" borderId="83" xfId="0" applyFont="1" applyBorder="1" applyAlignment="1">
      <alignment horizontal="center" vertical="center"/>
    </xf>
    <xf numFmtId="0" fontId="104" fillId="13" borderId="80" xfId="0" applyFont="1" applyFill="1" applyBorder="1" applyAlignment="1">
      <alignment horizontal="center" vertical="center"/>
    </xf>
    <xf numFmtId="0" fontId="104" fillId="13" borderId="82" xfId="0" applyFont="1" applyFill="1" applyBorder="1" applyAlignment="1">
      <alignment horizontal="center" vertical="center"/>
    </xf>
    <xf numFmtId="0" fontId="19" fillId="0" borderId="43" xfId="0" applyFont="1" applyBorder="1" applyAlignment="1" applyProtection="1">
      <alignment horizontal="center" vertical="center"/>
      <protection locked="0"/>
    </xf>
    <xf numFmtId="0" fontId="19" fillId="0" borderId="77" xfId="0" applyFont="1" applyBorder="1" applyAlignment="1" applyProtection="1">
      <alignment horizontal="center" vertical="center"/>
      <protection locked="0"/>
    </xf>
    <xf numFmtId="181" fontId="26" fillId="0" borderId="0" xfId="0" applyNumberFormat="1" applyFont="1" applyAlignment="1">
      <alignment vertical="center"/>
    </xf>
    <xf numFmtId="0" fontId="53" fillId="22" borderId="0" xfId="0" applyFont="1" applyFill="1" applyAlignment="1">
      <alignment horizontal="center" vertical="center"/>
    </xf>
    <xf numFmtId="49" fontId="102" fillId="22" borderId="0" xfId="0" applyNumberFormat="1" applyFont="1" applyFill="1" applyAlignment="1">
      <alignment horizontal="center" vertical="center"/>
    </xf>
    <xf numFmtId="10" fontId="40" fillId="0" borderId="0" xfId="460" applyNumberFormat="1" applyFont="1" applyAlignment="1">
      <alignment horizontal="center" vertical="center"/>
    </xf>
    <xf numFmtId="10" fontId="52" fillId="0" borderId="56" xfId="0" applyNumberFormat="1" applyFont="1" applyBorder="1" applyAlignment="1">
      <alignment horizontal="center" vertical="center"/>
    </xf>
    <xf numFmtId="195" fontId="40" fillId="0" borderId="0" xfId="0" applyNumberFormat="1" applyFont="1" applyAlignment="1">
      <alignment horizontal="left" vertical="center"/>
    </xf>
    <xf numFmtId="2" fontId="58" fillId="0" borderId="11" xfId="0" applyNumberFormat="1" applyFont="1" applyBorder="1" applyAlignment="1" applyProtection="1">
      <alignment horizontal="center" vertical="center"/>
      <protection locked="0"/>
    </xf>
    <xf numFmtId="177" fontId="40" fillId="0" borderId="37" xfId="0" applyNumberFormat="1" applyFont="1" applyBorder="1" applyAlignment="1" applyProtection="1">
      <alignment horizontal="center" vertical="center"/>
      <protection locked="0"/>
    </xf>
    <xf numFmtId="0" fontId="40" fillId="8" borderId="37" xfId="0" applyFont="1" applyFill="1" applyBorder="1" applyAlignment="1">
      <alignment horizontal="center" vertical="center"/>
    </xf>
    <xf numFmtId="38" fontId="45" fillId="8" borderId="37" xfId="0" applyNumberFormat="1" applyFont="1" applyFill="1" applyBorder="1" applyAlignment="1">
      <alignment vertical="center"/>
    </xf>
    <xf numFmtId="38" fontId="40" fillId="8" borderId="38" xfId="0" applyNumberFormat="1" applyFont="1" applyFill="1" applyBorder="1" applyAlignment="1">
      <alignment vertical="center"/>
    </xf>
    <xf numFmtId="10" fontId="44" fillId="0" borderId="37" xfId="0" applyNumberFormat="1" applyFont="1" applyBorder="1" applyAlignment="1">
      <alignment horizontal="center" vertical="center"/>
    </xf>
    <xf numFmtId="182" fontId="40" fillId="0" borderId="11" xfId="0" applyNumberFormat="1" applyFont="1" applyBorder="1" applyAlignment="1">
      <alignment vertical="center"/>
    </xf>
    <xf numFmtId="182" fontId="40" fillId="0" borderId="17" xfId="0" applyNumberFormat="1" applyFont="1" applyBorder="1" applyAlignment="1">
      <alignment vertical="center"/>
    </xf>
    <xf numFmtId="182" fontId="54" fillId="0" borderId="54" xfId="0" applyNumberFormat="1" applyFont="1" applyBorder="1" applyAlignment="1" applyProtection="1">
      <alignment horizontal="center" vertical="center"/>
      <protection locked="0"/>
    </xf>
    <xf numFmtId="1" fontId="54" fillId="0" borderId="38" xfId="0" applyNumberFormat="1" applyFont="1" applyBorder="1" applyAlignment="1" applyProtection="1">
      <alignment horizontal="center" vertical="center"/>
      <protection locked="0"/>
    </xf>
    <xf numFmtId="1" fontId="40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176" fontId="105" fillId="22" borderId="0" xfId="0" applyNumberFormat="1" applyFont="1" applyFill="1" applyAlignment="1">
      <alignment horizontal="left" vertical="center"/>
    </xf>
    <xf numFmtId="176" fontId="105" fillId="22" borderId="0" xfId="0" applyNumberFormat="1" applyFont="1" applyFill="1" applyAlignment="1">
      <alignment vertical="center"/>
    </xf>
    <xf numFmtId="1" fontId="40" fillId="24" borderId="89" xfId="0" applyNumberFormat="1" applyFont="1" applyFill="1" applyBorder="1" applyAlignment="1">
      <alignment horizontal="center" vertical="center"/>
    </xf>
    <xf numFmtId="38" fontId="40" fillId="24" borderId="89" xfId="0" applyNumberFormat="1" applyFont="1" applyFill="1" applyBorder="1" applyAlignment="1">
      <alignment vertical="center"/>
    </xf>
    <xf numFmtId="10" fontId="43" fillId="24" borderId="89" xfId="0" applyNumberFormat="1" applyFont="1" applyFill="1" applyBorder="1" applyAlignment="1">
      <alignment horizontal="center" vertical="center" shrinkToFit="1"/>
    </xf>
    <xf numFmtId="10" fontId="44" fillId="24" borderId="89" xfId="0" applyNumberFormat="1" applyFont="1" applyFill="1" applyBorder="1" applyAlignment="1">
      <alignment horizontal="center" vertical="center"/>
    </xf>
    <xf numFmtId="10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>
      <alignment horizontal="center" vertical="center"/>
    </xf>
    <xf numFmtId="38" fontId="46" fillId="0" borderId="88" xfId="0" applyNumberFormat="1" applyFont="1" applyBorder="1" applyAlignment="1">
      <alignment vertical="center"/>
    </xf>
    <xf numFmtId="10" fontId="87" fillId="12" borderId="88" xfId="0" applyNumberFormat="1" applyFont="1" applyFill="1" applyBorder="1" applyAlignment="1" applyProtection="1">
      <alignment horizontal="center" vertical="center" shrinkToFit="1"/>
      <protection hidden="1"/>
    </xf>
    <xf numFmtId="10" fontId="46" fillId="15" borderId="88" xfId="0" applyNumberFormat="1" applyFont="1" applyFill="1" applyBorder="1" applyAlignment="1" applyProtection="1">
      <alignment horizontal="center" vertical="center"/>
      <protection locked="0"/>
    </xf>
    <xf numFmtId="10" fontId="88" fillId="9" borderId="88" xfId="460" applyNumberFormat="1" applyFont="1" applyFill="1" applyBorder="1" applyAlignment="1" applyProtection="1">
      <alignment horizontal="center" vertical="center"/>
      <protection locked="0"/>
    </xf>
    <xf numFmtId="2" fontId="46" fillId="0" borderId="88" xfId="0" applyNumberFormat="1" applyFont="1" applyBorder="1" applyAlignment="1">
      <alignment horizontal="center" vertical="center"/>
    </xf>
    <xf numFmtId="10" fontId="46" fillId="9" borderId="88" xfId="0" applyNumberFormat="1" applyFont="1" applyFill="1" applyBorder="1" applyAlignment="1" applyProtection="1">
      <alignment horizontal="center" vertical="center"/>
      <protection locked="0"/>
    </xf>
    <xf numFmtId="10" fontId="46" fillId="0" borderId="91" xfId="461" applyNumberFormat="1" applyFont="1" applyFill="1" applyBorder="1" applyAlignment="1" applyProtection="1">
      <alignment horizontal="center" vertical="center"/>
      <protection locked="0" hidden="1"/>
    </xf>
    <xf numFmtId="0" fontId="46" fillId="0" borderId="92" xfId="0" applyFont="1" applyBorder="1" applyAlignment="1">
      <alignment vertical="center" wrapText="1"/>
    </xf>
    <xf numFmtId="190" fontId="46" fillId="17" borderId="93" xfId="0" applyNumberFormat="1" applyFont="1" applyFill="1" applyBorder="1" applyAlignment="1">
      <alignment horizontal="center" vertical="center"/>
    </xf>
    <xf numFmtId="0" fontId="46" fillId="12" borderId="94" xfId="0" applyFont="1" applyFill="1" applyBorder="1" applyAlignment="1">
      <alignment horizontal="center" vertical="center"/>
    </xf>
    <xf numFmtId="10" fontId="46" fillId="0" borderId="54" xfId="461" applyNumberFormat="1" applyFont="1" applyBorder="1" applyAlignment="1" applyProtection="1">
      <alignment horizontal="center" vertical="center"/>
      <protection hidden="1"/>
    </xf>
    <xf numFmtId="176" fontId="76" fillId="0" borderId="95" xfId="0" applyNumberFormat="1" applyFont="1" applyBorder="1" applyAlignment="1">
      <alignment horizontal="left" vertical="center"/>
    </xf>
    <xf numFmtId="0" fontId="40" fillId="0" borderId="38" xfId="0" applyFont="1" applyBorder="1" applyAlignment="1">
      <alignment horizontal="left" vertical="center"/>
    </xf>
    <xf numFmtId="176" fontId="40" fillId="0" borderId="38" xfId="0" applyNumberFormat="1" applyFont="1" applyBorder="1" applyAlignment="1">
      <alignment horizontal="left" vertical="center"/>
    </xf>
    <xf numFmtId="0" fontId="46" fillId="25" borderId="88" xfId="0" applyFont="1" applyFill="1" applyBorder="1" applyAlignment="1">
      <alignment horizontal="center" vertical="center"/>
    </xf>
    <xf numFmtId="0" fontId="90" fillId="0" borderId="0" xfId="0" applyFont="1" applyAlignment="1">
      <alignment vertical="center"/>
    </xf>
    <xf numFmtId="0" fontId="90" fillId="0" borderId="0" xfId="0" applyFont="1" applyAlignment="1">
      <alignment horizontal="center" vertical="center"/>
    </xf>
    <xf numFmtId="176" fontId="90" fillId="0" borderId="0" xfId="0" applyNumberFormat="1" applyFont="1" applyAlignment="1">
      <alignment vertical="center"/>
    </xf>
    <xf numFmtId="176" fontId="90" fillId="2" borderId="96" xfId="0" applyNumberFormat="1" applyFont="1" applyFill="1" applyBorder="1" applyAlignment="1">
      <alignment vertical="center"/>
    </xf>
    <xf numFmtId="0" fontId="90" fillId="2" borderId="97" xfId="0" applyFont="1" applyFill="1" applyBorder="1" applyAlignment="1">
      <alignment vertical="center"/>
    </xf>
    <xf numFmtId="177" fontId="90" fillId="2" borderId="98" xfId="0" applyNumberFormat="1" applyFont="1" applyFill="1" applyBorder="1" applyAlignment="1">
      <alignment horizontal="center" vertical="center"/>
    </xf>
    <xf numFmtId="0" fontId="91" fillId="0" borderId="0" xfId="0" applyFont="1" applyAlignment="1">
      <alignment horizontal="center" vertical="center"/>
    </xf>
    <xf numFmtId="49" fontId="106" fillId="0" borderId="0" xfId="0" applyNumberFormat="1" applyFont="1" applyAlignment="1">
      <alignment horizontal="center" vertical="center"/>
    </xf>
    <xf numFmtId="1" fontId="89" fillId="0" borderId="99" xfId="0" applyNumberFormat="1" applyFont="1" applyBorder="1" applyAlignment="1" applyProtection="1">
      <alignment horizontal="center" vertical="center"/>
      <protection locked="0"/>
    </xf>
    <xf numFmtId="0" fontId="76" fillId="0" borderId="57" xfId="0" applyFont="1" applyBorder="1" applyAlignment="1">
      <alignment horizontal="right" vertical="center"/>
    </xf>
    <xf numFmtId="10" fontId="76" fillId="0" borderId="57" xfId="0" applyNumberFormat="1" applyFont="1" applyBorder="1" applyAlignment="1">
      <alignment horizontal="center" vertical="center"/>
    </xf>
    <xf numFmtId="178" fontId="76" fillId="0" borderId="57" xfId="0" applyNumberFormat="1" applyFont="1" applyBorder="1" applyAlignment="1">
      <alignment horizontal="center" vertical="center"/>
    </xf>
    <xf numFmtId="178" fontId="76" fillId="0" borderId="0" xfId="0" applyNumberFormat="1" applyFont="1" applyAlignment="1">
      <alignment horizontal="center" vertical="center"/>
    </xf>
    <xf numFmtId="192" fontId="59" fillId="14" borderId="100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0" xfId="0" applyFont="1"/>
    <xf numFmtId="0" fontId="64" fillId="0" borderId="0" xfId="0" applyFont="1" applyAlignment="1">
      <alignment horizontal="center"/>
    </xf>
    <xf numFmtId="187" fontId="94" fillId="0" borderId="101" xfId="0" applyNumberFormat="1" applyFont="1" applyBorder="1" applyAlignment="1">
      <alignment horizontal="center" vertical="center" shrinkToFit="1"/>
    </xf>
    <xf numFmtId="187" fontId="94" fillId="0" borderId="102" xfId="0" applyNumberFormat="1" applyFont="1" applyBorder="1" applyAlignment="1">
      <alignment horizontal="center" vertical="center" shrinkToFit="1"/>
    </xf>
    <xf numFmtId="187" fontId="94" fillId="0" borderId="67" xfId="0" applyNumberFormat="1" applyFont="1" applyBorder="1" applyAlignment="1">
      <alignment horizontal="center" vertical="center" shrinkToFit="1"/>
    </xf>
    <xf numFmtId="187" fontId="94" fillId="0" borderId="103" xfId="0" applyNumberFormat="1" applyFont="1" applyBorder="1" applyAlignment="1">
      <alignment horizontal="center" vertical="center" shrinkToFit="1"/>
    </xf>
    <xf numFmtId="187" fontId="94" fillId="0" borderId="0" xfId="0" applyNumberFormat="1" applyFont="1" applyAlignment="1">
      <alignment horizontal="center" vertical="center" shrinkToFit="1"/>
    </xf>
    <xf numFmtId="182" fontId="94" fillId="0" borderId="104" xfId="0" applyNumberFormat="1" applyFont="1" applyBorder="1" applyAlignment="1">
      <alignment horizontal="center" vertical="center" shrinkToFit="1"/>
    </xf>
    <xf numFmtId="187" fontId="94" fillId="0" borderId="49" xfId="0" applyNumberFormat="1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95" fillId="0" borderId="0" xfId="0" applyFont="1" applyAlignment="1">
      <alignment horizontal="center" vertical="center" shrinkToFit="1"/>
    </xf>
    <xf numFmtId="0" fontId="46" fillId="0" borderId="103" xfId="0" applyFont="1" applyBorder="1" applyAlignment="1">
      <alignment horizontal="center" vertical="center" wrapText="1" shrinkToFit="1"/>
    </xf>
    <xf numFmtId="0" fontId="46" fillId="27" borderId="103" xfId="0" applyFont="1" applyFill="1" applyBorder="1" applyAlignment="1">
      <alignment horizontal="left" vertical="center" shrinkToFit="1"/>
    </xf>
    <xf numFmtId="0" fontId="46" fillId="0" borderId="107" xfId="0" applyFont="1" applyBorder="1" applyAlignment="1">
      <alignment horizontal="left" vertical="center" shrinkToFit="1"/>
    </xf>
    <xf numFmtId="0" fontId="46" fillId="0" borderId="65" xfId="0" applyFont="1" applyBorder="1" applyAlignment="1">
      <alignment horizontal="left" vertical="center" shrinkToFit="1"/>
    </xf>
    <xf numFmtId="0" fontId="46" fillId="28" borderId="65" xfId="0" applyFont="1" applyFill="1" applyBorder="1" applyAlignment="1">
      <alignment horizontal="left" vertical="center" shrinkToFit="1"/>
    </xf>
    <xf numFmtId="0" fontId="46" fillId="29" borderId="103" xfId="0" applyFont="1" applyFill="1" applyBorder="1" applyAlignment="1">
      <alignment horizontal="left" vertical="center" shrinkToFit="1"/>
    </xf>
    <xf numFmtId="0" fontId="46" fillId="31" borderId="107" xfId="0" applyFont="1" applyFill="1" applyBorder="1" applyAlignment="1">
      <alignment horizontal="left" vertical="center" shrinkToFit="1"/>
    </xf>
    <xf numFmtId="0" fontId="46" fillId="0" borderId="0" xfId="0" applyFont="1" applyAlignment="1">
      <alignment horizontal="left" vertical="center" shrinkToFit="1"/>
    </xf>
    <xf numFmtId="0" fontId="40" fillId="0" borderId="102" xfId="0" applyFont="1" applyBorder="1" applyAlignment="1">
      <alignment horizontal="center" vertical="center" wrapText="1" shrinkToFit="1"/>
    </xf>
    <xf numFmtId="0" fontId="40" fillId="0" borderId="101" xfId="0" applyFont="1" applyBorder="1" applyAlignment="1">
      <alignment horizontal="center" vertical="center" shrinkToFit="1"/>
    </xf>
    <xf numFmtId="0" fontId="40" fillId="0" borderId="108" xfId="0" applyFont="1" applyBorder="1" applyAlignment="1">
      <alignment horizontal="center" vertical="center" shrinkToFit="1"/>
    </xf>
    <xf numFmtId="0" fontId="40" fillId="0" borderId="63" xfId="0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0" fillId="0" borderId="104" xfId="0" applyFont="1" applyBorder="1" applyAlignment="1">
      <alignment horizontal="center" vertical="center" shrinkToFit="1"/>
    </xf>
    <xf numFmtId="0" fontId="95" fillId="0" borderId="109" xfId="0" applyFont="1" applyBorder="1" applyAlignment="1">
      <alignment horizontal="center" vertical="center" shrinkToFit="1"/>
    </xf>
    <xf numFmtId="0" fontId="46" fillId="0" borderId="108" xfId="0" applyFont="1" applyBorder="1" applyAlignment="1">
      <alignment horizontal="center" vertical="center" shrinkToFit="1"/>
    </xf>
    <xf numFmtId="0" fontId="46" fillId="0" borderId="63" xfId="0" applyFont="1" applyBorder="1" applyAlignment="1">
      <alignment horizontal="center" vertical="center" shrinkToFit="1"/>
    </xf>
    <xf numFmtId="0" fontId="40" fillId="0" borderId="109" xfId="0" applyFont="1" applyBorder="1" applyAlignment="1">
      <alignment horizontal="center" vertical="center" shrinkToFit="1"/>
    </xf>
    <xf numFmtId="0" fontId="40" fillId="0" borderId="26" xfId="0" applyFont="1" applyBorder="1" applyAlignment="1">
      <alignment horizontal="center" vertical="center" shrinkToFit="1"/>
    </xf>
    <xf numFmtId="0" fontId="46" fillId="0" borderId="110" xfId="0" applyFont="1" applyBorder="1" applyAlignment="1">
      <alignment horizontal="center" vertical="center" shrinkToFit="1"/>
    </xf>
    <xf numFmtId="0" fontId="46" fillId="0" borderId="53" xfId="0" applyFont="1" applyBorder="1" applyAlignment="1">
      <alignment horizontal="center" vertical="center" shrinkToFit="1"/>
    </xf>
    <xf numFmtId="0" fontId="46" fillId="0" borderId="111" xfId="0" applyFont="1" applyBorder="1" applyAlignment="1">
      <alignment horizontal="center" vertical="center" shrinkToFit="1"/>
    </xf>
    <xf numFmtId="0" fontId="46" fillId="0" borderId="52" xfId="0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 shrinkToFit="1"/>
    </xf>
    <xf numFmtId="0" fontId="94" fillId="0" borderId="88" xfId="0" applyFont="1" applyBorder="1" applyAlignment="1">
      <alignment horizontal="center" vertical="center" shrinkToFit="1"/>
    </xf>
    <xf numFmtId="187" fontId="94" fillId="0" borderId="112" xfId="0" applyNumberFormat="1" applyFont="1" applyBorder="1" applyAlignment="1">
      <alignment horizontal="center" vertical="center" shrinkToFit="1"/>
    </xf>
    <xf numFmtId="187" fontId="94" fillId="0" borderId="88" xfId="0" applyNumberFormat="1" applyFont="1" applyBorder="1" applyAlignment="1">
      <alignment horizontal="center" vertical="center" shrinkToFit="1"/>
    </xf>
    <xf numFmtId="187" fontId="94" fillId="0" borderId="113" xfId="0" applyNumberFormat="1" applyFont="1" applyBorder="1" applyAlignment="1">
      <alignment horizontal="center" vertical="center" shrinkToFit="1"/>
    </xf>
    <xf numFmtId="0" fontId="94" fillId="0" borderId="0" xfId="0" applyFont="1" applyAlignment="1">
      <alignment horizontal="center" vertical="center" shrinkToFit="1"/>
    </xf>
    <xf numFmtId="177" fontId="59" fillId="22" borderId="107" xfId="0" applyNumberFormat="1" applyFont="1" applyFill="1" applyBorder="1" applyAlignment="1">
      <alignment horizontal="center" vertical="center"/>
    </xf>
    <xf numFmtId="177" fontId="59" fillId="22" borderId="114" xfId="0" applyNumberFormat="1" applyFont="1" applyFill="1" applyBorder="1" applyAlignment="1">
      <alignment horizontal="center" vertical="center"/>
    </xf>
    <xf numFmtId="177" fontId="59" fillId="22" borderId="65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178" fontId="59" fillId="22" borderId="111" xfId="0" applyNumberFormat="1" applyFont="1" applyFill="1" applyBorder="1" applyAlignment="1">
      <alignment horizontal="center" vertical="center"/>
    </xf>
    <xf numFmtId="177" fontId="59" fillId="22" borderId="51" xfId="0" applyNumberFormat="1" applyFont="1" applyFill="1" applyBorder="1" applyAlignment="1">
      <alignment horizontal="center" vertical="center"/>
    </xf>
    <xf numFmtId="177" fontId="59" fillId="22" borderId="52" xfId="0" applyNumberFormat="1" applyFont="1" applyFill="1" applyBorder="1" applyAlignment="1">
      <alignment horizontal="center" vertical="center"/>
    </xf>
    <xf numFmtId="187" fontId="27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center" vertical="center" textRotation="255"/>
    </xf>
    <xf numFmtId="2" fontId="40" fillId="0" borderId="11" xfId="0" applyNumberFormat="1" applyFont="1" applyBorder="1" applyAlignment="1">
      <alignment horizontal="center" vertical="center"/>
    </xf>
    <xf numFmtId="0" fontId="76" fillId="32" borderId="115" xfId="0" applyFont="1" applyFill="1" applyBorder="1" applyAlignment="1">
      <alignment horizontal="center" vertical="center"/>
    </xf>
    <xf numFmtId="0" fontId="76" fillId="32" borderId="116" xfId="0" applyFont="1" applyFill="1" applyBorder="1" applyAlignment="1">
      <alignment horizontal="center" vertical="center"/>
    </xf>
    <xf numFmtId="176" fontId="76" fillId="32" borderId="116" xfId="0" applyNumberFormat="1" applyFont="1" applyFill="1" applyBorder="1" applyAlignment="1">
      <alignment horizontal="center" vertical="center"/>
    </xf>
    <xf numFmtId="0" fontId="76" fillId="32" borderId="117" xfId="0" applyFont="1" applyFill="1" applyBorder="1" applyAlignment="1">
      <alignment horizontal="center" vertical="center"/>
    </xf>
    <xf numFmtId="0" fontId="78" fillId="32" borderId="118" xfId="0" applyFont="1" applyFill="1" applyBorder="1" applyAlignment="1">
      <alignment horizontal="center" vertical="center"/>
    </xf>
    <xf numFmtId="0" fontId="76" fillId="32" borderId="119" xfId="0" applyFont="1" applyFill="1" applyBorder="1" applyAlignment="1">
      <alignment horizontal="center" vertical="center"/>
    </xf>
    <xf numFmtId="0" fontId="76" fillId="32" borderId="120" xfId="0" applyFont="1" applyFill="1" applyBorder="1" applyAlignment="1">
      <alignment horizontal="center" vertical="center"/>
    </xf>
    <xf numFmtId="0" fontId="76" fillId="32" borderId="121" xfId="0" applyFont="1" applyFill="1" applyBorder="1" applyAlignment="1">
      <alignment horizontal="center" vertical="center"/>
    </xf>
    <xf numFmtId="176" fontId="76" fillId="32" borderId="121" xfId="0" applyNumberFormat="1" applyFont="1" applyFill="1" applyBorder="1" applyAlignment="1">
      <alignment horizontal="center" vertical="center"/>
    </xf>
    <xf numFmtId="0" fontId="76" fillId="32" borderId="122" xfId="0" applyFont="1" applyFill="1" applyBorder="1" applyAlignment="1">
      <alignment horizontal="center" vertical="center"/>
    </xf>
    <xf numFmtId="0" fontId="99" fillId="0" borderId="0" xfId="0" applyFont="1"/>
    <xf numFmtId="0" fontId="99" fillId="0" borderId="0" xfId="0" applyFont="1" applyAlignment="1">
      <alignment horizontal="center" vertical="center"/>
    </xf>
    <xf numFmtId="10" fontId="100" fillId="34" borderId="123" xfId="460" applyNumberFormat="1" applyFont="1" applyFill="1" applyBorder="1" applyAlignment="1">
      <alignment horizontal="center" vertical="center"/>
    </xf>
    <xf numFmtId="0" fontId="107" fillId="34" borderId="123" xfId="0" applyFont="1" applyFill="1" applyBorder="1" applyAlignment="1">
      <alignment horizontal="center" vertical="center" wrapText="1"/>
    </xf>
    <xf numFmtId="0" fontId="98" fillId="22" borderId="123" xfId="0" applyFont="1" applyFill="1" applyBorder="1" applyAlignment="1">
      <alignment horizontal="center" vertical="center" wrapText="1"/>
    </xf>
    <xf numFmtId="199" fontId="46" fillId="25" borderId="88" xfId="0" applyNumberFormat="1" applyFont="1" applyFill="1" applyBorder="1" applyAlignment="1">
      <alignment vertical="center" shrinkToFit="1"/>
    </xf>
    <xf numFmtId="177" fontId="40" fillId="0" borderId="11" xfId="0" applyNumberFormat="1" applyFont="1" applyBorder="1" applyAlignment="1">
      <alignment vertical="center"/>
    </xf>
    <xf numFmtId="177" fontId="40" fillId="0" borderId="17" xfId="0" applyNumberFormat="1" applyFont="1" applyBorder="1" applyAlignment="1">
      <alignment vertical="center"/>
    </xf>
    <xf numFmtId="177" fontId="40" fillId="10" borderId="37" xfId="458" applyNumberFormat="1" applyFont="1" applyFill="1" applyBorder="1" applyAlignment="1">
      <alignment vertical="center"/>
    </xf>
    <xf numFmtId="177" fontId="40" fillId="0" borderId="41" xfId="0" applyNumberFormat="1" applyFont="1" applyBorder="1" applyAlignment="1">
      <alignment vertical="center"/>
    </xf>
    <xf numFmtId="177" fontId="105" fillId="22" borderId="0" xfId="0" applyNumberFormat="1" applyFont="1" applyFill="1" applyAlignment="1">
      <alignment vertical="center"/>
    </xf>
    <xf numFmtId="177" fontId="40" fillId="8" borderId="37" xfId="0" applyNumberFormat="1" applyFont="1" applyFill="1" applyBorder="1" applyAlignment="1">
      <alignment vertical="center"/>
    </xf>
    <xf numFmtId="200" fontId="40" fillId="0" borderId="11" xfId="0" applyNumberFormat="1" applyFont="1" applyBorder="1" applyAlignment="1">
      <alignment vertical="center"/>
    </xf>
    <xf numFmtId="200" fontId="40" fillId="0" borderId="17" xfId="0" applyNumberFormat="1" applyFont="1" applyBorder="1" applyAlignment="1">
      <alignment vertical="center"/>
    </xf>
    <xf numFmtId="200" fontId="40" fillId="8" borderId="37" xfId="458" applyNumberFormat="1" applyFont="1" applyFill="1" applyBorder="1" applyAlignment="1">
      <alignment vertical="center"/>
    </xf>
    <xf numFmtId="199" fontId="75" fillId="0" borderId="70" xfId="0" applyNumberFormat="1" applyFont="1" applyBorder="1" applyAlignment="1" applyProtection="1">
      <alignment horizontal="center" vertical="center"/>
      <protection locked="0"/>
    </xf>
    <xf numFmtId="2" fontId="40" fillId="0" borderId="2" xfId="0" applyNumberFormat="1" applyFont="1" applyBorder="1" applyAlignment="1" applyProtection="1">
      <alignment horizontal="center" vertical="center"/>
      <protection locked="0"/>
    </xf>
    <xf numFmtId="10" fontId="52" fillId="0" borderId="2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left" vertical="center"/>
    </xf>
    <xf numFmtId="194" fontId="26" fillId="0" borderId="8" xfId="0" applyNumberFormat="1" applyFont="1" applyBorder="1" applyAlignment="1" applyProtection="1">
      <alignment vertical="center"/>
      <protection locked="0"/>
    </xf>
    <xf numFmtId="194" fontId="26" fillId="0" borderId="7" xfId="0" applyNumberFormat="1" applyFont="1" applyBorder="1" applyAlignment="1" applyProtection="1">
      <alignment vertical="center"/>
      <protection locked="0"/>
    </xf>
    <xf numFmtId="0" fontId="26" fillId="0" borderId="4" xfId="0" applyFont="1" applyBorder="1" applyAlignment="1" applyProtection="1">
      <alignment vertical="center"/>
      <protection locked="0"/>
    </xf>
    <xf numFmtId="0" fontId="26" fillId="0" borderId="15" xfId="0" applyFont="1" applyBorder="1" applyAlignment="1">
      <alignment horizontal="center" vertical="center"/>
    </xf>
    <xf numFmtId="0" fontId="26" fillId="0" borderId="9" xfId="0" applyFont="1" applyBorder="1" applyAlignment="1" applyProtection="1">
      <alignment vertical="center"/>
      <protection locked="0"/>
    </xf>
    <xf numFmtId="0" fontId="26" fillId="0" borderId="140" xfId="0" applyFont="1" applyBorder="1" applyAlignment="1" applyProtection="1">
      <alignment vertical="center"/>
      <protection locked="0"/>
    </xf>
    <xf numFmtId="0" fontId="26" fillId="0" borderId="36" xfId="0" applyFont="1" applyBorder="1" applyAlignment="1" applyProtection="1">
      <alignment vertical="center"/>
      <protection locked="0"/>
    </xf>
    <xf numFmtId="2" fontId="40" fillId="0" borderId="56" xfId="0" applyNumberFormat="1" applyFont="1" applyBorder="1" applyAlignment="1" applyProtection="1">
      <alignment horizontal="center" vertical="center"/>
      <protection locked="0"/>
    </xf>
    <xf numFmtId="1" fontId="19" fillId="4" borderId="17" xfId="0" applyNumberFormat="1" applyFont="1" applyFill="1" applyBorder="1" applyAlignment="1">
      <alignment vertical="center" shrinkToFit="1"/>
    </xf>
    <xf numFmtId="1" fontId="19" fillId="4" borderId="20" xfId="0" applyNumberFormat="1" applyFont="1" applyFill="1" applyBorder="1" applyAlignment="1">
      <alignment vertical="center" shrinkToFit="1"/>
    </xf>
    <xf numFmtId="0" fontId="19" fillId="4" borderId="20" xfId="0" applyFont="1" applyFill="1" applyBorder="1" applyAlignment="1">
      <alignment vertical="center" shrinkToFit="1"/>
    </xf>
    <xf numFmtId="177" fontId="19" fillId="0" borderId="27" xfId="0" applyNumberFormat="1" applyFont="1" applyBorder="1" applyAlignment="1" applyProtection="1">
      <alignment vertical="center"/>
      <protection locked="0"/>
    </xf>
    <xf numFmtId="0" fontId="73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center"/>
      <protection locked="0"/>
    </xf>
    <xf numFmtId="0" fontId="26" fillId="0" borderId="0" xfId="0" applyFont="1" applyAlignment="1" applyProtection="1">
      <alignment vertical="center"/>
      <protection locked="0"/>
    </xf>
    <xf numFmtId="0" fontId="104" fillId="13" borderId="79" xfId="0" applyFont="1" applyFill="1" applyBorder="1" applyAlignment="1" applyProtection="1">
      <alignment horizontal="center" vertical="center"/>
      <protection locked="0"/>
    </xf>
    <xf numFmtId="0" fontId="104" fillId="13" borderId="80" xfId="0" applyFont="1" applyFill="1" applyBorder="1" applyAlignment="1" applyProtection="1">
      <alignment horizontal="center" vertical="center"/>
      <protection locked="0"/>
    </xf>
    <xf numFmtId="0" fontId="104" fillId="13" borderId="82" xfId="0" applyFont="1" applyFill="1" applyBorder="1" applyAlignment="1" applyProtection="1">
      <alignment horizontal="center" vertical="center"/>
      <protection locked="0"/>
    </xf>
    <xf numFmtId="0" fontId="27" fillId="0" borderId="26" xfId="0" applyFont="1" applyBorder="1" applyAlignment="1">
      <alignment horizontal="center" vertical="center"/>
    </xf>
    <xf numFmtId="0" fontId="27" fillId="0" borderId="43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110" fillId="0" borderId="11" xfId="0" applyFont="1" applyBorder="1" applyAlignment="1">
      <alignment horizontal="center" vertical="center"/>
    </xf>
    <xf numFmtId="0" fontId="27" fillId="35" borderId="11" xfId="0" applyFont="1" applyFill="1" applyBorder="1" applyAlignment="1">
      <alignment horizontal="center" vertical="center"/>
    </xf>
    <xf numFmtId="0" fontId="27" fillId="22" borderId="0" xfId="0" applyFont="1" applyFill="1" applyAlignment="1">
      <alignment horizontal="left" vertical="center"/>
    </xf>
    <xf numFmtId="0" fontId="27" fillId="19" borderId="0" xfId="0" applyFont="1" applyFill="1" applyAlignment="1">
      <alignment horizontal="left" vertical="center"/>
    </xf>
    <xf numFmtId="0" fontId="0" fillId="0" borderId="11" xfId="0" applyBorder="1"/>
    <xf numFmtId="2" fontId="0" fillId="0" borderId="11" xfId="0" applyNumberFormat="1" applyBorder="1"/>
    <xf numFmtId="178" fontId="0" fillId="0" borderId="11" xfId="0" applyNumberFormat="1" applyBorder="1"/>
    <xf numFmtId="177" fontId="104" fillId="13" borderId="80" xfId="0" applyNumberFormat="1" applyFont="1" applyFill="1" applyBorder="1" applyAlignment="1">
      <alignment horizontal="center" vertical="center" shrinkToFit="1"/>
    </xf>
    <xf numFmtId="177" fontId="28" fillId="3" borderId="78" xfId="0" applyNumberFormat="1" applyFont="1" applyFill="1" applyBorder="1" applyAlignment="1">
      <alignment horizontal="center" vertical="center" shrinkToFit="1"/>
    </xf>
    <xf numFmtId="177" fontId="28" fillId="3" borderId="29" xfId="0" applyNumberFormat="1" applyFont="1" applyFill="1" applyBorder="1" applyAlignment="1">
      <alignment horizontal="center" vertical="center" shrinkToFit="1"/>
    </xf>
    <xf numFmtId="177" fontId="28" fillId="3" borderId="30" xfId="0" applyNumberFormat="1" applyFont="1" applyFill="1" applyBorder="1" applyAlignment="1">
      <alignment horizontal="center" vertical="center" shrinkToFit="1"/>
    </xf>
    <xf numFmtId="177" fontId="28" fillId="3" borderId="28" xfId="0" applyNumberFormat="1" applyFont="1" applyFill="1" applyBorder="1" applyAlignment="1">
      <alignment horizontal="center" vertical="center" shrinkToFit="1"/>
    </xf>
    <xf numFmtId="177" fontId="28" fillId="0" borderId="0" xfId="0" applyNumberFormat="1" applyFont="1" applyAlignment="1">
      <alignment horizontal="center" vertical="center" shrinkToFit="1"/>
    </xf>
    <xf numFmtId="177" fontId="26" fillId="0" borderId="0" xfId="0" applyNumberFormat="1" applyFont="1" applyAlignment="1">
      <alignment horizontal="center" vertical="center" shrinkToFit="1"/>
    </xf>
    <xf numFmtId="177" fontId="34" fillId="13" borderId="80" xfId="0" applyNumberFormat="1" applyFont="1" applyFill="1" applyBorder="1" applyAlignment="1">
      <alignment vertical="center" textRotation="255" shrinkToFit="1"/>
    </xf>
    <xf numFmtId="177" fontId="104" fillId="13" borderId="80" xfId="0" applyNumberFormat="1" applyFont="1" applyFill="1" applyBorder="1" applyAlignment="1" applyProtection="1">
      <alignment horizontal="center" vertical="center" shrinkToFit="1"/>
      <protection locked="0"/>
    </xf>
    <xf numFmtId="177" fontId="22" fillId="3" borderId="84" xfId="0" applyNumberFormat="1" applyFont="1" applyFill="1" applyBorder="1" applyAlignment="1">
      <alignment horizontal="center" vertical="center" shrinkToFit="1"/>
    </xf>
    <xf numFmtId="177" fontId="22" fillId="3" borderId="32" xfId="0" applyNumberFormat="1" applyFont="1" applyFill="1" applyBorder="1" applyAlignment="1">
      <alignment horizontal="center" vertical="center" shrinkToFit="1"/>
    </xf>
    <xf numFmtId="177" fontId="22" fillId="3" borderId="33" xfId="0" applyNumberFormat="1" applyFont="1" applyFill="1" applyBorder="1" applyAlignment="1">
      <alignment horizontal="center" vertical="center" shrinkToFit="1"/>
    </xf>
    <xf numFmtId="177" fontId="22" fillId="3" borderId="31" xfId="0" applyNumberFormat="1" applyFont="1" applyFill="1" applyBorder="1" applyAlignment="1">
      <alignment horizontal="center" vertical="center" shrinkToFit="1"/>
    </xf>
    <xf numFmtId="177" fontId="28" fillId="3" borderId="31" xfId="0" applyNumberFormat="1" applyFont="1" applyFill="1" applyBorder="1" applyAlignment="1">
      <alignment horizontal="center" vertical="center" shrinkToFit="1"/>
    </xf>
    <xf numFmtId="177" fontId="28" fillId="3" borderId="32" xfId="0" applyNumberFormat="1" applyFont="1" applyFill="1" applyBorder="1" applyAlignment="1">
      <alignment horizontal="center" vertical="center" shrinkToFit="1"/>
    </xf>
    <xf numFmtId="177" fontId="28" fillId="3" borderId="33" xfId="0" applyNumberFormat="1" applyFont="1" applyFill="1" applyBorder="1" applyAlignment="1">
      <alignment horizontal="center" vertical="center" shrinkToFit="1"/>
    </xf>
    <xf numFmtId="187" fontId="94" fillId="0" borderId="11" xfId="0" applyNumberFormat="1" applyFont="1" applyBorder="1" applyAlignment="1">
      <alignment horizontal="center" vertical="center" shrinkToFit="1"/>
    </xf>
    <xf numFmtId="187" fontId="94" fillId="0" borderId="149" xfId="0" applyNumberFormat="1" applyFont="1" applyBorder="1" applyAlignment="1">
      <alignment horizontal="center" vertical="center" shrinkToFit="1"/>
    </xf>
    <xf numFmtId="38" fontId="46" fillId="0" borderId="88" xfId="0" applyNumberFormat="1" applyFont="1" applyBorder="1" applyAlignment="1">
      <alignment vertical="center" shrinkToFit="1"/>
    </xf>
    <xf numFmtId="0" fontId="91" fillId="26" borderId="96" xfId="0" applyFont="1" applyFill="1" applyBorder="1" applyAlignment="1">
      <alignment horizontal="center" vertical="center"/>
    </xf>
    <xf numFmtId="183" fontId="92" fillId="26" borderId="98" xfId="0" applyNumberFormat="1" applyFont="1" applyFill="1" applyBorder="1" applyAlignment="1">
      <alignment horizontal="center" vertical="center"/>
    </xf>
    <xf numFmtId="0" fontId="40" fillId="0" borderId="41" xfId="0" applyFont="1" applyBorder="1" applyAlignment="1">
      <alignment horizontal="right" vertical="center"/>
    </xf>
    <xf numFmtId="0" fontId="51" fillId="0" borderId="41" xfId="0" applyFont="1" applyBorder="1" applyAlignment="1" applyProtection="1">
      <alignment horizontal="center" vertical="center" wrapText="1"/>
      <protection locked="0"/>
    </xf>
    <xf numFmtId="187" fontId="40" fillId="0" borderId="53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177" fontId="19" fillId="0" borderId="150" xfId="0" applyNumberFormat="1" applyFont="1" applyBorder="1" applyAlignment="1">
      <alignment vertical="center"/>
    </xf>
    <xf numFmtId="194" fontId="26" fillId="0" borderId="150" xfId="0" applyNumberFormat="1" applyFont="1" applyBorder="1" applyAlignment="1" applyProtection="1">
      <alignment vertical="center"/>
      <protection locked="0"/>
    </xf>
    <xf numFmtId="0" fontId="26" fillId="0" borderId="150" xfId="0" applyFont="1" applyBorder="1" applyAlignment="1" applyProtection="1">
      <alignment vertical="center"/>
      <protection locked="0"/>
    </xf>
    <xf numFmtId="177" fontId="25" fillId="0" borderId="150" xfId="0" applyNumberFormat="1" applyFont="1" applyBorder="1" applyAlignment="1">
      <alignment vertical="center" shrinkToFit="1"/>
    </xf>
    <xf numFmtId="0" fontId="16" fillId="0" borderId="150" xfId="0" applyFont="1" applyBorder="1" applyAlignment="1">
      <alignment horizontal="center" vertical="center"/>
    </xf>
    <xf numFmtId="0" fontId="26" fillId="0" borderId="150" xfId="0" applyFont="1" applyBorder="1" applyAlignment="1" applyProtection="1">
      <alignment horizontal="center" vertical="center"/>
      <protection locked="0"/>
    </xf>
    <xf numFmtId="177" fontId="28" fillId="0" borderId="150" xfId="0" applyNumberFormat="1" applyFont="1" applyBorder="1" applyAlignment="1">
      <alignment horizontal="center" vertical="center" shrinkToFit="1"/>
    </xf>
    <xf numFmtId="181" fontId="32" fillId="0" borderId="150" xfId="0" applyNumberFormat="1" applyFont="1" applyBorder="1" applyAlignment="1" applyProtection="1">
      <alignment horizontal="center" vertical="center" shrinkToFit="1"/>
      <protection locked="0"/>
    </xf>
    <xf numFmtId="0" fontId="32" fillId="0" borderId="151" xfId="0" applyFont="1" applyBorder="1" applyAlignment="1" applyProtection="1">
      <alignment horizontal="center" vertical="center" shrinkToFit="1"/>
      <protection locked="0"/>
    </xf>
    <xf numFmtId="0" fontId="30" fillId="0" borderId="150" xfId="0" applyFont="1" applyBorder="1" applyAlignment="1">
      <alignment horizontal="center" vertical="center"/>
    </xf>
    <xf numFmtId="0" fontId="33" fillId="0" borderId="152" xfId="0" applyFont="1" applyBorder="1" applyAlignment="1">
      <alignment horizontal="center" vertical="center" shrinkToFit="1"/>
    </xf>
    <xf numFmtId="0" fontId="113" fillId="0" borderId="0" xfId="0" applyFont="1" applyAlignment="1">
      <alignment horizontal="center" vertical="center" shrinkToFit="1"/>
    </xf>
    <xf numFmtId="202" fontId="0" fillId="0" borderId="11" xfId="0" applyNumberFormat="1" applyBorder="1"/>
    <xf numFmtId="0" fontId="116" fillId="22" borderId="0" xfId="0" applyFont="1" applyFill="1" applyAlignment="1">
      <alignment horizontal="center" vertical="center"/>
    </xf>
    <xf numFmtId="0" fontId="117" fillId="0" borderId="0" xfId="0" applyFont="1" applyAlignment="1">
      <alignment vertical="center"/>
    </xf>
    <xf numFmtId="0" fontId="118" fillId="0" borderId="0" xfId="0" applyFont="1" applyAlignment="1">
      <alignment vertical="center"/>
    </xf>
    <xf numFmtId="0" fontId="119" fillId="0" borderId="0" xfId="0" applyFont="1" applyAlignment="1">
      <alignment vertical="center"/>
    </xf>
    <xf numFmtId="0" fontId="99" fillId="17" borderId="0" xfId="0" applyFont="1" applyFill="1" applyAlignment="1">
      <alignment vertical="center"/>
    </xf>
    <xf numFmtId="0" fontId="114" fillId="0" borderId="0" xfId="0" applyFont="1" applyAlignment="1">
      <alignment horizontal="center" vertical="center" shrinkToFit="1"/>
    </xf>
    <xf numFmtId="0" fontId="76" fillId="0" borderId="57" xfId="0" applyFont="1" applyBorder="1" applyAlignment="1">
      <alignment vertical="center"/>
    </xf>
    <xf numFmtId="177" fontId="76" fillId="0" borderId="0" xfId="0" applyNumberFormat="1" applyFont="1" applyAlignment="1">
      <alignment horizontal="center" vertical="center"/>
    </xf>
    <xf numFmtId="177" fontId="76" fillId="3" borderId="73" xfId="0" applyNumberFormat="1" applyFont="1" applyFill="1" applyBorder="1" applyAlignment="1">
      <alignment horizontal="center" vertical="center"/>
    </xf>
    <xf numFmtId="177" fontId="76" fillId="0" borderId="74" xfId="0" applyNumberFormat="1" applyFont="1" applyBorder="1" applyAlignment="1">
      <alignment horizontal="center" vertical="center"/>
    </xf>
    <xf numFmtId="178" fontId="76" fillId="18" borderId="59" xfId="0" applyNumberFormat="1" applyFont="1" applyFill="1" applyBorder="1" applyAlignment="1">
      <alignment horizontal="center" vertical="center"/>
    </xf>
    <xf numFmtId="0" fontId="76" fillId="18" borderId="73" xfId="0" applyFont="1" applyFill="1" applyBorder="1" applyAlignment="1">
      <alignment horizontal="center" vertical="center"/>
    </xf>
    <xf numFmtId="183" fontId="64" fillId="0" borderId="0" xfId="0" applyNumberFormat="1" applyFont="1"/>
    <xf numFmtId="0" fontId="37" fillId="7" borderId="129" xfId="0" applyFont="1" applyFill="1" applyBorder="1" applyAlignment="1">
      <alignment horizontal="center" vertical="center"/>
    </xf>
    <xf numFmtId="0" fontId="19" fillId="0" borderId="142" xfId="0" applyFont="1" applyBorder="1" applyAlignment="1">
      <alignment horizontal="center" vertical="center"/>
    </xf>
    <xf numFmtId="0" fontId="136" fillId="0" borderId="0" xfId="0" applyFont="1" applyAlignment="1">
      <alignment vertical="center"/>
    </xf>
    <xf numFmtId="187" fontId="136" fillId="0" borderId="0" xfId="0" applyNumberFormat="1" applyFont="1" applyAlignment="1">
      <alignment horizontal="center" vertical="center"/>
    </xf>
    <xf numFmtId="201" fontId="136" fillId="23" borderId="0" xfId="458" applyNumberFormat="1" applyFont="1" applyFill="1" applyAlignment="1">
      <alignment vertical="center"/>
    </xf>
    <xf numFmtId="0" fontId="136" fillId="0" borderId="0" xfId="0" applyFont="1" applyAlignment="1">
      <alignment horizontal="center" vertical="center"/>
    </xf>
    <xf numFmtId="188" fontId="136" fillId="0" borderId="0" xfId="0" applyNumberFormat="1" applyFont="1" applyAlignment="1">
      <alignment horizontal="center" vertical="center"/>
    </xf>
    <xf numFmtId="178" fontId="136" fillId="0" borderId="0" xfId="0" applyNumberFormat="1" applyFont="1" applyAlignment="1">
      <alignment horizontal="center" vertical="center"/>
    </xf>
    <xf numFmtId="187" fontId="136" fillId="0" borderId="114" xfId="0" applyNumberFormat="1" applyFont="1" applyBorder="1" applyAlignment="1">
      <alignment horizontal="center" vertical="center"/>
    </xf>
    <xf numFmtId="187" fontId="136" fillId="0" borderId="51" xfId="0" applyNumberFormat="1" applyFont="1" applyBorder="1" applyAlignment="1">
      <alignment horizontal="center" vertical="center"/>
    </xf>
    <xf numFmtId="0" fontId="137" fillId="70" borderId="0" xfId="0" applyFont="1" applyFill="1" applyAlignment="1">
      <alignment vertical="center" shrinkToFit="1"/>
    </xf>
    <xf numFmtId="176" fontId="0" fillId="0" borderId="11" xfId="0" applyNumberFormat="1" applyBorder="1"/>
    <xf numFmtId="187" fontId="94" fillId="0" borderId="46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/>
    </xf>
    <xf numFmtId="0" fontId="136" fillId="18" borderId="0" xfId="0" applyFont="1" applyFill="1" applyAlignment="1">
      <alignment horizontal="center" vertical="center"/>
    </xf>
    <xf numFmtId="176" fontId="136" fillId="18" borderId="0" xfId="0" applyNumberFormat="1" applyFont="1" applyFill="1" applyAlignment="1">
      <alignment horizontal="center" vertical="center"/>
    </xf>
    <xf numFmtId="187" fontId="40" fillId="0" borderId="41" xfId="0" applyNumberFormat="1" applyFont="1" applyBorder="1" applyAlignment="1">
      <alignment horizontal="center" vertical="center" shrinkToFit="1"/>
    </xf>
    <xf numFmtId="181" fontId="26" fillId="0" borderId="27" xfId="0" applyNumberFormat="1" applyFont="1" applyBorder="1" applyAlignment="1" applyProtection="1">
      <alignment vertical="center" shrinkToFit="1"/>
      <protection locked="0"/>
    </xf>
    <xf numFmtId="0" fontId="33" fillId="7" borderId="128" xfId="0" applyFont="1" applyFill="1" applyBorder="1" applyAlignment="1">
      <alignment horizontal="center" vertical="center" shrinkToFit="1"/>
    </xf>
    <xf numFmtId="0" fontId="33" fillId="7" borderId="129" xfId="0" applyFont="1" applyFill="1" applyBorder="1" applyAlignment="1">
      <alignment horizontal="center" vertical="center" shrinkToFit="1"/>
    </xf>
    <xf numFmtId="0" fontId="33" fillId="7" borderId="130" xfId="0" applyFont="1" applyFill="1" applyBorder="1" applyAlignment="1">
      <alignment horizontal="center" vertical="center" shrinkToFit="1"/>
    </xf>
    <xf numFmtId="202" fontId="0" fillId="0" borderId="11" xfId="460" applyNumberFormat="1" applyFont="1" applyBorder="1"/>
    <xf numFmtId="0" fontId="95" fillId="0" borderId="26" xfId="0" applyFont="1" applyBorder="1" applyAlignment="1">
      <alignment horizontal="center" vertical="center" shrinkToFit="1"/>
    </xf>
    <xf numFmtId="182" fontId="94" fillId="0" borderId="102" xfId="0" applyNumberFormat="1" applyFont="1" applyBorder="1" applyAlignment="1">
      <alignment horizontal="center" vertical="center" shrinkToFit="1"/>
    </xf>
    <xf numFmtId="187" fontId="94" fillId="0" borderId="66" xfId="0" applyNumberFormat="1" applyFont="1" applyBorder="1" applyAlignment="1">
      <alignment horizontal="center" vertical="center" shrinkToFit="1"/>
    </xf>
    <xf numFmtId="187" fontId="94" fillId="0" borderId="170" xfId="0" applyNumberFormat="1" applyFont="1" applyBorder="1" applyAlignment="1">
      <alignment horizontal="center" vertical="center" shrinkToFit="1"/>
    </xf>
    <xf numFmtId="0" fontId="118" fillId="0" borderId="0" xfId="0" applyFont="1" applyAlignment="1">
      <alignment horizontal="left" vertical="center"/>
    </xf>
    <xf numFmtId="0" fontId="54" fillId="0" borderId="44" xfId="0" applyFont="1" applyBorder="1" applyAlignment="1">
      <alignment horizontal="left" vertical="center"/>
    </xf>
    <xf numFmtId="0" fontId="138" fillId="70" borderId="0" xfId="0" applyFont="1" applyFill="1"/>
    <xf numFmtId="179" fontId="136" fillId="0" borderId="0" xfId="460" applyNumberFormat="1" applyFont="1" applyAlignment="1">
      <alignment horizontal="center" vertical="center"/>
    </xf>
    <xf numFmtId="188" fontId="140" fillId="23" borderId="0" xfId="0" applyNumberFormat="1" applyFont="1" applyFill="1" applyAlignment="1">
      <alignment horizontal="center" vertical="center"/>
    </xf>
    <xf numFmtId="0" fontId="27" fillId="0" borderId="66" xfId="0" applyFont="1" applyBorder="1" applyAlignment="1">
      <alignment horizontal="center" vertical="center"/>
    </xf>
    <xf numFmtId="178" fontId="0" fillId="0" borderId="67" xfId="0" applyNumberFormat="1" applyBorder="1"/>
    <xf numFmtId="0" fontId="27" fillId="0" borderId="49" xfId="0" applyFont="1" applyBorder="1" applyAlignment="1">
      <alignment horizontal="center" vertical="center"/>
    </xf>
    <xf numFmtId="178" fontId="0" fillId="0" borderId="50" xfId="0" applyNumberFormat="1" applyBorder="1"/>
    <xf numFmtId="0" fontId="27" fillId="0" borderId="154" xfId="0" applyFont="1" applyBorder="1" applyAlignment="1">
      <alignment horizontal="center" vertical="center"/>
    </xf>
    <xf numFmtId="178" fontId="0" fillId="0" borderId="153" xfId="0" applyNumberFormat="1" applyBorder="1"/>
    <xf numFmtId="2" fontId="0" fillId="0" borderId="67" xfId="0" applyNumberFormat="1" applyBorder="1"/>
    <xf numFmtId="2" fontId="0" fillId="0" borderId="50" xfId="0" applyNumberFormat="1" applyBorder="1"/>
    <xf numFmtId="2" fontId="0" fillId="0" borderId="153" xfId="0" applyNumberFormat="1" applyBorder="1"/>
    <xf numFmtId="176" fontId="0" fillId="0" borderId="0" xfId="0" applyNumberFormat="1"/>
    <xf numFmtId="203" fontId="0" fillId="0" borderId="0" xfId="0" quotePrefix="1" applyNumberFormat="1"/>
    <xf numFmtId="203" fontId="0" fillId="36" borderId="0" xfId="0" quotePrefix="1" applyNumberFormat="1" applyFill="1"/>
    <xf numFmtId="176" fontId="0" fillId="36" borderId="0" xfId="0" applyNumberFormat="1" applyFill="1"/>
    <xf numFmtId="17" fontId="0" fillId="0" borderId="0" xfId="0" quotePrefix="1" applyNumberFormat="1"/>
    <xf numFmtId="49" fontId="98" fillId="34" borderId="123" xfId="460" applyNumberFormat="1" applyFont="1" applyFill="1" applyBorder="1" applyAlignment="1">
      <alignment horizontal="center" vertical="center"/>
    </xf>
    <xf numFmtId="0" fontId="143" fillId="0" borderId="0" xfId="0" applyFont="1" applyAlignment="1">
      <alignment horizontal="left" vertical="center"/>
    </xf>
    <xf numFmtId="0" fontId="78" fillId="0" borderId="0" xfId="0" applyFont="1" applyAlignment="1">
      <alignment horizontal="left" vertical="center"/>
    </xf>
    <xf numFmtId="0" fontId="46" fillId="30" borderId="65" xfId="0" applyFont="1" applyFill="1" applyBorder="1" applyAlignment="1">
      <alignment horizontal="left" vertical="center" shrinkToFit="1"/>
    </xf>
    <xf numFmtId="49" fontId="102" fillId="0" borderId="0" xfId="460" applyNumberFormat="1" applyFont="1" applyFill="1" applyBorder="1" applyAlignment="1">
      <alignment horizontal="center" vertical="center"/>
    </xf>
    <xf numFmtId="0" fontId="64" fillId="0" borderId="173" xfId="0" pivotButton="1" applyFont="1" applyBorder="1"/>
    <xf numFmtId="0" fontId="64" fillId="0" borderId="174" xfId="0" pivotButton="1" applyFont="1" applyBorder="1"/>
    <xf numFmtId="0" fontId="64" fillId="0" borderId="174" xfId="0" applyFont="1" applyBorder="1"/>
    <xf numFmtId="0" fontId="64" fillId="0" borderId="175" xfId="0" applyFont="1" applyBorder="1"/>
    <xf numFmtId="0" fontId="64" fillId="0" borderId="176" xfId="0" applyFont="1" applyBorder="1"/>
    <xf numFmtId="0" fontId="64" fillId="0" borderId="173" xfId="0" applyFont="1" applyBorder="1"/>
    <xf numFmtId="0" fontId="64" fillId="0" borderId="177" xfId="0" applyFont="1" applyBorder="1"/>
    <xf numFmtId="0" fontId="64" fillId="0" borderId="178" xfId="0" applyFont="1" applyBorder="1"/>
    <xf numFmtId="14" fontId="64" fillId="0" borderId="179" xfId="0" applyNumberFormat="1" applyFont="1" applyBorder="1"/>
    <xf numFmtId="0" fontId="64" fillId="0" borderId="181" xfId="0" applyFont="1" applyBorder="1"/>
    <xf numFmtId="0" fontId="64" fillId="0" borderId="173" xfId="0" pivotButton="1" applyFont="1" applyBorder="1" applyAlignment="1">
      <alignment horizontal="center" vertical="center"/>
    </xf>
    <xf numFmtId="0" fontId="64" fillId="0" borderId="174" xfId="0" pivotButton="1" applyFont="1" applyBorder="1" applyAlignment="1">
      <alignment horizontal="center" vertical="center"/>
    </xf>
    <xf numFmtId="0" fontId="64" fillId="0" borderId="174" xfId="0" applyFont="1" applyBorder="1" applyAlignment="1">
      <alignment horizontal="center" vertical="center"/>
    </xf>
    <xf numFmtId="0" fontId="64" fillId="0" borderId="175" xfId="0" applyFont="1" applyBorder="1" applyAlignment="1">
      <alignment horizontal="center" vertical="center"/>
    </xf>
    <xf numFmtId="0" fontId="64" fillId="0" borderId="176" xfId="0" applyFont="1" applyBorder="1" applyAlignment="1">
      <alignment horizontal="center" vertical="center"/>
    </xf>
    <xf numFmtId="0" fontId="64" fillId="0" borderId="173" xfId="0" applyFont="1" applyBorder="1" applyAlignment="1">
      <alignment horizontal="center" vertical="center"/>
    </xf>
    <xf numFmtId="0" fontId="64" fillId="23" borderId="173" xfId="0" applyFont="1" applyFill="1" applyBorder="1" applyAlignment="1">
      <alignment horizontal="center" vertical="center"/>
    </xf>
    <xf numFmtId="0" fontId="64" fillId="23" borderId="177" xfId="0" applyFont="1" applyFill="1" applyBorder="1" applyAlignment="1">
      <alignment horizontal="center" vertical="center"/>
    </xf>
    <xf numFmtId="0" fontId="64" fillId="23" borderId="176" xfId="0" applyFont="1" applyFill="1" applyBorder="1" applyAlignment="1">
      <alignment horizontal="center" vertical="center"/>
    </xf>
    <xf numFmtId="0" fontId="64" fillId="23" borderId="178" xfId="0" applyFont="1" applyFill="1" applyBorder="1" applyAlignment="1">
      <alignment horizontal="center" vertical="center"/>
    </xf>
    <xf numFmtId="14" fontId="64" fillId="0" borderId="173" xfId="0" applyNumberFormat="1" applyFont="1" applyBorder="1" applyAlignment="1">
      <alignment horizontal="center" vertical="center"/>
    </xf>
    <xf numFmtId="10" fontId="64" fillId="0" borderId="173" xfId="0" applyNumberFormat="1" applyFont="1" applyBorder="1" applyAlignment="1">
      <alignment horizontal="center" vertical="center"/>
    </xf>
    <xf numFmtId="10" fontId="64" fillId="23" borderId="173" xfId="0" applyNumberFormat="1" applyFont="1" applyFill="1" applyBorder="1" applyAlignment="1">
      <alignment horizontal="center" vertical="center"/>
    </xf>
    <xf numFmtId="10" fontId="64" fillId="23" borderId="177" xfId="0" applyNumberFormat="1" applyFont="1" applyFill="1" applyBorder="1" applyAlignment="1">
      <alignment horizontal="center" vertical="center"/>
    </xf>
    <xf numFmtId="0" fontId="64" fillId="0" borderId="181" xfId="0" applyFont="1" applyBorder="1" applyAlignment="1">
      <alignment horizontal="center" vertical="center"/>
    </xf>
    <xf numFmtId="10" fontId="64" fillId="0" borderId="181" xfId="0" applyNumberFormat="1" applyFont="1" applyBorder="1" applyAlignment="1">
      <alignment horizontal="center" vertical="center"/>
    </xf>
    <xf numFmtId="10" fontId="64" fillId="23" borderId="181" xfId="0" applyNumberFormat="1" applyFont="1" applyFill="1" applyBorder="1" applyAlignment="1">
      <alignment horizontal="center" vertical="center"/>
    </xf>
    <xf numFmtId="10" fontId="64" fillId="23" borderId="182" xfId="0" applyNumberFormat="1" applyFont="1" applyFill="1" applyBorder="1" applyAlignment="1">
      <alignment horizontal="center" vertical="center"/>
    </xf>
    <xf numFmtId="0" fontId="64" fillId="0" borderId="173" xfId="0" pivotButton="1" applyFont="1" applyBorder="1" applyAlignment="1">
      <alignment horizontal="center"/>
    </xf>
    <xf numFmtId="0" fontId="64" fillId="0" borderId="174" xfId="0" pivotButton="1" applyFont="1" applyBorder="1" applyAlignment="1">
      <alignment horizontal="center"/>
    </xf>
    <xf numFmtId="0" fontId="64" fillId="0" borderId="174" xfId="0" applyFont="1" applyBorder="1" applyAlignment="1">
      <alignment horizontal="center"/>
    </xf>
    <xf numFmtId="0" fontId="64" fillId="0" borderId="175" xfId="0" applyFont="1" applyBorder="1" applyAlignment="1">
      <alignment horizontal="center"/>
    </xf>
    <xf numFmtId="0" fontId="64" fillId="0" borderId="176" xfId="0" applyFont="1" applyBorder="1" applyAlignment="1">
      <alignment horizontal="center"/>
    </xf>
    <xf numFmtId="0" fontId="64" fillId="0" borderId="173" xfId="0" applyFont="1" applyBorder="1" applyAlignment="1">
      <alignment horizontal="center"/>
    </xf>
    <xf numFmtId="0" fontId="64" fillId="18" borderId="173" xfId="0" applyFont="1" applyFill="1" applyBorder="1" applyAlignment="1">
      <alignment horizontal="center"/>
    </xf>
    <xf numFmtId="0" fontId="64" fillId="0" borderId="177" xfId="0" applyFont="1" applyBorder="1" applyAlignment="1">
      <alignment horizontal="center"/>
    </xf>
    <xf numFmtId="0" fontId="64" fillId="0" borderId="183" xfId="0" applyFont="1" applyBorder="1" applyAlignment="1">
      <alignment horizontal="center"/>
    </xf>
    <xf numFmtId="0" fontId="64" fillId="18" borderId="176" xfId="0" applyFont="1" applyFill="1" applyBorder="1" applyAlignment="1">
      <alignment horizontal="center"/>
    </xf>
    <xf numFmtId="0" fontId="64" fillId="0" borderId="178" xfId="0" applyFont="1" applyBorder="1" applyAlignment="1">
      <alignment horizontal="center"/>
    </xf>
    <xf numFmtId="196" fontId="64" fillId="0" borderId="173" xfId="0" applyNumberFormat="1" applyFont="1" applyBorder="1" applyAlignment="1">
      <alignment horizontal="center"/>
    </xf>
    <xf numFmtId="187" fontId="64" fillId="0" borderId="173" xfId="0" applyNumberFormat="1" applyFont="1" applyBorder="1" applyAlignment="1">
      <alignment horizontal="center"/>
    </xf>
    <xf numFmtId="187" fontId="64" fillId="0" borderId="183" xfId="0" applyNumberFormat="1" applyFont="1" applyBorder="1" applyAlignment="1">
      <alignment horizontal="center"/>
    </xf>
    <xf numFmtId="187" fontId="64" fillId="18" borderId="173" xfId="0" applyNumberFormat="1" applyFont="1" applyFill="1" applyBorder="1" applyAlignment="1">
      <alignment horizontal="center"/>
    </xf>
    <xf numFmtId="187" fontId="64" fillId="0" borderId="177" xfId="0" applyNumberFormat="1" applyFont="1" applyBorder="1" applyAlignment="1">
      <alignment horizontal="center"/>
    </xf>
    <xf numFmtId="196" fontId="64" fillId="0" borderId="181" xfId="0" applyNumberFormat="1" applyFont="1" applyBorder="1" applyAlignment="1">
      <alignment horizontal="center"/>
    </xf>
    <xf numFmtId="187" fontId="64" fillId="0" borderId="181" xfId="0" applyNumberFormat="1" applyFont="1" applyBorder="1" applyAlignment="1">
      <alignment horizontal="center"/>
    </xf>
    <xf numFmtId="187" fontId="64" fillId="0" borderId="184" xfId="0" applyNumberFormat="1" applyFont="1" applyBorder="1" applyAlignment="1">
      <alignment horizontal="center"/>
    </xf>
    <xf numFmtId="187" fontId="64" fillId="18" borderId="181" xfId="0" applyNumberFormat="1" applyFont="1" applyFill="1" applyBorder="1" applyAlignment="1">
      <alignment horizontal="center"/>
    </xf>
    <xf numFmtId="187" fontId="64" fillId="0" borderId="182" xfId="0" applyNumberFormat="1" applyFont="1" applyBorder="1" applyAlignment="1">
      <alignment horizontal="center"/>
    </xf>
    <xf numFmtId="0" fontId="64" fillId="0" borderId="183" xfId="0" applyFont="1" applyBorder="1"/>
    <xf numFmtId="182" fontId="64" fillId="0" borderId="173" xfId="0" applyNumberFormat="1" applyFont="1" applyBorder="1"/>
    <xf numFmtId="183" fontId="64" fillId="0" borderId="183" xfId="0" applyNumberFormat="1" applyFont="1" applyBorder="1"/>
    <xf numFmtId="183" fontId="64" fillId="0" borderId="177" xfId="0" applyNumberFormat="1" applyFont="1" applyBorder="1"/>
    <xf numFmtId="182" fontId="64" fillId="0" borderId="179" xfId="0" applyNumberFormat="1" applyFont="1" applyBorder="1"/>
    <xf numFmtId="183" fontId="64" fillId="0" borderId="180" xfId="0" applyNumberFormat="1" applyFont="1" applyBorder="1"/>
    <xf numFmtId="182" fontId="64" fillId="0" borderId="181" xfId="0" applyNumberFormat="1" applyFont="1" applyBorder="1"/>
    <xf numFmtId="183" fontId="64" fillId="0" borderId="184" xfId="0" applyNumberFormat="1" applyFont="1" applyBorder="1"/>
    <xf numFmtId="183" fontId="64" fillId="0" borderId="182" xfId="0" applyNumberFormat="1" applyFont="1" applyBorder="1"/>
    <xf numFmtId="0" fontId="144" fillId="18" borderId="0" xfId="0" applyFont="1" applyFill="1" applyAlignment="1">
      <alignment horizontal="left" vertical="center"/>
    </xf>
    <xf numFmtId="0" fontId="145" fillId="18" borderId="0" xfId="0" applyFont="1" applyFill="1" applyAlignment="1">
      <alignment vertical="center"/>
    </xf>
    <xf numFmtId="179" fontId="144" fillId="18" borderId="0" xfId="460" applyNumberFormat="1" applyFont="1" applyFill="1" applyAlignment="1">
      <alignment horizontal="center" vertical="center"/>
    </xf>
    <xf numFmtId="0" fontId="146" fillId="17" borderId="0" xfId="0" applyFont="1" applyFill="1" applyAlignment="1">
      <alignment horizontal="center" vertical="center" shrinkToFit="1"/>
    </xf>
    <xf numFmtId="0" fontId="147" fillId="0" borderId="56" xfId="0" applyFont="1" applyBorder="1" applyAlignment="1">
      <alignment horizontal="center" vertical="center"/>
    </xf>
    <xf numFmtId="0" fontId="46" fillId="29" borderId="98" xfId="0" applyFont="1" applyFill="1" applyBorder="1" applyAlignment="1">
      <alignment horizontal="left" vertical="center" shrinkToFit="1"/>
    </xf>
    <xf numFmtId="0" fontId="40" fillId="0" borderId="46" xfId="0" applyFont="1" applyBorder="1" applyAlignment="1">
      <alignment horizontal="center" vertical="center" shrinkToFit="1"/>
    </xf>
    <xf numFmtId="0" fontId="40" fillId="0" borderId="2" xfId="0" applyFont="1" applyBorder="1" applyAlignment="1">
      <alignment horizontal="center" vertical="center" shrinkToFit="1"/>
    </xf>
    <xf numFmtId="0" fontId="46" fillId="0" borderId="41" xfId="0" applyFont="1" applyBorder="1" applyAlignment="1">
      <alignment horizontal="center" vertical="center" shrinkToFit="1"/>
    </xf>
    <xf numFmtId="0" fontId="19" fillId="0" borderId="8" xfId="0" applyFont="1" applyBorder="1" applyAlignment="1" applyProtection="1">
      <alignment horizontal="center" vertical="center"/>
      <protection locked="0"/>
    </xf>
    <xf numFmtId="194" fontId="19" fillId="0" borderId="8" xfId="0" applyNumberFormat="1" applyFont="1" applyBorder="1" applyAlignment="1" applyProtection="1">
      <alignment vertical="center"/>
      <protection locked="0"/>
    </xf>
    <xf numFmtId="194" fontId="19" fillId="0" borderId="7" xfId="0" applyNumberFormat="1" applyFont="1" applyBorder="1" applyAlignment="1" applyProtection="1">
      <alignment vertical="center"/>
      <protection locked="0"/>
    </xf>
    <xf numFmtId="0" fontId="19" fillId="0" borderId="4" xfId="0" applyFont="1" applyBorder="1" applyAlignment="1" applyProtection="1">
      <alignment vertical="center"/>
      <protection locked="0"/>
    </xf>
    <xf numFmtId="0" fontId="19" fillId="0" borderId="9" xfId="0" applyFont="1" applyBorder="1" applyAlignment="1" applyProtection="1">
      <alignment horizontal="center" vertical="center"/>
      <protection locked="0"/>
    </xf>
    <xf numFmtId="0" fontId="19" fillId="0" borderId="140" xfId="0" applyFont="1" applyBorder="1" applyAlignment="1" applyProtection="1">
      <alignment vertical="center"/>
      <protection locked="0"/>
    </xf>
    <xf numFmtId="0" fontId="19" fillId="0" borderId="19" xfId="0" applyFont="1" applyBorder="1" applyAlignment="1" applyProtection="1">
      <alignment vertical="center"/>
      <protection locked="0"/>
    </xf>
    <xf numFmtId="0" fontId="19" fillId="0" borderId="9" xfId="0" applyFont="1" applyBorder="1" applyAlignment="1" applyProtection="1">
      <alignment vertical="center"/>
      <protection locked="0"/>
    </xf>
    <xf numFmtId="0" fontId="36" fillId="0" borderId="14" xfId="0" applyFont="1" applyBorder="1" applyAlignment="1" applyProtection="1">
      <alignment vertical="center" shrinkToFit="1"/>
      <protection locked="0"/>
    </xf>
    <xf numFmtId="177" fontId="19" fillId="0" borderId="27" xfId="0" applyNumberFormat="1" applyFont="1" applyBorder="1" applyAlignment="1">
      <alignment vertical="center" shrinkToFit="1"/>
    </xf>
    <xf numFmtId="1" fontId="19" fillId="3" borderId="11" xfId="0" applyNumberFormat="1" applyFont="1" applyFill="1" applyBorder="1" applyAlignment="1">
      <alignment vertical="center" shrinkToFit="1"/>
    </xf>
    <xf numFmtId="0" fontId="19" fillId="0" borderId="12" xfId="0" applyFont="1" applyBorder="1" applyAlignment="1" applyProtection="1">
      <alignment vertical="center" shrinkToFit="1"/>
      <protection locked="0"/>
    </xf>
    <xf numFmtId="0" fontId="19" fillId="0" borderId="12" xfId="0" applyFont="1" applyBorder="1" applyAlignment="1">
      <alignment vertical="center" shrinkToFit="1"/>
    </xf>
    <xf numFmtId="177" fontId="19" fillId="0" borderId="27" xfId="0" applyNumberFormat="1" applyFont="1" applyBorder="1" applyAlignment="1" applyProtection="1">
      <alignment vertical="center" shrinkToFit="1"/>
      <protection locked="0"/>
    </xf>
    <xf numFmtId="178" fontId="36" fillId="0" borderId="0" xfId="0" applyNumberFormat="1" applyFont="1" applyAlignment="1">
      <alignment horizontal="center" vertical="center" shrinkToFit="1"/>
    </xf>
    <xf numFmtId="181" fontId="19" fillId="0" borderId="0" xfId="0" applyNumberFormat="1" applyFont="1" applyAlignment="1">
      <alignment vertical="center" shrinkToFit="1"/>
    </xf>
    <xf numFmtId="1" fontId="19" fillId="0" borderId="0" xfId="0" applyNumberFormat="1" applyFont="1" applyAlignment="1">
      <alignment vertical="center" shrinkToFit="1"/>
    </xf>
    <xf numFmtId="177" fontId="19" fillId="0" borderId="0" xfId="0" applyNumberFormat="1" applyFont="1" applyAlignment="1">
      <alignment vertical="center" shrinkToFit="1"/>
    </xf>
    <xf numFmtId="0" fontId="19" fillId="0" borderId="0" xfId="0" applyFont="1" applyAlignment="1">
      <alignment vertical="center" shrinkToFit="1"/>
    </xf>
    <xf numFmtId="0" fontId="19" fillId="0" borderId="26" xfId="0" applyFont="1" applyBorder="1" applyAlignment="1" applyProtection="1">
      <alignment vertical="center" shrinkToFit="1"/>
      <protection locked="0"/>
    </xf>
    <xf numFmtId="1" fontId="19" fillId="0" borderId="26" xfId="0" applyNumberFormat="1" applyFont="1" applyBorder="1" applyAlignment="1" applyProtection="1">
      <alignment vertical="center" shrinkToFit="1"/>
      <protection locked="0"/>
    </xf>
    <xf numFmtId="0" fontId="19" fillId="4" borderId="15" xfId="0" applyFont="1" applyFill="1" applyBorder="1" applyAlignment="1" applyProtection="1">
      <alignment vertical="center" shrinkToFit="1"/>
      <protection locked="0"/>
    </xf>
    <xf numFmtId="177" fontId="19" fillId="4" borderId="16" xfId="0" applyNumberFormat="1" applyFont="1" applyFill="1" applyBorder="1" applyAlignment="1">
      <alignment vertical="center" shrinkToFit="1"/>
    </xf>
    <xf numFmtId="187" fontId="94" fillId="23" borderId="0" xfId="0" applyNumberFormat="1" applyFont="1" applyFill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185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3" borderId="11" xfId="0" applyFill="1" applyBorder="1" applyAlignment="1">
      <alignment horizontal="center" vertical="center"/>
    </xf>
    <xf numFmtId="14" fontId="64" fillId="0" borderId="179" xfId="0" applyNumberFormat="1" applyFont="1" applyBorder="1" applyAlignment="1">
      <alignment horizontal="center" vertical="center"/>
    </xf>
    <xf numFmtId="10" fontId="64" fillId="0" borderId="179" xfId="0" applyNumberFormat="1" applyFont="1" applyBorder="1" applyAlignment="1">
      <alignment horizontal="center" vertical="center"/>
    </xf>
    <xf numFmtId="10" fontId="64" fillId="23" borderId="179" xfId="0" applyNumberFormat="1" applyFont="1" applyFill="1" applyBorder="1" applyAlignment="1">
      <alignment horizontal="center" vertical="center"/>
    </xf>
    <xf numFmtId="10" fontId="64" fillId="23" borderId="180" xfId="0" applyNumberFormat="1" applyFont="1" applyFill="1" applyBorder="1" applyAlignment="1">
      <alignment horizontal="center" vertical="center"/>
    </xf>
    <xf numFmtId="196" fontId="64" fillId="0" borderId="179" xfId="0" applyNumberFormat="1" applyFont="1" applyBorder="1" applyAlignment="1">
      <alignment horizontal="center"/>
    </xf>
    <xf numFmtId="187" fontId="64" fillId="0" borderId="179" xfId="0" applyNumberFormat="1" applyFont="1" applyBorder="1" applyAlignment="1">
      <alignment horizontal="center"/>
    </xf>
    <xf numFmtId="187" fontId="64" fillId="0" borderId="0" xfId="0" applyNumberFormat="1" applyFont="1" applyAlignment="1">
      <alignment horizontal="center"/>
    </xf>
    <xf numFmtId="187" fontId="64" fillId="18" borderId="179" xfId="0" applyNumberFormat="1" applyFont="1" applyFill="1" applyBorder="1" applyAlignment="1">
      <alignment horizontal="center"/>
    </xf>
    <xf numFmtId="187" fontId="64" fillId="0" borderId="180" xfId="0" applyNumberFormat="1" applyFont="1" applyBorder="1" applyAlignment="1">
      <alignment horizontal="center"/>
    </xf>
    <xf numFmtId="0" fontId="151" fillId="0" borderId="0" xfId="0" applyFont="1" applyAlignment="1">
      <alignment horizontal="center" vertical="center" textRotation="255"/>
    </xf>
    <xf numFmtId="0" fontId="152" fillId="0" borderId="0" xfId="0" applyFont="1" applyAlignment="1">
      <alignment horizontal="center" vertical="center"/>
    </xf>
    <xf numFmtId="0" fontId="148" fillId="0" borderId="0" xfId="0" applyFont="1" applyAlignment="1">
      <alignment vertical="center"/>
    </xf>
    <xf numFmtId="186" fontId="99" fillId="0" borderId="0" xfId="0" applyNumberFormat="1" applyFont="1" applyAlignment="1">
      <alignment horizontal="center" vertical="center"/>
    </xf>
    <xf numFmtId="1" fontId="99" fillId="0" borderId="0" xfId="0" applyNumberFormat="1" applyFont="1" applyAlignment="1">
      <alignment horizontal="center" vertical="center"/>
    </xf>
    <xf numFmtId="0" fontId="99" fillId="23" borderId="0" xfId="0" applyFont="1" applyFill="1" applyAlignment="1">
      <alignment horizontal="center" vertical="center"/>
    </xf>
    <xf numFmtId="0" fontId="153" fillId="23" borderId="0" xfId="0" applyFont="1" applyFill="1" applyAlignment="1">
      <alignment horizontal="center" vertical="center"/>
    </xf>
    <xf numFmtId="182" fontId="94" fillId="0" borderId="105" xfId="0" applyNumberFormat="1" applyFont="1" applyBorder="1" applyAlignment="1">
      <alignment horizontal="center" vertical="center" shrinkToFit="1"/>
    </xf>
    <xf numFmtId="187" fontId="94" fillId="0" borderId="106" xfId="0" applyNumberFormat="1" applyFont="1" applyBorder="1" applyAlignment="1">
      <alignment horizontal="center" vertical="center" shrinkToFit="1"/>
    </xf>
    <xf numFmtId="187" fontId="94" fillId="0" borderId="37" xfId="0" applyNumberFormat="1" applyFont="1" applyBorder="1" applyAlignment="1">
      <alignment horizontal="center" vertical="center" shrinkToFit="1"/>
    </xf>
    <xf numFmtId="0" fontId="52" fillId="2" borderId="8" xfId="0" applyFont="1" applyFill="1" applyBorder="1" applyAlignment="1">
      <alignment horizontal="center" vertical="center" shrinkToFit="1"/>
    </xf>
    <xf numFmtId="0" fontId="154" fillId="2" borderId="5" xfId="0" applyFont="1" applyFill="1" applyBorder="1" applyAlignment="1">
      <alignment horizontal="center" vertical="center" shrinkToFit="1"/>
    </xf>
    <xf numFmtId="0" fontId="154" fillId="2" borderId="6" xfId="0" applyFont="1" applyFill="1" applyBorder="1" applyAlignment="1">
      <alignment horizontal="center" vertical="center" shrinkToFit="1"/>
    </xf>
    <xf numFmtId="0" fontId="154" fillId="2" borderId="4" xfId="0" applyFont="1" applyFill="1" applyBorder="1" applyAlignment="1">
      <alignment horizontal="center" vertical="center" shrinkToFit="1"/>
    </xf>
    <xf numFmtId="0" fontId="154" fillId="2" borderId="6" xfId="0" applyFont="1" applyFill="1" applyBorder="1" applyAlignment="1">
      <alignment vertical="center" shrinkToFit="1"/>
    </xf>
    <xf numFmtId="0" fontId="154" fillId="2" borderId="4" xfId="0" applyFont="1" applyFill="1" applyBorder="1" applyAlignment="1">
      <alignment horizontal="left" vertical="center" shrinkToFit="1"/>
    </xf>
    <xf numFmtId="0" fontId="154" fillId="2" borderId="7" xfId="0" applyFont="1" applyFill="1" applyBorder="1" applyAlignment="1">
      <alignment horizontal="center" vertical="center" shrinkToFit="1"/>
    </xf>
    <xf numFmtId="0" fontId="58" fillId="0" borderId="0" xfId="0" applyFont="1" applyAlignment="1">
      <alignment vertical="center"/>
    </xf>
    <xf numFmtId="0" fontId="58" fillId="0" borderId="0" xfId="0" applyFont="1" applyAlignment="1">
      <alignment vertical="center" shrinkToFit="1"/>
    </xf>
    <xf numFmtId="0" fontId="40" fillId="0" borderId="0" xfId="0" applyFont="1" applyAlignment="1">
      <alignment vertical="center" shrinkToFit="1"/>
    </xf>
    <xf numFmtId="0" fontId="155" fillId="2" borderId="8" xfId="0" applyFont="1" applyFill="1" applyBorder="1" applyAlignment="1">
      <alignment horizontal="center" vertical="center" shrinkToFit="1"/>
    </xf>
    <xf numFmtId="0" fontId="155" fillId="2" borderId="5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horizontal="center" vertical="center" shrinkToFit="1"/>
    </xf>
    <xf numFmtId="0" fontId="155" fillId="2" borderId="4" xfId="0" applyFont="1" applyFill="1" applyBorder="1" applyAlignment="1">
      <alignment horizontal="center" vertical="center" shrinkToFit="1"/>
    </xf>
    <xf numFmtId="0" fontId="155" fillId="2" borderId="7" xfId="0" applyFont="1" applyFill="1" applyBorder="1" applyAlignment="1">
      <alignment horizontal="center" vertical="center" shrinkToFit="1"/>
    </xf>
    <xf numFmtId="0" fontId="156" fillId="0" borderId="0" xfId="0" applyFont="1" applyAlignment="1">
      <alignment horizontal="center" vertical="center" shrinkToFit="1"/>
    </xf>
    <xf numFmtId="0" fontId="157" fillId="0" borderId="0" xfId="0" applyFont="1" applyAlignment="1">
      <alignment horizontal="center" vertical="center"/>
    </xf>
    <xf numFmtId="0" fontId="157" fillId="0" borderId="0" xfId="0" applyFont="1" applyAlignment="1">
      <alignment horizontal="center" vertical="center" shrinkToFit="1"/>
    </xf>
    <xf numFmtId="0" fontId="158" fillId="2" borderId="5" xfId="0" applyFont="1" applyFill="1" applyBorder="1" applyAlignment="1">
      <alignment horizontal="center" vertical="center" shrinkToFit="1"/>
    </xf>
    <xf numFmtId="0" fontId="154" fillId="0" borderId="0" xfId="0" applyFont="1" applyAlignment="1">
      <alignment horizontal="center" vertical="center" shrinkToFit="1"/>
    </xf>
    <xf numFmtId="0" fontId="159" fillId="2" borderId="13" xfId="0" applyFont="1" applyFill="1" applyBorder="1" applyAlignment="1" applyProtection="1">
      <alignment horizontal="center" vertical="center" shrinkToFit="1"/>
      <protection locked="0"/>
    </xf>
    <xf numFmtId="0" fontId="160" fillId="2" borderId="1" xfId="0" applyFont="1" applyFill="1" applyBorder="1" applyAlignment="1">
      <alignment horizontal="center" vertical="center" shrinkToFit="1"/>
    </xf>
    <xf numFmtId="0" fontId="160" fillId="2" borderId="2" xfId="0" applyFont="1" applyFill="1" applyBorder="1" applyAlignment="1">
      <alignment horizontal="center" vertical="center" shrinkToFit="1"/>
    </xf>
    <xf numFmtId="0" fontId="160" fillId="2" borderId="3" xfId="0" applyFont="1" applyFill="1" applyBorder="1" applyAlignment="1">
      <alignment horizontal="center" vertical="center" shrinkToFit="1"/>
    </xf>
    <xf numFmtId="0" fontId="160" fillId="2" borderId="25" xfId="0" applyFont="1" applyFill="1" applyBorder="1" applyAlignment="1">
      <alignment horizontal="center" vertical="center" shrinkToFit="1"/>
    </xf>
    <xf numFmtId="0" fontId="59" fillId="0" borderId="0" xfId="0" applyFont="1" applyAlignment="1">
      <alignment horizontal="center" vertical="center" shrinkToFit="1"/>
    </xf>
    <xf numFmtId="0" fontId="161" fillId="0" borderId="0" xfId="0" applyFont="1" applyAlignment="1">
      <alignment horizontal="left" vertical="center" shrinkToFit="1"/>
    </xf>
    <xf numFmtId="0" fontId="161" fillId="0" borderId="0" xfId="0" applyFont="1" applyAlignment="1">
      <alignment horizontal="center" vertical="center" shrinkToFit="1"/>
    </xf>
    <xf numFmtId="187" fontId="94" fillId="22" borderId="46" xfId="0" applyNumberFormat="1" applyFont="1" applyFill="1" applyBorder="1" applyAlignment="1">
      <alignment horizontal="center" vertical="center" shrinkToFit="1"/>
    </xf>
    <xf numFmtId="0" fontId="162" fillId="0" borderId="0" xfId="0" applyFont="1"/>
    <xf numFmtId="0" fontId="162" fillId="0" borderId="0" xfId="0" applyFont="1" applyAlignment="1">
      <alignment horizontal="center" vertical="center"/>
    </xf>
    <xf numFmtId="187" fontId="163" fillId="36" borderId="0" xfId="101" applyNumberFormat="1" applyFont="1" applyFill="1" applyAlignment="1">
      <alignment horizontal="center" vertical="center"/>
    </xf>
    <xf numFmtId="186" fontId="163" fillId="36" borderId="0" xfId="101" applyNumberFormat="1" applyFont="1" applyFill="1" applyAlignment="1">
      <alignment horizontal="center" vertical="center"/>
    </xf>
    <xf numFmtId="182" fontId="163" fillId="36" borderId="0" xfId="101" applyNumberFormat="1" applyFont="1" applyFill="1" applyAlignment="1">
      <alignment horizontal="center" vertical="center"/>
    </xf>
    <xf numFmtId="1" fontId="164" fillId="74" borderId="0" xfId="0" applyNumberFormat="1" applyFont="1" applyFill="1" applyAlignment="1">
      <alignment vertical="center"/>
    </xf>
    <xf numFmtId="177" fontId="76" fillId="17" borderId="188" xfId="0" applyNumberFormat="1" applyFont="1" applyFill="1" applyBorder="1" applyAlignment="1">
      <alignment horizontal="center" vertical="center"/>
    </xf>
    <xf numFmtId="177" fontId="76" fillId="3" borderId="188" xfId="0" applyNumberFormat="1" applyFont="1" applyFill="1" applyBorder="1" applyAlignment="1">
      <alignment horizontal="center" vertical="center"/>
    </xf>
    <xf numFmtId="177" fontId="76" fillId="18" borderId="188" xfId="0" applyNumberFormat="1" applyFont="1" applyFill="1" applyBorder="1" applyAlignment="1">
      <alignment horizontal="center" vertical="center"/>
    </xf>
    <xf numFmtId="0" fontId="76" fillId="0" borderId="11" xfId="0" applyFont="1" applyBorder="1" applyAlignment="1">
      <alignment vertical="center"/>
    </xf>
    <xf numFmtId="0" fontId="117" fillId="0" borderId="0" xfId="0" applyFont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50" fillId="0" borderId="0" xfId="0" applyFont="1" applyAlignment="1">
      <alignment vertical="center"/>
    </xf>
    <xf numFmtId="1" fontId="0" fillId="0" borderId="0" xfId="0" applyNumberFormat="1"/>
    <xf numFmtId="178" fontId="40" fillId="0" borderId="37" xfId="0" applyNumberFormat="1" applyFont="1" applyBorder="1" applyAlignment="1" applyProtection="1">
      <alignment horizontal="center" vertical="center"/>
      <protection locked="0"/>
    </xf>
    <xf numFmtId="178" fontId="40" fillId="0" borderId="38" xfId="0" applyNumberFormat="1" applyFont="1" applyBorder="1" applyAlignment="1" applyProtection="1">
      <alignment horizontal="center" vertical="center"/>
      <protection locked="0"/>
    </xf>
    <xf numFmtId="178" fontId="46" fillId="0" borderId="88" xfId="0" applyNumberFormat="1" applyFont="1" applyBorder="1" applyAlignment="1" applyProtection="1">
      <alignment horizontal="center" vertical="center"/>
      <protection locked="0"/>
    </xf>
    <xf numFmtId="178" fontId="40" fillId="24" borderId="89" xfId="0" applyNumberFormat="1" applyFont="1" applyFill="1" applyBorder="1" applyAlignment="1">
      <alignment vertical="center"/>
    </xf>
    <xf numFmtId="2" fontId="40" fillId="0" borderId="0" xfId="0" applyNumberFormat="1" applyFont="1" applyAlignment="1">
      <alignment vertical="center"/>
    </xf>
    <xf numFmtId="0" fontId="26" fillId="0" borderId="10" xfId="0" applyFont="1" applyBorder="1" applyAlignment="1" applyProtection="1">
      <alignment vertical="center"/>
      <protection locked="0"/>
    </xf>
    <xf numFmtId="0" fontId="167" fillId="23" borderId="0" xfId="0" applyFont="1" applyFill="1"/>
    <xf numFmtId="1" fontId="0" fillId="70" borderId="0" xfId="0" applyNumberFormat="1" applyFill="1"/>
    <xf numFmtId="186" fontId="33" fillId="7" borderId="128" xfId="0" applyNumberFormat="1" applyFont="1" applyFill="1" applyBorder="1" applyAlignment="1">
      <alignment horizontal="center" vertical="center" shrinkToFit="1"/>
    </xf>
    <xf numFmtId="0" fontId="168" fillId="24" borderId="90" xfId="0" applyFont="1" applyFill="1" applyBorder="1" applyAlignment="1" applyProtection="1">
      <alignment vertical="center"/>
      <protection locked="0"/>
    </xf>
    <xf numFmtId="0" fontId="95" fillId="78" borderId="0" xfId="0" applyFont="1" applyFill="1" applyAlignment="1">
      <alignment horizontal="center" vertical="center" shrinkToFit="1"/>
    </xf>
    <xf numFmtId="0" fontId="170" fillId="80" borderId="0" xfId="0" applyFont="1" applyFill="1"/>
    <xf numFmtId="0" fontId="171" fillId="80" borderId="0" xfId="0" applyFont="1" applyFill="1"/>
    <xf numFmtId="0" fontId="171" fillId="0" borderId="0" xfId="0" applyFont="1"/>
    <xf numFmtId="176" fontId="171" fillId="0" borderId="11" xfId="0" applyNumberFormat="1" applyFont="1" applyBorder="1" applyAlignment="1">
      <alignment horizontal="center"/>
    </xf>
    <xf numFmtId="0" fontId="170" fillId="0" borderId="74" xfId="0" applyFont="1" applyBorder="1" applyAlignment="1">
      <alignment horizontal="center"/>
    </xf>
    <xf numFmtId="0" fontId="171" fillId="0" borderId="0" xfId="0" applyFont="1" applyAlignment="1">
      <alignment horizontal="center"/>
    </xf>
    <xf numFmtId="0" fontId="149" fillId="0" borderId="0" xfId="0" applyFont="1" applyAlignment="1">
      <alignment horizontal="left"/>
    </xf>
    <xf numFmtId="176" fontId="172" fillId="0" borderId="193" xfId="460" applyNumberFormat="1" applyFont="1" applyBorder="1" applyAlignment="1">
      <alignment horizontal="left"/>
    </xf>
    <xf numFmtId="0" fontId="173" fillId="14" borderId="17" xfId="0" applyFont="1" applyFill="1" applyBorder="1" applyAlignment="1">
      <alignment horizontal="center" vertical="center"/>
    </xf>
    <xf numFmtId="0" fontId="174" fillId="14" borderId="11" xfId="0" applyFont="1" applyFill="1" applyBorder="1" applyAlignment="1">
      <alignment horizontal="right"/>
    </xf>
    <xf numFmtId="10" fontId="174" fillId="14" borderId="11" xfId="0" applyNumberFormat="1" applyFont="1" applyFill="1" applyBorder="1"/>
    <xf numFmtId="10" fontId="171" fillId="0" borderId="0" xfId="0" applyNumberFormat="1" applyFont="1"/>
    <xf numFmtId="10" fontId="175" fillId="0" borderId="197" xfId="0" applyNumberFormat="1" applyFont="1" applyBorder="1"/>
    <xf numFmtId="176" fontId="172" fillId="0" borderId="193" xfId="460" applyNumberFormat="1" applyFont="1" applyBorder="1" applyAlignment="1">
      <alignment horizontal="center"/>
    </xf>
    <xf numFmtId="0" fontId="173" fillId="14" borderId="2" xfId="0" applyFont="1" applyFill="1" applyBorder="1" applyAlignment="1">
      <alignment horizontal="center" vertical="center"/>
    </xf>
    <xf numFmtId="0" fontId="173" fillId="14" borderId="11" xfId="0" applyFont="1" applyFill="1" applyBorder="1" applyAlignment="1">
      <alignment horizontal="right"/>
    </xf>
    <xf numFmtId="10" fontId="175" fillId="0" borderId="199" xfId="0" applyNumberFormat="1" applyFont="1" applyBorder="1"/>
    <xf numFmtId="0" fontId="149" fillId="0" borderId="0" xfId="0" applyFont="1"/>
    <xf numFmtId="0" fontId="170" fillId="82" borderId="17" xfId="0" applyFont="1" applyFill="1" applyBorder="1" applyAlignment="1">
      <alignment horizontal="center" vertical="center"/>
    </xf>
    <xf numFmtId="0" fontId="171" fillId="82" borderId="11" xfId="0" applyFont="1" applyFill="1" applyBorder="1" applyAlignment="1">
      <alignment horizontal="right"/>
    </xf>
    <xf numFmtId="10" fontId="171" fillId="82" borderId="11" xfId="0" applyNumberFormat="1" applyFont="1" applyFill="1" applyBorder="1"/>
    <xf numFmtId="10" fontId="176" fillId="0" borderId="171" xfId="460" applyNumberFormat="1" applyFont="1" applyBorder="1"/>
    <xf numFmtId="0" fontId="171" fillId="23" borderId="65" xfId="0" applyFont="1" applyFill="1" applyBorder="1" applyAlignment="1">
      <alignment horizontal="right"/>
    </xf>
    <xf numFmtId="0" fontId="170" fillId="82" borderId="2" xfId="0" applyFont="1" applyFill="1" applyBorder="1" applyAlignment="1">
      <alignment horizontal="center" vertical="center"/>
    </xf>
    <xf numFmtId="0" fontId="170" fillId="82" borderId="11" xfId="0" applyFont="1" applyFill="1" applyBorder="1" applyAlignment="1">
      <alignment horizontal="right"/>
    </xf>
    <xf numFmtId="10" fontId="176" fillId="0" borderId="172" xfId="460" applyNumberFormat="1" applyFont="1" applyBorder="1"/>
    <xf numFmtId="0" fontId="171" fillId="0" borderId="52" xfId="0" applyFont="1" applyBorder="1"/>
    <xf numFmtId="0" fontId="80" fillId="0" borderId="0" xfId="0" applyFont="1" applyAlignment="1">
      <alignment vertical="center" shrinkToFit="1"/>
    </xf>
    <xf numFmtId="0" fontId="171" fillId="0" borderId="0" xfId="0" applyFont="1" applyAlignment="1">
      <alignment shrinkToFit="1"/>
    </xf>
    <xf numFmtId="0" fontId="80" fillId="0" borderId="0" xfId="0" applyFont="1" applyAlignment="1">
      <alignment horizontal="center" shrinkToFit="1"/>
    </xf>
    <xf numFmtId="10" fontId="172" fillId="0" borderId="0" xfId="460" applyNumberFormat="1" applyFont="1" applyBorder="1" applyAlignment="1">
      <alignment horizontal="right" shrinkToFit="1"/>
    </xf>
    <xf numFmtId="10" fontId="171" fillId="0" borderId="0" xfId="0" applyNumberFormat="1" applyFont="1" applyAlignment="1">
      <alignment shrinkToFit="1"/>
    </xf>
    <xf numFmtId="0" fontId="80" fillId="0" borderId="107" xfId="0" applyFont="1" applyBorder="1" applyAlignment="1">
      <alignment horizontal="center" vertical="center" shrinkToFit="1"/>
    </xf>
    <xf numFmtId="0" fontId="80" fillId="0" borderId="108" xfId="0" applyFont="1" applyBorder="1" applyAlignment="1">
      <alignment horizontal="center" vertical="center" shrinkToFit="1"/>
    </xf>
    <xf numFmtId="177" fontId="171" fillId="0" borderId="111" xfId="0" applyNumberFormat="1" applyFont="1" applyBorder="1" applyAlignment="1">
      <alignment horizontal="center" shrinkToFit="1"/>
    </xf>
    <xf numFmtId="0" fontId="80" fillId="0" borderId="0" xfId="0" applyFont="1" applyAlignment="1">
      <alignment vertical="center"/>
    </xf>
    <xf numFmtId="0" fontId="181" fillId="2" borderId="66" xfId="0" applyFont="1" applyFill="1" applyBorder="1" applyAlignment="1">
      <alignment horizontal="center"/>
    </xf>
    <xf numFmtId="0" fontId="182" fillId="0" borderId="51" xfId="0" applyFont="1" applyBorder="1" applyAlignment="1">
      <alignment vertical="center"/>
    </xf>
    <xf numFmtId="10" fontId="80" fillId="23" borderId="11" xfId="0" applyNumberFormat="1" applyFont="1" applyFill="1" applyBorder="1" applyAlignment="1">
      <alignment vertical="center"/>
    </xf>
    <xf numFmtId="0" fontId="182" fillId="0" borderId="75" xfId="0" applyFont="1" applyBorder="1" applyAlignment="1">
      <alignment vertical="center"/>
    </xf>
    <xf numFmtId="0" fontId="181" fillId="2" borderId="49" xfId="0" applyFont="1" applyFill="1" applyBorder="1" applyAlignment="1">
      <alignment horizontal="center"/>
    </xf>
    <xf numFmtId="0" fontId="171" fillId="2" borderId="11" xfId="0" applyFont="1" applyFill="1" applyBorder="1" applyAlignment="1">
      <alignment horizontal="center"/>
    </xf>
    <xf numFmtId="0" fontId="171" fillId="72" borderId="154" xfId="0" applyFont="1" applyFill="1" applyBorder="1" applyAlignment="1">
      <alignment horizontal="center"/>
    </xf>
    <xf numFmtId="0" fontId="171" fillId="72" borderId="41" xfId="0" applyFont="1" applyFill="1" applyBorder="1" applyAlignment="1">
      <alignment horizontal="center"/>
    </xf>
    <xf numFmtId="0" fontId="171" fillId="72" borderId="153" xfId="0" applyFont="1" applyFill="1" applyBorder="1" applyAlignment="1">
      <alignment horizontal="center"/>
    </xf>
    <xf numFmtId="0" fontId="80" fillId="0" borderId="7" xfId="0" applyFont="1" applyBorder="1" applyAlignment="1">
      <alignment horizontal="center" vertical="center"/>
    </xf>
    <xf numFmtId="0" fontId="80" fillId="0" borderId="43" xfId="0" applyFont="1" applyBorder="1" applyAlignment="1">
      <alignment horizontal="center" vertical="center"/>
    </xf>
    <xf numFmtId="196" fontId="80" fillId="0" borderId="43" xfId="0" applyNumberFormat="1" applyFont="1" applyBorder="1" applyAlignment="1">
      <alignment horizontal="center" vertical="center"/>
    </xf>
    <xf numFmtId="196" fontId="80" fillId="0" borderId="77" xfId="0" applyNumberFormat="1" applyFont="1" applyBorder="1" applyAlignment="1">
      <alignment horizontal="center" vertical="center"/>
    </xf>
    <xf numFmtId="0" fontId="170" fillId="0" borderId="0" xfId="0" applyFont="1"/>
    <xf numFmtId="0" fontId="170" fillId="22" borderId="11" xfId="0" applyFont="1" applyFill="1" applyBorder="1" applyAlignment="1">
      <alignment horizontal="center"/>
    </xf>
    <xf numFmtId="0" fontId="171" fillId="22" borderId="11" xfId="0" applyFont="1" applyFill="1" applyBorder="1" applyAlignment="1">
      <alignment horizontal="center"/>
    </xf>
    <xf numFmtId="0" fontId="80" fillId="22" borderId="11" xfId="0" applyFont="1" applyFill="1" applyBorder="1" applyAlignment="1">
      <alignment horizontal="center"/>
    </xf>
    <xf numFmtId="0" fontId="80" fillId="0" borderId="0" xfId="0" applyFont="1" applyAlignment="1">
      <alignment horizontal="center"/>
    </xf>
    <xf numFmtId="190" fontId="171" fillId="4" borderId="11" xfId="458" applyNumberFormat="1" applyFont="1" applyFill="1" applyBorder="1" applyAlignment="1">
      <alignment horizontal="right"/>
    </xf>
    <xf numFmtId="183" fontId="184" fillId="0" borderId="11" xfId="458" applyNumberFormat="1" applyFont="1" applyFill="1" applyBorder="1" applyAlignment="1">
      <alignment horizontal="right"/>
    </xf>
    <xf numFmtId="183" fontId="171" fillId="0" borderId="11" xfId="458" applyNumberFormat="1" applyFont="1" applyBorder="1" applyAlignment="1">
      <alignment horizontal="right"/>
    </xf>
    <xf numFmtId="10" fontId="171" fillId="4" borderId="11" xfId="460" applyNumberFormat="1" applyFont="1" applyFill="1" applyBorder="1" applyAlignment="1">
      <alignment horizontal="right"/>
    </xf>
    <xf numFmtId="10" fontId="172" fillId="0" borderId="11" xfId="460" applyNumberFormat="1" applyFont="1" applyBorder="1" applyAlignment="1">
      <alignment horizontal="right"/>
    </xf>
    <xf numFmtId="10" fontId="172" fillId="0" borderId="0" xfId="460" applyNumberFormat="1" applyFont="1" applyBorder="1" applyAlignment="1">
      <alignment horizontal="right"/>
    </xf>
    <xf numFmtId="0" fontId="149" fillId="72" borderId="57" xfId="0" applyFont="1" applyFill="1" applyBorder="1" applyAlignment="1">
      <alignment horizontal="center"/>
    </xf>
    <xf numFmtId="0" fontId="170" fillId="0" borderId="43" xfId="0" applyFont="1" applyBorder="1"/>
    <xf numFmtId="190" fontId="171" fillId="0" borderId="26" xfId="0" applyNumberFormat="1" applyFont="1" applyBorder="1"/>
    <xf numFmtId="201" fontId="171" fillId="0" borderId="26" xfId="0" applyNumberFormat="1" applyFont="1" applyBorder="1"/>
    <xf numFmtId="201" fontId="171" fillId="0" borderId="26" xfId="458" applyNumberFormat="1" applyFont="1" applyBorder="1"/>
    <xf numFmtId="0" fontId="170" fillId="0" borderId="77" xfId="0" applyFont="1" applyBorder="1"/>
    <xf numFmtId="201" fontId="171" fillId="0" borderId="18" xfId="458" applyNumberFormat="1" applyFont="1" applyBorder="1"/>
    <xf numFmtId="0" fontId="170" fillId="23" borderId="0" xfId="0" applyFont="1" applyFill="1"/>
    <xf numFmtId="176" fontId="172" fillId="23" borderId="0" xfId="0" applyNumberFormat="1" applyFont="1" applyFill="1"/>
    <xf numFmtId="0" fontId="172" fillId="23" borderId="0" xfId="0" applyFont="1" applyFill="1"/>
    <xf numFmtId="0" fontId="170" fillId="36" borderId="0" xfId="0" applyFont="1" applyFill="1"/>
    <xf numFmtId="177" fontId="172" fillId="36" borderId="0" xfId="0" applyNumberFormat="1" applyFont="1" applyFill="1"/>
    <xf numFmtId="0" fontId="172" fillId="36" borderId="0" xfId="0" applyFont="1" applyFill="1"/>
    <xf numFmtId="176" fontId="172" fillId="36" borderId="0" xfId="0" applyNumberFormat="1" applyFont="1" applyFill="1"/>
    <xf numFmtId="10" fontId="46" fillId="0" borderId="0" xfId="460" applyNumberFormat="1" applyFont="1" applyAlignment="1">
      <alignment horizontal="center" vertical="center" shrinkToFit="1"/>
    </xf>
    <xf numFmtId="0" fontId="185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 textRotation="255"/>
    </xf>
    <xf numFmtId="0" fontId="76" fillId="0" borderId="0" xfId="0" applyFont="1" applyAlignment="1">
      <alignment horizontal="center"/>
    </xf>
    <xf numFmtId="0" fontId="76" fillId="0" borderId="0" xfId="0" applyFont="1"/>
    <xf numFmtId="0" fontId="76" fillId="78" borderId="0" xfId="0" applyFont="1" applyFill="1" applyAlignment="1">
      <alignment horizontal="center" vertical="center"/>
    </xf>
    <xf numFmtId="10" fontId="76" fillId="78" borderId="0" xfId="460" applyNumberFormat="1" applyFont="1" applyFill="1" applyAlignment="1">
      <alignment horizontal="center" vertical="center"/>
    </xf>
    <xf numFmtId="176" fontId="76" fillId="78" borderId="0" xfId="460" applyNumberFormat="1" applyFont="1" applyFill="1" applyAlignment="1">
      <alignment horizontal="right" vertical="center"/>
    </xf>
    <xf numFmtId="0" fontId="76" fillId="34" borderId="0" xfId="0" applyFont="1" applyFill="1" applyAlignment="1">
      <alignment horizontal="center" vertical="center"/>
    </xf>
    <xf numFmtId="10" fontId="76" fillId="34" borderId="0" xfId="460" applyNumberFormat="1" applyFont="1" applyFill="1" applyAlignment="1">
      <alignment horizontal="center" vertical="center"/>
    </xf>
    <xf numFmtId="1" fontId="76" fillId="34" borderId="0" xfId="0" applyNumberFormat="1" applyFont="1" applyFill="1"/>
    <xf numFmtId="0" fontId="76" fillId="18" borderId="0" xfId="0" applyFont="1" applyFill="1" applyAlignment="1">
      <alignment horizontal="center" vertical="center"/>
    </xf>
    <xf numFmtId="10" fontId="76" fillId="18" borderId="0" xfId="460" applyNumberFormat="1" applyFont="1" applyFill="1" applyAlignment="1">
      <alignment horizontal="center" vertical="center"/>
    </xf>
    <xf numFmtId="1" fontId="76" fillId="18" borderId="0" xfId="0" applyNumberFormat="1" applyFont="1" applyFill="1"/>
    <xf numFmtId="179" fontId="76" fillId="78" borderId="0" xfId="460" applyNumberFormat="1" applyFont="1" applyFill="1" applyAlignment="1">
      <alignment horizontal="center" vertical="center"/>
    </xf>
    <xf numFmtId="179" fontId="76" fillId="34" borderId="0" xfId="460" applyNumberFormat="1" applyFont="1" applyFill="1" applyAlignment="1">
      <alignment horizontal="center" vertical="center"/>
    </xf>
    <xf numFmtId="179" fontId="76" fillId="18" borderId="0" xfId="460" applyNumberFormat="1" applyFont="1" applyFill="1" applyAlignment="1">
      <alignment horizontal="center" vertical="center"/>
    </xf>
    <xf numFmtId="0" fontId="76" fillId="0" borderId="0" xfId="0" applyFont="1" applyAlignment="1">
      <alignment horizontal="left"/>
    </xf>
    <xf numFmtId="0" fontId="76" fillId="0" borderId="0" xfId="0" quotePrefix="1" applyFont="1"/>
    <xf numFmtId="176" fontId="76" fillId="0" borderId="0" xfId="460" applyNumberFormat="1" applyFont="1" applyFill="1" applyAlignment="1">
      <alignment horizontal="center" vertical="center"/>
    </xf>
    <xf numFmtId="1" fontId="76" fillId="0" borderId="0" xfId="0" applyNumberFormat="1" applyFont="1" applyAlignment="1">
      <alignment horizontal="center"/>
    </xf>
    <xf numFmtId="0" fontId="76" fillId="0" borderId="107" xfId="0" applyFont="1" applyBorder="1" applyAlignment="1">
      <alignment horizontal="center"/>
    </xf>
    <xf numFmtId="176" fontId="76" fillId="0" borderId="108" xfId="460" applyNumberFormat="1" applyFont="1" applyFill="1" applyBorder="1" applyAlignment="1">
      <alignment horizontal="center" vertical="center"/>
    </xf>
    <xf numFmtId="0" fontId="76" fillId="0" borderId="108" xfId="0" applyFont="1" applyBorder="1" applyAlignment="1">
      <alignment horizontal="center"/>
    </xf>
    <xf numFmtId="10" fontId="76" fillId="0" borderId="108" xfId="0" applyNumberFormat="1" applyFont="1" applyBorder="1" applyAlignment="1">
      <alignment horizontal="center"/>
    </xf>
    <xf numFmtId="176" fontId="76" fillId="0" borderId="111" xfId="460" applyNumberFormat="1" applyFont="1" applyFill="1" applyBorder="1" applyAlignment="1">
      <alignment horizontal="center" vertical="center"/>
    </xf>
    <xf numFmtId="0" fontId="76" fillId="0" borderId="111" xfId="0" applyFont="1" applyBorder="1" applyAlignment="1">
      <alignment horizontal="center"/>
    </xf>
    <xf numFmtId="10" fontId="76" fillId="0" borderId="111" xfId="0" applyNumberFormat="1" applyFont="1" applyBorder="1" applyAlignment="1">
      <alignment horizontal="center"/>
    </xf>
    <xf numFmtId="176" fontId="76" fillId="0" borderId="107" xfId="460" applyNumberFormat="1" applyFont="1" applyFill="1" applyBorder="1" applyAlignment="1">
      <alignment horizontal="center" vertical="center"/>
    </xf>
    <xf numFmtId="10" fontId="76" fillId="0" borderId="107" xfId="0" applyNumberFormat="1" applyFont="1" applyBorder="1" applyAlignment="1">
      <alignment horizontal="center"/>
    </xf>
    <xf numFmtId="0" fontId="76" fillId="22" borderId="107" xfId="0" applyFont="1" applyFill="1" applyBorder="1" applyAlignment="1">
      <alignment horizontal="center"/>
    </xf>
    <xf numFmtId="176" fontId="76" fillId="22" borderId="96" xfId="460" applyNumberFormat="1" applyFont="1" applyFill="1" applyBorder="1" applyAlignment="1">
      <alignment horizontal="center" vertical="center"/>
    </xf>
    <xf numFmtId="0" fontId="76" fillId="22" borderId="103" xfId="0" applyFont="1" applyFill="1" applyBorder="1" applyAlignment="1">
      <alignment horizontal="center"/>
    </xf>
    <xf numFmtId="0" fontId="76" fillId="17" borderId="0" xfId="0" applyFont="1" applyFill="1" applyAlignment="1">
      <alignment horizontal="center"/>
    </xf>
    <xf numFmtId="179" fontId="76" fillId="17" borderId="0" xfId="460" applyNumberFormat="1" applyFont="1" applyFill="1" applyAlignment="1">
      <alignment horizontal="center"/>
    </xf>
    <xf numFmtId="176" fontId="25" fillId="4" borderId="48" xfId="0" applyNumberFormat="1" applyFont="1" applyFill="1" applyBorder="1" applyAlignment="1">
      <alignment vertical="center" shrinkToFit="1"/>
    </xf>
    <xf numFmtId="0" fontId="95" fillId="37" borderId="0" xfId="0" applyFont="1" applyFill="1" applyAlignment="1">
      <alignment horizontal="center" vertical="center" shrinkToFit="1"/>
    </xf>
    <xf numFmtId="0" fontId="95" fillId="76" borderId="0" xfId="0" applyFont="1" applyFill="1" applyAlignment="1">
      <alignment horizontal="center" vertical="center" shrinkToFit="1"/>
    </xf>
    <xf numFmtId="0" fontId="95" fillId="83" borderId="0" xfId="0" applyFont="1" applyFill="1" applyAlignment="1">
      <alignment horizontal="center" vertical="center" shrinkToFit="1"/>
    </xf>
    <xf numFmtId="0" fontId="95" fillId="84" borderId="0" xfId="0" applyFont="1" applyFill="1" applyAlignment="1">
      <alignment horizontal="center" vertical="center" shrinkToFit="1"/>
    </xf>
    <xf numFmtId="187" fontId="95" fillId="0" borderId="0" xfId="0" applyNumberFormat="1" applyFont="1" applyAlignment="1">
      <alignment horizontal="center" vertical="center" shrinkToFit="1"/>
    </xf>
    <xf numFmtId="10" fontId="95" fillId="0" borderId="0" xfId="460" applyNumberFormat="1" applyFont="1" applyAlignment="1">
      <alignment horizontal="center" vertical="center" shrinkToFit="1"/>
    </xf>
    <xf numFmtId="181" fontId="95" fillId="0" borderId="0" xfId="0" applyNumberFormat="1" applyFont="1" applyAlignment="1">
      <alignment horizontal="center" vertical="center" shrinkToFit="1"/>
    </xf>
    <xf numFmtId="0" fontId="95" fillId="85" borderId="0" xfId="0" applyFont="1" applyFill="1" applyAlignment="1">
      <alignment horizontal="center" vertical="center" shrinkToFit="1"/>
    </xf>
    <xf numFmtId="177" fontId="186" fillId="0" borderId="11" xfId="458" applyNumberFormat="1" applyFont="1" applyBorder="1" applyAlignment="1">
      <alignment horizontal="right"/>
    </xf>
    <xf numFmtId="177" fontId="188" fillId="0" borderId="11" xfId="458" applyNumberFormat="1" applyFont="1" applyBorder="1" applyAlignment="1">
      <alignment horizontal="right"/>
    </xf>
    <xf numFmtId="177" fontId="186" fillId="0" borderId="49" xfId="458" applyNumberFormat="1" applyFont="1" applyBorder="1" applyAlignment="1">
      <alignment horizontal="right"/>
    </xf>
    <xf numFmtId="177" fontId="186" fillId="0" borderId="50" xfId="458" applyNumberFormat="1" applyFont="1" applyBorder="1" applyAlignment="1">
      <alignment horizontal="right"/>
    </xf>
    <xf numFmtId="191" fontId="40" fillId="0" borderId="169" xfId="458" applyNumberFormat="1" applyFont="1" applyBorder="1" applyAlignment="1">
      <alignment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177" fontId="186" fillId="71" borderId="11" xfId="458" applyNumberFormat="1" applyFont="1" applyFill="1" applyBorder="1" applyAlignment="1">
      <alignment horizontal="right"/>
    </xf>
    <xf numFmtId="0" fontId="186" fillId="0" borderId="0" xfId="0" applyFont="1"/>
    <xf numFmtId="177" fontId="186" fillId="0" borderId="11" xfId="0" applyNumberFormat="1" applyFont="1" applyBorder="1"/>
    <xf numFmtId="0" fontId="189" fillId="23" borderId="0" xfId="0" applyFont="1" applyFill="1"/>
    <xf numFmtId="0" fontId="189" fillId="0" borderId="0" xfId="0" applyFont="1"/>
    <xf numFmtId="0" fontId="190" fillId="0" borderId="0" xfId="0" applyFont="1" applyAlignment="1">
      <alignment horizontal="left" vertical="center"/>
    </xf>
    <xf numFmtId="0" fontId="0" fillId="80" borderId="0" xfId="0" applyFill="1"/>
    <xf numFmtId="0" fontId="0" fillId="17" borderId="0" xfId="0" applyFill="1"/>
    <xf numFmtId="0" fontId="193" fillId="78" borderId="56" xfId="0" applyFont="1" applyFill="1" applyBorder="1" applyAlignment="1">
      <alignment horizontal="left" vertical="center"/>
    </xf>
    <xf numFmtId="0" fontId="54" fillId="78" borderId="56" xfId="0" applyFont="1" applyFill="1" applyBorder="1" applyAlignment="1" applyProtection="1">
      <alignment horizontal="right" vertical="center" wrapText="1"/>
      <protection locked="0"/>
    </xf>
    <xf numFmtId="0" fontId="69" fillId="0" borderId="0" xfId="1" applyFont="1" applyAlignment="1">
      <alignment horizontal="center" vertical="center"/>
    </xf>
    <xf numFmtId="0" fontId="69" fillId="36" borderId="0" xfId="1" applyFont="1" applyFill="1" applyAlignment="1">
      <alignment horizontal="center" vertical="center"/>
    </xf>
    <xf numFmtId="0" fontId="194" fillId="4" borderId="120" xfId="0" applyFont="1" applyFill="1" applyBorder="1" applyAlignment="1">
      <alignment horizontal="center" vertical="center"/>
    </xf>
    <xf numFmtId="0" fontId="194" fillId="4" borderId="121" xfId="0" applyFont="1" applyFill="1" applyBorder="1" applyAlignment="1">
      <alignment horizontal="center" vertical="center"/>
    </xf>
    <xf numFmtId="0" fontId="194" fillId="4" borderId="207" xfId="0" applyFont="1" applyFill="1" applyBorder="1" applyAlignment="1">
      <alignment horizontal="center" vertical="center"/>
    </xf>
    <xf numFmtId="0" fontId="26" fillId="86" borderId="0" xfId="0" applyFont="1" applyFill="1" applyAlignment="1">
      <alignment horizontal="center" vertical="center"/>
    </xf>
    <xf numFmtId="0" fontId="194" fillId="87" borderId="0" xfId="0" applyFont="1" applyFill="1" applyAlignment="1">
      <alignment horizontal="center" vertical="center"/>
    </xf>
    <xf numFmtId="0" fontId="195" fillId="23" borderId="0" xfId="0" applyFont="1" applyFill="1" applyAlignment="1">
      <alignment horizontal="center" vertical="center"/>
    </xf>
    <xf numFmtId="0" fontId="40" fillId="23" borderId="0" xfId="0" applyFont="1" applyFill="1" applyAlignment="1">
      <alignment vertical="center"/>
    </xf>
    <xf numFmtId="177" fontId="64" fillId="0" borderId="11" xfId="460" applyNumberFormat="1" applyFont="1" applyBorder="1" applyAlignment="1" applyProtection="1">
      <alignment horizontal="center" vertical="center"/>
      <protection locked="0" hidden="1"/>
    </xf>
    <xf numFmtId="0" fontId="101" fillId="0" borderId="0" xfId="1">
      <alignment vertical="center"/>
    </xf>
    <xf numFmtId="0" fontId="69" fillId="0" borderId="0" xfId="1" applyFont="1" applyAlignment="1">
      <alignment horizontal="left" vertical="center"/>
    </xf>
    <xf numFmtId="177" fontId="46" fillId="12" borderId="208" xfId="0" applyNumberFormat="1" applyFont="1" applyFill="1" applyBorder="1" applyAlignment="1">
      <alignment horizontal="center" vertical="center" shrinkToFit="1"/>
    </xf>
    <xf numFmtId="177" fontId="46" fillId="12" borderId="209" xfId="0" applyNumberFormat="1" applyFont="1" applyFill="1" applyBorder="1" applyAlignment="1">
      <alignment horizontal="center" vertical="center" shrinkToFit="1"/>
    </xf>
    <xf numFmtId="0" fontId="195" fillId="0" borderId="39" xfId="0" applyFont="1" applyBorder="1" applyAlignment="1">
      <alignment horizontal="center" vertical="center"/>
    </xf>
    <xf numFmtId="49" fontId="195" fillId="12" borderId="11" xfId="0" applyNumberFormat="1" applyFont="1" applyFill="1" applyBorder="1" applyAlignment="1">
      <alignment vertical="center"/>
    </xf>
    <xf numFmtId="0" fontId="195" fillId="12" borderId="11" xfId="0" applyFont="1" applyFill="1" applyBorder="1" applyAlignment="1">
      <alignment horizontal="right" vertical="center"/>
    </xf>
    <xf numFmtId="0" fontId="195" fillId="12" borderId="11" xfId="0" applyFont="1" applyFill="1" applyBorder="1" applyAlignment="1">
      <alignment horizontal="center" vertical="center"/>
    </xf>
    <xf numFmtId="10" fontId="195" fillId="12" borderId="11" xfId="471" applyNumberFormat="1" applyFont="1" applyFill="1" applyBorder="1" applyAlignment="1">
      <alignment horizontal="center" vertical="center"/>
    </xf>
    <xf numFmtId="10" fontId="40" fillId="77" borderId="68" xfId="471" applyNumberFormat="1" applyFont="1" applyFill="1" applyBorder="1" applyAlignment="1">
      <alignment horizontal="center" vertical="center"/>
    </xf>
    <xf numFmtId="0" fontId="40" fillId="86" borderId="0" xfId="0" applyFont="1" applyFill="1" applyAlignment="1">
      <alignment horizontal="right" vertical="center"/>
    </xf>
    <xf numFmtId="0" fontId="195" fillId="0" borderId="0" xfId="0" applyFont="1" applyAlignment="1">
      <alignment vertical="center"/>
    </xf>
    <xf numFmtId="0" fontId="40" fillId="0" borderId="0" xfId="0" applyFont="1"/>
    <xf numFmtId="177" fontId="198" fillId="0" borderId="0" xfId="460" applyNumberFormat="1" applyFont="1" applyAlignment="1" applyProtection="1">
      <alignment horizontal="center" vertical="center"/>
      <protection locked="0" hidden="1"/>
    </xf>
    <xf numFmtId="10" fontId="0" fillId="0" borderId="0" xfId="0" applyNumberFormat="1" applyAlignment="1">
      <alignment vertical="center"/>
    </xf>
    <xf numFmtId="0" fontId="69" fillId="0" borderId="0" xfId="1" applyFont="1" applyAlignment="1">
      <alignment horizontal="right" vertical="center"/>
    </xf>
    <xf numFmtId="0" fontId="69" fillId="88" borderId="0" xfId="1" applyFont="1" applyFill="1" applyAlignment="1">
      <alignment horizontal="left" vertical="center"/>
    </xf>
    <xf numFmtId="0" fontId="69" fillId="88" borderId="0" xfId="1" applyFont="1" applyFill="1" applyAlignment="1">
      <alignment horizontal="right" vertical="center"/>
    </xf>
    <xf numFmtId="0" fontId="195" fillId="12" borderId="11" xfId="0" applyFont="1" applyFill="1" applyBorder="1" applyAlignment="1">
      <alignment vertical="center"/>
    </xf>
    <xf numFmtId="49" fontId="195" fillId="12" borderId="11" xfId="0" applyNumberFormat="1" applyFont="1" applyFill="1" applyBorder="1" applyAlignment="1">
      <alignment horizontal="center" vertical="center"/>
    </xf>
    <xf numFmtId="10" fontId="40" fillId="77" borderId="11" xfId="471" applyNumberFormat="1" applyFont="1" applyFill="1" applyBorder="1" applyAlignment="1">
      <alignment horizontal="center" vertical="center"/>
    </xf>
    <xf numFmtId="10" fontId="195" fillId="12" borderId="68" xfId="471" applyNumberFormat="1" applyFont="1" applyFill="1" applyBorder="1" applyAlignment="1">
      <alignment horizontal="center" vertical="center"/>
    </xf>
    <xf numFmtId="0" fontId="195" fillId="12" borderId="11" xfId="0" applyFont="1" applyFill="1" applyBorder="1" applyAlignment="1">
      <alignment horizontal="left" vertical="center"/>
    </xf>
    <xf numFmtId="10" fontId="195" fillId="77" borderId="11" xfId="471" applyNumberFormat="1" applyFont="1" applyFill="1" applyBorder="1" applyAlignment="1">
      <alignment horizontal="center" vertical="center"/>
    </xf>
    <xf numFmtId="0" fontId="195" fillId="77" borderId="39" xfId="0" applyFont="1" applyFill="1" applyBorder="1" applyAlignment="1">
      <alignment horizontal="center" vertical="center"/>
    </xf>
    <xf numFmtId="0" fontId="195" fillId="0" borderId="11" xfId="0" applyFont="1" applyBorder="1" applyAlignment="1">
      <alignment horizontal="right" vertical="center"/>
    </xf>
    <xf numFmtId="10" fontId="195" fillId="77" borderId="68" xfId="471" applyNumberFormat="1" applyFont="1" applyFill="1" applyBorder="1" applyAlignment="1">
      <alignment horizontal="center" vertical="center"/>
    </xf>
    <xf numFmtId="0" fontId="195" fillId="0" borderId="210" xfId="0" applyFont="1" applyBorder="1" applyAlignment="1">
      <alignment horizontal="center" vertical="center"/>
    </xf>
    <xf numFmtId="0" fontId="195" fillId="0" borderId="206" xfId="0" applyFont="1" applyBorder="1" applyAlignment="1">
      <alignment vertical="center"/>
    </xf>
    <xf numFmtId="0" fontId="195" fillId="0" borderId="206" xfId="0" applyFont="1" applyBorder="1" applyAlignment="1">
      <alignment horizontal="right" vertical="center"/>
    </xf>
    <xf numFmtId="49" fontId="195" fillId="0" borderId="206" xfId="0" applyNumberFormat="1" applyFont="1" applyBorder="1" applyAlignment="1">
      <alignment horizontal="center" vertical="center"/>
    </xf>
    <xf numFmtId="10" fontId="195" fillId="77" borderId="206" xfId="471" applyNumberFormat="1" applyFont="1" applyFill="1" applyBorder="1" applyAlignment="1">
      <alignment horizontal="center" vertical="center"/>
    </xf>
    <xf numFmtId="10" fontId="195" fillId="0" borderId="211" xfId="471" applyNumberFormat="1" applyFont="1" applyFill="1" applyBorder="1" applyAlignment="1">
      <alignment horizontal="center" vertical="center"/>
    </xf>
    <xf numFmtId="0" fontId="194" fillId="0" borderId="81" xfId="0" applyFont="1" applyBorder="1" applyAlignment="1">
      <alignment vertical="center"/>
    </xf>
    <xf numFmtId="0" fontId="194" fillId="0" borderId="81" xfId="0" applyFont="1" applyBorder="1" applyAlignment="1">
      <alignment horizontal="right" vertical="center"/>
    </xf>
    <xf numFmtId="10" fontId="195" fillId="0" borderId="81" xfId="471" applyNumberFormat="1" applyFont="1" applyFill="1" applyBorder="1" applyAlignment="1">
      <alignment horizontal="center" vertical="center"/>
    </xf>
    <xf numFmtId="0" fontId="194" fillId="0" borderId="0" xfId="0" applyFont="1" applyAlignment="1">
      <alignment vertical="center"/>
    </xf>
    <xf numFmtId="0" fontId="194" fillId="0" borderId="0" xfId="0" applyFont="1" applyAlignment="1">
      <alignment horizontal="right" vertical="center"/>
    </xf>
    <xf numFmtId="10" fontId="195" fillId="0" borderId="0" xfId="471" applyNumberFormat="1" applyFont="1" applyFill="1" applyBorder="1" applyAlignment="1">
      <alignment horizontal="center" vertical="center"/>
    </xf>
    <xf numFmtId="0" fontId="195" fillId="0" borderId="0" xfId="0" applyFont="1" applyAlignment="1">
      <alignment horizontal="center" vertical="center"/>
    </xf>
    <xf numFmtId="0" fontId="195" fillId="12" borderId="0" xfId="0" applyFont="1" applyFill="1" applyAlignment="1">
      <alignment vertical="center"/>
    </xf>
    <xf numFmtId="0" fontId="195" fillId="12" borderId="0" xfId="0" applyFont="1" applyFill="1" applyAlignment="1">
      <alignment horizontal="right" vertical="center"/>
    </xf>
    <xf numFmtId="49" fontId="195" fillId="12" borderId="0" xfId="0" applyNumberFormat="1" applyFont="1" applyFill="1" applyAlignment="1">
      <alignment horizontal="center" vertical="center"/>
    </xf>
    <xf numFmtId="0" fontId="195" fillId="0" borderId="0" xfId="0" applyFont="1" applyAlignment="1">
      <alignment horizontal="right" vertical="center"/>
    </xf>
    <xf numFmtId="10" fontId="195" fillId="77" borderId="0" xfId="471" applyNumberFormat="1" applyFont="1" applyFill="1" applyBorder="1" applyAlignment="1">
      <alignment horizontal="center" vertical="center"/>
    </xf>
    <xf numFmtId="0" fontId="0" fillId="86" borderId="0" xfId="0" applyFill="1"/>
    <xf numFmtId="0" fontId="195" fillId="12" borderId="0" xfId="0" applyFont="1" applyFill="1" applyAlignment="1">
      <alignment horizontal="left" vertical="center"/>
    </xf>
    <xf numFmtId="10" fontId="195" fillId="12" borderId="0" xfId="471" applyNumberFormat="1" applyFont="1" applyFill="1" applyBorder="1" applyAlignment="1">
      <alignment horizontal="center" vertical="center"/>
    </xf>
    <xf numFmtId="49" fontId="195" fillId="0" borderId="0" xfId="0" applyNumberFormat="1" applyFont="1" applyAlignment="1">
      <alignment horizontal="center" vertical="center"/>
    </xf>
    <xf numFmtId="0" fontId="26" fillId="87" borderId="0" xfId="0" applyFont="1" applyFill="1"/>
    <xf numFmtId="177" fontId="64" fillId="0" borderId="0" xfId="460" applyNumberFormat="1" applyFont="1" applyAlignment="1" applyProtection="1">
      <alignment horizontal="center"/>
      <protection locked="0" hidden="1"/>
    </xf>
    <xf numFmtId="177" fontId="46" fillId="12" borderId="212" xfId="0" applyNumberFormat="1" applyFont="1" applyFill="1" applyBorder="1" applyAlignment="1">
      <alignment horizontal="center" vertical="center" shrinkToFit="1"/>
    </xf>
    <xf numFmtId="11" fontId="69" fillId="0" borderId="0" xfId="1" applyNumberFormat="1" applyFont="1" applyAlignment="1">
      <alignment horizontal="left" vertical="center"/>
    </xf>
    <xf numFmtId="0" fontId="195" fillId="0" borderId="11" xfId="0" applyFont="1" applyBorder="1" applyAlignment="1">
      <alignment vertical="center"/>
    </xf>
    <xf numFmtId="49" fontId="195" fillId="0" borderId="11" xfId="0" applyNumberFormat="1" applyFont="1" applyBorder="1" applyAlignment="1">
      <alignment horizontal="center" vertical="center"/>
    </xf>
    <xf numFmtId="10" fontId="195" fillId="0" borderId="11" xfId="471" applyNumberFormat="1" applyFont="1" applyFill="1" applyBorder="1" applyAlignment="1">
      <alignment horizontal="center" vertical="center"/>
    </xf>
    <xf numFmtId="10" fontId="195" fillId="0" borderId="68" xfId="471" applyNumberFormat="1" applyFont="1" applyFill="1" applyBorder="1" applyAlignment="1">
      <alignment horizontal="center" vertical="center"/>
    </xf>
    <xf numFmtId="0" fontId="195" fillId="0" borderId="11" xfId="0" applyFont="1" applyBorder="1" applyAlignment="1">
      <alignment horizontal="left" vertical="center"/>
    </xf>
    <xf numFmtId="49" fontId="195" fillId="0" borderId="2" xfId="0" applyNumberFormat="1" applyFont="1" applyBorder="1" applyAlignment="1">
      <alignment horizontal="center" vertical="center"/>
    </xf>
    <xf numFmtId="49" fontId="195" fillId="0" borderId="11" xfId="0" applyNumberFormat="1" applyFont="1" applyBorder="1" applyAlignment="1">
      <alignment vertical="center"/>
    </xf>
    <xf numFmtId="0" fontId="195" fillId="0" borderId="11" xfId="0" applyFont="1" applyBorder="1" applyAlignment="1">
      <alignment horizontal="center" vertical="center"/>
    </xf>
    <xf numFmtId="181" fontId="95" fillId="0" borderId="0" xfId="460" applyNumberFormat="1" applyFont="1" applyAlignment="1">
      <alignment horizontal="center" vertical="center" shrinkToFit="1"/>
    </xf>
    <xf numFmtId="0" fontId="196" fillId="23" borderId="0" xfId="0" applyFont="1" applyFill="1" applyAlignment="1">
      <alignment horizontal="center" vertical="center"/>
    </xf>
    <xf numFmtId="0" fontId="136" fillId="0" borderId="0" xfId="0" applyFont="1" applyAlignment="1">
      <alignment horizontal="center" vertical="center" shrinkToFit="1"/>
    </xf>
    <xf numFmtId="188" fontId="136" fillId="0" borderId="0" xfId="0" applyNumberFormat="1" applyFont="1" applyAlignment="1">
      <alignment horizontal="center" vertical="center" shrinkToFit="1"/>
    </xf>
    <xf numFmtId="187" fontId="136" fillId="0" borderId="0" xfId="0" applyNumberFormat="1" applyFont="1" applyAlignment="1">
      <alignment horizontal="center" vertical="center" shrinkToFit="1"/>
    </xf>
    <xf numFmtId="178" fontId="136" fillId="0" borderId="0" xfId="0" applyNumberFormat="1" applyFont="1" applyAlignment="1">
      <alignment horizontal="center" vertical="center" shrinkToFit="1"/>
    </xf>
    <xf numFmtId="0" fontId="136" fillId="0" borderId="0" xfId="0" applyFont="1" applyAlignment="1">
      <alignment vertical="center" shrinkToFit="1"/>
    </xf>
    <xf numFmtId="183" fontId="181" fillId="0" borderId="201" xfId="0" applyNumberFormat="1" applyFont="1" applyBorder="1" applyAlignment="1">
      <alignment horizontal="right" shrinkToFit="1"/>
    </xf>
    <xf numFmtId="177" fontId="171" fillId="0" borderId="6" xfId="458" applyNumberFormat="1" applyFont="1" applyBorder="1" applyAlignment="1">
      <alignment horizontal="right" shrinkToFit="1"/>
    </xf>
    <xf numFmtId="190" fontId="172" fillId="72" borderId="6" xfId="458" applyNumberFormat="1" applyFont="1" applyFill="1" applyBorder="1" applyAlignment="1">
      <alignment horizontal="right" shrinkToFit="1"/>
    </xf>
    <xf numFmtId="201" fontId="172" fillId="79" borderId="6" xfId="458" applyNumberFormat="1" applyFont="1" applyFill="1" applyBorder="1" applyAlignment="1">
      <alignment horizontal="right" shrinkToFit="1"/>
    </xf>
    <xf numFmtId="201" fontId="172" fillId="16" borderId="202" xfId="458" applyNumberFormat="1" applyFont="1" applyFill="1" applyBorder="1" applyAlignment="1">
      <alignment horizontal="right" shrinkToFit="1"/>
    </xf>
    <xf numFmtId="177" fontId="171" fillId="0" borderId="204" xfId="458" applyNumberFormat="1" applyFont="1" applyBorder="1" applyAlignment="1">
      <alignment horizontal="right" shrinkToFit="1"/>
    </xf>
    <xf numFmtId="183" fontId="181" fillId="0" borderId="154" xfId="0" applyNumberFormat="1" applyFont="1" applyBorder="1" applyAlignment="1">
      <alignment horizontal="center" shrinkToFit="1"/>
    </xf>
    <xf numFmtId="10" fontId="171" fillId="0" borderId="41" xfId="460" applyNumberFormat="1" applyFont="1" applyBorder="1" applyAlignment="1">
      <alignment horizontal="right" shrinkToFit="1"/>
    </xf>
    <xf numFmtId="201" fontId="169" fillId="80" borderId="41" xfId="458" applyNumberFormat="1" applyFont="1" applyFill="1" applyBorder="1" applyAlignment="1">
      <alignment horizontal="right" shrinkToFit="1"/>
    </xf>
    <xf numFmtId="179" fontId="171" fillId="0" borderId="41" xfId="460" applyNumberFormat="1" applyFont="1" applyBorder="1" applyAlignment="1">
      <alignment horizontal="right" shrinkToFit="1"/>
    </xf>
    <xf numFmtId="190" fontId="169" fillId="80" borderId="53" xfId="458" applyNumberFormat="1" applyFont="1" applyFill="1" applyBorder="1" applyAlignment="1">
      <alignment horizontal="right" shrinkToFit="1"/>
    </xf>
    <xf numFmtId="179" fontId="171" fillId="0" borderId="154" xfId="460" applyNumberFormat="1" applyFont="1" applyBorder="1" applyAlignment="1">
      <alignment horizontal="right" shrinkToFit="1"/>
    </xf>
    <xf numFmtId="10" fontId="171" fillId="0" borderId="194" xfId="460" applyNumberFormat="1" applyFont="1" applyBorder="1" applyAlignment="1">
      <alignment horizontal="right" shrinkToFit="1"/>
    </xf>
    <xf numFmtId="179" fontId="171" fillId="0" borderId="153" xfId="460" applyNumberFormat="1" applyFont="1" applyBorder="1" applyAlignment="1">
      <alignment horizontal="right" shrinkToFit="1"/>
    </xf>
    <xf numFmtId="185" fontId="146" fillId="0" borderId="0" xfId="0" applyNumberFormat="1" applyFont="1" applyAlignment="1">
      <alignment vertical="center"/>
    </xf>
    <xf numFmtId="18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49" fontId="95" fillId="83" borderId="0" xfId="0" applyNumberFormat="1" applyFont="1" applyFill="1" applyAlignment="1">
      <alignment horizontal="center" vertical="center" shrinkToFit="1"/>
    </xf>
    <xf numFmtId="49" fontId="95" fillId="0" borderId="0" xfId="0" applyNumberFormat="1" applyFont="1" applyAlignment="1">
      <alignment horizontal="center" vertical="center" shrinkToFit="1"/>
    </xf>
    <xf numFmtId="0" fontId="64" fillId="5" borderId="0" xfId="0" applyFont="1" applyFill="1" applyAlignment="1">
      <alignment horizontal="center" vertical="center" wrapText="1"/>
    </xf>
    <xf numFmtId="0" fontId="64" fillId="5" borderId="0" xfId="0" applyFont="1" applyFill="1" applyAlignment="1">
      <alignment horizontal="left" vertical="center" wrapText="1"/>
    </xf>
    <xf numFmtId="0" fontId="64" fillId="5" borderId="0" xfId="0" applyFont="1" applyFill="1" applyAlignment="1">
      <alignment horizontal="left" vertical="center"/>
    </xf>
    <xf numFmtId="178" fontId="64" fillId="5" borderId="0" xfId="0" applyNumberFormat="1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 shrinkToFit="1"/>
    </xf>
    <xf numFmtId="178" fontId="64" fillId="5" borderId="0" xfId="0" applyNumberFormat="1" applyFont="1" applyFill="1" applyAlignment="1">
      <alignment horizontal="center" vertical="center" shrinkToFit="1"/>
    </xf>
    <xf numFmtId="20" fontId="111" fillId="2" borderId="0" xfId="0" applyNumberFormat="1" applyFont="1" applyFill="1" applyAlignment="1" applyProtection="1">
      <alignment horizontal="center" vertical="center"/>
      <protection locked="0"/>
    </xf>
    <xf numFmtId="187" fontId="64" fillId="9" borderId="0" xfId="0" applyNumberFormat="1" applyFont="1" applyFill="1" applyAlignment="1">
      <alignment horizontal="center" vertical="center"/>
    </xf>
    <xf numFmtId="0" fontId="64" fillId="0" borderId="0" xfId="0" applyFont="1" applyAlignment="1" applyProtection="1">
      <alignment horizontal="left" vertical="center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186" fontId="64" fillId="0" borderId="0" xfId="0" applyNumberFormat="1" applyFont="1" applyAlignment="1" applyProtection="1">
      <alignment horizontal="center" vertical="center"/>
      <protection locked="0"/>
    </xf>
    <xf numFmtId="178" fontId="64" fillId="0" borderId="0" xfId="0" applyNumberFormat="1" applyFont="1" applyAlignment="1" applyProtection="1">
      <alignment horizontal="center" vertical="center"/>
      <protection locked="0"/>
    </xf>
    <xf numFmtId="14" fontId="64" fillId="0" borderId="0" xfId="0" applyNumberFormat="1" applyFont="1" applyAlignment="1" applyProtection="1">
      <alignment horizontal="center" vertical="center" shrinkToFit="1"/>
      <protection locked="0"/>
    </xf>
    <xf numFmtId="0" fontId="64" fillId="0" borderId="0" xfId="0" applyFont="1" applyAlignment="1" applyProtection="1">
      <alignment horizontal="center" vertical="center" shrinkToFit="1"/>
      <protection locked="0"/>
    </xf>
    <xf numFmtId="186" fontId="64" fillId="0" borderId="0" xfId="0" applyNumberFormat="1" applyFont="1" applyAlignment="1">
      <alignment horizontal="center" vertical="center"/>
    </xf>
    <xf numFmtId="0" fontId="64" fillId="0" borderId="0" xfId="0" applyFont="1" applyAlignment="1">
      <alignment horizontal="left" vertical="center"/>
    </xf>
    <xf numFmtId="0" fontId="64" fillId="0" borderId="0" xfId="0" applyFont="1" applyAlignment="1">
      <alignment vertical="center"/>
    </xf>
    <xf numFmtId="17" fontId="64" fillId="0" borderId="0" xfId="0" applyNumberFormat="1" applyFont="1" applyAlignment="1">
      <alignment horizontal="left" vertical="center"/>
    </xf>
    <xf numFmtId="14" fontId="64" fillId="0" borderId="0" xfId="0" applyNumberFormat="1" applyFont="1" applyAlignment="1">
      <alignment vertical="center" shrinkToFit="1"/>
    </xf>
    <xf numFmtId="0" fontId="64" fillId="0" borderId="0" xfId="0" applyFont="1" applyAlignment="1">
      <alignment vertical="center" shrinkToFit="1"/>
    </xf>
    <xf numFmtId="0" fontId="202" fillId="0" borderId="97" xfId="0" applyFont="1" applyBorder="1" applyAlignment="1">
      <alignment horizontal="center" vertical="center" wrapText="1"/>
    </xf>
    <xf numFmtId="0" fontId="202" fillId="22" borderId="97" xfId="0" applyFont="1" applyFill="1" applyBorder="1" applyAlignment="1">
      <alignment horizontal="center" vertical="center" wrapText="1"/>
    </xf>
    <xf numFmtId="0" fontId="202" fillId="89" borderId="96" xfId="0" applyFont="1" applyFill="1" applyBorder="1" applyAlignment="1">
      <alignment horizontal="center" vertical="center" wrapText="1"/>
    </xf>
    <xf numFmtId="0" fontId="202" fillId="89" borderId="97" xfId="0" applyFont="1" applyFill="1" applyBorder="1" applyAlignment="1">
      <alignment horizontal="center" vertical="center" wrapText="1"/>
    </xf>
    <xf numFmtId="0" fontId="202" fillId="89" borderId="98" xfId="0" applyFont="1" applyFill="1" applyBorder="1" applyAlignment="1">
      <alignment horizontal="center" vertical="center" wrapText="1"/>
    </xf>
    <xf numFmtId="0" fontId="202" fillId="0" borderId="96" xfId="0" applyFont="1" applyBorder="1" applyAlignment="1">
      <alignment horizontal="center" vertical="center" wrapText="1"/>
    </xf>
    <xf numFmtId="0" fontId="202" fillId="0" borderId="98" xfId="0" applyFont="1" applyBorder="1" applyAlignment="1">
      <alignment horizontal="center" vertical="center" wrapText="1"/>
    </xf>
    <xf numFmtId="178" fontId="202" fillId="18" borderId="97" xfId="0" applyNumberFormat="1" applyFont="1" applyFill="1" applyBorder="1" applyAlignment="1">
      <alignment horizontal="center" vertical="center" wrapText="1"/>
    </xf>
    <xf numFmtId="0" fontId="202" fillId="18" borderId="97" xfId="0" applyFont="1" applyFill="1" applyBorder="1" applyAlignment="1">
      <alignment horizontal="center" vertical="center" wrapText="1"/>
    </xf>
    <xf numFmtId="0" fontId="202" fillId="0" borderId="85" xfId="0" applyFont="1" applyBorder="1" applyAlignment="1">
      <alignment horizontal="center" vertical="center" wrapText="1"/>
    </xf>
    <xf numFmtId="0" fontId="202" fillId="0" borderId="86" xfId="0" applyFont="1" applyBorder="1" applyAlignment="1">
      <alignment horizontal="center" vertical="center" wrapText="1"/>
    </xf>
    <xf numFmtId="0" fontId="202" fillId="0" borderId="216" xfId="0" applyFont="1" applyBorder="1" applyAlignment="1">
      <alignment horizontal="center" vertical="center" wrapText="1"/>
    </xf>
    <xf numFmtId="185" fontId="202" fillId="0" borderId="217" xfId="0" applyNumberFormat="1" applyFont="1" applyBorder="1" applyAlignment="1">
      <alignment vertical="center"/>
    </xf>
    <xf numFmtId="0" fontId="202" fillId="0" borderId="217" xfId="0" applyFont="1" applyBorder="1" applyAlignment="1">
      <alignment vertical="center"/>
    </xf>
    <xf numFmtId="0" fontId="202" fillId="89" borderId="218" xfId="0" applyFont="1" applyFill="1" applyBorder="1" applyAlignment="1">
      <alignment vertical="center"/>
    </xf>
    <xf numFmtId="0" fontId="202" fillId="89" borderId="217" xfId="0" applyFont="1" applyFill="1" applyBorder="1" applyAlignment="1">
      <alignment vertical="center"/>
    </xf>
    <xf numFmtId="0" fontId="202" fillId="89" borderId="219" xfId="0" applyFont="1" applyFill="1" applyBorder="1" applyAlignment="1">
      <alignment vertical="center"/>
    </xf>
    <xf numFmtId="0" fontId="202" fillId="0" borderId="217" xfId="0" applyFont="1" applyBorder="1" applyAlignment="1">
      <alignment horizontal="center" vertical="center"/>
    </xf>
    <xf numFmtId="0" fontId="202" fillId="0" borderId="217" xfId="0" applyFont="1" applyBorder="1" applyAlignment="1">
      <alignment horizontal="center" vertical="center" shrinkToFit="1"/>
    </xf>
    <xf numFmtId="0" fontId="202" fillId="0" borderId="218" xfId="0" applyFont="1" applyBorder="1" applyAlignment="1">
      <alignment horizontal="center" vertical="center"/>
    </xf>
    <xf numFmtId="0" fontId="202" fillId="0" borderId="219" xfId="0" applyFont="1" applyBorder="1" applyAlignment="1">
      <alignment horizontal="center" vertical="center" shrinkToFit="1"/>
    </xf>
    <xf numFmtId="178" fontId="202" fillId="18" borderId="217" xfId="0" applyNumberFormat="1" applyFont="1" applyFill="1" applyBorder="1" applyAlignment="1">
      <alignment horizontal="center" vertical="center"/>
    </xf>
    <xf numFmtId="0" fontId="202" fillId="18" borderId="217" xfId="0" applyFont="1" applyFill="1" applyBorder="1" applyAlignment="1">
      <alignment horizontal="center" vertical="center"/>
    </xf>
    <xf numFmtId="0" fontId="202" fillId="0" borderId="222" xfId="0" applyFont="1" applyBorder="1" applyAlignment="1">
      <alignment vertical="center" shrinkToFit="1"/>
    </xf>
    <xf numFmtId="0" fontId="202" fillId="0" borderId="0" xfId="0" applyFont="1" applyAlignment="1">
      <alignment vertical="center"/>
    </xf>
    <xf numFmtId="185" fontId="202" fillId="0" borderId="223" xfId="0" applyNumberFormat="1" applyFont="1" applyBorder="1" applyAlignment="1">
      <alignment vertical="center"/>
    </xf>
    <xf numFmtId="0" fontId="202" fillId="0" borderId="223" xfId="0" applyFont="1" applyBorder="1" applyAlignment="1">
      <alignment vertical="center"/>
    </xf>
    <xf numFmtId="0" fontId="202" fillId="89" borderId="224" xfId="0" applyFont="1" applyFill="1" applyBorder="1" applyAlignment="1">
      <alignment vertical="center"/>
    </xf>
    <xf numFmtId="0" fontId="202" fillId="89" borderId="223" xfId="0" applyFont="1" applyFill="1" applyBorder="1" applyAlignment="1">
      <alignment vertical="center"/>
    </xf>
    <xf numFmtId="0" fontId="202" fillId="89" borderId="225" xfId="0" applyFont="1" applyFill="1" applyBorder="1" applyAlignment="1">
      <alignment vertical="center"/>
    </xf>
    <xf numFmtId="0" fontId="202" fillId="0" borderId="223" xfId="0" applyFont="1" applyBorder="1" applyAlignment="1">
      <alignment horizontal="center" vertical="center"/>
    </xf>
    <xf numFmtId="0" fontId="202" fillId="0" borderId="223" xfId="0" applyFont="1" applyBorder="1" applyAlignment="1">
      <alignment horizontal="center" vertical="center" shrinkToFit="1"/>
    </xf>
    <xf numFmtId="0" fontId="202" fillId="0" borderId="224" xfId="0" applyFont="1" applyBorder="1" applyAlignment="1">
      <alignment horizontal="center" vertical="center"/>
    </xf>
    <xf numFmtId="0" fontId="202" fillId="0" borderId="225" xfId="0" applyFont="1" applyBorder="1" applyAlignment="1">
      <alignment horizontal="center" vertical="center" shrinkToFit="1"/>
    </xf>
    <xf numFmtId="178" fontId="202" fillId="18" borderId="223" xfId="0" applyNumberFormat="1" applyFont="1" applyFill="1" applyBorder="1" applyAlignment="1">
      <alignment horizontal="center" vertical="center"/>
    </xf>
    <xf numFmtId="0" fontId="202" fillId="18" borderId="223" xfId="0" applyFont="1" applyFill="1" applyBorder="1" applyAlignment="1">
      <alignment horizontal="center" vertical="center"/>
    </xf>
    <xf numFmtId="0" fontId="202" fillId="0" borderId="227" xfId="0" applyFont="1" applyBorder="1" applyAlignment="1">
      <alignment horizontal="center" vertical="center" shrinkToFit="1"/>
    </xf>
    <xf numFmtId="0" fontId="202" fillId="0" borderId="228" xfId="0" applyFont="1" applyBorder="1" applyAlignment="1">
      <alignment vertical="center" shrinkToFit="1"/>
    </xf>
    <xf numFmtId="0" fontId="204" fillId="0" borderId="223" xfId="0" applyFont="1" applyBorder="1" applyAlignment="1">
      <alignment vertical="center"/>
    </xf>
    <xf numFmtId="185" fontId="202" fillId="0" borderId="229" xfId="0" applyNumberFormat="1" applyFont="1" applyBorder="1" applyAlignment="1">
      <alignment vertical="center"/>
    </xf>
    <xf numFmtId="0" fontId="202" fillId="0" borderId="229" xfId="0" applyFont="1" applyBorder="1" applyAlignment="1">
      <alignment vertical="center"/>
    </xf>
    <xf numFmtId="0" fontId="204" fillId="0" borderId="229" xfId="0" applyFont="1" applyBorder="1" applyAlignment="1">
      <alignment vertical="center"/>
    </xf>
    <xf numFmtId="0" fontId="202" fillId="89" borderId="229" xfId="0" applyFont="1" applyFill="1" applyBorder="1" applyAlignment="1">
      <alignment vertical="center"/>
    </xf>
    <xf numFmtId="0" fontId="202" fillId="0" borderId="229" xfId="0" applyFont="1" applyBorder="1" applyAlignment="1">
      <alignment horizontal="center" vertical="center"/>
    </xf>
    <xf numFmtId="0" fontId="202" fillId="0" borderId="229" xfId="0" applyFont="1" applyBorder="1" applyAlignment="1">
      <alignment horizontal="center" vertical="center" shrinkToFit="1"/>
    </xf>
    <xf numFmtId="0" fontId="202" fillId="0" borderId="230" xfId="0" applyFont="1" applyBorder="1" applyAlignment="1">
      <alignment horizontal="center" vertical="center"/>
    </xf>
    <xf numFmtId="0" fontId="202" fillId="0" borderId="231" xfId="0" applyFont="1" applyBorder="1" applyAlignment="1">
      <alignment horizontal="center" vertical="center" shrinkToFit="1"/>
    </xf>
    <xf numFmtId="178" fontId="202" fillId="18" borderId="229" xfId="0" applyNumberFormat="1" applyFont="1" applyFill="1" applyBorder="1" applyAlignment="1">
      <alignment horizontal="center" vertical="center"/>
    </xf>
    <xf numFmtId="0" fontId="202" fillId="18" borderId="229" xfId="0" applyFont="1" applyFill="1" applyBorder="1" applyAlignment="1">
      <alignment horizontal="center" vertical="center"/>
    </xf>
    <xf numFmtId="0" fontId="202" fillId="0" borderId="233" xfId="0" applyFont="1" applyBorder="1" applyAlignment="1">
      <alignment horizontal="center" vertical="center" shrinkToFit="1"/>
    </xf>
    <xf numFmtId="0" fontId="202" fillId="0" borderId="234" xfId="0" applyFont="1" applyBorder="1" applyAlignment="1">
      <alignment vertical="center" shrinkToFit="1"/>
    </xf>
    <xf numFmtId="0" fontId="202" fillId="0" borderId="235" xfId="0" applyFont="1" applyBorder="1" applyAlignment="1">
      <alignment horizontal="center" vertical="center" shrinkToFit="1"/>
    </xf>
    <xf numFmtId="0" fontId="202" fillId="0" borderId="236" xfId="0" applyFont="1" applyBorder="1" applyAlignment="1">
      <alignment horizontal="center" vertical="center" shrinkToFit="1"/>
    </xf>
    <xf numFmtId="0" fontId="202" fillId="0" borderId="0" xfId="0" applyFont="1" applyAlignment="1">
      <alignment horizontal="center" vertical="center"/>
    </xf>
    <xf numFmtId="178" fontId="202" fillId="0" borderId="0" xfId="0" applyNumberFormat="1" applyFont="1" applyAlignment="1">
      <alignment horizontal="center" vertical="center"/>
    </xf>
    <xf numFmtId="177" fontId="202" fillId="0" borderId="0" xfId="0" applyNumberFormat="1" applyFont="1" applyAlignment="1">
      <alignment horizontal="center" vertical="center"/>
    </xf>
    <xf numFmtId="14" fontId="95" fillId="0" borderId="0" xfId="0" applyNumberFormat="1" applyFont="1" applyAlignment="1">
      <alignment horizontal="center" vertical="center" shrinkToFit="1"/>
    </xf>
    <xf numFmtId="0" fontId="95" fillId="0" borderId="0" xfId="460" applyNumberFormat="1" applyFont="1" applyAlignment="1">
      <alignment horizontal="center" vertical="center" shrinkToFit="1"/>
    </xf>
    <xf numFmtId="0" fontId="203" fillId="17" borderId="0" xfId="0" applyFont="1" applyFill="1" applyAlignment="1">
      <alignment vertical="center"/>
    </xf>
    <xf numFmtId="0" fontId="205" fillId="78" borderId="0" xfId="0" applyFont="1" applyFill="1" applyAlignment="1">
      <alignment horizontal="center" vertical="center" shrinkToFit="1"/>
    </xf>
    <xf numFmtId="205" fontId="95" fillId="0" borderId="0" xfId="0" applyNumberFormat="1" applyFont="1" applyAlignment="1">
      <alignment horizontal="center" vertical="center" shrinkToFit="1"/>
    </xf>
    <xf numFmtId="0" fontId="206" fillId="0" borderId="0" xfId="0" applyFont="1" applyAlignment="1">
      <alignment horizontal="center" vertical="center"/>
    </xf>
    <xf numFmtId="0" fontId="206" fillId="25" borderId="11" xfId="0" applyFont="1" applyFill="1" applyBorder="1" applyAlignment="1">
      <alignment horizontal="center" vertical="center"/>
    </xf>
    <xf numFmtId="0" fontId="206" fillId="0" borderId="11" xfId="0" applyFont="1" applyBorder="1" applyAlignment="1">
      <alignment horizontal="center" vertical="center"/>
    </xf>
    <xf numFmtId="0" fontId="206" fillId="0" borderId="177" xfId="0" applyFont="1" applyBorder="1" applyAlignment="1">
      <alignment horizontal="center" vertical="center"/>
    </xf>
    <xf numFmtId="0" fontId="206" fillId="0" borderId="0" xfId="0" applyFont="1"/>
    <xf numFmtId="0" fontId="206" fillId="0" borderId="179" xfId="0" applyFont="1" applyBorder="1" applyAlignment="1">
      <alignment horizontal="center" vertical="center"/>
    </xf>
    <xf numFmtId="0" fontId="206" fillId="78" borderId="11" xfId="0" applyFont="1" applyFill="1" applyBorder="1" applyAlignment="1">
      <alignment horizontal="center" vertical="center"/>
    </xf>
    <xf numFmtId="0" fontId="197" fillId="0" borderId="0" xfId="0" applyFont="1"/>
    <xf numFmtId="0" fontId="207" fillId="0" borderId="173" xfId="0" pivotButton="1" applyFont="1" applyBorder="1" applyAlignment="1">
      <alignment horizontal="center" vertical="center"/>
    </xf>
    <xf numFmtId="10" fontId="207" fillId="0" borderId="177" xfId="0" applyNumberFormat="1" applyFont="1" applyBorder="1" applyAlignment="1">
      <alignment horizontal="center" vertical="center"/>
    </xf>
    <xf numFmtId="10" fontId="207" fillId="0" borderId="180" xfId="0" applyNumberFormat="1" applyFont="1" applyBorder="1" applyAlignment="1">
      <alignment horizontal="center" vertical="center"/>
    </xf>
    <xf numFmtId="10" fontId="207" fillId="0" borderId="182" xfId="0" applyNumberFormat="1" applyFont="1" applyBorder="1" applyAlignment="1">
      <alignment horizontal="center" vertical="center"/>
    </xf>
    <xf numFmtId="0" fontId="207" fillId="0" borderId="173" xfId="0" applyFont="1" applyBorder="1" applyAlignment="1">
      <alignment horizontal="center" vertical="center"/>
    </xf>
    <xf numFmtId="0" fontId="207" fillId="0" borderId="181" xfId="0" applyFont="1" applyBorder="1" applyAlignment="1">
      <alignment horizontal="center" vertical="center"/>
    </xf>
    <xf numFmtId="0" fontId="207" fillId="0" borderId="177" xfId="0" applyFont="1" applyBorder="1" applyAlignment="1">
      <alignment horizontal="center" vertical="center"/>
    </xf>
    <xf numFmtId="187" fontId="94" fillId="0" borderId="50" xfId="0" applyNumberFormat="1" applyFont="1" applyBorder="1" applyAlignment="1">
      <alignment horizontal="center" vertical="center" shrinkToFit="1"/>
    </xf>
    <xf numFmtId="17" fontId="168" fillId="36" borderId="0" xfId="1" quotePrefix="1" applyNumberFormat="1" applyFont="1" applyFill="1">
      <alignment vertical="center"/>
    </xf>
    <xf numFmtId="0" fontId="213" fillId="70" borderId="0" xfId="0" applyFont="1" applyFill="1"/>
    <xf numFmtId="178" fontId="40" fillId="0" borderId="0" xfId="0" applyNumberFormat="1" applyFont="1"/>
    <xf numFmtId="0" fontId="215" fillId="36" borderId="0" xfId="101" applyFont="1" applyFill="1">
      <alignment vertical="center"/>
    </xf>
    <xf numFmtId="187" fontId="215" fillId="36" borderId="0" xfId="101" applyNumberFormat="1" applyFont="1" applyFill="1" applyAlignment="1">
      <alignment horizontal="center" vertical="center"/>
    </xf>
    <xf numFmtId="186" fontId="215" fillId="36" borderId="0" xfId="101" applyNumberFormat="1" applyFont="1" applyFill="1">
      <alignment vertical="center"/>
    </xf>
    <xf numFmtId="186" fontId="215" fillId="36" borderId="0" xfId="101" applyNumberFormat="1" applyFont="1" applyFill="1" applyAlignment="1">
      <alignment horizontal="center" vertical="center"/>
    </xf>
    <xf numFmtId="182" fontId="215" fillId="36" borderId="0" xfId="101" applyNumberFormat="1" applyFont="1" applyFill="1">
      <alignment vertical="center"/>
    </xf>
    <xf numFmtId="182" fontId="215" fillId="36" borderId="0" xfId="101" applyNumberFormat="1" applyFont="1" applyFill="1" applyAlignment="1">
      <alignment horizontal="center" vertical="center"/>
    </xf>
    <xf numFmtId="0" fontId="215" fillId="0" borderId="0" xfId="101" applyFont="1">
      <alignment vertical="center"/>
    </xf>
    <xf numFmtId="0" fontId="216" fillId="72" borderId="0" xfId="0" applyFont="1" applyFill="1" applyAlignment="1">
      <alignment vertical="center"/>
    </xf>
    <xf numFmtId="1" fontId="40" fillId="0" borderId="11" xfId="0" applyNumberFormat="1" applyFont="1" applyBorder="1" applyAlignment="1">
      <alignment vertical="center"/>
    </xf>
    <xf numFmtId="1" fontId="40" fillId="0" borderId="17" xfId="0" applyNumberFormat="1" applyFont="1" applyBorder="1" applyAlignment="1">
      <alignment vertical="center"/>
    </xf>
    <xf numFmtId="1" fontId="40" fillId="0" borderId="46" xfId="0" applyNumberFormat="1" applyFont="1" applyBorder="1" applyAlignment="1">
      <alignment vertical="center"/>
    </xf>
    <xf numFmtId="0" fontId="195" fillId="75" borderId="85" xfId="575" applyFont="1" applyFill="1" applyBorder="1" applyAlignment="1">
      <alignment horizontal="center" vertical="center" wrapText="1" readingOrder="1"/>
    </xf>
    <xf numFmtId="17" fontId="217" fillId="23" borderId="191" xfId="575" quotePrefix="1" applyNumberFormat="1" applyFont="1" applyFill="1" applyBorder="1" applyAlignment="1">
      <alignment horizontal="center" vertical="center" wrapText="1" readingOrder="1"/>
    </xf>
    <xf numFmtId="204" fontId="217" fillId="0" borderId="192" xfId="575" applyNumberFormat="1" applyFont="1" applyBorder="1" applyAlignment="1">
      <alignment horizontal="center" vertical="center" wrapText="1" readingOrder="1"/>
    </xf>
    <xf numFmtId="204" fontId="217" fillId="76" borderId="53" xfId="575" applyNumberFormat="1" applyFont="1" applyFill="1" applyBorder="1" applyAlignment="1">
      <alignment horizontal="center" vertical="center" wrapText="1" readingOrder="1"/>
    </xf>
    <xf numFmtId="0" fontId="217" fillId="0" borderId="66" xfId="466" applyFont="1" applyBorder="1" applyAlignment="1">
      <alignment horizontal="center" vertical="center"/>
    </xf>
    <xf numFmtId="190" fontId="217" fillId="0" borderId="101" xfId="575" applyNumberFormat="1" applyFont="1" applyBorder="1" applyAlignment="1">
      <alignment horizontal="center" vertical="center" wrapText="1" readingOrder="1"/>
    </xf>
    <xf numFmtId="0" fontId="217" fillId="0" borderId="154" xfId="466" applyFont="1" applyBorder="1" applyAlignment="1">
      <alignment horizontal="center" vertical="center"/>
    </xf>
    <xf numFmtId="183" fontId="214" fillId="0" borderId="53" xfId="575" applyNumberFormat="1" applyFont="1" applyBorder="1" applyAlignment="1">
      <alignment horizontal="center" vertical="center" wrapText="1" readingOrder="1"/>
    </xf>
    <xf numFmtId="0" fontId="40" fillId="0" borderId="0" xfId="0" applyFont="1" applyAlignment="1">
      <alignment horizontal="center"/>
    </xf>
    <xf numFmtId="176" fontId="40" fillId="0" borderId="0" xfId="0" applyNumberFormat="1" applyFont="1" applyAlignment="1">
      <alignment horizontal="center"/>
    </xf>
    <xf numFmtId="0" fontId="147" fillId="18" borderId="0" xfId="0" applyFont="1" applyFill="1"/>
    <xf numFmtId="0" fontId="78" fillId="0" borderId="44" xfId="0" applyFont="1" applyBorder="1" applyAlignment="1">
      <alignment vertical="center"/>
    </xf>
    <xf numFmtId="2" fontId="40" fillId="0" borderId="0" xfId="0" applyNumberFormat="1" applyFont="1"/>
    <xf numFmtId="198" fontId="217" fillId="0" borderId="101" xfId="575" applyNumberFormat="1" applyFont="1" applyBorder="1" applyAlignment="1">
      <alignment horizontal="center" vertical="center" readingOrder="1"/>
    </xf>
    <xf numFmtId="198" fontId="217" fillId="21" borderId="26" xfId="575" applyNumberFormat="1" applyFont="1" applyFill="1" applyBorder="1" applyAlignment="1">
      <alignment horizontal="center" vertical="center" readingOrder="1"/>
    </xf>
    <xf numFmtId="198" fontId="217" fillId="76" borderId="53" xfId="575" applyNumberFormat="1" applyFont="1" applyFill="1" applyBorder="1" applyAlignment="1">
      <alignment horizontal="center" vertical="center" readingOrder="1"/>
    </xf>
    <xf numFmtId="0" fontId="195" fillId="75" borderId="66" xfId="575" applyFont="1" applyFill="1" applyBorder="1" applyAlignment="1">
      <alignment horizontal="center" vertical="center" readingOrder="1"/>
    </xf>
    <xf numFmtId="0" fontId="218" fillId="21" borderId="49" xfId="575" applyFont="1" applyFill="1" applyBorder="1" applyAlignment="1">
      <alignment horizontal="center" vertical="center" readingOrder="1"/>
    </xf>
    <xf numFmtId="0" fontId="218" fillId="76" borderId="154" xfId="575" applyFont="1" applyFill="1" applyBorder="1" applyAlignment="1">
      <alignment horizontal="center" vertical="center" readingOrder="1"/>
    </xf>
    <xf numFmtId="0" fontId="195" fillId="77" borderId="189" xfId="575" applyFont="1" applyFill="1" applyBorder="1" applyAlignment="1">
      <alignment horizontal="center" vertical="center" readingOrder="1"/>
    </xf>
    <xf numFmtId="0" fontId="218" fillId="76" borderId="167" xfId="575" applyFont="1" applyFill="1" applyBorder="1" applyAlignment="1">
      <alignment horizontal="center" vertical="center" readingOrder="1"/>
    </xf>
    <xf numFmtId="0" fontId="195" fillId="77" borderId="66" xfId="575" applyFont="1" applyFill="1" applyBorder="1" applyAlignment="1">
      <alignment horizontal="center" vertical="center" readingOrder="1"/>
    </xf>
    <xf numFmtId="0" fontId="195" fillId="77" borderId="190" xfId="575" applyFont="1" applyFill="1" applyBorder="1" applyAlignment="1">
      <alignment horizontal="center" vertical="center" readingOrder="1"/>
    </xf>
    <xf numFmtId="0" fontId="89" fillId="0" borderId="54" xfId="460" applyNumberFormat="1" applyFont="1" applyFill="1" applyBorder="1" applyAlignment="1" applyProtection="1">
      <alignment horizontal="center" vertical="center"/>
      <protection locked="0"/>
    </xf>
    <xf numFmtId="0" fontId="206" fillId="25" borderId="11" xfId="0" applyFont="1" applyFill="1" applyBorder="1" applyAlignment="1">
      <alignment horizontal="center" vertical="center" shrinkToFit="1"/>
    </xf>
    <xf numFmtId="10" fontId="206" fillId="17" borderId="0" xfId="460" applyNumberFormat="1" applyFont="1" applyFill="1" applyAlignment="1">
      <alignment horizontal="center" vertical="center" shrinkToFit="1"/>
    </xf>
    <xf numFmtId="0" fontId="206" fillId="18" borderId="11" xfId="0" applyFont="1" applyFill="1" applyBorder="1" applyAlignment="1">
      <alignment horizontal="center" vertical="center" shrinkToFit="1"/>
    </xf>
    <xf numFmtId="10" fontId="206" fillId="0" borderId="11" xfId="460" applyNumberFormat="1" applyFont="1" applyBorder="1" applyAlignment="1">
      <alignment horizontal="center" vertical="center" shrinkToFit="1"/>
    </xf>
    <xf numFmtId="0" fontId="206" fillId="0" borderId="11" xfId="0" applyFont="1" applyBorder="1" applyAlignment="1">
      <alignment horizontal="center" vertical="center" shrinkToFit="1"/>
    </xf>
    <xf numFmtId="10" fontId="206" fillId="18" borderId="11" xfId="460" applyNumberFormat="1" applyFont="1" applyFill="1" applyBorder="1" applyAlignment="1">
      <alignment horizontal="center" vertical="center" shrinkToFit="1"/>
    </xf>
    <xf numFmtId="10" fontId="206" fillId="0" borderId="0" xfId="460" applyNumberFormat="1" applyFont="1" applyAlignment="1">
      <alignment horizontal="center" vertical="center" shrinkToFit="1"/>
    </xf>
    <xf numFmtId="0" fontId="206" fillId="0" borderId="0" xfId="0" applyFont="1" applyAlignment="1">
      <alignment horizontal="center" vertical="center" shrinkToFit="1"/>
    </xf>
    <xf numFmtId="10" fontId="206" fillId="78" borderId="11" xfId="460" applyNumberFormat="1" applyFont="1" applyFill="1" applyBorder="1" applyAlignment="1">
      <alignment horizontal="center" vertical="center" shrinkToFit="1"/>
    </xf>
    <xf numFmtId="0" fontId="206" fillId="78" borderId="11" xfId="0" applyFont="1" applyFill="1" applyBorder="1" applyAlignment="1">
      <alignment horizontal="center" vertical="center" shrinkToFit="1"/>
    </xf>
    <xf numFmtId="0" fontId="221" fillId="86" borderId="0" xfId="0" quotePrefix="1" applyFont="1" applyFill="1" applyAlignment="1">
      <alignment horizontal="left" vertical="center"/>
    </xf>
    <xf numFmtId="0" fontId="202" fillId="23" borderId="0" xfId="0" applyFont="1" applyFill="1" applyAlignment="1">
      <alignment horizontal="left" vertical="center"/>
    </xf>
    <xf numFmtId="0" fontId="202" fillId="0" borderId="0" xfId="0" applyFont="1" applyAlignment="1">
      <alignment horizontal="left" vertical="center"/>
    </xf>
    <xf numFmtId="0" fontId="202" fillId="45" borderId="162" xfId="533" applyFont="1" applyAlignment="1">
      <alignment horizontal="left" vertical="center"/>
    </xf>
    <xf numFmtId="177" fontId="186" fillId="0" borderId="185" xfId="0" applyNumberFormat="1" applyFont="1" applyBorder="1" applyAlignment="1">
      <alignment horizontal="center"/>
    </xf>
    <xf numFmtId="177" fontId="186" fillId="0" borderId="238" xfId="458" applyNumberFormat="1" applyFont="1" applyBorder="1" applyAlignment="1">
      <alignment horizontal="right"/>
    </xf>
    <xf numFmtId="10" fontId="170" fillId="0" borderId="0" xfId="0" applyNumberFormat="1" applyFont="1" applyAlignment="1">
      <alignment horizontal="center" vertical="center"/>
    </xf>
    <xf numFmtId="0" fontId="171" fillId="23" borderId="0" xfId="0" applyFont="1" applyFill="1" applyAlignment="1">
      <alignment horizontal="right"/>
    </xf>
    <xf numFmtId="10" fontId="171" fillId="0" borderId="239" xfId="460" applyNumberFormat="1" applyFont="1" applyBorder="1" applyAlignment="1">
      <alignment horizontal="right" shrinkToFit="1"/>
    </xf>
    <xf numFmtId="177" fontId="171" fillId="0" borderId="205" xfId="458" applyNumberFormat="1" applyFont="1" applyBorder="1" applyAlignment="1">
      <alignment horizontal="right" shrinkToFit="1"/>
    </xf>
    <xf numFmtId="0" fontId="181" fillId="17" borderId="216" xfId="0" applyFont="1" applyFill="1" applyBorder="1" applyAlignment="1">
      <alignment horizontal="center"/>
    </xf>
    <xf numFmtId="0" fontId="171" fillId="17" borderId="85" xfId="0" applyFont="1" applyFill="1" applyBorder="1" applyAlignment="1">
      <alignment horizontal="center"/>
    </xf>
    <xf numFmtId="0" fontId="171" fillId="17" borderId="86" xfId="0" applyFont="1" applyFill="1" applyBorder="1" applyAlignment="1">
      <alignment horizontal="center"/>
    </xf>
    <xf numFmtId="0" fontId="171" fillId="17" borderId="216" xfId="0" applyFont="1" applyFill="1" applyBorder="1" applyAlignment="1">
      <alignment horizontal="center"/>
    </xf>
    <xf numFmtId="0" fontId="202" fillId="0" borderId="0" xfId="0" applyFont="1"/>
    <xf numFmtId="0" fontId="222" fillId="0" borderId="0" xfId="0" applyFont="1"/>
    <xf numFmtId="0" fontId="202" fillId="0" borderId="0" xfId="0" applyFont="1" applyAlignment="1">
      <alignment horizontal="center"/>
    </xf>
    <xf numFmtId="0" fontId="202" fillId="6" borderId="0" xfId="0" applyFont="1" applyFill="1" applyAlignment="1">
      <alignment horizontal="center"/>
    </xf>
    <xf numFmtId="0" fontId="202" fillId="6" borderId="0" xfId="0" applyFont="1" applyFill="1"/>
    <xf numFmtId="0" fontId="202" fillId="5" borderId="0" xfId="0" applyFont="1" applyFill="1"/>
    <xf numFmtId="182" fontId="208" fillId="36" borderId="0" xfId="101" applyNumberFormat="1" applyFont="1" applyFill="1">
      <alignment vertical="center"/>
    </xf>
    <xf numFmtId="177" fontId="186" fillId="0" borderId="240" xfId="458" applyNumberFormat="1" applyFont="1" applyBorder="1" applyAlignment="1">
      <alignment horizontal="right"/>
    </xf>
    <xf numFmtId="0" fontId="150" fillId="71" borderId="0" xfId="0" applyFont="1" applyFill="1" applyAlignment="1">
      <alignment horizontal="center"/>
    </xf>
    <xf numFmtId="10" fontId="40" fillId="71" borderId="0" xfId="460" applyNumberFormat="1" applyFont="1" applyFill="1" applyAlignment="1">
      <alignment horizontal="center"/>
    </xf>
    <xf numFmtId="0" fontId="0" fillId="36" borderId="0" xfId="0" applyFill="1"/>
    <xf numFmtId="0" fontId="169" fillId="80" borderId="0" xfId="0" applyFont="1" applyFill="1"/>
    <xf numFmtId="191" fontId="171" fillId="0" borderId="0" xfId="458" applyNumberFormat="1" applyFont="1" applyAlignment="1"/>
    <xf numFmtId="0" fontId="172" fillId="81" borderId="0" xfId="0" applyFont="1" applyFill="1" applyAlignment="1">
      <alignment horizontal="center"/>
    </xf>
    <xf numFmtId="0" fontId="171" fillId="0" borderId="0" xfId="0" applyFont="1" applyAlignment="1">
      <alignment horizontal="center" vertical="center"/>
    </xf>
    <xf numFmtId="188" fontId="171" fillId="0" borderId="0" xfId="0" applyNumberFormat="1" applyFont="1" applyAlignment="1">
      <alignment horizontal="center" vertical="center"/>
    </xf>
    <xf numFmtId="187" fontId="171" fillId="0" borderId="0" xfId="0" applyNumberFormat="1" applyFont="1" applyAlignment="1">
      <alignment horizontal="center" vertical="center"/>
    </xf>
    <xf numFmtId="178" fontId="171" fillId="0" borderId="0" xfId="0" applyNumberFormat="1" applyFont="1" applyAlignment="1">
      <alignment horizontal="center" vertical="center"/>
    </xf>
    <xf numFmtId="0" fontId="171" fillId="0" borderId="0" xfId="0" applyFont="1" applyAlignment="1">
      <alignment vertical="center"/>
    </xf>
    <xf numFmtId="0" fontId="223" fillId="80" borderId="0" xfId="0" applyFont="1" applyFill="1"/>
    <xf numFmtId="183" fontId="171" fillId="0" borderId="196" xfId="458" applyNumberFormat="1" applyFont="1" applyFill="1" applyBorder="1" applyAlignment="1">
      <alignment horizontal="right"/>
    </xf>
    <xf numFmtId="0" fontId="171" fillId="81" borderId="0" xfId="0" applyFont="1" applyFill="1" applyAlignment="1">
      <alignment vertical="center"/>
    </xf>
    <xf numFmtId="182" fontId="224" fillId="90" borderId="0" xfId="466" applyNumberFormat="1" applyFont="1" applyFill="1" applyAlignment="1">
      <alignment horizontal="left" vertical="center"/>
    </xf>
    <xf numFmtId="0" fontId="225" fillId="90" borderId="0" xfId="0" applyFont="1" applyFill="1" applyAlignment="1">
      <alignment vertical="center"/>
    </xf>
    <xf numFmtId="0" fontId="226" fillId="0" borderId="0" xfId="101" applyFont="1">
      <alignment vertical="center"/>
    </xf>
    <xf numFmtId="186" fontId="226" fillId="0" borderId="0" xfId="101" applyNumberFormat="1" applyFont="1">
      <alignment vertical="center"/>
    </xf>
    <xf numFmtId="182" fontId="226" fillId="0" borderId="0" xfId="101" applyNumberFormat="1" applyFont="1">
      <alignment vertical="center"/>
    </xf>
    <xf numFmtId="182" fontId="90" fillId="0" borderId="0" xfId="101" applyNumberFormat="1" applyFont="1">
      <alignment vertical="center"/>
    </xf>
    <xf numFmtId="178" fontId="217" fillId="0" borderId="109" xfId="460" applyNumberFormat="1" applyFont="1" applyBorder="1" applyAlignment="1">
      <alignment horizontal="center" vertical="center" readingOrder="1"/>
    </xf>
    <xf numFmtId="178" fontId="217" fillId="76" borderId="18" xfId="460" applyNumberFormat="1" applyFont="1" applyFill="1" applyBorder="1" applyAlignment="1">
      <alignment horizontal="center" vertical="center" readingOrder="1"/>
    </xf>
    <xf numFmtId="178" fontId="217" fillId="0" borderId="101" xfId="460" applyNumberFormat="1" applyFont="1" applyBorder="1" applyAlignment="1">
      <alignment horizontal="center" vertical="center" readingOrder="1"/>
    </xf>
    <xf numFmtId="178" fontId="217" fillId="76" borderId="53" xfId="460" applyNumberFormat="1" applyFont="1" applyFill="1" applyBorder="1" applyAlignment="1">
      <alignment horizontal="center" vertical="center" readingOrder="1"/>
    </xf>
    <xf numFmtId="0" fontId="200" fillId="38" borderId="0" xfId="0" applyFont="1" applyFill="1" applyAlignment="1">
      <alignment horizontal="center" vertical="center"/>
    </xf>
    <xf numFmtId="0" fontId="100" fillId="38" borderId="0" xfId="0" applyFont="1" applyFill="1" applyAlignment="1">
      <alignment horizontal="center" vertical="center"/>
    </xf>
    <xf numFmtId="0" fontId="99" fillId="38" borderId="0" xfId="0" applyFont="1" applyFill="1"/>
    <xf numFmtId="10" fontId="100" fillId="22" borderId="123" xfId="0" applyNumberFormat="1" applyFont="1" applyFill="1" applyBorder="1" applyAlignment="1">
      <alignment horizontal="center" vertical="center"/>
    </xf>
    <xf numFmtId="49" fontId="98" fillId="22" borderId="123" xfId="0" applyNumberFormat="1" applyFont="1" applyFill="1" applyBorder="1" applyAlignment="1">
      <alignment horizontal="center" vertical="center"/>
    </xf>
    <xf numFmtId="0" fontId="100" fillId="26" borderId="123" xfId="0" applyFont="1" applyFill="1" applyBorder="1" applyAlignment="1">
      <alignment horizontal="center" vertical="center"/>
    </xf>
    <xf numFmtId="0" fontId="100" fillId="26" borderId="123" xfId="0" applyFont="1" applyFill="1" applyBorder="1" applyAlignment="1">
      <alignment horizontal="center" vertical="center" wrapText="1"/>
    </xf>
    <xf numFmtId="0" fontId="96" fillId="26" borderId="123" xfId="0" applyFont="1" applyFill="1" applyBorder="1" applyAlignment="1">
      <alignment horizontal="center" vertical="center"/>
    </xf>
    <xf numFmtId="0" fontId="182" fillId="0" borderId="0" xfId="0" applyFont="1" applyAlignment="1">
      <alignment vertical="center"/>
    </xf>
    <xf numFmtId="176" fontId="186" fillId="0" borderId="11" xfId="458" applyNumberFormat="1" applyFont="1" applyBorder="1" applyAlignment="1">
      <alignment horizontal="right"/>
    </xf>
    <xf numFmtId="176" fontId="186" fillId="0" borderId="11" xfId="458" applyNumberFormat="1" applyFont="1" applyFill="1" applyBorder="1" applyAlignment="1">
      <alignment horizontal="right"/>
    </xf>
    <xf numFmtId="0" fontId="202" fillId="0" borderId="241" xfId="0" applyFont="1" applyBorder="1" applyAlignment="1">
      <alignment horizontal="center" vertical="center" shrinkToFit="1"/>
    </xf>
    <xf numFmtId="178" fontId="64" fillId="0" borderId="0" xfId="0" applyNumberFormat="1" applyFont="1" applyAlignment="1" applyProtection="1">
      <alignment vertical="center"/>
      <protection locked="0"/>
    </xf>
    <xf numFmtId="198" fontId="0" fillId="0" borderId="11" xfId="0" applyNumberFormat="1" applyBorder="1"/>
    <xf numFmtId="187" fontId="0" fillId="0" borderId="0" xfId="0" applyNumberFormat="1"/>
    <xf numFmtId="0" fontId="0" fillId="0" borderId="0" xfId="0" pivotButton="1"/>
    <xf numFmtId="0" fontId="211" fillId="23" borderId="0" xfId="0" applyFont="1" applyFill="1" applyAlignment="1">
      <alignment horizontal="center" vertical="center"/>
    </xf>
    <xf numFmtId="0" fontId="76" fillId="0" borderId="11" xfId="0" applyFont="1" applyBorder="1" applyAlignment="1">
      <alignment horizontal="center" vertical="center"/>
    </xf>
    <xf numFmtId="2" fontId="230" fillId="0" borderId="11" xfId="0" applyNumberFormat="1" applyFont="1" applyBorder="1" applyAlignment="1">
      <alignment horizontal="center" vertical="center"/>
    </xf>
    <xf numFmtId="0" fontId="139" fillId="0" borderId="68" xfId="0" applyFont="1" applyBorder="1" applyAlignment="1" applyProtection="1">
      <alignment vertical="center" shrinkToFit="1"/>
      <protection locked="0"/>
    </xf>
    <xf numFmtId="0" fontId="139" fillId="0" borderId="71" xfId="0" applyFont="1" applyBorder="1" applyAlignment="1">
      <alignment horizontal="left" vertical="center" shrinkToFit="1"/>
    </xf>
    <xf numFmtId="0" fontId="139" fillId="0" borderId="68" xfId="0" applyFont="1" applyBorder="1" applyAlignment="1">
      <alignment horizontal="left" vertical="center" shrinkToFit="1"/>
    </xf>
    <xf numFmtId="0" fontId="139" fillId="0" borderId="69" xfId="0" applyFont="1" applyBorder="1" applyAlignment="1" applyProtection="1">
      <alignment vertical="center" shrinkToFit="1"/>
      <protection locked="0"/>
    </xf>
    <xf numFmtId="0" fontId="168" fillId="0" borderId="0" xfId="0" applyFont="1" applyAlignment="1">
      <alignment vertical="center" shrinkToFit="1"/>
    </xf>
    <xf numFmtId="0" fontId="78" fillId="32" borderId="118" xfId="0" applyFont="1" applyFill="1" applyBorder="1" applyAlignment="1">
      <alignment horizontal="center" vertical="center" shrinkToFit="1"/>
    </xf>
    <xf numFmtId="0" fontId="77" fillId="0" borderId="71" xfId="0" applyFont="1" applyBorder="1" applyAlignment="1">
      <alignment horizontal="left" vertical="center" shrinkToFit="1"/>
    </xf>
    <xf numFmtId="0" fontId="77" fillId="0" borderId="68" xfId="0" applyFont="1" applyBorder="1" applyAlignment="1" applyProtection="1">
      <alignment vertical="center" shrinkToFit="1"/>
      <protection locked="0"/>
    </xf>
    <xf numFmtId="0" fontId="77" fillId="0" borderId="69" xfId="0" applyFont="1" applyBorder="1" applyAlignment="1" applyProtection="1">
      <alignment vertical="center" shrinkToFit="1"/>
      <protection locked="0"/>
    </xf>
    <xf numFmtId="0" fontId="77" fillId="0" borderId="70" xfId="0" applyFont="1" applyBorder="1" applyAlignment="1" applyProtection="1">
      <alignment vertical="center" shrinkToFit="1"/>
      <protection locked="0"/>
    </xf>
    <xf numFmtId="0" fontId="168" fillId="0" borderId="56" xfId="0" applyFont="1" applyBorder="1" applyAlignment="1" applyProtection="1">
      <alignment vertical="center" shrinkToFit="1"/>
      <protection locked="0"/>
    </xf>
    <xf numFmtId="0" fontId="139" fillId="0" borderId="71" xfId="0" applyFont="1" applyBorder="1" applyAlignment="1" applyProtection="1">
      <alignment vertical="center" shrinkToFit="1"/>
      <protection locked="0"/>
    </xf>
    <xf numFmtId="0" fontId="139" fillId="0" borderId="70" xfId="0" applyFont="1" applyBorder="1" applyAlignment="1" applyProtection="1">
      <alignment vertical="center" shrinkToFit="1"/>
      <protection locked="0"/>
    </xf>
    <xf numFmtId="0" fontId="77" fillId="0" borderId="68" xfId="0" applyFont="1" applyBorder="1" applyAlignment="1">
      <alignment horizontal="left" vertical="center" shrinkToFit="1"/>
    </xf>
    <xf numFmtId="0" fontId="168" fillId="33" borderId="37" xfId="0" applyFont="1" applyFill="1" applyBorder="1" applyAlignment="1" applyProtection="1">
      <alignment vertical="center" shrinkToFit="1"/>
      <protection locked="0"/>
    </xf>
    <xf numFmtId="49" fontId="64" fillId="5" borderId="0" xfId="0" applyNumberFormat="1" applyFont="1" applyFill="1" applyAlignment="1">
      <alignment horizontal="center" vertical="center" wrapText="1" shrinkToFit="1"/>
    </xf>
    <xf numFmtId="49" fontId="64" fillId="0" borderId="0" xfId="0" applyNumberFormat="1" applyFont="1" applyAlignment="1">
      <alignment horizontal="center" vertical="center"/>
    </xf>
    <xf numFmtId="49" fontId="64" fillId="0" borderId="0" xfId="0" applyNumberFormat="1" applyFont="1" applyAlignment="1" applyProtection="1">
      <alignment horizontal="center" vertical="center" shrinkToFit="1"/>
      <protection locked="0"/>
    </xf>
    <xf numFmtId="49" fontId="64" fillId="0" borderId="0" xfId="0" quotePrefix="1" applyNumberFormat="1" applyFont="1" applyAlignment="1">
      <alignment horizontal="center" vertical="center"/>
    </xf>
    <xf numFmtId="0" fontId="0" fillId="80" borderId="0" xfId="0" applyFill="1" applyAlignment="1">
      <alignment horizontal="left"/>
    </xf>
    <xf numFmtId="1" fontId="0" fillId="80" borderId="0" xfId="0" applyNumberFormat="1" applyFill="1" applyAlignment="1">
      <alignment horizontal="left"/>
    </xf>
    <xf numFmtId="0" fontId="0" fillId="17" borderId="0" xfId="0" applyFill="1" applyAlignment="1">
      <alignment horizontal="left"/>
    </xf>
    <xf numFmtId="1" fontId="0" fillId="17" borderId="0" xfId="0" applyNumberFormat="1" applyFill="1" applyAlignment="1">
      <alignment horizontal="left"/>
    </xf>
    <xf numFmtId="0" fontId="40" fillId="0" borderId="0" xfId="0" applyFont="1" applyAlignment="1">
      <alignment horizontal="right"/>
    </xf>
    <xf numFmtId="176" fontId="40" fillId="0" borderId="0" xfId="0" applyNumberFormat="1" applyFont="1" applyAlignment="1">
      <alignment horizontal="right"/>
    </xf>
    <xf numFmtId="181" fontId="216" fillId="72" borderId="0" xfId="0" applyNumberFormat="1" applyFont="1" applyFill="1" applyAlignment="1">
      <alignment vertical="center"/>
    </xf>
    <xf numFmtId="0" fontId="202" fillId="0" borderId="242" xfId="0" applyFont="1" applyBorder="1" applyAlignment="1">
      <alignment horizontal="center" vertical="center" shrinkToFit="1"/>
    </xf>
    <xf numFmtId="178" fontId="202" fillId="92" borderId="223" xfId="0" applyNumberFormat="1" applyFont="1" applyFill="1" applyBorder="1" applyAlignment="1">
      <alignment horizontal="center" vertical="center"/>
    </xf>
    <xf numFmtId="0" fontId="202" fillId="92" borderId="223" xfId="0" applyFont="1" applyFill="1" applyBorder="1" applyAlignment="1">
      <alignment horizontal="center" vertical="center"/>
    </xf>
    <xf numFmtId="0" fontId="202" fillId="89" borderId="230" xfId="0" applyFont="1" applyFill="1" applyBorder="1" applyAlignment="1">
      <alignment vertical="center"/>
    </xf>
    <xf numFmtId="0" fontId="202" fillId="89" borderId="231" xfId="0" applyFont="1" applyFill="1" applyBorder="1" applyAlignment="1">
      <alignment vertical="center"/>
    </xf>
    <xf numFmtId="0" fontId="202" fillId="0" borderId="237" xfId="0" applyFont="1" applyBorder="1" applyAlignment="1">
      <alignment horizontal="center" vertical="center" shrinkToFit="1"/>
    </xf>
    <xf numFmtId="0" fontId="231" fillId="0" borderId="0" xfId="0" applyFont="1" applyAlignment="1">
      <alignment horizontal="left" vertical="center" wrapText="1"/>
    </xf>
    <xf numFmtId="49" fontId="231" fillId="0" borderId="0" xfId="0" applyNumberFormat="1" applyFont="1" applyAlignment="1">
      <alignment horizontal="left" vertical="center" wrapText="1"/>
    </xf>
    <xf numFmtId="0" fontId="232" fillId="86" borderId="10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33" fillId="86" borderId="103" xfId="0" applyFont="1" applyFill="1" applyBorder="1" applyAlignment="1">
      <alignment horizontal="left" vertical="center"/>
    </xf>
    <xf numFmtId="0" fontId="232" fillId="86" borderId="103" xfId="0" applyFont="1" applyFill="1" applyBorder="1" applyAlignment="1">
      <alignment horizontal="left" vertical="center"/>
    </xf>
    <xf numFmtId="0" fontId="234" fillId="75" borderId="244" xfId="0" applyFont="1" applyFill="1" applyBorder="1" applyAlignment="1">
      <alignment horizontal="center" vertical="center" wrapText="1"/>
    </xf>
    <xf numFmtId="0" fontId="234" fillId="75" borderId="247" xfId="0" applyFont="1" applyFill="1" applyBorder="1" applyAlignment="1">
      <alignment horizontal="center" vertical="center" wrapText="1"/>
    </xf>
    <xf numFmtId="0" fontId="235" fillId="75" borderId="247" xfId="0" applyFont="1" applyFill="1" applyBorder="1" applyAlignment="1">
      <alignment horizontal="center" vertical="center" wrapText="1"/>
    </xf>
    <xf numFmtId="0" fontId="235" fillId="75" borderId="248" xfId="0" applyFont="1" applyFill="1" applyBorder="1" applyAlignment="1">
      <alignment horizontal="justify" vertical="center"/>
    </xf>
    <xf numFmtId="0" fontId="236" fillId="75" borderId="0" xfId="0" applyFont="1" applyFill="1" applyAlignment="1">
      <alignment horizontal="justify" vertical="center"/>
    </xf>
    <xf numFmtId="0" fontId="234" fillId="75" borderId="0" xfId="0" applyFont="1" applyFill="1" applyAlignment="1">
      <alignment horizontal="justify" vertical="center"/>
    </xf>
    <xf numFmtId="0" fontId="234" fillId="75" borderId="248" xfId="0" applyFont="1" applyFill="1" applyBorder="1" applyAlignment="1">
      <alignment horizontal="right" vertical="center"/>
    </xf>
    <xf numFmtId="0" fontId="234" fillId="75" borderId="251" xfId="0" applyFont="1" applyFill="1" applyBorder="1" applyAlignment="1">
      <alignment horizontal="justify" vertical="center"/>
    </xf>
    <xf numFmtId="0" fontId="235" fillId="75" borderId="247" xfId="0" applyFont="1" applyFill="1" applyBorder="1" applyAlignment="1">
      <alignment horizontal="justify" vertical="center"/>
    </xf>
    <xf numFmtId="0" fontId="236" fillId="75" borderId="249" xfId="0" applyFont="1" applyFill="1" applyBorder="1" applyAlignment="1">
      <alignment horizontal="justify" vertical="center"/>
    </xf>
    <xf numFmtId="0" fontId="234" fillId="75" borderId="249" xfId="0" applyFont="1" applyFill="1" applyBorder="1" applyAlignment="1">
      <alignment horizontal="justify" vertical="center"/>
    </xf>
    <xf numFmtId="0" fontId="234" fillId="75" borderId="247" xfId="0" applyFont="1" applyFill="1" applyBorder="1" applyAlignment="1">
      <alignment horizontal="right" vertical="center"/>
    </xf>
    <xf numFmtId="0" fontId="234" fillId="75" borderId="250" xfId="0" applyFont="1" applyFill="1" applyBorder="1" applyAlignment="1">
      <alignment horizontal="justify" vertical="center"/>
    </xf>
    <xf numFmtId="0" fontId="235" fillId="75" borderId="247" xfId="0" applyFont="1" applyFill="1" applyBorder="1" applyAlignment="1">
      <alignment vertical="center"/>
    </xf>
    <xf numFmtId="0" fontId="236" fillId="75" borderId="249" xfId="0" applyFont="1" applyFill="1" applyBorder="1" applyAlignment="1">
      <alignment horizontal="center" vertical="center"/>
    </xf>
    <xf numFmtId="0" fontId="235" fillId="75" borderId="249" xfId="0" applyFont="1" applyFill="1" applyBorder="1" applyAlignment="1">
      <alignment vertical="center"/>
    </xf>
    <xf numFmtId="0" fontId="234" fillId="75" borderId="247" xfId="0" applyFont="1" applyFill="1" applyBorder="1" applyAlignment="1">
      <alignment horizontal="center" vertical="center"/>
    </xf>
    <xf numFmtId="0" fontId="235" fillId="75" borderId="250" xfId="0" applyFont="1" applyFill="1" applyBorder="1" applyAlignment="1">
      <alignment vertical="center"/>
    </xf>
    <xf numFmtId="0" fontId="235" fillId="75" borderId="252" xfId="0" applyFont="1" applyFill="1" applyBorder="1" applyAlignment="1">
      <alignment vertical="center"/>
    </xf>
    <xf numFmtId="0" fontId="235" fillId="75" borderId="248" xfId="0" applyFont="1" applyFill="1" applyBorder="1" applyAlignment="1">
      <alignment vertical="center"/>
    </xf>
    <xf numFmtId="0" fontId="237" fillId="75" borderId="0" xfId="0" applyFont="1" applyFill="1" applyAlignment="1">
      <alignment horizontal="center" vertical="center"/>
    </xf>
    <xf numFmtId="0" fontId="234" fillId="75" borderId="0" xfId="0" applyFont="1" applyFill="1" applyAlignment="1">
      <alignment vertical="center"/>
    </xf>
    <xf numFmtId="0" fontId="234" fillId="75" borderId="251" xfId="0" applyFont="1" applyFill="1" applyBorder="1" applyAlignment="1">
      <alignment vertical="center"/>
    </xf>
    <xf numFmtId="0" fontId="237" fillId="75" borderId="249" xfId="0" applyFont="1" applyFill="1" applyBorder="1" applyAlignment="1">
      <alignment horizontal="center" vertical="center"/>
    </xf>
    <xf numFmtId="0" fontId="234" fillId="75" borderId="249" xfId="0" applyFont="1" applyFill="1" applyBorder="1" applyAlignment="1">
      <alignment vertical="center"/>
    </xf>
    <xf numFmtId="0" fontId="234" fillId="75" borderId="252" xfId="0" applyFont="1" applyFill="1" applyBorder="1" applyAlignment="1">
      <alignment vertical="center"/>
    </xf>
    <xf numFmtId="0" fontId="228" fillId="23" borderId="0" xfId="0" applyFont="1" applyFill="1"/>
    <xf numFmtId="0" fontId="40" fillId="23" borderId="0" xfId="0" applyFont="1" applyFill="1"/>
    <xf numFmtId="182" fontId="76" fillId="0" borderId="0" xfId="101" applyNumberFormat="1" applyFont="1">
      <alignment vertical="center"/>
    </xf>
    <xf numFmtId="0" fontId="46" fillId="0" borderId="88" xfId="0" applyFont="1" applyBorder="1" applyAlignment="1">
      <alignment horizontal="center" vertical="center"/>
    </xf>
    <xf numFmtId="182" fontId="40" fillId="0" borderId="0" xfId="101" applyNumberFormat="1" applyFont="1" applyAlignment="1">
      <alignment horizontal="center" vertical="center"/>
    </xf>
    <xf numFmtId="186" fontId="202" fillId="0" borderId="0" xfId="0" applyNumberFormat="1" applyFont="1"/>
    <xf numFmtId="0" fontId="76" fillId="93" borderId="0" xfId="0" applyFont="1" applyFill="1" applyAlignment="1">
      <alignment vertical="center"/>
    </xf>
    <xf numFmtId="0" fontId="239" fillId="72" borderId="0" xfId="0" applyFont="1" applyFill="1" applyAlignment="1">
      <alignment vertical="center"/>
    </xf>
    <xf numFmtId="177" fontId="46" fillId="80" borderId="0" xfId="0" applyNumberFormat="1" applyFont="1" applyFill="1" applyAlignment="1">
      <alignment horizontal="center" vertical="center"/>
    </xf>
    <xf numFmtId="0" fontId="46" fillId="0" borderId="0" xfId="0" applyFont="1" applyAlignment="1">
      <alignment vertical="center"/>
    </xf>
    <xf numFmtId="186" fontId="102" fillId="38" borderId="11" xfId="0" applyNumberFormat="1" applyFont="1" applyFill="1" applyBorder="1" applyAlignment="1">
      <alignment horizontal="right" vertical="center"/>
    </xf>
    <xf numFmtId="181" fontId="46" fillId="17" borderId="0" xfId="0" applyNumberFormat="1" applyFont="1" applyFill="1" applyAlignment="1">
      <alignment horizontal="center" vertical="center"/>
    </xf>
    <xf numFmtId="0" fontId="40" fillId="23" borderId="0" xfId="0" applyFont="1" applyFill="1" applyAlignment="1">
      <alignment horizontal="center" vertical="center"/>
    </xf>
    <xf numFmtId="177" fontId="102" fillId="38" borderId="11" xfId="0" applyNumberFormat="1" applyFont="1" applyFill="1" applyBorder="1" applyAlignment="1">
      <alignment horizontal="right" vertical="center"/>
    </xf>
    <xf numFmtId="0" fontId="102" fillId="0" borderId="0" xfId="0" applyFont="1" applyAlignment="1">
      <alignment horizontal="center" vertical="center"/>
    </xf>
    <xf numFmtId="14" fontId="3" fillId="94" borderId="0" xfId="584" applyNumberFormat="1" applyFill="1" applyAlignment="1">
      <alignment horizontal="center" vertical="center"/>
    </xf>
    <xf numFmtId="0" fontId="3" fillId="94" borderId="0" xfId="584" applyFill="1" applyAlignment="1">
      <alignment horizontal="center" vertical="center"/>
    </xf>
    <xf numFmtId="0" fontId="3" fillId="0" borderId="0" xfId="584">
      <alignment vertical="center"/>
    </xf>
    <xf numFmtId="14" fontId="3" fillId="0" borderId="0" xfId="584" applyNumberFormat="1" applyAlignment="1">
      <alignment horizontal="center" vertical="center"/>
    </xf>
    <xf numFmtId="14" fontId="0" fillId="0" borderId="0" xfId="0" applyNumberFormat="1"/>
    <xf numFmtId="178" fontId="64" fillId="5" borderId="0" xfId="0" applyNumberFormat="1" applyFont="1" applyFill="1" applyAlignment="1">
      <alignment horizontal="center" vertical="center" wrapText="1" shrinkToFit="1"/>
    </xf>
    <xf numFmtId="49" fontId="64" fillId="5" borderId="0" xfId="0" applyNumberFormat="1" applyFont="1" applyFill="1" applyAlignment="1">
      <alignment horizontal="left" vertical="center" wrapText="1" shrinkToFit="1"/>
    </xf>
    <xf numFmtId="49" fontId="64" fillId="0" borderId="0" xfId="0" applyNumberFormat="1" applyFont="1" applyAlignment="1">
      <alignment horizontal="left" vertical="center"/>
    </xf>
    <xf numFmtId="49" fontId="64" fillId="0" borderId="0" xfId="0" applyNumberFormat="1" applyFont="1" applyAlignment="1" applyProtection="1">
      <alignment horizontal="left" vertical="center" shrinkToFit="1"/>
      <protection locked="0"/>
    </xf>
    <xf numFmtId="0" fontId="101" fillId="0" borderId="0" xfId="584" applyFont="1">
      <alignment vertical="center"/>
    </xf>
    <xf numFmtId="187" fontId="141" fillId="0" borderId="0" xfId="0" applyNumberFormat="1" applyFont="1" applyAlignment="1">
      <alignment horizontal="center" vertical="center"/>
    </xf>
    <xf numFmtId="179" fontId="141" fillId="0" borderId="0" xfId="460" applyNumberFormat="1" applyFont="1" applyFill="1" applyAlignment="1">
      <alignment horizontal="center" vertical="center"/>
    </xf>
    <xf numFmtId="0" fontId="76" fillId="23" borderId="97" xfId="0" applyFont="1" applyFill="1" applyBorder="1" applyAlignment="1">
      <alignment vertical="center"/>
    </xf>
    <xf numFmtId="0" fontId="40" fillId="19" borderId="11" xfId="0" applyFont="1" applyFill="1" applyBorder="1" applyAlignment="1">
      <alignment horizontal="center" vertical="center"/>
    </xf>
    <xf numFmtId="176" fontId="40" fillId="19" borderId="11" xfId="0" applyNumberFormat="1" applyFont="1" applyFill="1" applyBorder="1" applyAlignment="1">
      <alignment horizontal="center" vertical="center"/>
    </xf>
    <xf numFmtId="49" fontId="40" fillId="0" borderId="11" xfId="0" applyNumberFormat="1" applyFont="1" applyBorder="1" applyAlignment="1">
      <alignment horizontal="left" vertical="center"/>
    </xf>
    <xf numFmtId="0" fontId="102" fillId="37" borderId="11" xfId="0" applyFont="1" applyFill="1" applyBorder="1" applyAlignment="1">
      <alignment horizontal="center" vertical="center"/>
    </xf>
    <xf numFmtId="14" fontId="40" fillId="0" borderId="0" xfId="0" applyNumberFormat="1" applyFont="1" applyAlignment="1">
      <alignment horizontal="center" vertical="center"/>
    </xf>
    <xf numFmtId="0" fontId="40" fillId="95" borderId="11" xfId="0" applyFont="1" applyFill="1" applyBorder="1" applyAlignment="1">
      <alignment horizontal="center" vertical="center"/>
    </xf>
    <xf numFmtId="177" fontId="40" fillId="95" borderId="11" xfId="0" applyNumberFormat="1" applyFont="1" applyFill="1" applyBorder="1" applyAlignment="1">
      <alignment horizontal="right" vertical="center"/>
    </xf>
    <xf numFmtId="177" fontId="40" fillId="95" borderId="11" xfId="0" applyNumberFormat="1" applyFont="1" applyFill="1" applyBorder="1" applyAlignment="1">
      <alignment vertical="center"/>
    </xf>
    <xf numFmtId="0" fontId="40" fillId="95" borderId="0" xfId="0" applyFont="1" applyFill="1" applyAlignment="1">
      <alignment vertical="center"/>
    </xf>
    <xf numFmtId="0" fontId="240" fillId="38" borderId="62" xfId="0" applyFont="1" applyFill="1" applyBorder="1" applyAlignment="1">
      <alignment horizontal="center" vertical="center"/>
    </xf>
    <xf numFmtId="178" fontId="240" fillId="38" borderId="62" xfId="0" applyNumberFormat="1" applyFont="1" applyFill="1" applyBorder="1" applyAlignment="1">
      <alignment horizontal="center" vertical="center"/>
    </xf>
    <xf numFmtId="0" fontId="240" fillId="0" borderId="0" xfId="0" applyFont="1" applyAlignment="1">
      <alignment horizontal="center" vertical="center"/>
    </xf>
    <xf numFmtId="0" fontId="240" fillId="4" borderId="0" xfId="0" applyFont="1" applyFill="1" applyAlignment="1">
      <alignment horizontal="center" vertical="center"/>
    </xf>
    <xf numFmtId="188" fontId="240" fillId="4" borderId="0" xfId="0" applyNumberFormat="1" applyFont="1" applyFill="1" applyAlignment="1">
      <alignment horizontal="center" vertical="center"/>
    </xf>
    <xf numFmtId="179" fontId="240" fillId="38" borderId="62" xfId="460" applyNumberFormat="1" applyFont="1" applyFill="1" applyBorder="1" applyAlignment="1">
      <alignment horizontal="left" vertical="center" shrinkToFit="1"/>
    </xf>
    <xf numFmtId="178" fontId="240" fillId="38" borderId="62" xfId="0" applyNumberFormat="1" applyFont="1" applyFill="1" applyBorder="1" applyAlignment="1">
      <alignment horizontal="center" vertical="center" shrinkToFit="1"/>
    </xf>
    <xf numFmtId="179" fontId="78" fillId="0" borderId="62" xfId="460" applyNumberFormat="1" applyFont="1" applyBorder="1" applyAlignment="1">
      <alignment horizontal="left" vertical="center" shrinkToFit="1"/>
    </xf>
    <xf numFmtId="179" fontId="78" fillId="0" borderId="0" xfId="460" applyNumberFormat="1" applyFont="1" applyBorder="1" applyAlignment="1">
      <alignment horizontal="left" vertical="center" shrinkToFit="1"/>
    </xf>
    <xf numFmtId="0" fontId="240" fillId="0" borderId="11" xfId="0" applyFont="1" applyBorder="1" applyAlignment="1">
      <alignment horizontal="center" vertical="center"/>
    </xf>
    <xf numFmtId="182" fontId="240" fillId="0" borderId="11" xfId="465" applyNumberFormat="1" applyFont="1" applyBorder="1" applyAlignment="1">
      <alignment horizontal="center" vertical="center"/>
    </xf>
    <xf numFmtId="179" fontId="240" fillId="0" borderId="0" xfId="460" applyNumberFormat="1" applyFont="1" applyBorder="1" applyAlignment="1">
      <alignment horizontal="left" vertical="center" shrinkToFit="1"/>
    </xf>
    <xf numFmtId="182" fontId="240" fillId="0" borderId="11" xfId="204" applyNumberFormat="1" applyFont="1" applyBorder="1" applyAlignment="1">
      <alignment horizontal="center" vertical="center"/>
    </xf>
    <xf numFmtId="182" fontId="240" fillId="0" borderId="11" xfId="0" applyNumberFormat="1" applyFont="1" applyBorder="1" applyAlignment="1">
      <alignment horizontal="center" vertical="center"/>
    </xf>
    <xf numFmtId="179" fontId="240" fillId="38" borderId="165" xfId="460" applyNumberFormat="1" applyFont="1" applyFill="1" applyBorder="1" applyAlignment="1">
      <alignment horizontal="left" vertical="center" shrinkToFit="1"/>
    </xf>
    <xf numFmtId="178" fontId="240" fillId="38" borderId="165" xfId="0" applyNumberFormat="1" applyFont="1" applyFill="1" applyBorder="1" applyAlignment="1">
      <alignment horizontal="center" vertical="center" shrinkToFit="1"/>
    </xf>
    <xf numFmtId="0" fontId="240" fillId="0" borderId="17" xfId="0" applyFont="1" applyBorder="1" applyAlignment="1">
      <alignment horizontal="center" vertical="center"/>
    </xf>
    <xf numFmtId="182" fontId="240" fillId="0" borderId="17" xfId="204" applyNumberFormat="1" applyFont="1" applyBorder="1" applyAlignment="1">
      <alignment horizontal="center" vertical="center"/>
    </xf>
    <xf numFmtId="179" fontId="240" fillId="38" borderId="164" xfId="460" applyNumberFormat="1" applyFont="1" applyFill="1" applyBorder="1" applyAlignment="1">
      <alignment horizontal="left" vertical="center" shrinkToFit="1"/>
    </xf>
    <xf numFmtId="178" fontId="240" fillId="38" borderId="164" xfId="0" applyNumberFormat="1" applyFont="1" applyFill="1" applyBorder="1" applyAlignment="1">
      <alignment horizontal="center" vertical="center" shrinkToFit="1"/>
    </xf>
    <xf numFmtId="0" fontId="240" fillId="0" borderId="46" xfId="0" applyFont="1" applyBorder="1" applyAlignment="1">
      <alignment horizontal="center" vertical="center"/>
    </xf>
    <xf numFmtId="182" fontId="240" fillId="0" borderId="46" xfId="465" applyNumberFormat="1" applyFont="1" applyBorder="1" applyAlignment="1">
      <alignment horizontal="center" vertical="center"/>
    </xf>
    <xf numFmtId="179" fontId="240" fillId="0" borderId="51" xfId="460" applyNumberFormat="1" applyFont="1" applyFill="1" applyBorder="1" applyAlignment="1">
      <alignment horizontal="left" vertical="center" shrinkToFit="1"/>
    </xf>
    <xf numFmtId="0" fontId="240" fillId="0" borderId="41" xfId="0" applyFont="1" applyBorder="1" applyAlignment="1">
      <alignment horizontal="center" vertical="center"/>
    </xf>
    <xf numFmtId="182" fontId="240" fillId="0" borderId="41" xfId="465" applyNumberFormat="1" applyFont="1" applyBorder="1" applyAlignment="1">
      <alignment horizontal="center" vertical="center"/>
    </xf>
    <xf numFmtId="179" fontId="240" fillId="0" borderId="0" xfId="460" applyNumberFormat="1" applyFont="1" applyFill="1" applyBorder="1" applyAlignment="1">
      <alignment horizontal="left" vertical="center" shrinkToFit="1"/>
    </xf>
    <xf numFmtId="0" fontId="240" fillId="0" borderId="2" xfId="0" applyFont="1" applyBorder="1" applyAlignment="1">
      <alignment horizontal="center" vertical="center"/>
    </xf>
    <xf numFmtId="182" fontId="240" fillId="0" borderId="2" xfId="465" applyNumberFormat="1" applyFont="1" applyBorder="1" applyAlignment="1">
      <alignment horizontal="center" vertical="center"/>
    </xf>
    <xf numFmtId="177" fontId="241" fillId="0" borderId="26" xfId="458" applyNumberFormat="1" applyFont="1" applyBorder="1" applyAlignment="1">
      <alignment horizontal="right"/>
    </xf>
    <xf numFmtId="0" fontId="0" fillId="78" borderId="0" xfId="0" applyFill="1" applyAlignment="1">
      <alignment horizontal="left"/>
    </xf>
    <xf numFmtId="196" fontId="0" fillId="78" borderId="0" xfId="0" applyNumberFormat="1" applyFill="1" applyAlignment="1">
      <alignment horizontal="left"/>
    </xf>
    <xf numFmtId="0" fontId="95" fillId="0" borderId="50" xfId="0" applyFont="1" applyBorder="1" applyAlignment="1">
      <alignment horizontal="center" vertical="center" shrinkToFit="1"/>
    </xf>
    <xf numFmtId="0" fontId="40" fillId="0" borderId="50" xfId="0" applyFont="1" applyBorder="1" applyAlignment="1">
      <alignment horizontal="center" vertical="center" shrinkToFit="1"/>
    </xf>
    <xf numFmtId="0" fontId="46" fillId="0" borderId="153" xfId="0" applyFont="1" applyBorder="1" applyAlignment="1">
      <alignment horizontal="center" vertical="center" shrinkToFit="1"/>
    </xf>
    <xf numFmtId="0" fontId="40" fillId="0" borderId="11" xfId="0" applyFont="1" applyBorder="1" applyAlignment="1">
      <alignment horizontal="center" vertical="center" shrinkToFit="1"/>
    </xf>
    <xf numFmtId="177" fontId="59" fillId="22" borderId="171" xfId="0" applyNumberFormat="1" applyFont="1" applyFill="1" applyBorder="1" applyAlignment="1">
      <alignment horizontal="center" vertical="center"/>
    </xf>
    <xf numFmtId="177" fontId="59" fillId="22" borderId="172" xfId="0" applyNumberFormat="1" applyFont="1" applyFill="1" applyBorder="1" applyAlignment="1">
      <alignment horizontal="center" vertical="center"/>
    </xf>
    <xf numFmtId="0" fontId="242" fillId="0" borderId="0" xfId="101" applyFont="1">
      <alignment vertical="center"/>
    </xf>
    <xf numFmtId="187" fontId="94" fillId="22" borderId="11" xfId="0" applyNumberFormat="1" applyFont="1" applyFill="1" applyBorder="1" applyAlignment="1">
      <alignment horizontal="center" vertical="center" shrinkToFit="1"/>
    </xf>
    <xf numFmtId="0" fontId="40" fillId="0" borderId="67" xfId="0" applyFont="1" applyBorder="1" applyAlignment="1">
      <alignment horizontal="center" vertical="center" shrinkToFit="1"/>
    </xf>
    <xf numFmtId="0" fontId="95" fillId="0" borderId="11" xfId="0" applyFont="1" applyBorder="1" applyAlignment="1">
      <alignment horizontal="center" vertical="center" shrinkToFit="1"/>
    </xf>
    <xf numFmtId="0" fontId="78" fillId="78" borderId="62" xfId="0" applyFont="1" applyFill="1" applyBorder="1" applyAlignment="1">
      <alignment horizontal="center" vertical="center"/>
    </xf>
    <xf numFmtId="179" fontId="78" fillId="0" borderId="62" xfId="460" applyNumberFormat="1" applyFont="1" applyFill="1" applyBorder="1" applyAlignment="1">
      <alignment horizontal="left" vertical="center" shrinkToFit="1"/>
    </xf>
    <xf numFmtId="179" fontId="78" fillId="0" borderId="165" xfId="460" applyNumberFormat="1" applyFont="1" applyBorder="1" applyAlignment="1">
      <alignment horizontal="left" vertical="center" shrinkToFit="1"/>
    </xf>
    <xf numFmtId="179" fontId="78" fillId="0" borderId="168" xfId="460" applyNumberFormat="1" applyFont="1" applyBorder="1" applyAlignment="1">
      <alignment horizontal="left" vertical="center" shrinkToFit="1"/>
    </xf>
    <xf numFmtId="179" fontId="78" fillId="0" borderId="164" xfId="460" applyNumberFormat="1" applyFont="1" applyBorder="1" applyAlignment="1">
      <alignment horizontal="left" vertical="center" shrinkToFit="1"/>
    </xf>
    <xf numFmtId="179" fontId="78" fillId="0" borderId="165" xfId="460" applyNumberFormat="1" applyFont="1" applyFill="1" applyBorder="1" applyAlignment="1">
      <alignment horizontal="left" vertical="center" shrinkToFit="1"/>
    </xf>
    <xf numFmtId="179" fontId="78" fillId="0" borderId="164" xfId="460" applyNumberFormat="1" applyFont="1" applyFill="1" applyBorder="1" applyAlignment="1">
      <alignment horizontal="left" vertical="center" shrinkToFit="1"/>
    </xf>
    <xf numFmtId="0" fontId="148" fillId="0" borderId="0" xfId="0" applyFont="1" applyAlignment="1">
      <alignment horizontal="center" vertical="center"/>
    </xf>
    <xf numFmtId="0" fontId="148" fillId="0" borderId="0" xfId="0" applyFont="1" applyAlignment="1">
      <alignment horizontal="center" vertical="center" shrinkToFit="1"/>
    </xf>
    <xf numFmtId="0" fontId="228" fillId="0" borderId="101" xfId="0" applyFont="1" applyBorder="1" applyAlignment="1">
      <alignment horizontal="center" vertical="center" shrinkToFit="1"/>
    </xf>
    <xf numFmtId="0" fontId="162" fillId="96" borderId="0" xfId="0" applyFont="1" applyFill="1"/>
    <xf numFmtId="0" fontId="99" fillId="96" borderId="0" xfId="0" applyFont="1" applyFill="1"/>
    <xf numFmtId="0" fontId="243" fillId="96" borderId="0" xfId="0" applyFont="1" applyFill="1" applyAlignment="1">
      <alignment horizontal="left" vertical="center"/>
    </xf>
    <xf numFmtId="187" fontId="93" fillId="0" borderId="11" xfId="0" applyNumberFormat="1" applyFont="1" applyBorder="1" applyAlignment="1">
      <alignment horizontal="center" vertical="center" shrinkToFit="1"/>
    </xf>
    <xf numFmtId="0" fontId="214" fillId="0" borderId="0" xfId="0" applyFont="1" applyAlignment="1">
      <alignment vertical="center"/>
    </xf>
    <xf numFmtId="178" fontId="40" fillId="0" borderId="0" xfId="0" applyNumberFormat="1" applyFont="1" applyAlignment="1">
      <alignment vertical="center"/>
    </xf>
    <xf numFmtId="204" fontId="40" fillId="0" borderId="0" xfId="0" applyNumberFormat="1" applyFont="1" applyAlignment="1">
      <alignment vertical="center"/>
    </xf>
    <xf numFmtId="0" fontId="102" fillId="75" borderId="0" xfId="575" applyFont="1" applyFill="1" applyAlignment="1">
      <alignment horizontal="left" vertical="center" readingOrder="1"/>
    </xf>
    <xf numFmtId="0" fontId="195" fillId="75" borderId="49" xfId="575" applyFont="1" applyFill="1" applyBorder="1" applyAlignment="1">
      <alignment horizontal="left" vertical="center" readingOrder="1"/>
    </xf>
    <xf numFmtId="0" fontId="195" fillId="75" borderId="154" xfId="575" applyFont="1" applyFill="1" applyBorder="1" applyAlignment="1">
      <alignment horizontal="left" vertical="center" readingOrder="1"/>
    </xf>
    <xf numFmtId="0" fontId="246" fillId="0" borderId="0" xfId="575" applyFont="1">
      <alignment vertical="center"/>
    </xf>
    <xf numFmtId="0" fontId="247" fillId="0" borderId="0" xfId="575" applyFont="1">
      <alignment vertical="center"/>
    </xf>
    <xf numFmtId="0" fontId="195" fillId="0" borderId="0" xfId="575" applyFont="1">
      <alignment vertical="center"/>
    </xf>
    <xf numFmtId="0" fontId="154" fillId="75" borderId="0" xfId="575" applyFont="1" applyFill="1" applyAlignment="1">
      <alignment horizontal="left" vertical="center" readingOrder="1"/>
    </xf>
    <xf numFmtId="0" fontId="248" fillId="0" borderId="0" xfId="575" applyFont="1">
      <alignment vertical="center"/>
    </xf>
    <xf numFmtId="0" fontId="76" fillId="26" borderId="11" xfId="0" applyFont="1" applyFill="1" applyBorder="1" applyAlignment="1">
      <alignment horizontal="center"/>
    </xf>
    <xf numFmtId="17" fontId="76" fillId="26" borderId="11" xfId="0" quotePrefix="1" applyNumberFormat="1" applyFont="1" applyFill="1" applyBorder="1" applyAlignment="1">
      <alignment horizontal="center"/>
    </xf>
    <xf numFmtId="176" fontId="76" fillId="0" borderId="11" xfId="0" applyNumberFormat="1" applyFont="1" applyBorder="1" applyAlignment="1">
      <alignment horizontal="center"/>
    </xf>
    <xf numFmtId="0" fontId="76" fillId="0" borderId="11" xfId="0" applyFont="1" applyBorder="1"/>
    <xf numFmtId="0" fontId="76" fillId="0" borderId="11" xfId="0" applyFont="1" applyBorder="1" applyAlignment="1">
      <alignment horizontal="center"/>
    </xf>
    <xf numFmtId="181" fontId="76" fillId="0" borderId="11" xfId="0" applyNumberFormat="1" applyFont="1" applyBorder="1"/>
    <xf numFmtId="1" fontId="76" fillId="0" borderId="11" xfId="0" applyNumberFormat="1" applyFont="1" applyBorder="1"/>
    <xf numFmtId="0" fontId="249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176" fontId="46" fillId="0" borderId="0" xfId="0" applyNumberFormat="1" applyFont="1" applyAlignment="1">
      <alignment vertical="center"/>
    </xf>
    <xf numFmtId="176" fontId="40" fillId="0" borderId="0" xfId="0" applyNumberFormat="1" applyFont="1" applyAlignment="1">
      <alignment horizontal="left" vertical="center"/>
    </xf>
    <xf numFmtId="188" fontId="78" fillId="4" borderId="0" xfId="0" applyNumberFormat="1" applyFont="1" applyFill="1" applyAlignment="1">
      <alignment horizontal="center" vertical="center"/>
    </xf>
    <xf numFmtId="0" fontId="40" fillId="34" borderId="0" xfId="0" applyFont="1" applyFill="1"/>
    <xf numFmtId="0" fontId="150" fillId="34" borderId="0" xfId="0" applyFont="1" applyFill="1"/>
    <xf numFmtId="0" fontId="202" fillId="0" borderId="87" xfId="0" applyFont="1" applyBorder="1" applyAlignment="1">
      <alignment horizontal="center" vertical="center" wrapText="1"/>
    </xf>
    <xf numFmtId="14" fontId="202" fillId="0" borderId="221" xfId="0" applyNumberFormat="1" applyFont="1" applyBorder="1" applyAlignment="1">
      <alignment vertical="center" shrinkToFit="1"/>
    </xf>
    <xf numFmtId="14" fontId="202" fillId="0" borderId="227" xfId="0" applyNumberFormat="1" applyFont="1" applyBorder="1" applyAlignment="1">
      <alignment vertical="center" shrinkToFit="1"/>
    </xf>
    <xf numFmtId="14" fontId="202" fillId="0" borderId="243" xfId="0" applyNumberFormat="1" applyFont="1" applyBorder="1" applyAlignment="1">
      <alignment vertical="center" shrinkToFit="1"/>
    </xf>
    <xf numFmtId="14" fontId="202" fillId="0" borderId="233" xfId="0" applyNumberFormat="1" applyFont="1" applyBorder="1" applyAlignment="1">
      <alignment vertical="center" shrinkToFit="1"/>
    </xf>
    <xf numFmtId="0" fontId="150" fillId="0" borderId="0" xfId="0" applyFont="1" applyAlignment="1">
      <alignment horizontal="right"/>
    </xf>
    <xf numFmtId="0" fontId="193" fillId="0" borderId="0" xfId="0" applyFont="1" applyAlignment="1">
      <alignment vertical="center"/>
    </xf>
    <xf numFmtId="177" fontId="171" fillId="0" borderId="257" xfId="458" applyNumberFormat="1" applyFont="1" applyFill="1" applyBorder="1" applyAlignment="1">
      <alignment horizontal="right" shrinkToFit="1"/>
    </xf>
    <xf numFmtId="177" fontId="171" fillId="0" borderId="104" xfId="458" applyNumberFormat="1" applyFont="1" applyFill="1" applyBorder="1" applyAlignment="1">
      <alignment horizontal="right" shrinkToFit="1"/>
    </xf>
    <xf numFmtId="177" fontId="171" fillId="0" borderId="258" xfId="458" applyNumberFormat="1" applyFont="1" applyBorder="1" applyAlignment="1">
      <alignment horizontal="right" shrinkToFit="1"/>
    </xf>
    <xf numFmtId="201" fontId="180" fillId="0" borderId="259" xfId="458" applyNumberFormat="1" applyFont="1" applyFill="1" applyBorder="1" applyAlignment="1">
      <alignment horizontal="right" vertical="center" shrinkToFit="1"/>
    </xf>
    <xf numFmtId="183" fontId="80" fillId="0" borderId="111" xfId="458" applyNumberFormat="1" applyFont="1" applyFill="1" applyBorder="1" applyAlignment="1">
      <alignment horizontal="right" vertical="center" shrinkToFit="1"/>
    </xf>
    <xf numFmtId="187" fontId="93" fillId="0" borderId="49" xfId="0" applyNumberFormat="1" applyFont="1" applyBorder="1" applyAlignment="1">
      <alignment horizontal="center" vertical="center" shrinkToFit="1"/>
    </xf>
    <xf numFmtId="187" fontId="94" fillId="0" borderId="260" xfId="0" applyNumberFormat="1" applyFont="1" applyBorder="1" applyAlignment="1">
      <alignment horizontal="center" vertical="center" shrinkToFit="1"/>
    </xf>
    <xf numFmtId="14" fontId="0" fillId="0" borderId="0" xfId="0" applyNumberFormat="1" applyAlignment="1">
      <alignment horizontal="left"/>
    </xf>
    <xf numFmtId="0" fontId="46" fillId="97" borderId="107" xfId="0" applyFont="1" applyFill="1" applyBorder="1" applyAlignment="1">
      <alignment horizontal="left" vertical="center" shrinkToFit="1"/>
    </xf>
    <xf numFmtId="0" fontId="256" fillId="0" borderId="0" xfId="0" applyFont="1" applyAlignment="1">
      <alignment horizontal="left" vertical="center"/>
    </xf>
    <xf numFmtId="187" fontId="257" fillId="0" borderId="66" xfId="0" applyNumberFormat="1" applyFont="1" applyBorder="1" applyAlignment="1">
      <alignment horizontal="center" vertical="center" shrinkToFit="1"/>
    </xf>
    <xf numFmtId="0" fontId="258" fillId="0" borderId="0" xfId="0" applyFont="1" applyAlignment="1">
      <alignment vertical="center"/>
    </xf>
    <xf numFmtId="10" fontId="259" fillId="78" borderId="195" xfId="460" applyNumberFormat="1" applyFont="1" applyFill="1" applyBorder="1" applyAlignment="1">
      <alignment horizontal="right" shrinkToFit="1"/>
    </xf>
    <xf numFmtId="177" fontId="259" fillId="78" borderId="239" xfId="460" applyNumberFormat="1" applyFont="1" applyFill="1" applyBorder="1" applyAlignment="1">
      <alignment horizontal="right" shrinkToFit="1"/>
    </xf>
    <xf numFmtId="185" fontId="0" fillId="0" borderId="0" xfId="0" applyNumberFormat="1" applyAlignment="1">
      <alignment horizontal="center" vertical="center"/>
    </xf>
    <xf numFmtId="206" fontId="221" fillId="86" borderId="0" xfId="0" applyNumberFormat="1" applyFont="1" applyFill="1" applyAlignment="1">
      <alignment horizontal="left" vertical="center"/>
    </xf>
    <xf numFmtId="206" fontId="202" fillId="0" borderId="0" xfId="0" applyNumberFormat="1" applyFont="1" applyAlignment="1">
      <alignment horizontal="left" vertical="center"/>
    </xf>
    <xf numFmtId="9" fontId="0" fillId="0" borderId="0" xfId="0" applyNumberFormat="1" applyAlignment="1">
      <alignment horizontal="left"/>
    </xf>
    <xf numFmtId="187" fontId="93" fillId="0" borderId="50" xfId="0" applyNumberFormat="1" applyFont="1" applyBorder="1" applyAlignment="1">
      <alignment horizontal="center" vertical="center" shrinkToFit="1"/>
    </xf>
    <xf numFmtId="196" fontId="171" fillId="0" borderId="49" xfId="0" applyNumberFormat="1" applyFont="1" applyBorder="1" applyAlignment="1">
      <alignment horizontal="right"/>
    </xf>
    <xf numFmtId="196" fontId="171" fillId="0" borderId="167" xfId="0" applyNumberFormat="1" applyFont="1" applyBorder="1" applyAlignment="1">
      <alignment horizontal="right"/>
    </xf>
    <xf numFmtId="0" fontId="181" fillId="23" borderId="49" xfId="0" applyFont="1" applyFill="1" applyBorder="1" applyAlignment="1">
      <alignment horizontal="left"/>
    </xf>
    <xf numFmtId="0" fontId="162" fillId="17" borderId="0" xfId="0" applyFont="1" applyFill="1" applyAlignment="1">
      <alignment vertical="center"/>
    </xf>
    <xf numFmtId="181" fontId="75" fillId="17" borderId="0" xfId="0" applyNumberFormat="1" applyFont="1" applyFill="1" applyAlignment="1">
      <alignment vertical="center"/>
    </xf>
    <xf numFmtId="177" fontId="172" fillId="81" borderId="196" xfId="0" applyNumberFormat="1" applyFont="1" applyFill="1" applyBorder="1" applyAlignment="1">
      <alignment horizontal="centerContinuous"/>
    </xf>
    <xf numFmtId="0" fontId="172" fillId="81" borderId="196" xfId="0" applyFont="1" applyFill="1" applyBorder="1" applyAlignment="1">
      <alignment horizontal="centerContinuous"/>
    </xf>
    <xf numFmtId="0" fontId="172" fillId="81" borderId="0" xfId="0" applyFont="1" applyFill="1" applyAlignment="1">
      <alignment horizontal="centerContinuous"/>
    </xf>
    <xf numFmtId="0" fontId="40" fillId="87" borderId="0" xfId="0" applyFont="1" applyFill="1"/>
    <xf numFmtId="178" fontId="40" fillId="0" borderId="0" xfId="460" applyNumberFormat="1" applyFont="1" applyAlignment="1">
      <alignment vertical="center"/>
    </xf>
    <xf numFmtId="0" fontId="181" fillId="2" borderId="46" xfId="0" applyFont="1" applyFill="1" applyBorder="1"/>
    <xf numFmtId="0" fontId="181" fillId="72" borderId="187" xfId="0" applyFont="1" applyFill="1" applyBorder="1"/>
    <xf numFmtId="0" fontId="181" fillId="72" borderId="186" xfId="0" applyFont="1" applyFill="1" applyBorder="1"/>
    <xf numFmtId="0" fontId="181" fillId="72" borderId="185" xfId="0" applyFont="1" applyFill="1" applyBorder="1"/>
    <xf numFmtId="0" fontId="181" fillId="17" borderId="85" xfId="0" applyFont="1" applyFill="1" applyBorder="1"/>
    <xf numFmtId="0" fontId="181" fillId="17" borderId="86" xfId="0" applyFont="1" applyFill="1" applyBorder="1"/>
    <xf numFmtId="0" fontId="34" fillId="13" borderId="80" xfId="0" applyFont="1" applyFill="1" applyBorder="1" applyAlignment="1">
      <alignment horizontal="right" vertical="center" textRotation="255"/>
    </xf>
    <xf numFmtId="0" fontId="26" fillId="0" borderId="25" xfId="0" applyFont="1" applyBorder="1" applyAlignment="1" applyProtection="1">
      <alignment horizontal="right" vertical="center"/>
      <protection locked="0"/>
    </xf>
    <xf numFmtId="0" fontId="26" fillId="0" borderId="2" xfId="0" applyFont="1" applyBorder="1" applyAlignment="1" applyProtection="1">
      <alignment horizontal="right" vertical="center"/>
      <protection locked="0"/>
    </xf>
    <xf numFmtId="0" fontId="26" fillId="0" borderId="3" xfId="0" applyFont="1" applyBorder="1" applyAlignment="1" applyProtection="1">
      <alignment horizontal="right" vertical="center"/>
      <protection locked="0"/>
    </xf>
    <xf numFmtId="0" fontId="26" fillId="0" borderId="1" xfId="0" applyFont="1" applyBorder="1" applyAlignment="1" applyProtection="1">
      <alignment horizontal="right" vertical="center"/>
      <protection locked="0"/>
    </xf>
    <xf numFmtId="0" fontId="26" fillId="0" borderId="150" xfId="0" applyFont="1" applyBorder="1" applyAlignment="1" applyProtection="1">
      <alignment horizontal="right" vertical="center"/>
      <protection locked="0"/>
    </xf>
    <xf numFmtId="0" fontId="26" fillId="0" borderId="0" xfId="0" applyFont="1" applyAlignment="1">
      <alignment horizontal="right" vertical="center"/>
    </xf>
    <xf numFmtId="0" fontId="26" fillId="0" borderId="43" xfId="0" applyFont="1" applyBorder="1" applyAlignment="1" applyProtection="1">
      <alignment horizontal="right" vertical="center"/>
      <protection locked="0"/>
    </xf>
    <xf numFmtId="0" fontId="26" fillId="0" borderId="11" xfId="0" applyFont="1" applyBorder="1" applyAlignment="1" applyProtection="1">
      <alignment horizontal="right" vertical="center"/>
      <protection locked="0"/>
    </xf>
    <xf numFmtId="0" fontId="26" fillId="0" borderId="12" xfId="0" applyFont="1" applyBorder="1" applyAlignment="1" applyProtection="1">
      <alignment horizontal="right" vertical="center"/>
      <protection locked="0"/>
    </xf>
    <xf numFmtId="0" fontId="26" fillId="0" borderId="27" xfId="0" applyFont="1" applyBorder="1" applyAlignment="1" applyProtection="1">
      <alignment horizontal="right" vertical="center"/>
      <protection locked="0"/>
    </xf>
    <xf numFmtId="0" fontId="104" fillId="13" borderId="80" xfId="0" applyFont="1" applyFill="1" applyBorder="1" applyAlignment="1" applyProtection="1">
      <alignment horizontal="right" vertical="center"/>
      <protection locked="0"/>
    </xf>
    <xf numFmtId="0" fontId="19" fillId="0" borderId="25" xfId="0" applyFont="1" applyBorder="1" applyAlignment="1" applyProtection="1">
      <alignment horizontal="right" vertical="center"/>
      <protection locked="0"/>
    </xf>
    <xf numFmtId="0" fontId="19" fillId="0" borderId="2" xfId="0" applyFont="1" applyBorder="1" applyAlignment="1" applyProtection="1">
      <alignment horizontal="right" vertical="center"/>
      <protection locked="0"/>
    </xf>
    <xf numFmtId="0" fontId="19" fillId="0" borderId="3" xfId="0" applyFont="1" applyBorder="1" applyAlignment="1" applyProtection="1">
      <alignment horizontal="right" vertical="center"/>
      <protection locked="0"/>
    </xf>
    <xf numFmtId="0" fontId="19" fillId="0" borderId="1" xfId="0" applyFont="1" applyBorder="1" applyAlignment="1" applyProtection="1">
      <alignment horizontal="right" vertical="center"/>
      <protection locked="0"/>
    </xf>
    <xf numFmtId="0" fontId="19" fillId="0" borderId="43" xfId="0" applyFont="1" applyBorder="1" applyAlignment="1" applyProtection="1">
      <alignment horizontal="right" vertical="center"/>
      <protection locked="0"/>
    </xf>
    <xf numFmtId="0" fontId="19" fillId="0" borderId="11" xfId="0" applyFont="1" applyBorder="1" applyAlignment="1" applyProtection="1">
      <alignment horizontal="right" vertical="center"/>
      <protection locked="0"/>
    </xf>
    <xf numFmtId="0" fontId="19" fillId="0" borderId="12" xfId="0" applyFont="1" applyBorder="1" applyAlignment="1" applyProtection="1">
      <alignment horizontal="right" vertical="center"/>
      <protection locked="0"/>
    </xf>
    <xf numFmtId="0" fontId="19" fillId="0" borderId="27" xfId="0" applyFont="1" applyBorder="1" applyAlignment="1" applyProtection="1">
      <alignment horizontal="right" vertical="center"/>
      <protection locked="0"/>
    </xf>
    <xf numFmtId="0" fontId="104" fillId="13" borderId="80" xfId="0" applyFont="1" applyFill="1" applyBorder="1" applyAlignment="1">
      <alignment horizontal="right" vertical="center"/>
    </xf>
    <xf numFmtId="0" fontId="26" fillId="0" borderId="45" xfId="0" applyFont="1" applyBorder="1" applyAlignment="1">
      <alignment horizontal="right" vertical="center"/>
    </xf>
    <xf numFmtId="0" fontId="26" fillId="0" borderId="46" xfId="0" applyFont="1" applyBorder="1" applyAlignment="1">
      <alignment horizontal="right" vertical="center"/>
    </xf>
    <xf numFmtId="0" fontId="26" fillId="0" borderId="47" xfId="0" applyFont="1" applyBorder="1" applyAlignment="1">
      <alignment horizontal="right" vertical="center"/>
    </xf>
    <xf numFmtId="0" fontId="26" fillId="0" borderId="45" xfId="0" applyFont="1" applyBorder="1" applyAlignment="1">
      <alignment horizontal="right" vertical="center" shrinkToFit="1"/>
    </xf>
    <xf numFmtId="0" fontId="26" fillId="0" borderId="46" xfId="0" applyFont="1" applyBorder="1" applyAlignment="1">
      <alignment horizontal="right" vertical="center" shrinkToFit="1"/>
    </xf>
    <xf numFmtId="0" fontId="26" fillId="0" borderId="47" xfId="0" applyFont="1" applyBorder="1" applyAlignment="1">
      <alignment horizontal="right" vertical="center" shrinkToFit="1"/>
    </xf>
    <xf numFmtId="0" fontId="26" fillId="0" borderId="43" xfId="0" applyFont="1" applyBorder="1" applyAlignment="1" applyProtection="1">
      <alignment horizontal="right" vertical="center" shrinkToFit="1"/>
      <protection locked="0"/>
    </xf>
    <xf numFmtId="0" fontId="26" fillId="0" borderId="11" xfId="0" applyFont="1" applyBorder="1" applyAlignment="1" applyProtection="1">
      <alignment horizontal="right" vertical="center" shrinkToFit="1"/>
      <protection locked="0"/>
    </xf>
    <xf numFmtId="0" fontId="26" fillId="0" borderId="12" xfId="0" applyFont="1" applyBorder="1" applyAlignment="1" applyProtection="1">
      <alignment horizontal="right" vertical="center" shrinkToFit="1"/>
      <protection locked="0"/>
    </xf>
    <xf numFmtId="0" fontId="26" fillId="0" borderId="27" xfId="0" applyFont="1" applyBorder="1" applyAlignment="1" applyProtection="1">
      <alignment horizontal="right" vertical="center" shrinkToFit="1"/>
      <protection locked="0"/>
    </xf>
    <xf numFmtId="0" fontId="78" fillId="98" borderId="11" xfId="0" applyFont="1" applyFill="1" applyBorder="1" applyAlignment="1">
      <alignment horizontal="center" vertical="center" shrinkToFit="1"/>
    </xf>
    <xf numFmtId="177" fontId="78" fillId="0" borderId="11" xfId="0" applyNumberFormat="1" applyFont="1" applyBorder="1" applyAlignment="1">
      <alignment vertical="center"/>
    </xf>
    <xf numFmtId="9" fontId="78" fillId="0" borderId="11" xfId="460" applyFont="1" applyBorder="1" applyAlignment="1">
      <alignment vertical="center"/>
    </xf>
    <xf numFmtId="182" fontId="185" fillId="0" borderId="11" xfId="465" applyNumberFormat="1" applyFont="1" applyBorder="1" applyAlignment="1">
      <alignment horizontal="center" vertical="center"/>
    </xf>
    <xf numFmtId="179" fontId="78" fillId="0" borderId="11" xfId="0" applyNumberFormat="1" applyFont="1" applyBorder="1" applyAlignment="1">
      <alignment vertical="center"/>
    </xf>
    <xf numFmtId="178" fontId="202" fillId="18" borderId="96" xfId="0" applyNumberFormat="1" applyFont="1" applyFill="1" applyBorder="1" applyAlignment="1">
      <alignment horizontal="center" vertical="center" wrapText="1"/>
    </xf>
    <xf numFmtId="179" fontId="202" fillId="18" borderId="97" xfId="460" applyNumberFormat="1" applyFont="1" applyFill="1" applyBorder="1" applyAlignment="1">
      <alignment horizontal="center" vertical="center" wrapText="1"/>
    </xf>
    <xf numFmtId="0" fontId="202" fillId="18" borderId="98" xfId="0" applyFont="1" applyFill="1" applyBorder="1" applyAlignment="1">
      <alignment horizontal="center" vertical="center" wrapText="1"/>
    </xf>
    <xf numFmtId="0" fontId="202" fillId="0" borderId="191" xfId="0" applyFont="1" applyBorder="1" applyAlignment="1">
      <alignment horizontal="center" vertical="center" wrapText="1"/>
    </xf>
    <xf numFmtId="0" fontId="202" fillId="22" borderId="217" xfId="0" applyFont="1" applyFill="1" applyBorder="1" applyAlignment="1">
      <alignment horizontal="center" vertical="center"/>
    </xf>
    <xf numFmtId="0" fontId="202" fillId="89" borderId="217" xfId="0" applyFont="1" applyFill="1" applyBorder="1" applyAlignment="1">
      <alignment horizontal="center" vertical="center"/>
    </xf>
    <xf numFmtId="178" fontId="202" fillId="18" borderId="218" xfId="0" applyNumberFormat="1" applyFont="1" applyFill="1" applyBorder="1" applyAlignment="1">
      <alignment horizontal="center" vertical="center"/>
    </xf>
    <xf numFmtId="179" fontId="202" fillId="18" borderId="217" xfId="460" applyNumberFormat="1" applyFont="1" applyFill="1" applyBorder="1" applyAlignment="1">
      <alignment horizontal="center" vertical="center"/>
    </xf>
    <xf numFmtId="0" fontId="202" fillId="18" borderId="219" xfId="0" applyFont="1" applyFill="1" applyBorder="1" applyAlignment="1">
      <alignment horizontal="center" vertical="center"/>
    </xf>
    <xf numFmtId="0" fontId="202" fillId="0" borderId="264" xfId="0" applyFont="1" applyBorder="1" applyAlignment="1">
      <alignment horizontal="center" vertical="center" shrinkToFit="1"/>
    </xf>
    <xf numFmtId="0" fontId="202" fillId="0" borderId="220" xfId="0" applyFont="1" applyBorder="1" applyAlignment="1">
      <alignment vertical="center" shrinkToFit="1"/>
    </xf>
    <xf numFmtId="0" fontId="202" fillId="22" borderId="223" xfId="0" applyFont="1" applyFill="1" applyBorder="1" applyAlignment="1">
      <alignment horizontal="center" vertical="center"/>
    </xf>
    <xf numFmtId="0" fontId="202" fillId="89" borderId="223" xfId="0" applyFont="1" applyFill="1" applyBorder="1" applyAlignment="1">
      <alignment horizontal="center" vertical="center"/>
    </xf>
    <xf numFmtId="178" fontId="202" fillId="18" borderId="224" xfId="0" applyNumberFormat="1" applyFont="1" applyFill="1" applyBorder="1" applyAlignment="1">
      <alignment horizontal="center" vertical="center"/>
    </xf>
    <xf numFmtId="179" fontId="202" fillId="18" borderId="223" xfId="460" applyNumberFormat="1" applyFont="1" applyFill="1" applyBorder="1" applyAlignment="1">
      <alignment horizontal="center" vertical="center"/>
    </xf>
    <xf numFmtId="0" fontId="202" fillId="18" borderId="225" xfId="0" applyFont="1" applyFill="1" applyBorder="1" applyAlignment="1">
      <alignment horizontal="center" vertical="center"/>
    </xf>
    <xf numFmtId="0" fontId="202" fillId="0" borderId="226" xfId="0" applyFont="1" applyBorder="1" applyAlignment="1">
      <alignment vertical="center" shrinkToFit="1"/>
    </xf>
    <xf numFmtId="0" fontId="202" fillId="0" borderId="265" xfId="0" applyFont="1" applyBorder="1" applyAlignment="1">
      <alignment horizontal="center" vertical="center" shrinkToFit="1"/>
    </xf>
    <xf numFmtId="0" fontId="202" fillId="0" borderId="266" xfId="0" applyFont="1" applyBorder="1" applyAlignment="1">
      <alignment horizontal="center" vertical="center" shrinkToFit="1"/>
    </xf>
    <xf numFmtId="0" fontId="202" fillId="0" borderId="267" xfId="0" applyFont="1" applyBorder="1" applyAlignment="1">
      <alignment horizontal="center" vertical="center" shrinkToFit="1"/>
    </xf>
    <xf numFmtId="0" fontId="202" fillId="0" borderId="268" xfId="0" applyFont="1" applyBorder="1" applyAlignment="1">
      <alignment horizontal="center" vertical="center" shrinkToFit="1"/>
    </xf>
    <xf numFmtId="0" fontId="202" fillId="0" borderId="269" xfId="0" applyFont="1" applyBorder="1" applyAlignment="1">
      <alignment vertical="center" shrinkToFit="1"/>
    </xf>
    <xf numFmtId="0" fontId="202" fillId="0" borderId="270" xfId="0" applyFont="1" applyBorder="1" applyAlignment="1">
      <alignment vertical="center" shrinkToFit="1"/>
    </xf>
    <xf numFmtId="178" fontId="202" fillId="92" borderId="224" xfId="0" applyNumberFormat="1" applyFont="1" applyFill="1" applyBorder="1" applyAlignment="1">
      <alignment horizontal="center" vertical="center"/>
    </xf>
    <xf numFmtId="179" fontId="202" fillId="92" borderId="223" xfId="460" applyNumberFormat="1" applyFont="1" applyFill="1" applyBorder="1" applyAlignment="1">
      <alignment horizontal="center" vertical="center"/>
    </xf>
    <xf numFmtId="0" fontId="202" fillId="92" borderId="225" xfId="0" applyFont="1" applyFill="1" applyBorder="1" applyAlignment="1">
      <alignment horizontal="center" vertical="center"/>
    </xf>
    <xf numFmtId="0" fontId="202" fillId="22" borderId="229" xfId="0" applyFont="1" applyFill="1" applyBorder="1" applyAlignment="1">
      <alignment horizontal="center" vertical="center"/>
    </xf>
    <xf numFmtId="0" fontId="202" fillId="89" borderId="229" xfId="0" applyFont="1" applyFill="1" applyBorder="1" applyAlignment="1">
      <alignment horizontal="center" vertical="center"/>
    </xf>
    <xf numFmtId="178" fontId="202" fillId="18" borderId="230" xfId="0" applyNumberFormat="1" applyFont="1" applyFill="1" applyBorder="1" applyAlignment="1">
      <alignment horizontal="center" vertical="center"/>
    </xf>
    <xf numFmtId="179" fontId="202" fillId="18" borderId="229" xfId="460" applyNumberFormat="1" applyFont="1" applyFill="1" applyBorder="1" applyAlignment="1">
      <alignment horizontal="center" vertical="center"/>
    </xf>
    <xf numFmtId="0" fontId="202" fillId="18" borderId="231" xfId="0" applyFont="1" applyFill="1" applyBorder="1" applyAlignment="1">
      <alignment horizontal="center" vertical="center"/>
    </xf>
    <xf numFmtId="0" fontId="202" fillId="0" borderId="271" xfId="0" applyFont="1" applyBorder="1" applyAlignment="1">
      <alignment horizontal="center" vertical="center" shrinkToFit="1"/>
    </xf>
    <xf numFmtId="0" fontId="202" fillId="0" borderId="232" xfId="0" applyFont="1" applyBorder="1" applyAlignment="1">
      <alignment vertical="center" shrinkToFit="1"/>
    </xf>
    <xf numFmtId="0" fontId="202" fillId="0" borderId="272" xfId="0" applyFont="1" applyBorder="1" applyAlignment="1">
      <alignment horizontal="center" vertical="center" shrinkToFit="1"/>
    </xf>
    <xf numFmtId="0" fontId="202" fillId="0" borderId="273" xfId="0" applyFont="1" applyBorder="1" applyAlignment="1">
      <alignment horizontal="center" vertical="center" shrinkToFit="1"/>
    </xf>
    <xf numFmtId="0" fontId="202" fillId="0" borderId="274" xfId="0" applyFont="1" applyBorder="1" applyAlignment="1">
      <alignment horizontal="center" vertical="center" shrinkToFit="1"/>
    </xf>
    <xf numFmtId="0" fontId="202" fillId="0" borderId="275" xfId="0" applyFont="1" applyBorder="1" applyAlignment="1">
      <alignment horizontal="center" vertical="center" shrinkToFit="1"/>
    </xf>
    <xf numFmtId="0" fontId="202" fillId="0" borderId="276" xfId="0" applyFont="1" applyBorder="1" applyAlignment="1">
      <alignment horizontal="center" vertical="center" shrinkToFit="1"/>
    </xf>
    <xf numFmtId="0" fontId="202" fillId="0" borderId="277" xfId="0" applyFont="1" applyBorder="1" applyAlignment="1">
      <alignment horizontal="center" vertical="center" shrinkToFit="1"/>
    </xf>
    <xf numFmtId="0" fontId="202" fillId="0" borderId="221" xfId="0" applyFont="1" applyBorder="1" applyAlignment="1">
      <alignment horizontal="center" vertical="center" shrinkToFit="1"/>
    </xf>
    <xf numFmtId="0" fontId="202" fillId="0" borderId="218" xfId="0" applyFont="1" applyBorder="1" applyAlignment="1">
      <alignment horizontal="center" vertical="center" shrinkToFit="1"/>
    </xf>
    <xf numFmtId="0" fontId="202" fillId="0" borderId="224" xfId="0" applyFont="1" applyBorder="1" applyAlignment="1">
      <alignment horizontal="center" vertical="center" shrinkToFit="1"/>
    </xf>
    <xf numFmtId="0" fontId="202" fillId="0" borderId="278" xfId="0" applyFont="1" applyBorder="1" applyAlignment="1">
      <alignment horizontal="center" vertical="center" shrinkToFit="1"/>
    </xf>
    <xf numFmtId="0" fontId="202" fillId="0" borderId="279" xfId="0" applyFont="1" applyBorder="1" applyAlignment="1">
      <alignment horizontal="center" vertical="center" shrinkToFit="1"/>
    </xf>
    <xf numFmtId="49" fontId="80" fillId="5" borderId="0" xfId="0" applyNumberFormat="1" applyFont="1" applyFill="1" applyAlignment="1">
      <alignment horizontal="center" vertical="center" wrapText="1"/>
    </xf>
    <xf numFmtId="49" fontId="80" fillId="0" borderId="0" xfId="0" applyNumberFormat="1" applyFont="1" applyAlignment="1" applyProtection="1">
      <alignment vertical="center"/>
      <protection locked="0"/>
    </xf>
    <xf numFmtId="176" fontId="64" fillId="99" borderId="0" xfId="0" applyNumberFormat="1" applyFont="1" applyFill="1" applyAlignment="1">
      <alignment horizontal="center" vertical="center"/>
    </xf>
    <xf numFmtId="49" fontId="80" fillId="0" borderId="0" xfId="0" applyNumberFormat="1" applyFont="1" applyAlignment="1">
      <alignment vertical="center"/>
    </xf>
    <xf numFmtId="0" fontId="64" fillId="99" borderId="0" xfId="0" applyFont="1" applyFill="1" applyAlignment="1">
      <alignment vertical="center"/>
    </xf>
    <xf numFmtId="0" fontId="64" fillId="99" borderId="0" xfId="0" applyFont="1" applyFill="1" applyAlignment="1" applyProtection="1">
      <alignment vertical="center"/>
      <protection locked="0"/>
    </xf>
    <xf numFmtId="20" fontId="64" fillId="0" borderId="0" xfId="0" applyNumberFormat="1" applyFont="1" applyAlignment="1">
      <alignment horizontal="center" vertical="center"/>
    </xf>
    <xf numFmtId="2" fontId="152" fillId="0" borderId="0" xfId="0" applyNumberFormat="1" applyFont="1" applyAlignment="1">
      <alignment horizontal="center" vertical="center"/>
    </xf>
    <xf numFmtId="187" fontId="94" fillId="0" borderId="280" xfId="0" applyNumberFormat="1" applyFont="1" applyBorder="1" applyAlignment="1">
      <alignment horizontal="center" vertical="center" shrinkToFit="1"/>
    </xf>
    <xf numFmtId="177" fontId="171" fillId="22" borderId="201" xfId="458" applyNumberFormat="1" applyFont="1" applyFill="1" applyBorder="1" applyAlignment="1">
      <alignment horizontal="right" shrinkToFit="1"/>
    </xf>
    <xf numFmtId="177" fontId="171" fillId="22" borderId="6" xfId="458" applyNumberFormat="1" applyFont="1" applyFill="1" applyBorder="1" applyAlignment="1">
      <alignment horizontal="right" shrinkToFit="1"/>
    </xf>
    <xf numFmtId="177" fontId="171" fillId="22" borderId="203" xfId="458" applyNumberFormat="1" applyFont="1" applyFill="1" applyBorder="1" applyAlignment="1">
      <alignment horizontal="right" shrinkToFit="1"/>
    </xf>
    <xf numFmtId="0" fontId="261" fillId="0" borderId="0" xfId="0" applyFont="1" applyAlignment="1">
      <alignment vertical="center"/>
    </xf>
    <xf numFmtId="0" fontId="32" fillId="0" borderId="0" xfId="0" applyFont="1" applyAlignment="1">
      <alignment horizontal="center" vertical="center" shrinkToFit="1"/>
    </xf>
    <xf numFmtId="0" fontId="263" fillId="0" borderId="0" xfId="0" applyFont="1" applyAlignment="1">
      <alignment horizontal="center" vertical="center" shrinkToFit="1"/>
    </xf>
    <xf numFmtId="0" fontId="264" fillId="17" borderId="0" xfId="0" applyFont="1" applyFill="1" applyAlignment="1">
      <alignment horizontal="center" vertical="center"/>
    </xf>
    <xf numFmtId="0" fontId="261" fillId="0" borderId="0" xfId="0" applyFont="1" applyAlignment="1">
      <alignment horizontal="center" vertical="center" shrinkToFit="1"/>
    </xf>
    <xf numFmtId="0" fontId="261" fillId="0" borderId="0" xfId="0" applyFont="1" applyAlignment="1">
      <alignment vertical="center" shrinkToFit="1"/>
    </xf>
    <xf numFmtId="0" fontId="266" fillId="0" borderId="0" xfId="0" applyFont="1"/>
    <xf numFmtId="0" fontId="265" fillId="0" borderId="0" xfId="0" applyFont="1"/>
    <xf numFmtId="0" fontId="267" fillId="0" borderId="0" xfId="0" applyFont="1"/>
    <xf numFmtId="0" fontId="268" fillId="0" borderId="0" xfId="0" applyFont="1"/>
    <xf numFmtId="0" fontId="267" fillId="22" borderId="103" xfId="0" applyFont="1" applyFill="1" applyBorder="1" applyAlignment="1">
      <alignment horizontal="center"/>
    </xf>
    <xf numFmtId="0" fontId="269" fillId="0" borderId="0" xfId="0" applyFont="1"/>
    <xf numFmtId="0" fontId="270" fillId="0" borderId="0" xfId="0" applyFont="1"/>
    <xf numFmtId="0" fontId="272" fillId="0" borderId="108" xfId="0" applyFont="1" applyBorder="1"/>
    <xf numFmtId="0" fontId="272" fillId="0" borderId="107" xfId="0" applyFont="1" applyBorder="1"/>
    <xf numFmtId="0" fontId="272" fillId="0" borderId="111" xfId="0" applyFont="1" applyBorder="1"/>
    <xf numFmtId="0" fontId="273" fillId="0" borderId="0" xfId="0" applyFont="1"/>
    <xf numFmtId="0" fontId="273" fillId="22" borderId="103" xfId="0" applyFont="1" applyFill="1" applyBorder="1" applyAlignment="1">
      <alignment horizontal="center"/>
    </xf>
    <xf numFmtId="0" fontId="271" fillId="0" borderId="108" xfId="0" applyFont="1" applyBorder="1" applyAlignment="1">
      <alignment horizontal="center"/>
    </xf>
    <xf numFmtId="0" fontId="271" fillId="0" borderId="107" xfId="0" applyFont="1" applyBorder="1" applyAlignment="1">
      <alignment horizontal="center"/>
    </xf>
    <xf numFmtId="0" fontId="271" fillId="0" borderId="111" xfId="0" applyFont="1" applyBorder="1" applyAlignment="1">
      <alignment horizontal="center"/>
    </xf>
    <xf numFmtId="0" fontId="273" fillId="0" borderId="108" xfId="0" applyFont="1" applyBorder="1" applyAlignment="1">
      <alignment horizontal="center"/>
    </xf>
    <xf numFmtId="0" fontId="273" fillId="0" borderId="111" xfId="0" applyFont="1" applyBorder="1" applyAlignment="1">
      <alignment horizontal="center"/>
    </xf>
    <xf numFmtId="0" fontId="274" fillId="0" borderId="0" xfId="0" applyFont="1" applyAlignment="1">
      <alignment horizontal="center"/>
    </xf>
    <xf numFmtId="0" fontId="275" fillId="0" borderId="0" xfId="0" applyFont="1"/>
    <xf numFmtId="0" fontId="97" fillId="0" borderId="0" xfId="0" applyFont="1"/>
    <xf numFmtId="0" fontId="276" fillId="0" borderId="0" xfId="0" applyFont="1"/>
    <xf numFmtId="0" fontId="277" fillId="0" borderId="11" xfId="0" applyFont="1" applyBorder="1"/>
    <xf numFmtId="1" fontId="19" fillId="0" borderId="12" xfId="0" applyNumberFormat="1" applyFont="1" applyBorder="1" applyAlignment="1" applyProtection="1">
      <alignment vertical="center" shrinkToFit="1"/>
      <protection locked="0"/>
    </xf>
    <xf numFmtId="177" fontId="186" fillId="0" borderId="11" xfId="0" applyNumberFormat="1" applyFont="1" applyBorder="1" applyAlignment="1">
      <alignment horizontal="center"/>
    </xf>
    <xf numFmtId="177" fontId="187" fillId="0" borderId="11" xfId="0" applyNumberFormat="1" applyFont="1" applyBorder="1" applyAlignment="1">
      <alignment horizontal="center"/>
    </xf>
    <xf numFmtId="177" fontId="186" fillId="0" borderId="66" xfId="0" applyNumberFormat="1" applyFont="1" applyBorder="1" applyAlignment="1">
      <alignment horizontal="center"/>
    </xf>
    <xf numFmtId="177" fontId="186" fillId="0" borderId="67" xfId="0" applyNumberFormat="1" applyFont="1" applyBorder="1" applyAlignment="1">
      <alignment horizontal="center"/>
    </xf>
    <xf numFmtId="177" fontId="186" fillId="72" borderId="189" xfId="0" applyNumberFormat="1" applyFont="1" applyFill="1" applyBorder="1" applyAlignment="1">
      <alignment horizontal="right"/>
    </xf>
    <xf numFmtId="177" fontId="186" fillId="72" borderId="25" xfId="0" applyNumberFormat="1" applyFont="1" applyFill="1" applyBorder="1" applyAlignment="1">
      <alignment horizontal="right"/>
    </xf>
    <xf numFmtId="177" fontId="186" fillId="72" borderId="2" xfId="0" applyNumberFormat="1" applyFont="1" applyFill="1" applyBorder="1" applyAlignment="1">
      <alignment horizontal="right"/>
    </xf>
    <xf numFmtId="177" fontId="186" fillId="72" borderId="256" xfId="0" applyNumberFormat="1" applyFont="1" applyFill="1" applyBorder="1" applyAlignment="1">
      <alignment horizontal="right"/>
    </xf>
    <xf numFmtId="177" fontId="186" fillId="16" borderId="26" xfId="458" applyNumberFormat="1" applyFont="1" applyFill="1" applyBorder="1" applyAlignment="1">
      <alignment horizontal="right"/>
    </xf>
    <xf numFmtId="177" fontId="186" fillId="0" borderId="43" xfId="458" applyNumberFormat="1" applyFont="1" applyBorder="1" applyAlignment="1">
      <alignment horizontal="right"/>
    </xf>
    <xf numFmtId="176" fontId="229" fillId="0" borderId="11" xfId="458" applyNumberFormat="1" applyFont="1" applyBorder="1" applyAlignment="1">
      <alignment horizontal="right"/>
    </xf>
    <xf numFmtId="177" fontId="186" fillId="0" borderId="166" xfId="458" applyNumberFormat="1" applyFont="1" applyBorder="1" applyAlignment="1">
      <alignment horizontal="right"/>
    </xf>
    <xf numFmtId="177" fontId="186" fillId="0" borderId="11" xfId="458" applyNumberFormat="1" applyFont="1" applyFill="1" applyBorder="1" applyAlignment="1">
      <alignment horizontal="right"/>
    </xf>
    <xf numFmtId="185" fontId="186" fillId="0" borderId="49" xfId="0" applyNumberFormat="1" applyFont="1" applyBorder="1" applyAlignment="1">
      <alignment horizontal="right"/>
    </xf>
    <xf numFmtId="0" fontId="171" fillId="0" borderId="27" xfId="0" applyFont="1" applyBorder="1" applyAlignment="1">
      <alignment horizontal="center" vertical="center"/>
    </xf>
    <xf numFmtId="0" fontId="171" fillId="0" borderId="11" xfId="0" applyFont="1" applyBorder="1" applyAlignment="1">
      <alignment horizontal="center" vertical="center"/>
    </xf>
    <xf numFmtId="0" fontId="176" fillId="0" borderId="11" xfId="546" applyFont="1" applyBorder="1" applyAlignment="1">
      <alignment horizontal="right" vertical="center"/>
    </xf>
    <xf numFmtId="0" fontId="176" fillId="0" borderId="11" xfId="546" applyFont="1" applyBorder="1" applyAlignment="1">
      <alignment horizontal="center" vertical="center"/>
    </xf>
    <xf numFmtId="0" fontId="176" fillId="0" borderId="2" xfId="546" applyFont="1" applyBorder="1" applyAlignment="1">
      <alignment horizontal="center" vertical="center"/>
    </xf>
    <xf numFmtId="0" fontId="171" fillId="0" borderId="12" xfId="0" applyFont="1" applyBorder="1" applyAlignment="1">
      <alignment horizontal="center" vertical="center"/>
    </xf>
    <xf numFmtId="10" fontId="171" fillId="0" borderId="14" xfId="460" applyNumberFormat="1" applyFont="1" applyBorder="1" applyAlignment="1">
      <alignment vertical="center"/>
    </xf>
    <xf numFmtId="10" fontId="171" fillId="0" borderId="11" xfId="460" applyNumberFormat="1" applyFont="1" applyBorder="1" applyAlignment="1">
      <alignment vertical="center"/>
    </xf>
    <xf numFmtId="186" fontId="171" fillId="0" borderId="11" xfId="0" applyNumberFormat="1" applyFont="1" applyBorder="1" applyAlignment="1">
      <alignment horizontal="center" vertical="center"/>
    </xf>
    <xf numFmtId="197" fontId="171" fillId="0" borderId="11" xfId="0" applyNumberFormat="1" applyFont="1" applyBorder="1" applyAlignment="1">
      <alignment vertical="center"/>
    </xf>
    <xf numFmtId="197" fontId="171" fillId="0" borderId="12" xfId="0" applyNumberFormat="1" applyFont="1" applyBorder="1" applyAlignment="1">
      <alignment vertical="center"/>
    </xf>
    <xf numFmtId="10" fontId="171" fillId="0" borderId="15" xfId="460" applyNumberFormat="1" applyFont="1" applyBorder="1" applyAlignment="1">
      <alignment vertical="center"/>
    </xf>
    <xf numFmtId="10" fontId="171" fillId="0" borderId="17" xfId="460" applyNumberFormat="1" applyFont="1" applyBorder="1" applyAlignment="1">
      <alignment vertical="center"/>
    </xf>
    <xf numFmtId="186" fontId="171" fillId="0" borderId="17" xfId="0" applyNumberFormat="1" applyFont="1" applyBorder="1" applyAlignment="1">
      <alignment horizontal="center" vertical="center"/>
    </xf>
    <xf numFmtId="197" fontId="171" fillId="0" borderId="17" xfId="0" applyNumberFormat="1" applyFont="1" applyBorder="1" applyAlignment="1">
      <alignment vertical="center"/>
    </xf>
    <xf numFmtId="197" fontId="171" fillId="0" borderId="20" xfId="0" applyNumberFormat="1" applyFont="1" applyBorder="1" applyAlignment="1">
      <alignment vertical="center"/>
    </xf>
    <xf numFmtId="0" fontId="80" fillId="17" borderId="281" xfId="0" applyFont="1" applyFill="1" applyBorder="1" applyAlignment="1">
      <alignment vertical="center" shrinkToFit="1"/>
    </xf>
    <xf numFmtId="10" fontId="171" fillId="17" borderId="282" xfId="460" applyNumberFormat="1" applyFont="1" applyFill="1" applyBorder="1" applyAlignment="1">
      <alignment vertical="center" shrinkToFit="1"/>
    </xf>
    <xf numFmtId="10" fontId="176" fillId="17" borderId="283" xfId="460" applyNumberFormat="1" applyFont="1" applyFill="1" applyBorder="1" applyAlignment="1">
      <alignment horizontal="center" vertical="center" shrinkToFit="1"/>
    </xf>
    <xf numFmtId="177" fontId="171" fillId="17" borderId="283" xfId="460" applyNumberFormat="1" applyFont="1" applyFill="1" applyBorder="1" applyAlignment="1">
      <alignment horizontal="center" vertical="center" shrinkToFit="1"/>
    </xf>
    <xf numFmtId="198" fontId="171" fillId="17" borderId="283" xfId="0" applyNumberFormat="1" applyFont="1" applyFill="1" applyBorder="1" applyAlignment="1">
      <alignment horizontal="center" vertical="center" shrinkToFit="1"/>
    </xf>
    <xf numFmtId="198" fontId="171" fillId="17" borderId="284" xfId="0" applyNumberFormat="1" applyFont="1" applyFill="1" applyBorder="1" applyAlignment="1">
      <alignment horizontal="center" vertical="center" shrinkToFit="1"/>
    </xf>
    <xf numFmtId="0" fontId="13" fillId="91" borderId="285" xfId="0" applyFont="1" applyFill="1" applyBorder="1" applyAlignment="1">
      <alignment horizontal="center" vertical="center" shrinkToFit="1"/>
    </xf>
    <xf numFmtId="10" fontId="171" fillId="91" borderId="285" xfId="0" applyNumberFormat="1" applyFont="1" applyFill="1" applyBorder="1" applyAlignment="1">
      <alignment horizontal="center" vertical="center" shrinkToFit="1"/>
    </xf>
    <xf numFmtId="10" fontId="171" fillId="91" borderId="286" xfId="0" applyNumberFormat="1" applyFont="1" applyFill="1" applyBorder="1" applyAlignment="1">
      <alignment horizontal="center" vertical="center" shrinkToFit="1"/>
    </xf>
    <xf numFmtId="184" fontId="171" fillId="91" borderId="286" xfId="460" applyNumberFormat="1" applyFont="1" applyFill="1" applyBorder="1" applyAlignment="1">
      <alignment horizontal="center" vertical="center" shrinkToFit="1"/>
    </xf>
    <xf numFmtId="10" fontId="223" fillId="36" borderId="286" xfId="0" applyNumberFormat="1" applyFont="1" applyFill="1" applyBorder="1" applyAlignment="1">
      <alignment horizontal="center" vertical="center"/>
    </xf>
    <xf numFmtId="9" fontId="223" fillId="36" borderId="286" xfId="460" applyFont="1" applyFill="1" applyBorder="1" applyAlignment="1">
      <alignment horizontal="center" vertical="center"/>
    </xf>
    <xf numFmtId="0" fontId="171" fillId="0" borderId="286" xfId="0" applyFont="1" applyBorder="1" applyAlignment="1">
      <alignment vertical="center" shrinkToFit="1"/>
    </xf>
    <xf numFmtId="0" fontId="171" fillId="0" borderId="287" xfId="0" applyFont="1" applyBorder="1" applyAlignment="1">
      <alignment vertical="center" shrinkToFit="1"/>
    </xf>
    <xf numFmtId="187" fontId="94" fillId="0" borderId="50" xfId="0" applyNumberFormat="1" applyFont="1" applyBorder="1" applyAlignment="1">
      <alignment horizontal="center" vertical="center"/>
    </xf>
    <xf numFmtId="187" fontId="94" fillId="0" borderId="288" xfId="0" applyNumberFormat="1" applyFont="1" applyBorder="1" applyAlignment="1">
      <alignment horizontal="center" vertical="center" shrinkToFit="1"/>
    </xf>
    <xf numFmtId="187" fontId="278" fillId="0" borderId="11" xfId="0" applyNumberFormat="1" applyFont="1" applyBorder="1" applyAlignment="1">
      <alignment horizontal="center" vertical="center" shrinkToFit="1"/>
    </xf>
    <xf numFmtId="2" fontId="40" fillId="0" borderId="289" xfId="0" applyNumberFormat="1" applyFont="1" applyBorder="1" applyAlignment="1" applyProtection="1">
      <alignment horizontal="center" vertical="center"/>
      <protection locked="0"/>
    </xf>
    <xf numFmtId="187" fontId="94" fillId="0" borderId="290" xfId="0" applyNumberFormat="1" applyFont="1" applyBorder="1" applyAlignment="1">
      <alignment horizontal="center" vertical="center" shrinkToFit="1"/>
    </xf>
    <xf numFmtId="187" fontId="94" fillId="0" borderId="291" xfId="0" applyNumberFormat="1" applyFont="1" applyBorder="1" applyAlignment="1">
      <alignment horizontal="center" vertical="center" shrinkToFit="1"/>
    </xf>
    <xf numFmtId="187" fontId="94" fillId="0" borderId="2" xfId="0" applyNumberFormat="1" applyFont="1" applyBorder="1" applyAlignment="1">
      <alignment horizontal="center" vertical="center" shrinkToFit="1"/>
    </xf>
    <xf numFmtId="181" fontId="279" fillId="23" borderId="0" xfId="0" applyNumberFormat="1" applyFont="1" applyFill="1" applyAlignment="1">
      <alignment horizontal="left" vertical="center" shrinkToFit="1"/>
    </xf>
    <xf numFmtId="187" fontId="94" fillId="0" borderId="17" xfId="0" applyNumberFormat="1" applyFont="1" applyBorder="1" applyAlignment="1">
      <alignment horizontal="center" vertical="center" shrinkToFit="1"/>
    </xf>
    <xf numFmtId="187" fontId="94" fillId="0" borderId="206" xfId="0" applyNumberFormat="1" applyFont="1" applyBorder="1" applyAlignment="1">
      <alignment horizontal="center" vertical="center" shrinkToFit="1"/>
    </xf>
    <xf numFmtId="187" fontId="94" fillId="0" borderId="167" xfId="0" applyNumberFormat="1" applyFont="1" applyBorder="1" applyAlignment="1">
      <alignment horizontal="center" vertical="center" shrinkToFit="1"/>
    </xf>
    <xf numFmtId="187" fontId="94" fillId="0" borderId="292" xfId="0" applyNumberFormat="1" applyFont="1" applyBorder="1" applyAlignment="1">
      <alignment horizontal="center" vertical="center" shrinkToFit="1"/>
    </xf>
    <xf numFmtId="187" fontId="94" fillId="0" borderId="293" xfId="0" applyNumberFormat="1" applyFont="1" applyBorder="1" applyAlignment="1">
      <alignment horizontal="center" vertical="center" shrinkToFit="1"/>
    </xf>
    <xf numFmtId="187" fontId="93" fillId="0" borderId="290" xfId="0" applyNumberFormat="1" applyFont="1" applyBorder="1" applyAlignment="1">
      <alignment horizontal="center" vertical="center" shrinkToFit="1"/>
    </xf>
    <xf numFmtId="187" fontId="93" fillId="0" borderId="291" xfId="0" applyNumberFormat="1" applyFont="1" applyBorder="1" applyAlignment="1">
      <alignment horizontal="center" vertical="center" shrinkToFit="1"/>
    </xf>
    <xf numFmtId="0" fontId="90" fillId="0" borderId="95" xfId="0" applyFont="1" applyBorder="1" applyAlignment="1">
      <alignment horizontal="center" vertical="center"/>
    </xf>
    <xf numFmtId="0" fontId="75" fillId="0" borderId="38" xfId="0" applyFont="1" applyBorder="1" applyAlignment="1">
      <alignment horizontal="center" vertical="center"/>
    </xf>
    <xf numFmtId="0" fontId="75" fillId="0" borderId="54" xfId="0" applyFont="1" applyBorder="1" applyAlignment="1">
      <alignment horizontal="center" vertical="center"/>
    </xf>
    <xf numFmtId="0" fontId="40" fillId="0" borderId="95" xfId="0" applyFont="1" applyBorder="1" applyAlignment="1" applyProtection="1">
      <alignment horizontal="center" vertical="center" wrapText="1"/>
      <protection hidden="1"/>
    </xf>
    <xf numFmtId="0" fontId="26" fillId="0" borderId="38" xfId="0" applyFont="1" applyBorder="1"/>
    <xf numFmtId="191" fontId="40" fillId="0" borderId="38" xfId="458" applyNumberFormat="1" applyFont="1" applyFill="1" applyBorder="1" applyAlignment="1">
      <alignment horizontal="left" vertical="center"/>
    </xf>
    <xf numFmtId="191" fontId="40" fillId="0" borderId="54" xfId="458" applyNumberFormat="1" applyFont="1" applyFill="1" applyBorder="1" applyAlignment="1">
      <alignment horizontal="left" vertical="center"/>
    </xf>
    <xf numFmtId="0" fontId="40" fillId="24" borderId="148" xfId="0" applyFont="1" applyFill="1" applyBorder="1" applyAlignment="1">
      <alignment horizontal="center" vertical="center"/>
    </xf>
    <xf numFmtId="0" fontId="40" fillId="24" borderId="89" xfId="0" applyFont="1" applyFill="1" applyBorder="1" applyAlignment="1">
      <alignment horizontal="center" vertical="center"/>
    </xf>
    <xf numFmtId="2" fontId="58" fillId="0" borderId="81" xfId="0" applyNumberFormat="1" applyFont="1" applyBorder="1" applyAlignment="1">
      <alignment horizontal="center" vertical="center"/>
    </xf>
    <xf numFmtId="0" fontId="32" fillId="0" borderId="8" xfId="0" applyFont="1" applyBorder="1" applyAlignment="1" applyProtection="1">
      <alignment horizontal="center" vertical="center" shrinkToFit="1"/>
      <protection locked="0"/>
    </xf>
    <xf numFmtId="0" fontId="32" fillId="0" borderId="138" xfId="0" applyFont="1" applyBorder="1" applyAlignment="1" applyProtection="1">
      <alignment horizontal="center" vertical="center" shrinkToFit="1"/>
      <protection locked="0"/>
    </xf>
    <xf numFmtId="0" fontId="32" fillId="0" borderId="139" xfId="0" applyFont="1" applyBorder="1" applyAlignment="1" applyProtection="1">
      <alignment horizontal="center" vertical="center" shrinkToFit="1"/>
      <protection locked="0"/>
    </xf>
    <xf numFmtId="0" fontId="30" fillId="11" borderId="124" xfId="0" applyFont="1" applyFill="1" applyBorder="1" applyAlignment="1">
      <alignment horizontal="center" vertical="center"/>
    </xf>
    <xf numFmtId="0" fontId="30" fillId="11" borderId="125" xfId="0" applyFont="1" applyFill="1" applyBorder="1" applyAlignment="1">
      <alignment horizontal="center" vertical="center"/>
    </xf>
    <xf numFmtId="0" fontId="30" fillId="11" borderId="126" xfId="0" applyFont="1" applyFill="1" applyBorder="1" applyAlignment="1">
      <alignment horizontal="center" vertical="center"/>
    </xf>
    <xf numFmtId="0" fontId="32" fillId="0" borderId="146" xfId="0" applyFont="1" applyBorder="1" applyAlignment="1" applyProtection="1">
      <alignment horizontal="center" vertical="center" shrinkToFit="1"/>
      <protection locked="0"/>
    </xf>
    <xf numFmtId="0" fontId="32" fillId="0" borderId="64" xfId="0" applyFont="1" applyBorder="1" applyAlignment="1" applyProtection="1">
      <alignment horizontal="center" vertical="center" shrinkToFit="1"/>
      <protection locked="0"/>
    </xf>
    <xf numFmtId="0" fontId="32" fillId="0" borderId="147" xfId="0" applyFont="1" applyBorder="1" applyAlignment="1" applyProtection="1">
      <alignment horizontal="center" vertical="center" shrinkToFit="1"/>
      <protection locked="0"/>
    </xf>
    <xf numFmtId="0" fontId="32" fillId="15" borderId="131" xfId="0" applyFont="1" applyFill="1" applyBorder="1" applyAlignment="1" applyProtection="1">
      <alignment horizontal="center" vertical="center" shrinkToFit="1"/>
      <protection locked="0"/>
    </xf>
    <xf numFmtId="0" fontId="32" fillId="15" borderId="132" xfId="0" applyFont="1" applyFill="1" applyBorder="1" applyAlignment="1" applyProtection="1">
      <alignment horizontal="center" vertical="center" shrinkToFit="1"/>
      <protection locked="0"/>
    </xf>
    <xf numFmtId="0" fontId="32" fillId="15" borderId="133" xfId="0" applyFont="1" applyFill="1" applyBorder="1" applyAlignment="1" applyProtection="1">
      <alignment horizontal="center" vertical="center" shrinkToFit="1"/>
      <protection locked="0"/>
    </xf>
    <xf numFmtId="0" fontId="33" fillId="7" borderId="128" xfId="0" applyFont="1" applyFill="1" applyBorder="1" applyAlignment="1">
      <alignment horizontal="center" vertical="center" shrinkToFit="1"/>
    </xf>
    <xf numFmtId="0" fontId="33" fillId="7" borderId="129" xfId="0" applyFont="1" applyFill="1" applyBorder="1" applyAlignment="1">
      <alignment horizontal="center" vertical="center" shrinkToFit="1"/>
    </xf>
    <xf numFmtId="0" fontId="33" fillId="7" borderId="130" xfId="0" applyFont="1" applyFill="1" applyBorder="1" applyAlignment="1">
      <alignment horizontal="center" vertical="center" shrinkToFit="1"/>
    </xf>
    <xf numFmtId="186" fontId="32" fillId="0" borderId="8" xfId="0" applyNumberFormat="1" applyFont="1" applyBorder="1" applyAlignment="1" applyProtection="1">
      <alignment horizontal="center" vertical="center" shrinkToFit="1"/>
      <protection locked="0"/>
    </xf>
    <xf numFmtId="186" fontId="32" fillId="0" borderId="138" xfId="0" applyNumberFormat="1" applyFont="1" applyBorder="1" applyAlignment="1" applyProtection="1">
      <alignment horizontal="center" vertical="center" shrinkToFit="1"/>
      <protection locked="0"/>
    </xf>
    <xf numFmtId="186" fontId="32" fillId="0" borderId="139" xfId="0" applyNumberFormat="1" applyFont="1" applyBorder="1" applyAlignment="1" applyProtection="1">
      <alignment horizontal="center" vertical="center" shrinkToFit="1"/>
      <protection locked="0"/>
    </xf>
    <xf numFmtId="181" fontId="32" fillId="0" borderId="146" xfId="0" applyNumberFormat="1" applyFont="1" applyBorder="1" applyAlignment="1" applyProtection="1">
      <alignment horizontal="center" vertical="center" shrinkToFit="1"/>
      <protection locked="0"/>
    </xf>
    <xf numFmtId="181" fontId="32" fillId="0" borderId="64" xfId="0" applyNumberFormat="1" applyFont="1" applyBorder="1" applyAlignment="1" applyProtection="1">
      <alignment horizontal="center" vertical="center" shrinkToFit="1"/>
      <protection locked="0"/>
    </xf>
    <xf numFmtId="181" fontId="32" fillId="0" borderId="147" xfId="0" applyNumberFormat="1" applyFont="1" applyBorder="1" applyAlignment="1" applyProtection="1">
      <alignment horizontal="center" vertical="center" shrinkToFit="1"/>
      <protection locked="0"/>
    </xf>
    <xf numFmtId="186" fontId="32" fillId="0" borderId="146" xfId="0" applyNumberFormat="1" applyFont="1" applyBorder="1" applyAlignment="1" applyProtection="1">
      <alignment horizontal="center" vertical="center" shrinkToFit="1"/>
      <protection locked="0"/>
    </xf>
    <xf numFmtId="186" fontId="32" fillId="0" borderId="64" xfId="0" applyNumberFormat="1" applyFont="1" applyBorder="1" applyAlignment="1" applyProtection="1">
      <alignment horizontal="center" vertical="center" shrinkToFit="1"/>
      <protection locked="0"/>
    </xf>
    <xf numFmtId="186" fontId="32" fillId="0" borderId="147" xfId="0" applyNumberFormat="1" applyFont="1" applyBorder="1" applyAlignment="1" applyProtection="1">
      <alignment horizontal="center" vertical="center" shrinkToFit="1"/>
      <protection locked="0"/>
    </xf>
    <xf numFmtId="0" fontId="32" fillId="0" borderId="74" xfId="0" applyFont="1" applyBorder="1" applyAlignment="1" applyProtection="1">
      <alignment horizontal="center" vertical="center" shrinkToFit="1"/>
      <protection locked="0"/>
    </xf>
    <xf numFmtId="0" fontId="32" fillId="0" borderId="137" xfId="0" applyFont="1" applyBorder="1" applyAlignment="1" applyProtection="1">
      <alignment horizontal="center" vertical="center" shrinkToFit="1"/>
      <protection locked="0"/>
    </xf>
    <xf numFmtId="0" fontId="32" fillId="15" borderId="134" xfId="0" applyFont="1" applyFill="1" applyBorder="1" applyAlignment="1" applyProtection="1">
      <alignment horizontal="center" vertical="center" shrinkToFit="1"/>
      <protection locked="0"/>
    </xf>
    <xf numFmtId="0" fontId="32" fillId="15" borderId="135" xfId="0" applyFont="1" applyFill="1" applyBorder="1" applyAlignment="1" applyProtection="1">
      <alignment horizontal="center" vertical="center" shrinkToFit="1"/>
      <protection locked="0"/>
    </xf>
    <xf numFmtId="0" fontId="32" fillId="15" borderId="136" xfId="0" applyFont="1" applyFill="1" applyBorder="1" applyAlignment="1" applyProtection="1">
      <alignment horizontal="center" vertical="center" shrinkToFit="1"/>
      <protection locked="0"/>
    </xf>
    <xf numFmtId="0" fontId="30" fillId="0" borderId="0" xfId="0" applyFont="1" applyAlignment="1">
      <alignment horizontal="center" vertical="center"/>
    </xf>
    <xf numFmtId="0" fontId="26" fillId="16" borderId="127" xfId="0" applyFont="1" applyFill="1" applyBorder="1" applyAlignment="1">
      <alignment horizontal="center" vertical="center" shrinkToFit="1"/>
    </xf>
    <xf numFmtId="0" fontId="37" fillId="7" borderId="129" xfId="0" applyFont="1" applyFill="1" applyBorder="1" applyAlignment="1">
      <alignment horizontal="center" vertical="center"/>
    </xf>
    <xf numFmtId="0" fontId="19" fillId="0" borderId="142" xfId="0" applyFont="1" applyBorder="1" applyAlignment="1">
      <alignment horizontal="center" vertical="center"/>
    </xf>
    <xf numFmtId="0" fontId="31" fillId="0" borderId="8" xfId="0" applyFont="1" applyBorder="1" applyAlignment="1" applyProtection="1">
      <alignment horizontal="center" vertical="center"/>
      <protection locked="0"/>
    </xf>
    <xf numFmtId="0" fontId="31" fillId="0" borderId="138" xfId="0" applyFont="1" applyBorder="1" applyAlignment="1" applyProtection="1">
      <alignment horizontal="center" vertical="center"/>
      <protection locked="0"/>
    </xf>
    <xf numFmtId="0" fontId="31" fillId="0" borderId="139" xfId="0" applyFont="1" applyBorder="1" applyAlignment="1" applyProtection="1">
      <alignment horizontal="center" vertical="center"/>
      <protection locked="0"/>
    </xf>
    <xf numFmtId="186" fontId="30" fillId="11" borderId="124" xfId="0" applyNumberFormat="1" applyFont="1" applyFill="1" applyBorder="1" applyAlignment="1">
      <alignment horizontal="center" vertical="center"/>
    </xf>
    <xf numFmtId="186" fontId="30" fillId="11" borderId="125" xfId="0" applyNumberFormat="1" applyFont="1" applyFill="1" applyBorder="1" applyAlignment="1">
      <alignment horizontal="center" vertical="center"/>
    </xf>
    <xf numFmtId="186" fontId="30" fillId="11" borderId="126" xfId="0" applyNumberFormat="1" applyFont="1" applyFill="1" applyBorder="1" applyAlignment="1">
      <alignment horizontal="center" vertical="center"/>
    </xf>
    <xf numFmtId="0" fontId="31" fillId="0" borderId="143" xfId="0" applyFont="1" applyBorder="1" applyAlignment="1" applyProtection="1">
      <alignment horizontal="center" vertical="center"/>
      <protection locked="0"/>
    </xf>
    <xf numFmtId="0" fontId="31" fillId="0" borderId="144" xfId="0" applyFont="1" applyBorder="1" applyAlignment="1" applyProtection="1">
      <alignment horizontal="center" vertical="center"/>
      <protection locked="0"/>
    </xf>
    <xf numFmtId="0" fontId="31" fillId="0" borderId="145" xfId="0" applyFont="1" applyBorder="1" applyAlignment="1" applyProtection="1">
      <alignment horizontal="center" vertical="center"/>
      <protection locked="0"/>
    </xf>
    <xf numFmtId="0" fontId="31" fillId="15" borderId="141" xfId="0" applyFont="1" applyFill="1" applyBorder="1" applyAlignment="1" applyProtection="1">
      <alignment horizontal="center" vertical="center"/>
      <protection locked="0"/>
    </xf>
    <xf numFmtId="0" fontId="63" fillId="0" borderId="75" xfId="0" applyFont="1" applyBorder="1" applyAlignment="1">
      <alignment horizontal="center" vertical="center"/>
    </xf>
    <xf numFmtId="0" fontId="31" fillId="0" borderId="74" xfId="0" applyFont="1" applyBorder="1" applyAlignment="1" applyProtection="1">
      <alignment horizontal="center" vertical="center"/>
      <protection locked="0"/>
    </xf>
    <xf numFmtId="0" fontId="31" fillId="0" borderId="137" xfId="0" applyFont="1" applyBorder="1" applyAlignment="1" applyProtection="1">
      <alignment horizontal="center" vertical="center"/>
      <protection locked="0"/>
    </xf>
    <xf numFmtId="186" fontId="23" fillId="11" borderId="124" xfId="0" applyNumberFormat="1" applyFont="1" applyFill="1" applyBorder="1" applyAlignment="1">
      <alignment horizontal="center" vertical="center"/>
    </xf>
    <xf numFmtId="186" fontId="23" fillId="11" borderId="125" xfId="0" applyNumberFormat="1" applyFont="1" applyFill="1" applyBorder="1" applyAlignment="1">
      <alignment horizontal="center" vertical="center"/>
    </xf>
    <xf numFmtId="186" fontId="23" fillId="11" borderId="126" xfId="0" applyNumberFormat="1" applyFont="1" applyFill="1" applyBorder="1" applyAlignment="1">
      <alignment horizontal="center" vertical="center"/>
    </xf>
    <xf numFmtId="186" fontId="19" fillId="16" borderId="127" xfId="0" applyNumberFormat="1" applyFont="1" applyFill="1" applyBorder="1" applyAlignment="1">
      <alignment horizontal="center" vertical="center"/>
    </xf>
    <xf numFmtId="0" fontId="19" fillId="16" borderId="127" xfId="0" applyFont="1" applyFill="1" applyBorder="1" applyAlignment="1">
      <alignment horizontal="center" vertical="center"/>
    </xf>
    <xf numFmtId="0" fontId="31" fillId="15" borderId="261" xfId="0" applyFont="1" applyFill="1" applyBorder="1" applyAlignment="1" applyProtection="1">
      <alignment horizontal="center" vertical="center"/>
      <protection locked="0"/>
    </xf>
    <xf numFmtId="0" fontId="31" fillId="15" borderId="262" xfId="0" applyFont="1" applyFill="1" applyBorder="1" applyAlignment="1" applyProtection="1">
      <alignment horizontal="center" vertical="center"/>
      <protection locked="0"/>
    </xf>
    <xf numFmtId="0" fontId="31" fillId="15" borderId="263" xfId="0" applyFont="1" applyFill="1" applyBorder="1" applyAlignment="1" applyProtection="1">
      <alignment horizontal="center" vertical="center"/>
      <protection locked="0"/>
    </xf>
    <xf numFmtId="0" fontId="37" fillId="7" borderId="128" xfId="0" applyFont="1" applyFill="1" applyBorder="1" applyAlignment="1">
      <alignment horizontal="center" vertical="center"/>
    </xf>
    <xf numFmtId="0" fontId="37" fillId="7" borderId="130" xfId="0" applyFont="1" applyFill="1" applyBorder="1" applyAlignment="1">
      <alignment horizontal="center" vertical="center"/>
    </xf>
    <xf numFmtId="0" fontId="31" fillId="0" borderId="15" xfId="0" applyFont="1" applyBorder="1" applyAlignment="1" applyProtection="1">
      <alignment horizontal="center" vertical="center"/>
      <protection locked="0"/>
    </xf>
    <xf numFmtId="181" fontId="32" fillId="0" borderId="8" xfId="0" applyNumberFormat="1" applyFont="1" applyBorder="1" applyAlignment="1" applyProtection="1">
      <alignment horizontal="center" vertical="center" shrinkToFit="1"/>
      <protection locked="0"/>
    </xf>
    <xf numFmtId="181" fontId="32" fillId="0" borderId="138" xfId="0" applyNumberFormat="1" applyFont="1" applyBorder="1" applyAlignment="1" applyProtection="1">
      <alignment horizontal="center" vertical="center" shrinkToFit="1"/>
      <protection locked="0"/>
    </xf>
    <xf numFmtId="181" fontId="32" fillId="0" borderId="139" xfId="0" applyNumberFormat="1" applyFont="1" applyBorder="1" applyAlignment="1" applyProtection="1">
      <alignment horizontal="center" vertical="center" shrinkToFit="1"/>
      <protection locked="0"/>
    </xf>
    <xf numFmtId="186" fontId="32" fillId="0" borderId="213" xfId="0" applyNumberFormat="1" applyFont="1" applyBorder="1" applyAlignment="1" applyProtection="1">
      <alignment horizontal="center" vertical="center" shrinkToFit="1"/>
      <protection locked="0"/>
    </xf>
    <xf numFmtId="186" fontId="32" fillId="0" borderId="214" xfId="0" applyNumberFormat="1" applyFont="1" applyBorder="1" applyAlignment="1" applyProtection="1">
      <alignment horizontal="center" vertical="center" shrinkToFit="1"/>
      <protection locked="0"/>
    </xf>
    <xf numFmtId="186" fontId="32" fillId="0" borderId="215" xfId="0" applyNumberFormat="1" applyFont="1" applyBorder="1" applyAlignment="1" applyProtection="1">
      <alignment horizontal="center" vertical="center" shrinkToFit="1"/>
      <protection locked="0"/>
    </xf>
    <xf numFmtId="0" fontId="26" fillId="0" borderId="127" xfId="0" applyFont="1" applyBorder="1" applyAlignment="1">
      <alignment horizontal="center" vertical="center" shrinkToFit="1"/>
    </xf>
    <xf numFmtId="186" fontId="32" fillId="0" borderId="74" xfId="0" applyNumberFormat="1" applyFont="1" applyBorder="1" applyAlignment="1" applyProtection="1">
      <alignment horizontal="center" vertical="center" shrinkToFit="1"/>
      <protection locked="0"/>
    </xf>
    <xf numFmtId="186" fontId="32" fillId="0" borderId="137" xfId="0" applyNumberFormat="1" applyFont="1" applyBorder="1" applyAlignment="1" applyProtection="1">
      <alignment horizontal="center" vertical="center" shrinkToFit="1"/>
      <protection locked="0"/>
    </xf>
    <xf numFmtId="186" fontId="33" fillId="7" borderId="128" xfId="0" applyNumberFormat="1" applyFont="1" applyFill="1" applyBorder="1" applyAlignment="1">
      <alignment horizontal="center" vertical="center" shrinkToFit="1"/>
    </xf>
    <xf numFmtId="0" fontId="171" fillId="0" borderId="5" xfId="0" applyFont="1" applyBorder="1" applyAlignment="1">
      <alignment horizontal="center" vertical="center"/>
    </xf>
    <xf numFmtId="0" fontId="171" fillId="0" borderId="6" xfId="0" applyFont="1" applyBorder="1" applyAlignment="1">
      <alignment horizontal="center" vertical="center"/>
    </xf>
    <xf numFmtId="0" fontId="171" fillId="0" borderId="4" xfId="0" applyFont="1" applyBorder="1" applyAlignment="1">
      <alignment horizontal="center" vertical="center"/>
    </xf>
    <xf numFmtId="0" fontId="173" fillId="14" borderId="17" xfId="0" applyFont="1" applyFill="1" applyBorder="1" applyAlignment="1">
      <alignment horizontal="center" vertical="center"/>
    </xf>
    <xf numFmtId="0" fontId="173" fillId="14" borderId="2" xfId="0" applyFont="1" applyFill="1" applyBorder="1" applyAlignment="1">
      <alignment horizontal="center" vertical="center"/>
    </xf>
    <xf numFmtId="10" fontId="170" fillId="0" borderId="198" xfId="0" applyNumberFormat="1" applyFont="1" applyBorder="1" applyAlignment="1">
      <alignment horizontal="center" vertical="center"/>
    </xf>
    <xf numFmtId="10" fontId="170" fillId="0" borderId="200" xfId="0" applyNumberFormat="1" applyFont="1" applyBorder="1" applyAlignment="1">
      <alignment horizontal="center" vertical="center"/>
    </xf>
    <xf numFmtId="0" fontId="170" fillId="82" borderId="17" xfId="0" applyFont="1" applyFill="1" applyBorder="1" applyAlignment="1">
      <alignment horizontal="center" vertical="center"/>
    </xf>
    <xf numFmtId="0" fontId="170" fillId="82" borderId="2" xfId="0" applyFont="1" applyFill="1" applyBorder="1" applyAlignment="1">
      <alignment horizontal="center" vertical="center"/>
    </xf>
    <xf numFmtId="0" fontId="181" fillId="2" borderId="46" xfId="0" applyFont="1" applyFill="1" applyBorder="1" applyAlignment="1">
      <alignment horizontal="center"/>
    </xf>
    <xf numFmtId="0" fontId="181" fillId="2" borderId="11" xfId="0" applyFont="1" applyFill="1" applyBorder="1" applyAlignment="1">
      <alignment horizontal="center"/>
    </xf>
    <xf numFmtId="0" fontId="181" fillId="72" borderId="101" xfId="0" applyFont="1" applyFill="1" applyBorder="1" applyAlignment="1">
      <alignment horizontal="center"/>
    </xf>
    <xf numFmtId="0" fontId="181" fillId="72" borderId="26" xfId="0" applyFont="1" applyFill="1" applyBorder="1" applyAlignment="1">
      <alignment horizontal="center"/>
    </xf>
    <xf numFmtId="0" fontId="200" fillId="38" borderId="0" xfId="0" applyFont="1" applyFill="1" applyAlignment="1">
      <alignment horizontal="center" vertical="center"/>
    </xf>
    <xf numFmtId="0" fontId="98" fillId="38" borderId="0" xfId="0" applyFont="1" applyFill="1" applyAlignment="1">
      <alignment horizontal="center" vertical="center"/>
    </xf>
    <xf numFmtId="0" fontId="27" fillId="0" borderId="11" xfId="0" applyFont="1" applyBorder="1" applyAlignment="1">
      <alignment horizontal="left" vertical="center"/>
    </xf>
    <xf numFmtId="0" fontId="27" fillId="0" borderId="11" xfId="0" applyFont="1" applyBorder="1" applyAlignment="1">
      <alignment horizontal="center" vertical="center" textRotation="255"/>
    </xf>
    <xf numFmtId="0" fontId="109" fillId="0" borderId="11" xfId="0" applyFont="1" applyBorder="1" applyAlignment="1">
      <alignment horizontal="center" vertical="center" textRotation="255"/>
    </xf>
    <xf numFmtId="0" fontId="27" fillId="0" borderId="0" xfId="0" applyFont="1" applyAlignment="1">
      <alignment horizontal="center" vertical="center" textRotation="255"/>
    </xf>
    <xf numFmtId="0" fontId="234" fillId="75" borderId="244" xfId="0" applyFont="1" applyFill="1" applyBorder="1" applyAlignment="1">
      <alignment horizontal="center" vertical="center"/>
    </xf>
    <xf numFmtId="0" fontId="234" fillId="75" borderId="245" xfId="0" applyFont="1" applyFill="1" applyBorder="1" applyAlignment="1">
      <alignment horizontal="center" vertical="center"/>
    </xf>
    <xf numFmtId="0" fontId="234" fillId="75" borderId="246" xfId="0" applyFont="1" applyFill="1" applyBorder="1" applyAlignment="1">
      <alignment horizontal="center" vertical="center"/>
    </xf>
    <xf numFmtId="0" fontId="234" fillId="75" borderId="247" xfId="0" applyFont="1" applyFill="1" applyBorder="1" applyAlignment="1">
      <alignment horizontal="center" vertical="center"/>
    </xf>
    <xf numFmtId="0" fontId="234" fillId="75" borderId="249" xfId="0" applyFont="1" applyFill="1" applyBorder="1" applyAlignment="1">
      <alignment horizontal="center" vertical="center"/>
    </xf>
    <xf numFmtId="0" fontId="234" fillId="75" borderId="250" xfId="0" applyFont="1" applyFill="1" applyBorder="1" applyAlignment="1">
      <alignment horizontal="center" vertical="center"/>
    </xf>
    <xf numFmtId="0" fontId="235" fillId="75" borderId="244" xfId="0" applyFont="1" applyFill="1" applyBorder="1" applyAlignment="1">
      <alignment horizontal="center" vertical="center"/>
    </xf>
    <xf numFmtId="0" fontId="235" fillId="75" borderId="245" xfId="0" applyFont="1" applyFill="1" applyBorder="1" applyAlignment="1">
      <alignment horizontal="center" vertical="center"/>
    </xf>
    <xf numFmtId="0" fontId="235" fillId="75" borderId="246" xfId="0" applyFont="1" applyFill="1" applyBorder="1" applyAlignment="1">
      <alignment horizontal="center" vertical="center"/>
    </xf>
    <xf numFmtId="0" fontId="234" fillId="75" borderId="254" xfId="0" applyFont="1" applyFill="1" applyBorder="1" applyAlignment="1">
      <alignment horizontal="center" vertical="center" wrapText="1"/>
    </xf>
    <xf numFmtId="0" fontId="234" fillId="75" borderId="255" xfId="0" applyFont="1" applyFill="1" applyBorder="1" applyAlignment="1">
      <alignment horizontal="center" vertical="center" wrapText="1"/>
    </xf>
    <xf numFmtId="0" fontId="234" fillId="75" borderId="253" xfId="0" applyFont="1" applyFill="1" applyBorder="1" applyAlignment="1">
      <alignment horizontal="center" vertical="center" wrapText="1"/>
    </xf>
    <xf numFmtId="0" fontId="234" fillId="75" borderId="254" xfId="0" applyFont="1" applyFill="1" applyBorder="1" applyAlignment="1">
      <alignment horizontal="center" vertical="center"/>
    </xf>
    <xf numFmtId="0" fontId="234" fillId="75" borderId="253" xfId="0" applyFont="1" applyFill="1" applyBorder="1" applyAlignment="1">
      <alignment horizontal="center" vertical="center"/>
    </xf>
    <xf numFmtId="0" fontId="0" fillId="0" borderId="0" xfId="0" applyNumberFormat="1"/>
    <xf numFmtId="0" fontId="280" fillId="0" borderId="0" xfId="0" applyFont="1" applyAlignment="1">
      <alignment horizontal="left" vertical="center"/>
    </xf>
  </cellXfs>
  <cellStyles count="1111">
    <cellStyle name="20% - 輔色1" xfId="502" builtinId="30" customBuiltin="1"/>
    <cellStyle name="20% - 輔色1 10" xfId="729" xr:uid="{BE05BC23-909E-44AD-BDA2-CD0EABB31808}"/>
    <cellStyle name="20% - 輔色1 10 2" xfId="982" xr:uid="{9D3D7FB3-C71F-4B28-BEA3-B0C16C1C5F94}"/>
    <cellStyle name="20% - 輔色1 11" xfId="716" xr:uid="{11049D1A-F881-4835-9E64-059E29385C4F}"/>
    <cellStyle name="20% - 輔色1 11 2" xfId="995" xr:uid="{77C7ACC9-EEA0-45DC-A590-DBA5F0EFA5B1}"/>
    <cellStyle name="20% - 輔色1 12" xfId="703" xr:uid="{0CF8B4EC-AD02-40D2-A34E-9E48F84C2930}"/>
    <cellStyle name="20% - 輔色1 12 2" xfId="1008" xr:uid="{DB4B04AB-78B8-4AD2-BBC2-29B70B07C1CF}"/>
    <cellStyle name="20% - 輔色1 13" xfId="690" xr:uid="{7965C876-3DEC-49B4-8389-118F4A472377}"/>
    <cellStyle name="20% - 輔色1 13 2" xfId="1021" xr:uid="{269F71C6-DCAC-420F-9DBA-E87029BF68F1}"/>
    <cellStyle name="20% - 輔色1 14" xfId="677" xr:uid="{D4FC4AE1-D9D6-4E08-A1C7-BBE2AC0059E8}"/>
    <cellStyle name="20% - 輔色1 14 2" xfId="1034" xr:uid="{8A99CF7B-B50B-4D0D-AF0D-AD72CB435C56}"/>
    <cellStyle name="20% - 輔色1 15" xfId="664" xr:uid="{F2071B7F-9A91-4B61-B1BA-61B4513891FB}"/>
    <cellStyle name="20% - 輔色1 15 2" xfId="1047" xr:uid="{FB087352-2110-47D2-AD7B-A6F8E3B759A0}"/>
    <cellStyle name="20% - 輔色1 16" xfId="651" xr:uid="{7E5B6DB1-98C1-41CE-B4D1-8F8C92D5466E}"/>
    <cellStyle name="20% - 輔色1 16 2" xfId="1060" xr:uid="{C1673A90-BDD7-44D7-80CE-B6DA77EA03DA}"/>
    <cellStyle name="20% - 輔色1 17" xfId="638" xr:uid="{E669DE57-E0B2-4B67-BF83-18EC0FF4E3EF}"/>
    <cellStyle name="20% - 輔色1 17 2" xfId="1073" xr:uid="{B1632072-F4F3-4AAB-8324-927980DF63B4}"/>
    <cellStyle name="20% - 輔色1 18" xfId="625" xr:uid="{94116007-AC6A-49BF-BD95-565EE12627C2}"/>
    <cellStyle name="20% - 輔色1 18 2" xfId="1086" xr:uid="{43A72136-E059-4DEB-A25B-E8099E845065}"/>
    <cellStyle name="20% - 輔色1 19" xfId="612" xr:uid="{FEABD7C3-EF93-4F09-897C-EB0C1F5D5238}"/>
    <cellStyle name="20% - 輔色1 19 2" xfId="1099" xr:uid="{2C1288B1-448D-4D7E-A149-30C73A0ADB41}"/>
    <cellStyle name="20% - 輔色1 2" xfId="833" xr:uid="{F11FCF55-559E-44C1-81A3-B527F7A5CFDA}"/>
    <cellStyle name="20% - 輔色1 2 2" xfId="878" xr:uid="{42AD9DCB-CB4A-40E0-A169-6C81177691DE}"/>
    <cellStyle name="20% - 輔色1 20" xfId="848" xr:uid="{F97A7F03-0B43-4D4C-A3AD-D187D5EBF2B1}"/>
    <cellStyle name="20% - 輔色1 21" xfId="860" xr:uid="{302FB87B-CC74-43C0-9C5C-54639BDF2DA8}"/>
    <cellStyle name="20% - 輔色1 3" xfId="820" xr:uid="{AC4BFEC0-708A-4569-9143-13FF318716F2}"/>
    <cellStyle name="20% - 輔色1 3 2" xfId="891" xr:uid="{AD1AA006-CABF-4F2A-90C4-AB68C64E2B7B}"/>
    <cellStyle name="20% - 輔色1 4" xfId="807" xr:uid="{99DEB93B-496E-4A7E-8B32-68AA72B003E0}"/>
    <cellStyle name="20% - 輔色1 4 2" xfId="904" xr:uid="{43023BAC-F0F7-42A0-A469-366BBB3EE1CE}"/>
    <cellStyle name="20% - 輔色1 5" xfId="794" xr:uid="{6CE40C56-693B-4A7F-A173-318462C6CF7B}"/>
    <cellStyle name="20% - 輔色1 5 2" xfId="917" xr:uid="{866EE687-2D70-4F54-ADCD-E883E9075C7E}"/>
    <cellStyle name="20% - 輔色1 6" xfId="781" xr:uid="{5AF108F4-3245-40AF-B988-D839F73AE4C6}"/>
    <cellStyle name="20% - 輔色1 6 2" xfId="930" xr:uid="{60B4E759-8346-4C05-8BC2-39622695A892}"/>
    <cellStyle name="20% - 輔色1 7" xfId="768" xr:uid="{EDB38529-2441-469A-ADA4-C319569C3895}"/>
    <cellStyle name="20% - 輔色1 7 2" xfId="943" xr:uid="{8EE913E4-269D-46D6-8D91-44CB6CE9EB21}"/>
    <cellStyle name="20% - 輔色1 8" xfId="755" xr:uid="{CEE50BCC-23AB-45EB-9622-08188DB47BAC}"/>
    <cellStyle name="20% - 輔色1 8 2" xfId="956" xr:uid="{BF51C6AD-B854-4364-8635-FD13C6568EBE}"/>
    <cellStyle name="20% - 輔色1 9" xfId="742" xr:uid="{87D34AD9-347A-43A9-93CE-60051C14AC56}"/>
    <cellStyle name="20% - 輔色1 9 2" xfId="969" xr:uid="{EF74DB41-7C6C-439F-866F-0361BE39D129}"/>
    <cellStyle name="20% - 輔色2" xfId="506" builtinId="34" customBuiltin="1"/>
    <cellStyle name="20% - 輔色2 10" xfId="727" xr:uid="{2D5B5BFA-8AFC-412B-890D-D710BDF330CA}"/>
    <cellStyle name="20% - 輔色2 10 2" xfId="984" xr:uid="{C72179E5-D8DE-4B16-B8EE-C7CCF512D14B}"/>
    <cellStyle name="20% - 輔色2 11" xfId="714" xr:uid="{D9F4BA9F-065B-4113-B3C8-847502F4DD60}"/>
    <cellStyle name="20% - 輔色2 11 2" xfId="997" xr:uid="{5DDB687C-E85B-4EB5-A79A-7B7ADA214431}"/>
    <cellStyle name="20% - 輔色2 12" xfId="701" xr:uid="{1595EA04-678D-4BA3-A364-7313CD8AEB08}"/>
    <cellStyle name="20% - 輔色2 12 2" xfId="1010" xr:uid="{D109DF8B-CCDD-412C-9D80-5368D950D64D}"/>
    <cellStyle name="20% - 輔色2 13" xfId="688" xr:uid="{12E9A459-4AF7-431B-B8BD-AB0ADA1E932C}"/>
    <cellStyle name="20% - 輔色2 13 2" xfId="1023" xr:uid="{4FDAF00C-960C-46AA-8507-661D8E2E501D}"/>
    <cellStyle name="20% - 輔色2 14" xfId="675" xr:uid="{94B85C01-A628-43FD-8F1D-62F4172C6052}"/>
    <cellStyle name="20% - 輔色2 14 2" xfId="1036" xr:uid="{A4872FC7-E3BA-40DF-982C-21A9871D6D6D}"/>
    <cellStyle name="20% - 輔色2 15" xfId="662" xr:uid="{C3EAAE9F-67CA-40B9-9A1B-5655C7B33D74}"/>
    <cellStyle name="20% - 輔色2 15 2" xfId="1049" xr:uid="{D2BFEB7D-52AD-4C82-89E5-7E838AF821E3}"/>
    <cellStyle name="20% - 輔色2 16" xfId="649" xr:uid="{C2D52F97-FBD3-4C60-A7CF-C610F8E97A09}"/>
    <cellStyle name="20% - 輔色2 16 2" xfId="1062" xr:uid="{B6259FFC-63B2-4492-A27A-3E3D931CDD65}"/>
    <cellStyle name="20% - 輔色2 17" xfId="636" xr:uid="{2F3AE8B1-1230-472B-A59C-BEC58C11A919}"/>
    <cellStyle name="20% - 輔色2 17 2" xfId="1075" xr:uid="{E1F451C5-E9E4-4CB8-8B11-9E586048783C}"/>
    <cellStyle name="20% - 輔色2 18" xfId="623" xr:uid="{DBD64061-0569-4B89-9AD7-0362F0349528}"/>
    <cellStyle name="20% - 輔色2 18 2" xfId="1088" xr:uid="{7B1D22BC-5563-410E-B189-C9FDA3B7AE89}"/>
    <cellStyle name="20% - 輔色2 19" xfId="610" xr:uid="{5CD1468E-951C-42C3-AFF2-BF8C2EE55B3D}"/>
    <cellStyle name="20% - 輔色2 19 2" xfId="1101" xr:uid="{3B8C98C6-6851-402E-A218-8918DE56BC14}"/>
    <cellStyle name="20% - 輔色2 2" xfId="831" xr:uid="{E1422177-5E92-4AFA-8D4D-EB5C6AE10C09}"/>
    <cellStyle name="20% - 輔色2 2 2" xfId="880" xr:uid="{BC32504E-6DD7-42F2-BF73-CA09A9874AEF}"/>
    <cellStyle name="20% - 輔色2 20" xfId="846" xr:uid="{9E6D73BA-461C-4D45-BAEB-B3655A9C5DFB}"/>
    <cellStyle name="20% - 輔色2 21" xfId="862" xr:uid="{78EFADDF-9231-4E02-8B25-3D2C6BCB7E12}"/>
    <cellStyle name="20% - 輔色2 3" xfId="818" xr:uid="{B0503D72-CD87-4291-821C-B17B5D376F78}"/>
    <cellStyle name="20% - 輔色2 3 2" xfId="893" xr:uid="{243240C7-536D-497E-90BD-F035E9BA305D}"/>
    <cellStyle name="20% - 輔色2 4" xfId="805" xr:uid="{63B7F453-BB6B-4EBF-9097-72242E1DA0F9}"/>
    <cellStyle name="20% - 輔色2 4 2" xfId="906" xr:uid="{C8565282-F424-4FBA-971E-BC9286BEEE41}"/>
    <cellStyle name="20% - 輔色2 5" xfId="792" xr:uid="{0C7A3EED-8B35-4551-AA18-84EFB21A6CD2}"/>
    <cellStyle name="20% - 輔色2 5 2" xfId="919" xr:uid="{1A0ED2BE-39C1-4845-8314-FBE4641587F6}"/>
    <cellStyle name="20% - 輔色2 6" xfId="779" xr:uid="{A2555C3B-5B6B-4534-B02F-D74C48396205}"/>
    <cellStyle name="20% - 輔色2 6 2" xfId="932" xr:uid="{961C0E6C-0422-4FB7-9237-CB21613F3858}"/>
    <cellStyle name="20% - 輔色2 7" xfId="766" xr:uid="{E88A42F3-41A9-4683-8B4E-CD3A3C7E9EE3}"/>
    <cellStyle name="20% - 輔色2 7 2" xfId="945" xr:uid="{B563A823-73CA-462C-B9BB-43BFB433DAA2}"/>
    <cellStyle name="20% - 輔色2 8" xfId="753" xr:uid="{004F8FD9-7482-4D36-864A-8D44CDA207C1}"/>
    <cellStyle name="20% - 輔色2 8 2" xfId="958" xr:uid="{83F8EC0C-C574-4994-B46A-49B31F9B9398}"/>
    <cellStyle name="20% - 輔色2 9" xfId="740" xr:uid="{648CEB77-E5A8-4DC0-B55B-393420FF6B2F}"/>
    <cellStyle name="20% - 輔色2 9 2" xfId="971" xr:uid="{24B424E2-5233-4500-B1DD-A24404F1002D}"/>
    <cellStyle name="20% - 輔色3" xfId="510" builtinId="38" customBuiltin="1"/>
    <cellStyle name="20% - 輔色3 10" xfId="725" xr:uid="{B6EC81C6-FBB2-40F6-B380-6289EC964729}"/>
    <cellStyle name="20% - 輔色3 10 2" xfId="986" xr:uid="{554B00BC-B43D-422E-B3ED-9D481714D32D}"/>
    <cellStyle name="20% - 輔色3 11" xfId="712" xr:uid="{09E0C654-5980-4638-9423-6A056F5E766D}"/>
    <cellStyle name="20% - 輔色3 11 2" xfId="999" xr:uid="{3DDDBC45-372E-49FC-980F-68FA1D862A6C}"/>
    <cellStyle name="20% - 輔色3 12" xfId="699" xr:uid="{7202FCEB-17BC-4AE6-9003-5083516FACA3}"/>
    <cellStyle name="20% - 輔色3 12 2" xfId="1012" xr:uid="{8051F265-B5E6-4BF1-9AB6-4D98F5CA9771}"/>
    <cellStyle name="20% - 輔色3 13" xfId="686" xr:uid="{DC90921A-78D4-4996-95D9-799D00054203}"/>
    <cellStyle name="20% - 輔色3 13 2" xfId="1025" xr:uid="{F626A7D1-636A-4BF0-8AD2-C08C5FE4B66B}"/>
    <cellStyle name="20% - 輔色3 14" xfId="673" xr:uid="{6AB24171-2AD0-488B-8F06-1B9714609E6C}"/>
    <cellStyle name="20% - 輔色3 14 2" xfId="1038" xr:uid="{8DBABCD6-C359-4E59-A845-CF6A7AF1BA08}"/>
    <cellStyle name="20% - 輔色3 15" xfId="660" xr:uid="{95314164-F6E3-494F-A097-A63297967A24}"/>
    <cellStyle name="20% - 輔色3 15 2" xfId="1051" xr:uid="{742BE2A4-FD71-4341-BFF7-EABF166A2524}"/>
    <cellStyle name="20% - 輔色3 16" xfId="647" xr:uid="{DAA3D3B6-63A2-488F-BEB4-B70F5242373A}"/>
    <cellStyle name="20% - 輔色3 16 2" xfId="1064" xr:uid="{D1C707C1-2370-43FB-94E5-404787BAE0DD}"/>
    <cellStyle name="20% - 輔色3 17" xfId="634" xr:uid="{EF4DC709-99C3-4FA2-9163-D0ECCEFB3A03}"/>
    <cellStyle name="20% - 輔色3 17 2" xfId="1077" xr:uid="{56EAC9AF-333D-4A20-A008-958E9D6CC3DB}"/>
    <cellStyle name="20% - 輔色3 18" xfId="621" xr:uid="{A20B0337-49B5-4415-B72F-FF82CF7113A9}"/>
    <cellStyle name="20% - 輔色3 18 2" xfId="1090" xr:uid="{BC6358B7-2000-4BA6-98A5-9BC9CD403D9F}"/>
    <cellStyle name="20% - 輔色3 19" xfId="608" xr:uid="{CA6B8511-E2FF-4267-B3C9-86DF42B80C58}"/>
    <cellStyle name="20% - 輔色3 19 2" xfId="1103" xr:uid="{10C4323F-15F6-495F-96C9-9EFB190EEF1E}"/>
    <cellStyle name="20% - 輔色3 2" xfId="829" xr:uid="{C4B348B0-BD17-4DD0-85E6-04CB32B69C5F}"/>
    <cellStyle name="20% - 輔色3 2 2" xfId="882" xr:uid="{BD2FBEF3-5AF5-4806-802C-339869306DDA}"/>
    <cellStyle name="20% - 輔色3 20" xfId="844" xr:uid="{FFD0FFAF-616B-49DE-8D30-CD2365905372}"/>
    <cellStyle name="20% - 輔色3 21" xfId="865" xr:uid="{2D50BB25-0615-48F6-8417-1461F9918DC7}"/>
    <cellStyle name="20% - 輔色3 3" xfId="816" xr:uid="{FB07DE73-A7A2-4E2B-B639-00DB6190C16F}"/>
    <cellStyle name="20% - 輔色3 3 2" xfId="895" xr:uid="{47F9F330-0621-4F60-B0DD-3639634EC8A3}"/>
    <cellStyle name="20% - 輔色3 4" xfId="803" xr:uid="{65298879-CBAA-452D-B565-FF66544858B0}"/>
    <cellStyle name="20% - 輔色3 4 2" xfId="908" xr:uid="{F7283698-1BF6-4734-875C-54B06D2612F3}"/>
    <cellStyle name="20% - 輔色3 5" xfId="790" xr:uid="{91B56397-D27D-4E98-8470-EE0606DED2C1}"/>
    <cellStyle name="20% - 輔色3 5 2" xfId="921" xr:uid="{84570E25-FD72-4F23-8DDF-50471F322862}"/>
    <cellStyle name="20% - 輔色3 6" xfId="777" xr:uid="{8254ED3A-6FE5-4365-9D1C-058F8C81D86F}"/>
    <cellStyle name="20% - 輔色3 6 2" xfId="934" xr:uid="{7C872126-8DD0-4081-A42A-7E979BD73F21}"/>
    <cellStyle name="20% - 輔色3 7" xfId="764" xr:uid="{D8109F10-4198-4635-BE6F-CA134A647E26}"/>
    <cellStyle name="20% - 輔色3 7 2" xfId="947" xr:uid="{C61E6D31-1257-465C-8449-39E8F83912A2}"/>
    <cellStyle name="20% - 輔色3 8" xfId="751" xr:uid="{B4B15651-C79F-49C0-A520-A2D21B341030}"/>
    <cellStyle name="20% - 輔色3 8 2" xfId="960" xr:uid="{1F9D1C84-CA15-4ACB-A6C3-3A94FD13F0C1}"/>
    <cellStyle name="20% - 輔色3 9" xfId="738" xr:uid="{C8DE45F9-EA65-4F7B-BE1C-880B27E98C55}"/>
    <cellStyle name="20% - 輔色3 9 2" xfId="973" xr:uid="{40468169-E54E-474C-831F-95D9707AC755}"/>
    <cellStyle name="20% - 輔色4" xfId="514" builtinId="42" customBuiltin="1"/>
    <cellStyle name="20% - 輔色4 10" xfId="723" xr:uid="{37E47142-A74E-4963-B330-ABA58CE09285}"/>
    <cellStyle name="20% - 輔色4 10 2" xfId="988" xr:uid="{08CFE192-E5DB-4D40-A2E1-62F8860E9B01}"/>
    <cellStyle name="20% - 輔色4 11" xfId="710" xr:uid="{7DD08D32-AC79-4792-A8F9-3AF3A770F461}"/>
    <cellStyle name="20% - 輔色4 11 2" xfId="1001" xr:uid="{2E1E5F04-22A1-46E7-9C5B-7916B66A6524}"/>
    <cellStyle name="20% - 輔色4 12" xfId="697" xr:uid="{A519249D-B623-4825-B98B-56ED7E66814D}"/>
    <cellStyle name="20% - 輔色4 12 2" xfId="1014" xr:uid="{13BDA0C8-63FB-4754-BA55-93FCE60C091D}"/>
    <cellStyle name="20% - 輔色4 13" xfId="684" xr:uid="{F3B9448D-E79F-48AB-A66A-51D6B7E98ED7}"/>
    <cellStyle name="20% - 輔色4 13 2" xfId="1027" xr:uid="{0BA054F1-B80C-4AF7-94EC-CD33110E1088}"/>
    <cellStyle name="20% - 輔色4 14" xfId="671" xr:uid="{397F5176-80AA-4015-8E50-E7DE29724AD2}"/>
    <cellStyle name="20% - 輔色4 14 2" xfId="1040" xr:uid="{1ACBAED6-706A-4D49-B5ED-BCAC6A5A47C5}"/>
    <cellStyle name="20% - 輔色4 15" xfId="658" xr:uid="{E3CA1ED3-4E1D-4EF5-BB77-CA22F8BC40DC}"/>
    <cellStyle name="20% - 輔色4 15 2" xfId="1053" xr:uid="{B9DCF50E-ED53-4048-B67F-2CCA0F2F86FF}"/>
    <cellStyle name="20% - 輔色4 16" xfId="645" xr:uid="{18B54341-4EA8-4231-A130-9B357A8B1B6B}"/>
    <cellStyle name="20% - 輔色4 16 2" xfId="1066" xr:uid="{511E7A7C-FCCD-4338-A3A0-871779DD2E0B}"/>
    <cellStyle name="20% - 輔色4 17" xfId="632" xr:uid="{D5C9A2DE-0DA6-40C8-A759-B6B9C4278BFE}"/>
    <cellStyle name="20% - 輔色4 17 2" xfId="1079" xr:uid="{AB5E0030-DBF4-4D35-8068-7E79F48ECED1}"/>
    <cellStyle name="20% - 輔色4 18" xfId="619" xr:uid="{F2599E5D-7266-404A-9042-D83AA4469540}"/>
    <cellStyle name="20% - 輔色4 18 2" xfId="1092" xr:uid="{E523ABAA-B43A-48E9-9DDF-9A2B8DB33421}"/>
    <cellStyle name="20% - 輔色4 19" xfId="606" xr:uid="{A2C23F1A-8F8D-4F66-AD7B-465F4938FF54}"/>
    <cellStyle name="20% - 輔色4 19 2" xfId="1105" xr:uid="{A44EF0CF-3E4A-4D80-A489-5E0BCE7B006E}"/>
    <cellStyle name="20% - 輔色4 2" xfId="827" xr:uid="{0FC06105-A067-4390-9F3A-1F2AB16BEAC5}"/>
    <cellStyle name="20% - 輔色4 2 2" xfId="884" xr:uid="{340C6A02-B9A4-4E9B-A0BA-8E6C22BE1B61}"/>
    <cellStyle name="20% - 輔色4 20" xfId="842" xr:uid="{854511CC-D13B-4884-8E57-699A0CB74996}"/>
    <cellStyle name="20% - 輔色4 21" xfId="868" xr:uid="{41194A23-2BC9-4239-A3A0-9797B41D1F50}"/>
    <cellStyle name="20% - 輔色4 3" xfId="814" xr:uid="{5F5459FC-31D9-4F23-BECC-C0CAD9B8C15C}"/>
    <cellStyle name="20% - 輔色4 3 2" xfId="897" xr:uid="{4D841CDB-0447-45C4-AA8C-083C77128A65}"/>
    <cellStyle name="20% - 輔色4 4" xfId="801" xr:uid="{D2EE46D3-AD4C-43BD-957F-384C00BAFCAD}"/>
    <cellStyle name="20% - 輔色4 4 2" xfId="910" xr:uid="{1BD6ABAA-43D6-437B-84FF-EAFD84E126BD}"/>
    <cellStyle name="20% - 輔色4 5" xfId="788" xr:uid="{94778C76-C525-4261-BBBD-3F335BAA39E1}"/>
    <cellStyle name="20% - 輔色4 5 2" xfId="923" xr:uid="{E9E5F220-E4F9-4931-9A4F-27CF6A62B37F}"/>
    <cellStyle name="20% - 輔色4 6" xfId="775" xr:uid="{1E400F3D-B9C2-4806-BE65-AA496323823D}"/>
    <cellStyle name="20% - 輔色4 6 2" xfId="936" xr:uid="{35D04B53-D7A0-4324-B237-97D2EF36CD8E}"/>
    <cellStyle name="20% - 輔色4 7" xfId="762" xr:uid="{155B8664-B74A-4F1A-896F-184700B08B9D}"/>
    <cellStyle name="20% - 輔色4 7 2" xfId="949" xr:uid="{A825C9B2-B635-4E3F-B8F8-663F69E9A808}"/>
    <cellStyle name="20% - 輔色4 8" xfId="749" xr:uid="{CA0D610A-BC3E-4B44-9682-97883E622A46}"/>
    <cellStyle name="20% - 輔色4 8 2" xfId="962" xr:uid="{1E2A80D5-ED77-4133-96B3-81D0736382A6}"/>
    <cellStyle name="20% - 輔色4 9" xfId="736" xr:uid="{E75B96E0-879C-4BEB-87B8-8B0A80F7F92E}"/>
    <cellStyle name="20% - 輔色4 9 2" xfId="975" xr:uid="{D7DA24C7-8327-4EC1-A346-565C70A09559}"/>
    <cellStyle name="20% - 輔色5" xfId="518" builtinId="46" customBuiltin="1"/>
    <cellStyle name="20% - 輔色5 10" xfId="721" xr:uid="{65A18D13-6B0B-47A8-8F0E-8AC214CEB8BA}"/>
    <cellStyle name="20% - 輔色5 10 2" xfId="990" xr:uid="{CC625FEF-92A4-4149-A002-B185433070FB}"/>
    <cellStyle name="20% - 輔色5 11" xfId="708" xr:uid="{67D1B9E5-399E-4BDB-8DA1-D9A697DF0D44}"/>
    <cellStyle name="20% - 輔色5 11 2" xfId="1003" xr:uid="{2E5471D4-00CF-48B7-87FF-D11FAE5E9563}"/>
    <cellStyle name="20% - 輔色5 12" xfId="695" xr:uid="{ACC9B0F1-6A1A-43A0-83FD-6F942720F84C}"/>
    <cellStyle name="20% - 輔色5 12 2" xfId="1016" xr:uid="{60ADEA86-F7FF-4757-B379-7030F421D224}"/>
    <cellStyle name="20% - 輔色5 13" xfId="682" xr:uid="{DDA823BA-806D-473B-BA5D-D38ACA5515CD}"/>
    <cellStyle name="20% - 輔色5 13 2" xfId="1029" xr:uid="{B7ABD8D2-C1DA-4F16-8B65-7B7F6BE27E73}"/>
    <cellStyle name="20% - 輔色5 14" xfId="669" xr:uid="{3CE4A2A9-972E-4CBE-91E0-0DC0F3C25E9C}"/>
    <cellStyle name="20% - 輔色5 14 2" xfId="1042" xr:uid="{57B9B628-3261-4D18-85BA-62F24EA4FA76}"/>
    <cellStyle name="20% - 輔色5 15" xfId="656" xr:uid="{1C83A857-F4B7-45AF-B50A-0D84E451950B}"/>
    <cellStyle name="20% - 輔色5 15 2" xfId="1055" xr:uid="{D201EA8F-18B3-411C-9489-9BF968D6A0A1}"/>
    <cellStyle name="20% - 輔色5 16" xfId="643" xr:uid="{19ABDF99-0F8B-476B-A788-26C2323CE657}"/>
    <cellStyle name="20% - 輔色5 16 2" xfId="1068" xr:uid="{11B274AB-76B8-4A50-9A08-C1AE7113111A}"/>
    <cellStyle name="20% - 輔色5 17" xfId="630" xr:uid="{41221529-B610-4FF0-B8FD-75068800BF85}"/>
    <cellStyle name="20% - 輔色5 17 2" xfId="1081" xr:uid="{67675D64-19A6-4CF0-9452-96399DF5E1E0}"/>
    <cellStyle name="20% - 輔色5 18" xfId="617" xr:uid="{3F059D4B-08DC-495C-96B5-16AD8927408B}"/>
    <cellStyle name="20% - 輔色5 18 2" xfId="1094" xr:uid="{22F73140-9BB8-4D1F-88DB-56EFC5E84E7D}"/>
    <cellStyle name="20% - 輔色5 19" xfId="604" xr:uid="{35361A28-00CE-4797-89A1-97B29A3BF851}"/>
    <cellStyle name="20% - 輔色5 19 2" xfId="1107" xr:uid="{75DBE216-238B-4162-AE69-8659E3F0FA23}"/>
    <cellStyle name="20% - 輔色5 2" xfId="825" xr:uid="{A6D73C4D-8B64-49C9-8B10-0288220C0897}"/>
    <cellStyle name="20% - 輔色5 2 2" xfId="886" xr:uid="{70C18F31-DA4A-4818-979F-BA758D4188C0}"/>
    <cellStyle name="20% - 輔色5 20" xfId="840" xr:uid="{E215457C-0B59-435E-93D9-1D6284FDFD61}"/>
    <cellStyle name="20% - 輔色5 21" xfId="871" xr:uid="{FE4A1187-D03A-4FFB-8524-8946E306AA5C}"/>
    <cellStyle name="20% - 輔色5 3" xfId="812" xr:uid="{E64DD9A1-58A4-493D-83B1-1A2E95658826}"/>
    <cellStyle name="20% - 輔色5 3 2" xfId="899" xr:uid="{B6EED6EC-CB0D-4DFF-98B0-2C147B389C7F}"/>
    <cellStyle name="20% - 輔色5 4" xfId="799" xr:uid="{E3EC7903-7F7C-4705-AC55-B0EDDE83ED05}"/>
    <cellStyle name="20% - 輔色5 4 2" xfId="912" xr:uid="{1FE49E57-F8D0-4880-9B30-3CEC1A93C451}"/>
    <cellStyle name="20% - 輔色5 5" xfId="786" xr:uid="{8CA3B09A-1F5B-4CF4-9CF3-0AA248C37381}"/>
    <cellStyle name="20% - 輔色5 5 2" xfId="925" xr:uid="{14C0F29D-3218-47E8-8882-C8A81D91FBF5}"/>
    <cellStyle name="20% - 輔色5 6" xfId="773" xr:uid="{3AD520CB-29B3-429D-BE35-943406C84B97}"/>
    <cellStyle name="20% - 輔色5 6 2" xfId="938" xr:uid="{8C6A831B-EBAB-4156-9B29-4B57235B4F8C}"/>
    <cellStyle name="20% - 輔色5 7" xfId="760" xr:uid="{622F7A19-C556-4E4D-B87E-E102BDD55E1A}"/>
    <cellStyle name="20% - 輔色5 7 2" xfId="951" xr:uid="{19CF5BA0-9EC1-4F96-AC89-5633C1CA9064}"/>
    <cellStyle name="20% - 輔色5 8" xfId="747" xr:uid="{7D65E228-8B45-4D4E-8E9E-E96A65DB875B}"/>
    <cellStyle name="20% - 輔色5 8 2" xfId="964" xr:uid="{F05282E6-4AFC-4CAD-BD6E-4CA649C73C38}"/>
    <cellStyle name="20% - 輔色5 9" xfId="734" xr:uid="{D928379E-5842-4662-B666-E392067069BA}"/>
    <cellStyle name="20% - 輔色5 9 2" xfId="977" xr:uid="{46B41B79-F06B-4D2E-A2A0-6BF59ACE1E58}"/>
    <cellStyle name="20% - 輔色6" xfId="522" builtinId="50" customBuiltin="1"/>
    <cellStyle name="20% - 輔色6 10" xfId="719" xr:uid="{F589A758-968E-4900-A28E-A4EA010F11BB}"/>
    <cellStyle name="20% - 輔色6 10 2" xfId="992" xr:uid="{373C7A79-51F9-4C62-80A6-C042FBEAC67A}"/>
    <cellStyle name="20% - 輔色6 11" xfId="706" xr:uid="{BF31169B-42F8-408C-9DE9-69D039655D0A}"/>
    <cellStyle name="20% - 輔色6 11 2" xfId="1005" xr:uid="{E52C8F8D-9825-4618-AF1F-0BD3A28E6D20}"/>
    <cellStyle name="20% - 輔色6 12" xfId="693" xr:uid="{CF474038-8145-4D13-BEA9-1BF64C65B236}"/>
    <cellStyle name="20% - 輔色6 12 2" xfId="1018" xr:uid="{FA2FD7BA-AAA3-488E-8098-6E7FA9AFFFC2}"/>
    <cellStyle name="20% - 輔色6 13" xfId="680" xr:uid="{F9A85EF3-182C-41F5-A7A1-BD921226834F}"/>
    <cellStyle name="20% - 輔色6 13 2" xfId="1031" xr:uid="{1B3822F9-BA76-45A6-AF0E-A66FD0CA2A63}"/>
    <cellStyle name="20% - 輔色6 14" xfId="667" xr:uid="{015E1C98-2DD7-4EAE-9646-29647657001B}"/>
    <cellStyle name="20% - 輔色6 14 2" xfId="1044" xr:uid="{D893A712-8991-4CB3-8DEF-68268B6B0E91}"/>
    <cellStyle name="20% - 輔色6 15" xfId="654" xr:uid="{8F4F9CBD-52A9-4D3A-9010-F3FBF8B737D8}"/>
    <cellStyle name="20% - 輔色6 15 2" xfId="1057" xr:uid="{3308F716-C609-42AB-8CBE-DFF95A359589}"/>
    <cellStyle name="20% - 輔色6 16" xfId="641" xr:uid="{D6654A19-28E1-47C5-9B4A-2B95BFE47F52}"/>
    <cellStyle name="20% - 輔色6 16 2" xfId="1070" xr:uid="{04DCEE80-8DC1-449F-BFD0-1DA7125D9386}"/>
    <cellStyle name="20% - 輔色6 17" xfId="628" xr:uid="{B2073EEF-3A67-4D7B-A769-1F9BEFE78BF5}"/>
    <cellStyle name="20% - 輔色6 17 2" xfId="1083" xr:uid="{E7C8FA02-C8A8-44C5-8121-64B9117C1BA5}"/>
    <cellStyle name="20% - 輔色6 18" xfId="615" xr:uid="{806E950C-DFCC-4233-8109-DB8199F975C7}"/>
    <cellStyle name="20% - 輔色6 18 2" xfId="1096" xr:uid="{DA00C3DC-6A2D-4082-977C-F19422FD6CE8}"/>
    <cellStyle name="20% - 輔色6 19" xfId="602" xr:uid="{A33B7AD1-5646-4B78-8F79-E67C4A0ECC8E}"/>
    <cellStyle name="20% - 輔色6 19 2" xfId="1109" xr:uid="{AC3004F2-3F44-4530-B8D2-46D7088BEB05}"/>
    <cellStyle name="20% - 輔色6 2" xfId="823" xr:uid="{5BABCF62-2B00-4171-884F-CA00A2C9B53E}"/>
    <cellStyle name="20% - 輔色6 2 2" xfId="888" xr:uid="{F60B20E2-0C85-44DA-9181-C3618F983E40}"/>
    <cellStyle name="20% - 輔色6 20" xfId="838" xr:uid="{457B4B09-4E90-4F63-9DCE-503E7FDCDD9F}"/>
    <cellStyle name="20% - 輔色6 21" xfId="874" xr:uid="{B15B3278-E406-4084-AED5-918B3BBE19D0}"/>
    <cellStyle name="20% - 輔色6 3" xfId="810" xr:uid="{63D32EDB-7026-47B8-A028-BE79F5606687}"/>
    <cellStyle name="20% - 輔色6 3 2" xfId="901" xr:uid="{7F8F6EC3-716C-4202-BBE4-FF4A041B7B44}"/>
    <cellStyle name="20% - 輔色6 4" xfId="797" xr:uid="{1876CAA9-668D-4219-AD0A-58D5E34B32BB}"/>
    <cellStyle name="20% - 輔色6 4 2" xfId="914" xr:uid="{B68AAD30-61C6-4401-BCF4-7E40442901A1}"/>
    <cellStyle name="20% - 輔色6 5" xfId="784" xr:uid="{1459F4A5-6BA0-40A1-8A00-AC810950199E}"/>
    <cellStyle name="20% - 輔色6 5 2" xfId="927" xr:uid="{ED6A905D-71C8-4610-B05C-0D053EAE6E62}"/>
    <cellStyle name="20% - 輔色6 6" xfId="771" xr:uid="{9EBCC21D-DC64-4B32-A3C8-D90DA4770AA6}"/>
    <cellStyle name="20% - 輔色6 6 2" xfId="940" xr:uid="{EECA5BF0-77BB-44A9-89A0-957A53886B72}"/>
    <cellStyle name="20% - 輔色6 7" xfId="758" xr:uid="{655777CA-0500-40C1-B104-F4A7B9491EF8}"/>
    <cellStyle name="20% - 輔色6 7 2" xfId="953" xr:uid="{E4E264F6-41BB-4AFD-8362-2A39808C755F}"/>
    <cellStyle name="20% - 輔色6 8" xfId="745" xr:uid="{679B7AB6-DD7C-4A59-8C83-55715CE9E951}"/>
    <cellStyle name="20% - 輔色6 8 2" xfId="966" xr:uid="{0C7BE8FE-D764-4907-AEEB-214E8601D9F7}"/>
    <cellStyle name="20% - 輔色6 9" xfId="732" xr:uid="{9DEB1E85-A16F-480C-B6B5-2B900218793E}"/>
    <cellStyle name="20% - 輔色6 9 2" xfId="979" xr:uid="{9F93250E-E7F0-460C-8834-3899AE46EFFE}"/>
    <cellStyle name="40% - 輔色1" xfId="503" builtinId="31" customBuiltin="1"/>
    <cellStyle name="40% - 輔色1 10" xfId="728" xr:uid="{2F32157D-2377-41D1-81E3-457779E68519}"/>
    <cellStyle name="40% - 輔色1 10 2" xfId="983" xr:uid="{E47979F4-D235-4E74-A274-CBC497FE03C2}"/>
    <cellStyle name="40% - 輔色1 11" xfId="715" xr:uid="{8339BC25-F4A4-4A89-9126-C7169EAD212A}"/>
    <cellStyle name="40% - 輔色1 11 2" xfId="996" xr:uid="{F32FCA90-5CA7-4C85-81E3-26E9000761F3}"/>
    <cellStyle name="40% - 輔色1 12" xfId="702" xr:uid="{BD5D09C4-F484-4F4B-B818-56A8DF8EBEF8}"/>
    <cellStyle name="40% - 輔色1 12 2" xfId="1009" xr:uid="{14FB7DE8-E1B0-4818-B89F-8C16553F621E}"/>
    <cellStyle name="40% - 輔色1 13" xfId="689" xr:uid="{8D3E5A41-DDE3-4D87-8D92-3D3B061BF022}"/>
    <cellStyle name="40% - 輔色1 13 2" xfId="1022" xr:uid="{C05F438F-9468-4E71-9D94-4236E97B3E91}"/>
    <cellStyle name="40% - 輔色1 14" xfId="676" xr:uid="{81A0DE63-1150-4D9A-B2E8-F63F2D4EFE47}"/>
    <cellStyle name="40% - 輔色1 14 2" xfId="1035" xr:uid="{45B87775-1F13-47A6-84F9-88262D209A72}"/>
    <cellStyle name="40% - 輔色1 15" xfId="663" xr:uid="{76F6D3AC-166C-4700-9036-261C8C1DEB23}"/>
    <cellStyle name="40% - 輔色1 15 2" xfId="1048" xr:uid="{444BBBC7-7883-460C-B3DE-DCB0F7AC35DF}"/>
    <cellStyle name="40% - 輔色1 16" xfId="650" xr:uid="{E5770496-4A34-4031-8075-01A3B0A5C316}"/>
    <cellStyle name="40% - 輔色1 16 2" xfId="1061" xr:uid="{5C21089A-D2DD-4121-BA9D-27585D053BEE}"/>
    <cellStyle name="40% - 輔色1 17" xfId="637" xr:uid="{B28940FE-5860-486B-A41E-D294DF757D7E}"/>
    <cellStyle name="40% - 輔色1 17 2" xfId="1074" xr:uid="{40CF46F7-D094-444D-9FE6-4F624746B06B}"/>
    <cellStyle name="40% - 輔色1 18" xfId="624" xr:uid="{CAFE9DAD-E07E-47FE-9AAC-E29ECE527691}"/>
    <cellStyle name="40% - 輔色1 18 2" xfId="1087" xr:uid="{033C7E0E-4FD6-4025-A0DA-2712C2BBA504}"/>
    <cellStyle name="40% - 輔色1 19" xfId="611" xr:uid="{89AC63EB-C8DD-4920-B92D-D76BC1417E23}"/>
    <cellStyle name="40% - 輔色1 19 2" xfId="1100" xr:uid="{D7E033BB-5451-4233-855D-C210C5E5E2B4}"/>
    <cellStyle name="40% - 輔色1 2" xfId="832" xr:uid="{C8340B2F-99D4-44C4-8EE7-C93D5BF9D483}"/>
    <cellStyle name="40% - 輔色1 2 2" xfId="879" xr:uid="{2C7A36B2-7443-498E-BF30-7BCF3247F899}"/>
    <cellStyle name="40% - 輔色1 20" xfId="847" xr:uid="{EBBC92FA-C25B-4270-9569-A0280C139923}"/>
    <cellStyle name="40% - 輔色1 21" xfId="861" xr:uid="{E7CBAE74-D427-4713-8445-B17B88D1798E}"/>
    <cellStyle name="40% - 輔色1 3" xfId="819" xr:uid="{B7C56D11-CCFF-4F64-8CFC-E88B8290A7DF}"/>
    <cellStyle name="40% - 輔色1 3 2" xfId="892" xr:uid="{2E682AED-A072-42AC-88E9-A52DE3DC357D}"/>
    <cellStyle name="40% - 輔色1 4" xfId="806" xr:uid="{CDBE9A33-FBFB-419D-9DBB-59D19A173E10}"/>
    <cellStyle name="40% - 輔色1 4 2" xfId="905" xr:uid="{FDDFADFC-8A0E-4C6A-AFAA-581BED558413}"/>
    <cellStyle name="40% - 輔色1 5" xfId="793" xr:uid="{8D002A8E-0076-4467-8E1F-8B07DEE54362}"/>
    <cellStyle name="40% - 輔色1 5 2" xfId="918" xr:uid="{1674A07C-61BA-436E-A65A-22D34F4EDB89}"/>
    <cellStyle name="40% - 輔色1 6" xfId="780" xr:uid="{9AD6F974-989C-4766-9C60-608D18D5A39E}"/>
    <cellStyle name="40% - 輔色1 6 2" xfId="931" xr:uid="{CDB1ED75-2FE8-43A1-9A54-CC1A01BD6B38}"/>
    <cellStyle name="40% - 輔色1 7" xfId="767" xr:uid="{463DD57E-36A3-48D6-81FF-C5F4E21A1411}"/>
    <cellStyle name="40% - 輔色1 7 2" xfId="944" xr:uid="{4BC1DB13-2F97-48A2-9858-95C30EE3286B}"/>
    <cellStyle name="40% - 輔色1 8" xfId="754" xr:uid="{33AF58B4-B52A-47E3-8F61-6FF7005761F8}"/>
    <cellStyle name="40% - 輔色1 8 2" xfId="957" xr:uid="{C94D3041-6EF2-4E14-839D-6301A154E92E}"/>
    <cellStyle name="40% - 輔色1 9" xfId="741" xr:uid="{550215D7-DD99-46EB-A505-12312EFA41C1}"/>
    <cellStyle name="40% - 輔色1 9 2" xfId="970" xr:uid="{1B3C8979-DA77-41F6-93BE-551D535BF7DF}"/>
    <cellStyle name="40% - 輔色2" xfId="507" builtinId="35" customBuiltin="1"/>
    <cellStyle name="40% - 輔色2 10" xfId="726" xr:uid="{EC650EE1-B9CE-4C0D-A4AE-D98A7FCDC692}"/>
    <cellStyle name="40% - 輔色2 10 2" xfId="985" xr:uid="{BB428991-72FB-4F02-ACFC-A6CD3B0BB7E6}"/>
    <cellStyle name="40% - 輔色2 11" xfId="713" xr:uid="{4D9B8A54-61E7-4433-AF05-AE927B389930}"/>
    <cellStyle name="40% - 輔色2 11 2" xfId="998" xr:uid="{F5CC9C89-617B-4BFD-9DA9-95237CB0CB3C}"/>
    <cellStyle name="40% - 輔色2 12" xfId="700" xr:uid="{A82C164D-CA21-488B-B31A-BD5990F3E354}"/>
    <cellStyle name="40% - 輔色2 12 2" xfId="1011" xr:uid="{06199833-1259-4D5E-B2B1-C6F8D72D2F75}"/>
    <cellStyle name="40% - 輔色2 13" xfId="687" xr:uid="{11B8AB15-D101-4BE8-B6C8-59CAC7D8F7C1}"/>
    <cellStyle name="40% - 輔色2 13 2" xfId="1024" xr:uid="{9D66C6C2-F7DA-44CA-A8EB-27E1E99F40D1}"/>
    <cellStyle name="40% - 輔色2 14" xfId="674" xr:uid="{082CEEF6-FCF1-44BB-B74B-4FC691611AD5}"/>
    <cellStyle name="40% - 輔色2 14 2" xfId="1037" xr:uid="{A448ACFE-6D14-44F8-85D4-3A62A1EF138F}"/>
    <cellStyle name="40% - 輔色2 15" xfId="661" xr:uid="{530EE128-B46B-45F7-9EE8-BB1CF506494F}"/>
    <cellStyle name="40% - 輔色2 15 2" xfId="1050" xr:uid="{E375E0AA-CE2B-4BA9-A109-98483E8BF1C6}"/>
    <cellStyle name="40% - 輔色2 16" xfId="648" xr:uid="{4C71F283-7D90-45D0-A80E-1DF1F8C1F3E5}"/>
    <cellStyle name="40% - 輔色2 16 2" xfId="1063" xr:uid="{E172F90F-EF04-4EA8-BFAB-8D1761AD2A90}"/>
    <cellStyle name="40% - 輔色2 17" xfId="635" xr:uid="{F4217A9D-5D25-461D-943E-C4D046ED205B}"/>
    <cellStyle name="40% - 輔色2 17 2" xfId="1076" xr:uid="{7D3887B1-7BF7-465C-B684-55EC60F1F6FE}"/>
    <cellStyle name="40% - 輔色2 18" xfId="622" xr:uid="{0DA640CB-A8AF-4E10-AFAE-620A24BBF6B5}"/>
    <cellStyle name="40% - 輔色2 18 2" xfId="1089" xr:uid="{515CF800-A660-4190-A475-41AB53E7B81F}"/>
    <cellStyle name="40% - 輔色2 19" xfId="609" xr:uid="{B929EA79-30D8-4987-8070-4FBFC3A8E363}"/>
    <cellStyle name="40% - 輔色2 19 2" xfId="1102" xr:uid="{D1A3F155-03D3-4677-8A4E-E644E1F9BE5C}"/>
    <cellStyle name="40% - 輔色2 2" xfId="830" xr:uid="{186B3401-71A9-4918-A53F-09B7E076CDEB}"/>
    <cellStyle name="40% - 輔色2 2 2" xfId="881" xr:uid="{84904F9D-0B31-4431-80B9-FB8261D86D0C}"/>
    <cellStyle name="40% - 輔色2 20" xfId="845" xr:uid="{2B614037-0223-490D-8D3A-AC3FFD33FDDE}"/>
    <cellStyle name="40% - 輔色2 21" xfId="863" xr:uid="{328790D7-636D-4827-8CF3-51814008E12B}"/>
    <cellStyle name="40% - 輔色2 3" xfId="817" xr:uid="{30028FD1-7A0E-4A48-8875-AA0ECB9CA880}"/>
    <cellStyle name="40% - 輔色2 3 2" xfId="894" xr:uid="{B5366A17-9597-4BA2-9808-84612E5C7979}"/>
    <cellStyle name="40% - 輔色2 4" xfId="804" xr:uid="{0E00F35E-EDD6-4191-B77C-D43848D17084}"/>
    <cellStyle name="40% - 輔色2 4 2" xfId="907" xr:uid="{D2E53FC5-40DF-4056-BB4F-81BD3CF51807}"/>
    <cellStyle name="40% - 輔色2 5" xfId="791" xr:uid="{743C0127-FF3E-46E0-A9A4-48DE66D1E162}"/>
    <cellStyle name="40% - 輔色2 5 2" xfId="920" xr:uid="{193AF466-B2A9-4B5B-BECE-EFD41C9E3DDC}"/>
    <cellStyle name="40% - 輔色2 6" xfId="778" xr:uid="{13D6E205-07EB-418A-9CF8-3E786F432C85}"/>
    <cellStyle name="40% - 輔色2 6 2" xfId="933" xr:uid="{7470B7D1-04D5-4AAB-832C-DB17E7FD58AB}"/>
    <cellStyle name="40% - 輔色2 7" xfId="765" xr:uid="{E7CACA8D-3A91-4A29-B963-1B2B2AD20207}"/>
    <cellStyle name="40% - 輔色2 7 2" xfId="946" xr:uid="{6CCF9D28-C7C8-4764-A880-70824484BFAF}"/>
    <cellStyle name="40% - 輔色2 8" xfId="752" xr:uid="{16807595-9DF5-43F8-97F1-BDB583894BB5}"/>
    <cellStyle name="40% - 輔色2 8 2" xfId="959" xr:uid="{F964B9DB-6BD0-4AA1-BF2A-C8C51DA7E46A}"/>
    <cellStyle name="40% - 輔色2 9" xfId="739" xr:uid="{99FB0D87-45C9-456B-A56A-24D8B6101FD3}"/>
    <cellStyle name="40% - 輔色2 9 2" xfId="972" xr:uid="{F44E5144-B0B4-45E1-AE1C-3B1B3DF89E7A}"/>
    <cellStyle name="40% - 輔色3" xfId="511" builtinId="39" customBuiltin="1"/>
    <cellStyle name="40% - 輔色3 10" xfId="724" xr:uid="{83E4CB4D-536D-43AC-9EE6-85F0A6441D71}"/>
    <cellStyle name="40% - 輔色3 10 2" xfId="987" xr:uid="{88445459-E9BB-49C2-BD31-EE0EA4F93D97}"/>
    <cellStyle name="40% - 輔色3 11" xfId="711" xr:uid="{CC6F112E-5E96-4E01-9E7F-28D02C4B6BE1}"/>
    <cellStyle name="40% - 輔色3 11 2" xfId="1000" xr:uid="{0FB94B4B-80BB-4885-BE9F-1337A15E1E4F}"/>
    <cellStyle name="40% - 輔色3 12" xfId="698" xr:uid="{2E4D61D4-E594-47B9-A78B-59DC76FEA432}"/>
    <cellStyle name="40% - 輔色3 12 2" xfId="1013" xr:uid="{77099509-1150-4036-A489-6147B71FA4CB}"/>
    <cellStyle name="40% - 輔色3 13" xfId="685" xr:uid="{7C3307BF-E832-4067-8D6B-D76DAF2CD055}"/>
    <cellStyle name="40% - 輔色3 13 2" xfId="1026" xr:uid="{108CEE63-2A13-4D5E-8CCF-C98578740656}"/>
    <cellStyle name="40% - 輔色3 14" xfId="672" xr:uid="{0E13ABFC-38F1-4128-83B1-65B3C7FB93DE}"/>
    <cellStyle name="40% - 輔色3 14 2" xfId="1039" xr:uid="{F4C9C41C-FD3B-4989-9EA3-DE117AFA179D}"/>
    <cellStyle name="40% - 輔色3 15" xfId="659" xr:uid="{D713E061-C564-45C3-B9CF-AC8B08DBF819}"/>
    <cellStyle name="40% - 輔色3 15 2" xfId="1052" xr:uid="{FD7175EB-B2F3-41C1-9357-829236367C18}"/>
    <cellStyle name="40% - 輔色3 16" xfId="646" xr:uid="{0259B0FA-BF9F-4B03-9DB6-DFA9494F90AC}"/>
    <cellStyle name="40% - 輔色3 16 2" xfId="1065" xr:uid="{AFAF0E54-0AA9-411E-BCE1-F93F76F2F29E}"/>
    <cellStyle name="40% - 輔色3 17" xfId="633" xr:uid="{86ABD362-FA96-400D-AE4C-79032A4B74C8}"/>
    <cellStyle name="40% - 輔色3 17 2" xfId="1078" xr:uid="{2CE23892-B8C5-4BE7-A131-463758AB4EE4}"/>
    <cellStyle name="40% - 輔色3 18" xfId="620" xr:uid="{48082013-76C1-47B1-B420-987F1A4329EF}"/>
    <cellStyle name="40% - 輔色3 18 2" xfId="1091" xr:uid="{EB5092E6-740C-44D2-8108-58E691DEC13B}"/>
    <cellStyle name="40% - 輔色3 19" xfId="607" xr:uid="{9771709E-F336-4445-A725-1797389A3B3E}"/>
    <cellStyle name="40% - 輔色3 19 2" xfId="1104" xr:uid="{6D9933F1-E425-4796-8661-7C8F8196EFA6}"/>
    <cellStyle name="40% - 輔色3 2" xfId="828" xr:uid="{A483CBC0-F5CD-45D2-85EF-30252E2F9177}"/>
    <cellStyle name="40% - 輔色3 2 2" xfId="883" xr:uid="{285E434D-B1D3-4DA9-858E-C03701D7CA2D}"/>
    <cellStyle name="40% - 輔色3 20" xfId="843" xr:uid="{5C86CD1C-7C57-406E-9385-39993BEEFEC9}"/>
    <cellStyle name="40% - 輔色3 21" xfId="866" xr:uid="{0BBCC0BE-1BA1-42C2-A17C-8A6EF62E458A}"/>
    <cellStyle name="40% - 輔色3 3" xfId="815" xr:uid="{D75635D0-07B6-47D3-A0A0-A7AAFE9286FC}"/>
    <cellStyle name="40% - 輔色3 3 2" xfId="896" xr:uid="{58A775FE-A6BC-4C79-B2BA-2B78AA5F731E}"/>
    <cellStyle name="40% - 輔色3 4" xfId="802" xr:uid="{86418AD3-F4C6-4176-9DFF-CD14BD9A597C}"/>
    <cellStyle name="40% - 輔色3 4 2" xfId="909" xr:uid="{612A5FAB-35FF-4829-9D0D-74C76AE522D0}"/>
    <cellStyle name="40% - 輔色3 5" xfId="789" xr:uid="{600E0367-8BD7-4CCA-818F-DC61E006A65D}"/>
    <cellStyle name="40% - 輔色3 5 2" xfId="922" xr:uid="{C39D1A83-9DCB-47E8-8257-E6101E43EEA5}"/>
    <cellStyle name="40% - 輔色3 6" xfId="776" xr:uid="{655709C2-A971-4C15-A8F6-800E1C84E673}"/>
    <cellStyle name="40% - 輔色3 6 2" xfId="935" xr:uid="{ADC51297-1238-4269-B003-B0145FAC72FB}"/>
    <cellStyle name="40% - 輔色3 7" xfId="763" xr:uid="{441EDA01-4CBD-43C4-9D0E-2DBAB5D3620F}"/>
    <cellStyle name="40% - 輔色3 7 2" xfId="948" xr:uid="{D41F556C-60BF-4FFE-8D10-2EFBC4E7C737}"/>
    <cellStyle name="40% - 輔色3 8" xfId="750" xr:uid="{18A16A29-1A6B-4393-B7B4-8EDCFCB5E04D}"/>
    <cellStyle name="40% - 輔色3 8 2" xfId="961" xr:uid="{1A817B74-C5AE-430B-86A6-C205765A7F3F}"/>
    <cellStyle name="40% - 輔色3 9" xfId="737" xr:uid="{03341170-3CA9-494A-975D-0F97F058672C}"/>
    <cellStyle name="40% - 輔色3 9 2" xfId="974" xr:uid="{18156F47-6773-4FB1-A090-7777C5AF4ADB}"/>
    <cellStyle name="40% - 輔色4" xfId="515" builtinId="43" customBuiltin="1"/>
    <cellStyle name="40% - 輔色4 10" xfId="722" xr:uid="{EE2BA2A0-69EE-4962-9B73-45FA9CF138F6}"/>
    <cellStyle name="40% - 輔色4 10 2" xfId="989" xr:uid="{8F20EACF-0A8F-4E88-AE93-8FCE18ED5099}"/>
    <cellStyle name="40% - 輔色4 11" xfId="709" xr:uid="{CDB53C9A-FE2F-4604-AFC0-609E0A8466EB}"/>
    <cellStyle name="40% - 輔色4 11 2" xfId="1002" xr:uid="{113F7A1B-E95C-40B0-B62E-FA5D99DCC73F}"/>
    <cellStyle name="40% - 輔色4 12" xfId="696" xr:uid="{5A8399F8-5162-4013-92BD-BB3DAB696C7B}"/>
    <cellStyle name="40% - 輔色4 12 2" xfId="1015" xr:uid="{6463A01F-6C73-4FB6-BF9C-1E4A7F29B82A}"/>
    <cellStyle name="40% - 輔色4 13" xfId="683" xr:uid="{CF6F9FDC-4917-4879-85FD-BAF4A34DF198}"/>
    <cellStyle name="40% - 輔色4 13 2" xfId="1028" xr:uid="{2CCC8625-C3B3-4E39-B678-8C4BA1785F41}"/>
    <cellStyle name="40% - 輔色4 14" xfId="670" xr:uid="{19FDBAB1-F573-49B3-99E9-2A880CD33735}"/>
    <cellStyle name="40% - 輔色4 14 2" xfId="1041" xr:uid="{F46B6983-551A-45E2-8D66-D17C12AF01EB}"/>
    <cellStyle name="40% - 輔色4 15" xfId="657" xr:uid="{7629FBA8-7E2C-45E3-A591-B89CCF1A9C6E}"/>
    <cellStyle name="40% - 輔色4 15 2" xfId="1054" xr:uid="{CD74479C-590D-4E51-9277-DC050B0538A2}"/>
    <cellStyle name="40% - 輔色4 16" xfId="644" xr:uid="{CA07624E-0222-40B0-8654-9F9D25E733DD}"/>
    <cellStyle name="40% - 輔色4 16 2" xfId="1067" xr:uid="{357FDD46-AAAF-420F-B570-8DB59DAF4F2F}"/>
    <cellStyle name="40% - 輔色4 17" xfId="631" xr:uid="{3D048F86-E580-4122-9469-AC8D0DA300E8}"/>
    <cellStyle name="40% - 輔色4 17 2" xfId="1080" xr:uid="{83124311-A8E6-480A-BB21-B26B8007BAF4}"/>
    <cellStyle name="40% - 輔色4 18" xfId="618" xr:uid="{1F19C239-03E9-4EF8-AB16-1D782961A85F}"/>
    <cellStyle name="40% - 輔色4 18 2" xfId="1093" xr:uid="{58774D20-14E7-466C-9884-3DC0A18F2BB0}"/>
    <cellStyle name="40% - 輔色4 19" xfId="605" xr:uid="{D1462326-5820-4774-9A33-22217D03616B}"/>
    <cellStyle name="40% - 輔色4 19 2" xfId="1106" xr:uid="{DD3C8B42-0E73-4808-8EAD-59540EF5C66F}"/>
    <cellStyle name="40% - 輔色4 2" xfId="826" xr:uid="{F1B91E11-CC14-4113-A4E2-2C03B648CAAB}"/>
    <cellStyle name="40% - 輔色4 2 2" xfId="885" xr:uid="{C0AE0B8E-ABC7-4FFE-8224-47219E804B14}"/>
    <cellStyle name="40% - 輔色4 20" xfId="841" xr:uid="{0AC6FE21-33EB-4A6C-985F-82C2F1920188}"/>
    <cellStyle name="40% - 輔色4 21" xfId="869" xr:uid="{C57B52EB-D25C-476F-B604-4E8CD8245A0C}"/>
    <cellStyle name="40% - 輔色4 3" xfId="813" xr:uid="{3B0CB215-FEF3-4FDA-8693-1D8A09477B33}"/>
    <cellStyle name="40% - 輔色4 3 2" xfId="898" xr:uid="{7A6CB850-24CD-4600-98CE-743E034DC868}"/>
    <cellStyle name="40% - 輔色4 4" xfId="800" xr:uid="{4AFA0D74-E1C3-4AD3-9654-C39802D23964}"/>
    <cellStyle name="40% - 輔色4 4 2" xfId="911" xr:uid="{9E24D31E-2706-4B0C-90E7-80E284A635C3}"/>
    <cellStyle name="40% - 輔色4 5" xfId="787" xr:uid="{C5C7AF86-A24D-4CFD-ADBD-56DBF13B64A9}"/>
    <cellStyle name="40% - 輔色4 5 2" xfId="924" xr:uid="{E58C912D-CFD6-4CBB-B3CA-8D0C823288C6}"/>
    <cellStyle name="40% - 輔色4 6" xfId="774" xr:uid="{1A120687-AD76-478C-B5CE-786A51AE5108}"/>
    <cellStyle name="40% - 輔色4 6 2" xfId="937" xr:uid="{0BEC5A19-0A15-405B-90C3-375B53F03CB9}"/>
    <cellStyle name="40% - 輔色4 7" xfId="761" xr:uid="{EB608F0E-8714-4AC5-8BFD-6EB7212A0210}"/>
    <cellStyle name="40% - 輔色4 7 2" xfId="950" xr:uid="{7A1150BC-8228-4C37-8B0D-D4C1663699F3}"/>
    <cellStyle name="40% - 輔色4 8" xfId="748" xr:uid="{475BBE8C-3271-4140-8D20-62A5A7BF13DF}"/>
    <cellStyle name="40% - 輔色4 8 2" xfId="963" xr:uid="{A3CCAD1C-57E1-471D-A7D1-E2DFE06479CD}"/>
    <cellStyle name="40% - 輔色4 9" xfId="735" xr:uid="{8AB7B9F2-5F82-4874-B60E-CCAAF93C5ECC}"/>
    <cellStyle name="40% - 輔色4 9 2" xfId="976" xr:uid="{E0621019-3F9B-42A4-8CD0-FA4331E55870}"/>
    <cellStyle name="40% - 輔色5" xfId="519" builtinId="47" customBuiltin="1"/>
    <cellStyle name="40% - 輔色5 10" xfId="720" xr:uid="{DF7B2B16-4B38-4BF6-9ABB-D37CEE5A76BE}"/>
    <cellStyle name="40% - 輔色5 10 2" xfId="991" xr:uid="{AEAA6EBB-BFD1-4A73-9710-995D0F1BB33D}"/>
    <cellStyle name="40% - 輔色5 11" xfId="707" xr:uid="{03A8D7D5-D803-420B-B120-8DD6858CB26A}"/>
    <cellStyle name="40% - 輔色5 11 2" xfId="1004" xr:uid="{55603FDA-71C1-4C4A-BA4A-6311513423CB}"/>
    <cellStyle name="40% - 輔色5 12" xfId="694" xr:uid="{E052B26A-429E-4625-A9CB-0D71939DA8CE}"/>
    <cellStyle name="40% - 輔色5 12 2" xfId="1017" xr:uid="{AF230A8D-1EF8-4FFB-833E-8ACEC6F802D4}"/>
    <cellStyle name="40% - 輔色5 13" xfId="681" xr:uid="{E4CB1AA7-A19F-4DE9-863B-D2B5B9645D70}"/>
    <cellStyle name="40% - 輔色5 13 2" xfId="1030" xr:uid="{21E9B57F-347C-4A6E-9A14-48566A10F2F2}"/>
    <cellStyle name="40% - 輔色5 14" xfId="668" xr:uid="{609E9520-F797-4D3F-83C2-D4EDAC5FE515}"/>
    <cellStyle name="40% - 輔色5 14 2" xfId="1043" xr:uid="{CE035F04-EA69-47B6-9A1F-6903BFFCA67F}"/>
    <cellStyle name="40% - 輔色5 15" xfId="655" xr:uid="{7AB28998-12C0-4510-B634-B08454CC0E79}"/>
    <cellStyle name="40% - 輔色5 15 2" xfId="1056" xr:uid="{901BDC4D-3813-43F8-8EBD-F4712CBB8E76}"/>
    <cellStyle name="40% - 輔色5 16" xfId="642" xr:uid="{493F1223-560E-4450-9C4E-8EDE346E617A}"/>
    <cellStyle name="40% - 輔色5 16 2" xfId="1069" xr:uid="{FF90F8DF-65A2-415F-B9FF-90B25787FD42}"/>
    <cellStyle name="40% - 輔色5 17" xfId="629" xr:uid="{2C9892AA-38D3-4D92-99E6-A4290FF8A7CC}"/>
    <cellStyle name="40% - 輔色5 17 2" xfId="1082" xr:uid="{98E04FCF-A4B5-4579-9DBE-3AD8467251C0}"/>
    <cellStyle name="40% - 輔色5 18" xfId="616" xr:uid="{B8D6149B-4BD6-4AD7-AD00-E174ED518216}"/>
    <cellStyle name="40% - 輔色5 18 2" xfId="1095" xr:uid="{DE33D2AD-BD9F-4B0A-93A0-096CD654259B}"/>
    <cellStyle name="40% - 輔色5 19" xfId="603" xr:uid="{3CA83141-C975-4751-805A-6FFEF698B565}"/>
    <cellStyle name="40% - 輔色5 19 2" xfId="1108" xr:uid="{F5205937-2194-45B8-946E-2060804FB03C}"/>
    <cellStyle name="40% - 輔色5 2" xfId="824" xr:uid="{ED00A98F-CF92-425E-BDE2-9A9519774884}"/>
    <cellStyle name="40% - 輔色5 2 2" xfId="887" xr:uid="{88DA9434-4B1B-48AA-A6FD-703DC45A9CBF}"/>
    <cellStyle name="40% - 輔色5 20" xfId="839" xr:uid="{55B7783C-1D65-4849-B702-EBD8E16DA7A3}"/>
    <cellStyle name="40% - 輔色5 21" xfId="872" xr:uid="{CEFA687C-08D4-4329-8BF1-D8552176973B}"/>
    <cellStyle name="40% - 輔色5 3" xfId="811" xr:uid="{6F417962-F9B5-46CB-A85D-838A9265D675}"/>
    <cellStyle name="40% - 輔色5 3 2" xfId="900" xr:uid="{225910A0-04FB-42ED-9FCC-FE2EBB3366A6}"/>
    <cellStyle name="40% - 輔色5 4" xfId="798" xr:uid="{ACABC08F-8DD1-4DEE-8AC0-BE687092AF13}"/>
    <cellStyle name="40% - 輔色5 4 2" xfId="913" xr:uid="{F19A42A4-D960-4ABD-A831-083BF79AD1CA}"/>
    <cellStyle name="40% - 輔色5 5" xfId="785" xr:uid="{A66F8FF4-1EAC-4091-9F62-80F5D32814F9}"/>
    <cellStyle name="40% - 輔色5 5 2" xfId="926" xr:uid="{9437D423-F799-4379-8140-8C80B4C1B612}"/>
    <cellStyle name="40% - 輔色5 6" xfId="772" xr:uid="{46A686A1-79B5-42FF-BDE5-0FB0BE5EA29B}"/>
    <cellStyle name="40% - 輔色5 6 2" xfId="939" xr:uid="{8DABCB60-C8BE-4B9F-B1F6-391455CF268A}"/>
    <cellStyle name="40% - 輔色5 7" xfId="759" xr:uid="{993122B8-615F-4D8F-BCE9-91F8A5342FC1}"/>
    <cellStyle name="40% - 輔色5 7 2" xfId="952" xr:uid="{5E8B8D55-537E-41EE-83FE-DA92B2F9AB15}"/>
    <cellStyle name="40% - 輔色5 8" xfId="746" xr:uid="{B70C7FA8-2E8C-41AC-9D9F-4391ACF5C8E8}"/>
    <cellStyle name="40% - 輔色5 8 2" xfId="965" xr:uid="{B43FC02F-C962-44A3-A10A-767755329090}"/>
    <cellStyle name="40% - 輔色5 9" xfId="733" xr:uid="{AEDC032B-D852-46E1-ACD8-A8363616A995}"/>
    <cellStyle name="40% - 輔色5 9 2" xfId="978" xr:uid="{32599A16-72BD-494E-A0A7-59714803619B}"/>
    <cellStyle name="40% - 輔色6" xfId="523" builtinId="51" customBuiltin="1"/>
    <cellStyle name="40% - 輔色6 10" xfId="718" xr:uid="{4A1D0951-ECF8-464F-B108-518624270265}"/>
    <cellStyle name="40% - 輔色6 10 2" xfId="993" xr:uid="{AED773F9-03B8-45E7-AAE1-2D2C8ACBAA79}"/>
    <cellStyle name="40% - 輔色6 11" xfId="705" xr:uid="{76972BB9-5C93-4780-86FD-F9601A973847}"/>
    <cellStyle name="40% - 輔色6 11 2" xfId="1006" xr:uid="{13D726EB-4E06-472F-BA1E-08C9BA8CB021}"/>
    <cellStyle name="40% - 輔色6 12" xfId="692" xr:uid="{CB228449-D110-4C59-AEE3-0A25197F92AD}"/>
    <cellStyle name="40% - 輔色6 12 2" xfId="1019" xr:uid="{8F4CD5D7-4CCC-44CD-AE0E-E89FCC74CA98}"/>
    <cellStyle name="40% - 輔色6 13" xfId="679" xr:uid="{BB7FB5A0-FE51-4716-A069-A7C1CEB03EFF}"/>
    <cellStyle name="40% - 輔色6 13 2" xfId="1032" xr:uid="{F9F3BB96-C5E8-4E30-B3A9-5C0F69CECB3E}"/>
    <cellStyle name="40% - 輔色6 14" xfId="666" xr:uid="{2BAA79B4-053E-49B8-AA90-9257F6F3E177}"/>
    <cellStyle name="40% - 輔色6 14 2" xfId="1045" xr:uid="{A7028191-64C3-47E4-B123-CED79D59CD8F}"/>
    <cellStyle name="40% - 輔色6 15" xfId="653" xr:uid="{7DB5DC80-837C-4B58-A0CB-1FE833585117}"/>
    <cellStyle name="40% - 輔色6 15 2" xfId="1058" xr:uid="{02F282CF-6CAC-4AAC-8D9D-0875CBDDF374}"/>
    <cellStyle name="40% - 輔色6 16" xfId="640" xr:uid="{91F779A3-A7AB-4196-AC09-8656A5FCC408}"/>
    <cellStyle name="40% - 輔色6 16 2" xfId="1071" xr:uid="{1775BAE9-ABD2-464D-A89B-42F98479A2DE}"/>
    <cellStyle name="40% - 輔色6 17" xfId="627" xr:uid="{10985605-C89F-4FC8-86BF-B32A66DA1429}"/>
    <cellStyle name="40% - 輔色6 17 2" xfId="1084" xr:uid="{3F6F38DC-1518-46B2-B3AC-104016FF9F9D}"/>
    <cellStyle name="40% - 輔色6 18" xfId="614" xr:uid="{641353A0-9462-4747-B346-D0BF9D22A9D5}"/>
    <cellStyle name="40% - 輔色6 18 2" xfId="1097" xr:uid="{34657A29-6B3D-41FA-8725-6119C32553DB}"/>
    <cellStyle name="40% - 輔色6 19" xfId="601" xr:uid="{CEDEAB71-707F-46F7-9C12-0DDAD40355F3}"/>
    <cellStyle name="40% - 輔色6 19 2" xfId="1110" xr:uid="{E12D58C6-C8E5-4A3B-966B-654704EB2835}"/>
    <cellStyle name="40% - 輔色6 2" xfId="822" xr:uid="{83C3DD94-70A6-426E-8EB5-D9B869C2522D}"/>
    <cellStyle name="40% - 輔色6 2 2" xfId="889" xr:uid="{ABC4D346-0ACF-489A-BAE2-2CC89EF9E97B}"/>
    <cellStyle name="40% - 輔色6 20" xfId="837" xr:uid="{6E770453-6900-44DF-8B76-DE5B56AB13BB}"/>
    <cellStyle name="40% - 輔色6 21" xfId="875" xr:uid="{3CAB3624-34A8-4B5F-830C-7B4F43C66466}"/>
    <cellStyle name="40% - 輔色6 3" xfId="809" xr:uid="{644AB95F-626C-4724-8063-67A03682CEE7}"/>
    <cellStyle name="40% - 輔色6 3 2" xfId="902" xr:uid="{4F8C5E17-39CC-4663-86B4-3DE792448132}"/>
    <cellStyle name="40% - 輔色6 4" xfId="796" xr:uid="{B81547B4-15D9-464B-A44A-D976CB56BBB6}"/>
    <cellStyle name="40% - 輔色6 4 2" xfId="915" xr:uid="{9BB26CF8-6428-4265-9D1B-993E565EB41D}"/>
    <cellStyle name="40% - 輔色6 5" xfId="783" xr:uid="{A7601CD7-CFD1-42C3-860B-5D2814862B8D}"/>
    <cellStyle name="40% - 輔色6 5 2" xfId="928" xr:uid="{914B5E44-5A32-4584-A807-17398E42837D}"/>
    <cellStyle name="40% - 輔色6 6" xfId="770" xr:uid="{7375C875-C155-4C27-A9C5-3E813B8EE91D}"/>
    <cellStyle name="40% - 輔色6 6 2" xfId="941" xr:uid="{3B9F9D51-371C-43B7-A32B-DF4FE8FF4AF7}"/>
    <cellStyle name="40% - 輔色6 7" xfId="757" xr:uid="{10A8403C-22EB-4757-B284-6EF778082407}"/>
    <cellStyle name="40% - 輔色6 7 2" xfId="954" xr:uid="{BC19EFF0-2C7E-4B92-ADE4-8508A19727E7}"/>
    <cellStyle name="40% - 輔色6 8" xfId="744" xr:uid="{5D11EF6A-8988-41D1-910C-2FA900F0C732}"/>
    <cellStyle name="40% - 輔色6 8 2" xfId="967" xr:uid="{6B902C7F-C67E-4548-8185-3C46FEBD1216}"/>
    <cellStyle name="40% - 輔色6 9" xfId="731" xr:uid="{1D1E46D0-C1C3-4A78-8568-69DF30C1C6B1}"/>
    <cellStyle name="40% - 輔色6 9 2" xfId="980" xr:uid="{D3AF248A-1A2E-4D29-B901-669CDAAC55BA}"/>
    <cellStyle name="60% - 輔色1" xfId="504" builtinId="32" customBuiltin="1"/>
    <cellStyle name="60% - 輔色2" xfId="508" builtinId="36" customBuiltin="1"/>
    <cellStyle name="60% - 輔色3" xfId="512" builtinId="40" customBuiltin="1"/>
    <cellStyle name="60% - 輔色4" xfId="516" builtinId="44" customBuiltin="1"/>
    <cellStyle name="60% - 輔色5" xfId="520" builtinId="48" customBuiltin="1"/>
    <cellStyle name="60% - 輔色6" xfId="524" builtinId="52" customBuiltin="1"/>
    <cellStyle name="一般" xfId="0" builtinId="0"/>
    <cellStyle name="一般 10" xfId="463" xr:uid="{00000000-0005-0000-0000-000013000000}"/>
    <cellStyle name="一般 10 2" xfId="594" xr:uid="{55D075CF-33BC-40ED-AE72-7263F095E077}"/>
    <cellStyle name="一般 100" xfId="1" xr:uid="{00000000-0005-0000-0000-000014000000}"/>
    <cellStyle name="一般 101" xfId="2" xr:uid="{00000000-0005-0000-0000-000015000000}"/>
    <cellStyle name="一般 102" xfId="3" xr:uid="{00000000-0005-0000-0000-000016000000}"/>
    <cellStyle name="一般 103" xfId="4" xr:uid="{00000000-0005-0000-0000-000017000000}"/>
    <cellStyle name="一般 104" xfId="5" xr:uid="{00000000-0005-0000-0000-000018000000}"/>
    <cellStyle name="一般 105" xfId="6" xr:uid="{00000000-0005-0000-0000-000019000000}"/>
    <cellStyle name="一般 106" xfId="7" xr:uid="{00000000-0005-0000-0000-00001A000000}"/>
    <cellStyle name="一般 107" xfId="8" xr:uid="{00000000-0005-0000-0000-00001B000000}"/>
    <cellStyle name="一般 108" xfId="9" xr:uid="{00000000-0005-0000-0000-00001C000000}"/>
    <cellStyle name="一般 109" xfId="10" xr:uid="{00000000-0005-0000-0000-00001D000000}"/>
    <cellStyle name="一般 11" xfId="464" xr:uid="{00000000-0005-0000-0000-00001E000000}"/>
    <cellStyle name="一般 11 2" xfId="595" xr:uid="{73EE0C44-2435-4E62-AC99-B12B6340462A}"/>
    <cellStyle name="一般 11 3" xfId="859" xr:uid="{DBCFFCFE-EA8B-4909-9C24-A5F8FBDC1A72}"/>
    <cellStyle name="一般 110" xfId="11" xr:uid="{00000000-0005-0000-0000-00001F000000}"/>
    <cellStyle name="一般 111" xfId="12" xr:uid="{00000000-0005-0000-0000-000020000000}"/>
    <cellStyle name="一般 112" xfId="13" xr:uid="{00000000-0005-0000-0000-000021000000}"/>
    <cellStyle name="一般 113" xfId="14" xr:uid="{00000000-0005-0000-0000-000022000000}"/>
    <cellStyle name="一般 114" xfId="15" xr:uid="{00000000-0005-0000-0000-000023000000}"/>
    <cellStyle name="一般 115" xfId="16" xr:uid="{00000000-0005-0000-0000-000024000000}"/>
    <cellStyle name="一般 116" xfId="17" xr:uid="{00000000-0005-0000-0000-000025000000}"/>
    <cellStyle name="一般 117" xfId="18" xr:uid="{00000000-0005-0000-0000-000026000000}"/>
    <cellStyle name="一般 118" xfId="19" xr:uid="{00000000-0005-0000-0000-000027000000}"/>
    <cellStyle name="一般 119" xfId="20" xr:uid="{00000000-0005-0000-0000-000028000000}"/>
    <cellStyle name="一般 12" xfId="478" xr:uid="{00000000-0005-0000-0000-000029000000}"/>
    <cellStyle name="一般 12 2" xfId="596" xr:uid="{87D589C5-5E36-4932-B3FC-8BFF4877A1C3}"/>
    <cellStyle name="一般 12 3" xfId="857" xr:uid="{51C79D10-9433-4FB4-8E75-41F09B8FE9E1}"/>
    <cellStyle name="一般 120" xfId="21" xr:uid="{00000000-0005-0000-0000-00002A000000}"/>
    <cellStyle name="一般 121" xfId="22" xr:uid="{00000000-0005-0000-0000-00002B000000}"/>
    <cellStyle name="一般 122" xfId="23" xr:uid="{00000000-0005-0000-0000-00002C000000}"/>
    <cellStyle name="一般 123" xfId="24" xr:uid="{00000000-0005-0000-0000-00002D000000}"/>
    <cellStyle name="一般 124" xfId="25" xr:uid="{00000000-0005-0000-0000-00002E000000}"/>
    <cellStyle name="一般 125" xfId="26" xr:uid="{00000000-0005-0000-0000-00002F000000}"/>
    <cellStyle name="一般 126" xfId="27" xr:uid="{00000000-0005-0000-0000-000030000000}"/>
    <cellStyle name="一般 127" xfId="28" xr:uid="{00000000-0005-0000-0000-000031000000}"/>
    <cellStyle name="一般 128" xfId="29" xr:uid="{00000000-0005-0000-0000-000032000000}"/>
    <cellStyle name="一般 129" xfId="30" xr:uid="{00000000-0005-0000-0000-000033000000}"/>
    <cellStyle name="一般 13" xfId="479" xr:uid="{00000000-0005-0000-0000-000034000000}"/>
    <cellStyle name="一般 130" xfId="31" xr:uid="{00000000-0005-0000-0000-000035000000}"/>
    <cellStyle name="一般 131" xfId="32" xr:uid="{00000000-0005-0000-0000-000036000000}"/>
    <cellStyle name="一般 132" xfId="33" xr:uid="{00000000-0005-0000-0000-000037000000}"/>
    <cellStyle name="一般 133" xfId="34" xr:uid="{00000000-0005-0000-0000-000038000000}"/>
    <cellStyle name="一般 134" xfId="35" xr:uid="{00000000-0005-0000-0000-000039000000}"/>
    <cellStyle name="一般 135" xfId="36" xr:uid="{00000000-0005-0000-0000-00003A000000}"/>
    <cellStyle name="一般 136" xfId="37" xr:uid="{00000000-0005-0000-0000-00003B000000}"/>
    <cellStyle name="一般 137" xfId="38" xr:uid="{00000000-0005-0000-0000-00003C000000}"/>
    <cellStyle name="一般 138" xfId="39" xr:uid="{00000000-0005-0000-0000-00003D000000}"/>
    <cellStyle name="一般 139" xfId="40" xr:uid="{00000000-0005-0000-0000-00003E000000}"/>
    <cellStyle name="一般 14" xfId="480" xr:uid="{00000000-0005-0000-0000-00003F000000}"/>
    <cellStyle name="一般 140" xfId="41" xr:uid="{00000000-0005-0000-0000-000040000000}"/>
    <cellStyle name="一般 141" xfId="42" xr:uid="{00000000-0005-0000-0000-000041000000}"/>
    <cellStyle name="一般 142" xfId="43" xr:uid="{00000000-0005-0000-0000-000042000000}"/>
    <cellStyle name="一般 143" xfId="44" xr:uid="{00000000-0005-0000-0000-000043000000}"/>
    <cellStyle name="一般 144" xfId="45" xr:uid="{00000000-0005-0000-0000-000044000000}"/>
    <cellStyle name="一般 145" xfId="46" xr:uid="{00000000-0005-0000-0000-000045000000}"/>
    <cellStyle name="一般 146" xfId="47" xr:uid="{00000000-0005-0000-0000-000046000000}"/>
    <cellStyle name="一般 147" xfId="48" xr:uid="{00000000-0005-0000-0000-000047000000}"/>
    <cellStyle name="一般 148" xfId="49" xr:uid="{00000000-0005-0000-0000-000048000000}"/>
    <cellStyle name="一般 149" xfId="50" xr:uid="{00000000-0005-0000-0000-000049000000}"/>
    <cellStyle name="一般 15" xfId="540" xr:uid="{00000000-0005-0000-0000-00004A000000}"/>
    <cellStyle name="一般 150" xfId="51" xr:uid="{00000000-0005-0000-0000-00004B000000}"/>
    <cellStyle name="一般 151" xfId="52" xr:uid="{00000000-0005-0000-0000-00004C000000}"/>
    <cellStyle name="一般 152" xfId="53" xr:uid="{00000000-0005-0000-0000-00004D000000}"/>
    <cellStyle name="一般 153" xfId="54" xr:uid="{00000000-0005-0000-0000-00004E000000}"/>
    <cellStyle name="一般 154" xfId="55" xr:uid="{00000000-0005-0000-0000-00004F000000}"/>
    <cellStyle name="一般 155" xfId="56" xr:uid="{00000000-0005-0000-0000-000050000000}"/>
    <cellStyle name="一般 156" xfId="57" xr:uid="{00000000-0005-0000-0000-000051000000}"/>
    <cellStyle name="一般 157" xfId="58" xr:uid="{00000000-0005-0000-0000-000052000000}"/>
    <cellStyle name="一般 158" xfId="59" xr:uid="{00000000-0005-0000-0000-000053000000}"/>
    <cellStyle name="一般 159" xfId="60" xr:uid="{00000000-0005-0000-0000-000054000000}"/>
    <cellStyle name="一般 16" xfId="546" xr:uid="{00000000-0005-0000-0000-000055000000}"/>
    <cellStyle name="一般 160" xfId="61" xr:uid="{00000000-0005-0000-0000-000056000000}"/>
    <cellStyle name="一般 161" xfId="62" xr:uid="{00000000-0005-0000-0000-000057000000}"/>
    <cellStyle name="一般 162" xfId="63" xr:uid="{00000000-0005-0000-0000-000058000000}"/>
    <cellStyle name="一般 163" xfId="64" xr:uid="{00000000-0005-0000-0000-000059000000}"/>
    <cellStyle name="一般 164" xfId="65" xr:uid="{00000000-0005-0000-0000-00005A000000}"/>
    <cellStyle name="一般 165" xfId="66" xr:uid="{00000000-0005-0000-0000-00005B000000}"/>
    <cellStyle name="一般 166" xfId="67" xr:uid="{00000000-0005-0000-0000-00005C000000}"/>
    <cellStyle name="一般 167" xfId="68" xr:uid="{00000000-0005-0000-0000-00005D000000}"/>
    <cellStyle name="一般 168" xfId="69" xr:uid="{00000000-0005-0000-0000-00005E000000}"/>
    <cellStyle name="一般 169" xfId="70" xr:uid="{00000000-0005-0000-0000-00005F000000}"/>
    <cellStyle name="一般 17" xfId="552" xr:uid="{00000000-0005-0000-0000-000060000000}"/>
    <cellStyle name="一般 170" xfId="71" xr:uid="{00000000-0005-0000-0000-000061000000}"/>
    <cellStyle name="一般 171" xfId="72" xr:uid="{00000000-0005-0000-0000-000062000000}"/>
    <cellStyle name="一般 172" xfId="73" xr:uid="{00000000-0005-0000-0000-000063000000}"/>
    <cellStyle name="一般 173" xfId="74" xr:uid="{00000000-0005-0000-0000-000064000000}"/>
    <cellStyle name="一般 174" xfId="75" xr:uid="{00000000-0005-0000-0000-000065000000}"/>
    <cellStyle name="一般 175" xfId="76" xr:uid="{00000000-0005-0000-0000-000066000000}"/>
    <cellStyle name="一般 176" xfId="77" xr:uid="{00000000-0005-0000-0000-000067000000}"/>
    <cellStyle name="一般 177" xfId="78" xr:uid="{00000000-0005-0000-0000-000068000000}"/>
    <cellStyle name="一般 178" xfId="79" xr:uid="{00000000-0005-0000-0000-000069000000}"/>
    <cellStyle name="一般 179" xfId="80" xr:uid="{00000000-0005-0000-0000-00006A000000}"/>
    <cellStyle name="一般 18" xfId="557" xr:uid="{00000000-0005-0000-0000-00006B000000}"/>
    <cellStyle name="一般 180" xfId="81" xr:uid="{00000000-0005-0000-0000-00006C000000}"/>
    <cellStyle name="一般 181" xfId="82" xr:uid="{00000000-0005-0000-0000-00006D000000}"/>
    <cellStyle name="一般 182" xfId="83" xr:uid="{00000000-0005-0000-0000-00006E000000}"/>
    <cellStyle name="一般 183" xfId="84" xr:uid="{00000000-0005-0000-0000-00006F000000}"/>
    <cellStyle name="一般 184" xfId="85" xr:uid="{00000000-0005-0000-0000-000070000000}"/>
    <cellStyle name="一般 185" xfId="86" xr:uid="{00000000-0005-0000-0000-000071000000}"/>
    <cellStyle name="一般 186" xfId="87" xr:uid="{00000000-0005-0000-0000-000072000000}"/>
    <cellStyle name="一般 187" xfId="88" xr:uid="{00000000-0005-0000-0000-000073000000}"/>
    <cellStyle name="一般 188" xfId="89" xr:uid="{00000000-0005-0000-0000-000074000000}"/>
    <cellStyle name="一般 189" xfId="90" xr:uid="{00000000-0005-0000-0000-000075000000}"/>
    <cellStyle name="一般 19" xfId="558" xr:uid="{00000000-0005-0000-0000-000076000000}"/>
    <cellStyle name="一般 190" xfId="91" xr:uid="{00000000-0005-0000-0000-000077000000}"/>
    <cellStyle name="一般 191" xfId="92" xr:uid="{00000000-0005-0000-0000-000078000000}"/>
    <cellStyle name="一般 192" xfId="93" xr:uid="{00000000-0005-0000-0000-000079000000}"/>
    <cellStyle name="一般 193" xfId="94" xr:uid="{00000000-0005-0000-0000-00007A000000}"/>
    <cellStyle name="一般 194" xfId="95" xr:uid="{00000000-0005-0000-0000-00007B000000}"/>
    <cellStyle name="一般 195" xfId="96" xr:uid="{00000000-0005-0000-0000-00007C000000}"/>
    <cellStyle name="一般 196" xfId="97" xr:uid="{00000000-0005-0000-0000-00007D000000}"/>
    <cellStyle name="一般 197" xfId="98" xr:uid="{00000000-0005-0000-0000-00007E000000}"/>
    <cellStyle name="一般 198" xfId="99" xr:uid="{00000000-0005-0000-0000-00007F000000}"/>
    <cellStyle name="一般 199" xfId="100" xr:uid="{00000000-0005-0000-0000-000080000000}"/>
    <cellStyle name="一般 2" xfId="101" xr:uid="{00000000-0005-0000-0000-000081000000}"/>
    <cellStyle name="一般 2 2" xfId="526" xr:uid="{00000000-0005-0000-0000-000082000000}"/>
    <cellStyle name="一般 2 2 2" xfId="600" xr:uid="{B206D973-F56D-45ED-951B-842A4AB9675A}"/>
    <cellStyle name="一般 20" xfId="564" xr:uid="{00000000-0005-0000-0000-000083000000}"/>
    <cellStyle name="一般 200" xfId="102" xr:uid="{00000000-0005-0000-0000-000084000000}"/>
    <cellStyle name="一般 201" xfId="103" xr:uid="{00000000-0005-0000-0000-000085000000}"/>
    <cellStyle name="一般 202" xfId="104" xr:uid="{00000000-0005-0000-0000-000086000000}"/>
    <cellStyle name="一般 203" xfId="105" xr:uid="{00000000-0005-0000-0000-000087000000}"/>
    <cellStyle name="一般 204" xfId="106" xr:uid="{00000000-0005-0000-0000-000088000000}"/>
    <cellStyle name="一般 205" xfId="107" xr:uid="{00000000-0005-0000-0000-000089000000}"/>
    <cellStyle name="一般 206" xfId="108" xr:uid="{00000000-0005-0000-0000-00008A000000}"/>
    <cellStyle name="一般 207" xfId="109" xr:uid="{00000000-0005-0000-0000-00008B000000}"/>
    <cellStyle name="一般 208" xfId="110" xr:uid="{00000000-0005-0000-0000-00008C000000}"/>
    <cellStyle name="一般 209" xfId="111" xr:uid="{00000000-0005-0000-0000-00008D000000}"/>
    <cellStyle name="一般 21" xfId="565" xr:uid="{00000000-0005-0000-0000-00008E000000}"/>
    <cellStyle name="一般 210" xfId="112" xr:uid="{00000000-0005-0000-0000-00008F000000}"/>
    <cellStyle name="一般 211" xfId="113" xr:uid="{00000000-0005-0000-0000-000090000000}"/>
    <cellStyle name="一般 212" xfId="114" xr:uid="{00000000-0005-0000-0000-000091000000}"/>
    <cellStyle name="一般 213" xfId="115" xr:uid="{00000000-0005-0000-0000-000092000000}"/>
    <cellStyle name="一般 214" xfId="116" xr:uid="{00000000-0005-0000-0000-000093000000}"/>
    <cellStyle name="一般 215" xfId="117" xr:uid="{00000000-0005-0000-0000-000094000000}"/>
    <cellStyle name="一般 216" xfId="118" xr:uid="{00000000-0005-0000-0000-000095000000}"/>
    <cellStyle name="一般 217" xfId="119" xr:uid="{00000000-0005-0000-0000-000096000000}"/>
    <cellStyle name="一般 218" xfId="120" xr:uid="{00000000-0005-0000-0000-000097000000}"/>
    <cellStyle name="一般 219" xfId="121" xr:uid="{00000000-0005-0000-0000-000098000000}"/>
    <cellStyle name="一般 22" xfId="566" xr:uid="{0DD9AA2D-01E0-4AC3-8AC5-F3A434097668}"/>
    <cellStyle name="一般 220" xfId="122" xr:uid="{00000000-0005-0000-0000-000099000000}"/>
    <cellStyle name="一般 221" xfId="123" xr:uid="{00000000-0005-0000-0000-00009A000000}"/>
    <cellStyle name="一般 222" xfId="124" xr:uid="{00000000-0005-0000-0000-00009B000000}"/>
    <cellStyle name="一般 223" xfId="125" xr:uid="{00000000-0005-0000-0000-00009C000000}"/>
    <cellStyle name="一般 224" xfId="126" xr:uid="{00000000-0005-0000-0000-00009D000000}"/>
    <cellStyle name="一般 225" xfId="127" xr:uid="{00000000-0005-0000-0000-00009E000000}"/>
    <cellStyle name="一般 226" xfId="128" xr:uid="{00000000-0005-0000-0000-00009F000000}"/>
    <cellStyle name="一般 227" xfId="129" xr:uid="{00000000-0005-0000-0000-0000A0000000}"/>
    <cellStyle name="一般 228" xfId="130" xr:uid="{00000000-0005-0000-0000-0000A1000000}"/>
    <cellStyle name="一般 229" xfId="131" xr:uid="{00000000-0005-0000-0000-0000A2000000}"/>
    <cellStyle name="一般 23" xfId="568" xr:uid="{B8FE9090-DEE8-4D6D-9F3E-73D789C81F0C}"/>
    <cellStyle name="一般 230" xfId="132" xr:uid="{00000000-0005-0000-0000-0000A3000000}"/>
    <cellStyle name="一般 231" xfId="133" xr:uid="{00000000-0005-0000-0000-0000A4000000}"/>
    <cellStyle name="一般 232" xfId="134" xr:uid="{00000000-0005-0000-0000-0000A5000000}"/>
    <cellStyle name="一般 233" xfId="135" xr:uid="{00000000-0005-0000-0000-0000A6000000}"/>
    <cellStyle name="一般 234" xfId="136" xr:uid="{00000000-0005-0000-0000-0000A7000000}"/>
    <cellStyle name="一般 235" xfId="137" xr:uid="{00000000-0005-0000-0000-0000A8000000}"/>
    <cellStyle name="一般 236" xfId="138" xr:uid="{00000000-0005-0000-0000-0000A9000000}"/>
    <cellStyle name="一般 237" xfId="139" xr:uid="{00000000-0005-0000-0000-0000AA000000}"/>
    <cellStyle name="一般 238" xfId="140" xr:uid="{00000000-0005-0000-0000-0000AB000000}"/>
    <cellStyle name="一般 239" xfId="141" xr:uid="{00000000-0005-0000-0000-0000AC000000}"/>
    <cellStyle name="一般 24" xfId="574" xr:uid="{9FFC8F56-B88F-44C2-A191-78A5BAD6BF03}"/>
    <cellStyle name="一般 240" xfId="142" xr:uid="{00000000-0005-0000-0000-0000AD000000}"/>
    <cellStyle name="一般 241" xfId="143" xr:uid="{00000000-0005-0000-0000-0000AE000000}"/>
    <cellStyle name="一般 242" xfId="144" xr:uid="{00000000-0005-0000-0000-0000AF000000}"/>
    <cellStyle name="一般 243" xfId="145" xr:uid="{00000000-0005-0000-0000-0000B0000000}"/>
    <cellStyle name="一般 244" xfId="146" xr:uid="{00000000-0005-0000-0000-0000B1000000}"/>
    <cellStyle name="一般 245" xfId="147" xr:uid="{00000000-0005-0000-0000-0000B2000000}"/>
    <cellStyle name="一般 246" xfId="148" xr:uid="{00000000-0005-0000-0000-0000B3000000}"/>
    <cellStyle name="一般 247" xfId="149" xr:uid="{00000000-0005-0000-0000-0000B4000000}"/>
    <cellStyle name="一般 248" xfId="150" xr:uid="{00000000-0005-0000-0000-0000B5000000}"/>
    <cellStyle name="一般 249" xfId="151" xr:uid="{00000000-0005-0000-0000-0000B6000000}"/>
    <cellStyle name="一般 25" xfId="567" xr:uid="{384006BA-5307-4448-BD74-4B00C03151F8}"/>
    <cellStyle name="一般 250" xfId="152" xr:uid="{00000000-0005-0000-0000-0000B7000000}"/>
    <cellStyle name="一般 251" xfId="153" xr:uid="{00000000-0005-0000-0000-0000B8000000}"/>
    <cellStyle name="一般 252" xfId="154" xr:uid="{00000000-0005-0000-0000-0000B9000000}"/>
    <cellStyle name="一般 253" xfId="155" xr:uid="{00000000-0005-0000-0000-0000BA000000}"/>
    <cellStyle name="一般 254" xfId="156" xr:uid="{00000000-0005-0000-0000-0000BB000000}"/>
    <cellStyle name="一般 255" xfId="157" xr:uid="{00000000-0005-0000-0000-0000BC000000}"/>
    <cellStyle name="一般 256" xfId="158" xr:uid="{00000000-0005-0000-0000-0000BD000000}"/>
    <cellStyle name="一般 257" xfId="159" xr:uid="{00000000-0005-0000-0000-0000BE000000}"/>
    <cellStyle name="一般 258" xfId="160" xr:uid="{00000000-0005-0000-0000-0000BF000000}"/>
    <cellStyle name="一般 259" xfId="161" xr:uid="{00000000-0005-0000-0000-0000C0000000}"/>
    <cellStyle name="一般 26" xfId="584" xr:uid="{032C2B04-7369-4AA0-B7A7-009D7F1A4121}"/>
    <cellStyle name="一般 260" xfId="162" xr:uid="{00000000-0005-0000-0000-0000C1000000}"/>
    <cellStyle name="一般 261" xfId="163" xr:uid="{00000000-0005-0000-0000-0000C2000000}"/>
    <cellStyle name="一般 262" xfId="164" xr:uid="{00000000-0005-0000-0000-0000C3000000}"/>
    <cellStyle name="一般 263" xfId="165" xr:uid="{00000000-0005-0000-0000-0000C4000000}"/>
    <cellStyle name="一般 264" xfId="166" xr:uid="{00000000-0005-0000-0000-0000C5000000}"/>
    <cellStyle name="一般 265" xfId="167" xr:uid="{00000000-0005-0000-0000-0000C6000000}"/>
    <cellStyle name="一般 266" xfId="168" xr:uid="{00000000-0005-0000-0000-0000C7000000}"/>
    <cellStyle name="一般 267" xfId="169" xr:uid="{00000000-0005-0000-0000-0000C8000000}"/>
    <cellStyle name="一般 268" xfId="170" xr:uid="{00000000-0005-0000-0000-0000C9000000}"/>
    <cellStyle name="一般 269" xfId="171" xr:uid="{00000000-0005-0000-0000-0000CA000000}"/>
    <cellStyle name="一般 27" xfId="585" xr:uid="{0E0E1E92-595B-42B0-8D41-FE2F312AC010}"/>
    <cellStyle name="一般 270" xfId="172" xr:uid="{00000000-0005-0000-0000-0000CB000000}"/>
    <cellStyle name="一般 271" xfId="173" xr:uid="{00000000-0005-0000-0000-0000CC000000}"/>
    <cellStyle name="一般 272" xfId="174" xr:uid="{00000000-0005-0000-0000-0000CD000000}"/>
    <cellStyle name="一般 273" xfId="175" xr:uid="{00000000-0005-0000-0000-0000CE000000}"/>
    <cellStyle name="一般 274" xfId="176" xr:uid="{00000000-0005-0000-0000-0000CF000000}"/>
    <cellStyle name="一般 275" xfId="177" xr:uid="{00000000-0005-0000-0000-0000D0000000}"/>
    <cellStyle name="一般 276" xfId="178" xr:uid="{00000000-0005-0000-0000-0000D1000000}"/>
    <cellStyle name="一般 277" xfId="179" xr:uid="{00000000-0005-0000-0000-0000D2000000}"/>
    <cellStyle name="一般 278" xfId="180" xr:uid="{00000000-0005-0000-0000-0000D3000000}"/>
    <cellStyle name="一般 279" xfId="181" xr:uid="{00000000-0005-0000-0000-0000D4000000}"/>
    <cellStyle name="一般 28" xfId="182" xr:uid="{00000000-0005-0000-0000-0000D5000000}"/>
    <cellStyle name="一般 280" xfId="183" xr:uid="{00000000-0005-0000-0000-0000D6000000}"/>
    <cellStyle name="一般 281" xfId="184" xr:uid="{00000000-0005-0000-0000-0000D7000000}"/>
    <cellStyle name="一般 282" xfId="185" xr:uid="{00000000-0005-0000-0000-0000D8000000}"/>
    <cellStyle name="一般 283" xfId="186" xr:uid="{00000000-0005-0000-0000-0000D9000000}"/>
    <cellStyle name="一般 284" xfId="187" xr:uid="{00000000-0005-0000-0000-0000DA000000}"/>
    <cellStyle name="一般 285" xfId="188" xr:uid="{00000000-0005-0000-0000-0000DB000000}"/>
    <cellStyle name="一般 286" xfId="189" xr:uid="{00000000-0005-0000-0000-0000DC000000}"/>
    <cellStyle name="一般 287" xfId="190" xr:uid="{00000000-0005-0000-0000-0000DD000000}"/>
    <cellStyle name="一般 288" xfId="191" xr:uid="{00000000-0005-0000-0000-0000DE000000}"/>
    <cellStyle name="一般 289" xfId="192" xr:uid="{00000000-0005-0000-0000-0000DF000000}"/>
    <cellStyle name="一般 29" xfId="193" xr:uid="{00000000-0005-0000-0000-0000E0000000}"/>
    <cellStyle name="一般 290" xfId="194" xr:uid="{00000000-0005-0000-0000-0000E1000000}"/>
    <cellStyle name="一般 291" xfId="195" xr:uid="{00000000-0005-0000-0000-0000E2000000}"/>
    <cellStyle name="一般 292" xfId="196" xr:uid="{00000000-0005-0000-0000-0000E3000000}"/>
    <cellStyle name="一般 293" xfId="197" xr:uid="{00000000-0005-0000-0000-0000E4000000}"/>
    <cellStyle name="一般 294" xfId="198" xr:uid="{00000000-0005-0000-0000-0000E5000000}"/>
    <cellStyle name="一般 295" xfId="199" xr:uid="{00000000-0005-0000-0000-0000E6000000}"/>
    <cellStyle name="一般 296" xfId="200" xr:uid="{00000000-0005-0000-0000-0000E7000000}"/>
    <cellStyle name="一般 297" xfId="201" xr:uid="{00000000-0005-0000-0000-0000E8000000}"/>
    <cellStyle name="一般 298" xfId="202" xr:uid="{00000000-0005-0000-0000-0000E9000000}"/>
    <cellStyle name="一般 299" xfId="203" xr:uid="{00000000-0005-0000-0000-0000EA000000}"/>
    <cellStyle name="一般 3" xfId="204" xr:uid="{00000000-0005-0000-0000-0000EB000000}"/>
    <cellStyle name="一般 3 2" xfId="465" xr:uid="{00000000-0005-0000-0000-0000EC000000}"/>
    <cellStyle name="一般 3 3" xfId="532" xr:uid="{00000000-0005-0000-0000-0000ED000000}"/>
    <cellStyle name="一般 3 4" xfId="575" xr:uid="{E267EEFF-48D2-4D3B-927D-D7670F7EE61B}"/>
    <cellStyle name="一般 30" xfId="205" xr:uid="{00000000-0005-0000-0000-0000EE000000}"/>
    <cellStyle name="一般 300" xfId="206" xr:uid="{00000000-0005-0000-0000-0000EF000000}"/>
    <cellStyle name="一般 301" xfId="207" xr:uid="{00000000-0005-0000-0000-0000F0000000}"/>
    <cellStyle name="一般 302" xfId="208" xr:uid="{00000000-0005-0000-0000-0000F1000000}"/>
    <cellStyle name="一般 303" xfId="209" xr:uid="{00000000-0005-0000-0000-0000F2000000}"/>
    <cellStyle name="一般 304" xfId="210" xr:uid="{00000000-0005-0000-0000-0000F3000000}"/>
    <cellStyle name="一般 305" xfId="211" xr:uid="{00000000-0005-0000-0000-0000F4000000}"/>
    <cellStyle name="一般 306" xfId="212" xr:uid="{00000000-0005-0000-0000-0000F5000000}"/>
    <cellStyle name="一般 307" xfId="213" xr:uid="{00000000-0005-0000-0000-0000F6000000}"/>
    <cellStyle name="一般 308" xfId="214" xr:uid="{00000000-0005-0000-0000-0000F7000000}"/>
    <cellStyle name="一般 309" xfId="215" xr:uid="{00000000-0005-0000-0000-0000F8000000}"/>
    <cellStyle name="一般 31" xfId="216" xr:uid="{00000000-0005-0000-0000-0000F9000000}"/>
    <cellStyle name="一般 310" xfId="217" xr:uid="{00000000-0005-0000-0000-0000FA000000}"/>
    <cellStyle name="一般 311" xfId="218" xr:uid="{00000000-0005-0000-0000-0000FB000000}"/>
    <cellStyle name="一般 312" xfId="219" xr:uid="{00000000-0005-0000-0000-0000FC000000}"/>
    <cellStyle name="一般 313" xfId="220" xr:uid="{00000000-0005-0000-0000-0000FD000000}"/>
    <cellStyle name="一般 314" xfId="221" xr:uid="{00000000-0005-0000-0000-0000FE000000}"/>
    <cellStyle name="一般 315" xfId="222" xr:uid="{00000000-0005-0000-0000-0000FF000000}"/>
    <cellStyle name="一般 316" xfId="223" xr:uid="{00000000-0005-0000-0000-000000010000}"/>
    <cellStyle name="一般 317" xfId="224" xr:uid="{00000000-0005-0000-0000-000001010000}"/>
    <cellStyle name="一般 318" xfId="225" xr:uid="{00000000-0005-0000-0000-000002010000}"/>
    <cellStyle name="一般 319" xfId="226" xr:uid="{00000000-0005-0000-0000-000003010000}"/>
    <cellStyle name="一般 32" xfId="227" xr:uid="{00000000-0005-0000-0000-000004010000}"/>
    <cellStyle name="一般 320" xfId="228" xr:uid="{00000000-0005-0000-0000-000005010000}"/>
    <cellStyle name="一般 321" xfId="229" xr:uid="{00000000-0005-0000-0000-000006010000}"/>
    <cellStyle name="一般 322" xfId="230" xr:uid="{00000000-0005-0000-0000-000007010000}"/>
    <cellStyle name="一般 323" xfId="231" xr:uid="{00000000-0005-0000-0000-000008010000}"/>
    <cellStyle name="一般 324" xfId="232" xr:uid="{00000000-0005-0000-0000-000009010000}"/>
    <cellStyle name="一般 325" xfId="233" xr:uid="{00000000-0005-0000-0000-00000A010000}"/>
    <cellStyle name="一般 326" xfId="234" xr:uid="{00000000-0005-0000-0000-00000B010000}"/>
    <cellStyle name="一般 327" xfId="235" xr:uid="{00000000-0005-0000-0000-00000C010000}"/>
    <cellStyle name="一般 328" xfId="236" xr:uid="{00000000-0005-0000-0000-00000D010000}"/>
    <cellStyle name="一般 329" xfId="237" xr:uid="{00000000-0005-0000-0000-00000E010000}"/>
    <cellStyle name="一般 33" xfId="238" xr:uid="{00000000-0005-0000-0000-00000F010000}"/>
    <cellStyle name="一般 330" xfId="239" xr:uid="{00000000-0005-0000-0000-000010010000}"/>
    <cellStyle name="一般 331" xfId="240" xr:uid="{00000000-0005-0000-0000-000011010000}"/>
    <cellStyle name="一般 332" xfId="241" xr:uid="{00000000-0005-0000-0000-000012010000}"/>
    <cellStyle name="一般 333" xfId="242" xr:uid="{00000000-0005-0000-0000-000013010000}"/>
    <cellStyle name="一般 334" xfId="243" xr:uid="{00000000-0005-0000-0000-000014010000}"/>
    <cellStyle name="一般 335" xfId="244" xr:uid="{00000000-0005-0000-0000-000015010000}"/>
    <cellStyle name="一般 336" xfId="245" xr:uid="{00000000-0005-0000-0000-000016010000}"/>
    <cellStyle name="一般 337" xfId="246" xr:uid="{00000000-0005-0000-0000-000017010000}"/>
    <cellStyle name="一般 338" xfId="247" xr:uid="{00000000-0005-0000-0000-000018010000}"/>
    <cellStyle name="一般 339" xfId="248" xr:uid="{00000000-0005-0000-0000-000019010000}"/>
    <cellStyle name="一般 34" xfId="249" xr:uid="{00000000-0005-0000-0000-00001A010000}"/>
    <cellStyle name="一般 340" xfId="250" xr:uid="{00000000-0005-0000-0000-00001B010000}"/>
    <cellStyle name="一般 341" xfId="251" xr:uid="{00000000-0005-0000-0000-00001C010000}"/>
    <cellStyle name="一般 342" xfId="252" xr:uid="{00000000-0005-0000-0000-00001D010000}"/>
    <cellStyle name="一般 343" xfId="253" xr:uid="{00000000-0005-0000-0000-00001E010000}"/>
    <cellStyle name="一般 344" xfId="254" xr:uid="{00000000-0005-0000-0000-00001F010000}"/>
    <cellStyle name="一般 345" xfId="255" xr:uid="{00000000-0005-0000-0000-000020010000}"/>
    <cellStyle name="一般 346" xfId="256" xr:uid="{00000000-0005-0000-0000-000021010000}"/>
    <cellStyle name="一般 347" xfId="257" xr:uid="{00000000-0005-0000-0000-000022010000}"/>
    <cellStyle name="一般 348" xfId="258" xr:uid="{00000000-0005-0000-0000-000023010000}"/>
    <cellStyle name="一般 349" xfId="259" xr:uid="{00000000-0005-0000-0000-000024010000}"/>
    <cellStyle name="一般 35" xfId="260" xr:uid="{00000000-0005-0000-0000-000025010000}"/>
    <cellStyle name="一般 350" xfId="261" xr:uid="{00000000-0005-0000-0000-000026010000}"/>
    <cellStyle name="一般 351" xfId="262" xr:uid="{00000000-0005-0000-0000-000027010000}"/>
    <cellStyle name="一般 352" xfId="263" xr:uid="{00000000-0005-0000-0000-000028010000}"/>
    <cellStyle name="一般 353" xfId="264" xr:uid="{00000000-0005-0000-0000-000029010000}"/>
    <cellStyle name="一般 354" xfId="265" xr:uid="{00000000-0005-0000-0000-00002A010000}"/>
    <cellStyle name="一般 355" xfId="266" xr:uid="{00000000-0005-0000-0000-00002B010000}"/>
    <cellStyle name="一般 356" xfId="267" xr:uid="{00000000-0005-0000-0000-00002C010000}"/>
    <cellStyle name="一般 357" xfId="268" xr:uid="{00000000-0005-0000-0000-00002D010000}"/>
    <cellStyle name="一般 358" xfId="269" xr:uid="{00000000-0005-0000-0000-00002E010000}"/>
    <cellStyle name="一般 359" xfId="270" xr:uid="{00000000-0005-0000-0000-00002F010000}"/>
    <cellStyle name="一般 36" xfId="271" xr:uid="{00000000-0005-0000-0000-000030010000}"/>
    <cellStyle name="一般 360" xfId="272" xr:uid="{00000000-0005-0000-0000-000031010000}"/>
    <cellStyle name="一般 361" xfId="273" xr:uid="{00000000-0005-0000-0000-000032010000}"/>
    <cellStyle name="一般 362" xfId="274" xr:uid="{00000000-0005-0000-0000-000033010000}"/>
    <cellStyle name="一般 363" xfId="275" xr:uid="{00000000-0005-0000-0000-000034010000}"/>
    <cellStyle name="一般 364" xfId="276" xr:uid="{00000000-0005-0000-0000-000035010000}"/>
    <cellStyle name="一般 365" xfId="277" xr:uid="{00000000-0005-0000-0000-000036010000}"/>
    <cellStyle name="一般 366" xfId="278" xr:uid="{00000000-0005-0000-0000-000037010000}"/>
    <cellStyle name="一般 367" xfId="279" xr:uid="{00000000-0005-0000-0000-000038010000}"/>
    <cellStyle name="一般 368" xfId="280" xr:uid="{00000000-0005-0000-0000-000039010000}"/>
    <cellStyle name="一般 369" xfId="281" xr:uid="{00000000-0005-0000-0000-00003A010000}"/>
    <cellStyle name="一般 37" xfId="282" xr:uid="{00000000-0005-0000-0000-00003B010000}"/>
    <cellStyle name="一般 370" xfId="283" xr:uid="{00000000-0005-0000-0000-00003C010000}"/>
    <cellStyle name="一般 371" xfId="284" xr:uid="{00000000-0005-0000-0000-00003D010000}"/>
    <cellStyle name="一般 372" xfId="285" xr:uid="{00000000-0005-0000-0000-00003E010000}"/>
    <cellStyle name="一般 373" xfId="286" xr:uid="{00000000-0005-0000-0000-00003F010000}"/>
    <cellStyle name="一般 374" xfId="287" xr:uid="{00000000-0005-0000-0000-000040010000}"/>
    <cellStyle name="一般 375" xfId="288" xr:uid="{00000000-0005-0000-0000-000041010000}"/>
    <cellStyle name="一般 376" xfId="289" xr:uid="{00000000-0005-0000-0000-000042010000}"/>
    <cellStyle name="一般 377" xfId="290" xr:uid="{00000000-0005-0000-0000-000043010000}"/>
    <cellStyle name="一般 378" xfId="291" xr:uid="{00000000-0005-0000-0000-000044010000}"/>
    <cellStyle name="一般 379" xfId="292" xr:uid="{00000000-0005-0000-0000-000045010000}"/>
    <cellStyle name="一般 38" xfId="293" xr:uid="{00000000-0005-0000-0000-000046010000}"/>
    <cellStyle name="一般 380" xfId="294" xr:uid="{00000000-0005-0000-0000-000047010000}"/>
    <cellStyle name="一般 381" xfId="295" xr:uid="{00000000-0005-0000-0000-000048010000}"/>
    <cellStyle name="一般 382" xfId="296" xr:uid="{00000000-0005-0000-0000-000049010000}"/>
    <cellStyle name="一般 383" xfId="297" xr:uid="{00000000-0005-0000-0000-00004A010000}"/>
    <cellStyle name="一般 384" xfId="298" xr:uid="{00000000-0005-0000-0000-00004B010000}"/>
    <cellStyle name="一般 385" xfId="299" xr:uid="{00000000-0005-0000-0000-00004C010000}"/>
    <cellStyle name="一般 386" xfId="300" xr:uid="{00000000-0005-0000-0000-00004D010000}"/>
    <cellStyle name="一般 387" xfId="301" xr:uid="{00000000-0005-0000-0000-00004E010000}"/>
    <cellStyle name="一般 388" xfId="302" xr:uid="{00000000-0005-0000-0000-00004F010000}"/>
    <cellStyle name="一般 389" xfId="303" xr:uid="{00000000-0005-0000-0000-000050010000}"/>
    <cellStyle name="一般 39" xfId="304" xr:uid="{00000000-0005-0000-0000-000051010000}"/>
    <cellStyle name="一般 390" xfId="305" xr:uid="{00000000-0005-0000-0000-000052010000}"/>
    <cellStyle name="一般 391" xfId="306" xr:uid="{00000000-0005-0000-0000-000053010000}"/>
    <cellStyle name="一般 392" xfId="307" xr:uid="{00000000-0005-0000-0000-000054010000}"/>
    <cellStyle name="一般 393" xfId="308" xr:uid="{00000000-0005-0000-0000-000055010000}"/>
    <cellStyle name="一般 394" xfId="309" xr:uid="{00000000-0005-0000-0000-000056010000}"/>
    <cellStyle name="一般 395" xfId="310" xr:uid="{00000000-0005-0000-0000-000057010000}"/>
    <cellStyle name="一般 396" xfId="311" xr:uid="{00000000-0005-0000-0000-000058010000}"/>
    <cellStyle name="一般 397" xfId="312" xr:uid="{00000000-0005-0000-0000-000059010000}"/>
    <cellStyle name="一般 398" xfId="313" xr:uid="{00000000-0005-0000-0000-00005A010000}"/>
    <cellStyle name="一般 399" xfId="314" xr:uid="{00000000-0005-0000-0000-00005B010000}"/>
    <cellStyle name="一般 4" xfId="466" xr:uid="{00000000-0005-0000-0000-00005C010000}"/>
    <cellStyle name="一般 40" xfId="315" xr:uid="{00000000-0005-0000-0000-00005D010000}"/>
    <cellStyle name="一般 400" xfId="316" xr:uid="{00000000-0005-0000-0000-00005E010000}"/>
    <cellStyle name="一般 401" xfId="317" xr:uid="{00000000-0005-0000-0000-00005F010000}"/>
    <cellStyle name="一般 402" xfId="318" xr:uid="{00000000-0005-0000-0000-000060010000}"/>
    <cellStyle name="一般 403" xfId="319" xr:uid="{00000000-0005-0000-0000-000061010000}"/>
    <cellStyle name="一般 404" xfId="320" xr:uid="{00000000-0005-0000-0000-000062010000}"/>
    <cellStyle name="一般 405" xfId="321" xr:uid="{00000000-0005-0000-0000-000063010000}"/>
    <cellStyle name="一般 406" xfId="322" xr:uid="{00000000-0005-0000-0000-000064010000}"/>
    <cellStyle name="一般 407" xfId="323" xr:uid="{00000000-0005-0000-0000-000065010000}"/>
    <cellStyle name="一般 408" xfId="324" xr:uid="{00000000-0005-0000-0000-000066010000}"/>
    <cellStyle name="一般 409" xfId="325" xr:uid="{00000000-0005-0000-0000-000067010000}"/>
    <cellStyle name="一般 41" xfId="326" xr:uid="{00000000-0005-0000-0000-000068010000}"/>
    <cellStyle name="一般 410" xfId="327" xr:uid="{00000000-0005-0000-0000-000069010000}"/>
    <cellStyle name="一般 411" xfId="328" xr:uid="{00000000-0005-0000-0000-00006A010000}"/>
    <cellStyle name="一般 412" xfId="329" xr:uid="{00000000-0005-0000-0000-00006B010000}"/>
    <cellStyle name="一般 413" xfId="330" xr:uid="{00000000-0005-0000-0000-00006C010000}"/>
    <cellStyle name="一般 414" xfId="331" xr:uid="{00000000-0005-0000-0000-00006D010000}"/>
    <cellStyle name="一般 415" xfId="332" xr:uid="{00000000-0005-0000-0000-00006E010000}"/>
    <cellStyle name="一般 416" xfId="333" xr:uid="{00000000-0005-0000-0000-00006F010000}"/>
    <cellStyle name="一般 417" xfId="334" xr:uid="{00000000-0005-0000-0000-000070010000}"/>
    <cellStyle name="一般 418" xfId="335" xr:uid="{00000000-0005-0000-0000-000071010000}"/>
    <cellStyle name="一般 419" xfId="336" xr:uid="{00000000-0005-0000-0000-000072010000}"/>
    <cellStyle name="一般 42" xfId="337" xr:uid="{00000000-0005-0000-0000-000073010000}"/>
    <cellStyle name="一般 420" xfId="338" xr:uid="{00000000-0005-0000-0000-000074010000}"/>
    <cellStyle name="一般 421" xfId="339" xr:uid="{00000000-0005-0000-0000-000075010000}"/>
    <cellStyle name="一般 422" xfId="340" xr:uid="{00000000-0005-0000-0000-000076010000}"/>
    <cellStyle name="一般 423" xfId="341" xr:uid="{00000000-0005-0000-0000-000077010000}"/>
    <cellStyle name="一般 424" xfId="342" xr:uid="{00000000-0005-0000-0000-000078010000}"/>
    <cellStyle name="一般 425" xfId="343" xr:uid="{00000000-0005-0000-0000-000079010000}"/>
    <cellStyle name="一般 426" xfId="344" xr:uid="{00000000-0005-0000-0000-00007A010000}"/>
    <cellStyle name="一般 427" xfId="345" xr:uid="{00000000-0005-0000-0000-00007B010000}"/>
    <cellStyle name="一般 428" xfId="346" xr:uid="{00000000-0005-0000-0000-00007C010000}"/>
    <cellStyle name="一般 429" xfId="347" xr:uid="{00000000-0005-0000-0000-00007D010000}"/>
    <cellStyle name="一般 43" xfId="348" xr:uid="{00000000-0005-0000-0000-00007E010000}"/>
    <cellStyle name="一般 430" xfId="349" xr:uid="{00000000-0005-0000-0000-00007F010000}"/>
    <cellStyle name="一般 431" xfId="350" xr:uid="{00000000-0005-0000-0000-000080010000}"/>
    <cellStyle name="一般 432" xfId="351" xr:uid="{00000000-0005-0000-0000-000081010000}"/>
    <cellStyle name="一般 433" xfId="352" xr:uid="{00000000-0005-0000-0000-000082010000}"/>
    <cellStyle name="一般 434" xfId="353" xr:uid="{00000000-0005-0000-0000-000083010000}"/>
    <cellStyle name="一般 435" xfId="354" xr:uid="{00000000-0005-0000-0000-000084010000}"/>
    <cellStyle name="一般 436" xfId="355" xr:uid="{00000000-0005-0000-0000-000085010000}"/>
    <cellStyle name="一般 437" xfId="356" xr:uid="{00000000-0005-0000-0000-000086010000}"/>
    <cellStyle name="一般 438" xfId="357" xr:uid="{00000000-0005-0000-0000-000087010000}"/>
    <cellStyle name="一般 439" xfId="358" xr:uid="{00000000-0005-0000-0000-000088010000}"/>
    <cellStyle name="一般 44" xfId="359" xr:uid="{00000000-0005-0000-0000-000089010000}"/>
    <cellStyle name="一般 440" xfId="360" xr:uid="{00000000-0005-0000-0000-00008A010000}"/>
    <cellStyle name="一般 441" xfId="361" xr:uid="{00000000-0005-0000-0000-00008B010000}"/>
    <cellStyle name="一般 442" xfId="362" xr:uid="{00000000-0005-0000-0000-00008C010000}"/>
    <cellStyle name="一般 443" xfId="363" xr:uid="{00000000-0005-0000-0000-00008D010000}"/>
    <cellStyle name="一般 444" xfId="364" xr:uid="{00000000-0005-0000-0000-00008E010000}"/>
    <cellStyle name="一般 445" xfId="365" xr:uid="{00000000-0005-0000-0000-00008F010000}"/>
    <cellStyle name="一般 446" xfId="366" xr:uid="{00000000-0005-0000-0000-000090010000}"/>
    <cellStyle name="一般 447" xfId="367" xr:uid="{00000000-0005-0000-0000-000091010000}"/>
    <cellStyle name="一般 448" xfId="368" xr:uid="{00000000-0005-0000-0000-000092010000}"/>
    <cellStyle name="一般 449" xfId="369" xr:uid="{00000000-0005-0000-0000-000093010000}"/>
    <cellStyle name="一般 45" xfId="370" xr:uid="{00000000-0005-0000-0000-000094010000}"/>
    <cellStyle name="一般 450" xfId="371" xr:uid="{00000000-0005-0000-0000-000095010000}"/>
    <cellStyle name="一般 451" xfId="372" xr:uid="{00000000-0005-0000-0000-000096010000}"/>
    <cellStyle name="一般 452" xfId="373" xr:uid="{00000000-0005-0000-0000-000097010000}"/>
    <cellStyle name="一般 453" xfId="374" xr:uid="{00000000-0005-0000-0000-000098010000}"/>
    <cellStyle name="一般 454" xfId="375" xr:uid="{00000000-0005-0000-0000-000099010000}"/>
    <cellStyle name="一般 455" xfId="376" xr:uid="{00000000-0005-0000-0000-00009A010000}"/>
    <cellStyle name="一般 456" xfId="377" xr:uid="{00000000-0005-0000-0000-00009B010000}"/>
    <cellStyle name="一般 457" xfId="378" xr:uid="{00000000-0005-0000-0000-00009C010000}"/>
    <cellStyle name="一般 458" xfId="379" xr:uid="{00000000-0005-0000-0000-00009D010000}"/>
    <cellStyle name="一般 459" xfId="380" xr:uid="{00000000-0005-0000-0000-00009E010000}"/>
    <cellStyle name="一般 46" xfId="381" xr:uid="{00000000-0005-0000-0000-00009F010000}"/>
    <cellStyle name="一般 460" xfId="382" xr:uid="{00000000-0005-0000-0000-0000A0010000}"/>
    <cellStyle name="一般 461" xfId="383" xr:uid="{00000000-0005-0000-0000-0000A1010000}"/>
    <cellStyle name="一般 462" xfId="384" xr:uid="{00000000-0005-0000-0000-0000A2010000}"/>
    <cellStyle name="一般 463" xfId="385" xr:uid="{00000000-0005-0000-0000-0000A3010000}"/>
    <cellStyle name="一般 464" xfId="386" xr:uid="{00000000-0005-0000-0000-0000A4010000}"/>
    <cellStyle name="一般 465" xfId="387" xr:uid="{00000000-0005-0000-0000-0000A5010000}"/>
    <cellStyle name="一般 466" xfId="388" xr:uid="{00000000-0005-0000-0000-0000A6010000}"/>
    <cellStyle name="一般 467" xfId="389" xr:uid="{00000000-0005-0000-0000-0000A7010000}"/>
    <cellStyle name="一般 468" xfId="390" xr:uid="{00000000-0005-0000-0000-0000A8010000}"/>
    <cellStyle name="一般 469" xfId="391" xr:uid="{00000000-0005-0000-0000-0000A9010000}"/>
    <cellStyle name="一般 47" xfId="392" xr:uid="{00000000-0005-0000-0000-0000AA010000}"/>
    <cellStyle name="一般 470" xfId="393" xr:uid="{00000000-0005-0000-0000-0000AB010000}"/>
    <cellStyle name="一般 471" xfId="394" xr:uid="{00000000-0005-0000-0000-0000AC010000}"/>
    <cellStyle name="一般 472" xfId="395" xr:uid="{00000000-0005-0000-0000-0000AD010000}"/>
    <cellStyle name="一般 473" xfId="396" xr:uid="{00000000-0005-0000-0000-0000AE010000}"/>
    <cellStyle name="一般 474" xfId="397" xr:uid="{00000000-0005-0000-0000-0000AF010000}"/>
    <cellStyle name="一般 475" xfId="398" xr:uid="{00000000-0005-0000-0000-0000B0010000}"/>
    <cellStyle name="一般 476" xfId="399" xr:uid="{00000000-0005-0000-0000-0000B1010000}"/>
    <cellStyle name="一般 477" xfId="400" xr:uid="{00000000-0005-0000-0000-0000B2010000}"/>
    <cellStyle name="一般 478" xfId="401" xr:uid="{00000000-0005-0000-0000-0000B3010000}"/>
    <cellStyle name="一般 479" xfId="402" xr:uid="{00000000-0005-0000-0000-0000B4010000}"/>
    <cellStyle name="一般 48" xfId="403" xr:uid="{00000000-0005-0000-0000-0000B5010000}"/>
    <cellStyle name="一般 480" xfId="404" xr:uid="{00000000-0005-0000-0000-0000B6010000}"/>
    <cellStyle name="一般 481" xfId="405" xr:uid="{00000000-0005-0000-0000-0000B7010000}"/>
    <cellStyle name="一般 482" xfId="406" xr:uid="{00000000-0005-0000-0000-0000B8010000}"/>
    <cellStyle name="一般 483" xfId="586" xr:uid="{C3EBE0DA-1786-41F8-90E7-D24AF07A1111}"/>
    <cellStyle name="一般 484" xfId="588" xr:uid="{86AA0E35-00A8-4295-A4D0-8B05215EA5AB}"/>
    <cellStyle name="一般 485" xfId="587" xr:uid="{BFF419A8-7BE0-436C-9567-D4E595F4509D}"/>
    <cellStyle name="一般 486" xfId="597" xr:uid="{C525BFB4-4671-4041-B91B-86D73704977A}"/>
    <cellStyle name="一般 487" xfId="598" xr:uid="{102D17C7-ADC6-4F10-8ADA-327039E6A66C}"/>
    <cellStyle name="一般 488" xfId="854" xr:uid="{B3E8D089-EF99-4BB4-BB01-2FB235153C92}"/>
    <cellStyle name="一般 489" xfId="858" xr:uid="{61691A5B-C2BE-426C-9775-C67C852A8179}"/>
    <cellStyle name="一般 49" xfId="407" xr:uid="{00000000-0005-0000-0000-0000B9010000}"/>
    <cellStyle name="一般 5" xfId="467" xr:uid="{00000000-0005-0000-0000-0000BA010000}"/>
    <cellStyle name="一般 50" xfId="408" xr:uid="{00000000-0005-0000-0000-0000BB010000}"/>
    <cellStyle name="一般 51" xfId="409" xr:uid="{00000000-0005-0000-0000-0000BC010000}"/>
    <cellStyle name="一般 52" xfId="410" xr:uid="{00000000-0005-0000-0000-0000BD010000}"/>
    <cellStyle name="一般 53" xfId="411" xr:uid="{00000000-0005-0000-0000-0000BE010000}"/>
    <cellStyle name="一般 538" xfId="576" xr:uid="{EBE8E061-D6E6-4ABA-9278-84709E502049}"/>
    <cellStyle name="一般 54" xfId="412" xr:uid="{00000000-0005-0000-0000-0000BF010000}"/>
    <cellStyle name="一般 546" xfId="582" xr:uid="{35376D91-E40A-4DCC-A6B9-C733E6119953}"/>
    <cellStyle name="一般 55" xfId="413" xr:uid="{00000000-0005-0000-0000-0000C0010000}"/>
    <cellStyle name="一般 56" xfId="414" xr:uid="{00000000-0005-0000-0000-0000C1010000}"/>
    <cellStyle name="一般 57" xfId="415" xr:uid="{00000000-0005-0000-0000-0000C2010000}"/>
    <cellStyle name="一般 58" xfId="416" xr:uid="{00000000-0005-0000-0000-0000C3010000}"/>
    <cellStyle name="一般 584" xfId="578" xr:uid="{0E88E48B-5C2F-4866-B46F-0BE14664E0AF}"/>
    <cellStyle name="一般 587" xfId="580" xr:uid="{18CE0487-E81E-4D52-87E6-B4C436E45380}"/>
    <cellStyle name="一般 59" xfId="417" xr:uid="{00000000-0005-0000-0000-0000C4010000}"/>
    <cellStyle name="一般 6" xfId="468" xr:uid="{00000000-0005-0000-0000-0000C5010000}"/>
    <cellStyle name="一般 60" xfId="418" xr:uid="{00000000-0005-0000-0000-0000C6010000}"/>
    <cellStyle name="一般 61" xfId="419" xr:uid="{00000000-0005-0000-0000-0000C7010000}"/>
    <cellStyle name="一般 62" xfId="420" xr:uid="{00000000-0005-0000-0000-0000C8010000}"/>
    <cellStyle name="一般 621" xfId="577" xr:uid="{882F4EFA-3E95-469E-B831-42089FF8FBFD}"/>
    <cellStyle name="一般 626" xfId="579" xr:uid="{28A277BC-BB7C-4DC3-8B56-C1C6DDB28140}"/>
    <cellStyle name="一般 629" xfId="581" xr:uid="{568FFEF0-625C-4BC9-AABD-617B37DD94E0}"/>
    <cellStyle name="一般 63" xfId="421" xr:uid="{00000000-0005-0000-0000-0000C9010000}"/>
    <cellStyle name="一般 636" xfId="583" xr:uid="{D367AA3E-4575-40E4-BABB-9D8C8DB04103}"/>
    <cellStyle name="一般 64" xfId="422" xr:uid="{00000000-0005-0000-0000-0000CA010000}"/>
    <cellStyle name="一般 65" xfId="423" xr:uid="{00000000-0005-0000-0000-0000CB010000}"/>
    <cellStyle name="一般 66" xfId="424" xr:uid="{00000000-0005-0000-0000-0000CC010000}"/>
    <cellStyle name="一般 67" xfId="425" xr:uid="{00000000-0005-0000-0000-0000CD010000}"/>
    <cellStyle name="一般 68" xfId="426" xr:uid="{00000000-0005-0000-0000-0000CE010000}"/>
    <cellStyle name="一般 69" xfId="427" xr:uid="{00000000-0005-0000-0000-0000CF010000}"/>
    <cellStyle name="一般 7" xfId="469" xr:uid="{00000000-0005-0000-0000-0000D0010000}"/>
    <cellStyle name="一般 70" xfId="428" xr:uid="{00000000-0005-0000-0000-0000D1010000}"/>
    <cellStyle name="一般 71" xfId="429" xr:uid="{00000000-0005-0000-0000-0000D2010000}"/>
    <cellStyle name="一般 72" xfId="430" xr:uid="{00000000-0005-0000-0000-0000D3010000}"/>
    <cellStyle name="一般 73" xfId="431" xr:uid="{00000000-0005-0000-0000-0000D4010000}"/>
    <cellStyle name="一般 74" xfId="432" xr:uid="{00000000-0005-0000-0000-0000D5010000}"/>
    <cellStyle name="一般 75" xfId="433" xr:uid="{00000000-0005-0000-0000-0000D6010000}"/>
    <cellStyle name="一般 76" xfId="434" xr:uid="{00000000-0005-0000-0000-0000D7010000}"/>
    <cellStyle name="一般 77" xfId="435" xr:uid="{00000000-0005-0000-0000-0000D8010000}"/>
    <cellStyle name="一般 78" xfId="436" xr:uid="{00000000-0005-0000-0000-0000D9010000}"/>
    <cellStyle name="一般 79" xfId="437" xr:uid="{00000000-0005-0000-0000-0000DA010000}"/>
    <cellStyle name="一般 8" xfId="470" xr:uid="{00000000-0005-0000-0000-0000DB010000}"/>
    <cellStyle name="一般 80" xfId="438" xr:uid="{00000000-0005-0000-0000-0000DC010000}"/>
    <cellStyle name="一般 81" xfId="439" xr:uid="{00000000-0005-0000-0000-0000DD010000}"/>
    <cellStyle name="一般 82" xfId="440" xr:uid="{00000000-0005-0000-0000-0000DE010000}"/>
    <cellStyle name="一般 83" xfId="441" xr:uid="{00000000-0005-0000-0000-0000DF010000}"/>
    <cellStyle name="一般 84" xfId="442" xr:uid="{00000000-0005-0000-0000-0000E0010000}"/>
    <cellStyle name="一般 85" xfId="443" xr:uid="{00000000-0005-0000-0000-0000E1010000}"/>
    <cellStyle name="一般 86" xfId="444" xr:uid="{00000000-0005-0000-0000-0000E2010000}"/>
    <cellStyle name="一般 87" xfId="445" xr:uid="{00000000-0005-0000-0000-0000E3010000}"/>
    <cellStyle name="一般 88" xfId="446" xr:uid="{00000000-0005-0000-0000-0000E4010000}"/>
    <cellStyle name="一般 89" xfId="447" xr:uid="{00000000-0005-0000-0000-0000E5010000}"/>
    <cellStyle name="一般 9" xfId="473" xr:uid="{00000000-0005-0000-0000-0000E6010000}"/>
    <cellStyle name="一般 9 10" xfId="569" xr:uid="{B58B57DC-8A9B-4F56-80CE-CB5F0D214FDC}"/>
    <cellStyle name="一般 9 11" xfId="589" xr:uid="{62D32FE1-D434-43DF-83D8-B2397A3B899B}"/>
    <cellStyle name="一般 9 12" xfId="856" xr:uid="{CAFE170A-97D4-4574-A3CD-4BF131774A3D}"/>
    <cellStyle name="一般 9 2" xfId="474" xr:uid="{00000000-0005-0000-0000-0000E7010000}"/>
    <cellStyle name="一般 9 2 2" xfId="482" xr:uid="{00000000-0005-0000-0000-0000E8010000}"/>
    <cellStyle name="一般 9 2 3" xfId="542" xr:uid="{00000000-0005-0000-0000-0000E9010000}"/>
    <cellStyle name="一般 9 2 4" xfId="548" xr:uid="{00000000-0005-0000-0000-0000EA010000}"/>
    <cellStyle name="一般 9 2 5" xfId="560" xr:uid="{00000000-0005-0000-0000-0000EB010000}"/>
    <cellStyle name="一般 9 2 6" xfId="570" xr:uid="{FD2948A6-953D-45F6-86C6-A4FDE0C554E9}"/>
    <cellStyle name="一般 9 2 7" xfId="590" xr:uid="{AF18E3B8-4CDF-4A93-9A9F-987074F7363E}"/>
    <cellStyle name="一般 9 2 8" xfId="873" xr:uid="{9715A676-38B2-4410-AEF5-C7FD8D05F692}"/>
    <cellStyle name="一般 9 3" xfId="475" xr:uid="{00000000-0005-0000-0000-0000EC010000}"/>
    <cellStyle name="一般 9 3 2" xfId="483" xr:uid="{00000000-0005-0000-0000-0000ED010000}"/>
    <cellStyle name="一般 9 3 3" xfId="543" xr:uid="{00000000-0005-0000-0000-0000EE010000}"/>
    <cellStyle name="一般 9 3 4" xfId="549" xr:uid="{00000000-0005-0000-0000-0000EF010000}"/>
    <cellStyle name="一般 9 3 5" xfId="561" xr:uid="{00000000-0005-0000-0000-0000F0010000}"/>
    <cellStyle name="一般 9 3 6" xfId="571" xr:uid="{D46656A3-8024-4607-902E-55FEBBC471BD}"/>
    <cellStyle name="一般 9 3 7" xfId="591" xr:uid="{568CBB57-472E-4019-95C4-EDF629BBDEE2}"/>
    <cellStyle name="一般 9 3 8" xfId="870" xr:uid="{1F8E9139-6273-444E-ADFF-9769136F0509}"/>
    <cellStyle name="一般 9 4" xfId="476" xr:uid="{00000000-0005-0000-0000-0000F1010000}"/>
    <cellStyle name="一般 9 4 2" xfId="484" xr:uid="{00000000-0005-0000-0000-0000F2010000}"/>
    <cellStyle name="一般 9 4 3" xfId="544" xr:uid="{00000000-0005-0000-0000-0000F3010000}"/>
    <cellStyle name="一般 9 4 4" xfId="550" xr:uid="{00000000-0005-0000-0000-0000F4010000}"/>
    <cellStyle name="一般 9 4 5" xfId="562" xr:uid="{00000000-0005-0000-0000-0000F5010000}"/>
    <cellStyle name="一般 9 4 6" xfId="572" xr:uid="{5E7E59A5-B9F9-4CF0-AF3B-D7E98C50FA2C}"/>
    <cellStyle name="一般 9 4 7" xfId="592" xr:uid="{D6F8A979-281F-4E55-A9CC-B537F1F1552E}"/>
    <cellStyle name="一般 9 4 8" xfId="867" xr:uid="{59138F68-6032-440B-A9E3-FDE6A627A37E}"/>
    <cellStyle name="一般 9 5" xfId="477" xr:uid="{00000000-0005-0000-0000-0000F6010000}"/>
    <cellStyle name="一般 9 5 2" xfId="485" xr:uid="{00000000-0005-0000-0000-0000F7010000}"/>
    <cellStyle name="一般 9 5 3" xfId="545" xr:uid="{00000000-0005-0000-0000-0000F8010000}"/>
    <cellStyle name="一般 9 5 4" xfId="551" xr:uid="{00000000-0005-0000-0000-0000F9010000}"/>
    <cellStyle name="一般 9 5 5" xfId="563" xr:uid="{00000000-0005-0000-0000-0000FA010000}"/>
    <cellStyle name="一般 9 5 6" xfId="573" xr:uid="{68429D46-24FF-4776-AB55-35F2A662E11E}"/>
    <cellStyle name="一般 9 5 7" xfId="593" xr:uid="{DE2EAAEA-979B-49A1-A847-3BDFD13DAEDF}"/>
    <cellStyle name="一般 9 5 8" xfId="864" xr:uid="{CC4E1DC8-7470-4FCD-854F-3A8639524A62}"/>
    <cellStyle name="一般 9 6" xfId="481" xr:uid="{00000000-0005-0000-0000-0000FB010000}"/>
    <cellStyle name="一般 9 7" xfId="541" xr:uid="{00000000-0005-0000-0000-0000FC010000}"/>
    <cellStyle name="一般 9 8" xfId="547" xr:uid="{00000000-0005-0000-0000-0000FD010000}"/>
    <cellStyle name="一般 9 9" xfId="559" xr:uid="{00000000-0005-0000-0000-0000FE010000}"/>
    <cellStyle name="一般 90" xfId="448" xr:uid="{00000000-0005-0000-0000-0000FF010000}"/>
    <cellStyle name="一般 91" xfId="449" xr:uid="{00000000-0005-0000-0000-000000020000}"/>
    <cellStyle name="一般 92" xfId="450" xr:uid="{00000000-0005-0000-0000-000001020000}"/>
    <cellStyle name="一般 93" xfId="451" xr:uid="{00000000-0005-0000-0000-000002020000}"/>
    <cellStyle name="一般 94" xfId="452" xr:uid="{00000000-0005-0000-0000-000003020000}"/>
    <cellStyle name="一般 95" xfId="453" xr:uid="{00000000-0005-0000-0000-000004020000}"/>
    <cellStyle name="一般 96" xfId="454" xr:uid="{00000000-0005-0000-0000-000005020000}"/>
    <cellStyle name="一般 97" xfId="455" xr:uid="{00000000-0005-0000-0000-000006020000}"/>
    <cellStyle name="一般 98" xfId="456" xr:uid="{00000000-0005-0000-0000-000007020000}"/>
    <cellStyle name="一般 99" xfId="457" xr:uid="{00000000-0005-0000-0000-000008020000}"/>
    <cellStyle name="千分位" xfId="458" builtinId="3"/>
    <cellStyle name="千分位 2" xfId="459" xr:uid="{00000000-0005-0000-0000-00000A020000}"/>
    <cellStyle name="千分位 2 2" xfId="527" xr:uid="{00000000-0005-0000-0000-00000B020000}"/>
    <cellStyle name="千分位 2 2 2" xfId="555" xr:uid="{00000000-0005-0000-0000-00000C020000}"/>
    <cellStyle name="千分位 2 2 2 2" xfId="852" xr:uid="{4C4B75BF-131E-423B-B065-24E0E27248D9}"/>
    <cellStyle name="千分位 2 2 3" xfId="554" xr:uid="{00000000-0005-0000-0000-00000D020000}"/>
    <cellStyle name="千分位 2 2 4" xfId="851" xr:uid="{537B381A-60A9-48E5-B984-532003F4C8F2}"/>
    <cellStyle name="千分位 2 3" xfId="536" xr:uid="{00000000-0005-0000-0000-00000E020000}"/>
    <cellStyle name="千分位 2 3 2" xfId="556" xr:uid="{00000000-0005-0000-0000-00000F020000}"/>
    <cellStyle name="千分位 2 3 3" xfId="853" xr:uid="{F7916A52-1634-4123-8D23-9DBF1522B52F}"/>
    <cellStyle name="千分位 2 4" xfId="553" xr:uid="{00000000-0005-0000-0000-000010020000}"/>
    <cellStyle name="千分位 2 5" xfId="850" xr:uid="{8B3D6D2D-E244-4653-B32A-0DCDCB1E1D5F}"/>
    <cellStyle name="千分位 3" xfId="528" xr:uid="{00000000-0005-0000-0000-000011020000}"/>
    <cellStyle name="千分位 3 2" xfId="537" xr:uid="{00000000-0005-0000-0000-000012020000}"/>
    <cellStyle name="千分位 4" xfId="529" xr:uid="{00000000-0005-0000-0000-000013020000}"/>
    <cellStyle name="千分位 4 2" xfId="538" xr:uid="{00000000-0005-0000-0000-000014020000}"/>
    <cellStyle name="千分位 5" xfId="530" xr:uid="{00000000-0005-0000-0000-000015020000}"/>
    <cellStyle name="千分位 5 2" xfId="539" xr:uid="{00000000-0005-0000-0000-000016020000}"/>
    <cellStyle name="千分位 6" xfId="525" xr:uid="{00000000-0005-0000-0000-000017020000}"/>
    <cellStyle name="千分位 7" xfId="535" xr:uid="{00000000-0005-0000-0000-000018020000}"/>
    <cellStyle name="千分位 8" xfId="849" xr:uid="{7219A111-AF5C-4578-855A-7A6F91EB94F7}"/>
    <cellStyle name="千分位 9" xfId="855" xr:uid="{C9E9053B-847F-49C2-9482-74A35EBBA64C}"/>
    <cellStyle name="中等" xfId="492" builtinId="28" customBuiltin="1"/>
    <cellStyle name="合計" xfId="500" builtinId="25" customBuiltin="1"/>
    <cellStyle name="好" xfId="490" builtinId="26" customBuiltin="1"/>
    <cellStyle name="百分比" xfId="460" builtinId="5"/>
    <cellStyle name="百分比 2" xfId="461" xr:uid="{00000000-0005-0000-0000-00001D020000}"/>
    <cellStyle name="百分比 2 2" xfId="471" xr:uid="{00000000-0005-0000-0000-00001E020000}"/>
    <cellStyle name="百分比 2 2 2" xfId="599" xr:uid="{3258A9A6-F842-4B2A-A77C-27B8E01976AC}"/>
    <cellStyle name="百分比 2 3" xfId="534" xr:uid="{00000000-0005-0000-0000-00001F020000}"/>
    <cellStyle name="百分比 3" xfId="462" xr:uid="{00000000-0005-0000-0000-000020020000}"/>
    <cellStyle name="百分比 4" xfId="472" xr:uid="{00000000-0005-0000-0000-000021020000}"/>
    <cellStyle name="計算方式" xfId="495" builtinId="22" customBuiltin="1"/>
    <cellStyle name="連結的儲存格" xfId="496" builtinId="24" customBuiltin="1"/>
    <cellStyle name="備註 10" xfId="743" xr:uid="{34E90C43-DB72-4322-9F1E-281E062DA6B9}"/>
    <cellStyle name="備註 10 2" xfId="968" xr:uid="{6E0A1B87-80B1-4741-87D8-A82BA224DFC2}"/>
    <cellStyle name="備註 11" xfId="730" xr:uid="{A216E5D0-A60A-4873-BD56-E28154E0A073}"/>
    <cellStyle name="備註 11 2" xfId="981" xr:uid="{087A6575-66A6-444D-B730-1C0AF4AD6378}"/>
    <cellStyle name="備註 12" xfId="717" xr:uid="{2F27AB06-8345-4EC1-8D1F-DC8E5B581B05}"/>
    <cellStyle name="備註 12 2" xfId="994" xr:uid="{C2D9BBC1-58F7-4AF9-88EA-CA7000FBAD72}"/>
    <cellStyle name="備註 13" xfId="704" xr:uid="{9A5329E5-1D88-4EF9-8C57-9B1025570099}"/>
    <cellStyle name="備註 13 2" xfId="1007" xr:uid="{FA520042-8965-4CE7-A9D0-31DC6A0BEE5B}"/>
    <cellStyle name="備註 14" xfId="691" xr:uid="{50177EF0-6DD5-4704-98C7-924350173423}"/>
    <cellStyle name="備註 14 2" xfId="1020" xr:uid="{E56B4B24-C660-4BB0-80C0-C075C52B80C9}"/>
    <cellStyle name="備註 15" xfId="678" xr:uid="{32939BC1-5928-48D1-8087-2A431CF3E7B7}"/>
    <cellStyle name="備註 15 2" xfId="1033" xr:uid="{71D68A9A-D260-419A-A45C-B26B7F525D1A}"/>
    <cellStyle name="備註 16" xfId="665" xr:uid="{E78EA2A3-1176-4621-BF86-04E2D7B4CEE7}"/>
    <cellStyle name="備註 16 2" xfId="1046" xr:uid="{11C5FDC0-FA7B-4FB0-8221-C1287FEE190D}"/>
    <cellStyle name="備註 17" xfId="652" xr:uid="{BBB4C317-9C95-4BFF-8811-2F439BEEB5F0}"/>
    <cellStyle name="備註 17 2" xfId="1059" xr:uid="{149D2DD2-4A23-4441-BDB5-9DCEE2BE2E4D}"/>
    <cellStyle name="備註 18" xfId="639" xr:uid="{A34948B7-4A06-45CB-96A8-E2DD51B3EF54}"/>
    <cellStyle name="備註 18 2" xfId="1072" xr:uid="{A2F99F54-1665-4901-9288-8D7765338090}"/>
    <cellStyle name="備註 19" xfId="626" xr:uid="{8C9D99BC-A8A3-42EE-AB3A-658D39A19285}"/>
    <cellStyle name="備註 19 2" xfId="1085" xr:uid="{FDFF4025-49F5-4E56-8ABB-274D833D2211}"/>
    <cellStyle name="備註 2" xfId="533" xr:uid="{00000000-0005-0000-0000-000024020000}"/>
    <cellStyle name="備註 2 2" xfId="836" xr:uid="{7B0E9259-C109-4851-899C-2DA6AEEF55CF}"/>
    <cellStyle name="備註 2 3" xfId="876" xr:uid="{76E4306B-648E-449C-8EEA-6754785B0353}"/>
    <cellStyle name="備註 20" xfId="613" xr:uid="{6A204260-5EE5-44A6-BB75-2B838956C94C}"/>
    <cellStyle name="備註 20 2" xfId="1098" xr:uid="{C15088E9-2468-4F36-B918-6F36E091C3FB}"/>
    <cellStyle name="備註 3" xfId="834" xr:uid="{5D2BF835-3B9D-4366-B6E2-37965FB9FF71}"/>
    <cellStyle name="備註 3 2" xfId="877" xr:uid="{25D72EB6-361C-46C5-8747-A56C1568A3FB}"/>
    <cellStyle name="備註 4" xfId="821" xr:uid="{530CC91B-A8F0-44AA-929E-D041F47A8B7C}"/>
    <cellStyle name="備註 4 2" xfId="890" xr:uid="{17185380-77E3-43B7-98A7-469D7189BCDB}"/>
    <cellStyle name="備註 5" xfId="808" xr:uid="{249D213F-0676-4A3B-88B5-1B9291DECC3B}"/>
    <cellStyle name="備註 5 2" xfId="903" xr:uid="{E6F14120-9760-46CD-8703-A425E2B01E2E}"/>
    <cellStyle name="備註 6" xfId="795" xr:uid="{2CA0CBED-47A2-44A3-8242-873F564A82C5}"/>
    <cellStyle name="備註 6 2" xfId="916" xr:uid="{83E249B2-B473-4491-BFEF-59A048FA33CB}"/>
    <cellStyle name="備註 7" xfId="782" xr:uid="{7B72A09E-9E00-4116-A9A4-A6490B7439B7}"/>
    <cellStyle name="備註 7 2" xfId="929" xr:uid="{D3958D33-35FB-47A2-825E-75A17397F149}"/>
    <cellStyle name="備註 8" xfId="769" xr:uid="{32D22809-93C7-484D-8DE6-02E7302B10B9}"/>
    <cellStyle name="備註 8 2" xfId="942" xr:uid="{82C27F5E-C4E0-44F6-B99C-726AB78A97B5}"/>
    <cellStyle name="備註 9" xfId="756" xr:uid="{30011EB0-3385-4733-A28D-D407F3D948FF}"/>
    <cellStyle name="備註 9 2" xfId="955" xr:uid="{C86BDA56-1809-4EDB-A5AD-7B1C31332B92}"/>
    <cellStyle name="說明文字" xfId="499" builtinId="53" customBuiltin="1"/>
    <cellStyle name="輔色1" xfId="501" builtinId="29" customBuiltin="1"/>
    <cellStyle name="輔色2" xfId="505" builtinId="33" customBuiltin="1"/>
    <cellStyle name="輔色3" xfId="509" builtinId="37" customBuiltin="1"/>
    <cellStyle name="輔色4" xfId="513" builtinId="41" customBuiltin="1"/>
    <cellStyle name="輔色5" xfId="517" builtinId="45" customBuiltin="1"/>
    <cellStyle name="輔色6" xfId="521" builtinId="49" customBuiltin="1"/>
    <cellStyle name="標題 1" xfId="486" builtinId="16" customBuiltin="1"/>
    <cellStyle name="標題 2" xfId="487" builtinId="17" customBuiltin="1"/>
    <cellStyle name="標題 3" xfId="488" builtinId="18" customBuiltin="1"/>
    <cellStyle name="標題 4" xfId="489" builtinId="19" customBuiltin="1"/>
    <cellStyle name="標題 5" xfId="531" xr:uid="{00000000-0005-0000-0000-000030020000}"/>
    <cellStyle name="標題 5 2" xfId="835" xr:uid="{7B1FA2E0-8A49-40D6-8E88-8F8735BDCAE4}"/>
    <cellStyle name="輸入" xfId="493" builtinId="20" customBuiltin="1"/>
    <cellStyle name="輸出" xfId="494" builtinId="21" customBuiltin="1"/>
    <cellStyle name="檢查儲存格" xfId="497" builtinId="23" customBuiltin="1"/>
    <cellStyle name="壞" xfId="491" builtinId="27" customBuiltin="1"/>
    <cellStyle name="警告文字" xfId="498" builtinId="11" customBuiltin="1"/>
  </cellStyles>
  <dxfs count="632"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00CC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EE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9"/>
      </font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83" formatCode="#,##0_ "/>
    </dxf>
    <dxf>
      <font>
        <name val="微軟正黑體"/>
        <scheme val="none"/>
      </font>
    </dxf>
    <dxf>
      <font>
        <name val="微軟正黑體"/>
        <scheme val="none"/>
      </font>
    </dxf>
    <dxf>
      <fill>
        <patternFill patternType="solid">
          <bgColor rgb="FFCCFFCC"/>
        </patternFill>
      </fill>
    </dxf>
    <dxf>
      <alignment horizontal="center" readingOrder="0"/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 readingOrder="0"/>
    </dxf>
    <dxf>
      <alignment vertical="center" readingOrder="0"/>
    </dxf>
    <dxf>
      <font>
        <sz val="14"/>
      </font>
    </dxf>
    <dxf>
      <font>
        <name val="微軟正黑體"/>
        <scheme val="none"/>
      </font>
    </dxf>
    <dxf>
      <font>
        <sz val="12"/>
      </font>
    </dxf>
    <dxf>
      <alignment horizont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ont>
        <sz val="14"/>
      </font>
    </dxf>
    <dxf>
      <font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201" formatCode="_-* #,##0.0_-;\-* #,##0.0_-;_-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表格樣式 1" pivot="0" count="0" xr9:uid="{00000000-0011-0000-FFFF-FFFF00000000}"/>
  </tableStyles>
  <colors>
    <mruColors>
      <color rgb="FFFFCCFF"/>
      <color rgb="FF0000CC"/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pivotCacheDefinition" Target="pivotCache/pivotCacheDefinition1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4&#24180;02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4&#24180;02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4&#24180;02&#26376;&#25754;&#20108;&#31185;&#29983;&#29986;&#36039;&#3533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7019\AppData\Local\Microsoft\Windows\Temporary%20Internet%20Files\Content.Outlook\7RQ3A805\107&#24180;07&#26376;&#25754;&#20108;&#31185;&#29983;&#29986;&#36039;&#35338;NEW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Local%20Settings\Temporary%20Internet%20Files\Content.IE5\RL4XSN1O\100&#24180;05&#26376;&#25754;&#20108;&#31185;&#29983;&#29986;&#36039;&#3533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9577;&#33805;&#30340;%20Documents\&#29983;&#29986;&#26085;&#22577;&#34920;\&#29983;&#29986;&#26085;&#22577;&#34920;(2023-01-31).xlsx" TargetMode="External"/><Relationship Id="rId1" Type="http://schemas.openxmlformats.org/officeDocument/2006/relationships/externalLinkPath" Target="file:///D:\&#29577;&#33805;&#30340;%20Documents\&#29983;&#29986;&#26085;&#22577;&#34920;\&#29983;&#29986;&#26085;&#22577;&#34920;(2023-01-3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29577;&#33805;&#30340;%20Documents\&#29983;&#29986;&#26085;&#22577;&#34920;\&#26376;&#24213;\2024\&#29983;&#29986;&#26085;&#22577;&#34920;(2024-12-31).xlsx" TargetMode="External"/><Relationship Id="rId1" Type="http://schemas.openxmlformats.org/officeDocument/2006/relationships/externalLinkPath" Target="&#26376;&#24213;/2024/&#29983;&#29986;&#26085;&#22577;&#34920;(2024-12-31)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5&#24180;05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5&#24180;05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5&#24180;05&#26376;&#25754;&#20108;&#31185;&#29983;&#29986;&#36039;&#3533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工作表1"/>
      <sheetName val="２斷絲.IAD.效率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缺勤"/>
      <sheetName val="機台故障"/>
      <sheetName val="外勞異常記錄"/>
      <sheetName val="分析_斷絲"/>
      <sheetName val="分析_倒筒機"/>
      <sheetName val="分析_倒筒機(樣品製作)"/>
      <sheetName val="分析_原絲"/>
      <sheetName val="分析_效率"/>
      <sheetName val="直送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批號</v>
          </cell>
        </row>
      </sheetData>
      <sheetData sheetId="22" refreshError="1"/>
      <sheetData sheetId="23">
        <row r="2">
          <cell r="S2" t="str">
            <v>白底紫三角</v>
          </cell>
        </row>
        <row r="3">
          <cell r="S3" t="str">
            <v>白紫大三角</v>
          </cell>
        </row>
        <row r="4">
          <cell r="S4" t="str">
            <v>白黑大三角</v>
          </cell>
        </row>
        <row r="5">
          <cell r="S5" t="str">
            <v>白底黑方塊</v>
          </cell>
        </row>
        <row r="6">
          <cell r="S6" t="str">
            <v>白底黑十字</v>
          </cell>
        </row>
        <row r="7">
          <cell r="S7" t="str">
            <v>白黑三角</v>
          </cell>
        </row>
        <row r="8">
          <cell r="S8" t="str">
            <v>白底黑點</v>
          </cell>
        </row>
        <row r="9">
          <cell r="S9" t="str">
            <v>白底黑星</v>
          </cell>
        </row>
        <row r="10">
          <cell r="S10" t="str">
            <v>白底黑心</v>
          </cell>
        </row>
        <row r="11">
          <cell r="S11" t="str">
            <v>白底綠十字</v>
          </cell>
        </row>
        <row r="12">
          <cell r="S12" t="str">
            <v>白底綠方塊</v>
          </cell>
        </row>
        <row r="13">
          <cell r="S13" t="str">
            <v>白底綠點</v>
          </cell>
        </row>
        <row r="14">
          <cell r="S14" t="str">
            <v>白底綠星</v>
          </cell>
        </row>
        <row r="15">
          <cell r="S15" t="str">
            <v>白底綠心</v>
          </cell>
        </row>
        <row r="16">
          <cell r="S16" t="str">
            <v>白底藍點</v>
          </cell>
        </row>
        <row r="17">
          <cell r="S17" t="str">
            <v>白底藍十字</v>
          </cell>
        </row>
        <row r="18">
          <cell r="S18" t="str">
            <v>白底藍三角</v>
          </cell>
        </row>
        <row r="19">
          <cell r="S19" t="str">
            <v>白底藍方塊</v>
          </cell>
        </row>
        <row r="20">
          <cell r="S20" t="str">
            <v>白黃條紋</v>
          </cell>
        </row>
        <row r="21">
          <cell r="S21" t="str">
            <v>白黑條紋</v>
          </cell>
        </row>
        <row r="22">
          <cell r="S22" t="str">
            <v>白黑直條</v>
          </cell>
        </row>
        <row r="23">
          <cell r="S23" t="str">
            <v>白綠條紋</v>
          </cell>
        </row>
        <row r="24">
          <cell r="S24" t="str">
            <v>白綠直條</v>
          </cell>
        </row>
        <row r="25">
          <cell r="S25" t="str">
            <v>白藍條紋</v>
          </cell>
        </row>
        <row r="26">
          <cell r="S26" t="str">
            <v>白紫條紋</v>
          </cell>
        </row>
        <row r="27">
          <cell r="S27" t="str">
            <v>白橘雙色</v>
          </cell>
        </row>
        <row r="28">
          <cell r="S28" t="str">
            <v>白底黃十字</v>
          </cell>
        </row>
        <row r="29">
          <cell r="S29" t="str">
            <v>白底紫十字</v>
          </cell>
        </row>
        <row r="30">
          <cell r="S30" t="str">
            <v>白底紅十字</v>
          </cell>
        </row>
        <row r="31">
          <cell r="S31" t="str">
            <v>白底紅點</v>
          </cell>
        </row>
        <row r="32">
          <cell r="S32" t="str">
            <v>白底紅星</v>
          </cell>
        </row>
        <row r="33">
          <cell r="S33" t="str">
            <v>白底橘方塊</v>
          </cell>
        </row>
        <row r="34">
          <cell r="S34" t="str">
            <v>白底橘十字</v>
          </cell>
        </row>
        <row r="35">
          <cell r="S35" t="str">
            <v>白底紅三角</v>
          </cell>
        </row>
        <row r="36">
          <cell r="S36" t="str">
            <v>白底紅心</v>
          </cell>
        </row>
        <row r="37">
          <cell r="S37" t="str">
            <v>白紅條紋</v>
          </cell>
        </row>
        <row r="38">
          <cell r="S38" t="str">
            <v>白紅星星</v>
          </cell>
        </row>
        <row r="39">
          <cell r="S39" t="str">
            <v>白黑星星</v>
          </cell>
        </row>
        <row r="40">
          <cell r="S40" t="str">
            <v>紫色</v>
          </cell>
        </row>
        <row r="41">
          <cell r="S41" t="str">
            <v>粉紅</v>
          </cell>
        </row>
        <row r="42">
          <cell r="S42" t="str">
            <v>灰色</v>
          </cell>
        </row>
        <row r="43">
          <cell r="S43" t="str">
            <v>橘色</v>
          </cell>
        </row>
        <row r="44">
          <cell r="S44" t="str">
            <v>黃色</v>
          </cell>
        </row>
        <row r="45">
          <cell r="S45" t="str">
            <v>綠色</v>
          </cell>
        </row>
        <row r="46">
          <cell r="S46" t="str">
            <v>藍色</v>
          </cell>
        </row>
        <row r="47">
          <cell r="S47" t="str">
            <v>棕色</v>
          </cell>
        </row>
        <row r="48">
          <cell r="S48" t="str">
            <v>黑色</v>
          </cell>
        </row>
        <row r="49">
          <cell r="S49" t="str">
            <v>洋綠色</v>
          </cell>
        </row>
        <row r="50">
          <cell r="S50" t="str">
            <v>黃綠色</v>
          </cell>
        </row>
        <row r="51">
          <cell r="S51" t="str">
            <v>藍底白十字</v>
          </cell>
        </row>
        <row r="52">
          <cell r="S52" t="str">
            <v>藍底黑點</v>
          </cell>
        </row>
        <row r="53">
          <cell r="S53" t="str">
            <v>藍底白方塊</v>
          </cell>
        </row>
        <row r="54">
          <cell r="S54" t="str">
            <v>紅底白點</v>
          </cell>
        </row>
        <row r="55">
          <cell r="S55" t="str">
            <v>紅底黃星</v>
          </cell>
        </row>
        <row r="56">
          <cell r="S56" t="str">
            <v>紅底藍點</v>
          </cell>
        </row>
        <row r="57">
          <cell r="S57" t="str">
            <v>紅黑條紋</v>
          </cell>
        </row>
        <row r="58">
          <cell r="S58" t="str">
            <v>紅黃雙色</v>
          </cell>
        </row>
        <row r="59">
          <cell r="S59" t="str">
            <v>橘底黑三角</v>
          </cell>
        </row>
        <row r="60">
          <cell r="S60" t="str">
            <v>橘綠條紋</v>
          </cell>
        </row>
        <row r="61">
          <cell r="S61" t="str">
            <v>黃底白點</v>
          </cell>
        </row>
        <row r="62">
          <cell r="S62" t="str">
            <v>黃底黑點</v>
          </cell>
        </row>
        <row r="63">
          <cell r="S63" t="str">
            <v>黃底紅點</v>
          </cell>
        </row>
        <row r="64">
          <cell r="S64" t="str">
            <v>黃底綠星</v>
          </cell>
        </row>
        <row r="65">
          <cell r="S65" t="str">
            <v>黃底紅三角</v>
          </cell>
        </row>
        <row r="66">
          <cell r="S66" t="str">
            <v>黃黑條紋</v>
          </cell>
        </row>
        <row r="67">
          <cell r="S67" t="str">
            <v>黃白條紋</v>
          </cell>
        </row>
        <row r="68">
          <cell r="S68" t="str">
            <v>黃紅雙色</v>
          </cell>
        </row>
        <row r="69">
          <cell r="S69" t="str">
            <v>黃綠條紋</v>
          </cell>
        </row>
        <row r="70">
          <cell r="S70" t="str">
            <v>紫底白點</v>
          </cell>
        </row>
        <row r="71">
          <cell r="S71" t="str">
            <v>紫白條紋</v>
          </cell>
        </row>
        <row r="72">
          <cell r="S72" t="str">
            <v>紫黃條紋</v>
          </cell>
        </row>
        <row r="73">
          <cell r="S73" t="str">
            <v>紫黑條紋</v>
          </cell>
        </row>
        <row r="74">
          <cell r="S74" t="str">
            <v>綠底藍三角</v>
          </cell>
        </row>
        <row r="75">
          <cell r="S75" t="str">
            <v>綠底白點</v>
          </cell>
        </row>
        <row r="76">
          <cell r="S76" t="str">
            <v>黃膠管</v>
          </cell>
        </row>
        <row r="77">
          <cell r="S77" t="str">
            <v>棕膠管</v>
          </cell>
        </row>
        <row r="78">
          <cell r="S78" t="str">
            <v>橘膠管</v>
          </cell>
        </row>
        <row r="79">
          <cell r="S79" t="str">
            <v>藍膠管</v>
          </cell>
        </row>
        <row r="80">
          <cell r="S80" t="str">
            <v>藍白直條</v>
          </cell>
        </row>
        <row r="81">
          <cell r="S81" t="str">
            <v>藍黑直條</v>
          </cell>
        </row>
        <row r="82">
          <cell r="S82" t="str">
            <v>黃黑直條</v>
          </cell>
        </row>
        <row r="83">
          <cell r="S83" t="str">
            <v>紅黑直條</v>
          </cell>
        </row>
        <row r="84">
          <cell r="S84" t="str">
            <v>紅白直條</v>
          </cell>
        </row>
        <row r="85">
          <cell r="S85" t="str">
            <v>白黑曲線</v>
          </cell>
        </row>
        <row r="86">
          <cell r="S86" t="str">
            <v>紅黑曲線</v>
          </cell>
        </row>
        <row r="87">
          <cell r="S87" t="str">
            <v>黃綠藍雙色</v>
          </cell>
        </row>
        <row r="88">
          <cell r="S88" t="str">
            <v>黃綠紫雙色</v>
          </cell>
        </row>
        <row r="89">
          <cell r="S89" t="str">
            <v>黃綠桔雙色</v>
          </cell>
        </row>
        <row r="90">
          <cell r="S90" t="str">
            <v>黃綠棕雙色</v>
          </cell>
        </row>
        <row r="91">
          <cell r="S91" t="str">
            <v>紫綠雙色</v>
          </cell>
        </row>
        <row r="92">
          <cell r="S92" t="str">
            <v>藍桔雙色</v>
          </cell>
        </row>
        <row r="93">
          <cell r="S93" t="str">
            <v>棕紅雙色</v>
          </cell>
        </row>
        <row r="94">
          <cell r="S94" t="str">
            <v>桔黃雙色</v>
          </cell>
        </row>
        <row r="95">
          <cell r="S95" t="str">
            <v>黃棕雙色</v>
          </cell>
        </row>
        <row r="96">
          <cell r="S96" t="str">
            <v>紫棕雙色</v>
          </cell>
        </row>
        <row r="97">
          <cell r="S97" t="str">
            <v>綠藍雙色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勞異常記錄"/>
      <sheetName val="直送"/>
      <sheetName val="生產資訊"/>
      <sheetName val="生產資訊→交代事項"/>
      <sheetName val="包裝員"/>
      <sheetName val="結批追蹤"/>
      <sheetName val="斷絲.IAD.效率"/>
      <sheetName val="斷絲分析"/>
      <sheetName val="倒筒機 (NEW)"/>
      <sheetName val="倒筒機分析(NEW)"/>
      <sheetName val="NEW"/>
      <sheetName val="交接表"/>
      <sheetName val="機台故障"/>
      <sheetName val="包裝狀況(印)"/>
      <sheetName val="製程交代列印"/>
      <sheetName val="條件"/>
      <sheetName val="重大異常"/>
      <sheetName val="工安5S稽核"/>
      <sheetName val="SOP作業稽核"/>
      <sheetName val="OJT實施狀況"/>
      <sheetName val="高低壓"/>
      <sheetName val="清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M2" t="str">
            <v>Final</v>
          </cell>
        </row>
        <row r="3">
          <cell r="M3" t="str">
            <v>Test</v>
          </cell>
        </row>
        <row r="4">
          <cell r="M4" t="str">
            <v>改紡</v>
          </cell>
        </row>
        <row r="5">
          <cell r="M5" t="str">
            <v>改紡停機</v>
          </cell>
        </row>
        <row r="6">
          <cell r="M6" t="str">
            <v>停機</v>
          </cell>
        </row>
        <row r="7">
          <cell r="M7" t="str">
            <v>了機</v>
          </cell>
        </row>
        <row r="8">
          <cell r="M8" t="str">
            <v>清車</v>
          </cell>
        </row>
        <row r="9">
          <cell r="M9" t="str">
            <v>絲開發</v>
          </cell>
        </row>
        <row r="10">
          <cell r="M10" t="str">
            <v>明改紡</v>
          </cell>
        </row>
        <row r="11">
          <cell r="M11" t="str">
            <v>明清車</v>
          </cell>
        </row>
        <row r="12">
          <cell r="M12" t="str">
            <v>明復開</v>
          </cell>
        </row>
        <row r="13">
          <cell r="M13" t="str">
            <v>明檢修</v>
          </cell>
        </row>
        <row r="14">
          <cell r="M14" t="str">
            <v>清加熱器</v>
          </cell>
        </row>
        <row r="15">
          <cell r="M15" t="str">
            <v>待檢修</v>
          </cell>
        </row>
        <row r="16">
          <cell r="M16" t="str">
            <v>檢修停機</v>
          </cell>
        </row>
        <row r="17">
          <cell r="M17" t="str">
            <v>首落紗徑</v>
          </cell>
        </row>
        <row r="18">
          <cell r="M18" t="str">
            <v>次落紗徑</v>
          </cell>
        </row>
        <row r="19">
          <cell r="M19" t="str">
            <v>清車改紡</v>
          </cell>
        </row>
        <row r="20">
          <cell r="M20" t="str">
            <v>POY不足</v>
          </cell>
        </row>
        <row r="21">
          <cell r="M21" t="str">
            <v>清車復開</v>
          </cell>
        </row>
        <row r="22">
          <cell r="M22" t="str">
            <v>清車停機</v>
          </cell>
        </row>
        <row r="23">
          <cell r="M23" t="str">
            <v>染色異常</v>
          </cell>
        </row>
        <row r="24">
          <cell r="M24" t="str">
            <v>溫度異常</v>
          </cell>
        </row>
        <row r="25">
          <cell r="M25" t="str">
            <v>無絲尾</v>
          </cell>
        </row>
        <row r="26">
          <cell r="M26" t="str">
            <v>跳車</v>
          </cell>
        </row>
        <row r="27">
          <cell r="M27" t="str">
            <v>檢修</v>
          </cell>
        </row>
        <row r="28">
          <cell r="M28" t="str">
            <v>易斷機台</v>
          </cell>
        </row>
        <row r="29">
          <cell r="M29" t="str">
            <v>其他</v>
          </cell>
        </row>
        <row r="30">
          <cell r="M30" t="str">
            <v>了機畢停機</v>
          </cell>
        </row>
        <row r="31">
          <cell r="M31" t="str">
            <v>了機移紗</v>
          </cell>
        </row>
        <row r="32">
          <cell r="M32" t="str">
            <v>復開</v>
          </cell>
        </row>
        <row r="33">
          <cell r="M33" t="str">
            <v>移紗</v>
          </cell>
        </row>
        <row r="34">
          <cell r="M34" t="str">
            <v>挑紗</v>
          </cell>
        </row>
        <row r="35">
          <cell r="M35" t="str">
            <v>SAMPLE</v>
          </cell>
        </row>
        <row r="36">
          <cell r="M36" t="str">
            <v>染色比對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資訊"/>
      <sheetName val="直送"/>
      <sheetName val="斷絲.IAD.效率"/>
      <sheetName val="包裝員"/>
      <sheetName val="斷絲分析"/>
      <sheetName val="交接表"/>
      <sheetName val="工作分配表"/>
      <sheetName val="跳車"/>
      <sheetName val="條件"/>
      <sheetName val="絲三廠值日簿"/>
      <sheetName val="加班單"/>
      <sheetName val="清單"/>
      <sheetName val="OJT實施狀況"/>
      <sheetName val="名單"/>
      <sheetName val="使用說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E2" t="str">
            <v>呂美枝</v>
          </cell>
          <cell r="F2" t="str">
            <v>林秋麗</v>
          </cell>
          <cell r="G2" t="str">
            <v>蕭來妹</v>
          </cell>
        </row>
        <row r="3">
          <cell r="E3" t="str">
            <v>簡春美</v>
          </cell>
          <cell r="F3" t="str">
            <v>吳桂珠</v>
          </cell>
          <cell r="G3" t="str">
            <v>黃大妹</v>
          </cell>
        </row>
        <row r="4">
          <cell r="E4" t="str">
            <v>范少玉</v>
          </cell>
          <cell r="F4" t="str">
            <v>JERINE</v>
          </cell>
          <cell r="G4" t="str">
            <v>周桂蘭</v>
          </cell>
        </row>
        <row r="5">
          <cell r="E5" t="str">
            <v>蕭來妹</v>
          </cell>
          <cell r="F5" t="str">
            <v>LEO</v>
          </cell>
          <cell r="G5" t="str">
            <v>WALTER</v>
          </cell>
        </row>
        <row r="6">
          <cell r="E6" t="str">
            <v>黃大妹</v>
          </cell>
          <cell r="F6" t="str">
            <v>MACOY</v>
          </cell>
          <cell r="G6" t="str">
            <v>BRIAN</v>
          </cell>
        </row>
        <row r="7">
          <cell r="E7" t="str">
            <v>周桂蘭</v>
          </cell>
          <cell r="F7" t="str">
            <v>NALD</v>
          </cell>
          <cell r="G7" t="str">
            <v>DANIEL</v>
          </cell>
        </row>
        <row r="8">
          <cell r="E8" t="str">
            <v>DANILO</v>
          </cell>
          <cell r="F8" t="str">
            <v>DANIEL</v>
          </cell>
          <cell r="G8" t="str">
            <v>DANILO</v>
          </cell>
        </row>
        <row r="9">
          <cell r="E9" t="str">
            <v>MIKE</v>
          </cell>
          <cell r="F9" t="str">
            <v>PJ</v>
          </cell>
          <cell r="G9" t="str">
            <v>JUNJUN</v>
          </cell>
        </row>
        <row r="10">
          <cell r="E10" t="str">
            <v>BUNSO</v>
          </cell>
          <cell r="F10" t="str">
            <v>JUNJUN</v>
          </cell>
          <cell r="G10" t="str">
            <v>MIKE</v>
          </cell>
        </row>
        <row r="11">
          <cell r="E11" t="str">
            <v>DY</v>
          </cell>
          <cell r="F11" t="str">
            <v>JET</v>
          </cell>
          <cell r="G11" t="str">
            <v>NALD</v>
          </cell>
        </row>
        <row r="12">
          <cell r="E12" t="str">
            <v>JET</v>
          </cell>
          <cell r="F12" t="str">
            <v>BATAS</v>
          </cell>
          <cell r="G12" t="str">
            <v>RHON</v>
          </cell>
        </row>
        <row r="13">
          <cell r="E13" t="str">
            <v>MARVIN</v>
          </cell>
          <cell r="G13" t="str">
            <v>CARLS</v>
          </cell>
        </row>
        <row r="14">
          <cell r="E14" t="str">
            <v>EKING</v>
          </cell>
          <cell r="G14" t="str">
            <v>NOEL</v>
          </cell>
        </row>
        <row r="15">
          <cell r="E15" t="str">
            <v>JAIME</v>
          </cell>
          <cell r="G15" t="str">
            <v>T2J</v>
          </cell>
        </row>
        <row r="16">
          <cell r="E16" t="str">
            <v>MACOY</v>
          </cell>
          <cell r="G16" t="str">
            <v>JEPOY</v>
          </cell>
        </row>
        <row r="17">
          <cell r="E17" t="str">
            <v>JUNJUN</v>
          </cell>
          <cell r="G17" t="str">
            <v>REYES</v>
          </cell>
        </row>
        <row r="18">
          <cell r="E18" t="str">
            <v>ROMY</v>
          </cell>
          <cell r="G18" t="str">
            <v>JAIME</v>
          </cell>
        </row>
        <row r="19">
          <cell r="E19" t="str">
            <v>JERINE</v>
          </cell>
          <cell r="G19" t="str">
            <v>孫鳳嬌</v>
          </cell>
        </row>
        <row r="20">
          <cell r="E20" t="str">
            <v>NOEL</v>
          </cell>
          <cell r="G20" t="str">
            <v>NA</v>
          </cell>
        </row>
        <row r="21">
          <cell r="E21" t="str">
            <v>GHOE</v>
          </cell>
        </row>
        <row r="22">
          <cell r="E22" t="str">
            <v>NOLS</v>
          </cell>
        </row>
        <row r="23">
          <cell r="E23" t="str">
            <v>TOR</v>
          </cell>
        </row>
        <row r="24">
          <cell r="E24" t="str">
            <v>PJ</v>
          </cell>
        </row>
        <row r="25">
          <cell r="E25" t="str">
            <v>DANIEL</v>
          </cell>
        </row>
        <row r="26">
          <cell r="E26" t="str">
            <v>BRIAN</v>
          </cell>
        </row>
        <row r="27">
          <cell r="E27" t="str">
            <v>LEO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斷絲"/>
      <sheetName val="C、D級"/>
      <sheetName val="實驗紗&amp;非當月生產"/>
      <sheetName val="(示眾台)"/>
      <sheetName val="IAD"/>
      <sheetName val="效率"/>
      <sheetName val="高低壓"/>
      <sheetName val="Sheet2"/>
      <sheetName val="ISO品質目標"/>
      <sheetName val="整理"/>
      <sheetName val="月報"/>
      <sheetName val="保留批號"/>
      <sheetName val="外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C、D級"/>
      <sheetName val="斷絲"/>
      <sheetName val="實驗紗&amp;非當月生產"/>
      <sheetName val="(示眾台)"/>
      <sheetName val="IAD"/>
      <sheetName val="效率"/>
      <sheetName val="高低壓"/>
      <sheetName val="Sheet2"/>
      <sheetName val="ABC區"/>
      <sheetName val="ISO品質目標"/>
      <sheetName val="整理"/>
      <sheetName val="月報"/>
      <sheetName val="外購"/>
      <sheetName val="保留批號"/>
      <sheetName val="產銷停機備註"/>
      <sheetName val="物性"/>
      <sheetName val="總表"/>
      <sheetName val="日誌斷絲"/>
      <sheetName val="條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２斷絲.IAD.效率"/>
      <sheetName val="分析_斷絲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１１直送"/>
      <sheetName val="１２升降速作業"/>
      <sheetName val="１３產銷延誤說明"/>
      <sheetName val="違規"/>
      <sheetName val="缺勤"/>
      <sheetName val="機台故障"/>
      <sheetName val="外勞異常記錄"/>
      <sheetName val="分析_倒筒機"/>
      <sheetName val="分析_倒筒機(樣品製作)"/>
      <sheetName val="分析_原絲"/>
      <sheetName val="分析_效率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 t="str">
            <v>批號</v>
          </cell>
          <cell r="B1" t="str">
            <v>Doff
Time</v>
          </cell>
          <cell r="C1" t="str">
            <v>落數</v>
          </cell>
          <cell r="E1" t="str">
            <v>規格</v>
          </cell>
          <cell r="F1" t="str">
            <v>POY</v>
          </cell>
          <cell r="G1" t="str">
            <v>車速</v>
          </cell>
          <cell r="H1" t="str">
            <v>打結器</v>
          </cell>
          <cell r="I1" t="str">
            <v>壓力</v>
          </cell>
          <cell r="J1" t="str">
            <v>高低壓</v>
          </cell>
          <cell r="K1" t="str">
            <v>紙管</v>
          </cell>
          <cell r="L1" t="str">
            <v>定重</v>
          </cell>
        </row>
        <row r="2">
          <cell r="A2" t="str">
            <v>2F42E3</v>
          </cell>
          <cell r="B2">
            <v>0.33819444444444452</v>
          </cell>
          <cell r="C2">
            <v>2.9568788501026688</v>
          </cell>
          <cell r="D2">
            <v>487.00000000000011</v>
          </cell>
          <cell r="E2" t="str">
            <v>150/144FCT</v>
          </cell>
          <cell r="F2" t="str">
            <v>FP81360R+81858</v>
          </cell>
          <cell r="G2">
            <v>500</v>
          </cell>
          <cell r="H2" t="str">
            <v>P203</v>
          </cell>
          <cell r="I2">
            <v>1.8</v>
          </cell>
          <cell r="J2" t="str">
            <v>高壓</v>
          </cell>
          <cell r="K2" t="str">
            <v>白底紅點</v>
          </cell>
          <cell r="L2">
            <v>4</v>
          </cell>
        </row>
        <row r="3">
          <cell r="A3" t="str">
            <v>2F42I2</v>
          </cell>
          <cell r="B3">
            <v>0.28263888888888888</v>
          </cell>
          <cell r="C3">
            <v>3.538083538083538</v>
          </cell>
          <cell r="D3">
            <v>407</v>
          </cell>
          <cell r="E3" t="str">
            <v>75/72/2PDR</v>
          </cell>
          <cell r="F3" t="str">
            <v>FP81334R×2</v>
          </cell>
          <cell r="G3">
            <v>600</v>
          </cell>
          <cell r="H3" t="str">
            <v>P203</v>
          </cell>
          <cell r="I3">
            <v>1.5</v>
          </cell>
          <cell r="J3" t="str">
            <v>高壓</v>
          </cell>
          <cell r="K3" t="str">
            <v>白紫條紋</v>
          </cell>
          <cell r="L3">
            <v>4</v>
          </cell>
        </row>
        <row r="4">
          <cell r="A4" t="str">
            <v>2F42J2</v>
          </cell>
          <cell r="B4">
            <v>0.28263888888888888</v>
          </cell>
          <cell r="C4">
            <v>3.538083538083538</v>
          </cell>
          <cell r="D4">
            <v>407</v>
          </cell>
          <cell r="E4" t="str">
            <v>75/72/2PDR</v>
          </cell>
          <cell r="F4" t="str">
            <v>FP81334R×2</v>
          </cell>
          <cell r="G4">
            <v>600</v>
          </cell>
          <cell r="H4" t="str">
            <v>P203</v>
          </cell>
          <cell r="I4">
            <v>1.5</v>
          </cell>
          <cell r="J4" t="str">
            <v>低壓</v>
          </cell>
          <cell r="K4" t="str">
            <v>黃底紅點</v>
          </cell>
          <cell r="L4">
            <v>4</v>
          </cell>
        </row>
        <row r="5">
          <cell r="A5" t="str">
            <v>2F42U2</v>
          </cell>
          <cell r="B5">
            <v>0.28194444444444439</v>
          </cell>
          <cell r="C5">
            <v>3.5467980295566508</v>
          </cell>
          <cell r="D5">
            <v>405.99999999999994</v>
          </cell>
          <cell r="E5" t="str">
            <v>75/72/2PDR</v>
          </cell>
          <cell r="F5" t="str">
            <v>FP81365R×2</v>
          </cell>
          <cell r="G5">
            <v>600</v>
          </cell>
          <cell r="H5" t="str">
            <v>P203</v>
          </cell>
          <cell r="I5">
            <v>1.5</v>
          </cell>
          <cell r="J5" t="str">
            <v>低壓</v>
          </cell>
          <cell r="K5" t="str">
            <v>粉紅色</v>
          </cell>
          <cell r="L5">
            <v>4</v>
          </cell>
        </row>
        <row r="6">
          <cell r="A6" t="str">
            <v>2F6EB2</v>
          </cell>
          <cell r="B6">
            <v>0.19722222222222219</v>
          </cell>
          <cell r="C6">
            <v>5.0704225352112688</v>
          </cell>
          <cell r="D6">
            <v>283.99999999999994</v>
          </cell>
          <cell r="E6" t="str">
            <v>150/48/2SDR2</v>
          </cell>
          <cell r="F6" t="str">
            <v>FP82127R×2</v>
          </cell>
          <cell r="G6">
            <v>600</v>
          </cell>
          <cell r="H6" t="str">
            <v>DH4318</v>
          </cell>
          <cell r="I6">
            <v>2.9</v>
          </cell>
          <cell r="J6" t="str">
            <v>低壓</v>
          </cell>
          <cell r="K6" t="str">
            <v>紅黑條紋</v>
          </cell>
          <cell r="L6">
            <v>5.5</v>
          </cell>
        </row>
        <row r="7">
          <cell r="A7" t="str">
            <v>2F6EE2</v>
          </cell>
          <cell r="B7">
            <v>0.1847222222222222</v>
          </cell>
          <cell r="C7">
            <v>5.4135338345864659</v>
          </cell>
          <cell r="D7">
            <v>266</v>
          </cell>
          <cell r="E7" t="str">
            <v>150/48/2SDR2</v>
          </cell>
          <cell r="F7" t="str">
            <v>FP82131R×2</v>
          </cell>
          <cell r="G7">
            <v>650</v>
          </cell>
          <cell r="H7" t="str">
            <v>P204</v>
          </cell>
          <cell r="I7">
            <v>2.7</v>
          </cell>
          <cell r="J7" t="str">
            <v>低壓</v>
          </cell>
          <cell r="K7" t="str">
            <v>白桔方塊</v>
          </cell>
          <cell r="L7">
            <v>5.5</v>
          </cell>
        </row>
        <row r="8">
          <cell r="A8" t="str">
            <v>2F6EF2</v>
          </cell>
          <cell r="B8">
            <v>0.19722222222222219</v>
          </cell>
          <cell r="C8">
            <v>5.0704225352112688</v>
          </cell>
          <cell r="D8">
            <v>283.99999999999994</v>
          </cell>
          <cell r="E8" t="str">
            <v>150/48/2SDR2</v>
          </cell>
          <cell r="F8" t="str">
            <v>FP82131R×2</v>
          </cell>
          <cell r="G8">
            <v>600</v>
          </cell>
          <cell r="H8" t="str">
            <v>P227</v>
          </cell>
          <cell r="I8">
            <v>2.2000000000000002</v>
          </cell>
          <cell r="J8" t="str">
            <v>低壓</v>
          </cell>
          <cell r="K8" t="str">
            <v>紅白直條</v>
          </cell>
          <cell r="L8">
            <v>5.5</v>
          </cell>
        </row>
        <row r="9">
          <cell r="A9" t="str">
            <v>2F6EG1</v>
          </cell>
          <cell r="B9">
            <v>0.16388888888888889</v>
          </cell>
          <cell r="C9">
            <v>6.101694915254237</v>
          </cell>
          <cell r="D9">
            <v>236</v>
          </cell>
          <cell r="E9" t="str">
            <v>150/48/2SDR</v>
          </cell>
          <cell r="F9" t="str">
            <v>FP82128R×2</v>
          </cell>
          <cell r="G9">
            <v>650</v>
          </cell>
          <cell r="H9" t="str">
            <v>P204</v>
          </cell>
          <cell r="I9">
            <v>1</v>
          </cell>
          <cell r="J9" t="str">
            <v>低壓</v>
          </cell>
          <cell r="K9" t="str">
            <v>白底紅點</v>
          </cell>
          <cell r="L9">
            <v>5</v>
          </cell>
        </row>
        <row r="10">
          <cell r="A10" t="str">
            <v>2F6EH2</v>
          </cell>
          <cell r="B10">
            <v>0.1791666666666667</v>
          </cell>
          <cell r="C10">
            <v>5.5813953488372077</v>
          </cell>
          <cell r="D10">
            <v>258.00000000000006</v>
          </cell>
          <cell r="E10" t="str">
            <v>150/48/2SDR2</v>
          </cell>
          <cell r="F10" t="str">
            <v>FP82134R×2</v>
          </cell>
          <cell r="G10">
            <v>670</v>
          </cell>
          <cell r="H10" t="str">
            <v>P204</v>
          </cell>
          <cell r="I10">
            <v>2.8</v>
          </cell>
          <cell r="J10" t="str">
            <v>高壓</v>
          </cell>
          <cell r="K10" t="str">
            <v>藍白十字</v>
          </cell>
          <cell r="L10">
            <v>5.5</v>
          </cell>
        </row>
        <row r="11">
          <cell r="A11" t="str">
            <v>2F6EK3</v>
          </cell>
          <cell r="B11">
            <v>0.20416666666666669</v>
          </cell>
          <cell r="C11">
            <v>4.8979591836734686</v>
          </cell>
          <cell r="D11">
            <v>294.00000000000006</v>
          </cell>
          <cell r="E11" t="str">
            <v>150/48/2SR6</v>
          </cell>
          <cell r="F11" t="str">
            <v>FP82634×2</v>
          </cell>
          <cell r="G11">
            <v>600</v>
          </cell>
          <cell r="H11" t="str">
            <v>P204</v>
          </cell>
          <cell r="I11">
            <v>3.7</v>
          </cell>
          <cell r="J11" t="str">
            <v>高壓</v>
          </cell>
          <cell r="K11" t="str">
            <v>桔色</v>
          </cell>
          <cell r="L11">
            <v>5.5</v>
          </cell>
        </row>
        <row r="12">
          <cell r="A12" t="str">
            <v>2F6EM3</v>
          </cell>
          <cell r="B12">
            <v>0.17291666666666669</v>
          </cell>
          <cell r="C12">
            <v>5.783132530120481</v>
          </cell>
          <cell r="D12">
            <v>249.00000000000003</v>
          </cell>
          <cell r="E12" t="str">
            <v>150/48/2ODR</v>
          </cell>
          <cell r="F12" t="str">
            <v>FP82136R×2</v>
          </cell>
          <cell r="G12">
            <v>550</v>
          </cell>
          <cell r="H12" t="str">
            <v>P204</v>
          </cell>
          <cell r="I12">
            <v>3.6</v>
          </cell>
          <cell r="J12" t="str">
            <v>高壓</v>
          </cell>
          <cell r="K12" t="str">
            <v>黃底黑點</v>
          </cell>
          <cell r="L12">
            <v>4.5</v>
          </cell>
        </row>
        <row r="13">
          <cell r="A13" t="str">
            <v>2F6EP1</v>
          </cell>
          <cell r="B13">
            <v>0.1645833333333333</v>
          </cell>
          <cell r="C13">
            <v>6.0759493670886089</v>
          </cell>
          <cell r="D13">
            <v>236.99999999999994</v>
          </cell>
          <cell r="E13" t="str">
            <v>150/48/2SDR</v>
          </cell>
          <cell r="F13" t="str">
            <v>FP82135R×2</v>
          </cell>
          <cell r="G13">
            <v>650</v>
          </cell>
          <cell r="H13" t="str">
            <v>P204</v>
          </cell>
          <cell r="I13">
            <v>1</v>
          </cell>
          <cell r="J13" t="str">
            <v>高壓</v>
          </cell>
          <cell r="K13" t="str">
            <v>藍底黑點</v>
          </cell>
          <cell r="L13">
            <v>5</v>
          </cell>
        </row>
        <row r="14">
          <cell r="A14" t="str">
            <v>2F6EQ1</v>
          </cell>
          <cell r="B14">
            <v>0.18194444444444441</v>
          </cell>
          <cell r="C14">
            <v>5.4961832061068714</v>
          </cell>
          <cell r="D14">
            <v>261.99999999999994</v>
          </cell>
          <cell r="E14" t="str">
            <v>150/48/2SR6</v>
          </cell>
          <cell r="F14" t="str">
            <v>FP82634×2</v>
          </cell>
          <cell r="G14">
            <v>600</v>
          </cell>
          <cell r="H14" t="str">
            <v>DH4318</v>
          </cell>
          <cell r="I14">
            <v>1.7</v>
          </cell>
          <cell r="J14" t="str">
            <v>高壓</v>
          </cell>
          <cell r="K14" t="str">
            <v>白紅條紋</v>
          </cell>
          <cell r="L14">
            <v>5</v>
          </cell>
        </row>
        <row r="15">
          <cell r="A15" t="str">
            <v>2F6ES1</v>
          </cell>
          <cell r="B15">
            <v>0.16388888888888889</v>
          </cell>
          <cell r="C15">
            <v>6.101694915254237</v>
          </cell>
          <cell r="D15">
            <v>236</v>
          </cell>
          <cell r="E15" t="str">
            <v>150/48/2SDR</v>
          </cell>
          <cell r="F15" t="str">
            <v>FP82135R×2</v>
          </cell>
          <cell r="G15">
            <v>650</v>
          </cell>
          <cell r="H15" t="str">
            <v>P204</v>
          </cell>
          <cell r="I15">
            <v>1</v>
          </cell>
          <cell r="J15" t="str">
            <v>高壓</v>
          </cell>
          <cell r="K15" t="str">
            <v>黃紅雙色</v>
          </cell>
          <cell r="L15">
            <v>5</v>
          </cell>
        </row>
        <row r="16">
          <cell r="A16" t="str">
            <v>2F6EW1</v>
          </cell>
          <cell r="B16">
            <v>0.18333333333333329</v>
          </cell>
          <cell r="C16">
            <v>5.4545454545454559</v>
          </cell>
          <cell r="D16">
            <v>263.99999999999994</v>
          </cell>
          <cell r="E16" t="str">
            <v>150/48/2FBR</v>
          </cell>
          <cell r="F16" t="str">
            <v>FP82141R×2</v>
          </cell>
          <cell r="G16">
            <v>600</v>
          </cell>
          <cell r="H16" t="str">
            <v>P204</v>
          </cell>
          <cell r="I16">
            <v>1.3</v>
          </cell>
          <cell r="J16" t="str">
            <v>高壓</v>
          </cell>
          <cell r="K16" t="str">
            <v>紅底藍點</v>
          </cell>
          <cell r="L16">
            <v>5</v>
          </cell>
        </row>
        <row r="17">
          <cell r="A17" t="str">
            <v>2F6FA3</v>
          </cell>
          <cell r="B17">
            <v>0.24444444444444441</v>
          </cell>
          <cell r="C17">
            <v>4.0909090909090917</v>
          </cell>
          <cell r="D17">
            <v>351.99999999999994</v>
          </cell>
          <cell r="E17" t="str">
            <v>150/36/2ODR</v>
          </cell>
          <cell r="F17" t="str">
            <v>FP82144R×2</v>
          </cell>
          <cell r="G17">
            <v>500</v>
          </cell>
          <cell r="H17" t="str">
            <v>P227</v>
          </cell>
          <cell r="I17">
            <v>2</v>
          </cell>
          <cell r="J17" t="str">
            <v>高壓</v>
          </cell>
          <cell r="K17" t="str">
            <v>白橘雙色</v>
          </cell>
          <cell r="L17">
            <v>5.5</v>
          </cell>
        </row>
        <row r="18">
          <cell r="A18" t="str">
            <v>2F6FB1</v>
          </cell>
          <cell r="B18">
            <v>0.18194444444444441</v>
          </cell>
          <cell r="C18">
            <v>5.4961832061068714</v>
          </cell>
          <cell r="D18">
            <v>261.99999999999994</v>
          </cell>
          <cell r="E18" t="str">
            <v>150/48/2SR6</v>
          </cell>
          <cell r="F18" t="str">
            <v>FP82645×2</v>
          </cell>
          <cell r="G18">
            <v>600</v>
          </cell>
          <cell r="H18" t="str">
            <v>DH4318</v>
          </cell>
          <cell r="I18">
            <v>1.7</v>
          </cell>
          <cell r="J18" t="str">
            <v>高壓</v>
          </cell>
          <cell r="K18" t="str">
            <v>白底紅點</v>
          </cell>
          <cell r="L18">
            <v>5</v>
          </cell>
        </row>
        <row r="19">
          <cell r="A19" t="str">
            <v>2F6FD1</v>
          </cell>
          <cell r="B19">
            <v>0.1986111111111111</v>
          </cell>
          <cell r="C19">
            <v>5.034965034965035</v>
          </cell>
          <cell r="D19">
            <v>286</v>
          </cell>
          <cell r="E19" t="str">
            <v>150/48/2HC</v>
          </cell>
          <cell r="F19" t="str">
            <v>FP82764×2</v>
          </cell>
          <cell r="G19">
            <v>600</v>
          </cell>
          <cell r="H19" t="str">
            <v>P227</v>
          </cell>
          <cell r="I19">
            <v>1.7</v>
          </cell>
          <cell r="J19" t="str">
            <v>高壓</v>
          </cell>
          <cell r="K19" t="str">
            <v>灰色</v>
          </cell>
          <cell r="L19">
            <v>5.5</v>
          </cell>
        </row>
        <row r="20">
          <cell r="A20" t="str">
            <v>2F6FE2</v>
          </cell>
          <cell r="B20">
            <v>0.19722222222222219</v>
          </cell>
          <cell r="C20">
            <v>5.0704225352112688</v>
          </cell>
          <cell r="D20">
            <v>283.99999999999994</v>
          </cell>
          <cell r="E20" t="str">
            <v>150/48/2SDR2</v>
          </cell>
          <cell r="F20" t="str">
            <v>FP82134R×2</v>
          </cell>
          <cell r="G20">
            <v>600</v>
          </cell>
          <cell r="H20" t="str">
            <v>DH4318</v>
          </cell>
          <cell r="I20">
            <v>3</v>
          </cell>
          <cell r="J20" t="str">
            <v>低壓</v>
          </cell>
          <cell r="K20" t="str">
            <v>黃黑直條</v>
          </cell>
          <cell r="L20">
            <v>5.5</v>
          </cell>
        </row>
        <row r="21">
          <cell r="A21" t="str">
            <v>2F6FF2</v>
          </cell>
          <cell r="B21">
            <v>0.1965277777777778</v>
          </cell>
          <cell r="C21">
            <v>5.0883392226148398</v>
          </cell>
          <cell r="D21">
            <v>283.00000000000006</v>
          </cell>
          <cell r="E21" t="str">
            <v>150/48/2SDR2</v>
          </cell>
          <cell r="F21" t="str">
            <v>FP82147R×2</v>
          </cell>
          <cell r="G21">
            <v>600</v>
          </cell>
          <cell r="H21" t="str">
            <v>DH4318</v>
          </cell>
          <cell r="I21">
            <v>2.9</v>
          </cell>
          <cell r="J21" t="str">
            <v>低壓</v>
          </cell>
          <cell r="K21" t="str">
            <v>白底紅心</v>
          </cell>
          <cell r="L21">
            <v>5.5</v>
          </cell>
        </row>
        <row r="22">
          <cell r="A22" t="str">
            <v>2F6FI1</v>
          </cell>
          <cell r="B22">
            <v>0.16875000000000001</v>
          </cell>
          <cell r="C22">
            <v>5.9259259259259256</v>
          </cell>
          <cell r="D22">
            <v>243.00000000000003</v>
          </cell>
          <cell r="E22" t="str">
            <v>150/48/2SDR</v>
          </cell>
          <cell r="F22" t="str">
            <v>FP82146R×2</v>
          </cell>
          <cell r="G22">
            <v>700</v>
          </cell>
          <cell r="H22" t="str">
            <v>P204</v>
          </cell>
          <cell r="I22">
            <v>2</v>
          </cell>
          <cell r="J22" t="str">
            <v>低壓</v>
          </cell>
          <cell r="K22" t="str">
            <v>紅底藍點</v>
          </cell>
          <cell r="L22">
            <v>5.5</v>
          </cell>
        </row>
        <row r="23">
          <cell r="A23" t="str">
            <v>2F6FJ3</v>
          </cell>
          <cell r="B23">
            <v>0.20416666666666669</v>
          </cell>
          <cell r="C23">
            <v>4.8979591836734686</v>
          </cell>
          <cell r="D23">
            <v>294.00000000000006</v>
          </cell>
          <cell r="E23" t="str">
            <v>150/48/2SR6</v>
          </cell>
          <cell r="F23" t="str">
            <v>FP82648×2</v>
          </cell>
          <cell r="G23">
            <v>600</v>
          </cell>
          <cell r="H23" t="str">
            <v>P204</v>
          </cell>
          <cell r="I23">
            <v>3.8</v>
          </cell>
          <cell r="J23" t="str">
            <v>高壓</v>
          </cell>
          <cell r="K23" t="str">
            <v>灰色</v>
          </cell>
          <cell r="L23">
            <v>5.5</v>
          </cell>
        </row>
        <row r="24">
          <cell r="A24" t="str">
            <v>2F6FM2</v>
          </cell>
          <cell r="B24">
            <v>0.18333333333333329</v>
          </cell>
          <cell r="C24">
            <v>5.4545454545454559</v>
          </cell>
          <cell r="D24">
            <v>263.99999999999994</v>
          </cell>
          <cell r="E24" t="str">
            <v>150/48/2SDR</v>
          </cell>
          <cell r="F24" t="str">
            <v>FP82147R×2</v>
          </cell>
          <cell r="G24">
            <v>650</v>
          </cell>
          <cell r="H24" t="str">
            <v>P204</v>
          </cell>
          <cell r="I24">
            <v>2.7</v>
          </cell>
          <cell r="J24" t="str">
            <v>低壓</v>
          </cell>
          <cell r="K24" t="str">
            <v>白紅條紋</v>
          </cell>
          <cell r="L24">
            <v>5.5</v>
          </cell>
        </row>
        <row r="25">
          <cell r="A25" t="str">
            <v>2F6FN3</v>
          </cell>
          <cell r="B25">
            <v>0.2409722222222222</v>
          </cell>
          <cell r="C25">
            <v>4.1498559077809807</v>
          </cell>
          <cell r="D25">
            <v>346.99999999999994</v>
          </cell>
          <cell r="E25" t="str">
            <v>150/36/2ODR</v>
          </cell>
          <cell r="F25" t="str">
            <v>FP82144R×2</v>
          </cell>
          <cell r="G25">
            <v>500</v>
          </cell>
          <cell r="H25" t="str">
            <v>P227</v>
          </cell>
          <cell r="I25">
            <v>2.9</v>
          </cell>
          <cell r="J25" t="str">
            <v>低壓</v>
          </cell>
          <cell r="K25" t="str">
            <v>紫黃條紋</v>
          </cell>
          <cell r="L25">
            <v>5.5</v>
          </cell>
        </row>
        <row r="26">
          <cell r="A26" t="str">
            <v>2F6FQ1</v>
          </cell>
          <cell r="B26">
            <v>0.16875000000000001</v>
          </cell>
          <cell r="C26">
            <v>5.9259259259259256</v>
          </cell>
          <cell r="D26">
            <v>243.00000000000003</v>
          </cell>
          <cell r="E26" t="str">
            <v>150/48/2SDR2</v>
          </cell>
          <cell r="F26" t="str">
            <v>FP82137R×2</v>
          </cell>
          <cell r="G26">
            <v>700</v>
          </cell>
          <cell r="H26" t="str">
            <v>P204</v>
          </cell>
          <cell r="I26">
            <v>2</v>
          </cell>
          <cell r="J26" t="str">
            <v>低壓</v>
          </cell>
          <cell r="K26" t="str">
            <v>橘色</v>
          </cell>
          <cell r="L26">
            <v>5.5</v>
          </cell>
        </row>
        <row r="27">
          <cell r="A27" t="str">
            <v>2F6FR2</v>
          </cell>
          <cell r="B27">
            <v>0.1791666666666667</v>
          </cell>
          <cell r="C27">
            <v>5.5813953488372077</v>
          </cell>
          <cell r="D27">
            <v>258.00000000000006</v>
          </cell>
          <cell r="E27" t="str">
            <v>150/48/2SDR2</v>
          </cell>
          <cell r="F27" t="str">
            <v>FP82148R×2</v>
          </cell>
          <cell r="G27">
            <v>670</v>
          </cell>
          <cell r="H27" t="str">
            <v>P204</v>
          </cell>
          <cell r="I27">
            <v>2.8</v>
          </cell>
          <cell r="J27" t="str">
            <v>低壓</v>
          </cell>
          <cell r="K27" t="str">
            <v>紫底白點</v>
          </cell>
          <cell r="L27">
            <v>5.5</v>
          </cell>
        </row>
        <row r="28">
          <cell r="A28" t="str">
            <v>2F6FS1</v>
          </cell>
          <cell r="B28">
            <v>0.16944444444444451</v>
          </cell>
          <cell r="C28">
            <v>5.9016393442622928</v>
          </cell>
          <cell r="D28">
            <v>244.00000000000009</v>
          </cell>
          <cell r="E28" t="str">
            <v>150/48/2SDR2</v>
          </cell>
          <cell r="F28" t="str">
            <v>FP82137R×2</v>
          </cell>
          <cell r="G28">
            <v>700</v>
          </cell>
          <cell r="H28" t="str">
            <v>P204</v>
          </cell>
          <cell r="I28">
            <v>2</v>
          </cell>
          <cell r="J28" t="str">
            <v>高壓</v>
          </cell>
          <cell r="K28" t="str">
            <v>黃綠條紋</v>
          </cell>
          <cell r="L28">
            <v>5.5</v>
          </cell>
        </row>
        <row r="29">
          <cell r="A29" t="str">
            <v>2F6FT2</v>
          </cell>
          <cell r="B29">
            <v>0.19791666666666671</v>
          </cell>
          <cell r="C29">
            <v>5.0526315789473673</v>
          </cell>
          <cell r="D29">
            <v>285.00000000000006</v>
          </cell>
          <cell r="E29" t="str">
            <v>150/48/2SDR2</v>
          </cell>
          <cell r="F29" t="str">
            <v>FP82148R×2</v>
          </cell>
          <cell r="G29">
            <v>600</v>
          </cell>
          <cell r="H29" t="str">
            <v>DH4318</v>
          </cell>
          <cell r="I29">
            <v>3.1</v>
          </cell>
          <cell r="J29" t="str">
            <v>高壓</v>
          </cell>
          <cell r="K29" t="str">
            <v>白底綠方塊</v>
          </cell>
          <cell r="L29">
            <v>5.5</v>
          </cell>
        </row>
        <row r="30">
          <cell r="A30" t="str">
            <v>2F6FU2</v>
          </cell>
          <cell r="B30">
            <v>0.19722222222222219</v>
          </cell>
          <cell r="C30">
            <v>5.0704225352112688</v>
          </cell>
          <cell r="D30">
            <v>283.99999999999994</v>
          </cell>
          <cell r="E30" t="str">
            <v>150/48/2SDR2</v>
          </cell>
          <cell r="F30" t="str">
            <v>FP82155R×2</v>
          </cell>
          <cell r="G30">
            <v>600</v>
          </cell>
          <cell r="H30" t="str">
            <v>P227</v>
          </cell>
          <cell r="I30">
            <v>2.2000000000000002</v>
          </cell>
          <cell r="J30" t="str">
            <v>低壓</v>
          </cell>
          <cell r="K30" t="str">
            <v>白底藍三角</v>
          </cell>
          <cell r="L30">
            <v>5.5</v>
          </cell>
        </row>
        <row r="31">
          <cell r="A31" t="str">
            <v>2F6FV2</v>
          </cell>
          <cell r="B31">
            <v>0.1847222222222222</v>
          </cell>
          <cell r="C31">
            <v>5.4135338345864659</v>
          </cell>
          <cell r="D31">
            <v>266</v>
          </cell>
          <cell r="E31" t="str">
            <v>150/48/2SDR2</v>
          </cell>
          <cell r="F31" t="str">
            <v>FP82155R×2</v>
          </cell>
          <cell r="G31">
            <v>650</v>
          </cell>
          <cell r="H31" t="str">
            <v>P204</v>
          </cell>
          <cell r="I31">
            <v>2.7</v>
          </cell>
          <cell r="J31" t="str">
            <v>低壓</v>
          </cell>
          <cell r="K31" t="str">
            <v>白桔雙色</v>
          </cell>
          <cell r="L31">
            <v>5.5</v>
          </cell>
        </row>
        <row r="32">
          <cell r="A32" t="str">
            <v>2F6FW2</v>
          </cell>
          <cell r="B32">
            <v>0.19722222222222219</v>
          </cell>
          <cell r="C32">
            <v>5.0704225352112688</v>
          </cell>
          <cell r="D32">
            <v>283.99999999999994</v>
          </cell>
          <cell r="E32" t="str">
            <v>150/48/2SDR2</v>
          </cell>
          <cell r="F32" t="str">
            <v>FP82156R×2</v>
          </cell>
          <cell r="G32">
            <v>600</v>
          </cell>
          <cell r="H32" t="str">
            <v>DH4318</v>
          </cell>
          <cell r="I32">
            <v>2.8</v>
          </cell>
          <cell r="J32" t="str">
            <v>高壓</v>
          </cell>
          <cell r="K32" t="str">
            <v>綠藍雙色</v>
          </cell>
          <cell r="L32">
            <v>5.5</v>
          </cell>
        </row>
        <row r="33">
          <cell r="A33" t="str">
            <v>2F6FY2</v>
          </cell>
          <cell r="B33">
            <v>0.18263888888888891</v>
          </cell>
          <cell r="C33">
            <v>5.4752851711026613</v>
          </cell>
          <cell r="D33">
            <v>263</v>
          </cell>
          <cell r="E33" t="str">
            <v>150/48/2SDR2</v>
          </cell>
          <cell r="F33" t="str">
            <v>FP82156R×2</v>
          </cell>
          <cell r="G33">
            <v>650</v>
          </cell>
          <cell r="H33" t="str">
            <v>P204</v>
          </cell>
          <cell r="I33">
            <v>2.7</v>
          </cell>
          <cell r="J33" t="str">
            <v>高壓</v>
          </cell>
          <cell r="K33" t="str">
            <v>藍底黑點</v>
          </cell>
          <cell r="L33">
            <v>5.5</v>
          </cell>
        </row>
        <row r="34">
          <cell r="A34" t="str">
            <v>2F6FZ2</v>
          </cell>
          <cell r="B34">
            <v>0.1847222222222222</v>
          </cell>
          <cell r="C34">
            <v>5.4135338345864659</v>
          </cell>
          <cell r="D34">
            <v>266</v>
          </cell>
          <cell r="E34" t="str">
            <v>150/48/2SDR</v>
          </cell>
          <cell r="F34" t="str">
            <v>FP82153R×2</v>
          </cell>
          <cell r="G34">
            <v>650</v>
          </cell>
          <cell r="H34" t="str">
            <v>P204</v>
          </cell>
          <cell r="I34">
            <v>2.8</v>
          </cell>
          <cell r="J34" t="str">
            <v>高壓</v>
          </cell>
          <cell r="K34" t="str">
            <v>紅底藍點</v>
          </cell>
          <cell r="L34">
            <v>5.5</v>
          </cell>
        </row>
        <row r="35">
          <cell r="A35" t="str">
            <v>2F6GA3</v>
          </cell>
          <cell r="B35">
            <v>0.20208333333333331</v>
          </cell>
          <cell r="C35">
            <v>4.9484536082474238</v>
          </cell>
          <cell r="D35">
            <v>290.99999999999994</v>
          </cell>
          <cell r="E35" t="str">
            <v>150/48/2SR6</v>
          </cell>
          <cell r="F35" t="str">
            <v>FP82649×2</v>
          </cell>
          <cell r="G35">
            <v>600</v>
          </cell>
          <cell r="H35" t="str">
            <v>P204</v>
          </cell>
          <cell r="I35">
            <v>3.8</v>
          </cell>
          <cell r="J35" t="str">
            <v>高壓</v>
          </cell>
          <cell r="K35" t="str">
            <v>白底橘方塊</v>
          </cell>
          <cell r="L35">
            <v>5.5</v>
          </cell>
        </row>
        <row r="36">
          <cell r="A36" t="str">
            <v>2F6GC2</v>
          </cell>
          <cell r="B36">
            <v>0.17152777777777781</v>
          </cell>
          <cell r="C36">
            <v>5.8299595141700395</v>
          </cell>
          <cell r="D36">
            <v>247.00000000000003</v>
          </cell>
          <cell r="E36" t="str">
            <v>150/48/2SDR</v>
          </cell>
          <cell r="F36" t="str">
            <v>FP82161R×2</v>
          </cell>
          <cell r="G36">
            <v>700</v>
          </cell>
          <cell r="H36" t="str">
            <v>P204</v>
          </cell>
          <cell r="I36">
            <v>2.9</v>
          </cell>
          <cell r="J36" t="str">
            <v>高壓</v>
          </cell>
          <cell r="K36" t="str">
            <v>橘色</v>
          </cell>
          <cell r="L36">
            <v>5.5</v>
          </cell>
        </row>
        <row r="37">
          <cell r="A37" t="str">
            <v>2F6GD2</v>
          </cell>
          <cell r="B37">
            <v>0.17152777777777781</v>
          </cell>
          <cell r="C37">
            <v>5.8299595141700395</v>
          </cell>
          <cell r="D37">
            <v>247.00000000000003</v>
          </cell>
          <cell r="E37" t="str">
            <v>150/48/2SDR2</v>
          </cell>
          <cell r="F37" t="str">
            <v>FP82159R×2</v>
          </cell>
          <cell r="G37">
            <v>700</v>
          </cell>
          <cell r="H37" t="str">
            <v>P204</v>
          </cell>
          <cell r="I37">
            <v>2.8</v>
          </cell>
          <cell r="J37" t="str">
            <v>低壓</v>
          </cell>
          <cell r="K37" t="str">
            <v>白底橘方塊</v>
          </cell>
          <cell r="L37">
            <v>5.5</v>
          </cell>
        </row>
        <row r="38">
          <cell r="A38" t="str">
            <v>2F6GG2</v>
          </cell>
          <cell r="B38">
            <v>0.17222222222222219</v>
          </cell>
          <cell r="C38">
            <v>5.8064516129032269</v>
          </cell>
          <cell r="D38">
            <v>247.99999999999997</v>
          </cell>
          <cell r="E38" t="str">
            <v>150/48/2SDR</v>
          </cell>
          <cell r="F38" t="str">
            <v>FP82163R×2</v>
          </cell>
          <cell r="G38">
            <v>700</v>
          </cell>
          <cell r="H38" t="str">
            <v>P204</v>
          </cell>
          <cell r="I38">
            <v>2.9</v>
          </cell>
          <cell r="J38" t="str">
            <v>高壓</v>
          </cell>
          <cell r="K38" t="str">
            <v>黃底黑點</v>
          </cell>
          <cell r="L38">
            <v>5.5</v>
          </cell>
        </row>
        <row r="39">
          <cell r="A39" t="str">
            <v>2F6GH2</v>
          </cell>
          <cell r="B39">
            <v>0.1701388888888889</v>
          </cell>
          <cell r="C39">
            <v>5.8775510204081636</v>
          </cell>
          <cell r="D39">
            <v>245</v>
          </cell>
          <cell r="E39" t="str">
            <v>150/48/2SDR1</v>
          </cell>
          <cell r="F39" t="str">
            <v>FP82156R×2</v>
          </cell>
          <cell r="G39">
            <v>700</v>
          </cell>
          <cell r="H39" t="str">
            <v>P204</v>
          </cell>
          <cell r="I39">
            <v>2.8</v>
          </cell>
          <cell r="J39" t="str">
            <v>高壓</v>
          </cell>
          <cell r="K39" t="str">
            <v>紫黃條紋</v>
          </cell>
          <cell r="L39">
            <v>5.5</v>
          </cell>
        </row>
        <row r="40">
          <cell r="A40" t="str">
            <v>2F6GL1</v>
          </cell>
          <cell r="B40">
            <v>0.16944444444444451</v>
          </cell>
          <cell r="C40">
            <v>5.9016393442622928</v>
          </cell>
          <cell r="D40">
            <v>244.00000000000009</v>
          </cell>
          <cell r="E40" t="str">
            <v>150/48/2SDR2</v>
          </cell>
          <cell r="F40" t="str">
            <v>FP82163R×2</v>
          </cell>
          <cell r="G40">
            <v>700</v>
          </cell>
          <cell r="H40" t="str">
            <v>P204</v>
          </cell>
          <cell r="I40">
            <v>2</v>
          </cell>
          <cell r="J40" t="str">
            <v>高壓</v>
          </cell>
          <cell r="K40" t="str">
            <v>紅底藍點</v>
          </cell>
          <cell r="L40">
            <v>5.5</v>
          </cell>
        </row>
        <row r="41">
          <cell r="A41" t="str">
            <v>2F7D11</v>
          </cell>
          <cell r="B41">
            <v>0.17986111111111111</v>
          </cell>
          <cell r="C41">
            <v>5.5598455598455603</v>
          </cell>
          <cell r="D41">
            <v>259</v>
          </cell>
          <cell r="E41" t="str">
            <v>165/48/2SR6</v>
          </cell>
          <cell r="F41" t="str">
            <v>FP82644×2</v>
          </cell>
          <cell r="G41">
            <v>550</v>
          </cell>
          <cell r="H41" t="str">
            <v>DH4318</v>
          </cell>
          <cell r="I41">
            <v>1.2</v>
          </cell>
          <cell r="J41" t="str">
            <v>高壓</v>
          </cell>
          <cell r="K41" t="str">
            <v>橘色</v>
          </cell>
          <cell r="L41">
            <v>5</v>
          </cell>
        </row>
        <row r="42">
          <cell r="A42" t="str">
            <v>2F7D21</v>
          </cell>
          <cell r="B42">
            <v>0.1791666666666667</v>
          </cell>
          <cell r="C42">
            <v>5.5813953488372077</v>
          </cell>
          <cell r="D42">
            <v>258.00000000000006</v>
          </cell>
          <cell r="E42" t="str">
            <v>165/48/2SR6</v>
          </cell>
          <cell r="F42" t="str">
            <v>FP82652×2</v>
          </cell>
          <cell r="G42">
            <v>550</v>
          </cell>
          <cell r="H42" t="str">
            <v>DH4318</v>
          </cell>
          <cell r="I42">
            <v>1.2</v>
          </cell>
          <cell r="J42" t="str">
            <v>高壓</v>
          </cell>
          <cell r="K42" t="str">
            <v>黃底紅點</v>
          </cell>
          <cell r="L42">
            <v>5</v>
          </cell>
        </row>
        <row r="43">
          <cell r="A43" t="str">
            <v>2F7D33</v>
          </cell>
          <cell r="B43">
            <v>0.15069444444444441</v>
          </cell>
          <cell r="C43">
            <v>6.635944700460831</v>
          </cell>
          <cell r="D43">
            <v>216.99999999999994</v>
          </cell>
          <cell r="E43" t="str">
            <v>225/72/2SRR5</v>
          </cell>
          <cell r="F43" t="str">
            <v>FP83602R×2</v>
          </cell>
          <cell r="G43">
            <v>500</v>
          </cell>
          <cell r="H43" t="str">
            <v>P227</v>
          </cell>
          <cell r="I43">
            <v>3.3</v>
          </cell>
          <cell r="J43" t="str">
            <v>高壓</v>
          </cell>
          <cell r="K43" t="str">
            <v>白底綠星</v>
          </cell>
          <cell r="L43">
            <v>5</v>
          </cell>
        </row>
        <row r="44">
          <cell r="A44" t="str">
            <v>2F7D42</v>
          </cell>
          <cell r="B44">
            <v>0.40486111111111112</v>
          </cell>
          <cell r="C44">
            <v>2.4699828473413379</v>
          </cell>
          <cell r="D44">
            <v>583</v>
          </cell>
          <cell r="E44" t="str">
            <v>60/96ESDR</v>
          </cell>
          <cell r="F44" t="str">
            <v>FP81359R</v>
          </cell>
          <cell r="G44">
            <v>500</v>
          </cell>
          <cell r="H44" t="str">
            <v>P142</v>
          </cell>
          <cell r="I44">
            <v>0.6</v>
          </cell>
          <cell r="J44" t="str">
            <v>低壓</v>
          </cell>
          <cell r="K44" t="str">
            <v>黃紅雙色</v>
          </cell>
          <cell r="L44">
            <v>2</v>
          </cell>
        </row>
        <row r="45">
          <cell r="A45" t="str">
            <v>2F7D53</v>
          </cell>
          <cell r="B45">
            <v>0.15208333333333329</v>
          </cell>
          <cell r="C45">
            <v>6.5753424657534261</v>
          </cell>
          <cell r="D45">
            <v>218.99999999999994</v>
          </cell>
          <cell r="E45" t="str">
            <v>225/72/2SDR2</v>
          </cell>
          <cell r="F45" t="str">
            <v>FP83021R×2</v>
          </cell>
          <cell r="G45">
            <v>550</v>
          </cell>
          <cell r="H45" t="str">
            <v>P227</v>
          </cell>
          <cell r="I45">
            <v>3.2</v>
          </cell>
          <cell r="J45" t="str">
            <v>高壓</v>
          </cell>
          <cell r="K45" t="str">
            <v>黃底綠星</v>
          </cell>
          <cell r="L45">
            <v>5.5</v>
          </cell>
        </row>
        <row r="46">
          <cell r="A46" t="str">
            <v>2F7D63</v>
          </cell>
          <cell r="B46">
            <v>0.15208333333333329</v>
          </cell>
          <cell r="C46">
            <v>6.5753424657534261</v>
          </cell>
          <cell r="D46">
            <v>218.99999999999994</v>
          </cell>
          <cell r="E46" t="str">
            <v>225/72/2SDR2</v>
          </cell>
          <cell r="F46" t="str">
            <v>FP83023R×2</v>
          </cell>
          <cell r="G46">
            <v>550</v>
          </cell>
          <cell r="H46" t="str">
            <v>P227</v>
          </cell>
          <cell r="I46">
            <v>3.2</v>
          </cell>
          <cell r="J46" t="str">
            <v>高壓</v>
          </cell>
          <cell r="K46" t="str">
            <v>白底綠星</v>
          </cell>
          <cell r="L46">
            <v>5.5</v>
          </cell>
        </row>
        <row r="47">
          <cell r="A47" t="str">
            <v>2F6GM1</v>
          </cell>
          <cell r="B47">
            <v>0.16388888888888889</v>
          </cell>
          <cell r="C47">
            <v>6.101694915254237</v>
          </cell>
          <cell r="D47">
            <v>236</v>
          </cell>
          <cell r="E47" t="str">
            <v>150/48/2SDR</v>
          </cell>
          <cell r="F47" t="str">
            <v>FP82163R×2</v>
          </cell>
          <cell r="G47">
            <v>650</v>
          </cell>
          <cell r="H47" t="str">
            <v>P204</v>
          </cell>
          <cell r="I47">
            <v>1</v>
          </cell>
          <cell r="J47" t="str">
            <v>高壓</v>
          </cell>
          <cell r="K47" t="str">
            <v>黃底綠星</v>
          </cell>
          <cell r="L47">
            <v>5</v>
          </cell>
        </row>
        <row r="48">
          <cell r="A48" t="str">
            <v>2F6GK3</v>
          </cell>
          <cell r="B48">
            <v>0.17222222222222219</v>
          </cell>
          <cell r="C48">
            <v>5.8064516129032269</v>
          </cell>
          <cell r="D48">
            <v>247.99999999999997</v>
          </cell>
          <cell r="E48" t="str">
            <v>150/48/2ODR</v>
          </cell>
          <cell r="F48" t="str">
            <v>FP82136R×2</v>
          </cell>
          <cell r="G48">
            <v>550</v>
          </cell>
          <cell r="H48" t="str">
            <v>P204</v>
          </cell>
          <cell r="I48">
            <v>3.5</v>
          </cell>
          <cell r="J48" t="str">
            <v>高壓</v>
          </cell>
          <cell r="K48" t="str">
            <v>白底黑點</v>
          </cell>
          <cell r="L48">
            <v>4.5</v>
          </cell>
        </row>
        <row r="49">
          <cell r="A49" t="str">
            <v>2F6GN2</v>
          </cell>
          <cell r="B49">
            <v>0.1701388888888889</v>
          </cell>
          <cell r="C49">
            <v>5.8775510204081636</v>
          </cell>
          <cell r="D49">
            <v>245</v>
          </cell>
          <cell r="E49" t="str">
            <v>150/48/2SDR</v>
          </cell>
          <cell r="F49" t="str">
            <v>FP82163R×2</v>
          </cell>
          <cell r="G49">
            <v>700</v>
          </cell>
          <cell r="H49" t="str">
            <v>P204</v>
          </cell>
          <cell r="I49">
            <v>2.9</v>
          </cell>
          <cell r="J49" t="str">
            <v>低壓</v>
          </cell>
          <cell r="K49" t="str">
            <v>灰色</v>
          </cell>
          <cell r="L49">
            <v>5.5</v>
          </cell>
        </row>
        <row r="50">
          <cell r="A50" t="str">
            <v>2F6GP1</v>
          </cell>
          <cell r="B50">
            <v>0.1680555555555556</v>
          </cell>
          <cell r="C50">
            <v>5.9504132231404947</v>
          </cell>
          <cell r="D50">
            <v>242.00000000000006</v>
          </cell>
          <cell r="E50" t="str">
            <v>150/48/2SDR</v>
          </cell>
          <cell r="F50" t="str">
            <v>FP82163R×2</v>
          </cell>
          <cell r="G50">
            <v>700</v>
          </cell>
          <cell r="H50" t="str">
            <v>P204</v>
          </cell>
          <cell r="I50">
            <v>1.9</v>
          </cell>
          <cell r="J50" t="str">
            <v>低壓</v>
          </cell>
          <cell r="K50" t="str">
            <v>黃底黑點</v>
          </cell>
          <cell r="L50">
            <v>5.5</v>
          </cell>
        </row>
        <row r="51">
          <cell r="A51" t="str">
            <v>2F42Z2</v>
          </cell>
          <cell r="B51">
            <v>0.31527777777777782</v>
          </cell>
          <cell r="C51">
            <v>3.1718061674008808</v>
          </cell>
          <cell r="D51">
            <v>454.00000000000006</v>
          </cell>
          <cell r="E51" t="str">
            <v>75/72/2SDR</v>
          </cell>
          <cell r="F51" t="str">
            <v>FP81383R×2</v>
          </cell>
          <cell r="G51">
            <v>650</v>
          </cell>
          <cell r="H51" t="str">
            <v>P203</v>
          </cell>
          <cell r="I51">
            <v>1.4</v>
          </cell>
          <cell r="J51" t="str">
            <v>低壓</v>
          </cell>
          <cell r="K51" t="str">
            <v>紅底藍點</v>
          </cell>
          <cell r="L51">
            <v>5</v>
          </cell>
        </row>
        <row r="52">
          <cell r="A52" t="str">
            <v>2FA023</v>
          </cell>
          <cell r="B52">
            <v>0.63263888888888886</v>
          </cell>
          <cell r="C52">
            <v>1.5806805708013172</v>
          </cell>
          <cell r="D52">
            <v>911</v>
          </cell>
          <cell r="E52" t="str">
            <v>75/72PDR</v>
          </cell>
          <cell r="F52" t="str">
            <v>FP81365R</v>
          </cell>
          <cell r="G52">
            <v>650</v>
          </cell>
          <cell r="H52" t="str">
            <v>P203</v>
          </cell>
          <cell r="I52">
            <v>1.2</v>
          </cell>
          <cell r="J52" t="str">
            <v>低壓</v>
          </cell>
          <cell r="K52" t="str">
            <v>黃底紅點</v>
          </cell>
          <cell r="L52">
            <v>5</v>
          </cell>
        </row>
        <row r="53">
          <cell r="A53" t="str">
            <v>2F43C2</v>
          </cell>
          <cell r="B53">
            <v>0.35555555555555562</v>
          </cell>
          <cell r="C53">
            <v>2.8124999999999996</v>
          </cell>
          <cell r="D53">
            <v>512.00000000000011</v>
          </cell>
          <cell r="E53" t="str">
            <v>75/72/2SDR</v>
          </cell>
          <cell r="F53" t="str">
            <v>FP11915R×2</v>
          </cell>
          <cell r="G53">
            <v>600</v>
          </cell>
          <cell r="H53" t="str">
            <v>P203</v>
          </cell>
          <cell r="I53">
            <v>1.3</v>
          </cell>
          <cell r="J53" t="str">
            <v>低壓</v>
          </cell>
          <cell r="K53" t="str">
            <v>黃綠條紋</v>
          </cell>
          <cell r="L53">
            <v>5</v>
          </cell>
        </row>
        <row r="54">
          <cell r="A54" t="str">
            <v>2F6GS1</v>
          </cell>
          <cell r="B54">
            <v>0.17222222222222219</v>
          </cell>
          <cell r="C54">
            <v>5.8064516129032269</v>
          </cell>
          <cell r="D54">
            <v>247.99999999999997</v>
          </cell>
          <cell r="E54" t="str">
            <v>150/48/2SDR</v>
          </cell>
          <cell r="F54" t="str">
            <v>FP82166R×2</v>
          </cell>
          <cell r="G54">
            <v>625</v>
          </cell>
          <cell r="H54" t="str">
            <v>P204</v>
          </cell>
          <cell r="I54">
            <v>1.7</v>
          </cell>
          <cell r="J54" t="str">
            <v>低壓</v>
          </cell>
          <cell r="K54" t="str">
            <v>紅底黃星</v>
          </cell>
          <cell r="L54">
            <v>5</v>
          </cell>
        </row>
        <row r="55">
          <cell r="A55" t="str">
            <v>2F6GR2</v>
          </cell>
          <cell r="B55">
            <v>0.16666666666666671</v>
          </cell>
          <cell r="C55">
            <v>5.9999999999999982</v>
          </cell>
          <cell r="D55">
            <v>240.00000000000006</v>
          </cell>
          <cell r="E55" t="str">
            <v>150/48/2SDR</v>
          </cell>
          <cell r="F55" t="str">
            <v>FP82166R×2</v>
          </cell>
          <cell r="G55">
            <v>650</v>
          </cell>
          <cell r="H55" t="str">
            <v>P204</v>
          </cell>
          <cell r="I55">
            <v>2.5</v>
          </cell>
          <cell r="J55" t="str">
            <v>低壓</v>
          </cell>
          <cell r="K55" t="str">
            <v>白紫條紋</v>
          </cell>
          <cell r="L55">
            <v>5</v>
          </cell>
        </row>
        <row r="56">
          <cell r="A56" t="str">
            <v>2F6GU2</v>
          </cell>
          <cell r="B56">
            <v>0.16944444444444451</v>
          </cell>
          <cell r="C56">
            <v>5.9016393442622928</v>
          </cell>
          <cell r="D56">
            <v>244.00000000000009</v>
          </cell>
          <cell r="E56" t="str">
            <v>150/48/2SDr</v>
          </cell>
          <cell r="F56" t="str">
            <v>FP82170R×2</v>
          </cell>
          <cell r="G56">
            <v>700</v>
          </cell>
          <cell r="H56" t="str">
            <v>P204</v>
          </cell>
          <cell r="I56">
            <v>2.9</v>
          </cell>
          <cell r="J56" t="str">
            <v>高壓</v>
          </cell>
          <cell r="K56" t="str">
            <v>紫色</v>
          </cell>
          <cell r="L56">
            <v>5.5</v>
          </cell>
        </row>
        <row r="57">
          <cell r="A57" t="str">
            <v>2F6GT2</v>
          </cell>
          <cell r="B57">
            <v>0.17152777777777781</v>
          </cell>
          <cell r="C57">
            <v>5.8299595141700395</v>
          </cell>
          <cell r="D57">
            <v>247.00000000000003</v>
          </cell>
          <cell r="E57" t="str">
            <v>150/48/2SDr</v>
          </cell>
          <cell r="F57" t="str">
            <v>FP82170R×2</v>
          </cell>
          <cell r="G57">
            <v>700</v>
          </cell>
          <cell r="H57" t="str">
            <v>P204</v>
          </cell>
          <cell r="I57">
            <v>2.8</v>
          </cell>
          <cell r="J57" t="str">
            <v>高壓</v>
          </cell>
          <cell r="K57" t="str">
            <v>黃黑條紋</v>
          </cell>
          <cell r="L57">
            <v>5.5</v>
          </cell>
        </row>
        <row r="58">
          <cell r="A58" t="str">
            <v>2F6GV2</v>
          </cell>
          <cell r="B58">
            <v>0.17152777777777781</v>
          </cell>
          <cell r="C58">
            <v>5.8299595141700395</v>
          </cell>
          <cell r="D58">
            <v>247.00000000000003</v>
          </cell>
          <cell r="E58" t="str">
            <v>150/48/2SDr</v>
          </cell>
          <cell r="F58" t="str">
            <v>FP82168R×2</v>
          </cell>
          <cell r="G58">
            <v>700</v>
          </cell>
          <cell r="H58" t="str">
            <v>P204</v>
          </cell>
          <cell r="I58">
            <v>2.8</v>
          </cell>
          <cell r="J58" t="str">
            <v>低壓</v>
          </cell>
          <cell r="K58" t="str">
            <v>紫底白點</v>
          </cell>
          <cell r="L58">
            <v>5.5</v>
          </cell>
        </row>
        <row r="59">
          <cell r="A59" t="str">
            <v>2F7D93</v>
          </cell>
          <cell r="B59">
            <v>0.15138888888888891</v>
          </cell>
          <cell r="C59">
            <v>6.6055045871559628</v>
          </cell>
          <cell r="D59">
            <v>218.00000000000003</v>
          </cell>
          <cell r="E59" t="str">
            <v>225/72/2SDr</v>
          </cell>
          <cell r="F59" t="str">
            <v>FP83023R×2</v>
          </cell>
          <cell r="G59">
            <v>550</v>
          </cell>
          <cell r="H59" t="str">
            <v>P227</v>
          </cell>
          <cell r="I59">
            <v>3.2</v>
          </cell>
          <cell r="J59" t="str">
            <v>高壓</v>
          </cell>
          <cell r="K59" t="str">
            <v>白底紅星</v>
          </cell>
          <cell r="L59">
            <v>5.5</v>
          </cell>
        </row>
        <row r="60">
          <cell r="A60" t="str">
            <v>2F6GY2</v>
          </cell>
          <cell r="B60">
            <v>0.16666666666666671</v>
          </cell>
          <cell r="C60">
            <v>5.9999999999999982</v>
          </cell>
          <cell r="D60">
            <v>240.00000000000006</v>
          </cell>
          <cell r="E60" t="str">
            <v>150/48/2SDR</v>
          </cell>
          <cell r="F60" t="str">
            <v>FP82167R×2</v>
          </cell>
          <cell r="G60">
            <v>650</v>
          </cell>
          <cell r="H60" t="str">
            <v>P204</v>
          </cell>
          <cell r="I60">
            <v>2.4</v>
          </cell>
          <cell r="J60" t="str">
            <v>低壓</v>
          </cell>
          <cell r="K60" t="str">
            <v>紫黃條紋</v>
          </cell>
          <cell r="L60">
            <v>5</v>
          </cell>
        </row>
        <row r="61">
          <cell r="A61" t="str">
            <v>2F6GX1</v>
          </cell>
          <cell r="B61">
            <v>0.16666666666666671</v>
          </cell>
          <cell r="C61">
            <v>5.9999999999999982</v>
          </cell>
          <cell r="D61">
            <v>240.00000000000006</v>
          </cell>
          <cell r="E61" t="str">
            <v>150/48/2SDR</v>
          </cell>
          <cell r="F61" t="str">
            <v>FP82167R×2</v>
          </cell>
          <cell r="G61">
            <v>650</v>
          </cell>
          <cell r="H61" t="str">
            <v>P204</v>
          </cell>
          <cell r="I61">
            <v>1.7</v>
          </cell>
          <cell r="J61" t="str">
            <v>低壓</v>
          </cell>
          <cell r="K61" t="str">
            <v>白底橘方塊</v>
          </cell>
          <cell r="L61">
            <v>5</v>
          </cell>
        </row>
        <row r="62">
          <cell r="A62" t="str">
            <v>2F6GW2</v>
          </cell>
          <cell r="B62">
            <v>0.1965277777777778</v>
          </cell>
          <cell r="C62">
            <v>5.0883392226148398</v>
          </cell>
          <cell r="D62">
            <v>283.00000000000006</v>
          </cell>
          <cell r="E62" t="str">
            <v>150/48/2SDr</v>
          </cell>
          <cell r="F62" t="str">
            <v>FP82168R×2</v>
          </cell>
          <cell r="G62">
            <v>600</v>
          </cell>
          <cell r="H62" t="str">
            <v>P227</v>
          </cell>
          <cell r="I62">
            <v>2.1</v>
          </cell>
          <cell r="J62" t="str">
            <v>低壓</v>
          </cell>
          <cell r="K62" t="str">
            <v>白紅愛心</v>
          </cell>
          <cell r="L62">
            <v>5.5</v>
          </cell>
        </row>
        <row r="63">
          <cell r="A63" t="str">
            <v>2F7E03</v>
          </cell>
          <cell r="B63">
            <v>0.15138888888888891</v>
          </cell>
          <cell r="C63">
            <v>6.6055045871559628</v>
          </cell>
          <cell r="D63">
            <v>218.00000000000003</v>
          </cell>
          <cell r="E63" t="str">
            <v>225/72/2SDr</v>
          </cell>
          <cell r="F63" t="str">
            <v>FP83024R×2</v>
          </cell>
          <cell r="G63">
            <v>550</v>
          </cell>
          <cell r="H63" t="str">
            <v>P227</v>
          </cell>
          <cell r="I63">
            <v>3.2</v>
          </cell>
          <cell r="J63" t="str">
            <v>高壓</v>
          </cell>
          <cell r="K63" t="str">
            <v>灰色</v>
          </cell>
          <cell r="L63">
            <v>5.5</v>
          </cell>
        </row>
        <row r="64">
          <cell r="A64" t="str">
            <v>2F6IA2</v>
          </cell>
          <cell r="B64">
            <v>0.1701388888888889</v>
          </cell>
          <cell r="C64">
            <v>5.8775510204081636</v>
          </cell>
          <cell r="D64">
            <v>245</v>
          </cell>
          <cell r="E64" t="str">
            <v>150/48/2SDr</v>
          </cell>
          <cell r="F64" t="str">
            <v>FP82170R×2</v>
          </cell>
          <cell r="G64">
            <v>700</v>
          </cell>
          <cell r="H64" t="str">
            <v>P204</v>
          </cell>
          <cell r="I64">
            <v>2.8</v>
          </cell>
          <cell r="J64" t="str">
            <v>高壓</v>
          </cell>
          <cell r="K64" t="str">
            <v>粉紅</v>
          </cell>
          <cell r="L64">
            <v>5.5</v>
          </cell>
        </row>
        <row r="65">
          <cell r="A65" t="str">
            <v>2F6GZ3</v>
          </cell>
          <cell r="B65">
            <v>0.2013888888888889</v>
          </cell>
          <cell r="C65">
            <v>4.9655172413793105</v>
          </cell>
          <cell r="D65">
            <v>290</v>
          </cell>
          <cell r="E65" t="str">
            <v>150/48/2SR6</v>
          </cell>
          <cell r="F65" t="str">
            <v>FP82658×2</v>
          </cell>
          <cell r="G65">
            <v>600</v>
          </cell>
          <cell r="H65" t="str">
            <v>P204</v>
          </cell>
          <cell r="I65">
            <v>3.8</v>
          </cell>
          <cell r="J65" t="str">
            <v>低壓</v>
          </cell>
          <cell r="K65" t="str">
            <v>黃底黑點</v>
          </cell>
          <cell r="L65">
            <v>5.5</v>
          </cell>
        </row>
        <row r="66">
          <cell r="A66" t="str">
            <v>2F6IB1</v>
          </cell>
          <cell r="B66">
            <v>0.1590277777777778</v>
          </cell>
          <cell r="C66">
            <v>6.2882096069868991</v>
          </cell>
          <cell r="D66">
            <v>229.00000000000003</v>
          </cell>
          <cell r="E66" t="str">
            <v>150/48/2SDr</v>
          </cell>
          <cell r="F66" t="str">
            <v>FP82169R×2</v>
          </cell>
          <cell r="G66">
            <v>670</v>
          </cell>
          <cell r="H66" t="str">
            <v>P204</v>
          </cell>
          <cell r="I66">
            <v>1.7</v>
          </cell>
          <cell r="J66" t="str">
            <v>低壓</v>
          </cell>
          <cell r="K66" t="str">
            <v>黃底紅點</v>
          </cell>
          <cell r="L66">
            <v>5</v>
          </cell>
        </row>
        <row r="67">
          <cell r="A67" t="str">
            <v>2F6ID2</v>
          </cell>
          <cell r="B67">
            <v>0.16180555555555559</v>
          </cell>
          <cell r="C67">
            <v>6.1802575107296125</v>
          </cell>
          <cell r="D67">
            <v>233.00000000000006</v>
          </cell>
          <cell r="E67" t="str">
            <v>150/48/2SDr</v>
          </cell>
          <cell r="F67" t="str">
            <v>FP82169R×2</v>
          </cell>
          <cell r="G67">
            <v>670</v>
          </cell>
          <cell r="H67" t="str">
            <v>P204</v>
          </cell>
          <cell r="I67">
            <v>2.4</v>
          </cell>
          <cell r="J67" t="str">
            <v>低壓</v>
          </cell>
          <cell r="K67" t="str">
            <v>紅底藍點</v>
          </cell>
          <cell r="L67">
            <v>5</v>
          </cell>
        </row>
        <row r="68">
          <cell r="A68" t="str">
            <v>2F6IE2</v>
          </cell>
          <cell r="B68">
            <v>0.17152777777777775</v>
          </cell>
          <cell r="C68">
            <v>5.8299595141700413</v>
          </cell>
          <cell r="D68">
            <v>246.99999999999997</v>
          </cell>
          <cell r="E68" t="str">
            <v>150/48/2SDr</v>
          </cell>
          <cell r="F68" t="str">
            <v>FP82171R×2</v>
          </cell>
          <cell r="G68">
            <v>700</v>
          </cell>
          <cell r="H68" t="str">
            <v>P204</v>
          </cell>
          <cell r="I68">
            <v>2.9</v>
          </cell>
          <cell r="J68" t="str">
            <v>低壓</v>
          </cell>
          <cell r="K68" t="str">
            <v>紅底黃星</v>
          </cell>
          <cell r="L68">
            <v>5.5</v>
          </cell>
        </row>
        <row r="69">
          <cell r="A69" t="str">
            <v>2F6IH2</v>
          </cell>
          <cell r="B69">
            <v>0.17083333333333331</v>
          </cell>
          <cell r="C69">
            <v>5.8536585365853666</v>
          </cell>
          <cell r="D69">
            <v>245.99999999999997</v>
          </cell>
          <cell r="E69" t="str">
            <v>150/48/2SDr</v>
          </cell>
          <cell r="F69" t="str">
            <v>FP82173R×2</v>
          </cell>
          <cell r="G69">
            <v>700</v>
          </cell>
          <cell r="H69" t="str">
            <v>P204</v>
          </cell>
          <cell r="I69">
            <v>2.8</v>
          </cell>
          <cell r="J69" t="str">
            <v>高壓</v>
          </cell>
          <cell r="K69" t="str">
            <v>棕色</v>
          </cell>
          <cell r="L69">
            <v>5.5</v>
          </cell>
        </row>
        <row r="70">
          <cell r="A70" t="str">
            <v>2F6IG2</v>
          </cell>
          <cell r="B70">
            <v>0.1701388888888889</v>
          </cell>
          <cell r="C70">
            <v>5.8775510204081636</v>
          </cell>
          <cell r="D70">
            <v>245</v>
          </cell>
          <cell r="E70" t="str">
            <v>150/48/2SDr</v>
          </cell>
          <cell r="F70" t="str">
            <v>FP82173R×2</v>
          </cell>
          <cell r="G70">
            <v>700</v>
          </cell>
          <cell r="H70" t="str">
            <v>P204</v>
          </cell>
          <cell r="I70">
            <v>2.9</v>
          </cell>
          <cell r="J70" t="str">
            <v>高壓</v>
          </cell>
          <cell r="K70" t="str">
            <v>白紫條紋</v>
          </cell>
          <cell r="L70">
            <v>5.5</v>
          </cell>
        </row>
        <row r="71">
          <cell r="A71" t="str">
            <v>2F6IF2</v>
          </cell>
          <cell r="B71">
            <v>0.19791666666666671</v>
          </cell>
          <cell r="C71">
            <v>5.0526315789473673</v>
          </cell>
          <cell r="D71">
            <v>285.00000000000006</v>
          </cell>
          <cell r="E71" t="str">
            <v>150/48/2SDr</v>
          </cell>
          <cell r="F71" t="str">
            <v>FP82171R×2</v>
          </cell>
          <cell r="G71">
            <v>600</v>
          </cell>
          <cell r="H71" t="str">
            <v>P227</v>
          </cell>
          <cell r="I71">
            <v>2</v>
          </cell>
          <cell r="J71" t="str">
            <v>低壓</v>
          </cell>
          <cell r="K71" t="str">
            <v>紅白直條</v>
          </cell>
          <cell r="L71">
            <v>5.5</v>
          </cell>
        </row>
        <row r="72">
          <cell r="A72" t="str">
            <v>2F6II2</v>
          </cell>
          <cell r="B72">
            <v>0.17083333333333331</v>
          </cell>
          <cell r="C72">
            <v>5.8536585365853666</v>
          </cell>
          <cell r="D72">
            <v>245.99999999999997</v>
          </cell>
          <cell r="E72" t="str">
            <v>150/48/2SDr</v>
          </cell>
          <cell r="F72" t="str">
            <v>FP82173R×2</v>
          </cell>
          <cell r="G72">
            <v>700</v>
          </cell>
          <cell r="H72" t="str">
            <v>P204</v>
          </cell>
          <cell r="I72">
            <v>2.8</v>
          </cell>
          <cell r="J72" t="str">
            <v>高壓</v>
          </cell>
          <cell r="K72" t="str">
            <v>黃紅雙色</v>
          </cell>
          <cell r="L72">
            <v>5.5</v>
          </cell>
        </row>
        <row r="73">
          <cell r="A73" t="str">
            <v>2F08K3</v>
          </cell>
          <cell r="B73">
            <v>754</v>
          </cell>
          <cell r="C73">
            <v>1.909814323607427</v>
          </cell>
          <cell r="D73">
            <v>754</v>
          </cell>
          <cell r="E73" t="str">
            <v>50/72CDR</v>
          </cell>
          <cell r="F73" t="str">
            <v>FP80790R</v>
          </cell>
          <cell r="G73">
            <v>500</v>
          </cell>
          <cell r="H73" t="str">
            <v>P123</v>
          </cell>
          <cell r="I73">
            <v>1.2</v>
          </cell>
          <cell r="J73" t="str">
            <v>低壓</v>
          </cell>
          <cell r="K73" t="str">
            <v>黃色</v>
          </cell>
          <cell r="L73">
            <v>2</v>
          </cell>
        </row>
        <row r="74">
          <cell r="A74" t="str">
            <v>2F08L2</v>
          </cell>
          <cell r="B74">
            <v>710</v>
          </cell>
          <cell r="C74">
            <v>2.028169014084507</v>
          </cell>
          <cell r="D74">
            <v>710</v>
          </cell>
          <cell r="E74" t="str">
            <v>50/36CE</v>
          </cell>
          <cell r="F74" t="str">
            <v>FP60102</v>
          </cell>
          <cell r="G74">
            <v>500</v>
          </cell>
          <cell r="H74" t="str">
            <v>P203</v>
          </cell>
          <cell r="I74">
            <v>1.4</v>
          </cell>
          <cell r="J74" t="str">
            <v>低壓</v>
          </cell>
          <cell r="K74" t="str">
            <v>藍白直條</v>
          </cell>
          <cell r="L74">
            <v>2</v>
          </cell>
        </row>
        <row r="75">
          <cell r="A75" t="str">
            <v>2F1WI1</v>
          </cell>
          <cell r="B75">
            <v>891</v>
          </cell>
          <cell r="C75">
            <v>1.6161616161616161</v>
          </cell>
          <cell r="D75">
            <v>891</v>
          </cell>
          <cell r="E75" t="str">
            <v>75/144SDR</v>
          </cell>
          <cell r="F75" t="str">
            <v>FP7TR12AK</v>
          </cell>
          <cell r="G75">
            <v>500</v>
          </cell>
          <cell r="H75" t="str">
            <v>P203</v>
          </cell>
          <cell r="I75">
            <v>0.25</v>
          </cell>
          <cell r="J75" t="str">
            <v>低壓</v>
          </cell>
          <cell r="K75" t="str">
            <v>黃底白點</v>
          </cell>
          <cell r="L75">
            <v>3.7</v>
          </cell>
        </row>
        <row r="76">
          <cell r="A76" t="str">
            <v>2F1WJ2</v>
          </cell>
          <cell r="B76">
            <v>825</v>
          </cell>
          <cell r="C76">
            <v>1.7454545454545454</v>
          </cell>
          <cell r="D76">
            <v>825</v>
          </cell>
          <cell r="E76" t="str">
            <v>75/36HC</v>
          </cell>
          <cell r="F76" t="str">
            <v>FP81853</v>
          </cell>
          <cell r="G76">
            <v>600</v>
          </cell>
          <cell r="H76" t="str">
            <v>P203</v>
          </cell>
          <cell r="I76">
            <v>1.6</v>
          </cell>
          <cell r="J76" t="str">
            <v>低壓</v>
          </cell>
          <cell r="K76" t="str">
            <v>白底藍方塊</v>
          </cell>
          <cell r="L76">
            <v>4</v>
          </cell>
        </row>
        <row r="77">
          <cell r="A77" t="str">
            <v>2F1WK2</v>
          </cell>
          <cell r="B77">
            <v>953</v>
          </cell>
          <cell r="C77">
            <v>1.5110178384050368</v>
          </cell>
          <cell r="D77">
            <v>953</v>
          </cell>
          <cell r="E77" t="str">
            <v>75/72BKR07</v>
          </cell>
          <cell r="F77" t="str">
            <v>FP81545R</v>
          </cell>
          <cell r="G77">
            <v>650</v>
          </cell>
          <cell r="H77" t="str">
            <v>P203</v>
          </cell>
          <cell r="I77">
            <v>1.2</v>
          </cell>
          <cell r="J77" t="str">
            <v>低壓</v>
          </cell>
          <cell r="K77" t="str">
            <v>白紅星星</v>
          </cell>
          <cell r="L77">
            <v>5</v>
          </cell>
        </row>
        <row r="78">
          <cell r="A78" t="str">
            <v>2F1WL2</v>
          </cell>
          <cell r="B78">
            <v>950</v>
          </cell>
          <cell r="C78">
            <v>1.5157894736842106</v>
          </cell>
          <cell r="D78">
            <v>950</v>
          </cell>
          <cell r="E78" t="str">
            <v>75/72FDR</v>
          </cell>
          <cell r="F78" t="str">
            <v>FP81319R</v>
          </cell>
          <cell r="G78">
            <v>650</v>
          </cell>
          <cell r="H78" t="str">
            <v>P203</v>
          </cell>
          <cell r="I78">
            <v>0.9</v>
          </cell>
          <cell r="J78" t="str">
            <v>低壓</v>
          </cell>
          <cell r="K78" t="str">
            <v>白綠條紋</v>
          </cell>
          <cell r="L78">
            <v>5</v>
          </cell>
        </row>
        <row r="79">
          <cell r="A79" t="str">
            <v>2F1WM2</v>
          </cell>
          <cell r="B79">
            <v>508</v>
          </cell>
          <cell r="C79">
            <v>2.8346456692913384</v>
          </cell>
          <cell r="D79">
            <v>508</v>
          </cell>
          <cell r="E79" t="str">
            <v>75/36SAXT</v>
          </cell>
          <cell r="F79" t="str">
            <v>FP61438</v>
          </cell>
          <cell r="G79">
            <v>500</v>
          </cell>
          <cell r="H79" t="str">
            <v>P203</v>
          </cell>
          <cell r="I79">
            <v>1.6</v>
          </cell>
          <cell r="J79" t="str">
            <v>高壓</v>
          </cell>
          <cell r="K79" t="str">
            <v>白藍條紋</v>
          </cell>
          <cell r="L79">
            <v>2</v>
          </cell>
        </row>
        <row r="80">
          <cell r="A80" t="str">
            <v>2F1WN2</v>
          </cell>
          <cell r="B80">
            <v>503</v>
          </cell>
          <cell r="C80">
            <v>2.8628230616302188</v>
          </cell>
          <cell r="D80">
            <v>503</v>
          </cell>
          <cell r="E80" t="str">
            <v>75/36SAXT</v>
          </cell>
          <cell r="F80" t="str">
            <v>FP81548</v>
          </cell>
          <cell r="G80">
            <v>500</v>
          </cell>
          <cell r="H80" t="str">
            <v>P203</v>
          </cell>
          <cell r="I80">
            <v>1.5</v>
          </cell>
          <cell r="J80" t="str">
            <v>高壓</v>
          </cell>
          <cell r="K80" t="str">
            <v>黃黑條紋</v>
          </cell>
          <cell r="L80">
            <v>2</v>
          </cell>
        </row>
        <row r="81">
          <cell r="A81" t="str">
            <v>2F1WP2</v>
          </cell>
          <cell r="B81">
            <v>840</v>
          </cell>
          <cell r="C81">
            <v>1.7142857142857142</v>
          </cell>
          <cell r="D81">
            <v>840</v>
          </cell>
          <cell r="E81" t="str">
            <v>75/36SDR</v>
          </cell>
          <cell r="F81" t="str">
            <v>FP81281R</v>
          </cell>
          <cell r="G81">
            <v>750</v>
          </cell>
          <cell r="H81" t="str">
            <v>P203</v>
          </cell>
          <cell r="I81">
            <v>1.8</v>
          </cell>
          <cell r="J81" t="str">
            <v>低壓</v>
          </cell>
          <cell r="K81" t="str">
            <v>白底黑方塊</v>
          </cell>
          <cell r="L81">
            <v>5</v>
          </cell>
        </row>
        <row r="82">
          <cell r="A82" t="str">
            <v>2F1WQ1</v>
          </cell>
          <cell r="B82">
            <v>891</v>
          </cell>
          <cell r="C82">
            <v>1.6161616161616161</v>
          </cell>
          <cell r="D82">
            <v>891</v>
          </cell>
          <cell r="E82" t="str">
            <v>75/144SDR</v>
          </cell>
          <cell r="F82" t="str">
            <v>FP79R12AJ</v>
          </cell>
          <cell r="G82">
            <v>500</v>
          </cell>
          <cell r="H82" t="str">
            <v>P203</v>
          </cell>
          <cell r="I82">
            <v>0.25</v>
          </cell>
          <cell r="J82" t="str">
            <v>低壓</v>
          </cell>
          <cell r="K82" t="str">
            <v>白底黑星</v>
          </cell>
          <cell r="L82">
            <v>3.7</v>
          </cell>
        </row>
        <row r="83">
          <cell r="A83" t="str">
            <v>2F1WR2</v>
          </cell>
          <cell r="B83">
            <v>811</v>
          </cell>
          <cell r="C83">
            <v>1.7755856966707768</v>
          </cell>
          <cell r="D83">
            <v>811</v>
          </cell>
          <cell r="E83" t="str">
            <v>75/36SDR</v>
          </cell>
          <cell r="F83" t="str">
            <v>FP81326R</v>
          </cell>
          <cell r="G83">
            <v>780</v>
          </cell>
          <cell r="H83" t="str">
            <v>P203</v>
          </cell>
          <cell r="I83">
            <v>1.8</v>
          </cell>
          <cell r="J83" t="str">
            <v>低壓</v>
          </cell>
          <cell r="K83" t="str">
            <v>白藍條紋</v>
          </cell>
          <cell r="L83">
            <v>5</v>
          </cell>
        </row>
        <row r="84">
          <cell r="A84" t="str">
            <v>2F1WS2</v>
          </cell>
          <cell r="B84">
            <v>1037</v>
          </cell>
          <cell r="C84">
            <v>1.3886210221793636</v>
          </cell>
          <cell r="D84">
            <v>1037</v>
          </cell>
          <cell r="E84" t="str">
            <v>75/72SR6</v>
          </cell>
          <cell r="F84" t="str">
            <v>FP81623</v>
          </cell>
          <cell r="G84">
            <v>600</v>
          </cell>
          <cell r="H84" t="str">
            <v>P203</v>
          </cell>
          <cell r="I84">
            <v>0.8</v>
          </cell>
          <cell r="J84" t="str">
            <v>低壓</v>
          </cell>
          <cell r="K84" t="str">
            <v>白黑條紋</v>
          </cell>
          <cell r="L84">
            <v>5</v>
          </cell>
        </row>
        <row r="85">
          <cell r="A85" t="str">
            <v>2F1WT2</v>
          </cell>
          <cell r="B85">
            <v>1037</v>
          </cell>
          <cell r="C85">
            <v>1.3886210221793636</v>
          </cell>
          <cell r="D85">
            <v>1037</v>
          </cell>
          <cell r="E85" t="str">
            <v>75/72SR6</v>
          </cell>
          <cell r="F85" t="str">
            <v>FP81623</v>
          </cell>
          <cell r="G85">
            <v>600</v>
          </cell>
          <cell r="H85" t="str">
            <v>P203</v>
          </cell>
          <cell r="I85">
            <v>0.8</v>
          </cell>
          <cell r="J85" t="str">
            <v>低壓</v>
          </cell>
          <cell r="K85" t="str">
            <v>黃黑條紋</v>
          </cell>
          <cell r="L85">
            <v>5</v>
          </cell>
        </row>
        <row r="86">
          <cell r="A86" t="str">
            <v>2F1WU2</v>
          </cell>
          <cell r="B86">
            <v>831</v>
          </cell>
          <cell r="C86">
            <v>1.7328519855595668</v>
          </cell>
          <cell r="D86">
            <v>831</v>
          </cell>
          <cell r="E86" t="str">
            <v>75/72SRR5</v>
          </cell>
          <cell r="F86" t="str">
            <v>FP81623</v>
          </cell>
          <cell r="G86">
            <v>600</v>
          </cell>
          <cell r="H86" t="str">
            <v>P203</v>
          </cell>
          <cell r="I86">
            <v>0.8</v>
          </cell>
          <cell r="J86" t="str">
            <v>低壓</v>
          </cell>
          <cell r="K86" t="str">
            <v>白綠方塊</v>
          </cell>
          <cell r="L86">
            <v>4</v>
          </cell>
        </row>
        <row r="87">
          <cell r="A87" t="str">
            <v>2F1WV2</v>
          </cell>
          <cell r="B87">
            <v>1099</v>
          </cell>
          <cell r="C87">
            <v>1.3102820746132848</v>
          </cell>
          <cell r="D87">
            <v>1099</v>
          </cell>
          <cell r="E87" t="str">
            <v>75/72BK</v>
          </cell>
          <cell r="F87" t="str">
            <v>FP81550</v>
          </cell>
          <cell r="G87">
            <v>550</v>
          </cell>
          <cell r="H87" t="str">
            <v>P203</v>
          </cell>
          <cell r="I87">
            <v>1</v>
          </cell>
          <cell r="J87" t="str">
            <v>低壓</v>
          </cell>
          <cell r="K87" t="str">
            <v>白黑三角</v>
          </cell>
          <cell r="L87">
            <v>5</v>
          </cell>
        </row>
        <row r="88">
          <cell r="A88" t="str">
            <v>2F1WW2</v>
          </cell>
          <cell r="B88">
            <v>823</v>
          </cell>
          <cell r="C88">
            <v>1.7496962332928312</v>
          </cell>
          <cell r="D88">
            <v>823</v>
          </cell>
          <cell r="E88" t="str">
            <v>75/36HC</v>
          </cell>
          <cell r="F88" t="str">
            <v>FP81856</v>
          </cell>
          <cell r="G88">
            <v>600</v>
          </cell>
          <cell r="H88" t="str">
            <v>P203</v>
          </cell>
          <cell r="I88">
            <v>1.6</v>
          </cell>
          <cell r="J88" t="str">
            <v>低壓</v>
          </cell>
          <cell r="K88" t="str">
            <v>白底藍方塊</v>
          </cell>
          <cell r="L88">
            <v>4</v>
          </cell>
        </row>
        <row r="89">
          <cell r="A89" t="str">
            <v>2F1WX2</v>
          </cell>
          <cell r="B89">
            <v>478</v>
          </cell>
          <cell r="C89">
            <v>3.01255230125523</v>
          </cell>
          <cell r="D89">
            <v>478</v>
          </cell>
          <cell r="E89" t="str">
            <v>75/72CE</v>
          </cell>
          <cell r="F89" t="str">
            <v>FP81551</v>
          </cell>
          <cell r="G89">
            <v>500</v>
          </cell>
          <cell r="H89" t="str">
            <v>P203</v>
          </cell>
          <cell r="I89">
            <v>0.8</v>
          </cell>
          <cell r="J89" t="str">
            <v>低壓</v>
          </cell>
          <cell r="K89" t="str">
            <v>紫底白點</v>
          </cell>
          <cell r="L89">
            <v>2</v>
          </cell>
        </row>
        <row r="90">
          <cell r="A90" t="str">
            <v>2F1WY2</v>
          </cell>
          <cell r="B90">
            <v>946</v>
          </cell>
          <cell r="C90">
            <v>1.522198731501057</v>
          </cell>
          <cell r="D90">
            <v>946</v>
          </cell>
          <cell r="E90" t="str">
            <v>75/72SDR</v>
          </cell>
          <cell r="F90" t="str">
            <v>FP81232R</v>
          </cell>
          <cell r="G90">
            <v>650</v>
          </cell>
          <cell r="H90" t="str">
            <v>P203</v>
          </cell>
          <cell r="I90">
            <v>1.1000000000000001</v>
          </cell>
          <cell r="J90" t="str">
            <v>低壓</v>
          </cell>
          <cell r="K90" t="str">
            <v>黃底白點</v>
          </cell>
          <cell r="L90">
            <v>5</v>
          </cell>
        </row>
        <row r="91">
          <cell r="A91" t="str">
            <v>2F1WZ2</v>
          </cell>
          <cell r="B91">
            <v>958</v>
          </cell>
          <cell r="C91">
            <v>1.5031315240083507</v>
          </cell>
          <cell r="D91">
            <v>958</v>
          </cell>
          <cell r="E91" t="str">
            <v>75/72SDR</v>
          </cell>
          <cell r="F91" t="str">
            <v>FP81272R</v>
          </cell>
          <cell r="G91">
            <v>650</v>
          </cell>
          <cell r="H91" t="str">
            <v>P203</v>
          </cell>
          <cell r="I91">
            <v>0.8</v>
          </cell>
          <cell r="J91" t="str">
            <v>低壓</v>
          </cell>
          <cell r="K91" t="str">
            <v>黃紅三角</v>
          </cell>
          <cell r="L91">
            <v>5</v>
          </cell>
        </row>
        <row r="92">
          <cell r="A92" t="str">
            <v>2F1XA2</v>
          </cell>
          <cell r="B92">
            <v>865</v>
          </cell>
          <cell r="C92">
            <v>1.6647398843930636</v>
          </cell>
          <cell r="D92">
            <v>865</v>
          </cell>
          <cell r="E92" t="str">
            <v>75/72CDR</v>
          </cell>
          <cell r="F92" t="str">
            <v>FP81787</v>
          </cell>
          <cell r="G92">
            <v>550</v>
          </cell>
          <cell r="H92" t="str">
            <v>P123</v>
          </cell>
          <cell r="I92">
            <v>1.1000000000000001</v>
          </cell>
          <cell r="J92" t="str">
            <v>低壓</v>
          </cell>
          <cell r="K92" t="str">
            <v>綠藍三角</v>
          </cell>
          <cell r="L92">
            <v>4</v>
          </cell>
        </row>
        <row r="93">
          <cell r="A93" t="str">
            <v>2F1XB2</v>
          </cell>
          <cell r="B93">
            <v>843</v>
          </cell>
          <cell r="C93">
            <v>1.708185053380783</v>
          </cell>
          <cell r="D93">
            <v>843</v>
          </cell>
          <cell r="E93" t="str">
            <v>75/72SDR</v>
          </cell>
          <cell r="F93" t="str">
            <v>FP81330R</v>
          </cell>
          <cell r="G93">
            <v>730</v>
          </cell>
          <cell r="H93" t="str">
            <v>P203</v>
          </cell>
          <cell r="I93">
            <v>0.9</v>
          </cell>
          <cell r="J93" t="str">
            <v>低壓</v>
          </cell>
          <cell r="K93" t="str">
            <v>白黑條紋</v>
          </cell>
          <cell r="L93">
            <v>5</v>
          </cell>
        </row>
        <row r="94">
          <cell r="A94" t="str">
            <v>2F1XC2</v>
          </cell>
          <cell r="B94">
            <v>951</v>
          </cell>
          <cell r="C94">
            <v>1.5141955835962144</v>
          </cell>
          <cell r="D94">
            <v>951</v>
          </cell>
          <cell r="E94" t="str">
            <v>75/72SDR</v>
          </cell>
          <cell r="F94" t="str">
            <v>FP81232R</v>
          </cell>
          <cell r="G94">
            <v>650</v>
          </cell>
          <cell r="H94" t="str">
            <v>P203</v>
          </cell>
          <cell r="I94">
            <v>1.1000000000000001</v>
          </cell>
          <cell r="J94" t="str">
            <v>低壓</v>
          </cell>
          <cell r="K94" t="str">
            <v>紅黑條紋</v>
          </cell>
          <cell r="L94">
            <v>5</v>
          </cell>
        </row>
        <row r="95">
          <cell r="A95" t="str">
            <v>2F1XD2</v>
          </cell>
          <cell r="B95">
            <v>564</v>
          </cell>
          <cell r="C95">
            <v>2.5531914893617023</v>
          </cell>
          <cell r="D95">
            <v>564</v>
          </cell>
          <cell r="E95" t="str">
            <v>75/72SAR</v>
          </cell>
          <cell r="F95" t="str">
            <v>FP81552R</v>
          </cell>
          <cell r="G95">
            <v>450</v>
          </cell>
          <cell r="H95" t="str">
            <v>P142</v>
          </cell>
          <cell r="I95">
            <v>1.2</v>
          </cell>
          <cell r="J95" t="str">
            <v>低壓</v>
          </cell>
          <cell r="K95" t="str">
            <v>灰色</v>
          </cell>
          <cell r="L95">
            <v>2</v>
          </cell>
        </row>
        <row r="96">
          <cell r="A96" t="str">
            <v>2F1XE2</v>
          </cell>
          <cell r="B96">
            <v>852</v>
          </cell>
          <cell r="C96">
            <v>1.6901408450704225</v>
          </cell>
          <cell r="D96">
            <v>852</v>
          </cell>
          <cell r="E96" t="str">
            <v>75/72FR6</v>
          </cell>
          <cell r="F96" t="str">
            <v>FP81624</v>
          </cell>
          <cell r="G96">
            <v>650</v>
          </cell>
          <cell r="H96" t="str">
            <v>P203</v>
          </cell>
          <cell r="I96">
            <v>0.8</v>
          </cell>
          <cell r="J96" t="str">
            <v>低壓</v>
          </cell>
          <cell r="K96" t="str">
            <v>白底綠方塊</v>
          </cell>
          <cell r="L96">
            <v>4.5</v>
          </cell>
        </row>
        <row r="97">
          <cell r="A97" t="str">
            <v>2F1XF2</v>
          </cell>
          <cell r="B97">
            <v>762</v>
          </cell>
          <cell r="C97">
            <v>1.889763779527559</v>
          </cell>
          <cell r="D97">
            <v>762</v>
          </cell>
          <cell r="E97" t="str">
            <v>75/72SRR5</v>
          </cell>
          <cell r="F97" t="str">
            <v>FP81625</v>
          </cell>
          <cell r="G97">
            <v>650</v>
          </cell>
          <cell r="H97" t="str">
            <v>P203</v>
          </cell>
          <cell r="I97">
            <v>0.7</v>
          </cell>
          <cell r="J97" t="str">
            <v>低壓</v>
          </cell>
          <cell r="K97" t="str">
            <v>白綠條紋</v>
          </cell>
          <cell r="L97">
            <v>4</v>
          </cell>
        </row>
        <row r="98">
          <cell r="A98" t="str">
            <v>2F1XG2</v>
          </cell>
          <cell r="B98">
            <v>890</v>
          </cell>
          <cell r="C98">
            <v>1.6179775280898876</v>
          </cell>
          <cell r="D98">
            <v>890</v>
          </cell>
          <cell r="E98" t="str">
            <v>75/72SDR</v>
          </cell>
          <cell r="F98" t="str">
            <v>FP11014R</v>
          </cell>
          <cell r="G98">
            <v>690</v>
          </cell>
          <cell r="H98" t="str">
            <v>P203</v>
          </cell>
          <cell r="I98">
            <v>1.1000000000000001</v>
          </cell>
          <cell r="J98" t="str">
            <v>低壓</v>
          </cell>
          <cell r="K98" t="str">
            <v>紫黃條紋</v>
          </cell>
          <cell r="L98">
            <v>5</v>
          </cell>
        </row>
        <row r="99">
          <cell r="A99" t="str">
            <v>2F1XH2</v>
          </cell>
          <cell r="B99">
            <v>950</v>
          </cell>
          <cell r="C99">
            <v>1.5157894736842106</v>
          </cell>
          <cell r="D99">
            <v>950</v>
          </cell>
          <cell r="E99" t="str">
            <v>75/72FDR</v>
          </cell>
          <cell r="F99" t="str">
            <v>FP81338R</v>
          </cell>
          <cell r="G99">
            <v>650</v>
          </cell>
          <cell r="H99" t="str">
            <v>P203</v>
          </cell>
          <cell r="I99">
            <v>0.9</v>
          </cell>
          <cell r="J99" t="str">
            <v>低壓</v>
          </cell>
          <cell r="K99" t="str">
            <v>白黑三角</v>
          </cell>
          <cell r="L99">
            <v>5</v>
          </cell>
        </row>
        <row r="100">
          <cell r="A100" t="str">
            <v>2F1XH2</v>
          </cell>
          <cell r="B100">
            <v>932</v>
          </cell>
          <cell r="C100">
            <v>1.5450643776824033</v>
          </cell>
          <cell r="D100">
            <v>932</v>
          </cell>
          <cell r="E100" t="str">
            <v>75/72FDR</v>
          </cell>
          <cell r="F100" t="str">
            <v>FP81338R</v>
          </cell>
          <cell r="G100">
            <v>660</v>
          </cell>
          <cell r="H100" t="str">
            <v>P203</v>
          </cell>
          <cell r="I100">
            <v>0.9</v>
          </cell>
          <cell r="J100" t="str">
            <v>低壓</v>
          </cell>
          <cell r="K100" t="str">
            <v>白黑三角</v>
          </cell>
          <cell r="L100">
            <v>5</v>
          </cell>
        </row>
        <row r="101">
          <cell r="A101" t="str">
            <v>2F1XI2</v>
          </cell>
          <cell r="B101">
            <v>1037</v>
          </cell>
          <cell r="C101">
            <v>1.3886210221793636</v>
          </cell>
          <cell r="D101">
            <v>1037</v>
          </cell>
          <cell r="E101" t="str">
            <v>75/72SR6</v>
          </cell>
          <cell r="F101" t="str">
            <v>FP81625</v>
          </cell>
          <cell r="G101">
            <v>600</v>
          </cell>
          <cell r="H101" t="str">
            <v>P203</v>
          </cell>
          <cell r="I101">
            <v>0.8</v>
          </cell>
          <cell r="J101" t="str">
            <v>低壓</v>
          </cell>
          <cell r="K101" t="str">
            <v>白底紅星</v>
          </cell>
          <cell r="L101">
            <v>5</v>
          </cell>
        </row>
        <row r="102">
          <cell r="A102" t="str">
            <v>2F1XI2</v>
          </cell>
          <cell r="B102">
            <v>1031</v>
          </cell>
          <cell r="C102">
            <v>1.396702230843841</v>
          </cell>
          <cell r="D102">
            <v>1031</v>
          </cell>
          <cell r="E102" t="str">
            <v>75/72SR6</v>
          </cell>
          <cell r="F102" t="str">
            <v>FP81625</v>
          </cell>
          <cell r="G102">
            <v>600</v>
          </cell>
          <cell r="H102" t="str">
            <v>P203</v>
          </cell>
          <cell r="I102">
            <v>0.8</v>
          </cell>
          <cell r="J102" t="str">
            <v>低壓</v>
          </cell>
          <cell r="K102" t="str">
            <v>白底紅星</v>
          </cell>
          <cell r="L102">
            <v>5</v>
          </cell>
        </row>
        <row r="103">
          <cell r="A103" t="str">
            <v>2F1XJ2</v>
          </cell>
          <cell r="B103">
            <v>890</v>
          </cell>
          <cell r="C103">
            <v>1.6179775280898876</v>
          </cell>
          <cell r="D103">
            <v>890</v>
          </cell>
          <cell r="E103" t="str">
            <v>75/72SDR</v>
          </cell>
          <cell r="F103" t="str">
            <v>FP11014R</v>
          </cell>
          <cell r="G103">
            <v>700</v>
          </cell>
          <cell r="H103" t="str">
            <v>P203</v>
          </cell>
          <cell r="I103">
            <v>1</v>
          </cell>
          <cell r="J103" t="str">
            <v>低壓</v>
          </cell>
          <cell r="K103" t="str">
            <v>綠底藍三角</v>
          </cell>
          <cell r="L103">
            <v>5</v>
          </cell>
        </row>
        <row r="104">
          <cell r="A104" t="str">
            <v>2F1XK2</v>
          </cell>
          <cell r="B104">
            <v>831</v>
          </cell>
          <cell r="C104">
            <v>1.7328519855595668</v>
          </cell>
          <cell r="D104">
            <v>831</v>
          </cell>
          <cell r="E104" t="str">
            <v>75/72SDR</v>
          </cell>
          <cell r="F104" t="str">
            <v>FP81337R</v>
          </cell>
          <cell r="G104">
            <v>750</v>
          </cell>
          <cell r="H104" t="str">
            <v>P203</v>
          </cell>
          <cell r="I104">
            <v>1</v>
          </cell>
          <cell r="J104" t="str">
            <v>低壓</v>
          </cell>
          <cell r="K104" t="str">
            <v>黃綠條紋</v>
          </cell>
          <cell r="L104">
            <v>5</v>
          </cell>
        </row>
        <row r="105">
          <cell r="A105" t="str">
            <v>2F1XM2</v>
          </cell>
          <cell r="B105">
            <v>1078</v>
          </cell>
          <cell r="C105">
            <v>1.3358070500927643</v>
          </cell>
          <cell r="D105">
            <v>1078</v>
          </cell>
          <cell r="E105" t="str">
            <v>75/72PDR</v>
          </cell>
          <cell r="F105" t="str">
            <v>FP81334R</v>
          </cell>
          <cell r="G105">
            <v>550</v>
          </cell>
          <cell r="H105" t="str">
            <v>P203</v>
          </cell>
          <cell r="I105">
            <v>0.7</v>
          </cell>
          <cell r="J105" t="str">
            <v>低壓</v>
          </cell>
          <cell r="K105" t="str">
            <v>白底藍點</v>
          </cell>
          <cell r="L105">
            <v>5</v>
          </cell>
        </row>
        <row r="106">
          <cell r="A106" t="str">
            <v>2F1XN2</v>
          </cell>
          <cell r="B106">
            <v>793</v>
          </cell>
          <cell r="C106">
            <v>1.815889029003783</v>
          </cell>
          <cell r="D106">
            <v>793</v>
          </cell>
          <cell r="E106" t="str">
            <v>75/72SDR</v>
          </cell>
          <cell r="F106" t="str">
            <v>FP81337R</v>
          </cell>
          <cell r="G106">
            <v>780</v>
          </cell>
          <cell r="H106" t="str">
            <v>P203</v>
          </cell>
          <cell r="I106">
            <v>1.1000000000000001</v>
          </cell>
          <cell r="J106" t="str">
            <v>高壓</v>
          </cell>
          <cell r="K106" t="str">
            <v>藍色</v>
          </cell>
          <cell r="L106">
            <v>5</v>
          </cell>
        </row>
        <row r="107">
          <cell r="A107" t="str">
            <v>2F1XP2</v>
          </cell>
          <cell r="B107">
            <v>873</v>
          </cell>
          <cell r="C107">
            <v>1.6494845360824741</v>
          </cell>
          <cell r="D107">
            <v>873</v>
          </cell>
          <cell r="E107" t="str">
            <v>75/72SDR</v>
          </cell>
          <cell r="F107" t="str">
            <v>FP11014R</v>
          </cell>
          <cell r="G107">
            <v>700</v>
          </cell>
          <cell r="H107" t="str">
            <v>P203</v>
          </cell>
          <cell r="I107">
            <v>1.2</v>
          </cell>
          <cell r="J107" t="str">
            <v>低壓</v>
          </cell>
          <cell r="K107" t="str">
            <v>白黑條紋</v>
          </cell>
          <cell r="L107">
            <v>5</v>
          </cell>
        </row>
        <row r="108">
          <cell r="A108" t="str">
            <v>2F1XR2</v>
          </cell>
          <cell r="B108">
            <v>770</v>
          </cell>
          <cell r="C108">
            <v>1.8701298701298701</v>
          </cell>
          <cell r="D108">
            <v>770</v>
          </cell>
          <cell r="E108" t="str">
            <v>75/72SDR</v>
          </cell>
          <cell r="F108" t="str">
            <v>FP81337R</v>
          </cell>
          <cell r="G108">
            <v>800</v>
          </cell>
          <cell r="H108" t="str">
            <v>P203</v>
          </cell>
          <cell r="I108">
            <v>1.1000000000000001</v>
          </cell>
          <cell r="J108" t="str">
            <v>低壓</v>
          </cell>
          <cell r="K108" t="str">
            <v>紅底黃星</v>
          </cell>
          <cell r="L108">
            <v>5</v>
          </cell>
        </row>
        <row r="109">
          <cell r="A109" t="str">
            <v>2F1XS2</v>
          </cell>
          <cell r="B109">
            <v>828</v>
          </cell>
          <cell r="C109">
            <v>1.7391304347826086</v>
          </cell>
          <cell r="D109">
            <v>828</v>
          </cell>
          <cell r="E109" t="str">
            <v>75/72SDR</v>
          </cell>
          <cell r="F109" t="str">
            <v>FP81348R</v>
          </cell>
          <cell r="G109">
            <v>750</v>
          </cell>
          <cell r="H109" t="str">
            <v>P203</v>
          </cell>
          <cell r="I109">
            <v>1.1000000000000001</v>
          </cell>
          <cell r="J109" t="str">
            <v>低壓</v>
          </cell>
          <cell r="K109" t="str">
            <v>白底藍三角</v>
          </cell>
          <cell r="L109">
            <v>5</v>
          </cell>
        </row>
        <row r="110">
          <cell r="A110" t="str">
            <v>2F1XT2</v>
          </cell>
          <cell r="B110">
            <v>751</v>
          </cell>
          <cell r="C110">
            <v>1.9174434087882823</v>
          </cell>
          <cell r="D110">
            <v>751</v>
          </cell>
          <cell r="E110" t="str">
            <v>75/72SRR5</v>
          </cell>
          <cell r="F110" t="str">
            <v>FP81626</v>
          </cell>
          <cell r="G110">
            <v>660</v>
          </cell>
          <cell r="H110" t="str">
            <v>P203</v>
          </cell>
          <cell r="I110">
            <v>0.7</v>
          </cell>
          <cell r="J110" t="str">
            <v>低壓</v>
          </cell>
          <cell r="K110" t="str">
            <v>白藍條紋</v>
          </cell>
          <cell r="L110">
            <v>4</v>
          </cell>
        </row>
        <row r="111">
          <cell r="A111" t="str">
            <v>2F1XU2</v>
          </cell>
          <cell r="B111">
            <v>823</v>
          </cell>
          <cell r="C111">
            <v>1.7496962332928312</v>
          </cell>
          <cell r="D111">
            <v>823</v>
          </cell>
          <cell r="E111" t="str">
            <v>75/36HC</v>
          </cell>
          <cell r="F111" t="str">
            <v>FP81857R</v>
          </cell>
          <cell r="G111">
            <v>600</v>
          </cell>
          <cell r="H111" t="str">
            <v>P203</v>
          </cell>
          <cell r="I111">
            <v>1.6</v>
          </cell>
          <cell r="J111" t="str">
            <v>低壓</v>
          </cell>
          <cell r="K111" t="str">
            <v>綠藍雙色</v>
          </cell>
          <cell r="L111">
            <v>4</v>
          </cell>
        </row>
        <row r="112">
          <cell r="A112" t="str">
            <v>2F1XV2</v>
          </cell>
          <cell r="B112">
            <v>836</v>
          </cell>
          <cell r="C112">
            <v>1.7224880382775121</v>
          </cell>
          <cell r="D112">
            <v>836</v>
          </cell>
          <cell r="E112" t="str">
            <v>75/72SDR</v>
          </cell>
          <cell r="F112" t="str">
            <v>FP81346R</v>
          </cell>
          <cell r="G112">
            <v>740</v>
          </cell>
          <cell r="H112" t="str">
            <v>P203</v>
          </cell>
          <cell r="I112">
            <v>1.2</v>
          </cell>
          <cell r="J112" t="str">
            <v>低壓</v>
          </cell>
          <cell r="K112" t="str">
            <v>白黑三角</v>
          </cell>
          <cell r="L112">
            <v>5</v>
          </cell>
        </row>
        <row r="113">
          <cell r="A113" t="str">
            <v>2F1XW2</v>
          </cell>
          <cell r="B113">
            <v>952</v>
          </cell>
          <cell r="C113">
            <v>1.5126050420168067</v>
          </cell>
          <cell r="D113">
            <v>952</v>
          </cell>
          <cell r="E113" t="str">
            <v>75/72SR6</v>
          </cell>
          <cell r="F113" t="str">
            <v>FP81626</v>
          </cell>
          <cell r="G113">
            <v>650</v>
          </cell>
          <cell r="H113" t="str">
            <v>P203</v>
          </cell>
          <cell r="I113">
            <v>0.8</v>
          </cell>
          <cell r="J113" t="str">
            <v>低壓</v>
          </cell>
          <cell r="K113" t="str">
            <v>紫色</v>
          </cell>
          <cell r="L113">
            <v>5</v>
          </cell>
        </row>
        <row r="114">
          <cell r="A114" t="str">
            <v>2F1XX2</v>
          </cell>
          <cell r="B114">
            <v>791</v>
          </cell>
          <cell r="C114">
            <v>1.8204804045512011</v>
          </cell>
          <cell r="D114">
            <v>791</v>
          </cell>
          <cell r="E114" t="str">
            <v>75/36SDR</v>
          </cell>
          <cell r="F114" t="str">
            <v>FP81326R</v>
          </cell>
          <cell r="G114">
            <v>800</v>
          </cell>
          <cell r="H114" t="str">
            <v>P203</v>
          </cell>
          <cell r="I114">
            <v>1.8</v>
          </cell>
          <cell r="J114" t="str">
            <v>低壓</v>
          </cell>
          <cell r="K114" t="str">
            <v>洋綠色</v>
          </cell>
          <cell r="L114">
            <v>5</v>
          </cell>
        </row>
        <row r="115">
          <cell r="A115" t="str">
            <v>2F1XY2</v>
          </cell>
          <cell r="B115">
            <v>793</v>
          </cell>
          <cell r="C115">
            <v>1.815889029003783</v>
          </cell>
          <cell r="D115">
            <v>793</v>
          </cell>
          <cell r="E115" t="str">
            <v>75/72CDR</v>
          </cell>
          <cell r="F115" t="str">
            <v>FP81858</v>
          </cell>
          <cell r="G115">
            <v>600</v>
          </cell>
          <cell r="H115" t="str">
            <v>P123</v>
          </cell>
          <cell r="I115">
            <v>1.1000000000000001</v>
          </cell>
          <cell r="J115" t="str">
            <v>低壓</v>
          </cell>
          <cell r="K115" t="str">
            <v>棕色</v>
          </cell>
          <cell r="L115">
            <v>4</v>
          </cell>
        </row>
        <row r="116">
          <cell r="A116" t="str">
            <v>2F1XZ2</v>
          </cell>
          <cell r="B116">
            <v>751</v>
          </cell>
          <cell r="C116">
            <v>1.9174434087882823</v>
          </cell>
          <cell r="D116">
            <v>751</v>
          </cell>
          <cell r="E116" t="str">
            <v>75/72SRR5</v>
          </cell>
          <cell r="F116" t="str">
            <v>FP81627</v>
          </cell>
          <cell r="G116">
            <v>660</v>
          </cell>
          <cell r="H116" t="str">
            <v>P203</v>
          </cell>
          <cell r="I116">
            <v>0.7</v>
          </cell>
          <cell r="J116" t="str">
            <v>低壓</v>
          </cell>
          <cell r="K116" t="str">
            <v>綠底藍三角</v>
          </cell>
          <cell r="L116">
            <v>4</v>
          </cell>
        </row>
        <row r="117">
          <cell r="A117" t="str">
            <v>2F1YA1</v>
          </cell>
          <cell r="B117">
            <v>901</v>
          </cell>
          <cell r="C117">
            <v>1.5982241953385128</v>
          </cell>
          <cell r="D117">
            <v>901</v>
          </cell>
          <cell r="E117" t="str">
            <v>75/144SDR</v>
          </cell>
          <cell r="F117" t="str">
            <v>FP11908R</v>
          </cell>
          <cell r="G117">
            <v>500</v>
          </cell>
          <cell r="H117" t="str">
            <v>P203</v>
          </cell>
          <cell r="I117">
            <v>0.3</v>
          </cell>
          <cell r="J117" t="str">
            <v>低壓</v>
          </cell>
          <cell r="K117" t="str">
            <v>紅底白點</v>
          </cell>
          <cell r="L117">
            <v>3.7</v>
          </cell>
        </row>
        <row r="118">
          <cell r="A118" t="str">
            <v>2F1YB2</v>
          </cell>
          <cell r="B118">
            <v>1112</v>
          </cell>
          <cell r="C118">
            <v>1.2949640287769784</v>
          </cell>
          <cell r="D118">
            <v>1112</v>
          </cell>
          <cell r="E118" t="str">
            <v>75/72SDFFR</v>
          </cell>
          <cell r="F118" t="str">
            <v>FP81235R</v>
          </cell>
          <cell r="G118">
            <v>550</v>
          </cell>
          <cell r="H118" t="str">
            <v>P123</v>
          </cell>
          <cell r="I118">
            <v>1.6</v>
          </cell>
          <cell r="J118" t="str">
            <v>高壓</v>
          </cell>
          <cell r="K118" t="str">
            <v>白底紅三角</v>
          </cell>
          <cell r="L118">
            <v>5</v>
          </cell>
        </row>
        <row r="119">
          <cell r="A119" t="str">
            <v>2F1YC2</v>
          </cell>
          <cell r="B119">
            <v>950</v>
          </cell>
          <cell r="C119">
            <v>1.5157894736842106</v>
          </cell>
          <cell r="D119">
            <v>950</v>
          </cell>
          <cell r="E119" t="str">
            <v>75/72SR6</v>
          </cell>
          <cell r="F119" t="str">
            <v>FP81627</v>
          </cell>
          <cell r="G119">
            <v>650</v>
          </cell>
          <cell r="H119" t="str">
            <v>P203</v>
          </cell>
          <cell r="I119">
            <v>0.8</v>
          </cell>
          <cell r="J119" t="str">
            <v>低壓</v>
          </cell>
          <cell r="K119" t="str">
            <v>洋綠色</v>
          </cell>
          <cell r="L119">
            <v>5</v>
          </cell>
        </row>
        <row r="120">
          <cell r="A120" t="str">
            <v>2F1YE2</v>
          </cell>
          <cell r="B120">
            <v>478</v>
          </cell>
          <cell r="C120">
            <v>3.01255230125523</v>
          </cell>
          <cell r="D120">
            <v>478</v>
          </cell>
          <cell r="E120" t="str">
            <v>75/72CE</v>
          </cell>
          <cell r="F120" t="str">
            <v>FP81551</v>
          </cell>
          <cell r="G120">
            <v>500</v>
          </cell>
          <cell r="H120" t="str">
            <v>P203</v>
          </cell>
          <cell r="I120">
            <v>0.8</v>
          </cell>
          <cell r="J120" t="str">
            <v>低壓</v>
          </cell>
          <cell r="K120" t="str">
            <v>黃底紅點</v>
          </cell>
          <cell r="L120">
            <v>2</v>
          </cell>
        </row>
        <row r="121">
          <cell r="A121" t="str">
            <v>2F28H2</v>
          </cell>
          <cell r="B121">
            <v>612</v>
          </cell>
          <cell r="C121">
            <v>2.3529411764705883</v>
          </cell>
          <cell r="D121">
            <v>612</v>
          </cell>
          <cell r="E121" t="str">
            <v>100/72PFR</v>
          </cell>
          <cell r="F121" t="str">
            <v>FP81311R</v>
          </cell>
          <cell r="G121">
            <v>600</v>
          </cell>
          <cell r="H121" t="str">
            <v>P203</v>
          </cell>
          <cell r="I121">
            <v>1.1000000000000001</v>
          </cell>
          <cell r="J121" t="str">
            <v>低壓</v>
          </cell>
          <cell r="K121" t="str">
            <v>黃色</v>
          </cell>
          <cell r="L121">
            <v>4</v>
          </cell>
        </row>
        <row r="122">
          <cell r="A122" t="str">
            <v>2F28I2</v>
          </cell>
          <cell r="B122">
            <v>612</v>
          </cell>
          <cell r="C122">
            <v>2.3529411764705883</v>
          </cell>
          <cell r="D122">
            <v>612</v>
          </cell>
          <cell r="E122" t="str">
            <v>100/72PFR</v>
          </cell>
          <cell r="F122" t="str">
            <v>FP81325R</v>
          </cell>
          <cell r="G122">
            <v>600</v>
          </cell>
          <cell r="H122" t="str">
            <v>P203</v>
          </cell>
          <cell r="I122">
            <v>1</v>
          </cell>
          <cell r="J122" t="str">
            <v>低壓</v>
          </cell>
          <cell r="K122" t="str">
            <v>綠藍雙色</v>
          </cell>
          <cell r="L122">
            <v>4</v>
          </cell>
        </row>
        <row r="123">
          <cell r="A123" t="str">
            <v>2F28J1</v>
          </cell>
          <cell r="B123">
            <v>690</v>
          </cell>
          <cell r="C123">
            <v>2.0869565217391304</v>
          </cell>
          <cell r="D123">
            <v>690</v>
          </cell>
          <cell r="E123" t="str">
            <v>100/36SDR</v>
          </cell>
          <cell r="F123" t="str">
            <v>FP81303R</v>
          </cell>
          <cell r="G123">
            <v>650</v>
          </cell>
          <cell r="H123" t="str">
            <v>P123</v>
          </cell>
          <cell r="I123">
            <v>2.4</v>
          </cell>
          <cell r="J123" t="str">
            <v>低壓</v>
          </cell>
          <cell r="K123" t="str">
            <v>黃綠條紋</v>
          </cell>
          <cell r="L123">
            <v>5</v>
          </cell>
        </row>
        <row r="124">
          <cell r="A124" t="str">
            <v>2F28K2</v>
          </cell>
          <cell r="B124">
            <v>612</v>
          </cell>
          <cell r="C124">
            <v>2.3529411764705883</v>
          </cell>
          <cell r="D124">
            <v>612</v>
          </cell>
          <cell r="E124" t="str">
            <v>100/72PFR</v>
          </cell>
          <cell r="F124" t="str">
            <v>FP81325R</v>
          </cell>
          <cell r="G124">
            <v>600</v>
          </cell>
          <cell r="H124" t="str">
            <v>P203</v>
          </cell>
          <cell r="I124">
            <v>1.1000000000000001</v>
          </cell>
          <cell r="J124" t="str">
            <v>低壓</v>
          </cell>
          <cell r="K124" t="str">
            <v>白黃條紋</v>
          </cell>
          <cell r="L124">
            <v>4</v>
          </cell>
        </row>
        <row r="125">
          <cell r="A125" t="str">
            <v>2F28L1</v>
          </cell>
          <cell r="B125">
            <v>690</v>
          </cell>
          <cell r="C125">
            <v>2.0869565217391304</v>
          </cell>
          <cell r="D125">
            <v>690</v>
          </cell>
          <cell r="E125" t="str">
            <v>100/36SDR</v>
          </cell>
          <cell r="F125" t="str">
            <v>FP81329R</v>
          </cell>
          <cell r="G125">
            <v>650</v>
          </cell>
          <cell r="H125" t="str">
            <v>P123</v>
          </cell>
          <cell r="I125">
            <v>2.2999999999999998</v>
          </cell>
          <cell r="J125" t="str">
            <v>低壓</v>
          </cell>
          <cell r="K125" t="str">
            <v>紫色</v>
          </cell>
          <cell r="L125">
            <v>5</v>
          </cell>
        </row>
        <row r="126">
          <cell r="A126" t="str">
            <v>2F28M2</v>
          </cell>
          <cell r="B126">
            <v>588</v>
          </cell>
          <cell r="C126">
            <v>2.4489795918367347</v>
          </cell>
          <cell r="D126">
            <v>588</v>
          </cell>
          <cell r="E126" t="str">
            <v>100/72PFR</v>
          </cell>
          <cell r="F126" t="str">
            <v>FP81336R</v>
          </cell>
          <cell r="G126">
            <v>620</v>
          </cell>
          <cell r="H126" t="str">
            <v>P203</v>
          </cell>
          <cell r="I126">
            <v>1.1000000000000001</v>
          </cell>
          <cell r="J126" t="str">
            <v>低壓</v>
          </cell>
          <cell r="K126" t="str">
            <v>白底黑方塊</v>
          </cell>
          <cell r="L126">
            <v>4</v>
          </cell>
        </row>
        <row r="127">
          <cell r="A127" t="str">
            <v>2F28N2</v>
          </cell>
          <cell r="B127">
            <v>609</v>
          </cell>
          <cell r="C127">
            <v>2.3645320197044337</v>
          </cell>
          <cell r="D127">
            <v>609</v>
          </cell>
          <cell r="E127" t="str">
            <v>100/72PFR</v>
          </cell>
          <cell r="F127" t="str">
            <v>FP81336R</v>
          </cell>
          <cell r="G127">
            <v>600</v>
          </cell>
          <cell r="H127" t="str">
            <v>P203</v>
          </cell>
          <cell r="I127">
            <v>1</v>
          </cell>
          <cell r="J127" t="str">
            <v>低壓</v>
          </cell>
          <cell r="K127" t="str">
            <v>白紅條紋</v>
          </cell>
          <cell r="L127">
            <v>4</v>
          </cell>
        </row>
        <row r="128">
          <cell r="A128" t="str">
            <v>2F28P2</v>
          </cell>
          <cell r="B128">
            <v>648</v>
          </cell>
          <cell r="C128">
            <v>2.2222222222222223</v>
          </cell>
          <cell r="D128">
            <v>648</v>
          </cell>
          <cell r="E128" t="str">
            <v>100/36SDR</v>
          </cell>
          <cell r="F128" t="str">
            <v>FP81328R</v>
          </cell>
          <cell r="G128">
            <v>700</v>
          </cell>
          <cell r="H128" t="str">
            <v>P203</v>
          </cell>
          <cell r="I128">
            <v>2</v>
          </cell>
          <cell r="J128" t="str">
            <v>低壓</v>
          </cell>
          <cell r="K128" t="str">
            <v>棕色</v>
          </cell>
          <cell r="L128">
            <v>5</v>
          </cell>
        </row>
        <row r="129">
          <cell r="A129" t="str">
            <v>2F28Q2</v>
          </cell>
          <cell r="B129">
            <v>561</v>
          </cell>
          <cell r="C129">
            <v>2.5668449197860963</v>
          </cell>
          <cell r="D129">
            <v>561</v>
          </cell>
          <cell r="E129" t="str">
            <v>100/72PFR</v>
          </cell>
          <cell r="F129" t="str">
            <v>FP81345R</v>
          </cell>
          <cell r="G129">
            <v>650</v>
          </cell>
          <cell r="H129" t="str">
            <v>P203</v>
          </cell>
          <cell r="I129">
            <v>1.1000000000000001</v>
          </cell>
          <cell r="J129" t="str">
            <v>低壓</v>
          </cell>
          <cell r="K129" t="str">
            <v>白底黑星</v>
          </cell>
          <cell r="L129">
            <v>4</v>
          </cell>
        </row>
        <row r="130">
          <cell r="A130" t="str">
            <v>2F28R2</v>
          </cell>
          <cell r="B130">
            <v>562</v>
          </cell>
          <cell r="C130">
            <v>2.5622775800711746</v>
          </cell>
          <cell r="D130">
            <v>562</v>
          </cell>
          <cell r="E130" t="str">
            <v>100/72PFR</v>
          </cell>
          <cell r="F130" t="str">
            <v>FP81345R</v>
          </cell>
          <cell r="G130">
            <v>650</v>
          </cell>
          <cell r="H130" t="str">
            <v>P203</v>
          </cell>
          <cell r="I130">
            <v>1.1000000000000001</v>
          </cell>
          <cell r="J130" t="str">
            <v>低壓</v>
          </cell>
          <cell r="K130" t="str">
            <v>白底紅點</v>
          </cell>
          <cell r="L130">
            <v>4</v>
          </cell>
        </row>
        <row r="131">
          <cell r="A131" t="str">
            <v>2F28S1</v>
          </cell>
          <cell r="B131">
            <v>641</v>
          </cell>
          <cell r="C131">
            <v>2.2464898595943836</v>
          </cell>
          <cell r="D131">
            <v>641</v>
          </cell>
          <cell r="E131" t="str">
            <v>100/36SDR</v>
          </cell>
          <cell r="F131" t="str">
            <v>FP81328R</v>
          </cell>
          <cell r="G131">
            <v>700</v>
          </cell>
          <cell r="H131" t="str">
            <v>P123</v>
          </cell>
          <cell r="I131">
            <v>2.4</v>
          </cell>
          <cell r="J131" t="str">
            <v>低壓</v>
          </cell>
          <cell r="K131" t="str">
            <v>白綠方塊</v>
          </cell>
          <cell r="L131">
            <v>5</v>
          </cell>
        </row>
        <row r="132">
          <cell r="A132" t="str">
            <v>2F28T2</v>
          </cell>
          <cell r="B132">
            <v>563</v>
          </cell>
          <cell r="C132">
            <v>2.5577264653641207</v>
          </cell>
          <cell r="D132">
            <v>563</v>
          </cell>
          <cell r="E132" t="str">
            <v>100/72PFR</v>
          </cell>
          <cell r="F132" t="str">
            <v>FP81349R</v>
          </cell>
          <cell r="G132">
            <v>650</v>
          </cell>
          <cell r="H132" t="str">
            <v>P203</v>
          </cell>
          <cell r="I132">
            <v>1.1000000000000001</v>
          </cell>
          <cell r="J132" t="str">
            <v>低壓</v>
          </cell>
          <cell r="K132" t="str">
            <v>黃色</v>
          </cell>
          <cell r="L132">
            <v>4</v>
          </cell>
        </row>
        <row r="133">
          <cell r="A133" t="str">
            <v>2F28U2</v>
          </cell>
          <cell r="B133">
            <v>561</v>
          </cell>
          <cell r="C133">
            <v>2.5668449197860963</v>
          </cell>
          <cell r="D133">
            <v>561</v>
          </cell>
          <cell r="E133" t="str">
            <v>100/72PFR</v>
          </cell>
          <cell r="F133" t="str">
            <v>FP81349R</v>
          </cell>
          <cell r="G133">
            <v>650</v>
          </cell>
          <cell r="H133" t="str">
            <v>P203</v>
          </cell>
          <cell r="I133">
            <v>1.1000000000000001</v>
          </cell>
          <cell r="J133" t="str">
            <v>低壓</v>
          </cell>
          <cell r="K133" t="str">
            <v>黃黑條紋</v>
          </cell>
          <cell r="L133">
            <v>4</v>
          </cell>
        </row>
        <row r="134">
          <cell r="A134" t="str">
            <v>2F40D1</v>
          </cell>
          <cell r="B134">
            <v>449</v>
          </cell>
          <cell r="C134">
            <v>3.2071269487750556</v>
          </cell>
          <cell r="D134">
            <v>449</v>
          </cell>
          <cell r="E134" t="str">
            <v>150/48SDR1</v>
          </cell>
          <cell r="F134" t="str">
            <v>FP82124R</v>
          </cell>
          <cell r="G134">
            <v>690</v>
          </cell>
          <cell r="H134" t="str">
            <v>P203</v>
          </cell>
          <cell r="I134">
            <v>0.9</v>
          </cell>
          <cell r="J134" t="str">
            <v>低壓</v>
          </cell>
          <cell r="K134" t="str">
            <v>紫白條紋</v>
          </cell>
          <cell r="L134">
            <v>5</v>
          </cell>
        </row>
        <row r="135">
          <cell r="A135" t="str">
            <v>2F40E2</v>
          </cell>
          <cell r="B135">
            <v>482</v>
          </cell>
          <cell r="C135">
            <v>2.9875518672199171</v>
          </cell>
          <cell r="D135">
            <v>482</v>
          </cell>
          <cell r="E135" t="str">
            <v>75/72/2PDR</v>
          </cell>
          <cell r="F135" t="str">
            <v>FP81293R×2</v>
          </cell>
          <cell r="G135">
            <v>500</v>
          </cell>
          <cell r="H135" t="str">
            <v>P203</v>
          </cell>
          <cell r="I135">
            <v>2</v>
          </cell>
          <cell r="J135" t="str">
            <v>低壓</v>
          </cell>
          <cell r="K135" t="str">
            <v>紫色</v>
          </cell>
          <cell r="L135">
            <v>4</v>
          </cell>
        </row>
        <row r="136">
          <cell r="A136" t="str">
            <v>2F40G2</v>
          </cell>
          <cell r="B136">
            <v>516</v>
          </cell>
          <cell r="C136">
            <v>2.7906976744186047</v>
          </cell>
          <cell r="D136">
            <v>516</v>
          </cell>
          <cell r="E136" t="str">
            <v>150/48CDR</v>
          </cell>
          <cell r="F136" t="str">
            <v>FP82757R</v>
          </cell>
          <cell r="G136">
            <v>600</v>
          </cell>
          <cell r="H136" t="str">
            <v>P203</v>
          </cell>
          <cell r="I136">
            <v>2.7</v>
          </cell>
          <cell r="J136" t="str">
            <v>低壓</v>
          </cell>
          <cell r="K136" t="str">
            <v>綠底藍三角</v>
          </cell>
          <cell r="L136">
            <v>5</v>
          </cell>
        </row>
        <row r="137">
          <cell r="A137" t="str">
            <v>2F40H2</v>
          </cell>
          <cell r="B137">
            <v>514</v>
          </cell>
          <cell r="C137">
            <v>2.8015564202334629</v>
          </cell>
          <cell r="D137">
            <v>514</v>
          </cell>
          <cell r="E137" t="str">
            <v>150/48CDR</v>
          </cell>
          <cell r="F137" t="str">
            <v>FP82761R</v>
          </cell>
          <cell r="G137">
            <v>600</v>
          </cell>
          <cell r="H137" t="str">
            <v>P203</v>
          </cell>
          <cell r="I137">
            <v>2.7</v>
          </cell>
          <cell r="J137" t="str">
            <v>高壓</v>
          </cell>
          <cell r="K137" t="str">
            <v>白藍條紋</v>
          </cell>
          <cell r="L137">
            <v>5</v>
          </cell>
        </row>
        <row r="138">
          <cell r="A138" t="str">
            <v>2F40J2</v>
          </cell>
          <cell r="B138">
            <v>472</v>
          </cell>
          <cell r="C138">
            <v>3.0508474576271185</v>
          </cell>
          <cell r="D138">
            <v>472</v>
          </cell>
          <cell r="E138" t="str">
            <v>150/48SDR</v>
          </cell>
          <cell r="F138" t="str">
            <v>FP82126R</v>
          </cell>
          <cell r="G138">
            <v>650</v>
          </cell>
          <cell r="H138" t="str">
            <v>P203</v>
          </cell>
          <cell r="I138">
            <v>3</v>
          </cell>
          <cell r="J138" t="str">
            <v>低壓</v>
          </cell>
          <cell r="K138" t="str">
            <v>白桔方塊</v>
          </cell>
          <cell r="L138">
            <v>5</v>
          </cell>
        </row>
        <row r="139">
          <cell r="A139" t="str">
            <v>2F40N1</v>
          </cell>
          <cell r="B139">
            <v>469</v>
          </cell>
          <cell r="C139">
            <v>3.0703624733475481</v>
          </cell>
          <cell r="D139">
            <v>469</v>
          </cell>
          <cell r="E139" t="str">
            <v>150/48SDR</v>
          </cell>
          <cell r="F139" t="str">
            <v>FP82130R</v>
          </cell>
          <cell r="G139">
            <v>650</v>
          </cell>
          <cell r="H139" t="str">
            <v>P203</v>
          </cell>
          <cell r="I139">
            <v>1.9</v>
          </cell>
          <cell r="J139" t="str">
            <v>低壓</v>
          </cell>
          <cell r="K139" t="str">
            <v>白紅條紋</v>
          </cell>
          <cell r="L139">
            <v>5</v>
          </cell>
        </row>
        <row r="140">
          <cell r="A140" t="str">
            <v>2F40P2</v>
          </cell>
          <cell r="B140">
            <v>504</v>
          </cell>
          <cell r="C140">
            <v>2.8571428571428572</v>
          </cell>
          <cell r="D140">
            <v>504</v>
          </cell>
          <cell r="E140" t="str">
            <v>150/48BKR95</v>
          </cell>
          <cell r="F140" t="str">
            <v>FP82567R</v>
          </cell>
          <cell r="G140">
            <v>500</v>
          </cell>
          <cell r="H140" t="str">
            <v>P203</v>
          </cell>
          <cell r="I140">
            <v>3</v>
          </cell>
          <cell r="J140" t="str">
            <v>低壓</v>
          </cell>
          <cell r="K140" t="str">
            <v>藍色</v>
          </cell>
          <cell r="L140">
            <v>4</v>
          </cell>
        </row>
        <row r="141">
          <cell r="A141" t="str">
            <v>2F40Q2</v>
          </cell>
          <cell r="B141">
            <v>509</v>
          </cell>
          <cell r="C141">
            <v>2.8290766208251474</v>
          </cell>
          <cell r="D141">
            <v>509</v>
          </cell>
          <cell r="E141" t="str">
            <v>150/48CDR</v>
          </cell>
          <cell r="F141" t="str">
            <v>FP82765R</v>
          </cell>
          <cell r="G141">
            <v>600</v>
          </cell>
          <cell r="H141" t="str">
            <v>P203</v>
          </cell>
          <cell r="I141">
            <v>2.7</v>
          </cell>
          <cell r="J141" t="str">
            <v>低壓</v>
          </cell>
          <cell r="K141" t="str">
            <v>白紅十字</v>
          </cell>
          <cell r="L141">
            <v>5</v>
          </cell>
        </row>
        <row r="142">
          <cell r="A142" t="str">
            <v>2F40U3</v>
          </cell>
          <cell r="B142">
            <v>516</v>
          </cell>
          <cell r="C142">
            <v>2.7906976744186047</v>
          </cell>
          <cell r="D142">
            <v>516</v>
          </cell>
          <cell r="E142" t="str">
            <v>150/48SR6</v>
          </cell>
          <cell r="F142" t="str">
            <v>FP82634</v>
          </cell>
          <cell r="G142">
            <v>600</v>
          </cell>
          <cell r="H142" t="str">
            <v>P204</v>
          </cell>
          <cell r="I142">
            <v>4</v>
          </cell>
          <cell r="J142" t="str">
            <v>高壓</v>
          </cell>
          <cell r="K142" t="str">
            <v>黃底紅三角</v>
          </cell>
          <cell r="L142">
            <v>5</v>
          </cell>
        </row>
        <row r="143">
          <cell r="A143" t="str">
            <v>2F40V1</v>
          </cell>
          <cell r="B143">
            <v>605</v>
          </cell>
          <cell r="C143">
            <v>2.3801652892561984</v>
          </cell>
          <cell r="D143">
            <v>605</v>
          </cell>
          <cell r="E143" t="str">
            <v>150/48KR5</v>
          </cell>
          <cell r="F143" t="str">
            <v>FP82639</v>
          </cell>
          <cell r="G143">
            <v>500</v>
          </cell>
          <cell r="H143" t="str">
            <v>P203</v>
          </cell>
          <cell r="I143">
            <v>0.6</v>
          </cell>
          <cell r="J143" t="str">
            <v>低壓</v>
          </cell>
          <cell r="K143" t="str">
            <v>綠藍雙色</v>
          </cell>
          <cell r="L143">
            <v>5</v>
          </cell>
        </row>
        <row r="144">
          <cell r="A144" t="str">
            <v>2F40W2</v>
          </cell>
          <cell r="B144">
            <v>509</v>
          </cell>
          <cell r="C144">
            <v>2.8290766208251474</v>
          </cell>
          <cell r="D144">
            <v>509</v>
          </cell>
          <cell r="E144" t="str">
            <v>150/48CDR</v>
          </cell>
          <cell r="F144" t="str">
            <v>FP82767R</v>
          </cell>
          <cell r="G144">
            <v>600</v>
          </cell>
          <cell r="H144" t="str">
            <v>P203</v>
          </cell>
          <cell r="I144">
            <v>2.7</v>
          </cell>
          <cell r="J144" t="str">
            <v>低壓</v>
          </cell>
          <cell r="K144" t="str">
            <v>粉紅色</v>
          </cell>
          <cell r="L144">
            <v>5</v>
          </cell>
        </row>
        <row r="145">
          <cell r="A145" t="str">
            <v>2F40X2</v>
          </cell>
          <cell r="B145">
            <v>471</v>
          </cell>
          <cell r="C145">
            <v>3.0573248407643314</v>
          </cell>
          <cell r="D145">
            <v>471</v>
          </cell>
          <cell r="E145" t="str">
            <v>150/48SDR</v>
          </cell>
          <cell r="F145" t="str">
            <v>FP82130R</v>
          </cell>
          <cell r="G145">
            <v>650</v>
          </cell>
          <cell r="H145" t="str">
            <v>P203</v>
          </cell>
          <cell r="I145">
            <v>3</v>
          </cell>
          <cell r="J145" t="str">
            <v>低壓</v>
          </cell>
          <cell r="K145" t="str">
            <v>黃色</v>
          </cell>
          <cell r="L145">
            <v>5</v>
          </cell>
        </row>
        <row r="146">
          <cell r="A146" t="str">
            <v>2F40Y2</v>
          </cell>
          <cell r="B146">
            <v>482</v>
          </cell>
          <cell r="C146">
            <v>2.9875518672199171</v>
          </cell>
          <cell r="D146">
            <v>482</v>
          </cell>
          <cell r="E146" t="str">
            <v>75/72/2PDR</v>
          </cell>
          <cell r="F146" t="str">
            <v>FP81310R×2</v>
          </cell>
          <cell r="G146">
            <v>500</v>
          </cell>
          <cell r="H146" t="str">
            <v>P203</v>
          </cell>
          <cell r="I146">
            <v>1.8</v>
          </cell>
          <cell r="J146" t="str">
            <v>低壓</v>
          </cell>
          <cell r="K146" t="str">
            <v>灰色</v>
          </cell>
          <cell r="L146">
            <v>4</v>
          </cell>
        </row>
        <row r="147">
          <cell r="A147" t="str">
            <v>2F41A2</v>
          </cell>
          <cell r="B147">
            <v>440</v>
          </cell>
          <cell r="C147">
            <v>3.2727272727272729</v>
          </cell>
          <cell r="D147">
            <v>440</v>
          </cell>
          <cell r="E147" t="str">
            <v>75/24/2SDR2</v>
          </cell>
          <cell r="F147" t="str">
            <v>FP81333R×2</v>
          </cell>
          <cell r="G147">
            <v>710</v>
          </cell>
          <cell r="H147" t="str">
            <v>P204</v>
          </cell>
          <cell r="I147">
            <v>2</v>
          </cell>
          <cell r="J147" t="str">
            <v>低壓</v>
          </cell>
          <cell r="K147" t="str">
            <v>白紫三角</v>
          </cell>
          <cell r="L147">
            <v>5</v>
          </cell>
        </row>
        <row r="148">
          <cell r="A148" t="str">
            <v>2F41B2</v>
          </cell>
          <cell r="B148">
            <v>457</v>
          </cell>
          <cell r="C148">
            <v>3.1509846827133479</v>
          </cell>
          <cell r="D148">
            <v>457</v>
          </cell>
          <cell r="E148" t="str">
            <v>75/72/2PDR</v>
          </cell>
          <cell r="F148" t="str">
            <v>FP81334R×2</v>
          </cell>
          <cell r="G148">
            <v>530</v>
          </cell>
          <cell r="H148" t="str">
            <v>P203</v>
          </cell>
          <cell r="I148">
            <v>1.8</v>
          </cell>
          <cell r="J148" t="str">
            <v>低壓</v>
          </cell>
          <cell r="K148" t="str">
            <v>白底黑十字</v>
          </cell>
          <cell r="L148">
            <v>4</v>
          </cell>
        </row>
        <row r="149">
          <cell r="A149" t="str">
            <v>2F41D2</v>
          </cell>
          <cell r="B149">
            <v>442</v>
          </cell>
          <cell r="C149">
            <v>3.2579185520361991</v>
          </cell>
          <cell r="D149">
            <v>442</v>
          </cell>
          <cell r="E149" t="str">
            <v>150/48CDR</v>
          </cell>
          <cell r="F149" t="str">
            <v>FP82767R</v>
          </cell>
          <cell r="G149">
            <v>700</v>
          </cell>
          <cell r="H149" t="str">
            <v>P203</v>
          </cell>
          <cell r="I149">
            <v>2.9</v>
          </cell>
          <cell r="J149" t="str">
            <v>低壓</v>
          </cell>
          <cell r="K149" t="str">
            <v>黃黑條紋</v>
          </cell>
          <cell r="L149">
            <v>5</v>
          </cell>
        </row>
        <row r="150">
          <cell r="A150" t="str">
            <v>2F41E1</v>
          </cell>
          <cell r="B150">
            <v>456</v>
          </cell>
          <cell r="C150">
            <v>3.1578947368421053</v>
          </cell>
          <cell r="D150">
            <v>456</v>
          </cell>
          <cell r="E150" t="str">
            <v>150/48FBKR</v>
          </cell>
          <cell r="F150" t="str">
            <v>FP82572R</v>
          </cell>
          <cell r="G150">
            <v>550</v>
          </cell>
          <cell r="H150" t="str">
            <v>NA</v>
          </cell>
          <cell r="J150" t="str">
            <v>低壓</v>
          </cell>
          <cell r="K150" t="str">
            <v>綠藍雙色</v>
          </cell>
          <cell r="L150">
            <v>4</v>
          </cell>
        </row>
        <row r="151">
          <cell r="A151" t="str">
            <v>2F41H3</v>
          </cell>
          <cell r="B151">
            <v>514</v>
          </cell>
          <cell r="C151">
            <v>2.8015564202334629</v>
          </cell>
          <cell r="D151">
            <v>514</v>
          </cell>
          <cell r="E151" t="str">
            <v>150/48SR6</v>
          </cell>
          <cell r="F151" t="str">
            <v>FP82645</v>
          </cell>
          <cell r="G151">
            <v>600</v>
          </cell>
          <cell r="H151" t="str">
            <v>P204</v>
          </cell>
          <cell r="I151">
            <v>4</v>
          </cell>
          <cell r="J151" t="str">
            <v>高壓</v>
          </cell>
          <cell r="K151" t="str">
            <v>桔黑三角</v>
          </cell>
          <cell r="L151">
            <v>5</v>
          </cell>
        </row>
        <row r="152">
          <cell r="A152" t="str">
            <v>2F41J2</v>
          </cell>
          <cell r="B152">
            <v>470</v>
          </cell>
          <cell r="C152">
            <v>3.0638297872340425</v>
          </cell>
          <cell r="D152">
            <v>470</v>
          </cell>
          <cell r="E152" t="str">
            <v>150/48SDR</v>
          </cell>
          <cell r="F152" t="str">
            <v>FP82132R</v>
          </cell>
          <cell r="G152">
            <v>650</v>
          </cell>
          <cell r="H152" t="str">
            <v>P203</v>
          </cell>
          <cell r="I152">
            <v>3</v>
          </cell>
          <cell r="J152" t="str">
            <v>低壓</v>
          </cell>
          <cell r="K152" t="str">
            <v>綠底藍三角</v>
          </cell>
          <cell r="L152">
            <v>5</v>
          </cell>
        </row>
        <row r="153">
          <cell r="A153" t="str">
            <v>2F41L3</v>
          </cell>
          <cell r="B153">
            <v>514</v>
          </cell>
          <cell r="C153">
            <v>2.8015564202334629</v>
          </cell>
          <cell r="D153">
            <v>514</v>
          </cell>
          <cell r="E153" t="str">
            <v>150/48SR6</v>
          </cell>
          <cell r="F153" t="str">
            <v>FP82648</v>
          </cell>
          <cell r="G153">
            <v>600</v>
          </cell>
          <cell r="H153" t="str">
            <v>P204</v>
          </cell>
          <cell r="I153">
            <v>4</v>
          </cell>
          <cell r="J153" t="str">
            <v>高壓</v>
          </cell>
          <cell r="K153" t="str">
            <v>紅黑條紋</v>
          </cell>
          <cell r="L153">
            <v>5</v>
          </cell>
        </row>
        <row r="154">
          <cell r="A154" t="str">
            <v>2F41M1</v>
          </cell>
          <cell r="B154">
            <v>471</v>
          </cell>
          <cell r="C154">
            <v>3.0573248407643314</v>
          </cell>
          <cell r="D154">
            <v>471</v>
          </cell>
          <cell r="E154" t="str">
            <v>150/48SDR</v>
          </cell>
          <cell r="F154" t="str">
            <v>FP82150R</v>
          </cell>
          <cell r="G154">
            <v>650</v>
          </cell>
          <cell r="H154" t="str">
            <v>P203</v>
          </cell>
          <cell r="I154">
            <v>1.9</v>
          </cell>
          <cell r="J154" t="str">
            <v>低壓</v>
          </cell>
          <cell r="K154" t="str">
            <v>白黃條紋</v>
          </cell>
          <cell r="L154">
            <v>5</v>
          </cell>
        </row>
        <row r="155">
          <cell r="A155" t="str">
            <v>2F41N2</v>
          </cell>
          <cell r="B155">
            <v>470</v>
          </cell>
          <cell r="C155">
            <v>3.0638297872340425</v>
          </cell>
          <cell r="D155">
            <v>470</v>
          </cell>
          <cell r="E155" t="str">
            <v>150/48SDR</v>
          </cell>
          <cell r="F155" t="str">
            <v>FP82150R</v>
          </cell>
          <cell r="G155">
            <v>650</v>
          </cell>
          <cell r="H155" t="str">
            <v>P203</v>
          </cell>
          <cell r="I155">
            <v>3</v>
          </cell>
          <cell r="J155" t="str">
            <v>低壓</v>
          </cell>
          <cell r="K155" t="str">
            <v>白紫大三角</v>
          </cell>
          <cell r="L155">
            <v>5</v>
          </cell>
        </row>
        <row r="156">
          <cell r="A156" t="str">
            <v>2F41Q2</v>
          </cell>
          <cell r="B156">
            <v>510</v>
          </cell>
          <cell r="C156">
            <v>2.8235294117647061</v>
          </cell>
          <cell r="D156">
            <v>510</v>
          </cell>
          <cell r="E156" t="str">
            <v>150/48CDR</v>
          </cell>
          <cell r="F156" t="str">
            <v>FP82767R</v>
          </cell>
          <cell r="G156">
            <v>700</v>
          </cell>
          <cell r="H156" t="str">
            <v>P203</v>
          </cell>
          <cell r="I156">
            <v>2.8</v>
          </cell>
          <cell r="J156" t="str">
            <v>低壓</v>
          </cell>
          <cell r="K156" t="str">
            <v>白藍三角</v>
          </cell>
          <cell r="L156">
            <v>5</v>
          </cell>
        </row>
        <row r="157">
          <cell r="A157" t="str">
            <v>2F41R1</v>
          </cell>
          <cell r="B157">
            <v>456</v>
          </cell>
          <cell r="C157">
            <v>3.1578947368421053</v>
          </cell>
          <cell r="D157">
            <v>456</v>
          </cell>
          <cell r="E157" t="str">
            <v>150/48SD</v>
          </cell>
          <cell r="F157" t="str">
            <v>FP02406R</v>
          </cell>
          <cell r="G157">
            <v>670</v>
          </cell>
          <cell r="H157" t="str">
            <v>NA</v>
          </cell>
          <cell r="K157" t="str">
            <v>紅黑直條</v>
          </cell>
          <cell r="L157">
            <v>5</v>
          </cell>
        </row>
        <row r="158">
          <cell r="A158" t="str">
            <v>2F41T2</v>
          </cell>
          <cell r="B158">
            <v>517</v>
          </cell>
          <cell r="C158">
            <v>2.7852998065764023</v>
          </cell>
          <cell r="D158">
            <v>517</v>
          </cell>
          <cell r="E158" t="str">
            <v>75/72/2SDFFR</v>
          </cell>
          <cell r="F158" t="str">
            <v>FP81235R×2</v>
          </cell>
          <cell r="G158">
            <v>600</v>
          </cell>
          <cell r="H158" t="str">
            <v>P203</v>
          </cell>
          <cell r="I158">
            <v>1.4</v>
          </cell>
          <cell r="J158" t="str">
            <v>高壓</v>
          </cell>
          <cell r="K158" t="str">
            <v>白綠直條</v>
          </cell>
          <cell r="L158">
            <v>5</v>
          </cell>
        </row>
        <row r="159">
          <cell r="A159" t="str">
            <v>2F6EA1</v>
          </cell>
          <cell r="B159">
            <v>193</v>
          </cell>
          <cell r="C159">
            <v>7.4611398963730569</v>
          </cell>
          <cell r="D159">
            <v>193</v>
          </cell>
          <cell r="E159" t="str">
            <v>150/48/2BG2</v>
          </cell>
          <cell r="F159" t="str">
            <v>FP82566×2</v>
          </cell>
          <cell r="G159">
            <v>650</v>
          </cell>
          <cell r="H159" t="str">
            <v>P227</v>
          </cell>
          <cell r="I159">
            <v>1.7</v>
          </cell>
          <cell r="J159" t="str">
            <v>低壓</v>
          </cell>
          <cell r="K159" t="str">
            <v>紅黑直條</v>
          </cell>
          <cell r="L159">
            <v>4</v>
          </cell>
        </row>
        <row r="160">
          <cell r="A160" t="str">
            <v>2F6EC2</v>
          </cell>
          <cell r="B160">
            <v>287</v>
          </cell>
          <cell r="C160">
            <v>5.0174216027874561</v>
          </cell>
          <cell r="D160">
            <v>287</v>
          </cell>
          <cell r="E160" t="str">
            <v>150/48/2SDR2</v>
          </cell>
          <cell r="F160" t="str">
            <v>FP82126R×2</v>
          </cell>
          <cell r="G160">
            <v>600</v>
          </cell>
          <cell r="H160" t="str">
            <v>P227</v>
          </cell>
          <cell r="I160">
            <v>2.1</v>
          </cell>
          <cell r="J160" t="str">
            <v>低壓</v>
          </cell>
          <cell r="K160" t="str">
            <v>綠藍雙色</v>
          </cell>
          <cell r="L160">
            <v>5.5</v>
          </cell>
        </row>
        <row r="161">
          <cell r="A161" t="str">
            <v>2F6ED2</v>
          </cell>
          <cell r="B161">
            <v>288</v>
          </cell>
          <cell r="C161">
            <v>5</v>
          </cell>
          <cell r="D161">
            <v>288</v>
          </cell>
          <cell r="E161" t="str">
            <v>150/48/2SDR2</v>
          </cell>
          <cell r="F161" t="str">
            <v>FP82128R×2</v>
          </cell>
          <cell r="G161">
            <v>600</v>
          </cell>
          <cell r="H161" t="str">
            <v>P204</v>
          </cell>
          <cell r="I161">
            <v>2.9</v>
          </cell>
          <cell r="J161" t="str">
            <v>低壓</v>
          </cell>
          <cell r="K161" t="str">
            <v>白紫三角</v>
          </cell>
          <cell r="L161">
            <v>5.5</v>
          </cell>
        </row>
        <row r="162">
          <cell r="A162" t="str">
            <v>2F6EI3</v>
          </cell>
          <cell r="B162">
            <v>250</v>
          </cell>
          <cell r="C162">
            <v>5.76</v>
          </cell>
          <cell r="D162">
            <v>250</v>
          </cell>
          <cell r="E162" t="str">
            <v>150/48/2ODR</v>
          </cell>
          <cell r="F162" t="str">
            <v>FP82123R×2</v>
          </cell>
          <cell r="G162">
            <v>550</v>
          </cell>
          <cell r="H162" t="str">
            <v>P204</v>
          </cell>
          <cell r="I162">
            <v>4.3</v>
          </cell>
          <cell r="J162" t="str">
            <v>高壓</v>
          </cell>
          <cell r="K162" t="str">
            <v>白黑條紋</v>
          </cell>
          <cell r="L162">
            <v>4.5</v>
          </cell>
        </row>
        <row r="163">
          <cell r="A163" t="str">
            <v>2F6EJ3</v>
          </cell>
          <cell r="B163">
            <v>245</v>
          </cell>
          <cell r="C163">
            <v>5.8775510204081636</v>
          </cell>
          <cell r="D163">
            <v>245</v>
          </cell>
          <cell r="E163" t="str">
            <v>150/48/2ODR</v>
          </cell>
          <cell r="F163" t="str">
            <v>FP82136R×2</v>
          </cell>
          <cell r="G163">
            <v>550</v>
          </cell>
          <cell r="H163" t="str">
            <v>P204</v>
          </cell>
          <cell r="I163">
            <v>4.3</v>
          </cell>
          <cell r="J163" t="str">
            <v>高壓</v>
          </cell>
          <cell r="K163" t="str">
            <v>紅黑條紋</v>
          </cell>
          <cell r="L163">
            <v>4.5</v>
          </cell>
        </row>
        <row r="164">
          <cell r="A164" t="str">
            <v>2F6EL1</v>
          </cell>
          <cell r="B164">
            <v>297</v>
          </cell>
          <cell r="C164">
            <v>4.8484848484848486</v>
          </cell>
          <cell r="D164">
            <v>297</v>
          </cell>
          <cell r="E164" t="str">
            <v>150/48/2KR5</v>
          </cell>
          <cell r="F164" t="str">
            <v>FP82639×2</v>
          </cell>
          <cell r="G164">
            <v>500</v>
          </cell>
          <cell r="H164" t="str">
            <v>P204</v>
          </cell>
          <cell r="I164">
            <v>1.6</v>
          </cell>
          <cell r="J164" t="str">
            <v>低壓</v>
          </cell>
          <cell r="K164" t="str">
            <v>白黑十字</v>
          </cell>
          <cell r="L164">
            <v>5</v>
          </cell>
        </row>
        <row r="165">
          <cell r="A165" t="str">
            <v>2F6EN1</v>
          </cell>
          <cell r="B165">
            <v>192</v>
          </cell>
          <cell r="C165">
            <v>7.5</v>
          </cell>
          <cell r="D165">
            <v>192</v>
          </cell>
          <cell r="E165" t="str">
            <v>150/48/2BG</v>
          </cell>
          <cell r="F165" t="str">
            <v>FP82569×2</v>
          </cell>
          <cell r="G165">
            <v>650</v>
          </cell>
          <cell r="H165" t="str">
            <v>P227</v>
          </cell>
          <cell r="I165">
            <v>1.6</v>
          </cell>
          <cell r="J165" t="str">
            <v>低壓</v>
          </cell>
          <cell r="K165" t="str">
            <v>白藍十字</v>
          </cell>
          <cell r="L165">
            <v>4</v>
          </cell>
        </row>
        <row r="166">
          <cell r="A166" t="str">
            <v>2F6ER2</v>
          </cell>
          <cell r="B166">
            <v>248</v>
          </cell>
          <cell r="C166">
            <v>5.806451612903226</v>
          </cell>
          <cell r="D166">
            <v>248</v>
          </cell>
          <cell r="E166" t="str">
            <v>150/48/2SDR2</v>
          </cell>
          <cell r="F166" t="str">
            <v>FP82138R×2</v>
          </cell>
          <cell r="G166">
            <v>640</v>
          </cell>
          <cell r="H166" t="str">
            <v>P204</v>
          </cell>
          <cell r="I166">
            <v>3</v>
          </cell>
          <cell r="J166" t="str">
            <v>低壓</v>
          </cell>
          <cell r="K166" t="str">
            <v>洋綠色</v>
          </cell>
          <cell r="L166">
            <v>5</v>
          </cell>
        </row>
        <row r="167">
          <cell r="A167" t="str">
            <v>2F6ET1</v>
          </cell>
          <cell r="B167">
            <v>214</v>
          </cell>
          <cell r="C167">
            <v>6.7289719626168223</v>
          </cell>
          <cell r="D167">
            <v>214</v>
          </cell>
          <cell r="E167" t="str">
            <v>150/48/2GY5</v>
          </cell>
          <cell r="F167" t="str">
            <v>FP82570×2</v>
          </cell>
          <cell r="G167">
            <v>600</v>
          </cell>
          <cell r="H167" t="str">
            <v>P227</v>
          </cell>
          <cell r="I167">
            <v>1.6</v>
          </cell>
          <cell r="J167" t="str">
            <v>高壓</v>
          </cell>
          <cell r="K167" t="str">
            <v>綠藍三角</v>
          </cell>
          <cell r="L167">
            <v>4</v>
          </cell>
        </row>
        <row r="168">
          <cell r="A168" t="str">
            <v>2F6EU1</v>
          </cell>
          <cell r="B168">
            <v>209</v>
          </cell>
          <cell r="C168">
            <v>6.8899521531100483</v>
          </cell>
          <cell r="D168">
            <v>209</v>
          </cell>
          <cell r="E168" t="str">
            <v>150/48/2BG3</v>
          </cell>
          <cell r="F168" t="str">
            <v>FP82571×2</v>
          </cell>
          <cell r="G168">
            <v>600</v>
          </cell>
          <cell r="H168" t="str">
            <v>P227</v>
          </cell>
          <cell r="I168">
            <v>1.7</v>
          </cell>
          <cell r="J168" t="str">
            <v>低壓</v>
          </cell>
          <cell r="K168" t="str">
            <v>白橘雙色</v>
          </cell>
          <cell r="L168">
            <v>4</v>
          </cell>
        </row>
        <row r="169">
          <cell r="A169" t="str">
            <v>2F6EV1</v>
          </cell>
          <cell r="B169">
            <v>206</v>
          </cell>
          <cell r="C169">
            <v>6.9902912621359219</v>
          </cell>
          <cell r="D169">
            <v>206</v>
          </cell>
          <cell r="E169" t="str">
            <v>150/48/2GY5</v>
          </cell>
          <cell r="F169" t="str">
            <v>FP82570×2</v>
          </cell>
          <cell r="G169">
            <v>600</v>
          </cell>
          <cell r="H169" t="str">
            <v>P227</v>
          </cell>
          <cell r="I169">
            <v>1.6</v>
          </cell>
          <cell r="J169" t="str">
            <v>高壓</v>
          </cell>
          <cell r="K169" t="str">
            <v>白黃條紋</v>
          </cell>
          <cell r="L169">
            <v>4</v>
          </cell>
        </row>
        <row r="170">
          <cell r="A170" t="str">
            <v>2F6EX1</v>
          </cell>
          <cell r="B170">
            <v>207</v>
          </cell>
          <cell r="C170">
            <v>6.9565217391304346</v>
          </cell>
          <cell r="D170">
            <v>207</v>
          </cell>
          <cell r="E170" t="str">
            <v>150/48/2GY5</v>
          </cell>
          <cell r="F170" t="str">
            <v>FP82570×2</v>
          </cell>
          <cell r="G170">
            <v>600</v>
          </cell>
          <cell r="H170" t="str">
            <v>P227</v>
          </cell>
          <cell r="I170">
            <v>1.6</v>
          </cell>
          <cell r="J170" t="str">
            <v>高壓</v>
          </cell>
          <cell r="K170" t="str">
            <v>白底藍三角</v>
          </cell>
          <cell r="L170">
            <v>4</v>
          </cell>
        </row>
        <row r="171">
          <cell r="A171" t="str">
            <v>2F6EY2</v>
          </cell>
          <cell r="B171">
            <v>251</v>
          </cell>
          <cell r="C171">
            <v>5.7370517928286855</v>
          </cell>
          <cell r="D171">
            <v>251</v>
          </cell>
          <cell r="E171" t="str">
            <v>150/72/2SDR</v>
          </cell>
          <cell r="F171" t="str">
            <v>FP82818R×2</v>
          </cell>
          <cell r="G171">
            <v>600</v>
          </cell>
          <cell r="H171" t="str">
            <v>P227</v>
          </cell>
          <cell r="I171">
            <v>1.6</v>
          </cell>
          <cell r="J171" t="str">
            <v>高壓</v>
          </cell>
          <cell r="K171" t="str">
            <v>綠底白點</v>
          </cell>
          <cell r="L171">
            <v>5</v>
          </cell>
        </row>
        <row r="172">
          <cell r="A172" t="str">
            <v>2F6EZ1</v>
          </cell>
          <cell r="B172">
            <v>299</v>
          </cell>
          <cell r="C172">
            <v>4.816053511705686</v>
          </cell>
          <cell r="D172">
            <v>299</v>
          </cell>
          <cell r="E172" t="str">
            <v>150/48/2KR5</v>
          </cell>
          <cell r="F172" t="str">
            <v>FP82643×2</v>
          </cell>
          <cell r="G172">
            <v>500</v>
          </cell>
          <cell r="H172" t="str">
            <v>P204</v>
          </cell>
          <cell r="I172">
            <v>1.6</v>
          </cell>
          <cell r="J172" t="str">
            <v>低壓</v>
          </cell>
          <cell r="K172" t="str">
            <v>白底紅十字</v>
          </cell>
          <cell r="L172">
            <v>5</v>
          </cell>
        </row>
        <row r="173">
          <cell r="A173" t="str">
            <v>2F6FC3</v>
          </cell>
          <cell r="B173">
            <v>323</v>
          </cell>
          <cell r="C173">
            <v>4.458204334365325</v>
          </cell>
          <cell r="D173">
            <v>323</v>
          </cell>
          <cell r="E173" t="str">
            <v>150/48/2FBKR</v>
          </cell>
          <cell r="F173" t="str">
            <v>FP82573R×2</v>
          </cell>
          <cell r="G173">
            <v>500</v>
          </cell>
          <cell r="H173" t="str">
            <v>P227</v>
          </cell>
          <cell r="I173">
            <v>3.4</v>
          </cell>
          <cell r="J173" t="str">
            <v>高壓</v>
          </cell>
          <cell r="K173" t="str">
            <v>白黃條紋</v>
          </cell>
          <cell r="L173">
            <v>5</v>
          </cell>
        </row>
        <row r="174">
          <cell r="A174" t="str">
            <v>2F6FG1</v>
          </cell>
          <cell r="B174">
            <v>208</v>
          </cell>
          <cell r="C174">
            <v>6.9230769230769234</v>
          </cell>
          <cell r="D174">
            <v>208</v>
          </cell>
          <cell r="E174" t="str">
            <v>150/48/2GY5</v>
          </cell>
          <cell r="F174" t="str">
            <v>FP82574×2</v>
          </cell>
          <cell r="G174">
            <v>600</v>
          </cell>
          <cell r="H174" t="str">
            <v>P227</v>
          </cell>
          <cell r="I174">
            <v>1.7</v>
          </cell>
          <cell r="J174" t="str">
            <v>低壓</v>
          </cell>
          <cell r="K174" t="str">
            <v>藍白直條</v>
          </cell>
          <cell r="L174">
            <v>4</v>
          </cell>
        </row>
        <row r="175">
          <cell r="A175" t="str">
            <v>2F6FH2</v>
          </cell>
          <cell r="B175">
            <v>240</v>
          </cell>
          <cell r="C175">
            <v>6</v>
          </cell>
          <cell r="D175">
            <v>240</v>
          </cell>
          <cell r="E175" t="str">
            <v>150/48/2SDR2</v>
          </cell>
          <cell r="F175" t="str">
            <v>FP82137R×2</v>
          </cell>
          <cell r="G175">
            <v>650</v>
          </cell>
          <cell r="H175" t="str">
            <v>P204</v>
          </cell>
          <cell r="I175">
            <v>3.1</v>
          </cell>
          <cell r="J175" t="str">
            <v>低壓</v>
          </cell>
          <cell r="K175" t="str">
            <v>黃紅三角</v>
          </cell>
          <cell r="L175">
            <v>5</v>
          </cell>
        </row>
        <row r="176">
          <cell r="A176" t="str">
            <v>2F6FK1</v>
          </cell>
          <cell r="B176">
            <v>192</v>
          </cell>
          <cell r="C176">
            <v>7.5</v>
          </cell>
          <cell r="D176">
            <v>192</v>
          </cell>
          <cell r="E176" t="str">
            <v>150/48/2BG</v>
          </cell>
          <cell r="F176" t="str">
            <v>FP02404×2</v>
          </cell>
          <cell r="G176">
            <v>650</v>
          </cell>
          <cell r="H176" t="str">
            <v>P227</v>
          </cell>
          <cell r="I176">
            <v>1.6</v>
          </cell>
          <cell r="J176" t="str">
            <v>低壓</v>
          </cell>
          <cell r="K176" t="str">
            <v>白底紅星</v>
          </cell>
          <cell r="L176">
            <v>4</v>
          </cell>
        </row>
        <row r="177">
          <cell r="A177" t="str">
            <v>2F6FL1</v>
          </cell>
          <cell r="B177">
            <v>301</v>
          </cell>
          <cell r="C177">
            <v>4.7840531561461797</v>
          </cell>
          <cell r="D177">
            <v>301</v>
          </cell>
          <cell r="E177" t="str">
            <v>150/48/2KR5</v>
          </cell>
          <cell r="F177" t="str">
            <v>FP82643×2</v>
          </cell>
          <cell r="G177">
            <v>500</v>
          </cell>
          <cell r="H177" t="str">
            <v>P204</v>
          </cell>
          <cell r="I177">
            <v>1.6</v>
          </cell>
          <cell r="J177" t="str">
            <v>低壓</v>
          </cell>
          <cell r="K177" t="str">
            <v>白綠條紋</v>
          </cell>
          <cell r="L177">
            <v>5</v>
          </cell>
        </row>
        <row r="178">
          <cell r="A178" t="str">
            <v>2F6FP2</v>
          </cell>
          <cell r="B178">
            <v>256</v>
          </cell>
          <cell r="C178">
            <v>5.625</v>
          </cell>
          <cell r="D178">
            <v>256</v>
          </cell>
          <cell r="E178" t="str">
            <v>150/48/2CDR</v>
          </cell>
          <cell r="F178" t="str">
            <v>FP82767R×2</v>
          </cell>
          <cell r="G178">
            <v>600</v>
          </cell>
          <cell r="H178" t="str">
            <v>P227</v>
          </cell>
          <cell r="I178">
            <v>2</v>
          </cell>
          <cell r="J178" t="str">
            <v>高壓</v>
          </cell>
          <cell r="K178" t="str">
            <v>黃底白點</v>
          </cell>
          <cell r="L178">
            <v>5</v>
          </cell>
        </row>
        <row r="179">
          <cell r="A179" t="str">
            <v>2F7B22</v>
          </cell>
          <cell r="B179">
            <v>341</v>
          </cell>
          <cell r="C179">
            <v>4.2228739002932549</v>
          </cell>
          <cell r="D179">
            <v>341</v>
          </cell>
          <cell r="E179" t="str">
            <v>225/48CDR</v>
          </cell>
          <cell r="F179" t="str">
            <v>FP83701R</v>
          </cell>
          <cell r="G179">
            <v>600</v>
          </cell>
          <cell r="H179" t="str">
            <v>P227</v>
          </cell>
          <cell r="I179">
            <v>3</v>
          </cell>
          <cell r="J179" t="str">
            <v>低壓</v>
          </cell>
          <cell r="K179" t="str">
            <v>白黑十字</v>
          </cell>
          <cell r="L179">
            <v>5</v>
          </cell>
        </row>
        <row r="180">
          <cell r="A180" t="str">
            <v>2F7B82</v>
          </cell>
          <cell r="B180">
            <v>810</v>
          </cell>
          <cell r="C180">
            <v>1.7777777777777777</v>
          </cell>
          <cell r="D180">
            <v>810</v>
          </cell>
          <cell r="E180" t="str">
            <v>45/24SAXT</v>
          </cell>
          <cell r="F180" t="str">
            <v>FP00301</v>
          </cell>
          <cell r="G180">
            <v>500</v>
          </cell>
          <cell r="H180" t="str">
            <v>P203</v>
          </cell>
          <cell r="I180">
            <v>1.3</v>
          </cell>
          <cell r="J180" t="str">
            <v>高壓</v>
          </cell>
          <cell r="K180" t="str">
            <v>紅底白點</v>
          </cell>
          <cell r="L180">
            <v>2</v>
          </cell>
        </row>
        <row r="181">
          <cell r="A181" t="str">
            <v>2F7B92</v>
          </cell>
          <cell r="B181">
            <v>1010</v>
          </cell>
          <cell r="C181">
            <v>1.4257425742574257</v>
          </cell>
          <cell r="D181">
            <v>1010</v>
          </cell>
          <cell r="E181" t="str">
            <v>30/12SDR</v>
          </cell>
          <cell r="F181" t="str">
            <v>FP80122R</v>
          </cell>
          <cell r="G181">
            <v>600</v>
          </cell>
          <cell r="H181" t="str">
            <v>P142</v>
          </cell>
          <cell r="I181">
            <v>2.5</v>
          </cell>
          <cell r="J181" t="str">
            <v>低壓</v>
          </cell>
          <cell r="K181" t="str">
            <v>白藍十字</v>
          </cell>
          <cell r="L181">
            <v>2</v>
          </cell>
        </row>
        <row r="182">
          <cell r="A182" t="str">
            <v>2F7C33</v>
          </cell>
          <cell r="B182">
            <v>206</v>
          </cell>
          <cell r="C182">
            <v>6.9902912621359219</v>
          </cell>
          <cell r="D182">
            <v>206</v>
          </cell>
          <cell r="E182" t="str">
            <v>225/72/2FBKR</v>
          </cell>
          <cell r="F182" t="str">
            <v>FP83500R×2</v>
          </cell>
          <cell r="G182">
            <v>500</v>
          </cell>
          <cell r="H182" t="str">
            <v>P227</v>
          </cell>
          <cell r="I182">
            <v>3.1</v>
          </cell>
          <cell r="J182" t="str">
            <v>高壓</v>
          </cell>
          <cell r="K182" t="str">
            <v>藍白直條</v>
          </cell>
          <cell r="L182">
            <v>5</v>
          </cell>
        </row>
        <row r="183">
          <cell r="A183" t="str">
            <v>2F7C53</v>
          </cell>
          <cell r="B183">
            <v>172</v>
          </cell>
          <cell r="C183">
            <v>8.3720930232558146</v>
          </cell>
          <cell r="D183">
            <v>172</v>
          </cell>
          <cell r="E183" t="str">
            <v>225/72/2FBKR</v>
          </cell>
          <cell r="F183" t="str">
            <v>FP83500R×2</v>
          </cell>
          <cell r="G183">
            <v>600</v>
          </cell>
          <cell r="H183" t="str">
            <v>P227</v>
          </cell>
          <cell r="I183">
            <v>3</v>
          </cell>
          <cell r="J183" t="str">
            <v>高壓</v>
          </cell>
          <cell r="K183" t="str">
            <v>紅底白點</v>
          </cell>
          <cell r="L183">
            <v>5</v>
          </cell>
        </row>
        <row r="184">
          <cell r="A184" t="str">
            <v>2F7C62</v>
          </cell>
          <cell r="B184">
            <v>470</v>
          </cell>
          <cell r="C184">
            <v>3.0638297872340425</v>
          </cell>
          <cell r="D184">
            <v>470</v>
          </cell>
          <cell r="E184" t="str">
            <v>165/48SR6</v>
          </cell>
          <cell r="F184" t="str">
            <v>FP82644</v>
          </cell>
          <cell r="G184">
            <v>600</v>
          </cell>
          <cell r="H184" t="str">
            <v>P204</v>
          </cell>
          <cell r="I184">
            <v>2.2999999999999998</v>
          </cell>
          <cell r="J184" t="str">
            <v>低壓</v>
          </cell>
          <cell r="K184" t="str">
            <v>桔色</v>
          </cell>
          <cell r="L184">
            <v>5</v>
          </cell>
        </row>
        <row r="185">
          <cell r="A185" t="str">
            <v>2F7C82</v>
          </cell>
          <cell r="B185">
            <v>337</v>
          </cell>
          <cell r="C185">
            <v>4.2729970326409497</v>
          </cell>
          <cell r="D185">
            <v>337</v>
          </cell>
          <cell r="E185" t="str">
            <v>225/48CDR</v>
          </cell>
          <cell r="F185" t="str">
            <v>FP83702R</v>
          </cell>
          <cell r="G185">
            <v>600</v>
          </cell>
          <cell r="H185" t="str">
            <v>P227</v>
          </cell>
          <cell r="I185">
            <v>2.9</v>
          </cell>
          <cell r="J185" t="str">
            <v>低壓</v>
          </cell>
          <cell r="K185" t="str">
            <v>白底黑方塊</v>
          </cell>
          <cell r="L185">
            <v>5</v>
          </cell>
        </row>
        <row r="186">
          <cell r="A186" t="str">
            <v>2F41U2</v>
          </cell>
          <cell r="B186">
            <v>444</v>
          </cell>
          <cell r="C186">
            <v>3.2432432432432434</v>
          </cell>
          <cell r="D186">
            <v>444</v>
          </cell>
          <cell r="E186" t="str">
            <v>75/24/2SDR2</v>
          </cell>
          <cell r="F186" t="str">
            <v>FP81333R×2</v>
          </cell>
          <cell r="G186">
            <v>700</v>
          </cell>
          <cell r="H186" t="str">
            <v>P204</v>
          </cell>
          <cell r="I186">
            <v>2.2000000000000002</v>
          </cell>
          <cell r="J186" t="str">
            <v>低壓</v>
          </cell>
          <cell r="K186" t="str">
            <v>白藍條紋</v>
          </cell>
          <cell r="L186">
            <v>5</v>
          </cell>
        </row>
        <row r="187">
          <cell r="A187" t="str">
            <v>2F41S3</v>
          </cell>
          <cell r="B187">
            <v>510</v>
          </cell>
          <cell r="C187">
            <v>2.8235294117647061</v>
          </cell>
          <cell r="D187">
            <v>510</v>
          </cell>
          <cell r="E187" t="str">
            <v>150/48SR6</v>
          </cell>
          <cell r="F187" t="str">
            <v>FP82649</v>
          </cell>
          <cell r="G187">
            <v>600</v>
          </cell>
          <cell r="H187" t="str">
            <v>P204</v>
          </cell>
          <cell r="I187">
            <v>4</v>
          </cell>
          <cell r="J187" t="str">
            <v>高壓</v>
          </cell>
          <cell r="K187" t="str">
            <v>白黑十字</v>
          </cell>
          <cell r="L187">
            <v>5</v>
          </cell>
        </row>
        <row r="188">
          <cell r="A188" t="str">
            <v>2F41V2</v>
          </cell>
          <cell r="B188">
            <v>444</v>
          </cell>
          <cell r="C188">
            <v>3.2432432432432434</v>
          </cell>
          <cell r="D188">
            <v>444</v>
          </cell>
          <cell r="E188" t="str">
            <v>75/24/2SDR2</v>
          </cell>
          <cell r="F188" t="str">
            <v>FP81333R×2</v>
          </cell>
          <cell r="G188">
            <v>700</v>
          </cell>
          <cell r="H188" t="str">
            <v>P204</v>
          </cell>
          <cell r="I188">
            <v>2.2000000000000002</v>
          </cell>
          <cell r="J188" t="str">
            <v>低壓</v>
          </cell>
          <cell r="K188" t="str">
            <v>灰色</v>
          </cell>
          <cell r="L188">
            <v>5</v>
          </cell>
        </row>
        <row r="189">
          <cell r="A189" t="str">
            <v>2F1YD1</v>
          </cell>
          <cell r="B189">
            <v>440</v>
          </cell>
          <cell r="C189">
            <v>3.2727272727272729</v>
          </cell>
          <cell r="D189">
            <v>440</v>
          </cell>
          <cell r="E189" t="str">
            <v>75/36GYR29</v>
          </cell>
          <cell r="F189" t="str">
            <v>FP01306</v>
          </cell>
          <cell r="G189">
            <v>550</v>
          </cell>
          <cell r="H189" t="str">
            <v>P123</v>
          </cell>
          <cell r="I189">
            <v>0.5</v>
          </cell>
          <cell r="J189" t="str">
            <v>低壓</v>
          </cell>
          <cell r="K189" t="str">
            <v>白底紅星</v>
          </cell>
          <cell r="L189">
            <v>2</v>
          </cell>
        </row>
        <row r="190">
          <cell r="A190" t="str">
            <v>2F41W1</v>
          </cell>
          <cell r="B190">
            <v>460</v>
          </cell>
          <cell r="C190">
            <v>3.1304347826086958</v>
          </cell>
          <cell r="D190">
            <v>460</v>
          </cell>
          <cell r="E190" t="str">
            <v>150/48SDR2</v>
          </cell>
          <cell r="F190" t="str">
            <v>FP02406R</v>
          </cell>
          <cell r="G190">
            <v>670</v>
          </cell>
          <cell r="H190" t="str">
            <v>P203</v>
          </cell>
          <cell r="I190">
            <v>0.8</v>
          </cell>
          <cell r="J190" t="str">
            <v>低壓</v>
          </cell>
          <cell r="K190" t="str">
            <v>紫色</v>
          </cell>
          <cell r="L190">
            <v>5</v>
          </cell>
        </row>
        <row r="191">
          <cell r="A191" t="str">
            <v>2F1YF2</v>
          </cell>
          <cell r="B191">
            <v>480</v>
          </cell>
          <cell r="C191">
            <v>3</v>
          </cell>
          <cell r="D191">
            <v>480</v>
          </cell>
          <cell r="E191" t="str">
            <v>75/72CE</v>
          </cell>
          <cell r="F191" t="str">
            <v>FP01308</v>
          </cell>
          <cell r="G191">
            <v>500</v>
          </cell>
          <cell r="H191" t="str">
            <v>P203</v>
          </cell>
          <cell r="I191">
            <v>0.8</v>
          </cell>
          <cell r="J191" t="str">
            <v>低壓</v>
          </cell>
          <cell r="K191" t="str">
            <v>白底黑點</v>
          </cell>
          <cell r="L191">
            <v>2</v>
          </cell>
        </row>
        <row r="192">
          <cell r="A192" t="str">
            <v>2F41X2</v>
          </cell>
          <cell r="B192">
            <v>440</v>
          </cell>
          <cell r="C192">
            <v>3.2727272727272729</v>
          </cell>
          <cell r="D192">
            <v>440</v>
          </cell>
          <cell r="E192" t="str">
            <v>75/24/2SDR2</v>
          </cell>
          <cell r="F192" t="str">
            <v>FP81333R×2</v>
          </cell>
          <cell r="G192">
            <v>700</v>
          </cell>
          <cell r="H192" t="str">
            <v>P204</v>
          </cell>
          <cell r="I192">
            <v>2.2000000000000002</v>
          </cell>
          <cell r="J192" t="str">
            <v>低壓</v>
          </cell>
          <cell r="K192" t="str">
            <v>綠底藍三角</v>
          </cell>
          <cell r="L192">
            <v>5</v>
          </cell>
        </row>
        <row r="193">
          <cell r="A193" t="str">
            <v>2F41Y1</v>
          </cell>
          <cell r="B193">
            <v>439</v>
          </cell>
          <cell r="C193">
            <v>3.2801822323462413</v>
          </cell>
          <cell r="D193">
            <v>439</v>
          </cell>
          <cell r="E193" t="str">
            <v>150/48SDR</v>
          </cell>
          <cell r="F193" t="str">
            <v>FP82137R</v>
          </cell>
          <cell r="G193">
            <v>700</v>
          </cell>
          <cell r="H193" t="str">
            <v>P203</v>
          </cell>
          <cell r="I193">
            <v>1.5</v>
          </cell>
          <cell r="J193" t="str">
            <v>低壓</v>
          </cell>
          <cell r="K193" t="str">
            <v>白底紅點</v>
          </cell>
          <cell r="L193">
            <v>5</v>
          </cell>
        </row>
        <row r="194">
          <cell r="A194" t="str">
            <v>2F1YG2</v>
          </cell>
          <cell r="B194">
            <v>770</v>
          </cell>
          <cell r="C194">
            <v>1.8701298701298701</v>
          </cell>
          <cell r="D194">
            <v>770</v>
          </cell>
          <cell r="E194" t="str">
            <v>75/72SDR2</v>
          </cell>
          <cell r="F194" t="str">
            <v>FP81346R</v>
          </cell>
          <cell r="G194">
            <v>800</v>
          </cell>
          <cell r="H194" t="str">
            <v>P203</v>
          </cell>
          <cell r="I194">
            <v>1.1000000000000001</v>
          </cell>
          <cell r="J194" t="str">
            <v>低壓</v>
          </cell>
          <cell r="K194" t="str">
            <v>紅黑條紋</v>
          </cell>
          <cell r="L194">
            <v>5</v>
          </cell>
        </row>
        <row r="195">
          <cell r="A195" t="str">
            <v>2F08M2</v>
          </cell>
          <cell r="B195">
            <v>617</v>
          </cell>
          <cell r="C195">
            <v>2.3338735818476497</v>
          </cell>
          <cell r="D195">
            <v>617</v>
          </cell>
          <cell r="E195" t="str">
            <v>50/72BSD3</v>
          </cell>
          <cell r="F195" t="str">
            <v>FP80127</v>
          </cell>
          <cell r="G195">
            <v>600</v>
          </cell>
          <cell r="H195" t="str">
            <v>P142</v>
          </cell>
          <cell r="I195">
            <v>1</v>
          </cell>
          <cell r="J195" t="str">
            <v>低壓</v>
          </cell>
          <cell r="K195" t="str">
            <v>紅底藍點</v>
          </cell>
          <cell r="L195">
            <v>2</v>
          </cell>
        </row>
        <row r="196">
          <cell r="A196" t="str">
            <v>2F41Z2</v>
          </cell>
          <cell r="B196">
            <v>504</v>
          </cell>
          <cell r="C196">
            <v>2.8571428571428572</v>
          </cell>
          <cell r="D196">
            <v>504</v>
          </cell>
          <cell r="E196" t="str">
            <v>150/48BKR95</v>
          </cell>
          <cell r="F196" t="str">
            <v>FP02304R</v>
          </cell>
          <cell r="G196">
            <v>500</v>
          </cell>
          <cell r="H196" t="str">
            <v>P203</v>
          </cell>
          <cell r="I196">
            <v>3</v>
          </cell>
          <cell r="J196" t="str">
            <v>低壓</v>
          </cell>
          <cell r="K196" t="str">
            <v>白底黑星</v>
          </cell>
          <cell r="L196">
            <v>4</v>
          </cell>
        </row>
        <row r="197">
          <cell r="A197" t="str">
            <v>2F1YI1</v>
          </cell>
          <cell r="B197">
            <v>901</v>
          </cell>
          <cell r="C197">
            <v>1.5982241953385128</v>
          </cell>
          <cell r="D197">
            <v>901</v>
          </cell>
          <cell r="E197" t="str">
            <v>75/144SDR</v>
          </cell>
          <cell r="F197" t="str">
            <v>FP81308R</v>
          </cell>
          <cell r="G197">
            <v>500</v>
          </cell>
          <cell r="H197" t="str">
            <v>P203</v>
          </cell>
          <cell r="I197">
            <v>0.4</v>
          </cell>
          <cell r="J197" t="str">
            <v>低壓</v>
          </cell>
          <cell r="K197" t="str">
            <v>白底黑方塊</v>
          </cell>
          <cell r="L197">
            <v>3.7</v>
          </cell>
        </row>
        <row r="198">
          <cell r="A198" t="str">
            <v>2F42A1</v>
          </cell>
          <cell r="B198">
            <v>461</v>
          </cell>
          <cell r="C198">
            <v>3.1236442516268981</v>
          </cell>
          <cell r="D198">
            <v>461</v>
          </cell>
          <cell r="E198" t="str">
            <v>150/48SDR</v>
          </cell>
          <cell r="F198" t="str">
            <v>FP02306R</v>
          </cell>
          <cell r="G198">
            <v>670</v>
          </cell>
          <cell r="H198" t="str">
            <v>P203</v>
          </cell>
          <cell r="I198">
            <v>0.7</v>
          </cell>
          <cell r="J198" t="str">
            <v>低壓</v>
          </cell>
          <cell r="K198" t="str">
            <v>黃底紅三角</v>
          </cell>
          <cell r="L198">
            <v>5</v>
          </cell>
        </row>
        <row r="199">
          <cell r="A199" t="str">
            <v>2F28V2</v>
          </cell>
          <cell r="B199">
            <v>563</v>
          </cell>
          <cell r="C199">
            <v>2.5577264653641207</v>
          </cell>
          <cell r="D199">
            <v>563</v>
          </cell>
          <cell r="E199" t="str">
            <v>100/72PFR</v>
          </cell>
          <cell r="F199" t="str">
            <v>FP81351R</v>
          </cell>
          <cell r="G199">
            <v>650</v>
          </cell>
          <cell r="H199" t="str">
            <v>P203</v>
          </cell>
          <cell r="I199">
            <v>1.2</v>
          </cell>
          <cell r="J199" t="str">
            <v>低壓</v>
          </cell>
          <cell r="K199" t="str">
            <v>黃黑條紋</v>
          </cell>
          <cell r="L199">
            <v>4</v>
          </cell>
        </row>
        <row r="200">
          <cell r="A200" t="str">
            <v>2F1YJ2</v>
          </cell>
          <cell r="B200">
            <v>889</v>
          </cell>
          <cell r="C200">
            <v>1.6197975253093364</v>
          </cell>
          <cell r="D200">
            <v>889</v>
          </cell>
          <cell r="E200" t="str">
            <v>75/48SDR</v>
          </cell>
          <cell r="F200" t="str">
            <v>FP81324R</v>
          </cell>
          <cell r="G200">
            <v>700</v>
          </cell>
          <cell r="H200" t="str">
            <v>P203</v>
          </cell>
          <cell r="I200">
            <v>1.4</v>
          </cell>
          <cell r="J200" t="str">
            <v>低壓</v>
          </cell>
          <cell r="K200" t="str">
            <v>黃黑直條</v>
          </cell>
          <cell r="L200">
            <v>5</v>
          </cell>
        </row>
        <row r="201">
          <cell r="A201" t="str">
            <v>2F1YK1</v>
          </cell>
          <cell r="B201">
            <v>888</v>
          </cell>
          <cell r="C201">
            <v>1.6216216216216217</v>
          </cell>
          <cell r="D201">
            <v>888</v>
          </cell>
          <cell r="E201" t="str">
            <v>75/144SDR</v>
          </cell>
          <cell r="F201" t="str">
            <v>FP81355R</v>
          </cell>
          <cell r="G201">
            <v>500</v>
          </cell>
          <cell r="H201" t="str">
            <v>P203</v>
          </cell>
          <cell r="I201">
            <v>0.3</v>
          </cell>
          <cell r="J201" t="str">
            <v>低壓</v>
          </cell>
          <cell r="K201" t="str">
            <v>白底紫三角</v>
          </cell>
          <cell r="L201">
            <v>3.7</v>
          </cell>
        </row>
        <row r="202">
          <cell r="A202" t="str">
            <v>2F1YH2</v>
          </cell>
          <cell r="B202">
            <v>950</v>
          </cell>
          <cell r="C202">
            <v>1.5157894736842106</v>
          </cell>
          <cell r="D202">
            <v>950</v>
          </cell>
          <cell r="E202" t="str">
            <v>75/72SR6</v>
          </cell>
          <cell r="F202" t="str">
            <v>FP81629</v>
          </cell>
          <cell r="G202">
            <v>650</v>
          </cell>
          <cell r="H202" t="str">
            <v>P203</v>
          </cell>
          <cell r="I202">
            <v>0.8</v>
          </cell>
          <cell r="J202" t="str">
            <v>低壓</v>
          </cell>
          <cell r="K202" t="str">
            <v>白綠條紋</v>
          </cell>
          <cell r="L202">
            <v>5</v>
          </cell>
        </row>
        <row r="203">
          <cell r="A203" t="str">
            <v>2F7D02</v>
          </cell>
          <cell r="B203">
            <v>470</v>
          </cell>
          <cell r="C203">
            <v>3.0638297872340425</v>
          </cell>
          <cell r="D203">
            <v>470</v>
          </cell>
          <cell r="E203" t="str">
            <v>165/48SR6</v>
          </cell>
          <cell r="F203" t="str">
            <v>FP82652</v>
          </cell>
          <cell r="G203">
            <v>600</v>
          </cell>
          <cell r="H203" t="str">
            <v>P204</v>
          </cell>
          <cell r="I203">
            <v>2.2000000000000002</v>
          </cell>
          <cell r="J203" t="str">
            <v>高壓</v>
          </cell>
          <cell r="K203" t="str">
            <v>棕色</v>
          </cell>
          <cell r="L203">
            <v>5</v>
          </cell>
        </row>
        <row r="204">
          <cell r="A204" t="str">
            <v>2F6FX1</v>
          </cell>
          <cell r="B204">
            <v>208</v>
          </cell>
          <cell r="C204">
            <v>6.9230769230769234</v>
          </cell>
          <cell r="D204">
            <v>208</v>
          </cell>
          <cell r="E204" t="str">
            <v>150/48/2GY5</v>
          </cell>
          <cell r="F204" t="str">
            <v>FP02307×2</v>
          </cell>
          <cell r="G204">
            <v>600</v>
          </cell>
          <cell r="H204" t="str">
            <v>P227</v>
          </cell>
          <cell r="I204">
            <v>1.6</v>
          </cell>
          <cell r="J204" t="str">
            <v>低壓</v>
          </cell>
          <cell r="K204" t="str">
            <v>白底黑星</v>
          </cell>
          <cell r="L204">
            <v>4</v>
          </cell>
        </row>
        <row r="205">
          <cell r="A205" t="str">
            <v>2F28W1</v>
          </cell>
          <cell r="B205">
            <v>641</v>
          </cell>
          <cell r="C205">
            <v>2.2464898595943836</v>
          </cell>
          <cell r="D205">
            <v>641</v>
          </cell>
          <cell r="E205" t="str">
            <v>100/36SDR</v>
          </cell>
          <cell r="F205" t="str">
            <v>FP81328R</v>
          </cell>
          <cell r="G205">
            <v>700</v>
          </cell>
          <cell r="H205" t="str">
            <v>P123</v>
          </cell>
          <cell r="I205">
            <v>2.4</v>
          </cell>
          <cell r="J205" t="str">
            <v>低壓</v>
          </cell>
          <cell r="K205" t="str">
            <v>白底藍點</v>
          </cell>
          <cell r="L205">
            <v>5</v>
          </cell>
        </row>
        <row r="206">
          <cell r="A206" t="str">
            <v>2F42B2</v>
          </cell>
          <cell r="B206">
            <v>443</v>
          </cell>
          <cell r="C206">
            <v>3.2505643340857788</v>
          </cell>
          <cell r="D206">
            <v>443</v>
          </cell>
          <cell r="E206" t="str">
            <v>75/24/2SDR2</v>
          </cell>
          <cell r="F206" t="str">
            <v>FP81361R×2</v>
          </cell>
          <cell r="G206">
            <v>700</v>
          </cell>
          <cell r="H206" t="str">
            <v>P204</v>
          </cell>
          <cell r="I206">
            <v>2.2999999999999998</v>
          </cell>
          <cell r="J206" t="str">
            <v>低壓</v>
          </cell>
          <cell r="K206" t="str">
            <v>白黑三角</v>
          </cell>
          <cell r="L206">
            <v>5</v>
          </cell>
        </row>
        <row r="207">
          <cell r="A207" t="str">
            <v>2F1YL2</v>
          </cell>
          <cell r="B207">
            <v>480</v>
          </cell>
          <cell r="C207">
            <v>3</v>
          </cell>
          <cell r="D207">
            <v>480</v>
          </cell>
          <cell r="E207" t="str">
            <v>75/72CE</v>
          </cell>
          <cell r="F207" t="str">
            <v>FP01314</v>
          </cell>
          <cell r="G207">
            <v>500</v>
          </cell>
          <cell r="H207" t="str">
            <v>P203</v>
          </cell>
          <cell r="I207">
            <v>0.7</v>
          </cell>
          <cell r="J207" t="str">
            <v>低壓</v>
          </cell>
          <cell r="K207" t="str">
            <v>粉紅</v>
          </cell>
          <cell r="L207">
            <v>2</v>
          </cell>
        </row>
        <row r="208">
          <cell r="A208" t="str">
            <v>2F1YM2</v>
          </cell>
          <cell r="B208">
            <v>1112</v>
          </cell>
          <cell r="C208">
            <v>1.2949640287769784</v>
          </cell>
          <cell r="D208">
            <v>1112</v>
          </cell>
          <cell r="E208" t="str">
            <v>75/72SDFFR</v>
          </cell>
          <cell r="F208" t="str">
            <v>FP81337R</v>
          </cell>
          <cell r="G208">
            <v>550</v>
          </cell>
          <cell r="H208" t="str">
            <v>P123</v>
          </cell>
          <cell r="I208">
            <v>1.6</v>
          </cell>
          <cell r="J208" t="str">
            <v>高壓</v>
          </cell>
          <cell r="K208" t="str">
            <v>黃色</v>
          </cell>
          <cell r="L208">
            <v>5</v>
          </cell>
        </row>
        <row r="209">
          <cell r="A209" t="str">
            <v>2F42C2</v>
          </cell>
          <cell r="B209">
            <v>513</v>
          </cell>
          <cell r="C209">
            <v>2.807017543859649</v>
          </cell>
          <cell r="D209">
            <v>513</v>
          </cell>
          <cell r="E209" t="str">
            <v>150/48BK42</v>
          </cell>
          <cell r="F209" t="str">
            <v>FP02410</v>
          </cell>
          <cell r="G209">
            <v>600</v>
          </cell>
          <cell r="H209" t="str">
            <v>P203</v>
          </cell>
          <cell r="I209">
            <v>2.9</v>
          </cell>
          <cell r="J209" t="str">
            <v>低壓</v>
          </cell>
          <cell r="K209" t="str">
            <v>紅白直條</v>
          </cell>
          <cell r="L209">
            <v>5</v>
          </cell>
        </row>
        <row r="210">
          <cell r="A210" t="str">
            <v>2F42D1</v>
          </cell>
          <cell r="B210">
            <v>461</v>
          </cell>
          <cell r="C210">
            <v>3.1236442516268981</v>
          </cell>
          <cell r="D210">
            <v>461</v>
          </cell>
          <cell r="E210" t="str">
            <v>150/48SDR1</v>
          </cell>
          <cell r="F210" t="str">
            <v>FP82161R</v>
          </cell>
          <cell r="G210">
            <v>670</v>
          </cell>
          <cell r="H210" t="str">
            <v>P203</v>
          </cell>
          <cell r="I210">
            <v>0.7</v>
          </cell>
          <cell r="J210" t="str">
            <v>低壓</v>
          </cell>
          <cell r="K210" t="str">
            <v>藍白十字</v>
          </cell>
          <cell r="L210">
            <v>5</v>
          </cell>
        </row>
        <row r="211">
          <cell r="A211" t="str">
            <v>2F6GB1</v>
          </cell>
          <cell r="B211">
            <v>192</v>
          </cell>
          <cell r="C211">
            <v>7.5</v>
          </cell>
          <cell r="D211">
            <v>192</v>
          </cell>
          <cell r="E211" t="str">
            <v>150/48/2BG</v>
          </cell>
          <cell r="F211" t="str">
            <v>FP02411×2</v>
          </cell>
          <cell r="G211">
            <v>650</v>
          </cell>
          <cell r="H211" t="str">
            <v>P227</v>
          </cell>
          <cell r="I211">
            <v>1.6</v>
          </cell>
          <cell r="J211" t="str">
            <v>低壓</v>
          </cell>
          <cell r="K211" t="str">
            <v>白底紅星</v>
          </cell>
          <cell r="L211">
            <v>4</v>
          </cell>
        </row>
        <row r="212">
          <cell r="A212" t="str">
            <v>2F1YN1</v>
          </cell>
          <cell r="B212">
            <v>895</v>
          </cell>
          <cell r="C212">
            <v>1.6089385474860336</v>
          </cell>
          <cell r="D212">
            <v>895</v>
          </cell>
          <cell r="E212" t="str">
            <v>75/144SDR</v>
          </cell>
          <cell r="F212" t="str">
            <v>FP11908R</v>
          </cell>
          <cell r="G212">
            <v>500</v>
          </cell>
          <cell r="H212" t="str">
            <v>P203</v>
          </cell>
          <cell r="I212">
            <v>0.3</v>
          </cell>
          <cell r="J212" t="str">
            <v>低壓</v>
          </cell>
          <cell r="K212" t="str">
            <v>洋綠色</v>
          </cell>
          <cell r="L212">
            <v>3.7</v>
          </cell>
        </row>
        <row r="213">
          <cell r="A213" t="str">
            <v>2F42F1</v>
          </cell>
          <cell r="B213">
            <v>461</v>
          </cell>
          <cell r="C213">
            <v>3.1236442516268981</v>
          </cell>
          <cell r="D213">
            <v>461</v>
          </cell>
          <cell r="E213" t="str">
            <v>150/48SDR</v>
          </cell>
          <cell r="F213" t="str">
            <v>FP82150R</v>
          </cell>
          <cell r="G213">
            <v>670</v>
          </cell>
          <cell r="H213" t="str">
            <v>P203</v>
          </cell>
          <cell r="I213">
            <v>0.7</v>
          </cell>
          <cell r="J213" t="str">
            <v>低壓</v>
          </cell>
          <cell r="K213" t="str">
            <v>橘底黑三角</v>
          </cell>
          <cell r="L213">
            <v>5</v>
          </cell>
        </row>
        <row r="214">
          <cell r="A214" t="str">
            <v>2F42G2</v>
          </cell>
          <cell r="B214">
            <v>470</v>
          </cell>
          <cell r="C214">
            <v>3.0638297872340425</v>
          </cell>
          <cell r="D214">
            <v>470</v>
          </cell>
          <cell r="E214" t="str">
            <v>150/48SDR</v>
          </cell>
          <cell r="F214" t="str">
            <v>FP82150R</v>
          </cell>
          <cell r="G214">
            <v>650</v>
          </cell>
          <cell r="H214" t="str">
            <v>P203</v>
          </cell>
          <cell r="I214">
            <v>3</v>
          </cell>
          <cell r="J214" t="str">
            <v>低壓</v>
          </cell>
          <cell r="K214" t="str">
            <v>紫色</v>
          </cell>
          <cell r="L214">
            <v>5</v>
          </cell>
        </row>
        <row r="215">
          <cell r="A215" t="str">
            <v>2F28X2</v>
          </cell>
          <cell r="B215">
            <v>570</v>
          </cell>
          <cell r="C215">
            <v>2.5263157894736841</v>
          </cell>
          <cell r="D215">
            <v>570</v>
          </cell>
          <cell r="E215" t="str">
            <v>100/72PFR</v>
          </cell>
          <cell r="F215" t="str">
            <v>FP81351R</v>
          </cell>
          <cell r="G215">
            <v>650</v>
          </cell>
          <cell r="H215" t="str">
            <v>P203</v>
          </cell>
          <cell r="I215">
            <v>1.2</v>
          </cell>
          <cell r="J215" t="str">
            <v>高壓</v>
          </cell>
          <cell r="K215" t="str">
            <v>白藍條紋</v>
          </cell>
          <cell r="L215">
            <v>4</v>
          </cell>
        </row>
        <row r="216">
          <cell r="A216" t="str">
            <v>2F28Y1</v>
          </cell>
          <cell r="B216">
            <v>649</v>
          </cell>
          <cell r="C216">
            <v>2.2187981510015407</v>
          </cell>
          <cell r="D216">
            <v>649</v>
          </cell>
          <cell r="E216" t="str">
            <v>100/36SDR</v>
          </cell>
          <cell r="F216" t="str">
            <v>FP81305R</v>
          </cell>
          <cell r="G216">
            <v>700</v>
          </cell>
          <cell r="H216" t="str">
            <v>P123</v>
          </cell>
          <cell r="I216">
            <v>2.4</v>
          </cell>
          <cell r="J216" t="str">
            <v>低壓</v>
          </cell>
          <cell r="K216" t="str">
            <v>白底綠方塊</v>
          </cell>
          <cell r="L216">
            <v>5</v>
          </cell>
        </row>
        <row r="217">
          <cell r="A217" t="str">
            <v>2F42H2</v>
          </cell>
          <cell r="B217">
            <v>485</v>
          </cell>
          <cell r="C217">
            <v>2.9690721649484537</v>
          </cell>
          <cell r="D217">
            <v>485</v>
          </cell>
          <cell r="E217" t="str">
            <v>150/48BKR95</v>
          </cell>
          <cell r="F217" t="str">
            <v>FP02308R</v>
          </cell>
          <cell r="G217">
            <v>525</v>
          </cell>
          <cell r="H217" t="str">
            <v>P203</v>
          </cell>
          <cell r="I217">
            <v>3</v>
          </cell>
          <cell r="J217" t="str">
            <v>低壓</v>
          </cell>
          <cell r="K217" t="str">
            <v>綠藍雙色</v>
          </cell>
          <cell r="L217">
            <v>4</v>
          </cell>
        </row>
        <row r="218">
          <cell r="A218" t="str">
            <v>2F28Z2</v>
          </cell>
          <cell r="B218">
            <v>570</v>
          </cell>
          <cell r="C218">
            <v>2.5263157894736841</v>
          </cell>
          <cell r="D218">
            <v>570</v>
          </cell>
          <cell r="E218" t="str">
            <v>100/72PFR</v>
          </cell>
          <cell r="F218" t="str">
            <v>FP81351R</v>
          </cell>
          <cell r="G218">
            <v>650</v>
          </cell>
          <cell r="H218" t="str">
            <v>P203</v>
          </cell>
          <cell r="I218">
            <v>1.2</v>
          </cell>
          <cell r="J218" t="str">
            <v>低壓</v>
          </cell>
          <cell r="K218" t="str">
            <v>黃底白點</v>
          </cell>
          <cell r="L218">
            <v>4</v>
          </cell>
        </row>
        <row r="219">
          <cell r="A219" t="str">
            <v>2F08N2</v>
          </cell>
          <cell r="B219">
            <v>580</v>
          </cell>
          <cell r="C219">
            <v>2.4827586206896552</v>
          </cell>
          <cell r="D219">
            <v>580</v>
          </cell>
          <cell r="E219" t="str">
            <v>50/72BSD3</v>
          </cell>
          <cell r="F219" t="str">
            <v>FP80137</v>
          </cell>
          <cell r="G219">
            <v>630</v>
          </cell>
          <cell r="H219" t="str">
            <v>P142</v>
          </cell>
          <cell r="I219">
            <v>1.1000000000000001</v>
          </cell>
          <cell r="J219" t="str">
            <v>低壓</v>
          </cell>
          <cell r="K219" t="str">
            <v>黃黑條紋</v>
          </cell>
          <cell r="L219">
            <v>2</v>
          </cell>
        </row>
        <row r="220">
          <cell r="A220" t="str">
            <v>2F29A2</v>
          </cell>
          <cell r="B220">
            <v>557</v>
          </cell>
          <cell r="C220">
            <v>2.5852782764811488</v>
          </cell>
          <cell r="D220">
            <v>557</v>
          </cell>
          <cell r="E220" t="str">
            <v>100/72PFR</v>
          </cell>
          <cell r="F220" t="str">
            <v>FP81351R</v>
          </cell>
          <cell r="G220">
            <v>650</v>
          </cell>
          <cell r="H220" t="str">
            <v>P203</v>
          </cell>
          <cell r="I220">
            <v>1.2</v>
          </cell>
          <cell r="J220" t="str">
            <v>低壓</v>
          </cell>
          <cell r="K220" t="str">
            <v>白底藍方塊</v>
          </cell>
          <cell r="L220">
            <v>4</v>
          </cell>
        </row>
        <row r="221">
          <cell r="A221" t="str">
            <v>2F6GF1</v>
          </cell>
          <cell r="B221">
            <v>193</v>
          </cell>
          <cell r="C221">
            <v>7.4611398963730569</v>
          </cell>
          <cell r="D221">
            <v>193</v>
          </cell>
          <cell r="E221" t="str">
            <v>150/48/2BG2</v>
          </cell>
          <cell r="F221" t="str">
            <v>FP02412×2</v>
          </cell>
          <cell r="G221">
            <v>650</v>
          </cell>
          <cell r="H221" t="str">
            <v>P227</v>
          </cell>
          <cell r="I221">
            <v>1.7</v>
          </cell>
          <cell r="J221" t="str">
            <v>低壓</v>
          </cell>
          <cell r="K221" t="str">
            <v>紫底白點</v>
          </cell>
          <cell r="L221">
            <v>4</v>
          </cell>
        </row>
        <row r="222">
          <cell r="A222" t="str">
            <v>2F42K2</v>
          </cell>
          <cell r="B222">
            <v>444</v>
          </cell>
          <cell r="C222">
            <v>3.2432432432432434</v>
          </cell>
          <cell r="D222">
            <v>444</v>
          </cell>
          <cell r="E222" t="str">
            <v>75/24/2SDR1</v>
          </cell>
          <cell r="F222" t="str">
            <v>FP81361R×2</v>
          </cell>
          <cell r="G222">
            <v>700</v>
          </cell>
          <cell r="H222" t="str">
            <v>P204</v>
          </cell>
          <cell r="I222">
            <v>2.2000000000000002</v>
          </cell>
          <cell r="J222" t="str">
            <v>低壓</v>
          </cell>
          <cell r="K222" t="str">
            <v>黃色</v>
          </cell>
          <cell r="L222">
            <v>5</v>
          </cell>
        </row>
        <row r="223">
          <cell r="A223" t="str">
            <v>2F42L2</v>
          </cell>
          <cell r="B223">
            <v>471</v>
          </cell>
          <cell r="C223">
            <v>3.0573248407643314</v>
          </cell>
          <cell r="D223">
            <v>471</v>
          </cell>
          <cell r="E223" t="str">
            <v>150/48SDR</v>
          </cell>
          <cell r="F223" t="str">
            <v>FP82162R</v>
          </cell>
          <cell r="G223">
            <v>650</v>
          </cell>
          <cell r="H223" t="str">
            <v>P203</v>
          </cell>
          <cell r="I223">
            <v>3</v>
          </cell>
          <cell r="J223" t="str">
            <v>低壓</v>
          </cell>
          <cell r="K223" t="str">
            <v>白黃條紋</v>
          </cell>
          <cell r="L223">
            <v>5</v>
          </cell>
        </row>
        <row r="224">
          <cell r="A224" t="str">
            <v>2F42M2</v>
          </cell>
          <cell r="B224">
            <v>440</v>
          </cell>
          <cell r="C224">
            <v>3.2727272727272729</v>
          </cell>
          <cell r="D224">
            <v>440</v>
          </cell>
          <cell r="E224" t="str">
            <v>75/24/2SDR1</v>
          </cell>
          <cell r="F224" t="str">
            <v>FP81364R×2</v>
          </cell>
          <cell r="G224">
            <v>700</v>
          </cell>
          <cell r="H224" t="str">
            <v>P204</v>
          </cell>
          <cell r="I224">
            <v>2.2000000000000002</v>
          </cell>
          <cell r="J224" t="str">
            <v>低壓</v>
          </cell>
          <cell r="K224" t="str">
            <v>紅黑條紋</v>
          </cell>
          <cell r="L224">
            <v>5</v>
          </cell>
        </row>
        <row r="225">
          <cell r="A225" t="str">
            <v>2F42P2</v>
          </cell>
          <cell r="B225">
            <v>437</v>
          </cell>
          <cell r="C225">
            <v>3.2951945080091534</v>
          </cell>
          <cell r="D225">
            <v>437</v>
          </cell>
          <cell r="E225" t="str">
            <v>150/48CDR</v>
          </cell>
          <cell r="F225" t="str">
            <v>FP82777</v>
          </cell>
          <cell r="G225">
            <v>700</v>
          </cell>
          <cell r="H225" t="str">
            <v>P203</v>
          </cell>
          <cell r="I225">
            <v>2.9</v>
          </cell>
          <cell r="J225" t="str">
            <v>低壓</v>
          </cell>
          <cell r="K225" t="str">
            <v>黃底紅三角</v>
          </cell>
          <cell r="L225">
            <v>5</v>
          </cell>
        </row>
        <row r="226">
          <cell r="A226" t="str">
            <v>2F1YP2</v>
          </cell>
          <cell r="B226">
            <v>767</v>
          </cell>
          <cell r="C226">
            <v>1.8774445893089962</v>
          </cell>
          <cell r="D226">
            <v>767</v>
          </cell>
          <cell r="E226" t="str">
            <v>75/72SRR5</v>
          </cell>
          <cell r="F226" t="str">
            <v>FP81629</v>
          </cell>
          <cell r="G226">
            <v>650</v>
          </cell>
          <cell r="H226" t="str">
            <v>P203</v>
          </cell>
          <cell r="I226">
            <v>0.7</v>
          </cell>
          <cell r="J226" t="str">
            <v>高壓</v>
          </cell>
          <cell r="K226" t="str">
            <v>白底黑星</v>
          </cell>
          <cell r="L226">
            <v>4</v>
          </cell>
        </row>
        <row r="227">
          <cell r="A227" t="str">
            <v>2F42N1</v>
          </cell>
          <cell r="B227">
            <v>463</v>
          </cell>
          <cell r="C227">
            <v>3.1101511879049677</v>
          </cell>
          <cell r="D227">
            <v>463</v>
          </cell>
          <cell r="E227" t="str">
            <v>150/48SDR</v>
          </cell>
          <cell r="F227" t="str">
            <v>FP82162R</v>
          </cell>
          <cell r="G227">
            <v>670</v>
          </cell>
          <cell r="H227" t="str">
            <v>P203</v>
          </cell>
          <cell r="I227">
            <v>0.7</v>
          </cell>
          <cell r="J227" t="str">
            <v>低壓</v>
          </cell>
          <cell r="K227" t="str">
            <v>白底藍點</v>
          </cell>
          <cell r="L227">
            <v>5</v>
          </cell>
        </row>
        <row r="228">
          <cell r="A228" t="str">
            <v>2F42Q1</v>
          </cell>
          <cell r="B228">
            <v>457</v>
          </cell>
          <cell r="C228">
            <v>3.1509846827133479</v>
          </cell>
          <cell r="D228">
            <v>457</v>
          </cell>
          <cell r="E228" t="str">
            <v>150/48SDR</v>
          </cell>
          <cell r="F228" t="str">
            <v>FP82163R</v>
          </cell>
          <cell r="G228">
            <v>670</v>
          </cell>
          <cell r="H228" t="str">
            <v>P203</v>
          </cell>
          <cell r="I228">
            <v>0.8</v>
          </cell>
          <cell r="J228" t="str">
            <v>低壓</v>
          </cell>
          <cell r="K228" t="str">
            <v>白底紅星</v>
          </cell>
          <cell r="L228">
            <v>5</v>
          </cell>
        </row>
        <row r="229">
          <cell r="A229" t="str">
            <v>2F29B1</v>
          </cell>
          <cell r="B229">
            <v>649</v>
          </cell>
          <cell r="C229">
            <v>2.2187981510015407</v>
          </cell>
          <cell r="D229">
            <v>649</v>
          </cell>
          <cell r="E229" t="str">
            <v>100/36SDR</v>
          </cell>
          <cell r="F229" t="str">
            <v>FP81368R</v>
          </cell>
          <cell r="G229">
            <v>700</v>
          </cell>
          <cell r="H229" t="str">
            <v>P123</v>
          </cell>
          <cell r="I229">
            <v>2.4</v>
          </cell>
          <cell r="J229" t="str">
            <v>低壓</v>
          </cell>
          <cell r="K229" t="str">
            <v>白底紫三角</v>
          </cell>
          <cell r="L229">
            <v>5</v>
          </cell>
        </row>
        <row r="230">
          <cell r="A230" t="str">
            <v>2F6GI1</v>
          </cell>
          <cell r="B230">
            <v>208</v>
          </cell>
          <cell r="C230">
            <v>6.9230769230769234</v>
          </cell>
          <cell r="D230">
            <v>208</v>
          </cell>
          <cell r="E230" t="str">
            <v>150/48/2BG3</v>
          </cell>
          <cell r="F230" t="str">
            <v>FP02413×2</v>
          </cell>
          <cell r="G230">
            <v>600</v>
          </cell>
          <cell r="H230" t="str">
            <v>P227</v>
          </cell>
          <cell r="I230">
            <v>1.6</v>
          </cell>
          <cell r="J230" t="str">
            <v>低壓</v>
          </cell>
          <cell r="K230" t="str">
            <v>白底黑點</v>
          </cell>
          <cell r="L230">
            <v>4</v>
          </cell>
        </row>
        <row r="231">
          <cell r="A231" t="str">
            <v>2F6GJ2</v>
          </cell>
          <cell r="B231">
            <v>250</v>
          </cell>
          <cell r="C231">
            <v>5.76</v>
          </cell>
          <cell r="D231">
            <v>250</v>
          </cell>
          <cell r="E231" t="str">
            <v>150/48/2BFSD</v>
          </cell>
          <cell r="F231" t="str">
            <v>FP02311×2</v>
          </cell>
          <cell r="G231">
            <v>600</v>
          </cell>
          <cell r="H231" t="str">
            <v>P227</v>
          </cell>
          <cell r="I231">
            <v>2.9</v>
          </cell>
          <cell r="J231" t="str">
            <v>高壓</v>
          </cell>
          <cell r="K231" t="str">
            <v>黃黑直條</v>
          </cell>
          <cell r="L231">
            <v>5</v>
          </cell>
        </row>
        <row r="232">
          <cell r="A232" t="str">
            <v>2F29C2</v>
          </cell>
          <cell r="B232">
            <v>541</v>
          </cell>
          <cell r="C232">
            <v>2.6617375231053604</v>
          </cell>
          <cell r="D232">
            <v>541</v>
          </cell>
          <cell r="E232" t="str">
            <v>100/72PFR</v>
          </cell>
          <cell r="F232" t="str">
            <v>FP81370R</v>
          </cell>
          <cell r="G232">
            <v>680</v>
          </cell>
          <cell r="H232" t="str">
            <v>P203</v>
          </cell>
          <cell r="I232">
            <v>1.2</v>
          </cell>
          <cell r="J232" t="str">
            <v>低壓</v>
          </cell>
          <cell r="K232" t="str">
            <v>藍色</v>
          </cell>
          <cell r="L232">
            <v>4</v>
          </cell>
        </row>
        <row r="233">
          <cell r="A233" t="str">
            <v>2F42R1</v>
          </cell>
          <cell r="B233">
            <v>507</v>
          </cell>
          <cell r="C233">
            <v>2.8402366863905324</v>
          </cell>
          <cell r="D233">
            <v>507</v>
          </cell>
          <cell r="E233" t="str">
            <v>150/48SR6</v>
          </cell>
          <cell r="F233" t="str">
            <v>FP82654</v>
          </cell>
          <cell r="G233">
            <v>600</v>
          </cell>
          <cell r="H233" t="str">
            <v>NA</v>
          </cell>
          <cell r="K233" t="str">
            <v>棕色</v>
          </cell>
          <cell r="L233">
            <v>5</v>
          </cell>
        </row>
        <row r="234">
          <cell r="A234" t="str">
            <v>2F29D2</v>
          </cell>
          <cell r="B234">
            <v>557</v>
          </cell>
          <cell r="C234">
            <v>2.5852782764811488</v>
          </cell>
          <cell r="D234">
            <v>557</v>
          </cell>
          <cell r="E234" t="str">
            <v>100/72PFR</v>
          </cell>
          <cell r="F234" t="str">
            <v>FP81372R</v>
          </cell>
          <cell r="G234">
            <v>650</v>
          </cell>
          <cell r="H234" t="str">
            <v>P203</v>
          </cell>
          <cell r="I234">
            <v>1.2</v>
          </cell>
          <cell r="J234" t="str">
            <v>低壓</v>
          </cell>
          <cell r="K234" t="str">
            <v>綠藍三角</v>
          </cell>
          <cell r="L234">
            <v>4</v>
          </cell>
        </row>
        <row r="235">
          <cell r="A235" t="str">
            <v>2F1YQ2</v>
          </cell>
          <cell r="B235">
            <v>811</v>
          </cell>
          <cell r="C235">
            <v>1.7755856966707768</v>
          </cell>
          <cell r="D235">
            <v>811</v>
          </cell>
          <cell r="E235" t="str">
            <v>75/36SDR</v>
          </cell>
          <cell r="F235" t="str">
            <v>FP81326R</v>
          </cell>
          <cell r="G235">
            <v>780</v>
          </cell>
          <cell r="H235" t="str">
            <v>P203</v>
          </cell>
          <cell r="I235">
            <v>1.8</v>
          </cell>
          <cell r="J235" t="str">
            <v>低壓</v>
          </cell>
          <cell r="K235" t="str">
            <v>紫色</v>
          </cell>
          <cell r="L235">
            <v>5</v>
          </cell>
        </row>
        <row r="236">
          <cell r="A236" t="str">
            <v>2F42S2</v>
          </cell>
          <cell r="B236">
            <v>441</v>
          </cell>
          <cell r="C236">
            <v>3.2653061224489797</v>
          </cell>
          <cell r="D236">
            <v>441</v>
          </cell>
          <cell r="E236" t="str">
            <v>75/24/2SDR2</v>
          </cell>
          <cell r="F236" t="str">
            <v>FP81363R×2</v>
          </cell>
          <cell r="G236">
            <v>700</v>
          </cell>
          <cell r="H236" t="str">
            <v>P204</v>
          </cell>
          <cell r="I236">
            <v>2.2999999999999998</v>
          </cell>
          <cell r="J236" t="str">
            <v>低壓</v>
          </cell>
          <cell r="K236" t="str">
            <v>白綠條紋</v>
          </cell>
          <cell r="L236">
            <v>5</v>
          </cell>
        </row>
        <row r="237">
          <cell r="A237" t="str">
            <v>2F1YS1</v>
          </cell>
          <cell r="B237">
            <v>343</v>
          </cell>
          <cell r="C237">
            <v>4.1982507288629733</v>
          </cell>
          <cell r="D237">
            <v>343</v>
          </cell>
          <cell r="E237" t="str">
            <v>75/72SDR</v>
          </cell>
          <cell r="F237" t="str">
            <v>FP81337R</v>
          </cell>
          <cell r="G237">
            <v>700</v>
          </cell>
          <cell r="H237" t="str">
            <v>P142</v>
          </cell>
          <cell r="I237">
            <v>0.5</v>
          </cell>
          <cell r="J237" t="str">
            <v>低壓</v>
          </cell>
          <cell r="K237" t="str">
            <v>藍底白十字</v>
          </cell>
          <cell r="L237">
            <v>2</v>
          </cell>
        </row>
        <row r="238">
          <cell r="A238" t="str">
            <v>2F1YT1</v>
          </cell>
          <cell r="B238">
            <v>901</v>
          </cell>
          <cell r="C238">
            <v>1.5982241953385128</v>
          </cell>
          <cell r="D238">
            <v>901</v>
          </cell>
          <cell r="E238" t="str">
            <v>75/144SDR</v>
          </cell>
          <cell r="F238" t="str">
            <v>FP11914R</v>
          </cell>
          <cell r="G238">
            <v>500</v>
          </cell>
          <cell r="H238" t="str">
            <v>P203</v>
          </cell>
          <cell r="I238">
            <v>0.3</v>
          </cell>
          <cell r="J238" t="str">
            <v>低壓</v>
          </cell>
          <cell r="K238" t="str">
            <v>白黑條紋</v>
          </cell>
          <cell r="L238">
            <v>3.7</v>
          </cell>
        </row>
        <row r="239">
          <cell r="A239" t="str">
            <v>2F42T2</v>
          </cell>
          <cell r="B239">
            <v>443</v>
          </cell>
          <cell r="C239">
            <v>3.2505643340857788</v>
          </cell>
          <cell r="D239">
            <v>443</v>
          </cell>
          <cell r="E239" t="str">
            <v>75/24/2SDR2</v>
          </cell>
          <cell r="F239" t="str">
            <v>FP81363R×2</v>
          </cell>
          <cell r="G239">
            <v>700</v>
          </cell>
          <cell r="H239" t="str">
            <v>P204</v>
          </cell>
          <cell r="I239">
            <v>2.1</v>
          </cell>
          <cell r="J239" t="str">
            <v>低壓</v>
          </cell>
          <cell r="K239" t="str">
            <v>橘黑三角</v>
          </cell>
          <cell r="L239">
            <v>5</v>
          </cell>
        </row>
        <row r="240">
          <cell r="A240" t="str">
            <v>2F08P2</v>
          </cell>
          <cell r="B240">
            <v>585</v>
          </cell>
          <cell r="C240">
            <v>2.4615384615384617</v>
          </cell>
          <cell r="D240">
            <v>585</v>
          </cell>
          <cell r="E240" t="str">
            <v>50/72BSD3</v>
          </cell>
          <cell r="F240" t="str">
            <v>FP80141</v>
          </cell>
          <cell r="G240">
            <v>630</v>
          </cell>
          <cell r="H240" t="str">
            <v>P142</v>
          </cell>
          <cell r="I240">
            <v>1.1000000000000001</v>
          </cell>
          <cell r="J240" t="str">
            <v>低壓</v>
          </cell>
          <cell r="K240" t="str">
            <v>白底藍方塊</v>
          </cell>
          <cell r="L240">
            <v>2</v>
          </cell>
        </row>
        <row r="241">
          <cell r="A241" t="str">
            <v>2F1YR2</v>
          </cell>
          <cell r="B241">
            <v>823</v>
          </cell>
          <cell r="C241">
            <v>1.7496962332928312</v>
          </cell>
          <cell r="D241">
            <v>823</v>
          </cell>
          <cell r="E241" t="str">
            <v>75/36HC</v>
          </cell>
          <cell r="F241" t="str">
            <v>FP81857R</v>
          </cell>
          <cell r="G241">
            <v>600</v>
          </cell>
          <cell r="H241" t="str">
            <v>P203</v>
          </cell>
          <cell r="I241">
            <v>1.7</v>
          </cell>
          <cell r="J241" t="str">
            <v>高壓</v>
          </cell>
          <cell r="K241" t="str">
            <v>白底綠方塊</v>
          </cell>
          <cell r="L241">
            <v>4</v>
          </cell>
        </row>
        <row r="242">
          <cell r="A242" t="str">
            <v>2F7D73</v>
          </cell>
          <cell r="B242">
            <v>207</v>
          </cell>
          <cell r="C242">
            <v>6.9565217391304346</v>
          </cell>
          <cell r="D242">
            <v>207</v>
          </cell>
          <cell r="E242" t="str">
            <v>225/72/2FBKR</v>
          </cell>
          <cell r="F242" t="str">
            <v>FP03301R×2</v>
          </cell>
          <cell r="G242">
            <v>500</v>
          </cell>
          <cell r="H242" t="str">
            <v>P227</v>
          </cell>
          <cell r="I242">
            <v>3</v>
          </cell>
          <cell r="J242" t="str">
            <v>低壓</v>
          </cell>
          <cell r="K242" t="str">
            <v>白底黑方塊</v>
          </cell>
          <cell r="L242">
            <v>5</v>
          </cell>
        </row>
        <row r="243">
          <cell r="A243" t="str">
            <v>2F29E2</v>
          </cell>
          <cell r="B243">
            <v>557</v>
          </cell>
          <cell r="C243">
            <v>2.5852782764811488</v>
          </cell>
          <cell r="D243">
            <v>557</v>
          </cell>
          <cell r="E243" t="str">
            <v>100/72PFR</v>
          </cell>
          <cell r="F243" t="str">
            <v>FP81372R</v>
          </cell>
          <cell r="G243">
            <v>650</v>
          </cell>
          <cell r="H243" t="str">
            <v>P203</v>
          </cell>
          <cell r="I243">
            <v>1.2</v>
          </cell>
          <cell r="J243" t="str">
            <v>低壓</v>
          </cell>
          <cell r="K243" t="str">
            <v>白藍條紋</v>
          </cell>
          <cell r="L243">
            <v>4</v>
          </cell>
        </row>
        <row r="244">
          <cell r="A244" t="str">
            <v>2F1YU2</v>
          </cell>
          <cell r="B244">
            <v>356</v>
          </cell>
          <cell r="C244">
            <v>4.0449438202247192</v>
          </cell>
          <cell r="D244">
            <v>356</v>
          </cell>
          <cell r="E244" t="str">
            <v>75/48SDR</v>
          </cell>
          <cell r="F244" t="str">
            <v>FP81324R</v>
          </cell>
          <cell r="G244">
            <v>700</v>
          </cell>
          <cell r="H244" t="str">
            <v>P203</v>
          </cell>
          <cell r="I244">
            <v>1.3</v>
          </cell>
          <cell r="J244" t="str">
            <v>低壓</v>
          </cell>
          <cell r="K244" t="str">
            <v>黃底白點</v>
          </cell>
          <cell r="L244">
            <v>2</v>
          </cell>
        </row>
        <row r="245">
          <cell r="A245" t="str">
            <v>2F1YV1</v>
          </cell>
          <cell r="B245">
            <v>891</v>
          </cell>
          <cell r="C245">
            <v>1.6161616161616161</v>
          </cell>
          <cell r="D245">
            <v>891</v>
          </cell>
          <cell r="E245" t="str">
            <v>75/36SDR2</v>
          </cell>
          <cell r="F245" t="str">
            <v>FP81326R</v>
          </cell>
          <cell r="G245">
            <v>700</v>
          </cell>
          <cell r="H245" t="str">
            <v>P203</v>
          </cell>
          <cell r="I245">
            <v>0.5</v>
          </cell>
          <cell r="J245" t="str">
            <v>低壓</v>
          </cell>
          <cell r="K245" t="str">
            <v>棕色</v>
          </cell>
          <cell r="L245">
            <v>5</v>
          </cell>
        </row>
        <row r="246">
          <cell r="A246" t="str">
            <v>2F1YW1</v>
          </cell>
          <cell r="B246">
            <v>895</v>
          </cell>
          <cell r="C246">
            <v>1.6089385474860336</v>
          </cell>
          <cell r="D246">
            <v>895</v>
          </cell>
          <cell r="E246" t="str">
            <v>75/144SDR</v>
          </cell>
          <cell r="F246" t="str">
            <v>FP11914R</v>
          </cell>
          <cell r="G246">
            <v>500</v>
          </cell>
          <cell r="H246" t="str">
            <v>P203</v>
          </cell>
          <cell r="I246">
            <v>0.3</v>
          </cell>
          <cell r="J246" t="str">
            <v>低壓</v>
          </cell>
          <cell r="K246" t="str">
            <v>白黑三角</v>
          </cell>
          <cell r="L246">
            <v>3.7</v>
          </cell>
        </row>
        <row r="247">
          <cell r="A247" t="str">
            <v>2F29F2</v>
          </cell>
          <cell r="B247">
            <v>539</v>
          </cell>
          <cell r="C247">
            <v>2.6716141001855287</v>
          </cell>
          <cell r="D247">
            <v>539</v>
          </cell>
          <cell r="E247" t="str">
            <v>100/72PFR</v>
          </cell>
          <cell r="F247" t="str">
            <v>FP81370R</v>
          </cell>
          <cell r="G247">
            <v>680</v>
          </cell>
          <cell r="H247" t="str">
            <v>P203</v>
          </cell>
          <cell r="I247">
            <v>1.2</v>
          </cell>
          <cell r="J247" t="str">
            <v>低壓</v>
          </cell>
          <cell r="K247" t="str">
            <v>綠底藍三角</v>
          </cell>
          <cell r="L247">
            <v>4</v>
          </cell>
        </row>
        <row r="248">
          <cell r="A248" t="str">
            <v>2F1YX2</v>
          </cell>
          <cell r="B248">
            <v>770</v>
          </cell>
          <cell r="C248">
            <v>1.8701298701298701</v>
          </cell>
          <cell r="D248">
            <v>770</v>
          </cell>
          <cell r="E248" t="str">
            <v>75/72SDR</v>
          </cell>
          <cell r="F248" t="str">
            <v>FP81362R</v>
          </cell>
          <cell r="G248">
            <v>800</v>
          </cell>
          <cell r="H248" t="str">
            <v>P203</v>
          </cell>
          <cell r="I248">
            <v>1.2</v>
          </cell>
          <cell r="J248" t="str">
            <v>低壓</v>
          </cell>
          <cell r="K248" t="str">
            <v>白紅條紋</v>
          </cell>
          <cell r="L248">
            <v>5</v>
          </cell>
        </row>
        <row r="249">
          <cell r="A249" t="str">
            <v>2F1YY2</v>
          </cell>
          <cell r="B249">
            <v>600</v>
          </cell>
          <cell r="C249">
            <v>2.4</v>
          </cell>
          <cell r="D249">
            <v>600</v>
          </cell>
          <cell r="E249" t="str">
            <v>75/72F2FC</v>
          </cell>
          <cell r="F249" t="str">
            <v>FP01419</v>
          </cell>
          <cell r="G249">
            <v>600</v>
          </cell>
          <cell r="H249" t="str">
            <v>P203</v>
          </cell>
          <cell r="I249">
            <v>0.8</v>
          </cell>
          <cell r="J249" t="str">
            <v>低壓</v>
          </cell>
          <cell r="K249" t="str">
            <v>紫底白點</v>
          </cell>
          <cell r="L249">
            <v>3</v>
          </cell>
        </row>
        <row r="250">
          <cell r="A250" t="str">
            <v>2F1YZ2</v>
          </cell>
          <cell r="B250">
            <v>515</v>
          </cell>
          <cell r="C250">
            <v>2.796116504854369</v>
          </cell>
          <cell r="D250">
            <v>515</v>
          </cell>
          <cell r="E250" t="str">
            <v>75/36SAXT</v>
          </cell>
          <cell r="F250" t="str">
            <v>FP01418</v>
          </cell>
          <cell r="G250">
            <v>500</v>
          </cell>
          <cell r="H250" t="str">
            <v>P203</v>
          </cell>
          <cell r="I250">
            <v>1.8</v>
          </cell>
          <cell r="J250" t="str">
            <v>低壓</v>
          </cell>
          <cell r="K250" t="str">
            <v>桔色</v>
          </cell>
          <cell r="L250">
            <v>2</v>
          </cell>
        </row>
        <row r="251">
          <cell r="A251" t="str">
            <v>2F7D83</v>
          </cell>
          <cell r="B251">
            <v>188</v>
          </cell>
          <cell r="C251">
            <v>7.6595744680851068</v>
          </cell>
          <cell r="D251">
            <v>188</v>
          </cell>
          <cell r="E251" t="str">
            <v>225/72/2FBKR</v>
          </cell>
          <cell r="F251" t="str">
            <v>FP03301R×2</v>
          </cell>
          <cell r="G251">
            <v>550</v>
          </cell>
          <cell r="H251" t="str">
            <v>P227</v>
          </cell>
          <cell r="I251">
            <v>3.1</v>
          </cell>
          <cell r="J251" t="str">
            <v>低壓</v>
          </cell>
          <cell r="K251" t="str">
            <v>黃底白點</v>
          </cell>
          <cell r="L251">
            <v>5</v>
          </cell>
        </row>
        <row r="252">
          <cell r="A252" t="str">
            <v>2F42W2</v>
          </cell>
          <cell r="B252">
            <v>437</v>
          </cell>
          <cell r="C252">
            <v>3.2951945080091534</v>
          </cell>
          <cell r="D252">
            <v>437</v>
          </cell>
          <cell r="E252" t="str">
            <v>150/48CDR</v>
          </cell>
          <cell r="F252" t="str">
            <v>FP82780R</v>
          </cell>
          <cell r="G252">
            <v>700</v>
          </cell>
          <cell r="H252" t="str">
            <v>P203</v>
          </cell>
          <cell r="I252">
            <v>3</v>
          </cell>
          <cell r="J252" t="str">
            <v>低壓</v>
          </cell>
          <cell r="K252" t="str">
            <v>紅底白點</v>
          </cell>
          <cell r="L252">
            <v>5</v>
          </cell>
        </row>
        <row r="253">
          <cell r="A253" t="str">
            <v>2F42V1</v>
          </cell>
          <cell r="B253">
            <v>349</v>
          </cell>
          <cell r="C253">
            <v>4.126074498567335</v>
          </cell>
          <cell r="D253">
            <v>349</v>
          </cell>
          <cell r="E253" t="str">
            <v>75/36/2SDRP</v>
          </cell>
          <cell r="F253" t="str">
            <v>FP81380R×2</v>
          </cell>
          <cell r="G253">
            <v>700</v>
          </cell>
          <cell r="H253" t="str">
            <v>P204</v>
          </cell>
          <cell r="I253">
            <v>0.8</v>
          </cell>
          <cell r="J253" t="str">
            <v>低壓</v>
          </cell>
          <cell r="K253" t="str">
            <v>白底黑方塊</v>
          </cell>
          <cell r="L253">
            <v>4</v>
          </cell>
        </row>
        <row r="254">
          <cell r="A254" t="str">
            <v>2FA001</v>
          </cell>
          <cell r="B254">
            <v>915</v>
          </cell>
          <cell r="C254">
            <v>1.5737704918032787</v>
          </cell>
          <cell r="D254">
            <v>915</v>
          </cell>
          <cell r="E254" t="str">
            <v>75/36SDR2</v>
          </cell>
          <cell r="F254" t="str">
            <v>FP81386R</v>
          </cell>
          <cell r="G254">
            <v>700</v>
          </cell>
          <cell r="H254" t="str">
            <v>P203</v>
          </cell>
          <cell r="I254">
            <v>0.5</v>
          </cell>
          <cell r="J254" t="str">
            <v>低壓</v>
          </cell>
          <cell r="K254" t="str">
            <v>紫色</v>
          </cell>
          <cell r="L254">
            <v>5</v>
          </cell>
        </row>
        <row r="255">
          <cell r="A255" t="str">
            <v>2F42X2</v>
          </cell>
          <cell r="B255">
            <v>437</v>
          </cell>
          <cell r="C255">
            <v>3.2951945080091534</v>
          </cell>
          <cell r="D255">
            <v>437</v>
          </cell>
          <cell r="E255" t="str">
            <v>150/48HC</v>
          </cell>
          <cell r="F255" t="str">
            <v>FP82780R</v>
          </cell>
          <cell r="G255">
            <v>700</v>
          </cell>
          <cell r="H255" t="str">
            <v>P203</v>
          </cell>
          <cell r="I255">
            <v>3</v>
          </cell>
          <cell r="J255" t="str">
            <v>高壓</v>
          </cell>
          <cell r="K255" t="str">
            <v>藍底白十字</v>
          </cell>
          <cell r="L255">
            <v>5</v>
          </cell>
        </row>
        <row r="256">
          <cell r="A256" t="str">
            <v>2F08Q2</v>
          </cell>
          <cell r="B256">
            <v>633</v>
          </cell>
          <cell r="C256">
            <v>2.2748815165876777</v>
          </cell>
          <cell r="D256">
            <v>633</v>
          </cell>
          <cell r="E256" t="str">
            <v>50/72F2FC</v>
          </cell>
          <cell r="F256" t="str">
            <v>FP80139</v>
          </cell>
          <cell r="G256">
            <v>600</v>
          </cell>
          <cell r="H256" t="str">
            <v>P203</v>
          </cell>
          <cell r="I256">
            <v>0.7</v>
          </cell>
          <cell r="J256" t="str">
            <v>低壓</v>
          </cell>
          <cell r="K256" t="str">
            <v>藍底黑點</v>
          </cell>
          <cell r="L256">
            <v>2</v>
          </cell>
        </row>
        <row r="257">
          <cell r="A257" t="str">
            <v>2F29G1</v>
          </cell>
          <cell r="B257">
            <v>639</v>
          </cell>
          <cell r="C257">
            <v>2.2535211267605635</v>
          </cell>
          <cell r="D257">
            <v>639</v>
          </cell>
          <cell r="E257" t="str">
            <v>100/36SDR</v>
          </cell>
          <cell r="F257" t="str">
            <v>FP81384R</v>
          </cell>
          <cell r="G257">
            <v>700</v>
          </cell>
          <cell r="H257" t="str">
            <v>NA</v>
          </cell>
          <cell r="J257" t="str">
            <v>低壓</v>
          </cell>
          <cell r="K257" t="str">
            <v>黃色</v>
          </cell>
          <cell r="L257">
            <v>5</v>
          </cell>
        </row>
        <row r="258">
          <cell r="A258" t="str">
            <v>2FA032</v>
          </cell>
          <cell r="B258">
            <v>810</v>
          </cell>
          <cell r="C258">
            <v>1.7777777777777777</v>
          </cell>
          <cell r="D258">
            <v>810</v>
          </cell>
          <cell r="E258" t="str">
            <v>75/36SDR</v>
          </cell>
          <cell r="F258" t="str">
            <v>FP81386R</v>
          </cell>
          <cell r="G258">
            <v>780</v>
          </cell>
          <cell r="H258" t="str">
            <v>P203</v>
          </cell>
          <cell r="I258">
            <v>1.8</v>
          </cell>
          <cell r="J258" t="str">
            <v>低壓</v>
          </cell>
          <cell r="K258" t="str">
            <v>綠底白點</v>
          </cell>
          <cell r="L258">
            <v>5</v>
          </cell>
        </row>
        <row r="259">
          <cell r="A259" t="str">
            <v>2F42Y1</v>
          </cell>
          <cell r="B259">
            <v>471</v>
          </cell>
          <cell r="C259">
            <v>3.0573248407643314</v>
          </cell>
          <cell r="D259">
            <v>471</v>
          </cell>
          <cell r="E259" t="str">
            <v>150/48SDR</v>
          </cell>
          <cell r="F259" t="str">
            <v>FP82163R</v>
          </cell>
          <cell r="G259">
            <v>650</v>
          </cell>
          <cell r="H259" t="str">
            <v>P203</v>
          </cell>
          <cell r="I259">
            <v>1.9</v>
          </cell>
          <cell r="J259" t="str">
            <v>低壓</v>
          </cell>
          <cell r="K259" t="str">
            <v>黃底紅三角</v>
          </cell>
          <cell r="L259">
            <v>5</v>
          </cell>
        </row>
        <row r="260">
          <cell r="A260" t="str">
            <v>2F29H2</v>
          </cell>
          <cell r="B260">
            <v>539</v>
          </cell>
          <cell r="C260">
            <v>2.6716141001855287</v>
          </cell>
          <cell r="D260">
            <v>539</v>
          </cell>
          <cell r="E260" t="str">
            <v>100/72PFR</v>
          </cell>
          <cell r="F260" t="str">
            <v>FP81385R</v>
          </cell>
          <cell r="G260">
            <v>680</v>
          </cell>
          <cell r="H260" t="str">
            <v>P203</v>
          </cell>
          <cell r="I260">
            <v>1.2</v>
          </cell>
          <cell r="J260" t="str">
            <v>低壓</v>
          </cell>
          <cell r="K260" t="str">
            <v>洋綠色</v>
          </cell>
          <cell r="L260">
            <v>4</v>
          </cell>
        </row>
        <row r="261">
          <cell r="A261" t="str">
            <v>2F6GQ3</v>
          </cell>
          <cell r="B261">
            <v>322</v>
          </cell>
          <cell r="C261">
            <v>4.4720496894409933</v>
          </cell>
          <cell r="D261">
            <v>322</v>
          </cell>
          <cell r="E261" t="str">
            <v>150/48/2FBKR</v>
          </cell>
          <cell r="F261" t="str">
            <v>FP02420R×2</v>
          </cell>
          <cell r="G261">
            <v>500</v>
          </cell>
          <cell r="H261" t="str">
            <v>P227</v>
          </cell>
          <cell r="I261">
            <v>3.4</v>
          </cell>
          <cell r="J261" t="str">
            <v>高壓</v>
          </cell>
          <cell r="K261" t="str">
            <v>白底黑星</v>
          </cell>
          <cell r="L261">
            <v>5</v>
          </cell>
        </row>
        <row r="262">
          <cell r="A262" t="str">
            <v>2F43A1</v>
          </cell>
          <cell r="B262">
            <v>459</v>
          </cell>
          <cell r="C262">
            <v>3.1372549019607843</v>
          </cell>
          <cell r="D262">
            <v>459</v>
          </cell>
          <cell r="E262" t="str">
            <v>150/48SDR</v>
          </cell>
          <cell r="F262" t="str">
            <v>FP82166R</v>
          </cell>
          <cell r="G262">
            <v>670</v>
          </cell>
          <cell r="H262" t="str">
            <v>P203</v>
          </cell>
          <cell r="I262">
            <v>0.8</v>
          </cell>
          <cell r="J262" t="str">
            <v>低壓</v>
          </cell>
          <cell r="K262" t="str">
            <v>藍色</v>
          </cell>
          <cell r="L262">
            <v>5</v>
          </cell>
        </row>
        <row r="263">
          <cell r="A263" t="str">
            <v>2F29I1</v>
          </cell>
          <cell r="B263">
            <v>649</v>
          </cell>
          <cell r="C263">
            <v>2.2187981510015407</v>
          </cell>
          <cell r="D263">
            <v>649</v>
          </cell>
          <cell r="E263" t="str">
            <v>100/36SDr</v>
          </cell>
          <cell r="F263" t="str">
            <v>FP81384R</v>
          </cell>
          <cell r="G263">
            <v>700</v>
          </cell>
          <cell r="H263" t="str">
            <v>P123</v>
          </cell>
          <cell r="I263">
            <v>2.4</v>
          </cell>
          <cell r="J263" t="str">
            <v>低壓</v>
          </cell>
          <cell r="K263" t="str">
            <v>白底紅三角</v>
          </cell>
          <cell r="L263">
            <v>5</v>
          </cell>
        </row>
        <row r="264">
          <cell r="A264" t="str">
            <v>2F43B1</v>
          </cell>
          <cell r="B264">
            <v>470</v>
          </cell>
          <cell r="C264">
            <v>3.0638297872340425</v>
          </cell>
          <cell r="D264">
            <v>470</v>
          </cell>
          <cell r="E264" t="str">
            <v>150/48SDr</v>
          </cell>
          <cell r="F264" t="str">
            <v>FP82166R</v>
          </cell>
          <cell r="G264">
            <v>650</v>
          </cell>
          <cell r="H264" t="str">
            <v>P203</v>
          </cell>
          <cell r="I264">
            <v>1.9</v>
          </cell>
          <cell r="J264" t="str">
            <v>低壓</v>
          </cell>
          <cell r="K264" t="str">
            <v>棕色</v>
          </cell>
          <cell r="L264">
            <v>5</v>
          </cell>
        </row>
        <row r="265">
          <cell r="A265" t="str">
            <v>2F43D2</v>
          </cell>
          <cell r="B265">
            <v>437</v>
          </cell>
          <cell r="C265">
            <v>3.2951945080091534</v>
          </cell>
          <cell r="D265">
            <v>437</v>
          </cell>
          <cell r="E265" t="str">
            <v>150/48CDR</v>
          </cell>
          <cell r="F265" t="str">
            <v>FP82778</v>
          </cell>
          <cell r="G265">
            <v>700</v>
          </cell>
          <cell r="H265" t="str">
            <v>P203</v>
          </cell>
          <cell r="I265">
            <v>3</v>
          </cell>
          <cell r="J265" t="str">
            <v>低壓</v>
          </cell>
          <cell r="K265" t="str">
            <v>紅底白點</v>
          </cell>
          <cell r="L265">
            <v>5</v>
          </cell>
        </row>
        <row r="266">
          <cell r="A266" t="str">
            <v>2F43F1</v>
          </cell>
          <cell r="B266">
            <v>505</v>
          </cell>
          <cell r="C266">
            <v>2.8514851485148514</v>
          </cell>
          <cell r="D266">
            <v>505</v>
          </cell>
          <cell r="E266" t="str">
            <v>150/48SR6</v>
          </cell>
          <cell r="F266" t="str">
            <v>FP82658</v>
          </cell>
          <cell r="G266">
            <v>600</v>
          </cell>
          <cell r="H266" t="str">
            <v>NA</v>
          </cell>
          <cell r="J266" t="str">
            <v>低壓</v>
          </cell>
          <cell r="K266" t="str">
            <v>綠藍雙色</v>
          </cell>
          <cell r="L266">
            <v>5</v>
          </cell>
        </row>
        <row r="267">
          <cell r="A267" t="str">
            <v>2F43G2</v>
          </cell>
          <cell r="B267">
            <v>502</v>
          </cell>
          <cell r="C267">
            <v>2.8685258964143427</v>
          </cell>
          <cell r="D267">
            <v>502</v>
          </cell>
          <cell r="E267" t="str">
            <v>150/48HC</v>
          </cell>
          <cell r="F267" t="str">
            <v>FP82781</v>
          </cell>
          <cell r="G267">
            <v>600</v>
          </cell>
          <cell r="H267" t="str">
            <v>P203</v>
          </cell>
          <cell r="I267">
            <v>3</v>
          </cell>
          <cell r="J267" t="str">
            <v>低壓</v>
          </cell>
          <cell r="K267" t="str">
            <v>黃底白點</v>
          </cell>
          <cell r="L267">
            <v>5</v>
          </cell>
        </row>
        <row r="268">
          <cell r="A268" t="str">
            <v>2FA042</v>
          </cell>
          <cell r="B268">
            <v>480</v>
          </cell>
          <cell r="C268">
            <v>3</v>
          </cell>
          <cell r="D268">
            <v>480</v>
          </cell>
          <cell r="E268" t="str">
            <v>75/72CE</v>
          </cell>
          <cell r="F268" t="str">
            <v>FP01422</v>
          </cell>
          <cell r="G268">
            <v>500</v>
          </cell>
          <cell r="H268" t="str">
            <v>P203</v>
          </cell>
          <cell r="I268">
            <v>0.7</v>
          </cell>
          <cell r="J268" t="str">
            <v>低壓</v>
          </cell>
          <cell r="K268" t="str">
            <v>藍底白十字</v>
          </cell>
          <cell r="L268">
            <v>2</v>
          </cell>
        </row>
        <row r="269">
          <cell r="A269" t="str">
            <v>2FA052</v>
          </cell>
          <cell r="B269">
            <v>865</v>
          </cell>
          <cell r="C269">
            <v>1.6647398843930636</v>
          </cell>
          <cell r="D269">
            <v>865</v>
          </cell>
          <cell r="E269" t="str">
            <v>75/72HC</v>
          </cell>
          <cell r="F269" t="str">
            <v>FP81858</v>
          </cell>
          <cell r="G269">
            <v>550</v>
          </cell>
          <cell r="H269" t="str">
            <v>P123</v>
          </cell>
          <cell r="I269">
            <v>1.1000000000000001</v>
          </cell>
          <cell r="J269" t="str">
            <v>低壓</v>
          </cell>
          <cell r="K269" t="str">
            <v>白底藍方塊</v>
          </cell>
          <cell r="L269">
            <v>4</v>
          </cell>
        </row>
        <row r="270">
          <cell r="A270" t="str">
            <v>2F43H1</v>
          </cell>
          <cell r="B270">
            <v>458</v>
          </cell>
          <cell r="C270">
            <v>3.1441048034934496</v>
          </cell>
          <cell r="D270">
            <v>458</v>
          </cell>
          <cell r="E270" t="str">
            <v>150/48SDR</v>
          </cell>
          <cell r="F270" t="str">
            <v>FP82167R</v>
          </cell>
          <cell r="G270">
            <v>670</v>
          </cell>
          <cell r="H270" t="str">
            <v>P203</v>
          </cell>
          <cell r="I270">
            <v>0.8</v>
          </cell>
          <cell r="J270" t="str">
            <v>低壓</v>
          </cell>
          <cell r="K270" t="str">
            <v>白黑條紋</v>
          </cell>
          <cell r="L270">
            <v>5</v>
          </cell>
        </row>
        <row r="271">
          <cell r="A271" t="str">
            <v>2F43I1</v>
          </cell>
          <cell r="B271">
            <v>478</v>
          </cell>
          <cell r="C271">
            <v>3.01255230125523</v>
          </cell>
          <cell r="D271">
            <v>478</v>
          </cell>
          <cell r="E271" t="str">
            <v>150/48SDR</v>
          </cell>
          <cell r="F271" t="str">
            <v>FP82167R</v>
          </cell>
          <cell r="G271">
            <v>650</v>
          </cell>
          <cell r="H271" t="str">
            <v>NA</v>
          </cell>
          <cell r="J271" t="str">
            <v>低壓</v>
          </cell>
          <cell r="K271" t="str">
            <v>白底黑方塊</v>
          </cell>
          <cell r="L271">
            <v>5</v>
          </cell>
        </row>
        <row r="272">
          <cell r="A272" t="str">
            <v>2F43J1</v>
          </cell>
          <cell r="B272">
            <v>471</v>
          </cell>
          <cell r="C272">
            <v>3.0573248407643314</v>
          </cell>
          <cell r="D272">
            <v>471</v>
          </cell>
          <cell r="E272" t="str">
            <v>150/48SDR</v>
          </cell>
          <cell r="F272" t="str">
            <v>FP82167R</v>
          </cell>
          <cell r="G272">
            <v>650</v>
          </cell>
          <cell r="H272" t="str">
            <v>P203</v>
          </cell>
          <cell r="I272">
            <v>1.9</v>
          </cell>
          <cell r="J272" t="str">
            <v>低壓</v>
          </cell>
          <cell r="K272" t="str">
            <v>黃色</v>
          </cell>
          <cell r="L272">
            <v>5</v>
          </cell>
        </row>
        <row r="273">
          <cell r="A273" t="str">
            <v>2F43K2</v>
          </cell>
          <cell r="B273">
            <v>441</v>
          </cell>
          <cell r="C273">
            <v>3.2653061224489797</v>
          </cell>
          <cell r="D273">
            <v>441</v>
          </cell>
          <cell r="E273" t="str">
            <v>75/24/2SDr</v>
          </cell>
          <cell r="F273" t="str">
            <v>FP81382R×2</v>
          </cell>
          <cell r="G273">
            <v>700</v>
          </cell>
          <cell r="H273" t="str">
            <v>P204</v>
          </cell>
          <cell r="I273">
            <v>2.2999999999999998</v>
          </cell>
          <cell r="J273" t="str">
            <v>低壓</v>
          </cell>
          <cell r="K273" t="str">
            <v>白底紫三角</v>
          </cell>
          <cell r="L273">
            <v>5</v>
          </cell>
        </row>
        <row r="274">
          <cell r="A274" t="str">
            <v>2F43N2</v>
          </cell>
          <cell r="B274">
            <v>443</v>
          </cell>
          <cell r="C274">
            <v>3.2505643340857788</v>
          </cell>
          <cell r="D274">
            <v>443</v>
          </cell>
          <cell r="E274" t="str">
            <v>75/24/2SDr</v>
          </cell>
          <cell r="F274" t="str">
            <v>FP81382R×2</v>
          </cell>
          <cell r="G274">
            <v>700</v>
          </cell>
          <cell r="H274" t="str">
            <v>P204</v>
          </cell>
          <cell r="I274">
            <v>2.1</v>
          </cell>
          <cell r="J274" t="str">
            <v>低壓</v>
          </cell>
          <cell r="K274" t="str">
            <v>藍色</v>
          </cell>
          <cell r="L274">
            <v>5</v>
          </cell>
        </row>
        <row r="275">
          <cell r="A275" t="str">
            <v>2F08R2</v>
          </cell>
          <cell r="B275">
            <v>585</v>
          </cell>
          <cell r="C275">
            <v>2.4615384615384617</v>
          </cell>
          <cell r="D275">
            <v>585</v>
          </cell>
          <cell r="E275" t="str">
            <v>50/72BSD3</v>
          </cell>
          <cell r="F275" t="str">
            <v>FP80141</v>
          </cell>
          <cell r="G275">
            <v>630</v>
          </cell>
          <cell r="H275" t="str">
            <v>P142</v>
          </cell>
          <cell r="I275">
            <v>1.1000000000000001</v>
          </cell>
          <cell r="J275" t="str">
            <v>低壓</v>
          </cell>
          <cell r="K275" t="str">
            <v>洋綠色</v>
          </cell>
          <cell r="L275">
            <v>2</v>
          </cell>
        </row>
        <row r="276">
          <cell r="A276" t="str">
            <v>2F43M1</v>
          </cell>
          <cell r="B276">
            <v>471</v>
          </cell>
          <cell r="C276">
            <v>3.0573248407643314</v>
          </cell>
          <cell r="D276">
            <v>471</v>
          </cell>
          <cell r="E276" t="str">
            <v>150/48SDR</v>
          </cell>
          <cell r="F276" t="str">
            <v>FP82169R</v>
          </cell>
          <cell r="G276">
            <v>650</v>
          </cell>
          <cell r="H276" t="str">
            <v>P203</v>
          </cell>
          <cell r="I276">
            <v>1.9</v>
          </cell>
          <cell r="J276" t="str">
            <v>低壓</v>
          </cell>
          <cell r="K276" t="str">
            <v>綠藍三角</v>
          </cell>
          <cell r="L276">
            <v>5</v>
          </cell>
        </row>
        <row r="277">
          <cell r="A277" t="str">
            <v>2F6IC1</v>
          </cell>
          <cell r="B277">
            <v>208</v>
          </cell>
          <cell r="C277">
            <v>6.9230769230769234</v>
          </cell>
          <cell r="D277">
            <v>208</v>
          </cell>
          <cell r="E277" t="str">
            <v>150/48/2GY5</v>
          </cell>
          <cell r="F277" t="str">
            <v>FP02422×2</v>
          </cell>
          <cell r="G277">
            <v>600</v>
          </cell>
          <cell r="H277" t="str">
            <v>P227</v>
          </cell>
          <cell r="I277">
            <v>1.6</v>
          </cell>
          <cell r="J277" t="str">
            <v>低壓</v>
          </cell>
          <cell r="K277" t="str">
            <v>白底紅星</v>
          </cell>
          <cell r="L277">
            <v>4</v>
          </cell>
        </row>
        <row r="278">
          <cell r="A278" t="str">
            <v>2F43L2</v>
          </cell>
          <cell r="B278">
            <v>441</v>
          </cell>
          <cell r="C278">
            <v>3.2653061224489797</v>
          </cell>
          <cell r="D278">
            <v>441</v>
          </cell>
          <cell r="E278" t="str">
            <v>75/24/2SDr</v>
          </cell>
          <cell r="F278" t="str">
            <v>FP81391R×2</v>
          </cell>
          <cell r="G278">
            <v>700</v>
          </cell>
          <cell r="H278" t="str">
            <v>P204</v>
          </cell>
          <cell r="I278">
            <v>2.2999999999999998</v>
          </cell>
          <cell r="J278" t="str">
            <v>低壓</v>
          </cell>
          <cell r="K278" t="str">
            <v>紅底白點</v>
          </cell>
          <cell r="L278">
            <v>5</v>
          </cell>
        </row>
        <row r="279">
          <cell r="A279" t="str">
            <v>2F43P2</v>
          </cell>
          <cell r="B279">
            <v>502</v>
          </cell>
          <cell r="C279">
            <v>2.8685258964143427</v>
          </cell>
          <cell r="D279">
            <v>502</v>
          </cell>
          <cell r="E279" t="str">
            <v>150/48CDR</v>
          </cell>
          <cell r="F279" t="str">
            <v>FP82781</v>
          </cell>
          <cell r="G279">
            <v>600</v>
          </cell>
          <cell r="H279" t="str">
            <v>P203</v>
          </cell>
          <cell r="I279">
            <v>3</v>
          </cell>
          <cell r="J279" t="str">
            <v>低壓</v>
          </cell>
          <cell r="K279" t="str">
            <v>綠藍雙色</v>
          </cell>
          <cell r="L279">
            <v>5</v>
          </cell>
        </row>
        <row r="280">
          <cell r="A280" t="str">
            <v>2F43E2</v>
          </cell>
          <cell r="B280">
            <v>508</v>
          </cell>
          <cell r="C280">
            <v>2.8346456692913384</v>
          </cell>
          <cell r="D280">
            <v>508</v>
          </cell>
          <cell r="E280" t="str">
            <v>150/48BK42</v>
          </cell>
          <cell r="F280" t="str">
            <v>FP02421</v>
          </cell>
          <cell r="G280">
            <v>600</v>
          </cell>
          <cell r="H280" t="str">
            <v>P203</v>
          </cell>
          <cell r="I280">
            <v>3.2</v>
          </cell>
          <cell r="J280" t="str">
            <v>高壓</v>
          </cell>
          <cell r="K280" t="str">
            <v>白桔方塊</v>
          </cell>
          <cell r="L280">
            <v>5</v>
          </cell>
        </row>
        <row r="281">
          <cell r="A281" t="str">
            <v>2F29J2</v>
          </cell>
          <cell r="B281">
            <v>710</v>
          </cell>
          <cell r="C281">
            <v>2.028169014084507</v>
          </cell>
          <cell r="D281">
            <v>710</v>
          </cell>
          <cell r="E281" t="str">
            <v>50/72/2SDFFR</v>
          </cell>
          <cell r="F281" t="str">
            <v>FP80099R×2</v>
          </cell>
          <cell r="G281">
            <v>500</v>
          </cell>
          <cell r="H281" t="str">
            <v>P203</v>
          </cell>
          <cell r="I281">
            <v>0.9</v>
          </cell>
          <cell r="J281" t="str">
            <v>高壓</v>
          </cell>
          <cell r="K281" t="str">
            <v>白黑三角</v>
          </cell>
          <cell r="L281">
            <v>4</v>
          </cell>
        </row>
        <row r="282">
          <cell r="A282" t="str">
            <v>2F43Q2</v>
          </cell>
          <cell r="B282">
            <v>517</v>
          </cell>
          <cell r="C282">
            <v>2.7852998065764023</v>
          </cell>
          <cell r="D282">
            <v>517</v>
          </cell>
          <cell r="E282" t="str">
            <v>75/72/2SDFFR</v>
          </cell>
          <cell r="F282" t="str">
            <v>FP81209R×2</v>
          </cell>
          <cell r="G282">
            <v>600</v>
          </cell>
          <cell r="H282" t="str">
            <v>P203</v>
          </cell>
          <cell r="I282">
            <v>1.3</v>
          </cell>
          <cell r="J282" t="str">
            <v>高壓</v>
          </cell>
          <cell r="K282" t="str">
            <v>白底紅十字</v>
          </cell>
          <cell r="L282">
            <v>5</v>
          </cell>
        </row>
        <row r="283">
          <cell r="A283" t="str">
            <v>2F6IJ1</v>
          </cell>
          <cell r="B283">
            <v>0.16388888888888889</v>
          </cell>
          <cell r="C283">
            <v>6.101694915254237</v>
          </cell>
          <cell r="D283">
            <v>236</v>
          </cell>
          <cell r="E283" t="str">
            <v>150/48/2SDR</v>
          </cell>
          <cell r="F283" t="str">
            <v>FP82169R×2</v>
          </cell>
          <cell r="G283">
            <v>650</v>
          </cell>
          <cell r="H283" t="str">
            <v>P204</v>
          </cell>
          <cell r="I283">
            <v>1</v>
          </cell>
          <cell r="J283" t="str">
            <v>低壓</v>
          </cell>
          <cell r="K283" t="str">
            <v>紫黃條紋</v>
          </cell>
          <cell r="L283">
            <v>5</v>
          </cell>
        </row>
        <row r="284">
          <cell r="A284" t="str">
            <v>2FA062</v>
          </cell>
          <cell r="B284">
            <v>817</v>
          </cell>
          <cell r="C284">
            <v>1.7625458996328029</v>
          </cell>
          <cell r="D284">
            <v>817</v>
          </cell>
          <cell r="E284" t="str">
            <v>75/72SRR5</v>
          </cell>
          <cell r="F284" t="str">
            <v>FP81631R</v>
          </cell>
          <cell r="G284">
            <v>600</v>
          </cell>
          <cell r="H284" t="str">
            <v>P203</v>
          </cell>
          <cell r="I284">
            <v>0.7</v>
          </cell>
          <cell r="J284" t="str">
            <v>高壓</v>
          </cell>
          <cell r="K284" t="str">
            <v>白藍條</v>
          </cell>
          <cell r="L284">
            <v>4</v>
          </cell>
        </row>
        <row r="285">
          <cell r="A285" t="str">
            <v>2F9VH2</v>
          </cell>
          <cell r="B285">
            <v>0.31666666666666665</v>
          </cell>
          <cell r="C285">
            <v>3.1578947368421053</v>
          </cell>
          <cell r="D285">
            <v>456</v>
          </cell>
          <cell r="E285" t="str">
            <v>75/72/2PFBR</v>
          </cell>
          <cell r="F285" t="str">
            <v>FP01432R×2</v>
          </cell>
          <cell r="G285">
            <v>550</v>
          </cell>
          <cell r="H285" t="str">
            <v>P203</v>
          </cell>
          <cell r="I285">
            <v>1.7</v>
          </cell>
          <cell r="J285" t="str">
            <v>低壓</v>
          </cell>
          <cell r="K285" t="str">
            <v>紫色</v>
          </cell>
          <cell r="L285">
            <v>4</v>
          </cell>
        </row>
        <row r="286">
          <cell r="C286" t="str">
            <v/>
          </cell>
          <cell r="D286" t="str">
            <v/>
          </cell>
        </row>
        <row r="287">
          <cell r="C287" t="str">
            <v/>
          </cell>
          <cell r="D287" t="str">
            <v/>
          </cell>
        </row>
        <row r="288">
          <cell r="C288" t="str">
            <v/>
          </cell>
          <cell r="D288" t="str">
            <v/>
          </cell>
        </row>
        <row r="289">
          <cell r="C289" t="str">
            <v/>
          </cell>
          <cell r="D289" t="str">
            <v/>
          </cell>
        </row>
        <row r="290">
          <cell r="C290" t="str">
            <v/>
          </cell>
          <cell r="D290" t="str">
            <v/>
          </cell>
        </row>
        <row r="291">
          <cell r="C291" t="str">
            <v/>
          </cell>
          <cell r="D291" t="str">
            <v/>
          </cell>
        </row>
        <row r="292">
          <cell r="C292" t="str">
            <v/>
          </cell>
          <cell r="D292" t="str">
            <v/>
          </cell>
        </row>
        <row r="293">
          <cell r="C293" t="str">
            <v/>
          </cell>
          <cell r="D293" t="str">
            <v/>
          </cell>
        </row>
        <row r="294">
          <cell r="C294" t="str">
            <v/>
          </cell>
          <cell r="D294" t="str">
            <v/>
          </cell>
        </row>
        <row r="295">
          <cell r="C295" t="str">
            <v/>
          </cell>
          <cell r="D295" t="str">
            <v/>
          </cell>
        </row>
        <row r="296">
          <cell r="C296" t="str">
            <v/>
          </cell>
          <cell r="D296" t="str">
            <v/>
          </cell>
        </row>
        <row r="297">
          <cell r="C297" t="str">
            <v/>
          </cell>
          <cell r="D297" t="str">
            <v/>
          </cell>
        </row>
        <row r="298">
          <cell r="C298" t="str">
            <v/>
          </cell>
          <cell r="D298" t="str">
            <v/>
          </cell>
        </row>
        <row r="299">
          <cell r="C299" t="str">
            <v/>
          </cell>
          <cell r="D299" t="str">
            <v/>
          </cell>
        </row>
        <row r="300">
          <cell r="C300" t="str">
            <v/>
          </cell>
          <cell r="D300" t="str">
            <v/>
          </cell>
        </row>
        <row r="301">
          <cell r="C301" t="str">
            <v/>
          </cell>
          <cell r="D301" t="str">
            <v/>
          </cell>
        </row>
        <row r="302">
          <cell r="C302" t="str">
            <v/>
          </cell>
          <cell r="D302" t="str">
            <v/>
          </cell>
        </row>
        <row r="303">
          <cell r="C303" t="str">
            <v/>
          </cell>
          <cell r="D303" t="str">
            <v/>
          </cell>
        </row>
        <row r="304">
          <cell r="C304" t="str">
            <v/>
          </cell>
          <cell r="D304" t="str">
            <v/>
          </cell>
        </row>
        <row r="305">
          <cell r="C305" t="str">
            <v/>
          </cell>
          <cell r="D305" t="str">
            <v/>
          </cell>
        </row>
        <row r="306">
          <cell r="C306" t="str">
            <v/>
          </cell>
          <cell r="D306" t="str">
            <v/>
          </cell>
        </row>
        <row r="307">
          <cell r="C307" t="str">
            <v/>
          </cell>
          <cell r="D307" t="str">
            <v/>
          </cell>
        </row>
        <row r="308">
          <cell r="C308" t="str">
            <v/>
          </cell>
          <cell r="D308" t="str">
            <v/>
          </cell>
        </row>
        <row r="309">
          <cell r="C309" t="str">
            <v/>
          </cell>
          <cell r="D309" t="str">
            <v/>
          </cell>
        </row>
        <row r="310">
          <cell r="C310" t="str">
            <v/>
          </cell>
          <cell r="D310" t="str">
            <v/>
          </cell>
        </row>
        <row r="311">
          <cell r="C311" t="str">
            <v/>
          </cell>
          <cell r="D311" t="str">
            <v/>
          </cell>
        </row>
        <row r="312">
          <cell r="C312" t="str">
            <v/>
          </cell>
          <cell r="D312" t="str">
            <v/>
          </cell>
        </row>
        <row r="313">
          <cell r="C313" t="str">
            <v/>
          </cell>
          <cell r="D313" t="str">
            <v/>
          </cell>
        </row>
        <row r="314">
          <cell r="C314" t="str">
            <v/>
          </cell>
          <cell r="D314" t="str">
            <v/>
          </cell>
        </row>
        <row r="315">
          <cell r="C315" t="str">
            <v/>
          </cell>
          <cell r="D315" t="str">
            <v/>
          </cell>
        </row>
        <row r="316">
          <cell r="C316" t="str">
            <v/>
          </cell>
          <cell r="D316" t="str">
            <v/>
          </cell>
        </row>
        <row r="317">
          <cell r="C317" t="str">
            <v/>
          </cell>
          <cell r="D317" t="str">
            <v/>
          </cell>
        </row>
        <row r="318">
          <cell r="C318" t="str">
            <v/>
          </cell>
          <cell r="D318" t="str">
            <v/>
          </cell>
        </row>
        <row r="319">
          <cell r="C319" t="str">
            <v/>
          </cell>
          <cell r="D319" t="str">
            <v/>
          </cell>
        </row>
        <row r="320">
          <cell r="C320" t="str">
            <v/>
          </cell>
          <cell r="D320" t="str">
            <v/>
          </cell>
        </row>
        <row r="321">
          <cell r="C321" t="str">
            <v/>
          </cell>
          <cell r="D321" t="str">
            <v/>
          </cell>
        </row>
        <row r="322">
          <cell r="C322" t="str">
            <v/>
          </cell>
          <cell r="D322" t="str">
            <v/>
          </cell>
        </row>
        <row r="323">
          <cell r="C323" t="str">
            <v/>
          </cell>
          <cell r="D323" t="str">
            <v/>
          </cell>
        </row>
        <row r="324">
          <cell r="C324" t="str">
            <v/>
          </cell>
          <cell r="D324" t="str">
            <v/>
          </cell>
        </row>
        <row r="325">
          <cell r="C325" t="str">
            <v/>
          </cell>
          <cell r="D325" t="str">
            <v/>
          </cell>
        </row>
        <row r="326">
          <cell r="C326" t="str">
            <v/>
          </cell>
          <cell r="D326" t="str">
            <v/>
          </cell>
        </row>
        <row r="327">
          <cell r="C327" t="str">
            <v/>
          </cell>
          <cell r="D327" t="str">
            <v/>
          </cell>
        </row>
        <row r="328">
          <cell r="C328" t="str">
            <v/>
          </cell>
          <cell r="D328" t="str">
            <v/>
          </cell>
        </row>
        <row r="329">
          <cell r="C329" t="str">
            <v/>
          </cell>
          <cell r="D329" t="str">
            <v/>
          </cell>
        </row>
        <row r="330">
          <cell r="C330" t="str">
            <v/>
          </cell>
          <cell r="D330" t="str">
            <v/>
          </cell>
        </row>
        <row r="331">
          <cell r="C331" t="str">
            <v/>
          </cell>
          <cell r="D331" t="str">
            <v/>
          </cell>
        </row>
        <row r="332">
          <cell r="C332" t="str">
            <v/>
          </cell>
          <cell r="D332" t="str">
            <v/>
          </cell>
        </row>
        <row r="333">
          <cell r="C333" t="str">
            <v/>
          </cell>
          <cell r="D333" t="str">
            <v/>
          </cell>
        </row>
        <row r="334">
          <cell r="C334" t="str">
            <v/>
          </cell>
          <cell r="D334" t="str">
            <v/>
          </cell>
        </row>
        <row r="335">
          <cell r="C335" t="str">
            <v/>
          </cell>
          <cell r="D335" t="str">
            <v/>
          </cell>
        </row>
        <row r="336">
          <cell r="C336" t="str">
            <v/>
          </cell>
          <cell r="D336" t="str">
            <v/>
          </cell>
        </row>
        <row r="337">
          <cell r="C337" t="str">
            <v/>
          </cell>
          <cell r="D337" t="str">
            <v/>
          </cell>
        </row>
        <row r="338">
          <cell r="C338" t="str">
            <v/>
          </cell>
          <cell r="D338" t="str">
            <v/>
          </cell>
        </row>
        <row r="339">
          <cell r="C339" t="str">
            <v/>
          </cell>
          <cell r="D339" t="str">
            <v/>
          </cell>
        </row>
        <row r="340">
          <cell r="C340" t="str">
            <v/>
          </cell>
          <cell r="D340" t="str">
            <v/>
          </cell>
        </row>
        <row r="341">
          <cell r="C341" t="str">
            <v/>
          </cell>
          <cell r="D341" t="str">
            <v/>
          </cell>
        </row>
        <row r="342">
          <cell r="C342" t="str">
            <v/>
          </cell>
          <cell r="D342" t="str">
            <v/>
          </cell>
        </row>
        <row r="343">
          <cell r="C343" t="str">
            <v/>
          </cell>
          <cell r="D343" t="str">
            <v/>
          </cell>
        </row>
        <row r="344">
          <cell r="C344" t="str">
            <v/>
          </cell>
          <cell r="D344" t="str">
            <v/>
          </cell>
        </row>
        <row r="345">
          <cell r="C345" t="str">
            <v/>
          </cell>
          <cell r="D345" t="str">
            <v/>
          </cell>
        </row>
        <row r="346">
          <cell r="C346" t="str">
            <v/>
          </cell>
          <cell r="D346" t="str">
            <v/>
          </cell>
        </row>
        <row r="347">
          <cell r="C347" t="str">
            <v/>
          </cell>
          <cell r="D347" t="str">
            <v/>
          </cell>
        </row>
        <row r="348">
          <cell r="C348" t="str">
            <v/>
          </cell>
          <cell r="D348" t="str">
            <v/>
          </cell>
        </row>
        <row r="349">
          <cell r="C349" t="str">
            <v/>
          </cell>
          <cell r="D349" t="str">
            <v/>
          </cell>
        </row>
        <row r="350">
          <cell r="C350" t="str">
            <v/>
          </cell>
          <cell r="D350" t="str">
            <v/>
          </cell>
        </row>
        <row r="351">
          <cell r="C351" t="str">
            <v/>
          </cell>
          <cell r="D351" t="str">
            <v/>
          </cell>
        </row>
        <row r="352">
          <cell r="C352" t="str">
            <v/>
          </cell>
          <cell r="D352" t="str">
            <v/>
          </cell>
        </row>
        <row r="353">
          <cell r="C353" t="str">
            <v/>
          </cell>
          <cell r="D353" t="str">
            <v/>
          </cell>
        </row>
        <row r="354">
          <cell r="C354" t="str">
            <v/>
          </cell>
          <cell r="D354" t="str">
            <v/>
          </cell>
        </row>
        <row r="355">
          <cell r="C355" t="str">
            <v/>
          </cell>
          <cell r="D355" t="str">
            <v/>
          </cell>
        </row>
        <row r="356">
          <cell r="C356" t="str">
            <v/>
          </cell>
          <cell r="D356" t="str">
            <v/>
          </cell>
        </row>
        <row r="357">
          <cell r="C357" t="str">
            <v/>
          </cell>
          <cell r="D357" t="str">
            <v/>
          </cell>
        </row>
        <row r="358">
          <cell r="C358" t="str">
            <v/>
          </cell>
          <cell r="D358" t="str">
            <v/>
          </cell>
        </row>
        <row r="359">
          <cell r="C359" t="str">
            <v/>
          </cell>
          <cell r="D359" t="str">
            <v/>
          </cell>
        </row>
        <row r="360">
          <cell r="C360" t="str">
            <v/>
          </cell>
          <cell r="D360" t="str">
            <v/>
          </cell>
        </row>
        <row r="361">
          <cell r="C361" t="str">
            <v/>
          </cell>
          <cell r="D361" t="str">
            <v/>
          </cell>
        </row>
        <row r="362">
          <cell r="C362" t="str">
            <v/>
          </cell>
          <cell r="D362" t="str">
            <v/>
          </cell>
        </row>
        <row r="363">
          <cell r="C363" t="str">
            <v/>
          </cell>
          <cell r="D363" t="str">
            <v/>
          </cell>
        </row>
        <row r="364">
          <cell r="C364" t="str">
            <v/>
          </cell>
          <cell r="D364" t="str">
            <v/>
          </cell>
        </row>
        <row r="365">
          <cell r="C365" t="str">
            <v/>
          </cell>
          <cell r="D365" t="str">
            <v/>
          </cell>
        </row>
        <row r="366">
          <cell r="C366" t="str">
            <v/>
          </cell>
          <cell r="D366" t="str">
            <v/>
          </cell>
        </row>
        <row r="367">
          <cell r="C367" t="str">
            <v/>
          </cell>
          <cell r="D367" t="str">
            <v/>
          </cell>
        </row>
        <row r="368">
          <cell r="C368" t="str">
            <v/>
          </cell>
          <cell r="D368" t="str">
            <v/>
          </cell>
        </row>
        <row r="369">
          <cell r="C369" t="str">
            <v/>
          </cell>
          <cell r="D369" t="str">
            <v/>
          </cell>
        </row>
        <row r="370">
          <cell r="C370" t="str">
            <v/>
          </cell>
          <cell r="D370" t="str">
            <v/>
          </cell>
        </row>
        <row r="371">
          <cell r="C371" t="str">
            <v/>
          </cell>
          <cell r="D371" t="str">
            <v/>
          </cell>
        </row>
        <row r="372">
          <cell r="C372" t="str">
            <v/>
          </cell>
          <cell r="D372" t="str">
            <v/>
          </cell>
        </row>
        <row r="373">
          <cell r="C373" t="str">
            <v/>
          </cell>
          <cell r="D373" t="str">
            <v/>
          </cell>
        </row>
        <row r="374">
          <cell r="C374" t="str">
            <v/>
          </cell>
          <cell r="D374" t="str">
            <v/>
          </cell>
        </row>
        <row r="375">
          <cell r="C375" t="str">
            <v/>
          </cell>
          <cell r="D375" t="str">
            <v/>
          </cell>
        </row>
        <row r="376">
          <cell r="C376" t="str">
            <v/>
          </cell>
          <cell r="D376" t="str">
            <v/>
          </cell>
        </row>
        <row r="377">
          <cell r="C377" t="str">
            <v/>
          </cell>
          <cell r="D377" t="str">
            <v/>
          </cell>
        </row>
        <row r="378">
          <cell r="C378" t="str">
            <v/>
          </cell>
          <cell r="D378" t="str">
            <v/>
          </cell>
        </row>
        <row r="379">
          <cell r="C379" t="str">
            <v/>
          </cell>
          <cell r="D379" t="str">
            <v/>
          </cell>
        </row>
        <row r="380">
          <cell r="C380" t="str">
            <v/>
          </cell>
          <cell r="D380" t="str">
            <v/>
          </cell>
        </row>
        <row r="381">
          <cell r="C381" t="str">
            <v/>
          </cell>
          <cell r="D381" t="str">
            <v/>
          </cell>
        </row>
        <row r="382">
          <cell r="C382" t="str">
            <v/>
          </cell>
          <cell r="D382" t="str">
            <v/>
          </cell>
        </row>
        <row r="383">
          <cell r="C383" t="str">
            <v/>
          </cell>
          <cell r="D383" t="str">
            <v/>
          </cell>
        </row>
        <row r="384">
          <cell r="C384" t="str">
            <v/>
          </cell>
          <cell r="D384" t="str">
            <v/>
          </cell>
        </row>
        <row r="385">
          <cell r="C385" t="str">
            <v/>
          </cell>
          <cell r="D385" t="str">
            <v/>
          </cell>
        </row>
        <row r="386">
          <cell r="C386" t="str">
            <v/>
          </cell>
          <cell r="D386" t="str">
            <v/>
          </cell>
        </row>
        <row r="387">
          <cell r="C387" t="str">
            <v/>
          </cell>
          <cell r="D387" t="str">
            <v/>
          </cell>
        </row>
        <row r="388">
          <cell r="C388" t="str">
            <v/>
          </cell>
          <cell r="D388" t="str">
            <v/>
          </cell>
        </row>
        <row r="389">
          <cell r="C389" t="str">
            <v/>
          </cell>
          <cell r="D389" t="str">
            <v/>
          </cell>
        </row>
        <row r="390">
          <cell r="C390" t="str">
            <v/>
          </cell>
          <cell r="D390" t="str">
            <v/>
          </cell>
        </row>
        <row r="391">
          <cell r="C391" t="str">
            <v/>
          </cell>
          <cell r="D391" t="str">
            <v/>
          </cell>
        </row>
        <row r="392">
          <cell r="C392" t="str">
            <v/>
          </cell>
          <cell r="D392" t="str">
            <v/>
          </cell>
        </row>
        <row r="393">
          <cell r="C393" t="str">
            <v/>
          </cell>
          <cell r="D393" t="str">
            <v/>
          </cell>
        </row>
        <row r="394">
          <cell r="C394" t="str">
            <v/>
          </cell>
          <cell r="D394" t="str">
            <v/>
          </cell>
        </row>
        <row r="395">
          <cell r="C395" t="str">
            <v/>
          </cell>
          <cell r="D395" t="str">
            <v/>
          </cell>
        </row>
        <row r="396">
          <cell r="C396" t="str">
            <v/>
          </cell>
          <cell r="D396" t="str">
            <v/>
          </cell>
        </row>
        <row r="397">
          <cell r="C397" t="str">
            <v/>
          </cell>
          <cell r="D397" t="str">
            <v/>
          </cell>
        </row>
        <row r="398">
          <cell r="C398" t="str">
            <v/>
          </cell>
          <cell r="D398" t="str">
            <v/>
          </cell>
        </row>
        <row r="399">
          <cell r="C399" t="str">
            <v/>
          </cell>
          <cell r="D399" t="str">
            <v/>
          </cell>
        </row>
        <row r="400">
          <cell r="C400" t="str">
            <v/>
          </cell>
          <cell r="D400" t="str">
            <v/>
          </cell>
        </row>
        <row r="401">
          <cell r="C401" t="str">
            <v/>
          </cell>
          <cell r="D401" t="str">
            <v/>
          </cell>
        </row>
        <row r="402">
          <cell r="C402" t="str">
            <v/>
          </cell>
          <cell r="D402" t="str">
            <v/>
          </cell>
        </row>
        <row r="403">
          <cell r="C403" t="str">
            <v/>
          </cell>
          <cell r="D403" t="str">
            <v/>
          </cell>
        </row>
        <row r="404">
          <cell r="C404" t="str">
            <v/>
          </cell>
          <cell r="D404" t="str">
            <v/>
          </cell>
        </row>
        <row r="405">
          <cell r="C405" t="str">
            <v/>
          </cell>
          <cell r="D405" t="str">
            <v/>
          </cell>
        </row>
        <row r="406">
          <cell r="C406" t="str">
            <v/>
          </cell>
          <cell r="D406" t="str">
            <v/>
          </cell>
        </row>
        <row r="407">
          <cell r="C407" t="str">
            <v/>
          </cell>
          <cell r="D407" t="str">
            <v/>
          </cell>
        </row>
        <row r="408">
          <cell r="C408" t="str">
            <v/>
          </cell>
          <cell r="D408" t="str">
            <v/>
          </cell>
        </row>
        <row r="409">
          <cell r="C409" t="str">
            <v/>
          </cell>
          <cell r="D409" t="str">
            <v/>
          </cell>
        </row>
        <row r="410">
          <cell r="C410" t="str">
            <v/>
          </cell>
          <cell r="D410" t="str">
            <v/>
          </cell>
        </row>
        <row r="411">
          <cell r="C411" t="str">
            <v/>
          </cell>
          <cell r="D411" t="str">
            <v/>
          </cell>
        </row>
        <row r="412">
          <cell r="C412" t="str">
            <v/>
          </cell>
          <cell r="D412" t="str">
            <v/>
          </cell>
        </row>
        <row r="413">
          <cell r="C413" t="str">
            <v/>
          </cell>
          <cell r="D413" t="str">
            <v/>
          </cell>
        </row>
        <row r="414">
          <cell r="C414" t="str">
            <v/>
          </cell>
          <cell r="D414" t="str">
            <v/>
          </cell>
        </row>
        <row r="415">
          <cell r="C415" t="str">
            <v/>
          </cell>
          <cell r="D415" t="str">
            <v/>
          </cell>
        </row>
        <row r="416">
          <cell r="C416" t="str">
            <v/>
          </cell>
          <cell r="D416" t="str">
            <v/>
          </cell>
        </row>
        <row r="417">
          <cell r="C417" t="str">
            <v/>
          </cell>
          <cell r="D417" t="str">
            <v/>
          </cell>
        </row>
        <row r="418">
          <cell r="C418" t="str">
            <v/>
          </cell>
          <cell r="D418" t="str">
            <v/>
          </cell>
        </row>
        <row r="419">
          <cell r="C419" t="str">
            <v/>
          </cell>
          <cell r="D419" t="str">
            <v/>
          </cell>
        </row>
        <row r="420">
          <cell r="C420" t="str">
            <v/>
          </cell>
          <cell r="D420" t="str">
            <v/>
          </cell>
        </row>
        <row r="421">
          <cell r="C421" t="str">
            <v/>
          </cell>
          <cell r="D421" t="str">
            <v/>
          </cell>
        </row>
        <row r="422">
          <cell r="C422" t="str">
            <v/>
          </cell>
          <cell r="D422" t="str">
            <v/>
          </cell>
        </row>
        <row r="423">
          <cell r="C423" t="str">
            <v/>
          </cell>
          <cell r="D423" t="str">
            <v/>
          </cell>
        </row>
        <row r="424">
          <cell r="C424" t="str">
            <v/>
          </cell>
          <cell r="D424" t="str">
            <v/>
          </cell>
        </row>
        <row r="425">
          <cell r="C425" t="str">
            <v/>
          </cell>
          <cell r="D425" t="str">
            <v/>
          </cell>
        </row>
        <row r="426">
          <cell r="C426" t="str">
            <v/>
          </cell>
          <cell r="D426" t="str">
            <v/>
          </cell>
        </row>
        <row r="427">
          <cell r="C427" t="str">
            <v/>
          </cell>
          <cell r="D427" t="str">
            <v/>
          </cell>
        </row>
        <row r="428">
          <cell r="C428" t="str">
            <v/>
          </cell>
          <cell r="D428" t="str">
            <v/>
          </cell>
        </row>
        <row r="429">
          <cell r="C429" t="str">
            <v/>
          </cell>
          <cell r="D429" t="str">
            <v/>
          </cell>
        </row>
        <row r="430">
          <cell r="C430" t="str">
            <v/>
          </cell>
          <cell r="D430" t="str">
            <v/>
          </cell>
        </row>
        <row r="431">
          <cell r="C431" t="str">
            <v/>
          </cell>
          <cell r="D431" t="str">
            <v/>
          </cell>
        </row>
        <row r="432">
          <cell r="C432" t="str">
            <v/>
          </cell>
          <cell r="D432" t="str">
            <v/>
          </cell>
        </row>
        <row r="433">
          <cell r="C433" t="str">
            <v/>
          </cell>
          <cell r="D433" t="str">
            <v/>
          </cell>
        </row>
        <row r="434">
          <cell r="C434" t="str">
            <v/>
          </cell>
          <cell r="D434" t="str">
            <v/>
          </cell>
        </row>
        <row r="435">
          <cell r="C435" t="str">
            <v/>
          </cell>
          <cell r="D435" t="str">
            <v/>
          </cell>
        </row>
        <row r="436">
          <cell r="C436" t="str">
            <v/>
          </cell>
          <cell r="D436" t="str">
            <v/>
          </cell>
        </row>
        <row r="437">
          <cell r="C437" t="str">
            <v/>
          </cell>
          <cell r="D437" t="str">
            <v/>
          </cell>
        </row>
        <row r="438">
          <cell r="C438" t="str">
            <v/>
          </cell>
          <cell r="D438" t="str">
            <v/>
          </cell>
        </row>
        <row r="439">
          <cell r="C439" t="str">
            <v/>
          </cell>
          <cell r="D439" t="str">
            <v/>
          </cell>
        </row>
        <row r="440">
          <cell r="C440" t="str">
            <v/>
          </cell>
          <cell r="D440" t="str">
            <v/>
          </cell>
        </row>
        <row r="441">
          <cell r="C441" t="str">
            <v/>
          </cell>
          <cell r="D441" t="str">
            <v/>
          </cell>
        </row>
        <row r="442">
          <cell r="C442" t="str">
            <v/>
          </cell>
          <cell r="D442" t="str">
            <v/>
          </cell>
        </row>
        <row r="443">
          <cell r="C443" t="str">
            <v/>
          </cell>
          <cell r="D443" t="str">
            <v/>
          </cell>
        </row>
        <row r="444">
          <cell r="C444" t="str">
            <v/>
          </cell>
          <cell r="D444" t="str">
            <v/>
          </cell>
        </row>
        <row r="445">
          <cell r="C445" t="str">
            <v/>
          </cell>
          <cell r="D445" t="str">
            <v/>
          </cell>
        </row>
        <row r="446">
          <cell r="C446" t="str">
            <v/>
          </cell>
          <cell r="D446" t="str">
            <v/>
          </cell>
        </row>
        <row r="447">
          <cell r="C447" t="str">
            <v/>
          </cell>
          <cell r="D447" t="str">
            <v/>
          </cell>
        </row>
        <row r="448">
          <cell r="C448" t="str">
            <v/>
          </cell>
          <cell r="D448" t="str">
            <v/>
          </cell>
        </row>
        <row r="449">
          <cell r="C449" t="str">
            <v/>
          </cell>
          <cell r="D449" t="str">
            <v/>
          </cell>
        </row>
        <row r="450">
          <cell r="C450" t="str">
            <v/>
          </cell>
          <cell r="D450" t="str">
            <v/>
          </cell>
        </row>
        <row r="451">
          <cell r="C451" t="str">
            <v/>
          </cell>
          <cell r="D451" t="str">
            <v/>
          </cell>
        </row>
        <row r="452">
          <cell r="C452" t="str">
            <v/>
          </cell>
          <cell r="D452" t="str">
            <v/>
          </cell>
        </row>
        <row r="453">
          <cell r="C453" t="str">
            <v/>
          </cell>
          <cell r="D453" t="str">
            <v/>
          </cell>
        </row>
        <row r="454">
          <cell r="C454" t="str">
            <v/>
          </cell>
          <cell r="D454" t="str">
            <v/>
          </cell>
        </row>
        <row r="455">
          <cell r="C455" t="str">
            <v/>
          </cell>
          <cell r="D455" t="str">
            <v/>
          </cell>
        </row>
        <row r="456">
          <cell r="C456" t="str">
            <v/>
          </cell>
          <cell r="D456" t="str">
            <v/>
          </cell>
        </row>
        <row r="457">
          <cell r="C457" t="str">
            <v/>
          </cell>
          <cell r="D457" t="str">
            <v/>
          </cell>
        </row>
        <row r="458">
          <cell r="C458" t="str">
            <v/>
          </cell>
          <cell r="D458" t="str">
            <v/>
          </cell>
        </row>
        <row r="459">
          <cell r="C459" t="str">
            <v/>
          </cell>
          <cell r="D459" t="str">
            <v/>
          </cell>
        </row>
        <row r="460">
          <cell r="C460" t="str">
            <v/>
          </cell>
          <cell r="D460" t="str">
            <v/>
          </cell>
        </row>
        <row r="461">
          <cell r="C461" t="str">
            <v/>
          </cell>
          <cell r="D461" t="str">
            <v/>
          </cell>
        </row>
        <row r="462">
          <cell r="C462" t="str">
            <v/>
          </cell>
          <cell r="D462" t="str">
            <v/>
          </cell>
        </row>
        <row r="463">
          <cell r="C463" t="str">
            <v/>
          </cell>
          <cell r="D463" t="str">
            <v/>
          </cell>
        </row>
        <row r="464">
          <cell r="C464" t="str">
            <v/>
          </cell>
          <cell r="D464" t="str">
            <v/>
          </cell>
        </row>
        <row r="465">
          <cell r="C465" t="str">
            <v/>
          </cell>
          <cell r="D465" t="str">
            <v/>
          </cell>
        </row>
        <row r="466">
          <cell r="C466" t="str">
            <v/>
          </cell>
          <cell r="D466" t="str">
            <v/>
          </cell>
        </row>
        <row r="467">
          <cell r="C467" t="str">
            <v/>
          </cell>
          <cell r="D467" t="str">
            <v/>
          </cell>
        </row>
        <row r="468">
          <cell r="C468" t="str">
            <v/>
          </cell>
          <cell r="D468" t="str">
            <v/>
          </cell>
        </row>
        <row r="469">
          <cell r="C469" t="str">
            <v/>
          </cell>
          <cell r="D469" t="str">
            <v/>
          </cell>
        </row>
        <row r="470">
          <cell r="C470" t="str">
            <v/>
          </cell>
          <cell r="D470" t="str">
            <v/>
          </cell>
        </row>
        <row r="471">
          <cell r="C471" t="str">
            <v/>
          </cell>
          <cell r="D471" t="str">
            <v/>
          </cell>
        </row>
        <row r="472">
          <cell r="C472" t="str">
            <v/>
          </cell>
          <cell r="D472" t="str">
            <v/>
          </cell>
        </row>
        <row r="473">
          <cell r="C473" t="str">
            <v/>
          </cell>
          <cell r="D473" t="str">
            <v/>
          </cell>
        </row>
        <row r="474">
          <cell r="C474" t="str">
            <v/>
          </cell>
          <cell r="D474" t="str">
            <v/>
          </cell>
        </row>
        <row r="475">
          <cell r="C475" t="str">
            <v/>
          </cell>
          <cell r="D475" t="str">
            <v/>
          </cell>
        </row>
        <row r="476">
          <cell r="C476" t="str">
            <v/>
          </cell>
          <cell r="D476" t="str">
            <v/>
          </cell>
        </row>
        <row r="477">
          <cell r="C477" t="str">
            <v/>
          </cell>
          <cell r="D477" t="str">
            <v/>
          </cell>
        </row>
        <row r="478">
          <cell r="C478" t="str">
            <v/>
          </cell>
          <cell r="D478" t="str">
            <v/>
          </cell>
        </row>
        <row r="479">
          <cell r="C479" t="str">
            <v/>
          </cell>
          <cell r="D479" t="str">
            <v/>
          </cell>
        </row>
        <row r="480">
          <cell r="C480" t="str">
            <v/>
          </cell>
          <cell r="D480" t="str">
            <v/>
          </cell>
        </row>
        <row r="481">
          <cell r="C481" t="str">
            <v/>
          </cell>
          <cell r="D481" t="str">
            <v/>
          </cell>
        </row>
        <row r="482">
          <cell r="C482" t="str">
            <v/>
          </cell>
          <cell r="D482" t="str">
            <v/>
          </cell>
        </row>
        <row r="483">
          <cell r="C483" t="str">
            <v/>
          </cell>
          <cell r="D483" t="str">
            <v/>
          </cell>
        </row>
        <row r="484">
          <cell r="C484" t="str">
            <v/>
          </cell>
          <cell r="D484" t="str">
            <v/>
          </cell>
        </row>
        <row r="485">
          <cell r="C485" t="str">
            <v/>
          </cell>
          <cell r="D485" t="str">
            <v/>
          </cell>
        </row>
        <row r="486">
          <cell r="C486" t="str">
            <v/>
          </cell>
          <cell r="D486" t="str">
            <v/>
          </cell>
        </row>
        <row r="487">
          <cell r="C487" t="str">
            <v/>
          </cell>
          <cell r="D487" t="str">
            <v/>
          </cell>
        </row>
        <row r="488">
          <cell r="C488" t="str">
            <v/>
          </cell>
          <cell r="D488" t="str">
            <v/>
          </cell>
        </row>
        <row r="489">
          <cell r="C489" t="str">
            <v/>
          </cell>
          <cell r="D489" t="str">
            <v/>
          </cell>
        </row>
        <row r="490">
          <cell r="C490" t="str">
            <v/>
          </cell>
          <cell r="D490" t="str">
            <v/>
          </cell>
        </row>
        <row r="491">
          <cell r="C491" t="str">
            <v/>
          </cell>
          <cell r="D491" t="str">
            <v/>
          </cell>
        </row>
        <row r="492">
          <cell r="C492" t="str">
            <v/>
          </cell>
          <cell r="D492" t="str">
            <v/>
          </cell>
        </row>
        <row r="493">
          <cell r="C493" t="str">
            <v/>
          </cell>
          <cell r="D493" t="str">
            <v/>
          </cell>
        </row>
        <row r="494">
          <cell r="C494" t="str">
            <v/>
          </cell>
          <cell r="D494" t="str">
            <v/>
          </cell>
        </row>
        <row r="495">
          <cell r="C495" t="str">
            <v/>
          </cell>
          <cell r="D495" t="str">
            <v/>
          </cell>
        </row>
        <row r="496">
          <cell r="C496" t="str">
            <v/>
          </cell>
          <cell r="D496" t="str">
            <v/>
          </cell>
        </row>
        <row r="497">
          <cell r="C497" t="str">
            <v/>
          </cell>
          <cell r="D497" t="str">
            <v/>
          </cell>
        </row>
        <row r="498">
          <cell r="C498" t="str">
            <v/>
          </cell>
          <cell r="D498" t="str">
            <v/>
          </cell>
        </row>
        <row r="499">
          <cell r="C499" t="str">
            <v/>
          </cell>
          <cell r="D499" t="str">
            <v/>
          </cell>
        </row>
        <row r="500">
          <cell r="C500" t="str">
            <v/>
          </cell>
          <cell r="D500" t="str">
            <v/>
          </cell>
        </row>
        <row r="501">
          <cell r="C501" t="str">
            <v/>
          </cell>
          <cell r="D501" t="str">
            <v/>
          </cell>
        </row>
        <row r="502">
          <cell r="C502" t="str">
            <v/>
          </cell>
          <cell r="D502" t="str">
            <v/>
          </cell>
        </row>
        <row r="503">
          <cell r="C503" t="str">
            <v/>
          </cell>
          <cell r="D503" t="str">
            <v/>
          </cell>
        </row>
        <row r="504">
          <cell r="C504" t="str">
            <v/>
          </cell>
          <cell r="D504" t="str">
            <v/>
          </cell>
        </row>
        <row r="505">
          <cell r="C505" t="str">
            <v/>
          </cell>
          <cell r="D505" t="str">
            <v/>
          </cell>
        </row>
        <row r="506">
          <cell r="C506" t="str">
            <v/>
          </cell>
          <cell r="D506" t="str">
            <v/>
          </cell>
        </row>
        <row r="507">
          <cell r="C507" t="str">
            <v/>
          </cell>
          <cell r="D507" t="str">
            <v/>
          </cell>
        </row>
        <row r="508">
          <cell r="C508" t="str">
            <v/>
          </cell>
          <cell r="D508" t="str">
            <v/>
          </cell>
        </row>
        <row r="509">
          <cell r="C509" t="str">
            <v/>
          </cell>
          <cell r="D509" t="str">
            <v/>
          </cell>
        </row>
        <row r="510">
          <cell r="C510" t="str">
            <v/>
          </cell>
          <cell r="D510" t="str">
            <v/>
          </cell>
        </row>
        <row r="511">
          <cell r="C511" t="str">
            <v/>
          </cell>
          <cell r="D511" t="str">
            <v/>
          </cell>
        </row>
        <row r="512">
          <cell r="C512" t="str">
            <v/>
          </cell>
          <cell r="D512" t="str">
            <v/>
          </cell>
        </row>
        <row r="513">
          <cell r="C513" t="str">
            <v/>
          </cell>
          <cell r="D513" t="str">
            <v/>
          </cell>
        </row>
        <row r="514">
          <cell r="C514" t="str">
            <v/>
          </cell>
          <cell r="D514" t="str">
            <v/>
          </cell>
        </row>
        <row r="515">
          <cell r="C515" t="str">
            <v/>
          </cell>
          <cell r="D515" t="str">
            <v/>
          </cell>
        </row>
        <row r="516">
          <cell r="C516" t="str">
            <v/>
          </cell>
          <cell r="D516" t="str">
            <v/>
          </cell>
        </row>
        <row r="517">
          <cell r="C517" t="str">
            <v/>
          </cell>
          <cell r="D517" t="str">
            <v/>
          </cell>
        </row>
        <row r="518">
          <cell r="C518" t="str">
            <v/>
          </cell>
          <cell r="D518" t="str">
            <v/>
          </cell>
        </row>
        <row r="519">
          <cell r="C519" t="str">
            <v/>
          </cell>
          <cell r="D519" t="str">
            <v/>
          </cell>
        </row>
        <row r="520">
          <cell r="C520" t="str">
            <v/>
          </cell>
          <cell r="D520" t="str">
            <v/>
          </cell>
        </row>
        <row r="521">
          <cell r="C521" t="str">
            <v/>
          </cell>
          <cell r="D521" t="str">
            <v/>
          </cell>
        </row>
        <row r="522">
          <cell r="C522" t="str">
            <v/>
          </cell>
          <cell r="D522" t="str">
            <v/>
          </cell>
        </row>
        <row r="523">
          <cell r="C523" t="str">
            <v/>
          </cell>
          <cell r="D523" t="str">
            <v/>
          </cell>
        </row>
        <row r="524">
          <cell r="C524" t="str">
            <v/>
          </cell>
          <cell r="D524" t="str">
            <v/>
          </cell>
        </row>
        <row r="525">
          <cell r="C525" t="str">
            <v/>
          </cell>
          <cell r="D525" t="str">
            <v/>
          </cell>
        </row>
        <row r="526">
          <cell r="C526" t="str">
            <v/>
          </cell>
          <cell r="D526" t="str">
            <v/>
          </cell>
        </row>
        <row r="527">
          <cell r="C527" t="str">
            <v/>
          </cell>
          <cell r="D527" t="str">
            <v/>
          </cell>
        </row>
        <row r="528">
          <cell r="C528" t="str">
            <v/>
          </cell>
          <cell r="D528" t="str">
            <v/>
          </cell>
        </row>
        <row r="529">
          <cell r="C529" t="str">
            <v/>
          </cell>
          <cell r="D529" t="str">
            <v/>
          </cell>
        </row>
        <row r="530">
          <cell r="C530" t="str">
            <v/>
          </cell>
          <cell r="D530" t="str">
            <v/>
          </cell>
        </row>
        <row r="531">
          <cell r="C531" t="str">
            <v/>
          </cell>
          <cell r="D531" t="str">
            <v/>
          </cell>
        </row>
        <row r="532">
          <cell r="C532" t="str">
            <v/>
          </cell>
          <cell r="D532" t="str">
            <v/>
          </cell>
        </row>
        <row r="533">
          <cell r="C533" t="str">
            <v/>
          </cell>
          <cell r="D533" t="str">
            <v/>
          </cell>
        </row>
        <row r="534">
          <cell r="C534" t="str">
            <v/>
          </cell>
          <cell r="D534" t="str">
            <v/>
          </cell>
        </row>
        <row r="535">
          <cell r="C535" t="str">
            <v/>
          </cell>
          <cell r="D535" t="str">
            <v/>
          </cell>
        </row>
        <row r="536">
          <cell r="C536" t="str">
            <v/>
          </cell>
          <cell r="D536" t="str">
            <v/>
          </cell>
        </row>
        <row r="537">
          <cell r="C537" t="str">
            <v/>
          </cell>
          <cell r="D537" t="str">
            <v/>
          </cell>
        </row>
        <row r="538">
          <cell r="C538" t="str">
            <v/>
          </cell>
          <cell r="D538" t="str">
            <v/>
          </cell>
        </row>
        <row r="539">
          <cell r="C539" t="str">
            <v/>
          </cell>
          <cell r="D539" t="str">
            <v/>
          </cell>
        </row>
        <row r="540">
          <cell r="C540" t="str">
            <v/>
          </cell>
          <cell r="D540" t="str">
            <v/>
          </cell>
        </row>
        <row r="541">
          <cell r="C541" t="str">
            <v/>
          </cell>
          <cell r="D541" t="str">
            <v/>
          </cell>
        </row>
        <row r="542">
          <cell r="C542" t="str">
            <v/>
          </cell>
          <cell r="D542" t="str">
            <v/>
          </cell>
        </row>
        <row r="543">
          <cell r="C543" t="str">
            <v/>
          </cell>
          <cell r="D543" t="str">
            <v/>
          </cell>
        </row>
        <row r="544">
          <cell r="C544" t="str">
            <v/>
          </cell>
          <cell r="D544" t="str">
            <v/>
          </cell>
        </row>
        <row r="545">
          <cell r="C545" t="str">
            <v/>
          </cell>
          <cell r="D545" t="str">
            <v/>
          </cell>
        </row>
        <row r="546">
          <cell r="C546" t="str">
            <v/>
          </cell>
          <cell r="D546" t="str">
            <v/>
          </cell>
        </row>
        <row r="547">
          <cell r="C547" t="str">
            <v/>
          </cell>
          <cell r="D547" t="str">
            <v/>
          </cell>
        </row>
        <row r="548">
          <cell r="C548" t="str">
            <v/>
          </cell>
          <cell r="D548" t="str">
            <v/>
          </cell>
        </row>
        <row r="549">
          <cell r="C549" t="str">
            <v/>
          </cell>
          <cell r="D549" t="str">
            <v/>
          </cell>
        </row>
        <row r="550">
          <cell r="C550" t="str">
            <v/>
          </cell>
          <cell r="D550" t="str">
            <v/>
          </cell>
        </row>
        <row r="551">
          <cell r="C551" t="str">
            <v/>
          </cell>
          <cell r="D551" t="str">
            <v/>
          </cell>
        </row>
        <row r="552">
          <cell r="C552" t="str">
            <v/>
          </cell>
          <cell r="D552" t="str">
            <v/>
          </cell>
        </row>
        <row r="553">
          <cell r="C553" t="str">
            <v/>
          </cell>
          <cell r="D553" t="str">
            <v/>
          </cell>
        </row>
        <row r="554">
          <cell r="C554" t="str">
            <v/>
          </cell>
          <cell r="D554" t="str">
            <v/>
          </cell>
        </row>
        <row r="555">
          <cell r="C555" t="str">
            <v/>
          </cell>
          <cell r="D555" t="str">
            <v/>
          </cell>
        </row>
        <row r="556">
          <cell r="C556" t="str">
            <v/>
          </cell>
          <cell r="D556" t="str">
            <v/>
          </cell>
        </row>
        <row r="557">
          <cell r="C557" t="str">
            <v/>
          </cell>
          <cell r="D557" t="str">
            <v/>
          </cell>
        </row>
        <row r="558">
          <cell r="C558" t="str">
            <v/>
          </cell>
          <cell r="D558" t="str">
            <v/>
          </cell>
        </row>
        <row r="559">
          <cell r="C559" t="str">
            <v/>
          </cell>
          <cell r="D559" t="str">
            <v/>
          </cell>
        </row>
        <row r="560">
          <cell r="C560" t="str">
            <v/>
          </cell>
          <cell r="D560" t="str">
            <v/>
          </cell>
        </row>
        <row r="561">
          <cell r="C561" t="str">
            <v/>
          </cell>
          <cell r="D561" t="str">
            <v/>
          </cell>
        </row>
        <row r="562">
          <cell r="C562" t="str">
            <v/>
          </cell>
          <cell r="D562" t="str">
            <v/>
          </cell>
        </row>
        <row r="563">
          <cell r="C563" t="str">
            <v/>
          </cell>
          <cell r="D563" t="str">
            <v/>
          </cell>
        </row>
        <row r="564">
          <cell r="C564" t="str">
            <v/>
          </cell>
          <cell r="D564" t="str">
            <v/>
          </cell>
        </row>
        <row r="565">
          <cell r="C565" t="str">
            <v/>
          </cell>
          <cell r="D565" t="str">
            <v/>
          </cell>
        </row>
        <row r="566">
          <cell r="C566" t="str">
            <v/>
          </cell>
          <cell r="D566" t="str">
            <v/>
          </cell>
        </row>
        <row r="567">
          <cell r="C567" t="str">
            <v/>
          </cell>
          <cell r="D567" t="str">
            <v/>
          </cell>
        </row>
        <row r="568">
          <cell r="C568" t="str">
            <v/>
          </cell>
          <cell r="D568" t="str">
            <v/>
          </cell>
        </row>
        <row r="569">
          <cell r="C569" t="str">
            <v/>
          </cell>
          <cell r="D569" t="str">
            <v/>
          </cell>
        </row>
        <row r="570">
          <cell r="C570" t="str">
            <v/>
          </cell>
          <cell r="D570" t="str">
            <v/>
          </cell>
        </row>
        <row r="571">
          <cell r="C571" t="str">
            <v/>
          </cell>
          <cell r="D571" t="str">
            <v/>
          </cell>
        </row>
        <row r="572">
          <cell r="C572" t="str">
            <v/>
          </cell>
          <cell r="D572" t="str">
            <v/>
          </cell>
        </row>
        <row r="573">
          <cell r="C573" t="str">
            <v/>
          </cell>
          <cell r="D573" t="str">
            <v/>
          </cell>
        </row>
        <row r="574">
          <cell r="C574" t="str">
            <v/>
          </cell>
          <cell r="D574" t="str">
            <v/>
          </cell>
        </row>
        <row r="575">
          <cell r="C575" t="str">
            <v/>
          </cell>
          <cell r="D575" t="str">
            <v/>
          </cell>
        </row>
        <row r="576">
          <cell r="C576" t="str">
            <v/>
          </cell>
          <cell r="D576" t="str">
            <v/>
          </cell>
        </row>
        <row r="577">
          <cell r="C577" t="str">
            <v/>
          </cell>
          <cell r="D577" t="str">
            <v/>
          </cell>
        </row>
        <row r="578">
          <cell r="C578" t="str">
            <v/>
          </cell>
          <cell r="D578" t="str">
            <v/>
          </cell>
        </row>
        <row r="579">
          <cell r="C579" t="str">
            <v/>
          </cell>
          <cell r="D579" t="str">
            <v/>
          </cell>
        </row>
        <row r="580">
          <cell r="C580" t="str">
            <v/>
          </cell>
          <cell r="D580" t="str">
            <v/>
          </cell>
        </row>
        <row r="581">
          <cell r="C581" t="str">
            <v/>
          </cell>
          <cell r="D581" t="str">
            <v/>
          </cell>
        </row>
        <row r="582">
          <cell r="C582" t="str">
            <v/>
          </cell>
          <cell r="D582" t="str">
            <v/>
          </cell>
        </row>
        <row r="583">
          <cell r="C583" t="str">
            <v/>
          </cell>
          <cell r="D583" t="str">
            <v/>
          </cell>
        </row>
        <row r="584">
          <cell r="C584" t="str">
            <v/>
          </cell>
          <cell r="D584" t="str">
            <v/>
          </cell>
        </row>
        <row r="585">
          <cell r="C585" t="str">
            <v/>
          </cell>
          <cell r="D585" t="str">
            <v/>
          </cell>
        </row>
        <row r="586">
          <cell r="C586" t="str">
            <v/>
          </cell>
          <cell r="D586" t="str">
            <v/>
          </cell>
        </row>
        <row r="587">
          <cell r="C587" t="str">
            <v/>
          </cell>
          <cell r="D587" t="str">
            <v/>
          </cell>
        </row>
        <row r="588">
          <cell r="C588" t="str">
            <v/>
          </cell>
          <cell r="D588" t="str">
            <v/>
          </cell>
        </row>
        <row r="589">
          <cell r="C589" t="str">
            <v/>
          </cell>
          <cell r="D589" t="str">
            <v/>
          </cell>
        </row>
        <row r="590">
          <cell r="C590" t="str">
            <v/>
          </cell>
          <cell r="D590" t="str">
            <v/>
          </cell>
        </row>
        <row r="591">
          <cell r="C591" t="str">
            <v/>
          </cell>
          <cell r="D591" t="str">
            <v/>
          </cell>
        </row>
        <row r="592">
          <cell r="C592" t="str">
            <v/>
          </cell>
          <cell r="D592" t="str">
            <v/>
          </cell>
        </row>
        <row r="593">
          <cell r="C593" t="str">
            <v/>
          </cell>
          <cell r="D593" t="str">
            <v/>
          </cell>
        </row>
        <row r="594">
          <cell r="C594" t="str">
            <v/>
          </cell>
          <cell r="D594" t="str">
            <v/>
          </cell>
        </row>
        <row r="595">
          <cell r="C595" t="str">
            <v/>
          </cell>
          <cell r="D595" t="str">
            <v/>
          </cell>
        </row>
        <row r="596">
          <cell r="C596" t="str">
            <v/>
          </cell>
          <cell r="D596" t="str">
            <v/>
          </cell>
        </row>
        <row r="597">
          <cell r="C597" t="str">
            <v/>
          </cell>
          <cell r="D597" t="str">
            <v/>
          </cell>
        </row>
        <row r="598">
          <cell r="C598" t="str">
            <v/>
          </cell>
          <cell r="D598" t="str">
            <v/>
          </cell>
        </row>
        <row r="599">
          <cell r="C599" t="str">
            <v/>
          </cell>
          <cell r="D599" t="str">
            <v/>
          </cell>
        </row>
        <row r="600">
          <cell r="C600" t="str">
            <v/>
          </cell>
          <cell r="D600" t="str">
            <v/>
          </cell>
        </row>
        <row r="601">
          <cell r="C601" t="str">
            <v/>
          </cell>
          <cell r="D601" t="str">
            <v/>
          </cell>
        </row>
        <row r="602">
          <cell r="C602" t="str">
            <v/>
          </cell>
          <cell r="D602" t="str">
            <v/>
          </cell>
        </row>
        <row r="603">
          <cell r="C603" t="str">
            <v/>
          </cell>
          <cell r="D603" t="str">
            <v/>
          </cell>
        </row>
        <row r="604">
          <cell r="C604" t="str">
            <v/>
          </cell>
          <cell r="D604" t="str">
            <v/>
          </cell>
        </row>
        <row r="605">
          <cell r="C605" t="str">
            <v/>
          </cell>
          <cell r="D605" t="str">
            <v/>
          </cell>
        </row>
        <row r="606">
          <cell r="C606" t="str">
            <v/>
          </cell>
          <cell r="D606" t="str">
            <v/>
          </cell>
        </row>
        <row r="607">
          <cell r="C607" t="str">
            <v/>
          </cell>
          <cell r="D607" t="str">
            <v/>
          </cell>
        </row>
        <row r="608">
          <cell r="C608" t="str">
            <v/>
          </cell>
          <cell r="D608" t="str">
            <v/>
          </cell>
        </row>
        <row r="609">
          <cell r="C609" t="str">
            <v/>
          </cell>
          <cell r="D609" t="str">
            <v/>
          </cell>
        </row>
        <row r="610">
          <cell r="C610" t="str">
            <v/>
          </cell>
          <cell r="D610" t="str">
            <v/>
          </cell>
        </row>
        <row r="611">
          <cell r="C611" t="str">
            <v/>
          </cell>
          <cell r="D611" t="str">
            <v/>
          </cell>
        </row>
        <row r="612">
          <cell r="C612" t="str">
            <v/>
          </cell>
          <cell r="D612" t="str">
            <v/>
          </cell>
        </row>
        <row r="613">
          <cell r="C613" t="str">
            <v/>
          </cell>
          <cell r="D613" t="str">
            <v/>
          </cell>
        </row>
        <row r="614">
          <cell r="C614" t="str">
            <v/>
          </cell>
          <cell r="D614" t="str">
            <v/>
          </cell>
        </row>
        <row r="615">
          <cell r="C615" t="str">
            <v/>
          </cell>
          <cell r="D615" t="str">
            <v/>
          </cell>
        </row>
        <row r="616">
          <cell r="C616" t="str">
            <v/>
          </cell>
          <cell r="D616" t="str">
            <v/>
          </cell>
        </row>
        <row r="617">
          <cell r="C617" t="str">
            <v/>
          </cell>
          <cell r="D617" t="str">
            <v/>
          </cell>
        </row>
        <row r="618">
          <cell r="C618" t="str">
            <v/>
          </cell>
          <cell r="D618" t="str">
            <v/>
          </cell>
        </row>
        <row r="619">
          <cell r="C619" t="str">
            <v/>
          </cell>
          <cell r="D619" t="str">
            <v/>
          </cell>
        </row>
        <row r="620">
          <cell r="C620" t="str">
            <v/>
          </cell>
          <cell r="D620" t="str">
            <v/>
          </cell>
        </row>
        <row r="621">
          <cell r="C621" t="str">
            <v/>
          </cell>
          <cell r="D621" t="str">
            <v/>
          </cell>
        </row>
        <row r="622">
          <cell r="C622" t="str">
            <v/>
          </cell>
          <cell r="D622" t="str">
            <v/>
          </cell>
        </row>
        <row r="623">
          <cell r="C623" t="str">
            <v/>
          </cell>
          <cell r="D623" t="str">
            <v/>
          </cell>
        </row>
        <row r="624">
          <cell r="C624" t="str">
            <v/>
          </cell>
          <cell r="D624" t="str">
            <v/>
          </cell>
        </row>
        <row r="625">
          <cell r="C625" t="str">
            <v/>
          </cell>
          <cell r="D625" t="str">
            <v/>
          </cell>
        </row>
        <row r="626">
          <cell r="C626" t="str">
            <v/>
          </cell>
          <cell r="D626" t="str">
            <v/>
          </cell>
        </row>
        <row r="627">
          <cell r="C627" t="str">
            <v/>
          </cell>
          <cell r="D627" t="str">
            <v/>
          </cell>
        </row>
        <row r="628">
          <cell r="C628" t="str">
            <v/>
          </cell>
          <cell r="D628" t="str">
            <v/>
          </cell>
        </row>
        <row r="629">
          <cell r="C629" t="str">
            <v/>
          </cell>
          <cell r="D629" t="str">
            <v/>
          </cell>
        </row>
        <row r="630">
          <cell r="C630" t="str">
            <v/>
          </cell>
          <cell r="D630" t="str">
            <v/>
          </cell>
        </row>
        <row r="631">
          <cell r="C631" t="str">
            <v/>
          </cell>
          <cell r="D631" t="str">
            <v/>
          </cell>
        </row>
        <row r="632">
          <cell r="C632" t="str">
            <v/>
          </cell>
          <cell r="D632" t="str">
            <v/>
          </cell>
        </row>
        <row r="633">
          <cell r="C633" t="str">
            <v/>
          </cell>
          <cell r="D633" t="str">
            <v/>
          </cell>
        </row>
        <row r="634">
          <cell r="C634" t="str">
            <v/>
          </cell>
          <cell r="D634" t="str">
            <v/>
          </cell>
        </row>
        <row r="635">
          <cell r="C635" t="str">
            <v/>
          </cell>
          <cell r="D635" t="str">
            <v/>
          </cell>
        </row>
        <row r="636">
          <cell r="C636" t="str">
            <v/>
          </cell>
          <cell r="D636" t="str">
            <v/>
          </cell>
        </row>
        <row r="637">
          <cell r="C637" t="str">
            <v/>
          </cell>
          <cell r="D637" t="str">
            <v/>
          </cell>
        </row>
        <row r="638">
          <cell r="C638" t="str">
            <v/>
          </cell>
          <cell r="D638" t="str">
            <v/>
          </cell>
        </row>
        <row r="639">
          <cell r="C639" t="str">
            <v/>
          </cell>
          <cell r="D639" t="str">
            <v/>
          </cell>
        </row>
        <row r="640">
          <cell r="C640" t="str">
            <v/>
          </cell>
          <cell r="D640" t="str">
            <v/>
          </cell>
        </row>
        <row r="641">
          <cell r="C641" t="str">
            <v/>
          </cell>
          <cell r="D641" t="str">
            <v/>
          </cell>
        </row>
        <row r="642">
          <cell r="C642" t="str">
            <v/>
          </cell>
          <cell r="D642" t="str">
            <v/>
          </cell>
        </row>
        <row r="643">
          <cell r="C643" t="str">
            <v/>
          </cell>
          <cell r="D643" t="str">
            <v/>
          </cell>
        </row>
        <row r="644">
          <cell r="C644" t="str">
            <v/>
          </cell>
          <cell r="D644" t="str">
            <v/>
          </cell>
        </row>
        <row r="645">
          <cell r="C645" t="str">
            <v/>
          </cell>
          <cell r="D645" t="str">
            <v/>
          </cell>
        </row>
        <row r="646">
          <cell r="C646" t="str">
            <v/>
          </cell>
          <cell r="D646" t="str">
            <v/>
          </cell>
        </row>
        <row r="647">
          <cell r="C647" t="str">
            <v/>
          </cell>
          <cell r="D647" t="str">
            <v/>
          </cell>
        </row>
        <row r="648">
          <cell r="C648" t="str">
            <v/>
          </cell>
          <cell r="D648" t="str">
            <v/>
          </cell>
        </row>
        <row r="649">
          <cell r="C649" t="str">
            <v/>
          </cell>
          <cell r="D649" t="str">
            <v/>
          </cell>
        </row>
        <row r="650">
          <cell r="C650" t="str">
            <v/>
          </cell>
          <cell r="D650" t="str">
            <v/>
          </cell>
        </row>
        <row r="651">
          <cell r="C651" t="str">
            <v/>
          </cell>
          <cell r="D651" t="str">
            <v/>
          </cell>
        </row>
        <row r="652">
          <cell r="C652" t="str">
            <v/>
          </cell>
          <cell r="D652" t="str">
            <v/>
          </cell>
        </row>
        <row r="653">
          <cell r="C653" t="str">
            <v/>
          </cell>
          <cell r="D653" t="str">
            <v/>
          </cell>
        </row>
        <row r="654">
          <cell r="C654" t="str">
            <v/>
          </cell>
          <cell r="D654" t="str">
            <v/>
          </cell>
        </row>
        <row r="655">
          <cell r="C655" t="str">
            <v/>
          </cell>
          <cell r="D655" t="str">
            <v/>
          </cell>
        </row>
        <row r="656">
          <cell r="C656" t="str">
            <v/>
          </cell>
          <cell r="D656" t="str">
            <v/>
          </cell>
        </row>
        <row r="657">
          <cell r="C657" t="str">
            <v/>
          </cell>
          <cell r="D657" t="str">
            <v/>
          </cell>
        </row>
        <row r="658">
          <cell r="C658" t="str">
            <v/>
          </cell>
          <cell r="D658" t="str">
            <v/>
          </cell>
        </row>
        <row r="659">
          <cell r="C659" t="str">
            <v/>
          </cell>
          <cell r="D659" t="str">
            <v/>
          </cell>
        </row>
        <row r="660">
          <cell r="C660" t="str">
            <v/>
          </cell>
          <cell r="D660" t="str">
            <v/>
          </cell>
        </row>
        <row r="661">
          <cell r="C661" t="str">
            <v/>
          </cell>
          <cell r="D661" t="str">
            <v/>
          </cell>
        </row>
        <row r="662">
          <cell r="C662" t="str">
            <v/>
          </cell>
          <cell r="D662" t="str">
            <v/>
          </cell>
        </row>
        <row r="663">
          <cell r="C663" t="str">
            <v/>
          </cell>
          <cell r="D663" t="str">
            <v/>
          </cell>
        </row>
        <row r="664">
          <cell r="C664" t="str">
            <v/>
          </cell>
          <cell r="D664" t="str">
            <v/>
          </cell>
        </row>
        <row r="665">
          <cell r="C665" t="str">
            <v/>
          </cell>
          <cell r="D665" t="str">
            <v/>
          </cell>
        </row>
        <row r="666">
          <cell r="C666" t="str">
            <v/>
          </cell>
          <cell r="D666" t="str">
            <v/>
          </cell>
        </row>
        <row r="667">
          <cell r="C667" t="str">
            <v/>
          </cell>
          <cell r="D667" t="str">
            <v/>
          </cell>
        </row>
        <row r="668">
          <cell r="C668" t="str">
            <v/>
          </cell>
          <cell r="D668" t="str">
            <v/>
          </cell>
        </row>
        <row r="669">
          <cell r="C669" t="str">
            <v/>
          </cell>
          <cell r="D669" t="str">
            <v/>
          </cell>
        </row>
        <row r="670">
          <cell r="C670" t="str">
            <v/>
          </cell>
          <cell r="D670" t="str">
            <v/>
          </cell>
        </row>
        <row r="671">
          <cell r="C671" t="str">
            <v/>
          </cell>
          <cell r="D671" t="str">
            <v/>
          </cell>
        </row>
        <row r="672">
          <cell r="C672" t="str">
            <v/>
          </cell>
          <cell r="D672" t="str">
            <v/>
          </cell>
        </row>
        <row r="673">
          <cell r="C673" t="str">
            <v/>
          </cell>
          <cell r="D673" t="str">
            <v/>
          </cell>
        </row>
        <row r="674">
          <cell r="C674" t="str">
            <v/>
          </cell>
          <cell r="D674" t="str">
            <v/>
          </cell>
        </row>
        <row r="675">
          <cell r="C675" t="str">
            <v/>
          </cell>
          <cell r="D675" t="str">
            <v/>
          </cell>
        </row>
        <row r="676">
          <cell r="C676" t="str">
            <v/>
          </cell>
          <cell r="D676" t="str">
            <v/>
          </cell>
        </row>
        <row r="677">
          <cell r="C677" t="str">
            <v/>
          </cell>
          <cell r="D677" t="str">
            <v/>
          </cell>
        </row>
        <row r="678">
          <cell r="C678" t="str">
            <v/>
          </cell>
          <cell r="D678" t="str">
            <v/>
          </cell>
        </row>
        <row r="679">
          <cell r="C679" t="str">
            <v/>
          </cell>
          <cell r="D679" t="str">
            <v/>
          </cell>
        </row>
        <row r="680">
          <cell r="C680" t="str">
            <v/>
          </cell>
          <cell r="D680" t="str">
            <v/>
          </cell>
        </row>
        <row r="681">
          <cell r="C681" t="str">
            <v/>
          </cell>
          <cell r="D681" t="str">
            <v/>
          </cell>
        </row>
        <row r="682">
          <cell r="C682" t="str">
            <v/>
          </cell>
          <cell r="D682" t="str">
            <v/>
          </cell>
        </row>
        <row r="683">
          <cell r="C683" t="str">
            <v/>
          </cell>
          <cell r="D683" t="str">
            <v/>
          </cell>
        </row>
        <row r="684">
          <cell r="C684" t="str">
            <v/>
          </cell>
          <cell r="D684" t="str">
            <v/>
          </cell>
        </row>
        <row r="685">
          <cell r="C685" t="str">
            <v/>
          </cell>
          <cell r="D685" t="str">
            <v/>
          </cell>
        </row>
        <row r="686">
          <cell r="C686" t="str">
            <v/>
          </cell>
          <cell r="D686" t="str">
            <v/>
          </cell>
        </row>
        <row r="687">
          <cell r="C687" t="str">
            <v/>
          </cell>
          <cell r="D687" t="str">
            <v/>
          </cell>
        </row>
        <row r="688">
          <cell r="C688" t="str">
            <v/>
          </cell>
          <cell r="D688" t="str">
            <v/>
          </cell>
        </row>
        <row r="689">
          <cell r="C689" t="str">
            <v/>
          </cell>
          <cell r="D689" t="str">
            <v/>
          </cell>
        </row>
        <row r="690">
          <cell r="C690" t="str">
            <v/>
          </cell>
          <cell r="D690" t="str">
            <v/>
          </cell>
        </row>
        <row r="691">
          <cell r="C691" t="str">
            <v/>
          </cell>
          <cell r="D691" t="str">
            <v/>
          </cell>
        </row>
        <row r="692">
          <cell r="C692" t="str">
            <v/>
          </cell>
          <cell r="D692" t="str">
            <v/>
          </cell>
        </row>
        <row r="693">
          <cell r="C693" t="str">
            <v/>
          </cell>
          <cell r="D693" t="str">
            <v/>
          </cell>
        </row>
        <row r="694">
          <cell r="C694" t="str">
            <v/>
          </cell>
          <cell r="D694" t="str">
            <v/>
          </cell>
        </row>
        <row r="695">
          <cell r="C695" t="str">
            <v/>
          </cell>
          <cell r="D695" t="str">
            <v/>
          </cell>
        </row>
        <row r="696">
          <cell r="C696" t="str">
            <v/>
          </cell>
          <cell r="D696" t="str">
            <v/>
          </cell>
        </row>
        <row r="697">
          <cell r="C697" t="str">
            <v/>
          </cell>
          <cell r="D697" t="str">
            <v/>
          </cell>
        </row>
        <row r="698">
          <cell r="C698" t="str">
            <v/>
          </cell>
          <cell r="D698" t="str">
            <v/>
          </cell>
        </row>
        <row r="699">
          <cell r="C699" t="str">
            <v/>
          </cell>
          <cell r="D699" t="str">
            <v/>
          </cell>
        </row>
        <row r="700">
          <cell r="C700" t="str">
            <v/>
          </cell>
          <cell r="D700" t="str">
            <v/>
          </cell>
        </row>
        <row r="701">
          <cell r="C701" t="str">
            <v/>
          </cell>
          <cell r="D701" t="str">
            <v/>
          </cell>
        </row>
        <row r="702">
          <cell r="C702" t="str">
            <v/>
          </cell>
          <cell r="D702" t="str">
            <v/>
          </cell>
        </row>
        <row r="703">
          <cell r="C703" t="str">
            <v/>
          </cell>
          <cell r="D703" t="str">
            <v/>
          </cell>
        </row>
        <row r="704">
          <cell r="C704" t="str">
            <v/>
          </cell>
          <cell r="D704" t="str">
            <v/>
          </cell>
        </row>
        <row r="705">
          <cell r="C705" t="str">
            <v/>
          </cell>
          <cell r="D705" t="str">
            <v/>
          </cell>
        </row>
        <row r="706">
          <cell r="C706" t="str">
            <v/>
          </cell>
          <cell r="D706" t="str">
            <v/>
          </cell>
        </row>
        <row r="707">
          <cell r="C707" t="str">
            <v/>
          </cell>
          <cell r="D707" t="str">
            <v/>
          </cell>
        </row>
        <row r="708">
          <cell r="C708" t="str">
            <v/>
          </cell>
          <cell r="D708" t="str">
            <v/>
          </cell>
        </row>
        <row r="709">
          <cell r="C709" t="str">
            <v/>
          </cell>
          <cell r="D709" t="str">
            <v/>
          </cell>
        </row>
        <row r="710">
          <cell r="C710" t="str">
            <v/>
          </cell>
          <cell r="D710" t="str">
            <v/>
          </cell>
        </row>
        <row r="711">
          <cell r="C711" t="str">
            <v/>
          </cell>
          <cell r="D711" t="str">
            <v/>
          </cell>
        </row>
        <row r="712">
          <cell r="C712" t="str">
            <v/>
          </cell>
          <cell r="D712" t="str">
            <v/>
          </cell>
        </row>
        <row r="713">
          <cell r="C713" t="str">
            <v/>
          </cell>
          <cell r="D713" t="str">
            <v/>
          </cell>
        </row>
        <row r="714">
          <cell r="C714" t="str">
            <v/>
          </cell>
          <cell r="D714" t="str">
            <v/>
          </cell>
        </row>
        <row r="715">
          <cell r="C715" t="str">
            <v/>
          </cell>
          <cell r="D715" t="str">
            <v/>
          </cell>
        </row>
        <row r="716">
          <cell r="C716" t="str">
            <v/>
          </cell>
          <cell r="D716" t="str">
            <v/>
          </cell>
        </row>
        <row r="717">
          <cell r="C717" t="str">
            <v/>
          </cell>
          <cell r="D717" t="str">
            <v/>
          </cell>
        </row>
        <row r="718">
          <cell r="C718" t="str">
            <v/>
          </cell>
          <cell r="D718" t="str">
            <v/>
          </cell>
        </row>
        <row r="719">
          <cell r="C719" t="str">
            <v/>
          </cell>
          <cell r="D719" t="str">
            <v/>
          </cell>
        </row>
        <row r="720">
          <cell r="C720" t="str">
            <v/>
          </cell>
          <cell r="D720" t="str">
            <v/>
          </cell>
        </row>
        <row r="721">
          <cell r="C721" t="str">
            <v/>
          </cell>
          <cell r="D721" t="str">
            <v/>
          </cell>
        </row>
        <row r="722">
          <cell r="C722" t="str">
            <v/>
          </cell>
          <cell r="D722" t="str">
            <v/>
          </cell>
        </row>
        <row r="723">
          <cell r="C723" t="str">
            <v/>
          </cell>
          <cell r="D723" t="str">
            <v/>
          </cell>
        </row>
        <row r="724">
          <cell r="C724" t="str">
            <v/>
          </cell>
          <cell r="D724" t="str">
            <v/>
          </cell>
        </row>
        <row r="725">
          <cell r="C725" t="str">
            <v/>
          </cell>
          <cell r="D725" t="str">
            <v/>
          </cell>
        </row>
        <row r="726">
          <cell r="C726" t="str">
            <v/>
          </cell>
          <cell r="D726" t="str">
            <v/>
          </cell>
        </row>
        <row r="727">
          <cell r="C727" t="str">
            <v/>
          </cell>
          <cell r="D727" t="str">
            <v/>
          </cell>
        </row>
        <row r="728">
          <cell r="C728" t="str">
            <v/>
          </cell>
          <cell r="D728" t="str">
            <v/>
          </cell>
        </row>
        <row r="729">
          <cell r="C729" t="str">
            <v/>
          </cell>
          <cell r="D729" t="str">
            <v/>
          </cell>
        </row>
        <row r="730">
          <cell r="C730" t="str">
            <v/>
          </cell>
          <cell r="D730" t="str">
            <v/>
          </cell>
        </row>
        <row r="731">
          <cell r="C731" t="str">
            <v/>
          </cell>
          <cell r="D731" t="str">
            <v/>
          </cell>
        </row>
        <row r="732">
          <cell r="C732" t="str">
            <v/>
          </cell>
          <cell r="D732" t="str">
            <v/>
          </cell>
        </row>
        <row r="733">
          <cell r="C733" t="str">
            <v/>
          </cell>
          <cell r="D733" t="str">
            <v/>
          </cell>
        </row>
        <row r="734">
          <cell r="C734" t="str">
            <v/>
          </cell>
          <cell r="D734" t="str">
            <v/>
          </cell>
        </row>
        <row r="735">
          <cell r="C735" t="str">
            <v/>
          </cell>
          <cell r="D735" t="str">
            <v/>
          </cell>
        </row>
        <row r="736">
          <cell r="C736" t="str">
            <v/>
          </cell>
          <cell r="D736" t="str">
            <v/>
          </cell>
        </row>
        <row r="737">
          <cell r="C737" t="str">
            <v/>
          </cell>
          <cell r="D737" t="str">
            <v/>
          </cell>
        </row>
        <row r="738">
          <cell r="C738" t="str">
            <v/>
          </cell>
          <cell r="D738" t="str">
            <v/>
          </cell>
        </row>
        <row r="739">
          <cell r="C739" t="str">
            <v/>
          </cell>
          <cell r="D739" t="str">
            <v/>
          </cell>
        </row>
        <row r="740">
          <cell r="C740" t="str">
            <v/>
          </cell>
          <cell r="D740" t="str">
            <v/>
          </cell>
        </row>
        <row r="741">
          <cell r="C741" t="str">
            <v/>
          </cell>
          <cell r="D741" t="str">
            <v/>
          </cell>
        </row>
        <row r="742">
          <cell r="C742" t="str">
            <v/>
          </cell>
          <cell r="D742" t="str">
            <v/>
          </cell>
        </row>
        <row r="743">
          <cell r="C743" t="str">
            <v/>
          </cell>
          <cell r="D743" t="str">
            <v/>
          </cell>
        </row>
        <row r="744">
          <cell r="C744" t="str">
            <v/>
          </cell>
          <cell r="D744" t="str">
            <v/>
          </cell>
        </row>
        <row r="745">
          <cell r="C745" t="str">
            <v/>
          </cell>
          <cell r="D745" t="str">
            <v/>
          </cell>
        </row>
        <row r="746">
          <cell r="C746" t="str">
            <v/>
          </cell>
          <cell r="D746" t="str">
            <v/>
          </cell>
        </row>
        <row r="747">
          <cell r="C747" t="str">
            <v/>
          </cell>
          <cell r="D747" t="str">
            <v/>
          </cell>
        </row>
        <row r="748">
          <cell r="C748" t="str">
            <v/>
          </cell>
          <cell r="D748" t="str">
            <v/>
          </cell>
        </row>
        <row r="749">
          <cell r="C749" t="str">
            <v/>
          </cell>
          <cell r="D749" t="str">
            <v/>
          </cell>
        </row>
        <row r="750">
          <cell r="C750" t="str">
            <v/>
          </cell>
          <cell r="D750" t="str">
            <v/>
          </cell>
        </row>
        <row r="751">
          <cell r="C751" t="str">
            <v/>
          </cell>
          <cell r="D751" t="str">
            <v/>
          </cell>
        </row>
        <row r="752">
          <cell r="C752" t="str">
            <v/>
          </cell>
          <cell r="D752" t="str">
            <v/>
          </cell>
        </row>
        <row r="753">
          <cell r="C753" t="str">
            <v/>
          </cell>
          <cell r="D753" t="str">
            <v/>
          </cell>
        </row>
        <row r="754">
          <cell r="C754" t="str">
            <v/>
          </cell>
          <cell r="D754" t="str">
            <v/>
          </cell>
        </row>
        <row r="755">
          <cell r="C755" t="str">
            <v/>
          </cell>
          <cell r="D755" t="str">
            <v/>
          </cell>
        </row>
        <row r="756">
          <cell r="C756" t="str">
            <v/>
          </cell>
          <cell r="D756" t="str">
            <v/>
          </cell>
        </row>
        <row r="757">
          <cell r="C757" t="str">
            <v/>
          </cell>
          <cell r="D757" t="str">
            <v/>
          </cell>
        </row>
        <row r="758">
          <cell r="C758" t="str">
            <v/>
          </cell>
          <cell r="D758" t="str">
            <v/>
          </cell>
        </row>
        <row r="759">
          <cell r="C759" t="str">
            <v/>
          </cell>
          <cell r="D759" t="str">
            <v/>
          </cell>
        </row>
        <row r="760">
          <cell r="C760" t="str">
            <v/>
          </cell>
          <cell r="D760" t="str">
            <v/>
          </cell>
        </row>
        <row r="761">
          <cell r="C761" t="str">
            <v/>
          </cell>
          <cell r="D761" t="str">
            <v/>
          </cell>
        </row>
        <row r="762">
          <cell r="C762" t="str">
            <v/>
          </cell>
          <cell r="D762" t="str">
            <v/>
          </cell>
        </row>
        <row r="763">
          <cell r="C763" t="str">
            <v/>
          </cell>
          <cell r="D763" t="str">
            <v/>
          </cell>
        </row>
        <row r="764">
          <cell r="C764" t="str">
            <v/>
          </cell>
          <cell r="D764" t="str">
            <v/>
          </cell>
        </row>
        <row r="765">
          <cell r="C765" t="str">
            <v/>
          </cell>
          <cell r="D765" t="str">
            <v/>
          </cell>
        </row>
        <row r="766">
          <cell r="C766" t="str">
            <v/>
          </cell>
          <cell r="D766" t="str">
            <v/>
          </cell>
        </row>
        <row r="767">
          <cell r="C767" t="str">
            <v/>
          </cell>
          <cell r="D767" t="str">
            <v/>
          </cell>
        </row>
        <row r="768">
          <cell r="C768" t="str">
            <v/>
          </cell>
          <cell r="D768" t="str">
            <v/>
          </cell>
        </row>
        <row r="769">
          <cell r="C769" t="str">
            <v/>
          </cell>
          <cell r="D769" t="str">
            <v/>
          </cell>
        </row>
        <row r="770">
          <cell r="C770" t="str">
            <v/>
          </cell>
          <cell r="D770" t="str">
            <v/>
          </cell>
        </row>
        <row r="771">
          <cell r="C771" t="str">
            <v/>
          </cell>
          <cell r="D771" t="str">
            <v/>
          </cell>
        </row>
        <row r="772">
          <cell r="C772" t="str">
            <v/>
          </cell>
          <cell r="D772" t="str">
            <v/>
          </cell>
        </row>
        <row r="773">
          <cell r="C773" t="str">
            <v/>
          </cell>
          <cell r="D773" t="str">
            <v/>
          </cell>
        </row>
        <row r="774">
          <cell r="C774" t="str">
            <v/>
          </cell>
          <cell r="D774" t="str">
            <v/>
          </cell>
        </row>
        <row r="775">
          <cell r="C775" t="str">
            <v/>
          </cell>
          <cell r="D775" t="str">
            <v/>
          </cell>
        </row>
        <row r="776">
          <cell r="C776" t="str">
            <v/>
          </cell>
          <cell r="D776" t="str">
            <v/>
          </cell>
        </row>
        <row r="777">
          <cell r="C777" t="str">
            <v/>
          </cell>
          <cell r="D777" t="str">
            <v/>
          </cell>
        </row>
        <row r="778">
          <cell r="C778" t="str">
            <v/>
          </cell>
          <cell r="D778" t="str">
            <v/>
          </cell>
        </row>
        <row r="779">
          <cell r="C779" t="str">
            <v/>
          </cell>
          <cell r="D779" t="str">
            <v/>
          </cell>
        </row>
        <row r="780">
          <cell r="C780" t="str">
            <v/>
          </cell>
          <cell r="D780" t="str">
            <v/>
          </cell>
        </row>
        <row r="781">
          <cell r="C781" t="str">
            <v/>
          </cell>
          <cell r="D781" t="str">
            <v/>
          </cell>
        </row>
        <row r="782">
          <cell r="C782" t="str">
            <v/>
          </cell>
          <cell r="D782" t="str">
            <v/>
          </cell>
        </row>
        <row r="783">
          <cell r="C783" t="str">
            <v/>
          </cell>
          <cell r="D783" t="str">
            <v/>
          </cell>
        </row>
        <row r="784">
          <cell r="C784" t="str">
            <v/>
          </cell>
          <cell r="D784" t="str">
            <v/>
          </cell>
        </row>
        <row r="785">
          <cell r="C785" t="str">
            <v/>
          </cell>
          <cell r="D785" t="str">
            <v/>
          </cell>
        </row>
        <row r="786">
          <cell r="C786" t="str">
            <v/>
          </cell>
          <cell r="D786" t="str">
            <v/>
          </cell>
        </row>
        <row r="787">
          <cell r="C787" t="str">
            <v/>
          </cell>
          <cell r="D787" t="str">
            <v/>
          </cell>
        </row>
        <row r="788">
          <cell r="C788" t="str">
            <v/>
          </cell>
          <cell r="D788" t="str">
            <v/>
          </cell>
        </row>
        <row r="789">
          <cell r="C789" t="str">
            <v/>
          </cell>
          <cell r="D789" t="str">
            <v/>
          </cell>
        </row>
        <row r="790">
          <cell r="C790" t="str">
            <v/>
          </cell>
          <cell r="D790" t="str">
            <v/>
          </cell>
        </row>
        <row r="791">
          <cell r="C791" t="str">
            <v/>
          </cell>
          <cell r="D791" t="str">
            <v/>
          </cell>
        </row>
        <row r="792">
          <cell r="C792" t="str">
            <v/>
          </cell>
          <cell r="D792" t="str">
            <v/>
          </cell>
        </row>
        <row r="793">
          <cell r="C793" t="str">
            <v/>
          </cell>
          <cell r="D793" t="str">
            <v/>
          </cell>
        </row>
        <row r="794">
          <cell r="C794" t="str">
            <v/>
          </cell>
          <cell r="D794" t="str">
            <v/>
          </cell>
        </row>
        <row r="795">
          <cell r="C795" t="str">
            <v/>
          </cell>
          <cell r="D795" t="str">
            <v/>
          </cell>
        </row>
        <row r="796">
          <cell r="C796" t="str">
            <v/>
          </cell>
          <cell r="D796" t="str">
            <v/>
          </cell>
        </row>
        <row r="797">
          <cell r="C797" t="str">
            <v/>
          </cell>
          <cell r="D797" t="str">
            <v/>
          </cell>
        </row>
        <row r="798">
          <cell r="C798" t="str">
            <v/>
          </cell>
          <cell r="D798" t="str">
            <v/>
          </cell>
        </row>
        <row r="799">
          <cell r="C799" t="str">
            <v/>
          </cell>
          <cell r="D799" t="str">
            <v/>
          </cell>
        </row>
        <row r="800">
          <cell r="C800" t="str">
            <v/>
          </cell>
          <cell r="D800" t="str">
            <v/>
          </cell>
        </row>
        <row r="801">
          <cell r="C801" t="str">
            <v/>
          </cell>
          <cell r="D801" t="str">
            <v/>
          </cell>
        </row>
        <row r="802">
          <cell r="C802" t="str">
            <v/>
          </cell>
          <cell r="D802" t="str">
            <v/>
          </cell>
        </row>
        <row r="803">
          <cell r="C803" t="str">
            <v/>
          </cell>
          <cell r="D803" t="str">
            <v/>
          </cell>
        </row>
        <row r="804">
          <cell r="C804" t="str">
            <v/>
          </cell>
          <cell r="D804" t="str">
            <v/>
          </cell>
        </row>
        <row r="805">
          <cell r="C805" t="str">
            <v/>
          </cell>
          <cell r="D805" t="str">
            <v/>
          </cell>
        </row>
        <row r="806">
          <cell r="C806" t="str">
            <v/>
          </cell>
          <cell r="D806" t="str">
            <v/>
          </cell>
        </row>
        <row r="807">
          <cell r="C807" t="str">
            <v/>
          </cell>
          <cell r="D807" t="str">
            <v/>
          </cell>
        </row>
        <row r="808">
          <cell r="C808" t="str">
            <v/>
          </cell>
          <cell r="D808" t="str">
            <v/>
          </cell>
        </row>
        <row r="809">
          <cell r="C809" t="str">
            <v/>
          </cell>
          <cell r="D809" t="str">
            <v/>
          </cell>
        </row>
        <row r="810">
          <cell r="C810" t="str">
            <v/>
          </cell>
          <cell r="D810" t="str">
            <v/>
          </cell>
        </row>
        <row r="811">
          <cell r="C811" t="str">
            <v/>
          </cell>
          <cell r="D811" t="str">
            <v/>
          </cell>
        </row>
        <row r="812">
          <cell r="C812" t="str">
            <v/>
          </cell>
          <cell r="D812" t="str">
            <v/>
          </cell>
        </row>
        <row r="813">
          <cell r="C813" t="str">
            <v/>
          </cell>
          <cell r="D813" t="str">
            <v/>
          </cell>
        </row>
        <row r="814">
          <cell r="C814" t="str">
            <v/>
          </cell>
          <cell r="D814" t="str">
            <v/>
          </cell>
        </row>
        <row r="815">
          <cell r="C815" t="str">
            <v/>
          </cell>
          <cell r="D815" t="str">
            <v/>
          </cell>
        </row>
        <row r="816">
          <cell r="C816" t="str">
            <v/>
          </cell>
          <cell r="D816" t="str">
            <v/>
          </cell>
        </row>
        <row r="817">
          <cell r="C817" t="str">
            <v/>
          </cell>
          <cell r="D817" t="str">
            <v/>
          </cell>
        </row>
        <row r="818">
          <cell r="C818" t="str">
            <v/>
          </cell>
          <cell r="D818" t="str">
            <v/>
          </cell>
        </row>
        <row r="819">
          <cell r="C819" t="str">
            <v/>
          </cell>
          <cell r="D819" t="str">
            <v/>
          </cell>
        </row>
        <row r="820">
          <cell r="C820" t="str">
            <v/>
          </cell>
          <cell r="D820" t="str">
            <v/>
          </cell>
        </row>
        <row r="821">
          <cell r="C821" t="str">
            <v/>
          </cell>
          <cell r="D821" t="str">
            <v/>
          </cell>
        </row>
        <row r="822">
          <cell r="C822" t="str">
            <v/>
          </cell>
          <cell r="D822" t="str">
            <v/>
          </cell>
        </row>
        <row r="823">
          <cell r="C823" t="str">
            <v/>
          </cell>
          <cell r="D823" t="str">
            <v/>
          </cell>
        </row>
        <row r="824">
          <cell r="C824" t="str">
            <v/>
          </cell>
          <cell r="D824" t="str">
            <v/>
          </cell>
        </row>
        <row r="825">
          <cell r="C825" t="str">
            <v/>
          </cell>
          <cell r="D825" t="str">
            <v/>
          </cell>
        </row>
        <row r="826">
          <cell r="C826" t="str">
            <v/>
          </cell>
          <cell r="D826" t="str">
            <v/>
          </cell>
        </row>
        <row r="827">
          <cell r="C827" t="str">
            <v/>
          </cell>
          <cell r="D827" t="str">
            <v/>
          </cell>
        </row>
        <row r="828">
          <cell r="C828" t="str">
            <v/>
          </cell>
          <cell r="D828" t="str">
            <v/>
          </cell>
        </row>
        <row r="829">
          <cell r="C829" t="str">
            <v/>
          </cell>
          <cell r="D829" t="str">
            <v/>
          </cell>
        </row>
        <row r="830">
          <cell r="C830" t="str">
            <v/>
          </cell>
          <cell r="D830" t="str">
            <v/>
          </cell>
        </row>
        <row r="831">
          <cell r="C831" t="str">
            <v/>
          </cell>
          <cell r="D831" t="str">
            <v/>
          </cell>
        </row>
        <row r="832">
          <cell r="C832" t="str">
            <v/>
          </cell>
          <cell r="D832" t="str">
            <v/>
          </cell>
        </row>
        <row r="833">
          <cell r="C833" t="str">
            <v/>
          </cell>
          <cell r="D833" t="str">
            <v/>
          </cell>
        </row>
        <row r="834">
          <cell r="C834" t="str">
            <v/>
          </cell>
          <cell r="D834" t="str">
            <v/>
          </cell>
        </row>
        <row r="835">
          <cell r="C835" t="str">
            <v/>
          </cell>
          <cell r="D835" t="str">
            <v/>
          </cell>
        </row>
        <row r="836">
          <cell r="C836" t="str">
            <v/>
          </cell>
          <cell r="D836" t="str">
            <v/>
          </cell>
        </row>
        <row r="837">
          <cell r="C837" t="str">
            <v/>
          </cell>
          <cell r="D837" t="str">
            <v/>
          </cell>
        </row>
        <row r="838">
          <cell r="C838" t="str">
            <v/>
          </cell>
          <cell r="D838" t="str">
            <v/>
          </cell>
        </row>
        <row r="839">
          <cell r="C839" t="str">
            <v/>
          </cell>
          <cell r="D839" t="str">
            <v/>
          </cell>
        </row>
        <row r="840">
          <cell r="C840" t="str">
            <v/>
          </cell>
          <cell r="D840" t="str">
            <v/>
          </cell>
        </row>
        <row r="841">
          <cell r="C841" t="str">
            <v/>
          </cell>
          <cell r="D841" t="str">
            <v/>
          </cell>
        </row>
        <row r="842">
          <cell r="C842" t="str">
            <v/>
          </cell>
          <cell r="D842" t="str">
            <v/>
          </cell>
        </row>
        <row r="843">
          <cell r="C843" t="str">
            <v/>
          </cell>
          <cell r="D843" t="str">
            <v/>
          </cell>
        </row>
        <row r="844">
          <cell r="C844" t="str">
            <v/>
          </cell>
          <cell r="D844" t="str">
            <v/>
          </cell>
        </row>
        <row r="845">
          <cell r="C845" t="str">
            <v/>
          </cell>
          <cell r="D845" t="str">
            <v/>
          </cell>
        </row>
        <row r="846">
          <cell r="C846" t="str">
            <v/>
          </cell>
          <cell r="D846" t="str">
            <v/>
          </cell>
        </row>
        <row r="847">
          <cell r="C847" t="str">
            <v/>
          </cell>
          <cell r="D847" t="str">
            <v/>
          </cell>
        </row>
        <row r="848">
          <cell r="C848" t="str">
            <v/>
          </cell>
          <cell r="D848" t="str">
            <v/>
          </cell>
        </row>
        <row r="849">
          <cell r="C849" t="str">
            <v/>
          </cell>
          <cell r="D849" t="str">
            <v/>
          </cell>
        </row>
        <row r="850">
          <cell r="C850" t="str">
            <v/>
          </cell>
          <cell r="D850" t="str">
            <v/>
          </cell>
        </row>
        <row r="851">
          <cell r="C851" t="str">
            <v/>
          </cell>
          <cell r="D851" t="str">
            <v/>
          </cell>
        </row>
        <row r="852">
          <cell r="C852" t="str">
            <v/>
          </cell>
          <cell r="D852" t="str">
            <v/>
          </cell>
        </row>
        <row r="853">
          <cell r="C853" t="str">
            <v/>
          </cell>
          <cell r="D853" t="str">
            <v/>
          </cell>
        </row>
        <row r="854">
          <cell r="C854" t="str">
            <v/>
          </cell>
          <cell r="D854" t="str">
            <v/>
          </cell>
        </row>
        <row r="855">
          <cell r="C855" t="str">
            <v/>
          </cell>
          <cell r="D855" t="str">
            <v/>
          </cell>
        </row>
        <row r="856">
          <cell r="C856" t="str">
            <v/>
          </cell>
          <cell r="D856" t="str">
            <v/>
          </cell>
        </row>
        <row r="857">
          <cell r="C857" t="str">
            <v/>
          </cell>
          <cell r="D857" t="str">
            <v/>
          </cell>
        </row>
        <row r="858">
          <cell r="C858" t="str">
            <v/>
          </cell>
          <cell r="D858" t="str">
            <v/>
          </cell>
        </row>
        <row r="859">
          <cell r="C859" t="str">
            <v/>
          </cell>
          <cell r="D859" t="str">
            <v/>
          </cell>
        </row>
        <row r="860">
          <cell r="C860" t="str">
            <v/>
          </cell>
          <cell r="D860" t="str">
            <v/>
          </cell>
        </row>
        <row r="861">
          <cell r="C861" t="str">
            <v/>
          </cell>
          <cell r="D861" t="str">
            <v/>
          </cell>
        </row>
        <row r="862">
          <cell r="C862" t="str">
            <v/>
          </cell>
          <cell r="D862" t="str">
            <v/>
          </cell>
        </row>
        <row r="863">
          <cell r="C863" t="str">
            <v/>
          </cell>
          <cell r="D863" t="str">
            <v/>
          </cell>
        </row>
        <row r="864">
          <cell r="C864" t="str">
            <v/>
          </cell>
          <cell r="D864" t="str">
            <v/>
          </cell>
        </row>
        <row r="865">
          <cell r="C865" t="str">
            <v/>
          </cell>
          <cell r="D865" t="str">
            <v/>
          </cell>
        </row>
        <row r="866">
          <cell r="C866" t="str">
            <v/>
          </cell>
          <cell r="D866" t="str">
            <v/>
          </cell>
        </row>
        <row r="867">
          <cell r="C867" t="str">
            <v/>
          </cell>
          <cell r="D867" t="str">
            <v/>
          </cell>
        </row>
        <row r="868">
          <cell r="C868" t="str">
            <v/>
          </cell>
          <cell r="D868" t="str">
            <v/>
          </cell>
        </row>
        <row r="869">
          <cell r="C869" t="str">
            <v/>
          </cell>
          <cell r="D869" t="str">
            <v/>
          </cell>
        </row>
        <row r="870">
          <cell r="C870" t="str">
            <v/>
          </cell>
          <cell r="D870" t="str">
            <v/>
          </cell>
        </row>
        <row r="871">
          <cell r="C871" t="str">
            <v/>
          </cell>
          <cell r="D871" t="str">
            <v/>
          </cell>
        </row>
        <row r="872">
          <cell r="C872" t="str">
            <v/>
          </cell>
          <cell r="D872" t="str">
            <v/>
          </cell>
        </row>
        <row r="873">
          <cell r="C873" t="str">
            <v/>
          </cell>
          <cell r="D873" t="str">
            <v/>
          </cell>
        </row>
        <row r="874">
          <cell r="C874" t="str">
            <v/>
          </cell>
          <cell r="D874" t="str">
            <v/>
          </cell>
        </row>
        <row r="875">
          <cell r="C875" t="str">
            <v/>
          </cell>
          <cell r="D875" t="str">
            <v/>
          </cell>
        </row>
        <row r="876">
          <cell r="C876" t="str">
            <v/>
          </cell>
          <cell r="D876" t="str">
            <v/>
          </cell>
        </row>
        <row r="877">
          <cell r="C877" t="str">
            <v/>
          </cell>
          <cell r="D877" t="str">
            <v/>
          </cell>
        </row>
        <row r="878">
          <cell r="C878" t="str">
            <v/>
          </cell>
          <cell r="D878" t="str">
            <v/>
          </cell>
        </row>
        <row r="879">
          <cell r="C879" t="str">
            <v/>
          </cell>
          <cell r="D879" t="str">
            <v/>
          </cell>
        </row>
        <row r="880">
          <cell r="C880" t="str">
            <v/>
          </cell>
          <cell r="D880" t="str">
            <v/>
          </cell>
        </row>
        <row r="881">
          <cell r="C881" t="str">
            <v/>
          </cell>
          <cell r="D881" t="str">
            <v/>
          </cell>
        </row>
        <row r="882">
          <cell r="C882" t="str">
            <v/>
          </cell>
          <cell r="D882" t="str">
            <v/>
          </cell>
        </row>
        <row r="883">
          <cell r="C883" t="str">
            <v/>
          </cell>
          <cell r="D883" t="str">
            <v/>
          </cell>
        </row>
        <row r="884">
          <cell r="C884" t="str">
            <v/>
          </cell>
          <cell r="D884" t="str">
            <v/>
          </cell>
        </row>
        <row r="885">
          <cell r="C885" t="str">
            <v/>
          </cell>
          <cell r="D885" t="str">
            <v/>
          </cell>
        </row>
        <row r="886">
          <cell r="C886" t="str">
            <v/>
          </cell>
          <cell r="D886" t="str">
            <v/>
          </cell>
        </row>
        <row r="887">
          <cell r="C887" t="str">
            <v/>
          </cell>
          <cell r="D887" t="str">
            <v/>
          </cell>
        </row>
        <row r="888">
          <cell r="C888" t="str">
            <v/>
          </cell>
          <cell r="D888" t="str">
            <v/>
          </cell>
        </row>
        <row r="889">
          <cell r="C889" t="str">
            <v/>
          </cell>
          <cell r="D889" t="str">
            <v/>
          </cell>
        </row>
        <row r="890">
          <cell r="C890" t="str">
            <v/>
          </cell>
          <cell r="D890" t="str">
            <v/>
          </cell>
        </row>
        <row r="891">
          <cell r="C891" t="str">
            <v/>
          </cell>
          <cell r="D891" t="str">
            <v/>
          </cell>
        </row>
        <row r="892">
          <cell r="C892" t="str">
            <v/>
          </cell>
          <cell r="D892" t="str">
            <v/>
          </cell>
        </row>
        <row r="893">
          <cell r="C893" t="str">
            <v/>
          </cell>
          <cell r="D893" t="str">
            <v/>
          </cell>
        </row>
        <row r="894">
          <cell r="C894" t="str">
            <v/>
          </cell>
          <cell r="D894" t="str">
            <v/>
          </cell>
        </row>
        <row r="895">
          <cell r="C895" t="str">
            <v/>
          </cell>
          <cell r="D895" t="str">
            <v/>
          </cell>
        </row>
        <row r="896">
          <cell r="C896" t="str">
            <v/>
          </cell>
          <cell r="D896" t="str">
            <v/>
          </cell>
        </row>
        <row r="897">
          <cell r="C897" t="str">
            <v/>
          </cell>
          <cell r="D897" t="str">
            <v/>
          </cell>
        </row>
        <row r="898">
          <cell r="C898" t="str">
            <v/>
          </cell>
          <cell r="D898" t="str">
            <v/>
          </cell>
        </row>
        <row r="899">
          <cell r="C899" t="str">
            <v/>
          </cell>
          <cell r="D899" t="str">
            <v/>
          </cell>
        </row>
        <row r="900">
          <cell r="C900" t="str">
            <v/>
          </cell>
          <cell r="D900" t="str">
            <v/>
          </cell>
        </row>
        <row r="901">
          <cell r="C901" t="str">
            <v/>
          </cell>
          <cell r="D901" t="str">
            <v/>
          </cell>
        </row>
        <row r="902">
          <cell r="C902" t="str">
            <v/>
          </cell>
          <cell r="D902" t="str">
            <v/>
          </cell>
        </row>
        <row r="903">
          <cell r="C903" t="str">
            <v/>
          </cell>
          <cell r="D903" t="str">
            <v/>
          </cell>
        </row>
        <row r="904">
          <cell r="C904" t="str">
            <v/>
          </cell>
          <cell r="D904" t="str">
            <v/>
          </cell>
        </row>
        <row r="905">
          <cell r="C905" t="str">
            <v/>
          </cell>
          <cell r="D905" t="str">
            <v/>
          </cell>
        </row>
        <row r="906">
          <cell r="C906" t="str">
            <v/>
          </cell>
          <cell r="D906" t="str">
            <v/>
          </cell>
        </row>
        <row r="907">
          <cell r="C907" t="str">
            <v/>
          </cell>
          <cell r="D907" t="str">
            <v/>
          </cell>
        </row>
        <row r="908">
          <cell r="C908" t="str">
            <v/>
          </cell>
          <cell r="D908" t="str">
            <v/>
          </cell>
        </row>
        <row r="909">
          <cell r="C909" t="str">
            <v/>
          </cell>
          <cell r="D909" t="str">
            <v/>
          </cell>
        </row>
        <row r="910">
          <cell r="C910" t="str">
            <v/>
          </cell>
          <cell r="D910" t="str">
            <v/>
          </cell>
        </row>
        <row r="911">
          <cell r="C911" t="str">
            <v/>
          </cell>
          <cell r="D911" t="str">
            <v/>
          </cell>
        </row>
        <row r="912">
          <cell r="C912" t="str">
            <v/>
          </cell>
          <cell r="D912" t="str">
            <v/>
          </cell>
        </row>
        <row r="913">
          <cell r="C913" t="str">
            <v/>
          </cell>
          <cell r="D913" t="str">
            <v/>
          </cell>
        </row>
        <row r="914">
          <cell r="C914" t="str">
            <v/>
          </cell>
          <cell r="D914" t="str">
            <v/>
          </cell>
        </row>
        <row r="915">
          <cell r="C915" t="str">
            <v/>
          </cell>
          <cell r="D915" t="str">
            <v/>
          </cell>
        </row>
        <row r="916">
          <cell r="C916" t="str">
            <v/>
          </cell>
          <cell r="D916" t="str">
            <v/>
          </cell>
        </row>
        <row r="917">
          <cell r="C917" t="str">
            <v/>
          </cell>
          <cell r="D917" t="str">
            <v/>
          </cell>
        </row>
        <row r="918">
          <cell r="C918" t="str">
            <v/>
          </cell>
          <cell r="D918" t="str">
            <v/>
          </cell>
        </row>
        <row r="919">
          <cell r="C919" t="str">
            <v/>
          </cell>
          <cell r="D919" t="str">
            <v/>
          </cell>
        </row>
        <row r="920">
          <cell r="C920" t="str">
            <v/>
          </cell>
          <cell r="D920" t="str">
            <v/>
          </cell>
        </row>
        <row r="921">
          <cell r="C921" t="str">
            <v/>
          </cell>
          <cell r="D921" t="str">
            <v/>
          </cell>
        </row>
        <row r="922">
          <cell r="C922" t="str">
            <v/>
          </cell>
          <cell r="D922" t="str">
            <v/>
          </cell>
        </row>
        <row r="923">
          <cell r="C923" t="str">
            <v/>
          </cell>
          <cell r="D923" t="str">
            <v/>
          </cell>
        </row>
        <row r="924">
          <cell r="C924" t="str">
            <v/>
          </cell>
          <cell r="D924" t="str">
            <v/>
          </cell>
        </row>
        <row r="925">
          <cell r="C925" t="str">
            <v/>
          </cell>
          <cell r="D925" t="str">
            <v/>
          </cell>
        </row>
        <row r="926">
          <cell r="C926" t="str">
            <v/>
          </cell>
          <cell r="D926" t="str">
            <v/>
          </cell>
        </row>
        <row r="927">
          <cell r="C927" t="str">
            <v/>
          </cell>
          <cell r="D927" t="str">
            <v/>
          </cell>
        </row>
        <row r="928">
          <cell r="C928" t="str">
            <v/>
          </cell>
          <cell r="D928" t="str">
            <v/>
          </cell>
        </row>
        <row r="929">
          <cell r="C929" t="str">
            <v/>
          </cell>
          <cell r="D929" t="str">
            <v/>
          </cell>
        </row>
        <row r="930">
          <cell r="C930" t="str">
            <v/>
          </cell>
          <cell r="D930" t="str">
            <v/>
          </cell>
        </row>
        <row r="931">
          <cell r="C931" t="str">
            <v/>
          </cell>
          <cell r="D931" t="str">
            <v/>
          </cell>
        </row>
        <row r="932">
          <cell r="C932" t="str">
            <v/>
          </cell>
          <cell r="D932" t="str">
            <v/>
          </cell>
        </row>
        <row r="933">
          <cell r="C933" t="str">
            <v/>
          </cell>
          <cell r="D933" t="str">
            <v/>
          </cell>
        </row>
        <row r="934">
          <cell r="C934" t="str">
            <v/>
          </cell>
          <cell r="D934" t="str">
            <v/>
          </cell>
        </row>
        <row r="935">
          <cell r="C935" t="str">
            <v/>
          </cell>
          <cell r="D935" t="str">
            <v/>
          </cell>
        </row>
        <row r="936">
          <cell r="C936" t="str">
            <v/>
          </cell>
          <cell r="D936" t="str">
            <v/>
          </cell>
        </row>
        <row r="937">
          <cell r="C937" t="str">
            <v/>
          </cell>
          <cell r="D937" t="str">
            <v/>
          </cell>
        </row>
        <row r="938">
          <cell r="C938" t="str">
            <v/>
          </cell>
          <cell r="D938" t="str">
            <v/>
          </cell>
        </row>
        <row r="939">
          <cell r="C939" t="str">
            <v/>
          </cell>
          <cell r="D939" t="str">
            <v/>
          </cell>
        </row>
        <row r="940">
          <cell r="C940" t="str">
            <v/>
          </cell>
          <cell r="D940" t="str">
            <v/>
          </cell>
        </row>
        <row r="941">
          <cell r="C941" t="str">
            <v/>
          </cell>
          <cell r="D941" t="str">
            <v/>
          </cell>
        </row>
        <row r="942">
          <cell r="C942" t="str">
            <v/>
          </cell>
          <cell r="D942" t="str">
            <v/>
          </cell>
        </row>
        <row r="943">
          <cell r="C943" t="str">
            <v/>
          </cell>
          <cell r="D943" t="str">
            <v/>
          </cell>
        </row>
        <row r="944">
          <cell r="C944" t="str">
            <v/>
          </cell>
          <cell r="D944" t="str">
            <v/>
          </cell>
        </row>
        <row r="945">
          <cell r="C945" t="str">
            <v/>
          </cell>
          <cell r="D945" t="str">
            <v/>
          </cell>
        </row>
        <row r="946">
          <cell r="C946" t="str">
            <v/>
          </cell>
          <cell r="D946" t="str">
            <v/>
          </cell>
        </row>
        <row r="947">
          <cell r="C947" t="str">
            <v/>
          </cell>
          <cell r="D947" t="str">
            <v/>
          </cell>
        </row>
        <row r="948">
          <cell r="C948" t="str">
            <v/>
          </cell>
          <cell r="D948" t="str">
            <v/>
          </cell>
        </row>
        <row r="949">
          <cell r="C949" t="str">
            <v/>
          </cell>
          <cell r="D949" t="str">
            <v/>
          </cell>
        </row>
        <row r="950">
          <cell r="C950" t="str">
            <v/>
          </cell>
          <cell r="D950" t="str">
            <v/>
          </cell>
        </row>
        <row r="951">
          <cell r="C951" t="str">
            <v/>
          </cell>
          <cell r="D951" t="str">
            <v/>
          </cell>
        </row>
        <row r="952">
          <cell r="C952" t="str">
            <v/>
          </cell>
          <cell r="D952" t="str">
            <v/>
          </cell>
        </row>
        <row r="953">
          <cell r="C953" t="str">
            <v/>
          </cell>
          <cell r="D953" t="str">
            <v/>
          </cell>
        </row>
        <row r="954">
          <cell r="C954" t="str">
            <v/>
          </cell>
          <cell r="D954" t="str">
            <v/>
          </cell>
        </row>
        <row r="955">
          <cell r="C955" t="str">
            <v/>
          </cell>
          <cell r="D955" t="str">
            <v/>
          </cell>
        </row>
        <row r="956">
          <cell r="C956" t="str">
            <v/>
          </cell>
          <cell r="D956" t="str">
            <v/>
          </cell>
        </row>
        <row r="957">
          <cell r="C957" t="str">
            <v/>
          </cell>
          <cell r="D957" t="str">
            <v/>
          </cell>
        </row>
        <row r="958">
          <cell r="C958" t="str">
            <v/>
          </cell>
          <cell r="D958" t="str">
            <v/>
          </cell>
        </row>
        <row r="959">
          <cell r="C959" t="str">
            <v/>
          </cell>
          <cell r="D959" t="str">
            <v/>
          </cell>
        </row>
        <row r="960">
          <cell r="C960" t="str">
            <v/>
          </cell>
          <cell r="D960" t="str">
            <v/>
          </cell>
        </row>
        <row r="961">
          <cell r="C961" t="str">
            <v/>
          </cell>
          <cell r="D961" t="str">
            <v/>
          </cell>
        </row>
        <row r="962">
          <cell r="C962" t="str">
            <v/>
          </cell>
          <cell r="D962" t="str">
            <v/>
          </cell>
        </row>
        <row r="963">
          <cell r="C963" t="str">
            <v/>
          </cell>
          <cell r="D963" t="str">
            <v/>
          </cell>
        </row>
        <row r="964">
          <cell r="C964" t="str">
            <v/>
          </cell>
          <cell r="D964" t="str">
            <v/>
          </cell>
        </row>
        <row r="965">
          <cell r="C965" t="str">
            <v/>
          </cell>
          <cell r="D965" t="str">
            <v/>
          </cell>
        </row>
        <row r="966">
          <cell r="C966" t="str">
            <v/>
          </cell>
          <cell r="D966" t="str">
            <v/>
          </cell>
        </row>
        <row r="967">
          <cell r="C967" t="str">
            <v/>
          </cell>
          <cell r="D967" t="str">
            <v/>
          </cell>
        </row>
        <row r="968">
          <cell r="C968" t="str">
            <v/>
          </cell>
          <cell r="D968" t="str">
            <v/>
          </cell>
        </row>
        <row r="969">
          <cell r="C969" t="str">
            <v/>
          </cell>
          <cell r="D969" t="str">
            <v/>
          </cell>
        </row>
        <row r="970">
          <cell r="C970" t="str">
            <v/>
          </cell>
          <cell r="D970" t="str">
            <v/>
          </cell>
        </row>
        <row r="971">
          <cell r="C971" t="str">
            <v/>
          </cell>
          <cell r="D971" t="str">
            <v/>
          </cell>
        </row>
        <row r="972">
          <cell r="C972" t="str">
            <v/>
          </cell>
          <cell r="D972" t="str">
            <v/>
          </cell>
        </row>
        <row r="973">
          <cell r="C973" t="str">
            <v/>
          </cell>
          <cell r="D973" t="str">
            <v/>
          </cell>
        </row>
        <row r="974">
          <cell r="C974" t="str">
            <v/>
          </cell>
          <cell r="D974" t="str">
            <v/>
          </cell>
        </row>
        <row r="975">
          <cell r="C975" t="str">
            <v/>
          </cell>
          <cell r="D975" t="str">
            <v/>
          </cell>
        </row>
        <row r="976">
          <cell r="C976" t="str">
            <v/>
          </cell>
          <cell r="D976" t="str">
            <v/>
          </cell>
        </row>
        <row r="977">
          <cell r="C977" t="str">
            <v/>
          </cell>
          <cell r="D977" t="str">
            <v/>
          </cell>
        </row>
        <row r="978">
          <cell r="C978" t="str">
            <v/>
          </cell>
          <cell r="D978" t="str">
            <v/>
          </cell>
        </row>
        <row r="979">
          <cell r="C979" t="str">
            <v/>
          </cell>
          <cell r="D979" t="str">
            <v/>
          </cell>
        </row>
        <row r="980">
          <cell r="C980" t="str">
            <v/>
          </cell>
          <cell r="D980" t="str">
            <v/>
          </cell>
        </row>
        <row r="981">
          <cell r="C981" t="str">
            <v/>
          </cell>
          <cell r="D981" t="str">
            <v/>
          </cell>
        </row>
        <row r="982">
          <cell r="C982" t="str">
            <v/>
          </cell>
          <cell r="D982" t="str">
            <v/>
          </cell>
        </row>
        <row r="983">
          <cell r="C983" t="str">
            <v/>
          </cell>
          <cell r="D983" t="str">
            <v/>
          </cell>
        </row>
        <row r="984">
          <cell r="C984" t="str">
            <v/>
          </cell>
          <cell r="D984" t="str">
            <v/>
          </cell>
        </row>
        <row r="985">
          <cell r="C985" t="str">
            <v/>
          </cell>
          <cell r="D985" t="str">
            <v/>
          </cell>
        </row>
        <row r="986">
          <cell r="C986" t="str">
            <v/>
          </cell>
          <cell r="D986" t="str">
            <v/>
          </cell>
        </row>
        <row r="987">
          <cell r="C987" t="str">
            <v/>
          </cell>
          <cell r="D987" t="str">
            <v/>
          </cell>
        </row>
        <row r="988">
          <cell r="C988" t="str">
            <v/>
          </cell>
          <cell r="D988" t="str">
            <v/>
          </cell>
        </row>
        <row r="989">
          <cell r="C989" t="str">
            <v/>
          </cell>
          <cell r="D989" t="str">
            <v/>
          </cell>
        </row>
        <row r="990">
          <cell r="C990" t="str">
            <v/>
          </cell>
          <cell r="D990" t="str">
            <v/>
          </cell>
        </row>
        <row r="991">
          <cell r="C991" t="str">
            <v/>
          </cell>
          <cell r="D991" t="str">
            <v/>
          </cell>
        </row>
        <row r="992">
          <cell r="C992" t="str">
            <v/>
          </cell>
          <cell r="D992" t="str">
            <v/>
          </cell>
        </row>
        <row r="993">
          <cell r="C993" t="str">
            <v/>
          </cell>
          <cell r="D993" t="str">
            <v/>
          </cell>
        </row>
        <row r="994">
          <cell r="C994" t="str">
            <v/>
          </cell>
          <cell r="D994" t="str">
            <v/>
          </cell>
        </row>
        <row r="995">
          <cell r="C995" t="str">
            <v/>
          </cell>
          <cell r="D995" t="str">
            <v/>
          </cell>
        </row>
        <row r="996">
          <cell r="C996" t="str">
            <v/>
          </cell>
          <cell r="D996" t="str">
            <v/>
          </cell>
        </row>
        <row r="997">
          <cell r="C997" t="str">
            <v/>
          </cell>
          <cell r="D997" t="str">
            <v/>
          </cell>
        </row>
        <row r="998">
          <cell r="C998" t="str">
            <v/>
          </cell>
          <cell r="D998" t="str">
            <v/>
          </cell>
        </row>
        <row r="999">
          <cell r="C999" t="str">
            <v/>
          </cell>
          <cell r="D999" t="str">
            <v/>
          </cell>
        </row>
        <row r="1000">
          <cell r="C1000" t="str">
            <v/>
          </cell>
          <cell r="D1000" t="str">
            <v/>
          </cell>
        </row>
        <row r="1001">
          <cell r="C1001" t="str">
            <v/>
          </cell>
          <cell r="D1001" t="str">
            <v/>
          </cell>
        </row>
        <row r="1002">
          <cell r="C1002" t="str">
            <v/>
          </cell>
          <cell r="D1002" t="str">
            <v/>
          </cell>
        </row>
        <row r="1003">
          <cell r="C1003" t="str">
            <v/>
          </cell>
          <cell r="D1003" t="str">
            <v/>
          </cell>
        </row>
        <row r="1004">
          <cell r="C1004" t="str">
            <v/>
          </cell>
          <cell r="D1004" t="str">
            <v/>
          </cell>
        </row>
        <row r="1005">
          <cell r="C1005" t="str">
            <v/>
          </cell>
          <cell r="D1005" t="str">
            <v/>
          </cell>
        </row>
        <row r="1006">
          <cell r="C1006" t="str">
            <v/>
          </cell>
          <cell r="D1006" t="str">
            <v/>
          </cell>
        </row>
        <row r="1007">
          <cell r="C1007" t="str">
            <v/>
          </cell>
          <cell r="D1007" t="str">
            <v/>
          </cell>
        </row>
        <row r="1008">
          <cell r="C1008" t="str">
            <v/>
          </cell>
          <cell r="D1008" t="str">
            <v/>
          </cell>
        </row>
        <row r="1009">
          <cell r="C1009" t="str">
            <v/>
          </cell>
          <cell r="D1009" t="str">
            <v/>
          </cell>
        </row>
        <row r="1010">
          <cell r="C1010" t="str">
            <v/>
          </cell>
          <cell r="D1010" t="str">
            <v/>
          </cell>
        </row>
        <row r="1011">
          <cell r="C1011" t="str">
            <v/>
          </cell>
          <cell r="D1011" t="str">
            <v/>
          </cell>
        </row>
        <row r="1012">
          <cell r="C1012" t="str">
            <v/>
          </cell>
          <cell r="D1012" t="str">
            <v/>
          </cell>
        </row>
        <row r="1013">
          <cell r="C1013" t="str">
            <v/>
          </cell>
          <cell r="D1013" t="str">
            <v/>
          </cell>
        </row>
        <row r="1014">
          <cell r="C1014" t="str">
            <v/>
          </cell>
          <cell r="D1014" t="str">
            <v/>
          </cell>
        </row>
        <row r="1015">
          <cell r="C1015" t="str">
            <v/>
          </cell>
          <cell r="D1015" t="str">
            <v/>
          </cell>
        </row>
        <row r="1016">
          <cell r="C1016" t="str">
            <v/>
          </cell>
          <cell r="D1016" t="str">
            <v/>
          </cell>
        </row>
        <row r="1017">
          <cell r="C1017" t="str">
            <v/>
          </cell>
          <cell r="D1017" t="str">
            <v/>
          </cell>
        </row>
        <row r="1018">
          <cell r="C1018" t="str">
            <v/>
          </cell>
          <cell r="D1018" t="str">
            <v/>
          </cell>
        </row>
        <row r="1019">
          <cell r="C1019" t="str">
            <v/>
          </cell>
          <cell r="D1019" t="str">
            <v/>
          </cell>
        </row>
        <row r="1020">
          <cell r="C1020" t="str">
            <v/>
          </cell>
          <cell r="D1020" t="str">
            <v/>
          </cell>
        </row>
        <row r="1021">
          <cell r="C1021" t="str">
            <v/>
          </cell>
          <cell r="D1021" t="str">
            <v/>
          </cell>
        </row>
        <row r="1022">
          <cell r="C1022" t="str">
            <v/>
          </cell>
          <cell r="D1022" t="str">
            <v/>
          </cell>
        </row>
        <row r="1023">
          <cell r="C1023" t="str">
            <v/>
          </cell>
          <cell r="D1023" t="str">
            <v/>
          </cell>
        </row>
        <row r="1024">
          <cell r="C1024" t="str">
            <v/>
          </cell>
          <cell r="D1024" t="str">
            <v/>
          </cell>
        </row>
        <row r="1025">
          <cell r="C1025" t="str">
            <v/>
          </cell>
          <cell r="D1025" t="str">
            <v/>
          </cell>
        </row>
        <row r="1026">
          <cell r="C1026" t="str">
            <v/>
          </cell>
          <cell r="D1026" t="str">
            <v/>
          </cell>
        </row>
        <row r="1027">
          <cell r="C1027" t="str">
            <v/>
          </cell>
          <cell r="D1027" t="str">
            <v/>
          </cell>
        </row>
        <row r="1028">
          <cell r="C1028" t="str">
            <v/>
          </cell>
          <cell r="D1028" t="str">
            <v/>
          </cell>
        </row>
        <row r="1029">
          <cell r="C1029" t="str">
            <v/>
          </cell>
          <cell r="D1029" t="str">
            <v/>
          </cell>
        </row>
        <row r="1030">
          <cell r="C1030" t="str">
            <v/>
          </cell>
          <cell r="D1030" t="str">
            <v/>
          </cell>
        </row>
        <row r="1031">
          <cell r="C1031" t="str">
            <v/>
          </cell>
          <cell r="D1031" t="str">
            <v/>
          </cell>
        </row>
        <row r="1032">
          <cell r="C1032" t="str">
            <v/>
          </cell>
          <cell r="D1032" t="str">
            <v/>
          </cell>
        </row>
        <row r="1033">
          <cell r="C1033" t="str">
            <v/>
          </cell>
          <cell r="D1033" t="str">
            <v/>
          </cell>
        </row>
        <row r="1034">
          <cell r="C1034" t="str">
            <v/>
          </cell>
          <cell r="D1034" t="str">
            <v/>
          </cell>
        </row>
        <row r="1035">
          <cell r="C1035" t="str">
            <v/>
          </cell>
          <cell r="D1035" t="str">
            <v/>
          </cell>
        </row>
        <row r="1036">
          <cell r="C1036" t="str">
            <v/>
          </cell>
          <cell r="D1036" t="str">
            <v/>
          </cell>
        </row>
        <row r="1037">
          <cell r="C1037" t="str">
            <v/>
          </cell>
          <cell r="D1037" t="str">
            <v/>
          </cell>
        </row>
        <row r="1038">
          <cell r="C1038" t="str">
            <v/>
          </cell>
          <cell r="D1038" t="str">
            <v/>
          </cell>
        </row>
        <row r="1039">
          <cell r="C1039" t="str">
            <v/>
          </cell>
          <cell r="D1039" t="str">
            <v/>
          </cell>
        </row>
        <row r="1040">
          <cell r="C1040" t="str">
            <v/>
          </cell>
          <cell r="D1040" t="str">
            <v/>
          </cell>
        </row>
        <row r="1041">
          <cell r="C1041" t="str">
            <v/>
          </cell>
          <cell r="D1041" t="str">
            <v/>
          </cell>
        </row>
        <row r="1042">
          <cell r="C1042" t="str">
            <v/>
          </cell>
          <cell r="D1042" t="str">
            <v/>
          </cell>
        </row>
        <row r="1043">
          <cell r="C1043" t="str">
            <v/>
          </cell>
          <cell r="D1043" t="str">
            <v/>
          </cell>
        </row>
        <row r="1044">
          <cell r="C1044" t="str">
            <v/>
          </cell>
          <cell r="D1044" t="str">
            <v/>
          </cell>
        </row>
        <row r="1045">
          <cell r="C1045" t="str">
            <v/>
          </cell>
          <cell r="D1045" t="str">
            <v/>
          </cell>
        </row>
        <row r="1046">
          <cell r="C1046" t="str">
            <v/>
          </cell>
          <cell r="D1046" t="str">
            <v/>
          </cell>
        </row>
        <row r="1047">
          <cell r="C1047" t="str">
            <v/>
          </cell>
          <cell r="D1047" t="str">
            <v/>
          </cell>
        </row>
        <row r="1048">
          <cell r="C1048" t="str">
            <v/>
          </cell>
          <cell r="D1048" t="str">
            <v/>
          </cell>
        </row>
        <row r="1049">
          <cell r="C1049" t="str">
            <v/>
          </cell>
          <cell r="D1049" t="str">
            <v/>
          </cell>
        </row>
        <row r="1050">
          <cell r="C1050" t="str">
            <v/>
          </cell>
          <cell r="D1050" t="str">
            <v/>
          </cell>
        </row>
        <row r="1051">
          <cell r="C1051" t="str">
            <v/>
          </cell>
          <cell r="D1051" t="str">
            <v/>
          </cell>
        </row>
        <row r="1052">
          <cell r="C1052" t="str">
            <v/>
          </cell>
          <cell r="D1052" t="str">
            <v/>
          </cell>
        </row>
        <row r="1053">
          <cell r="C1053" t="str">
            <v/>
          </cell>
          <cell r="D1053" t="str">
            <v/>
          </cell>
        </row>
        <row r="1054">
          <cell r="C1054" t="str">
            <v/>
          </cell>
          <cell r="D1054" t="str">
            <v/>
          </cell>
        </row>
        <row r="1055">
          <cell r="C1055" t="str">
            <v/>
          </cell>
          <cell r="D1055" t="str">
            <v/>
          </cell>
        </row>
        <row r="1056">
          <cell r="C1056" t="str">
            <v/>
          </cell>
          <cell r="D1056" t="str">
            <v/>
          </cell>
        </row>
        <row r="1057">
          <cell r="C1057" t="str">
            <v/>
          </cell>
          <cell r="D1057" t="str">
            <v/>
          </cell>
        </row>
        <row r="1058">
          <cell r="C1058" t="str">
            <v/>
          </cell>
          <cell r="D1058" t="str">
            <v/>
          </cell>
        </row>
        <row r="1059">
          <cell r="C1059" t="str">
            <v/>
          </cell>
          <cell r="D1059" t="str">
            <v/>
          </cell>
        </row>
        <row r="1060">
          <cell r="C1060" t="str">
            <v/>
          </cell>
          <cell r="D1060" t="str">
            <v/>
          </cell>
        </row>
        <row r="1061">
          <cell r="C1061" t="str">
            <v/>
          </cell>
          <cell r="D1061" t="str">
            <v/>
          </cell>
        </row>
        <row r="1062">
          <cell r="C1062" t="str">
            <v/>
          </cell>
          <cell r="D1062" t="str">
            <v/>
          </cell>
        </row>
        <row r="1063">
          <cell r="C1063" t="str">
            <v/>
          </cell>
          <cell r="D1063" t="str">
            <v/>
          </cell>
        </row>
        <row r="1064">
          <cell r="C1064" t="str">
            <v/>
          </cell>
          <cell r="D1064" t="str">
            <v/>
          </cell>
        </row>
        <row r="1065">
          <cell r="C1065" t="str">
            <v/>
          </cell>
          <cell r="D1065" t="str">
            <v/>
          </cell>
        </row>
        <row r="1066">
          <cell r="C1066" t="str">
            <v/>
          </cell>
          <cell r="D1066" t="str">
            <v/>
          </cell>
        </row>
        <row r="1067">
          <cell r="C1067" t="str">
            <v/>
          </cell>
          <cell r="D1067" t="str">
            <v/>
          </cell>
        </row>
        <row r="1068">
          <cell r="C1068" t="str">
            <v/>
          </cell>
          <cell r="D1068" t="str">
            <v/>
          </cell>
        </row>
        <row r="1069">
          <cell r="C1069" t="str">
            <v/>
          </cell>
          <cell r="D1069" t="str">
            <v/>
          </cell>
        </row>
        <row r="1070">
          <cell r="C1070" t="str">
            <v/>
          </cell>
          <cell r="D1070" t="str">
            <v/>
          </cell>
        </row>
        <row r="1071">
          <cell r="C1071" t="str">
            <v/>
          </cell>
          <cell r="D1071" t="str">
            <v/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224.358858564818" createdVersion="8" refreshedVersion="8" minRefreshableVersion="3" recordCount="240" xr:uid="{3502B401-45A7-4AA7-AE3A-319350E2E9ED}">
  <cacheSource type="worksheet">
    <worksheetSource ref="A1:C1048576" sheet="退現"/>
  </cacheSource>
  <cacheFields count="3">
    <cacheField name="日期" numFmtId="0">
      <sharedItems containsNonDate="0" containsDate="1" containsString="0" containsBlank="1" minDate="2026-07-01T00:00:00" maxDate="2026-07-21T00:00:00" count="14">
        <d v="2026-07-01T00:00:00"/>
        <d v="2026-07-02T00:00:00"/>
        <d v="2026-07-03T00:00:00"/>
        <d v="2026-07-06T00:00:00"/>
        <d v="2026-07-07T00:00:00"/>
        <d v="2026-07-08T00:00:00"/>
        <d v="2026-07-09T00:00:00"/>
        <d v="2026-07-13T00:00:00"/>
        <d v="2026-07-14T00:00:00"/>
        <d v="2026-07-15T00:00:00"/>
        <d v="2026-07-16T00:00:00"/>
        <d v="2026-07-17T00:00:00"/>
        <d v="2026-07-20T00:00:00"/>
        <m/>
      </sharedItems>
    </cacheField>
    <cacheField name="批號" numFmtId="0">
      <sharedItems containsBlank="1" count="1248">
        <s v="FD2F1YL2"/>
        <s v="FD2F4311"/>
        <s v="FD2F4361"/>
        <s v="FD2G4361"/>
        <s v="FD2F4551"/>
        <s v="FD2F4581"/>
        <s v="FD2G4551"/>
        <s v="FD2FZ7430"/>
        <s v="FD2F28X2T"/>
        <s v="FD2FM3G2"/>
        <s v="FD2FDW71"/>
        <s v="FD2G41V2"/>
        <s v="FD2F28Z2"/>
        <s v="FD2F4541"/>
        <s v="FD2F4571"/>
        <s v="FD2G4571"/>
        <s v="FD2G4541"/>
        <s v="FD2F4021"/>
        <s v="FD2G4021"/>
        <s v="FD2F4591"/>
        <s v="FD2F4481"/>
        <s v="FD2G4481"/>
        <s v="FD2F4081"/>
        <s v="FD2G4081"/>
        <s v="FD2FDW51"/>
        <s v="FD2F4561"/>
        <s v="FD2G4561"/>
        <s v="FD2F4641"/>
        <s v="FD2F30372"/>
        <s v="FD2F1YX2"/>
        <s v="FD2G43S2"/>
        <s v="FD2F1V62"/>
        <s v="FD2F0RI5"/>
        <s v="FD2F1FP2R"/>
        <s v="FD2F1J81"/>
        <s v="FD2F27L2"/>
        <s v="FD2F7UB0"/>
        <s v="FD2G07M2"/>
        <s v="FDLF1042"/>
        <s v="FD2F1TY2R"/>
        <s v="FD2F1VL2R"/>
        <s v="FD2F1WV2"/>
        <s v="FD2F41M1"/>
        <s v="FD2F7D02"/>
        <s v="FD2FZ7440"/>
        <s v="FDLF1042R"/>
        <s v="FD2F6IU2K"/>
        <s v="FD2F6IM2K"/>
        <s v="FD2F6IV2K"/>
        <s v="FD2FM232"/>
        <s v="FD2G1TB2"/>
        <s v="FD2F1IF2R"/>
        <s v="FD2F1IY2"/>
        <s v="FD2F1QV2"/>
        <s v="FD2F1TC3"/>
        <s v="FD2F1TN2"/>
        <s v="FD2F1TX2"/>
        <s v="FD2F1TZ2"/>
        <s v="FD2F1YJ2"/>
        <s v="FD2F1YM2"/>
        <s v="FD2F28F2T"/>
        <s v="FD2F3SI2R"/>
        <s v="FD2F40M2R"/>
        <s v="FD2F41V2"/>
        <s v="FD2F42H2"/>
        <s v="FD2F7LS2"/>
        <s v="FD2FM0952"/>
        <s v="FD2FM1B2T"/>
        <s v="FD2FM3B2"/>
        <s v="FD2F30642"/>
        <s v="FD2F41L3"/>
        <s v="FD2F43R2"/>
        <s v="FD2F6IT2K"/>
        <s v="FD2F6GY2"/>
        <s v="FD2F43S2"/>
        <s v="FD2G08N2"/>
        <s v="FD2G08N8"/>
        <s v="FD2G1IU2"/>
        <s v="FD2G1IY2"/>
        <s v="FD2G1JA2"/>
        <s v="FD2G1TN2"/>
        <s v="FD2G1TX2"/>
        <s v="FD2G1TZ2"/>
        <s v="FD2G1VC2"/>
        <s v="FD2G1WK2"/>
        <s v="FD2G1YA8"/>
        <s v="FD2G1YF8"/>
        <s v="FD2G1YJ2"/>
        <s v="FD2G28H2"/>
        <s v="FD2G28W1"/>
        <s v="FD2G28X8"/>
        <s v="FD2G3VN2"/>
        <s v="FD2G41G8"/>
        <s v="FD2G41P2"/>
        <s v="FD2G41X2"/>
        <s v="FD2G42B2"/>
        <s v="FD2G42H2"/>
        <s v="FD2G77T3"/>
        <s v="FD2G79F2"/>
        <s v="FD2G7LS2"/>
        <s v="FD2FM2Q2"/>
        <s v="FD2FM2P1"/>
        <s v="FD2FM2N2"/>
        <s v="FD2F6FR2"/>
        <s v="FD2FM802"/>
        <s v="FD2FM792"/>
        <s v="FD2FM3E2"/>
        <s v="FD2FM3D2"/>
        <s v="FD2FM3C2"/>
        <s v="FD2FM2V2"/>
        <s v="FD2FM2W2"/>
        <s v="FD2FM2U2"/>
        <s v="FD2F41P2"/>
        <s v="FD2FM812"/>
        <s v="FD2GM3B2"/>
        <s v="FD2GM2Z2"/>
        <s v="FD2GM2Y2"/>
        <s v="FD2GM2T2"/>
        <s v="FD2FM5H2"/>
        <s v="FD2G42P2"/>
        <s v="FD2F25R2"/>
        <s v="FD2F30322"/>
        <s v="FD2G1YH8"/>
        <s v="FD2G28F8"/>
        <s v="FD2G28Z8"/>
        <s v="FD2G41V8"/>
        <s v="FD2G41X8"/>
        <s v="FD2G7UB8"/>
        <s v="FD2F43P2"/>
        <s v="FD2G08T2"/>
        <s v="FD2F6RP2"/>
        <s v="FD2F6IS2K"/>
        <s v="FD2GA001"/>
        <m/>
        <s v="FD2F7UC2" u="1"/>
        <s v="FD2F42L2" u="1"/>
        <s v="FD2F08C2" u="1"/>
        <s v="FD2F1VN2R" u="1"/>
        <s v="FD2F27X2R" u="1"/>
        <s v="FD2F3VT2" u="1"/>
        <s v="FD2F3VU2" u="1"/>
        <s v="FD2F41G2R" u="1"/>
        <s v="FD2F4993R" u="1"/>
        <s v="FD2F7B22" u="1"/>
        <s v="FD2F7LN2C" u="1"/>
        <s v="FD2FM0950" u="1"/>
        <s v="FD2F08M2" u="1"/>
        <s v="FD2F1HK2U" u="1"/>
        <s v="FD2F1QY2R" u="1"/>
        <s v="FD2F1WD2" u="1"/>
        <s v="FD2F29C2G" u="1"/>
        <s v="FD2F60292" u="1"/>
        <s v="FD2F7LK2B" u="1"/>
        <s v="FD2F1YG2" u="1"/>
        <s v="FD2FM2L2" u="1"/>
        <s v="FD2FM2J2" u="1"/>
        <s v="FD2FM2H2" u="1"/>
        <s v="FD2FM1H2" u="1"/>
        <s v="FD2GM2K2" u="1"/>
        <s v="FD2GM2I3" u="1"/>
        <s v="FD2GM2A2" u="1"/>
        <s v="FD2F1GF2S" u="1"/>
        <s v="FD2F1TL2G" u="1"/>
        <s v="FD2F1VU2R" u="1"/>
        <s v="FD2F1VW2" u="1"/>
        <s v="FD2F1YB2" u="1"/>
        <s v="FD2F28R2T" u="1"/>
        <s v="FD2F28V2G" u="1"/>
        <s v="FD2F7LN2B" u="1"/>
        <s v="FD2G28C2F" u="1"/>
        <s v="FD2F40M2" u="1"/>
        <s v="FD2G06L2" u="1"/>
        <s v="FD2G41U2" u="1"/>
        <s v="FD2G7C93" u="1"/>
        <s v="FD2G7LM2" u="1"/>
        <s v="FD2G7LP2" u="1"/>
        <s v="FD2FM4A2" u="1"/>
        <s v="FD2F60262" u="1"/>
        <s v="FD2F60212" u="1"/>
        <s v="FD2G28U2" u="1"/>
        <s v="FD2F6IB1" u="1"/>
        <s v="FD2F9VH2" u="1"/>
        <s v="FD2G07K2" u="1"/>
        <s v="FD2G1IQ2" u="1"/>
        <s v="FD2G1PV2" u="1"/>
        <s v="FD2G1YB8" u="1"/>
        <s v="FD2G1YL8" u="1"/>
        <s v="FD2G26Q2" u="1"/>
        <s v="FD2G28V2" u="1"/>
        <s v="FD2F6IH2K" u="1"/>
        <s v="FD2F43F1" u="1"/>
        <s v="FD2F6IL2K" u="1"/>
        <s v="FD2F6FJ3" u="1"/>
        <s v="FD2F29F2G" u="1"/>
        <s v="FD2G550C" u="1"/>
        <s v="FD8G570C" u="1"/>
        <s v="FD2F1SY2R" u="1"/>
        <s v="FD2F6IF2K" u="1"/>
        <s v="FD2F29D2G" u="1"/>
        <s v="FD2G6GT2" u="1"/>
        <s v="FD2GA052" u="1"/>
        <s v="FD2F7D42" u="1"/>
        <s v="FD2F6IN2K" u="1"/>
        <s v="FD2F6IQ2" u="1"/>
        <s v="FD2G42U2" u="1"/>
        <s v="FD2F1PW2" u="1"/>
        <s v="FD2F1SK2" u="1"/>
        <s v="FD2F1YB2R" u="1"/>
        <s v="FD2F1YC2" u="1"/>
        <s v="FD2F26Z2" u="1"/>
        <s v="FD2F28F2R" u="1"/>
        <s v="FD2F28V2" u="1"/>
        <s v="FD2G50541X" u="1"/>
        <s v="FD2G6ID2" u="1"/>
        <s v="FD2F7D93K" u="1"/>
        <s v="FD2G1YR2" u="1"/>
        <s v="FD2G6GR2" u="1"/>
        <s v="FD2F42I2" u="1"/>
        <s v="FD2G6IN2" u="1"/>
        <s v="FD2G43F1" u="1"/>
        <s v="FD2G3XC2" u="1"/>
        <s v="FD2F7E03K" u="1"/>
        <s v="FD2FM0K2" u="1"/>
        <s v="FD2F6EL1" u="1"/>
        <s v="FD2FM3S2" u="1"/>
        <s v="FD2F1TB2" u="1"/>
        <s v="FD2FA023" u="1"/>
        <s v="FD2G6GW2" u="1"/>
        <s v="FD2F43C2" u="1"/>
        <s v="FD2F6GT2K" u="1"/>
        <s v="FD2F6ID2" u="1"/>
        <s v="FD2FM3V2" u="1"/>
        <s v="FD2F29G1" u="1"/>
        <s v="FD2F41D2" u="1"/>
        <s v="FD2F42T2K" u="1"/>
        <s v="FD2F43I1" u="1"/>
        <s v="FD2F6GA3" u="1"/>
        <s v="FD2F6EZ1" u="1"/>
        <s v="FD2F6FC3" u="1"/>
        <s v="FD2FA042" u="1"/>
        <s v="FD2F1YR2" u="1"/>
        <s v="FD2FM4C2" u="1"/>
        <s v="FD2G42J2" u="1"/>
        <s v="FD2G42L2" u="1"/>
        <s v="FD2F6GZ3" u="1"/>
        <s v="FD2F6IG2K" u="1"/>
        <s v="FD2F05P2" u="1"/>
        <s v="FD2F26W2G" u="1"/>
        <s v="FD2F41R1" u="1"/>
        <s v="FD2F78V2" u="1"/>
        <s v="FD2F7C71" u="1"/>
        <s v="FD2G7C71" u="1"/>
        <s v="FD2G29I1" u="1"/>
        <s v="FD2F08I1" u="1"/>
        <s v="FD2F28Q2R" u="1"/>
        <s v="FD2F3IL12" u="1"/>
        <s v="FD2F6IE2K" u="1"/>
        <s v="FD2F6GW2K" u="1"/>
        <s v="FD2F60251" u="1"/>
        <s v="FD2F43E2" u="1"/>
        <s v="FD2GA042" u="1"/>
        <s v="FD2FM0T2" u="1"/>
        <s v="FD2G7D93" u="1"/>
        <s v="FD2F43L2K" u="1"/>
        <s v="FD2G60181X" u="1"/>
        <s v="FD2G6GQ8" u="1"/>
        <s v="FD2F3EA1G" u="1"/>
        <s v="FD2F43K2K" u="1"/>
        <s v="FD2G06N2" u="1"/>
        <s v="FD2G1PX2" u="1"/>
        <s v="FD2G1WC2" u="1"/>
        <s v="FD2G41Q2" u="1"/>
        <s v="FD2G41R1" u="1"/>
        <s v="FD2G7LQ2" u="1"/>
        <s v="FD2F08J2" u="1"/>
        <s v="FD2F3VR2" u="1"/>
        <s v="FD2F27Q2R" u="1"/>
        <s v="FD2F1VG2R" u="1"/>
        <s v="FD2F26G2" u="1"/>
        <s v="FD2F41I2R" u="1"/>
        <s v="FD2F1T82" u="1"/>
        <s v="FD2F1XV2" u="1"/>
        <s v="FD2F6FD1" u="1"/>
        <s v="FD2FM602" u="1"/>
        <s v="FD2FM542" u="1"/>
        <s v="FD2FM501" u="1"/>
        <s v="FD2FM492" u="1"/>
        <s v="FD2FM471" u="1"/>
        <s v="FD2FM453" u="1"/>
        <s v="FD2FM422" u="1"/>
        <s v="FD2FM412" u="1"/>
        <s v="FD2FM392" u="1"/>
        <s v="FD2FM362" u="1"/>
        <s v="FD2FM322" u="1"/>
        <s v="FD2FM0U2" u="1"/>
        <s v="FD2FM0S2" u="1"/>
        <s v="FD2FM0Q2" u="1"/>
        <s v="FD2FM0L2" u="1"/>
        <s v="FD2FM0K2S" u="1"/>
        <s v="FD2F9PU2" u="1"/>
        <s v="FD2F9NB2" u="1"/>
        <s v="FD2F79J2" u="1"/>
        <s v="FD2GM0J2" u="1"/>
        <s v="FD2GM0K2" u="1"/>
        <s v="FD2G9UD2" u="1"/>
        <s v="FD2G9TW2" u="1"/>
        <s v="FD2G7UA0" u="1"/>
        <s v="FD2GM453" u="1"/>
        <s v="FD2GM402" u="1"/>
        <s v="FD2GM392" u="1"/>
        <s v="FD2GM382" u="1"/>
        <s v="FD2GM0U2" u="1"/>
        <s v="FD2GM0P2" u="1"/>
        <s v="FD2G79J2F" u="1"/>
        <s v="FD2G08F2" u="1"/>
        <s v="FD2G7A98" u="1"/>
        <s v="FD2G7B38" u="1"/>
        <s v="FD2F08A2" u="1"/>
        <s v="FD2F1XU2" u="1"/>
        <s v="FD2F9UK2" u="1"/>
        <s v="FD2F9TT3" u="1"/>
        <s v="FD2F9ST3" u="1"/>
        <s v="FD2F9SM2" u="1"/>
        <s v="FD2F9RQ2" u="1"/>
        <s v="FD2FM2F2" u="1"/>
        <s v="FD2FM2C2" u="1"/>
        <s v="FD2FM291" u="1"/>
        <s v="FD2FM272" u="1"/>
        <s v="FD2FM0Z2" u="1"/>
        <s v="FD2FM0Y2" u="1"/>
        <s v="FD2FM0X2" u="1"/>
        <s v="FD2FM0V2" u="1"/>
        <s v="FD2FM691" u="1"/>
        <s v="FD2FM682" u="1"/>
        <s v="FD2FM652" u="1"/>
        <s v="FD2FM641" u="1"/>
        <s v="FD2FM612" u="1"/>
        <s v="FD2F1FP2" u="1"/>
        <s v="FD2F1IQ2" u="1"/>
        <s v="FD2F1N52R" u="1"/>
        <s v="FD2F1PL2" u="1"/>
        <s v="FD2F1TH2" u="1"/>
        <s v="FD2F1YB2G" u="1"/>
        <s v="FD2F28N2T" u="1"/>
        <s v="FD2F28R2R" u="1"/>
        <s v="FD2F6UF0" u="1"/>
        <s v="FD2G28C2" u="1"/>
        <s v="FD2G29A2" u="1"/>
        <s v="FD2F05W2" u="1"/>
        <s v="FD2F07R2" u="1"/>
        <s v="FD2F1ET2R" u="1"/>
        <s v="FD2F1HP2" u="1"/>
        <s v="FD2F78L9" u="1"/>
        <s v="FD2FM081" u="1"/>
        <s v="FD2FM382" u="1"/>
        <s v="FD2G05W2" u="1"/>
        <s v="FD2G08L2" u="1"/>
        <s v="FD2G1WD2" u="1"/>
        <s v="FD2G28E2" u="1"/>
        <s v="FD2G41R8" u="1"/>
        <s v="FD2G79N2" u="1"/>
        <s v="FD2G7A92" u="1"/>
        <s v="FD2G7LK0" u="1"/>
        <s v="FD2G7LW2" u="1"/>
        <s v="FD2F1ES2R" u="1"/>
        <s v="FD2F41S3" u="1"/>
        <s v="FD2G43M1" u="1"/>
        <s v="FD2FM0J2" u="1"/>
        <s v="FD2FM0F2" u="1"/>
        <s v="FD2G6IH2" u="1"/>
        <s v="FD2F41Q2" u="1"/>
        <s v="FD2F9TN3" u="1"/>
        <s v="FD2F1WT2" u="1"/>
        <s v="FD2G08M2" u="1"/>
        <s v="FD2F28N2R" u="1"/>
        <s v="FD2F42B2K" u="1"/>
        <s v="FD2G9VI1" u="1"/>
        <s v="FD2G6GZ3" u="1"/>
        <s v="FD2FM3I2" u="1"/>
        <s v="FD2FM2A2" u="1"/>
        <s v="FD2F79B2" u="1"/>
        <s v="FD2FM993" u="1"/>
        <s v="FD2FM0B1" u="1"/>
        <s v="FD2FM0A1" u="1"/>
        <s v="FD2F9TR3" u="1"/>
        <s v="FD2F9TI2" u="1"/>
        <s v="FD2F9TG2" u="1"/>
        <s v="FD2F9SF3" u="1"/>
        <s v="FD2F05V2" u="1"/>
        <s v="FD2F06L0" u="1"/>
        <s v="FD2F06Y2A" u="1"/>
        <s v="FD2F1PX2" u="1"/>
        <s v="FD2F1VJ2" u="1"/>
        <s v="FD2F40Y2R" u="1"/>
        <s v="FD2F79C2" u="1"/>
        <s v="FD2F7UA5" u="1"/>
        <s v="FD2F9TH1" u="1"/>
        <s v="FD2F78Y2" u="1"/>
        <s v="FD2F79N2" u="1"/>
        <s v="FD2F7A32" u="1"/>
        <s v="FD2F7C62" u="1"/>
        <s v="FD2F7LI2C" u="1"/>
        <s v="FD2F7LX2" u="1"/>
        <s v="FD2G07B2" u="1"/>
        <s v="FD2G07W1" u="1"/>
        <s v="FD2G1SK2" u="1"/>
        <s v="FD2G1XU2" u="1"/>
        <s v="FD2G1ZF1" u="1"/>
        <s v="FD2G27B2" u="1"/>
        <s v="FD2G27L2" u="1"/>
        <s v="FD2G28S1" u="1"/>
        <s v="FD2G41B2F" u="1"/>
        <s v="FD2G79B2" u="1"/>
        <s v="FD2G79L21" u="1"/>
        <s v="FD2G7C43" u="1"/>
        <s v="FD2G7C82" u="1"/>
        <s v="FD5G1TC3" u="1"/>
        <s v="FD2G1YY2" u="1"/>
        <s v="FD2F1PR2" u="1"/>
        <s v="FD2F1XK2" u="1"/>
        <s v="FD2F21Z2R" u="1"/>
        <s v="FD2F40Z2R" u="1"/>
        <s v="FD2F4242R" u="1"/>
        <s v="FD2G29F2" u="1"/>
        <s v="FD2F04M1" u="1"/>
        <s v="FD2F05H2" u="1"/>
        <s v="FD2F3DU2" u="1"/>
        <s v="FD2F42S2K" u="1"/>
        <s v="FD2F79Q2" u="1"/>
        <s v="FD2F6FU2K" u="1"/>
        <s v="FD2F1YP2" u="1"/>
        <s v="FD2F1YH2" u="1"/>
        <s v="FD2F6DR1" u="1"/>
        <s v="FD2F1AY2" u="1"/>
        <s v="FD2F1JZ1" u="1"/>
        <s v="FD2F23I2U" u="1"/>
        <s v="FD2F3BY2" u="1"/>
        <s v="FD2F6D82" u="1"/>
        <s v="FD2F7UA0" u="1"/>
        <s v="FD2F1EF2R" u="1"/>
        <s v="FD2F3S82" u="1"/>
        <s v="FD2F60181" u="1"/>
        <s v="FD2F7A71K" u="1"/>
        <s v="FD2FZ8010" u="1"/>
        <s v="FD2F6FV2K" u="1"/>
        <s v="FD2F08N2" u="1"/>
        <s v="FD2F1X02R" u="1"/>
        <s v="FD2F07W1" u="1"/>
        <s v="FD2F07V2" u="1"/>
        <s v="FD2F08K3" u="1"/>
        <s v="FD2F08L2" u="1"/>
        <s v="FD2F1XY2" u="1"/>
        <s v="FD2F24P2" u="1"/>
        <s v="FD2F28A2T" u="1"/>
        <s v="FD2F41B2R" u="1"/>
        <s v="FD2F4993" u="1"/>
        <s v="FD2F7C82" u="1"/>
        <s v="FD2F6FN3" u="1"/>
        <s v="FD2F42Z2" u="1"/>
        <s v="FD2F29I1" u="1"/>
        <s v="FD2G42Q1" u="1"/>
        <s v="FD2F1BP2" u="1"/>
        <s v="FD2F7D63K" u="1"/>
        <s v="FD2F1XM2" u="1"/>
        <s v="FD2F1YL2R" u="1"/>
        <s v="FD2F28W1" u="1"/>
        <s v="FD2F28Y1" u="1"/>
        <s v="FD2F29A2G" u="1"/>
        <s v="FD2F60082" u="1"/>
        <s v="FD2F6Z01A" u="1"/>
        <s v="FD2F7D53K" u="1"/>
        <s v="FD2G28Y1" u="1"/>
        <s v="FD2F07M2A" u="1"/>
        <s v="FD2G7A71" u="1"/>
        <s v="FD2G29E2" u="1"/>
        <s v="FD2G28M2" u="1"/>
        <s v="FD2G6FV2" u="1"/>
        <s v="FD2G6GN2" u="1"/>
        <s v="FD2F01G2" u="1"/>
        <s v="FD2F03S2" u="1"/>
        <s v="FD2F07G2G" u="1"/>
        <s v="FD2F18Q2" u="1"/>
        <s v="FD2F7LK2C" u="1"/>
        <s v="FD2G29H2" u="1"/>
        <s v="FD2G05K2" u="1"/>
        <s v="FD2G07G2" u="1"/>
        <s v="FD2G07V2" u="1"/>
        <s v="FD2G1PA2" u="1"/>
        <s v="FD2G29B1" u="1"/>
        <s v="FD2G2ZA2" u="1"/>
        <s v="FD2G4982" u="1"/>
        <s v="FD2G7LK5" u="1"/>
        <s v="FD2G7LL2" u="1"/>
        <s v="FD2G9SN2" u="1"/>
        <s v="FD2F08F2" u="1"/>
        <s v="FD2F6ZN2" u="1"/>
        <s v="FD2F6GP1" u="1"/>
        <s v="FD2F6GN2" u="1"/>
        <s v="FD2F1GK2R" u="1"/>
        <s v="FD2F42M2K" u="1"/>
        <s v="FD2FM1V2" u="1"/>
        <s v="FD2GM1W2" u="1"/>
        <s v="FD2G9TA1" u="1"/>
        <s v="FD2F6GH2K" u="1"/>
        <s v="FD2F9UC2T" u="1"/>
        <s v="FD2FM1X3" u="1"/>
        <s v="FD2FM952" u="1"/>
        <s v="FD2FM942" u="1"/>
        <s v="FD2FM911" u="1"/>
        <s v="FD2FM1U2" u="1"/>
        <s v="FD2FM1T2" u="1"/>
        <s v="FD2FM1S2" u="1"/>
        <s v="FD2FM1P2" u="1"/>
        <s v="FD2G1VH8" u="1"/>
        <s v="FD2F05S3" u="1"/>
        <s v="FD2F20072" u="1"/>
        <s v="FD2F79L21" u="1"/>
        <s v="FD2F27F2G" u="1"/>
        <s v="FD2FM921" u="1"/>
        <s v="FD2F1IV2R" u="1"/>
        <s v="FD2GM1V2" u="1"/>
        <s v="FD2G7B98" u="1"/>
        <s v="FD2FM1S2S" u="1"/>
        <s v="FD2FM882" u="1"/>
        <s v="FD2F9TB1" u="1"/>
        <s v="FD2F9TE2" u="1"/>
        <s v="FD2F27F2" u="1"/>
        <s v="FD2F7B92" u="1"/>
        <s v="FD2F9TP2" u="1"/>
        <s v="FD2F9SY2" u="1"/>
        <s v="FD2F07A3S" u="1"/>
        <s v="FD2F07U2" u="1"/>
        <s v="FD2F1VE2" u="1"/>
        <s v="FD2F1XD2" u="1"/>
        <s v="FD2F30222" u="1"/>
        <s v="FD2F7LY2" u="1"/>
        <s v="FD2F9TA1" u="1"/>
        <s v="FD2F9UC2" u="1"/>
        <s v="FD2F9UI2" u="1"/>
        <s v="FD2F6GG2" u="1"/>
        <s v="FD2FZ7450" u="1"/>
        <s v="FD2G1XH2" u="1"/>
        <s v="FD2G1WW2" u="1"/>
        <s v="FD2F23K2" u="1"/>
        <s v="FD2F73G1" u="1"/>
        <s v="FD2F75K2" u="1"/>
        <s v="FD2F3PQ1G" u="1"/>
        <s v="FD2F75X1G" u="1"/>
        <s v="FD5F1TC3V" u="1"/>
        <s v="FD2F04X2D" u="1"/>
        <s v="FD2F04X2E" u="1"/>
        <s v="FD2F24H2" u="1"/>
        <s v="FD2F2AG2" u="1"/>
        <s v="FD2F3PF2R" u="1"/>
        <s v="FD2F1VE2R" u="1"/>
        <s v="FD2G1YQ2" u="1"/>
        <s v="FD2F7UB2" u="1"/>
        <s v="FD2F6FM2K" u="1"/>
        <s v="FD2F42Q1" u="1"/>
        <s v="FD2G7UB2" u="1"/>
        <s v="FD2FM2D2" u="1"/>
        <s v="FD2F1RL2" u="1"/>
        <s v="FD2F1VH2" u="1"/>
        <s v="FD2F1XB2" u="1"/>
        <s v="FD2F41E1" u="1"/>
        <s v="FD2F66749" u="1"/>
        <s v="FD2F6DA2" u="1"/>
        <s v="FD2F6FB1" u="1"/>
        <s v="FD2F1XC2" u="1"/>
        <s v="FD2F1XI2" u="1"/>
        <s v="FD2F04X2" u="1"/>
        <s v="FD2F1XE2" u="1"/>
        <s v="FD2F28P2" u="1"/>
        <s v="FD2F3G53" u="1"/>
        <s v="FD2F3IF2" u="1"/>
        <s v="FD2F40E2R" u="1"/>
        <s v="FD2F20132" u="1"/>
        <s v="FD2F7UA2" u="1"/>
        <s v="FD2F7C12" u="1"/>
        <s v="FD2F7LY0" u="1"/>
        <s v="FD2F7LY5" u="1"/>
        <s v="FD2F7LZ0" u="1"/>
        <s v="FD2F7LZ5" u="1"/>
        <s v="FD5F1TC3R" u="1"/>
        <s v="FD2F1WS2" u="1"/>
        <s v="FD2F1YV1" u="1"/>
        <s v="FD2G1YV1" u="1"/>
        <s v="FD2F04X2C" u="1"/>
        <s v="FD2F1RQ2" u="1"/>
        <s v="FD2F28A2R" u="1"/>
        <s v="FD2F42P2" u="1"/>
        <s v="FD2F6GD2K" u="1"/>
        <s v="FD2F6W33" u="1"/>
        <s v="FD2F7LM2" u="1"/>
        <s v="FD2F7LV2" u="1"/>
        <s v="FD2G7B88" u="1"/>
        <s v="FD2F1JL2" u="1"/>
        <s v="FD2G1VH2" u="1"/>
        <s v="FD2G1RG2" u="1"/>
        <s v="FD2F60172" u="1"/>
        <s v="FD2G05V2" u="1"/>
        <s v="FD2G06V2" u="1"/>
        <s v="FD2G06W2" u="1"/>
        <s v="FD2G06X2" u="1"/>
        <s v="FD2G06Y2" u="1"/>
        <s v="FD2G1GT1" u="1"/>
        <s v="FD2G1JS2" u="1"/>
        <s v="FD2G1SH2" u="1"/>
        <s v="FD2G1ST2" u="1"/>
        <s v="FD2G1TH2" u="1"/>
        <s v="FD2G7LT2" u="1"/>
        <s v="FD2G7LT5" u="1"/>
        <s v="FD2G7LU0" u="1"/>
        <s v="FD2G7LU2" u="1"/>
        <s v="FD2G7LU5" u="1"/>
        <s v="FD2G7C12" u="1"/>
        <s v="FD2G7LY0" u="1"/>
        <s v="FD2G7LY2" u="1"/>
        <s v="FD2G7LY5" u="1"/>
        <s v="FD2G7LZ0" u="1"/>
        <s v="FD2G7LZ5" u="1"/>
        <s v="FD2G9TB1" u="1"/>
        <s v="FD2G05H2" u="1"/>
        <s v="FD2G1XS2" u="1"/>
        <s v="FD2G1ZE1" u="1"/>
        <s v="FD2G26A2" u="1"/>
        <s v="FD2G27F2" u="1"/>
        <s v="FD2G27H2" u="1"/>
        <s v="FD2G28L1" u="1"/>
        <s v="FD2G40E2F" u="1"/>
        <s v="FD2G78W2" u="1"/>
        <s v="FD2G79L2" u="1"/>
        <s v="FD2G7B92" u="1"/>
        <s v="FD2G7C03" u="1"/>
        <s v="FD2F2RE2" u="1"/>
        <s v="FD2F42X2" u="1"/>
        <s v="FD2F42V1" u="1"/>
        <s v="FD2G29C2" u="1"/>
        <s v="FD2F1XH2" u="1"/>
        <s v="FD2F9UD2" u="1"/>
        <s v="FD2F76K2S" u="1"/>
        <s v="FD2F78W2" u="1"/>
        <s v="FD2F08Q2G" u="1"/>
        <s v="FD2F1YY2G" u="1"/>
        <s v="FD2FM2S2" u="1"/>
        <s v="FD2F04Q2R" u="1"/>
        <s v="FD2F06V2" u="1"/>
        <s v="FD2F1GE5" u="1"/>
        <s v="FD2F1GG2" u="1"/>
        <s v="FD2F1QQ2" u="1"/>
        <s v="FD2F1SG2" u="1"/>
        <s v="FD2F23L2U" u="1"/>
        <s v="FD2F25R0" u="1"/>
        <s v="FD2F27H21" u="1"/>
        <s v="FD2F3JI2R" u="1"/>
        <s v="FD2F3PA2R" u="1"/>
        <s v="FD2F3VD2R" u="1"/>
        <s v="FD2F40W2" u="1"/>
        <s v="FD2F40X2" u="1"/>
        <s v="FD2FL128" u="1"/>
        <s v="FD2FL135" u="1"/>
        <s v="FD2G08H2" u="1"/>
        <s v="FD2G08J2" u="1"/>
        <s v="FD2G3GW1" u="1"/>
        <s v="FD2F1JN1" u="1"/>
        <s v="FD2F06T2" u="1"/>
        <s v="FD2F27E2S" u="1"/>
        <s v="FD2F27H22" u="1"/>
        <s v="FD2F2C92R" u="1"/>
        <s v="FD2F3VJ1" u="1"/>
        <s v="FD2F4802R" u="1"/>
        <s v="FD2F7LP2" u="1"/>
        <s v="FD2F06T0" u="1"/>
        <s v="FD2F06T5" u="1"/>
        <s v="FD2F1RR2" u="1"/>
        <s v="FD2F1SB2" u="1"/>
        <s v="FD2F1YA1" u="1"/>
        <s v="FD2F1SZ2R" u="1"/>
        <s v="FD2G41P8" u="1"/>
        <s v="FD2F18U2" u="1"/>
        <s v="FD2F1XB2S" u="1"/>
        <s v="FD2G28T2" u="1"/>
        <s v="FD2FM0T2T" u="1"/>
        <s v="FD2F42K2K" u="1"/>
        <s v="FD2F1QU2" u="1"/>
        <s v="FD2F1WR2R" u="1"/>
        <s v="FD2F28C2S" u="1"/>
        <s v="FD2F2RD2" u="1"/>
        <s v="FD2F60S11" u="1"/>
        <s v="FD2F63L1" u="1"/>
        <s v="FD2F6EW1" u="1"/>
        <s v="FD2F1XA2" u="1"/>
        <s v="FD2F9UB2" u="1"/>
        <s v="FD2F25R5" u="1"/>
        <s v="FD2F27E0S" u="1"/>
        <s v="FD2F6CA2" u="1"/>
        <s v="FD2F9SW2" u="1"/>
        <s v="FD2F1WQ1" u="1"/>
        <s v="FD2FM852" u="1"/>
        <s v="FD2FM1K2" u="1"/>
        <s v="FD2F9UA3" u="1"/>
        <s v="FD2F79Y2" u="1"/>
        <s v="FD2F79H2" u="1"/>
        <s v="FD2GM1J1" u="1"/>
        <s v="FD2G3ZA2" u="1"/>
        <s v="FD2G3XZ8" u="1"/>
        <s v="FD2F27Z2" u="1"/>
        <s v="FD2F6CB3" u="1"/>
        <s v="FD2G1WT2" u="1"/>
        <s v="FD2F27Q2" u="1"/>
        <s v="FD2F78D2" u="1"/>
        <s v="FD2F64521" u="1"/>
        <s v="FD2G07R2F" u="1"/>
        <s v="FD2FM842" u="1"/>
        <s v="FD2F78D2S" u="1"/>
        <s v="FD2FM1M2" u="1"/>
        <s v="FD2FM1J1" u="1"/>
        <s v="FD2G4211F" u="1"/>
        <s v="FD2G78D2" u="1"/>
        <s v="FD2G79Y2" u="1"/>
        <s v="FD2G1JC2" u="1"/>
        <s v="FD2F27E5S" u="1"/>
        <s v="FD2F7LT2" u="1"/>
        <s v="FD2F7LU2" u="1"/>
        <s v="FD2FM822" u="1"/>
        <s v="FD2G04X2" u="1"/>
        <s v="FD2G07Q2" u="1"/>
        <s v="FD2G07S2" u="1"/>
        <s v="FD2G1FN2F" u="1"/>
        <s v="FD2G1GP2" u="1"/>
        <s v="FD2G1JN1" u="1"/>
        <s v="FD2G1PD2F" u="1"/>
        <s v="FD2G1PJ2F" u="1"/>
        <s v="FD2G1QK2F" u="1"/>
        <s v="FD2G1QQ2" u="1"/>
        <s v="FD2G1QV2" u="1"/>
        <s v="FD2G1SB2" u="1"/>
        <s v="FD2G1SY2F" u="1"/>
        <s v="FD2G1SZ2F" u="1"/>
        <s v="FD2G1WQ1" u="1"/>
        <s v="FD2G1WS2F" u="1"/>
        <s v="FD2G1WV2F" u="1"/>
        <s v="FD2G1WZ2" u="1"/>
        <s v="FD2G1XA2" u="1"/>
        <s v="FD2G25R2" u="1"/>
        <s v="FD2G28K2" u="1"/>
        <s v="FD2G3XZ1F" u="1"/>
        <s v="FD2G27E2" u="1"/>
        <s v="FD2F6GI1" u="1"/>
        <s v="FD2F7D21" u="1"/>
        <s v="FD2G1XR2" u="1"/>
        <s v="FD2G06U2" u="1"/>
        <s v="FD2G07T2" u="1"/>
        <s v="FD2G1JF2" u="1"/>
        <s v="FD2G1JJ2" u="1"/>
        <s v="FD2G1QK2" u="1"/>
        <s v="FD2G28I2" u="1"/>
        <s v="FD2G79H2" u="1"/>
        <s v="FD2G7LZ2" u="1"/>
        <s v="FD2F30372G" u="1"/>
        <s v="FD2F6EJ3" u="1"/>
        <s v="FD2F6EM3" u="1"/>
        <s v="FD2F6ES1A" u="1"/>
        <s v="FD2F6EY2" u="1"/>
        <s v="FD2F60131" u="1"/>
        <s v="FD2G28Z2" u="1"/>
        <s v="FD2F6EP1A" u="1"/>
        <s v="FD2G06H2" u="1"/>
        <s v="FD2G27Z2" u="1"/>
        <s v="FD2GL143" u="1"/>
        <s v="FD2F42D1" u="1"/>
        <s v="FD2FM0R2T" u="1"/>
        <s v="FD2G41D2" u="1"/>
        <s v="FD2F6FR2K" u="1"/>
        <s v="FD2F41V2K" u="1"/>
        <s v="FD2G1YH2" u="1"/>
        <s v="FD2F28U2" u="1"/>
        <s v="FD2G41G2" u="1"/>
        <s v="FD2FM482" u="1"/>
        <s v="FD2F7C93K" u="1"/>
        <s v="FD2F6FS1" u="1"/>
        <s v="FD2F42A1" u="1"/>
        <s v="FD2G08G2" u="1"/>
        <s v="FD2G42D1" u="1"/>
        <s v="FD2F6FY2K" u="1"/>
        <s v="FD2F6FL1" u="1"/>
        <s v="FD2F41F2" u="1"/>
        <s v="FD2F41X2K" u="1"/>
        <s v="FD2FZ7320" u="1"/>
        <s v="FD2F28R2G" u="1"/>
        <s v="FD2F6FX1" u="1"/>
        <s v="FD2F6DV2" u="1"/>
        <s v="FD2F1WL2" u="1"/>
        <s v="FD2FM2M2" u="1"/>
        <s v="FD2F41U2" u="1"/>
        <s v="FD2F1XR2" u="1"/>
        <s v="FD2FS2D82" u="1"/>
        <s v="FD2F1FU2" u="1"/>
        <s v="FD2F42G2" u="1"/>
        <s v="FD2F05S3T" u="1"/>
        <s v="FD2F07Q2" u="1"/>
        <s v="FD2F08D3" u="1"/>
        <s v="FD2F1PE2R" u="1"/>
        <s v="FD2F1QB2" u="1"/>
        <s v="FD2G6FC3" u="1"/>
        <s v="FD2F1JC2" u="1"/>
        <s v="FD2F06E2" u="1"/>
        <s v="FD2F28R2" u="1"/>
        <s v="FD2F28T2G" u="1"/>
        <s v="FD2F28T2" u="1"/>
        <s v="FD2F1XW2" u="1"/>
        <s v="FD2F41G2" u="1"/>
        <s v="FD2G3XX1" u="1"/>
        <s v="FD2F1HM2R" u="1"/>
        <s v="FD2F1HX2" u="1"/>
        <s v="FD2F1IG2R" u="1"/>
        <s v="FD2F1IN2T" u="1"/>
        <s v="FD2G1VR2F" u="1"/>
        <s v="FD2F1EV2" u="1"/>
        <s v="FD2F1FA2R" u="1"/>
        <s v="FD2F1FW2" u="1"/>
        <s v="FD2G1VR2" u="1"/>
        <s v="FD2G1YL2" u="1"/>
        <s v="FD2F1XT2" u="1"/>
        <s v="FD2G1XT2" u="1"/>
        <s v="FD2G4061" u="1"/>
        <s v="FD2G6FZ2" u="1"/>
        <s v="FD2F42F1" u="1"/>
        <s v="FD2F6CS1" u="1"/>
        <s v="FD2F9TZ2" u="1"/>
        <s v="FD2FM732" u="1"/>
        <s v="FD2G07J2" u="1"/>
        <s v="FD2G07L2" u="1"/>
        <s v="FD2GM921" u="1"/>
        <s v="FD2GM712" u="1"/>
        <s v="FD2GM572" u="1"/>
        <s v="FD2G7LW5" u="1"/>
        <s v="FD2G1JL2" u="1"/>
        <s v="FD2FDZQ2T" u="1"/>
        <s v="FD2FM522" u="1"/>
        <s v="FD2FM832" u="1"/>
        <s v="FD2GM732" u="1"/>
        <s v="FD2G7LW0" u="1"/>
        <s v="FD2G1WG2" u="1"/>
        <s v="FD2G1WF8" u="1"/>
        <s v="FD2G1WN8" u="1"/>
        <s v="FD2G06R1" u="1"/>
        <s v="FD2G1IG2F" u="1"/>
        <s v="FD2F7LZ2" u="1"/>
        <s v="FD2FE32F3" u="1"/>
        <s v="FD2G1GI2F" u="1"/>
        <s v="FD2GM1G2" u="1"/>
        <s v="FD2GDZQ2" u="1"/>
        <s v="FD2G1IZ2F" u="1"/>
        <s v="FD2G1PL2F" u="1"/>
        <s v="FD2F27L2G" u="1"/>
        <s v="FD2G1IC2F" u="1"/>
        <s v="FD2F7LT0" u="1"/>
        <s v="FD2FM1B2" u="1"/>
        <s v="FD2FM1G2" u="1"/>
        <s v="FD2F76M2R" u="1"/>
        <s v="FD2F79F2" u="1"/>
        <s v="FD2F9SR2" u="1"/>
        <s v="FD2F9TX2" u="1"/>
        <s v="FD2F9TY2" u="1"/>
        <s v="FD2FH32F1" u="1"/>
        <s v="FD2G1WF1" u="1"/>
        <s v="FD2F1WK2" u="1"/>
        <s v="FD2F24T2S" u="1"/>
        <s v="FD2F40T3" u="1"/>
        <s v="FD2G1IN2" u="1"/>
        <s v="FD2G24T2F" u="1"/>
        <s v="FD2G79X2" u="1"/>
        <s v="FD2G7LS0" u="1"/>
        <s v="FD2F9SS2" u="1"/>
        <s v="FD2G08C2" u="1"/>
        <s v="FD2G08D3" u="1"/>
        <s v="FD2G1EY2" u="1"/>
        <s v="FD2G1HK2F" u="1"/>
        <s v="FD2G1HM2F" u="1"/>
        <s v="FD2G1ID2F" u="1"/>
        <s v="FD2G1WG2F" u="1"/>
        <s v="FD2G1WL2" u="1"/>
        <s v="FD2G24W2" u="1"/>
        <s v="FD2G6ED2" u="1"/>
        <s v="FD2G1PB2F" u="1"/>
        <s v="FD2G1XP2" u="1"/>
        <s v="FD2G1XV2" u="1"/>
        <s v="FD2G3VT2" u="1"/>
        <s v="FD2G3VU2" u="1"/>
        <s v="FD2G40T3" u="1"/>
        <s v="FD2G1JL2F" u="1"/>
        <s v="FD2G1JU2F" u="1"/>
        <s v="FD2G1PE2F" u="1"/>
        <s v="FD2G1PM2F" u="1"/>
        <s v="FD2G1PR2" u="1"/>
        <s v="FD2G1PR2F" u="1"/>
        <s v="FD2G1PU2F" u="1"/>
        <s v="FD2G1PW2F" u="1"/>
        <s v="FD2G1SG2" u="1"/>
        <s v="FD2G1TQ2" u="1"/>
        <s v="FD2F07J2" u="1"/>
        <s v="FD2F1TC3G" u="1"/>
        <s v="FD2F1TC3X" u="1"/>
        <s v="FD2F6GC2" u="1"/>
        <s v="FD2G28X2" u="1"/>
        <s v="FD2F7LP5" u="1"/>
        <s v="FD2G28F2" u="1"/>
        <s v="FD2G6FH2" u="1"/>
        <s v="FD2G1YF2" u="1"/>
        <s v="FD2G41N2" u="1"/>
        <s v="FD2G41S3" u="1"/>
        <s v="FD2F1PI2R" u="1"/>
        <s v="FD2F1PP2" u="1"/>
        <s v="FD2F4332" u="1"/>
        <s v="FD2F6DY2" u="1"/>
        <s v="FD2F6EE2" u="1"/>
        <s v="FD2F78R2" u="1"/>
        <s v="FD2F7LM2C" u="1"/>
        <s v="FD2F9TW2" u="1"/>
        <s v="FD2G6EE2" u="1"/>
        <s v="FD2F7LR2" u="1"/>
        <s v="FD2G41Z2" u="1"/>
        <s v="FD2F7LM2B" u="1"/>
        <s v="FD2F9TU2" u="1"/>
        <s v="FD2F1TM2G" u="1"/>
        <s v="FD2F9TL2" u="1"/>
        <s v="FD2G1GA2F" u="1"/>
        <s v="FD2G1GF2F" u="1"/>
        <s v="FD2G1GJ2F" u="1"/>
        <s v="FD2G1HX2" u="1"/>
        <s v="FD2G1QN2F" u="1"/>
        <s v="FD2G07M8" u="1"/>
        <s v="FD2G07N3" u="1"/>
        <s v="FD2G08J8" u="1"/>
        <s v="FD2G06Q1" u="1"/>
        <s v="FD2G08A2" u="1"/>
        <s v="FD2G08I1" u="1"/>
        <s v="FD2G1PI2F" u="1"/>
        <s v="FD2G1VW2" u="1"/>
        <s v="FD2F6FF2K" u="1"/>
        <s v="FD2F07G2" u="1"/>
        <s v="FD2F07N3" u="1"/>
        <s v="FD2G1VX2" u="1"/>
        <s v="FD2G7A42F" u="1"/>
        <s v="FD2G7LQ0" u="1"/>
        <s v="FD2G7LQ5" u="1"/>
        <s v="FD2G08I8" u="1"/>
        <s v="FD2G1FW8" u="1"/>
        <s v="FD2G1IK8" u="1"/>
        <s v="FD2G1PD8" u="1"/>
        <s v="FD2G1PJ8" u="1"/>
        <s v="FD2G1QN8" u="1"/>
        <s v="FD2G1TL8" u="1"/>
        <s v="FD2G1TS8" u="1"/>
        <s v="FD2G1TV8" u="1"/>
        <s v="FD2G1WA8" u="1"/>
        <s v="FD2G1WC8" u="1"/>
        <s v="FD2G1WD8" u="1"/>
        <s v="FD2G1WG8" u="1"/>
        <s v="FD2G27Q8" u="1"/>
        <s v="FD2G28A8" u="1"/>
        <s v="FD2G4218" u="1"/>
        <s v="FD2G4918" u="1"/>
        <s v="FD2F6FW2K" u="1"/>
        <s v="FD2F1TT2R" u="1"/>
        <s v="FD2F1WW2" u="1"/>
        <s v="FD2G6EE8" u="1"/>
        <s v="FD2F28S1" u="1"/>
        <s v="FD2G1XY2" u="1"/>
        <s v="FD2G1WV8" u="1"/>
        <s v="FD2F1TQ2" u="1"/>
        <s v="FD2F6EF2K" u="1"/>
        <s v="FD2G1PL2" u="1"/>
        <s v="FD2G1QD2" u="1"/>
        <s v="FD2G1WI1" u="1"/>
        <s v="FD2G3VP2" u="1"/>
        <s v="FD2G6DS2" u="1"/>
        <s v="FD2G7B32" u="1"/>
        <s v="FD2G7LP0" u="1"/>
        <s v="FD2G7LP5" u="1"/>
        <s v="FD2G7LX2" u="1"/>
        <s v="FD2F9SN2" u="1"/>
        <s v="FD2F7D11" u="1"/>
        <s v="FD2G41Z8" u="1"/>
        <s v="FD2F07X3S" u="1"/>
        <s v="FD2G7B68" u="1"/>
        <s v="FD2F28I2G" u="1"/>
        <s v="FD2G7A48" u="1"/>
        <s v="FD2F1XX2" u="1"/>
        <s v="FD2F7D33" u="1"/>
        <s v="FD2G7D33" u="1"/>
        <s v="FD2F1TL2R" u="1"/>
        <s v="FD2F1WL2Q" u="1"/>
        <s v="FD2F1WU2" u="1"/>
        <s v="FD2F1YI1" u="1"/>
        <s v="FD2F28I2" u="1"/>
        <s v="FD2F28J1" u="1"/>
        <s v="FD2F28K2" u="1"/>
        <s v="FD2F7B61" u="1"/>
        <s v="FD2F6FI1" u="1"/>
        <s v="FD2G40W2" u="1"/>
        <s v="FD2G6EJ3" u="1"/>
        <s v="FD2G7B61" u="1"/>
        <s v="FD2G1WT8" u="1"/>
        <s v="FD2F6EH2K" u="1"/>
        <s v="FD2G6EH2" u="1"/>
        <s v="FD2G6FE2" u="1"/>
        <s v="FD2G1XV8" u="1"/>
        <s v="FD2G28Q2" u="1"/>
        <s v="FD2G1XX2" u="1"/>
        <s v="FD2G6DU2" u="1"/>
        <s v="FD2F40R2K" u="1"/>
        <s v="FD2FM1W2" u="1"/>
        <s v="FD2F6ZL1" u="1"/>
        <s v="FD2F1WJ2" u="1"/>
        <s v="FD2F08G2" u="1"/>
        <s v="FD2F40N1" u="1"/>
        <s v="FD2G28R2" u="1"/>
        <s v="FD2G41I2" u="1"/>
        <s v="FD2F07F2Q" u="1"/>
        <s v="FD2F1PK2" u="1"/>
        <s v="FD2F1FT2R" u="1"/>
        <s v="FD2F4982Q" u="1"/>
        <s v="FD2G27Q2" u="1"/>
        <s v="FD2F1S12R" u="1"/>
        <s v="FD2F28Q2" u="1"/>
        <s v="FD2F28Q2G" u="1"/>
        <s v="FD2F41C2K" u="1"/>
        <s v="FD2F4871" u="1"/>
        <s v="FD2F8010G" u="1"/>
        <s v="FD2G4902" u="1"/>
        <s v="FD2G6Z01Q" u="1"/>
        <s v="FD2F1WX2" u="1"/>
        <s v="FD2G6DU8" u="1"/>
        <s v="FD2G1TF2" u="1"/>
        <s v="FD2G1VV2" u="1"/>
        <s v="FD2F40Y2" u="1"/>
        <s v="FD2F06I2" u="1"/>
        <s v="FD2F06N5" u="1"/>
        <s v="FD2F04J2" u="1"/>
        <s v="FD2F06M2" u="1"/>
        <s v="FD2F1PA2" u="1"/>
        <s v="FD2F1PJ2Q" u="1"/>
        <s v="FD2F1SZ2G" u="1"/>
        <s v="FD2F1VV2" u="1"/>
        <s v="FD2F40D1" u="1"/>
        <s v="FD2F4911" u="1"/>
        <s v="FD2F7A22R" u="1"/>
        <s v="FD2G1YC2" u="1"/>
        <s v="FD2G1HW2" u="1"/>
        <s v="FD2G1SR8" u="1"/>
        <s v="FD2F7LL0" u="1"/>
        <s v="FD2F7LM5" u="1"/>
        <s v="FD2F7LN0" u="1"/>
        <s v="FD2F7LN5" u="1"/>
        <s v="FD2FK32F7" u="1"/>
        <s v="FD2FM301" u="1"/>
        <s v="FD2FM342" u="1"/>
        <s v="FD2F06N0" u="1"/>
        <s v="FD2F1ES2" u="1"/>
        <s v="FD2F1IC2" u="1"/>
        <s v="FD2F1TK2G" u="1"/>
        <s v="FD2F6DW3" u="1"/>
        <s v="FD2F1PL2Q" u="1"/>
        <s v="FD2F1TK2" u="1"/>
        <s v="FD2F1VY2" u="1"/>
        <s v="FD2F1WA2" u="1"/>
        <s v="FD2F4972" u="1"/>
        <s v="FD2F7A42" u="1"/>
        <s v="FD2F7LK0" u="1"/>
        <s v="FD2F7LM0" u="1"/>
        <s v="FD2G1SR2F" u="1"/>
        <s v="FD2G1TG2" u="1"/>
        <s v="FD2G1VT2F" u="1"/>
        <s v="FD2G07X3" u="1"/>
        <s v="FD2G1VY2" u="1"/>
        <s v="FD2F7LK5" u="1"/>
        <s v="FD2F7LQ2" u="1"/>
        <s v="FD2F7LW2" u="1"/>
        <s v="FD2F7LW5" u="1"/>
        <s v="FD2F7LX0" u="1"/>
        <s v="FD2F7LX5" u="1"/>
        <s v="FD2G4871" u="1"/>
        <s v="FD2G78U2F" u="1"/>
        <s v="FD2G7A22F" u="1"/>
        <s v="FD2G7UA2" u="1"/>
        <s v="FD2G28E8" u="1"/>
        <s v="FD2G1PJ2Q" u="1"/>
        <s v="FD2G1PP2" u="1"/>
        <s v="FD2G1VT8" u="1"/>
        <s v="FD2G1VY8" u="1"/>
        <s v="FD2G28C8" u="1"/>
        <s v="FD2G7LL0" u="1"/>
        <s v="FD2G7LL5" u="1"/>
        <s v="FD2G7LM0" u="1"/>
        <s v="FD2G7LM5" u="1"/>
        <s v="FD2G7LN0" u="1"/>
        <s v="FD2G7LN5" u="1"/>
        <s v="FD2F41U2K" u="1"/>
        <s v="FD2G40611" u="1"/>
        <s v="FD2G1YB2" u="1"/>
        <s v="FD2G1XE2F" u="1"/>
        <s v="FD2G40Z2F" u="1"/>
        <s v="FD2F1PJ2" u="1"/>
        <s v="FD2F28A2S" u="1"/>
        <s v="FD2FM532" u="1"/>
        <s v="FD2F7LQ5" u="1"/>
        <s v="FD2F7LP0" u="1"/>
        <s v="FD2F1TS2" u="1"/>
        <s v="FD2F1IB2" u="1"/>
        <s v="FD2G1IB2F" u="1"/>
        <s v="FD2G1WM8" u="1"/>
        <s v="FD2G1WX2F" u="1"/>
        <s v="FD2G4911F" u="1"/>
        <s v="FD2G08H8" u="1"/>
        <s v="FD2G1IR2" u="1"/>
        <s v="FD2G1SG2F" u="1"/>
        <s v="FD2G1TM8" u="1"/>
        <s v="FD2G7LR2" u="1"/>
        <s v="FD2F06Q1" u="1"/>
        <s v="FD2G07V8" u="1"/>
        <s v="FD2G27X2" u="1"/>
        <s v="FD2F7A22" u="1"/>
        <s v="FD2F6FF2" u="1"/>
        <s v="FD2G40R2" u="1"/>
        <s v="FD2F1VQ2" u="1"/>
        <s v="FD2F05D2C" u="1"/>
        <s v="FD2F07C2G" u="1"/>
        <s v="FD2F1TH2R" u="1"/>
        <s v="FD2G3LT2" u="1"/>
        <s v="FD2G41B2" u="1"/>
        <s v="FD2F1GP2" u="1"/>
        <s v="FD2FZ8640" u="1"/>
        <s v="FD2G1ZE1Q" u="1"/>
        <s v="FD2G1SE2" u="1"/>
        <s v="FD2F4861" u="1"/>
        <s v="FD2F1TP2R" u="1"/>
        <s v="FD2F1WY2R" u="1"/>
        <s v="FD2G1VQ2" u="1"/>
        <s v="FD2G4842" u="1"/>
        <s v="FD2G7LV2" u="1"/>
        <s v="FD2F4881" u="1"/>
        <s v="FD2G06Z2Q" u="1"/>
        <s v="FD2F3K21" u="1"/>
        <s v="FD2G1XF2" u="1"/>
        <s v="FD2G40Z2" u="1"/>
        <s v="FD2G4242" u="1"/>
        <s v="FD2F1SU1" u="1"/>
        <s v="FD2F27H2G" u="1"/>
        <s v="FD2F1VR2" u="1"/>
        <s v="FD2F1TV2S" u="1"/>
        <s v="FD2G40Y2" u="1"/>
        <s v="FD2F27H2" u="1"/>
        <s v="FD2F3IJ1" u="1"/>
        <s v="FD2FM0C2" u="1"/>
        <s v="FD2FZ7A50" u="1"/>
        <s v="FD2FZ7A90" u="1"/>
        <s v="FD2F6FE2K" u="1"/>
        <s v="FD2F7LW0" u="1"/>
        <s v="FD2G1VJ2F" u="1"/>
        <s v="FD2G1TH2F" u="1"/>
        <s v="FD2F07C2" u="1"/>
        <s v="FD2F1DC2R" u="1"/>
        <s v="FD2F1ER2Q" u="1"/>
        <s v="FD2G1SU1" u="1"/>
        <s v="FD2G6CA2" u="1"/>
        <s v="FD2G41C2" u="1"/>
        <s v="FD2G1SP2F" u="1"/>
        <s v="FD2G1SP8" u="1"/>
        <s v="FD2G28N2" u="1"/>
        <s v="FD2G1TA2F" u="1"/>
        <s v="FD2G1TS2F" u="1"/>
        <s v="FD2G1TV2F" u="1"/>
        <s v="FD2G1VQ8" u="1"/>
        <s v="FD2G1VR8" u="1"/>
        <s v="FD2G28A2F" u="1"/>
        <s v="FD2G4988" u="1"/>
        <s v="FD2F41A2K" u="1"/>
        <s v="FD2G41L3" u="1"/>
        <s v="FD2F6FH2" u="1"/>
        <s v="FD2F1XS2" u="1"/>
        <s v="FD2F7C43K" u="1"/>
        <s v="FD2F6EN1" u="1"/>
        <s v="FD2G40X8" u="1"/>
        <s v="FD2F1XN2" u="1"/>
        <s v="FD2F28N2" u="1"/>
        <s v="FD2G07A3F" u="1"/>
        <s v="FD2G60082" u="1"/>
        <s v="FD2F1VK2" u="1"/>
        <s v="FD2F66740" u="1"/>
        <s v="FD2F1VE2G" u="1"/>
        <s v="FD2F6ER2" u="1"/>
        <s v="FD2FM1H2T" u="1"/>
        <s v="FD2G07A3" u="1"/>
        <s v="FD2G26S2" u="1"/>
        <s v="FD2G28A2" u="1"/>
        <s v="FD2G3TG2" u="1"/>
        <s v="FD2G6DD2" u="1"/>
        <s v="FD2F06K2" u="1"/>
        <s v="FD2F1SQ2G" u="1"/>
        <s v="FD2F4621" u="1"/>
        <s v="FD2F6DF3" u="1"/>
        <s v="FD2F6RN2" u="1"/>
        <s v="FD2G1QU2F" u="1"/>
        <s v="FD2G1VE2F" u="1"/>
        <s v="FD2F1FK2R" u="1"/>
        <s v="FD2F6AV3" u="1"/>
        <s v="FD2F6CD3" u="1"/>
        <s v="FD2F9CU2" u="1"/>
        <s v="FD2G1VC2F" u="1"/>
        <s v="FD2G1Z92" u="1"/>
        <s v="FD2G6DA2" u="1"/>
        <s v="FD2F1EG2R" u="1"/>
        <s v="FD2F6EQ1" u="1"/>
        <s v="FD2G1GR2" u="1"/>
        <s v="FD2G1TL2F" u="1"/>
        <s v="FD2G4742" u="1"/>
        <s v="FD2G6DE2" u="1"/>
        <s v="FD2F1MT2G" u="1"/>
        <s v="FD2F1XG2" u="1"/>
        <s v="FD2G1GN2F" u="1"/>
        <s v="FD2G1IV2F" u="1"/>
        <s v="FD2G1QM2F" u="1"/>
        <s v="FD2G1SI2F" u="1"/>
        <s v="FD2FZ8630" u="1"/>
        <s v="FD2G06W8" u="1"/>
        <s v="FD2G07T8" u="1"/>
        <s v="FD2G1JU8" u="1"/>
        <s v="FD2G1SH8" u="1"/>
        <s v="FD2G40E2" u="1"/>
        <s v="FD2G78V8" u="1"/>
        <s v="FD2G78Y8" u="1"/>
        <s v="FD2F4722" u="1"/>
        <s v="FD2F6EK3" u="1"/>
        <s v="FD2G06V8" u="1"/>
        <s v="FD2G08E8" u="1"/>
        <s v="FD2G1QM8" u="1"/>
        <s v="FD2G1QU2" u="1"/>
        <s v="FD2G1SG8" u="1"/>
        <s v="FD2G1SI8" u="1"/>
        <s v="FD2G1VD8" u="1"/>
        <s v="FD2G27F8" u="1"/>
        <s v="FD2G6FB1" u="1"/>
        <s v="FD2G78U8" u="1"/>
        <s v="FD2G78W8" u="1"/>
        <s v="FD2G7A28" u="1"/>
        <s v="FD2F4161" u="1"/>
      </sharedItems>
    </cacheField>
    <cacheField name="重量" numFmtId="0">
      <sharedItems containsString="0" containsBlank="1" containsNumber="1" minValue="4" maxValue="20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224.47514386574" createdVersion="4" refreshedVersion="8" minRefreshableVersion="3" recordCount="992" xr:uid="{00000000-000A-0000-FFFF-FFFF22000000}">
  <cacheSource type="worksheet">
    <worksheetSource ref="A1:AS1048576" sheet="貼日誌"/>
  </cacheSource>
  <cacheFields count="45">
    <cacheField name="日期" numFmtId="196">
      <sharedItems containsNonDate="0" containsDate="1" containsString="0" containsBlank="1" minDate="2026-07-01T00:00:00" maxDate="2026-07-21T00:00:00" count="21"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m/>
      </sharedItems>
    </cacheField>
    <cacheField name="機台" numFmtId="0">
      <sharedItems containsBlank="1" count="38">
        <s v="A07"/>
        <s v="A08"/>
        <s v="A0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J07"/>
        <s v="J08"/>
        <s v="J09"/>
        <s v="T01"/>
        <s v="T02"/>
        <s v="T03"/>
        <s v="T04"/>
        <s v="T05"/>
        <s v="T06"/>
        <s v="S01"/>
        <s v="S02"/>
        <m/>
        <s v="M01" u="1"/>
        <s v="M02" u="1"/>
        <s v="M03" u="1"/>
        <s v="M04" u="1"/>
        <s v="M05" u="1"/>
        <s v="M06" u="1"/>
        <s v="M07" u="1"/>
        <s v="M08" u="1"/>
      </sharedItems>
    </cacheField>
    <cacheField name="批號" numFmtId="0">
      <sharedItems containsBlank="1" count="1815">
        <s v="停機"/>
        <s v="2F43R2"/>
        <s v="2F08T2"/>
        <s v="2FA092"/>
        <s v="2F7E31"/>
        <s v="2F6IX1"/>
        <s v="2F6IV2"/>
        <s v="2F6IW2"/>
        <s v="2F6IU2"/>
        <s v="2F6IT2"/>
        <s v="2F43T2"/>
        <s v="2F7E13"/>
        <s v="2F6IY2"/>
        <s v="2F6IS2"/>
        <s v="絲開發"/>
        <s v="2F43U3"/>
        <s v="2FA102"/>
        <s v="2FA112"/>
        <s v="2FA132"/>
        <s v="2FA122"/>
        <s v="2F6JA2"/>
        <s v="2F6JB2"/>
        <s v="2F6JE2"/>
        <s v="2F7E43"/>
        <s v="TEST"/>
        <s v="2F6IZ3"/>
        <s v="2F43W1"/>
        <s v="2F29K1"/>
        <m/>
        <s v="2FA062" u="1"/>
        <s v="2F08R2" u="1"/>
        <s v="2F43P2" u="1"/>
        <s v="2F6IF2" u="1"/>
        <s v="2F6IB1" u="1"/>
        <s v="2F6ID2" u="1"/>
        <s v="2F9VH2" u="1"/>
        <s v="2F7E03" u="1"/>
        <s v="2F6II2" u="1"/>
        <s v="2F6IM2" u="1"/>
        <s v="2F43Q2" u="1"/>
        <s v="封存" u="1"/>
        <s v="2F08S2" u="1"/>
        <s v="2F43S2" u="1"/>
        <s v="2F6IK2" u="1"/>
        <s v="2F6IL2" u="1"/>
        <s v="2F6IN2" u="1"/>
        <s v="2F9VK2" u="1"/>
        <s v="2F6IR2" u="1"/>
        <s v="2FA072" u="1"/>
        <s v="2F6IQ2" u="1"/>
        <s v="2FA082" u="1"/>
        <s v="2F7E22" u="1"/>
        <s v="2FA042" u="1"/>
        <s v="2FA032" u="1"/>
        <s v="2F42S2" u="1"/>
        <s v="2F43L2" u="1"/>
        <s v="2F1YR2" u="1"/>
        <s v="2F43N2" u="1"/>
        <s v="2F42T2" u="1"/>
        <s v="2F43G2" u="1"/>
        <s v="2F43K2" u="1"/>
        <s v="2F43M1" u="1"/>
        <s v="2F29I1" u="1"/>
        <s v="2F6IC1" u="1"/>
        <s v="2F6GW2" u="1"/>
        <s v="2F6GU2" u="1"/>
        <s v="2F6GV2" u="1"/>
        <s v="2F6GZ3" u="1"/>
        <s v="2F6IA2" u="1"/>
        <s v="2F6GT2" u="1"/>
        <s v="2F6IE2" u="1"/>
        <s v="2F43E2" u="1"/>
        <s v="2F6IG2" u="1"/>
        <s v="2F6IH2" u="1"/>
        <s v="2F29J2" u="1"/>
        <s v="2F6IJ1" u="1"/>
        <s v="2F08P2" u="1"/>
        <s v="2F42V1" u="1"/>
        <s v="2F1YX2" u="1"/>
        <s v="2F08Q2" u="1"/>
        <s v="2F1YT1" u="1"/>
        <s v="2F42M2" u="1"/>
        <s v="2F42L2" u="1"/>
        <s v="2F42Y1" u="1"/>
        <s v="2F29H2" u="1"/>
        <s v="2F29B1" u="1"/>
        <s v="2F29G1" u="1"/>
        <s v="2F1YW1" u="1"/>
        <s v="2F42Q1" u="1"/>
        <s v="2F6FU2" u="1"/>
        <s v="2F6GH2" u="1"/>
        <s v="2F6FV2" u="1"/>
        <s v="2F6GP1" u="1"/>
        <s v="2F6GN2" u="1"/>
        <s v="2F42U2" u="1"/>
        <s v="2F42Z2" u="1"/>
        <s v="2F6GM1" u="1"/>
        <s v="2FA023" u="1"/>
        <s v="2F6GQ3" u="1"/>
        <s v="2F43A1" u="1"/>
        <s v="2F43B1" u="1"/>
        <s v="2F6GS1" u="1"/>
        <s v="2F6GR2" u="1"/>
        <s v="2F43C2" u="1"/>
        <s v="2F9UY2" u="1"/>
        <s v="2F43D2" u="1"/>
        <s v="2F43F1" u="1"/>
        <s v="2F7D93" u="1"/>
        <s v="2FA052" u="1"/>
        <s v="2F6GX1" u="1"/>
        <s v="2F6GY2" u="1"/>
        <s v="2F43H1" u="1"/>
        <s v="2F43I1" u="1"/>
        <s v="2F43J1" u="1"/>
        <s v="2F1YQ2" u="1"/>
        <s v="2F42H2" u="1"/>
        <s v="2F1YP2" u="1"/>
        <s v="2F42K2" u="1"/>
        <s v="2F42P2" u="1"/>
        <s v="2F29D2" u="1"/>
        <s v="2F1XR2" u="1"/>
        <s v="2F1YS1" u="1"/>
        <s v="2F1YA1" u="1"/>
        <s v="2F42N1" u="1"/>
        <s v="2F29C2" u="1"/>
        <s v="2F1YN1" u="1"/>
        <s v="2F6GD2" u="1"/>
        <s v="2F42J2" u="1"/>
        <s v="2F7D42" u="1"/>
        <s v="2F7D63" u="1"/>
        <s v="2F6GG2" u="1"/>
        <s v="2F6GJ2" u="1"/>
        <s v="2F7D73" u="1"/>
        <s v="2F29E2" u="1"/>
        <s v="2F1YU2" u="1"/>
        <s v="2F1YV1" u="1"/>
        <s v="2F29F2" u="1"/>
        <s v="2F6GL1" u="1"/>
        <s v="2F1YY2" u="1"/>
        <s v="2F1YZ2" u="1"/>
        <s v="2F7D83" u="1"/>
        <s v="2F42W2" u="1"/>
        <s v="2FA001" u="1"/>
        <s v="2F42X2" u="1"/>
        <s v="2F6GK3" u="1"/>
        <s v="2F1YL2" u="1"/>
        <s v="2F08N2" u="1"/>
        <s v="2F42B2" u="1"/>
        <s v="2F29A2" u="1"/>
        <s v="2F28Z2" u="1"/>
        <s v="2F28Y1" u="1"/>
        <s v="2F6GF1" u="1"/>
        <s v="2F6FM2" u="1"/>
        <s v="2F6GC2" u="1"/>
        <s v="2F6FS1" u="1"/>
        <s v="2F6GI1" u="1"/>
        <s v="2F42R1" u="1"/>
        <s v="2F7D53" u="1"/>
        <s v="2F1YF2" u="1"/>
        <s v="2F1YJ2" u="1"/>
        <s v="2F42C2" u="1"/>
        <s v="2F1XN2" u="1"/>
        <s v="2F7D02" u="1"/>
        <s v="2F41V2" u="1"/>
        <s v="2F1YH2" u="1"/>
        <s v="2F41X2" u="1"/>
        <s v="2F41M1" u="1"/>
        <s v="2F1YG2" u="1"/>
        <s v="2F28W1" u="1"/>
        <s v="2F1YK1" u="1"/>
        <s v="2F42D1" u="1"/>
        <s v="2F6FX1" u="1"/>
        <s v="2F6GB1" u="1"/>
        <s v="2F6FY2" u="1"/>
        <s v="2F6GA3" u="1"/>
        <s v="2F41P2" u="1"/>
        <s v="2F6FR2" u="1"/>
        <s v="2F6FZ2" u="1"/>
        <s v="2F1YM2" u="1"/>
        <s v="2F41T2" u="1"/>
        <s v="2F28X2" u="1"/>
        <s v="2F42G2" u="1"/>
        <s v="2F42F1" u="1"/>
        <s v="2F42E3" u="1"/>
        <s v="2F42I2" u="1"/>
        <s v="2F08M2" u="1"/>
        <s v="2F41U2" u="1"/>
        <s v="2F41Z2" u="1"/>
        <s v="2F41S3" u="1"/>
        <s v="2F41Y1" u="1"/>
        <s v="2F28T2" u="1"/>
        <s v="2F41W1" u="1"/>
        <s v="2F6EF2" u="1"/>
        <s v="2F6FF2" u="1"/>
        <s v="2F41G2" u="1"/>
        <s v="2F6EE2" u="1"/>
        <s v="2F7C93" u="1"/>
        <s v="2F41I2" u="1"/>
        <s v="2F6EH2" u="1"/>
        <s v="2F1YB2" u="1"/>
        <s v="2F1YI1" u="1"/>
        <s v="2F6FT2" u="1"/>
        <s v="2F42A1" u="1"/>
        <s v="2F28V2" u="1"/>
        <s v="2F6FW2" u="1"/>
        <s v="2F7D11" u="1"/>
        <s v="2F7D21" u="1"/>
        <s v="2F7D33" u="1"/>
        <s v="2F1WX2" u="1"/>
        <s v="2F08L2" u="1"/>
        <s v="2F28U2" u="1"/>
        <s v="2F1XK2" u="1"/>
        <s v="2F6FL1" u="1"/>
        <s v="2F41L3" u="1"/>
        <s v="2F1XZ2" u="1"/>
        <s v="2F1WW2" u="1"/>
        <s v="2F1YC2" u="1"/>
        <s v="2F28S1" u="1"/>
        <s v="2F6FH2" u="1"/>
        <s v="2F41N2" u="1"/>
        <s v="2F1XV2" u="1"/>
        <s v="2F7C82" u="1"/>
        <s v="2F41Q2" u="1"/>
        <s v="2F1XU2" u="1"/>
        <s v="2F6FE2" u="1"/>
        <s v="2F6FI1" u="1"/>
        <s v="2F41C2" u="1"/>
        <s v="2F7C71" u="1"/>
        <s v="2F6FN3" u="1"/>
        <s v="2F6FP2" u="1"/>
        <s v="2F1YE2" u="1"/>
        <s v="2F41R1" u="1"/>
        <s v="2F6FQ1" u="1"/>
        <s v="2F1YD1" u="1"/>
        <s v="2F28Q2" u="1"/>
        <s v="2F7C33" u="1"/>
        <s v="2F41H3" u="1"/>
        <s v="2F1XT2" u="1"/>
        <s v="2F08K3" u="1"/>
        <s v="2F28P2" u="1"/>
        <s v="2F41D2" u="1"/>
        <s v="2F41B2" u="1"/>
        <s v="2F41J2" u="1"/>
        <s v="2F1XP2" u="1"/>
        <s v="2F1XS2" u="1"/>
        <s v="2F28R2" u="1"/>
        <s v="2F40R2" u="1"/>
        <s v="2F7C43" u="1"/>
        <s v="2F1XX2" u="1"/>
        <s v="2F1XW2" u="1"/>
        <s v="2F7C53" u="1"/>
        <s v="2F6FK1" u="1"/>
        <s v="2F41K2" u="1"/>
        <s v="2F6FJ3" u="1"/>
        <s v="2F7C62" u="1"/>
        <s v="2F1XY2" u="1"/>
        <s v="2F28M2" u="1"/>
        <s v="2F1WZ2" u="1"/>
        <s v="2F41E1" u="1"/>
        <s v="2F6FC3" u="1"/>
        <s v="2F1XD2" u="1"/>
        <s v="2F7B92" u="1"/>
        <s v="2F1XF2" u="1"/>
        <s v="2F1XI2" u="1"/>
        <s v="2F1XH2" u="1"/>
        <s v="2F1XE2" u="1"/>
        <s v="2F28L1" u="1"/>
        <s v="2F6ER2" u="1"/>
        <s v="2F1XC2" u="1"/>
        <s v="2F1XG2" u="1"/>
        <s v="2F1WR2" u="1"/>
        <s v="2F28N2" u="1"/>
        <s v="2F41A2" u="1"/>
        <s v="2F1XB2" u="1"/>
        <s v="2F6DU2" u="1"/>
        <s v="2F40Z2" u="1"/>
        <s v="2F41F2" u="1"/>
        <s v="2F6FB1" u="1"/>
        <s v="2F7C03" u="1"/>
        <s v="2F1XJ2" u="1"/>
        <s v="2F1XM2" u="1"/>
        <s v="2F7C12" u="1"/>
        <s v="2F6FD1" u="1"/>
        <s v="2F6FG1" u="1"/>
        <s v="2F7C21" u="1"/>
        <s v="2F28K2" u="1"/>
        <s v="2F40X2" u="1"/>
        <s v="2F6EL1" u="1"/>
        <s v="2F1WS2" u="1"/>
        <s v="2F1WU2" u="1"/>
        <s v="2F1WQ1" u="1"/>
        <s v="2F1WL2" u="1"/>
        <s v="2F40W2" u="1"/>
        <s v="2F28J1" u="1"/>
        <s v="2F40Y2" u="1"/>
        <s v="2F1WY2" u="1"/>
        <s v="2F28I2" u="1"/>
        <s v="2F6EJ3" u="1"/>
        <s v="2F1WV2" u="1"/>
        <s v="2F6EN1" u="1"/>
        <s v="2F40S2" u="1"/>
        <s v="2F6EP1" u="1"/>
        <s v="2F6EM3" u="1"/>
        <s v="2F7B61" u="1"/>
        <s v="2F6ES1" u="1"/>
        <s v="2F7B73" u="1"/>
        <s v="2F6ET1" u="1"/>
        <s v="2F6EU1" u="1"/>
        <s v="2F1XA2" u="1"/>
        <s v="2F7B82" u="1"/>
        <s v="2F6EW1" u="1"/>
        <s v="2F6EV1" u="1"/>
        <s v="2F6EX1" u="1"/>
        <s v="2F6EY2" u="1"/>
        <s v="2F6EZ1" u="1"/>
        <s v="2F6FA3" u="1"/>
        <s v="2F1WG2" u="1"/>
        <s v="2F28H2" u="1"/>
        <s v="2F40Q2" u="1"/>
        <s v="2F40P2" u="1"/>
        <s v="2F6EC2" u="1"/>
        <s v="2F1WJ2" u="1"/>
        <s v="2F1WF1" u="1"/>
        <s v="2F40N1" u="1"/>
        <s v="2F6ED2" u="1"/>
        <s v="2F40E2" u="1"/>
        <s v="2F1WP2" u="1"/>
        <s v="2F1VL2" u="1"/>
        <s v="2F28F2" u="1"/>
        <s v="2F1WK2" u="1"/>
        <s v="2F9TY2" u="1"/>
        <s v="2F6EG1" u="1"/>
        <s v="2F7B43" u="1"/>
        <s v="2F40M2" u="1"/>
        <s v="2F9TZ2" u="1"/>
        <s v="2F1WT2" u="1"/>
        <s v="2F40T3" u="1"/>
        <s v="2F6EK3" u="1"/>
        <s v="2F40U3" u="1"/>
        <s v="2F40V1" u="1"/>
        <s v="2F6EQ1" u="1"/>
        <s v="2F7B51" u="1"/>
        <s v="2F4911" u="1"/>
        <s v="2F40H2" u="1"/>
        <s v="2F6DV2" u="1"/>
        <s v="2F1VZ2" u="1"/>
        <s v="2F1WE2" u="1"/>
        <s v="2F28D1" u="1"/>
        <s v="2F6DY2" u="1"/>
        <s v="2F1VX2" u="1"/>
        <s v="2F7B22" u="1"/>
        <s v="2F6EA1" u="1"/>
        <s v="2F6EB2" u="1"/>
        <s v="2F40I2" u="1"/>
        <s v="2F7B32" u="1"/>
        <s v="2F6DZ2" u="1"/>
        <s v="2F40L2" u="1"/>
        <s v="2F1WC2" u="1"/>
        <s v="2F6DS2" u="1"/>
        <s v="2F1VW2" u="1"/>
        <s v="2F08J2" u="1"/>
        <s v="2F08I1" u="1"/>
        <s v="2F1WD2" u="1"/>
        <s v="2F1WI1" u="1"/>
        <s v="2F9TU2" u="1"/>
        <s v="2F1WM2" u="1"/>
        <s v="2F1WN2" u="1"/>
        <s v="2F6EI3" u="1"/>
        <s v="2F9TW2" u="1"/>
        <s v="2F9TX2" u="1"/>
        <s v="2F7A42" u="1"/>
        <s v="2F08G2" u="1"/>
        <s v="2F4902" u="1"/>
        <s v="2F4982" u="1"/>
        <s v="2F4871" u="1"/>
        <s v="2F4471" u="1"/>
        <s v="2F7A82" u="1"/>
        <s v="2F1VK2" u="1"/>
        <s v="2F4941" u="1"/>
        <s v="2F4881" u="1"/>
        <s v="2F4921" u="1"/>
        <s v="2F1VV2" u="1"/>
        <s v="2F1VU2" u="1"/>
        <s v="2F4951" u="1"/>
        <s v="2F28C2" u="1"/>
        <s v="2F4931" u="1"/>
        <s v="2F1VT2" u="1"/>
        <s v="2F6DQ2" u="1"/>
        <s v="2F6DK2" u="1"/>
        <s v="2F4892" u="1"/>
        <s v="2F6DL2" u="1"/>
        <s v="2F7A71" u="1"/>
        <s v="2F4962" u="1"/>
        <s v="2F6DP1" u="1"/>
        <s v="2F4972" u="1"/>
        <s v="2F6DT1" u="1"/>
        <s v="2F4993" u="1"/>
        <s v="2F40D1" u="1"/>
        <s v="2F6DW3" u="1"/>
        <s v="2F40C2" u="1"/>
        <s v="2F1VY2" u="1"/>
        <s v="2F40G2" u="1"/>
        <s v="2F1WA2" u="1"/>
        <s v="2F28E2" u="1"/>
        <s v="2F7B03" u="1"/>
        <s v="2F7A92" u="1"/>
        <s v="2F08H2" u="1"/>
        <s v="2F7B13" u="1"/>
        <s v="2F40J2" u="1"/>
        <s v="2F40K2" u="1"/>
        <s v="2F1VQ2" u="1"/>
        <s v="2F1VM2" u="1"/>
        <s v="2F6DM1" u="1"/>
        <s v="2F4842" u="1"/>
        <s v="2F4861" u="1"/>
        <s v="2F7A32" u="1"/>
        <s v="2F28B1" u="1"/>
        <s v="2F4811" u="1"/>
        <s v="2F1VJ2" u="1"/>
        <s v="2F4761" u="1"/>
        <s v="2F1VN2" u="1"/>
        <s v="2F4751" u="1"/>
        <s v="2F28A2" u="1"/>
        <s v="2F4771" u="1"/>
        <s v="2F6DG2" u="1"/>
        <s v="2F4712" u="1"/>
        <s v="2F4682" u="1"/>
        <s v="2F6DE2" u="1"/>
        <s v="2F6DJ3" u="1"/>
        <s v="2F6DI2" u="1"/>
        <s v="2F4632" u="1"/>
        <s v="2F4802" u="1"/>
        <s v="2F4833" u="1"/>
        <s v="2F1VR2" u="1"/>
        <s v="2F6DN1" u="1"/>
        <s v="2F4851" u="1"/>
        <s v="2F7A53" u="1"/>
        <s v="2F6DR1" u="1"/>
        <s v="2F7A61" u="1"/>
        <s v="2F1VH2" u="1"/>
        <s v="2F1VE2" u="1"/>
        <s v="2F4532" u="1"/>
        <s v="2F4292" u="1"/>
        <s v="2F6DA2" u="1"/>
        <s v="2F4692" u="1"/>
        <s v="2F4731" u="1"/>
        <s v="2F27Y1" u="1"/>
        <s v="2F6DB3" u="1"/>
        <s v="2F4461" u="1"/>
        <s v="2F1VG2" u="1"/>
        <s v="2F1VF2" u="1"/>
        <s v="2F4611" u="1"/>
        <s v="2F6DC1" u="1"/>
        <s v="2F6CZ1" u="1"/>
        <s v="2F7A13" u="1"/>
        <s v="2F6DD2" u="1"/>
        <s v="2F4342" u="1"/>
        <s v="2F1VD2" u="1"/>
        <s v="2F6CY1" u="1"/>
        <s v="2F9SW2" u="1"/>
        <s v="2F4591" u="1"/>
        <s v="2F4641" u="1"/>
        <s v="2F7A22" u="1"/>
        <s v="2F4742" u="1"/>
        <s v="2F4781" u="1"/>
        <s v="2F4791" u="1"/>
        <s v="2F9TA1" u="1"/>
        <s v="2F4722" u="1"/>
        <s v="2F6DF3" u="1"/>
        <s v="2F4821" u="1"/>
        <s v="2F6DH1" u="1"/>
        <s v="2F1VP2" u="1"/>
        <s v="2F9TF3" u="1"/>
        <s v="2F6CQ2" u="1"/>
        <s v="2F1TV2" u="1"/>
        <s v="2F27V1" u="1"/>
        <s v="2F4432" u="1"/>
        <s v="2F08F2" u="1"/>
        <s v="2F4511" u="1"/>
        <s v="2F27W1" u="1"/>
        <s v="2F08E1" u="1"/>
        <s v="2F4521" u="1"/>
        <s v="2F1VC2" u="1"/>
        <s v="2F4601" u="1"/>
        <s v="2F1TP2" u="1"/>
        <s v="2F4491" u="1"/>
        <s v="2F3XW1" u="1"/>
        <s v="2F4571" u="1"/>
        <s v="2F4581" u="1"/>
        <s v="2F6BR2" u="1"/>
        <s v="2F6CT2" u="1"/>
        <s v="2F79W3" u="1"/>
        <s v="2F6CU3" u="1"/>
        <s v="2F6CX1" u="1"/>
        <s v="2F4561" u="1"/>
        <s v="2F4651" u="1"/>
        <s v="2F4621" u="1"/>
        <s v="2F4662" u="1"/>
        <s v="2F27Z2" u="1"/>
        <s v="2F79Y2" u="1"/>
        <s v="2F79Z1" u="1"/>
        <s v="2F4673" u="1"/>
        <s v="2F4703" u="1"/>
        <s v="2F1TW2" u="1"/>
        <s v="2F1TZ2" u="1"/>
        <s v="2F4382" u="1"/>
        <s v="2F27X2" u="1"/>
        <s v="2F08C2" u="1"/>
        <s v="2F27U1" u="1"/>
        <s v="2F79X2" u="1"/>
        <s v="2F4411" u="1"/>
        <s v="2F79V2" u="1"/>
        <s v="2F1TX2" u="1"/>
        <s v="2F1TS2" u="1"/>
        <s v="2F4421" u="1"/>
        <s v="2F1TJ2" u="1"/>
        <s v="2F4442" u="1"/>
        <s v="2F4451" u="1"/>
        <s v="2F4401" u="1"/>
        <s v="2F4182" u="1"/>
        <s v="2F4352" u="1"/>
        <s v="2F79U2" u="1"/>
        <s v="2F4361" u="1"/>
        <s v="2F1TY2" u="1"/>
        <s v="2F1VA2" u="1"/>
        <s v="2F4391" u="1"/>
        <s v="2F1RJ2" u="1"/>
        <s v="2F4481" u="1"/>
        <s v="2F08D3" u="1"/>
        <s v="2F1VB2" u="1"/>
        <s v="2F4503" u="1"/>
        <s v="2F4541" u="1"/>
        <s v="2F4551" u="1"/>
        <s v="2F6CW1" u="1"/>
        <s v="2F6CV3" u="1"/>
        <s v="2F4211" u="1"/>
        <s v="2F1TI2" u="1"/>
        <s v="2F07V2" u="1"/>
        <s v="2F4223" u="1"/>
        <s v="2F1TQ2" u="1"/>
        <s v="2F1TB2" u="1"/>
        <s v="2F6CJ1" u="1"/>
        <s v="2F4141" u="1"/>
        <s v="2F27Q2" u="1"/>
        <s v="2F1TM2" u="1"/>
        <s v="2F27S2" u="1"/>
        <s v="2F07Y2" u="1"/>
        <s v="2F4231" u="1"/>
        <s v="2F4261" u="1"/>
        <s v="2F1TN2" u="1"/>
        <s v="2F4271" u="1"/>
        <s v="2F1TL2" u="1"/>
        <s v="2F4131" u="1"/>
        <s v="2F4282" u="1"/>
        <s v="2F4111" u="1"/>
        <s v="2F4171" u="1"/>
        <s v="2F4202" u="1"/>
        <s v="2F3WV2" u="1"/>
        <s v="2F6CP3" u="1"/>
        <s v="2F6CL3" u="1"/>
        <s v="2F6CF1" u="1"/>
        <s v="2F4242" u="1"/>
        <s v="2F1TR2" u="1"/>
        <s v="2F6CK1" u="1"/>
        <s v="2F4311" u="1"/>
        <s v="2F1SN2" u="1"/>
        <s v="2F1MT2" u="1"/>
        <s v="2F27R1" u="1"/>
        <s v="2F4151" u="1"/>
        <s v="2F08A2" u="1"/>
        <s v="2F6CR3" u="1"/>
        <s v="2F4332" u="1"/>
        <s v="2F6CS1" u="1"/>
        <s v="2F1TT2" u="1"/>
        <s v="2F4321" u="1"/>
        <s v="2F4372" u="1"/>
        <s v="2F07Z1" u="1"/>
        <s v="2F1SK2" u="1"/>
        <s v="2F3YZ2" u="1"/>
        <s v="2F27L2" u="1"/>
        <s v="2F1SV2" u="1"/>
        <s v="2F1SE2" u="1"/>
        <s v="2F1TH2" u="1"/>
        <s v="2F27K1" u="1"/>
        <s v="2F79N2" u="1"/>
        <s v="2F3YN1" u="1"/>
        <s v="2F3YK1" u="1"/>
        <s v="2F1SZ2" u="1"/>
        <s v="2F3YW1" u="1"/>
        <s v="2F1TA2" u="1"/>
        <s v="2F07X3" u="1"/>
        <s v="2F4192" u="1"/>
        <s v="2F3YU1" u="1"/>
        <s v="2F4122" u="1"/>
        <s v="2F3YY2" u="1"/>
        <s v="2F6BV2" u="1"/>
        <s v="2F1TF2" u="1"/>
        <s v="2F4061" u="1"/>
        <s v="2F27M2" u="1"/>
        <s v="2F1TK2" u="1"/>
        <s v="2F4161" u="1"/>
        <s v="2F27P2" u="1"/>
        <s v="2F79R1" u="1"/>
        <s v="2F79S2" u="1"/>
        <s v="2F4253" u="1"/>
        <s v="2F6CM1" u="1"/>
        <s v="2F79T3" u="1"/>
        <s v="2F6CN3" u="1"/>
        <s v="2F2ZA2" u="1"/>
        <s v="2F27H2" u="1"/>
        <s v="2F1SW2" u="1"/>
        <s v="2F1SY2" u="1"/>
        <s v="2F1QH2" u="1"/>
        <s v="2F1SR2" u="1"/>
        <s v="2F1SQ2" u="1"/>
        <s v="2F3XD1" u="1"/>
        <s v="2F1SF2" u="1"/>
        <s v="2F4103" u="1"/>
        <s v="2F3YV1" u="1"/>
        <s v="2F3XR2" u="1"/>
        <s v="2F79M3" u="1"/>
        <s v="2F6CC3" u="1"/>
        <s v="2F4071" u="1"/>
        <s v="2F4081" u="1"/>
        <s v="2F1SM2" u="1"/>
        <s v="2F4091" u="1"/>
        <s v="2F1SU1" u="1"/>
        <s v="2F4021" u="1"/>
        <s v="2F27I1" u="1"/>
        <s v="2F27J2" u="1"/>
        <s v="2F6CG2" u="1"/>
        <s v="2F1TC2" u="1"/>
        <s v="2F1MR2" u="1"/>
        <s v="2F6CH3" u="1"/>
        <s v="2F6CI3" u="1"/>
        <s v="2F07W1" u="1"/>
        <s v="2F79Q2" u="1"/>
        <s v="2F79P1" u="1"/>
        <s v="2F1TG2" u="1"/>
        <s v="2F1SX2" u="1"/>
        <s v="2F1SC2" u="1"/>
        <s v="2F3YT3" u="1"/>
        <s v="2F07T2" u="1"/>
        <s v="2F27F2" u="1"/>
        <s v="2F1SJ1" u="1"/>
        <s v="2F6CE2" u="1"/>
        <s v="2F3YR2" u="1"/>
        <s v="2F1QY2" u="1"/>
        <s v="2F1SH2" u="1"/>
        <s v="2F1SI2" u="1"/>
        <s v="2F3WG1" u="1"/>
        <s v="2F1SG2" u="1"/>
        <s v="2F3YP2" u="1"/>
        <s v="2F3XT1" u="1"/>
        <s v="2F3XS2" u="1"/>
        <s v="2F27G2" u="1"/>
        <s v="2F3XU2" u="1"/>
        <s v="2F79I1" u="1"/>
        <s v="2F3YQ1" u="1"/>
        <s v="2F6CD3" u="1"/>
        <s v="2F6CA2" u="1"/>
        <s v="2F3YM1" u="1"/>
        <s v="2F1QX2" u="1"/>
        <s v="2F1SA1" u="1"/>
        <s v="2F27D1" u="1"/>
        <s v="2F1SL1" u="1"/>
        <s v="2F3YS2" u="1"/>
        <s v="2F9RR2" u="1"/>
        <s v="2F1SP2" u="1"/>
        <s v="2F07U2" u="1"/>
        <s v="2F9UR2" u="1"/>
        <s v="2F9RT2" u="1"/>
        <s v="2F4001" u="1"/>
        <s v="2F1SS1" u="1"/>
        <s v="2F4011" u="1"/>
        <s v="2F4031" u="1"/>
        <s v="2F1ST2" u="1"/>
        <s v="2F79K2" u="1"/>
        <s v="2F79L2" u="1"/>
        <s v="2F4041" u="1"/>
        <s v="2F4051" u="1"/>
        <s v="2F3XZ1" u="1"/>
        <s v="2F07R2" u="1"/>
        <s v="2F1QV2" u="1"/>
        <s v="2F27C1" u="1"/>
        <s v="2F6BX3" u="1"/>
        <s v="2F27E2" u="1"/>
        <s v="2F1QU2" u="1"/>
        <s v="2F1QL2" u="1"/>
        <s v="2F1QQ2" u="1"/>
        <s v="2F6BZ3" u="1"/>
        <s v="2F1QN2" u="1"/>
        <s v="2F1QK2" u="1"/>
        <s v="2F3WD1" u="1"/>
        <s v="2F3YF3" u="1"/>
        <s v="2F27B2" u="1"/>
        <s v="2F3YD2" u="1"/>
        <s v="2F1QW2" u="1"/>
        <s v="2F3XY2" u="1"/>
        <s v="2F3YE1" u="1"/>
        <s v="2F79H2" u="1"/>
        <s v="2F1QJ2" u="1"/>
        <s v="2F1SB2" u="1"/>
        <s v="2F1QZ2" u="1"/>
        <s v="2F3YI1" u="1"/>
        <s v="2F3YJ2" u="1"/>
        <s v="2F3YH2" u="1"/>
        <s v="2F6CB3" u="1"/>
        <s v="2F3YL1" u="1"/>
        <s v="2F07S2" u="1"/>
        <s v="2F79J2" u="1"/>
        <s v="2F9RM2" u="1"/>
        <s v="2F1PD2" u="1"/>
        <s v="2F1QB2" u="1"/>
        <s v="2F07L2" u="1"/>
        <s v="2F07Q2" u="1"/>
        <s v="2F26X1" u="1"/>
        <s v="2F3XX1" u="1"/>
        <s v="2F3XV1" u="1"/>
        <s v="2F1PN2" u="1"/>
        <s v="2F1QM2" u="1"/>
        <s v="2F1PT2" u="1"/>
        <s v="2F3WA1" u="1"/>
        <s v="2F1PW2" u="1"/>
        <s v="2F1QP2" u="1"/>
        <s v="2F6BS2" u="1"/>
        <s v="2F6BU1" u="1"/>
        <s v="2F79G1" u="1"/>
        <s v="2F6BT3" u="1"/>
        <s v="2F3XP2" u="1"/>
        <s v="2F27A1" u="1"/>
        <s v="2F1QE2" u="1"/>
        <s v="2F07M2" u="1"/>
        <s v="2F3YA3" u="1"/>
        <s v="2F1QR2" u="1"/>
        <s v="2F6BW1" u="1"/>
        <s v="2F3YB1" u="1"/>
        <s v="2F1QS2" u="1"/>
        <s v="2F3YC2" u="1"/>
        <s v="2F1QT2" u="1"/>
        <s v="2F6BY3" u="1"/>
        <s v="2F3YG3" u="1"/>
        <s v="2F1PU2" u="1"/>
        <s v="2F3XN2" u="1"/>
        <s v="2F6BP1" u="1"/>
        <s v="2F6BQ3" u="1"/>
        <s v="2F1PZ2" u="1"/>
        <s v="2F1PV2" u="1"/>
        <s v="2F1PY2" u="1"/>
        <s v="2F6BM1" u="1"/>
        <s v="2F1QC2" u="1"/>
        <s v="2F07G2" u="1"/>
        <s v="2F3WM1" u="1"/>
        <s v="2F6BL1" u="1"/>
        <s v="2F6BD2" u="1"/>
        <s v="2F3WI2" u="1"/>
        <s v="2F6BJ1" u="1"/>
        <s v="2F3XI2" u="1"/>
        <s v="2F26W2" u="1"/>
        <s v="2F1PP2" u="1"/>
        <s v="2F26U1" u="1"/>
        <s v="2F1PQ2" u="1"/>
        <s v="2F1PX2" u="1"/>
        <s v="2F07K2" u="1"/>
        <s v="2F1JQ2" u="1"/>
        <s v="2F1QF2" u="1"/>
        <s v="2F1QD2" u="1"/>
        <s v="2F3XQ1" u="1"/>
        <s v="2F9QP2" u="1"/>
        <s v="2F9QN2" u="1"/>
        <s v="2F1QG2" u="1"/>
        <s v="2F26Y2" u="1"/>
        <s v="2F1QI1" u="1"/>
        <s v="2F79F2" u="1"/>
        <s v="2F9QU2" u="1"/>
        <s v="2F26Z2" u="1"/>
        <s v="2F07N3" u="1"/>
        <s v="2F9QW2" u="1"/>
        <s v="2F07P2" u="1"/>
        <s v="2F9QZ3" u="1"/>
        <s v="2F1PI2" u="1"/>
        <s v="2F1PJ2" u="1"/>
        <s v="2F3XB2" u="1"/>
        <s v="2F6BE2" u="1"/>
        <s v="2F1PF2" u="1"/>
        <s v="2F1PA2" u="1"/>
        <s v="2F1PG1" u="1"/>
        <s v="2F3XF2" u="1"/>
        <s v="2F6BG1" u="1"/>
        <s v="2F1PC2" u="1"/>
        <s v="2F1PE2" u="1"/>
        <s v="2F1PM2" u="1"/>
        <s v="2F07A3" u="1"/>
        <s v="2F3XH1" u="1"/>
        <s v="2F3XE3" u="1"/>
        <s v="2F6W12" u="1"/>
        <s v="2F6Y82" u="1"/>
        <s v="2F6BF1" u="1"/>
        <s v="2F3WU2" u="1"/>
        <s v="2F3XG3" u="1"/>
        <s v="2F3XC2" u="1"/>
        <s v="2F1PK2" u="1"/>
        <s v="2F1JX1" u="1"/>
        <s v="2F1PL2" u="1"/>
        <s v="2F6BH1" u="1"/>
        <s v="2F3XK3" u="1"/>
        <s v="2F07F2" u="1"/>
        <s v="2F6BI3" u="1"/>
        <s v="2F3XL2" u="1"/>
        <s v="2F26V2" u="1"/>
        <s v="2F1PS2" u="1"/>
        <s v="2F1PR2" u="1"/>
        <s v="2F3XJ1" u="1"/>
        <s v="2F79D2" u="1"/>
        <s v="2F6BK1" u="1"/>
        <s v="2F79E3" u="1"/>
        <s v="2F9QK2" u="1"/>
        <s v="2F07H1" u="1"/>
        <s v="2F3XM1" u="1"/>
        <s v="2F07I2" u="1"/>
        <s v="2F07J2" u="1"/>
        <s v="2F1JU2" u="1"/>
        <s v="2F26T1" u="1"/>
        <s v="2F06Y2" u="1"/>
        <s v="2F3WZ1" u="1"/>
        <s v="2F6AS3" u="1"/>
        <s v="2F07C2" u="1"/>
        <s v="2F07B2" u="1"/>
        <s v="2F06Z2" u="1"/>
        <s v="2F1JT2" u="1"/>
        <s v="2F26N1" u="1"/>
        <s v="2F6AX1" u="1"/>
        <s v="2F1JV2" u="1"/>
        <s v="2F3XA2" u="1"/>
        <s v="2F3WK1" u="1"/>
        <s v="2F78Z2" u="1"/>
        <s v="2F6AR3" u="1"/>
        <s v="2F6W42" u="1"/>
        <s v="2F78M3" u="1"/>
        <s v="2F9PZ2" u="1"/>
        <s v="2F1JW2" u="1"/>
        <s v="2F9QA3" u="1"/>
        <s v="2F26S2" u="1"/>
        <s v="2F3WF2" u="1"/>
        <s v="2F3VJ1" u="1"/>
        <s v="2F1JY2" u="1"/>
        <s v="2F6AV3" u="1"/>
        <s v="2F6AW3" u="1"/>
        <s v="2F6Y72" u="1"/>
        <s v="2F78Y2" u="1"/>
        <s v="2F1JK2" u="1"/>
        <s v="2F79B2" u="1"/>
        <s v="2F79A2" u="1"/>
        <s v="2F6AY3" u="1"/>
        <s v="2F6AZ1" u="1"/>
        <s v="2F6BA1" u="1"/>
        <s v="2F1JZ1" u="1"/>
        <s v="2F07D2" u="1"/>
        <s v="2F07E2" u="1"/>
        <s v="2F79C2" u="1"/>
        <s v="2F1PB2" u="1"/>
        <s v="2F6BC1" u="1"/>
        <s v="2F6BB2" u="1"/>
        <s v="2F1IK2" u="1"/>
        <s v="2F78U2" u="1"/>
        <s v="5F1TC3" u="1"/>
        <s v="2F3WT2" u="1"/>
        <s v="2F06X2" u="1"/>
        <s v="2F78W2" u="1"/>
        <s v="2F1JR1" u="1"/>
        <s v="2F6AM1" u="1"/>
        <s v="2F1JM2" u="1"/>
        <s v="2F3WR3" u="1"/>
        <s v="2F1JL2" u="1"/>
        <s v="2F6AH2" u="1"/>
        <s v="2F6AG2" u="1"/>
        <s v="2F78X2" u="1"/>
        <s v="2F3WQ2" u="1"/>
        <s v="2F6AN1" u="1"/>
        <s v="2F6AL3" u="1"/>
        <s v="2F06W2" u="1"/>
        <s v="2F26P1" u="1"/>
        <s v="2F78V2" u="1"/>
        <s v="2F1JP1" u="1"/>
        <s v="2F3WW1" u="1"/>
        <s v="2F3WX1" u="1"/>
        <s v="2F1JS2" u="1"/>
        <s v="2F6AK3" u="1"/>
        <s v="2F6AP1" u="1"/>
        <s v="2F6AT3" u="1"/>
        <s v="2F9PQ2" u="1"/>
        <s v="2F6AU1" u="1"/>
        <s v="2F6AQ3" u="1"/>
        <s v="2F3WY2" u="1"/>
        <s v="2F6Z61" u="1"/>
        <s v="2F6Z42" u="1"/>
        <s v="2F3WL2" u="1"/>
        <s v="2F1JI2" u="1"/>
        <s v="2F1JH2" u="1"/>
        <s v="2F1IX2" u="1"/>
        <s v="2F3VZ1" u="1"/>
        <s v="2F1JF2" u="1"/>
        <s v="2F1JG2" u="1"/>
        <s v="2F1JD2" u="1"/>
        <s v="2F3WB3" u="1"/>
        <s v="2F3VH1" u="1"/>
        <s v="2F3WJ3" u="1"/>
        <s v="2F3WC2" u="1"/>
        <s v="2F26Q2" u="1"/>
        <s v="2F3VW2" u="1"/>
        <s v="2F6AF1" u="1"/>
        <s v="2F06V2" u="1"/>
        <s v="2F06T2" u="1"/>
        <s v="2F06U2" u="1"/>
        <s v="2F1HH2" u="1"/>
        <s v="2F3WN1" u="1"/>
        <s v="2F1JJ2" u="1"/>
        <s v="2F3WP2" u="1"/>
        <s v="2F3WS2" u="1"/>
        <s v="2F1JN1" u="1"/>
        <s v="2F6AI3" u="1"/>
        <s v="2F6AJ1" u="1"/>
        <s v="2F1ID2" u="1"/>
        <s v="2F1IV2" u="1"/>
        <s v="2F1IG2" u="1"/>
        <s v="2F6Z31" u="1"/>
        <s v="2F3VL1" u="1"/>
        <s v="2F1IT2" u="1"/>
        <s v="2F1HG1" u="1"/>
        <s v="2F3VC1" u="1"/>
        <s v="2F1IY2" u="1"/>
        <s v="2F1IQ2" u="1"/>
        <s v="2F3VS1" u="1"/>
        <s v="2F1IJ1" u="1"/>
        <s v="2FM0952" u="1"/>
        <s v="2F3VA1" u="1"/>
        <s v="2F1IS2" u="1"/>
        <s v="2F1IU2" u="1"/>
        <s v="2F3VV1" u="1"/>
        <s v="2F3VQ2" u="1"/>
        <s v="2F6Z12" u="1"/>
        <s v="2F6Z71" u="1"/>
        <s v="2F6Z01" u="1"/>
        <s v="2F78S2" u="1"/>
        <s v="2F3VN2" u="1"/>
        <s v="2F06S2" u="1"/>
        <s v="2F3VU2" u="1"/>
        <s v="2F3SJ2" u="1"/>
        <s v="2F3VD2" u="1"/>
        <s v="2F1IW2" u="1"/>
        <s v="2F6Z51" u="1"/>
        <s v="2F26I1" u="1"/>
        <s v="5F1MX1" u="1"/>
        <s v="2F26K1" u="1"/>
        <s v="2F1IP1" u="1"/>
        <s v="2F26M1" u="1"/>
        <s v="2F78N2" u="1"/>
        <s v="2F6Z83" u="1"/>
        <s v="2F1IZ2" u="1"/>
        <s v="2F1JA2" u="1"/>
        <s v="2F1JB2" u="1"/>
        <s v="2F6Z93" u="1"/>
        <s v="2F3VX1" u="1"/>
        <s v="2F3VY2" u="1"/>
        <s v="2F6AA1" u="1"/>
        <s v="2F1JC2" u="1"/>
        <s v="2F6AB1" u="1"/>
        <s v="2F1JE1" u="1"/>
        <s v="2F6AC3" u="1"/>
        <s v="2F6AE1" u="1"/>
        <s v="2F3WE1" u="1"/>
        <s v="2F9PA3" u="1"/>
        <s v="2F3WH1" u="1"/>
        <s v="2F9PG3" u="1"/>
        <s v="2F1IB2" u="1"/>
        <s v="2F6Y62" u="1"/>
        <s v="2F3VM1" u="1"/>
        <s v="2F1HK2" u="1"/>
        <s v="2F1II1" u="1"/>
        <s v="2F1IH2" u="1"/>
        <s v="2F78L3" u="1"/>
        <s v="2F1HZ2" u="1"/>
        <s v="2F3VF1" u="1"/>
        <s v="2F1IC2" u="1"/>
        <s v="2F3VI3" u="1"/>
        <s v="2F6Y51" u="1"/>
        <s v="2F6V91" u="1"/>
        <s v="2F3TC2" u="1"/>
        <s v="2F6X83" u="1"/>
        <s v="2F3VP2" u="1"/>
        <s v="2F1HX2" u="1"/>
        <s v="2F1HW2" u="1"/>
        <s v="2F26H2" u="1"/>
        <s v="2F1HT2" u="1"/>
        <s v="2F1IF2" u="1"/>
        <s v="2F26J2" u="1"/>
        <s v="2F06Q1" u="1"/>
        <s v="2F1IL2" u="1"/>
        <s v="2F6Y91" u="1"/>
        <s v="2F3VR2" u="1"/>
        <s v="2F1IN2" u="1"/>
        <s v="2F78P2" u="1"/>
        <s v="2F06R1" u="1"/>
        <s v="2F6Z23" u="1"/>
        <s v="2F1IR2" u="1"/>
        <s v="2F78Q2" u="1"/>
        <s v="2F78R2" u="1"/>
        <s v="2F3VT2" u="1"/>
        <s v="2F78T2" u="1"/>
        <s v="2F9NL3" u="1"/>
        <s v="2F1GX2" u="1"/>
        <s v="2F1HM2" u="1"/>
        <s v="2F3TZ1" u="1"/>
        <s v="2F06M2" u="1"/>
        <s v="2F1HV1" u="1"/>
        <s v="2F3TQ1" u="1"/>
        <s v="2F1HN1" u="1"/>
        <s v="2F1HP2" u="1"/>
        <s v="2F3TW1" u="1"/>
        <s v="2F1HS1" u="1"/>
        <s v="2F78E3" u="1"/>
        <s v="2F3TJ1" u="1"/>
        <s v="2F3TX1" u="1"/>
        <s v="2F6X91" u="1"/>
        <s v="2F78H3" u="1"/>
        <s v="2F3TY2" u="1"/>
        <s v="2F6X02" u="1"/>
        <s v="2F6Y12" u="1"/>
        <s v="2F1HR2" u="1"/>
        <s v="2F26E2" u="1"/>
        <s v="2F06N2" u="1"/>
        <s v="2F3VB1" u="1"/>
        <s v="2F25S1" u="1"/>
        <s v="2F6Y21" u="1"/>
        <s v="2F9MT2" u="1"/>
        <s v="2F6Y32" u="1"/>
        <s v="2F1HY2" u="1"/>
        <s v="2F78K2" u="1"/>
        <s v="2F1IA2" u="1"/>
        <s v="2F6Y43" u="1"/>
        <s v="2F78I2" u="1"/>
        <s v="2F26G2" u="1"/>
        <s v="2F3VE1" u="1"/>
        <s v="2F1IE1" u="1"/>
        <s v="2F3VG1" u="1"/>
        <s v="2F06P2" u="1"/>
        <s v="2F3VK1" u="1"/>
        <s v="2F3TH1" u="1"/>
        <s v="2F3TN1" u="1"/>
        <s v="2F6V83" u="1"/>
        <s v="2F6X11" u="1"/>
        <s v="2F1HI2" u="1"/>
        <s v="2F1HB2" u="1"/>
        <s v="2F1HD2" u="1"/>
        <s v="2F3TI1" u="1"/>
        <s v="2F26B1" u="1"/>
        <s v="2F3TD1" u="1"/>
        <s v="2F3TK2" u="1"/>
        <s v="2F3TP1" u="1"/>
        <s v="2F3TM1" u="1"/>
        <s v="2F6W83" u="1"/>
        <s v="2F3TS2" u="1"/>
        <s v="2F3TR2" u="1"/>
        <s v="2F26A2" u="1"/>
        <s v="2F3TL2" u="1"/>
        <s v="2F6W52" u="1"/>
        <s v="2F6X31" u="1"/>
        <s v="2F6W71" u="1"/>
        <s v="2F6X22" u="1"/>
        <s v="2F26D1" u="1"/>
        <s v="2F06L2" u="1"/>
        <s v="2F26C1" u="1"/>
        <s v="2F1GY2" u="1"/>
        <s v="2F6W61" u="1"/>
        <s v="2F6X62" u="1"/>
        <s v="2F6X51" u="1"/>
        <s v="2F3TU3" u="1"/>
        <s v="2F6X42" u="1"/>
        <s v="2F1HC2" u="1"/>
        <s v="2F6X71" u="1"/>
        <s v="2F1HL1" u="1"/>
        <s v="2F3TV1" u="1"/>
        <s v="2F9MK3" u="1"/>
        <s v="2F1HU2" u="1"/>
        <s v="2F6Y02" u="1"/>
        <s v="2F1GS2" u="1"/>
        <s v="2F1GU2" u="1"/>
        <s v="2F3QY1" u="1"/>
        <s v="2F06J2" u="1"/>
        <s v="2F06H2" u="1"/>
        <s v="2F1GZ2" u="1"/>
        <s v="2F1GV2" u="1"/>
        <s v="2F1GW2" u="1"/>
        <s v="2F1HA1" u="1"/>
        <s v="2F3TB1" u="1"/>
        <s v="2F3SV1" u="1"/>
        <s v="2F06K2" u="1"/>
        <s v="2F3SX1" u="1"/>
        <s v="2F25W1" u="1"/>
        <s v="2F1GA2" u="1"/>
        <s v="2F1GQ2" u="1"/>
        <s v="2F3SM1" u="1"/>
        <s v="2F3TA1" u="1"/>
        <s v="2F3SY1" u="1"/>
        <s v="2F6W03" u="1"/>
        <s v="2F6S12" u="1"/>
        <s v="2F6V02" u="1"/>
        <s v="2F6S72" u="1"/>
        <s v="2F3SI2" u="1"/>
        <s v="2F25U2" u="1"/>
        <s v="2F6V42" u="1"/>
        <s v="2F3SZ2" u="1"/>
        <s v="2F1GT1" u="1"/>
        <s v="2F6V71" u="1"/>
        <s v="2F78G2" u="1"/>
        <s v="2F25X2" u="1"/>
        <s v="2F1GR2" u="1"/>
        <s v="2F25Y2" u="1"/>
        <s v="2F3TE1" u="1"/>
        <s v="2F3TG2" u="1"/>
        <s v="2F6W21" u="1"/>
        <s v="2F1HE2" u="1"/>
        <s v="2F6W33" u="1"/>
        <s v="2F1HF1" u="1"/>
        <s v="2F1HJ1" u="1"/>
        <s v="2F6W91" u="1"/>
        <s v="2F76D2" u="1"/>
        <s v="2F9DG1" u="1"/>
        <s v="2F9FC1" u="1"/>
        <s v="2F6M63" u="1"/>
        <s v="2F1BL1" u="1"/>
        <s v="2F3QN2" u="1"/>
        <s v="2F05G2" u="1"/>
        <s v="2F1DH1" u="1"/>
        <s v="2F06E2" u="1"/>
        <s v="2F24I2" u="1"/>
        <s v="2F6P03" u="1"/>
        <s v="2F1FD1" u="1"/>
        <s v="2F3FD1" u="1"/>
        <s v="2F3GB1" u="1"/>
        <s v="2F76E2" u="1"/>
        <s v="2F9DH1" u="1"/>
        <s v="2F77C2" u="1"/>
        <s v="2F78A2" u="1"/>
        <s v="2F9FD1" u="1"/>
        <s v="2F6N53" u="1"/>
        <s v="2F05H2" u="1"/>
        <s v="2F23L2" u="1"/>
        <s v="2F6N41" u="1"/>
        <s v="2F06F2" u="1"/>
        <s v="2F24J2" u="1"/>
        <s v="2F6P13" u="1"/>
        <s v="2F76F2" u="1"/>
        <s v="2F78B2" u="1"/>
        <s v="2F3PR2" u="1"/>
        <s v="2F1BN1" u="1"/>
        <s v="2F3QP2" u="1"/>
        <s v="2F6N63" u="1"/>
        <s v="2F06G2" u="1"/>
        <s v="2F24K2" u="1"/>
        <s v="2F6P23" u="1"/>
        <s v="2F25I2" u="1"/>
        <s v="2F6Q03" u="1"/>
        <s v="2F3EH1" u="1"/>
        <s v="2F77E2" u="1"/>
        <s v="2F9FF1" u="1"/>
        <s v="2F3PS2" u="1"/>
        <s v="2F05J2" u="1"/>
        <s v="2F1DK1" u="1"/>
        <s v="2F25J2" u="1"/>
        <s v="2F76H2" u="1"/>
        <s v="2F9DK1" u="1"/>
        <s v="2F77F2" u="1"/>
        <s v="2F78D2" u="1"/>
        <s v="2F9IB3" u="1"/>
        <s v="2F3PT2" u="1"/>
        <s v="2F3QR2" u="1"/>
        <s v="2F05K2" u="1"/>
        <s v="2F6N71" u="1"/>
        <s v="2F06I2" u="1"/>
        <s v="2F24M2" u="1"/>
        <s v="2F6P43" u="1"/>
        <s v="2F25K2" u="1"/>
        <s v="2F3EK3" u="1"/>
        <s v="2F3FH1" u="1"/>
        <s v="2F3GF1" u="1"/>
        <s v="2F9DL1" u="1"/>
        <s v="2F3QS2" u="1"/>
        <s v="2F05L2" u="1"/>
        <s v="2F24N2" u="1"/>
        <s v="2F6P53" u="1"/>
        <s v="2F6Q33" u="1"/>
        <s v="2F6Q21" u="1"/>
        <s v="2F3FI1" u="1"/>
        <s v="2F76J2" u="1"/>
        <s v="2F77H2" u="1"/>
        <s v="2F05M2" u="1"/>
        <s v="2F6P63" u="1"/>
        <s v="2F6Q43" u="1"/>
        <s v="2F1FJ1" u="1"/>
        <s v="2F6S03" u="1"/>
        <s v="2F3FJ1" u="1"/>
        <s v="2F75M2" u="1"/>
        <s v="2F76K2" u="1"/>
        <s v="2F9IE3" u="1"/>
        <s v="2F3PW2" u="1"/>
        <s v="2F9JB1" u="1"/>
        <s v="2F23R2" u="1"/>
        <s v="2F24P2" u="1"/>
        <s v="2F6P73" u="1"/>
        <s v="2F3EM1" u="1"/>
        <s v="2F75N2" u="1"/>
        <s v="2F76L2" u="1"/>
        <s v="2F3JC1" u="1"/>
        <s v="2F3QV2" u="1"/>
        <s v="2F1DP1" u="1"/>
        <s v="2F24Q2" u="1"/>
        <s v="2F3SR2" u="1"/>
        <s v="2F1EN1" u="1"/>
        <s v="2F6Q63" u="1"/>
        <s v="2F6Q51" u="1"/>
        <s v="2F3FM3" u="1"/>
        <s v="2F3FL1" u="1"/>
        <s v="2F6T03" u="1"/>
        <s v="2F76M2" u="1"/>
        <s v="2F9HI3" u="1"/>
        <s v="2F3QW2" u="1"/>
        <s v="2F05P2" u="1"/>
        <s v="2F23T2" u="1"/>
        <s v="2F1T01" u="1"/>
        <s v="2F24R2" u="1"/>
        <s v="2F6S33" u="1"/>
        <s v="2F3GK1" u="1"/>
        <s v="2F3IG1" u="1"/>
        <s v="2F77L2" u="1"/>
        <s v="2F1AX1" u="1"/>
        <s v="2F1BV1" u="1"/>
        <s v="2F3QX2" u="1"/>
        <s v="2F05Q2" u="1"/>
        <s v="2F23U2" u="1"/>
        <s v="2F24S2" u="1"/>
        <s v="2F3ST2" u="1"/>
        <s v="2F1EP1" u="1"/>
        <s v="2F25Q2" u="1"/>
        <s v="2F1GL1" u="1"/>
        <s v="2F3FN1" u="1"/>
        <s v="2F3GM3" u="1"/>
        <s v="2F6T23" u="1"/>
        <s v="2F3GL1" u="1"/>
        <s v="2F6U03" u="1"/>
        <s v="2F3IH1" u="1"/>
        <s v="2F05R2" u="1"/>
        <s v="2F1S41" u="1"/>
        <s v="2F1DS1" u="1"/>
        <s v="2F24T2" u="1"/>
        <s v="2F3SU2" u="1"/>
        <s v="2F25R2" u="1"/>
        <s v="2F6Q81" u="1"/>
        <s v="2F6S53" u="1"/>
        <s v="2F6S41" u="1"/>
        <s v="2F6U13" u="1"/>
        <s v="2F75R2" u="1"/>
        <s v="2F3II1" u="1"/>
        <s v="2F3JG1" u="1"/>
        <s v="改裝OP" u="1"/>
        <s v="2F9JH3" u="1"/>
        <s v="2F04U2" u="1"/>
        <s v="2F3QZ2" u="1"/>
        <s v="2F23W2" u="1"/>
        <s v="2F24U2" u="1"/>
        <s v="2F3ER1" u="1"/>
        <s v="2F3FP1" u="1"/>
        <s v="2F3GN1" u="1"/>
        <s v="2F75S2" u="1"/>
        <s v="2F3IJ1" u="1"/>
        <s v="2F6F02" u="1"/>
        <s v="2F76Q2" u="1"/>
        <s v="2F04V2" u="1"/>
        <s v="2F05T2" u="1"/>
        <s v="2F23X2" u="1"/>
        <s v="2F24V2" u="1"/>
        <s v="2F3SW2" u="1"/>
        <s v="2F1V01" u="1"/>
        <s v="2F3FQ1" u="1"/>
        <s v="2F6T53" u="1"/>
        <s v="2F6T41" u="1"/>
        <s v="2F9CX3" u="1"/>
        <s v="2F6U21" u="1"/>
        <s v="2F6V13" u="1"/>
        <s v="2F75T2" u="1"/>
        <s v="2F1BZ1" u="1"/>
        <s v="2F04W2" u="1"/>
        <s v="2F05U2" u="1"/>
        <s v="2F23Y2" u="1"/>
        <s v="2F24W2" u="1"/>
        <s v="2F3EU3" u="1"/>
        <s v="2F6S83" u="1"/>
        <s v="2F3FR1" u="1"/>
        <s v="2F3GQ3" u="1"/>
        <s v="2F6T63" u="1"/>
        <s v="2F3GP1" u="1"/>
        <s v="2F6U43" u="1"/>
        <s v="2F75U2" u="1"/>
        <s v="2F3IL1" u="1"/>
        <s v="2F76S2" u="1"/>
        <s v="2F04X2" u="1"/>
        <s v="2F05V2" u="1"/>
        <s v="2F23Z2" u="1"/>
        <s v="2F1T61" u="1"/>
        <s v="2F3CY1" u="1"/>
        <s v="2F3DW1" u="1"/>
        <s v="2F1W01" u="1"/>
        <s v="2F6S93" u="1"/>
        <s v="2F75V2" u="1"/>
        <s v="2F3IM1" u="1"/>
        <s v="2F6F32" u="1"/>
        <s v="2F6V21" u="1"/>
        <s v="2F76T2" u="1"/>
        <s v="2F3JK1" u="1"/>
        <s v="2F6G12" u="1"/>
        <s v="2F9EU1" u="1"/>
        <s v="2F9GR3" u="1"/>
        <s v="2F05W2" u="1"/>
        <s v="2F1S91" u="1"/>
        <s v="2F9LG1" u="1"/>
        <s v="2F1V31" u="1"/>
        <s v="2F3EV1" u="1"/>
        <s v="2F1W11" u="1"/>
        <s v="2F6T71" u="1"/>
        <s v="2F75W2" u="1"/>
        <s v="2F3IN1" u="1"/>
        <s v="2F6V31" u="1"/>
        <s v="2F77S2" u="1"/>
        <s v="2F6H02" u="1"/>
        <s v="2F9FU3" u="1"/>
        <s v="2F9HQ3" u="1"/>
        <s v="2F9LI3" u="1"/>
        <s v="2F1U61" u="1"/>
        <s v="2F3DY1" u="1"/>
        <s v="2F3FU1" u="1"/>
        <s v="2F6T93" u="1"/>
        <s v="2F6T81" u="1"/>
        <s v="2F6U73" u="1"/>
        <s v="2F6U61" u="1"/>
        <s v="2F6F52" u="1"/>
        <s v="2F3JM1" u="1"/>
        <s v="2F9DY1" u="1"/>
        <s v="2F1U71" u="1"/>
        <s v="2F3DZ1" u="1"/>
        <s v="2F3GT1" u="1"/>
        <s v="2F75Y2" u="1"/>
        <s v="2F3IP1" u="1"/>
        <s v="2F6V51" u="1"/>
        <s v="2F3JN1" u="1"/>
        <s v="2F6G42" u="1"/>
        <s v="2F9EY3" u="1"/>
        <s v="2F9HS3" u="1"/>
        <s v="2F3PB1" u="1"/>
        <s v="2F05Z2" u="1"/>
        <s v="2F6U93" u="1"/>
        <s v="2F3JP3" u="1"/>
        <s v="2F6F72" u="1"/>
        <s v="2F3QA1" u="1"/>
        <s v="2F1V71" u="1"/>
        <s v="2F3FX1" u="1"/>
        <s v="2F6F82" u="1"/>
        <s v="2F76Y2" u="1"/>
        <s v="2F77W2" u="1"/>
        <s v="2F6I22" u="1"/>
        <s v="2F9GV1" u="1"/>
        <s v="2F9HU3" u="1"/>
        <s v="2F1V81" u="1"/>
        <s v="2F3FY1" u="1"/>
        <s v="2F3GW1" u="1"/>
        <s v="2F3IT3" u="1"/>
        <s v="2F6F92" u="1"/>
        <s v="2F6G72" u="1"/>
        <s v="2F9HV3" u="1"/>
        <s v="2F3PE1" u="1"/>
        <s v="2F9JQ1" u="1"/>
        <s v="2F1V91" u="1"/>
        <s v="2F3FZ1" u="1"/>
        <s v="2F3GX1" u="1"/>
        <s v="2F1Y31" u="1"/>
        <s v="2F3JR1" u="1"/>
        <s v="2F77Y2" u="1"/>
        <s v="2F6I42" u="1"/>
        <s v="2F3QD1" u="1"/>
        <s v="2F3GY1" u="1"/>
        <s v="2F1Y41" u="1"/>
        <s v="2F3IU1" u="1"/>
        <s v="2F3JS1" u="1"/>
        <s v="2F6I52" u="1"/>
        <s v="2F6J32" u="1"/>
        <s v="2F3PG1" u="1"/>
        <s v="2F3QE1" u="1"/>
        <s v="2F1Z31" u="1"/>
        <s v="2F6H82" u="1"/>
        <s v="2F6I62" u="1"/>
        <s v="2F3QF1" u="1"/>
        <s v="2F1DA2" u="1"/>
        <s v="2F24A1" u="1"/>
        <s v="2F3SB1" u="1"/>
        <s v="2F3IW1" u="1"/>
        <s v="2F6I72" u="1"/>
        <s v="2F3PI1" u="1"/>
        <s v="2F3QH3" u="1"/>
        <s v="2F24B1" u="1"/>
        <s v="2F6J62" u="1"/>
        <s v="2F3PJ1" u="1"/>
        <s v="2F6M02" u="1"/>
        <s v="2F1DC2" u="1"/>
        <s v="2F24C1" u="1"/>
        <s v="2F3SD1" u="1"/>
        <s v="2F25A1" u="1"/>
        <s v="2F1Z61" u="1"/>
        <s v="2F3JW1" u="1"/>
        <s v="2F6I92" u="1"/>
        <s v="2F6J72" u="1"/>
        <s v="2F3PK1" u="1"/>
        <s v="2F05C3" u="1"/>
        <s v="2F3QI1" u="1"/>
        <s v="2F1DD2" u="1"/>
        <s v="2F25B1" u="1"/>
        <s v="2F3JX1" u="1"/>
        <s v="2F1DE2" u="1"/>
        <s v="2F1EC2" u="1"/>
        <s v="2F1FA2" u="1"/>
        <s v="2F3JY1" u="1"/>
        <s v="2F6J92" u="1"/>
        <s v="2F1AL2" u="1"/>
        <s v="2F3PM1" u="1"/>
        <s v="2F6M32" u="1"/>
        <s v="2F3QK1" u="1"/>
        <s v="2F1DF2" u="1"/>
        <s v="2F1ED2" u="1"/>
        <s v="2F24F1" u="1"/>
        <s v="2F1FB2" u="1"/>
        <s v="2F1AM2" u="1"/>
        <s v="2F1BK2" u="1"/>
        <s v="2F1DG2" u="1"/>
        <s v="2F05E1" u="1"/>
        <s v="2F1FC2" u="1"/>
        <s v="2F25E1" u="1"/>
        <s v="2F3FC2" u="1"/>
        <s v="2F3GA2" u="1"/>
        <s v="2F76C1" u="1"/>
        <s v="2F77B3" u="1"/>
        <s v="2F1AN2" u="1"/>
        <s v="2F6M52" u="1"/>
        <s v="2F05F1" u="1"/>
        <s v="2F1EF2" u="1"/>
        <s v="2F25F1" u="1"/>
        <s v="2F1GB2" u="1"/>
        <s v="2F3EF2" u="1"/>
        <s v="2F1BM2" u="1"/>
        <s v="2F3PP1" u="1"/>
        <s v="2F1DI2" u="1"/>
        <s v="2F1EG2" u="1"/>
        <s v="2F25G1" u="1"/>
        <s v="2F1GC2" u="1"/>
        <s v="2F3FE2" u="1"/>
        <s v="2F3GC2" u="1"/>
        <s v="2F77D3" u="1"/>
        <s v="2F3PQ1" u="1"/>
        <s v="2F6M72" u="1"/>
        <s v="2F1DJ2" u="1"/>
        <s v="2F3SL3" u="1"/>
        <s v="2F1EH2" u="1"/>
        <s v="2F3SK1" u="1"/>
        <s v="2F1FF2" u="1"/>
        <s v="2F3DJ2" u="1"/>
        <s v="2F25H1" u="1"/>
        <s v="2F1GD2" u="1"/>
        <s v="2F3FF2" u="1"/>
        <s v="2F3GD2" u="1"/>
        <s v="2F76G3" u="1"/>
        <s v="2F1AQ2" u="1"/>
        <s v="2F3QQ3" u="1"/>
        <s v="2F05I1" u="1"/>
        <s v="2F1EI2" u="1"/>
        <s v="2F1FG2" u="1"/>
        <s v="2F1GE2" u="1"/>
        <s v="2F3EI2" u="1"/>
        <s v="2F3FG2" u="1"/>
        <s v="2F3GE2" u="1"/>
        <s v="2F3IA2" u="1"/>
        <s v="2F78C1" u="1"/>
        <s v="2F9GE2" u="1"/>
        <s v="2F1AR2" u="1"/>
        <s v="2F1BP2" u="1"/>
        <s v="2F6M92" u="1"/>
        <s v="2F1DL2" u="1"/>
        <s v="2F1EJ2" u="1"/>
        <s v="2F6P32" u="1"/>
        <s v="2F1FH2" u="1"/>
        <s v="2F6Q12" u="1"/>
        <s v="2F1GF2" u="1"/>
        <s v="2F3EJ2" u="1"/>
        <s v="2F3IB2" u="1"/>
        <s v="2F76I3" u="1"/>
        <s v="2F77G3" u="1"/>
        <s v="2F1AS2" u="1"/>
        <s v="2F1BQ2" u="1"/>
        <s v="2F6N82" u="1"/>
        <s v="2F1DM2" u="1"/>
        <s v="2F1EK2" u="1"/>
        <s v="2F3SN1" u="1"/>
        <s v="2F1FI2" u="1"/>
        <s v="2F1GG2" u="1"/>
        <s v="2F3GG2" u="1"/>
        <s v="2F3IC2" u="1"/>
        <s v="2F3JA2" u="1"/>
        <s v="2F78F3" u="1"/>
        <s v="2F9HE2" u="1"/>
        <s v="2F1AT2" u="1"/>
        <s v="2F3PV3" u="1"/>
        <s v="2F1BR2" u="1"/>
        <s v="2F3PU1" u="1"/>
        <s v="2F6N92" u="1"/>
        <s v="2F1EL2" u="1"/>
        <s v="2F25L1" u="1"/>
        <s v="2F1GH2" u="1"/>
        <s v="2F3EL2" u="1"/>
        <s v="2F3GH2" u="1"/>
        <s v="2F3ID2" u="1"/>
        <s v="2F3JB2" u="1"/>
        <s v="2F77I3" u="1"/>
        <s v="2F9FJ2" u="1"/>
        <s v="2F1AU2" u="1"/>
        <s v="2F1BS2" u="1"/>
        <s v="2F3QU3" u="1"/>
        <s v="2F05N3" u="1"/>
        <s v="2F3QT1" u="1"/>
        <s v="2F3SQ3" u="1"/>
        <s v="2F1EM2" u="1"/>
        <s v="2F1FK2" u="1"/>
        <s v="2F1GI2" u="1"/>
        <s v="2F3FK2" u="1"/>
        <s v="2F3GI2" u="1"/>
        <s v="2F3IE2" u="1"/>
        <s v="2F1AV2" u="1"/>
        <s v="2F1BT2" u="1"/>
        <s v="2F1FL2" u="1"/>
        <s v="2F25N1" u="1"/>
        <s v="2F1GJ2" u="1"/>
        <s v="2F3GJ2" u="1"/>
        <s v="2F3IF2" u="1"/>
        <s v="2F3JD2" u="1"/>
        <s v="2F77K3" u="1"/>
        <s v="2F77J1" u="1"/>
        <s v="2F1BU2" u="1"/>
        <s v="2F3PX1" u="1"/>
        <s v="2F1DQ2" u="1"/>
        <s v="2F23S1" u="1"/>
        <s v="2F3SS3" u="1"/>
        <s v="2F6P82" u="1"/>
        <s v="2F1FM2" u="1"/>
        <s v="2F1GK2" u="1"/>
        <s v="2F6S22" u="1"/>
        <s v="2F76N3" u="1"/>
        <s v="2F3JE2" u="1"/>
        <s v="2F3PZ3" u="1"/>
        <s v="2F3PY1" u="1"/>
        <s v="2F1DR2" u="1"/>
        <s v="2F6P92" u="1"/>
        <s v="2F1FN2" u="1"/>
        <s v="2F3DR2" u="1"/>
        <s v="2F25P1" u="1"/>
        <s v="2F6Q72" u="1"/>
        <s v="2F3EP2" u="1"/>
        <s v="2F6T12" u="1"/>
        <s v="2F75P1" u="1"/>
        <s v="2F3JF2" u="1"/>
        <s v="2F77M3" u="1"/>
        <s v="2F1AY2" u="1"/>
        <s v="2F1BW2" u="1"/>
        <s v="2F1T22" u="1"/>
        <s v="2F1EQ2" u="1"/>
        <s v="2F1U02" u="1"/>
        <s v="2F3DS2" u="1"/>
        <s v="2F1GM2" u="1"/>
        <s v="2F3EQ2" u="1"/>
        <s v="2F75Q1" u="1"/>
        <s v="2F76P3" u="1"/>
        <s v="2F9HK2" u="1"/>
        <s v="2F1AZ2" u="1"/>
        <s v="2F1BX2" u="1"/>
        <s v="2F05S3" u="1"/>
        <s v="2F1DT2" u="1"/>
        <s v="2F1ER2" u="1"/>
        <s v="2F1U12" u="1"/>
        <s v="2F1FP2" u="1"/>
        <s v="2F6Q92" u="1"/>
        <s v="2F1GN2" u="1"/>
        <s v="2F6T32" u="1"/>
        <s v="2F3JH2" u="1"/>
        <s v="2F9DT2" u="1"/>
        <s v="2F77N1" u="1"/>
        <s v="2F1BY2" u="1"/>
        <s v="2F1S62" u="1"/>
        <s v="2F1DU2" u="1"/>
        <s v="2F1T42" u="1"/>
        <s v="2F9LD2" u="1"/>
        <s v="2F1ES2" u="1"/>
        <s v="2F1U22" u="1"/>
        <s v="2F1FQ2" u="1"/>
        <s v="2F3ES2" u="1"/>
        <s v="2F6D41" u="1"/>
        <s v="2F3IK2" u="1"/>
        <s v="2F3JI2" u="1"/>
        <s v="2F77P3" u="1"/>
        <s v="2F1DV2" u="1"/>
        <s v="2F1T52" u="1"/>
        <s v="2F1ET2" u="1"/>
        <s v="2F1U32" u="1"/>
        <s v="2F1FR2" u="1"/>
        <s v="2F1V12" u="1"/>
        <s v="2F25T1" u="1"/>
        <s v="2F1GP2" u="1"/>
        <s v="2F3ET2" u="1"/>
        <s v="2F6E31" u="1"/>
        <s v="2F6F23" u="1"/>
        <s v="2F3JJ2" u="1"/>
        <s v="2F6G03" u="1"/>
        <s v="2F76R1" u="1"/>
        <s v="2F1S82" u="1"/>
        <s v="2F9KH2" u="1"/>
        <s v="2F1DW2" u="1"/>
        <s v="2F1EU2" u="1"/>
        <s v="2F1U42" u="1"/>
        <s v="2F1FS2" u="1"/>
        <s v="2F1V22" u="1"/>
        <s v="2F77Q1" u="1"/>
        <s v="2F1DX2" u="1"/>
        <s v="2F1T72" u="1"/>
        <s v="2F1EV2" u="1"/>
        <s v="2F1U52" u="1"/>
        <s v="2F24X1" u="1"/>
        <s v="2F1FT2" u="1"/>
        <s v="2F3FT2" u="1"/>
        <s v="2F3GR2" u="1"/>
        <s v="2F6U52" u="1"/>
        <s v="2F76U3" u="1"/>
        <s v="2F3JL2" u="1"/>
        <s v="2F77R1" u="1"/>
        <s v="2F9FT2" u="1"/>
        <s v="2F04Y1" u="1"/>
        <s v="2F1DY2" u="1"/>
        <s v="2F1T82" u="1"/>
        <s v="2F1EW2" u="1"/>
        <s v="2F24Y1" u="1"/>
        <s v="2F1FU2" u="1"/>
        <s v="2F1V42" u="1"/>
        <s v="2F1W22" u="1"/>
        <s v="2F1X02" u="1"/>
        <s v="2F3GS2" u="1"/>
        <s v="2F6F41" u="1"/>
        <s v="2F6G33" u="1"/>
        <s v="2F77T3" u="1"/>
        <s v="2F6G21" u="1"/>
        <s v="2F6H13" u="1"/>
        <s v="2F3PA2" u="1"/>
        <s v="2F9KK2" u="1"/>
        <s v="2F1DZ2" u="1"/>
        <s v="2F05X1" u="1"/>
        <s v="2F1T92" u="1"/>
        <s v="2F1EX2" u="1"/>
        <s v="2F24Z1" u="1"/>
        <s v="2F1FV2" u="1"/>
        <s v="2F1V52" u="1"/>
        <s v="2F3EX2" u="1"/>
        <s v="2F1W32" u="1"/>
        <s v="2F3FV2" u="1"/>
        <s v="2F1X12" u="1"/>
        <s v="2F6E83" u="1"/>
        <s v="2F6F63" u="1"/>
        <s v="2F75X1" u="1"/>
        <s v="2F76V1" u="1"/>
        <s v="2F77U3" u="1"/>
        <s v="2F6I03" u="1"/>
        <s v="2F9GT2" u="1"/>
        <s v="2F31A2" u="1"/>
        <s v="2F9KL2" u="1"/>
        <s v="2F1EY2" u="1"/>
        <s v="2F1U82" u="1"/>
        <s v="2F1FW2" u="1"/>
        <s v="2F1V62" u="1"/>
        <s v="2F3EY2" u="1"/>
        <s v="2F1W42" u="1"/>
        <s v="2F3FW2" u="1"/>
        <s v="2F3GU2" u="1"/>
        <s v="2F1Y02" u="1"/>
        <s v="2F6U82" u="1"/>
        <s v="2F75Z3" u="1"/>
        <s v="2F3IQ2" u="1"/>
        <s v="2F76X3" u="1"/>
        <s v="2F76W1" u="1"/>
        <s v="2F77V3" u="1"/>
        <s v="2F3PC2" u="1"/>
        <s v="2F1EZ2" u="1"/>
        <s v="2F1U92" u="1"/>
        <s v="2F1FX2" u="1"/>
        <s v="2F25Z1" u="1"/>
        <s v="2F3EZ2" u="1"/>
        <s v="2F1W52" u="1"/>
        <s v="2F1X32" u="1"/>
        <s v="2F1Y12" u="1"/>
        <s v="2F3IR2" u="1"/>
        <s v="2F6E91" u="1"/>
        <s v="2F6G63" u="1"/>
        <s v="2F6G51" u="1"/>
        <s v="2F6H43" u="1"/>
        <s v="2F6H31" u="1"/>
        <s v="2F6I11" u="1"/>
        <s v="2F6J03" u="1"/>
        <s v="2F3PD2" u="1"/>
        <s v="2F9JP2" u="1"/>
        <s v="2F3QB2" u="1"/>
        <s v="2F1FY2" u="1"/>
        <s v="2F1W62" u="1"/>
        <s v="2F1X42" u="1"/>
        <s v="2F1Y22" u="1"/>
        <s v="2F1Z02" u="1"/>
        <s v="2F3IS2" u="1"/>
        <s v="2F76Z3" u="1"/>
        <s v="2F3JQ2" u="1"/>
        <s v="2F6I33" u="1"/>
        <s v="2F6J13" u="1"/>
        <s v="2F3QC2" u="1"/>
        <s v="2F1FZ2" u="1"/>
        <s v="2F1W72" u="1"/>
        <s v="2F1X52" u="1"/>
        <s v="2F1Z12" u="1"/>
        <s v="2F6H51" u="1"/>
        <s v="2F3PF2" u="1"/>
        <s v="2F1W82" u="1"/>
        <s v="2F1X62" u="1"/>
        <s v="2F1Z22" u="1"/>
        <s v="2F9CA3" u="1"/>
        <s v="2F77Z3" u="1"/>
        <s v="2F6G81" u="1"/>
        <s v="2F6J21" u="1"/>
        <s v="2F3SA2" u="1"/>
        <s v="2F1W92" u="1"/>
        <s v="2F1X72" u="1"/>
        <s v="2F3GZ2" u="1"/>
        <s v="2F1Y52" u="1"/>
        <s v="2F3IV2" u="1"/>
        <s v="2F3JT2" u="1"/>
        <s v="2F6G91" u="1"/>
        <s v="2F6H71" u="1"/>
        <s v="2F3PH2" u="1"/>
        <s v="2F1X82" u="1"/>
        <s v="2F1Y62" u="1"/>
        <s v="2F1Z42" u="1"/>
        <s v="2F3JU2" u="1"/>
        <s v="2F6J53" u="1"/>
        <s v="2F6J41" u="1"/>
        <s v="2F3SC2" u="1"/>
        <s v="2F1X92" u="1"/>
        <s v="2F1Y72" u="1"/>
        <s v="2F1Z52" u="1"/>
        <s v="2F3IX2" u="1"/>
        <s v="2F3JV2" u="1"/>
        <s v="2F6H91" u="1"/>
        <s v="2F6I83" u="1"/>
        <s v="2F9HZ2" u="1"/>
        <s v="2F05A2" u="1"/>
        <s v="2F3IY2" u="1"/>
        <s v="2F9IY2" u="1"/>
        <s v="2F6M13" u="1"/>
        <s v="2F05B2" u="1"/>
        <s v="2F24D2" u="1"/>
        <s v="2F3SE2" u="1"/>
        <s v="2F1EA1" u="1"/>
        <s v="2F1Y92" u="1"/>
        <s v="2F1Z72" u="1"/>
        <s v="2F3IZ2" u="1"/>
        <s v="2F1AJ1" u="1"/>
        <s v="2F3PL2" u="1"/>
        <s v="2F6M23" u="1"/>
        <s v="2F3QJ2" u="1"/>
        <s v="2F6N03" u="1"/>
        <s v="2F06A2" u="1"/>
        <s v="2F24E2" u="1"/>
        <s v="2F3SF2" u="1"/>
        <s v="2F1EB1" u="1"/>
        <s v="2F3CF1" u="1"/>
        <s v="2F25C2" u="1"/>
        <s v="2F1Z82" u="1"/>
        <s v="2F76A2" u="1"/>
        <s v="2F6J81" u="1"/>
        <s v="2F05D2" u="1"/>
        <s v="2F06B2" u="1"/>
        <s v="2F3SG2" u="1"/>
        <s v="2F25D2" u="1"/>
        <s v="2F3FA1" u="1"/>
        <s v="2F1Z92" u="1"/>
        <s v="2F3JZ2" u="1"/>
        <s v="2F76B2" u="1"/>
        <s v="2F3PN2" u="1"/>
        <s v="2F6M43" u="1"/>
        <s v="2F9JZ2" u="1"/>
        <s v="2F3QL2" u="1"/>
        <s v="2F6N23" u="1"/>
        <s v="2F6N11" u="1"/>
        <s v="2F06C2" u="1"/>
        <s v="2F24G2" u="1"/>
        <s v="2F3SH2" u="1"/>
        <s v="2F3FB1" u="1"/>
        <s v="2F77A2" u="1"/>
        <s v="2F3QM2" u="1"/>
        <s v="2F06D2" u="1"/>
        <s v="2F24H2" u="1"/>
      </sharedItems>
    </cacheField>
    <cacheField name="字尾" numFmtId="0">
      <sharedItems containsBlank="1"/>
    </cacheField>
    <cacheField name="規格" numFmtId="0">
      <sharedItems containsBlank="1" count="223">
        <s v=""/>
        <s v="75/72/2SDr"/>
        <s v="50/72F2FC"/>
        <s v="75/72F2FC"/>
        <s v="165/48/2SR6"/>
        <s v="150/48/2HC"/>
        <s v="150/48/2SDr"/>
        <s v="75/72/2PDR"/>
        <s v="225/72/2SDr"/>
        <s v="150/144FCT"/>
        <s v="75/48SDr"/>
        <s v="75/72SRR5"/>
        <s v="75/72SDM"/>
        <s v="75/72PDR"/>
        <s v="150/48/2SDR2"/>
        <s v="150/48/2SDR4"/>
        <s v="225/72/2SDR2"/>
        <s v="150/48/2FBKR"/>
        <s v="150/48SDR4"/>
        <s v="100/36SDR2"/>
        <m/>
        <s v="50/72BSD3" u="1"/>
        <s v="150/48CDR" u="1"/>
        <s v="75/72/2PFBR" u="1"/>
        <s v="75/72/2SDFFR" u="1"/>
        <s v="50/36SDr" u="1"/>
        <s v="150/48SDr" u="1"/>
        <s v="75/72SR6" u="1"/>
        <s v="150/48/2CE" u="1"/>
        <s v="75/72BFSD" u="1"/>
        <s v="165/48SR6" u="1"/>
        <s v="75/72CE" u="1"/>
        <s v="75/36SDR" u="1"/>
        <s v="75/24/2SDR2" u="1"/>
        <s v="75/24/2SDr" u="1"/>
        <s v="75/36HC" u="1"/>
        <s v="150/48HC" u="1"/>
        <s v="100/36SDr" u="1"/>
        <s v="150/48/2GY5" u="1"/>
        <s v="150/48/2SR6" u="1"/>
        <s v="150/48BK42" u="1"/>
        <s v="50/72/2SDFFR" u="1"/>
        <s v="75/36/2SDRP" u="1"/>
        <s v="75/72SDR" u="1"/>
        <s v="75/144SDR" u="1"/>
        <s v="75/24/2SDR1" u="1"/>
        <s v="100/72PFR" u="1"/>
        <s v="150/48/2SDR1" u="1"/>
        <s v="150/48SR6" u="1"/>
        <s v="75/72HC" u="1"/>
        <s v="150/48BKR95" u="1"/>
        <s v="150/45/2SDR1" u="1"/>
        <s v="60/96ESDR" u="1"/>
        <s v="150/48/2BFSD" u="1"/>
        <s v="225/72/2FBKR" u="1"/>
        <s v="75/36SDR2" u="1"/>
        <s v="75/36SAXT" u="1"/>
        <s v="150/48/2ODR" u="1"/>
        <s v="150/48/2BG2" u="1"/>
        <s v="150/48/2BG3" u="1"/>
        <s v="75/72SDR2" u="1"/>
        <s v="150/48SDR1" u="1"/>
        <s v="150/48/2BG" u="1"/>
        <s v="75/72/2SDR1" u="1"/>
        <s v="75/72SDFFR" u="1"/>
        <s v="150/48SDR2" u="1"/>
        <s v="225/72/2SRR5" u="1"/>
        <s v="50/36CE" u="1"/>
        <s v="150/48/2KR5" u="1"/>
        <s v="225/48CDR" u="1"/>
        <s v="150/36/2ODR" u="1"/>
        <s v="150/48/2CDR" u="1"/>
        <s v="150/48SD" u="1"/>
        <s v="75/36GYR29" u="1"/>
        <s v="50/72CDR" u="1"/>
        <s v="75/72CDR" u="1"/>
        <s v="150/48FBKR" u="1"/>
        <s v="75/72SAR" u="1"/>
        <s v="30/12SDR" u="1"/>
        <s v="75/72FDR" u="1"/>
        <s v="75/72FR6" u="1"/>
        <s v="100/96/2SDR2" u="1"/>
        <s v="75/72BK" u="1"/>
        <s v="45/24SAXT" u="1"/>
        <s v="150/48/2FBR" u="1"/>
        <s v="150/72/2SDR" u="1"/>
        <s v="75/72SCCE" u="1"/>
        <s v="75/72BKR07" u="1"/>
        <s v="75/48/2SDR" u="1"/>
        <s v="150/48KR5" u="1"/>
        <s v="75/72/2SCCE" u="1"/>
        <s v="30/36BFSD" u="1"/>
        <s v="75/72EBFSD" u="1"/>
        <s v="50/72BFSD" u="1"/>
        <s v="50/72CWR" u="1"/>
        <s v="80/36PCM" u="1"/>
        <s v="75/72/2CDR" u="1"/>
        <s v="30/36EBFSD" u="1"/>
        <s v="50/72EBFSD" u="1"/>
        <s v="100/36/2SDR" u="1"/>
        <s v="75/72BSD3" u="1"/>
        <s v="150/48/2BKR95" u="1"/>
        <s v="75/72OFCDO" u="1"/>
        <s v="75/24/2YLR29" u="1"/>
        <s v="75/24/2WTR25" u="1"/>
        <s v="75/36/2SDR" u="1"/>
        <s v="150/48/2BK14" u="1"/>
        <s v="150/48BK33" u="1"/>
        <s v="50/36BK" u="1"/>
        <s v="75/24/2ORR13" u="1"/>
        <s v="75/24/2BUR62" u="1"/>
        <s v="150/48BSD3" u="1"/>
        <s v="50/72BSD2" u="1"/>
        <s v="40/24SAXT" u="1"/>
        <s v="50/36CDR" u="1"/>
        <s v="30/24BSD3" u="1"/>
        <s v="75/72/2ODR" u="1"/>
        <s v="50/72/2BSD3" u="1"/>
        <s v="100/72OFR" u="1"/>
        <s v="75/24/2YLR9" u="1"/>
        <s v="75/72/2BUR62" u="1"/>
        <s v="50/72CW" u="1"/>
        <s v="225/96/2SDR" u="1"/>
        <s v="150/48/2BKR5" u="1"/>
        <s v="50/72/2SDR" u="1"/>
        <s v="75/96/2SDR" u="1"/>
        <s v="150/48/2BN22" u="1"/>
        <s v="150/48/2WTR22" u="1"/>
        <s v="150/48BSD2" u="1"/>
        <s v="150/48CR5" u="1"/>
        <s v="75/72TGE" u="1"/>
        <s v="150/48ODR" u="1"/>
        <s v="75/72ODR" u="1"/>
        <s v="150/48/2SRR5" u="1"/>
        <s v="150/48SRR5" u="1"/>
        <s v="150/144SDR" u="1"/>
        <s v="50/72FDR" u="1"/>
        <s v="75/36FBKR" u="1"/>
        <s v="100/36BSD3" u="1"/>
        <s v="50/72SDR" u="1"/>
        <s v="150/48WTR22" u="1"/>
        <s v="150/48/2BN23" u="1"/>
        <s v="150/48/2BK26" u="1"/>
        <s v="75/36BK" u="1"/>
        <s v="75/72SCE" u="1"/>
        <s v="75/72SDRC" u="1"/>
        <s v="100/96/2SDR" u="1"/>
        <s v="150/48/2GY21" u="1"/>
        <s v="150/48/2BE4" u="1"/>
        <s v="150/48/2BN24" u="1"/>
        <s v="150/96/2SDR" u="1"/>
        <s v="150/48SDRO" u="1"/>
        <s v="150/48/2BKRO" u="1"/>
        <s v="150/72SDR" u="1"/>
        <s v="50/24DO" u="1"/>
        <s v="50/72SDRO" u="1"/>
        <s v="90/147SDRS" u="1"/>
        <s v="75/72SDRO" u="1"/>
        <s v="75/72FDRT" u="1"/>
        <s v="100/36/2CDR" u="1"/>
        <s v="75/72/2BSD3" u="1"/>
        <s v="100/36FBKR" u="1"/>
        <s v="75/72SXRO" u="1"/>
        <s v="150/96SDR" u="1"/>
        <s v="150/48BK30" u="1"/>
        <s v="75/36CDRO" u="1"/>
        <s v="90/147SDS" u="1"/>
        <s v="75/72HNIR" u="1"/>
        <s v="75/36CDR" u="1"/>
        <s v="75/24/2CDR" u="1"/>
        <s v="75/72/2EBSD3" u="1"/>
        <s v="100/96SDRO" u="1"/>
        <s v="50/36SDRO" u="1"/>
        <s v="75/72/2SDRO" u="1"/>
        <s v="150/48/2BSD2" u="1"/>
        <s v="150/72SDRO" u="1"/>
        <s v="75/48SDRO" u="1"/>
        <s v="150/48/2OD" u="1"/>
        <s v="90/75BU60S" u="1"/>
        <s v="150/108SCTR" u="1"/>
        <s v="75/72/2SDRC" u="1"/>
        <s v="150/48/2CDE" u="1"/>
        <s v="150/48CDRO" u="1"/>
        <s v="50/24BP" u="1"/>
        <s v="160/72SDR" u="1"/>
        <s v="150/48/2SDRC" u="1"/>
        <s v="100/144SDFFR" u="1"/>
        <s v="150/48/2GY26" u="1"/>
        <s v="150/48/2BN25" u="1"/>
        <s v="165/51SDS" u="1"/>
        <s v="75/72FR5" u="1"/>
        <s v="150/48/2SD" u="1"/>
        <s v="100/144SCTR" u="1"/>
        <s v="75/72/2CE" u="1"/>
        <s v="90/75SDRS" u="1"/>
        <s v="150/48/2GY28" u="1"/>
        <s v="90/75BU59S" u="1"/>
        <s v="150/48/2BSD3" u="1"/>
        <s v="150/48/2SDRO" u="1"/>
        <s v="75/96SDR" u="1"/>
        <s v="100/36SDRO" u="1"/>
        <s v="30/24SDROP" u="1"/>
        <s v="150/48/2BBG24" u="1"/>
        <s v="75/36SDRO" u="1"/>
        <s v="150/48/2BE5" u="1"/>
        <s v="150/48/2BN16" u="1"/>
        <s v="150/144SCT" u="1"/>
        <s v="150/48BKRO" u="1"/>
        <s v="90/75BU61S" u="1"/>
        <s v="50/72CDRO" u="1"/>
        <s v="75/144/2SDR" u="1"/>
        <s v="225/72/2BSD3" u="1"/>
        <s v="30/24SDRO" u="1"/>
        <s v="75/48/2SDRO" u="1"/>
        <s v="150/48/2BK28" u="1"/>
        <s v="150/48/2GY22" u="1"/>
        <s v="150/48BSD" u="1"/>
        <s v="30/36SDR" u="1"/>
        <s v="40/24AXTSR" u="1"/>
        <s v="50/72SDRT" u="1"/>
        <s v="100/36/2CDRO" u="1"/>
        <s v="100/96SDR" u="1"/>
        <s v="10/36SDR" u="1"/>
      </sharedItems>
    </cacheField>
    <cacheField name="POY" numFmtId="0">
      <sharedItems containsBlank="1" containsMixedTypes="1" containsNumber="1" containsInteger="1" minValue="0" maxValue="0" count="24">
        <s v=""/>
        <s v="FP81390R×2"/>
        <s v="FP00413"/>
        <s v="FP01436"/>
        <s v="FP82659×2"/>
        <s v="FP82781×2"/>
        <s v="FP82180R×2"/>
        <s v="FP82184R×2"/>
        <s v="FP12902R×2"/>
        <s v="FP81392R"/>
        <s v="FP83025R×2"/>
        <s v="FP81360R+FP81858"/>
        <s v="FP81388R"/>
        <s v="FP81630"/>
        <s v="FP81390R"/>
        <s v="FP81365R"/>
        <s v="FP82179R×2"/>
        <s v="FP82186R×2"/>
        <s v="FP83026R×2"/>
        <s v="FP02423R×2"/>
        <s v="FP82179R"/>
        <s v="FP81384R"/>
        <m/>
        <n v="0" u="1"/>
      </sharedItems>
    </cacheField>
    <cacheField name="車速" numFmtId="0">
      <sharedItems containsBlank="1" containsMixedTypes="1" containsNumber="1" containsInteger="1" minValue="0" maxValue="800" count="37">
        <s v=""/>
        <n v="600"/>
        <n v="550"/>
        <n v="700"/>
        <n v="500"/>
        <n v="680"/>
        <n v="650"/>
        <n v="670"/>
        <m/>
        <n v="630" u="1"/>
        <n v="575" u="1"/>
        <n v="780" u="1"/>
        <n v="800" u="1"/>
        <n v="675" u="1"/>
        <n v="625" u="1"/>
        <n v="525" u="1"/>
        <n v="690" u="1"/>
        <n v="0" u="1"/>
        <n v="750" u="1"/>
        <n v="660" u="1"/>
        <n v="720" u="1"/>
        <n v="730" u="1"/>
        <n v="740" u="1"/>
        <n v="770" u="1"/>
        <n v="530" u="1"/>
        <n v="590" u="1"/>
        <n v="790" u="1"/>
        <n v="710" u="1"/>
        <n v="620" u="1"/>
        <n v="450" u="1"/>
        <n v="610" u="1"/>
        <n v="640" u="1"/>
        <n v="520" u="1"/>
        <n v="760" u="1"/>
        <n v="560" u="1"/>
        <n v="580" u="1"/>
        <n v="570" u="1"/>
      </sharedItems>
    </cacheField>
    <cacheField name="管色" numFmtId="0">
      <sharedItems containsBlank="1" containsMixedTypes="1" containsNumber="1" containsInteger="1" minValue="0" maxValue="0" count="27">
        <s v=""/>
        <s v="白底藍三角"/>
        <s v="白綠方塊"/>
        <s v="白底紅星"/>
        <s v="黃色"/>
        <s v="黃底白點"/>
        <s v="藍黑直條"/>
        <s v="黃紅雙色"/>
        <s v="白桔方塊"/>
        <s v="棕色"/>
        <s v="紅底黃星"/>
        <s v="白紅條紋"/>
        <s v="白桔雙色"/>
        <s v="藍色"/>
        <s v="白黑方塊"/>
        <s v="藍底白十字"/>
        <s v="綠藍雙色"/>
        <s v="白藍方塊"/>
        <s v="洋綠色"/>
        <s v="紫色"/>
        <s v="黃綠條紋"/>
        <s v="黃底紅點"/>
        <s v="白底綠星"/>
        <s v="白綠條紋"/>
        <s v="黃黑條紋"/>
        <m/>
        <n v="0" u="1"/>
      </sharedItems>
    </cacheField>
    <cacheField name="定重" numFmtId="0">
      <sharedItems containsBlank="1" containsMixedTypes="1" containsNumber="1" minValue="2" maxValue="5.5"/>
    </cacheField>
    <cacheField name="早班斷絲" numFmtId="0">
      <sharedItems containsString="0" containsBlank="1" containsNumber="1" containsInteger="1" minValue="4" maxValue="91"/>
    </cacheField>
    <cacheField name="早班IAD" numFmtId="0">
      <sharedItems containsString="0" containsBlank="1" containsNumber="1" containsInteger="1" minValue="0" maxValue="21"/>
    </cacheField>
    <cacheField name="早班效率" numFmtId="0">
      <sharedItems containsBlank="1" containsMixedTypes="1" containsNumber="1" containsInteger="1" minValue="2710" maxValue="10000"/>
    </cacheField>
    <cacheField name="早班效率2" numFmtId="0">
      <sharedItems containsBlank="1" containsMixedTypes="1" containsNumber="1" containsInteger="1" minValue="4950" maxValue="10000"/>
    </cacheField>
    <cacheField name="中班斷絲" numFmtId="0">
      <sharedItems containsString="0" containsBlank="1" containsNumber="1" containsInteger="1" minValue="0" maxValue="59"/>
    </cacheField>
    <cacheField name="中班IAD" numFmtId="0">
      <sharedItems containsString="0" containsBlank="1" containsNumber="1" containsInteger="1" minValue="0" maxValue="16"/>
    </cacheField>
    <cacheField name="中班效率" numFmtId="0">
      <sharedItems containsBlank="1" containsMixedTypes="1" containsNumber="1" containsInteger="1" minValue="2948" maxValue="10000"/>
    </cacheField>
    <cacheField name="中班效率2" numFmtId="0">
      <sharedItems containsBlank="1" containsMixedTypes="1" containsNumber="1" containsInteger="1" minValue="4130" maxValue="10000"/>
    </cacheField>
    <cacheField name="中後斷絲" numFmtId="0">
      <sharedItems containsString="0" containsBlank="1" containsNumber="1" containsInteger="1" minValue="0" maxValue="72"/>
    </cacheField>
    <cacheField name="中後IAD" numFmtId="0">
      <sharedItems containsString="0" containsBlank="1" containsNumber="1" containsInteger="1" minValue="0" maxValue="14"/>
    </cacheField>
    <cacheField name="中後效率" numFmtId="0">
      <sharedItems containsBlank="1" containsMixedTypes="1" containsNumber="1" containsInteger="1" minValue="2989" maxValue="10000"/>
    </cacheField>
    <cacheField name="中後效率2" numFmtId="0">
      <sharedItems containsBlank="1" containsMixedTypes="1" containsNumber="1" containsInteger="1" minValue="3316" maxValue="10000"/>
    </cacheField>
    <cacheField name="夜班斷絲" numFmtId="0">
      <sharedItems containsString="0" containsBlank="1" containsNumber="1" containsInteger="1" minValue="1" maxValue="87"/>
    </cacheField>
    <cacheField name="夜班IAD" numFmtId="0">
      <sharedItems containsString="0" containsBlank="1" containsNumber="1" containsInteger="1" minValue="0" maxValue="9"/>
    </cacheField>
    <cacheField name="夜班效率" numFmtId="0">
      <sharedItems containsBlank="1" containsMixedTypes="1" containsNumber="1" containsInteger="1" minValue="100" maxValue="10000"/>
    </cacheField>
    <cacheField name="夜班效率2" numFmtId="0">
      <sharedItems containsBlank="1" containsMixedTypes="1" containsNumber="1" containsInteger="1" minValue="5090" maxValue="10000"/>
    </cacheField>
    <cacheField name="落數" numFmtId="0">
      <sharedItems containsBlank="1" containsMixedTypes="1" containsNumber="1" minValue="1.3345690454124188" maxValue="6.6055045871559646"/>
    </cacheField>
    <cacheField name="斷絲(班)" numFmtId="0">
      <sharedItems containsBlank="1" containsMixedTypes="1" containsNumber="1" minValue="3" maxValue="224"/>
    </cacheField>
    <cacheField name="IAD" numFmtId="0">
      <sharedItems containsBlank="1" containsMixedTypes="1" containsNumber="1" minValue="0.95635683760683765" maxValue="1"/>
    </cacheField>
    <cacheField name="效率平均" numFmtId="0">
      <sharedItems containsBlank="1" containsMixedTypes="1" containsNumber="1" minValue="29.475000000000001" maxValue="100"/>
    </cacheField>
    <cacheField name="斷絲(H)" numFmtId="0">
      <sharedItems containsBlank="1" containsMixedTypes="1" containsNumber="1" minValue="0.375" maxValue="28"/>
    </cacheField>
    <cacheField name="斷絲扣IAD" numFmtId="0">
      <sharedItems containsBlank="1" containsMixedTypes="1" containsNumber="1" minValue="0.375" maxValue="28"/>
    </cacheField>
    <cacheField name="機型" numFmtId="0">
      <sharedItems containsBlank="1" count="6">
        <s v="A"/>
        <s v="J"/>
        <s v="T"/>
        <s v="S"/>
        <m/>
        <s v="M" u="1"/>
      </sharedItems>
    </cacheField>
    <cacheField name="MPS節數" numFmtId="0">
      <sharedItems containsString="0" containsBlank="1" containsNumber="1" minValue="0.5" maxValue="12"/>
    </cacheField>
    <cacheField name="早班_x000a_值車員" numFmtId="0">
      <sharedItems containsBlank="1"/>
    </cacheField>
    <cacheField name="中班_x000a_值車員" numFmtId="0">
      <sharedItems containsBlank="1"/>
    </cacheField>
    <cacheField name="中後_x000a_值車員" numFmtId="0">
      <sharedItems containsBlank="1"/>
    </cacheField>
    <cacheField name="夜班_x000a_值車員" numFmtId="0">
      <sharedItems containsBlank="1"/>
    </cacheField>
    <cacheField name="高低壓" numFmtId="0">
      <sharedItems containsBlank="1" containsMixedTypes="1" containsNumber="1" containsInteger="1" minValue="0" maxValue="0" count="5">
        <s v=""/>
        <s v="低壓"/>
        <s v="高壓"/>
        <m/>
        <n v="0" u="1"/>
      </sharedItems>
    </cacheField>
    <cacheField name="打結器" numFmtId="0">
      <sharedItems containsBlank="1"/>
    </cacheField>
    <cacheField name="係數" numFmtId="0">
      <sharedItems containsBlank="1" containsMixedTypes="1" containsNumber="1" minValue="0.66900000000000004" maxValue="1.859"/>
    </cacheField>
    <cacheField name="Air Pressure_x000a_Kg/c㎡" numFmtId="0">
      <sharedItems containsBlank="1" containsMixedTypes="1" containsNumber="1" minValue="0.7" maxValue="3.4"/>
    </cacheField>
    <cacheField name="時數" numFmtId="0">
      <sharedItems containsString="0" containsBlank="1" containsNumber="1" containsInteger="1" minValue="24" maxValue="24"/>
    </cacheField>
    <cacheField name="錠位_x000a_數量" numFmtId="0">
      <sharedItems containsString="0" containsBlank="1" containsNumber="1" containsInteger="1" minValue="108" maxValue="216"/>
    </cacheField>
    <cacheField name="乘數" numFmtId="0">
      <sharedItems containsBlank="1" containsMixedTypes="1" containsNumber="1" minValue="1.7" maxValue="4.4000000000000004"/>
    </cacheField>
    <cacheField name="耗氣量(立方/日)" numFmtId="176">
      <sharedItems containsBlank="1" containsMixedTypes="1" containsNumber="1" minValue="4508.5248000000011" maxValue="42403.0463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n v="360"/>
  </r>
  <r>
    <x v="1"/>
    <x v="1"/>
    <n v="408"/>
  </r>
  <r>
    <x v="1"/>
    <x v="1"/>
    <n v="441"/>
  </r>
  <r>
    <x v="1"/>
    <x v="2"/>
    <n v="504"/>
  </r>
  <r>
    <x v="1"/>
    <x v="2"/>
    <n v="86.6"/>
  </r>
  <r>
    <x v="1"/>
    <x v="3"/>
    <n v="406.7"/>
  </r>
  <r>
    <x v="1"/>
    <x v="4"/>
    <n v="168"/>
  </r>
  <r>
    <x v="1"/>
    <x v="4"/>
    <n v="1032"/>
  </r>
  <r>
    <x v="1"/>
    <x v="4"/>
    <n v="1080"/>
  </r>
  <r>
    <x v="1"/>
    <x v="5"/>
    <n v="1752"/>
  </r>
  <r>
    <x v="1"/>
    <x v="6"/>
    <n v="118"/>
  </r>
  <r>
    <x v="1"/>
    <x v="5"/>
    <n v="864"/>
  </r>
  <r>
    <x v="1"/>
    <x v="5"/>
    <n v="2736"/>
  </r>
  <r>
    <x v="1"/>
    <x v="5"/>
    <n v="600"/>
  </r>
  <r>
    <x v="1"/>
    <x v="5"/>
    <n v="672"/>
  </r>
  <r>
    <x v="1"/>
    <x v="7"/>
    <n v="528"/>
  </r>
  <r>
    <x v="1"/>
    <x v="8"/>
    <n v="72"/>
  </r>
  <r>
    <x v="1"/>
    <x v="9"/>
    <n v="6"/>
  </r>
  <r>
    <x v="2"/>
    <x v="10"/>
    <n v="60.3"/>
  </r>
  <r>
    <x v="2"/>
    <x v="11"/>
    <n v="8093"/>
  </r>
  <r>
    <x v="2"/>
    <x v="12"/>
    <n v="1512"/>
  </r>
  <r>
    <x v="2"/>
    <x v="12"/>
    <n v="1080"/>
  </r>
  <r>
    <x v="2"/>
    <x v="13"/>
    <n v="960"/>
  </r>
  <r>
    <x v="2"/>
    <x v="14"/>
    <n v="390"/>
  </r>
  <r>
    <x v="2"/>
    <x v="15"/>
    <n v="662"/>
  </r>
  <r>
    <x v="2"/>
    <x v="13"/>
    <n v="750"/>
  </r>
  <r>
    <x v="2"/>
    <x v="13"/>
    <n v="1020"/>
  </r>
  <r>
    <x v="2"/>
    <x v="16"/>
    <n v="258"/>
  </r>
  <r>
    <x v="2"/>
    <x v="17"/>
    <n v="649"/>
  </r>
  <r>
    <x v="2"/>
    <x v="18"/>
    <n v="116.3"/>
  </r>
  <r>
    <x v="2"/>
    <x v="19"/>
    <n v="480"/>
  </r>
  <r>
    <x v="2"/>
    <x v="20"/>
    <n v="600"/>
  </r>
  <r>
    <x v="2"/>
    <x v="20"/>
    <n v="408"/>
  </r>
  <r>
    <x v="2"/>
    <x v="20"/>
    <n v="312"/>
  </r>
  <r>
    <x v="2"/>
    <x v="21"/>
    <n v="230"/>
  </r>
  <r>
    <x v="2"/>
    <x v="22"/>
    <n v="63.7"/>
  </r>
  <r>
    <x v="2"/>
    <x v="23"/>
    <n v="194"/>
  </r>
  <r>
    <x v="2"/>
    <x v="24"/>
    <n v="71.099999999999994"/>
  </r>
  <r>
    <x v="2"/>
    <x v="25"/>
    <n v="600"/>
  </r>
  <r>
    <x v="2"/>
    <x v="25"/>
    <n v="408"/>
  </r>
  <r>
    <x v="2"/>
    <x v="25"/>
    <n v="267.10000000000002"/>
  </r>
  <r>
    <x v="2"/>
    <x v="26"/>
    <n v="154"/>
  </r>
  <r>
    <x v="2"/>
    <x v="27"/>
    <n v="528"/>
  </r>
  <r>
    <x v="2"/>
    <x v="28"/>
    <n v="700"/>
  </r>
  <r>
    <x v="2"/>
    <x v="29"/>
    <n v="1990"/>
  </r>
  <r>
    <x v="2"/>
    <x v="30"/>
    <n v="726"/>
  </r>
  <r>
    <x v="3"/>
    <x v="31"/>
    <n v="1200"/>
  </r>
  <r>
    <x v="3"/>
    <x v="32"/>
    <n v="3744"/>
  </r>
  <r>
    <x v="3"/>
    <x v="33"/>
    <n v="2241"/>
  </r>
  <r>
    <x v="3"/>
    <x v="34"/>
    <n v="9744"/>
  </r>
  <r>
    <x v="3"/>
    <x v="35"/>
    <n v="2304"/>
  </r>
  <r>
    <x v="3"/>
    <x v="14"/>
    <n v="5880"/>
  </r>
  <r>
    <x v="3"/>
    <x v="36"/>
    <n v="4008"/>
  </r>
  <r>
    <x v="3"/>
    <x v="37"/>
    <n v="3844"/>
  </r>
  <r>
    <x v="3"/>
    <x v="38"/>
    <n v="2700"/>
  </r>
  <r>
    <x v="4"/>
    <x v="39"/>
    <n v="750"/>
  </r>
  <r>
    <x v="4"/>
    <x v="40"/>
    <n v="5940"/>
  </r>
  <r>
    <x v="4"/>
    <x v="41"/>
    <n v="6600"/>
  </r>
  <r>
    <x v="4"/>
    <x v="42"/>
    <n v="6390"/>
  </r>
  <r>
    <x v="4"/>
    <x v="43"/>
    <n v="2490"/>
  </r>
  <r>
    <x v="4"/>
    <x v="44"/>
    <n v="3648"/>
  </r>
  <r>
    <x v="4"/>
    <x v="45"/>
    <n v="2862"/>
  </r>
  <r>
    <x v="5"/>
    <x v="46"/>
    <n v="3960"/>
  </r>
  <r>
    <x v="5"/>
    <x v="47"/>
    <n v="330"/>
  </r>
  <r>
    <x v="5"/>
    <x v="48"/>
    <n v="2970"/>
  </r>
  <r>
    <x v="6"/>
    <x v="49"/>
    <n v="14"/>
  </r>
  <r>
    <x v="6"/>
    <x v="50"/>
    <n v="7432"/>
  </r>
  <r>
    <x v="6"/>
    <x v="51"/>
    <n v="3990"/>
  </r>
  <r>
    <x v="6"/>
    <x v="52"/>
    <n v="1110"/>
  </r>
  <r>
    <x v="6"/>
    <x v="53"/>
    <n v="1740"/>
  </r>
  <r>
    <x v="6"/>
    <x v="54"/>
    <n v="20184"/>
  </r>
  <r>
    <x v="6"/>
    <x v="55"/>
    <n v="1290"/>
  </r>
  <r>
    <x v="6"/>
    <x v="56"/>
    <n v="1485"/>
  </r>
  <r>
    <x v="6"/>
    <x v="57"/>
    <n v="2310"/>
  </r>
  <r>
    <x v="6"/>
    <x v="58"/>
    <n v="300"/>
  </r>
  <r>
    <x v="6"/>
    <x v="59"/>
    <n v="1470"/>
  </r>
  <r>
    <x v="6"/>
    <x v="60"/>
    <n v="3336"/>
  </r>
  <r>
    <x v="6"/>
    <x v="61"/>
    <n v="3900"/>
  </r>
  <r>
    <x v="6"/>
    <x v="62"/>
    <n v="4020"/>
  </r>
  <r>
    <x v="6"/>
    <x v="63"/>
    <n v="720"/>
  </r>
  <r>
    <x v="6"/>
    <x v="64"/>
    <n v="120"/>
  </r>
  <r>
    <x v="6"/>
    <x v="65"/>
    <n v="1272"/>
  </r>
  <r>
    <x v="6"/>
    <x v="66"/>
    <n v="336"/>
  </r>
  <r>
    <x v="6"/>
    <x v="67"/>
    <n v="140"/>
  </r>
  <r>
    <x v="6"/>
    <x v="68"/>
    <n v="360"/>
  </r>
  <r>
    <x v="7"/>
    <x v="28"/>
    <n v="330"/>
  </r>
  <r>
    <x v="7"/>
    <x v="69"/>
    <n v="1020"/>
  </r>
  <r>
    <x v="7"/>
    <x v="70"/>
    <n v="6400"/>
  </r>
  <r>
    <x v="8"/>
    <x v="71"/>
    <n v="7740"/>
  </r>
  <r>
    <x v="8"/>
    <x v="72"/>
    <n v="825"/>
  </r>
  <r>
    <x v="8"/>
    <x v="73"/>
    <n v="600"/>
  </r>
  <r>
    <x v="8"/>
    <x v="74"/>
    <n v="2520"/>
  </r>
  <r>
    <x v="9"/>
    <x v="73"/>
    <n v="60"/>
  </r>
  <r>
    <x v="9"/>
    <x v="37"/>
    <n v="3844"/>
  </r>
  <r>
    <x v="9"/>
    <x v="75"/>
    <n v="2744"/>
  </r>
  <r>
    <x v="9"/>
    <x v="76"/>
    <n v="566"/>
  </r>
  <r>
    <x v="9"/>
    <x v="77"/>
    <n v="1261"/>
  </r>
  <r>
    <x v="9"/>
    <x v="78"/>
    <n v="1598"/>
  </r>
  <r>
    <x v="9"/>
    <x v="79"/>
    <n v="1130"/>
  </r>
  <r>
    <x v="9"/>
    <x v="80"/>
    <n v="1345"/>
  </r>
  <r>
    <x v="9"/>
    <x v="81"/>
    <n v="2338"/>
  </r>
  <r>
    <x v="9"/>
    <x v="82"/>
    <n v="1015"/>
  </r>
  <r>
    <x v="9"/>
    <x v="83"/>
    <n v="2391"/>
  </r>
  <r>
    <x v="9"/>
    <x v="84"/>
    <n v="3444"/>
  </r>
  <r>
    <x v="9"/>
    <x v="85"/>
    <n v="694"/>
  </r>
  <r>
    <x v="9"/>
    <x v="86"/>
    <n v="1976"/>
  </r>
  <r>
    <x v="9"/>
    <x v="87"/>
    <n v="3390"/>
  </r>
  <r>
    <x v="9"/>
    <x v="88"/>
    <n v="1768"/>
  </r>
  <r>
    <x v="9"/>
    <x v="89"/>
    <n v="4504"/>
  </r>
  <r>
    <x v="9"/>
    <x v="90"/>
    <n v="1770"/>
  </r>
  <r>
    <x v="9"/>
    <x v="91"/>
    <n v="2016"/>
  </r>
  <r>
    <x v="9"/>
    <x v="92"/>
    <n v="595"/>
  </r>
  <r>
    <x v="9"/>
    <x v="93"/>
    <n v="1426"/>
  </r>
  <r>
    <x v="9"/>
    <x v="94"/>
    <n v="2999"/>
  </r>
  <r>
    <x v="9"/>
    <x v="95"/>
    <n v="3111"/>
  </r>
  <r>
    <x v="9"/>
    <x v="96"/>
    <n v="3621"/>
  </r>
  <r>
    <x v="9"/>
    <x v="97"/>
    <n v="184"/>
  </r>
  <r>
    <x v="9"/>
    <x v="98"/>
    <n v="1017"/>
  </r>
  <r>
    <x v="9"/>
    <x v="99"/>
    <n v="1390"/>
  </r>
  <r>
    <x v="10"/>
    <x v="100"/>
    <n v="20"/>
  </r>
  <r>
    <x v="10"/>
    <x v="101"/>
    <n v="10"/>
  </r>
  <r>
    <x v="10"/>
    <x v="102"/>
    <n v="12"/>
  </r>
  <r>
    <x v="10"/>
    <x v="103"/>
    <n v="99"/>
  </r>
  <r>
    <x v="10"/>
    <x v="104"/>
    <n v="20"/>
  </r>
  <r>
    <x v="10"/>
    <x v="105"/>
    <n v="20"/>
  </r>
  <r>
    <x v="10"/>
    <x v="106"/>
    <n v="7"/>
  </r>
  <r>
    <x v="10"/>
    <x v="107"/>
    <n v="52"/>
  </r>
  <r>
    <x v="10"/>
    <x v="108"/>
    <n v="40"/>
  </r>
  <r>
    <x v="10"/>
    <x v="109"/>
    <n v="12"/>
  </r>
  <r>
    <x v="10"/>
    <x v="110"/>
    <n v="11"/>
  </r>
  <r>
    <x v="10"/>
    <x v="111"/>
    <n v="4"/>
  </r>
  <r>
    <x v="10"/>
    <x v="112"/>
    <n v="90"/>
  </r>
  <r>
    <x v="10"/>
    <x v="113"/>
    <n v="12"/>
  </r>
  <r>
    <x v="10"/>
    <x v="114"/>
    <n v="123"/>
  </r>
  <r>
    <x v="10"/>
    <x v="115"/>
    <n v="11"/>
  </r>
  <r>
    <x v="10"/>
    <x v="116"/>
    <n v="31"/>
  </r>
  <r>
    <x v="10"/>
    <x v="117"/>
    <n v="22"/>
  </r>
  <r>
    <x v="10"/>
    <x v="118"/>
    <n v="20"/>
  </r>
  <r>
    <x v="10"/>
    <x v="119"/>
    <n v="7651"/>
  </r>
  <r>
    <x v="10"/>
    <x v="120"/>
    <n v="192"/>
  </r>
  <r>
    <x v="10"/>
    <x v="121"/>
    <n v="240"/>
  </r>
  <r>
    <x v="10"/>
    <x v="71"/>
    <n v="7650"/>
  </r>
  <r>
    <x v="10"/>
    <x v="46"/>
    <n v="2970"/>
  </r>
  <r>
    <x v="10"/>
    <x v="105"/>
    <n v="140"/>
  </r>
  <r>
    <x v="10"/>
    <x v="113"/>
    <n v="100"/>
  </r>
  <r>
    <x v="10"/>
    <x v="122"/>
    <n v="1755"/>
  </r>
  <r>
    <x v="10"/>
    <x v="123"/>
    <n v="1343"/>
  </r>
  <r>
    <x v="10"/>
    <x v="124"/>
    <n v="1202"/>
  </r>
  <r>
    <x v="10"/>
    <x v="125"/>
    <n v="978"/>
  </r>
  <r>
    <x v="10"/>
    <x v="126"/>
    <n v="645"/>
  </r>
  <r>
    <x v="10"/>
    <x v="127"/>
    <n v="1210"/>
  </r>
  <r>
    <x v="10"/>
    <x v="128"/>
    <n v="750"/>
  </r>
  <r>
    <x v="11"/>
    <x v="69"/>
    <n v="16800"/>
  </r>
  <r>
    <x v="11"/>
    <x v="71"/>
    <n v="15300"/>
  </r>
  <r>
    <x v="11"/>
    <x v="129"/>
    <n v="590"/>
  </r>
  <r>
    <x v="12"/>
    <x v="130"/>
    <n v="594"/>
  </r>
  <r>
    <x v="12"/>
    <x v="71"/>
    <n v="3750"/>
  </r>
  <r>
    <x v="12"/>
    <x v="131"/>
    <n v="2475"/>
  </r>
  <r>
    <x v="12"/>
    <x v="132"/>
    <n v="397"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  <r>
    <x v="13"/>
    <x v="13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x v="0"/>
    <x v="0"/>
    <x v="0"/>
    <m/>
    <x v="0"/>
    <x v="0"/>
    <x v="0"/>
    <x v="0"/>
    <s v=""/>
    <m/>
    <m/>
    <s v="清車"/>
    <m/>
    <m/>
    <m/>
    <s v="停機"/>
    <m/>
    <m/>
    <m/>
    <s v="停機"/>
    <m/>
    <m/>
    <m/>
    <s v="停機"/>
    <m/>
    <s v=""/>
    <s v="清車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5"/>
    <x v="1"/>
    <m/>
    <x v="1"/>
    <x v="1"/>
    <x v="1"/>
    <x v="1"/>
    <n v="5"/>
    <n v="14"/>
    <n v="0"/>
    <n v="9466"/>
    <n v="9360"/>
    <n v="10"/>
    <n v="0"/>
    <n v="9617"/>
    <n v="9277"/>
    <n v="14"/>
    <n v="0"/>
    <n v="9355"/>
    <n v="9324"/>
    <n v="16"/>
    <n v="0"/>
    <n v="9220"/>
    <n v="9434"/>
    <n v="2.8015564202334629"/>
    <n v="9"/>
    <n v="1"/>
    <n v="93.816249999999997"/>
    <n v="1.125"/>
    <n v="1.125"/>
    <x v="0"/>
    <n v="0.5"/>
    <s v="JB"/>
    <m/>
    <m/>
    <m/>
    <x v="1"/>
    <s v="P203"/>
    <n v="0.91100000000000003"/>
    <n v="1.7"/>
    <n v="24"/>
    <n v="216"/>
    <n v="2.7"/>
    <n v="12751.084800000001"/>
  </r>
  <r>
    <x v="0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9"/>
    <x v="2"/>
    <s v="G"/>
    <x v="2"/>
    <x v="2"/>
    <x v="2"/>
    <x v="2"/>
    <n v="2"/>
    <n v="11"/>
    <n v="0"/>
    <n v="9342"/>
    <s v="停機"/>
    <n v="6"/>
    <n v="0"/>
    <n v="9338"/>
    <s v="停機"/>
    <n v="6"/>
    <n v="0"/>
    <n v="9333"/>
    <s v="停機"/>
    <n v="17"/>
    <n v="0"/>
    <n v="9116"/>
    <s v="停機"/>
    <n v="2.1492537313432836"/>
    <n v="26.666666666666668"/>
    <n v="1"/>
    <n v="92.822500000000005"/>
    <n v="3.3333333333333335"/>
    <n v="3.3333333333333335"/>
    <x v="0"/>
    <n v="2"/>
    <s v="JB"/>
    <m/>
    <m/>
    <m/>
    <x v="1"/>
    <s v="P203"/>
    <n v="0.91100000000000003"/>
    <n v="0.7"/>
    <n v="24"/>
    <n v="216"/>
    <n v="1.7"/>
    <n v="8028.4608000000007"/>
  </r>
  <r>
    <x v="0"/>
    <x v="10"/>
    <x v="3"/>
    <s v="G"/>
    <x v="3"/>
    <x v="3"/>
    <x v="1"/>
    <x v="3"/>
    <n v="3"/>
    <n v="9"/>
    <n v="0"/>
    <n v="7857"/>
    <s v="停機"/>
    <n v="5"/>
    <n v="0"/>
    <n v="7808"/>
    <s v="停機"/>
    <n v="3"/>
    <n v="0"/>
    <n v="7920"/>
    <s v="停機"/>
    <n v="6"/>
    <n v="0"/>
    <n v="7898"/>
    <s v="停機"/>
    <n v="2.4"/>
    <n v="15.333333333333334"/>
    <n v="1"/>
    <n v="78.707499999999996"/>
    <n v="1.9166666666666667"/>
    <n v="1.9166666666666667"/>
    <x v="0"/>
    <n v="2"/>
    <s v="JB"/>
    <m/>
    <m/>
    <m/>
    <x v="1"/>
    <s v="P203"/>
    <n v="0.91100000000000003"/>
    <n v="0.8"/>
    <n v="24"/>
    <n v="216"/>
    <n v="1.8"/>
    <n v="8500.7232000000004"/>
  </r>
  <r>
    <x v="0"/>
    <x v="11"/>
    <x v="4"/>
    <m/>
    <x v="4"/>
    <x v="4"/>
    <x v="2"/>
    <x v="4"/>
    <n v="5"/>
    <m/>
    <m/>
    <s v="了機"/>
    <s v="停機"/>
    <m/>
    <m/>
    <s v="了機"/>
    <s v="停機"/>
    <m/>
    <m/>
    <s v="了機"/>
    <s v="停機"/>
    <m/>
    <m/>
    <m/>
    <m/>
    <n v="5.5598455598455603"/>
    <s v="了機"/>
    <s v=""/>
    <s v=""/>
    <s v=""/>
    <s v=""/>
    <x v="0"/>
    <n v="0.5"/>
    <s v="JB"/>
    <m/>
    <m/>
    <m/>
    <x v="1"/>
    <s v="P203"/>
    <n v="0.91100000000000003"/>
    <n v="2"/>
    <n v="24"/>
    <n v="216"/>
    <n v="3"/>
    <n v="14167.871999999999"/>
  </r>
  <r>
    <x v="0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5"/>
    <x v="5"/>
    <m/>
    <x v="5"/>
    <x v="5"/>
    <x v="2"/>
    <x v="5"/>
    <n v="5.5"/>
    <n v="16"/>
    <n v="0"/>
    <n v="6233"/>
    <n v="7360"/>
    <n v="14"/>
    <n v="0"/>
    <n v="6299"/>
    <n v="7401"/>
    <n v="12"/>
    <n v="0"/>
    <n v="6193"/>
    <n v="7378"/>
    <n v="26"/>
    <n v="0"/>
    <n v="5967"/>
    <n v="7230"/>
    <n v="4.7058823529411766"/>
    <n v="11.333333333333334"/>
    <n v="1"/>
    <n v="67.576250000000002"/>
    <n v="1.4166666666666667"/>
    <n v="1.4166666666666667"/>
    <x v="0"/>
    <n v="0.5"/>
    <s v="JB"/>
    <m/>
    <m/>
    <m/>
    <x v="1"/>
    <s v="P204"/>
    <n v="1.1890000000000001"/>
    <n v="1.9"/>
    <n v="24"/>
    <n v="216"/>
    <n v="2.9"/>
    <n v="17874.950400000002"/>
  </r>
  <r>
    <x v="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0"/>
    <x v="19"/>
    <x v="6"/>
    <s v="K"/>
    <x v="6"/>
    <x v="6"/>
    <x v="1"/>
    <x v="6"/>
    <n v="5.5"/>
    <n v="23"/>
    <n v="8"/>
    <n v="7180"/>
    <m/>
    <n v="6"/>
    <n v="3"/>
    <n v="7150"/>
    <m/>
    <n v="12"/>
    <n v="5"/>
    <n v="7090"/>
    <m/>
    <n v="19"/>
    <n v="5"/>
    <n v="6990"/>
    <m/>
    <n v="5.0526315789473681"/>
    <n v="20"/>
    <n v="0.98001802884615385"/>
    <n v="71.025000000000006"/>
    <n v="2.5"/>
    <n v="1.625"/>
    <x v="1"/>
    <n v="1"/>
    <s v="JUNJUN"/>
    <m/>
    <m/>
    <m/>
    <x v="1"/>
    <s v="P227"/>
    <n v="1.859"/>
    <n v="2.1"/>
    <n v="24"/>
    <n v="216"/>
    <n v="3.1"/>
    <n v="29874.873599999999"/>
  </r>
  <r>
    <x v="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0"/>
    <x v="21"/>
    <x v="7"/>
    <s v="K"/>
    <x v="6"/>
    <x v="7"/>
    <x v="3"/>
    <x v="7"/>
    <n v="5.5"/>
    <n v="55"/>
    <n v="10"/>
    <n v="9070"/>
    <n v="9440"/>
    <n v="21"/>
    <n v="0"/>
    <n v="9350"/>
    <n v="9540"/>
    <n v="15"/>
    <n v="0"/>
    <n v="9260"/>
    <n v="9630"/>
    <n v="33"/>
    <n v="5"/>
    <n v="9350"/>
    <n v="9910"/>
    <n v="5.8775510204081636"/>
    <n v="41.333333333333336"/>
    <n v="0.98773036858974361"/>
    <n v="94.4375"/>
    <n v="5.166666666666667"/>
    <n v="4.541666666666667"/>
    <x v="2"/>
    <n v="1"/>
    <s v="BRYAN"/>
    <m/>
    <m/>
    <m/>
    <x v="2"/>
    <s v="P204"/>
    <n v="1.1890000000000001"/>
    <n v="3"/>
    <n v="24"/>
    <n v="216"/>
    <n v="4"/>
    <n v="24655.103999999999"/>
  </r>
  <r>
    <x v="0"/>
    <x v="22"/>
    <x v="8"/>
    <s v="K"/>
    <x v="6"/>
    <x v="6"/>
    <x v="3"/>
    <x v="8"/>
    <n v="5.5"/>
    <n v="37"/>
    <n v="1"/>
    <n v="8700"/>
    <n v="8520"/>
    <n v="31"/>
    <n v="4"/>
    <n v="8980"/>
    <n v="8800"/>
    <n v="26"/>
    <n v="0"/>
    <n v="9260"/>
    <n v="8800"/>
    <n v="52"/>
    <n v="0"/>
    <n v="9170"/>
    <n v="8980"/>
    <n v="5.8775510204081636"/>
    <n v="48.666666666666664"/>
    <n v="0.99591012286324787"/>
    <n v="89.012500000000003"/>
    <n v="6.083333333333333"/>
    <n v="5.875"/>
    <x v="2"/>
    <n v="1"/>
    <s v="DENDEN"/>
    <m/>
    <m/>
    <m/>
    <x v="1"/>
    <s v="P204"/>
    <n v="1.1890000000000001"/>
    <n v="2.9"/>
    <n v="24"/>
    <n v="216"/>
    <n v="3.9"/>
    <n v="24038.7264"/>
  </r>
  <r>
    <x v="0"/>
    <x v="23"/>
    <x v="9"/>
    <s v="K"/>
    <x v="6"/>
    <x v="8"/>
    <x v="1"/>
    <x v="9"/>
    <n v="5.5"/>
    <n v="27"/>
    <n v="0"/>
    <n v="8800"/>
    <n v="8980"/>
    <n v="22"/>
    <n v="0"/>
    <n v="8330"/>
    <n v="8430"/>
    <n v="37"/>
    <n v="1"/>
    <n v="9750"/>
    <n v="9720"/>
    <n v="30"/>
    <n v="4"/>
    <n v="9350"/>
    <n v="9720"/>
    <n v="5.034965034965035"/>
    <n v="38.666666666666664"/>
    <n v="0.99522569444444442"/>
    <n v="91.35"/>
    <n v="4.833333333333333"/>
    <n v="4.625"/>
    <x v="2"/>
    <n v="1"/>
    <s v="BRYAN"/>
    <m/>
    <m/>
    <m/>
    <x v="2"/>
    <s v="P204"/>
    <n v="1.1890000000000001"/>
    <n v="3"/>
    <n v="24"/>
    <n v="216"/>
    <n v="4"/>
    <n v="24655.103999999999"/>
  </r>
  <r>
    <x v="0"/>
    <x v="24"/>
    <x v="10"/>
    <m/>
    <x v="7"/>
    <x v="9"/>
    <x v="1"/>
    <x v="10"/>
    <n v="4"/>
    <n v="18"/>
    <n v="1"/>
    <n v="9260"/>
    <m/>
    <n v="8"/>
    <n v="0"/>
    <n v="9260"/>
    <m/>
    <n v="7"/>
    <n v="0"/>
    <n v="9540"/>
    <m/>
    <n v="10"/>
    <n v="0"/>
    <n v="9540"/>
    <m/>
    <n v="3.6"/>
    <n v="28.666666666666668"/>
    <n v="0.99866452991452992"/>
    <n v="94"/>
    <n v="3.5833333333333335"/>
    <n v="3.5"/>
    <x v="2"/>
    <n v="2"/>
    <s v="DENDEN"/>
    <m/>
    <m/>
    <m/>
    <x v="2"/>
    <s v="P203"/>
    <n v="0.91100000000000003"/>
    <n v="1.5"/>
    <n v="24"/>
    <n v="216"/>
    <n v="2.5"/>
    <n v="11806.560000000001"/>
  </r>
  <r>
    <x v="0"/>
    <x v="24"/>
    <x v="11"/>
    <m/>
    <x v="8"/>
    <x v="10"/>
    <x v="2"/>
    <x v="11"/>
    <n v="5.5"/>
    <n v="17"/>
    <n v="4"/>
    <n v="9630"/>
    <m/>
    <n v="12"/>
    <n v="3"/>
    <m/>
    <n v="9540"/>
    <n v="12"/>
    <n v="0"/>
    <n v="9910"/>
    <m/>
    <n v="27"/>
    <n v="0"/>
    <n v="9910"/>
    <m/>
    <n v="6.6055045871559646"/>
    <n v="45.333333333333336"/>
    <n v="0.9949051816239316"/>
    <n v="97.474999999999994"/>
    <n v="5.666666666666667"/>
    <n v="5.083333333333333"/>
    <x v="2"/>
    <n v="2"/>
    <s v="DENDEN"/>
    <m/>
    <m/>
    <m/>
    <x v="3"/>
    <s v="P227"/>
    <n v="1.859"/>
    <n v="3.3"/>
    <n v="24"/>
    <n v="216"/>
    <n v="4.3"/>
    <n v="41439.340799999998"/>
  </r>
  <r>
    <x v="0"/>
    <x v="25"/>
    <x v="12"/>
    <s v="K"/>
    <x v="6"/>
    <x v="7"/>
    <x v="3"/>
    <x v="12"/>
    <n v="5.5"/>
    <n v="27"/>
    <n v="0"/>
    <s v="L缺料"/>
    <n v="10000"/>
    <n v="10"/>
    <n v="0"/>
    <s v="停機"/>
    <n v="10000"/>
    <n v="4"/>
    <n v="0"/>
    <s v="停機"/>
    <n v="10000"/>
    <n v="7"/>
    <n v="0"/>
    <s v="停機"/>
    <n v="10000"/>
    <n v="5.8299595141700413"/>
    <n v="32"/>
    <n v="1"/>
    <n v="100"/>
    <n v="4"/>
    <n v="4"/>
    <x v="2"/>
    <n v="2"/>
    <s v="BRYAN"/>
    <m/>
    <m/>
    <m/>
    <x v="2"/>
    <s v="P204"/>
    <n v="1.1890000000000001"/>
    <n v="2.8"/>
    <n v="24"/>
    <n v="216"/>
    <n v="3.8"/>
    <n v="23422.3488"/>
  </r>
  <r>
    <x v="0"/>
    <x v="26"/>
    <x v="13"/>
    <s v="K"/>
    <x v="6"/>
    <x v="7"/>
    <x v="3"/>
    <x v="13"/>
    <n v="5.5"/>
    <n v="39"/>
    <n v="6"/>
    <n v="9440"/>
    <n v="9070"/>
    <n v="15"/>
    <n v="1"/>
    <n v="8700"/>
    <n v="9630"/>
    <n v="32"/>
    <n v="3"/>
    <n v="10000"/>
    <n v="9720"/>
    <n v="28"/>
    <n v="3"/>
    <n v="10000"/>
    <n v="9720"/>
    <n v="5.8299595141700413"/>
    <n v="38"/>
    <n v="0.98927951388888891"/>
    <n v="95.35"/>
    <n v="4.75"/>
    <n v="4.208333333333333"/>
    <x v="2"/>
    <n v="1"/>
    <s v="DENDEN"/>
    <m/>
    <m/>
    <m/>
    <x v="2"/>
    <s v="P204"/>
    <n v="1.1890000000000001"/>
    <n v="2.8"/>
    <n v="24"/>
    <n v="216"/>
    <n v="3.8"/>
    <n v="23422.3488"/>
  </r>
  <r>
    <x v="0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0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m/>
    <m/>
    <m/>
    <x v="0"/>
    <s v=""/>
    <s v=""/>
    <s v=""/>
    <n v="24"/>
    <n v="216"/>
    <s v=""/>
    <s v=""/>
  </r>
  <r>
    <x v="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5"/>
    <x v="1"/>
    <m/>
    <x v="1"/>
    <x v="1"/>
    <x v="1"/>
    <x v="1"/>
    <n v="5"/>
    <n v="16"/>
    <n v="0"/>
    <n v="9584"/>
    <n v="9421"/>
    <n v="2"/>
    <n v="0"/>
    <n v="9630"/>
    <n v="9625"/>
    <n v="8"/>
    <n v="0"/>
    <n v="9572"/>
    <n v="9603"/>
    <n v="20"/>
    <n v="0"/>
    <n v="9386"/>
    <n v="9388"/>
    <n v="2.8015564202334629"/>
    <n v="7.666666666666667"/>
    <n v="1"/>
    <n v="95.261250000000004"/>
    <n v="0.95833333333333337"/>
    <n v="0.95833333333333337"/>
    <x v="0"/>
    <n v="0.5"/>
    <s v="RICKY"/>
    <s v="RICKY"/>
    <s v="DENNIS"/>
    <s v="DENNIS"/>
    <x v="1"/>
    <s v="P203"/>
    <n v="0.91100000000000003"/>
    <n v="1.7"/>
    <n v="24"/>
    <n v="216"/>
    <n v="2.7"/>
    <n v="12751.084800000001"/>
  </r>
  <r>
    <x v="1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9"/>
    <x v="2"/>
    <s v="G"/>
    <x v="2"/>
    <x v="2"/>
    <x v="2"/>
    <x v="2"/>
    <n v="2"/>
    <n v="30"/>
    <n v="2"/>
    <n v="9275"/>
    <s v="停機"/>
    <n v="4"/>
    <n v="0"/>
    <n v="9474"/>
    <s v="停機"/>
    <n v="5"/>
    <n v="0"/>
    <n v="9437"/>
    <s v="停機"/>
    <n v="14"/>
    <n v="0"/>
    <n v="9166"/>
    <s v="停機"/>
    <n v="2.1492537313432836"/>
    <n v="35.333333333333336"/>
    <n v="0.99552617521367526"/>
    <n v="93.38"/>
    <n v="4.416666666666667"/>
    <n v="4.25"/>
    <x v="0"/>
    <n v="2"/>
    <s v="RICKY"/>
    <s v="RICKY"/>
    <s v="DENNIS"/>
    <s v="DENNIS"/>
    <x v="1"/>
    <s v="P203"/>
    <n v="0.91100000000000003"/>
    <n v="0.7"/>
    <n v="24"/>
    <n v="216"/>
    <n v="1.7"/>
    <n v="8028.4608000000007"/>
  </r>
  <r>
    <x v="1"/>
    <x v="10"/>
    <x v="3"/>
    <s v="G"/>
    <x v="3"/>
    <x v="3"/>
    <x v="1"/>
    <x v="3"/>
    <n v="3"/>
    <n v="9"/>
    <n v="0"/>
    <n v="7919"/>
    <s v="停機"/>
    <n v="5"/>
    <n v="0"/>
    <n v="7923"/>
    <s v="停機"/>
    <n v="2"/>
    <n v="0"/>
    <n v="7870"/>
    <s v="停機"/>
    <n v="7"/>
    <n v="0"/>
    <n v="7791"/>
    <s v="停機"/>
    <n v="2.4"/>
    <n v="15.333333333333334"/>
    <n v="1"/>
    <n v="78.757499999999993"/>
    <n v="1.9166666666666667"/>
    <n v="1.9166666666666667"/>
    <x v="0"/>
    <n v="2"/>
    <s v="RICKY"/>
    <s v="RICKY"/>
    <s v="DENNIS"/>
    <s v="DENNIS"/>
    <x v="1"/>
    <s v="P203"/>
    <n v="0.91100000000000003"/>
    <n v="0.8"/>
    <n v="24"/>
    <n v="216"/>
    <n v="1.8"/>
    <n v="8500.7232000000004"/>
  </r>
  <r>
    <x v="1"/>
    <x v="11"/>
    <x v="4"/>
    <m/>
    <x v="4"/>
    <x v="4"/>
    <x v="2"/>
    <x v="4"/>
    <n v="5"/>
    <m/>
    <m/>
    <s v="清車"/>
    <m/>
    <m/>
    <m/>
    <s v="清車"/>
    <m/>
    <m/>
    <m/>
    <s v="清車"/>
    <m/>
    <m/>
    <m/>
    <s v="清車"/>
    <m/>
    <n v="5.5598455598455603"/>
    <s v="清車"/>
    <s v=""/>
    <s v=""/>
    <s v=""/>
    <s v=""/>
    <x v="0"/>
    <n v="0.5"/>
    <s v="RICKY"/>
    <s v="RICKY"/>
    <s v="DENNIS"/>
    <s v="DENNIS"/>
    <x v="1"/>
    <s v="P203"/>
    <n v="0.91100000000000003"/>
    <n v="2"/>
    <n v="24"/>
    <n v="216"/>
    <n v="3"/>
    <n v="14167.871999999999"/>
  </r>
  <r>
    <x v="1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5"/>
    <x v="5"/>
    <m/>
    <x v="5"/>
    <x v="5"/>
    <x v="2"/>
    <x v="5"/>
    <n v="5.5"/>
    <n v="24"/>
    <n v="0"/>
    <n v="9141"/>
    <n v="7129"/>
    <n v="12"/>
    <n v="0"/>
    <n v="6100"/>
    <n v="7540"/>
    <n v="6"/>
    <n v="0"/>
    <n v="6015"/>
    <n v="7355"/>
    <n v="28"/>
    <n v="0"/>
    <n v="5793"/>
    <n v="6511"/>
    <n v="4.7058823529411766"/>
    <n v="11.666666666666666"/>
    <n v="1"/>
    <n v="69.48"/>
    <n v="1.4583333333333333"/>
    <n v="1.4583333333333333"/>
    <x v="0"/>
    <n v="0.5"/>
    <s v="RICKY"/>
    <s v="RICKY"/>
    <s v="DENNIS"/>
    <s v="DENNIS"/>
    <x v="1"/>
    <s v="P204"/>
    <n v="1.1890000000000001"/>
    <n v="1.9"/>
    <n v="24"/>
    <n v="216"/>
    <n v="2.9"/>
    <n v="17874.950400000002"/>
  </r>
  <r>
    <x v="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"/>
    <x v="19"/>
    <x v="6"/>
    <s v="K"/>
    <x v="6"/>
    <x v="6"/>
    <x v="1"/>
    <x v="6"/>
    <n v="5.5"/>
    <n v="24"/>
    <n v="7"/>
    <n v="6960"/>
    <m/>
    <n v="3"/>
    <n v="1"/>
    <n v="7180"/>
    <m/>
    <n v="12"/>
    <n v="0"/>
    <n v="7150"/>
    <m/>
    <n v="30"/>
    <n v="5"/>
    <n v="7030"/>
    <m/>
    <n v="5.0526315789473681"/>
    <n v="23"/>
    <n v="0.98763020833333337"/>
    <n v="70.8"/>
    <n v="2.875"/>
    <n v="2.3333333333333335"/>
    <x v="1"/>
    <n v="1"/>
    <s v="JUNJUN"/>
    <s v="JUNJUN"/>
    <s v="JP"/>
    <s v="JP"/>
    <x v="1"/>
    <s v="P227"/>
    <n v="1.859"/>
    <n v="2.1"/>
    <n v="24"/>
    <n v="216"/>
    <n v="3.1"/>
    <n v="29874.873599999999"/>
  </r>
  <r>
    <x v="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"/>
    <x v="21"/>
    <x v="7"/>
    <s v="K"/>
    <x v="6"/>
    <x v="7"/>
    <x v="3"/>
    <x v="7"/>
    <n v="5.5"/>
    <n v="36"/>
    <n v="0"/>
    <n v="9170"/>
    <n v="9440"/>
    <n v="19"/>
    <n v="0"/>
    <n v="9170"/>
    <n v="9810"/>
    <n v="10"/>
    <n v="0"/>
    <n v="9070"/>
    <n v="9810"/>
    <n v="27"/>
    <n v="0"/>
    <n v="9070"/>
    <n v="9810"/>
    <n v="5.8775510204081636"/>
    <n v="30.666666666666668"/>
    <n v="1"/>
    <n v="94.1875"/>
    <n v="3.8333333333333335"/>
    <n v="3.8333333333333335"/>
    <x v="2"/>
    <n v="1"/>
    <s v="BRYAN"/>
    <s v="BRYAN"/>
    <s v="VIN"/>
    <s v="VIN"/>
    <x v="2"/>
    <s v="P204"/>
    <n v="1.1890000000000001"/>
    <n v="3"/>
    <n v="24"/>
    <n v="216"/>
    <n v="4"/>
    <n v="24655.103999999999"/>
  </r>
  <r>
    <x v="1"/>
    <x v="22"/>
    <x v="8"/>
    <s v="K"/>
    <x v="6"/>
    <x v="6"/>
    <x v="3"/>
    <x v="8"/>
    <n v="5.5"/>
    <n v="49"/>
    <n v="5"/>
    <n v="8330"/>
    <n v="7780"/>
    <n v="53"/>
    <n v="1"/>
    <n v="8150"/>
    <n v="9350"/>
    <n v="21"/>
    <n v="0"/>
    <n v="8330"/>
    <n v="8060"/>
    <n v="41"/>
    <n v="0"/>
    <n v="7690"/>
    <n v="8430"/>
    <n v="5.8775510204081636"/>
    <n v="54.666666666666664"/>
    <n v="0.99509214743589747"/>
    <n v="82.65"/>
    <n v="6.833333333333333"/>
    <n v="6.583333333333333"/>
    <x v="2"/>
    <n v="1"/>
    <s v="DENDEN"/>
    <s v="DENDEN"/>
    <s v="WILSON"/>
    <s v="WILSON"/>
    <x v="1"/>
    <s v="P204"/>
    <n v="1.1890000000000001"/>
    <n v="2.9"/>
    <n v="24"/>
    <n v="216"/>
    <n v="3.9"/>
    <n v="24038.7264"/>
  </r>
  <r>
    <x v="1"/>
    <x v="23"/>
    <x v="9"/>
    <s v="K"/>
    <x v="6"/>
    <x v="8"/>
    <x v="1"/>
    <x v="9"/>
    <n v="5.5"/>
    <n v="26"/>
    <n v="0"/>
    <n v="8570"/>
    <n v="8890"/>
    <n v="22"/>
    <n v="0"/>
    <n v="9350"/>
    <n v="9720"/>
    <n v="12"/>
    <n v="0"/>
    <n v="9350"/>
    <n v="9720"/>
    <n v="26"/>
    <n v="0"/>
    <n v="9350"/>
    <n v="9720"/>
    <n v="5.034965034965035"/>
    <n v="28.666666666666668"/>
    <n v="1"/>
    <n v="93.337500000000006"/>
    <n v="3.5833333333333335"/>
    <n v="3.5833333333333335"/>
    <x v="2"/>
    <n v="1"/>
    <s v="BRYAN"/>
    <s v="BRYAN"/>
    <s v="VIN"/>
    <s v="VIN"/>
    <x v="2"/>
    <s v="P204"/>
    <n v="1.1890000000000001"/>
    <n v="3"/>
    <n v="24"/>
    <n v="216"/>
    <n v="4"/>
    <n v="24655.103999999999"/>
  </r>
  <r>
    <x v="1"/>
    <x v="24"/>
    <x v="10"/>
    <m/>
    <x v="7"/>
    <x v="9"/>
    <x v="1"/>
    <x v="10"/>
    <n v="4"/>
    <n v="11"/>
    <n v="0"/>
    <n v="9350"/>
    <m/>
    <n v="7"/>
    <n v="3"/>
    <n v="9350"/>
    <m/>
    <n v="6"/>
    <n v="0"/>
    <n v="9440"/>
    <m/>
    <n v="9"/>
    <n v="0"/>
    <n v="9440"/>
    <m/>
    <n v="3.6"/>
    <n v="22"/>
    <n v="0.99599358974358976"/>
    <n v="93.95"/>
    <n v="2.75"/>
    <n v="2.5"/>
    <x v="2"/>
    <n v="2"/>
    <s v="DENDEN"/>
    <s v="DENDEN"/>
    <s v="WILSON"/>
    <s v="WILSON"/>
    <x v="2"/>
    <s v="P203"/>
    <n v="0.91100000000000003"/>
    <n v="1.5"/>
    <n v="24"/>
    <n v="216"/>
    <n v="2.5"/>
    <n v="11806.560000000001"/>
  </r>
  <r>
    <x v="1"/>
    <x v="24"/>
    <x v="11"/>
    <m/>
    <x v="8"/>
    <x v="10"/>
    <x v="2"/>
    <x v="11"/>
    <n v="5.5"/>
    <n v="28"/>
    <n v="10"/>
    <m/>
    <n v="9630"/>
    <n v="7"/>
    <n v="0"/>
    <m/>
    <n v="9610"/>
    <n v="5"/>
    <n v="0"/>
    <m/>
    <n v="9440"/>
    <n v="17"/>
    <n v="0"/>
    <m/>
    <n v="9440"/>
    <n v="6.6055045871559646"/>
    <n v="38"/>
    <n v="0.99272168803418803"/>
    <n v="95.3"/>
    <n v="4.75"/>
    <n v="3.9166666666666665"/>
    <x v="2"/>
    <n v="2"/>
    <s v="DENDEN"/>
    <s v="DENDEN"/>
    <s v="WILSON"/>
    <s v="WILSON"/>
    <x v="3"/>
    <s v="P227"/>
    <n v="1.859"/>
    <n v="3.3"/>
    <n v="24"/>
    <n v="216"/>
    <n v="4.3"/>
    <n v="41439.340799999998"/>
  </r>
  <r>
    <x v="1"/>
    <x v="25"/>
    <x v="12"/>
    <s v="K"/>
    <x v="6"/>
    <x v="7"/>
    <x v="3"/>
    <x v="12"/>
    <n v="5.5"/>
    <n v="32"/>
    <n v="0"/>
    <s v="L缺料"/>
    <n v="9910"/>
    <n v="9"/>
    <n v="0"/>
    <s v="停機"/>
    <n v="9910"/>
    <n v="4"/>
    <n v="0"/>
    <s v="停機"/>
    <n v="9910"/>
    <n v="5"/>
    <n v="0"/>
    <s v="停機"/>
    <n v="9910"/>
    <n v="5.8299595141700413"/>
    <n v="33.333333333333336"/>
    <n v="1"/>
    <n v="99.1"/>
    <n v="4.166666666666667"/>
    <n v="4.166666666666667"/>
    <x v="2"/>
    <n v="2"/>
    <s v="BRYAN"/>
    <s v="BRYAN"/>
    <s v="VIN"/>
    <s v="VIN"/>
    <x v="2"/>
    <s v="P204"/>
    <n v="1.1890000000000001"/>
    <n v="2.8"/>
    <n v="24"/>
    <n v="216"/>
    <n v="3.8"/>
    <n v="23422.3488"/>
  </r>
  <r>
    <x v="1"/>
    <x v="26"/>
    <x v="13"/>
    <s v="K"/>
    <x v="6"/>
    <x v="7"/>
    <x v="3"/>
    <x v="13"/>
    <n v="5.5"/>
    <n v="26"/>
    <n v="0"/>
    <n v="9910"/>
    <n v="9540"/>
    <n v="23"/>
    <n v="0"/>
    <n v="10000"/>
    <n v="9720"/>
    <n v="15"/>
    <n v="0"/>
    <n v="9910"/>
    <n v="9070"/>
    <n v="22"/>
    <n v="0"/>
    <n v="9910"/>
    <n v="9440"/>
    <n v="5.8299595141700413"/>
    <n v="28.666666666666668"/>
    <n v="1"/>
    <n v="96.875"/>
    <n v="3.5833333333333335"/>
    <n v="3.5833333333333335"/>
    <x v="2"/>
    <n v="1"/>
    <s v="DENDEN"/>
    <s v="DENDEN"/>
    <s v="WILSON"/>
    <s v="WILSON"/>
    <x v="2"/>
    <s v="P204"/>
    <n v="1.1890000000000001"/>
    <n v="2.8"/>
    <n v="24"/>
    <n v="216"/>
    <n v="3.8"/>
    <n v="23422.3488"/>
  </r>
  <r>
    <x v="1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EDISON"/>
    <s v="EDISON"/>
    <x v="0"/>
    <s v=""/>
    <s v=""/>
    <s v=""/>
    <n v="24"/>
    <n v="216"/>
    <s v=""/>
    <s v=""/>
  </r>
  <r>
    <x v="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2"/>
    <x v="15"/>
    <m/>
    <x v="9"/>
    <x v="11"/>
    <x v="4"/>
    <x v="14"/>
    <n v="4"/>
    <m/>
    <m/>
    <s v="改紡"/>
    <m/>
    <n v="50"/>
    <n v="0"/>
    <n v="7386"/>
    <n v="5771"/>
    <n v="42"/>
    <n v="0"/>
    <n v="7396"/>
    <n v="5765"/>
    <n v="24"/>
    <n v="2"/>
    <n v="7453"/>
    <n v="7251"/>
    <n v="2.9937629937629939"/>
    <s v="改紡"/>
    <s v=""/>
    <s v=""/>
    <s v=""/>
    <s v=""/>
    <x v="0"/>
    <n v="1"/>
    <s v="N/A"/>
    <s v="RICKY"/>
    <s v="CHALS"/>
    <s v="CHALS"/>
    <x v="1"/>
    <s v="P203"/>
    <n v="0.91100000000000003"/>
    <n v="1.9"/>
    <n v="24"/>
    <n v="216"/>
    <n v="2.9"/>
    <n v="13695.6096"/>
  </r>
  <r>
    <x v="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5"/>
    <x v="1"/>
    <m/>
    <x v="1"/>
    <x v="1"/>
    <x v="1"/>
    <x v="1"/>
    <n v="5"/>
    <n v="26"/>
    <n v="0"/>
    <n v="9346"/>
    <n v="9351"/>
    <n v="2"/>
    <n v="0"/>
    <n v="9444"/>
    <n v="9630"/>
    <n v="8"/>
    <n v="0"/>
    <n v="9418"/>
    <n v="9590"/>
    <n v="10"/>
    <n v="1"/>
    <n v="9402"/>
    <n v="9444"/>
    <n v="2.8015564202334629"/>
    <n v="7.666666666666667"/>
    <n v="0.99828392094017093"/>
    <n v="94.53125"/>
    <n v="0.95833333333333337"/>
    <n v="0.9375"/>
    <x v="0"/>
    <n v="0.5"/>
    <s v="RICKY"/>
    <s v="RICKY"/>
    <s v="CHALS"/>
    <s v="CHALS"/>
    <x v="1"/>
    <s v="P203"/>
    <n v="0.91100000000000003"/>
    <n v="1.7"/>
    <n v="24"/>
    <n v="216"/>
    <n v="2.7"/>
    <n v="12751.084800000001"/>
  </r>
  <r>
    <x v="2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9"/>
    <x v="2"/>
    <s v="G"/>
    <x v="2"/>
    <x v="2"/>
    <x v="2"/>
    <x v="2"/>
    <n v="2"/>
    <n v="13"/>
    <n v="4"/>
    <n v="9490"/>
    <s v="停機"/>
    <n v="7"/>
    <n v="0"/>
    <n v="9378"/>
    <s v="停機"/>
    <n v="8"/>
    <n v="0"/>
    <n v="9367"/>
    <s v="停機"/>
    <n v="11"/>
    <n v="0"/>
    <n v="9376"/>
    <s v="停機"/>
    <n v="2.1492537313432836"/>
    <n v="26"/>
    <n v="0.9910523504273504"/>
    <n v="94.027500000000003"/>
    <n v="3.25"/>
    <n v="2.9166666666666665"/>
    <x v="0"/>
    <n v="2"/>
    <s v="RICKY"/>
    <s v="RICKY"/>
    <s v="CHALS"/>
    <s v="CHALS"/>
    <x v="1"/>
    <s v="P203"/>
    <n v="0.91100000000000003"/>
    <n v="0.7"/>
    <n v="24"/>
    <n v="216"/>
    <n v="1.7"/>
    <n v="8028.4608000000007"/>
  </r>
  <r>
    <x v="2"/>
    <x v="10"/>
    <x v="3"/>
    <s v="G"/>
    <x v="3"/>
    <x v="3"/>
    <x v="1"/>
    <x v="3"/>
    <n v="3"/>
    <n v="11"/>
    <n v="0"/>
    <n v="8176"/>
    <s v="停機"/>
    <n v="4"/>
    <n v="0"/>
    <n v="8488"/>
    <s v="停機"/>
    <n v="4"/>
    <n v="0"/>
    <n v="8400"/>
    <s v="停機"/>
    <n v="6"/>
    <n v="0"/>
    <n v="8358"/>
    <s v="停機"/>
    <n v="2.4"/>
    <n v="16.666666666666668"/>
    <n v="1"/>
    <n v="83.555000000000007"/>
    <n v="2.0833333333333335"/>
    <n v="2.0833333333333335"/>
    <x v="0"/>
    <n v="2"/>
    <s v="RICKY"/>
    <s v="RICKY"/>
    <s v="CHALS"/>
    <s v="CHALS"/>
    <x v="1"/>
    <s v="P203"/>
    <n v="0.91100000000000003"/>
    <n v="0.8"/>
    <n v="24"/>
    <n v="216"/>
    <n v="1.8"/>
    <n v="8500.7232000000004"/>
  </r>
  <r>
    <x v="2"/>
    <x v="11"/>
    <x v="4"/>
    <m/>
    <x v="4"/>
    <x v="4"/>
    <x v="2"/>
    <x v="4"/>
    <n v="5"/>
    <m/>
    <m/>
    <s v="清車"/>
    <m/>
    <m/>
    <m/>
    <s v="清車"/>
    <m/>
    <m/>
    <m/>
    <s v="清車"/>
    <m/>
    <m/>
    <m/>
    <s v="停機"/>
    <m/>
    <n v="5.5598455598455603"/>
    <s v="清車"/>
    <s v=""/>
    <s v=""/>
    <s v=""/>
    <s v=""/>
    <x v="0"/>
    <n v="0.5"/>
    <s v="RICKY"/>
    <s v="N/A"/>
    <s v="N/A"/>
    <s v="N/A"/>
    <x v="1"/>
    <s v="P203"/>
    <n v="0.91100000000000003"/>
    <n v="2"/>
    <n v="24"/>
    <n v="216"/>
    <n v="3"/>
    <n v="14167.871999999999"/>
  </r>
  <r>
    <x v="2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5"/>
    <x v="5"/>
    <m/>
    <x v="5"/>
    <x v="5"/>
    <x v="2"/>
    <x v="5"/>
    <n v="5.5"/>
    <n v="28"/>
    <n v="0"/>
    <n v="6043"/>
    <n v="7118"/>
    <n v="8"/>
    <n v="0"/>
    <n v="6287"/>
    <n v="7386"/>
    <n v="8"/>
    <n v="0"/>
    <n v="6293"/>
    <n v="7317"/>
    <n v="30"/>
    <n v="1"/>
    <n v="6348"/>
    <n v="6983"/>
    <n v="4.7058823529411766"/>
    <n v="12.333333333333334"/>
    <n v="0.99897836538461537"/>
    <n v="67.21875"/>
    <n v="1.5416666666666667"/>
    <n v="1.5208333333333333"/>
    <x v="0"/>
    <n v="0.5"/>
    <s v="RICKY"/>
    <s v="RICKY"/>
    <s v="CHALS"/>
    <s v="CHALS"/>
    <x v="1"/>
    <s v="P204"/>
    <n v="1.1890000000000001"/>
    <n v="1.9"/>
    <n v="24"/>
    <n v="216"/>
    <n v="2.9"/>
    <n v="17874.950400000002"/>
  </r>
  <r>
    <x v="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"/>
    <x v="19"/>
    <x v="6"/>
    <s v="K"/>
    <x v="6"/>
    <x v="6"/>
    <x v="1"/>
    <x v="6"/>
    <n v="5.5"/>
    <n v="8"/>
    <n v="1"/>
    <n v="6700"/>
    <m/>
    <n v="30"/>
    <n v="4"/>
    <n v="6410"/>
    <m/>
    <n v="6"/>
    <n v="0"/>
    <n v="6180"/>
    <m/>
    <n v="16"/>
    <n v="5"/>
    <n v="3310"/>
    <m/>
    <n v="5.0526315789473681"/>
    <n v="20"/>
    <n v="0.99048477564102566"/>
    <n v="56.5"/>
    <n v="2.5"/>
    <n v="2.0833333333333335"/>
    <x v="1"/>
    <n v="1"/>
    <s v="JUNJUN"/>
    <s v="JUNJUN"/>
    <s v="JP"/>
    <s v="JP"/>
    <x v="1"/>
    <s v="P227"/>
    <n v="1.859"/>
    <n v="2.1"/>
    <n v="24"/>
    <n v="216"/>
    <n v="3.1"/>
    <n v="29874.873599999999"/>
  </r>
  <r>
    <x v="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"/>
    <x v="21"/>
    <x v="7"/>
    <s v="K"/>
    <x v="6"/>
    <x v="7"/>
    <x v="3"/>
    <x v="7"/>
    <n v="5.5"/>
    <n v="40"/>
    <n v="2"/>
    <n v="8890"/>
    <n v="9720"/>
    <n v="15"/>
    <n v="0"/>
    <n v="9170"/>
    <n v="9810"/>
    <n v="12"/>
    <n v="0"/>
    <n v="9170"/>
    <n v="9910"/>
    <n v="21"/>
    <n v="0"/>
    <n v="9070"/>
    <n v="9810"/>
    <n v="5.8775510204081636"/>
    <n v="29.333333333333332"/>
    <n v="0.99836404914529919"/>
    <n v="94.4375"/>
    <n v="3.6666666666666665"/>
    <n v="3.5833333333333335"/>
    <x v="2"/>
    <n v="1"/>
    <s v="BRYAN"/>
    <s v="JHO"/>
    <s v="VIN"/>
    <s v="VIN"/>
    <x v="2"/>
    <s v="P204"/>
    <n v="1.1890000000000001"/>
    <n v="3"/>
    <n v="24"/>
    <n v="216"/>
    <n v="4"/>
    <n v="24655.103999999999"/>
  </r>
  <r>
    <x v="2"/>
    <x v="22"/>
    <x v="8"/>
    <s v="K"/>
    <x v="6"/>
    <x v="6"/>
    <x v="3"/>
    <x v="8"/>
    <n v="5.5"/>
    <n v="31"/>
    <n v="5"/>
    <n v="6480"/>
    <n v="7690"/>
    <n v="59"/>
    <n v="0"/>
    <n v="9260"/>
    <n v="6940"/>
    <n v="47"/>
    <n v="0"/>
    <n v="9630"/>
    <n v="8980"/>
    <n v="22"/>
    <n v="0"/>
    <n v="9630"/>
    <n v="8980"/>
    <n v="5.8775510204081636"/>
    <n v="53"/>
    <n v="0.99591012286324787"/>
    <n v="84.487499999999997"/>
    <n v="6.625"/>
    <n v="6.416666666666667"/>
    <x v="2"/>
    <n v="1"/>
    <s v="DENDEN"/>
    <s v="JERBY"/>
    <s v="VIN"/>
    <s v="VIN"/>
    <x v="1"/>
    <s v="P204"/>
    <n v="1.1890000000000001"/>
    <n v="2.9"/>
    <n v="24"/>
    <n v="216"/>
    <n v="3.9"/>
    <n v="24038.7264"/>
  </r>
  <r>
    <x v="2"/>
    <x v="23"/>
    <x v="9"/>
    <s v="K"/>
    <x v="6"/>
    <x v="8"/>
    <x v="1"/>
    <x v="9"/>
    <n v="5.5"/>
    <n v="38"/>
    <n v="5"/>
    <n v="9350"/>
    <n v="9720"/>
    <n v="12"/>
    <n v="1"/>
    <n v="9350"/>
    <n v="9720"/>
    <n v="8"/>
    <n v="0"/>
    <n v="9350"/>
    <n v="9720"/>
    <n v="33"/>
    <n v="3"/>
    <n v="9350"/>
    <n v="9720"/>
    <n v="5.034965034965035"/>
    <n v="30.333333333333332"/>
    <n v="0.99140625000000004"/>
    <n v="95.35"/>
    <n v="3.7916666666666665"/>
    <n v="3.4166666666666665"/>
    <x v="2"/>
    <n v="1"/>
    <s v="BRYAN"/>
    <s v="JHO"/>
    <s v="MAMAY"/>
    <s v="MAMAY"/>
    <x v="2"/>
    <s v="P204"/>
    <n v="1.1890000000000001"/>
    <n v="3"/>
    <n v="24"/>
    <n v="216"/>
    <n v="4"/>
    <n v="24655.103999999999"/>
  </r>
  <r>
    <x v="2"/>
    <x v="24"/>
    <x v="10"/>
    <m/>
    <x v="7"/>
    <x v="9"/>
    <x v="1"/>
    <x v="10"/>
    <n v="4"/>
    <n v="22"/>
    <n v="3"/>
    <n v="9260"/>
    <m/>
    <n v="10"/>
    <n v="2"/>
    <n v="9260"/>
    <m/>
    <n v="9"/>
    <n v="4"/>
    <n v="9630"/>
    <m/>
    <n v="15"/>
    <n v="6"/>
    <n v="9630"/>
    <m/>
    <n v="3.6"/>
    <n v="37.333333333333336"/>
    <n v="0.97996794871794868"/>
    <n v="94.45"/>
    <n v="4.666666666666667"/>
    <n v="3.4166666666666665"/>
    <x v="2"/>
    <n v="2"/>
    <s v="DENDEN"/>
    <s v="JERBY"/>
    <s v="MAMAY"/>
    <s v="MAMAY"/>
    <x v="2"/>
    <s v="P203"/>
    <n v="0.91100000000000003"/>
    <n v="1.5"/>
    <n v="24"/>
    <n v="216"/>
    <n v="2.5"/>
    <n v="11806.560000000001"/>
  </r>
  <r>
    <x v="2"/>
    <x v="24"/>
    <x v="11"/>
    <m/>
    <x v="8"/>
    <x v="10"/>
    <x v="2"/>
    <x v="11"/>
    <n v="5.5"/>
    <n v="24"/>
    <n v="21"/>
    <m/>
    <n v="7780"/>
    <n v="27"/>
    <n v="16"/>
    <m/>
    <n v="9540"/>
    <n v="15"/>
    <n v="3"/>
    <m/>
    <n v="9910"/>
    <n v="19"/>
    <n v="1"/>
    <n v="9810"/>
    <m/>
    <n v="6.6055045871559646"/>
    <n v="56.666666666666664"/>
    <n v="0.97015892094017098"/>
    <n v="92.6"/>
    <n v="7.083333333333333"/>
    <n v="3.6666666666666665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2"/>
    <x v="25"/>
    <x v="12"/>
    <s v="K"/>
    <x v="6"/>
    <x v="7"/>
    <x v="3"/>
    <x v="12"/>
    <n v="5.5"/>
    <n v="16"/>
    <n v="3"/>
    <s v="L缺料"/>
    <n v="10000"/>
    <n v="7"/>
    <n v="0"/>
    <s v="停機"/>
    <n v="10000"/>
    <n v="6"/>
    <n v="0"/>
    <s v="停機"/>
    <n v="10000"/>
    <n v="5"/>
    <n v="0"/>
    <s v="停機"/>
    <n v="10000"/>
    <n v="5.8299595141700413"/>
    <n v="22.666666666666668"/>
    <n v="0.9975260416666667"/>
    <n v="100"/>
    <n v="2.8333333333333335"/>
    <n v="2.5833333333333335"/>
    <x v="2"/>
    <n v="2"/>
    <s v="BRYAN"/>
    <s v="JHO"/>
    <s v="WILSON"/>
    <s v="WILSON"/>
    <x v="2"/>
    <s v="P204"/>
    <n v="1.1890000000000001"/>
    <n v="2.8"/>
    <n v="24"/>
    <n v="216"/>
    <n v="3.8"/>
    <n v="23422.3488"/>
  </r>
  <r>
    <x v="2"/>
    <x v="26"/>
    <x v="13"/>
    <s v="K"/>
    <x v="6"/>
    <x v="7"/>
    <x v="3"/>
    <x v="13"/>
    <n v="5.5"/>
    <n v="12"/>
    <n v="7"/>
    <n v="9070"/>
    <n v="8150"/>
    <n v="30"/>
    <n v="0"/>
    <n v="9260"/>
    <n v="9540"/>
    <n v="28"/>
    <n v="0"/>
    <n v="10000"/>
    <n v="9720"/>
    <n v="32"/>
    <n v="0"/>
    <n v="10000"/>
    <n v="9720"/>
    <n v="5.8299595141700413"/>
    <n v="34"/>
    <n v="0.99422743055555551"/>
    <n v="94.325000000000003"/>
    <n v="4.25"/>
    <n v="3.9583333333333335"/>
    <x v="2"/>
    <n v="1"/>
    <s v="DENDEN"/>
    <s v="JERBY"/>
    <s v="WILSON"/>
    <s v="WILSON"/>
    <x v="2"/>
    <s v="P204"/>
    <n v="1.1890000000000001"/>
    <n v="2.8"/>
    <n v="24"/>
    <n v="216"/>
    <n v="3.8"/>
    <n v="23422.3488"/>
  </r>
  <r>
    <x v="2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2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EDISON"/>
    <s v="EDISON"/>
    <x v="0"/>
    <s v=""/>
    <s v=""/>
    <s v=""/>
    <n v="24"/>
    <n v="216"/>
    <s v=""/>
    <s v=""/>
  </r>
  <r>
    <x v="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2"/>
    <x v="15"/>
    <m/>
    <x v="9"/>
    <x v="11"/>
    <x v="4"/>
    <x v="14"/>
    <n v="4"/>
    <n v="48"/>
    <n v="0"/>
    <n v="8533"/>
    <n v="7799"/>
    <n v="16"/>
    <n v="0"/>
    <n v="8574"/>
    <n v="7702"/>
    <n v="22"/>
    <n v="0"/>
    <n v="8748"/>
    <n v="7743"/>
    <n v="32"/>
    <n v="1"/>
    <n v="8952"/>
    <n v="7578"/>
    <n v="2.9937629937629939"/>
    <n v="39.333333333333336"/>
    <n v="0.99839409722222228"/>
    <n v="82.036249999999995"/>
    <n v="4.916666666666667"/>
    <n v="4.875"/>
    <x v="0"/>
    <n v="1"/>
    <s v="JB"/>
    <s v="JB"/>
    <m/>
    <m/>
    <x v="1"/>
    <s v="P203"/>
    <n v="0.91100000000000003"/>
    <n v="1.9"/>
    <n v="24"/>
    <n v="216"/>
    <n v="2.9"/>
    <n v="13695.6096"/>
  </r>
  <r>
    <x v="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5"/>
    <x v="1"/>
    <m/>
    <x v="1"/>
    <x v="1"/>
    <x v="1"/>
    <x v="1"/>
    <n v="5"/>
    <n v="8"/>
    <n v="0"/>
    <n v="9179"/>
    <n v="9327"/>
    <n v="12"/>
    <n v="0"/>
    <n v="9046"/>
    <n v="9305"/>
    <n v="6"/>
    <n v="0"/>
    <n v="9125"/>
    <n v="9370"/>
    <n v="12"/>
    <n v="0"/>
    <n v="9369"/>
    <n v="9428"/>
    <n v="2.8015564202334629"/>
    <n v="6.333333333333333"/>
    <n v="1"/>
    <n v="92.686250000000001"/>
    <n v="0.79166666666666663"/>
    <n v="0.79166666666666663"/>
    <x v="0"/>
    <n v="0.5"/>
    <s v="JB"/>
    <s v="JB"/>
    <s v="CHALS"/>
    <s v="CHALS"/>
    <x v="1"/>
    <s v="P203"/>
    <n v="0.91100000000000003"/>
    <n v="1.7"/>
    <n v="24"/>
    <n v="216"/>
    <n v="2.7"/>
    <n v="12751.084800000001"/>
  </r>
  <r>
    <x v="3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9"/>
    <x v="2"/>
    <s v="G"/>
    <x v="2"/>
    <x v="2"/>
    <x v="2"/>
    <x v="2"/>
    <n v="2"/>
    <n v="8"/>
    <n v="0"/>
    <n v="9245"/>
    <s v="停機"/>
    <n v="5"/>
    <n v="0"/>
    <n v="9332"/>
    <s v="停機"/>
    <n v="6"/>
    <n v="0"/>
    <n v="9408"/>
    <s v="停機"/>
    <n v="15"/>
    <n v="0"/>
    <n v="9463"/>
    <s v="停機"/>
    <n v="2.1492537313432836"/>
    <n v="22.666666666666668"/>
    <n v="1"/>
    <n v="93.62"/>
    <n v="2.8333333333333335"/>
    <n v="2.8333333333333335"/>
    <x v="0"/>
    <n v="2"/>
    <s v="JB"/>
    <s v="JB"/>
    <s v="CHALS"/>
    <s v="CHALS"/>
    <x v="1"/>
    <s v="P203"/>
    <n v="0.91100000000000003"/>
    <n v="0.7"/>
    <n v="24"/>
    <n v="216"/>
    <n v="1.7"/>
    <n v="8028.4608000000007"/>
  </r>
  <r>
    <x v="3"/>
    <x v="10"/>
    <x v="3"/>
    <s v="G"/>
    <x v="3"/>
    <x v="3"/>
    <x v="1"/>
    <x v="3"/>
    <n v="3"/>
    <n v="6"/>
    <n v="0"/>
    <n v="8169"/>
    <s v="停機"/>
    <n v="9"/>
    <n v="0"/>
    <n v="7977"/>
    <s v="停機"/>
    <n v="12"/>
    <n v="0"/>
    <n v="7987"/>
    <s v="停機"/>
    <n v="14"/>
    <n v="1"/>
    <n v="8103"/>
    <s v="停機"/>
    <n v="2.4"/>
    <n v="27.333333333333332"/>
    <n v="0.99799679487179482"/>
    <n v="80.59"/>
    <n v="3.4166666666666665"/>
    <n v="3.3333333333333335"/>
    <x v="0"/>
    <n v="2"/>
    <s v="JB"/>
    <s v="JB"/>
    <s v="CHALS"/>
    <s v="CHALS"/>
    <x v="1"/>
    <s v="P203"/>
    <n v="0.91100000000000003"/>
    <n v="0.8"/>
    <n v="24"/>
    <n v="216"/>
    <n v="1.8"/>
    <n v="8500.7232000000004"/>
  </r>
  <r>
    <x v="3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JB"/>
    <s v="JB"/>
    <s v="N/A"/>
    <s v="N/A"/>
    <x v="0"/>
    <s v=""/>
    <s v=""/>
    <s v=""/>
    <n v="24"/>
    <n v="216"/>
    <s v=""/>
    <s v=""/>
  </r>
  <r>
    <x v="3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5"/>
    <x v="5"/>
    <m/>
    <x v="5"/>
    <x v="5"/>
    <x v="2"/>
    <x v="5"/>
    <n v="5.5"/>
    <n v="22"/>
    <n v="0"/>
    <n v="6035"/>
    <n v="6461"/>
    <n v="12"/>
    <n v="0"/>
    <n v="6222"/>
    <n v="6450"/>
    <n v="14"/>
    <n v="0"/>
    <n v="6254"/>
    <n v="6413"/>
    <n v="14"/>
    <n v="0"/>
    <n v="6296"/>
    <n v="6290"/>
    <n v="4.7058823529411766"/>
    <n v="10.333333333333334"/>
    <n v="1"/>
    <n v="63.026249999999997"/>
    <n v="1.2916666666666667"/>
    <n v="1.2916666666666667"/>
    <x v="0"/>
    <n v="0.5"/>
    <s v="JB"/>
    <s v="JB"/>
    <s v="CHALS"/>
    <s v="CHALS"/>
    <x v="1"/>
    <s v="P204"/>
    <n v="1.1890000000000001"/>
    <n v="1.9"/>
    <n v="24"/>
    <n v="216"/>
    <n v="2.9"/>
    <n v="17874.950400000002"/>
  </r>
  <r>
    <x v="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19"/>
    <x v="6"/>
    <s v="K"/>
    <x v="6"/>
    <x v="6"/>
    <x v="1"/>
    <x v="6"/>
    <n v="5.5"/>
    <n v="14"/>
    <n v="2"/>
    <n v="3080"/>
    <s v="L缺料"/>
    <n v="8"/>
    <n v="4"/>
    <n v="3130"/>
    <m/>
    <n v="6"/>
    <n v="0"/>
    <n v="3360"/>
    <m/>
    <n v="14"/>
    <n v="3"/>
    <n v="3300"/>
    <m/>
    <n v="5.0526315789473681"/>
    <n v="28"/>
    <n v="0.99143629807692313"/>
    <n v="32.174999999999997"/>
    <n v="3.5"/>
    <n v="2.75"/>
    <x v="1"/>
    <n v="2"/>
    <s v="JUNJUN"/>
    <s v="JUNJUN"/>
    <s v="JP"/>
    <s v="JP"/>
    <x v="1"/>
    <s v="P227"/>
    <n v="1.859"/>
    <n v="2.1"/>
    <n v="24"/>
    <n v="216"/>
    <n v="3.1"/>
    <n v="29874.873599999999"/>
  </r>
  <r>
    <x v="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21"/>
    <x v="7"/>
    <s v="K"/>
    <x v="6"/>
    <x v="7"/>
    <x v="3"/>
    <x v="7"/>
    <n v="5.5"/>
    <n v="50"/>
    <n v="0"/>
    <n v="9170"/>
    <n v="9440"/>
    <n v="15"/>
    <n v="2"/>
    <n v="9170"/>
    <n v="9720"/>
    <n v="20"/>
    <n v="2"/>
    <n v="9070"/>
    <n v="9630"/>
    <n v="35"/>
    <n v="4"/>
    <n v="9170"/>
    <n v="9720"/>
    <n v="5.8775510204081636"/>
    <n v="40"/>
    <n v="0.99345619658119655"/>
    <n v="93.862499999999997"/>
    <n v="5"/>
    <n v="4.666666666666667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3"/>
    <x v="22"/>
    <x v="8"/>
    <s v="K"/>
    <x v="6"/>
    <x v="6"/>
    <x v="3"/>
    <x v="8"/>
    <n v="5.5"/>
    <n v="50"/>
    <n v="1"/>
    <n v="9630"/>
    <n v="8800"/>
    <n v="14"/>
    <n v="0"/>
    <n v="9630"/>
    <n v="9260"/>
    <n v="29"/>
    <n v="6"/>
    <n v="9540"/>
    <n v="9070"/>
    <n v="52"/>
    <n v="1"/>
    <n v="9440"/>
    <n v="9070"/>
    <n v="5.8775510204081636"/>
    <n v="48.333333333333336"/>
    <n v="0.99345619658119655"/>
    <n v="93.05"/>
    <n v="6.041666666666667"/>
    <n v="5.708333333333333"/>
    <x v="2"/>
    <n v="1"/>
    <s v="BRYAN"/>
    <s v="BRYAN"/>
    <s v="MAMAY"/>
    <s v="MAMAY"/>
    <x v="1"/>
    <s v="P204"/>
    <n v="1.1890000000000001"/>
    <n v="2.9"/>
    <n v="24"/>
    <n v="216"/>
    <n v="3.9"/>
    <n v="24038.7264"/>
  </r>
  <r>
    <x v="3"/>
    <x v="23"/>
    <x v="9"/>
    <s v="K"/>
    <x v="6"/>
    <x v="8"/>
    <x v="1"/>
    <x v="9"/>
    <n v="5.5"/>
    <n v="33"/>
    <n v="3"/>
    <n v="9350"/>
    <n v="9810"/>
    <n v="9"/>
    <n v="0"/>
    <n v="9260"/>
    <n v="9810"/>
    <n v="10"/>
    <n v="0"/>
    <n v="9260"/>
    <n v="9720"/>
    <n v="34"/>
    <n v="1"/>
    <n v="9170"/>
    <n v="9720"/>
    <n v="5.034965034965035"/>
    <n v="28.666666666666668"/>
    <n v="0.99618055555555551"/>
    <n v="95.125"/>
    <n v="3.5833333333333335"/>
    <n v="3.4166666666666665"/>
    <x v="2"/>
    <n v="1"/>
    <s v="DENDEN"/>
    <s v="DENDEN"/>
    <s v="WILSON"/>
    <s v="WILSON"/>
    <x v="2"/>
    <s v="P204"/>
    <n v="1.1890000000000001"/>
    <n v="3"/>
    <n v="24"/>
    <n v="216"/>
    <n v="4"/>
    <n v="24655.103999999999"/>
  </r>
  <r>
    <x v="3"/>
    <x v="24"/>
    <x v="10"/>
    <m/>
    <x v="7"/>
    <x v="9"/>
    <x v="1"/>
    <x v="10"/>
    <n v="4"/>
    <n v="12"/>
    <n v="5"/>
    <n v="9630"/>
    <m/>
    <n v="3"/>
    <n v="0"/>
    <n v="9630"/>
    <m/>
    <n v="14"/>
    <n v="0"/>
    <n v="9540"/>
    <m/>
    <n v="10"/>
    <n v="0"/>
    <n v="9170"/>
    <m/>
    <n v="3.6"/>
    <n v="26"/>
    <n v="0.9933226495726496"/>
    <n v="94.924999999999997"/>
    <n v="3.25"/>
    <n v="2.8333333333333335"/>
    <x v="2"/>
    <n v="2"/>
    <s v="DENDEN"/>
    <s v="DENDEN"/>
    <s v="WILSON"/>
    <s v="WILSON"/>
    <x v="2"/>
    <s v="P203"/>
    <n v="0.91100000000000003"/>
    <n v="1.5"/>
    <n v="24"/>
    <n v="216"/>
    <n v="2.5"/>
    <n v="11806.560000000001"/>
  </r>
  <r>
    <x v="3"/>
    <x v="24"/>
    <x v="11"/>
    <m/>
    <x v="8"/>
    <x v="10"/>
    <x v="2"/>
    <x v="11"/>
    <n v="5.5"/>
    <n v="8"/>
    <n v="2"/>
    <m/>
    <n v="9810"/>
    <n v="12"/>
    <n v="4"/>
    <m/>
    <n v="9810"/>
    <n v="6"/>
    <n v="0"/>
    <m/>
    <n v="9720"/>
    <n v="13"/>
    <n v="0"/>
    <n v="9720"/>
    <m/>
    <n v="6.6055045871559646"/>
    <n v="26"/>
    <n v="0.99563301282051286"/>
    <n v="97.65"/>
    <n v="3.25"/>
    <n v="2.75"/>
    <x v="2"/>
    <n v="2"/>
    <s v="DENDEN"/>
    <s v="DENDEN"/>
    <s v="WILSON"/>
    <s v="WILSON"/>
    <x v="3"/>
    <s v="P227"/>
    <n v="1.859"/>
    <n v="3.3"/>
    <n v="24"/>
    <n v="216"/>
    <n v="4.3"/>
    <n v="41439.340799999998"/>
  </r>
  <r>
    <x v="3"/>
    <x v="25"/>
    <x v="12"/>
    <s v="K"/>
    <x v="6"/>
    <x v="7"/>
    <x v="3"/>
    <x v="12"/>
    <n v="5.5"/>
    <n v="26"/>
    <n v="4"/>
    <s v="L缺料"/>
    <n v="9810"/>
    <n v="9"/>
    <n v="1"/>
    <s v="停機"/>
    <n v="9810"/>
    <n v="5"/>
    <n v="0"/>
    <s v="停機"/>
    <n v="10000"/>
    <n v="8"/>
    <n v="1"/>
    <s v="停機"/>
    <n v="10000"/>
    <n v="5.8299595141700413"/>
    <n v="32"/>
    <n v="0.99505208333333328"/>
    <n v="99.05"/>
    <n v="4"/>
    <n v="3.5"/>
    <x v="2"/>
    <n v="2"/>
    <s v="JERBY"/>
    <s v="JERBY"/>
    <s v="JONA"/>
    <s v="JONA"/>
    <x v="2"/>
    <s v="P204"/>
    <n v="1.1890000000000001"/>
    <n v="2.8"/>
    <n v="24"/>
    <n v="216"/>
    <n v="3.8"/>
    <n v="23422.3488"/>
  </r>
  <r>
    <x v="3"/>
    <x v="26"/>
    <x v="13"/>
    <s v="K"/>
    <x v="6"/>
    <x v="7"/>
    <x v="3"/>
    <x v="13"/>
    <n v="5.5"/>
    <n v="25"/>
    <n v="2"/>
    <n v="10000"/>
    <n v="9720"/>
    <n v="16"/>
    <n v="2"/>
    <n v="10000"/>
    <n v="9630"/>
    <n v="21"/>
    <n v="0"/>
    <n v="10000"/>
    <n v="9630"/>
    <n v="15"/>
    <n v="4"/>
    <n v="10000"/>
    <n v="9630"/>
    <n v="5.8299595141700413"/>
    <n v="25.666666666666668"/>
    <n v="0.99340277777777775"/>
    <n v="98.262500000000003"/>
    <n v="3.2083333333333335"/>
    <n v="2.875"/>
    <x v="2"/>
    <n v="1"/>
    <s v="JERBY"/>
    <s v="JERBY"/>
    <s v="JONA"/>
    <s v="JONA"/>
    <x v="2"/>
    <s v="P204"/>
    <n v="1.1890000000000001"/>
    <n v="2.8"/>
    <n v="24"/>
    <n v="216"/>
    <n v="3.8"/>
    <n v="23422.3488"/>
  </r>
  <r>
    <x v="3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3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EDISON"/>
    <s v="EDISON"/>
    <x v="0"/>
    <s v=""/>
    <s v=""/>
    <s v=""/>
    <n v="24"/>
    <n v="216"/>
    <s v=""/>
    <s v=""/>
  </r>
  <r>
    <x v="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2"/>
    <x v="15"/>
    <m/>
    <x v="9"/>
    <x v="11"/>
    <x v="4"/>
    <x v="14"/>
    <n v="4"/>
    <n v="14"/>
    <n v="0"/>
    <n v="8759"/>
    <n v="7824"/>
    <n v="8"/>
    <n v="0"/>
    <n v="8586"/>
    <n v="7668"/>
    <n v="6"/>
    <n v="4"/>
    <n v="8518"/>
    <n v="7616"/>
    <n v="10"/>
    <n v="0"/>
    <n v="8433"/>
    <n v="7512"/>
    <n v="2.9937629937629939"/>
    <n v="12.666666666666666"/>
    <n v="0.99357638888888888"/>
    <n v="81.144999999999996"/>
    <n v="1.5833333333333333"/>
    <n v="1.4166666666666667"/>
    <x v="0"/>
    <n v="1"/>
    <s v="JB"/>
    <s v="JB"/>
    <s v="EDISON"/>
    <s v="EDISON"/>
    <x v="1"/>
    <s v="P203"/>
    <n v="0.91100000000000003"/>
    <n v="1.9"/>
    <n v="24"/>
    <n v="216"/>
    <n v="2.9"/>
    <n v="13695.6096"/>
  </r>
  <r>
    <x v="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5"/>
    <x v="1"/>
    <m/>
    <x v="1"/>
    <x v="1"/>
    <x v="1"/>
    <x v="1"/>
    <n v="5"/>
    <n v="12"/>
    <n v="0"/>
    <n v="9180"/>
    <n v="9424"/>
    <n v="18"/>
    <n v="0"/>
    <n v="8888"/>
    <n v="9000"/>
    <n v="6"/>
    <n v="2"/>
    <n v="9072"/>
    <n v="9185"/>
    <n v="22"/>
    <n v="8"/>
    <n v="8752"/>
    <n v="9342"/>
    <n v="2.8015564202334629"/>
    <n v="9.6666666666666661"/>
    <n v="0.98283920940170943"/>
    <n v="91.053749999999994"/>
    <n v="1.2083333333333333"/>
    <n v="1"/>
    <x v="0"/>
    <n v="0.5"/>
    <s v="JB"/>
    <s v="JB"/>
    <s v="EDISON"/>
    <s v="EDISON"/>
    <x v="1"/>
    <s v="P203"/>
    <n v="0.91100000000000003"/>
    <n v="1.7"/>
    <n v="24"/>
    <n v="216"/>
    <n v="2.7"/>
    <n v="12751.084800000001"/>
  </r>
  <r>
    <x v="4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9"/>
    <x v="2"/>
    <s v="G"/>
    <x v="2"/>
    <x v="2"/>
    <x v="2"/>
    <x v="2"/>
    <n v="2"/>
    <n v="13"/>
    <n v="0"/>
    <n v="9443"/>
    <s v="停機"/>
    <n v="8"/>
    <n v="0"/>
    <n v="9308"/>
    <s v="停機"/>
    <n v="7"/>
    <n v="0"/>
    <n v="9266"/>
    <s v="停機"/>
    <n v="14"/>
    <n v="0"/>
    <n v="9308"/>
    <s v="停機"/>
    <n v="2.1492537313432836"/>
    <n v="28"/>
    <n v="1"/>
    <n v="93.3125"/>
    <n v="3.5"/>
    <n v="3.5"/>
    <x v="0"/>
    <n v="2"/>
    <s v="JB"/>
    <s v="JB"/>
    <s v="EDISON"/>
    <s v="EDISON"/>
    <x v="1"/>
    <s v="P203"/>
    <n v="0.91100000000000003"/>
    <n v="0.7"/>
    <n v="24"/>
    <n v="216"/>
    <n v="1.7"/>
    <n v="8028.4608000000007"/>
  </r>
  <r>
    <x v="4"/>
    <x v="10"/>
    <x v="3"/>
    <s v="G"/>
    <x v="3"/>
    <x v="3"/>
    <x v="1"/>
    <x v="3"/>
    <n v="3"/>
    <n v="14"/>
    <n v="0"/>
    <n v="8068"/>
    <s v="停機"/>
    <n v="5"/>
    <n v="0"/>
    <n v="7544"/>
    <s v="停機"/>
    <n v="11"/>
    <n v="0"/>
    <n v="7554"/>
    <s v="停機"/>
    <n v="10"/>
    <n v="0"/>
    <n v="7880"/>
    <s v="停機"/>
    <n v="2.4"/>
    <n v="26.666666666666668"/>
    <n v="1"/>
    <n v="77.614999999999995"/>
    <n v="3.3333333333333335"/>
    <n v="3.3333333333333335"/>
    <x v="0"/>
    <n v="2"/>
    <s v="JB"/>
    <s v="JB"/>
    <s v="EDISON"/>
    <s v="EDISON"/>
    <x v="1"/>
    <s v="P203"/>
    <n v="0.91100000000000003"/>
    <n v="0.8"/>
    <n v="24"/>
    <n v="216"/>
    <n v="1.8"/>
    <n v="8500.7232000000004"/>
  </r>
  <r>
    <x v="4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4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5"/>
    <x v="5"/>
    <m/>
    <x v="5"/>
    <x v="5"/>
    <x v="2"/>
    <x v="5"/>
    <n v="5.5"/>
    <n v="34"/>
    <n v="0"/>
    <n v="5996"/>
    <n v="5982"/>
    <n v="22"/>
    <n v="0"/>
    <n v="5905"/>
    <n v="5475"/>
    <n v="44"/>
    <n v="0"/>
    <n v="5919"/>
    <n v="5337"/>
    <n v="50"/>
    <n v="0"/>
    <n v="5806"/>
    <n v="8631"/>
    <n v="4.7058823529411766"/>
    <n v="25"/>
    <n v="1"/>
    <n v="61.313749999999999"/>
    <n v="3.125"/>
    <n v="3.125"/>
    <x v="0"/>
    <n v="0.5"/>
    <s v="JB"/>
    <s v="JB"/>
    <s v="EDISON"/>
    <s v="EDISON"/>
    <x v="1"/>
    <s v="P204"/>
    <n v="1.1890000000000001"/>
    <n v="1.9"/>
    <n v="24"/>
    <n v="216"/>
    <n v="2.9"/>
    <n v="17874.950400000002"/>
  </r>
  <r>
    <x v="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19"/>
    <x v="6"/>
    <s v="K"/>
    <x v="6"/>
    <x v="6"/>
    <x v="1"/>
    <x v="6"/>
    <n v="5.5"/>
    <n v="12"/>
    <n v="2"/>
    <n v="3190"/>
    <s v="L缺料"/>
    <n v="8"/>
    <n v="1"/>
    <n v="3220"/>
    <m/>
    <n v="10"/>
    <n v="0"/>
    <n v="3280"/>
    <m/>
    <n v="20"/>
    <n v="3"/>
    <n v="3200"/>
    <m/>
    <n v="5.0526315789473681"/>
    <n v="33.333333333333336"/>
    <n v="0.99429086538461542"/>
    <n v="32.225000000000001"/>
    <n v="4.166666666666667"/>
    <n v="3.6666666666666665"/>
    <x v="1"/>
    <n v="2"/>
    <s v="NASH"/>
    <s v="NASH"/>
    <s v="JP"/>
    <s v="JP"/>
    <x v="1"/>
    <s v="P227"/>
    <n v="1.859"/>
    <n v="2.1"/>
    <n v="24"/>
    <n v="216"/>
    <n v="3.1"/>
    <n v="29874.873599999999"/>
  </r>
  <r>
    <x v="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21"/>
    <x v="7"/>
    <s v="K"/>
    <x v="6"/>
    <x v="7"/>
    <x v="3"/>
    <x v="7"/>
    <n v="5.5"/>
    <n v="30"/>
    <n v="2"/>
    <n v="9260"/>
    <n v="9720"/>
    <n v="13"/>
    <n v="2"/>
    <n v="9260"/>
    <n v="9720"/>
    <n v="12"/>
    <n v="1"/>
    <n v="9260"/>
    <n v="9720"/>
    <n v="33"/>
    <n v="4"/>
    <n v="9260"/>
    <n v="9540"/>
    <n v="5.8775510204081636"/>
    <n v="29.333333333333332"/>
    <n v="0.99263822115384615"/>
    <n v="94.674999999999997"/>
    <n v="3.6666666666666665"/>
    <n v="3.2916666666666665"/>
    <x v="2"/>
    <n v="1"/>
    <s v="DENDEN"/>
    <s v="DENDEN"/>
    <s v="MAMAY"/>
    <s v="MAMAY"/>
    <x v="2"/>
    <s v="P204"/>
    <n v="1.1890000000000001"/>
    <n v="3"/>
    <n v="24"/>
    <n v="216"/>
    <n v="4"/>
    <n v="24655.103999999999"/>
  </r>
  <r>
    <x v="4"/>
    <x v="22"/>
    <x v="8"/>
    <s v="K"/>
    <x v="6"/>
    <x v="6"/>
    <x v="3"/>
    <x v="8"/>
    <n v="5.5"/>
    <n v="45"/>
    <n v="0"/>
    <n v="7310"/>
    <n v="8800"/>
    <n v="54"/>
    <n v="0"/>
    <n v="9440"/>
    <n v="7830"/>
    <n v="48"/>
    <n v="0"/>
    <n v="9350"/>
    <n v="9070"/>
    <n v="45"/>
    <n v="0"/>
    <n v="9630"/>
    <n v="9670"/>
    <n v="5.8775510204081636"/>
    <n v="64"/>
    <n v="1"/>
    <n v="88.875"/>
    <n v="8"/>
    <n v="8"/>
    <x v="2"/>
    <n v="1"/>
    <s v="JHO"/>
    <s v="JHO"/>
    <s v="WILSON"/>
    <s v="WILSON"/>
    <x v="1"/>
    <s v="P204"/>
    <n v="1.1890000000000001"/>
    <n v="2.9"/>
    <n v="24"/>
    <n v="216"/>
    <n v="3.9"/>
    <n v="24038.7264"/>
  </r>
  <r>
    <x v="4"/>
    <x v="23"/>
    <x v="9"/>
    <s v="K"/>
    <x v="6"/>
    <x v="8"/>
    <x v="1"/>
    <x v="9"/>
    <n v="5.5"/>
    <n v="29"/>
    <n v="3"/>
    <n v="9260"/>
    <n v="9810"/>
    <n v="12"/>
    <n v="2"/>
    <n v="9260"/>
    <n v="9720"/>
    <n v="2"/>
    <n v="0"/>
    <n v="9260"/>
    <n v="9720"/>
    <n v="16"/>
    <n v="1"/>
    <n v="9260"/>
    <n v="9630"/>
    <n v="5.034965034965035"/>
    <n v="19.666666666666668"/>
    <n v="0.99427083333333333"/>
    <n v="94.9"/>
    <n v="2.4583333333333335"/>
    <n v="2.2083333333333335"/>
    <x v="2"/>
    <n v="1"/>
    <s v="DENDEN"/>
    <s v="DENDEN"/>
    <s v="MAMAY"/>
    <s v="MAMAY"/>
    <x v="2"/>
    <s v="P204"/>
    <n v="1.1890000000000001"/>
    <n v="3"/>
    <n v="24"/>
    <n v="216"/>
    <n v="4"/>
    <n v="24655.103999999999"/>
  </r>
  <r>
    <x v="4"/>
    <x v="24"/>
    <x v="10"/>
    <m/>
    <x v="7"/>
    <x v="9"/>
    <x v="1"/>
    <x v="10"/>
    <n v="4"/>
    <n v="14"/>
    <n v="0"/>
    <n v="8890"/>
    <m/>
    <n v="12"/>
    <n v="0"/>
    <n v="9440"/>
    <m/>
    <n v="7"/>
    <n v="0"/>
    <n v="9170"/>
    <m/>
    <n v="12"/>
    <n v="0"/>
    <n v="9260"/>
    <m/>
    <n v="3.6"/>
    <n v="30"/>
    <n v="1"/>
    <n v="91.9"/>
    <n v="3.75"/>
    <n v="3.75"/>
    <x v="2"/>
    <n v="2"/>
    <s v="JHO"/>
    <s v="JHO"/>
    <s v="WILSON"/>
    <s v="WILSON"/>
    <x v="2"/>
    <s v="P203"/>
    <n v="0.91100000000000003"/>
    <n v="1.5"/>
    <n v="24"/>
    <n v="216"/>
    <n v="2.5"/>
    <n v="11806.560000000001"/>
  </r>
  <r>
    <x v="4"/>
    <x v="24"/>
    <x v="11"/>
    <m/>
    <x v="8"/>
    <x v="10"/>
    <x v="2"/>
    <x v="11"/>
    <n v="5.5"/>
    <n v="20"/>
    <n v="0"/>
    <m/>
    <n v="9540"/>
    <n v="7"/>
    <n v="0"/>
    <m/>
    <n v="9820"/>
    <n v="9"/>
    <n v="0"/>
    <m/>
    <n v="9170"/>
    <n v="32"/>
    <n v="0"/>
    <m/>
    <n v="9630"/>
    <n v="6.6055045871559646"/>
    <n v="45.333333333333336"/>
    <n v="1"/>
    <n v="95.4"/>
    <n v="5.666666666666667"/>
    <n v="5.666666666666667"/>
    <x v="2"/>
    <n v="2"/>
    <s v="JHO"/>
    <s v="JHO"/>
    <s v="WILSON"/>
    <s v="WILSON"/>
    <x v="3"/>
    <s v="P227"/>
    <n v="1.859"/>
    <n v="3.3"/>
    <n v="24"/>
    <n v="216"/>
    <n v="4.3"/>
    <n v="41439.340799999998"/>
  </r>
  <r>
    <x v="4"/>
    <x v="25"/>
    <x v="12"/>
    <s v="K"/>
    <x v="6"/>
    <x v="7"/>
    <x v="3"/>
    <x v="12"/>
    <n v="5.5"/>
    <n v="16"/>
    <n v="1"/>
    <s v="L缺料"/>
    <n v="10000"/>
    <n v="10"/>
    <n v="0"/>
    <s v="停機"/>
    <n v="10000"/>
    <n v="7"/>
    <n v="0"/>
    <s v="停機"/>
    <n v="10000"/>
    <n v="6"/>
    <n v="1"/>
    <s v="停機"/>
    <n v="9810"/>
    <n v="5.8299595141700413"/>
    <n v="26"/>
    <n v="0.99835069444444446"/>
    <n v="99.525000000000006"/>
    <n v="3.25"/>
    <n v="3.0833333333333335"/>
    <x v="2"/>
    <n v="2"/>
    <s v="DENDEN"/>
    <s v="DENDEN"/>
    <s v="MAMAY"/>
    <s v="MAMAY"/>
    <x v="2"/>
    <s v="P204"/>
    <n v="1.1890000000000001"/>
    <n v="2.8"/>
    <n v="24"/>
    <n v="216"/>
    <n v="3.8"/>
    <n v="23422.3488"/>
  </r>
  <r>
    <x v="4"/>
    <x v="26"/>
    <x v="13"/>
    <s v="K"/>
    <x v="6"/>
    <x v="7"/>
    <x v="3"/>
    <x v="13"/>
    <n v="5.5"/>
    <n v="22"/>
    <n v="0"/>
    <n v="9260"/>
    <n v="8700"/>
    <n v="20"/>
    <n v="0"/>
    <n v="10000"/>
    <n v="9440"/>
    <n v="11"/>
    <n v="0"/>
    <n v="9070"/>
    <n v="8890"/>
    <n v="40"/>
    <n v="0"/>
    <n v="9260"/>
    <n v="9350"/>
    <n v="5.8299595141700413"/>
    <n v="31"/>
    <n v="1"/>
    <n v="92.462500000000006"/>
    <n v="3.875"/>
    <n v="3.875"/>
    <x v="2"/>
    <n v="1"/>
    <s v="JHO"/>
    <s v="JHO"/>
    <s v="WILSON"/>
    <s v="WILSON"/>
    <x v="2"/>
    <s v="P204"/>
    <n v="1.1890000000000001"/>
    <n v="2.8"/>
    <n v="24"/>
    <n v="216"/>
    <n v="3.8"/>
    <n v="23422.3488"/>
  </r>
  <r>
    <x v="4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4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EDISON"/>
    <s v="EDISON"/>
    <x v="0"/>
    <s v=""/>
    <s v=""/>
    <s v=""/>
    <n v="24"/>
    <n v="216"/>
    <s v=""/>
    <s v=""/>
  </r>
  <r>
    <x v="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2"/>
    <x v="15"/>
    <m/>
    <x v="9"/>
    <x v="11"/>
    <x v="4"/>
    <x v="14"/>
    <n v="4"/>
    <n v="50"/>
    <n v="0"/>
    <n v="7975"/>
    <n v="6629"/>
    <n v="38"/>
    <n v="0"/>
    <n v="7034"/>
    <n v="8484"/>
    <n v="18"/>
    <n v="2"/>
    <n v="8510"/>
    <n v="7140"/>
    <n v="38"/>
    <n v="8"/>
    <n v="8661"/>
    <n v="8025"/>
    <n v="2.9937629937629939"/>
    <n v="48"/>
    <n v="0.98394097222222221"/>
    <n v="78.072500000000005"/>
    <n v="6"/>
    <n v="5.583333333333333"/>
    <x v="0"/>
    <n v="1"/>
    <s v="RICKY"/>
    <s v="RICKY"/>
    <s v="EDISON"/>
    <s v="EDISON"/>
    <x v="1"/>
    <s v="P203"/>
    <n v="0.91100000000000003"/>
    <n v="1.9"/>
    <n v="24"/>
    <n v="216"/>
    <n v="2.9"/>
    <n v="13695.6096"/>
  </r>
  <r>
    <x v="5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5"/>
    <x v="1"/>
    <m/>
    <x v="1"/>
    <x v="1"/>
    <x v="1"/>
    <x v="1"/>
    <n v="5"/>
    <n v="24"/>
    <n v="0"/>
    <n v="8452"/>
    <n v="9186"/>
    <n v="4"/>
    <n v="0"/>
    <n v="8704"/>
    <n v="9435"/>
    <n v="0"/>
    <n v="0"/>
    <n v="8805"/>
    <n v="9410"/>
    <n v="8"/>
    <n v="2"/>
    <n v="8771"/>
    <n v="9424"/>
    <n v="2.8015564202334629"/>
    <n v="6"/>
    <n v="0.99656784188034186"/>
    <n v="90.233750000000001"/>
    <n v="0.75"/>
    <n v="0.70833333333333337"/>
    <x v="0"/>
    <n v="0.5"/>
    <s v="RICKY"/>
    <s v="RICKY"/>
    <s v="EDISON"/>
    <s v="EDISON"/>
    <x v="1"/>
    <s v="P203"/>
    <n v="0.91100000000000003"/>
    <n v="1.7"/>
    <n v="24"/>
    <n v="216"/>
    <n v="2.7"/>
    <n v="12751.084800000001"/>
  </r>
  <r>
    <x v="5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9"/>
    <x v="2"/>
    <s v="G"/>
    <x v="2"/>
    <x v="2"/>
    <x v="2"/>
    <x v="2"/>
    <n v="2"/>
    <n v="15"/>
    <n v="0"/>
    <n v="8735"/>
    <s v="停機"/>
    <n v="15"/>
    <n v="0"/>
    <n v="8273"/>
    <s v="停機"/>
    <n v="7"/>
    <n v="0"/>
    <n v="8840"/>
    <s v="停機"/>
    <n v="11"/>
    <n v="3"/>
    <n v="9344"/>
    <s v="停機"/>
    <n v="2.1492537313432836"/>
    <n v="32"/>
    <n v="0.99328926282051277"/>
    <n v="87.98"/>
    <n v="4"/>
    <n v="3.75"/>
    <x v="0"/>
    <n v="2"/>
    <s v="RICKY"/>
    <s v="RICKY"/>
    <s v="EDISON"/>
    <s v="EDISON"/>
    <x v="1"/>
    <s v="P203"/>
    <n v="0.91100000000000003"/>
    <n v="0.7"/>
    <n v="24"/>
    <n v="216"/>
    <n v="1.7"/>
    <n v="8028.4608000000007"/>
  </r>
  <r>
    <x v="5"/>
    <x v="10"/>
    <x v="3"/>
    <s v="G"/>
    <x v="3"/>
    <x v="3"/>
    <x v="1"/>
    <x v="3"/>
    <n v="3"/>
    <n v="15"/>
    <n v="0"/>
    <n v="7580"/>
    <s v="停機"/>
    <n v="8"/>
    <n v="0"/>
    <n v="7533"/>
    <s v="停機"/>
    <n v="11"/>
    <n v="0"/>
    <n v="7690"/>
    <s v="停機"/>
    <n v="6"/>
    <n v="0"/>
    <n v="7823"/>
    <s v="停機"/>
    <n v="2.4"/>
    <n v="26.666666666666668"/>
    <n v="1"/>
    <n v="76.564999999999998"/>
    <n v="3.3333333333333335"/>
    <n v="3.3333333333333335"/>
    <x v="0"/>
    <n v="2"/>
    <s v="RICKY"/>
    <s v="RICKY"/>
    <s v="EDISON"/>
    <s v="EDISON"/>
    <x v="1"/>
    <s v="P203"/>
    <n v="0.91100000000000003"/>
    <n v="0.8"/>
    <n v="24"/>
    <n v="216"/>
    <n v="1.8"/>
    <n v="8500.7232000000004"/>
  </r>
  <r>
    <x v="5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5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5"/>
    <x v="5"/>
    <m/>
    <x v="5"/>
    <x v="5"/>
    <x v="2"/>
    <x v="5"/>
    <n v="5.5"/>
    <n v="36"/>
    <n v="0"/>
    <n v="5641"/>
    <n v="5376"/>
    <n v="12"/>
    <n v="0"/>
    <n v="5853"/>
    <n v="5378"/>
    <n v="16"/>
    <n v="0"/>
    <n v="5804"/>
    <n v="5343"/>
    <n v="30"/>
    <n v="6"/>
    <n v="5965"/>
    <n v="5824"/>
    <n v="4.7058823529411766"/>
    <n v="15.666666666666666"/>
    <n v="0.99387019230769236"/>
    <n v="56.48"/>
    <n v="1.9583333333333333"/>
    <n v="1.8333333333333333"/>
    <x v="0"/>
    <n v="0.5"/>
    <s v="RICKY"/>
    <s v="RICKY"/>
    <s v="EDISON"/>
    <s v="EDISON"/>
    <x v="1"/>
    <s v="P204"/>
    <n v="1.1890000000000001"/>
    <n v="1.9"/>
    <n v="24"/>
    <n v="216"/>
    <n v="2.9"/>
    <n v="17874.950400000002"/>
  </r>
  <r>
    <x v="5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19"/>
    <x v="6"/>
    <s v="K"/>
    <x v="6"/>
    <x v="6"/>
    <x v="1"/>
    <x v="6"/>
    <n v="5.5"/>
    <n v="9"/>
    <n v="2"/>
    <n v="3230"/>
    <s v="L缺料"/>
    <n v="6"/>
    <n v="4"/>
    <n v="3160"/>
    <m/>
    <n v="3"/>
    <n v="2"/>
    <n v="3150"/>
    <m/>
    <n v="13"/>
    <n v="5"/>
    <n v="3040"/>
    <m/>
    <n v="5.0526315789473681"/>
    <n v="20.666666666666668"/>
    <n v="0.98763020833333337"/>
    <n v="31.45"/>
    <n v="2.5833333333333335"/>
    <n v="1.5"/>
    <x v="1"/>
    <n v="2"/>
    <s v="NASH"/>
    <s v="NASH"/>
    <s v="JP"/>
    <s v="JP"/>
    <x v="1"/>
    <s v="P227"/>
    <n v="1.859"/>
    <n v="2.1"/>
    <n v="24"/>
    <n v="216"/>
    <n v="3.1"/>
    <n v="29874.873599999999"/>
  </r>
  <r>
    <x v="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21"/>
    <x v="7"/>
    <s v="K"/>
    <x v="6"/>
    <x v="7"/>
    <x v="3"/>
    <x v="7"/>
    <n v="5.5"/>
    <n v="48"/>
    <n v="0"/>
    <n v="9170"/>
    <n v="9720"/>
    <n v="29"/>
    <n v="0"/>
    <n v="9170"/>
    <n v="9440"/>
    <n v="16"/>
    <n v="0"/>
    <n v="9170"/>
    <n v="9260"/>
    <n v="31"/>
    <n v="4"/>
    <n v="9170"/>
    <n v="9350"/>
    <n v="5.8775510204081636"/>
    <n v="41.333333333333336"/>
    <n v="0.99672809829059827"/>
    <n v="93.0625"/>
    <n v="5.166666666666667"/>
    <n v="5"/>
    <x v="2"/>
    <n v="1"/>
    <s v="BRYAN"/>
    <s v="BRYAN"/>
    <s v="JONA"/>
    <s v="JONA"/>
    <x v="2"/>
    <s v="P204"/>
    <n v="1.1890000000000001"/>
    <n v="3"/>
    <n v="24"/>
    <n v="216"/>
    <n v="4"/>
    <n v="24655.103999999999"/>
  </r>
  <r>
    <x v="5"/>
    <x v="22"/>
    <x v="8"/>
    <s v="K"/>
    <x v="6"/>
    <x v="6"/>
    <x v="3"/>
    <x v="8"/>
    <n v="5.5"/>
    <n v="45"/>
    <n v="2"/>
    <n v="9260"/>
    <n v="9070"/>
    <n v="21"/>
    <n v="2"/>
    <n v="9070"/>
    <n v="7870"/>
    <n v="30"/>
    <n v="0"/>
    <n v="8610"/>
    <n v="8700"/>
    <n v="43"/>
    <n v="0"/>
    <n v="8060"/>
    <n v="7690"/>
    <n v="5.8775510204081636"/>
    <n v="46.333333333333336"/>
    <n v="0.99672809829059827"/>
    <n v="85.412499999999994"/>
    <n v="5.791666666666667"/>
    <n v="5.625"/>
    <x v="2"/>
    <n v="1"/>
    <s v="DENDEN"/>
    <s v="DENDEN"/>
    <s v="VIN"/>
    <s v="VIN"/>
    <x v="1"/>
    <s v="P204"/>
    <n v="1.1890000000000001"/>
    <n v="2.9"/>
    <n v="24"/>
    <n v="216"/>
    <n v="3.9"/>
    <n v="24038.7264"/>
  </r>
  <r>
    <x v="5"/>
    <x v="23"/>
    <x v="9"/>
    <s v="K"/>
    <x v="6"/>
    <x v="8"/>
    <x v="1"/>
    <x v="9"/>
    <n v="5.5"/>
    <n v="23"/>
    <n v="0"/>
    <n v="8700"/>
    <n v="9630"/>
    <n v="25"/>
    <n v="0"/>
    <n v="9170"/>
    <n v="9720"/>
    <n v="18"/>
    <n v="2"/>
    <n v="9260"/>
    <n v="9720"/>
    <m/>
    <m/>
    <s v="停機"/>
    <m/>
    <n v="5.034965034965035"/>
    <n v="22"/>
    <n v="0.99809027777777781"/>
    <n v="93.666666666666657"/>
    <n v="2.75"/>
    <n v="2.6666666666666665"/>
    <x v="2"/>
    <n v="1"/>
    <s v="BRYAN"/>
    <s v="BRYAN"/>
    <s v="JONA"/>
    <s v="JONA"/>
    <x v="2"/>
    <s v="P204"/>
    <n v="1.1890000000000001"/>
    <n v="3"/>
    <n v="24"/>
    <n v="216"/>
    <n v="4"/>
    <n v="24655.103999999999"/>
  </r>
  <r>
    <x v="5"/>
    <x v="24"/>
    <x v="10"/>
    <m/>
    <x v="7"/>
    <x v="9"/>
    <x v="1"/>
    <x v="10"/>
    <n v="4"/>
    <n v="11"/>
    <n v="0"/>
    <n v="9170"/>
    <m/>
    <n v="9"/>
    <n v="1"/>
    <n v="9440"/>
    <m/>
    <n v="7"/>
    <n v="0"/>
    <n v="9350"/>
    <m/>
    <n v="10"/>
    <n v="0"/>
    <n v="8890"/>
    <m/>
    <n v="3.6"/>
    <n v="24.666666666666668"/>
    <n v="0.99866452991452992"/>
    <n v="92.125"/>
    <n v="3.0833333333333335"/>
    <n v="3"/>
    <x v="2"/>
    <n v="2"/>
    <s v="DENDEN"/>
    <s v="DENDEN"/>
    <s v="VIN"/>
    <s v="VIN"/>
    <x v="2"/>
    <s v="P203"/>
    <n v="0.91100000000000003"/>
    <n v="1.5"/>
    <n v="24"/>
    <n v="216"/>
    <n v="2.5"/>
    <n v="11806.560000000001"/>
  </r>
  <r>
    <x v="5"/>
    <x v="24"/>
    <x v="11"/>
    <m/>
    <x v="8"/>
    <x v="10"/>
    <x v="2"/>
    <x v="11"/>
    <n v="5.5"/>
    <n v="31"/>
    <n v="1"/>
    <n v="9540"/>
    <m/>
    <n v="9"/>
    <n v="1"/>
    <n v="9700"/>
    <m/>
    <n v="4"/>
    <n v="0"/>
    <m/>
    <n v="9720"/>
    <n v="21"/>
    <n v="0"/>
    <m/>
    <n v="9350"/>
    <n v="6.6055045871559646"/>
    <n v="43.333333333333336"/>
    <n v="0.99854433760683758"/>
    <n v="95.775000000000006"/>
    <n v="5.416666666666667"/>
    <n v="5.25"/>
    <x v="2"/>
    <n v="2"/>
    <s v="DENDEN"/>
    <s v="DENDEN"/>
    <s v="VIN"/>
    <s v="VIN"/>
    <x v="3"/>
    <s v="P227"/>
    <n v="1.859"/>
    <n v="3.3"/>
    <n v="24"/>
    <n v="216"/>
    <n v="4.3"/>
    <n v="41439.340799999998"/>
  </r>
  <r>
    <x v="5"/>
    <x v="25"/>
    <x v="12"/>
    <s v="K"/>
    <x v="6"/>
    <x v="7"/>
    <x v="3"/>
    <x v="12"/>
    <n v="5.5"/>
    <n v="12"/>
    <n v="0"/>
    <s v="L缺料"/>
    <n v="10000"/>
    <n v="7"/>
    <n v="0"/>
    <s v="停機"/>
    <n v="10000"/>
    <n v="5"/>
    <n v="0"/>
    <s v="停機"/>
    <n v="10000"/>
    <n v="17"/>
    <n v="0"/>
    <s v="停機"/>
    <n v="9910"/>
    <n v="5.8299595141700413"/>
    <n v="27.333333333333332"/>
    <n v="1"/>
    <n v="99.775000000000006"/>
    <n v="3.4166666666666665"/>
    <n v="3.4166666666666665"/>
    <x v="2"/>
    <n v="2"/>
    <s v="BRYAN"/>
    <s v="BRYAN"/>
    <s v="JONA"/>
    <s v="JONA"/>
    <x v="2"/>
    <s v="P204"/>
    <n v="1.1890000000000001"/>
    <n v="2.8"/>
    <n v="24"/>
    <n v="216"/>
    <n v="3.8"/>
    <n v="23422.3488"/>
  </r>
  <r>
    <x v="5"/>
    <x v="26"/>
    <x v="13"/>
    <s v="K"/>
    <x v="6"/>
    <x v="7"/>
    <x v="3"/>
    <x v="13"/>
    <n v="5.5"/>
    <n v="37"/>
    <n v="0"/>
    <n v="10000"/>
    <n v="9540"/>
    <n v="12"/>
    <n v="0"/>
    <n v="10000"/>
    <n v="9540"/>
    <n v="7"/>
    <n v="0"/>
    <n v="10000"/>
    <n v="9540"/>
    <n v="25"/>
    <n v="0"/>
    <n v="9540"/>
    <n v="9070"/>
    <n v="5.8299595141700413"/>
    <n v="27"/>
    <n v="1"/>
    <n v="96.537499999999994"/>
    <n v="3.375"/>
    <n v="3.37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5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5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EDISON"/>
    <s v="EDISON"/>
    <x v="0"/>
    <s v=""/>
    <s v=""/>
    <s v=""/>
    <n v="24"/>
    <n v="216"/>
    <s v=""/>
    <s v=""/>
  </r>
  <r>
    <x v="6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2"/>
    <x v="15"/>
    <m/>
    <x v="9"/>
    <x v="11"/>
    <x v="4"/>
    <x v="14"/>
    <n v="4"/>
    <n v="32"/>
    <n v="2"/>
    <n v="8730"/>
    <n v="7710"/>
    <n v="2"/>
    <n v="2"/>
    <n v="8307"/>
    <n v="6786"/>
    <n v="24"/>
    <n v="0"/>
    <n v="8331"/>
    <n v="6912"/>
    <n v="34"/>
    <n v="0"/>
    <n v="8431"/>
    <n v="6732"/>
    <n v="2.9937629937629939"/>
    <n v="30.666666666666668"/>
    <n v="0.99357638888888888"/>
    <n v="77.423749999999998"/>
    <n v="3.8333333333333335"/>
    <n v="3.6666666666666665"/>
    <x v="0"/>
    <n v="1"/>
    <s v="RON"/>
    <s v="RON"/>
    <s v="DENNIS"/>
    <s v="DENNIS"/>
    <x v="1"/>
    <s v="P203"/>
    <n v="0.91100000000000003"/>
    <n v="1.9"/>
    <n v="24"/>
    <n v="216"/>
    <n v="2.9"/>
    <n v="13695.6096"/>
  </r>
  <r>
    <x v="6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4"/>
    <x v="16"/>
    <m/>
    <x v="10"/>
    <x v="12"/>
    <x v="5"/>
    <x v="15"/>
    <n v="5"/>
    <m/>
    <m/>
    <s v="改紡"/>
    <m/>
    <m/>
    <m/>
    <s v="改紡"/>
    <m/>
    <m/>
    <m/>
    <s v="開車"/>
    <m/>
    <n v="22"/>
    <n v="0"/>
    <n v="8657"/>
    <n v="8842"/>
    <n v="1.5824175824175823"/>
    <s v="改紡"/>
    <s v=""/>
    <s v=""/>
    <s v=""/>
    <s v=""/>
    <x v="0"/>
    <n v="1"/>
    <s v="RON"/>
    <s v="RON"/>
    <s v="N/A"/>
    <s v="N/A"/>
    <x v="2"/>
    <s v="P203"/>
    <n v="0.91100000000000003"/>
    <n v="1.3"/>
    <n v="24"/>
    <n v="216"/>
    <n v="2.2999999999999998"/>
    <n v="10862.035199999998"/>
  </r>
  <r>
    <x v="6"/>
    <x v="5"/>
    <x v="1"/>
    <m/>
    <x v="1"/>
    <x v="1"/>
    <x v="1"/>
    <x v="1"/>
    <n v="5"/>
    <n v="18"/>
    <n v="4"/>
    <n v="8855"/>
    <n v="9437"/>
    <n v="4"/>
    <n v="0"/>
    <n v="8921"/>
    <m/>
    <n v="12"/>
    <n v="0"/>
    <n v="8865"/>
    <n v="9572"/>
    <n v="38"/>
    <n v="0"/>
    <n v="9131"/>
    <n v="9016"/>
    <n v="2.8015564202334629"/>
    <n v="12"/>
    <n v="0.99313568376068373"/>
    <n v="91.138571428571424"/>
    <n v="1.5"/>
    <n v="1.4166666666666667"/>
    <x v="0"/>
    <n v="0.5"/>
    <s v="RON"/>
    <s v="RON"/>
    <s v="DENNIS"/>
    <s v="DENNIS"/>
    <x v="1"/>
    <s v="P203"/>
    <n v="0.91100000000000003"/>
    <n v="1.7"/>
    <n v="24"/>
    <n v="216"/>
    <n v="2.7"/>
    <n v="12751.084800000001"/>
  </r>
  <r>
    <x v="6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9"/>
    <x v="2"/>
    <s v="G"/>
    <x v="2"/>
    <x v="2"/>
    <x v="2"/>
    <x v="2"/>
    <n v="2"/>
    <n v="11"/>
    <n v="1"/>
    <n v="9349"/>
    <s v="停機"/>
    <n v="0"/>
    <n v="0"/>
    <n v="9069"/>
    <s v="停機"/>
    <n v="11"/>
    <n v="0"/>
    <n v="9069"/>
    <s v="停機"/>
    <n v="16"/>
    <n v="0"/>
    <n v="9259"/>
    <s v="停機"/>
    <n v="2.1492537313432836"/>
    <n v="25.333333333333332"/>
    <n v="0.99776308760683763"/>
    <n v="91.864999999999995"/>
    <n v="3.1666666666666665"/>
    <n v="3.0833333333333335"/>
    <x v="0"/>
    <n v="2"/>
    <s v="RON"/>
    <s v="RON"/>
    <s v="DENNIS"/>
    <s v="DENNIS"/>
    <x v="1"/>
    <s v="P203"/>
    <n v="0.91100000000000003"/>
    <n v="0.7"/>
    <n v="24"/>
    <n v="216"/>
    <n v="1.7"/>
    <n v="8028.4608000000007"/>
  </r>
  <r>
    <x v="6"/>
    <x v="10"/>
    <x v="3"/>
    <s v="G"/>
    <x v="3"/>
    <x v="3"/>
    <x v="1"/>
    <x v="3"/>
    <n v="3"/>
    <n v="10"/>
    <n v="0"/>
    <n v="7650"/>
    <s v="停機"/>
    <n v="5"/>
    <n v="0"/>
    <n v="7585"/>
    <s v="停機"/>
    <n v="3"/>
    <n v="0"/>
    <n v="7800"/>
    <s v="停機"/>
    <n v="6"/>
    <n v="0"/>
    <n v="7622"/>
    <s v="停機"/>
    <n v="2.4"/>
    <n v="16"/>
    <n v="1"/>
    <n v="76.642499999999998"/>
    <n v="2"/>
    <n v="2"/>
    <x v="0"/>
    <n v="2"/>
    <s v="RON"/>
    <s v="RON"/>
    <s v="DENNIS"/>
    <s v="DENNIS"/>
    <x v="1"/>
    <s v="P203"/>
    <n v="0.91100000000000003"/>
    <n v="0.8"/>
    <n v="24"/>
    <n v="216"/>
    <n v="1.8"/>
    <n v="8500.7232000000004"/>
  </r>
  <r>
    <x v="6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6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5"/>
    <x v="5"/>
    <m/>
    <x v="5"/>
    <x v="5"/>
    <x v="2"/>
    <x v="5"/>
    <n v="5.5"/>
    <n v="28"/>
    <n v="7"/>
    <n v="5904"/>
    <n v="6241"/>
    <n v="0"/>
    <n v="0"/>
    <n v="6111"/>
    <n v="5793"/>
    <n v="30"/>
    <n v="14"/>
    <n v="6290"/>
    <n v="5510"/>
    <n v="22"/>
    <n v="4"/>
    <n v="6105"/>
    <n v="6413"/>
    <n v="4.7058823529411766"/>
    <n v="13.333333333333334"/>
    <n v="0.97445913461538458"/>
    <n v="60.458750000000002"/>
    <n v="1.6666666666666667"/>
    <n v="1.1458333333333333"/>
    <x v="0"/>
    <n v="0.5"/>
    <s v="RON"/>
    <s v="RON"/>
    <s v="JUNJUN"/>
    <s v="JUNJUN"/>
    <x v="1"/>
    <s v="P204"/>
    <n v="1.1890000000000001"/>
    <n v="1.9"/>
    <n v="24"/>
    <n v="216"/>
    <n v="2.9"/>
    <n v="17874.950400000002"/>
  </r>
  <r>
    <x v="6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19"/>
    <x v="6"/>
    <s v="K"/>
    <x v="6"/>
    <x v="6"/>
    <x v="1"/>
    <x v="6"/>
    <n v="5.5"/>
    <n v="10"/>
    <n v="9"/>
    <n v="3230"/>
    <s v="L缺料"/>
    <n v="6"/>
    <n v="4"/>
    <n v="3050"/>
    <s v="L缺料"/>
    <n v="3"/>
    <n v="1"/>
    <n v="9120"/>
    <s v="L缺料"/>
    <n v="8"/>
    <n v="2"/>
    <n v="3060"/>
    <s v="L缺料"/>
    <n v="5.0526315789473681"/>
    <n v="18"/>
    <n v="0.98477564102564097"/>
    <n v="46.15"/>
    <n v="2.25"/>
    <n v="0.91666666666666663"/>
    <x v="1"/>
    <n v="2"/>
    <s v="NASH"/>
    <s v="NASH"/>
    <s v="JUNJUN"/>
    <s v="JUNJUN"/>
    <x v="1"/>
    <s v="P227"/>
    <n v="1.859"/>
    <n v="2.1"/>
    <n v="24"/>
    <n v="216"/>
    <n v="3.1"/>
    <n v="29874.873599999999"/>
  </r>
  <r>
    <x v="6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21"/>
    <x v="7"/>
    <s v="K"/>
    <x v="6"/>
    <x v="7"/>
    <x v="3"/>
    <x v="7"/>
    <n v="5.5"/>
    <n v="49"/>
    <n v="0"/>
    <n v="8980"/>
    <n v="8800"/>
    <n v="23"/>
    <n v="0"/>
    <n v="8240"/>
    <n v="8890"/>
    <n v="37"/>
    <n v="1"/>
    <n v="9170"/>
    <n v="9540"/>
    <n v="36"/>
    <n v="4"/>
    <n v="9170"/>
    <n v="9540"/>
    <n v="5.8775510204081636"/>
    <n v="48.333333333333336"/>
    <n v="0.99591012286324787"/>
    <n v="90.412499999999994"/>
    <n v="6.041666666666667"/>
    <n v="5.833333333333333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6"/>
    <x v="22"/>
    <x v="8"/>
    <s v="K"/>
    <x v="6"/>
    <x v="6"/>
    <x v="3"/>
    <x v="8"/>
    <n v="5.5"/>
    <n v="53"/>
    <n v="0"/>
    <n v="8240"/>
    <n v="6570"/>
    <n v="31"/>
    <n v="0"/>
    <n v="7220"/>
    <n v="7590"/>
    <n v="67"/>
    <n v="0"/>
    <n v="9260"/>
    <n v="9070"/>
    <n v="70"/>
    <n v="0"/>
    <n v="9540"/>
    <n v="8980"/>
    <n v="5.8775510204081636"/>
    <n v="73.666666666666671"/>
    <n v="1"/>
    <n v="83.087500000000006"/>
    <n v="9.2083333333333339"/>
    <n v="9.2083333333333339"/>
    <x v="2"/>
    <n v="1"/>
    <s v="BRYAN"/>
    <s v="BRYAN"/>
    <s v="VIN"/>
    <s v="VIN"/>
    <x v="1"/>
    <s v="P204"/>
    <n v="1.1890000000000001"/>
    <n v="2.9"/>
    <n v="24"/>
    <n v="216"/>
    <n v="3.9"/>
    <n v="24038.7264"/>
  </r>
  <r>
    <x v="6"/>
    <x v="23"/>
    <x v="9"/>
    <s v="K"/>
    <x v="6"/>
    <x v="8"/>
    <x v="1"/>
    <x v="9"/>
    <n v="5.5"/>
    <m/>
    <m/>
    <s v="清車"/>
    <m/>
    <m/>
    <m/>
    <s v="清車"/>
    <m/>
    <m/>
    <m/>
    <s v="清車"/>
    <m/>
    <m/>
    <m/>
    <s v="清車"/>
    <m/>
    <n v="5.034965034965035"/>
    <s v="清車"/>
    <s v=""/>
    <s v=""/>
    <s v=""/>
    <s v="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6"/>
    <x v="24"/>
    <x v="10"/>
    <m/>
    <x v="7"/>
    <x v="9"/>
    <x v="1"/>
    <x v="10"/>
    <n v="4"/>
    <n v="22"/>
    <n v="8"/>
    <n v="9630"/>
    <m/>
    <n v="4"/>
    <n v="7"/>
    <n v="9637"/>
    <m/>
    <n v="4"/>
    <n v="2"/>
    <n v="9630"/>
    <m/>
    <n v="21"/>
    <n v="6"/>
    <n v="9630"/>
    <m/>
    <n v="3.6"/>
    <n v="34"/>
    <n v="0.96928418803418803"/>
    <n v="96.317499999999995"/>
    <n v="4.25"/>
    <n v="2.3333333333333335"/>
    <x v="2"/>
    <n v="2"/>
    <s v="BERT"/>
    <s v="BERT"/>
    <s v="VIN"/>
    <s v="VIN"/>
    <x v="2"/>
    <s v="P203"/>
    <n v="0.91100000000000003"/>
    <n v="1.5"/>
    <n v="24"/>
    <n v="216"/>
    <n v="2.5"/>
    <n v="11806.560000000001"/>
  </r>
  <r>
    <x v="6"/>
    <x v="24"/>
    <x v="11"/>
    <m/>
    <x v="8"/>
    <x v="10"/>
    <x v="2"/>
    <x v="11"/>
    <n v="5.5"/>
    <n v="24"/>
    <n v="2"/>
    <n v="9540"/>
    <m/>
    <n v="8"/>
    <n v="3"/>
    <n v="9630"/>
    <m/>
    <n v="6"/>
    <n v="0"/>
    <m/>
    <n v="9170"/>
    <n v="23"/>
    <n v="0"/>
    <m/>
    <n v="9730"/>
    <n v="6.6055045871559646"/>
    <n v="40.666666666666664"/>
    <n v="0.99636084401709402"/>
    <n v="95.174999999999997"/>
    <n v="5.083333333333333"/>
    <n v="4.666666666666667"/>
    <x v="2"/>
    <n v="2"/>
    <s v="BERT"/>
    <s v="BERT"/>
    <s v="VIN"/>
    <s v="VIN"/>
    <x v="3"/>
    <s v="P227"/>
    <n v="1.859"/>
    <n v="3.3"/>
    <n v="24"/>
    <n v="216"/>
    <n v="4.3"/>
    <n v="41439.340799999998"/>
  </r>
  <r>
    <x v="6"/>
    <x v="25"/>
    <x v="12"/>
    <s v="K"/>
    <x v="6"/>
    <x v="7"/>
    <x v="3"/>
    <x v="12"/>
    <n v="5.5"/>
    <n v="27"/>
    <n v="4"/>
    <s v="L缺料"/>
    <n v="9910"/>
    <n v="13"/>
    <n v="3"/>
    <s v="L缺料"/>
    <n v="9910"/>
    <n v="6"/>
    <n v="0"/>
    <s v="L缺料"/>
    <n v="9810"/>
    <n v="13"/>
    <n v="0"/>
    <s v="L缺料"/>
    <n v="9720"/>
    <n v="5.8299595141700413"/>
    <n v="39.333333333333336"/>
    <n v="0.99422743055555551"/>
    <n v="98.375"/>
    <n v="4.916666666666667"/>
    <n v="4.333333333333333"/>
    <x v="2"/>
    <n v="2"/>
    <s v="BERT"/>
    <s v="BERT"/>
    <s v="MAMAY"/>
    <s v="MAMAY"/>
    <x v="2"/>
    <s v="P204"/>
    <n v="1.1890000000000001"/>
    <n v="2.8"/>
    <n v="24"/>
    <n v="216"/>
    <n v="3.8"/>
    <n v="23422.3488"/>
  </r>
  <r>
    <x v="6"/>
    <x v="26"/>
    <x v="13"/>
    <s v="K"/>
    <x v="6"/>
    <x v="7"/>
    <x v="3"/>
    <x v="13"/>
    <n v="5.5"/>
    <n v="39"/>
    <n v="4"/>
    <n v="10000"/>
    <n v="9440"/>
    <n v="17"/>
    <n v="0"/>
    <n v="9910"/>
    <n v="9540"/>
    <n v="6"/>
    <n v="0"/>
    <n v="9170"/>
    <n v="9260"/>
    <n v="35"/>
    <n v="0"/>
    <n v="10000"/>
    <n v="9540"/>
    <n v="5.8299595141700413"/>
    <n v="32.333333333333336"/>
    <n v="0.99670138888888893"/>
    <n v="96.075000000000003"/>
    <n v="4.041666666666667"/>
    <n v="3.875"/>
    <x v="2"/>
    <n v="1"/>
    <s v="BERT"/>
    <s v="BERT"/>
    <s v="VIN"/>
    <s v="VIN"/>
    <x v="2"/>
    <s v="P204"/>
    <n v="1.1890000000000001"/>
    <n v="2.8"/>
    <n v="24"/>
    <n v="216"/>
    <n v="3.8"/>
    <n v="23422.3488"/>
  </r>
  <r>
    <x v="6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6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KIM"/>
    <s v="KIM"/>
    <x v="0"/>
    <s v=""/>
    <s v=""/>
    <s v=""/>
    <n v="24"/>
    <n v="216"/>
    <s v=""/>
    <s v=""/>
  </r>
  <r>
    <x v="7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2"/>
    <x v="15"/>
    <m/>
    <x v="9"/>
    <x v="11"/>
    <x v="4"/>
    <x v="14"/>
    <n v="4"/>
    <n v="20"/>
    <n v="0"/>
    <n v="8383"/>
    <n v="7172"/>
    <n v="18"/>
    <n v="0"/>
    <n v="8723"/>
    <n v="7397"/>
    <n v="10"/>
    <n v="0"/>
    <n v="8529"/>
    <n v="7593"/>
    <n v="62"/>
    <n v="0"/>
    <n v="7565"/>
    <n v="6786"/>
    <n v="2.9937629937629939"/>
    <n v="36.666666666666664"/>
    <n v="1"/>
    <n v="77.685000000000002"/>
    <n v="4.583333333333333"/>
    <n v="4.583333333333333"/>
    <x v="0"/>
    <n v="1"/>
    <s v="RICKY"/>
    <s v="RICKY"/>
    <s v="DENNIS"/>
    <s v="DENNIS"/>
    <x v="1"/>
    <s v="P203"/>
    <n v="0.91100000000000003"/>
    <n v="1.9"/>
    <n v="24"/>
    <n v="216"/>
    <n v="2.9"/>
    <n v="13695.6096"/>
  </r>
  <r>
    <x v="7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4"/>
    <x v="16"/>
    <m/>
    <x v="10"/>
    <x v="12"/>
    <x v="5"/>
    <x v="15"/>
    <n v="5"/>
    <n v="27"/>
    <n v="0"/>
    <n v="8814"/>
    <n v="9024"/>
    <n v="2"/>
    <n v="0"/>
    <n v="9234"/>
    <n v="8926"/>
    <n v="2"/>
    <n v="0"/>
    <n v="9182"/>
    <n v="8886"/>
    <n v="9"/>
    <n v="0"/>
    <n v="9103"/>
    <n v="8756"/>
    <n v="1.5824175824175823"/>
    <n v="13.333333333333334"/>
    <n v="1"/>
    <n v="89.90625"/>
    <n v="1.6666666666666667"/>
    <n v="1.6666666666666667"/>
    <x v="0"/>
    <n v="1"/>
    <s v="RICKY"/>
    <s v="RICKY"/>
    <s v="N/A"/>
    <s v="N/A"/>
    <x v="2"/>
    <s v="P203"/>
    <n v="0.91100000000000003"/>
    <n v="1.3"/>
    <n v="24"/>
    <n v="216"/>
    <n v="2.2999999999999998"/>
    <n v="10862.035199999998"/>
  </r>
  <r>
    <x v="7"/>
    <x v="5"/>
    <x v="1"/>
    <m/>
    <x v="1"/>
    <x v="1"/>
    <x v="1"/>
    <x v="1"/>
    <n v="5"/>
    <n v="26"/>
    <n v="0"/>
    <n v="9068"/>
    <n v="9146"/>
    <n v="10"/>
    <n v="0"/>
    <n v="9244"/>
    <n v="9507"/>
    <n v="8"/>
    <n v="0"/>
    <n v="9268"/>
    <n v="9393"/>
    <n v="12"/>
    <n v="0"/>
    <n v="9099"/>
    <n v="9360"/>
    <n v="2.8015564202334629"/>
    <n v="9.3333333333333339"/>
    <n v="1"/>
    <n v="92.606250000000003"/>
    <n v="1.1666666666666667"/>
    <n v="1.1666666666666667"/>
    <x v="0"/>
    <n v="0.5"/>
    <s v="RICKY"/>
    <s v="RICKY"/>
    <s v="DENNIS"/>
    <s v="DENNIS"/>
    <x v="1"/>
    <s v="P203"/>
    <n v="0.91100000000000003"/>
    <n v="1.7"/>
    <n v="24"/>
    <n v="216"/>
    <n v="2.7"/>
    <n v="12751.084800000001"/>
  </r>
  <r>
    <x v="7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9"/>
    <x v="2"/>
    <s v="G"/>
    <x v="2"/>
    <x v="2"/>
    <x v="2"/>
    <x v="2"/>
    <n v="2"/>
    <n v="11"/>
    <n v="0"/>
    <n v="9142"/>
    <s v="停機"/>
    <n v="3"/>
    <n v="0"/>
    <n v="9203"/>
    <s v="停機"/>
    <m/>
    <m/>
    <s v="FINAL"/>
    <s v="停機"/>
    <m/>
    <m/>
    <s v="停機"/>
    <s v="停機"/>
    <n v="2.1492537313432836"/>
    <n v="9.3333333333333339"/>
    <n v="1"/>
    <n v="91.724999999999994"/>
    <n v="1.1666666666666667"/>
    <n v="1.1666666666666667"/>
    <x v="0"/>
    <n v="2"/>
    <s v="RICKY"/>
    <s v="RICKY"/>
    <s v="DENNIS"/>
    <s v="DENNIS"/>
    <x v="1"/>
    <s v="P203"/>
    <n v="0.91100000000000003"/>
    <n v="0.7"/>
    <n v="24"/>
    <n v="216"/>
    <n v="1.7"/>
    <n v="8028.4608000000007"/>
  </r>
  <r>
    <x v="7"/>
    <x v="10"/>
    <x v="3"/>
    <s v="G"/>
    <x v="3"/>
    <x v="3"/>
    <x v="1"/>
    <x v="3"/>
    <n v="3"/>
    <n v="15"/>
    <n v="0"/>
    <n v="7401"/>
    <s v="停機"/>
    <n v="5"/>
    <n v="0"/>
    <n v="7600"/>
    <s v="停機"/>
    <n v="4"/>
    <n v="0"/>
    <n v="7599"/>
    <s v="停機"/>
    <n v="5"/>
    <n v="0"/>
    <n v="7316"/>
    <s v="停機"/>
    <n v="2.4"/>
    <n v="19.333333333333332"/>
    <n v="1"/>
    <n v="74.790000000000006"/>
    <n v="2.4166666666666665"/>
    <n v="2.4166666666666665"/>
    <x v="0"/>
    <n v="2"/>
    <s v="RICKY"/>
    <s v="RICKY"/>
    <s v="DENNIS"/>
    <s v="DENNIS"/>
    <x v="1"/>
    <s v="P203"/>
    <n v="0.91100000000000003"/>
    <n v="0.8"/>
    <n v="24"/>
    <n v="216"/>
    <n v="1.8"/>
    <n v="8500.7232000000004"/>
  </r>
  <r>
    <x v="7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7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5"/>
    <x v="5"/>
    <m/>
    <x v="5"/>
    <x v="5"/>
    <x v="2"/>
    <x v="5"/>
    <n v="5.5"/>
    <n v="24"/>
    <n v="4"/>
    <n v="5819"/>
    <n v="6191"/>
    <n v="4"/>
    <n v="0"/>
    <n v="5919"/>
    <n v="6397"/>
    <n v="14"/>
    <n v="0"/>
    <n v="5913"/>
    <n v="6404"/>
    <n v="22"/>
    <n v="0"/>
    <n v="8710"/>
    <n v="6415"/>
    <n v="4.7058823529411766"/>
    <n v="10.666666666666666"/>
    <n v="0.9959134615384615"/>
    <n v="64.709999999999994"/>
    <n v="1.3333333333333333"/>
    <n v="1.25"/>
    <x v="0"/>
    <n v="0.5"/>
    <s v="EDISON"/>
    <s v="EDISON"/>
    <s v="JUNJUN"/>
    <s v="JUNJUN"/>
    <x v="1"/>
    <s v="P204"/>
    <n v="1.1890000000000001"/>
    <n v="1.9"/>
    <n v="24"/>
    <n v="216"/>
    <n v="2.9"/>
    <n v="17874.950400000002"/>
  </r>
  <r>
    <x v="7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19"/>
    <x v="6"/>
    <s v="K"/>
    <x v="6"/>
    <x v="6"/>
    <x v="1"/>
    <x v="6"/>
    <n v="5.5"/>
    <n v="14"/>
    <n v="2"/>
    <n v="3230"/>
    <s v="L缺料"/>
    <n v="6"/>
    <n v="2"/>
    <n v="3150"/>
    <s v="L缺料"/>
    <n v="6"/>
    <n v="1"/>
    <n v="3110"/>
    <s v="L缺料"/>
    <n v="9"/>
    <n v="3"/>
    <n v="3090"/>
    <s v="L缺料"/>
    <n v="5.0526315789473681"/>
    <n v="23.333333333333332"/>
    <n v="0.99238782051282048"/>
    <n v="31.45"/>
    <n v="2.9166666666666665"/>
    <n v="2.25"/>
    <x v="1"/>
    <n v="2"/>
    <s v="NASH"/>
    <s v="NASH"/>
    <s v="JUNJUN"/>
    <s v="JUNJUN"/>
    <x v="1"/>
    <s v="P227"/>
    <n v="1.859"/>
    <n v="2.1"/>
    <n v="24"/>
    <n v="216"/>
    <n v="3.1"/>
    <n v="29874.873599999999"/>
  </r>
  <r>
    <x v="7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21"/>
    <x v="7"/>
    <s v="K"/>
    <x v="6"/>
    <x v="7"/>
    <x v="3"/>
    <x v="7"/>
    <n v="5.5"/>
    <n v="25"/>
    <n v="1"/>
    <n v="9720"/>
    <m/>
    <n v="11"/>
    <n v="0"/>
    <n v="9810"/>
    <m/>
    <n v="0"/>
    <n v="0"/>
    <m/>
    <n v="9170"/>
    <n v="34"/>
    <n v="2"/>
    <m/>
    <n v="9810"/>
    <n v="5.8775510204081636"/>
    <n v="23.333333333333332"/>
    <n v="0.99754607371794868"/>
    <n v="96.275000000000006"/>
    <n v="2.9166666666666665"/>
    <n v="2.7916666666666665"/>
    <x v="2"/>
    <n v="1"/>
    <s v="DENDEN"/>
    <s v="DENDEN"/>
    <s v="MAMAY"/>
    <s v="MAMAY"/>
    <x v="2"/>
    <s v="P204"/>
    <n v="1.1890000000000001"/>
    <n v="3"/>
    <n v="24"/>
    <n v="216"/>
    <n v="4"/>
    <n v="24655.103999999999"/>
  </r>
  <r>
    <x v="7"/>
    <x v="22"/>
    <x v="8"/>
    <s v="K"/>
    <x v="6"/>
    <x v="6"/>
    <x v="3"/>
    <x v="8"/>
    <n v="5.5"/>
    <n v="68"/>
    <n v="0"/>
    <n v="9540"/>
    <n v="9070"/>
    <n v="34"/>
    <n v="11"/>
    <n v="9540"/>
    <n v="9070"/>
    <n v="12"/>
    <n v="0"/>
    <n v="9260"/>
    <n v="7590"/>
    <n v="73"/>
    <n v="0"/>
    <n v="9440"/>
    <n v="9070"/>
    <n v="5.8775510204081636"/>
    <n v="62.333333333333336"/>
    <n v="0.99100227029914534"/>
    <n v="90.724999999999994"/>
    <n v="7.791666666666667"/>
    <n v="7.333333333333333"/>
    <x v="2"/>
    <n v="1"/>
    <s v="DENDEN"/>
    <s v="DENDEN"/>
    <s v="WILSON"/>
    <s v="WILSON"/>
    <x v="1"/>
    <s v="P204"/>
    <n v="1.1890000000000001"/>
    <n v="2.9"/>
    <n v="24"/>
    <n v="216"/>
    <n v="3.9"/>
    <n v="24038.7264"/>
  </r>
  <r>
    <x v="7"/>
    <x v="23"/>
    <x v="9"/>
    <s v="K"/>
    <x v="6"/>
    <x v="8"/>
    <x v="1"/>
    <x v="9"/>
    <n v="5.5"/>
    <m/>
    <m/>
    <s v="清車"/>
    <m/>
    <m/>
    <m/>
    <s v="清車"/>
    <m/>
    <m/>
    <m/>
    <s v="開車"/>
    <m/>
    <n v="45"/>
    <n v="3"/>
    <n v="9070"/>
    <n v="9540"/>
    <n v="5.034965034965035"/>
    <s v="清車"/>
    <s v=""/>
    <s v=""/>
    <s v=""/>
    <s v=""/>
    <x v="2"/>
    <n v="1"/>
    <s v="DENDEN"/>
    <s v="DENDEN"/>
    <s v="MAMAY"/>
    <s v="MAMAY"/>
    <x v="2"/>
    <s v="P204"/>
    <n v="1.1890000000000001"/>
    <n v="2.8"/>
    <n v="24"/>
    <n v="216"/>
    <n v="3.8"/>
    <n v="23422.3488"/>
  </r>
  <r>
    <x v="7"/>
    <x v="24"/>
    <x v="10"/>
    <m/>
    <x v="7"/>
    <x v="9"/>
    <x v="1"/>
    <x v="10"/>
    <n v="4"/>
    <n v="25"/>
    <n v="1"/>
    <n v="9630"/>
    <m/>
    <n v="3"/>
    <n v="0"/>
    <n v="9630"/>
    <m/>
    <n v="10"/>
    <n v="0"/>
    <n v="9260"/>
    <m/>
    <n v="18"/>
    <n v="0"/>
    <n v="9260"/>
    <m/>
    <n v="3.6"/>
    <n v="37.333333333333336"/>
    <n v="0.99866452991452992"/>
    <n v="94.45"/>
    <n v="4.666666666666667"/>
    <n v="4.583333333333333"/>
    <x v="2"/>
    <n v="2"/>
    <s v="BRYAN"/>
    <s v="BRYAN"/>
    <s v="WILSON"/>
    <s v="WILSON"/>
    <x v="2"/>
    <s v="P203"/>
    <n v="0.91100000000000003"/>
    <n v="1.5"/>
    <n v="24"/>
    <n v="216"/>
    <n v="2.5"/>
    <n v="11806.560000000001"/>
  </r>
  <r>
    <x v="7"/>
    <x v="24"/>
    <x v="11"/>
    <m/>
    <x v="8"/>
    <x v="10"/>
    <x v="2"/>
    <x v="11"/>
    <n v="5.5"/>
    <n v="37"/>
    <n v="3"/>
    <n v="9720"/>
    <m/>
    <n v="12"/>
    <n v="4"/>
    <n v="9630"/>
    <m/>
    <n v="10"/>
    <n v="0"/>
    <m/>
    <n v="8610"/>
    <n v="22"/>
    <n v="0"/>
    <m/>
    <n v="8800"/>
    <n v="6.6055045871559646"/>
    <n v="54"/>
    <n v="0.9949051816239316"/>
    <n v="91.9"/>
    <n v="6.75"/>
    <n v="6.166666666666667"/>
    <x v="2"/>
    <n v="2"/>
    <s v="BRYAN"/>
    <s v="BRYAN"/>
    <s v="WILSON"/>
    <s v="WILSON"/>
    <x v="3"/>
    <s v="P227"/>
    <n v="1.859"/>
    <n v="3.3"/>
    <n v="24"/>
    <n v="216"/>
    <n v="4.3"/>
    <n v="41439.340799999998"/>
  </r>
  <r>
    <x v="7"/>
    <x v="25"/>
    <x v="12"/>
    <s v="K"/>
    <x v="6"/>
    <x v="7"/>
    <x v="3"/>
    <x v="12"/>
    <n v="5.5"/>
    <n v="24"/>
    <n v="0"/>
    <s v="L缺料"/>
    <n v="10000"/>
    <n v="11"/>
    <n v="0"/>
    <s v="停機"/>
    <n v="10000"/>
    <n v="0"/>
    <n v="0"/>
    <s v="停機"/>
    <n v="9810"/>
    <n v="18"/>
    <n v="1"/>
    <s v="停機"/>
    <n v="9810"/>
    <n v="5.8299595141700413"/>
    <n v="35.333333333333336"/>
    <n v="0.99917534722222223"/>
    <n v="99.05"/>
    <n v="4.416666666666667"/>
    <n v="4.333333333333333"/>
    <x v="2"/>
    <n v="2"/>
    <s v="BRYAN"/>
    <s v="BRYAN"/>
    <s v="MAMAY"/>
    <s v="MAMAY"/>
    <x v="2"/>
    <s v="P204"/>
    <n v="1.1890000000000001"/>
    <n v="2.8"/>
    <n v="24"/>
    <n v="216"/>
    <n v="3.8"/>
    <n v="23422.3488"/>
  </r>
  <r>
    <x v="7"/>
    <x v="26"/>
    <x v="13"/>
    <s v="K"/>
    <x v="6"/>
    <x v="7"/>
    <x v="3"/>
    <x v="13"/>
    <n v="5.5"/>
    <n v="31"/>
    <n v="0"/>
    <n v="9910"/>
    <n v="9430"/>
    <n v="18"/>
    <n v="0"/>
    <n v="9350"/>
    <n v="9540"/>
    <n v="14"/>
    <n v="0"/>
    <n v="9720"/>
    <n v="8700"/>
    <n v="43"/>
    <n v="1"/>
    <n v="9810"/>
    <n v="8980"/>
    <n v="5.8299595141700413"/>
    <n v="35.333333333333336"/>
    <n v="0.99917534722222223"/>
    <n v="94.3"/>
    <n v="4.416666666666667"/>
    <n v="4.375"/>
    <x v="2"/>
    <n v="1"/>
    <s v="BRYAN"/>
    <s v="BRYAN"/>
    <s v="WILSON"/>
    <s v="WILSON"/>
    <x v="2"/>
    <s v="P204"/>
    <n v="1.1890000000000001"/>
    <n v="2.8"/>
    <n v="24"/>
    <n v="216"/>
    <n v="3.8"/>
    <n v="23422.3488"/>
  </r>
  <r>
    <x v="7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7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ISON"/>
    <s v="EDISON"/>
    <s v="KIM"/>
    <s v="KIM"/>
    <x v="0"/>
    <s v=""/>
    <s v=""/>
    <s v=""/>
    <n v="24"/>
    <n v="216"/>
    <s v=""/>
    <s v=""/>
  </r>
  <r>
    <x v="8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2"/>
    <x v="15"/>
    <m/>
    <x v="9"/>
    <x v="11"/>
    <x v="4"/>
    <x v="14"/>
    <n v="4"/>
    <n v="42"/>
    <n v="0"/>
    <n v="8305"/>
    <n v="7778"/>
    <n v="12"/>
    <n v="0"/>
    <n v="8253"/>
    <n v="8080"/>
    <n v="18"/>
    <n v="1"/>
    <n v="8129"/>
    <n v="7984"/>
    <n v="44"/>
    <n v="0"/>
    <n v="8007"/>
    <n v="7464"/>
    <n v="2.9937629937629939"/>
    <n v="38.666666666666664"/>
    <n v="0.99839409722222228"/>
    <n v="80"/>
    <n v="4.833333333333333"/>
    <n v="4.791666666666667"/>
    <x v="0"/>
    <n v="1"/>
    <s v="JB"/>
    <s v="JB"/>
    <s v="CHALS"/>
    <s v="CHALS"/>
    <x v="1"/>
    <s v="P203"/>
    <n v="0.91100000000000003"/>
    <n v="1.9"/>
    <n v="24"/>
    <n v="216"/>
    <n v="2.9"/>
    <n v="13695.6096"/>
  </r>
  <r>
    <x v="8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4"/>
    <x v="16"/>
    <m/>
    <x v="10"/>
    <x v="12"/>
    <x v="5"/>
    <x v="15"/>
    <n v="5"/>
    <n v="12"/>
    <n v="0"/>
    <n v="9100"/>
    <n v="9140"/>
    <n v="12"/>
    <n v="0"/>
    <n v="9022"/>
    <n v="8927"/>
    <n v="13"/>
    <n v="0"/>
    <n v="9045"/>
    <n v="8828"/>
    <n v="12"/>
    <n v="0"/>
    <n v="8968"/>
    <n v="9318"/>
    <n v="1.5824175824175823"/>
    <n v="16.333333333333332"/>
    <n v="1"/>
    <n v="90.435000000000002"/>
    <n v="2.0416666666666665"/>
    <n v="2.0416666666666665"/>
    <x v="0"/>
    <n v="1"/>
    <s v="JB"/>
    <s v="JB"/>
    <s v="N/A"/>
    <s v="N/A"/>
    <x v="2"/>
    <s v="P203"/>
    <n v="0.91100000000000003"/>
    <n v="1.3"/>
    <n v="24"/>
    <n v="216"/>
    <n v="2.2999999999999998"/>
    <n v="10862.035199999998"/>
  </r>
  <r>
    <x v="8"/>
    <x v="5"/>
    <x v="1"/>
    <m/>
    <x v="1"/>
    <x v="1"/>
    <x v="1"/>
    <x v="1"/>
    <n v="5"/>
    <n v="16"/>
    <n v="0"/>
    <n v="9272"/>
    <n v="9472"/>
    <n v="6"/>
    <n v="0"/>
    <n v="9428"/>
    <n v="9514"/>
    <n v="10"/>
    <n v="0"/>
    <n v="9244"/>
    <n v="9454"/>
    <n v="16"/>
    <n v="0"/>
    <n v="9087"/>
    <n v="9584"/>
    <n v="2.8015564202334629"/>
    <n v="8"/>
    <n v="1"/>
    <n v="93.818749999999994"/>
    <n v="1"/>
    <n v="1"/>
    <x v="0"/>
    <n v="0.5"/>
    <s v="JB"/>
    <s v="JB"/>
    <s v="CHALS"/>
    <s v="CHALS"/>
    <x v="1"/>
    <s v="P203"/>
    <n v="0.91100000000000003"/>
    <n v="1.7"/>
    <n v="24"/>
    <n v="216"/>
    <n v="2.7"/>
    <n v="12751.084800000001"/>
  </r>
  <r>
    <x v="8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7"/>
    <x v="17"/>
    <m/>
    <x v="11"/>
    <x v="13"/>
    <x v="1"/>
    <x v="16"/>
    <n v="4"/>
    <m/>
    <m/>
    <s v="改紡"/>
    <m/>
    <m/>
    <m/>
    <s v="改紡"/>
    <m/>
    <m/>
    <m/>
    <s v="開車"/>
    <m/>
    <n v="35"/>
    <n v="0"/>
    <n v="6774"/>
    <n v="7351"/>
    <n v="1.7625458996328029"/>
    <s v="改紡"/>
    <s v=""/>
    <s v=""/>
    <s v=""/>
    <s v=""/>
    <x v="0"/>
    <n v="1"/>
    <s v="N/A"/>
    <s v="N/A"/>
    <s v="JUNJUN"/>
    <s v="JUNJUN"/>
    <x v="1"/>
    <s v="P203"/>
    <n v="0.91100000000000003"/>
    <n v="0.7"/>
    <n v="24"/>
    <n v="216"/>
    <n v="1.7"/>
    <n v="8028.4608000000007"/>
  </r>
  <r>
    <x v="8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9"/>
    <x v="2"/>
    <s v="G"/>
    <x v="2"/>
    <x v="2"/>
    <x v="2"/>
    <x v="2"/>
    <n v="2"/>
    <m/>
    <m/>
    <s v="清車"/>
    <s v="停機"/>
    <m/>
    <m/>
    <s v="清車"/>
    <s v="停機"/>
    <m/>
    <m/>
    <s v="開車"/>
    <s v="停機"/>
    <n v="16"/>
    <n v="0"/>
    <n v="9470"/>
    <s v="停機"/>
    <n v="2.1686746987951806"/>
    <s v="清車"/>
    <s v=""/>
    <s v=""/>
    <s v=""/>
    <s v=""/>
    <x v="0"/>
    <n v="2"/>
    <s v="JB"/>
    <s v="JB"/>
    <s v="CHALS"/>
    <s v="JUNJUN"/>
    <x v="1"/>
    <s v="P203"/>
    <n v="0.91100000000000003"/>
    <n v="0.7"/>
    <n v="24"/>
    <n v="216"/>
    <n v="1.7"/>
    <n v="8028.4608000000007"/>
  </r>
  <r>
    <x v="8"/>
    <x v="10"/>
    <x v="3"/>
    <s v="G"/>
    <x v="3"/>
    <x v="3"/>
    <x v="1"/>
    <x v="3"/>
    <n v="3"/>
    <n v="5"/>
    <n v="0"/>
    <n v="7429"/>
    <s v="停機"/>
    <n v="3"/>
    <n v="0"/>
    <n v="7208"/>
    <s v="停機"/>
    <n v="4"/>
    <n v="0"/>
    <n v="7261"/>
    <s v="停機"/>
    <n v="13"/>
    <n v="0"/>
    <n v="7190"/>
    <s v="停機"/>
    <n v="2.4"/>
    <n v="16.666666666666668"/>
    <n v="1"/>
    <n v="72.72"/>
    <n v="2.0833333333333335"/>
    <n v="2.0833333333333335"/>
    <x v="0"/>
    <n v="2"/>
    <s v="JB"/>
    <s v="JB"/>
    <s v="CHALS"/>
    <s v="CHALS"/>
    <x v="1"/>
    <s v="P203"/>
    <n v="0.91100000000000003"/>
    <n v="0.8"/>
    <n v="24"/>
    <n v="216"/>
    <n v="1.8"/>
    <n v="8500.7232000000004"/>
  </r>
  <r>
    <x v="8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8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5"/>
    <x v="5"/>
    <m/>
    <x v="5"/>
    <x v="5"/>
    <x v="2"/>
    <x v="5"/>
    <n v="5.5"/>
    <n v="22"/>
    <n v="0"/>
    <n v="5926"/>
    <n v="6286"/>
    <n v="22"/>
    <n v="0"/>
    <n v="5364"/>
    <n v="5554"/>
    <n v="12"/>
    <n v="0"/>
    <n v="5460"/>
    <n v="5991"/>
    <n v="20"/>
    <n v="0"/>
    <n v="5453"/>
    <n v="6245"/>
    <n v="4.7058823529411766"/>
    <n v="12.666666666666666"/>
    <n v="1"/>
    <n v="57.848750000000003"/>
    <n v="1.5833333333333333"/>
    <n v="1.5833333333333333"/>
    <x v="0"/>
    <n v="0.5"/>
    <s v="JB"/>
    <s v="JB"/>
    <s v="CHALS"/>
    <s v="CHALS"/>
    <x v="1"/>
    <s v="P204"/>
    <n v="1.1890000000000001"/>
    <n v="1.9"/>
    <n v="24"/>
    <n v="216"/>
    <n v="2.9"/>
    <n v="17874.950400000002"/>
  </r>
  <r>
    <x v="8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8"/>
    <x v="19"/>
    <x v="6"/>
    <s v="K"/>
    <x v="6"/>
    <x v="6"/>
    <x v="1"/>
    <x v="6"/>
    <n v="5.5"/>
    <n v="11"/>
    <n v="2"/>
    <n v="3180"/>
    <s v="L缺料"/>
    <n v="6"/>
    <n v="0"/>
    <n v="3170"/>
    <s v="L缺料"/>
    <n v="2"/>
    <n v="0"/>
    <n v="3190"/>
    <s v="L缺料"/>
    <n v="8"/>
    <n v="4"/>
    <n v="3110"/>
    <s v="L缺料"/>
    <n v="5.0526315789473681"/>
    <n v="18"/>
    <n v="0.99429086538461542"/>
    <n v="31.625"/>
    <n v="2.25"/>
    <n v="1.75"/>
    <x v="1"/>
    <n v="2"/>
    <s v="NASH"/>
    <s v="NASH"/>
    <s v="WILSON"/>
    <s v="WILSON"/>
    <x v="1"/>
    <s v="P227"/>
    <n v="1.859"/>
    <n v="2.1"/>
    <n v="24"/>
    <n v="216"/>
    <n v="3.1"/>
    <n v="29874.873599999999"/>
  </r>
  <r>
    <x v="8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8"/>
    <x v="21"/>
    <x v="7"/>
    <s v="K"/>
    <x v="6"/>
    <x v="7"/>
    <x v="3"/>
    <x v="7"/>
    <n v="5.5"/>
    <n v="22"/>
    <n v="0"/>
    <n v="9440"/>
    <s v="L缺料"/>
    <n v="7"/>
    <n v="0"/>
    <n v="8890"/>
    <s v="L缺料"/>
    <n v="22"/>
    <n v="7"/>
    <n v="9070"/>
    <s v="L缺料"/>
    <n v="32"/>
    <n v="1"/>
    <n v="9720"/>
    <s v="L缺料"/>
    <n v="5.8775510204081636"/>
    <n v="27.666666666666668"/>
    <n v="0.99345619658119655"/>
    <n v="92.8"/>
    <n v="3.4583333333333335"/>
    <n v="3.125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8"/>
    <x v="22"/>
    <x v="8"/>
    <s v="K"/>
    <x v="6"/>
    <x v="6"/>
    <x v="3"/>
    <x v="8"/>
    <n v="5.5"/>
    <n v="63"/>
    <n v="5"/>
    <n v="9170"/>
    <n v="8700"/>
    <n v="35"/>
    <n v="5"/>
    <n v="8980"/>
    <n v="8610"/>
    <n v="25"/>
    <n v="0"/>
    <n v="9350"/>
    <n v="8520"/>
    <n v="37"/>
    <n v="0"/>
    <n v="9540"/>
    <n v="8520"/>
    <n v="5.8775510204081636"/>
    <n v="53.333333333333336"/>
    <n v="0.99182024572649574"/>
    <n v="89.237499999999997"/>
    <n v="6.666666666666667"/>
    <n v="6.25"/>
    <x v="2"/>
    <n v="1"/>
    <s v="BRYAN"/>
    <s v="BRYAN"/>
    <s v="VIN"/>
    <s v="VIN"/>
    <x v="1"/>
    <s v="P204"/>
    <n v="1.1890000000000001"/>
    <n v="2.9"/>
    <n v="24"/>
    <n v="216"/>
    <n v="3.9"/>
    <n v="24038.7264"/>
  </r>
  <r>
    <x v="8"/>
    <x v="23"/>
    <x v="9"/>
    <s v="K"/>
    <x v="6"/>
    <x v="8"/>
    <x v="1"/>
    <x v="9"/>
    <n v="5.5"/>
    <n v="44"/>
    <n v="3"/>
    <n v="9630"/>
    <n v="9630"/>
    <n v="21"/>
    <n v="2"/>
    <n v="9630"/>
    <n v="9170"/>
    <n v="25"/>
    <n v="5"/>
    <n v="9350"/>
    <n v="9350"/>
    <n v="36"/>
    <n v="4"/>
    <n v="9540"/>
    <n v="9720"/>
    <n v="5.034965034965035"/>
    <n v="42"/>
    <n v="0.98663194444444446"/>
    <n v="95.025000000000006"/>
    <n v="5.25"/>
    <n v="4.666666666666667"/>
    <x v="2"/>
    <n v="1"/>
    <s v="BRYAN"/>
    <s v="BRYAN"/>
    <s v="MAMAY"/>
    <s v="MAMAY"/>
    <x v="2"/>
    <s v="P204"/>
    <n v="1.1890000000000001"/>
    <n v="2.8"/>
    <n v="24"/>
    <n v="216"/>
    <n v="3.8"/>
    <n v="23422.3488"/>
  </r>
  <r>
    <x v="8"/>
    <x v="24"/>
    <x v="10"/>
    <m/>
    <x v="7"/>
    <x v="9"/>
    <x v="1"/>
    <x v="10"/>
    <n v="4"/>
    <n v="14"/>
    <n v="4"/>
    <n v="9170"/>
    <m/>
    <n v="11"/>
    <n v="0"/>
    <n v="9630"/>
    <m/>
    <n v="10"/>
    <n v="0"/>
    <n v="9630"/>
    <m/>
    <n v="11"/>
    <n v="0"/>
    <n v="9540"/>
    <m/>
    <n v="3.6"/>
    <n v="30.666666666666668"/>
    <n v="0.99465811965811968"/>
    <n v="94.924999999999997"/>
    <n v="3.8333333333333335"/>
    <n v="3.5"/>
    <x v="2"/>
    <n v="2"/>
    <s v="DENDEN"/>
    <s v="DENDEN"/>
    <s v="VIN"/>
    <s v="VIN"/>
    <x v="2"/>
    <s v="P203"/>
    <n v="0.91100000000000003"/>
    <n v="1.5"/>
    <n v="24"/>
    <n v="216"/>
    <n v="2.5"/>
    <n v="11806.560000000001"/>
  </r>
  <r>
    <x v="8"/>
    <x v="24"/>
    <x v="11"/>
    <m/>
    <x v="8"/>
    <x v="10"/>
    <x v="2"/>
    <x v="11"/>
    <n v="5.5"/>
    <n v="36"/>
    <n v="4"/>
    <m/>
    <n v="9070"/>
    <n v="8"/>
    <n v="3"/>
    <m/>
    <n v="9540"/>
    <n v="6"/>
    <n v="0"/>
    <m/>
    <n v="9540"/>
    <n v="11"/>
    <n v="0"/>
    <m/>
    <n v="9440"/>
    <n v="6.6055045871559646"/>
    <n v="40.666666666666664"/>
    <n v="0.9949051816239316"/>
    <n v="93.974999999999994"/>
    <n v="5.083333333333333"/>
    <n v="4.5"/>
    <x v="2"/>
    <n v="2"/>
    <s v="DENDEN"/>
    <s v="DENDEN"/>
    <s v="VIN"/>
    <s v="VIN"/>
    <x v="3"/>
    <s v="P227"/>
    <n v="1.859"/>
    <n v="3.3"/>
    <n v="24"/>
    <n v="216"/>
    <n v="4.3"/>
    <n v="41439.340799999998"/>
  </r>
  <r>
    <x v="8"/>
    <x v="25"/>
    <x v="12"/>
    <s v="K"/>
    <x v="6"/>
    <x v="7"/>
    <x v="3"/>
    <x v="12"/>
    <n v="5.5"/>
    <n v="19"/>
    <n v="0"/>
    <n v="9810"/>
    <s v="L缺料"/>
    <n v="9"/>
    <n v="1"/>
    <n v="10000"/>
    <s v="L缺料"/>
    <n v="4"/>
    <n v="0"/>
    <n v="10000"/>
    <s v="L缺料"/>
    <n v="14"/>
    <n v="2"/>
    <n v="9910"/>
    <s v="L缺料"/>
    <n v="5.8299595141700413"/>
    <n v="30.666666666666668"/>
    <n v="0.9975260416666667"/>
    <n v="99.3"/>
    <n v="3.8333333333333335"/>
    <n v="3.5833333333333335"/>
    <x v="2"/>
    <n v="2"/>
    <s v="DENDEN"/>
    <s v="DENDEN"/>
    <s v="MAMAY"/>
    <s v="MAMAY"/>
    <x v="2"/>
    <s v="P204"/>
    <n v="1.1890000000000001"/>
    <n v="2.8"/>
    <n v="24"/>
    <n v="216"/>
    <n v="3.8"/>
    <n v="23422.3488"/>
  </r>
  <r>
    <x v="8"/>
    <x v="26"/>
    <x v="13"/>
    <s v="K"/>
    <x v="6"/>
    <x v="7"/>
    <x v="3"/>
    <x v="13"/>
    <n v="5.5"/>
    <n v="52"/>
    <n v="15"/>
    <n v="9440"/>
    <n v="9630"/>
    <n v="14"/>
    <n v="0"/>
    <n v="9910"/>
    <n v="9630"/>
    <n v="5"/>
    <n v="0"/>
    <n v="9910"/>
    <n v="9630"/>
    <n v="22"/>
    <n v="1"/>
    <n v="9910"/>
    <n v="9630"/>
    <n v="5.8299595141700413"/>
    <n v="31"/>
    <n v="0.9868055555555556"/>
    <n v="97.112499999999997"/>
    <n v="3.875"/>
    <n v="3.2083333333333335"/>
    <x v="2"/>
    <n v="1"/>
    <s v="DENDEN"/>
    <s v="DENDEN"/>
    <s v="VIN"/>
    <s v="WILSON"/>
    <x v="2"/>
    <s v="P204"/>
    <n v="1.1890000000000001"/>
    <n v="2.8"/>
    <n v="24"/>
    <n v="216"/>
    <n v="3.8"/>
    <n v="23422.3488"/>
  </r>
  <r>
    <x v="8"/>
    <x v="27"/>
    <x v="18"/>
    <m/>
    <x v="12"/>
    <x v="14"/>
    <x v="2"/>
    <x v="17"/>
    <n v="4"/>
    <m/>
    <m/>
    <s v="改紡"/>
    <m/>
    <m/>
    <m/>
    <s v="改紡"/>
    <m/>
    <m/>
    <m/>
    <s v="開車"/>
    <m/>
    <n v="7"/>
    <n v="0"/>
    <n v="2868"/>
    <m/>
    <n v="1.6179775280898876"/>
    <s v="改紡"/>
    <s v=""/>
    <s v=""/>
    <s v=""/>
    <s v=""/>
    <x v="3"/>
    <n v="12"/>
    <s v="N/A"/>
    <s v="N/A"/>
    <s v="N/A"/>
    <s v="N/A"/>
    <x v="2"/>
    <s v="P123"/>
    <n v="0.66900000000000004"/>
    <n v="1.6"/>
    <n v="24"/>
    <n v="108"/>
    <n v="2.6"/>
    <n v="4508.5248000000011"/>
  </r>
  <r>
    <x v="8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KIM"/>
    <s v="KIM"/>
    <x v="0"/>
    <s v=""/>
    <s v=""/>
    <s v=""/>
    <n v="24"/>
    <n v="216"/>
    <s v=""/>
    <s v=""/>
  </r>
  <r>
    <x v="9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2"/>
    <x v="15"/>
    <m/>
    <x v="9"/>
    <x v="11"/>
    <x v="4"/>
    <x v="14"/>
    <n v="4"/>
    <n v="28"/>
    <n v="0"/>
    <n v="8095"/>
    <n v="7315"/>
    <n v="20"/>
    <n v="0"/>
    <n v="8031"/>
    <n v="7071"/>
    <n v="6"/>
    <n v="0"/>
    <n v="8103"/>
    <n v="6991"/>
    <n v="26"/>
    <n v="4"/>
    <n v="7703"/>
    <n v="6912"/>
    <n v="2.9937629937629939"/>
    <n v="26.666666666666668"/>
    <n v="0.99357638888888888"/>
    <n v="75.276250000000005"/>
    <n v="3.3333333333333335"/>
    <n v="3.1666666666666665"/>
    <x v="0"/>
    <n v="1"/>
    <s v="RICKY"/>
    <s v="RICKY"/>
    <s v="JUNJUN"/>
    <s v="JUNJUN"/>
    <x v="1"/>
    <s v="P203"/>
    <n v="0.91100000000000003"/>
    <n v="1.9"/>
    <n v="24"/>
    <n v="216"/>
    <n v="2.9"/>
    <n v="13695.6096"/>
  </r>
  <r>
    <x v="9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4"/>
    <x v="16"/>
    <m/>
    <x v="10"/>
    <x v="12"/>
    <x v="5"/>
    <x v="15"/>
    <n v="5"/>
    <n v="8"/>
    <n v="0"/>
    <n v="8923"/>
    <n v="9289"/>
    <n v="6"/>
    <n v="0"/>
    <n v="9034"/>
    <n v="9403"/>
    <n v="2"/>
    <n v="0"/>
    <n v="8979"/>
    <n v="9428"/>
    <n v="13"/>
    <n v="0"/>
    <n v="8912"/>
    <n v="9226"/>
    <n v="1.5824175824175823"/>
    <n v="9.6666666666666661"/>
    <n v="1"/>
    <n v="91.492500000000007"/>
    <n v="1.2083333333333333"/>
    <n v="1.2083333333333333"/>
    <x v="0"/>
    <n v="1"/>
    <s v="RICKY"/>
    <s v="RICKY"/>
    <s v="DENNIS"/>
    <s v="DENNIS"/>
    <x v="2"/>
    <s v="P203"/>
    <n v="0.91100000000000003"/>
    <n v="1.3"/>
    <n v="24"/>
    <n v="216"/>
    <n v="2.2999999999999998"/>
    <n v="10862.035199999998"/>
  </r>
  <r>
    <x v="9"/>
    <x v="5"/>
    <x v="1"/>
    <m/>
    <x v="1"/>
    <x v="1"/>
    <x v="1"/>
    <x v="1"/>
    <n v="5"/>
    <n v="14"/>
    <n v="0"/>
    <n v="9182"/>
    <n v="9583"/>
    <n v="2"/>
    <n v="0"/>
    <n v="9209"/>
    <n v="9630"/>
    <n v="6"/>
    <n v="0"/>
    <n v="9197"/>
    <n v="9462"/>
    <n v="20"/>
    <n v="0"/>
    <n v="9135"/>
    <n v="9105"/>
    <n v="2.8015564202334629"/>
    <n v="7"/>
    <n v="1"/>
    <n v="93.128749999999997"/>
    <n v="0.875"/>
    <n v="0.875"/>
    <x v="0"/>
    <n v="0.5"/>
    <s v="RICKY"/>
    <s v="RICKY"/>
    <s v="DENNIS"/>
    <s v="DENNIS"/>
    <x v="1"/>
    <s v="P203"/>
    <n v="0.91100000000000003"/>
    <n v="1.7"/>
    <n v="24"/>
    <n v="216"/>
    <n v="2.7"/>
    <n v="12751.084800000001"/>
  </r>
  <r>
    <x v="9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7"/>
    <x v="17"/>
    <m/>
    <x v="11"/>
    <x v="13"/>
    <x v="1"/>
    <x v="16"/>
    <n v="4"/>
    <n v="50"/>
    <n v="6"/>
    <n v="7423"/>
    <n v="8097"/>
    <n v="10"/>
    <m/>
    <n v="7670"/>
    <n v="8525"/>
    <n v="9"/>
    <n v="1"/>
    <n v="7840"/>
    <n v="8513"/>
    <n v="24"/>
    <n v="9"/>
    <n v="7513"/>
    <n v="8420"/>
    <n v="1.7625458996328029"/>
    <n v="31"/>
    <n v="0.95635683760683765"/>
    <n v="80.001249999999999"/>
    <n v="3.875"/>
    <n v="3.2083333333333335"/>
    <x v="0"/>
    <n v="1"/>
    <s v="JERBY"/>
    <s v="JERBY"/>
    <s v="JUNJUN"/>
    <s v="JUNJUN"/>
    <x v="1"/>
    <s v="P203"/>
    <n v="0.91100000000000003"/>
    <n v="0.7"/>
    <n v="24"/>
    <n v="216"/>
    <n v="1.7"/>
    <n v="8028.4608000000007"/>
  </r>
  <r>
    <x v="9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9"/>
    <x v="2"/>
    <s v="G"/>
    <x v="2"/>
    <x v="2"/>
    <x v="2"/>
    <x v="2"/>
    <n v="2"/>
    <n v="22"/>
    <n v="3"/>
    <n v="9515"/>
    <s v="停機"/>
    <n v="11"/>
    <n v="1"/>
    <n v="9439"/>
    <s v="停機"/>
    <m/>
    <m/>
    <s v="了機"/>
    <s v="停機"/>
    <m/>
    <m/>
    <s v="了機"/>
    <s v="停機"/>
    <n v="2.1686746987951806"/>
    <n v="22"/>
    <n v="0.99113247863247866"/>
    <n v="94.77"/>
    <n v="2.75"/>
    <n v="2.4166666666666665"/>
    <x v="0"/>
    <n v="2"/>
    <s v="JERBY"/>
    <s v="JERBY"/>
    <s v="DENNIS"/>
    <s v="DENNIS"/>
    <x v="1"/>
    <s v="P203"/>
    <n v="0.91100000000000003"/>
    <n v="0.7"/>
    <n v="24"/>
    <n v="216"/>
    <n v="1.7"/>
    <n v="8028.4608000000007"/>
  </r>
  <r>
    <x v="9"/>
    <x v="10"/>
    <x v="3"/>
    <s v="G"/>
    <x v="3"/>
    <x v="3"/>
    <x v="1"/>
    <x v="3"/>
    <n v="3"/>
    <n v="18"/>
    <n v="0"/>
    <n v="7087"/>
    <m/>
    <n v="3"/>
    <n v="0"/>
    <n v="7270"/>
    <m/>
    <n v="2"/>
    <n v="0"/>
    <n v="7330"/>
    <m/>
    <n v="6"/>
    <n v="0"/>
    <n v="7108"/>
    <m/>
    <n v="2.4"/>
    <n v="19.333333333333332"/>
    <n v="1"/>
    <n v="71.987499999999997"/>
    <n v="2.4166666666666665"/>
    <n v="2.4166666666666665"/>
    <x v="0"/>
    <n v="2"/>
    <s v="RICKY"/>
    <s v="RICKY"/>
    <s v="DENNIS"/>
    <s v="DENNIS"/>
    <x v="1"/>
    <s v="P203"/>
    <n v="0.91100000000000003"/>
    <n v="0.8"/>
    <n v="24"/>
    <n v="216"/>
    <n v="1.8"/>
    <n v="8500.7232000000004"/>
  </r>
  <r>
    <x v="9"/>
    <x v="10"/>
    <x v="19"/>
    <m/>
    <x v="13"/>
    <x v="15"/>
    <x v="2"/>
    <x v="18"/>
    <n v="5"/>
    <m/>
    <m/>
    <m/>
    <s v="改紡"/>
    <n v="3"/>
    <n v="0"/>
    <m/>
    <n v="8020"/>
    <n v="1"/>
    <n v="0"/>
    <m/>
    <n v="8042"/>
    <n v="1"/>
    <n v="0"/>
    <m/>
    <n v="8023"/>
    <n v="1.3345690454124188"/>
    <n v="3.3333333333333335"/>
    <s v=""/>
    <n v="80.283333333333331"/>
    <n v="0.41666666666666669"/>
    <s v=""/>
    <x v="0"/>
    <n v="2"/>
    <s v="RICKY"/>
    <s v="RICKY"/>
    <s v="DENNIS"/>
    <s v="DENNIS"/>
    <x v="3"/>
    <s v="P203"/>
    <n v="0.91100000000000003"/>
    <n v="0.8"/>
    <n v="24"/>
    <n v="216"/>
    <n v="1.8"/>
    <n v="8500.7232000000004"/>
  </r>
  <r>
    <x v="9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9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5"/>
    <x v="5"/>
    <m/>
    <x v="5"/>
    <x v="5"/>
    <x v="2"/>
    <x v="5"/>
    <n v="5.5"/>
    <n v="18"/>
    <n v="0"/>
    <n v="5499"/>
    <n v="6271"/>
    <n v="0"/>
    <n v="0"/>
    <n v="5434"/>
    <n v="6481"/>
    <n v="8"/>
    <n v="0"/>
    <n v="5245"/>
    <n v="6586"/>
    <n v="26"/>
    <n v="0"/>
    <n v="4832"/>
    <n v="5661"/>
    <n v="4.7058823529411766"/>
    <n v="8.6666666666666661"/>
    <n v="1"/>
    <n v="57.511249999999997"/>
    <n v="1.0833333333333333"/>
    <n v="1.0833333333333333"/>
    <x v="0"/>
    <n v="0.5"/>
    <s v="RICKY"/>
    <s v="RICKY"/>
    <s v="DENNIS"/>
    <s v="DENNIS"/>
    <x v="1"/>
    <s v="P204"/>
    <n v="1.1890000000000001"/>
    <n v="1.9"/>
    <n v="24"/>
    <n v="216"/>
    <n v="2.9"/>
    <n v="17874.950400000002"/>
  </r>
  <r>
    <x v="9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19"/>
    <x v="6"/>
    <s v="K"/>
    <x v="6"/>
    <x v="6"/>
    <x v="1"/>
    <x v="6"/>
    <n v="5.5"/>
    <n v="18"/>
    <n v="3"/>
    <n v="3190"/>
    <s v="L缺料"/>
    <n v="10"/>
    <n v="1"/>
    <n v="3160"/>
    <s v="L缺料"/>
    <n v="6"/>
    <n v="2"/>
    <n v="3090"/>
    <s v="L缺料"/>
    <n v="8"/>
    <n v="5"/>
    <n v="3160"/>
    <s v="L缺料"/>
    <n v="5.0526315789473681"/>
    <n v="28"/>
    <n v="0.98953325320512819"/>
    <n v="31.5"/>
    <n v="3.5"/>
    <n v="2.5833333333333335"/>
    <x v="1"/>
    <n v="2"/>
    <s v="JP"/>
    <s v="JP"/>
    <s v="JUNJUN"/>
    <s v="JUNJUN"/>
    <x v="1"/>
    <s v="P227"/>
    <n v="1.859"/>
    <n v="2.1"/>
    <n v="24"/>
    <n v="216"/>
    <n v="3.1"/>
    <n v="29874.873599999999"/>
  </r>
  <r>
    <x v="9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21"/>
    <x v="7"/>
    <s v="K"/>
    <x v="6"/>
    <x v="7"/>
    <x v="3"/>
    <x v="7"/>
    <n v="5.5"/>
    <n v="31"/>
    <n v="2"/>
    <n v="9440"/>
    <s v="L缺料"/>
    <n v="12"/>
    <n v="2"/>
    <n v="9630"/>
    <s v="L缺料"/>
    <n v="9"/>
    <n v="1"/>
    <n v="9440"/>
    <s v="L缺料"/>
    <n v="23"/>
    <n v="2"/>
    <n v="9630"/>
    <s v="L缺料"/>
    <n v="5.8775510204081636"/>
    <n v="25"/>
    <n v="0.99427417200854706"/>
    <n v="95.35"/>
    <n v="3.125"/>
    <n v="2.8333333333333335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9"/>
    <x v="22"/>
    <x v="8"/>
    <s v="K"/>
    <x v="6"/>
    <x v="6"/>
    <x v="3"/>
    <x v="8"/>
    <n v="5.5"/>
    <n v="55"/>
    <n v="4"/>
    <n v="9170"/>
    <n v="8060"/>
    <n v="36"/>
    <n v="0"/>
    <n v="8610"/>
    <n v="8430"/>
    <n v="21"/>
    <n v="4"/>
    <n v="9170"/>
    <n v="7130"/>
    <n v="79"/>
    <n v="0"/>
    <n v="9350"/>
    <n v="8430"/>
    <n v="5.8775510204081636"/>
    <n v="63.666666666666664"/>
    <n v="0.99345619658119655"/>
    <n v="85.4375"/>
    <n v="7.958333333333333"/>
    <n v="7.625"/>
    <x v="2"/>
    <n v="1"/>
    <s v="BRYAN"/>
    <s v="BRYAN"/>
    <s v="MAMAY"/>
    <s v="MAMAY"/>
    <x v="1"/>
    <s v="P204"/>
    <n v="1.1890000000000001"/>
    <n v="2.9"/>
    <n v="24"/>
    <n v="216"/>
    <n v="3.9"/>
    <n v="24038.7264"/>
  </r>
  <r>
    <x v="9"/>
    <x v="23"/>
    <x v="9"/>
    <s v="K"/>
    <x v="6"/>
    <x v="8"/>
    <x v="1"/>
    <x v="9"/>
    <n v="5.5"/>
    <n v="52"/>
    <n v="13"/>
    <n v="9540"/>
    <n v="9630"/>
    <n v="14"/>
    <n v="2"/>
    <n v="8800"/>
    <n v="9630"/>
    <n v="16"/>
    <n v="0"/>
    <n v="8980"/>
    <n v="9260"/>
    <n v="39"/>
    <n v="0"/>
    <n v="8700"/>
    <n v="9440"/>
    <n v="5.034965034965035"/>
    <n v="40.333333333333336"/>
    <n v="0.98567708333333337"/>
    <n v="92.474999999999994"/>
    <n v="5.041666666666667"/>
    <n v="4.416666666666667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9"/>
    <x v="24"/>
    <x v="10"/>
    <m/>
    <x v="7"/>
    <x v="9"/>
    <x v="1"/>
    <x v="10"/>
    <n v="4"/>
    <n v="17"/>
    <n v="3"/>
    <n v="9630"/>
    <m/>
    <n v="11"/>
    <n v="3"/>
    <n v="9350"/>
    <m/>
    <n v="9"/>
    <n v="1"/>
    <n v="9540"/>
    <m/>
    <n v="8"/>
    <n v="1"/>
    <n v="9540"/>
    <m/>
    <n v="3.6"/>
    <n v="30"/>
    <n v="0.98931623931623935"/>
    <n v="95.15"/>
    <n v="3.75"/>
    <n v="3.0833333333333335"/>
    <x v="2"/>
    <n v="2"/>
    <s v="DENDEN"/>
    <s v="DENDEN"/>
    <s v="MAMAY"/>
    <s v="MAMAY"/>
    <x v="2"/>
    <s v="P203"/>
    <n v="0.91100000000000003"/>
    <n v="1.5"/>
    <n v="24"/>
    <n v="216"/>
    <n v="2.5"/>
    <n v="11806.560000000001"/>
  </r>
  <r>
    <x v="9"/>
    <x v="24"/>
    <x v="11"/>
    <m/>
    <x v="8"/>
    <x v="10"/>
    <x v="2"/>
    <x v="11"/>
    <n v="5.5"/>
    <n v="16"/>
    <n v="2"/>
    <m/>
    <n v="8520"/>
    <n v="18"/>
    <n v="6"/>
    <m/>
    <n v="9170"/>
    <n v="5"/>
    <n v="2"/>
    <m/>
    <n v="9350"/>
    <n v="22"/>
    <n v="6"/>
    <m/>
    <n v="9350"/>
    <n v="6.6055045871559646"/>
    <n v="40.666666666666664"/>
    <n v="0.9883547008547009"/>
    <n v="90.974999999999994"/>
    <n v="5.083333333333333"/>
    <n v="3.75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9"/>
    <x v="25"/>
    <x v="12"/>
    <s v="K"/>
    <x v="6"/>
    <x v="7"/>
    <x v="3"/>
    <x v="12"/>
    <n v="5.5"/>
    <n v="17"/>
    <n v="0"/>
    <n v="9440"/>
    <s v="L缺料"/>
    <n v="13"/>
    <n v="0"/>
    <n v="10000"/>
    <s v="L缺料"/>
    <n v="11"/>
    <n v="0"/>
    <n v="10000"/>
    <s v="L缺料"/>
    <n v="7"/>
    <n v="0"/>
    <n v="9810"/>
    <s v="L缺料"/>
    <n v="5.8299595141700413"/>
    <n v="32"/>
    <n v="1"/>
    <n v="98.125"/>
    <n v="4"/>
    <n v="4"/>
    <x v="2"/>
    <n v="2"/>
    <s v="BRYAN"/>
    <s v="BRYAN"/>
    <s v="VIN"/>
    <s v="VIN"/>
    <x v="2"/>
    <s v="P204"/>
    <n v="1.1890000000000001"/>
    <n v="2.8"/>
    <n v="24"/>
    <n v="216"/>
    <n v="3.8"/>
    <n v="23422.3488"/>
  </r>
  <r>
    <x v="9"/>
    <x v="26"/>
    <x v="13"/>
    <s v="K"/>
    <x v="6"/>
    <x v="7"/>
    <x v="3"/>
    <x v="13"/>
    <n v="5.5"/>
    <n v="29"/>
    <n v="1"/>
    <n v="9260"/>
    <n v="9440"/>
    <n v="14"/>
    <n v="3"/>
    <n v="9720"/>
    <n v="8890"/>
    <n v="15"/>
    <n v="0"/>
    <n v="9810"/>
    <n v="8980"/>
    <n v="38"/>
    <n v="0"/>
    <n v="9720"/>
    <n v="9350"/>
    <n v="5.8299595141700413"/>
    <n v="32"/>
    <n v="0.99670138888888893"/>
    <n v="93.962500000000006"/>
    <n v="4"/>
    <n v="3.833333333333333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9"/>
    <x v="27"/>
    <x v="18"/>
    <m/>
    <x v="12"/>
    <x v="14"/>
    <x v="2"/>
    <x v="17"/>
    <n v="4"/>
    <n v="20"/>
    <n v="0"/>
    <n v="2710"/>
    <m/>
    <n v="11"/>
    <n v="0"/>
    <n v="2948"/>
    <m/>
    <n v="2"/>
    <n v="0"/>
    <n v="2989"/>
    <m/>
    <n v="23"/>
    <n v="0"/>
    <n v="3143"/>
    <m/>
    <n v="1.6179775280898876"/>
    <n v="224"/>
    <n v="1"/>
    <n v="29.475000000000001"/>
    <n v="28"/>
    <n v="28"/>
    <x v="3"/>
    <n v="12"/>
    <s v="N/A"/>
    <s v="N/A"/>
    <s v="N/A"/>
    <s v="N/A"/>
    <x v="2"/>
    <s v="P123"/>
    <n v="0.66900000000000004"/>
    <n v="1.6"/>
    <n v="24"/>
    <n v="108"/>
    <n v="2.6"/>
    <n v="4508.5248000000011"/>
  </r>
  <r>
    <x v="9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P"/>
    <s v="RON"/>
    <s v="KIM"/>
    <s v="KIM"/>
    <x v="0"/>
    <s v=""/>
    <s v=""/>
    <s v=""/>
    <n v="24"/>
    <n v="216"/>
    <s v=""/>
    <s v=""/>
  </r>
  <r>
    <x v="1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2"/>
    <x v="15"/>
    <m/>
    <x v="9"/>
    <x v="11"/>
    <x v="4"/>
    <x v="14"/>
    <n v="4"/>
    <n v="48"/>
    <n v="4"/>
    <n v="7931"/>
    <n v="7342"/>
    <n v="32"/>
    <n v="4"/>
    <n v="7897"/>
    <n v="7969"/>
    <n v="10"/>
    <n v="0"/>
    <n v="7960"/>
    <n v="7847"/>
    <n v="50"/>
    <n v="0"/>
    <n v="7614"/>
    <n v="7773"/>
    <n v="2.9937629937629939"/>
    <n v="46.666666666666664"/>
    <n v="0.98715277777777777"/>
    <n v="77.916250000000005"/>
    <n v="5.833333333333333"/>
    <n v="5.5"/>
    <x v="0"/>
    <n v="1"/>
    <s v="JERBY"/>
    <s v="JERBY"/>
    <s v="NASH"/>
    <s v="NASH"/>
    <x v="1"/>
    <s v="P203"/>
    <n v="0.91100000000000003"/>
    <n v="1.9"/>
    <n v="24"/>
    <n v="216"/>
    <n v="2.9"/>
    <n v="13695.6096"/>
  </r>
  <r>
    <x v="1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4"/>
    <x v="16"/>
    <m/>
    <x v="10"/>
    <x v="12"/>
    <x v="5"/>
    <x v="15"/>
    <n v="5"/>
    <n v="14"/>
    <n v="0"/>
    <n v="8990"/>
    <n v="9081"/>
    <n v="20"/>
    <n v="1"/>
    <n v="8626"/>
    <n v="9121"/>
    <n v="9"/>
    <n v="0"/>
    <n v="8589"/>
    <n v="9101"/>
    <n v="19"/>
    <n v="0"/>
    <n v="8200"/>
    <n v="9008"/>
    <n v="1.5824175824175823"/>
    <n v="20.666666666666668"/>
    <n v="0.99696180555555558"/>
    <n v="88.394999999999996"/>
    <n v="2.5833333333333335"/>
    <n v="2.5416666666666665"/>
    <x v="0"/>
    <n v="1"/>
    <s v="RICKY"/>
    <s v="RICKY"/>
    <s v="DENNIS"/>
    <s v="DENNIS"/>
    <x v="2"/>
    <s v="P203"/>
    <n v="0.91100000000000003"/>
    <n v="1.3"/>
    <n v="24"/>
    <n v="216"/>
    <n v="2.2999999999999998"/>
    <n v="10862.035199999998"/>
  </r>
  <r>
    <x v="10"/>
    <x v="5"/>
    <x v="1"/>
    <m/>
    <x v="1"/>
    <x v="1"/>
    <x v="1"/>
    <x v="1"/>
    <n v="5"/>
    <n v="16"/>
    <n v="0"/>
    <n v="9222"/>
    <n v="9356"/>
    <n v="6"/>
    <n v="0"/>
    <n v="9309"/>
    <n v="9630"/>
    <n v="8"/>
    <n v="0"/>
    <n v="9316"/>
    <n v="9588"/>
    <n v="10"/>
    <n v="0"/>
    <n v="9338"/>
    <n v="9513"/>
    <n v="2.8015564202334629"/>
    <n v="6.666666666666667"/>
    <n v="1"/>
    <n v="94.09"/>
    <n v="0.83333333333333337"/>
    <n v="0.83333333333333337"/>
    <x v="0"/>
    <n v="0.5"/>
    <s v="RICKY"/>
    <s v="RICKY"/>
    <s v="DENNIS"/>
    <s v="DENNIS"/>
    <x v="1"/>
    <s v="P203"/>
    <n v="0.91100000000000003"/>
    <n v="1.7"/>
    <n v="24"/>
    <n v="216"/>
    <n v="2.7"/>
    <n v="12751.084800000001"/>
  </r>
  <r>
    <x v="10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7"/>
    <x v="17"/>
    <m/>
    <x v="11"/>
    <x v="13"/>
    <x v="1"/>
    <x v="16"/>
    <n v="4"/>
    <n v="22"/>
    <n v="2"/>
    <n v="7771"/>
    <n v="8326"/>
    <n v="27"/>
    <n v="10"/>
    <n v="7276"/>
    <n v="8134"/>
    <n v="12"/>
    <n v="0"/>
    <n v="7595"/>
    <n v="8200"/>
    <n v="37"/>
    <n v="0"/>
    <n v="7175"/>
    <n v="7970"/>
    <n v="1.7625458996328029"/>
    <n v="32.666666666666664"/>
    <n v="0.96726762820512824"/>
    <n v="78.058750000000003"/>
    <n v="4.083333333333333"/>
    <n v="3.5833333333333335"/>
    <x v="0"/>
    <n v="1"/>
    <s v="JERBY"/>
    <s v="JERBY"/>
    <s v="NASH"/>
    <s v="NASH"/>
    <x v="1"/>
    <s v="P203"/>
    <n v="0.91100000000000003"/>
    <n v="0.7"/>
    <n v="24"/>
    <n v="216"/>
    <n v="1.7"/>
    <n v="8028.4608000000007"/>
  </r>
  <r>
    <x v="10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9"/>
    <x v="2"/>
    <s v="G"/>
    <x v="2"/>
    <x v="2"/>
    <x v="2"/>
    <x v="2"/>
    <n v="2"/>
    <m/>
    <m/>
    <s v="了機"/>
    <s v="停機"/>
    <m/>
    <m/>
    <s v="了機"/>
    <s v="停機"/>
    <m/>
    <m/>
    <s v="了機"/>
    <s v="停機"/>
    <m/>
    <m/>
    <s v="了機"/>
    <s v="停機"/>
    <n v="2.1686746987951806"/>
    <s v="了機"/>
    <s v=""/>
    <s v=""/>
    <s v=""/>
    <s v=""/>
    <x v="0"/>
    <n v="2"/>
    <s v="RICKY"/>
    <s v="RICKY"/>
    <s v="DENNIS"/>
    <s v="DENNIS"/>
    <x v="1"/>
    <s v="P203"/>
    <n v="0.91100000000000003"/>
    <n v="0.7"/>
    <n v="24"/>
    <n v="216"/>
    <n v="1.7"/>
    <n v="8028.4608000000007"/>
  </r>
  <r>
    <x v="10"/>
    <x v="10"/>
    <x v="3"/>
    <s v="G"/>
    <x v="3"/>
    <x v="3"/>
    <x v="1"/>
    <x v="3"/>
    <n v="3"/>
    <n v="16"/>
    <n v="0"/>
    <n v="7048"/>
    <m/>
    <n v="6"/>
    <n v="0"/>
    <n v="7169"/>
    <m/>
    <n v="2"/>
    <n v="0"/>
    <n v="7909"/>
    <m/>
    <n v="10"/>
    <n v="0"/>
    <n v="7191"/>
    <m/>
    <n v="2.4"/>
    <n v="22.666666666666668"/>
    <n v="1"/>
    <n v="73.292500000000004"/>
    <n v="2.8333333333333335"/>
    <n v="2.8333333333333335"/>
    <x v="0"/>
    <n v="2"/>
    <s v="RICKY"/>
    <s v="RICKY"/>
    <s v="DENNIS"/>
    <s v="DENNIS"/>
    <x v="1"/>
    <s v="P203"/>
    <n v="0.91100000000000003"/>
    <n v="0.8"/>
    <n v="24"/>
    <n v="216"/>
    <n v="1.8"/>
    <n v="8500.7232000000004"/>
  </r>
  <r>
    <x v="10"/>
    <x v="10"/>
    <x v="19"/>
    <m/>
    <x v="13"/>
    <x v="15"/>
    <x v="2"/>
    <x v="18"/>
    <n v="5"/>
    <n v="12"/>
    <n v="0"/>
    <m/>
    <n v="7327"/>
    <n v="1"/>
    <n v="0"/>
    <m/>
    <n v="7833"/>
    <n v="2"/>
    <n v="0"/>
    <n v="7884"/>
    <m/>
    <n v="4"/>
    <n v="0"/>
    <m/>
    <n v="7573"/>
    <n v="1.3345690454124188"/>
    <n v="12.666666666666666"/>
    <n v="1"/>
    <n v="76.542500000000004"/>
    <n v="1.5833333333333333"/>
    <n v="1.5833333333333333"/>
    <x v="0"/>
    <n v="2"/>
    <s v="RICKY"/>
    <s v="RICKY"/>
    <s v="DENNIS"/>
    <s v="DENNIS"/>
    <x v="3"/>
    <s v="P203"/>
    <n v="0.91100000000000003"/>
    <n v="0.8"/>
    <n v="24"/>
    <n v="216"/>
    <n v="1.8"/>
    <n v="8500.7232000000004"/>
  </r>
  <r>
    <x v="10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10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5"/>
    <x v="5"/>
    <m/>
    <x v="5"/>
    <x v="5"/>
    <x v="2"/>
    <x v="5"/>
    <n v="5.5"/>
    <n v="22"/>
    <n v="0"/>
    <n v="5153"/>
    <n v="6063"/>
    <n v="20"/>
    <n v="0"/>
    <n v="5525"/>
    <n v="6226"/>
    <n v="4"/>
    <n v="0"/>
    <n v="5542"/>
    <n v="6321"/>
    <n v="16"/>
    <n v="0"/>
    <n v="5311"/>
    <n v="5949"/>
    <n v="4.7058823529411766"/>
    <n v="10.333333333333334"/>
    <n v="1"/>
    <n v="57.612499999999997"/>
    <n v="1.2916666666666667"/>
    <n v="1.2916666666666667"/>
    <x v="0"/>
    <n v="0.5"/>
    <s v="RICKY"/>
    <s v="RICKY"/>
    <s v="DENNIS"/>
    <s v="DENNIS"/>
    <x v="1"/>
    <s v="P204"/>
    <n v="1.1890000000000001"/>
    <n v="1.9"/>
    <n v="24"/>
    <n v="216"/>
    <n v="2.9"/>
    <n v="17874.950400000002"/>
  </r>
  <r>
    <x v="1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0"/>
    <x v="19"/>
    <x v="6"/>
    <s v="K"/>
    <x v="6"/>
    <x v="6"/>
    <x v="1"/>
    <x v="6"/>
    <n v="5.5"/>
    <n v="19"/>
    <n v="4"/>
    <n v="3200"/>
    <s v="L缺料"/>
    <n v="6"/>
    <n v="3"/>
    <n v="3170"/>
    <s v="L缺料"/>
    <n v="4"/>
    <n v="0"/>
    <n v="3120"/>
    <s v="L缺料"/>
    <n v="18"/>
    <n v="4"/>
    <n v="3060"/>
    <s v="L缺料"/>
    <n v="5.0526315789473681"/>
    <n v="31.333333333333332"/>
    <n v="0.98953325320512819"/>
    <n v="31.375"/>
    <n v="3.9166666666666665"/>
    <n v="3"/>
    <x v="1"/>
    <n v="2"/>
    <s v="JP"/>
    <s v="JP"/>
    <s v="NASH"/>
    <s v="NASH"/>
    <x v="1"/>
    <s v="P227"/>
    <n v="1.859"/>
    <n v="2.1"/>
    <n v="24"/>
    <n v="216"/>
    <n v="3.1"/>
    <n v="29874.873599999999"/>
  </r>
  <r>
    <x v="1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0"/>
    <x v="21"/>
    <x v="7"/>
    <s v="K"/>
    <x v="6"/>
    <x v="7"/>
    <x v="3"/>
    <x v="7"/>
    <n v="5.5"/>
    <n v="35"/>
    <n v="4"/>
    <n v="9540"/>
    <s v="L缺料"/>
    <n v="10"/>
    <n v="3"/>
    <n v="9630"/>
    <s v="L缺料"/>
    <n v="5"/>
    <n v="0"/>
    <n v="9630"/>
    <s v="L缺料"/>
    <n v="21"/>
    <n v="2"/>
    <n v="9540"/>
    <s v="L缺料"/>
    <n v="5.8775510204081636"/>
    <n v="23.666666666666668"/>
    <n v="0.99263822115384615"/>
    <n v="95.85"/>
    <n v="2.9583333333333335"/>
    <n v="2.5833333333333335"/>
    <x v="2"/>
    <n v="1"/>
    <s v="BERT"/>
    <s v="BERT"/>
    <s v="WILSON"/>
    <s v="WILSON"/>
    <x v="2"/>
    <s v="P204"/>
    <n v="1.1890000000000001"/>
    <n v="3"/>
    <n v="24"/>
    <n v="216"/>
    <n v="4"/>
    <n v="24655.103999999999"/>
  </r>
  <r>
    <x v="10"/>
    <x v="22"/>
    <x v="8"/>
    <s v="K"/>
    <x v="6"/>
    <x v="6"/>
    <x v="3"/>
    <x v="8"/>
    <n v="5.5"/>
    <n v="66"/>
    <n v="6"/>
    <n v="9540"/>
    <n v="8240"/>
    <n v="30"/>
    <n v="7"/>
    <n v="9440"/>
    <n v="8330"/>
    <n v="28"/>
    <n v="3"/>
    <n v="9350"/>
    <n v="8890"/>
    <n v="87"/>
    <n v="4"/>
    <n v="9430"/>
    <n v="7960"/>
    <n v="5.8775510204081636"/>
    <n v="70.333333333333329"/>
    <n v="0.98364049145299148"/>
    <n v="88.974999999999994"/>
    <n v="8.7916666666666661"/>
    <n v="7.958333333333333"/>
    <x v="2"/>
    <n v="1"/>
    <s v="DENDEN"/>
    <s v="DENDEN"/>
    <s v="WILSON"/>
    <s v="WILSON"/>
    <x v="1"/>
    <s v="P204"/>
    <n v="1.1890000000000001"/>
    <n v="2.9"/>
    <n v="24"/>
    <n v="216"/>
    <n v="3.9"/>
    <n v="24038.7264"/>
  </r>
  <r>
    <x v="10"/>
    <x v="23"/>
    <x v="9"/>
    <s v="K"/>
    <x v="6"/>
    <x v="8"/>
    <x v="1"/>
    <x v="9"/>
    <n v="5.5"/>
    <n v="64"/>
    <n v="4"/>
    <n v="9540"/>
    <n v="9540"/>
    <n v="26"/>
    <n v="4"/>
    <n v="9350"/>
    <n v="9630"/>
    <n v="13"/>
    <n v="0"/>
    <n v="9630"/>
    <n v="9630"/>
    <n v="26"/>
    <n v="0"/>
    <n v="8980"/>
    <n v="9630"/>
    <n v="5.034965034965035"/>
    <n v="43"/>
    <n v="0.99236111111111114"/>
    <n v="94.912499999999994"/>
    <n v="5.375"/>
    <n v="5.041666666666667"/>
    <x v="2"/>
    <n v="1"/>
    <s v="BERT"/>
    <s v="BERT"/>
    <s v="VIN"/>
    <s v="VIN"/>
    <x v="2"/>
    <s v="P204"/>
    <n v="1.1890000000000001"/>
    <n v="2.8"/>
    <n v="24"/>
    <n v="216"/>
    <n v="3.8"/>
    <n v="23422.3488"/>
  </r>
  <r>
    <x v="10"/>
    <x v="24"/>
    <x v="10"/>
    <m/>
    <x v="7"/>
    <x v="9"/>
    <x v="1"/>
    <x v="10"/>
    <n v="4"/>
    <n v="14"/>
    <n v="0"/>
    <n v="9540"/>
    <m/>
    <n v="4"/>
    <n v="0"/>
    <n v="8980"/>
    <m/>
    <n v="11"/>
    <n v="1"/>
    <n v="9540"/>
    <m/>
    <n v="25"/>
    <n v="8"/>
    <n v="9440"/>
    <m/>
    <n v="3.6"/>
    <n v="36"/>
    <n v="0.98798076923076927"/>
    <n v="93.75"/>
    <n v="4.5"/>
    <n v="3.75"/>
    <x v="2"/>
    <n v="2"/>
    <s v="DENDEN"/>
    <s v="DENDEN"/>
    <s v="WILSON"/>
    <s v="WILSON"/>
    <x v="2"/>
    <s v="P203"/>
    <n v="0.91100000000000003"/>
    <n v="1.5"/>
    <n v="24"/>
    <n v="216"/>
    <n v="2.5"/>
    <n v="11806.560000000001"/>
  </r>
  <r>
    <x v="10"/>
    <x v="24"/>
    <x v="11"/>
    <m/>
    <x v="8"/>
    <x v="10"/>
    <x v="2"/>
    <x v="11"/>
    <n v="5.5"/>
    <n v="26"/>
    <n v="0"/>
    <m/>
    <n v="9350"/>
    <n v="16"/>
    <n v="0"/>
    <m/>
    <n v="8890"/>
    <n v="10"/>
    <n v="3"/>
    <n v="9260"/>
    <m/>
    <n v="19"/>
    <n v="4"/>
    <m/>
    <n v="9260"/>
    <n v="6.6055045871559646"/>
    <n v="47.333333333333336"/>
    <n v="0.9949051816239316"/>
    <n v="91.9"/>
    <n v="5.916666666666667"/>
    <n v="5.333333333333333"/>
    <x v="2"/>
    <n v="2"/>
    <s v="DENDEN"/>
    <s v="DENDEN"/>
    <s v="WILSON"/>
    <s v="WILSON"/>
    <x v="3"/>
    <s v="P227"/>
    <n v="1.859"/>
    <n v="3.3"/>
    <n v="24"/>
    <n v="216"/>
    <n v="4.3"/>
    <n v="41439.340799999998"/>
  </r>
  <r>
    <x v="10"/>
    <x v="25"/>
    <x v="12"/>
    <s v="K"/>
    <x v="6"/>
    <x v="7"/>
    <x v="3"/>
    <x v="12"/>
    <n v="5.5"/>
    <n v="14"/>
    <n v="0"/>
    <n v="10000"/>
    <s v="L缺料"/>
    <n v="4"/>
    <n v="1"/>
    <n v="10000"/>
    <s v="L缺料"/>
    <n v="12"/>
    <n v="0"/>
    <n v="10000"/>
    <s v="L缺料"/>
    <n v="24"/>
    <n v="0"/>
    <n v="9910"/>
    <s v="L缺料"/>
    <n v="5.8299595141700413"/>
    <n v="36"/>
    <n v="0.99917534722222223"/>
    <n v="99.775000000000006"/>
    <n v="4.5"/>
    <n v="4.416666666666667"/>
    <x v="2"/>
    <n v="2"/>
    <s v="BERT"/>
    <s v="BERT"/>
    <s v="VIN"/>
    <s v="VIN"/>
    <x v="2"/>
    <s v="P204"/>
    <n v="1.1890000000000001"/>
    <n v="2.8"/>
    <n v="24"/>
    <n v="216"/>
    <n v="3.8"/>
    <n v="23422.3488"/>
  </r>
  <r>
    <x v="10"/>
    <x v="26"/>
    <x v="13"/>
    <s v="K"/>
    <x v="6"/>
    <x v="7"/>
    <x v="3"/>
    <x v="13"/>
    <n v="5.5"/>
    <n v="32"/>
    <n v="6"/>
    <n v="9350"/>
    <n v="8520"/>
    <n v="29"/>
    <n v="0"/>
    <n v="9720"/>
    <n v="9350"/>
    <n v="13"/>
    <n v="0"/>
    <n v="10000"/>
    <n v="9070"/>
    <n v="25"/>
    <n v="0"/>
    <n v="10000"/>
    <n v="9540"/>
    <n v="5.8299595141700413"/>
    <n v="33"/>
    <n v="0.99505208333333328"/>
    <n v="94.4375"/>
    <n v="4.125"/>
    <n v="3.87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10"/>
    <x v="27"/>
    <x v="18"/>
    <m/>
    <x v="12"/>
    <x v="14"/>
    <x v="2"/>
    <x v="17"/>
    <n v="4"/>
    <n v="19"/>
    <n v="0"/>
    <n v="3012"/>
    <m/>
    <n v="1"/>
    <n v="0"/>
    <m/>
    <m/>
    <n v="8"/>
    <n v="0"/>
    <n v="3542"/>
    <m/>
    <n v="2"/>
    <n v="0"/>
    <n v="3523"/>
    <m/>
    <n v="1.6179775280898876"/>
    <n v="120"/>
    <n v="1"/>
    <n v="33.590000000000003"/>
    <n v="15"/>
    <n v="15"/>
    <x v="3"/>
    <n v="12"/>
    <s v="RON"/>
    <s v="RON"/>
    <s v="KIM"/>
    <s v="KIM"/>
    <x v="2"/>
    <s v="P123"/>
    <n v="0.66900000000000004"/>
    <n v="1.6"/>
    <n v="24"/>
    <n v="108"/>
    <n v="2.6"/>
    <n v="4508.5248000000011"/>
  </r>
  <r>
    <x v="10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KIM"/>
    <s v="KIM"/>
    <x v="0"/>
    <s v=""/>
    <s v=""/>
    <s v=""/>
    <n v="24"/>
    <n v="216"/>
    <s v=""/>
    <s v=""/>
  </r>
  <r>
    <x v="1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2"/>
    <x v="15"/>
    <m/>
    <x v="9"/>
    <x v="11"/>
    <x v="4"/>
    <x v="14"/>
    <n v="4"/>
    <n v="14"/>
    <n v="0"/>
    <n v="7921"/>
    <n v="8318"/>
    <m/>
    <m/>
    <s v="了機"/>
    <m/>
    <m/>
    <m/>
    <s v="了機"/>
    <m/>
    <m/>
    <m/>
    <s v="了機"/>
    <m/>
    <n v="2.9937629937629939"/>
    <n v="4.666666666666667"/>
    <n v="1"/>
    <n v="81.194999999999993"/>
    <n v="0.58333333333333337"/>
    <n v="0.58333333333333337"/>
    <x v="0"/>
    <n v="1"/>
    <s v="JB"/>
    <s v="JB"/>
    <s v="JONA"/>
    <s v="JONA"/>
    <x v="1"/>
    <s v="P203"/>
    <n v="0.91100000000000003"/>
    <n v="1.9"/>
    <n v="24"/>
    <n v="216"/>
    <n v="2.9"/>
    <n v="13695.6096"/>
  </r>
  <r>
    <x v="1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4"/>
    <x v="16"/>
    <m/>
    <x v="10"/>
    <x v="12"/>
    <x v="5"/>
    <x v="15"/>
    <n v="5"/>
    <n v="14"/>
    <n v="0"/>
    <n v="8085"/>
    <n v="9064"/>
    <n v="4"/>
    <n v="0"/>
    <n v="8197"/>
    <n v="9251"/>
    <n v="4"/>
    <n v="0"/>
    <n v="8145"/>
    <n v="9238"/>
    <n v="8"/>
    <n v="0"/>
    <n v="7947"/>
    <n v="9136"/>
    <n v="1.5824175824175823"/>
    <n v="10"/>
    <n v="1"/>
    <n v="86.328749999999999"/>
    <n v="1.25"/>
    <n v="1.25"/>
    <x v="0"/>
    <n v="1"/>
    <s v="RICKY"/>
    <s v="RICKY"/>
    <s v="EDISON"/>
    <s v="EDISON"/>
    <x v="2"/>
    <s v="P203"/>
    <n v="0.91100000000000003"/>
    <n v="1.3"/>
    <n v="24"/>
    <n v="216"/>
    <n v="2.2999999999999998"/>
    <n v="10862.035199999998"/>
  </r>
  <r>
    <x v="11"/>
    <x v="5"/>
    <x v="1"/>
    <m/>
    <x v="1"/>
    <x v="1"/>
    <x v="1"/>
    <x v="1"/>
    <n v="5"/>
    <n v="22"/>
    <n v="0"/>
    <n v="9250"/>
    <n v="9571"/>
    <n v="6"/>
    <n v="0"/>
    <n v="9471"/>
    <n v="9609"/>
    <n v="72"/>
    <n v="6"/>
    <n v="9348"/>
    <n v="9608"/>
    <n v="10"/>
    <n v="0"/>
    <n v="9372"/>
    <n v="9577"/>
    <n v="2.8015564202334629"/>
    <n v="18.333333333333332"/>
    <n v="0.98970352564102559"/>
    <n v="94.757499999999993"/>
    <n v="2.2916666666666665"/>
    <n v="2.1666666666666665"/>
    <x v="0"/>
    <n v="0.5"/>
    <s v="RICKY"/>
    <s v="RICKY"/>
    <s v="EDISON"/>
    <s v="EDISON"/>
    <x v="1"/>
    <s v="P203"/>
    <n v="0.91100000000000003"/>
    <n v="1.7"/>
    <n v="24"/>
    <n v="216"/>
    <n v="2.7"/>
    <n v="12751.084800000001"/>
  </r>
  <r>
    <x v="11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7"/>
    <x v="17"/>
    <m/>
    <x v="11"/>
    <x v="13"/>
    <x v="1"/>
    <x v="16"/>
    <n v="4"/>
    <n v="57"/>
    <n v="0"/>
    <n v="7180"/>
    <n v="7848"/>
    <n v="8"/>
    <n v="0"/>
    <n v="7642"/>
    <n v="8056"/>
    <n v="2"/>
    <n v="0"/>
    <n v="7393"/>
    <n v="7979"/>
    <n v="34"/>
    <n v="5"/>
    <n v="7359"/>
    <n v="7886"/>
    <n v="1.7625458996328029"/>
    <n v="33.666666666666664"/>
    <n v="0.98636151175213671"/>
    <n v="76.678749999999994"/>
    <n v="4.208333333333333"/>
    <n v="4"/>
    <x v="0"/>
    <n v="1"/>
    <s v="JB"/>
    <s v="JB"/>
    <s v="JONA"/>
    <s v="JONA"/>
    <x v="1"/>
    <s v="P203"/>
    <n v="0.91100000000000003"/>
    <n v="0.7"/>
    <n v="24"/>
    <n v="216"/>
    <n v="1.7"/>
    <n v="8028.4608000000007"/>
  </r>
  <r>
    <x v="11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9"/>
    <x v="2"/>
    <s v="G"/>
    <x v="2"/>
    <x v="2"/>
    <x v="2"/>
    <x v="2"/>
    <n v="2"/>
    <m/>
    <m/>
    <s v="了機"/>
    <s v="停機"/>
    <m/>
    <m/>
    <s v="了機"/>
    <s v="停機"/>
    <m/>
    <m/>
    <s v="了機"/>
    <s v="停機"/>
    <m/>
    <m/>
    <s v="了機"/>
    <s v="停機"/>
    <n v="2.1686746987951806"/>
    <s v="了機"/>
    <s v=""/>
    <s v=""/>
    <s v=""/>
    <s v=""/>
    <x v="0"/>
    <n v="2"/>
    <s v="RICKY"/>
    <s v="RICKY"/>
    <s v="EDISON"/>
    <s v="EDISON"/>
    <x v="1"/>
    <s v="P203"/>
    <n v="0.91100000000000003"/>
    <n v="0.7"/>
    <n v="24"/>
    <n v="216"/>
    <n v="1.7"/>
    <n v="8028.4608000000007"/>
  </r>
  <r>
    <x v="11"/>
    <x v="10"/>
    <x v="3"/>
    <s v="G"/>
    <x v="3"/>
    <x v="3"/>
    <x v="1"/>
    <x v="3"/>
    <n v="3"/>
    <n v="14"/>
    <n v="0"/>
    <n v="6860"/>
    <m/>
    <n v="1"/>
    <n v="0"/>
    <n v="6918"/>
    <m/>
    <n v="2"/>
    <n v="0"/>
    <n v="6884"/>
    <m/>
    <n v="10"/>
    <n v="0"/>
    <n v="6785"/>
    <m/>
    <n v="2.4"/>
    <n v="18"/>
    <n v="1"/>
    <n v="68.617500000000007"/>
    <n v="2.25"/>
    <n v="2.25"/>
    <x v="0"/>
    <n v="2"/>
    <s v="RICKY"/>
    <s v="RICKY"/>
    <s v="EDISON"/>
    <s v="EDISON"/>
    <x v="1"/>
    <s v="P203"/>
    <n v="0.91100000000000003"/>
    <n v="0.8"/>
    <n v="24"/>
    <n v="216"/>
    <n v="1.8"/>
    <n v="8500.7232000000004"/>
  </r>
  <r>
    <x v="11"/>
    <x v="10"/>
    <x v="19"/>
    <m/>
    <x v="13"/>
    <x v="15"/>
    <x v="2"/>
    <x v="18"/>
    <n v="5"/>
    <n v="9"/>
    <n v="2"/>
    <m/>
    <n v="7668"/>
    <n v="2"/>
    <n v="0"/>
    <m/>
    <n v="7339"/>
    <n v="5"/>
    <n v="3"/>
    <n v="7233"/>
    <m/>
    <n v="2"/>
    <n v="0"/>
    <m/>
    <n v="7289"/>
    <n v="1.3345690454124188"/>
    <n v="12"/>
    <n v="0.98198784722222221"/>
    <n v="73.822500000000005"/>
    <n v="1.5"/>
    <n v="1.0833333333333333"/>
    <x v="0"/>
    <n v="2"/>
    <s v="RICKY"/>
    <s v="RICKY"/>
    <s v="EDISON"/>
    <s v="EDISON"/>
    <x v="3"/>
    <s v="P203"/>
    <n v="0.91100000000000003"/>
    <n v="0.8"/>
    <n v="24"/>
    <n v="216"/>
    <n v="1.8"/>
    <n v="8500.7232000000004"/>
  </r>
  <r>
    <x v="11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11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5"/>
    <x v="5"/>
    <m/>
    <x v="5"/>
    <x v="5"/>
    <x v="2"/>
    <x v="5"/>
    <n v="5.5"/>
    <n v="22"/>
    <n v="0"/>
    <n v="5080"/>
    <n v="6176"/>
    <n v="16"/>
    <n v="0"/>
    <n v="5371"/>
    <n v="6010"/>
    <n v="16"/>
    <n v="0"/>
    <n v="5320"/>
    <n v="5952"/>
    <n v="14"/>
    <n v="2"/>
    <n v="5369"/>
    <n v="5881"/>
    <n v="4.7058823529411766"/>
    <n v="11.333333333333334"/>
    <n v="0.99795673076923075"/>
    <n v="56.448749999999997"/>
    <n v="1.4166666666666667"/>
    <n v="1.375"/>
    <x v="0"/>
    <n v="0.5"/>
    <s v="RICKY"/>
    <s v="RICKY"/>
    <s v="EDISON"/>
    <s v="EDISON"/>
    <x v="1"/>
    <s v="P204"/>
    <n v="1.1890000000000001"/>
    <n v="1.9"/>
    <n v="24"/>
    <n v="216"/>
    <n v="2.9"/>
    <n v="17874.950400000002"/>
  </r>
  <r>
    <x v="1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1"/>
    <x v="19"/>
    <x v="6"/>
    <s v="K"/>
    <x v="6"/>
    <x v="6"/>
    <x v="1"/>
    <x v="6"/>
    <n v="5.5"/>
    <n v="22"/>
    <n v="6"/>
    <m/>
    <s v="L缺料"/>
    <n v="12"/>
    <n v="0"/>
    <n v="3190"/>
    <s v="L缺料"/>
    <n v="7"/>
    <n v="2"/>
    <n v="3200"/>
    <s v="L缺料"/>
    <n v="10"/>
    <n v="3"/>
    <n v="3040"/>
    <s v="L缺料"/>
    <n v="5.0526315789473681"/>
    <n v="34"/>
    <n v="0.98953325320512819"/>
    <n v="31.433333333333334"/>
    <n v="4.25"/>
    <n v="3.3333333333333335"/>
    <x v="1"/>
    <n v="2"/>
    <s v="JP"/>
    <s v="JP"/>
    <s v="NASH"/>
    <s v="NASH"/>
    <x v="1"/>
    <s v="P227"/>
    <n v="1.859"/>
    <n v="2.1"/>
    <n v="24"/>
    <n v="216"/>
    <n v="3.1"/>
    <n v="29874.873599999999"/>
  </r>
  <r>
    <x v="1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1"/>
    <x v="21"/>
    <x v="7"/>
    <s v="K"/>
    <x v="6"/>
    <x v="7"/>
    <x v="3"/>
    <x v="7"/>
    <n v="5.5"/>
    <n v="24"/>
    <n v="0"/>
    <n v="9550"/>
    <s v="L缺料"/>
    <n v="9"/>
    <n v="0"/>
    <n v="9440"/>
    <s v="L缺料"/>
    <n v="8"/>
    <n v="1"/>
    <n v="9260"/>
    <s v="L缺料"/>
    <n v="21"/>
    <n v="1"/>
    <n v="8240"/>
    <s v="L缺料"/>
    <n v="5.8775510204081636"/>
    <n v="20.666666666666668"/>
    <n v="0.99836404914529919"/>
    <n v="91.224999999999994"/>
    <n v="2.5833333333333335"/>
    <n v="2.5"/>
    <x v="2"/>
    <n v="1"/>
    <s v="JHO"/>
    <s v="BERT"/>
    <s v="WILSON"/>
    <s v="WILSON"/>
    <x v="2"/>
    <s v="P204"/>
    <n v="1.1890000000000001"/>
    <n v="3"/>
    <n v="24"/>
    <n v="216"/>
    <n v="4"/>
    <n v="24655.103999999999"/>
  </r>
  <r>
    <x v="11"/>
    <x v="22"/>
    <x v="8"/>
    <s v="K"/>
    <x v="6"/>
    <x v="6"/>
    <x v="3"/>
    <x v="8"/>
    <n v="5.5"/>
    <n v="82"/>
    <n v="15"/>
    <n v="8800"/>
    <n v="8800"/>
    <n v="42"/>
    <n v="13"/>
    <n v="9170"/>
    <n v="7780"/>
    <n v="56"/>
    <n v="1"/>
    <n v="9260"/>
    <n v="8700"/>
    <n v="42"/>
    <n v="0"/>
    <n v="8610"/>
    <n v="5090"/>
    <n v="5.8775510204081636"/>
    <n v="74"/>
    <n v="0.97627871260683763"/>
    <n v="82.762500000000003"/>
    <n v="9.25"/>
    <n v="8.0416666666666661"/>
    <x v="2"/>
    <n v="1"/>
    <s v="JHO"/>
    <s v="BERT"/>
    <s v="WILSON"/>
    <s v="WILSON"/>
    <x v="1"/>
    <s v="P204"/>
    <n v="1.1890000000000001"/>
    <n v="2.9"/>
    <n v="24"/>
    <n v="216"/>
    <n v="3.9"/>
    <n v="24038.7264"/>
  </r>
  <r>
    <x v="11"/>
    <x v="23"/>
    <x v="9"/>
    <s v="K"/>
    <x v="6"/>
    <x v="8"/>
    <x v="1"/>
    <x v="9"/>
    <n v="5.5"/>
    <n v="40"/>
    <n v="12"/>
    <n v="9720"/>
    <n v="9720"/>
    <n v="15"/>
    <n v="0"/>
    <n v="9630"/>
    <n v="9720"/>
    <n v="9"/>
    <n v="0"/>
    <n v="9170"/>
    <n v="9720"/>
    <n v="35"/>
    <n v="0"/>
    <n v="9260"/>
    <n v="9260"/>
    <n v="5.034965034965035"/>
    <n v="33"/>
    <n v="0.98854166666666665"/>
    <n v="95.25"/>
    <n v="4.125"/>
    <n v="3.62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11"/>
    <x v="24"/>
    <x v="10"/>
    <m/>
    <x v="7"/>
    <x v="9"/>
    <x v="1"/>
    <x v="10"/>
    <n v="4"/>
    <n v="17"/>
    <n v="4"/>
    <n v="9540"/>
    <m/>
    <n v="5"/>
    <n v="3"/>
    <n v="9440"/>
    <m/>
    <n v="6"/>
    <n v="4"/>
    <n v="9440"/>
    <m/>
    <n v="7"/>
    <n v="0"/>
    <n v="8520"/>
    <m/>
    <n v="3.6"/>
    <n v="23.333333333333332"/>
    <n v="0.98530982905982911"/>
    <n v="92.35"/>
    <n v="2.9166666666666665"/>
    <n v="2"/>
    <x v="2"/>
    <n v="2"/>
    <s v="DENDEN"/>
    <s v="DENDEN"/>
    <s v="WILSON"/>
    <s v="WILSON"/>
    <x v="2"/>
    <s v="P203"/>
    <n v="0.91100000000000003"/>
    <n v="1.5"/>
    <n v="24"/>
    <n v="216"/>
    <n v="2.5"/>
    <n v="11806.560000000001"/>
  </r>
  <r>
    <x v="11"/>
    <x v="24"/>
    <x v="11"/>
    <m/>
    <x v="8"/>
    <x v="10"/>
    <x v="2"/>
    <x v="11"/>
    <n v="5.5"/>
    <n v="25"/>
    <n v="1"/>
    <m/>
    <n v="9720"/>
    <n v="8"/>
    <n v="4"/>
    <m/>
    <n v="9630"/>
    <n v="5"/>
    <n v="1"/>
    <n v="9540"/>
    <m/>
    <n v="23"/>
    <n v="0"/>
    <n v="8800"/>
    <m/>
    <n v="6.6055045871559646"/>
    <n v="40.666666666666664"/>
    <n v="0.99563301282051286"/>
    <n v="94.224999999999994"/>
    <n v="5.083333333333333"/>
    <n v="4.583333333333333"/>
    <x v="2"/>
    <n v="2"/>
    <s v="DENDEN"/>
    <s v="DENDEN"/>
    <s v="WILSON"/>
    <s v="WILSON"/>
    <x v="3"/>
    <s v="P227"/>
    <n v="1.859"/>
    <n v="3.3"/>
    <n v="24"/>
    <n v="216"/>
    <n v="4.3"/>
    <n v="41439.340799999998"/>
  </r>
  <r>
    <x v="11"/>
    <x v="25"/>
    <x v="12"/>
    <s v="K"/>
    <x v="6"/>
    <x v="7"/>
    <x v="3"/>
    <x v="12"/>
    <n v="5.5"/>
    <n v="23"/>
    <n v="0"/>
    <n v="9170"/>
    <s v="L缺料"/>
    <n v="15"/>
    <n v="0"/>
    <n v="9720"/>
    <s v="L缺料"/>
    <n v="13"/>
    <n v="0"/>
    <n v="9910"/>
    <s v="L缺料"/>
    <n v="10"/>
    <n v="0"/>
    <n v="9910"/>
    <s v="L缺料"/>
    <n v="5.8299595141700413"/>
    <n v="40.666666666666664"/>
    <n v="1"/>
    <n v="96.775000000000006"/>
    <n v="5.083333333333333"/>
    <n v="5.083333333333333"/>
    <x v="2"/>
    <n v="2"/>
    <s v="JHO"/>
    <s v="BERT"/>
    <s v="VIN"/>
    <s v="VIN"/>
    <x v="2"/>
    <s v="P204"/>
    <n v="1.1890000000000001"/>
    <n v="2.8"/>
    <n v="24"/>
    <n v="216"/>
    <n v="3.8"/>
    <n v="23422.3488"/>
  </r>
  <r>
    <x v="11"/>
    <x v="26"/>
    <x v="13"/>
    <s v="K"/>
    <x v="6"/>
    <x v="7"/>
    <x v="3"/>
    <x v="13"/>
    <n v="5.5"/>
    <n v="24"/>
    <n v="2"/>
    <n v="10000"/>
    <n v="9630"/>
    <n v="7"/>
    <n v="1"/>
    <n v="10000"/>
    <n v="9630"/>
    <n v="12"/>
    <n v="0"/>
    <n v="10000"/>
    <n v="9640"/>
    <n v="27"/>
    <n v="0"/>
    <n v="10000"/>
    <n v="9720"/>
    <n v="5.8299595141700413"/>
    <n v="23.333333333333332"/>
    <n v="0.9975260416666667"/>
    <n v="98.275000000000006"/>
    <n v="2.9166666666666665"/>
    <n v="2.791666666666666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11"/>
    <x v="27"/>
    <x v="18"/>
    <m/>
    <x v="12"/>
    <x v="14"/>
    <x v="2"/>
    <x v="17"/>
    <n v="4"/>
    <n v="21"/>
    <n v="0"/>
    <n v="3525"/>
    <m/>
    <n v="5"/>
    <n v="0"/>
    <n v="3285"/>
    <m/>
    <n v="5"/>
    <n v="3"/>
    <n v="3321"/>
    <m/>
    <n v="7"/>
    <n v="3"/>
    <n v="3136"/>
    <m/>
    <n v="1.6179775280898876"/>
    <n v="152"/>
    <n v="0.98217147435897434"/>
    <n v="33.167499999999997"/>
    <n v="19"/>
    <n v="16"/>
    <x v="3"/>
    <n v="12"/>
    <s v="JP"/>
    <s v="JP"/>
    <s v="NASH"/>
    <s v="NASH"/>
    <x v="2"/>
    <s v="P123"/>
    <n v="0.66900000000000004"/>
    <n v="1.6"/>
    <n v="24"/>
    <n v="108"/>
    <n v="2.6"/>
    <n v="4508.5248000000011"/>
  </r>
  <r>
    <x v="11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P"/>
    <s v="JP"/>
    <s v="NASH"/>
    <s v="NASH"/>
    <x v="0"/>
    <s v=""/>
    <s v=""/>
    <s v=""/>
    <n v="24"/>
    <n v="216"/>
    <s v=""/>
    <s v=""/>
  </r>
  <r>
    <x v="1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2"/>
    <x v="15"/>
    <m/>
    <x v="9"/>
    <x v="11"/>
    <x v="4"/>
    <x v="14"/>
    <n v="4"/>
    <m/>
    <m/>
    <s v="了機"/>
    <m/>
    <m/>
    <m/>
    <s v="了機"/>
    <m/>
    <m/>
    <m/>
    <s v="了機"/>
    <m/>
    <m/>
    <m/>
    <s v="了機"/>
    <m/>
    <n v="2.9937629937629939"/>
    <s v="了機"/>
    <s v=""/>
    <s v=""/>
    <s v=""/>
    <s v=""/>
    <x v="0"/>
    <n v="1"/>
    <s v="JB"/>
    <s v="JB"/>
    <s v="NASH"/>
    <s v="NASH"/>
    <x v="1"/>
    <s v="P203"/>
    <n v="0.91100000000000003"/>
    <n v="1.9"/>
    <n v="24"/>
    <n v="216"/>
    <n v="2.9"/>
    <n v="13695.6096"/>
  </r>
  <r>
    <x v="1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4"/>
    <x v="16"/>
    <m/>
    <x v="10"/>
    <x v="12"/>
    <x v="5"/>
    <x v="15"/>
    <n v="5"/>
    <n v="10"/>
    <n v="0"/>
    <n v="7961"/>
    <n v="9203"/>
    <n v="21"/>
    <n v="0"/>
    <n v="8023"/>
    <n v="9273"/>
    <n v="9"/>
    <n v="0"/>
    <n v="8088"/>
    <n v="9131"/>
    <n v="10"/>
    <n v="0"/>
    <n v="8106"/>
    <n v="9060"/>
    <n v="1.5824175824175823"/>
    <n v="16.666666666666668"/>
    <n v="1"/>
    <n v="86.056250000000006"/>
    <n v="2.0833333333333335"/>
    <n v="2.0833333333333335"/>
    <x v="0"/>
    <n v="1"/>
    <s v="RICKY"/>
    <s v="RICKY"/>
    <s v="EDISON"/>
    <s v="EDISON"/>
    <x v="2"/>
    <s v="P203"/>
    <n v="0.91100000000000003"/>
    <n v="1.3"/>
    <n v="24"/>
    <n v="216"/>
    <n v="2.2999999999999998"/>
    <n v="10862.035199999998"/>
  </r>
  <r>
    <x v="12"/>
    <x v="5"/>
    <x v="1"/>
    <m/>
    <x v="1"/>
    <x v="1"/>
    <x v="1"/>
    <x v="1"/>
    <n v="5"/>
    <n v="8"/>
    <n v="0"/>
    <n v="9385"/>
    <n v="9572"/>
    <n v="8"/>
    <n v="0"/>
    <n v="9293"/>
    <n v="9616"/>
    <n v="2"/>
    <n v="0"/>
    <n v="9340"/>
    <n v="9624"/>
    <n v="8"/>
    <n v="2"/>
    <n v="9423"/>
    <n v="9547"/>
    <n v="2.8015564202334629"/>
    <n v="4.333333333333333"/>
    <n v="0.99656784188034186"/>
    <n v="94.75"/>
    <n v="0.54166666666666663"/>
    <n v="0.5"/>
    <x v="0"/>
    <n v="0.5"/>
    <s v="RICKY"/>
    <s v="RICKY"/>
    <s v="EDISON"/>
    <s v="EDISON"/>
    <x v="1"/>
    <s v="P203"/>
    <n v="0.91100000000000003"/>
    <n v="1.7"/>
    <n v="24"/>
    <n v="216"/>
    <n v="2.7"/>
    <n v="12751.084800000001"/>
  </r>
  <r>
    <x v="12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7"/>
    <x v="17"/>
    <m/>
    <x v="11"/>
    <x v="13"/>
    <x v="1"/>
    <x v="16"/>
    <n v="4"/>
    <n v="50"/>
    <n v="0"/>
    <n v="8289"/>
    <n v="8689"/>
    <n v="20"/>
    <n v="0"/>
    <n v="8646"/>
    <n v="8920"/>
    <n v="17"/>
    <n v="1"/>
    <n v="8822"/>
    <n v="9110"/>
    <n v="18"/>
    <n v="1"/>
    <n v="8877"/>
    <n v="9306"/>
    <n v="1.7625458996328029"/>
    <n v="35"/>
    <n v="0.99454460470085471"/>
    <n v="88.323750000000004"/>
    <n v="4.375"/>
    <n v="4.291666666666667"/>
    <x v="0"/>
    <n v="1"/>
    <s v="JB"/>
    <s v="JB"/>
    <s v="NASH"/>
    <s v="NASH"/>
    <x v="1"/>
    <s v="P203"/>
    <n v="0.91100000000000003"/>
    <n v="0.7"/>
    <n v="24"/>
    <n v="216"/>
    <n v="1.7"/>
    <n v="8028.4608000000007"/>
  </r>
  <r>
    <x v="12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9"/>
    <x v="2"/>
    <s v="G"/>
    <x v="2"/>
    <x v="2"/>
    <x v="2"/>
    <x v="2"/>
    <n v="2"/>
    <m/>
    <m/>
    <s v="了機"/>
    <s v="停機"/>
    <m/>
    <m/>
    <s v="了機"/>
    <s v="停機"/>
    <m/>
    <m/>
    <s v="了機"/>
    <s v="停機"/>
    <m/>
    <m/>
    <s v="了機"/>
    <s v="停機"/>
    <n v="2.1686746987951806"/>
    <s v="了機"/>
    <s v=""/>
    <s v=""/>
    <s v=""/>
    <s v=""/>
    <x v="0"/>
    <n v="2"/>
    <s v="RICKY"/>
    <s v="RICKY"/>
    <s v="EDISON"/>
    <s v="EDISON"/>
    <x v="1"/>
    <s v="P203"/>
    <n v="0.91100000000000003"/>
    <n v="0.7"/>
    <n v="24"/>
    <n v="216"/>
    <n v="1.7"/>
    <n v="8028.4608000000007"/>
  </r>
  <r>
    <x v="12"/>
    <x v="10"/>
    <x v="3"/>
    <s v="G"/>
    <x v="3"/>
    <x v="3"/>
    <x v="1"/>
    <x v="3"/>
    <n v="3"/>
    <n v="5"/>
    <n v="0"/>
    <n v="6976"/>
    <m/>
    <n v="3"/>
    <n v="0"/>
    <n v="6957"/>
    <m/>
    <n v="0"/>
    <n v="0"/>
    <n v="6850"/>
    <m/>
    <n v="4"/>
    <n v="0"/>
    <n v="6747"/>
    <m/>
    <n v="2.4"/>
    <n v="8"/>
    <n v="1"/>
    <n v="68.825000000000003"/>
    <n v="1"/>
    <n v="1"/>
    <x v="0"/>
    <n v="2"/>
    <s v="RICKY"/>
    <s v="RICKY"/>
    <s v="EDISON"/>
    <s v="EDISON"/>
    <x v="1"/>
    <s v="P203"/>
    <n v="0.91100000000000003"/>
    <n v="0.8"/>
    <n v="24"/>
    <n v="216"/>
    <n v="1.8"/>
    <n v="8500.7232000000004"/>
  </r>
  <r>
    <x v="12"/>
    <x v="10"/>
    <x v="19"/>
    <m/>
    <x v="13"/>
    <x v="15"/>
    <x v="2"/>
    <x v="18"/>
    <n v="5"/>
    <n v="8"/>
    <n v="0"/>
    <m/>
    <n v="7202"/>
    <n v="4"/>
    <n v="0"/>
    <m/>
    <n v="7011"/>
    <n v="3"/>
    <n v="0"/>
    <n v="7009"/>
    <m/>
    <n v="16"/>
    <n v="0"/>
    <m/>
    <n v="7085"/>
    <n v="1.3345690454124188"/>
    <n v="20.666666666666668"/>
    <n v="1"/>
    <n v="70.767499999999998"/>
    <n v="2.5833333333333335"/>
    <n v="2.5833333333333335"/>
    <x v="0"/>
    <n v="2"/>
    <s v="RICKY"/>
    <s v="RICKY"/>
    <s v="EDISON"/>
    <s v="EDISON"/>
    <x v="3"/>
    <s v="P203"/>
    <n v="0.91100000000000003"/>
    <n v="0.8"/>
    <n v="24"/>
    <n v="216"/>
    <n v="1.8"/>
    <n v="8500.7232000000004"/>
  </r>
  <r>
    <x v="12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12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5"/>
    <x v="5"/>
    <m/>
    <x v="5"/>
    <x v="5"/>
    <x v="2"/>
    <x v="5"/>
    <n v="5.5"/>
    <n v="16"/>
    <n v="0"/>
    <n v="5256"/>
    <n v="5871"/>
    <n v="14"/>
    <n v="0"/>
    <n v="5506"/>
    <n v="5606"/>
    <m/>
    <m/>
    <s v="FINAL"/>
    <m/>
    <m/>
    <m/>
    <s v="停機"/>
    <m/>
    <n v="4.7058823529411766"/>
    <n v="5"/>
    <n v="1"/>
    <n v="55.597499999999997"/>
    <n v="0.625"/>
    <n v="0.625"/>
    <x v="0"/>
    <n v="0.5"/>
    <s v="RICKY"/>
    <s v="RICKY"/>
    <s v="EDISON"/>
    <s v="EDISON"/>
    <x v="1"/>
    <s v="P204"/>
    <n v="1.1890000000000001"/>
    <n v="1.9"/>
    <n v="24"/>
    <n v="216"/>
    <n v="2.9"/>
    <n v="17874.950400000002"/>
  </r>
  <r>
    <x v="1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2"/>
    <x v="19"/>
    <x v="6"/>
    <s v="K"/>
    <x v="6"/>
    <x v="6"/>
    <x v="1"/>
    <x v="6"/>
    <n v="5.5"/>
    <n v="22"/>
    <n v="0"/>
    <n v="3140"/>
    <s v="L缺料"/>
    <m/>
    <m/>
    <s v="了機"/>
    <m/>
    <m/>
    <m/>
    <s v="FINAL"/>
    <m/>
    <m/>
    <m/>
    <s v="停機"/>
    <m/>
    <n v="5.0526315789473681"/>
    <n v="14.666666666666666"/>
    <n v="1"/>
    <n v="31.4"/>
    <n v="1.8333333333333333"/>
    <n v="1.8333333333333333"/>
    <x v="1"/>
    <n v="2"/>
    <s v="JP"/>
    <s v="JP"/>
    <s v="NASH"/>
    <s v="NASH"/>
    <x v="1"/>
    <s v="P227"/>
    <n v="1.859"/>
    <n v="2.1"/>
    <n v="24"/>
    <n v="216"/>
    <n v="3.1"/>
    <n v="29874.873599999999"/>
  </r>
  <r>
    <x v="1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2"/>
    <x v="21"/>
    <x v="7"/>
    <s v="K"/>
    <x v="6"/>
    <x v="7"/>
    <x v="3"/>
    <x v="7"/>
    <n v="5.5"/>
    <n v="21"/>
    <n v="0"/>
    <n v="8800"/>
    <s v="L缺料"/>
    <n v="12"/>
    <n v="0"/>
    <n v="9260"/>
    <s v="L缺料"/>
    <n v="6"/>
    <n v="0"/>
    <n v="9540"/>
    <s v="L缺料"/>
    <n v="19"/>
    <n v="2"/>
    <n v="9540"/>
    <s v="L缺料"/>
    <n v="5.8775510204081636"/>
    <n v="19.333333333333332"/>
    <n v="0.99836404914529919"/>
    <n v="92.85"/>
    <n v="2.4166666666666665"/>
    <n v="2.3333333333333335"/>
    <x v="2"/>
    <n v="1"/>
    <s v="JHO"/>
    <s v="JHO"/>
    <s v="MAMAY"/>
    <s v="MAMAY"/>
    <x v="2"/>
    <s v="P204"/>
    <n v="1.1890000000000001"/>
    <n v="3"/>
    <n v="24"/>
    <n v="216"/>
    <n v="4"/>
    <n v="24655.103999999999"/>
  </r>
  <r>
    <x v="12"/>
    <x v="22"/>
    <x v="8"/>
    <s v="K"/>
    <x v="6"/>
    <x v="6"/>
    <x v="3"/>
    <x v="8"/>
    <n v="5.5"/>
    <n v="91"/>
    <n v="10"/>
    <n v="7220"/>
    <n v="8380"/>
    <n v="44"/>
    <n v="0"/>
    <n v="8150"/>
    <n v="6110"/>
    <n v="63"/>
    <n v="3"/>
    <n v="8520"/>
    <n v="8150"/>
    <n v="85"/>
    <n v="6"/>
    <n v="8060"/>
    <n v="8520"/>
    <n v="5.8775510204081636"/>
    <n v="94.333333333333329"/>
    <n v="0.98445846688034189"/>
    <n v="78.887500000000003"/>
    <n v="11.791666666666666"/>
    <n v="11"/>
    <x v="2"/>
    <n v="1"/>
    <s v="JHO"/>
    <s v="JHO"/>
    <s v="MAMAY"/>
    <s v="MAMAY"/>
    <x v="1"/>
    <s v="P204"/>
    <n v="1.1890000000000001"/>
    <n v="2.9"/>
    <n v="24"/>
    <n v="216"/>
    <n v="3.9"/>
    <n v="24038.7264"/>
  </r>
  <r>
    <x v="12"/>
    <x v="23"/>
    <x v="9"/>
    <s v="K"/>
    <x v="6"/>
    <x v="8"/>
    <x v="1"/>
    <x v="9"/>
    <n v="5.5"/>
    <n v="49"/>
    <n v="3"/>
    <n v="9350"/>
    <n v="9720"/>
    <n v="16"/>
    <n v="0"/>
    <n v="9440"/>
    <n v="9440"/>
    <n v="20"/>
    <n v="1"/>
    <n v="9540"/>
    <n v="9810"/>
    <n v="13"/>
    <n v="2"/>
    <n v="9440"/>
    <n v="9810"/>
    <n v="5.034965034965035"/>
    <n v="32.666666666666664"/>
    <n v="0.99427083333333333"/>
    <n v="95.6875"/>
    <n v="4.083333333333333"/>
    <n v="3.8333333333333335"/>
    <x v="2"/>
    <n v="1"/>
    <s v="DENDEN"/>
    <s v="DENDEN"/>
    <s v="WILSON"/>
    <s v="WILSON"/>
    <x v="2"/>
    <s v="P204"/>
    <n v="1.1890000000000001"/>
    <n v="2.8"/>
    <n v="24"/>
    <n v="216"/>
    <n v="3.8"/>
    <n v="23422.3488"/>
  </r>
  <r>
    <x v="12"/>
    <x v="24"/>
    <x v="10"/>
    <m/>
    <x v="7"/>
    <x v="9"/>
    <x v="1"/>
    <x v="10"/>
    <n v="4"/>
    <n v="27"/>
    <n v="12"/>
    <n v="9260"/>
    <m/>
    <n v="10"/>
    <n v="0"/>
    <n v="9840"/>
    <m/>
    <n v="4"/>
    <n v="1"/>
    <n v="9630"/>
    <m/>
    <n v="13"/>
    <n v="4"/>
    <n v="9630"/>
    <m/>
    <n v="3.6"/>
    <n v="36"/>
    <n v="0.97729700854700852"/>
    <n v="95.9"/>
    <n v="4.5"/>
    <n v="3.0833333333333335"/>
    <x v="2"/>
    <n v="2"/>
    <s v="DENDEN"/>
    <s v="DENDEN"/>
    <s v="MAMAY"/>
    <s v="MAMAY"/>
    <x v="2"/>
    <s v="P203"/>
    <n v="0.91100000000000003"/>
    <n v="1.5"/>
    <n v="24"/>
    <n v="216"/>
    <n v="2.5"/>
    <n v="11806.560000000001"/>
  </r>
  <r>
    <x v="12"/>
    <x v="24"/>
    <x v="11"/>
    <m/>
    <x v="8"/>
    <x v="10"/>
    <x v="2"/>
    <x v="11"/>
    <n v="5.5"/>
    <n v="24"/>
    <n v="5"/>
    <m/>
    <n v="9540"/>
    <n v="6"/>
    <n v="3"/>
    <m/>
    <n v="8610"/>
    <n v="9"/>
    <n v="8"/>
    <m/>
    <n v="9440"/>
    <n v="15"/>
    <n v="6"/>
    <m/>
    <n v="9350"/>
    <n v="6.6055045871559646"/>
    <n v="36"/>
    <n v="0.98398771367521365"/>
    <n v="92.35"/>
    <n v="4.5"/>
    <n v="2.6666666666666665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12"/>
    <x v="25"/>
    <x v="12"/>
    <s v="K"/>
    <x v="6"/>
    <x v="7"/>
    <x v="3"/>
    <x v="12"/>
    <n v="5.5"/>
    <n v="14"/>
    <n v="0"/>
    <n v="10000"/>
    <s v="L缺料"/>
    <n v="38"/>
    <n v="0"/>
    <n v="8520"/>
    <s v="L缺料"/>
    <n v="22"/>
    <n v="1"/>
    <n v="9720"/>
    <s v="L缺料"/>
    <n v="12"/>
    <n v="1"/>
    <n v="9910"/>
    <s v="L缺料"/>
    <n v="5.8299595141700413"/>
    <n v="57.333333333333336"/>
    <n v="0.99835069444444446"/>
    <n v="95.375"/>
    <n v="7.166666666666667"/>
    <n v="7"/>
    <x v="2"/>
    <n v="2"/>
    <s v="JHO"/>
    <s v="JHO"/>
    <s v="WILSON"/>
    <s v="WILSON"/>
    <x v="2"/>
    <s v="P204"/>
    <n v="1.1890000000000001"/>
    <n v="2.8"/>
    <n v="24"/>
    <n v="216"/>
    <n v="3.8"/>
    <n v="23422.3488"/>
  </r>
  <r>
    <x v="12"/>
    <x v="26"/>
    <x v="13"/>
    <s v="K"/>
    <x v="6"/>
    <x v="7"/>
    <x v="3"/>
    <x v="13"/>
    <n v="5.5"/>
    <n v="39"/>
    <n v="3"/>
    <n v="10000"/>
    <n v="9540"/>
    <n v="20"/>
    <n v="0"/>
    <n v="10000"/>
    <n v="9540"/>
    <n v="0"/>
    <n v="0"/>
    <n v="9630"/>
    <n v="9540"/>
    <n v="29"/>
    <n v="5"/>
    <n v="9910"/>
    <n v="9440"/>
    <n v="5.8299595141700413"/>
    <n v="29.333333333333332"/>
    <n v="0.99340277777777775"/>
    <n v="97"/>
    <n v="3.6666666666666665"/>
    <n v="3.3333333333333335"/>
    <x v="2"/>
    <n v="1"/>
    <s v="DENDEN"/>
    <s v="DENDEN"/>
    <s v="WILSON"/>
    <s v="WILSON"/>
    <x v="2"/>
    <s v="P204"/>
    <n v="1.1890000000000001"/>
    <n v="2.8"/>
    <n v="24"/>
    <n v="216"/>
    <n v="3.8"/>
    <n v="23422.3488"/>
  </r>
  <r>
    <x v="12"/>
    <x v="27"/>
    <x v="18"/>
    <m/>
    <x v="12"/>
    <x v="14"/>
    <x v="2"/>
    <x v="17"/>
    <n v="4"/>
    <n v="13"/>
    <n v="0"/>
    <n v="3076"/>
    <m/>
    <n v="3"/>
    <n v="0"/>
    <n v="3298"/>
    <m/>
    <n v="7"/>
    <n v="0"/>
    <n v="3262"/>
    <m/>
    <n v="7"/>
    <n v="0"/>
    <n v="3161"/>
    <m/>
    <n v="1.6179775280898876"/>
    <n v="90"/>
    <n v="1"/>
    <n v="31.9925"/>
    <n v="11.25"/>
    <n v="11.25"/>
    <x v="3"/>
    <n v="9"/>
    <s v="JP"/>
    <s v="JP"/>
    <s v="KIM"/>
    <s v="KIM"/>
    <x v="2"/>
    <s v="P123"/>
    <n v="0.66900000000000004"/>
    <n v="1.6"/>
    <n v="24"/>
    <n v="108"/>
    <n v="2.6"/>
    <n v="4508.5248000000011"/>
  </r>
  <r>
    <x v="12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P"/>
    <s v="JP"/>
    <s v="KIM"/>
    <s v="KIM"/>
    <x v="0"/>
    <s v=""/>
    <s v=""/>
    <s v=""/>
    <n v="24"/>
    <n v="216"/>
    <s v=""/>
    <s v=""/>
  </r>
  <r>
    <x v="1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2"/>
    <x v="15"/>
    <m/>
    <x v="9"/>
    <x v="11"/>
    <x v="4"/>
    <x v="14"/>
    <n v="4"/>
    <m/>
    <m/>
    <s v="了機"/>
    <m/>
    <m/>
    <m/>
    <s v="了機"/>
    <m/>
    <m/>
    <m/>
    <s v="了機"/>
    <m/>
    <m/>
    <m/>
    <s v="了機"/>
    <m/>
    <n v="2.9937629937629939"/>
    <s v="了機"/>
    <s v=""/>
    <s v=""/>
    <s v=""/>
    <s v=""/>
    <x v="0"/>
    <n v="1"/>
    <s v="JUNJUN"/>
    <s v="JUNJUN"/>
    <s v="JONA"/>
    <s v="JONA"/>
    <x v="1"/>
    <s v="P203"/>
    <n v="0.91100000000000003"/>
    <n v="1.9"/>
    <n v="24"/>
    <n v="216"/>
    <n v="2.9"/>
    <n v="13695.6096"/>
  </r>
  <r>
    <x v="1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4"/>
    <x v="16"/>
    <m/>
    <x v="10"/>
    <x v="12"/>
    <x v="5"/>
    <x v="15"/>
    <n v="5"/>
    <n v="16"/>
    <n v="0"/>
    <s v="了機"/>
    <n v="9080"/>
    <m/>
    <m/>
    <s v="了機"/>
    <m/>
    <m/>
    <m/>
    <s v="了機"/>
    <m/>
    <n v="10"/>
    <n v="4"/>
    <n v="8021"/>
    <n v="9039"/>
    <n v="1.5824175824175823"/>
    <s v="了機"/>
    <n v="0.98784722222222221"/>
    <s v=""/>
    <s v=""/>
    <s v=""/>
    <x v="0"/>
    <n v="1"/>
    <s v="RICKY"/>
    <s v="RICKY"/>
    <s v="CHALS"/>
    <s v="CHALS"/>
    <x v="2"/>
    <s v="P203"/>
    <n v="0.91100000000000003"/>
    <n v="1.3"/>
    <n v="24"/>
    <n v="216"/>
    <n v="2.2999999999999998"/>
    <n v="10862.035199999998"/>
  </r>
  <r>
    <x v="13"/>
    <x v="5"/>
    <x v="1"/>
    <m/>
    <x v="1"/>
    <x v="1"/>
    <x v="1"/>
    <x v="1"/>
    <n v="5"/>
    <n v="22"/>
    <n v="0"/>
    <n v="9329"/>
    <n v="9523"/>
    <n v="2"/>
    <n v="0"/>
    <n v="9334"/>
    <n v="9630"/>
    <n v="20"/>
    <n v="0"/>
    <n v="9421"/>
    <n v="9569"/>
    <n v="26"/>
    <n v="1"/>
    <n v="9332"/>
    <n v="9558"/>
    <n v="2.8015564202334629"/>
    <n v="11.666666666666666"/>
    <n v="0.99828392094017093"/>
    <n v="94.62"/>
    <n v="1.4583333333333333"/>
    <n v="1.4375"/>
    <x v="0"/>
    <n v="0.5"/>
    <s v="RICKY"/>
    <s v="RICKY"/>
    <s v="CHALS"/>
    <s v="CHALS"/>
    <x v="1"/>
    <s v="P203"/>
    <n v="0.91100000000000003"/>
    <n v="1.7"/>
    <n v="24"/>
    <n v="216"/>
    <n v="2.7"/>
    <n v="12751.084800000001"/>
  </r>
  <r>
    <x v="13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7"/>
    <x v="17"/>
    <m/>
    <x v="11"/>
    <x v="13"/>
    <x v="1"/>
    <x v="16"/>
    <n v="4"/>
    <n v="39"/>
    <n v="6"/>
    <n v="8458"/>
    <n v="9151"/>
    <n v="20"/>
    <n v="2"/>
    <n v="8643"/>
    <n v="9484"/>
    <n v="5"/>
    <n v="0"/>
    <n v="8840"/>
    <n v="9526"/>
    <n v="31"/>
    <n v="1"/>
    <n v="9019"/>
    <n v="9464"/>
    <n v="1.7625458996328029"/>
    <n v="31.666666666666668"/>
    <n v="0.97545072115384612"/>
    <n v="90.731250000000003"/>
    <n v="3.9583333333333335"/>
    <n v="3.5833333333333335"/>
    <x v="0"/>
    <n v="1"/>
    <s v="JUNJUN"/>
    <s v="JUNJUN"/>
    <s v="CHALS"/>
    <s v="CHALS"/>
    <x v="1"/>
    <s v="P203"/>
    <n v="0.91100000000000003"/>
    <n v="0.7"/>
    <n v="24"/>
    <n v="216"/>
    <n v="1.7"/>
    <n v="8028.4608000000007"/>
  </r>
  <r>
    <x v="13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9"/>
    <x v="2"/>
    <s v="G"/>
    <x v="2"/>
    <x v="2"/>
    <x v="2"/>
    <x v="2"/>
    <n v="2"/>
    <m/>
    <m/>
    <s v="了機"/>
    <s v="停機"/>
    <m/>
    <m/>
    <s v="了機"/>
    <s v="停機"/>
    <m/>
    <m/>
    <s v="了機"/>
    <s v="停機"/>
    <m/>
    <m/>
    <s v="了機"/>
    <s v="停機"/>
    <n v="2.1686746987951806"/>
    <s v="了機"/>
    <s v=""/>
    <s v=""/>
    <s v=""/>
    <s v=""/>
    <x v="0"/>
    <n v="2"/>
    <s v="RICKY"/>
    <s v="RICKY"/>
    <s v="CHALS"/>
    <s v="CHALS"/>
    <x v="1"/>
    <s v="P203"/>
    <n v="0.91100000000000003"/>
    <n v="0.7"/>
    <n v="24"/>
    <n v="216"/>
    <n v="1.7"/>
    <n v="8028.4608000000007"/>
  </r>
  <r>
    <x v="13"/>
    <x v="10"/>
    <x v="3"/>
    <s v="G"/>
    <x v="3"/>
    <x v="3"/>
    <x v="1"/>
    <x v="3"/>
    <n v="3"/>
    <n v="11"/>
    <n v="0"/>
    <n v="7503"/>
    <m/>
    <n v="10"/>
    <n v="0"/>
    <n v="7323"/>
    <m/>
    <n v="8"/>
    <n v="1"/>
    <n v="7361"/>
    <m/>
    <n v="9"/>
    <n v="0"/>
    <n v="7193"/>
    <m/>
    <n v="2.4"/>
    <n v="25.333333333333332"/>
    <n v="0.99799679487179482"/>
    <n v="73.45"/>
    <n v="3.1666666666666665"/>
    <n v="3.0833333333333335"/>
    <x v="0"/>
    <n v="2"/>
    <s v="RICKY"/>
    <s v="RICKY"/>
    <s v="CHALS"/>
    <s v="CHALS"/>
    <x v="1"/>
    <s v="P203"/>
    <n v="0.91100000000000003"/>
    <n v="0.8"/>
    <n v="24"/>
    <n v="216"/>
    <n v="1.8"/>
    <n v="8500.7232000000004"/>
  </r>
  <r>
    <x v="13"/>
    <x v="10"/>
    <x v="19"/>
    <m/>
    <x v="13"/>
    <x v="15"/>
    <x v="2"/>
    <x v="18"/>
    <n v="5"/>
    <n v="6"/>
    <n v="0"/>
    <m/>
    <n v="7875"/>
    <n v="1"/>
    <n v="0"/>
    <m/>
    <n v="7776"/>
    <n v="0"/>
    <n v="0"/>
    <n v="7777"/>
    <m/>
    <n v="5"/>
    <n v="0"/>
    <n v="7845"/>
    <m/>
    <n v="1.3345690454124188"/>
    <n v="8"/>
    <n v="1"/>
    <n v="78.182500000000005"/>
    <n v="1"/>
    <n v="1"/>
    <x v="0"/>
    <n v="2"/>
    <s v="RICKY"/>
    <s v="RICKY"/>
    <s v="CHALS"/>
    <s v="CHALS"/>
    <x v="3"/>
    <s v="P203"/>
    <n v="0.91100000000000003"/>
    <n v="0.8"/>
    <n v="24"/>
    <n v="216"/>
    <n v="1.8"/>
    <n v="8500.7232000000004"/>
  </r>
  <r>
    <x v="13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13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5"/>
    <x v="5"/>
    <m/>
    <x v="5"/>
    <x v="5"/>
    <x v="2"/>
    <x v="5"/>
    <n v="5.5"/>
    <m/>
    <m/>
    <s v="清車"/>
    <m/>
    <m/>
    <m/>
    <s v="清車"/>
    <m/>
    <m/>
    <m/>
    <s v="清車"/>
    <m/>
    <m/>
    <m/>
    <s v="清車"/>
    <m/>
    <n v="4.6905537459283391"/>
    <s v="清車"/>
    <s v=""/>
    <s v=""/>
    <s v=""/>
    <s v=""/>
    <x v="0"/>
    <n v="0.5"/>
    <s v="RICKY"/>
    <s v="RICKY"/>
    <s v="CHALS"/>
    <s v="CHALS"/>
    <x v="1"/>
    <s v="P204"/>
    <n v="1.1890000000000001"/>
    <n v="1.9"/>
    <n v="24"/>
    <n v="216"/>
    <n v="2.9"/>
    <n v="17874.950400000002"/>
  </r>
  <r>
    <x v="1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3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3"/>
    <x v="21"/>
    <x v="7"/>
    <s v="K"/>
    <x v="6"/>
    <x v="7"/>
    <x v="3"/>
    <x v="7"/>
    <n v="5.5"/>
    <n v="8"/>
    <n v="0"/>
    <n v="9440"/>
    <s v="L缺料"/>
    <n v="14"/>
    <n v="0"/>
    <n v="9450"/>
    <s v="L缺料"/>
    <n v="7"/>
    <n v="0"/>
    <n v="9350"/>
    <s v="L缺料"/>
    <n v="18"/>
    <n v="1"/>
    <n v="9170"/>
    <s v="L缺料"/>
    <n v="5.8775510204081636"/>
    <n v="15.666666666666666"/>
    <n v="0.9991820245726496"/>
    <n v="93.525000000000006"/>
    <n v="1.9583333333333333"/>
    <n v="1.9166666666666667"/>
    <x v="2"/>
    <n v="1"/>
    <s v="BRYAN"/>
    <s v="BRYAN"/>
    <s v="WILSON"/>
    <s v="WILSON"/>
    <x v="2"/>
    <s v="P204"/>
    <n v="1.1890000000000001"/>
    <n v="3"/>
    <n v="24"/>
    <n v="216"/>
    <n v="4"/>
    <n v="24655.103999999999"/>
  </r>
  <r>
    <x v="13"/>
    <x v="22"/>
    <x v="8"/>
    <s v="K"/>
    <x v="6"/>
    <x v="6"/>
    <x v="3"/>
    <x v="8"/>
    <n v="5.5"/>
    <n v="84"/>
    <n v="7"/>
    <n v="6300"/>
    <n v="7220"/>
    <m/>
    <m/>
    <s v="了機"/>
    <m/>
    <m/>
    <m/>
    <s v="了機"/>
    <m/>
    <n v="54"/>
    <n v="0"/>
    <s v="了機"/>
    <m/>
    <n v="5.8775510204081636"/>
    <n v="46"/>
    <n v="0.99427417200854706"/>
    <n v="67.599999999999994"/>
    <n v="5.75"/>
    <n v="5.458333333333333"/>
    <x v="2"/>
    <n v="1"/>
    <s v="BRYAN"/>
    <s v="BRYAN"/>
    <s v="NASH"/>
    <s v="NASH"/>
    <x v="1"/>
    <s v="P204"/>
    <n v="1.1890000000000001"/>
    <n v="2.9"/>
    <n v="24"/>
    <n v="216"/>
    <n v="3.9"/>
    <n v="24038.7264"/>
  </r>
  <r>
    <x v="13"/>
    <x v="23"/>
    <x v="9"/>
    <s v="K"/>
    <x v="6"/>
    <x v="8"/>
    <x v="1"/>
    <x v="9"/>
    <n v="5.5"/>
    <n v="36"/>
    <n v="0"/>
    <n v="9540"/>
    <n v="9720"/>
    <n v="11"/>
    <n v="0"/>
    <n v="9540"/>
    <n v="9720"/>
    <n v="8"/>
    <n v="1"/>
    <n v="9540"/>
    <n v="9720"/>
    <n v="31"/>
    <n v="0"/>
    <n v="9540"/>
    <n v="9720"/>
    <n v="5.034965034965035"/>
    <n v="28.666666666666668"/>
    <n v="0.99904513888888891"/>
    <n v="96.3"/>
    <n v="3.5833333333333335"/>
    <n v="3.5416666666666665"/>
    <x v="2"/>
    <n v="1"/>
    <s v="DENDEN"/>
    <s v="DENDEN"/>
    <s v="WILSON"/>
    <s v="WILSON"/>
    <x v="2"/>
    <s v="P204"/>
    <n v="1.1890000000000001"/>
    <n v="2.8"/>
    <n v="24"/>
    <n v="216"/>
    <n v="3.8"/>
    <n v="23422.3488"/>
  </r>
  <r>
    <x v="13"/>
    <x v="24"/>
    <x v="10"/>
    <m/>
    <x v="7"/>
    <x v="9"/>
    <x v="1"/>
    <x v="10"/>
    <n v="4"/>
    <n v="12"/>
    <n v="7"/>
    <n v="9690"/>
    <m/>
    <n v="8"/>
    <n v="3"/>
    <n v="9540"/>
    <m/>
    <n v="5"/>
    <n v="2"/>
    <n v="9630"/>
    <m/>
    <n v="14"/>
    <n v="7"/>
    <n v="9630"/>
    <m/>
    <n v="3.6"/>
    <n v="26"/>
    <n v="0.97462606837606836"/>
    <n v="96.224999999999994"/>
    <n v="3.25"/>
    <n v="1.6666666666666667"/>
    <x v="2"/>
    <n v="2"/>
    <s v="DENDEN"/>
    <s v="DENDEN"/>
    <s v="MAMAY"/>
    <s v="MAMAY"/>
    <x v="2"/>
    <s v="P203"/>
    <n v="0.91100000000000003"/>
    <n v="1.5"/>
    <n v="24"/>
    <n v="216"/>
    <n v="2.5"/>
    <n v="11806.560000000001"/>
  </r>
  <r>
    <x v="13"/>
    <x v="24"/>
    <x v="11"/>
    <m/>
    <x v="8"/>
    <x v="10"/>
    <x v="2"/>
    <x v="11"/>
    <n v="5.5"/>
    <n v="20"/>
    <n v="7"/>
    <s v="了機"/>
    <n v="9540"/>
    <n v="6"/>
    <n v="1"/>
    <s v="了機"/>
    <n v="9630"/>
    <n v="4"/>
    <n v="2"/>
    <s v="了機"/>
    <n v="9540"/>
    <n v="16"/>
    <n v="5"/>
    <s v="了機"/>
    <n v="9350"/>
    <n v="6.6055045871559646"/>
    <s v="了機"/>
    <n v="0.98908253205128205"/>
    <s v=""/>
    <s v=""/>
    <s v="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13"/>
    <x v="25"/>
    <x v="12"/>
    <s v="K"/>
    <x v="6"/>
    <x v="7"/>
    <x v="3"/>
    <x v="12"/>
    <n v="5.5"/>
    <n v="15"/>
    <n v="0"/>
    <n v="10000"/>
    <s v="L缺料"/>
    <n v="4"/>
    <n v="0"/>
    <n v="10000"/>
    <s v="L缺料"/>
    <n v="5"/>
    <n v="1"/>
    <n v="9810"/>
    <s v="L缺料"/>
    <n v="11"/>
    <n v="4"/>
    <n v="9720"/>
    <s v="L缺料"/>
    <n v="5.8299595141700413"/>
    <n v="23.333333333333332"/>
    <n v="0.99587673611111116"/>
    <n v="98.825000000000003"/>
    <n v="2.9166666666666665"/>
    <n v="2.5"/>
    <x v="2"/>
    <n v="2"/>
    <s v="BERT"/>
    <s v="BERT"/>
    <s v="WILSON"/>
    <s v="WILSON"/>
    <x v="2"/>
    <s v="P204"/>
    <n v="1.1890000000000001"/>
    <n v="2.8"/>
    <n v="24"/>
    <n v="216"/>
    <n v="3.8"/>
    <n v="23422.3488"/>
  </r>
  <r>
    <x v="13"/>
    <x v="26"/>
    <x v="13"/>
    <s v="K"/>
    <x v="6"/>
    <x v="7"/>
    <x v="3"/>
    <x v="13"/>
    <n v="5.5"/>
    <n v="25"/>
    <n v="2"/>
    <n v="10000"/>
    <n v="9630"/>
    <n v="15"/>
    <n v="0"/>
    <n v="10000"/>
    <n v="9630"/>
    <n v="15"/>
    <n v="3"/>
    <n v="10000"/>
    <n v="9650"/>
    <n v="21"/>
    <n v="2"/>
    <n v="10000"/>
    <n v="9630"/>
    <n v="5.8299595141700413"/>
    <n v="25.333333333333332"/>
    <n v="0.99422743055555551"/>
    <n v="98.174999999999997"/>
    <n v="3.1666666666666665"/>
    <n v="2.875"/>
    <x v="2"/>
    <n v="1"/>
    <s v="BERT"/>
    <s v="BERT"/>
    <s v="MAMAY"/>
    <s v="MAMAY"/>
    <x v="2"/>
    <s v="P204"/>
    <n v="1.1890000000000001"/>
    <n v="2.8"/>
    <n v="24"/>
    <n v="216"/>
    <n v="3.8"/>
    <n v="23422.3488"/>
  </r>
  <r>
    <x v="13"/>
    <x v="27"/>
    <x v="18"/>
    <m/>
    <x v="12"/>
    <x v="14"/>
    <x v="2"/>
    <x v="17"/>
    <n v="4"/>
    <n v="20"/>
    <n v="0"/>
    <n v="3219"/>
    <m/>
    <n v="5"/>
    <n v="0"/>
    <n v="3980"/>
    <m/>
    <n v="13"/>
    <n v="0"/>
    <n v="3726"/>
    <m/>
    <n v="12"/>
    <n v="0"/>
    <n v="3675"/>
    <m/>
    <n v="1.6179775280898876"/>
    <n v="150"/>
    <n v="1"/>
    <n v="36.5"/>
    <n v="18.75"/>
    <n v="18.75"/>
    <x v="3"/>
    <n v="9"/>
    <s v="RON"/>
    <s v="RON"/>
    <s v="KIM"/>
    <s v="KIM"/>
    <x v="2"/>
    <s v="P123"/>
    <n v="0.66900000000000004"/>
    <n v="1.6"/>
    <n v="24"/>
    <n v="108"/>
    <n v="2.6"/>
    <n v="4508.5248000000011"/>
  </r>
  <r>
    <x v="13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KIM"/>
    <s v="KIM"/>
    <x v="0"/>
    <s v=""/>
    <s v=""/>
    <s v=""/>
    <n v="24"/>
    <n v="216"/>
    <s v=""/>
    <s v=""/>
  </r>
  <r>
    <x v="1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2"/>
    <x v="15"/>
    <m/>
    <x v="9"/>
    <x v="11"/>
    <x v="4"/>
    <x v="14"/>
    <n v="4"/>
    <m/>
    <m/>
    <s v="了機"/>
    <m/>
    <m/>
    <m/>
    <s v="了機"/>
    <m/>
    <m/>
    <m/>
    <s v="了機"/>
    <m/>
    <n v="46"/>
    <n v="0"/>
    <s v="了機"/>
    <m/>
    <n v="2.9937629937629939"/>
    <s v="了機"/>
    <s v=""/>
    <s v=""/>
    <s v=""/>
    <s v=""/>
    <x v="0"/>
    <n v="1"/>
    <s v="JUNJUN"/>
    <s v="JB"/>
    <s v="CHALS"/>
    <s v="CHALS"/>
    <x v="1"/>
    <s v="P203"/>
    <n v="0.91100000000000003"/>
    <n v="1.9"/>
    <n v="24"/>
    <n v="216"/>
    <n v="2.9"/>
    <n v="13695.6096"/>
  </r>
  <r>
    <x v="1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4"/>
    <x v="16"/>
    <m/>
    <x v="10"/>
    <x v="12"/>
    <x v="5"/>
    <x v="15"/>
    <n v="5"/>
    <m/>
    <m/>
    <s v="了機"/>
    <m/>
    <m/>
    <m/>
    <s v="了機"/>
    <m/>
    <m/>
    <m/>
    <s v="了機"/>
    <m/>
    <n v="4"/>
    <n v="0"/>
    <s v="了機"/>
    <m/>
    <n v="1.5824175824175823"/>
    <s v="了機"/>
    <s v=""/>
    <s v=""/>
    <s v=""/>
    <s v=""/>
    <x v="0"/>
    <n v="1"/>
    <s v="JB"/>
    <s v="JB"/>
    <s v="CHALS"/>
    <s v="CHALS"/>
    <x v="2"/>
    <s v="P203"/>
    <n v="0.91100000000000003"/>
    <n v="1.3"/>
    <n v="24"/>
    <n v="216"/>
    <n v="2.2999999999999998"/>
    <n v="10862.035199999998"/>
  </r>
  <r>
    <x v="14"/>
    <x v="5"/>
    <x v="1"/>
    <m/>
    <x v="1"/>
    <x v="1"/>
    <x v="1"/>
    <x v="1"/>
    <n v="5"/>
    <n v="14"/>
    <n v="0"/>
    <n v="9444"/>
    <n v="9584"/>
    <n v="2"/>
    <n v="0"/>
    <n v="9444"/>
    <n v="9598"/>
    <n v="8"/>
    <n v="0"/>
    <n v="9396"/>
    <n v="9512"/>
    <n v="12"/>
    <n v="0"/>
    <n v="9403"/>
    <n v="9571"/>
    <n v="2.8015564202334629"/>
    <n v="6"/>
    <n v="1"/>
    <n v="94.94"/>
    <n v="0.75"/>
    <n v="0.75"/>
    <x v="0"/>
    <n v="0.5"/>
    <s v="JB"/>
    <s v="JB"/>
    <s v="CHALS"/>
    <s v="CHALS"/>
    <x v="1"/>
    <s v="P203"/>
    <n v="0.91100000000000003"/>
    <n v="1.7"/>
    <n v="24"/>
    <n v="216"/>
    <n v="2.7"/>
    <n v="12751.084800000001"/>
  </r>
  <r>
    <x v="14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7"/>
    <x v="17"/>
    <m/>
    <x v="11"/>
    <x v="13"/>
    <x v="1"/>
    <x v="16"/>
    <n v="4"/>
    <n v="24"/>
    <n v="6"/>
    <n v="8846"/>
    <n v="9462"/>
    <n v="12"/>
    <n v="0"/>
    <n v="8842"/>
    <n v="9411"/>
    <n v="0"/>
    <n v="0"/>
    <n v="8877"/>
    <n v="9393"/>
    <n v="25"/>
    <n v="0"/>
    <n v="8590"/>
    <n v="8309"/>
    <n v="1.7625458996328029"/>
    <n v="20.333333333333332"/>
    <n v="0.98363381410256412"/>
    <n v="89.662499999999994"/>
    <n v="2.5416666666666665"/>
    <n v="2.2916666666666665"/>
    <x v="0"/>
    <n v="1"/>
    <s v="JUNJUN"/>
    <s v="JUNJUN"/>
    <s v="DENNIS"/>
    <s v="DENNIS"/>
    <x v="1"/>
    <s v="P203"/>
    <n v="0.91100000000000003"/>
    <n v="0.7"/>
    <n v="24"/>
    <n v="216"/>
    <n v="1.7"/>
    <n v="8028.4608000000007"/>
  </r>
  <r>
    <x v="14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JB"/>
    <s v="N/A"/>
    <s v="N/A"/>
    <s v="N/A"/>
    <x v="0"/>
    <s v=""/>
    <s v=""/>
    <s v=""/>
    <n v="24"/>
    <n v="216"/>
    <s v=""/>
    <s v=""/>
  </r>
  <r>
    <x v="14"/>
    <x v="10"/>
    <x v="3"/>
    <s v="G"/>
    <x v="3"/>
    <x v="3"/>
    <x v="1"/>
    <x v="3"/>
    <n v="3"/>
    <n v="6"/>
    <n v="0"/>
    <s v="FINAL"/>
    <n v="7170"/>
    <m/>
    <m/>
    <s v="FINAL"/>
    <m/>
    <m/>
    <m/>
    <s v="FINAL"/>
    <m/>
    <m/>
    <m/>
    <s v="停機"/>
    <m/>
    <n v="2.4"/>
    <s v="FINAL"/>
    <n v="1"/>
    <s v=""/>
    <s v=""/>
    <n v="0.5"/>
    <x v="0"/>
    <n v="2"/>
    <s v="JB"/>
    <s v="JB"/>
    <s v="CHALS"/>
    <s v="CHALS"/>
    <x v="1"/>
    <s v="P203"/>
    <n v="0.91100000000000003"/>
    <n v="0.8"/>
    <n v="24"/>
    <n v="216"/>
    <n v="1.8"/>
    <n v="8500.7232000000004"/>
  </r>
  <r>
    <x v="14"/>
    <x v="10"/>
    <x v="19"/>
    <m/>
    <x v="13"/>
    <x v="15"/>
    <x v="2"/>
    <x v="18"/>
    <n v="5"/>
    <m/>
    <m/>
    <s v="FINAL"/>
    <m/>
    <m/>
    <m/>
    <s v="FINAL"/>
    <m/>
    <m/>
    <m/>
    <s v="FINAL"/>
    <m/>
    <m/>
    <m/>
    <s v="停機"/>
    <m/>
    <n v="1.3345690454124188"/>
    <s v="FINAL"/>
    <s v=""/>
    <s v=""/>
    <s v=""/>
    <s v=""/>
    <x v="0"/>
    <n v="2"/>
    <s v="JB"/>
    <s v="JB"/>
    <s v="CHALS"/>
    <s v="CHALS"/>
    <x v="3"/>
    <s v="P203"/>
    <n v="0.91100000000000003"/>
    <n v="0.8"/>
    <n v="24"/>
    <n v="216"/>
    <n v="1.8"/>
    <n v="8500.7232000000004"/>
  </r>
  <r>
    <x v="14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14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5"/>
    <x v="5"/>
    <m/>
    <x v="5"/>
    <x v="5"/>
    <x v="2"/>
    <x v="5"/>
    <n v="5.5"/>
    <m/>
    <m/>
    <s v="清車"/>
    <m/>
    <m/>
    <m/>
    <s v="清車"/>
    <m/>
    <m/>
    <m/>
    <s v="開車"/>
    <m/>
    <n v="73"/>
    <n v="0"/>
    <n v="6328"/>
    <n v="5282"/>
    <n v="4.6905537459283391"/>
    <s v="清車"/>
    <s v=""/>
    <s v=""/>
    <s v=""/>
    <s v=""/>
    <x v="0"/>
    <n v="0.5"/>
    <s v="JB"/>
    <s v="JB"/>
    <s v="CHALS"/>
    <s v="CHALS"/>
    <x v="1"/>
    <s v="P204"/>
    <n v="1.1890000000000001"/>
    <n v="1.9"/>
    <n v="24"/>
    <n v="216"/>
    <n v="2.9"/>
    <n v="17874.950400000002"/>
  </r>
  <r>
    <x v="1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4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4"/>
    <x v="21"/>
    <x v="7"/>
    <s v="K"/>
    <x v="6"/>
    <x v="7"/>
    <x v="3"/>
    <x v="7"/>
    <n v="5.5"/>
    <n v="10"/>
    <n v="0"/>
    <n v="9440"/>
    <s v="L缺料"/>
    <n v="8"/>
    <n v="0"/>
    <n v="9440"/>
    <s v="L缺料"/>
    <n v="3"/>
    <n v="0"/>
    <n v="9350"/>
    <s v="L缺料"/>
    <n v="16"/>
    <n v="1"/>
    <n v="9170"/>
    <s v="L缺料"/>
    <n v="5.8775510204081636"/>
    <n v="12.333333333333334"/>
    <n v="0.9991820245726496"/>
    <n v="93.5"/>
    <n v="1.5416666666666667"/>
    <n v="1.5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14"/>
    <x v="22"/>
    <x v="8"/>
    <s v="K"/>
    <x v="6"/>
    <x v="6"/>
    <x v="3"/>
    <x v="8"/>
    <n v="5.5"/>
    <m/>
    <m/>
    <s v="了機"/>
    <m/>
    <m/>
    <m/>
    <s v="了機"/>
    <m/>
    <m/>
    <m/>
    <s v="了機"/>
    <m/>
    <n v="63"/>
    <n v="0"/>
    <s v="了機"/>
    <m/>
    <n v="5.8775510204081636"/>
    <s v="了機"/>
    <s v=""/>
    <s v=""/>
    <s v=""/>
    <s v=""/>
    <x v="2"/>
    <n v="1"/>
    <s v="BRYAN"/>
    <s v="BRYAN"/>
    <s v="MAMAY"/>
    <s v="MAMAY"/>
    <x v="1"/>
    <s v="P204"/>
    <n v="1.1890000000000001"/>
    <n v="2.9"/>
    <n v="24"/>
    <n v="216"/>
    <n v="3.9"/>
    <n v="24038.7264"/>
  </r>
  <r>
    <x v="14"/>
    <x v="23"/>
    <x v="9"/>
    <s v="K"/>
    <x v="6"/>
    <x v="8"/>
    <x v="1"/>
    <x v="9"/>
    <n v="5.5"/>
    <n v="34"/>
    <n v="2"/>
    <n v="9440"/>
    <n v="9810"/>
    <n v="11"/>
    <n v="1"/>
    <n v="9440"/>
    <n v="9810"/>
    <n v="13"/>
    <n v="0"/>
    <n v="9440"/>
    <n v="9810"/>
    <n v="28"/>
    <n v="0"/>
    <n v="9350"/>
    <n v="9810"/>
    <n v="5.034965034965035"/>
    <n v="28.666666666666668"/>
    <n v="0.99713541666666672"/>
    <n v="96.137500000000003"/>
    <n v="3.5833333333333335"/>
    <n v="3.4583333333333335"/>
    <x v="2"/>
    <n v="1"/>
    <s v="BRYAN"/>
    <s v="JERBY"/>
    <s v="VIN"/>
    <s v="VIN"/>
    <x v="2"/>
    <s v="P204"/>
    <n v="1.1890000000000001"/>
    <n v="2.8"/>
    <n v="24"/>
    <n v="216"/>
    <n v="3.8"/>
    <n v="23422.3488"/>
  </r>
  <r>
    <x v="14"/>
    <x v="24"/>
    <x v="10"/>
    <m/>
    <x v="7"/>
    <x v="9"/>
    <x v="1"/>
    <x v="10"/>
    <n v="4"/>
    <n v="7"/>
    <n v="3"/>
    <n v="9540"/>
    <m/>
    <n v="4"/>
    <n v="0"/>
    <n v="9540"/>
    <m/>
    <n v="1"/>
    <n v="0"/>
    <n v="9540"/>
    <m/>
    <n v="13"/>
    <n v="5"/>
    <n v="9350"/>
    <m/>
    <n v="3.6"/>
    <n v="16.666666666666668"/>
    <n v="0.98931623931623935"/>
    <n v="94.924999999999997"/>
    <n v="2.0833333333333335"/>
    <n v="1.4166666666666667"/>
    <x v="2"/>
    <n v="2"/>
    <s v="DENDEN"/>
    <s v="JERBY"/>
    <s v="MAMAY"/>
    <s v="MAMAY"/>
    <x v="2"/>
    <s v="P203"/>
    <n v="0.91100000000000003"/>
    <n v="1.5"/>
    <n v="24"/>
    <n v="216"/>
    <n v="2.5"/>
    <n v="11806.560000000001"/>
  </r>
  <r>
    <x v="14"/>
    <x v="24"/>
    <x v="11"/>
    <m/>
    <x v="8"/>
    <x v="10"/>
    <x v="2"/>
    <x v="11"/>
    <n v="5.5"/>
    <m/>
    <m/>
    <s v="了機"/>
    <s v="了機"/>
    <m/>
    <m/>
    <m/>
    <s v="了機"/>
    <m/>
    <m/>
    <m/>
    <s v="了機"/>
    <n v="3"/>
    <n v="1"/>
    <m/>
    <s v="了機"/>
    <n v="6.6055045871559646"/>
    <s v="了機"/>
    <s v=""/>
    <s v=""/>
    <s v=""/>
    <s v=""/>
    <x v="2"/>
    <n v="2"/>
    <s v="DENDEN"/>
    <s v="JERBY"/>
    <s v="MAMAY"/>
    <s v="MAMAY"/>
    <x v="3"/>
    <s v="P227"/>
    <n v="1.859"/>
    <n v="3.3"/>
    <n v="24"/>
    <n v="216"/>
    <n v="4.3"/>
    <n v="41439.340799999998"/>
  </r>
  <r>
    <x v="14"/>
    <x v="25"/>
    <x v="12"/>
    <s v="K"/>
    <x v="6"/>
    <x v="7"/>
    <x v="3"/>
    <x v="12"/>
    <n v="5.5"/>
    <n v="14"/>
    <n v="2"/>
    <n v="10000"/>
    <s v="L缺料"/>
    <n v="6"/>
    <n v="1"/>
    <n v="9910"/>
    <s v="L缺料"/>
    <n v="4"/>
    <n v="0"/>
    <n v="9910"/>
    <s v="L缺料"/>
    <n v="10"/>
    <n v="0"/>
    <n v="9810"/>
    <s v="L缺料"/>
    <n v="5.8299595141700413"/>
    <n v="22.666666666666668"/>
    <n v="0.9975260416666667"/>
    <n v="99.075000000000003"/>
    <n v="2.8333333333333335"/>
    <n v="2.5833333333333335"/>
    <x v="2"/>
    <n v="2"/>
    <s v="DENDEN"/>
    <s v="DENDEN"/>
    <s v="VIN"/>
    <s v="VIN"/>
    <x v="2"/>
    <s v="P204"/>
    <n v="1.1890000000000001"/>
    <n v="2.8"/>
    <n v="24"/>
    <n v="216"/>
    <n v="3.8"/>
    <n v="23422.3488"/>
  </r>
  <r>
    <x v="14"/>
    <x v="26"/>
    <x v="13"/>
    <s v="K"/>
    <x v="6"/>
    <x v="7"/>
    <x v="3"/>
    <x v="13"/>
    <n v="5.5"/>
    <n v="24"/>
    <n v="6"/>
    <n v="10000"/>
    <n v="6540"/>
    <n v="3"/>
    <n v="0"/>
    <n v="10000"/>
    <n v="9540"/>
    <n v="8"/>
    <n v="0"/>
    <n v="10000"/>
    <n v="9540"/>
    <n v="14"/>
    <n v="0"/>
    <n v="100"/>
    <n v="9540"/>
    <n v="5.8299595141700413"/>
    <n v="16.333333333333332"/>
    <n v="0.99505208333333328"/>
    <n v="81.575000000000003"/>
    <n v="2.0416666666666665"/>
    <n v="1.7916666666666667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14"/>
    <x v="27"/>
    <x v="18"/>
    <m/>
    <x v="12"/>
    <x v="14"/>
    <x v="2"/>
    <x v="17"/>
    <n v="4"/>
    <n v="17"/>
    <n v="0"/>
    <n v="4064"/>
    <m/>
    <n v="2"/>
    <n v="0"/>
    <n v="3962"/>
    <m/>
    <n v="4"/>
    <n v="0"/>
    <n v="3909"/>
    <m/>
    <n v="10"/>
    <n v="0"/>
    <n v="3457"/>
    <m/>
    <n v="1.6179775280898876"/>
    <n v="99"/>
    <n v="1"/>
    <n v="38.479999999999997"/>
    <n v="12.375"/>
    <n v="12.375"/>
    <x v="3"/>
    <n v="9"/>
    <s v="RON"/>
    <s v="RON"/>
    <s v="KIM"/>
    <s v="KIM"/>
    <x v="2"/>
    <s v="P123"/>
    <n v="0.66900000000000004"/>
    <n v="1.6"/>
    <n v="24"/>
    <n v="108"/>
    <n v="2.6"/>
    <n v="4508.5248000000011"/>
  </r>
  <r>
    <x v="14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KIM"/>
    <s v="KIM"/>
    <x v="0"/>
    <s v=""/>
    <s v=""/>
    <s v=""/>
    <n v="24"/>
    <n v="216"/>
    <s v=""/>
    <s v=""/>
  </r>
  <r>
    <x v="1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2"/>
    <x v="15"/>
    <m/>
    <x v="9"/>
    <x v="11"/>
    <x v="4"/>
    <x v="14"/>
    <n v="4"/>
    <m/>
    <m/>
    <s v="了機"/>
    <m/>
    <m/>
    <m/>
    <s v="了機"/>
    <m/>
    <m/>
    <m/>
    <s v="了機"/>
    <m/>
    <m/>
    <m/>
    <s v="了機"/>
    <m/>
    <n v="2.9937629937629939"/>
    <s v="了機"/>
    <s v=""/>
    <s v=""/>
    <s v=""/>
    <s v=""/>
    <x v="0"/>
    <n v="1"/>
    <s v="JB"/>
    <s v="JB"/>
    <s v="CHALS"/>
    <s v="CHALS"/>
    <x v="1"/>
    <s v="P203"/>
    <n v="0.91100000000000003"/>
    <n v="1.9"/>
    <n v="24"/>
    <n v="216"/>
    <n v="2.9"/>
    <n v="13695.6096"/>
  </r>
  <r>
    <x v="15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4"/>
    <x v="16"/>
    <m/>
    <x v="10"/>
    <x v="12"/>
    <x v="5"/>
    <x v="15"/>
    <n v="5"/>
    <m/>
    <m/>
    <s v="了機"/>
    <m/>
    <m/>
    <m/>
    <s v="了機"/>
    <m/>
    <m/>
    <m/>
    <s v="了機"/>
    <m/>
    <m/>
    <m/>
    <s v="了機"/>
    <m/>
    <n v="1.5824175824175823"/>
    <s v="了機"/>
    <s v=""/>
    <s v=""/>
    <s v=""/>
    <s v=""/>
    <x v="0"/>
    <n v="1"/>
    <s v="JB"/>
    <s v="JB"/>
    <s v="CHALS"/>
    <s v="CHALS"/>
    <x v="2"/>
    <s v="P203"/>
    <n v="0.91100000000000003"/>
    <n v="1.3"/>
    <n v="24"/>
    <n v="216"/>
    <n v="2.2999999999999998"/>
    <n v="10862.035199999998"/>
  </r>
  <r>
    <x v="15"/>
    <x v="5"/>
    <x v="1"/>
    <m/>
    <x v="1"/>
    <x v="1"/>
    <x v="1"/>
    <x v="1"/>
    <n v="5"/>
    <n v="12"/>
    <n v="0"/>
    <n v="9336"/>
    <n v="9463"/>
    <n v="0"/>
    <n v="0"/>
    <n v="9112"/>
    <n v="9185"/>
    <n v="16"/>
    <n v="0"/>
    <n v="9270"/>
    <n v="9019"/>
    <n v="14"/>
    <n v="0"/>
    <n v="8743"/>
    <n v="9259"/>
    <n v="2.8015564202334629"/>
    <n v="7"/>
    <n v="1"/>
    <n v="91.733750000000001"/>
    <n v="0.875"/>
    <n v="0.875"/>
    <x v="0"/>
    <n v="0.5"/>
    <s v="JB"/>
    <s v="JB"/>
    <s v="CHALS"/>
    <s v="CHALS"/>
    <x v="1"/>
    <s v="P203"/>
    <n v="0.91100000000000003"/>
    <n v="1.7"/>
    <n v="24"/>
    <n v="216"/>
    <n v="2.7"/>
    <n v="12751.084800000001"/>
  </r>
  <r>
    <x v="15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7"/>
    <x v="17"/>
    <m/>
    <x v="11"/>
    <x v="13"/>
    <x v="1"/>
    <x v="16"/>
    <n v="4"/>
    <n v="25"/>
    <n v="0"/>
    <n v="9058"/>
    <n v="9485"/>
    <n v="11"/>
    <n v="0"/>
    <n v="8441"/>
    <n v="9503"/>
    <n v="17"/>
    <n v="0"/>
    <n v="8906"/>
    <n v="9457"/>
    <n v="28"/>
    <n v="0"/>
    <n v="8769"/>
    <n v="9465"/>
    <n v="1.7625458996328029"/>
    <n v="27"/>
    <n v="1"/>
    <n v="91.355000000000004"/>
    <n v="3.375"/>
    <n v="3.375"/>
    <x v="0"/>
    <n v="1"/>
    <s v="JB"/>
    <s v="JB"/>
    <s v="CHALS"/>
    <s v="CHALS"/>
    <x v="1"/>
    <s v="P203"/>
    <n v="0.91100000000000003"/>
    <n v="0.7"/>
    <n v="24"/>
    <n v="216"/>
    <n v="1.7"/>
    <n v="8028.4608000000007"/>
  </r>
  <r>
    <x v="15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B"/>
    <s v="N/A"/>
    <s v="N/A"/>
    <s v="N/A"/>
    <x v="0"/>
    <s v=""/>
    <s v=""/>
    <s v=""/>
    <n v="24"/>
    <n v="216"/>
    <s v=""/>
    <s v=""/>
  </r>
  <r>
    <x v="15"/>
    <x v="10"/>
    <x v="3"/>
    <s v="G"/>
    <x v="3"/>
    <x v="3"/>
    <x v="1"/>
    <x v="3"/>
    <n v="3"/>
    <m/>
    <m/>
    <s v="清車"/>
    <m/>
    <m/>
    <m/>
    <s v="清車"/>
    <m/>
    <m/>
    <m/>
    <s v="開車"/>
    <m/>
    <n v="21"/>
    <n v="5"/>
    <n v="8899"/>
    <m/>
    <n v="2.4161073825503356"/>
    <s v="清車"/>
    <s v=""/>
    <s v=""/>
    <s v=""/>
    <s v=""/>
    <x v="0"/>
    <n v="2"/>
    <s v="JERBY"/>
    <s v="JUNJUN"/>
    <s v="MACMAC"/>
    <s v="MACMAC"/>
    <x v="1"/>
    <s v="P203"/>
    <n v="0.91100000000000003"/>
    <n v="0.8"/>
    <n v="24"/>
    <n v="216"/>
    <n v="1.8"/>
    <n v="8500.7232000000004"/>
  </r>
  <r>
    <x v="15"/>
    <x v="10"/>
    <x v="19"/>
    <m/>
    <x v="13"/>
    <x v="15"/>
    <x v="2"/>
    <x v="18"/>
    <n v="5"/>
    <m/>
    <m/>
    <s v="清車"/>
    <m/>
    <m/>
    <m/>
    <s v="清車"/>
    <m/>
    <m/>
    <m/>
    <s v="開車"/>
    <m/>
    <n v="10"/>
    <n v="0"/>
    <m/>
    <n v="8546"/>
    <n v="1.3345690454124188"/>
    <s v="清車"/>
    <s v=""/>
    <s v=""/>
    <s v=""/>
    <s v=""/>
    <x v="0"/>
    <n v="2"/>
    <s v="JB"/>
    <s v="JUNJUN"/>
    <s v="MACMAC"/>
    <s v="MACMAC"/>
    <x v="3"/>
    <s v="P203"/>
    <n v="0.91100000000000003"/>
    <n v="0.8"/>
    <n v="24"/>
    <n v="216"/>
    <n v="1.8"/>
    <n v="8500.7232000000004"/>
  </r>
  <r>
    <x v="15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5"/>
    <x v="5"/>
    <m/>
    <x v="5"/>
    <x v="5"/>
    <x v="2"/>
    <x v="5"/>
    <n v="5.5"/>
    <n v="18"/>
    <n v="0"/>
    <n v="6362"/>
    <n v="4950"/>
    <n v="0"/>
    <n v="0"/>
    <n v="5819"/>
    <n v="4130"/>
    <m/>
    <m/>
    <s v="了機"/>
    <m/>
    <m/>
    <m/>
    <s v="了機"/>
    <m/>
    <n v="4.6905537459283391"/>
    <n v="3"/>
    <n v="1"/>
    <n v="53.152500000000003"/>
    <n v="0.375"/>
    <n v="0.375"/>
    <x v="0"/>
    <n v="0.5"/>
    <s v="JB"/>
    <s v="JB"/>
    <s v="CHALS"/>
    <s v="CHALS"/>
    <x v="1"/>
    <s v="P204"/>
    <n v="1.1890000000000001"/>
    <n v="1.9"/>
    <n v="24"/>
    <n v="216"/>
    <n v="2.9"/>
    <n v="17874.950400000002"/>
  </r>
  <r>
    <x v="15"/>
    <x v="16"/>
    <x v="20"/>
    <m/>
    <x v="14"/>
    <x v="16"/>
    <x v="6"/>
    <x v="19"/>
    <n v="5"/>
    <m/>
    <m/>
    <s v="改紡"/>
    <m/>
    <m/>
    <m/>
    <s v="改紡"/>
    <m/>
    <m/>
    <m/>
    <s v="開車"/>
    <m/>
    <n v="46"/>
    <n v="4"/>
    <n v="7752"/>
    <n v="7172"/>
    <n v="5.9259259259259256"/>
    <s v="改紡"/>
    <s v=""/>
    <s v=""/>
    <s v=""/>
    <s v=""/>
    <x v="0"/>
    <n v="0.5"/>
    <s v="N/A"/>
    <s v="JUNJUN"/>
    <s v="MACMAC"/>
    <s v="MACMAC"/>
    <x v="2"/>
    <s v="P204"/>
    <n v="1.1890000000000001"/>
    <n v="2.6"/>
    <n v="24"/>
    <n v="216"/>
    <n v="3.6"/>
    <n v="22189.5936"/>
  </r>
  <r>
    <x v="1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5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5"/>
    <x v="21"/>
    <x v="7"/>
    <s v="K"/>
    <x v="6"/>
    <x v="7"/>
    <x v="3"/>
    <x v="7"/>
    <n v="5.5"/>
    <n v="26"/>
    <n v="0"/>
    <n v="9350"/>
    <s v="L缺料"/>
    <n v="7"/>
    <n v="0"/>
    <n v="9170"/>
    <s v="L缺料"/>
    <n v="9"/>
    <n v="0"/>
    <n v="9620"/>
    <s v="L缺料"/>
    <n v="18"/>
    <n v="0"/>
    <n v="9260"/>
    <s v="L缺料"/>
    <n v="5.8775510204081636"/>
    <n v="40"/>
    <n v="1"/>
    <n v="93.5"/>
    <n v="5"/>
    <n v="5"/>
    <x v="2"/>
    <n v="2"/>
    <s v="BRYAN"/>
    <s v="JERON"/>
    <s v="VIN"/>
    <s v="VIN"/>
    <x v="2"/>
    <s v="P204"/>
    <n v="1.1890000000000001"/>
    <n v="3"/>
    <n v="24"/>
    <n v="216"/>
    <n v="4"/>
    <n v="24655.103999999999"/>
  </r>
  <r>
    <x v="15"/>
    <x v="22"/>
    <x v="21"/>
    <s v="K"/>
    <x v="15"/>
    <x v="17"/>
    <x v="3"/>
    <x v="20"/>
    <n v="5.5"/>
    <m/>
    <m/>
    <s v="改紡"/>
    <m/>
    <m/>
    <m/>
    <s v="開車"/>
    <m/>
    <n v="11"/>
    <n v="0"/>
    <n v="8430"/>
    <m/>
    <n v="14"/>
    <n v="0"/>
    <n v="9260"/>
    <m/>
    <n v="5.8299595141700413"/>
    <s v="改紡"/>
    <s v=""/>
    <s v=""/>
    <s v=""/>
    <s v=""/>
    <x v="2"/>
    <n v="2"/>
    <m/>
    <m/>
    <s v="VIN"/>
    <s v="VIN"/>
    <x v="1"/>
    <s v="P204"/>
    <n v="1.1890000000000001"/>
    <n v="2.9"/>
    <n v="24"/>
    <n v="216"/>
    <n v="3.9"/>
    <n v="24038.7264"/>
  </r>
  <r>
    <x v="15"/>
    <x v="22"/>
    <x v="8"/>
    <s v="K"/>
    <x v="6"/>
    <x v="6"/>
    <x v="3"/>
    <x v="8"/>
    <n v="5.5"/>
    <m/>
    <m/>
    <s v="了機"/>
    <s v=" 了機"/>
    <m/>
    <m/>
    <m/>
    <s v="了機"/>
    <m/>
    <m/>
    <m/>
    <s v="了機"/>
    <m/>
    <m/>
    <m/>
    <s v="FINAL"/>
    <n v="5.8775510204081636"/>
    <s v="了機"/>
    <s v=""/>
    <s v=""/>
    <s v=""/>
    <s v=""/>
    <x v="2"/>
    <n v="2"/>
    <s v="BRYAN"/>
    <s v="JERBY"/>
    <s v="VIN"/>
    <s v="VIN"/>
    <x v="3"/>
    <s v="P204"/>
    <n v="1.1890000000000001"/>
    <n v="2.9"/>
    <n v="24"/>
    <n v="216"/>
    <n v="3.9"/>
    <n v="24038.7264"/>
  </r>
  <r>
    <x v="15"/>
    <x v="23"/>
    <x v="9"/>
    <s v="K"/>
    <x v="6"/>
    <x v="8"/>
    <x v="1"/>
    <x v="9"/>
    <n v="5.5"/>
    <n v="23"/>
    <n v="0"/>
    <n v="9540"/>
    <n v="9810"/>
    <n v="13"/>
    <n v="0"/>
    <n v="9540"/>
    <n v="9810"/>
    <n v="12"/>
    <n v="0"/>
    <n v="9540"/>
    <n v="9810"/>
    <n v="29"/>
    <n v="0"/>
    <n v="9540"/>
    <n v="9810"/>
    <n v="5.034965034965035"/>
    <n v="25.666666666666668"/>
    <n v="1"/>
    <n v="96.75"/>
    <n v="3.2083333333333335"/>
    <n v="3.2083333333333335"/>
    <x v="2"/>
    <n v="1"/>
    <s v="BRYAN"/>
    <s v="BRYAN"/>
    <s v="VIN"/>
    <s v="VIN"/>
    <x v="2"/>
    <s v="P204"/>
    <n v="1.1890000000000001"/>
    <n v="2.8"/>
    <n v="24"/>
    <n v="216"/>
    <n v="3.8"/>
    <n v="23422.3488"/>
  </r>
  <r>
    <x v="15"/>
    <x v="24"/>
    <x v="10"/>
    <m/>
    <x v="7"/>
    <x v="9"/>
    <x v="1"/>
    <x v="10"/>
    <n v="4"/>
    <n v="7"/>
    <n v="4"/>
    <n v="9540"/>
    <m/>
    <n v="2"/>
    <n v="0"/>
    <n v="9540"/>
    <m/>
    <n v="5"/>
    <n v="3"/>
    <n v="9540"/>
    <m/>
    <n v="6"/>
    <n v="0"/>
    <n v="9440"/>
    <m/>
    <n v="3.6"/>
    <n v="13.333333333333334"/>
    <n v="0.99065170940170943"/>
    <n v="95.15"/>
    <n v="1.6666666666666667"/>
    <n v="1.0833333333333333"/>
    <x v="2"/>
    <n v="2"/>
    <s v="DENDEN"/>
    <s v="BRYAN"/>
    <s v="MAMAY"/>
    <s v="MAMAY"/>
    <x v="2"/>
    <s v="P203"/>
    <n v="0.91100000000000003"/>
    <n v="1.5"/>
    <n v="24"/>
    <n v="216"/>
    <n v="2.5"/>
    <n v="11806.560000000001"/>
  </r>
  <r>
    <x v="15"/>
    <x v="24"/>
    <x v="11"/>
    <m/>
    <x v="8"/>
    <x v="10"/>
    <x v="2"/>
    <x v="11"/>
    <n v="5.5"/>
    <m/>
    <m/>
    <s v="了機"/>
    <s v="了機"/>
    <m/>
    <m/>
    <m/>
    <s v="了機"/>
    <m/>
    <m/>
    <m/>
    <s v="了機"/>
    <m/>
    <m/>
    <m/>
    <s v="FINAL"/>
    <n v="6.6055045871559646"/>
    <s v="了機"/>
    <s v=""/>
    <s v=""/>
    <s v=""/>
    <s v=""/>
    <x v="2"/>
    <n v="2"/>
    <s v="DENDEN"/>
    <s v="BRYAN"/>
    <s v="MAMAY"/>
    <s v="MAMAY"/>
    <x v="3"/>
    <s v="P227"/>
    <n v="1.859"/>
    <n v="3.3"/>
    <n v="24"/>
    <n v="216"/>
    <n v="4.3"/>
    <n v="41439.340799999998"/>
  </r>
  <r>
    <x v="15"/>
    <x v="25"/>
    <x v="12"/>
    <s v="K"/>
    <x v="6"/>
    <x v="7"/>
    <x v="3"/>
    <x v="12"/>
    <n v="5.5"/>
    <n v="20"/>
    <n v="2"/>
    <n v="10000"/>
    <s v="L缺料"/>
    <n v="8"/>
    <n v="0"/>
    <n v="10000"/>
    <s v="L缺料"/>
    <n v="9"/>
    <n v="0"/>
    <n v="10000"/>
    <s v="L缺料"/>
    <n v="11"/>
    <n v="2"/>
    <n v="10000"/>
    <s v="L缺料"/>
    <n v="5.8299595141700413"/>
    <n v="32"/>
    <n v="0.99670138888888893"/>
    <n v="100"/>
    <n v="4"/>
    <n v="3.6666666666666665"/>
    <x v="2"/>
    <n v="2"/>
    <s v="DENDEN"/>
    <s v="JERON"/>
    <s v="MAMAY"/>
    <s v="MAMAY"/>
    <x v="2"/>
    <s v="P204"/>
    <n v="1.1890000000000001"/>
    <n v="2.8"/>
    <n v="24"/>
    <n v="216"/>
    <n v="3.8"/>
    <n v="23422.3488"/>
  </r>
  <r>
    <x v="15"/>
    <x v="26"/>
    <x v="13"/>
    <s v="K"/>
    <x v="6"/>
    <x v="7"/>
    <x v="3"/>
    <x v="13"/>
    <n v="5.5"/>
    <n v="29"/>
    <n v="2"/>
    <n v="9910"/>
    <n v="9630"/>
    <n v="11"/>
    <n v="0"/>
    <n v="9910"/>
    <n v="9630"/>
    <n v="9"/>
    <n v="0"/>
    <n v="9910"/>
    <n v="9630"/>
    <n v="27"/>
    <n v="8"/>
    <n v="9910"/>
    <n v="9630"/>
    <n v="5.8299595141700413"/>
    <n v="25.333333333333332"/>
    <n v="0.99175347222222221"/>
    <n v="97.7"/>
    <n v="3.1666666666666665"/>
    <n v="2.75"/>
    <x v="2"/>
    <n v="1"/>
    <s v="DENDEN"/>
    <s v="BRYAN"/>
    <s v="MAMAY"/>
    <s v="MAMAY"/>
    <x v="2"/>
    <s v="P204"/>
    <n v="1.1890000000000001"/>
    <n v="2.8"/>
    <n v="24"/>
    <n v="216"/>
    <n v="3.8"/>
    <n v="23422.3488"/>
  </r>
  <r>
    <x v="15"/>
    <x v="27"/>
    <x v="18"/>
    <m/>
    <x v="12"/>
    <x v="14"/>
    <x v="2"/>
    <x v="17"/>
    <n v="4"/>
    <n v="14"/>
    <n v="0"/>
    <n v="3639"/>
    <m/>
    <n v="5"/>
    <n v="0"/>
    <n v="3829"/>
    <m/>
    <n v="0"/>
    <n v="0"/>
    <n v="3642"/>
    <m/>
    <n v="8"/>
    <n v="0"/>
    <n v="3718"/>
    <m/>
    <n v="1.6179775280898876"/>
    <n v="81"/>
    <n v="1"/>
    <n v="37.07"/>
    <n v="10.125"/>
    <n v="10.125"/>
    <x v="3"/>
    <n v="9"/>
    <s v="RON"/>
    <s v="RON"/>
    <s v="JP"/>
    <s v="JP"/>
    <x v="2"/>
    <s v="P123"/>
    <n v="0.66900000000000004"/>
    <n v="1.6"/>
    <n v="24"/>
    <n v="216"/>
    <n v="2.6"/>
    <n v="9017.0496000000021"/>
  </r>
  <r>
    <x v="15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JP"/>
    <s v="JP"/>
    <x v="0"/>
    <s v=""/>
    <s v=""/>
    <s v=""/>
    <n v="24"/>
    <n v="216"/>
    <s v=""/>
    <s v=""/>
  </r>
  <r>
    <x v="16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2"/>
    <x v="15"/>
    <m/>
    <x v="9"/>
    <x v="11"/>
    <x v="4"/>
    <x v="14"/>
    <n v="4"/>
    <m/>
    <m/>
    <s v="了機"/>
    <m/>
    <m/>
    <m/>
    <s v="了機"/>
    <s v="FINAL"/>
    <m/>
    <m/>
    <s v="了機"/>
    <s v="FINAL"/>
    <m/>
    <m/>
    <s v="了機"/>
    <s v="停機"/>
    <n v="2.9937629937629939"/>
    <s v="了機"/>
    <s v=""/>
    <s v=""/>
    <s v=""/>
    <s v=""/>
    <x v="0"/>
    <n v="1"/>
    <s v="RICKY"/>
    <s v="RICKY"/>
    <s v="MACMAC"/>
    <s v="MACMAC"/>
    <x v="1"/>
    <s v="P203"/>
    <n v="0.91100000000000003"/>
    <n v="1.9"/>
    <n v="24"/>
    <n v="216"/>
    <n v="2.9"/>
    <n v="13695.6096"/>
  </r>
  <r>
    <x v="16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4"/>
    <x v="16"/>
    <m/>
    <x v="10"/>
    <x v="12"/>
    <x v="5"/>
    <x v="15"/>
    <n v="5"/>
    <m/>
    <m/>
    <s v="了機"/>
    <m/>
    <m/>
    <m/>
    <s v="了機"/>
    <m/>
    <m/>
    <m/>
    <s v="停機"/>
    <m/>
    <m/>
    <m/>
    <s v="停機"/>
    <m/>
    <n v="1.5824175824175823"/>
    <s v="了機"/>
    <s v=""/>
    <s v=""/>
    <s v=""/>
    <s v=""/>
    <x v="0"/>
    <n v="1"/>
    <s v="RICKY"/>
    <s v="RICKY"/>
    <s v="N/A"/>
    <s v="N/A"/>
    <x v="2"/>
    <s v="P203"/>
    <n v="0.91100000000000003"/>
    <n v="1.3"/>
    <n v="24"/>
    <n v="216"/>
    <n v="2.2999999999999998"/>
    <n v="10862.035199999998"/>
  </r>
  <r>
    <x v="16"/>
    <x v="5"/>
    <x v="1"/>
    <m/>
    <x v="1"/>
    <x v="1"/>
    <x v="1"/>
    <x v="1"/>
    <n v="5"/>
    <n v="18"/>
    <n v="0"/>
    <n v="8938"/>
    <n v="9196"/>
    <n v="8"/>
    <n v="0"/>
    <n v="8889"/>
    <n v="9152"/>
    <n v="8"/>
    <n v="4"/>
    <n v="8755"/>
    <n v="9017"/>
    <n v="14"/>
    <n v="0"/>
    <n v="8835"/>
    <n v="9001"/>
    <n v="2.8015564202334629"/>
    <n v="8"/>
    <n v="0.99313568376068373"/>
    <n v="89.728750000000005"/>
    <n v="1"/>
    <n v="0.91666666666666663"/>
    <x v="0"/>
    <n v="0.5"/>
    <s v="RICKY"/>
    <s v="RICKY"/>
    <s v="MACMAC"/>
    <s v="MACMAC"/>
    <x v="1"/>
    <s v="P203"/>
    <n v="0.91100000000000003"/>
    <n v="1.7"/>
    <n v="24"/>
    <n v="216"/>
    <n v="2.7"/>
    <n v="12751.084800000001"/>
  </r>
  <r>
    <x v="16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7"/>
    <x v="17"/>
    <m/>
    <x v="11"/>
    <x v="13"/>
    <x v="1"/>
    <x v="16"/>
    <n v="4"/>
    <n v="13"/>
    <n v="0"/>
    <n v="8900"/>
    <n v="9486"/>
    <n v="6"/>
    <n v="0"/>
    <n v="8936"/>
    <n v="9335"/>
    <n v="11"/>
    <n v="1"/>
    <n v="9001"/>
    <n v="9160"/>
    <n v="30"/>
    <n v="0"/>
    <n v="8835"/>
    <n v="9263"/>
    <n v="1.7625458996328029"/>
    <n v="20"/>
    <n v="0.9972723023504273"/>
    <n v="91.144999999999996"/>
    <n v="2.5"/>
    <n v="2.4583333333333335"/>
    <x v="0"/>
    <n v="1"/>
    <s v="RICKY"/>
    <s v="RICKY"/>
    <s v="MACMAC"/>
    <s v="J.P"/>
    <x v="1"/>
    <s v="P203"/>
    <n v="0.91100000000000003"/>
    <n v="0.7"/>
    <n v="24"/>
    <n v="216"/>
    <n v="1.7"/>
    <n v="8028.4608000000007"/>
  </r>
  <r>
    <x v="16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B"/>
    <s v="JB"/>
    <s v="N/A"/>
    <s v="N/A"/>
    <x v="0"/>
    <s v=""/>
    <s v=""/>
    <s v=""/>
    <n v="24"/>
    <n v="216"/>
    <s v=""/>
    <s v=""/>
  </r>
  <r>
    <x v="16"/>
    <x v="10"/>
    <x v="3"/>
    <s v="G"/>
    <x v="3"/>
    <x v="3"/>
    <x v="1"/>
    <x v="3"/>
    <n v="3"/>
    <n v="10"/>
    <n v="0"/>
    <n v="8821"/>
    <m/>
    <n v="7"/>
    <n v="0"/>
    <n v="8786"/>
    <m/>
    <n v="11"/>
    <n v="0"/>
    <n v="8794"/>
    <m/>
    <n v="15"/>
    <n v="0"/>
    <n v="8598"/>
    <m/>
    <n v="2.4161073825503356"/>
    <n v="28.666666666666668"/>
    <n v="1"/>
    <n v="87.497500000000002"/>
    <n v="3.5833333333333335"/>
    <n v="3.5833333333333335"/>
    <x v="0"/>
    <n v="2"/>
    <s v="JB"/>
    <s v="JB"/>
    <s v="MACMAC"/>
    <s v="MACMAC"/>
    <x v="1"/>
    <s v="P203"/>
    <n v="0.91100000000000003"/>
    <n v="0.8"/>
    <n v="24"/>
    <n v="216"/>
    <n v="1.8"/>
    <n v="8500.7232000000004"/>
  </r>
  <r>
    <x v="16"/>
    <x v="10"/>
    <x v="19"/>
    <m/>
    <x v="13"/>
    <x v="15"/>
    <x v="2"/>
    <x v="18"/>
    <n v="5"/>
    <n v="7"/>
    <n v="0"/>
    <m/>
    <n v="8527"/>
    <n v="6"/>
    <n v="0"/>
    <m/>
    <n v="8090"/>
    <n v="3"/>
    <n v="0"/>
    <m/>
    <n v="8270"/>
    <n v="3"/>
    <n v="0"/>
    <m/>
    <n v="8219"/>
    <n v="1.3345690454124188"/>
    <n v="12.666666666666666"/>
    <n v="1"/>
    <n v="82.765000000000001"/>
    <n v="1.5833333333333333"/>
    <n v="1.5833333333333333"/>
    <x v="0"/>
    <n v="2"/>
    <s v="JB"/>
    <s v="JB"/>
    <s v="MACMAC"/>
    <s v="MACMAC"/>
    <x v="3"/>
    <s v="P203"/>
    <n v="0.91100000000000003"/>
    <n v="0.8"/>
    <n v="24"/>
    <n v="216"/>
    <n v="1.8"/>
    <n v="8500.7232000000004"/>
  </r>
  <r>
    <x v="16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5"/>
    <x v="5"/>
    <m/>
    <x v="5"/>
    <x v="5"/>
    <x v="2"/>
    <x v="5"/>
    <n v="5.5"/>
    <m/>
    <m/>
    <s v="了機"/>
    <m/>
    <m/>
    <m/>
    <s v="了機"/>
    <m/>
    <m/>
    <m/>
    <s v="了機"/>
    <m/>
    <m/>
    <m/>
    <s v="了機"/>
    <m/>
    <n v="4.6905537459283391"/>
    <s v="了機"/>
    <s v=""/>
    <s v=""/>
    <s v=""/>
    <s v=""/>
    <x v="0"/>
    <n v="0.5"/>
    <s v="RICKY"/>
    <s v="RICKY"/>
    <s v="J.P"/>
    <s v="MACMAC"/>
    <x v="1"/>
    <s v="P204"/>
    <n v="1.1890000000000001"/>
    <n v="1.9"/>
    <n v="24"/>
    <n v="216"/>
    <n v="2.9"/>
    <n v="17874.950400000002"/>
  </r>
  <r>
    <x v="16"/>
    <x v="16"/>
    <x v="20"/>
    <m/>
    <x v="14"/>
    <x v="16"/>
    <x v="6"/>
    <x v="19"/>
    <n v="5"/>
    <n v="48"/>
    <n v="0"/>
    <n v="7741"/>
    <n v="7097"/>
    <n v="24"/>
    <n v="0"/>
    <n v="7880"/>
    <n v="8599"/>
    <n v="36"/>
    <n v="4"/>
    <n v="7382"/>
    <n v="8471"/>
    <n v="32"/>
    <n v="2"/>
    <n v="6797"/>
    <n v="8527"/>
    <n v="5.9259259259259256"/>
    <n v="23.333333333333332"/>
    <n v="0.99513221153846154"/>
    <n v="78.117500000000007"/>
    <n v="2.9166666666666665"/>
    <n v="2.7916666666666665"/>
    <x v="0"/>
    <n v="0.5"/>
    <s v="JB"/>
    <s v="JB"/>
    <s v="MACMAC"/>
    <s v="MACMAC"/>
    <x v="2"/>
    <s v="P204"/>
    <n v="1.1890000000000001"/>
    <n v="2.6"/>
    <n v="24"/>
    <n v="216"/>
    <n v="3.6"/>
    <n v="22189.5936"/>
  </r>
  <r>
    <x v="16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6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6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6"/>
    <x v="21"/>
    <x v="22"/>
    <s v="K"/>
    <x v="6"/>
    <x v="8"/>
    <x v="1"/>
    <x v="21"/>
    <n v="5.5"/>
    <m/>
    <m/>
    <s v="改紡"/>
    <m/>
    <m/>
    <m/>
    <s v="改紡"/>
    <m/>
    <m/>
    <m/>
    <s v="開車"/>
    <m/>
    <n v="20"/>
    <n v="0"/>
    <n v="8980"/>
    <m/>
    <n v="5.034965034965035"/>
    <s v="改紡"/>
    <s v=""/>
    <s v=""/>
    <s v=""/>
    <s v=""/>
    <x v="2"/>
    <n v="2"/>
    <s v="JERON"/>
    <s v="JERON"/>
    <s v="VIN"/>
    <s v="VIN"/>
    <x v="2"/>
    <s v="P204"/>
    <n v="1.1890000000000001"/>
    <n v="2.7"/>
    <n v="24"/>
    <n v="216"/>
    <n v="3.7"/>
    <n v="22805.9712"/>
  </r>
  <r>
    <x v="16"/>
    <x v="21"/>
    <x v="7"/>
    <s v="K"/>
    <x v="6"/>
    <x v="7"/>
    <x v="3"/>
    <x v="7"/>
    <n v="5.5"/>
    <n v="20"/>
    <n v="5"/>
    <m/>
    <n v="9170"/>
    <n v="7"/>
    <n v="0"/>
    <m/>
    <n v="8700"/>
    <n v="0"/>
    <n v="0"/>
    <m/>
    <n v="8430"/>
    <n v="28"/>
    <n v="0"/>
    <m/>
    <n v="9170"/>
    <n v="5.8775510204081636"/>
    <n v="36.666666666666664"/>
    <n v="0.99591012286324787"/>
    <n v="88.674999999999997"/>
    <n v="4.583333333333333"/>
    <n v="4.166666666666667"/>
    <x v="2"/>
    <n v="2"/>
    <s v="JERON"/>
    <s v="JERON"/>
    <s v="VIN"/>
    <s v="VIN"/>
    <x v="3"/>
    <s v="P204"/>
    <n v="1.1890000000000001"/>
    <n v="3"/>
    <n v="24"/>
    <n v="216"/>
    <n v="4"/>
    <n v="24655.103999999999"/>
  </r>
  <r>
    <x v="16"/>
    <x v="22"/>
    <x v="21"/>
    <s v="K"/>
    <x v="15"/>
    <x v="17"/>
    <x v="3"/>
    <x v="20"/>
    <n v="5.5"/>
    <n v="18"/>
    <n v="9"/>
    <n v="9440"/>
    <s v="改紡"/>
    <n v="19"/>
    <n v="1"/>
    <n v="9440"/>
    <s v="改紡"/>
    <n v="0"/>
    <n v="0"/>
    <n v="7870"/>
    <s v="開車"/>
    <n v="47"/>
    <n v="0"/>
    <n v="9260"/>
    <n v="8890"/>
    <n v="5.8299595141700413"/>
    <n v="56"/>
    <n v="0.99175347222222221"/>
    <n v="89.8"/>
    <n v="7"/>
    <n v="6.166666666666667"/>
    <x v="2"/>
    <n v="2"/>
    <s v="JERON"/>
    <s v="JERON"/>
    <s v="VIN"/>
    <s v="VIN"/>
    <x v="1"/>
    <s v="P204"/>
    <n v="1.1890000000000001"/>
    <n v="2.9"/>
    <n v="24"/>
    <n v="216"/>
    <n v="3.9"/>
    <n v="24038.7264"/>
  </r>
  <r>
    <x v="16"/>
    <x v="23"/>
    <x v="9"/>
    <s v="K"/>
    <x v="6"/>
    <x v="8"/>
    <x v="1"/>
    <x v="9"/>
    <n v="5.5"/>
    <n v="26"/>
    <n v="0"/>
    <n v="9540"/>
    <n v="9810"/>
    <n v="17"/>
    <n v="0"/>
    <n v="9440"/>
    <n v="9630"/>
    <n v="0"/>
    <n v="0"/>
    <n v="9070"/>
    <n v="8700"/>
    <n v="42"/>
    <n v="0"/>
    <n v="9170"/>
    <n v="9440"/>
    <n v="5.034965034965035"/>
    <n v="28.333333333333332"/>
    <n v="1"/>
    <n v="93.5"/>
    <n v="3.5416666666666665"/>
    <n v="3.5416666666666665"/>
    <x v="2"/>
    <n v="1"/>
    <s v="BRYAN"/>
    <s v="BRYAN"/>
    <s v="WILSON"/>
    <s v="WILSON"/>
    <x v="2"/>
    <s v="P204"/>
    <n v="1.1890000000000001"/>
    <n v="2.8"/>
    <n v="24"/>
    <n v="216"/>
    <n v="3.8"/>
    <n v="23422.3488"/>
  </r>
  <r>
    <x v="16"/>
    <x v="24"/>
    <x v="10"/>
    <m/>
    <x v="7"/>
    <x v="9"/>
    <x v="1"/>
    <x v="10"/>
    <n v="4"/>
    <n v="16"/>
    <n v="4"/>
    <n v="9440"/>
    <m/>
    <n v="2"/>
    <n v="2"/>
    <n v="9440"/>
    <m/>
    <n v="0"/>
    <n v="0"/>
    <n v="8980"/>
    <m/>
    <n v="11"/>
    <n v="0"/>
    <n v="8980"/>
    <m/>
    <n v="3.6"/>
    <n v="19.333333333333332"/>
    <n v="0.99198717948717952"/>
    <n v="92.1"/>
    <n v="2.4166666666666665"/>
    <n v="1.9166666666666667"/>
    <x v="2"/>
    <n v="2"/>
    <s v="JERON"/>
    <s v="JERON"/>
    <s v="VIN"/>
    <s v="VIN"/>
    <x v="2"/>
    <s v="P203"/>
    <n v="0.91100000000000003"/>
    <n v="1.5"/>
    <n v="24"/>
    <n v="216"/>
    <n v="2.5"/>
    <n v="11806.560000000001"/>
  </r>
  <r>
    <x v="16"/>
    <x v="24"/>
    <x v="23"/>
    <s v="K"/>
    <x v="16"/>
    <x v="18"/>
    <x v="2"/>
    <x v="22"/>
    <n v="5.5"/>
    <m/>
    <m/>
    <s v="改紡"/>
    <s v="待料"/>
    <m/>
    <m/>
    <m/>
    <s v="改紡待料"/>
    <m/>
    <m/>
    <m/>
    <s v="改紡待料"/>
    <m/>
    <m/>
    <m/>
    <s v="改紡待料"/>
    <n v="6.6055045871559646"/>
    <s v="改紡"/>
    <s v=""/>
    <s v=""/>
    <s v=""/>
    <s v=""/>
    <x v="2"/>
    <n v="2"/>
    <s v="JERON"/>
    <s v="JERON"/>
    <s v="VIN"/>
    <s v="VIN"/>
    <x v="3"/>
    <s v="P227"/>
    <n v="1.859"/>
    <n v="3.3"/>
    <n v="24"/>
    <n v="216"/>
    <n v="4.3"/>
    <n v="41439.340799999998"/>
  </r>
  <r>
    <x v="16"/>
    <x v="25"/>
    <x v="12"/>
    <s v="K"/>
    <x v="6"/>
    <x v="7"/>
    <x v="3"/>
    <x v="12"/>
    <n v="5.5"/>
    <n v="16"/>
    <n v="0"/>
    <s v="改紡"/>
    <n v="10000"/>
    <n v="16"/>
    <n v="0"/>
    <s v="改紡"/>
    <n v="9630"/>
    <n v="10"/>
    <n v="0"/>
    <s v="開車"/>
    <n v="9810"/>
    <n v="15"/>
    <n v="0"/>
    <n v="4170"/>
    <n v="9810"/>
    <n v="5.8299595141700413"/>
    <s v="改紡"/>
    <n v="1"/>
    <s v=""/>
    <s v=""/>
    <s v=""/>
    <x v="2"/>
    <n v="2"/>
    <s v="BRYAN"/>
    <s v="BRYAN"/>
    <s v="WILSON"/>
    <s v="WILSON"/>
    <x v="2"/>
    <s v="P204"/>
    <n v="1.1890000000000001"/>
    <n v="2.8"/>
    <n v="24"/>
    <n v="216"/>
    <n v="3.8"/>
    <n v="23422.3488"/>
  </r>
  <r>
    <x v="16"/>
    <x v="26"/>
    <x v="13"/>
    <s v="K"/>
    <x v="6"/>
    <x v="7"/>
    <x v="3"/>
    <x v="13"/>
    <n v="5.5"/>
    <n v="28"/>
    <n v="2"/>
    <n v="9910"/>
    <n v="9630"/>
    <n v="15"/>
    <n v="0"/>
    <n v="9630"/>
    <n v="9630"/>
    <n v="0"/>
    <n v="0"/>
    <n v="8890"/>
    <n v="9260"/>
    <n v="28"/>
    <n v="0"/>
    <n v="9910"/>
    <n v="9510"/>
    <n v="5.8299595141700413"/>
    <n v="23.666666666666668"/>
    <n v="0.99835069444444446"/>
    <n v="95.462500000000006"/>
    <n v="2.9583333333333335"/>
    <n v="2.875"/>
    <x v="2"/>
    <n v="1"/>
    <s v="BRYAN"/>
    <s v="BRYAN"/>
    <s v="WILSON"/>
    <s v="WILSON"/>
    <x v="2"/>
    <s v="P204"/>
    <n v="1.1890000000000001"/>
    <n v="2.8"/>
    <n v="24"/>
    <n v="216"/>
    <n v="3.8"/>
    <n v="23422.3488"/>
  </r>
  <r>
    <x v="16"/>
    <x v="27"/>
    <x v="18"/>
    <m/>
    <x v="12"/>
    <x v="14"/>
    <x v="2"/>
    <x v="17"/>
    <n v="4"/>
    <n v="11"/>
    <n v="0"/>
    <n v="3533"/>
    <m/>
    <n v="5"/>
    <n v="0"/>
    <n v="3706"/>
    <m/>
    <n v="4"/>
    <n v="0"/>
    <n v="3542"/>
    <m/>
    <n v="23"/>
    <n v="0"/>
    <n v="3630"/>
    <m/>
    <n v="1.6179775280898876"/>
    <n v="86"/>
    <n v="1"/>
    <n v="36.027500000000003"/>
    <n v="10.75"/>
    <n v="10.75"/>
    <x v="3"/>
    <n v="6"/>
    <s v="RON"/>
    <s v="RON"/>
    <s v="J.P"/>
    <s v="J.P"/>
    <x v="2"/>
    <s v="P123"/>
    <n v="0.66900000000000004"/>
    <n v="1.6"/>
    <n v="24"/>
    <n v="216"/>
    <n v="2.6"/>
    <n v="9017.0496000000021"/>
  </r>
  <r>
    <x v="16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J.P"/>
    <s v="J.P"/>
    <x v="0"/>
    <s v=""/>
    <s v=""/>
    <s v=""/>
    <n v="24"/>
    <n v="216"/>
    <s v=""/>
    <s v=""/>
  </r>
  <r>
    <x v="17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2"/>
    <x v="15"/>
    <m/>
    <x v="9"/>
    <x v="11"/>
    <x v="4"/>
    <x v="14"/>
    <n v="4"/>
    <m/>
    <m/>
    <s v="了機"/>
    <s v="停機"/>
    <m/>
    <m/>
    <s v="了機"/>
    <s v="停機"/>
    <m/>
    <m/>
    <s v="了機"/>
    <s v="停機"/>
    <m/>
    <m/>
    <s v="了機"/>
    <s v="停機"/>
    <n v="2.9937629937629939"/>
    <s v="了機"/>
    <s v=""/>
    <s v=""/>
    <s v=""/>
    <s v=""/>
    <x v="0"/>
    <n v="1"/>
    <s v="JUNJUN"/>
    <s v="JUNJUN"/>
    <s v="DENNIS"/>
    <s v="DENNIS"/>
    <x v="1"/>
    <s v="P203"/>
    <n v="0.91100000000000003"/>
    <n v="1.9"/>
    <n v="24"/>
    <n v="216"/>
    <n v="2.9"/>
    <n v="13695.6096"/>
  </r>
  <r>
    <x v="17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5"/>
    <x v="1"/>
    <m/>
    <x v="1"/>
    <x v="1"/>
    <x v="1"/>
    <x v="1"/>
    <n v="5"/>
    <n v="28"/>
    <n v="0"/>
    <n v="8852"/>
    <n v="9117"/>
    <n v="8"/>
    <n v="0"/>
    <n v="9121"/>
    <n v="9313"/>
    <n v="10"/>
    <n v="0"/>
    <n v="9132"/>
    <n v="9263"/>
    <n v="40"/>
    <n v="0"/>
    <n v="9105"/>
    <n v="8811"/>
    <n v="2.8015564202334629"/>
    <n v="14.333333333333334"/>
    <n v="1"/>
    <n v="90.892499999999998"/>
    <n v="1.7916666666666667"/>
    <n v="1.7916666666666667"/>
    <x v="0"/>
    <n v="0.5"/>
    <s v="JB"/>
    <s v="JB"/>
    <s v="DENNIS"/>
    <s v="DENNIS"/>
    <x v="1"/>
    <s v="P203"/>
    <n v="0.91100000000000003"/>
    <n v="1.7"/>
    <n v="24"/>
    <n v="216"/>
    <n v="2.7"/>
    <n v="12751.084800000001"/>
  </r>
  <r>
    <x v="17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7"/>
    <x v="17"/>
    <m/>
    <x v="11"/>
    <x v="13"/>
    <x v="1"/>
    <x v="16"/>
    <n v="4"/>
    <n v="21"/>
    <n v="4"/>
    <n v="9013"/>
    <n v="9705"/>
    <n v="11"/>
    <n v="5"/>
    <n v="9001"/>
    <n v="9720"/>
    <n v="5"/>
    <n v="0"/>
    <n v="9011"/>
    <n v="9640"/>
    <n v="29"/>
    <n v="0"/>
    <n v="8846"/>
    <n v="9551"/>
    <n v="1.7625458996328029"/>
    <n v="22"/>
    <n v="0.97545072115384612"/>
    <n v="93.108750000000001"/>
    <n v="2.75"/>
    <n v="2.375"/>
    <x v="0"/>
    <n v="1"/>
    <s v="JUNJUN"/>
    <s v="JUNJUN"/>
    <s v="J.P"/>
    <s v="J.P"/>
    <x v="1"/>
    <s v="P203"/>
    <n v="0.91100000000000003"/>
    <n v="0.7"/>
    <n v="24"/>
    <n v="216"/>
    <n v="1.7"/>
    <n v="8028.4608000000007"/>
  </r>
  <r>
    <x v="17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0"/>
    <x v="3"/>
    <s v="G"/>
    <x v="3"/>
    <x v="3"/>
    <x v="1"/>
    <x v="3"/>
    <n v="3"/>
    <n v="13"/>
    <n v="0"/>
    <n v="8461"/>
    <m/>
    <n v="9"/>
    <n v="0"/>
    <n v="8243"/>
    <m/>
    <n v="5"/>
    <n v="0"/>
    <n v="8321"/>
    <m/>
    <n v="11"/>
    <n v="0"/>
    <n v="7809"/>
    <m/>
    <n v="2.4161073825503356"/>
    <n v="25.333333333333332"/>
    <n v="1"/>
    <n v="82.084999999999994"/>
    <n v="3.1666666666666665"/>
    <n v="3.1666666666666665"/>
    <x v="0"/>
    <n v="2"/>
    <s v="JB"/>
    <s v="JB"/>
    <s v="DENNIS"/>
    <s v="DENNIS"/>
    <x v="1"/>
    <s v="P203"/>
    <n v="0.91100000000000003"/>
    <n v="0.8"/>
    <n v="24"/>
    <n v="216"/>
    <n v="1.8"/>
    <n v="8500.7232000000004"/>
  </r>
  <r>
    <x v="17"/>
    <x v="10"/>
    <x v="19"/>
    <m/>
    <x v="13"/>
    <x v="15"/>
    <x v="2"/>
    <x v="18"/>
    <n v="5"/>
    <n v="7"/>
    <n v="0"/>
    <m/>
    <n v="8069"/>
    <n v="5"/>
    <n v="0"/>
    <m/>
    <n v="8006"/>
    <n v="5"/>
    <n v="0"/>
    <m/>
    <n v="7909"/>
    <n v="3"/>
    <n v="0"/>
    <m/>
    <n v="7736"/>
    <n v="1.3345690454124188"/>
    <n v="13.333333333333334"/>
    <n v="1"/>
    <n v="79.3"/>
    <n v="1.6666666666666667"/>
    <n v="1.6666666666666667"/>
    <x v="0"/>
    <n v="2"/>
    <s v="JB"/>
    <s v="JB"/>
    <s v="DENNIS"/>
    <s v="DENNIS"/>
    <x v="3"/>
    <s v="P203"/>
    <n v="0.91100000000000003"/>
    <n v="0.8"/>
    <n v="24"/>
    <n v="216"/>
    <n v="1.8"/>
    <n v="8500.7232000000004"/>
  </r>
  <r>
    <x v="17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5"/>
    <x v="5"/>
    <m/>
    <x v="5"/>
    <x v="5"/>
    <x v="2"/>
    <x v="5"/>
    <n v="5.5"/>
    <m/>
    <m/>
    <s v="了機"/>
    <m/>
    <m/>
    <m/>
    <s v="了機"/>
    <m/>
    <m/>
    <m/>
    <s v="了機"/>
    <s v="FINAL"/>
    <m/>
    <m/>
    <s v="了機"/>
    <s v="停機 "/>
    <n v="4.6905537459283391"/>
    <s v="了機"/>
    <s v=""/>
    <s v=""/>
    <s v=""/>
    <s v=""/>
    <x v="0"/>
    <n v="0.5"/>
    <s v="JB"/>
    <s v="JB"/>
    <s v="DENNIS"/>
    <s v="DENNIS"/>
    <x v="1"/>
    <s v="P204"/>
    <n v="1.1890000000000001"/>
    <n v="1.9"/>
    <n v="24"/>
    <n v="216"/>
    <n v="2.9"/>
    <n v="17874.950400000002"/>
  </r>
  <r>
    <x v="17"/>
    <x v="16"/>
    <x v="20"/>
    <m/>
    <x v="14"/>
    <x v="16"/>
    <x v="6"/>
    <x v="19"/>
    <n v="5"/>
    <n v="20"/>
    <n v="0"/>
    <n v="7144"/>
    <n v="8642"/>
    <n v="8"/>
    <n v="0"/>
    <n v="7265"/>
    <n v="8871"/>
    <n v="10"/>
    <n v="0"/>
    <n v="6987"/>
    <n v="8878"/>
    <n v="28"/>
    <n v="0"/>
    <n v="6602"/>
    <n v="7937"/>
    <n v="5.9259259259259256"/>
    <n v="11"/>
    <n v="1"/>
    <n v="77.907499999999999"/>
    <n v="1.375"/>
    <n v="1.375"/>
    <x v="0"/>
    <n v="0.5"/>
    <s v="JB"/>
    <s v="JB"/>
    <s v="DENNIS"/>
    <s v="DENNIS"/>
    <x v="2"/>
    <s v="P204"/>
    <n v="1.1890000000000001"/>
    <n v="2.6"/>
    <n v="24"/>
    <n v="216"/>
    <n v="3.6"/>
    <n v="22189.5936"/>
  </r>
  <r>
    <x v="17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7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7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7"/>
    <x v="21"/>
    <x v="22"/>
    <s v="K"/>
    <x v="6"/>
    <x v="8"/>
    <x v="1"/>
    <x v="21"/>
    <n v="5.5"/>
    <n v="16"/>
    <n v="0"/>
    <n v="9350"/>
    <m/>
    <n v="6"/>
    <n v="1"/>
    <n v="9350"/>
    <m/>
    <n v="3"/>
    <n v="0"/>
    <n v="9350"/>
    <m/>
    <n v="29"/>
    <n v="0"/>
    <n v="9070"/>
    <m/>
    <n v="5.034965034965035"/>
    <n v="36"/>
    <n v="0.99904513888888891"/>
    <n v="92.8"/>
    <n v="4.5"/>
    <n v="4.416666666666667"/>
    <x v="2"/>
    <n v="2"/>
    <s v="DENDEN"/>
    <s v="DENDEN"/>
    <s v="MAMAY"/>
    <s v="MAMAY"/>
    <x v="2"/>
    <s v="P204"/>
    <n v="1.1890000000000001"/>
    <n v="2.7"/>
    <n v="24"/>
    <n v="216"/>
    <n v="3.7"/>
    <n v="22805.9712"/>
  </r>
  <r>
    <x v="17"/>
    <x v="21"/>
    <x v="7"/>
    <s v="K"/>
    <x v="6"/>
    <x v="7"/>
    <x v="3"/>
    <x v="7"/>
    <n v="5.5"/>
    <n v="29"/>
    <n v="6"/>
    <s v="了機"/>
    <n v="9350"/>
    <m/>
    <m/>
    <m/>
    <s v="了機"/>
    <m/>
    <m/>
    <m/>
    <s v="了機"/>
    <m/>
    <m/>
    <m/>
    <s v="了機"/>
    <n v="5.8775510204081636"/>
    <s v="了機"/>
    <n v="0.99509214743589747"/>
    <s v=""/>
    <s v=""/>
    <s v=""/>
    <x v="2"/>
    <n v="2"/>
    <s v="DENDEN"/>
    <s v="DENDEN"/>
    <s v="MAMAY"/>
    <s v="MAMAY"/>
    <x v="3"/>
    <s v="P204"/>
    <n v="1.1890000000000001"/>
    <n v="3"/>
    <n v="24"/>
    <n v="216"/>
    <n v="4"/>
    <n v="24655.103999999999"/>
  </r>
  <r>
    <x v="17"/>
    <x v="22"/>
    <x v="21"/>
    <s v="K"/>
    <x v="15"/>
    <x v="17"/>
    <x v="3"/>
    <x v="20"/>
    <n v="5.5"/>
    <n v="4"/>
    <n v="0"/>
    <n v="9540"/>
    <n v="9630"/>
    <n v="33"/>
    <n v="1"/>
    <n v="9350"/>
    <n v="8890"/>
    <n v="33"/>
    <n v="3"/>
    <n v="8520"/>
    <n v="8800"/>
    <n v="48"/>
    <n v="0"/>
    <n v="9350"/>
    <n v="9170"/>
    <n v="5.8299595141700413"/>
    <n v="39.333333333333336"/>
    <n v="0.99670138888888893"/>
    <n v="91.5625"/>
    <n v="4.916666666666667"/>
    <n v="4.75"/>
    <x v="2"/>
    <n v="1"/>
    <s v="DENDEN"/>
    <s v="DENDEN"/>
    <s v="MAMAY"/>
    <s v="MAMAY"/>
    <x v="1"/>
    <s v="P204"/>
    <n v="1.1890000000000001"/>
    <n v="2.9"/>
    <n v="24"/>
    <n v="216"/>
    <n v="3.9"/>
    <n v="24038.7264"/>
  </r>
  <r>
    <x v="17"/>
    <x v="23"/>
    <x v="9"/>
    <s v="K"/>
    <x v="6"/>
    <x v="8"/>
    <x v="1"/>
    <x v="9"/>
    <n v="5.5"/>
    <n v="43"/>
    <n v="0"/>
    <n v="9550"/>
    <n v="9810"/>
    <n v="26"/>
    <n v="0"/>
    <n v="9550"/>
    <n v="9810"/>
    <n v="21"/>
    <n v="0"/>
    <n v="9070"/>
    <n v="9350"/>
    <n v="38"/>
    <n v="0"/>
    <n v="8610"/>
    <n v="9310"/>
    <n v="5.034965034965035"/>
    <n v="42.666666666666664"/>
    <n v="1"/>
    <n v="93.825000000000003"/>
    <n v="5.333333333333333"/>
    <n v="5.333333333333333"/>
    <x v="2"/>
    <n v="1"/>
    <s v="JHO"/>
    <s v="JHO"/>
    <s v="WILSON"/>
    <s v="WILSON"/>
    <x v="2"/>
    <s v="P204"/>
    <n v="1.1890000000000001"/>
    <n v="2.8"/>
    <n v="24"/>
    <n v="216"/>
    <n v="3.8"/>
    <n v="23422.3488"/>
  </r>
  <r>
    <x v="17"/>
    <x v="24"/>
    <x v="10"/>
    <m/>
    <x v="7"/>
    <x v="9"/>
    <x v="1"/>
    <x v="10"/>
    <n v="4"/>
    <n v="11"/>
    <n v="2"/>
    <n v="9350"/>
    <m/>
    <n v="10"/>
    <n v="1"/>
    <n v="9350"/>
    <m/>
    <n v="3"/>
    <n v="0"/>
    <n v="9350"/>
    <m/>
    <n v="6"/>
    <n v="0"/>
    <n v="9350"/>
    <m/>
    <n v="3.6"/>
    <n v="20"/>
    <n v="0.99599358974358976"/>
    <n v="93.5"/>
    <n v="2.5"/>
    <n v="2.25"/>
    <x v="2"/>
    <n v="2"/>
    <s v="DENDEN"/>
    <s v="DENDEN"/>
    <s v="MAMAY"/>
    <s v="MAMAY"/>
    <x v="2"/>
    <s v="P203"/>
    <n v="0.91100000000000003"/>
    <n v="1.5"/>
    <n v="24"/>
    <n v="216"/>
    <n v="2.5"/>
    <n v="11806.560000000001"/>
  </r>
  <r>
    <x v="17"/>
    <x v="24"/>
    <x v="23"/>
    <s v="K"/>
    <x v="16"/>
    <x v="18"/>
    <x v="2"/>
    <x v="22"/>
    <n v="5.5"/>
    <m/>
    <m/>
    <s v="改紡"/>
    <s v="待料"/>
    <m/>
    <m/>
    <m/>
    <s v="改紡待料"/>
    <m/>
    <m/>
    <m/>
    <s v="改紡待料"/>
    <m/>
    <m/>
    <m/>
    <s v="改紡待料"/>
    <n v="6.6055045871559646"/>
    <s v="改紡"/>
    <s v=""/>
    <s v=""/>
    <s v=""/>
    <s v="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17"/>
    <x v="25"/>
    <x v="12"/>
    <s v="K"/>
    <x v="6"/>
    <x v="7"/>
    <x v="3"/>
    <x v="12"/>
    <n v="5.5"/>
    <n v="17"/>
    <n v="0"/>
    <n v="4530"/>
    <n v="10000"/>
    <n v="16"/>
    <n v="0"/>
    <n v="4170"/>
    <n v="10000"/>
    <n v="23"/>
    <n v="0"/>
    <n v="4070"/>
    <n v="10000"/>
    <n v="20"/>
    <n v="0"/>
    <n v="3700"/>
    <n v="9440"/>
    <n v="5.8299595141700413"/>
    <n v="25.333333333333332"/>
    <n v="1"/>
    <n v="69.887500000000003"/>
    <n v="3.1666666666666665"/>
    <n v="3.1666666666666665"/>
    <x v="2"/>
    <n v="1"/>
    <s v="JHO"/>
    <s v="JHO"/>
    <s v="WILSON"/>
    <s v="WILSON"/>
    <x v="2"/>
    <s v="P204"/>
    <n v="1.1890000000000001"/>
    <n v="2.8"/>
    <n v="24"/>
    <n v="216"/>
    <n v="3.8"/>
    <n v="23422.3488"/>
  </r>
  <r>
    <x v="17"/>
    <x v="26"/>
    <x v="13"/>
    <s v="K"/>
    <x v="6"/>
    <x v="7"/>
    <x v="3"/>
    <x v="13"/>
    <n v="5.5"/>
    <n v="29"/>
    <n v="0"/>
    <n v="9910"/>
    <n v="9640"/>
    <n v="15"/>
    <n v="0"/>
    <n v="9910"/>
    <n v="9640"/>
    <n v="7"/>
    <n v="0"/>
    <n v="9910"/>
    <n v="9350"/>
    <n v="22"/>
    <n v="0"/>
    <n v="9720"/>
    <n v="8800"/>
    <n v="5.8299595141700413"/>
    <n v="24.333333333333332"/>
    <n v="1"/>
    <n v="96.1"/>
    <n v="3.0416666666666665"/>
    <n v="3.0416666666666665"/>
    <x v="2"/>
    <n v="1"/>
    <s v="JHO"/>
    <s v="JHO"/>
    <s v="WILSON"/>
    <s v="WILSON"/>
    <x v="2"/>
    <s v="P204"/>
    <n v="1.1890000000000001"/>
    <n v="2.8"/>
    <n v="24"/>
    <n v="216"/>
    <n v="3.8"/>
    <n v="23422.3488"/>
  </r>
  <r>
    <x v="17"/>
    <x v="27"/>
    <x v="18"/>
    <m/>
    <x v="12"/>
    <x v="14"/>
    <x v="2"/>
    <x v="17"/>
    <n v="4"/>
    <n v="6"/>
    <n v="0"/>
    <n v="3668"/>
    <m/>
    <n v="4"/>
    <n v="0"/>
    <n v="3649"/>
    <m/>
    <n v="4"/>
    <n v="0"/>
    <n v="3666"/>
    <m/>
    <n v="7"/>
    <n v="0"/>
    <n v="3612"/>
    <m/>
    <n v="1.6179775280898876"/>
    <n v="42"/>
    <n v="1"/>
    <n v="36.487499999999997"/>
    <n v="5.25"/>
    <n v="5.25"/>
    <x v="3"/>
    <n v="6"/>
    <s v="RON"/>
    <s v="RON"/>
    <s v="J.P"/>
    <s v="J.P"/>
    <x v="2"/>
    <s v="P123"/>
    <n v="0.66900000000000004"/>
    <n v="1.6"/>
    <n v="24"/>
    <n v="216"/>
    <n v="2.6"/>
    <n v="9017.0496000000021"/>
  </r>
  <r>
    <x v="17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J.P"/>
    <s v="J.P"/>
    <x v="0"/>
    <s v=""/>
    <s v=""/>
    <s v=""/>
    <n v="24"/>
    <n v="216"/>
    <s v=""/>
    <s v=""/>
  </r>
  <r>
    <x v="18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2"/>
    <x v="15"/>
    <m/>
    <x v="9"/>
    <x v="11"/>
    <x v="4"/>
    <x v="14"/>
    <n v="4"/>
    <m/>
    <m/>
    <s v="了機"/>
    <s v="停機"/>
    <m/>
    <m/>
    <s v="了機"/>
    <s v="停機"/>
    <m/>
    <m/>
    <s v="了機"/>
    <s v="停機"/>
    <m/>
    <m/>
    <s v="了機"/>
    <s v="停機"/>
    <n v="2.9937629937629939"/>
    <s v="了機"/>
    <s v=""/>
    <s v=""/>
    <s v=""/>
    <s v=""/>
    <x v="0"/>
    <n v="1"/>
    <s v="NASH"/>
    <s v="NASH"/>
    <s v="J.P"/>
    <s v="J.P"/>
    <x v="1"/>
    <s v="P203"/>
    <n v="0.91100000000000003"/>
    <n v="1.9"/>
    <n v="24"/>
    <n v="216"/>
    <n v="2.9"/>
    <n v="13695.6096"/>
  </r>
  <r>
    <x v="18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5"/>
    <x v="1"/>
    <m/>
    <x v="1"/>
    <x v="1"/>
    <x v="1"/>
    <x v="1"/>
    <n v="5"/>
    <n v="26"/>
    <n v="6"/>
    <n v="8903"/>
    <n v="9210"/>
    <n v="8"/>
    <n v="0"/>
    <n v="9040"/>
    <n v="9164"/>
    <n v="10"/>
    <n v="0"/>
    <n v="8945"/>
    <n v="9132"/>
    <n v="10"/>
    <n v="0"/>
    <n v="9117"/>
    <n v="9011"/>
    <n v="2.8015564202334629"/>
    <n v="9"/>
    <n v="0.98970352564102559"/>
    <n v="90.652500000000003"/>
    <n v="1.125"/>
    <n v="1"/>
    <x v="0"/>
    <n v="0.5"/>
    <s v="JUNJUN"/>
    <s v="JUNJUN"/>
    <s v="DENNIS"/>
    <s v="DENNIS"/>
    <x v="1"/>
    <s v="P203"/>
    <n v="0.91100000000000003"/>
    <n v="1.7"/>
    <n v="24"/>
    <n v="216"/>
    <n v="2.7"/>
    <n v="12751.084800000001"/>
  </r>
  <r>
    <x v="18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7"/>
    <x v="17"/>
    <m/>
    <x v="11"/>
    <x v="13"/>
    <x v="1"/>
    <x v="16"/>
    <n v="4"/>
    <n v="18"/>
    <n v="3"/>
    <n v="8828"/>
    <n v="9550"/>
    <n v="11"/>
    <n v="1"/>
    <n v="8743"/>
    <n v="9392"/>
    <n v="10"/>
    <n v="0"/>
    <n v="8924"/>
    <n v="9430"/>
    <n v="33"/>
    <n v="0"/>
    <n v="8804"/>
    <n v="9338"/>
    <n v="1.7625458996328029"/>
    <n v="24"/>
    <n v="0.98908920940170941"/>
    <n v="91.261250000000004"/>
    <n v="3"/>
    <n v="2.8333333333333335"/>
    <x v="0"/>
    <n v="1"/>
    <s v="NASH"/>
    <s v="NASH"/>
    <s v="J.P"/>
    <s v="J.P"/>
    <x v="1"/>
    <s v="P203"/>
    <n v="0.91100000000000003"/>
    <n v="0.7"/>
    <n v="24"/>
    <n v="216"/>
    <n v="1.7"/>
    <n v="8028.4608000000007"/>
  </r>
  <r>
    <x v="18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0"/>
    <x v="3"/>
    <s v="G"/>
    <x v="3"/>
    <x v="3"/>
    <x v="1"/>
    <x v="3"/>
    <n v="3"/>
    <n v="21"/>
    <n v="7"/>
    <n v="7710"/>
    <m/>
    <n v="4"/>
    <n v="0"/>
    <n v="8005"/>
    <m/>
    <n v="10"/>
    <n v="0"/>
    <n v="7893"/>
    <m/>
    <n v="12"/>
    <n v="0"/>
    <n v="7309"/>
    <m/>
    <n v="2.4161073825503356"/>
    <n v="31.333333333333332"/>
    <n v="0.98607104700854697"/>
    <n v="77.292500000000004"/>
    <n v="3.9166666666666665"/>
    <n v="3.3333333333333335"/>
    <x v="0"/>
    <n v="2"/>
    <s v="JUNJUN"/>
    <s v="JUNJUN"/>
    <s v="DENNIS"/>
    <s v="DENNIS"/>
    <x v="1"/>
    <s v="P203"/>
    <n v="0.91100000000000003"/>
    <n v="0.8"/>
    <n v="24"/>
    <n v="216"/>
    <n v="1.8"/>
    <n v="8500.7232000000004"/>
  </r>
  <r>
    <x v="18"/>
    <x v="10"/>
    <x v="19"/>
    <m/>
    <x v="13"/>
    <x v="15"/>
    <x v="2"/>
    <x v="18"/>
    <n v="5"/>
    <n v="13"/>
    <n v="1"/>
    <m/>
    <n v="7780"/>
    <n v="2"/>
    <n v="0"/>
    <m/>
    <n v="8050"/>
    <n v="2"/>
    <n v="0"/>
    <m/>
    <n v="7973"/>
    <m/>
    <m/>
    <m/>
    <s v="了機"/>
    <n v="1.3345690454124188"/>
    <n v="11.333333333333334"/>
    <n v="0.99639756944444446"/>
    <n v="79.343333333333334"/>
    <n v="1.4166666666666667"/>
    <n v="1.3333333333333333"/>
    <x v="0"/>
    <n v="2"/>
    <s v="JUNJUN"/>
    <s v="JUNJUN"/>
    <s v="DENNIS"/>
    <s v="DENNIS"/>
    <x v="3"/>
    <s v="P203"/>
    <n v="0.91100000000000003"/>
    <n v="0.8"/>
    <n v="24"/>
    <n v="216"/>
    <n v="1.8"/>
    <n v="8500.7232000000004"/>
  </r>
  <r>
    <x v="18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5"/>
    <x v="5"/>
    <m/>
    <x v="5"/>
    <x v="5"/>
    <x v="2"/>
    <x v="5"/>
    <n v="5.5"/>
    <m/>
    <m/>
    <s v="了機"/>
    <s v="停機"/>
    <m/>
    <m/>
    <s v="了機"/>
    <s v="停機"/>
    <m/>
    <m/>
    <s v="了機"/>
    <s v="停機"/>
    <m/>
    <m/>
    <s v="了機"/>
    <s v="停機 "/>
    <n v="4.6905537459283391"/>
    <s v="了機"/>
    <s v=""/>
    <s v=""/>
    <s v=""/>
    <s v=""/>
    <x v="0"/>
    <n v="1"/>
    <s v="JUNJUN"/>
    <s v="JUNJUN"/>
    <s v="DENNIS"/>
    <s v="DENNIS"/>
    <x v="1"/>
    <s v="P204"/>
    <n v="1.1890000000000001"/>
    <n v="1.9"/>
    <n v="24"/>
    <n v="216"/>
    <n v="2.9"/>
    <n v="17874.950400000002"/>
  </r>
  <r>
    <x v="18"/>
    <x v="16"/>
    <x v="20"/>
    <m/>
    <x v="14"/>
    <x v="16"/>
    <x v="6"/>
    <x v="19"/>
    <n v="5"/>
    <n v="28"/>
    <n v="4"/>
    <n v="7001"/>
    <n v="8110"/>
    <n v="12"/>
    <n v="6"/>
    <n v="7410"/>
    <n v="8204"/>
    <n v="4"/>
    <n v="0"/>
    <n v="7483"/>
    <n v="8253"/>
    <n v="26"/>
    <n v="0"/>
    <n v="6888"/>
    <n v="6944"/>
    <n v="5.9259259259259256"/>
    <n v="11.666666666666666"/>
    <n v="0.99188701923076927"/>
    <n v="75.366249999999994"/>
    <n v="1.4583333333333333"/>
    <n v="1.25"/>
    <x v="0"/>
    <n v="0.5"/>
    <s v="JUNJUN"/>
    <s v="JUNJUN"/>
    <s v="DENNIS"/>
    <s v="DENNIS"/>
    <x v="2"/>
    <s v="P204"/>
    <n v="1.1890000000000001"/>
    <n v="2.6"/>
    <n v="24"/>
    <n v="216"/>
    <n v="3.6"/>
    <n v="22189.5936"/>
  </r>
  <r>
    <x v="18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8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8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8"/>
    <x v="21"/>
    <x v="22"/>
    <s v="K"/>
    <x v="6"/>
    <x v="8"/>
    <x v="1"/>
    <x v="21"/>
    <n v="5.5"/>
    <n v="12"/>
    <n v="0"/>
    <n v="9350"/>
    <m/>
    <n v="11"/>
    <n v="0"/>
    <n v="9350"/>
    <m/>
    <n v="5"/>
    <n v="0"/>
    <n v="9260"/>
    <m/>
    <n v="24"/>
    <n v="0"/>
    <n v="9260"/>
    <m/>
    <n v="5.034965034965035"/>
    <n v="34.666666666666664"/>
    <n v="1"/>
    <n v="93.05"/>
    <n v="4.333333333333333"/>
    <n v="4.333333333333333"/>
    <x v="2"/>
    <n v="2"/>
    <s v="BRYAN"/>
    <s v="BRYAN"/>
    <s v="VIN"/>
    <s v="VIN"/>
    <x v="2"/>
    <s v="P204"/>
    <n v="1.1890000000000001"/>
    <n v="2.7"/>
    <n v="24"/>
    <n v="216"/>
    <n v="3.7"/>
    <n v="22805.9712"/>
  </r>
  <r>
    <x v="18"/>
    <x v="21"/>
    <x v="7"/>
    <s v="K"/>
    <x v="6"/>
    <x v="7"/>
    <x v="3"/>
    <x v="7"/>
    <n v="5.5"/>
    <m/>
    <m/>
    <s v="了機"/>
    <s v="了機"/>
    <m/>
    <m/>
    <m/>
    <s v="了機"/>
    <m/>
    <m/>
    <m/>
    <s v="FINAL"/>
    <m/>
    <m/>
    <m/>
    <s v="停機"/>
    <n v="5.8775510204081636"/>
    <s v="了機"/>
    <s v=""/>
    <s v=""/>
    <s v=""/>
    <s v=""/>
    <x v="2"/>
    <n v="2"/>
    <s v="BRYAN"/>
    <s v="BRYAN"/>
    <s v="VIN"/>
    <s v="VIN"/>
    <x v="3"/>
    <s v="P204"/>
    <n v="1.1890000000000001"/>
    <n v="3"/>
    <n v="24"/>
    <n v="216"/>
    <n v="4"/>
    <n v="24655.103999999999"/>
  </r>
  <r>
    <x v="18"/>
    <x v="22"/>
    <x v="21"/>
    <s v="K"/>
    <x v="15"/>
    <x v="17"/>
    <x v="3"/>
    <x v="20"/>
    <n v="5.5"/>
    <n v="38"/>
    <n v="8"/>
    <n v="9630"/>
    <n v="9540"/>
    <n v="19"/>
    <n v="0"/>
    <n v="8800"/>
    <n v="9540"/>
    <n v="43"/>
    <n v="0"/>
    <n v="8980"/>
    <n v="8700"/>
    <n v="37"/>
    <n v="0"/>
    <n v="9260"/>
    <n v="9350"/>
    <n v="5.8299595141700413"/>
    <n v="45.666666666666664"/>
    <n v="0.99340277777777775"/>
    <n v="92.25"/>
    <n v="5.708333333333333"/>
    <n v="5.375"/>
    <x v="2"/>
    <n v="1"/>
    <s v="BRYAN"/>
    <s v="BRYAN"/>
    <s v="VIN"/>
    <s v="VIN"/>
    <x v="1"/>
    <s v="P204"/>
    <n v="1.1890000000000001"/>
    <n v="2.9"/>
    <n v="24"/>
    <n v="216"/>
    <n v="3.9"/>
    <n v="24038.7264"/>
  </r>
  <r>
    <x v="18"/>
    <x v="23"/>
    <x v="9"/>
    <s v="K"/>
    <x v="6"/>
    <x v="8"/>
    <x v="1"/>
    <x v="9"/>
    <n v="5.5"/>
    <n v="38"/>
    <n v="0"/>
    <n v="8800"/>
    <n v="9260"/>
    <n v="29"/>
    <n v="0"/>
    <n v="9070"/>
    <n v="9260"/>
    <n v="8"/>
    <n v="0"/>
    <n v="9070"/>
    <n v="9260"/>
    <n v="46"/>
    <n v="3"/>
    <n v="9350"/>
    <n v="9350"/>
    <n v="5.034965034965035"/>
    <n v="40.333333333333336"/>
    <n v="0.99713541666666672"/>
    <n v="91.775000000000006"/>
    <n v="5.041666666666667"/>
    <n v="4.916666666666667"/>
    <x v="2"/>
    <n v="1"/>
    <s v="JHO"/>
    <s v="JHO"/>
    <s v="MAMAY"/>
    <s v="MAMAY"/>
    <x v="2"/>
    <s v="P204"/>
    <n v="1.1890000000000001"/>
    <n v="2.8"/>
    <n v="24"/>
    <n v="216"/>
    <n v="3.8"/>
    <n v="23422.3488"/>
  </r>
  <r>
    <x v="18"/>
    <x v="24"/>
    <x v="10"/>
    <m/>
    <x v="7"/>
    <x v="9"/>
    <x v="1"/>
    <x v="10"/>
    <n v="4"/>
    <n v="16"/>
    <n v="0"/>
    <n v="9350"/>
    <m/>
    <n v="5"/>
    <n v="0"/>
    <n v="9350"/>
    <m/>
    <n v="7"/>
    <n v="0"/>
    <n v="8980"/>
    <m/>
    <n v="17"/>
    <n v="0"/>
    <n v="8800"/>
    <m/>
    <n v="3.6"/>
    <n v="30"/>
    <n v="1"/>
    <n v="91.2"/>
    <n v="3.75"/>
    <n v="3.75"/>
    <x v="2"/>
    <n v="2"/>
    <s v="BRYAN"/>
    <s v="BRYAN"/>
    <s v="VIN"/>
    <s v="VIN"/>
    <x v="2"/>
    <s v="P203"/>
    <n v="0.91100000000000003"/>
    <n v="1.5"/>
    <n v="24"/>
    <n v="216"/>
    <n v="2.5"/>
    <n v="11806.560000000001"/>
  </r>
  <r>
    <x v="18"/>
    <x v="24"/>
    <x v="23"/>
    <s v="K"/>
    <x v="16"/>
    <x v="18"/>
    <x v="2"/>
    <x v="22"/>
    <n v="5.5"/>
    <m/>
    <m/>
    <s v="改紡"/>
    <m/>
    <n v="0"/>
    <n v="0"/>
    <m/>
    <n v="8240"/>
    <n v="8"/>
    <n v="0"/>
    <m/>
    <n v="8240"/>
    <n v="10"/>
    <n v="0"/>
    <m/>
    <n v="8700"/>
    <n v="6.6055045871559646"/>
    <s v="改紡"/>
    <s v=""/>
    <s v=""/>
    <s v=""/>
    <s v=""/>
    <x v="2"/>
    <n v="2"/>
    <s v="BRYAN"/>
    <s v="BRYAN"/>
    <s v="VIN"/>
    <s v="VIN"/>
    <x v="3"/>
    <s v="P227"/>
    <n v="1.859"/>
    <n v="3.3"/>
    <n v="24"/>
    <n v="216"/>
    <n v="4.3"/>
    <n v="41439.340799999998"/>
  </r>
  <r>
    <x v="18"/>
    <x v="25"/>
    <x v="12"/>
    <s v="K"/>
    <x v="6"/>
    <x v="7"/>
    <x v="3"/>
    <x v="12"/>
    <n v="5.5"/>
    <n v="18"/>
    <n v="0"/>
    <n v="4170"/>
    <n v="8800"/>
    <n v="19"/>
    <n v="0"/>
    <n v="3540"/>
    <n v="9720"/>
    <n v="24"/>
    <n v="1"/>
    <n v="3330"/>
    <n v="9720"/>
    <n v="24"/>
    <n v="1"/>
    <n v="3890"/>
    <n v="9810"/>
    <n v="5.8299595141700413"/>
    <n v="28.333333333333332"/>
    <n v="0.99835069444444446"/>
    <n v="66.224999999999994"/>
    <n v="3.5416666666666665"/>
    <n v="3.4583333333333335"/>
    <x v="2"/>
    <n v="1"/>
    <s v="JHO"/>
    <s v="JHO"/>
    <s v="MAMAY"/>
    <s v="MAMAY"/>
    <x v="2"/>
    <s v="P204"/>
    <n v="1.1890000000000001"/>
    <n v="2.8"/>
    <n v="24"/>
    <n v="216"/>
    <n v="3.8"/>
    <n v="23422.3488"/>
  </r>
  <r>
    <x v="18"/>
    <x v="26"/>
    <x v="13"/>
    <s v="K"/>
    <x v="6"/>
    <x v="7"/>
    <x v="3"/>
    <x v="13"/>
    <n v="5.5"/>
    <n v="41"/>
    <n v="0"/>
    <n v="9910"/>
    <n v="9630"/>
    <n v="11"/>
    <n v="0"/>
    <n v="8980"/>
    <n v="8540"/>
    <n v="29"/>
    <n v="4"/>
    <n v="9540"/>
    <n v="8890"/>
    <n v="39"/>
    <n v="4"/>
    <n v="9630"/>
    <n v="9070"/>
    <n v="5.8299595141700413"/>
    <n v="40"/>
    <n v="0.99340277777777775"/>
    <n v="92.737499999999997"/>
    <n v="5"/>
    <n v="4.666666666666667"/>
    <x v="2"/>
    <n v="1"/>
    <s v="JHO"/>
    <s v="JHO"/>
    <s v="MAMAY"/>
    <s v="MAMAY"/>
    <x v="2"/>
    <s v="P204"/>
    <n v="1.1890000000000001"/>
    <n v="2.8"/>
    <n v="24"/>
    <n v="216"/>
    <n v="3.8"/>
    <n v="23422.3488"/>
  </r>
  <r>
    <x v="18"/>
    <x v="27"/>
    <x v="18"/>
    <m/>
    <x v="12"/>
    <x v="14"/>
    <x v="2"/>
    <x v="17"/>
    <n v="4"/>
    <n v="10"/>
    <n v="0"/>
    <n v="3491"/>
    <m/>
    <n v="4"/>
    <n v="0"/>
    <n v="3571"/>
    <m/>
    <n v="10"/>
    <n v="0"/>
    <n v="3495"/>
    <m/>
    <n v="8"/>
    <n v="0"/>
    <n v="3438"/>
    <m/>
    <n v="1.6179775280898876"/>
    <n v="64"/>
    <n v="1"/>
    <n v="34.987499999999997"/>
    <n v="8"/>
    <n v="8"/>
    <x v="3"/>
    <n v="6"/>
    <s v="KIM"/>
    <s v="KIM"/>
    <s v="J.P"/>
    <s v="J.P"/>
    <x v="2"/>
    <s v="P123"/>
    <n v="0.66900000000000004"/>
    <n v="1.6"/>
    <n v="24"/>
    <n v="216"/>
    <n v="2.6"/>
    <n v="9017.0496000000021"/>
  </r>
  <r>
    <x v="18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J.P"/>
    <s v="J.P"/>
    <x v="0"/>
    <s v=""/>
    <s v=""/>
    <s v=""/>
    <n v="24"/>
    <n v="216"/>
    <s v=""/>
    <s v=""/>
  </r>
  <r>
    <x v="19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2"/>
    <x v="15"/>
    <m/>
    <x v="9"/>
    <x v="11"/>
    <x v="4"/>
    <x v="14"/>
    <n v="4"/>
    <m/>
    <m/>
    <s v="了機"/>
    <s v="停機"/>
    <m/>
    <m/>
    <s v="了機"/>
    <s v="停機"/>
    <m/>
    <m/>
    <s v="FINAL"/>
    <s v="停機"/>
    <m/>
    <m/>
    <s v="停機"/>
    <m/>
    <n v="2.9937629937629939"/>
    <s v="了機"/>
    <s v=""/>
    <s v=""/>
    <s v=""/>
    <s v=""/>
    <x v="0"/>
    <n v="1"/>
    <s v="RICKY"/>
    <s v="RICKY"/>
    <s v="CHALS"/>
    <s v="CHALS"/>
    <x v="1"/>
    <s v="P203"/>
    <n v="0.91100000000000003"/>
    <n v="1.9"/>
    <n v="24"/>
    <n v="216"/>
    <n v="2.9"/>
    <n v="13695.6096"/>
  </r>
  <r>
    <x v="19"/>
    <x v="3"/>
    <x v="24"/>
    <m/>
    <x v="0"/>
    <x v="0"/>
    <x v="0"/>
    <x v="0"/>
    <s v=""/>
    <m/>
    <m/>
    <s v="TEST"/>
    <m/>
    <m/>
    <m/>
    <s v="TEST"/>
    <m/>
    <m/>
    <m/>
    <s v="TEST"/>
    <m/>
    <m/>
    <m/>
    <s v="停機"/>
    <m/>
    <s v=""/>
    <s v="TEST"/>
    <s v=""/>
    <s v=""/>
    <s v=""/>
    <s v=""/>
    <x v="0"/>
    <n v="1"/>
    <s v="N/A"/>
    <s v="N/A"/>
    <s v="CHALS"/>
    <s v="CHALS"/>
    <x v="0"/>
    <s v=""/>
    <s v=""/>
    <s v=""/>
    <n v="24"/>
    <n v="216"/>
    <s v=""/>
    <s v=""/>
  </r>
  <r>
    <x v="19"/>
    <x v="3"/>
    <x v="25"/>
    <m/>
    <x v="17"/>
    <x v="19"/>
    <x v="4"/>
    <x v="4"/>
    <n v="5"/>
    <m/>
    <m/>
    <s v="改紡"/>
    <m/>
    <m/>
    <m/>
    <m/>
    <s v="改紡"/>
    <n v="30"/>
    <n v="0"/>
    <n v="3352"/>
    <s v="開車"/>
    <n v="48"/>
    <n v="0"/>
    <n v="6493"/>
    <m/>
    <n v="4.556962025316456"/>
    <s v="改紡"/>
    <s v=""/>
    <s v=""/>
    <s v=""/>
    <s v=""/>
    <x v="0"/>
    <n v="1"/>
    <s v="N/A"/>
    <s v="N/A"/>
    <s v="N/A"/>
    <s v="N/A"/>
    <x v="2"/>
    <s v="P227"/>
    <n v="1.859"/>
    <n v="3.4"/>
    <n v="24"/>
    <n v="216"/>
    <n v="4.4000000000000004"/>
    <n v="42403.046399999999"/>
  </r>
  <r>
    <x v="19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5"/>
    <x v="1"/>
    <m/>
    <x v="1"/>
    <x v="1"/>
    <x v="1"/>
    <x v="1"/>
    <n v="5"/>
    <n v="30"/>
    <n v="0"/>
    <n v="8855"/>
    <n v="8803"/>
    <n v="4"/>
    <n v="0"/>
    <n v="9030"/>
    <n v="9423"/>
    <n v="6"/>
    <n v="0"/>
    <n v="9039"/>
    <n v="9284"/>
    <n v="14"/>
    <n v="0"/>
    <n v="8994"/>
    <n v="9350"/>
    <n v="2.8015564202334629"/>
    <n v="9"/>
    <n v="1"/>
    <n v="90.972499999999997"/>
    <n v="1.125"/>
    <n v="1.125"/>
    <x v="0"/>
    <n v="0.5"/>
    <s v="RICKY"/>
    <s v="RICKY"/>
    <s v="CHALS"/>
    <s v="CHALS"/>
    <x v="1"/>
    <s v="P203"/>
    <n v="0.91100000000000003"/>
    <n v="1.7"/>
    <n v="24"/>
    <n v="216"/>
    <n v="2.7"/>
    <n v="12751.084800000001"/>
  </r>
  <r>
    <x v="19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7"/>
    <x v="17"/>
    <m/>
    <x v="11"/>
    <x v="13"/>
    <x v="1"/>
    <x v="16"/>
    <n v="4"/>
    <n v="30"/>
    <n v="5"/>
    <n v="8882"/>
    <n v="9503"/>
    <n v="3"/>
    <n v="0"/>
    <n v="8741"/>
    <n v="9560"/>
    <n v="12"/>
    <n v="0"/>
    <n v="8655"/>
    <n v="9358"/>
    <n v="40"/>
    <n v="0"/>
    <n v="8719"/>
    <n v="9309"/>
    <n v="1.7625458996328029"/>
    <n v="28.333333333333332"/>
    <n v="0.98636151175213671"/>
    <n v="90.908749999999998"/>
    <n v="3.5416666666666665"/>
    <n v="3.3333333333333335"/>
    <x v="0"/>
    <n v="1"/>
    <s v="NASH"/>
    <s v="NASH"/>
    <s v="J.P"/>
    <s v="J.P"/>
    <x v="1"/>
    <s v="P203"/>
    <n v="0.91100000000000003"/>
    <n v="0.7"/>
    <n v="24"/>
    <n v="216"/>
    <n v="1.7"/>
    <n v="8028.4608000000007"/>
  </r>
  <r>
    <x v="19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0"/>
    <x v="3"/>
    <s v="G"/>
    <x v="3"/>
    <x v="3"/>
    <x v="1"/>
    <x v="3"/>
    <n v="3"/>
    <n v="22"/>
    <n v="0"/>
    <n v="6696"/>
    <m/>
    <n v="13"/>
    <n v="0"/>
    <n v="7711"/>
    <m/>
    <m/>
    <m/>
    <m/>
    <m/>
    <n v="18"/>
    <n v="0"/>
    <n v="7716"/>
    <m/>
    <n v="2.4161073825503356"/>
    <n v="35.333333333333336"/>
    <n v="1"/>
    <n v="73.743333333333325"/>
    <n v="4.416666666666667"/>
    <n v="4.416666666666667"/>
    <x v="0"/>
    <n v="2"/>
    <s v="RICKY"/>
    <s v="RICKY"/>
    <s v="CHALS"/>
    <s v="CHALS"/>
    <x v="1"/>
    <s v="P203"/>
    <n v="0.91100000000000003"/>
    <n v="0.8"/>
    <n v="24"/>
    <n v="216"/>
    <n v="1.8"/>
    <n v="8500.7232000000004"/>
  </r>
  <r>
    <x v="19"/>
    <x v="10"/>
    <x v="19"/>
    <m/>
    <x v="13"/>
    <x v="15"/>
    <x v="2"/>
    <x v="18"/>
    <n v="5"/>
    <m/>
    <m/>
    <s v="了機"/>
    <m/>
    <m/>
    <m/>
    <m/>
    <s v="了機"/>
    <m/>
    <m/>
    <m/>
    <s v="了機"/>
    <m/>
    <m/>
    <m/>
    <s v="了機"/>
    <n v="1.3345690454124188"/>
    <s v="了機"/>
    <s v=""/>
    <s v=""/>
    <s v=""/>
    <s v=""/>
    <x v="0"/>
    <n v="2"/>
    <s v="RICKY"/>
    <s v="RICKY"/>
    <s v="CHALS"/>
    <s v="CHALS"/>
    <x v="3"/>
    <s v="P203"/>
    <n v="0.91100000000000003"/>
    <n v="0.8"/>
    <n v="24"/>
    <n v="216"/>
    <n v="1.8"/>
    <n v="8500.7232000000004"/>
  </r>
  <r>
    <x v="19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2"/>
    <x v="26"/>
    <m/>
    <x v="18"/>
    <x v="20"/>
    <x v="7"/>
    <x v="23"/>
    <n v="5"/>
    <m/>
    <m/>
    <s v="改紡"/>
    <m/>
    <m/>
    <m/>
    <s v="改紡"/>
    <m/>
    <n v="5"/>
    <n v="0"/>
    <n v="3324"/>
    <n v="3804"/>
    <n v="38"/>
    <n v="0"/>
    <n v="8610"/>
    <n v="8620"/>
    <n v="3.1101511879049677"/>
    <s v="改紡"/>
    <s v=""/>
    <s v=""/>
    <s v=""/>
    <s v=""/>
    <x v="0"/>
    <n v="1"/>
    <s v="N/A"/>
    <s v="N/A"/>
    <s v="MACMAC"/>
    <s v="MACMAC"/>
    <x v="1"/>
    <s v="P203"/>
    <n v="0.91100000000000003"/>
    <n v="0.7"/>
    <n v="24"/>
    <n v="216"/>
    <n v="1.7"/>
    <n v="8028.4608000000007"/>
  </r>
  <r>
    <x v="19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4"/>
    <x v="27"/>
    <m/>
    <x v="19"/>
    <x v="21"/>
    <x v="3"/>
    <x v="24"/>
    <n v="5"/>
    <m/>
    <m/>
    <s v="改紡"/>
    <m/>
    <m/>
    <m/>
    <s v="改紡"/>
    <m/>
    <n v="14"/>
    <n v="0"/>
    <n v="4312"/>
    <n v="3316"/>
    <n v="26"/>
    <n v="0"/>
    <n v="8650"/>
    <n v="8708"/>
    <n v="2.2187981510015407"/>
    <s v="改紡"/>
    <s v=""/>
    <s v=""/>
    <s v=""/>
    <s v=""/>
    <x v="0"/>
    <n v="1"/>
    <s v="N/A"/>
    <s v="N/A"/>
    <s v="MACMAC"/>
    <s v="MACMAC"/>
    <x v="1"/>
    <s v="P123"/>
    <n v="0.66900000000000004"/>
    <n v="2.4"/>
    <n v="24"/>
    <n v="216"/>
    <n v="3.4"/>
    <n v="11791.526400000002"/>
  </r>
  <r>
    <x v="19"/>
    <x v="15"/>
    <x v="5"/>
    <m/>
    <x v="5"/>
    <x v="5"/>
    <x v="2"/>
    <x v="5"/>
    <n v="5.5"/>
    <m/>
    <m/>
    <s v="了機"/>
    <s v="停機"/>
    <m/>
    <m/>
    <s v="FINAL"/>
    <s v="停機"/>
    <m/>
    <m/>
    <s v="停機"/>
    <m/>
    <m/>
    <m/>
    <s v="停機"/>
    <m/>
    <n v="4.6905537459283391"/>
    <s v="了機"/>
    <s v=""/>
    <s v=""/>
    <s v=""/>
    <s v=""/>
    <x v="0"/>
    <n v="1"/>
    <s v="RICKY"/>
    <s v="RICKY"/>
    <s v="CHALS"/>
    <s v="N/A"/>
    <x v="1"/>
    <s v="P204"/>
    <n v="1.1890000000000001"/>
    <n v="1.9"/>
    <n v="24"/>
    <n v="216"/>
    <n v="2.9"/>
    <n v="17874.950400000002"/>
  </r>
  <r>
    <x v="19"/>
    <x v="16"/>
    <x v="20"/>
    <m/>
    <x v="14"/>
    <x v="16"/>
    <x v="6"/>
    <x v="19"/>
    <n v="5"/>
    <n v="40"/>
    <n v="0"/>
    <n v="6882"/>
    <n v="7781"/>
    <n v="14"/>
    <n v="0"/>
    <n v="7449"/>
    <n v="8474"/>
    <n v="14"/>
    <n v="0"/>
    <n v="7321"/>
    <n v="8447"/>
    <n v="46"/>
    <n v="1"/>
    <n v="7089"/>
    <n v="8655"/>
    <n v="5.9259259259259256"/>
    <n v="19"/>
    <n v="0.99918870192307696"/>
    <n v="77.622500000000002"/>
    <n v="2.375"/>
    <n v="2.3541666666666665"/>
    <x v="0"/>
    <n v="0.5"/>
    <s v="RICKY"/>
    <s v="RICKY"/>
    <s v="CHALS"/>
    <s v="CHALS"/>
    <x v="2"/>
    <s v="P204"/>
    <n v="1.1890000000000001"/>
    <n v="2.6"/>
    <n v="24"/>
    <n v="216"/>
    <n v="3.6"/>
    <n v="22189.5936"/>
  </r>
  <r>
    <x v="19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9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9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9"/>
    <x v="21"/>
    <x v="22"/>
    <s v="K"/>
    <x v="6"/>
    <x v="8"/>
    <x v="1"/>
    <x v="21"/>
    <n v="5.5"/>
    <n v="33"/>
    <n v="1"/>
    <n v="8800"/>
    <s v="改紡"/>
    <n v="11"/>
    <n v="0"/>
    <n v="8330"/>
    <s v="改紡"/>
    <n v="0"/>
    <n v="0"/>
    <n v="7500"/>
    <n v="9440"/>
    <n v="50"/>
    <n v="0"/>
    <n v="8700"/>
    <n v="9170"/>
    <n v="5.034965034965035"/>
    <n v="31.333333333333332"/>
    <n v="0.99904513888888891"/>
    <n v="86.566666666666663"/>
    <n v="3.9166666666666665"/>
    <n v="3.875"/>
    <x v="2"/>
    <n v="1"/>
    <s v="JHO"/>
    <s v="JHO"/>
    <s v="MAMAY"/>
    <s v="MAMAY"/>
    <x v="2"/>
    <s v="P204"/>
    <n v="1.1890000000000001"/>
    <n v="2.7"/>
    <n v="24"/>
    <n v="216"/>
    <n v="3.7"/>
    <n v="22805.9712"/>
  </r>
  <r>
    <x v="19"/>
    <x v="22"/>
    <x v="21"/>
    <s v="K"/>
    <x v="15"/>
    <x v="17"/>
    <x v="3"/>
    <x v="20"/>
    <n v="5.5"/>
    <n v="31"/>
    <n v="0"/>
    <n v="8800"/>
    <n v="8980"/>
    <n v="30"/>
    <n v="0"/>
    <n v="8060"/>
    <n v="9260"/>
    <n v="0"/>
    <n v="0"/>
    <n v="7220"/>
    <n v="6940"/>
    <n v="40"/>
    <n v="3"/>
    <n v="8520"/>
    <n v="9220"/>
    <n v="5.8299595141700413"/>
    <n v="33.666666666666664"/>
    <n v="0.9975260416666667"/>
    <n v="83.75"/>
    <n v="4.208333333333333"/>
    <n v="4.083333333333333"/>
    <x v="2"/>
    <n v="1"/>
    <s v="JHO"/>
    <s v="JHO"/>
    <s v="MAMAY"/>
    <s v="MAMAY"/>
    <x v="1"/>
    <s v="P204"/>
    <n v="1.1890000000000001"/>
    <n v="2.9"/>
    <n v="24"/>
    <n v="216"/>
    <n v="3.9"/>
    <n v="24038.7264"/>
  </r>
  <r>
    <x v="19"/>
    <x v="23"/>
    <x v="9"/>
    <s v="K"/>
    <x v="6"/>
    <x v="8"/>
    <x v="1"/>
    <x v="9"/>
    <n v="5.5"/>
    <n v="39"/>
    <n v="1"/>
    <n v="8800"/>
    <n v="9070"/>
    <n v="20"/>
    <n v="0"/>
    <n v="8800"/>
    <n v="8800"/>
    <n v="26"/>
    <n v="0"/>
    <n v="9070"/>
    <n v="9350"/>
    <n v="40"/>
    <n v="0"/>
    <n v="8980"/>
    <n v="9350"/>
    <n v="5.034965034965035"/>
    <n v="41.666666666666664"/>
    <n v="0.99904513888888891"/>
    <n v="90.275000000000006"/>
    <n v="5.208333333333333"/>
    <n v="5.166666666666667"/>
    <x v="2"/>
    <n v="1"/>
    <s v="JHO"/>
    <s v="JHO"/>
    <s v="VIN"/>
    <s v="VIN"/>
    <x v="2"/>
    <s v="P204"/>
    <n v="1.1890000000000001"/>
    <n v="2.8"/>
    <n v="24"/>
    <n v="216"/>
    <n v="3.8"/>
    <n v="23422.3488"/>
  </r>
  <r>
    <x v="19"/>
    <x v="24"/>
    <x v="10"/>
    <m/>
    <x v="7"/>
    <x v="9"/>
    <x v="1"/>
    <x v="10"/>
    <n v="4"/>
    <n v="17"/>
    <n v="0"/>
    <n v="9350"/>
    <m/>
    <n v="1"/>
    <n v="0"/>
    <n v="9350"/>
    <m/>
    <n v="0"/>
    <n v="0"/>
    <n v="8800"/>
    <m/>
    <n v="11"/>
    <n v="1"/>
    <n v="8240"/>
    <m/>
    <n v="3.6"/>
    <n v="19.333333333333332"/>
    <n v="0.99866452991452992"/>
    <n v="89.35"/>
    <n v="2.4166666666666665"/>
    <n v="2.3333333333333335"/>
    <x v="2"/>
    <n v="2"/>
    <s v="DENDEN"/>
    <s v="DENDEN"/>
    <s v="MAMAY"/>
    <s v="MAMAY"/>
    <x v="2"/>
    <s v="P203"/>
    <n v="0.91100000000000003"/>
    <n v="1.5"/>
    <n v="24"/>
    <n v="216"/>
    <n v="2.5"/>
    <n v="11806.560000000001"/>
  </r>
  <r>
    <x v="19"/>
    <x v="24"/>
    <x v="23"/>
    <s v="K"/>
    <x v="16"/>
    <x v="18"/>
    <x v="2"/>
    <x v="22"/>
    <n v="5.5"/>
    <n v="13"/>
    <n v="3"/>
    <m/>
    <n v="8610"/>
    <n v="9"/>
    <n v="4"/>
    <m/>
    <n v="8610"/>
    <n v="0"/>
    <n v="0"/>
    <n v="8150"/>
    <m/>
    <n v="17"/>
    <n v="8"/>
    <m/>
    <n v="9960"/>
    <n v="6.6055045871559646"/>
    <n v="26"/>
    <n v="0.98908253205128205"/>
    <n v="88.325000000000003"/>
    <n v="3.25"/>
    <n v="2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19"/>
    <x v="25"/>
    <x v="12"/>
    <s v="K"/>
    <x v="6"/>
    <x v="7"/>
    <x v="3"/>
    <x v="12"/>
    <n v="5.5"/>
    <n v="26"/>
    <n v="1"/>
    <n v="4260"/>
    <n v="9720"/>
    <n v="10"/>
    <n v="0"/>
    <n v="4260"/>
    <n v="9910"/>
    <n v="6"/>
    <n v="0"/>
    <n v="3330"/>
    <n v="9630"/>
    <m/>
    <m/>
    <s v="FINAL"/>
    <s v="FINAL"/>
    <n v="5.8299595141700413"/>
    <n v="14"/>
    <n v="0.99917534722222223"/>
    <n v="68.516666666666666"/>
    <n v="1.75"/>
    <n v="1.7083333333333333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19"/>
    <x v="26"/>
    <x v="13"/>
    <s v="K"/>
    <x v="6"/>
    <x v="7"/>
    <x v="3"/>
    <x v="13"/>
    <n v="5.5"/>
    <n v="49"/>
    <n v="10"/>
    <n v="9630"/>
    <n v="9630"/>
    <n v="18"/>
    <n v="7"/>
    <n v="10000"/>
    <n v="9630"/>
    <n v="14"/>
    <n v="0"/>
    <n v="9810"/>
    <n v="9350"/>
    <n v="43"/>
    <n v="0"/>
    <n v="9720"/>
    <n v="8890"/>
    <n v="5.8299595141700413"/>
    <n v="41.333333333333336"/>
    <n v="0.98598090277777772"/>
    <n v="95.825000000000003"/>
    <n v="5.166666666666667"/>
    <n v="4.458333333333333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19"/>
    <x v="27"/>
    <x v="18"/>
    <m/>
    <x v="12"/>
    <x v="14"/>
    <x v="2"/>
    <x v="17"/>
    <n v="4"/>
    <n v="8"/>
    <n v="0"/>
    <n v="3328"/>
    <m/>
    <n v="5"/>
    <n v="0"/>
    <n v="3445"/>
    <m/>
    <n v="2"/>
    <n v="0"/>
    <n v="3339"/>
    <m/>
    <n v="7"/>
    <n v="0"/>
    <n v="3440"/>
    <m/>
    <n v="1.6179775280898876"/>
    <n v="44"/>
    <n v="1"/>
    <n v="33.880000000000003"/>
    <n v="5.5"/>
    <n v="5.5"/>
    <x v="3"/>
    <n v="6"/>
    <s v="RON"/>
    <s v="RON"/>
    <s v="J.P"/>
    <s v="J.P"/>
    <x v="2"/>
    <s v="P123"/>
    <n v="0.66900000000000004"/>
    <n v="1.6"/>
    <n v="24"/>
    <n v="216"/>
    <n v="2.6"/>
    <n v="9017.0496000000021"/>
  </r>
  <r>
    <x v="19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J.P"/>
    <s v="J.P"/>
    <x v="0"/>
    <s v=""/>
    <s v=""/>
    <s v=""/>
    <n v="24"/>
    <n v="216"/>
    <s v=""/>
    <s v=""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20"/>
    <x v="29"/>
    <x v="28"/>
    <m/>
    <x v="20"/>
    <x v="22"/>
    <x v="8"/>
    <x v="2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F7A95-5AE8-4788-8D5C-D454F8282435}" name="樞紐分析表1" cacheId="24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3:C34" firstHeaderRow="1" firstDataRow="1" firstDataCol="2"/>
  <pivotFields count="45">
    <pivotField compact="0" numFmtId="19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15">
        <item m="1" x="327"/>
        <item m="1" x="322"/>
        <item m="1" x="316"/>
        <item m="1" x="321"/>
        <item m="1" x="329"/>
        <item m="1" x="291"/>
        <item m="1" x="326"/>
        <item m="1" x="290"/>
        <item m="1" x="270"/>
        <item m="1" x="289"/>
        <item m="1" x="328"/>
        <item m="1" x="317"/>
        <item m="1" x="325"/>
        <item m="1" x="333"/>
        <item m="1" x="323"/>
        <item m="1" x="319"/>
        <item m="1" x="318"/>
        <item m="1" x="246"/>
        <item m="1" x="300"/>
        <item m="1" x="274"/>
        <item m="1" x="320"/>
        <item m="1" x="324"/>
        <item m="1" x="195"/>
        <item m="1" x="192"/>
        <item m="1" x="331"/>
        <item m="1" x="198"/>
        <item m="1" x="297"/>
        <item m="1" x="332"/>
        <item m="1" x="330"/>
        <item m="1" x="334"/>
        <item x="0"/>
        <item x="14"/>
        <item x="28"/>
        <item m="1" x="335"/>
        <item m="1" x="288"/>
        <item m="1" x="336"/>
        <item m="1" x="337"/>
        <item m="1" x="287"/>
        <item m="1" x="338"/>
        <item m="1" x="302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339"/>
        <item m="1" x="298"/>
        <item m="1" x="299"/>
        <item m="1" x="301"/>
        <item m="1" x="215"/>
        <item m="1" x="304"/>
        <item m="1" x="340"/>
        <item m="1" x="292"/>
        <item m="1" x="267"/>
        <item m="1" x="208"/>
        <item m="1" x="286"/>
        <item m="1" x="293"/>
        <item m="1" x="341"/>
        <item m="1" x="306"/>
        <item m="1" x="294"/>
        <item m="1" x="296"/>
        <item m="1" x="303"/>
        <item m="1" x="285"/>
        <item m="1" x="295"/>
        <item m="1" x="305"/>
        <item m="1" x="257"/>
        <item m="1" x="275"/>
        <item m="1" x="266"/>
        <item m="1" x="272"/>
        <item m="1" x="256"/>
        <item m="1" x="307"/>
        <item m="1" x="271"/>
        <item m="1" x="241"/>
        <item m="1" x="308"/>
        <item m="1" x="309"/>
        <item m="1" x="310"/>
        <item m="1" x="311"/>
        <item m="1" x="226"/>
        <item m="1" x="273"/>
        <item m="1" x="240"/>
        <item m="1" x="268"/>
        <item m="1" x="312"/>
        <item m="1" x="313"/>
        <item m="1" x="258"/>
        <item m="1" x="314"/>
        <item m="1" x="265"/>
        <item m="1" x="315"/>
        <item m="1" x="260"/>
        <item m="1" x="276"/>
        <item m="1" x="261"/>
        <item m="1" x="263"/>
        <item m="1" x="269"/>
        <item m="1" x="277"/>
        <item m="1" x="262"/>
        <item m="1" x="264"/>
        <item m="1" x="259"/>
        <item m="1" x="278"/>
        <item m="1" x="211"/>
        <item m="1" x="194"/>
        <item m="1" x="279"/>
        <item m="1" x="236"/>
        <item m="1" x="280"/>
        <item m="1" x="161"/>
        <item m="1" x="197"/>
        <item m="1" x="224"/>
        <item m="1" x="243"/>
        <item m="1" x="238"/>
        <item m="1" x="281"/>
        <item m="1" x="282"/>
        <item m="1" x="120"/>
        <item m="1" x="193"/>
        <item m="1" x="234"/>
        <item m="1" x="218"/>
        <item m="1" x="245"/>
        <item m="1" x="239"/>
        <item m="1" x="283"/>
        <item m="1" x="244"/>
        <item m="1" x="237"/>
        <item m="1" x="242"/>
        <item m="1" x="284"/>
        <item m="1" x="223"/>
        <item m="1" x="235"/>
        <item m="1" x="225"/>
        <item m="1" x="247"/>
        <item m="1" x="220"/>
        <item m="1" x="248"/>
        <item m="1" x="212"/>
        <item m="1" x="213"/>
        <item m="1" x="249"/>
        <item m="1" x="217"/>
        <item m="1" x="250"/>
        <item m="1" x="152"/>
        <item m="1" x="166"/>
        <item m="1" x="251"/>
        <item m="1" x="252"/>
        <item m="1" x="219"/>
        <item m="1" x="253"/>
        <item m="1" x="254"/>
        <item m="1" x="175"/>
        <item m="1" x="209"/>
        <item m="1" x="255"/>
        <item m="1" x="221"/>
        <item m="1" x="228"/>
        <item m="1" x="229"/>
        <item m="1" x="227"/>
        <item m="1" x="210"/>
        <item m="1" x="214"/>
        <item m="1" x="190"/>
        <item m="1" x="122"/>
        <item m="1" x="199"/>
        <item m="1" x="216"/>
        <item m="1" x="179"/>
        <item m="1" x="222"/>
        <item m="1" x="230"/>
        <item m="1" x="231"/>
        <item m="1" x="186"/>
        <item m="1" x="188"/>
        <item m="1" x="163"/>
        <item m="1" x="232"/>
        <item m="1" x="233"/>
        <item m="1" x="191"/>
        <item m="1" x="158"/>
        <item m="1" x="165"/>
        <item m="1" x="196"/>
        <item m="1" x="185"/>
        <item m="1" x="167"/>
        <item m="1" x="189"/>
        <item m="1" x="187"/>
        <item m="1" x="176"/>
        <item m="1" x="164"/>
        <item m="1" x="200"/>
        <item m="1" x="154"/>
        <item m="1" x="201"/>
        <item m="1" x="202"/>
        <item m="1" x="89"/>
        <item m="1" x="203"/>
        <item m="1" x="91"/>
        <item m="1" x="159"/>
        <item m="1" x="169"/>
        <item m="1" x="162"/>
        <item m="1" x="168"/>
        <item m="1" x="171"/>
        <item m="1" x="204"/>
        <item m="1" x="145"/>
        <item m="1" x="147"/>
        <item m="1" x="173"/>
        <item m="1" x="205"/>
        <item m="1" x="206"/>
        <item m="1" x="178"/>
        <item m="1" x="174"/>
        <item m="1" x="207"/>
        <item m="1" x="160"/>
        <item m="1" x="170"/>
        <item m="1" x="177"/>
        <item m="1" x="172"/>
        <item m="1" x="125"/>
        <item m="1" x="180"/>
        <item m="1" x="181"/>
        <item m="1" x="182"/>
        <item m="1" x="183"/>
        <item m="1" x="150"/>
        <item m="1" x="115"/>
        <item m="1" x="149"/>
        <item m="1" x="127"/>
        <item m="1" x="146"/>
        <item m="1" x="148"/>
        <item m="1" x="184"/>
        <item m="1" x="153"/>
        <item m="1" x="126"/>
        <item m="1" x="117"/>
        <item m="1" x="151"/>
        <item m="1" x="82"/>
        <item m="1" x="81"/>
        <item m="1" x="118"/>
        <item m="1" x="116"/>
        <item m="1" x="123"/>
        <item m="1" x="88"/>
        <item m="1" x="130"/>
        <item m="1" x="128"/>
        <item m="1" x="85"/>
        <item m="1" x="155"/>
        <item m="1" x="124"/>
        <item m="1" x="90"/>
        <item m="1" x="131"/>
        <item m="1" x="119"/>
        <item m="1" x="156"/>
        <item m="1" x="157"/>
        <item m="1" x="114"/>
        <item m="1" x="54"/>
        <item m="1" x="129"/>
        <item m="1" x="121"/>
        <item m="1" x="58"/>
        <item m="1" x="80"/>
        <item m="1" x="76"/>
        <item m="1" x="56"/>
        <item m="1" x="132"/>
        <item m="1" x="133"/>
        <item m="1" x="134"/>
        <item m="1" x="135"/>
        <item m="1" x="94"/>
        <item m="1" x="87"/>
        <item m="1" x="78"/>
        <item m="1" x="136"/>
        <item m="1" x="137"/>
        <item m="1" x="138"/>
        <item m="1" x="139"/>
        <item m="1" x="77"/>
        <item m="1" x="140"/>
        <item m="1" x="141"/>
        <item m="1" x="96"/>
        <item m="1" x="142"/>
        <item m="1" x="143"/>
        <item m="1" x="144"/>
        <item m="1" x="92"/>
        <item m="1" x="93"/>
        <item m="1" x="79"/>
        <item m="1" x="86"/>
        <item m="1" x="95"/>
        <item m="1" x="53"/>
        <item m="1" x="83"/>
        <item m="1" x="97"/>
        <item m="1" x="84"/>
        <item m="1" x="40"/>
        <item m="1" x="98"/>
        <item m="1" x="99"/>
        <item m="1" x="100"/>
        <item m="1" x="62"/>
        <item m="1" x="101"/>
        <item m="1" x="102"/>
        <item m="1" x="103"/>
        <item m="1" x="104"/>
        <item m="1" x="105"/>
        <item m="1" x="65"/>
        <item m="1" x="69"/>
        <item m="1" x="106"/>
        <item m="1" x="66"/>
        <item m="1" x="107"/>
        <item m="1" x="52"/>
        <item m="1" x="108"/>
        <item m="1" x="59"/>
        <item m="1" x="64"/>
        <item m="1" x="109"/>
        <item m="1" x="110"/>
        <item m="1" x="111"/>
        <item m="1" x="112"/>
        <item m="1" x="36"/>
        <item m="1" x="113"/>
        <item m="1" x="68"/>
        <item m="1" x="60"/>
        <item m="1" x="67"/>
        <item m="1" x="57"/>
        <item m="1" x="30"/>
        <item m="1" x="61"/>
        <item m="1" x="34"/>
        <item m="1" x="55"/>
        <item m="1" x="63"/>
        <item m="1" x="33"/>
        <item m="1" x="70"/>
        <item m="1" x="31"/>
        <item m="1" x="71"/>
        <item m="1" x="72"/>
        <item m="1" x="73"/>
        <item m="1" x="32"/>
        <item m="1" x="37"/>
        <item m="1" x="74"/>
        <item m="1" x="39"/>
        <item m="1" x="75"/>
        <item m="1" x="29"/>
        <item m="1" x="35"/>
        <item x="1"/>
        <item m="1" x="38"/>
        <item m="1" x="41"/>
        <item m="1" x="42"/>
        <item m="1" x="43"/>
        <item m="1" x="44"/>
        <item m="1" x="45"/>
        <item m="1" x="46"/>
        <item m="1" x="47"/>
        <item m="1" x="48"/>
        <item m="1" x="49"/>
        <item x="11"/>
        <item m="1" x="50"/>
        <item m="1" x="51"/>
        <item x="9"/>
        <item x="4"/>
        <item x="8"/>
        <item x="2"/>
        <item x="3"/>
        <item x="6"/>
        <item x="10"/>
        <item x="7"/>
        <item x="5"/>
        <item x="13"/>
        <item x="12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sd="0" m="1" x="5"/>
        <item x="3"/>
        <item x="2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1"/>
    <field x="2"/>
  </rowFields>
  <rowItems count="31">
    <i>
      <x/>
      <x v="30"/>
    </i>
    <i r="1">
      <x v="1777"/>
    </i>
    <i r="1">
      <x v="1792"/>
    </i>
    <i r="1">
      <x v="1794"/>
    </i>
    <i r="1">
      <x v="1795"/>
    </i>
    <i r="1">
      <x v="1799"/>
    </i>
    <i r="1">
      <x v="1802"/>
    </i>
    <i r="1">
      <x v="1803"/>
    </i>
    <i r="1">
      <x v="1804"/>
    </i>
    <i r="1">
      <x v="1806"/>
    </i>
    <i r="1">
      <x v="1807"/>
    </i>
    <i r="1">
      <x v="1811"/>
    </i>
    <i r="1">
      <x v="1812"/>
    </i>
    <i r="1">
      <x v="1813"/>
    </i>
    <i r="1">
      <x v="1814"/>
    </i>
    <i>
      <x v="1"/>
      <x v="30"/>
    </i>
    <i r="1">
      <x v="1796"/>
    </i>
    <i>
      <x v="3"/>
      <x v="30"/>
    </i>
    <i r="1">
      <x v="31"/>
    </i>
    <i r="1">
      <x v="1805"/>
    </i>
    <i>
      <x v="4"/>
      <x v="1788"/>
    </i>
    <i r="1">
      <x v="1791"/>
    </i>
    <i r="1">
      <x v="1793"/>
    </i>
    <i r="1">
      <x v="1797"/>
    </i>
    <i r="1">
      <x v="1798"/>
    </i>
    <i r="1">
      <x v="1800"/>
    </i>
    <i r="1">
      <x v="1801"/>
    </i>
    <i r="1">
      <x v="1808"/>
    </i>
    <i r="1">
      <x v="1809"/>
    </i>
    <i r="1">
      <x v="1810"/>
    </i>
    <i t="grand">
      <x/>
    </i>
  </rowItems>
  <colItems count="1">
    <i/>
  </colItems>
  <dataFields count="1">
    <dataField name="平均值 - 斷絲(H)" fld="29" subtotal="average" baseField="31" baseItem="0" numFmtId="18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B6011-3F51-45DE-82B0-3901D22E58C4}" name="樞紐分析表1" cacheId="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G1:I159" firstHeaderRow="1" firstDataRow="1" firstDataCol="2"/>
  <pivotFields count="3">
    <pivotField axis="axisRow" compact="0" outline="0" subtotalTop="0" showAll="0" sortType="a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>
      <items count="1249">
        <item m="1" x="478"/>
        <item m="1" x="479"/>
        <item m="1" x="1040"/>
        <item m="1" x="424"/>
        <item m="1" x="645"/>
        <item m="1" x="570"/>
        <item m="1" x="587"/>
        <item m="1" x="549"/>
        <item m="1" x="550"/>
        <item m="1" x="1127"/>
        <item m="1" x="425"/>
        <item m="1" x="246"/>
        <item m="1" x="514"/>
        <item m="1" x="799"/>
        <item m="1" x="388"/>
        <item m="1" x="348"/>
        <item m="1" x="806"/>
        <item m="1" x="1038"/>
        <item m="1" x="1199"/>
        <item m="1" x="389"/>
        <item m="1" x="1041"/>
        <item m="1" x="1059"/>
        <item m="1" x="1039"/>
        <item m="1" x="1120"/>
        <item m="1" x="672"/>
        <item m="1" x="665"/>
        <item m="1" x="673"/>
        <item m="1" x="646"/>
        <item m="1" x="390"/>
        <item m="1" x="530"/>
        <item m="1" x="1162"/>
        <item m="1" x="1128"/>
        <item m="1" x="1020"/>
        <item m="1" x="941"/>
        <item m="1" x="480"/>
        <item m="1" x="901"/>
        <item m="1" x="472"/>
        <item m="1" x="942"/>
        <item m="1" x="800"/>
        <item m="1" x="349"/>
        <item m="1" x="531"/>
        <item m="1" x="448"/>
        <item m="1" x="447"/>
        <item m="1" x="985"/>
        <item m="1" x="317"/>
        <item m="1" x="136"/>
        <item m="1" x="801"/>
        <item m="1" x="494"/>
        <item m="1" x="1016"/>
        <item m="1" x="253"/>
        <item m="1" x="274"/>
        <item m="1" x="449"/>
        <item m="1" x="450"/>
        <item m="1" x="146"/>
        <item m="1" x="445"/>
        <item m="1" x="642"/>
        <item x="32"/>
        <item m="1" x="481"/>
        <item m="1" x="679"/>
        <item m="1" x="433"/>
        <item m="1" x="461"/>
        <item m="1" x="1163"/>
        <item m="1" x="439"/>
        <item m="1" x="1213"/>
        <item m="1" x="1164"/>
        <item m="1" x="1060"/>
        <item m="1" x="364"/>
        <item m="1" x="350"/>
        <item m="1" x="818"/>
        <item m="1" x="819"/>
        <item m="1" x="1206"/>
        <item m="1" x="337"/>
        <item x="33"/>
        <item m="1" x="1022"/>
        <item m="1" x="797"/>
        <item m="1" x="820"/>
        <item m="1" x="647"/>
        <item m="1" x="161"/>
        <item m="1" x="648"/>
        <item m="1" x="498"/>
        <item m="1" x="1132"/>
        <item m="1" x="147"/>
        <item m="1" x="813"/>
        <item m="1" x="351"/>
        <item m="1" x="814"/>
        <item m="1" x="1110"/>
        <item m="1" x="1061"/>
        <item x="51"/>
        <item m="1" x="815"/>
        <item m="1" x="816"/>
        <item m="1" x="338"/>
        <item m="1" x="519"/>
        <item x="52"/>
        <item x="34"/>
        <item m="1" x="805"/>
        <item m="1" x="596"/>
        <item m="1" x="664"/>
        <item m="1" x="434"/>
        <item m="1" x="1219"/>
        <item m="1" x="339"/>
        <item m="1" x="1042"/>
        <item m="1" x="802"/>
        <item m="1" x="912"/>
        <item m="1" x="1104"/>
        <item m="1" x="1043"/>
        <item m="1" x="1021"/>
        <item m="1" x="340"/>
        <item m="1" x="1064"/>
        <item m="1" x="913"/>
        <item m="1" x="418"/>
        <item m="1" x="205"/>
        <item m="1" x="391"/>
        <item m="1" x="803"/>
        <item m="1" x="649"/>
        <item m="1" x="684"/>
        <item x="53"/>
        <item m="1" x="148"/>
        <item m="1" x="561"/>
        <item m="1" x="588"/>
        <item m="1" x="674"/>
        <item m="1" x="1025"/>
        <item m="1" x="675"/>
        <item m="1" x="650"/>
        <item m="1" x="206"/>
        <item m="1" x="1200"/>
        <item m="1" x="1148"/>
        <item m="1" x="196"/>
        <item m="1" x="1044"/>
        <item m="1" x="677"/>
        <item m="1" x="280"/>
        <item m="1" x="225"/>
        <item x="54"/>
        <item m="1" x="902"/>
        <item m="1" x="903"/>
        <item m="1" x="341"/>
        <item m="1" x="1129"/>
        <item m="1" x="1065"/>
        <item m="1" x="1062"/>
        <item m="1" x="162"/>
        <item m="1" x="992"/>
        <item m="1" x="925"/>
        <item x="55"/>
        <item m="1" x="1137"/>
        <item m="1" x="971"/>
        <item m="1" x="1109"/>
        <item m="1" x="965"/>
        <item m="1" x="1151"/>
        <item x="56"/>
        <item x="39"/>
        <item x="57"/>
        <item x="31"/>
        <item m="1" x="532"/>
        <item m="1" x="1191"/>
        <item m="1" x="554"/>
        <item m="1" x="277"/>
        <item m="1" x="562"/>
        <item m="1" x="392"/>
        <item m="1" x="1189"/>
        <item x="40"/>
        <item m="1" x="137"/>
        <item m="1" x="1126"/>
        <item m="1" x="1150"/>
        <item m="1" x="163"/>
        <item m="1" x="1045"/>
        <item m="1" x="164"/>
        <item m="1" x="1066"/>
        <item m="1" x="1067"/>
        <item m="1" x="149"/>
        <item m="1" x="1015"/>
        <item m="1" x="867"/>
        <item m="1" x="792"/>
        <item m="1" x="993"/>
        <item m="1" x="697"/>
        <item m="1" x="685"/>
        <item m="1" x="584"/>
        <item m="1" x="372"/>
        <item m="1" x="994"/>
        <item x="41"/>
        <item m="1" x="966"/>
        <item m="1" x="1033"/>
        <item m="1" x="1138"/>
        <item m="1" x="446"/>
        <item m="1" x="691"/>
        <item m="1" x="563"/>
        <item m="1" x="680"/>
        <item m="1" x="568"/>
        <item m="1" x="533"/>
        <item m="1" x="571"/>
        <item m="1" x="1220"/>
        <item m="1" x="638"/>
        <item m="1" x="569"/>
        <item m="1" x="419"/>
        <item m="1" x="463"/>
        <item m="1" x="1185"/>
        <item m="1" x="795"/>
        <item m="1" x="1181"/>
        <item m="1" x="823"/>
        <item m="1" x="318"/>
        <item m="1" x="281"/>
        <item m="1" x="810"/>
        <item m="1" x="989"/>
        <item m="1" x="451"/>
        <item m="1" x="676"/>
        <item m="1" x="165"/>
        <item m="1" x="342"/>
        <item m="1" x="207"/>
        <item m="1" x="208"/>
        <item m="1" x="153"/>
        <item m="1" x="431"/>
        <item m="1" x="995"/>
        <item x="58"/>
        <item x="0"/>
        <item m="1" x="464"/>
        <item x="59"/>
        <item m="1" x="430"/>
        <item m="1" x="240"/>
        <item m="1" x="585"/>
        <item x="29"/>
        <item m="1" x="643"/>
        <item m="1" x="515"/>
        <item m="1" x="576"/>
        <item m="1" x="420"/>
        <item m="1" x="435"/>
        <item m="1" x="543"/>
        <item m="1" x="651"/>
        <item m="1" x="551"/>
        <item m="1" x="452"/>
        <item m="1" x="868"/>
        <item m="1" x="652"/>
        <item x="120"/>
        <item m="1" x="693"/>
        <item m="1" x="278"/>
        <item m="1" x="247"/>
        <item m="1" x="209"/>
        <item m="1" x="694"/>
        <item m="1" x="666"/>
        <item m="1" x="721"/>
        <item m="1" x="526"/>
        <item m="1" x="517"/>
        <item m="1" x="1153"/>
        <item m="1" x="653"/>
        <item m="1" x="667"/>
        <item m="1" x="1149"/>
        <item x="35"/>
        <item m="1" x="855"/>
        <item m="1" x="709"/>
        <item m="1" x="276"/>
        <item m="1" x="138"/>
        <item m="1" x="706"/>
        <item m="1" x="589"/>
        <item m="1" x="1105"/>
        <item m="1" x="453"/>
        <item m="1" x="686"/>
        <item m="1" x="210"/>
        <item x="60"/>
        <item m="1" x="996"/>
        <item m="1" x="987"/>
        <item m="1" x="997"/>
        <item m="1" x="998"/>
        <item m="1" x="1186"/>
        <item m="1" x="374"/>
        <item m="1" x="343"/>
        <item m="1" x="572"/>
        <item m="1" x="1026"/>
        <item m="1" x="1027"/>
        <item m="1" x="254"/>
        <item m="1" x="807"/>
        <item m="1" x="789"/>
        <item m="1" x="344"/>
        <item m="1" x="166"/>
        <item m="1" x="968"/>
        <item m="1" x="809"/>
        <item m="1" x="808"/>
        <item m="1" x="776"/>
        <item m="1" x="211"/>
        <item m="1" x="167"/>
        <item m="1" x="465"/>
        <item x="8"/>
        <item m="1" x="466"/>
        <item x="12"/>
        <item m="1" x="467"/>
        <item m="1" x="150"/>
        <item m="1" x="198"/>
        <item m="1" x="193"/>
        <item m="1" x="232"/>
        <item m="1" x="459"/>
        <item m="1" x="552"/>
        <item m="1" x="668"/>
        <item m="1" x="687"/>
        <item m="1" x="634"/>
        <item m="1" x="534"/>
        <item x="121"/>
        <item x="28"/>
        <item m="1" x="759"/>
        <item x="69"/>
        <item m="1" x="436"/>
        <item m="1" x="426"/>
        <item m="1" x="266"/>
        <item m="1" x="573"/>
        <item m="1" x="574"/>
        <item m="1" x="1154"/>
        <item m="1" x="255"/>
        <item m="1" x="654"/>
        <item m="1" x="1144"/>
        <item m="1" x="655"/>
        <item m="1" x="553"/>
        <item m="1" x="546"/>
        <item m="1" x="440"/>
        <item x="61"/>
        <item m="1" x="656"/>
        <item m="1" x="669"/>
        <item m="1" x="275"/>
        <item m="1" x="139"/>
        <item m="1" x="140"/>
        <item x="17"/>
        <item x="22"/>
        <item m="1" x="1046"/>
        <item m="1" x="575"/>
        <item m="1" x="170"/>
        <item x="62"/>
        <item m="1" x="1017"/>
        <item m="1" x="1012"/>
        <item m="1" x="869"/>
        <item m="1" x="657"/>
        <item m="1" x="658"/>
        <item m="1" x="1037"/>
        <item m="1" x="393"/>
        <item m="1" x="421"/>
        <item m="1" x="1247"/>
        <item m="1" x="1178"/>
        <item m="1" x="454"/>
        <item m="1" x="1028"/>
        <item m="1" x="233"/>
        <item m="1" x="564"/>
        <item m="1" x="786"/>
        <item m="1" x="811"/>
        <item m="1" x="141"/>
        <item m="1" x="279"/>
        <item x="70"/>
        <item x="42"/>
        <item x="112"/>
        <item m="1" x="370"/>
        <item m="1" x="248"/>
        <item m="1" x="365"/>
        <item m="1" x="794"/>
        <item m="1" x="1099"/>
        <item x="63"/>
        <item m="1" x="774"/>
        <item m="1" x="787"/>
        <item m="1" x="422"/>
        <item m="1" x="781"/>
        <item m="1" x="375"/>
        <item m="1" x="770"/>
        <item m="1" x="827"/>
        <item m="1" x="798"/>
        <item x="64"/>
        <item m="1" x="217"/>
        <item m="1" x="683"/>
        <item m="1" x="135"/>
        <item m="1" x="499"/>
        <item m="1" x="590"/>
        <item m="1" x="558"/>
        <item m="1" x="427"/>
        <item m="1" x="234"/>
        <item m="1" x="636"/>
        <item m="1" x="635"/>
        <item m="1" x="458"/>
        <item x="1"/>
        <item m="1" x="914"/>
        <item x="2"/>
        <item m="1" x="228"/>
        <item m="1" x="259"/>
        <item m="1" x="190"/>
        <item m="1" x="235"/>
        <item m="1" x="267"/>
        <item m="1" x="263"/>
        <item x="128"/>
        <item x="71"/>
        <item x="74"/>
        <item x="20"/>
        <item x="13"/>
        <item x="4"/>
        <item x="25"/>
        <item x="14"/>
        <item x="5"/>
        <item x="19"/>
        <item m="1" x="1201"/>
        <item x="27"/>
        <item m="1" x="1233"/>
        <item m="1" x="670"/>
        <item m="1" x="1136"/>
        <item m="1" x="1029"/>
        <item m="1" x="1142"/>
        <item m="1" x="1047"/>
        <item m="1" x="1068"/>
        <item m="1" x="1023"/>
        <item m="1" x="455"/>
        <item m="1" x="142"/>
        <item m="1" x="468"/>
        <item m="1" x="764"/>
        <item m="1" x="599"/>
        <item m="1" x="441"/>
        <item m="1" x="178"/>
        <item m="1" x="258"/>
        <item m="1" x="177"/>
        <item m="1" x="151"/>
        <item m="1" x="688"/>
        <item m="1" x="689"/>
        <item m="1" x="711"/>
        <item m="1" x="1190"/>
        <item m="1" x="565"/>
        <item m="1" x="1207"/>
        <item m="1" x="695"/>
        <item m="1" x="707"/>
        <item m="1" x="1208"/>
        <item m="1" x="828"/>
        <item m="1" x="437"/>
        <item m="1" x="566"/>
        <item m="1" x="1202"/>
        <item m="1" x="432"/>
        <item m="1" x="791"/>
        <item m="1" x="1063"/>
        <item m="1" x="915"/>
        <item m="1" x="916"/>
        <item m="1" x="972"/>
        <item m="1" x="1005"/>
        <item m="1" x="760"/>
        <item m="1" x="1234"/>
        <item m="1" x="223"/>
        <item m="1" x="761"/>
        <item m="1" x="1183"/>
        <item m="1" x="766"/>
        <item m="1" x="1214"/>
        <item m="1" x="1192"/>
        <item m="1" x="762"/>
        <item m="1" x="690"/>
        <item m="1" x="763"/>
        <item m="1" x="237"/>
        <item m="1" x="567"/>
        <item m="1" x="238"/>
        <item m="1" x="282"/>
        <item m="1" x="1158"/>
        <item m="1" x="1124"/>
        <item m="1" x="940"/>
        <item m="1" x="1180"/>
        <item m="1" x="1000"/>
        <item m="1" x="192"/>
        <item m="1" x="785"/>
        <item m="1" x="557"/>
        <item m="1" x="457"/>
        <item x="103"/>
        <item m="1" x="773"/>
        <item m="1" x="780"/>
        <item m="1" x="429"/>
        <item m="1" x="444"/>
        <item m="1" x="964"/>
        <item m="1" x="790"/>
        <item m="1" x="784"/>
        <item m="1" x="236"/>
        <item m="1" x="904"/>
        <item m="1" x="591"/>
        <item m="1" x="539"/>
        <item m="1" x="503"/>
        <item m="1" x="748"/>
        <item m="1" x="497"/>
        <item m="1" x="496"/>
        <item m="1" x="229"/>
        <item m="1" x="257"/>
        <item x="73"/>
        <item m="1" x="244"/>
        <item m="1" x="180"/>
        <item m="1" x="230"/>
        <item m="1" x="256"/>
        <item m="1" x="197"/>
        <item m="1" x="245"/>
        <item m="1" x="189"/>
        <item m="1" x="191"/>
        <item x="47"/>
        <item m="1" x="202"/>
        <item m="1" x="203"/>
        <item x="131"/>
        <item x="72"/>
        <item x="46"/>
        <item x="48"/>
        <item m="1" x="1203"/>
        <item x="130"/>
        <item m="1" x="345"/>
        <item m="1" x="592"/>
        <item m="1" x="469"/>
        <item m="1" x="1014"/>
        <item m="1" x="495"/>
        <item m="1" x="544"/>
        <item m="1" x="545"/>
        <item m="1" x="547"/>
        <item m="1" x="640"/>
        <item m="1" x="860"/>
        <item m="1" x="710"/>
        <item m="1" x="714"/>
        <item m="1" x="352"/>
        <item m="1" x="917"/>
        <item m="1" x="249"/>
        <item m="1" x="641"/>
        <item m="1" x="397"/>
        <item m="1" x="380"/>
        <item m="1" x="394"/>
        <item m="1" x="861"/>
        <item m="1" x="702"/>
        <item m="1" x="301"/>
        <item m="1" x="516"/>
        <item m="1" x="398"/>
        <item m="1" x="428"/>
        <item m="1" x="701"/>
        <item m="1" x="1123"/>
        <item m="1" x="1048"/>
        <item m="1" x="399"/>
        <item m="1" x="1069"/>
        <item m="1" x="442"/>
        <item m="1" x="143"/>
        <item m="1" x="999"/>
        <item m="1" x="527"/>
        <item m="1" x="578"/>
        <item m="1" x="1182"/>
        <item m="1" x="400"/>
        <item m="1" x="250"/>
        <item m="1" x="456"/>
        <item m="1" x="779"/>
        <item x="43"/>
        <item m="1" x="983"/>
        <item m="1" x="749"/>
        <item m="1" x="990"/>
        <item m="1" x="201"/>
        <item m="1" x="470"/>
        <item m="1" x="462"/>
        <item m="1" x="214"/>
        <item m="1" x="221"/>
        <item m="1" x="401"/>
        <item m="1" x="1070"/>
        <item m="1" x="152"/>
        <item m="1" x="482"/>
        <item m="1" x="1077"/>
        <item m="1" x="1052"/>
        <item m="1" x="1071"/>
        <item m="1" x="593"/>
        <item m="1" x="923"/>
        <item m="1" x="918"/>
        <item m="1" x="1053"/>
        <item m="1" x="1054"/>
        <item m="1" x="168"/>
        <item m="1" x="144"/>
        <item m="1" x="1055"/>
        <item m="1" x="1108"/>
        <item m="1" x="671"/>
        <item m="1" x="906"/>
        <item m="1" x="1078"/>
        <item m="1" x="1107"/>
        <item m="1" x="921"/>
        <item x="65"/>
        <item m="1" x="857"/>
        <item m="1" x="722"/>
        <item m="1" x="723"/>
        <item m="1" x="594"/>
        <item m="1" x="1159"/>
        <item m="1" x="1079"/>
        <item m="1" x="1080"/>
        <item m="1" x="1081"/>
        <item m="1" x="402"/>
        <item m="1" x="1082"/>
        <item m="1" x="579"/>
        <item m="1" x="535"/>
        <item m="1" x="580"/>
        <item m="1" x="581"/>
        <item m="1" x="848"/>
        <item m="1" x="582"/>
        <item m="1" x="438"/>
        <item m="1" x="577"/>
        <item m="1" x="395"/>
        <item x="36"/>
        <item m="1" x="556"/>
        <item m="1" x="134"/>
        <item m="1" x="1030"/>
        <item m="1" x="1209"/>
        <item m="1" x="300"/>
        <item m="1" x="299"/>
        <item m="1" x="323"/>
        <item m="1" x="387"/>
        <item m="1" x="322"/>
        <item m="1" x="982"/>
        <item m="1" x="862"/>
        <item m="1" x="874"/>
        <item m="1" x="321"/>
        <item m="1" x="696"/>
        <item m="1" x="529"/>
        <item m="1" x="536"/>
        <item m="1" x="524"/>
        <item m="1" x="525"/>
        <item m="1" x="386"/>
        <item m="1" x="396"/>
        <item m="1" x="385"/>
        <item m="1" x="926"/>
        <item m="1" x="371"/>
        <item m="1" x="528"/>
        <item m="1" x="384"/>
        <item m="1" x="320"/>
        <item m="1" x="924"/>
        <item m="1" x="919"/>
        <item m="1" x="863"/>
        <item m="1" x="864"/>
        <item m="1" x="829"/>
        <item m="1" x="700"/>
        <item m="1" x="692"/>
        <item m="1" x="537"/>
        <item m="1" x="504"/>
        <item m="1" x="639"/>
        <item m="1" x="538"/>
        <item m="1" x="319"/>
        <item m="1" x="181"/>
        <item m="1" x="226"/>
        <item m="1" x="239"/>
        <item x="24"/>
        <item x="10"/>
        <item m="1" x="838"/>
        <item m="1" x="849"/>
        <item m="1" x="865"/>
        <item m="1" x="1056"/>
        <item m="1" x="659"/>
        <item m="1" x="660"/>
        <item m="1" x="353"/>
        <item m="1" x="145"/>
        <item x="66"/>
        <item m="1" x="383"/>
        <item m="1" x="382"/>
        <item m="1" x="1155"/>
        <item m="1" x="368"/>
        <item m="1" x="367"/>
        <item m="1" x="222"/>
        <item m="1" x="298"/>
        <item m="1" x="297"/>
        <item m="1" x="296"/>
        <item m="1" x="771"/>
        <item m="1" x="295"/>
        <item m="1" x="261"/>
        <item m="1" x="682"/>
        <item m="1" x="294"/>
        <item m="1" x="331"/>
        <item m="1" x="330"/>
        <item m="1" x="329"/>
        <item m="1" x="328"/>
        <item m="1" x="858"/>
        <item x="67"/>
        <item m="1" x="859"/>
        <item m="1" x="157"/>
        <item m="1" x="1193"/>
        <item m="1" x="716"/>
        <item m="1" x="699"/>
        <item m="1" x="715"/>
        <item m="1" x="512"/>
        <item m="1" x="511"/>
        <item m="1" x="522"/>
        <item m="1" x="510"/>
        <item m="1" x="509"/>
        <item m="1" x="500"/>
        <item m="1" x="1013"/>
        <item m="1" x="505"/>
        <item x="49"/>
        <item m="1" x="327"/>
        <item m="1" x="326"/>
        <item m="1" x="379"/>
        <item m="1" x="325"/>
        <item m="1" x="560"/>
        <item m="1" x="324"/>
        <item m="1" x="156"/>
        <item m="1" x="155"/>
        <item m="1" x="154"/>
        <item m="1" x="793"/>
        <item x="102"/>
        <item x="101"/>
        <item x="100"/>
        <item m="1" x="644"/>
        <item x="111"/>
        <item x="109"/>
        <item x="110"/>
        <item m="1" x="1057"/>
        <item m="1" x="293"/>
        <item m="1" x="1058"/>
        <item m="1" x="292"/>
        <item m="1" x="354"/>
        <item m="1" x="291"/>
        <item x="68"/>
        <item x="108"/>
        <item x="107"/>
        <item x="106"/>
        <item x="9"/>
        <item m="1" x="378"/>
        <item m="1" x="224"/>
        <item m="1" x="231"/>
        <item m="1" x="290"/>
        <item m="1" x="289"/>
        <item m="1" x="288"/>
        <item m="1" x="287"/>
        <item m="1" x="778"/>
        <item m="1" x="286"/>
        <item m="1" x="176"/>
        <item m="1" x="241"/>
        <item m="1" x="285"/>
        <item m="1" x="839"/>
        <item m="1" x="1106"/>
        <item m="1" x="284"/>
        <item x="118"/>
        <item m="1" x="283"/>
        <item m="1" x="336"/>
        <item m="1" x="335"/>
        <item m="1" x="334"/>
        <item m="1" x="333"/>
        <item m="1" x="332"/>
        <item m="1" x="830"/>
        <item x="105"/>
        <item x="104"/>
        <item x="113"/>
        <item m="1" x="724"/>
        <item m="1" x="840"/>
        <item m="1" x="713"/>
        <item m="1" x="698"/>
        <item m="1" x="523"/>
        <item m="1" x="508"/>
        <item m="1" x="518"/>
        <item m="1" x="507"/>
        <item m="1" x="506"/>
        <item m="1" x="381"/>
        <item m="1" x="796"/>
        <item m="1" x="788"/>
        <item x="7"/>
        <item x="44"/>
        <item m="1" x="540"/>
        <item m="1" x="1156"/>
        <item m="1" x="1157"/>
        <item m="1" x="443"/>
        <item m="1" x="1225"/>
        <item m="1" x="1133"/>
        <item m="1" x="725"/>
        <item m="1" x="622"/>
        <item m="1" x="484"/>
        <item m="1" x="600"/>
        <item m="1" x="355"/>
        <item m="1" x="767"/>
        <item m="1" x="171"/>
        <item m="1" x="268"/>
        <item m="1" x="935"/>
        <item m="1" x="846"/>
        <item m="1" x="751"/>
        <item m="1" x="601"/>
        <item m="1" x="1235"/>
        <item m="1" x="602"/>
        <item m="1" x="1226"/>
        <item m="1" x="603"/>
        <item m="1" x="604"/>
        <item m="1" x="1143"/>
        <item m="1" x="1194"/>
        <item m="1" x="1187"/>
        <item m="1" x="403"/>
        <item m="1" x="485"/>
        <item m="1" x="831"/>
        <item m="1" x="182"/>
        <item m="1" x="832"/>
        <item x="37"/>
        <item m="1" x="932"/>
        <item m="1" x="933"/>
        <item m="1" x="726"/>
        <item m="1" x="712"/>
        <item m="1" x="727"/>
        <item m="1" x="752"/>
        <item m="1" x="1227"/>
        <item m="1" x="486"/>
        <item m="1" x="1121"/>
        <item m="1" x="404"/>
        <item m="1" x="1075"/>
        <item m="1" x="936"/>
        <item m="1" x="875"/>
        <item m="1" x="876"/>
        <item m="1" x="1236"/>
        <item m="1" x="314"/>
        <item m="1" x="782"/>
        <item m="1" x="661"/>
        <item m="1" x="1115"/>
        <item m="1" x="937"/>
        <item m="1" x="947"/>
        <item m="1" x="662"/>
        <item m="1" x="934"/>
        <item m="1" x="356"/>
        <item m="1" x="373"/>
        <item x="75"/>
        <item x="76"/>
        <item x="129"/>
        <item m="1" x="877"/>
        <item m="1" x="728"/>
        <item m="1" x="948"/>
        <item m="1" x="927"/>
        <item m="1" x="928"/>
        <item m="1" x="850"/>
        <item m="1" x="929"/>
        <item m="1" x="1221"/>
        <item m="1" x="729"/>
        <item m="1" x="1215"/>
        <item m="1" x="605"/>
        <item m="1" x="878"/>
        <item m="1" x="879"/>
        <item m="1" x="1050"/>
        <item m="1" x="930"/>
        <item m="1" x="1111"/>
        <item m="1" x="856"/>
        <item m="1" x="880"/>
        <item m="1" x="847"/>
        <item m="1" x="949"/>
        <item m="1" x="870"/>
        <item m="1" x="183"/>
        <item m="1" x="1116"/>
        <item x="77"/>
        <item m="1" x="1222"/>
        <item x="78"/>
        <item m="1" x="853"/>
        <item x="79"/>
        <item m="1" x="720"/>
        <item m="1" x="753"/>
        <item m="1" x="754"/>
        <item m="1" x="837"/>
        <item m="1" x="891"/>
        <item m="1" x="730"/>
        <item m="1" x="606"/>
        <item m="1" x="892"/>
        <item m="1" x="1228"/>
        <item m="1" x="487"/>
        <item m="1" x="885"/>
        <item m="1" x="731"/>
        <item m="1" x="950"/>
        <item m="1" x="893"/>
        <item m="1" x="938"/>
        <item m="1" x="732"/>
        <item m="1" x="1088"/>
        <item m="1" x="951"/>
        <item m="1" x="973"/>
        <item m="1" x="854"/>
        <item m="1" x="894"/>
        <item m="1" x="1089"/>
        <item m="1" x="895"/>
        <item m="1" x="896"/>
        <item m="1" x="897"/>
        <item m="1" x="184"/>
        <item m="1" x="898"/>
        <item m="1" x="269"/>
        <item m="1" x="974"/>
        <item m="1" x="755"/>
        <item m="1" x="733"/>
        <item m="1" x="1223"/>
        <item m="1" x="1237"/>
        <item m="1" x="931"/>
        <item m="1" x="952"/>
        <item m="1" x="734"/>
        <item m="1" x="1238"/>
        <item m="1" x="1204"/>
        <item m="1" x="735"/>
        <item m="1" x="598"/>
        <item m="1" x="736"/>
        <item m="1" x="1135"/>
        <item m="1" x="899"/>
        <item m="1" x="1117"/>
        <item m="1" x="1239"/>
        <item m="1" x="607"/>
        <item m="1" x="1229"/>
        <item m="1" x="1224"/>
        <item m="1" x="1240"/>
        <item m="1" x="405"/>
        <item m="1" x="1168"/>
        <item m="1" x="1169"/>
        <item m="1" x="1072"/>
        <item m="1" x="1051"/>
        <item m="1" x="608"/>
        <item m="1" x="1165"/>
        <item m="1" x="737"/>
        <item m="1" x="738"/>
        <item m="1" x="1171"/>
        <item x="50"/>
        <item m="1" x="1035"/>
        <item m="1" x="1073"/>
        <item m="1" x="609"/>
        <item m="1" x="1161"/>
        <item m="1" x="1216"/>
        <item m="1" x="953"/>
        <item m="1" x="1118"/>
        <item x="80"/>
        <item m="1" x="900"/>
        <item m="1" x="1172"/>
        <item m="1" x="954"/>
        <item m="1" x="1173"/>
        <item m="1" x="955"/>
        <item x="81"/>
        <item x="82"/>
        <item x="83"/>
        <item m="1" x="1210"/>
        <item m="1" x="1241"/>
        <item m="1" x="1205"/>
        <item m="1" x="597"/>
        <item m="1" x="513"/>
        <item m="1" x="1160"/>
        <item m="1" x="1139"/>
        <item m="1" x="1174"/>
        <item m="1" x="821"/>
        <item m="1" x="817"/>
        <item m="1" x="1175"/>
        <item m="1" x="1074"/>
        <item m="1" x="1090"/>
        <item m="1" x="1036"/>
        <item m="1" x="939"/>
        <item m="1" x="943"/>
        <item m="1" x="1076"/>
        <item m="1" x="1091"/>
        <item m="1" x="956"/>
        <item m="1" x="270"/>
        <item m="1" x="957"/>
        <item m="1" x="357"/>
        <item m="1" x="958"/>
        <item m="1" x="866"/>
        <item m="1" x="844"/>
        <item m="1" x="843"/>
        <item m="1" x="881"/>
        <item m="1" x="959"/>
        <item m="1" x="975"/>
        <item x="84"/>
        <item m="1" x="882"/>
        <item m="1" x="1112"/>
        <item m="1" x="845"/>
        <item m="1" x="739"/>
        <item m="1" x="740"/>
        <item m="1" x="708"/>
        <item m="1" x="1004"/>
        <item m="1" x="741"/>
        <item m="1" x="970"/>
        <item m="1" x="542"/>
        <item m="1" x="1113"/>
        <item m="1" x="742"/>
        <item m="1" x="743"/>
        <item m="1" x="1102"/>
        <item m="1" x="1145"/>
        <item m="1" x="541"/>
        <item m="1" x="886"/>
        <item m="1" x="750"/>
        <item m="1" x="623"/>
        <item m="1" x="824"/>
        <item m="1" x="406"/>
        <item m="1" x="887"/>
        <item m="1" x="1008"/>
        <item m="1" x="1010"/>
        <item m="1" x="969"/>
        <item x="85"/>
        <item m="1" x="1101"/>
        <item m="1" x="185"/>
        <item m="1" x="1049"/>
        <item m="1" x="909"/>
        <item x="86"/>
        <item m="1" x="775"/>
        <item x="122"/>
        <item x="87"/>
        <item m="1" x="822"/>
        <item m="1" x="186"/>
        <item m="1" x="555"/>
        <item m="1" x="215"/>
        <item m="1" x="586"/>
        <item m="1" x="417"/>
        <item m="1" x="1211"/>
        <item m="1" x="624"/>
        <item m="1" x="1134"/>
        <item m="1" x="407"/>
        <item m="1" x="871"/>
        <item m="1" x="883"/>
        <item m="1" x="744"/>
        <item m="1" x="625"/>
        <item m="1" x="187"/>
        <item m="1" x="1195"/>
        <item m="1" x="408"/>
        <item m="1" x="747"/>
        <item m="1" x="626"/>
        <item m="1" x="1242"/>
        <item m="1" x="627"/>
        <item m="1" x="409"/>
        <item m="1" x="1024"/>
        <item m="1" x="960"/>
        <item m="1" x="1122"/>
        <item m="1" x="768"/>
        <item m="1" x="1196"/>
        <item m="1" x="1176"/>
        <item m="1" x="961"/>
        <item m="1" x="346"/>
        <item m="1" x="169"/>
        <item m="1" x="1092"/>
        <item m="1" x="358"/>
        <item m="1" x="1087"/>
        <item m="1" x="907"/>
        <item x="123"/>
        <item x="88"/>
        <item m="1" x="756"/>
        <item m="1" x="745"/>
        <item m="1" x="628"/>
        <item m="1" x="475"/>
        <item m="1" x="1170"/>
        <item m="1" x="1009"/>
        <item m="1" x="1018"/>
        <item m="1" x="410"/>
        <item m="1" x="681"/>
        <item m="1" x="179"/>
        <item m="1" x="188"/>
        <item x="89"/>
        <item m="1" x="905"/>
        <item x="90"/>
        <item m="1" x="471"/>
        <item m="1" x="765"/>
        <item x="124"/>
        <item m="1" x="347"/>
        <item m="1" x="488"/>
        <item m="1" x="637"/>
        <item m="1" x="474"/>
        <item m="1" x="423"/>
        <item m="1" x="483"/>
        <item m="1" x="252"/>
        <item m="1" x="489"/>
        <item m="1" x="663"/>
        <item m="1" x="1130"/>
        <item m="1" x="1197"/>
        <item x="91"/>
        <item m="1" x="976"/>
        <item m="1" x="888"/>
        <item m="1" x="889"/>
        <item m="1" x="220"/>
        <item m="1" x="812"/>
        <item m="1" x="746"/>
        <item m="1" x="705"/>
        <item m="1" x="704"/>
        <item x="18"/>
        <item m="1" x="825"/>
        <item m="1" x="1100"/>
        <item x="23"/>
        <item m="1" x="1230"/>
        <item m="1" x="629"/>
        <item m="1" x="1125"/>
        <item m="1" x="890"/>
        <item m="1" x="1001"/>
        <item m="1" x="1184"/>
        <item m="1" x="1152"/>
        <item m="1" x="1146"/>
        <item m="1" x="1103"/>
        <item m="1" x="1131"/>
        <item m="1" x="411"/>
        <item m="1" x="1167"/>
        <item m="1" x="772"/>
        <item m="1" x="777"/>
        <item x="92"/>
        <item m="1" x="1019"/>
        <item m="1" x="1179"/>
        <item m="1" x="910"/>
        <item x="93"/>
        <item m="1" x="678"/>
        <item m="1" x="271"/>
        <item m="1" x="272"/>
        <item m="1" x="359"/>
        <item m="1" x="911"/>
        <item m="1" x="172"/>
        <item x="11"/>
        <item x="125"/>
        <item x="94"/>
        <item x="126"/>
        <item m="1" x="922"/>
        <item m="1" x="984"/>
        <item m="1" x="717"/>
        <item m="1" x="962"/>
        <item m="1" x="1147"/>
        <item x="95"/>
        <item m="1" x="783"/>
        <item x="96"/>
        <item m="1" x="242"/>
        <item m="1" x="243"/>
        <item x="119"/>
        <item m="1" x="460"/>
        <item m="1" x="204"/>
        <item x="3"/>
        <item m="1" x="219"/>
        <item m="1" x="366"/>
        <item x="30"/>
        <item x="21"/>
        <item x="16"/>
        <item x="6"/>
        <item x="26"/>
        <item x="15"/>
        <item m="1" x="1217"/>
        <item m="1" x="1140"/>
        <item m="1" x="1083"/>
        <item m="1" x="1031"/>
        <item m="1" x="1114"/>
        <item m="1" x="963"/>
        <item m="1" x="490"/>
        <item m="1" x="1177"/>
        <item m="1" x="212"/>
        <item m="1" x="194"/>
        <item m="1" x="1188"/>
        <item m="1" x="264"/>
        <item m="1" x="1166"/>
        <item m="1" x="1212"/>
        <item m="1" x="1198"/>
        <item m="1" x="1218"/>
        <item m="1" x="977"/>
        <item m="1" x="1011"/>
        <item m="1" x="1034"/>
        <item m="1" x="884"/>
        <item m="1" x="920"/>
        <item m="1" x="967"/>
        <item m="1" x="1006"/>
        <item m="1" x="1002"/>
        <item m="1" x="1243"/>
        <item m="1" x="804"/>
        <item m="1" x="1007"/>
        <item m="1" x="908"/>
        <item m="1" x="476"/>
        <item m="1" x="826"/>
        <item m="1" x="477"/>
        <item m="1" x="265"/>
        <item m="1" x="216"/>
        <item m="1" x="199"/>
        <item m="1" x="227"/>
        <item m="1" x="377"/>
        <item m="1" x="213"/>
        <item m="1" x="369"/>
        <item m="1" x="218"/>
        <item m="1" x="1032"/>
        <item x="97"/>
        <item m="1" x="718"/>
        <item m="1" x="1084"/>
        <item m="1" x="1244"/>
        <item m="1" x="1231"/>
        <item m="1" x="630"/>
        <item m="1" x="1245"/>
        <item m="1" x="1232"/>
        <item m="1" x="412"/>
        <item x="98"/>
        <item m="1" x="757"/>
        <item m="1" x="313"/>
        <item m="1" x="631"/>
        <item m="1" x="413"/>
        <item m="1" x="360"/>
        <item m="1" x="872"/>
        <item m="1" x="719"/>
        <item m="1" x="1085"/>
        <item m="1" x="1246"/>
        <item m="1" x="944"/>
        <item m="1" x="988"/>
        <item m="1" x="473"/>
        <item m="1" x="361"/>
        <item m="1" x="315"/>
        <item m="1" x="978"/>
        <item m="1" x="316"/>
        <item m="1" x="1003"/>
        <item m="1" x="986"/>
        <item m="1" x="595"/>
        <item m="1" x="632"/>
        <item m="1" x="521"/>
        <item m="1" x="633"/>
        <item m="1" x="615"/>
        <item m="1" x="414"/>
        <item m="1" x="251"/>
        <item m="1" x="415"/>
        <item m="1" x="173"/>
        <item m="1" x="991"/>
        <item m="1" x="262"/>
        <item m="1" x="362"/>
        <item m="1" x="491"/>
        <item m="1" x="1093"/>
        <item m="1" x="492"/>
        <item m="1" x="1094"/>
        <item m="1" x="1095"/>
        <item m="1" x="174"/>
        <item m="1" x="1096"/>
        <item m="1" x="1097"/>
        <item m="1" x="1098"/>
        <item m="1" x="979"/>
        <item m="1" x="175"/>
        <item m="1" x="980"/>
        <item m="1" x="945"/>
        <item m="1" x="273"/>
        <item m="1" x="946"/>
        <item m="1" x="1119"/>
        <item m="1" x="873"/>
        <item x="99"/>
        <item m="1" x="610"/>
        <item m="1" x="611"/>
        <item m="1" x="612"/>
        <item m="1" x="613"/>
        <item m="1" x="614"/>
        <item m="1" x="1141"/>
        <item m="1" x="842"/>
        <item m="1" x="363"/>
        <item m="1" x="836"/>
        <item m="1" x="981"/>
        <item m="1" x="616"/>
        <item m="1" x="617"/>
        <item m="1" x="618"/>
        <item m="1" x="619"/>
        <item m="1" x="758"/>
        <item m="1" x="620"/>
        <item m="1" x="306"/>
        <item m="1" x="1086"/>
        <item m="1" x="559"/>
        <item x="127"/>
        <item m="1" x="493"/>
        <item m="1" x="502"/>
        <item m="1" x="621"/>
        <item m="1" x="305"/>
        <item m="1" x="304"/>
        <item m="1" x="376"/>
        <item x="132"/>
        <item m="1" x="260"/>
        <item m="1" x="200"/>
        <item m="1" x="852"/>
        <item m="1" x="769"/>
        <item m="1" x="302"/>
        <item m="1" x="303"/>
        <item m="1" x="312"/>
        <item m="1" x="311"/>
        <item m="1" x="851"/>
        <item m="1" x="703"/>
        <item m="1" x="520"/>
        <item m="1" x="501"/>
        <item m="1" x="160"/>
        <item m="1" x="159"/>
        <item m="1" x="158"/>
        <item x="117"/>
        <item x="116"/>
        <item x="115"/>
        <item m="1" x="310"/>
        <item m="1" x="309"/>
        <item x="114"/>
        <item m="1" x="308"/>
        <item m="1" x="307"/>
        <item m="1" x="835"/>
        <item m="1" x="834"/>
        <item m="1" x="841"/>
        <item m="1" x="833"/>
        <item m="1" x="583"/>
        <item m="1" x="548"/>
        <item m="1" x="416"/>
        <item m="1" x="195"/>
        <item x="38"/>
        <item x="45"/>
        <item x="13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58">
    <i>
      <x/>
      <x v="211"/>
    </i>
    <i t="default">
      <x/>
    </i>
    <i>
      <x v="1"/>
      <x v="277"/>
    </i>
    <i r="1">
      <x v="367"/>
    </i>
    <i r="1">
      <x v="369"/>
    </i>
    <i r="1">
      <x v="381"/>
    </i>
    <i r="1">
      <x v="384"/>
    </i>
    <i r="1">
      <x v="691"/>
    </i>
    <i r="1">
      <x v="730"/>
    </i>
    <i r="1">
      <x v="1080"/>
    </i>
    <i r="1">
      <x v="1086"/>
    </i>
    <i t="default">
      <x v="1"/>
    </i>
    <i>
      <x v="2"/>
      <x v="217"/>
    </i>
    <i r="1">
      <x v="279"/>
    </i>
    <i r="1">
      <x v="292"/>
    </i>
    <i r="1">
      <x v="314"/>
    </i>
    <i r="1">
      <x v="315"/>
    </i>
    <i r="1">
      <x v="379"/>
    </i>
    <i r="1">
      <x v="380"/>
    </i>
    <i r="1">
      <x v="382"/>
    </i>
    <i r="1">
      <x v="383"/>
    </i>
    <i r="1">
      <x v="385"/>
    </i>
    <i r="1">
      <x v="387"/>
    </i>
    <i r="1">
      <x v="618"/>
    </i>
    <i r="1">
      <x v="619"/>
    </i>
    <i r="1">
      <x v="1034"/>
    </i>
    <i r="1">
      <x v="1037"/>
    </i>
    <i r="1">
      <x v="1063"/>
    </i>
    <i r="1">
      <x v="1083"/>
    </i>
    <i r="1">
      <x v="1084"/>
    </i>
    <i r="1">
      <x v="1085"/>
    </i>
    <i r="1">
      <x v="1087"/>
    </i>
    <i r="1">
      <x v="1088"/>
    </i>
    <i t="default">
      <x v="2"/>
    </i>
    <i>
      <x v="3"/>
      <x v="56"/>
    </i>
    <i r="1">
      <x v="72"/>
    </i>
    <i r="1">
      <x v="93"/>
    </i>
    <i r="1">
      <x v="150"/>
    </i>
    <i r="1">
      <x v="243"/>
    </i>
    <i r="1">
      <x v="383"/>
    </i>
    <i r="1">
      <x v="576"/>
    </i>
    <i r="1">
      <x v="763"/>
    </i>
    <i r="1">
      <x v="1245"/>
    </i>
    <i t="default">
      <x v="3"/>
    </i>
    <i>
      <x v="4"/>
      <x v="148"/>
    </i>
    <i r="1">
      <x v="158"/>
    </i>
    <i r="1">
      <x v="177"/>
    </i>
    <i r="1">
      <x v="339"/>
    </i>
    <i r="1">
      <x v="526"/>
    </i>
    <i r="1">
      <x v="731"/>
    </i>
    <i r="1">
      <x v="1246"/>
    </i>
    <i t="default">
      <x v="4"/>
    </i>
    <i>
      <x v="5"/>
      <x v="477"/>
    </i>
    <i r="1">
      <x v="482"/>
    </i>
    <i r="1">
      <x v="483"/>
    </i>
    <i t="default">
      <x v="5"/>
    </i>
    <i>
      <x v="6"/>
      <x v="87"/>
    </i>
    <i r="1">
      <x v="92"/>
    </i>
    <i r="1">
      <x v="115"/>
    </i>
    <i r="1">
      <x v="131"/>
    </i>
    <i r="1">
      <x v="141"/>
    </i>
    <i r="1">
      <x v="147"/>
    </i>
    <i r="1">
      <x v="149"/>
    </i>
    <i r="1">
      <x v="210"/>
    </i>
    <i r="1">
      <x v="213"/>
    </i>
    <i r="1">
      <x v="254"/>
    </i>
    <i r="1">
      <x v="308"/>
    </i>
    <i r="1">
      <x v="319"/>
    </i>
    <i r="1">
      <x v="346"/>
    </i>
    <i r="1">
      <x v="355"/>
    </i>
    <i r="1">
      <x v="556"/>
    </i>
    <i r="1">
      <x v="628"/>
    </i>
    <i r="1">
      <x v="648"/>
    </i>
    <i r="1">
      <x v="663"/>
    </i>
    <i r="1">
      <x v="687"/>
    </i>
    <i r="1">
      <x v="879"/>
    </i>
    <i t="default">
      <x v="6"/>
    </i>
    <i>
      <x v="7"/>
      <x v="292"/>
    </i>
    <i r="1">
      <x v="294"/>
    </i>
    <i r="1">
      <x v="338"/>
    </i>
    <i t="default">
      <x v="7"/>
    </i>
    <i>
      <x v="8"/>
      <x v="377"/>
    </i>
    <i r="1">
      <x v="378"/>
    </i>
    <i r="1">
      <x v="468"/>
    </i>
    <i r="1">
      <x v="481"/>
    </i>
    <i t="default">
      <x v="8"/>
    </i>
    <i>
      <x v="9"/>
      <x v="468"/>
    </i>
    <i r="1">
      <x v="763"/>
    </i>
    <i r="1">
      <x v="789"/>
    </i>
    <i r="1">
      <x v="790"/>
    </i>
    <i r="1">
      <x v="815"/>
    </i>
    <i r="1">
      <x v="817"/>
    </i>
    <i r="1">
      <x v="819"/>
    </i>
    <i r="1">
      <x v="887"/>
    </i>
    <i r="1">
      <x v="893"/>
    </i>
    <i r="1">
      <x v="894"/>
    </i>
    <i r="1">
      <x v="895"/>
    </i>
    <i r="1">
      <x v="925"/>
    </i>
    <i r="1">
      <x v="951"/>
    </i>
    <i r="1">
      <x v="956"/>
    </i>
    <i r="1">
      <x v="959"/>
    </i>
    <i r="1">
      <x v="996"/>
    </i>
    <i r="1">
      <x v="1008"/>
    </i>
    <i r="1">
      <x v="1010"/>
    </i>
    <i r="1">
      <x v="1025"/>
    </i>
    <i r="1">
      <x v="1052"/>
    </i>
    <i r="1">
      <x v="1056"/>
    </i>
    <i r="1">
      <x v="1065"/>
    </i>
    <i r="1">
      <x v="1072"/>
    </i>
    <i r="1">
      <x v="1074"/>
    </i>
    <i r="1">
      <x v="1129"/>
    </i>
    <i r="1">
      <x v="1138"/>
    </i>
    <i r="1">
      <x v="1186"/>
    </i>
    <i t="default">
      <x v="9"/>
    </i>
    <i>
      <x v="10"/>
      <x v="229"/>
    </i>
    <i r="1">
      <x v="291"/>
    </i>
    <i r="1">
      <x v="340"/>
    </i>
    <i r="1">
      <x v="376"/>
    </i>
    <i r="1">
      <x v="377"/>
    </i>
    <i r="1">
      <x v="450"/>
    </i>
    <i r="1">
      <x v="482"/>
    </i>
    <i r="1">
      <x v="674"/>
    </i>
    <i r="1">
      <x v="675"/>
    </i>
    <i r="1">
      <x v="676"/>
    </i>
    <i r="1">
      <x v="678"/>
    </i>
    <i r="1">
      <x v="679"/>
    </i>
    <i r="1">
      <x v="680"/>
    </i>
    <i r="1">
      <x v="688"/>
    </i>
    <i r="1">
      <x v="689"/>
    </i>
    <i r="1">
      <x v="690"/>
    </i>
    <i r="1">
      <x v="707"/>
    </i>
    <i r="1">
      <x v="715"/>
    </i>
    <i r="1">
      <x v="716"/>
    </i>
    <i r="1">
      <x v="717"/>
    </i>
    <i r="1">
      <x v="958"/>
    </i>
    <i r="1">
      <x v="995"/>
    </i>
    <i r="1">
      <x v="1013"/>
    </i>
    <i r="1">
      <x v="1064"/>
    </i>
    <i r="1">
      <x v="1066"/>
    </i>
    <i r="1">
      <x v="1077"/>
    </i>
    <i r="1">
      <x v="1206"/>
    </i>
    <i r="1">
      <x v="1229"/>
    </i>
    <i r="1">
      <x v="1230"/>
    </i>
    <i r="1">
      <x v="1231"/>
    </i>
    <i r="1">
      <x v="1234"/>
    </i>
    <i t="default">
      <x v="10"/>
    </i>
    <i>
      <x v="11"/>
      <x v="294"/>
    </i>
    <i r="1">
      <x v="377"/>
    </i>
    <i r="1">
      <x v="791"/>
    </i>
    <i t="default">
      <x v="11"/>
    </i>
    <i>
      <x v="12"/>
      <x v="377"/>
    </i>
    <i r="1">
      <x v="480"/>
    </i>
    <i r="1">
      <x v="485"/>
    </i>
    <i r="1">
      <x v="1213"/>
    </i>
    <i t="default">
      <x v="12"/>
    </i>
    <i>
      <x v="13"/>
      <x v="1247"/>
    </i>
    <i t="default">
      <x v="13"/>
    </i>
    <i t="grand">
      <x/>
    </i>
  </rowItems>
  <colItems count="1">
    <i/>
  </colItems>
  <dataFields count="1">
    <dataField name="加總 - 重量" fld="2" baseField="0" baseItem="0"/>
  </dataFields>
  <pivotTableStyleInfo name="PivotStyleLight17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23DB7-9845-428C-85C1-71DB04C75E81}" name="樞紐分析表3" cacheId="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N1:O16" firstHeaderRow="1" firstDataRow="1" firstDataCol="1"/>
  <pivotFields count="3">
    <pivotField axis="axisRow" showAll="0" sortType="a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加總 - 重量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48DA8-2E20-4AC5-A185-4CF5C70791AE}" name="樞紐分析表2" cacheId="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L136" firstHeaderRow="1" firstDataRow="1" firstDataCol="1"/>
  <pivotFields count="3">
    <pivotField showAll="0"/>
    <pivotField axis="axisRow" showAll="0">
      <items count="1249">
        <item m="1" x="478"/>
        <item m="1" x="479"/>
        <item m="1" x="1040"/>
        <item m="1" x="424"/>
        <item m="1" x="645"/>
        <item m="1" x="549"/>
        <item m="1" x="1127"/>
        <item m="1" x="425"/>
        <item m="1" x="246"/>
        <item m="1" x="514"/>
        <item m="1" x="799"/>
        <item m="1" x="388"/>
        <item m="1" x="348"/>
        <item m="1" x="806"/>
        <item m="1" x="1038"/>
        <item m="1" x="1199"/>
        <item m="1" x="389"/>
        <item m="1" x="1041"/>
        <item m="1" x="1059"/>
        <item m="1" x="1039"/>
        <item m="1" x="1120"/>
        <item m="1" x="672"/>
        <item m="1" x="665"/>
        <item m="1" x="673"/>
        <item m="1" x="646"/>
        <item m="1" x="390"/>
        <item m="1" x="1162"/>
        <item m="1" x="1128"/>
        <item m="1" x="1020"/>
        <item m="1" x="941"/>
        <item m="1" x="480"/>
        <item m="1" x="901"/>
        <item m="1" x="942"/>
        <item m="1" x="800"/>
        <item m="1" x="349"/>
        <item m="1" x="531"/>
        <item m="1" x="448"/>
        <item m="1" x="447"/>
        <item m="1" x="985"/>
        <item m="1" x="317"/>
        <item m="1" x="136"/>
        <item m="1" x="801"/>
        <item m="1" x="494"/>
        <item m="1" x="1016"/>
        <item m="1" x="253"/>
        <item m="1" x="274"/>
        <item m="1" x="449"/>
        <item m="1" x="481"/>
        <item m="1" x="433"/>
        <item m="1" x="461"/>
        <item m="1" x="1163"/>
        <item m="1" x="439"/>
        <item m="1" x="1213"/>
        <item m="1" x="1164"/>
        <item m="1" x="1060"/>
        <item m="1" x="364"/>
        <item m="1" x="350"/>
        <item m="1" x="818"/>
        <item m="1" x="819"/>
        <item m="1" x="1206"/>
        <item m="1" x="337"/>
        <item x="33"/>
        <item m="1" x="1022"/>
        <item m="1" x="797"/>
        <item m="1" x="820"/>
        <item m="1" x="647"/>
        <item m="1" x="161"/>
        <item m="1" x="648"/>
        <item m="1" x="1132"/>
        <item m="1" x="147"/>
        <item m="1" x="813"/>
        <item m="1" x="351"/>
        <item m="1" x="814"/>
        <item m="1" x="1110"/>
        <item m="1" x="1061"/>
        <item x="51"/>
        <item m="1" x="815"/>
        <item m="1" x="816"/>
        <item m="1" x="338"/>
        <item x="52"/>
        <item x="34"/>
        <item m="1" x="805"/>
        <item m="1" x="596"/>
        <item m="1" x="664"/>
        <item m="1" x="434"/>
        <item m="1" x="1219"/>
        <item m="1" x="339"/>
        <item m="1" x="1042"/>
        <item m="1" x="802"/>
        <item m="1" x="912"/>
        <item m="1" x="1104"/>
        <item m="1" x="1043"/>
        <item m="1" x="1021"/>
        <item m="1" x="340"/>
        <item m="1" x="1064"/>
        <item m="1" x="913"/>
        <item m="1" x="418"/>
        <item m="1" x="205"/>
        <item m="1" x="391"/>
        <item m="1" x="803"/>
        <item m="1" x="649"/>
        <item x="53"/>
        <item m="1" x="148"/>
        <item m="1" x="674"/>
        <item m="1" x="1025"/>
        <item m="1" x="675"/>
        <item m="1" x="650"/>
        <item m="1" x="206"/>
        <item m="1" x="1200"/>
        <item m="1" x="1148"/>
        <item m="1" x="1044"/>
        <item m="1" x="280"/>
        <item m="1" x="225"/>
        <item x="54"/>
        <item m="1" x="902"/>
        <item m="1" x="903"/>
        <item m="1" x="341"/>
        <item m="1" x="1129"/>
        <item m="1" x="1065"/>
        <item m="1" x="1062"/>
        <item m="1" x="162"/>
        <item m="1" x="992"/>
        <item m="1" x="925"/>
        <item x="55"/>
        <item m="1" x="1137"/>
        <item m="1" x="971"/>
        <item m="1" x="1109"/>
        <item m="1" x="965"/>
        <item m="1" x="1151"/>
        <item x="56"/>
        <item x="39"/>
        <item x="57"/>
        <item x="31"/>
        <item m="1" x="532"/>
        <item m="1" x="1191"/>
        <item m="1" x="554"/>
        <item m="1" x="277"/>
        <item m="1" x="562"/>
        <item m="1" x="392"/>
        <item m="1" x="1189"/>
        <item x="40"/>
        <item m="1" x="137"/>
        <item m="1" x="1126"/>
        <item m="1" x="1150"/>
        <item m="1" x="163"/>
        <item m="1" x="1045"/>
        <item m="1" x="164"/>
        <item m="1" x="1066"/>
        <item m="1" x="1067"/>
        <item m="1" x="149"/>
        <item m="1" x="1015"/>
        <item m="1" x="867"/>
        <item m="1" x="792"/>
        <item m="1" x="993"/>
        <item m="1" x="697"/>
        <item m="1" x="584"/>
        <item m="1" x="372"/>
        <item m="1" x="994"/>
        <item x="41"/>
        <item m="1" x="966"/>
        <item m="1" x="1033"/>
        <item m="1" x="1138"/>
        <item m="1" x="691"/>
        <item m="1" x="563"/>
        <item m="1" x="568"/>
        <item m="1" x="1220"/>
        <item m="1" x="638"/>
        <item m="1" x="569"/>
        <item m="1" x="419"/>
        <item m="1" x="1185"/>
        <item m="1" x="795"/>
        <item m="1" x="1181"/>
        <item m="1" x="823"/>
        <item m="1" x="318"/>
        <item m="1" x="810"/>
        <item m="1" x="989"/>
        <item m="1" x="676"/>
        <item m="1" x="153"/>
        <item m="1" x="431"/>
        <item m="1" x="995"/>
        <item x="0"/>
        <item m="1" x="515"/>
        <item m="1" x="576"/>
        <item m="1" x="420"/>
        <item m="1" x="435"/>
        <item m="1" x="543"/>
        <item m="1" x="651"/>
        <item m="1" x="551"/>
        <item m="1" x="452"/>
        <item m="1" x="868"/>
        <item m="1" x="652"/>
        <item x="120"/>
        <item m="1" x="278"/>
        <item m="1" x="247"/>
        <item m="1" x="209"/>
        <item m="1" x="666"/>
        <item m="1" x="1153"/>
        <item m="1" x="653"/>
        <item m="1" x="667"/>
        <item m="1" x="1149"/>
        <item x="35"/>
        <item m="1" x="855"/>
        <item m="1" x="1105"/>
        <item m="1" x="686"/>
        <item m="1" x="996"/>
        <item m="1" x="987"/>
        <item m="1" x="997"/>
        <item m="1" x="998"/>
        <item m="1" x="1186"/>
        <item m="1" x="572"/>
        <item m="1" x="1026"/>
        <item m="1" x="1027"/>
        <item m="1" x="807"/>
        <item m="1" x="789"/>
        <item m="1" x="968"/>
        <item m="1" x="809"/>
        <item m="1" x="808"/>
        <item m="1" x="776"/>
        <item m="1" x="467"/>
        <item m="1" x="668"/>
        <item m="1" x="534"/>
        <item m="1" x="436"/>
        <item m="1" x="426"/>
        <item m="1" x="266"/>
        <item m="1" x="574"/>
        <item m="1" x="1154"/>
        <item m="1" x="255"/>
        <item m="1" x="654"/>
        <item m="1" x="1144"/>
        <item m="1" x="655"/>
        <item m="1" x="440"/>
        <item x="61"/>
        <item m="1" x="656"/>
        <item m="1" x="669"/>
        <item m="1" x="275"/>
        <item m="1" x="139"/>
        <item m="1" x="140"/>
        <item m="1" x="1046"/>
        <item m="1" x="170"/>
        <item x="62"/>
        <item m="1" x="1017"/>
        <item m="1" x="1012"/>
        <item m="1" x="869"/>
        <item m="1" x="657"/>
        <item m="1" x="658"/>
        <item m="1" x="1037"/>
        <item m="1" x="1247"/>
        <item m="1" x="1178"/>
        <item m="1" x="1028"/>
        <item m="1" x="233"/>
        <item m="1" x="564"/>
        <item m="1" x="786"/>
        <item m="1" x="811"/>
        <item x="42"/>
        <item x="112"/>
        <item m="1" x="248"/>
        <item m="1" x="365"/>
        <item m="1" x="794"/>
        <item m="1" x="1099"/>
        <item m="1" x="774"/>
        <item m="1" x="787"/>
        <item m="1" x="781"/>
        <item m="1" x="375"/>
        <item m="1" x="770"/>
        <item m="1" x="827"/>
        <item m="1" x="798"/>
        <item m="1" x="914"/>
        <item x="14"/>
        <item x="5"/>
        <item m="1" x="1201"/>
        <item x="27"/>
        <item m="1" x="1233"/>
        <item m="1" x="670"/>
        <item m="1" x="1136"/>
        <item m="1" x="1029"/>
        <item m="1" x="1142"/>
        <item m="1" x="1047"/>
        <item m="1" x="1068"/>
        <item m="1" x="1023"/>
        <item m="1" x="455"/>
        <item m="1" x="142"/>
        <item m="1" x="468"/>
        <item m="1" x="711"/>
        <item m="1" x="1190"/>
        <item m="1" x="1207"/>
        <item m="1" x="695"/>
        <item m="1" x="1208"/>
        <item m="1" x="828"/>
        <item m="1" x="437"/>
        <item m="1" x="566"/>
        <item m="1" x="1202"/>
        <item m="1" x="432"/>
        <item m="1" x="791"/>
        <item m="1" x="1063"/>
        <item m="1" x="915"/>
        <item m="1" x="916"/>
        <item m="1" x="972"/>
        <item m="1" x="1005"/>
        <item m="1" x="760"/>
        <item m="1" x="1234"/>
        <item m="1" x="223"/>
        <item m="1" x="1183"/>
        <item m="1" x="1214"/>
        <item m="1" x="1192"/>
        <item m="1" x="762"/>
        <item m="1" x="763"/>
        <item m="1" x="567"/>
        <item m="1" x="238"/>
        <item m="1" x="1158"/>
        <item m="1" x="1124"/>
        <item m="1" x="940"/>
        <item m="1" x="1180"/>
        <item m="1" x="1000"/>
        <item m="1" x="785"/>
        <item m="1" x="557"/>
        <item x="103"/>
        <item m="1" x="773"/>
        <item m="1" x="780"/>
        <item m="1" x="429"/>
        <item m="1" x="444"/>
        <item m="1" x="964"/>
        <item m="1" x="790"/>
        <item m="1" x="784"/>
        <item m="1" x="904"/>
        <item m="1" x="591"/>
        <item m="1" x="1203"/>
        <item m="1" x="345"/>
        <item m="1" x="592"/>
        <item m="1" x="469"/>
        <item m="1" x="1014"/>
        <item m="1" x="545"/>
        <item m="1" x="547"/>
        <item m="1" x="640"/>
        <item m="1" x="860"/>
        <item m="1" x="352"/>
        <item m="1" x="917"/>
        <item m="1" x="249"/>
        <item m="1" x="641"/>
        <item m="1" x="397"/>
        <item m="1" x="380"/>
        <item m="1" x="394"/>
        <item m="1" x="861"/>
        <item m="1" x="301"/>
        <item m="1" x="516"/>
        <item m="1" x="398"/>
        <item m="1" x="428"/>
        <item m="1" x="1123"/>
        <item m="1" x="1048"/>
        <item m="1" x="399"/>
        <item m="1" x="1069"/>
        <item m="1" x="442"/>
        <item m="1" x="143"/>
        <item m="1" x="999"/>
        <item m="1" x="527"/>
        <item m="1" x="1182"/>
        <item m="1" x="250"/>
        <item m="1" x="779"/>
        <item x="43"/>
        <item m="1" x="983"/>
        <item m="1" x="749"/>
        <item m="1" x="990"/>
        <item m="1" x="401"/>
        <item m="1" x="1070"/>
        <item m="1" x="152"/>
        <item m="1" x="482"/>
        <item m="1" x="1077"/>
        <item m="1" x="1052"/>
        <item m="1" x="1071"/>
        <item m="1" x="593"/>
        <item m="1" x="923"/>
        <item m="1" x="918"/>
        <item m="1" x="1053"/>
        <item m="1" x="1054"/>
        <item m="1" x="168"/>
        <item m="1" x="144"/>
        <item m="1" x="1055"/>
        <item m="1" x="1108"/>
        <item m="1" x="671"/>
        <item m="1" x="906"/>
        <item m="1" x="1078"/>
        <item m="1" x="1107"/>
        <item m="1" x="921"/>
        <item x="65"/>
        <item m="1" x="857"/>
        <item m="1" x="594"/>
        <item m="1" x="1159"/>
        <item m="1" x="1079"/>
        <item m="1" x="1080"/>
        <item m="1" x="1081"/>
        <item m="1" x="402"/>
        <item m="1" x="1082"/>
        <item m="1" x="579"/>
        <item m="1" x="535"/>
        <item m="1" x="580"/>
        <item m="1" x="581"/>
        <item m="1" x="848"/>
        <item m="1" x="582"/>
        <item m="1" x="438"/>
        <item m="1" x="577"/>
        <item m="1" x="395"/>
        <item m="1" x="556"/>
        <item m="1" x="134"/>
        <item m="1" x="1030"/>
        <item m="1" x="1209"/>
        <item m="1" x="300"/>
        <item m="1" x="299"/>
        <item m="1" x="323"/>
        <item m="1" x="387"/>
        <item m="1" x="322"/>
        <item m="1" x="982"/>
        <item m="1" x="862"/>
        <item m="1" x="874"/>
        <item m="1" x="321"/>
        <item m="1" x="696"/>
        <item m="1" x="529"/>
        <item m="1" x="536"/>
        <item m="1" x="524"/>
        <item m="1" x="525"/>
        <item m="1" x="386"/>
        <item m="1" x="396"/>
        <item m="1" x="385"/>
        <item m="1" x="926"/>
        <item m="1" x="371"/>
        <item m="1" x="528"/>
        <item m="1" x="384"/>
        <item m="1" x="320"/>
        <item m="1" x="924"/>
        <item m="1" x="919"/>
        <item m="1" x="863"/>
        <item m="1" x="864"/>
        <item m="1" x="829"/>
        <item m="1" x="838"/>
        <item m="1" x="849"/>
        <item m="1" x="865"/>
        <item m="1" x="1056"/>
        <item m="1" x="659"/>
        <item m="1" x="660"/>
        <item m="1" x="353"/>
        <item m="1" x="145"/>
        <item x="66"/>
        <item m="1" x="383"/>
        <item m="1" x="382"/>
        <item m="1" x="1155"/>
        <item m="1" x="368"/>
        <item m="1" x="367"/>
        <item m="1" x="222"/>
        <item m="1" x="298"/>
        <item m="1" x="297"/>
        <item m="1" x="296"/>
        <item m="1" x="771"/>
        <item m="1" x="295"/>
        <item m="1" x="261"/>
        <item m="1" x="682"/>
        <item m="1" x="294"/>
        <item m="1" x="331"/>
        <item m="1" x="330"/>
        <item m="1" x="329"/>
        <item m="1" x="328"/>
        <item m="1" x="858"/>
        <item x="67"/>
        <item m="1" x="859"/>
        <item m="1" x="157"/>
        <item m="1" x="1193"/>
        <item m="1" x="1013"/>
        <item x="49"/>
        <item m="1" x="327"/>
        <item m="1" x="326"/>
        <item m="1" x="793"/>
        <item x="101"/>
        <item x="100"/>
        <item m="1" x="644"/>
        <item m="1" x="1057"/>
        <item m="1" x="293"/>
        <item m="1" x="1058"/>
        <item m="1" x="292"/>
        <item m="1" x="354"/>
        <item m="1" x="291"/>
        <item m="1" x="290"/>
        <item m="1" x="289"/>
        <item m="1" x="288"/>
        <item m="1" x="287"/>
        <item m="1" x="778"/>
        <item m="1" x="286"/>
        <item m="1" x="285"/>
        <item m="1" x="839"/>
        <item m="1" x="1106"/>
        <item m="1" x="284"/>
        <item m="1" x="283"/>
        <item m="1" x="336"/>
        <item m="1" x="335"/>
        <item m="1" x="334"/>
        <item m="1" x="333"/>
        <item m="1" x="332"/>
        <item m="1" x="830"/>
        <item x="105"/>
        <item x="104"/>
        <item x="113"/>
        <item m="1" x="840"/>
        <item m="1" x="523"/>
        <item m="1" x="508"/>
        <item m="1" x="518"/>
        <item m="1" x="507"/>
        <item m="1" x="506"/>
        <item m="1" x="381"/>
        <item m="1" x="796"/>
        <item m="1" x="788"/>
        <item x="7"/>
        <item x="44"/>
        <item m="1" x="1156"/>
        <item m="1" x="1157"/>
        <item m="1" x="1225"/>
        <item m="1" x="1133"/>
        <item m="1" x="725"/>
        <item m="1" x="622"/>
        <item m="1" x="484"/>
        <item m="1" x="600"/>
        <item m="1" x="355"/>
        <item m="1" x="171"/>
        <item m="1" x="268"/>
        <item m="1" x="935"/>
        <item m="1" x="846"/>
        <item m="1" x="751"/>
        <item m="1" x="601"/>
        <item m="1" x="1235"/>
        <item m="1" x="602"/>
        <item m="1" x="1226"/>
        <item m="1" x="603"/>
        <item m="1" x="604"/>
        <item m="1" x="1143"/>
        <item m="1" x="1194"/>
        <item m="1" x="1187"/>
        <item m="1" x="403"/>
        <item m="1" x="485"/>
        <item m="1" x="831"/>
        <item m="1" x="182"/>
        <item m="1" x="832"/>
        <item x="37"/>
        <item m="1" x="932"/>
        <item m="1" x="933"/>
        <item m="1" x="752"/>
        <item m="1" x="1227"/>
        <item m="1" x="486"/>
        <item m="1" x="1121"/>
        <item m="1" x="404"/>
        <item m="1" x="1075"/>
        <item m="1" x="936"/>
        <item m="1" x="875"/>
        <item m="1" x="876"/>
        <item m="1" x="1236"/>
        <item m="1" x="314"/>
        <item m="1" x="782"/>
        <item m="1" x="661"/>
        <item m="1" x="1115"/>
        <item m="1" x="937"/>
        <item m="1" x="947"/>
        <item m="1" x="662"/>
        <item m="1" x="934"/>
        <item m="1" x="877"/>
        <item m="1" x="948"/>
        <item m="1" x="927"/>
        <item m="1" x="928"/>
        <item m="1" x="850"/>
        <item m="1" x="929"/>
        <item m="1" x="1221"/>
        <item m="1" x="1215"/>
        <item m="1" x="605"/>
        <item m="1" x="878"/>
        <item m="1" x="879"/>
        <item m="1" x="1050"/>
        <item m="1" x="930"/>
        <item m="1" x="1111"/>
        <item m="1" x="856"/>
        <item m="1" x="880"/>
        <item m="1" x="847"/>
        <item m="1" x="949"/>
        <item m="1" x="870"/>
        <item m="1" x="183"/>
        <item m="1" x="1116"/>
        <item x="77"/>
        <item m="1" x="1222"/>
        <item x="78"/>
        <item m="1" x="853"/>
        <item x="79"/>
        <item m="1" x="720"/>
        <item m="1" x="837"/>
        <item m="1" x="891"/>
        <item m="1" x="606"/>
        <item m="1" x="892"/>
        <item m="1" x="1228"/>
        <item m="1" x="487"/>
        <item m="1" x="885"/>
        <item m="1" x="950"/>
        <item m="1" x="893"/>
        <item m="1" x="938"/>
        <item m="1" x="1088"/>
        <item m="1" x="951"/>
        <item m="1" x="973"/>
        <item m="1" x="854"/>
        <item m="1" x="894"/>
        <item m="1" x="1089"/>
        <item m="1" x="895"/>
        <item m="1" x="896"/>
        <item m="1" x="897"/>
        <item m="1" x="184"/>
        <item m="1" x="898"/>
        <item m="1" x="269"/>
        <item m="1" x="974"/>
        <item m="1" x="1223"/>
        <item m="1" x="1237"/>
        <item m="1" x="931"/>
        <item m="1" x="952"/>
        <item m="1" x="734"/>
        <item m="1" x="1238"/>
        <item m="1" x="1204"/>
        <item m="1" x="598"/>
        <item m="1" x="1135"/>
        <item m="1" x="899"/>
        <item m="1" x="1117"/>
        <item m="1" x="1239"/>
        <item m="1" x="607"/>
        <item m="1" x="1229"/>
        <item m="1" x="1224"/>
        <item m="1" x="1240"/>
        <item m="1" x="405"/>
        <item m="1" x="1168"/>
        <item m="1" x="1169"/>
        <item m="1" x="1072"/>
        <item m="1" x="1051"/>
        <item m="1" x="608"/>
        <item m="1" x="1165"/>
        <item m="1" x="1171"/>
        <item x="50"/>
        <item m="1" x="1035"/>
        <item m="1" x="1073"/>
        <item m="1" x="609"/>
        <item m="1" x="1161"/>
        <item m="1" x="1216"/>
        <item m="1" x="953"/>
        <item m="1" x="1118"/>
        <item x="80"/>
        <item m="1" x="900"/>
        <item m="1" x="1172"/>
        <item m="1" x="954"/>
        <item m="1" x="1173"/>
        <item m="1" x="955"/>
        <item x="81"/>
        <item x="82"/>
        <item x="83"/>
        <item m="1" x="1210"/>
        <item m="1" x="1241"/>
        <item m="1" x="1205"/>
        <item m="1" x="597"/>
        <item m="1" x="513"/>
        <item m="1" x="1160"/>
        <item m="1" x="1139"/>
        <item m="1" x="1174"/>
        <item m="1" x="821"/>
        <item m="1" x="817"/>
        <item m="1" x="1175"/>
        <item m="1" x="1074"/>
        <item m="1" x="1090"/>
        <item m="1" x="1036"/>
        <item m="1" x="939"/>
        <item m="1" x="943"/>
        <item m="1" x="1076"/>
        <item m="1" x="1091"/>
        <item m="1" x="956"/>
        <item m="1" x="270"/>
        <item m="1" x="957"/>
        <item m="1" x="357"/>
        <item m="1" x="958"/>
        <item m="1" x="866"/>
        <item m="1" x="844"/>
        <item m="1" x="843"/>
        <item m="1" x="881"/>
        <item m="1" x="959"/>
        <item m="1" x="975"/>
        <item x="84"/>
        <item m="1" x="882"/>
        <item m="1" x="1112"/>
        <item m="1" x="845"/>
        <item m="1" x="1004"/>
        <item m="1" x="741"/>
        <item m="1" x="970"/>
        <item m="1" x="542"/>
        <item m="1" x="1113"/>
        <item m="1" x="742"/>
        <item m="1" x="1102"/>
        <item m="1" x="1145"/>
        <item m="1" x="886"/>
        <item m="1" x="824"/>
        <item m="1" x="887"/>
        <item m="1" x="1008"/>
        <item m="1" x="1010"/>
        <item m="1" x="969"/>
        <item m="1" x="1101"/>
        <item m="1" x="1049"/>
        <item m="1" x="909"/>
        <item m="1" x="775"/>
        <item m="1" x="822"/>
        <item m="1" x="1211"/>
        <item m="1" x="624"/>
        <item m="1" x="1134"/>
        <item m="1" x="407"/>
        <item m="1" x="871"/>
        <item m="1" x="883"/>
        <item m="1" x="744"/>
        <item m="1" x="625"/>
        <item m="1" x="187"/>
        <item m="1" x="1195"/>
        <item m="1" x="408"/>
        <item m="1" x="626"/>
        <item m="1" x="1242"/>
        <item m="1" x="627"/>
        <item m="1" x="409"/>
        <item m="1" x="1024"/>
        <item m="1" x="960"/>
        <item m="1" x="1122"/>
        <item m="1" x="1196"/>
        <item m="1" x="1176"/>
        <item m="1" x="961"/>
        <item m="1" x="169"/>
        <item m="1" x="1092"/>
        <item m="1" x="358"/>
        <item m="1" x="1087"/>
        <item m="1" x="907"/>
        <item x="123"/>
        <item x="88"/>
        <item m="1" x="628"/>
        <item m="1" x="1170"/>
        <item m="1" x="1009"/>
        <item m="1" x="1018"/>
        <item m="1" x="681"/>
        <item m="1" x="905"/>
        <item m="1" x="471"/>
        <item m="1" x="489"/>
        <item m="1" x="663"/>
        <item m="1" x="1130"/>
        <item m="1" x="1197"/>
        <item x="91"/>
        <item m="1" x="976"/>
        <item m="1" x="888"/>
        <item m="1" x="889"/>
        <item m="1" x="220"/>
        <item m="1" x="812"/>
        <item m="1" x="704"/>
        <item m="1" x="825"/>
        <item m="1" x="1100"/>
        <item m="1" x="1230"/>
        <item m="1" x="629"/>
        <item m="1" x="1125"/>
        <item m="1" x="890"/>
        <item m="1" x="1001"/>
        <item m="1" x="1184"/>
        <item m="1" x="1152"/>
        <item m="1" x="1146"/>
        <item m="1" x="1103"/>
        <item m="1" x="1131"/>
        <item m="1" x="411"/>
        <item m="1" x="1167"/>
        <item m="1" x="777"/>
        <item m="1" x="1019"/>
        <item m="1" x="1179"/>
        <item m="1" x="910"/>
        <item x="93"/>
        <item m="1" x="678"/>
        <item m="1" x="271"/>
        <item m="1" x="911"/>
        <item m="1" x="922"/>
        <item m="1" x="984"/>
        <item m="1" x="962"/>
        <item m="1" x="1147"/>
        <item m="1" x="783"/>
        <item m="1" x="1217"/>
        <item m="1" x="1140"/>
        <item m="1" x="1083"/>
        <item m="1" x="1031"/>
        <item m="1" x="1114"/>
        <item m="1" x="963"/>
        <item m="1" x="490"/>
        <item m="1" x="1177"/>
        <item m="1" x="194"/>
        <item m="1" x="1188"/>
        <item m="1" x="1166"/>
        <item m="1" x="1212"/>
        <item m="1" x="1198"/>
        <item m="1" x="1218"/>
        <item m="1" x="977"/>
        <item m="1" x="1011"/>
        <item m="1" x="1034"/>
        <item m="1" x="884"/>
        <item m="1" x="920"/>
        <item m="1" x="967"/>
        <item m="1" x="1006"/>
        <item m="1" x="1002"/>
        <item m="1" x="1243"/>
        <item m="1" x="804"/>
        <item m="1" x="1007"/>
        <item m="1" x="908"/>
        <item m="1" x="826"/>
        <item m="1" x="1032"/>
        <item x="97"/>
        <item m="1" x="1084"/>
        <item m="1" x="1244"/>
        <item m="1" x="1231"/>
        <item m="1" x="630"/>
        <item m="1" x="1245"/>
        <item m="1" x="1232"/>
        <item m="1" x="412"/>
        <item x="98"/>
        <item m="1" x="757"/>
        <item m="1" x="313"/>
        <item m="1" x="631"/>
        <item m="1" x="413"/>
        <item m="1" x="360"/>
        <item m="1" x="872"/>
        <item m="1" x="1085"/>
        <item m="1" x="1246"/>
        <item m="1" x="944"/>
        <item m="1" x="988"/>
        <item m="1" x="361"/>
        <item m="1" x="315"/>
        <item m="1" x="978"/>
        <item m="1" x="316"/>
        <item m="1" x="1003"/>
        <item m="1" x="986"/>
        <item m="1" x="991"/>
        <item m="1" x="362"/>
        <item m="1" x="491"/>
        <item m="1" x="1093"/>
        <item m="1" x="492"/>
        <item m="1" x="1094"/>
        <item m="1" x="1095"/>
        <item m="1" x="174"/>
        <item m="1" x="1096"/>
        <item m="1" x="1097"/>
        <item m="1" x="1098"/>
        <item m="1" x="979"/>
        <item m="1" x="175"/>
        <item m="1" x="980"/>
        <item m="1" x="945"/>
        <item m="1" x="273"/>
        <item m="1" x="946"/>
        <item m="1" x="1119"/>
        <item m="1" x="873"/>
        <item x="99"/>
        <item m="1" x="610"/>
        <item m="1" x="611"/>
        <item m="1" x="612"/>
        <item m="1" x="613"/>
        <item m="1" x="614"/>
        <item m="1" x="1141"/>
        <item m="1" x="842"/>
        <item m="1" x="363"/>
        <item m="1" x="836"/>
        <item m="1" x="981"/>
        <item m="1" x="616"/>
        <item m="1" x="617"/>
        <item m="1" x="618"/>
        <item m="1" x="619"/>
        <item m="1" x="758"/>
        <item m="1" x="620"/>
        <item m="1" x="306"/>
        <item m="1" x="1086"/>
        <item m="1" x="493"/>
        <item m="1" x="502"/>
        <item m="1" x="621"/>
        <item m="1" x="305"/>
        <item m="1" x="304"/>
        <item m="1" x="852"/>
        <item m="1" x="302"/>
        <item m="1" x="303"/>
        <item m="1" x="312"/>
        <item m="1" x="311"/>
        <item m="1" x="851"/>
        <item m="1" x="501"/>
        <item m="1" x="158"/>
        <item m="1" x="310"/>
        <item m="1" x="309"/>
        <item m="1" x="308"/>
        <item m="1" x="307"/>
        <item m="1" x="835"/>
        <item m="1" x="834"/>
        <item m="1" x="841"/>
        <item m="1" x="833"/>
        <item m="1" x="583"/>
        <item m="1" x="416"/>
        <item x="38"/>
        <item x="45"/>
        <item x="133"/>
        <item m="1" x="677"/>
        <item m="1" x="679"/>
        <item m="1" x="456"/>
        <item m="1" x="680"/>
        <item m="1" x="683"/>
        <item m="1" x="684"/>
        <item m="1" x="196"/>
        <item m="1" x="685"/>
        <item m="1" x="687"/>
        <item m="1" x="688"/>
        <item m="1" x="689"/>
        <item m="1" x="690"/>
        <item x="95"/>
        <item m="1" x="692"/>
        <item m="1" x="693"/>
        <item m="1" x="694"/>
        <item m="1" x="499"/>
        <item m="1" x="237"/>
        <item m="1" x="698"/>
        <item m="1" x="699"/>
        <item m="1" x="700"/>
        <item m="1" x="701"/>
        <item m="1" x="702"/>
        <item m="1" x="703"/>
        <item m="1" x="705"/>
        <item m="1" x="706"/>
        <item m="1" x="707"/>
        <item m="1" x="708"/>
        <item m="1" x="709"/>
        <item m="1" x="710"/>
        <item m="1" x="712"/>
        <item m="1" x="713"/>
        <item m="1" x="714"/>
        <item m="1" x="715"/>
        <item m="1" x="716"/>
        <item m="1" x="717"/>
        <item m="1" x="718"/>
        <item m="1" x="719"/>
        <item m="1" x="498"/>
        <item m="1" x="721"/>
        <item m="1" x="722"/>
        <item m="1" x="723"/>
        <item m="1" x="724"/>
        <item m="1" x="726"/>
        <item m="1" x="727"/>
        <item m="1" x="728"/>
        <item m="1" x="729"/>
        <item m="1" x="730"/>
        <item m="1" x="731"/>
        <item m="1" x="732"/>
        <item m="1" x="733"/>
        <item m="1" x="735"/>
        <item m="1" x="736"/>
        <item m="1" x="737"/>
        <item m="1" x="738"/>
        <item m="1" x="739"/>
        <item m="1" x="740"/>
        <item m="1" x="743"/>
        <item m="1" x="745"/>
        <item m="1" x="746"/>
        <item m="1" x="747"/>
        <item x="64"/>
        <item m="1" x="748"/>
        <item m="1" x="750"/>
        <item m="1" x="753"/>
        <item m="1" x="754"/>
        <item m="1" x="755"/>
        <item m="1" x="346"/>
        <item m="1" x="756"/>
        <item m="1" x="475"/>
        <item m="1" x="759"/>
        <item m="1" x="761"/>
        <item m="1" x="764"/>
        <item m="1" x="765"/>
        <item m="1" x="766"/>
        <item m="1" x="767"/>
        <item m="1" x="768"/>
        <item m="1" x="769"/>
        <item m="1" x="539"/>
        <item m="1" x="772"/>
        <item x="119"/>
        <item m="1" x="500"/>
        <item m="1" x="466"/>
        <item m="1" x="503"/>
        <item m="1" x="504"/>
        <item m="1" x="505"/>
        <item m="1" x="509"/>
        <item m="1" x="510"/>
        <item m="1" x="511"/>
        <item m="1" x="512"/>
        <item m="1" x="517"/>
        <item m="1" x="519"/>
        <item m="1" x="520"/>
        <item m="1" x="521"/>
        <item m="1" x="522"/>
        <item m="1" x="526"/>
        <item m="1" x="530"/>
        <item m="1" x="533"/>
        <item m="1" x="463"/>
        <item m="1" x="537"/>
        <item m="1" x="538"/>
        <item m="1" x="540"/>
        <item m="1" x="541"/>
        <item m="1" x="544"/>
        <item m="1" x="546"/>
        <item m="1" x="427"/>
        <item m="1" x="548"/>
        <item m="1" x="550"/>
        <item m="1" x="446"/>
        <item m="1" x="552"/>
        <item m="1" x="553"/>
        <item m="1" x="135"/>
        <item x="121"/>
        <item m="1" x="555"/>
        <item m="1" x="558"/>
        <item m="1" x="559"/>
        <item m="1" x="560"/>
        <item x="110"/>
        <item x="109"/>
        <item m="1" x="242"/>
        <item m="1" x="561"/>
        <item x="28"/>
        <item m="1" x="565"/>
        <item m="1" x="282"/>
        <item m="1" x="570"/>
        <item m="1" x="571"/>
        <item m="1" x="573"/>
        <item m="1" x="575"/>
        <item x="32"/>
        <item m="1" x="578"/>
        <item m="1" x="585"/>
        <item m="1" x="586"/>
        <item m="1" x="587"/>
        <item m="1" x="588"/>
        <item m="1" x="589"/>
        <item m="1" x="590"/>
        <item m="1" x="595"/>
        <item m="1" x="208"/>
        <item m="1" x="599"/>
        <item m="1" x="615"/>
        <item m="1" x="623"/>
        <item m="1" x="632"/>
        <item m="1" x="633"/>
        <item m="1" x="634"/>
        <item m="1" x="635"/>
        <item m="1" x="636"/>
        <item m="1" x="637"/>
        <item m="1" x="496"/>
        <item m="1" x="639"/>
        <item m="1" x="642"/>
        <item m="1" x="643"/>
        <item m="1" x="146"/>
        <item m="1" x="378"/>
        <item m="1" x="379"/>
        <item m="1" x="393"/>
        <item m="1" x="279"/>
        <item m="1" x="192"/>
        <item x="70"/>
        <item m="1" x="400"/>
        <item m="1" x="406"/>
        <item m="1" x="410"/>
        <item m="1" x="414"/>
        <item m="1" x="415"/>
        <item m="1" x="417"/>
        <item m="1" x="374"/>
        <item m="1" x="421"/>
        <item m="1" x="141"/>
        <item m="1" x="422"/>
        <item m="1" x="423"/>
        <item m="1" x="430"/>
        <item m="1" x="281"/>
        <item m="1" x="441"/>
        <item m="1" x="443"/>
        <item m="1" x="445"/>
        <item m="1" x="450"/>
        <item m="1" x="451"/>
        <item m="1" x="453"/>
        <item m="1" x="454"/>
        <item m="1" x="457"/>
        <item m="1" x="458"/>
        <item m="1" x="459"/>
        <item m="1" x="460"/>
        <item m="1" x="236"/>
        <item m="1" x="178"/>
        <item m="1" x="462"/>
        <item m="1" x="464"/>
        <item m="1" x="465"/>
        <item m="1" x="470"/>
        <item m="1" x="472"/>
        <item m="1" x="473"/>
        <item m="1" x="474"/>
        <item m="1" x="234"/>
        <item m="1" x="476"/>
        <item m="1" x="477"/>
        <item m="1" x="216"/>
        <item m="1" x="483"/>
        <item m="1" x="488"/>
        <item m="1" x="260"/>
        <item m="1" x="495"/>
        <item m="1" x="224"/>
        <item m="1" x="497"/>
        <item m="1" x="229"/>
        <item m="1" x="230"/>
        <item m="1" x="231"/>
        <item m="1" x="232"/>
        <item m="1" x="235"/>
        <item m="1" x="239"/>
        <item m="1" x="177"/>
        <item m="1" x="240"/>
        <item m="1" x="241"/>
        <item x="114"/>
        <item m="1" x="243"/>
        <item m="1" x="244"/>
        <item m="1" x="245"/>
        <item m="1" x="251"/>
        <item m="1" x="252"/>
        <item m="1" x="254"/>
        <item m="1" x="256"/>
        <item m="1" x="257"/>
        <item m="1" x="258"/>
        <item m="1" x="259"/>
        <item m="1" x="211"/>
        <item m="1" x="214"/>
        <item m="1" x="262"/>
        <item m="1" x="263"/>
        <item m="1" x="226"/>
        <item m="1" x="264"/>
        <item m="1" x="265"/>
        <item m="1" x="197"/>
        <item m="1" x="267"/>
        <item m="1" x="179"/>
        <item m="1" x="272"/>
        <item m="1" x="276"/>
        <item m="1" x="221"/>
        <item m="1" x="319"/>
        <item m="1" x="324"/>
        <item m="1" x="325"/>
        <item m="1" x="342"/>
        <item m="1" x="343"/>
        <item m="1" x="344"/>
        <item x="63"/>
        <item m="1" x="347"/>
        <item m="1" x="356"/>
        <item m="1" x="359"/>
        <item m="1" x="366"/>
        <item m="1" x="369"/>
        <item m="1" x="370"/>
        <item m="1" x="180"/>
        <item m="1" x="373"/>
        <item m="1" x="376"/>
        <item m="1" x="151"/>
        <item m="1" x="377"/>
        <item m="1" x="138"/>
        <item m="1" x="150"/>
        <item m="1" x="154"/>
        <item m="1" x="155"/>
        <item m="1" x="156"/>
        <item m="1" x="159"/>
        <item m="1" x="160"/>
        <item m="1" x="165"/>
        <item m="1" x="166"/>
        <item m="1" x="167"/>
        <item x="29"/>
        <item x="87"/>
        <item x="89"/>
        <item m="1" x="172"/>
        <item x="11"/>
        <item m="1" x="173"/>
        <item m="1" x="176"/>
        <item m="1" x="181"/>
        <item x="74"/>
        <item x="85"/>
        <item m="1" x="185"/>
        <item x="86"/>
        <item m="1" x="186"/>
        <item m="1" x="188"/>
        <item x="92"/>
        <item x="125"/>
        <item x="126"/>
        <item m="1" x="189"/>
        <item m="1" x="190"/>
        <item m="1" x="191"/>
        <item m="1" x="193"/>
        <item m="1" x="195"/>
        <item x="59"/>
        <item m="1" x="198"/>
        <item m="1" x="199"/>
        <item m="1" x="200"/>
        <item m="1" x="201"/>
        <item m="1" x="202"/>
        <item m="1" x="203"/>
        <item m="1" x="204"/>
        <item m="1" x="207"/>
        <item m="1" x="210"/>
        <item m="1" x="212"/>
        <item m="1" x="213"/>
        <item m="1" x="215"/>
        <item m="1" x="217"/>
        <item m="1" x="218"/>
        <item m="1" x="219"/>
        <item x="47"/>
        <item x="46"/>
        <item x="48"/>
        <item m="1" x="227"/>
        <item m="1" x="228"/>
        <item x="1"/>
        <item x="2"/>
        <item x="3"/>
        <item x="4"/>
        <item x="6"/>
        <item x="8"/>
        <item x="9"/>
        <item x="10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30"/>
        <item x="36"/>
        <item x="58"/>
        <item x="60"/>
        <item x="68"/>
        <item x="69"/>
        <item x="71"/>
        <item x="72"/>
        <item x="73"/>
        <item x="75"/>
        <item x="76"/>
        <item x="90"/>
        <item x="94"/>
        <item x="96"/>
        <item x="102"/>
        <item x="106"/>
        <item x="107"/>
        <item x="108"/>
        <item x="111"/>
        <item x="115"/>
        <item x="116"/>
        <item x="117"/>
        <item x="118"/>
        <item x="122"/>
        <item x="124"/>
        <item x="127"/>
        <item x="128"/>
        <item x="129"/>
        <item x="130"/>
        <item x="131"/>
        <item x="132"/>
        <item t="default"/>
      </items>
    </pivotField>
    <pivotField dataField="1" showAll="0"/>
  </pivotFields>
  <rowFields count="1">
    <field x="1"/>
  </rowFields>
  <rowItems count="135">
    <i>
      <x v="61"/>
    </i>
    <i>
      <x v="75"/>
    </i>
    <i>
      <x v="79"/>
    </i>
    <i>
      <x v="80"/>
    </i>
    <i>
      <x v="101"/>
    </i>
    <i>
      <x v="113"/>
    </i>
    <i>
      <x v="123"/>
    </i>
    <i>
      <x v="129"/>
    </i>
    <i>
      <x v="130"/>
    </i>
    <i>
      <x v="131"/>
    </i>
    <i>
      <x v="132"/>
    </i>
    <i>
      <x v="140"/>
    </i>
    <i>
      <x v="158"/>
    </i>
    <i>
      <x v="180"/>
    </i>
    <i>
      <x v="191"/>
    </i>
    <i>
      <x v="200"/>
    </i>
    <i>
      <x v="231"/>
    </i>
    <i>
      <x v="239"/>
    </i>
    <i>
      <x v="253"/>
    </i>
    <i>
      <x v="254"/>
    </i>
    <i>
      <x v="267"/>
    </i>
    <i>
      <x v="268"/>
    </i>
    <i>
      <x v="270"/>
    </i>
    <i>
      <x v="315"/>
    </i>
    <i>
      <x v="357"/>
    </i>
    <i>
      <x v="382"/>
    </i>
    <i>
      <x v="439"/>
    </i>
    <i>
      <x v="459"/>
    </i>
    <i>
      <x v="464"/>
    </i>
    <i>
      <x v="468"/>
    </i>
    <i>
      <x v="469"/>
    </i>
    <i>
      <x v="494"/>
    </i>
    <i>
      <x v="495"/>
    </i>
    <i>
      <x v="496"/>
    </i>
    <i>
      <x v="506"/>
    </i>
    <i>
      <x v="507"/>
    </i>
    <i>
      <x v="536"/>
    </i>
    <i>
      <x v="578"/>
    </i>
    <i>
      <x v="580"/>
    </i>
    <i>
      <x v="582"/>
    </i>
    <i>
      <x v="631"/>
    </i>
    <i>
      <x v="639"/>
    </i>
    <i>
      <x v="645"/>
    </i>
    <i>
      <x v="646"/>
    </i>
    <i>
      <x v="647"/>
    </i>
    <i>
      <x v="677"/>
    </i>
    <i>
      <x v="726"/>
    </i>
    <i>
      <x v="727"/>
    </i>
    <i>
      <x v="739"/>
    </i>
    <i>
      <x v="764"/>
    </i>
    <i>
      <x v="801"/>
    </i>
    <i>
      <x v="809"/>
    </i>
    <i>
      <x v="845"/>
    </i>
    <i>
      <x v="887"/>
    </i>
    <i>
      <x v="888"/>
    </i>
    <i>
      <x v="889"/>
    </i>
    <i>
      <x v="902"/>
    </i>
    <i>
      <x v="951"/>
    </i>
    <i>
      <x v="970"/>
    </i>
    <i>
      <x v="1002"/>
    </i>
    <i>
      <x v="1007"/>
    </i>
    <i>
      <x v="1008"/>
    </i>
    <i>
      <x v="1011"/>
    </i>
    <i>
      <x v="1018"/>
    </i>
    <i>
      <x v="1047"/>
    </i>
    <i>
      <x v="1100"/>
    </i>
    <i>
      <x v="1130"/>
    </i>
    <i>
      <x v="1152"/>
    </i>
    <i>
      <x v="1153"/>
    </i>
    <i>
      <x v="1154"/>
    </i>
    <i>
      <x v="1156"/>
    </i>
    <i>
      <x v="1160"/>
    </i>
    <i>
      <x v="1161"/>
    </i>
    <i>
      <x v="1163"/>
    </i>
    <i>
      <x v="1166"/>
    </i>
    <i>
      <x v="1167"/>
    </i>
    <i>
      <x v="1168"/>
    </i>
    <i>
      <x v="1174"/>
    </i>
    <i>
      <x v="1190"/>
    </i>
    <i>
      <x v="1191"/>
    </i>
    <i>
      <x v="1192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 t="grand">
      <x/>
    </i>
  </rowItems>
  <colItems count="1">
    <i/>
  </colItems>
  <dataFields count="1">
    <dataField name="加總 - 重量" fld="2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樞紐分析表1" cacheId="24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AY31" firstHeaderRow="1" firstDataRow="8" firstDataCol="1"/>
  <pivotFields count="45">
    <pivotField axis="axisRow" compact="0" outline="0" subtotalTop="0" showAll="0" includeNewItemsInFilter="1">
      <items count="22">
        <item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Col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30"/>
        <item m="1" x="31"/>
        <item m="1" x="32"/>
        <item m="1" x="33"/>
        <item m="1" x="34"/>
        <item m="1" x="35"/>
        <item m="1" x="36"/>
        <item m="1" x="37"/>
        <item x="27"/>
        <item x="28"/>
        <item h="1" x="29"/>
        <item x="21"/>
        <item x="22"/>
        <item x="23"/>
        <item x="24"/>
        <item x="25"/>
        <item x="26"/>
      </items>
    </pivotField>
    <pivotField axis="axisCol" compact="0" outline="0" subtotalTop="0" showAll="0" includeNewItemsInFilter="1" defaultSubtotal="0">
      <items count="1815">
        <item h="1" x="28"/>
        <item m="1" x="1788"/>
        <item m="1" x="1608"/>
        <item m="1" x="1471"/>
        <item m="1" x="1309"/>
        <item m="1" x="1567"/>
        <item m="1" x="1252"/>
        <item m="1" x="1580"/>
        <item m="1" x="1338"/>
        <item m="1" x="1310"/>
        <item m="1" x="1600"/>
        <item m="1" x="1202"/>
        <item m="1" x="1621"/>
        <item m="1" x="1266"/>
        <item m="1" x="1626"/>
        <item m="1" x="1211"/>
        <item m="1" x="1577"/>
        <item m="1" x="1709"/>
        <item m="1" x="1454"/>
        <item m="1" x="1483"/>
        <item m="1" x="1163"/>
        <item m="1" x="1323"/>
        <item m="1" x="1498"/>
        <item m="1" x="1207"/>
        <item m="1" x="1229"/>
        <item m="1" x="1275"/>
        <item m="1" x="1572"/>
        <item m="1" x="1583"/>
        <item m="1" x="1277"/>
        <item m="1" x="1183"/>
        <item m="1" x="1523"/>
        <item m="1" x="1348"/>
        <item m="1" x="1675"/>
        <item m="1" x="1613"/>
        <item m="1" x="1602"/>
        <item m="1" x="1210"/>
        <item m="1" x="1261"/>
        <item m="1" x="1570"/>
        <item m="1" x="1582"/>
        <item m="1" x="1308"/>
        <item m="1" x="1635"/>
        <item m="1" x="1270"/>
        <item m="1" x="1649"/>
        <item m="1" x="1607"/>
        <item m="1" x="1228"/>
        <item m="1" x="1305"/>
        <item m="1" x="1273"/>
        <item m="1" x="1622"/>
        <item m="1" x="1620"/>
        <item m="1" x="1291"/>
        <item m="1" x="1295"/>
        <item m="1" x="1666"/>
        <item m="1" x="1315"/>
        <item m="1" x="1302"/>
        <item m="1" x="1591"/>
        <item m="1" x="1579"/>
        <item m="1" x="1326"/>
        <item m="1" x="1289"/>
        <item m="1" x="1127"/>
        <item m="1" x="1671"/>
        <item m="1" x="1554"/>
        <item m="1" x="1688"/>
        <item m="1" x="1657"/>
        <item m="1" x="1344"/>
        <item m="1" x="1615"/>
        <item m="1" x="1313"/>
        <item m="1" x="1676"/>
        <item m="1" x="1630"/>
        <item m="1" x="1361"/>
        <item m="1" x="1704"/>
        <item m="1" x="1637"/>
        <item m="1" x="1647"/>
        <item m="1" x="1605"/>
        <item m="1" x="1444"/>
        <item m="1" x="1797"/>
        <item m="1" x="1337"/>
        <item m="1" x="1461"/>
        <item m="1" x="1347"/>
        <item m="1" x="1624"/>
        <item m="1" x="1138"/>
        <item m="1" x="1677"/>
        <item m="1" x="1474"/>
        <item m="1" x="1772"/>
        <item m="1" x="1141"/>
        <item m="1" x="1329"/>
        <item m="1" x="1810"/>
        <item m="1" x="1685"/>
        <item m="1" x="1365"/>
        <item m="1" x="1701"/>
        <item m="1" x="1319"/>
        <item m="1" x="1184"/>
        <item m="1" x="1484"/>
        <item m="1" x="1658"/>
        <item m="1" x="1660"/>
        <item m="1" x="1193"/>
        <item m="1" x="1768"/>
        <item m="1" x="1201"/>
        <item m="1" x="1354"/>
        <item m="1" x="1282"/>
        <item m="1" x="1171"/>
        <item m="1" x="1350"/>
        <item m="1" x="1538"/>
        <item m="1" x="1711"/>
        <item m="1" x="1710"/>
        <item m="1" x="1268"/>
        <item m="1" x="1186"/>
        <item m="1" x="1632"/>
        <item m="1" x="1222"/>
        <item m="1" x="1376"/>
        <item m="1" x="1279"/>
        <item m="1" x="1325"/>
        <item m="1" x="1617"/>
        <item m="1" x="1694"/>
        <item m="1" x="1420"/>
        <item m="1" x="1245"/>
        <item m="1" x="1271"/>
        <item m="1" x="1741"/>
        <item m="1" x="1293"/>
        <item m="1" x="1653"/>
        <item m="1" x="1791"/>
        <item m="1" x="1597"/>
        <item m="1" x="1750"/>
        <item m="1" x="1221"/>
        <item m="1" x="1283"/>
        <item m="1" x="1687"/>
        <item m="1" x="1793"/>
        <item m="1" x="1333"/>
        <item m="1" x="1363"/>
        <item m="1" x="1670"/>
        <item m="1" x="1339"/>
        <item m="1" x="1640"/>
        <item m="1" x="1297"/>
        <item m="1" x="1673"/>
        <item m="1" x="1661"/>
        <item m="1" x="1371"/>
        <item m="1" x="1690"/>
        <item m="1" x="1364"/>
        <item m="1" x="1713"/>
        <item m="1" x="1800"/>
        <item m="1" x="1380"/>
        <item m="1" x="1654"/>
        <item m="1" x="1327"/>
        <item m="1" x="1311"/>
        <item m="1" x="1712"/>
        <item m="1" x="1672"/>
        <item m="1" x="1446"/>
        <item m="1" x="1307"/>
        <item m="1" x="1734"/>
        <item m="1" x="1401"/>
        <item m="1" x="1346"/>
        <item m="1" x="1372"/>
        <item m="1" x="1751"/>
        <item m="1" x="1445"/>
        <item m="1" x="1407"/>
        <item m="1" x="1441"/>
        <item m="1" x="1397"/>
        <item m="1" x="1381"/>
        <item m="1" x="1462"/>
        <item m="1" x="1765"/>
        <item m="1" x="1689"/>
        <item m="1" x="1139"/>
        <item m="1" x="1680"/>
        <item m="1" x="1368"/>
        <item m="1" x="1714"/>
        <item m="1" x="1485"/>
        <item m="1" x="1185"/>
        <item m="1" x="1727"/>
        <item m="1" x="1475"/>
        <item m="1" x="1736"/>
        <item m="1" x="1731"/>
        <item m="1" x="1524"/>
        <item m="1" x="1412"/>
        <item m="1" x="1705"/>
        <item m="1" x="1510"/>
        <item m="1" x="1720"/>
        <item m="1" x="1239"/>
        <item m="1" x="1386"/>
        <item m="1" x="1744"/>
        <item m="1" x="1546"/>
        <item m="1" x="1539"/>
        <item m="1" x="1126"/>
        <item m="1" x="1232"/>
        <item m="1" x="1140"/>
        <item m="1" x="1674"/>
        <item m="1" x="1248"/>
        <item m="1" x="1706"/>
        <item m="1" x="1785"/>
        <item m="1" x="1766"/>
        <item m="1" x="1436"/>
        <item m="1" x="1398"/>
        <item m="1" x="1392"/>
        <item m="1" x="1655"/>
        <item m="1" x="1721"/>
        <item m="1" x="1715"/>
        <item m="1" x="1732"/>
        <item m="1" x="1417"/>
        <item m="1" x="1246"/>
        <item m="1" x="1728"/>
        <item m="1" x="865"/>
        <item m="1" x="1404"/>
        <item m="1" x="1737"/>
        <item m="1" x="1272"/>
        <item m="1" x="1745"/>
        <item m="1" x="1393"/>
        <item m="1" x="1742"/>
        <item m="1" x="1300"/>
        <item m="1" x="1753"/>
        <item m="1" x="1286"/>
        <item m="1" x="1408"/>
        <item m="1" x="1757"/>
        <item m="1" x="1298"/>
        <item m="1" x="1641"/>
        <item m="1" x="1656"/>
        <item m="1" x="1418"/>
        <item m="1" x="1349"/>
        <item m="1" x="1691"/>
        <item m="1" x="1760"/>
        <item m="1" x="1382"/>
        <item m="1" x="1373"/>
        <item m="1" x="1320"/>
        <item m="1" x="1388"/>
        <item m="1" x="1808"/>
        <item m="1" x="1814"/>
        <item m="1" x="1792"/>
        <item m="1" x="1682"/>
        <item m="1" x="1746"/>
        <item m="1" x="1486"/>
        <item m="1" x="1135"/>
        <item m="1" x="1150"/>
        <item m="1" x="1758"/>
        <item m="1" x="1410"/>
        <item m="1" x="1771"/>
        <item m="1" x="1429"/>
        <item m="1" x="1152"/>
        <item m="1" x="1692"/>
        <item m="1" x="1159"/>
        <item m="1" x="1476"/>
        <item m="1" x="1707"/>
        <item m="1" x="1170"/>
        <item m="1" x="1781"/>
        <item m="1" x="1432"/>
        <item m="1" x="1802"/>
        <item m="1" x="1747"/>
        <item m="1" x="1754"/>
        <item m="1" x="1389"/>
        <item m="1" x="1383"/>
        <item m="1" x="1722"/>
        <item m="1" x="1128"/>
        <item m="1" x="1500"/>
        <item m="1" x="1144"/>
        <item m="1" x="1761"/>
        <item m="1" x="1194"/>
        <item m="1" x="1449"/>
        <item m="1" x="1450"/>
        <item m="1" x="1203"/>
        <item m="1" x="1776"/>
        <item m="1" x="1180"/>
        <item m="1" x="1738"/>
        <item m="1" x="1165"/>
        <item m="1" x="1723"/>
        <item m="1" x="1132"/>
        <item m="1" x="1212"/>
        <item m="1" x="1396"/>
        <item m="1" x="1733"/>
        <item m="1" x="1146"/>
        <item m="1" x="1755"/>
        <item m="1" x="1560"/>
        <item m="1" x="1465"/>
        <item m="1" x="1499"/>
        <item m="1" x="1129"/>
        <item m="1" x="1511"/>
        <item m="1" x="1525"/>
        <item m="1" x="1584"/>
        <item m="1" x="1540"/>
        <item m="1" x="1625"/>
        <item m="1" x="1547"/>
        <item m="1" x="1528"/>
        <item m="1" x="1276"/>
        <item m="1" x="1233"/>
        <item m="1" x="1224"/>
        <item m="1" x="1762"/>
        <item m="1" x="1415"/>
        <item m="1" x="1250"/>
        <item m="1" x="1355"/>
        <item m="1" x="1189"/>
        <item m="1" x="1262"/>
        <item m="1" x="1798"/>
        <item m="1" x="1777"/>
        <item m="1" x="1491"/>
        <item m="1" x="1790"/>
        <item m="1" x="1779"/>
        <item m="1" x="1783"/>
        <item m="1" x="1609"/>
        <item m="1" x="1646"/>
        <item m="1" x="1334"/>
        <item m="1" x="1430"/>
        <item m="1" x="1438"/>
        <item m="1" x="1304"/>
        <item m="1" x="1274"/>
        <item m="1" x="1303"/>
        <item m="1" x="1479"/>
        <item m="1" x="1806"/>
        <item m="1" x="1314"/>
        <item m="1" x="1448"/>
        <item m="1" x="1351"/>
        <item m="1" x="1317"/>
        <item m="1" x="1330"/>
        <item m="1" x="1477"/>
        <item m="1" x="1695"/>
        <item m="1" x="1643"/>
        <item m="1" x="1489"/>
        <item m="1" x="952"/>
        <item m="1" x="1502"/>
        <item m="1" x="1708"/>
        <item m="1" x="1515"/>
        <item m="1" x="1678"/>
        <item m="1" x="1208"/>
        <item m="1" x="1697"/>
        <item m="1" x="1541"/>
        <item m="1" x="1529"/>
        <item m="1" x="1167"/>
        <item m="1" x="1390"/>
        <item m="1" x="1374"/>
        <item m="1" x="1805"/>
        <item m="1" x="1216"/>
        <item m="1" x="1724"/>
        <item m="1" x="1235"/>
        <item m="1" x="1696"/>
        <item m="1" x="1575"/>
        <item m="1" x="1230"/>
        <item m="1" x="1739"/>
        <item m="1" x="1147"/>
        <item m="1" x="1586"/>
        <item m="1" x="1403"/>
        <item m="1" x="1264"/>
        <item m="1" x="1439"/>
        <item m="1" x="1455"/>
        <item m="1" x="1769"/>
        <item m="1" x="1366"/>
        <item m="1" x="1763"/>
        <item m="1" x="1177"/>
        <item m="1" x="1778"/>
        <item m="1" x="1130"/>
        <item m="1" x="1188"/>
        <item m="1" x="1725"/>
        <item m="1" x="1155"/>
        <item m="1" x="1512"/>
        <item m="1" x="1526"/>
        <item m="1" x="1488"/>
        <item m="1" x="1196"/>
        <item m="1" x="1490"/>
        <item m="1" x="1548"/>
        <item m="1" x="1561"/>
        <item m="1" x="1517"/>
        <item m="1" x="1213"/>
        <item m="1" x="1811"/>
        <item m="1" x="1145"/>
        <item m="1" x="1240"/>
        <item m="1" x="1530"/>
        <item m="1" x="1573"/>
        <item m="1" x="1447"/>
        <item m="1" x="1551"/>
        <item m="1" x="1542"/>
        <item m="1" x="1236"/>
        <item m="1" x="1157"/>
        <item m="1" x="1142"/>
        <item m="1" x="1375"/>
        <item m="1" x="1599"/>
        <item m="1" x="1318"/>
        <item m="1" x="1178"/>
        <item m="1" x="1623"/>
        <item m="1" x="1596"/>
        <item m="1" x="1610"/>
        <item m="1" x="1148"/>
        <item m="1" x="1644"/>
        <item m="1" x="1263"/>
        <item m="1" x="1353"/>
        <item m="1" x="1360"/>
        <item m="1" x="1345"/>
        <item m="1" x="1400"/>
        <item m="1" x="1576"/>
        <item m="1" x="1587"/>
        <item m="1" x="1532"/>
        <item m="1" x="1227"/>
        <item m="1" x="1321"/>
        <item m="1" x="1369"/>
        <item m="1" x="1463"/>
        <item m="1" x="1681"/>
        <item m="1" x="1503"/>
        <item m="1" x="1164"/>
        <item m="1" x="1726"/>
        <item m="1" x="1519"/>
        <item m="1" x="1238"/>
        <item m="1" x="1254"/>
        <item m="1" x="1504"/>
        <item m="1" x="1391"/>
        <item m="1" x="1422"/>
        <item m="1" x="1384"/>
        <item m="1" x="1136"/>
        <item m="1" x="1172"/>
        <item m="1" x="1411"/>
        <item m="1" x="1749"/>
        <item m="1" x="1501"/>
        <item m="1" x="1748"/>
        <item m="1" x="1151"/>
        <item m="1" x="1290"/>
        <item m="1" x="1160"/>
        <item m="1" x="1434"/>
        <item m="1" x="1494"/>
        <item m="1" x="1764"/>
        <item m="1" x="1294"/>
        <item m="1" x="1756"/>
        <item m="1" x="1416"/>
        <item m="1" x="1440"/>
        <item m="1" x="1424"/>
        <item m="1" x="1428"/>
        <item m="1" x="1457"/>
        <item m="1" x="1181"/>
        <item m="1" x="1425"/>
        <item m="1" x="1357"/>
        <item m="1" x="1662"/>
        <item m="1" x="1190"/>
        <item m="1" x="1133"/>
        <item m="1" x="1251"/>
        <item m="1" x="1197"/>
        <item m="1" x="1514"/>
        <item m="1" x="1716"/>
        <item m="1" x="1699"/>
        <item m="1" x="1269"/>
        <item m="1" x="1799"/>
        <item m="1" x="1378"/>
        <item m="1" x="1588"/>
        <item m="1" x="1466"/>
        <item m="1" x="1168"/>
        <item m="1" x="1492"/>
        <item m="1" x="1735"/>
        <item m="1" x="1638"/>
        <item m="1" x="1651"/>
        <item m="1" x="1414"/>
        <item m="1" x="1556"/>
        <item m="1" x="1209"/>
        <item m="1" x="1394"/>
        <item m="1" x="1195"/>
        <item m="1" x="1752"/>
        <item m="1" x="1225"/>
        <item m="1" x="1215"/>
        <item m="1" x="1278"/>
        <item m="1" x="1564"/>
        <item m="1" x="1253"/>
        <item m="1" x="1585"/>
        <item m="1" x="1405"/>
        <item m="1" x="1280"/>
        <item m="1" x="1419"/>
        <item m="1" x="1409"/>
        <item m="1" x="1589"/>
        <item m="1" x="1703"/>
        <item m="1" x="1553"/>
        <item m="1" x="1162"/>
        <item m="1" x="1335"/>
        <item m="1" x="1192"/>
        <item m="1" x="1527"/>
        <item m="1" x="1356"/>
        <item m="1" x="1496"/>
        <item m="1" x="1601"/>
        <item m="1" x="1191"/>
        <item m="1" x="1780"/>
        <item m="1" x="1370"/>
        <item m="1" x="1377"/>
        <item m="1" x="1431"/>
        <item m="1" x="1612"/>
        <item m="1" x="1668"/>
        <item m="1" x="1801"/>
        <item m="1" x="1565"/>
        <item m="1" x="1198"/>
        <item m="1" x="1456"/>
        <item m="1" x="1292"/>
        <item m="1" x="1549"/>
        <item m="1" x="1464"/>
        <item m="1" x="1423"/>
        <item m="1" x="1664"/>
        <item m="1" x="1648"/>
        <item m="1" x="1796"/>
        <item m="1" x="1775"/>
        <item m="1" x="1789"/>
        <item m="1" x="1634"/>
        <item m="1" x="1220"/>
        <item m="1" x="1787"/>
        <item m="1" x="1166"/>
        <item m="1" x="1426"/>
        <item m="1" x="1550"/>
        <item m="1" x="1219"/>
        <item m="1" x="1443"/>
        <item m="1" x="1767"/>
        <item m="1" x="1593"/>
        <item m="1" x="1569"/>
        <item m="1" x="1234"/>
        <item m="1" x="1505"/>
        <item m="1" x="1628"/>
        <item m="1" x="1435"/>
        <item m="1" x="1574"/>
        <item m="1" x="1451"/>
        <item m="1" x="1257"/>
        <item m="1" x="1468"/>
        <item m="1" x="1175"/>
        <item m="1" x="1458"/>
        <item m="1" x="1200"/>
        <item m="1" x="1105"/>
        <item m="1" x="1306"/>
        <item m="1" x="1559"/>
        <item m="1" x="1506"/>
        <item m="1" x="1174"/>
        <item m="1" x="1493"/>
        <item m="1" x="1520"/>
        <item m="1" x="1204"/>
        <item m="1" x="1231"/>
        <item m="1" x="1259"/>
        <item m="1" x="1480"/>
        <item m="1" x="1535"/>
        <item m="1" x="1516"/>
        <item m="1" x="1598"/>
        <item m="1" x="1218"/>
        <item m="1" x="1518"/>
        <item m="1" x="1242"/>
        <item m="1" x="1205"/>
        <item m="1" x="1578"/>
        <item m="1" x="1552"/>
        <item m="1" x="1563"/>
        <item m="1" x="1459"/>
        <item m="1" x="1590"/>
        <item m="1" x="1773"/>
        <item m="1" x="1604"/>
        <item m="1" x="1562"/>
        <item m="1" x="1472"/>
        <item m="1" x="1452"/>
        <item m="1" x="1169"/>
        <item m="1" x="1161"/>
        <item m="1" x="1362"/>
        <item m="1" x="1258"/>
        <item m="1" x="1611"/>
        <item m="1" x="1629"/>
        <item m="1" x="1614"/>
        <item m="1" x="1322"/>
        <item m="1" x="1718"/>
        <item m="1" x="1633"/>
        <item m="1" x="1636"/>
        <item m="1" x="1684"/>
        <item m="1" x="1395"/>
        <item m="1" x="1387"/>
        <item m="1" x="1650"/>
        <item m="1" x="1667"/>
        <item m="1" x="1399"/>
        <item m="1" x="1729"/>
        <item m="1" x="1645"/>
        <item m="1" x="1107"/>
        <item m="1" x="1154"/>
        <item m="1" x="1206"/>
        <item m="1" x="1700"/>
        <item m="1" x="1665"/>
        <item m="1" x="1437"/>
        <item m="1" x="1442"/>
        <item m="1" x="1427"/>
        <item m="1" x="1296"/>
        <item m="1" x="1137"/>
        <item m="1" x="1406"/>
        <item m="1" x="1332"/>
        <item m="1" x="1265"/>
        <item m="1" x="1770"/>
        <item m="1" x="1312"/>
        <item m="1" x="1659"/>
        <item m="1" x="1421"/>
        <item m="1" x="1717"/>
        <item m="1" x="1379"/>
        <item m="1" x="1223"/>
        <item m="1" x="1794"/>
        <item m="1" x="1481"/>
        <item m="1" x="1698"/>
        <item m="1" x="1784"/>
        <item m="1" x="1782"/>
        <item m="1" x="1679"/>
        <item m="1" x="1495"/>
        <item m="1" x="1470"/>
        <item m="1" x="1358"/>
        <item m="1" x="1508"/>
        <item m="1" x="1367"/>
        <item m="1" x="1807"/>
        <item m="1" x="1433"/>
        <item m="1" x="1543"/>
        <item m="1" x="1557"/>
        <item m="1" x="1182"/>
        <item m="1" x="1566"/>
        <item m="1" x="1247"/>
        <item m="1" x="1804"/>
        <item m="1" x="1131"/>
        <item m="1" x="1571"/>
        <item m="1" x="1812"/>
        <item m="1" x="1521"/>
        <item m="1" x="1156"/>
        <item m="1" x="1592"/>
        <item m="1" x="1285"/>
        <item m="1" x="1606"/>
        <item m="1" x="1299"/>
        <item m="1" x="1595"/>
        <item m="1" x="1803"/>
        <item m="1" x="1199"/>
        <item m="1" x="1478"/>
        <item m="1" x="1284"/>
        <item m="1" x="1176"/>
        <item m="1" x="1616"/>
        <item m="1" x="1328"/>
        <item m="1" x="1631"/>
        <item m="1" x="1813"/>
        <item m="1" x="1340"/>
        <item m="1" x="1134"/>
        <item m="1" x="1652"/>
        <item m="1" x="1187"/>
        <item m="1" x="1533"/>
        <item m="1" x="1669"/>
        <item m="1" x="1531"/>
        <item m="1" x="1249"/>
        <item m="1" x="1341"/>
        <item m="1" x="1260"/>
        <item m="1" x="1226"/>
        <item m="1" x="1214"/>
        <item m="1" x="1536"/>
        <item m="1" x="1639"/>
        <item m="1" x="1237"/>
        <item m="1" x="1686"/>
        <item m="1" x="1087"/>
        <item m="1" x="1719"/>
        <item m="1" x="1702"/>
        <item m="1" x="1385"/>
        <item m="1" x="1287"/>
        <item m="1" x="1740"/>
        <item m="1" x="1267"/>
        <item m="1" x="1627"/>
        <item m="1" x="1743"/>
        <item m="1" x="1730"/>
        <item m="1" x="1149"/>
        <item m="1" x="1473"/>
        <item m="1" x="1568"/>
        <item m="1" x="1158"/>
        <item m="1" x="1453"/>
        <item m="1" x="1759"/>
        <item m="1" x="1301"/>
        <item m="1" x="1413"/>
        <item m="1" x="1460"/>
        <item m="1" x="1482"/>
        <item m="1" x="1243"/>
        <item m="1" x="1544"/>
        <item m="1" x="1642"/>
        <item m="1" x="1256"/>
        <item m="1" x="1509"/>
        <item m="1" x="1143"/>
        <item m="1" x="1683"/>
        <item m="1" x="1402"/>
        <item m="1" x="1663"/>
        <item m="1" x="1497"/>
        <item m="1" x="1153"/>
        <item m="1" x="1343"/>
        <item m="1" x="1774"/>
        <item m="1" x="1342"/>
        <item m="1" x="1693"/>
        <item m="1" x="1795"/>
        <item m="1" x="1809"/>
        <item m="1" x="1786"/>
        <item m="1" x="1522"/>
        <item m="1" x="1545"/>
        <item m="1" x="1089"/>
        <item m="1" x="1537"/>
        <item m="1" x="1099"/>
        <item m="1" x="1469"/>
        <item m="1" x="1558"/>
        <item m="1" x="1101"/>
        <item m="1" x="1467"/>
        <item m="1" x="1108"/>
        <item m="1" x="947"/>
        <item m="1" x="1581"/>
        <item m="1" x="1179"/>
        <item m="1" x="1244"/>
        <item m="1" x="1507"/>
        <item m="1" x="1594"/>
        <item m="1" x="1603"/>
        <item m="1" x="1359"/>
        <item m="1" x="1534"/>
        <item m="1" x="1487"/>
        <item m="1" x="1173"/>
        <item m="1" x="1217"/>
        <item m="1" x="1020"/>
        <item m="1" x="1106"/>
        <item m="1" x="1619"/>
        <item m="1" x="1241"/>
        <item m="1" x="1555"/>
        <item m="1" x="1336"/>
        <item m="1" x="1324"/>
        <item m="1" x="1255"/>
        <item m="1" x="1288"/>
        <item m="1" x="1095"/>
        <item m="1" x="1100"/>
        <item m="1" x="1316"/>
        <item m="1" x="1109"/>
        <item m="1" x="1331"/>
        <item m="1" x="1032"/>
        <item m="1" x="1513"/>
        <item m="1" x="1110"/>
        <item m="1" x="1618"/>
        <item m="1" x="1103"/>
        <item m="1" x="1111"/>
        <item m="1" x="1112"/>
        <item m="1" x="1281"/>
        <item m="1" x="1085"/>
        <item m="1" x="1086"/>
        <item m="1" x="1098"/>
        <item m="1" x="1352"/>
        <item m="1" x="1115"/>
        <item m="1" x="1116"/>
        <item m="1" x="1091"/>
        <item m="1" x="1088"/>
        <item m="1" x="1097"/>
        <item m="1" x="1113"/>
        <item m="1" x="1092"/>
        <item m="1" x="1049"/>
        <item m="1" x="1102"/>
        <item m="1" x="1114"/>
        <item m="1" x="1117"/>
        <item m="1" x="1010"/>
        <item m="1" x="1096"/>
        <item m="1" x="986"/>
        <item m="1" x="1072"/>
        <item m="1" x="1104"/>
        <item m="1" x="1090"/>
        <item m="1" x="1063"/>
        <item m="1" x="1052"/>
        <item m="1" x="1093"/>
        <item m="1" x="1094"/>
        <item m="1" x="1055"/>
        <item m="1" x="1071"/>
        <item m="1" x="1118"/>
        <item m="1" x="795"/>
        <item m="1" x="1056"/>
        <item m="1" x="1119"/>
        <item m="1" x="1120"/>
        <item m="1" x="987"/>
        <item m="1" x="1047"/>
        <item m="1" x="934"/>
        <item m="1" x="1069"/>
        <item m="1" x="1057"/>
        <item m="1" x="1078"/>
        <item m="1" x="1053"/>
        <item m="1" x="1054"/>
        <item m="1" x="1021"/>
        <item m="1" x="1065"/>
        <item m="1" x="1073"/>
        <item m="1" x="1121"/>
        <item m="1" x="1064"/>
        <item m="1" x="1048"/>
        <item m="1" x="928"/>
        <item m="1" x="1059"/>
        <item m="1" x="1122"/>
        <item m="1" x="1123"/>
        <item m="1" x="914"/>
        <item m="1" x="1051"/>
        <item m="1" x="837"/>
        <item m="1" x="1067"/>
        <item m="1" x="1024"/>
        <item m="1" x="1124"/>
        <item m="1" x="1015"/>
        <item m="1" x="1125"/>
        <item m="1" x="1050"/>
        <item m="1" x="1058"/>
        <item m="1" x="1062"/>
        <item m="1" x="1026"/>
        <item m="1" x="1068"/>
        <item m="1" x="1060"/>
        <item m="1" x="1066"/>
        <item m="1" x="1061"/>
        <item m="1" x="1070"/>
        <item m="1" x="1074"/>
        <item m="1" x="1075"/>
        <item m="1" x="1076"/>
        <item m="1" x="1077"/>
        <item m="1" x="977"/>
        <item m="1" x="1079"/>
        <item m="1" x="988"/>
        <item m="1" x="1080"/>
        <item m="1" x="1081"/>
        <item m="1" x="1011"/>
        <item m="1" x="1025"/>
        <item m="1" x="1013"/>
        <item m="1" x="1016"/>
        <item m="1" x="1017"/>
        <item m="1" x="1082"/>
        <item m="1" x="1083"/>
        <item m="1" x="1018"/>
        <item m="1" x="1022"/>
        <item m="1" x="1084"/>
        <item m="1" x="1012"/>
        <item m="1" x="935"/>
        <item m="1" x="1023"/>
        <item m="1" x="1028"/>
        <item m="1" x="1030"/>
        <item m="1" x="1019"/>
        <item m="1" x="1029"/>
        <item m="1" x="1027"/>
        <item m="1" x="1014"/>
        <item m="1" x="993"/>
        <item m="1" x="929"/>
        <item m="1" x="991"/>
        <item m="1" x="1031"/>
        <item m="1" x="1033"/>
        <item m="1" x="1034"/>
        <item m="1" x="1035"/>
        <item m="1" x="990"/>
        <item m="1" x="1036"/>
        <item m="1" x="980"/>
        <item m="1" x="981"/>
        <item m="1" x="1037"/>
        <item m="1" x="1038"/>
        <item m="1" x="1039"/>
        <item m="1" x="1040"/>
        <item m="1" x="948"/>
        <item m="1" x="1041"/>
        <item m="1" x="974"/>
        <item m="1" x="1042"/>
        <item m="1" x="1043"/>
        <item m="1" x="922"/>
        <item m="1" x="1044"/>
        <item m="1" x="924"/>
        <item m="1" x="982"/>
        <item m="1" x="983"/>
        <item m="1" x="1045"/>
        <item m="1" x="844"/>
        <item m="1" x="994"/>
        <item m="1" x="975"/>
        <item m="1" x="1046"/>
        <item m="1" x="905"/>
        <item m="1" x="838"/>
        <item m="1" x="984"/>
        <item m="1" x="985"/>
        <item m="1" x="848"/>
        <item m="1" x="978"/>
        <item m="1" x="979"/>
        <item m="1" x="926"/>
        <item m="1" x="944"/>
        <item m="1" x="796"/>
        <item m="1" x="951"/>
        <item m="1" x="863"/>
        <item m="1" x="976"/>
        <item m="1" x="933"/>
        <item m="1" x="989"/>
        <item m="1" x="992"/>
        <item m="1" x="995"/>
        <item m="1" x="996"/>
        <item m="1" x="997"/>
        <item m="1" x="939"/>
        <item m="1" x="998"/>
        <item m="1" x="999"/>
        <item m="1" x="942"/>
        <item m="1" x="940"/>
        <item m="1" x="1000"/>
        <item m="1" x="1001"/>
        <item m="1" x="932"/>
        <item m="1" x="1002"/>
        <item m="1" x="954"/>
        <item m="1" x="1003"/>
        <item m="1" x="1004"/>
        <item m="1" x="1005"/>
        <item m="1" x="931"/>
        <item m="1" x="953"/>
        <item m="1" x="925"/>
        <item m="1" x="927"/>
        <item m="1" x="1006"/>
        <item m="1" x="936"/>
        <item m="1" x="937"/>
        <item m="1" x="943"/>
        <item m="1" x="1007"/>
        <item m="1" x="950"/>
        <item m="1" x="894"/>
        <item m="1" x="1008"/>
        <item m="1" x="938"/>
        <item m="1" x="941"/>
        <item m="1" x="945"/>
        <item m="1" x="946"/>
        <item m="1" x="949"/>
        <item m="1" x="923"/>
        <item m="1" x="899"/>
        <item m="1" x="1009"/>
        <item m="1" x="930"/>
        <item m="1" x="955"/>
        <item m="1" x="956"/>
        <item m="1" x="957"/>
        <item m="1" x="958"/>
        <item m="1" x="909"/>
        <item m="1" x="959"/>
        <item m="1" x="960"/>
        <item m="1" x="961"/>
        <item m="1" x="962"/>
        <item m="1" x="963"/>
        <item m="1" x="912"/>
        <item m="1" x="964"/>
        <item m="1" x="965"/>
        <item m="1" x="830"/>
        <item m="1" x="907"/>
        <item m="1" x="966"/>
        <item m="1" x="900"/>
        <item m="1" x="722"/>
        <item m="1" x="967"/>
        <item m="1" x="903"/>
        <item m="1" x="968"/>
        <item m="1" x="904"/>
        <item m="1" x="913"/>
        <item m="1" x="969"/>
        <item m="1" x="693"/>
        <item m="1" x="908"/>
        <item m="1" x="910"/>
        <item m="1" x="895"/>
        <item m="1" x="901"/>
        <item m="1" x="970"/>
        <item m="1" x="881"/>
        <item m="1" x="650"/>
        <item m="1" x="902"/>
        <item m="1" x="971"/>
        <item m="1" x="843"/>
        <item m="1" x="972"/>
        <item m="1" x="875"/>
        <item m="1" x="755"/>
        <item m="1" x="898"/>
        <item m="1" x="973"/>
        <item m="1" x="834"/>
        <item m="1" x="906"/>
        <item m="1" x="850"/>
        <item m="1" x="896"/>
        <item m="1" x="897"/>
        <item m="1" x="864"/>
        <item m="1" x="911"/>
        <item m="1" x="880"/>
        <item m="1" x="873"/>
        <item m="1" x="752"/>
        <item m="1" x="874"/>
        <item m="1" x="915"/>
        <item m="1" x="916"/>
        <item m="1" x="871"/>
        <item m="1" x="877"/>
        <item m="1" x="917"/>
        <item m="1" x="882"/>
        <item m="1" x="868"/>
        <item m="1" x="872"/>
        <item m="1" x="918"/>
        <item m="1" x="919"/>
        <item m="1" x="867"/>
        <item m="1" x="920"/>
        <item m="1" x="921"/>
        <item m="1" x="869"/>
        <item m="1" x="879"/>
        <item m="1" x="764"/>
        <item m="1" x="866"/>
        <item m="1" x="798"/>
        <item m="1" x="883"/>
        <item m="1" x="878"/>
        <item m="1" x="870"/>
        <item m="1" x="823"/>
        <item m="1" x="876"/>
        <item m="1" x="828"/>
        <item m="1" x="557"/>
        <item m="1" x="884"/>
        <item m="1" x="885"/>
        <item m="1" x="829"/>
        <item m="1" x="842"/>
        <item m="1" x="886"/>
        <item m="1" x="887"/>
        <item m="1" x="821"/>
        <item m="1" x="822"/>
        <item m="1" x="888"/>
        <item m="1" x="849"/>
        <item m="1" x="825"/>
        <item m="1" x="836"/>
        <item m="1" x="889"/>
        <item m="1" x="792"/>
        <item m="1" x="890"/>
        <item m="1" x="760"/>
        <item m="1" x="832"/>
        <item m="1" x="891"/>
        <item m="1" x="892"/>
        <item m="1" x="893"/>
        <item m="1" x="846"/>
        <item m="1" x="835"/>
        <item m="1" x="845"/>
        <item m="1" x="802"/>
        <item m="1" x="827"/>
        <item m="1" x="831"/>
        <item m="1" x="847"/>
        <item m="1" x="824"/>
        <item m="1" x="833"/>
        <item m="1" x="840"/>
        <item m="1" x="826"/>
        <item m="1" x="839"/>
        <item m="1" x="841"/>
        <item m="1" x="851"/>
        <item m="1" x="852"/>
        <item m="1" x="853"/>
        <item m="1" x="854"/>
        <item m="1" x="855"/>
        <item m="1" x="782"/>
        <item m="1" x="800"/>
        <item m="1" x="856"/>
        <item m="1" x="857"/>
        <item m="1" x="785"/>
        <item m="1" x="858"/>
        <item m="1" x="789"/>
        <item m="1" x="859"/>
        <item m="1" x="615"/>
        <item m="1" x="712"/>
        <item m="1" x="860"/>
        <item m="1" x="861"/>
        <item m="1" x="790"/>
        <item m="1" x="862"/>
        <item m="1" x="794"/>
        <item m="1" x="754"/>
        <item m="1" x="783"/>
        <item m="1" x="787"/>
        <item m="1" x="788"/>
        <item m="1" x="797"/>
        <item m="1" x="784"/>
        <item m="1" x="786"/>
        <item m="1" x="781"/>
        <item m="1" x="780"/>
        <item m="1" x="799"/>
        <item m="1" x="791"/>
        <item m="1" x="793"/>
        <item m="1" x="801"/>
        <item m="1" x="803"/>
        <item m="1" x="804"/>
        <item m="1" x="757"/>
        <item m="1" x="759"/>
        <item m="1" x="719"/>
        <item m="1" x="805"/>
        <item m="1" x="806"/>
        <item m="1" x="751"/>
        <item m="1" x="756"/>
        <item m="1" x="807"/>
        <item m="1" x="761"/>
        <item m="1" x="808"/>
        <item m="1" x="809"/>
        <item m="1" x="810"/>
        <item m="1" x="811"/>
        <item m="1" x="812"/>
        <item m="1" x="813"/>
        <item m="1" x="814"/>
        <item m="1" x="815"/>
        <item h="1" m="1" x="816"/>
        <item m="1" x="817"/>
        <item m="1" x="721"/>
        <item m="1" x="742"/>
        <item m="1" x="818"/>
        <item m="1" x="747"/>
        <item m="1" x="819"/>
        <item m="1" x="723"/>
        <item m="1" x="753"/>
        <item m="1" x="762"/>
        <item m="1" x="758"/>
        <item m="1" x="748"/>
        <item m="1" x="749"/>
        <item m="1" x="820"/>
        <item m="1" x="744"/>
        <item m="1" x="746"/>
        <item m="1" x="743"/>
        <item m="1" x="713"/>
        <item m="1" x="763"/>
        <item m="1" x="745"/>
        <item m="1" x="750"/>
        <item m="1" x="765"/>
        <item m="1" x="731"/>
        <item m="1" x="766"/>
        <item m="1" x="729"/>
        <item m="1" x="767"/>
        <item m="1" x="768"/>
        <item m="1" x="769"/>
        <item m="1" x="716"/>
        <item m="1" x="619"/>
        <item m="1" x="770"/>
        <item m="1" x="771"/>
        <item m="1" x="612"/>
        <item m="1" x="772"/>
        <item m="1" x="489"/>
        <item m="1" x="732"/>
        <item m="1" x="773"/>
        <item m="1" x="701"/>
        <item m="1" x="653"/>
        <item m="1" x="654"/>
        <item m="1" x="725"/>
        <item m="1" x="774"/>
        <item m="1" x="692"/>
        <item m="1" x="775"/>
        <item m="1" x="776"/>
        <item m="1" x="656"/>
        <item m="1" x="720"/>
        <item m="1" x="718"/>
        <item m="1" x="688"/>
        <item m="1" x="777"/>
        <item m="1" x="778"/>
        <item m="1" x="714"/>
        <item m="1" x="779"/>
        <item m="1" x="486"/>
        <item m="1" x="730"/>
        <item m="1" x="726"/>
        <item m="1" x="727"/>
        <item m="1" x="715"/>
        <item m="1" x="717"/>
        <item m="1" x="689"/>
        <item m="1" x="691"/>
        <item m="1" x="724"/>
        <item m="1" x="595"/>
        <item m="1" x="728"/>
        <item m="1" x="681"/>
        <item m="1" x="733"/>
        <item m="1" x="698"/>
        <item m="1" x="734"/>
        <item m="1" x="735"/>
        <item m="1" x="695"/>
        <item m="1" x="736"/>
        <item m="1" x="737"/>
        <item m="1" x="738"/>
        <item m="1" x="696"/>
        <item m="1" x="682"/>
        <item m="1" x="699"/>
        <item m="1" x="700"/>
        <item m="1" x="739"/>
        <item m="1" x="684"/>
        <item m="1" x="687"/>
        <item m="1" x="694"/>
        <item m="1" x="740"/>
        <item m="1" x="697"/>
        <item m="1" x="683"/>
        <item m="1" x="690"/>
        <item m="1" x="664"/>
        <item m="1" x="685"/>
        <item m="1" x="741"/>
        <item m="1" x="662"/>
        <item m="1" x="647"/>
        <item m="1" x="686"/>
        <item m="1" x="660"/>
        <item m="1" x="657"/>
        <item m="1" x="702"/>
        <item m="1" x="703"/>
        <item m="1" x="704"/>
        <item m="1" x="705"/>
        <item m="1" x="706"/>
        <item m="1" x="663"/>
        <item m="1" x="640"/>
        <item m="1" x="655"/>
        <item m="1" x="586"/>
        <item m="1" x="707"/>
        <item m="1" x="581"/>
        <item m="1" x="621"/>
        <item m="1" x="708"/>
        <item m="1" x="616"/>
        <item m="1" x="651"/>
        <item m="1" x="709"/>
        <item m="1" x="710"/>
        <item m="1" x="642"/>
        <item m="1" x="648"/>
        <item m="1" x="649"/>
        <item m="1" x="652"/>
        <item m="1" x="661"/>
        <item m="1" x="644"/>
        <item m="1" x="658"/>
        <item m="1" x="585"/>
        <item m="1" x="643"/>
        <item m="1" x="659"/>
        <item m="1" x="645"/>
        <item m="1" x="646"/>
        <item m="1" x="711"/>
        <item m="1" x="641"/>
        <item m="1" x="577"/>
        <item m="1" x="665"/>
        <item m="1" x="618"/>
        <item m="1" x="592"/>
        <item m="1" x="666"/>
        <item m="1" x="624"/>
        <item m="1" x="588"/>
        <item m="1" x="565"/>
        <item m="1" x="667"/>
        <item m="1" x="609"/>
        <item m="1" x="668"/>
        <item m="1" x="669"/>
        <item m="1" x="614"/>
        <item m="1" x="594"/>
        <item m="1" x="670"/>
        <item m="1" x="671"/>
        <item m="1" x="578"/>
        <item m="1" x="613"/>
        <item m="1" x="672"/>
        <item m="1" x="628"/>
        <item m="1" x="673"/>
        <item m="1" x="674"/>
        <item m="1" x="627"/>
        <item m="1" x="675"/>
        <item m="1" x="676"/>
        <item m="1" x="677"/>
        <item m="1" x="678"/>
        <item m="1" x="560"/>
        <item m="1" x="629"/>
        <item m="1" x="679"/>
        <item m="1" x="626"/>
        <item m="1" x="680"/>
        <item m="1" x="620"/>
        <item m="1" x="580"/>
        <item m="1" x="597"/>
        <item m="1" x="610"/>
        <item m="1" x="622"/>
        <item m="1" x="625"/>
        <item m="1" x="623"/>
        <item m="1" x="537"/>
        <item m="1" x="617"/>
        <item m="1" x="611"/>
        <item m="1" x="639"/>
        <item m="1" x="630"/>
        <item m="1" x="587"/>
        <item m="1" x="631"/>
        <item m="1" x="540"/>
        <item m="1" x="554"/>
        <item m="1" x="583"/>
        <item m="1" x="584"/>
        <item m="1" x="589"/>
        <item m="1" x="632"/>
        <item m="1" x="593"/>
        <item m="1" x="633"/>
        <item m="1" x="634"/>
        <item m="1" x="596"/>
        <item m="1" x="579"/>
        <item m="1" x="552"/>
        <item m="1" x="635"/>
        <item m="1" x="542"/>
        <item m="1" x="568"/>
        <item m="1" x="541"/>
        <item m="1" x="636"/>
        <item m="1" x="637"/>
        <item m="1" x="638"/>
        <item m="1" x="598"/>
        <item m="1" x="556"/>
        <item m="1" x="566"/>
        <item m="1" x="526"/>
        <item m="1" x="590"/>
        <item m="1" x="515"/>
        <item m="1" x="582"/>
        <item m="1" x="591"/>
        <item m="1" x="599"/>
        <item m="1" x="555"/>
        <item m="1" x="519"/>
        <item m="1" x="600"/>
        <item m="1" x="551"/>
        <item m="1" x="601"/>
        <item m="1" x="543"/>
        <item m="1" x="563"/>
        <item m="1" x="602"/>
        <item m="1" x="603"/>
        <item m="1" x="535"/>
        <item m="1" x="536"/>
        <item m="1" x="544"/>
        <item m="1" x="538"/>
        <item m="1" x="545"/>
        <item m="1" x="559"/>
        <item m="1" x="561"/>
        <item m="1" x="604"/>
        <item m="1" x="567"/>
        <item m="1" x="546"/>
        <item m="1" x="547"/>
        <item m="1" x="605"/>
        <item m="1" x="548"/>
        <item m="1" x="550"/>
        <item m="1" x="553"/>
        <item m="1" x="606"/>
        <item m="1" x="607"/>
        <item m="1" x="608"/>
        <item m="1" x="442"/>
        <item m="1" x="549"/>
        <item m="1" x="539"/>
        <item m="1" x="484"/>
        <item m="1" x="558"/>
        <item m="1" x="562"/>
        <item m="1" x="564"/>
        <item m="1" x="473"/>
        <item m="1" x="569"/>
        <item m="1" x="508"/>
        <item m="1" x="513"/>
        <item m="1" x="475"/>
        <item m="1" x="570"/>
        <item m="1" x="479"/>
        <item m="1" x="571"/>
        <item m="1" x="572"/>
        <item m="1" x="573"/>
        <item m="1" x="574"/>
        <item m="1" x="490"/>
        <item m="1" x="506"/>
        <item m="1" x="575"/>
        <item m="1" x="474"/>
        <item m="1" x="576"/>
        <item m="1" x="456"/>
        <item m="1" x="520"/>
        <item m="1" x="521"/>
        <item m="1" x="505"/>
        <item m="1" x="522"/>
        <item m="1" x="525"/>
        <item m="1" x="518"/>
        <item m="1" x="507"/>
        <item m="1" x="510"/>
        <item m="1" x="503"/>
        <item m="1" x="476"/>
        <item m="1" x="512"/>
        <item m="1" x="514"/>
        <item m="1" x="511"/>
        <item m="1" x="516"/>
        <item m="1" x="517"/>
        <item m="1" x="523"/>
        <item m="1" x="504"/>
        <item m="1" x="448"/>
        <item m="1" x="509"/>
        <item m="1" x="491"/>
        <item m="1" x="375"/>
        <item m="1" x="524"/>
        <item m="1" x="527"/>
        <item m="1" x="446"/>
        <item m="1" x="528"/>
        <item m="1" x="529"/>
        <item m="1" x="530"/>
        <item m="1" x="482"/>
        <item m="1" x="485"/>
        <item m="1" x="478"/>
        <item m="1" x="481"/>
        <item m="1" x="441"/>
        <item m="1" x="457"/>
        <item m="1" x="440"/>
        <item m="1" x="450"/>
        <item m="1" x="531"/>
        <item m="1" x="532"/>
        <item m="1" x="533"/>
        <item m="1" x="492"/>
        <item m="1" x="534"/>
        <item m="1" x="494"/>
        <item sd="0" x="14"/>
        <item m="1" x="449"/>
        <item m="1" x="488"/>
        <item m="1" x="487"/>
        <item m="1" x="493"/>
        <item m="1" x="477"/>
        <item m="1" x="480"/>
        <item m="1" x="483"/>
        <item m="1" x="451"/>
        <item m="1" x="460"/>
        <item sd="0" x="0"/>
        <item m="1" x="495"/>
        <item m="1" x="496"/>
        <item m="1" x="430"/>
        <item m="1" x="461"/>
        <item m="1" x="458"/>
        <item m="1" x="459"/>
        <item m="1" x="497"/>
        <item m="1" x="498"/>
        <item m="1" x="453"/>
        <item m="1" x="499"/>
        <item m="1" x="500"/>
        <item m="1" x="439"/>
        <item m="1" x="501"/>
        <item m="1" x="422"/>
        <item m="1" x="426"/>
        <item m="1" x="444"/>
        <item m="1" x="443"/>
        <item m="1" x="502"/>
        <item m="1" x="418"/>
        <item m="1" x="425"/>
        <item m="1" x="454"/>
        <item m="1" x="377"/>
        <item m="1" x="447"/>
        <item m="1" x="411"/>
        <item m="1" x="445"/>
        <item m="1" x="421"/>
        <item m="1" x="455"/>
        <item m="1" x="452"/>
        <item m="1" x="462"/>
        <item m="1" x="463"/>
        <item m="1" x="327"/>
        <item m="1" x="423"/>
        <item m="1" x="464"/>
        <item m="1" x="465"/>
        <item m="1" x="466"/>
        <item m="1" x="427"/>
        <item m="1" x="419"/>
        <item m="1" x="420"/>
        <item m="1" x="467"/>
        <item m="1" x="416"/>
        <item m="1" x="468"/>
        <item m="1" x="424"/>
        <item m="1" x="431"/>
        <item m="1" x="417"/>
        <item m="1" x="469"/>
        <item m="1" x="470"/>
        <item m="1" x="471"/>
        <item m="1" x="410"/>
        <item m="1" x="413"/>
        <item m="1" x="432"/>
        <item m="1" x="435"/>
        <item m="1" x="388"/>
        <item m="1" x="429"/>
        <item m="1" x="472"/>
        <item m="1" x="433"/>
        <item m="1" x="428"/>
        <item m="1" x="414"/>
        <item m="1" x="390"/>
        <item m="1" x="370"/>
        <item m="1" x="374"/>
        <item m="1" x="412"/>
        <item m="1" x="379"/>
        <item m="1" x="389"/>
        <item m="1" x="393"/>
        <item m="1" x="415"/>
        <item m="1" x="434"/>
        <item m="1" x="372"/>
        <item m="1" x="378"/>
        <item m="1" x="380"/>
        <item m="1" x="383"/>
        <item m="1" x="385"/>
        <item m="1" x="436"/>
        <item m="1" x="384"/>
        <item m="1" x="386"/>
        <item m="1" x="387"/>
        <item m="1" x="381"/>
        <item m="1" x="382"/>
        <item m="1" x="392"/>
        <item m="1" x="394"/>
        <item m="1" x="342"/>
        <item m="1" x="437"/>
        <item m="1" x="373"/>
        <item m="1" x="347"/>
        <item m="1" x="438"/>
        <item m="1" x="391"/>
        <item m="1" x="358"/>
        <item m="1" x="359"/>
        <item m="1" x="376"/>
        <item m="1" x="403"/>
        <item m="1" x="395"/>
        <item m="1" x="371"/>
        <item m="1" x="274"/>
        <item m="1" x="396"/>
        <item m="1" x="397"/>
        <item m="1" x="398"/>
        <item m="1" x="399"/>
        <item m="1" x="344"/>
        <item m="1" x="325"/>
        <item m="1" x="345"/>
        <item m="1" x="349"/>
        <item m="1" x="400"/>
        <item m="1" x="401"/>
        <item m="1" x="402"/>
        <item m="1" x="404"/>
        <item m="1" x="405"/>
        <item m="1" x="348"/>
        <item m="1" x="406"/>
        <item m="1" x="407"/>
        <item m="1" x="343"/>
        <item m="1" x="353"/>
        <item m="1" x="350"/>
        <item m="1" x="408"/>
        <item m="1" x="409"/>
        <item m="1" x="357"/>
        <item m="1" x="351"/>
        <item m="1" x="352"/>
        <item m="1" x="333"/>
        <item m="1" x="320"/>
        <item m="1" x="346"/>
        <item m="1" x="328"/>
        <item m="1" x="354"/>
        <item m="1" x="355"/>
        <item m="1" x="324"/>
        <item m="1" x="356"/>
        <item m="1" x="322"/>
        <item m="1" x="323"/>
        <item m="1" x="360"/>
        <item m="1" x="316"/>
        <item m="1" x="195"/>
        <item m="1" x="361"/>
        <item m="1" x="192"/>
        <item m="1" x="362"/>
        <item m="1" x="363"/>
        <item m="1" x="331"/>
        <item m="1" x="319"/>
        <item m="1" x="329"/>
        <item m="1" x="198"/>
        <item m="1" x="321"/>
        <item m="1" x="291"/>
        <item m="1" x="364"/>
        <item m="1" x="365"/>
        <item m="1" x="366"/>
        <item m="1" x="318"/>
        <item m="1" x="367"/>
        <item m="1" x="300"/>
        <item m="1" x="326"/>
        <item m="1" x="332"/>
        <item m="1" x="317"/>
        <item m="1" x="368"/>
        <item m="1" x="297"/>
        <item m="1" x="369"/>
        <item m="1" x="246"/>
        <item m="1" x="330"/>
        <item m="1" x="290"/>
        <item m="1" x="270"/>
        <item m="1" x="289"/>
        <item m="1" x="334"/>
        <item m="1" x="335"/>
        <item m="1" x="288"/>
        <item m="1" x="336"/>
        <item m="1" x="337"/>
        <item m="1" x="287"/>
        <item m="1" x="338"/>
        <item m="1" x="302"/>
        <item m="1" x="339"/>
        <item m="1" x="298"/>
        <item m="1" x="299"/>
        <item m="1" x="301"/>
        <item m="1" x="215"/>
        <item m="1" x="304"/>
        <item m="1" x="340"/>
        <item m="1" x="292"/>
        <item m="1" x="267"/>
        <item m="1" x="208"/>
        <item m="1" x="286"/>
        <item m="1" x="293"/>
        <item m="1" x="341"/>
        <item m="1" x="306"/>
        <item m="1" x="294"/>
        <item m="1" x="296"/>
        <item m="1" x="303"/>
        <item m="1" x="285"/>
        <item m="1" x="295"/>
        <item m="1" x="305"/>
        <item m="1" x="257"/>
        <item m="1" x="275"/>
        <item m="1" x="266"/>
        <item m="1" x="272"/>
        <item m="1" x="256"/>
        <item m="1" x="307"/>
        <item m="1" x="271"/>
        <item m="1" x="241"/>
        <item m="1" x="308"/>
        <item m="1" x="309"/>
        <item m="1" x="310"/>
        <item m="1" x="311"/>
        <item m="1" x="226"/>
        <item m="1" x="273"/>
        <item m="1" x="240"/>
        <item m="1" x="268"/>
        <item m="1" x="312"/>
        <item m="1" x="313"/>
        <item m="1" x="258"/>
        <item m="1" x="314"/>
        <item m="1" x="265"/>
        <item m="1" x="315"/>
        <item m="1" x="260"/>
        <item m="1" x="276"/>
        <item m="1" x="261"/>
        <item m="1" x="263"/>
        <item m="1" x="269"/>
        <item m="1" x="277"/>
        <item m="1" x="262"/>
        <item m="1" x="264"/>
        <item m="1" x="259"/>
        <item m="1" x="278"/>
        <item m="1" x="211"/>
        <item m="1" x="194"/>
        <item m="1" x="279"/>
        <item m="1" x="236"/>
        <item m="1" x="280"/>
        <item m="1" x="161"/>
        <item m="1" x="197"/>
        <item m="1" x="224"/>
        <item m="1" x="243"/>
        <item m="1" x="238"/>
        <item m="1" x="281"/>
        <item m="1" x="282"/>
        <item m="1" x="120"/>
        <item m="1" x="193"/>
        <item m="1" x="234"/>
        <item m="1" x="218"/>
        <item m="1" x="245"/>
        <item m="1" x="239"/>
        <item m="1" x="283"/>
        <item m="1" x="244"/>
        <item m="1" x="237"/>
        <item m="1" x="242"/>
        <item m="1" x="284"/>
        <item m="1" x="223"/>
        <item m="1" x="235"/>
        <item m="1" x="225"/>
        <item m="1" x="247"/>
        <item m="1" x="220"/>
        <item m="1" x="248"/>
        <item m="1" x="212"/>
        <item m="1" x="213"/>
        <item m="1" x="249"/>
        <item m="1" x="217"/>
        <item m="1" x="250"/>
        <item m="1" x="152"/>
        <item m="1" x="166"/>
        <item m="1" x="251"/>
        <item m="1" x="252"/>
        <item m="1" x="219"/>
        <item m="1" x="253"/>
        <item m="1" x="254"/>
        <item m="1" x="175"/>
        <item m="1" x="209"/>
        <item m="1" x="255"/>
        <item m="1" x="221"/>
        <item m="1" x="228"/>
        <item m="1" x="229"/>
        <item m="1" x="227"/>
        <item m="1" x="210"/>
        <item m="1" x="214"/>
        <item m="1" x="190"/>
        <item m="1" x="122"/>
        <item m="1" x="199"/>
        <item m="1" x="216"/>
        <item m="1" x="179"/>
        <item m="1" x="222"/>
        <item m="1" x="230"/>
        <item m="1" x="231"/>
        <item m="1" x="186"/>
        <item m="1" x="188"/>
        <item m="1" x="163"/>
        <item m="1" x="232"/>
        <item m="1" x="233"/>
        <item m="1" x="191"/>
        <item m="1" x="158"/>
        <item m="1" x="165"/>
        <item m="1" x="196"/>
        <item m="1" x="185"/>
        <item m="1" x="167"/>
        <item m="1" x="189"/>
        <item m="1" x="187"/>
        <item m="1" x="176"/>
        <item m="1" x="164"/>
        <item m="1" x="200"/>
        <item m="1" x="154"/>
        <item m="1" x="201"/>
        <item m="1" x="202"/>
        <item m="1" x="89"/>
        <item m="1" x="203"/>
        <item m="1" x="91"/>
        <item m="1" x="159"/>
        <item m="1" x="169"/>
        <item m="1" x="162"/>
        <item m="1" x="168"/>
        <item m="1" x="171"/>
        <item m="1" x="204"/>
        <item m="1" x="145"/>
        <item m="1" x="147"/>
        <item m="1" x="173"/>
        <item m="1" x="205"/>
        <item m="1" x="206"/>
        <item m="1" x="178"/>
        <item m="1" x="174"/>
        <item m="1" x="207"/>
        <item m="1" x="160"/>
        <item m="1" x="170"/>
        <item m="1" x="177"/>
        <item m="1" x="172"/>
        <item m="1" x="125"/>
        <item m="1" x="180"/>
        <item m="1" x="181"/>
        <item m="1" x="182"/>
        <item m="1" x="183"/>
        <item m="1" x="150"/>
        <item m="1" x="115"/>
        <item m="1" x="149"/>
        <item m="1" x="127"/>
        <item m="1" x="146"/>
        <item m="1" x="148"/>
        <item m="1" x="184"/>
        <item m="1" x="153"/>
        <item m="1" x="126"/>
        <item m="1" x="117"/>
        <item m="1" x="151"/>
        <item m="1" x="82"/>
        <item m="1" x="81"/>
        <item m="1" x="118"/>
        <item m="1" x="116"/>
        <item m="1" x="123"/>
        <item m="1" x="88"/>
        <item m="1" x="130"/>
        <item m="1" x="128"/>
        <item m="1" x="85"/>
        <item m="1" x="155"/>
        <item m="1" x="124"/>
        <item m="1" x="90"/>
        <item m="1" x="131"/>
        <item m="1" x="119"/>
        <item m="1" x="156"/>
        <item m="1" x="157"/>
        <item m="1" x="114"/>
        <item m="1" x="54"/>
        <item m="1" x="129"/>
        <item m="1" x="121"/>
        <item m="1" x="58"/>
        <item m="1" x="80"/>
        <item m="1" x="76"/>
        <item m="1" x="56"/>
        <item m="1" x="132"/>
        <item m="1" x="133"/>
        <item m="1" x="134"/>
        <item m="1" x="135"/>
        <item m="1" x="94"/>
        <item m="1" x="87"/>
        <item m="1" x="78"/>
        <item m="1" x="136"/>
        <item m="1" x="137"/>
        <item m="1" x="138"/>
        <item m="1" x="139"/>
        <item m="1" x="77"/>
        <item m="1" x="140"/>
        <item m="1" x="141"/>
        <item m="1" x="96"/>
        <item m="1" x="142"/>
        <item m="1" x="143"/>
        <item m="1" x="144"/>
        <item m="1" x="92"/>
        <item m="1" x="93"/>
        <item m="1" x="79"/>
        <item m="1" x="86"/>
        <item m="1" x="95"/>
        <item m="1" x="53"/>
        <item m="1" x="83"/>
        <item m="1" x="97"/>
        <item m="1" x="84"/>
        <item m="1" x="40"/>
        <item m="1" x="98"/>
        <item m="1" x="99"/>
        <item m="1" x="100"/>
        <item m="1" x="62"/>
        <item m="1" x="101"/>
        <item m="1" x="102"/>
        <item m="1" x="103"/>
        <item m="1" x="104"/>
        <item m="1" x="105"/>
        <item m="1" x="65"/>
        <item m="1" x="69"/>
        <item m="1" x="106"/>
        <item m="1" x="66"/>
        <item m="1" x="107"/>
        <item m="1" x="52"/>
        <item m="1" x="108"/>
        <item m="1" x="59"/>
        <item m="1" x="64"/>
        <item m="1" x="109"/>
        <item m="1" x="110"/>
        <item m="1" x="111"/>
        <item m="1" x="112"/>
        <item m="1" x="36"/>
        <item m="1" x="113"/>
        <item m="1" x="68"/>
        <item m="1" x="60"/>
        <item m="1" x="67"/>
        <item m="1" x="57"/>
        <item m="1" x="30"/>
        <item m="1" x="61"/>
        <item m="1" x="34"/>
        <item m="1" x="55"/>
        <item m="1" x="63"/>
        <item m="1" x="33"/>
        <item m="1" x="70"/>
        <item m="1" x="31"/>
        <item m="1" x="71"/>
        <item m="1" x="72"/>
        <item m="1" x="73"/>
        <item m="1" x="32"/>
        <item m="1" x="37"/>
        <item m="1" x="74"/>
        <item m="1" x="39"/>
        <item m="1" x="75"/>
        <item m="1" x="29"/>
        <item m="1" x="35"/>
        <item x="1"/>
        <item m="1" x="38"/>
        <item m="1" x="41"/>
        <item m="1" x="42"/>
        <item m="1" x="43"/>
        <item m="1" x="44"/>
        <item m="1" x="45"/>
        <item m="1" x="46"/>
        <item m="1" x="47"/>
        <item m="1" x="48"/>
        <item m="1" x="49"/>
        <item x="11"/>
        <item m="1" x="50"/>
        <item m="1" x="51"/>
        <item x="9"/>
        <item x="4"/>
        <item x="8"/>
        <item x="2"/>
        <item x="3"/>
        <item x="6"/>
        <item x="10"/>
        <item x="7"/>
        <item x="5"/>
        <item x="13"/>
        <item x="12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compact="0" outline="0" subtotalTop="0" showAll="0" includeNewItemsInFilter="1"/>
    <pivotField axis="axisCol" compact="0" outline="0" subtotalTop="0" showAll="0" includeNewItemsInFilter="1" defaultSubtotal="0">
      <items count="223">
        <item x="0"/>
        <item m="1" x="175"/>
        <item m="1" x="26"/>
        <item m="1" x="151"/>
        <item m="1" x="86"/>
        <item x="6"/>
        <item m="1" x="75"/>
        <item m="1" x="76"/>
        <item x="20"/>
        <item m="1" x="37"/>
        <item x="1"/>
        <item m="1" x="34"/>
        <item m="1" x="59"/>
        <item m="1" x="22"/>
        <item m="1" x="173"/>
        <item m="1" x="176"/>
        <item m="1" x="44"/>
        <item m="1" x="99"/>
        <item m="1" x="209"/>
        <item m="1" x="201"/>
        <item m="1" x="64"/>
        <item m="1" x="180"/>
        <item m="1" x="21"/>
        <item m="1" x="163"/>
        <item m="1" x="88"/>
        <item m="1" x="165"/>
        <item m="1" x="184"/>
        <item m="1" x="172"/>
        <item m="1" x="48"/>
        <item m="1" x="147"/>
        <item m="1" x="145"/>
        <item m="1" x="31"/>
        <item m="1" x="113"/>
        <item m="1" x="137"/>
        <item m="1" x="190"/>
        <item m="1" x="111"/>
        <item m="1" x="124"/>
        <item m="1" x="183"/>
        <item m="1" x="159"/>
        <item m="1" x="148"/>
        <item m="1" x="139"/>
        <item m="1" x="152"/>
        <item m="1" x="212"/>
        <item m="1" x="100"/>
        <item m="1" x="95"/>
        <item m="1" x="38"/>
        <item m="1" x="197"/>
        <item m="1" x="125"/>
        <item m="1" x="195"/>
        <item x="11"/>
        <item m="1" x="198"/>
        <item m="1" x="203"/>
        <item m="1" x="219"/>
        <item m="1" x="162"/>
        <item m="1" x="214"/>
        <item m="1" x="218"/>
        <item m="1" x="158"/>
        <item x="17"/>
        <item m="1" x="187"/>
        <item m="1" x="140"/>
        <item m="1" x="217"/>
        <item m="1" x="185"/>
        <item m="1" x="149"/>
        <item m="1" x="41"/>
        <item m="1" x="127"/>
        <item m="1" x="143"/>
        <item x="8"/>
        <item m="1" x="200"/>
        <item m="1" x="211"/>
        <item m="1" x="27"/>
        <item m="1" x="73"/>
        <item m="1" x="39"/>
        <item m="1" x="58"/>
        <item m="1" x="79"/>
        <item m="1" x="57"/>
        <item m="1" x="220"/>
        <item m="1" x="216"/>
        <item m="1" x="207"/>
        <item m="1" x="193"/>
        <item m="1" x="68"/>
        <item m="1" x="167"/>
        <item m="1" x="141"/>
        <item m="1" x="62"/>
        <item m="1" x="213"/>
        <item m="1" x="215"/>
        <item m="1" x="43"/>
        <item m="1" x="171"/>
        <item m="1" x="69"/>
        <item m="1" x="71"/>
        <item m="1" x="132"/>
        <item m="1" x="168"/>
        <item m="1" x="157"/>
        <item m="1" x="70"/>
        <item m="1" x="126"/>
        <item m="1" x="182"/>
        <item m="1" x="186"/>
        <item m="1" x="192"/>
        <item m="1" x="142"/>
        <item m="1" x="196"/>
        <item m="1" x="202"/>
        <item m="1" x="56"/>
        <item m="1" x="194"/>
        <item m="1" x="191"/>
        <item m="1" x="121"/>
        <item m="1" x="155"/>
        <item m="1" x="205"/>
        <item m="1" x="96"/>
        <item x="4"/>
        <item m="1" x="146"/>
        <item m="1" x="35"/>
        <item m="1" x="221"/>
        <item m="1" x="30"/>
        <item m="1" x="90"/>
        <item m="1" x="78"/>
        <item m="1" x="153"/>
        <item m="1" x="178"/>
        <item m="1" x="77"/>
        <item x="10"/>
        <item m="1" x="66"/>
        <item m="1" x="114"/>
        <item x="9"/>
        <item m="1" x="189"/>
        <item m="1" x="80"/>
        <item m="1" x="67"/>
        <item m="1" x="166"/>
        <item m="1" x="164"/>
        <item m="1" x="128"/>
        <item m="1" x="89"/>
        <item m="1" x="32"/>
        <item m="1" x="188"/>
        <item m="1" x="204"/>
        <item m="1" x="131"/>
        <item m="1" x="181"/>
        <item m="1" x="208"/>
        <item m="1" x="210"/>
        <item x="2"/>
        <item m="1" x="50"/>
        <item m="1" x="25"/>
        <item m="1" x="199"/>
        <item m="1" x="108"/>
        <item m="1" x="47"/>
        <item m="1" x="106"/>
        <item m="1" x="134"/>
        <item m="1" x="133"/>
        <item m="1" x="222"/>
        <item m="1" x="136"/>
        <item m="1" x="36"/>
        <item m="1" x="206"/>
        <item m="1" x="115"/>
        <item m="1" x="179"/>
        <item m="1" x="160"/>
        <item m="1" x="122"/>
        <item x="14"/>
        <item m="1" x="65"/>
        <item m="1" x="156"/>
        <item m="1" x="177"/>
        <item m="1" x="55"/>
        <item x="16"/>
        <item m="1" x="174"/>
        <item m="1" x="85"/>
        <item x="5"/>
        <item m="1" x="144"/>
        <item m="1" x="169"/>
        <item m="1" x="94"/>
        <item m="1" x="170"/>
        <item m="1" x="161"/>
        <item m="1" x="154"/>
        <item m="1" x="112"/>
        <item m="1" x="52"/>
        <item m="1" x="74"/>
        <item m="1" x="150"/>
        <item m="1" x="84"/>
        <item m="1" x="107"/>
        <item m="1" x="110"/>
        <item m="1" x="135"/>
        <item m="1" x="33"/>
        <item m="1" x="117"/>
        <item m="1" x="138"/>
        <item m="1" x="118"/>
        <item m="1" x="130"/>
        <item m="1" x="116"/>
        <item m="1" x="109"/>
        <item m="1" x="123"/>
        <item m="1" x="129"/>
        <item m="1" x="104"/>
        <item m="1" x="120"/>
        <item m="1" x="119"/>
        <item m="1" x="82"/>
        <item m="1" x="46"/>
        <item m="1" x="61"/>
        <item x="7"/>
        <item m="1" x="72"/>
        <item m="1" x="103"/>
        <item m="1" x="102"/>
        <item m="1" x="101"/>
        <item m="1" x="105"/>
        <item m="1" x="87"/>
        <item x="13"/>
        <item m="1" x="40"/>
        <item m="1" x="92"/>
        <item m="1" x="97"/>
        <item m="1" x="98"/>
        <item m="1" x="91"/>
        <item m="1" x="93"/>
        <item m="1" x="29"/>
        <item m="1" x="83"/>
        <item m="1" x="81"/>
        <item m="1" x="54"/>
        <item m="1" x="63"/>
        <item m="1" x="24"/>
        <item m="1" x="60"/>
        <item m="1" x="45"/>
        <item m="1" x="51"/>
        <item m="1" x="53"/>
        <item x="3"/>
        <item m="1" x="42"/>
        <item m="1" x="49"/>
        <item m="1" x="23"/>
        <item m="1" x="28"/>
        <item x="12"/>
        <item x="15"/>
        <item x="18"/>
        <item x="19"/>
      </items>
    </pivotField>
    <pivotField axis="axisCol" compact="0" outline="0" subtotalTop="0" showAll="0" includeNewItemsInFilter="1" defaultSubtotal="0">
      <items count="24">
        <item x="22"/>
        <item x="0"/>
        <item m="1" x="23"/>
        <item x="1"/>
        <item x="10"/>
        <item x="8"/>
        <item x="4"/>
        <item x="6"/>
        <item x="2"/>
        <item x="3"/>
        <item x="9"/>
        <item x="7"/>
        <item x="5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xis="axisCol" compact="0" outline="0" subtotalTop="0" showAll="0" includeNewItemsInFilter="1" defaultSubtotal="0">
      <items count="37">
        <item x="4"/>
        <item x="2"/>
        <item x="1"/>
        <item m="1" x="28"/>
        <item x="6"/>
        <item x="3"/>
        <item x="8"/>
        <item m="1" x="36"/>
        <item m="1" x="29"/>
        <item x="0"/>
        <item m="1" x="17"/>
        <item m="1" x="35"/>
        <item m="1" x="18"/>
        <item x="7"/>
        <item m="1" x="34"/>
        <item x="5"/>
        <item m="1" x="21"/>
        <item m="1" x="19"/>
        <item m="1" x="30"/>
        <item m="1" x="16"/>
        <item m="1" x="22"/>
        <item m="1" x="31"/>
        <item m="1" x="9"/>
        <item m="1" x="32"/>
        <item m="1" x="23"/>
        <item m="1" x="20"/>
        <item m="1" x="11"/>
        <item m="1" x="24"/>
        <item m="1" x="25"/>
        <item m="1" x="33"/>
        <item m="1" x="27"/>
        <item m="1" x="12"/>
        <item m="1" x="26"/>
        <item m="1" x="15"/>
        <item m="1" x="13"/>
        <item m="1" x="14"/>
        <item m="1" x="10"/>
      </items>
    </pivotField>
    <pivotField axis="axisCol" compact="0" outline="0" subtotalTop="0" showAll="0" includeNewItemsInFilter="1" defaultSubtotal="0">
      <items count="27">
        <item x="25"/>
        <item x="0"/>
        <item m="1" x="26"/>
        <item x="7"/>
        <item x="1"/>
        <item x="11"/>
        <item x="9"/>
        <item x="4"/>
        <item x="8"/>
        <item x="2"/>
        <item x="3"/>
        <item x="6"/>
        <item x="10"/>
        <item x="5"/>
        <item x="13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sd="0" m="1" x="5"/>
        <item x="3"/>
        <item h="1" x="4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2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7">
    <field x="31"/>
    <field x="1"/>
    <field x="2"/>
    <field x="4"/>
    <field x="5"/>
    <field x="6"/>
    <field x="7"/>
  </colFields>
  <colItems count="50">
    <i>
      <x/>
      <x/>
      <x v="1348"/>
    </i>
    <i r="1">
      <x v="1"/>
      <x v="1348"/>
    </i>
    <i r="1">
      <x v="2"/>
      <x v="1348"/>
    </i>
    <i r="2">
      <x v="1802"/>
      <x v="120"/>
      <x v="13"/>
      <x/>
      <x v="16"/>
    </i>
    <i r="1">
      <x v="3"/>
      <x v="1348"/>
    </i>
    <i r="2">
      <x v="1811"/>
      <x/>
      <x v="1"/>
      <x v="9"/>
      <x v="1"/>
    </i>
    <i r="2">
      <x v="1812"/>
      <x v="57"/>
      <x v="21"/>
      <x/>
      <x v="7"/>
    </i>
    <i r="1">
      <x v="4"/>
      <x v="1348"/>
    </i>
    <i r="2">
      <x v="1803"/>
      <x v="117"/>
      <x v="14"/>
      <x v="15"/>
      <x v="17"/>
    </i>
    <i r="1">
      <x v="5"/>
      <x v="1777"/>
      <x v="10"/>
      <x v="3"/>
      <x v="2"/>
      <x v="4"/>
    </i>
    <i r="1">
      <x v="6"/>
      <x v="1348"/>
    </i>
    <i r="1">
      <x v="7"/>
      <x v="1348"/>
    </i>
    <i r="2">
      <x v="1804"/>
      <x v="49"/>
      <x v="15"/>
      <x v="2"/>
      <x v="18"/>
    </i>
    <i r="1">
      <x v="8"/>
      <x v="1348"/>
    </i>
    <i r="1">
      <x v="9"/>
      <x v="1348"/>
    </i>
    <i r="2">
      <x v="1794"/>
      <x v="135"/>
      <x v="8"/>
      <x v="1"/>
      <x v="9"/>
    </i>
    <i r="1">
      <x v="10"/>
      <x v="1795"/>
      <x v="214"/>
      <x v="9"/>
      <x v="2"/>
      <x v="10"/>
    </i>
    <i r="2">
      <x v="1806"/>
      <x v="197"/>
      <x v="17"/>
      <x v="1"/>
      <x v="20"/>
    </i>
    <i r="1">
      <x v="11"/>
      <x v="1348"/>
    </i>
    <i r="2">
      <x v="1792"/>
      <x v="107"/>
      <x v="6"/>
      <x v="1"/>
      <x v="7"/>
    </i>
    <i r="1">
      <x v="12"/>
      <x v="1348"/>
    </i>
    <i r="2">
      <x v="1813"/>
      <x v="221"/>
      <x v="22"/>
      <x v="13"/>
      <x v="25"/>
    </i>
    <i r="1">
      <x v="13"/>
      <x v="1348"/>
    </i>
    <i r="1">
      <x v="14"/>
      <x v="1348"/>
    </i>
    <i r="2">
      <x v="1814"/>
      <x v="222"/>
      <x v="23"/>
      <x v="5"/>
      <x v="26"/>
    </i>
    <i r="1">
      <x v="15"/>
      <x v="1799"/>
      <x v="160"/>
      <x v="12"/>
      <x v="1"/>
      <x v="13"/>
    </i>
    <i r="1">
      <x v="16"/>
      <x v="1348"/>
    </i>
    <i r="2">
      <x v="1807"/>
      <x v="152"/>
      <x v="18"/>
      <x v="4"/>
      <x v="21"/>
    </i>
    <i r="1">
      <x v="17"/>
      <x v="1348"/>
    </i>
    <i t="default">
      <x/>
    </i>
    <i>
      <x v="1"/>
      <x v="18"/>
      <x v="1348"/>
    </i>
    <i r="1">
      <x v="19"/>
      <x v="1348"/>
    </i>
    <i r="2">
      <x v="1796"/>
      <x v="5"/>
      <x v="7"/>
      <x v="2"/>
      <x v="11"/>
    </i>
    <i r="1">
      <x v="20"/>
      <x v="1348"/>
    </i>
    <i t="default">
      <x v="1"/>
    </i>
    <i>
      <x v="3"/>
      <x v="29"/>
      <x v="1348"/>
    </i>
    <i r="2">
      <x v="1805"/>
      <x v="219"/>
      <x v="16"/>
      <x v="1"/>
      <x v="19"/>
    </i>
    <i r="1">
      <x v="30"/>
      <x v="1338"/>
    </i>
    <i t="default">
      <x v="3"/>
    </i>
    <i>
      <x v="5"/>
      <x v="32"/>
      <x v="1798"/>
      <x v="5"/>
      <x v="11"/>
      <x v="5"/>
      <x v="3"/>
    </i>
    <i r="2">
      <x v="1809"/>
      <x v="5"/>
      <x v="5"/>
      <x v="2"/>
      <x v="23"/>
    </i>
    <i r="1">
      <x v="33"/>
      <x v="1793"/>
      <x v="5"/>
      <x v="7"/>
      <x v="5"/>
      <x v="8"/>
    </i>
    <i r="2">
      <x v="1808"/>
      <x v="220"/>
      <x v="19"/>
      <x v="5"/>
      <x v="22"/>
    </i>
    <i r="1">
      <x v="34"/>
      <x v="1791"/>
      <x v="5"/>
      <x v="5"/>
      <x v="2"/>
      <x v="6"/>
    </i>
    <i r="1">
      <x v="35"/>
      <x v="1788"/>
      <x v="66"/>
      <x v="4"/>
      <x v="1"/>
      <x v="5"/>
    </i>
    <i r="2">
      <x v="1797"/>
      <x v="190"/>
      <x v="10"/>
      <x v="2"/>
      <x v="12"/>
    </i>
    <i r="2">
      <x v="1810"/>
      <x v="157"/>
      <x v="20"/>
      <x v="1"/>
      <x v="24"/>
    </i>
    <i r="1">
      <x v="36"/>
      <x v="1801"/>
      <x v="5"/>
      <x v="11"/>
      <x v="5"/>
      <x v="15"/>
    </i>
    <i r="1">
      <x v="37"/>
      <x v="1800"/>
      <x v="5"/>
      <x v="11"/>
      <x v="5"/>
      <x v="14"/>
    </i>
    <i t="default">
      <x v="5"/>
    </i>
  </colItems>
  <dataFields count="1">
    <dataField name="平均值 - IAD" fld="27" subtotal="average" baseField="0" baseItem="0" numFmtId="10"/>
  </dataFields>
  <formats count="6">
    <format dxfId="624">
      <pivotArea type="all" dataOnly="0" outline="0" fieldPosition="0"/>
    </format>
    <format dxfId="623">
      <pivotArea type="all" dataOnly="0" outline="0" fieldPosition="0"/>
    </format>
    <format dxfId="622">
      <pivotArea dataOnly="0" outline="0" fieldPosition="0">
        <references count="1">
          <reference field="31" count="0" defaultSubtotal="1"/>
        </references>
      </pivotArea>
    </format>
    <format dxfId="621">
      <pivotArea type="all" dataOnly="0" outline="0" fieldPosition="0"/>
    </format>
    <format dxfId="620">
      <pivotArea type="all" dataOnly="0" outline="0" fieldPosition="0"/>
    </format>
    <format dxfId="619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50657-2F93-4D14-9232-2AC75CA67030}" name="樞紐分析表1" cacheId="24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33" firstHeaderRow="2" firstDataRow="2" firstDataCol="1"/>
  <pivotFields count="45">
    <pivotField compact="0" outline="0" subtotalTop="0" showAll="0" includeNewItemsInFilter="1"/>
    <pivotField axis="axisRow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x="27"/>
        <item h="1" sd="0" x="28"/>
        <item h="1" x="29"/>
        <item x="21"/>
        <item x="22"/>
        <item x="23"/>
        <item x="24"/>
        <item x="25"/>
        <item x="26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9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平均值 - IAD" fld="27" subtotal="average" baseField="1" baseItem="0" numFmtId="10"/>
  </dataFields>
  <formats count="25">
    <format dxfId="618">
      <pivotArea type="all" dataOnly="0" outline="0" fieldPosition="0"/>
    </format>
    <format dxfId="617">
      <pivotArea type="all" dataOnly="0" outline="0" fieldPosition="0"/>
    </format>
    <format dxfId="616">
      <pivotArea type="all" dataOnly="0" outline="0" fieldPosition="0"/>
    </format>
    <format dxfId="615">
      <pivotArea type="all" dataOnly="0" outline="0" fieldPosition="0"/>
    </format>
    <format dxfId="614">
      <pivotArea type="all" dataOnly="0" outline="0" fieldPosition="0"/>
    </format>
    <format dxfId="613">
      <pivotArea outline="0" collapsedLevelsAreSubtotals="1" fieldPosition="0"/>
    </format>
    <format dxfId="612">
      <pivotArea type="origin" dataOnly="0" labelOnly="1" outline="0" fieldPosition="0"/>
    </format>
    <format dxfId="611">
      <pivotArea field="1" type="button" dataOnly="0" labelOnly="1" outline="0" axis="axisRow" fieldPosition="0"/>
    </format>
    <format dxfId="610">
      <pivotArea dataOnly="0" labelOnly="1" outline="0" fieldPosition="0">
        <references count="1">
          <reference field="1" count="0"/>
        </references>
      </pivotArea>
    </format>
    <format dxfId="609">
      <pivotArea dataOnly="0" labelOnly="1" grandRow="1" outline="0" fieldPosition="0"/>
    </format>
    <format dxfId="608">
      <pivotArea type="topRight" dataOnly="0" labelOnly="1" outline="0" fieldPosition="0"/>
    </format>
    <format dxfId="607">
      <pivotArea type="all" dataOnly="0" outline="0" fieldPosition="0"/>
    </format>
    <format dxfId="606">
      <pivotArea outline="0" collapsedLevelsAreSubtotals="1" fieldPosition="0"/>
    </format>
    <format dxfId="605">
      <pivotArea type="origin" dataOnly="0" labelOnly="1" outline="0" fieldPosition="0"/>
    </format>
    <format dxfId="604">
      <pivotArea field="1" type="button" dataOnly="0" labelOnly="1" outline="0" axis="axisRow" fieldPosition="0"/>
    </format>
    <format dxfId="603">
      <pivotArea dataOnly="0" labelOnly="1" outline="0" fieldPosition="0">
        <references count="1">
          <reference field="1" count="0"/>
        </references>
      </pivotArea>
    </format>
    <format dxfId="602">
      <pivotArea dataOnly="0" labelOnly="1" grandRow="1" outline="0" fieldPosition="0"/>
    </format>
    <format dxfId="601">
      <pivotArea type="topRight" dataOnly="0" labelOnly="1" outline="0" fieldPosition="0"/>
    </format>
    <format dxfId="600">
      <pivotArea type="all" dataOnly="0" outline="0" fieldPosition="0"/>
    </format>
    <format dxfId="599">
      <pivotArea outline="0" collapsedLevelsAreSubtotals="1" fieldPosition="0"/>
    </format>
    <format dxfId="598">
      <pivotArea type="origin" dataOnly="0" labelOnly="1" outline="0" fieldPosition="0"/>
    </format>
    <format dxfId="597">
      <pivotArea field="1" type="button" dataOnly="0" labelOnly="1" outline="0" axis="axisRow" fieldPosition="0"/>
    </format>
    <format dxfId="596">
      <pivotArea dataOnly="0" labelOnly="1" outline="0" fieldPosition="0">
        <references count="1">
          <reference field="1" count="0"/>
        </references>
      </pivotArea>
    </format>
    <format dxfId="595">
      <pivotArea dataOnly="0" labelOnly="1" grandRow="1" outline="0" fieldPosition="0"/>
    </format>
    <format dxfId="594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樞紐分析表1" cacheId="24" dataOnRows="1" applyNumberFormats="0" applyBorderFormats="0" applyFontFormats="0" applyPatternFormats="0" applyAlignmentFormats="0" applyWidthHeightFormats="1" dataCaption="資料" showError="1" showMissing="0" updatedVersion="8" minRefreshableVersion="3" showMemberPropertyTips="0" useAutoFormatting="1" itemPrintTitles="1" createdVersion="3" indent="0" compact="0" compactData="0" gridDropZones="1">
  <location ref="A3:AI26" firstHeaderRow="1" firstDataRow="3" firstDataCol="1"/>
  <pivotFields count="45">
    <pivotField axis="axisRow" compact="0" numFmtId="196" outline="0" subtotalTop="0" showAll="0" includeNewItemsInFilter="1">
      <items count="22">
        <item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Col" compact="0" outline="0" subtotalTop="0" showAll="0" includeNewItemsInFilter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30"/>
        <item m="1" x="31"/>
        <item m="1" x="32"/>
        <item m="1" x="33"/>
        <item m="1" x="34"/>
        <item m="1" x="35"/>
        <item m="1" x="36"/>
        <item m="1" x="37"/>
        <item x="27"/>
        <item x="28"/>
        <item x="29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h="1" m="1" x="5"/>
        <item x="3"/>
        <item h="1" x="4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2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2">
    <field x="31"/>
    <field x="1"/>
  </colFields>
  <colItems count="3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/>
    </i>
    <i>
      <x v="1"/>
      <x v="18"/>
    </i>
    <i r="1">
      <x v="19"/>
    </i>
    <i r="1">
      <x v="20"/>
    </i>
    <i t="default">
      <x v="1"/>
    </i>
    <i>
      <x v="3"/>
      <x v="29"/>
    </i>
    <i r="1">
      <x v="30"/>
    </i>
    <i t="default">
      <x v="3"/>
    </i>
    <i>
      <x v="5"/>
      <x v="32"/>
    </i>
    <i r="1">
      <x v="33"/>
    </i>
    <i r="1">
      <x v="34"/>
    </i>
    <i r="1">
      <x v="35"/>
    </i>
    <i r="1">
      <x v="36"/>
    </i>
    <i r="1">
      <x v="37"/>
    </i>
    <i t="default">
      <x v="5"/>
    </i>
    <i t="grand">
      <x/>
    </i>
  </colItems>
  <dataFields count="1">
    <dataField name="平均值 - 效率平均" fld="28" subtotal="average" baseField="0" baseItem="0" numFmtId="187"/>
  </dataFields>
  <formats count="3">
    <format dxfId="593">
      <pivotArea type="all" dataOnly="0" outline="0" fieldPosition="0"/>
    </format>
    <format dxfId="592">
      <pivotArea dataOnly="0" outline="0" fieldPosition="0">
        <references count="1">
          <reference field="31" count="0" defaultSubtotal="1"/>
        </references>
      </pivotArea>
    </format>
    <format dxfId="591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樞紐分析表2" cacheId="24" applyNumberFormats="0" applyBorderFormats="0" applyFontFormats="0" applyPatternFormats="0" applyAlignmentFormats="0" applyWidthHeightFormats="1" dataCaption="資料" updatedVersion="8" minRefreshableVersion="3" showMemberPropertyTips="0" itemPrintTitles="1" createdVersion="3" indent="0" compact="0" compactData="0" gridDropZones="1">
  <location ref="A3:K27" firstHeaderRow="1" firstDataRow="3" firstDataCol="1"/>
  <pivotFields count="45">
    <pivotField axis="axisRow" compact="0" outline="0" subtotalTop="0" showAll="0" includeNewItemsInFilter="1" defaultSubtotal="0">
      <items count="21">
        <item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ubtotalTop="0" showAll="0" includeNewItemsInFilter="1" defaultSubtotal="0">
      <items count="5">
        <item x="3"/>
        <item h="1" m="1" x="4"/>
        <item x="1"/>
        <item x="2"/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howAll="0" defaultSubtota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2">
    <field x="37"/>
    <field x="-2"/>
  </colFields>
  <colItems count="10">
    <i>
      <x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計數 - 高低壓" fld="37" subtotal="count" baseField="0" baseItem="0" numFmtId="182"/>
    <dataField name="加總 - 耗氣量(立方/日)" fld="44" baseField="0" baseItem="0" numFmtId="183"/>
  </dataFields>
  <formats count="2">
    <format dxfId="590">
      <pivotArea type="all" dataOnly="0" outline="0" fieldPosition="0"/>
    </format>
    <format dxfId="589">
      <pivotArea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6BF14-1222-4E97-B8EC-45E38231C349}" name="表格5_23478262736" displayName="表格5_23478262736" ref="AF57:AG63" totalsRowShown="0" headerRowDxfId="631" dataDxfId="629" headerRowBorderDxfId="630" tableBorderDxfId="628" totalsRowBorderDxfId="627">
  <autoFilter ref="AF57:AG63" xr:uid="{DB76BF14-1222-4E97-B8EC-45E38231C349}"/>
  <tableColumns count="2">
    <tableColumn id="1" xr3:uid="{88CB56C2-8982-4B65-B5CA-D6D34A4F29EC}" name="月底結帳" dataDxfId="626"/>
    <tableColumn id="2" xr3:uid="{D25E1405-4098-40D0-8132-6F845E1EA419}" name="欄1" dataDxfId="625" dataCellStyle="千分位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rtlCol="0" anchor="ctr" upright="1"/>
      <a:lstStyle>
        <a:defPPr algn="ctr">
          <a:defRPr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.bin"/><Relationship Id="rId2" Type="http://schemas.openxmlformats.org/officeDocument/2006/relationships/printerSettings" Target="../printerSettings/printerSettings33.bin"/><Relationship Id="rId1" Type="http://schemas.openxmlformats.org/officeDocument/2006/relationships/printerSettings" Target="../printerSettings/printerSettings32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2060"/>
  </sheetPr>
  <dimension ref="A1:DE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3" sqref="B3:D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2" width="6.5" style="7" customWidth="1"/>
    <col min="23" max="26" width="6.5" style="7" hidden="1" customWidth="1"/>
    <col min="27" max="36" width="6.375" style="7" hidden="1" customWidth="1"/>
    <col min="37" max="37" width="6.625" style="7" hidden="1" customWidth="1"/>
    <col min="38" max="38" width="6.375" style="7" hidden="1" customWidth="1"/>
    <col min="39" max="39" width="7.125" style="7" hidden="1" customWidth="1"/>
    <col min="40" max="40" width="6.625" style="7" hidden="1" customWidth="1"/>
    <col min="41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3.375" style="7" customWidth="1"/>
    <col min="104" max="104" width="11.75" style="7" customWidth="1"/>
    <col min="105" max="16384" width="6.375" style="7"/>
  </cols>
  <sheetData>
    <row r="1" spans="1:104" ht="37.15" customHeight="1">
      <c r="A1" s="141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9"/>
      <c r="AH1" s="9"/>
      <c r="AI1" s="9"/>
      <c r="AJ1" s="9"/>
      <c r="AK1" s="9"/>
      <c r="AL1" s="6"/>
      <c r="AM1" s="461"/>
      <c r="AO1" s="6"/>
      <c r="AP1" s="461"/>
      <c r="AR1" s="6"/>
      <c r="AS1" s="461"/>
      <c r="AV1" s="461"/>
      <c r="AX1" s="9"/>
      <c r="AY1" s="461"/>
      <c r="BE1" s="461"/>
      <c r="BH1" s="461"/>
      <c r="BK1" s="461"/>
      <c r="BT1" s="461"/>
      <c r="BW1" s="461"/>
      <c r="BZ1" s="461"/>
      <c r="CC1" s="461"/>
      <c r="CF1" s="461"/>
      <c r="CI1" s="461"/>
      <c r="CL1" s="461"/>
      <c r="CO1" s="461"/>
      <c r="CR1" s="461"/>
      <c r="CU1" s="461"/>
      <c r="CY1" s="467">
        <f>'實驗紗&amp;非當月生產'!P2</f>
        <v>1193694.2</v>
      </c>
    </row>
    <row r="2" spans="1:104" s="160" customFormat="1" ht="19.899999999999999" customHeight="1" thickBot="1">
      <c r="A2" s="235"/>
      <c r="B2" s="236"/>
      <c r="C2" s="236">
        <v>113</v>
      </c>
      <c r="D2" s="236"/>
      <c r="E2" s="236"/>
      <c r="F2" s="236">
        <v>114</v>
      </c>
      <c r="G2" s="236"/>
      <c r="H2" s="236"/>
      <c r="I2" s="236">
        <v>115</v>
      </c>
      <c r="J2" s="236"/>
      <c r="K2" s="236"/>
      <c r="L2" s="236">
        <v>116</v>
      </c>
      <c r="M2" s="236"/>
      <c r="N2" s="236"/>
      <c r="O2" s="236">
        <v>117</v>
      </c>
      <c r="P2" s="236"/>
      <c r="Q2" s="236"/>
      <c r="R2" s="236">
        <v>118</v>
      </c>
      <c r="S2" s="236"/>
      <c r="T2" s="236"/>
      <c r="U2" s="236">
        <v>119</v>
      </c>
      <c r="V2" s="236"/>
      <c r="W2" s="236"/>
      <c r="X2" s="236">
        <v>120</v>
      </c>
      <c r="Y2" s="236"/>
      <c r="Z2" s="236"/>
      <c r="AA2" s="236">
        <v>121</v>
      </c>
      <c r="AB2" s="236"/>
      <c r="AC2" s="236"/>
      <c r="AD2" s="236">
        <v>122</v>
      </c>
      <c r="AE2" s="236"/>
      <c r="AF2" s="236"/>
      <c r="AG2" s="236">
        <v>123</v>
      </c>
      <c r="AH2" s="236"/>
      <c r="AI2" s="236"/>
      <c r="AJ2" s="236">
        <v>124</v>
      </c>
      <c r="AK2" s="236"/>
      <c r="AL2" s="236"/>
      <c r="AM2" s="236">
        <v>125</v>
      </c>
      <c r="AN2" s="236"/>
      <c r="AO2" s="236"/>
      <c r="AP2" s="236">
        <v>126</v>
      </c>
      <c r="AQ2" s="236"/>
      <c r="AR2" s="236"/>
      <c r="AS2" s="236">
        <v>127</v>
      </c>
      <c r="AT2" s="236"/>
      <c r="AU2" s="236"/>
      <c r="AV2" s="236">
        <v>128</v>
      </c>
      <c r="AW2" s="236"/>
      <c r="AX2" s="236"/>
      <c r="AY2" s="236">
        <v>129</v>
      </c>
      <c r="AZ2" s="236"/>
      <c r="BA2" s="236"/>
      <c r="BB2" s="236">
        <v>130</v>
      </c>
      <c r="BC2" s="236"/>
      <c r="BD2" s="236"/>
      <c r="BE2" s="236">
        <v>131</v>
      </c>
      <c r="BF2" s="236"/>
      <c r="BG2" s="236"/>
      <c r="BH2" s="236">
        <v>132</v>
      </c>
      <c r="BI2" s="236"/>
      <c r="BJ2" s="236"/>
      <c r="BK2" s="236">
        <v>133</v>
      </c>
      <c r="BL2" s="236"/>
      <c r="BM2" s="236"/>
      <c r="BN2" s="236">
        <v>134</v>
      </c>
      <c r="BO2" s="236"/>
      <c r="BP2" s="236"/>
      <c r="BQ2" s="236">
        <v>135</v>
      </c>
      <c r="BR2" s="236"/>
      <c r="BS2" s="236"/>
      <c r="BT2" s="236">
        <v>136</v>
      </c>
      <c r="BU2" s="236"/>
      <c r="BV2" s="236"/>
      <c r="BW2" s="236">
        <v>137</v>
      </c>
      <c r="BX2" s="236"/>
      <c r="BY2" s="236"/>
      <c r="BZ2" s="236">
        <v>138</v>
      </c>
      <c r="CA2" s="236"/>
      <c r="CB2" s="236"/>
      <c r="CC2" s="236">
        <v>139</v>
      </c>
      <c r="CD2" s="236"/>
      <c r="CE2" s="236"/>
      <c r="CF2" s="236">
        <v>140</v>
      </c>
      <c r="CG2" s="236"/>
      <c r="CH2" s="236"/>
      <c r="CI2" s="236">
        <v>141</v>
      </c>
      <c r="CJ2" s="236"/>
      <c r="CK2" s="236"/>
      <c r="CL2" s="236">
        <v>142</v>
      </c>
      <c r="CM2" s="236"/>
      <c r="CN2" s="236"/>
      <c r="CO2" s="236">
        <v>143</v>
      </c>
      <c r="CP2" s="236"/>
      <c r="CQ2" s="236"/>
      <c r="CR2" s="236">
        <v>144</v>
      </c>
      <c r="CS2" s="236"/>
      <c r="CT2" s="236"/>
      <c r="CU2" s="236">
        <v>145</v>
      </c>
      <c r="CV2" s="236"/>
      <c r="CX2" s="141"/>
    </row>
    <row r="3" spans="1:104" s="4" customFormat="1" ht="23.25" customHeight="1" thickTop="1">
      <c r="A3" s="396" t="s">
        <v>8</v>
      </c>
      <c r="B3" s="397"/>
      <c r="C3" s="398"/>
      <c r="D3" s="399"/>
      <c r="E3" s="397"/>
      <c r="F3" s="398"/>
      <c r="G3" s="399"/>
      <c r="H3" s="397"/>
      <c r="I3" s="398"/>
      <c r="J3" s="399"/>
      <c r="K3" s="397"/>
      <c r="L3" s="398"/>
      <c r="M3" s="399"/>
      <c r="N3" s="397"/>
      <c r="O3" s="398"/>
      <c r="P3" s="399"/>
      <c r="Q3" s="397"/>
      <c r="R3" s="398"/>
      <c r="S3" s="399"/>
      <c r="T3" s="397"/>
      <c r="U3" s="398"/>
      <c r="V3" s="399"/>
      <c r="W3" s="397"/>
      <c r="X3" s="398"/>
      <c r="Y3" s="399"/>
      <c r="Z3" s="397"/>
      <c r="AA3" s="398"/>
      <c r="AB3" s="399"/>
      <c r="AC3" s="397"/>
      <c r="AD3" s="398"/>
      <c r="AE3" s="399"/>
      <c r="AF3" s="397"/>
      <c r="AG3" s="398"/>
      <c r="AH3" s="399"/>
      <c r="AI3" s="397"/>
      <c r="AJ3" s="398"/>
      <c r="AK3" s="399"/>
      <c r="AL3" s="397"/>
      <c r="AM3" s="398"/>
      <c r="AN3" s="399"/>
      <c r="AO3" s="397"/>
      <c r="AP3" s="398"/>
      <c r="AQ3" s="399"/>
      <c r="AR3" s="397"/>
      <c r="AS3" s="398"/>
      <c r="AT3" s="399"/>
      <c r="AU3" s="397"/>
      <c r="AV3" s="398"/>
      <c r="AW3" s="399"/>
      <c r="AX3" s="397"/>
      <c r="AY3" s="398"/>
      <c r="AZ3" s="399"/>
      <c r="BA3" s="397"/>
      <c r="BB3" s="398"/>
      <c r="BC3" s="399"/>
      <c r="BD3" s="397"/>
      <c r="BE3" s="398"/>
      <c r="BF3" s="399"/>
      <c r="BG3" s="397"/>
      <c r="BH3" s="398"/>
      <c r="BI3" s="399"/>
      <c r="BJ3" s="397"/>
      <c r="BK3" s="398"/>
      <c r="BL3" s="399"/>
      <c r="BM3" s="397"/>
      <c r="BN3" s="398"/>
      <c r="BO3" s="399"/>
      <c r="BP3" s="397"/>
      <c r="BQ3" s="398"/>
      <c r="BR3" s="399"/>
      <c r="BS3" s="397"/>
      <c r="BT3" s="398"/>
      <c r="BU3" s="399"/>
      <c r="BV3" s="397"/>
      <c r="BW3" s="398"/>
      <c r="BX3" s="399"/>
      <c r="BY3" s="397"/>
      <c r="BZ3" s="398"/>
      <c r="CA3" s="399"/>
      <c r="CB3" s="397"/>
      <c r="CC3" s="398"/>
      <c r="CD3" s="399"/>
      <c r="CE3" s="397"/>
      <c r="CF3" s="398"/>
      <c r="CG3" s="399"/>
      <c r="CH3" s="397"/>
      <c r="CI3" s="398"/>
      <c r="CJ3" s="399"/>
      <c r="CK3" s="397"/>
      <c r="CL3" s="398"/>
      <c r="CM3" s="399"/>
      <c r="CN3" s="397"/>
      <c r="CO3" s="398"/>
      <c r="CP3" s="399"/>
      <c r="CQ3" s="397"/>
      <c r="CR3" s="398"/>
      <c r="CS3" s="399"/>
      <c r="CT3" s="397"/>
      <c r="CU3" s="398"/>
      <c r="CV3" s="399"/>
      <c r="CW3" s="124"/>
    </row>
    <row r="4" spans="1:104" s="4" customFormat="1" ht="21" customHeight="1" thickBot="1">
      <c r="A4" s="400" t="s">
        <v>9</v>
      </c>
      <c r="B4" s="401"/>
      <c r="C4" s="402"/>
      <c r="D4" s="403"/>
      <c r="E4" s="401"/>
      <c r="F4" s="402"/>
      <c r="G4" s="403"/>
      <c r="H4" s="401"/>
      <c r="I4" s="402"/>
      <c r="J4" s="403"/>
      <c r="K4" s="401"/>
      <c r="L4" s="402"/>
      <c r="M4" s="403"/>
      <c r="N4" s="401"/>
      <c r="O4" s="402"/>
      <c r="P4" s="403"/>
      <c r="Q4" s="401"/>
      <c r="R4" s="402"/>
      <c r="S4" s="403"/>
      <c r="T4" s="401"/>
      <c r="U4" s="402"/>
      <c r="V4" s="403"/>
      <c r="W4" s="401"/>
      <c r="X4" s="402"/>
      <c r="Y4" s="403"/>
      <c r="Z4" s="401"/>
      <c r="AA4" s="402"/>
      <c r="AB4" s="403"/>
      <c r="AC4" s="401"/>
      <c r="AD4" s="402"/>
      <c r="AE4" s="403"/>
      <c r="AF4" s="401"/>
      <c r="AG4" s="402"/>
      <c r="AH4" s="403"/>
      <c r="AI4" s="401"/>
      <c r="AJ4" s="402"/>
      <c r="AK4" s="403"/>
      <c r="AL4" s="401"/>
      <c r="AM4" s="402"/>
      <c r="AN4" s="403"/>
      <c r="AO4" s="401"/>
      <c r="AP4" s="402"/>
      <c r="AQ4" s="403"/>
      <c r="AR4" s="401"/>
      <c r="AS4" s="402"/>
      <c r="AT4" s="403"/>
      <c r="AU4" s="401"/>
      <c r="AV4" s="402"/>
      <c r="AW4" s="403"/>
      <c r="AX4" s="401"/>
      <c r="AY4" s="402"/>
      <c r="AZ4" s="403"/>
      <c r="BA4" s="401"/>
      <c r="BB4" s="402"/>
      <c r="BC4" s="403"/>
      <c r="BD4" s="401"/>
      <c r="BE4" s="402"/>
      <c r="BF4" s="403"/>
      <c r="BG4" s="401"/>
      <c r="BH4" s="402"/>
      <c r="BI4" s="403"/>
      <c r="BJ4" s="401"/>
      <c r="BK4" s="402"/>
      <c r="BL4" s="403"/>
      <c r="BM4" s="401"/>
      <c r="BN4" s="402"/>
      <c r="BO4" s="403"/>
      <c r="BP4" s="401"/>
      <c r="BQ4" s="402"/>
      <c r="BR4" s="403"/>
      <c r="BS4" s="401"/>
      <c r="BT4" s="402"/>
      <c r="BU4" s="403"/>
      <c r="BV4" s="401"/>
      <c r="BW4" s="402"/>
      <c r="BX4" s="403"/>
      <c r="BY4" s="401"/>
      <c r="BZ4" s="402"/>
      <c r="CA4" s="403"/>
      <c r="CB4" s="401"/>
      <c r="CC4" s="402"/>
      <c r="CD4" s="403"/>
      <c r="CE4" s="401"/>
      <c r="CF4" s="402"/>
      <c r="CG4" s="403"/>
      <c r="CH4" s="401"/>
      <c r="CI4" s="402"/>
      <c r="CJ4" s="403"/>
      <c r="CK4" s="401"/>
      <c r="CL4" s="402"/>
      <c r="CM4" s="403"/>
      <c r="CN4" s="401"/>
      <c r="CO4" s="402"/>
      <c r="CP4" s="403"/>
      <c r="CQ4" s="401"/>
      <c r="CR4" s="402"/>
      <c r="CS4" s="403"/>
      <c r="CT4" s="401"/>
      <c r="CU4" s="402"/>
      <c r="CV4" s="403"/>
      <c r="CW4" s="124"/>
    </row>
    <row r="5" spans="1:104" s="659" customFormat="1" ht="17.25" thickTop="1">
      <c r="A5" s="652" t="s">
        <v>5</v>
      </c>
      <c r="B5" s="653" t="s">
        <v>3</v>
      </c>
      <c r="C5" s="654" t="s">
        <v>6</v>
      </c>
      <c r="D5" s="655" t="s">
        <v>7</v>
      </c>
      <c r="E5" s="653" t="s">
        <v>3</v>
      </c>
      <c r="F5" s="654" t="s">
        <v>6</v>
      </c>
      <c r="G5" s="655" t="s">
        <v>7</v>
      </c>
      <c r="H5" s="653" t="s">
        <v>3</v>
      </c>
      <c r="I5" s="654" t="s">
        <v>6</v>
      </c>
      <c r="J5" s="655" t="s">
        <v>7</v>
      </c>
      <c r="K5" s="653" t="s">
        <v>3</v>
      </c>
      <c r="L5" s="654" t="s">
        <v>6</v>
      </c>
      <c r="M5" s="655" t="s">
        <v>7</v>
      </c>
      <c r="N5" s="653" t="s">
        <v>3</v>
      </c>
      <c r="O5" s="654" t="s">
        <v>6</v>
      </c>
      <c r="P5" s="655" t="s">
        <v>7</v>
      </c>
      <c r="Q5" s="653" t="s">
        <v>3</v>
      </c>
      <c r="R5" s="654" t="s">
        <v>6</v>
      </c>
      <c r="S5" s="655" t="s">
        <v>7</v>
      </c>
      <c r="T5" s="653" t="s">
        <v>3</v>
      </c>
      <c r="U5" s="654" t="s">
        <v>6</v>
      </c>
      <c r="V5" s="655" t="s">
        <v>7</v>
      </c>
      <c r="W5" s="653" t="s">
        <v>3</v>
      </c>
      <c r="X5" s="654" t="s">
        <v>6</v>
      </c>
      <c r="Y5" s="655" t="s">
        <v>7</v>
      </c>
      <c r="Z5" s="653" t="s">
        <v>3</v>
      </c>
      <c r="AA5" s="654" t="s">
        <v>6</v>
      </c>
      <c r="AB5" s="655" t="s">
        <v>7</v>
      </c>
      <c r="AC5" s="653" t="s">
        <v>3</v>
      </c>
      <c r="AD5" s="654" t="s">
        <v>6</v>
      </c>
      <c r="AE5" s="655" t="s">
        <v>7</v>
      </c>
      <c r="AF5" s="653" t="s">
        <v>3</v>
      </c>
      <c r="AG5" s="654" t="s">
        <v>6</v>
      </c>
      <c r="AH5" s="655" t="s">
        <v>7</v>
      </c>
      <c r="AI5" s="653" t="s">
        <v>3</v>
      </c>
      <c r="AJ5" s="654" t="s">
        <v>6</v>
      </c>
      <c r="AK5" s="655" t="s">
        <v>7</v>
      </c>
      <c r="AL5" s="653" t="s">
        <v>3</v>
      </c>
      <c r="AM5" s="654" t="s">
        <v>6</v>
      </c>
      <c r="AN5" s="655" t="s">
        <v>7</v>
      </c>
      <c r="AO5" s="653" t="s">
        <v>3</v>
      </c>
      <c r="AP5" s="654" t="s">
        <v>6</v>
      </c>
      <c r="AQ5" s="655" t="s">
        <v>7</v>
      </c>
      <c r="AR5" s="653" t="s">
        <v>3</v>
      </c>
      <c r="AS5" s="654" t="s">
        <v>6</v>
      </c>
      <c r="AT5" s="655" t="s">
        <v>7</v>
      </c>
      <c r="AU5" s="653" t="s">
        <v>3</v>
      </c>
      <c r="AV5" s="654" t="s">
        <v>6</v>
      </c>
      <c r="AW5" s="655" t="s">
        <v>7</v>
      </c>
      <c r="AX5" s="653" t="s">
        <v>3</v>
      </c>
      <c r="AY5" s="654" t="s">
        <v>6</v>
      </c>
      <c r="AZ5" s="655" t="s">
        <v>7</v>
      </c>
      <c r="BA5" s="653" t="s">
        <v>3</v>
      </c>
      <c r="BB5" s="654" t="s">
        <v>6</v>
      </c>
      <c r="BC5" s="655" t="s">
        <v>7</v>
      </c>
      <c r="BD5" s="656" t="s">
        <v>3</v>
      </c>
      <c r="BE5" s="654" t="s">
        <v>6</v>
      </c>
      <c r="BF5" s="655" t="s">
        <v>7</v>
      </c>
      <c r="BG5" s="653" t="s">
        <v>3</v>
      </c>
      <c r="BH5" s="654" t="s">
        <v>6</v>
      </c>
      <c r="BI5" s="655" t="s">
        <v>7</v>
      </c>
      <c r="BJ5" s="653" t="s">
        <v>3</v>
      </c>
      <c r="BK5" s="654" t="s">
        <v>6</v>
      </c>
      <c r="BL5" s="655" t="s">
        <v>7</v>
      </c>
      <c r="BM5" s="653" t="s">
        <v>3</v>
      </c>
      <c r="BN5" s="654" t="s">
        <v>6</v>
      </c>
      <c r="BO5" s="655" t="s">
        <v>7</v>
      </c>
      <c r="BP5" s="653" t="s">
        <v>3</v>
      </c>
      <c r="BQ5" s="654" t="s">
        <v>6</v>
      </c>
      <c r="BR5" s="655" t="s">
        <v>7</v>
      </c>
      <c r="BS5" s="653" t="s">
        <v>3</v>
      </c>
      <c r="BT5" s="654" t="s">
        <v>6</v>
      </c>
      <c r="BU5" s="655" t="s">
        <v>7</v>
      </c>
      <c r="BV5" s="656" t="s">
        <v>3</v>
      </c>
      <c r="BW5" s="654" t="s">
        <v>6</v>
      </c>
      <c r="BX5" s="655" t="s">
        <v>7</v>
      </c>
      <c r="BY5" s="656" t="s">
        <v>3</v>
      </c>
      <c r="BZ5" s="654" t="s">
        <v>6</v>
      </c>
      <c r="CA5" s="655" t="s">
        <v>7</v>
      </c>
      <c r="CB5" s="656" t="s">
        <v>3</v>
      </c>
      <c r="CC5" s="654" t="s">
        <v>6</v>
      </c>
      <c r="CD5" s="655" t="s">
        <v>7</v>
      </c>
      <c r="CE5" s="656" t="s">
        <v>3</v>
      </c>
      <c r="CF5" s="654" t="s">
        <v>6</v>
      </c>
      <c r="CG5" s="655" t="s">
        <v>7</v>
      </c>
      <c r="CH5" s="656" t="s">
        <v>3</v>
      </c>
      <c r="CI5" s="654" t="s">
        <v>6</v>
      </c>
      <c r="CJ5" s="655" t="s">
        <v>7</v>
      </c>
      <c r="CK5" s="656" t="s">
        <v>3</v>
      </c>
      <c r="CL5" s="654" t="s">
        <v>6</v>
      </c>
      <c r="CM5" s="655" t="s">
        <v>7</v>
      </c>
      <c r="CN5" s="656" t="s">
        <v>3</v>
      </c>
      <c r="CO5" s="654" t="s">
        <v>6</v>
      </c>
      <c r="CP5" s="655" t="s">
        <v>7</v>
      </c>
      <c r="CQ5" s="656" t="s">
        <v>3</v>
      </c>
      <c r="CR5" s="654" t="s">
        <v>6</v>
      </c>
      <c r="CS5" s="655" t="s">
        <v>7</v>
      </c>
      <c r="CT5" s="656" t="s">
        <v>3</v>
      </c>
      <c r="CU5" s="654" t="s">
        <v>6</v>
      </c>
      <c r="CV5" s="655" t="s">
        <v>7</v>
      </c>
      <c r="CW5" s="657"/>
      <c r="CX5" s="658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/>
      <c r="L6" s="11">
        <f>M$3*M$4*216*24*60*K6/9000000</f>
        <v>0</v>
      </c>
      <c r="M6" s="64"/>
      <c r="N6" s="36"/>
      <c r="O6" s="11">
        <f>P$3*P$4*216*24*60*N6/9000000</f>
        <v>0</v>
      </c>
      <c r="P6" s="64"/>
      <c r="Q6" s="36"/>
      <c r="R6" s="11">
        <f>S$3*S$4*216*24*60*Q6/9000000</f>
        <v>0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 t="shared" ref="BN6:BN36" si="0"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5" si="1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27" si="2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0">
        <f t="shared" ref="CX6:CX37" si="3">B6+E6+H6+K6+N6+Q6+T6+W6+Z6+AC6+AF6+AI6+AL6+AO6+AR6+AU6+AX6+BA6+BD6+BG6+BJ6+BM6+BP6+BS6+BV6+BY6+CB6+CE6+CH6+CK6+CN6+CQ6+CT6</f>
        <v>0</v>
      </c>
      <c r="CY6" s="157"/>
      <c r="CZ6" s="157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/>
      <c r="L7" s="11">
        <f>M$3*M$4*216*24*60*K7/9000000</f>
        <v>0</v>
      </c>
      <c r="M7" s="64"/>
      <c r="N7" s="36"/>
      <c r="O7" s="11">
        <f>P$3*P$4*216*24*60*N7/9000000</f>
        <v>0</v>
      </c>
      <c r="P7" s="64"/>
      <c r="Q7" s="36"/>
      <c r="R7" s="11">
        <f t="shared" ref="R7:R36" si="4">S$3*S$4*216*24*60*Q7/9000000</f>
        <v>0</v>
      </c>
      <c r="S7" s="64"/>
      <c r="T7" s="36"/>
      <c r="U7" s="11">
        <f t="shared" ref="U7:U36" si="5">V$3*V$4*216*24*60*T7/9000000</f>
        <v>0</v>
      </c>
      <c r="V7" s="64"/>
      <c r="W7" s="36"/>
      <c r="X7" s="11">
        <f t="shared" ref="X7:X36" si="6">Y$3*Y$4*216*24*60*W7/9000000</f>
        <v>0</v>
      </c>
      <c r="Y7" s="64"/>
      <c r="Z7" s="36"/>
      <c r="AA7" s="11">
        <f t="shared" ref="AA7:AA36" si="7">AB$3*AB$4*216*24*60*Z7/9000000</f>
        <v>0</v>
      </c>
      <c r="AB7" s="64"/>
      <c r="AC7" s="36"/>
      <c r="AD7" s="11">
        <f t="shared" ref="AD7:AD36" si="8">AE$3*AE$4*216*24*60*AC7/9000000</f>
        <v>0</v>
      </c>
      <c r="AE7" s="64"/>
      <c r="AF7" s="36"/>
      <c r="AG7" s="11">
        <f t="shared" ref="AG7:AG36" si="9">AH$3*AH$4*216*24*60*AF7/9000000</f>
        <v>0</v>
      </c>
      <c r="AH7" s="64"/>
      <c r="AI7" s="36"/>
      <c r="AJ7" s="11">
        <f t="shared" ref="AJ7:AJ36" si="10">AK$3*AK$4*216*24*60*AI7/9000000</f>
        <v>0</v>
      </c>
      <c r="AK7" s="64"/>
      <c r="AL7" s="36"/>
      <c r="AM7" s="11">
        <f t="shared" ref="AM7:AM36" si="11">AN$3*AN$4*216*24*60*AL7/9000000</f>
        <v>0</v>
      </c>
      <c r="AN7" s="64"/>
      <c r="AO7" s="36"/>
      <c r="AP7" s="11">
        <f t="shared" ref="AP7:AP36" si="12">AQ$3*AQ$4*216*24*60*AO7/9000000</f>
        <v>0</v>
      </c>
      <c r="AQ7" s="64"/>
      <c r="AR7" s="36"/>
      <c r="AS7" s="11">
        <f t="shared" ref="AS7:AS36" si="13">AT$3*AT$4*216*24*60*AR7/9000000</f>
        <v>0</v>
      </c>
      <c r="AT7" s="64"/>
      <c r="AU7" s="36"/>
      <c r="AV7" s="11">
        <f t="shared" ref="AV7:AV36" si="14">AW$3*AW$4*216*24*60*AU7/9000000</f>
        <v>0</v>
      </c>
      <c r="AW7" s="64"/>
      <c r="AX7" s="36"/>
      <c r="AY7" s="11">
        <f t="shared" ref="AY7:AY36" si="15">AZ$3*AZ$4*216*24*60*AX7/9000000</f>
        <v>0</v>
      </c>
      <c r="AZ7" s="64"/>
      <c r="BA7" s="36"/>
      <c r="BB7" s="11">
        <f t="shared" ref="BB7:BB36" si="16">BC$3*BC$4*216*24*60*BA7/9000000</f>
        <v>0</v>
      </c>
      <c r="BC7" s="64"/>
      <c r="BD7" s="36"/>
      <c r="BE7" s="11">
        <f t="shared" ref="BE7:BE36" si="17">BF$3*BF$4*216*24*60*BD7/9000000</f>
        <v>0</v>
      </c>
      <c r="BF7" s="64"/>
      <c r="BG7" s="36"/>
      <c r="BH7" s="11">
        <f t="shared" ref="BH7:BH36" si="18">BI$3*BI$4*216*24*60*BG7/9000000</f>
        <v>0</v>
      </c>
      <c r="BI7" s="64"/>
      <c r="BJ7" s="36"/>
      <c r="BK7" s="11">
        <f t="shared" ref="BK7:BK36" si="19">BL$3*BL$4*216*24*60*BJ7/9000000</f>
        <v>0</v>
      </c>
      <c r="BL7" s="64"/>
      <c r="BM7" s="36"/>
      <c r="BN7" s="11">
        <f t="shared" si="0"/>
        <v>0</v>
      </c>
      <c r="BO7" s="64"/>
      <c r="BP7" s="36"/>
      <c r="BQ7" s="11">
        <f t="shared" ref="BQ7:BQ36" si="20">BR$3*BR$4*216*24*60*BP7/9000000</f>
        <v>0</v>
      </c>
      <c r="BR7" s="64"/>
      <c r="BS7" s="36"/>
      <c r="BT7" s="11">
        <f t="shared" ref="BT7:BT36" si="21">BU$3*BU$4*216*24*60*BS7/9000000</f>
        <v>0</v>
      </c>
      <c r="BU7" s="64"/>
      <c r="BV7" s="36"/>
      <c r="BW7" s="11">
        <f t="shared" ref="BW7:BW36" si="22">BX$3*BX$4*216*24*60*BV7/9000000</f>
        <v>0</v>
      </c>
      <c r="BX7" s="64"/>
      <c r="BY7" s="36"/>
      <c r="BZ7" s="11">
        <f t="shared" si="1"/>
        <v>0</v>
      </c>
      <c r="CA7" s="64"/>
      <c r="CB7" s="36"/>
      <c r="CC7" s="11">
        <f t="shared" ref="CC7:CC24" si="23">CD$3*CD$4*216*24*60*CB7/9000000</f>
        <v>0</v>
      </c>
      <c r="CD7" s="64"/>
      <c r="CE7" s="36"/>
      <c r="CF7" s="11">
        <f t="shared" ref="CF7:CF27" si="24">CG$3*CG$4*216*24*60*CE7/9000000</f>
        <v>0</v>
      </c>
      <c r="CG7" s="64"/>
      <c r="CH7" s="36"/>
      <c r="CI7" s="11">
        <f t="shared" si="2"/>
        <v>0</v>
      </c>
      <c r="CJ7" s="64"/>
      <c r="CK7" s="36"/>
      <c r="CL7" s="11">
        <f t="shared" ref="CL7:CL36" si="25">CM$3*CM$4*216*24*60*CK7/9000000</f>
        <v>0</v>
      </c>
      <c r="CM7" s="64"/>
      <c r="CN7" s="36"/>
      <c r="CO7" s="11">
        <f t="shared" ref="CO7:CO28" si="26">CP$3*CP$4*216*24*60*CN7/9000000</f>
        <v>0</v>
      </c>
      <c r="CP7" s="64"/>
      <c r="CQ7" s="36"/>
      <c r="CR7" s="11">
        <f t="shared" ref="CR7:CR36" si="27">CS$3*CS$4*216*24*60*CQ7/9000000</f>
        <v>0</v>
      </c>
      <c r="CS7" s="64"/>
      <c r="CT7" s="36"/>
      <c r="CU7" s="11">
        <f t="shared" ref="CU7:CU36" si="28">CV$3*CV$4*216*24*60*CT7/9000000</f>
        <v>0</v>
      </c>
      <c r="CV7" s="64"/>
      <c r="CW7" s="13"/>
      <c r="CX7" s="260">
        <f t="shared" si="3"/>
        <v>0</v>
      </c>
      <c r="CY7" s="157"/>
      <c r="CZ7" s="157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 t="shared" si="4"/>
        <v>0</v>
      </c>
      <c r="S8" s="64"/>
      <c r="T8" s="36"/>
      <c r="U8" s="11">
        <f t="shared" si="5"/>
        <v>0</v>
      </c>
      <c r="V8" s="64"/>
      <c r="W8" s="36"/>
      <c r="X8" s="11">
        <f t="shared" si="6"/>
        <v>0</v>
      </c>
      <c r="Y8" s="64"/>
      <c r="Z8" s="36"/>
      <c r="AA8" s="11">
        <f t="shared" si="7"/>
        <v>0</v>
      </c>
      <c r="AB8" s="64"/>
      <c r="AC8" s="36"/>
      <c r="AD8" s="11">
        <f t="shared" si="8"/>
        <v>0</v>
      </c>
      <c r="AE8" s="64"/>
      <c r="AF8" s="36"/>
      <c r="AG8" s="11">
        <f t="shared" si="9"/>
        <v>0</v>
      </c>
      <c r="AH8" s="64"/>
      <c r="AI8" s="36"/>
      <c r="AJ8" s="11">
        <f t="shared" si="10"/>
        <v>0</v>
      </c>
      <c r="AK8" s="64"/>
      <c r="AL8" s="36"/>
      <c r="AM8" s="11">
        <f t="shared" si="11"/>
        <v>0</v>
      </c>
      <c r="AN8" s="64"/>
      <c r="AO8" s="36"/>
      <c r="AP8" s="11">
        <f t="shared" si="12"/>
        <v>0</v>
      </c>
      <c r="AQ8" s="64"/>
      <c r="AR8" s="36"/>
      <c r="AS8" s="11">
        <f t="shared" si="13"/>
        <v>0</v>
      </c>
      <c r="AT8" s="64"/>
      <c r="AU8" s="36"/>
      <c r="AV8" s="11">
        <f t="shared" si="14"/>
        <v>0</v>
      </c>
      <c r="AW8" s="64"/>
      <c r="AX8" s="36"/>
      <c r="AY8" s="11">
        <f t="shared" si="15"/>
        <v>0</v>
      </c>
      <c r="AZ8" s="64"/>
      <c r="BA8" s="36"/>
      <c r="BB8" s="11">
        <f t="shared" si="16"/>
        <v>0</v>
      </c>
      <c r="BC8" s="64"/>
      <c r="BD8" s="36"/>
      <c r="BE8" s="11">
        <f t="shared" si="17"/>
        <v>0</v>
      </c>
      <c r="BF8" s="64"/>
      <c r="BG8" s="36"/>
      <c r="BH8" s="11">
        <f t="shared" si="18"/>
        <v>0</v>
      </c>
      <c r="BI8" s="64"/>
      <c r="BJ8" s="36"/>
      <c r="BK8" s="11">
        <f t="shared" si="19"/>
        <v>0</v>
      </c>
      <c r="BL8" s="64"/>
      <c r="BM8" s="36"/>
      <c r="BN8" s="11">
        <f t="shared" si="0"/>
        <v>0</v>
      </c>
      <c r="BO8" s="64"/>
      <c r="BP8" s="36"/>
      <c r="BQ8" s="11">
        <f t="shared" si="20"/>
        <v>0</v>
      </c>
      <c r="BR8" s="64"/>
      <c r="BS8" s="36"/>
      <c r="BT8" s="11">
        <f t="shared" si="21"/>
        <v>0</v>
      </c>
      <c r="BU8" s="64"/>
      <c r="BV8" s="36"/>
      <c r="BW8" s="11">
        <f t="shared" si="22"/>
        <v>0</v>
      </c>
      <c r="BX8" s="64"/>
      <c r="BY8" s="36"/>
      <c r="BZ8" s="11">
        <f t="shared" si="1"/>
        <v>0</v>
      </c>
      <c r="CA8" s="64"/>
      <c r="CB8" s="36"/>
      <c r="CC8" s="11">
        <f t="shared" si="23"/>
        <v>0</v>
      </c>
      <c r="CD8" s="64"/>
      <c r="CE8" s="36"/>
      <c r="CF8" s="11">
        <f t="shared" si="24"/>
        <v>0</v>
      </c>
      <c r="CG8" s="64"/>
      <c r="CH8" s="36"/>
      <c r="CI8" s="11">
        <f t="shared" si="2"/>
        <v>0</v>
      </c>
      <c r="CJ8" s="64"/>
      <c r="CK8" s="36"/>
      <c r="CL8" s="11">
        <f t="shared" si="25"/>
        <v>0</v>
      </c>
      <c r="CM8" s="64"/>
      <c r="CN8" s="36"/>
      <c r="CO8" s="11">
        <f t="shared" si="26"/>
        <v>0</v>
      </c>
      <c r="CP8" s="64"/>
      <c r="CQ8" s="36"/>
      <c r="CR8" s="11">
        <f t="shared" si="27"/>
        <v>0</v>
      </c>
      <c r="CS8" s="64"/>
      <c r="CT8" s="36"/>
      <c r="CU8" s="11">
        <f t="shared" si="28"/>
        <v>0</v>
      </c>
      <c r="CV8" s="64"/>
      <c r="CW8" s="13"/>
      <c r="CX8" s="260">
        <f t="shared" si="3"/>
        <v>0</v>
      </c>
      <c r="CY8" s="157"/>
      <c r="CZ8" s="157"/>
    </row>
    <row r="9" spans="1:104" ht="14.25" customHeight="1">
      <c r="A9" s="10">
        <v>4</v>
      </c>
      <c r="B9" s="36"/>
      <c r="C9" s="11">
        <f>D$3*D$4*216*24*60*B9/9000000</f>
        <v>0</v>
      </c>
      <c r="D9" s="63"/>
      <c r="E9" s="36"/>
      <c r="F9" s="11">
        <f>G$3*G$4*216*24*60*E9/9000000</f>
        <v>0</v>
      </c>
      <c r="G9" s="63"/>
      <c r="H9" s="36"/>
      <c r="I9" s="11">
        <f>J$3*J$4*216*24*60*H9/9000000</f>
        <v>0</v>
      </c>
      <c r="J9" s="63"/>
      <c r="K9" s="36"/>
      <c r="L9" s="11">
        <f>M$3*M$4*216*24*60*K9/9000000</f>
        <v>0</v>
      </c>
      <c r="M9" s="63"/>
      <c r="N9" s="36"/>
      <c r="O9" s="11">
        <f>P$3*P$4*216*24*60*N9/9000000</f>
        <v>0</v>
      </c>
      <c r="P9" s="63"/>
      <c r="Q9" s="36"/>
      <c r="R9" s="11">
        <f t="shared" si="4"/>
        <v>0</v>
      </c>
      <c r="S9" s="64"/>
      <c r="T9" s="36"/>
      <c r="U9" s="11">
        <f t="shared" si="5"/>
        <v>0</v>
      </c>
      <c r="V9" s="64"/>
      <c r="W9" s="36"/>
      <c r="X9" s="11">
        <f t="shared" si="6"/>
        <v>0</v>
      </c>
      <c r="Y9" s="64"/>
      <c r="Z9" s="36"/>
      <c r="AA9" s="11">
        <f t="shared" si="7"/>
        <v>0</v>
      </c>
      <c r="AB9" s="64"/>
      <c r="AC9" s="36"/>
      <c r="AD9" s="11">
        <f t="shared" si="8"/>
        <v>0</v>
      </c>
      <c r="AE9" s="64"/>
      <c r="AF9" s="36"/>
      <c r="AG9" s="11">
        <f t="shared" si="9"/>
        <v>0</v>
      </c>
      <c r="AH9" s="64"/>
      <c r="AI9" s="36"/>
      <c r="AJ9" s="11">
        <f t="shared" si="10"/>
        <v>0</v>
      </c>
      <c r="AK9" s="64"/>
      <c r="AL9" s="36"/>
      <c r="AM9" s="11">
        <f t="shared" si="11"/>
        <v>0</v>
      </c>
      <c r="AN9" s="64"/>
      <c r="AO9" s="36"/>
      <c r="AP9" s="11">
        <f t="shared" si="12"/>
        <v>0</v>
      </c>
      <c r="AQ9" s="64"/>
      <c r="AR9" s="36"/>
      <c r="AS9" s="11">
        <f t="shared" si="13"/>
        <v>0</v>
      </c>
      <c r="AT9" s="64"/>
      <c r="AU9" s="36"/>
      <c r="AV9" s="11">
        <f t="shared" si="14"/>
        <v>0</v>
      </c>
      <c r="AW9" s="64"/>
      <c r="AX9" s="36"/>
      <c r="AY9" s="11">
        <f t="shared" si="15"/>
        <v>0</v>
      </c>
      <c r="AZ9" s="64"/>
      <c r="BA9" s="36"/>
      <c r="BB9" s="11">
        <f t="shared" si="16"/>
        <v>0</v>
      </c>
      <c r="BC9" s="64"/>
      <c r="BD9" s="36"/>
      <c r="BE9" s="11">
        <f t="shared" si="17"/>
        <v>0</v>
      </c>
      <c r="BF9" s="64"/>
      <c r="BG9" s="36"/>
      <c r="BH9" s="11">
        <f t="shared" si="18"/>
        <v>0</v>
      </c>
      <c r="BI9" s="64"/>
      <c r="BJ9" s="36"/>
      <c r="BK9" s="11">
        <f t="shared" si="19"/>
        <v>0</v>
      </c>
      <c r="BL9" s="64"/>
      <c r="BM9" s="36"/>
      <c r="BN9" s="11">
        <f t="shared" si="0"/>
        <v>0</v>
      </c>
      <c r="BO9" s="64"/>
      <c r="BP9" s="36"/>
      <c r="BQ9" s="11">
        <f t="shared" si="20"/>
        <v>0</v>
      </c>
      <c r="BR9" s="64"/>
      <c r="BS9" s="36"/>
      <c r="BT9" s="11">
        <f t="shared" si="21"/>
        <v>0</v>
      </c>
      <c r="BU9" s="64"/>
      <c r="BV9" s="36"/>
      <c r="BW9" s="11">
        <f t="shared" si="22"/>
        <v>0</v>
      </c>
      <c r="BX9" s="64"/>
      <c r="BY9" s="36"/>
      <c r="BZ9" s="11">
        <f t="shared" si="1"/>
        <v>0</v>
      </c>
      <c r="CA9" s="64"/>
      <c r="CB9" s="36"/>
      <c r="CC9" s="11">
        <f t="shared" si="23"/>
        <v>0</v>
      </c>
      <c r="CD9" s="64"/>
      <c r="CE9" s="36"/>
      <c r="CF9" s="11">
        <f t="shared" si="24"/>
        <v>0</v>
      </c>
      <c r="CG9" s="64"/>
      <c r="CH9" s="36"/>
      <c r="CI9" s="11">
        <f t="shared" si="2"/>
        <v>0</v>
      </c>
      <c r="CJ9" s="64"/>
      <c r="CK9" s="36"/>
      <c r="CL9" s="11">
        <f t="shared" si="25"/>
        <v>0</v>
      </c>
      <c r="CM9" s="64"/>
      <c r="CN9" s="36"/>
      <c r="CO9" s="11">
        <f t="shared" si="26"/>
        <v>0</v>
      </c>
      <c r="CP9" s="64"/>
      <c r="CQ9" s="36"/>
      <c r="CR9" s="11">
        <f t="shared" si="27"/>
        <v>0</v>
      </c>
      <c r="CS9" s="64"/>
      <c r="CT9" s="36"/>
      <c r="CU9" s="11">
        <f t="shared" si="28"/>
        <v>0</v>
      </c>
      <c r="CV9" s="64"/>
      <c r="CW9" s="13"/>
      <c r="CX9" s="260">
        <f t="shared" si="3"/>
        <v>0</v>
      </c>
      <c r="CY9" s="157"/>
      <c r="CZ9" s="157"/>
    </row>
    <row r="10" spans="1:104" ht="14.25" customHeight="1">
      <c r="A10" s="10">
        <v>5</v>
      </c>
      <c r="B10" s="36"/>
      <c r="C10" s="11">
        <f>D$3*D$4*216*24*60*B10/9000000</f>
        <v>0</v>
      </c>
      <c r="D10" s="63"/>
      <c r="E10" s="36"/>
      <c r="F10" s="11">
        <f>G$3*G$4*216*24*60*E10/9000000</f>
        <v>0</v>
      </c>
      <c r="G10" s="63"/>
      <c r="H10" s="36"/>
      <c r="I10" s="11">
        <f>J$3*J$4*216*24*60*H10/9000000</f>
        <v>0</v>
      </c>
      <c r="J10" s="63"/>
      <c r="K10" s="36"/>
      <c r="L10" s="11">
        <f>M$3*M$4*216*24*60*K10/9000000</f>
        <v>0</v>
      </c>
      <c r="M10" s="63"/>
      <c r="N10" s="36"/>
      <c r="O10" s="11">
        <f>P$3*P$4*216*24*60*N10/9000000</f>
        <v>0</v>
      </c>
      <c r="P10" s="63"/>
      <c r="Q10" s="36"/>
      <c r="R10" s="11">
        <f t="shared" si="4"/>
        <v>0</v>
      </c>
      <c r="S10" s="63"/>
      <c r="T10" s="36"/>
      <c r="U10" s="11">
        <f t="shared" si="5"/>
        <v>0</v>
      </c>
      <c r="V10" s="64"/>
      <c r="W10" s="36"/>
      <c r="X10" s="11">
        <f t="shared" si="6"/>
        <v>0</v>
      </c>
      <c r="Y10" s="63"/>
      <c r="Z10" s="36"/>
      <c r="AA10" s="11">
        <f t="shared" si="7"/>
        <v>0</v>
      </c>
      <c r="AB10" s="64"/>
      <c r="AC10" s="36"/>
      <c r="AD10" s="11">
        <f t="shared" si="8"/>
        <v>0</v>
      </c>
      <c r="AE10" s="64"/>
      <c r="AF10" s="36"/>
      <c r="AG10" s="11">
        <f t="shared" si="9"/>
        <v>0</v>
      </c>
      <c r="AH10" s="64"/>
      <c r="AI10" s="36"/>
      <c r="AJ10" s="11">
        <f t="shared" si="10"/>
        <v>0</v>
      </c>
      <c r="AK10" s="64"/>
      <c r="AL10" s="36"/>
      <c r="AM10" s="11">
        <f t="shared" si="11"/>
        <v>0</v>
      </c>
      <c r="AN10" s="64"/>
      <c r="AO10" s="36"/>
      <c r="AP10" s="11">
        <f t="shared" si="12"/>
        <v>0</v>
      </c>
      <c r="AQ10" s="64"/>
      <c r="AR10" s="36"/>
      <c r="AS10" s="11">
        <f t="shared" si="13"/>
        <v>0</v>
      </c>
      <c r="AT10" s="64"/>
      <c r="AU10" s="36"/>
      <c r="AV10" s="11">
        <f t="shared" si="14"/>
        <v>0</v>
      </c>
      <c r="AW10" s="64"/>
      <c r="AX10" s="36"/>
      <c r="AY10" s="11">
        <f t="shared" si="15"/>
        <v>0</v>
      </c>
      <c r="AZ10" s="64"/>
      <c r="BA10" s="36"/>
      <c r="BB10" s="11">
        <f t="shared" si="16"/>
        <v>0</v>
      </c>
      <c r="BC10" s="64"/>
      <c r="BD10" s="36"/>
      <c r="BE10" s="11">
        <f t="shared" si="17"/>
        <v>0</v>
      </c>
      <c r="BF10" s="64"/>
      <c r="BG10" s="36"/>
      <c r="BH10" s="11">
        <f t="shared" si="18"/>
        <v>0</v>
      </c>
      <c r="BI10" s="64"/>
      <c r="BJ10" s="36"/>
      <c r="BK10" s="11">
        <f t="shared" si="19"/>
        <v>0</v>
      </c>
      <c r="BL10" s="64"/>
      <c r="BM10" s="36"/>
      <c r="BN10" s="11">
        <f t="shared" si="0"/>
        <v>0</v>
      </c>
      <c r="BO10" s="64"/>
      <c r="BP10" s="36"/>
      <c r="BQ10" s="11">
        <f t="shared" si="20"/>
        <v>0</v>
      </c>
      <c r="BR10" s="64"/>
      <c r="BS10" s="36"/>
      <c r="BT10" s="11">
        <f t="shared" si="21"/>
        <v>0</v>
      </c>
      <c r="BU10" s="64"/>
      <c r="BV10" s="36"/>
      <c r="BW10" s="11">
        <f t="shared" si="22"/>
        <v>0</v>
      </c>
      <c r="BX10" s="64"/>
      <c r="BY10" s="36"/>
      <c r="BZ10" s="11">
        <f t="shared" si="1"/>
        <v>0</v>
      </c>
      <c r="CA10" s="64"/>
      <c r="CB10" s="36"/>
      <c r="CC10" s="11">
        <f t="shared" si="23"/>
        <v>0</v>
      </c>
      <c r="CD10" s="64"/>
      <c r="CE10" s="36"/>
      <c r="CF10" s="11">
        <f t="shared" si="24"/>
        <v>0</v>
      </c>
      <c r="CG10" s="64"/>
      <c r="CH10" s="36"/>
      <c r="CI10" s="11">
        <f t="shared" si="2"/>
        <v>0</v>
      </c>
      <c r="CJ10" s="64"/>
      <c r="CK10" s="36"/>
      <c r="CL10" s="11">
        <f t="shared" si="25"/>
        <v>0</v>
      </c>
      <c r="CM10" s="64"/>
      <c r="CN10" s="36"/>
      <c r="CO10" s="11">
        <f t="shared" si="26"/>
        <v>0</v>
      </c>
      <c r="CP10" s="64"/>
      <c r="CQ10" s="36"/>
      <c r="CR10" s="11">
        <f t="shared" si="27"/>
        <v>0</v>
      </c>
      <c r="CS10" s="64"/>
      <c r="CT10" s="36"/>
      <c r="CU10" s="11">
        <f t="shared" si="28"/>
        <v>0</v>
      </c>
      <c r="CV10" s="64"/>
      <c r="CW10" s="13"/>
      <c r="CX10" s="260">
        <f t="shared" si="3"/>
        <v>0</v>
      </c>
      <c r="CY10" s="157"/>
      <c r="CZ10" s="157"/>
    </row>
    <row r="11" spans="1:104" ht="14.25" customHeight="1">
      <c r="A11" s="10">
        <v>6</v>
      </c>
      <c r="B11" s="36"/>
      <c r="C11" s="11">
        <f t="shared" ref="C11:C36" si="29">D$3*D$4*216*24*60*B11/9000000</f>
        <v>0</v>
      </c>
      <c r="D11" s="63"/>
      <c r="E11" s="36"/>
      <c r="F11" s="11">
        <f t="shared" ref="F11:F36" si="30">G$3*G$4*216*24*60*E11/9000000</f>
        <v>0</v>
      </c>
      <c r="G11" s="63"/>
      <c r="H11" s="36"/>
      <c r="I11" s="11">
        <f t="shared" ref="I11:I36" si="31">J$3*J$4*216*24*60*H11/9000000</f>
        <v>0</v>
      </c>
      <c r="J11" s="63"/>
      <c r="K11" s="36"/>
      <c r="L11" s="11">
        <f t="shared" ref="L11:L36" si="32">M$3*M$4*216*24*60*K11/9000000</f>
        <v>0</v>
      </c>
      <c r="M11" s="63"/>
      <c r="N11" s="36"/>
      <c r="O11" s="11">
        <f t="shared" ref="O11:O36" si="33">P$3*P$4*216*24*60*N11/9000000</f>
        <v>0</v>
      </c>
      <c r="P11" s="63"/>
      <c r="Q11" s="36"/>
      <c r="R11" s="11">
        <f t="shared" si="4"/>
        <v>0</v>
      </c>
      <c r="S11" s="63"/>
      <c r="T11" s="36"/>
      <c r="U11" s="11">
        <f t="shared" si="5"/>
        <v>0</v>
      </c>
      <c r="V11" s="64"/>
      <c r="W11" s="36"/>
      <c r="X11" s="11">
        <f t="shared" si="6"/>
        <v>0</v>
      </c>
      <c r="Y11" s="63"/>
      <c r="Z11" s="36"/>
      <c r="AA11" s="11">
        <f t="shared" si="7"/>
        <v>0</v>
      </c>
      <c r="AB11" s="64"/>
      <c r="AC11" s="36"/>
      <c r="AD11" s="11">
        <f t="shared" si="8"/>
        <v>0</v>
      </c>
      <c r="AE11" s="64"/>
      <c r="AF11" s="36"/>
      <c r="AG11" s="11">
        <f t="shared" si="9"/>
        <v>0</v>
      </c>
      <c r="AH11" s="64"/>
      <c r="AI11" s="36"/>
      <c r="AJ11" s="11">
        <f t="shared" si="10"/>
        <v>0</v>
      </c>
      <c r="AK11" s="64"/>
      <c r="AL11" s="36"/>
      <c r="AM11" s="11">
        <f t="shared" si="11"/>
        <v>0</v>
      </c>
      <c r="AN11" s="64"/>
      <c r="AO11" s="36"/>
      <c r="AP11" s="11">
        <f t="shared" si="12"/>
        <v>0</v>
      </c>
      <c r="AQ11" s="64"/>
      <c r="AR11" s="36"/>
      <c r="AS11" s="11">
        <f t="shared" si="13"/>
        <v>0</v>
      </c>
      <c r="AT11" s="64"/>
      <c r="AU11" s="36"/>
      <c r="AV11" s="11">
        <f t="shared" si="14"/>
        <v>0</v>
      </c>
      <c r="AW11" s="64"/>
      <c r="AX11" s="36"/>
      <c r="AY11" s="11">
        <f t="shared" si="15"/>
        <v>0</v>
      </c>
      <c r="AZ11" s="64"/>
      <c r="BA11" s="36"/>
      <c r="BB11" s="11">
        <f t="shared" si="16"/>
        <v>0</v>
      </c>
      <c r="BC11" s="64"/>
      <c r="BD11" s="36"/>
      <c r="BE11" s="11">
        <f t="shared" si="17"/>
        <v>0</v>
      </c>
      <c r="BF11" s="64"/>
      <c r="BG11" s="36"/>
      <c r="BH11" s="11">
        <f t="shared" si="18"/>
        <v>0</v>
      </c>
      <c r="BI11" s="64"/>
      <c r="BJ11" s="36"/>
      <c r="BK11" s="11">
        <f t="shared" si="19"/>
        <v>0</v>
      </c>
      <c r="BL11" s="64"/>
      <c r="BM11" s="36"/>
      <c r="BN11" s="11">
        <f t="shared" si="0"/>
        <v>0</v>
      </c>
      <c r="BO11" s="64"/>
      <c r="BP11" s="36"/>
      <c r="BQ11" s="11">
        <f t="shared" si="20"/>
        <v>0</v>
      </c>
      <c r="BR11" s="64"/>
      <c r="BS11" s="36"/>
      <c r="BT11" s="11">
        <f t="shared" si="21"/>
        <v>0</v>
      </c>
      <c r="BU11" s="64"/>
      <c r="BV11" s="36"/>
      <c r="BW11" s="11">
        <f t="shared" si="22"/>
        <v>0</v>
      </c>
      <c r="BX11" s="64"/>
      <c r="BY11" s="36"/>
      <c r="BZ11" s="11">
        <f t="shared" si="1"/>
        <v>0</v>
      </c>
      <c r="CA11" s="64"/>
      <c r="CB11" s="36"/>
      <c r="CC11" s="11">
        <f t="shared" si="23"/>
        <v>0</v>
      </c>
      <c r="CD11" s="64"/>
      <c r="CE11" s="36"/>
      <c r="CF11" s="11">
        <f t="shared" si="24"/>
        <v>0</v>
      </c>
      <c r="CG11" s="64"/>
      <c r="CH11" s="36"/>
      <c r="CI11" s="11">
        <f t="shared" si="2"/>
        <v>0</v>
      </c>
      <c r="CJ11" s="64"/>
      <c r="CK11" s="36"/>
      <c r="CL11" s="11">
        <f t="shared" si="25"/>
        <v>0</v>
      </c>
      <c r="CM11" s="64"/>
      <c r="CN11" s="36"/>
      <c r="CO11" s="11">
        <f t="shared" si="26"/>
        <v>0</v>
      </c>
      <c r="CP11" s="64"/>
      <c r="CQ11" s="36"/>
      <c r="CR11" s="11">
        <f t="shared" si="27"/>
        <v>0</v>
      </c>
      <c r="CS11" s="64"/>
      <c r="CT11" s="36"/>
      <c r="CU11" s="11">
        <f t="shared" si="28"/>
        <v>0</v>
      </c>
      <c r="CV11" s="64"/>
      <c r="CW11" s="13"/>
      <c r="CX11" s="260">
        <f t="shared" si="3"/>
        <v>0</v>
      </c>
      <c r="CY11" s="157"/>
      <c r="CZ11" s="157"/>
    </row>
    <row r="12" spans="1:104" ht="14.25" customHeight="1">
      <c r="A12" s="10">
        <v>7</v>
      </c>
      <c r="B12" s="36"/>
      <c r="C12" s="11">
        <f t="shared" si="29"/>
        <v>0</v>
      </c>
      <c r="D12" s="63"/>
      <c r="E12" s="36"/>
      <c r="F12" s="11">
        <f t="shared" si="30"/>
        <v>0</v>
      </c>
      <c r="G12" s="63"/>
      <c r="H12" s="36"/>
      <c r="I12" s="11">
        <f t="shared" si="31"/>
        <v>0</v>
      </c>
      <c r="J12" s="63"/>
      <c r="K12" s="36"/>
      <c r="L12" s="11">
        <f t="shared" si="32"/>
        <v>0</v>
      </c>
      <c r="M12" s="63"/>
      <c r="N12" s="36"/>
      <c r="O12" s="11">
        <f t="shared" si="33"/>
        <v>0</v>
      </c>
      <c r="P12" s="63"/>
      <c r="Q12" s="36"/>
      <c r="R12" s="11">
        <f t="shared" si="4"/>
        <v>0</v>
      </c>
      <c r="S12" s="63"/>
      <c r="T12" s="36"/>
      <c r="U12" s="11">
        <f t="shared" si="5"/>
        <v>0</v>
      </c>
      <c r="V12" s="64"/>
      <c r="W12" s="36"/>
      <c r="X12" s="11">
        <f t="shared" si="6"/>
        <v>0</v>
      </c>
      <c r="Y12" s="63"/>
      <c r="Z12" s="36"/>
      <c r="AA12" s="11">
        <f t="shared" si="7"/>
        <v>0</v>
      </c>
      <c r="AB12" s="64"/>
      <c r="AC12" s="36"/>
      <c r="AD12" s="11">
        <f t="shared" si="8"/>
        <v>0</v>
      </c>
      <c r="AE12" s="64"/>
      <c r="AF12" s="36"/>
      <c r="AG12" s="11">
        <f t="shared" si="9"/>
        <v>0</v>
      </c>
      <c r="AH12" s="64"/>
      <c r="AI12" s="36"/>
      <c r="AJ12" s="11">
        <f t="shared" si="10"/>
        <v>0</v>
      </c>
      <c r="AK12" s="64"/>
      <c r="AL12" s="36"/>
      <c r="AM12" s="11">
        <f t="shared" si="11"/>
        <v>0</v>
      </c>
      <c r="AN12" s="64"/>
      <c r="AO12" s="36"/>
      <c r="AP12" s="11">
        <f t="shared" si="12"/>
        <v>0</v>
      </c>
      <c r="AQ12" s="64"/>
      <c r="AR12" s="36"/>
      <c r="AS12" s="11">
        <f t="shared" si="13"/>
        <v>0</v>
      </c>
      <c r="AT12" s="64"/>
      <c r="AU12" s="36"/>
      <c r="AV12" s="11">
        <f t="shared" si="14"/>
        <v>0</v>
      </c>
      <c r="AW12" s="64"/>
      <c r="AX12" s="36"/>
      <c r="AY12" s="11">
        <f t="shared" si="15"/>
        <v>0</v>
      </c>
      <c r="AZ12" s="64"/>
      <c r="BA12" s="36"/>
      <c r="BB12" s="11">
        <f t="shared" si="16"/>
        <v>0</v>
      </c>
      <c r="BC12" s="64"/>
      <c r="BD12" s="36"/>
      <c r="BE12" s="11">
        <f t="shared" si="17"/>
        <v>0</v>
      </c>
      <c r="BF12" s="64"/>
      <c r="BG12" s="36"/>
      <c r="BH12" s="11">
        <f t="shared" si="18"/>
        <v>0</v>
      </c>
      <c r="BI12" s="64"/>
      <c r="BJ12" s="36"/>
      <c r="BK12" s="11">
        <f t="shared" si="19"/>
        <v>0</v>
      </c>
      <c r="BL12" s="64"/>
      <c r="BM12" s="36"/>
      <c r="BN12" s="11">
        <f t="shared" si="0"/>
        <v>0</v>
      </c>
      <c r="BO12" s="64"/>
      <c r="BP12" s="36"/>
      <c r="BQ12" s="11">
        <f t="shared" si="20"/>
        <v>0</v>
      </c>
      <c r="BR12" s="64"/>
      <c r="BS12" s="36"/>
      <c r="BT12" s="11">
        <f t="shared" si="21"/>
        <v>0</v>
      </c>
      <c r="BU12" s="64"/>
      <c r="BV12" s="36"/>
      <c r="BW12" s="11">
        <f t="shared" si="22"/>
        <v>0</v>
      </c>
      <c r="BX12" s="64"/>
      <c r="BY12" s="36"/>
      <c r="BZ12" s="11">
        <f t="shared" si="1"/>
        <v>0</v>
      </c>
      <c r="CA12" s="64"/>
      <c r="CB12" s="36"/>
      <c r="CC12" s="11">
        <f t="shared" si="23"/>
        <v>0</v>
      </c>
      <c r="CD12" s="64"/>
      <c r="CE12" s="36"/>
      <c r="CF12" s="11">
        <f t="shared" si="24"/>
        <v>0</v>
      </c>
      <c r="CG12" s="64"/>
      <c r="CH12" s="36"/>
      <c r="CI12" s="11">
        <f t="shared" si="2"/>
        <v>0</v>
      </c>
      <c r="CJ12" s="64"/>
      <c r="CK12" s="36"/>
      <c r="CL12" s="11">
        <f t="shared" si="25"/>
        <v>0</v>
      </c>
      <c r="CM12" s="64"/>
      <c r="CN12" s="36"/>
      <c r="CO12" s="11">
        <f t="shared" si="26"/>
        <v>0</v>
      </c>
      <c r="CP12" s="64"/>
      <c r="CQ12" s="36"/>
      <c r="CR12" s="11">
        <f t="shared" si="27"/>
        <v>0</v>
      </c>
      <c r="CS12" s="64"/>
      <c r="CT12" s="36"/>
      <c r="CU12" s="11">
        <f t="shared" si="28"/>
        <v>0</v>
      </c>
      <c r="CV12" s="64"/>
      <c r="CW12" s="13"/>
      <c r="CX12" s="260">
        <f t="shared" si="3"/>
        <v>0</v>
      </c>
      <c r="CY12" s="157"/>
      <c r="CZ12" s="157"/>
    </row>
    <row r="13" spans="1:104" ht="14.25" customHeight="1">
      <c r="A13" s="10">
        <v>8</v>
      </c>
      <c r="B13" s="36"/>
      <c r="C13" s="11">
        <f t="shared" si="29"/>
        <v>0</v>
      </c>
      <c r="D13" s="63"/>
      <c r="E13" s="36"/>
      <c r="F13" s="11">
        <f t="shared" si="30"/>
        <v>0</v>
      </c>
      <c r="G13" s="63"/>
      <c r="H13" s="36"/>
      <c r="I13" s="11">
        <f t="shared" si="31"/>
        <v>0</v>
      </c>
      <c r="J13" s="63"/>
      <c r="K13" s="36"/>
      <c r="L13" s="11">
        <f t="shared" si="32"/>
        <v>0</v>
      </c>
      <c r="M13" s="63"/>
      <c r="N13" s="36"/>
      <c r="O13" s="11">
        <f t="shared" si="33"/>
        <v>0</v>
      </c>
      <c r="P13" s="63"/>
      <c r="Q13" s="36"/>
      <c r="R13" s="11">
        <f t="shared" si="4"/>
        <v>0</v>
      </c>
      <c r="S13" s="63"/>
      <c r="T13" s="36"/>
      <c r="U13" s="11">
        <f t="shared" si="5"/>
        <v>0</v>
      </c>
      <c r="V13" s="64"/>
      <c r="W13" s="36"/>
      <c r="X13" s="11">
        <f t="shared" si="6"/>
        <v>0</v>
      </c>
      <c r="Y13" s="63"/>
      <c r="Z13" s="36"/>
      <c r="AA13" s="11">
        <f t="shared" si="7"/>
        <v>0</v>
      </c>
      <c r="AB13" s="64"/>
      <c r="AC13" s="36"/>
      <c r="AD13" s="11">
        <f t="shared" si="8"/>
        <v>0</v>
      </c>
      <c r="AE13" s="64"/>
      <c r="AF13" s="36"/>
      <c r="AG13" s="11">
        <f t="shared" si="9"/>
        <v>0</v>
      </c>
      <c r="AH13" s="64"/>
      <c r="AI13" s="36"/>
      <c r="AJ13" s="11">
        <f t="shared" si="10"/>
        <v>0</v>
      </c>
      <c r="AK13" s="64"/>
      <c r="AL13" s="36"/>
      <c r="AM13" s="11">
        <f t="shared" si="11"/>
        <v>0</v>
      </c>
      <c r="AN13" s="64"/>
      <c r="AO13" s="36"/>
      <c r="AP13" s="11">
        <f t="shared" si="12"/>
        <v>0</v>
      </c>
      <c r="AQ13" s="64"/>
      <c r="AR13" s="36"/>
      <c r="AS13" s="11">
        <f t="shared" si="13"/>
        <v>0</v>
      </c>
      <c r="AT13" s="64"/>
      <c r="AU13" s="36"/>
      <c r="AV13" s="11">
        <f t="shared" si="14"/>
        <v>0</v>
      </c>
      <c r="AW13" s="64"/>
      <c r="AX13" s="36"/>
      <c r="AY13" s="11">
        <f t="shared" si="15"/>
        <v>0</v>
      </c>
      <c r="AZ13" s="64"/>
      <c r="BA13" s="36"/>
      <c r="BB13" s="11">
        <f t="shared" si="16"/>
        <v>0</v>
      </c>
      <c r="BC13" s="64"/>
      <c r="BD13" s="36"/>
      <c r="BE13" s="11">
        <f t="shared" si="17"/>
        <v>0</v>
      </c>
      <c r="BF13" s="64"/>
      <c r="BG13" s="36"/>
      <c r="BH13" s="11">
        <f t="shared" si="18"/>
        <v>0</v>
      </c>
      <c r="BI13" s="64"/>
      <c r="BJ13" s="36"/>
      <c r="BK13" s="11">
        <f t="shared" si="19"/>
        <v>0</v>
      </c>
      <c r="BL13" s="64"/>
      <c r="BM13" s="36"/>
      <c r="BN13" s="11">
        <f t="shared" si="0"/>
        <v>0</v>
      </c>
      <c r="BO13" s="64"/>
      <c r="BP13" s="36"/>
      <c r="BQ13" s="11">
        <f t="shared" si="20"/>
        <v>0</v>
      </c>
      <c r="BR13" s="64"/>
      <c r="BS13" s="36"/>
      <c r="BT13" s="11">
        <f t="shared" si="21"/>
        <v>0</v>
      </c>
      <c r="BU13" s="64"/>
      <c r="BV13" s="36"/>
      <c r="BW13" s="11">
        <f t="shared" si="22"/>
        <v>0</v>
      </c>
      <c r="BX13" s="64"/>
      <c r="BY13" s="36"/>
      <c r="BZ13" s="11">
        <f t="shared" si="1"/>
        <v>0</v>
      </c>
      <c r="CA13" s="64"/>
      <c r="CB13" s="36"/>
      <c r="CC13" s="11">
        <f t="shared" si="23"/>
        <v>0</v>
      </c>
      <c r="CD13" s="64"/>
      <c r="CE13" s="36"/>
      <c r="CF13" s="11">
        <f t="shared" si="24"/>
        <v>0</v>
      </c>
      <c r="CG13" s="64"/>
      <c r="CH13" s="36"/>
      <c r="CI13" s="11">
        <f t="shared" si="2"/>
        <v>0</v>
      </c>
      <c r="CJ13" s="64"/>
      <c r="CK13" s="36"/>
      <c r="CL13" s="11">
        <f t="shared" si="25"/>
        <v>0</v>
      </c>
      <c r="CM13" s="64"/>
      <c r="CN13" s="36"/>
      <c r="CO13" s="11">
        <f t="shared" si="26"/>
        <v>0</v>
      </c>
      <c r="CP13" s="64"/>
      <c r="CQ13" s="36"/>
      <c r="CR13" s="11">
        <f t="shared" si="27"/>
        <v>0</v>
      </c>
      <c r="CS13" s="64"/>
      <c r="CT13" s="36"/>
      <c r="CU13" s="11">
        <f t="shared" si="28"/>
        <v>0</v>
      </c>
      <c r="CV13" s="64"/>
      <c r="CW13" s="13"/>
      <c r="CX13" s="260">
        <f t="shared" si="3"/>
        <v>0</v>
      </c>
      <c r="CY13" s="157"/>
      <c r="CZ13" s="157"/>
    </row>
    <row r="14" spans="1:104" ht="14.25" customHeight="1">
      <c r="A14" s="10">
        <v>9</v>
      </c>
      <c r="B14" s="36"/>
      <c r="C14" s="11">
        <f t="shared" si="29"/>
        <v>0</v>
      </c>
      <c r="D14" s="63"/>
      <c r="E14" s="36"/>
      <c r="F14" s="11">
        <f t="shared" si="30"/>
        <v>0</v>
      </c>
      <c r="G14" s="63"/>
      <c r="H14" s="36"/>
      <c r="I14" s="11">
        <f t="shared" si="31"/>
        <v>0</v>
      </c>
      <c r="J14" s="63"/>
      <c r="K14" s="36"/>
      <c r="L14" s="11">
        <f t="shared" si="32"/>
        <v>0</v>
      </c>
      <c r="M14" s="63"/>
      <c r="N14" s="36"/>
      <c r="O14" s="11">
        <f t="shared" si="33"/>
        <v>0</v>
      </c>
      <c r="P14" s="63"/>
      <c r="Q14" s="36"/>
      <c r="R14" s="11">
        <f t="shared" si="4"/>
        <v>0</v>
      </c>
      <c r="S14" s="63"/>
      <c r="T14" s="36"/>
      <c r="U14" s="11">
        <f t="shared" si="5"/>
        <v>0</v>
      </c>
      <c r="V14" s="64"/>
      <c r="W14" s="36"/>
      <c r="X14" s="11">
        <f t="shared" si="6"/>
        <v>0</v>
      </c>
      <c r="Y14" s="63"/>
      <c r="Z14" s="36"/>
      <c r="AA14" s="11">
        <f t="shared" si="7"/>
        <v>0</v>
      </c>
      <c r="AB14" s="64"/>
      <c r="AC14" s="36"/>
      <c r="AD14" s="11">
        <f t="shared" si="8"/>
        <v>0</v>
      </c>
      <c r="AE14" s="64"/>
      <c r="AF14" s="36"/>
      <c r="AG14" s="11">
        <f t="shared" si="9"/>
        <v>0</v>
      </c>
      <c r="AH14" s="64"/>
      <c r="AI14" s="36"/>
      <c r="AJ14" s="11">
        <f t="shared" si="10"/>
        <v>0</v>
      </c>
      <c r="AK14" s="64"/>
      <c r="AL14" s="36"/>
      <c r="AM14" s="11">
        <f t="shared" si="11"/>
        <v>0</v>
      </c>
      <c r="AN14" s="64"/>
      <c r="AO14" s="36"/>
      <c r="AP14" s="11">
        <f t="shared" si="12"/>
        <v>0</v>
      </c>
      <c r="AQ14" s="64"/>
      <c r="AR14" s="36"/>
      <c r="AS14" s="11">
        <f t="shared" si="13"/>
        <v>0</v>
      </c>
      <c r="AT14" s="64"/>
      <c r="AU14" s="36"/>
      <c r="AV14" s="11">
        <f t="shared" si="14"/>
        <v>0</v>
      </c>
      <c r="AW14" s="64"/>
      <c r="AX14" s="36"/>
      <c r="AY14" s="11">
        <f t="shared" si="15"/>
        <v>0</v>
      </c>
      <c r="AZ14" s="64"/>
      <c r="BA14" s="36"/>
      <c r="BB14" s="11">
        <f t="shared" si="16"/>
        <v>0</v>
      </c>
      <c r="BC14" s="64"/>
      <c r="BD14" s="36"/>
      <c r="BE14" s="11">
        <f t="shared" si="17"/>
        <v>0</v>
      </c>
      <c r="BF14" s="64"/>
      <c r="BG14" s="36"/>
      <c r="BH14" s="11">
        <f t="shared" si="18"/>
        <v>0</v>
      </c>
      <c r="BI14" s="64"/>
      <c r="BJ14" s="36"/>
      <c r="BK14" s="11">
        <f t="shared" si="19"/>
        <v>0</v>
      </c>
      <c r="BL14" s="64"/>
      <c r="BM14" s="36"/>
      <c r="BN14" s="11">
        <f t="shared" si="0"/>
        <v>0</v>
      </c>
      <c r="BO14" s="64"/>
      <c r="BP14" s="36"/>
      <c r="BQ14" s="11">
        <f t="shared" si="20"/>
        <v>0</v>
      </c>
      <c r="BR14" s="64"/>
      <c r="BS14" s="36"/>
      <c r="BT14" s="11">
        <f t="shared" si="21"/>
        <v>0</v>
      </c>
      <c r="BU14" s="64"/>
      <c r="BV14" s="36"/>
      <c r="BW14" s="11">
        <f t="shared" si="22"/>
        <v>0</v>
      </c>
      <c r="BX14" s="64"/>
      <c r="BY14" s="36"/>
      <c r="BZ14" s="11">
        <f t="shared" si="1"/>
        <v>0</v>
      </c>
      <c r="CA14" s="64"/>
      <c r="CB14" s="36"/>
      <c r="CC14" s="11">
        <f t="shared" si="23"/>
        <v>0</v>
      </c>
      <c r="CD14" s="64"/>
      <c r="CE14" s="36"/>
      <c r="CF14" s="11">
        <f t="shared" si="24"/>
        <v>0</v>
      </c>
      <c r="CG14" s="64"/>
      <c r="CH14" s="36"/>
      <c r="CI14" s="11">
        <f t="shared" si="2"/>
        <v>0</v>
      </c>
      <c r="CJ14" s="64"/>
      <c r="CK14" s="36"/>
      <c r="CL14" s="11">
        <f t="shared" si="25"/>
        <v>0</v>
      </c>
      <c r="CM14" s="64"/>
      <c r="CN14" s="36"/>
      <c r="CO14" s="11">
        <f t="shared" si="26"/>
        <v>0</v>
      </c>
      <c r="CP14" s="64"/>
      <c r="CQ14" s="36"/>
      <c r="CR14" s="11">
        <f t="shared" si="27"/>
        <v>0</v>
      </c>
      <c r="CS14" s="64"/>
      <c r="CT14" s="36"/>
      <c r="CU14" s="11">
        <f t="shared" si="28"/>
        <v>0</v>
      </c>
      <c r="CV14" s="64"/>
      <c r="CW14" s="13"/>
      <c r="CX14" s="260">
        <f t="shared" si="3"/>
        <v>0</v>
      </c>
      <c r="CY14" s="157"/>
      <c r="CZ14" s="157"/>
    </row>
    <row r="15" spans="1:104" ht="14.25" customHeight="1">
      <c r="A15" s="10">
        <v>10</v>
      </c>
      <c r="B15" s="36"/>
      <c r="C15" s="11">
        <f t="shared" si="29"/>
        <v>0</v>
      </c>
      <c r="D15" s="63"/>
      <c r="E15" s="36"/>
      <c r="F15" s="11">
        <f t="shared" si="30"/>
        <v>0</v>
      </c>
      <c r="G15" s="63"/>
      <c r="H15" s="36"/>
      <c r="I15" s="11">
        <f t="shared" si="31"/>
        <v>0</v>
      </c>
      <c r="J15" s="63"/>
      <c r="K15" s="36"/>
      <c r="L15" s="11">
        <f t="shared" si="32"/>
        <v>0</v>
      </c>
      <c r="M15" s="63"/>
      <c r="N15" s="36"/>
      <c r="O15" s="11">
        <f t="shared" si="33"/>
        <v>0</v>
      </c>
      <c r="P15" s="63"/>
      <c r="Q15" s="36"/>
      <c r="R15" s="11">
        <f t="shared" si="4"/>
        <v>0</v>
      </c>
      <c r="S15" s="63"/>
      <c r="T15" s="36"/>
      <c r="U15" s="11">
        <f t="shared" si="5"/>
        <v>0</v>
      </c>
      <c r="V15" s="64"/>
      <c r="W15" s="36"/>
      <c r="X15" s="11">
        <f t="shared" si="6"/>
        <v>0</v>
      </c>
      <c r="Y15" s="63"/>
      <c r="Z15" s="36"/>
      <c r="AA15" s="11">
        <f t="shared" si="7"/>
        <v>0</v>
      </c>
      <c r="AB15" s="64"/>
      <c r="AC15" s="36"/>
      <c r="AD15" s="11">
        <f t="shared" si="8"/>
        <v>0</v>
      </c>
      <c r="AE15" s="64"/>
      <c r="AF15" s="36"/>
      <c r="AG15" s="11">
        <f t="shared" si="9"/>
        <v>0</v>
      </c>
      <c r="AH15" s="64"/>
      <c r="AI15" s="36"/>
      <c r="AJ15" s="11">
        <f t="shared" si="10"/>
        <v>0</v>
      </c>
      <c r="AK15" s="64"/>
      <c r="AL15" s="36"/>
      <c r="AM15" s="11">
        <f t="shared" si="11"/>
        <v>0</v>
      </c>
      <c r="AN15" s="64"/>
      <c r="AO15" s="36"/>
      <c r="AP15" s="11">
        <f t="shared" si="12"/>
        <v>0</v>
      </c>
      <c r="AQ15" s="64"/>
      <c r="AR15" s="36"/>
      <c r="AS15" s="11">
        <f t="shared" si="13"/>
        <v>0</v>
      </c>
      <c r="AT15" s="64"/>
      <c r="AU15" s="36"/>
      <c r="AV15" s="11">
        <f t="shared" si="14"/>
        <v>0</v>
      </c>
      <c r="AW15" s="64"/>
      <c r="AX15" s="36"/>
      <c r="AY15" s="11">
        <f t="shared" si="15"/>
        <v>0</v>
      </c>
      <c r="AZ15" s="64"/>
      <c r="BA15" s="36"/>
      <c r="BB15" s="11">
        <f t="shared" si="16"/>
        <v>0</v>
      </c>
      <c r="BC15" s="64"/>
      <c r="BD15" s="36"/>
      <c r="BE15" s="11">
        <f t="shared" si="17"/>
        <v>0</v>
      </c>
      <c r="BF15" s="64"/>
      <c r="BG15" s="36"/>
      <c r="BH15" s="11">
        <f t="shared" si="18"/>
        <v>0</v>
      </c>
      <c r="BI15" s="64"/>
      <c r="BJ15" s="36"/>
      <c r="BK15" s="11">
        <f t="shared" si="19"/>
        <v>0</v>
      </c>
      <c r="BL15" s="64"/>
      <c r="BM15" s="36"/>
      <c r="BN15" s="11">
        <f t="shared" si="0"/>
        <v>0</v>
      </c>
      <c r="BO15" s="64"/>
      <c r="BP15" s="36"/>
      <c r="BQ15" s="11">
        <f t="shared" si="20"/>
        <v>0</v>
      </c>
      <c r="BR15" s="64"/>
      <c r="BS15" s="36"/>
      <c r="BT15" s="11">
        <f t="shared" si="21"/>
        <v>0</v>
      </c>
      <c r="BU15" s="64"/>
      <c r="BV15" s="36"/>
      <c r="BW15" s="11">
        <f t="shared" si="22"/>
        <v>0</v>
      </c>
      <c r="BX15" s="64"/>
      <c r="BY15" s="36"/>
      <c r="BZ15" s="11">
        <f t="shared" si="1"/>
        <v>0</v>
      </c>
      <c r="CA15" s="64"/>
      <c r="CB15" s="36"/>
      <c r="CC15" s="11">
        <f t="shared" si="23"/>
        <v>0</v>
      </c>
      <c r="CD15" s="64"/>
      <c r="CE15" s="36"/>
      <c r="CF15" s="11">
        <f t="shared" si="24"/>
        <v>0</v>
      </c>
      <c r="CG15" s="64"/>
      <c r="CH15" s="36"/>
      <c r="CI15" s="11">
        <f t="shared" si="2"/>
        <v>0</v>
      </c>
      <c r="CJ15" s="64"/>
      <c r="CK15" s="36"/>
      <c r="CL15" s="11">
        <f t="shared" si="25"/>
        <v>0</v>
      </c>
      <c r="CM15" s="64"/>
      <c r="CN15" s="36"/>
      <c r="CO15" s="11">
        <f t="shared" si="26"/>
        <v>0</v>
      </c>
      <c r="CP15" s="64"/>
      <c r="CQ15" s="36"/>
      <c r="CR15" s="11">
        <f t="shared" si="27"/>
        <v>0</v>
      </c>
      <c r="CS15" s="64"/>
      <c r="CT15" s="36"/>
      <c r="CU15" s="11">
        <f t="shared" si="28"/>
        <v>0</v>
      </c>
      <c r="CV15" s="64"/>
      <c r="CW15" s="13"/>
      <c r="CX15" s="260">
        <f t="shared" si="3"/>
        <v>0</v>
      </c>
      <c r="CY15" s="157"/>
      <c r="CZ15" s="157"/>
    </row>
    <row r="16" spans="1:104" ht="14.25" customHeight="1">
      <c r="A16" s="10">
        <v>11</v>
      </c>
      <c r="B16" s="36"/>
      <c r="C16" s="11">
        <f t="shared" si="29"/>
        <v>0</v>
      </c>
      <c r="D16" s="63"/>
      <c r="E16" s="36"/>
      <c r="F16" s="11">
        <f t="shared" si="30"/>
        <v>0</v>
      </c>
      <c r="G16" s="63"/>
      <c r="H16" s="36"/>
      <c r="I16" s="11">
        <f t="shared" si="31"/>
        <v>0</v>
      </c>
      <c r="J16" s="63"/>
      <c r="K16" s="36"/>
      <c r="L16" s="11">
        <f t="shared" si="32"/>
        <v>0</v>
      </c>
      <c r="M16" s="63"/>
      <c r="N16" s="36"/>
      <c r="O16" s="11">
        <f t="shared" si="33"/>
        <v>0</v>
      </c>
      <c r="P16" s="63"/>
      <c r="Q16" s="36"/>
      <c r="R16" s="11">
        <f t="shared" si="4"/>
        <v>0</v>
      </c>
      <c r="S16" s="63"/>
      <c r="T16" s="36"/>
      <c r="U16" s="11">
        <f t="shared" si="5"/>
        <v>0</v>
      </c>
      <c r="V16" s="64"/>
      <c r="W16" s="36"/>
      <c r="X16" s="11">
        <f t="shared" si="6"/>
        <v>0</v>
      </c>
      <c r="Y16" s="63"/>
      <c r="Z16" s="36"/>
      <c r="AA16" s="11">
        <f t="shared" si="7"/>
        <v>0</v>
      </c>
      <c r="AB16" s="64"/>
      <c r="AC16" s="36"/>
      <c r="AD16" s="11">
        <f t="shared" si="8"/>
        <v>0</v>
      </c>
      <c r="AE16" s="64"/>
      <c r="AF16" s="36"/>
      <c r="AG16" s="11">
        <f t="shared" si="9"/>
        <v>0</v>
      </c>
      <c r="AH16" s="64"/>
      <c r="AI16" s="36"/>
      <c r="AJ16" s="11">
        <f t="shared" si="10"/>
        <v>0</v>
      </c>
      <c r="AK16" s="64"/>
      <c r="AL16" s="36"/>
      <c r="AM16" s="11">
        <f t="shared" si="11"/>
        <v>0</v>
      </c>
      <c r="AN16" s="64"/>
      <c r="AO16" s="36"/>
      <c r="AP16" s="11">
        <f t="shared" si="12"/>
        <v>0</v>
      </c>
      <c r="AQ16" s="64"/>
      <c r="AR16" s="36"/>
      <c r="AS16" s="11">
        <f t="shared" si="13"/>
        <v>0</v>
      </c>
      <c r="AT16" s="64"/>
      <c r="AU16" s="36"/>
      <c r="AV16" s="11">
        <f t="shared" si="14"/>
        <v>0</v>
      </c>
      <c r="AW16" s="64"/>
      <c r="AX16" s="36"/>
      <c r="AY16" s="11">
        <f t="shared" si="15"/>
        <v>0</v>
      </c>
      <c r="AZ16" s="64"/>
      <c r="BA16" s="36"/>
      <c r="BB16" s="11">
        <f t="shared" si="16"/>
        <v>0</v>
      </c>
      <c r="BC16" s="64"/>
      <c r="BD16" s="36"/>
      <c r="BE16" s="11">
        <f t="shared" si="17"/>
        <v>0</v>
      </c>
      <c r="BF16" s="64"/>
      <c r="BG16" s="36"/>
      <c r="BH16" s="11">
        <f t="shared" si="18"/>
        <v>0</v>
      </c>
      <c r="BI16" s="64"/>
      <c r="BJ16" s="36"/>
      <c r="BK16" s="11">
        <f t="shared" si="19"/>
        <v>0</v>
      </c>
      <c r="BL16" s="64"/>
      <c r="BM16" s="36"/>
      <c r="BN16" s="11">
        <f t="shared" si="0"/>
        <v>0</v>
      </c>
      <c r="BO16" s="64"/>
      <c r="BP16" s="36"/>
      <c r="BQ16" s="11">
        <f t="shared" si="20"/>
        <v>0</v>
      </c>
      <c r="BR16" s="64"/>
      <c r="BS16" s="36"/>
      <c r="BT16" s="11">
        <f t="shared" si="21"/>
        <v>0</v>
      </c>
      <c r="BU16" s="64"/>
      <c r="BV16" s="36"/>
      <c r="BW16" s="11">
        <f t="shared" si="22"/>
        <v>0</v>
      </c>
      <c r="BX16" s="64"/>
      <c r="BY16" s="36"/>
      <c r="BZ16" s="11">
        <f t="shared" si="1"/>
        <v>0</v>
      </c>
      <c r="CA16" s="64"/>
      <c r="CB16" s="36"/>
      <c r="CC16" s="11">
        <f t="shared" si="23"/>
        <v>0</v>
      </c>
      <c r="CD16" s="64"/>
      <c r="CE16" s="36"/>
      <c r="CF16" s="11">
        <f t="shared" si="24"/>
        <v>0</v>
      </c>
      <c r="CG16" s="64"/>
      <c r="CH16" s="36"/>
      <c r="CI16" s="11">
        <f t="shared" si="2"/>
        <v>0</v>
      </c>
      <c r="CJ16" s="64"/>
      <c r="CK16" s="36"/>
      <c r="CL16" s="11">
        <f t="shared" si="25"/>
        <v>0</v>
      </c>
      <c r="CM16" s="64"/>
      <c r="CN16" s="36"/>
      <c r="CO16" s="11">
        <f t="shared" si="26"/>
        <v>0</v>
      </c>
      <c r="CP16" s="64"/>
      <c r="CQ16" s="36"/>
      <c r="CR16" s="11">
        <f t="shared" si="27"/>
        <v>0</v>
      </c>
      <c r="CS16" s="64"/>
      <c r="CT16" s="36"/>
      <c r="CU16" s="11">
        <f t="shared" si="28"/>
        <v>0</v>
      </c>
      <c r="CV16" s="64"/>
      <c r="CW16" s="13"/>
      <c r="CX16" s="260">
        <f t="shared" si="3"/>
        <v>0</v>
      </c>
      <c r="CY16" s="157"/>
      <c r="CZ16" s="157"/>
    </row>
    <row r="17" spans="1:104" ht="14.25" customHeight="1">
      <c r="A17" s="10">
        <v>12</v>
      </c>
      <c r="B17" s="36"/>
      <c r="C17" s="11">
        <f t="shared" si="29"/>
        <v>0</v>
      </c>
      <c r="D17" s="63"/>
      <c r="E17" s="36"/>
      <c r="F17" s="11">
        <f t="shared" si="30"/>
        <v>0</v>
      </c>
      <c r="G17" s="63"/>
      <c r="H17" s="36"/>
      <c r="I17" s="11">
        <f t="shared" si="31"/>
        <v>0</v>
      </c>
      <c r="J17" s="63"/>
      <c r="K17" s="36"/>
      <c r="L17" s="11">
        <f t="shared" si="32"/>
        <v>0</v>
      </c>
      <c r="M17" s="63"/>
      <c r="N17" s="36"/>
      <c r="O17" s="11">
        <f t="shared" si="33"/>
        <v>0</v>
      </c>
      <c r="P17" s="63"/>
      <c r="Q17" s="36"/>
      <c r="R17" s="11">
        <f t="shared" si="4"/>
        <v>0</v>
      </c>
      <c r="S17" s="63"/>
      <c r="T17" s="36"/>
      <c r="U17" s="11">
        <f t="shared" si="5"/>
        <v>0</v>
      </c>
      <c r="V17" s="64"/>
      <c r="W17" s="36"/>
      <c r="X17" s="11">
        <f t="shared" si="6"/>
        <v>0</v>
      </c>
      <c r="Y17" s="63"/>
      <c r="Z17" s="36"/>
      <c r="AA17" s="11">
        <f t="shared" si="7"/>
        <v>0</v>
      </c>
      <c r="AB17" s="64"/>
      <c r="AC17" s="36"/>
      <c r="AD17" s="11">
        <f t="shared" si="8"/>
        <v>0</v>
      </c>
      <c r="AE17" s="64"/>
      <c r="AF17" s="36"/>
      <c r="AG17" s="11">
        <f t="shared" si="9"/>
        <v>0</v>
      </c>
      <c r="AH17" s="64"/>
      <c r="AI17" s="36"/>
      <c r="AJ17" s="11">
        <f t="shared" si="10"/>
        <v>0</v>
      </c>
      <c r="AK17" s="64"/>
      <c r="AL17" s="36"/>
      <c r="AM17" s="11">
        <f t="shared" si="11"/>
        <v>0</v>
      </c>
      <c r="AN17" s="64"/>
      <c r="AO17" s="36"/>
      <c r="AP17" s="11">
        <f t="shared" si="12"/>
        <v>0</v>
      </c>
      <c r="AQ17" s="64"/>
      <c r="AR17" s="36"/>
      <c r="AS17" s="11">
        <f t="shared" si="13"/>
        <v>0</v>
      </c>
      <c r="AT17" s="64"/>
      <c r="AU17" s="36"/>
      <c r="AV17" s="11">
        <f t="shared" si="14"/>
        <v>0</v>
      </c>
      <c r="AW17" s="64"/>
      <c r="AX17" s="36"/>
      <c r="AY17" s="11">
        <f t="shared" si="15"/>
        <v>0</v>
      </c>
      <c r="AZ17" s="64"/>
      <c r="BA17" s="36"/>
      <c r="BB17" s="11">
        <f t="shared" si="16"/>
        <v>0</v>
      </c>
      <c r="BC17" s="64"/>
      <c r="BD17" s="36"/>
      <c r="BE17" s="11">
        <f t="shared" si="17"/>
        <v>0</v>
      </c>
      <c r="BF17" s="64"/>
      <c r="BG17" s="36"/>
      <c r="BH17" s="11">
        <f t="shared" si="18"/>
        <v>0</v>
      </c>
      <c r="BI17" s="64"/>
      <c r="BJ17" s="36"/>
      <c r="BK17" s="11">
        <f t="shared" si="19"/>
        <v>0</v>
      </c>
      <c r="BL17" s="64"/>
      <c r="BM17" s="36"/>
      <c r="BN17" s="11">
        <f t="shared" si="0"/>
        <v>0</v>
      </c>
      <c r="BO17" s="64"/>
      <c r="BP17" s="36"/>
      <c r="BQ17" s="11">
        <f t="shared" si="20"/>
        <v>0</v>
      </c>
      <c r="BR17" s="64"/>
      <c r="BS17" s="36"/>
      <c r="BT17" s="11">
        <f t="shared" si="21"/>
        <v>0</v>
      </c>
      <c r="BU17" s="64"/>
      <c r="BV17" s="36"/>
      <c r="BW17" s="11">
        <f t="shared" si="22"/>
        <v>0</v>
      </c>
      <c r="BX17" s="64"/>
      <c r="BY17" s="36"/>
      <c r="BZ17" s="11">
        <f t="shared" si="1"/>
        <v>0</v>
      </c>
      <c r="CA17" s="64"/>
      <c r="CB17" s="36"/>
      <c r="CC17" s="11">
        <f t="shared" si="23"/>
        <v>0</v>
      </c>
      <c r="CD17" s="64"/>
      <c r="CE17" s="36"/>
      <c r="CF17" s="11">
        <f t="shared" si="24"/>
        <v>0</v>
      </c>
      <c r="CG17" s="64"/>
      <c r="CH17" s="36"/>
      <c r="CI17" s="11">
        <f t="shared" si="2"/>
        <v>0</v>
      </c>
      <c r="CJ17" s="64"/>
      <c r="CK17" s="36"/>
      <c r="CL17" s="11">
        <f t="shared" si="25"/>
        <v>0</v>
      </c>
      <c r="CM17" s="64"/>
      <c r="CN17" s="36"/>
      <c r="CO17" s="11">
        <f t="shared" si="26"/>
        <v>0</v>
      </c>
      <c r="CP17" s="64"/>
      <c r="CQ17" s="36"/>
      <c r="CR17" s="11">
        <f t="shared" si="27"/>
        <v>0</v>
      </c>
      <c r="CS17" s="64"/>
      <c r="CT17" s="36"/>
      <c r="CU17" s="11">
        <f t="shared" si="28"/>
        <v>0</v>
      </c>
      <c r="CV17" s="64"/>
      <c r="CW17" s="13"/>
      <c r="CX17" s="260">
        <f t="shared" si="3"/>
        <v>0</v>
      </c>
      <c r="CY17" s="157"/>
      <c r="CZ17" s="157"/>
    </row>
    <row r="18" spans="1:104" ht="14.25" customHeight="1">
      <c r="A18" s="10">
        <v>13</v>
      </c>
      <c r="B18" s="36"/>
      <c r="C18" s="11">
        <f t="shared" si="29"/>
        <v>0</v>
      </c>
      <c r="D18" s="63"/>
      <c r="E18" s="36"/>
      <c r="F18" s="11">
        <f t="shared" si="30"/>
        <v>0</v>
      </c>
      <c r="G18" s="63"/>
      <c r="H18" s="36"/>
      <c r="I18" s="11">
        <f t="shared" si="31"/>
        <v>0</v>
      </c>
      <c r="J18" s="63"/>
      <c r="K18" s="36"/>
      <c r="L18" s="11">
        <f t="shared" si="32"/>
        <v>0</v>
      </c>
      <c r="M18" s="63"/>
      <c r="N18" s="36"/>
      <c r="O18" s="11">
        <f t="shared" si="33"/>
        <v>0</v>
      </c>
      <c r="P18" s="63"/>
      <c r="Q18" s="36"/>
      <c r="R18" s="11">
        <f t="shared" si="4"/>
        <v>0</v>
      </c>
      <c r="S18" s="63"/>
      <c r="T18" s="36"/>
      <c r="U18" s="11">
        <f t="shared" si="5"/>
        <v>0</v>
      </c>
      <c r="V18" s="64"/>
      <c r="W18" s="36"/>
      <c r="X18" s="11">
        <f t="shared" si="6"/>
        <v>0</v>
      </c>
      <c r="Y18" s="63"/>
      <c r="Z18" s="36"/>
      <c r="AA18" s="11">
        <f t="shared" si="7"/>
        <v>0</v>
      </c>
      <c r="AB18" s="64"/>
      <c r="AC18" s="36"/>
      <c r="AD18" s="11">
        <f t="shared" si="8"/>
        <v>0</v>
      </c>
      <c r="AE18" s="64"/>
      <c r="AF18" s="36"/>
      <c r="AG18" s="11">
        <f t="shared" si="9"/>
        <v>0</v>
      </c>
      <c r="AH18" s="64"/>
      <c r="AI18" s="36"/>
      <c r="AJ18" s="11">
        <f t="shared" si="10"/>
        <v>0</v>
      </c>
      <c r="AK18" s="64"/>
      <c r="AL18" s="36"/>
      <c r="AM18" s="11">
        <f t="shared" si="11"/>
        <v>0</v>
      </c>
      <c r="AN18" s="64"/>
      <c r="AO18" s="36"/>
      <c r="AP18" s="11">
        <f t="shared" si="12"/>
        <v>0</v>
      </c>
      <c r="AQ18" s="64"/>
      <c r="AR18" s="36"/>
      <c r="AS18" s="11">
        <f t="shared" si="13"/>
        <v>0</v>
      </c>
      <c r="AT18" s="64"/>
      <c r="AU18" s="36"/>
      <c r="AV18" s="11">
        <f t="shared" si="14"/>
        <v>0</v>
      </c>
      <c r="AW18" s="64"/>
      <c r="AX18" s="36"/>
      <c r="AY18" s="11">
        <f t="shared" si="15"/>
        <v>0</v>
      </c>
      <c r="AZ18" s="64"/>
      <c r="BA18" s="36"/>
      <c r="BB18" s="11">
        <f t="shared" si="16"/>
        <v>0</v>
      </c>
      <c r="BC18" s="64"/>
      <c r="BD18" s="36"/>
      <c r="BE18" s="11">
        <f t="shared" si="17"/>
        <v>0</v>
      </c>
      <c r="BF18" s="64"/>
      <c r="BG18" s="36"/>
      <c r="BH18" s="11">
        <f t="shared" si="18"/>
        <v>0</v>
      </c>
      <c r="BI18" s="64"/>
      <c r="BJ18" s="36"/>
      <c r="BK18" s="11">
        <f t="shared" si="19"/>
        <v>0</v>
      </c>
      <c r="BL18" s="64"/>
      <c r="BM18" s="36"/>
      <c r="BN18" s="11">
        <f t="shared" si="0"/>
        <v>0</v>
      </c>
      <c r="BO18" s="64"/>
      <c r="BP18" s="36"/>
      <c r="BQ18" s="11">
        <f t="shared" si="20"/>
        <v>0</v>
      </c>
      <c r="BR18" s="64"/>
      <c r="BS18" s="36"/>
      <c r="BT18" s="11">
        <f t="shared" si="21"/>
        <v>0</v>
      </c>
      <c r="BU18" s="64"/>
      <c r="BV18" s="36"/>
      <c r="BW18" s="11">
        <f t="shared" si="22"/>
        <v>0</v>
      </c>
      <c r="BX18" s="64"/>
      <c r="BY18" s="36"/>
      <c r="BZ18" s="11">
        <f t="shared" si="1"/>
        <v>0</v>
      </c>
      <c r="CA18" s="64"/>
      <c r="CB18" s="36"/>
      <c r="CC18" s="11">
        <f t="shared" si="23"/>
        <v>0</v>
      </c>
      <c r="CD18" s="64"/>
      <c r="CE18" s="36"/>
      <c r="CF18" s="11">
        <f t="shared" si="24"/>
        <v>0</v>
      </c>
      <c r="CG18" s="64"/>
      <c r="CH18" s="36"/>
      <c r="CI18" s="11">
        <f t="shared" si="2"/>
        <v>0</v>
      </c>
      <c r="CJ18" s="64"/>
      <c r="CK18" s="36"/>
      <c r="CL18" s="11">
        <f t="shared" si="25"/>
        <v>0</v>
      </c>
      <c r="CM18" s="64"/>
      <c r="CN18" s="36"/>
      <c r="CO18" s="11">
        <f t="shared" si="26"/>
        <v>0</v>
      </c>
      <c r="CP18" s="64"/>
      <c r="CQ18" s="36"/>
      <c r="CR18" s="11">
        <f t="shared" si="27"/>
        <v>0</v>
      </c>
      <c r="CS18" s="64"/>
      <c r="CT18" s="36"/>
      <c r="CU18" s="11">
        <f t="shared" si="28"/>
        <v>0</v>
      </c>
      <c r="CV18" s="64"/>
      <c r="CW18" s="13"/>
      <c r="CX18" s="260">
        <f t="shared" si="3"/>
        <v>0</v>
      </c>
      <c r="CY18" s="157"/>
      <c r="CZ18" s="157"/>
    </row>
    <row r="19" spans="1:104" ht="14.25" customHeight="1">
      <c r="A19" s="10">
        <v>14</v>
      </c>
      <c r="B19" s="36"/>
      <c r="C19" s="11">
        <f t="shared" si="29"/>
        <v>0</v>
      </c>
      <c r="D19" s="63"/>
      <c r="E19" s="36"/>
      <c r="F19" s="11">
        <f t="shared" si="30"/>
        <v>0</v>
      </c>
      <c r="G19" s="63"/>
      <c r="H19" s="36"/>
      <c r="I19" s="11">
        <f t="shared" si="31"/>
        <v>0</v>
      </c>
      <c r="J19" s="63"/>
      <c r="K19" s="36"/>
      <c r="L19" s="11">
        <f t="shared" si="32"/>
        <v>0</v>
      </c>
      <c r="M19" s="63"/>
      <c r="N19" s="36"/>
      <c r="O19" s="11">
        <f t="shared" si="33"/>
        <v>0</v>
      </c>
      <c r="P19" s="63"/>
      <c r="Q19" s="36"/>
      <c r="R19" s="11">
        <f t="shared" si="4"/>
        <v>0</v>
      </c>
      <c r="S19" s="63"/>
      <c r="T19" s="36"/>
      <c r="U19" s="11">
        <f t="shared" si="5"/>
        <v>0</v>
      </c>
      <c r="V19" s="64"/>
      <c r="W19" s="36"/>
      <c r="X19" s="11">
        <f t="shared" si="6"/>
        <v>0</v>
      </c>
      <c r="Y19" s="63"/>
      <c r="Z19" s="36"/>
      <c r="AA19" s="11">
        <f t="shared" si="7"/>
        <v>0</v>
      </c>
      <c r="AB19" s="64"/>
      <c r="AC19" s="36"/>
      <c r="AD19" s="11">
        <f t="shared" si="8"/>
        <v>0</v>
      </c>
      <c r="AE19" s="64"/>
      <c r="AF19" s="36"/>
      <c r="AG19" s="11">
        <f t="shared" si="9"/>
        <v>0</v>
      </c>
      <c r="AH19" s="64"/>
      <c r="AI19" s="36"/>
      <c r="AJ19" s="11">
        <f t="shared" si="10"/>
        <v>0</v>
      </c>
      <c r="AK19" s="64"/>
      <c r="AL19" s="36"/>
      <c r="AM19" s="11">
        <f t="shared" si="11"/>
        <v>0</v>
      </c>
      <c r="AN19" s="64"/>
      <c r="AO19" s="36"/>
      <c r="AP19" s="11">
        <f t="shared" si="12"/>
        <v>0</v>
      </c>
      <c r="AQ19" s="64"/>
      <c r="AR19" s="36"/>
      <c r="AS19" s="11">
        <f t="shared" si="13"/>
        <v>0</v>
      </c>
      <c r="AT19" s="64"/>
      <c r="AU19" s="36"/>
      <c r="AV19" s="11">
        <f t="shared" si="14"/>
        <v>0</v>
      </c>
      <c r="AW19" s="64"/>
      <c r="AX19" s="36"/>
      <c r="AY19" s="11">
        <f t="shared" si="15"/>
        <v>0</v>
      </c>
      <c r="AZ19" s="64"/>
      <c r="BA19" s="36"/>
      <c r="BB19" s="11">
        <f t="shared" si="16"/>
        <v>0</v>
      </c>
      <c r="BC19" s="64"/>
      <c r="BD19" s="36"/>
      <c r="BE19" s="11">
        <f t="shared" si="17"/>
        <v>0</v>
      </c>
      <c r="BF19" s="64"/>
      <c r="BG19" s="36"/>
      <c r="BH19" s="11">
        <f t="shared" si="18"/>
        <v>0</v>
      </c>
      <c r="BI19" s="64"/>
      <c r="BJ19" s="36"/>
      <c r="BK19" s="11">
        <f t="shared" si="19"/>
        <v>0</v>
      </c>
      <c r="BL19" s="64"/>
      <c r="BM19" s="36"/>
      <c r="BN19" s="11">
        <f t="shared" si="0"/>
        <v>0</v>
      </c>
      <c r="BO19" s="64"/>
      <c r="BP19" s="36"/>
      <c r="BQ19" s="11">
        <f t="shared" si="20"/>
        <v>0</v>
      </c>
      <c r="BR19" s="64"/>
      <c r="BS19" s="36"/>
      <c r="BT19" s="11">
        <f t="shared" si="21"/>
        <v>0</v>
      </c>
      <c r="BU19" s="64"/>
      <c r="BV19" s="36"/>
      <c r="BW19" s="11">
        <f t="shared" si="22"/>
        <v>0</v>
      </c>
      <c r="BX19" s="64"/>
      <c r="BY19" s="36"/>
      <c r="BZ19" s="11">
        <f t="shared" si="1"/>
        <v>0</v>
      </c>
      <c r="CA19" s="64"/>
      <c r="CB19" s="36"/>
      <c r="CC19" s="11">
        <f t="shared" si="23"/>
        <v>0</v>
      </c>
      <c r="CD19" s="64"/>
      <c r="CE19" s="36"/>
      <c r="CF19" s="11">
        <f t="shared" si="24"/>
        <v>0</v>
      </c>
      <c r="CG19" s="64"/>
      <c r="CH19" s="36"/>
      <c r="CI19" s="11">
        <f t="shared" si="2"/>
        <v>0</v>
      </c>
      <c r="CJ19" s="64"/>
      <c r="CK19" s="36"/>
      <c r="CL19" s="11">
        <f t="shared" si="25"/>
        <v>0</v>
      </c>
      <c r="CM19" s="64"/>
      <c r="CN19" s="36"/>
      <c r="CO19" s="11">
        <f t="shared" si="26"/>
        <v>0</v>
      </c>
      <c r="CP19" s="64"/>
      <c r="CQ19" s="36"/>
      <c r="CR19" s="11">
        <f t="shared" si="27"/>
        <v>0</v>
      </c>
      <c r="CS19" s="64"/>
      <c r="CT19" s="36"/>
      <c r="CU19" s="11">
        <f t="shared" si="28"/>
        <v>0</v>
      </c>
      <c r="CV19" s="64"/>
      <c r="CW19" s="13"/>
      <c r="CX19" s="260">
        <f t="shared" si="3"/>
        <v>0</v>
      </c>
      <c r="CY19" s="157"/>
      <c r="CZ19" s="157"/>
    </row>
    <row r="20" spans="1:104" ht="14.25" customHeight="1">
      <c r="A20" s="10">
        <v>15</v>
      </c>
      <c r="B20" s="36"/>
      <c r="C20" s="11">
        <f t="shared" si="29"/>
        <v>0</v>
      </c>
      <c r="D20" s="63"/>
      <c r="E20" s="36"/>
      <c r="F20" s="11">
        <f t="shared" si="30"/>
        <v>0</v>
      </c>
      <c r="G20" s="63"/>
      <c r="H20" s="36"/>
      <c r="I20" s="11">
        <f t="shared" si="31"/>
        <v>0</v>
      </c>
      <c r="J20" s="63"/>
      <c r="K20" s="36"/>
      <c r="L20" s="11">
        <f t="shared" si="32"/>
        <v>0</v>
      </c>
      <c r="M20" s="63"/>
      <c r="N20" s="36"/>
      <c r="O20" s="11">
        <f t="shared" si="33"/>
        <v>0</v>
      </c>
      <c r="P20" s="63"/>
      <c r="Q20" s="36"/>
      <c r="R20" s="11">
        <f t="shared" si="4"/>
        <v>0</v>
      </c>
      <c r="S20" s="63"/>
      <c r="T20" s="36"/>
      <c r="U20" s="11">
        <f t="shared" si="5"/>
        <v>0</v>
      </c>
      <c r="V20" s="64"/>
      <c r="W20" s="36"/>
      <c r="X20" s="11">
        <f t="shared" si="6"/>
        <v>0</v>
      </c>
      <c r="Y20" s="63"/>
      <c r="Z20" s="36"/>
      <c r="AA20" s="11">
        <f t="shared" si="7"/>
        <v>0</v>
      </c>
      <c r="AB20" s="64"/>
      <c r="AC20" s="36"/>
      <c r="AD20" s="11">
        <f t="shared" si="8"/>
        <v>0</v>
      </c>
      <c r="AE20" s="64"/>
      <c r="AF20" s="36"/>
      <c r="AG20" s="11">
        <f t="shared" si="9"/>
        <v>0</v>
      </c>
      <c r="AH20" s="64"/>
      <c r="AI20" s="36"/>
      <c r="AJ20" s="11">
        <f t="shared" si="10"/>
        <v>0</v>
      </c>
      <c r="AK20" s="64"/>
      <c r="AL20" s="36"/>
      <c r="AM20" s="11">
        <f t="shared" si="11"/>
        <v>0</v>
      </c>
      <c r="AN20" s="64"/>
      <c r="AO20" s="36"/>
      <c r="AP20" s="11">
        <f t="shared" si="12"/>
        <v>0</v>
      </c>
      <c r="AQ20" s="64"/>
      <c r="AR20" s="36"/>
      <c r="AS20" s="11">
        <f t="shared" si="13"/>
        <v>0</v>
      </c>
      <c r="AT20" s="64"/>
      <c r="AU20" s="36"/>
      <c r="AV20" s="11">
        <f t="shared" si="14"/>
        <v>0</v>
      </c>
      <c r="AW20" s="64"/>
      <c r="AX20" s="36"/>
      <c r="AY20" s="11">
        <f t="shared" si="15"/>
        <v>0</v>
      </c>
      <c r="AZ20" s="64"/>
      <c r="BA20" s="36"/>
      <c r="BB20" s="11">
        <f t="shared" si="16"/>
        <v>0</v>
      </c>
      <c r="BC20" s="64"/>
      <c r="BD20" s="36"/>
      <c r="BE20" s="11">
        <f t="shared" si="17"/>
        <v>0</v>
      </c>
      <c r="BF20" s="64"/>
      <c r="BG20" s="36"/>
      <c r="BH20" s="11">
        <f t="shared" si="18"/>
        <v>0</v>
      </c>
      <c r="BI20" s="64"/>
      <c r="BJ20" s="36"/>
      <c r="BK20" s="11">
        <f t="shared" si="19"/>
        <v>0</v>
      </c>
      <c r="BL20" s="64"/>
      <c r="BM20" s="36"/>
      <c r="BN20" s="11">
        <f t="shared" si="0"/>
        <v>0</v>
      </c>
      <c r="BO20" s="64"/>
      <c r="BP20" s="36"/>
      <c r="BQ20" s="11">
        <f t="shared" si="20"/>
        <v>0</v>
      </c>
      <c r="BR20" s="64"/>
      <c r="BS20" s="36"/>
      <c r="BT20" s="11">
        <f t="shared" si="21"/>
        <v>0</v>
      </c>
      <c r="BU20" s="64"/>
      <c r="BV20" s="36"/>
      <c r="BW20" s="11">
        <f t="shared" si="22"/>
        <v>0</v>
      </c>
      <c r="BX20" s="64"/>
      <c r="BY20" s="36"/>
      <c r="BZ20" s="11">
        <f t="shared" si="1"/>
        <v>0</v>
      </c>
      <c r="CA20" s="64"/>
      <c r="CB20" s="36"/>
      <c r="CC20" s="11">
        <f t="shared" si="23"/>
        <v>0</v>
      </c>
      <c r="CD20" s="64"/>
      <c r="CE20" s="36"/>
      <c r="CF20" s="11">
        <f t="shared" si="24"/>
        <v>0</v>
      </c>
      <c r="CG20" s="64"/>
      <c r="CH20" s="36"/>
      <c r="CI20" s="11">
        <f t="shared" si="2"/>
        <v>0</v>
      </c>
      <c r="CJ20" s="64"/>
      <c r="CK20" s="36"/>
      <c r="CL20" s="11">
        <f t="shared" si="25"/>
        <v>0</v>
      </c>
      <c r="CM20" s="64"/>
      <c r="CN20" s="36"/>
      <c r="CO20" s="11">
        <f t="shared" si="26"/>
        <v>0</v>
      </c>
      <c r="CP20" s="64"/>
      <c r="CQ20" s="36"/>
      <c r="CR20" s="11">
        <f t="shared" si="27"/>
        <v>0</v>
      </c>
      <c r="CS20" s="64"/>
      <c r="CT20" s="36"/>
      <c r="CU20" s="11">
        <f t="shared" si="28"/>
        <v>0</v>
      </c>
      <c r="CV20" s="64"/>
      <c r="CW20" s="13"/>
      <c r="CX20" s="260">
        <f t="shared" si="3"/>
        <v>0</v>
      </c>
      <c r="CY20" s="157"/>
      <c r="CZ20" s="157"/>
    </row>
    <row r="21" spans="1:104" ht="14.25" customHeight="1">
      <c r="A21" s="10">
        <v>16</v>
      </c>
      <c r="B21" s="36"/>
      <c r="C21" s="11">
        <f t="shared" si="29"/>
        <v>0</v>
      </c>
      <c r="D21" s="63"/>
      <c r="E21" s="36"/>
      <c r="F21" s="11">
        <f t="shared" si="30"/>
        <v>0</v>
      </c>
      <c r="G21" s="63"/>
      <c r="H21" s="36"/>
      <c r="I21" s="11">
        <f t="shared" si="31"/>
        <v>0</v>
      </c>
      <c r="J21" s="63"/>
      <c r="K21" s="36"/>
      <c r="L21" s="11">
        <f t="shared" si="32"/>
        <v>0</v>
      </c>
      <c r="M21" s="63"/>
      <c r="N21" s="36"/>
      <c r="O21" s="11">
        <f t="shared" si="33"/>
        <v>0</v>
      </c>
      <c r="P21" s="63"/>
      <c r="Q21" s="36"/>
      <c r="R21" s="11">
        <f t="shared" si="4"/>
        <v>0</v>
      </c>
      <c r="S21" s="63"/>
      <c r="T21" s="36"/>
      <c r="U21" s="11">
        <f t="shared" si="5"/>
        <v>0</v>
      </c>
      <c r="V21" s="64"/>
      <c r="W21" s="36"/>
      <c r="X21" s="11">
        <f t="shared" si="6"/>
        <v>0</v>
      </c>
      <c r="Y21" s="63"/>
      <c r="Z21" s="36"/>
      <c r="AA21" s="11">
        <f t="shared" si="7"/>
        <v>0</v>
      </c>
      <c r="AB21" s="64"/>
      <c r="AC21" s="36"/>
      <c r="AD21" s="11">
        <f t="shared" si="8"/>
        <v>0</v>
      </c>
      <c r="AE21" s="64"/>
      <c r="AF21" s="36"/>
      <c r="AG21" s="11">
        <f t="shared" si="9"/>
        <v>0</v>
      </c>
      <c r="AH21" s="64"/>
      <c r="AI21" s="36"/>
      <c r="AJ21" s="11">
        <f t="shared" si="10"/>
        <v>0</v>
      </c>
      <c r="AK21" s="64"/>
      <c r="AL21" s="36"/>
      <c r="AM21" s="11">
        <f t="shared" si="11"/>
        <v>0</v>
      </c>
      <c r="AN21" s="64"/>
      <c r="AO21" s="36"/>
      <c r="AP21" s="11">
        <f t="shared" si="12"/>
        <v>0</v>
      </c>
      <c r="AQ21" s="64"/>
      <c r="AR21" s="36"/>
      <c r="AS21" s="11">
        <f t="shared" si="13"/>
        <v>0</v>
      </c>
      <c r="AT21" s="64"/>
      <c r="AU21" s="36"/>
      <c r="AV21" s="11">
        <f t="shared" si="14"/>
        <v>0</v>
      </c>
      <c r="AW21" s="64"/>
      <c r="AX21" s="36"/>
      <c r="AY21" s="11">
        <f t="shared" si="15"/>
        <v>0</v>
      </c>
      <c r="AZ21" s="64"/>
      <c r="BA21" s="36"/>
      <c r="BB21" s="11">
        <f t="shared" si="16"/>
        <v>0</v>
      </c>
      <c r="BC21" s="64"/>
      <c r="BD21" s="36"/>
      <c r="BE21" s="11">
        <f t="shared" si="17"/>
        <v>0</v>
      </c>
      <c r="BF21" s="64"/>
      <c r="BG21" s="36"/>
      <c r="BH21" s="11">
        <f t="shared" si="18"/>
        <v>0</v>
      </c>
      <c r="BI21" s="64"/>
      <c r="BJ21" s="36"/>
      <c r="BK21" s="11">
        <f t="shared" si="19"/>
        <v>0</v>
      </c>
      <c r="BL21" s="64"/>
      <c r="BM21" s="36"/>
      <c r="BN21" s="11">
        <f t="shared" si="0"/>
        <v>0</v>
      </c>
      <c r="BO21" s="64"/>
      <c r="BP21" s="36"/>
      <c r="BQ21" s="11">
        <f t="shared" si="20"/>
        <v>0</v>
      </c>
      <c r="BR21" s="64"/>
      <c r="BS21" s="36"/>
      <c r="BT21" s="11">
        <f t="shared" si="21"/>
        <v>0</v>
      </c>
      <c r="BU21" s="64"/>
      <c r="BV21" s="36"/>
      <c r="BW21" s="11">
        <f t="shared" si="22"/>
        <v>0</v>
      </c>
      <c r="BX21" s="64"/>
      <c r="BY21" s="36"/>
      <c r="BZ21" s="11">
        <f t="shared" si="1"/>
        <v>0</v>
      </c>
      <c r="CA21" s="12"/>
      <c r="CB21" s="36"/>
      <c r="CC21" s="11">
        <f t="shared" si="23"/>
        <v>0</v>
      </c>
      <c r="CD21" s="64"/>
      <c r="CE21" s="36"/>
      <c r="CF21" s="11">
        <f t="shared" si="24"/>
        <v>0</v>
      </c>
      <c r="CG21" s="64"/>
      <c r="CH21" s="36"/>
      <c r="CI21" s="11">
        <f t="shared" si="2"/>
        <v>0</v>
      </c>
      <c r="CJ21" s="12"/>
      <c r="CK21" s="36"/>
      <c r="CL21" s="11">
        <f t="shared" si="25"/>
        <v>0</v>
      </c>
      <c r="CM21" s="64"/>
      <c r="CN21" s="36"/>
      <c r="CO21" s="11">
        <f t="shared" si="26"/>
        <v>0</v>
      </c>
      <c r="CP21" s="64"/>
      <c r="CQ21" s="36"/>
      <c r="CR21" s="11">
        <f t="shared" si="27"/>
        <v>0</v>
      </c>
      <c r="CS21" s="64"/>
      <c r="CT21" s="36"/>
      <c r="CU21" s="11">
        <f t="shared" si="28"/>
        <v>0</v>
      </c>
      <c r="CV21" s="64"/>
      <c r="CW21" s="13"/>
      <c r="CX21" s="260">
        <f t="shared" si="3"/>
        <v>0</v>
      </c>
      <c r="CY21" s="157"/>
      <c r="CZ21" s="157"/>
    </row>
    <row r="22" spans="1:104" ht="14.25" customHeight="1">
      <c r="A22" s="10">
        <v>17</v>
      </c>
      <c r="B22" s="36"/>
      <c r="C22" s="11">
        <f t="shared" si="29"/>
        <v>0</v>
      </c>
      <c r="D22" s="64"/>
      <c r="E22" s="36"/>
      <c r="F22" s="11">
        <f t="shared" si="30"/>
        <v>0</v>
      </c>
      <c r="G22" s="64"/>
      <c r="H22" s="36"/>
      <c r="I22" s="11">
        <f t="shared" si="31"/>
        <v>0</v>
      </c>
      <c r="J22" s="64"/>
      <c r="K22" s="36"/>
      <c r="L22" s="11">
        <f t="shared" si="32"/>
        <v>0</v>
      </c>
      <c r="M22" s="64"/>
      <c r="N22" s="36"/>
      <c r="O22" s="11">
        <f t="shared" si="33"/>
        <v>0</v>
      </c>
      <c r="P22" s="64"/>
      <c r="Q22" s="36"/>
      <c r="R22" s="11">
        <f t="shared" si="4"/>
        <v>0</v>
      </c>
      <c r="S22" s="64"/>
      <c r="T22" s="36"/>
      <c r="U22" s="11">
        <f t="shared" si="5"/>
        <v>0</v>
      </c>
      <c r="V22" s="64"/>
      <c r="W22" s="36"/>
      <c r="X22" s="11">
        <f t="shared" si="6"/>
        <v>0</v>
      </c>
      <c r="Y22" s="64"/>
      <c r="Z22" s="36"/>
      <c r="AA22" s="11">
        <f t="shared" si="7"/>
        <v>0</v>
      </c>
      <c r="AB22" s="64"/>
      <c r="AC22" s="36"/>
      <c r="AD22" s="11">
        <f t="shared" si="8"/>
        <v>0</v>
      </c>
      <c r="AE22" s="64"/>
      <c r="AF22" s="36"/>
      <c r="AG22" s="11">
        <f t="shared" si="9"/>
        <v>0</v>
      </c>
      <c r="AH22" s="64"/>
      <c r="AI22" s="36"/>
      <c r="AJ22" s="11">
        <f t="shared" si="10"/>
        <v>0</v>
      </c>
      <c r="AK22" s="64"/>
      <c r="AL22" s="36"/>
      <c r="AM22" s="11">
        <f t="shared" si="11"/>
        <v>0</v>
      </c>
      <c r="AN22" s="64"/>
      <c r="AO22" s="36"/>
      <c r="AP22" s="11">
        <f t="shared" si="12"/>
        <v>0</v>
      </c>
      <c r="AQ22" s="64"/>
      <c r="AR22" s="36"/>
      <c r="AS22" s="11">
        <f t="shared" si="13"/>
        <v>0</v>
      </c>
      <c r="AT22" s="64"/>
      <c r="AU22" s="36"/>
      <c r="AV22" s="11">
        <f t="shared" si="14"/>
        <v>0</v>
      </c>
      <c r="AW22" s="64"/>
      <c r="AX22" s="36"/>
      <c r="AY22" s="11">
        <f t="shared" si="15"/>
        <v>0</v>
      </c>
      <c r="AZ22" s="64"/>
      <c r="BA22" s="36"/>
      <c r="BB22" s="11">
        <f t="shared" si="16"/>
        <v>0</v>
      </c>
      <c r="BC22" s="64"/>
      <c r="BD22" s="36"/>
      <c r="BE22" s="11">
        <f t="shared" si="17"/>
        <v>0</v>
      </c>
      <c r="BF22" s="64"/>
      <c r="BG22" s="36"/>
      <c r="BH22" s="11">
        <f t="shared" si="18"/>
        <v>0</v>
      </c>
      <c r="BI22" s="64"/>
      <c r="BJ22" s="36"/>
      <c r="BK22" s="11">
        <f t="shared" si="19"/>
        <v>0</v>
      </c>
      <c r="BL22" s="64"/>
      <c r="BM22" s="36"/>
      <c r="BN22" s="11">
        <f t="shared" si="0"/>
        <v>0</v>
      </c>
      <c r="BO22" s="64"/>
      <c r="BP22" s="36"/>
      <c r="BQ22" s="11">
        <f t="shared" si="20"/>
        <v>0</v>
      </c>
      <c r="BR22" s="64"/>
      <c r="BS22" s="36"/>
      <c r="BT22" s="11">
        <f t="shared" si="21"/>
        <v>0</v>
      </c>
      <c r="BU22" s="64"/>
      <c r="BV22" s="36"/>
      <c r="BW22" s="11">
        <f t="shared" si="22"/>
        <v>0</v>
      </c>
      <c r="BX22" s="64"/>
      <c r="BY22" s="36"/>
      <c r="BZ22" s="11">
        <f t="shared" si="1"/>
        <v>0</v>
      </c>
      <c r="CA22" s="12"/>
      <c r="CB22" s="36"/>
      <c r="CC22" s="11">
        <f t="shared" si="23"/>
        <v>0</v>
      </c>
      <c r="CD22" s="64"/>
      <c r="CE22" s="36"/>
      <c r="CF22" s="11">
        <f t="shared" si="24"/>
        <v>0</v>
      </c>
      <c r="CG22" s="64"/>
      <c r="CH22" s="36"/>
      <c r="CI22" s="11">
        <f t="shared" si="2"/>
        <v>0</v>
      </c>
      <c r="CJ22" s="12"/>
      <c r="CK22" s="36"/>
      <c r="CL22" s="11">
        <f t="shared" si="25"/>
        <v>0</v>
      </c>
      <c r="CM22" s="64"/>
      <c r="CN22" s="36"/>
      <c r="CO22" s="11">
        <f t="shared" si="26"/>
        <v>0</v>
      </c>
      <c r="CP22" s="64"/>
      <c r="CQ22" s="36"/>
      <c r="CR22" s="11">
        <f t="shared" si="27"/>
        <v>0</v>
      </c>
      <c r="CS22" s="64"/>
      <c r="CT22" s="36"/>
      <c r="CU22" s="11">
        <f t="shared" si="28"/>
        <v>0</v>
      </c>
      <c r="CV22" s="64"/>
      <c r="CW22" s="13"/>
      <c r="CX22" s="260">
        <f t="shared" si="3"/>
        <v>0</v>
      </c>
      <c r="CY22" s="157"/>
      <c r="CZ22" s="157"/>
    </row>
    <row r="23" spans="1:104" ht="14.25" customHeight="1">
      <c r="A23" s="10">
        <v>18</v>
      </c>
      <c r="B23" s="36"/>
      <c r="C23" s="11">
        <f t="shared" si="29"/>
        <v>0</v>
      </c>
      <c r="D23" s="64"/>
      <c r="E23" s="36"/>
      <c r="F23" s="11">
        <f t="shared" si="30"/>
        <v>0</v>
      </c>
      <c r="G23" s="64"/>
      <c r="H23" s="36"/>
      <c r="I23" s="11">
        <f t="shared" si="31"/>
        <v>0</v>
      </c>
      <c r="J23" s="64"/>
      <c r="K23" s="36"/>
      <c r="L23" s="11">
        <f t="shared" si="32"/>
        <v>0</v>
      </c>
      <c r="M23" s="64"/>
      <c r="N23" s="36"/>
      <c r="O23" s="11">
        <f t="shared" si="33"/>
        <v>0</v>
      </c>
      <c r="P23" s="64"/>
      <c r="Q23" s="36"/>
      <c r="R23" s="11">
        <f t="shared" si="4"/>
        <v>0</v>
      </c>
      <c r="S23" s="64"/>
      <c r="T23" s="36"/>
      <c r="U23" s="11">
        <f t="shared" si="5"/>
        <v>0</v>
      </c>
      <c r="V23" s="64"/>
      <c r="W23" s="36"/>
      <c r="X23" s="11">
        <f t="shared" si="6"/>
        <v>0</v>
      </c>
      <c r="Y23" s="64"/>
      <c r="Z23" s="36"/>
      <c r="AA23" s="11">
        <f t="shared" si="7"/>
        <v>0</v>
      </c>
      <c r="AB23" s="64"/>
      <c r="AC23" s="36"/>
      <c r="AD23" s="11">
        <f t="shared" si="8"/>
        <v>0</v>
      </c>
      <c r="AE23" s="64"/>
      <c r="AF23" s="36"/>
      <c r="AG23" s="11">
        <f t="shared" si="9"/>
        <v>0</v>
      </c>
      <c r="AH23" s="64"/>
      <c r="AI23" s="36"/>
      <c r="AJ23" s="11">
        <f t="shared" si="10"/>
        <v>0</v>
      </c>
      <c r="AK23" s="64"/>
      <c r="AL23" s="36"/>
      <c r="AM23" s="11">
        <f t="shared" si="11"/>
        <v>0</v>
      </c>
      <c r="AN23" s="64"/>
      <c r="AO23" s="36"/>
      <c r="AP23" s="11">
        <f t="shared" si="12"/>
        <v>0</v>
      </c>
      <c r="AQ23" s="64"/>
      <c r="AR23" s="36"/>
      <c r="AS23" s="11">
        <f t="shared" si="13"/>
        <v>0</v>
      </c>
      <c r="AT23" s="64"/>
      <c r="AU23" s="36"/>
      <c r="AV23" s="11">
        <f t="shared" si="14"/>
        <v>0</v>
      </c>
      <c r="AW23" s="64"/>
      <c r="AX23" s="36"/>
      <c r="AY23" s="11">
        <f t="shared" si="15"/>
        <v>0</v>
      </c>
      <c r="AZ23" s="64"/>
      <c r="BA23" s="36"/>
      <c r="BB23" s="11">
        <f t="shared" si="16"/>
        <v>0</v>
      </c>
      <c r="BC23" s="64"/>
      <c r="BD23" s="36"/>
      <c r="BE23" s="11">
        <f t="shared" si="17"/>
        <v>0</v>
      </c>
      <c r="BF23" s="64"/>
      <c r="BG23" s="36"/>
      <c r="BH23" s="11">
        <f t="shared" si="18"/>
        <v>0</v>
      </c>
      <c r="BI23" s="64"/>
      <c r="BJ23" s="36"/>
      <c r="BK23" s="11">
        <f t="shared" si="19"/>
        <v>0</v>
      </c>
      <c r="BL23" s="64"/>
      <c r="BM23" s="36"/>
      <c r="BN23" s="11">
        <f t="shared" si="0"/>
        <v>0</v>
      </c>
      <c r="BO23" s="64"/>
      <c r="BP23" s="36"/>
      <c r="BQ23" s="11">
        <f t="shared" si="20"/>
        <v>0</v>
      </c>
      <c r="BR23" s="64"/>
      <c r="BS23" s="36"/>
      <c r="BT23" s="11">
        <f t="shared" si="21"/>
        <v>0</v>
      </c>
      <c r="BU23" s="64"/>
      <c r="BV23" s="36"/>
      <c r="BW23" s="11">
        <f t="shared" si="22"/>
        <v>0</v>
      </c>
      <c r="BX23" s="64"/>
      <c r="BY23" s="36"/>
      <c r="BZ23" s="11">
        <f t="shared" si="1"/>
        <v>0</v>
      </c>
      <c r="CA23" s="12"/>
      <c r="CB23" s="36"/>
      <c r="CC23" s="11">
        <f t="shared" si="23"/>
        <v>0</v>
      </c>
      <c r="CD23" s="64"/>
      <c r="CE23" s="36"/>
      <c r="CF23" s="11">
        <f t="shared" si="24"/>
        <v>0</v>
      </c>
      <c r="CG23" s="64"/>
      <c r="CH23" s="36"/>
      <c r="CI23" s="11">
        <f t="shared" si="2"/>
        <v>0</v>
      </c>
      <c r="CJ23" s="12"/>
      <c r="CK23" s="36"/>
      <c r="CL23" s="11">
        <f t="shared" si="25"/>
        <v>0</v>
      </c>
      <c r="CM23" s="64"/>
      <c r="CN23" s="36"/>
      <c r="CO23" s="11">
        <f t="shared" si="26"/>
        <v>0</v>
      </c>
      <c r="CP23" s="64"/>
      <c r="CQ23" s="36"/>
      <c r="CR23" s="11">
        <f t="shared" si="27"/>
        <v>0</v>
      </c>
      <c r="CS23" s="64"/>
      <c r="CT23" s="36"/>
      <c r="CU23" s="11">
        <f t="shared" si="28"/>
        <v>0</v>
      </c>
      <c r="CV23" s="64"/>
      <c r="CW23" s="13"/>
      <c r="CX23" s="260">
        <f t="shared" si="3"/>
        <v>0</v>
      </c>
      <c r="CY23" s="157"/>
      <c r="CZ23" s="157"/>
    </row>
    <row r="24" spans="1:104" ht="14.25" customHeight="1">
      <c r="A24" s="10">
        <v>19</v>
      </c>
      <c r="B24" s="36"/>
      <c r="C24" s="11">
        <f t="shared" si="29"/>
        <v>0</v>
      </c>
      <c r="D24" s="64"/>
      <c r="E24" s="36"/>
      <c r="F24" s="11">
        <f t="shared" si="30"/>
        <v>0</v>
      </c>
      <c r="G24" s="64"/>
      <c r="H24" s="36"/>
      <c r="I24" s="11">
        <f t="shared" si="31"/>
        <v>0</v>
      </c>
      <c r="J24" s="64"/>
      <c r="K24" s="36"/>
      <c r="L24" s="11">
        <f t="shared" si="32"/>
        <v>0</v>
      </c>
      <c r="M24" s="64"/>
      <c r="N24" s="36"/>
      <c r="O24" s="11">
        <f t="shared" si="33"/>
        <v>0</v>
      </c>
      <c r="P24" s="64"/>
      <c r="Q24" s="36"/>
      <c r="R24" s="11">
        <f t="shared" si="4"/>
        <v>0</v>
      </c>
      <c r="S24" s="64"/>
      <c r="T24" s="36"/>
      <c r="U24" s="11">
        <f t="shared" si="5"/>
        <v>0</v>
      </c>
      <c r="V24" s="64"/>
      <c r="W24" s="36"/>
      <c r="X24" s="11">
        <f t="shared" si="6"/>
        <v>0</v>
      </c>
      <c r="Y24" s="64"/>
      <c r="Z24" s="36"/>
      <c r="AA24" s="11">
        <f t="shared" si="7"/>
        <v>0</v>
      </c>
      <c r="AB24" s="64"/>
      <c r="AC24" s="36"/>
      <c r="AD24" s="11">
        <f t="shared" si="8"/>
        <v>0</v>
      </c>
      <c r="AE24" s="64"/>
      <c r="AF24" s="36"/>
      <c r="AG24" s="11">
        <f t="shared" si="9"/>
        <v>0</v>
      </c>
      <c r="AH24" s="64"/>
      <c r="AI24" s="36"/>
      <c r="AJ24" s="11">
        <f t="shared" si="10"/>
        <v>0</v>
      </c>
      <c r="AK24" s="64"/>
      <c r="AL24" s="36"/>
      <c r="AM24" s="11">
        <f t="shared" si="11"/>
        <v>0</v>
      </c>
      <c r="AN24" s="64"/>
      <c r="AO24" s="36"/>
      <c r="AP24" s="11">
        <f t="shared" si="12"/>
        <v>0</v>
      </c>
      <c r="AQ24" s="64"/>
      <c r="AR24" s="36"/>
      <c r="AS24" s="11">
        <f t="shared" si="13"/>
        <v>0</v>
      </c>
      <c r="AT24" s="64"/>
      <c r="AU24" s="36"/>
      <c r="AV24" s="11">
        <f t="shared" si="14"/>
        <v>0</v>
      </c>
      <c r="AW24" s="64"/>
      <c r="AX24" s="36"/>
      <c r="AY24" s="11">
        <f t="shared" si="15"/>
        <v>0</v>
      </c>
      <c r="AZ24" s="64"/>
      <c r="BA24" s="36"/>
      <c r="BB24" s="11">
        <f t="shared" si="16"/>
        <v>0</v>
      </c>
      <c r="BC24" s="64"/>
      <c r="BD24" s="36"/>
      <c r="BE24" s="11">
        <f t="shared" si="17"/>
        <v>0</v>
      </c>
      <c r="BF24" s="64"/>
      <c r="BG24" s="36"/>
      <c r="BH24" s="11">
        <f t="shared" si="18"/>
        <v>0</v>
      </c>
      <c r="BI24" s="64"/>
      <c r="BJ24" s="36"/>
      <c r="BK24" s="11">
        <f t="shared" si="19"/>
        <v>0</v>
      </c>
      <c r="BL24" s="64"/>
      <c r="BM24" s="36"/>
      <c r="BN24" s="11">
        <f t="shared" si="0"/>
        <v>0</v>
      </c>
      <c r="BO24" s="64"/>
      <c r="BP24" s="36"/>
      <c r="BQ24" s="11">
        <f t="shared" si="20"/>
        <v>0</v>
      </c>
      <c r="BR24" s="64"/>
      <c r="BS24" s="36"/>
      <c r="BT24" s="11">
        <f t="shared" si="21"/>
        <v>0</v>
      </c>
      <c r="BU24" s="64"/>
      <c r="BV24" s="36"/>
      <c r="BW24" s="11">
        <f t="shared" si="22"/>
        <v>0</v>
      </c>
      <c r="BX24" s="64"/>
      <c r="BY24" s="36"/>
      <c r="BZ24" s="11">
        <f t="shared" si="1"/>
        <v>0</v>
      </c>
      <c r="CA24" s="64"/>
      <c r="CB24" s="36"/>
      <c r="CC24" s="11">
        <f t="shared" si="23"/>
        <v>0</v>
      </c>
      <c r="CD24" s="64"/>
      <c r="CE24" s="36"/>
      <c r="CF24" s="11">
        <f t="shared" si="24"/>
        <v>0</v>
      </c>
      <c r="CG24" s="64"/>
      <c r="CH24" s="36"/>
      <c r="CI24" s="11">
        <f t="shared" si="2"/>
        <v>0</v>
      </c>
      <c r="CJ24" s="64"/>
      <c r="CK24" s="36"/>
      <c r="CL24" s="11">
        <f t="shared" si="25"/>
        <v>0</v>
      </c>
      <c r="CM24" s="64"/>
      <c r="CN24" s="36"/>
      <c r="CO24" s="11">
        <f t="shared" si="26"/>
        <v>0</v>
      </c>
      <c r="CP24" s="64"/>
      <c r="CQ24" s="36"/>
      <c r="CR24" s="11">
        <f t="shared" si="27"/>
        <v>0</v>
      </c>
      <c r="CS24" s="64"/>
      <c r="CT24" s="36"/>
      <c r="CU24" s="11">
        <f t="shared" si="28"/>
        <v>0</v>
      </c>
      <c r="CV24" s="64"/>
      <c r="CW24" s="13"/>
      <c r="CX24" s="260">
        <f t="shared" si="3"/>
        <v>0</v>
      </c>
      <c r="CY24" s="157"/>
      <c r="CZ24" s="157"/>
    </row>
    <row r="25" spans="1:104" ht="14.25" customHeight="1">
      <c r="A25" s="10">
        <v>20</v>
      </c>
      <c r="B25" s="36"/>
      <c r="C25" s="11">
        <f t="shared" si="29"/>
        <v>0</v>
      </c>
      <c r="D25" s="63"/>
      <c r="E25" s="36"/>
      <c r="F25" s="11">
        <f t="shared" si="30"/>
        <v>0</v>
      </c>
      <c r="G25" s="63"/>
      <c r="H25" s="36"/>
      <c r="I25" s="11">
        <f t="shared" si="31"/>
        <v>0</v>
      </c>
      <c r="J25" s="63"/>
      <c r="K25" s="36"/>
      <c r="L25" s="11">
        <f t="shared" si="32"/>
        <v>0</v>
      </c>
      <c r="M25" s="63"/>
      <c r="N25" s="36"/>
      <c r="O25" s="11">
        <f t="shared" si="33"/>
        <v>0</v>
      </c>
      <c r="P25" s="63"/>
      <c r="Q25" s="36"/>
      <c r="R25" s="11">
        <f t="shared" si="4"/>
        <v>0</v>
      </c>
      <c r="S25" s="63"/>
      <c r="T25" s="36"/>
      <c r="U25" s="11">
        <f t="shared" si="5"/>
        <v>0</v>
      </c>
      <c r="V25" s="64"/>
      <c r="W25" s="36"/>
      <c r="X25" s="11">
        <f t="shared" si="6"/>
        <v>0</v>
      </c>
      <c r="Y25" s="63"/>
      <c r="Z25" s="36"/>
      <c r="AA25" s="11">
        <f t="shared" si="7"/>
        <v>0</v>
      </c>
      <c r="AB25" s="64"/>
      <c r="AC25" s="36"/>
      <c r="AD25" s="11">
        <f t="shared" si="8"/>
        <v>0</v>
      </c>
      <c r="AE25" s="64"/>
      <c r="AF25" s="36"/>
      <c r="AG25" s="11">
        <f t="shared" si="9"/>
        <v>0</v>
      </c>
      <c r="AH25" s="64"/>
      <c r="AI25" s="36"/>
      <c r="AJ25" s="11">
        <f t="shared" si="10"/>
        <v>0</v>
      </c>
      <c r="AK25" s="64"/>
      <c r="AL25" s="36"/>
      <c r="AM25" s="11">
        <f t="shared" si="11"/>
        <v>0</v>
      </c>
      <c r="AN25" s="64"/>
      <c r="AO25" s="36"/>
      <c r="AP25" s="11">
        <f t="shared" si="12"/>
        <v>0</v>
      </c>
      <c r="AQ25" s="64"/>
      <c r="AR25" s="36"/>
      <c r="AS25" s="11">
        <f t="shared" si="13"/>
        <v>0</v>
      </c>
      <c r="AT25" s="64"/>
      <c r="AU25" s="36"/>
      <c r="AV25" s="11">
        <f t="shared" si="14"/>
        <v>0</v>
      </c>
      <c r="AW25" s="64"/>
      <c r="AX25" s="36"/>
      <c r="AY25" s="11">
        <f t="shared" si="15"/>
        <v>0</v>
      </c>
      <c r="AZ25" s="64"/>
      <c r="BA25" s="36"/>
      <c r="BB25" s="11">
        <f t="shared" si="16"/>
        <v>0</v>
      </c>
      <c r="BC25" s="64"/>
      <c r="BD25" s="36"/>
      <c r="BE25" s="11">
        <f t="shared" si="17"/>
        <v>0</v>
      </c>
      <c r="BF25" s="64"/>
      <c r="BG25" s="36"/>
      <c r="BH25" s="11">
        <f t="shared" si="18"/>
        <v>0</v>
      </c>
      <c r="BI25" s="64"/>
      <c r="BJ25" s="36"/>
      <c r="BK25" s="11">
        <f t="shared" si="19"/>
        <v>0</v>
      </c>
      <c r="BL25" s="64"/>
      <c r="BM25" s="36"/>
      <c r="BN25" s="11">
        <f t="shared" si="0"/>
        <v>0</v>
      </c>
      <c r="BO25" s="64"/>
      <c r="BP25" s="36"/>
      <c r="BQ25" s="11">
        <f t="shared" si="20"/>
        <v>0</v>
      </c>
      <c r="BR25" s="64"/>
      <c r="BS25" s="36"/>
      <c r="BT25" s="11">
        <f t="shared" si="21"/>
        <v>0</v>
      </c>
      <c r="BU25" s="64"/>
      <c r="BV25" s="36"/>
      <c r="BW25" s="11">
        <f t="shared" si="22"/>
        <v>0</v>
      </c>
      <c r="BX25" s="64"/>
      <c r="BY25" s="36"/>
      <c r="BZ25" s="11">
        <f t="shared" si="1"/>
        <v>0</v>
      </c>
      <c r="CA25" s="64"/>
      <c r="CB25" s="36"/>
      <c r="CC25" s="11">
        <f t="shared" ref="CC25:CC36" si="34">CD$3*CD$4*216*24*60*CB25/9000000</f>
        <v>0</v>
      </c>
      <c r="CD25" s="64"/>
      <c r="CE25" s="36"/>
      <c r="CF25" s="11">
        <f t="shared" si="24"/>
        <v>0</v>
      </c>
      <c r="CG25" s="64"/>
      <c r="CH25" s="36"/>
      <c r="CI25" s="11">
        <f t="shared" si="2"/>
        <v>0</v>
      </c>
      <c r="CJ25" s="64"/>
      <c r="CK25" s="36"/>
      <c r="CL25" s="11">
        <f t="shared" si="25"/>
        <v>0</v>
      </c>
      <c r="CM25" s="64"/>
      <c r="CN25" s="36"/>
      <c r="CO25" s="11">
        <f t="shared" si="26"/>
        <v>0</v>
      </c>
      <c r="CP25" s="64"/>
      <c r="CQ25" s="36"/>
      <c r="CR25" s="11">
        <f t="shared" si="27"/>
        <v>0</v>
      </c>
      <c r="CS25" s="64"/>
      <c r="CT25" s="36"/>
      <c r="CU25" s="11">
        <f t="shared" si="28"/>
        <v>0</v>
      </c>
      <c r="CV25" s="64"/>
      <c r="CW25" s="13"/>
      <c r="CX25" s="260">
        <f t="shared" si="3"/>
        <v>0</v>
      </c>
      <c r="CY25" s="157"/>
      <c r="CZ25" s="157"/>
    </row>
    <row r="26" spans="1:104" ht="14.25" customHeight="1">
      <c r="A26" s="10">
        <v>21</v>
      </c>
      <c r="B26" s="36"/>
      <c r="C26" s="11">
        <f t="shared" si="29"/>
        <v>0</v>
      </c>
      <c r="D26" s="63"/>
      <c r="E26" s="36"/>
      <c r="F26" s="11">
        <f t="shared" si="30"/>
        <v>0</v>
      </c>
      <c r="G26" s="63"/>
      <c r="H26" s="36"/>
      <c r="I26" s="11">
        <f t="shared" si="31"/>
        <v>0</v>
      </c>
      <c r="J26" s="63"/>
      <c r="K26" s="36"/>
      <c r="L26" s="11">
        <f t="shared" si="32"/>
        <v>0</v>
      </c>
      <c r="M26" s="63"/>
      <c r="N26" s="36"/>
      <c r="O26" s="11">
        <f t="shared" si="33"/>
        <v>0</v>
      </c>
      <c r="P26" s="63"/>
      <c r="Q26" s="36"/>
      <c r="R26" s="11">
        <f t="shared" si="4"/>
        <v>0</v>
      </c>
      <c r="S26" s="63"/>
      <c r="T26" s="36"/>
      <c r="U26" s="11">
        <f t="shared" si="5"/>
        <v>0</v>
      </c>
      <c r="V26" s="64"/>
      <c r="W26" s="36"/>
      <c r="X26" s="11">
        <f t="shared" si="6"/>
        <v>0</v>
      </c>
      <c r="Y26" s="63"/>
      <c r="Z26" s="36"/>
      <c r="AA26" s="11">
        <f t="shared" si="7"/>
        <v>0</v>
      </c>
      <c r="AB26" s="64"/>
      <c r="AC26" s="36"/>
      <c r="AD26" s="11">
        <f t="shared" si="8"/>
        <v>0</v>
      </c>
      <c r="AE26" s="64"/>
      <c r="AF26" s="36"/>
      <c r="AG26" s="11">
        <f t="shared" si="9"/>
        <v>0</v>
      </c>
      <c r="AH26" s="64"/>
      <c r="AI26" s="36"/>
      <c r="AJ26" s="11">
        <f t="shared" si="10"/>
        <v>0</v>
      </c>
      <c r="AK26" s="64"/>
      <c r="AL26" s="36"/>
      <c r="AM26" s="11">
        <f t="shared" si="11"/>
        <v>0</v>
      </c>
      <c r="AN26" s="64"/>
      <c r="AO26" s="36"/>
      <c r="AP26" s="11">
        <f t="shared" si="12"/>
        <v>0</v>
      </c>
      <c r="AQ26" s="64"/>
      <c r="AR26" s="36"/>
      <c r="AS26" s="11">
        <f t="shared" si="13"/>
        <v>0</v>
      </c>
      <c r="AT26" s="64"/>
      <c r="AU26" s="36"/>
      <c r="AV26" s="11">
        <f t="shared" si="14"/>
        <v>0</v>
      </c>
      <c r="AW26" s="64"/>
      <c r="AX26" s="36"/>
      <c r="AY26" s="11">
        <f t="shared" si="15"/>
        <v>0</v>
      </c>
      <c r="AZ26" s="64"/>
      <c r="BA26" s="36"/>
      <c r="BB26" s="11">
        <f t="shared" si="16"/>
        <v>0</v>
      </c>
      <c r="BC26" s="64"/>
      <c r="BD26" s="36"/>
      <c r="BE26" s="11">
        <f t="shared" si="17"/>
        <v>0</v>
      </c>
      <c r="BF26" s="64"/>
      <c r="BG26" s="36"/>
      <c r="BH26" s="11">
        <f t="shared" si="18"/>
        <v>0</v>
      </c>
      <c r="BI26" s="64"/>
      <c r="BJ26" s="36"/>
      <c r="BK26" s="11">
        <f t="shared" si="19"/>
        <v>0</v>
      </c>
      <c r="BL26" s="64"/>
      <c r="BM26" s="36"/>
      <c r="BN26" s="11">
        <f t="shared" si="0"/>
        <v>0</v>
      </c>
      <c r="BO26" s="64"/>
      <c r="BP26" s="36"/>
      <c r="BQ26" s="11">
        <f t="shared" si="20"/>
        <v>0</v>
      </c>
      <c r="BR26" s="64"/>
      <c r="BS26" s="36"/>
      <c r="BT26" s="11">
        <f t="shared" si="21"/>
        <v>0</v>
      </c>
      <c r="BU26" s="64"/>
      <c r="BV26" s="36"/>
      <c r="BW26" s="11">
        <f t="shared" si="22"/>
        <v>0</v>
      </c>
      <c r="BX26" s="64"/>
      <c r="BY26" s="36"/>
      <c r="BZ26" s="11">
        <f t="shared" si="1"/>
        <v>0</v>
      </c>
      <c r="CA26" s="64"/>
      <c r="CB26" s="36"/>
      <c r="CC26" s="11">
        <f t="shared" si="34"/>
        <v>0</v>
      </c>
      <c r="CD26" s="64"/>
      <c r="CE26" s="36"/>
      <c r="CF26" s="11">
        <f t="shared" si="24"/>
        <v>0</v>
      </c>
      <c r="CG26" s="64"/>
      <c r="CH26" s="36"/>
      <c r="CI26" s="11">
        <f t="shared" si="2"/>
        <v>0</v>
      </c>
      <c r="CJ26" s="64"/>
      <c r="CK26" s="36"/>
      <c r="CL26" s="11">
        <f t="shared" si="25"/>
        <v>0</v>
      </c>
      <c r="CM26" s="64"/>
      <c r="CN26" s="36"/>
      <c r="CO26" s="11">
        <f t="shared" si="26"/>
        <v>0</v>
      </c>
      <c r="CP26" s="64"/>
      <c r="CQ26" s="36"/>
      <c r="CR26" s="11">
        <f t="shared" si="27"/>
        <v>0</v>
      </c>
      <c r="CS26" s="64"/>
      <c r="CT26" s="36"/>
      <c r="CU26" s="11">
        <f t="shared" si="28"/>
        <v>0</v>
      </c>
      <c r="CV26" s="64"/>
      <c r="CW26" s="13"/>
      <c r="CX26" s="260">
        <f t="shared" si="3"/>
        <v>0</v>
      </c>
      <c r="CY26" s="157"/>
      <c r="CZ26" s="157"/>
    </row>
    <row r="27" spans="1:104" ht="14.25" customHeight="1">
      <c r="A27" s="10">
        <v>22</v>
      </c>
      <c r="B27" s="36"/>
      <c r="C27" s="11">
        <f t="shared" si="29"/>
        <v>0</v>
      </c>
      <c r="D27" s="63"/>
      <c r="E27" s="36"/>
      <c r="F27" s="11">
        <f t="shared" si="30"/>
        <v>0</v>
      </c>
      <c r="G27" s="63"/>
      <c r="H27" s="36"/>
      <c r="I27" s="11">
        <f t="shared" si="31"/>
        <v>0</v>
      </c>
      <c r="J27" s="63"/>
      <c r="K27" s="36"/>
      <c r="L27" s="11">
        <f t="shared" si="32"/>
        <v>0</v>
      </c>
      <c r="M27" s="63"/>
      <c r="N27" s="36"/>
      <c r="O27" s="11">
        <f t="shared" si="33"/>
        <v>0</v>
      </c>
      <c r="P27" s="63"/>
      <c r="Q27" s="36"/>
      <c r="R27" s="11">
        <f t="shared" si="4"/>
        <v>0</v>
      </c>
      <c r="S27" s="63"/>
      <c r="T27" s="36"/>
      <c r="U27" s="11">
        <f t="shared" si="5"/>
        <v>0</v>
      </c>
      <c r="V27" s="64"/>
      <c r="W27" s="36"/>
      <c r="X27" s="11">
        <f t="shared" si="6"/>
        <v>0</v>
      </c>
      <c r="Y27" s="63"/>
      <c r="Z27" s="36"/>
      <c r="AA27" s="11">
        <f t="shared" si="7"/>
        <v>0</v>
      </c>
      <c r="AB27" s="64"/>
      <c r="AC27" s="36"/>
      <c r="AD27" s="11">
        <f t="shared" si="8"/>
        <v>0</v>
      </c>
      <c r="AE27" s="64"/>
      <c r="AF27" s="36"/>
      <c r="AG27" s="11">
        <f t="shared" si="9"/>
        <v>0</v>
      </c>
      <c r="AH27" s="64"/>
      <c r="AI27" s="36"/>
      <c r="AJ27" s="11">
        <f t="shared" si="10"/>
        <v>0</v>
      </c>
      <c r="AK27" s="64"/>
      <c r="AL27" s="36"/>
      <c r="AM27" s="11">
        <f t="shared" si="11"/>
        <v>0</v>
      </c>
      <c r="AN27" s="64"/>
      <c r="AO27" s="36"/>
      <c r="AP27" s="11">
        <f t="shared" si="12"/>
        <v>0</v>
      </c>
      <c r="AQ27" s="64"/>
      <c r="AR27" s="36"/>
      <c r="AS27" s="11">
        <f t="shared" si="13"/>
        <v>0</v>
      </c>
      <c r="AT27" s="64"/>
      <c r="AU27" s="36"/>
      <c r="AV27" s="11">
        <f t="shared" si="14"/>
        <v>0</v>
      </c>
      <c r="AW27" s="64"/>
      <c r="AX27" s="36"/>
      <c r="AY27" s="11">
        <f t="shared" si="15"/>
        <v>0</v>
      </c>
      <c r="AZ27" s="64"/>
      <c r="BA27" s="36"/>
      <c r="BB27" s="11">
        <f t="shared" si="16"/>
        <v>0</v>
      </c>
      <c r="BC27" s="64"/>
      <c r="BD27" s="36"/>
      <c r="BE27" s="11">
        <f t="shared" si="17"/>
        <v>0</v>
      </c>
      <c r="BF27" s="64"/>
      <c r="BG27" s="36"/>
      <c r="BH27" s="11">
        <f t="shared" si="18"/>
        <v>0</v>
      </c>
      <c r="BI27" s="64"/>
      <c r="BJ27" s="36"/>
      <c r="BK27" s="11">
        <f t="shared" si="19"/>
        <v>0</v>
      </c>
      <c r="BL27" s="64"/>
      <c r="BM27" s="36"/>
      <c r="BN27" s="11">
        <f t="shared" si="0"/>
        <v>0</v>
      </c>
      <c r="BO27" s="64"/>
      <c r="BP27" s="36"/>
      <c r="BQ27" s="11">
        <f t="shared" si="20"/>
        <v>0</v>
      </c>
      <c r="BR27" s="64"/>
      <c r="BS27" s="36"/>
      <c r="BT27" s="11">
        <f t="shared" si="21"/>
        <v>0</v>
      </c>
      <c r="BU27" s="64"/>
      <c r="BV27" s="36"/>
      <c r="BW27" s="11">
        <f t="shared" si="22"/>
        <v>0</v>
      </c>
      <c r="BX27" s="64"/>
      <c r="BY27" s="408"/>
      <c r="BZ27" s="11">
        <f t="shared" si="1"/>
        <v>0</v>
      </c>
      <c r="CA27" s="64"/>
      <c r="CB27" s="36"/>
      <c r="CC27" s="11">
        <f t="shared" si="34"/>
        <v>0</v>
      </c>
      <c r="CD27" s="64"/>
      <c r="CE27" s="36"/>
      <c r="CF27" s="11">
        <f t="shared" si="24"/>
        <v>0</v>
      </c>
      <c r="CG27" s="64"/>
      <c r="CH27" s="36"/>
      <c r="CI27" s="11">
        <f t="shared" si="2"/>
        <v>0</v>
      </c>
      <c r="CJ27" s="64"/>
      <c r="CK27" s="36"/>
      <c r="CL27" s="11">
        <f t="shared" si="25"/>
        <v>0</v>
      </c>
      <c r="CM27" s="64"/>
      <c r="CN27" s="36"/>
      <c r="CO27" s="11">
        <f t="shared" si="26"/>
        <v>0</v>
      </c>
      <c r="CP27" s="64"/>
      <c r="CQ27" s="36"/>
      <c r="CR27" s="11">
        <f t="shared" si="27"/>
        <v>0</v>
      </c>
      <c r="CS27" s="64"/>
      <c r="CT27" s="36"/>
      <c r="CU27" s="11">
        <f t="shared" si="28"/>
        <v>0</v>
      </c>
      <c r="CV27" s="64"/>
      <c r="CW27" s="13"/>
      <c r="CX27" s="260">
        <f t="shared" si="3"/>
        <v>0</v>
      </c>
      <c r="CY27" s="157"/>
      <c r="CZ27" s="157"/>
    </row>
    <row r="28" spans="1:104" ht="14.25" customHeight="1">
      <c r="A28" s="10">
        <v>23</v>
      </c>
      <c r="B28" s="36"/>
      <c r="C28" s="11">
        <f t="shared" si="29"/>
        <v>0</v>
      </c>
      <c r="D28" s="64"/>
      <c r="E28" s="36"/>
      <c r="F28" s="11">
        <f t="shared" si="30"/>
        <v>0</v>
      </c>
      <c r="G28" s="64"/>
      <c r="H28" s="36"/>
      <c r="I28" s="11">
        <f t="shared" si="31"/>
        <v>0</v>
      </c>
      <c r="J28" s="64"/>
      <c r="K28" s="36"/>
      <c r="L28" s="11">
        <f t="shared" si="32"/>
        <v>0</v>
      </c>
      <c r="M28" s="64"/>
      <c r="N28" s="36"/>
      <c r="O28" s="11">
        <f t="shared" si="33"/>
        <v>0</v>
      </c>
      <c r="P28" s="64"/>
      <c r="Q28" s="36"/>
      <c r="R28" s="11">
        <f t="shared" si="4"/>
        <v>0</v>
      </c>
      <c r="S28" s="64"/>
      <c r="T28" s="36"/>
      <c r="U28" s="11">
        <f t="shared" si="5"/>
        <v>0</v>
      </c>
      <c r="V28" s="64"/>
      <c r="W28" s="36"/>
      <c r="X28" s="11">
        <f t="shared" si="6"/>
        <v>0</v>
      </c>
      <c r="Y28" s="64"/>
      <c r="Z28" s="36"/>
      <c r="AA28" s="11">
        <f t="shared" si="7"/>
        <v>0</v>
      </c>
      <c r="AB28" s="64"/>
      <c r="AC28" s="36"/>
      <c r="AD28" s="11">
        <f t="shared" si="8"/>
        <v>0</v>
      </c>
      <c r="AE28" s="64"/>
      <c r="AF28" s="36"/>
      <c r="AG28" s="11">
        <f t="shared" si="9"/>
        <v>0</v>
      </c>
      <c r="AH28" s="64"/>
      <c r="AI28" s="36"/>
      <c r="AJ28" s="11">
        <f t="shared" si="10"/>
        <v>0</v>
      </c>
      <c r="AK28" s="64"/>
      <c r="AL28" s="36"/>
      <c r="AM28" s="11">
        <f t="shared" si="11"/>
        <v>0</v>
      </c>
      <c r="AN28" s="64"/>
      <c r="AO28" s="36"/>
      <c r="AP28" s="11">
        <f t="shared" si="12"/>
        <v>0</v>
      </c>
      <c r="AQ28" s="64"/>
      <c r="AR28" s="36"/>
      <c r="AS28" s="11">
        <f t="shared" si="13"/>
        <v>0</v>
      </c>
      <c r="AT28" s="64"/>
      <c r="AU28" s="36"/>
      <c r="AV28" s="11">
        <f t="shared" si="14"/>
        <v>0</v>
      </c>
      <c r="AW28" s="64"/>
      <c r="AX28" s="36"/>
      <c r="AY28" s="11">
        <f t="shared" si="15"/>
        <v>0</v>
      </c>
      <c r="AZ28" s="64"/>
      <c r="BA28" s="36"/>
      <c r="BB28" s="11">
        <f t="shared" si="16"/>
        <v>0</v>
      </c>
      <c r="BC28" s="64"/>
      <c r="BD28" s="36"/>
      <c r="BE28" s="11">
        <f t="shared" si="17"/>
        <v>0</v>
      </c>
      <c r="BF28" s="64"/>
      <c r="BG28" s="36"/>
      <c r="BH28" s="11">
        <f t="shared" si="18"/>
        <v>0</v>
      </c>
      <c r="BI28" s="64"/>
      <c r="BJ28" s="36"/>
      <c r="BK28" s="11">
        <f t="shared" si="19"/>
        <v>0</v>
      </c>
      <c r="BL28" s="64"/>
      <c r="BM28" s="36"/>
      <c r="BN28" s="11">
        <f t="shared" si="0"/>
        <v>0</v>
      </c>
      <c r="BO28" s="64"/>
      <c r="BP28" s="36"/>
      <c r="BQ28" s="11">
        <f t="shared" si="20"/>
        <v>0</v>
      </c>
      <c r="BR28" s="64"/>
      <c r="BS28" s="36"/>
      <c r="BT28" s="11">
        <f t="shared" si="21"/>
        <v>0</v>
      </c>
      <c r="BU28" s="64"/>
      <c r="BV28" s="36"/>
      <c r="BW28" s="11">
        <f t="shared" si="22"/>
        <v>0</v>
      </c>
      <c r="BX28" s="64"/>
      <c r="BY28" s="408"/>
      <c r="BZ28" s="11">
        <f t="shared" si="1"/>
        <v>0</v>
      </c>
      <c r="CA28" s="64"/>
      <c r="CB28" s="36"/>
      <c r="CC28" s="11">
        <f t="shared" si="34"/>
        <v>0</v>
      </c>
      <c r="CD28" s="64"/>
      <c r="CE28" s="36"/>
      <c r="CF28" s="11">
        <f t="shared" ref="CF28:CF35" si="35">CG$3*CG$4*216*24*60*CE28/9000000</f>
        <v>0</v>
      </c>
      <c r="CG28" s="64"/>
      <c r="CH28" s="36"/>
      <c r="CI28" s="11">
        <f t="shared" ref="CI28:CI35" si="36">CJ$3*CJ$4*216*24*60*CH28/9000000</f>
        <v>0</v>
      </c>
      <c r="CJ28" s="64"/>
      <c r="CK28" s="36"/>
      <c r="CL28" s="11">
        <f t="shared" si="25"/>
        <v>0</v>
      </c>
      <c r="CM28" s="64"/>
      <c r="CN28" s="36"/>
      <c r="CO28" s="11">
        <f t="shared" si="26"/>
        <v>0</v>
      </c>
      <c r="CP28" s="64"/>
      <c r="CQ28" s="36"/>
      <c r="CR28" s="11">
        <f t="shared" si="27"/>
        <v>0</v>
      </c>
      <c r="CS28" s="64"/>
      <c r="CT28" s="36"/>
      <c r="CU28" s="11">
        <f t="shared" si="28"/>
        <v>0</v>
      </c>
      <c r="CV28" s="64"/>
      <c r="CW28" s="13"/>
      <c r="CX28" s="260">
        <f t="shared" si="3"/>
        <v>0</v>
      </c>
      <c r="CY28" s="157"/>
      <c r="CZ28" s="157"/>
    </row>
    <row r="29" spans="1:104" ht="14.25" customHeight="1">
      <c r="A29" s="10">
        <v>24</v>
      </c>
      <c r="B29" s="36"/>
      <c r="C29" s="11">
        <f t="shared" si="29"/>
        <v>0</v>
      </c>
      <c r="D29" s="64"/>
      <c r="E29" s="36"/>
      <c r="F29" s="11">
        <f t="shared" si="30"/>
        <v>0</v>
      </c>
      <c r="G29" s="64"/>
      <c r="H29" s="36"/>
      <c r="I29" s="11">
        <f t="shared" si="31"/>
        <v>0</v>
      </c>
      <c r="J29" s="64"/>
      <c r="K29" s="36"/>
      <c r="L29" s="11">
        <f t="shared" si="32"/>
        <v>0</v>
      </c>
      <c r="M29" s="64"/>
      <c r="N29" s="36"/>
      <c r="O29" s="11">
        <f t="shared" si="33"/>
        <v>0</v>
      </c>
      <c r="P29" s="64"/>
      <c r="Q29" s="36"/>
      <c r="R29" s="11">
        <f t="shared" si="4"/>
        <v>0</v>
      </c>
      <c r="S29" s="64"/>
      <c r="T29" s="36"/>
      <c r="U29" s="11">
        <f t="shared" si="5"/>
        <v>0</v>
      </c>
      <c r="V29" s="64"/>
      <c r="W29" s="36"/>
      <c r="X29" s="11">
        <f t="shared" si="6"/>
        <v>0</v>
      </c>
      <c r="Y29" s="64"/>
      <c r="Z29" s="36"/>
      <c r="AA29" s="11">
        <f t="shared" si="7"/>
        <v>0</v>
      </c>
      <c r="AB29" s="64"/>
      <c r="AC29" s="36"/>
      <c r="AD29" s="11">
        <f t="shared" si="8"/>
        <v>0</v>
      </c>
      <c r="AE29" s="64"/>
      <c r="AF29" s="36"/>
      <c r="AG29" s="11">
        <f t="shared" si="9"/>
        <v>0</v>
      </c>
      <c r="AH29" s="64"/>
      <c r="AI29" s="36"/>
      <c r="AJ29" s="11">
        <f t="shared" si="10"/>
        <v>0</v>
      </c>
      <c r="AK29" s="64"/>
      <c r="AL29" s="36"/>
      <c r="AM29" s="11">
        <f t="shared" si="11"/>
        <v>0</v>
      </c>
      <c r="AN29" s="64"/>
      <c r="AO29" s="36"/>
      <c r="AP29" s="11">
        <f t="shared" si="12"/>
        <v>0</v>
      </c>
      <c r="AQ29" s="64"/>
      <c r="AR29" s="36"/>
      <c r="AS29" s="11">
        <f t="shared" si="13"/>
        <v>0</v>
      </c>
      <c r="AT29" s="64"/>
      <c r="AU29" s="36"/>
      <c r="AV29" s="11">
        <f t="shared" si="14"/>
        <v>0</v>
      </c>
      <c r="AW29" s="64"/>
      <c r="AX29" s="36"/>
      <c r="AY29" s="11">
        <f t="shared" si="15"/>
        <v>0</v>
      </c>
      <c r="AZ29" s="64"/>
      <c r="BA29" s="36"/>
      <c r="BB29" s="11">
        <f t="shared" si="16"/>
        <v>0</v>
      </c>
      <c r="BC29" s="64"/>
      <c r="BD29" s="36"/>
      <c r="BE29" s="11">
        <f t="shared" si="17"/>
        <v>0</v>
      </c>
      <c r="BF29" s="64"/>
      <c r="BG29" s="36"/>
      <c r="BH29" s="11">
        <f t="shared" si="18"/>
        <v>0</v>
      </c>
      <c r="BI29" s="64"/>
      <c r="BJ29" s="36"/>
      <c r="BK29" s="11">
        <f t="shared" si="19"/>
        <v>0</v>
      </c>
      <c r="BL29" s="64"/>
      <c r="BM29" s="36"/>
      <c r="BN29" s="11">
        <f t="shared" si="0"/>
        <v>0</v>
      </c>
      <c r="BO29" s="64"/>
      <c r="BP29" s="36"/>
      <c r="BQ29" s="11">
        <f t="shared" si="20"/>
        <v>0</v>
      </c>
      <c r="BR29" s="64"/>
      <c r="BS29" s="36"/>
      <c r="BT29" s="11">
        <f t="shared" si="21"/>
        <v>0</v>
      </c>
      <c r="BU29" s="64"/>
      <c r="BV29" s="36"/>
      <c r="BW29" s="11">
        <f t="shared" si="22"/>
        <v>0</v>
      </c>
      <c r="BX29" s="64"/>
      <c r="BY29" s="36"/>
      <c r="BZ29" s="11">
        <f t="shared" si="1"/>
        <v>0</v>
      </c>
      <c r="CA29" s="64"/>
      <c r="CB29" s="36"/>
      <c r="CC29" s="11">
        <f t="shared" si="34"/>
        <v>0</v>
      </c>
      <c r="CD29" s="64"/>
      <c r="CE29" s="408"/>
      <c r="CF29" s="11">
        <f t="shared" si="35"/>
        <v>0</v>
      </c>
      <c r="CG29" s="64"/>
      <c r="CH29" s="36"/>
      <c r="CI29" s="11">
        <f t="shared" si="36"/>
        <v>0</v>
      </c>
      <c r="CJ29" s="64"/>
      <c r="CK29" s="36"/>
      <c r="CL29" s="11">
        <f t="shared" si="25"/>
        <v>0</v>
      </c>
      <c r="CM29" s="64"/>
      <c r="CN29" s="36"/>
      <c r="CO29" s="11">
        <f t="shared" ref="CO29:CO36" si="37">CP$3*CP$4*216*24*60*CN29/9000000</f>
        <v>0</v>
      </c>
      <c r="CP29" s="64"/>
      <c r="CQ29" s="36"/>
      <c r="CR29" s="11">
        <f t="shared" si="27"/>
        <v>0</v>
      </c>
      <c r="CS29" s="64"/>
      <c r="CT29" s="36"/>
      <c r="CU29" s="11">
        <f t="shared" si="28"/>
        <v>0</v>
      </c>
      <c r="CV29" s="64"/>
      <c r="CW29" s="13"/>
      <c r="CX29" s="260">
        <f t="shared" si="3"/>
        <v>0</v>
      </c>
      <c r="CY29" s="157"/>
      <c r="CZ29" s="157"/>
    </row>
    <row r="30" spans="1:104" ht="14.25" customHeight="1">
      <c r="A30" s="10">
        <v>25</v>
      </c>
      <c r="B30" s="36"/>
      <c r="C30" s="11">
        <f t="shared" si="29"/>
        <v>0</v>
      </c>
      <c r="D30" s="12"/>
      <c r="E30" s="36"/>
      <c r="F30" s="11">
        <f t="shared" si="30"/>
        <v>0</v>
      </c>
      <c r="G30" s="12"/>
      <c r="H30" s="36"/>
      <c r="I30" s="11">
        <f t="shared" si="31"/>
        <v>0</v>
      </c>
      <c r="J30" s="12"/>
      <c r="K30" s="36"/>
      <c r="L30" s="11">
        <f t="shared" si="32"/>
        <v>0</v>
      </c>
      <c r="M30" s="12"/>
      <c r="N30" s="36"/>
      <c r="O30" s="11">
        <f t="shared" si="33"/>
        <v>0</v>
      </c>
      <c r="P30" s="12"/>
      <c r="Q30" s="36"/>
      <c r="R30" s="11">
        <f t="shared" si="4"/>
        <v>0</v>
      </c>
      <c r="S30" s="12"/>
      <c r="T30" s="36"/>
      <c r="U30" s="11">
        <f t="shared" si="5"/>
        <v>0</v>
      </c>
      <c r="V30" s="12"/>
      <c r="W30" s="36"/>
      <c r="X30" s="11">
        <f t="shared" si="6"/>
        <v>0</v>
      </c>
      <c r="Y30" s="12"/>
      <c r="Z30" s="36"/>
      <c r="AA30" s="11">
        <f t="shared" si="7"/>
        <v>0</v>
      </c>
      <c r="AB30" s="12"/>
      <c r="AC30" s="36"/>
      <c r="AD30" s="11">
        <f t="shared" si="8"/>
        <v>0</v>
      </c>
      <c r="AE30" s="12"/>
      <c r="AF30" s="36"/>
      <c r="AG30" s="11">
        <f t="shared" si="9"/>
        <v>0</v>
      </c>
      <c r="AH30" s="12"/>
      <c r="AI30" s="36"/>
      <c r="AJ30" s="11">
        <f t="shared" si="10"/>
        <v>0</v>
      </c>
      <c r="AK30" s="12"/>
      <c r="AL30" s="36"/>
      <c r="AM30" s="11">
        <f t="shared" si="11"/>
        <v>0</v>
      </c>
      <c r="AN30" s="12"/>
      <c r="AO30" s="36"/>
      <c r="AP30" s="11">
        <f t="shared" si="12"/>
        <v>0</v>
      </c>
      <c r="AQ30" s="12"/>
      <c r="AR30" s="36"/>
      <c r="AS30" s="11">
        <f t="shared" si="13"/>
        <v>0</v>
      </c>
      <c r="AT30" s="12"/>
      <c r="AU30" s="36"/>
      <c r="AV30" s="11">
        <f t="shared" si="14"/>
        <v>0</v>
      </c>
      <c r="AW30" s="12"/>
      <c r="AX30" s="36"/>
      <c r="AY30" s="11">
        <f t="shared" si="15"/>
        <v>0</v>
      </c>
      <c r="AZ30" s="12"/>
      <c r="BA30" s="36"/>
      <c r="BB30" s="11">
        <f t="shared" si="16"/>
        <v>0</v>
      </c>
      <c r="BC30" s="12"/>
      <c r="BD30" s="36"/>
      <c r="BE30" s="11">
        <f t="shared" si="17"/>
        <v>0</v>
      </c>
      <c r="BF30" s="64"/>
      <c r="BG30" s="36"/>
      <c r="BH30" s="11">
        <f t="shared" si="18"/>
        <v>0</v>
      </c>
      <c r="BI30" s="64"/>
      <c r="BJ30" s="36"/>
      <c r="BK30" s="11">
        <f t="shared" si="19"/>
        <v>0</v>
      </c>
      <c r="BL30" s="64"/>
      <c r="BM30" s="36"/>
      <c r="BN30" s="11">
        <f t="shared" si="0"/>
        <v>0</v>
      </c>
      <c r="BO30" s="64"/>
      <c r="BP30" s="36"/>
      <c r="BQ30" s="11">
        <f t="shared" si="20"/>
        <v>0</v>
      </c>
      <c r="BR30" s="64"/>
      <c r="BS30" s="36"/>
      <c r="BT30" s="11">
        <f t="shared" si="21"/>
        <v>0</v>
      </c>
      <c r="BU30" s="64"/>
      <c r="BV30" s="36"/>
      <c r="BW30" s="11">
        <f t="shared" si="22"/>
        <v>0</v>
      </c>
      <c r="BX30" s="64"/>
      <c r="BY30" s="36"/>
      <c r="BZ30" s="11">
        <f t="shared" si="1"/>
        <v>0</v>
      </c>
      <c r="CA30" s="64"/>
      <c r="CB30" s="36"/>
      <c r="CC30" s="11">
        <f t="shared" si="34"/>
        <v>0</v>
      </c>
      <c r="CD30" s="64"/>
      <c r="CE30" s="408"/>
      <c r="CF30" s="11">
        <f t="shared" si="35"/>
        <v>0</v>
      </c>
      <c r="CG30" s="64"/>
      <c r="CH30" s="36"/>
      <c r="CI30" s="11">
        <f t="shared" si="36"/>
        <v>0</v>
      </c>
      <c r="CJ30" s="64"/>
      <c r="CK30" s="36"/>
      <c r="CL30" s="11">
        <f t="shared" si="25"/>
        <v>0</v>
      </c>
      <c r="CM30" s="64"/>
      <c r="CN30" s="36"/>
      <c r="CO30" s="11">
        <f t="shared" si="37"/>
        <v>0</v>
      </c>
      <c r="CP30" s="64"/>
      <c r="CQ30" s="36"/>
      <c r="CR30" s="11">
        <f t="shared" si="27"/>
        <v>0</v>
      </c>
      <c r="CS30" s="64"/>
      <c r="CT30" s="36"/>
      <c r="CU30" s="11">
        <f t="shared" si="28"/>
        <v>0</v>
      </c>
      <c r="CV30" s="64"/>
      <c r="CW30" s="13"/>
      <c r="CX30" s="260">
        <f t="shared" si="3"/>
        <v>0</v>
      </c>
      <c r="CY30" s="157"/>
      <c r="CZ30" s="157"/>
    </row>
    <row r="31" spans="1:104" ht="14.25" customHeight="1">
      <c r="A31" s="10">
        <v>26</v>
      </c>
      <c r="B31" s="36"/>
      <c r="C31" s="11">
        <f t="shared" si="29"/>
        <v>0</v>
      </c>
      <c r="D31" s="63"/>
      <c r="E31" s="36"/>
      <c r="F31" s="11">
        <f t="shared" si="30"/>
        <v>0</v>
      </c>
      <c r="G31" s="63"/>
      <c r="H31" s="36"/>
      <c r="I31" s="11">
        <f t="shared" si="31"/>
        <v>0</v>
      </c>
      <c r="J31" s="63"/>
      <c r="K31" s="36"/>
      <c r="L31" s="11">
        <f t="shared" si="32"/>
        <v>0</v>
      </c>
      <c r="M31" s="63"/>
      <c r="N31" s="36"/>
      <c r="O31" s="11">
        <f t="shared" si="33"/>
        <v>0</v>
      </c>
      <c r="P31" s="63"/>
      <c r="Q31" s="36"/>
      <c r="R31" s="11">
        <f t="shared" si="4"/>
        <v>0</v>
      </c>
      <c r="S31" s="63"/>
      <c r="T31" s="36"/>
      <c r="U31" s="11">
        <f t="shared" si="5"/>
        <v>0</v>
      </c>
      <c r="V31" s="64"/>
      <c r="W31" s="36"/>
      <c r="X31" s="11">
        <f t="shared" si="6"/>
        <v>0</v>
      </c>
      <c r="Y31" s="63"/>
      <c r="Z31" s="36"/>
      <c r="AA31" s="11">
        <f t="shared" si="7"/>
        <v>0</v>
      </c>
      <c r="AB31" s="64"/>
      <c r="AC31" s="36"/>
      <c r="AD31" s="11">
        <f t="shared" si="8"/>
        <v>0</v>
      </c>
      <c r="AE31" s="64"/>
      <c r="AF31" s="36"/>
      <c r="AG31" s="11">
        <f t="shared" si="9"/>
        <v>0</v>
      </c>
      <c r="AH31" s="64"/>
      <c r="AI31" s="36"/>
      <c r="AJ31" s="11">
        <f t="shared" si="10"/>
        <v>0</v>
      </c>
      <c r="AK31" s="64"/>
      <c r="AL31" s="36"/>
      <c r="AM31" s="11">
        <f t="shared" si="11"/>
        <v>0</v>
      </c>
      <c r="AN31" s="64"/>
      <c r="AO31" s="36"/>
      <c r="AP31" s="11">
        <f t="shared" si="12"/>
        <v>0</v>
      </c>
      <c r="AQ31" s="64"/>
      <c r="AR31" s="36"/>
      <c r="AS31" s="11">
        <f t="shared" si="13"/>
        <v>0</v>
      </c>
      <c r="AT31" s="64"/>
      <c r="AU31" s="36"/>
      <c r="AV31" s="11">
        <f t="shared" si="14"/>
        <v>0</v>
      </c>
      <c r="AW31" s="64"/>
      <c r="AX31" s="36"/>
      <c r="AY31" s="11">
        <f t="shared" si="15"/>
        <v>0</v>
      </c>
      <c r="AZ31" s="64"/>
      <c r="BA31" s="36"/>
      <c r="BB31" s="11">
        <f t="shared" si="16"/>
        <v>0</v>
      </c>
      <c r="BC31" s="64"/>
      <c r="BD31" s="36"/>
      <c r="BE31" s="11">
        <f t="shared" si="17"/>
        <v>0</v>
      </c>
      <c r="BF31" s="64"/>
      <c r="BG31" s="36"/>
      <c r="BH31" s="11">
        <f t="shared" si="18"/>
        <v>0</v>
      </c>
      <c r="BI31" s="64"/>
      <c r="BJ31" s="36"/>
      <c r="BK31" s="11">
        <f t="shared" si="19"/>
        <v>0</v>
      </c>
      <c r="BL31" s="63"/>
      <c r="BM31" s="36"/>
      <c r="BN31" s="11">
        <f t="shared" si="0"/>
        <v>0</v>
      </c>
      <c r="BO31" s="64"/>
      <c r="BP31" s="36"/>
      <c r="BQ31" s="11">
        <f t="shared" si="20"/>
        <v>0</v>
      </c>
      <c r="BR31" s="64"/>
      <c r="BS31" s="36"/>
      <c r="BT31" s="11">
        <f t="shared" si="21"/>
        <v>0</v>
      </c>
      <c r="BU31" s="64"/>
      <c r="BV31" s="36"/>
      <c r="BW31" s="11">
        <f t="shared" si="22"/>
        <v>0</v>
      </c>
      <c r="BX31" s="64"/>
      <c r="BY31" s="36"/>
      <c r="BZ31" s="11">
        <f t="shared" si="1"/>
        <v>0</v>
      </c>
      <c r="CA31" s="64"/>
      <c r="CB31" s="36"/>
      <c r="CC31" s="11">
        <f t="shared" si="34"/>
        <v>0</v>
      </c>
      <c r="CD31" s="64"/>
      <c r="CE31" s="408"/>
      <c r="CF31" s="11">
        <f t="shared" si="35"/>
        <v>0</v>
      </c>
      <c r="CG31" s="64"/>
      <c r="CH31" s="36"/>
      <c r="CI31" s="11">
        <f t="shared" si="36"/>
        <v>0</v>
      </c>
      <c r="CJ31" s="64"/>
      <c r="CK31" s="36"/>
      <c r="CL31" s="11">
        <f t="shared" si="25"/>
        <v>0</v>
      </c>
      <c r="CM31" s="64"/>
      <c r="CN31" s="36"/>
      <c r="CO31" s="11">
        <f t="shared" si="37"/>
        <v>0</v>
      </c>
      <c r="CP31" s="64"/>
      <c r="CQ31" s="36"/>
      <c r="CR31" s="11">
        <f t="shared" si="27"/>
        <v>0</v>
      </c>
      <c r="CS31" s="64"/>
      <c r="CT31" s="36"/>
      <c r="CU31" s="11">
        <f t="shared" si="28"/>
        <v>0</v>
      </c>
      <c r="CV31" s="64"/>
      <c r="CW31" s="13"/>
      <c r="CX31" s="260">
        <f t="shared" si="3"/>
        <v>0</v>
      </c>
      <c r="CY31" s="157"/>
      <c r="CZ31" s="157"/>
    </row>
    <row r="32" spans="1:104" ht="14.25" customHeight="1">
      <c r="A32" s="10">
        <v>27</v>
      </c>
      <c r="B32" s="36"/>
      <c r="C32" s="11">
        <f t="shared" si="29"/>
        <v>0</v>
      </c>
      <c r="D32" s="63"/>
      <c r="E32" s="36"/>
      <c r="F32" s="11">
        <f t="shared" si="30"/>
        <v>0</v>
      </c>
      <c r="G32" s="63"/>
      <c r="H32" s="36"/>
      <c r="I32" s="11">
        <f t="shared" si="31"/>
        <v>0</v>
      </c>
      <c r="J32" s="63"/>
      <c r="K32" s="36"/>
      <c r="L32" s="11">
        <f t="shared" si="32"/>
        <v>0</v>
      </c>
      <c r="M32" s="63"/>
      <c r="N32" s="36"/>
      <c r="O32" s="11">
        <f t="shared" si="33"/>
        <v>0</v>
      </c>
      <c r="P32" s="63"/>
      <c r="Q32" s="36"/>
      <c r="R32" s="11">
        <f t="shared" si="4"/>
        <v>0</v>
      </c>
      <c r="S32" s="63"/>
      <c r="T32" s="36"/>
      <c r="U32" s="11">
        <f t="shared" si="5"/>
        <v>0</v>
      </c>
      <c r="V32" s="64"/>
      <c r="W32" s="36"/>
      <c r="X32" s="11">
        <f t="shared" si="6"/>
        <v>0</v>
      </c>
      <c r="Y32" s="63"/>
      <c r="Z32" s="36"/>
      <c r="AA32" s="11">
        <f t="shared" si="7"/>
        <v>0</v>
      </c>
      <c r="AB32" s="64"/>
      <c r="AC32" s="36"/>
      <c r="AD32" s="11">
        <f t="shared" si="8"/>
        <v>0</v>
      </c>
      <c r="AE32" s="64"/>
      <c r="AF32" s="36"/>
      <c r="AG32" s="11">
        <f t="shared" si="9"/>
        <v>0</v>
      </c>
      <c r="AH32" s="64"/>
      <c r="AI32" s="36"/>
      <c r="AJ32" s="11">
        <f t="shared" si="10"/>
        <v>0</v>
      </c>
      <c r="AK32" s="64"/>
      <c r="AL32" s="36"/>
      <c r="AM32" s="11">
        <f t="shared" si="11"/>
        <v>0</v>
      </c>
      <c r="AN32" s="64"/>
      <c r="AO32" s="36"/>
      <c r="AP32" s="11">
        <f t="shared" si="12"/>
        <v>0</v>
      </c>
      <c r="AQ32" s="64"/>
      <c r="AR32" s="36"/>
      <c r="AS32" s="11">
        <f t="shared" si="13"/>
        <v>0</v>
      </c>
      <c r="AT32" s="64"/>
      <c r="AU32" s="36"/>
      <c r="AV32" s="11">
        <f t="shared" si="14"/>
        <v>0</v>
      </c>
      <c r="AW32" s="64"/>
      <c r="AX32" s="36"/>
      <c r="AY32" s="11">
        <f t="shared" si="15"/>
        <v>0</v>
      </c>
      <c r="AZ32" s="64"/>
      <c r="BA32" s="36"/>
      <c r="BB32" s="11">
        <f t="shared" si="16"/>
        <v>0</v>
      </c>
      <c r="BC32" s="64"/>
      <c r="BD32" s="36"/>
      <c r="BE32" s="11">
        <f t="shared" si="17"/>
        <v>0</v>
      </c>
      <c r="BF32" s="64"/>
      <c r="BG32" s="36"/>
      <c r="BH32" s="11">
        <f t="shared" si="18"/>
        <v>0</v>
      </c>
      <c r="BI32" s="64"/>
      <c r="BJ32" s="36"/>
      <c r="BK32" s="11">
        <f t="shared" si="19"/>
        <v>0</v>
      </c>
      <c r="BL32" s="63"/>
      <c r="BM32" s="36"/>
      <c r="BN32" s="11">
        <f t="shared" si="0"/>
        <v>0</v>
      </c>
      <c r="BO32" s="64"/>
      <c r="BP32" s="36"/>
      <c r="BQ32" s="11">
        <f t="shared" si="20"/>
        <v>0</v>
      </c>
      <c r="BR32" s="64"/>
      <c r="BS32" s="36"/>
      <c r="BT32" s="11">
        <f t="shared" si="21"/>
        <v>0</v>
      </c>
      <c r="BU32" s="64"/>
      <c r="BV32" s="36"/>
      <c r="BW32" s="11">
        <f t="shared" si="22"/>
        <v>0</v>
      </c>
      <c r="BX32" s="64"/>
      <c r="BY32" s="408"/>
      <c r="BZ32" s="11">
        <f t="shared" si="1"/>
        <v>0</v>
      </c>
      <c r="CA32" s="64"/>
      <c r="CB32" s="36"/>
      <c r="CC32" s="11">
        <f t="shared" si="34"/>
        <v>0</v>
      </c>
      <c r="CD32" s="64"/>
      <c r="CE32" s="408"/>
      <c r="CF32" s="11">
        <f t="shared" si="35"/>
        <v>0</v>
      </c>
      <c r="CG32" s="64"/>
      <c r="CH32" s="36"/>
      <c r="CI32" s="11">
        <f t="shared" si="36"/>
        <v>0</v>
      </c>
      <c r="CJ32" s="64"/>
      <c r="CK32" s="36"/>
      <c r="CL32" s="11">
        <f t="shared" si="25"/>
        <v>0</v>
      </c>
      <c r="CM32" s="64"/>
      <c r="CN32" s="36"/>
      <c r="CO32" s="11">
        <f t="shared" si="37"/>
        <v>0</v>
      </c>
      <c r="CP32" s="64"/>
      <c r="CQ32" s="36"/>
      <c r="CR32" s="11">
        <f t="shared" si="27"/>
        <v>0</v>
      </c>
      <c r="CS32" s="64"/>
      <c r="CT32" s="36"/>
      <c r="CU32" s="11">
        <f t="shared" si="28"/>
        <v>0</v>
      </c>
      <c r="CV32" s="64"/>
      <c r="CW32" s="13"/>
      <c r="CX32" s="260">
        <f t="shared" si="3"/>
        <v>0</v>
      </c>
      <c r="CY32" s="157"/>
      <c r="CZ32" s="157"/>
    </row>
    <row r="33" spans="1:109" ht="14.25" customHeight="1">
      <c r="A33" s="10">
        <v>28</v>
      </c>
      <c r="B33" s="36"/>
      <c r="C33" s="11">
        <f t="shared" si="29"/>
        <v>0</v>
      </c>
      <c r="D33" s="63"/>
      <c r="E33" s="36"/>
      <c r="F33" s="11">
        <f t="shared" si="30"/>
        <v>0</v>
      </c>
      <c r="G33" s="63"/>
      <c r="H33" s="36"/>
      <c r="I33" s="11">
        <f t="shared" si="31"/>
        <v>0</v>
      </c>
      <c r="J33" s="63"/>
      <c r="K33" s="36"/>
      <c r="L33" s="11">
        <f t="shared" si="32"/>
        <v>0</v>
      </c>
      <c r="M33" s="63"/>
      <c r="N33" s="36"/>
      <c r="O33" s="11">
        <f t="shared" si="33"/>
        <v>0</v>
      </c>
      <c r="P33" s="63"/>
      <c r="Q33" s="36"/>
      <c r="R33" s="11">
        <f t="shared" si="4"/>
        <v>0</v>
      </c>
      <c r="S33" s="63"/>
      <c r="T33" s="36"/>
      <c r="U33" s="11">
        <f t="shared" si="5"/>
        <v>0</v>
      </c>
      <c r="V33" s="64"/>
      <c r="W33" s="36"/>
      <c r="X33" s="11">
        <f t="shared" si="6"/>
        <v>0</v>
      </c>
      <c r="Y33" s="63"/>
      <c r="Z33" s="36"/>
      <c r="AA33" s="11">
        <f t="shared" si="7"/>
        <v>0</v>
      </c>
      <c r="AB33" s="64"/>
      <c r="AC33" s="36"/>
      <c r="AD33" s="11">
        <f t="shared" si="8"/>
        <v>0</v>
      </c>
      <c r="AE33" s="64"/>
      <c r="AF33" s="36"/>
      <c r="AG33" s="11">
        <f t="shared" si="9"/>
        <v>0</v>
      </c>
      <c r="AH33" s="64"/>
      <c r="AI33" s="36"/>
      <c r="AJ33" s="11">
        <f t="shared" si="10"/>
        <v>0</v>
      </c>
      <c r="AK33" s="64"/>
      <c r="AL33" s="36"/>
      <c r="AM33" s="11">
        <f t="shared" si="11"/>
        <v>0</v>
      </c>
      <c r="AN33" s="64"/>
      <c r="AO33" s="36"/>
      <c r="AP33" s="11">
        <f t="shared" si="12"/>
        <v>0</v>
      </c>
      <c r="AQ33" s="64"/>
      <c r="AR33" s="36"/>
      <c r="AS33" s="11">
        <f t="shared" si="13"/>
        <v>0</v>
      </c>
      <c r="AT33" s="64"/>
      <c r="AU33" s="36"/>
      <c r="AV33" s="11">
        <f t="shared" si="14"/>
        <v>0</v>
      </c>
      <c r="AW33" s="64"/>
      <c r="AX33" s="36"/>
      <c r="AY33" s="11">
        <f t="shared" si="15"/>
        <v>0</v>
      </c>
      <c r="AZ33" s="64"/>
      <c r="BA33" s="36"/>
      <c r="BB33" s="11">
        <f t="shared" si="16"/>
        <v>0</v>
      </c>
      <c r="BC33" s="64"/>
      <c r="BD33" s="36"/>
      <c r="BE33" s="11">
        <f t="shared" si="17"/>
        <v>0</v>
      </c>
      <c r="BF33" s="64"/>
      <c r="BG33" s="36"/>
      <c r="BH33" s="11">
        <f t="shared" si="18"/>
        <v>0</v>
      </c>
      <c r="BI33" s="64"/>
      <c r="BJ33" s="36"/>
      <c r="BK33" s="11">
        <f t="shared" si="19"/>
        <v>0</v>
      </c>
      <c r="BL33" s="63"/>
      <c r="BM33" s="36"/>
      <c r="BN33" s="11">
        <f t="shared" si="0"/>
        <v>0</v>
      </c>
      <c r="BO33" s="64"/>
      <c r="BP33" s="36"/>
      <c r="BQ33" s="11">
        <f t="shared" si="20"/>
        <v>0</v>
      </c>
      <c r="BR33" s="64"/>
      <c r="BS33" s="36"/>
      <c r="BT33" s="11">
        <f t="shared" si="21"/>
        <v>0</v>
      </c>
      <c r="BU33" s="64"/>
      <c r="BV33" s="36"/>
      <c r="BW33" s="11">
        <f t="shared" si="22"/>
        <v>0</v>
      </c>
      <c r="BX33" s="64"/>
      <c r="BY33" s="408"/>
      <c r="BZ33" s="11">
        <f t="shared" si="1"/>
        <v>0</v>
      </c>
      <c r="CA33" s="64"/>
      <c r="CB33" s="36"/>
      <c r="CC33" s="11">
        <f t="shared" si="34"/>
        <v>0</v>
      </c>
      <c r="CD33" s="64"/>
      <c r="CE33" s="408"/>
      <c r="CF33" s="11">
        <f t="shared" si="35"/>
        <v>0</v>
      </c>
      <c r="CG33" s="64"/>
      <c r="CH33" s="36"/>
      <c r="CI33" s="11">
        <f t="shared" si="36"/>
        <v>0</v>
      </c>
      <c r="CJ33" s="64"/>
      <c r="CK33" s="36"/>
      <c r="CL33" s="11">
        <f t="shared" si="25"/>
        <v>0</v>
      </c>
      <c r="CM33" s="64"/>
      <c r="CN33" s="36"/>
      <c r="CO33" s="11">
        <f t="shared" si="37"/>
        <v>0</v>
      </c>
      <c r="CP33" s="64"/>
      <c r="CQ33" s="36"/>
      <c r="CR33" s="11">
        <f t="shared" si="27"/>
        <v>0</v>
      </c>
      <c r="CS33" s="64"/>
      <c r="CT33" s="36"/>
      <c r="CU33" s="11">
        <f t="shared" si="28"/>
        <v>0</v>
      </c>
      <c r="CV33" s="64"/>
      <c r="CW33" s="13"/>
      <c r="CX33" s="260">
        <f t="shared" si="3"/>
        <v>0</v>
      </c>
      <c r="CY33" s="157"/>
      <c r="CZ33" s="157"/>
    </row>
    <row r="34" spans="1:109" ht="14.25" customHeight="1">
      <c r="A34" s="10">
        <v>29</v>
      </c>
      <c r="B34" s="36"/>
      <c r="C34" s="11">
        <f t="shared" si="29"/>
        <v>0</v>
      </c>
      <c r="D34" s="63"/>
      <c r="E34" s="36"/>
      <c r="F34" s="11">
        <f t="shared" si="30"/>
        <v>0</v>
      </c>
      <c r="G34" s="63"/>
      <c r="H34" s="36"/>
      <c r="I34" s="11">
        <f t="shared" si="31"/>
        <v>0</v>
      </c>
      <c r="J34" s="63"/>
      <c r="K34" s="36"/>
      <c r="L34" s="11">
        <f t="shared" si="32"/>
        <v>0</v>
      </c>
      <c r="M34" s="63"/>
      <c r="N34" s="36"/>
      <c r="O34" s="11">
        <f t="shared" si="33"/>
        <v>0</v>
      </c>
      <c r="P34" s="63"/>
      <c r="Q34" s="36"/>
      <c r="R34" s="11">
        <f t="shared" si="4"/>
        <v>0</v>
      </c>
      <c r="S34" s="63"/>
      <c r="T34" s="36"/>
      <c r="U34" s="11">
        <f t="shared" si="5"/>
        <v>0</v>
      </c>
      <c r="V34" s="64"/>
      <c r="W34" s="36"/>
      <c r="X34" s="11">
        <f t="shared" si="6"/>
        <v>0</v>
      </c>
      <c r="Y34" s="63"/>
      <c r="Z34" s="36"/>
      <c r="AA34" s="11">
        <f t="shared" si="7"/>
        <v>0</v>
      </c>
      <c r="AB34" s="64"/>
      <c r="AC34" s="36"/>
      <c r="AD34" s="11">
        <f t="shared" si="8"/>
        <v>0</v>
      </c>
      <c r="AE34" s="64"/>
      <c r="AF34" s="36"/>
      <c r="AG34" s="11">
        <f t="shared" si="9"/>
        <v>0</v>
      </c>
      <c r="AH34" s="64"/>
      <c r="AI34" s="36"/>
      <c r="AJ34" s="11">
        <f t="shared" si="10"/>
        <v>0</v>
      </c>
      <c r="AK34" s="64"/>
      <c r="AL34" s="36"/>
      <c r="AM34" s="11">
        <f t="shared" si="11"/>
        <v>0</v>
      </c>
      <c r="AN34" s="64"/>
      <c r="AO34" s="36"/>
      <c r="AP34" s="11">
        <f t="shared" si="12"/>
        <v>0</v>
      </c>
      <c r="AQ34" s="64"/>
      <c r="AR34" s="36"/>
      <c r="AS34" s="11">
        <f t="shared" si="13"/>
        <v>0</v>
      </c>
      <c r="AT34" s="64"/>
      <c r="AU34" s="36"/>
      <c r="AV34" s="11">
        <f t="shared" si="14"/>
        <v>0</v>
      </c>
      <c r="AW34" s="64"/>
      <c r="AX34" s="36"/>
      <c r="AY34" s="11">
        <f t="shared" si="15"/>
        <v>0</v>
      </c>
      <c r="AZ34" s="64"/>
      <c r="BA34" s="36"/>
      <c r="BB34" s="11">
        <f t="shared" si="16"/>
        <v>0</v>
      </c>
      <c r="BC34" s="64"/>
      <c r="BD34" s="36"/>
      <c r="BE34" s="11">
        <f t="shared" si="17"/>
        <v>0</v>
      </c>
      <c r="BF34" s="64"/>
      <c r="BG34" s="36"/>
      <c r="BH34" s="11">
        <f t="shared" si="18"/>
        <v>0</v>
      </c>
      <c r="BI34" s="64"/>
      <c r="BJ34" s="36"/>
      <c r="BK34" s="11">
        <f t="shared" si="19"/>
        <v>0</v>
      </c>
      <c r="BL34" s="63"/>
      <c r="BM34" s="36"/>
      <c r="BN34" s="11">
        <f t="shared" si="0"/>
        <v>0</v>
      </c>
      <c r="BO34" s="64"/>
      <c r="BP34" s="36"/>
      <c r="BQ34" s="11">
        <f t="shared" si="20"/>
        <v>0</v>
      </c>
      <c r="BR34" s="64"/>
      <c r="BS34" s="36"/>
      <c r="BT34" s="11">
        <f t="shared" si="21"/>
        <v>0</v>
      </c>
      <c r="BU34" s="64"/>
      <c r="BV34" s="36"/>
      <c r="BW34" s="11">
        <f t="shared" si="22"/>
        <v>0</v>
      </c>
      <c r="BX34" s="64"/>
      <c r="BY34" s="408"/>
      <c r="BZ34" s="11">
        <f t="shared" si="1"/>
        <v>0</v>
      </c>
      <c r="CA34" s="64"/>
      <c r="CB34" s="36"/>
      <c r="CC34" s="11">
        <f t="shared" si="34"/>
        <v>0</v>
      </c>
      <c r="CD34" s="64"/>
      <c r="CE34" s="408"/>
      <c r="CF34" s="11">
        <f t="shared" si="35"/>
        <v>0</v>
      </c>
      <c r="CG34" s="64"/>
      <c r="CH34" s="36"/>
      <c r="CI34" s="11">
        <f t="shared" si="36"/>
        <v>0</v>
      </c>
      <c r="CJ34" s="64"/>
      <c r="CK34" s="36"/>
      <c r="CL34" s="11">
        <f t="shared" si="25"/>
        <v>0</v>
      </c>
      <c r="CM34" s="64"/>
      <c r="CN34" s="36"/>
      <c r="CO34" s="11">
        <f t="shared" si="37"/>
        <v>0</v>
      </c>
      <c r="CP34" s="64"/>
      <c r="CQ34" s="36"/>
      <c r="CR34" s="11">
        <f t="shared" si="27"/>
        <v>0</v>
      </c>
      <c r="CS34" s="64"/>
      <c r="CT34" s="36"/>
      <c r="CU34" s="11">
        <f t="shared" si="28"/>
        <v>0</v>
      </c>
      <c r="CV34" s="64"/>
      <c r="CW34" s="13"/>
      <c r="CX34" s="260">
        <f t="shared" si="3"/>
        <v>0</v>
      </c>
      <c r="CY34" s="157"/>
      <c r="CZ34" s="157"/>
    </row>
    <row r="35" spans="1:109" ht="14.25" customHeight="1">
      <c r="A35" s="10">
        <v>30</v>
      </c>
      <c r="B35" s="36"/>
      <c r="C35" s="11">
        <f t="shared" si="29"/>
        <v>0</v>
      </c>
      <c r="D35" s="63"/>
      <c r="E35" s="36"/>
      <c r="F35" s="11">
        <f t="shared" si="30"/>
        <v>0</v>
      </c>
      <c r="G35" s="63"/>
      <c r="H35" s="36"/>
      <c r="I35" s="11">
        <f t="shared" si="31"/>
        <v>0</v>
      </c>
      <c r="J35" s="63"/>
      <c r="K35" s="36"/>
      <c r="L35" s="11">
        <f t="shared" si="32"/>
        <v>0</v>
      </c>
      <c r="M35" s="63"/>
      <c r="N35" s="36"/>
      <c r="O35" s="11">
        <f t="shared" si="33"/>
        <v>0</v>
      </c>
      <c r="P35" s="63"/>
      <c r="Q35" s="36"/>
      <c r="R35" s="11">
        <f t="shared" si="4"/>
        <v>0</v>
      </c>
      <c r="S35" s="63"/>
      <c r="T35" s="36"/>
      <c r="U35" s="11">
        <f t="shared" si="5"/>
        <v>0</v>
      </c>
      <c r="V35" s="64"/>
      <c r="W35" s="36"/>
      <c r="X35" s="11">
        <f t="shared" si="6"/>
        <v>0</v>
      </c>
      <c r="Y35" s="63"/>
      <c r="Z35" s="36"/>
      <c r="AA35" s="11">
        <f t="shared" si="7"/>
        <v>0</v>
      </c>
      <c r="AB35" s="64"/>
      <c r="AC35" s="36"/>
      <c r="AD35" s="11">
        <f t="shared" si="8"/>
        <v>0</v>
      </c>
      <c r="AE35" s="64"/>
      <c r="AF35" s="36"/>
      <c r="AG35" s="11">
        <f t="shared" si="9"/>
        <v>0</v>
      </c>
      <c r="AH35" s="64"/>
      <c r="AI35" s="36"/>
      <c r="AJ35" s="11">
        <f t="shared" si="10"/>
        <v>0</v>
      </c>
      <c r="AK35" s="64"/>
      <c r="AL35" s="36"/>
      <c r="AM35" s="11">
        <f t="shared" si="11"/>
        <v>0</v>
      </c>
      <c r="AN35" s="64"/>
      <c r="AO35" s="36"/>
      <c r="AP35" s="11">
        <f t="shared" si="12"/>
        <v>0</v>
      </c>
      <c r="AQ35" s="64"/>
      <c r="AR35" s="36"/>
      <c r="AS35" s="11">
        <f t="shared" si="13"/>
        <v>0</v>
      </c>
      <c r="AT35" s="64"/>
      <c r="AU35" s="36"/>
      <c r="AV35" s="11">
        <f t="shared" si="14"/>
        <v>0</v>
      </c>
      <c r="AW35" s="64"/>
      <c r="AX35" s="36"/>
      <c r="AY35" s="11">
        <f t="shared" si="15"/>
        <v>0</v>
      </c>
      <c r="AZ35" s="64"/>
      <c r="BA35" s="36"/>
      <c r="BB35" s="11">
        <f t="shared" si="16"/>
        <v>0</v>
      </c>
      <c r="BC35" s="64"/>
      <c r="BD35" s="36"/>
      <c r="BE35" s="11">
        <f t="shared" si="17"/>
        <v>0</v>
      </c>
      <c r="BF35" s="64"/>
      <c r="BG35" s="36"/>
      <c r="BH35" s="11">
        <f t="shared" si="18"/>
        <v>0</v>
      </c>
      <c r="BI35" s="64"/>
      <c r="BJ35" s="36"/>
      <c r="BK35" s="11">
        <f t="shared" si="19"/>
        <v>0</v>
      </c>
      <c r="BL35" s="63"/>
      <c r="BM35" s="36"/>
      <c r="BN35" s="11">
        <f t="shared" si="0"/>
        <v>0</v>
      </c>
      <c r="BO35" s="64"/>
      <c r="BP35" s="36"/>
      <c r="BQ35" s="11">
        <f t="shared" si="20"/>
        <v>0</v>
      </c>
      <c r="BR35" s="64"/>
      <c r="BS35" s="36"/>
      <c r="BT35" s="11">
        <f t="shared" si="21"/>
        <v>0</v>
      </c>
      <c r="BU35" s="64"/>
      <c r="BV35" s="36"/>
      <c r="BW35" s="11">
        <f t="shared" si="22"/>
        <v>0</v>
      </c>
      <c r="BX35" s="64"/>
      <c r="BY35" s="36"/>
      <c r="BZ35" s="11">
        <f t="shared" si="1"/>
        <v>0</v>
      </c>
      <c r="CA35" s="64"/>
      <c r="CB35" s="36"/>
      <c r="CC35" s="11">
        <f t="shared" si="34"/>
        <v>0</v>
      </c>
      <c r="CD35" s="64"/>
      <c r="CE35" s="36"/>
      <c r="CF35" s="11">
        <f t="shared" si="35"/>
        <v>0</v>
      </c>
      <c r="CG35" s="64"/>
      <c r="CH35" s="36"/>
      <c r="CI35" s="11">
        <f t="shared" si="36"/>
        <v>0</v>
      </c>
      <c r="CJ35" s="64"/>
      <c r="CK35" s="36"/>
      <c r="CL35" s="11">
        <f t="shared" si="25"/>
        <v>0</v>
      </c>
      <c r="CM35" s="64"/>
      <c r="CN35" s="36"/>
      <c r="CO35" s="11">
        <f t="shared" si="37"/>
        <v>0</v>
      </c>
      <c r="CP35" s="64"/>
      <c r="CQ35" s="36"/>
      <c r="CR35" s="11">
        <f t="shared" si="27"/>
        <v>0</v>
      </c>
      <c r="CS35" s="64"/>
      <c r="CT35" s="36"/>
      <c r="CU35" s="11">
        <f t="shared" si="28"/>
        <v>0</v>
      </c>
      <c r="CV35" s="64"/>
      <c r="CW35" s="13"/>
      <c r="CX35" s="260">
        <f t="shared" si="3"/>
        <v>0</v>
      </c>
      <c r="CY35" s="157"/>
      <c r="CZ35" s="157"/>
    </row>
    <row r="36" spans="1:109" ht="14.25" customHeight="1" thickBot="1">
      <c r="A36" s="10">
        <v>31</v>
      </c>
      <c r="B36" s="36"/>
      <c r="C36" s="11">
        <f t="shared" si="29"/>
        <v>0</v>
      </c>
      <c r="D36" s="63"/>
      <c r="E36" s="36"/>
      <c r="F36" s="11">
        <f t="shared" si="30"/>
        <v>0</v>
      </c>
      <c r="G36" s="63"/>
      <c r="H36" s="36"/>
      <c r="I36" s="11">
        <f t="shared" si="31"/>
        <v>0</v>
      </c>
      <c r="J36" s="63"/>
      <c r="K36" s="36"/>
      <c r="L36" s="11">
        <f t="shared" si="32"/>
        <v>0</v>
      </c>
      <c r="M36" s="63"/>
      <c r="N36" s="36"/>
      <c r="O36" s="11">
        <f t="shared" si="33"/>
        <v>0</v>
      </c>
      <c r="P36" s="63"/>
      <c r="Q36" s="36"/>
      <c r="R36" s="11">
        <f t="shared" si="4"/>
        <v>0</v>
      </c>
      <c r="S36" s="63"/>
      <c r="T36" s="36"/>
      <c r="U36" s="11">
        <f t="shared" si="5"/>
        <v>0</v>
      </c>
      <c r="V36" s="64"/>
      <c r="W36" s="36"/>
      <c r="X36" s="11">
        <f t="shared" si="6"/>
        <v>0</v>
      </c>
      <c r="Y36" s="63"/>
      <c r="Z36" s="36"/>
      <c r="AA36" s="11">
        <f t="shared" si="7"/>
        <v>0</v>
      </c>
      <c r="AB36" s="64"/>
      <c r="AC36" s="36"/>
      <c r="AD36" s="11">
        <f t="shared" si="8"/>
        <v>0</v>
      </c>
      <c r="AE36" s="64"/>
      <c r="AF36" s="36"/>
      <c r="AG36" s="11">
        <f t="shared" si="9"/>
        <v>0</v>
      </c>
      <c r="AH36" s="64"/>
      <c r="AI36" s="36"/>
      <c r="AJ36" s="11">
        <f t="shared" si="10"/>
        <v>0</v>
      </c>
      <c r="AK36" s="64"/>
      <c r="AL36" s="36"/>
      <c r="AM36" s="11">
        <f t="shared" si="11"/>
        <v>0</v>
      </c>
      <c r="AN36" s="64"/>
      <c r="AO36" s="36"/>
      <c r="AP36" s="11">
        <f t="shared" si="12"/>
        <v>0</v>
      </c>
      <c r="AQ36" s="64"/>
      <c r="AR36" s="36"/>
      <c r="AS36" s="11">
        <f t="shared" si="13"/>
        <v>0</v>
      </c>
      <c r="AT36" s="64"/>
      <c r="AU36" s="36"/>
      <c r="AV36" s="11">
        <f t="shared" si="14"/>
        <v>0</v>
      </c>
      <c r="AW36" s="64"/>
      <c r="AX36" s="36"/>
      <c r="AY36" s="11">
        <f t="shared" si="15"/>
        <v>0</v>
      </c>
      <c r="AZ36" s="64"/>
      <c r="BA36" s="36"/>
      <c r="BB36" s="11">
        <f t="shared" si="16"/>
        <v>0</v>
      </c>
      <c r="BC36" s="64"/>
      <c r="BD36" s="36"/>
      <c r="BE36" s="11">
        <f t="shared" si="17"/>
        <v>0</v>
      </c>
      <c r="BF36" s="64"/>
      <c r="BG36" s="36"/>
      <c r="BH36" s="11">
        <f t="shared" si="18"/>
        <v>0</v>
      </c>
      <c r="BI36" s="64"/>
      <c r="BJ36" s="36"/>
      <c r="BK36" s="11">
        <f t="shared" si="19"/>
        <v>0</v>
      </c>
      <c r="BL36" s="63"/>
      <c r="BM36" s="36"/>
      <c r="BN36" s="11">
        <f t="shared" si="0"/>
        <v>0</v>
      </c>
      <c r="BO36" s="64"/>
      <c r="BP36" s="36"/>
      <c r="BQ36" s="11">
        <f t="shared" si="20"/>
        <v>0</v>
      </c>
      <c r="BR36" s="64"/>
      <c r="BS36" s="36"/>
      <c r="BT36" s="11">
        <f t="shared" si="21"/>
        <v>0</v>
      </c>
      <c r="BU36" s="64"/>
      <c r="BV36" s="36"/>
      <c r="BW36" s="11">
        <f t="shared" si="22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34"/>
        <v>0</v>
      </c>
      <c r="CD36" s="64"/>
      <c r="CE36" s="36"/>
      <c r="CF36" s="11">
        <f>CG$3*CG$4*216*24*60*CE36/9000000</f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25"/>
        <v>0</v>
      </c>
      <c r="CM36" s="64"/>
      <c r="CN36" s="36"/>
      <c r="CO36" s="11">
        <f t="shared" si="37"/>
        <v>0</v>
      </c>
      <c r="CP36" s="64"/>
      <c r="CQ36" s="36"/>
      <c r="CR36" s="11">
        <f t="shared" si="27"/>
        <v>0</v>
      </c>
      <c r="CS36" s="64"/>
      <c r="CT36" s="36"/>
      <c r="CU36" s="11">
        <f t="shared" si="28"/>
        <v>0</v>
      </c>
      <c r="CV36" s="64"/>
      <c r="CW36" s="13"/>
      <c r="CX36" s="260">
        <f t="shared" si="3"/>
        <v>0</v>
      </c>
      <c r="CY36" s="157"/>
      <c r="CZ36" s="157"/>
    </row>
    <row r="37" spans="1:109" s="21" customFormat="1" ht="17.25" hidden="1" customHeight="1" thickBot="1">
      <c r="A37" s="16"/>
      <c r="B37" s="17">
        <f>IF(B6="",0,AVERAGE(B6:B36))</f>
        <v>0</v>
      </c>
      <c r="C37" s="176">
        <f>SUM(C6:C36)</f>
        <v>0</v>
      </c>
      <c r="D37" s="20">
        <f>SUM(D6:D36)</f>
        <v>0</v>
      </c>
      <c r="E37" s="17">
        <f>IF(E6="",0,AVERAGE(E6:E36))</f>
        <v>0</v>
      </c>
      <c r="F37" s="176">
        <f>SUM(F6:F36)</f>
        <v>0</v>
      </c>
      <c r="G37" s="20">
        <f>SUM(G6:G36)</f>
        <v>0</v>
      </c>
      <c r="H37" s="17">
        <f>IF(H6="",0,AVERAGE(H6:H36))</f>
        <v>0</v>
      </c>
      <c r="I37" s="176">
        <f>SUM(I6:I36)</f>
        <v>0</v>
      </c>
      <c r="J37" s="20">
        <f>SUM(J6:J36)</f>
        <v>0</v>
      </c>
      <c r="K37" s="17">
        <f>IF(K6="",0,AVERAGE(K6:K36))</f>
        <v>0</v>
      </c>
      <c r="L37" s="176">
        <f>SUM(L6:L36)</f>
        <v>0</v>
      </c>
      <c r="M37" s="20">
        <f>SUM(M6:M36)</f>
        <v>0</v>
      </c>
      <c r="N37" s="17">
        <f>IF(N6="",0,AVERAGE(N6:N36))</f>
        <v>0</v>
      </c>
      <c r="O37" s="176">
        <f>SUM(O6:O36)</f>
        <v>0</v>
      </c>
      <c r="P37" s="20">
        <f>SUM(P6:P36)</f>
        <v>0</v>
      </c>
      <c r="Q37" s="17">
        <f>IF(Q6="",0,AVERAGE(Q6:Q36))</f>
        <v>0</v>
      </c>
      <c r="R37" s="176">
        <f>SUM(R6:R36)</f>
        <v>0</v>
      </c>
      <c r="S37" s="20">
        <f>SUM(S6:S36)</f>
        <v>0</v>
      </c>
      <c r="T37" s="36">
        <v>0</v>
      </c>
      <c r="U37" s="806">
        <f>SUM(U6:U36)</f>
        <v>0</v>
      </c>
      <c r="V37" s="20">
        <f>SUM(V6:V36)</f>
        <v>0</v>
      </c>
      <c r="W37" s="17">
        <f>IF(W6="",0,AVERAGE(W6:W36))</f>
        <v>0</v>
      </c>
      <c r="X37" s="176">
        <f>SUM(X6:X36)</f>
        <v>0</v>
      </c>
      <c r="Y37" s="20">
        <f>SUM(Y6:Y36)</f>
        <v>0</v>
      </c>
      <c r="Z37" s="17">
        <f>IF(Z6="",0,AVERAGE(Z6:Z36))</f>
        <v>0</v>
      </c>
      <c r="AA37" s="176">
        <f>SUM(AA6:AA36)</f>
        <v>0</v>
      </c>
      <c r="AB37" s="20">
        <f>SUM(AB6:AB36)</f>
        <v>0</v>
      </c>
      <c r="AC37" s="17">
        <f>IF(AC6="",0,AVERAGE(AC6:AC36))</f>
        <v>0</v>
      </c>
      <c r="AD37" s="176">
        <f>SUM(AD6:AD36)</f>
        <v>0</v>
      </c>
      <c r="AE37" s="20">
        <f>SUM(AE6:AE36)</f>
        <v>0</v>
      </c>
      <c r="AF37" s="17">
        <f>IF(AF6="",0,AVERAGE(AF6:AF36))</f>
        <v>0</v>
      </c>
      <c r="AG37" s="176">
        <f>SUM(AG6:AG36)</f>
        <v>0</v>
      </c>
      <c r="AH37" s="20">
        <f>SUM(AH6:AH36)</f>
        <v>0</v>
      </c>
      <c r="AI37" s="17">
        <f>IF(AI6="",0,AVERAGE(AI6:AI36))</f>
        <v>0</v>
      </c>
      <c r="AJ37" s="176">
        <f>SUM(AJ6:AJ36)</f>
        <v>0</v>
      </c>
      <c r="AK37" s="20">
        <f>SUM(AK6:AK36)</f>
        <v>0</v>
      </c>
      <c r="AL37" s="17">
        <f>IF(AL6="",0,AVERAGE(AL6:AL36))</f>
        <v>0</v>
      </c>
      <c r="AM37" s="176">
        <f>SUM(AM6:AM36)</f>
        <v>0</v>
      </c>
      <c r="AN37" s="20">
        <f>SUM(AN6:AN36)</f>
        <v>0</v>
      </c>
      <c r="AO37" s="17">
        <f>IF(AO6="",0,AVERAGE(AO6:AO36))</f>
        <v>0</v>
      </c>
      <c r="AP37" s="176">
        <f>SUM(AP6:AP36)</f>
        <v>0</v>
      </c>
      <c r="AQ37" s="20">
        <f>SUM(AQ6:AQ36)</f>
        <v>0</v>
      </c>
      <c r="AR37" s="17">
        <f>IF(AR6="",0,AVERAGE(AR6:AR36))</f>
        <v>0</v>
      </c>
      <c r="AS37" s="176">
        <f>SUM(AS6:AS36)</f>
        <v>0</v>
      </c>
      <c r="AT37" s="20">
        <f>SUM(AT6:AT36)</f>
        <v>0</v>
      </c>
      <c r="AU37" s="17">
        <f>IF(AU6="",0,AVERAGE(AU6:AU36))</f>
        <v>0</v>
      </c>
      <c r="AV37" s="176">
        <f>SUM(AV6:AV36)</f>
        <v>0</v>
      </c>
      <c r="AW37" s="20">
        <f>SUM(AW6:AW36)</f>
        <v>0</v>
      </c>
      <c r="AX37" s="17">
        <f>IF(AX6="",0,AVERAGE(AX6:AX36))</f>
        <v>0</v>
      </c>
      <c r="AY37" s="176">
        <f>SUM(AY6:AY36)</f>
        <v>0</v>
      </c>
      <c r="AZ37" s="20">
        <f>SUM(AZ6:AZ36)</f>
        <v>0</v>
      </c>
      <c r="BA37" s="17">
        <f>IF(BA6="",0,AVERAGE(BA6:BA36))</f>
        <v>0</v>
      </c>
      <c r="BB37" s="176">
        <f>SUM(BB6:BB36)</f>
        <v>0</v>
      </c>
      <c r="BC37" s="20">
        <f>SUM(BC6:BC36)</f>
        <v>0</v>
      </c>
      <c r="BD37" s="17">
        <f>IF(BD6="",0,AVERAGE(BD6:BD36))</f>
        <v>0</v>
      </c>
      <c r="BE37" s="176">
        <f>SUM(BE6:BE36)</f>
        <v>0</v>
      </c>
      <c r="BF37" s="20">
        <f>SUM(BF6:BF36)</f>
        <v>0</v>
      </c>
      <c r="BG37" s="17">
        <f>IF(BG6="",0,AVERAGE(BG6:BG36))</f>
        <v>0</v>
      </c>
      <c r="BH37" s="176">
        <f>SUM(BH6:BH36)</f>
        <v>0</v>
      </c>
      <c r="BI37" s="20">
        <f>SUM(BI6:BI36)</f>
        <v>0</v>
      </c>
      <c r="BJ37" s="17">
        <f>IF(BJ6="",0,AVERAGE(BJ6:BJ36))</f>
        <v>0</v>
      </c>
      <c r="BK37" s="176">
        <f>SUM(BK6:BK36)</f>
        <v>0</v>
      </c>
      <c r="BL37" s="20">
        <f>SUM(BL6:BL36)</f>
        <v>0</v>
      </c>
      <c r="BM37" s="17">
        <f>IF(BM6="",0,AVERAGE(BM6:BM36))</f>
        <v>0</v>
      </c>
      <c r="BN37" s="176">
        <f>SUM(BN6:BN36)</f>
        <v>0</v>
      </c>
      <c r="BO37" s="19">
        <f>SUM(BO6:BO36)-BO41</f>
        <v>0</v>
      </c>
      <c r="BP37" s="17">
        <f>IF(BP6="",0,AVERAGE(BP6:BP36))</f>
        <v>0</v>
      </c>
      <c r="BQ37" s="176">
        <f>SUM(BQ6:BQ36)</f>
        <v>0</v>
      </c>
      <c r="BR37" s="19">
        <f>SUM(BR6:BR36)-BR41</f>
        <v>0</v>
      </c>
      <c r="BS37" s="17">
        <f>IF(BS6="",0,AVERAGE(BS6:BS36))</f>
        <v>0</v>
      </c>
      <c r="BT37" s="176">
        <f>SUM(BT6:BT36)</f>
        <v>0</v>
      </c>
      <c r="BU37" s="19">
        <f>SUM(BU6:BU36)-BU41</f>
        <v>0</v>
      </c>
      <c r="BV37" s="17">
        <f>IF(BV6="",0,AVERAGE(BV6:BV36))</f>
        <v>0</v>
      </c>
      <c r="BW37" s="176">
        <f>SUM(BW6:BW36)</f>
        <v>0</v>
      </c>
      <c r="BX37" s="20">
        <f>SUM(BX6:BX36)</f>
        <v>0</v>
      </c>
      <c r="BY37" s="17">
        <f>IF(BY6="",0,AVERAGE(BY6:BY36))</f>
        <v>0</v>
      </c>
      <c r="BZ37" s="176">
        <f>SUM(BZ6:BZ36)</f>
        <v>0</v>
      </c>
      <c r="CA37" s="20">
        <f>SUM(CA6:CA36)</f>
        <v>0</v>
      </c>
      <c r="CB37" s="17">
        <f>IF(CB6="",0,AVERAGE(CB6:CB36))</f>
        <v>0</v>
      </c>
      <c r="CC37" s="176">
        <f>SUM(CC6:CC36)</f>
        <v>0</v>
      </c>
      <c r="CD37" s="20">
        <f>SUM(CD6:CD36)</f>
        <v>0</v>
      </c>
      <c r="CE37" s="17">
        <f>IF(CE6="",0,AVERAGE(CE6:CE36))</f>
        <v>0</v>
      </c>
      <c r="CF37" s="176">
        <f>SUM(CF6:CF36)</f>
        <v>0</v>
      </c>
      <c r="CG37" s="20">
        <f>SUM(CG6:CG36)</f>
        <v>0</v>
      </c>
      <c r="CH37" s="17">
        <f>IF(CH6="",0,AVERAGE(CH6:CH36))</f>
        <v>0</v>
      </c>
      <c r="CI37" s="176">
        <f>SUM(CI6:CI36)</f>
        <v>0</v>
      </c>
      <c r="CJ37" s="20">
        <f>SUM(CJ6:CJ36)</f>
        <v>0</v>
      </c>
      <c r="CK37" s="17">
        <f>IF(CK6="",0,AVERAGE(CK6:CK36))</f>
        <v>0</v>
      </c>
      <c r="CL37" s="176">
        <f>SUM(CL6:CL36)</f>
        <v>0</v>
      </c>
      <c r="CM37" s="20">
        <f>SUM(CM6:CM36)</f>
        <v>0</v>
      </c>
      <c r="CN37" s="17">
        <f>IF(CN6="",0,AVERAGE(CN6:CN36))</f>
        <v>0</v>
      </c>
      <c r="CO37" s="176">
        <f>SUM(CO6:CO36)</f>
        <v>0</v>
      </c>
      <c r="CP37" s="20">
        <f>SUM(CP6:CP36)</f>
        <v>0</v>
      </c>
      <c r="CQ37" s="17">
        <f>IF(CQ6="",0,AVERAGE(CQ6:CQ36))</f>
        <v>0</v>
      </c>
      <c r="CR37" s="176">
        <f>SUM(CR6:CR36)</f>
        <v>0</v>
      </c>
      <c r="CS37" s="20">
        <f>SUM(CS6:CS36)</f>
        <v>0</v>
      </c>
      <c r="CT37" s="17">
        <f>IF(CT6="",0,AVERAGE(CT6:CT36))</f>
        <v>0</v>
      </c>
      <c r="CU37" s="176">
        <f>SUM(CU6:CU36)</f>
        <v>0</v>
      </c>
      <c r="CV37" s="20">
        <f>SUM(CV6:CV36)</f>
        <v>0</v>
      </c>
      <c r="CW37" s="13"/>
      <c r="CX37" s="260">
        <f t="shared" si="3"/>
        <v>0</v>
      </c>
      <c r="CY37" s="157"/>
      <c r="CZ37" s="157"/>
    </row>
    <row r="38" spans="1:109" s="40" customFormat="1" ht="25.5" customHeight="1" thickTop="1">
      <c r="A38" s="57"/>
      <c r="B38" s="1554"/>
      <c r="C38" s="1554"/>
      <c r="D38" s="1555"/>
      <c r="E38" s="1554"/>
      <c r="F38" s="1554"/>
      <c r="G38" s="1555"/>
      <c r="H38" s="1554"/>
      <c r="I38" s="1554"/>
      <c r="J38" s="1555"/>
      <c r="K38" s="1554"/>
      <c r="L38" s="1554"/>
      <c r="M38" s="1555"/>
      <c r="N38" s="1554"/>
      <c r="O38" s="1554"/>
      <c r="P38" s="1555"/>
      <c r="Q38" s="1554"/>
      <c r="R38" s="1554"/>
      <c r="S38" s="1555"/>
      <c r="T38" s="1554"/>
      <c r="U38" s="1554"/>
      <c r="V38" s="1555"/>
      <c r="W38" s="1554"/>
      <c r="X38" s="1554"/>
      <c r="Y38" s="1555"/>
      <c r="Z38" s="1554"/>
      <c r="AA38" s="1554"/>
      <c r="AB38" s="1555"/>
      <c r="AC38" s="1554"/>
      <c r="AD38" s="1554"/>
      <c r="AE38" s="1555"/>
      <c r="AF38" s="1554"/>
      <c r="AG38" s="1554"/>
      <c r="AH38" s="1555"/>
      <c r="AI38" s="1554"/>
      <c r="AJ38" s="1554"/>
      <c r="AK38" s="1555"/>
      <c r="AL38" s="1554"/>
      <c r="AM38" s="1554"/>
      <c r="AN38" s="1555"/>
      <c r="AO38" s="1554"/>
      <c r="AP38" s="1554"/>
      <c r="AQ38" s="1555"/>
      <c r="AR38" s="1554"/>
      <c r="AS38" s="1554"/>
      <c r="AT38" s="1555"/>
      <c r="AU38" s="1554"/>
      <c r="AV38" s="1554"/>
      <c r="AW38" s="1555"/>
      <c r="AX38" s="1554"/>
      <c r="AY38" s="1554"/>
      <c r="AZ38" s="1555"/>
      <c r="BA38" s="1554"/>
      <c r="BB38" s="1554"/>
      <c r="BC38" s="1555"/>
      <c r="BD38" s="1553"/>
      <c r="BE38" s="1554"/>
      <c r="BF38" s="1555"/>
      <c r="BG38" s="1554"/>
      <c r="BH38" s="1554"/>
      <c r="BI38" s="1555"/>
      <c r="BJ38" s="1568"/>
      <c r="BK38" s="1569"/>
      <c r="BL38" s="1570"/>
      <c r="BM38" s="1568"/>
      <c r="BN38" s="1569"/>
      <c r="BO38" s="1570"/>
      <c r="BP38" s="1568"/>
      <c r="BQ38" s="1569"/>
      <c r="BR38" s="1570"/>
      <c r="BS38" s="1568"/>
      <c r="BT38" s="1569"/>
      <c r="BU38" s="1570"/>
      <c r="BV38" s="1568"/>
      <c r="BW38" s="1569"/>
      <c r="BX38" s="1570"/>
      <c r="BY38" s="1553"/>
      <c r="BZ38" s="1554"/>
      <c r="CA38" s="1555"/>
      <c r="CB38" s="1568"/>
      <c r="CC38" s="1569"/>
      <c r="CD38" s="1570"/>
      <c r="CE38" s="1568"/>
      <c r="CF38" s="1569"/>
      <c r="CG38" s="1570"/>
      <c r="CH38" s="1553"/>
      <c r="CI38" s="1554"/>
      <c r="CJ38" s="1555"/>
      <c r="CK38" s="1553"/>
      <c r="CL38" s="1554"/>
      <c r="CM38" s="1555"/>
      <c r="CN38" s="1553"/>
      <c r="CO38" s="1554"/>
      <c r="CP38" s="1555"/>
      <c r="CQ38" s="1553"/>
      <c r="CR38" s="1554"/>
      <c r="CS38" s="1555"/>
      <c r="CT38" s="1553"/>
      <c r="CU38" s="1554"/>
      <c r="CV38" s="1555"/>
      <c r="CW38" s="24"/>
      <c r="CX38" s="39"/>
    </row>
    <row r="39" spans="1:109" s="40" customFormat="1" ht="26.25" customHeight="1" thickBot="1">
      <c r="A39" s="58"/>
      <c r="B39" s="1577"/>
      <c r="C39" s="1577"/>
      <c r="D39" s="1578"/>
      <c r="E39" s="1577"/>
      <c r="F39" s="1577"/>
      <c r="G39" s="1578"/>
      <c r="H39" s="1577"/>
      <c r="I39" s="1577"/>
      <c r="J39" s="1578"/>
      <c r="K39" s="1577"/>
      <c r="L39" s="1577"/>
      <c r="M39" s="1578"/>
      <c r="N39" s="1577"/>
      <c r="O39" s="1577"/>
      <c r="P39" s="1578"/>
      <c r="Q39" s="1577"/>
      <c r="R39" s="1577"/>
      <c r="S39" s="1578"/>
      <c r="T39" s="1577"/>
      <c r="U39" s="1577"/>
      <c r="V39" s="1578"/>
      <c r="W39" s="1577"/>
      <c r="X39" s="1577"/>
      <c r="Y39" s="1578"/>
      <c r="Z39" s="1577"/>
      <c r="AA39" s="1577"/>
      <c r="AB39" s="1578"/>
      <c r="AC39" s="1577"/>
      <c r="AD39" s="1577"/>
      <c r="AE39" s="1578"/>
      <c r="AF39" s="1577"/>
      <c r="AG39" s="1577"/>
      <c r="AH39" s="1578"/>
      <c r="AI39" s="1577"/>
      <c r="AJ39" s="1577"/>
      <c r="AK39" s="1578"/>
      <c r="AL39" s="1577"/>
      <c r="AM39" s="1577"/>
      <c r="AN39" s="1578"/>
      <c r="AO39" s="1577"/>
      <c r="AP39" s="1577"/>
      <c r="AQ39" s="1578"/>
      <c r="AR39" s="1577"/>
      <c r="AS39" s="1577"/>
      <c r="AT39" s="1578"/>
      <c r="AU39" s="1577"/>
      <c r="AV39" s="1577"/>
      <c r="AW39" s="1578"/>
      <c r="AX39" s="1577"/>
      <c r="AY39" s="1577"/>
      <c r="AZ39" s="1578"/>
      <c r="BA39" s="1577"/>
      <c r="BB39" s="1577"/>
      <c r="BC39" s="1578"/>
      <c r="BD39" s="1571"/>
      <c r="BE39" s="1572"/>
      <c r="BF39" s="1573"/>
      <c r="BG39" s="1577"/>
      <c r="BH39" s="1577"/>
      <c r="BI39" s="1578"/>
      <c r="BJ39" s="1574"/>
      <c r="BK39" s="1575"/>
      <c r="BL39" s="1576"/>
      <c r="BM39" s="1574"/>
      <c r="BN39" s="1575"/>
      <c r="BO39" s="1576"/>
      <c r="BP39" s="1574"/>
      <c r="BQ39" s="1575"/>
      <c r="BR39" s="1576"/>
      <c r="BS39" s="1574"/>
      <c r="BT39" s="1575"/>
      <c r="BU39" s="1576"/>
      <c r="BV39" s="1574"/>
      <c r="BW39" s="1575"/>
      <c r="BX39" s="1576"/>
      <c r="BY39" s="1559"/>
      <c r="BZ39" s="1560"/>
      <c r="CA39" s="1561"/>
      <c r="CB39" s="1574"/>
      <c r="CC39" s="1575"/>
      <c r="CD39" s="1576"/>
      <c r="CE39" s="1574"/>
      <c r="CF39" s="1575"/>
      <c r="CG39" s="1576"/>
      <c r="CH39" s="1559"/>
      <c r="CI39" s="1560"/>
      <c r="CJ39" s="1561"/>
      <c r="CK39" s="1571"/>
      <c r="CL39" s="1572"/>
      <c r="CM39" s="1573"/>
      <c r="CN39" s="1571"/>
      <c r="CO39" s="1572"/>
      <c r="CP39" s="1573"/>
      <c r="CQ39" s="1559"/>
      <c r="CR39" s="1560"/>
      <c r="CS39" s="1561"/>
      <c r="CT39" s="1559"/>
      <c r="CU39" s="1560"/>
      <c r="CV39" s="1561"/>
      <c r="CW39" s="25"/>
      <c r="CX39" s="39"/>
    </row>
    <row r="40" spans="1:109" s="40" customFormat="1" ht="26.25" customHeight="1" thickBot="1">
      <c r="A40" s="59"/>
      <c r="B40" s="1579"/>
      <c r="C40" s="1580"/>
      <c r="D40" s="1581"/>
      <c r="E40" s="1579"/>
      <c r="F40" s="1580"/>
      <c r="G40" s="1581"/>
      <c r="H40" s="1579"/>
      <c r="I40" s="1580"/>
      <c r="J40" s="1581"/>
      <c r="K40" s="1579"/>
      <c r="L40" s="1580"/>
      <c r="M40" s="1581"/>
      <c r="N40" s="1579"/>
      <c r="O40" s="1580"/>
      <c r="P40" s="1581"/>
      <c r="Q40" s="1579"/>
      <c r="R40" s="1580"/>
      <c r="S40" s="1581"/>
      <c r="T40" s="1579"/>
      <c r="U40" s="1580"/>
      <c r="V40" s="1581"/>
      <c r="W40" s="1579"/>
      <c r="X40" s="1580"/>
      <c r="Y40" s="1581"/>
      <c r="Z40" s="1579"/>
      <c r="AA40" s="1580"/>
      <c r="AB40" s="1581"/>
      <c r="AC40" s="1579"/>
      <c r="AD40" s="1580"/>
      <c r="AE40" s="1581"/>
      <c r="AF40" s="1579"/>
      <c r="AG40" s="1580"/>
      <c r="AH40" s="1581"/>
      <c r="AI40" s="1579"/>
      <c r="AJ40" s="1580"/>
      <c r="AK40" s="1581"/>
      <c r="AL40" s="1579"/>
      <c r="AM40" s="1580"/>
      <c r="AN40" s="1581"/>
      <c r="AO40" s="1579"/>
      <c r="AP40" s="1580"/>
      <c r="AQ40" s="1581"/>
      <c r="AR40" s="1579"/>
      <c r="AS40" s="1580"/>
      <c r="AT40" s="1581"/>
      <c r="AU40" s="1579"/>
      <c r="AV40" s="1580"/>
      <c r="AW40" s="1581"/>
      <c r="AX40" s="1579"/>
      <c r="AY40" s="1580"/>
      <c r="AZ40" s="1581"/>
      <c r="BA40" s="1579"/>
      <c r="BB40" s="1580"/>
      <c r="BC40" s="1581"/>
      <c r="BD40" s="1562"/>
      <c r="BE40" s="1563"/>
      <c r="BF40" s="1564"/>
      <c r="BG40" s="1579"/>
      <c r="BH40" s="1580"/>
      <c r="BI40" s="1581"/>
      <c r="BJ40" s="1562"/>
      <c r="BK40" s="1563"/>
      <c r="BL40" s="1564"/>
      <c r="BM40" s="1562"/>
      <c r="BN40" s="1563"/>
      <c r="BO40" s="1564"/>
      <c r="BP40" s="1562"/>
      <c r="BQ40" s="1563"/>
      <c r="BR40" s="1564"/>
      <c r="BS40" s="1562"/>
      <c r="BT40" s="1563"/>
      <c r="BU40" s="1564"/>
      <c r="BV40" s="1562"/>
      <c r="BW40" s="1563"/>
      <c r="BX40" s="1564"/>
      <c r="BY40" s="1562"/>
      <c r="BZ40" s="1563"/>
      <c r="CA40" s="1564"/>
      <c r="CB40" s="1562"/>
      <c r="CC40" s="1563"/>
      <c r="CD40" s="1564"/>
      <c r="CE40" s="1562"/>
      <c r="CF40" s="1563"/>
      <c r="CG40" s="1564"/>
      <c r="CH40" s="1562"/>
      <c r="CI40" s="1563"/>
      <c r="CJ40" s="1564"/>
      <c r="CK40" s="1562"/>
      <c r="CL40" s="1563"/>
      <c r="CM40" s="1564"/>
      <c r="CN40" s="1562"/>
      <c r="CO40" s="1563"/>
      <c r="CP40" s="1564"/>
      <c r="CQ40" s="1562"/>
      <c r="CR40" s="1563"/>
      <c r="CS40" s="1564"/>
      <c r="CT40" s="1562"/>
      <c r="CU40" s="1563"/>
      <c r="CV40" s="1564"/>
      <c r="CX40" s="41"/>
    </row>
    <row r="41" spans="1:109" s="27" customFormat="1" ht="26.25" hidden="1" customHeight="1" thickTop="1" thickBot="1">
      <c r="A41" s="26"/>
      <c r="B41" s="1565">
        <f>B38-B39-B60</f>
        <v>0</v>
      </c>
      <c r="C41" s="1566"/>
      <c r="D41" s="1567"/>
      <c r="E41" s="494">
        <f>E38-E39-E60</f>
        <v>0</v>
      </c>
      <c r="F41" s="495"/>
      <c r="G41" s="496"/>
      <c r="H41" s="494">
        <f>H38-H39-H60</f>
        <v>0</v>
      </c>
      <c r="I41" s="495"/>
      <c r="J41" s="496"/>
      <c r="K41" s="494">
        <f>K38-K39-K60</f>
        <v>0</v>
      </c>
      <c r="L41" s="495"/>
      <c r="M41" s="496"/>
      <c r="N41" s="494">
        <f>N38-N39-N60</f>
        <v>0</v>
      </c>
      <c r="O41" s="495"/>
      <c r="P41" s="496"/>
      <c r="Q41" s="494">
        <f>Q38-Q39-Q60</f>
        <v>0</v>
      </c>
      <c r="R41" s="495"/>
      <c r="S41" s="496"/>
      <c r="T41" s="494">
        <f>T38-T39-T60</f>
        <v>0</v>
      </c>
      <c r="U41" s="495"/>
      <c r="V41" s="496"/>
      <c r="W41" s="494">
        <f>W38-W39-W60</f>
        <v>0</v>
      </c>
      <c r="X41" s="495"/>
      <c r="Y41" s="496"/>
      <c r="Z41" s="494">
        <f>Z38-Z39-Z60</f>
        <v>0</v>
      </c>
      <c r="AA41" s="495"/>
      <c r="AB41" s="496"/>
      <c r="AC41" s="494">
        <f>AC38-AC39-AC60</f>
        <v>0</v>
      </c>
      <c r="AD41" s="495"/>
      <c r="AE41" s="496"/>
      <c r="AF41" s="494">
        <f>AF38-AF39-AF60</f>
        <v>0</v>
      </c>
      <c r="AG41" s="495"/>
      <c r="AH41" s="496"/>
      <c r="AI41" s="494">
        <f>AI38-AI39-AI60</f>
        <v>0</v>
      </c>
      <c r="AJ41" s="495"/>
      <c r="AK41" s="496"/>
      <c r="AL41" s="494">
        <f>AL38-AL39-AL60</f>
        <v>0</v>
      </c>
      <c r="AM41" s="495"/>
      <c r="AN41" s="496"/>
      <c r="AO41" s="494">
        <f>AO38-AO39-AO60</f>
        <v>0</v>
      </c>
      <c r="AP41" s="495"/>
      <c r="AQ41" s="496"/>
      <c r="AR41" s="494">
        <f>AR38-AR39-AR60</f>
        <v>0</v>
      </c>
      <c r="AS41" s="495"/>
      <c r="AT41" s="496"/>
      <c r="AU41" s="494">
        <f>AU38-AU39-AU60</f>
        <v>0</v>
      </c>
      <c r="AV41" s="495"/>
      <c r="AW41" s="496"/>
      <c r="AX41" s="494">
        <f>AX38-AX39-AX60</f>
        <v>0</v>
      </c>
      <c r="AY41" s="495"/>
      <c r="AZ41" s="496"/>
      <c r="BA41" s="494">
        <f>BA38-BA39-BA60</f>
        <v>0</v>
      </c>
      <c r="BB41" s="495"/>
      <c r="BC41" s="496"/>
      <c r="BD41" s="1565">
        <f>BD38-BD39-BD60</f>
        <v>0</v>
      </c>
      <c r="BE41" s="1566"/>
      <c r="BF41" s="1567"/>
      <c r="BG41" s="494">
        <f>BG38-BG39-BG60</f>
        <v>0</v>
      </c>
      <c r="BH41" s="495"/>
      <c r="BI41" s="496"/>
      <c r="BJ41" s="1565">
        <f>BJ38-BJ39-BJ60</f>
        <v>0</v>
      </c>
      <c r="BK41" s="1566"/>
      <c r="BL41" s="1567"/>
      <c r="BM41" s="1565">
        <f>BM38-BM39-BM60</f>
        <v>0</v>
      </c>
      <c r="BN41" s="1566"/>
      <c r="BO41" s="1567"/>
      <c r="BP41" s="1565">
        <f>BP38-BP39-BP60</f>
        <v>0</v>
      </c>
      <c r="BQ41" s="1566"/>
      <c r="BR41" s="1567"/>
      <c r="BS41" s="1565">
        <f>BS38-BS39-BS60</f>
        <v>0</v>
      </c>
      <c r="BT41" s="1566"/>
      <c r="BU41" s="1567"/>
      <c r="BV41" s="1565">
        <f>BV38-BV39-BV60</f>
        <v>0</v>
      </c>
      <c r="BW41" s="1566"/>
      <c r="BX41" s="1567"/>
      <c r="BY41" s="1565">
        <f>BY38-BY39-BY60</f>
        <v>0</v>
      </c>
      <c r="BZ41" s="1566"/>
      <c r="CA41" s="1567"/>
      <c r="CB41" s="1565">
        <f>CB38-CB39-CB60</f>
        <v>0</v>
      </c>
      <c r="CC41" s="1566"/>
      <c r="CD41" s="1567"/>
      <c r="CE41" s="1565">
        <f>CE38-CE39-CE60</f>
        <v>0</v>
      </c>
      <c r="CF41" s="1566"/>
      <c r="CG41" s="1567"/>
      <c r="CH41" s="1565">
        <f>CH38-CH39-CH60</f>
        <v>0</v>
      </c>
      <c r="CI41" s="1566"/>
      <c r="CJ41" s="1567"/>
      <c r="CK41" s="1565">
        <f>CK38-CK39-CK60</f>
        <v>0</v>
      </c>
      <c r="CL41" s="1566"/>
      <c r="CM41" s="1567"/>
      <c r="CN41" s="1565">
        <f>CN38-CN39-CN60</f>
        <v>0</v>
      </c>
      <c r="CO41" s="1566"/>
      <c r="CP41" s="1567"/>
      <c r="CQ41" s="1565">
        <f>CQ38-CQ39-CQ60</f>
        <v>0</v>
      </c>
      <c r="CR41" s="1566"/>
      <c r="CS41" s="1567"/>
      <c r="CT41" s="1565">
        <f>CT38-CT39-CT60</f>
        <v>0</v>
      </c>
      <c r="CU41" s="1566"/>
      <c r="CV41" s="1567"/>
      <c r="CX41" s="29"/>
    </row>
    <row r="42" spans="1:109" ht="16.5" thickTop="1">
      <c r="H42" s="7"/>
      <c r="J42" s="14"/>
      <c r="M42" s="14"/>
      <c r="O42" s="15"/>
      <c r="R42" s="15"/>
      <c r="U42" s="15"/>
      <c r="X42" s="15"/>
      <c r="AA42" s="15"/>
      <c r="AD42" s="15"/>
      <c r="AG42" s="15"/>
      <c r="AJ42" s="15"/>
      <c r="AU42" s="7"/>
      <c r="AX42" s="7"/>
      <c r="BA42" s="7"/>
      <c r="BG42" s="7"/>
    </row>
    <row r="43" spans="1:109">
      <c r="H43" s="7"/>
      <c r="J43" s="14"/>
      <c r="M43" s="14"/>
      <c r="O43" s="15"/>
      <c r="R43" s="15"/>
      <c r="U43" s="15"/>
      <c r="X43" s="15"/>
      <c r="AA43" s="15"/>
      <c r="AD43" s="15"/>
      <c r="AG43" s="15"/>
      <c r="AJ43" s="15"/>
      <c r="AU43" s="7"/>
      <c r="AX43" s="7"/>
      <c r="BA43" s="7"/>
      <c r="BG43" s="7"/>
    </row>
    <row r="44" spans="1:109" ht="16.5" thickBot="1">
      <c r="H44" s="7"/>
      <c r="J44" s="14"/>
      <c r="M44" s="14"/>
      <c r="O44" s="15"/>
      <c r="R44" s="15"/>
      <c r="U44" s="15"/>
      <c r="X44" s="15"/>
      <c r="AA44" s="15"/>
      <c r="AD44" s="15"/>
      <c r="AG44" s="15"/>
      <c r="AJ44" s="15"/>
      <c r="AU44" s="7"/>
      <c r="AX44" s="7"/>
      <c r="BA44" s="7"/>
      <c r="BG44" s="7"/>
    </row>
    <row r="45" spans="1:109" s="5" customFormat="1" ht="22.5" customHeight="1" thickTop="1" thickBot="1">
      <c r="A45" s="251" t="s">
        <v>14</v>
      </c>
      <c r="B45" s="248" t="s">
        <v>0</v>
      </c>
      <c r="C45" s="31" t="s">
        <v>1</v>
      </c>
      <c r="D45" s="32" t="s">
        <v>2</v>
      </c>
      <c r="E45" s="3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5" customFormat="1" ht="15" customHeight="1">
      <c r="A46" s="256"/>
      <c r="B46" s="255"/>
      <c r="C46" s="152"/>
      <c r="D46" s="153"/>
      <c r="E46" s="255"/>
      <c r="F46" s="152"/>
      <c r="G46" s="153"/>
      <c r="H46" s="255"/>
      <c r="I46" s="152"/>
      <c r="J46" s="153"/>
      <c r="K46" s="255"/>
      <c r="L46" s="152"/>
      <c r="M46" s="153"/>
      <c r="N46" s="151"/>
      <c r="O46" s="152"/>
      <c r="P46" s="153"/>
      <c r="Q46" s="151"/>
      <c r="R46" s="152"/>
      <c r="S46" s="153"/>
      <c r="T46" s="151"/>
      <c r="U46" s="152"/>
      <c r="V46" s="153"/>
      <c r="W46" s="151"/>
      <c r="X46" s="152"/>
      <c r="Y46" s="153"/>
      <c r="Z46" s="151"/>
      <c r="AA46" s="152"/>
      <c r="AB46" s="153"/>
      <c r="AC46" s="151"/>
      <c r="AD46" s="152"/>
      <c r="AE46" s="153"/>
      <c r="AF46" s="151"/>
      <c r="AG46" s="152"/>
      <c r="AH46" s="153"/>
      <c r="AI46" s="151"/>
      <c r="AJ46" s="152"/>
      <c r="AK46" s="153"/>
      <c r="AL46" s="151"/>
      <c r="AM46" s="152"/>
      <c r="AN46" s="153"/>
      <c r="AO46" s="42"/>
      <c r="AP46" s="43"/>
      <c r="AQ46" s="153"/>
      <c r="AR46" s="42"/>
      <c r="AS46" s="43"/>
      <c r="AT46" s="153"/>
      <c r="AU46" s="42"/>
      <c r="AV46" s="43"/>
      <c r="AW46" s="153"/>
      <c r="AX46" s="42"/>
      <c r="AY46" s="43"/>
      <c r="AZ46" s="153"/>
      <c r="BA46" s="42"/>
      <c r="BB46" s="43"/>
      <c r="BC46" s="153"/>
      <c r="BD46" s="42"/>
      <c r="BE46" s="43"/>
      <c r="BF46" s="44"/>
      <c r="BG46" s="42"/>
      <c r="BH46" s="43"/>
      <c r="BI46" s="153"/>
      <c r="BJ46" s="42"/>
      <c r="BK46" s="43"/>
      <c r="BL46" s="44"/>
      <c r="BM46" s="151"/>
      <c r="BN46" s="43"/>
      <c r="BO46" s="44"/>
      <c r="BP46" s="151"/>
      <c r="BQ46" s="43"/>
      <c r="BR46" s="44"/>
      <c r="BS46" s="151"/>
      <c r="BT46" s="43"/>
      <c r="BU46" s="44"/>
      <c r="BV46" s="42"/>
      <c r="BW46" s="43"/>
      <c r="BX46" s="44"/>
      <c r="BY46" s="42"/>
      <c r="BZ46" s="43"/>
      <c r="CA46" s="44"/>
      <c r="CB46" s="42"/>
      <c r="CC46" s="43"/>
      <c r="CD46" s="44"/>
      <c r="CE46" s="42"/>
      <c r="CF46" s="43"/>
      <c r="CG46" s="44"/>
      <c r="CH46" s="42"/>
      <c r="CI46" s="43"/>
      <c r="CJ46" s="44"/>
      <c r="CK46" s="42"/>
      <c r="CL46" s="43"/>
      <c r="CM46" s="44"/>
      <c r="CN46" s="42"/>
      <c r="CO46" s="43"/>
      <c r="CP46" s="44"/>
      <c r="CQ46" s="42"/>
      <c r="CR46" s="43"/>
      <c r="CS46" s="44"/>
      <c r="CT46" s="42"/>
      <c r="CU46" s="43"/>
      <c r="CV46" s="44"/>
    </row>
    <row r="47" spans="1:109" s="5" customFormat="1" ht="15" customHeight="1">
      <c r="A47" s="256"/>
      <c r="B47" s="249"/>
      <c r="C47" s="49"/>
      <c r="D47" s="50"/>
      <c r="E47" s="48"/>
      <c r="F47" s="49"/>
      <c r="G47" s="50"/>
      <c r="H47" s="48"/>
      <c r="I47" s="49"/>
      <c r="J47" s="50"/>
      <c r="K47" s="48"/>
      <c r="L47" s="49"/>
      <c r="M47" s="50"/>
      <c r="N47" s="48"/>
      <c r="O47" s="49"/>
      <c r="P47" s="50"/>
      <c r="Q47" s="48"/>
      <c r="R47" s="49"/>
      <c r="S47" s="50"/>
      <c r="T47" s="48"/>
      <c r="U47" s="49"/>
      <c r="V47" s="50"/>
      <c r="W47" s="48"/>
      <c r="X47" s="49"/>
      <c r="Y47" s="50"/>
      <c r="Z47" s="48"/>
      <c r="AA47" s="49"/>
      <c r="AB47" s="50"/>
      <c r="AC47" s="48"/>
      <c r="AD47" s="49"/>
      <c r="AE47" s="50"/>
      <c r="AF47" s="48"/>
      <c r="AG47" s="49"/>
      <c r="AH47" s="50"/>
      <c r="AI47" s="48"/>
      <c r="AJ47" s="49"/>
      <c r="AK47" s="50"/>
      <c r="AL47" s="48"/>
      <c r="AM47" s="49"/>
      <c r="AN47" s="50"/>
      <c r="AO47" s="48"/>
      <c r="AP47" s="49"/>
      <c r="AQ47" s="50"/>
      <c r="AR47" s="48"/>
      <c r="AS47" s="49"/>
      <c r="AT47" s="50"/>
      <c r="AU47" s="48"/>
      <c r="AV47" s="49"/>
      <c r="AW47" s="50"/>
      <c r="AX47" s="48"/>
      <c r="AY47" s="49"/>
      <c r="AZ47" s="50"/>
      <c r="BA47" s="48"/>
      <c r="BB47" s="49"/>
      <c r="BC47" s="50"/>
      <c r="BD47" s="48"/>
      <c r="BE47" s="49"/>
      <c r="BF47" s="50"/>
      <c r="BG47" s="48"/>
      <c r="BH47" s="49"/>
      <c r="BI47" s="50"/>
      <c r="BJ47" s="48"/>
      <c r="BK47" s="49"/>
      <c r="BL47" s="50"/>
      <c r="BM47" s="48"/>
      <c r="BN47" s="49"/>
      <c r="BO47" s="50"/>
      <c r="BP47" s="48"/>
      <c r="BQ47" s="49"/>
      <c r="BR47" s="50"/>
      <c r="BS47" s="48"/>
      <c r="BT47" s="49"/>
      <c r="BU47" s="50"/>
      <c r="BV47" s="48"/>
      <c r="BW47" s="49"/>
      <c r="BX47" s="50"/>
      <c r="BY47" s="48"/>
      <c r="BZ47" s="49"/>
      <c r="CA47" s="50"/>
      <c r="CB47" s="48"/>
      <c r="CC47" s="49"/>
      <c r="CD47" s="50"/>
      <c r="CE47" s="48"/>
      <c r="CF47" s="49"/>
      <c r="CG47" s="50"/>
      <c r="CH47" s="48"/>
      <c r="CI47" s="49"/>
      <c r="CJ47" s="50"/>
      <c r="CK47" s="48"/>
      <c r="CL47" s="49"/>
      <c r="CM47" s="50"/>
      <c r="CN47" s="48"/>
      <c r="CO47" s="49"/>
      <c r="CP47" s="50"/>
      <c r="CQ47" s="48"/>
      <c r="CR47" s="49"/>
      <c r="CS47" s="50"/>
      <c r="CT47" s="48"/>
      <c r="CU47" s="49"/>
      <c r="CV47" s="50"/>
    </row>
    <row r="48" spans="1:109" s="5" customFormat="1" ht="15.75" customHeight="1">
      <c r="A48" s="256"/>
      <c r="B48" s="249"/>
      <c r="C48" s="49"/>
      <c r="D48" s="50"/>
      <c r="E48" s="48"/>
      <c r="F48" s="49"/>
      <c r="G48" s="50"/>
      <c r="H48" s="48"/>
      <c r="I48" s="49"/>
      <c r="J48" s="50"/>
      <c r="K48" s="48"/>
      <c r="L48" s="49"/>
      <c r="M48" s="50"/>
      <c r="N48" s="48"/>
      <c r="O48" s="49"/>
      <c r="P48" s="50"/>
      <c r="Q48" s="48"/>
      <c r="R48" s="49"/>
      <c r="S48" s="50"/>
      <c r="T48" s="48"/>
      <c r="U48" s="49"/>
      <c r="V48" s="50"/>
      <c r="W48" s="48"/>
      <c r="X48" s="49"/>
      <c r="Y48" s="50"/>
      <c r="Z48" s="48"/>
      <c r="AA48" s="49"/>
      <c r="AB48" s="50"/>
      <c r="AC48" s="48"/>
      <c r="AD48" s="49"/>
      <c r="AE48" s="50"/>
      <c r="AF48" s="48"/>
      <c r="AG48" s="49"/>
      <c r="AH48" s="50"/>
      <c r="AI48" s="48"/>
      <c r="AJ48" s="49"/>
      <c r="AK48" s="50"/>
      <c r="AL48" s="48"/>
      <c r="AM48" s="49"/>
      <c r="AN48" s="50"/>
      <c r="AO48" s="48"/>
      <c r="AP48" s="49"/>
      <c r="AQ48" s="50"/>
      <c r="AR48" s="48"/>
      <c r="AS48" s="49"/>
      <c r="AT48" s="50"/>
      <c r="AU48" s="48"/>
      <c r="AV48" s="49"/>
      <c r="AW48" s="50"/>
      <c r="AX48" s="48"/>
      <c r="AY48" s="49"/>
      <c r="AZ48" s="50"/>
      <c r="BA48" s="48"/>
      <c r="BB48" s="49"/>
      <c r="BC48" s="50"/>
      <c r="BD48" s="48"/>
      <c r="BE48" s="49"/>
      <c r="BF48" s="50"/>
      <c r="BG48" s="48"/>
      <c r="BH48" s="49"/>
      <c r="BI48" s="50"/>
      <c r="BJ48" s="48"/>
      <c r="BK48" s="49"/>
      <c r="BL48" s="50"/>
      <c r="BM48" s="48"/>
      <c r="BN48" s="49"/>
      <c r="BO48" s="50"/>
      <c r="BP48" s="48"/>
      <c r="BQ48" s="49"/>
      <c r="BR48" s="50"/>
      <c r="BS48" s="48"/>
      <c r="BT48" s="49"/>
      <c r="BU48" s="50"/>
      <c r="BV48" s="48"/>
      <c r="BW48" s="49"/>
      <c r="BX48" s="50"/>
      <c r="BY48" s="48"/>
      <c r="BZ48" s="49"/>
      <c r="CA48" s="50"/>
      <c r="CB48" s="48"/>
      <c r="CC48" s="49"/>
      <c r="CD48" s="50"/>
      <c r="CE48" s="48"/>
      <c r="CF48" s="49"/>
      <c r="CG48" s="50"/>
      <c r="CH48" s="48"/>
      <c r="CI48" s="49"/>
      <c r="CJ48" s="50"/>
      <c r="CK48" s="48"/>
      <c r="CL48" s="49"/>
      <c r="CM48" s="50"/>
      <c r="CN48" s="48"/>
      <c r="CO48" s="49"/>
      <c r="CP48" s="50"/>
      <c r="CQ48" s="48"/>
      <c r="CR48" s="49"/>
      <c r="CS48" s="50"/>
      <c r="CT48" s="48"/>
      <c r="CU48" s="49"/>
      <c r="CV48" s="50"/>
    </row>
    <row r="49" spans="1:109" s="5" customFormat="1" ht="15" customHeight="1">
      <c r="A49" s="256"/>
      <c r="B49" s="249"/>
      <c r="C49" s="49"/>
      <c r="D49" s="50"/>
      <c r="E49" s="48"/>
      <c r="F49" s="49"/>
      <c r="G49" s="50"/>
      <c r="H49" s="48"/>
      <c r="I49" s="49"/>
      <c r="J49" s="50"/>
      <c r="K49" s="48"/>
      <c r="L49" s="49"/>
      <c r="M49" s="50"/>
      <c r="N49" s="48"/>
      <c r="O49" s="49"/>
      <c r="P49" s="50"/>
      <c r="Q49" s="48"/>
      <c r="R49" s="49"/>
      <c r="S49" s="50"/>
      <c r="T49" s="48"/>
      <c r="U49" s="49"/>
      <c r="V49" s="50"/>
      <c r="W49" s="48"/>
      <c r="X49" s="49"/>
      <c r="Y49" s="50"/>
      <c r="Z49" s="48"/>
      <c r="AA49" s="49"/>
      <c r="AB49" s="50"/>
      <c r="AC49" s="48"/>
      <c r="AD49" s="49"/>
      <c r="AE49" s="50"/>
      <c r="AF49" s="48"/>
      <c r="AG49" s="49"/>
      <c r="AH49" s="50"/>
      <c r="AI49" s="48"/>
      <c r="AJ49" s="49"/>
      <c r="AK49" s="50"/>
      <c r="AL49" s="48"/>
      <c r="AM49" s="49"/>
      <c r="AN49" s="50"/>
      <c r="AO49" s="48"/>
      <c r="AP49" s="49"/>
      <c r="AQ49" s="50"/>
      <c r="AR49" s="48"/>
      <c r="AS49" s="49"/>
      <c r="AT49" s="50"/>
      <c r="AU49" s="48"/>
      <c r="AV49" s="49"/>
      <c r="AW49" s="50"/>
      <c r="AX49" s="48"/>
      <c r="AY49" s="49"/>
      <c r="AZ49" s="50"/>
      <c r="BA49" s="48"/>
      <c r="BB49" s="49"/>
      <c r="BC49" s="50"/>
      <c r="BD49" s="48"/>
      <c r="BE49" s="49"/>
      <c r="BF49" s="50"/>
      <c r="BG49" s="48"/>
      <c r="BH49" s="49"/>
      <c r="BI49" s="50"/>
      <c r="BJ49" s="48"/>
      <c r="BK49" s="49"/>
      <c r="BL49" s="50"/>
      <c r="BM49" s="48"/>
      <c r="BN49" s="49"/>
      <c r="BO49" s="50"/>
      <c r="BP49" s="48"/>
      <c r="BQ49" s="49"/>
      <c r="BR49" s="50"/>
      <c r="BS49" s="48"/>
      <c r="BT49" s="49"/>
      <c r="BU49" s="50"/>
      <c r="BV49" s="48"/>
      <c r="BW49" s="49"/>
      <c r="BX49" s="50"/>
      <c r="BY49" s="48"/>
      <c r="BZ49" s="49"/>
      <c r="CA49" s="50"/>
      <c r="CB49" s="48"/>
      <c r="CC49" s="49"/>
      <c r="CD49" s="50"/>
      <c r="CE49" s="48"/>
      <c r="CF49" s="49"/>
      <c r="CG49" s="50"/>
      <c r="CH49" s="48"/>
      <c r="CI49" s="49"/>
      <c r="CJ49" s="50"/>
      <c r="CK49" s="48"/>
      <c r="CL49" s="49"/>
      <c r="CM49" s="50"/>
      <c r="CN49" s="48"/>
      <c r="CO49" s="49"/>
      <c r="CP49" s="50"/>
      <c r="CQ49" s="48"/>
      <c r="CR49" s="49"/>
      <c r="CS49" s="50"/>
      <c r="CT49" s="48"/>
      <c r="CU49" s="49"/>
      <c r="CV49" s="50"/>
    </row>
    <row r="50" spans="1:109" s="5" customFormat="1" ht="15" customHeight="1">
      <c r="A50" s="256"/>
      <c r="B50" s="249"/>
      <c r="C50" s="49"/>
      <c r="D50" s="50"/>
      <c r="E50" s="48"/>
      <c r="F50" s="49"/>
      <c r="G50" s="50"/>
      <c r="H50" s="48"/>
      <c r="I50" s="49"/>
      <c r="J50" s="50"/>
      <c r="K50" s="48"/>
      <c r="L50" s="49"/>
      <c r="M50" s="50"/>
      <c r="N50" s="48"/>
      <c r="O50" s="49"/>
      <c r="P50" s="50"/>
      <c r="Q50" s="48"/>
      <c r="R50" s="49"/>
      <c r="S50" s="50"/>
      <c r="T50" s="48"/>
      <c r="U50" s="49"/>
      <c r="V50" s="50"/>
      <c r="W50" s="48"/>
      <c r="X50" s="49"/>
      <c r="Y50" s="50"/>
      <c r="Z50" s="48"/>
      <c r="AA50" s="49"/>
      <c r="AB50" s="50"/>
      <c r="AC50" s="48"/>
      <c r="AD50" s="49"/>
      <c r="AE50" s="50"/>
      <c r="AF50" s="48"/>
      <c r="AG50" s="49"/>
      <c r="AH50" s="50"/>
      <c r="AI50" s="48"/>
      <c r="AJ50" s="49"/>
      <c r="AK50" s="50"/>
      <c r="AL50" s="48"/>
      <c r="AM50" s="49"/>
      <c r="AN50" s="50"/>
      <c r="AO50" s="48"/>
      <c r="AP50" s="49"/>
      <c r="AQ50" s="50"/>
      <c r="AR50" s="48"/>
      <c r="AS50" s="49"/>
      <c r="AT50" s="50"/>
      <c r="AU50" s="48"/>
      <c r="AV50" s="49"/>
      <c r="AW50" s="50"/>
      <c r="AX50" s="48"/>
      <c r="AY50" s="49"/>
      <c r="AZ50" s="50"/>
      <c r="BA50" s="48"/>
      <c r="BB50" s="49"/>
      <c r="BC50" s="50"/>
      <c r="BD50" s="48"/>
      <c r="BE50" s="49"/>
      <c r="BF50" s="50"/>
      <c r="BG50" s="48"/>
      <c r="BH50" s="49"/>
      <c r="BI50" s="50"/>
      <c r="BJ50" s="48"/>
      <c r="BK50" s="49"/>
      <c r="BL50" s="50"/>
      <c r="BM50" s="48"/>
      <c r="BN50" s="49"/>
      <c r="BO50" s="50"/>
      <c r="BP50" s="48"/>
      <c r="BQ50" s="49"/>
      <c r="BR50" s="50"/>
      <c r="BS50" s="48"/>
      <c r="BT50" s="49"/>
      <c r="BU50" s="50"/>
      <c r="BV50" s="48"/>
      <c r="BW50" s="49"/>
      <c r="BX50" s="50"/>
      <c r="BY50" s="48"/>
      <c r="BZ50" s="49"/>
      <c r="CA50" s="50"/>
      <c r="CB50" s="48"/>
      <c r="CC50" s="49"/>
      <c r="CD50" s="50"/>
      <c r="CE50" s="48"/>
      <c r="CF50" s="49"/>
      <c r="CG50" s="50"/>
      <c r="CH50" s="48"/>
      <c r="CI50" s="49"/>
      <c r="CJ50" s="50"/>
      <c r="CK50" s="48"/>
      <c r="CL50" s="49"/>
      <c r="CM50" s="50"/>
      <c r="CN50" s="48"/>
      <c r="CO50" s="49"/>
      <c r="CP50" s="50"/>
      <c r="CQ50" s="48"/>
      <c r="CR50" s="49"/>
      <c r="CS50" s="50"/>
      <c r="CT50" s="48"/>
      <c r="CU50" s="49"/>
      <c r="CV50" s="50"/>
    </row>
    <row r="51" spans="1:109" s="5" customFormat="1" ht="15" customHeight="1">
      <c r="A51" s="256"/>
      <c r="B51" s="249"/>
      <c r="C51" s="49"/>
      <c r="D51" s="50"/>
      <c r="E51" s="48"/>
      <c r="F51" s="49"/>
      <c r="G51" s="50"/>
      <c r="H51" s="48"/>
      <c r="I51" s="49"/>
      <c r="J51" s="50"/>
      <c r="K51" s="48"/>
      <c r="L51" s="49"/>
      <c r="M51" s="50"/>
      <c r="N51" s="48"/>
      <c r="O51" s="49"/>
      <c r="P51" s="50"/>
      <c r="Q51" s="48"/>
      <c r="R51" s="49"/>
      <c r="S51" s="50"/>
      <c r="T51" s="48"/>
      <c r="U51" s="49"/>
      <c r="V51" s="50"/>
      <c r="W51" s="48"/>
      <c r="X51" s="49"/>
      <c r="Y51" s="50"/>
      <c r="Z51" s="48"/>
      <c r="AA51" s="49"/>
      <c r="AB51" s="50"/>
      <c r="AC51" s="48"/>
      <c r="AD51" s="49"/>
      <c r="AE51" s="50"/>
      <c r="AF51" s="48"/>
      <c r="AG51" s="49"/>
      <c r="AH51" s="50"/>
      <c r="AI51" s="48"/>
      <c r="AJ51" s="49"/>
      <c r="AK51" s="50"/>
      <c r="AL51" s="48"/>
      <c r="AM51" s="49"/>
      <c r="AN51" s="50"/>
      <c r="AO51" s="48"/>
      <c r="AP51" s="49"/>
      <c r="AQ51" s="50"/>
      <c r="AR51" s="48"/>
      <c r="AS51" s="49"/>
      <c r="AT51" s="50"/>
      <c r="AU51" s="48"/>
      <c r="AV51" s="49"/>
      <c r="AW51" s="50"/>
      <c r="AX51" s="48"/>
      <c r="AY51" s="49"/>
      <c r="AZ51" s="50"/>
      <c r="BA51" s="48"/>
      <c r="BB51" s="49"/>
      <c r="BC51" s="50"/>
      <c r="BD51" s="48"/>
      <c r="BE51" s="49"/>
      <c r="BF51" s="50"/>
      <c r="BG51" s="48"/>
      <c r="BH51" s="49"/>
      <c r="BI51" s="50"/>
      <c r="BJ51" s="48"/>
      <c r="BK51" s="49"/>
      <c r="BL51" s="50"/>
      <c r="BM51" s="48"/>
      <c r="BN51" s="49"/>
      <c r="BO51" s="50"/>
      <c r="BP51" s="48"/>
      <c r="BQ51" s="49"/>
      <c r="BR51" s="50"/>
      <c r="BS51" s="48"/>
      <c r="BT51" s="49"/>
      <c r="BU51" s="50"/>
      <c r="BV51" s="48"/>
      <c r="BW51" s="49"/>
      <c r="BX51" s="50"/>
      <c r="BY51" s="48"/>
      <c r="BZ51" s="49"/>
      <c r="CA51" s="50"/>
      <c r="CB51" s="48"/>
      <c r="CC51" s="49"/>
      <c r="CD51" s="50"/>
      <c r="CE51" s="48"/>
      <c r="CF51" s="49"/>
      <c r="CG51" s="50"/>
      <c r="CH51" s="48"/>
      <c r="CI51" s="49"/>
      <c r="CJ51" s="50"/>
      <c r="CK51" s="48"/>
      <c r="CL51" s="49"/>
      <c r="CM51" s="50"/>
      <c r="CN51" s="48"/>
      <c r="CO51" s="49"/>
      <c r="CP51" s="50"/>
      <c r="CQ51" s="48"/>
      <c r="CR51" s="49"/>
      <c r="CS51" s="50"/>
      <c r="CT51" s="48"/>
      <c r="CU51" s="49"/>
      <c r="CV51" s="50"/>
    </row>
    <row r="52" spans="1:109" s="5" customFormat="1" ht="15" customHeight="1">
      <c r="A52" s="256"/>
      <c r="B52" s="249"/>
      <c r="C52" s="49"/>
      <c r="D52" s="50"/>
      <c r="E52" s="48"/>
      <c r="F52" s="49"/>
      <c r="G52" s="50"/>
      <c r="H52" s="48"/>
      <c r="I52" s="49"/>
      <c r="J52" s="50"/>
      <c r="K52" s="48"/>
      <c r="L52" s="49"/>
      <c r="M52" s="50"/>
      <c r="N52" s="48"/>
      <c r="O52" s="49"/>
      <c r="P52" s="50"/>
      <c r="Q52" s="48"/>
      <c r="R52" s="49"/>
      <c r="S52" s="50"/>
      <c r="T52" s="48"/>
      <c r="U52" s="49"/>
      <c r="V52" s="50"/>
      <c r="W52" s="48"/>
      <c r="X52" s="49"/>
      <c r="Y52" s="50"/>
      <c r="Z52" s="48"/>
      <c r="AA52" s="49"/>
      <c r="AB52" s="50"/>
      <c r="AC52" s="48"/>
      <c r="AD52" s="49"/>
      <c r="AE52" s="50"/>
      <c r="AF52" s="48"/>
      <c r="AG52" s="49"/>
      <c r="AH52" s="50"/>
      <c r="AI52" s="48"/>
      <c r="AJ52" s="49"/>
      <c r="AK52" s="50"/>
      <c r="AL52" s="48"/>
      <c r="AM52" s="49"/>
      <c r="AN52" s="50"/>
      <c r="AO52" s="48"/>
      <c r="AP52" s="49"/>
      <c r="AQ52" s="50"/>
      <c r="AR52" s="48"/>
      <c r="AS52" s="49"/>
      <c r="AT52" s="50"/>
      <c r="AU52" s="48"/>
      <c r="AV52" s="49"/>
      <c r="AW52" s="50"/>
      <c r="AX52" s="48"/>
      <c r="AY52" s="49"/>
      <c r="AZ52" s="50"/>
      <c r="BA52" s="48"/>
      <c r="BB52" s="49"/>
      <c r="BC52" s="50"/>
      <c r="BD52" s="48"/>
      <c r="BE52" s="49"/>
      <c r="BF52" s="50"/>
      <c r="BG52" s="48"/>
      <c r="BH52" s="49"/>
      <c r="BI52" s="50"/>
      <c r="BJ52" s="48"/>
      <c r="BK52" s="49"/>
      <c r="BL52" s="50"/>
      <c r="BM52" s="48"/>
      <c r="BN52" s="49"/>
      <c r="BO52" s="50"/>
      <c r="BP52" s="48"/>
      <c r="BQ52" s="49"/>
      <c r="BR52" s="50"/>
      <c r="BS52" s="48"/>
      <c r="BT52" s="49"/>
      <c r="BU52" s="50"/>
      <c r="BV52" s="48"/>
      <c r="BW52" s="49"/>
      <c r="BX52" s="50"/>
      <c r="BY52" s="48"/>
      <c r="BZ52" s="49"/>
      <c r="CA52" s="50"/>
      <c r="CB52" s="48"/>
      <c r="CC52" s="49"/>
      <c r="CD52" s="50"/>
      <c r="CE52" s="48"/>
      <c r="CF52" s="49"/>
      <c r="CG52" s="50"/>
      <c r="CH52" s="48"/>
      <c r="CI52" s="49"/>
      <c r="CJ52" s="50"/>
      <c r="CK52" s="48"/>
      <c r="CL52" s="49"/>
      <c r="CM52" s="50"/>
      <c r="CN52" s="48"/>
      <c r="CO52" s="49"/>
      <c r="CP52" s="50"/>
      <c r="CQ52" s="48"/>
      <c r="CR52" s="49"/>
      <c r="CS52" s="50"/>
      <c r="CT52" s="48"/>
      <c r="CU52" s="49"/>
      <c r="CV52" s="50"/>
    </row>
    <row r="53" spans="1:109" s="5" customFormat="1" ht="15" customHeight="1" thickBot="1">
      <c r="A53" s="256"/>
      <c r="B53" s="249"/>
      <c r="C53" s="49"/>
      <c r="D53" s="50"/>
      <c r="E53" s="48"/>
      <c r="F53" s="49"/>
      <c r="G53" s="50"/>
      <c r="H53" s="48"/>
      <c r="I53" s="49"/>
      <c r="J53" s="50"/>
      <c r="K53" s="48"/>
      <c r="L53" s="49"/>
      <c r="M53" s="50"/>
      <c r="N53" s="48"/>
      <c r="O53" s="49"/>
      <c r="P53" s="50"/>
      <c r="Q53" s="48"/>
      <c r="R53" s="49"/>
      <c r="S53" s="50"/>
      <c r="T53" s="48"/>
      <c r="U53" s="49"/>
      <c r="V53" s="50"/>
      <c r="W53" s="48"/>
      <c r="X53" s="49"/>
      <c r="Y53" s="50"/>
      <c r="Z53" s="48"/>
      <c r="AA53" s="49"/>
      <c r="AB53" s="50"/>
      <c r="AC53" s="48"/>
      <c r="AD53" s="49"/>
      <c r="AE53" s="50"/>
      <c r="AF53" s="48"/>
      <c r="AG53" s="49"/>
      <c r="AH53" s="50"/>
      <c r="AI53" s="48"/>
      <c r="AJ53" s="49"/>
      <c r="AK53" s="50"/>
      <c r="AL53" s="48"/>
      <c r="AM53" s="49"/>
      <c r="AN53" s="50"/>
      <c r="AO53" s="48"/>
      <c r="AP53" s="49"/>
      <c r="AQ53" s="50"/>
      <c r="AR53" s="48"/>
      <c r="AS53" s="49"/>
      <c r="AT53" s="50"/>
      <c r="AU53" s="48"/>
      <c r="AV53" s="49"/>
      <c r="AW53" s="50"/>
      <c r="AX53" s="48"/>
      <c r="AY53" s="49"/>
      <c r="AZ53" s="50"/>
      <c r="BA53" s="48"/>
      <c r="BB53" s="49"/>
      <c r="BC53" s="50"/>
      <c r="BD53" s="48"/>
      <c r="BE53" s="49"/>
      <c r="BF53" s="50"/>
      <c r="BG53" s="48"/>
      <c r="BH53" s="49"/>
      <c r="BI53" s="50"/>
      <c r="BJ53" s="48"/>
      <c r="BK53" s="49"/>
      <c r="BL53" s="50"/>
      <c r="BM53" s="48"/>
      <c r="BN53" s="49"/>
      <c r="BO53" s="50"/>
      <c r="BP53" s="48"/>
      <c r="BQ53" s="49"/>
      <c r="BR53" s="50"/>
      <c r="BS53" s="48"/>
      <c r="BT53" s="49"/>
      <c r="BU53" s="50"/>
      <c r="BV53" s="48"/>
      <c r="BW53" s="49"/>
      <c r="BX53" s="50"/>
      <c r="BY53" s="48"/>
      <c r="BZ53" s="49"/>
      <c r="CA53" s="50"/>
      <c r="CB53" s="48"/>
      <c r="CC53" s="49"/>
      <c r="CD53" s="50"/>
      <c r="CE53" s="48"/>
      <c r="CF53" s="49"/>
      <c r="CG53" s="50"/>
      <c r="CH53" s="48"/>
      <c r="CI53" s="49"/>
      <c r="CJ53" s="50"/>
      <c r="CK53" s="48"/>
      <c r="CL53" s="49"/>
      <c r="CM53" s="50"/>
      <c r="CN53" s="48"/>
      <c r="CO53" s="49"/>
      <c r="CP53" s="50"/>
      <c r="CQ53" s="48"/>
      <c r="CR53" s="49"/>
      <c r="CS53" s="50"/>
      <c r="CT53" s="48"/>
      <c r="CU53" s="49"/>
      <c r="CV53" s="50"/>
    </row>
    <row r="54" spans="1:109" s="5" customFormat="1" ht="15" hidden="1" customHeight="1">
      <c r="A54" s="256"/>
      <c r="B54" s="249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6"/>
      <c r="B55" s="249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6"/>
      <c r="B56" s="249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6"/>
      <c r="B57" s="249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6"/>
      <c r="B58" s="249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6"/>
      <c r="B59" s="250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1" customFormat="1" ht="22.5" customHeight="1" thickBot="1">
      <c r="A60" s="425"/>
      <c r="B60" s="426">
        <f>SUM(B46:B59)</f>
        <v>0</v>
      </c>
      <c r="C60" s="427">
        <f>SUM(C46:C59)</f>
        <v>0</v>
      </c>
      <c r="D60" s="428">
        <f>SUM(D46:D59)</f>
        <v>0</v>
      </c>
      <c r="E60" s="429">
        <f t="shared" ref="E60:AH60" si="38">SUM(E46:E59)</f>
        <v>0</v>
      </c>
      <c r="F60" s="427">
        <f t="shared" si="38"/>
        <v>0</v>
      </c>
      <c r="G60" s="428">
        <f t="shared" si="38"/>
        <v>0</v>
      </c>
      <c r="H60" s="429">
        <f t="shared" si="38"/>
        <v>0</v>
      </c>
      <c r="I60" s="427">
        <f t="shared" si="38"/>
        <v>0</v>
      </c>
      <c r="J60" s="428">
        <f t="shared" si="38"/>
        <v>0</v>
      </c>
      <c r="K60" s="429">
        <f t="shared" si="38"/>
        <v>0</v>
      </c>
      <c r="L60" s="427">
        <f t="shared" si="38"/>
        <v>0</v>
      </c>
      <c r="M60" s="428">
        <f t="shared" si="38"/>
        <v>0</v>
      </c>
      <c r="N60" s="429">
        <f t="shared" si="38"/>
        <v>0</v>
      </c>
      <c r="O60" s="427">
        <f t="shared" si="38"/>
        <v>0</v>
      </c>
      <c r="P60" s="428">
        <f t="shared" si="38"/>
        <v>0</v>
      </c>
      <c r="Q60" s="429">
        <f t="shared" si="38"/>
        <v>0</v>
      </c>
      <c r="R60" s="427">
        <f t="shared" si="38"/>
        <v>0</v>
      </c>
      <c r="S60" s="428">
        <f t="shared" si="38"/>
        <v>0</v>
      </c>
      <c r="T60" s="429">
        <f t="shared" si="38"/>
        <v>0</v>
      </c>
      <c r="U60" s="427">
        <f t="shared" si="38"/>
        <v>0</v>
      </c>
      <c r="V60" s="428">
        <f t="shared" si="38"/>
        <v>0</v>
      </c>
      <c r="W60" s="429">
        <f t="shared" si="38"/>
        <v>0</v>
      </c>
      <c r="X60" s="427">
        <f t="shared" si="38"/>
        <v>0</v>
      </c>
      <c r="Y60" s="428">
        <f t="shared" si="38"/>
        <v>0</v>
      </c>
      <c r="Z60" s="429">
        <f t="shared" si="38"/>
        <v>0</v>
      </c>
      <c r="AA60" s="427">
        <f t="shared" si="38"/>
        <v>0</v>
      </c>
      <c r="AB60" s="428">
        <f t="shared" si="38"/>
        <v>0</v>
      </c>
      <c r="AC60" s="429">
        <f t="shared" si="38"/>
        <v>0</v>
      </c>
      <c r="AD60" s="427">
        <f t="shared" si="38"/>
        <v>0</v>
      </c>
      <c r="AE60" s="428">
        <f t="shared" si="38"/>
        <v>0</v>
      </c>
      <c r="AF60" s="429">
        <f t="shared" si="38"/>
        <v>0</v>
      </c>
      <c r="AG60" s="427">
        <f t="shared" si="38"/>
        <v>0</v>
      </c>
      <c r="AH60" s="428">
        <f t="shared" si="38"/>
        <v>0</v>
      </c>
      <c r="AI60" s="429">
        <f t="shared" ref="AI60:AW60" si="39">SUM(AI46:AI59)</f>
        <v>0</v>
      </c>
      <c r="AJ60" s="427">
        <f t="shared" si="39"/>
        <v>0</v>
      </c>
      <c r="AK60" s="428">
        <f t="shared" si="39"/>
        <v>0</v>
      </c>
      <c r="AL60" s="429">
        <f t="shared" si="39"/>
        <v>0</v>
      </c>
      <c r="AM60" s="427">
        <f t="shared" si="39"/>
        <v>0</v>
      </c>
      <c r="AN60" s="428">
        <f t="shared" si="39"/>
        <v>0</v>
      </c>
      <c r="AO60" s="429">
        <f t="shared" si="39"/>
        <v>0</v>
      </c>
      <c r="AP60" s="427">
        <f t="shared" si="39"/>
        <v>0</v>
      </c>
      <c r="AQ60" s="428">
        <f t="shared" si="39"/>
        <v>0</v>
      </c>
      <c r="AR60" s="429">
        <f t="shared" si="39"/>
        <v>0</v>
      </c>
      <c r="AS60" s="427">
        <f t="shared" si="39"/>
        <v>0</v>
      </c>
      <c r="AT60" s="428">
        <f t="shared" si="39"/>
        <v>0</v>
      </c>
      <c r="AU60" s="429">
        <f t="shared" si="39"/>
        <v>0</v>
      </c>
      <c r="AV60" s="427">
        <f t="shared" si="39"/>
        <v>0</v>
      </c>
      <c r="AW60" s="428">
        <f t="shared" si="39"/>
        <v>0</v>
      </c>
      <c r="AX60" s="429">
        <f t="shared" ref="AX60:BC60" si="40">SUM(AX46:AX59)</f>
        <v>0</v>
      </c>
      <c r="AY60" s="427">
        <f t="shared" si="40"/>
        <v>0</v>
      </c>
      <c r="AZ60" s="428">
        <f t="shared" si="40"/>
        <v>0</v>
      </c>
      <c r="BA60" s="429">
        <f t="shared" si="40"/>
        <v>0</v>
      </c>
      <c r="BB60" s="427">
        <f t="shared" si="40"/>
        <v>0</v>
      </c>
      <c r="BC60" s="428">
        <f t="shared" si="40"/>
        <v>0</v>
      </c>
      <c r="BD60" s="429">
        <f t="shared" ref="BD60:BO60" si="41">SUM(BD46:BD59)</f>
        <v>0</v>
      </c>
      <c r="BE60" s="427">
        <f t="shared" si="41"/>
        <v>0</v>
      </c>
      <c r="BF60" s="428">
        <f t="shared" si="41"/>
        <v>0</v>
      </c>
      <c r="BG60" s="429">
        <f t="shared" si="41"/>
        <v>0</v>
      </c>
      <c r="BH60" s="427">
        <f t="shared" si="41"/>
        <v>0</v>
      </c>
      <c r="BI60" s="428">
        <f t="shared" si="41"/>
        <v>0</v>
      </c>
      <c r="BJ60" s="429">
        <f t="shared" si="41"/>
        <v>0</v>
      </c>
      <c r="BK60" s="427">
        <f t="shared" si="41"/>
        <v>0</v>
      </c>
      <c r="BL60" s="428">
        <f t="shared" si="41"/>
        <v>0</v>
      </c>
      <c r="BM60" s="429">
        <f t="shared" si="41"/>
        <v>0</v>
      </c>
      <c r="BN60" s="427">
        <f t="shared" si="41"/>
        <v>0</v>
      </c>
      <c r="BO60" s="428">
        <f t="shared" si="41"/>
        <v>0</v>
      </c>
      <c r="BP60" s="429">
        <f t="shared" ref="BP60:CG60" si="42">SUM(BP46:BP59)</f>
        <v>0</v>
      </c>
      <c r="BQ60" s="427">
        <f t="shared" si="42"/>
        <v>0</v>
      </c>
      <c r="BR60" s="428">
        <f t="shared" si="42"/>
        <v>0</v>
      </c>
      <c r="BS60" s="429">
        <f t="shared" si="42"/>
        <v>0</v>
      </c>
      <c r="BT60" s="427">
        <f t="shared" si="42"/>
        <v>0</v>
      </c>
      <c r="BU60" s="428">
        <f t="shared" si="42"/>
        <v>0</v>
      </c>
      <c r="BV60" s="429">
        <f t="shared" si="42"/>
        <v>0</v>
      </c>
      <c r="BW60" s="427">
        <f t="shared" si="42"/>
        <v>0</v>
      </c>
      <c r="BX60" s="428">
        <f t="shared" si="42"/>
        <v>0</v>
      </c>
      <c r="BY60" s="429">
        <f t="shared" si="42"/>
        <v>0</v>
      </c>
      <c r="BZ60" s="427">
        <f t="shared" si="42"/>
        <v>0</v>
      </c>
      <c r="CA60" s="428">
        <f t="shared" si="42"/>
        <v>0</v>
      </c>
      <c r="CB60" s="429">
        <f t="shared" si="42"/>
        <v>0</v>
      </c>
      <c r="CC60" s="427">
        <f t="shared" si="42"/>
        <v>0</v>
      </c>
      <c r="CD60" s="428">
        <f t="shared" si="42"/>
        <v>0</v>
      </c>
      <c r="CE60" s="429">
        <f t="shared" si="42"/>
        <v>0</v>
      </c>
      <c r="CF60" s="427">
        <f t="shared" si="42"/>
        <v>0</v>
      </c>
      <c r="CG60" s="428">
        <f t="shared" si="42"/>
        <v>0</v>
      </c>
      <c r="CH60" s="429">
        <f t="shared" ref="CH60:CP60" si="43">SUM(CH46:CH59)</f>
        <v>0</v>
      </c>
      <c r="CI60" s="427">
        <f t="shared" si="43"/>
        <v>0</v>
      </c>
      <c r="CJ60" s="428">
        <f t="shared" si="43"/>
        <v>0</v>
      </c>
      <c r="CK60" s="429">
        <f t="shared" si="43"/>
        <v>0</v>
      </c>
      <c r="CL60" s="427">
        <f t="shared" si="43"/>
        <v>0</v>
      </c>
      <c r="CM60" s="428">
        <f t="shared" si="43"/>
        <v>0</v>
      </c>
      <c r="CN60" s="429">
        <f t="shared" si="43"/>
        <v>0</v>
      </c>
      <c r="CO60" s="427">
        <f t="shared" si="43"/>
        <v>0</v>
      </c>
      <c r="CP60" s="428">
        <f t="shared" si="43"/>
        <v>0</v>
      </c>
      <c r="CQ60" s="429">
        <f t="shared" ref="CQ60:CV60" si="44">SUM(CQ46:CQ59)</f>
        <v>0</v>
      </c>
      <c r="CR60" s="427">
        <f t="shared" si="44"/>
        <v>0</v>
      </c>
      <c r="CS60" s="428">
        <f t="shared" si="44"/>
        <v>0</v>
      </c>
      <c r="CT60" s="429">
        <f t="shared" si="44"/>
        <v>0</v>
      </c>
      <c r="CU60" s="427">
        <f t="shared" si="44"/>
        <v>0</v>
      </c>
      <c r="CV60" s="428">
        <f t="shared" si="44"/>
        <v>0</v>
      </c>
      <c r="CW60" s="430"/>
      <c r="CX60" s="430"/>
      <c r="CY60" s="430"/>
      <c r="CZ60" s="430"/>
      <c r="DA60" s="430"/>
      <c r="DB60" s="430"/>
      <c r="DC60" s="430"/>
      <c r="DD60" s="430"/>
      <c r="DE60" s="430"/>
    </row>
    <row r="61" spans="1:109" s="5" customFormat="1" ht="26.25" customHeight="1" thickTop="1" thickBot="1">
      <c r="A61" s="257"/>
      <c r="B61" s="1557">
        <f>SUM(B60:D60)</f>
        <v>0</v>
      </c>
      <c r="C61" s="1557"/>
      <c r="D61" s="1558"/>
      <c r="E61" s="1556">
        <f>SUM(E60:G60)</f>
        <v>0</v>
      </c>
      <c r="F61" s="1557"/>
      <c r="G61" s="1558"/>
      <c r="H61" s="1556">
        <f>SUM(H60:J60)</f>
        <v>0</v>
      </c>
      <c r="I61" s="1557"/>
      <c r="J61" s="1558"/>
      <c r="K61" s="1556">
        <f>SUM(K60:M60)</f>
        <v>0</v>
      </c>
      <c r="L61" s="1557"/>
      <c r="M61" s="1558"/>
      <c r="N61" s="1556">
        <f>SUM(N60:P60)</f>
        <v>0</v>
      </c>
      <c r="O61" s="1557"/>
      <c r="P61" s="1558"/>
      <c r="Q61" s="1556">
        <f>SUM(Q60:S60)</f>
        <v>0</v>
      </c>
      <c r="R61" s="1557"/>
      <c r="S61" s="1558"/>
      <c r="T61" s="1556">
        <f>SUM(T60:V60)</f>
        <v>0</v>
      </c>
      <c r="U61" s="1557"/>
      <c r="V61" s="1558"/>
      <c r="W61" s="1556">
        <f>SUM(W60:Y60)</f>
        <v>0</v>
      </c>
      <c r="X61" s="1557"/>
      <c r="Y61" s="1558"/>
      <c r="Z61" s="1556">
        <f>SUM(Z60:AB60)</f>
        <v>0</v>
      </c>
      <c r="AA61" s="1557"/>
      <c r="AB61" s="1558"/>
      <c r="AC61" s="1556">
        <f>SUM(AC60:AE60)</f>
        <v>0</v>
      </c>
      <c r="AD61" s="1557"/>
      <c r="AE61" s="1558"/>
      <c r="AF61" s="1556">
        <f>SUM(AF60:AH60)</f>
        <v>0</v>
      </c>
      <c r="AG61" s="1557"/>
      <c r="AH61" s="1558"/>
      <c r="AI61" s="1556">
        <f>SUM(AI60:AK60)</f>
        <v>0</v>
      </c>
      <c r="AJ61" s="1557"/>
      <c r="AK61" s="1558"/>
      <c r="AL61" s="1556">
        <f>SUM(AL60:AN60)</f>
        <v>0</v>
      </c>
      <c r="AM61" s="1557"/>
      <c r="AN61" s="1558"/>
      <c r="AO61" s="1556">
        <f>SUM(AO60:AQ60)</f>
        <v>0</v>
      </c>
      <c r="AP61" s="1557"/>
      <c r="AQ61" s="1558"/>
      <c r="AR61" s="1556">
        <f>SUM(AR60:AT60)</f>
        <v>0</v>
      </c>
      <c r="AS61" s="1557"/>
      <c r="AT61" s="1558"/>
      <c r="AU61" s="1556">
        <f>SUM(AU60:AW60)</f>
        <v>0</v>
      </c>
      <c r="AV61" s="1557"/>
      <c r="AW61" s="1558"/>
      <c r="AX61" s="1556">
        <f>SUM(AX60:AZ60)</f>
        <v>0</v>
      </c>
      <c r="AY61" s="1557"/>
      <c r="AZ61" s="1558"/>
      <c r="BA61" s="1556">
        <f>SUM(BA60:BC60)</f>
        <v>0</v>
      </c>
      <c r="BB61" s="1557"/>
      <c r="BC61" s="1558"/>
      <c r="BD61" s="1556">
        <f>SUM(BD60:BF60)</f>
        <v>0</v>
      </c>
      <c r="BE61" s="1557"/>
      <c r="BF61" s="1558"/>
      <c r="BG61" s="1556">
        <f>SUM(BG60:BI60)</f>
        <v>0</v>
      </c>
      <c r="BH61" s="1557"/>
      <c r="BI61" s="1558"/>
      <c r="BJ61" s="1556">
        <f>SUM(BJ60:BL60)</f>
        <v>0</v>
      </c>
      <c r="BK61" s="1557"/>
      <c r="BL61" s="1558"/>
      <c r="BM61" s="1556">
        <f>SUM(BM60:BO60)</f>
        <v>0</v>
      </c>
      <c r="BN61" s="1557"/>
      <c r="BO61" s="1558"/>
      <c r="BP61" s="1556">
        <f>SUM(BP60:BR60)</f>
        <v>0</v>
      </c>
      <c r="BQ61" s="1557"/>
      <c r="BR61" s="1558"/>
      <c r="BS61" s="1556">
        <f>SUM(BS60:BU60)</f>
        <v>0</v>
      </c>
      <c r="BT61" s="1557"/>
      <c r="BU61" s="1558"/>
      <c r="BV61" s="1556">
        <f>SUM(BV60:BX60)</f>
        <v>0</v>
      </c>
      <c r="BW61" s="1557"/>
      <c r="BX61" s="1558"/>
      <c r="BY61" s="1556">
        <f>SUM(BY60:CA60)</f>
        <v>0</v>
      </c>
      <c r="BZ61" s="1557"/>
      <c r="CA61" s="1558"/>
      <c r="CB61" s="1556">
        <f>SUM(CB60:CD60)</f>
        <v>0</v>
      </c>
      <c r="CC61" s="1557"/>
      <c r="CD61" s="1558"/>
      <c r="CE61" s="1556">
        <f>SUM(CE60:CG60)</f>
        <v>0</v>
      </c>
      <c r="CF61" s="1557"/>
      <c r="CG61" s="1558"/>
      <c r="CH61" s="1556">
        <f>SUM(CH60:CJ60)</f>
        <v>0</v>
      </c>
      <c r="CI61" s="1557"/>
      <c r="CJ61" s="1558"/>
      <c r="CK61" s="1556">
        <f>SUM(CK60:CM60)</f>
        <v>0</v>
      </c>
      <c r="CL61" s="1557"/>
      <c r="CM61" s="1558"/>
      <c r="CN61" s="1556">
        <f>SUM(CN60:CP60)</f>
        <v>0</v>
      </c>
      <c r="CO61" s="1557"/>
      <c r="CP61" s="1558"/>
      <c r="CQ61" s="1556">
        <f>SUM(CQ60:CS60)</f>
        <v>0</v>
      </c>
      <c r="CR61" s="1557"/>
      <c r="CS61" s="1558"/>
      <c r="CT61" s="1556">
        <f>SUM(CT60:CV60)</f>
        <v>0</v>
      </c>
      <c r="CU61" s="1557"/>
      <c r="CV61" s="1558"/>
      <c r="CW61" s="28"/>
      <c r="CX61" s="28"/>
      <c r="CY61" s="28"/>
      <c r="CZ61" s="158"/>
      <c r="DA61" s="158"/>
      <c r="DB61" s="158"/>
      <c r="DC61" s="1582"/>
      <c r="DD61" s="1582"/>
      <c r="DE61" s="1582"/>
    </row>
    <row r="62" spans="1:109" ht="50.25" customHeight="1" thickTop="1">
      <c r="B62" s="1583">
        <f>SUM(B61:CV61)</f>
        <v>0</v>
      </c>
      <c r="C62" s="1583"/>
      <c r="D62" s="1583"/>
    </row>
  </sheetData>
  <mergeCells count="149">
    <mergeCell ref="AU39:AW39"/>
    <mergeCell ref="AU38:AW38"/>
    <mergeCell ref="AR38:AT38"/>
    <mergeCell ref="AU40:AW40"/>
    <mergeCell ref="B62:D62"/>
    <mergeCell ref="AI61:AK61"/>
    <mergeCell ref="AL61:AN61"/>
    <mergeCell ref="AO61:AQ61"/>
    <mergeCell ref="AR61:AT61"/>
    <mergeCell ref="Z61:AB61"/>
    <mergeCell ref="AC61:AE61"/>
    <mergeCell ref="AF61:AH61"/>
    <mergeCell ref="AU61:AW61"/>
    <mergeCell ref="T61:V61"/>
    <mergeCell ref="W61:Y61"/>
    <mergeCell ref="B61:D61"/>
    <mergeCell ref="E61:G61"/>
    <mergeCell ref="H61:J61"/>
    <mergeCell ref="K61:M61"/>
    <mergeCell ref="N61:P61"/>
    <mergeCell ref="B41:D41"/>
    <mergeCell ref="B40:D40"/>
    <mergeCell ref="E40:G40"/>
    <mergeCell ref="H40:J40"/>
    <mergeCell ref="DC61:DE61"/>
    <mergeCell ref="BA61:BC61"/>
    <mergeCell ref="Q61:S61"/>
    <mergeCell ref="AO40:AQ40"/>
    <mergeCell ref="AR40:AT40"/>
    <mergeCell ref="BD61:BF61"/>
    <mergeCell ref="BY61:CA61"/>
    <mergeCell ref="CB61:CD61"/>
    <mergeCell ref="CE61:CG61"/>
    <mergeCell ref="BY41:CA41"/>
    <mergeCell ref="CB41:CD41"/>
    <mergeCell ref="CE41:CG41"/>
    <mergeCell ref="CH61:CJ61"/>
    <mergeCell ref="CK61:CM61"/>
    <mergeCell ref="CN61:CP61"/>
    <mergeCell ref="CH41:CJ41"/>
    <mergeCell ref="CK41:CM41"/>
    <mergeCell ref="CN41:CP41"/>
    <mergeCell ref="T40:V40"/>
    <mergeCell ref="AI40:AK40"/>
    <mergeCell ref="BD41:BF41"/>
    <mergeCell ref="N40:P40"/>
    <mergeCell ref="Q40:S40"/>
    <mergeCell ref="AL40:AN40"/>
    <mergeCell ref="W40:Y40"/>
    <mergeCell ref="Z40:AB40"/>
    <mergeCell ref="AC40:AE40"/>
    <mergeCell ref="AF40:AH40"/>
    <mergeCell ref="B39:D39"/>
    <mergeCell ref="E39:G39"/>
    <mergeCell ref="H39:J39"/>
    <mergeCell ref="N39:P39"/>
    <mergeCell ref="Q39:S39"/>
    <mergeCell ref="K39:M39"/>
    <mergeCell ref="K40:M40"/>
    <mergeCell ref="AO39:AQ39"/>
    <mergeCell ref="AR39:AT39"/>
    <mergeCell ref="AL39:AN39"/>
    <mergeCell ref="Z39:AB39"/>
    <mergeCell ref="AC39:AE39"/>
    <mergeCell ref="AF39:AH39"/>
    <mergeCell ref="AI39:AK39"/>
    <mergeCell ref="T39:V39"/>
    <mergeCell ref="W39:Y39"/>
    <mergeCell ref="W38:Y38"/>
    <mergeCell ref="T38:V38"/>
    <mergeCell ref="Z38:AB38"/>
    <mergeCell ref="AC38:AE38"/>
    <mergeCell ref="AF38:AH38"/>
    <mergeCell ref="AI38:AK38"/>
    <mergeCell ref="AL38:AN38"/>
    <mergeCell ref="AO38:AQ38"/>
    <mergeCell ref="B38:D38"/>
    <mergeCell ref="E38:G38"/>
    <mergeCell ref="H38:J38"/>
    <mergeCell ref="N38:P38"/>
    <mergeCell ref="Q38:S38"/>
    <mergeCell ref="K38:M38"/>
    <mergeCell ref="BG38:BI38"/>
    <mergeCell ref="BG39:BI39"/>
    <mergeCell ref="BG40:BI40"/>
    <mergeCell ref="BJ61:BL61"/>
    <mergeCell ref="AX61:AZ61"/>
    <mergeCell ref="AX38:AZ38"/>
    <mergeCell ref="AX39:AZ39"/>
    <mergeCell ref="AX40:AZ40"/>
    <mergeCell ref="BG61:BI61"/>
    <mergeCell ref="BD38:BF38"/>
    <mergeCell ref="BD39:BF39"/>
    <mergeCell ref="BD40:BF40"/>
    <mergeCell ref="BA38:BC38"/>
    <mergeCell ref="BA39:BC39"/>
    <mergeCell ref="BA40:BC40"/>
    <mergeCell ref="BP38:BR38"/>
    <mergeCell ref="BS38:BU38"/>
    <mergeCell ref="BV38:BX38"/>
    <mergeCell ref="BM38:BO38"/>
    <mergeCell ref="BM39:BO39"/>
    <mergeCell ref="BM40:BO40"/>
    <mergeCell ref="BM41:BO41"/>
    <mergeCell ref="BM61:BO61"/>
    <mergeCell ref="BJ38:BL38"/>
    <mergeCell ref="BJ39:BL39"/>
    <mergeCell ref="BJ40:BL40"/>
    <mergeCell ref="BJ41:BL41"/>
    <mergeCell ref="BP61:BR61"/>
    <mergeCell ref="BS61:BU61"/>
    <mergeCell ref="BV61:BX61"/>
    <mergeCell ref="BP39:BR39"/>
    <mergeCell ref="BS39:BU39"/>
    <mergeCell ref="BV39:BX39"/>
    <mergeCell ref="BP40:BR40"/>
    <mergeCell ref="BS40:BU40"/>
    <mergeCell ref="BV40:BX40"/>
    <mergeCell ref="BP41:BR41"/>
    <mergeCell ref="BS41:BU41"/>
    <mergeCell ref="BV41:BX41"/>
    <mergeCell ref="BY38:CA38"/>
    <mergeCell ref="CB38:CD38"/>
    <mergeCell ref="CE38:CG38"/>
    <mergeCell ref="BY40:CA40"/>
    <mergeCell ref="CB40:CD40"/>
    <mergeCell ref="CE40:CG40"/>
    <mergeCell ref="CK38:CM38"/>
    <mergeCell ref="CN38:CP38"/>
    <mergeCell ref="CH39:CJ39"/>
    <mergeCell ref="CK39:CM39"/>
    <mergeCell ref="CN39:CP39"/>
    <mergeCell ref="BY39:CA39"/>
    <mergeCell ref="CB39:CD39"/>
    <mergeCell ref="CE39:CG39"/>
    <mergeCell ref="CH40:CJ40"/>
    <mergeCell ref="CK40:CM40"/>
    <mergeCell ref="CN40:CP40"/>
    <mergeCell ref="CH38:CJ38"/>
    <mergeCell ref="CQ38:CS38"/>
    <mergeCell ref="CT38:CV38"/>
    <mergeCell ref="CQ61:CS61"/>
    <mergeCell ref="CT61:CV61"/>
    <mergeCell ref="CQ39:CS39"/>
    <mergeCell ref="CT39:CV39"/>
    <mergeCell ref="CQ40:CS40"/>
    <mergeCell ref="CT40:CV40"/>
    <mergeCell ref="CQ41:CS41"/>
    <mergeCell ref="CT41:CV41"/>
  </mergeCells>
  <phoneticPr fontId="12" type="noConversion"/>
  <conditionalFormatting sqref="CX1:CX1048576">
    <cfRule type="cellIs" dxfId="588" priority="1" stopIfTrue="1" operator="greaterThan">
      <formula>8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  <pageSetUpPr fitToPage="1"/>
  </sheetPr>
  <dimension ref="A1:GO69"/>
  <sheetViews>
    <sheetView showGridLines="0" zoomScaleNormal="100" workbookViewId="0">
      <pane xSplit="1" ySplit="6" topLeftCell="U7" activePane="bottomRight" state="frozen"/>
      <selection activeCell="G1" sqref="G1"/>
      <selection pane="topRight" activeCell="G1" sqref="G1"/>
      <selection pane="bottomLeft" activeCell="G1" sqref="G1"/>
      <selection pane="bottomRight" activeCell="Q6" sqref="Q6:Q25"/>
    </sheetView>
  </sheetViews>
  <sheetFormatPr defaultColWidth="8.375" defaultRowHeight="15"/>
  <cols>
    <col min="1" max="1" width="9.125" style="411" customWidth="1"/>
    <col min="2" max="4" width="6.5" style="35" customWidth="1"/>
    <col min="5" max="7" width="6.5" style="35" hidden="1" customWidth="1"/>
    <col min="8" max="12" width="6.5" style="35" customWidth="1"/>
    <col min="13" max="13" width="6.375" style="35" customWidth="1"/>
    <col min="14" max="22" width="6.5" style="35" customWidth="1"/>
    <col min="23" max="24" width="6.5" style="35" hidden="1" customWidth="1"/>
    <col min="25" max="25" width="6.75" style="35" hidden="1" customWidth="1"/>
    <col min="26" max="38" width="6.75" style="35" customWidth="1"/>
    <col min="39" max="40" width="6.5" style="35" customWidth="1"/>
    <col min="41" max="41" width="6.5" style="34" customWidth="1"/>
    <col min="42" max="43" width="6.5" style="35" customWidth="1"/>
    <col min="44" max="44" width="6.5" style="34" customWidth="1"/>
    <col min="45" max="48" width="6.5" style="35" customWidth="1"/>
    <col min="49" max="49" width="6.875" style="35" customWidth="1"/>
    <col min="50" max="61" width="6.5" style="35" customWidth="1"/>
    <col min="62" max="64" width="6.5" style="35" hidden="1" customWidth="1"/>
    <col min="65" max="193" width="6.5" style="4" hidden="1" customWidth="1"/>
    <col min="194" max="194" width="7.25" style="4" customWidth="1"/>
    <col min="195" max="195" width="17.625" style="4" bestFit="1" customWidth="1"/>
    <col min="196" max="16384" width="8.375" style="4"/>
  </cols>
  <sheetData>
    <row r="1" spans="1:197" ht="33.6" customHeight="1">
      <c r="A1" s="409" t="s">
        <v>36</v>
      </c>
      <c r="B1" s="3"/>
      <c r="C1" s="2"/>
      <c r="D1" s="2"/>
      <c r="E1" s="2"/>
      <c r="F1" s="2"/>
      <c r="G1" s="2"/>
      <c r="H1" s="1654" t="s">
        <v>17585</v>
      </c>
      <c r="I1" s="1315"/>
      <c r="J1" s="82"/>
      <c r="K1" s="1315"/>
      <c r="L1" s="1315"/>
      <c r="M1" s="1315"/>
      <c r="O1" s="1315"/>
      <c r="P1" s="1315"/>
      <c r="Q1" s="1315"/>
      <c r="R1" s="1315"/>
      <c r="S1" s="1315"/>
      <c r="U1" s="1315"/>
      <c r="V1" s="1315"/>
      <c r="W1" s="1654"/>
      <c r="X1" s="2"/>
      <c r="Y1" s="2"/>
      <c r="Z1" s="177"/>
      <c r="AA1" s="2"/>
      <c r="AB1" s="2"/>
      <c r="AC1" s="2"/>
      <c r="AD1" s="2"/>
      <c r="AE1" s="2"/>
      <c r="AF1" s="2"/>
      <c r="AG1" s="2"/>
      <c r="AH1" s="2" t="s">
        <v>86</v>
      </c>
      <c r="AI1" s="2"/>
      <c r="AJ1" s="2"/>
      <c r="AK1" s="2"/>
      <c r="AL1" s="2"/>
      <c r="AM1" s="2"/>
      <c r="AN1" s="2"/>
      <c r="DG1" s="461"/>
      <c r="EK1" s="461"/>
      <c r="EQ1" s="461"/>
      <c r="FC1" s="461"/>
      <c r="FI1" s="461"/>
      <c r="FL1" s="461"/>
      <c r="FO1" s="461"/>
      <c r="FR1" s="461"/>
      <c r="FU1" s="461"/>
      <c r="FX1" s="461"/>
      <c r="GA1" s="461"/>
      <c r="GD1" s="461"/>
      <c r="GG1" s="461"/>
      <c r="GJ1" s="461"/>
      <c r="GM1" s="1351">
        <f>'實驗紗&amp;非當月生產'!P2</f>
        <v>1193694.2</v>
      </c>
    </row>
    <row r="2" spans="1:197" s="137" customFormat="1" ht="17.45" customHeight="1" thickBot="1">
      <c r="A2" s="1535">
        <f>'(示眾台)'!Q1</f>
        <v>1193694.2</v>
      </c>
      <c r="B2" s="1596">
        <v>4</v>
      </c>
      <c r="C2" s="1596"/>
      <c r="D2" s="1596"/>
      <c r="E2" s="1596">
        <v>5</v>
      </c>
      <c r="F2" s="1596"/>
      <c r="G2" s="1596"/>
      <c r="H2" s="1596">
        <v>6</v>
      </c>
      <c r="I2" s="1596"/>
      <c r="J2" s="1596"/>
      <c r="K2" s="1596">
        <v>7</v>
      </c>
      <c r="L2" s="1596"/>
      <c r="M2" s="1596"/>
      <c r="N2" s="1596">
        <v>8</v>
      </c>
      <c r="O2" s="1596"/>
      <c r="P2" s="1596"/>
      <c r="Q2" s="1596">
        <v>9</v>
      </c>
      <c r="R2" s="1596"/>
      <c r="S2" s="1596"/>
      <c r="T2" s="1596">
        <v>10</v>
      </c>
      <c r="U2" s="1596"/>
      <c r="V2" s="1596"/>
      <c r="W2" s="1596">
        <v>11</v>
      </c>
      <c r="X2" s="1596"/>
      <c r="Y2" s="1596"/>
      <c r="Z2" s="1596">
        <v>12</v>
      </c>
      <c r="AA2" s="1596"/>
      <c r="AB2" s="1596"/>
      <c r="AC2" s="1596">
        <v>13</v>
      </c>
      <c r="AD2" s="1596"/>
      <c r="AE2" s="1596"/>
      <c r="AF2" s="1596">
        <v>14</v>
      </c>
      <c r="AG2" s="1596"/>
      <c r="AH2" s="1596"/>
      <c r="AI2" s="1596">
        <v>15</v>
      </c>
      <c r="AJ2" s="1596"/>
      <c r="AK2" s="1596"/>
      <c r="AL2" s="1596">
        <v>16</v>
      </c>
      <c r="AM2" s="1596"/>
      <c r="AN2" s="1596"/>
      <c r="AO2" s="1596">
        <v>17</v>
      </c>
      <c r="AP2" s="1596"/>
      <c r="AQ2" s="1596"/>
      <c r="AR2" s="1596">
        <v>18</v>
      </c>
      <c r="AS2" s="1596"/>
      <c r="AT2" s="1596"/>
      <c r="AU2" s="1596">
        <v>19</v>
      </c>
      <c r="AV2" s="1596"/>
      <c r="AW2" s="1596"/>
      <c r="AX2" s="1596">
        <v>20</v>
      </c>
      <c r="AY2" s="1596"/>
      <c r="AZ2" s="1596"/>
      <c r="BA2" s="1596">
        <v>21</v>
      </c>
      <c r="BB2" s="1596"/>
      <c r="BC2" s="1596"/>
      <c r="BD2" s="1596">
        <v>22</v>
      </c>
      <c r="BE2" s="1596"/>
      <c r="BF2" s="1596"/>
      <c r="BG2" s="1596">
        <v>23</v>
      </c>
      <c r="BH2" s="1596"/>
      <c r="BI2" s="1596"/>
      <c r="BJ2" s="1596">
        <v>24</v>
      </c>
      <c r="BK2" s="1596"/>
      <c r="BL2" s="1596"/>
      <c r="BM2" s="1596">
        <v>25</v>
      </c>
      <c r="BN2" s="1596"/>
      <c r="BO2" s="1596"/>
      <c r="BP2" s="1596">
        <v>26</v>
      </c>
      <c r="BQ2" s="1596"/>
      <c r="BR2" s="1596"/>
      <c r="BS2" s="1596">
        <v>27</v>
      </c>
      <c r="BT2" s="1596"/>
      <c r="BU2" s="1596"/>
      <c r="BV2" s="1596">
        <v>28</v>
      </c>
      <c r="BW2" s="1596"/>
      <c r="BX2" s="1596"/>
      <c r="BY2" s="1596">
        <v>29</v>
      </c>
      <c r="BZ2" s="1596"/>
      <c r="CA2" s="1596"/>
      <c r="CB2" s="1596">
        <v>30</v>
      </c>
      <c r="CC2" s="1596"/>
      <c r="CD2" s="1596"/>
      <c r="CE2" s="1596">
        <v>31</v>
      </c>
      <c r="CF2" s="1596"/>
      <c r="CG2" s="1596"/>
      <c r="CH2" s="1596">
        <v>32</v>
      </c>
      <c r="CI2" s="1596"/>
      <c r="CJ2" s="1596"/>
      <c r="CK2" s="1596">
        <v>33</v>
      </c>
      <c r="CL2" s="1596"/>
      <c r="CM2" s="1596"/>
      <c r="CN2" s="1596">
        <v>34</v>
      </c>
      <c r="CO2" s="1596"/>
      <c r="CP2" s="1596"/>
      <c r="CQ2" s="1596">
        <v>35</v>
      </c>
      <c r="CR2" s="1596"/>
      <c r="CS2" s="1596"/>
      <c r="CT2" s="1596">
        <v>36</v>
      </c>
      <c r="CU2" s="1596"/>
      <c r="CV2" s="1596"/>
      <c r="CW2" s="1596">
        <v>37</v>
      </c>
      <c r="CX2" s="1596"/>
      <c r="CY2" s="1596"/>
      <c r="CZ2" s="1596">
        <v>38</v>
      </c>
      <c r="DA2" s="1596"/>
      <c r="DB2" s="1596"/>
      <c r="DC2" s="1596">
        <v>39</v>
      </c>
      <c r="DD2" s="1596"/>
      <c r="DE2" s="1596"/>
      <c r="DF2" s="1596">
        <v>40</v>
      </c>
      <c r="DG2" s="1596"/>
      <c r="DH2" s="1596"/>
      <c r="DI2" s="1596">
        <v>41</v>
      </c>
      <c r="DJ2" s="1596"/>
      <c r="DK2" s="1596"/>
      <c r="DL2" s="1596">
        <v>42</v>
      </c>
      <c r="DM2" s="1596"/>
      <c r="DN2" s="1596"/>
      <c r="DO2" s="1596">
        <v>43</v>
      </c>
      <c r="DP2" s="1596"/>
      <c r="DQ2" s="1596"/>
      <c r="DR2" s="1596">
        <v>44</v>
      </c>
      <c r="DS2" s="1596"/>
      <c r="DT2" s="1596"/>
      <c r="DU2" s="1596">
        <v>45</v>
      </c>
      <c r="DV2" s="1596"/>
      <c r="DW2" s="1596"/>
      <c r="DX2" s="1596">
        <v>46</v>
      </c>
      <c r="DY2" s="1596"/>
      <c r="DZ2" s="1596"/>
      <c r="EA2" s="1596">
        <v>47</v>
      </c>
      <c r="EB2" s="1596"/>
      <c r="EC2" s="1596"/>
      <c r="ED2" s="1596">
        <v>48</v>
      </c>
      <c r="EE2" s="1596"/>
      <c r="EF2" s="1596"/>
      <c r="EG2" s="1596">
        <v>49</v>
      </c>
      <c r="EH2" s="1596"/>
      <c r="EI2" s="1596"/>
      <c r="EJ2" s="1596">
        <v>50</v>
      </c>
      <c r="EK2" s="1596"/>
      <c r="EL2" s="1596"/>
      <c r="EM2" s="1596">
        <v>51</v>
      </c>
      <c r="EN2" s="1596"/>
      <c r="EO2" s="1596"/>
      <c r="EP2" s="1596">
        <v>52</v>
      </c>
      <c r="EQ2" s="1596"/>
      <c r="ER2" s="1596"/>
      <c r="ES2" s="1596">
        <v>53</v>
      </c>
      <c r="ET2" s="1596"/>
      <c r="EU2" s="1596"/>
      <c r="EV2" s="1596">
        <v>54</v>
      </c>
      <c r="EW2" s="1596"/>
      <c r="EX2" s="1596"/>
      <c r="EY2" s="1596">
        <v>55</v>
      </c>
      <c r="EZ2" s="1596"/>
      <c r="FA2" s="1596"/>
      <c r="FB2" s="1596">
        <v>56</v>
      </c>
      <c r="FC2" s="1596"/>
      <c r="FD2" s="1596"/>
      <c r="FE2" s="1596">
        <v>57</v>
      </c>
      <c r="FF2" s="1596"/>
      <c r="FG2" s="1596"/>
      <c r="FH2" s="1596">
        <v>58</v>
      </c>
      <c r="FI2" s="1596"/>
      <c r="FJ2" s="1596"/>
      <c r="FK2" s="1596">
        <v>59</v>
      </c>
      <c r="FL2" s="1596"/>
      <c r="FM2" s="1596"/>
      <c r="FN2" s="1596">
        <v>60</v>
      </c>
      <c r="FO2" s="1596"/>
      <c r="FP2" s="1596"/>
      <c r="FQ2" s="1596">
        <v>61</v>
      </c>
      <c r="FR2" s="1596"/>
      <c r="FS2" s="1596"/>
      <c r="FT2" s="1596">
        <v>62</v>
      </c>
      <c r="FU2" s="1596"/>
      <c r="FV2" s="1596"/>
      <c r="FW2" s="1596">
        <v>63</v>
      </c>
      <c r="FX2" s="1596"/>
      <c r="FY2" s="1596"/>
      <c r="FZ2" s="1596">
        <v>64</v>
      </c>
      <c r="GA2" s="1596"/>
      <c r="GB2" s="1596"/>
      <c r="GC2" s="1596">
        <v>65</v>
      </c>
      <c r="GD2" s="1596"/>
      <c r="GE2" s="1596"/>
      <c r="GF2" s="1596">
        <v>66</v>
      </c>
      <c r="GG2" s="1596"/>
      <c r="GH2" s="1596"/>
      <c r="GI2" s="1596">
        <v>67</v>
      </c>
      <c r="GJ2" s="1596"/>
      <c r="GK2" s="1596"/>
    </row>
    <row r="3" spans="1:197" s="35" customFormat="1" ht="19.5" customHeight="1" thickTop="1">
      <c r="A3" s="593" t="s">
        <v>79</v>
      </c>
      <c r="B3" s="594" t="s">
        <v>17261</v>
      </c>
      <c r="C3" s="595"/>
      <c r="D3" s="596">
        <v>47</v>
      </c>
      <c r="E3" s="594"/>
      <c r="F3" s="595"/>
      <c r="G3" s="596"/>
      <c r="H3" s="594" t="s">
        <v>17575</v>
      </c>
      <c r="I3" s="595"/>
      <c r="J3" s="596">
        <v>95</v>
      </c>
      <c r="K3" s="594" t="s">
        <v>17222</v>
      </c>
      <c r="L3" s="595"/>
      <c r="M3" s="596">
        <v>71</v>
      </c>
      <c r="N3" s="594" t="s">
        <v>17316</v>
      </c>
      <c r="O3" s="595"/>
      <c r="P3" s="596">
        <v>72</v>
      </c>
      <c r="Q3" s="594" t="s">
        <v>17553</v>
      </c>
      <c r="R3" s="595"/>
      <c r="S3" s="596"/>
      <c r="T3" s="594" t="s">
        <v>17577</v>
      </c>
      <c r="U3" s="595"/>
      <c r="V3" s="596">
        <v>142</v>
      </c>
      <c r="W3" s="594"/>
      <c r="X3" s="595"/>
      <c r="Y3" s="596"/>
      <c r="Z3" s="594" t="s">
        <v>17293</v>
      </c>
      <c r="AA3" s="595"/>
      <c r="AB3" s="596">
        <v>140</v>
      </c>
      <c r="AC3" s="594" t="s">
        <v>17571</v>
      </c>
      <c r="AD3" s="595"/>
      <c r="AE3" s="596">
        <v>138</v>
      </c>
      <c r="AF3" s="594" t="s">
        <v>17503</v>
      </c>
      <c r="AG3" s="595"/>
      <c r="AH3" s="596">
        <v>139</v>
      </c>
      <c r="AI3" s="594" t="s">
        <v>17258</v>
      </c>
      <c r="AJ3" s="595"/>
      <c r="AK3" s="596">
        <v>153</v>
      </c>
      <c r="AL3" s="594" t="s">
        <v>17263</v>
      </c>
      <c r="AM3" s="595"/>
      <c r="AN3" s="596">
        <v>73</v>
      </c>
      <c r="AO3" s="594" t="s">
        <v>17380</v>
      </c>
      <c r="AP3" s="595"/>
      <c r="AQ3" s="596">
        <v>71</v>
      </c>
      <c r="AR3" s="594" t="s">
        <v>17430</v>
      </c>
      <c r="AS3" s="595"/>
      <c r="AT3" s="596">
        <v>70</v>
      </c>
      <c r="AU3" s="594" t="s">
        <v>17431</v>
      </c>
      <c r="AV3" s="595"/>
      <c r="AW3" s="596">
        <v>72</v>
      </c>
      <c r="AX3" s="594"/>
      <c r="AY3" s="595"/>
      <c r="AZ3" s="596"/>
      <c r="BA3" s="594"/>
      <c r="BB3" s="595"/>
      <c r="BC3" s="596"/>
      <c r="BD3" s="594"/>
      <c r="BE3" s="595"/>
      <c r="BF3" s="596"/>
      <c r="BG3" s="594"/>
      <c r="BH3" s="595"/>
      <c r="BI3" s="596"/>
      <c r="BJ3" s="594"/>
      <c r="BK3" s="595"/>
      <c r="BL3" s="596"/>
      <c r="BM3" s="594"/>
      <c r="BN3" s="595"/>
      <c r="BO3" s="596"/>
      <c r="BP3" s="594"/>
      <c r="BQ3" s="595"/>
      <c r="BR3" s="596"/>
      <c r="BS3" s="594"/>
      <c r="BT3" s="595"/>
      <c r="BU3" s="596"/>
      <c r="BV3" s="594"/>
      <c r="BW3" s="595"/>
      <c r="BX3" s="596"/>
      <c r="BY3" s="594"/>
      <c r="BZ3" s="595"/>
      <c r="CA3" s="596"/>
      <c r="CB3" s="594"/>
      <c r="CC3" s="595"/>
      <c r="CD3" s="596"/>
      <c r="CE3" s="594"/>
      <c r="CF3" s="595"/>
      <c r="CG3" s="596"/>
      <c r="CH3" s="594"/>
      <c r="CI3" s="595"/>
      <c r="CJ3" s="596"/>
      <c r="CK3" s="594"/>
      <c r="CL3" s="595"/>
      <c r="CM3" s="596"/>
      <c r="CN3" s="594"/>
      <c r="CO3" s="595"/>
      <c r="CP3" s="596"/>
      <c r="CQ3" s="594"/>
      <c r="CR3" s="595"/>
      <c r="CS3" s="596"/>
      <c r="CT3" s="594"/>
      <c r="CU3" s="595"/>
      <c r="CV3" s="596"/>
      <c r="CW3" s="594"/>
      <c r="CX3" s="595"/>
      <c r="CY3" s="596"/>
      <c r="CZ3" s="594"/>
      <c r="DA3" s="595"/>
      <c r="DB3" s="596"/>
      <c r="DC3" s="594"/>
      <c r="DD3" s="595"/>
      <c r="DE3" s="596"/>
      <c r="DF3" s="594"/>
      <c r="DG3" s="595"/>
      <c r="DH3" s="596"/>
      <c r="DI3" s="594"/>
      <c r="DJ3" s="595"/>
      <c r="DK3" s="596"/>
      <c r="DL3" s="594"/>
      <c r="DM3" s="595"/>
      <c r="DN3" s="596"/>
      <c r="DO3" s="594"/>
      <c r="DP3" s="595"/>
      <c r="DQ3" s="596"/>
      <c r="DR3" s="594"/>
      <c r="DS3" s="595"/>
      <c r="DT3" s="596"/>
      <c r="DU3" s="594"/>
      <c r="DV3" s="595"/>
      <c r="DW3" s="596"/>
      <c r="DX3" s="594"/>
      <c r="DY3" s="595"/>
      <c r="DZ3" s="596"/>
      <c r="EA3" s="594"/>
      <c r="EB3" s="595"/>
      <c r="EC3" s="596"/>
      <c r="ED3" s="594"/>
      <c r="EE3" s="595"/>
      <c r="EF3" s="596"/>
      <c r="EG3" s="594"/>
      <c r="EH3" s="595"/>
      <c r="EI3" s="596"/>
      <c r="EJ3" s="594"/>
      <c r="EK3" s="595"/>
      <c r="EL3" s="596"/>
      <c r="EM3" s="594"/>
      <c r="EN3" s="595"/>
      <c r="EO3" s="596"/>
      <c r="EP3" s="594"/>
      <c r="EQ3" s="595"/>
      <c r="ER3" s="596"/>
      <c r="ES3" s="594"/>
      <c r="ET3" s="595"/>
      <c r="EU3" s="596"/>
      <c r="EV3" s="594"/>
      <c r="EW3" s="595"/>
      <c r="EX3" s="596"/>
      <c r="EY3" s="594"/>
      <c r="EZ3" s="595"/>
      <c r="FA3" s="596"/>
      <c r="FB3" s="594"/>
      <c r="FC3" s="595"/>
      <c r="FD3" s="596"/>
      <c r="FE3" s="594"/>
      <c r="FF3" s="595"/>
      <c r="FG3" s="596"/>
      <c r="FH3" s="594"/>
      <c r="FI3" s="595"/>
      <c r="FJ3" s="596"/>
      <c r="FK3" s="594"/>
      <c r="FL3" s="595"/>
      <c r="FM3" s="596"/>
      <c r="FN3" s="594"/>
      <c r="FO3" s="595"/>
      <c r="FP3" s="596"/>
      <c r="FQ3" s="594"/>
      <c r="FR3" s="595"/>
      <c r="FS3" s="596"/>
      <c r="FT3" s="594"/>
      <c r="FU3" s="595"/>
      <c r="FV3" s="596"/>
      <c r="FW3" s="594"/>
      <c r="FX3" s="595"/>
      <c r="FY3" s="596"/>
      <c r="FZ3" s="594"/>
      <c r="GA3" s="595"/>
      <c r="GB3" s="596"/>
      <c r="GC3" s="594"/>
      <c r="GD3" s="595"/>
      <c r="GE3" s="596"/>
      <c r="GF3" s="397"/>
      <c r="GG3" s="398"/>
      <c r="GH3" s="399"/>
      <c r="GI3" s="397"/>
      <c r="GJ3" s="398"/>
      <c r="GK3" s="399"/>
    </row>
    <row r="4" spans="1:197" s="35" customFormat="1" ht="17.25" customHeight="1" thickBot="1">
      <c r="A4" s="597" t="s">
        <v>80</v>
      </c>
      <c r="B4" s="600" t="s">
        <v>17177</v>
      </c>
      <c r="C4" s="598"/>
      <c r="D4" s="599">
        <v>550</v>
      </c>
      <c r="E4" s="600"/>
      <c r="F4" s="598"/>
      <c r="G4" s="599"/>
      <c r="H4" s="600" t="s">
        <v>17576</v>
      </c>
      <c r="I4" s="598"/>
      <c r="J4" s="599">
        <v>700</v>
      </c>
      <c r="K4" s="600" t="s">
        <v>17226</v>
      </c>
      <c r="L4" s="598"/>
      <c r="M4" s="599">
        <v>600</v>
      </c>
      <c r="N4" s="600" t="s">
        <v>5005</v>
      </c>
      <c r="O4" s="598"/>
      <c r="P4" s="599">
        <v>500</v>
      </c>
      <c r="Q4" s="600" t="s">
        <v>4950</v>
      </c>
      <c r="R4" s="598"/>
      <c r="S4" s="599"/>
      <c r="T4" s="600" t="s">
        <v>17578</v>
      </c>
      <c r="U4" s="598"/>
      <c r="V4" s="599">
        <v>670</v>
      </c>
      <c r="W4" s="600"/>
      <c r="X4" s="598"/>
      <c r="Y4" s="599"/>
      <c r="Z4" s="600" t="s">
        <v>7055</v>
      </c>
      <c r="AA4" s="598"/>
      <c r="AB4" s="599">
        <v>550</v>
      </c>
      <c r="AC4" s="600" t="s">
        <v>7068</v>
      </c>
      <c r="AD4" s="598"/>
      <c r="AE4" s="599">
        <v>500</v>
      </c>
      <c r="AF4" s="600" t="s">
        <v>467</v>
      </c>
      <c r="AG4" s="598"/>
      <c r="AH4" s="599">
        <v>650</v>
      </c>
      <c r="AI4" s="600" t="s">
        <v>8513</v>
      </c>
      <c r="AJ4" s="598"/>
      <c r="AK4" s="599">
        <v>550</v>
      </c>
      <c r="AL4" s="600" t="s">
        <v>17156</v>
      </c>
      <c r="AM4" s="598"/>
      <c r="AN4" s="599">
        <v>600</v>
      </c>
      <c r="AO4" s="600" t="s">
        <v>17381</v>
      </c>
      <c r="AP4" s="598"/>
      <c r="AQ4" s="599">
        <v>680</v>
      </c>
      <c r="AR4" s="600" t="s">
        <v>1891</v>
      </c>
      <c r="AS4" s="598"/>
      <c r="AT4" s="599">
        <v>600</v>
      </c>
      <c r="AU4" s="600" t="s">
        <v>15035</v>
      </c>
      <c r="AV4" s="598"/>
      <c r="AW4" s="599">
        <v>550</v>
      </c>
      <c r="AX4" s="600"/>
      <c r="AY4" s="598"/>
      <c r="AZ4" s="599"/>
      <c r="BA4" s="600"/>
      <c r="BB4" s="598"/>
      <c r="BC4" s="599"/>
      <c r="BD4" s="600"/>
      <c r="BE4" s="598"/>
      <c r="BF4" s="599"/>
      <c r="BG4" s="600"/>
      <c r="BH4" s="598"/>
      <c r="BI4" s="599"/>
      <c r="BJ4" s="600"/>
      <c r="BK4" s="598"/>
      <c r="BL4" s="599"/>
      <c r="BM4" s="600"/>
      <c r="BN4" s="598"/>
      <c r="BO4" s="599"/>
      <c r="BP4" s="600"/>
      <c r="BQ4" s="598"/>
      <c r="BR4" s="599"/>
      <c r="BS4" s="600"/>
      <c r="BT4" s="598"/>
      <c r="BU4" s="599"/>
      <c r="BV4" s="600"/>
      <c r="BW4" s="598"/>
      <c r="BX4" s="599"/>
      <c r="BY4" s="600"/>
      <c r="BZ4" s="598"/>
      <c r="CA4" s="599"/>
      <c r="CB4" s="600"/>
      <c r="CC4" s="598"/>
      <c r="CD4" s="599"/>
      <c r="CE4" s="600"/>
      <c r="CF4" s="598"/>
      <c r="CG4" s="599"/>
      <c r="CH4" s="600"/>
      <c r="CI4" s="598"/>
      <c r="CJ4" s="599"/>
      <c r="CK4" s="600"/>
      <c r="CL4" s="598"/>
      <c r="CM4" s="599"/>
      <c r="CN4" s="600"/>
      <c r="CO4" s="598"/>
      <c r="CP4" s="599"/>
      <c r="CQ4" s="600"/>
      <c r="CR4" s="598"/>
      <c r="CS4" s="599"/>
      <c r="CT4" s="600"/>
      <c r="CU4" s="598"/>
      <c r="CV4" s="599"/>
      <c r="CW4" s="600"/>
      <c r="CX4" s="598"/>
      <c r="CY4" s="599"/>
      <c r="CZ4" s="600"/>
      <c r="DA4" s="598"/>
      <c r="DB4" s="599"/>
      <c r="DC4" s="600"/>
      <c r="DD4" s="598"/>
      <c r="DE4" s="599"/>
      <c r="DF4" s="600"/>
      <c r="DG4" s="598"/>
      <c r="DH4" s="599"/>
      <c r="DI4" s="600"/>
      <c r="DJ4" s="598"/>
      <c r="DK4" s="599"/>
      <c r="DL4" s="600"/>
      <c r="DM4" s="598"/>
      <c r="DN4" s="599"/>
      <c r="DO4" s="600"/>
      <c r="DP4" s="598"/>
      <c r="DQ4" s="599"/>
      <c r="DR4" s="600"/>
      <c r="DS4" s="598"/>
      <c r="DT4" s="599"/>
      <c r="DU4" s="600"/>
      <c r="DV4" s="598"/>
      <c r="DW4" s="599"/>
      <c r="DX4" s="600"/>
      <c r="DY4" s="598"/>
      <c r="DZ4" s="599"/>
      <c r="EA4" s="600"/>
      <c r="EB4" s="598"/>
      <c r="EC4" s="599"/>
      <c r="ED4" s="600"/>
      <c r="EE4" s="598"/>
      <c r="EF4" s="599"/>
      <c r="EG4" s="600"/>
      <c r="EH4" s="598"/>
      <c r="EI4" s="599"/>
      <c r="EJ4" s="600"/>
      <c r="EK4" s="598"/>
      <c r="EL4" s="599"/>
      <c r="EM4" s="600"/>
      <c r="EN4" s="598"/>
      <c r="EO4" s="599"/>
      <c r="EP4" s="600"/>
      <c r="EQ4" s="598"/>
      <c r="ER4" s="599"/>
      <c r="ES4" s="600"/>
      <c r="ET4" s="598"/>
      <c r="EU4" s="599"/>
      <c r="EV4" s="600"/>
      <c r="EW4" s="598"/>
      <c r="EX4" s="599"/>
      <c r="EY4" s="600"/>
      <c r="EZ4" s="598"/>
      <c r="FA4" s="599"/>
      <c r="FB4" s="600"/>
      <c r="FC4" s="598"/>
      <c r="FD4" s="599"/>
      <c r="FE4" s="600"/>
      <c r="FF4" s="598"/>
      <c r="FG4" s="599"/>
      <c r="FH4" s="600"/>
      <c r="FI4" s="598"/>
      <c r="FJ4" s="599"/>
      <c r="FK4" s="600"/>
      <c r="FL4" s="598"/>
      <c r="FM4" s="599"/>
      <c r="FN4" s="600"/>
      <c r="FO4" s="598"/>
      <c r="FP4" s="599"/>
      <c r="FQ4" s="600"/>
      <c r="FR4" s="598"/>
      <c r="FS4" s="599"/>
      <c r="FT4" s="600"/>
      <c r="FU4" s="598"/>
      <c r="FV4" s="599"/>
      <c r="FW4" s="600"/>
      <c r="FX4" s="598"/>
      <c r="FY4" s="599"/>
      <c r="FZ4" s="600"/>
      <c r="GA4" s="598"/>
      <c r="GB4" s="599"/>
      <c r="GC4" s="600"/>
      <c r="GD4" s="598"/>
      <c r="GE4" s="599"/>
      <c r="GF4" s="401"/>
      <c r="GG4" s="402"/>
      <c r="GH4" s="691"/>
      <c r="GI4" s="401"/>
      <c r="GJ4" s="402"/>
      <c r="GK4" s="691"/>
    </row>
    <row r="5" spans="1:197" s="667" customFormat="1" ht="16.5" thickTop="1">
      <c r="A5" s="662" t="s">
        <v>5</v>
      </c>
      <c r="B5" s="663" t="s">
        <v>3</v>
      </c>
      <c r="C5" s="664" t="s">
        <v>6</v>
      </c>
      <c r="D5" s="665" t="s">
        <v>7</v>
      </c>
      <c r="E5" s="663" t="s">
        <v>3</v>
      </c>
      <c r="F5" s="664" t="s">
        <v>6</v>
      </c>
      <c r="G5" s="665" t="s">
        <v>7</v>
      </c>
      <c r="H5" s="663" t="s">
        <v>3</v>
      </c>
      <c r="I5" s="664" t="s">
        <v>6</v>
      </c>
      <c r="J5" s="665" t="s">
        <v>7</v>
      </c>
      <c r="K5" s="663" t="s">
        <v>3</v>
      </c>
      <c r="L5" s="664" t="s">
        <v>6</v>
      </c>
      <c r="M5" s="665" t="s">
        <v>7</v>
      </c>
      <c r="N5" s="663" t="s">
        <v>3</v>
      </c>
      <c r="O5" s="664" t="s">
        <v>6</v>
      </c>
      <c r="P5" s="665" t="s">
        <v>7</v>
      </c>
      <c r="Q5" s="663" t="s">
        <v>3</v>
      </c>
      <c r="R5" s="664" t="s">
        <v>6</v>
      </c>
      <c r="S5" s="665" t="s">
        <v>7</v>
      </c>
      <c r="T5" s="663" t="s">
        <v>3</v>
      </c>
      <c r="U5" s="664" t="s">
        <v>6</v>
      </c>
      <c r="V5" s="665" t="s">
        <v>7</v>
      </c>
      <c r="W5" s="663" t="s">
        <v>3</v>
      </c>
      <c r="X5" s="664" t="s">
        <v>6</v>
      </c>
      <c r="Y5" s="665" t="s">
        <v>7</v>
      </c>
      <c r="Z5" s="663" t="s">
        <v>3</v>
      </c>
      <c r="AA5" s="664" t="s">
        <v>6</v>
      </c>
      <c r="AB5" s="665" t="s">
        <v>7</v>
      </c>
      <c r="AC5" s="663" t="s">
        <v>3</v>
      </c>
      <c r="AD5" s="664" t="s">
        <v>6</v>
      </c>
      <c r="AE5" s="665" t="s">
        <v>7</v>
      </c>
      <c r="AF5" s="663" t="s">
        <v>3</v>
      </c>
      <c r="AG5" s="664" t="s">
        <v>6</v>
      </c>
      <c r="AH5" s="665" t="s">
        <v>7</v>
      </c>
      <c r="AI5" s="663" t="s">
        <v>3</v>
      </c>
      <c r="AJ5" s="664" t="s">
        <v>6</v>
      </c>
      <c r="AK5" s="665" t="s">
        <v>7</v>
      </c>
      <c r="AL5" s="663" t="s">
        <v>3</v>
      </c>
      <c r="AM5" s="664" t="s">
        <v>6</v>
      </c>
      <c r="AN5" s="665" t="s">
        <v>7</v>
      </c>
      <c r="AO5" s="663" t="s">
        <v>3</v>
      </c>
      <c r="AP5" s="664" t="s">
        <v>6</v>
      </c>
      <c r="AQ5" s="665" t="s">
        <v>7</v>
      </c>
      <c r="AR5" s="663" t="s">
        <v>3</v>
      </c>
      <c r="AS5" s="664" t="s">
        <v>6</v>
      </c>
      <c r="AT5" s="665" t="s">
        <v>7</v>
      </c>
      <c r="AU5" s="666" t="s">
        <v>3</v>
      </c>
      <c r="AV5" s="664" t="s">
        <v>6</v>
      </c>
      <c r="AW5" s="665" t="s">
        <v>7</v>
      </c>
      <c r="AX5" s="663" t="s">
        <v>3</v>
      </c>
      <c r="AY5" s="664" t="s">
        <v>6</v>
      </c>
      <c r="AZ5" s="665" t="s">
        <v>7</v>
      </c>
      <c r="BA5" s="663" t="s">
        <v>3</v>
      </c>
      <c r="BB5" s="664" t="s">
        <v>6</v>
      </c>
      <c r="BC5" s="665" t="s">
        <v>7</v>
      </c>
      <c r="BD5" s="666" t="s">
        <v>3</v>
      </c>
      <c r="BE5" s="664" t="s">
        <v>6</v>
      </c>
      <c r="BF5" s="665" t="s">
        <v>7</v>
      </c>
      <c r="BG5" s="663" t="s">
        <v>3</v>
      </c>
      <c r="BH5" s="664" t="s">
        <v>6</v>
      </c>
      <c r="BI5" s="665" t="s">
        <v>7</v>
      </c>
      <c r="BJ5" s="666" t="s">
        <v>3</v>
      </c>
      <c r="BK5" s="664" t="s">
        <v>6</v>
      </c>
      <c r="BL5" s="665" t="s">
        <v>7</v>
      </c>
      <c r="BM5" s="663" t="s">
        <v>3</v>
      </c>
      <c r="BN5" s="664" t="s">
        <v>6</v>
      </c>
      <c r="BO5" s="665" t="s">
        <v>7</v>
      </c>
      <c r="BP5" s="666" t="s">
        <v>3</v>
      </c>
      <c r="BQ5" s="664" t="s">
        <v>6</v>
      </c>
      <c r="BR5" s="665" t="s">
        <v>7</v>
      </c>
      <c r="BS5" s="663" t="s">
        <v>3</v>
      </c>
      <c r="BT5" s="664" t="s">
        <v>6</v>
      </c>
      <c r="BU5" s="665" t="s">
        <v>7</v>
      </c>
      <c r="BV5" s="663" t="s">
        <v>3</v>
      </c>
      <c r="BW5" s="664" t="s">
        <v>6</v>
      </c>
      <c r="BX5" s="665" t="s">
        <v>7</v>
      </c>
      <c r="BY5" s="663" t="s">
        <v>3</v>
      </c>
      <c r="BZ5" s="664" t="s">
        <v>6</v>
      </c>
      <c r="CA5" s="665" t="s">
        <v>7</v>
      </c>
      <c r="CB5" s="663" t="s">
        <v>3</v>
      </c>
      <c r="CC5" s="664" t="s">
        <v>6</v>
      </c>
      <c r="CD5" s="665" t="s">
        <v>7</v>
      </c>
      <c r="CE5" s="663" t="s">
        <v>3</v>
      </c>
      <c r="CF5" s="664" t="s">
        <v>6</v>
      </c>
      <c r="CG5" s="665" t="s">
        <v>7</v>
      </c>
      <c r="CH5" s="663" t="s">
        <v>3</v>
      </c>
      <c r="CI5" s="664" t="s">
        <v>6</v>
      </c>
      <c r="CJ5" s="665" t="s">
        <v>7</v>
      </c>
      <c r="CK5" s="663" t="s">
        <v>3</v>
      </c>
      <c r="CL5" s="664" t="s">
        <v>6</v>
      </c>
      <c r="CM5" s="665" t="s">
        <v>7</v>
      </c>
      <c r="CN5" s="663" t="s">
        <v>3</v>
      </c>
      <c r="CO5" s="664" t="s">
        <v>6</v>
      </c>
      <c r="CP5" s="665" t="s">
        <v>7</v>
      </c>
      <c r="CQ5" s="663" t="s">
        <v>3</v>
      </c>
      <c r="CR5" s="664" t="s">
        <v>6</v>
      </c>
      <c r="CS5" s="665" t="s">
        <v>7</v>
      </c>
      <c r="CT5" s="663" t="s">
        <v>3</v>
      </c>
      <c r="CU5" s="664" t="s">
        <v>6</v>
      </c>
      <c r="CV5" s="665" t="s">
        <v>7</v>
      </c>
      <c r="CW5" s="663" t="s">
        <v>3</v>
      </c>
      <c r="CX5" s="664" t="s">
        <v>6</v>
      </c>
      <c r="CY5" s="665" t="s">
        <v>7</v>
      </c>
      <c r="CZ5" s="663" t="s">
        <v>3</v>
      </c>
      <c r="DA5" s="664" t="s">
        <v>6</v>
      </c>
      <c r="DB5" s="665" t="s">
        <v>7</v>
      </c>
      <c r="DC5" s="663" t="s">
        <v>3</v>
      </c>
      <c r="DD5" s="664" t="s">
        <v>6</v>
      </c>
      <c r="DE5" s="665" t="s">
        <v>7</v>
      </c>
      <c r="DF5" s="663" t="s">
        <v>3</v>
      </c>
      <c r="DG5" s="664" t="s">
        <v>6</v>
      </c>
      <c r="DH5" s="665" t="s">
        <v>7</v>
      </c>
      <c r="DI5" s="666" t="s">
        <v>3</v>
      </c>
      <c r="DJ5" s="664" t="s">
        <v>6</v>
      </c>
      <c r="DK5" s="665" t="s">
        <v>7</v>
      </c>
      <c r="DL5" s="663" t="s">
        <v>3</v>
      </c>
      <c r="DM5" s="664" t="s">
        <v>6</v>
      </c>
      <c r="DN5" s="665" t="s">
        <v>7</v>
      </c>
      <c r="DO5" s="666" t="s">
        <v>3</v>
      </c>
      <c r="DP5" s="664" t="s">
        <v>6</v>
      </c>
      <c r="DQ5" s="665" t="s">
        <v>7</v>
      </c>
      <c r="DR5" s="666" t="s">
        <v>3</v>
      </c>
      <c r="DS5" s="664" t="s">
        <v>6</v>
      </c>
      <c r="DT5" s="665" t="s">
        <v>7</v>
      </c>
      <c r="DU5" s="663" t="s">
        <v>3</v>
      </c>
      <c r="DV5" s="664" t="s">
        <v>6</v>
      </c>
      <c r="DW5" s="665" t="s">
        <v>7</v>
      </c>
      <c r="DX5" s="666" t="s">
        <v>3</v>
      </c>
      <c r="DY5" s="664" t="s">
        <v>6</v>
      </c>
      <c r="DZ5" s="665" t="s">
        <v>7</v>
      </c>
      <c r="EA5" s="666" t="s">
        <v>3</v>
      </c>
      <c r="EB5" s="664" t="s">
        <v>6</v>
      </c>
      <c r="EC5" s="665" t="s">
        <v>7</v>
      </c>
      <c r="ED5" s="663" t="s">
        <v>3</v>
      </c>
      <c r="EE5" s="664" t="s">
        <v>6</v>
      </c>
      <c r="EF5" s="665" t="s">
        <v>7</v>
      </c>
      <c r="EG5" s="666" t="s">
        <v>3</v>
      </c>
      <c r="EH5" s="664" t="s">
        <v>6</v>
      </c>
      <c r="EI5" s="665" t="s">
        <v>7</v>
      </c>
      <c r="EJ5" s="666" t="s">
        <v>3</v>
      </c>
      <c r="EK5" s="664" t="s">
        <v>6</v>
      </c>
      <c r="EL5" s="665" t="s">
        <v>7</v>
      </c>
      <c r="EM5" s="666" t="s">
        <v>3</v>
      </c>
      <c r="EN5" s="664" t="s">
        <v>6</v>
      </c>
      <c r="EO5" s="665" t="s">
        <v>7</v>
      </c>
      <c r="EP5" s="666" t="s">
        <v>3</v>
      </c>
      <c r="EQ5" s="664" t="s">
        <v>6</v>
      </c>
      <c r="ER5" s="665" t="s">
        <v>7</v>
      </c>
      <c r="ES5" s="663" t="s">
        <v>3</v>
      </c>
      <c r="ET5" s="664" t="s">
        <v>6</v>
      </c>
      <c r="EU5" s="665" t="s">
        <v>7</v>
      </c>
      <c r="EV5" s="663" t="s">
        <v>3</v>
      </c>
      <c r="EW5" s="664" t="s">
        <v>6</v>
      </c>
      <c r="EX5" s="665" t="s">
        <v>7</v>
      </c>
      <c r="EY5" s="663" t="s">
        <v>3</v>
      </c>
      <c r="EZ5" s="664" t="s">
        <v>6</v>
      </c>
      <c r="FA5" s="665" t="s">
        <v>7</v>
      </c>
      <c r="FB5" s="663" t="s">
        <v>3</v>
      </c>
      <c r="FC5" s="664" t="s">
        <v>6</v>
      </c>
      <c r="FD5" s="665" t="s">
        <v>7</v>
      </c>
      <c r="FE5" s="663" t="s">
        <v>3</v>
      </c>
      <c r="FF5" s="664" t="s">
        <v>6</v>
      </c>
      <c r="FG5" s="665" t="s">
        <v>7</v>
      </c>
      <c r="FH5" s="663" t="s">
        <v>3</v>
      </c>
      <c r="FI5" s="664" t="s">
        <v>6</v>
      </c>
      <c r="FJ5" s="665" t="s">
        <v>7</v>
      </c>
      <c r="FK5" s="663" t="s">
        <v>3</v>
      </c>
      <c r="FL5" s="664" t="s">
        <v>6</v>
      </c>
      <c r="FM5" s="665" t="s">
        <v>7</v>
      </c>
      <c r="FN5" s="663" t="s">
        <v>3</v>
      </c>
      <c r="FO5" s="664" t="s">
        <v>6</v>
      </c>
      <c r="FP5" s="665" t="s">
        <v>7</v>
      </c>
      <c r="FQ5" s="663" t="s">
        <v>3</v>
      </c>
      <c r="FR5" s="664" t="s">
        <v>6</v>
      </c>
      <c r="FS5" s="665" t="s">
        <v>7</v>
      </c>
      <c r="FT5" s="663" t="s">
        <v>3</v>
      </c>
      <c r="FU5" s="664" t="s">
        <v>6</v>
      </c>
      <c r="FV5" s="665" t="s">
        <v>7</v>
      </c>
      <c r="FW5" s="663" t="s">
        <v>3</v>
      </c>
      <c r="FX5" s="664" t="s">
        <v>6</v>
      </c>
      <c r="FY5" s="665" t="s">
        <v>7</v>
      </c>
      <c r="FZ5" s="663" t="s">
        <v>3</v>
      </c>
      <c r="GA5" s="664" t="s">
        <v>6</v>
      </c>
      <c r="GB5" s="665" t="s">
        <v>7</v>
      </c>
      <c r="GC5" s="663" t="s">
        <v>3</v>
      </c>
      <c r="GD5" s="664" t="s">
        <v>6</v>
      </c>
      <c r="GE5" s="665" t="s">
        <v>7</v>
      </c>
      <c r="GF5" s="663" t="s">
        <v>3</v>
      </c>
      <c r="GG5" s="664" t="s">
        <v>6</v>
      </c>
      <c r="GH5" s="665" t="s">
        <v>7</v>
      </c>
      <c r="GI5" s="663" t="s">
        <v>3</v>
      </c>
      <c r="GJ5" s="664" t="s">
        <v>6</v>
      </c>
      <c r="GK5" s="665" t="s">
        <v>7</v>
      </c>
      <c r="GM5" s="668" t="s">
        <v>93</v>
      </c>
      <c r="GN5" s="669"/>
    </row>
    <row r="6" spans="1:197" s="611" customFormat="1" ht="14.25" customHeight="1">
      <c r="A6" s="601">
        <v>1</v>
      </c>
      <c r="B6" s="606">
        <v>0.5</v>
      </c>
      <c r="C6" s="603">
        <f>D$3*D$4*216*24*60*B6/9000000</f>
        <v>446.68799999999999</v>
      </c>
      <c r="D6" s="604"/>
      <c r="E6" s="602"/>
      <c r="F6" s="603">
        <f>G$3*G$4*216*24*60*E6/9000000</f>
        <v>0</v>
      </c>
      <c r="G6" s="604"/>
      <c r="H6" s="602">
        <v>0</v>
      </c>
      <c r="I6" s="603">
        <f>J$3*J$4*216*24*60*H6/9000000</f>
        <v>0</v>
      </c>
      <c r="J6" s="604"/>
      <c r="K6" s="602">
        <v>1</v>
      </c>
      <c r="L6" s="603">
        <f>M$3*M$4*216*24*60*K6/9000000</f>
        <v>1472.2560000000001</v>
      </c>
      <c r="M6" s="604"/>
      <c r="N6" s="602">
        <v>0</v>
      </c>
      <c r="O6" s="603">
        <f>P$3*P$4*216*24*60*N6/9000000</f>
        <v>0</v>
      </c>
      <c r="P6" s="604"/>
      <c r="Q6" s="602"/>
      <c r="R6" s="603">
        <f>S$3*S$4*216*24*60*Q6/9000000</f>
        <v>0</v>
      </c>
      <c r="S6" s="604"/>
      <c r="T6" s="602">
        <v>0</v>
      </c>
      <c r="U6" s="603">
        <f>V$3*V$4*216*24*60*T6/9000000</f>
        <v>0</v>
      </c>
      <c r="V6" s="604"/>
      <c r="W6" s="602"/>
      <c r="X6" s="603">
        <f>Y$3*Y$4*216*24*60*W6/9000000</f>
        <v>0</v>
      </c>
      <c r="Y6" s="604"/>
      <c r="Z6" s="602">
        <v>1</v>
      </c>
      <c r="AA6" s="603">
        <f>AB$3*AB$4*216*24*60*Z6/9000000</f>
        <v>2661.12</v>
      </c>
      <c r="AB6" s="604"/>
      <c r="AC6" s="602">
        <v>0</v>
      </c>
      <c r="AD6" s="603">
        <f t="shared" ref="AD6:AD36" si="0">AE$3*AE$4*216*24*60*AC6/9000000</f>
        <v>0</v>
      </c>
      <c r="AE6" s="604"/>
      <c r="AF6" s="606">
        <v>0</v>
      </c>
      <c r="AG6" s="603">
        <f t="shared" ref="AG6:AG36" si="1">AH$3*AH$4*216*24*60*AF6/9000000</f>
        <v>0</v>
      </c>
      <c r="AH6" s="604"/>
      <c r="AI6" s="606">
        <v>1</v>
      </c>
      <c r="AJ6" s="603">
        <f>AK$3*AK$4*216*24*60*AI6/9000000</f>
        <v>2908.2240000000002</v>
      </c>
      <c r="AK6" s="604"/>
      <c r="AL6" s="606">
        <v>0.5</v>
      </c>
      <c r="AM6" s="603">
        <f>AN$3*AN$4*216*24*60*AL6/9000000</f>
        <v>756.86400000000003</v>
      </c>
      <c r="AN6" s="604"/>
      <c r="AO6" s="606">
        <v>0</v>
      </c>
      <c r="AP6" s="603">
        <f t="shared" ref="AP6:AP36" si="2">AQ$3*AQ$4*216*24*60*AO6/9000000</f>
        <v>0</v>
      </c>
      <c r="AQ6" s="604"/>
      <c r="AR6" s="606">
        <v>0</v>
      </c>
      <c r="AS6" s="603">
        <f t="shared" ref="AS6:AS36" si="3">AT$3*AT$4*216*24*60*AR6/9000000</f>
        <v>0</v>
      </c>
      <c r="AT6" s="604"/>
      <c r="AU6" s="606">
        <v>0</v>
      </c>
      <c r="AV6" s="603">
        <f t="shared" ref="AV6:AV36" si="4">AW$3*AW$4*216*24*60*AU6/9000000</f>
        <v>0</v>
      </c>
      <c r="AW6" s="605"/>
      <c r="AX6" s="602"/>
      <c r="AY6" s="603">
        <f>AZ$3*AZ$4*216*24*60*AX6/9000000</f>
        <v>0</v>
      </c>
      <c r="AZ6" s="604"/>
      <c r="BA6" s="602"/>
      <c r="BB6" s="603">
        <f>BC$3*BC$4*216*24*60*BA6/9000000</f>
        <v>0</v>
      </c>
      <c r="BC6" s="604"/>
      <c r="BD6" s="602"/>
      <c r="BE6" s="603">
        <f>BF$3*BF$4*216*24*60*BD6/9000000</f>
        <v>0</v>
      </c>
      <c r="BF6" s="605"/>
      <c r="BG6" s="602"/>
      <c r="BH6" s="603">
        <f>BI$3*BI$4*216*24*60*BG6/9000000</f>
        <v>0</v>
      </c>
      <c r="BI6" s="604"/>
      <c r="BJ6" s="606"/>
      <c r="BK6" s="603">
        <f>BL$3*BL$4*216*24*60*BJ6/9000000</f>
        <v>0</v>
      </c>
      <c r="BL6" s="605"/>
      <c r="BM6" s="602"/>
      <c r="BN6" s="603">
        <f t="shared" ref="BN6:BN9" si="5">BO$3*BO$4*216*24*60*BM6/9000000</f>
        <v>0</v>
      </c>
      <c r="BO6" s="604"/>
      <c r="BP6" s="602"/>
      <c r="BQ6" s="603">
        <f>BR$3*BR$4*216*24*60*BP6/9000000</f>
        <v>0</v>
      </c>
      <c r="BR6" s="605"/>
      <c r="BS6" s="602"/>
      <c r="BT6" s="603">
        <f t="shared" ref="BT6:BT9" si="6">BU$3*BU$4*216*24*60*BS6/9000000</f>
        <v>0</v>
      </c>
      <c r="BU6" s="604"/>
      <c r="BV6" s="602"/>
      <c r="BW6" s="603">
        <f t="shared" ref="BW6:BW36" si="7">BX$3*BX$4*216*24*60*BV6/9000000</f>
        <v>0</v>
      </c>
      <c r="BX6" s="604"/>
      <c r="BY6" s="602"/>
      <c r="BZ6" s="603">
        <f t="shared" ref="BZ6:BZ36" si="8">CA$3*CA$4*216*24*60*BY6/9000000</f>
        <v>0</v>
      </c>
      <c r="CA6" s="604"/>
      <c r="CB6" s="602"/>
      <c r="CC6" s="603">
        <f t="shared" ref="CC6:CC36" si="9">CD$3*CD$4*216*24*60*CB6/9000000</f>
        <v>0</v>
      </c>
      <c r="CD6" s="604"/>
      <c r="CE6" s="602"/>
      <c r="CF6" s="603">
        <f t="shared" ref="CF6:CF36" si="10">CG$3*CG$4*216*24*60*CE6/9000000</f>
        <v>0</v>
      </c>
      <c r="CG6" s="604"/>
      <c r="CH6" s="602"/>
      <c r="CI6" s="603">
        <f t="shared" ref="CI6:CI36" si="11">CJ$3*CJ$4*216*24*60*CH6/9000000</f>
        <v>0</v>
      </c>
      <c r="CJ6" s="604"/>
      <c r="CK6" s="602"/>
      <c r="CL6" s="603">
        <f t="shared" ref="CL6:CL36" si="12">CM$3*CM$4*216*24*60*CK6/9000000</f>
        <v>0</v>
      </c>
      <c r="CM6" s="604"/>
      <c r="CN6" s="602"/>
      <c r="CO6" s="603">
        <f t="shared" ref="CO6:CO36" si="13">CP$3*CP$4*216*24*60*CN6/9000000</f>
        <v>0</v>
      </c>
      <c r="CP6" s="604"/>
      <c r="CQ6" s="602"/>
      <c r="CR6" s="603">
        <f t="shared" ref="CR6:CR36" si="14">CS$3*CS$4*216*24*60*CQ6/9000000</f>
        <v>0</v>
      </c>
      <c r="CS6" s="604"/>
      <c r="CT6" s="602"/>
      <c r="CU6" s="603">
        <f t="shared" ref="CU6:CU36" si="15">CV$3*CV$4*216*24*60*CT6/9000000</f>
        <v>0</v>
      </c>
      <c r="CV6" s="604"/>
      <c r="CW6" s="602"/>
      <c r="CX6" s="603">
        <f t="shared" ref="CX6:CX36" si="16">CY$3*CY$4*216*24*60*CW6/9000000</f>
        <v>0</v>
      </c>
      <c r="CY6" s="604"/>
      <c r="CZ6" s="602"/>
      <c r="DA6" s="603">
        <f t="shared" ref="DA6:DA36" si="17">DB$3*DB$4*216*24*60*CZ6/9000000</f>
        <v>0</v>
      </c>
      <c r="DB6" s="604"/>
      <c r="DC6" s="602"/>
      <c r="DD6" s="603">
        <f t="shared" ref="DD6:DD36" si="18">DE$3*DE$4*216*24*60*DC6/9000000</f>
        <v>0</v>
      </c>
      <c r="DE6" s="604"/>
      <c r="DF6" s="602"/>
      <c r="DG6" s="603">
        <f>DH$3*DH$4*216*24*60*DF6/9000000</f>
        <v>0</v>
      </c>
      <c r="DH6" s="604"/>
      <c r="DI6" s="602"/>
      <c r="DJ6" s="603">
        <f>DK$3*DK$4*216*24*60*DI6/9000000</f>
        <v>0</v>
      </c>
      <c r="DK6" s="605"/>
      <c r="DL6" s="602"/>
      <c r="DM6" s="603">
        <f>DN$3*DN$4*216*24*60*DL6/9000000</f>
        <v>0</v>
      </c>
      <c r="DN6" s="604"/>
      <c r="DO6" s="602"/>
      <c r="DP6" s="603">
        <f>DQ$3*DQ$4*216*24*60*DO6/9000000</f>
        <v>0</v>
      </c>
      <c r="DQ6" s="605"/>
      <c r="DR6" s="602"/>
      <c r="DS6" s="603">
        <f>DT$3*DT$4*216*24*60*DR6/9000000</f>
        <v>0</v>
      </c>
      <c r="DT6" s="605"/>
      <c r="DU6" s="602"/>
      <c r="DV6" s="603">
        <f>DW$3*DW$4*216*24*60*DU6/9000000</f>
        <v>0</v>
      </c>
      <c r="DW6" s="604"/>
      <c r="DX6" s="602"/>
      <c r="DY6" s="603">
        <f>DZ$3*DZ$4*216*24*60*DX6/9000000</f>
        <v>0</v>
      </c>
      <c r="DZ6" s="605"/>
      <c r="EA6" s="602"/>
      <c r="EB6" s="603">
        <f>EC$3*EC$4*216*24*60*EA6/9000000</f>
        <v>0</v>
      </c>
      <c r="EC6" s="605"/>
      <c r="ED6" s="606"/>
      <c r="EE6" s="603">
        <f>EF$3*EF$4*216*24*60*ED6/9000000</f>
        <v>0</v>
      </c>
      <c r="EF6" s="604"/>
      <c r="EG6" s="606"/>
      <c r="EH6" s="603">
        <f>EI$3*EI$4*216*24*60*EG6/9000000</f>
        <v>0</v>
      </c>
      <c r="EI6" s="605"/>
      <c r="EJ6" s="606"/>
      <c r="EK6" s="603">
        <f>EL$3*EL$4*216*24*60*EJ6/9000000</f>
        <v>0</v>
      </c>
      <c r="EL6" s="605"/>
      <c r="EM6" s="606"/>
      <c r="EN6" s="603">
        <f>EO$3*EO$4*216*24*60*EM6/9000000</f>
        <v>0</v>
      </c>
      <c r="EO6" s="605"/>
      <c r="EP6" s="606"/>
      <c r="EQ6" s="603">
        <f>ER$3*ER$4*216*24*60*EP6/9000000</f>
        <v>0</v>
      </c>
      <c r="ER6" s="605"/>
      <c r="ES6" s="602"/>
      <c r="ET6" s="603">
        <f>EU$3*EU$4*216*24*60*ES6/9000000</f>
        <v>0</v>
      </c>
      <c r="EU6" s="605"/>
      <c r="EV6" s="602"/>
      <c r="EW6" s="603">
        <f>EX$3*EX$4*216*24*60*EV6/9000000</f>
        <v>0</v>
      </c>
      <c r="EX6" s="605"/>
      <c r="EY6" s="602"/>
      <c r="EZ6" s="603">
        <f t="shared" ref="EZ6:EZ36" si="19">FA$3*FA$4*216*24*60*EY6/9000000</f>
        <v>0</v>
      </c>
      <c r="FA6" s="604"/>
      <c r="FB6" s="602"/>
      <c r="FC6" s="603">
        <f t="shared" ref="FC6:FC36" si="20">FD$3*FD$4*216*24*60*FB6/9000000</f>
        <v>0</v>
      </c>
      <c r="FD6" s="604"/>
      <c r="FE6" s="602"/>
      <c r="FF6" s="603">
        <f t="shared" ref="FF6:FF36" si="21">FG$3*FG$4*216*24*60*FE6/9000000</f>
        <v>0</v>
      </c>
      <c r="FG6" s="604"/>
      <c r="FH6" s="602"/>
      <c r="FI6" s="603">
        <f>FJ$3*FJ$4*216*24*60*FH6/9000000</f>
        <v>0</v>
      </c>
      <c r="FJ6" s="605"/>
      <c r="FK6" s="602"/>
      <c r="FL6" s="603">
        <f t="shared" ref="FL6:FL36" si="22">FM$3*FM$4*216*24*60*FK6/9000000</f>
        <v>0</v>
      </c>
      <c r="FM6" s="605"/>
      <c r="FN6" s="606"/>
      <c r="FO6" s="603">
        <f t="shared" ref="FO6:FO36" si="23">FP$3*FP$4*216*24*60*FN6/9000000</f>
        <v>0</v>
      </c>
      <c r="FP6" s="605"/>
      <c r="FQ6" s="606"/>
      <c r="FR6" s="603">
        <f t="shared" ref="FR6:FR36" si="24">FS$3*FS$4*216*24*60*FQ6/9000000</f>
        <v>0</v>
      </c>
      <c r="FS6" s="604"/>
      <c r="FT6" s="606"/>
      <c r="FU6" s="603">
        <f>FV$3*FV$4*216*24*60*FT6/9000000</f>
        <v>0</v>
      </c>
      <c r="FV6" s="605"/>
      <c r="FW6" s="606"/>
      <c r="FX6" s="603">
        <f t="shared" ref="FX6:FX36" si="25">FY$3*FY$4*216*24*60*FW6/9000000</f>
        <v>0</v>
      </c>
      <c r="FY6" s="605"/>
      <c r="FZ6" s="606"/>
      <c r="GA6" s="603">
        <f t="shared" ref="GA6:GA36" si="26">GB$3*GB$4*216*24*60*FZ6/9000000</f>
        <v>0</v>
      </c>
      <c r="GB6" s="605"/>
      <c r="GC6" s="602"/>
      <c r="GD6" s="603">
        <f t="shared" ref="GD6:GD36" si="27">GE$3*GE$4*216*24*60*GC6/9000000</f>
        <v>0</v>
      </c>
      <c r="GE6" s="605"/>
      <c r="GF6" s="606"/>
      <c r="GG6" s="603">
        <f>GH$3*GH$4*216*24*60*GF6/9000000</f>
        <v>0</v>
      </c>
      <c r="GH6" s="64"/>
      <c r="GI6" s="606"/>
      <c r="GJ6" s="603">
        <f t="shared" ref="GJ6:GJ36" si="28">GK$3*GK$4*216*24*60*GI6/9000000</f>
        <v>0</v>
      </c>
      <c r="GK6" s="64"/>
      <c r="GL6" s="607">
        <f t="shared" ref="GL6:GL25" si="29">AC6+Z6+W6+T6+Q6+N6+K6+H6+E6+B6+AF6+AI6+AL6+AO6+AR6+AU6+AX6+BA6+BD6+BG6+BJ6+BM6+BP6+BS6+BV6+BY6+CB6+CE6+CH6+CK6+CN6+CQ6+CT6+CW6+CZ6+DC6+DL6+DF6+DI6+DO6+DR6+DU6+DX6+EA6+ED6+EG6+EJ6+EM6+EP6+ES6+EV6+EY6+FB6+FE6+FH6+FK6+FN6+FQ6+FT6+FW6+FZ6+GC6+GF6+GI6</f>
        <v>4</v>
      </c>
      <c r="GM6" s="608">
        <f>GL6+'33J'!BK6+'M80(20250122封存)'!CX6+MPS!AY6+TMT!CX6</f>
        <v>10.5</v>
      </c>
      <c r="GN6" s="609"/>
      <c r="GO6" s="610"/>
    </row>
    <row r="7" spans="1:197" s="611" customFormat="1" ht="14.25" customHeight="1">
      <c r="A7" s="601">
        <v>2</v>
      </c>
      <c r="B7" s="606">
        <v>0.5</v>
      </c>
      <c r="C7" s="603">
        <f t="shared" ref="C7:C36" si="30">D$3*D$4*216*24*60*B7/9000000</f>
        <v>446.68799999999999</v>
      </c>
      <c r="D7" s="604"/>
      <c r="E7" s="602"/>
      <c r="F7" s="603">
        <f>G$3*G$4*216*24*60*E7/9000000</f>
        <v>0</v>
      </c>
      <c r="G7" s="604"/>
      <c r="H7" s="602">
        <v>0</v>
      </c>
      <c r="I7" s="603">
        <f>J$3*J$4*216*24*60*H7/9000000</f>
        <v>0</v>
      </c>
      <c r="J7" s="604"/>
      <c r="K7" s="602">
        <v>1</v>
      </c>
      <c r="L7" s="603">
        <f>M$3*M$4*216*24*60*K7/9000000</f>
        <v>1472.2560000000001</v>
      </c>
      <c r="M7" s="604"/>
      <c r="N7" s="602">
        <v>0</v>
      </c>
      <c r="O7" s="603">
        <f>P$3*P$4*216*24*60*N7/9000000</f>
        <v>0</v>
      </c>
      <c r="P7" s="604"/>
      <c r="Q7" s="602"/>
      <c r="R7" s="603">
        <f>S$3*S$4*216*24*60*Q7/9000000</f>
        <v>0</v>
      </c>
      <c r="S7" s="604"/>
      <c r="T7" s="602">
        <v>0</v>
      </c>
      <c r="U7" s="603">
        <f>V$3*V$4*216*24*60*T7/9000000</f>
        <v>0</v>
      </c>
      <c r="V7" s="604"/>
      <c r="W7" s="602"/>
      <c r="X7" s="603">
        <f>Y$3*Y$4*216*24*60*W7/9000000</f>
        <v>0</v>
      </c>
      <c r="Y7" s="604"/>
      <c r="Z7" s="602">
        <v>1</v>
      </c>
      <c r="AA7" s="603">
        <f>AB$3*AB$4*216*24*60*Z7/9000000</f>
        <v>2661.12</v>
      </c>
      <c r="AB7" s="604"/>
      <c r="AC7" s="602">
        <v>0</v>
      </c>
      <c r="AD7" s="603">
        <f t="shared" si="0"/>
        <v>0</v>
      </c>
      <c r="AE7" s="604"/>
      <c r="AF7" s="606">
        <v>0</v>
      </c>
      <c r="AG7" s="603">
        <f t="shared" si="1"/>
        <v>0</v>
      </c>
      <c r="AH7" s="605"/>
      <c r="AI7" s="606">
        <v>1</v>
      </c>
      <c r="AJ7" s="603">
        <f>AK$3*AK$4*216*24*60*AI7/9000000</f>
        <v>2908.2240000000002</v>
      </c>
      <c r="AK7" s="604"/>
      <c r="AL7" s="606">
        <v>0.5</v>
      </c>
      <c r="AM7" s="603">
        <f>AN$3*AN$4*216*24*60*AL7/9000000</f>
        <v>756.86400000000003</v>
      </c>
      <c r="AN7" s="604"/>
      <c r="AO7" s="606">
        <v>0</v>
      </c>
      <c r="AP7" s="603">
        <f t="shared" si="2"/>
        <v>0</v>
      </c>
      <c r="AQ7" s="604"/>
      <c r="AR7" s="606">
        <v>0</v>
      </c>
      <c r="AS7" s="603">
        <f t="shared" si="3"/>
        <v>0</v>
      </c>
      <c r="AT7" s="605"/>
      <c r="AU7" s="606">
        <v>0</v>
      </c>
      <c r="AV7" s="603">
        <f t="shared" si="4"/>
        <v>0</v>
      </c>
      <c r="AW7" s="604"/>
      <c r="AX7" s="602"/>
      <c r="AY7" s="603">
        <f t="shared" ref="AY7:AY36" si="31">AZ$3*AZ$4*216*24*60*AX7/9000000</f>
        <v>0</v>
      </c>
      <c r="AZ7" s="604"/>
      <c r="BA7" s="602"/>
      <c r="BB7" s="603">
        <f t="shared" ref="BB7:BB35" si="32">BC$3*BC$4*216*24*60*BA7/9000000</f>
        <v>0</v>
      </c>
      <c r="BC7" s="604"/>
      <c r="BD7" s="602"/>
      <c r="BE7" s="603">
        <f t="shared" ref="BE7:BE35" si="33">BF$3*BF$4*216*24*60*BD7/9000000</f>
        <v>0</v>
      </c>
      <c r="BF7" s="604"/>
      <c r="BG7" s="602"/>
      <c r="BH7" s="603">
        <f t="shared" ref="BH7:BH35" si="34">BI$3*BI$4*216*24*60*BG7/9000000</f>
        <v>0</v>
      </c>
      <c r="BI7" s="604"/>
      <c r="BJ7" s="606"/>
      <c r="BK7" s="603">
        <f t="shared" ref="BK7:BK9" si="35">BL$3*BL$4*216*24*60*BJ7/9000000</f>
        <v>0</v>
      </c>
      <c r="BL7" s="604"/>
      <c r="BM7" s="602"/>
      <c r="BN7" s="603">
        <f t="shared" si="5"/>
        <v>0</v>
      </c>
      <c r="BO7" s="604"/>
      <c r="BP7" s="602"/>
      <c r="BQ7" s="603">
        <f t="shared" ref="BQ7:BQ9" si="36">BR$3*BR$4*216*24*60*BP7/9000000</f>
        <v>0</v>
      </c>
      <c r="BR7" s="604"/>
      <c r="BS7" s="602"/>
      <c r="BT7" s="603">
        <f t="shared" si="6"/>
        <v>0</v>
      </c>
      <c r="BU7" s="604"/>
      <c r="BV7" s="602"/>
      <c r="BW7" s="603">
        <f t="shared" si="7"/>
        <v>0</v>
      </c>
      <c r="BX7" s="604"/>
      <c r="BY7" s="602"/>
      <c r="BZ7" s="603">
        <f t="shared" si="8"/>
        <v>0</v>
      </c>
      <c r="CA7" s="604"/>
      <c r="CB7" s="602"/>
      <c r="CC7" s="603">
        <f t="shared" si="9"/>
        <v>0</v>
      </c>
      <c r="CD7" s="604"/>
      <c r="CE7" s="602"/>
      <c r="CF7" s="603">
        <f t="shared" si="10"/>
        <v>0</v>
      </c>
      <c r="CG7" s="604"/>
      <c r="CH7" s="602"/>
      <c r="CI7" s="603">
        <f t="shared" si="11"/>
        <v>0</v>
      </c>
      <c r="CJ7" s="604"/>
      <c r="CK7" s="602"/>
      <c r="CL7" s="603">
        <f t="shared" si="12"/>
        <v>0</v>
      </c>
      <c r="CM7" s="604"/>
      <c r="CN7" s="602"/>
      <c r="CO7" s="603">
        <f t="shared" si="13"/>
        <v>0</v>
      </c>
      <c r="CP7" s="604"/>
      <c r="CQ7" s="602"/>
      <c r="CR7" s="603">
        <f t="shared" si="14"/>
        <v>0</v>
      </c>
      <c r="CS7" s="604"/>
      <c r="CT7" s="602"/>
      <c r="CU7" s="603">
        <f t="shared" si="15"/>
        <v>0</v>
      </c>
      <c r="CV7" s="604"/>
      <c r="CW7" s="602"/>
      <c r="CX7" s="603">
        <f t="shared" si="16"/>
        <v>0</v>
      </c>
      <c r="CY7" s="604"/>
      <c r="CZ7" s="602"/>
      <c r="DA7" s="603">
        <f t="shared" si="17"/>
        <v>0</v>
      </c>
      <c r="DB7" s="604"/>
      <c r="DC7" s="602"/>
      <c r="DD7" s="603">
        <f t="shared" si="18"/>
        <v>0</v>
      </c>
      <c r="DE7" s="604"/>
      <c r="DF7" s="602"/>
      <c r="DG7" s="603">
        <f t="shared" ref="DG7:DG36" si="37">DH$3*DH$4*216*24*60*DF7/9000000</f>
        <v>0</v>
      </c>
      <c r="DH7" s="604"/>
      <c r="DI7" s="602"/>
      <c r="DJ7" s="603">
        <f t="shared" ref="DJ7:DJ36" si="38">DK$3*DK$4*216*24*60*DI7/9000000</f>
        <v>0</v>
      </c>
      <c r="DK7" s="604"/>
      <c r="DL7" s="602"/>
      <c r="DM7" s="603">
        <f t="shared" ref="DM7:DM36" si="39">DN$3*DN$4*216*24*60*DL7/9000000</f>
        <v>0</v>
      </c>
      <c r="DN7" s="604"/>
      <c r="DO7" s="602"/>
      <c r="DP7" s="603">
        <f t="shared" ref="DP7:DP36" si="40">DQ$3*DQ$4*216*24*60*DO7/9000000</f>
        <v>0</v>
      </c>
      <c r="DQ7" s="604"/>
      <c r="DR7" s="602"/>
      <c r="DS7" s="603">
        <f t="shared" ref="DS7:DS36" si="41">DT$3*DT$4*216*24*60*DR7/9000000</f>
        <v>0</v>
      </c>
      <c r="DT7" s="604"/>
      <c r="DU7" s="602"/>
      <c r="DV7" s="603">
        <f t="shared" ref="DV7:DV36" si="42">DW$3*DW$4*216*24*60*DU7/9000000</f>
        <v>0</v>
      </c>
      <c r="DW7" s="604"/>
      <c r="DX7" s="602"/>
      <c r="DY7" s="603">
        <f t="shared" ref="DY7:DY36" si="43">DZ$3*DZ$4*216*24*60*DX7/9000000</f>
        <v>0</v>
      </c>
      <c r="DZ7" s="604"/>
      <c r="EA7" s="602"/>
      <c r="EB7" s="603">
        <f t="shared" ref="EB7:EB36" si="44">EC$3*EC$4*216*24*60*EA7/9000000</f>
        <v>0</v>
      </c>
      <c r="EC7" s="604"/>
      <c r="ED7" s="606"/>
      <c r="EE7" s="603">
        <f t="shared" ref="EE7:EE36" si="45">EF$3*EF$4*216*24*60*ED7/9000000</f>
        <v>0</v>
      </c>
      <c r="EF7" s="604"/>
      <c r="EG7" s="606"/>
      <c r="EH7" s="603">
        <f t="shared" ref="EH7:EH36" si="46">EI$3*EI$4*216*24*60*EG7/9000000</f>
        <v>0</v>
      </c>
      <c r="EI7" s="604"/>
      <c r="EJ7" s="606"/>
      <c r="EK7" s="603">
        <f t="shared" ref="EK7:EK36" si="47">EL$3*EL$4*216*24*60*EJ7/9000000</f>
        <v>0</v>
      </c>
      <c r="EL7" s="604"/>
      <c r="EM7" s="606"/>
      <c r="EN7" s="603">
        <f t="shared" ref="EN7:EN36" si="48">EO$3*EO$4*216*24*60*EM7/9000000</f>
        <v>0</v>
      </c>
      <c r="EO7" s="604"/>
      <c r="EP7" s="606"/>
      <c r="EQ7" s="603">
        <f t="shared" ref="EQ7:EQ36" si="49">ER$3*ER$4*216*24*60*EP7/9000000</f>
        <v>0</v>
      </c>
      <c r="ER7" s="604"/>
      <c r="ES7" s="602"/>
      <c r="ET7" s="603">
        <f>EU$3*EU$4*216*24*60*ES7/9000000</f>
        <v>0</v>
      </c>
      <c r="EU7" s="605"/>
      <c r="EV7" s="602"/>
      <c r="EW7" s="603">
        <f>EX$3*EX$4*216*24*60*EV7/9000000</f>
        <v>0</v>
      </c>
      <c r="EX7" s="605"/>
      <c r="EY7" s="602"/>
      <c r="EZ7" s="603">
        <f t="shared" si="19"/>
        <v>0</v>
      </c>
      <c r="FA7" s="604"/>
      <c r="FB7" s="602"/>
      <c r="FC7" s="603">
        <f t="shared" si="20"/>
        <v>0</v>
      </c>
      <c r="FD7" s="604"/>
      <c r="FE7" s="602"/>
      <c r="FF7" s="603">
        <f t="shared" si="21"/>
        <v>0</v>
      </c>
      <c r="FG7" s="604"/>
      <c r="FH7" s="602"/>
      <c r="FI7" s="603">
        <f>FJ$3*FJ$4*216*24*60*FH7/9000000</f>
        <v>0</v>
      </c>
      <c r="FJ7" s="605"/>
      <c r="FK7" s="602"/>
      <c r="FL7" s="603">
        <f t="shared" si="22"/>
        <v>0</v>
      </c>
      <c r="FM7" s="605"/>
      <c r="FN7" s="606"/>
      <c r="FO7" s="603">
        <f t="shared" si="23"/>
        <v>0</v>
      </c>
      <c r="FP7" s="605"/>
      <c r="FQ7" s="606"/>
      <c r="FR7" s="603">
        <f t="shared" si="24"/>
        <v>0</v>
      </c>
      <c r="FS7" s="604"/>
      <c r="FT7" s="606"/>
      <c r="FU7" s="603">
        <f>FV$3*FV$4*216*24*60*FT7/9000000</f>
        <v>0</v>
      </c>
      <c r="FV7" s="605"/>
      <c r="FW7" s="606"/>
      <c r="FX7" s="603">
        <f t="shared" si="25"/>
        <v>0</v>
      </c>
      <c r="FY7" s="605"/>
      <c r="FZ7" s="606"/>
      <c r="GA7" s="603">
        <f t="shared" si="26"/>
        <v>0</v>
      </c>
      <c r="GB7" s="605"/>
      <c r="GC7" s="602"/>
      <c r="GD7" s="603">
        <f t="shared" si="27"/>
        <v>0</v>
      </c>
      <c r="GE7" s="605"/>
      <c r="GF7" s="606"/>
      <c r="GG7" s="603">
        <f>GH$3*GH$4*216*24*60*GF7/9000000</f>
        <v>0</v>
      </c>
      <c r="GH7" s="64"/>
      <c r="GI7" s="606"/>
      <c r="GJ7" s="603">
        <f t="shared" si="28"/>
        <v>0</v>
      </c>
      <c r="GK7" s="64"/>
      <c r="GL7" s="607">
        <f t="shared" si="29"/>
        <v>4</v>
      </c>
      <c r="GM7" s="608">
        <f>GL7+'33J'!BK7+'M80(20250122封存)'!CX7+MPS!AY7+TMT!CX7</f>
        <v>10.5</v>
      </c>
      <c r="GN7" s="609"/>
      <c r="GO7" s="610"/>
    </row>
    <row r="8" spans="1:197" s="611" customFormat="1" ht="14.25" customHeight="1">
      <c r="A8" s="601">
        <v>3</v>
      </c>
      <c r="B8" s="606">
        <v>0.5</v>
      </c>
      <c r="C8" s="603">
        <f t="shared" si="30"/>
        <v>446.68799999999999</v>
      </c>
      <c r="D8" s="604"/>
      <c r="E8" s="602"/>
      <c r="F8" s="603">
        <f>G$3*G$4*216*24*60*E8/9000000</f>
        <v>0</v>
      </c>
      <c r="G8" s="605"/>
      <c r="H8" s="602">
        <v>0</v>
      </c>
      <c r="I8" s="603">
        <f>J$3*J$4*216*24*60*H8/9000000</f>
        <v>0</v>
      </c>
      <c r="J8" s="605"/>
      <c r="K8" s="602">
        <v>1</v>
      </c>
      <c r="L8" s="603">
        <f>M$3*M$4*216*24*60*K8/9000000</f>
        <v>1472.2560000000001</v>
      </c>
      <c r="M8" s="605"/>
      <c r="N8" s="602">
        <v>0</v>
      </c>
      <c r="O8" s="603">
        <f>P$3*P$4*216*24*60*N8/9000000</f>
        <v>0</v>
      </c>
      <c r="P8" s="605"/>
      <c r="Q8" s="602"/>
      <c r="R8" s="603">
        <f>S$3*S$4*216*24*60*Q8/9000000</f>
        <v>0</v>
      </c>
      <c r="S8" s="605"/>
      <c r="T8" s="602">
        <v>0</v>
      </c>
      <c r="U8" s="603">
        <f>V$3*V$4*216*24*60*T8/9000000</f>
        <v>0</v>
      </c>
      <c r="V8" s="605"/>
      <c r="W8" s="602"/>
      <c r="X8" s="603">
        <f>Y$3*Y$4*216*24*60*W8/9000000</f>
        <v>0</v>
      </c>
      <c r="Y8" s="605"/>
      <c r="Z8" s="602">
        <v>1</v>
      </c>
      <c r="AA8" s="603">
        <f>AB$3*AB$4*216*24*60*Z8/9000000</f>
        <v>2661.12</v>
      </c>
      <c r="AB8" s="605"/>
      <c r="AC8" s="602">
        <v>0</v>
      </c>
      <c r="AD8" s="603">
        <f t="shared" si="0"/>
        <v>0</v>
      </c>
      <c r="AE8" s="604"/>
      <c r="AF8" s="606">
        <v>0</v>
      </c>
      <c r="AG8" s="603">
        <f t="shared" si="1"/>
        <v>0</v>
      </c>
      <c r="AH8" s="605"/>
      <c r="AI8" s="606">
        <v>1</v>
      </c>
      <c r="AJ8" s="603">
        <f>AK$3*AK$4*216*24*60*AI8/9000000</f>
        <v>2908.2240000000002</v>
      </c>
      <c r="AK8" s="605"/>
      <c r="AL8" s="606">
        <v>0.5</v>
      </c>
      <c r="AM8" s="603">
        <f>AN$3*AN$4*216*24*60*AL8/9000000</f>
        <v>756.86400000000003</v>
      </c>
      <c r="AN8" s="604"/>
      <c r="AO8" s="606">
        <v>0</v>
      </c>
      <c r="AP8" s="603">
        <f t="shared" si="2"/>
        <v>0</v>
      </c>
      <c r="AQ8" s="604"/>
      <c r="AR8" s="606">
        <v>0</v>
      </c>
      <c r="AS8" s="603">
        <f t="shared" si="3"/>
        <v>0</v>
      </c>
      <c r="AT8" s="605"/>
      <c r="AU8" s="606">
        <v>0</v>
      </c>
      <c r="AV8" s="603">
        <f t="shared" si="4"/>
        <v>0</v>
      </c>
      <c r="AW8" s="604"/>
      <c r="AX8" s="602"/>
      <c r="AY8" s="603">
        <f t="shared" si="31"/>
        <v>0</v>
      </c>
      <c r="AZ8" s="604"/>
      <c r="BA8" s="602"/>
      <c r="BB8" s="603">
        <f t="shared" si="32"/>
        <v>0</v>
      </c>
      <c r="BC8" s="604"/>
      <c r="BD8" s="602"/>
      <c r="BE8" s="603">
        <f t="shared" si="33"/>
        <v>0</v>
      </c>
      <c r="BF8" s="604"/>
      <c r="BG8" s="602"/>
      <c r="BH8" s="603">
        <f t="shared" si="34"/>
        <v>0</v>
      </c>
      <c r="BI8" s="605"/>
      <c r="BJ8" s="606"/>
      <c r="BK8" s="603">
        <f t="shared" si="35"/>
        <v>0</v>
      </c>
      <c r="BL8" s="604"/>
      <c r="BM8" s="602"/>
      <c r="BN8" s="603">
        <f t="shared" si="5"/>
        <v>0</v>
      </c>
      <c r="BO8" s="604"/>
      <c r="BP8" s="602"/>
      <c r="BQ8" s="603">
        <f t="shared" si="36"/>
        <v>0</v>
      </c>
      <c r="BR8" s="604"/>
      <c r="BS8" s="602"/>
      <c r="BT8" s="603">
        <f t="shared" si="6"/>
        <v>0</v>
      </c>
      <c r="BU8" s="604"/>
      <c r="BV8" s="602"/>
      <c r="BW8" s="603">
        <f t="shared" si="7"/>
        <v>0</v>
      </c>
      <c r="BX8" s="604"/>
      <c r="BY8" s="602"/>
      <c r="BZ8" s="603">
        <f t="shared" si="8"/>
        <v>0</v>
      </c>
      <c r="CA8" s="604"/>
      <c r="CB8" s="602"/>
      <c r="CC8" s="603">
        <f t="shared" si="9"/>
        <v>0</v>
      </c>
      <c r="CD8" s="604"/>
      <c r="CE8" s="602"/>
      <c r="CF8" s="603">
        <f t="shared" si="10"/>
        <v>0</v>
      </c>
      <c r="CG8" s="604"/>
      <c r="CH8" s="602"/>
      <c r="CI8" s="603">
        <f t="shared" si="11"/>
        <v>0</v>
      </c>
      <c r="CJ8" s="604"/>
      <c r="CK8" s="602"/>
      <c r="CL8" s="603">
        <f t="shared" si="12"/>
        <v>0</v>
      </c>
      <c r="CM8" s="604"/>
      <c r="CN8" s="602"/>
      <c r="CO8" s="603">
        <f t="shared" si="13"/>
        <v>0</v>
      </c>
      <c r="CP8" s="604"/>
      <c r="CQ8" s="602"/>
      <c r="CR8" s="603">
        <f t="shared" si="14"/>
        <v>0</v>
      </c>
      <c r="CS8" s="604"/>
      <c r="CT8" s="602"/>
      <c r="CU8" s="603">
        <f t="shared" si="15"/>
        <v>0</v>
      </c>
      <c r="CV8" s="604"/>
      <c r="CW8" s="602"/>
      <c r="CX8" s="603">
        <f t="shared" si="16"/>
        <v>0</v>
      </c>
      <c r="CY8" s="604"/>
      <c r="CZ8" s="602"/>
      <c r="DA8" s="603">
        <f t="shared" si="17"/>
        <v>0</v>
      </c>
      <c r="DB8" s="604"/>
      <c r="DC8" s="602"/>
      <c r="DD8" s="603">
        <f t="shared" si="18"/>
        <v>0</v>
      </c>
      <c r="DE8" s="604"/>
      <c r="DF8" s="602"/>
      <c r="DG8" s="603">
        <f t="shared" si="37"/>
        <v>0</v>
      </c>
      <c r="DH8" s="604"/>
      <c r="DI8" s="602"/>
      <c r="DJ8" s="603">
        <f t="shared" si="38"/>
        <v>0</v>
      </c>
      <c r="DK8" s="604"/>
      <c r="DL8" s="602"/>
      <c r="DM8" s="603">
        <f t="shared" si="39"/>
        <v>0</v>
      </c>
      <c r="DN8" s="604"/>
      <c r="DO8" s="602"/>
      <c r="DP8" s="603">
        <f t="shared" si="40"/>
        <v>0</v>
      </c>
      <c r="DQ8" s="604"/>
      <c r="DR8" s="602"/>
      <c r="DS8" s="603">
        <f t="shared" si="41"/>
        <v>0</v>
      </c>
      <c r="DT8" s="604"/>
      <c r="DU8" s="602"/>
      <c r="DV8" s="603">
        <f t="shared" si="42"/>
        <v>0</v>
      </c>
      <c r="DW8" s="604"/>
      <c r="DX8" s="602"/>
      <c r="DY8" s="603">
        <f t="shared" si="43"/>
        <v>0</v>
      </c>
      <c r="DZ8" s="604"/>
      <c r="EA8" s="602"/>
      <c r="EB8" s="603">
        <f t="shared" si="44"/>
        <v>0</v>
      </c>
      <c r="EC8" s="604"/>
      <c r="ED8" s="606"/>
      <c r="EE8" s="603">
        <f t="shared" si="45"/>
        <v>0</v>
      </c>
      <c r="EF8" s="604"/>
      <c r="EG8" s="606"/>
      <c r="EH8" s="603">
        <f t="shared" si="46"/>
        <v>0</v>
      </c>
      <c r="EI8" s="604"/>
      <c r="EJ8" s="606"/>
      <c r="EK8" s="603">
        <f t="shared" si="47"/>
        <v>0</v>
      </c>
      <c r="EL8" s="604"/>
      <c r="EM8" s="606"/>
      <c r="EN8" s="603">
        <f t="shared" si="48"/>
        <v>0</v>
      </c>
      <c r="EO8" s="604"/>
      <c r="EP8" s="606"/>
      <c r="EQ8" s="603">
        <f t="shared" si="49"/>
        <v>0</v>
      </c>
      <c r="ER8" s="604"/>
      <c r="ES8" s="602"/>
      <c r="ET8" s="603">
        <f>EU$3*EU$4*216*24*60*ES8/9000000</f>
        <v>0</v>
      </c>
      <c r="EU8" s="605"/>
      <c r="EV8" s="602"/>
      <c r="EW8" s="603">
        <f>EX$3*EX$4*216*24*60*EV8/9000000</f>
        <v>0</v>
      </c>
      <c r="EX8" s="605"/>
      <c r="EY8" s="602"/>
      <c r="EZ8" s="603">
        <f t="shared" si="19"/>
        <v>0</v>
      </c>
      <c r="FA8" s="604"/>
      <c r="FB8" s="602"/>
      <c r="FC8" s="603">
        <f t="shared" si="20"/>
        <v>0</v>
      </c>
      <c r="FD8" s="604"/>
      <c r="FE8" s="602"/>
      <c r="FF8" s="603">
        <f t="shared" si="21"/>
        <v>0</v>
      </c>
      <c r="FG8" s="604"/>
      <c r="FH8" s="602"/>
      <c r="FI8" s="603">
        <f t="shared" ref="FI8:FI36" si="50">FJ$3*FJ$4*216*24*60*FH8/9000000</f>
        <v>0</v>
      </c>
      <c r="FJ8" s="605"/>
      <c r="FK8" s="602"/>
      <c r="FL8" s="603">
        <f t="shared" si="22"/>
        <v>0</v>
      </c>
      <c r="FM8" s="605"/>
      <c r="FN8" s="606"/>
      <c r="FO8" s="603">
        <f t="shared" si="23"/>
        <v>0</v>
      </c>
      <c r="FP8" s="605"/>
      <c r="FQ8" s="606"/>
      <c r="FR8" s="603">
        <f t="shared" si="24"/>
        <v>0</v>
      </c>
      <c r="FS8" s="604"/>
      <c r="FT8" s="606"/>
      <c r="FU8" s="603">
        <f t="shared" ref="FU8:FU36" si="51">FV$3*FV$4*216*24*60*FT8/9000000</f>
        <v>0</v>
      </c>
      <c r="FV8" s="605"/>
      <c r="FW8" s="606"/>
      <c r="FX8" s="603">
        <f t="shared" si="25"/>
        <v>0</v>
      </c>
      <c r="FY8" s="605"/>
      <c r="FZ8" s="606"/>
      <c r="GA8" s="603">
        <f t="shared" si="26"/>
        <v>0</v>
      </c>
      <c r="GB8" s="605"/>
      <c r="GC8" s="602"/>
      <c r="GD8" s="603">
        <f t="shared" si="27"/>
        <v>0</v>
      </c>
      <c r="GE8" s="605"/>
      <c r="GF8" s="606"/>
      <c r="GG8" s="603">
        <f>GH$3*GH$4*216*24*60*GF8/9000000</f>
        <v>0</v>
      </c>
      <c r="GH8" s="64"/>
      <c r="GI8" s="606"/>
      <c r="GJ8" s="603">
        <f t="shared" si="28"/>
        <v>0</v>
      </c>
      <c r="GK8" s="64"/>
      <c r="GL8" s="607">
        <f t="shared" si="29"/>
        <v>4</v>
      </c>
      <c r="GM8" s="608">
        <f>GL8+'33J'!BK8+'M80(20250122封存)'!CX8+MPS!AY8+TMT!CX8</f>
        <v>10.5</v>
      </c>
      <c r="GN8" s="609"/>
      <c r="GO8" s="610"/>
    </row>
    <row r="9" spans="1:197" s="611" customFormat="1" ht="14.25" customHeight="1">
      <c r="A9" s="601">
        <v>4</v>
      </c>
      <c r="B9" s="606">
        <v>0.5</v>
      </c>
      <c r="C9" s="603">
        <f t="shared" si="30"/>
        <v>446.68799999999999</v>
      </c>
      <c r="D9" s="604"/>
      <c r="E9" s="602"/>
      <c r="F9" s="603">
        <f>G$3*G$4*216*24*60*E9/9000000</f>
        <v>0</v>
      </c>
      <c r="G9" s="604"/>
      <c r="H9" s="602">
        <v>0</v>
      </c>
      <c r="I9" s="603">
        <f>J$3*J$4*216*24*60*H9/9000000</f>
        <v>0</v>
      </c>
      <c r="J9" s="604"/>
      <c r="K9" s="602">
        <v>1</v>
      </c>
      <c r="L9" s="603">
        <f>M$3*M$4*216*24*60*K9/9000000</f>
        <v>1472.2560000000001</v>
      </c>
      <c r="M9" s="604"/>
      <c r="N9" s="602">
        <v>1</v>
      </c>
      <c r="O9" s="603">
        <f>P$3*P$4*216*24*60*N9/9000000</f>
        <v>1244.1600000000001</v>
      </c>
      <c r="P9" s="604"/>
      <c r="Q9" s="602"/>
      <c r="R9" s="603">
        <f>S$3*S$4*216*24*60*Q9/9000000</f>
        <v>0</v>
      </c>
      <c r="S9" s="604"/>
      <c r="T9" s="602">
        <v>0</v>
      </c>
      <c r="U9" s="603">
        <f>V$3*V$4*216*24*60*T9/9000000</f>
        <v>0</v>
      </c>
      <c r="V9" s="604"/>
      <c r="W9" s="602"/>
      <c r="X9" s="603">
        <f>Y$3*Y$4*216*24*60*W9/9000000</f>
        <v>0</v>
      </c>
      <c r="Y9" s="604"/>
      <c r="Z9" s="602">
        <v>1</v>
      </c>
      <c r="AA9" s="603">
        <f>AB$3*AB$4*216*24*60*Z9/9000000</f>
        <v>2661.12</v>
      </c>
      <c r="AB9" s="604"/>
      <c r="AC9" s="602">
        <v>0</v>
      </c>
      <c r="AD9" s="603">
        <f t="shared" si="0"/>
        <v>0</v>
      </c>
      <c r="AE9" s="604"/>
      <c r="AF9" s="602">
        <v>0</v>
      </c>
      <c r="AG9" s="603">
        <f t="shared" si="1"/>
        <v>0</v>
      </c>
      <c r="AH9" s="605"/>
      <c r="AI9" s="602">
        <v>1</v>
      </c>
      <c r="AJ9" s="603">
        <f>AK$3*AK$4*216*24*60*AI9/9000000</f>
        <v>2908.2240000000002</v>
      </c>
      <c r="AK9" s="604"/>
      <c r="AL9" s="602">
        <v>0.5</v>
      </c>
      <c r="AM9" s="603">
        <f>AN$3*AN$4*216*24*60*AL9/9000000</f>
        <v>756.86400000000003</v>
      </c>
      <c r="AN9" s="604"/>
      <c r="AO9" s="602">
        <v>0</v>
      </c>
      <c r="AP9" s="603">
        <f t="shared" si="2"/>
        <v>0</v>
      </c>
      <c r="AQ9" s="604"/>
      <c r="AR9" s="602">
        <v>0</v>
      </c>
      <c r="AS9" s="603">
        <f t="shared" si="3"/>
        <v>0</v>
      </c>
      <c r="AT9" s="605"/>
      <c r="AU9" s="602">
        <v>0</v>
      </c>
      <c r="AV9" s="603">
        <f t="shared" si="4"/>
        <v>0</v>
      </c>
      <c r="AW9" s="604"/>
      <c r="AX9" s="602"/>
      <c r="AY9" s="603">
        <f t="shared" si="31"/>
        <v>0</v>
      </c>
      <c r="AZ9" s="604"/>
      <c r="BA9" s="602"/>
      <c r="BB9" s="603">
        <f t="shared" si="32"/>
        <v>0</v>
      </c>
      <c r="BC9" s="604"/>
      <c r="BD9" s="602"/>
      <c r="BE9" s="603">
        <f t="shared" si="33"/>
        <v>0</v>
      </c>
      <c r="BF9" s="604"/>
      <c r="BG9" s="602"/>
      <c r="BH9" s="603">
        <f t="shared" si="34"/>
        <v>0</v>
      </c>
      <c r="BI9" s="604"/>
      <c r="BJ9" s="606"/>
      <c r="BK9" s="603">
        <f t="shared" si="35"/>
        <v>0</v>
      </c>
      <c r="BL9" s="604"/>
      <c r="BM9" s="602"/>
      <c r="BN9" s="603">
        <f t="shared" si="5"/>
        <v>0</v>
      </c>
      <c r="BO9" s="604"/>
      <c r="BP9" s="602"/>
      <c r="BQ9" s="603">
        <f t="shared" si="36"/>
        <v>0</v>
      </c>
      <c r="BR9" s="604"/>
      <c r="BS9" s="602"/>
      <c r="BT9" s="603">
        <f t="shared" si="6"/>
        <v>0</v>
      </c>
      <c r="BU9" s="604"/>
      <c r="BV9" s="602"/>
      <c r="BW9" s="603">
        <f t="shared" si="7"/>
        <v>0</v>
      </c>
      <c r="BX9" s="604"/>
      <c r="BY9" s="602"/>
      <c r="BZ9" s="603">
        <f t="shared" si="8"/>
        <v>0</v>
      </c>
      <c r="CA9" s="604"/>
      <c r="CB9" s="602"/>
      <c r="CC9" s="603">
        <f t="shared" si="9"/>
        <v>0</v>
      </c>
      <c r="CD9" s="604"/>
      <c r="CE9" s="602"/>
      <c r="CF9" s="603">
        <f t="shared" si="10"/>
        <v>0</v>
      </c>
      <c r="CG9" s="604"/>
      <c r="CH9" s="602"/>
      <c r="CI9" s="603">
        <f t="shared" si="11"/>
        <v>0</v>
      </c>
      <c r="CJ9" s="604"/>
      <c r="CK9" s="602"/>
      <c r="CL9" s="603">
        <f t="shared" si="12"/>
        <v>0</v>
      </c>
      <c r="CM9" s="604"/>
      <c r="CN9" s="602"/>
      <c r="CO9" s="603">
        <f t="shared" si="13"/>
        <v>0</v>
      </c>
      <c r="CP9" s="604"/>
      <c r="CQ9" s="602"/>
      <c r="CR9" s="603">
        <f t="shared" si="14"/>
        <v>0</v>
      </c>
      <c r="CS9" s="604"/>
      <c r="CT9" s="602"/>
      <c r="CU9" s="603">
        <f t="shared" si="15"/>
        <v>0</v>
      </c>
      <c r="CV9" s="604"/>
      <c r="CW9" s="602"/>
      <c r="CX9" s="603">
        <f t="shared" si="16"/>
        <v>0</v>
      </c>
      <c r="CY9" s="604"/>
      <c r="CZ9" s="602"/>
      <c r="DA9" s="603">
        <f t="shared" si="17"/>
        <v>0</v>
      </c>
      <c r="DB9" s="604"/>
      <c r="DC9" s="602"/>
      <c r="DD9" s="603">
        <f t="shared" si="18"/>
        <v>0</v>
      </c>
      <c r="DE9" s="604"/>
      <c r="DF9" s="602"/>
      <c r="DG9" s="603">
        <f t="shared" si="37"/>
        <v>0</v>
      </c>
      <c r="DH9" s="604"/>
      <c r="DI9" s="602"/>
      <c r="DJ9" s="603">
        <f t="shared" si="38"/>
        <v>0</v>
      </c>
      <c r="DK9" s="604"/>
      <c r="DL9" s="602"/>
      <c r="DM9" s="603">
        <f t="shared" si="39"/>
        <v>0</v>
      </c>
      <c r="DN9" s="604"/>
      <c r="DO9" s="602"/>
      <c r="DP9" s="603">
        <f t="shared" si="40"/>
        <v>0</v>
      </c>
      <c r="DQ9" s="604"/>
      <c r="DR9" s="602"/>
      <c r="DS9" s="603">
        <f t="shared" si="41"/>
        <v>0</v>
      </c>
      <c r="DT9" s="604"/>
      <c r="DU9" s="602"/>
      <c r="DV9" s="603">
        <f t="shared" si="42"/>
        <v>0</v>
      </c>
      <c r="DW9" s="604"/>
      <c r="DX9" s="602"/>
      <c r="DY9" s="603">
        <f t="shared" si="43"/>
        <v>0</v>
      </c>
      <c r="DZ9" s="604"/>
      <c r="EA9" s="602"/>
      <c r="EB9" s="603">
        <f t="shared" si="44"/>
        <v>0</v>
      </c>
      <c r="EC9" s="604"/>
      <c r="ED9" s="606"/>
      <c r="EE9" s="603">
        <f t="shared" si="45"/>
        <v>0</v>
      </c>
      <c r="EF9" s="604"/>
      <c r="EG9" s="606"/>
      <c r="EH9" s="603">
        <f t="shared" si="46"/>
        <v>0</v>
      </c>
      <c r="EI9" s="604"/>
      <c r="EJ9" s="606"/>
      <c r="EK9" s="603">
        <f t="shared" si="47"/>
        <v>0</v>
      </c>
      <c r="EL9" s="604"/>
      <c r="EM9" s="606"/>
      <c r="EN9" s="603">
        <f t="shared" si="48"/>
        <v>0</v>
      </c>
      <c r="EO9" s="604"/>
      <c r="EP9" s="606"/>
      <c r="EQ9" s="603">
        <f t="shared" si="49"/>
        <v>0</v>
      </c>
      <c r="ER9" s="604"/>
      <c r="ES9" s="602"/>
      <c r="ET9" s="603">
        <f t="shared" ref="ET9:ET36" si="52">EU$3*EU$4*216*24*60*ES9/9000000</f>
        <v>0</v>
      </c>
      <c r="EU9" s="605"/>
      <c r="EV9" s="602"/>
      <c r="EW9" s="603">
        <f t="shared" ref="EW9:EW36" si="53">EX$3*EX$4*216*24*60*EV9/9000000</f>
        <v>0</v>
      </c>
      <c r="EX9" s="605"/>
      <c r="EY9" s="602"/>
      <c r="EZ9" s="603">
        <f t="shared" si="19"/>
        <v>0</v>
      </c>
      <c r="FA9" s="605"/>
      <c r="FB9" s="602"/>
      <c r="FC9" s="603">
        <f t="shared" si="20"/>
        <v>0</v>
      </c>
      <c r="FD9" s="605"/>
      <c r="FE9" s="602"/>
      <c r="FF9" s="603">
        <f t="shared" si="21"/>
        <v>0</v>
      </c>
      <c r="FG9" s="605"/>
      <c r="FH9" s="602"/>
      <c r="FI9" s="603">
        <f t="shared" si="50"/>
        <v>0</v>
      </c>
      <c r="FJ9" s="605"/>
      <c r="FK9" s="602"/>
      <c r="FL9" s="603">
        <f t="shared" si="22"/>
        <v>0</v>
      </c>
      <c r="FM9" s="605"/>
      <c r="FN9" s="606"/>
      <c r="FO9" s="603">
        <f t="shared" si="23"/>
        <v>0</v>
      </c>
      <c r="FP9" s="605"/>
      <c r="FQ9" s="602"/>
      <c r="FR9" s="603">
        <f t="shared" si="24"/>
        <v>0</v>
      </c>
      <c r="FS9" s="605"/>
      <c r="FT9" s="602"/>
      <c r="FU9" s="603">
        <f t="shared" si="51"/>
        <v>0</v>
      </c>
      <c r="FV9" s="605"/>
      <c r="FW9" s="606"/>
      <c r="FX9" s="603">
        <f t="shared" si="25"/>
        <v>0</v>
      </c>
      <c r="FY9" s="605"/>
      <c r="FZ9" s="606"/>
      <c r="GA9" s="603">
        <f t="shared" si="26"/>
        <v>0</v>
      </c>
      <c r="GB9" s="605"/>
      <c r="GC9" s="602"/>
      <c r="GD9" s="603">
        <f t="shared" si="27"/>
        <v>0</v>
      </c>
      <c r="GE9" s="605"/>
      <c r="GF9" s="602"/>
      <c r="GG9" s="603">
        <f>GH$3*GH$4*216*24*60*GF9/9000000</f>
        <v>0</v>
      </c>
      <c r="GH9" s="64"/>
      <c r="GI9" s="602"/>
      <c r="GJ9" s="603">
        <f t="shared" si="28"/>
        <v>0</v>
      </c>
      <c r="GK9" s="64"/>
      <c r="GL9" s="607">
        <f t="shared" si="29"/>
        <v>5</v>
      </c>
      <c r="GM9" s="608">
        <f>GL9+'33J'!BK9+'M80(20250122封存)'!CX9+MPS!AY9+TMT!CX9</f>
        <v>11</v>
      </c>
      <c r="GN9" s="609"/>
      <c r="GO9" s="610"/>
    </row>
    <row r="10" spans="1:197" s="611" customFormat="1" ht="14.25" customHeight="1">
      <c r="A10" s="601">
        <v>5</v>
      </c>
      <c r="B10" s="606">
        <v>0.5</v>
      </c>
      <c r="C10" s="603">
        <f t="shared" si="30"/>
        <v>446.68799999999999</v>
      </c>
      <c r="D10" s="604"/>
      <c r="E10" s="602"/>
      <c r="F10" s="603">
        <f t="shared" ref="F10:F36" si="54">G$3*G$4*216*24*60*E10/9000000</f>
        <v>0</v>
      </c>
      <c r="G10" s="604"/>
      <c r="H10" s="602">
        <v>0</v>
      </c>
      <c r="I10" s="603">
        <f t="shared" ref="I10:I11" si="55">J$3*J$4*216*24*60*H10/9000000</f>
        <v>0</v>
      </c>
      <c r="J10" s="604"/>
      <c r="K10" s="602">
        <v>1</v>
      </c>
      <c r="L10" s="603">
        <f t="shared" ref="L10:L36" si="56">M$3*M$4*216*24*60*K10/9000000</f>
        <v>1472.2560000000001</v>
      </c>
      <c r="M10" s="604"/>
      <c r="N10" s="602">
        <v>1</v>
      </c>
      <c r="O10" s="603">
        <f t="shared" ref="O10:O36" si="57">P$3*P$4*216*24*60*N10/9000000</f>
        <v>1244.1600000000001</v>
      </c>
      <c r="P10" s="604"/>
      <c r="Q10" s="602"/>
      <c r="R10" s="603">
        <f t="shared" ref="R10" si="58">S$3*S$4*216*24*60*Q10/9000000</f>
        <v>0</v>
      </c>
      <c r="S10" s="604"/>
      <c r="T10" s="602">
        <v>0</v>
      </c>
      <c r="U10" s="603">
        <f t="shared" ref="U10" si="59">V$3*V$4*216*24*60*T10/9000000</f>
        <v>0</v>
      </c>
      <c r="V10" s="604"/>
      <c r="W10" s="606"/>
      <c r="X10" s="603">
        <f t="shared" ref="X10:X36" si="60">Y$3*Y$4*216*24*60*W10/9000000</f>
        <v>0</v>
      </c>
      <c r="Y10" s="604"/>
      <c r="Z10" s="602">
        <v>1</v>
      </c>
      <c r="AA10" s="603">
        <f t="shared" ref="AA10:AA36" si="61">AB$3*AB$4*216*24*60*Z10/9000000</f>
        <v>2661.12</v>
      </c>
      <c r="AB10" s="604"/>
      <c r="AC10" s="602">
        <v>0</v>
      </c>
      <c r="AD10" s="603">
        <f t="shared" si="0"/>
        <v>0</v>
      </c>
      <c r="AE10" s="604"/>
      <c r="AF10" s="606">
        <v>0</v>
      </c>
      <c r="AG10" s="603">
        <f t="shared" si="1"/>
        <v>0</v>
      </c>
      <c r="AH10" s="604"/>
      <c r="AI10" s="606">
        <v>1</v>
      </c>
      <c r="AJ10" s="603">
        <f t="shared" ref="AJ10:AJ36" si="62">AK$3*AK$4*216*24*60*AI10/9000000</f>
        <v>2908.2240000000002</v>
      </c>
      <c r="AK10" s="604"/>
      <c r="AL10" s="606">
        <v>0.5</v>
      </c>
      <c r="AM10" s="603">
        <f>AN$3*AN$4*216*24*60*AL10/9000000</f>
        <v>756.86400000000003</v>
      </c>
      <c r="AN10" s="604"/>
      <c r="AO10" s="606">
        <v>0</v>
      </c>
      <c r="AP10" s="603">
        <f t="shared" si="2"/>
        <v>0</v>
      </c>
      <c r="AQ10" s="604"/>
      <c r="AR10" s="606">
        <v>0</v>
      </c>
      <c r="AS10" s="603">
        <f t="shared" si="3"/>
        <v>0</v>
      </c>
      <c r="AT10" s="604"/>
      <c r="AU10" s="606">
        <v>0</v>
      </c>
      <c r="AV10" s="603">
        <f t="shared" si="4"/>
        <v>0</v>
      </c>
      <c r="AW10" s="604"/>
      <c r="AX10" s="602"/>
      <c r="AY10" s="603">
        <f t="shared" si="31"/>
        <v>0</v>
      </c>
      <c r="AZ10" s="604"/>
      <c r="BA10" s="602"/>
      <c r="BB10" s="603">
        <f t="shared" si="32"/>
        <v>0</v>
      </c>
      <c r="BC10" s="604"/>
      <c r="BD10" s="606"/>
      <c r="BE10" s="603">
        <f t="shared" si="33"/>
        <v>0</v>
      </c>
      <c r="BF10" s="604"/>
      <c r="BG10" s="606"/>
      <c r="BH10" s="603">
        <f t="shared" si="34"/>
        <v>0</v>
      </c>
      <c r="BI10" s="604"/>
      <c r="BJ10" s="606"/>
      <c r="BK10" s="603">
        <f t="shared" ref="BK10:BK28" si="63">BL$3*BL$4*216*24*60*BJ10/9000000</f>
        <v>0</v>
      </c>
      <c r="BL10" s="604"/>
      <c r="BM10" s="606"/>
      <c r="BN10" s="603">
        <f t="shared" ref="BN10:BN28" si="64">BO$3*BO$4*216*24*60*BM10/9000000</f>
        <v>0</v>
      </c>
      <c r="BO10" s="604"/>
      <c r="BP10" s="602"/>
      <c r="BQ10" s="603">
        <f t="shared" ref="BQ10:BQ36" si="65">BR$3*BR$4*216*24*60*BP10/9000000</f>
        <v>0</v>
      </c>
      <c r="BR10" s="604"/>
      <c r="BS10" s="602"/>
      <c r="BT10" s="603">
        <f t="shared" ref="BT10:BT36" si="66">BU$3*BU$4*216*24*60*BS10/9000000</f>
        <v>0</v>
      </c>
      <c r="BU10" s="604"/>
      <c r="BV10" s="606"/>
      <c r="BW10" s="603">
        <f t="shared" si="7"/>
        <v>0</v>
      </c>
      <c r="BX10" s="604"/>
      <c r="BY10" s="602"/>
      <c r="BZ10" s="603">
        <f t="shared" si="8"/>
        <v>0</v>
      </c>
      <c r="CA10" s="605"/>
      <c r="CB10" s="602"/>
      <c r="CC10" s="603">
        <f t="shared" si="9"/>
        <v>0</v>
      </c>
      <c r="CD10" s="605"/>
      <c r="CE10" s="602"/>
      <c r="CF10" s="603">
        <f t="shared" si="10"/>
        <v>0</v>
      </c>
      <c r="CG10" s="605"/>
      <c r="CH10" s="602"/>
      <c r="CI10" s="603">
        <f t="shared" si="11"/>
        <v>0</v>
      </c>
      <c r="CJ10" s="605"/>
      <c r="CK10" s="602"/>
      <c r="CL10" s="603">
        <f t="shared" si="12"/>
        <v>0</v>
      </c>
      <c r="CM10" s="605"/>
      <c r="CN10" s="602"/>
      <c r="CO10" s="603">
        <f t="shared" si="13"/>
        <v>0</v>
      </c>
      <c r="CP10" s="605"/>
      <c r="CQ10" s="602"/>
      <c r="CR10" s="603">
        <f t="shared" si="14"/>
        <v>0</v>
      </c>
      <c r="CS10" s="605"/>
      <c r="CT10" s="602"/>
      <c r="CU10" s="603">
        <f t="shared" si="15"/>
        <v>0</v>
      </c>
      <c r="CV10" s="605"/>
      <c r="CW10" s="602"/>
      <c r="CX10" s="603">
        <f t="shared" si="16"/>
        <v>0</v>
      </c>
      <c r="CY10" s="605"/>
      <c r="CZ10" s="602"/>
      <c r="DA10" s="603">
        <f t="shared" si="17"/>
        <v>0</v>
      </c>
      <c r="DB10" s="605"/>
      <c r="DC10" s="602"/>
      <c r="DD10" s="603">
        <f t="shared" si="18"/>
        <v>0</v>
      </c>
      <c r="DE10" s="605"/>
      <c r="DF10" s="602"/>
      <c r="DG10" s="603">
        <f t="shared" si="37"/>
        <v>0</v>
      </c>
      <c r="DH10" s="604"/>
      <c r="DI10" s="602"/>
      <c r="DJ10" s="603">
        <f t="shared" si="38"/>
        <v>0</v>
      </c>
      <c r="DK10" s="604"/>
      <c r="DL10" s="602"/>
      <c r="DM10" s="603">
        <f t="shared" si="39"/>
        <v>0</v>
      </c>
      <c r="DN10" s="604"/>
      <c r="DO10" s="602"/>
      <c r="DP10" s="603">
        <f t="shared" si="40"/>
        <v>0</v>
      </c>
      <c r="DQ10" s="604"/>
      <c r="DR10" s="602"/>
      <c r="DS10" s="603">
        <f t="shared" si="41"/>
        <v>0</v>
      </c>
      <c r="DT10" s="604"/>
      <c r="DU10" s="602"/>
      <c r="DV10" s="603">
        <f t="shared" si="42"/>
        <v>0</v>
      </c>
      <c r="DW10" s="604"/>
      <c r="DX10" s="602"/>
      <c r="DY10" s="603">
        <f t="shared" si="43"/>
        <v>0</v>
      </c>
      <c r="DZ10" s="604"/>
      <c r="EA10" s="602"/>
      <c r="EB10" s="603">
        <f t="shared" si="44"/>
        <v>0</v>
      </c>
      <c r="EC10" s="604"/>
      <c r="ED10" s="602"/>
      <c r="EE10" s="603">
        <f t="shared" si="45"/>
        <v>0</v>
      </c>
      <c r="EF10" s="604"/>
      <c r="EG10" s="606"/>
      <c r="EH10" s="603">
        <f t="shared" si="46"/>
        <v>0</v>
      </c>
      <c r="EI10" s="604"/>
      <c r="EJ10" s="606"/>
      <c r="EK10" s="603">
        <f t="shared" si="47"/>
        <v>0</v>
      </c>
      <c r="EL10" s="604"/>
      <c r="EM10" s="606"/>
      <c r="EN10" s="603">
        <f t="shared" si="48"/>
        <v>0</v>
      </c>
      <c r="EO10" s="604"/>
      <c r="EP10" s="606"/>
      <c r="EQ10" s="603">
        <f t="shared" si="49"/>
        <v>0</v>
      </c>
      <c r="ER10" s="604"/>
      <c r="ES10" s="602"/>
      <c r="ET10" s="603">
        <f t="shared" si="52"/>
        <v>0</v>
      </c>
      <c r="EU10" s="605"/>
      <c r="EV10" s="602"/>
      <c r="EW10" s="603">
        <f t="shared" si="53"/>
        <v>0</v>
      </c>
      <c r="EX10" s="605"/>
      <c r="EY10" s="602"/>
      <c r="EZ10" s="603">
        <f t="shared" si="19"/>
        <v>0</v>
      </c>
      <c r="FA10" s="605"/>
      <c r="FB10" s="602"/>
      <c r="FC10" s="603">
        <f t="shared" si="20"/>
        <v>0</v>
      </c>
      <c r="FD10" s="605"/>
      <c r="FE10" s="602"/>
      <c r="FF10" s="603">
        <f t="shared" si="21"/>
        <v>0</v>
      </c>
      <c r="FG10" s="605"/>
      <c r="FH10" s="602"/>
      <c r="FI10" s="603">
        <f t="shared" si="50"/>
        <v>0</v>
      </c>
      <c r="FJ10" s="605"/>
      <c r="FK10" s="602"/>
      <c r="FL10" s="603">
        <f t="shared" si="22"/>
        <v>0</v>
      </c>
      <c r="FM10" s="605"/>
      <c r="FN10" s="606"/>
      <c r="FO10" s="603">
        <f t="shared" si="23"/>
        <v>0</v>
      </c>
      <c r="FP10" s="605"/>
      <c r="FQ10" s="602"/>
      <c r="FR10" s="603">
        <f t="shared" si="24"/>
        <v>0</v>
      </c>
      <c r="FS10" s="605"/>
      <c r="FT10" s="602"/>
      <c r="FU10" s="603">
        <f t="shared" si="51"/>
        <v>0</v>
      </c>
      <c r="FV10" s="605"/>
      <c r="FW10" s="606"/>
      <c r="FX10" s="603">
        <f t="shared" si="25"/>
        <v>0</v>
      </c>
      <c r="FY10" s="605"/>
      <c r="FZ10" s="606"/>
      <c r="GA10" s="603">
        <f t="shared" si="26"/>
        <v>0</v>
      </c>
      <c r="GB10" s="605"/>
      <c r="GC10" s="602"/>
      <c r="GD10" s="603">
        <f t="shared" si="27"/>
        <v>0</v>
      </c>
      <c r="GE10" s="605"/>
      <c r="GF10" s="602"/>
      <c r="GG10" s="603">
        <f>GH$3*GH$4*216*24*60*GF10/9000000</f>
        <v>0</v>
      </c>
      <c r="GH10" s="64"/>
      <c r="GI10" s="602"/>
      <c r="GJ10" s="603">
        <f t="shared" si="28"/>
        <v>0</v>
      </c>
      <c r="GK10" s="64"/>
      <c r="GL10" s="607">
        <f t="shared" si="29"/>
        <v>5</v>
      </c>
      <c r="GM10" s="608">
        <f>GL10+'33J'!BK10+'M80(20250122封存)'!CX10+MPS!AY10+TMT!CX10</f>
        <v>11</v>
      </c>
      <c r="GN10" s="609"/>
      <c r="GO10" s="610"/>
    </row>
    <row r="11" spans="1:197" s="611" customFormat="1" ht="14.25" customHeight="1">
      <c r="A11" s="601">
        <v>6</v>
      </c>
      <c r="B11" s="606">
        <v>0.5</v>
      </c>
      <c r="C11" s="603">
        <f t="shared" si="30"/>
        <v>446.68799999999999</v>
      </c>
      <c r="D11" s="604">
        <v>2990</v>
      </c>
      <c r="E11" s="606"/>
      <c r="F11" s="603">
        <f t="shared" si="54"/>
        <v>0</v>
      </c>
      <c r="G11" s="604"/>
      <c r="H11" s="602">
        <v>0</v>
      </c>
      <c r="I11" s="603">
        <f t="shared" si="55"/>
        <v>0</v>
      </c>
      <c r="J11" s="604"/>
      <c r="K11" s="606">
        <v>1</v>
      </c>
      <c r="L11" s="603">
        <f t="shared" si="56"/>
        <v>1472.2560000000001</v>
      </c>
      <c r="M11" s="604">
        <v>8783</v>
      </c>
      <c r="N11" s="606">
        <v>1</v>
      </c>
      <c r="O11" s="603">
        <f t="shared" si="57"/>
        <v>1244.1600000000001</v>
      </c>
      <c r="P11" s="604">
        <v>2280</v>
      </c>
      <c r="Q11" s="602"/>
      <c r="R11" s="603">
        <f t="shared" ref="R11:R36" si="67">S$3*S$4*216*24*60*Q11/9000000</f>
        <v>0</v>
      </c>
      <c r="S11" s="604"/>
      <c r="T11" s="602">
        <v>0</v>
      </c>
      <c r="U11" s="603">
        <f t="shared" ref="U11:U36" si="68">V$3*V$4*216*24*60*T11/9000000</f>
        <v>0</v>
      </c>
      <c r="V11" s="604"/>
      <c r="W11" s="606"/>
      <c r="X11" s="603">
        <f t="shared" si="60"/>
        <v>0</v>
      </c>
      <c r="Y11" s="604"/>
      <c r="Z11" s="606">
        <v>1</v>
      </c>
      <c r="AA11" s="603">
        <f t="shared" si="61"/>
        <v>2661.12</v>
      </c>
      <c r="AB11" s="604">
        <v>12450</v>
      </c>
      <c r="AC11" s="602">
        <v>0</v>
      </c>
      <c r="AD11" s="603">
        <f t="shared" si="0"/>
        <v>0</v>
      </c>
      <c r="AE11" s="604"/>
      <c r="AF11" s="606">
        <v>0</v>
      </c>
      <c r="AG11" s="603">
        <f t="shared" si="1"/>
        <v>0</v>
      </c>
      <c r="AH11" s="604"/>
      <c r="AI11" s="606">
        <v>0</v>
      </c>
      <c r="AJ11" s="603">
        <f t="shared" si="62"/>
        <v>0</v>
      </c>
      <c r="AK11" s="604">
        <v>3059</v>
      </c>
      <c r="AL11" s="606">
        <v>0.5</v>
      </c>
      <c r="AM11" s="603">
        <f t="shared" ref="AM11:AM36" si="69">AN$3*AN$4*216*24*60*AL11/9000000</f>
        <v>756.86400000000003</v>
      </c>
      <c r="AN11" s="604">
        <v>4344</v>
      </c>
      <c r="AO11" s="606">
        <v>0</v>
      </c>
      <c r="AP11" s="603">
        <f t="shared" si="2"/>
        <v>0</v>
      </c>
      <c r="AQ11" s="604"/>
      <c r="AR11" s="606">
        <v>0</v>
      </c>
      <c r="AS11" s="603">
        <f t="shared" si="3"/>
        <v>0</v>
      </c>
      <c r="AT11" s="604"/>
      <c r="AU11" s="606">
        <v>0</v>
      </c>
      <c r="AV11" s="603">
        <f t="shared" si="4"/>
        <v>0</v>
      </c>
      <c r="AW11" s="605"/>
      <c r="AX11" s="602"/>
      <c r="AY11" s="603">
        <f t="shared" si="31"/>
        <v>0</v>
      </c>
      <c r="AZ11" s="604"/>
      <c r="BA11" s="602"/>
      <c r="BB11" s="603">
        <f t="shared" si="32"/>
        <v>0</v>
      </c>
      <c r="BC11" s="604"/>
      <c r="BD11" s="602"/>
      <c r="BE11" s="603">
        <f t="shared" si="33"/>
        <v>0</v>
      </c>
      <c r="BF11" s="604"/>
      <c r="BG11" s="602"/>
      <c r="BH11" s="603">
        <f t="shared" si="34"/>
        <v>0</v>
      </c>
      <c r="BI11" s="604"/>
      <c r="BJ11" s="606"/>
      <c r="BK11" s="603">
        <f t="shared" si="63"/>
        <v>0</v>
      </c>
      <c r="BL11" s="604"/>
      <c r="BM11" s="606"/>
      <c r="BN11" s="603">
        <f t="shared" si="64"/>
        <v>0</v>
      </c>
      <c r="BO11" s="604"/>
      <c r="BP11" s="602"/>
      <c r="BQ11" s="603">
        <f t="shared" si="65"/>
        <v>0</v>
      </c>
      <c r="BR11" s="604"/>
      <c r="BS11" s="602"/>
      <c r="BT11" s="603">
        <f t="shared" si="66"/>
        <v>0</v>
      </c>
      <c r="BU11" s="604"/>
      <c r="BV11" s="606"/>
      <c r="BW11" s="603">
        <f t="shared" si="7"/>
        <v>0</v>
      </c>
      <c r="BX11" s="604"/>
      <c r="BY11" s="602"/>
      <c r="BZ11" s="603">
        <f t="shared" si="8"/>
        <v>0</v>
      </c>
      <c r="CA11" s="605"/>
      <c r="CB11" s="602"/>
      <c r="CC11" s="603">
        <f t="shared" si="9"/>
        <v>0</v>
      </c>
      <c r="CD11" s="605"/>
      <c r="CE11" s="602"/>
      <c r="CF11" s="603">
        <f t="shared" si="10"/>
        <v>0</v>
      </c>
      <c r="CG11" s="605"/>
      <c r="CH11" s="602"/>
      <c r="CI11" s="603">
        <f t="shared" si="11"/>
        <v>0</v>
      </c>
      <c r="CJ11" s="605"/>
      <c r="CK11" s="602"/>
      <c r="CL11" s="603">
        <f t="shared" si="12"/>
        <v>0</v>
      </c>
      <c r="CM11" s="605"/>
      <c r="CN11" s="602"/>
      <c r="CO11" s="603">
        <f t="shared" si="13"/>
        <v>0</v>
      </c>
      <c r="CP11" s="605"/>
      <c r="CQ11" s="602"/>
      <c r="CR11" s="603">
        <f t="shared" si="14"/>
        <v>0</v>
      </c>
      <c r="CS11" s="605"/>
      <c r="CT11" s="602"/>
      <c r="CU11" s="603">
        <f t="shared" si="15"/>
        <v>0</v>
      </c>
      <c r="CV11" s="605"/>
      <c r="CW11" s="602"/>
      <c r="CX11" s="603">
        <f t="shared" si="16"/>
        <v>0</v>
      </c>
      <c r="CY11" s="605"/>
      <c r="CZ11" s="602"/>
      <c r="DA11" s="603">
        <f t="shared" si="17"/>
        <v>0</v>
      </c>
      <c r="DB11" s="605"/>
      <c r="DC11" s="602"/>
      <c r="DD11" s="603">
        <f t="shared" si="18"/>
        <v>0</v>
      </c>
      <c r="DE11" s="605"/>
      <c r="DF11" s="602"/>
      <c r="DG11" s="603">
        <f t="shared" si="37"/>
        <v>0</v>
      </c>
      <c r="DH11" s="604"/>
      <c r="DI11" s="602"/>
      <c r="DJ11" s="603">
        <f t="shared" si="38"/>
        <v>0</v>
      </c>
      <c r="DK11" s="604"/>
      <c r="DL11" s="602"/>
      <c r="DM11" s="603">
        <f t="shared" si="39"/>
        <v>0</v>
      </c>
      <c r="DN11" s="604"/>
      <c r="DO11" s="602"/>
      <c r="DP11" s="603">
        <f t="shared" si="40"/>
        <v>0</v>
      </c>
      <c r="DQ11" s="604"/>
      <c r="DR11" s="602"/>
      <c r="DS11" s="603">
        <f t="shared" si="41"/>
        <v>0</v>
      </c>
      <c r="DT11" s="604"/>
      <c r="DU11" s="602"/>
      <c r="DV11" s="603">
        <f t="shared" si="42"/>
        <v>0</v>
      </c>
      <c r="DW11" s="604"/>
      <c r="DX11" s="602"/>
      <c r="DY11" s="603">
        <f t="shared" si="43"/>
        <v>0</v>
      </c>
      <c r="DZ11" s="604"/>
      <c r="EA11" s="602"/>
      <c r="EB11" s="603">
        <f t="shared" si="44"/>
        <v>0</v>
      </c>
      <c r="EC11" s="604"/>
      <c r="ED11" s="602"/>
      <c r="EE11" s="603">
        <f t="shared" si="45"/>
        <v>0</v>
      </c>
      <c r="EF11" s="604"/>
      <c r="EG11" s="606"/>
      <c r="EH11" s="603">
        <f t="shared" si="46"/>
        <v>0</v>
      </c>
      <c r="EI11" s="604"/>
      <c r="EJ11" s="606"/>
      <c r="EK11" s="603">
        <f t="shared" si="47"/>
        <v>0</v>
      </c>
      <c r="EL11" s="604"/>
      <c r="EM11" s="606"/>
      <c r="EN11" s="603">
        <f t="shared" si="48"/>
        <v>0</v>
      </c>
      <c r="EO11" s="604"/>
      <c r="EP11" s="606"/>
      <c r="EQ11" s="603">
        <f t="shared" si="49"/>
        <v>0</v>
      </c>
      <c r="ER11" s="604"/>
      <c r="ES11" s="602"/>
      <c r="ET11" s="603">
        <f t="shared" si="52"/>
        <v>0</v>
      </c>
      <c r="EU11" s="605"/>
      <c r="EV11" s="606"/>
      <c r="EW11" s="603">
        <f t="shared" si="53"/>
        <v>0</v>
      </c>
      <c r="EX11" s="605"/>
      <c r="EY11" s="602"/>
      <c r="EZ11" s="603">
        <f t="shared" si="19"/>
        <v>0</v>
      </c>
      <c r="FA11" s="605"/>
      <c r="FB11" s="606"/>
      <c r="FC11" s="603">
        <f t="shared" si="20"/>
        <v>0</v>
      </c>
      <c r="FD11" s="605"/>
      <c r="FE11" s="606"/>
      <c r="FF11" s="603">
        <f t="shared" si="21"/>
        <v>0</v>
      </c>
      <c r="FG11" s="605"/>
      <c r="FH11" s="602"/>
      <c r="FI11" s="603">
        <f t="shared" si="50"/>
        <v>0</v>
      </c>
      <c r="FJ11" s="605"/>
      <c r="FK11" s="602"/>
      <c r="FL11" s="603">
        <f t="shared" si="22"/>
        <v>0</v>
      </c>
      <c r="FM11" s="605"/>
      <c r="FN11" s="606"/>
      <c r="FO11" s="603">
        <f t="shared" si="23"/>
        <v>0</v>
      </c>
      <c r="FP11" s="605"/>
      <c r="FQ11" s="602"/>
      <c r="FR11" s="603">
        <f t="shared" si="24"/>
        <v>0</v>
      </c>
      <c r="FS11" s="605"/>
      <c r="FT11" s="602"/>
      <c r="FU11" s="603">
        <f t="shared" si="51"/>
        <v>0</v>
      </c>
      <c r="FV11" s="605"/>
      <c r="FW11" s="606"/>
      <c r="FX11" s="603">
        <f t="shared" si="25"/>
        <v>0</v>
      </c>
      <c r="FY11" s="605"/>
      <c r="FZ11" s="606"/>
      <c r="GA11" s="603">
        <f t="shared" si="26"/>
        <v>0</v>
      </c>
      <c r="GB11" s="605"/>
      <c r="GC11" s="602"/>
      <c r="GD11" s="603">
        <f t="shared" si="27"/>
        <v>0</v>
      </c>
      <c r="GE11" s="605"/>
      <c r="GF11" s="602"/>
      <c r="GG11" s="603">
        <f t="shared" ref="GG11:GG36" si="70">GH$3*GH$4*216*24*60*GF11/9000000</f>
        <v>0</v>
      </c>
      <c r="GH11" s="605"/>
      <c r="GI11" s="602"/>
      <c r="GJ11" s="603">
        <f t="shared" si="28"/>
        <v>0</v>
      </c>
      <c r="GK11" s="64"/>
      <c r="GL11" s="607">
        <f t="shared" si="29"/>
        <v>4</v>
      </c>
      <c r="GM11" s="608">
        <f>GL11+'33J'!BK11+'M80(20250122封存)'!CX11+MPS!AY11+TMT!CX11</f>
        <v>10</v>
      </c>
      <c r="GN11" s="609"/>
      <c r="GO11" s="610"/>
    </row>
    <row r="12" spans="1:197" s="611" customFormat="1" ht="14.25" customHeight="1">
      <c r="A12" s="601">
        <v>7</v>
      </c>
      <c r="B12" s="606">
        <v>0.5</v>
      </c>
      <c r="C12" s="603">
        <f t="shared" si="30"/>
        <v>446.68799999999999</v>
      </c>
      <c r="D12" s="604">
        <v>960</v>
      </c>
      <c r="E12" s="606"/>
      <c r="F12" s="603">
        <f t="shared" si="54"/>
        <v>0</v>
      </c>
      <c r="G12" s="604"/>
      <c r="H12" s="602">
        <v>0</v>
      </c>
      <c r="I12" s="603">
        <f t="shared" ref="I12:I36" si="71">J$3*J$4*216*24*60*H12/9000000</f>
        <v>0</v>
      </c>
      <c r="J12" s="604"/>
      <c r="K12" s="606">
        <v>1</v>
      </c>
      <c r="L12" s="603">
        <f t="shared" si="56"/>
        <v>1472.2560000000001</v>
      </c>
      <c r="M12" s="604">
        <v>1710</v>
      </c>
      <c r="N12" s="606">
        <v>1</v>
      </c>
      <c r="O12" s="603">
        <f t="shared" si="57"/>
        <v>1244.1600000000001</v>
      </c>
      <c r="P12" s="604">
        <v>1344</v>
      </c>
      <c r="Q12" s="602"/>
      <c r="R12" s="603">
        <f t="shared" si="67"/>
        <v>0</v>
      </c>
      <c r="S12" s="604"/>
      <c r="T12" s="602">
        <v>0</v>
      </c>
      <c r="U12" s="603">
        <f t="shared" si="68"/>
        <v>0</v>
      </c>
      <c r="V12" s="604"/>
      <c r="W12" s="606"/>
      <c r="X12" s="603">
        <f t="shared" si="60"/>
        <v>0</v>
      </c>
      <c r="Y12" s="604"/>
      <c r="Z12" s="606">
        <v>1</v>
      </c>
      <c r="AA12" s="603">
        <f t="shared" si="61"/>
        <v>2661.12</v>
      </c>
      <c r="AB12" s="604">
        <v>1485</v>
      </c>
      <c r="AC12" s="602">
        <v>0</v>
      </c>
      <c r="AD12" s="603">
        <f t="shared" si="0"/>
        <v>0</v>
      </c>
      <c r="AE12" s="604"/>
      <c r="AF12" s="606">
        <v>0</v>
      </c>
      <c r="AG12" s="603">
        <f t="shared" si="1"/>
        <v>0</v>
      </c>
      <c r="AH12" s="604"/>
      <c r="AI12" s="606">
        <v>0</v>
      </c>
      <c r="AJ12" s="603">
        <f t="shared" si="62"/>
        <v>0</v>
      </c>
      <c r="AK12" s="604"/>
      <c r="AL12" s="606">
        <v>0.5</v>
      </c>
      <c r="AM12" s="603">
        <f t="shared" si="69"/>
        <v>756.86400000000003</v>
      </c>
      <c r="AN12" s="604">
        <v>1230</v>
      </c>
      <c r="AO12" s="606">
        <v>0</v>
      </c>
      <c r="AP12" s="603">
        <f t="shared" si="2"/>
        <v>0</v>
      </c>
      <c r="AQ12" s="604"/>
      <c r="AR12" s="606">
        <v>0</v>
      </c>
      <c r="AS12" s="603">
        <f t="shared" si="3"/>
        <v>0</v>
      </c>
      <c r="AT12" s="604"/>
      <c r="AU12" s="606">
        <v>0</v>
      </c>
      <c r="AV12" s="603">
        <f t="shared" si="4"/>
        <v>0</v>
      </c>
      <c r="AW12" s="604"/>
      <c r="AX12" s="606"/>
      <c r="AY12" s="603">
        <f t="shared" si="31"/>
        <v>0</v>
      </c>
      <c r="AZ12" s="604"/>
      <c r="BA12" s="606"/>
      <c r="BB12" s="603">
        <f t="shared" si="32"/>
        <v>0</v>
      </c>
      <c r="BC12" s="604"/>
      <c r="BD12" s="602"/>
      <c r="BE12" s="603">
        <f t="shared" si="33"/>
        <v>0</v>
      </c>
      <c r="BF12" s="604"/>
      <c r="BG12" s="602"/>
      <c r="BH12" s="603">
        <f t="shared" si="34"/>
        <v>0</v>
      </c>
      <c r="BI12" s="604"/>
      <c r="BJ12" s="602"/>
      <c r="BK12" s="603">
        <f t="shared" si="63"/>
        <v>0</v>
      </c>
      <c r="BL12" s="605"/>
      <c r="BM12" s="602"/>
      <c r="BN12" s="603">
        <f t="shared" si="64"/>
        <v>0</v>
      </c>
      <c r="BO12" s="605"/>
      <c r="BP12" s="602"/>
      <c r="BQ12" s="603">
        <f t="shared" si="65"/>
        <v>0</v>
      </c>
      <c r="BR12" s="604"/>
      <c r="BS12" s="602"/>
      <c r="BT12" s="603">
        <f t="shared" si="66"/>
        <v>0</v>
      </c>
      <c r="BU12" s="604"/>
      <c r="BV12" s="606"/>
      <c r="BW12" s="603">
        <f t="shared" si="7"/>
        <v>0</v>
      </c>
      <c r="BX12" s="604"/>
      <c r="BY12" s="602"/>
      <c r="BZ12" s="603">
        <f t="shared" si="8"/>
        <v>0</v>
      </c>
      <c r="CA12" s="605"/>
      <c r="CB12" s="606"/>
      <c r="CC12" s="603">
        <f t="shared" si="9"/>
        <v>0</v>
      </c>
      <c r="CD12" s="605"/>
      <c r="CE12" s="602"/>
      <c r="CF12" s="603">
        <f t="shared" si="10"/>
        <v>0</v>
      </c>
      <c r="CG12" s="605"/>
      <c r="CH12" s="602"/>
      <c r="CI12" s="603">
        <f t="shared" si="11"/>
        <v>0</v>
      </c>
      <c r="CJ12" s="605"/>
      <c r="CK12" s="602"/>
      <c r="CL12" s="603">
        <f t="shared" si="12"/>
        <v>0</v>
      </c>
      <c r="CM12" s="605"/>
      <c r="CN12" s="602"/>
      <c r="CO12" s="603">
        <f t="shared" si="13"/>
        <v>0</v>
      </c>
      <c r="CP12" s="605"/>
      <c r="CQ12" s="602"/>
      <c r="CR12" s="603">
        <f t="shared" si="14"/>
        <v>0</v>
      </c>
      <c r="CS12" s="605"/>
      <c r="CT12" s="602"/>
      <c r="CU12" s="603">
        <f t="shared" si="15"/>
        <v>0</v>
      </c>
      <c r="CV12" s="605"/>
      <c r="CW12" s="602"/>
      <c r="CX12" s="603">
        <f t="shared" si="16"/>
        <v>0</v>
      </c>
      <c r="CY12" s="605"/>
      <c r="CZ12" s="602"/>
      <c r="DA12" s="603">
        <f t="shared" si="17"/>
        <v>0</v>
      </c>
      <c r="DB12" s="605"/>
      <c r="DC12" s="602"/>
      <c r="DD12" s="603">
        <f t="shared" si="18"/>
        <v>0</v>
      </c>
      <c r="DE12" s="605"/>
      <c r="DF12" s="602"/>
      <c r="DG12" s="603">
        <f t="shared" si="37"/>
        <v>0</v>
      </c>
      <c r="DH12" s="605"/>
      <c r="DI12" s="602"/>
      <c r="DJ12" s="603">
        <f t="shared" si="38"/>
        <v>0</v>
      </c>
      <c r="DK12" s="605"/>
      <c r="DL12" s="602"/>
      <c r="DM12" s="603">
        <f t="shared" si="39"/>
        <v>0</v>
      </c>
      <c r="DN12" s="605"/>
      <c r="DO12" s="602"/>
      <c r="DP12" s="603">
        <f t="shared" si="40"/>
        <v>0</v>
      </c>
      <c r="DQ12" s="605"/>
      <c r="DR12" s="602"/>
      <c r="DS12" s="603">
        <f t="shared" si="41"/>
        <v>0</v>
      </c>
      <c r="DT12" s="605"/>
      <c r="DU12" s="602"/>
      <c r="DV12" s="603">
        <f t="shared" si="42"/>
        <v>0</v>
      </c>
      <c r="DW12" s="605"/>
      <c r="DX12" s="602"/>
      <c r="DY12" s="603">
        <f t="shared" si="43"/>
        <v>0</v>
      </c>
      <c r="DZ12" s="605"/>
      <c r="EA12" s="602"/>
      <c r="EB12" s="603">
        <f t="shared" si="44"/>
        <v>0</v>
      </c>
      <c r="EC12" s="605"/>
      <c r="ED12" s="602"/>
      <c r="EE12" s="603">
        <f t="shared" si="45"/>
        <v>0</v>
      </c>
      <c r="EF12" s="605"/>
      <c r="EG12" s="606"/>
      <c r="EH12" s="603">
        <f t="shared" si="46"/>
        <v>0</v>
      </c>
      <c r="EI12" s="605"/>
      <c r="EJ12" s="606"/>
      <c r="EK12" s="603">
        <f t="shared" si="47"/>
        <v>0</v>
      </c>
      <c r="EL12" s="605"/>
      <c r="EM12" s="606"/>
      <c r="EN12" s="603">
        <f t="shared" si="48"/>
        <v>0</v>
      </c>
      <c r="EO12" s="605"/>
      <c r="EP12" s="606"/>
      <c r="EQ12" s="603">
        <f t="shared" si="49"/>
        <v>0</v>
      </c>
      <c r="ER12" s="605"/>
      <c r="ES12" s="602"/>
      <c r="ET12" s="603">
        <f t="shared" si="52"/>
        <v>0</v>
      </c>
      <c r="EU12" s="605"/>
      <c r="EV12" s="606"/>
      <c r="EW12" s="603">
        <f t="shared" si="53"/>
        <v>0</v>
      </c>
      <c r="EX12" s="605"/>
      <c r="EY12" s="602"/>
      <c r="EZ12" s="603">
        <f t="shared" si="19"/>
        <v>0</v>
      </c>
      <c r="FA12" s="605"/>
      <c r="FB12" s="606"/>
      <c r="FC12" s="603">
        <f t="shared" si="20"/>
        <v>0</v>
      </c>
      <c r="FD12" s="605"/>
      <c r="FE12" s="606"/>
      <c r="FF12" s="603">
        <f t="shared" si="21"/>
        <v>0</v>
      </c>
      <c r="FG12" s="605"/>
      <c r="FH12" s="602"/>
      <c r="FI12" s="603">
        <f t="shared" si="50"/>
        <v>0</v>
      </c>
      <c r="FJ12" s="605"/>
      <c r="FK12" s="602"/>
      <c r="FL12" s="603">
        <f t="shared" si="22"/>
        <v>0</v>
      </c>
      <c r="FM12" s="605"/>
      <c r="FN12" s="606"/>
      <c r="FO12" s="603">
        <f t="shared" si="23"/>
        <v>0</v>
      </c>
      <c r="FP12" s="605"/>
      <c r="FQ12" s="602"/>
      <c r="FR12" s="603">
        <f t="shared" si="24"/>
        <v>0</v>
      </c>
      <c r="FS12" s="605"/>
      <c r="FT12" s="602"/>
      <c r="FU12" s="603">
        <f t="shared" si="51"/>
        <v>0</v>
      </c>
      <c r="FV12" s="605"/>
      <c r="FW12" s="606"/>
      <c r="FX12" s="603">
        <f t="shared" si="25"/>
        <v>0</v>
      </c>
      <c r="FY12" s="605"/>
      <c r="FZ12" s="606"/>
      <c r="GA12" s="603">
        <f t="shared" si="26"/>
        <v>0</v>
      </c>
      <c r="GB12" s="605"/>
      <c r="GC12" s="602"/>
      <c r="GD12" s="603">
        <f t="shared" si="27"/>
        <v>0</v>
      </c>
      <c r="GE12" s="605"/>
      <c r="GF12" s="602"/>
      <c r="GG12" s="603">
        <f t="shared" si="70"/>
        <v>0</v>
      </c>
      <c r="GH12" s="605"/>
      <c r="GI12" s="602"/>
      <c r="GJ12" s="603">
        <f t="shared" si="28"/>
        <v>0</v>
      </c>
      <c r="GK12" s="64"/>
      <c r="GL12" s="607">
        <f t="shared" si="29"/>
        <v>4</v>
      </c>
      <c r="GM12" s="608">
        <f>GL12+'33J'!BK12+'M80(20250122封存)'!CX12+MPS!AY12+TMT!CX12</f>
        <v>10</v>
      </c>
      <c r="GN12" s="609"/>
      <c r="GO12" s="610"/>
    </row>
    <row r="13" spans="1:197" s="611" customFormat="1" ht="14.25" customHeight="1">
      <c r="A13" s="601">
        <v>8</v>
      </c>
      <c r="B13" s="606">
        <v>0.5</v>
      </c>
      <c r="C13" s="603">
        <f t="shared" si="30"/>
        <v>446.68799999999999</v>
      </c>
      <c r="D13" s="612">
        <v>240</v>
      </c>
      <c r="E13" s="602"/>
      <c r="F13" s="603">
        <f t="shared" si="54"/>
        <v>0</v>
      </c>
      <c r="G13" s="612"/>
      <c r="H13" s="602">
        <v>0</v>
      </c>
      <c r="I13" s="603">
        <f t="shared" si="71"/>
        <v>0</v>
      </c>
      <c r="J13" s="612"/>
      <c r="K13" s="602">
        <v>1</v>
      </c>
      <c r="L13" s="603">
        <f t="shared" si="56"/>
        <v>1472.2560000000001</v>
      </c>
      <c r="M13" s="612">
        <v>1290</v>
      </c>
      <c r="N13" s="606">
        <v>1</v>
      </c>
      <c r="O13" s="603">
        <f t="shared" si="57"/>
        <v>1244.1600000000001</v>
      </c>
      <c r="P13" s="612">
        <v>456</v>
      </c>
      <c r="Q13" s="602"/>
      <c r="R13" s="603">
        <f t="shared" si="67"/>
        <v>0</v>
      </c>
      <c r="S13" s="612"/>
      <c r="T13" s="602">
        <v>0</v>
      </c>
      <c r="U13" s="603">
        <f t="shared" si="68"/>
        <v>0</v>
      </c>
      <c r="V13" s="612"/>
      <c r="W13" s="606"/>
      <c r="X13" s="603">
        <f t="shared" si="60"/>
        <v>0</v>
      </c>
      <c r="Y13" s="612"/>
      <c r="Z13" s="606">
        <v>1</v>
      </c>
      <c r="AA13" s="603">
        <f t="shared" si="61"/>
        <v>2661.12</v>
      </c>
      <c r="AB13" s="612">
        <v>825</v>
      </c>
      <c r="AC13" s="602">
        <v>0</v>
      </c>
      <c r="AD13" s="603">
        <f t="shared" si="0"/>
        <v>0</v>
      </c>
      <c r="AE13" s="604"/>
      <c r="AF13" s="606">
        <v>0</v>
      </c>
      <c r="AG13" s="603">
        <f t="shared" si="1"/>
        <v>0</v>
      </c>
      <c r="AH13" s="612"/>
      <c r="AI13" s="606">
        <v>0</v>
      </c>
      <c r="AJ13" s="603">
        <f t="shared" si="62"/>
        <v>0</v>
      </c>
      <c r="AK13" s="612"/>
      <c r="AL13" s="602">
        <v>0.5</v>
      </c>
      <c r="AM13" s="603">
        <f t="shared" si="69"/>
        <v>756.86400000000003</v>
      </c>
      <c r="AN13" s="604">
        <v>360</v>
      </c>
      <c r="AO13" s="606">
        <v>1</v>
      </c>
      <c r="AP13" s="603">
        <f t="shared" si="2"/>
        <v>1668.5568000000001</v>
      </c>
      <c r="AQ13" s="604"/>
      <c r="AR13" s="606">
        <v>0</v>
      </c>
      <c r="AS13" s="603">
        <f t="shared" si="3"/>
        <v>0</v>
      </c>
      <c r="AT13" s="612"/>
      <c r="AU13" s="602">
        <v>0</v>
      </c>
      <c r="AV13" s="603">
        <f t="shared" si="4"/>
        <v>0</v>
      </c>
      <c r="AW13" s="612"/>
      <c r="AX13" s="602"/>
      <c r="AY13" s="603">
        <f t="shared" si="31"/>
        <v>0</v>
      </c>
      <c r="AZ13" s="612"/>
      <c r="BA13" s="606"/>
      <c r="BB13" s="603">
        <f t="shared" si="32"/>
        <v>0</v>
      </c>
      <c r="BC13" s="612"/>
      <c r="BD13" s="602"/>
      <c r="BE13" s="603">
        <f t="shared" si="33"/>
        <v>0</v>
      </c>
      <c r="BF13" s="612"/>
      <c r="BG13" s="602"/>
      <c r="BH13" s="603">
        <f t="shared" si="34"/>
        <v>0</v>
      </c>
      <c r="BI13" s="604"/>
      <c r="BJ13" s="606"/>
      <c r="BK13" s="603">
        <f t="shared" si="63"/>
        <v>0</v>
      </c>
      <c r="BL13" s="605"/>
      <c r="BM13" s="602"/>
      <c r="BN13" s="603">
        <f t="shared" si="64"/>
        <v>0</v>
      </c>
      <c r="BO13" s="605"/>
      <c r="BP13" s="606"/>
      <c r="BQ13" s="603">
        <f t="shared" si="65"/>
        <v>0</v>
      </c>
      <c r="BR13" s="612"/>
      <c r="BS13" s="602"/>
      <c r="BT13" s="603">
        <f t="shared" si="66"/>
        <v>0</v>
      </c>
      <c r="BU13" s="612"/>
      <c r="BV13" s="606"/>
      <c r="BW13" s="603">
        <f t="shared" si="7"/>
        <v>0</v>
      </c>
      <c r="BX13" s="612"/>
      <c r="BY13" s="606"/>
      <c r="BZ13" s="603">
        <f t="shared" si="8"/>
        <v>0</v>
      </c>
      <c r="CA13" s="605"/>
      <c r="CB13" s="606"/>
      <c r="CC13" s="603">
        <f t="shared" si="9"/>
        <v>0</v>
      </c>
      <c r="CD13" s="605"/>
      <c r="CE13" s="602"/>
      <c r="CF13" s="603">
        <f t="shared" si="10"/>
        <v>0</v>
      </c>
      <c r="CG13" s="605"/>
      <c r="CH13" s="606"/>
      <c r="CI13" s="603">
        <f t="shared" si="11"/>
        <v>0</v>
      </c>
      <c r="CJ13" s="605"/>
      <c r="CK13" s="602"/>
      <c r="CL13" s="603">
        <f t="shared" si="12"/>
        <v>0</v>
      </c>
      <c r="CM13" s="605"/>
      <c r="CN13" s="602"/>
      <c r="CO13" s="603">
        <f t="shared" si="13"/>
        <v>0</v>
      </c>
      <c r="CP13" s="605"/>
      <c r="CQ13" s="602"/>
      <c r="CR13" s="603">
        <f t="shared" si="14"/>
        <v>0</v>
      </c>
      <c r="CS13" s="605"/>
      <c r="CT13" s="602"/>
      <c r="CU13" s="603">
        <f t="shared" si="15"/>
        <v>0</v>
      </c>
      <c r="CV13" s="605"/>
      <c r="CW13" s="602"/>
      <c r="CX13" s="603">
        <f t="shared" si="16"/>
        <v>0</v>
      </c>
      <c r="CY13" s="605"/>
      <c r="CZ13" s="602"/>
      <c r="DA13" s="603">
        <f t="shared" si="17"/>
        <v>0</v>
      </c>
      <c r="DB13" s="605"/>
      <c r="DC13" s="602"/>
      <c r="DD13" s="603">
        <f t="shared" si="18"/>
        <v>0</v>
      </c>
      <c r="DE13" s="605"/>
      <c r="DF13" s="602"/>
      <c r="DG13" s="603">
        <f t="shared" si="37"/>
        <v>0</v>
      </c>
      <c r="DH13" s="605"/>
      <c r="DI13" s="602"/>
      <c r="DJ13" s="603">
        <f t="shared" si="38"/>
        <v>0</v>
      </c>
      <c r="DK13" s="605"/>
      <c r="DL13" s="602"/>
      <c r="DM13" s="603">
        <f t="shared" si="39"/>
        <v>0</v>
      </c>
      <c r="DN13" s="605"/>
      <c r="DO13" s="602"/>
      <c r="DP13" s="603">
        <f t="shared" si="40"/>
        <v>0</v>
      </c>
      <c r="DQ13" s="605"/>
      <c r="DR13" s="602"/>
      <c r="DS13" s="603">
        <f t="shared" si="41"/>
        <v>0</v>
      </c>
      <c r="DT13" s="605"/>
      <c r="DU13" s="602"/>
      <c r="DV13" s="603">
        <f t="shared" si="42"/>
        <v>0</v>
      </c>
      <c r="DW13" s="605"/>
      <c r="DX13" s="602"/>
      <c r="DY13" s="603">
        <f t="shared" si="43"/>
        <v>0</v>
      </c>
      <c r="DZ13" s="605"/>
      <c r="EA13" s="602"/>
      <c r="EB13" s="603">
        <f t="shared" si="44"/>
        <v>0</v>
      </c>
      <c r="EC13" s="605"/>
      <c r="ED13" s="602"/>
      <c r="EE13" s="603">
        <f t="shared" si="45"/>
        <v>0</v>
      </c>
      <c r="EF13" s="605"/>
      <c r="EG13" s="606"/>
      <c r="EH13" s="603">
        <f t="shared" si="46"/>
        <v>0</v>
      </c>
      <c r="EI13" s="605"/>
      <c r="EJ13" s="602"/>
      <c r="EK13" s="603">
        <f t="shared" si="47"/>
        <v>0</v>
      </c>
      <c r="EL13" s="605"/>
      <c r="EM13" s="606"/>
      <c r="EN13" s="603">
        <f t="shared" si="48"/>
        <v>0</v>
      </c>
      <c r="EO13" s="605"/>
      <c r="EP13" s="606"/>
      <c r="EQ13" s="603">
        <f t="shared" si="49"/>
        <v>0</v>
      </c>
      <c r="ER13" s="605"/>
      <c r="ES13" s="602"/>
      <c r="ET13" s="603">
        <f t="shared" si="52"/>
        <v>0</v>
      </c>
      <c r="EU13" s="605"/>
      <c r="EV13" s="606"/>
      <c r="EW13" s="603">
        <f t="shared" si="53"/>
        <v>0</v>
      </c>
      <c r="EX13" s="605"/>
      <c r="EY13" s="602"/>
      <c r="EZ13" s="603">
        <f t="shared" si="19"/>
        <v>0</v>
      </c>
      <c r="FA13" s="605"/>
      <c r="FB13" s="606"/>
      <c r="FC13" s="603">
        <f t="shared" si="20"/>
        <v>0</v>
      </c>
      <c r="FD13" s="605"/>
      <c r="FE13" s="606"/>
      <c r="FF13" s="603">
        <f t="shared" si="21"/>
        <v>0</v>
      </c>
      <c r="FG13" s="605"/>
      <c r="FH13" s="602"/>
      <c r="FI13" s="603">
        <f t="shared" si="50"/>
        <v>0</v>
      </c>
      <c r="FJ13" s="605"/>
      <c r="FK13" s="602"/>
      <c r="FL13" s="603">
        <f t="shared" si="22"/>
        <v>0</v>
      </c>
      <c r="FM13" s="605"/>
      <c r="FN13" s="606"/>
      <c r="FO13" s="603">
        <f t="shared" si="23"/>
        <v>0</v>
      </c>
      <c r="FP13" s="605"/>
      <c r="FQ13" s="602"/>
      <c r="FR13" s="603">
        <f t="shared" si="24"/>
        <v>0</v>
      </c>
      <c r="FS13" s="605"/>
      <c r="FT13" s="602"/>
      <c r="FU13" s="603">
        <f t="shared" si="51"/>
        <v>0</v>
      </c>
      <c r="FV13" s="605"/>
      <c r="FW13" s="606"/>
      <c r="FX13" s="603">
        <f t="shared" si="25"/>
        <v>0</v>
      </c>
      <c r="FY13" s="605"/>
      <c r="FZ13" s="606"/>
      <c r="GA13" s="603">
        <f t="shared" si="26"/>
        <v>0</v>
      </c>
      <c r="GB13" s="605"/>
      <c r="GC13" s="602"/>
      <c r="GD13" s="603">
        <f t="shared" si="27"/>
        <v>0</v>
      </c>
      <c r="GE13" s="605"/>
      <c r="GF13" s="606"/>
      <c r="GG13" s="603">
        <f t="shared" si="70"/>
        <v>0</v>
      </c>
      <c r="GH13" s="605"/>
      <c r="GI13" s="602"/>
      <c r="GJ13" s="603">
        <f t="shared" si="28"/>
        <v>0</v>
      </c>
      <c r="GK13" s="605"/>
      <c r="GL13" s="607">
        <f t="shared" si="29"/>
        <v>5</v>
      </c>
      <c r="GM13" s="608">
        <f>GL13+'33J'!BK13+'M80(20250122封存)'!CX13+MPS!AY13+TMT!CX13</f>
        <v>11</v>
      </c>
      <c r="GN13" s="609"/>
      <c r="GO13" s="610"/>
    </row>
    <row r="14" spans="1:197" s="611" customFormat="1" ht="14.25" customHeight="1">
      <c r="A14" s="601">
        <v>9</v>
      </c>
      <c r="B14" s="606">
        <v>0.5</v>
      </c>
      <c r="C14" s="603">
        <f t="shared" si="30"/>
        <v>446.68799999999999</v>
      </c>
      <c r="D14" s="612">
        <v>360</v>
      </c>
      <c r="E14" s="606"/>
      <c r="F14" s="603">
        <f t="shared" si="54"/>
        <v>0</v>
      </c>
      <c r="G14" s="612"/>
      <c r="H14" s="602">
        <v>0</v>
      </c>
      <c r="I14" s="603">
        <f t="shared" si="71"/>
        <v>0</v>
      </c>
      <c r="J14" s="612"/>
      <c r="K14" s="606">
        <v>1</v>
      </c>
      <c r="L14" s="603">
        <f t="shared" si="56"/>
        <v>1472.2560000000001</v>
      </c>
      <c r="M14" s="612">
        <v>1530</v>
      </c>
      <c r="N14" s="606">
        <v>1</v>
      </c>
      <c r="O14" s="603">
        <f t="shared" si="57"/>
        <v>1244.1600000000001</v>
      </c>
      <c r="P14" s="612">
        <v>1704</v>
      </c>
      <c r="Q14" s="602"/>
      <c r="R14" s="603">
        <f t="shared" si="67"/>
        <v>0</v>
      </c>
      <c r="S14" s="612"/>
      <c r="T14" s="602">
        <v>0</v>
      </c>
      <c r="U14" s="603">
        <f t="shared" si="68"/>
        <v>0</v>
      </c>
      <c r="V14" s="612"/>
      <c r="W14" s="606"/>
      <c r="X14" s="603">
        <f t="shared" si="60"/>
        <v>0</v>
      </c>
      <c r="Y14" s="612"/>
      <c r="Z14" s="606">
        <v>1</v>
      </c>
      <c r="AA14" s="603">
        <f t="shared" si="61"/>
        <v>2661.12</v>
      </c>
      <c r="AB14" s="612">
        <v>1947</v>
      </c>
      <c r="AC14" s="602">
        <v>0</v>
      </c>
      <c r="AD14" s="603">
        <f t="shared" si="0"/>
        <v>0</v>
      </c>
      <c r="AE14" s="604"/>
      <c r="AF14" s="606">
        <v>0</v>
      </c>
      <c r="AG14" s="603">
        <f t="shared" si="1"/>
        <v>0</v>
      </c>
      <c r="AH14" s="612"/>
      <c r="AI14" s="606">
        <v>0</v>
      </c>
      <c r="AJ14" s="603">
        <f t="shared" si="62"/>
        <v>0</v>
      </c>
      <c r="AK14" s="612"/>
      <c r="AL14" s="606">
        <v>0.5</v>
      </c>
      <c r="AM14" s="603">
        <f t="shared" si="69"/>
        <v>756.86400000000003</v>
      </c>
      <c r="AN14" s="604">
        <v>480</v>
      </c>
      <c r="AO14" s="606">
        <v>1</v>
      </c>
      <c r="AP14" s="603">
        <f t="shared" si="2"/>
        <v>1668.5568000000001</v>
      </c>
      <c r="AQ14" s="604">
        <v>1500</v>
      </c>
      <c r="AR14" s="606">
        <v>0</v>
      </c>
      <c r="AS14" s="603">
        <f t="shared" si="3"/>
        <v>0</v>
      </c>
      <c r="AT14" s="612"/>
      <c r="AU14" s="602">
        <v>0</v>
      </c>
      <c r="AV14" s="603">
        <f t="shared" si="4"/>
        <v>0</v>
      </c>
      <c r="AW14" s="612"/>
      <c r="AX14" s="602"/>
      <c r="AY14" s="603">
        <f t="shared" si="31"/>
        <v>0</v>
      </c>
      <c r="AZ14" s="612"/>
      <c r="BA14" s="606"/>
      <c r="BB14" s="603">
        <f t="shared" si="32"/>
        <v>0</v>
      </c>
      <c r="BC14" s="612"/>
      <c r="BD14" s="602"/>
      <c r="BE14" s="603">
        <f t="shared" si="33"/>
        <v>0</v>
      </c>
      <c r="BF14" s="612"/>
      <c r="BG14" s="602"/>
      <c r="BH14" s="603">
        <f t="shared" si="34"/>
        <v>0</v>
      </c>
      <c r="BI14" s="604"/>
      <c r="BJ14" s="606"/>
      <c r="BK14" s="603">
        <f t="shared" si="63"/>
        <v>0</v>
      </c>
      <c r="BL14" s="605"/>
      <c r="BM14" s="602"/>
      <c r="BN14" s="603">
        <f t="shared" si="64"/>
        <v>0</v>
      </c>
      <c r="BO14" s="605"/>
      <c r="BP14" s="606"/>
      <c r="BQ14" s="603">
        <f t="shared" si="65"/>
        <v>0</v>
      </c>
      <c r="BR14" s="612"/>
      <c r="BS14" s="602"/>
      <c r="BT14" s="603">
        <f t="shared" si="66"/>
        <v>0</v>
      </c>
      <c r="BU14" s="612"/>
      <c r="BV14" s="606"/>
      <c r="BW14" s="603">
        <f t="shared" si="7"/>
        <v>0</v>
      </c>
      <c r="BX14" s="612"/>
      <c r="BY14" s="606"/>
      <c r="BZ14" s="603">
        <f t="shared" si="8"/>
        <v>0</v>
      </c>
      <c r="CA14" s="605"/>
      <c r="CB14" s="602"/>
      <c r="CC14" s="603">
        <f t="shared" si="9"/>
        <v>0</v>
      </c>
      <c r="CD14" s="605"/>
      <c r="CE14" s="602"/>
      <c r="CF14" s="603">
        <f t="shared" si="10"/>
        <v>0</v>
      </c>
      <c r="CG14" s="605"/>
      <c r="CH14" s="606"/>
      <c r="CI14" s="603">
        <f t="shared" si="11"/>
        <v>0</v>
      </c>
      <c r="CJ14" s="605"/>
      <c r="CK14" s="602"/>
      <c r="CL14" s="603">
        <f t="shared" si="12"/>
        <v>0</v>
      </c>
      <c r="CM14" s="605"/>
      <c r="CN14" s="602"/>
      <c r="CO14" s="603">
        <f t="shared" si="13"/>
        <v>0</v>
      </c>
      <c r="CP14" s="605"/>
      <c r="CQ14" s="602"/>
      <c r="CR14" s="603">
        <f t="shared" si="14"/>
        <v>0</v>
      </c>
      <c r="CS14" s="605"/>
      <c r="CT14" s="602"/>
      <c r="CU14" s="603">
        <f t="shared" si="15"/>
        <v>0</v>
      </c>
      <c r="CV14" s="605"/>
      <c r="CW14" s="602"/>
      <c r="CX14" s="603">
        <f t="shared" si="16"/>
        <v>0</v>
      </c>
      <c r="CY14" s="605"/>
      <c r="CZ14" s="602"/>
      <c r="DA14" s="603">
        <f t="shared" si="17"/>
        <v>0</v>
      </c>
      <c r="DB14" s="605"/>
      <c r="DC14" s="602"/>
      <c r="DD14" s="603">
        <f t="shared" si="18"/>
        <v>0</v>
      </c>
      <c r="DE14" s="605"/>
      <c r="DF14" s="602"/>
      <c r="DG14" s="603">
        <f t="shared" si="37"/>
        <v>0</v>
      </c>
      <c r="DH14" s="605"/>
      <c r="DI14" s="602"/>
      <c r="DJ14" s="603">
        <f t="shared" si="38"/>
        <v>0</v>
      </c>
      <c r="DK14" s="605"/>
      <c r="DL14" s="602"/>
      <c r="DM14" s="603">
        <f t="shared" si="39"/>
        <v>0</v>
      </c>
      <c r="DN14" s="605"/>
      <c r="DO14" s="602"/>
      <c r="DP14" s="603">
        <f t="shared" si="40"/>
        <v>0</v>
      </c>
      <c r="DQ14" s="605"/>
      <c r="DR14" s="602"/>
      <c r="DS14" s="603">
        <f t="shared" si="41"/>
        <v>0</v>
      </c>
      <c r="DT14" s="605"/>
      <c r="DU14" s="602"/>
      <c r="DV14" s="603">
        <f t="shared" si="42"/>
        <v>0</v>
      </c>
      <c r="DW14" s="605"/>
      <c r="DX14" s="602"/>
      <c r="DY14" s="603">
        <f t="shared" si="43"/>
        <v>0</v>
      </c>
      <c r="DZ14" s="605"/>
      <c r="EA14" s="602"/>
      <c r="EB14" s="603">
        <f t="shared" si="44"/>
        <v>0</v>
      </c>
      <c r="EC14" s="605"/>
      <c r="ED14" s="602"/>
      <c r="EE14" s="603">
        <f t="shared" si="45"/>
        <v>0</v>
      </c>
      <c r="EF14" s="605"/>
      <c r="EG14" s="606"/>
      <c r="EH14" s="603">
        <f t="shared" si="46"/>
        <v>0</v>
      </c>
      <c r="EI14" s="605"/>
      <c r="EJ14" s="602"/>
      <c r="EK14" s="603">
        <f t="shared" si="47"/>
        <v>0</v>
      </c>
      <c r="EL14" s="605"/>
      <c r="EM14" s="606"/>
      <c r="EN14" s="603">
        <f t="shared" si="48"/>
        <v>0</v>
      </c>
      <c r="EO14" s="605"/>
      <c r="EP14" s="606"/>
      <c r="EQ14" s="603">
        <f t="shared" si="49"/>
        <v>0</v>
      </c>
      <c r="ER14" s="605"/>
      <c r="ES14" s="602"/>
      <c r="ET14" s="603">
        <f t="shared" si="52"/>
        <v>0</v>
      </c>
      <c r="EU14" s="605"/>
      <c r="EV14" s="606"/>
      <c r="EW14" s="603">
        <f t="shared" si="53"/>
        <v>0</v>
      </c>
      <c r="EX14" s="605"/>
      <c r="EY14" s="602"/>
      <c r="EZ14" s="603">
        <f t="shared" si="19"/>
        <v>0</v>
      </c>
      <c r="FA14" s="605"/>
      <c r="FB14" s="606"/>
      <c r="FC14" s="603">
        <f t="shared" si="20"/>
        <v>0</v>
      </c>
      <c r="FD14" s="605"/>
      <c r="FE14" s="606"/>
      <c r="FF14" s="603">
        <f t="shared" si="21"/>
        <v>0</v>
      </c>
      <c r="FG14" s="605"/>
      <c r="FH14" s="602"/>
      <c r="FI14" s="603">
        <f t="shared" si="50"/>
        <v>0</v>
      </c>
      <c r="FJ14" s="605"/>
      <c r="FK14" s="602"/>
      <c r="FL14" s="603">
        <f t="shared" si="22"/>
        <v>0</v>
      </c>
      <c r="FM14" s="605"/>
      <c r="FN14" s="606"/>
      <c r="FO14" s="603">
        <f t="shared" si="23"/>
        <v>0</v>
      </c>
      <c r="FP14" s="605"/>
      <c r="FQ14" s="602"/>
      <c r="FR14" s="603">
        <f t="shared" si="24"/>
        <v>0</v>
      </c>
      <c r="FS14" s="605"/>
      <c r="FT14" s="602"/>
      <c r="FU14" s="603">
        <f t="shared" si="51"/>
        <v>0</v>
      </c>
      <c r="FV14" s="605"/>
      <c r="FW14" s="606"/>
      <c r="FX14" s="603">
        <f t="shared" si="25"/>
        <v>0</v>
      </c>
      <c r="FY14" s="605"/>
      <c r="FZ14" s="606"/>
      <c r="GA14" s="603">
        <f t="shared" si="26"/>
        <v>0</v>
      </c>
      <c r="GB14" s="605"/>
      <c r="GC14" s="602"/>
      <c r="GD14" s="603">
        <f t="shared" si="27"/>
        <v>0</v>
      </c>
      <c r="GE14" s="605"/>
      <c r="GF14" s="606"/>
      <c r="GG14" s="603">
        <f t="shared" si="70"/>
        <v>0</v>
      </c>
      <c r="GH14" s="605"/>
      <c r="GI14" s="602"/>
      <c r="GJ14" s="603">
        <f t="shared" si="28"/>
        <v>0</v>
      </c>
      <c r="GK14" s="605"/>
      <c r="GL14" s="607">
        <f t="shared" si="29"/>
        <v>5</v>
      </c>
      <c r="GM14" s="608">
        <f>GL14+'33J'!BK14+'M80(20250122封存)'!CX14+MPS!AY14+TMT!CX14</f>
        <v>11</v>
      </c>
      <c r="GN14" s="609"/>
      <c r="GO14" s="610"/>
    </row>
    <row r="15" spans="1:197" s="611" customFormat="1" ht="14.25" customHeight="1">
      <c r="A15" s="601">
        <v>10</v>
      </c>
      <c r="B15" s="606">
        <v>0.5</v>
      </c>
      <c r="C15" s="603">
        <f t="shared" si="30"/>
        <v>446.68799999999999</v>
      </c>
      <c r="D15" s="612">
        <v>240</v>
      </c>
      <c r="E15" s="606"/>
      <c r="F15" s="603">
        <f t="shared" si="54"/>
        <v>0</v>
      </c>
      <c r="G15" s="612"/>
      <c r="H15" s="602">
        <v>0</v>
      </c>
      <c r="I15" s="603">
        <f t="shared" si="71"/>
        <v>0</v>
      </c>
      <c r="J15" s="612"/>
      <c r="K15" s="606">
        <v>1</v>
      </c>
      <c r="L15" s="603">
        <f t="shared" si="56"/>
        <v>1472.2560000000001</v>
      </c>
      <c r="M15" s="612">
        <v>840</v>
      </c>
      <c r="N15" s="606">
        <v>1</v>
      </c>
      <c r="O15" s="603">
        <f t="shared" si="57"/>
        <v>1244.1600000000001</v>
      </c>
      <c r="P15" s="612">
        <v>624</v>
      </c>
      <c r="Q15" s="602"/>
      <c r="R15" s="603">
        <f t="shared" si="67"/>
        <v>0</v>
      </c>
      <c r="S15" s="612"/>
      <c r="T15" s="602">
        <v>0</v>
      </c>
      <c r="U15" s="603">
        <f t="shared" si="68"/>
        <v>0</v>
      </c>
      <c r="V15" s="612"/>
      <c r="W15" s="606"/>
      <c r="X15" s="603">
        <f t="shared" si="60"/>
        <v>0</v>
      </c>
      <c r="Y15" s="612"/>
      <c r="Z15" s="606">
        <v>1</v>
      </c>
      <c r="AA15" s="603">
        <f t="shared" si="61"/>
        <v>2661.12</v>
      </c>
      <c r="AB15" s="612">
        <v>1514</v>
      </c>
      <c r="AC15" s="602">
        <v>0</v>
      </c>
      <c r="AD15" s="603">
        <f t="shared" si="0"/>
        <v>0</v>
      </c>
      <c r="AE15" s="604"/>
      <c r="AF15" s="606">
        <v>0</v>
      </c>
      <c r="AG15" s="603">
        <f t="shared" si="1"/>
        <v>0</v>
      </c>
      <c r="AH15" s="612"/>
      <c r="AI15" s="606">
        <v>0</v>
      </c>
      <c r="AJ15" s="603">
        <f t="shared" si="62"/>
        <v>0</v>
      </c>
      <c r="AK15" s="612"/>
      <c r="AL15" s="606">
        <v>0.5</v>
      </c>
      <c r="AM15" s="603">
        <f t="shared" si="69"/>
        <v>756.86400000000003</v>
      </c>
      <c r="AN15" s="604">
        <v>528</v>
      </c>
      <c r="AO15" s="606">
        <v>1</v>
      </c>
      <c r="AP15" s="603">
        <f t="shared" si="2"/>
        <v>1668.5568000000001</v>
      </c>
      <c r="AQ15" s="604">
        <v>1350</v>
      </c>
      <c r="AR15" s="606">
        <v>1</v>
      </c>
      <c r="AS15" s="603">
        <f t="shared" si="3"/>
        <v>1451.52</v>
      </c>
      <c r="AT15" s="612"/>
      <c r="AU15" s="602">
        <v>0</v>
      </c>
      <c r="AV15" s="603">
        <f t="shared" si="4"/>
        <v>0</v>
      </c>
      <c r="AW15" s="612"/>
      <c r="AX15" s="602"/>
      <c r="AY15" s="603">
        <f t="shared" si="31"/>
        <v>0</v>
      </c>
      <c r="AZ15" s="604"/>
      <c r="BA15" s="606"/>
      <c r="BB15" s="603">
        <f t="shared" si="32"/>
        <v>0</v>
      </c>
      <c r="BC15" s="604"/>
      <c r="BD15" s="602"/>
      <c r="BE15" s="603">
        <f t="shared" si="33"/>
        <v>0</v>
      </c>
      <c r="BF15" s="604"/>
      <c r="BG15" s="602"/>
      <c r="BH15" s="603">
        <f t="shared" si="34"/>
        <v>0</v>
      </c>
      <c r="BI15" s="604"/>
      <c r="BJ15" s="606"/>
      <c r="BK15" s="603">
        <f t="shared" si="63"/>
        <v>0</v>
      </c>
      <c r="BL15" s="605"/>
      <c r="BM15" s="602"/>
      <c r="BN15" s="603">
        <f t="shared" si="64"/>
        <v>0</v>
      </c>
      <c r="BO15" s="605"/>
      <c r="BP15" s="606"/>
      <c r="BQ15" s="603">
        <f t="shared" si="65"/>
        <v>0</v>
      </c>
      <c r="BR15" s="604"/>
      <c r="BS15" s="602"/>
      <c r="BT15" s="603">
        <f t="shared" si="66"/>
        <v>0</v>
      </c>
      <c r="BU15" s="604"/>
      <c r="BV15" s="606"/>
      <c r="BW15" s="603">
        <f t="shared" si="7"/>
        <v>0</v>
      </c>
      <c r="BX15" s="604"/>
      <c r="BY15" s="606"/>
      <c r="BZ15" s="603">
        <f t="shared" si="8"/>
        <v>0</v>
      </c>
      <c r="CA15" s="605"/>
      <c r="CB15" s="602"/>
      <c r="CC15" s="603">
        <f t="shared" si="9"/>
        <v>0</v>
      </c>
      <c r="CD15" s="604"/>
      <c r="CE15" s="602"/>
      <c r="CF15" s="603">
        <f t="shared" si="10"/>
        <v>0</v>
      </c>
      <c r="CG15" s="605"/>
      <c r="CH15" s="606"/>
      <c r="CI15" s="603">
        <f t="shared" si="11"/>
        <v>0</v>
      </c>
      <c r="CJ15" s="605"/>
      <c r="CK15" s="602"/>
      <c r="CL15" s="603">
        <f t="shared" si="12"/>
        <v>0</v>
      </c>
      <c r="CM15" s="605"/>
      <c r="CN15" s="602"/>
      <c r="CO15" s="603">
        <f t="shared" si="13"/>
        <v>0</v>
      </c>
      <c r="CP15" s="605"/>
      <c r="CQ15" s="602"/>
      <c r="CR15" s="603">
        <f t="shared" si="14"/>
        <v>0</v>
      </c>
      <c r="CS15" s="605"/>
      <c r="CT15" s="602"/>
      <c r="CU15" s="603">
        <f t="shared" si="15"/>
        <v>0</v>
      </c>
      <c r="CV15" s="604"/>
      <c r="CW15" s="602"/>
      <c r="CX15" s="603">
        <f t="shared" si="16"/>
        <v>0</v>
      </c>
      <c r="CY15" s="605"/>
      <c r="CZ15" s="602"/>
      <c r="DA15" s="603">
        <f t="shared" si="17"/>
        <v>0</v>
      </c>
      <c r="DB15" s="605"/>
      <c r="DC15" s="602"/>
      <c r="DD15" s="603">
        <f t="shared" si="18"/>
        <v>0</v>
      </c>
      <c r="DE15" s="604"/>
      <c r="DF15" s="602"/>
      <c r="DG15" s="603">
        <f t="shared" si="37"/>
        <v>0</v>
      </c>
      <c r="DH15" s="605"/>
      <c r="DI15" s="602"/>
      <c r="DJ15" s="603">
        <f t="shared" si="38"/>
        <v>0</v>
      </c>
      <c r="DK15" s="605"/>
      <c r="DL15" s="602"/>
      <c r="DM15" s="603">
        <f t="shared" si="39"/>
        <v>0</v>
      </c>
      <c r="DN15" s="605"/>
      <c r="DO15" s="602"/>
      <c r="DP15" s="603">
        <f t="shared" si="40"/>
        <v>0</v>
      </c>
      <c r="DQ15" s="605"/>
      <c r="DR15" s="602"/>
      <c r="DS15" s="603">
        <f t="shared" si="41"/>
        <v>0</v>
      </c>
      <c r="DT15" s="605"/>
      <c r="DU15" s="602"/>
      <c r="DV15" s="603">
        <f t="shared" si="42"/>
        <v>0</v>
      </c>
      <c r="DW15" s="605"/>
      <c r="DX15" s="602"/>
      <c r="DY15" s="603">
        <f t="shared" si="43"/>
        <v>0</v>
      </c>
      <c r="DZ15" s="605"/>
      <c r="EA15" s="602"/>
      <c r="EB15" s="603">
        <f t="shared" si="44"/>
        <v>0</v>
      </c>
      <c r="EC15" s="605"/>
      <c r="ED15" s="602"/>
      <c r="EE15" s="603">
        <f t="shared" si="45"/>
        <v>0</v>
      </c>
      <c r="EF15" s="605"/>
      <c r="EG15" s="606"/>
      <c r="EH15" s="603">
        <f t="shared" si="46"/>
        <v>0</v>
      </c>
      <c r="EI15" s="605"/>
      <c r="EJ15" s="602"/>
      <c r="EK15" s="603">
        <f t="shared" si="47"/>
        <v>0</v>
      </c>
      <c r="EL15" s="605"/>
      <c r="EM15" s="606"/>
      <c r="EN15" s="603">
        <f t="shared" si="48"/>
        <v>0</v>
      </c>
      <c r="EO15" s="605"/>
      <c r="EP15" s="606"/>
      <c r="EQ15" s="603">
        <f t="shared" si="49"/>
        <v>0</v>
      </c>
      <c r="ER15" s="605"/>
      <c r="ES15" s="602"/>
      <c r="ET15" s="603">
        <f t="shared" si="52"/>
        <v>0</v>
      </c>
      <c r="EU15" s="605"/>
      <c r="EV15" s="602"/>
      <c r="EW15" s="603">
        <f t="shared" si="53"/>
        <v>0</v>
      </c>
      <c r="EX15" s="605"/>
      <c r="EY15" s="602"/>
      <c r="EZ15" s="603">
        <f t="shared" si="19"/>
        <v>0</v>
      </c>
      <c r="FA15" s="605"/>
      <c r="FB15" s="602"/>
      <c r="FC15" s="603">
        <f t="shared" si="20"/>
        <v>0</v>
      </c>
      <c r="FD15" s="605"/>
      <c r="FE15" s="606"/>
      <c r="FF15" s="603">
        <f t="shared" si="21"/>
        <v>0</v>
      </c>
      <c r="FG15" s="605"/>
      <c r="FH15" s="602"/>
      <c r="FI15" s="603">
        <f t="shared" si="50"/>
        <v>0</v>
      </c>
      <c r="FJ15" s="605"/>
      <c r="FK15" s="602"/>
      <c r="FL15" s="603">
        <f t="shared" si="22"/>
        <v>0</v>
      </c>
      <c r="FM15" s="605"/>
      <c r="FN15" s="606"/>
      <c r="FO15" s="603">
        <f t="shared" si="23"/>
        <v>0</v>
      </c>
      <c r="FP15" s="605"/>
      <c r="FQ15" s="602"/>
      <c r="FR15" s="603">
        <f t="shared" si="24"/>
        <v>0</v>
      </c>
      <c r="FS15" s="605"/>
      <c r="FT15" s="602"/>
      <c r="FU15" s="603">
        <f t="shared" si="51"/>
        <v>0</v>
      </c>
      <c r="FV15" s="605"/>
      <c r="FW15" s="606"/>
      <c r="FX15" s="603">
        <f t="shared" si="25"/>
        <v>0</v>
      </c>
      <c r="FY15" s="605"/>
      <c r="FZ15" s="606"/>
      <c r="GA15" s="603">
        <f t="shared" si="26"/>
        <v>0</v>
      </c>
      <c r="GB15" s="605"/>
      <c r="GC15" s="602"/>
      <c r="GD15" s="603">
        <f t="shared" si="27"/>
        <v>0</v>
      </c>
      <c r="GE15" s="605"/>
      <c r="GF15" s="606"/>
      <c r="GG15" s="603">
        <f t="shared" si="70"/>
        <v>0</v>
      </c>
      <c r="GH15" s="605"/>
      <c r="GI15" s="602"/>
      <c r="GJ15" s="603">
        <f t="shared" si="28"/>
        <v>0</v>
      </c>
      <c r="GK15" s="605"/>
      <c r="GL15" s="607">
        <f t="shared" si="29"/>
        <v>6</v>
      </c>
      <c r="GM15" s="608">
        <f>GL15+'33J'!BK15+'M80(20250122封存)'!CX15+MPS!AY15+TMT!CX15</f>
        <v>12.25</v>
      </c>
      <c r="GN15" s="609"/>
      <c r="GO15" s="610"/>
    </row>
    <row r="16" spans="1:197" s="611" customFormat="1" ht="14.25" customHeight="1">
      <c r="A16" s="601">
        <v>11</v>
      </c>
      <c r="B16" s="606">
        <v>0.5</v>
      </c>
      <c r="C16" s="603">
        <f t="shared" si="30"/>
        <v>446.68799999999999</v>
      </c>
      <c r="D16" s="612"/>
      <c r="E16" s="606"/>
      <c r="F16" s="603">
        <f t="shared" si="54"/>
        <v>0</v>
      </c>
      <c r="G16" s="612"/>
      <c r="H16" s="602">
        <v>0</v>
      </c>
      <c r="I16" s="603">
        <f t="shared" si="71"/>
        <v>0</v>
      </c>
      <c r="J16" s="612"/>
      <c r="K16" s="606">
        <v>1</v>
      </c>
      <c r="L16" s="603">
        <f t="shared" si="56"/>
        <v>1472.2560000000001</v>
      </c>
      <c r="M16" s="612">
        <v>1500</v>
      </c>
      <c r="N16" s="606">
        <v>1</v>
      </c>
      <c r="O16" s="603">
        <f t="shared" si="57"/>
        <v>1244.1600000000001</v>
      </c>
      <c r="P16" s="612">
        <v>600</v>
      </c>
      <c r="Q16" s="602"/>
      <c r="R16" s="603">
        <f t="shared" si="67"/>
        <v>0</v>
      </c>
      <c r="S16" s="612"/>
      <c r="T16" s="602">
        <v>0</v>
      </c>
      <c r="U16" s="603">
        <f t="shared" si="68"/>
        <v>0</v>
      </c>
      <c r="V16" s="612"/>
      <c r="W16" s="602"/>
      <c r="X16" s="603">
        <f t="shared" si="60"/>
        <v>0</v>
      </c>
      <c r="Y16" s="612"/>
      <c r="Z16" s="606">
        <v>1</v>
      </c>
      <c r="AA16" s="603">
        <f t="shared" si="61"/>
        <v>2661.12</v>
      </c>
      <c r="AB16" s="612">
        <v>1485</v>
      </c>
      <c r="AC16" s="602">
        <v>0</v>
      </c>
      <c r="AD16" s="603">
        <f t="shared" si="0"/>
        <v>0</v>
      </c>
      <c r="AE16" s="604"/>
      <c r="AF16" s="606">
        <v>0</v>
      </c>
      <c r="AG16" s="603">
        <f t="shared" si="1"/>
        <v>0</v>
      </c>
      <c r="AH16" s="612"/>
      <c r="AI16" s="606">
        <v>0</v>
      </c>
      <c r="AJ16" s="603">
        <f t="shared" si="62"/>
        <v>0</v>
      </c>
      <c r="AK16" s="612"/>
      <c r="AL16" s="606">
        <v>0.5</v>
      </c>
      <c r="AM16" s="603">
        <f t="shared" si="69"/>
        <v>756.86400000000003</v>
      </c>
      <c r="AN16" s="604">
        <v>336</v>
      </c>
      <c r="AO16" s="606">
        <v>1</v>
      </c>
      <c r="AP16" s="603">
        <f t="shared" si="2"/>
        <v>1668.5568000000001</v>
      </c>
      <c r="AQ16" s="604">
        <v>750</v>
      </c>
      <c r="AR16" s="606">
        <v>1</v>
      </c>
      <c r="AS16" s="603">
        <f t="shared" si="3"/>
        <v>1451.52</v>
      </c>
      <c r="AT16" s="612">
        <v>960</v>
      </c>
      <c r="AU16" s="602">
        <v>0.5</v>
      </c>
      <c r="AV16" s="603">
        <f t="shared" si="4"/>
        <v>684.28800000000001</v>
      </c>
      <c r="AW16" s="612"/>
      <c r="AX16" s="606"/>
      <c r="AY16" s="603">
        <f t="shared" si="31"/>
        <v>0</v>
      </c>
      <c r="AZ16" s="604"/>
      <c r="BA16" s="606"/>
      <c r="BB16" s="603">
        <f t="shared" si="32"/>
        <v>0</v>
      </c>
      <c r="BC16" s="604"/>
      <c r="BD16" s="606"/>
      <c r="BE16" s="603">
        <f t="shared" si="33"/>
        <v>0</v>
      </c>
      <c r="BF16" s="604"/>
      <c r="BG16" s="606"/>
      <c r="BH16" s="603">
        <f t="shared" si="34"/>
        <v>0</v>
      </c>
      <c r="BI16" s="604"/>
      <c r="BJ16" s="602"/>
      <c r="BK16" s="603">
        <f t="shared" si="63"/>
        <v>0</v>
      </c>
      <c r="BL16" s="605"/>
      <c r="BM16" s="602"/>
      <c r="BN16" s="603">
        <f t="shared" si="64"/>
        <v>0</v>
      </c>
      <c r="BO16" s="605"/>
      <c r="BP16" s="602"/>
      <c r="BQ16" s="603">
        <f t="shared" si="65"/>
        <v>0</v>
      </c>
      <c r="BR16" s="604"/>
      <c r="BS16" s="602"/>
      <c r="BT16" s="603">
        <f t="shared" si="66"/>
        <v>0</v>
      </c>
      <c r="BU16" s="604"/>
      <c r="BV16" s="606"/>
      <c r="BW16" s="603">
        <f t="shared" si="7"/>
        <v>0</v>
      </c>
      <c r="BX16" s="604"/>
      <c r="BY16" s="602"/>
      <c r="BZ16" s="603">
        <f t="shared" si="8"/>
        <v>0</v>
      </c>
      <c r="CA16" s="605"/>
      <c r="CB16" s="602"/>
      <c r="CC16" s="603">
        <f t="shared" si="9"/>
        <v>0</v>
      </c>
      <c r="CD16" s="604"/>
      <c r="CE16" s="602"/>
      <c r="CF16" s="603">
        <f t="shared" si="10"/>
        <v>0</v>
      </c>
      <c r="CG16" s="605"/>
      <c r="CH16" s="602"/>
      <c r="CI16" s="603">
        <f t="shared" si="11"/>
        <v>0</v>
      </c>
      <c r="CJ16" s="605"/>
      <c r="CK16" s="602"/>
      <c r="CL16" s="603">
        <f t="shared" si="12"/>
        <v>0</v>
      </c>
      <c r="CM16" s="605"/>
      <c r="CN16" s="602"/>
      <c r="CO16" s="603">
        <f t="shared" si="13"/>
        <v>0</v>
      </c>
      <c r="CP16" s="605"/>
      <c r="CQ16" s="602"/>
      <c r="CR16" s="603">
        <f t="shared" si="14"/>
        <v>0</v>
      </c>
      <c r="CS16" s="605"/>
      <c r="CT16" s="602"/>
      <c r="CU16" s="603">
        <f t="shared" si="15"/>
        <v>0</v>
      </c>
      <c r="CV16" s="604"/>
      <c r="CW16" s="602"/>
      <c r="CX16" s="603">
        <f t="shared" si="16"/>
        <v>0</v>
      </c>
      <c r="CY16" s="605"/>
      <c r="CZ16" s="602"/>
      <c r="DA16" s="603">
        <f t="shared" si="17"/>
        <v>0</v>
      </c>
      <c r="DB16" s="605"/>
      <c r="DC16" s="602"/>
      <c r="DD16" s="603">
        <f t="shared" si="18"/>
        <v>0</v>
      </c>
      <c r="DE16" s="604"/>
      <c r="DF16" s="602"/>
      <c r="DG16" s="603">
        <f t="shared" si="37"/>
        <v>0</v>
      </c>
      <c r="DH16" s="605"/>
      <c r="DI16" s="602"/>
      <c r="DJ16" s="603">
        <f t="shared" si="38"/>
        <v>0</v>
      </c>
      <c r="DK16" s="605"/>
      <c r="DL16" s="602"/>
      <c r="DM16" s="603">
        <f t="shared" si="39"/>
        <v>0</v>
      </c>
      <c r="DN16" s="605"/>
      <c r="DO16" s="602"/>
      <c r="DP16" s="603">
        <f t="shared" si="40"/>
        <v>0</v>
      </c>
      <c r="DQ16" s="605"/>
      <c r="DR16" s="602"/>
      <c r="DS16" s="603">
        <f t="shared" si="41"/>
        <v>0</v>
      </c>
      <c r="DT16" s="605"/>
      <c r="DU16" s="602"/>
      <c r="DV16" s="603">
        <f t="shared" si="42"/>
        <v>0</v>
      </c>
      <c r="DW16" s="605"/>
      <c r="DX16" s="602"/>
      <c r="DY16" s="603">
        <f t="shared" si="43"/>
        <v>0</v>
      </c>
      <c r="DZ16" s="605"/>
      <c r="EA16" s="602"/>
      <c r="EB16" s="603">
        <f t="shared" si="44"/>
        <v>0</v>
      </c>
      <c r="EC16" s="605"/>
      <c r="ED16" s="602"/>
      <c r="EE16" s="603">
        <f t="shared" si="45"/>
        <v>0</v>
      </c>
      <c r="EF16" s="605"/>
      <c r="EG16" s="606"/>
      <c r="EH16" s="603">
        <f t="shared" si="46"/>
        <v>0</v>
      </c>
      <c r="EI16" s="605"/>
      <c r="EJ16" s="602"/>
      <c r="EK16" s="603">
        <f t="shared" si="47"/>
        <v>0</v>
      </c>
      <c r="EL16" s="605"/>
      <c r="EM16" s="606"/>
      <c r="EN16" s="603">
        <f t="shared" si="48"/>
        <v>0</v>
      </c>
      <c r="EO16" s="605"/>
      <c r="EP16" s="606"/>
      <c r="EQ16" s="603">
        <f t="shared" si="49"/>
        <v>0</v>
      </c>
      <c r="ER16" s="605"/>
      <c r="ES16" s="602"/>
      <c r="ET16" s="603">
        <f t="shared" si="52"/>
        <v>0</v>
      </c>
      <c r="EU16" s="605"/>
      <c r="EV16" s="602"/>
      <c r="EW16" s="603">
        <f t="shared" si="53"/>
        <v>0</v>
      </c>
      <c r="EX16" s="605"/>
      <c r="EY16" s="602"/>
      <c r="EZ16" s="603">
        <f t="shared" si="19"/>
        <v>0</v>
      </c>
      <c r="FA16" s="605"/>
      <c r="FB16" s="602"/>
      <c r="FC16" s="603">
        <f t="shared" si="20"/>
        <v>0</v>
      </c>
      <c r="FD16" s="605"/>
      <c r="FE16" s="606"/>
      <c r="FF16" s="603">
        <f t="shared" si="21"/>
        <v>0</v>
      </c>
      <c r="FG16" s="605"/>
      <c r="FH16" s="602"/>
      <c r="FI16" s="603">
        <f t="shared" si="50"/>
        <v>0</v>
      </c>
      <c r="FJ16" s="605"/>
      <c r="FK16" s="602"/>
      <c r="FL16" s="603">
        <f t="shared" si="22"/>
        <v>0</v>
      </c>
      <c r="FM16" s="605"/>
      <c r="FN16" s="606"/>
      <c r="FO16" s="603">
        <f t="shared" si="23"/>
        <v>0</v>
      </c>
      <c r="FP16" s="605"/>
      <c r="FQ16" s="602"/>
      <c r="FR16" s="603">
        <f t="shared" si="24"/>
        <v>0</v>
      </c>
      <c r="FS16" s="605"/>
      <c r="FT16" s="602"/>
      <c r="FU16" s="603">
        <f t="shared" si="51"/>
        <v>0</v>
      </c>
      <c r="FV16" s="605"/>
      <c r="FW16" s="606"/>
      <c r="FX16" s="603">
        <f t="shared" si="25"/>
        <v>0</v>
      </c>
      <c r="FY16" s="605"/>
      <c r="FZ16" s="606"/>
      <c r="GA16" s="603">
        <f t="shared" si="26"/>
        <v>0</v>
      </c>
      <c r="GB16" s="605"/>
      <c r="GC16" s="602"/>
      <c r="GD16" s="603">
        <f t="shared" si="27"/>
        <v>0</v>
      </c>
      <c r="GE16" s="605"/>
      <c r="GF16" s="606"/>
      <c r="GG16" s="603">
        <f t="shared" si="70"/>
        <v>0</v>
      </c>
      <c r="GH16" s="605"/>
      <c r="GI16" s="602"/>
      <c r="GJ16" s="603">
        <f t="shared" si="28"/>
        <v>0</v>
      </c>
      <c r="GK16" s="605"/>
      <c r="GL16" s="607">
        <f t="shared" si="29"/>
        <v>6.5</v>
      </c>
      <c r="GM16" s="608">
        <f>GL16+'33J'!BK16+'M80(20250122封存)'!CX16+MPS!AY16+TMT!CX16</f>
        <v>12.75</v>
      </c>
      <c r="GN16" s="609"/>
      <c r="GO16" s="610"/>
    </row>
    <row r="17" spans="1:197" s="611" customFormat="1" ht="14.25" customHeight="1">
      <c r="A17" s="601">
        <v>12</v>
      </c>
      <c r="B17" s="606">
        <v>0.5</v>
      </c>
      <c r="C17" s="603">
        <f t="shared" si="30"/>
        <v>446.68799999999999</v>
      </c>
      <c r="D17" s="612">
        <v>216</v>
      </c>
      <c r="E17" s="606"/>
      <c r="F17" s="603">
        <f t="shared" si="54"/>
        <v>0</v>
      </c>
      <c r="G17" s="612"/>
      <c r="H17" s="602">
        <v>0</v>
      </c>
      <c r="I17" s="603">
        <f t="shared" si="71"/>
        <v>0</v>
      </c>
      <c r="J17" s="612"/>
      <c r="K17" s="606">
        <v>1</v>
      </c>
      <c r="L17" s="603">
        <f t="shared" si="56"/>
        <v>1472.2560000000001</v>
      </c>
      <c r="M17" s="612">
        <v>1980</v>
      </c>
      <c r="N17" s="606">
        <v>1</v>
      </c>
      <c r="O17" s="603">
        <f t="shared" si="57"/>
        <v>1244.1600000000001</v>
      </c>
      <c r="P17" s="612">
        <v>2229</v>
      </c>
      <c r="Q17" s="602"/>
      <c r="R17" s="603">
        <f t="shared" si="67"/>
        <v>0</v>
      </c>
      <c r="S17" s="612"/>
      <c r="T17" s="602">
        <v>0</v>
      </c>
      <c r="U17" s="603">
        <f t="shared" si="68"/>
        <v>0</v>
      </c>
      <c r="V17" s="612"/>
      <c r="W17" s="602"/>
      <c r="X17" s="603">
        <f t="shared" si="60"/>
        <v>0</v>
      </c>
      <c r="Y17" s="612"/>
      <c r="Z17" s="606">
        <v>1</v>
      </c>
      <c r="AA17" s="603">
        <f t="shared" si="61"/>
        <v>2661.12</v>
      </c>
      <c r="AB17" s="612">
        <v>2244</v>
      </c>
      <c r="AC17" s="602">
        <v>0</v>
      </c>
      <c r="AD17" s="603">
        <f t="shared" si="0"/>
        <v>0</v>
      </c>
      <c r="AE17" s="604"/>
      <c r="AF17" s="606">
        <v>0</v>
      </c>
      <c r="AG17" s="603">
        <f t="shared" si="1"/>
        <v>0</v>
      </c>
      <c r="AH17" s="612"/>
      <c r="AI17" s="606">
        <v>0</v>
      </c>
      <c r="AJ17" s="603">
        <f t="shared" si="62"/>
        <v>0</v>
      </c>
      <c r="AK17" s="612"/>
      <c r="AL17" s="606">
        <v>0.5</v>
      </c>
      <c r="AM17" s="603">
        <f t="shared" si="69"/>
        <v>756.86400000000003</v>
      </c>
      <c r="AN17" s="604">
        <v>1536</v>
      </c>
      <c r="AO17" s="606">
        <v>1</v>
      </c>
      <c r="AP17" s="603">
        <f t="shared" si="2"/>
        <v>1668.5568000000001</v>
      </c>
      <c r="AQ17" s="604">
        <v>2100</v>
      </c>
      <c r="AR17" s="606">
        <v>1</v>
      </c>
      <c r="AS17" s="603">
        <f t="shared" si="3"/>
        <v>1451.52</v>
      </c>
      <c r="AT17" s="612">
        <v>960</v>
      </c>
      <c r="AU17" s="602">
        <v>0.5</v>
      </c>
      <c r="AV17" s="603">
        <f t="shared" si="4"/>
        <v>684.28800000000001</v>
      </c>
      <c r="AW17" s="612"/>
      <c r="AX17" s="606"/>
      <c r="AY17" s="603">
        <f t="shared" si="31"/>
        <v>0</v>
      </c>
      <c r="AZ17" s="612"/>
      <c r="BA17" s="606"/>
      <c r="BB17" s="603">
        <f t="shared" si="32"/>
        <v>0</v>
      </c>
      <c r="BC17" s="612"/>
      <c r="BD17" s="606"/>
      <c r="BE17" s="603">
        <f t="shared" si="33"/>
        <v>0</v>
      </c>
      <c r="BF17" s="612"/>
      <c r="BG17" s="606"/>
      <c r="BH17" s="603">
        <f t="shared" si="34"/>
        <v>0</v>
      </c>
      <c r="BI17" s="604"/>
      <c r="BJ17" s="602"/>
      <c r="BK17" s="603">
        <f t="shared" si="63"/>
        <v>0</v>
      </c>
      <c r="BL17" s="605"/>
      <c r="BM17" s="602"/>
      <c r="BN17" s="603">
        <f t="shared" si="64"/>
        <v>0</v>
      </c>
      <c r="BO17" s="605"/>
      <c r="BP17" s="602"/>
      <c r="BQ17" s="603">
        <f t="shared" si="65"/>
        <v>0</v>
      </c>
      <c r="BR17" s="612"/>
      <c r="BS17" s="602"/>
      <c r="BT17" s="603">
        <f t="shared" si="66"/>
        <v>0</v>
      </c>
      <c r="BU17" s="612"/>
      <c r="BV17" s="606"/>
      <c r="BW17" s="603">
        <f t="shared" si="7"/>
        <v>0</v>
      </c>
      <c r="BX17" s="612"/>
      <c r="BY17" s="602"/>
      <c r="BZ17" s="603">
        <f t="shared" si="8"/>
        <v>0</v>
      </c>
      <c r="CA17" s="605"/>
      <c r="CB17" s="602"/>
      <c r="CC17" s="603">
        <f t="shared" si="9"/>
        <v>0</v>
      </c>
      <c r="CD17" s="612"/>
      <c r="CE17" s="602"/>
      <c r="CF17" s="603">
        <f t="shared" si="10"/>
        <v>0</v>
      </c>
      <c r="CG17" s="605"/>
      <c r="CH17" s="602"/>
      <c r="CI17" s="603">
        <f t="shared" si="11"/>
        <v>0</v>
      </c>
      <c r="CJ17" s="605"/>
      <c r="CK17" s="602"/>
      <c r="CL17" s="603">
        <f t="shared" si="12"/>
        <v>0</v>
      </c>
      <c r="CM17" s="605"/>
      <c r="CN17" s="602"/>
      <c r="CO17" s="603">
        <f t="shared" si="13"/>
        <v>0</v>
      </c>
      <c r="CP17" s="605"/>
      <c r="CQ17" s="602"/>
      <c r="CR17" s="603">
        <f t="shared" si="14"/>
        <v>0</v>
      </c>
      <c r="CS17" s="605"/>
      <c r="CT17" s="602"/>
      <c r="CU17" s="603">
        <f t="shared" si="15"/>
        <v>0</v>
      </c>
      <c r="CV17" s="612"/>
      <c r="CW17" s="602"/>
      <c r="CX17" s="603">
        <f t="shared" si="16"/>
        <v>0</v>
      </c>
      <c r="CY17" s="605"/>
      <c r="CZ17" s="602"/>
      <c r="DA17" s="603">
        <f t="shared" si="17"/>
        <v>0</v>
      </c>
      <c r="DB17" s="605"/>
      <c r="DC17" s="602"/>
      <c r="DD17" s="603">
        <f t="shared" si="18"/>
        <v>0</v>
      </c>
      <c r="DE17" s="612"/>
      <c r="DF17" s="602"/>
      <c r="DG17" s="603">
        <f t="shared" si="37"/>
        <v>0</v>
      </c>
      <c r="DH17" s="605"/>
      <c r="DI17" s="602"/>
      <c r="DJ17" s="603">
        <f t="shared" si="38"/>
        <v>0</v>
      </c>
      <c r="DK17" s="605"/>
      <c r="DL17" s="602"/>
      <c r="DM17" s="603">
        <f t="shared" si="39"/>
        <v>0</v>
      </c>
      <c r="DN17" s="605"/>
      <c r="DO17" s="602"/>
      <c r="DP17" s="603">
        <f t="shared" si="40"/>
        <v>0</v>
      </c>
      <c r="DQ17" s="605"/>
      <c r="DR17" s="602"/>
      <c r="DS17" s="603">
        <f t="shared" si="41"/>
        <v>0</v>
      </c>
      <c r="DT17" s="605"/>
      <c r="DU17" s="602"/>
      <c r="DV17" s="603">
        <f t="shared" si="42"/>
        <v>0</v>
      </c>
      <c r="DW17" s="605"/>
      <c r="DX17" s="602"/>
      <c r="DY17" s="603">
        <f t="shared" si="43"/>
        <v>0</v>
      </c>
      <c r="DZ17" s="605"/>
      <c r="EA17" s="602"/>
      <c r="EB17" s="603">
        <f t="shared" si="44"/>
        <v>0</v>
      </c>
      <c r="EC17" s="605"/>
      <c r="ED17" s="602"/>
      <c r="EE17" s="603">
        <f t="shared" si="45"/>
        <v>0</v>
      </c>
      <c r="EF17" s="605"/>
      <c r="EG17" s="602"/>
      <c r="EH17" s="603">
        <f t="shared" si="46"/>
        <v>0</v>
      </c>
      <c r="EI17" s="605"/>
      <c r="EJ17" s="602"/>
      <c r="EK17" s="603">
        <f t="shared" si="47"/>
        <v>0</v>
      </c>
      <c r="EL17" s="605"/>
      <c r="EM17" s="602"/>
      <c r="EN17" s="603">
        <f t="shared" si="48"/>
        <v>0</v>
      </c>
      <c r="EO17" s="605"/>
      <c r="EP17" s="602"/>
      <c r="EQ17" s="603">
        <f t="shared" si="49"/>
        <v>0</v>
      </c>
      <c r="ER17" s="605"/>
      <c r="ES17" s="602"/>
      <c r="ET17" s="603">
        <f t="shared" si="52"/>
        <v>0</v>
      </c>
      <c r="EU17" s="605"/>
      <c r="EV17" s="602"/>
      <c r="EW17" s="603">
        <f t="shared" si="53"/>
        <v>0</v>
      </c>
      <c r="EX17" s="605"/>
      <c r="EY17" s="602"/>
      <c r="EZ17" s="603">
        <f t="shared" si="19"/>
        <v>0</v>
      </c>
      <c r="FA17" s="605"/>
      <c r="FB17" s="602"/>
      <c r="FC17" s="603">
        <f t="shared" si="20"/>
        <v>0</v>
      </c>
      <c r="FD17" s="605"/>
      <c r="FE17" s="606"/>
      <c r="FF17" s="603">
        <f t="shared" si="21"/>
        <v>0</v>
      </c>
      <c r="FG17" s="605"/>
      <c r="FH17" s="602"/>
      <c r="FI17" s="603">
        <f t="shared" si="50"/>
        <v>0</v>
      </c>
      <c r="FJ17" s="605"/>
      <c r="FK17" s="602"/>
      <c r="FL17" s="603">
        <f t="shared" si="22"/>
        <v>0</v>
      </c>
      <c r="FM17" s="605"/>
      <c r="FN17" s="606"/>
      <c r="FO17" s="603">
        <f t="shared" si="23"/>
        <v>0</v>
      </c>
      <c r="FP17" s="605"/>
      <c r="FQ17" s="602"/>
      <c r="FR17" s="603">
        <f t="shared" si="24"/>
        <v>0</v>
      </c>
      <c r="FS17" s="605"/>
      <c r="FT17" s="602"/>
      <c r="FU17" s="603">
        <f t="shared" si="51"/>
        <v>0</v>
      </c>
      <c r="FV17" s="605"/>
      <c r="FW17" s="606"/>
      <c r="FX17" s="603">
        <f t="shared" si="25"/>
        <v>0</v>
      </c>
      <c r="FY17" s="605"/>
      <c r="FZ17" s="606"/>
      <c r="GA17" s="603">
        <f t="shared" si="26"/>
        <v>0</v>
      </c>
      <c r="GB17" s="605"/>
      <c r="GC17" s="602"/>
      <c r="GD17" s="603">
        <f t="shared" si="27"/>
        <v>0</v>
      </c>
      <c r="GE17" s="605"/>
      <c r="GF17" s="606"/>
      <c r="GG17" s="603">
        <f t="shared" si="70"/>
        <v>0</v>
      </c>
      <c r="GH17" s="605"/>
      <c r="GI17" s="602"/>
      <c r="GJ17" s="603">
        <f t="shared" si="28"/>
        <v>0</v>
      </c>
      <c r="GK17" s="605"/>
      <c r="GL17" s="607">
        <f t="shared" si="29"/>
        <v>6.5</v>
      </c>
      <c r="GM17" s="608">
        <f>GL17+'33J'!BK17+'M80(20250122封存)'!CX17+MPS!AY17+TMT!CX17</f>
        <v>12.75</v>
      </c>
      <c r="GN17" s="609"/>
      <c r="GO17" s="610"/>
    </row>
    <row r="18" spans="1:197" s="611" customFormat="1" ht="14.25" customHeight="1">
      <c r="A18" s="601">
        <v>13</v>
      </c>
      <c r="B18" s="602">
        <v>0.5</v>
      </c>
      <c r="C18" s="603">
        <f t="shared" si="30"/>
        <v>446.68799999999999</v>
      </c>
      <c r="D18" s="612"/>
      <c r="E18" s="602"/>
      <c r="F18" s="603">
        <f t="shared" si="54"/>
        <v>0</v>
      </c>
      <c r="G18" s="612"/>
      <c r="H18" s="602">
        <v>0</v>
      </c>
      <c r="I18" s="603">
        <f t="shared" si="71"/>
        <v>0</v>
      </c>
      <c r="J18" s="612"/>
      <c r="K18" s="602">
        <v>1</v>
      </c>
      <c r="L18" s="603">
        <f t="shared" si="56"/>
        <v>1472.2560000000001</v>
      </c>
      <c r="M18" s="612">
        <v>600</v>
      </c>
      <c r="N18" s="606">
        <v>1</v>
      </c>
      <c r="O18" s="603">
        <f t="shared" si="57"/>
        <v>1244.1600000000001</v>
      </c>
      <c r="P18" s="612">
        <v>600</v>
      </c>
      <c r="Q18" s="602"/>
      <c r="R18" s="603">
        <f t="shared" si="67"/>
        <v>0</v>
      </c>
      <c r="S18" s="612"/>
      <c r="T18" s="602">
        <v>0</v>
      </c>
      <c r="U18" s="603">
        <f t="shared" si="68"/>
        <v>0</v>
      </c>
      <c r="V18" s="612"/>
      <c r="W18" s="602"/>
      <c r="X18" s="603">
        <f t="shared" si="60"/>
        <v>0</v>
      </c>
      <c r="Y18" s="604"/>
      <c r="Z18" s="606">
        <v>1</v>
      </c>
      <c r="AA18" s="603">
        <f t="shared" si="61"/>
        <v>2661.12</v>
      </c>
      <c r="AB18" s="612">
        <v>924</v>
      </c>
      <c r="AC18" s="602">
        <v>0</v>
      </c>
      <c r="AD18" s="603">
        <f t="shared" si="0"/>
        <v>0</v>
      </c>
      <c r="AE18" s="604"/>
      <c r="AF18" s="606">
        <v>0</v>
      </c>
      <c r="AG18" s="603">
        <f t="shared" si="1"/>
        <v>0</v>
      </c>
      <c r="AH18" s="604"/>
      <c r="AI18" s="602">
        <v>0</v>
      </c>
      <c r="AJ18" s="603">
        <f t="shared" si="62"/>
        <v>0</v>
      </c>
      <c r="AK18" s="612"/>
      <c r="AL18" s="602">
        <v>0.5</v>
      </c>
      <c r="AM18" s="603">
        <f t="shared" si="69"/>
        <v>756.86400000000003</v>
      </c>
      <c r="AN18" s="604"/>
      <c r="AO18" s="602">
        <v>1</v>
      </c>
      <c r="AP18" s="603">
        <f t="shared" si="2"/>
        <v>1668.5568000000001</v>
      </c>
      <c r="AQ18" s="604">
        <v>2219</v>
      </c>
      <c r="AR18" s="606">
        <v>1</v>
      </c>
      <c r="AS18" s="603">
        <f t="shared" si="3"/>
        <v>1451.52</v>
      </c>
      <c r="AT18" s="604">
        <v>1304</v>
      </c>
      <c r="AU18" s="602">
        <v>0.5</v>
      </c>
      <c r="AV18" s="603">
        <f t="shared" si="4"/>
        <v>684.28800000000001</v>
      </c>
      <c r="AW18" s="604">
        <v>750</v>
      </c>
      <c r="AX18" s="606"/>
      <c r="AY18" s="603">
        <f t="shared" si="31"/>
        <v>0</v>
      </c>
      <c r="AZ18" s="604"/>
      <c r="BA18" s="606"/>
      <c r="BB18" s="603">
        <f t="shared" si="32"/>
        <v>0</v>
      </c>
      <c r="BC18" s="604"/>
      <c r="BD18" s="602"/>
      <c r="BE18" s="603">
        <f t="shared" si="33"/>
        <v>0</v>
      </c>
      <c r="BF18" s="604"/>
      <c r="BG18" s="602"/>
      <c r="BH18" s="603">
        <f t="shared" si="34"/>
        <v>0</v>
      </c>
      <c r="BI18" s="604"/>
      <c r="BJ18" s="602"/>
      <c r="BK18" s="603">
        <f t="shared" si="63"/>
        <v>0</v>
      </c>
      <c r="BL18" s="605"/>
      <c r="BM18" s="602"/>
      <c r="BN18" s="603">
        <f t="shared" si="64"/>
        <v>0</v>
      </c>
      <c r="BO18" s="605"/>
      <c r="BP18" s="602"/>
      <c r="BQ18" s="603">
        <f t="shared" si="65"/>
        <v>0</v>
      </c>
      <c r="BR18" s="604"/>
      <c r="BS18" s="602"/>
      <c r="BT18" s="603">
        <f t="shared" si="66"/>
        <v>0</v>
      </c>
      <c r="BU18" s="604"/>
      <c r="BV18" s="602"/>
      <c r="BW18" s="603">
        <f t="shared" si="7"/>
        <v>0</v>
      </c>
      <c r="BX18" s="604"/>
      <c r="BY18" s="602"/>
      <c r="BZ18" s="603">
        <f t="shared" si="8"/>
        <v>0</v>
      </c>
      <c r="CA18" s="605"/>
      <c r="CB18" s="606"/>
      <c r="CC18" s="603">
        <f t="shared" si="9"/>
        <v>0</v>
      </c>
      <c r="CD18" s="605"/>
      <c r="CE18" s="602"/>
      <c r="CF18" s="603">
        <f t="shared" si="10"/>
        <v>0</v>
      </c>
      <c r="CG18" s="605"/>
      <c r="CH18" s="602"/>
      <c r="CI18" s="603">
        <f t="shared" si="11"/>
        <v>0</v>
      </c>
      <c r="CJ18" s="605"/>
      <c r="CK18" s="602"/>
      <c r="CL18" s="603">
        <f t="shared" si="12"/>
        <v>0</v>
      </c>
      <c r="CM18" s="605"/>
      <c r="CN18" s="602"/>
      <c r="CO18" s="603">
        <f t="shared" si="13"/>
        <v>0</v>
      </c>
      <c r="CP18" s="605"/>
      <c r="CQ18" s="602"/>
      <c r="CR18" s="603">
        <f t="shared" si="14"/>
        <v>0</v>
      </c>
      <c r="CS18" s="605"/>
      <c r="CT18" s="602"/>
      <c r="CU18" s="603">
        <f t="shared" si="15"/>
        <v>0</v>
      </c>
      <c r="CV18" s="605"/>
      <c r="CW18" s="602"/>
      <c r="CX18" s="603">
        <f t="shared" si="16"/>
        <v>0</v>
      </c>
      <c r="CY18" s="605"/>
      <c r="CZ18" s="602"/>
      <c r="DA18" s="603">
        <f t="shared" si="17"/>
        <v>0</v>
      </c>
      <c r="DB18" s="605"/>
      <c r="DC18" s="602"/>
      <c r="DD18" s="603">
        <f t="shared" si="18"/>
        <v>0</v>
      </c>
      <c r="DE18" s="605"/>
      <c r="DF18" s="602"/>
      <c r="DG18" s="603">
        <f t="shared" si="37"/>
        <v>0</v>
      </c>
      <c r="DH18" s="605"/>
      <c r="DI18" s="602"/>
      <c r="DJ18" s="603">
        <f t="shared" si="38"/>
        <v>0</v>
      </c>
      <c r="DK18" s="605"/>
      <c r="DL18" s="602"/>
      <c r="DM18" s="603">
        <f t="shared" si="39"/>
        <v>0</v>
      </c>
      <c r="DN18" s="605"/>
      <c r="DO18" s="602"/>
      <c r="DP18" s="603">
        <f t="shared" si="40"/>
        <v>0</v>
      </c>
      <c r="DQ18" s="605"/>
      <c r="DR18" s="602"/>
      <c r="DS18" s="603">
        <f t="shared" si="41"/>
        <v>0</v>
      </c>
      <c r="DT18" s="605"/>
      <c r="DU18" s="602"/>
      <c r="DV18" s="603">
        <f t="shared" si="42"/>
        <v>0</v>
      </c>
      <c r="DW18" s="605"/>
      <c r="DX18" s="602"/>
      <c r="DY18" s="603">
        <f t="shared" si="43"/>
        <v>0</v>
      </c>
      <c r="DZ18" s="605"/>
      <c r="EA18" s="602"/>
      <c r="EB18" s="603">
        <f t="shared" si="44"/>
        <v>0</v>
      </c>
      <c r="EC18" s="605"/>
      <c r="ED18" s="602"/>
      <c r="EE18" s="603">
        <f t="shared" si="45"/>
        <v>0</v>
      </c>
      <c r="EF18" s="605"/>
      <c r="EG18" s="602"/>
      <c r="EH18" s="603">
        <f t="shared" si="46"/>
        <v>0</v>
      </c>
      <c r="EI18" s="605"/>
      <c r="EJ18" s="602"/>
      <c r="EK18" s="603">
        <f t="shared" si="47"/>
        <v>0</v>
      </c>
      <c r="EL18" s="605"/>
      <c r="EM18" s="602"/>
      <c r="EN18" s="603">
        <f t="shared" si="48"/>
        <v>0</v>
      </c>
      <c r="EO18" s="605"/>
      <c r="EP18" s="602"/>
      <c r="EQ18" s="603">
        <f t="shared" si="49"/>
        <v>0</v>
      </c>
      <c r="ER18" s="605"/>
      <c r="ES18" s="602"/>
      <c r="ET18" s="603">
        <f t="shared" si="52"/>
        <v>0</v>
      </c>
      <c r="EU18" s="605"/>
      <c r="EV18" s="606"/>
      <c r="EW18" s="603">
        <f t="shared" si="53"/>
        <v>0</v>
      </c>
      <c r="EX18" s="605"/>
      <c r="EY18" s="602"/>
      <c r="EZ18" s="603">
        <f t="shared" si="19"/>
        <v>0</v>
      </c>
      <c r="FA18" s="605"/>
      <c r="FB18" s="602"/>
      <c r="FC18" s="603">
        <f t="shared" si="20"/>
        <v>0</v>
      </c>
      <c r="FD18" s="605"/>
      <c r="FE18" s="606"/>
      <c r="FF18" s="603">
        <f t="shared" si="21"/>
        <v>0</v>
      </c>
      <c r="FG18" s="605"/>
      <c r="FH18" s="602"/>
      <c r="FI18" s="603">
        <f t="shared" si="50"/>
        <v>0</v>
      </c>
      <c r="FJ18" s="605"/>
      <c r="FK18" s="602"/>
      <c r="FL18" s="603">
        <f t="shared" si="22"/>
        <v>0</v>
      </c>
      <c r="FM18" s="605"/>
      <c r="FN18" s="606"/>
      <c r="FO18" s="603">
        <f t="shared" si="23"/>
        <v>0</v>
      </c>
      <c r="FP18" s="605"/>
      <c r="FQ18" s="602"/>
      <c r="FR18" s="603">
        <f t="shared" si="24"/>
        <v>0</v>
      </c>
      <c r="FS18" s="605"/>
      <c r="FT18" s="602"/>
      <c r="FU18" s="603">
        <f t="shared" si="51"/>
        <v>0</v>
      </c>
      <c r="FV18" s="605"/>
      <c r="FW18" s="606"/>
      <c r="FX18" s="603">
        <f t="shared" si="25"/>
        <v>0</v>
      </c>
      <c r="FY18" s="605"/>
      <c r="FZ18" s="606"/>
      <c r="GA18" s="603">
        <f t="shared" si="26"/>
        <v>0</v>
      </c>
      <c r="GB18" s="605"/>
      <c r="GC18" s="602"/>
      <c r="GD18" s="603">
        <f t="shared" si="27"/>
        <v>0</v>
      </c>
      <c r="GE18" s="605"/>
      <c r="GF18" s="606"/>
      <c r="GG18" s="603">
        <f t="shared" si="70"/>
        <v>0</v>
      </c>
      <c r="GH18" s="605"/>
      <c r="GI18" s="602"/>
      <c r="GJ18" s="603">
        <f t="shared" si="28"/>
        <v>0</v>
      </c>
      <c r="GK18" s="605"/>
      <c r="GL18" s="607">
        <f t="shared" si="29"/>
        <v>6.5</v>
      </c>
      <c r="GM18" s="608">
        <f>GL18+'33J'!BK18+'M80(20250122封存)'!CX18+MPS!AY18+TMT!CX18</f>
        <v>12.75</v>
      </c>
      <c r="GN18" s="609"/>
      <c r="GO18" s="610"/>
    </row>
    <row r="19" spans="1:197" s="611" customFormat="1" ht="14.25" customHeight="1">
      <c r="A19" s="601">
        <v>14</v>
      </c>
      <c r="B19" s="602">
        <v>0.5</v>
      </c>
      <c r="C19" s="603">
        <f t="shared" si="30"/>
        <v>446.68799999999999</v>
      </c>
      <c r="D19" s="612">
        <v>984</v>
      </c>
      <c r="E19" s="602"/>
      <c r="F19" s="603">
        <f t="shared" si="54"/>
        <v>0</v>
      </c>
      <c r="G19" s="612"/>
      <c r="H19" s="602">
        <v>0</v>
      </c>
      <c r="I19" s="603">
        <f t="shared" si="71"/>
        <v>0</v>
      </c>
      <c r="J19" s="612"/>
      <c r="K19" s="602">
        <v>1</v>
      </c>
      <c r="L19" s="603">
        <f t="shared" si="56"/>
        <v>1472.2560000000001</v>
      </c>
      <c r="M19" s="612">
        <v>2250</v>
      </c>
      <c r="N19" s="606">
        <v>1</v>
      </c>
      <c r="O19" s="603">
        <f t="shared" si="57"/>
        <v>1244.1600000000001</v>
      </c>
      <c r="P19" s="612">
        <v>1200</v>
      </c>
      <c r="Q19" s="602"/>
      <c r="R19" s="603">
        <f t="shared" si="67"/>
        <v>0</v>
      </c>
      <c r="S19" s="612"/>
      <c r="T19" s="602">
        <v>0</v>
      </c>
      <c r="U19" s="603">
        <f t="shared" si="68"/>
        <v>0</v>
      </c>
      <c r="V19" s="612"/>
      <c r="W19" s="602"/>
      <c r="X19" s="603">
        <f t="shared" si="60"/>
        <v>0</v>
      </c>
      <c r="Y19" s="604"/>
      <c r="Z19" s="606">
        <v>1</v>
      </c>
      <c r="AA19" s="603">
        <f t="shared" si="61"/>
        <v>2661.12</v>
      </c>
      <c r="AB19" s="612">
        <v>1551</v>
      </c>
      <c r="AC19" s="602">
        <v>0</v>
      </c>
      <c r="AD19" s="603">
        <f t="shared" si="0"/>
        <v>0</v>
      </c>
      <c r="AE19" s="604"/>
      <c r="AF19" s="606">
        <v>0</v>
      </c>
      <c r="AG19" s="603">
        <f t="shared" si="1"/>
        <v>0</v>
      </c>
      <c r="AH19" s="604"/>
      <c r="AI19" s="602">
        <v>0</v>
      </c>
      <c r="AJ19" s="603">
        <f t="shared" si="62"/>
        <v>0</v>
      </c>
      <c r="AK19" s="612"/>
      <c r="AL19" s="602">
        <v>0.5</v>
      </c>
      <c r="AM19" s="603">
        <f t="shared" si="69"/>
        <v>756.86400000000003</v>
      </c>
      <c r="AN19" s="604">
        <v>600</v>
      </c>
      <c r="AO19" s="602">
        <v>1</v>
      </c>
      <c r="AP19" s="603">
        <f t="shared" si="2"/>
        <v>1668.5568000000001</v>
      </c>
      <c r="AQ19" s="604">
        <v>1500</v>
      </c>
      <c r="AR19" s="606">
        <v>1</v>
      </c>
      <c r="AS19" s="603">
        <f t="shared" si="3"/>
        <v>1451.52</v>
      </c>
      <c r="AT19" s="604">
        <v>1310</v>
      </c>
      <c r="AU19" s="602">
        <v>0.5</v>
      </c>
      <c r="AV19" s="603">
        <f t="shared" si="4"/>
        <v>684.28800000000001</v>
      </c>
      <c r="AW19" s="604">
        <v>750</v>
      </c>
      <c r="AX19" s="602"/>
      <c r="AY19" s="603">
        <f t="shared" si="31"/>
        <v>0</v>
      </c>
      <c r="AZ19" s="604"/>
      <c r="BA19" s="602"/>
      <c r="BB19" s="603">
        <f t="shared" si="32"/>
        <v>0</v>
      </c>
      <c r="BC19" s="604"/>
      <c r="BD19" s="602"/>
      <c r="BE19" s="603">
        <f t="shared" si="33"/>
        <v>0</v>
      </c>
      <c r="BF19" s="604"/>
      <c r="BG19" s="602"/>
      <c r="BH19" s="603">
        <f t="shared" si="34"/>
        <v>0</v>
      </c>
      <c r="BI19" s="604"/>
      <c r="BJ19" s="602"/>
      <c r="BK19" s="603">
        <f t="shared" si="63"/>
        <v>0</v>
      </c>
      <c r="BL19" s="605"/>
      <c r="BM19" s="602"/>
      <c r="BN19" s="603">
        <f t="shared" si="64"/>
        <v>0</v>
      </c>
      <c r="BO19" s="605"/>
      <c r="BP19" s="602"/>
      <c r="BQ19" s="603">
        <f t="shared" si="65"/>
        <v>0</v>
      </c>
      <c r="BR19" s="604"/>
      <c r="BS19" s="602"/>
      <c r="BT19" s="603">
        <f t="shared" si="66"/>
        <v>0</v>
      </c>
      <c r="BU19" s="604"/>
      <c r="BV19" s="602"/>
      <c r="BW19" s="603">
        <f t="shared" si="7"/>
        <v>0</v>
      </c>
      <c r="BX19" s="604"/>
      <c r="BY19" s="602"/>
      <c r="BZ19" s="603">
        <f t="shared" si="8"/>
        <v>0</v>
      </c>
      <c r="CA19" s="605"/>
      <c r="CB19" s="606"/>
      <c r="CC19" s="603">
        <f t="shared" si="9"/>
        <v>0</v>
      </c>
      <c r="CD19" s="605"/>
      <c r="CE19" s="602"/>
      <c r="CF19" s="603">
        <f t="shared" si="10"/>
        <v>0</v>
      </c>
      <c r="CG19" s="605"/>
      <c r="CH19" s="602"/>
      <c r="CI19" s="603">
        <f t="shared" si="11"/>
        <v>0</v>
      </c>
      <c r="CJ19" s="605"/>
      <c r="CK19" s="602"/>
      <c r="CL19" s="603">
        <f t="shared" si="12"/>
        <v>0</v>
      </c>
      <c r="CM19" s="605"/>
      <c r="CN19" s="602"/>
      <c r="CO19" s="603">
        <f t="shared" si="13"/>
        <v>0</v>
      </c>
      <c r="CP19" s="605"/>
      <c r="CQ19" s="602"/>
      <c r="CR19" s="603">
        <f t="shared" si="14"/>
        <v>0</v>
      </c>
      <c r="CS19" s="605"/>
      <c r="CT19" s="602"/>
      <c r="CU19" s="603">
        <f t="shared" si="15"/>
        <v>0</v>
      </c>
      <c r="CV19" s="605"/>
      <c r="CW19" s="602"/>
      <c r="CX19" s="603">
        <f t="shared" si="16"/>
        <v>0</v>
      </c>
      <c r="CY19" s="605"/>
      <c r="CZ19" s="602"/>
      <c r="DA19" s="603">
        <f t="shared" si="17"/>
        <v>0</v>
      </c>
      <c r="DB19" s="605"/>
      <c r="DC19" s="602"/>
      <c r="DD19" s="603">
        <f t="shared" si="18"/>
        <v>0</v>
      </c>
      <c r="DE19" s="605"/>
      <c r="DF19" s="602"/>
      <c r="DG19" s="603">
        <f t="shared" si="37"/>
        <v>0</v>
      </c>
      <c r="DH19" s="605"/>
      <c r="DI19" s="602"/>
      <c r="DJ19" s="603">
        <f t="shared" si="38"/>
        <v>0</v>
      </c>
      <c r="DK19" s="605"/>
      <c r="DL19" s="602"/>
      <c r="DM19" s="603">
        <f t="shared" si="39"/>
        <v>0</v>
      </c>
      <c r="DN19" s="605"/>
      <c r="DO19" s="602"/>
      <c r="DP19" s="603">
        <f t="shared" si="40"/>
        <v>0</v>
      </c>
      <c r="DQ19" s="605"/>
      <c r="DR19" s="602"/>
      <c r="DS19" s="603">
        <f t="shared" si="41"/>
        <v>0</v>
      </c>
      <c r="DT19" s="605"/>
      <c r="DU19" s="602"/>
      <c r="DV19" s="603">
        <f t="shared" si="42"/>
        <v>0</v>
      </c>
      <c r="DW19" s="605"/>
      <c r="DX19" s="602"/>
      <c r="DY19" s="603">
        <f t="shared" si="43"/>
        <v>0</v>
      </c>
      <c r="DZ19" s="605"/>
      <c r="EA19" s="602"/>
      <c r="EB19" s="603">
        <f t="shared" si="44"/>
        <v>0</v>
      </c>
      <c r="EC19" s="605"/>
      <c r="ED19" s="602"/>
      <c r="EE19" s="603">
        <f t="shared" si="45"/>
        <v>0</v>
      </c>
      <c r="EF19" s="605"/>
      <c r="EG19" s="606"/>
      <c r="EH19" s="603">
        <f t="shared" si="46"/>
        <v>0</v>
      </c>
      <c r="EI19" s="605"/>
      <c r="EJ19" s="606"/>
      <c r="EK19" s="603">
        <f t="shared" si="47"/>
        <v>0</v>
      </c>
      <c r="EL19" s="605"/>
      <c r="EM19" s="606"/>
      <c r="EN19" s="603">
        <f t="shared" si="48"/>
        <v>0</v>
      </c>
      <c r="EO19" s="605"/>
      <c r="EP19" s="606"/>
      <c r="EQ19" s="603">
        <f t="shared" si="49"/>
        <v>0</v>
      </c>
      <c r="ER19" s="605"/>
      <c r="ES19" s="602"/>
      <c r="ET19" s="603">
        <f t="shared" si="52"/>
        <v>0</v>
      </c>
      <c r="EU19" s="605"/>
      <c r="EV19" s="606"/>
      <c r="EW19" s="603">
        <f t="shared" si="53"/>
        <v>0</v>
      </c>
      <c r="EX19" s="605"/>
      <c r="EY19" s="602"/>
      <c r="EZ19" s="603">
        <f t="shared" si="19"/>
        <v>0</v>
      </c>
      <c r="FA19" s="605"/>
      <c r="FB19" s="602"/>
      <c r="FC19" s="603">
        <f t="shared" si="20"/>
        <v>0</v>
      </c>
      <c r="FD19" s="605"/>
      <c r="FE19" s="606"/>
      <c r="FF19" s="603">
        <f t="shared" si="21"/>
        <v>0</v>
      </c>
      <c r="FG19" s="605"/>
      <c r="FH19" s="602"/>
      <c r="FI19" s="603">
        <f t="shared" si="50"/>
        <v>0</v>
      </c>
      <c r="FJ19" s="605"/>
      <c r="FK19" s="602"/>
      <c r="FL19" s="603">
        <f t="shared" si="22"/>
        <v>0</v>
      </c>
      <c r="FM19" s="605"/>
      <c r="FN19" s="606"/>
      <c r="FO19" s="603">
        <f t="shared" si="23"/>
        <v>0</v>
      </c>
      <c r="FP19" s="605"/>
      <c r="FQ19" s="606"/>
      <c r="FR19" s="603">
        <f t="shared" si="24"/>
        <v>0</v>
      </c>
      <c r="FS19" s="605"/>
      <c r="FT19" s="606"/>
      <c r="FU19" s="603">
        <f t="shared" si="51"/>
        <v>0</v>
      </c>
      <c r="FV19" s="605"/>
      <c r="FW19" s="606"/>
      <c r="FX19" s="603">
        <f t="shared" si="25"/>
        <v>0</v>
      </c>
      <c r="FY19" s="605"/>
      <c r="FZ19" s="606"/>
      <c r="GA19" s="603">
        <f t="shared" si="26"/>
        <v>0</v>
      </c>
      <c r="GB19" s="605"/>
      <c r="GC19" s="602"/>
      <c r="GD19" s="603">
        <f t="shared" si="27"/>
        <v>0</v>
      </c>
      <c r="GE19" s="605"/>
      <c r="GF19" s="606"/>
      <c r="GG19" s="603">
        <f t="shared" si="70"/>
        <v>0</v>
      </c>
      <c r="GH19" s="605"/>
      <c r="GI19" s="602"/>
      <c r="GJ19" s="603">
        <f t="shared" si="28"/>
        <v>0</v>
      </c>
      <c r="GK19" s="605"/>
      <c r="GL19" s="607">
        <f t="shared" si="29"/>
        <v>6.5</v>
      </c>
      <c r="GM19" s="608">
        <f>GL19+'33J'!BK19+'M80(20250122封存)'!CX19+MPS!AY19+TMT!CX19</f>
        <v>12.75</v>
      </c>
      <c r="GN19" s="609"/>
      <c r="GO19" s="610"/>
    </row>
    <row r="20" spans="1:197" s="611" customFormat="1" ht="14.25" customHeight="1">
      <c r="A20" s="601">
        <v>15</v>
      </c>
      <c r="B20" s="602">
        <v>0.5</v>
      </c>
      <c r="C20" s="603">
        <f t="shared" si="30"/>
        <v>446.68799999999999</v>
      </c>
      <c r="D20" s="612"/>
      <c r="E20" s="602"/>
      <c r="F20" s="603">
        <f t="shared" si="54"/>
        <v>0</v>
      </c>
      <c r="G20" s="612"/>
      <c r="H20" s="602">
        <v>0</v>
      </c>
      <c r="I20" s="603">
        <f t="shared" si="71"/>
        <v>0</v>
      </c>
      <c r="J20" s="612"/>
      <c r="K20" s="602">
        <v>1</v>
      </c>
      <c r="L20" s="603">
        <f t="shared" si="56"/>
        <v>1472.2560000000001</v>
      </c>
      <c r="M20" s="612">
        <v>3621</v>
      </c>
      <c r="N20" s="606">
        <v>1</v>
      </c>
      <c r="O20" s="603">
        <f t="shared" si="57"/>
        <v>1244.1600000000001</v>
      </c>
      <c r="P20" s="612">
        <v>888</v>
      </c>
      <c r="Q20" s="602"/>
      <c r="R20" s="603">
        <f t="shared" si="67"/>
        <v>0</v>
      </c>
      <c r="S20" s="612"/>
      <c r="T20" s="602">
        <v>0</v>
      </c>
      <c r="U20" s="603">
        <f t="shared" si="68"/>
        <v>0</v>
      </c>
      <c r="V20" s="612"/>
      <c r="W20" s="602"/>
      <c r="X20" s="603">
        <f t="shared" si="60"/>
        <v>0</v>
      </c>
      <c r="Y20" s="604"/>
      <c r="Z20" s="606">
        <v>1</v>
      </c>
      <c r="AA20" s="603">
        <f t="shared" si="61"/>
        <v>2661.12</v>
      </c>
      <c r="AB20" s="612"/>
      <c r="AC20" s="602">
        <v>0</v>
      </c>
      <c r="AD20" s="603">
        <f t="shared" si="0"/>
        <v>0</v>
      </c>
      <c r="AE20" s="604"/>
      <c r="AF20" s="606">
        <v>0</v>
      </c>
      <c r="AG20" s="603">
        <f t="shared" si="1"/>
        <v>0</v>
      </c>
      <c r="AH20" s="604"/>
      <c r="AI20" s="602">
        <v>0</v>
      </c>
      <c r="AJ20" s="603">
        <f t="shared" si="62"/>
        <v>0</v>
      </c>
      <c r="AK20" s="612"/>
      <c r="AL20" s="602">
        <v>0.5</v>
      </c>
      <c r="AM20" s="603">
        <f t="shared" si="69"/>
        <v>756.86400000000003</v>
      </c>
      <c r="AN20" s="604"/>
      <c r="AO20" s="602">
        <v>1</v>
      </c>
      <c r="AP20" s="603">
        <f t="shared" si="2"/>
        <v>1668.5568000000001</v>
      </c>
      <c r="AQ20" s="604">
        <v>1350</v>
      </c>
      <c r="AR20" s="606">
        <v>1</v>
      </c>
      <c r="AS20" s="603">
        <f t="shared" si="3"/>
        <v>1451.52</v>
      </c>
      <c r="AT20" s="604">
        <v>1280</v>
      </c>
      <c r="AU20" s="602">
        <v>0.5</v>
      </c>
      <c r="AV20" s="603">
        <f t="shared" si="4"/>
        <v>684.28800000000001</v>
      </c>
      <c r="AW20" s="604"/>
      <c r="AX20" s="602"/>
      <c r="AY20" s="603">
        <f t="shared" si="31"/>
        <v>0</v>
      </c>
      <c r="AZ20" s="604"/>
      <c r="BA20" s="602"/>
      <c r="BB20" s="603">
        <f t="shared" si="32"/>
        <v>0</v>
      </c>
      <c r="BC20" s="604"/>
      <c r="BD20" s="602"/>
      <c r="BE20" s="603">
        <f t="shared" si="33"/>
        <v>0</v>
      </c>
      <c r="BF20" s="604"/>
      <c r="BG20" s="602"/>
      <c r="BH20" s="603">
        <f t="shared" si="34"/>
        <v>0</v>
      </c>
      <c r="BI20" s="604"/>
      <c r="BJ20" s="602"/>
      <c r="BK20" s="603">
        <f t="shared" si="63"/>
        <v>0</v>
      </c>
      <c r="BL20" s="605"/>
      <c r="BM20" s="602"/>
      <c r="BN20" s="603">
        <f t="shared" si="64"/>
        <v>0</v>
      </c>
      <c r="BO20" s="605"/>
      <c r="BP20" s="602"/>
      <c r="BQ20" s="603">
        <f t="shared" si="65"/>
        <v>0</v>
      </c>
      <c r="BR20" s="604"/>
      <c r="BS20" s="602"/>
      <c r="BT20" s="603">
        <f t="shared" si="66"/>
        <v>0</v>
      </c>
      <c r="BU20" s="604"/>
      <c r="BV20" s="602"/>
      <c r="BW20" s="603">
        <f t="shared" si="7"/>
        <v>0</v>
      </c>
      <c r="BX20" s="604"/>
      <c r="BY20" s="602"/>
      <c r="BZ20" s="603">
        <f t="shared" si="8"/>
        <v>0</v>
      </c>
      <c r="CA20" s="605"/>
      <c r="CB20" s="606"/>
      <c r="CC20" s="603">
        <f t="shared" si="9"/>
        <v>0</v>
      </c>
      <c r="CD20" s="604"/>
      <c r="CE20" s="602"/>
      <c r="CF20" s="603">
        <f t="shared" si="10"/>
        <v>0</v>
      </c>
      <c r="CG20" s="605"/>
      <c r="CH20" s="602"/>
      <c r="CI20" s="603">
        <f t="shared" si="11"/>
        <v>0</v>
      </c>
      <c r="CJ20" s="605"/>
      <c r="CK20" s="602"/>
      <c r="CL20" s="603">
        <f t="shared" si="12"/>
        <v>0</v>
      </c>
      <c r="CM20" s="605"/>
      <c r="CN20" s="602"/>
      <c r="CO20" s="603">
        <f t="shared" si="13"/>
        <v>0</v>
      </c>
      <c r="CP20" s="605"/>
      <c r="CQ20" s="602"/>
      <c r="CR20" s="603">
        <f t="shared" si="14"/>
        <v>0</v>
      </c>
      <c r="CS20" s="605"/>
      <c r="CT20" s="602"/>
      <c r="CU20" s="603">
        <f t="shared" si="15"/>
        <v>0</v>
      </c>
      <c r="CV20" s="604"/>
      <c r="CW20" s="602"/>
      <c r="CX20" s="603">
        <f t="shared" si="16"/>
        <v>0</v>
      </c>
      <c r="CY20" s="605"/>
      <c r="CZ20" s="602"/>
      <c r="DA20" s="603">
        <f t="shared" si="17"/>
        <v>0</v>
      </c>
      <c r="DB20" s="605"/>
      <c r="DC20" s="602"/>
      <c r="DD20" s="603">
        <f t="shared" si="18"/>
        <v>0</v>
      </c>
      <c r="DE20" s="604"/>
      <c r="DF20" s="602"/>
      <c r="DG20" s="603">
        <f t="shared" si="37"/>
        <v>0</v>
      </c>
      <c r="DH20" s="605"/>
      <c r="DI20" s="602"/>
      <c r="DJ20" s="603">
        <f t="shared" si="38"/>
        <v>0</v>
      </c>
      <c r="DK20" s="605"/>
      <c r="DL20" s="602"/>
      <c r="DM20" s="603">
        <f t="shared" si="39"/>
        <v>0</v>
      </c>
      <c r="DN20" s="605"/>
      <c r="DO20" s="602"/>
      <c r="DP20" s="603">
        <f t="shared" si="40"/>
        <v>0</v>
      </c>
      <c r="DQ20" s="605"/>
      <c r="DR20" s="602"/>
      <c r="DS20" s="603">
        <f t="shared" si="41"/>
        <v>0</v>
      </c>
      <c r="DT20" s="605"/>
      <c r="DU20" s="602"/>
      <c r="DV20" s="603">
        <f t="shared" si="42"/>
        <v>0</v>
      </c>
      <c r="DW20" s="605"/>
      <c r="DX20" s="602"/>
      <c r="DY20" s="603">
        <f t="shared" si="43"/>
        <v>0</v>
      </c>
      <c r="DZ20" s="605"/>
      <c r="EA20" s="602"/>
      <c r="EB20" s="603">
        <f t="shared" si="44"/>
        <v>0</v>
      </c>
      <c r="EC20" s="605"/>
      <c r="ED20" s="602"/>
      <c r="EE20" s="603">
        <f t="shared" si="45"/>
        <v>0</v>
      </c>
      <c r="EF20" s="605"/>
      <c r="EG20" s="606"/>
      <c r="EH20" s="603">
        <f t="shared" si="46"/>
        <v>0</v>
      </c>
      <c r="EI20" s="605"/>
      <c r="EJ20" s="606"/>
      <c r="EK20" s="603">
        <f t="shared" si="47"/>
        <v>0</v>
      </c>
      <c r="EL20" s="605"/>
      <c r="EM20" s="606"/>
      <c r="EN20" s="603">
        <f t="shared" si="48"/>
        <v>0</v>
      </c>
      <c r="EO20" s="605"/>
      <c r="EP20" s="606"/>
      <c r="EQ20" s="603">
        <f t="shared" si="49"/>
        <v>0</v>
      </c>
      <c r="ER20" s="605"/>
      <c r="ES20" s="606"/>
      <c r="ET20" s="603">
        <f t="shared" si="52"/>
        <v>0</v>
      </c>
      <c r="EU20" s="605"/>
      <c r="EV20" s="606"/>
      <c r="EW20" s="603">
        <f t="shared" si="53"/>
        <v>0</v>
      </c>
      <c r="EX20" s="605"/>
      <c r="EY20" s="602"/>
      <c r="EZ20" s="603">
        <f t="shared" si="19"/>
        <v>0</v>
      </c>
      <c r="FA20" s="605"/>
      <c r="FB20" s="602"/>
      <c r="FC20" s="603">
        <f t="shared" si="20"/>
        <v>0</v>
      </c>
      <c r="FD20" s="605"/>
      <c r="FE20" s="606"/>
      <c r="FF20" s="603">
        <f t="shared" si="21"/>
        <v>0</v>
      </c>
      <c r="FG20" s="605"/>
      <c r="FH20" s="602"/>
      <c r="FI20" s="603">
        <f t="shared" si="50"/>
        <v>0</v>
      </c>
      <c r="FJ20" s="605"/>
      <c r="FK20" s="602"/>
      <c r="FL20" s="603">
        <f t="shared" si="22"/>
        <v>0</v>
      </c>
      <c r="FM20" s="605"/>
      <c r="FN20" s="606"/>
      <c r="FO20" s="603">
        <f t="shared" si="23"/>
        <v>0</v>
      </c>
      <c r="FP20" s="605"/>
      <c r="FQ20" s="606"/>
      <c r="FR20" s="603">
        <f t="shared" si="24"/>
        <v>0</v>
      </c>
      <c r="FS20" s="605"/>
      <c r="FT20" s="606"/>
      <c r="FU20" s="603">
        <f t="shared" si="51"/>
        <v>0</v>
      </c>
      <c r="FV20" s="605"/>
      <c r="FW20" s="606"/>
      <c r="FX20" s="603">
        <f t="shared" si="25"/>
        <v>0</v>
      </c>
      <c r="FY20" s="605"/>
      <c r="FZ20" s="606"/>
      <c r="GA20" s="603">
        <f t="shared" si="26"/>
        <v>0</v>
      </c>
      <c r="GB20" s="605"/>
      <c r="GC20" s="602"/>
      <c r="GD20" s="603">
        <f t="shared" si="27"/>
        <v>0</v>
      </c>
      <c r="GE20" s="605"/>
      <c r="GF20" s="602"/>
      <c r="GG20" s="603">
        <f t="shared" si="70"/>
        <v>0</v>
      </c>
      <c r="GH20" s="605"/>
      <c r="GI20" s="602"/>
      <c r="GJ20" s="603">
        <f t="shared" si="28"/>
        <v>0</v>
      </c>
      <c r="GK20" s="605"/>
      <c r="GL20" s="607">
        <f t="shared" si="29"/>
        <v>6.5</v>
      </c>
      <c r="GM20" s="608">
        <f>GL20+'33J'!BK20+'M80(20250122封存)'!CX20+MPS!AY20+TMT!CX20</f>
        <v>12.25</v>
      </c>
      <c r="GN20" s="609"/>
    </row>
    <row r="21" spans="1:197" s="611" customFormat="1" ht="14.25" customHeight="1">
      <c r="A21" s="601">
        <v>16</v>
      </c>
      <c r="B21" s="602">
        <v>0</v>
      </c>
      <c r="C21" s="603">
        <f t="shared" si="30"/>
        <v>0</v>
      </c>
      <c r="D21" s="612"/>
      <c r="E21" s="602"/>
      <c r="F21" s="603">
        <f t="shared" si="54"/>
        <v>0</v>
      </c>
      <c r="G21" s="612"/>
      <c r="H21" s="602">
        <v>0</v>
      </c>
      <c r="I21" s="603">
        <f t="shared" si="71"/>
        <v>0</v>
      </c>
      <c r="J21" s="612"/>
      <c r="K21" s="602">
        <v>1</v>
      </c>
      <c r="L21" s="603">
        <f t="shared" si="56"/>
        <v>1472.2560000000001</v>
      </c>
      <c r="M21" s="612">
        <v>6750</v>
      </c>
      <c r="N21" s="606">
        <v>1</v>
      </c>
      <c r="O21" s="603">
        <f t="shared" si="57"/>
        <v>1244.1600000000001</v>
      </c>
      <c r="P21" s="612">
        <v>312</v>
      </c>
      <c r="Q21" s="602"/>
      <c r="R21" s="603">
        <f t="shared" si="67"/>
        <v>0</v>
      </c>
      <c r="S21" s="612"/>
      <c r="T21" s="602">
        <v>0</v>
      </c>
      <c r="U21" s="603">
        <f t="shared" si="68"/>
        <v>0</v>
      </c>
      <c r="V21" s="612"/>
      <c r="W21" s="602"/>
      <c r="X21" s="603">
        <f t="shared" si="60"/>
        <v>0</v>
      </c>
      <c r="Y21" s="612"/>
      <c r="Z21" s="606">
        <v>1</v>
      </c>
      <c r="AA21" s="603">
        <f t="shared" si="61"/>
        <v>2661.12</v>
      </c>
      <c r="AB21" s="612"/>
      <c r="AC21" s="602">
        <v>0</v>
      </c>
      <c r="AD21" s="603">
        <f t="shared" si="0"/>
        <v>0</v>
      </c>
      <c r="AE21" s="604"/>
      <c r="AF21" s="606">
        <v>0</v>
      </c>
      <c r="AG21" s="603">
        <f t="shared" si="1"/>
        <v>0</v>
      </c>
      <c r="AH21" s="612"/>
      <c r="AI21" s="602">
        <v>0</v>
      </c>
      <c r="AJ21" s="603">
        <f t="shared" si="62"/>
        <v>0</v>
      </c>
      <c r="AK21" s="612"/>
      <c r="AL21" s="602">
        <v>0.5</v>
      </c>
      <c r="AM21" s="603">
        <f t="shared" si="69"/>
        <v>756.86400000000003</v>
      </c>
      <c r="AN21" s="604"/>
      <c r="AO21" s="602">
        <v>1</v>
      </c>
      <c r="AP21" s="603">
        <f t="shared" si="2"/>
        <v>1668.5568000000001</v>
      </c>
      <c r="AQ21" s="604">
        <v>750</v>
      </c>
      <c r="AR21" s="606">
        <v>1</v>
      </c>
      <c r="AS21" s="603">
        <f t="shared" si="3"/>
        <v>1451.52</v>
      </c>
      <c r="AT21" s="612">
        <v>1600</v>
      </c>
      <c r="AU21" s="606">
        <v>0.5</v>
      </c>
      <c r="AV21" s="603">
        <f t="shared" si="4"/>
        <v>684.28800000000001</v>
      </c>
      <c r="AW21" s="612">
        <v>750</v>
      </c>
      <c r="AX21" s="602"/>
      <c r="AY21" s="603">
        <f t="shared" si="31"/>
        <v>0</v>
      </c>
      <c r="AZ21" s="604"/>
      <c r="BA21" s="602"/>
      <c r="BB21" s="603">
        <f t="shared" si="32"/>
        <v>0</v>
      </c>
      <c r="BC21" s="604"/>
      <c r="BD21" s="602"/>
      <c r="BE21" s="603">
        <f t="shared" si="33"/>
        <v>0</v>
      </c>
      <c r="BF21" s="604"/>
      <c r="BG21" s="602"/>
      <c r="BH21" s="603">
        <f t="shared" si="34"/>
        <v>0</v>
      </c>
      <c r="BI21" s="604"/>
      <c r="BJ21" s="602"/>
      <c r="BK21" s="603">
        <f t="shared" si="63"/>
        <v>0</v>
      </c>
      <c r="BL21" s="605"/>
      <c r="BM21" s="602"/>
      <c r="BN21" s="603">
        <f t="shared" si="64"/>
        <v>0</v>
      </c>
      <c r="BO21" s="605"/>
      <c r="BP21" s="602"/>
      <c r="BQ21" s="603">
        <f t="shared" si="65"/>
        <v>0</v>
      </c>
      <c r="BR21" s="604"/>
      <c r="BS21" s="602"/>
      <c r="BT21" s="603">
        <f t="shared" si="66"/>
        <v>0</v>
      </c>
      <c r="BU21" s="604"/>
      <c r="BV21" s="602"/>
      <c r="BW21" s="603">
        <f t="shared" si="7"/>
        <v>0</v>
      </c>
      <c r="BX21" s="604"/>
      <c r="BY21" s="602"/>
      <c r="BZ21" s="603">
        <f t="shared" si="8"/>
        <v>0</v>
      </c>
      <c r="CA21" s="605"/>
      <c r="CB21" s="602"/>
      <c r="CC21" s="603">
        <f t="shared" si="9"/>
        <v>0</v>
      </c>
      <c r="CD21" s="604"/>
      <c r="CE21" s="602"/>
      <c r="CF21" s="603">
        <f t="shared" si="10"/>
        <v>0</v>
      </c>
      <c r="CG21" s="605"/>
      <c r="CH21" s="602"/>
      <c r="CI21" s="603">
        <f t="shared" si="11"/>
        <v>0</v>
      </c>
      <c r="CJ21" s="605"/>
      <c r="CK21" s="602"/>
      <c r="CL21" s="603">
        <f t="shared" si="12"/>
        <v>0</v>
      </c>
      <c r="CM21" s="605"/>
      <c r="CN21" s="602"/>
      <c r="CO21" s="603">
        <f t="shared" si="13"/>
        <v>0</v>
      </c>
      <c r="CP21" s="605"/>
      <c r="CQ21" s="602"/>
      <c r="CR21" s="603">
        <f t="shared" si="14"/>
        <v>0</v>
      </c>
      <c r="CS21" s="605"/>
      <c r="CT21" s="602"/>
      <c r="CU21" s="603">
        <f t="shared" si="15"/>
        <v>0</v>
      </c>
      <c r="CV21" s="604"/>
      <c r="CW21" s="602"/>
      <c r="CX21" s="603">
        <f t="shared" si="16"/>
        <v>0</v>
      </c>
      <c r="CY21" s="605"/>
      <c r="CZ21" s="602"/>
      <c r="DA21" s="603">
        <f t="shared" si="17"/>
        <v>0</v>
      </c>
      <c r="DB21" s="605"/>
      <c r="DC21" s="602"/>
      <c r="DD21" s="603">
        <f t="shared" si="18"/>
        <v>0</v>
      </c>
      <c r="DE21" s="604"/>
      <c r="DF21" s="602"/>
      <c r="DG21" s="603">
        <f t="shared" si="37"/>
        <v>0</v>
      </c>
      <c r="DH21" s="605"/>
      <c r="DI21" s="602"/>
      <c r="DJ21" s="603">
        <f t="shared" si="38"/>
        <v>0</v>
      </c>
      <c r="DK21" s="605"/>
      <c r="DL21" s="602"/>
      <c r="DM21" s="603">
        <f t="shared" si="39"/>
        <v>0</v>
      </c>
      <c r="DN21" s="605"/>
      <c r="DO21" s="602"/>
      <c r="DP21" s="603">
        <f t="shared" si="40"/>
        <v>0</v>
      </c>
      <c r="DQ21" s="605"/>
      <c r="DR21" s="602"/>
      <c r="DS21" s="603">
        <f t="shared" si="41"/>
        <v>0</v>
      </c>
      <c r="DT21" s="605"/>
      <c r="DU21" s="602"/>
      <c r="DV21" s="603">
        <f t="shared" si="42"/>
        <v>0</v>
      </c>
      <c r="DW21" s="605"/>
      <c r="DX21" s="602"/>
      <c r="DY21" s="603">
        <f t="shared" si="43"/>
        <v>0</v>
      </c>
      <c r="DZ21" s="605"/>
      <c r="EA21" s="602"/>
      <c r="EB21" s="603">
        <f t="shared" si="44"/>
        <v>0</v>
      </c>
      <c r="EC21" s="605"/>
      <c r="ED21" s="602"/>
      <c r="EE21" s="603">
        <f t="shared" si="45"/>
        <v>0</v>
      </c>
      <c r="EF21" s="605"/>
      <c r="EG21" s="606"/>
      <c r="EH21" s="603">
        <f t="shared" si="46"/>
        <v>0</v>
      </c>
      <c r="EI21" s="605"/>
      <c r="EJ21" s="606"/>
      <c r="EK21" s="603">
        <f t="shared" si="47"/>
        <v>0</v>
      </c>
      <c r="EL21" s="605"/>
      <c r="EM21" s="606"/>
      <c r="EN21" s="603">
        <f t="shared" si="48"/>
        <v>0</v>
      </c>
      <c r="EO21" s="605"/>
      <c r="EP21" s="606"/>
      <c r="EQ21" s="603">
        <f t="shared" si="49"/>
        <v>0</v>
      </c>
      <c r="ER21" s="605"/>
      <c r="ES21" s="606"/>
      <c r="ET21" s="603">
        <f t="shared" si="52"/>
        <v>0</v>
      </c>
      <c r="EU21" s="605"/>
      <c r="EV21" s="606"/>
      <c r="EW21" s="603">
        <f t="shared" si="53"/>
        <v>0</v>
      </c>
      <c r="EX21" s="605"/>
      <c r="EY21" s="602"/>
      <c r="EZ21" s="603">
        <f t="shared" si="19"/>
        <v>0</v>
      </c>
      <c r="FA21" s="605"/>
      <c r="FB21" s="602"/>
      <c r="FC21" s="603">
        <f t="shared" si="20"/>
        <v>0</v>
      </c>
      <c r="FD21" s="605"/>
      <c r="FE21" s="606"/>
      <c r="FF21" s="603">
        <f t="shared" si="21"/>
        <v>0</v>
      </c>
      <c r="FG21" s="605"/>
      <c r="FH21" s="602"/>
      <c r="FI21" s="603">
        <f t="shared" si="50"/>
        <v>0</v>
      </c>
      <c r="FJ21" s="605"/>
      <c r="FK21" s="602"/>
      <c r="FL21" s="603">
        <f t="shared" si="22"/>
        <v>0</v>
      </c>
      <c r="FM21" s="605"/>
      <c r="FN21" s="602"/>
      <c r="FO21" s="603">
        <f t="shared" si="23"/>
        <v>0</v>
      </c>
      <c r="FP21" s="605"/>
      <c r="FQ21" s="606"/>
      <c r="FR21" s="603">
        <f t="shared" si="24"/>
        <v>0</v>
      </c>
      <c r="FS21" s="605"/>
      <c r="FT21" s="606"/>
      <c r="FU21" s="603">
        <f t="shared" si="51"/>
        <v>0</v>
      </c>
      <c r="FV21" s="605"/>
      <c r="FW21" s="606"/>
      <c r="FX21" s="603">
        <f t="shared" si="25"/>
        <v>0</v>
      </c>
      <c r="FY21" s="605"/>
      <c r="FZ21" s="606"/>
      <c r="GA21" s="603">
        <f t="shared" si="26"/>
        <v>0</v>
      </c>
      <c r="GB21" s="605"/>
      <c r="GC21" s="602"/>
      <c r="GD21" s="603">
        <f t="shared" si="27"/>
        <v>0</v>
      </c>
      <c r="GE21" s="605"/>
      <c r="GF21" s="602"/>
      <c r="GG21" s="603">
        <f t="shared" si="70"/>
        <v>0</v>
      </c>
      <c r="GH21" s="605"/>
      <c r="GI21" s="602"/>
      <c r="GJ21" s="603">
        <f t="shared" si="28"/>
        <v>0</v>
      </c>
      <c r="GK21" s="605"/>
      <c r="GL21" s="607">
        <f t="shared" si="29"/>
        <v>6</v>
      </c>
      <c r="GM21" s="608">
        <f>GL21+'33J'!BK21+'M80(20250122封存)'!CX21+MPS!AY21+TMT!CX21</f>
        <v>11.75</v>
      </c>
      <c r="GN21" s="609"/>
    </row>
    <row r="22" spans="1:197" s="611" customFormat="1" ht="14.25" customHeight="1">
      <c r="A22" s="601">
        <v>17</v>
      </c>
      <c r="B22" s="602">
        <v>0</v>
      </c>
      <c r="C22" s="603">
        <f t="shared" si="30"/>
        <v>0</v>
      </c>
      <c r="D22" s="612"/>
      <c r="E22" s="602"/>
      <c r="F22" s="603">
        <f t="shared" si="54"/>
        <v>0</v>
      </c>
      <c r="G22" s="612"/>
      <c r="H22" s="602">
        <v>0</v>
      </c>
      <c r="I22" s="603">
        <f t="shared" si="71"/>
        <v>0</v>
      </c>
      <c r="J22" s="612"/>
      <c r="K22" s="602">
        <v>1</v>
      </c>
      <c r="L22" s="603">
        <f t="shared" si="56"/>
        <v>1472.2560000000001</v>
      </c>
      <c r="M22" s="612">
        <v>16290</v>
      </c>
      <c r="N22" s="602">
        <v>1</v>
      </c>
      <c r="O22" s="603">
        <f t="shared" si="57"/>
        <v>1244.1600000000001</v>
      </c>
      <c r="P22" s="612">
        <v>1872</v>
      </c>
      <c r="Q22" s="602"/>
      <c r="R22" s="603">
        <f t="shared" si="67"/>
        <v>0</v>
      </c>
      <c r="S22" s="612"/>
      <c r="T22" s="602">
        <v>0</v>
      </c>
      <c r="U22" s="603">
        <f t="shared" si="68"/>
        <v>0</v>
      </c>
      <c r="V22" s="612"/>
      <c r="W22" s="602"/>
      <c r="X22" s="603">
        <f t="shared" si="60"/>
        <v>0</v>
      </c>
      <c r="Y22" s="612"/>
      <c r="Z22" s="602">
        <v>1</v>
      </c>
      <c r="AA22" s="603">
        <f t="shared" si="61"/>
        <v>2661.12</v>
      </c>
      <c r="AB22" s="612">
        <v>1881</v>
      </c>
      <c r="AC22" s="602">
        <v>0</v>
      </c>
      <c r="AD22" s="603">
        <f t="shared" si="0"/>
        <v>0</v>
      </c>
      <c r="AE22" s="604"/>
      <c r="AF22" s="602">
        <v>1</v>
      </c>
      <c r="AG22" s="603">
        <f t="shared" si="1"/>
        <v>3122.4960000000001</v>
      </c>
      <c r="AH22" s="612">
        <v>1050</v>
      </c>
      <c r="AI22" s="602">
        <v>0</v>
      </c>
      <c r="AJ22" s="603">
        <f t="shared" si="62"/>
        <v>0</v>
      </c>
      <c r="AK22" s="612"/>
      <c r="AL22" s="602">
        <v>0.5</v>
      </c>
      <c r="AM22" s="603">
        <f t="shared" si="69"/>
        <v>756.86400000000003</v>
      </c>
      <c r="AN22" s="604">
        <v>1080</v>
      </c>
      <c r="AO22" s="602">
        <v>1</v>
      </c>
      <c r="AP22" s="603">
        <f t="shared" si="2"/>
        <v>1668.5568000000001</v>
      </c>
      <c r="AQ22" s="604">
        <v>600</v>
      </c>
      <c r="AR22" s="602">
        <v>1</v>
      </c>
      <c r="AS22" s="603">
        <f t="shared" si="3"/>
        <v>1451.52</v>
      </c>
      <c r="AT22" s="612">
        <v>1012</v>
      </c>
      <c r="AU22" s="602">
        <v>0.5</v>
      </c>
      <c r="AV22" s="603">
        <f t="shared" si="4"/>
        <v>684.28800000000001</v>
      </c>
      <c r="AW22" s="612"/>
      <c r="AX22" s="602"/>
      <c r="AY22" s="603">
        <f t="shared" si="31"/>
        <v>0</v>
      </c>
      <c r="AZ22" s="604"/>
      <c r="BA22" s="602"/>
      <c r="BB22" s="603">
        <f t="shared" si="32"/>
        <v>0</v>
      </c>
      <c r="BC22" s="604"/>
      <c r="BD22" s="602"/>
      <c r="BE22" s="603">
        <f t="shared" si="33"/>
        <v>0</v>
      </c>
      <c r="BF22" s="604"/>
      <c r="BG22" s="602"/>
      <c r="BH22" s="603">
        <f t="shared" si="34"/>
        <v>0</v>
      </c>
      <c r="BI22" s="604"/>
      <c r="BJ22" s="602"/>
      <c r="BK22" s="603">
        <f t="shared" si="63"/>
        <v>0</v>
      </c>
      <c r="BL22" s="605"/>
      <c r="BM22" s="602"/>
      <c r="BN22" s="603">
        <f t="shared" si="64"/>
        <v>0</v>
      </c>
      <c r="BO22" s="605"/>
      <c r="BP22" s="602"/>
      <c r="BQ22" s="603">
        <f t="shared" si="65"/>
        <v>0</v>
      </c>
      <c r="BR22" s="604"/>
      <c r="BS22" s="602"/>
      <c r="BT22" s="603">
        <f t="shared" si="66"/>
        <v>0</v>
      </c>
      <c r="BU22" s="604"/>
      <c r="BV22" s="602"/>
      <c r="BW22" s="603">
        <f t="shared" si="7"/>
        <v>0</v>
      </c>
      <c r="BX22" s="604"/>
      <c r="BY22" s="602"/>
      <c r="BZ22" s="603">
        <f t="shared" si="8"/>
        <v>0</v>
      </c>
      <c r="CA22" s="605"/>
      <c r="CB22" s="602"/>
      <c r="CC22" s="603">
        <f t="shared" si="9"/>
        <v>0</v>
      </c>
      <c r="CD22" s="604"/>
      <c r="CE22" s="602"/>
      <c r="CF22" s="603">
        <f t="shared" si="10"/>
        <v>0</v>
      </c>
      <c r="CG22" s="605"/>
      <c r="CH22" s="602"/>
      <c r="CI22" s="603">
        <f t="shared" si="11"/>
        <v>0</v>
      </c>
      <c r="CJ22" s="605"/>
      <c r="CK22" s="602"/>
      <c r="CL22" s="603">
        <f t="shared" si="12"/>
        <v>0</v>
      </c>
      <c r="CM22" s="605"/>
      <c r="CN22" s="602"/>
      <c r="CO22" s="603">
        <f t="shared" si="13"/>
        <v>0</v>
      </c>
      <c r="CP22" s="605"/>
      <c r="CQ22" s="602"/>
      <c r="CR22" s="603">
        <f t="shared" si="14"/>
        <v>0</v>
      </c>
      <c r="CS22" s="605"/>
      <c r="CT22" s="602"/>
      <c r="CU22" s="603">
        <f t="shared" si="15"/>
        <v>0</v>
      </c>
      <c r="CV22" s="604"/>
      <c r="CW22" s="602"/>
      <c r="CX22" s="603">
        <f t="shared" si="16"/>
        <v>0</v>
      </c>
      <c r="CY22" s="605"/>
      <c r="CZ22" s="602"/>
      <c r="DA22" s="603">
        <f t="shared" si="17"/>
        <v>0</v>
      </c>
      <c r="DB22" s="605"/>
      <c r="DC22" s="602"/>
      <c r="DD22" s="603">
        <f t="shared" si="18"/>
        <v>0</v>
      </c>
      <c r="DE22" s="604"/>
      <c r="DF22" s="602"/>
      <c r="DG22" s="603">
        <f t="shared" si="37"/>
        <v>0</v>
      </c>
      <c r="DH22" s="605"/>
      <c r="DI22" s="602"/>
      <c r="DJ22" s="603">
        <f t="shared" si="38"/>
        <v>0</v>
      </c>
      <c r="DK22" s="605"/>
      <c r="DL22" s="602"/>
      <c r="DM22" s="603">
        <f t="shared" si="39"/>
        <v>0</v>
      </c>
      <c r="DN22" s="605"/>
      <c r="DO22" s="602"/>
      <c r="DP22" s="603">
        <f t="shared" si="40"/>
        <v>0</v>
      </c>
      <c r="DQ22" s="605"/>
      <c r="DR22" s="602"/>
      <c r="DS22" s="603">
        <f t="shared" si="41"/>
        <v>0</v>
      </c>
      <c r="DT22" s="605"/>
      <c r="DU22" s="602"/>
      <c r="DV22" s="603">
        <f t="shared" si="42"/>
        <v>0</v>
      </c>
      <c r="DW22" s="605"/>
      <c r="DX22" s="602"/>
      <c r="DY22" s="603">
        <f t="shared" si="43"/>
        <v>0</v>
      </c>
      <c r="DZ22" s="605"/>
      <c r="EA22" s="602"/>
      <c r="EB22" s="603">
        <f t="shared" si="44"/>
        <v>0</v>
      </c>
      <c r="EC22" s="605"/>
      <c r="ED22" s="602"/>
      <c r="EE22" s="603">
        <f t="shared" si="45"/>
        <v>0</v>
      </c>
      <c r="EF22" s="605"/>
      <c r="EG22" s="606"/>
      <c r="EH22" s="603">
        <f t="shared" si="46"/>
        <v>0</v>
      </c>
      <c r="EI22" s="605"/>
      <c r="EJ22" s="606"/>
      <c r="EK22" s="603">
        <f t="shared" si="47"/>
        <v>0</v>
      </c>
      <c r="EL22" s="605"/>
      <c r="EM22" s="606"/>
      <c r="EN22" s="603">
        <f t="shared" si="48"/>
        <v>0</v>
      </c>
      <c r="EO22" s="605"/>
      <c r="EP22" s="606"/>
      <c r="EQ22" s="603">
        <f t="shared" si="49"/>
        <v>0</v>
      </c>
      <c r="ER22" s="605"/>
      <c r="ES22" s="602"/>
      <c r="ET22" s="603">
        <f t="shared" si="52"/>
        <v>0</v>
      </c>
      <c r="EU22" s="605"/>
      <c r="EV22" s="602"/>
      <c r="EW22" s="603">
        <f t="shared" si="53"/>
        <v>0</v>
      </c>
      <c r="EX22" s="605"/>
      <c r="EY22" s="602"/>
      <c r="EZ22" s="603">
        <f t="shared" si="19"/>
        <v>0</v>
      </c>
      <c r="FA22" s="605"/>
      <c r="FB22" s="602"/>
      <c r="FC22" s="603">
        <f t="shared" si="20"/>
        <v>0</v>
      </c>
      <c r="FD22" s="605"/>
      <c r="FE22" s="602"/>
      <c r="FF22" s="603">
        <f t="shared" si="21"/>
        <v>0</v>
      </c>
      <c r="FG22" s="605"/>
      <c r="FH22" s="602"/>
      <c r="FI22" s="603">
        <f t="shared" si="50"/>
        <v>0</v>
      </c>
      <c r="FJ22" s="605"/>
      <c r="FK22" s="602"/>
      <c r="FL22" s="603">
        <f t="shared" si="22"/>
        <v>0</v>
      </c>
      <c r="FM22" s="605"/>
      <c r="FN22" s="602"/>
      <c r="FO22" s="603">
        <f t="shared" si="23"/>
        <v>0</v>
      </c>
      <c r="FP22" s="605"/>
      <c r="FQ22" s="606"/>
      <c r="FR22" s="603">
        <f t="shared" si="24"/>
        <v>0</v>
      </c>
      <c r="FS22" s="605"/>
      <c r="FT22" s="606"/>
      <c r="FU22" s="603">
        <f t="shared" si="51"/>
        <v>0</v>
      </c>
      <c r="FV22" s="605"/>
      <c r="FW22" s="606"/>
      <c r="FX22" s="603">
        <f t="shared" si="25"/>
        <v>0</v>
      </c>
      <c r="FY22" s="605"/>
      <c r="FZ22" s="606"/>
      <c r="GA22" s="603">
        <f t="shared" si="26"/>
        <v>0</v>
      </c>
      <c r="GB22" s="605"/>
      <c r="GC22" s="602"/>
      <c r="GD22" s="603">
        <f t="shared" si="27"/>
        <v>0</v>
      </c>
      <c r="GE22" s="605"/>
      <c r="GF22" s="602"/>
      <c r="GG22" s="603">
        <f t="shared" si="70"/>
        <v>0</v>
      </c>
      <c r="GH22" s="605"/>
      <c r="GI22" s="602"/>
      <c r="GJ22" s="603">
        <f t="shared" si="28"/>
        <v>0</v>
      </c>
      <c r="GK22" s="605"/>
      <c r="GL22" s="607">
        <f t="shared" si="29"/>
        <v>7</v>
      </c>
      <c r="GM22" s="608">
        <f>GL22+'33J'!BK22+'M80(20250122封存)'!CX22+MPS!AY22+TMT!CX22</f>
        <v>12.75</v>
      </c>
      <c r="GN22" s="609"/>
    </row>
    <row r="23" spans="1:197" s="611" customFormat="1" ht="14.25" customHeight="1">
      <c r="A23" s="601">
        <v>18</v>
      </c>
      <c r="B23" s="602">
        <v>0</v>
      </c>
      <c r="C23" s="603">
        <f t="shared" si="30"/>
        <v>0</v>
      </c>
      <c r="D23" s="613"/>
      <c r="E23" s="602"/>
      <c r="F23" s="603">
        <f t="shared" si="54"/>
        <v>0</v>
      </c>
      <c r="G23" s="613"/>
      <c r="H23" s="602">
        <v>0</v>
      </c>
      <c r="I23" s="603">
        <f t="shared" si="71"/>
        <v>0</v>
      </c>
      <c r="J23" s="613"/>
      <c r="K23" s="602">
        <v>1</v>
      </c>
      <c r="L23" s="603">
        <f t="shared" si="56"/>
        <v>1472.2560000000001</v>
      </c>
      <c r="M23" s="613">
        <v>4500</v>
      </c>
      <c r="N23" s="602">
        <v>1</v>
      </c>
      <c r="O23" s="603">
        <f t="shared" si="57"/>
        <v>1244.1600000000001</v>
      </c>
      <c r="P23" s="613">
        <v>647</v>
      </c>
      <c r="Q23" s="602"/>
      <c r="R23" s="603">
        <f t="shared" si="67"/>
        <v>0</v>
      </c>
      <c r="S23" s="613"/>
      <c r="T23" s="602">
        <v>0</v>
      </c>
      <c r="U23" s="603">
        <f t="shared" si="68"/>
        <v>0</v>
      </c>
      <c r="V23" s="613"/>
      <c r="W23" s="602"/>
      <c r="X23" s="603">
        <f t="shared" si="60"/>
        <v>0</v>
      </c>
      <c r="Y23" s="613"/>
      <c r="Z23" s="602">
        <v>1</v>
      </c>
      <c r="AA23" s="603">
        <f t="shared" si="61"/>
        <v>2661.12</v>
      </c>
      <c r="AB23" s="613">
        <v>2152</v>
      </c>
      <c r="AC23" s="602">
        <v>0</v>
      </c>
      <c r="AD23" s="603">
        <f t="shared" si="0"/>
        <v>0</v>
      </c>
      <c r="AE23" s="604"/>
      <c r="AF23" s="602">
        <v>1</v>
      </c>
      <c r="AG23" s="603">
        <f t="shared" si="1"/>
        <v>3122.4960000000001</v>
      </c>
      <c r="AH23" s="613">
        <v>1410</v>
      </c>
      <c r="AI23" s="602">
        <v>0</v>
      </c>
      <c r="AJ23" s="603">
        <f t="shared" si="62"/>
        <v>0</v>
      </c>
      <c r="AK23" s="613"/>
      <c r="AL23" s="602">
        <v>0.5</v>
      </c>
      <c r="AM23" s="603">
        <f t="shared" si="69"/>
        <v>756.86400000000003</v>
      </c>
      <c r="AN23" s="1483">
        <v>1315</v>
      </c>
      <c r="AO23" s="602">
        <v>1</v>
      </c>
      <c r="AP23" s="603">
        <f t="shared" si="2"/>
        <v>1668.5568000000001</v>
      </c>
      <c r="AQ23" s="604"/>
      <c r="AR23" s="602">
        <v>1</v>
      </c>
      <c r="AS23" s="603">
        <f t="shared" si="3"/>
        <v>1451.52</v>
      </c>
      <c r="AT23" s="613">
        <v>1280</v>
      </c>
      <c r="AU23" s="602">
        <v>0.5</v>
      </c>
      <c r="AV23" s="603">
        <f t="shared" si="4"/>
        <v>684.28800000000001</v>
      </c>
      <c r="AW23" s="613">
        <v>750</v>
      </c>
      <c r="AX23" s="606"/>
      <c r="AY23" s="603">
        <f t="shared" si="31"/>
        <v>0</v>
      </c>
      <c r="AZ23" s="604"/>
      <c r="BA23" s="606"/>
      <c r="BB23" s="603">
        <f t="shared" si="32"/>
        <v>0</v>
      </c>
      <c r="BC23" s="604"/>
      <c r="BD23" s="606"/>
      <c r="BE23" s="603">
        <f t="shared" si="33"/>
        <v>0</v>
      </c>
      <c r="BF23" s="604"/>
      <c r="BG23" s="602"/>
      <c r="BH23" s="603">
        <f t="shared" si="34"/>
        <v>0</v>
      </c>
      <c r="BI23" s="1483"/>
      <c r="BJ23" s="602"/>
      <c r="BK23" s="603">
        <f t="shared" si="63"/>
        <v>0</v>
      </c>
      <c r="BL23" s="605"/>
      <c r="BM23" s="602"/>
      <c r="BN23" s="603">
        <f t="shared" si="64"/>
        <v>0</v>
      </c>
      <c r="BO23" s="605"/>
      <c r="BP23" s="602"/>
      <c r="BQ23" s="603">
        <f t="shared" si="65"/>
        <v>0</v>
      </c>
      <c r="BR23" s="604"/>
      <c r="BS23" s="602"/>
      <c r="BT23" s="603">
        <f t="shared" si="66"/>
        <v>0</v>
      </c>
      <c r="BU23" s="604"/>
      <c r="BV23" s="606"/>
      <c r="BW23" s="603">
        <f t="shared" si="7"/>
        <v>0</v>
      </c>
      <c r="BX23" s="604"/>
      <c r="BY23" s="602"/>
      <c r="BZ23" s="603">
        <f t="shared" si="8"/>
        <v>0</v>
      </c>
      <c r="CA23" s="605"/>
      <c r="CB23" s="602"/>
      <c r="CC23" s="603">
        <f t="shared" si="9"/>
        <v>0</v>
      </c>
      <c r="CD23" s="604"/>
      <c r="CE23" s="602"/>
      <c r="CF23" s="603">
        <f t="shared" si="10"/>
        <v>0</v>
      </c>
      <c r="CG23" s="605"/>
      <c r="CH23" s="602"/>
      <c r="CI23" s="603">
        <f t="shared" si="11"/>
        <v>0</v>
      </c>
      <c r="CJ23" s="605"/>
      <c r="CK23" s="602"/>
      <c r="CL23" s="603">
        <f t="shared" si="12"/>
        <v>0</v>
      </c>
      <c r="CM23" s="605"/>
      <c r="CN23" s="602"/>
      <c r="CO23" s="603">
        <f t="shared" si="13"/>
        <v>0</v>
      </c>
      <c r="CP23" s="605"/>
      <c r="CQ23" s="602"/>
      <c r="CR23" s="603">
        <f t="shared" si="14"/>
        <v>0</v>
      </c>
      <c r="CS23" s="605"/>
      <c r="CT23" s="602"/>
      <c r="CU23" s="603">
        <f t="shared" si="15"/>
        <v>0</v>
      </c>
      <c r="CV23" s="604"/>
      <c r="CW23" s="602"/>
      <c r="CX23" s="603">
        <f t="shared" si="16"/>
        <v>0</v>
      </c>
      <c r="CY23" s="605"/>
      <c r="CZ23" s="602"/>
      <c r="DA23" s="603">
        <f t="shared" si="17"/>
        <v>0</v>
      </c>
      <c r="DB23" s="605"/>
      <c r="DC23" s="602"/>
      <c r="DD23" s="603">
        <f t="shared" si="18"/>
        <v>0</v>
      </c>
      <c r="DE23" s="604"/>
      <c r="DF23" s="606"/>
      <c r="DG23" s="603">
        <f t="shared" si="37"/>
        <v>0</v>
      </c>
      <c r="DH23" s="605"/>
      <c r="DI23" s="602"/>
      <c r="DJ23" s="603">
        <f t="shared" si="38"/>
        <v>0</v>
      </c>
      <c r="DK23" s="605"/>
      <c r="DL23" s="602"/>
      <c r="DM23" s="603">
        <f t="shared" si="39"/>
        <v>0</v>
      </c>
      <c r="DN23" s="605"/>
      <c r="DO23" s="602"/>
      <c r="DP23" s="603">
        <f t="shared" si="40"/>
        <v>0</v>
      </c>
      <c r="DQ23" s="605"/>
      <c r="DR23" s="602"/>
      <c r="DS23" s="603">
        <f t="shared" si="41"/>
        <v>0</v>
      </c>
      <c r="DT23" s="605"/>
      <c r="DU23" s="602"/>
      <c r="DV23" s="603">
        <f t="shared" si="42"/>
        <v>0</v>
      </c>
      <c r="DW23" s="605"/>
      <c r="DX23" s="602"/>
      <c r="DY23" s="603">
        <f t="shared" si="43"/>
        <v>0</v>
      </c>
      <c r="DZ23" s="605"/>
      <c r="EA23" s="602"/>
      <c r="EB23" s="603">
        <f t="shared" si="44"/>
        <v>0</v>
      </c>
      <c r="EC23" s="605"/>
      <c r="ED23" s="602"/>
      <c r="EE23" s="603">
        <f t="shared" si="45"/>
        <v>0</v>
      </c>
      <c r="EF23" s="605"/>
      <c r="EG23" s="606"/>
      <c r="EH23" s="603">
        <f t="shared" si="46"/>
        <v>0</v>
      </c>
      <c r="EI23" s="605"/>
      <c r="EJ23" s="606"/>
      <c r="EK23" s="603">
        <f t="shared" si="47"/>
        <v>0</v>
      </c>
      <c r="EL23" s="605"/>
      <c r="EM23" s="606"/>
      <c r="EN23" s="603">
        <f t="shared" si="48"/>
        <v>0</v>
      </c>
      <c r="EO23" s="605"/>
      <c r="EP23" s="606"/>
      <c r="EQ23" s="603">
        <f t="shared" si="49"/>
        <v>0</v>
      </c>
      <c r="ER23" s="605"/>
      <c r="ES23" s="602"/>
      <c r="ET23" s="603">
        <f t="shared" si="52"/>
        <v>0</v>
      </c>
      <c r="EU23" s="605"/>
      <c r="EV23" s="602"/>
      <c r="EW23" s="603">
        <f t="shared" si="53"/>
        <v>0</v>
      </c>
      <c r="EX23" s="605"/>
      <c r="EY23" s="602"/>
      <c r="EZ23" s="603">
        <f t="shared" si="19"/>
        <v>0</v>
      </c>
      <c r="FA23" s="605"/>
      <c r="FB23" s="602"/>
      <c r="FC23" s="603">
        <f t="shared" si="20"/>
        <v>0</v>
      </c>
      <c r="FD23" s="605"/>
      <c r="FE23" s="602"/>
      <c r="FF23" s="603">
        <f t="shared" si="21"/>
        <v>0</v>
      </c>
      <c r="FG23" s="605"/>
      <c r="FH23" s="602"/>
      <c r="FI23" s="603">
        <f t="shared" si="50"/>
        <v>0</v>
      </c>
      <c r="FJ23" s="605"/>
      <c r="FK23" s="602"/>
      <c r="FL23" s="603">
        <f t="shared" si="22"/>
        <v>0</v>
      </c>
      <c r="FM23" s="605"/>
      <c r="FN23" s="602"/>
      <c r="FO23" s="603">
        <f t="shared" si="23"/>
        <v>0</v>
      </c>
      <c r="FP23" s="605"/>
      <c r="FQ23" s="606"/>
      <c r="FR23" s="603">
        <f t="shared" si="24"/>
        <v>0</v>
      </c>
      <c r="FS23" s="605"/>
      <c r="FT23" s="606"/>
      <c r="FU23" s="603">
        <f t="shared" si="51"/>
        <v>0</v>
      </c>
      <c r="FV23" s="605"/>
      <c r="FW23" s="606"/>
      <c r="FX23" s="603">
        <f t="shared" si="25"/>
        <v>0</v>
      </c>
      <c r="FY23" s="605"/>
      <c r="FZ23" s="606"/>
      <c r="GA23" s="603">
        <f t="shared" si="26"/>
        <v>0</v>
      </c>
      <c r="GB23" s="605"/>
      <c r="GC23" s="602"/>
      <c r="GD23" s="603">
        <f t="shared" si="27"/>
        <v>0</v>
      </c>
      <c r="GE23" s="605"/>
      <c r="GF23" s="602"/>
      <c r="GG23" s="603">
        <f t="shared" si="70"/>
        <v>0</v>
      </c>
      <c r="GH23" s="605"/>
      <c r="GI23" s="602"/>
      <c r="GJ23" s="603">
        <f t="shared" si="28"/>
        <v>0</v>
      </c>
      <c r="GK23" s="605"/>
      <c r="GL23" s="607">
        <f t="shared" si="29"/>
        <v>7</v>
      </c>
      <c r="GM23" s="608">
        <f>GL23+'33J'!BK23+'M80(20250122封存)'!CX23+MPS!AY23+TMT!CX23</f>
        <v>13</v>
      </c>
      <c r="GN23" s="609"/>
    </row>
    <row r="24" spans="1:197" s="611" customFormat="1" ht="14.25" customHeight="1">
      <c r="A24" s="601">
        <v>19</v>
      </c>
      <c r="B24" s="602">
        <v>0</v>
      </c>
      <c r="C24" s="603">
        <f t="shared" si="30"/>
        <v>0</v>
      </c>
      <c r="D24" s="612"/>
      <c r="E24" s="602"/>
      <c r="F24" s="603">
        <f t="shared" si="54"/>
        <v>0</v>
      </c>
      <c r="G24" s="612"/>
      <c r="H24" s="602">
        <v>0</v>
      </c>
      <c r="I24" s="603">
        <f t="shared" si="71"/>
        <v>0</v>
      </c>
      <c r="J24" s="612"/>
      <c r="K24" s="602">
        <v>1</v>
      </c>
      <c r="L24" s="603">
        <f t="shared" si="56"/>
        <v>1472.2560000000001</v>
      </c>
      <c r="M24" s="612">
        <v>4560</v>
      </c>
      <c r="N24" s="602">
        <v>0.5</v>
      </c>
      <c r="O24" s="603">
        <f t="shared" si="57"/>
        <v>622.08000000000004</v>
      </c>
      <c r="P24" s="612">
        <v>480</v>
      </c>
      <c r="Q24" s="602"/>
      <c r="R24" s="603">
        <f t="shared" si="67"/>
        <v>0</v>
      </c>
      <c r="S24" s="612"/>
      <c r="T24" s="602">
        <v>0</v>
      </c>
      <c r="U24" s="603">
        <f t="shared" si="68"/>
        <v>0</v>
      </c>
      <c r="V24" s="612"/>
      <c r="W24" s="602"/>
      <c r="X24" s="603">
        <f t="shared" si="60"/>
        <v>0</v>
      </c>
      <c r="Y24" s="612"/>
      <c r="Z24" s="602">
        <v>1</v>
      </c>
      <c r="AA24" s="603">
        <f t="shared" si="61"/>
        <v>2661.12</v>
      </c>
      <c r="AB24" s="612">
        <v>1056</v>
      </c>
      <c r="AC24" s="602">
        <v>0</v>
      </c>
      <c r="AD24" s="603">
        <f t="shared" si="0"/>
        <v>0</v>
      </c>
      <c r="AE24" s="604"/>
      <c r="AF24" s="602">
        <v>1</v>
      </c>
      <c r="AG24" s="603">
        <f t="shared" si="1"/>
        <v>3122.4960000000001</v>
      </c>
      <c r="AH24" s="612">
        <v>3990</v>
      </c>
      <c r="AI24" s="602">
        <v>0</v>
      </c>
      <c r="AJ24" s="603">
        <f t="shared" si="62"/>
        <v>0</v>
      </c>
      <c r="AK24" s="612"/>
      <c r="AL24" s="602">
        <v>0.5</v>
      </c>
      <c r="AM24" s="603">
        <f t="shared" si="69"/>
        <v>756.86400000000003</v>
      </c>
      <c r="AN24" s="604">
        <v>480</v>
      </c>
      <c r="AO24" s="602">
        <v>0</v>
      </c>
      <c r="AP24" s="603">
        <f t="shared" si="2"/>
        <v>0</v>
      </c>
      <c r="AQ24" s="604"/>
      <c r="AR24" s="602">
        <v>1</v>
      </c>
      <c r="AS24" s="603">
        <f t="shared" si="3"/>
        <v>1451.52</v>
      </c>
      <c r="AT24" s="612">
        <v>960</v>
      </c>
      <c r="AU24" s="602">
        <v>0.5</v>
      </c>
      <c r="AV24" s="603">
        <f t="shared" si="4"/>
        <v>684.28800000000001</v>
      </c>
      <c r="AW24" s="612"/>
      <c r="AX24" s="606"/>
      <c r="AY24" s="603">
        <f t="shared" si="31"/>
        <v>0</v>
      </c>
      <c r="AZ24" s="604"/>
      <c r="BA24" s="606"/>
      <c r="BB24" s="603">
        <f t="shared" si="32"/>
        <v>0</v>
      </c>
      <c r="BC24" s="604"/>
      <c r="BD24" s="602"/>
      <c r="BE24" s="603">
        <f t="shared" si="33"/>
        <v>0</v>
      </c>
      <c r="BF24" s="604"/>
      <c r="BG24" s="602"/>
      <c r="BH24" s="603">
        <f t="shared" si="34"/>
        <v>0</v>
      </c>
      <c r="BI24" s="604"/>
      <c r="BJ24" s="602"/>
      <c r="BK24" s="603">
        <f t="shared" si="63"/>
        <v>0</v>
      </c>
      <c r="BL24" s="605"/>
      <c r="BM24" s="602"/>
      <c r="BN24" s="603">
        <f t="shared" si="64"/>
        <v>0</v>
      </c>
      <c r="BO24" s="605"/>
      <c r="BP24" s="602"/>
      <c r="BQ24" s="603">
        <f t="shared" si="65"/>
        <v>0</v>
      </c>
      <c r="BR24" s="604"/>
      <c r="BS24" s="602"/>
      <c r="BT24" s="603">
        <f t="shared" si="66"/>
        <v>0</v>
      </c>
      <c r="BU24" s="604"/>
      <c r="BV24" s="602"/>
      <c r="BW24" s="603">
        <f t="shared" si="7"/>
        <v>0</v>
      </c>
      <c r="BX24" s="604"/>
      <c r="BY24" s="602"/>
      <c r="BZ24" s="603">
        <f t="shared" si="8"/>
        <v>0</v>
      </c>
      <c r="CA24" s="605"/>
      <c r="CB24" s="602"/>
      <c r="CC24" s="603">
        <f t="shared" si="9"/>
        <v>0</v>
      </c>
      <c r="CD24" s="604"/>
      <c r="CE24" s="602"/>
      <c r="CF24" s="603">
        <f t="shared" si="10"/>
        <v>0</v>
      </c>
      <c r="CG24" s="605"/>
      <c r="CH24" s="602"/>
      <c r="CI24" s="603">
        <f t="shared" si="11"/>
        <v>0</v>
      </c>
      <c r="CJ24" s="605"/>
      <c r="CK24" s="602"/>
      <c r="CL24" s="603">
        <f t="shared" si="12"/>
        <v>0</v>
      </c>
      <c r="CM24" s="605"/>
      <c r="CN24" s="602"/>
      <c r="CO24" s="603">
        <f t="shared" si="13"/>
        <v>0</v>
      </c>
      <c r="CP24" s="605"/>
      <c r="CQ24" s="602"/>
      <c r="CR24" s="603">
        <f t="shared" si="14"/>
        <v>0</v>
      </c>
      <c r="CS24" s="605"/>
      <c r="CT24" s="602"/>
      <c r="CU24" s="603">
        <f t="shared" si="15"/>
        <v>0</v>
      </c>
      <c r="CV24" s="604"/>
      <c r="CW24" s="602"/>
      <c r="CX24" s="603">
        <f t="shared" si="16"/>
        <v>0</v>
      </c>
      <c r="CY24" s="605"/>
      <c r="CZ24" s="602"/>
      <c r="DA24" s="603">
        <f t="shared" si="17"/>
        <v>0</v>
      </c>
      <c r="DB24" s="605"/>
      <c r="DC24" s="602"/>
      <c r="DD24" s="603">
        <f t="shared" si="18"/>
        <v>0</v>
      </c>
      <c r="DE24" s="604"/>
      <c r="DF24" s="602"/>
      <c r="DG24" s="603">
        <f t="shared" si="37"/>
        <v>0</v>
      </c>
      <c r="DH24" s="605"/>
      <c r="DI24" s="602"/>
      <c r="DJ24" s="603">
        <f t="shared" si="38"/>
        <v>0</v>
      </c>
      <c r="DK24" s="605"/>
      <c r="DL24" s="602"/>
      <c r="DM24" s="603">
        <f t="shared" si="39"/>
        <v>0</v>
      </c>
      <c r="DN24" s="605"/>
      <c r="DO24" s="602"/>
      <c r="DP24" s="603">
        <f t="shared" si="40"/>
        <v>0</v>
      </c>
      <c r="DQ24" s="605"/>
      <c r="DR24" s="602"/>
      <c r="DS24" s="603">
        <f t="shared" si="41"/>
        <v>0</v>
      </c>
      <c r="DT24" s="605"/>
      <c r="DU24" s="602"/>
      <c r="DV24" s="603">
        <f t="shared" si="42"/>
        <v>0</v>
      </c>
      <c r="DW24" s="605"/>
      <c r="DX24" s="602"/>
      <c r="DY24" s="603">
        <f t="shared" si="43"/>
        <v>0</v>
      </c>
      <c r="DZ24" s="605"/>
      <c r="EA24" s="602"/>
      <c r="EB24" s="603">
        <f t="shared" si="44"/>
        <v>0</v>
      </c>
      <c r="EC24" s="605"/>
      <c r="ED24" s="602"/>
      <c r="EE24" s="603">
        <f t="shared" si="45"/>
        <v>0</v>
      </c>
      <c r="EF24" s="605"/>
      <c r="EG24" s="602"/>
      <c r="EH24" s="603">
        <f t="shared" si="46"/>
        <v>0</v>
      </c>
      <c r="EI24" s="605"/>
      <c r="EJ24" s="606"/>
      <c r="EK24" s="603">
        <f t="shared" si="47"/>
        <v>0</v>
      </c>
      <c r="EL24" s="605"/>
      <c r="EM24" s="606"/>
      <c r="EN24" s="603">
        <f t="shared" si="48"/>
        <v>0</v>
      </c>
      <c r="EO24" s="605"/>
      <c r="EP24" s="606"/>
      <c r="EQ24" s="603">
        <f t="shared" si="49"/>
        <v>0</v>
      </c>
      <c r="ER24" s="605"/>
      <c r="ES24" s="602"/>
      <c r="ET24" s="603">
        <f t="shared" si="52"/>
        <v>0</v>
      </c>
      <c r="EU24" s="605"/>
      <c r="EV24" s="602"/>
      <c r="EW24" s="603">
        <f t="shared" si="53"/>
        <v>0</v>
      </c>
      <c r="EX24" s="605"/>
      <c r="EY24" s="602"/>
      <c r="EZ24" s="603">
        <f t="shared" si="19"/>
        <v>0</v>
      </c>
      <c r="FA24" s="605"/>
      <c r="FB24" s="602"/>
      <c r="FC24" s="603">
        <f t="shared" si="20"/>
        <v>0</v>
      </c>
      <c r="FD24" s="605"/>
      <c r="FE24" s="602"/>
      <c r="FF24" s="603">
        <f t="shared" si="21"/>
        <v>0</v>
      </c>
      <c r="FG24" s="605"/>
      <c r="FH24" s="602"/>
      <c r="FI24" s="603">
        <f t="shared" si="50"/>
        <v>0</v>
      </c>
      <c r="FJ24" s="605"/>
      <c r="FK24" s="602"/>
      <c r="FL24" s="603">
        <f t="shared" si="22"/>
        <v>0</v>
      </c>
      <c r="FM24" s="605"/>
      <c r="FN24" s="602"/>
      <c r="FO24" s="603">
        <f t="shared" si="23"/>
        <v>0</v>
      </c>
      <c r="FP24" s="605"/>
      <c r="FQ24" s="606"/>
      <c r="FR24" s="603">
        <f t="shared" si="24"/>
        <v>0</v>
      </c>
      <c r="FS24" s="605"/>
      <c r="FT24" s="606"/>
      <c r="FU24" s="603">
        <f t="shared" si="51"/>
        <v>0</v>
      </c>
      <c r="FV24" s="605"/>
      <c r="FW24" s="606"/>
      <c r="FX24" s="603">
        <f t="shared" si="25"/>
        <v>0</v>
      </c>
      <c r="FY24" s="605"/>
      <c r="FZ24" s="606"/>
      <c r="GA24" s="603">
        <f t="shared" si="26"/>
        <v>0</v>
      </c>
      <c r="GB24" s="605"/>
      <c r="GC24" s="602"/>
      <c r="GD24" s="603">
        <f t="shared" si="27"/>
        <v>0</v>
      </c>
      <c r="GE24" s="605"/>
      <c r="GF24" s="602"/>
      <c r="GG24" s="603">
        <f t="shared" si="70"/>
        <v>0</v>
      </c>
      <c r="GH24" s="605"/>
      <c r="GI24" s="602"/>
      <c r="GJ24" s="603">
        <f t="shared" si="28"/>
        <v>0</v>
      </c>
      <c r="GK24" s="605"/>
      <c r="GL24" s="607">
        <f t="shared" si="29"/>
        <v>5.5</v>
      </c>
      <c r="GM24" s="608">
        <f>GL24+'33J'!BK24+'M80(20250122封存)'!CX24+MPS!AY24+TMT!CX24</f>
        <v>11.5</v>
      </c>
      <c r="GN24" s="609"/>
    </row>
    <row r="25" spans="1:197" s="611" customFormat="1" ht="14.25" customHeight="1">
      <c r="A25" s="601">
        <v>20</v>
      </c>
      <c r="B25" s="602">
        <v>0</v>
      </c>
      <c r="C25" s="603">
        <f t="shared" si="30"/>
        <v>0</v>
      </c>
      <c r="D25" s="612"/>
      <c r="E25" s="602"/>
      <c r="F25" s="603">
        <f t="shared" si="54"/>
        <v>0</v>
      </c>
      <c r="G25" s="612"/>
      <c r="H25" s="606">
        <v>0</v>
      </c>
      <c r="I25" s="603">
        <f t="shared" si="71"/>
        <v>0</v>
      </c>
      <c r="J25" s="612"/>
      <c r="K25" s="602">
        <v>1</v>
      </c>
      <c r="L25" s="603">
        <f t="shared" si="56"/>
        <v>1472.2560000000001</v>
      </c>
      <c r="M25" s="612">
        <v>5100</v>
      </c>
      <c r="N25" s="606">
        <v>0.5</v>
      </c>
      <c r="O25" s="603">
        <f t="shared" si="57"/>
        <v>622.08000000000004</v>
      </c>
      <c r="P25" s="612"/>
      <c r="Q25" s="606"/>
      <c r="R25" s="603">
        <f t="shared" si="67"/>
        <v>0</v>
      </c>
      <c r="S25" s="612"/>
      <c r="T25" s="602">
        <v>0</v>
      </c>
      <c r="U25" s="603">
        <f t="shared" si="68"/>
        <v>0</v>
      </c>
      <c r="V25" s="612"/>
      <c r="W25" s="602"/>
      <c r="X25" s="603">
        <f t="shared" si="60"/>
        <v>0</v>
      </c>
      <c r="Y25" s="612"/>
      <c r="Z25" s="606">
        <v>1</v>
      </c>
      <c r="AA25" s="603">
        <f t="shared" si="61"/>
        <v>2661.12</v>
      </c>
      <c r="AB25" s="612">
        <v>429</v>
      </c>
      <c r="AC25" s="602">
        <v>0</v>
      </c>
      <c r="AD25" s="603">
        <f t="shared" si="0"/>
        <v>0</v>
      </c>
      <c r="AE25" s="604"/>
      <c r="AF25" s="606">
        <v>1</v>
      </c>
      <c r="AG25" s="603">
        <f t="shared" si="1"/>
        <v>3122.4960000000001</v>
      </c>
      <c r="AH25" s="612">
        <v>1500</v>
      </c>
      <c r="AI25" s="602">
        <v>0</v>
      </c>
      <c r="AJ25" s="603">
        <f t="shared" si="62"/>
        <v>0</v>
      </c>
      <c r="AK25" s="612"/>
      <c r="AL25" s="602">
        <v>0.5</v>
      </c>
      <c r="AM25" s="603">
        <f t="shared" si="69"/>
        <v>756.86400000000003</v>
      </c>
      <c r="AN25" s="604">
        <v>1713</v>
      </c>
      <c r="AO25" s="602">
        <v>0</v>
      </c>
      <c r="AP25" s="603">
        <f t="shared" si="2"/>
        <v>0</v>
      </c>
      <c r="AQ25" s="604"/>
      <c r="AR25" s="606">
        <v>1</v>
      </c>
      <c r="AS25" s="603">
        <f t="shared" si="3"/>
        <v>1451.52</v>
      </c>
      <c r="AT25" s="612">
        <v>1280</v>
      </c>
      <c r="AU25" s="602">
        <v>0.5</v>
      </c>
      <c r="AV25" s="603">
        <f t="shared" si="4"/>
        <v>684.28800000000001</v>
      </c>
      <c r="AW25" s="612">
        <v>750</v>
      </c>
      <c r="AX25" s="606"/>
      <c r="AY25" s="603">
        <f t="shared" si="31"/>
        <v>0</v>
      </c>
      <c r="AZ25" s="604"/>
      <c r="BA25" s="606"/>
      <c r="BB25" s="603">
        <f t="shared" si="32"/>
        <v>0</v>
      </c>
      <c r="BC25" s="604"/>
      <c r="BD25" s="602"/>
      <c r="BE25" s="603">
        <f t="shared" si="33"/>
        <v>0</v>
      </c>
      <c r="BF25" s="604"/>
      <c r="BG25" s="602"/>
      <c r="BH25" s="603">
        <f t="shared" si="34"/>
        <v>0</v>
      </c>
      <c r="BI25" s="604"/>
      <c r="BJ25" s="602"/>
      <c r="BK25" s="603">
        <f t="shared" si="63"/>
        <v>0</v>
      </c>
      <c r="BL25" s="605"/>
      <c r="BM25" s="602"/>
      <c r="BN25" s="603">
        <f t="shared" si="64"/>
        <v>0</v>
      </c>
      <c r="BO25" s="605"/>
      <c r="BP25" s="602"/>
      <c r="BQ25" s="603">
        <f t="shared" si="65"/>
        <v>0</v>
      </c>
      <c r="BR25" s="604"/>
      <c r="BS25" s="602"/>
      <c r="BT25" s="603">
        <f t="shared" si="66"/>
        <v>0</v>
      </c>
      <c r="BU25" s="604"/>
      <c r="BV25" s="602"/>
      <c r="BW25" s="603">
        <f t="shared" si="7"/>
        <v>0</v>
      </c>
      <c r="BX25" s="604"/>
      <c r="BY25" s="602"/>
      <c r="BZ25" s="603">
        <f t="shared" si="8"/>
        <v>0</v>
      </c>
      <c r="CA25" s="605"/>
      <c r="CB25" s="606"/>
      <c r="CC25" s="603">
        <f t="shared" si="9"/>
        <v>0</v>
      </c>
      <c r="CD25" s="604"/>
      <c r="CE25" s="606"/>
      <c r="CF25" s="603">
        <f t="shared" si="10"/>
        <v>0</v>
      </c>
      <c r="CG25" s="605"/>
      <c r="CH25" s="602"/>
      <c r="CI25" s="603">
        <f t="shared" si="11"/>
        <v>0</v>
      </c>
      <c r="CJ25" s="605"/>
      <c r="CK25" s="602"/>
      <c r="CL25" s="603">
        <f t="shared" si="12"/>
        <v>0</v>
      </c>
      <c r="CM25" s="605"/>
      <c r="CN25" s="602"/>
      <c r="CO25" s="603">
        <f t="shared" si="13"/>
        <v>0</v>
      </c>
      <c r="CP25" s="605"/>
      <c r="CQ25" s="602"/>
      <c r="CR25" s="603">
        <f t="shared" si="14"/>
        <v>0</v>
      </c>
      <c r="CS25" s="605"/>
      <c r="CT25" s="602"/>
      <c r="CU25" s="603">
        <f t="shared" si="15"/>
        <v>0</v>
      </c>
      <c r="CV25" s="604"/>
      <c r="CW25" s="602"/>
      <c r="CX25" s="603">
        <f t="shared" si="16"/>
        <v>0</v>
      </c>
      <c r="CY25" s="605"/>
      <c r="CZ25" s="602"/>
      <c r="DA25" s="603">
        <f t="shared" si="17"/>
        <v>0</v>
      </c>
      <c r="DB25" s="605"/>
      <c r="DC25" s="602"/>
      <c r="DD25" s="603">
        <f t="shared" si="18"/>
        <v>0</v>
      </c>
      <c r="DE25" s="604"/>
      <c r="DF25" s="602"/>
      <c r="DG25" s="603">
        <f t="shared" si="37"/>
        <v>0</v>
      </c>
      <c r="DH25" s="605"/>
      <c r="DI25" s="602"/>
      <c r="DJ25" s="603">
        <f t="shared" si="38"/>
        <v>0</v>
      </c>
      <c r="DK25" s="605"/>
      <c r="DL25" s="602"/>
      <c r="DM25" s="603">
        <f t="shared" si="39"/>
        <v>0</v>
      </c>
      <c r="DN25" s="605"/>
      <c r="DO25" s="602"/>
      <c r="DP25" s="603">
        <f t="shared" si="40"/>
        <v>0</v>
      </c>
      <c r="DQ25" s="605"/>
      <c r="DR25" s="602"/>
      <c r="DS25" s="603">
        <f t="shared" si="41"/>
        <v>0</v>
      </c>
      <c r="DT25" s="605"/>
      <c r="DU25" s="602"/>
      <c r="DV25" s="603">
        <f t="shared" si="42"/>
        <v>0</v>
      </c>
      <c r="DW25" s="605"/>
      <c r="DX25" s="602"/>
      <c r="DY25" s="603">
        <f t="shared" si="43"/>
        <v>0</v>
      </c>
      <c r="DZ25" s="605"/>
      <c r="EA25" s="602"/>
      <c r="EB25" s="603">
        <f t="shared" si="44"/>
        <v>0</v>
      </c>
      <c r="EC25" s="605"/>
      <c r="ED25" s="602"/>
      <c r="EE25" s="603">
        <f t="shared" si="45"/>
        <v>0</v>
      </c>
      <c r="EF25" s="605"/>
      <c r="EG25" s="602"/>
      <c r="EH25" s="603">
        <f t="shared" si="46"/>
        <v>0</v>
      </c>
      <c r="EI25" s="605"/>
      <c r="EJ25" s="606"/>
      <c r="EK25" s="603">
        <f t="shared" si="47"/>
        <v>0</v>
      </c>
      <c r="EL25" s="605"/>
      <c r="EM25" s="606"/>
      <c r="EN25" s="603">
        <f t="shared" si="48"/>
        <v>0</v>
      </c>
      <c r="EO25" s="605"/>
      <c r="EP25" s="606"/>
      <c r="EQ25" s="603">
        <f t="shared" si="49"/>
        <v>0</v>
      </c>
      <c r="ER25" s="605"/>
      <c r="ES25" s="602"/>
      <c r="ET25" s="603">
        <f t="shared" si="52"/>
        <v>0</v>
      </c>
      <c r="EU25" s="605"/>
      <c r="EV25" s="602"/>
      <c r="EW25" s="603">
        <f t="shared" si="53"/>
        <v>0</v>
      </c>
      <c r="EX25" s="605"/>
      <c r="EY25" s="602"/>
      <c r="EZ25" s="603">
        <f t="shared" si="19"/>
        <v>0</v>
      </c>
      <c r="FA25" s="605"/>
      <c r="FB25" s="602"/>
      <c r="FC25" s="603">
        <f t="shared" si="20"/>
        <v>0</v>
      </c>
      <c r="FD25" s="605"/>
      <c r="FE25" s="602"/>
      <c r="FF25" s="603">
        <f t="shared" si="21"/>
        <v>0</v>
      </c>
      <c r="FG25" s="605"/>
      <c r="FH25" s="602"/>
      <c r="FI25" s="603">
        <f t="shared" si="50"/>
        <v>0</v>
      </c>
      <c r="FJ25" s="605"/>
      <c r="FK25" s="602"/>
      <c r="FL25" s="603">
        <f t="shared" si="22"/>
        <v>0</v>
      </c>
      <c r="FM25" s="605"/>
      <c r="FN25" s="602"/>
      <c r="FO25" s="603">
        <f t="shared" si="23"/>
        <v>0</v>
      </c>
      <c r="FP25" s="605"/>
      <c r="FQ25" s="602"/>
      <c r="FR25" s="603">
        <f t="shared" si="24"/>
        <v>0</v>
      </c>
      <c r="FS25" s="605"/>
      <c r="FT25" s="602"/>
      <c r="FU25" s="603">
        <f t="shared" si="51"/>
        <v>0</v>
      </c>
      <c r="FV25" s="605"/>
      <c r="FW25" s="606"/>
      <c r="FX25" s="603">
        <f t="shared" si="25"/>
        <v>0</v>
      </c>
      <c r="FY25" s="605"/>
      <c r="FZ25" s="606"/>
      <c r="GA25" s="603">
        <f t="shared" si="26"/>
        <v>0</v>
      </c>
      <c r="GB25" s="605"/>
      <c r="GC25" s="602"/>
      <c r="GD25" s="603">
        <f t="shared" si="27"/>
        <v>0</v>
      </c>
      <c r="GE25" s="605"/>
      <c r="GF25" s="602"/>
      <c r="GG25" s="603">
        <f t="shared" si="70"/>
        <v>0</v>
      </c>
      <c r="GH25" s="605"/>
      <c r="GI25" s="602"/>
      <c r="GJ25" s="603">
        <f t="shared" si="28"/>
        <v>0</v>
      </c>
      <c r="GK25" s="605"/>
      <c r="GL25" s="607">
        <f t="shared" si="29"/>
        <v>5.5</v>
      </c>
      <c r="GM25" s="608">
        <f>GL25+'33J'!BK25+'M80(20250122封存)'!CX25+MPS!AY25+TMT!CX25</f>
        <v>12</v>
      </c>
      <c r="GN25" s="609"/>
    </row>
    <row r="26" spans="1:197" s="611" customFormat="1" ht="14.25" customHeight="1">
      <c r="A26" s="601">
        <v>21</v>
      </c>
      <c r="B26" s="602"/>
      <c r="C26" s="603">
        <f t="shared" si="30"/>
        <v>0</v>
      </c>
      <c r="D26" s="612"/>
      <c r="E26" s="602"/>
      <c r="F26" s="603">
        <f t="shared" si="54"/>
        <v>0</v>
      </c>
      <c r="G26" s="612"/>
      <c r="H26" s="606"/>
      <c r="I26" s="603">
        <f t="shared" si="71"/>
        <v>0</v>
      </c>
      <c r="J26" s="612"/>
      <c r="K26" s="602"/>
      <c r="L26" s="603">
        <f t="shared" si="56"/>
        <v>0</v>
      </c>
      <c r="M26" s="612"/>
      <c r="N26" s="606"/>
      <c r="O26" s="603">
        <f t="shared" si="57"/>
        <v>0</v>
      </c>
      <c r="P26" s="612"/>
      <c r="Q26" s="606"/>
      <c r="R26" s="603">
        <f t="shared" si="67"/>
        <v>0</v>
      </c>
      <c r="S26" s="604"/>
      <c r="T26" s="602"/>
      <c r="U26" s="603">
        <f t="shared" si="68"/>
        <v>0</v>
      </c>
      <c r="V26" s="612"/>
      <c r="W26" s="602"/>
      <c r="X26" s="603">
        <f t="shared" si="60"/>
        <v>0</v>
      </c>
      <c r="Y26" s="604"/>
      <c r="Z26" s="606"/>
      <c r="AA26" s="603">
        <f t="shared" si="61"/>
        <v>0</v>
      </c>
      <c r="AB26" s="604"/>
      <c r="AC26" s="602"/>
      <c r="AD26" s="603">
        <f t="shared" si="0"/>
        <v>0</v>
      </c>
      <c r="AE26" s="604"/>
      <c r="AF26" s="606"/>
      <c r="AG26" s="603">
        <f t="shared" si="1"/>
        <v>0</v>
      </c>
      <c r="AH26" s="604"/>
      <c r="AI26" s="602"/>
      <c r="AJ26" s="603">
        <f t="shared" si="62"/>
        <v>0</v>
      </c>
      <c r="AK26" s="612"/>
      <c r="AL26" s="602"/>
      <c r="AM26" s="603">
        <f t="shared" si="69"/>
        <v>0</v>
      </c>
      <c r="AN26" s="604"/>
      <c r="AO26" s="602"/>
      <c r="AP26" s="603">
        <f t="shared" si="2"/>
        <v>0</v>
      </c>
      <c r="AQ26" s="604"/>
      <c r="AR26" s="606"/>
      <c r="AS26" s="603">
        <f t="shared" si="3"/>
        <v>0</v>
      </c>
      <c r="AT26" s="604"/>
      <c r="AU26" s="602"/>
      <c r="AV26" s="603">
        <f t="shared" si="4"/>
        <v>0</v>
      </c>
      <c r="AW26" s="604"/>
      <c r="AX26" s="602"/>
      <c r="AY26" s="603">
        <f t="shared" si="31"/>
        <v>0</v>
      </c>
      <c r="AZ26" s="604"/>
      <c r="BA26" s="602"/>
      <c r="BB26" s="603">
        <f t="shared" si="32"/>
        <v>0</v>
      </c>
      <c r="BC26" s="604"/>
      <c r="BD26" s="602"/>
      <c r="BE26" s="603">
        <f t="shared" si="33"/>
        <v>0</v>
      </c>
      <c r="BF26" s="604"/>
      <c r="BG26" s="602"/>
      <c r="BH26" s="603">
        <f t="shared" si="34"/>
        <v>0</v>
      </c>
      <c r="BI26" s="604"/>
      <c r="BJ26" s="602"/>
      <c r="BK26" s="603">
        <f t="shared" si="63"/>
        <v>0</v>
      </c>
      <c r="BL26" s="605"/>
      <c r="BM26" s="602"/>
      <c r="BN26" s="603">
        <f t="shared" si="64"/>
        <v>0</v>
      </c>
      <c r="BO26" s="605"/>
      <c r="BP26" s="602"/>
      <c r="BQ26" s="603">
        <f t="shared" si="65"/>
        <v>0</v>
      </c>
      <c r="BR26" s="604"/>
      <c r="BS26" s="602"/>
      <c r="BT26" s="603">
        <f t="shared" si="66"/>
        <v>0</v>
      </c>
      <c r="BU26" s="604"/>
      <c r="BV26" s="602"/>
      <c r="BW26" s="603">
        <f t="shared" si="7"/>
        <v>0</v>
      </c>
      <c r="BX26" s="604"/>
      <c r="BY26" s="602"/>
      <c r="BZ26" s="603">
        <f t="shared" si="8"/>
        <v>0</v>
      </c>
      <c r="CA26" s="605"/>
      <c r="CB26" s="606"/>
      <c r="CC26" s="603">
        <f t="shared" si="9"/>
        <v>0</v>
      </c>
      <c r="CD26" s="604"/>
      <c r="CE26" s="606"/>
      <c r="CF26" s="603">
        <f t="shared" si="10"/>
        <v>0</v>
      </c>
      <c r="CG26" s="605"/>
      <c r="CH26" s="602"/>
      <c r="CI26" s="603">
        <f t="shared" si="11"/>
        <v>0</v>
      </c>
      <c r="CJ26" s="605"/>
      <c r="CK26" s="602"/>
      <c r="CL26" s="603">
        <f t="shared" si="12"/>
        <v>0</v>
      </c>
      <c r="CM26" s="605"/>
      <c r="CN26" s="602"/>
      <c r="CO26" s="603">
        <f t="shared" si="13"/>
        <v>0</v>
      </c>
      <c r="CP26" s="605"/>
      <c r="CQ26" s="602"/>
      <c r="CR26" s="603">
        <f t="shared" si="14"/>
        <v>0</v>
      </c>
      <c r="CS26" s="605"/>
      <c r="CT26" s="602"/>
      <c r="CU26" s="603">
        <f t="shared" si="15"/>
        <v>0</v>
      </c>
      <c r="CV26" s="604"/>
      <c r="CW26" s="602"/>
      <c r="CX26" s="603">
        <f t="shared" si="16"/>
        <v>0</v>
      </c>
      <c r="CY26" s="605"/>
      <c r="CZ26" s="602"/>
      <c r="DA26" s="603">
        <f t="shared" si="17"/>
        <v>0</v>
      </c>
      <c r="DB26" s="605"/>
      <c r="DC26" s="602"/>
      <c r="DD26" s="603">
        <f t="shared" si="18"/>
        <v>0</v>
      </c>
      <c r="DE26" s="604"/>
      <c r="DF26" s="602"/>
      <c r="DG26" s="603">
        <f t="shared" si="37"/>
        <v>0</v>
      </c>
      <c r="DH26" s="605"/>
      <c r="DI26" s="602"/>
      <c r="DJ26" s="603">
        <f t="shared" si="38"/>
        <v>0</v>
      </c>
      <c r="DK26" s="605"/>
      <c r="DL26" s="602"/>
      <c r="DM26" s="603">
        <f t="shared" si="39"/>
        <v>0</v>
      </c>
      <c r="DN26" s="605"/>
      <c r="DO26" s="602"/>
      <c r="DP26" s="603">
        <f t="shared" si="40"/>
        <v>0</v>
      </c>
      <c r="DQ26" s="605"/>
      <c r="DR26" s="602"/>
      <c r="DS26" s="603">
        <f t="shared" si="41"/>
        <v>0</v>
      </c>
      <c r="DT26" s="605"/>
      <c r="DU26" s="602"/>
      <c r="DV26" s="603">
        <f t="shared" si="42"/>
        <v>0</v>
      </c>
      <c r="DW26" s="605"/>
      <c r="DX26" s="602"/>
      <c r="DY26" s="603">
        <f t="shared" si="43"/>
        <v>0</v>
      </c>
      <c r="DZ26" s="605"/>
      <c r="EA26" s="602"/>
      <c r="EB26" s="603">
        <f t="shared" si="44"/>
        <v>0</v>
      </c>
      <c r="EC26" s="605"/>
      <c r="ED26" s="602"/>
      <c r="EE26" s="603">
        <f t="shared" si="45"/>
        <v>0</v>
      </c>
      <c r="EF26" s="605"/>
      <c r="EG26" s="602"/>
      <c r="EH26" s="603">
        <f t="shared" si="46"/>
        <v>0</v>
      </c>
      <c r="EI26" s="605"/>
      <c r="EJ26" s="606"/>
      <c r="EK26" s="603">
        <f t="shared" si="47"/>
        <v>0</v>
      </c>
      <c r="EL26" s="605"/>
      <c r="EM26" s="606"/>
      <c r="EN26" s="603">
        <f t="shared" si="48"/>
        <v>0</v>
      </c>
      <c r="EO26" s="605"/>
      <c r="EP26" s="606"/>
      <c r="EQ26" s="603">
        <f t="shared" si="49"/>
        <v>0</v>
      </c>
      <c r="ER26" s="605"/>
      <c r="ES26" s="602"/>
      <c r="ET26" s="603">
        <f t="shared" si="52"/>
        <v>0</v>
      </c>
      <c r="EU26" s="605"/>
      <c r="EV26" s="602"/>
      <c r="EW26" s="603">
        <f t="shared" si="53"/>
        <v>0</v>
      </c>
      <c r="EX26" s="605"/>
      <c r="EY26" s="602"/>
      <c r="EZ26" s="603">
        <f t="shared" si="19"/>
        <v>0</v>
      </c>
      <c r="FA26" s="605"/>
      <c r="FB26" s="602"/>
      <c r="FC26" s="603">
        <f t="shared" si="20"/>
        <v>0</v>
      </c>
      <c r="FD26" s="605"/>
      <c r="FE26" s="602"/>
      <c r="FF26" s="603">
        <f t="shared" si="21"/>
        <v>0</v>
      </c>
      <c r="FG26" s="605"/>
      <c r="FH26" s="602"/>
      <c r="FI26" s="603">
        <f t="shared" si="50"/>
        <v>0</v>
      </c>
      <c r="FJ26" s="605"/>
      <c r="FK26" s="602"/>
      <c r="FL26" s="603">
        <f t="shared" si="22"/>
        <v>0</v>
      </c>
      <c r="FM26" s="605"/>
      <c r="FN26" s="602"/>
      <c r="FO26" s="603">
        <f t="shared" si="23"/>
        <v>0</v>
      </c>
      <c r="FP26" s="605"/>
      <c r="FQ26" s="602"/>
      <c r="FR26" s="603">
        <f t="shared" si="24"/>
        <v>0</v>
      </c>
      <c r="FS26" s="605"/>
      <c r="FT26" s="602"/>
      <c r="FU26" s="603">
        <f t="shared" si="51"/>
        <v>0</v>
      </c>
      <c r="FV26" s="605"/>
      <c r="FW26" s="606"/>
      <c r="FX26" s="603">
        <f t="shared" si="25"/>
        <v>0</v>
      </c>
      <c r="FY26" s="605"/>
      <c r="FZ26" s="606"/>
      <c r="GA26" s="603">
        <f t="shared" si="26"/>
        <v>0</v>
      </c>
      <c r="GB26" s="605"/>
      <c r="GC26" s="602"/>
      <c r="GD26" s="603">
        <f t="shared" si="27"/>
        <v>0</v>
      </c>
      <c r="GE26" s="605"/>
      <c r="GF26" s="602"/>
      <c r="GG26" s="603">
        <f t="shared" si="70"/>
        <v>0</v>
      </c>
      <c r="GH26" s="605"/>
      <c r="GI26" s="602"/>
      <c r="GJ26" s="603">
        <f t="shared" si="28"/>
        <v>0</v>
      </c>
      <c r="GK26" s="605"/>
      <c r="GL26" s="607">
        <f>AC26+Z26+W26+T26+Q26+N26+K26+H26+E26+B26+AF26+AI26+AL26+AO26+AR26+AU26+AX26+BA26+BD26+BG26+BJ26+BM26+BP26+BS26+BV26+BY26+CB26+CE26+CH26+CK26+CN26+CQ26+CT26+CW26+CZ26+DC26+DL26+DF26+DI26+DO26+DR26+DU26+DX26+EA26+ED26+EG26+EJ26+EM26+EP26+ES26+EV26+EY26+FB26+FE26+FH26+FK26+FN26+FQ26+FT26+FW26+FZ26+GC26+GF26+GI26</f>
        <v>0</v>
      </c>
      <c r="GM26" s="608">
        <f>GL26+'33J'!BK26+'M80(20250122封存)'!CX26+MPS!AY26+TMT!CX26</f>
        <v>0</v>
      </c>
      <c r="GN26" s="609"/>
    </row>
    <row r="27" spans="1:197" s="611" customFormat="1" ht="14.25" customHeight="1">
      <c r="A27" s="601">
        <v>22</v>
      </c>
      <c r="B27" s="602"/>
      <c r="C27" s="603">
        <f t="shared" si="30"/>
        <v>0</v>
      </c>
      <c r="D27" s="612"/>
      <c r="E27" s="606"/>
      <c r="F27" s="603">
        <f t="shared" si="54"/>
        <v>0</v>
      </c>
      <c r="G27" s="612"/>
      <c r="H27" s="606"/>
      <c r="I27" s="603">
        <f t="shared" si="71"/>
        <v>0</v>
      </c>
      <c r="J27" s="612"/>
      <c r="K27" s="606"/>
      <c r="L27" s="603">
        <f t="shared" si="56"/>
        <v>0</v>
      </c>
      <c r="M27" s="612"/>
      <c r="N27" s="606"/>
      <c r="O27" s="603">
        <f t="shared" si="57"/>
        <v>0</v>
      </c>
      <c r="P27" s="612"/>
      <c r="Q27" s="606"/>
      <c r="R27" s="603">
        <f t="shared" si="67"/>
        <v>0</v>
      </c>
      <c r="S27" s="604"/>
      <c r="T27" s="602"/>
      <c r="U27" s="603">
        <f t="shared" si="68"/>
        <v>0</v>
      </c>
      <c r="V27" s="612"/>
      <c r="W27" s="602"/>
      <c r="X27" s="603">
        <f t="shared" si="60"/>
        <v>0</v>
      </c>
      <c r="Y27" s="604"/>
      <c r="Z27" s="606"/>
      <c r="AA27" s="603">
        <f t="shared" si="61"/>
        <v>0</v>
      </c>
      <c r="AB27" s="604"/>
      <c r="AC27" s="602"/>
      <c r="AD27" s="603">
        <f t="shared" si="0"/>
        <v>0</v>
      </c>
      <c r="AE27" s="604"/>
      <c r="AF27" s="606"/>
      <c r="AG27" s="603">
        <f t="shared" si="1"/>
        <v>0</v>
      </c>
      <c r="AH27" s="604"/>
      <c r="AI27" s="602"/>
      <c r="AJ27" s="603">
        <f t="shared" si="62"/>
        <v>0</v>
      </c>
      <c r="AK27" s="612"/>
      <c r="AL27" s="602"/>
      <c r="AM27" s="603">
        <f t="shared" si="69"/>
        <v>0</v>
      </c>
      <c r="AN27" s="604"/>
      <c r="AO27" s="602"/>
      <c r="AP27" s="603">
        <f t="shared" si="2"/>
        <v>0</v>
      </c>
      <c r="AQ27" s="604"/>
      <c r="AR27" s="606"/>
      <c r="AS27" s="603">
        <f t="shared" si="3"/>
        <v>0</v>
      </c>
      <c r="AT27" s="604"/>
      <c r="AU27" s="602"/>
      <c r="AV27" s="603">
        <f t="shared" si="4"/>
        <v>0</v>
      </c>
      <c r="AW27" s="604"/>
      <c r="AX27" s="602"/>
      <c r="AY27" s="603">
        <f t="shared" si="31"/>
        <v>0</v>
      </c>
      <c r="AZ27" s="604"/>
      <c r="BA27" s="602"/>
      <c r="BB27" s="603">
        <f t="shared" si="32"/>
        <v>0</v>
      </c>
      <c r="BC27" s="604"/>
      <c r="BD27" s="602"/>
      <c r="BE27" s="603">
        <f t="shared" si="33"/>
        <v>0</v>
      </c>
      <c r="BF27" s="604"/>
      <c r="BG27" s="602"/>
      <c r="BH27" s="603">
        <f t="shared" si="34"/>
        <v>0</v>
      </c>
      <c r="BI27" s="604"/>
      <c r="BJ27" s="602"/>
      <c r="BK27" s="603">
        <f t="shared" si="63"/>
        <v>0</v>
      </c>
      <c r="BL27" s="605"/>
      <c r="BM27" s="602"/>
      <c r="BN27" s="603">
        <f t="shared" si="64"/>
        <v>0</v>
      </c>
      <c r="BO27" s="605"/>
      <c r="BP27" s="602"/>
      <c r="BQ27" s="603">
        <f t="shared" si="65"/>
        <v>0</v>
      </c>
      <c r="BR27" s="604"/>
      <c r="BS27" s="602"/>
      <c r="BT27" s="603">
        <f t="shared" si="66"/>
        <v>0</v>
      </c>
      <c r="BU27" s="604"/>
      <c r="BV27" s="602"/>
      <c r="BW27" s="603">
        <f t="shared" si="7"/>
        <v>0</v>
      </c>
      <c r="BX27" s="604"/>
      <c r="BY27" s="602"/>
      <c r="BZ27" s="603">
        <f t="shared" si="8"/>
        <v>0</v>
      </c>
      <c r="CA27" s="605"/>
      <c r="CB27" s="606"/>
      <c r="CC27" s="603">
        <f t="shared" si="9"/>
        <v>0</v>
      </c>
      <c r="CD27" s="604"/>
      <c r="CE27" s="606"/>
      <c r="CF27" s="603">
        <f t="shared" si="10"/>
        <v>0</v>
      </c>
      <c r="CG27" s="605"/>
      <c r="CH27" s="602"/>
      <c r="CI27" s="603">
        <f t="shared" si="11"/>
        <v>0</v>
      </c>
      <c r="CJ27" s="605"/>
      <c r="CK27" s="602"/>
      <c r="CL27" s="603">
        <f t="shared" si="12"/>
        <v>0</v>
      </c>
      <c r="CM27" s="605"/>
      <c r="CN27" s="606"/>
      <c r="CO27" s="603">
        <f t="shared" si="13"/>
        <v>0</v>
      </c>
      <c r="CP27" s="605"/>
      <c r="CQ27" s="602"/>
      <c r="CR27" s="603">
        <f t="shared" si="14"/>
        <v>0</v>
      </c>
      <c r="CS27" s="604"/>
      <c r="CT27" s="606"/>
      <c r="CU27" s="603">
        <f t="shared" si="15"/>
        <v>0</v>
      </c>
      <c r="CV27" s="604"/>
      <c r="CW27" s="602"/>
      <c r="CX27" s="603">
        <f t="shared" si="16"/>
        <v>0</v>
      </c>
      <c r="CY27" s="605"/>
      <c r="CZ27" s="606"/>
      <c r="DA27" s="603">
        <f t="shared" si="17"/>
        <v>0</v>
      </c>
      <c r="DB27" s="604"/>
      <c r="DC27" s="606"/>
      <c r="DD27" s="603">
        <f t="shared" si="18"/>
        <v>0</v>
      </c>
      <c r="DE27" s="604"/>
      <c r="DF27" s="606"/>
      <c r="DG27" s="603">
        <f t="shared" si="37"/>
        <v>0</v>
      </c>
      <c r="DH27" s="605"/>
      <c r="DI27" s="606"/>
      <c r="DJ27" s="603">
        <f t="shared" si="38"/>
        <v>0</v>
      </c>
      <c r="DK27" s="605"/>
      <c r="DL27" s="606"/>
      <c r="DM27" s="603">
        <f t="shared" si="39"/>
        <v>0</v>
      </c>
      <c r="DN27" s="605"/>
      <c r="DO27" s="602"/>
      <c r="DP27" s="603">
        <f t="shared" si="40"/>
        <v>0</v>
      </c>
      <c r="DQ27" s="605"/>
      <c r="DR27" s="606"/>
      <c r="DS27" s="603">
        <f t="shared" si="41"/>
        <v>0</v>
      </c>
      <c r="DT27" s="605"/>
      <c r="DU27" s="602"/>
      <c r="DV27" s="603">
        <f t="shared" si="42"/>
        <v>0</v>
      </c>
      <c r="DW27" s="605"/>
      <c r="DX27" s="606"/>
      <c r="DY27" s="603">
        <f t="shared" si="43"/>
        <v>0</v>
      </c>
      <c r="DZ27" s="605"/>
      <c r="EA27" s="606"/>
      <c r="EB27" s="603">
        <f t="shared" si="44"/>
        <v>0</v>
      </c>
      <c r="EC27" s="605"/>
      <c r="ED27" s="606"/>
      <c r="EE27" s="603">
        <f t="shared" si="45"/>
        <v>0</v>
      </c>
      <c r="EF27" s="605"/>
      <c r="EG27" s="606"/>
      <c r="EH27" s="603">
        <f t="shared" si="46"/>
        <v>0</v>
      </c>
      <c r="EI27" s="605"/>
      <c r="EJ27" s="606"/>
      <c r="EK27" s="603">
        <f t="shared" si="47"/>
        <v>0</v>
      </c>
      <c r="EL27" s="605"/>
      <c r="EM27" s="606"/>
      <c r="EN27" s="603">
        <f t="shared" si="48"/>
        <v>0</v>
      </c>
      <c r="EO27" s="605"/>
      <c r="EP27" s="606"/>
      <c r="EQ27" s="603">
        <f t="shared" si="49"/>
        <v>0</v>
      </c>
      <c r="ER27" s="605"/>
      <c r="ES27" s="602"/>
      <c r="ET27" s="603">
        <f t="shared" si="52"/>
        <v>0</v>
      </c>
      <c r="EU27" s="605"/>
      <c r="EV27" s="602"/>
      <c r="EW27" s="603">
        <f t="shared" si="53"/>
        <v>0</v>
      </c>
      <c r="EX27" s="605"/>
      <c r="EY27" s="602"/>
      <c r="EZ27" s="603">
        <f t="shared" si="19"/>
        <v>0</v>
      </c>
      <c r="FA27" s="605"/>
      <c r="FB27" s="602"/>
      <c r="FC27" s="603">
        <f t="shared" si="20"/>
        <v>0</v>
      </c>
      <c r="FD27" s="605"/>
      <c r="FE27" s="602"/>
      <c r="FF27" s="603">
        <f t="shared" si="21"/>
        <v>0</v>
      </c>
      <c r="FG27" s="605"/>
      <c r="FH27" s="602"/>
      <c r="FI27" s="603">
        <f t="shared" si="50"/>
        <v>0</v>
      </c>
      <c r="FJ27" s="605"/>
      <c r="FK27" s="602"/>
      <c r="FL27" s="603">
        <f t="shared" si="22"/>
        <v>0</v>
      </c>
      <c r="FM27" s="605"/>
      <c r="FN27" s="606"/>
      <c r="FO27" s="603">
        <f t="shared" si="23"/>
        <v>0</v>
      </c>
      <c r="FP27" s="605"/>
      <c r="FQ27" s="602"/>
      <c r="FR27" s="603">
        <f t="shared" si="24"/>
        <v>0</v>
      </c>
      <c r="FS27" s="605"/>
      <c r="FT27" s="602"/>
      <c r="FU27" s="603">
        <f t="shared" si="51"/>
        <v>0</v>
      </c>
      <c r="FV27" s="605"/>
      <c r="FW27" s="606"/>
      <c r="FX27" s="603">
        <f t="shared" si="25"/>
        <v>0</v>
      </c>
      <c r="FY27" s="605"/>
      <c r="FZ27" s="606"/>
      <c r="GA27" s="603">
        <f t="shared" si="26"/>
        <v>0</v>
      </c>
      <c r="GB27" s="605"/>
      <c r="GC27" s="602"/>
      <c r="GD27" s="603">
        <f t="shared" si="27"/>
        <v>0</v>
      </c>
      <c r="GE27" s="605"/>
      <c r="GF27" s="602"/>
      <c r="GG27" s="603">
        <f t="shared" si="70"/>
        <v>0</v>
      </c>
      <c r="GH27" s="605"/>
      <c r="GI27" s="602"/>
      <c r="GJ27" s="603">
        <f t="shared" si="28"/>
        <v>0</v>
      </c>
      <c r="GK27" s="605"/>
      <c r="GL27" s="607">
        <f t="shared" ref="GL27:GL36" si="72">AC27+Z27+W27+T27+Q27+N27+K27+H27+E27+B27+AF27+AI27+AL27+AO27+AR27+AU27+AX27+BA27+BD27+BG27+BJ27+BM27+BP27+BS27+BV27+BY27+CB27+CE27+CH27+CK27+CN27+CQ27+CT27+CW27+CZ27+DC27+DL27+DF27+DI27+DO27+DR27+DU27+DX27+EA27+ED27+EG27+EJ27+EM27+EP27+ES27+EV27+EY27+FB27+FE27+FH27+FK27+FN27+FQ27+FT27+FW27+FZ27+GC27+GF27+GI27</f>
        <v>0</v>
      </c>
      <c r="GM27" s="608">
        <f>GL27+'33J'!BK27+'M80(20250122封存)'!CX27+MPS!AY27+TMT!CX27</f>
        <v>0</v>
      </c>
      <c r="GN27" s="609"/>
    </row>
    <row r="28" spans="1:197" s="611" customFormat="1" ht="14.25" customHeight="1">
      <c r="A28" s="601">
        <v>23</v>
      </c>
      <c r="B28" s="602"/>
      <c r="C28" s="603">
        <f t="shared" si="30"/>
        <v>0</v>
      </c>
      <c r="D28" s="612"/>
      <c r="E28" s="606"/>
      <c r="F28" s="603">
        <f t="shared" si="54"/>
        <v>0</v>
      </c>
      <c r="G28" s="612"/>
      <c r="H28" s="602"/>
      <c r="I28" s="603">
        <f t="shared" si="71"/>
        <v>0</v>
      </c>
      <c r="J28" s="612"/>
      <c r="K28" s="606"/>
      <c r="L28" s="603">
        <f t="shared" si="56"/>
        <v>0</v>
      </c>
      <c r="M28" s="612"/>
      <c r="N28" s="602"/>
      <c r="O28" s="603">
        <f t="shared" si="57"/>
        <v>0</v>
      </c>
      <c r="P28" s="612"/>
      <c r="Q28" s="602"/>
      <c r="R28" s="603">
        <f t="shared" si="67"/>
        <v>0</v>
      </c>
      <c r="S28" s="604"/>
      <c r="T28" s="602"/>
      <c r="U28" s="603">
        <f t="shared" si="68"/>
        <v>0</v>
      </c>
      <c r="V28" s="612"/>
      <c r="W28" s="602"/>
      <c r="X28" s="603">
        <f t="shared" si="60"/>
        <v>0</v>
      </c>
      <c r="Y28" s="604"/>
      <c r="Z28" s="602"/>
      <c r="AA28" s="603">
        <f t="shared" si="61"/>
        <v>0</v>
      </c>
      <c r="AB28" s="604"/>
      <c r="AC28" s="602"/>
      <c r="AD28" s="603">
        <f t="shared" si="0"/>
        <v>0</v>
      </c>
      <c r="AE28" s="604"/>
      <c r="AF28" s="606"/>
      <c r="AG28" s="603">
        <f t="shared" si="1"/>
        <v>0</v>
      </c>
      <c r="AH28" s="604"/>
      <c r="AI28" s="602"/>
      <c r="AJ28" s="603">
        <f t="shared" si="62"/>
        <v>0</v>
      </c>
      <c r="AK28" s="612"/>
      <c r="AL28" s="602"/>
      <c r="AM28" s="603">
        <f t="shared" si="69"/>
        <v>0</v>
      </c>
      <c r="AN28" s="604"/>
      <c r="AO28" s="602"/>
      <c r="AP28" s="603">
        <f t="shared" si="2"/>
        <v>0</v>
      </c>
      <c r="AQ28" s="604"/>
      <c r="AR28" s="606"/>
      <c r="AS28" s="603">
        <f t="shared" si="3"/>
        <v>0</v>
      </c>
      <c r="AT28" s="604"/>
      <c r="AU28" s="606"/>
      <c r="AV28" s="603">
        <f t="shared" si="4"/>
        <v>0</v>
      </c>
      <c r="AW28" s="604"/>
      <c r="AX28" s="602"/>
      <c r="AY28" s="603">
        <f t="shared" si="31"/>
        <v>0</v>
      </c>
      <c r="AZ28" s="604"/>
      <c r="BA28" s="602"/>
      <c r="BB28" s="603">
        <f t="shared" si="32"/>
        <v>0</v>
      </c>
      <c r="BC28" s="604"/>
      <c r="BD28" s="602"/>
      <c r="BE28" s="603">
        <f t="shared" si="33"/>
        <v>0</v>
      </c>
      <c r="BF28" s="604"/>
      <c r="BG28" s="602"/>
      <c r="BH28" s="603">
        <f t="shared" si="34"/>
        <v>0</v>
      </c>
      <c r="BI28" s="604"/>
      <c r="BJ28" s="602"/>
      <c r="BK28" s="603">
        <f t="shared" si="63"/>
        <v>0</v>
      </c>
      <c r="BL28" s="605"/>
      <c r="BM28" s="602"/>
      <c r="BN28" s="603">
        <f t="shared" si="64"/>
        <v>0</v>
      </c>
      <c r="BO28" s="605"/>
      <c r="BP28" s="602"/>
      <c r="BQ28" s="603">
        <f t="shared" si="65"/>
        <v>0</v>
      </c>
      <c r="BR28" s="604"/>
      <c r="BS28" s="602"/>
      <c r="BT28" s="603">
        <f t="shared" si="66"/>
        <v>0</v>
      </c>
      <c r="BU28" s="604"/>
      <c r="BV28" s="602"/>
      <c r="BW28" s="603">
        <f t="shared" si="7"/>
        <v>0</v>
      </c>
      <c r="BX28" s="604"/>
      <c r="BY28" s="602"/>
      <c r="BZ28" s="603">
        <f t="shared" si="8"/>
        <v>0</v>
      </c>
      <c r="CA28" s="605"/>
      <c r="CB28" s="602"/>
      <c r="CC28" s="603">
        <f t="shared" si="9"/>
        <v>0</v>
      </c>
      <c r="CD28" s="604"/>
      <c r="CE28" s="606"/>
      <c r="CF28" s="603">
        <f t="shared" si="10"/>
        <v>0</v>
      </c>
      <c r="CG28" s="605"/>
      <c r="CH28" s="602"/>
      <c r="CI28" s="603">
        <f t="shared" si="11"/>
        <v>0</v>
      </c>
      <c r="CJ28" s="605"/>
      <c r="CK28" s="602"/>
      <c r="CL28" s="603">
        <f t="shared" si="12"/>
        <v>0</v>
      </c>
      <c r="CM28" s="605"/>
      <c r="CN28" s="606"/>
      <c r="CO28" s="603">
        <f t="shared" si="13"/>
        <v>0</v>
      </c>
      <c r="CP28" s="605"/>
      <c r="CQ28" s="606"/>
      <c r="CR28" s="603">
        <f t="shared" si="14"/>
        <v>0</v>
      </c>
      <c r="CS28" s="604"/>
      <c r="CT28" s="606"/>
      <c r="CU28" s="603">
        <f t="shared" si="15"/>
        <v>0</v>
      </c>
      <c r="CV28" s="604"/>
      <c r="CW28" s="606"/>
      <c r="CX28" s="603">
        <f t="shared" si="16"/>
        <v>0</v>
      </c>
      <c r="CY28" s="605"/>
      <c r="CZ28" s="606"/>
      <c r="DA28" s="603">
        <f t="shared" si="17"/>
        <v>0</v>
      </c>
      <c r="DB28" s="604"/>
      <c r="DC28" s="606"/>
      <c r="DD28" s="603">
        <f t="shared" si="18"/>
        <v>0</v>
      </c>
      <c r="DE28" s="604"/>
      <c r="DF28" s="606"/>
      <c r="DG28" s="603">
        <f t="shared" si="37"/>
        <v>0</v>
      </c>
      <c r="DH28" s="605"/>
      <c r="DI28" s="606"/>
      <c r="DJ28" s="603">
        <f t="shared" si="38"/>
        <v>0</v>
      </c>
      <c r="DK28" s="605"/>
      <c r="DL28" s="606"/>
      <c r="DM28" s="603">
        <f t="shared" si="39"/>
        <v>0</v>
      </c>
      <c r="DN28" s="605"/>
      <c r="DO28" s="602"/>
      <c r="DP28" s="603">
        <f t="shared" si="40"/>
        <v>0</v>
      </c>
      <c r="DQ28" s="605"/>
      <c r="DR28" s="606"/>
      <c r="DS28" s="603">
        <f t="shared" si="41"/>
        <v>0</v>
      </c>
      <c r="DT28" s="605"/>
      <c r="DU28" s="602"/>
      <c r="DV28" s="603">
        <f t="shared" si="42"/>
        <v>0</v>
      </c>
      <c r="DW28" s="605"/>
      <c r="DX28" s="606"/>
      <c r="DY28" s="603">
        <f t="shared" si="43"/>
        <v>0</v>
      </c>
      <c r="DZ28" s="605"/>
      <c r="EA28" s="606"/>
      <c r="EB28" s="603">
        <f t="shared" si="44"/>
        <v>0</v>
      </c>
      <c r="EC28" s="605"/>
      <c r="ED28" s="606"/>
      <c r="EE28" s="603">
        <f t="shared" si="45"/>
        <v>0</v>
      </c>
      <c r="EF28" s="605"/>
      <c r="EG28" s="606"/>
      <c r="EH28" s="603">
        <f t="shared" si="46"/>
        <v>0</v>
      </c>
      <c r="EI28" s="605"/>
      <c r="EJ28" s="606"/>
      <c r="EK28" s="603">
        <f t="shared" si="47"/>
        <v>0</v>
      </c>
      <c r="EL28" s="605"/>
      <c r="EM28" s="606"/>
      <c r="EN28" s="603">
        <f t="shared" si="48"/>
        <v>0</v>
      </c>
      <c r="EO28" s="605"/>
      <c r="EP28" s="606"/>
      <c r="EQ28" s="603">
        <f t="shared" si="49"/>
        <v>0</v>
      </c>
      <c r="ER28" s="605"/>
      <c r="ES28" s="602"/>
      <c r="ET28" s="603">
        <f t="shared" si="52"/>
        <v>0</v>
      </c>
      <c r="EU28" s="605"/>
      <c r="EV28" s="602"/>
      <c r="EW28" s="603">
        <f t="shared" si="53"/>
        <v>0</v>
      </c>
      <c r="EX28" s="605"/>
      <c r="EY28" s="602"/>
      <c r="EZ28" s="603">
        <f t="shared" si="19"/>
        <v>0</v>
      </c>
      <c r="FA28" s="605"/>
      <c r="FB28" s="602"/>
      <c r="FC28" s="603">
        <f t="shared" si="20"/>
        <v>0</v>
      </c>
      <c r="FD28" s="605"/>
      <c r="FE28" s="602"/>
      <c r="FF28" s="603">
        <f t="shared" si="21"/>
        <v>0</v>
      </c>
      <c r="FG28" s="605"/>
      <c r="FH28" s="602"/>
      <c r="FI28" s="603">
        <f t="shared" si="50"/>
        <v>0</v>
      </c>
      <c r="FJ28" s="605"/>
      <c r="FK28" s="602"/>
      <c r="FL28" s="603">
        <f t="shared" si="22"/>
        <v>0</v>
      </c>
      <c r="FM28" s="605"/>
      <c r="FN28" s="606"/>
      <c r="FO28" s="603">
        <f t="shared" si="23"/>
        <v>0</v>
      </c>
      <c r="FP28" s="605"/>
      <c r="FQ28" s="602"/>
      <c r="FR28" s="603">
        <f t="shared" si="24"/>
        <v>0</v>
      </c>
      <c r="FS28" s="605"/>
      <c r="FT28" s="602"/>
      <c r="FU28" s="603">
        <f t="shared" si="51"/>
        <v>0</v>
      </c>
      <c r="FV28" s="605"/>
      <c r="FW28" s="606"/>
      <c r="FX28" s="603">
        <f t="shared" si="25"/>
        <v>0</v>
      </c>
      <c r="FY28" s="605"/>
      <c r="FZ28" s="606"/>
      <c r="GA28" s="603">
        <f t="shared" si="26"/>
        <v>0</v>
      </c>
      <c r="GB28" s="605"/>
      <c r="GC28" s="602"/>
      <c r="GD28" s="603">
        <f t="shared" si="27"/>
        <v>0</v>
      </c>
      <c r="GE28" s="605"/>
      <c r="GF28" s="602"/>
      <c r="GG28" s="603">
        <f t="shared" si="70"/>
        <v>0</v>
      </c>
      <c r="GH28" s="605"/>
      <c r="GI28" s="602"/>
      <c r="GJ28" s="603">
        <f t="shared" si="28"/>
        <v>0</v>
      </c>
      <c r="GK28" s="605"/>
      <c r="GL28" s="607">
        <f t="shared" si="72"/>
        <v>0</v>
      </c>
      <c r="GM28" s="608">
        <f>GL28+'33J'!BK28+'M80(20250122封存)'!CX28+MPS!AY28+TMT!CX28</f>
        <v>0</v>
      </c>
      <c r="GN28" s="609"/>
    </row>
    <row r="29" spans="1:197" s="611" customFormat="1" ht="14.25" customHeight="1">
      <c r="A29" s="601">
        <v>24</v>
      </c>
      <c r="B29" s="602"/>
      <c r="C29" s="603">
        <f t="shared" si="30"/>
        <v>0</v>
      </c>
      <c r="D29" s="612"/>
      <c r="E29" s="606"/>
      <c r="F29" s="603">
        <f t="shared" si="54"/>
        <v>0</v>
      </c>
      <c r="G29" s="612"/>
      <c r="H29" s="602"/>
      <c r="I29" s="603">
        <f t="shared" si="71"/>
        <v>0</v>
      </c>
      <c r="J29" s="612"/>
      <c r="K29" s="606"/>
      <c r="L29" s="603">
        <f t="shared" si="56"/>
        <v>0</v>
      </c>
      <c r="M29" s="612"/>
      <c r="N29" s="602"/>
      <c r="O29" s="603">
        <f t="shared" si="57"/>
        <v>0</v>
      </c>
      <c r="P29" s="612"/>
      <c r="Q29" s="602"/>
      <c r="R29" s="603">
        <f t="shared" si="67"/>
        <v>0</v>
      </c>
      <c r="S29" s="604"/>
      <c r="T29" s="602"/>
      <c r="U29" s="603">
        <f t="shared" si="68"/>
        <v>0</v>
      </c>
      <c r="V29" s="612"/>
      <c r="W29" s="602"/>
      <c r="X29" s="603">
        <f t="shared" si="60"/>
        <v>0</v>
      </c>
      <c r="Y29" s="604"/>
      <c r="Z29" s="602"/>
      <c r="AA29" s="603">
        <f t="shared" si="61"/>
        <v>0</v>
      </c>
      <c r="AB29" s="604"/>
      <c r="AC29" s="602"/>
      <c r="AD29" s="603">
        <f t="shared" si="0"/>
        <v>0</v>
      </c>
      <c r="AE29" s="604"/>
      <c r="AF29" s="606"/>
      <c r="AG29" s="603">
        <f t="shared" si="1"/>
        <v>0</v>
      </c>
      <c r="AH29" s="604"/>
      <c r="AI29" s="602"/>
      <c r="AJ29" s="603">
        <f t="shared" si="62"/>
        <v>0</v>
      </c>
      <c r="AK29" s="612"/>
      <c r="AL29" s="602"/>
      <c r="AM29" s="603">
        <f t="shared" si="69"/>
        <v>0</v>
      </c>
      <c r="AN29" s="604"/>
      <c r="AO29" s="602"/>
      <c r="AP29" s="603">
        <f t="shared" si="2"/>
        <v>0</v>
      </c>
      <c r="AQ29" s="604"/>
      <c r="AR29" s="606"/>
      <c r="AS29" s="603">
        <f t="shared" si="3"/>
        <v>0</v>
      </c>
      <c r="AT29" s="604"/>
      <c r="AU29" s="606"/>
      <c r="AV29" s="603">
        <f t="shared" si="4"/>
        <v>0</v>
      </c>
      <c r="AW29" s="604"/>
      <c r="AX29" s="602"/>
      <c r="AY29" s="603">
        <f t="shared" si="31"/>
        <v>0</v>
      </c>
      <c r="AZ29" s="604"/>
      <c r="BA29" s="602"/>
      <c r="BB29" s="603">
        <f t="shared" si="32"/>
        <v>0</v>
      </c>
      <c r="BC29" s="604"/>
      <c r="BD29" s="602"/>
      <c r="BE29" s="603">
        <f t="shared" si="33"/>
        <v>0</v>
      </c>
      <c r="BF29" s="604"/>
      <c r="BG29" s="602"/>
      <c r="BH29" s="603">
        <f t="shared" si="34"/>
        <v>0</v>
      </c>
      <c r="BI29" s="604"/>
      <c r="BJ29" s="602"/>
      <c r="BK29" s="603">
        <f>BL$3*BL$4*216*24*60*BJ29/9000000</f>
        <v>0</v>
      </c>
      <c r="BL29" s="605"/>
      <c r="BM29" s="602"/>
      <c r="BN29" s="603">
        <f>BO$3*BO$4*216*24*60*BM29/9000000</f>
        <v>0</v>
      </c>
      <c r="BO29" s="605"/>
      <c r="BP29" s="602"/>
      <c r="BQ29" s="603">
        <f t="shared" si="65"/>
        <v>0</v>
      </c>
      <c r="BR29" s="604"/>
      <c r="BS29" s="602"/>
      <c r="BT29" s="603">
        <f t="shared" si="66"/>
        <v>0</v>
      </c>
      <c r="BU29" s="604"/>
      <c r="BV29" s="602"/>
      <c r="BW29" s="603">
        <f t="shared" si="7"/>
        <v>0</v>
      </c>
      <c r="BX29" s="604"/>
      <c r="BY29" s="602"/>
      <c r="BZ29" s="603">
        <f t="shared" si="8"/>
        <v>0</v>
      </c>
      <c r="CA29" s="605"/>
      <c r="CB29" s="602"/>
      <c r="CC29" s="603">
        <f t="shared" si="9"/>
        <v>0</v>
      </c>
      <c r="CD29" s="604"/>
      <c r="CE29" s="606"/>
      <c r="CF29" s="603">
        <f t="shared" si="10"/>
        <v>0</v>
      </c>
      <c r="CG29" s="605"/>
      <c r="CH29" s="602"/>
      <c r="CI29" s="603">
        <f t="shared" si="11"/>
        <v>0</v>
      </c>
      <c r="CJ29" s="605"/>
      <c r="CK29" s="602"/>
      <c r="CL29" s="603">
        <f t="shared" si="12"/>
        <v>0</v>
      </c>
      <c r="CM29" s="605"/>
      <c r="CN29" s="606"/>
      <c r="CO29" s="603">
        <f t="shared" si="13"/>
        <v>0</v>
      </c>
      <c r="CP29" s="605"/>
      <c r="CQ29" s="606"/>
      <c r="CR29" s="603">
        <f t="shared" si="14"/>
        <v>0</v>
      </c>
      <c r="CS29" s="604"/>
      <c r="CT29" s="606"/>
      <c r="CU29" s="603">
        <f t="shared" si="15"/>
        <v>0</v>
      </c>
      <c r="CV29" s="604"/>
      <c r="CW29" s="606"/>
      <c r="CX29" s="603">
        <f t="shared" si="16"/>
        <v>0</v>
      </c>
      <c r="CY29" s="605"/>
      <c r="CZ29" s="606"/>
      <c r="DA29" s="603">
        <f t="shared" si="17"/>
        <v>0</v>
      </c>
      <c r="DB29" s="604"/>
      <c r="DC29" s="606"/>
      <c r="DD29" s="603">
        <f t="shared" si="18"/>
        <v>0</v>
      </c>
      <c r="DE29" s="604"/>
      <c r="DF29" s="606"/>
      <c r="DG29" s="603">
        <f t="shared" si="37"/>
        <v>0</v>
      </c>
      <c r="DH29" s="605"/>
      <c r="DI29" s="606"/>
      <c r="DJ29" s="603">
        <f t="shared" si="38"/>
        <v>0</v>
      </c>
      <c r="DK29" s="605"/>
      <c r="DL29" s="606"/>
      <c r="DM29" s="603">
        <f t="shared" si="39"/>
        <v>0</v>
      </c>
      <c r="DN29" s="605"/>
      <c r="DO29" s="602"/>
      <c r="DP29" s="603">
        <f t="shared" si="40"/>
        <v>0</v>
      </c>
      <c r="DQ29" s="605"/>
      <c r="DR29" s="606"/>
      <c r="DS29" s="603">
        <f t="shared" si="41"/>
        <v>0</v>
      </c>
      <c r="DT29" s="605"/>
      <c r="DU29" s="602"/>
      <c r="DV29" s="603">
        <f t="shared" si="42"/>
        <v>0</v>
      </c>
      <c r="DW29" s="605"/>
      <c r="DX29" s="606"/>
      <c r="DY29" s="603">
        <f t="shared" si="43"/>
        <v>0</v>
      </c>
      <c r="DZ29" s="605"/>
      <c r="EA29" s="606"/>
      <c r="EB29" s="603">
        <f t="shared" si="44"/>
        <v>0</v>
      </c>
      <c r="EC29" s="605"/>
      <c r="ED29" s="606"/>
      <c r="EE29" s="603">
        <f t="shared" si="45"/>
        <v>0</v>
      </c>
      <c r="EF29" s="605"/>
      <c r="EG29" s="606"/>
      <c r="EH29" s="603">
        <f t="shared" si="46"/>
        <v>0</v>
      </c>
      <c r="EI29" s="605"/>
      <c r="EJ29" s="606"/>
      <c r="EK29" s="603">
        <f t="shared" si="47"/>
        <v>0</v>
      </c>
      <c r="EL29" s="605"/>
      <c r="EM29" s="606"/>
      <c r="EN29" s="603">
        <f t="shared" si="48"/>
        <v>0</v>
      </c>
      <c r="EO29" s="605"/>
      <c r="EP29" s="606"/>
      <c r="EQ29" s="603">
        <f t="shared" si="49"/>
        <v>0</v>
      </c>
      <c r="ER29" s="605"/>
      <c r="ES29" s="602"/>
      <c r="ET29" s="603">
        <f t="shared" si="52"/>
        <v>0</v>
      </c>
      <c r="EU29" s="605"/>
      <c r="EV29" s="602"/>
      <c r="EW29" s="603">
        <f t="shared" si="53"/>
        <v>0</v>
      </c>
      <c r="EX29" s="605"/>
      <c r="EY29" s="602"/>
      <c r="EZ29" s="603">
        <f t="shared" si="19"/>
        <v>0</v>
      </c>
      <c r="FA29" s="605"/>
      <c r="FB29" s="602"/>
      <c r="FC29" s="603">
        <f t="shared" si="20"/>
        <v>0</v>
      </c>
      <c r="FD29" s="605"/>
      <c r="FE29" s="602"/>
      <c r="FF29" s="603">
        <f t="shared" si="21"/>
        <v>0</v>
      </c>
      <c r="FG29" s="605"/>
      <c r="FH29" s="602"/>
      <c r="FI29" s="603">
        <f t="shared" si="50"/>
        <v>0</v>
      </c>
      <c r="FJ29" s="605"/>
      <c r="FK29" s="602"/>
      <c r="FL29" s="603">
        <f t="shared" si="22"/>
        <v>0</v>
      </c>
      <c r="FM29" s="605"/>
      <c r="FN29" s="606"/>
      <c r="FO29" s="603">
        <f t="shared" si="23"/>
        <v>0</v>
      </c>
      <c r="FP29" s="605"/>
      <c r="FQ29" s="602"/>
      <c r="FR29" s="603">
        <f t="shared" si="24"/>
        <v>0</v>
      </c>
      <c r="FS29" s="605"/>
      <c r="FT29" s="602"/>
      <c r="FU29" s="603">
        <f t="shared" si="51"/>
        <v>0</v>
      </c>
      <c r="FV29" s="605"/>
      <c r="FW29" s="602"/>
      <c r="FX29" s="603">
        <f t="shared" si="25"/>
        <v>0</v>
      </c>
      <c r="FY29" s="605"/>
      <c r="FZ29" s="606"/>
      <c r="GA29" s="603">
        <f t="shared" si="26"/>
        <v>0</v>
      </c>
      <c r="GB29" s="605"/>
      <c r="GC29" s="602"/>
      <c r="GD29" s="603">
        <f t="shared" si="27"/>
        <v>0</v>
      </c>
      <c r="GE29" s="605"/>
      <c r="GF29" s="602"/>
      <c r="GG29" s="603">
        <f t="shared" si="70"/>
        <v>0</v>
      </c>
      <c r="GH29" s="605"/>
      <c r="GI29" s="602"/>
      <c r="GJ29" s="603">
        <f t="shared" si="28"/>
        <v>0</v>
      </c>
      <c r="GK29" s="605"/>
      <c r="GL29" s="607">
        <f t="shared" si="72"/>
        <v>0</v>
      </c>
      <c r="GM29" s="608">
        <f>GL29+'33J'!BK29+'M80(20250122封存)'!CX29+MPS!AY29+TMT!CX29</f>
        <v>0</v>
      </c>
      <c r="GN29" s="609"/>
    </row>
    <row r="30" spans="1:197" s="611" customFormat="1" ht="14.25" customHeight="1">
      <c r="A30" s="601">
        <v>25</v>
      </c>
      <c r="B30" s="606"/>
      <c r="C30" s="603">
        <f t="shared" si="30"/>
        <v>0</v>
      </c>
      <c r="D30" s="612"/>
      <c r="E30" s="606"/>
      <c r="F30" s="603">
        <f t="shared" si="54"/>
        <v>0</v>
      </c>
      <c r="G30" s="612"/>
      <c r="H30" s="602"/>
      <c r="I30" s="603">
        <f t="shared" si="71"/>
        <v>0</v>
      </c>
      <c r="J30" s="612"/>
      <c r="K30" s="606"/>
      <c r="L30" s="603">
        <f t="shared" si="56"/>
        <v>0</v>
      </c>
      <c r="M30" s="612"/>
      <c r="N30" s="602"/>
      <c r="O30" s="603">
        <f t="shared" si="57"/>
        <v>0</v>
      </c>
      <c r="P30" s="612"/>
      <c r="Q30" s="606"/>
      <c r="R30" s="603">
        <f t="shared" si="67"/>
        <v>0</v>
      </c>
      <c r="S30" s="604"/>
      <c r="T30" s="602"/>
      <c r="U30" s="603">
        <f t="shared" si="68"/>
        <v>0</v>
      </c>
      <c r="V30" s="612"/>
      <c r="W30" s="606"/>
      <c r="X30" s="603">
        <f t="shared" si="60"/>
        <v>0</v>
      </c>
      <c r="Y30" s="604"/>
      <c r="Z30" s="606"/>
      <c r="AA30" s="603">
        <f t="shared" si="61"/>
        <v>0</v>
      </c>
      <c r="AB30" s="604"/>
      <c r="AC30" s="602"/>
      <c r="AD30" s="603">
        <f t="shared" si="0"/>
        <v>0</v>
      </c>
      <c r="AE30" s="604"/>
      <c r="AF30" s="606"/>
      <c r="AG30" s="603">
        <f t="shared" si="1"/>
        <v>0</v>
      </c>
      <c r="AH30" s="604"/>
      <c r="AI30" s="602"/>
      <c r="AJ30" s="603">
        <f t="shared" si="62"/>
        <v>0</v>
      </c>
      <c r="AK30" s="612"/>
      <c r="AL30" s="606"/>
      <c r="AM30" s="603">
        <f t="shared" si="69"/>
        <v>0</v>
      </c>
      <c r="AN30" s="604"/>
      <c r="AO30" s="602"/>
      <c r="AP30" s="603">
        <f t="shared" si="2"/>
        <v>0</v>
      </c>
      <c r="AQ30" s="604"/>
      <c r="AR30" s="606"/>
      <c r="AS30" s="603">
        <f t="shared" si="3"/>
        <v>0</v>
      </c>
      <c r="AT30" s="604"/>
      <c r="AU30" s="606"/>
      <c r="AV30" s="603">
        <f t="shared" si="4"/>
        <v>0</v>
      </c>
      <c r="AW30" s="604"/>
      <c r="AX30" s="606"/>
      <c r="AY30" s="603">
        <f t="shared" si="31"/>
        <v>0</v>
      </c>
      <c r="AZ30" s="604"/>
      <c r="BA30" s="606"/>
      <c r="BB30" s="603">
        <f t="shared" si="32"/>
        <v>0</v>
      </c>
      <c r="BC30" s="604"/>
      <c r="BD30" s="602"/>
      <c r="BE30" s="603">
        <f t="shared" si="33"/>
        <v>0</v>
      </c>
      <c r="BF30" s="604"/>
      <c r="BG30" s="606"/>
      <c r="BH30" s="603">
        <f t="shared" si="34"/>
        <v>0</v>
      </c>
      <c r="BI30" s="604"/>
      <c r="BJ30" s="606"/>
      <c r="BK30" s="603">
        <f t="shared" ref="BK30:BK36" si="73">BL$3*BL$4*216*24*60*BJ30/9000000</f>
        <v>0</v>
      </c>
      <c r="BL30" s="605"/>
      <c r="BM30" s="606"/>
      <c r="BN30" s="603">
        <f t="shared" ref="BN30:BN36" si="74">BO$3*BO$4*216*24*60*BM30/9000000</f>
        <v>0</v>
      </c>
      <c r="BO30" s="605"/>
      <c r="BP30" s="606"/>
      <c r="BQ30" s="603">
        <f t="shared" si="65"/>
        <v>0</v>
      </c>
      <c r="BR30" s="604"/>
      <c r="BS30" s="602"/>
      <c r="BT30" s="603">
        <f t="shared" si="66"/>
        <v>0</v>
      </c>
      <c r="BU30" s="604"/>
      <c r="BV30" s="602"/>
      <c r="BW30" s="603">
        <f t="shared" si="7"/>
        <v>0</v>
      </c>
      <c r="BX30" s="604"/>
      <c r="BY30" s="602"/>
      <c r="BZ30" s="603">
        <f t="shared" si="8"/>
        <v>0</v>
      </c>
      <c r="CA30" s="605"/>
      <c r="CB30" s="602"/>
      <c r="CC30" s="603">
        <f t="shared" si="9"/>
        <v>0</v>
      </c>
      <c r="CD30" s="604"/>
      <c r="CE30" s="606"/>
      <c r="CF30" s="603">
        <f t="shared" si="10"/>
        <v>0</v>
      </c>
      <c r="CG30" s="605"/>
      <c r="CH30" s="602"/>
      <c r="CI30" s="603">
        <f t="shared" si="11"/>
        <v>0</v>
      </c>
      <c r="CJ30" s="605"/>
      <c r="CK30" s="602"/>
      <c r="CL30" s="603">
        <f t="shared" si="12"/>
        <v>0</v>
      </c>
      <c r="CM30" s="605"/>
      <c r="CN30" s="606"/>
      <c r="CO30" s="603">
        <f t="shared" si="13"/>
        <v>0</v>
      </c>
      <c r="CP30" s="605"/>
      <c r="CQ30" s="606"/>
      <c r="CR30" s="603">
        <f t="shared" si="14"/>
        <v>0</v>
      </c>
      <c r="CS30" s="604"/>
      <c r="CT30" s="606"/>
      <c r="CU30" s="603">
        <f t="shared" si="15"/>
        <v>0</v>
      </c>
      <c r="CV30" s="604"/>
      <c r="CW30" s="606"/>
      <c r="CX30" s="603">
        <f t="shared" si="16"/>
        <v>0</v>
      </c>
      <c r="CY30" s="605"/>
      <c r="CZ30" s="606"/>
      <c r="DA30" s="603">
        <f t="shared" si="17"/>
        <v>0</v>
      </c>
      <c r="DB30" s="604"/>
      <c r="DC30" s="606"/>
      <c r="DD30" s="603">
        <f t="shared" si="18"/>
        <v>0</v>
      </c>
      <c r="DE30" s="604"/>
      <c r="DF30" s="606"/>
      <c r="DG30" s="603">
        <f t="shared" si="37"/>
        <v>0</v>
      </c>
      <c r="DH30" s="605"/>
      <c r="DI30" s="606"/>
      <c r="DJ30" s="603">
        <f t="shared" si="38"/>
        <v>0</v>
      </c>
      <c r="DK30" s="605"/>
      <c r="DL30" s="606"/>
      <c r="DM30" s="603">
        <f t="shared" si="39"/>
        <v>0</v>
      </c>
      <c r="DN30" s="605"/>
      <c r="DO30" s="602"/>
      <c r="DP30" s="603">
        <f t="shared" si="40"/>
        <v>0</v>
      </c>
      <c r="DQ30" s="605"/>
      <c r="DR30" s="606"/>
      <c r="DS30" s="603">
        <f t="shared" si="41"/>
        <v>0</v>
      </c>
      <c r="DT30" s="605"/>
      <c r="DU30" s="602"/>
      <c r="DV30" s="603">
        <f t="shared" si="42"/>
        <v>0</v>
      </c>
      <c r="DW30" s="605"/>
      <c r="DX30" s="606"/>
      <c r="DY30" s="603">
        <f t="shared" si="43"/>
        <v>0</v>
      </c>
      <c r="DZ30" s="605"/>
      <c r="EA30" s="606"/>
      <c r="EB30" s="603">
        <f t="shared" si="44"/>
        <v>0</v>
      </c>
      <c r="EC30" s="605"/>
      <c r="ED30" s="606"/>
      <c r="EE30" s="603">
        <f t="shared" si="45"/>
        <v>0</v>
      </c>
      <c r="EF30" s="605"/>
      <c r="EG30" s="606"/>
      <c r="EH30" s="603">
        <f t="shared" si="46"/>
        <v>0</v>
      </c>
      <c r="EI30" s="605"/>
      <c r="EJ30" s="606"/>
      <c r="EK30" s="603">
        <f t="shared" si="47"/>
        <v>0</v>
      </c>
      <c r="EL30" s="605"/>
      <c r="EM30" s="606"/>
      <c r="EN30" s="603">
        <f t="shared" si="48"/>
        <v>0</v>
      </c>
      <c r="EO30" s="605"/>
      <c r="EP30" s="606"/>
      <c r="EQ30" s="603">
        <f t="shared" si="49"/>
        <v>0</v>
      </c>
      <c r="ER30" s="605"/>
      <c r="ES30" s="602"/>
      <c r="ET30" s="603">
        <f t="shared" si="52"/>
        <v>0</v>
      </c>
      <c r="EU30" s="605"/>
      <c r="EV30" s="602"/>
      <c r="EW30" s="603">
        <f t="shared" si="53"/>
        <v>0</v>
      </c>
      <c r="EX30" s="605"/>
      <c r="EY30" s="602"/>
      <c r="EZ30" s="603">
        <f t="shared" si="19"/>
        <v>0</v>
      </c>
      <c r="FA30" s="605"/>
      <c r="FB30" s="602"/>
      <c r="FC30" s="603">
        <f t="shared" si="20"/>
        <v>0</v>
      </c>
      <c r="FD30" s="605"/>
      <c r="FE30" s="602"/>
      <c r="FF30" s="603">
        <f t="shared" si="21"/>
        <v>0</v>
      </c>
      <c r="FG30" s="605"/>
      <c r="FH30" s="602"/>
      <c r="FI30" s="603">
        <f t="shared" si="50"/>
        <v>0</v>
      </c>
      <c r="FJ30" s="605"/>
      <c r="FK30" s="602"/>
      <c r="FL30" s="603">
        <f t="shared" si="22"/>
        <v>0</v>
      </c>
      <c r="FM30" s="605"/>
      <c r="FN30" s="602"/>
      <c r="FO30" s="603">
        <f t="shared" si="23"/>
        <v>0</v>
      </c>
      <c r="FP30" s="605"/>
      <c r="FQ30" s="602"/>
      <c r="FR30" s="603">
        <f t="shared" si="24"/>
        <v>0</v>
      </c>
      <c r="FS30" s="605"/>
      <c r="FT30" s="602"/>
      <c r="FU30" s="603">
        <f t="shared" si="51"/>
        <v>0</v>
      </c>
      <c r="FV30" s="605"/>
      <c r="FW30" s="602"/>
      <c r="FX30" s="603">
        <f t="shared" si="25"/>
        <v>0</v>
      </c>
      <c r="FY30" s="605"/>
      <c r="FZ30" s="606"/>
      <c r="GA30" s="603">
        <f t="shared" si="26"/>
        <v>0</v>
      </c>
      <c r="GB30" s="605"/>
      <c r="GC30" s="602"/>
      <c r="GD30" s="603">
        <f t="shared" si="27"/>
        <v>0</v>
      </c>
      <c r="GE30" s="605"/>
      <c r="GF30" s="602"/>
      <c r="GG30" s="603">
        <f t="shared" si="70"/>
        <v>0</v>
      </c>
      <c r="GH30" s="605"/>
      <c r="GI30" s="602"/>
      <c r="GJ30" s="603">
        <f t="shared" si="28"/>
        <v>0</v>
      </c>
      <c r="GK30" s="605"/>
      <c r="GL30" s="607">
        <f t="shared" si="72"/>
        <v>0</v>
      </c>
      <c r="GM30" s="608">
        <f>GL30+'33J'!BK30+'M80(20250122封存)'!CX30+MPS!AY30+TMT!CX30</f>
        <v>0</v>
      </c>
      <c r="GN30" s="609"/>
    </row>
    <row r="31" spans="1:197" s="611" customFormat="1" ht="14.25" customHeight="1">
      <c r="A31" s="601">
        <v>26</v>
      </c>
      <c r="B31" s="606"/>
      <c r="C31" s="603">
        <f t="shared" si="30"/>
        <v>0</v>
      </c>
      <c r="D31" s="612"/>
      <c r="E31" s="606"/>
      <c r="F31" s="603">
        <f t="shared" si="54"/>
        <v>0</v>
      </c>
      <c r="G31" s="612"/>
      <c r="H31" s="602"/>
      <c r="I31" s="603">
        <f t="shared" si="71"/>
        <v>0</v>
      </c>
      <c r="J31" s="612"/>
      <c r="K31" s="606"/>
      <c r="L31" s="603">
        <f t="shared" si="56"/>
        <v>0</v>
      </c>
      <c r="M31" s="612"/>
      <c r="N31" s="602"/>
      <c r="O31" s="603">
        <f t="shared" si="57"/>
        <v>0</v>
      </c>
      <c r="P31" s="612"/>
      <c r="Q31" s="602"/>
      <c r="R31" s="603">
        <f t="shared" si="67"/>
        <v>0</v>
      </c>
      <c r="S31" s="604"/>
      <c r="T31" s="606"/>
      <c r="U31" s="603">
        <f t="shared" si="68"/>
        <v>0</v>
      </c>
      <c r="V31" s="612"/>
      <c r="W31" s="606"/>
      <c r="X31" s="603">
        <f t="shared" si="60"/>
        <v>0</v>
      </c>
      <c r="Y31" s="604"/>
      <c r="Z31" s="602"/>
      <c r="AA31" s="603">
        <f t="shared" si="61"/>
        <v>0</v>
      </c>
      <c r="AB31" s="604"/>
      <c r="AC31" s="606"/>
      <c r="AD31" s="603">
        <f t="shared" si="0"/>
        <v>0</v>
      </c>
      <c r="AE31" s="604"/>
      <c r="AF31" s="606"/>
      <c r="AG31" s="603">
        <f t="shared" si="1"/>
        <v>0</v>
      </c>
      <c r="AH31" s="604"/>
      <c r="AI31" s="606"/>
      <c r="AJ31" s="603">
        <f t="shared" si="62"/>
        <v>0</v>
      </c>
      <c r="AK31" s="612"/>
      <c r="AL31" s="606"/>
      <c r="AM31" s="603">
        <f t="shared" si="69"/>
        <v>0</v>
      </c>
      <c r="AN31" s="604"/>
      <c r="AO31" s="606"/>
      <c r="AP31" s="603">
        <f t="shared" si="2"/>
        <v>0</v>
      </c>
      <c r="AQ31" s="604"/>
      <c r="AR31" s="606"/>
      <c r="AS31" s="603">
        <f t="shared" si="3"/>
        <v>0</v>
      </c>
      <c r="AT31" s="604"/>
      <c r="AU31" s="606"/>
      <c r="AV31" s="603">
        <f t="shared" si="4"/>
        <v>0</v>
      </c>
      <c r="AW31" s="604"/>
      <c r="AX31" s="606"/>
      <c r="AY31" s="603">
        <f t="shared" si="31"/>
        <v>0</v>
      </c>
      <c r="AZ31" s="604"/>
      <c r="BA31" s="606"/>
      <c r="BB31" s="603">
        <f t="shared" si="32"/>
        <v>0</v>
      </c>
      <c r="BC31" s="604"/>
      <c r="BD31" s="606"/>
      <c r="BE31" s="603">
        <f t="shared" si="33"/>
        <v>0</v>
      </c>
      <c r="BF31" s="604"/>
      <c r="BG31" s="606"/>
      <c r="BH31" s="603">
        <f t="shared" si="34"/>
        <v>0</v>
      </c>
      <c r="BI31" s="604"/>
      <c r="BJ31" s="606"/>
      <c r="BK31" s="603">
        <f t="shared" si="73"/>
        <v>0</v>
      </c>
      <c r="BL31" s="605"/>
      <c r="BM31" s="606"/>
      <c r="BN31" s="603">
        <f t="shared" si="74"/>
        <v>0</v>
      </c>
      <c r="BO31" s="605"/>
      <c r="BP31" s="606"/>
      <c r="BQ31" s="603">
        <f t="shared" si="65"/>
        <v>0</v>
      </c>
      <c r="BR31" s="604"/>
      <c r="BS31" s="602"/>
      <c r="BT31" s="603">
        <f t="shared" si="66"/>
        <v>0</v>
      </c>
      <c r="BU31" s="604"/>
      <c r="BV31" s="606"/>
      <c r="BW31" s="603">
        <f t="shared" si="7"/>
        <v>0</v>
      </c>
      <c r="BX31" s="604"/>
      <c r="BY31" s="602"/>
      <c r="BZ31" s="603">
        <f t="shared" si="8"/>
        <v>0</v>
      </c>
      <c r="CA31" s="605"/>
      <c r="CB31" s="602"/>
      <c r="CC31" s="603">
        <f t="shared" si="9"/>
        <v>0</v>
      </c>
      <c r="CD31" s="604"/>
      <c r="CE31" s="606"/>
      <c r="CF31" s="603">
        <f t="shared" si="10"/>
        <v>0</v>
      </c>
      <c r="CG31" s="605"/>
      <c r="CH31" s="602"/>
      <c r="CI31" s="603">
        <f t="shared" si="11"/>
        <v>0</v>
      </c>
      <c r="CJ31" s="605"/>
      <c r="CK31" s="602"/>
      <c r="CL31" s="603">
        <f t="shared" si="12"/>
        <v>0</v>
      </c>
      <c r="CM31" s="605"/>
      <c r="CN31" s="606"/>
      <c r="CO31" s="603">
        <f t="shared" si="13"/>
        <v>0</v>
      </c>
      <c r="CP31" s="605"/>
      <c r="CQ31" s="606"/>
      <c r="CR31" s="603">
        <f t="shared" si="14"/>
        <v>0</v>
      </c>
      <c r="CS31" s="604"/>
      <c r="CT31" s="606"/>
      <c r="CU31" s="603">
        <f t="shared" si="15"/>
        <v>0</v>
      </c>
      <c r="CV31" s="604"/>
      <c r="CW31" s="606"/>
      <c r="CX31" s="603">
        <f t="shared" si="16"/>
        <v>0</v>
      </c>
      <c r="CY31" s="605"/>
      <c r="CZ31" s="606"/>
      <c r="DA31" s="603">
        <f t="shared" si="17"/>
        <v>0</v>
      </c>
      <c r="DB31" s="604"/>
      <c r="DC31" s="606"/>
      <c r="DD31" s="603">
        <f t="shared" si="18"/>
        <v>0</v>
      </c>
      <c r="DE31" s="604"/>
      <c r="DF31" s="606"/>
      <c r="DG31" s="603">
        <f t="shared" si="37"/>
        <v>0</v>
      </c>
      <c r="DH31" s="605"/>
      <c r="DI31" s="606"/>
      <c r="DJ31" s="603">
        <f t="shared" si="38"/>
        <v>0</v>
      </c>
      <c r="DK31" s="605"/>
      <c r="DL31" s="606"/>
      <c r="DM31" s="603">
        <f t="shared" si="39"/>
        <v>0</v>
      </c>
      <c r="DN31" s="605"/>
      <c r="DO31" s="602"/>
      <c r="DP31" s="603">
        <f t="shared" si="40"/>
        <v>0</v>
      </c>
      <c r="DQ31" s="605"/>
      <c r="DR31" s="606"/>
      <c r="DS31" s="603">
        <f t="shared" si="41"/>
        <v>0</v>
      </c>
      <c r="DT31" s="605"/>
      <c r="DU31" s="602"/>
      <c r="DV31" s="603">
        <f t="shared" si="42"/>
        <v>0</v>
      </c>
      <c r="DW31" s="605"/>
      <c r="DX31" s="606"/>
      <c r="DY31" s="603">
        <f t="shared" si="43"/>
        <v>0</v>
      </c>
      <c r="DZ31" s="605"/>
      <c r="EA31" s="606"/>
      <c r="EB31" s="603">
        <f t="shared" si="44"/>
        <v>0</v>
      </c>
      <c r="EC31" s="605"/>
      <c r="ED31" s="606"/>
      <c r="EE31" s="603">
        <f t="shared" si="45"/>
        <v>0</v>
      </c>
      <c r="EF31" s="605"/>
      <c r="EG31" s="606"/>
      <c r="EH31" s="603">
        <f t="shared" si="46"/>
        <v>0</v>
      </c>
      <c r="EI31" s="605"/>
      <c r="EJ31" s="606"/>
      <c r="EK31" s="603">
        <f t="shared" si="47"/>
        <v>0</v>
      </c>
      <c r="EL31" s="605"/>
      <c r="EM31" s="606"/>
      <c r="EN31" s="603">
        <f t="shared" si="48"/>
        <v>0</v>
      </c>
      <c r="EO31" s="605"/>
      <c r="EP31" s="606"/>
      <c r="EQ31" s="603">
        <f t="shared" si="49"/>
        <v>0</v>
      </c>
      <c r="ER31" s="605"/>
      <c r="ES31" s="602"/>
      <c r="ET31" s="603">
        <f t="shared" si="52"/>
        <v>0</v>
      </c>
      <c r="EU31" s="605"/>
      <c r="EV31" s="602"/>
      <c r="EW31" s="603">
        <f t="shared" si="53"/>
        <v>0</v>
      </c>
      <c r="EX31" s="605"/>
      <c r="EY31" s="602"/>
      <c r="EZ31" s="603">
        <f t="shared" si="19"/>
        <v>0</v>
      </c>
      <c r="FA31" s="605"/>
      <c r="FB31" s="602"/>
      <c r="FC31" s="603">
        <f t="shared" si="20"/>
        <v>0</v>
      </c>
      <c r="FD31" s="605"/>
      <c r="FE31" s="602"/>
      <c r="FF31" s="603">
        <f t="shared" si="21"/>
        <v>0</v>
      </c>
      <c r="FG31" s="605"/>
      <c r="FH31" s="602"/>
      <c r="FI31" s="603">
        <f t="shared" si="50"/>
        <v>0</v>
      </c>
      <c r="FJ31" s="605"/>
      <c r="FK31" s="602"/>
      <c r="FL31" s="603">
        <f t="shared" si="22"/>
        <v>0</v>
      </c>
      <c r="FM31" s="605"/>
      <c r="FN31" s="602"/>
      <c r="FO31" s="603">
        <f t="shared" si="23"/>
        <v>0</v>
      </c>
      <c r="FP31" s="605"/>
      <c r="FQ31" s="602"/>
      <c r="FR31" s="603">
        <f t="shared" si="24"/>
        <v>0</v>
      </c>
      <c r="FS31" s="605"/>
      <c r="FT31" s="602"/>
      <c r="FU31" s="603">
        <f t="shared" si="51"/>
        <v>0</v>
      </c>
      <c r="FV31" s="605"/>
      <c r="FW31" s="606"/>
      <c r="FX31" s="603">
        <f t="shared" si="25"/>
        <v>0</v>
      </c>
      <c r="FY31" s="605"/>
      <c r="FZ31" s="606"/>
      <c r="GA31" s="603">
        <f t="shared" si="26"/>
        <v>0</v>
      </c>
      <c r="GB31" s="605"/>
      <c r="GC31" s="602"/>
      <c r="GD31" s="603">
        <f t="shared" si="27"/>
        <v>0</v>
      </c>
      <c r="GE31" s="605"/>
      <c r="GF31" s="602"/>
      <c r="GG31" s="603">
        <f t="shared" si="70"/>
        <v>0</v>
      </c>
      <c r="GH31" s="605"/>
      <c r="GI31" s="602"/>
      <c r="GJ31" s="603">
        <f t="shared" si="28"/>
        <v>0</v>
      </c>
      <c r="GK31" s="605"/>
      <c r="GL31" s="607">
        <f t="shared" si="72"/>
        <v>0</v>
      </c>
      <c r="GM31" s="608">
        <f>GL31+'33J'!BK31+'M80(20250122封存)'!CX31+MPS!AY31+TMT!CX31</f>
        <v>0</v>
      </c>
      <c r="GN31" s="609"/>
    </row>
    <row r="32" spans="1:197" s="611" customFormat="1" ht="14.25" customHeight="1">
      <c r="A32" s="601">
        <v>27</v>
      </c>
      <c r="B32" s="606"/>
      <c r="C32" s="603">
        <f t="shared" si="30"/>
        <v>0</v>
      </c>
      <c r="D32" s="612"/>
      <c r="E32" s="606"/>
      <c r="F32" s="603">
        <f t="shared" si="54"/>
        <v>0</v>
      </c>
      <c r="G32" s="612"/>
      <c r="H32" s="602"/>
      <c r="I32" s="603">
        <f t="shared" si="71"/>
        <v>0</v>
      </c>
      <c r="J32" s="612"/>
      <c r="K32" s="606"/>
      <c r="L32" s="603">
        <f t="shared" si="56"/>
        <v>0</v>
      </c>
      <c r="M32" s="612"/>
      <c r="N32" s="602"/>
      <c r="O32" s="603">
        <f t="shared" si="57"/>
        <v>0</v>
      </c>
      <c r="P32" s="612"/>
      <c r="Q32" s="602"/>
      <c r="R32" s="603">
        <f t="shared" si="67"/>
        <v>0</v>
      </c>
      <c r="S32" s="604"/>
      <c r="T32" s="606"/>
      <c r="U32" s="603">
        <f t="shared" si="68"/>
        <v>0</v>
      </c>
      <c r="V32" s="612"/>
      <c r="W32" s="606"/>
      <c r="X32" s="603">
        <f t="shared" si="60"/>
        <v>0</v>
      </c>
      <c r="Y32" s="604"/>
      <c r="Z32" s="602"/>
      <c r="AA32" s="603">
        <f t="shared" si="61"/>
        <v>0</v>
      </c>
      <c r="AB32" s="604"/>
      <c r="AC32" s="606"/>
      <c r="AD32" s="603">
        <f t="shared" si="0"/>
        <v>0</v>
      </c>
      <c r="AE32" s="604"/>
      <c r="AF32" s="606"/>
      <c r="AG32" s="603">
        <f t="shared" si="1"/>
        <v>0</v>
      </c>
      <c r="AH32" s="604"/>
      <c r="AI32" s="606"/>
      <c r="AJ32" s="603">
        <f t="shared" si="62"/>
        <v>0</v>
      </c>
      <c r="AK32" s="612"/>
      <c r="AL32" s="606"/>
      <c r="AM32" s="603">
        <f t="shared" si="69"/>
        <v>0</v>
      </c>
      <c r="AN32" s="604"/>
      <c r="AO32" s="606"/>
      <c r="AP32" s="603">
        <f t="shared" si="2"/>
        <v>0</v>
      </c>
      <c r="AQ32" s="604"/>
      <c r="AR32" s="606"/>
      <c r="AS32" s="603">
        <f t="shared" si="3"/>
        <v>0</v>
      </c>
      <c r="AT32" s="604"/>
      <c r="AU32" s="606"/>
      <c r="AV32" s="603">
        <f t="shared" si="4"/>
        <v>0</v>
      </c>
      <c r="AW32" s="604"/>
      <c r="AX32" s="606"/>
      <c r="AY32" s="603">
        <f t="shared" si="31"/>
        <v>0</v>
      </c>
      <c r="AZ32" s="604"/>
      <c r="BA32" s="606"/>
      <c r="BB32" s="603">
        <f t="shared" si="32"/>
        <v>0</v>
      </c>
      <c r="BC32" s="604"/>
      <c r="BD32" s="606"/>
      <c r="BE32" s="603">
        <f t="shared" si="33"/>
        <v>0</v>
      </c>
      <c r="BF32" s="604"/>
      <c r="BG32" s="606"/>
      <c r="BH32" s="603">
        <f t="shared" si="34"/>
        <v>0</v>
      </c>
      <c r="BI32" s="604"/>
      <c r="BJ32" s="606"/>
      <c r="BK32" s="603">
        <f t="shared" si="73"/>
        <v>0</v>
      </c>
      <c r="BL32" s="605"/>
      <c r="BM32" s="606"/>
      <c r="BN32" s="603">
        <f t="shared" si="74"/>
        <v>0</v>
      </c>
      <c r="BO32" s="605"/>
      <c r="BP32" s="606"/>
      <c r="BQ32" s="603">
        <f t="shared" si="65"/>
        <v>0</v>
      </c>
      <c r="BR32" s="604"/>
      <c r="BS32" s="606"/>
      <c r="BT32" s="603">
        <f t="shared" si="66"/>
        <v>0</v>
      </c>
      <c r="BU32" s="604"/>
      <c r="BV32" s="606"/>
      <c r="BW32" s="603">
        <f t="shared" si="7"/>
        <v>0</v>
      </c>
      <c r="BX32" s="604"/>
      <c r="BY32" s="606"/>
      <c r="BZ32" s="603">
        <f t="shared" si="8"/>
        <v>0</v>
      </c>
      <c r="CA32" s="605"/>
      <c r="CB32" s="606"/>
      <c r="CC32" s="603">
        <f t="shared" si="9"/>
        <v>0</v>
      </c>
      <c r="CD32" s="604"/>
      <c r="CE32" s="606"/>
      <c r="CF32" s="603">
        <f t="shared" si="10"/>
        <v>0</v>
      </c>
      <c r="CG32" s="605"/>
      <c r="CH32" s="606"/>
      <c r="CI32" s="603">
        <f t="shared" si="11"/>
        <v>0</v>
      </c>
      <c r="CJ32" s="605"/>
      <c r="CK32" s="606"/>
      <c r="CL32" s="603">
        <f t="shared" si="12"/>
        <v>0</v>
      </c>
      <c r="CM32" s="605"/>
      <c r="CN32" s="606"/>
      <c r="CO32" s="603">
        <f t="shared" si="13"/>
        <v>0</v>
      </c>
      <c r="CP32" s="605"/>
      <c r="CQ32" s="606"/>
      <c r="CR32" s="603">
        <f t="shared" si="14"/>
        <v>0</v>
      </c>
      <c r="CS32" s="604"/>
      <c r="CT32" s="606"/>
      <c r="CU32" s="603">
        <f t="shared" si="15"/>
        <v>0</v>
      </c>
      <c r="CV32" s="604"/>
      <c r="CW32" s="606"/>
      <c r="CX32" s="603">
        <f t="shared" si="16"/>
        <v>0</v>
      </c>
      <c r="CY32" s="605"/>
      <c r="CZ32" s="606"/>
      <c r="DA32" s="603">
        <f t="shared" si="17"/>
        <v>0</v>
      </c>
      <c r="DB32" s="604"/>
      <c r="DC32" s="606"/>
      <c r="DD32" s="603">
        <f t="shared" si="18"/>
        <v>0</v>
      </c>
      <c r="DE32" s="604"/>
      <c r="DF32" s="606"/>
      <c r="DG32" s="603">
        <f t="shared" si="37"/>
        <v>0</v>
      </c>
      <c r="DH32" s="605"/>
      <c r="DI32" s="606"/>
      <c r="DJ32" s="603">
        <f t="shared" si="38"/>
        <v>0</v>
      </c>
      <c r="DK32" s="605"/>
      <c r="DL32" s="606"/>
      <c r="DM32" s="603">
        <f t="shared" si="39"/>
        <v>0</v>
      </c>
      <c r="DN32" s="605"/>
      <c r="DO32" s="602"/>
      <c r="DP32" s="603">
        <f t="shared" si="40"/>
        <v>0</v>
      </c>
      <c r="DQ32" s="605"/>
      <c r="DR32" s="606"/>
      <c r="DS32" s="603">
        <f t="shared" si="41"/>
        <v>0</v>
      </c>
      <c r="DT32" s="605"/>
      <c r="DU32" s="602"/>
      <c r="DV32" s="603">
        <f t="shared" si="42"/>
        <v>0</v>
      </c>
      <c r="DW32" s="605"/>
      <c r="DX32" s="606"/>
      <c r="DY32" s="603">
        <f t="shared" si="43"/>
        <v>0</v>
      </c>
      <c r="DZ32" s="605"/>
      <c r="EA32" s="606"/>
      <c r="EB32" s="603">
        <f t="shared" si="44"/>
        <v>0</v>
      </c>
      <c r="EC32" s="605"/>
      <c r="ED32" s="606"/>
      <c r="EE32" s="603">
        <f t="shared" si="45"/>
        <v>0</v>
      </c>
      <c r="EF32" s="605"/>
      <c r="EG32" s="606"/>
      <c r="EH32" s="603">
        <f t="shared" si="46"/>
        <v>0</v>
      </c>
      <c r="EI32" s="605"/>
      <c r="EJ32" s="606"/>
      <c r="EK32" s="603">
        <f t="shared" si="47"/>
        <v>0</v>
      </c>
      <c r="EL32" s="605"/>
      <c r="EM32" s="606"/>
      <c r="EN32" s="603">
        <f t="shared" si="48"/>
        <v>0</v>
      </c>
      <c r="EO32" s="605"/>
      <c r="EP32" s="606"/>
      <c r="EQ32" s="603">
        <f t="shared" si="49"/>
        <v>0</v>
      </c>
      <c r="ER32" s="605"/>
      <c r="ES32" s="602"/>
      <c r="ET32" s="603">
        <f t="shared" si="52"/>
        <v>0</v>
      </c>
      <c r="EU32" s="605"/>
      <c r="EV32" s="602"/>
      <c r="EW32" s="603">
        <f t="shared" si="53"/>
        <v>0</v>
      </c>
      <c r="EX32" s="605"/>
      <c r="EY32" s="602"/>
      <c r="EZ32" s="603">
        <f t="shared" si="19"/>
        <v>0</v>
      </c>
      <c r="FA32" s="605"/>
      <c r="FB32" s="602"/>
      <c r="FC32" s="603">
        <f t="shared" si="20"/>
        <v>0</v>
      </c>
      <c r="FD32" s="605"/>
      <c r="FE32" s="602"/>
      <c r="FF32" s="603">
        <f t="shared" si="21"/>
        <v>0</v>
      </c>
      <c r="FG32" s="605"/>
      <c r="FH32" s="602"/>
      <c r="FI32" s="603">
        <f t="shared" si="50"/>
        <v>0</v>
      </c>
      <c r="FJ32" s="605"/>
      <c r="FK32" s="602"/>
      <c r="FL32" s="603">
        <f t="shared" si="22"/>
        <v>0</v>
      </c>
      <c r="FM32" s="605"/>
      <c r="FN32" s="602"/>
      <c r="FO32" s="603">
        <f t="shared" si="23"/>
        <v>0</v>
      </c>
      <c r="FP32" s="605"/>
      <c r="FQ32" s="602"/>
      <c r="FR32" s="603">
        <f t="shared" si="24"/>
        <v>0</v>
      </c>
      <c r="FS32" s="605"/>
      <c r="FT32" s="602"/>
      <c r="FU32" s="603">
        <f t="shared" si="51"/>
        <v>0</v>
      </c>
      <c r="FV32" s="605"/>
      <c r="FW32" s="602"/>
      <c r="FX32" s="603">
        <f t="shared" si="25"/>
        <v>0</v>
      </c>
      <c r="FY32" s="605"/>
      <c r="FZ32" s="602"/>
      <c r="GA32" s="603">
        <f t="shared" si="26"/>
        <v>0</v>
      </c>
      <c r="GB32" s="605"/>
      <c r="GC32" s="602"/>
      <c r="GD32" s="603">
        <f t="shared" si="27"/>
        <v>0</v>
      </c>
      <c r="GE32" s="605"/>
      <c r="GF32" s="602"/>
      <c r="GG32" s="603">
        <f t="shared" si="70"/>
        <v>0</v>
      </c>
      <c r="GH32" s="605"/>
      <c r="GI32" s="606"/>
      <c r="GJ32" s="603">
        <f t="shared" si="28"/>
        <v>0</v>
      </c>
      <c r="GK32" s="605"/>
      <c r="GL32" s="607">
        <f t="shared" si="72"/>
        <v>0</v>
      </c>
      <c r="GM32" s="608">
        <f>GL32+'33J'!BK32+'M80(20250122封存)'!CX32+MPS!AY32+TMT!CX32</f>
        <v>0</v>
      </c>
      <c r="GN32" s="609"/>
    </row>
    <row r="33" spans="1:196" s="611" customFormat="1" ht="14.25" customHeight="1">
      <c r="A33" s="601">
        <v>28</v>
      </c>
      <c r="B33" s="606"/>
      <c r="C33" s="603">
        <f t="shared" si="30"/>
        <v>0</v>
      </c>
      <c r="D33" s="613"/>
      <c r="E33" s="606"/>
      <c r="F33" s="603">
        <f t="shared" si="54"/>
        <v>0</v>
      </c>
      <c r="G33" s="613"/>
      <c r="H33" s="602"/>
      <c r="I33" s="603">
        <f t="shared" si="71"/>
        <v>0</v>
      </c>
      <c r="J33" s="613"/>
      <c r="K33" s="606"/>
      <c r="L33" s="603">
        <f t="shared" si="56"/>
        <v>0</v>
      </c>
      <c r="M33" s="613"/>
      <c r="N33" s="602"/>
      <c r="O33" s="603">
        <f t="shared" si="57"/>
        <v>0</v>
      </c>
      <c r="P33" s="613"/>
      <c r="Q33" s="602"/>
      <c r="R33" s="603">
        <f t="shared" si="67"/>
        <v>0</v>
      </c>
      <c r="S33" s="604"/>
      <c r="T33" s="606"/>
      <c r="U33" s="603">
        <f t="shared" si="68"/>
        <v>0</v>
      </c>
      <c r="V33" s="613"/>
      <c r="W33" s="606"/>
      <c r="X33" s="603">
        <f t="shared" si="60"/>
        <v>0</v>
      </c>
      <c r="Y33" s="604"/>
      <c r="Z33" s="602"/>
      <c r="AA33" s="603">
        <f t="shared" si="61"/>
        <v>0</v>
      </c>
      <c r="AB33" s="604"/>
      <c r="AC33" s="606"/>
      <c r="AD33" s="603">
        <f t="shared" si="0"/>
        <v>0</v>
      </c>
      <c r="AE33" s="604"/>
      <c r="AF33" s="606"/>
      <c r="AG33" s="603">
        <f t="shared" si="1"/>
        <v>0</v>
      </c>
      <c r="AH33" s="604"/>
      <c r="AI33" s="606"/>
      <c r="AJ33" s="603">
        <f t="shared" si="62"/>
        <v>0</v>
      </c>
      <c r="AK33" s="613"/>
      <c r="AL33" s="606"/>
      <c r="AM33" s="603">
        <f t="shared" si="69"/>
        <v>0</v>
      </c>
      <c r="AN33" s="604"/>
      <c r="AO33" s="606"/>
      <c r="AP33" s="603">
        <f t="shared" si="2"/>
        <v>0</v>
      </c>
      <c r="AQ33" s="604"/>
      <c r="AR33" s="606"/>
      <c r="AS33" s="603">
        <f t="shared" si="3"/>
        <v>0</v>
      </c>
      <c r="AT33" s="604"/>
      <c r="AU33" s="606"/>
      <c r="AV33" s="603">
        <f t="shared" si="4"/>
        <v>0</v>
      </c>
      <c r="AW33" s="604"/>
      <c r="AX33" s="606"/>
      <c r="AY33" s="603">
        <f t="shared" si="31"/>
        <v>0</v>
      </c>
      <c r="AZ33" s="604"/>
      <c r="BA33" s="606"/>
      <c r="BB33" s="603">
        <f t="shared" si="32"/>
        <v>0</v>
      </c>
      <c r="BC33" s="604"/>
      <c r="BD33" s="606"/>
      <c r="BE33" s="603">
        <f t="shared" si="33"/>
        <v>0</v>
      </c>
      <c r="BF33" s="604"/>
      <c r="BG33" s="606"/>
      <c r="BH33" s="603">
        <f t="shared" si="34"/>
        <v>0</v>
      </c>
      <c r="BI33" s="1483"/>
      <c r="BJ33" s="606"/>
      <c r="BK33" s="603">
        <f t="shared" si="73"/>
        <v>0</v>
      </c>
      <c r="BL33" s="605"/>
      <c r="BM33" s="606"/>
      <c r="BN33" s="603">
        <f t="shared" si="74"/>
        <v>0</v>
      </c>
      <c r="BO33" s="605"/>
      <c r="BP33" s="606"/>
      <c r="BQ33" s="603">
        <f t="shared" si="65"/>
        <v>0</v>
      </c>
      <c r="BR33" s="604"/>
      <c r="BS33" s="606"/>
      <c r="BT33" s="603">
        <f t="shared" si="66"/>
        <v>0</v>
      </c>
      <c r="BU33" s="604"/>
      <c r="BV33" s="606"/>
      <c r="BW33" s="603">
        <f t="shared" si="7"/>
        <v>0</v>
      </c>
      <c r="BX33" s="604"/>
      <c r="BY33" s="606"/>
      <c r="BZ33" s="603">
        <f t="shared" si="8"/>
        <v>0</v>
      </c>
      <c r="CA33" s="605"/>
      <c r="CB33" s="606"/>
      <c r="CC33" s="603">
        <f t="shared" si="9"/>
        <v>0</v>
      </c>
      <c r="CD33" s="604"/>
      <c r="CE33" s="606"/>
      <c r="CF33" s="603">
        <f t="shared" si="10"/>
        <v>0</v>
      </c>
      <c r="CG33" s="605"/>
      <c r="CH33" s="606"/>
      <c r="CI33" s="603">
        <f t="shared" si="11"/>
        <v>0</v>
      </c>
      <c r="CJ33" s="605"/>
      <c r="CK33" s="606"/>
      <c r="CL33" s="603">
        <f t="shared" si="12"/>
        <v>0</v>
      </c>
      <c r="CM33" s="605"/>
      <c r="CN33" s="606"/>
      <c r="CO33" s="603">
        <f t="shared" si="13"/>
        <v>0</v>
      </c>
      <c r="CP33" s="605"/>
      <c r="CQ33" s="606"/>
      <c r="CR33" s="603">
        <f t="shared" si="14"/>
        <v>0</v>
      </c>
      <c r="CS33" s="604"/>
      <c r="CT33" s="606"/>
      <c r="CU33" s="603">
        <f t="shared" si="15"/>
        <v>0</v>
      </c>
      <c r="CV33" s="604"/>
      <c r="CW33" s="606"/>
      <c r="CX33" s="603">
        <f t="shared" si="16"/>
        <v>0</v>
      </c>
      <c r="CY33" s="605"/>
      <c r="CZ33" s="606"/>
      <c r="DA33" s="603">
        <f t="shared" si="17"/>
        <v>0</v>
      </c>
      <c r="DB33" s="604"/>
      <c r="DC33" s="606"/>
      <c r="DD33" s="603">
        <f t="shared" si="18"/>
        <v>0</v>
      </c>
      <c r="DE33" s="604"/>
      <c r="DF33" s="606"/>
      <c r="DG33" s="603">
        <f t="shared" si="37"/>
        <v>0</v>
      </c>
      <c r="DH33" s="605"/>
      <c r="DI33" s="606"/>
      <c r="DJ33" s="603">
        <f t="shared" si="38"/>
        <v>0</v>
      </c>
      <c r="DK33" s="605"/>
      <c r="DL33" s="606"/>
      <c r="DM33" s="603">
        <f t="shared" si="39"/>
        <v>0</v>
      </c>
      <c r="DN33" s="605"/>
      <c r="DO33" s="602"/>
      <c r="DP33" s="603">
        <f t="shared" si="40"/>
        <v>0</v>
      </c>
      <c r="DQ33" s="605"/>
      <c r="DR33" s="606"/>
      <c r="DS33" s="603">
        <f t="shared" si="41"/>
        <v>0</v>
      </c>
      <c r="DT33" s="605"/>
      <c r="DU33" s="602"/>
      <c r="DV33" s="603">
        <f t="shared" si="42"/>
        <v>0</v>
      </c>
      <c r="DW33" s="605"/>
      <c r="DX33" s="606"/>
      <c r="DY33" s="603">
        <f t="shared" si="43"/>
        <v>0</v>
      </c>
      <c r="DZ33" s="605"/>
      <c r="EA33" s="606"/>
      <c r="EB33" s="603">
        <f t="shared" si="44"/>
        <v>0</v>
      </c>
      <c r="EC33" s="605"/>
      <c r="ED33" s="606"/>
      <c r="EE33" s="603">
        <f t="shared" si="45"/>
        <v>0</v>
      </c>
      <c r="EF33" s="605"/>
      <c r="EG33" s="606"/>
      <c r="EH33" s="603">
        <f t="shared" si="46"/>
        <v>0</v>
      </c>
      <c r="EI33" s="605"/>
      <c r="EJ33" s="606"/>
      <c r="EK33" s="603">
        <f t="shared" si="47"/>
        <v>0</v>
      </c>
      <c r="EL33" s="605"/>
      <c r="EM33" s="606"/>
      <c r="EN33" s="603">
        <f t="shared" si="48"/>
        <v>0</v>
      </c>
      <c r="EO33" s="605"/>
      <c r="EP33" s="606"/>
      <c r="EQ33" s="603">
        <f t="shared" si="49"/>
        <v>0</v>
      </c>
      <c r="ER33" s="605"/>
      <c r="ES33" s="602"/>
      <c r="ET33" s="603">
        <f t="shared" si="52"/>
        <v>0</v>
      </c>
      <c r="EU33" s="605"/>
      <c r="EV33" s="602"/>
      <c r="EW33" s="603">
        <f t="shared" si="53"/>
        <v>0</v>
      </c>
      <c r="EX33" s="605"/>
      <c r="EY33" s="602"/>
      <c r="EZ33" s="603">
        <f t="shared" si="19"/>
        <v>0</v>
      </c>
      <c r="FA33" s="605"/>
      <c r="FB33" s="602"/>
      <c r="FC33" s="603">
        <f t="shared" si="20"/>
        <v>0</v>
      </c>
      <c r="FD33" s="605"/>
      <c r="FE33" s="602"/>
      <c r="FF33" s="603">
        <f t="shared" si="21"/>
        <v>0</v>
      </c>
      <c r="FG33" s="605"/>
      <c r="FH33" s="602"/>
      <c r="FI33" s="603">
        <f t="shared" si="50"/>
        <v>0</v>
      </c>
      <c r="FJ33" s="605"/>
      <c r="FK33" s="602"/>
      <c r="FL33" s="603">
        <f t="shared" si="22"/>
        <v>0</v>
      </c>
      <c r="FM33" s="605"/>
      <c r="FN33" s="602"/>
      <c r="FO33" s="603">
        <f t="shared" si="23"/>
        <v>0</v>
      </c>
      <c r="FP33" s="605"/>
      <c r="FQ33" s="602"/>
      <c r="FR33" s="603">
        <f t="shared" si="24"/>
        <v>0</v>
      </c>
      <c r="FS33" s="605"/>
      <c r="FT33" s="602"/>
      <c r="FU33" s="603">
        <f t="shared" si="51"/>
        <v>0</v>
      </c>
      <c r="FV33" s="605"/>
      <c r="FW33" s="602"/>
      <c r="FX33" s="603">
        <f t="shared" si="25"/>
        <v>0</v>
      </c>
      <c r="FY33" s="605"/>
      <c r="FZ33" s="602"/>
      <c r="GA33" s="603">
        <f t="shared" si="26"/>
        <v>0</v>
      </c>
      <c r="GB33" s="605"/>
      <c r="GC33" s="602"/>
      <c r="GD33" s="603">
        <f t="shared" si="27"/>
        <v>0</v>
      </c>
      <c r="GE33" s="605"/>
      <c r="GF33" s="602"/>
      <c r="GG33" s="603">
        <f t="shared" si="70"/>
        <v>0</v>
      </c>
      <c r="GH33" s="605"/>
      <c r="GI33" s="606"/>
      <c r="GJ33" s="603">
        <f t="shared" si="28"/>
        <v>0</v>
      </c>
      <c r="GK33" s="605"/>
      <c r="GL33" s="607">
        <f t="shared" si="72"/>
        <v>0</v>
      </c>
      <c r="GM33" s="608">
        <f>GL33+'33J'!BK33+'M80(20250122封存)'!CX33+MPS!AY33+TMT!CX33</f>
        <v>0</v>
      </c>
      <c r="GN33" s="609"/>
    </row>
    <row r="34" spans="1:196" s="611" customFormat="1" ht="14.25" customHeight="1">
      <c r="A34" s="601">
        <v>29</v>
      </c>
      <c r="B34" s="606"/>
      <c r="C34" s="603">
        <f t="shared" si="30"/>
        <v>0</v>
      </c>
      <c r="D34" s="612"/>
      <c r="E34" s="606"/>
      <c r="F34" s="603">
        <f t="shared" si="54"/>
        <v>0</v>
      </c>
      <c r="G34" s="612"/>
      <c r="H34" s="602"/>
      <c r="I34" s="603">
        <f t="shared" si="71"/>
        <v>0</v>
      </c>
      <c r="J34" s="612"/>
      <c r="K34" s="606"/>
      <c r="L34" s="603">
        <f t="shared" si="56"/>
        <v>0</v>
      </c>
      <c r="M34" s="612"/>
      <c r="N34" s="602"/>
      <c r="O34" s="603">
        <f t="shared" si="57"/>
        <v>0</v>
      </c>
      <c r="P34" s="612"/>
      <c r="Q34" s="602"/>
      <c r="R34" s="603">
        <f t="shared" si="67"/>
        <v>0</v>
      </c>
      <c r="S34" s="604"/>
      <c r="T34" s="606"/>
      <c r="U34" s="603">
        <f t="shared" si="68"/>
        <v>0</v>
      </c>
      <c r="V34" s="612"/>
      <c r="W34" s="606"/>
      <c r="X34" s="603">
        <f t="shared" si="60"/>
        <v>0</v>
      </c>
      <c r="Y34" s="604"/>
      <c r="Z34" s="602"/>
      <c r="AA34" s="603">
        <f t="shared" si="61"/>
        <v>0</v>
      </c>
      <c r="AB34" s="604"/>
      <c r="AC34" s="606"/>
      <c r="AD34" s="603">
        <f t="shared" si="0"/>
        <v>0</v>
      </c>
      <c r="AE34" s="604"/>
      <c r="AF34" s="606"/>
      <c r="AG34" s="603">
        <f t="shared" si="1"/>
        <v>0</v>
      </c>
      <c r="AH34" s="604"/>
      <c r="AI34" s="606"/>
      <c r="AJ34" s="603">
        <f t="shared" si="62"/>
        <v>0</v>
      </c>
      <c r="AK34" s="612"/>
      <c r="AL34" s="606"/>
      <c r="AM34" s="603">
        <f t="shared" si="69"/>
        <v>0</v>
      </c>
      <c r="AN34" s="604"/>
      <c r="AO34" s="606"/>
      <c r="AP34" s="603">
        <f t="shared" si="2"/>
        <v>0</v>
      </c>
      <c r="AQ34" s="604"/>
      <c r="AR34" s="606"/>
      <c r="AS34" s="603">
        <f t="shared" si="3"/>
        <v>0</v>
      </c>
      <c r="AT34" s="604"/>
      <c r="AU34" s="606"/>
      <c r="AV34" s="603">
        <f t="shared" si="4"/>
        <v>0</v>
      </c>
      <c r="AW34" s="604"/>
      <c r="AX34" s="606"/>
      <c r="AY34" s="603">
        <f t="shared" si="31"/>
        <v>0</v>
      </c>
      <c r="AZ34" s="604"/>
      <c r="BA34" s="606"/>
      <c r="BB34" s="603">
        <f t="shared" si="32"/>
        <v>0</v>
      </c>
      <c r="BC34" s="604"/>
      <c r="BD34" s="606"/>
      <c r="BE34" s="603">
        <f t="shared" si="33"/>
        <v>0</v>
      </c>
      <c r="BF34" s="604"/>
      <c r="BG34" s="606"/>
      <c r="BH34" s="603">
        <f t="shared" si="34"/>
        <v>0</v>
      </c>
      <c r="BI34" s="604"/>
      <c r="BJ34" s="606"/>
      <c r="BK34" s="603">
        <f t="shared" si="73"/>
        <v>0</v>
      </c>
      <c r="BL34" s="605"/>
      <c r="BM34" s="606"/>
      <c r="BN34" s="603">
        <f t="shared" si="74"/>
        <v>0</v>
      </c>
      <c r="BO34" s="605"/>
      <c r="BP34" s="606"/>
      <c r="BQ34" s="603">
        <f t="shared" si="65"/>
        <v>0</v>
      </c>
      <c r="BR34" s="604"/>
      <c r="BS34" s="606"/>
      <c r="BT34" s="603">
        <f t="shared" si="66"/>
        <v>0</v>
      </c>
      <c r="BU34" s="604"/>
      <c r="BV34" s="606"/>
      <c r="BW34" s="603">
        <f t="shared" si="7"/>
        <v>0</v>
      </c>
      <c r="BX34" s="604"/>
      <c r="BY34" s="606"/>
      <c r="BZ34" s="603">
        <f t="shared" si="8"/>
        <v>0</v>
      </c>
      <c r="CA34" s="605"/>
      <c r="CB34" s="606"/>
      <c r="CC34" s="603">
        <f t="shared" si="9"/>
        <v>0</v>
      </c>
      <c r="CD34" s="604"/>
      <c r="CE34" s="606"/>
      <c r="CF34" s="603">
        <f t="shared" si="10"/>
        <v>0</v>
      </c>
      <c r="CG34" s="605"/>
      <c r="CH34" s="606"/>
      <c r="CI34" s="603">
        <f t="shared" si="11"/>
        <v>0</v>
      </c>
      <c r="CJ34" s="605"/>
      <c r="CK34" s="606"/>
      <c r="CL34" s="603">
        <f t="shared" si="12"/>
        <v>0</v>
      </c>
      <c r="CM34" s="605"/>
      <c r="CN34" s="606"/>
      <c r="CO34" s="603">
        <f t="shared" si="13"/>
        <v>0</v>
      </c>
      <c r="CP34" s="605"/>
      <c r="CQ34" s="606"/>
      <c r="CR34" s="603">
        <f t="shared" si="14"/>
        <v>0</v>
      </c>
      <c r="CS34" s="604"/>
      <c r="CT34" s="606"/>
      <c r="CU34" s="603">
        <f t="shared" si="15"/>
        <v>0</v>
      </c>
      <c r="CV34" s="604"/>
      <c r="CW34" s="606"/>
      <c r="CX34" s="603">
        <f t="shared" si="16"/>
        <v>0</v>
      </c>
      <c r="CY34" s="605"/>
      <c r="CZ34" s="606"/>
      <c r="DA34" s="603">
        <f t="shared" si="17"/>
        <v>0</v>
      </c>
      <c r="DB34" s="604"/>
      <c r="DC34" s="606"/>
      <c r="DD34" s="603">
        <f t="shared" si="18"/>
        <v>0</v>
      </c>
      <c r="DE34" s="604"/>
      <c r="DF34" s="606"/>
      <c r="DG34" s="603">
        <f t="shared" si="37"/>
        <v>0</v>
      </c>
      <c r="DH34" s="605"/>
      <c r="DI34" s="606"/>
      <c r="DJ34" s="603">
        <f t="shared" si="38"/>
        <v>0</v>
      </c>
      <c r="DK34" s="605"/>
      <c r="DL34" s="606"/>
      <c r="DM34" s="603">
        <f t="shared" si="39"/>
        <v>0</v>
      </c>
      <c r="DN34" s="605"/>
      <c r="DO34" s="602"/>
      <c r="DP34" s="603">
        <f t="shared" si="40"/>
        <v>0</v>
      </c>
      <c r="DQ34" s="605"/>
      <c r="DR34" s="606"/>
      <c r="DS34" s="603">
        <f t="shared" si="41"/>
        <v>0</v>
      </c>
      <c r="DT34" s="605"/>
      <c r="DU34" s="602"/>
      <c r="DV34" s="603">
        <f t="shared" si="42"/>
        <v>0</v>
      </c>
      <c r="DW34" s="605"/>
      <c r="DX34" s="606"/>
      <c r="DY34" s="603">
        <f t="shared" si="43"/>
        <v>0</v>
      </c>
      <c r="DZ34" s="605"/>
      <c r="EA34" s="606"/>
      <c r="EB34" s="603">
        <f t="shared" si="44"/>
        <v>0</v>
      </c>
      <c r="EC34" s="605"/>
      <c r="ED34" s="606"/>
      <c r="EE34" s="603">
        <f t="shared" si="45"/>
        <v>0</v>
      </c>
      <c r="EF34" s="605"/>
      <c r="EG34" s="606"/>
      <c r="EH34" s="603">
        <f t="shared" si="46"/>
        <v>0</v>
      </c>
      <c r="EI34" s="605"/>
      <c r="EJ34" s="606"/>
      <c r="EK34" s="603">
        <f t="shared" si="47"/>
        <v>0</v>
      </c>
      <c r="EL34" s="605"/>
      <c r="EM34" s="606"/>
      <c r="EN34" s="603">
        <f t="shared" si="48"/>
        <v>0</v>
      </c>
      <c r="EO34" s="605"/>
      <c r="EP34" s="606"/>
      <c r="EQ34" s="603">
        <f t="shared" si="49"/>
        <v>0</v>
      </c>
      <c r="ER34" s="605"/>
      <c r="ES34" s="602"/>
      <c r="ET34" s="603">
        <f t="shared" si="52"/>
        <v>0</v>
      </c>
      <c r="EU34" s="605"/>
      <c r="EV34" s="602"/>
      <c r="EW34" s="603">
        <f t="shared" si="53"/>
        <v>0</v>
      </c>
      <c r="EX34" s="605"/>
      <c r="EY34" s="602"/>
      <c r="EZ34" s="603">
        <f t="shared" si="19"/>
        <v>0</v>
      </c>
      <c r="FA34" s="605"/>
      <c r="FB34" s="602"/>
      <c r="FC34" s="603">
        <f t="shared" si="20"/>
        <v>0</v>
      </c>
      <c r="FD34" s="605"/>
      <c r="FE34" s="602"/>
      <c r="FF34" s="603">
        <f t="shared" si="21"/>
        <v>0</v>
      </c>
      <c r="FG34" s="605"/>
      <c r="FH34" s="602"/>
      <c r="FI34" s="603">
        <f t="shared" si="50"/>
        <v>0</v>
      </c>
      <c r="FJ34" s="605"/>
      <c r="FK34" s="602"/>
      <c r="FL34" s="603">
        <f t="shared" si="22"/>
        <v>0</v>
      </c>
      <c r="FM34" s="605"/>
      <c r="FN34" s="602"/>
      <c r="FO34" s="603">
        <f t="shared" si="23"/>
        <v>0</v>
      </c>
      <c r="FP34" s="605"/>
      <c r="FQ34" s="602"/>
      <c r="FR34" s="603">
        <f t="shared" si="24"/>
        <v>0</v>
      </c>
      <c r="FS34" s="605"/>
      <c r="FT34" s="602"/>
      <c r="FU34" s="603">
        <f t="shared" si="51"/>
        <v>0</v>
      </c>
      <c r="FV34" s="605"/>
      <c r="FW34" s="602"/>
      <c r="FX34" s="603">
        <f t="shared" si="25"/>
        <v>0</v>
      </c>
      <c r="FY34" s="605"/>
      <c r="FZ34" s="606"/>
      <c r="GA34" s="603">
        <f t="shared" si="26"/>
        <v>0</v>
      </c>
      <c r="GB34" s="605"/>
      <c r="GC34" s="602"/>
      <c r="GD34" s="603">
        <f t="shared" si="27"/>
        <v>0</v>
      </c>
      <c r="GE34" s="605"/>
      <c r="GF34" s="602"/>
      <c r="GG34" s="603">
        <f t="shared" si="70"/>
        <v>0</v>
      </c>
      <c r="GH34" s="605"/>
      <c r="GI34" s="606"/>
      <c r="GJ34" s="603">
        <f t="shared" si="28"/>
        <v>0</v>
      </c>
      <c r="GK34" s="605"/>
      <c r="GL34" s="607">
        <f t="shared" si="72"/>
        <v>0</v>
      </c>
      <c r="GM34" s="608">
        <f>GL34+'33J'!BK34+'M80(20250122封存)'!CX34+MPS!AY34+TMT!CX34</f>
        <v>0</v>
      </c>
      <c r="GN34" s="609"/>
    </row>
    <row r="35" spans="1:196" s="611" customFormat="1" ht="14.25" customHeight="1">
      <c r="A35" s="601">
        <v>30</v>
      </c>
      <c r="B35" s="606"/>
      <c r="C35" s="603">
        <f t="shared" si="30"/>
        <v>0</v>
      </c>
      <c r="D35" s="604"/>
      <c r="E35" s="606"/>
      <c r="F35" s="603">
        <f t="shared" si="54"/>
        <v>0</v>
      </c>
      <c r="G35" s="604"/>
      <c r="H35" s="602"/>
      <c r="I35" s="603">
        <f t="shared" si="71"/>
        <v>0</v>
      </c>
      <c r="J35" s="604"/>
      <c r="K35" s="606"/>
      <c r="L35" s="603">
        <f t="shared" si="56"/>
        <v>0</v>
      </c>
      <c r="M35" s="604"/>
      <c r="N35" s="602"/>
      <c r="O35" s="603">
        <f t="shared" si="57"/>
        <v>0</v>
      </c>
      <c r="P35" s="604"/>
      <c r="Q35" s="602"/>
      <c r="R35" s="603">
        <f t="shared" si="67"/>
        <v>0</v>
      </c>
      <c r="S35" s="604"/>
      <c r="T35" s="606"/>
      <c r="U35" s="603">
        <f t="shared" si="68"/>
        <v>0</v>
      </c>
      <c r="V35" s="604"/>
      <c r="W35" s="606"/>
      <c r="X35" s="603">
        <f t="shared" si="60"/>
        <v>0</v>
      </c>
      <c r="Y35" s="604"/>
      <c r="Z35" s="602"/>
      <c r="AA35" s="603">
        <f t="shared" si="61"/>
        <v>0</v>
      </c>
      <c r="AB35" s="604"/>
      <c r="AC35" s="606"/>
      <c r="AD35" s="603">
        <f t="shared" si="0"/>
        <v>0</v>
      </c>
      <c r="AE35" s="604"/>
      <c r="AF35" s="606"/>
      <c r="AG35" s="603">
        <f t="shared" si="1"/>
        <v>0</v>
      </c>
      <c r="AH35" s="604"/>
      <c r="AI35" s="606"/>
      <c r="AJ35" s="603">
        <f t="shared" si="62"/>
        <v>0</v>
      </c>
      <c r="AK35" s="604"/>
      <c r="AL35" s="606"/>
      <c r="AM35" s="603">
        <f t="shared" si="69"/>
        <v>0</v>
      </c>
      <c r="AN35" s="604"/>
      <c r="AO35" s="606"/>
      <c r="AP35" s="603">
        <f t="shared" si="2"/>
        <v>0</v>
      </c>
      <c r="AQ35" s="604"/>
      <c r="AR35" s="606"/>
      <c r="AS35" s="603">
        <f t="shared" si="3"/>
        <v>0</v>
      </c>
      <c r="AT35" s="604"/>
      <c r="AU35" s="606"/>
      <c r="AV35" s="603">
        <f t="shared" si="4"/>
        <v>0</v>
      </c>
      <c r="AW35" s="604"/>
      <c r="AX35" s="606"/>
      <c r="AY35" s="603">
        <f t="shared" si="31"/>
        <v>0</v>
      </c>
      <c r="AZ35" s="604"/>
      <c r="BA35" s="606"/>
      <c r="BB35" s="603">
        <f t="shared" si="32"/>
        <v>0</v>
      </c>
      <c r="BC35" s="604"/>
      <c r="BD35" s="606"/>
      <c r="BE35" s="603">
        <f t="shared" si="33"/>
        <v>0</v>
      </c>
      <c r="BF35" s="604"/>
      <c r="BG35" s="606"/>
      <c r="BH35" s="603">
        <f t="shared" si="34"/>
        <v>0</v>
      </c>
      <c r="BI35" s="604"/>
      <c r="BJ35" s="606"/>
      <c r="BK35" s="603">
        <f t="shared" si="73"/>
        <v>0</v>
      </c>
      <c r="BL35" s="605"/>
      <c r="BM35" s="606"/>
      <c r="BN35" s="603">
        <f t="shared" si="74"/>
        <v>0</v>
      </c>
      <c r="BO35" s="605"/>
      <c r="BP35" s="606"/>
      <c r="BQ35" s="603">
        <f t="shared" si="65"/>
        <v>0</v>
      </c>
      <c r="BR35" s="604"/>
      <c r="BS35" s="606"/>
      <c r="BT35" s="603">
        <f t="shared" si="66"/>
        <v>0</v>
      </c>
      <c r="BU35" s="604"/>
      <c r="BV35" s="606"/>
      <c r="BW35" s="603">
        <f t="shared" si="7"/>
        <v>0</v>
      </c>
      <c r="BX35" s="604"/>
      <c r="BY35" s="606"/>
      <c r="BZ35" s="603">
        <f t="shared" si="8"/>
        <v>0</v>
      </c>
      <c r="CA35" s="605"/>
      <c r="CB35" s="606"/>
      <c r="CC35" s="603">
        <f t="shared" si="9"/>
        <v>0</v>
      </c>
      <c r="CD35" s="604"/>
      <c r="CE35" s="602"/>
      <c r="CF35" s="603">
        <f t="shared" si="10"/>
        <v>0</v>
      </c>
      <c r="CG35" s="605"/>
      <c r="CH35" s="602"/>
      <c r="CI35" s="603">
        <f t="shared" si="11"/>
        <v>0</v>
      </c>
      <c r="CJ35" s="605"/>
      <c r="CK35" s="606"/>
      <c r="CL35" s="603">
        <f t="shared" si="12"/>
        <v>0</v>
      </c>
      <c r="CM35" s="605"/>
      <c r="CN35" s="606"/>
      <c r="CO35" s="603">
        <f t="shared" si="13"/>
        <v>0</v>
      </c>
      <c r="CP35" s="605"/>
      <c r="CQ35" s="606"/>
      <c r="CR35" s="603">
        <f t="shared" si="14"/>
        <v>0</v>
      </c>
      <c r="CS35" s="604"/>
      <c r="CT35" s="606"/>
      <c r="CU35" s="603">
        <f t="shared" si="15"/>
        <v>0</v>
      </c>
      <c r="CV35" s="604"/>
      <c r="CW35" s="606"/>
      <c r="CX35" s="603">
        <f t="shared" si="16"/>
        <v>0</v>
      </c>
      <c r="CY35" s="605"/>
      <c r="CZ35" s="602"/>
      <c r="DA35" s="603">
        <f t="shared" si="17"/>
        <v>0</v>
      </c>
      <c r="DB35" s="604"/>
      <c r="DC35" s="606"/>
      <c r="DD35" s="603">
        <f t="shared" si="18"/>
        <v>0</v>
      </c>
      <c r="DE35" s="604"/>
      <c r="DF35" s="606"/>
      <c r="DG35" s="603">
        <f t="shared" si="37"/>
        <v>0</v>
      </c>
      <c r="DH35" s="605"/>
      <c r="DI35" s="606"/>
      <c r="DJ35" s="603">
        <f t="shared" si="38"/>
        <v>0</v>
      </c>
      <c r="DK35" s="605"/>
      <c r="DL35" s="606"/>
      <c r="DM35" s="603">
        <f t="shared" si="39"/>
        <v>0</v>
      </c>
      <c r="DN35" s="605"/>
      <c r="DO35" s="606"/>
      <c r="DP35" s="603">
        <f t="shared" si="40"/>
        <v>0</v>
      </c>
      <c r="DQ35" s="605"/>
      <c r="DR35" s="606"/>
      <c r="DS35" s="603">
        <f t="shared" si="41"/>
        <v>0</v>
      </c>
      <c r="DT35" s="605"/>
      <c r="DU35" s="602"/>
      <c r="DV35" s="603">
        <f t="shared" si="42"/>
        <v>0</v>
      </c>
      <c r="DW35" s="605"/>
      <c r="DX35" s="606"/>
      <c r="DY35" s="603">
        <f t="shared" si="43"/>
        <v>0</v>
      </c>
      <c r="DZ35" s="605"/>
      <c r="EA35" s="606"/>
      <c r="EB35" s="603">
        <f t="shared" si="44"/>
        <v>0</v>
      </c>
      <c r="EC35" s="605"/>
      <c r="ED35" s="606"/>
      <c r="EE35" s="603">
        <f t="shared" si="45"/>
        <v>0</v>
      </c>
      <c r="EF35" s="605"/>
      <c r="EG35" s="606"/>
      <c r="EH35" s="603">
        <f t="shared" si="46"/>
        <v>0</v>
      </c>
      <c r="EI35" s="605"/>
      <c r="EJ35" s="606"/>
      <c r="EK35" s="603">
        <f t="shared" si="47"/>
        <v>0</v>
      </c>
      <c r="EL35" s="605"/>
      <c r="EM35" s="606"/>
      <c r="EN35" s="603">
        <f t="shared" si="48"/>
        <v>0</v>
      </c>
      <c r="EO35" s="605"/>
      <c r="EP35" s="606"/>
      <c r="EQ35" s="603">
        <f t="shared" si="49"/>
        <v>0</v>
      </c>
      <c r="ER35" s="605"/>
      <c r="ES35" s="602"/>
      <c r="ET35" s="603">
        <f t="shared" si="52"/>
        <v>0</v>
      </c>
      <c r="EU35" s="605"/>
      <c r="EV35" s="602"/>
      <c r="EW35" s="603">
        <f t="shared" si="53"/>
        <v>0</v>
      </c>
      <c r="EX35" s="605"/>
      <c r="EY35" s="602"/>
      <c r="EZ35" s="603">
        <f t="shared" si="19"/>
        <v>0</v>
      </c>
      <c r="FA35" s="605"/>
      <c r="FB35" s="602"/>
      <c r="FC35" s="603">
        <f t="shared" si="20"/>
        <v>0</v>
      </c>
      <c r="FD35" s="605"/>
      <c r="FE35" s="602"/>
      <c r="FF35" s="603">
        <f t="shared" si="21"/>
        <v>0</v>
      </c>
      <c r="FG35" s="605"/>
      <c r="FH35" s="602"/>
      <c r="FI35" s="603">
        <f t="shared" si="50"/>
        <v>0</v>
      </c>
      <c r="FJ35" s="605"/>
      <c r="FK35" s="602"/>
      <c r="FL35" s="603">
        <f t="shared" si="22"/>
        <v>0</v>
      </c>
      <c r="FM35" s="605"/>
      <c r="FN35" s="602"/>
      <c r="FO35" s="603">
        <f t="shared" si="23"/>
        <v>0</v>
      </c>
      <c r="FP35" s="605"/>
      <c r="FQ35" s="602"/>
      <c r="FR35" s="603">
        <f t="shared" si="24"/>
        <v>0</v>
      </c>
      <c r="FS35" s="605"/>
      <c r="FT35" s="602"/>
      <c r="FU35" s="603">
        <f t="shared" si="51"/>
        <v>0</v>
      </c>
      <c r="FV35" s="605"/>
      <c r="FW35" s="606"/>
      <c r="FX35" s="603">
        <f t="shared" si="25"/>
        <v>0</v>
      </c>
      <c r="FY35" s="605"/>
      <c r="FZ35" s="606"/>
      <c r="GA35" s="603">
        <f t="shared" si="26"/>
        <v>0</v>
      </c>
      <c r="GB35" s="605"/>
      <c r="GC35" s="602"/>
      <c r="GD35" s="603">
        <f t="shared" si="27"/>
        <v>0</v>
      </c>
      <c r="GE35" s="605"/>
      <c r="GF35" s="602"/>
      <c r="GG35" s="603">
        <f t="shared" si="70"/>
        <v>0</v>
      </c>
      <c r="GH35" s="605"/>
      <c r="GI35" s="606"/>
      <c r="GJ35" s="603">
        <f t="shared" si="28"/>
        <v>0</v>
      </c>
      <c r="GK35" s="605"/>
      <c r="GL35" s="607">
        <f t="shared" si="72"/>
        <v>0</v>
      </c>
      <c r="GM35" s="608">
        <f>GL35+'33J'!BK35+'M80(20250122封存)'!CX35+MPS!AY35+TMT!CX35</f>
        <v>0</v>
      </c>
      <c r="GN35" s="609"/>
    </row>
    <row r="36" spans="1:196" s="611" customFormat="1" ht="14.25" customHeight="1" thickBot="1">
      <c r="A36" s="601">
        <v>31</v>
      </c>
      <c r="B36" s="606"/>
      <c r="C36" s="603">
        <f t="shared" si="30"/>
        <v>0</v>
      </c>
      <c r="D36" s="604"/>
      <c r="E36" s="602"/>
      <c r="F36" s="603">
        <f t="shared" si="54"/>
        <v>0</v>
      </c>
      <c r="G36" s="604"/>
      <c r="H36" s="602"/>
      <c r="I36" s="603">
        <f t="shared" si="71"/>
        <v>0</v>
      </c>
      <c r="J36" s="604"/>
      <c r="K36" s="602"/>
      <c r="L36" s="603">
        <f t="shared" si="56"/>
        <v>0</v>
      </c>
      <c r="M36" s="604"/>
      <c r="N36" s="602"/>
      <c r="O36" s="603">
        <f t="shared" si="57"/>
        <v>0</v>
      </c>
      <c r="P36" s="604"/>
      <c r="Q36" s="606"/>
      <c r="R36" s="603">
        <f t="shared" si="67"/>
        <v>0</v>
      </c>
      <c r="S36" s="604"/>
      <c r="T36" s="606"/>
      <c r="U36" s="603">
        <f t="shared" si="68"/>
        <v>0</v>
      </c>
      <c r="V36" s="604"/>
      <c r="W36" s="606"/>
      <c r="X36" s="603">
        <f t="shared" si="60"/>
        <v>0</v>
      </c>
      <c r="Y36" s="604"/>
      <c r="Z36" s="606"/>
      <c r="AA36" s="603">
        <f t="shared" si="61"/>
        <v>0</v>
      </c>
      <c r="AB36" s="604"/>
      <c r="AC36" s="606"/>
      <c r="AD36" s="603">
        <f t="shared" si="0"/>
        <v>0</v>
      </c>
      <c r="AE36" s="604"/>
      <c r="AF36" s="606"/>
      <c r="AG36" s="603">
        <f t="shared" si="1"/>
        <v>0</v>
      </c>
      <c r="AH36" s="604"/>
      <c r="AI36" s="606"/>
      <c r="AJ36" s="603">
        <f t="shared" si="62"/>
        <v>0</v>
      </c>
      <c r="AK36" s="604"/>
      <c r="AL36" s="606"/>
      <c r="AM36" s="603">
        <f t="shared" si="69"/>
        <v>0</v>
      </c>
      <c r="AN36" s="604"/>
      <c r="AO36" s="606"/>
      <c r="AP36" s="603">
        <f t="shared" si="2"/>
        <v>0</v>
      </c>
      <c r="AQ36" s="604"/>
      <c r="AR36" s="606"/>
      <c r="AS36" s="603">
        <f t="shared" si="3"/>
        <v>0</v>
      </c>
      <c r="AT36" s="604"/>
      <c r="AU36" s="606"/>
      <c r="AV36" s="603">
        <f t="shared" si="4"/>
        <v>0</v>
      </c>
      <c r="AW36" s="604"/>
      <c r="AX36" s="606"/>
      <c r="AY36" s="603">
        <f t="shared" si="31"/>
        <v>0</v>
      </c>
      <c r="AZ36" s="604"/>
      <c r="BA36" s="606"/>
      <c r="BB36" s="603">
        <f t="shared" ref="BB36" si="75">BC$3*BC$4*216*24*60*BA36/9000000</f>
        <v>0</v>
      </c>
      <c r="BC36" s="604"/>
      <c r="BD36" s="606"/>
      <c r="BE36" s="603">
        <f t="shared" ref="BE36" si="76">BF$3*BF$4*216*24*60*BD36/9000000</f>
        <v>0</v>
      </c>
      <c r="BF36" s="604"/>
      <c r="BG36" s="606"/>
      <c r="BH36" s="603">
        <f t="shared" ref="BH36" si="77">BI$3*BI$4*216*24*60*BG36/9000000</f>
        <v>0</v>
      </c>
      <c r="BI36" s="604"/>
      <c r="BJ36" s="606"/>
      <c r="BK36" s="603">
        <f t="shared" si="73"/>
        <v>0</v>
      </c>
      <c r="BL36" s="605"/>
      <c r="BM36" s="606"/>
      <c r="BN36" s="603">
        <f t="shared" si="74"/>
        <v>0</v>
      </c>
      <c r="BO36" s="605"/>
      <c r="BP36" s="606"/>
      <c r="BQ36" s="603">
        <f t="shared" si="65"/>
        <v>0</v>
      </c>
      <c r="BR36" s="604"/>
      <c r="BS36" s="606"/>
      <c r="BT36" s="603">
        <f t="shared" si="66"/>
        <v>0</v>
      </c>
      <c r="BU36" s="604"/>
      <c r="BV36" s="606"/>
      <c r="BW36" s="603">
        <f t="shared" si="7"/>
        <v>0</v>
      </c>
      <c r="BX36" s="604"/>
      <c r="BY36" s="606"/>
      <c r="BZ36" s="603">
        <f t="shared" si="8"/>
        <v>0</v>
      </c>
      <c r="CA36" s="605"/>
      <c r="CB36" s="606"/>
      <c r="CC36" s="603">
        <f t="shared" si="9"/>
        <v>0</v>
      </c>
      <c r="CD36" s="604"/>
      <c r="CE36" s="602"/>
      <c r="CF36" s="603">
        <f t="shared" si="10"/>
        <v>0</v>
      </c>
      <c r="CG36" s="605"/>
      <c r="CH36" s="602"/>
      <c r="CI36" s="603">
        <f t="shared" si="11"/>
        <v>0</v>
      </c>
      <c r="CJ36" s="605"/>
      <c r="CK36" s="606"/>
      <c r="CL36" s="603">
        <f t="shared" si="12"/>
        <v>0</v>
      </c>
      <c r="CM36" s="605"/>
      <c r="CN36" s="606"/>
      <c r="CO36" s="603">
        <f t="shared" si="13"/>
        <v>0</v>
      </c>
      <c r="CP36" s="605"/>
      <c r="CQ36" s="606"/>
      <c r="CR36" s="603">
        <f t="shared" si="14"/>
        <v>0</v>
      </c>
      <c r="CS36" s="604"/>
      <c r="CT36" s="606"/>
      <c r="CU36" s="603">
        <f t="shared" si="15"/>
        <v>0</v>
      </c>
      <c r="CV36" s="604"/>
      <c r="CW36" s="606"/>
      <c r="CX36" s="603">
        <f t="shared" si="16"/>
        <v>0</v>
      </c>
      <c r="CY36" s="605"/>
      <c r="CZ36" s="602"/>
      <c r="DA36" s="603">
        <f t="shared" si="17"/>
        <v>0</v>
      </c>
      <c r="DB36" s="604"/>
      <c r="DC36" s="606"/>
      <c r="DD36" s="603">
        <f t="shared" si="18"/>
        <v>0</v>
      </c>
      <c r="DE36" s="604"/>
      <c r="DF36" s="606"/>
      <c r="DG36" s="603">
        <f t="shared" si="37"/>
        <v>0</v>
      </c>
      <c r="DH36" s="605"/>
      <c r="DI36" s="606"/>
      <c r="DJ36" s="603">
        <f t="shared" si="38"/>
        <v>0</v>
      </c>
      <c r="DK36" s="605"/>
      <c r="DL36" s="606"/>
      <c r="DM36" s="603">
        <f t="shared" si="39"/>
        <v>0</v>
      </c>
      <c r="DN36" s="605"/>
      <c r="DO36" s="606"/>
      <c r="DP36" s="603">
        <f t="shared" si="40"/>
        <v>0</v>
      </c>
      <c r="DQ36" s="605"/>
      <c r="DR36" s="606"/>
      <c r="DS36" s="603">
        <f t="shared" si="41"/>
        <v>0</v>
      </c>
      <c r="DT36" s="605"/>
      <c r="DU36" s="606"/>
      <c r="DV36" s="603">
        <f t="shared" si="42"/>
        <v>0</v>
      </c>
      <c r="DW36" s="605"/>
      <c r="DX36" s="606"/>
      <c r="DY36" s="603">
        <f t="shared" si="43"/>
        <v>0</v>
      </c>
      <c r="DZ36" s="605"/>
      <c r="EA36" s="606"/>
      <c r="EB36" s="603">
        <f t="shared" si="44"/>
        <v>0</v>
      </c>
      <c r="EC36" s="605"/>
      <c r="ED36" s="606"/>
      <c r="EE36" s="603">
        <f t="shared" si="45"/>
        <v>0</v>
      </c>
      <c r="EF36" s="605"/>
      <c r="EG36" s="606"/>
      <c r="EH36" s="603">
        <f t="shared" si="46"/>
        <v>0</v>
      </c>
      <c r="EI36" s="605"/>
      <c r="EJ36" s="606"/>
      <c r="EK36" s="603">
        <f t="shared" si="47"/>
        <v>0</v>
      </c>
      <c r="EL36" s="605"/>
      <c r="EM36" s="606"/>
      <c r="EN36" s="603">
        <f t="shared" si="48"/>
        <v>0</v>
      </c>
      <c r="EO36" s="605"/>
      <c r="EP36" s="606"/>
      <c r="EQ36" s="603">
        <f t="shared" si="49"/>
        <v>0</v>
      </c>
      <c r="ER36" s="605"/>
      <c r="ES36" s="602"/>
      <c r="ET36" s="603">
        <f t="shared" si="52"/>
        <v>0</v>
      </c>
      <c r="EU36" s="605"/>
      <c r="EV36" s="602"/>
      <c r="EW36" s="603">
        <f t="shared" si="53"/>
        <v>0</v>
      </c>
      <c r="EX36" s="605"/>
      <c r="EY36" s="602"/>
      <c r="EZ36" s="603">
        <f t="shared" si="19"/>
        <v>0</v>
      </c>
      <c r="FA36" s="605"/>
      <c r="FB36" s="602"/>
      <c r="FC36" s="603">
        <f t="shared" si="20"/>
        <v>0</v>
      </c>
      <c r="FD36" s="605"/>
      <c r="FE36" s="602"/>
      <c r="FF36" s="603">
        <f t="shared" si="21"/>
        <v>0</v>
      </c>
      <c r="FG36" s="605"/>
      <c r="FH36" s="602"/>
      <c r="FI36" s="603">
        <f t="shared" si="50"/>
        <v>0</v>
      </c>
      <c r="FJ36" s="605"/>
      <c r="FK36" s="602"/>
      <c r="FL36" s="603">
        <f t="shared" si="22"/>
        <v>0</v>
      </c>
      <c r="FM36" s="605"/>
      <c r="FN36" s="602"/>
      <c r="FO36" s="603">
        <f t="shared" si="23"/>
        <v>0</v>
      </c>
      <c r="FP36" s="605"/>
      <c r="FQ36" s="602"/>
      <c r="FR36" s="603">
        <f t="shared" si="24"/>
        <v>0</v>
      </c>
      <c r="FS36" s="605"/>
      <c r="FT36" s="602"/>
      <c r="FU36" s="603">
        <f t="shared" si="51"/>
        <v>0</v>
      </c>
      <c r="FV36" s="605"/>
      <c r="FW36" s="606"/>
      <c r="FX36" s="603">
        <f t="shared" si="25"/>
        <v>0</v>
      </c>
      <c r="FY36" s="605"/>
      <c r="FZ36" s="606"/>
      <c r="GA36" s="603">
        <f t="shared" si="26"/>
        <v>0</v>
      </c>
      <c r="GB36" s="605"/>
      <c r="GC36" s="602"/>
      <c r="GD36" s="603">
        <f t="shared" si="27"/>
        <v>0</v>
      </c>
      <c r="GE36" s="605"/>
      <c r="GF36" s="602"/>
      <c r="GG36" s="603">
        <f t="shared" si="70"/>
        <v>0</v>
      </c>
      <c r="GH36" s="605"/>
      <c r="GI36" s="606"/>
      <c r="GJ36" s="603">
        <f t="shared" si="28"/>
        <v>0</v>
      </c>
      <c r="GK36" s="605"/>
      <c r="GL36" s="607">
        <f t="shared" si="72"/>
        <v>0</v>
      </c>
      <c r="GM36" s="608">
        <f>GL36+'33J'!BK36+'M80(20250122封存)'!CX36+MPS!AY36+TMT!CX36</f>
        <v>0</v>
      </c>
      <c r="GN36" s="609"/>
    </row>
    <row r="37" spans="1:196" s="611" customFormat="1" ht="15" hidden="1" customHeight="1" thickBot="1">
      <c r="A37" s="614"/>
      <c r="B37" s="615">
        <f>IF(B6="",0,AVERAGE(B6:B36))</f>
        <v>0.375</v>
      </c>
      <c r="C37" s="405">
        <f>SUM(C6:C36)</f>
        <v>6700.3200000000006</v>
      </c>
      <c r="D37" s="406">
        <f>SUM(D6:D36)</f>
        <v>5990</v>
      </c>
      <c r="E37" s="615">
        <f>IF(E6="",0,AVERAGE(E6:E36))</f>
        <v>0</v>
      </c>
      <c r="F37" s="405">
        <f>SUM(F6:F36)</f>
        <v>0</v>
      </c>
      <c r="G37" s="406">
        <f>SUM(G6:G36)</f>
        <v>0</v>
      </c>
      <c r="H37" s="615">
        <f>IF(H6="",0,AVERAGE(H6:H36))</f>
        <v>0</v>
      </c>
      <c r="I37" s="405">
        <f>SUM(I6:I36)</f>
        <v>0</v>
      </c>
      <c r="J37" s="406">
        <f>SUM(J6:J36)</f>
        <v>0</v>
      </c>
      <c r="K37" s="615">
        <f>IF(K6="",0,AVERAGE(K6:K36))</f>
        <v>1</v>
      </c>
      <c r="L37" s="405">
        <f>SUM(L6:L36)</f>
        <v>29445.120000000006</v>
      </c>
      <c r="M37" s="406">
        <f>SUM(M6:M36)</f>
        <v>61304</v>
      </c>
      <c r="N37" s="615">
        <f>IF(N6="",0,AVERAGE(N6:N36))</f>
        <v>0.8</v>
      </c>
      <c r="O37" s="405">
        <f>SUM(O6:O36)</f>
        <v>19906.560000000005</v>
      </c>
      <c r="P37" s="406">
        <f>SUM(P6:P36)</f>
        <v>15236</v>
      </c>
      <c r="Q37" s="615">
        <f>IF(Q6="",0,AVERAGE(Q6:Q36))</f>
        <v>0</v>
      </c>
      <c r="R37" s="405">
        <f>SUM(R6:R36)</f>
        <v>0</v>
      </c>
      <c r="S37" s="406">
        <f>SUM(S6:S36)</f>
        <v>0</v>
      </c>
      <c r="T37" s="615">
        <f>IF(T6="",0,AVERAGE(T6:T36))</f>
        <v>0</v>
      </c>
      <c r="U37" s="405">
        <f>SUM(U6:U36)</f>
        <v>0</v>
      </c>
      <c r="V37" s="406">
        <f>SUM(V6:V36)</f>
        <v>0</v>
      </c>
      <c r="W37" s="615">
        <f>IF(W6="",0,AVERAGE(W6:W36))</f>
        <v>0</v>
      </c>
      <c r="X37" s="405">
        <f>SUM(X6:X36)</f>
        <v>0</v>
      </c>
      <c r="Y37" s="407">
        <f>SUM(Y6:Y36)</f>
        <v>0</v>
      </c>
      <c r="Z37" s="615">
        <f>IF(Z6="",0,AVERAGE(Z6:Z36))</f>
        <v>1</v>
      </c>
      <c r="AA37" s="405">
        <f>SUM(AA6:AA36)</f>
        <v>53222.400000000009</v>
      </c>
      <c r="AB37" s="406">
        <f>SUM(AB6:AB36)</f>
        <v>29943</v>
      </c>
      <c r="AC37" s="615">
        <f>IF(AC6="",0,AVERAGE(AC6:AC36))</f>
        <v>0</v>
      </c>
      <c r="AD37" s="405">
        <f>SUM(AD6:AD36)</f>
        <v>0</v>
      </c>
      <c r="AE37" s="407">
        <f>SUM(AE6:AE36)</f>
        <v>0</v>
      </c>
      <c r="AF37" s="615">
        <f>IF(AF6="",0,AVERAGE(AF6:AF36))</f>
        <v>0.2</v>
      </c>
      <c r="AG37" s="405">
        <f>SUM(AG6:AG36)</f>
        <v>12489.984</v>
      </c>
      <c r="AH37" s="407">
        <f>SUM(AH6:AH36)</f>
        <v>7950</v>
      </c>
      <c r="AI37" s="615">
        <f>IF(AI6="",0,AVERAGE(AI6:AI36))</f>
        <v>0.25</v>
      </c>
      <c r="AJ37" s="405">
        <f>SUM(AJ6:AJ36)</f>
        <v>14541.12</v>
      </c>
      <c r="AK37" s="406">
        <f>SUM(AK6:AK36)</f>
        <v>3059</v>
      </c>
      <c r="AL37" s="615">
        <f>IF(AL6="",0,AVERAGE(AL6:AL36))</f>
        <v>0.5</v>
      </c>
      <c r="AM37" s="405">
        <f>SUM(AM6:AM36)</f>
        <v>15137.279999999995</v>
      </c>
      <c r="AN37" s="406">
        <f>SUM(AN6:AN36)</f>
        <v>14002</v>
      </c>
      <c r="AO37" s="615">
        <f>IF(AO6="",0,AVERAGE(AO6:AO36))</f>
        <v>0.55000000000000004</v>
      </c>
      <c r="AP37" s="405">
        <f>SUM(AP6:AP36)</f>
        <v>18354.124799999998</v>
      </c>
      <c r="AQ37" s="407">
        <f>SUM(AQ6:AQ36)</f>
        <v>12119</v>
      </c>
      <c r="AR37" s="615">
        <f>IF(AR6="",0,AVERAGE(AR6:AR36))</f>
        <v>0.55000000000000004</v>
      </c>
      <c r="AS37" s="405">
        <f>SUM(AS6:AS36)</f>
        <v>15966.720000000003</v>
      </c>
      <c r="AT37" s="407">
        <f>SUM(AT6:AT36)</f>
        <v>11946</v>
      </c>
      <c r="AU37" s="615">
        <f>IF(AU6="",0,AVERAGE(AU6:AU36))</f>
        <v>0.25</v>
      </c>
      <c r="AV37" s="405">
        <f>SUM(AV6:AV36)</f>
        <v>6842.880000000001</v>
      </c>
      <c r="AW37" s="406">
        <f>SUM(AW6:AW36)</f>
        <v>3750</v>
      </c>
      <c r="AX37" s="615">
        <f>IF(AX6="",0,AVERAGE(AX6:AX36))</f>
        <v>0</v>
      </c>
      <c r="AY37" s="405">
        <f>SUM(AY6:AY36)</f>
        <v>0</v>
      </c>
      <c r="AZ37" s="407">
        <f>SUM(AZ6:AZ36)</f>
        <v>0</v>
      </c>
      <c r="BA37" s="615">
        <f>IF(BA6="",0,AVERAGE(BA6:BA36))</f>
        <v>0</v>
      </c>
      <c r="BB37" s="405">
        <f>SUM(BB6:BB36)</f>
        <v>0</v>
      </c>
      <c r="BC37" s="407">
        <f>SUM(BC6:BC36)</f>
        <v>0</v>
      </c>
      <c r="BD37" s="615">
        <f>IF(BD6="",0,AVERAGE(BD6:BD36))</f>
        <v>0</v>
      </c>
      <c r="BE37" s="405">
        <f>SUM(BE6:BE36)</f>
        <v>0</v>
      </c>
      <c r="BF37" s="407">
        <f>SUM(BF6:BF36)</f>
        <v>0</v>
      </c>
      <c r="BG37" s="615">
        <f>IF(BG6="",0,AVERAGE(BG6:BG36))</f>
        <v>0</v>
      </c>
      <c r="BH37" s="405">
        <f>SUM(BH6:BH36)</f>
        <v>0</v>
      </c>
      <c r="BI37" s="406">
        <f>SUM(BI6:BI36)</f>
        <v>0</v>
      </c>
      <c r="BJ37" s="615">
        <f>IF(BJ6="",0,AVERAGE(BJ6:BJ36))</f>
        <v>0</v>
      </c>
      <c r="BK37" s="405">
        <f>SUM(BK6:BK36)</f>
        <v>0</v>
      </c>
      <c r="BL37" s="407">
        <f>SUM(BL6:BL36)</f>
        <v>0</v>
      </c>
      <c r="BM37" s="615">
        <f>IF(BM6="",0,AVERAGE(BM6:BM36))</f>
        <v>0</v>
      </c>
      <c r="BN37" s="405">
        <f>SUM(BN6:BN36)</f>
        <v>0</v>
      </c>
      <c r="BO37" s="407">
        <f>SUM(BO6:BO36)</f>
        <v>0</v>
      </c>
      <c r="BP37" s="615">
        <f>IF(BP6="",0,AVERAGE(BP6:BP36))</f>
        <v>0</v>
      </c>
      <c r="BQ37" s="405">
        <f>SUM(BQ6:BQ36)</f>
        <v>0</v>
      </c>
      <c r="BR37" s="407">
        <f>SUM(BR6:BR36)</f>
        <v>0</v>
      </c>
      <c r="BS37" s="615">
        <f>IF(BS6="",0,AVERAGE(BS6:BS36))</f>
        <v>0</v>
      </c>
      <c r="BT37" s="405">
        <f>SUM(BT6:BT36)</f>
        <v>0</v>
      </c>
      <c r="BU37" s="407">
        <f>SUM(BU6:BU36)</f>
        <v>0</v>
      </c>
      <c r="BV37" s="615">
        <f>IF(BV6="",0,AVERAGE(BV6:BV36))</f>
        <v>0</v>
      </c>
      <c r="BW37" s="405">
        <f>SUM(BW6:BW36)</f>
        <v>0</v>
      </c>
      <c r="BX37" s="407">
        <f>SUM(BX6:BX36)</f>
        <v>0</v>
      </c>
      <c r="BY37" s="615">
        <f>IF(BY6="",0,AVERAGE(BY6:BY36))</f>
        <v>0</v>
      </c>
      <c r="BZ37" s="405">
        <f>SUM(BZ6:BZ36)</f>
        <v>0</v>
      </c>
      <c r="CA37" s="407">
        <f>SUM(CA6:CA36)</f>
        <v>0</v>
      </c>
      <c r="CB37" s="615">
        <f>IF(CB6="",0,AVERAGE(CB6:CB36))</f>
        <v>0</v>
      </c>
      <c r="CC37" s="405">
        <f>SUM(CC6:CC36)</f>
        <v>0</v>
      </c>
      <c r="CD37" s="407">
        <f>SUM(CD6:CD36)</f>
        <v>0</v>
      </c>
      <c r="CE37" s="615">
        <f>IF(CE6="",0,AVERAGE(CE6:CE36))</f>
        <v>0</v>
      </c>
      <c r="CF37" s="405">
        <f>SUM(CF6:CF36)</f>
        <v>0</v>
      </c>
      <c r="CG37" s="407">
        <f>SUM(CG6:CG36)</f>
        <v>0</v>
      </c>
      <c r="CH37" s="615">
        <f>IF(CH6="",0,AVERAGE(CH6:CH36))</f>
        <v>0</v>
      </c>
      <c r="CI37" s="405">
        <f>SUM(CI6:CI36)</f>
        <v>0</v>
      </c>
      <c r="CJ37" s="407">
        <f>SUM(CJ6:CJ36)</f>
        <v>0</v>
      </c>
      <c r="CK37" s="615">
        <f>IF(CK6="",0,AVERAGE(CK6:CK36))</f>
        <v>0</v>
      </c>
      <c r="CL37" s="405">
        <f>SUM(CL6:CL36)</f>
        <v>0</v>
      </c>
      <c r="CM37" s="407">
        <f>SUM(CM6:CM36)</f>
        <v>0</v>
      </c>
      <c r="CN37" s="615">
        <f>IF(CN6="",0,AVERAGE(CN6:CN36))</f>
        <v>0</v>
      </c>
      <c r="CO37" s="405">
        <f>SUM(CO6:CO36)</f>
        <v>0</v>
      </c>
      <c r="CP37" s="407">
        <f>SUM(CP6:CP36)</f>
        <v>0</v>
      </c>
      <c r="CQ37" s="615">
        <f>IF(CQ6="",0,AVERAGE(CQ6:CQ36))</f>
        <v>0</v>
      </c>
      <c r="CR37" s="405">
        <f>SUM(CR6:CR36)</f>
        <v>0</v>
      </c>
      <c r="CS37" s="407">
        <f>SUM(CS6:CS36)</f>
        <v>0</v>
      </c>
      <c r="CT37" s="615">
        <f>IF(CT6="",0,AVERAGE(CT6:CT36))</f>
        <v>0</v>
      </c>
      <c r="CU37" s="405">
        <f>SUM(CU6:CU36)</f>
        <v>0</v>
      </c>
      <c r="CV37" s="407">
        <f>SUM(CV6:CV36)</f>
        <v>0</v>
      </c>
      <c r="CW37" s="615">
        <f>IF(CW6="",0,AVERAGE(CW6:CW36))</f>
        <v>0</v>
      </c>
      <c r="CX37" s="405">
        <f>SUM(CX6:CX36)</f>
        <v>0</v>
      </c>
      <c r="CY37" s="407">
        <f>SUM(CY6:CY36)</f>
        <v>0</v>
      </c>
      <c r="CZ37" s="615">
        <f>IF(CZ6="",0,AVERAGE(CZ6:CZ36))</f>
        <v>0</v>
      </c>
      <c r="DA37" s="405">
        <f>SUM(DA6:DA36)</f>
        <v>0</v>
      </c>
      <c r="DB37" s="407">
        <f>SUM(DB6:DB36)</f>
        <v>0</v>
      </c>
      <c r="DC37" s="615">
        <f>IF(DC6="",0,AVERAGE(DC6:DC36))</f>
        <v>0</v>
      </c>
      <c r="DD37" s="405">
        <f>SUM(DD6:DD36)</f>
        <v>0</v>
      </c>
      <c r="DE37" s="407">
        <f>SUM(DE6:DE36)</f>
        <v>0</v>
      </c>
      <c r="DF37" s="615">
        <f>IF(DF6="",0,AVERAGE(DF6:DF36))</f>
        <v>0</v>
      </c>
      <c r="DG37" s="405">
        <f>SUM(DG6:DG36)</f>
        <v>0</v>
      </c>
      <c r="DH37" s="407">
        <f>SUM(DH6:DH36)</f>
        <v>0</v>
      </c>
      <c r="DI37" s="615">
        <f>IF(DI6="",0,AVERAGE(DI6:DI36))</f>
        <v>0</v>
      </c>
      <c r="DJ37" s="405">
        <f>SUM(DJ6:DJ36)</f>
        <v>0</v>
      </c>
      <c r="DK37" s="407">
        <f>SUM(DK6:DK36)</f>
        <v>0</v>
      </c>
      <c r="DL37" s="615">
        <f>IF(DL6="",0,AVERAGE(DL6:DL36))</f>
        <v>0</v>
      </c>
      <c r="DM37" s="405">
        <f>SUM(DM6:DM36)</f>
        <v>0</v>
      </c>
      <c r="DN37" s="407">
        <f>SUM(DN6:DN36)</f>
        <v>0</v>
      </c>
      <c r="DO37" s="615">
        <f>IF(DO6="",0,AVERAGE(DO6:DO36))</f>
        <v>0</v>
      </c>
      <c r="DP37" s="405">
        <f>SUM(DP6:DP36)</f>
        <v>0</v>
      </c>
      <c r="DQ37" s="407">
        <f>SUM(DQ6:DQ36)</f>
        <v>0</v>
      </c>
      <c r="DR37" s="615">
        <f>IF(DR6="",0,AVERAGE(DR6:DR36))</f>
        <v>0</v>
      </c>
      <c r="DS37" s="405">
        <f>SUM(DS6:DS36)</f>
        <v>0</v>
      </c>
      <c r="DT37" s="407">
        <f>SUM(DT6:DT36)</f>
        <v>0</v>
      </c>
      <c r="DU37" s="615">
        <f>IF(DU6="",0,AVERAGE(DU6:DU36))</f>
        <v>0</v>
      </c>
      <c r="DV37" s="405">
        <f>SUM(DV6:DV36)</f>
        <v>0</v>
      </c>
      <c r="DW37" s="407">
        <f>SUM(DW6:DW36)</f>
        <v>0</v>
      </c>
      <c r="DX37" s="615">
        <f>IF(DX6="",0,AVERAGE(DX6:DX36))</f>
        <v>0</v>
      </c>
      <c r="DY37" s="405">
        <f>SUM(DY6:DY36)</f>
        <v>0</v>
      </c>
      <c r="DZ37" s="407">
        <f>SUM(DZ6:DZ36)</f>
        <v>0</v>
      </c>
      <c r="EA37" s="615">
        <f>IF(EA6="",0,AVERAGE(EA6:EA36))</f>
        <v>0</v>
      </c>
      <c r="EB37" s="405">
        <f>SUM(EB6:EB36)</f>
        <v>0</v>
      </c>
      <c r="EC37" s="407">
        <f>SUM(EC6:EC36)</f>
        <v>0</v>
      </c>
      <c r="ED37" s="615">
        <f>IF(ED6="",0,AVERAGE(ED6:ED36))</f>
        <v>0</v>
      </c>
      <c r="EE37" s="405">
        <f>SUM(EE6:EE36)</f>
        <v>0</v>
      </c>
      <c r="EF37" s="407">
        <f>SUM(EF6:EF36)</f>
        <v>0</v>
      </c>
      <c r="EG37" s="615">
        <f>IF(EG6="",0,AVERAGE(EG6:EG36))</f>
        <v>0</v>
      </c>
      <c r="EH37" s="405">
        <f>SUM(EH6:EH36)</f>
        <v>0</v>
      </c>
      <c r="EI37" s="407">
        <f>SUM(EI6:EI36)</f>
        <v>0</v>
      </c>
      <c r="EJ37" s="615">
        <f>IF(EJ6="",0,AVERAGE(EJ6:EJ36))</f>
        <v>0</v>
      </c>
      <c r="EK37" s="405">
        <f>SUM(EK6:EK36)</f>
        <v>0</v>
      </c>
      <c r="EL37" s="407">
        <f>SUM(EL6:EL36)</f>
        <v>0</v>
      </c>
      <c r="EM37" s="615">
        <f>IF(EM6="",0,AVERAGE(EM6:EM36))</f>
        <v>0</v>
      </c>
      <c r="EN37" s="405">
        <f>SUM(EN6:EN36)</f>
        <v>0</v>
      </c>
      <c r="EO37" s="407">
        <f>SUM(EO6:EO36)</f>
        <v>0</v>
      </c>
      <c r="EP37" s="615">
        <f>IF(EP6="",0,AVERAGE(EP6:EP36))</f>
        <v>0</v>
      </c>
      <c r="EQ37" s="405">
        <f>SUM(EQ6:EQ36)</f>
        <v>0</v>
      </c>
      <c r="ER37" s="407">
        <f>SUM(ER6:ER36)</f>
        <v>0</v>
      </c>
      <c r="ES37" s="615">
        <f>IF(ES6="",0,AVERAGE(ES6:ES36))</f>
        <v>0</v>
      </c>
      <c r="ET37" s="405">
        <f>SUM(ET6:ET36)</f>
        <v>0</v>
      </c>
      <c r="EU37" s="407">
        <f>SUM(EU6:EU36)</f>
        <v>0</v>
      </c>
      <c r="EV37" s="615">
        <f>IF(EV6="",0,AVERAGE(EV6:EV36))</f>
        <v>0</v>
      </c>
      <c r="EW37" s="405">
        <f>SUM(EW6:EW36)</f>
        <v>0</v>
      </c>
      <c r="EX37" s="407">
        <f>SUM(EX6:EX36)</f>
        <v>0</v>
      </c>
      <c r="EY37" s="615">
        <f>IF(EY6="",0,AVERAGE(EY6:EY36))</f>
        <v>0</v>
      </c>
      <c r="EZ37" s="405">
        <f>SUM(EZ6:EZ36)</f>
        <v>0</v>
      </c>
      <c r="FA37" s="407">
        <f>SUM(FA6:FA36)</f>
        <v>0</v>
      </c>
      <c r="FB37" s="615">
        <f>IF(FB6="",0,AVERAGE(FB6:FB36))</f>
        <v>0</v>
      </c>
      <c r="FC37" s="405">
        <f>SUM(FC6:FC36)</f>
        <v>0</v>
      </c>
      <c r="FD37" s="407">
        <f>SUM(FD6:FD36)</f>
        <v>0</v>
      </c>
      <c r="FE37" s="615">
        <f>IF(FE6="",0,AVERAGE(FE6:FE36))</f>
        <v>0</v>
      </c>
      <c r="FF37" s="405">
        <f>SUM(FF6:FF36)</f>
        <v>0</v>
      </c>
      <c r="FG37" s="407">
        <f>SUM(FG6:FG36)</f>
        <v>0</v>
      </c>
      <c r="FH37" s="615">
        <f>IF(FH6="",0,AVERAGE(FH6:FH36))</f>
        <v>0</v>
      </c>
      <c r="FI37" s="405">
        <f>SUM(FI6:FI36)</f>
        <v>0</v>
      </c>
      <c r="FJ37" s="407">
        <f>SUM(FJ6:FJ36)</f>
        <v>0</v>
      </c>
      <c r="FK37" s="615">
        <f>IF(FK6="",0,AVERAGE(FK6:FK36))</f>
        <v>0</v>
      </c>
      <c r="FL37" s="405">
        <f>SUM(FL6:FL36)</f>
        <v>0</v>
      </c>
      <c r="FM37" s="407">
        <f>SUM(FM6:FM36)</f>
        <v>0</v>
      </c>
      <c r="FN37" s="615">
        <f>IF(FN6="",0,AVERAGE(FN6:FN36))</f>
        <v>0</v>
      </c>
      <c r="FO37" s="405">
        <f>SUM(FO6:FO36)</f>
        <v>0</v>
      </c>
      <c r="FP37" s="407">
        <f>SUM(FP6:FP36)</f>
        <v>0</v>
      </c>
      <c r="FQ37" s="615">
        <f>IF(FQ6="",0,AVERAGE(FQ6:FQ36))</f>
        <v>0</v>
      </c>
      <c r="FR37" s="405">
        <f>SUM(FR6:FR36)</f>
        <v>0</v>
      </c>
      <c r="FS37" s="407">
        <f>SUM(FS6:FS36)</f>
        <v>0</v>
      </c>
      <c r="FT37" s="615">
        <f>IF(FT6="",0,AVERAGE(FT6:FT36))</f>
        <v>0</v>
      </c>
      <c r="FU37" s="405">
        <f>SUM(FU6:FU36)</f>
        <v>0</v>
      </c>
      <c r="FV37" s="407">
        <f>SUM(FV6:FV36)</f>
        <v>0</v>
      </c>
      <c r="FW37" s="615">
        <f>IF(FW6="",0,AVERAGE(FW6:FW36))</f>
        <v>0</v>
      </c>
      <c r="FX37" s="405">
        <f>SUM(FX6:FX36)</f>
        <v>0</v>
      </c>
      <c r="FY37" s="407">
        <f>SUM(FY6:FY36)</f>
        <v>0</v>
      </c>
      <c r="FZ37" s="615">
        <f>IF(FZ6="",0,AVERAGE(FZ6:FZ36))</f>
        <v>0</v>
      </c>
      <c r="GA37" s="405">
        <f>SUM(GA6:GA36)</f>
        <v>0</v>
      </c>
      <c r="GB37" s="407">
        <f>SUM(GB6:GB36)</f>
        <v>0</v>
      </c>
      <c r="GC37" s="615">
        <f>IF(GC6="",0,AVERAGE(GC6:GC36))</f>
        <v>0</v>
      </c>
      <c r="GD37" s="405">
        <f>SUM(GD6:GD36)</f>
        <v>0</v>
      </c>
      <c r="GE37" s="407">
        <f>SUM(GE6:GE36)</f>
        <v>0</v>
      </c>
      <c r="GF37" s="615">
        <f>IF(GF6="",0,AVERAGE(GF6:GF36))</f>
        <v>0</v>
      </c>
      <c r="GG37" s="405">
        <f>SUM(GG6:GG36)</f>
        <v>0</v>
      </c>
      <c r="GH37" s="407">
        <f>SUM(GH6:GH36)</f>
        <v>0</v>
      </c>
      <c r="GI37" s="615">
        <f>IF(GI6="",0,AVERAGE(GI6:GI36))</f>
        <v>0</v>
      </c>
      <c r="GJ37" s="405">
        <f>SUM(GJ6:GJ36)</f>
        <v>0</v>
      </c>
      <c r="GK37" s="407">
        <f>SUM(GK6:GK36)</f>
        <v>0</v>
      </c>
      <c r="GL37" s="607">
        <f>AC37+Z37+W37+T37+Q37+N37+K37+H37+E37+B37+AF37+AI37+AL37+AO37+AR37+AU37+AX37+BA37+BD37+BG37+BJ37+BM37+BP37+BS37+BV37+BY37+CB37+CE37+CH37+CK37+CN37+CQ37+CT37+CW37+CZ37+DC37+DL37+DF37+DI37+DO37+DR37+DU37+DX37+EA37+ED37+EG37+EJ37+EM37+EP37+ES37+EV37+EY37+FB37+FE37+FH37+FK37+FN37+FQ37+FT37+FW37+FZ37+GC37+GF37+GI37</f>
        <v>5.4749999999999996</v>
      </c>
      <c r="GM37" s="608">
        <f>GL37+'33J'!BK37+'M80(20250122封存)'!CX37+MPS!AY37+TMT!CX37</f>
        <v>11.225</v>
      </c>
    </row>
    <row r="38" spans="1:196" s="38" customFormat="1" ht="24.75" customHeight="1" thickTop="1">
      <c r="A38" s="60"/>
      <c r="B38" s="1587">
        <v>5990</v>
      </c>
      <c r="C38" s="1587"/>
      <c r="D38" s="1588"/>
      <c r="E38" s="1587"/>
      <c r="F38" s="1587"/>
      <c r="G38" s="1588"/>
      <c r="H38" s="1587"/>
      <c r="I38" s="1587"/>
      <c r="J38" s="1588"/>
      <c r="K38" s="1587">
        <v>60618</v>
      </c>
      <c r="L38" s="1587"/>
      <c r="M38" s="1588"/>
      <c r="N38" s="1587">
        <v>15236</v>
      </c>
      <c r="O38" s="1587"/>
      <c r="P38" s="1588"/>
      <c r="Q38" s="1586"/>
      <c r="R38" s="1587"/>
      <c r="S38" s="1588"/>
      <c r="T38" s="1586"/>
      <c r="U38" s="1587"/>
      <c r="V38" s="1588"/>
      <c r="W38" s="1586"/>
      <c r="X38" s="1587"/>
      <c r="Y38" s="1588"/>
      <c r="Z38" s="1586">
        <v>29943</v>
      </c>
      <c r="AA38" s="1587"/>
      <c r="AB38" s="1588"/>
      <c r="AC38" s="1586"/>
      <c r="AD38" s="1587"/>
      <c r="AE38" s="1588"/>
      <c r="AF38" s="1586">
        <v>7950</v>
      </c>
      <c r="AG38" s="1587"/>
      <c r="AH38" s="1588"/>
      <c r="AI38" s="1586">
        <v>2734</v>
      </c>
      <c r="AJ38" s="1587"/>
      <c r="AK38" s="1588"/>
      <c r="AL38" s="1586">
        <v>13407</v>
      </c>
      <c r="AM38" s="1587"/>
      <c r="AN38" s="1588"/>
      <c r="AO38" s="1586">
        <v>12119</v>
      </c>
      <c r="AP38" s="1587"/>
      <c r="AQ38" s="1588"/>
      <c r="AR38" s="1586">
        <v>11946</v>
      </c>
      <c r="AS38" s="1587"/>
      <c r="AT38" s="1588"/>
      <c r="AU38" s="1586">
        <v>3750</v>
      </c>
      <c r="AV38" s="1587"/>
      <c r="AW38" s="1588"/>
      <c r="AX38" s="1587"/>
      <c r="AY38" s="1587"/>
      <c r="AZ38" s="1588"/>
      <c r="BA38" s="1587"/>
      <c r="BB38" s="1587"/>
      <c r="BC38" s="1588"/>
      <c r="BD38" s="1587"/>
      <c r="BE38" s="1587"/>
      <c r="BF38" s="1588"/>
      <c r="BG38" s="1587"/>
      <c r="BH38" s="1587"/>
      <c r="BI38" s="1588"/>
      <c r="BJ38" s="1586"/>
      <c r="BK38" s="1587"/>
      <c r="BL38" s="1588"/>
      <c r="BM38" s="1586"/>
      <c r="BN38" s="1587"/>
      <c r="BO38" s="1588"/>
      <c r="BP38" s="1587"/>
      <c r="BQ38" s="1587"/>
      <c r="BR38" s="1588"/>
      <c r="BS38" s="1587"/>
      <c r="BT38" s="1587"/>
      <c r="BU38" s="1588"/>
      <c r="BV38" s="1587"/>
      <c r="BW38" s="1587"/>
      <c r="BX38" s="1588"/>
      <c r="BY38" s="1587"/>
      <c r="BZ38" s="1587"/>
      <c r="CA38" s="1588"/>
      <c r="CB38" s="1587"/>
      <c r="CC38" s="1587"/>
      <c r="CD38" s="1588"/>
      <c r="CE38" s="1587"/>
      <c r="CF38" s="1587"/>
      <c r="CG38" s="1588"/>
      <c r="CH38" s="1587"/>
      <c r="CI38" s="1587"/>
      <c r="CJ38" s="1588"/>
      <c r="CK38" s="1587"/>
      <c r="CL38" s="1587"/>
      <c r="CM38" s="1588"/>
      <c r="CN38" s="1587"/>
      <c r="CO38" s="1587"/>
      <c r="CP38" s="1588"/>
      <c r="CQ38" s="1587"/>
      <c r="CR38" s="1587"/>
      <c r="CS38" s="1588"/>
      <c r="CT38" s="1587"/>
      <c r="CU38" s="1587"/>
      <c r="CV38" s="1588"/>
      <c r="CW38" s="1587"/>
      <c r="CX38" s="1587"/>
      <c r="CY38" s="1588"/>
      <c r="CZ38" s="1587"/>
      <c r="DA38" s="1587"/>
      <c r="DB38" s="1588"/>
      <c r="DC38" s="1587"/>
      <c r="DD38" s="1587"/>
      <c r="DE38" s="1588"/>
      <c r="DF38" s="1587"/>
      <c r="DG38" s="1587"/>
      <c r="DH38" s="1588"/>
      <c r="DI38" s="1587"/>
      <c r="DJ38" s="1587"/>
      <c r="DK38" s="1588"/>
      <c r="DL38" s="1587"/>
      <c r="DM38" s="1587"/>
      <c r="DN38" s="1588"/>
      <c r="DO38" s="1587"/>
      <c r="DP38" s="1587"/>
      <c r="DQ38" s="1588"/>
      <c r="DR38" s="1587"/>
      <c r="DS38" s="1587"/>
      <c r="DT38" s="1588"/>
      <c r="DU38" s="1587"/>
      <c r="DV38" s="1587"/>
      <c r="DW38" s="1588"/>
      <c r="DX38" s="1587"/>
      <c r="DY38" s="1587"/>
      <c r="DZ38" s="1588"/>
      <c r="EA38" s="1587"/>
      <c r="EB38" s="1587"/>
      <c r="EC38" s="1588"/>
      <c r="ED38" s="1587"/>
      <c r="EE38" s="1587"/>
      <c r="EF38" s="1588"/>
      <c r="EG38" s="1587"/>
      <c r="EH38" s="1587"/>
      <c r="EI38" s="1588"/>
      <c r="EJ38" s="1587"/>
      <c r="EK38" s="1587"/>
      <c r="EL38" s="1588"/>
      <c r="EM38" s="1587"/>
      <c r="EN38" s="1587"/>
      <c r="EO38" s="1588"/>
      <c r="EP38" s="1587"/>
      <c r="EQ38" s="1587"/>
      <c r="ER38" s="1588"/>
      <c r="ES38" s="1586"/>
      <c r="ET38" s="1587"/>
      <c r="EU38" s="1588"/>
      <c r="EV38" s="1586"/>
      <c r="EW38" s="1587"/>
      <c r="EX38" s="1588"/>
      <c r="EY38" s="1586"/>
      <c r="EZ38" s="1587"/>
      <c r="FA38" s="1588"/>
      <c r="FB38" s="1586"/>
      <c r="FC38" s="1587"/>
      <c r="FD38" s="1588"/>
      <c r="FE38" s="1586"/>
      <c r="FF38" s="1587"/>
      <c r="FG38" s="1588"/>
      <c r="FH38" s="1586"/>
      <c r="FI38" s="1587"/>
      <c r="FJ38" s="1588"/>
      <c r="FK38" s="1586"/>
      <c r="FL38" s="1587"/>
      <c r="FM38" s="1588"/>
      <c r="FN38" s="1586"/>
      <c r="FO38" s="1587"/>
      <c r="FP38" s="1588"/>
      <c r="FQ38" s="1586"/>
      <c r="FR38" s="1587"/>
      <c r="FS38" s="1588"/>
      <c r="FT38" s="1586"/>
      <c r="FU38" s="1587"/>
      <c r="FV38" s="1588"/>
      <c r="FW38" s="1586"/>
      <c r="FX38" s="1587"/>
      <c r="FY38" s="1588"/>
      <c r="FZ38" s="1586"/>
      <c r="GA38" s="1587"/>
      <c r="GB38" s="1588"/>
      <c r="GC38" s="1586"/>
      <c r="GD38" s="1587"/>
      <c r="GE38" s="1588"/>
      <c r="GF38" s="1586"/>
      <c r="GG38" s="1587"/>
      <c r="GH38" s="1588"/>
      <c r="GI38" s="1586"/>
      <c r="GJ38" s="1587"/>
      <c r="GK38" s="1588"/>
    </row>
    <row r="39" spans="1:196" s="38" customFormat="1" ht="23.25" customHeight="1" thickBot="1">
      <c r="A39" s="61"/>
      <c r="B39" s="1593">
        <v>590</v>
      </c>
      <c r="C39" s="1593"/>
      <c r="D39" s="1594"/>
      <c r="E39" s="1597"/>
      <c r="F39" s="1597"/>
      <c r="G39" s="1598"/>
      <c r="H39" s="1597"/>
      <c r="I39" s="1597"/>
      <c r="J39" s="1598"/>
      <c r="K39" s="1597">
        <v>1368</v>
      </c>
      <c r="L39" s="1597"/>
      <c r="M39" s="1598"/>
      <c r="N39" s="1597">
        <v>1196</v>
      </c>
      <c r="O39" s="1597"/>
      <c r="P39" s="1598"/>
      <c r="Q39" s="1592"/>
      <c r="R39" s="1593"/>
      <c r="S39" s="1594"/>
      <c r="T39" s="1592"/>
      <c r="U39" s="1593"/>
      <c r="V39" s="1594"/>
      <c r="W39" s="1592"/>
      <c r="X39" s="1593"/>
      <c r="Y39" s="1594"/>
      <c r="Z39" s="1592">
        <v>2223</v>
      </c>
      <c r="AA39" s="1593"/>
      <c r="AB39" s="1594"/>
      <c r="AC39" s="1592"/>
      <c r="AD39" s="1593"/>
      <c r="AE39" s="1594"/>
      <c r="AF39" s="1592"/>
      <c r="AG39" s="1593"/>
      <c r="AH39" s="1594"/>
      <c r="AI39" s="1592">
        <v>724</v>
      </c>
      <c r="AJ39" s="1593"/>
      <c r="AK39" s="1594"/>
      <c r="AL39" s="1592">
        <v>1287</v>
      </c>
      <c r="AM39" s="1593"/>
      <c r="AN39" s="1594"/>
      <c r="AO39" s="1592">
        <v>719</v>
      </c>
      <c r="AP39" s="1593"/>
      <c r="AQ39" s="1594"/>
      <c r="AR39" s="1592">
        <v>1066</v>
      </c>
      <c r="AS39" s="1593"/>
      <c r="AT39" s="1594"/>
      <c r="AU39" s="1592"/>
      <c r="AV39" s="1593"/>
      <c r="AW39" s="1594"/>
      <c r="AX39" s="1597"/>
      <c r="AY39" s="1597"/>
      <c r="AZ39" s="1598"/>
      <c r="BA39" s="1597"/>
      <c r="BB39" s="1597"/>
      <c r="BC39" s="1598"/>
      <c r="BD39" s="1597"/>
      <c r="BE39" s="1597"/>
      <c r="BF39" s="1598"/>
      <c r="BG39" s="1597"/>
      <c r="BH39" s="1597"/>
      <c r="BI39" s="1598"/>
      <c r="BJ39" s="1592"/>
      <c r="BK39" s="1593"/>
      <c r="BL39" s="1594"/>
      <c r="BM39" s="1592"/>
      <c r="BN39" s="1593"/>
      <c r="BO39" s="1594"/>
      <c r="BP39" s="1597"/>
      <c r="BQ39" s="1597"/>
      <c r="BR39" s="1598"/>
      <c r="BS39" s="1597"/>
      <c r="BT39" s="1597"/>
      <c r="BU39" s="1598"/>
      <c r="BV39" s="1597"/>
      <c r="BW39" s="1597"/>
      <c r="BX39" s="1598"/>
      <c r="BY39" s="1597"/>
      <c r="BZ39" s="1597"/>
      <c r="CA39" s="1598"/>
      <c r="CB39" s="1597"/>
      <c r="CC39" s="1597"/>
      <c r="CD39" s="1598"/>
      <c r="CE39" s="1597"/>
      <c r="CF39" s="1597"/>
      <c r="CG39" s="1598"/>
      <c r="CH39" s="1597"/>
      <c r="CI39" s="1597"/>
      <c r="CJ39" s="1598"/>
      <c r="CK39" s="1597"/>
      <c r="CL39" s="1597"/>
      <c r="CM39" s="1598"/>
      <c r="CN39" s="1597"/>
      <c r="CO39" s="1597"/>
      <c r="CP39" s="1598"/>
      <c r="CQ39" s="1597"/>
      <c r="CR39" s="1597"/>
      <c r="CS39" s="1598"/>
      <c r="CT39" s="1597"/>
      <c r="CU39" s="1597"/>
      <c r="CV39" s="1598"/>
      <c r="CW39" s="1597"/>
      <c r="CX39" s="1597"/>
      <c r="CY39" s="1598"/>
      <c r="CZ39" s="1597"/>
      <c r="DA39" s="1597"/>
      <c r="DB39" s="1598"/>
      <c r="DC39" s="1597"/>
      <c r="DD39" s="1597"/>
      <c r="DE39" s="1598"/>
      <c r="DF39" s="1597"/>
      <c r="DG39" s="1597"/>
      <c r="DH39" s="1598"/>
      <c r="DI39" s="1597"/>
      <c r="DJ39" s="1597"/>
      <c r="DK39" s="1598"/>
      <c r="DL39" s="1597"/>
      <c r="DM39" s="1597"/>
      <c r="DN39" s="1598"/>
      <c r="DO39" s="1597"/>
      <c r="DP39" s="1597"/>
      <c r="DQ39" s="1598"/>
      <c r="DR39" s="1597"/>
      <c r="DS39" s="1597"/>
      <c r="DT39" s="1598"/>
      <c r="DU39" s="1597"/>
      <c r="DV39" s="1597"/>
      <c r="DW39" s="1598"/>
      <c r="DX39" s="1597"/>
      <c r="DY39" s="1597"/>
      <c r="DZ39" s="1598"/>
      <c r="EA39" s="1597"/>
      <c r="EB39" s="1597"/>
      <c r="EC39" s="1598"/>
      <c r="ED39" s="1597"/>
      <c r="EE39" s="1597"/>
      <c r="EF39" s="1598"/>
      <c r="EG39" s="1597"/>
      <c r="EH39" s="1597"/>
      <c r="EI39" s="1598"/>
      <c r="EJ39" s="1597"/>
      <c r="EK39" s="1597"/>
      <c r="EL39" s="1598"/>
      <c r="EM39" s="1597"/>
      <c r="EN39" s="1597"/>
      <c r="EO39" s="1598"/>
      <c r="EP39" s="1597"/>
      <c r="EQ39" s="1597"/>
      <c r="ER39" s="1598"/>
      <c r="ES39" s="1592"/>
      <c r="ET39" s="1593"/>
      <c r="EU39" s="1594"/>
      <c r="EV39" s="1592"/>
      <c r="EW39" s="1593"/>
      <c r="EX39" s="1594"/>
      <c r="EY39" s="1592"/>
      <c r="EZ39" s="1593"/>
      <c r="FA39" s="1594"/>
      <c r="FB39" s="1592"/>
      <c r="FC39" s="1593"/>
      <c r="FD39" s="1594"/>
      <c r="FE39" s="1592"/>
      <c r="FF39" s="1593"/>
      <c r="FG39" s="1594"/>
      <c r="FH39" s="1592"/>
      <c r="FI39" s="1593"/>
      <c r="FJ39" s="1594"/>
      <c r="FK39" s="1592"/>
      <c r="FL39" s="1593"/>
      <c r="FM39" s="1594"/>
      <c r="FN39" s="1592"/>
      <c r="FO39" s="1593"/>
      <c r="FP39" s="1594"/>
      <c r="FQ39" s="1592"/>
      <c r="FR39" s="1593"/>
      <c r="FS39" s="1594"/>
      <c r="FT39" s="1592"/>
      <c r="FU39" s="1593"/>
      <c r="FV39" s="1594"/>
      <c r="FW39" s="1592"/>
      <c r="FX39" s="1593"/>
      <c r="FY39" s="1594"/>
      <c r="FZ39" s="1592"/>
      <c r="GA39" s="1593"/>
      <c r="GB39" s="1594"/>
      <c r="GC39" s="1592"/>
      <c r="GD39" s="1593"/>
      <c r="GE39" s="1594"/>
      <c r="GF39" s="1609"/>
      <c r="GG39" s="1597"/>
      <c r="GH39" s="1598"/>
      <c r="GI39" s="1609"/>
      <c r="GJ39" s="1597"/>
      <c r="GK39" s="1598"/>
    </row>
    <row r="40" spans="1:196" s="38" customFormat="1" ht="27" customHeight="1" thickBot="1">
      <c r="A40" s="62"/>
      <c r="B40" s="1604"/>
      <c r="C40" s="1605"/>
      <c r="D40" s="1606"/>
      <c r="E40" s="1595"/>
      <c r="F40" s="1595"/>
      <c r="G40" s="1595"/>
      <c r="H40" s="1595"/>
      <c r="I40" s="1595"/>
      <c r="J40" s="1595"/>
      <c r="K40" s="1595">
        <v>100</v>
      </c>
      <c r="L40" s="1595"/>
      <c r="M40" s="1595"/>
      <c r="N40" s="1595"/>
      <c r="O40" s="1595"/>
      <c r="P40" s="1595"/>
      <c r="Q40" s="1595"/>
      <c r="R40" s="1595"/>
      <c r="S40" s="1595"/>
      <c r="T40" s="1595"/>
      <c r="U40" s="1595"/>
      <c r="V40" s="1595"/>
      <c r="W40" s="1595"/>
      <c r="X40" s="1595"/>
      <c r="Y40" s="1595"/>
      <c r="Z40" s="1595">
        <v>100</v>
      </c>
      <c r="AA40" s="1595"/>
      <c r="AB40" s="1595"/>
      <c r="AC40" s="1595"/>
      <c r="AD40" s="1595"/>
      <c r="AE40" s="1595"/>
      <c r="AF40" s="1595">
        <v>100</v>
      </c>
      <c r="AG40" s="1595"/>
      <c r="AH40" s="1595"/>
      <c r="AI40" s="1595"/>
      <c r="AJ40" s="1595"/>
      <c r="AK40" s="1595"/>
      <c r="AL40" s="1595">
        <v>100</v>
      </c>
      <c r="AM40" s="1595"/>
      <c r="AN40" s="1595"/>
      <c r="AO40" s="1595"/>
      <c r="AP40" s="1595"/>
      <c r="AQ40" s="1595"/>
      <c r="AR40" s="1595">
        <v>100</v>
      </c>
      <c r="AS40" s="1595"/>
      <c r="AT40" s="1595"/>
      <c r="AU40" s="1595">
        <v>100</v>
      </c>
      <c r="AV40" s="1595"/>
      <c r="AW40" s="1595"/>
      <c r="AX40" s="1595"/>
      <c r="AY40" s="1595"/>
      <c r="AZ40" s="1595"/>
      <c r="BA40" s="1595"/>
      <c r="BB40" s="1595"/>
      <c r="BC40" s="1595"/>
      <c r="BD40" s="1595"/>
      <c r="BE40" s="1595"/>
      <c r="BF40" s="1595"/>
      <c r="BG40" s="1595"/>
      <c r="BH40" s="1595"/>
      <c r="BI40" s="1595"/>
      <c r="BJ40" s="1595"/>
      <c r="BK40" s="1595"/>
      <c r="BL40" s="1595"/>
      <c r="BM40" s="1595"/>
      <c r="BN40" s="1595"/>
      <c r="BO40" s="1595"/>
      <c r="BP40" s="1595"/>
      <c r="BQ40" s="1595"/>
      <c r="BR40" s="1595"/>
      <c r="BS40" s="1595"/>
      <c r="BT40" s="1595"/>
      <c r="BU40" s="1595"/>
      <c r="BV40" s="1595"/>
      <c r="BW40" s="1595"/>
      <c r="BX40" s="1595"/>
      <c r="BY40" s="1595"/>
      <c r="BZ40" s="1595"/>
      <c r="CA40" s="1595"/>
      <c r="CB40" s="1595"/>
      <c r="CC40" s="1595"/>
      <c r="CD40" s="1595"/>
      <c r="CE40" s="1595"/>
      <c r="CF40" s="1595"/>
      <c r="CG40" s="1595"/>
      <c r="CH40" s="1595"/>
      <c r="CI40" s="1595"/>
      <c r="CJ40" s="1595"/>
      <c r="CK40" s="1595"/>
      <c r="CL40" s="1595"/>
      <c r="CM40" s="1595"/>
      <c r="CN40" s="1595"/>
      <c r="CO40" s="1595"/>
      <c r="CP40" s="1595"/>
      <c r="CQ40" s="1595"/>
      <c r="CR40" s="1595"/>
      <c r="CS40" s="1595"/>
      <c r="CT40" s="1595"/>
      <c r="CU40" s="1595"/>
      <c r="CV40" s="1595"/>
      <c r="CW40" s="1595"/>
      <c r="CX40" s="1595"/>
      <c r="CY40" s="1595"/>
      <c r="CZ40" s="1595"/>
      <c r="DA40" s="1595"/>
      <c r="DB40" s="1595"/>
      <c r="DC40" s="1595"/>
      <c r="DD40" s="1595"/>
      <c r="DE40" s="1595"/>
      <c r="DF40" s="1595"/>
      <c r="DG40" s="1595"/>
      <c r="DH40" s="1595"/>
      <c r="DI40" s="1595"/>
      <c r="DJ40" s="1595"/>
      <c r="DK40" s="1595"/>
      <c r="DL40" s="1595"/>
      <c r="DM40" s="1595"/>
      <c r="DN40" s="1595"/>
      <c r="DO40" s="1595"/>
      <c r="DP40" s="1595"/>
      <c r="DQ40" s="1595"/>
      <c r="DR40" s="1595"/>
      <c r="DS40" s="1595"/>
      <c r="DT40" s="1595"/>
      <c r="DU40" s="1595"/>
      <c r="DV40" s="1595"/>
      <c r="DW40" s="1595"/>
      <c r="DX40" s="1595"/>
      <c r="DY40" s="1595"/>
      <c r="DZ40" s="1595"/>
      <c r="EA40" s="1595"/>
      <c r="EB40" s="1595"/>
      <c r="EC40" s="1595"/>
      <c r="ED40" s="1595"/>
      <c r="EE40" s="1595"/>
      <c r="EF40" s="1595"/>
      <c r="EG40" s="1595"/>
      <c r="EH40" s="1595"/>
      <c r="EI40" s="1595"/>
      <c r="EJ40" s="1595"/>
      <c r="EK40" s="1595"/>
      <c r="EL40" s="1595"/>
      <c r="EM40" s="1595"/>
      <c r="EN40" s="1595"/>
      <c r="EO40" s="1595"/>
      <c r="EP40" s="1595"/>
      <c r="EQ40" s="1595"/>
      <c r="ER40" s="1595"/>
      <c r="ES40" s="1595"/>
      <c r="ET40" s="1595"/>
      <c r="EU40" s="1595"/>
      <c r="EV40" s="1595"/>
      <c r="EW40" s="1595"/>
      <c r="EX40" s="1595"/>
      <c r="EY40" s="1595"/>
      <c r="EZ40" s="1595"/>
      <c r="FA40" s="1595"/>
      <c r="FB40" s="1595"/>
      <c r="FC40" s="1595"/>
      <c r="FD40" s="1595"/>
      <c r="FE40" s="1595"/>
      <c r="FF40" s="1595"/>
      <c r="FG40" s="1595"/>
      <c r="FH40" s="1595"/>
      <c r="FI40" s="1595"/>
      <c r="FJ40" s="1595"/>
      <c r="FK40" s="1595"/>
      <c r="FL40" s="1595"/>
      <c r="FM40" s="1595"/>
      <c r="FN40" s="1595"/>
      <c r="FO40" s="1595"/>
      <c r="FP40" s="1595"/>
      <c r="FQ40" s="1595"/>
      <c r="FR40" s="1595"/>
      <c r="FS40" s="1595"/>
      <c r="FT40" s="1595"/>
      <c r="FU40" s="1595"/>
      <c r="FV40" s="1595"/>
      <c r="FW40" s="1595"/>
      <c r="FX40" s="1595"/>
      <c r="FY40" s="1595"/>
      <c r="FZ40" s="1595"/>
      <c r="GA40" s="1595"/>
      <c r="GB40" s="1595"/>
      <c r="GC40" s="1595"/>
      <c r="GD40" s="1595"/>
      <c r="GE40" s="1595"/>
      <c r="GF40" s="1595"/>
      <c r="GG40" s="1595"/>
      <c r="GH40" s="1595"/>
      <c r="GI40" s="1595"/>
      <c r="GJ40" s="1595"/>
      <c r="GK40" s="1595"/>
      <c r="GM40" s="65"/>
    </row>
    <row r="41" spans="1:196" s="23" customFormat="1" ht="17.25" hidden="1" customHeight="1" thickTop="1" thickBot="1">
      <c r="A41" s="410"/>
      <c r="B41" s="1607">
        <f>B38-B39-B60</f>
        <v>5400</v>
      </c>
      <c r="C41" s="1584"/>
      <c r="D41" s="1608"/>
      <c r="E41" s="1584">
        <f>E38-E39-E60</f>
        <v>0</v>
      </c>
      <c r="F41" s="1584"/>
      <c r="G41" s="1584"/>
      <c r="H41" s="1584">
        <f>H38-H39-H60</f>
        <v>0</v>
      </c>
      <c r="I41" s="1584"/>
      <c r="J41" s="1584"/>
      <c r="K41" s="1584">
        <f>K38-K39-K60</f>
        <v>24810</v>
      </c>
      <c r="L41" s="1584"/>
      <c r="M41" s="1584"/>
      <c r="N41" s="1584">
        <f>N38-N39-N60</f>
        <v>14040</v>
      </c>
      <c r="O41" s="1584"/>
      <c r="P41" s="1584"/>
      <c r="Q41" s="476">
        <f>Q38-Q39-Q60</f>
        <v>0</v>
      </c>
      <c r="R41" s="476"/>
      <c r="S41" s="476"/>
      <c r="T41" s="476">
        <f>T38-T39-T60</f>
        <v>0</v>
      </c>
      <c r="U41" s="476"/>
      <c r="V41" s="476"/>
      <c r="W41" s="476">
        <f>W38-W39-W60</f>
        <v>0</v>
      </c>
      <c r="X41" s="476"/>
      <c r="Y41" s="476"/>
      <c r="Z41" s="476">
        <f>Z38-Z39-Z60</f>
        <v>27720</v>
      </c>
      <c r="AA41" s="476"/>
      <c r="AB41" s="476"/>
      <c r="AC41" s="476">
        <f>AC38-AC39-AC60</f>
        <v>0</v>
      </c>
      <c r="AD41" s="476"/>
      <c r="AE41" s="476"/>
      <c r="AF41" s="476">
        <f>AF38-AF39-AF60</f>
        <v>7950</v>
      </c>
      <c r="AG41" s="476"/>
      <c r="AH41" s="476"/>
      <c r="AI41" s="476">
        <f>AI38-AI39-AI60</f>
        <v>2010</v>
      </c>
      <c r="AJ41" s="476"/>
      <c r="AK41" s="476"/>
      <c r="AL41" s="476">
        <f>AL38-AL39-AL60</f>
        <v>12120</v>
      </c>
      <c r="AM41" s="476"/>
      <c r="AN41" s="476"/>
      <c r="AO41" s="476">
        <f>AO38-AO39-AO60</f>
        <v>11400</v>
      </c>
      <c r="AP41" s="476"/>
      <c r="AQ41" s="476"/>
      <c r="AR41" s="476">
        <f>AR38-AR39-AR60</f>
        <v>10880</v>
      </c>
      <c r="AS41" s="476"/>
      <c r="AT41" s="476"/>
      <c r="AU41" s="476">
        <f>AU38-AU39-AU60</f>
        <v>3750</v>
      </c>
      <c r="AV41" s="476"/>
      <c r="AW41" s="476"/>
      <c r="AX41" s="476">
        <f>AX38-AX39-AX60</f>
        <v>0</v>
      </c>
      <c r="AY41" s="476"/>
      <c r="AZ41" s="476"/>
      <c r="BA41" s="476">
        <f>BA38-BA39-BA60</f>
        <v>0</v>
      </c>
      <c r="BB41" s="476"/>
      <c r="BC41" s="476"/>
      <c r="BD41" s="476">
        <f>BD38-BD39-BD60</f>
        <v>0</v>
      </c>
      <c r="BE41" s="476"/>
      <c r="BF41" s="476"/>
      <c r="BG41" s="476">
        <f>BG38-BG39-BG60</f>
        <v>0</v>
      </c>
      <c r="BH41" s="476"/>
      <c r="BI41" s="476"/>
      <c r="BJ41" s="476">
        <f>BJ38-BJ39-BJ60</f>
        <v>0</v>
      </c>
      <c r="BK41" s="476"/>
      <c r="BL41" s="476"/>
      <c r="BM41" s="476">
        <f>BM38-BM39-BM60</f>
        <v>0</v>
      </c>
      <c r="BN41" s="476"/>
      <c r="BO41" s="476"/>
      <c r="BP41" s="476">
        <f>BP38-BP39-BP60</f>
        <v>0</v>
      </c>
      <c r="BQ41" s="476"/>
      <c r="BR41" s="476"/>
      <c r="BS41" s="476">
        <f>BS38-BS39-BS60</f>
        <v>0</v>
      </c>
      <c r="BT41" s="476"/>
      <c r="BU41" s="476"/>
      <c r="BV41" s="476">
        <f>BV38-BV39-BV60</f>
        <v>0</v>
      </c>
      <c r="BW41" s="476"/>
      <c r="BX41" s="476"/>
      <c r="BY41" s="476">
        <f>BY38-BY39-BY60</f>
        <v>0</v>
      </c>
      <c r="BZ41" s="476"/>
      <c r="CA41" s="476"/>
      <c r="CB41" s="476">
        <f>CB38-CB39-CB60</f>
        <v>0</v>
      </c>
      <c r="CC41" s="476"/>
      <c r="CD41" s="476"/>
      <c r="CE41" s="476">
        <f>CE38-CE39-CE60</f>
        <v>0</v>
      </c>
      <c r="CF41" s="476"/>
      <c r="CG41" s="476"/>
      <c r="CH41" s="476">
        <f>CH38-CH39-CH60</f>
        <v>0</v>
      </c>
      <c r="CI41" s="476"/>
      <c r="CJ41" s="476"/>
      <c r="CK41" s="476">
        <f>CK38-CK39-CK60</f>
        <v>0</v>
      </c>
      <c r="CL41" s="476"/>
      <c r="CM41" s="476"/>
      <c r="CN41" s="476">
        <f>CN38-CN39-CN60</f>
        <v>0</v>
      </c>
      <c r="CO41" s="476"/>
      <c r="CP41" s="476"/>
      <c r="CQ41" s="476">
        <f>CQ38-CQ39-CQ60</f>
        <v>0</v>
      </c>
      <c r="CR41" s="476"/>
      <c r="CS41" s="476"/>
      <c r="CT41" s="476">
        <f>CT38-CT39-CT60</f>
        <v>0</v>
      </c>
      <c r="CU41" s="476"/>
      <c r="CV41" s="476"/>
      <c r="CW41" s="476">
        <f>CW38-CW39-CW60</f>
        <v>0</v>
      </c>
      <c r="CX41" s="476"/>
      <c r="CY41" s="476"/>
      <c r="CZ41" s="476">
        <f>CZ38-CZ39-CZ60</f>
        <v>0</v>
      </c>
      <c r="DA41" s="476"/>
      <c r="DB41" s="476"/>
      <c r="DC41" s="476">
        <f>DC38-DC39-DC60</f>
        <v>0</v>
      </c>
      <c r="DD41" s="476"/>
      <c r="DE41" s="476"/>
      <c r="DF41" s="476">
        <f>DF38-DF39-DF60</f>
        <v>0</v>
      </c>
      <c r="DG41" s="476"/>
      <c r="DH41" s="476"/>
      <c r="DI41" s="476">
        <f>DI38-DI39-DI60</f>
        <v>0</v>
      </c>
      <c r="DJ41" s="476"/>
      <c r="DK41" s="476"/>
      <c r="DL41" s="476">
        <f>DL38-DL39-DL60</f>
        <v>0</v>
      </c>
      <c r="DM41" s="476"/>
      <c r="DN41" s="476"/>
      <c r="DO41" s="476">
        <f>DO38-DO39-DO60</f>
        <v>0</v>
      </c>
      <c r="DP41" s="476"/>
      <c r="DQ41" s="476"/>
      <c r="DR41" s="476">
        <f>DR38-DR39-DR60</f>
        <v>0</v>
      </c>
      <c r="DS41" s="476"/>
      <c r="DT41" s="476"/>
      <c r="DU41" s="476">
        <f>DU38-DU39-DU60</f>
        <v>0</v>
      </c>
      <c r="DV41" s="476"/>
      <c r="DW41" s="476"/>
      <c r="DX41" s="476">
        <f>DX38-DX39-DX60</f>
        <v>0</v>
      </c>
      <c r="DY41" s="476"/>
      <c r="DZ41" s="476"/>
      <c r="EA41" s="476">
        <f>EA38-EA39-EA60</f>
        <v>0</v>
      </c>
      <c r="EB41" s="476"/>
      <c r="EC41" s="476"/>
      <c r="ED41" s="476">
        <f>ED38-ED39-ED60</f>
        <v>0</v>
      </c>
      <c r="EE41" s="476"/>
      <c r="EF41" s="476"/>
      <c r="EG41" s="476">
        <f>EG38-EG39-EG60</f>
        <v>0</v>
      </c>
      <c r="EH41" s="476"/>
      <c r="EI41" s="476"/>
      <c r="EJ41" s="476">
        <f>EJ38-EJ39-EJ60</f>
        <v>0</v>
      </c>
      <c r="EK41" s="476"/>
      <c r="EL41" s="476"/>
      <c r="EM41" s="476">
        <f>EM38-EM39-EM60</f>
        <v>0</v>
      </c>
      <c r="EN41" s="476"/>
      <c r="EO41" s="476"/>
      <c r="EP41" s="476">
        <f>EP38-EP39-EP60</f>
        <v>0</v>
      </c>
      <c r="EQ41" s="476"/>
      <c r="ER41" s="476"/>
      <c r="ES41" s="476">
        <f>ES38-ES39-ES60</f>
        <v>0</v>
      </c>
      <c r="ET41" s="476"/>
      <c r="EU41" s="476"/>
      <c r="EV41" s="476">
        <f>EV38-EV39-EV60</f>
        <v>0</v>
      </c>
      <c r="EW41" s="476"/>
      <c r="EX41" s="476"/>
      <c r="EY41" s="476">
        <f>EY38-EY39-EY60</f>
        <v>0</v>
      </c>
      <c r="EZ41" s="476"/>
      <c r="FA41" s="476"/>
      <c r="FB41" s="476">
        <f>FB38-FB39-FB60</f>
        <v>0</v>
      </c>
      <c r="FC41" s="476"/>
      <c r="FD41" s="476"/>
      <c r="FE41" s="476">
        <f>FE38-FE39-FE60</f>
        <v>0</v>
      </c>
      <c r="FF41" s="476"/>
      <c r="FG41" s="476"/>
      <c r="FH41" s="476">
        <f>FH38-FH39-FH60</f>
        <v>0</v>
      </c>
      <c r="FI41" s="476"/>
      <c r="FJ41" s="476"/>
      <c r="FK41" s="476">
        <f>FK38-FK39-FK60</f>
        <v>0</v>
      </c>
      <c r="FL41" s="476"/>
      <c r="FM41" s="476"/>
      <c r="FN41" s="1584">
        <f>FN38-FN39-FN60</f>
        <v>0</v>
      </c>
      <c r="FO41" s="1584"/>
      <c r="FP41" s="1584"/>
      <c r="FQ41" s="476">
        <f>FQ38-FQ39-FQ60</f>
        <v>0</v>
      </c>
      <c r="FR41" s="476"/>
      <c r="FS41" s="476"/>
      <c r="FT41" s="476">
        <f>FT38-FT39-FT60</f>
        <v>0</v>
      </c>
      <c r="FU41" s="476"/>
      <c r="FV41" s="476"/>
      <c r="FW41" s="476">
        <f>FW38-FW39-FW60</f>
        <v>0</v>
      </c>
      <c r="FX41" s="476"/>
      <c r="FY41" s="476"/>
      <c r="FZ41" s="1584">
        <f>FZ38-FZ39-FZ60</f>
        <v>0</v>
      </c>
      <c r="GA41" s="1584"/>
      <c r="GB41" s="1584"/>
      <c r="GC41" s="1584">
        <f>GC38-GC39-GC60</f>
        <v>0</v>
      </c>
      <c r="GD41" s="1584"/>
      <c r="GE41" s="1584"/>
      <c r="GF41" s="1584">
        <f>GF38-GF39-GF60</f>
        <v>0</v>
      </c>
      <c r="GG41" s="1584"/>
      <c r="GH41" s="1584"/>
      <c r="GI41" s="1584">
        <f>GI38-GI39-GI60</f>
        <v>0</v>
      </c>
      <c r="GJ41" s="1584"/>
      <c r="GK41" s="1584"/>
    </row>
    <row r="42" spans="1:196" ht="15.75" hidden="1" customHeight="1" thickTop="1">
      <c r="B42" s="1585">
        <f>B41-C60</f>
        <v>4810</v>
      </c>
      <c r="C42" s="1585"/>
      <c r="D42" s="1585"/>
      <c r="E42" s="1585">
        <f>E41-F60</f>
        <v>0</v>
      </c>
      <c r="F42" s="1585"/>
      <c r="G42" s="1585"/>
      <c r="H42" s="1585">
        <f>H41-I60</f>
        <v>0</v>
      </c>
      <c r="I42" s="1585"/>
      <c r="J42" s="1585"/>
      <c r="K42" s="1585">
        <f>K41-L60</f>
        <v>24810</v>
      </c>
      <c r="L42" s="1585"/>
      <c r="M42" s="1585"/>
      <c r="N42" s="1585">
        <f>N41-O60</f>
        <v>14040</v>
      </c>
      <c r="O42" s="1585"/>
      <c r="P42" s="1585"/>
      <c r="Q42" s="477">
        <f>Q41-R60</f>
        <v>0</v>
      </c>
      <c r="R42" s="477"/>
      <c r="S42" s="477"/>
      <c r="T42" s="477">
        <f>T41-U60</f>
        <v>0</v>
      </c>
      <c r="U42" s="477"/>
      <c r="V42" s="477"/>
      <c r="W42" s="477">
        <f>W41-X60</f>
        <v>0</v>
      </c>
      <c r="X42" s="477"/>
      <c r="Y42" s="477"/>
      <c r="Z42" s="477">
        <f>Z41-AA60</f>
        <v>27720</v>
      </c>
      <c r="AA42" s="477"/>
      <c r="AB42" s="477"/>
      <c r="AC42" s="477">
        <f>AC41-AD60</f>
        <v>0</v>
      </c>
      <c r="AD42" s="477"/>
      <c r="AE42" s="477"/>
      <c r="AF42" s="477">
        <f>AF41-AG60</f>
        <v>7950</v>
      </c>
      <c r="AG42" s="477"/>
      <c r="AH42" s="477"/>
      <c r="AI42" s="477">
        <f>AI41-AJ60</f>
        <v>2010</v>
      </c>
      <c r="AJ42" s="477"/>
      <c r="AK42" s="477"/>
      <c r="AL42" s="477">
        <f>AL41-AM60</f>
        <v>12120</v>
      </c>
      <c r="AM42" s="477"/>
      <c r="AN42" s="477"/>
      <c r="AO42" s="477">
        <f>AO41-AP60</f>
        <v>11400</v>
      </c>
      <c r="AP42" s="477"/>
      <c r="AQ42" s="477"/>
      <c r="AR42" s="477">
        <f>AR41-AS60</f>
        <v>10880</v>
      </c>
      <c r="AS42" s="477"/>
      <c r="AT42" s="477"/>
      <c r="AU42" s="477">
        <f>AU41-AV60</f>
        <v>3750</v>
      </c>
      <c r="AV42" s="477"/>
      <c r="AW42" s="477"/>
      <c r="AX42" s="477">
        <f>AX41-AY60</f>
        <v>0</v>
      </c>
      <c r="AY42" s="477"/>
      <c r="AZ42" s="477"/>
      <c r="BA42" s="477">
        <f>BA41-BB60</f>
        <v>0</v>
      </c>
      <c r="BB42" s="477"/>
      <c r="BC42" s="477"/>
      <c r="BD42" s="477">
        <f>BD41-BE60</f>
        <v>0</v>
      </c>
      <c r="BE42" s="477"/>
      <c r="BF42" s="477"/>
      <c r="BG42" s="477">
        <f>BG41-BH60</f>
        <v>0</v>
      </c>
      <c r="BH42" s="477"/>
      <c r="BI42" s="477"/>
      <c r="BJ42" s="477">
        <f>BJ41-BK60</f>
        <v>0</v>
      </c>
      <c r="BK42" s="477"/>
      <c r="BL42" s="477"/>
      <c r="BM42" s="477">
        <f>BM41-BN60</f>
        <v>0</v>
      </c>
      <c r="BN42" s="477"/>
      <c r="BO42" s="477"/>
      <c r="BP42" s="477">
        <f>BP41-BQ60</f>
        <v>0</v>
      </c>
      <c r="BQ42" s="477"/>
      <c r="BR42" s="477"/>
      <c r="BS42" s="477">
        <f>BS41-BT60</f>
        <v>0</v>
      </c>
      <c r="BT42" s="477"/>
      <c r="BU42" s="477"/>
      <c r="BV42" s="477">
        <f>BV41-BW60</f>
        <v>0</v>
      </c>
      <c r="BW42" s="477"/>
      <c r="BX42" s="477"/>
      <c r="BY42" s="477">
        <f>BY41-BZ60</f>
        <v>0</v>
      </c>
      <c r="BZ42" s="477"/>
      <c r="CA42" s="477"/>
      <c r="CB42" s="477">
        <f>CB41-CC60</f>
        <v>0</v>
      </c>
      <c r="CC42" s="477"/>
      <c r="CD42" s="477"/>
      <c r="CE42" s="477">
        <f>CE41-CF60</f>
        <v>0</v>
      </c>
      <c r="CF42" s="477"/>
      <c r="CG42" s="477"/>
      <c r="CH42" s="477">
        <f>CH41-CI60</f>
        <v>0</v>
      </c>
      <c r="CI42" s="477"/>
      <c r="CJ42" s="477"/>
      <c r="CK42" s="477">
        <f>CK41-CL60</f>
        <v>0</v>
      </c>
      <c r="CL42" s="477"/>
      <c r="CM42" s="477"/>
      <c r="CN42" s="477">
        <f>CN41-CO60</f>
        <v>0</v>
      </c>
      <c r="CO42" s="477"/>
      <c r="CP42" s="477"/>
      <c r="CQ42" s="477">
        <f>CQ41-CR60</f>
        <v>0</v>
      </c>
      <c r="CR42" s="477"/>
      <c r="CS42" s="477"/>
      <c r="CT42" s="477">
        <f>CT41-CU60</f>
        <v>0</v>
      </c>
      <c r="CU42" s="477"/>
      <c r="CV42" s="477"/>
      <c r="CW42" s="477">
        <f>CW41-CX60</f>
        <v>0</v>
      </c>
      <c r="CX42" s="477"/>
      <c r="CY42" s="477"/>
      <c r="CZ42" s="477">
        <f>CZ41-DA60</f>
        <v>0</v>
      </c>
      <c r="DA42" s="477"/>
      <c r="DB42" s="477"/>
      <c r="DC42" s="477">
        <f>DC41-DD60</f>
        <v>0</v>
      </c>
      <c r="DD42" s="477"/>
      <c r="DE42" s="477"/>
      <c r="DF42" s="477">
        <f>DF41-DG60</f>
        <v>0</v>
      </c>
      <c r="DG42" s="477"/>
      <c r="DH42" s="477"/>
      <c r="DI42" s="477">
        <f>DI41-DJ60</f>
        <v>0</v>
      </c>
      <c r="DJ42" s="477"/>
      <c r="DK42" s="477"/>
      <c r="DL42" s="477">
        <f>DL41-DM60</f>
        <v>0</v>
      </c>
      <c r="DM42" s="477"/>
      <c r="DN42" s="477"/>
      <c r="DO42" s="477">
        <f>DO41-DP60</f>
        <v>0</v>
      </c>
      <c r="DP42" s="477"/>
      <c r="DQ42" s="477"/>
      <c r="DR42" s="477">
        <f>DR41-DS60</f>
        <v>0</v>
      </c>
      <c r="DS42" s="477"/>
      <c r="DT42" s="477"/>
      <c r="DU42" s="477">
        <f>DU41-DV60</f>
        <v>0</v>
      </c>
      <c r="DV42" s="477"/>
      <c r="DW42" s="477"/>
      <c r="DX42" s="477">
        <f>DX41-DY60</f>
        <v>0</v>
      </c>
      <c r="DY42" s="477"/>
      <c r="DZ42" s="477"/>
      <c r="EA42" s="477">
        <f>EA41-EB60</f>
        <v>0</v>
      </c>
      <c r="EB42" s="477"/>
      <c r="EC42" s="477"/>
      <c r="ED42" s="477">
        <f>ED41-EE60</f>
        <v>0</v>
      </c>
      <c r="EE42" s="477"/>
      <c r="EF42" s="477"/>
      <c r="EG42" s="477">
        <f>EG41-EH60</f>
        <v>0</v>
      </c>
      <c r="EH42" s="477"/>
      <c r="EI42" s="477"/>
      <c r="EJ42" s="477">
        <f>EJ41-EK60</f>
        <v>0</v>
      </c>
      <c r="EK42" s="477"/>
      <c r="EL42" s="477"/>
      <c r="EM42" s="477">
        <f>EM41-EN60</f>
        <v>0</v>
      </c>
      <c r="EN42" s="477"/>
      <c r="EO42" s="477"/>
      <c r="EP42" s="477">
        <f>EP41-EQ60</f>
        <v>0</v>
      </c>
      <c r="EQ42" s="477"/>
      <c r="ER42" s="477"/>
      <c r="ES42" s="477">
        <f>ES41-ET60</f>
        <v>0</v>
      </c>
      <c r="ET42" s="477"/>
      <c r="EU42" s="477"/>
      <c r="EV42" s="477">
        <f>EV41-EW60</f>
        <v>0</v>
      </c>
      <c r="EW42" s="477"/>
      <c r="EX42" s="477"/>
      <c r="EY42" s="477">
        <f>EY41-EZ60</f>
        <v>0</v>
      </c>
      <c r="EZ42" s="477"/>
      <c r="FA42" s="477"/>
      <c r="FB42" s="477">
        <f>FB41-FC60</f>
        <v>0</v>
      </c>
      <c r="FC42" s="477"/>
      <c r="FD42" s="477"/>
      <c r="FE42" s="477">
        <f>FE41-FF60</f>
        <v>0</v>
      </c>
      <c r="FF42" s="477"/>
      <c r="FG42" s="477"/>
      <c r="FH42" s="477">
        <f>FH41-FI60</f>
        <v>0</v>
      </c>
      <c r="FI42" s="477"/>
      <c r="FJ42" s="477"/>
      <c r="FK42" s="477">
        <f>FK41-FL60</f>
        <v>0</v>
      </c>
      <c r="FL42" s="477"/>
      <c r="FM42" s="477"/>
      <c r="FN42" s="1585">
        <f>FN41-FO60</f>
        <v>0</v>
      </c>
      <c r="FO42" s="1585"/>
      <c r="FP42" s="1585"/>
      <c r="FQ42" s="477">
        <f>FQ41-FR60</f>
        <v>0</v>
      </c>
      <c r="FR42" s="477"/>
      <c r="FS42" s="477"/>
      <c r="FT42" s="477">
        <f>FT41-FU60</f>
        <v>0</v>
      </c>
      <c r="FU42" s="477"/>
      <c r="FV42" s="477"/>
      <c r="FW42" s="477">
        <f>FW41-FX60</f>
        <v>0</v>
      </c>
      <c r="FX42" s="477"/>
      <c r="FY42" s="477"/>
      <c r="FZ42" s="1585">
        <f>FZ41-GA60</f>
        <v>0</v>
      </c>
      <c r="GA42" s="1585"/>
      <c r="GB42" s="1585"/>
      <c r="GC42" s="1585">
        <f>GC41-GD60</f>
        <v>0</v>
      </c>
      <c r="GD42" s="1585"/>
      <c r="GE42" s="1585"/>
      <c r="GF42" s="1585">
        <f>GF41-GG60</f>
        <v>0</v>
      </c>
      <c r="GG42" s="1585"/>
      <c r="GH42" s="1585"/>
      <c r="GI42" s="1585">
        <f>GI41-GJ60</f>
        <v>0</v>
      </c>
      <c r="GJ42" s="1585"/>
      <c r="GK42" s="1585"/>
    </row>
    <row r="43" spans="1:196" ht="15.75" hidden="1" customHeight="1" thickTop="1">
      <c r="F43" s="37"/>
      <c r="L43" s="37"/>
      <c r="AL43" s="34"/>
      <c r="AU43" s="34"/>
      <c r="BG43" s="34"/>
      <c r="BM43" s="35"/>
      <c r="BN43" s="35"/>
      <c r="BO43" s="35"/>
      <c r="BP43" s="35"/>
      <c r="BQ43" s="35"/>
      <c r="BR43" s="35"/>
      <c r="BS43" s="35"/>
      <c r="BT43" s="35"/>
      <c r="BU43" s="35"/>
      <c r="CE43" s="35"/>
      <c r="CF43" s="35"/>
      <c r="CG43" s="35"/>
      <c r="CH43" s="35"/>
      <c r="CI43" s="35"/>
      <c r="CJ43" s="35"/>
      <c r="CK43" s="35"/>
      <c r="CL43" s="35"/>
      <c r="CM43" s="35"/>
    </row>
    <row r="44" spans="1:196" ht="15.75" hidden="1" customHeight="1" thickBot="1">
      <c r="F44" s="37"/>
      <c r="L44" s="37"/>
      <c r="AL44" s="34"/>
      <c r="AU44" s="34"/>
      <c r="BG44" s="34"/>
      <c r="BM44" s="35"/>
      <c r="BN44" s="35"/>
      <c r="BO44" s="35"/>
      <c r="BP44" s="35"/>
      <c r="BQ44" s="35"/>
      <c r="BR44" s="35"/>
      <c r="BS44" s="35"/>
      <c r="BT44" s="35"/>
      <c r="BU44" s="35"/>
      <c r="CE44" s="35"/>
      <c r="CF44" s="35"/>
      <c r="CG44" s="35"/>
      <c r="CH44" s="35"/>
      <c r="CI44" s="35"/>
      <c r="CJ44" s="35"/>
      <c r="CK44" s="35"/>
      <c r="CL44" s="35"/>
      <c r="CM44" s="35"/>
    </row>
    <row r="45" spans="1:196" s="5" customFormat="1" ht="26.25" customHeight="1" thickTop="1" thickBot="1">
      <c r="A45" s="412" t="s">
        <v>92</v>
      </c>
      <c r="B45" s="248" t="s">
        <v>4</v>
      </c>
      <c r="C45" s="31" t="s">
        <v>15</v>
      </c>
      <c r="D45" s="32" t="s">
        <v>16</v>
      </c>
      <c r="E45" s="30" t="s">
        <v>4</v>
      </c>
      <c r="F45" s="31" t="s">
        <v>15</v>
      </c>
      <c r="G45" s="32" t="s">
        <v>16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0" t="s">
        <v>0</v>
      </c>
      <c r="CX45" s="31" t="s">
        <v>1</v>
      </c>
      <c r="CY45" s="32" t="s">
        <v>2</v>
      </c>
      <c r="CZ45" s="30" t="s">
        <v>0</v>
      </c>
      <c r="DA45" s="31" t="s">
        <v>1</v>
      </c>
      <c r="DB45" s="32" t="s">
        <v>2</v>
      </c>
      <c r="DC45" s="30" t="s">
        <v>0</v>
      </c>
      <c r="DD45" s="31" t="s">
        <v>1</v>
      </c>
      <c r="DE45" s="32" t="s">
        <v>2</v>
      </c>
      <c r="DF45" s="30" t="s">
        <v>0</v>
      </c>
      <c r="DG45" s="31" t="s">
        <v>1</v>
      </c>
      <c r="DH45" s="32" t="s">
        <v>2</v>
      </c>
      <c r="DI45" s="30" t="s">
        <v>0</v>
      </c>
      <c r="DJ45" s="31" t="s">
        <v>1</v>
      </c>
      <c r="DK45" s="32" t="s">
        <v>2</v>
      </c>
      <c r="DL45" s="30" t="s">
        <v>0</v>
      </c>
      <c r="DM45" s="31" t="s">
        <v>1</v>
      </c>
      <c r="DN45" s="32" t="s">
        <v>2</v>
      </c>
      <c r="DO45" s="30" t="s">
        <v>0</v>
      </c>
      <c r="DP45" s="31" t="s">
        <v>1</v>
      </c>
      <c r="DQ45" s="32" t="s">
        <v>2</v>
      </c>
      <c r="DR45" s="30" t="s">
        <v>0</v>
      </c>
      <c r="DS45" s="31" t="s">
        <v>1</v>
      </c>
      <c r="DT45" s="32" t="s">
        <v>2</v>
      </c>
      <c r="DU45" s="30" t="s">
        <v>0</v>
      </c>
      <c r="DV45" s="31" t="s">
        <v>1</v>
      </c>
      <c r="DW45" s="32" t="s">
        <v>2</v>
      </c>
      <c r="DX45" s="30" t="s">
        <v>0</v>
      </c>
      <c r="DY45" s="31" t="s">
        <v>1</v>
      </c>
      <c r="DZ45" s="32" t="s">
        <v>2</v>
      </c>
      <c r="EA45" s="30" t="s">
        <v>0</v>
      </c>
      <c r="EB45" s="31" t="s">
        <v>1</v>
      </c>
      <c r="EC45" s="32" t="s">
        <v>2</v>
      </c>
      <c r="ED45" s="30" t="s">
        <v>0</v>
      </c>
      <c r="EE45" s="31" t="s">
        <v>1</v>
      </c>
      <c r="EF45" s="32" t="s">
        <v>2</v>
      </c>
      <c r="EG45" s="30" t="s">
        <v>0</v>
      </c>
      <c r="EH45" s="31" t="s">
        <v>1</v>
      </c>
      <c r="EI45" s="32" t="s">
        <v>2</v>
      </c>
      <c r="EJ45" s="30" t="s">
        <v>0</v>
      </c>
      <c r="EK45" s="31" t="s">
        <v>1</v>
      </c>
      <c r="EL45" s="32" t="s">
        <v>2</v>
      </c>
      <c r="EM45" s="30" t="s">
        <v>0</v>
      </c>
      <c r="EN45" s="31" t="s">
        <v>1</v>
      </c>
      <c r="EO45" s="32" t="s">
        <v>2</v>
      </c>
      <c r="EP45" s="30" t="s">
        <v>0</v>
      </c>
      <c r="EQ45" s="31" t="s">
        <v>1</v>
      </c>
      <c r="ER45" s="32" t="s">
        <v>2</v>
      </c>
      <c r="ES45" s="30" t="s">
        <v>0</v>
      </c>
      <c r="ET45" s="31" t="s">
        <v>1</v>
      </c>
      <c r="EU45" s="32" t="s">
        <v>2</v>
      </c>
      <c r="EV45" s="30" t="s">
        <v>0</v>
      </c>
      <c r="EW45" s="31" t="s">
        <v>1</v>
      </c>
      <c r="EX45" s="32" t="s">
        <v>2</v>
      </c>
      <c r="EY45" s="30" t="s">
        <v>0</v>
      </c>
      <c r="EZ45" s="31" t="s">
        <v>1</v>
      </c>
      <c r="FA45" s="32" t="s">
        <v>2</v>
      </c>
      <c r="FB45" s="30" t="s">
        <v>0</v>
      </c>
      <c r="FC45" s="31" t="s">
        <v>1</v>
      </c>
      <c r="FD45" s="32" t="s">
        <v>2</v>
      </c>
      <c r="FE45" s="30" t="s">
        <v>0</v>
      </c>
      <c r="FF45" s="31" t="s">
        <v>1</v>
      </c>
      <c r="FG45" s="32" t="s">
        <v>2</v>
      </c>
      <c r="FH45" s="30" t="s">
        <v>0</v>
      </c>
      <c r="FI45" s="31" t="s">
        <v>1</v>
      </c>
      <c r="FJ45" s="32" t="s">
        <v>2</v>
      </c>
      <c r="FK45" s="30" t="s">
        <v>0</v>
      </c>
      <c r="FL45" s="31" t="s">
        <v>1</v>
      </c>
      <c r="FM45" s="32" t="s">
        <v>2</v>
      </c>
      <c r="FN45" s="30" t="s">
        <v>0</v>
      </c>
      <c r="FO45" s="31" t="s">
        <v>1</v>
      </c>
      <c r="FP45" s="32" t="s">
        <v>2</v>
      </c>
      <c r="FQ45" s="30" t="s">
        <v>0</v>
      </c>
      <c r="FR45" s="31" t="s">
        <v>1</v>
      </c>
      <c r="FS45" s="32" t="s">
        <v>2</v>
      </c>
      <c r="FT45" s="30" t="s">
        <v>0</v>
      </c>
      <c r="FU45" s="31" t="s">
        <v>1</v>
      </c>
      <c r="FV45" s="32" t="s">
        <v>2</v>
      </c>
      <c r="FW45" s="30" t="s">
        <v>0</v>
      </c>
      <c r="FX45" s="31" t="s">
        <v>1</v>
      </c>
      <c r="FY45" s="32" t="s">
        <v>2</v>
      </c>
      <c r="FZ45" s="30" t="s">
        <v>0</v>
      </c>
      <c r="GA45" s="31" t="s">
        <v>1</v>
      </c>
      <c r="GB45" s="32" t="s">
        <v>2</v>
      </c>
      <c r="GC45" s="30" t="s">
        <v>0</v>
      </c>
      <c r="GD45" s="31" t="s">
        <v>1</v>
      </c>
      <c r="GE45" s="32" t="s">
        <v>2</v>
      </c>
      <c r="GF45" s="30" t="s">
        <v>0</v>
      </c>
      <c r="GG45" s="31" t="s">
        <v>1</v>
      </c>
      <c r="GH45" s="32" t="s">
        <v>2</v>
      </c>
      <c r="GI45" s="30" t="s">
        <v>0</v>
      </c>
      <c r="GJ45" s="31" t="s">
        <v>1</v>
      </c>
      <c r="GK45" s="32" t="s">
        <v>2</v>
      </c>
    </row>
    <row r="46" spans="1:196" s="1369" customFormat="1" ht="16.5" customHeight="1">
      <c r="A46" s="1374"/>
      <c r="B46" s="1375"/>
      <c r="C46" s="1376">
        <v>590</v>
      </c>
      <c r="D46" s="1377"/>
      <c r="E46" s="1375"/>
      <c r="F46" s="1376"/>
      <c r="G46" s="1377"/>
      <c r="H46" s="1378"/>
      <c r="I46" s="1376"/>
      <c r="J46" s="1377"/>
      <c r="K46" s="1375">
        <v>15390</v>
      </c>
      <c r="L46" s="1376"/>
      <c r="M46" s="1377"/>
      <c r="N46" s="1378"/>
      <c r="O46" s="1376"/>
      <c r="P46" s="1377"/>
      <c r="Q46" s="1378"/>
      <c r="R46" s="1376"/>
      <c r="S46" s="1377"/>
      <c r="T46" s="1378"/>
      <c r="U46" s="1376"/>
      <c r="V46" s="1377"/>
      <c r="W46" s="1378"/>
      <c r="X46" s="1376"/>
      <c r="Y46" s="1377"/>
      <c r="Z46" s="1378"/>
      <c r="AA46" s="1376"/>
      <c r="AB46" s="1377"/>
      <c r="AC46" s="1378"/>
      <c r="AD46" s="1376"/>
      <c r="AE46" s="1377"/>
      <c r="AF46" s="1378"/>
      <c r="AG46" s="1376"/>
      <c r="AH46" s="1377"/>
      <c r="AI46" s="1378"/>
      <c r="AJ46" s="1376"/>
      <c r="AK46" s="1377"/>
      <c r="AL46" s="1378"/>
      <c r="AM46" s="1376"/>
      <c r="AN46" s="1377"/>
      <c r="AO46" s="1378"/>
      <c r="AP46" s="1376"/>
      <c r="AQ46" s="1377"/>
      <c r="AR46" s="1378"/>
      <c r="AS46" s="1376"/>
      <c r="AT46" s="1377"/>
      <c r="AU46" s="1378"/>
      <c r="AV46" s="1376"/>
      <c r="AW46" s="1377"/>
      <c r="AX46" s="1378"/>
      <c r="AY46" s="1376"/>
      <c r="AZ46" s="1377"/>
      <c r="BA46" s="1378"/>
      <c r="BB46" s="1376"/>
      <c r="BC46" s="1377"/>
      <c r="BD46" s="1378"/>
      <c r="BE46" s="1376"/>
      <c r="BF46" s="1377"/>
      <c r="BG46" s="1378"/>
      <c r="BH46" s="1376"/>
      <c r="BI46" s="1377"/>
      <c r="BJ46" s="1378"/>
      <c r="BK46" s="1365"/>
      <c r="BL46" s="1377"/>
      <c r="BM46" s="1378"/>
      <c r="BN46" s="1376"/>
      <c r="BO46" s="1377"/>
      <c r="BP46" s="1378"/>
      <c r="BQ46" s="1376"/>
      <c r="BR46" s="1377"/>
      <c r="BS46" s="1378"/>
      <c r="BT46" s="1376"/>
      <c r="BU46" s="1377"/>
      <c r="BV46" s="1367"/>
      <c r="BW46" s="1365"/>
      <c r="BX46" s="1366"/>
      <c r="BY46" s="1367"/>
      <c r="BZ46" s="1365"/>
      <c r="CA46" s="1366"/>
      <c r="CB46" s="1367"/>
      <c r="CC46" s="1365"/>
      <c r="CD46" s="1366"/>
      <c r="CE46" s="1378"/>
      <c r="CF46" s="1376"/>
      <c r="CG46" s="1377"/>
      <c r="CH46" s="1378"/>
      <c r="CI46" s="1376"/>
      <c r="CJ46" s="1377"/>
      <c r="CK46" s="1378"/>
      <c r="CL46" s="1376"/>
      <c r="CM46" s="1377"/>
      <c r="CN46" s="1367"/>
      <c r="CO46" s="1365"/>
      <c r="CP46" s="1366"/>
      <c r="CQ46" s="1367"/>
      <c r="CR46" s="1365"/>
      <c r="CS46" s="1366"/>
      <c r="CT46" s="1367"/>
      <c r="CU46" s="1365"/>
      <c r="CV46" s="1366"/>
      <c r="CW46" s="1367"/>
      <c r="CX46" s="1365"/>
      <c r="CY46" s="1366"/>
      <c r="CZ46" s="1367"/>
      <c r="DA46" s="1365"/>
      <c r="DB46" s="1366"/>
      <c r="DC46" s="1367"/>
      <c r="DD46" s="1365"/>
      <c r="DE46" s="1366"/>
      <c r="DF46" s="1367"/>
      <c r="DG46" s="1365"/>
      <c r="DH46" s="1366"/>
      <c r="DI46" s="1367"/>
      <c r="DJ46" s="1365"/>
      <c r="DK46" s="1366"/>
      <c r="DL46" s="1367"/>
      <c r="DM46" s="1365"/>
      <c r="DN46" s="1366"/>
      <c r="DO46" s="1367"/>
      <c r="DP46" s="1365"/>
      <c r="DQ46" s="1366"/>
      <c r="DR46" s="1367"/>
      <c r="DS46" s="1365"/>
      <c r="DT46" s="1366"/>
      <c r="DU46" s="1367"/>
      <c r="DV46" s="1365"/>
      <c r="DW46" s="1366"/>
      <c r="DX46" s="1367"/>
      <c r="DY46" s="1365"/>
      <c r="DZ46" s="1366"/>
      <c r="EA46" s="1367"/>
      <c r="EB46" s="1365"/>
      <c r="EC46" s="1366"/>
      <c r="ED46" s="1367"/>
      <c r="EE46" s="1365"/>
      <c r="EF46" s="1366"/>
      <c r="EG46" s="1367"/>
      <c r="EH46" s="1365"/>
      <c r="EI46" s="1366"/>
      <c r="EJ46" s="1367"/>
      <c r="EK46" s="1365"/>
      <c r="EL46" s="1366"/>
      <c r="EM46" s="1367"/>
      <c r="EN46" s="1365"/>
      <c r="EO46" s="1366"/>
      <c r="EP46" s="1367"/>
      <c r="EQ46" s="1365"/>
      <c r="ER46" s="1366"/>
      <c r="ES46" s="1367"/>
      <c r="ET46" s="1365"/>
      <c r="EU46" s="1366"/>
      <c r="EV46" s="1367"/>
      <c r="EW46" s="1365"/>
      <c r="EX46" s="1366"/>
      <c r="EY46" s="1367"/>
      <c r="EZ46" s="1365"/>
      <c r="FA46" s="1366"/>
      <c r="FB46" s="1367"/>
      <c r="FC46" s="1365"/>
      <c r="FD46" s="1366"/>
      <c r="FE46" s="1367"/>
      <c r="FF46" s="1365"/>
      <c r="FG46" s="1366"/>
      <c r="FH46" s="1367"/>
      <c r="FI46" s="1365"/>
      <c r="FJ46" s="1366"/>
      <c r="FK46" s="1367"/>
      <c r="FL46" s="1365"/>
      <c r="FM46" s="1366"/>
      <c r="FN46" s="1367"/>
      <c r="FO46" s="1365"/>
      <c r="FP46" s="1366"/>
      <c r="FQ46" s="1367"/>
      <c r="FR46" s="1365"/>
      <c r="FS46" s="1366"/>
      <c r="FT46" s="1367"/>
      <c r="FU46" s="1365"/>
      <c r="FV46" s="1366"/>
      <c r="FW46" s="1367"/>
      <c r="FX46" s="1365"/>
      <c r="FY46" s="1366"/>
      <c r="FZ46" s="1367"/>
      <c r="GA46" s="1365"/>
      <c r="GB46" s="1366"/>
      <c r="GC46" s="1367"/>
      <c r="GD46" s="1365"/>
      <c r="GE46" s="1366"/>
      <c r="GF46" s="1367"/>
      <c r="GG46" s="1365"/>
      <c r="GH46" s="1366"/>
      <c r="GI46" s="1367"/>
      <c r="GJ46" s="1365"/>
      <c r="GK46" s="1366"/>
    </row>
    <row r="47" spans="1:196" s="1369" customFormat="1" ht="16.5" customHeight="1">
      <c r="A47" s="1374"/>
      <c r="B47" s="1379"/>
      <c r="C47" s="1380"/>
      <c r="D47" s="1381"/>
      <c r="E47" s="1379"/>
      <c r="F47" s="1380"/>
      <c r="G47" s="1381"/>
      <c r="H47" s="1382"/>
      <c r="I47" s="1380"/>
      <c r="J47" s="1381"/>
      <c r="K47" s="1379">
        <v>15300</v>
      </c>
      <c r="L47" s="1380"/>
      <c r="M47" s="1381"/>
      <c r="N47" s="1382"/>
      <c r="O47" s="1380"/>
      <c r="P47" s="1381"/>
      <c r="Q47" s="1382"/>
      <c r="R47" s="1380"/>
      <c r="S47" s="1381"/>
      <c r="T47" s="1382"/>
      <c r="U47" s="1380"/>
      <c r="V47" s="1381"/>
      <c r="W47" s="1382"/>
      <c r="X47" s="1380"/>
      <c r="Y47" s="1381"/>
      <c r="Z47" s="1382"/>
      <c r="AA47" s="1380"/>
      <c r="AB47" s="1381"/>
      <c r="AC47" s="1382"/>
      <c r="AD47" s="1380"/>
      <c r="AE47" s="1381"/>
      <c r="AF47" s="1382"/>
      <c r="AG47" s="1380"/>
      <c r="AH47" s="1381"/>
      <c r="AI47" s="1382"/>
      <c r="AJ47" s="1380"/>
      <c r="AK47" s="1381"/>
      <c r="AL47" s="1382"/>
      <c r="AM47" s="1380"/>
      <c r="AN47" s="1381"/>
      <c r="AO47" s="1382"/>
      <c r="AP47" s="1380"/>
      <c r="AQ47" s="1381"/>
      <c r="AR47" s="1382"/>
      <c r="AS47" s="1380"/>
      <c r="AT47" s="1381"/>
      <c r="AU47" s="1382"/>
      <c r="AV47" s="1380"/>
      <c r="AW47" s="1381"/>
      <c r="AX47" s="1382"/>
      <c r="AY47" s="1380"/>
      <c r="AZ47" s="1381"/>
      <c r="BA47" s="1382"/>
      <c r="BB47" s="1380"/>
      <c r="BC47" s="1381"/>
      <c r="BD47" s="1382"/>
      <c r="BE47" s="1380"/>
      <c r="BF47" s="1381"/>
      <c r="BG47" s="1382"/>
      <c r="BH47" s="1380"/>
      <c r="BI47" s="1381"/>
      <c r="BJ47" s="1382"/>
      <c r="BK47" s="1380"/>
      <c r="BL47" s="1381"/>
      <c r="BM47" s="1382"/>
      <c r="BN47" s="1371"/>
      <c r="BO47" s="1372"/>
      <c r="BP47" s="1382"/>
      <c r="BQ47" s="1371"/>
      <c r="BR47" s="1372"/>
      <c r="BS47" s="1373"/>
      <c r="BT47" s="1371"/>
      <c r="BU47" s="1372"/>
      <c r="BV47" s="1373"/>
      <c r="BW47" s="1371"/>
      <c r="BX47" s="1372"/>
      <c r="BY47" s="1373"/>
      <c r="BZ47" s="1371"/>
      <c r="CA47" s="1372"/>
      <c r="CB47" s="1373"/>
      <c r="CC47" s="1371"/>
      <c r="CD47" s="1372"/>
      <c r="CE47" s="1373"/>
      <c r="CF47" s="1371"/>
      <c r="CG47" s="1372"/>
      <c r="CH47" s="1373"/>
      <c r="CI47" s="1371"/>
      <c r="CJ47" s="1372"/>
      <c r="CK47" s="1373"/>
      <c r="CL47" s="1371"/>
      <c r="CM47" s="1372"/>
      <c r="CN47" s="1373"/>
      <c r="CO47" s="1371"/>
      <c r="CP47" s="1372"/>
      <c r="CQ47" s="1373"/>
      <c r="CR47" s="1371"/>
      <c r="CS47" s="1372"/>
      <c r="CT47" s="1373"/>
      <c r="CU47" s="1371"/>
      <c r="CV47" s="1372"/>
      <c r="CW47" s="1373"/>
      <c r="CX47" s="1371"/>
      <c r="CY47" s="1372"/>
      <c r="CZ47" s="1373"/>
      <c r="DA47" s="1371"/>
      <c r="DB47" s="1372"/>
      <c r="DC47" s="1373"/>
      <c r="DD47" s="1371"/>
      <c r="DE47" s="1372"/>
      <c r="DF47" s="1373"/>
      <c r="DG47" s="1371"/>
      <c r="DH47" s="1372"/>
      <c r="DI47" s="1373"/>
      <c r="DJ47" s="1371"/>
      <c r="DK47" s="1372"/>
      <c r="DL47" s="1373"/>
      <c r="DM47" s="1371"/>
      <c r="DN47" s="1372"/>
      <c r="DO47" s="1373"/>
      <c r="DP47" s="1371"/>
      <c r="DQ47" s="1372"/>
      <c r="DR47" s="1373"/>
      <c r="DS47" s="1371"/>
      <c r="DT47" s="1372"/>
      <c r="DU47" s="1373"/>
      <c r="DV47" s="1371"/>
      <c r="DW47" s="1372"/>
      <c r="DX47" s="1373"/>
      <c r="DY47" s="1371"/>
      <c r="DZ47" s="1372"/>
      <c r="EA47" s="1373"/>
      <c r="EB47" s="1371"/>
      <c r="EC47" s="1372"/>
      <c r="ED47" s="1373"/>
      <c r="EE47" s="1371"/>
      <c r="EF47" s="1372"/>
      <c r="EG47" s="1373"/>
      <c r="EH47" s="1371"/>
      <c r="EI47" s="1372"/>
      <c r="EJ47" s="1373"/>
      <c r="EK47" s="1371"/>
      <c r="EL47" s="1372"/>
      <c r="EM47" s="1373"/>
      <c r="EN47" s="1371"/>
      <c r="EO47" s="1372"/>
      <c r="EP47" s="1373"/>
      <c r="EQ47" s="1371"/>
      <c r="ER47" s="1372"/>
      <c r="ES47" s="1373"/>
      <c r="ET47" s="1371"/>
      <c r="EU47" s="1372"/>
      <c r="EV47" s="1373"/>
      <c r="EW47" s="1371"/>
      <c r="EX47" s="1372"/>
      <c r="EY47" s="1373"/>
      <c r="EZ47" s="1371"/>
      <c r="FA47" s="1372"/>
      <c r="FB47" s="1373"/>
      <c r="FC47" s="1371"/>
      <c r="FD47" s="1372"/>
      <c r="FE47" s="1373"/>
      <c r="FF47" s="1371"/>
      <c r="FG47" s="1372"/>
      <c r="FH47" s="1373"/>
      <c r="FI47" s="1371"/>
      <c r="FJ47" s="1372"/>
      <c r="FK47" s="1373"/>
      <c r="FL47" s="1371"/>
      <c r="FM47" s="1372"/>
      <c r="FN47" s="1373"/>
      <c r="FO47" s="1371"/>
      <c r="FP47" s="1372"/>
      <c r="FQ47" s="1373"/>
      <c r="FR47" s="1371"/>
      <c r="FS47" s="1372"/>
      <c r="FT47" s="1373"/>
      <c r="FU47" s="1371"/>
      <c r="FV47" s="1372"/>
      <c r="FW47" s="1373"/>
      <c r="FX47" s="1371"/>
      <c r="FY47" s="1372"/>
      <c r="FZ47" s="1373"/>
      <c r="GA47" s="1371"/>
      <c r="GB47" s="1372"/>
      <c r="GC47" s="1373"/>
      <c r="GD47" s="1371"/>
      <c r="GE47" s="1372"/>
      <c r="GF47" s="1373"/>
      <c r="GG47" s="1371"/>
      <c r="GH47" s="1372"/>
      <c r="GI47" s="1373"/>
      <c r="GJ47" s="1371"/>
      <c r="GK47" s="1372"/>
    </row>
    <row r="48" spans="1:196" s="1369" customFormat="1" ht="16.5" customHeight="1">
      <c r="A48" s="1374"/>
      <c r="B48" s="1379"/>
      <c r="C48" s="1380"/>
      <c r="D48" s="1381"/>
      <c r="E48" s="1379"/>
      <c r="F48" s="1380"/>
      <c r="G48" s="1381"/>
      <c r="H48" s="1382"/>
      <c r="I48" s="1380"/>
      <c r="J48" s="1381"/>
      <c r="K48" s="1382">
        <v>3750</v>
      </c>
      <c r="L48" s="1380"/>
      <c r="M48" s="1381"/>
      <c r="N48" s="1382"/>
      <c r="O48" s="1380"/>
      <c r="P48" s="1381"/>
      <c r="Q48" s="1382"/>
      <c r="R48" s="1380"/>
      <c r="S48" s="1381"/>
      <c r="T48" s="1382"/>
      <c r="U48" s="1380"/>
      <c r="V48" s="1381"/>
      <c r="W48" s="1382"/>
      <c r="X48" s="1380"/>
      <c r="Y48" s="1381"/>
      <c r="Z48" s="1382"/>
      <c r="AA48" s="1380"/>
      <c r="AB48" s="1381"/>
      <c r="AC48" s="1382"/>
      <c r="AD48" s="1380"/>
      <c r="AE48" s="1381"/>
      <c r="AF48" s="1382"/>
      <c r="AG48" s="1380"/>
      <c r="AH48" s="1381"/>
      <c r="AI48" s="1382"/>
      <c r="AJ48" s="1380"/>
      <c r="AK48" s="1381"/>
      <c r="AL48" s="1382"/>
      <c r="AM48" s="1380"/>
      <c r="AN48" s="1381"/>
      <c r="AO48" s="1382"/>
      <c r="AP48" s="1380"/>
      <c r="AQ48" s="1381"/>
      <c r="AR48" s="1382"/>
      <c r="AS48" s="1380"/>
      <c r="AT48" s="1381"/>
      <c r="AU48" s="1382"/>
      <c r="AV48" s="1380"/>
      <c r="AW48" s="1381"/>
      <c r="AX48" s="1382"/>
      <c r="AY48" s="1380"/>
      <c r="AZ48" s="1381"/>
      <c r="BA48" s="1382"/>
      <c r="BB48" s="1380"/>
      <c r="BC48" s="1381"/>
      <c r="BD48" s="1382"/>
      <c r="BE48" s="1380"/>
      <c r="BF48" s="1381"/>
      <c r="BG48" s="1382"/>
      <c r="BH48" s="1380"/>
      <c r="BI48" s="1381"/>
      <c r="BJ48" s="1382"/>
      <c r="BK48" s="1380"/>
      <c r="BL48" s="1381"/>
      <c r="BM48" s="1382"/>
      <c r="BN48" s="1371"/>
      <c r="BO48" s="1372"/>
      <c r="BP48" s="1373"/>
      <c r="BQ48" s="1371"/>
      <c r="BR48" s="1372"/>
      <c r="BS48" s="1373"/>
      <c r="BT48" s="1371"/>
      <c r="BU48" s="1372"/>
      <c r="BV48" s="1373"/>
      <c r="BW48" s="1371"/>
      <c r="BX48" s="1372"/>
      <c r="BY48" s="1373"/>
      <c r="BZ48" s="1371"/>
      <c r="CA48" s="1372"/>
      <c r="CB48" s="1373"/>
      <c r="CC48" s="1371"/>
      <c r="CD48" s="1372"/>
      <c r="CE48" s="1373"/>
      <c r="CF48" s="1371"/>
      <c r="CG48" s="1372"/>
      <c r="CH48" s="1373"/>
      <c r="CI48" s="1371"/>
      <c r="CJ48" s="1372"/>
      <c r="CK48" s="1373"/>
      <c r="CL48" s="1371"/>
      <c r="CM48" s="1372"/>
      <c r="CN48" s="1373"/>
      <c r="CO48" s="1371"/>
      <c r="CP48" s="1372"/>
      <c r="CQ48" s="1373"/>
      <c r="CR48" s="1371"/>
      <c r="CS48" s="1372"/>
      <c r="CT48" s="1373"/>
      <c r="CU48" s="1371"/>
      <c r="CV48" s="1372"/>
      <c r="CW48" s="1373"/>
      <c r="CX48" s="1371"/>
      <c r="CY48" s="1372"/>
      <c r="CZ48" s="1373"/>
      <c r="DA48" s="1371"/>
      <c r="DB48" s="1372"/>
      <c r="DC48" s="1373"/>
      <c r="DD48" s="1371"/>
      <c r="DE48" s="1372"/>
      <c r="DF48" s="1373"/>
      <c r="DG48" s="1371"/>
      <c r="DH48" s="1372"/>
      <c r="DI48" s="1373"/>
      <c r="DJ48" s="1371"/>
      <c r="DK48" s="1372"/>
      <c r="DL48" s="1373"/>
      <c r="DM48" s="1371"/>
      <c r="DN48" s="1372"/>
      <c r="DO48" s="1373"/>
      <c r="DP48" s="1371"/>
      <c r="DQ48" s="1372"/>
      <c r="DR48" s="1373"/>
      <c r="DS48" s="1371"/>
      <c r="DT48" s="1372"/>
      <c r="DU48" s="1373"/>
      <c r="DV48" s="1371"/>
      <c r="DW48" s="1372"/>
      <c r="DX48" s="1373"/>
      <c r="DY48" s="1371"/>
      <c r="DZ48" s="1372"/>
      <c r="EA48" s="1373"/>
      <c r="EB48" s="1371"/>
      <c r="EC48" s="1372"/>
      <c r="ED48" s="1373"/>
      <c r="EE48" s="1371"/>
      <c r="EF48" s="1372"/>
      <c r="EG48" s="1373"/>
      <c r="EH48" s="1371"/>
      <c r="EI48" s="1372"/>
      <c r="EJ48" s="1373"/>
      <c r="EK48" s="1371"/>
      <c r="EL48" s="1372"/>
      <c r="EM48" s="1373"/>
      <c r="EN48" s="1371"/>
      <c r="EO48" s="1372"/>
      <c r="EP48" s="1373"/>
      <c r="EQ48" s="1371"/>
      <c r="ER48" s="1372"/>
      <c r="ES48" s="1373"/>
      <c r="ET48" s="1371"/>
      <c r="EU48" s="1372"/>
      <c r="EV48" s="1373"/>
      <c r="EW48" s="1371"/>
      <c r="EX48" s="1372"/>
      <c r="EY48" s="1373"/>
      <c r="EZ48" s="1371"/>
      <c r="FA48" s="1372"/>
      <c r="FB48" s="1373"/>
      <c r="FC48" s="1371"/>
      <c r="FD48" s="1372"/>
      <c r="FE48" s="1373"/>
      <c r="FF48" s="1371"/>
      <c r="FG48" s="1372"/>
      <c r="FH48" s="1373"/>
      <c r="FI48" s="1371"/>
      <c r="FJ48" s="1372"/>
      <c r="FK48" s="1373"/>
      <c r="FL48" s="1371"/>
      <c r="FM48" s="1372"/>
      <c r="FN48" s="1373"/>
      <c r="FO48" s="1371"/>
      <c r="FP48" s="1372"/>
      <c r="FQ48" s="1373"/>
      <c r="FR48" s="1371"/>
      <c r="FS48" s="1372"/>
      <c r="FT48" s="1373"/>
      <c r="FU48" s="1371"/>
      <c r="FV48" s="1372"/>
      <c r="FW48" s="1373"/>
      <c r="FX48" s="1371"/>
      <c r="FY48" s="1372"/>
      <c r="FZ48" s="1373"/>
      <c r="GA48" s="1371"/>
      <c r="GB48" s="1372"/>
      <c r="GC48" s="1373"/>
      <c r="GD48" s="1371"/>
      <c r="GE48" s="1372"/>
      <c r="GF48" s="1373"/>
      <c r="GG48" s="1371"/>
      <c r="GH48" s="1372"/>
      <c r="GI48" s="1373"/>
      <c r="GJ48" s="1371"/>
      <c r="GK48" s="1372"/>
    </row>
    <row r="49" spans="1:193" s="1369" customFormat="1" ht="16.5" customHeight="1">
      <c r="A49" s="1374"/>
      <c r="B49" s="1379"/>
      <c r="C49" s="1380"/>
      <c r="D49" s="1381"/>
      <c r="E49" s="1382"/>
      <c r="F49" s="1380"/>
      <c r="G49" s="1381"/>
      <c r="H49" s="1382"/>
      <c r="I49" s="1380"/>
      <c r="J49" s="1381"/>
      <c r="K49" s="1382"/>
      <c r="L49" s="1380"/>
      <c r="M49" s="1381"/>
      <c r="N49" s="1382"/>
      <c r="O49" s="1380"/>
      <c r="P49" s="1381"/>
      <c r="Q49" s="1382"/>
      <c r="R49" s="1380"/>
      <c r="S49" s="1381"/>
      <c r="T49" s="1382"/>
      <c r="U49" s="1380"/>
      <c r="V49" s="1381"/>
      <c r="W49" s="1382"/>
      <c r="X49" s="1380"/>
      <c r="Y49" s="1381"/>
      <c r="Z49" s="1382"/>
      <c r="AA49" s="1380"/>
      <c r="AB49" s="1381"/>
      <c r="AC49" s="1382"/>
      <c r="AD49" s="1380"/>
      <c r="AE49" s="1381"/>
      <c r="AF49" s="1382"/>
      <c r="AG49" s="1380"/>
      <c r="AH49" s="1381"/>
      <c r="AI49" s="1382"/>
      <c r="AJ49" s="1380"/>
      <c r="AK49" s="1381"/>
      <c r="AL49" s="1382"/>
      <c r="AM49" s="1380"/>
      <c r="AN49" s="1381"/>
      <c r="AO49" s="1382"/>
      <c r="AP49" s="1380"/>
      <c r="AQ49" s="1381"/>
      <c r="AR49" s="1382"/>
      <c r="AS49" s="1380"/>
      <c r="AT49" s="1381"/>
      <c r="AU49" s="1382"/>
      <c r="AV49" s="1380"/>
      <c r="AW49" s="1381"/>
      <c r="AX49" s="1382"/>
      <c r="AY49" s="1380"/>
      <c r="AZ49" s="1381"/>
      <c r="BA49" s="1382"/>
      <c r="BB49" s="1380"/>
      <c r="BC49" s="1381"/>
      <c r="BD49" s="1382"/>
      <c r="BE49" s="1380"/>
      <c r="BF49" s="1381"/>
      <c r="BG49" s="1382"/>
      <c r="BH49" s="1380"/>
      <c r="BI49" s="1381"/>
      <c r="BJ49" s="1382"/>
      <c r="BK49" s="1380"/>
      <c r="BL49" s="1381"/>
      <c r="BM49" s="1382"/>
      <c r="BN49" s="1371"/>
      <c r="BO49" s="1372"/>
      <c r="BP49" s="1373"/>
      <c r="BQ49" s="1371"/>
      <c r="BR49" s="1372"/>
      <c r="BS49" s="1373"/>
      <c r="BT49" s="1371"/>
      <c r="BU49" s="1372"/>
      <c r="BV49" s="1373"/>
      <c r="BW49" s="1371"/>
      <c r="BX49" s="1372"/>
      <c r="BY49" s="1373"/>
      <c r="BZ49" s="1371"/>
      <c r="CA49" s="1372"/>
      <c r="CB49" s="1373"/>
      <c r="CC49" s="1371"/>
      <c r="CD49" s="1372"/>
      <c r="CE49" s="1373"/>
      <c r="CF49" s="1371"/>
      <c r="CG49" s="1372"/>
      <c r="CH49" s="1373"/>
      <c r="CI49" s="1371"/>
      <c r="CJ49" s="1372"/>
      <c r="CK49" s="1373"/>
      <c r="CL49" s="1371"/>
      <c r="CM49" s="1372"/>
      <c r="CN49" s="1373"/>
      <c r="CO49" s="1371"/>
      <c r="CP49" s="1372"/>
      <c r="CQ49" s="1373"/>
      <c r="CR49" s="1371"/>
      <c r="CS49" s="1372"/>
      <c r="CT49" s="1373"/>
      <c r="CU49" s="1371"/>
      <c r="CV49" s="1372"/>
      <c r="CW49" s="1373"/>
      <c r="CX49" s="1371"/>
      <c r="CY49" s="1372"/>
      <c r="CZ49" s="1373"/>
      <c r="DA49" s="1371"/>
      <c r="DB49" s="1372"/>
      <c r="DC49" s="1373"/>
      <c r="DD49" s="1371"/>
      <c r="DE49" s="1372"/>
      <c r="DF49" s="1373"/>
      <c r="DG49" s="1371"/>
      <c r="DH49" s="1372"/>
      <c r="DI49" s="1373"/>
      <c r="DJ49" s="1371"/>
      <c r="DK49" s="1372"/>
      <c r="DL49" s="1373"/>
      <c r="DM49" s="1371"/>
      <c r="DN49" s="1372"/>
      <c r="DO49" s="1373"/>
      <c r="DP49" s="1371"/>
      <c r="DQ49" s="1372"/>
      <c r="DR49" s="1373"/>
      <c r="DS49" s="1371"/>
      <c r="DT49" s="1372"/>
      <c r="DU49" s="1373"/>
      <c r="DV49" s="1371"/>
      <c r="DW49" s="1372"/>
      <c r="DX49" s="1373"/>
      <c r="DY49" s="1371"/>
      <c r="DZ49" s="1372"/>
      <c r="EA49" s="1373"/>
      <c r="EB49" s="1371"/>
      <c r="EC49" s="1372"/>
      <c r="ED49" s="1373"/>
      <c r="EE49" s="1371"/>
      <c r="EF49" s="1372"/>
      <c r="EG49" s="1373"/>
      <c r="EH49" s="1371"/>
      <c r="EI49" s="1372"/>
      <c r="EJ49" s="1373"/>
      <c r="EK49" s="1371"/>
      <c r="EL49" s="1372"/>
      <c r="EM49" s="1373"/>
      <c r="EN49" s="1371"/>
      <c r="EO49" s="1372"/>
      <c r="EP49" s="1373"/>
      <c r="EQ49" s="1371"/>
      <c r="ER49" s="1372"/>
      <c r="ES49" s="1373"/>
      <c r="ET49" s="1371"/>
      <c r="EU49" s="1372"/>
      <c r="EV49" s="1373"/>
      <c r="EW49" s="1371"/>
      <c r="EX49" s="1372"/>
      <c r="EY49" s="1373"/>
      <c r="EZ49" s="1371"/>
      <c r="FA49" s="1372"/>
      <c r="FB49" s="1373"/>
      <c r="FC49" s="1371"/>
      <c r="FD49" s="1372"/>
      <c r="FE49" s="1373"/>
      <c r="FF49" s="1371"/>
      <c r="FG49" s="1372"/>
      <c r="FH49" s="1373"/>
      <c r="FI49" s="1371"/>
      <c r="FJ49" s="1372"/>
      <c r="FK49" s="1373"/>
      <c r="FL49" s="1371"/>
      <c r="FM49" s="1372"/>
      <c r="FN49" s="1373"/>
      <c r="FO49" s="1371"/>
      <c r="FP49" s="1372"/>
      <c r="FQ49" s="1373"/>
      <c r="FR49" s="1371"/>
      <c r="FS49" s="1372"/>
      <c r="FT49" s="1373"/>
      <c r="FU49" s="1371"/>
      <c r="FV49" s="1372"/>
      <c r="FW49" s="1373"/>
      <c r="FX49" s="1371"/>
      <c r="FY49" s="1372"/>
      <c r="FZ49" s="1373"/>
      <c r="GA49" s="1371"/>
      <c r="GB49" s="1372"/>
      <c r="GC49" s="1373"/>
      <c r="GD49" s="1371"/>
      <c r="GE49" s="1372"/>
      <c r="GF49" s="1373"/>
      <c r="GG49" s="1371"/>
      <c r="GH49" s="1372"/>
      <c r="GI49" s="1373"/>
      <c r="GJ49" s="1371"/>
      <c r="GK49" s="1372"/>
    </row>
    <row r="50" spans="1:193" s="1369" customFormat="1" ht="16.5" customHeight="1">
      <c r="A50" s="1374"/>
      <c r="B50" s="1379"/>
      <c r="C50" s="1380"/>
      <c r="D50" s="1381"/>
      <c r="E50" s="1382"/>
      <c r="F50" s="1380"/>
      <c r="G50" s="1381"/>
      <c r="H50" s="1382"/>
      <c r="I50" s="1380"/>
      <c r="J50" s="1381"/>
      <c r="K50" s="1382"/>
      <c r="L50" s="1380"/>
      <c r="M50" s="1381"/>
      <c r="N50" s="1382"/>
      <c r="O50" s="1380"/>
      <c r="P50" s="1381"/>
      <c r="Q50" s="1382"/>
      <c r="R50" s="1380"/>
      <c r="S50" s="1381"/>
      <c r="T50" s="1382"/>
      <c r="U50" s="1380"/>
      <c r="V50" s="1381"/>
      <c r="W50" s="1382"/>
      <c r="X50" s="1380"/>
      <c r="Y50" s="1381"/>
      <c r="Z50" s="1382"/>
      <c r="AA50" s="1380"/>
      <c r="AB50" s="1381"/>
      <c r="AC50" s="1382"/>
      <c r="AD50" s="1380"/>
      <c r="AE50" s="1381"/>
      <c r="AF50" s="1382"/>
      <c r="AG50" s="1380"/>
      <c r="AH50" s="1381"/>
      <c r="AI50" s="1382"/>
      <c r="AJ50" s="1380"/>
      <c r="AK50" s="1381"/>
      <c r="AL50" s="1382"/>
      <c r="AM50" s="1380"/>
      <c r="AN50" s="1381"/>
      <c r="AO50" s="1382"/>
      <c r="AP50" s="1380"/>
      <c r="AQ50" s="1381"/>
      <c r="AR50" s="1382"/>
      <c r="AS50" s="1380"/>
      <c r="AT50" s="1381"/>
      <c r="AU50" s="1382"/>
      <c r="AV50" s="1380"/>
      <c r="AW50" s="1381"/>
      <c r="AX50" s="1382"/>
      <c r="AY50" s="1380"/>
      <c r="AZ50" s="1381"/>
      <c r="BA50" s="1382"/>
      <c r="BB50" s="1380"/>
      <c r="BC50" s="1381"/>
      <c r="BD50" s="1382"/>
      <c r="BE50" s="1380"/>
      <c r="BF50" s="1381"/>
      <c r="BG50" s="1382"/>
      <c r="BH50" s="1380"/>
      <c r="BI50" s="1381"/>
      <c r="BJ50" s="1382"/>
      <c r="BK50" s="1380"/>
      <c r="BL50" s="1381"/>
      <c r="BM50" s="1373"/>
      <c r="BN50" s="1371"/>
      <c r="BO50" s="1372"/>
      <c r="BP50" s="1373"/>
      <c r="BQ50" s="1371"/>
      <c r="BR50" s="1372"/>
      <c r="BS50" s="1373"/>
      <c r="BT50" s="1371"/>
      <c r="BU50" s="1372"/>
      <c r="BV50" s="1373"/>
      <c r="BW50" s="1371"/>
      <c r="BX50" s="1372"/>
      <c r="BY50" s="1373"/>
      <c r="BZ50" s="1371"/>
      <c r="CA50" s="1372"/>
      <c r="CB50" s="1373"/>
      <c r="CC50" s="1371"/>
      <c r="CD50" s="1372"/>
      <c r="CE50" s="1373"/>
      <c r="CF50" s="1371"/>
      <c r="CG50" s="1372"/>
      <c r="CH50" s="1373"/>
      <c r="CI50" s="1371"/>
      <c r="CJ50" s="1372"/>
      <c r="CK50" s="1373"/>
      <c r="CL50" s="1371"/>
      <c r="CM50" s="1372"/>
      <c r="CN50" s="1373"/>
      <c r="CO50" s="1371"/>
      <c r="CP50" s="1372"/>
      <c r="CQ50" s="1373"/>
      <c r="CR50" s="1371"/>
      <c r="CS50" s="1372"/>
      <c r="CT50" s="1373"/>
      <c r="CU50" s="1371"/>
      <c r="CV50" s="1372"/>
      <c r="CW50" s="1373"/>
      <c r="CX50" s="1371"/>
      <c r="CY50" s="1372"/>
      <c r="CZ50" s="1373"/>
      <c r="DA50" s="1371"/>
      <c r="DB50" s="1372"/>
      <c r="DC50" s="1373"/>
      <c r="DD50" s="1371"/>
      <c r="DE50" s="1372"/>
      <c r="DF50" s="1373"/>
      <c r="DG50" s="1371"/>
      <c r="DH50" s="1372"/>
      <c r="DI50" s="1373"/>
      <c r="DJ50" s="1371"/>
      <c r="DK50" s="1372"/>
      <c r="DL50" s="1373"/>
      <c r="DM50" s="1371"/>
      <c r="DN50" s="1372"/>
      <c r="DO50" s="1373"/>
      <c r="DP50" s="1371"/>
      <c r="DQ50" s="1372"/>
      <c r="DR50" s="1373"/>
      <c r="DS50" s="1371"/>
      <c r="DT50" s="1372"/>
      <c r="DU50" s="1373"/>
      <c r="DV50" s="1371"/>
      <c r="DW50" s="1372"/>
      <c r="DX50" s="1373"/>
      <c r="DY50" s="1371"/>
      <c r="DZ50" s="1372"/>
      <c r="EA50" s="1373"/>
      <c r="EB50" s="1371"/>
      <c r="EC50" s="1372"/>
      <c r="ED50" s="1373"/>
      <c r="EE50" s="1371"/>
      <c r="EF50" s="1372"/>
      <c r="EG50" s="1373"/>
      <c r="EH50" s="1371"/>
      <c r="EI50" s="1372"/>
      <c r="EJ50" s="1373"/>
      <c r="EK50" s="1371"/>
      <c r="EL50" s="1372"/>
      <c r="EM50" s="1373"/>
      <c r="EN50" s="1371"/>
      <c r="EO50" s="1372"/>
      <c r="EP50" s="1373"/>
      <c r="EQ50" s="1371"/>
      <c r="ER50" s="1372"/>
      <c r="ES50" s="1373"/>
      <c r="ET50" s="1371"/>
      <c r="EU50" s="1372"/>
      <c r="EV50" s="1373"/>
      <c r="EW50" s="1371"/>
      <c r="EX50" s="1372"/>
      <c r="EY50" s="1373"/>
      <c r="EZ50" s="1371"/>
      <c r="FA50" s="1372"/>
      <c r="FB50" s="1373"/>
      <c r="FC50" s="1371"/>
      <c r="FD50" s="1372"/>
      <c r="FE50" s="1373"/>
      <c r="FF50" s="1371"/>
      <c r="FG50" s="1372"/>
      <c r="FH50" s="1373"/>
      <c r="FI50" s="1371"/>
      <c r="FJ50" s="1372"/>
      <c r="FK50" s="1373"/>
      <c r="FL50" s="1371"/>
      <c r="FM50" s="1372"/>
      <c r="FN50" s="1373"/>
      <c r="FO50" s="1371"/>
      <c r="FP50" s="1372"/>
      <c r="FQ50" s="1373"/>
      <c r="FR50" s="1371"/>
      <c r="FS50" s="1372"/>
      <c r="FT50" s="1373"/>
      <c r="FU50" s="1371"/>
      <c r="FV50" s="1372"/>
      <c r="FW50" s="1373"/>
      <c r="FX50" s="1371"/>
      <c r="FY50" s="1372"/>
      <c r="FZ50" s="1373"/>
      <c r="GA50" s="1371"/>
      <c r="GB50" s="1372"/>
      <c r="GC50" s="1373"/>
      <c r="GD50" s="1371"/>
      <c r="GE50" s="1372"/>
      <c r="GF50" s="1373"/>
      <c r="GG50" s="1371"/>
      <c r="GH50" s="1372"/>
      <c r="GI50" s="1373"/>
      <c r="GJ50" s="1371"/>
      <c r="GK50" s="1372"/>
    </row>
    <row r="51" spans="1:193" s="1369" customFormat="1" ht="16.5" customHeight="1">
      <c r="A51" s="1374"/>
      <c r="B51" s="1379"/>
      <c r="C51" s="1380"/>
      <c r="D51" s="1381"/>
      <c r="E51" s="1382"/>
      <c r="F51" s="1380"/>
      <c r="G51" s="1381"/>
      <c r="H51" s="1382"/>
      <c r="I51" s="1380"/>
      <c r="J51" s="1381"/>
      <c r="K51" s="1382"/>
      <c r="L51" s="1380"/>
      <c r="M51" s="1381"/>
      <c r="N51" s="1382"/>
      <c r="O51" s="1380"/>
      <c r="P51" s="1381"/>
      <c r="Q51" s="1382"/>
      <c r="R51" s="1380"/>
      <c r="S51" s="1381"/>
      <c r="T51" s="1382"/>
      <c r="U51" s="1380"/>
      <c r="V51" s="1381"/>
      <c r="W51" s="1382"/>
      <c r="X51" s="1380"/>
      <c r="Y51" s="1381"/>
      <c r="Z51" s="1382"/>
      <c r="AA51" s="1380"/>
      <c r="AB51" s="1381"/>
      <c r="AC51" s="1382"/>
      <c r="AD51" s="1380"/>
      <c r="AE51" s="1381"/>
      <c r="AF51" s="1382"/>
      <c r="AG51" s="1380"/>
      <c r="AH51" s="1381"/>
      <c r="AI51" s="1382"/>
      <c r="AJ51" s="1380"/>
      <c r="AK51" s="1381"/>
      <c r="AL51" s="1382"/>
      <c r="AM51" s="1380"/>
      <c r="AN51" s="1381"/>
      <c r="AO51" s="1382"/>
      <c r="AP51" s="1380"/>
      <c r="AQ51" s="1381"/>
      <c r="AR51" s="1382"/>
      <c r="AS51" s="1380"/>
      <c r="AT51" s="1381"/>
      <c r="AU51" s="1382"/>
      <c r="AV51" s="1380"/>
      <c r="AW51" s="1381"/>
      <c r="AX51" s="1382"/>
      <c r="AY51" s="1380"/>
      <c r="AZ51" s="1381"/>
      <c r="BA51" s="1382"/>
      <c r="BB51" s="1380"/>
      <c r="BC51" s="1381"/>
      <c r="BD51" s="1382"/>
      <c r="BE51" s="1380"/>
      <c r="BF51" s="1381"/>
      <c r="BG51" s="1382"/>
      <c r="BH51" s="1380"/>
      <c r="BI51" s="1381"/>
      <c r="BJ51" s="1382"/>
      <c r="BK51" s="1380"/>
      <c r="BL51" s="1381"/>
      <c r="BM51" s="1373"/>
      <c r="BN51" s="1371"/>
      <c r="BO51" s="1372"/>
      <c r="BP51" s="1373"/>
      <c r="BQ51" s="1371"/>
      <c r="BR51" s="1372"/>
      <c r="BS51" s="1373"/>
      <c r="BT51" s="1371"/>
      <c r="BU51" s="1372"/>
      <c r="BV51" s="1373"/>
      <c r="BW51" s="1371"/>
      <c r="BX51" s="1372"/>
      <c r="BY51" s="1373"/>
      <c r="BZ51" s="1371"/>
      <c r="CA51" s="1372"/>
      <c r="CB51" s="1373"/>
      <c r="CC51" s="1371"/>
      <c r="CD51" s="1372"/>
      <c r="CE51" s="1373"/>
      <c r="CF51" s="1371"/>
      <c r="CG51" s="1372"/>
      <c r="CH51" s="1373"/>
      <c r="CI51" s="1371"/>
      <c r="CJ51" s="1372"/>
      <c r="CK51" s="1373"/>
      <c r="CL51" s="1371"/>
      <c r="CM51" s="1372"/>
      <c r="CN51" s="1373"/>
      <c r="CO51" s="1371"/>
      <c r="CP51" s="1372"/>
      <c r="CQ51" s="1373"/>
      <c r="CR51" s="1371"/>
      <c r="CS51" s="1372"/>
      <c r="CT51" s="1373"/>
      <c r="CU51" s="1371"/>
      <c r="CV51" s="1372"/>
      <c r="CW51" s="1373"/>
      <c r="CX51" s="1371"/>
      <c r="CY51" s="1372"/>
      <c r="CZ51" s="1373"/>
      <c r="DA51" s="1371"/>
      <c r="DB51" s="1372"/>
      <c r="DC51" s="1373"/>
      <c r="DD51" s="1371"/>
      <c r="DE51" s="1372"/>
      <c r="DF51" s="1373"/>
      <c r="DG51" s="1371"/>
      <c r="DH51" s="1372"/>
      <c r="DI51" s="1373"/>
      <c r="DJ51" s="1371"/>
      <c r="DK51" s="1372"/>
      <c r="DL51" s="1373"/>
      <c r="DM51" s="1371"/>
      <c r="DN51" s="1372"/>
      <c r="DO51" s="1373"/>
      <c r="DP51" s="1371"/>
      <c r="DQ51" s="1372"/>
      <c r="DR51" s="1373"/>
      <c r="DS51" s="1371"/>
      <c r="DT51" s="1372"/>
      <c r="DU51" s="1373"/>
      <c r="DV51" s="1371"/>
      <c r="DW51" s="1372"/>
      <c r="DX51" s="1373"/>
      <c r="DY51" s="1371"/>
      <c r="DZ51" s="1372"/>
      <c r="EA51" s="1373"/>
      <c r="EB51" s="1371"/>
      <c r="EC51" s="1372"/>
      <c r="ED51" s="1373"/>
      <c r="EE51" s="1371"/>
      <c r="EF51" s="1372"/>
      <c r="EG51" s="1373"/>
      <c r="EH51" s="1371"/>
      <c r="EI51" s="1372"/>
      <c r="EJ51" s="1373"/>
      <c r="EK51" s="1371"/>
      <c r="EL51" s="1372"/>
      <c r="EM51" s="1373"/>
      <c r="EN51" s="1371"/>
      <c r="EO51" s="1372"/>
      <c r="EP51" s="1373"/>
      <c r="EQ51" s="1371"/>
      <c r="ER51" s="1372"/>
      <c r="ES51" s="1373"/>
      <c r="ET51" s="1371"/>
      <c r="EU51" s="1372"/>
      <c r="EV51" s="1373"/>
      <c r="EW51" s="1371"/>
      <c r="EX51" s="1372"/>
      <c r="EY51" s="1373"/>
      <c r="EZ51" s="1371"/>
      <c r="FA51" s="1372"/>
      <c r="FB51" s="1373"/>
      <c r="FC51" s="1371"/>
      <c r="FD51" s="1372"/>
      <c r="FE51" s="1373"/>
      <c r="FF51" s="1371"/>
      <c r="FG51" s="1372"/>
      <c r="FH51" s="1373"/>
      <c r="FI51" s="1371"/>
      <c r="FJ51" s="1372"/>
      <c r="FK51" s="1373"/>
      <c r="FL51" s="1371"/>
      <c r="FM51" s="1372"/>
      <c r="FN51" s="1373"/>
      <c r="FO51" s="1371"/>
      <c r="FP51" s="1372"/>
      <c r="FQ51" s="1373"/>
      <c r="FR51" s="1371"/>
      <c r="FS51" s="1372"/>
      <c r="FT51" s="1373"/>
      <c r="FU51" s="1371"/>
      <c r="FV51" s="1372"/>
      <c r="FW51" s="1373"/>
      <c r="FX51" s="1371"/>
      <c r="FY51" s="1372"/>
      <c r="FZ51" s="1373"/>
      <c r="GA51" s="1371"/>
      <c r="GB51" s="1372"/>
      <c r="GC51" s="1373"/>
      <c r="GD51" s="1371"/>
      <c r="GE51" s="1372"/>
      <c r="GF51" s="1373"/>
      <c r="GG51" s="1371"/>
      <c r="GH51" s="1372"/>
      <c r="GI51" s="1373"/>
      <c r="GJ51" s="1371"/>
      <c r="GK51" s="1372"/>
    </row>
    <row r="52" spans="1:193" s="1369" customFormat="1" ht="16.5" customHeight="1">
      <c r="A52" s="1374"/>
      <c r="B52" s="1379"/>
      <c r="C52" s="1380"/>
      <c r="D52" s="1381"/>
      <c r="E52" s="1382"/>
      <c r="F52" s="1380"/>
      <c r="G52" s="1381"/>
      <c r="H52" s="1382"/>
      <c r="I52" s="1380"/>
      <c r="J52" s="1381"/>
      <c r="K52" s="1382"/>
      <c r="L52" s="1380"/>
      <c r="M52" s="1381"/>
      <c r="N52" s="1382"/>
      <c r="O52" s="1380"/>
      <c r="P52" s="1381"/>
      <c r="Q52" s="1382"/>
      <c r="R52" s="1380"/>
      <c r="S52" s="1381"/>
      <c r="T52" s="1382"/>
      <c r="U52" s="1380"/>
      <c r="V52" s="1381"/>
      <c r="W52" s="1382"/>
      <c r="X52" s="1380"/>
      <c r="Y52" s="1381"/>
      <c r="Z52" s="1382"/>
      <c r="AA52" s="1380"/>
      <c r="AB52" s="1381"/>
      <c r="AC52" s="1382"/>
      <c r="AD52" s="1380"/>
      <c r="AE52" s="1381"/>
      <c r="AF52" s="1382"/>
      <c r="AG52" s="1380"/>
      <c r="AH52" s="1381"/>
      <c r="AI52" s="1382"/>
      <c r="AJ52" s="1380"/>
      <c r="AK52" s="1381"/>
      <c r="AL52" s="1382"/>
      <c r="AM52" s="1380"/>
      <c r="AN52" s="1381"/>
      <c r="AO52" s="1382"/>
      <c r="AP52" s="1380"/>
      <c r="AQ52" s="1381"/>
      <c r="AR52" s="1382"/>
      <c r="AS52" s="1380"/>
      <c r="AT52" s="1381"/>
      <c r="AU52" s="1382"/>
      <c r="AV52" s="1380"/>
      <c r="AW52" s="1381"/>
      <c r="AX52" s="1382"/>
      <c r="AY52" s="1380"/>
      <c r="AZ52" s="1381"/>
      <c r="BA52" s="1382"/>
      <c r="BB52" s="1380"/>
      <c r="BC52" s="1381"/>
      <c r="BD52" s="1382"/>
      <c r="BE52" s="1380"/>
      <c r="BF52" s="1381"/>
      <c r="BG52" s="1382"/>
      <c r="BH52" s="1380"/>
      <c r="BI52" s="1381"/>
      <c r="BJ52" s="1382"/>
      <c r="BK52" s="1380"/>
      <c r="BL52" s="1381"/>
      <c r="BM52" s="1373"/>
      <c r="BN52" s="1371"/>
      <c r="BO52" s="1372"/>
      <c r="BP52" s="1373"/>
      <c r="BQ52" s="1371"/>
      <c r="BR52" s="1372"/>
      <c r="BS52" s="1373"/>
      <c r="BT52" s="1371"/>
      <c r="BU52" s="1372"/>
      <c r="BV52" s="1373"/>
      <c r="BW52" s="1371"/>
      <c r="BX52" s="1372"/>
      <c r="BY52" s="1373"/>
      <c r="BZ52" s="1371"/>
      <c r="CA52" s="1372"/>
      <c r="CB52" s="1373"/>
      <c r="CC52" s="1371"/>
      <c r="CD52" s="1372"/>
      <c r="CE52" s="1373"/>
      <c r="CF52" s="1371"/>
      <c r="CG52" s="1372"/>
      <c r="CH52" s="1373"/>
      <c r="CI52" s="1371"/>
      <c r="CJ52" s="1372"/>
      <c r="CK52" s="1373"/>
      <c r="CL52" s="1371"/>
      <c r="CM52" s="1372"/>
      <c r="CN52" s="1373"/>
      <c r="CO52" s="1371"/>
      <c r="CP52" s="1372"/>
      <c r="CQ52" s="1373"/>
      <c r="CR52" s="1371"/>
      <c r="CS52" s="1372"/>
      <c r="CT52" s="1373"/>
      <c r="CU52" s="1371"/>
      <c r="CV52" s="1372"/>
      <c r="CW52" s="1373"/>
      <c r="CX52" s="1371"/>
      <c r="CY52" s="1372"/>
      <c r="CZ52" s="1373"/>
      <c r="DA52" s="1371"/>
      <c r="DB52" s="1372"/>
      <c r="DC52" s="1373"/>
      <c r="DD52" s="1371"/>
      <c r="DE52" s="1372"/>
      <c r="DF52" s="1373"/>
      <c r="DG52" s="1371"/>
      <c r="DH52" s="1372"/>
      <c r="DI52" s="1373"/>
      <c r="DJ52" s="1371"/>
      <c r="DK52" s="1372"/>
      <c r="DL52" s="1373"/>
      <c r="DM52" s="1371"/>
      <c r="DN52" s="1372"/>
      <c r="DO52" s="1373"/>
      <c r="DP52" s="1371"/>
      <c r="DQ52" s="1372"/>
      <c r="DR52" s="1373"/>
      <c r="DS52" s="1371"/>
      <c r="DT52" s="1372"/>
      <c r="DU52" s="1373"/>
      <c r="DV52" s="1371"/>
      <c r="DW52" s="1372"/>
      <c r="DX52" s="1373"/>
      <c r="DY52" s="1371"/>
      <c r="DZ52" s="1372"/>
      <c r="EA52" s="1373"/>
      <c r="EB52" s="1371"/>
      <c r="EC52" s="1372"/>
      <c r="ED52" s="1373"/>
      <c r="EE52" s="1371"/>
      <c r="EF52" s="1372"/>
      <c r="EG52" s="1373"/>
      <c r="EH52" s="1371"/>
      <c r="EI52" s="1372"/>
      <c r="EJ52" s="1373"/>
      <c r="EK52" s="1371"/>
      <c r="EL52" s="1372"/>
      <c r="EM52" s="1373"/>
      <c r="EN52" s="1371"/>
      <c r="EO52" s="1372"/>
      <c r="EP52" s="1373"/>
      <c r="EQ52" s="1371"/>
      <c r="ER52" s="1372"/>
      <c r="ES52" s="1373"/>
      <c r="ET52" s="1371"/>
      <c r="EU52" s="1372"/>
      <c r="EV52" s="1373"/>
      <c r="EW52" s="1371"/>
      <c r="EX52" s="1372"/>
      <c r="EY52" s="1373"/>
      <c r="EZ52" s="1371"/>
      <c r="FA52" s="1372"/>
      <c r="FB52" s="1373"/>
      <c r="FC52" s="1371"/>
      <c r="FD52" s="1372"/>
      <c r="FE52" s="1373"/>
      <c r="FF52" s="1371"/>
      <c r="FG52" s="1372"/>
      <c r="FH52" s="1373"/>
      <c r="FI52" s="1371"/>
      <c r="FJ52" s="1372"/>
      <c r="FK52" s="1373"/>
      <c r="FL52" s="1371"/>
      <c r="FM52" s="1372"/>
      <c r="FN52" s="1373"/>
      <c r="FO52" s="1371"/>
      <c r="FP52" s="1372"/>
      <c r="FQ52" s="1373"/>
      <c r="FR52" s="1371"/>
      <c r="FS52" s="1372"/>
      <c r="FT52" s="1373"/>
      <c r="FU52" s="1371"/>
      <c r="FV52" s="1372"/>
      <c r="FW52" s="1373"/>
      <c r="FX52" s="1371"/>
      <c r="FY52" s="1372"/>
      <c r="FZ52" s="1373"/>
      <c r="GA52" s="1371"/>
      <c r="GB52" s="1372"/>
      <c r="GC52" s="1373"/>
      <c r="GD52" s="1371"/>
      <c r="GE52" s="1372"/>
      <c r="GF52" s="1373"/>
      <c r="GG52" s="1371"/>
      <c r="GH52" s="1372"/>
      <c r="GI52" s="1373"/>
      <c r="GJ52" s="1371"/>
      <c r="GK52" s="1372"/>
    </row>
    <row r="53" spans="1:193" s="1369" customFormat="1" ht="16.5" customHeight="1" thickBot="1">
      <c r="A53" s="1374"/>
      <c r="B53" s="1379"/>
      <c r="C53" s="1380"/>
      <c r="D53" s="1381"/>
      <c r="E53" s="1382"/>
      <c r="F53" s="1380"/>
      <c r="G53" s="1381"/>
      <c r="H53" s="1382"/>
      <c r="I53" s="1380"/>
      <c r="J53" s="1381"/>
      <c r="K53" s="1382"/>
      <c r="L53" s="1380"/>
      <c r="M53" s="1381"/>
      <c r="N53" s="1382"/>
      <c r="O53" s="1380"/>
      <c r="P53" s="1381"/>
      <c r="Q53" s="1382"/>
      <c r="R53" s="1380"/>
      <c r="S53" s="1381"/>
      <c r="T53" s="1382"/>
      <c r="U53" s="1380"/>
      <c r="V53" s="1381"/>
      <c r="W53" s="1382"/>
      <c r="X53" s="1380"/>
      <c r="Y53" s="1381"/>
      <c r="Z53" s="1382"/>
      <c r="AA53" s="1380"/>
      <c r="AB53" s="1381"/>
      <c r="AC53" s="1382"/>
      <c r="AD53" s="1380"/>
      <c r="AE53" s="1381"/>
      <c r="AF53" s="1382"/>
      <c r="AG53" s="1380"/>
      <c r="AH53" s="1381"/>
      <c r="AI53" s="1382"/>
      <c r="AJ53" s="1380"/>
      <c r="AK53" s="1381"/>
      <c r="AL53" s="1382"/>
      <c r="AM53" s="1380"/>
      <c r="AN53" s="1381"/>
      <c r="AO53" s="1382"/>
      <c r="AP53" s="1380"/>
      <c r="AQ53" s="1381"/>
      <c r="AR53" s="1382"/>
      <c r="AS53" s="1380"/>
      <c r="AT53" s="1381"/>
      <c r="AU53" s="1382"/>
      <c r="AV53" s="1380"/>
      <c r="AW53" s="1381"/>
      <c r="AX53" s="1382"/>
      <c r="AY53" s="1380"/>
      <c r="AZ53" s="1381"/>
      <c r="BA53" s="1382"/>
      <c r="BB53" s="1380"/>
      <c r="BC53" s="1381"/>
      <c r="BD53" s="1382"/>
      <c r="BE53" s="1380"/>
      <c r="BF53" s="1381"/>
      <c r="BG53" s="1382"/>
      <c r="BH53" s="1380"/>
      <c r="BI53" s="1381"/>
      <c r="BJ53" s="1382"/>
      <c r="BK53" s="1380"/>
      <c r="BL53" s="1381"/>
      <c r="BM53" s="1373"/>
      <c r="BN53" s="1371"/>
      <c r="BO53" s="1372"/>
      <c r="BP53" s="1373"/>
      <c r="BQ53" s="1371"/>
      <c r="BR53" s="1372"/>
      <c r="BS53" s="1373"/>
      <c r="BT53" s="1371"/>
      <c r="BU53" s="1372"/>
      <c r="BV53" s="1373"/>
      <c r="BW53" s="1371"/>
      <c r="BX53" s="1372"/>
      <c r="BY53" s="1373"/>
      <c r="BZ53" s="1371"/>
      <c r="CA53" s="1372"/>
      <c r="CB53" s="1373"/>
      <c r="CC53" s="1371"/>
      <c r="CD53" s="1372"/>
      <c r="CE53" s="1373"/>
      <c r="CF53" s="1371"/>
      <c r="CG53" s="1372"/>
      <c r="CH53" s="1373"/>
      <c r="CI53" s="1371"/>
      <c r="CJ53" s="1372"/>
      <c r="CK53" s="1373"/>
      <c r="CL53" s="1371"/>
      <c r="CM53" s="1372"/>
      <c r="CN53" s="1373"/>
      <c r="CO53" s="1371"/>
      <c r="CP53" s="1372"/>
      <c r="CQ53" s="1373"/>
      <c r="CR53" s="1371"/>
      <c r="CS53" s="1372"/>
      <c r="CT53" s="1373"/>
      <c r="CU53" s="1371"/>
      <c r="CV53" s="1372"/>
      <c r="CW53" s="1373"/>
      <c r="CX53" s="1371"/>
      <c r="CY53" s="1372"/>
      <c r="CZ53" s="1373"/>
      <c r="DA53" s="1371"/>
      <c r="DB53" s="1372"/>
      <c r="DC53" s="1373"/>
      <c r="DD53" s="1371"/>
      <c r="DE53" s="1372"/>
      <c r="DF53" s="1373"/>
      <c r="DG53" s="1371"/>
      <c r="DH53" s="1372"/>
      <c r="DI53" s="1373"/>
      <c r="DJ53" s="1371"/>
      <c r="DK53" s="1372"/>
      <c r="DL53" s="1373"/>
      <c r="DM53" s="1371"/>
      <c r="DN53" s="1372"/>
      <c r="DO53" s="1373"/>
      <c r="DP53" s="1371"/>
      <c r="DQ53" s="1372"/>
      <c r="DR53" s="1373"/>
      <c r="DS53" s="1371"/>
      <c r="DT53" s="1372"/>
      <c r="DU53" s="1373"/>
      <c r="DV53" s="1371"/>
      <c r="DW53" s="1372"/>
      <c r="DX53" s="1373"/>
      <c r="DY53" s="1371"/>
      <c r="DZ53" s="1372"/>
      <c r="EA53" s="1373"/>
      <c r="EB53" s="1371"/>
      <c r="EC53" s="1372"/>
      <c r="ED53" s="1373"/>
      <c r="EE53" s="1371"/>
      <c r="EF53" s="1372"/>
      <c r="EG53" s="1373"/>
      <c r="EH53" s="1371"/>
      <c r="EI53" s="1372"/>
      <c r="EJ53" s="1373"/>
      <c r="EK53" s="1371"/>
      <c r="EL53" s="1372"/>
      <c r="EM53" s="1373"/>
      <c r="EN53" s="1371"/>
      <c r="EO53" s="1372"/>
      <c r="EP53" s="1373"/>
      <c r="EQ53" s="1371"/>
      <c r="ER53" s="1372"/>
      <c r="ES53" s="1373"/>
      <c r="ET53" s="1371"/>
      <c r="EU53" s="1372"/>
      <c r="EV53" s="1373"/>
      <c r="EW53" s="1371"/>
      <c r="EX53" s="1372"/>
      <c r="EY53" s="1373"/>
      <c r="EZ53" s="1371"/>
      <c r="FA53" s="1372"/>
      <c r="FB53" s="1373"/>
      <c r="FC53" s="1371"/>
      <c r="FD53" s="1372"/>
      <c r="FE53" s="1373"/>
      <c r="FF53" s="1371"/>
      <c r="FG53" s="1372"/>
      <c r="FH53" s="1373"/>
      <c r="FI53" s="1371"/>
      <c r="FJ53" s="1372"/>
      <c r="FK53" s="1373"/>
      <c r="FL53" s="1371"/>
      <c r="FM53" s="1372"/>
      <c r="FN53" s="1373"/>
      <c r="FO53" s="1371"/>
      <c r="FP53" s="1372"/>
      <c r="FQ53" s="1373"/>
      <c r="FR53" s="1371"/>
      <c r="FS53" s="1372"/>
      <c r="FT53" s="1373"/>
      <c r="FU53" s="1371"/>
      <c r="FV53" s="1372"/>
      <c r="FW53" s="1373"/>
      <c r="FX53" s="1371"/>
      <c r="FY53" s="1372"/>
      <c r="FZ53" s="1373"/>
      <c r="GA53" s="1371"/>
      <c r="GB53" s="1372"/>
      <c r="GC53" s="1373"/>
      <c r="GD53" s="1371"/>
      <c r="GE53" s="1372"/>
      <c r="GF53" s="1373"/>
      <c r="GG53" s="1371"/>
      <c r="GH53" s="1372"/>
      <c r="GI53" s="1373"/>
      <c r="GJ53" s="1371"/>
      <c r="GK53" s="1372"/>
    </row>
    <row r="54" spans="1:193" s="5" customFormat="1" ht="16.5" hidden="1" customHeight="1">
      <c r="A54" s="413"/>
      <c r="B54" s="258"/>
      <c r="C54" s="46"/>
      <c r="D54" s="47"/>
      <c r="E54" s="45"/>
      <c r="F54" s="46"/>
      <c r="G54" s="47"/>
      <c r="H54" s="45"/>
      <c r="I54" s="46"/>
      <c r="J54" s="47"/>
      <c r="K54" s="45"/>
      <c r="L54" s="46"/>
      <c r="M54" s="47"/>
      <c r="N54" s="45"/>
      <c r="O54" s="46"/>
      <c r="P54" s="47"/>
      <c r="Q54" s="45"/>
      <c r="R54" s="46"/>
      <c r="S54" s="47"/>
      <c r="T54" s="45"/>
      <c r="U54" s="46"/>
      <c r="V54" s="47"/>
      <c r="W54" s="45"/>
      <c r="X54" s="46"/>
      <c r="Y54" s="47"/>
      <c r="Z54" s="45"/>
      <c r="AA54" s="46"/>
      <c r="AB54" s="47"/>
      <c r="AC54" s="45"/>
      <c r="AD54" s="46"/>
      <c r="AE54" s="47"/>
      <c r="AF54" s="45"/>
      <c r="AG54" s="46"/>
      <c r="AH54" s="47"/>
      <c r="AI54" s="45"/>
      <c r="AJ54" s="46"/>
      <c r="AK54" s="47"/>
      <c r="AL54" s="45"/>
      <c r="AM54" s="46"/>
      <c r="AN54" s="47"/>
      <c r="AO54" s="45"/>
      <c r="AP54" s="46"/>
      <c r="AQ54" s="47"/>
      <c r="AR54" s="45"/>
      <c r="AS54" s="46"/>
      <c r="AT54" s="47"/>
      <c r="AU54" s="45"/>
      <c r="AV54" s="46"/>
      <c r="AW54" s="47"/>
      <c r="AX54" s="45"/>
      <c r="AY54" s="46"/>
      <c r="AZ54" s="47"/>
      <c r="BA54" s="45"/>
      <c r="BB54" s="46"/>
      <c r="BC54" s="47"/>
      <c r="BD54" s="45"/>
      <c r="BE54" s="46"/>
      <c r="BF54" s="47"/>
      <c r="BG54" s="45"/>
      <c r="BH54" s="46"/>
      <c r="BI54" s="47"/>
      <c r="BJ54" s="45"/>
      <c r="BK54" s="46"/>
      <c r="BL54" s="47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  <c r="CW54" s="48"/>
      <c r="CX54" s="49"/>
      <c r="CY54" s="50"/>
      <c r="CZ54" s="48"/>
      <c r="DA54" s="49"/>
      <c r="DB54" s="50"/>
      <c r="DC54" s="48"/>
      <c r="DD54" s="49"/>
      <c r="DE54" s="50"/>
      <c r="DF54" s="48"/>
      <c r="DG54" s="49"/>
      <c r="DH54" s="50"/>
      <c r="DI54" s="48"/>
      <c r="DJ54" s="49"/>
      <c r="DK54" s="50"/>
      <c r="DL54" s="48"/>
      <c r="DM54" s="49"/>
      <c r="DN54" s="50"/>
      <c r="DO54" s="48"/>
      <c r="DP54" s="49"/>
      <c r="DQ54" s="50"/>
      <c r="DR54" s="48"/>
      <c r="DS54" s="49"/>
      <c r="DT54" s="50"/>
      <c r="DU54" s="48"/>
      <c r="DV54" s="49"/>
      <c r="DW54" s="50"/>
      <c r="DX54" s="48"/>
      <c r="DY54" s="49"/>
      <c r="DZ54" s="50"/>
      <c r="EA54" s="48"/>
      <c r="EB54" s="49"/>
      <c r="EC54" s="50"/>
      <c r="ED54" s="48"/>
      <c r="EE54" s="49"/>
      <c r="EF54" s="50"/>
      <c r="EG54" s="48"/>
      <c r="EH54" s="49"/>
      <c r="EI54" s="50"/>
      <c r="EJ54" s="48"/>
      <c r="EK54" s="49"/>
      <c r="EL54" s="50"/>
      <c r="EM54" s="48"/>
      <c r="EN54" s="49"/>
      <c r="EO54" s="50"/>
      <c r="EP54" s="48"/>
      <c r="EQ54" s="49"/>
      <c r="ER54" s="50"/>
      <c r="ES54" s="48"/>
      <c r="ET54" s="49"/>
      <c r="EU54" s="50"/>
      <c r="EV54" s="48"/>
      <c r="EW54" s="49"/>
      <c r="EX54" s="50"/>
      <c r="EY54" s="48"/>
      <c r="EZ54" s="49"/>
      <c r="FA54" s="50"/>
      <c r="FB54" s="48"/>
      <c r="FC54" s="49"/>
      <c r="FD54" s="50"/>
      <c r="FE54" s="48"/>
      <c r="FF54" s="49"/>
      <c r="FG54" s="50"/>
      <c r="FH54" s="48"/>
      <c r="FI54" s="49"/>
      <c r="FJ54" s="50"/>
      <c r="FK54" s="48"/>
      <c r="FL54" s="49"/>
      <c r="FM54" s="50"/>
      <c r="FN54" s="48"/>
      <c r="FO54" s="49"/>
      <c r="FP54" s="50"/>
      <c r="FQ54" s="48"/>
      <c r="FR54" s="49"/>
      <c r="FS54" s="50"/>
      <c r="FT54" s="48"/>
      <c r="FU54" s="49"/>
      <c r="FV54" s="50"/>
      <c r="FW54" s="48"/>
      <c r="FX54" s="49"/>
      <c r="FY54" s="50"/>
      <c r="FZ54" s="48"/>
      <c r="GA54" s="49"/>
      <c r="GB54" s="50"/>
      <c r="GC54" s="48"/>
      <c r="GD54" s="49"/>
      <c r="GE54" s="50"/>
      <c r="GF54" s="48"/>
      <c r="GG54" s="49"/>
      <c r="GH54" s="50"/>
      <c r="GI54" s="48"/>
      <c r="GJ54" s="49"/>
      <c r="GK54" s="50"/>
    </row>
    <row r="55" spans="1:193" s="5" customFormat="1" ht="16.5" hidden="1" customHeight="1">
      <c r="A55" s="413"/>
      <c r="B55" s="258"/>
      <c r="C55" s="46"/>
      <c r="D55" s="47"/>
      <c r="E55" s="45"/>
      <c r="F55" s="46"/>
      <c r="G55" s="47"/>
      <c r="H55" s="45"/>
      <c r="I55" s="46"/>
      <c r="J55" s="47"/>
      <c r="K55" s="45"/>
      <c r="L55" s="46"/>
      <c r="M55" s="47"/>
      <c r="N55" s="45"/>
      <c r="O55" s="46"/>
      <c r="P55" s="47"/>
      <c r="Q55" s="45"/>
      <c r="R55" s="46"/>
      <c r="S55" s="47"/>
      <c r="T55" s="45"/>
      <c r="U55" s="46"/>
      <c r="V55" s="47"/>
      <c r="W55" s="45"/>
      <c r="X55" s="46"/>
      <c r="Y55" s="47"/>
      <c r="Z55" s="45"/>
      <c r="AA55" s="46"/>
      <c r="AB55" s="47"/>
      <c r="AC55" s="45"/>
      <c r="AD55" s="46"/>
      <c r="AE55" s="47"/>
      <c r="AF55" s="45"/>
      <c r="AG55" s="46"/>
      <c r="AH55" s="47"/>
      <c r="AI55" s="45"/>
      <c r="AJ55" s="46"/>
      <c r="AK55" s="47"/>
      <c r="AL55" s="45"/>
      <c r="AM55" s="46"/>
      <c r="AN55" s="47"/>
      <c r="AO55" s="45"/>
      <c r="AP55" s="46"/>
      <c r="AQ55" s="47"/>
      <c r="AR55" s="45"/>
      <c r="AS55" s="46"/>
      <c r="AT55" s="47"/>
      <c r="AU55" s="45"/>
      <c r="AV55" s="46"/>
      <c r="AW55" s="47"/>
      <c r="AX55" s="45"/>
      <c r="AY55" s="46"/>
      <c r="AZ55" s="47"/>
      <c r="BA55" s="45"/>
      <c r="BB55" s="46"/>
      <c r="BC55" s="47"/>
      <c r="BD55" s="45"/>
      <c r="BE55" s="46"/>
      <c r="BF55" s="47"/>
      <c r="BG55" s="45"/>
      <c r="BH55" s="46"/>
      <c r="BI55" s="47"/>
      <c r="BJ55" s="45"/>
      <c r="BK55" s="46"/>
      <c r="BL55" s="47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  <c r="CW55" s="48"/>
      <c r="CX55" s="49"/>
      <c r="CY55" s="50"/>
      <c r="CZ55" s="48"/>
      <c r="DA55" s="49"/>
      <c r="DB55" s="50"/>
      <c r="DC55" s="48"/>
      <c r="DD55" s="49"/>
      <c r="DE55" s="50"/>
      <c r="DF55" s="48"/>
      <c r="DG55" s="49"/>
      <c r="DH55" s="50"/>
      <c r="DI55" s="48"/>
      <c r="DJ55" s="49"/>
      <c r="DK55" s="50"/>
      <c r="DL55" s="48"/>
      <c r="DM55" s="49"/>
      <c r="DN55" s="50"/>
      <c r="DO55" s="48"/>
      <c r="DP55" s="49"/>
      <c r="DQ55" s="50"/>
      <c r="DR55" s="48"/>
      <c r="DS55" s="49"/>
      <c r="DT55" s="50"/>
      <c r="DU55" s="48"/>
      <c r="DV55" s="49"/>
      <c r="DW55" s="50"/>
      <c r="DX55" s="48"/>
      <c r="DY55" s="49"/>
      <c r="DZ55" s="50"/>
      <c r="EA55" s="48"/>
      <c r="EB55" s="49"/>
      <c r="EC55" s="50"/>
      <c r="ED55" s="48"/>
      <c r="EE55" s="49"/>
      <c r="EF55" s="50"/>
      <c r="EG55" s="48"/>
      <c r="EH55" s="49"/>
      <c r="EI55" s="50"/>
      <c r="EJ55" s="48"/>
      <c r="EK55" s="49"/>
      <c r="EL55" s="50"/>
      <c r="EM55" s="48"/>
      <c r="EN55" s="49"/>
      <c r="EO55" s="50"/>
      <c r="EP55" s="48"/>
      <c r="EQ55" s="49"/>
      <c r="ER55" s="50"/>
      <c r="ES55" s="48"/>
      <c r="ET55" s="49"/>
      <c r="EU55" s="50"/>
      <c r="EV55" s="48"/>
      <c r="EW55" s="49"/>
      <c r="EX55" s="50"/>
      <c r="EY55" s="48"/>
      <c r="EZ55" s="49"/>
      <c r="FA55" s="50"/>
      <c r="FB55" s="48"/>
      <c r="FC55" s="49"/>
      <c r="FD55" s="50"/>
      <c r="FE55" s="48"/>
      <c r="FF55" s="49"/>
      <c r="FG55" s="50"/>
      <c r="FH55" s="48"/>
      <c r="FI55" s="49"/>
      <c r="FJ55" s="50"/>
      <c r="FK55" s="48"/>
      <c r="FL55" s="49"/>
      <c r="FM55" s="50"/>
      <c r="FN55" s="48"/>
      <c r="FO55" s="49"/>
      <c r="FP55" s="50"/>
      <c r="FQ55" s="48"/>
      <c r="FR55" s="49"/>
      <c r="FS55" s="50"/>
      <c r="FT55" s="48"/>
      <c r="FU55" s="49"/>
      <c r="FV55" s="50"/>
      <c r="FW55" s="48"/>
      <c r="FX55" s="49"/>
      <c r="FY55" s="50"/>
      <c r="FZ55" s="48"/>
      <c r="GA55" s="49"/>
      <c r="GB55" s="50"/>
      <c r="GC55" s="48"/>
      <c r="GD55" s="49"/>
      <c r="GE55" s="50"/>
      <c r="GF55" s="48"/>
      <c r="GG55" s="49"/>
      <c r="GH55" s="50"/>
      <c r="GI55" s="48"/>
      <c r="GJ55" s="49"/>
      <c r="GK55" s="50"/>
    </row>
    <row r="56" spans="1:193" s="5" customFormat="1" ht="16.5" hidden="1" customHeight="1">
      <c r="A56" s="413"/>
      <c r="B56" s="258"/>
      <c r="C56" s="46"/>
      <c r="D56" s="47"/>
      <c r="E56" s="45"/>
      <c r="F56" s="46"/>
      <c r="G56" s="47"/>
      <c r="H56" s="45"/>
      <c r="I56" s="46"/>
      <c r="J56" s="47"/>
      <c r="K56" s="45"/>
      <c r="L56" s="46"/>
      <c r="M56" s="47"/>
      <c r="N56" s="45"/>
      <c r="O56" s="46"/>
      <c r="P56" s="47"/>
      <c r="Q56" s="45"/>
      <c r="R56" s="46"/>
      <c r="S56" s="47"/>
      <c r="T56" s="45"/>
      <c r="U56" s="46"/>
      <c r="V56" s="47"/>
      <c r="W56" s="45"/>
      <c r="X56" s="46"/>
      <c r="Y56" s="47"/>
      <c r="Z56" s="45"/>
      <c r="AA56" s="46"/>
      <c r="AB56" s="47"/>
      <c r="AC56" s="45"/>
      <c r="AD56" s="46"/>
      <c r="AE56" s="47"/>
      <c r="AF56" s="45"/>
      <c r="AG56" s="46"/>
      <c r="AH56" s="47"/>
      <c r="AI56" s="45"/>
      <c r="AJ56" s="46"/>
      <c r="AK56" s="47"/>
      <c r="AL56" s="45"/>
      <c r="AM56" s="46"/>
      <c r="AN56" s="47"/>
      <c r="AO56" s="45"/>
      <c r="AP56" s="46"/>
      <c r="AQ56" s="47"/>
      <c r="AR56" s="45"/>
      <c r="AS56" s="46"/>
      <c r="AT56" s="47"/>
      <c r="AU56" s="45"/>
      <c r="AV56" s="46"/>
      <c r="AW56" s="47"/>
      <c r="AX56" s="45"/>
      <c r="AY56" s="46"/>
      <c r="AZ56" s="47"/>
      <c r="BA56" s="45"/>
      <c r="BB56" s="46"/>
      <c r="BC56" s="47"/>
      <c r="BD56" s="45"/>
      <c r="BE56" s="46"/>
      <c r="BF56" s="47"/>
      <c r="BG56" s="45"/>
      <c r="BH56" s="46"/>
      <c r="BI56" s="47"/>
      <c r="BJ56" s="45"/>
      <c r="BK56" s="46"/>
      <c r="BL56" s="47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  <c r="CW56" s="48"/>
      <c r="CX56" s="49"/>
      <c r="CY56" s="50"/>
      <c r="CZ56" s="48"/>
      <c r="DA56" s="49"/>
      <c r="DB56" s="50"/>
      <c r="DC56" s="48"/>
      <c r="DD56" s="49"/>
      <c r="DE56" s="50"/>
      <c r="DF56" s="48"/>
      <c r="DG56" s="49"/>
      <c r="DH56" s="50"/>
      <c r="DI56" s="48"/>
      <c r="DJ56" s="49"/>
      <c r="DK56" s="50"/>
      <c r="DL56" s="48"/>
      <c r="DM56" s="49"/>
      <c r="DN56" s="50"/>
      <c r="DO56" s="48"/>
      <c r="DP56" s="49"/>
      <c r="DQ56" s="50"/>
      <c r="DR56" s="48"/>
      <c r="DS56" s="49"/>
      <c r="DT56" s="50"/>
      <c r="DU56" s="48"/>
      <c r="DV56" s="49"/>
      <c r="DW56" s="50"/>
      <c r="DX56" s="48"/>
      <c r="DY56" s="49"/>
      <c r="DZ56" s="50"/>
      <c r="EA56" s="48"/>
      <c r="EB56" s="49"/>
      <c r="EC56" s="50"/>
      <c r="ED56" s="48"/>
      <c r="EE56" s="49"/>
      <c r="EF56" s="50"/>
      <c r="EG56" s="48"/>
      <c r="EH56" s="49"/>
      <c r="EI56" s="50"/>
      <c r="EJ56" s="48"/>
      <c r="EK56" s="49"/>
      <c r="EL56" s="50"/>
      <c r="EM56" s="48"/>
      <c r="EN56" s="49"/>
      <c r="EO56" s="50"/>
      <c r="EP56" s="48"/>
      <c r="EQ56" s="49"/>
      <c r="ER56" s="50"/>
      <c r="ES56" s="48"/>
      <c r="ET56" s="49"/>
      <c r="EU56" s="50"/>
      <c r="EV56" s="48"/>
      <c r="EW56" s="49"/>
      <c r="EX56" s="50"/>
      <c r="EY56" s="48"/>
      <c r="EZ56" s="49"/>
      <c r="FA56" s="50"/>
      <c r="FB56" s="48"/>
      <c r="FC56" s="49"/>
      <c r="FD56" s="50"/>
      <c r="FE56" s="48"/>
      <c r="FF56" s="49"/>
      <c r="FG56" s="50"/>
      <c r="FH56" s="48"/>
      <c r="FI56" s="49"/>
      <c r="FJ56" s="50"/>
      <c r="FK56" s="48"/>
      <c r="FL56" s="49"/>
      <c r="FM56" s="50"/>
      <c r="FN56" s="48"/>
      <c r="FO56" s="49"/>
      <c r="FP56" s="50"/>
      <c r="FQ56" s="48"/>
      <c r="FR56" s="49"/>
      <c r="FS56" s="50"/>
      <c r="FT56" s="48"/>
      <c r="FU56" s="49"/>
      <c r="FV56" s="50"/>
      <c r="FW56" s="48"/>
      <c r="FX56" s="49"/>
      <c r="FY56" s="50"/>
      <c r="FZ56" s="48"/>
      <c r="GA56" s="49"/>
      <c r="GB56" s="50"/>
      <c r="GC56" s="48"/>
      <c r="GD56" s="49"/>
      <c r="GE56" s="50"/>
      <c r="GF56" s="48"/>
      <c r="GG56" s="49"/>
      <c r="GH56" s="50"/>
      <c r="GI56" s="48"/>
      <c r="GJ56" s="49"/>
      <c r="GK56" s="50"/>
    </row>
    <row r="57" spans="1:193" s="5" customFormat="1" ht="16.5" hidden="1" customHeight="1">
      <c r="A57" s="413"/>
      <c r="B57" s="258"/>
      <c r="C57" s="46"/>
      <c r="D57" s="47"/>
      <c r="E57" s="45"/>
      <c r="F57" s="46"/>
      <c r="G57" s="47"/>
      <c r="H57" s="45"/>
      <c r="I57" s="46"/>
      <c r="J57" s="47"/>
      <c r="K57" s="45"/>
      <c r="L57" s="46"/>
      <c r="M57" s="47"/>
      <c r="N57" s="45"/>
      <c r="O57" s="46"/>
      <c r="P57" s="47"/>
      <c r="Q57" s="45"/>
      <c r="R57" s="46"/>
      <c r="S57" s="47"/>
      <c r="T57" s="45"/>
      <c r="U57" s="46"/>
      <c r="V57" s="47"/>
      <c r="W57" s="45"/>
      <c r="X57" s="46"/>
      <c r="Y57" s="47"/>
      <c r="Z57" s="45"/>
      <c r="AA57" s="46"/>
      <c r="AB57" s="47"/>
      <c r="AC57" s="45"/>
      <c r="AD57" s="46"/>
      <c r="AE57" s="47"/>
      <c r="AF57" s="45"/>
      <c r="AG57" s="46"/>
      <c r="AH57" s="47"/>
      <c r="AI57" s="45"/>
      <c r="AJ57" s="46"/>
      <c r="AK57" s="47"/>
      <c r="AL57" s="45"/>
      <c r="AM57" s="46"/>
      <c r="AN57" s="47"/>
      <c r="AO57" s="45"/>
      <c r="AP57" s="46"/>
      <c r="AQ57" s="47"/>
      <c r="AR57" s="45"/>
      <c r="AS57" s="46"/>
      <c r="AT57" s="47"/>
      <c r="AU57" s="45"/>
      <c r="AV57" s="46"/>
      <c r="AW57" s="47"/>
      <c r="AX57" s="45"/>
      <c r="AY57" s="46"/>
      <c r="AZ57" s="47"/>
      <c r="BA57" s="45"/>
      <c r="BB57" s="46"/>
      <c r="BC57" s="47"/>
      <c r="BD57" s="45"/>
      <c r="BE57" s="46"/>
      <c r="BF57" s="47"/>
      <c r="BG57" s="45"/>
      <c r="BH57" s="46"/>
      <c r="BI57" s="47"/>
      <c r="BJ57" s="45"/>
      <c r="BK57" s="46"/>
      <c r="BL57" s="47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  <c r="CW57" s="48"/>
      <c r="CX57" s="49"/>
      <c r="CY57" s="50"/>
      <c r="CZ57" s="48"/>
      <c r="DA57" s="49"/>
      <c r="DB57" s="50"/>
      <c r="DC57" s="48"/>
      <c r="DD57" s="49"/>
      <c r="DE57" s="50"/>
      <c r="DF57" s="48"/>
      <c r="DG57" s="49"/>
      <c r="DH57" s="50"/>
      <c r="DI57" s="48"/>
      <c r="DJ57" s="49"/>
      <c r="DK57" s="50"/>
      <c r="DL57" s="48"/>
      <c r="DM57" s="49"/>
      <c r="DN57" s="50"/>
      <c r="DO57" s="48"/>
      <c r="DP57" s="49"/>
      <c r="DQ57" s="50"/>
      <c r="DR57" s="48"/>
      <c r="DS57" s="49"/>
      <c r="DT57" s="50"/>
      <c r="DU57" s="48"/>
      <c r="DV57" s="49"/>
      <c r="DW57" s="50"/>
      <c r="DX57" s="48"/>
      <c r="DY57" s="49"/>
      <c r="DZ57" s="50"/>
      <c r="EA57" s="48"/>
      <c r="EB57" s="49"/>
      <c r="EC57" s="50"/>
      <c r="ED57" s="48"/>
      <c r="EE57" s="49"/>
      <c r="EF57" s="50"/>
      <c r="EG57" s="48"/>
      <c r="EH57" s="49"/>
      <c r="EI57" s="50"/>
      <c r="EJ57" s="48"/>
      <c r="EK57" s="49"/>
      <c r="EL57" s="50"/>
      <c r="EM57" s="48"/>
      <c r="EN57" s="49"/>
      <c r="EO57" s="50"/>
      <c r="EP57" s="48"/>
      <c r="EQ57" s="49"/>
      <c r="ER57" s="50"/>
      <c r="ES57" s="48"/>
      <c r="ET57" s="49"/>
      <c r="EU57" s="50"/>
      <c r="EV57" s="48"/>
      <c r="EW57" s="49"/>
      <c r="EX57" s="50"/>
      <c r="EY57" s="48"/>
      <c r="EZ57" s="49"/>
      <c r="FA57" s="50"/>
      <c r="FB57" s="48"/>
      <c r="FC57" s="49"/>
      <c r="FD57" s="50"/>
      <c r="FE57" s="48"/>
      <c r="FF57" s="49"/>
      <c r="FG57" s="50"/>
      <c r="FH57" s="48"/>
      <c r="FI57" s="49"/>
      <c r="FJ57" s="50"/>
      <c r="FK57" s="48"/>
      <c r="FL57" s="49"/>
      <c r="FM57" s="50"/>
      <c r="FN57" s="48"/>
      <c r="FO57" s="49"/>
      <c r="FP57" s="50"/>
      <c r="FQ57" s="48"/>
      <c r="FR57" s="49"/>
      <c r="FS57" s="50"/>
      <c r="FT57" s="48"/>
      <c r="FU57" s="49"/>
      <c r="FV57" s="50"/>
      <c r="FW57" s="48"/>
      <c r="FX57" s="49"/>
      <c r="FY57" s="50"/>
      <c r="FZ57" s="48"/>
      <c r="GA57" s="49"/>
      <c r="GB57" s="50"/>
      <c r="GC57" s="48"/>
      <c r="GD57" s="49"/>
      <c r="GE57" s="50"/>
      <c r="GF57" s="48"/>
      <c r="GG57" s="49"/>
      <c r="GH57" s="50"/>
      <c r="GI57" s="48"/>
      <c r="GJ57" s="49"/>
      <c r="GK57" s="50"/>
    </row>
    <row r="58" spans="1:193" s="5" customFormat="1" ht="16.5" hidden="1" customHeight="1">
      <c r="A58" s="413"/>
      <c r="B58" s="258"/>
      <c r="C58" s="46"/>
      <c r="D58" s="47"/>
      <c r="E58" s="45"/>
      <c r="F58" s="46"/>
      <c r="G58" s="47"/>
      <c r="H58" s="45"/>
      <c r="I58" s="46"/>
      <c r="J58" s="47"/>
      <c r="K58" s="45"/>
      <c r="L58" s="46"/>
      <c r="M58" s="47"/>
      <c r="N58" s="45"/>
      <c r="O58" s="46"/>
      <c r="P58" s="47"/>
      <c r="Q58" s="45"/>
      <c r="R58" s="46"/>
      <c r="S58" s="47"/>
      <c r="T58" s="45"/>
      <c r="U58" s="46"/>
      <c r="V58" s="47"/>
      <c r="W58" s="45"/>
      <c r="X58" s="46"/>
      <c r="Y58" s="47"/>
      <c r="Z58" s="45"/>
      <c r="AA58" s="46"/>
      <c r="AB58" s="47"/>
      <c r="AC58" s="45"/>
      <c r="AD58" s="46"/>
      <c r="AE58" s="47"/>
      <c r="AF58" s="45"/>
      <c r="AG58" s="46"/>
      <c r="AH58" s="47"/>
      <c r="AI58" s="45"/>
      <c r="AJ58" s="46"/>
      <c r="AK58" s="47"/>
      <c r="AL58" s="45"/>
      <c r="AM58" s="46"/>
      <c r="AN58" s="47"/>
      <c r="AO58" s="45"/>
      <c r="AP58" s="46"/>
      <c r="AQ58" s="47"/>
      <c r="AR58" s="45"/>
      <c r="AS58" s="46"/>
      <c r="AT58" s="47"/>
      <c r="AU58" s="45"/>
      <c r="AV58" s="46"/>
      <c r="AW58" s="47"/>
      <c r="AX58" s="45"/>
      <c r="AY58" s="46"/>
      <c r="AZ58" s="47"/>
      <c r="BA58" s="45"/>
      <c r="BB58" s="46"/>
      <c r="BC58" s="47"/>
      <c r="BD58" s="45"/>
      <c r="BE58" s="46"/>
      <c r="BF58" s="47"/>
      <c r="BG58" s="45"/>
      <c r="BH58" s="46"/>
      <c r="BI58" s="47"/>
      <c r="BJ58" s="45"/>
      <c r="BK58" s="46"/>
      <c r="BL58" s="47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  <c r="CW58" s="48"/>
      <c r="CX58" s="49"/>
      <c r="CY58" s="50"/>
      <c r="CZ58" s="48"/>
      <c r="DA58" s="49"/>
      <c r="DB58" s="50"/>
      <c r="DC58" s="48"/>
      <c r="DD58" s="49"/>
      <c r="DE58" s="50"/>
      <c r="DF58" s="48"/>
      <c r="DG58" s="49"/>
      <c r="DH58" s="50"/>
      <c r="DI58" s="48"/>
      <c r="DJ58" s="49"/>
      <c r="DK58" s="50"/>
      <c r="DL58" s="48"/>
      <c r="DM58" s="49"/>
      <c r="DN58" s="50"/>
      <c r="DO58" s="48"/>
      <c r="DP58" s="49"/>
      <c r="DQ58" s="50"/>
      <c r="DR58" s="48"/>
      <c r="DS58" s="49"/>
      <c r="DT58" s="50"/>
      <c r="DU58" s="48"/>
      <c r="DV58" s="49"/>
      <c r="DW58" s="50"/>
      <c r="DX58" s="48"/>
      <c r="DY58" s="49"/>
      <c r="DZ58" s="50"/>
      <c r="EA58" s="48"/>
      <c r="EB58" s="49"/>
      <c r="EC58" s="50"/>
      <c r="ED58" s="48"/>
      <c r="EE58" s="49"/>
      <c r="EF58" s="50"/>
      <c r="EG58" s="48"/>
      <c r="EH58" s="49"/>
      <c r="EI58" s="50"/>
      <c r="EJ58" s="48"/>
      <c r="EK58" s="49"/>
      <c r="EL58" s="50"/>
      <c r="EM58" s="48"/>
      <c r="EN58" s="49"/>
      <c r="EO58" s="50"/>
      <c r="EP58" s="48"/>
      <c r="EQ58" s="49"/>
      <c r="ER58" s="50"/>
      <c r="ES58" s="48"/>
      <c r="ET58" s="49"/>
      <c r="EU58" s="50"/>
      <c r="EV58" s="48"/>
      <c r="EW58" s="49"/>
      <c r="EX58" s="50"/>
      <c r="EY58" s="48"/>
      <c r="EZ58" s="49"/>
      <c r="FA58" s="50"/>
      <c r="FB58" s="48"/>
      <c r="FC58" s="49"/>
      <c r="FD58" s="50"/>
      <c r="FE58" s="48"/>
      <c r="FF58" s="49"/>
      <c r="FG58" s="50"/>
      <c r="FH58" s="48"/>
      <c r="FI58" s="49"/>
      <c r="FJ58" s="50"/>
      <c r="FK58" s="48"/>
      <c r="FL58" s="49"/>
      <c r="FM58" s="50"/>
      <c r="FN58" s="48"/>
      <c r="FO58" s="49"/>
      <c r="FP58" s="50"/>
      <c r="FQ58" s="48"/>
      <c r="FR58" s="49"/>
      <c r="FS58" s="50"/>
      <c r="FT58" s="48"/>
      <c r="FU58" s="49"/>
      <c r="FV58" s="50"/>
      <c r="FW58" s="48"/>
      <c r="FX58" s="49"/>
      <c r="FY58" s="50"/>
      <c r="FZ58" s="48"/>
      <c r="GA58" s="49"/>
      <c r="GB58" s="50"/>
      <c r="GC58" s="48"/>
      <c r="GD58" s="49"/>
      <c r="GE58" s="50"/>
      <c r="GF58" s="48"/>
      <c r="GG58" s="49"/>
      <c r="GH58" s="50"/>
      <c r="GI58" s="48"/>
      <c r="GJ58" s="49"/>
      <c r="GK58" s="50"/>
    </row>
    <row r="59" spans="1:193" s="5" customFormat="1" ht="16.5" hidden="1" customHeight="1" thickBot="1">
      <c r="A59" s="413"/>
      <c r="B59" s="259"/>
      <c r="C59" s="52"/>
      <c r="D59" s="53"/>
      <c r="E59" s="51"/>
      <c r="F59" s="52"/>
      <c r="G59" s="53"/>
      <c r="H59" s="51"/>
      <c r="I59" s="52"/>
      <c r="J59" s="53"/>
      <c r="K59" s="51"/>
      <c r="L59" s="52"/>
      <c r="M59" s="53"/>
      <c r="N59" s="51"/>
      <c r="O59" s="52"/>
      <c r="P59" s="53"/>
      <c r="Q59" s="51"/>
      <c r="R59" s="52"/>
      <c r="S59" s="53"/>
      <c r="T59" s="51"/>
      <c r="U59" s="52"/>
      <c r="V59" s="53"/>
      <c r="W59" s="51"/>
      <c r="X59" s="52"/>
      <c r="Y59" s="53"/>
      <c r="Z59" s="51"/>
      <c r="AA59" s="52"/>
      <c r="AB59" s="53"/>
      <c r="AC59" s="51"/>
      <c r="AD59" s="52"/>
      <c r="AE59" s="53"/>
      <c r="AF59" s="51"/>
      <c r="AG59" s="52"/>
      <c r="AH59" s="53"/>
      <c r="AI59" s="51"/>
      <c r="AJ59" s="52"/>
      <c r="AK59" s="53"/>
      <c r="AL59" s="51"/>
      <c r="AM59" s="52"/>
      <c r="AN59" s="53"/>
      <c r="AO59" s="51"/>
      <c r="AP59" s="52"/>
      <c r="AQ59" s="53"/>
      <c r="AR59" s="51"/>
      <c r="AS59" s="52"/>
      <c r="AT59" s="53"/>
      <c r="AU59" s="51"/>
      <c r="AV59" s="52"/>
      <c r="AW59" s="53"/>
      <c r="AX59" s="51"/>
      <c r="AY59" s="52"/>
      <c r="AZ59" s="53"/>
      <c r="BA59" s="51"/>
      <c r="BB59" s="52"/>
      <c r="BC59" s="53"/>
      <c r="BD59" s="51"/>
      <c r="BE59" s="52"/>
      <c r="BF59" s="53"/>
      <c r="BG59" s="51"/>
      <c r="BH59" s="52"/>
      <c r="BI59" s="53"/>
      <c r="BJ59" s="51"/>
      <c r="BK59" s="52"/>
      <c r="BL59" s="53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  <c r="CW59" s="54"/>
      <c r="CX59" s="55"/>
      <c r="CY59" s="56"/>
      <c r="CZ59" s="54"/>
      <c r="DA59" s="55"/>
      <c r="DB59" s="56"/>
      <c r="DC59" s="54"/>
      <c r="DD59" s="55"/>
      <c r="DE59" s="56"/>
      <c r="DF59" s="54"/>
      <c r="DG59" s="55"/>
      <c r="DH59" s="56"/>
      <c r="DI59" s="54"/>
      <c r="DJ59" s="55"/>
      <c r="DK59" s="56"/>
      <c r="DL59" s="54"/>
      <c r="DM59" s="55"/>
      <c r="DN59" s="56"/>
      <c r="DO59" s="54"/>
      <c r="DP59" s="55"/>
      <c r="DQ59" s="56"/>
      <c r="DR59" s="54"/>
      <c r="DS59" s="55"/>
      <c r="DT59" s="56"/>
      <c r="DU59" s="54"/>
      <c r="DV59" s="55"/>
      <c r="DW59" s="56"/>
      <c r="DX59" s="54"/>
      <c r="DY59" s="55"/>
      <c r="DZ59" s="56"/>
      <c r="EA59" s="54"/>
      <c r="EB59" s="55"/>
      <c r="EC59" s="56"/>
      <c r="ED59" s="54"/>
      <c r="EE59" s="55"/>
      <c r="EF59" s="56"/>
      <c r="EG59" s="54"/>
      <c r="EH59" s="55"/>
      <c r="EI59" s="56"/>
      <c r="EJ59" s="54"/>
      <c r="EK59" s="55"/>
      <c r="EL59" s="56"/>
      <c r="EM59" s="54"/>
      <c r="EN59" s="55"/>
      <c r="EO59" s="56"/>
      <c r="EP59" s="54"/>
      <c r="EQ59" s="55"/>
      <c r="ER59" s="56"/>
      <c r="ES59" s="54"/>
      <c r="ET59" s="55"/>
      <c r="EU59" s="56"/>
      <c r="EV59" s="54"/>
      <c r="EW59" s="55"/>
      <c r="EX59" s="56"/>
      <c r="EY59" s="54"/>
      <c r="EZ59" s="55"/>
      <c r="FA59" s="56"/>
      <c r="FB59" s="54"/>
      <c r="FC59" s="55"/>
      <c r="FD59" s="56"/>
      <c r="FE59" s="54"/>
      <c r="FF59" s="55"/>
      <c r="FG59" s="56"/>
      <c r="FH59" s="54"/>
      <c r="FI59" s="55"/>
      <c r="FJ59" s="56"/>
      <c r="FK59" s="54"/>
      <c r="FL59" s="55"/>
      <c r="FM59" s="56"/>
      <c r="FN59" s="54"/>
      <c r="FO59" s="55"/>
      <c r="FP59" s="56"/>
      <c r="FQ59" s="54"/>
      <c r="FR59" s="55"/>
      <c r="FS59" s="56"/>
      <c r="FT59" s="54"/>
      <c r="FU59" s="55"/>
      <c r="FV59" s="56"/>
      <c r="FW59" s="54"/>
      <c r="FX59" s="55"/>
      <c r="FY59" s="56"/>
      <c r="FZ59" s="54"/>
      <c r="GA59" s="55"/>
      <c r="GB59" s="56"/>
      <c r="GC59" s="54"/>
      <c r="GD59" s="55"/>
      <c r="GE59" s="56"/>
      <c r="GF59" s="54"/>
      <c r="GG59" s="55"/>
      <c r="GH59" s="56"/>
      <c r="GI59" s="54"/>
      <c r="GJ59" s="55"/>
      <c r="GK59" s="56"/>
    </row>
    <row r="60" spans="1:193" s="431" customFormat="1" ht="22.5" customHeight="1" thickTop="1" thickBot="1">
      <c r="A60" s="433"/>
      <c r="B60" s="434">
        <f t="shared" ref="B60:AG60" si="78">SUM(B46:B59)</f>
        <v>0</v>
      </c>
      <c r="C60" s="435">
        <f t="shared" si="78"/>
        <v>590</v>
      </c>
      <c r="D60" s="436">
        <f t="shared" si="78"/>
        <v>0</v>
      </c>
      <c r="E60" s="437">
        <f t="shared" si="78"/>
        <v>0</v>
      </c>
      <c r="F60" s="435">
        <f t="shared" si="78"/>
        <v>0</v>
      </c>
      <c r="G60" s="436">
        <f t="shared" si="78"/>
        <v>0</v>
      </c>
      <c r="H60" s="437">
        <f t="shared" si="78"/>
        <v>0</v>
      </c>
      <c r="I60" s="435">
        <f t="shared" si="78"/>
        <v>0</v>
      </c>
      <c r="J60" s="436">
        <f t="shared" si="78"/>
        <v>0</v>
      </c>
      <c r="K60" s="437">
        <f t="shared" si="78"/>
        <v>34440</v>
      </c>
      <c r="L60" s="435">
        <f t="shared" si="78"/>
        <v>0</v>
      </c>
      <c r="M60" s="436">
        <f t="shared" si="78"/>
        <v>0</v>
      </c>
      <c r="N60" s="437">
        <f t="shared" si="78"/>
        <v>0</v>
      </c>
      <c r="O60" s="435">
        <f t="shared" si="78"/>
        <v>0</v>
      </c>
      <c r="P60" s="436">
        <f t="shared" si="78"/>
        <v>0</v>
      </c>
      <c r="Q60" s="437">
        <f t="shared" si="78"/>
        <v>0</v>
      </c>
      <c r="R60" s="435">
        <f t="shared" si="78"/>
        <v>0</v>
      </c>
      <c r="S60" s="436">
        <f t="shared" si="78"/>
        <v>0</v>
      </c>
      <c r="T60" s="437">
        <f t="shared" si="78"/>
        <v>0</v>
      </c>
      <c r="U60" s="435">
        <f t="shared" si="78"/>
        <v>0</v>
      </c>
      <c r="V60" s="436">
        <f t="shared" si="78"/>
        <v>0</v>
      </c>
      <c r="W60" s="437">
        <f t="shared" si="78"/>
        <v>0</v>
      </c>
      <c r="X60" s="435">
        <f t="shared" si="78"/>
        <v>0</v>
      </c>
      <c r="Y60" s="436">
        <f t="shared" si="78"/>
        <v>0</v>
      </c>
      <c r="Z60" s="437">
        <f t="shared" si="78"/>
        <v>0</v>
      </c>
      <c r="AA60" s="435">
        <f t="shared" si="78"/>
        <v>0</v>
      </c>
      <c r="AB60" s="436">
        <f t="shared" si="78"/>
        <v>0</v>
      </c>
      <c r="AC60" s="437">
        <f t="shared" si="78"/>
        <v>0</v>
      </c>
      <c r="AD60" s="435">
        <f t="shared" si="78"/>
        <v>0</v>
      </c>
      <c r="AE60" s="436">
        <f t="shared" si="78"/>
        <v>0</v>
      </c>
      <c r="AF60" s="437">
        <f t="shared" si="78"/>
        <v>0</v>
      </c>
      <c r="AG60" s="435">
        <f t="shared" si="78"/>
        <v>0</v>
      </c>
      <c r="AH60" s="436">
        <f t="shared" ref="AH60:BM60" si="79">SUM(AH46:AH59)</f>
        <v>0</v>
      </c>
      <c r="AI60" s="437">
        <f t="shared" si="79"/>
        <v>0</v>
      </c>
      <c r="AJ60" s="435">
        <f t="shared" si="79"/>
        <v>0</v>
      </c>
      <c r="AK60" s="436">
        <f t="shared" si="79"/>
        <v>0</v>
      </c>
      <c r="AL60" s="437">
        <f t="shared" si="79"/>
        <v>0</v>
      </c>
      <c r="AM60" s="435">
        <f t="shared" si="79"/>
        <v>0</v>
      </c>
      <c r="AN60" s="436">
        <f t="shared" si="79"/>
        <v>0</v>
      </c>
      <c r="AO60" s="437">
        <f t="shared" si="79"/>
        <v>0</v>
      </c>
      <c r="AP60" s="435">
        <f t="shared" si="79"/>
        <v>0</v>
      </c>
      <c r="AQ60" s="436">
        <f t="shared" si="79"/>
        <v>0</v>
      </c>
      <c r="AR60" s="437">
        <f t="shared" si="79"/>
        <v>0</v>
      </c>
      <c r="AS60" s="435">
        <f t="shared" si="79"/>
        <v>0</v>
      </c>
      <c r="AT60" s="436">
        <f t="shared" si="79"/>
        <v>0</v>
      </c>
      <c r="AU60" s="437">
        <f t="shared" si="79"/>
        <v>0</v>
      </c>
      <c r="AV60" s="435">
        <f t="shared" si="79"/>
        <v>0</v>
      </c>
      <c r="AW60" s="436">
        <f t="shared" si="79"/>
        <v>0</v>
      </c>
      <c r="AX60" s="437">
        <f t="shared" si="79"/>
        <v>0</v>
      </c>
      <c r="AY60" s="435">
        <f t="shared" si="79"/>
        <v>0</v>
      </c>
      <c r="AZ60" s="436">
        <f t="shared" si="79"/>
        <v>0</v>
      </c>
      <c r="BA60" s="437">
        <f t="shared" si="79"/>
        <v>0</v>
      </c>
      <c r="BB60" s="435">
        <f t="shared" si="79"/>
        <v>0</v>
      </c>
      <c r="BC60" s="436">
        <f t="shared" si="79"/>
        <v>0</v>
      </c>
      <c r="BD60" s="437">
        <f t="shared" si="79"/>
        <v>0</v>
      </c>
      <c r="BE60" s="435">
        <f t="shared" si="79"/>
        <v>0</v>
      </c>
      <c r="BF60" s="436">
        <f t="shared" si="79"/>
        <v>0</v>
      </c>
      <c r="BG60" s="437">
        <f t="shared" si="79"/>
        <v>0</v>
      </c>
      <c r="BH60" s="435">
        <f t="shared" si="79"/>
        <v>0</v>
      </c>
      <c r="BI60" s="436">
        <f t="shared" si="79"/>
        <v>0</v>
      </c>
      <c r="BJ60" s="437">
        <f t="shared" si="79"/>
        <v>0</v>
      </c>
      <c r="BK60" s="435">
        <f t="shared" si="79"/>
        <v>0</v>
      </c>
      <c r="BL60" s="436">
        <f t="shared" si="79"/>
        <v>0</v>
      </c>
      <c r="BM60" s="438">
        <f t="shared" si="79"/>
        <v>0</v>
      </c>
      <c r="BN60" s="439">
        <f t="shared" ref="BN60:BX60" si="80">SUM(BN46:BN59)</f>
        <v>0</v>
      </c>
      <c r="BO60" s="440">
        <f t="shared" si="80"/>
        <v>0</v>
      </c>
      <c r="BP60" s="438">
        <f t="shared" si="80"/>
        <v>0</v>
      </c>
      <c r="BQ60" s="439">
        <f t="shared" si="80"/>
        <v>0</v>
      </c>
      <c r="BR60" s="440">
        <f t="shared" si="80"/>
        <v>0</v>
      </c>
      <c r="BS60" s="438">
        <f>SUM(BS46:BS59)</f>
        <v>0</v>
      </c>
      <c r="BT60" s="439">
        <f t="shared" si="80"/>
        <v>0</v>
      </c>
      <c r="BU60" s="440">
        <f t="shared" si="80"/>
        <v>0</v>
      </c>
      <c r="BV60" s="438">
        <f t="shared" si="80"/>
        <v>0</v>
      </c>
      <c r="BW60" s="439">
        <f t="shared" si="80"/>
        <v>0</v>
      </c>
      <c r="BX60" s="440">
        <f t="shared" si="80"/>
        <v>0</v>
      </c>
      <c r="BY60" s="438">
        <f t="shared" ref="BY60:CV60" si="81">SUM(BY46:BY59)</f>
        <v>0</v>
      </c>
      <c r="BZ60" s="439">
        <f t="shared" si="81"/>
        <v>0</v>
      </c>
      <c r="CA60" s="440">
        <f t="shared" si="81"/>
        <v>0</v>
      </c>
      <c r="CB60" s="438">
        <f t="shared" si="81"/>
        <v>0</v>
      </c>
      <c r="CC60" s="439">
        <f t="shared" si="81"/>
        <v>0</v>
      </c>
      <c r="CD60" s="440">
        <f t="shared" si="81"/>
        <v>0</v>
      </c>
      <c r="CE60" s="438">
        <f t="shared" si="81"/>
        <v>0</v>
      </c>
      <c r="CF60" s="439">
        <f t="shared" si="81"/>
        <v>0</v>
      </c>
      <c r="CG60" s="440">
        <f t="shared" si="81"/>
        <v>0</v>
      </c>
      <c r="CH60" s="438">
        <f t="shared" si="81"/>
        <v>0</v>
      </c>
      <c r="CI60" s="439">
        <f t="shared" si="81"/>
        <v>0</v>
      </c>
      <c r="CJ60" s="440">
        <f t="shared" si="81"/>
        <v>0</v>
      </c>
      <c r="CK60" s="438">
        <f t="shared" si="81"/>
        <v>0</v>
      </c>
      <c r="CL60" s="439">
        <f t="shared" si="81"/>
        <v>0</v>
      </c>
      <c r="CM60" s="440">
        <f t="shared" si="81"/>
        <v>0</v>
      </c>
      <c r="CN60" s="438">
        <f t="shared" si="81"/>
        <v>0</v>
      </c>
      <c r="CO60" s="439">
        <f t="shared" si="81"/>
        <v>0</v>
      </c>
      <c r="CP60" s="440">
        <f t="shared" si="81"/>
        <v>0</v>
      </c>
      <c r="CQ60" s="438">
        <f t="shared" si="81"/>
        <v>0</v>
      </c>
      <c r="CR60" s="439">
        <f t="shared" si="81"/>
        <v>0</v>
      </c>
      <c r="CS60" s="440">
        <f t="shared" si="81"/>
        <v>0</v>
      </c>
      <c r="CT60" s="438">
        <f t="shared" si="81"/>
        <v>0</v>
      </c>
      <c r="CU60" s="439">
        <f t="shared" si="81"/>
        <v>0</v>
      </c>
      <c r="CV60" s="440">
        <f t="shared" si="81"/>
        <v>0</v>
      </c>
      <c r="CW60" s="438">
        <f t="shared" ref="CW60:DB60" si="82">SUM(CW46:CW59)</f>
        <v>0</v>
      </c>
      <c r="CX60" s="439">
        <f t="shared" si="82"/>
        <v>0</v>
      </c>
      <c r="CY60" s="440">
        <f t="shared" si="82"/>
        <v>0</v>
      </c>
      <c r="CZ60" s="438">
        <f t="shared" si="82"/>
        <v>0</v>
      </c>
      <c r="DA60" s="439">
        <f t="shared" si="82"/>
        <v>0</v>
      </c>
      <c r="DB60" s="440">
        <f t="shared" si="82"/>
        <v>0</v>
      </c>
      <c r="DC60" s="438">
        <f t="shared" ref="DC60:DN60" si="83">SUM(DC46:DC59)</f>
        <v>0</v>
      </c>
      <c r="DD60" s="439">
        <f t="shared" si="83"/>
        <v>0</v>
      </c>
      <c r="DE60" s="440">
        <f t="shared" si="83"/>
        <v>0</v>
      </c>
      <c r="DF60" s="438">
        <f t="shared" ref="DF60:DK60" si="84">SUM(DF46:DF59)</f>
        <v>0</v>
      </c>
      <c r="DG60" s="439">
        <f t="shared" si="84"/>
        <v>0</v>
      </c>
      <c r="DH60" s="440">
        <f t="shared" si="84"/>
        <v>0</v>
      </c>
      <c r="DI60" s="438">
        <f t="shared" si="84"/>
        <v>0</v>
      </c>
      <c r="DJ60" s="439">
        <f t="shared" si="84"/>
        <v>0</v>
      </c>
      <c r="DK60" s="440">
        <f t="shared" si="84"/>
        <v>0</v>
      </c>
      <c r="DL60" s="438">
        <f t="shared" si="83"/>
        <v>0</v>
      </c>
      <c r="DM60" s="439">
        <f t="shared" si="83"/>
        <v>0</v>
      </c>
      <c r="DN60" s="440">
        <f t="shared" si="83"/>
        <v>0</v>
      </c>
      <c r="DO60" s="438">
        <f>SUM(DO46:DO59)</f>
        <v>0</v>
      </c>
      <c r="DP60" s="439">
        <f>SUM(DP46:DP59)</f>
        <v>0</v>
      </c>
      <c r="DQ60" s="440">
        <f>SUM(DQ46:DQ59)</f>
        <v>0</v>
      </c>
      <c r="DR60" s="438">
        <f t="shared" ref="DR60:DW60" si="85">SUM(DR46:DR59)</f>
        <v>0</v>
      </c>
      <c r="DS60" s="439">
        <f t="shared" si="85"/>
        <v>0</v>
      </c>
      <c r="DT60" s="440">
        <f t="shared" si="85"/>
        <v>0</v>
      </c>
      <c r="DU60" s="438">
        <f t="shared" si="85"/>
        <v>0</v>
      </c>
      <c r="DV60" s="439">
        <f t="shared" si="85"/>
        <v>0</v>
      </c>
      <c r="DW60" s="440">
        <f t="shared" si="85"/>
        <v>0</v>
      </c>
      <c r="DX60" s="438">
        <f t="shared" ref="DX60:EI60" si="86">SUM(DX46:DX59)</f>
        <v>0</v>
      </c>
      <c r="DY60" s="439">
        <f t="shared" si="86"/>
        <v>0</v>
      </c>
      <c r="DZ60" s="440">
        <f t="shared" si="86"/>
        <v>0</v>
      </c>
      <c r="EA60" s="438">
        <f t="shared" si="86"/>
        <v>0</v>
      </c>
      <c r="EB60" s="439">
        <f t="shared" si="86"/>
        <v>0</v>
      </c>
      <c r="EC60" s="440">
        <f t="shared" si="86"/>
        <v>0</v>
      </c>
      <c r="ED60" s="438">
        <f t="shared" si="86"/>
        <v>0</v>
      </c>
      <c r="EE60" s="439">
        <f t="shared" si="86"/>
        <v>0</v>
      </c>
      <c r="EF60" s="440">
        <f t="shared" si="86"/>
        <v>0</v>
      </c>
      <c r="EG60" s="438">
        <f t="shared" si="86"/>
        <v>0</v>
      </c>
      <c r="EH60" s="439">
        <f t="shared" si="86"/>
        <v>0</v>
      </c>
      <c r="EI60" s="440">
        <f t="shared" si="86"/>
        <v>0</v>
      </c>
      <c r="EJ60" s="438">
        <f t="shared" ref="EJ60:FG60" si="87">SUM(EJ46:EJ59)</f>
        <v>0</v>
      </c>
      <c r="EK60" s="439">
        <f t="shared" si="87"/>
        <v>0</v>
      </c>
      <c r="EL60" s="440">
        <f t="shared" si="87"/>
        <v>0</v>
      </c>
      <c r="EM60" s="438">
        <f t="shared" si="87"/>
        <v>0</v>
      </c>
      <c r="EN60" s="439">
        <f t="shared" si="87"/>
        <v>0</v>
      </c>
      <c r="EO60" s="440">
        <f t="shared" si="87"/>
        <v>0</v>
      </c>
      <c r="EP60" s="438">
        <f t="shared" si="87"/>
        <v>0</v>
      </c>
      <c r="EQ60" s="439">
        <f t="shared" si="87"/>
        <v>0</v>
      </c>
      <c r="ER60" s="440">
        <f t="shared" si="87"/>
        <v>0</v>
      </c>
      <c r="ES60" s="438">
        <f t="shared" si="87"/>
        <v>0</v>
      </c>
      <c r="ET60" s="439">
        <f t="shared" si="87"/>
        <v>0</v>
      </c>
      <c r="EU60" s="440">
        <f t="shared" si="87"/>
        <v>0</v>
      </c>
      <c r="EV60" s="438">
        <f t="shared" si="87"/>
        <v>0</v>
      </c>
      <c r="EW60" s="439">
        <f t="shared" si="87"/>
        <v>0</v>
      </c>
      <c r="EX60" s="440">
        <f t="shared" si="87"/>
        <v>0</v>
      </c>
      <c r="EY60" s="438">
        <f t="shared" si="87"/>
        <v>0</v>
      </c>
      <c r="EZ60" s="439">
        <f t="shared" si="87"/>
        <v>0</v>
      </c>
      <c r="FA60" s="440">
        <f t="shared" si="87"/>
        <v>0</v>
      </c>
      <c r="FB60" s="438">
        <f t="shared" si="87"/>
        <v>0</v>
      </c>
      <c r="FC60" s="439">
        <f t="shared" si="87"/>
        <v>0</v>
      </c>
      <c r="FD60" s="440">
        <f t="shared" si="87"/>
        <v>0</v>
      </c>
      <c r="FE60" s="438">
        <f t="shared" si="87"/>
        <v>0</v>
      </c>
      <c r="FF60" s="439">
        <f t="shared" si="87"/>
        <v>0</v>
      </c>
      <c r="FG60" s="440">
        <f t="shared" si="87"/>
        <v>0</v>
      </c>
      <c r="FH60" s="438">
        <f t="shared" ref="FH60:FS60" si="88">SUM(FH46:FH59)</f>
        <v>0</v>
      </c>
      <c r="FI60" s="439">
        <f t="shared" si="88"/>
        <v>0</v>
      </c>
      <c r="FJ60" s="440">
        <f t="shared" si="88"/>
        <v>0</v>
      </c>
      <c r="FK60" s="438">
        <f t="shared" si="88"/>
        <v>0</v>
      </c>
      <c r="FL60" s="439">
        <f t="shared" si="88"/>
        <v>0</v>
      </c>
      <c r="FM60" s="440">
        <f t="shared" si="88"/>
        <v>0</v>
      </c>
      <c r="FN60" s="438">
        <f t="shared" si="88"/>
        <v>0</v>
      </c>
      <c r="FO60" s="439">
        <f t="shared" si="88"/>
        <v>0</v>
      </c>
      <c r="FP60" s="440">
        <f t="shared" si="88"/>
        <v>0</v>
      </c>
      <c r="FQ60" s="438">
        <f t="shared" si="88"/>
        <v>0</v>
      </c>
      <c r="FR60" s="439">
        <f t="shared" si="88"/>
        <v>0</v>
      </c>
      <c r="FS60" s="440">
        <f t="shared" si="88"/>
        <v>0</v>
      </c>
      <c r="FT60" s="438">
        <f>SUM(FT46:FT59)</f>
        <v>0</v>
      </c>
      <c r="FU60" s="439">
        <f>SUM(FU46:FU59)</f>
        <v>0</v>
      </c>
      <c r="FV60" s="440">
        <f>SUM(FV46:FV59)</f>
        <v>0</v>
      </c>
      <c r="FW60" s="438">
        <f t="shared" ref="FW60:GK60" si="89">SUM(FW46:FW59)</f>
        <v>0</v>
      </c>
      <c r="FX60" s="439">
        <f t="shared" si="89"/>
        <v>0</v>
      </c>
      <c r="FY60" s="440">
        <f t="shared" si="89"/>
        <v>0</v>
      </c>
      <c r="FZ60" s="438">
        <f t="shared" si="89"/>
        <v>0</v>
      </c>
      <c r="GA60" s="439">
        <f t="shared" si="89"/>
        <v>0</v>
      </c>
      <c r="GB60" s="440">
        <f t="shared" si="89"/>
        <v>0</v>
      </c>
      <c r="GC60" s="438">
        <f t="shared" si="89"/>
        <v>0</v>
      </c>
      <c r="GD60" s="439">
        <f t="shared" si="89"/>
        <v>0</v>
      </c>
      <c r="GE60" s="440">
        <f t="shared" si="89"/>
        <v>0</v>
      </c>
      <c r="GF60" s="438">
        <f t="shared" si="89"/>
        <v>0</v>
      </c>
      <c r="GG60" s="439">
        <f t="shared" si="89"/>
        <v>0</v>
      </c>
      <c r="GH60" s="440">
        <f t="shared" si="89"/>
        <v>0</v>
      </c>
      <c r="GI60" s="438">
        <f t="shared" si="89"/>
        <v>0</v>
      </c>
      <c r="GJ60" s="439">
        <f t="shared" si="89"/>
        <v>0</v>
      </c>
      <c r="GK60" s="440">
        <f t="shared" si="89"/>
        <v>0</v>
      </c>
    </row>
    <row r="61" spans="1:193" s="5" customFormat="1" ht="26.25" customHeight="1" thickTop="1" thickBot="1">
      <c r="A61" s="414"/>
      <c r="B61" s="1600">
        <f>SUM(B60:D60)</f>
        <v>590</v>
      </c>
      <c r="C61" s="1600"/>
      <c r="D61" s="1601"/>
      <c r="E61" s="1599">
        <f>SUM(E60:G60)</f>
        <v>0</v>
      </c>
      <c r="F61" s="1600"/>
      <c r="G61" s="1601"/>
      <c r="H61" s="1599">
        <f>SUM(H60:J60)</f>
        <v>0</v>
      </c>
      <c r="I61" s="1600"/>
      <c r="J61" s="1601"/>
      <c r="K61" s="1599">
        <f>SUM(K60:M60)</f>
        <v>34440</v>
      </c>
      <c r="L61" s="1600"/>
      <c r="M61" s="1601"/>
      <c r="N61" s="1599">
        <f>SUM(N60:P60)</f>
        <v>0</v>
      </c>
      <c r="O61" s="1600"/>
      <c r="P61" s="1601"/>
      <c r="Q61" s="1599">
        <f>SUM(Q60:S60)</f>
        <v>0</v>
      </c>
      <c r="R61" s="1600"/>
      <c r="S61" s="1601"/>
      <c r="T61" s="1599">
        <f>SUM(T60:V60)</f>
        <v>0</v>
      </c>
      <c r="U61" s="1600"/>
      <c r="V61" s="1601"/>
      <c r="W61" s="1599">
        <f>SUM(W60:Y60)</f>
        <v>0</v>
      </c>
      <c r="X61" s="1600"/>
      <c r="Y61" s="1601"/>
      <c r="Z61" s="1599">
        <f>SUM(Z60:AB60)</f>
        <v>0</v>
      </c>
      <c r="AA61" s="1600"/>
      <c r="AB61" s="1601"/>
      <c r="AC61" s="1599">
        <f>SUM(AC60:AE60)</f>
        <v>0</v>
      </c>
      <c r="AD61" s="1600"/>
      <c r="AE61" s="1601"/>
      <c r="AF61" s="1599">
        <f>SUM(AF60:AH60)</f>
        <v>0</v>
      </c>
      <c r="AG61" s="1600"/>
      <c r="AH61" s="1601"/>
      <c r="AI61" s="1599">
        <f>SUM(AI60:AK60)</f>
        <v>0</v>
      </c>
      <c r="AJ61" s="1600"/>
      <c r="AK61" s="1601"/>
      <c r="AL61" s="1599">
        <f>SUM(AL60:AN60)</f>
        <v>0</v>
      </c>
      <c r="AM61" s="1600"/>
      <c r="AN61" s="1601"/>
      <c r="AO61" s="1599">
        <f>SUM(AO60:AQ60)</f>
        <v>0</v>
      </c>
      <c r="AP61" s="1600"/>
      <c r="AQ61" s="1601"/>
      <c r="AR61" s="1599">
        <f>SUM(AR60:AT60)</f>
        <v>0</v>
      </c>
      <c r="AS61" s="1600"/>
      <c r="AT61" s="1601"/>
      <c r="AU61" s="1599">
        <f>SUM(AU60:AW60)</f>
        <v>0</v>
      </c>
      <c r="AV61" s="1600"/>
      <c r="AW61" s="1601"/>
      <c r="AX61" s="1599">
        <f>SUM(AX60:AZ60)</f>
        <v>0</v>
      </c>
      <c r="AY61" s="1600"/>
      <c r="AZ61" s="1601"/>
      <c r="BA61" s="1599">
        <f>SUM(BA60:BC60)</f>
        <v>0</v>
      </c>
      <c r="BB61" s="1600"/>
      <c r="BC61" s="1601"/>
      <c r="BD61" s="1599">
        <f>SUM(BD60:BF60)</f>
        <v>0</v>
      </c>
      <c r="BE61" s="1600"/>
      <c r="BF61" s="1601"/>
      <c r="BG61" s="1599">
        <f>SUM(BG60:BI60)</f>
        <v>0</v>
      </c>
      <c r="BH61" s="1600"/>
      <c r="BI61" s="1601"/>
      <c r="BJ61" s="1599">
        <f>SUM(BJ60:BL60)</f>
        <v>0</v>
      </c>
      <c r="BK61" s="1600"/>
      <c r="BL61" s="1601"/>
      <c r="BM61" s="1589">
        <f>SUM(BM60:BO60)</f>
        <v>0</v>
      </c>
      <c r="BN61" s="1590"/>
      <c r="BO61" s="1591"/>
      <c r="BP61" s="1589">
        <f>SUM(BP60:BR60)</f>
        <v>0</v>
      </c>
      <c r="BQ61" s="1590"/>
      <c r="BR61" s="1591"/>
      <c r="BS61" s="1589">
        <f>SUM(BS60:BU60)</f>
        <v>0</v>
      </c>
      <c r="BT61" s="1590"/>
      <c r="BU61" s="1591"/>
      <c r="BV61" s="1589">
        <f>SUM(BV60:BX60)</f>
        <v>0</v>
      </c>
      <c r="BW61" s="1590"/>
      <c r="BX61" s="1591"/>
      <c r="BY61" s="1589">
        <f>SUM(BY60:CA60)</f>
        <v>0</v>
      </c>
      <c r="BZ61" s="1590"/>
      <c r="CA61" s="1591"/>
      <c r="CB61" s="1589">
        <f>SUM(CB60:CD60)</f>
        <v>0</v>
      </c>
      <c r="CC61" s="1590"/>
      <c r="CD61" s="1591"/>
      <c r="CE61" s="1589">
        <f>SUM(CE60:CG60)</f>
        <v>0</v>
      </c>
      <c r="CF61" s="1590"/>
      <c r="CG61" s="1591"/>
      <c r="CH61" s="1589">
        <f>SUM(CH60:CJ60)</f>
        <v>0</v>
      </c>
      <c r="CI61" s="1590"/>
      <c r="CJ61" s="1591"/>
      <c r="CK61" s="1589">
        <f>SUM(CK60:CM60)</f>
        <v>0</v>
      </c>
      <c r="CL61" s="1590"/>
      <c r="CM61" s="1591"/>
      <c r="CN61" s="1589">
        <f>SUM(CN60:CP60)</f>
        <v>0</v>
      </c>
      <c r="CO61" s="1590"/>
      <c r="CP61" s="1591"/>
      <c r="CQ61" s="1589">
        <f>SUM(CQ60:CS60)</f>
        <v>0</v>
      </c>
      <c r="CR61" s="1590"/>
      <c r="CS61" s="1591"/>
      <c r="CT61" s="1589">
        <f>SUM(CT60:CV60)</f>
        <v>0</v>
      </c>
      <c r="CU61" s="1590"/>
      <c r="CV61" s="1591"/>
      <c r="CW61" s="1589">
        <f>SUM(CW60:CY60)</f>
        <v>0</v>
      </c>
      <c r="CX61" s="1590"/>
      <c r="CY61" s="1591"/>
      <c r="CZ61" s="1589">
        <f>SUM(CZ60:DB60)</f>
        <v>0</v>
      </c>
      <c r="DA61" s="1590"/>
      <c r="DB61" s="1591"/>
      <c r="DC61" s="1589">
        <f>SUM(DC60:DE60)</f>
        <v>0</v>
      </c>
      <c r="DD61" s="1590"/>
      <c r="DE61" s="1591"/>
      <c r="DF61" s="1589">
        <f>SUM(DF60:DH60)</f>
        <v>0</v>
      </c>
      <c r="DG61" s="1590"/>
      <c r="DH61" s="1591"/>
      <c r="DI61" s="1589">
        <f>SUM(DI60:DK60)</f>
        <v>0</v>
      </c>
      <c r="DJ61" s="1590"/>
      <c r="DK61" s="1591"/>
      <c r="DL61" s="1589">
        <f>SUM(DL60:DN60)</f>
        <v>0</v>
      </c>
      <c r="DM61" s="1590"/>
      <c r="DN61" s="1591"/>
      <c r="DO61" s="1589">
        <f>SUM(DO60:DQ60)</f>
        <v>0</v>
      </c>
      <c r="DP61" s="1590"/>
      <c r="DQ61" s="1591"/>
      <c r="DR61" s="1589">
        <f>SUM(DR60:DT60)</f>
        <v>0</v>
      </c>
      <c r="DS61" s="1590"/>
      <c r="DT61" s="1591"/>
      <c r="DU61" s="1589">
        <f>SUM(DU60:DW60)</f>
        <v>0</v>
      </c>
      <c r="DV61" s="1590"/>
      <c r="DW61" s="1591"/>
      <c r="DX61" s="1589">
        <f>SUM(DX60:DZ60)</f>
        <v>0</v>
      </c>
      <c r="DY61" s="1590"/>
      <c r="DZ61" s="1591"/>
      <c r="EA61" s="1589">
        <f>SUM(EA60:EC60)</f>
        <v>0</v>
      </c>
      <c r="EB61" s="1590"/>
      <c r="EC61" s="1591"/>
      <c r="ED61" s="1589">
        <f>SUM(ED60:EF60)</f>
        <v>0</v>
      </c>
      <c r="EE61" s="1590"/>
      <c r="EF61" s="1591"/>
      <c r="EG61" s="1589">
        <f>SUM(EG60:EI60)</f>
        <v>0</v>
      </c>
      <c r="EH61" s="1590"/>
      <c r="EI61" s="1591"/>
      <c r="EJ61" s="1589">
        <f>SUM(EJ60:EL60)</f>
        <v>0</v>
      </c>
      <c r="EK61" s="1590"/>
      <c r="EL61" s="1591"/>
      <c r="EM61" s="1589">
        <f>SUM(EM60:EO60)</f>
        <v>0</v>
      </c>
      <c r="EN61" s="1590"/>
      <c r="EO61" s="1591"/>
      <c r="EP61" s="1589">
        <f>SUM(EP60:ER60)</f>
        <v>0</v>
      </c>
      <c r="EQ61" s="1590"/>
      <c r="ER61" s="1591"/>
      <c r="ES61" s="1589">
        <f>SUM(ES60:EU60)</f>
        <v>0</v>
      </c>
      <c r="ET61" s="1590"/>
      <c r="EU61" s="1591"/>
      <c r="EV61" s="1589">
        <f>SUM(EV60:EX60)</f>
        <v>0</v>
      </c>
      <c r="EW61" s="1590"/>
      <c r="EX61" s="1591"/>
      <c r="EY61" s="1589">
        <f>SUM(EY60:FA60)</f>
        <v>0</v>
      </c>
      <c r="EZ61" s="1590"/>
      <c r="FA61" s="1591"/>
      <c r="FB61" s="1589">
        <f>SUM(FB60:FD60)</f>
        <v>0</v>
      </c>
      <c r="FC61" s="1590"/>
      <c r="FD61" s="1591"/>
      <c r="FE61" s="1589">
        <f>SUM(FE60:FG60)</f>
        <v>0</v>
      </c>
      <c r="FF61" s="1590"/>
      <c r="FG61" s="1591"/>
      <c r="FH61" s="1589">
        <f>SUM(FH60:FJ60)</f>
        <v>0</v>
      </c>
      <c r="FI61" s="1590"/>
      <c r="FJ61" s="1591"/>
      <c r="FK61" s="1589">
        <f>SUM(FK60:FM60)</f>
        <v>0</v>
      </c>
      <c r="FL61" s="1590"/>
      <c r="FM61" s="1591"/>
      <c r="FN61" s="1589">
        <f>SUM(FN60:FP60)</f>
        <v>0</v>
      </c>
      <c r="FO61" s="1590"/>
      <c r="FP61" s="1591"/>
      <c r="FQ61" s="1589">
        <f>SUM(FQ60:FS60)</f>
        <v>0</v>
      </c>
      <c r="FR61" s="1590"/>
      <c r="FS61" s="1591"/>
      <c r="FT61" s="1589">
        <f>SUM(FT60:FV60)</f>
        <v>0</v>
      </c>
      <c r="FU61" s="1590"/>
      <c r="FV61" s="1591"/>
      <c r="FW61" s="1589">
        <f>SUM(FW60:FY60)</f>
        <v>0</v>
      </c>
      <c r="FX61" s="1590"/>
      <c r="FY61" s="1591"/>
      <c r="FZ61" s="1589">
        <f>SUM(FZ60:GB60)</f>
        <v>0</v>
      </c>
      <c r="GA61" s="1590"/>
      <c r="GB61" s="1591"/>
      <c r="GC61" s="1589">
        <f>SUM(GC60:GE60)</f>
        <v>0</v>
      </c>
      <c r="GD61" s="1590"/>
      <c r="GE61" s="1591"/>
      <c r="GF61" s="1589">
        <f>SUM(GF60:GH60)</f>
        <v>0</v>
      </c>
      <c r="GG61" s="1590"/>
      <c r="GH61" s="1591"/>
      <c r="GI61" s="1589">
        <f>SUM(GI60:GK60)</f>
        <v>0</v>
      </c>
      <c r="GJ61" s="1590"/>
      <c r="GK61" s="1591"/>
    </row>
    <row r="62" spans="1:193" ht="15.75" thickTop="1">
      <c r="B62" s="1602">
        <f>SUM(B61:GK61)</f>
        <v>35030</v>
      </c>
      <c r="C62" s="1603"/>
      <c r="D62" s="1603"/>
      <c r="F62" s="37"/>
    </row>
    <row r="63" spans="1:193">
      <c r="F63" s="37"/>
    </row>
    <row r="64" spans="1:193">
      <c r="F64" s="37"/>
    </row>
    <row r="65" spans="6:6">
      <c r="F65" s="37"/>
    </row>
    <row r="66" spans="6:6">
      <c r="F66" s="37"/>
    </row>
    <row r="67" spans="6:6">
      <c r="F67" s="37"/>
    </row>
    <row r="68" spans="6:6">
      <c r="F68" s="37"/>
    </row>
    <row r="69" spans="6:6">
      <c r="F69" s="37"/>
    </row>
  </sheetData>
  <sheetProtection selectLockedCells="1"/>
  <customSheetViews>
    <customSheetView guid="{40FADD7F-233D-11D9-A2E0-00055D0D7FDA}" scale="75" showGridLines="0" printArea="1" hiddenRows="1" hiddenColumns="1" showRuler="0">
      <pane xSplit="1" ySplit="5" topLeftCell="AN15" activePane="bottomRight" state="frozen"/>
      <selection pane="bottomRight" activeCell="AX39" sqref="AX39:AZ39"/>
      <pageMargins left="0.23622047244094491" right="0" top="0.35433070866141736" bottom="0.19685039370078741" header="0.19685039370078741" footer="0.27559055118110237"/>
      <pageSetup paperSize="9" scale="50" orientation="landscape" horizontalDpi="300" verticalDpi="300" r:id="rId1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  <customSheetView guid="{40FADD80-233D-11D9-A2E0-00055D0D7FDA}" scale="75" showGridLines="0" showRuler="0">
      <pane xSplit="1" ySplit="5" topLeftCell="AN15" activePane="bottomRight" state="frozen"/>
      <selection pane="bottomRight" activeCell="AX39" sqref="AX39:AZ39"/>
    </customSheetView>
    <customSheetView guid="{B499F86B-5A3B-11D9-A2E0-00055D0D7FDA}" scale="75" showPageBreaks="1" showGridLines="0" fitToPage="1" printArea="1" hiddenRows="1" hiddenColumns="1" showRuler="0">
      <pane xSplit="1" ySplit="5" topLeftCell="B6" activePane="bottomRight" state="frozen"/>
      <selection pane="bottomRight" activeCell="H51" sqref="H51"/>
      <pageMargins left="0.23622047244094491" right="0" top="0.35433070866141736" bottom="0.19685039370078741" header="0.19685039370078741" footer="0.27559055118110237"/>
      <pageSetup paperSize="9" scale="68" orientation="landscape" blackAndWhite="1" horizontalDpi="300" verticalDpi="300" r:id="rId2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</customSheetViews>
  <mergeCells count="341">
    <mergeCell ref="GC40:GE40"/>
    <mergeCell ref="GF40:GH40"/>
    <mergeCell ref="GI40:GK40"/>
    <mergeCell ref="FW61:FY61"/>
    <mergeCell ref="FZ61:GB61"/>
    <mergeCell ref="GC61:GE61"/>
    <mergeCell ref="GF61:GH61"/>
    <mergeCell ref="GI61:GK61"/>
    <mergeCell ref="FZ41:GB41"/>
    <mergeCell ref="GC41:GE41"/>
    <mergeCell ref="GF41:GH41"/>
    <mergeCell ref="GI41:GK41"/>
    <mergeCell ref="FZ42:GB42"/>
    <mergeCell ref="GC42:GE42"/>
    <mergeCell ref="GF42:GH42"/>
    <mergeCell ref="GI42:GK42"/>
    <mergeCell ref="FW40:FY40"/>
    <mergeCell ref="FZ40:GB40"/>
    <mergeCell ref="FT2:FV2"/>
    <mergeCell ref="FK2:FM2"/>
    <mergeCell ref="FN2:FP2"/>
    <mergeCell ref="FQ2:FS2"/>
    <mergeCell ref="ES2:EU2"/>
    <mergeCell ref="EV2:EX2"/>
    <mergeCell ref="EY2:FA2"/>
    <mergeCell ref="DU61:DW61"/>
    <mergeCell ref="DL61:DN61"/>
    <mergeCell ref="EG61:EI61"/>
    <mergeCell ref="EJ61:EL61"/>
    <mergeCell ref="EY61:FA61"/>
    <mergeCell ref="FB61:FD61"/>
    <mergeCell ref="FE61:FG61"/>
    <mergeCell ref="EM61:EO61"/>
    <mergeCell ref="EP61:ER61"/>
    <mergeCell ref="EG2:EI2"/>
    <mergeCell ref="EJ2:EL2"/>
    <mergeCell ref="ED38:EF38"/>
    <mergeCell ref="EG38:EI38"/>
    <mergeCell ref="ED40:EF40"/>
    <mergeCell ref="EG40:EI40"/>
    <mergeCell ref="EJ40:EL40"/>
    <mergeCell ref="EJ38:EL38"/>
    <mergeCell ref="DC38:DE38"/>
    <mergeCell ref="DC39:DE39"/>
    <mergeCell ref="DC40:DE40"/>
    <mergeCell ref="DF39:DH39"/>
    <mergeCell ref="DF40:DH40"/>
    <mergeCell ref="EA39:EC39"/>
    <mergeCell ref="EA38:EC38"/>
    <mergeCell ref="EP39:ER39"/>
    <mergeCell ref="GC2:GE2"/>
    <mergeCell ref="DC2:DE2"/>
    <mergeCell ref="DU38:DW38"/>
    <mergeCell ref="DX38:DZ38"/>
    <mergeCell ref="DU39:DW39"/>
    <mergeCell ref="DX39:DZ39"/>
    <mergeCell ref="DR2:DT2"/>
    <mergeCell ref="DR38:DT38"/>
    <mergeCell ref="DR39:DT39"/>
    <mergeCell ref="DX40:DZ40"/>
    <mergeCell ref="DR40:DT40"/>
    <mergeCell ref="EM2:EO2"/>
    <mergeCell ref="EM39:EO39"/>
    <mergeCell ref="EM40:EO40"/>
    <mergeCell ref="ED2:EF2"/>
    <mergeCell ref="ED39:EF39"/>
    <mergeCell ref="GF2:GH2"/>
    <mergeCell ref="GI2:GK2"/>
    <mergeCell ref="FW38:FY38"/>
    <mergeCell ref="FZ38:GB38"/>
    <mergeCell ref="GC38:GE38"/>
    <mergeCell ref="GF38:GH38"/>
    <mergeCell ref="GI38:GK38"/>
    <mergeCell ref="FW39:FY39"/>
    <mergeCell ref="FZ39:GB39"/>
    <mergeCell ref="GC39:GE39"/>
    <mergeCell ref="GF39:GH39"/>
    <mergeCell ref="GI39:GK39"/>
    <mergeCell ref="FW2:FY2"/>
    <mergeCell ref="FZ2:GB2"/>
    <mergeCell ref="BM61:BO61"/>
    <mergeCell ref="BP61:BR61"/>
    <mergeCell ref="BJ40:BL40"/>
    <mergeCell ref="BM40:BO40"/>
    <mergeCell ref="BP39:BR39"/>
    <mergeCell ref="BS39:BU39"/>
    <mergeCell ref="CK40:CM40"/>
    <mergeCell ref="CH40:CJ40"/>
    <mergeCell ref="BP40:BR40"/>
    <mergeCell ref="BV40:BX40"/>
    <mergeCell ref="BV39:BX39"/>
    <mergeCell ref="BS61:BU61"/>
    <mergeCell ref="CE61:CG61"/>
    <mergeCell ref="CB40:CD40"/>
    <mergeCell ref="BS40:BU40"/>
    <mergeCell ref="CE40:CG40"/>
    <mergeCell ref="CZ61:DB61"/>
    <mergeCell ref="CW61:CY61"/>
    <mergeCell ref="CW39:CY39"/>
    <mergeCell ref="CW40:CY40"/>
    <mergeCell ref="BV61:BX61"/>
    <mergeCell ref="BY61:CA61"/>
    <mergeCell ref="CK61:CM61"/>
    <mergeCell ref="CQ61:CS61"/>
    <mergeCell ref="CT61:CV61"/>
    <mergeCell ref="CN61:CP61"/>
    <mergeCell ref="CN40:CP40"/>
    <mergeCell ref="CH61:CJ61"/>
    <mergeCell ref="CB61:CD61"/>
    <mergeCell ref="CZ39:DB39"/>
    <mergeCell ref="CZ40:DB40"/>
    <mergeCell ref="CT39:CV39"/>
    <mergeCell ref="CQ40:CS40"/>
    <mergeCell ref="CT40:CV40"/>
    <mergeCell ref="BD40:BF40"/>
    <mergeCell ref="BG40:BI40"/>
    <mergeCell ref="BD39:BF39"/>
    <mergeCell ref="AO38:AQ38"/>
    <mergeCell ref="Z40:AB40"/>
    <mergeCell ref="W40:Y40"/>
    <mergeCell ref="AX40:AZ40"/>
    <mergeCell ref="BA40:BC40"/>
    <mergeCell ref="AR40:AT40"/>
    <mergeCell ref="AU40:AW40"/>
    <mergeCell ref="BA39:BC39"/>
    <mergeCell ref="AL39:AN39"/>
    <mergeCell ref="AO39:AQ39"/>
    <mergeCell ref="AF38:AH38"/>
    <mergeCell ref="AF39:AH39"/>
    <mergeCell ref="AI38:AK38"/>
    <mergeCell ref="AI39:AK39"/>
    <mergeCell ref="AR38:AT38"/>
    <mergeCell ref="AX39:AZ39"/>
    <mergeCell ref="AO40:AQ40"/>
    <mergeCell ref="AL40:AN40"/>
    <mergeCell ref="AC39:AE39"/>
    <mergeCell ref="Z38:AB38"/>
    <mergeCell ref="Z39:AB39"/>
    <mergeCell ref="AC40:AE40"/>
    <mergeCell ref="AF40:AH40"/>
    <mergeCell ref="AI40:AK40"/>
    <mergeCell ref="B41:D41"/>
    <mergeCell ref="H41:J41"/>
    <mergeCell ref="AR39:AT39"/>
    <mergeCell ref="AU39:AW39"/>
    <mergeCell ref="BG61:BI61"/>
    <mergeCell ref="BJ61:BL61"/>
    <mergeCell ref="K61:M61"/>
    <mergeCell ref="N61:P61"/>
    <mergeCell ref="Q61:S61"/>
    <mergeCell ref="T61:V61"/>
    <mergeCell ref="W61:Y61"/>
    <mergeCell ref="Z61:AB61"/>
    <mergeCell ref="BD61:BF61"/>
    <mergeCell ref="AU61:AW61"/>
    <mergeCell ref="AX61:AZ61"/>
    <mergeCell ref="BA61:BC61"/>
    <mergeCell ref="AC61:AE61"/>
    <mergeCell ref="AF61:AH61"/>
    <mergeCell ref="AI61:AK61"/>
    <mergeCell ref="AL61:AN61"/>
    <mergeCell ref="AR61:AT61"/>
    <mergeCell ref="AO61:AQ61"/>
    <mergeCell ref="B62:D62"/>
    <mergeCell ref="Q40:S40"/>
    <mergeCell ref="N38:P38"/>
    <mergeCell ref="N39:P39"/>
    <mergeCell ref="N40:P40"/>
    <mergeCell ref="K39:M39"/>
    <mergeCell ref="H40:J40"/>
    <mergeCell ref="K40:M40"/>
    <mergeCell ref="T38:V38"/>
    <mergeCell ref="T39:V39"/>
    <mergeCell ref="H39:J39"/>
    <mergeCell ref="Q38:S38"/>
    <mergeCell ref="Q39:S39"/>
    <mergeCell ref="H38:J38"/>
    <mergeCell ref="E41:G41"/>
    <mergeCell ref="T40:V40"/>
    <mergeCell ref="B40:D40"/>
    <mergeCell ref="H42:J42"/>
    <mergeCell ref="B61:D61"/>
    <mergeCell ref="E61:G61"/>
    <mergeCell ref="H61:J61"/>
    <mergeCell ref="B42:D42"/>
    <mergeCell ref="E42:G42"/>
    <mergeCell ref="E40:G40"/>
    <mergeCell ref="Q2:S2"/>
    <mergeCell ref="B2:D2"/>
    <mergeCell ref="T2:V2"/>
    <mergeCell ref="E39:G39"/>
    <mergeCell ref="K38:M38"/>
    <mergeCell ref="W2:Y2"/>
    <mergeCell ref="E2:G2"/>
    <mergeCell ref="H2:J2"/>
    <mergeCell ref="K2:M2"/>
    <mergeCell ref="N2:P2"/>
    <mergeCell ref="B38:D38"/>
    <mergeCell ref="B39:D39"/>
    <mergeCell ref="E38:G38"/>
    <mergeCell ref="W38:Y38"/>
    <mergeCell ref="W39:Y39"/>
    <mergeCell ref="AO2:AQ2"/>
    <mergeCell ref="AL2:AN2"/>
    <mergeCell ref="BG38:BI38"/>
    <mergeCell ref="BV2:BX2"/>
    <mergeCell ref="BJ2:BL2"/>
    <mergeCell ref="BM2:BO2"/>
    <mergeCell ref="BP2:BR2"/>
    <mergeCell ref="Z2:AB2"/>
    <mergeCell ref="AC2:AE2"/>
    <mergeCell ref="AF2:AH2"/>
    <mergeCell ref="AI2:AK2"/>
    <mergeCell ref="BA2:BC2"/>
    <mergeCell ref="BD2:BF2"/>
    <mergeCell ref="AR2:AT2"/>
    <mergeCell ref="AU2:AW2"/>
    <mergeCell ref="BS2:BU2"/>
    <mergeCell ref="AC38:AE38"/>
    <mergeCell ref="BM38:BO38"/>
    <mergeCell ref="BG2:BI2"/>
    <mergeCell ref="AX2:AZ2"/>
    <mergeCell ref="BD38:BF38"/>
    <mergeCell ref="AU38:AW38"/>
    <mergeCell ref="AX38:AZ38"/>
    <mergeCell ref="BA38:BC38"/>
    <mergeCell ref="CZ38:DB38"/>
    <mergeCell ref="BY2:CA2"/>
    <mergeCell ref="BY38:CA38"/>
    <mergeCell ref="BY39:CA39"/>
    <mergeCell ref="BY40:CA40"/>
    <mergeCell ref="BG39:BI39"/>
    <mergeCell ref="BV38:BX38"/>
    <mergeCell ref="BP38:BR38"/>
    <mergeCell ref="BS38:BU38"/>
    <mergeCell ref="BJ38:BL38"/>
    <mergeCell ref="BJ39:BL39"/>
    <mergeCell ref="BM39:BO39"/>
    <mergeCell ref="DL40:DN40"/>
    <mergeCell ref="CB2:CD2"/>
    <mergeCell ref="CB38:CD38"/>
    <mergeCell ref="CB39:CD39"/>
    <mergeCell ref="CN2:CP2"/>
    <mergeCell ref="CQ2:CS2"/>
    <mergeCell ref="CQ38:CS38"/>
    <mergeCell ref="CT2:CV2"/>
    <mergeCell ref="CQ39:CS39"/>
    <mergeCell ref="CZ2:DB2"/>
    <mergeCell ref="CW2:CY2"/>
    <mergeCell ref="CH2:CJ2"/>
    <mergeCell ref="CH38:CJ38"/>
    <mergeCell ref="CH39:CJ39"/>
    <mergeCell ref="CN38:CP38"/>
    <mergeCell ref="CN39:CP39"/>
    <mergeCell ref="CK2:CM2"/>
    <mergeCell ref="CK38:CM38"/>
    <mergeCell ref="CK39:CM39"/>
    <mergeCell ref="CT38:CV38"/>
    <mergeCell ref="CE2:CG2"/>
    <mergeCell ref="CE38:CG38"/>
    <mergeCell ref="CE39:CG39"/>
    <mergeCell ref="CW38:CY38"/>
    <mergeCell ref="DC61:DE61"/>
    <mergeCell ref="EA61:EC61"/>
    <mergeCell ref="DF2:DH2"/>
    <mergeCell ref="DF61:DH61"/>
    <mergeCell ref="DI2:DK2"/>
    <mergeCell ref="DI38:DK38"/>
    <mergeCell ref="DI39:DK39"/>
    <mergeCell ref="DI40:DK40"/>
    <mergeCell ref="DF38:DH38"/>
    <mergeCell ref="DX61:DZ61"/>
    <mergeCell ref="DR61:DT61"/>
    <mergeCell ref="DU40:DW40"/>
    <mergeCell ref="DU2:DW2"/>
    <mergeCell ref="DX2:DZ2"/>
    <mergeCell ref="EA2:EC2"/>
    <mergeCell ref="DI61:DK61"/>
    <mergeCell ref="DO2:DQ2"/>
    <mergeCell ref="DO38:DQ38"/>
    <mergeCell ref="DO39:DQ39"/>
    <mergeCell ref="DO40:DQ40"/>
    <mergeCell ref="DO61:DQ61"/>
    <mergeCell ref="DL2:DN2"/>
    <mergeCell ref="DL38:DN38"/>
    <mergeCell ref="DL39:DN39"/>
    <mergeCell ref="EA40:EC40"/>
    <mergeCell ref="ED61:EF61"/>
    <mergeCell ref="EP2:ER2"/>
    <mergeCell ref="ES61:EU61"/>
    <mergeCell ref="EV61:EX61"/>
    <mergeCell ref="EM38:EO38"/>
    <mergeCell ref="FH61:FJ61"/>
    <mergeCell ref="EP40:ER40"/>
    <mergeCell ref="ES40:EU40"/>
    <mergeCell ref="ES39:EU39"/>
    <mergeCell ref="EP38:ER38"/>
    <mergeCell ref="ES38:EU38"/>
    <mergeCell ref="FE38:FG38"/>
    <mergeCell ref="FB38:FD38"/>
    <mergeCell ref="EV40:EX40"/>
    <mergeCell ref="EY40:FA40"/>
    <mergeCell ref="FB40:FD40"/>
    <mergeCell ref="FE40:FG40"/>
    <mergeCell ref="EV39:EX39"/>
    <mergeCell ref="EY39:FA39"/>
    <mergeCell ref="FB39:FD39"/>
    <mergeCell ref="FK61:FM61"/>
    <mergeCell ref="EV38:EX38"/>
    <mergeCell ref="EY38:FA38"/>
    <mergeCell ref="FH40:FJ40"/>
    <mergeCell ref="FB2:FD2"/>
    <mergeCell ref="FE2:FG2"/>
    <mergeCell ref="FH2:FJ2"/>
    <mergeCell ref="FH38:FJ38"/>
    <mergeCell ref="EG39:EI39"/>
    <mergeCell ref="EJ39:EL39"/>
    <mergeCell ref="K41:M41"/>
    <mergeCell ref="N41:P41"/>
    <mergeCell ref="K42:M42"/>
    <mergeCell ref="N42:P42"/>
    <mergeCell ref="AL38:AN38"/>
    <mergeCell ref="FT61:FV61"/>
    <mergeCell ref="FN41:FP41"/>
    <mergeCell ref="FN42:FP42"/>
    <mergeCell ref="FT38:FV38"/>
    <mergeCell ref="FK39:FM39"/>
    <mergeCell ref="FN39:FP39"/>
    <mergeCell ref="FQ39:FS39"/>
    <mergeCell ref="FT39:FV39"/>
    <mergeCell ref="FK40:FM40"/>
    <mergeCell ref="FN40:FP40"/>
    <mergeCell ref="FQ40:FS40"/>
    <mergeCell ref="FT40:FV40"/>
    <mergeCell ref="FK38:FM38"/>
    <mergeCell ref="FN38:FP38"/>
    <mergeCell ref="FQ38:FS38"/>
    <mergeCell ref="FQ61:FS61"/>
    <mergeCell ref="FN61:FP61"/>
    <mergeCell ref="FE39:FG39"/>
    <mergeCell ref="FH39:FJ39"/>
  </mergeCells>
  <phoneticPr fontId="12" type="noConversion"/>
  <conditionalFormatting sqref="GL1:GL1048576">
    <cfRule type="cellIs" dxfId="587" priority="1" stopIfTrue="1" operator="greaterThan">
      <formula>18</formula>
    </cfRule>
  </conditionalFormatting>
  <printOptions headings="1"/>
  <pageMargins left="0.23622047244094491" right="0" top="0.35433070866141736" bottom="0.19685039370078741" header="0.19685039370078741" footer="0.27559055118110237"/>
  <pageSetup paperSize="9" orientation="landscape" r:id="rId3"/>
  <headerFooter alignWithMargins="0">
    <oddFooter>&amp;L&amp;"Times New Roman,標準"&amp;8&amp;D&amp;C&amp;"Times New Roman,標準"&amp;A&amp;R&amp;"Times New Roman,標準"&amp;8&amp;F&amp;"新細明體,標準"&amp;A</oddFooter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  <pageSetUpPr fitToPage="1"/>
  </sheetPr>
  <dimension ref="A1:BR62"/>
  <sheetViews>
    <sheetView showGridLines="0" zoomScale="90" zoomScaleNormal="90" workbookViewId="0">
      <pane xSplit="1" ySplit="6" topLeftCell="B16" activePane="bottomRight" state="frozen"/>
      <selection activeCell="G1" sqref="G1"/>
      <selection pane="topRight" activeCell="G1" sqref="G1"/>
      <selection pane="bottomLeft" activeCell="G1" sqref="G1"/>
      <selection pane="bottomRight" activeCell="B26" sqref="B26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22" width="6.375" style="7" customWidth="1"/>
    <col min="23" max="46" width="6.375" style="7" hidden="1" customWidth="1"/>
    <col min="47" max="47" width="6.375" style="6" hidden="1" customWidth="1"/>
    <col min="48" max="48" width="6.375" style="7" hidden="1" customWidth="1"/>
    <col min="49" max="49" width="6.625" style="7" hidden="1" customWidth="1"/>
    <col min="50" max="58" width="6.375" style="7" hidden="1" customWidth="1"/>
    <col min="59" max="59" width="6.375" style="6" hidden="1" customWidth="1"/>
    <col min="60" max="61" width="6.375" style="7" hidden="1" customWidth="1"/>
    <col min="62" max="62" width="6.375" style="6" customWidth="1"/>
    <col min="63" max="63" width="6.375" style="4" customWidth="1"/>
    <col min="64" max="64" width="17.625" style="7" customWidth="1"/>
    <col min="65" max="65" width="11.75" style="7" customWidth="1"/>
    <col min="66" max="16384" width="6.375" style="7"/>
  </cols>
  <sheetData>
    <row r="1" spans="1:65" ht="37.15" customHeight="1">
      <c r="A1" s="486">
        <f>日報表!G184</f>
        <v>1193694.2</v>
      </c>
      <c r="B1" s="245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461"/>
      <c r="AH1" s="8"/>
      <c r="AI1" s="8"/>
      <c r="AJ1" s="461"/>
      <c r="AK1" s="8"/>
      <c r="AL1" s="8"/>
      <c r="AM1" s="461"/>
      <c r="AN1" s="8"/>
      <c r="AO1" s="8"/>
      <c r="AP1" s="461"/>
      <c r="AQ1" s="8"/>
      <c r="AR1" s="8"/>
      <c r="AS1" s="461"/>
      <c r="AT1" s="8"/>
      <c r="AU1" s="8"/>
      <c r="AV1" s="461"/>
      <c r="AW1" s="8"/>
      <c r="AX1" s="8"/>
      <c r="AY1" s="461"/>
      <c r="AZ1" s="8"/>
      <c r="BA1" s="8"/>
      <c r="BB1" s="461"/>
      <c r="BC1" s="8"/>
      <c r="BD1" s="8"/>
      <c r="BE1" s="461"/>
      <c r="BF1" s="8"/>
      <c r="BG1" s="8"/>
      <c r="BH1" s="461"/>
      <c r="BI1" s="8"/>
      <c r="BJ1" s="8"/>
      <c r="BL1" s="1350">
        <f>'實驗紗&amp;非當月生產'!P2</f>
        <v>1193694.2</v>
      </c>
    </row>
    <row r="2" spans="1:65" s="159" customFormat="1" ht="19.899999999999999" customHeight="1" thickBot="1">
      <c r="A2" s="1535">
        <f>'(示眾台)'!Q1</f>
        <v>1193694.2</v>
      </c>
      <c r="B2" s="242"/>
      <c r="C2" s="242">
        <v>71</v>
      </c>
      <c r="D2" s="242"/>
      <c r="E2" s="242"/>
      <c r="F2" s="242">
        <v>72</v>
      </c>
      <c r="G2" s="242"/>
      <c r="H2" s="242"/>
      <c r="I2" s="242">
        <v>73</v>
      </c>
      <c r="J2" s="242"/>
      <c r="K2" s="242"/>
      <c r="L2" s="242">
        <v>74</v>
      </c>
      <c r="M2" s="242"/>
      <c r="N2" s="242"/>
      <c r="O2" s="242">
        <v>75</v>
      </c>
      <c r="P2" s="242"/>
      <c r="Q2" s="242"/>
      <c r="R2" s="242">
        <v>76</v>
      </c>
      <c r="S2" s="242"/>
      <c r="T2" s="242"/>
      <c r="U2" s="242">
        <v>77</v>
      </c>
      <c r="V2" s="242"/>
      <c r="W2" s="242"/>
      <c r="X2" s="242">
        <v>78</v>
      </c>
      <c r="Y2" s="242"/>
      <c r="Z2" s="242"/>
      <c r="AA2" s="242">
        <v>79</v>
      </c>
      <c r="AB2" s="242"/>
      <c r="AC2" s="242"/>
      <c r="AD2" s="242">
        <v>80</v>
      </c>
      <c r="AE2" s="242"/>
      <c r="AF2" s="242"/>
      <c r="AG2" s="242">
        <v>81</v>
      </c>
      <c r="AH2" s="242"/>
      <c r="AI2" s="242"/>
      <c r="AJ2" s="242">
        <v>82</v>
      </c>
      <c r="AK2" s="242"/>
      <c r="AL2" s="242"/>
      <c r="AM2" s="242">
        <v>83</v>
      </c>
      <c r="AN2" s="242"/>
      <c r="AO2" s="242"/>
      <c r="AP2" s="242">
        <v>84</v>
      </c>
      <c r="AQ2" s="242"/>
      <c r="AR2" s="242"/>
      <c r="AS2" s="242">
        <v>85</v>
      </c>
      <c r="AT2" s="242"/>
      <c r="AU2" s="242"/>
      <c r="AV2" s="242">
        <v>86</v>
      </c>
      <c r="AW2" s="242"/>
      <c r="AX2" s="242"/>
      <c r="AY2" s="242">
        <v>87</v>
      </c>
      <c r="AZ2" s="242"/>
      <c r="BA2" s="242"/>
      <c r="BB2" s="242">
        <v>88</v>
      </c>
      <c r="BC2" s="242"/>
      <c r="BD2" s="242"/>
      <c r="BE2" s="242">
        <v>89</v>
      </c>
      <c r="BF2" s="242"/>
      <c r="BG2" s="242"/>
      <c r="BH2" s="242">
        <v>90</v>
      </c>
      <c r="BI2" s="242"/>
      <c r="BJ2" s="449"/>
      <c r="BK2" s="66"/>
    </row>
    <row r="3" spans="1:65" s="4" customFormat="1" ht="23.25" customHeight="1" thickTop="1">
      <c r="A3" s="396" t="s">
        <v>156</v>
      </c>
      <c r="B3" s="397" t="s">
        <v>17268</v>
      </c>
      <c r="C3" s="398"/>
      <c r="D3" s="399">
        <v>282</v>
      </c>
      <c r="E3" s="397"/>
      <c r="F3" s="398"/>
      <c r="G3" s="399"/>
      <c r="H3" s="397"/>
      <c r="I3" s="398"/>
      <c r="J3" s="399"/>
      <c r="K3" s="397"/>
      <c r="L3" s="398"/>
      <c r="M3" s="399"/>
      <c r="N3" s="397"/>
      <c r="O3" s="398"/>
      <c r="P3" s="399"/>
      <c r="Q3" s="397"/>
      <c r="R3" s="398"/>
      <c r="S3" s="399"/>
      <c r="T3" s="397"/>
      <c r="U3" s="398"/>
      <c r="V3" s="399"/>
      <c r="W3" s="397"/>
      <c r="X3" s="398"/>
      <c r="Y3" s="399"/>
      <c r="Z3" s="397"/>
      <c r="AA3" s="398"/>
      <c r="AB3" s="399"/>
      <c r="AC3" s="397"/>
      <c r="AD3" s="398"/>
      <c r="AE3" s="399"/>
      <c r="AF3" s="397"/>
      <c r="AG3" s="398"/>
      <c r="AH3" s="399"/>
      <c r="AI3" s="397"/>
      <c r="AJ3" s="398"/>
      <c r="AK3" s="399"/>
      <c r="AL3" s="397"/>
      <c r="AM3" s="398"/>
      <c r="AN3" s="399"/>
      <c r="AO3" s="397"/>
      <c r="AP3" s="398"/>
      <c r="AQ3" s="399"/>
      <c r="AR3" s="397"/>
      <c r="AS3" s="398"/>
      <c r="AT3" s="399"/>
      <c r="AU3" s="397"/>
      <c r="AV3" s="398"/>
      <c r="AW3" s="399"/>
      <c r="AX3" s="397"/>
      <c r="AY3" s="398"/>
      <c r="AZ3" s="399"/>
      <c r="BA3" s="397"/>
      <c r="BB3" s="398"/>
      <c r="BC3" s="399"/>
      <c r="BD3" s="397"/>
      <c r="BE3" s="398"/>
      <c r="BF3" s="399"/>
      <c r="BG3" s="397"/>
      <c r="BH3" s="398"/>
      <c r="BI3" s="399"/>
      <c r="BJ3" s="451"/>
    </row>
    <row r="4" spans="1:65" s="4" customFormat="1" ht="21" customHeight="1" thickBot="1">
      <c r="A4" s="400" t="s">
        <v>157</v>
      </c>
      <c r="B4" s="401" t="s">
        <v>16719</v>
      </c>
      <c r="C4" s="402"/>
      <c r="D4" s="403">
        <v>600</v>
      </c>
      <c r="E4" s="401"/>
      <c r="F4" s="402"/>
      <c r="G4" s="403"/>
      <c r="H4" s="401"/>
      <c r="I4" s="402"/>
      <c r="J4" s="403"/>
      <c r="K4" s="401"/>
      <c r="L4" s="402"/>
      <c r="M4" s="403"/>
      <c r="N4" s="401"/>
      <c r="O4" s="402"/>
      <c r="P4" s="403"/>
      <c r="Q4" s="401"/>
      <c r="R4" s="402"/>
      <c r="S4" s="403"/>
      <c r="T4" s="401"/>
      <c r="U4" s="402"/>
      <c r="V4" s="403"/>
      <c r="W4" s="401"/>
      <c r="X4" s="402"/>
      <c r="Y4" s="403"/>
      <c r="Z4" s="401"/>
      <c r="AA4" s="402"/>
      <c r="AB4" s="403"/>
      <c r="AC4" s="401"/>
      <c r="AD4" s="402"/>
      <c r="AE4" s="403"/>
      <c r="AF4" s="401"/>
      <c r="AG4" s="402"/>
      <c r="AH4" s="403"/>
      <c r="AI4" s="401"/>
      <c r="AJ4" s="402"/>
      <c r="AK4" s="403"/>
      <c r="AL4" s="401"/>
      <c r="AM4" s="402"/>
      <c r="AN4" s="403"/>
      <c r="AO4" s="401"/>
      <c r="AP4" s="402"/>
      <c r="AQ4" s="403"/>
      <c r="AR4" s="401"/>
      <c r="AS4" s="402"/>
      <c r="AT4" s="403"/>
      <c r="AU4" s="401"/>
      <c r="AV4" s="402"/>
      <c r="AW4" s="403"/>
      <c r="AX4" s="401"/>
      <c r="AY4" s="402"/>
      <c r="AZ4" s="403"/>
      <c r="BA4" s="401"/>
      <c r="BB4" s="402"/>
      <c r="BC4" s="403"/>
      <c r="BD4" s="401"/>
      <c r="BE4" s="402"/>
      <c r="BF4" s="403"/>
      <c r="BG4" s="401"/>
      <c r="BH4" s="402"/>
      <c r="BI4" s="403"/>
      <c r="BJ4" s="452"/>
    </row>
    <row r="5" spans="1:65" s="651" customFormat="1" ht="17.25" thickTop="1">
      <c r="A5" s="642" t="s">
        <v>5</v>
      </c>
      <c r="B5" s="643" t="s">
        <v>3</v>
      </c>
      <c r="C5" s="646" t="s">
        <v>6</v>
      </c>
      <c r="D5" s="647" t="s">
        <v>7</v>
      </c>
      <c r="E5" s="643" t="s">
        <v>3</v>
      </c>
      <c r="F5" s="646" t="s">
        <v>6</v>
      </c>
      <c r="G5" s="647" t="s">
        <v>7</v>
      </c>
      <c r="H5" s="643" t="s">
        <v>3</v>
      </c>
      <c r="I5" s="646" t="s">
        <v>6</v>
      </c>
      <c r="J5" s="647" t="s">
        <v>7</v>
      </c>
      <c r="K5" s="643" t="s">
        <v>3</v>
      </c>
      <c r="L5" s="646" t="s">
        <v>6</v>
      </c>
      <c r="M5" s="647" t="s">
        <v>7</v>
      </c>
      <c r="N5" s="643" t="s">
        <v>3</v>
      </c>
      <c r="O5" s="646" t="s">
        <v>6</v>
      </c>
      <c r="P5" s="647" t="s">
        <v>7</v>
      </c>
      <c r="Q5" s="643" t="s">
        <v>3</v>
      </c>
      <c r="R5" s="646" t="s">
        <v>6</v>
      </c>
      <c r="S5" s="647" t="s">
        <v>7</v>
      </c>
      <c r="T5" s="643" t="s">
        <v>3</v>
      </c>
      <c r="U5" s="646" t="s">
        <v>6</v>
      </c>
      <c r="V5" s="647" t="s">
        <v>7</v>
      </c>
      <c r="W5" s="643" t="s">
        <v>3</v>
      </c>
      <c r="X5" s="646" t="s">
        <v>6</v>
      </c>
      <c r="Y5" s="647" t="s">
        <v>7</v>
      </c>
      <c r="Z5" s="643" t="s">
        <v>3</v>
      </c>
      <c r="AA5" s="646" t="s">
        <v>6</v>
      </c>
      <c r="AB5" s="647" t="s">
        <v>7</v>
      </c>
      <c r="AC5" s="643" t="s">
        <v>3</v>
      </c>
      <c r="AD5" s="644" t="s">
        <v>6</v>
      </c>
      <c r="AE5" s="645" t="s">
        <v>7</v>
      </c>
      <c r="AF5" s="643" t="s">
        <v>3</v>
      </c>
      <c r="AG5" s="644" t="s">
        <v>6</v>
      </c>
      <c r="AH5" s="645" t="s">
        <v>7</v>
      </c>
      <c r="AI5" s="643" t="s">
        <v>3</v>
      </c>
      <c r="AJ5" s="644" t="s">
        <v>6</v>
      </c>
      <c r="AK5" s="645" t="s">
        <v>7</v>
      </c>
      <c r="AL5" s="643" t="s">
        <v>3</v>
      </c>
      <c r="AM5" s="644" t="s">
        <v>6</v>
      </c>
      <c r="AN5" s="645" t="s">
        <v>7</v>
      </c>
      <c r="AO5" s="643" t="s">
        <v>3</v>
      </c>
      <c r="AP5" s="644" t="s">
        <v>6</v>
      </c>
      <c r="AQ5" s="645" t="s">
        <v>7</v>
      </c>
      <c r="AR5" s="643" t="s">
        <v>3</v>
      </c>
      <c r="AS5" s="644" t="s">
        <v>6</v>
      </c>
      <c r="AT5" s="645" t="s">
        <v>7</v>
      </c>
      <c r="AU5" s="643" t="s">
        <v>3</v>
      </c>
      <c r="AV5" s="644" t="s">
        <v>6</v>
      </c>
      <c r="AW5" s="645" t="s">
        <v>7</v>
      </c>
      <c r="AX5" s="643" t="s">
        <v>3</v>
      </c>
      <c r="AY5" s="644" t="s">
        <v>6</v>
      </c>
      <c r="AZ5" s="645" t="s">
        <v>7</v>
      </c>
      <c r="BA5" s="643" t="s">
        <v>3</v>
      </c>
      <c r="BB5" s="644" t="s">
        <v>6</v>
      </c>
      <c r="BC5" s="645" t="s">
        <v>7</v>
      </c>
      <c r="BD5" s="643" t="s">
        <v>3</v>
      </c>
      <c r="BE5" s="644" t="s">
        <v>6</v>
      </c>
      <c r="BF5" s="645" t="s">
        <v>7</v>
      </c>
      <c r="BG5" s="648" t="s">
        <v>3</v>
      </c>
      <c r="BH5" s="644" t="s">
        <v>6</v>
      </c>
      <c r="BI5" s="645" t="s">
        <v>7</v>
      </c>
      <c r="BJ5" s="661"/>
      <c r="BK5" s="649"/>
      <c r="BL5" s="650"/>
      <c r="BM5" s="650"/>
    </row>
    <row r="6" spans="1:65" ht="14.25" customHeight="1">
      <c r="A6" s="10">
        <v>1</v>
      </c>
      <c r="B6" s="36">
        <v>1</v>
      </c>
      <c r="C6" s="11">
        <f>D$3*D$4*216*24*60*B6/9000000</f>
        <v>5847.5519999999997</v>
      </c>
      <c r="D6" s="63"/>
      <c r="E6" s="36"/>
      <c r="F6" s="11">
        <f>G$3*G$4*216*24*60*E6/9000000</f>
        <v>0</v>
      </c>
      <c r="G6" s="63"/>
      <c r="H6" s="36"/>
      <c r="I6" s="11">
        <f>J$3*J$4*216*24*60*H6/9000000</f>
        <v>0</v>
      </c>
      <c r="J6" s="63"/>
      <c r="K6" s="36"/>
      <c r="L6" s="11">
        <f>M$3*M$4*216*24*60*K6/9000000</f>
        <v>0</v>
      </c>
      <c r="M6" s="63"/>
      <c r="N6" s="36"/>
      <c r="O6" s="11">
        <f>P$3*P$4*216*24*60*N6/9000000</f>
        <v>0</v>
      </c>
      <c r="P6" s="63"/>
      <c r="Q6" s="36"/>
      <c r="R6" s="11">
        <f>S$3*S$4*216*24*60*Q6/9000000</f>
        <v>0</v>
      </c>
      <c r="S6" s="63"/>
      <c r="T6" s="36"/>
      <c r="U6" s="11">
        <f>V$3*V$4*216*24*60*T6/9000000</f>
        <v>0</v>
      </c>
      <c r="V6" s="63"/>
      <c r="W6" s="36"/>
      <c r="X6" s="11">
        <f>Y$3*Y$4*216*24*60*W6/9000000</f>
        <v>0</v>
      </c>
      <c r="Y6" s="63"/>
      <c r="Z6" s="36"/>
      <c r="AA6" s="11">
        <f>AB$3*AB$4*216*24*60*Z6/9000000</f>
        <v>0</v>
      </c>
      <c r="AB6" s="63"/>
      <c r="AC6" s="36"/>
      <c r="AD6" s="11">
        <f>AE$3*AE$4*216*24*60*AC6/9000000</f>
        <v>0</v>
      </c>
      <c r="AE6" s="63"/>
      <c r="AF6" s="36"/>
      <c r="AG6" s="11">
        <f t="shared" ref="AG6:AG36" si="0">AH$3*AH$4*216*24*60*AF6/9000000</f>
        <v>0</v>
      </c>
      <c r="AH6" s="63"/>
      <c r="AI6" s="36"/>
      <c r="AJ6" s="11">
        <f>AK$3*AK$4*216*24*60*AI6/9000000</f>
        <v>0</v>
      </c>
      <c r="AK6" s="63"/>
      <c r="AL6" s="36"/>
      <c r="AM6" s="11">
        <f>AN$3*AN$4*216*24*60*AL6/9000000</f>
        <v>0</v>
      </c>
      <c r="AN6" s="12"/>
      <c r="AO6" s="36"/>
      <c r="AP6" s="11">
        <f>AQ$3*AQ$4*216*24*60*AO6/9000000</f>
        <v>0</v>
      </c>
      <c r="AQ6" s="12"/>
      <c r="AR6" s="36"/>
      <c r="AS6" s="11">
        <f>AT$3*AT$4*216*24*60*AR6/9000000</f>
        <v>0</v>
      </c>
      <c r="AT6" s="12"/>
      <c r="AU6" s="36"/>
      <c r="AV6" s="11">
        <f>AW$3*AW$4*216*24*60*AU6/9000000</f>
        <v>0</v>
      </c>
      <c r="AW6" s="12"/>
      <c r="AX6" s="36"/>
      <c r="AY6" s="11">
        <f t="shared" ref="AY6:AY28" si="1">AZ$3*AZ$4*216*24*60*AX6/9000000</f>
        <v>0</v>
      </c>
      <c r="AZ6" s="12"/>
      <c r="BA6" s="36"/>
      <c r="BB6" s="11">
        <f t="shared" ref="BB6:BB27" si="2">BC$3*BC$4*216*24*60*BA6/9000000</f>
        <v>0</v>
      </c>
      <c r="BC6" s="63"/>
      <c r="BD6" s="36"/>
      <c r="BE6" s="11">
        <f>BF$3*BF$4*216*24*60*BD6/9000000</f>
        <v>0</v>
      </c>
      <c r="BF6" s="12"/>
      <c r="BG6" s="36"/>
      <c r="BH6" s="11">
        <f>BI$3*BI$4*216*24*60*BG6/9000000</f>
        <v>0</v>
      </c>
      <c r="BI6" s="12"/>
      <c r="BJ6" s="450"/>
      <c r="BK6" s="260">
        <f>SUM(B6,E6,H6,K6,N6,Q6,T6,W6,Z6,AC6,AF6,AI6,AL6,AO6,AR6,AU6,BG6,AX6,BA6,BD6)</f>
        <v>1</v>
      </c>
      <c r="BL6" s="157"/>
      <c r="BM6" s="157"/>
    </row>
    <row r="7" spans="1:65" ht="14.25" customHeight="1">
      <c r="A7" s="10">
        <v>2</v>
      </c>
      <c r="B7" s="36">
        <v>1</v>
      </c>
      <c r="C7" s="11">
        <f>D$3*D$4*216*24*60*B7/9000000</f>
        <v>5847.5519999999997</v>
      </c>
      <c r="D7" s="63"/>
      <c r="E7" s="36"/>
      <c r="F7" s="11">
        <f>G$3*G$4*216*24*60*E7/9000000</f>
        <v>0</v>
      </c>
      <c r="G7" s="63"/>
      <c r="H7" s="36"/>
      <c r="I7" s="11">
        <f>J$3*J$4*216*24*60*H7/9000000</f>
        <v>0</v>
      </c>
      <c r="J7" s="63"/>
      <c r="K7" s="36"/>
      <c r="L7" s="11">
        <f>M$3*M$4*216*24*60*K7/9000000</f>
        <v>0</v>
      </c>
      <c r="M7" s="63"/>
      <c r="N7" s="36"/>
      <c r="O7" s="11">
        <f>P$3*P$4*216*24*60*N7/9000000</f>
        <v>0</v>
      </c>
      <c r="P7" s="63"/>
      <c r="Q7" s="36"/>
      <c r="R7" s="11">
        <f>S$3*S$4*216*24*60*Q7/9000000</f>
        <v>0</v>
      </c>
      <c r="S7" s="63"/>
      <c r="T7" s="36"/>
      <c r="U7" s="11">
        <f>V$3*V$4*216*24*60*T7/9000000</f>
        <v>0</v>
      </c>
      <c r="V7" s="63"/>
      <c r="W7" s="36"/>
      <c r="X7" s="11">
        <f t="shared" ref="X7:X36" si="3">Y$3*Y$4*216*24*60*W7/9000000</f>
        <v>0</v>
      </c>
      <c r="Y7" s="63"/>
      <c r="Z7" s="36"/>
      <c r="AA7" s="11">
        <f t="shared" ref="AA7:AA36" si="4">AB$3*AB$4*216*24*60*Z7/9000000</f>
        <v>0</v>
      </c>
      <c r="AB7" s="63"/>
      <c r="AC7" s="36"/>
      <c r="AD7" s="11">
        <f t="shared" ref="AD7:AD36" si="5">AE$3*AE$4*216*24*60*AC7/9000000</f>
        <v>0</v>
      </c>
      <c r="AE7" s="63"/>
      <c r="AF7" s="36"/>
      <c r="AG7" s="11">
        <f t="shared" si="0"/>
        <v>0</v>
      </c>
      <c r="AH7" s="63"/>
      <c r="AI7" s="36"/>
      <c r="AJ7" s="11">
        <f>AK$3*AK$4*216*24*60*AI7/9000000</f>
        <v>0</v>
      </c>
      <c r="AK7" s="63"/>
      <c r="AL7" s="36"/>
      <c r="AM7" s="11">
        <f t="shared" ref="AM7:AM36" si="6">AN$3*AN$4*216*24*60*AL7/9000000</f>
        <v>0</v>
      </c>
      <c r="AN7" s="12"/>
      <c r="AO7" s="36"/>
      <c r="AP7" s="11">
        <f t="shared" ref="AP7:AP36" si="7">AQ$3*AQ$4*216*24*60*AO7/9000000</f>
        <v>0</v>
      </c>
      <c r="AQ7" s="12"/>
      <c r="AR7" s="36"/>
      <c r="AS7" s="11">
        <f t="shared" ref="AS7:AS36" si="8">AT$3*AT$4*216*24*60*AR7/9000000</f>
        <v>0</v>
      </c>
      <c r="AT7" s="12"/>
      <c r="AU7" s="36"/>
      <c r="AV7" s="11">
        <f t="shared" ref="AV7:AV36" si="9">AW$3*AW$4*216*24*60*AU7/9000000</f>
        <v>0</v>
      </c>
      <c r="AW7" s="12"/>
      <c r="AX7" s="36"/>
      <c r="AY7" s="11">
        <f t="shared" si="1"/>
        <v>0</v>
      </c>
      <c r="AZ7" s="12"/>
      <c r="BA7" s="36"/>
      <c r="BB7" s="11">
        <f t="shared" si="2"/>
        <v>0</v>
      </c>
      <c r="BC7" s="63"/>
      <c r="BD7" s="36"/>
      <c r="BE7" s="11">
        <f t="shared" ref="BE7:BE36" si="10">BF$3*BF$4*216*24*60*BD7/9000000</f>
        <v>0</v>
      </c>
      <c r="BF7" s="12"/>
      <c r="BG7" s="36"/>
      <c r="BH7" s="11">
        <f t="shared" ref="BH7:BH36" si="11">BI$3*BI$4*216*24*60*BG7/9000000</f>
        <v>0</v>
      </c>
      <c r="BI7" s="12"/>
      <c r="BJ7" s="450"/>
      <c r="BK7" s="260">
        <f t="shared" ref="BK7:BK37" si="12">SUM(B7,E7,H7,K7,N7,Q7,T7,W7,Z7,AC7,AF7,AI7,AL7,AO7,AR7,AU7,BG7,AX7,BA7,BD7)</f>
        <v>1</v>
      </c>
      <c r="BL7" s="157"/>
      <c r="BM7" s="157"/>
    </row>
    <row r="8" spans="1:65" ht="14.25" customHeight="1">
      <c r="A8" s="10">
        <v>3</v>
      </c>
      <c r="B8" s="36">
        <v>1</v>
      </c>
      <c r="C8" s="11">
        <f>D$3*D$4*216*24*60*B8/9000000</f>
        <v>5847.5519999999997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>S$3*S$4*216*24*60*Q8/9000000</f>
        <v>0</v>
      </c>
      <c r="S8" s="64"/>
      <c r="T8" s="36"/>
      <c r="U8" s="11">
        <f>V$3*V$4*216*24*60*T8/9000000</f>
        <v>0</v>
      </c>
      <c r="V8" s="64"/>
      <c r="W8" s="36"/>
      <c r="X8" s="11">
        <f t="shared" si="3"/>
        <v>0</v>
      </c>
      <c r="Y8" s="64"/>
      <c r="Z8" s="36"/>
      <c r="AA8" s="11">
        <f t="shared" si="4"/>
        <v>0</v>
      </c>
      <c r="AB8" s="64"/>
      <c r="AC8" s="36"/>
      <c r="AD8" s="11">
        <f t="shared" si="5"/>
        <v>0</v>
      </c>
      <c r="AE8" s="64"/>
      <c r="AF8" s="36"/>
      <c r="AG8" s="11">
        <f t="shared" si="0"/>
        <v>0</v>
      </c>
      <c r="AH8" s="64"/>
      <c r="AI8" s="36"/>
      <c r="AJ8" s="11">
        <f t="shared" ref="AJ8:AJ35" si="13">AK$3*AK$4*216*24*60*AI8/9000000</f>
        <v>0</v>
      </c>
      <c r="AK8" s="64"/>
      <c r="AL8" s="36"/>
      <c r="AM8" s="11">
        <f t="shared" si="6"/>
        <v>0</v>
      </c>
      <c r="AN8" s="12"/>
      <c r="AO8" s="36"/>
      <c r="AP8" s="11">
        <f t="shared" si="7"/>
        <v>0</v>
      </c>
      <c r="AQ8" s="12"/>
      <c r="AR8" s="36"/>
      <c r="AS8" s="11">
        <f t="shared" si="8"/>
        <v>0</v>
      </c>
      <c r="AT8" s="12"/>
      <c r="AU8" s="36"/>
      <c r="AV8" s="11">
        <f t="shared" si="9"/>
        <v>0</v>
      </c>
      <c r="AW8" s="12"/>
      <c r="AX8" s="36"/>
      <c r="AY8" s="11">
        <f t="shared" si="1"/>
        <v>0</v>
      </c>
      <c r="AZ8" s="12"/>
      <c r="BA8" s="36"/>
      <c r="BB8" s="11">
        <f t="shared" si="2"/>
        <v>0</v>
      </c>
      <c r="BC8" s="64"/>
      <c r="BD8" s="36"/>
      <c r="BE8" s="11">
        <f t="shared" si="10"/>
        <v>0</v>
      </c>
      <c r="BF8" s="12"/>
      <c r="BG8" s="36"/>
      <c r="BH8" s="11">
        <f t="shared" si="11"/>
        <v>0</v>
      </c>
      <c r="BI8" s="12"/>
      <c r="BJ8" s="450"/>
      <c r="BK8" s="260">
        <f t="shared" si="12"/>
        <v>1</v>
      </c>
      <c r="BL8" s="157"/>
      <c r="BM8" s="157"/>
    </row>
    <row r="9" spans="1:65" ht="14.25" customHeight="1">
      <c r="A9" s="10">
        <v>4</v>
      </c>
      <c r="B9" s="36">
        <v>0.5</v>
      </c>
      <c r="C9" s="11">
        <f>D$3*D$4*216*24*60*B9/9000000</f>
        <v>2923.7759999999998</v>
      </c>
      <c r="D9" s="64"/>
      <c r="E9" s="36"/>
      <c r="F9" s="11">
        <f t="shared" ref="F9:F36" si="14">G$3*G$4*216*24*60*E9/9000000</f>
        <v>0</v>
      </c>
      <c r="G9" s="64"/>
      <c r="H9" s="36"/>
      <c r="I9" s="11">
        <f t="shared" ref="I9:I36" si="15">J$3*J$4*216*24*60*H9/9000000</f>
        <v>0</v>
      </c>
      <c r="J9" s="64"/>
      <c r="K9" s="36"/>
      <c r="L9" s="11">
        <f t="shared" ref="L9:L36" si="16">M$3*M$4*216*24*60*K9/9000000</f>
        <v>0</v>
      </c>
      <c r="M9" s="64"/>
      <c r="N9" s="36"/>
      <c r="O9" s="11">
        <f>P$3*P$4*216*24*60*N9/9000000</f>
        <v>0</v>
      </c>
      <c r="P9" s="64"/>
      <c r="Q9" s="36"/>
      <c r="R9" s="11">
        <f>S$3*S$4*216*24*60*Q9/9000000</f>
        <v>0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si="3"/>
        <v>0</v>
      </c>
      <c r="Y9" s="64"/>
      <c r="Z9" s="36"/>
      <c r="AA9" s="11">
        <f t="shared" si="4"/>
        <v>0</v>
      </c>
      <c r="AB9" s="64"/>
      <c r="AC9" s="36"/>
      <c r="AD9" s="11">
        <f t="shared" si="5"/>
        <v>0</v>
      </c>
      <c r="AE9" s="64"/>
      <c r="AF9" s="36"/>
      <c r="AG9" s="11">
        <f t="shared" si="0"/>
        <v>0</v>
      </c>
      <c r="AH9" s="12"/>
      <c r="AI9" s="36"/>
      <c r="AJ9" s="11">
        <f t="shared" si="13"/>
        <v>0</v>
      </c>
      <c r="AK9" s="12"/>
      <c r="AL9" s="36"/>
      <c r="AM9" s="11">
        <f t="shared" si="6"/>
        <v>0</v>
      </c>
      <c r="AN9" s="12"/>
      <c r="AO9" s="36"/>
      <c r="AP9" s="11">
        <f t="shared" si="7"/>
        <v>0</v>
      </c>
      <c r="AQ9" s="12"/>
      <c r="AR9" s="36"/>
      <c r="AS9" s="11">
        <f t="shared" si="8"/>
        <v>0</v>
      </c>
      <c r="AT9" s="12"/>
      <c r="AU9" s="36"/>
      <c r="AV9" s="11">
        <f t="shared" si="9"/>
        <v>0</v>
      </c>
      <c r="AW9" s="12"/>
      <c r="AX9" s="36"/>
      <c r="AY9" s="11">
        <f t="shared" si="1"/>
        <v>0</v>
      </c>
      <c r="AZ9" s="12"/>
      <c r="BA9" s="36"/>
      <c r="BB9" s="11">
        <f t="shared" si="2"/>
        <v>0</v>
      </c>
      <c r="BC9" s="12"/>
      <c r="BD9" s="36"/>
      <c r="BE9" s="11">
        <f t="shared" si="10"/>
        <v>0</v>
      </c>
      <c r="BF9" s="12"/>
      <c r="BG9" s="36"/>
      <c r="BH9" s="11">
        <f t="shared" si="11"/>
        <v>0</v>
      </c>
      <c r="BI9" s="12"/>
      <c r="BJ9" s="450"/>
      <c r="BK9" s="260">
        <f t="shared" si="12"/>
        <v>0.5</v>
      </c>
      <c r="BL9" s="157"/>
      <c r="BM9" s="157"/>
    </row>
    <row r="10" spans="1:65" ht="14.25" customHeight="1">
      <c r="A10" s="10">
        <v>5</v>
      </c>
      <c r="B10" s="36">
        <v>0.5</v>
      </c>
      <c r="C10" s="11">
        <f>D$3*D$4*216*24*60*B10/9000000</f>
        <v>2923.7759999999998</v>
      </c>
      <c r="D10" s="64"/>
      <c r="E10" s="606"/>
      <c r="F10" s="11">
        <f t="shared" si="14"/>
        <v>0</v>
      </c>
      <c r="G10" s="64"/>
      <c r="H10" s="36"/>
      <c r="I10" s="11">
        <f t="shared" si="15"/>
        <v>0</v>
      </c>
      <c r="J10" s="64"/>
      <c r="K10" s="36"/>
      <c r="L10" s="11">
        <f t="shared" si="16"/>
        <v>0</v>
      </c>
      <c r="M10" s="64"/>
      <c r="N10" s="36"/>
      <c r="O10" s="11">
        <f>P$3*P$4*216*24*60*N10/9000000</f>
        <v>0</v>
      </c>
      <c r="P10" s="64"/>
      <c r="Q10" s="36"/>
      <c r="R10" s="11">
        <f>S$3*S$4*216*24*60*Q10/9000000</f>
        <v>0</v>
      </c>
      <c r="S10" s="64"/>
      <c r="T10" s="36"/>
      <c r="U10" s="11">
        <f t="shared" si="17"/>
        <v>0</v>
      </c>
      <c r="V10" s="64"/>
      <c r="W10" s="36"/>
      <c r="X10" s="11">
        <f t="shared" si="3"/>
        <v>0</v>
      </c>
      <c r="Y10" s="64"/>
      <c r="Z10" s="36"/>
      <c r="AA10" s="11">
        <f t="shared" si="4"/>
        <v>0</v>
      </c>
      <c r="AB10" s="64"/>
      <c r="AC10" s="36"/>
      <c r="AD10" s="11">
        <f t="shared" si="5"/>
        <v>0</v>
      </c>
      <c r="AE10" s="64"/>
      <c r="AF10" s="36"/>
      <c r="AG10" s="11">
        <f t="shared" si="0"/>
        <v>0</v>
      </c>
      <c r="AH10" s="12"/>
      <c r="AI10" s="36"/>
      <c r="AJ10" s="11">
        <f t="shared" si="13"/>
        <v>0</v>
      </c>
      <c r="AK10" s="12"/>
      <c r="AL10" s="36"/>
      <c r="AM10" s="11">
        <f t="shared" si="6"/>
        <v>0</v>
      </c>
      <c r="AN10" s="12"/>
      <c r="AO10" s="36"/>
      <c r="AP10" s="11">
        <f t="shared" si="7"/>
        <v>0</v>
      </c>
      <c r="AQ10" s="12"/>
      <c r="AR10" s="36"/>
      <c r="AS10" s="11">
        <f t="shared" si="8"/>
        <v>0</v>
      </c>
      <c r="AT10" s="12"/>
      <c r="AU10" s="36"/>
      <c r="AV10" s="11">
        <f t="shared" si="9"/>
        <v>0</v>
      </c>
      <c r="AW10" s="12"/>
      <c r="AX10" s="36"/>
      <c r="AY10" s="11">
        <f t="shared" si="1"/>
        <v>0</v>
      </c>
      <c r="AZ10" s="12"/>
      <c r="BA10" s="36"/>
      <c r="BB10" s="11">
        <f t="shared" si="2"/>
        <v>0</v>
      </c>
      <c r="BC10" s="12"/>
      <c r="BD10" s="36"/>
      <c r="BE10" s="11">
        <f t="shared" si="10"/>
        <v>0</v>
      </c>
      <c r="BF10" s="12"/>
      <c r="BG10" s="36"/>
      <c r="BH10" s="11">
        <f t="shared" si="11"/>
        <v>0</v>
      </c>
      <c r="BI10" s="12"/>
      <c r="BJ10" s="450"/>
      <c r="BK10" s="260">
        <f t="shared" si="12"/>
        <v>0.5</v>
      </c>
      <c r="BL10" s="157"/>
      <c r="BM10" s="157"/>
    </row>
    <row r="11" spans="1:65" ht="15" customHeight="1">
      <c r="A11" s="10">
        <v>6</v>
      </c>
      <c r="B11" s="36">
        <v>0.5</v>
      </c>
      <c r="C11" s="11">
        <f t="shared" ref="C11:C36" si="18">D$3*D$4*216*24*60*B11/9000000</f>
        <v>2923.7759999999998</v>
      </c>
      <c r="D11" s="64">
        <v>19834</v>
      </c>
      <c r="E11" s="606"/>
      <c r="F11" s="11">
        <f t="shared" si="14"/>
        <v>0</v>
      </c>
      <c r="G11" s="64"/>
      <c r="H11" s="36"/>
      <c r="I11" s="11">
        <f t="shared" si="15"/>
        <v>0</v>
      </c>
      <c r="J11" s="64"/>
      <c r="K11" s="36"/>
      <c r="L11" s="11">
        <f t="shared" si="16"/>
        <v>0</v>
      </c>
      <c r="M11" s="64"/>
      <c r="N11" s="36"/>
      <c r="O11" s="11">
        <f t="shared" ref="O11:O36" si="19">P$3*P$4*216*24*60*N11/9000000</f>
        <v>0</v>
      </c>
      <c r="P11" s="64"/>
      <c r="Q11" s="36"/>
      <c r="R11" s="11">
        <f t="shared" ref="R11:R36" si="20">S$3*S$4*216*24*60*Q11/9000000</f>
        <v>0</v>
      </c>
      <c r="S11" s="64"/>
      <c r="T11" s="36"/>
      <c r="U11" s="11">
        <f t="shared" si="17"/>
        <v>0</v>
      </c>
      <c r="V11" s="64"/>
      <c r="W11" s="36"/>
      <c r="X11" s="11">
        <f t="shared" si="3"/>
        <v>0</v>
      </c>
      <c r="Y11" s="64"/>
      <c r="Z11" s="36"/>
      <c r="AA11" s="11">
        <f t="shared" si="4"/>
        <v>0</v>
      </c>
      <c r="AB11" s="64"/>
      <c r="AC11" s="36"/>
      <c r="AD11" s="11">
        <f t="shared" si="5"/>
        <v>0</v>
      </c>
      <c r="AE11" s="64"/>
      <c r="AF11" s="36"/>
      <c r="AG11" s="11">
        <f t="shared" si="0"/>
        <v>0</v>
      </c>
      <c r="AH11" s="12"/>
      <c r="AI11" s="36"/>
      <c r="AJ11" s="11">
        <f t="shared" si="13"/>
        <v>0</v>
      </c>
      <c r="AK11" s="12"/>
      <c r="AL11" s="36"/>
      <c r="AM11" s="11">
        <f t="shared" si="6"/>
        <v>0</v>
      </c>
      <c r="AN11" s="64"/>
      <c r="AO11" s="36"/>
      <c r="AP11" s="11">
        <f t="shared" si="7"/>
        <v>0</v>
      </c>
      <c r="AQ11" s="64"/>
      <c r="AR11" s="36"/>
      <c r="AS11" s="11">
        <f t="shared" si="8"/>
        <v>0</v>
      </c>
      <c r="AT11" s="64"/>
      <c r="AU11" s="36"/>
      <c r="AV11" s="11">
        <f t="shared" si="9"/>
        <v>0</v>
      </c>
      <c r="AW11" s="64"/>
      <c r="AX11" s="36"/>
      <c r="AY11" s="11">
        <f t="shared" si="1"/>
        <v>0</v>
      </c>
      <c r="AZ11" s="12"/>
      <c r="BA11" s="36"/>
      <c r="BB11" s="11">
        <f t="shared" si="2"/>
        <v>0</v>
      </c>
      <c r="BC11" s="12"/>
      <c r="BD11" s="36"/>
      <c r="BE11" s="11">
        <f t="shared" si="10"/>
        <v>0</v>
      </c>
      <c r="BF11" s="12"/>
      <c r="BG11" s="36"/>
      <c r="BH11" s="11">
        <f t="shared" si="11"/>
        <v>0</v>
      </c>
      <c r="BI11" s="12"/>
      <c r="BJ11" s="450"/>
      <c r="BK11" s="260">
        <f t="shared" si="12"/>
        <v>0.5</v>
      </c>
      <c r="BL11" s="157"/>
      <c r="BM11" s="157"/>
    </row>
    <row r="12" spans="1:65" ht="15" customHeight="1">
      <c r="A12" s="10">
        <v>7</v>
      </c>
      <c r="B12" s="36">
        <v>0.5</v>
      </c>
      <c r="C12" s="11">
        <f t="shared" si="18"/>
        <v>2923.7759999999998</v>
      </c>
      <c r="D12" s="64">
        <v>1980</v>
      </c>
      <c r="E12" s="606"/>
      <c r="F12" s="11">
        <f t="shared" si="14"/>
        <v>0</v>
      </c>
      <c r="G12" s="64"/>
      <c r="H12" s="36"/>
      <c r="I12" s="11">
        <f t="shared" si="15"/>
        <v>0</v>
      </c>
      <c r="J12" s="64"/>
      <c r="K12" s="36"/>
      <c r="L12" s="11">
        <f t="shared" si="16"/>
        <v>0</v>
      </c>
      <c r="M12" s="64"/>
      <c r="N12" s="36"/>
      <c r="O12" s="11">
        <f t="shared" si="19"/>
        <v>0</v>
      </c>
      <c r="P12" s="64"/>
      <c r="Q12" s="36"/>
      <c r="R12" s="11">
        <f t="shared" si="20"/>
        <v>0</v>
      </c>
      <c r="S12" s="64"/>
      <c r="T12" s="36"/>
      <c r="U12" s="11">
        <f t="shared" si="17"/>
        <v>0</v>
      </c>
      <c r="V12" s="64"/>
      <c r="W12" s="36"/>
      <c r="X12" s="11">
        <f t="shared" si="3"/>
        <v>0</v>
      </c>
      <c r="Y12" s="64"/>
      <c r="Z12" s="36"/>
      <c r="AA12" s="11">
        <f t="shared" si="4"/>
        <v>0</v>
      </c>
      <c r="AB12" s="64"/>
      <c r="AC12" s="36"/>
      <c r="AD12" s="11">
        <f t="shared" si="5"/>
        <v>0</v>
      </c>
      <c r="AE12" s="64"/>
      <c r="AF12" s="36"/>
      <c r="AG12" s="11">
        <f t="shared" si="0"/>
        <v>0</v>
      </c>
      <c r="AH12" s="12"/>
      <c r="AI12" s="36"/>
      <c r="AJ12" s="11">
        <f t="shared" si="13"/>
        <v>0</v>
      </c>
      <c r="AK12" s="64"/>
      <c r="AL12" s="36"/>
      <c r="AM12" s="11">
        <f t="shared" si="6"/>
        <v>0</v>
      </c>
      <c r="AN12" s="64"/>
      <c r="AO12" s="36"/>
      <c r="AP12" s="11">
        <f t="shared" si="7"/>
        <v>0</v>
      </c>
      <c r="AQ12" s="64"/>
      <c r="AR12" s="36"/>
      <c r="AS12" s="11">
        <f t="shared" si="8"/>
        <v>0</v>
      </c>
      <c r="AT12" s="64"/>
      <c r="AU12" s="36"/>
      <c r="AV12" s="11">
        <f t="shared" si="9"/>
        <v>0</v>
      </c>
      <c r="AW12" s="64"/>
      <c r="AX12" s="36"/>
      <c r="AY12" s="11">
        <f t="shared" si="1"/>
        <v>0</v>
      </c>
      <c r="AZ12" s="12"/>
      <c r="BA12" s="36"/>
      <c r="BB12" s="11">
        <f t="shared" si="2"/>
        <v>0</v>
      </c>
      <c r="BC12" s="12"/>
      <c r="BD12" s="36"/>
      <c r="BE12" s="11">
        <f t="shared" si="10"/>
        <v>0</v>
      </c>
      <c r="BF12" s="64"/>
      <c r="BG12" s="36"/>
      <c r="BH12" s="11">
        <f t="shared" si="11"/>
        <v>0</v>
      </c>
      <c r="BI12" s="64"/>
      <c r="BJ12" s="450"/>
      <c r="BK12" s="260">
        <f t="shared" si="12"/>
        <v>0.5</v>
      </c>
      <c r="BL12" s="157"/>
      <c r="BM12" s="157"/>
    </row>
    <row r="13" spans="1:65" ht="14.25" customHeight="1">
      <c r="A13" s="10">
        <v>8</v>
      </c>
      <c r="B13" s="36">
        <v>0.5</v>
      </c>
      <c r="C13" s="11">
        <f t="shared" si="18"/>
        <v>2923.7759999999998</v>
      </c>
      <c r="D13" s="64">
        <v>2475</v>
      </c>
      <c r="E13" s="36"/>
      <c r="F13" s="11">
        <f t="shared" si="14"/>
        <v>0</v>
      </c>
      <c r="G13" s="64"/>
      <c r="H13" s="36"/>
      <c r="I13" s="11">
        <f t="shared" si="15"/>
        <v>0</v>
      </c>
      <c r="J13" s="64"/>
      <c r="K13" s="36"/>
      <c r="L13" s="11">
        <f t="shared" si="16"/>
        <v>0</v>
      </c>
      <c r="M13" s="64"/>
      <c r="N13" s="36"/>
      <c r="O13" s="11">
        <f t="shared" si="19"/>
        <v>0</v>
      </c>
      <c r="P13" s="64"/>
      <c r="Q13" s="36"/>
      <c r="R13" s="11">
        <f t="shared" si="20"/>
        <v>0</v>
      </c>
      <c r="S13" s="64"/>
      <c r="T13" s="36"/>
      <c r="U13" s="11">
        <f t="shared" si="17"/>
        <v>0</v>
      </c>
      <c r="V13" s="64"/>
      <c r="W13" s="36"/>
      <c r="X13" s="11">
        <f t="shared" si="3"/>
        <v>0</v>
      </c>
      <c r="Y13" s="64"/>
      <c r="Z13" s="36"/>
      <c r="AA13" s="11">
        <f t="shared" si="4"/>
        <v>0</v>
      </c>
      <c r="AB13" s="64"/>
      <c r="AC13" s="36"/>
      <c r="AD13" s="11">
        <f t="shared" si="5"/>
        <v>0</v>
      </c>
      <c r="AE13" s="64"/>
      <c r="AF13" s="36"/>
      <c r="AG13" s="11">
        <f t="shared" si="0"/>
        <v>0</v>
      </c>
      <c r="AH13" s="64"/>
      <c r="AI13" s="36"/>
      <c r="AJ13" s="11">
        <f t="shared" si="13"/>
        <v>0</v>
      </c>
      <c r="AK13" s="64"/>
      <c r="AL13" s="36"/>
      <c r="AM13" s="11">
        <f t="shared" si="6"/>
        <v>0</v>
      </c>
      <c r="AN13" s="64"/>
      <c r="AO13" s="36"/>
      <c r="AP13" s="11">
        <f t="shared" si="7"/>
        <v>0</v>
      </c>
      <c r="AQ13" s="64"/>
      <c r="AR13" s="36"/>
      <c r="AS13" s="11">
        <f t="shared" si="8"/>
        <v>0</v>
      </c>
      <c r="AT13" s="64"/>
      <c r="AU13" s="36"/>
      <c r="AV13" s="11">
        <f t="shared" si="9"/>
        <v>0</v>
      </c>
      <c r="AW13" s="64"/>
      <c r="AX13" s="36"/>
      <c r="AY13" s="11">
        <f t="shared" si="1"/>
        <v>0</v>
      </c>
      <c r="AZ13" s="64"/>
      <c r="BA13" s="36"/>
      <c r="BB13" s="11">
        <f t="shared" si="2"/>
        <v>0</v>
      </c>
      <c r="BC13" s="64"/>
      <c r="BD13" s="36"/>
      <c r="BE13" s="11">
        <f t="shared" si="10"/>
        <v>0</v>
      </c>
      <c r="BF13" s="64"/>
      <c r="BG13" s="36"/>
      <c r="BH13" s="11">
        <f t="shared" si="11"/>
        <v>0</v>
      </c>
      <c r="BI13" s="64"/>
      <c r="BJ13" s="450"/>
      <c r="BK13" s="260">
        <f t="shared" si="12"/>
        <v>0.5</v>
      </c>
      <c r="BL13" s="157"/>
      <c r="BM13" s="157"/>
    </row>
    <row r="14" spans="1:65" ht="14.25" customHeight="1">
      <c r="A14" s="10">
        <v>9</v>
      </c>
      <c r="B14" s="36">
        <v>0.5</v>
      </c>
      <c r="C14" s="11">
        <f t="shared" si="18"/>
        <v>2923.7759999999998</v>
      </c>
      <c r="D14" s="64">
        <v>4026</v>
      </c>
      <c r="E14" s="36"/>
      <c r="F14" s="11">
        <f t="shared" si="14"/>
        <v>0</v>
      </c>
      <c r="G14" s="64"/>
      <c r="H14" s="36"/>
      <c r="I14" s="11">
        <f t="shared" si="15"/>
        <v>0</v>
      </c>
      <c r="J14" s="64"/>
      <c r="K14" s="36"/>
      <c r="L14" s="11">
        <f t="shared" si="16"/>
        <v>0</v>
      </c>
      <c r="M14" s="64"/>
      <c r="N14" s="36"/>
      <c r="O14" s="11">
        <f t="shared" si="19"/>
        <v>0</v>
      </c>
      <c r="P14" s="64"/>
      <c r="Q14" s="36"/>
      <c r="R14" s="11">
        <f t="shared" si="20"/>
        <v>0</v>
      </c>
      <c r="S14" s="64"/>
      <c r="T14" s="36"/>
      <c r="U14" s="11">
        <f t="shared" si="17"/>
        <v>0</v>
      </c>
      <c r="V14" s="64"/>
      <c r="W14" s="36"/>
      <c r="X14" s="11">
        <f t="shared" si="3"/>
        <v>0</v>
      </c>
      <c r="Y14" s="64"/>
      <c r="Z14" s="36"/>
      <c r="AA14" s="11">
        <f t="shared" si="4"/>
        <v>0</v>
      </c>
      <c r="AB14" s="64"/>
      <c r="AC14" s="36"/>
      <c r="AD14" s="11">
        <f t="shared" si="5"/>
        <v>0</v>
      </c>
      <c r="AE14" s="64"/>
      <c r="AF14" s="36"/>
      <c r="AG14" s="11">
        <f t="shared" si="0"/>
        <v>0</v>
      </c>
      <c r="AH14" s="64"/>
      <c r="AI14" s="36"/>
      <c r="AJ14" s="11">
        <f t="shared" si="13"/>
        <v>0</v>
      </c>
      <c r="AK14" s="64"/>
      <c r="AL14" s="36"/>
      <c r="AM14" s="11">
        <f t="shared" si="6"/>
        <v>0</v>
      </c>
      <c r="AN14" s="64"/>
      <c r="AO14" s="36"/>
      <c r="AP14" s="11">
        <f t="shared" si="7"/>
        <v>0</v>
      </c>
      <c r="AQ14" s="64"/>
      <c r="AR14" s="36"/>
      <c r="AS14" s="11">
        <f t="shared" si="8"/>
        <v>0</v>
      </c>
      <c r="AT14" s="64"/>
      <c r="AU14" s="36"/>
      <c r="AV14" s="11">
        <f t="shared" si="9"/>
        <v>0</v>
      </c>
      <c r="AW14" s="64"/>
      <c r="AX14" s="36"/>
      <c r="AY14" s="11">
        <f t="shared" si="1"/>
        <v>0</v>
      </c>
      <c r="AZ14" s="64"/>
      <c r="BA14" s="36"/>
      <c r="BB14" s="11">
        <f t="shared" si="2"/>
        <v>0</v>
      </c>
      <c r="BC14" s="64"/>
      <c r="BD14" s="36"/>
      <c r="BE14" s="11">
        <f t="shared" si="10"/>
        <v>0</v>
      </c>
      <c r="BF14" s="64"/>
      <c r="BG14" s="36"/>
      <c r="BH14" s="11">
        <f t="shared" si="11"/>
        <v>0</v>
      </c>
      <c r="BI14" s="64"/>
      <c r="BJ14" s="450"/>
      <c r="BK14" s="260">
        <f t="shared" si="12"/>
        <v>0.5</v>
      </c>
      <c r="BL14" s="157"/>
      <c r="BM14" s="157"/>
    </row>
    <row r="15" spans="1:65" ht="15" customHeight="1">
      <c r="A15" s="10">
        <v>10</v>
      </c>
      <c r="B15" s="36">
        <v>0.5</v>
      </c>
      <c r="C15" s="11">
        <f t="shared" si="18"/>
        <v>2923.7759999999998</v>
      </c>
      <c r="D15" s="64">
        <v>2849</v>
      </c>
      <c r="E15" s="36"/>
      <c r="F15" s="11">
        <f t="shared" si="14"/>
        <v>0</v>
      </c>
      <c r="G15" s="64"/>
      <c r="H15" s="36"/>
      <c r="I15" s="11">
        <f t="shared" si="15"/>
        <v>0</v>
      </c>
      <c r="J15" s="64"/>
      <c r="K15" s="36"/>
      <c r="L15" s="11">
        <f t="shared" si="16"/>
        <v>0</v>
      </c>
      <c r="M15" s="64"/>
      <c r="N15" s="36"/>
      <c r="O15" s="11">
        <f t="shared" si="19"/>
        <v>0</v>
      </c>
      <c r="P15" s="64"/>
      <c r="Q15" s="36"/>
      <c r="R15" s="11">
        <f t="shared" si="20"/>
        <v>0</v>
      </c>
      <c r="S15" s="64"/>
      <c r="T15" s="36"/>
      <c r="U15" s="11">
        <f t="shared" si="17"/>
        <v>0</v>
      </c>
      <c r="V15" s="64"/>
      <c r="W15" s="36"/>
      <c r="X15" s="11">
        <f t="shared" si="3"/>
        <v>0</v>
      </c>
      <c r="Y15" s="64"/>
      <c r="Z15" s="36"/>
      <c r="AA15" s="11">
        <f t="shared" si="4"/>
        <v>0</v>
      </c>
      <c r="AB15" s="64"/>
      <c r="AC15" s="36"/>
      <c r="AD15" s="11">
        <f t="shared" si="5"/>
        <v>0</v>
      </c>
      <c r="AE15" s="64"/>
      <c r="AF15" s="36"/>
      <c r="AG15" s="11">
        <f t="shared" si="0"/>
        <v>0</v>
      </c>
      <c r="AH15" s="64"/>
      <c r="AI15" s="36"/>
      <c r="AJ15" s="11">
        <f t="shared" si="13"/>
        <v>0</v>
      </c>
      <c r="AK15" s="64"/>
      <c r="AL15" s="36"/>
      <c r="AM15" s="11">
        <f t="shared" si="6"/>
        <v>0</v>
      </c>
      <c r="AN15" s="64"/>
      <c r="AO15" s="36"/>
      <c r="AP15" s="11">
        <f t="shared" si="7"/>
        <v>0</v>
      </c>
      <c r="AQ15" s="64"/>
      <c r="AR15" s="36"/>
      <c r="AS15" s="11">
        <f t="shared" si="8"/>
        <v>0</v>
      </c>
      <c r="AT15" s="64"/>
      <c r="AU15" s="36"/>
      <c r="AV15" s="11">
        <f t="shared" si="9"/>
        <v>0</v>
      </c>
      <c r="AW15" s="64"/>
      <c r="AX15" s="36"/>
      <c r="AY15" s="11">
        <f t="shared" si="1"/>
        <v>0</v>
      </c>
      <c r="AZ15" s="64"/>
      <c r="BA15" s="36"/>
      <c r="BB15" s="11">
        <f t="shared" si="2"/>
        <v>0</v>
      </c>
      <c r="BC15" s="64"/>
      <c r="BD15" s="36"/>
      <c r="BE15" s="11">
        <f t="shared" si="10"/>
        <v>0</v>
      </c>
      <c r="BF15" s="64"/>
      <c r="BG15" s="36"/>
      <c r="BH15" s="11">
        <f t="shared" si="11"/>
        <v>0</v>
      </c>
      <c r="BI15" s="64"/>
      <c r="BJ15" s="450"/>
      <c r="BK15" s="260">
        <f t="shared" si="12"/>
        <v>0.5</v>
      </c>
      <c r="BL15" s="157"/>
      <c r="BM15" s="157"/>
    </row>
    <row r="16" spans="1:65" ht="14.25" customHeight="1">
      <c r="A16" s="10">
        <v>11</v>
      </c>
      <c r="B16" s="36">
        <v>0.5</v>
      </c>
      <c r="C16" s="11">
        <f t="shared" si="18"/>
        <v>2923.7759999999998</v>
      </c>
      <c r="D16" s="64">
        <v>825</v>
      </c>
      <c r="E16" s="36"/>
      <c r="F16" s="11">
        <f t="shared" si="14"/>
        <v>0</v>
      </c>
      <c r="G16" s="64"/>
      <c r="H16" s="36"/>
      <c r="I16" s="11">
        <f t="shared" si="15"/>
        <v>0</v>
      </c>
      <c r="J16" s="64"/>
      <c r="K16" s="36"/>
      <c r="L16" s="11">
        <f t="shared" si="16"/>
        <v>0</v>
      </c>
      <c r="M16" s="64"/>
      <c r="N16" s="36"/>
      <c r="O16" s="11">
        <f t="shared" si="19"/>
        <v>0</v>
      </c>
      <c r="P16" s="64"/>
      <c r="Q16" s="36"/>
      <c r="R16" s="11">
        <f t="shared" si="20"/>
        <v>0</v>
      </c>
      <c r="S16" s="64"/>
      <c r="T16" s="36"/>
      <c r="U16" s="11">
        <f t="shared" si="17"/>
        <v>0</v>
      </c>
      <c r="V16" s="64"/>
      <c r="W16" s="36"/>
      <c r="X16" s="11">
        <f t="shared" si="3"/>
        <v>0</v>
      </c>
      <c r="Y16" s="64"/>
      <c r="Z16" s="36"/>
      <c r="AA16" s="11">
        <f t="shared" si="4"/>
        <v>0</v>
      </c>
      <c r="AB16" s="64"/>
      <c r="AC16" s="36"/>
      <c r="AD16" s="11">
        <f t="shared" si="5"/>
        <v>0</v>
      </c>
      <c r="AE16" s="64"/>
      <c r="AF16" s="36"/>
      <c r="AG16" s="11">
        <f t="shared" si="0"/>
        <v>0</v>
      </c>
      <c r="AH16" s="64"/>
      <c r="AI16" s="36"/>
      <c r="AJ16" s="11">
        <f t="shared" si="13"/>
        <v>0</v>
      </c>
      <c r="AK16" s="64"/>
      <c r="AL16" s="36"/>
      <c r="AM16" s="11">
        <f t="shared" si="6"/>
        <v>0</v>
      </c>
      <c r="AN16" s="64"/>
      <c r="AO16" s="36"/>
      <c r="AP16" s="11">
        <f t="shared" si="7"/>
        <v>0</v>
      </c>
      <c r="AQ16" s="64"/>
      <c r="AR16" s="36"/>
      <c r="AS16" s="11">
        <f t="shared" si="8"/>
        <v>0</v>
      </c>
      <c r="AT16" s="64"/>
      <c r="AU16" s="36"/>
      <c r="AV16" s="11">
        <f t="shared" si="9"/>
        <v>0</v>
      </c>
      <c r="AW16" s="64"/>
      <c r="AX16" s="36"/>
      <c r="AY16" s="11">
        <f t="shared" si="1"/>
        <v>0</v>
      </c>
      <c r="AZ16" s="64"/>
      <c r="BA16" s="36"/>
      <c r="BB16" s="11">
        <f t="shared" si="2"/>
        <v>0</v>
      </c>
      <c r="BC16" s="64"/>
      <c r="BD16" s="36"/>
      <c r="BE16" s="11">
        <f t="shared" si="10"/>
        <v>0</v>
      </c>
      <c r="BF16" s="64"/>
      <c r="BG16" s="36"/>
      <c r="BH16" s="11">
        <f t="shared" si="11"/>
        <v>0</v>
      </c>
      <c r="BI16" s="64"/>
      <c r="BJ16" s="450"/>
      <c r="BK16" s="260">
        <f t="shared" si="12"/>
        <v>0.5</v>
      </c>
      <c r="BL16" s="157"/>
      <c r="BM16" s="157"/>
    </row>
    <row r="17" spans="1:65" ht="14.25" customHeight="1">
      <c r="A17" s="10">
        <v>12</v>
      </c>
      <c r="B17" s="36">
        <v>0.5</v>
      </c>
      <c r="C17" s="11">
        <f t="shared" si="18"/>
        <v>2923.7759999999998</v>
      </c>
      <c r="D17" s="64">
        <v>3061</v>
      </c>
      <c r="E17" s="36"/>
      <c r="F17" s="11">
        <f t="shared" si="14"/>
        <v>0</v>
      </c>
      <c r="G17" s="64"/>
      <c r="H17" s="36"/>
      <c r="I17" s="11">
        <f t="shared" si="15"/>
        <v>0</v>
      </c>
      <c r="J17" s="64"/>
      <c r="K17" s="36"/>
      <c r="L17" s="11">
        <f t="shared" si="16"/>
        <v>0</v>
      </c>
      <c r="M17" s="64"/>
      <c r="N17" s="36"/>
      <c r="O17" s="11">
        <f t="shared" si="19"/>
        <v>0</v>
      </c>
      <c r="P17" s="64"/>
      <c r="Q17" s="36"/>
      <c r="R17" s="11">
        <f t="shared" si="20"/>
        <v>0</v>
      </c>
      <c r="S17" s="64"/>
      <c r="T17" s="36"/>
      <c r="U17" s="11">
        <f t="shared" si="17"/>
        <v>0</v>
      </c>
      <c r="V17" s="64"/>
      <c r="W17" s="36"/>
      <c r="X17" s="11">
        <f t="shared" si="3"/>
        <v>0</v>
      </c>
      <c r="Y17" s="64"/>
      <c r="Z17" s="36"/>
      <c r="AA17" s="11">
        <f t="shared" si="4"/>
        <v>0</v>
      </c>
      <c r="AB17" s="64"/>
      <c r="AC17" s="36"/>
      <c r="AD17" s="11">
        <f t="shared" si="5"/>
        <v>0</v>
      </c>
      <c r="AE17" s="64"/>
      <c r="AF17" s="36"/>
      <c r="AG17" s="11">
        <f t="shared" si="0"/>
        <v>0</v>
      </c>
      <c r="AH17" s="64"/>
      <c r="AI17" s="36"/>
      <c r="AJ17" s="11">
        <f t="shared" si="13"/>
        <v>0</v>
      </c>
      <c r="AK17" s="64"/>
      <c r="AL17" s="36"/>
      <c r="AM17" s="11">
        <f t="shared" si="6"/>
        <v>0</v>
      </c>
      <c r="AN17" s="64"/>
      <c r="AO17" s="36"/>
      <c r="AP17" s="11">
        <f t="shared" si="7"/>
        <v>0</v>
      </c>
      <c r="AQ17" s="64"/>
      <c r="AR17" s="36"/>
      <c r="AS17" s="11">
        <f t="shared" si="8"/>
        <v>0</v>
      </c>
      <c r="AT17" s="64"/>
      <c r="AU17" s="36"/>
      <c r="AV17" s="11">
        <f t="shared" si="9"/>
        <v>0</v>
      </c>
      <c r="AW17" s="64"/>
      <c r="AX17" s="36"/>
      <c r="AY17" s="11">
        <f t="shared" si="1"/>
        <v>0</v>
      </c>
      <c r="AZ17" s="64"/>
      <c r="BA17" s="36"/>
      <c r="BB17" s="11">
        <f t="shared" si="2"/>
        <v>0</v>
      </c>
      <c r="BC17" s="64"/>
      <c r="BD17" s="36"/>
      <c r="BE17" s="11">
        <f t="shared" si="10"/>
        <v>0</v>
      </c>
      <c r="BF17" s="64"/>
      <c r="BG17" s="36"/>
      <c r="BH17" s="11">
        <f t="shared" si="11"/>
        <v>0</v>
      </c>
      <c r="BI17" s="64"/>
      <c r="BJ17" s="450"/>
      <c r="BK17" s="260">
        <f t="shared" si="12"/>
        <v>0.5</v>
      </c>
      <c r="BL17" s="157"/>
      <c r="BM17" s="157"/>
    </row>
    <row r="18" spans="1:65" ht="14.25" customHeight="1">
      <c r="A18" s="10">
        <v>13</v>
      </c>
      <c r="B18" s="36">
        <v>0.5</v>
      </c>
      <c r="C18" s="11">
        <f t="shared" si="18"/>
        <v>2923.7759999999998</v>
      </c>
      <c r="D18" s="64">
        <v>1650</v>
      </c>
      <c r="E18" s="36"/>
      <c r="F18" s="11">
        <f t="shared" si="14"/>
        <v>0</v>
      </c>
      <c r="G18" s="64"/>
      <c r="H18" s="36"/>
      <c r="I18" s="11">
        <f t="shared" si="15"/>
        <v>0</v>
      </c>
      <c r="J18" s="64"/>
      <c r="K18" s="36"/>
      <c r="L18" s="11">
        <f t="shared" si="16"/>
        <v>0</v>
      </c>
      <c r="M18" s="64"/>
      <c r="N18" s="36"/>
      <c r="O18" s="11">
        <f t="shared" si="19"/>
        <v>0</v>
      </c>
      <c r="P18" s="64"/>
      <c r="Q18" s="36"/>
      <c r="R18" s="11">
        <f t="shared" si="20"/>
        <v>0</v>
      </c>
      <c r="S18" s="64"/>
      <c r="T18" s="36"/>
      <c r="U18" s="11">
        <f t="shared" si="17"/>
        <v>0</v>
      </c>
      <c r="V18" s="64"/>
      <c r="W18" s="36"/>
      <c r="X18" s="11">
        <f t="shared" si="3"/>
        <v>0</v>
      </c>
      <c r="Y18" s="64"/>
      <c r="Z18" s="36"/>
      <c r="AA18" s="11">
        <f t="shared" si="4"/>
        <v>0</v>
      </c>
      <c r="AB18" s="64"/>
      <c r="AC18" s="36"/>
      <c r="AD18" s="11">
        <f t="shared" si="5"/>
        <v>0</v>
      </c>
      <c r="AE18" s="64"/>
      <c r="AF18" s="36"/>
      <c r="AG18" s="11">
        <f t="shared" si="0"/>
        <v>0</v>
      </c>
      <c r="AH18" s="64"/>
      <c r="AI18" s="36"/>
      <c r="AJ18" s="11">
        <f t="shared" si="13"/>
        <v>0</v>
      </c>
      <c r="AK18" s="64"/>
      <c r="AL18" s="36"/>
      <c r="AM18" s="11">
        <f t="shared" si="6"/>
        <v>0</v>
      </c>
      <c r="AN18" s="64"/>
      <c r="AO18" s="36"/>
      <c r="AP18" s="11">
        <f t="shared" si="7"/>
        <v>0</v>
      </c>
      <c r="AQ18" s="64"/>
      <c r="AR18" s="36"/>
      <c r="AS18" s="11">
        <f t="shared" si="8"/>
        <v>0</v>
      </c>
      <c r="AT18" s="64"/>
      <c r="AU18" s="36"/>
      <c r="AV18" s="11">
        <f t="shared" si="9"/>
        <v>0</v>
      </c>
      <c r="AW18" s="64"/>
      <c r="AX18" s="36"/>
      <c r="AY18" s="11">
        <f t="shared" si="1"/>
        <v>0</v>
      </c>
      <c r="AZ18" s="64"/>
      <c r="BA18" s="36"/>
      <c r="BB18" s="11">
        <f t="shared" si="2"/>
        <v>0</v>
      </c>
      <c r="BC18" s="64"/>
      <c r="BD18" s="36"/>
      <c r="BE18" s="11">
        <f t="shared" si="10"/>
        <v>0</v>
      </c>
      <c r="BF18" s="64"/>
      <c r="BG18" s="36"/>
      <c r="BH18" s="11">
        <f t="shared" si="11"/>
        <v>0</v>
      </c>
      <c r="BI18" s="64"/>
      <c r="BJ18" s="450"/>
      <c r="BK18" s="260">
        <f t="shared" si="12"/>
        <v>0.5</v>
      </c>
      <c r="BL18" s="157"/>
      <c r="BM18" s="157"/>
    </row>
    <row r="19" spans="1:65" ht="14.25" customHeight="1">
      <c r="A19" s="10">
        <v>14</v>
      </c>
      <c r="B19" s="36">
        <v>0.5</v>
      </c>
      <c r="C19" s="11">
        <f t="shared" si="18"/>
        <v>2923.7759999999998</v>
      </c>
      <c r="D19" s="64">
        <v>825</v>
      </c>
      <c r="E19" s="36"/>
      <c r="F19" s="11">
        <f t="shared" si="14"/>
        <v>0</v>
      </c>
      <c r="G19" s="64"/>
      <c r="H19" s="36"/>
      <c r="I19" s="11">
        <f t="shared" si="15"/>
        <v>0</v>
      </c>
      <c r="J19" s="64"/>
      <c r="K19" s="36"/>
      <c r="L19" s="11">
        <f t="shared" si="16"/>
        <v>0</v>
      </c>
      <c r="M19" s="64"/>
      <c r="N19" s="36"/>
      <c r="O19" s="11">
        <f t="shared" si="19"/>
        <v>0</v>
      </c>
      <c r="P19" s="64"/>
      <c r="Q19" s="36"/>
      <c r="R19" s="11">
        <f t="shared" si="20"/>
        <v>0</v>
      </c>
      <c r="S19" s="64"/>
      <c r="T19" s="36"/>
      <c r="U19" s="11">
        <f t="shared" si="17"/>
        <v>0</v>
      </c>
      <c r="V19" s="64"/>
      <c r="W19" s="36"/>
      <c r="X19" s="11">
        <f t="shared" si="3"/>
        <v>0</v>
      </c>
      <c r="Y19" s="64"/>
      <c r="Z19" s="36"/>
      <c r="AA19" s="11">
        <f t="shared" si="4"/>
        <v>0</v>
      </c>
      <c r="AB19" s="64"/>
      <c r="AC19" s="36"/>
      <c r="AD19" s="11">
        <f t="shared" si="5"/>
        <v>0</v>
      </c>
      <c r="AE19" s="64"/>
      <c r="AF19" s="36"/>
      <c r="AG19" s="11">
        <f t="shared" si="0"/>
        <v>0</v>
      </c>
      <c r="AH19" s="64"/>
      <c r="AI19" s="36"/>
      <c r="AJ19" s="11">
        <f t="shared" si="13"/>
        <v>0</v>
      </c>
      <c r="AK19" s="64"/>
      <c r="AL19" s="36"/>
      <c r="AM19" s="11">
        <f t="shared" si="6"/>
        <v>0</v>
      </c>
      <c r="AN19" s="64"/>
      <c r="AO19" s="36"/>
      <c r="AP19" s="11">
        <f t="shared" si="7"/>
        <v>0</v>
      </c>
      <c r="AQ19" s="64"/>
      <c r="AR19" s="36"/>
      <c r="AS19" s="11">
        <f t="shared" si="8"/>
        <v>0</v>
      </c>
      <c r="AT19" s="64"/>
      <c r="AU19" s="36"/>
      <c r="AV19" s="11">
        <f t="shared" si="9"/>
        <v>0</v>
      </c>
      <c r="AW19" s="64"/>
      <c r="AX19" s="36"/>
      <c r="AY19" s="11">
        <f t="shared" si="1"/>
        <v>0</v>
      </c>
      <c r="AZ19" s="64"/>
      <c r="BA19" s="36"/>
      <c r="BB19" s="11">
        <f t="shared" si="2"/>
        <v>0</v>
      </c>
      <c r="BC19" s="64"/>
      <c r="BD19" s="36"/>
      <c r="BE19" s="11">
        <f t="shared" si="10"/>
        <v>0</v>
      </c>
      <c r="BF19" s="64"/>
      <c r="BG19" s="36"/>
      <c r="BH19" s="11">
        <f t="shared" si="11"/>
        <v>0</v>
      </c>
      <c r="BI19" s="64"/>
      <c r="BJ19" s="450"/>
      <c r="BK19" s="260">
        <f t="shared" si="12"/>
        <v>0.5</v>
      </c>
      <c r="BL19" s="157"/>
      <c r="BM19" s="157"/>
    </row>
    <row r="20" spans="1:65" ht="15" customHeight="1">
      <c r="A20" s="10">
        <v>15</v>
      </c>
      <c r="B20" s="36">
        <v>0</v>
      </c>
      <c r="C20" s="11">
        <f t="shared" si="18"/>
        <v>0</v>
      </c>
      <c r="D20" s="64">
        <v>1208</v>
      </c>
      <c r="E20" s="36"/>
      <c r="F20" s="11">
        <f t="shared" si="14"/>
        <v>0</v>
      </c>
      <c r="G20" s="64"/>
      <c r="H20" s="36"/>
      <c r="I20" s="11">
        <f t="shared" si="15"/>
        <v>0</v>
      </c>
      <c r="J20" s="64"/>
      <c r="K20" s="36"/>
      <c r="L20" s="11">
        <f t="shared" si="16"/>
        <v>0</v>
      </c>
      <c r="M20" s="64"/>
      <c r="N20" s="36"/>
      <c r="O20" s="11">
        <f t="shared" si="19"/>
        <v>0</v>
      </c>
      <c r="P20" s="64"/>
      <c r="Q20" s="36"/>
      <c r="R20" s="11">
        <f t="shared" si="20"/>
        <v>0</v>
      </c>
      <c r="S20" s="64"/>
      <c r="T20" s="36"/>
      <c r="U20" s="11">
        <f t="shared" si="17"/>
        <v>0</v>
      </c>
      <c r="V20" s="64"/>
      <c r="W20" s="36"/>
      <c r="X20" s="11">
        <f t="shared" si="3"/>
        <v>0</v>
      </c>
      <c r="Y20" s="64"/>
      <c r="Z20" s="36"/>
      <c r="AA20" s="11">
        <f t="shared" si="4"/>
        <v>0</v>
      </c>
      <c r="AB20" s="64"/>
      <c r="AC20" s="36"/>
      <c r="AD20" s="11">
        <f t="shared" si="5"/>
        <v>0</v>
      </c>
      <c r="AE20" s="64"/>
      <c r="AF20" s="36"/>
      <c r="AG20" s="11">
        <f t="shared" si="0"/>
        <v>0</v>
      </c>
      <c r="AH20" s="64"/>
      <c r="AI20" s="36"/>
      <c r="AJ20" s="11">
        <f t="shared" si="13"/>
        <v>0</v>
      </c>
      <c r="AK20" s="64"/>
      <c r="AL20" s="36"/>
      <c r="AM20" s="11">
        <f t="shared" si="6"/>
        <v>0</v>
      </c>
      <c r="AN20" s="64"/>
      <c r="AO20" s="36"/>
      <c r="AP20" s="11">
        <f t="shared" si="7"/>
        <v>0</v>
      </c>
      <c r="AQ20" s="64"/>
      <c r="AR20" s="36"/>
      <c r="AS20" s="11">
        <f t="shared" si="8"/>
        <v>0</v>
      </c>
      <c r="AT20" s="64"/>
      <c r="AU20" s="36"/>
      <c r="AV20" s="11">
        <f t="shared" si="9"/>
        <v>0</v>
      </c>
      <c r="AW20" s="64"/>
      <c r="AX20" s="36"/>
      <c r="AY20" s="11">
        <f t="shared" si="1"/>
        <v>0</v>
      </c>
      <c r="AZ20" s="64"/>
      <c r="BA20" s="36"/>
      <c r="BB20" s="11">
        <f t="shared" si="2"/>
        <v>0</v>
      </c>
      <c r="BC20" s="64"/>
      <c r="BD20" s="36"/>
      <c r="BE20" s="11">
        <f t="shared" si="10"/>
        <v>0</v>
      </c>
      <c r="BF20" s="64"/>
      <c r="BG20" s="36"/>
      <c r="BH20" s="11">
        <f t="shared" si="11"/>
        <v>0</v>
      </c>
      <c r="BI20" s="64"/>
      <c r="BJ20" s="450"/>
      <c r="BK20" s="260">
        <f t="shared" si="12"/>
        <v>0</v>
      </c>
      <c r="BL20" s="157"/>
      <c r="BM20" s="157"/>
    </row>
    <row r="21" spans="1:65" ht="15" customHeight="1">
      <c r="A21" s="10">
        <v>16</v>
      </c>
      <c r="B21" s="36">
        <v>0</v>
      </c>
      <c r="C21" s="11">
        <f t="shared" si="18"/>
        <v>0</v>
      </c>
      <c r="D21" s="64"/>
      <c r="E21" s="36"/>
      <c r="F21" s="11">
        <f t="shared" si="14"/>
        <v>0</v>
      </c>
      <c r="G21" s="64"/>
      <c r="H21" s="36"/>
      <c r="I21" s="11">
        <f t="shared" si="15"/>
        <v>0</v>
      </c>
      <c r="J21" s="64"/>
      <c r="K21" s="36"/>
      <c r="L21" s="11">
        <f t="shared" si="16"/>
        <v>0</v>
      </c>
      <c r="M21" s="64"/>
      <c r="N21" s="36"/>
      <c r="O21" s="11">
        <f t="shared" si="19"/>
        <v>0</v>
      </c>
      <c r="P21" s="64"/>
      <c r="Q21" s="36"/>
      <c r="R21" s="11">
        <f t="shared" si="20"/>
        <v>0</v>
      </c>
      <c r="S21" s="64"/>
      <c r="T21" s="36"/>
      <c r="U21" s="11">
        <f t="shared" si="17"/>
        <v>0</v>
      </c>
      <c r="V21" s="64"/>
      <c r="W21" s="36"/>
      <c r="X21" s="11">
        <f t="shared" si="3"/>
        <v>0</v>
      </c>
      <c r="Y21" s="64"/>
      <c r="Z21" s="36"/>
      <c r="AA21" s="11">
        <f t="shared" si="4"/>
        <v>0</v>
      </c>
      <c r="AB21" s="64"/>
      <c r="AC21" s="36"/>
      <c r="AD21" s="11">
        <f t="shared" si="5"/>
        <v>0</v>
      </c>
      <c r="AE21" s="64"/>
      <c r="AF21" s="36"/>
      <c r="AG21" s="11">
        <f t="shared" si="0"/>
        <v>0</v>
      </c>
      <c r="AH21" s="64"/>
      <c r="AI21" s="36"/>
      <c r="AJ21" s="11">
        <f t="shared" si="13"/>
        <v>0</v>
      </c>
      <c r="AK21" s="64"/>
      <c r="AL21" s="36"/>
      <c r="AM21" s="11">
        <f t="shared" si="6"/>
        <v>0</v>
      </c>
      <c r="AN21" s="64"/>
      <c r="AO21" s="36"/>
      <c r="AP21" s="11">
        <f t="shared" si="7"/>
        <v>0</v>
      </c>
      <c r="AQ21" s="64"/>
      <c r="AR21" s="36"/>
      <c r="AS21" s="11">
        <f t="shared" si="8"/>
        <v>0</v>
      </c>
      <c r="AT21" s="64"/>
      <c r="AU21" s="36"/>
      <c r="AV21" s="11">
        <f t="shared" si="9"/>
        <v>0</v>
      </c>
      <c r="AW21" s="64"/>
      <c r="AX21" s="36"/>
      <c r="AY21" s="11">
        <f t="shared" si="1"/>
        <v>0</v>
      </c>
      <c r="AZ21" s="64"/>
      <c r="BA21" s="36"/>
      <c r="BB21" s="11">
        <f t="shared" si="2"/>
        <v>0</v>
      </c>
      <c r="BC21" s="64"/>
      <c r="BD21" s="36"/>
      <c r="BE21" s="11">
        <f t="shared" si="10"/>
        <v>0</v>
      </c>
      <c r="BF21" s="64"/>
      <c r="BG21" s="36"/>
      <c r="BH21" s="11">
        <f t="shared" si="11"/>
        <v>0</v>
      </c>
      <c r="BI21" s="64"/>
      <c r="BJ21" s="450"/>
      <c r="BK21" s="260">
        <f t="shared" si="12"/>
        <v>0</v>
      </c>
      <c r="BL21" s="157"/>
      <c r="BM21" s="157"/>
    </row>
    <row r="22" spans="1:65" ht="15" customHeight="1">
      <c r="A22" s="10">
        <v>17</v>
      </c>
      <c r="B22" s="36">
        <v>0</v>
      </c>
      <c r="C22" s="11">
        <f t="shared" si="18"/>
        <v>0</v>
      </c>
      <c r="D22" s="63"/>
      <c r="E22" s="36"/>
      <c r="F22" s="11">
        <f t="shared" si="14"/>
        <v>0</v>
      </c>
      <c r="G22" s="63"/>
      <c r="H22" s="36"/>
      <c r="I22" s="11">
        <f t="shared" si="15"/>
        <v>0</v>
      </c>
      <c r="J22" s="63"/>
      <c r="K22" s="36"/>
      <c r="L22" s="11">
        <f t="shared" si="16"/>
        <v>0</v>
      </c>
      <c r="M22" s="64"/>
      <c r="N22" s="36"/>
      <c r="O22" s="11">
        <f t="shared" si="19"/>
        <v>0</v>
      </c>
      <c r="P22" s="64"/>
      <c r="Q22" s="36"/>
      <c r="R22" s="11">
        <f t="shared" si="20"/>
        <v>0</v>
      </c>
      <c r="S22" s="64"/>
      <c r="T22" s="36"/>
      <c r="U22" s="11">
        <f t="shared" si="17"/>
        <v>0</v>
      </c>
      <c r="V22" s="64"/>
      <c r="W22" s="36"/>
      <c r="X22" s="11">
        <f t="shared" si="3"/>
        <v>0</v>
      </c>
      <c r="Y22" s="64"/>
      <c r="Z22" s="36"/>
      <c r="AA22" s="11">
        <f t="shared" si="4"/>
        <v>0</v>
      </c>
      <c r="AB22" s="64"/>
      <c r="AC22" s="36"/>
      <c r="AD22" s="11">
        <f t="shared" si="5"/>
        <v>0</v>
      </c>
      <c r="AE22" s="64"/>
      <c r="AF22" s="36"/>
      <c r="AG22" s="11">
        <f t="shared" si="0"/>
        <v>0</v>
      </c>
      <c r="AH22" s="64"/>
      <c r="AI22" s="36"/>
      <c r="AJ22" s="11">
        <f t="shared" si="13"/>
        <v>0</v>
      </c>
      <c r="AK22" s="64"/>
      <c r="AL22" s="36"/>
      <c r="AM22" s="11">
        <f t="shared" si="6"/>
        <v>0</v>
      </c>
      <c r="AN22" s="64"/>
      <c r="AO22" s="36"/>
      <c r="AP22" s="11">
        <f t="shared" si="7"/>
        <v>0</v>
      </c>
      <c r="AQ22" s="64"/>
      <c r="AR22" s="36"/>
      <c r="AS22" s="11">
        <f t="shared" si="8"/>
        <v>0</v>
      </c>
      <c r="AT22" s="64"/>
      <c r="AU22" s="36"/>
      <c r="AV22" s="11">
        <f t="shared" si="9"/>
        <v>0</v>
      </c>
      <c r="AW22" s="64"/>
      <c r="AX22" s="36"/>
      <c r="AY22" s="11">
        <f t="shared" si="1"/>
        <v>0</v>
      </c>
      <c r="AZ22" s="64"/>
      <c r="BA22" s="36"/>
      <c r="BB22" s="11">
        <f t="shared" si="2"/>
        <v>0</v>
      </c>
      <c r="BC22" s="64"/>
      <c r="BD22" s="36"/>
      <c r="BE22" s="11">
        <f t="shared" si="10"/>
        <v>0</v>
      </c>
      <c r="BF22" s="64"/>
      <c r="BG22" s="36"/>
      <c r="BH22" s="11">
        <f t="shared" si="11"/>
        <v>0</v>
      </c>
      <c r="BI22" s="64"/>
      <c r="BJ22" s="450"/>
      <c r="BK22" s="260">
        <f t="shared" si="12"/>
        <v>0</v>
      </c>
      <c r="BL22" s="157"/>
      <c r="BM22" s="157"/>
    </row>
    <row r="23" spans="1:65" ht="15" customHeight="1">
      <c r="A23" s="10">
        <v>18</v>
      </c>
      <c r="B23" s="36">
        <v>0</v>
      </c>
      <c r="C23" s="11">
        <f t="shared" si="18"/>
        <v>0</v>
      </c>
      <c r="D23" s="63"/>
      <c r="E23" s="36"/>
      <c r="F23" s="11">
        <f t="shared" si="14"/>
        <v>0</v>
      </c>
      <c r="G23" s="63"/>
      <c r="H23" s="36"/>
      <c r="I23" s="11">
        <f t="shared" si="15"/>
        <v>0</v>
      </c>
      <c r="J23" s="63"/>
      <c r="K23" s="36"/>
      <c r="L23" s="11">
        <f t="shared" si="16"/>
        <v>0</v>
      </c>
      <c r="M23" s="63"/>
      <c r="N23" s="36"/>
      <c r="O23" s="11">
        <f t="shared" si="19"/>
        <v>0</v>
      </c>
      <c r="P23" s="63"/>
      <c r="Q23" s="36"/>
      <c r="R23" s="11">
        <f t="shared" si="20"/>
        <v>0</v>
      </c>
      <c r="S23" s="63"/>
      <c r="T23" s="36"/>
      <c r="U23" s="11">
        <f t="shared" si="17"/>
        <v>0</v>
      </c>
      <c r="V23" s="63"/>
      <c r="W23" s="36"/>
      <c r="X23" s="11">
        <f t="shared" si="3"/>
        <v>0</v>
      </c>
      <c r="Y23" s="63"/>
      <c r="Z23" s="36"/>
      <c r="AA23" s="11">
        <f t="shared" si="4"/>
        <v>0</v>
      </c>
      <c r="AB23" s="63"/>
      <c r="AC23" s="36"/>
      <c r="AD23" s="11">
        <f t="shared" si="5"/>
        <v>0</v>
      </c>
      <c r="AE23" s="64"/>
      <c r="AF23" s="36"/>
      <c r="AG23" s="11">
        <f t="shared" si="0"/>
        <v>0</v>
      </c>
      <c r="AH23" s="64"/>
      <c r="AI23" s="36"/>
      <c r="AJ23" s="11">
        <f t="shared" si="13"/>
        <v>0</v>
      </c>
      <c r="AK23" s="64"/>
      <c r="AL23" s="36"/>
      <c r="AM23" s="11">
        <f t="shared" si="6"/>
        <v>0</v>
      </c>
      <c r="AN23" s="64"/>
      <c r="AO23" s="36"/>
      <c r="AP23" s="11">
        <f t="shared" si="7"/>
        <v>0</v>
      </c>
      <c r="AQ23" s="64"/>
      <c r="AR23" s="36"/>
      <c r="AS23" s="11">
        <f t="shared" si="8"/>
        <v>0</v>
      </c>
      <c r="AT23" s="64"/>
      <c r="AU23" s="36"/>
      <c r="AV23" s="11">
        <f t="shared" si="9"/>
        <v>0</v>
      </c>
      <c r="AW23" s="64"/>
      <c r="AX23" s="36"/>
      <c r="AY23" s="11">
        <f t="shared" si="1"/>
        <v>0</v>
      </c>
      <c r="AZ23" s="64"/>
      <c r="BA23" s="36"/>
      <c r="BB23" s="11">
        <f t="shared" si="2"/>
        <v>0</v>
      </c>
      <c r="BC23" s="64"/>
      <c r="BD23" s="36"/>
      <c r="BE23" s="11">
        <f t="shared" si="10"/>
        <v>0</v>
      </c>
      <c r="BF23" s="64"/>
      <c r="BG23" s="36"/>
      <c r="BH23" s="11">
        <f t="shared" si="11"/>
        <v>0</v>
      </c>
      <c r="BI23" s="64"/>
      <c r="BJ23" s="450"/>
      <c r="BK23" s="260">
        <f t="shared" si="12"/>
        <v>0</v>
      </c>
      <c r="BL23" s="157"/>
      <c r="BM23" s="157"/>
    </row>
    <row r="24" spans="1:65" ht="15" customHeight="1">
      <c r="A24" s="10">
        <v>19</v>
      </c>
      <c r="B24" s="36">
        <v>0</v>
      </c>
      <c r="C24" s="11">
        <f t="shared" si="18"/>
        <v>0</v>
      </c>
      <c r="D24" s="63"/>
      <c r="E24" s="36"/>
      <c r="F24" s="11">
        <f t="shared" si="14"/>
        <v>0</v>
      </c>
      <c r="G24" s="63"/>
      <c r="H24" s="36"/>
      <c r="I24" s="11">
        <f t="shared" si="15"/>
        <v>0</v>
      </c>
      <c r="J24" s="63"/>
      <c r="K24" s="36"/>
      <c r="L24" s="11">
        <f t="shared" si="16"/>
        <v>0</v>
      </c>
      <c r="M24" s="63"/>
      <c r="N24" s="36"/>
      <c r="O24" s="11">
        <f t="shared" si="19"/>
        <v>0</v>
      </c>
      <c r="P24" s="63"/>
      <c r="Q24" s="36"/>
      <c r="R24" s="11">
        <f t="shared" si="20"/>
        <v>0</v>
      </c>
      <c r="S24" s="63"/>
      <c r="T24" s="36"/>
      <c r="U24" s="11">
        <f t="shared" si="17"/>
        <v>0</v>
      </c>
      <c r="V24" s="63"/>
      <c r="W24" s="36"/>
      <c r="X24" s="11">
        <f t="shared" si="3"/>
        <v>0</v>
      </c>
      <c r="Y24" s="63"/>
      <c r="Z24" s="36"/>
      <c r="AA24" s="11">
        <f t="shared" si="4"/>
        <v>0</v>
      </c>
      <c r="AB24" s="63"/>
      <c r="AC24" s="36"/>
      <c r="AD24" s="11">
        <f t="shared" si="5"/>
        <v>0</v>
      </c>
      <c r="AE24" s="64"/>
      <c r="AF24" s="36"/>
      <c r="AG24" s="11">
        <f t="shared" si="0"/>
        <v>0</v>
      </c>
      <c r="AH24" s="64"/>
      <c r="AI24" s="36"/>
      <c r="AJ24" s="11">
        <f t="shared" si="13"/>
        <v>0</v>
      </c>
      <c r="AK24" s="64"/>
      <c r="AL24" s="36"/>
      <c r="AM24" s="11">
        <f t="shared" si="6"/>
        <v>0</v>
      </c>
      <c r="AN24" s="64"/>
      <c r="AO24" s="36"/>
      <c r="AP24" s="11">
        <f t="shared" si="7"/>
        <v>0</v>
      </c>
      <c r="AQ24" s="64"/>
      <c r="AR24" s="36"/>
      <c r="AS24" s="11">
        <f t="shared" si="8"/>
        <v>0</v>
      </c>
      <c r="AT24" s="64"/>
      <c r="AU24" s="36"/>
      <c r="AV24" s="11">
        <f t="shared" si="9"/>
        <v>0</v>
      </c>
      <c r="AW24" s="64"/>
      <c r="AX24" s="36"/>
      <c r="AY24" s="11">
        <f t="shared" si="1"/>
        <v>0</v>
      </c>
      <c r="AZ24" s="64"/>
      <c r="BA24" s="36"/>
      <c r="BB24" s="11">
        <f t="shared" si="2"/>
        <v>0</v>
      </c>
      <c r="BC24" s="64"/>
      <c r="BD24" s="36"/>
      <c r="BE24" s="11">
        <f t="shared" si="10"/>
        <v>0</v>
      </c>
      <c r="BF24" s="64"/>
      <c r="BG24" s="36"/>
      <c r="BH24" s="11">
        <f t="shared" si="11"/>
        <v>0</v>
      </c>
      <c r="BI24" s="64"/>
      <c r="BJ24" s="450"/>
      <c r="BK24" s="260">
        <f t="shared" si="12"/>
        <v>0</v>
      </c>
      <c r="BL24" s="157"/>
      <c r="BM24" s="157"/>
    </row>
    <row r="25" spans="1:65" ht="15" customHeight="1">
      <c r="A25" s="10">
        <v>20</v>
      </c>
      <c r="B25" s="36">
        <v>0</v>
      </c>
      <c r="C25" s="11">
        <f t="shared" si="18"/>
        <v>0</v>
      </c>
      <c r="D25" s="63"/>
      <c r="E25" s="36"/>
      <c r="F25" s="11">
        <f t="shared" si="14"/>
        <v>0</v>
      </c>
      <c r="G25" s="63"/>
      <c r="H25" s="36"/>
      <c r="I25" s="11">
        <f t="shared" si="15"/>
        <v>0</v>
      </c>
      <c r="J25" s="63"/>
      <c r="K25" s="36"/>
      <c r="L25" s="11">
        <f t="shared" si="16"/>
        <v>0</v>
      </c>
      <c r="M25" s="63"/>
      <c r="N25" s="36"/>
      <c r="O25" s="11">
        <f t="shared" si="19"/>
        <v>0</v>
      </c>
      <c r="P25" s="63"/>
      <c r="Q25" s="36"/>
      <c r="R25" s="11">
        <f t="shared" si="20"/>
        <v>0</v>
      </c>
      <c r="S25" s="63"/>
      <c r="T25" s="36"/>
      <c r="U25" s="11">
        <f t="shared" si="17"/>
        <v>0</v>
      </c>
      <c r="V25" s="63"/>
      <c r="W25" s="36"/>
      <c r="X25" s="11">
        <f t="shared" si="3"/>
        <v>0</v>
      </c>
      <c r="Y25" s="63"/>
      <c r="Z25" s="36"/>
      <c r="AA25" s="11">
        <f t="shared" si="4"/>
        <v>0</v>
      </c>
      <c r="AB25" s="63"/>
      <c r="AC25" s="36"/>
      <c r="AD25" s="11">
        <f t="shared" si="5"/>
        <v>0</v>
      </c>
      <c r="AE25" s="64"/>
      <c r="AF25" s="36"/>
      <c r="AG25" s="11">
        <f t="shared" si="0"/>
        <v>0</v>
      </c>
      <c r="AH25" s="64"/>
      <c r="AI25" s="36"/>
      <c r="AJ25" s="11">
        <f t="shared" si="13"/>
        <v>0</v>
      </c>
      <c r="AK25" s="64"/>
      <c r="AL25" s="36"/>
      <c r="AM25" s="11">
        <f t="shared" si="6"/>
        <v>0</v>
      </c>
      <c r="AN25" s="64"/>
      <c r="AO25" s="36"/>
      <c r="AP25" s="11">
        <f t="shared" si="7"/>
        <v>0</v>
      </c>
      <c r="AQ25" s="64"/>
      <c r="AR25" s="36"/>
      <c r="AS25" s="11">
        <f t="shared" si="8"/>
        <v>0</v>
      </c>
      <c r="AT25" s="64"/>
      <c r="AU25" s="36"/>
      <c r="AV25" s="11">
        <f t="shared" si="9"/>
        <v>0</v>
      </c>
      <c r="AW25" s="64"/>
      <c r="AX25" s="36"/>
      <c r="AY25" s="11">
        <f t="shared" si="1"/>
        <v>0</v>
      </c>
      <c r="AZ25" s="64"/>
      <c r="BA25" s="36"/>
      <c r="BB25" s="11">
        <f t="shared" si="2"/>
        <v>0</v>
      </c>
      <c r="BC25" s="64"/>
      <c r="BD25" s="36"/>
      <c r="BE25" s="11">
        <f t="shared" si="10"/>
        <v>0</v>
      </c>
      <c r="BF25" s="64"/>
      <c r="BG25" s="36"/>
      <c r="BH25" s="11">
        <f t="shared" si="11"/>
        <v>0</v>
      </c>
      <c r="BI25" s="64"/>
      <c r="BJ25" s="450"/>
      <c r="BK25" s="260">
        <f t="shared" si="12"/>
        <v>0</v>
      </c>
      <c r="BL25" s="157"/>
      <c r="BM25" s="157"/>
    </row>
    <row r="26" spans="1:65" ht="15" customHeight="1">
      <c r="A26" s="10">
        <v>21</v>
      </c>
      <c r="B26" s="36"/>
      <c r="C26" s="11">
        <f t="shared" si="18"/>
        <v>0</v>
      </c>
      <c r="D26" s="63"/>
      <c r="E26" s="36"/>
      <c r="F26" s="11">
        <f t="shared" si="14"/>
        <v>0</v>
      </c>
      <c r="G26" s="63"/>
      <c r="H26" s="36"/>
      <c r="I26" s="11">
        <f t="shared" si="15"/>
        <v>0</v>
      </c>
      <c r="J26" s="63"/>
      <c r="K26" s="36"/>
      <c r="L26" s="11">
        <f t="shared" si="16"/>
        <v>0</v>
      </c>
      <c r="M26" s="63"/>
      <c r="N26" s="36"/>
      <c r="O26" s="11">
        <f t="shared" si="19"/>
        <v>0</v>
      </c>
      <c r="P26" s="63"/>
      <c r="Q26" s="36"/>
      <c r="R26" s="11">
        <f t="shared" si="20"/>
        <v>0</v>
      </c>
      <c r="S26" s="63"/>
      <c r="T26" s="36"/>
      <c r="U26" s="11">
        <f t="shared" si="17"/>
        <v>0</v>
      </c>
      <c r="V26" s="63"/>
      <c r="W26" s="36"/>
      <c r="X26" s="11">
        <f t="shared" si="3"/>
        <v>0</v>
      </c>
      <c r="Y26" s="63"/>
      <c r="Z26" s="36"/>
      <c r="AA26" s="11">
        <f t="shared" si="4"/>
        <v>0</v>
      </c>
      <c r="AB26" s="63"/>
      <c r="AC26" s="36"/>
      <c r="AD26" s="11">
        <f t="shared" si="5"/>
        <v>0</v>
      </c>
      <c r="AE26" s="64"/>
      <c r="AF26" s="36"/>
      <c r="AG26" s="11">
        <f t="shared" si="0"/>
        <v>0</v>
      </c>
      <c r="AH26" s="64"/>
      <c r="AI26" s="36"/>
      <c r="AJ26" s="11">
        <f t="shared" si="13"/>
        <v>0</v>
      </c>
      <c r="AK26" s="64"/>
      <c r="AL26" s="36"/>
      <c r="AM26" s="11">
        <f t="shared" si="6"/>
        <v>0</v>
      </c>
      <c r="AN26" s="64"/>
      <c r="AO26" s="36"/>
      <c r="AP26" s="11">
        <f t="shared" si="7"/>
        <v>0</v>
      </c>
      <c r="AQ26" s="64"/>
      <c r="AR26" s="36"/>
      <c r="AS26" s="11">
        <f t="shared" si="8"/>
        <v>0</v>
      </c>
      <c r="AT26" s="64"/>
      <c r="AU26" s="36"/>
      <c r="AV26" s="11">
        <f t="shared" si="9"/>
        <v>0</v>
      </c>
      <c r="AW26" s="64"/>
      <c r="AX26" s="36"/>
      <c r="AY26" s="11">
        <f t="shared" si="1"/>
        <v>0</v>
      </c>
      <c r="AZ26" s="64"/>
      <c r="BA26" s="36"/>
      <c r="BB26" s="11">
        <f t="shared" si="2"/>
        <v>0</v>
      </c>
      <c r="BC26" s="64"/>
      <c r="BD26" s="36"/>
      <c r="BE26" s="11">
        <f t="shared" si="10"/>
        <v>0</v>
      </c>
      <c r="BF26" s="64"/>
      <c r="BG26" s="36"/>
      <c r="BH26" s="11">
        <f t="shared" si="11"/>
        <v>0</v>
      </c>
      <c r="BI26" s="64"/>
      <c r="BJ26" s="450"/>
      <c r="BK26" s="260">
        <f t="shared" si="12"/>
        <v>0</v>
      </c>
      <c r="BL26" s="157"/>
      <c r="BM26" s="157"/>
    </row>
    <row r="27" spans="1:65" ht="15" customHeight="1">
      <c r="A27" s="10">
        <v>22</v>
      </c>
      <c r="B27" s="36"/>
      <c r="C27" s="11">
        <f t="shared" si="18"/>
        <v>0</v>
      </c>
      <c r="D27" s="12"/>
      <c r="E27" s="36"/>
      <c r="F27" s="11">
        <f t="shared" si="14"/>
        <v>0</v>
      </c>
      <c r="G27" s="12"/>
      <c r="H27" s="36"/>
      <c r="I27" s="11">
        <f t="shared" si="15"/>
        <v>0</v>
      </c>
      <c r="J27" s="12"/>
      <c r="K27" s="36"/>
      <c r="L27" s="11">
        <f t="shared" si="16"/>
        <v>0</v>
      </c>
      <c r="M27" s="12"/>
      <c r="N27" s="36"/>
      <c r="O27" s="11">
        <f t="shared" si="19"/>
        <v>0</v>
      </c>
      <c r="P27" s="12"/>
      <c r="Q27" s="36"/>
      <c r="R27" s="11">
        <f t="shared" si="20"/>
        <v>0</v>
      </c>
      <c r="S27" s="12"/>
      <c r="T27" s="36"/>
      <c r="U27" s="11">
        <f t="shared" si="17"/>
        <v>0</v>
      </c>
      <c r="V27" s="12"/>
      <c r="W27" s="36"/>
      <c r="X27" s="11">
        <f t="shared" si="3"/>
        <v>0</v>
      </c>
      <c r="Y27" s="12"/>
      <c r="Z27" s="36"/>
      <c r="AA27" s="11">
        <f t="shared" si="4"/>
        <v>0</v>
      </c>
      <c r="AB27" s="12"/>
      <c r="AC27" s="36"/>
      <c r="AD27" s="11">
        <f t="shared" si="5"/>
        <v>0</v>
      </c>
      <c r="AE27" s="64"/>
      <c r="AF27" s="36"/>
      <c r="AG27" s="11">
        <f t="shared" si="0"/>
        <v>0</v>
      </c>
      <c r="AH27" s="64"/>
      <c r="AI27" s="36"/>
      <c r="AJ27" s="11">
        <f t="shared" si="13"/>
        <v>0</v>
      </c>
      <c r="AK27" s="64"/>
      <c r="AL27" s="36"/>
      <c r="AM27" s="11">
        <f t="shared" si="6"/>
        <v>0</v>
      </c>
      <c r="AN27" s="64"/>
      <c r="AO27" s="36"/>
      <c r="AP27" s="11">
        <f t="shared" si="7"/>
        <v>0</v>
      </c>
      <c r="AQ27" s="64"/>
      <c r="AR27" s="36"/>
      <c r="AS27" s="11">
        <f t="shared" si="8"/>
        <v>0</v>
      </c>
      <c r="AT27" s="64"/>
      <c r="AU27" s="36"/>
      <c r="AV27" s="11">
        <f t="shared" si="9"/>
        <v>0</v>
      </c>
      <c r="AW27" s="64"/>
      <c r="AX27" s="36"/>
      <c r="AY27" s="11">
        <f t="shared" si="1"/>
        <v>0</v>
      </c>
      <c r="AZ27" s="64"/>
      <c r="BA27" s="36"/>
      <c r="BB27" s="11">
        <f t="shared" si="2"/>
        <v>0</v>
      </c>
      <c r="BC27" s="64"/>
      <c r="BD27" s="36"/>
      <c r="BE27" s="11">
        <f t="shared" si="10"/>
        <v>0</v>
      </c>
      <c r="BF27" s="64"/>
      <c r="BG27" s="36"/>
      <c r="BH27" s="11">
        <f t="shared" si="11"/>
        <v>0</v>
      </c>
      <c r="BI27" s="64"/>
      <c r="BJ27" s="450"/>
      <c r="BK27" s="260">
        <f t="shared" si="12"/>
        <v>0</v>
      </c>
      <c r="BL27" s="157"/>
      <c r="BM27" s="157"/>
    </row>
    <row r="28" spans="1:65" ht="15" customHeight="1">
      <c r="A28" s="10">
        <v>23</v>
      </c>
      <c r="B28" s="36"/>
      <c r="C28" s="11">
        <f t="shared" si="18"/>
        <v>0</v>
      </c>
      <c r="D28" s="12"/>
      <c r="E28" s="36"/>
      <c r="F28" s="11">
        <f t="shared" si="14"/>
        <v>0</v>
      </c>
      <c r="G28" s="12"/>
      <c r="H28" s="36"/>
      <c r="I28" s="11">
        <f t="shared" si="15"/>
        <v>0</v>
      </c>
      <c r="J28" s="12"/>
      <c r="K28" s="36"/>
      <c r="L28" s="11">
        <f t="shared" si="16"/>
        <v>0</v>
      </c>
      <c r="M28" s="12"/>
      <c r="N28" s="36"/>
      <c r="O28" s="11">
        <f t="shared" si="19"/>
        <v>0</v>
      </c>
      <c r="P28" s="12"/>
      <c r="Q28" s="36"/>
      <c r="R28" s="11">
        <f t="shared" si="20"/>
        <v>0</v>
      </c>
      <c r="S28" s="12"/>
      <c r="T28" s="36"/>
      <c r="U28" s="11">
        <f t="shared" si="17"/>
        <v>0</v>
      </c>
      <c r="V28" s="12"/>
      <c r="W28" s="36"/>
      <c r="X28" s="11">
        <f t="shared" si="3"/>
        <v>0</v>
      </c>
      <c r="Y28" s="12"/>
      <c r="Z28" s="36"/>
      <c r="AA28" s="11">
        <f t="shared" si="4"/>
        <v>0</v>
      </c>
      <c r="AB28" s="12"/>
      <c r="AC28" s="36"/>
      <c r="AD28" s="11">
        <f t="shared" si="5"/>
        <v>0</v>
      </c>
      <c r="AE28" s="64"/>
      <c r="AF28" s="36"/>
      <c r="AG28" s="11">
        <f t="shared" si="0"/>
        <v>0</v>
      </c>
      <c r="AH28" s="64"/>
      <c r="AI28" s="36"/>
      <c r="AJ28" s="11">
        <f t="shared" si="13"/>
        <v>0</v>
      </c>
      <c r="AK28" s="64"/>
      <c r="AL28" s="36"/>
      <c r="AM28" s="11">
        <f t="shared" si="6"/>
        <v>0</v>
      </c>
      <c r="AN28" s="64"/>
      <c r="AO28" s="36"/>
      <c r="AP28" s="11">
        <f t="shared" si="7"/>
        <v>0</v>
      </c>
      <c r="AQ28" s="64"/>
      <c r="AR28" s="36"/>
      <c r="AS28" s="11">
        <f t="shared" si="8"/>
        <v>0</v>
      </c>
      <c r="AT28" s="64"/>
      <c r="AU28" s="36"/>
      <c r="AV28" s="11">
        <f t="shared" si="9"/>
        <v>0</v>
      </c>
      <c r="AW28" s="64"/>
      <c r="AX28" s="36"/>
      <c r="AY28" s="11">
        <f t="shared" si="1"/>
        <v>0</v>
      </c>
      <c r="AZ28" s="64"/>
      <c r="BA28" s="36"/>
      <c r="BB28" s="11">
        <f t="shared" ref="BB28:BB36" si="21">BC$3*BC$4*216*24*60*BA28/9000000</f>
        <v>0</v>
      </c>
      <c r="BC28" s="64"/>
      <c r="BD28" s="36"/>
      <c r="BE28" s="11">
        <f t="shared" si="10"/>
        <v>0</v>
      </c>
      <c r="BF28" s="64"/>
      <c r="BG28" s="36"/>
      <c r="BH28" s="11">
        <f t="shared" si="11"/>
        <v>0</v>
      </c>
      <c r="BI28" s="64"/>
      <c r="BJ28" s="450"/>
      <c r="BK28" s="260">
        <f t="shared" si="12"/>
        <v>0</v>
      </c>
      <c r="BL28" s="157"/>
      <c r="BM28" s="157"/>
    </row>
    <row r="29" spans="1:65" ht="15" customHeight="1">
      <c r="A29" s="10">
        <v>24</v>
      </c>
      <c r="B29" s="36"/>
      <c r="C29" s="11">
        <f t="shared" si="18"/>
        <v>0</v>
      </c>
      <c r="D29" s="63"/>
      <c r="E29" s="36"/>
      <c r="F29" s="11">
        <f t="shared" si="14"/>
        <v>0</v>
      </c>
      <c r="G29" s="63"/>
      <c r="H29" s="36"/>
      <c r="I29" s="11">
        <f t="shared" si="15"/>
        <v>0</v>
      </c>
      <c r="J29" s="63"/>
      <c r="K29" s="36"/>
      <c r="L29" s="11">
        <f t="shared" si="16"/>
        <v>0</v>
      </c>
      <c r="M29" s="63"/>
      <c r="N29" s="36"/>
      <c r="O29" s="11">
        <f t="shared" si="19"/>
        <v>0</v>
      </c>
      <c r="P29" s="63"/>
      <c r="Q29" s="36"/>
      <c r="R29" s="11">
        <f t="shared" si="20"/>
        <v>0</v>
      </c>
      <c r="S29" s="63"/>
      <c r="T29" s="36"/>
      <c r="U29" s="11">
        <f t="shared" si="17"/>
        <v>0</v>
      </c>
      <c r="V29" s="63"/>
      <c r="W29" s="36"/>
      <c r="X29" s="11">
        <f t="shared" si="3"/>
        <v>0</v>
      </c>
      <c r="Y29" s="63"/>
      <c r="Z29" s="36"/>
      <c r="AA29" s="11">
        <f t="shared" si="4"/>
        <v>0</v>
      </c>
      <c r="AB29" s="63"/>
      <c r="AC29" s="36"/>
      <c r="AD29" s="11">
        <f t="shared" si="5"/>
        <v>0</v>
      </c>
      <c r="AE29" s="64"/>
      <c r="AF29" s="36"/>
      <c r="AG29" s="11">
        <f t="shared" si="0"/>
        <v>0</v>
      </c>
      <c r="AH29" s="64"/>
      <c r="AI29" s="36"/>
      <c r="AJ29" s="11">
        <f t="shared" si="13"/>
        <v>0</v>
      </c>
      <c r="AK29" s="64"/>
      <c r="AL29" s="36"/>
      <c r="AM29" s="11">
        <f t="shared" si="6"/>
        <v>0</v>
      </c>
      <c r="AN29" s="64"/>
      <c r="AO29" s="36"/>
      <c r="AP29" s="11">
        <f t="shared" si="7"/>
        <v>0</v>
      </c>
      <c r="AQ29" s="64"/>
      <c r="AR29" s="36"/>
      <c r="AS29" s="11">
        <f t="shared" si="8"/>
        <v>0</v>
      </c>
      <c r="AT29" s="64"/>
      <c r="AU29" s="36"/>
      <c r="AV29" s="11">
        <f t="shared" si="9"/>
        <v>0</v>
      </c>
      <c r="AW29" s="64"/>
      <c r="AX29" s="36"/>
      <c r="AY29" s="11">
        <f t="shared" ref="AY29:AY36" si="22">AZ$3*AZ$4*216*24*60*AX29/9000000</f>
        <v>0</v>
      </c>
      <c r="AZ29" s="64"/>
      <c r="BA29" s="36"/>
      <c r="BB29" s="11">
        <f t="shared" si="21"/>
        <v>0</v>
      </c>
      <c r="BC29" s="64"/>
      <c r="BD29" s="36"/>
      <c r="BE29" s="11">
        <f t="shared" si="10"/>
        <v>0</v>
      </c>
      <c r="BF29" s="64"/>
      <c r="BG29" s="36"/>
      <c r="BH29" s="11">
        <f t="shared" si="11"/>
        <v>0</v>
      </c>
      <c r="BI29" s="64"/>
      <c r="BJ29" s="450"/>
      <c r="BK29" s="260">
        <f t="shared" si="12"/>
        <v>0</v>
      </c>
      <c r="BL29" s="157"/>
      <c r="BM29" s="157"/>
    </row>
    <row r="30" spans="1:65" ht="15" customHeight="1">
      <c r="A30" s="10">
        <v>25</v>
      </c>
      <c r="B30" s="36"/>
      <c r="C30" s="11">
        <f t="shared" si="18"/>
        <v>0</v>
      </c>
      <c r="E30" s="36"/>
      <c r="F30" s="11">
        <f t="shared" si="14"/>
        <v>0</v>
      </c>
      <c r="G30" s="63"/>
      <c r="H30" s="36"/>
      <c r="I30" s="11">
        <f t="shared" si="15"/>
        <v>0</v>
      </c>
      <c r="J30" s="63"/>
      <c r="K30" s="36"/>
      <c r="L30" s="11">
        <f t="shared" si="16"/>
        <v>0</v>
      </c>
      <c r="M30" s="63"/>
      <c r="N30" s="36"/>
      <c r="O30" s="11">
        <f t="shared" si="19"/>
        <v>0</v>
      </c>
      <c r="P30" s="63"/>
      <c r="Q30" s="36"/>
      <c r="R30" s="11">
        <f t="shared" si="20"/>
        <v>0</v>
      </c>
      <c r="S30" s="63"/>
      <c r="T30" s="36"/>
      <c r="U30" s="11">
        <f t="shared" si="17"/>
        <v>0</v>
      </c>
      <c r="V30" s="63"/>
      <c r="W30" s="36"/>
      <c r="X30" s="11">
        <f t="shared" si="3"/>
        <v>0</v>
      </c>
      <c r="Y30" s="63"/>
      <c r="Z30" s="36"/>
      <c r="AA30" s="11">
        <f t="shared" si="4"/>
        <v>0</v>
      </c>
      <c r="AB30" s="63"/>
      <c r="AC30" s="36"/>
      <c r="AD30" s="11">
        <f t="shared" si="5"/>
        <v>0</v>
      </c>
      <c r="AE30" s="64"/>
      <c r="AF30" s="36"/>
      <c r="AG30" s="11">
        <f t="shared" si="0"/>
        <v>0</v>
      </c>
      <c r="AH30" s="64"/>
      <c r="AI30" s="36"/>
      <c r="AJ30" s="11">
        <f t="shared" si="13"/>
        <v>0</v>
      </c>
      <c r="AK30" s="64"/>
      <c r="AL30" s="36"/>
      <c r="AM30" s="11">
        <f t="shared" si="6"/>
        <v>0</v>
      </c>
      <c r="AN30" s="64"/>
      <c r="AO30" s="36"/>
      <c r="AP30" s="11">
        <f t="shared" si="7"/>
        <v>0</v>
      </c>
      <c r="AQ30" s="64"/>
      <c r="AR30" s="408"/>
      <c r="AS30" s="11">
        <f t="shared" si="8"/>
        <v>0</v>
      </c>
      <c r="AT30" s="64"/>
      <c r="AU30" s="408"/>
      <c r="AV30" s="11">
        <f t="shared" si="9"/>
        <v>0</v>
      </c>
      <c r="AW30" s="64"/>
      <c r="AX30" s="36"/>
      <c r="AY30" s="11">
        <f t="shared" si="22"/>
        <v>0</v>
      </c>
      <c r="AZ30" s="64"/>
      <c r="BA30" s="36"/>
      <c r="BB30" s="11">
        <f t="shared" si="21"/>
        <v>0</v>
      </c>
      <c r="BC30" s="64"/>
      <c r="BD30" s="36"/>
      <c r="BE30" s="11">
        <f t="shared" si="10"/>
        <v>0</v>
      </c>
      <c r="BF30" s="64"/>
      <c r="BG30" s="36"/>
      <c r="BH30" s="11">
        <f t="shared" si="11"/>
        <v>0</v>
      </c>
      <c r="BI30" s="64"/>
      <c r="BJ30" s="450"/>
      <c r="BK30" s="260">
        <f t="shared" si="12"/>
        <v>0</v>
      </c>
      <c r="BL30" s="157"/>
      <c r="BM30" s="157"/>
    </row>
    <row r="31" spans="1:65" ht="15" customHeight="1">
      <c r="A31" s="10">
        <v>26</v>
      </c>
      <c r="B31" s="36"/>
      <c r="C31" s="11">
        <f t="shared" si="18"/>
        <v>0</v>
      </c>
      <c r="D31" s="63"/>
      <c r="E31" s="36"/>
      <c r="F31" s="11">
        <f t="shared" si="14"/>
        <v>0</v>
      </c>
      <c r="G31" s="63"/>
      <c r="H31" s="36"/>
      <c r="I31" s="11">
        <f t="shared" si="15"/>
        <v>0</v>
      </c>
      <c r="J31" s="63"/>
      <c r="K31" s="36"/>
      <c r="L31" s="11">
        <f t="shared" si="16"/>
        <v>0</v>
      </c>
      <c r="M31" s="63"/>
      <c r="N31" s="36"/>
      <c r="O31" s="11">
        <f t="shared" si="19"/>
        <v>0</v>
      </c>
      <c r="P31" s="63"/>
      <c r="Q31" s="36"/>
      <c r="R31" s="11">
        <f t="shared" si="20"/>
        <v>0</v>
      </c>
      <c r="S31" s="63"/>
      <c r="T31" s="36"/>
      <c r="U31" s="11">
        <f t="shared" si="17"/>
        <v>0</v>
      </c>
      <c r="V31" s="63"/>
      <c r="W31" s="36"/>
      <c r="X31" s="11">
        <f t="shared" si="3"/>
        <v>0</v>
      </c>
      <c r="Y31" s="63"/>
      <c r="Z31" s="36"/>
      <c r="AA31" s="11">
        <f t="shared" si="4"/>
        <v>0</v>
      </c>
      <c r="AB31" s="63"/>
      <c r="AC31" s="36"/>
      <c r="AD31" s="11">
        <f t="shared" si="5"/>
        <v>0</v>
      </c>
      <c r="AE31" s="64"/>
      <c r="AF31" s="36"/>
      <c r="AG31" s="11">
        <f t="shared" si="0"/>
        <v>0</v>
      </c>
      <c r="AH31" s="64"/>
      <c r="AI31" s="36"/>
      <c r="AJ31" s="11">
        <f t="shared" si="13"/>
        <v>0</v>
      </c>
      <c r="AK31" s="64"/>
      <c r="AL31" s="36"/>
      <c r="AM31" s="11">
        <f t="shared" si="6"/>
        <v>0</v>
      </c>
      <c r="AN31" s="64"/>
      <c r="AO31" s="36"/>
      <c r="AP31" s="11">
        <f t="shared" si="7"/>
        <v>0</v>
      </c>
      <c r="AQ31" s="64"/>
      <c r="AR31" s="408"/>
      <c r="AS31" s="11">
        <f t="shared" si="8"/>
        <v>0</v>
      </c>
      <c r="AT31" s="64"/>
      <c r="AU31" s="408"/>
      <c r="AV31" s="11">
        <f t="shared" si="9"/>
        <v>0</v>
      </c>
      <c r="AW31" s="64"/>
      <c r="AX31" s="36"/>
      <c r="AY31" s="11">
        <f t="shared" si="22"/>
        <v>0</v>
      </c>
      <c r="AZ31" s="64"/>
      <c r="BA31" s="36"/>
      <c r="BB31" s="11">
        <f t="shared" si="21"/>
        <v>0</v>
      </c>
      <c r="BC31" s="64"/>
      <c r="BD31" s="36"/>
      <c r="BE31" s="11">
        <f t="shared" si="10"/>
        <v>0</v>
      </c>
      <c r="BF31" s="64"/>
      <c r="BG31" s="36"/>
      <c r="BH31" s="11">
        <f t="shared" si="11"/>
        <v>0</v>
      </c>
      <c r="BI31" s="64"/>
      <c r="BJ31" s="450"/>
      <c r="BK31" s="260">
        <f t="shared" si="12"/>
        <v>0</v>
      </c>
      <c r="BL31" s="157"/>
      <c r="BM31" s="157"/>
    </row>
    <row r="32" spans="1:65" ht="15" customHeight="1">
      <c r="A32" s="10">
        <v>27</v>
      </c>
      <c r="B32" s="36"/>
      <c r="C32" s="11">
        <f t="shared" si="18"/>
        <v>0</v>
      </c>
      <c r="D32" s="63"/>
      <c r="E32" s="36"/>
      <c r="F32" s="11">
        <f t="shared" si="14"/>
        <v>0</v>
      </c>
      <c r="G32" s="63"/>
      <c r="H32" s="36"/>
      <c r="I32" s="11">
        <f t="shared" si="15"/>
        <v>0</v>
      </c>
      <c r="J32" s="63"/>
      <c r="K32" s="36"/>
      <c r="L32" s="11">
        <f t="shared" si="16"/>
        <v>0</v>
      </c>
      <c r="M32" s="63"/>
      <c r="N32" s="36"/>
      <c r="O32" s="11">
        <f t="shared" si="19"/>
        <v>0</v>
      </c>
      <c r="P32" s="63"/>
      <c r="Q32" s="36"/>
      <c r="R32" s="11">
        <f t="shared" si="20"/>
        <v>0</v>
      </c>
      <c r="S32" s="63"/>
      <c r="T32" s="36"/>
      <c r="U32" s="11">
        <f t="shared" si="17"/>
        <v>0</v>
      </c>
      <c r="V32" s="63"/>
      <c r="W32" s="36"/>
      <c r="X32" s="11">
        <f t="shared" si="3"/>
        <v>0</v>
      </c>
      <c r="Y32" s="63"/>
      <c r="Z32" s="36"/>
      <c r="AA32" s="11">
        <f t="shared" si="4"/>
        <v>0</v>
      </c>
      <c r="AB32" s="63"/>
      <c r="AC32" s="36"/>
      <c r="AD32" s="11">
        <f t="shared" si="5"/>
        <v>0</v>
      </c>
      <c r="AE32" s="64"/>
      <c r="AF32" s="36"/>
      <c r="AG32" s="11">
        <f t="shared" si="0"/>
        <v>0</v>
      </c>
      <c r="AH32" s="64"/>
      <c r="AI32" s="36"/>
      <c r="AJ32" s="11">
        <f t="shared" si="13"/>
        <v>0</v>
      </c>
      <c r="AK32" s="64"/>
      <c r="AL32" s="36"/>
      <c r="AM32" s="11">
        <f t="shared" si="6"/>
        <v>0</v>
      </c>
      <c r="AN32" s="64"/>
      <c r="AO32" s="36"/>
      <c r="AP32" s="11">
        <f t="shared" si="7"/>
        <v>0</v>
      </c>
      <c r="AQ32" s="64"/>
      <c r="AR32" s="408"/>
      <c r="AS32" s="11">
        <f t="shared" si="8"/>
        <v>0</v>
      </c>
      <c r="AT32" s="64"/>
      <c r="AU32" s="408"/>
      <c r="AV32" s="11">
        <f t="shared" si="9"/>
        <v>0</v>
      </c>
      <c r="AW32" s="64"/>
      <c r="AX32" s="36"/>
      <c r="AY32" s="11">
        <f t="shared" si="22"/>
        <v>0</v>
      </c>
      <c r="AZ32" s="64"/>
      <c r="BA32" s="36"/>
      <c r="BB32" s="11">
        <f t="shared" si="21"/>
        <v>0</v>
      </c>
      <c r="BC32" s="64"/>
      <c r="BD32" s="36"/>
      <c r="BE32" s="11">
        <f t="shared" si="10"/>
        <v>0</v>
      </c>
      <c r="BF32" s="64"/>
      <c r="BG32" s="36"/>
      <c r="BH32" s="11">
        <f t="shared" si="11"/>
        <v>0</v>
      </c>
      <c r="BI32" s="64"/>
      <c r="BJ32" s="450"/>
      <c r="BK32" s="260">
        <f t="shared" si="12"/>
        <v>0</v>
      </c>
      <c r="BL32" s="157"/>
      <c r="BM32" s="157"/>
    </row>
    <row r="33" spans="1:70" ht="15" customHeight="1">
      <c r="A33" s="10">
        <v>28</v>
      </c>
      <c r="B33" s="36"/>
      <c r="C33" s="11">
        <f t="shared" si="18"/>
        <v>0</v>
      </c>
      <c r="D33" s="63"/>
      <c r="E33" s="36"/>
      <c r="F33" s="11">
        <f t="shared" si="14"/>
        <v>0</v>
      </c>
      <c r="G33" s="63"/>
      <c r="H33" s="36"/>
      <c r="I33" s="11">
        <f t="shared" si="15"/>
        <v>0</v>
      </c>
      <c r="J33" s="63"/>
      <c r="K33" s="36"/>
      <c r="L33" s="11">
        <f t="shared" si="16"/>
        <v>0</v>
      </c>
      <c r="M33" s="63"/>
      <c r="N33" s="36"/>
      <c r="O33" s="11">
        <f t="shared" si="19"/>
        <v>0</v>
      </c>
      <c r="P33" s="63"/>
      <c r="Q33" s="36"/>
      <c r="R33" s="11">
        <f t="shared" si="20"/>
        <v>0</v>
      </c>
      <c r="S33" s="63"/>
      <c r="T33" s="36"/>
      <c r="U33" s="11">
        <f t="shared" si="17"/>
        <v>0</v>
      </c>
      <c r="V33" s="63"/>
      <c r="W33" s="36"/>
      <c r="X33" s="11">
        <f t="shared" si="3"/>
        <v>0</v>
      </c>
      <c r="Y33" s="63"/>
      <c r="Z33" s="36"/>
      <c r="AA33" s="11">
        <f t="shared" si="4"/>
        <v>0</v>
      </c>
      <c r="AB33" s="63"/>
      <c r="AC33" s="36"/>
      <c r="AD33" s="11">
        <f t="shared" si="5"/>
        <v>0</v>
      </c>
      <c r="AE33" s="64"/>
      <c r="AF33" s="36"/>
      <c r="AG33" s="11">
        <f t="shared" si="0"/>
        <v>0</v>
      </c>
      <c r="AH33" s="64"/>
      <c r="AI33" s="36"/>
      <c r="AJ33" s="11">
        <f t="shared" si="13"/>
        <v>0</v>
      </c>
      <c r="AK33" s="64"/>
      <c r="AL33" s="36"/>
      <c r="AM33" s="11">
        <f t="shared" si="6"/>
        <v>0</v>
      </c>
      <c r="AN33" s="64"/>
      <c r="AO33" s="36"/>
      <c r="AP33" s="11">
        <f t="shared" si="7"/>
        <v>0</v>
      </c>
      <c r="AQ33" s="64"/>
      <c r="AR33" s="36"/>
      <c r="AS33" s="11">
        <f t="shared" si="8"/>
        <v>0</v>
      </c>
      <c r="AT33" s="64"/>
      <c r="AU33" s="36"/>
      <c r="AV33" s="11">
        <f t="shared" si="9"/>
        <v>0</v>
      </c>
      <c r="AW33" s="64"/>
      <c r="AX33" s="36"/>
      <c r="AY33" s="11">
        <f t="shared" si="22"/>
        <v>0</v>
      </c>
      <c r="AZ33" s="64"/>
      <c r="BA33" s="36"/>
      <c r="BB33" s="11">
        <f t="shared" si="21"/>
        <v>0</v>
      </c>
      <c r="BC33" s="64"/>
      <c r="BD33" s="408"/>
      <c r="BE33" s="11">
        <f t="shared" si="10"/>
        <v>0</v>
      </c>
      <c r="BF33" s="64"/>
      <c r="BG33" s="36"/>
      <c r="BH33" s="11">
        <f t="shared" si="11"/>
        <v>0</v>
      </c>
      <c r="BI33" s="64"/>
      <c r="BJ33" s="450"/>
      <c r="BK33" s="260">
        <f t="shared" si="12"/>
        <v>0</v>
      </c>
      <c r="BL33" s="157"/>
      <c r="BM33" s="157"/>
    </row>
    <row r="34" spans="1:70" ht="15" customHeight="1">
      <c r="A34" s="10">
        <v>29</v>
      </c>
      <c r="B34" s="36"/>
      <c r="C34" s="11">
        <f t="shared" si="18"/>
        <v>0</v>
      </c>
      <c r="D34" s="63"/>
      <c r="E34" s="36"/>
      <c r="F34" s="11">
        <f t="shared" si="14"/>
        <v>0</v>
      </c>
      <c r="G34" s="63"/>
      <c r="H34" s="36"/>
      <c r="I34" s="11">
        <f t="shared" si="15"/>
        <v>0</v>
      </c>
      <c r="J34" s="63"/>
      <c r="K34" s="36"/>
      <c r="L34" s="11">
        <f t="shared" si="16"/>
        <v>0</v>
      </c>
      <c r="M34" s="63"/>
      <c r="N34" s="36"/>
      <c r="O34" s="11">
        <f t="shared" si="19"/>
        <v>0</v>
      </c>
      <c r="P34" s="63"/>
      <c r="Q34" s="36"/>
      <c r="R34" s="11">
        <f t="shared" si="20"/>
        <v>0</v>
      </c>
      <c r="S34" s="63"/>
      <c r="T34" s="36"/>
      <c r="U34" s="11">
        <f t="shared" si="17"/>
        <v>0</v>
      </c>
      <c r="V34" s="63"/>
      <c r="W34" s="36"/>
      <c r="X34" s="11">
        <f t="shared" si="3"/>
        <v>0</v>
      </c>
      <c r="Y34" s="63"/>
      <c r="Z34" s="36"/>
      <c r="AA34" s="11">
        <f t="shared" si="4"/>
        <v>0</v>
      </c>
      <c r="AB34" s="63"/>
      <c r="AC34" s="36"/>
      <c r="AD34" s="11">
        <f t="shared" si="5"/>
        <v>0</v>
      </c>
      <c r="AE34" s="64"/>
      <c r="AF34" s="36"/>
      <c r="AG34" s="11">
        <f t="shared" si="0"/>
        <v>0</v>
      </c>
      <c r="AH34" s="64"/>
      <c r="AI34" s="36"/>
      <c r="AJ34" s="11">
        <f t="shared" si="13"/>
        <v>0</v>
      </c>
      <c r="AK34" s="64"/>
      <c r="AL34" s="36"/>
      <c r="AM34" s="11">
        <f t="shared" si="6"/>
        <v>0</v>
      </c>
      <c r="AN34" s="64"/>
      <c r="AO34" s="36"/>
      <c r="AP34" s="11">
        <f t="shared" si="7"/>
        <v>0</v>
      </c>
      <c r="AQ34" s="64"/>
      <c r="AR34" s="36"/>
      <c r="AS34" s="11">
        <f t="shared" si="8"/>
        <v>0</v>
      </c>
      <c r="AT34" s="64"/>
      <c r="AU34" s="36"/>
      <c r="AV34" s="11">
        <f t="shared" si="9"/>
        <v>0</v>
      </c>
      <c r="AW34" s="64"/>
      <c r="AX34" s="408"/>
      <c r="AY34" s="11">
        <f t="shared" si="22"/>
        <v>0</v>
      </c>
      <c r="AZ34" s="64"/>
      <c r="BA34" s="36"/>
      <c r="BB34" s="11">
        <f t="shared" si="21"/>
        <v>0</v>
      </c>
      <c r="BC34" s="64"/>
      <c r="BD34" s="408"/>
      <c r="BE34" s="11">
        <f t="shared" si="10"/>
        <v>0</v>
      </c>
      <c r="BF34" s="64"/>
      <c r="BG34" s="36"/>
      <c r="BH34" s="11">
        <f t="shared" si="11"/>
        <v>0</v>
      </c>
      <c r="BI34" s="64"/>
      <c r="BJ34" s="450"/>
      <c r="BK34" s="260">
        <f t="shared" si="12"/>
        <v>0</v>
      </c>
      <c r="BL34" s="157"/>
      <c r="BM34" s="157"/>
    </row>
    <row r="35" spans="1:70" ht="15" customHeight="1">
      <c r="A35" s="10">
        <v>30</v>
      </c>
      <c r="B35" s="36"/>
      <c r="C35" s="11">
        <f t="shared" si="18"/>
        <v>0</v>
      </c>
      <c r="D35" s="63"/>
      <c r="E35" s="36"/>
      <c r="F35" s="11">
        <f t="shared" si="14"/>
        <v>0</v>
      </c>
      <c r="G35" s="63"/>
      <c r="H35" s="36"/>
      <c r="I35" s="11">
        <f t="shared" si="15"/>
        <v>0</v>
      </c>
      <c r="J35" s="63"/>
      <c r="K35" s="36"/>
      <c r="L35" s="11">
        <f t="shared" si="16"/>
        <v>0</v>
      </c>
      <c r="M35" s="63"/>
      <c r="N35" s="36"/>
      <c r="O35" s="11">
        <f t="shared" si="19"/>
        <v>0</v>
      </c>
      <c r="P35" s="63"/>
      <c r="Q35" s="36"/>
      <c r="R35" s="11">
        <f t="shared" si="20"/>
        <v>0</v>
      </c>
      <c r="S35" s="63"/>
      <c r="T35" s="36"/>
      <c r="U35" s="11">
        <f t="shared" si="17"/>
        <v>0</v>
      </c>
      <c r="V35" s="63"/>
      <c r="W35" s="36"/>
      <c r="X35" s="11">
        <f t="shared" si="3"/>
        <v>0</v>
      </c>
      <c r="Y35" s="63"/>
      <c r="Z35" s="36"/>
      <c r="AA35" s="11">
        <f t="shared" si="4"/>
        <v>0</v>
      </c>
      <c r="AB35" s="63"/>
      <c r="AC35" s="36"/>
      <c r="AD35" s="11">
        <f t="shared" si="5"/>
        <v>0</v>
      </c>
      <c r="AE35" s="64"/>
      <c r="AF35" s="36"/>
      <c r="AG35" s="11">
        <f t="shared" si="0"/>
        <v>0</v>
      </c>
      <c r="AH35" s="64"/>
      <c r="AI35" s="36"/>
      <c r="AJ35" s="11">
        <f t="shared" si="13"/>
        <v>0</v>
      </c>
      <c r="AK35" s="64"/>
      <c r="AL35" s="36"/>
      <c r="AM35" s="11">
        <f t="shared" si="6"/>
        <v>0</v>
      </c>
      <c r="AN35" s="64"/>
      <c r="AO35" s="36"/>
      <c r="AP35" s="11">
        <f t="shared" si="7"/>
        <v>0</v>
      </c>
      <c r="AQ35" s="64"/>
      <c r="AR35" s="36"/>
      <c r="AS35" s="11">
        <f t="shared" si="8"/>
        <v>0</v>
      </c>
      <c r="AT35" s="64"/>
      <c r="AU35" s="36"/>
      <c r="AV35" s="11">
        <f t="shared" si="9"/>
        <v>0</v>
      </c>
      <c r="AW35" s="64"/>
      <c r="AX35" s="36"/>
      <c r="AY35" s="11">
        <f t="shared" si="22"/>
        <v>0</v>
      </c>
      <c r="AZ35" s="64"/>
      <c r="BA35" s="36"/>
      <c r="BB35" s="11">
        <f t="shared" si="21"/>
        <v>0</v>
      </c>
      <c r="BC35" s="64"/>
      <c r="BD35" s="408"/>
      <c r="BE35" s="11">
        <f t="shared" si="10"/>
        <v>0</v>
      </c>
      <c r="BF35" s="64"/>
      <c r="BG35" s="36"/>
      <c r="BH35" s="11">
        <f t="shared" si="11"/>
        <v>0</v>
      </c>
      <c r="BI35" s="64"/>
      <c r="BJ35" s="450"/>
      <c r="BK35" s="260">
        <f t="shared" si="12"/>
        <v>0</v>
      </c>
      <c r="BL35" s="157"/>
      <c r="BM35" s="157"/>
    </row>
    <row r="36" spans="1:70" ht="15" customHeight="1" thickBot="1">
      <c r="A36" s="10">
        <v>31</v>
      </c>
      <c r="B36" s="36"/>
      <c r="C36" s="11">
        <f t="shared" si="18"/>
        <v>0</v>
      </c>
      <c r="D36" s="63"/>
      <c r="E36" s="36"/>
      <c r="F36" s="11">
        <f t="shared" si="14"/>
        <v>0</v>
      </c>
      <c r="G36" s="63"/>
      <c r="H36" s="36"/>
      <c r="I36" s="11">
        <f t="shared" si="15"/>
        <v>0</v>
      </c>
      <c r="J36" s="63"/>
      <c r="K36" s="36"/>
      <c r="L36" s="11">
        <f t="shared" si="16"/>
        <v>0</v>
      </c>
      <c r="M36" s="63"/>
      <c r="N36" s="36"/>
      <c r="O36" s="11">
        <f t="shared" si="19"/>
        <v>0</v>
      </c>
      <c r="P36" s="63"/>
      <c r="Q36" s="36"/>
      <c r="R36" s="11">
        <f t="shared" si="20"/>
        <v>0</v>
      </c>
      <c r="S36" s="63"/>
      <c r="T36" s="36"/>
      <c r="U36" s="11">
        <f t="shared" si="17"/>
        <v>0</v>
      </c>
      <c r="V36" s="63"/>
      <c r="W36" s="36"/>
      <c r="X36" s="11">
        <f t="shared" si="3"/>
        <v>0</v>
      </c>
      <c r="Y36" s="63"/>
      <c r="Z36" s="36"/>
      <c r="AA36" s="11">
        <f t="shared" si="4"/>
        <v>0</v>
      </c>
      <c r="AB36" s="63"/>
      <c r="AC36" s="36"/>
      <c r="AD36" s="11">
        <f t="shared" si="5"/>
        <v>0</v>
      </c>
      <c r="AE36" s="64"/>
      <c r="AF36" s="36"/>
      <c r="AG36" s="11">
        <f t="shared" si="0"/>
        <v>0</v>
      </c>
      <c r="AH36" s="64"/>
      <c r="AI36" s="36"/>
      <c r="AJ36" s="11">
        <f>AK$3*AK$4*216*24*60*AI36/9000000</f>
        <v>0</v>
      </c>
      <c r="AK36" s="63"/>
      <c r="AL36" s="36"/>
      <c r="AM36" s="11">
        <f t="shared" si="6"/>
        <v>0</v>
      </c>
      <c r="AN36" s="64"/>
      <c r="AO36" s="36"/>
      <c r="AP36" s="11">
        <f t="shared" si="7"/>
        <v>0</v>
      </c>
      <c r="AQ36" s="64"/>
      <c r="AR36" s="36"/>
      <c r="AS36" s="11">
        <f t="shared" si="8"/>
        <v>0</v>
      </c>
      <c r="AT36" s="64"/>
      <c r="AU36" s="36"/>
      <c r="AV36" s="11">
        <f t="shared" si="9"/>
        <v>0</v>
      </c>
      <c r="AW36" s="64"/>
      <c r="AX36" s="36"/>
      <c r="AY36" s="11">
        <f t="shared" si="22"/>
        <v>0</v>
      </c>
      <c r="AZ36" s="64"/>
      <c r="BA36" s="36"/>
      <c r="BB36" s="11">
        <f t="shared" si="21"/>
        <v>0</v>
      </c>
      <c r="BC36" s="64"/>
      <c r="BD36" s="408"/>
      <c r="BE36" s="11">
        <f t="shared" si="10"/>
        <v>0</v>
      </c>
      <c r="BF36" s="64"/>
      <c r="BG36" s="36"/>
      <c r="BH36" s="11">
        <f t="shared" si="11"/>
        <v>0</v>
      </c>
      <c r="BI36" s="64"/>
      <c r="BJ36" s="450"/>
      <c r="BK36" s="260">
        <f t="shared" si="12"/>
        <v>0</v>
      </c>
      <c r="BL36" s="157"/>
      <c r="BM36" s="157"/>
    </row>
    <row r="37" spans="1:70" s="21" customFormat="1" ht="15" hidden="1" customHeight="1" thickBot="1">
      <c r="A37" s="16"/>
      <c r="B37" s="17">
        <f>IF(B6="",0,AVERAGE(B6:B36))</f>
        <v>0.42499999999999999</v>
      </c>
      <c r="C37" s="18">
        <f>SUM(C6:C36)</f>
        <v>49704.191999999981</v>
      </c>
      <c r="D37" s="19">
        <f>SUM(D6:D36)</f>
        <v>38733</v>
      </c>
      <c r="E37" s="17">
        <f>IF(E6="",0,AVERAGE(E6:E36))</f>
        <v>0</v>
      </c>
      <c r="F37" s="18">
        <f>SUM(F6:F36)</f>
        <v>0</v>
      </c>
      <c r="G37" s="19">
        <f>SUM(G6:G36)</f>
        <v>0</v>
      </c>
      <c r="H37" s="17">
        <f>IF(H6="",0,AVERAGE(H6:H36))</f>
        <v>0</v>
      </c>
      <c r="I37" s="18">
        <f>SUM(I6:I36)</f>
        <v>0</v>
      </c>
      <c r="J37" s="19">
        <f>SUM(J6:J36)</f>
        <v>0</v>
      </c>
      <c r="K37" s="17">
        <f>IF(K6="",0,AVERAGE(K6:K36))</f>
        <v>0</v>
      </c>
      <c r="L37" s="18">
        <f>SUM(L6:L36)</f>
        <v>0</v>
      </c>
      <c r="M37" s="19">
        <f>SUM(M6:M36)</f>
        <v>0</v>
      </c>
      <c r="N37" s="17">
        <f>IF(N6="",0,AVERAGE(N6:N36))</f>
        <v>0</v>
      </c>
      <c r="O37" s="18">
        <f>SUM(O6:O36)</f>
        <v>0</v>
      </c>
      <c r="P37" s="19">
        <f>SUM(P6:P36)</f>
        <v>0</v>
      </c>
      <c r="Q37" s="17">
        <f>IF(Q6="",0,AVERAGE(Q6:Q36))</f>
        <v>0</v>
      </c>
      <c r="R37" s="18">
        <f>SUM(R6:R36)</f>
        <v>0</v>
      </c>
      <c r="S37" s="19">
        <f>SUM(S6:S36)</f>
        <v>0</v>
      </c>
      <c r="T37" s="17">
        <f>IF(T6="",0,AVERAGE(T6:T36))</f>
        <v>0</v>
      </c>
      <c r="U37" s="18">
        <f>SUM(U6:U36)</f>
        <v>0</v>
      </c>
      <c r="V37" s="19">
        <f>SUM(V6:V36)</f>
        <v>0</v>
      </c>
      <c r="W37" s="17">
        <f>IF(W6="",0,AVERAGE(W6:W36))</f>
        <v>0</v>
      </c>
      <c r="X37" s="18">
        <f>SUM(X6:X36)</f>
        <v>0</v>
      </c>
      <c r="Y37" s="19">
        <f>SUM(Y6:Y36)</f>
        <v>0</v>
      </c>
      <c r="Z37" s="17">
        <f>IF(Z6="",0,AVERAGE(Z6:Z36))</f>
        <v>0</v>
      </c>
      <c r="AA37" s="18">
        <f>SUM(AA6:AA36)</f>
        <v>0</v>
      </c>
      <c r="AB37" s="19">
        <f>SUM(AB6:AB36)</f>
        <v>0</v>
      </c>
      <c r="AC37" s="17">
        <f>IF(AC6="",0,AVERAGE(AC6:AC36))</f>
        <v>0</v>
      </c>
      <c r="AD37" s="18">
        <f>SUM(AD6:AD36)</f>
        <v>0</v>
      </c>
      <c r="AE37" s="20">
        <f>SUM(AE6:AE36)</f>
        <v>0</v>
      </c>
      <c r="AF37" s="17">
        <f>IF(AF6="",0,AVERAGE(AF6:AF36))</f>
        <v>0</v>
      </c>
      <c r="AG37" s="18">
        <f>SUM(AG6:AG36)</f>
        <v>0</v>
      </c>
      <c r="AH37" s="20">
        <f>SUM(AH6:AH36)</f>
        <v>0</v>
      </c>
      <c r="AI37" s="17">
        <f>IF(AI6="",0,AVERAGE(AI6:AI36))</f>
        <v>0</v>
      </c>
      <c r="AJ37" s="18">
        <f>SUM(AJ6:AJ36)</f>
        <v>0</v>
      </c>
      <c r="AK37" s="19">
        <f>SUM(AK6:AK36)-AK41</f>
        <v>0</v>
      </c>
      <c r="AL37" s="17">
        <f>IF(AL6="",0,AVERAGE(AL6:AL36))</f>
        <v>0</v>
      </c>
      <c r="AM37" s="18">
        <f>SUM(AM6:AM36)</f>
        <v>0</v>
      </c>
      <c r="AN37" s="20">
        <f>SUM(AN6:AN36)-AN41</f>
        <v>0</v>
      </c>
      <c r="AO37" s="17">
        <f>IF(AO6="",0,AVERAGE(AO6:AO36))</f>
        <v>0</v>
      </c>
      <c r="AP37" s="18">
        <f>SUM(AP6:AP36)</f>
        <v>0</v>
      </c>
      <c r="AQ37" s="20">
        <f>SUM(AQ6:AQ36)-AQ41</f>
        <v>0</v>
      </c>
      <c r="AR37" s="17">
        <f>IF(AR6="",0,AVERAGE(AR6:AR36))</f>
        <v>0</v>
      </c>
      <c r="AS37" s="18">
        <f>SUM(AS6:AS36)</f>
        <v>0</v>
      </c>
      <c r="AT37" s="20">
        <f>SUM(AT6:AT36)-AT41</f>
        <v>0</v>
      </c>
      <c r="AU37" s="17">
        <f>IF(AU6="",0,AVERAGE(AU6:AU36))</f>
        <v>0</v>
      </c>
      <c r="AV37" s="18">
        <f>SUM(AV6:AV36)</f>
        <v>0</v>
      </c>
      <c r="AW37" s="20">
        <f>SUM(AW6:AW36)-AW41</f>
        <v>0</v>
      </c>
      <c r="AX37" s="17">
        <f>IF(AX6="",0,AVERAGE(AX6:AX36))</f>
        <v>0</v>
      </c>
      <c r="AY37" s="18">
        <f>SUM(AY6:AY36)</f>
        <v>0</v>
      </c>
      <c r="AZ37" s="20">
        <f>SUM(AZ6:AZ36)</f>
        <v>0</v>
      </c>
      <c r="BA37" s="17">
        <f>IF(BA6="",0,AVERAGE(BA6:BA36))</f>
        <v>0</v>
      </c>
      <c r="BB37" s="18">
        <f>SUM(BB6:BB36)</f>
        <v>0</v>
      </c>
      <c r="BC37" s="20">
        <f>SUM(BC6:BC36)</f>
        <v>0</v>
      </c>
      <c r="BD37" s="17">
        <f>IF(BD6="",0,AVERAGE(BD6:BD36))</f>
        <v>0</v>
      </c>
      <c r="BE37" s="18">
        <f>SUM(BE6:BE36)</f>
        <v>0</v>
      </c>
      <c r="BF37" s="20">
        <f>SUM(BF6:BF36)</f>
        <v>0</v>
      </c>
      <c r="BG37" s="17">
        <f>IF(BG6="",0,AVERAGE(BG6:BG36))</f>
        <v>0</v>
      </c>
      <c r="BH37" s="18">
        <f>SUM(BH6:BH36)</f>
        <v>0</v>
      </c>
      <c r="BI37" s="20">
        <f>SUM(BI6:BI36)</f>
        <v>0</v>
      </c>
      <c r="BJ37" s="453"/>
      <c r="BK37" s="260">
        <f t="shared" si="12"/>
        <v>0.42499999999999999</v>
      </c>
      <c r="BL37" s="157"/>
      <c r="BM37" s="157"/>
    </row>
    <row r="38" spans="1:70" s="40" customFormat="1" ht="22.5" customHeight="1" thickTop="1">
      <c r="A38" s="57"/>
      <c r="B38" s="1610">
        <v>37433</v>
      </c>
      <c r="C38" s="1611"/>
      <c r="D38" s="1612"/>
      <c r="E38" s="1610"/>
      <c r="F38" s="1611"/>
      <c r="G38" s="1612"/>
      <c r="H38" s="1610"/>
      <c r="I38" s="1611"/>
      <c r="J38" s="1612"/>
      <c r="K38" s="1610"/>
      <c r="L38" s="1611"/>
      <c r="M38" s="1612"/>
      <c r="N38" s="1610"/>
      <c r="O38" s="1611"/>
      <c r="P38" s="1612"/>
      <c r="Q38" s="1610"/>
      <c r="R38" s="1611"/>
      <c r="S38" s="1612"/>
      <c r="T38" s="1610"/>
      <c r="U38" s="1611"/>
      <c r="V38" s="1612"/>
      <c r="W38" s="1610"/>
      <c r="X38" s="1611"/>
      <c r="Y38" s="1612"/>
      <c r="Z38" s="1610"/>
      <c r="AA38" s="1611"/>
      <c r="AB38" s="1612"/>
      <c r="AC38" s="1610"/>
      <c r="AD38" s="1611"/>
      <c r="AE38" s="1612"/>
      <c r="AF38" s="1610"/>
      <c r="AG38" s="1611"/>
      <c r="AH38" s="1612"/>
      <c r="AI38" s="1610"/>
      <c r="AJ38" s="1611"/>
      <c r="AK38" s="1612"/>
      <c r="AL38" s="1610"/>
      <c r="AM38" s="1611"/>
      <c r="AN38" s="1612"/>
      <c r="AO38" s="1610"/>
      <c r="AP38" s="1611"/>
      <c r="AQ38" s="1612"/>
      <c r="AR38" s="1610"/>
      <c r="AS38" s="1611"/>
      <c r="AT38" s="1612"/>
      <c r="AU38" s="1610"/>
      <c r="AV38" s="1611"/>
      <c r="AW38" s="1612"/>
      <c r="AX38" s="1610"/>
      <c r="AY38" s="1611"/>
      <c r="AZ38" s="1612"/>
      <c r="BA38" s="1610"/>
      <c r="BB38" s="1611"/>
      <c r="BC38" s="1612"/>
      <c r="BD38" s="1610"/>
      <c r="BE38" s="1611"/>
      <c r="BF38" s="1612"/>
      <c r="BG38" s="1610"/>
      <c r="BH38" s="1611"/>
      <c r="BI38" s="1612"/>
      <c r="BJ38" s="457"/>
      <c r="BK38" s="39"/>
    </row>
    <row r="39" spans="1:70" s="40" customFormat="1" ht="22.5" customHeight="1" thickBot="1">
      <c r="A39" s="58"/>
      <c r="B39" s="1571">
        <v>2783</v>
      </c>
      <c r="C39" s="1572"/>
      <c r="D39" s="1573"/>
      <c r="E39" s="1571"/>
      <c r="F39" s="1572"/>
      <c r="G39" s="1573"/>
      <c r="H39" s="1571"/>
      <c r="I39" s="1572"/>
      <c r="J39" s="1573"/>
      <c r="K39" s="1571"/>
      <c r="L39" s="1572"/>
      <c r="M39" s="1573"/>
      <c r="N39" s="1571"/>
      <c r="O39" s="1572"/>
      <c r="P39" s="1573"/>
      <c r="Q39" s="1571"/>
      <c r="R39" s="1572"/>
      <c r="S39" s="1573"/>
      <c r="T39" s="1571"/>
      <c r="U39" s="1572"/>
      <c r="V39" s="1573"/>
      <c r="W39" s="1571"/>
      <c r="X39" s="1572"/>
      <c r="Y39" s="1573"/>
      <c r="Z39" s="1571"/>
      <c r="AA39" s="1572"/>
      <c r="AB39" s="1573"/>
      <c r="AC39" s="1571"/>
      <c r="AD39" s="1572"/>
      <c r="AE39" s="1573"/>
      <c r="AF39" s="1571"/>
      <c r="AG39" s="1572"/>
      <c r="AH39" s="1573"/>
      <c r="AI39" s="1571"/>
      <c r="AJ39" s="1572"/>
      <c r="AK39" s="1573"/>
      <c r="AL39" s="1571"/>
      <c r="AM39" s="1572"/>
      <c r="AN39" s="1573"/>
      <c r="AO39" s="1571"/>
      <c r="AP39" s="1572"/>
      <c r="AQ39" s="1573"/>
      <c r="AR39" s="1571"/>
      <c r="AS39" s="1572"/>
      <c r="AT39" s="1573"/>
      <c r="AU39" s="1571"/>
      <c r="AV39" s="1572"/>
      <c r="AW39" s="1573"/>
      <c r="AX39" s="1571"/>
      <c r="AY39" s="1572"/>
      <c r="AZ39" s="1573"/>
      <c r="BA39" s="1571"/>
      <c r="BB39" s="1572"/>
      <c r="BC39" s="1573"/>
      <c r="BD39" s="1571"/>
      <c r="BE39" s="1572"/>
      <c r="BF39" s="1573"/>
      <c r="BG39" s="1571"/>
      <c r="BH39" s="1572"/>
      <c r="BI39" s="1573"/>
      <c r="BJ39" s="457"/>
      <c r="BK39" s="39"/>
    </row>
    <row r="40" spans="1:70" s="40" customFormat="1" ht="26.25" customHeight="1" thickBot="1">
      <c r="A40" s="59"/>
      <c r="B40" s="1579"/>
      <c r="C40" s="1580"/>
      <c r="D40" s="1581"/>
      <c r="E40" s="1579"/>
      <c r="F40" s="1580"/>
      <c r="G40" s="1581"/>
      <c r="H40" s="1579"/>
      <c r="I40" s="1580"/>
      <c r="J40" s="1581"/>
      <c r="K40" s="1579"/>
      <c r="L40" s="1580"/>
      <c r="M40" s="1581"/>
      <c r="N40" s="1579"/>
      <c r="O40" s="1580"/>
      <c r="P40" s="1581"/>
      <c r="Q40" s="1579"/>
      <c r="R40" s="1580"/>
      <c r="S40" s="1581"/>
      <c r="T40" s="1579"/>
      <c r="U40" s="1580"/>
      <c r="V40" s="1581"/>
      <c r="W40" s="1579"/>
      <c r="X40" s="1580"/>
      <c r="Y40" s="1581"/>
      <c r="Z40" s="1579"/>
      <c r="AA40" s="1580"/>
      <c r="AB40" s="1581"/>
      <c r="AC40" s="1562"/>
      <c r="AD40" s="1563"/>
      <c r="AE40" s="1564"/>
      <c r="AF40" s="1562"/>
      <c r="AG40" s="1563"/>
      <c r="AH40" s="1564"/>
      <c r="AI40" s="1579"/>
      <c r="AJ40" s="1580"/>
      <c r="AK40" s="1581"/>
      <c r="AL40" s="1579"/>
      <c r="AM40" s="1580"/>
      <c r="AN40" s="1581"/>
      <c r="AO40" s="1579"/>
      <c r="AP40" s="1580"/>
      <c r="AQ40" s="1581"/>
      <c r="AR40" s="1579"/>
      <c r="AS40" s="1580"/>
      <c r="AT40" s="1581"/>
      <c r="AU40" s="1579"/>
      <c r="AV40" s="1580"/>
      <c r="AW40" s="1581"/>
      <c r="AX40" s="1579"/>
      <c r="AY40" s="1580"/>
      <c r="AZ40" s="1581"/>
      <c r="BA40" s="1579"/>
      <c r="BB40" s="1580"/>
      <c r="BC40" s="1581"/>
      <c r="BD40" s="1579"/>
      <c r="BE40" s="1580"/>
      <c r="BF40" s="1581"/>
      <c r="BG40" s="1579"/>
      <c r="BH40" s="1580"/>
      <c r="BI40" s="1581"/>
      <c r="BJ40" s="458"/>
      <c r="BK40" s="41"/>
    </row>
    <row r="41" spans="1:70" s="27" customFormat="1" ht="26.25" hidden="1" customHeight="1" thickTop="1" thickBot="1">
      <c r="A41" s="26"/>
      <c r="B41" s="1565">
        <f>B38-B39-B60</f>
        <v>31680</v>
      </c>
      <c r="C41" s="1566"/>
      <c r="D41" s="1567"/>
      <c r="E41" s="1565">
        <f>E38-E39-E60</f>
        <v>0</v>
      </c>
      <c r="F41" s="1566"/>
      <c r="G41" s="1567"/>
      <c r="H41" s="494">
        <f>H38-H39-H60</f>
        <v>0</v>
      </c>
      <c r="I41" s="495"/>
      <c r="J41" s="496"/>
      <c r="K41" s="1565">
        <f>K38-K39-K60</f>
        <v>0</v>
      </c>
      <c r="L41" s="1566"/>
      <c r="M41" s="1567"/>
      <c r="N41" s="494">
        <f>N38-N39-N60</f>
        <v>0</v>
      </c>
      <c r="O41" s="495"/>
      <c r="P41" s="496"/>
      <c r="Q41" s="1565">
        <f>Q38-Q39-Q60</f>
        <v>0</v>
      </c>
      <c r="R41" s="1566"/>
      <c r="S41" s="1567"/>
      <c r="T41" s="1565">
        <f>T38-T39-T60</f>
        <v>0</v>
      </c>
      <c r="U41" s="1566"/>
      <c r="V41" s="1567"/>
      <c r="W41" s="1565">
        <f>W38-W39-W60</f>
        <v>0</v>
      </c>
      <c r="X41" s="1566"/>
      <c r="Y41" s="1567"/>
      <c r="Z41" s="1565">
        <f>Z38-Z39-Z60</f>
        <v>0</v>
      </c>
      <c r="AA41" s="1566"/>
      <c r="AB41" s="1567"/>
      <c r="AC41" s="494">
        <f>AC38-AC39-AC60</f>
        <v>0</v>
      </c>
      <c r="AD41" s="495"/>
      <c r="AE41" s="496"/>
      <c r="AF41" s="494">
        <f>AF38-AF39-AF60</f>
        <v>0</v>
      </c>
      <c r="AG41" s="495"/>
      <c r="AH41" s="496"/>
      <c r="AI41" s="494">
        <f>AI38-AI39-AI60</f>
        <v>0</v>
      </c>
      <c r="AJ41" s="495"/>
      <c r="AK41" s="496"/>
      <c r="AL41" s="494">
        <f>AL38-AL39-AL60</f>
        <v>0</v>
      </c>
      <c r="AM41" s="495"/>
      <c r="AN41" s="496"/>
      <c r="AO41" s="494">
        <f>AO38-AO39-AO60</f>
        <v>0</v>
      </c>
      <c r="AP41" s="495"/>
      <c r="AQ41" s="496"/>
      <c r="AR41" s="494">
        <f>AR38-AR39-AR60</f>
        <v>0</v>
      </c>
      <c r="AS41" s="495"/>
      <c r="AT41" s="496"/>
      <c r="AU41" s="494">
        <f>AU38-AU39-AU60</f>
        <v>0</v>
      </c>
      <c r="AV41" s="495"/>
      <c r="AW41" s="496"/>
      <c r="AX41" s="1565">
        <f>AX38-AX39-AX60</f>
        <v>0</v>
      </c>
      <c r="AY41" s="1566"/>
      <c r="AZ41" s="1567"/>
      <c r="BA41" s="1565">
        <f>BA38-BA39-BA60</f>
        <v>0</v>
      </c>
      <c r="BB41" s="1566"/>
      <c r="BC41" s="1567"/>
      <c r="BD41" s="1565">
        <f>BD38-BD39-BD60</f>
        <v>0</v>
      </c>
      <c r="BE41" s="1566"/>
      <c r="BF41" s="1567"/>
      <c r="BG41" s="1565">
        <f>BG38-BG39-BG60</f>
        <v>0</v>
      </c>
      <c r="BH41" s="1566"/>
      <c r="BI41" s="1567"/>
      <c r="BJ41" s="460"/>
      <c r="BK41" s="29"/>
    </row>
    <row r="42" spans="1:70" ht="17.25" hidden="1" customHeight="1" thickTop="1" thickBot="1">
      <c r="G42" s="7"/>
      <c r="H42" s="7"/>
      <c r="I42" s="15"/>
      <c r="O42" s="15"/>
      <c r="AU42" s="7"/>
    </row>
    <row r="43" spans="1:70" ht="17.25" hidden="1" customHeight="1" thickTop="1" thickBot="1">
      <c r="G43" s="7"/>
      <c r="H43" s="7"/>
      <c r="I43" s="15"/>
      <c r="O43" s="15"/>
      <c r="AU43" s="7"/>
    </row>
    <row r="44" spans="1:70" ht="17.25" hidden="1" customHeight="1" thickTop="1" thickBot="1">
      <c r="G44" s="7"/>
      <c r="H44" s="7"/>
      <c r="I44" s="15"/>
      <c r="O44" s="15"/>
      <c r="AU44" s="7"/>
    </row>
    <row r="45" spans="1:70" s="5" customFormat="1" ht="22.5" customHeight="1" thickTop="1" thickBot="1">
      <c r="A45" s="251" t="s">
        <v>14</v>
      </c>
      <c r="B45" s="248" t="s">
        <v>0</v>
      </c>
      <c r="C45" s="31" t="s">
        <v>1</v>
      </c>
      <c r="D45" s="32" t="s">
        <v>2</v>
      </c>
      <c r="E45" s="248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454"/>
      <c r="BK45" s="33"/>
      <c r="BL45" s="33"/>
      <c r="BM45" s="33"/>
      <c r="BN45" s="33"/>
      <c r="BO45" s="33"/>
      <c r="BP45" s="33"/>
      <c r="BQ45" s="33"/>
      <c r="BR45" s="33"/>
    </row>
    <row r="46" spans="1:70" s="1369" customFormat="1" ht="15">
      <c r="A46" s="1363"/>
      <c r="B46" s="1364">
        <v>2970</v>
      </c>
      <c r="C46" s="1365"/>
      <c r="D46" s="1366"/>
      <c r="E46" s="1364"/>
      <c r="F46" s="1365"/>
      <c r="G46" s="1366"/>
      <c r="H46" s="1367"/>
      <c r="I46" s="1365"/>
      <c r="J46" s="1366"/>
      <c r="K46" s="1367"/>
      <c r="L46" s="1365"/>
      <c r="M46" s="1366"/>
      <c r="N46" s="1367"/>
      <c r="O46" s="1365"/>
      <c r="P46" s="1366"/>
      <c r="Q46" s="1367"/>
      <c r="R46" s="1365"/>
      <c r="S46" s="1366"/>
      <c r="T46" s="1367"/>
      <c r="U46" s="1365"/>
      <c r="V46" s="1366"/>
      <c r="W46" s="1367"/>
      <c r="X46" s="1365"/>
      <c r="Y46" s="1366"/>
      <c r="Z46" s="1367"/>
      <c r="AA46" s="1365"/>
      <c r="AB46" s="1366"/>
      <c r="AC46" s="1367"/>
      <c r="AD46" s="1365"/>
      <c r="AE46" s="1366"/>
      <c r="AF46" s="1367"/>
      <c r="AG46" s="1365"/>
      <c r="AH46" s="1366"/>
      <c r="AI46" s="1367"/>
      <c r="AJ46" s="1365"/>
      <c r="AK46" s="1366"/>
      <c r="AL46" s="1367"/>
      <c r="AM46" s="1365"/>
      <c r="AN46" s="1366"/>
      <c r="AO46" s="1367"/>
      <c r="AP46" s="1365"/>
      <c r="AQ46" s="1366"/>
      <c r="AR46" s="1367"/>
      <c r="AS46" s="1365"/>
      <c r="AT46" s="1366"/>
      <c r="AU46" s="1367"/>
      <c r="AV46" s="1365"/>
      <c r="AW46" s="1366"/>
      <c r="AX46" s="1367"/>
      <c r="AY46" s="1365"/>
      <c r="AZ46" s="1366"/>
      <c r="BA46" s="1367"/>
      <c r="BB46" s="1365"/>
      <c r="BC46" s="1366"/>
      <c r="BD46" s="1367"/>
      <c r="BE46" s="1365"/>
      <c r="BF46" s="1366"/>
      <c r="BG46" s="1367"/>
      <c r="BH46" s="1365"/>
      <c r="BI46" s="1366"/>
      <c r="BJ46" s="1368"/>
    </row>
    <row r="47" spans="1:70" s="1369" customFormat="1" ht="15">
      <c r="A47" s="1363"/>
      <c r="B47" s="1370"/>
      <c r="C47" s="1371"/>
      <c r="D47" s="1372"/>
      <c r="E47" s="1373"/>
      <c r="F47" s="1371"/>
      <c r="G47" s="1372"/>
      <c r="H47" s="1373"/>
      <c r="I47" s="1371"/>
      <c r="J47" s="1372"/>
      <c r="K47" s="1373"/>
      <c r="L47" s="1371"/>
      <c r="M47" s="1372"/>
      <c r="N47" s="1373"/>
      <c r="O47" s="1371"/>
      <c r="P47" s="1372"/>
      <c r="Q47" s="1373"/>
      <c r="R47" s="1371"/>
      <c r="S47" s="1372"/>
      <c r="T47" s="1373"/>
      <c r="U47" s="1371"/>
      <c r="V47" s="1372"/>
      <c r="W47" s="1373"/>
      <c r="X47" s="1371"/>
      <c r="Y47" s="1372"/>
      <c r="Z47" s="1373"/>
      <c r="AA47" s="1371"/>
      <c r="AB47" s="1372"/>
      <c r="AC47" s="1373"/>
      <c r="AD47" s="1371"/>
      <c r="AE47" s="1372"/>
      <c r="AF47" s="1373"/>
      <c r="AG47" s="1371"/>
      <c r="AH47" s="1372"/>
      <c r="AI47" s="1373"/>
      <c r="AJ47" s="1371"/>
      <c r="AK47" s="1372"/>
      <c r="AL47" s="1373"/>
      <c r="AM47" s="1371"/>
      <c r="AN47" s="1372"/>
      <c r="AO47" s="1373"/>
      <c r="AP47" s="1371"/>
      <c r="AQ47" s="1372"/>
      <c r="AR47" s="1373"/>
      <c r="AS47" s="1371"/>
      <c r="AT47" s="1372"/>
      <c r="AU47" s="1373"/>
      <c r="AV47" s="1371"/>
      <c r="AW47" s="1372"/>
      <c r="AX47" s="1373"/>
      <c r="AY47" s="1371"/>
      <c r="AZ47" s="1372"/>
      <c r="BA47" s="1373"/>
      <c r="BB47" s="1371"/>
      <c r="BC47" s="1372"/>
      <c r="BD47" s="1373"/>
      <c r="BE47" s="1371"/>
      <c r="BF47" s="1372"/>
      <c r="BG47" s="1373"/>
      <c r="BH47" s="1371"/>
      <c r="BI47" s="1372"/>
      <c r="BJ47" s="1368"/>
    </row>
    <row r="48" spans="1:70" s="1369" customFormat="1" ht="15.75" customHeight="1">
      <c r="A48" s="1363"/>
      <c r="B48" s="1370"/>
      <c r="C48" s="1371"/>
      <c r="D48" s="1372"/>
      <c r="E48" s="1373"/>
      <c r="F48" s="1371"/>
      <c r="G48" s="1372"/>
      <c r="H48" s="1373"/>
      <c r="I48" s="1371"/>
      <c r="J48" s="1372"/>
      <c r="K48" s="1373"/>
      <c r="L48" s="1371"/>
      <c r="M48" s="1372"/>
      <c r="N48" s="1373"/>
      <c r="O48" s="1371"/>
      <c r="P48" s="1372"/>
      <c r="Q48" s="1373"/>
      <c r="R48" s="1371"/>
      <c r="S48" s="1372"/>
      <c r="T48" s="1373"/>
      <c r="U48" s="1371"/>
      <c r="V48" s="1372"/>
      <c r="W48" s="1373"/>
      <c r="X48" s="1371"/>
      <c r="Y48" s="1372"/>
      <c r="Z48" s="1373"/>
      <c r="AA48" s="1371"/>
      <c r="AB48" s="1372"/>
      <c r="AC48" s="1373"/>
      <c r="AD48" s="1371"/>
      <c r="AE48" s="1372"/>
      <c r="AF48" s="1373"/>
      <c r="AG48" s="1371"/>
      <c r="AH48" s="1372"/>
      <c r="AI48" s="1373"/>
      <c r="AJ48" s="1371"/>
      <c r="AK48" s="1372"/>
      <c r="AL48" s="1373"/>
      <c r="AM48" s="1371"/>
      <c r="AN48" s="1372"/>
      <c r="AO48" s="1373"/>
      <c r="AP48" s="1371"/>
      <c r="AQ48" s="1372"/>
      <c r="AR48" s="1373"/>
      <c r="AS48" s="1371"/>
      <c r="AT48" s="1372"/>
      <c r="AU48" s="1373"/>
      <c r="AV48" s="1371"/>
      <c r="AW48" s="1372"/>
      <c r="AX48" s="1373"/>
      <c r="AY48" s="1371"/>
      <c r="AZ48" s="1372"/>
      <c r="BA48" s="1373"/>
      <c r="BB48" s="1371"/>
      <c r="BC48" s="1372"/>
      <c r="BD48" s="1373"/>
      <c r="BE48" s="1371"/>
      <c r="BF48" s="1372"/>
      <c r="BG48" s="1373"/>
      <c r="BH48" s="1371"/>
      <c r="BI48" s="1372"/>
      <c r="BJ48" s="1368"/>
    </row>
    <row r="49" spans="1:70" s="1369" customFormat="1" ht="15">
      <c r="A49" s="1363"/>
      <c r="B49" s="1370"/>
      <c r="C49" s="1371"/>
      <c r="D49" s="1372"/>
      <c r="E49" s="1373"/>
      <c r="F49" s="1371"/>
      <c r="G49" s="1372"/>
      <c r="H49" s="1373"/>
      <c r="I49" s="1371"/>
      <c r="J49" s="1372"/>
      <c r="K49" s="1373"/>
      <c r="L49" s="1371"/>
      <c r="M49" s="1372"/>
      <c r="N49" s="1373"/>
      <c r="O49" s="1371"/>
      <c r="P49" s="1372"/>
      <c r="Q49" s="1373"/>
      <c r="R49" s="1371"/>
      <c r="S49" s="1372"/>
      <c r="T49" s="1373"/>
      <c r="U49" s="1371"/>
      <c r="V49" s="1372"/>
      <c r="W49" s="1373"/>
      <c r="X49" s="1371"/>
      <c r="Y49" s="1372"/>
      <c r="Z49" s="1373"/>
      <c r="AA49" s="1371"/>
      <c r="AB49" s="1372"/>
      <c r="AC49" s="1373"/>
      <c r="AD49" s="1371"/>
      <c r="AE49" s="1372"/>
      <c r="AF49" s="1373"/>
      <c r="AG49" s="1371"/>
      <c r="AH49" s="1372"/>
      <c r="AI49" s="1373"/>
      <c r="AJ49" s="1371"/>
      <c r="AK49" s="1372"/>
      <c r="AL49" s="1373"/>
      <c r="AM49" s="1371"/>
      <c r="AN49" s="1372"/>
      <c r="AO49" s="1373"/>
      <c r="AP49" s="1371"/>
      <c r="AQ49" s="1372"/>
      <c r="AR49" s="1373"/>
      <c r="AS49" s="1371"/>
      <c r="AT49" s="1372"/>
      <c r="AU49" s="1373"/>
      <c r="AV49" s="1371"/>
      <c r="AW49" s="1372"/>
      <c r="AX49" s="1373"/>
      <c r="AY49" s="1371"/>
      <c r="AZ49" s="1372"/>
      <c r="BA49" s="1373"/>
      <c r="BB49" s="1371"/>
      <c r="BC49" s="1372"/>
      <c r="BD49" s="1373"/>
      <c r="BE49" s="1371"/>
      <c r="BF49" s="1372"/>
      <c r="BG49" s="1373"/>
      <c r="BH49" s="1371"/>
      <c r="BI49" s="1372"/>
      <c r="BJ49" s="1368"/>
    </row>
    <row r="50" spans="1:70" s="1369" customFormat="1" ht="15">
      <c r="A50" s="1363"/>
      <c r="B50" s="1370"/>
      <c r="C50" s="1371"/>
      <c r="D50" s="1372"/>
      <c r="E50" s="1373"/>
      <c r="F50" s="1371"/>
      <c r="G50" s="1372"/>
      <c r="H50" s="1373"/>
      <c r="I50" s="1371"/>
      <c r="J50" s="1372"/>
      <c r="K50" s="1373"/>
      <c r="L50" s="1371"/>
      <c r="M50" s="1372"/>
      <c r="N50" s="1373"/>
      <c r="O50" s="1371"/>
      <c r="P50" s="1372"/>
      <c r="Q50" s="1373"/>
      <c r="R50" s="1371"/>
      <c r="S50" s="1372"/>
      <c r="T50" s="1373"/>
      <c r="U50" s="1371"/>
      <c r="V50" s="1372"/>
      <c r="W50" s="1373"/>
      <c r="X50" s="1371"/>
      <c r="Y50" s="1372"/>
      <c r="Z50" s="1373"/>
      <c r="AA50" s="1371"/>
      <c r="AB50" s="1372"/>
      <c r="AC50" s="1373"/>
      <c r="AD50" s="1371"/>
      <c r="AE50" s="1372"/>
      <c r="AF50" s="1373"/>
      <c r="AG50" s="1371"/>
      <c r="AH50" s="1372"/>
      <c r="AI50" s="1373"/>
      <c r="AJ50" s="1371"/>
      <c r="AK50" s="1372"/>
      <c r="AL50" s="1373"/>
      <c r="AM50" s="1371"/>
      <c r="AN50" s="1372"/>
      <c r="AO50" s="1373"/>
      <c r="AP50" s="1371"/>
      <c r="AQ50" s="1372"/>
      <c r="AR50" s="1373"/>
      <c r="AS50" s="1371"/>
      <c r="AT50" s="1372"/>
      <c r="AU50" s="1373"/>
      <c r="AV50" s="1371"/>
      <c r="AW50" s="1372"/>
      <c r="AX50" s="1373"/>
      <c r="AY50" s="1371"/>
      <c r="AZ50" s="1372"/>
      <c r="BA50" s="1373"/>
      <c r="BB50" s="1371"/>
      <c r="BC50" s="1372"/>
      <c r="BD50" s="1373"/>
      <c r="BE50" s="1371"/>
      <c r="BF50" s="1372"/>
      <c r="BG50" s="1373"/>
      <c r="BH50" s="1371"/>
      <c r="BI50" s="1372"/>
      <c r="BJ50" s="1368"/>
    </row>
    <row r="51" spans="1:70" s="1369" customFormat="1" ht="15">
      <c r="A51" s="1363"/>
      <c r="B51" s="1370"/>
      <c r="C51" s="1371"/>
      <c r="D51" s="1372"/>
      <c r="E51" s="1373"/>
      <c r="F51" s="1371"/>
      <c r="G51" s="1372"/>
      <c r="H51" s="1373"/>
      <c r="I51" s="1371"/>
      <c r="J51" s="1372"/>
      <c r="K51" s="1373"/>
      <c r="L51" s="1371"/>
      <c r="M51" s="1372"/>
      <c r="N51" s="1373"/>
      <c r="O51" s="1371"/>
      <c r="P51" s="1372"/>
      <c r="Q51" s="1373"/>
      <c r="R51" s="1371"/>
      <c r="S51" s="1372"/>
      <c r="T51" s="1373"/>
      <c r="U51" s="1371"/>
      <c r="V51" s="1372"/>
      <c r="W51" s="1373"/>
      <c r="X51" s="1371"/>
      <c r="Y51" s="1372"/>
      <c r="Z51" s="1373"/>
      <c r="AA51" s="1371"/>
      <c r="AB51" s="1372"/>
      <c r="AC51" s="1373"/>
      <c r="AD51" s="1371"/>
      <c r="AE51" s="1372"/>
      <c r="AF51" s="1373"/>
      <c r="AG51" s="1371"/>
      <c r="AH51" s="1372"/>
      <c r="AI51" s="1373"/>
      <c r="AJ51" s="1371"/>
      <c r="AK51" s="1372"/>
      <c r="AL51" s="1373"/>
      <c r="AM51" s="1371"/>
      <c r="AN51" s="1372"/>
      <c r="AO51" s="1373"/>
      <c r="AP51" s="1371"/>
      <c r="AQ51" s="1372"/>
      <c r="AR51" s="1373"/>
      <c r="AS51" s="1371"/>
      <c r="AT51" s="1372"/>
      <c r="AU51" s="1373"/>
      <c r="AV51" s="1371"/>
      <c r="AW51" s="1372"/>
      <c r="AX51" s="1373"/>
      <c r="AY51" s="1371"/>
      <c r="AZ51" s="1372"/>
      <c r="BA51" s="1373"/>
      <c r="BB51" s="1371"/>
      <c r="BC51" s="1372"/>
      <c r="BD51" s="1373"/>
      <c r="BE51" s="1371"/>
      <c r="BF51" s="1372"/>
      <c r="BG51" s="1373"/>
      <c r="BH51" s="1371"/>
      <c r="BI51" s="1372"/>
      <c r="BJ51" s="1368"/>
    </row>
    <row r="52" spans="1:70" s="1369" customFormat="1" ht="15">
      <c r="A52" s="1363"/>
      <c r="B52" s="1370"/>
      <c r="C52" s="1371"/>
      <c r="D52" s="1372"/>
      <c r="E52" s="1373"/>
      <c r="F52" s="1371"/>
      <c r="G52" s="1372"/>
      <c r="H52" s="1373"/>
      <c r="I52" s="1371"/>
      <c r="J52" s="1372"/>
      <c r="K52" s="1373"/>
      <c r="L52" s="1371"/>
      <c r="M52" s="1372"/>
      <c r="N52" s="1373"/>
      <c r="O52" s="1371"/>
      <c r="P52" s="1372"/>
      <c r="Q52" s="1373"/>
      <c r="R52" s="1371"/>
      <c r="S52" s="1372"/>
      <c r="T52" s="1373"/>
      <c r="U52" s="1371"/>
      <c r="V52" s="1372"/>
      <c r="W52" s="1373"/>
      <c r="X52" s="1371"/>
      <c r="Y52" s="1372"/>
      <c r="Z52" s="1373"/>
      <c r="AA52" s="1371"/>
      <c r="AB52" s="1372"/>
      <c r="AC52" s="1373"/>
      <c r="AD52" s="1371"/>
      <c r="AE52" s="1372"/>
      <c r="AF52" s="1373"/>
      <c r="AG52" s="1371"/>
      <c r="AH52" s="1372"/>
      <c r="AI52" s="1373"/>
      <c r="AJ52" s="1371"/>
      <c r="AK52" s="1372"/>
      <c r="AL52" s="1373"/>
      <c r="AM52" s="1371"/>
      <c r="AN52" s="1372"/>
      <c r="AO52" s="1373"/>
      <c r="AP52" s="1371"/>
      <c r="AQ52" s="1372"/>
      <c r="AR52" s="1373"/>
      <c r="AS52" s="1371"/>
      <c r="AT52" s="1372"/>
      <c r="AU52" s="1373"/>
      <c r="AV52" s="1371"/>
      <c r="AW52" s="1372"/>
      <c r="AX52" s="1373"/>
      <c r="AY52" s="1371"/>
      <c r="AZ52" s="1372"/>
      <c r="BA52" s="1373"/>
      <c r="BB52" s="1371"/>
      <c r="BC52" s="1372"/>
      <c r="BD52" s="1373"/>
      <c r="BE52" s="1371"/>
      <c r="BF52" s="1372"/>
      <c r="BG52" s="1373"/>
      <c r="BH52" s="1371"/>
      <c r="BI52" s="1372"/>
      <c r="BJ52" s="1368"/>
    </row>
    <row r="53" spans="1:70" s="1369" customFormat="1" thickBot="1">
      <c r="A53" s="1363"/>
      <c r="B53" s="1370"/>
      <c r="C53" s="1371"/>
      <c r="D53" s="1372"/>
      <c r="E53" s="1373"/>
      <c r="F53" s="1371"/>
      <c r="G53" s="1372"/>
      <c r="H53" s="1373"/>
      <c r="I53" s="1371"/>
      <c r="J53" s="1372"/>
      <c r="K53" s="1373"/>
      <c r="L53" s="1371"/>
      <c r="M53" s="1372"/>
      <c r="N53" s="1373"/>
      <c r="O53" s="1371"/>
      <c r="P53" s="1372"/>
      <c r="Q53" s="1373"/>
      <c r="R53" s="1371"/>
      <c r="S53" s="1372"/>
      <c r="T53" s="1373"/>
      <c r="U53" s="1371"/>
      <c r="V53" s="1372"/>
      <c r="W53" s="1373"/>
      <c r="X53" s="1371"/>
      <c r="Y53" s="1372"/>
      <c r="Z53" s="1373"/>
      <c r="AA53" s="1371"/>
      <c r="AB53" s="1372"/>
      <c r="AC53" s="1373"/>
      <c r="AD53" s="1371"/>
      <c r="AE53" s="1372"/>
      <c r="AF53" s="1373"/>
      <c r="AG53" s="1371"/>
      <c r="AH53" s="1372"/>
      <c r="AI53" s="1373"/>
      <c r="AJ53" s="1371"/>
      <c r="AK53" s="1372"/>
      <c r="AL53" s="1373"/>
      <c r="AM53" s="1371"/>
      <c r="AN53" s="1372"/>
      <c r="AO53" s="1373"/>
      <c r="AP53" s="1371"/>
      <c r="AQ53" s="1372"/>
      <c r="AR53" s="1373"/>
      <c r="AS53" s="1371"/>
      <c r="AT53" s="1372"/>
      <c r="AU53" s="1373"/>
      <c r="AV53" s="1371"/>
      <c r="AW53" s="1372"/>
      <c r="AX53" s="1373"/>
      <c r="AY53" s="1371"/>
      <c r="AZ53" s="1372"/>
      <c r="BA53" s="1373"/>
      <c r="BB53" s="1371"/>
      <c r="BC53" s="1372"/>
      <c r="BD53" s="1373"/>
      <c r="BE53" s="1371"/>
      <c r="BF53" s="1372"/>
      <c r="BG53" s="1373"/>
      <c r="BH53" s="1371"/>
      <c r="BI53" s="1372"/>
      <c r="BJ53" s="1368"/>
    </row>
    <row r="54" spans="1:70" s="5" customFormat="1" ht="15" hidden="1">
      <c r="A54" s="252"/>
      <c r="B54" s="249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55"/>
    </row>
    <row r="55" spans="1:70" s="5" customFormat="1" ht="15" hidden="1">
      <c r="A55" s="252"/>
      <c r="B55" s="249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55"/>
    </row>
    <row r="56" spans="1:70" s="5" customFormat="1" ht="15" hidden="1">
      <c r="A56" s="252"/>
      <c r="B56" s="249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55"/>
    </row>
    <row r="57" spans="1:70" s="5" customFormat="1" ht="15" hidden="1">
      <c r="A57" s="252"/>
      <c r="B57" s="249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55"/>
    </row>
    <row r="58" spans="1:70" s="5" customFormat="1" ht="15" hidden="1">
      <c r="A58" s="252"/>
      <c r="B58" s="249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55"/>
    </row>
    <row r="59" spans="1:70" s="5" customFormat="1" hidden="1" thickBot="1">
      <c r="A59" s="252"/>
      <c r="B59" s="250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455"/>
    </row>
    <row r="60" spans="1:70" s="431" customFormat="1" ht="22.5" customHeight="1" thickBot="1">
      <c r="A60" s="432"/>
      <c r="B60" s="426">
        <f t="shared" ref="B60:AW60" si="23">SUM(B46:B59)</f>
        <v>2970</v>
      </c>
      <c r="C60" s="427">
        <f t="shared" si="23"/>
        <v>0</v>
      </c>
      <c r="D60" s="428">
        <f t="shared" si="23"/>
        <v>0</v>
      </c>
      <c r="E60" s="429">
        <f t="shared" si="23"/>
        <v>0</v>
      </c>
      <c r="F60" s="427">
        <f t="shared" si="23"/>
        <v>0</v>
      </c>
      <c r="G60" s="428">
        <f t="shared" si="23"/>
        <v>0</v>
      </c>
      <c r="H60" s="429">
        <f t="shared" si="23"/>
        <v>0</v>
      </c>
      <c r="I60" s="427">
        <f t="shared" si="23"/>
        <v>0</v>
      </c>
      <c r="J60" s="428">
        <f t="shared" si="23"/>
        <v>0</v>
      </c>
      <c r="K60" s="429">
        <f t="shared" si="23"/>
        <v>0</v>
      </c>
      <c r="L60" s="427">
        <f t="shared" si="23"/>
        <v>0</v>
      </c>
      <c r="M60" s="428">
        <f t="shared" si="23"/>
        <v>0</v>
      </c>
      <c r="N60" s="429">
        <f t="shared" si="23"/>
        <v>0</v>
      </c>
      <c r="O60" s="427">
        <f t="shared" si="23"/>
        <v>0</v>
      </c>
      <c r="P60" s="428">
        <f t="shared" si="23"/>
        <v>0</v>
      </c>
      <c r="Q60" s="429">
        <f t="shared" si="23"/>
        <v>0</v>
      </c>
      <c r="R60" s="427">
        <f t="shared" si="23"/>
        <v>0</v>
      </c>
      <c r="S60" s="428">
        <f t="shared" si="23"/>
        <v>0</v>
      </c>
      <c r="T60" s="429">
        <f t="shared" si="23"/>
        <v>0</v>
      </c>
      <c r="U60" s="427">
        <f t="shared" si="23"/>
        <v>0</v>
      </c>
      <c r="V60" s="428">
        <f t="shared" si="23"/>
        <v>0</v>
      </c>
      <c r="W60" s="429">
        <f t="shared" si="23"/>
        <v>0</v>
      </c>
      <c r="X60" s="427">
        <f t="shared" si="23"/>
        <v>0</v>
      </c>
      <c r="Y60" s="428">
        <f t="shared" si="23"/>
        <v>0</v>
      </c>
      <c r="Z60" s="429">
        <f t="shared" si="23"/>
        <v>0</v>
      </c>
      <c r="AA60" s="427">
        <f t="shared" si="23"/>
        <v>0</v>
      </c>
      <c r="AB60" s="428">
        <f t="shared" si="23"/>
        <v>0</v>
      </c>
      <c r="AC60" s="429">
        <f t="shared" si="23"/>
        <v>0</v>
      </c>
      <c r="AD60" s="427">
        <f t="shared" si="23"/>
        <v>0</v>
      </c>
      <c r="AE60" s="428">
        <f t="shared" si="23"/>
        <v>0</v>
      </c>
      <c r="AF60" s="429">
        <f t="shared" si="23"/>
        <v>0</v>
      </c>
      <c r="AG60" s="427">
        <f t="shared" si="23"/>
        <v>0</v>
      </c>
      <c r="AH60" s="428">
        <f t="shared" si="23"/>
        <v>0</v>
      </c>
      <c r="AI60" s="429">
        <f t="shared" si="23"/>
        <v>0</v>
      </c>
      <c r="AJ60" s="427">
        <f t="shared" si="23"/>
        <v>0</v>
      </c>
      <c r="AK60" s="428">
        <f t="shared" si="23"/>
        <v>0</v>
      </c>
      <c r="AL60" s="429">
        <f t="shared" si="23"/>
        <v>0</v>
      </c>
      <c r="AM60" s="427">
        <f t="shared" si="23"/>
        <v>0</v>
      </c>
      <c r="AN60" s="428">
        <f t="shared" si="23"/>
        <v>0</v>
      </c>
      <c r="AO60" s="429">
        <f t="shared" si="23"/>
        <v>0</v>
      </c>
      <c r="AP60" s="427">
        <f t="shared" si="23"/>
        <v>0</v>
      </c>
      <c r="AQ60" s="428">
        <f t="shared" si="23"/>
        <v>0</v>
      </c>
      <c r="AR60" s="429">
        <f t="shared" si="23"/>
        <v>0</v>
      </c>
      <c r="AS60" s="427">
        <f t="shared" si="23"/>
        <v>0</v>
      </c>
      <c r="AT60" s="428">
        <f t="shared" si="23"/>
        <v>0</v>
      </c>
      <c r="AU60" s="429">
        <f t="shared" si="23"/>
        <v>0</v>
      </c>
      <c r="AV60" s="427">
        <f t="shared" si="23"/>
        <v>0</v>
      </c>
      <c r="AW60" s="428">
        <f t="shared" si="23"/>
        <v>0</v>
      </c>
      <c r="AX60" s="429">
        <f t="shared" ref="AX60:BI60" si="24">SUM(AX46:AX59)</f>
        <v>0</v>
      </c>
      <c r="AY60" s="427">
        <f t="shared" si="24"/>
        <v>0</v>
      </c>
      <c r="AZ60" s="428">
        <f t="shared" si="24"/>
        <v>0</v>
      </c>
      <c r="BA60" s="429">
        <f t="shared" ref="BA60:BF60" si="25">SUM(BA46:BA59)</f>
        <v>0</v>
      </c>
      <c r="BB60" s="427">
        <f t="shared" si="25"/>
        <v>0</v>
      </c>
      <c r="BC60" s="428">
        <f t="shared" si="25"/>
        <v>0</v>
      </c>
      <c r="BD60" s="429">
        <f t="shared" si="25"/>
        <v>0</v>
      </c>
      <c r="BE60" s="427">
        <f t="shared" si="25"/>
        <v>0</v>
      </c>
      <c r="BF60" s="428">
        <f t="shared" si="25"/>
        <v>0</v>
      </c>
      <c r="BG60" s="429">
        <f t="shared" si="24"/>
        <v>0</v>
      </c>
      <c r="BH60" s="427">
        <f t="shared" si="24"/>
        <v>0</v>
      </c>
      <c r="BI60" s="428">
        <f t="shared" si="24"/>
        <v>0</v>
      </c>
      <c r="BJ60" s="456"/>
      <c r="BK60" s="430"/>
      <c r="BL60" s="430"/>
      <c r="BM60" s="430"/>
      <c r="BN60" s="430"/>
      <c r="BO60" s="430"/>
      <c r="BP60" s="430"/>
      <c r="BQ60" s="430"/>
      <c r="BR60" s="430"/>
    </row>
    <row r="61" spans="1:70" s="5" customFormat="1" ht="26.25" customHeight="1" thickTop="1" thickBot="1">
      <c r="A61" s="252"/>
      <c r="B61" s="1557">
        <f>SUM(B60:D60)</f>
        <v>2970</v>
      </c>
      <c r="C61" s="1557"/>
      <c r="D61" s="1558"/>
      <c r="E61" s="1556">
        <f>SUM(E60:G60)</f>
        <v>0</v>
      </c>
      <c r="F61" s="1557"/>
      <c r="G61" s="1558"/>
      <c r="H61" s="1556">
        <f>SUM(H60:J60)</f>
        <v>0</v>
      </c>
      <c r="I61" s="1557"/>
      <c r="J61" s="1558"/>
      <c r="K61" s="1556">
        <f>SUM(K60:M60)</f>
        <v>0</v>
      </c>
      <c r="L61" s="1557"/>
      <c r="M61" s="1558"/>
      <c r="N61" s="1556">
        <f>SUM(N60:P60)</f>
        <v>0</v>
      </c>
      <c r="O61" s="1557"/>
      <c r="P61" s="1558"/>
      <c r="Q61" s="1556">
        <f>SUM(Q60:S60)</f>
        <v>0</v>
      </c>
      <c r="R61" s="1557"/>
      <c r="S61" s="1558"/>
      <c r="T61" s="1556">
        <f>SUM(T60:V60)</f>
        <v>0</v>
      </c>
      <c r="U61" s="1557"/>
      <c r="V61" s="1558"/>
      <c r="W61" s="1556">
        <f>SUM(W60:Y60)</f>
        <v>0</v>
      </c>
      <c r="X61" s="1557"/>
      <c r="Y61" s="1558"/>
      <c r="Z61" s="1556">
        <f>SUM(Z60:AB60)</f>
        <v>0</v>
      </c>
      <c r="AA61" s="1557"/>
      <c r="AB61" s="1558"/>
      <c r="AC61" s="1556">
        <f>SUM(AC60:AE60)</f>
        <v>0</v>
      </c>
      <c r="AD61" s="1557"/>
      <c r="AE61" s="1558"/>
      <c r="AF61" s="1556">
        <f>SUM(AF60:AH60)</f>
        <v>0</v>
      </c>
      <c r="AG61" s="1557"/>
      <c r="AH61" s="1558"/>
      <c r="AI61" s="1556">
        <f>SUM(AI60:AK60)</f>
        <v>0</v>
      </c>
      <c r="AJ61" s="1557"/>
      <c r="AK61" s="1558"/>
      <c r="AL61" s="1556">
        <f>SUM(AL60:AN60)</f>
        <v>0</v>
      </c>
      <c r="AM61" s="1557"/>
      <c r="AN61" s="1558"/>
      <c r="AO61" s="1556">
        <f>SUM(AO60:AQ60)</f>
        <v>0</v>
      </c>
      <c r="AP61" s="1557"/>
      <c r="AQ61" s="1558"/>
      <c r="AR61" s="1556">
        <f>SUM(AR60:AT60)</f>
        <v>0</v>
      </c>
      <c r="AS61" s="1557"/>
      <c r="AT61" s="1558"/>
      <c r="AU61" s="1556">
        <f>SUM(AU60:AW60)</f>
        <v>0</v>
      </c>
      <c r="AV61" s="1557"/>
      <c r="AW61" s="1558"/>
      <c r="AX61" s="1556">
        <f>SUM(AX60:AZ60)</f>
        <v>0</v>
      </c>
      <c r="AY61" s="1557"/>
      <c r="AZ61" s="1558"/>
      <c r="BA61" s="1556">
        <f>SUM(BA60:BC60)</f>
        <v>0</v>
      </c>
      <c r="BB61" s="1557"/>
      <c r="BC61" s="1558"/>
      <c r="BD61" s="1556">
        <f>SUM(BD60:BF60)</f>
        <v>0</v>
      </c>
      <c r="BE61" s="1557"/>
      <c r="BF61" s="1558"/>
      <c r="BG61" s="1556">
        <f>SUM(BG60:BI60)</f>
        <v>0</v>
      </c>
      <c r="BH61" s="1557"/>
      <c r="BI61" s="1558"/>
      <c r="BJ61" s="459"/>
      <c r="BK61" s="28"/>
      <c r="BL61" s="28"/>
      <c r="BM61" s="158"/>
      <c r="BN61" s="158"/>
      <c r="BO61" s="158"/>
      <c r="BP61" s="1582"/>
      <c r="BQ61" s="1582"/>
      <c r="BR61" s="1582"/>
    </row>
    <row r="62" spans="1:70" ht="50.25" customHeight="1" thickTop="1">
      <c r="A62" s="253"/>
      <c r="B62" s="1583">
        <f>SUM(B61:BJ61)</f>
        <v>2970</v>
      </c>
      <c r="C62" s="1583"/>
      <c r="D62" s="1583"/>
    </row>
  </sheetData>
  <customSheetViews>
    <customSheetView guid="{40FADD7F-233D-11D9-A2E0-00055D0D7FDA}" scale="75" showGridLines="0" printArea="1" hiddenRows="1" showRuler="0">
      <pane xSplit="1" ySplit="5" topLeftCell="B18" activePane="bottomRight" state="frozen"/>
      <selection pane="bottomRight" activeCell="Q40" sqref="Q40:S40"/>
      <pageMargins left="0.2" right="0.56000000000000005" top="0.27" bottom="0.39370078740157483" header="0.23622047244094491" footer="0.35433070866141736"/>
      <pageSetup paperSize="9" scale="80" orientation="landscape" horizontalDpi="300" verticalDpi="300" r:id="rId1"/>
      <headerFooter alignWithMargins="0">
        <oddFooter>&amp;L&amp;"Times New Roman,標準"&amp;8&amp;D&amp;R&amp;8&amp;F&amp;A</oddFooter>
      </headerFooter>
    </customSheetView>
    <customSheetView guid="{40FADD80-233D-11D9-A2E0-00055D0D7FDA}" scale="75" showGridLines="0" showRuler="0">
      <pane xSplit="1" ySplit="5" topLeftCell="B18" activePane="bottomRight" state="frozen"/>
      <selection pane="bottomRight" activeCell="Q40" sqref="Q40:S40"/>
    </customSheetView>
    <customSheetView guid="{B499F86B-5A3B-11D9-A2E0-00055D0D7FDA}" scale="75" showPageBreaks="1" showGridLines="0" fitToPage="1" printArea="1" hiddenRows="1" showRuler="0">
      <pane xSplit="1" ySplit="5" topLeftCell="B6" activePane="bottomRight" state="frozen"/>
      <selection pane="bottomRight" activeCell="O8" sqref="O8"/>
      <pageMargins left="0.2" right="0.56000000000000005" top="0.27" bottom="0.39370078740157483" header="0.23622047244094491" footer="0.35433070866141736"/>
      <pageSetup paperSize="9" scale="16" orientation="landscape" blackAndWhite="1" horizontalDpi="300" verticalDpi="300" r:id="rId2"/>
      <headerFooter alignWithMargins="0">
        <oddFooter>&amp;L&amp;"Times New Roman,標準"&amp;8&amp;D&amp;R&amp;8&amp;F&amp;A</oddFooter>
      </headerFooter>
    </customSheetView>
  </customSheetViews>
  <mergeCells count="93">
    <mergeCell ref="AX39:AZ39"/>
    <mergeCell ref="AX40:AZ40"/>
    <mergeCell ref="BD40:BF40"/>
    <mergeCell ref="BG38:BI38"/>
    <mergeCell ref="BG39:BI39"/>
    <mergeCell ref="BG40:BI40"/>
    <mergeCell ref="BA38:BC38"/>
    <mergeCell ref="BA39:BC39"/>
    <mergeCell ref="BD38:BF38"/>
    <mergeCell ref="BD39:BF39"/>
    <mergeCell ref="BP61:BR61"/>
    <mergeCell ref="AR40:AT40"/>
    <mergeCell ref="AU40:AW40"/>
    <mergeCell ref="AU61:AW61"/>
    <mergeCell ref="BG61:BI61"/>
    <mergeCell ref="BA61:BC61"/>
    <mergeCell ref="AX61:AZ61"/>
    <mergeCell ref="BD61:BF61"/>
    <mergeCell ref="BA40:BC40"/>
    <mergeCell ref="AX41:AZ41"/>
    <mergeCell ref="BA41:BC41"/>
    <mergeCell ref="BD41:BF41"/>
    <mergeCell ref="BG41:BI41"/>
    <mergeCell ref="AI40:AK40"/>
    <mergeCell ref="AL40:AN40"/>
    <mergeCell ref="AO40:AQ40"/>
    <mergeCell ref="H40:J40"/>
    <mergeCell ref="Z40:AB40"/>
    <mergeCell ref="AC40:AE40"/>
    <mergeCell ref="K61:M61"/>
    <mergeCell ref="N61:P61"/>
    <mergeCell ref="Q61:S61"/>
    <mergeCell ref="T61:V61"/>
    <mergeCell ref="AF40:AH40"/>
    <mergeCell ref="Q40:S40"/>
    <mergeCell ref="Q41:S41"/>
    <mergeCell ref="K40:M40"/>
    <mergeCell ref="N40:P40"/>
    <mergeCell ref="Z41:AB41"/>
    <mergeCell ref="T40:V40"/>
    <mergeCell ref="T41:V41"/>
    <mergeCell ref="W40:Y40"/>
    <mergeCell ref="W41:Y41"/>
    <mergeCell ref="K41:M41"/>
    <mergeCell ref="AI61:AK61"/>
    <mergeCell ref="AL61:AN61"/>
    <mergeCell ref="AO61:AQ61"/>
    <mergeCell ref="AR61:AT61"/>
    <mergeCell ref="W61:Y61"/>
    <mergeCell ref="Z61:AB61"/>
    <mergeCell ref="AC61:AE61"/>
    <mergeCell ref="AF61:AH61"/>
    <mergeCell ref="B61:D61"/>
    <mergeCell ref="E61:G61"/>
    <mergeCell ref="H61:J61"/>
    <mergeCell ref="B40:D40"/>
    <mergeCell ref="B41:D41"/>
    <mergeCell ref="E40:G40"/>
    <mergeCell ref="E41:G41"/>
    <mergeCell ref="AU38:AW38"/>
    <mergeCell ref="AU39:AW39"/>
    <mergeCell ref="AO38:AQ38"/>
    <mergeCell ref="AO39:AQ39"/>
    <mergeCell ref="AR38:AT38"/>
    <mergeCell ref="AR39:AT39"/>
    <mergeCell ref="K39:M39"/>
    <mergeCell ref="N38:P38"/>
    <mergeCell ref="N39:P39"/>
    <mergeCell ref="K38:M38"/>
    <mergeCell ref="AL38:AN38"/>
    <mergeCell ref="AL39:AN39"/>
    <mergeCell ref="AC39:AE39"/>
    <mergeCell ref="AF38:AH38"/>
    <mergeCell ref="AF39:AH39"/>
    <mergeCell ref="AI38:AK38"/>
    <mergeCell ref="AI39:AK39"/>
    <mergeCell ref="AC38:AE38"/>
    <mergeCell ref="B62:D62"/>
    <mergeCell ref="B38:D38"/>
    <mergeCell ref="AX38:AZ38"/>
    <mergeCell ref="B39:D39"/>
    <mergeCell ref="E38:G38"/>
    <mergeCell ref="E39:G39"/>
    <mergeCell ref="Q38:S38"/>
    <mergeCell ref="Q39:S39"/>
    <mergeCell ref="T39:V39"/>
    <mergeCell ref="W39:Y39"/>
    <mergeCell ref="Z38:AB38"/>
    <mergeCell ref="Z39:AB39"/>
    <mergeCell ref="T38:V38"/>
    <mergeCell ref="W38:Y38"/>
    <mergeCell ref="H38:J38"/>
    <mergeCell ref="H39:J39"/>
  </mergeCells>
  <phoneticPr fontId="12" type="noConversion"/>
  <conditionalFormatting sqref="BK1:BK1048576">
    <cfRule type="cellIs" dxfId="586" priority="1" stopIfTrue="1" operator="greaterThan">
      <formula>3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horizontalDpi="300" verticalDpi="300" r:id="rId3"/>
  <headerFooter alignWithMargins="0">
    <oddFooter>&amp;L&amp;"Times New Roman,標準"&amp;8&amp;D&amp;R&amp;8&amp;F&amp;A</oddFooter>
  </headerFooter>
  <colBreaks count="12" manualBreakCount="12">
    <brk id="2" max="400" man="1"/>
    <brk id="14" min="12" max="41420" man="1"/>
    <brk id="154" min="678" max="28179" man="1"/>
    <brk id="385" min="200" max="200" man="1"/>
    <brk id="1080" min="983" max="1121" man="1"/>
    <brk id="2287" max="1048575" man="1"/>
    <brk id="6832" max="400" man="1"/>
    <brk id="8537" min="303" max="1536" man="1"/>
    <brk id="20550" min="2" max="101" man="1"/>
    <brk id="33424" min="544" max="9408" man="1"/>
    <brk id="52896" min="80" max="1048575" man="1"/>
    <brk id="65535" max="2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>
    <tabColor rgb="FF002060"/>
    <pageSetUpPr fitToPage="1"/>
  </sheetPr>
  <dimension ref="A1:BF62"/>
  <sheetViews>
    <sheetView showGridLines="0" zoomScaleNormal="100" workbookViewId="0">
      <pane xSplit="1" ySplit="6" topLeftCell="B17" activePane="bottomRight" state="frozen"/>
      <selection activeCell="G1" sqref="G1"/>
      <selection pane="topRight" activeCell="G1" sqref="G1"/>
      <selection pane="bottomLeft" activeCell="G1" sqref="G1"/>
      <selection pane="bottomRight" activeCell="B26" sqref="B26"/>
    </sheetView>
  </sheetViews>
  <sheetFormatPr defaultColWidth="6.375" defaultRowHeight="15"/>
  <cols>
    <col min="1" max="1" width="8.125" style="7" customWidth="1"/>
    <col min="2" max="19" width="6" style="7" customWidth="1"/>
    <col min="20" max="21" width="6" style="7" hidden="1" customWidth="1"/>
    <col min="22" max="23" width="6" style="14" hidden="1" customWidth="1"/>
    <col min="24" max="30" width="6" style="7" hidden="1" customWidth="1"/>
    <col min="31" max="31" width="6.125" style="7" hidden="1" customWidth="1"/>
    <col min="32" max="34" width="6" style="7" hidden="1" customWidth="1"/>
    <col min="35" max="49" width="6.375" style="7" hidden="1" customWidth="1"/>
    <col min="50" max="50" width="6.375" style="7" customWidth="1"/>
    <col min="51" max="51" width="6.375" style="4" customWidth="1"/>
    <col min="52" max="52" width="6.375" style="7" customWidth="1"/>
    <col min="53" max="53" width="11.75" style="7" customWidth="1"/>
    <col min="54" max="16384" width="6.375" style="7"/>
  </cols>
  <sheetData>
    <row r="1" spans="1:53" ht="37.15" customHeight="1">
      <c r="A1" s="141" t="s">
        <v>36</v>
      </c>
      <c r="C1" s="8"/>
      <c r="D1" s="8"/>
      <c r="F1" s="8"/>
      <c r="G1" s="8"/>
      <c r="H1" s="1314" t="s">
        <v>16077</v>
      </c>
      <c r="I1" s="1315"/>
      <c r="J1" s="1315"/>
      <c r="K1" s="1315"/>
      <c r="L1" s="1315"/>
      <c r="M1" s="1315"/>
      <c r="N1" s="1315"/>
      <c r="O1" s="1315"/>
      <c r="P1" s="1315"/>
      <c r="Q1" s="1315"/>
      <c r="R1" s="1315"/>
      <c r="S1" s="1315"/>
      <c r="T1" s="1315"/>
      <c r="U1" s="1315"/>
      <c r="V1" s="1315"/>
      <c r="W1" s="8"/>
      <c r="X1" s="8"/>
      <c r="Y1" s="8"/>
      <c r="Z1" s="461"/>
      <c r="AA1" s="8"/>
      <c r="AB1" s="8"/>
      <c r="AC1" s="8"/>
      <c r="AD1" s="8"/>
      <c r="AE1" s="8"/>
      <c r="AF1" s="8"/>
      <c r="AG1" s="8"/>
      <c r="AH1" s="8"/>
      <c r="AI1" s="461"/>
      <c r="AJ1" s="8"/>
      <c r="AK1" s="8"/>
      <c r="AL1" s="8"/>
      <c r="AM1" s="461"/>
      <c r="AN1" s="8"/>
      <c r="AO1" s="8"/>
      <c r="AP1" s="8"/>
      <c r="AQ1" s="8"/>
      <c r="AR1" s="8"/>
      <c r="AS1" s="468"/>
      <c r="AT1" s="8"/>
      <c r="AU1" s="9"/>
      <c r="AV1" s="9"/>
      <c r="AW1" s="9"/>
    </row>
    <row r="2" spans="1:53" s="139" customFormat="1" ht="19.899999999999999" customHeight="1" thickBot="1">
      <c r="A2" s="1535">
        <f>'(示眾台)'!Q1</f>
        <v>1193694.2</v>
      </c>
      <c r="B2" s="138"/>
      <c r="C2" s="138">
        <v>94</v>
      </c>
      <c r="D2" s="138"/>
      <c r="E2" s="138"/>
      <c r="F2" s="138">
        <v>95</v>
      </c>
      <c r="G2" s="138"/>
      <c r="H2" s="138"/>
      <c r="I2" s="138">
        <v>96</v>
      </c>
      <c r="J2" s="138"/>
      <c r="K2" s="138"/>
      <c r="L2" s="138">
        <v>97</v>
      </c>
      <c r="M2" s="138"/>
      <c r="N2" s="138"/>
      <c r="O2" s="138">
        <v>98</v>
      </c>
      <c r="P2" s="138"/>
      <c r="Q2" s="138"/>
      <c r="R2" s="138">
        <v>99</v>
      </c>
      <c r="S2" s="138"/>
      <c r="T2" s="138"/>
      <c r="U2" s="138">
        <v>100</v>
      </c>
      <c r="V2" s="138"/>
      <c r="W2" s="138"/>
      <c r="X2" s="138">
        <v>101</v>
      </c>
      <c r="Y2" s="138"/>
      <c r="Z2" s="138"/>
      <c r="AA2" s="138">
        <v>102</v>
      </c>
      <c r="AB2" s="138"/>
      <c r="AC2" s="138"/>
      <c r="AD2" s="138">
        <v>103</v>
      </c>
      <c r="AE2" s="138"/>
      <c r="AF2" s="138"/>
      <c r="AG2" s="138">
        <v>104</v>
      </c>
      <c r="AH2" s="138"/>
      <c r="AI2" s="138"/>
      <c r="AJ2" s="138">
        <v>105</v>
      </c>
      <c r="AK2" s="138"/>
      <c r="AL2" s="138"/>
      <c r="AM2" s="138">
        <v>106</v>
      </c>
      <c r="AN2" s="138"/>
      <c r="AO2" s="138"/>
      <c r="AP2" s="138">
        <v>107</v>
      </c>
      <c r="AQ2" s="138"/>
      <c r="AR2" s="138"/>
      <c r="AS2" s="138">
        <v>108</v>
      </c>
      <c r="AT2" s="138"/>
      <c r="AU2" s="138"/>
      <c r="AV2" s="138">
        <v>109</v>
      </c>
      <c r="AW2" s="138"/>
      <c r="AY2" s="140"/>
    </row>
    <row r="3" spans="1:53" s="4" customFormat="1" ht="23.25" customHeight="1" thickTop="1">
      <c r="A3" s="396" t="s">
        <v>8</v>
      </c>
      <c r="B3" s="397" t="s">
        <v>17429</v>
      </c>
      <c r="C3" s="398"/>
      <c r="D3" s="399">
        <v>70</v>
      </c>
      <c r="E3" s="397"/>
      <c r="F3" s="398"/>
      <c r="G3" s="399"/>
      <c r="H3" s="397"/>
      <c r="I3" s="398"/>
      <c r="J3" s="399"/>
      <c r="K3" s="397"/>
      <c r="L3" s="398"/>
      <c r="M3" s="399"/>
      <c r="N3" s="397"/>
      <c r="O3" s="398"/>
      <c r="P3" s="399"/>
      <c r="Q3" s="397"/>
      <c r="R3" s="398"/>
      <c r="S3" s="399"/>
      <c r="T3" s="397"/>
      <c r="U3" s="398"/>
      <c r="V3" s="399"/>
      <c r="W3" s="397"/>
      <c r="X3" s="398"/>
      <c r="Y3" s="399"/>
      <c r="Z3" s="397"/>
      <c r="AA3" s="398"/>
      <c r="AB3" s="399"/>
      <c r="AC3" s="397"/>
      <c r="AD3" s="398"/>
      <c r="AE3" s="399"/>
      <c r="AF3" s="397"/>
      <c r="AG3" s="398"/>
      <c r="AH3" s="399"/>
      <c r="AI3" s="397"/>
      <c r="AJ3" s="398"/>
      <c r="AK3" s="399"/>
      <c r="AL3" s="397"/>
      <c r="AM3" s="398"/>
      <c r="AN3" s="399"/>
      <c r="AO3" s="397"/>
      <c r="AP3" s="398"/>
      <c r="AQ3" s="399"/>
      <c r="AR3" s="397"/>
      <c r="AS3" s="398"/>
      <c r="AT3" s="399"/>
      <c r="AU3" s="397"/>
      <c r="AV3" s="398"/>
      <c r="AW3" s="399"/>
      <c r="AX3" s="124"/>
    </row>
    <row r="4" spans="1:53" s="4" customFormat="1" ht="21" customHeight="1" thickBot="1">
      <c r="A4" s="400" t="s">
        <v>9</v>
      </c>
      <c r="B4" s="401" t="s">
        <v>17434</v>
      </c>
      <c r="C4" s="402"/>
      <c r="D4" s="403">
        <v>550</v>
      </c>
      <c r="E4" s="401"/>
      <c r="F4" s="402"/>
      <c r="G4" s="403"/>
      <c r="H4" s="401"/>
      <c r="I4" s="402"/>
      <c r="J4" s="403"/>
      <c r="K4" s="401"/>
      <c r="L4" s="402"/>
      <c r="M4" s="403"/>
      <c r="N4" s="401"/>
      <c r="O4" s="402"/>
      <c r="P4" s="403"/>
      <c r="Q4" s="401"/>
      <c r="R4" s="402"/>
      <c r="S4" s="403"/>
      <c r="T4" s="401"/>
      <c r="U4" s="402"/>
      <c r="V4" s="403"/>
      <c r="W4" s="401"/>
      <c r="X4" s="402"/>
      <c r="Y4" s="403"/>
      <c r="Z4" s="401"/>
      <c r="AA4" s="402"/>
      <c r="AB4" s="403"/>
      <c r="AC4" s="401"/>
      <c r="AD4" s="402"/>
      <c r="AE4" s="403"/>
      <c r="AF4" s="401"/>
      <c r="AG4" s="402"/>
      <c r="AH4" s="403"/>
      <c r="AI4" s="401"/>
      <c r="AJ4" s="402"/>
      <c r="AK4" s="403"/>
      <c r="AL4" s="401"/>
      <c r="AM4" s="402"/>
      <c r="AN4" s="403"/>
      <c r="AO4" s="401"/>
      <c r="AP4" s="402"/>
      <c r="AQ4" s="403"/>
      <c r="AR4" s="401"/>
      <c r="AS4" s="402"/>
      <c r="AT4" s="403"/>
      <c r="AU4" s="401"/>
      <c r="AV4" s="402"/>
      <c r="AW4" s="403"/>
      <c r="AX4" s="124"/>
    </row>
    <row r="5" spans="1:53" s="651" customFormat="1" ht="17.25" thickTop="1">
      <c r="A5" s="642" t="s">
        <v>5</v>
      </c>
      <c r="B5" s="660" t="s">
        <v>17</v>
      </c>
      <c r="C5" s="644" t="s">
        <v>6</v>
      </c>
      <c r="D5" s="645" t="s">
        <v>7</v>
      </c>
      <c r="E5" s="660" t="s">
        <v>17</v>
      </c>
      <c r="F5" s="644" t="s">
        <v>6</v>
      </c>
      <c r="G5" s="645" t="s">
        <v>7</v>
      </c>
      <c r="H5" s="660" t="s">
        <v>17</v>
      </c>
      <c r="I5" s="644" t="s">
        <v>6</v>
      </c>
      <c r="J5" s="645" t="s">
        <v>7</v>
      </c>
      <c r="K5" s="660" t="s">
        <v>17</v>
      </c>
      <c r="L5" s="644" t="s">
        <v>6</v>
      </c>
      <c r="M5" s="645" t="s">
        <v>7</v>
      </c>
      <c r="N5" s="660" t="s">
        <v>17</v>
      </c>
      <c r="O5" s="644" t="s">
        <v>6</v>
      </c>
      <c r="P5" s="645" t="s">
        <v>7</v>
      </c>
      <c r="Q5" s="660" t="s">
        <v>17</v>
      </c>
      <c r="R5" s="644" t="s">
        <v>6</v>
      </c>
      <c r="S5" s="645" t="s">
        <v>7</v>
      </c>
      <c r="T5" s="660" t="s">
        <v>17</v>
      </c>
      <c r="U5" s="644" t="s">
        <v>6</v>
      </c>
      <c r="V5" s="645" t="s">
        <v>7</v>
      </c>
      <c r="W5" s="660" t="s">
        <v>17</v>
      </c>
      <c r="X5" s="644" t="s">
        <v>6</v>
      </c>
      <c r="Y5" s="645" t="s">
        <v>7</v>
      </c>
      <c r="Z5" s="660" t="s">
        <v>17</v>
      </c>
      <c r="AA5" s="644" t="s">
        <v>6</v>
      </c>
      <c r="AB5" s="645" t="s">
        <v>7</v>
      </c>
      <c r="AC5" s="660" t="s">
        <v>17</v>
      </c>
      <c r="AD5" s="644" t="s">
        <v>6</v>
      </c>
      <c r="AE5" s="645" t="s">
        <v>7</v>
      </c>
      <c r="AF5" s="660" t="s">
        <v>17</v>
      </c>
      <c r="AG5" s="644" t="s">
        <v>6</v>
      </c>
      <c r="AH5" s="645" t="s">
        <v>7</v>
      </c>
      <c r="AI5" s="660" t="s">
        <v>17</v>
      </c>
      <c r="AJ5" s="644" t="s">
        <v>6</v>
      </c>
      <c r="AK5" s="645" t="s">
        <v>7</v>
      </c>
      <c r="AL5" s="660" t="s">
        <v>17</v>
      </c>
      <c r="AM5" s="644" t="s">
        <v>6</v>
      </c>
      <c r="AN5" s="645" t="s">
        <v>7</v>
      </c>
      <c r="AO5" s="660" t="s">
        <v>17</v>
      </c>
      <c r="AP5" s="644" t="s">
        <v>6</v>
      </c>
      <c r="AQ5" s="645" t="s">
        <v>7</v>
      </c>
      <c r="AR5" s="660" t="s">
        <v>17</v>
      </c>
      <c r="AS5" s="644" t="s">
        <v>6</v>
      </c>
      <c r="AT5" s="645" t="s">
        <v>7</v>
      </c>
      <c r="AU5" s="660" t="s">
        <v>17</v>
      </c>
      <c r="AV5" s="644" t="s">
        <v>6</v>
      </c>
      <c r="AW5" s="645" t="s">
        <v>7</v>
      </c>
      <c r="AX5" s="6"/>
      <c r="AY5" s="649"/>
      <c r="AZ5" s="650"/>
      <c r="BA5" s="650"/>
    </row>
    <row r="6" spans="1:53" ht="12.75" customHeight="1">
      <c r="A6" s="10">
        <v>1</v>
      </c>
      <c r="B6" s="493">
        <v>0</v>
      </c>
      <c r="C6" s="11">
        <f>D$3*D$4*216*24*60*((B6*12)/216)/9000000</f>
        <v>0</v>
      </c>
      <c r="D6" s="64"/>
      <c r="E6" s="493"/>
      <c r="F6" s="11">
        <f>G$3*G$4*216*24*60*((E6*12)/216)/9000000</f>
        <v>0</v>
      </c>
      <c r="G6" s="64"/>
      <c r="H6" s="493"/>
      <c r="I6" s="11">
        <f>J$3*J$4*216*24*60*((H6*12)/216)/9000000</f>
        <v>0</v>
      </c>
      <c r="J6" s="64"/>
      <c r="K6" s="493"/>
      <c r="L6" s="11">
        <f>M$3*M$4*216*24*60*((K6*12)/216)/9000000</f>
        <v>0</v>
      </c>
      <c r="M6" s="64"/>
      <c r="N6" s="493"/>
      <c r="O6" s="11">
        <f>P$3*P$4*216*24*60*((N6*12)/216)/9000000</f>
        <v>0</v>
      </c>
      <c r="P6" s="64"/>
      <c r="Q6" s="493"/>
      <c r="R6" s="11">
        <f>S$3*S$4*216*24*60*((Q6*12)/216)/9000000</f>
        <v>0</v>
      </c>
      <c r="S6" s="64"/>
      <c r="T6" s="493"/>
      <c r="U6" s="11">
        <f>V$3*V$4*216*24*60*((T6*12)/216)/9000000</f>
        <v>0</v>
      </c>
      <c r="V6" s="64"/>
      <c r="W6" s="493"/>
      <c r="X6" s="11">
        <f>Y$3*Y$4*216*24*60*((W6*12)/216)/9000000</f>
        <v>0</v>
      </c>
      <c r="Y6" s="64"/>
      <c r="Z6" s="493"/>
      <c r="AA6" s="11">
        <f>AB$3*AB$4*216*24*60*((Z6*12)/216)/9000000</f>
        <v>0</v>
      </c>
      <c r="AB6" s="64"/>
      <c r="AC6" s="493"/>
      <c r="AD6" s="11">
        <f>AE$3*AE$4*216*24*60*((AC6*12)/216)/9000000</f>
        <v>0</v>
      </c>
      <c r="AE6" s="64"/>
      <c r="AF6" s="493"/>
      <c r="AG6" s="11">
        <f>AH$3*AH$4*216*24*60*((AF6*12)/216)/9000000</f>
        <v>0</v>
      </c>
      <c r="AH6" s="64"/>
      <c r="AI6" s="493"/>
      <c r="AJ6" s="11">
        <f>AK$3*AK$4*216*24*60*((AI6*12)/216)/9000000</f>
        <v>0</v>
      </c>
      <c r="AK6" s="64"/>
      <c r="AL6" s="493"/>
      <c r="AM6" s="11">
        <f>AN$3*AN$4*216*24*60*((AL6*12)/216)/9000000</f>
        <v>0</v>
      </c>
      <c r="AN6" s="64"/>
      <c r="AO6" s="493"/>
      <c r="AP6" s="11">
        <f>AQ$3*AQ$4*216*24*60*((AO6*12)/216)/9000000</f>
        <v>0</v>
      </c>
      <c r="AQ6" s="64"/>
      <c r="AR6" s="493"/>
      <c r="AS6" s="11">
        <f>AT$3*AT$4*216*24*60*((AR6*12)/216)/9000000</f>
        <v>0</v>
      </c>
      <c r="AT6" s="64"/>
      <c r="AU6" s="493"/>
      <c r="AV6" s="11">
        <f>AW$3*AW$4*216*24*60*((AU6*12)/216)/9000000</f>
        <v>0</v>
      </c>
      <c r="AW6" s="64"/>
      <c r="AX6" s="13"/>
      <c r="AY6" s="260">
        <f>SUM(B6,E6,H6,K6,N6,Q6,T6,W6,Z6,AC6,AF6,AI6,AL6,AO6,AR6,AU6)/12</f>
        <v>0</v>
      </c>
      <c r="AZ6" s="157"/>
      <c r="BA6" s="157"/>
    </row>
    <row r="7" spans="1:53" ht="12.75" customHeight="1">
      <c r="A7" s="10">
        <v>2</v>
      </c>
      <c r="B7" s="493">
        <v>0</v>
      </c>
      <c r="C7" s="11">
        <f t="shared" ref="C7:C14" si="0">D$3*D$4*144*24*60*((B7*12)/144)/9000000</f>
        <v>0</v>
      </c>
      <c r="D7" s="64"/>
      <c r="E7" s="493"/>
      <c r="F7" s="11">
        <f t="shared" ref="F7:F36" si="1">G$3*G$4*144*24*60*((E7*12)/144)/9000000</f>
        <v>0</v>
      </c>
      <c r="G7" s="64"/>
      <c r="H7" s="493"/>
      <c r="I7" s="11">
        <f t="shared" ref="I7:I36" si="2">J$3*J$4*144*24*60*((H7*12)/144)/9000000</f>
        <v>0</v>
      </c>
      <c r="J7" s="64"/>
      <c r="K7" s="493"/>
      <c r="L7" s="11">
        <f t="shared" ref="L7:L36" si="3">M$3*M$4*144*24*60*((K7*12)/144)/9000000</f>
        <v>0</v>
      </c>
      <c r="M7" s="64"/>
      <c r="N7" s="493"/>
      <c r="O7" s="11">
        <f t="shared" ref="O7:O36" si="4">P$3*P$4*144*24*60*((N7*12)/144)/9000000</f>
        <v>0</v>
      </c>
      <c r="P7" s="64"/>
      <c r="Q7" s="493"/>
      <c r="R7" s="11">
        <f t="shared" ref="R7:R36" si="5">S$3*S$4*144*24*60*((Q7*12)/144)/9000000</f>
        <v>0</v>
      </c>
      <c r="S7" s="64"/>
      <c r="T7" s="493"/>
      <c r="U7" s="11">
        <f t="shared" ref="U7:U36" si="6">V$3*V$4*144*24*60*((T7*12)/144)/9000000</f>
        <v>0</v>
      </c>
      <c r="V7" s="64"/>
      <c r="W7" s="493"/>
      <c r="X7" s="11">
        <f t="shared" ref="X7:X36" si="7">Y$3*Y$4*144*24*60*((W7*12)/144)/9000000</f>
        <v>0</v>
      </c>
      <c r="Y7" s="64"/>
      <c r="Z7" s="493"/>
      <c r="AA7" s="11">
        <f t="shared" ref="AA7:AA36" si="8">AB$3*AB$4*144*24*60*((Z7*12)/144)/9000000</f>
        <v>0</v>
      </c>
      <c r="AB7" s="64"/>
      <c r="AC7" s="493"/>
      <c r="AD7" s="11">
        <f t="shared" ref="AD7:AD36" si="9">AE$3*AE$4*144*24*60*((AC7*12)/144)/9000000</f>
        <v>0</v>
      </c>
      <c r="AE7" s="64"/>
      <c r="AF7" s="493"/>
      <c r="AG7" s="11">
        <f t="shared" ref="AG7:AG36" si="10">AH$3*AH$4*144*24*60*((AF7*12)/144)/9000000</f>
        <v>0</v>
      </c>
      <c r="AH7" s="64"/>
      <c r="AI7" s="493"/>
      <c r="AJ7" s="11">
        <f t="shared" ref="AJ7:AJ36" si="11">AK$3*AK$4*144*24*60*((AI7*12)/144)/9000000</f>
        <v>0</v>
      </c>
      <c r="AK7" s="64"/>
      <c r="AL7" s="493"/>
      <c r="AM7" s="11">
        <f t="shared" ref="AM7:AM36" si="12">AN$3*AN$4*216*24*60*((AL7*12)/216)/9000000</f>
        <v>0</v>
      </c>
      <c r="AN7" s="64"/>
      <c r="AO7" s="493"/>
      <c r="AP7" s="11">
        <f>AQ$3*AQ$4*216*24*60*((AO7*12)/216)/9000000</f>
        <v>0</v>
      </c>
      <c r="AQ7" s="64"/>
      <c r="AR7" s="493"/>
      <c r="AS7" s="11">
        <f t="shared" ref="AS7:AS37" si="13">AT$3*AT$4*216*24*60*((AR7*12)/216)/9000000</f>
        <v>0</v>
      </c>
      <c r="AT7" s="64"/>
      <c r="AU7" s="493"/>
      <c r="AV7" s="11">
        <f t="shared" ref="AV7:AV36" si="14">AW$3*AW$4*216*24*60*((AU7*12)/216)/9000000</f>
        <v>0</v>
      </c>
      <c r="AW7" s="64"/>
      <c r="AX7" s="13"/>
      <c r="AY7" s="260">
        <f t="shared" ref="AY7:AY36" si="15">SUM(B7,E7,H7,K7,N7,Q7,T7,W7,Z7,AC7,AF7,AI7,AL7,AO7,AR7,AU7)/12</f>
        <v>0</v>
      </c>
      <c r="AZ7" s="157"/>
      <c r="BA7" s="157"/>
    </row>
    <row r="8" spans="1:53" ht="12.75" customHeight="1">
      <c r="A8" s="10">
        <v>3</v>
      </c>
      <c r="B8" s="493">
        <v>0</v>
      </c>
      <c r="C8" s="11">
        <f t="shared" si="0"/>
        <v>0</v>
      </c>
      <c r="D8" s="64"/>
      <c r="E8" s="493"/>
      <c r="F8" s="11">
        <f t="shared" si="1"/>
        <v>0</v>
      </c>
      <c r="G8" s="64"/>
      <c r="H8" s="493"/>
      <c r="I8" s="11">
        <f t="shared" si="2"/>
        <v>0</v>
      </c>
      <c r="J8" s="64"/>
      <c r="K8" s="493"/>
      <c r="L8" s="11">
        <f t="shared" si="3"/>
        <v>0</v>
      </c>
      <c r="M8" s="64"/>
      <c r="N8" s="493"/>
      <c r="O8" s="11">
        <f t="shared" si="4"/>
        <v>0</v>
      </c>
      <c r="P8" s="64"/>
      <c r="Q8" s="493"/>
      <c r="R8" s="11">
        <f t="shared" si="5"/>
        <v>0</v>
      </c>
      <c r="S8" s="64"/>
      <c r="T8" s="493"/>
      <c r="U8" s="11">
        <f t="shared" si="6"/>
        <v>0</v>
      </c>
      <c r="V8" s="64"/>
      <c r="W8" s="493"/>
      <c r="X8" s="11">
        <f t="shared" si="7"/>
        <v>0</v>
      </c>
      <c r="Y8" s="64"/>
      <c r="Z8" s="493"/>
      <c r="AA8" s="11">
        <f t="shared" si="8"/>
        <v>0</v>
      </c>
      <c r="AB8" s="64"/>
      <c r="AC8" s="493"/>
      <c r="AD8" s="11">
        <f t="shared" si="9"/>
        <v>0</v>
      </c>
      <c r="AE8" s="64"/>
      <c r="AF8" s="493"/>
      <c r="AG8" s="11">
        <f t="shared" si="10"/>
        <v>0</v>
      </c>
      <c r="AH8" s="64"/>
      <c r="AI8" s="493"/>
      <c r="AJ8" s="11">
        <f t="shared" si="11"/>
        <v>0</v>
      </c>
      <c r="AK8" s="64"/>
      <c r="AL8" s="493"/>
      <c r="AM8" s="11">
        <f t="shared" si="12"/>
        <v>0</v>
      </c>
      <c r="AN8" s="64"/>
      <c r="AO8" s="493"/>
      <c r="AP8" s="11">
        <f>AQ$3*AQ$4*216*24*60*((AO8*12)/216)/9000000</f>
        <v>0</v>
      </c>
      <c r="AQ8" s="64"/>
      <c r="AR8" s="493"/>
      <c r="AS8" s="11">
        <f t="shared" si="13"/>
        <v>0</v>
      </c>
      <c r="AT8" s="64"/>
      <c r="AU8" s="493"/>
      <c r="AV8" s="11">
        <f t="shared" si="14"/>
        <v>0</v>
      </c>
      <c r="AW8" s="64"/>
      <c r="AX8" s="13"/>
      <c r="AY8" s="260">
        <f t="shared" si="15"/>
        <v>0</v>
      </c>
      <c r="AZ8" s="157"/>
      <c r="BA8" s="157"/>
    </row>
    <row r="9" spans="1:53" ht="12.75" customHeight="1">
      <c r="A9" s="10">
        <v>4</v>
      </c>
      <c r="B9" s="493">
        <v>0</v>
      </c>
      <c r="C9" s="11">
        <f t="shared" si="0"/>
        <v>0</v>
      </c>
      <c r="D9" s="64"/>
      <c r="E9" s="493"/>
      <c r="F9" s="11">
        <f t="shared" si="1"/>
        <v>0</v>
      </c>
      <c r="G9" s="64"/>
      <c r="H9" s="493"/>
      <c r="I9" s="11">
        <f t="shared" si="2"/>
        <v>0</v>
      </c>
      <c r="J9" s="64"/>
      <c r="K9" s="493"/>
      <c r="L9" s="11">
        <f t="shared" si="3"/>
        <v>0</v>
      </c>
      <c r="M9" s="64"/>
      <c r="N9" s="493"/>
      <c r="O9" s="11">
        <f t="shared" si="4"/>
        <v>0</v>
      </c>
      <c r="P9" s="64"/>
      <c r="Q9" s="493"/>
      <c r="R9" s="11">
        <f t="shared" si="5"/>
        <v>0</v>
      </c>
      <c r="S9" s="64"/>
      <c r="T9" s="493"/>
      <c r="U9" s="11">
        <f t="shared" si="6"/>
        <v>0</v>
      </c>
      <c r="V9" s="64"/>
      <c r="W9" s="493"/>
      <c r="X9" s="11">
        <f t="shared" si="7"/>
        <v>0</v>
      </c>
      <c r="Y9" s="64"/>
      <c r="Z9" s="493"/>
      <c r="AA9" s="11">
        <f t="shared" si="8"/>
        <v>0</v>
      </c>
      <c r="AB9" s="64"/>
      <c r="AC9" s="493"/>
      <c r="AD9" s="11">
        <f t="shared" si="9"/>
        <v>0</v>
      </c>
      <c r="AE9" s="64"/>
      <c r="AF9" s="493"/>
      <c r="AG9" s="11">
        <f t="shared" si="10"/>
        <v>0</v>
      </c>
      <c r="AH9" s="64"/>
      <c r="AI9" s="493"/>
      <c r="AJ9" s="11">
        <f t="shared" si="11"/>
        <v>0</v>
      </c>
      <c r="AK9" s="64"/>
      <c r="AL9" s="493"/>
      <c r="AM9" s="11">
        <f t="shared" si="12"/>
        <v>0</v>
      </c>
      <c r="AN9" s="64"/>
      <c r="AO9" s="493"/>
      <c r="AP9" s="11">
        <f t="shared" ref="AP9:AP36" si="16">AQ$3*AQ$4*216*24*60*((AO9*12)/216)/9000000</f>
        <v>0</v>
      </c>
      <c r="AQ9" s="64"/>
      <c r="AR9" s="493"/>
      <c r="AS9" s="11">
        <f t="shared" si="13"/>
        <v>0</v>
      </c>
      <c r="AT9" s="64"/>
      <c r="AU9" s="493"/>
      <c r="AV9" s="11">
        <f t="shared" si="14"/>
        <v>0</v>
      </c>
      <c r="AW9" s="64"/>
      <c r="AX9" s="13"/>
      <c r="AY9" s="260">
        <f t="shared" si="15"/>
        <v>0</v>
      </c>
      <c r="AZ9" s="157"/>
      <c r="BA9" s="157"/>
    </row>
    <row r="10" spans="1:53" ht="12.75" customHeight="1">
      <c r="A10" s="10">
        <v>5</v>
      </c>
      <c r="B10" s="493">
        <v>0</v>
      </c>
      <c r="C10" s="11">
        <f t="shared" si="0"/>
        <v>0</v>
      </c>
      <c r="D10" s="64"/>
      <c r="E10" s="493"/>
      <c r="F10" s="11">
        <f t="shared" si="1"/>
        <v>0</v>
      </c>
      <c r="G10" s="64"/>
      <c r="H10" s="493"/>
      <c r="I10" s="11">
        <f t="shared" si="2"/>
        <v>0</v>
      </c>
      <c r="J10" s="64"/>
      <c r="K10" s="493"/>
      <c r="L10" s="11">
        <f t="shared" si="3"/>
        <v>0</v>
      </c>
      <c r="M10" s="64"/>
      <c r="N10" s="493"/>
      <c r="O10" s="11">
        <f t="shared" si="4"/>
        <v>0</v>
      </c>
      <c r="P10" s="64"/>
      <c r="Q10" s="493"/>
      <c r="R10" s="11">
        <f t="shared" si="5"/>
        <v>0</v>
      </c>
      <c r="S10" s="64"/>
      <c r="T10" s="493"/>
      <c r="U10" s="11">
        <f t="shared" si="6"/>
        <v>0</v>
      </c>
      <c r="V10" s="64"/>
      <c r="W10" s="493"/>
      <c r="X10" s="11">
        <f t="shared" si="7"/>
        <v>0</v>
      </c>
      <c r="Y10" s="64"/>
      <c r="Z10" s="493"/>
      <c r="AA10" s="11">
        <f t="shared" si="8"/>
        <v>0</v>
      </c>
      <c r="AB10" s="64"/>
      <c r="AC10" s="493"/>
      <c r="AD10" s="11">
        <f t="shared" si="9"/>
        <v>0</v>
      </c>
      <c r="AE10" s="64"/>
      <c r="AF10" s="493"/>
      <c r="AG10" s="11">
        <f t="shared" si="10"/>
        <v>0</v>
      </c>
      <c r="AH10" s="64"/>
      <c r="AI10" s="493"/>
      <c r="AJ10" s="11">
        <f t="shared" si="11"/>
        <v>0</v>
      </c>
      <c r="AK10" s="64"/>
      <c r="AL10" s="493"/>
      <c r="AM10" s="11">
        <f t="shared" si="12"/>
        <v>0</v>
      </c>
      <c r="AN10" s="64"/>
      <c r="AO10" s="493"/>
      <c r="AP10" s="11">
        <f t="shared" si="16"/>
        <v>0</v>
      </c>
      <c r="AQ10" s="64"/>
      <c r="AR10" s="493"/>
      <c r="AS10" s="11">
        <f t="shared" si="13"/>
        <v>0</v>
      </c>
      <c r="AT10" s="64"/>
      <c r="AU10" s="493"/>
      <c r="AV10" s="11">
        <f t="shared" si="14"/>
        <v>0</v>
      </c>
      <c r="AW10" s="64"/>
      <c r="AX10" s="13"/>
      <c r="AY10" s="260">
        <f t="shared" si="15"/>
        <v>0</v>
      </c>
      <c r="AZ10" s="157"/>
      <c r="BA10" s="157"/>
    </row>
    <row r="11" spans="1:53" ht="12.75" customHeight="1">
      <c r="A11" s="10">
        <v>6</v>
      </c>
      <c r="B11" s="493">
        <v>0</v>
      </c>
      <c r="C11" s="11">
        <f t="shared" si="0"/>
        <v>0</v>
      </c>
      <c r="D11" s="64"/>
      <c r="E11" s="493"/>
      <c r="F11" s="11">
        <f t="shared" si="1"/>
        <v>0</v>
      </c>
      <c r="G11" s="64"/>
      <c r="H11" s="493"/>
      <c r="I11" s="11">
        <f t="shared" si="2"/>
        <v>0</v>
      </c>
      <c r="J11" s="64"/>
      <c r="K11" s="493"/>
      <c r="L11" s="11">
        <f t="shared" si="3"/>
        <v>0</v>
      </c>
      <c r="M11" s="64"/>
      <c r="N11" s="493"/>
      <c r="O11" s="11">
        <f t="shared" si="4"/>
        <v>0</v>
      </c>
      <c r="P11" s="64"/>
      <c r="Q11" s="493"/>
      <c r="R11" s="11">
        <f t="shared" si="5"/>
        <v>0</v>
      </c>
      <c r="S11" s="64"/>
      <c r="T11" s="493"/>
      <c r="U11" s="11">
        <f t="shared" si="6"/>
        <v>0</v>
      </c>
      <c r="V11" s="64"/>
      <c r="W11" s="493"/>
      <c r="X11" s="11">
        <f t="shared" si="7"/>
        <v>0</v>
      </c>
      <c r="Y11" s="64"/>
      <c r="Z11" s="493"/>
      <c r="AA11" s="11">
        <f t="shared" si="8"/>
        <v>0</v>
      </c>
      <c r="AB11" s="64"/>
      <c r="AC11" s="493"/>
      <c r="AD11" s="11">
        <f t="shared" si="9"/>
        <v>0</v>
      </c>
      <c r="AE11" s="64"/>
      <c r="AF11" s="493"/>
      <c r="AG11" s="11">
        <f t="shared" si="10"/>
        <v>0</v>
      </c>
      <c r="AH11" s="64"/>
      <c r="AI11" s="493"/>
      <c r="AJ11" s="11">
        <f t="shared" si="11"/>
        <v>0</v>
      </c>
      <c r="AK11" s="64"/>
      <c r="AL11" s="493"/>
      <c r="AM11" s="11">
        <f t="shared" si="12"/>
        <v>0</v>
      </c>
      <c r="AN11" s="64"/>
      <c r="AO11" s="493"/>
      <c r="AP11" s="11">
        <f t="shared" si="16"/>
        <v>0</v>
      </c>
      <c r="AQ11" s="64"/>
      <c r="AR11" s="493"/>
      <c r="AS11" s="11">
        <f t="shared" si="13"/>
        <v>0</v>
      </c>
      <c r="AT11" s="64"/>
      <c r="AU11" s="493"/>
      <c r="AV11" s="11">
        <f t="shared" si="14"/>
        <v>0</v>
      </c>
      <c r="AW11" s="64"/>
      <c r="AX11" s="13"/>
      <c r="AY11" s="260">
        <f t="shared" si="15"/>
        <v>0</v>
      </c>
      <c r="AZ11" s="157"/>
      <c r="BA11" s="157"/>
    </row>
    <row r="12" spans="1:53" ht="12.75" customHeight="1">
      <c r="A12" s="10">
        <v>7</v>
      </c>
      <c r="B12" s="493">
        <v>0</v>
      </c>
      <c r="C12" s="11">
        <f t="shared" si="0"/>
        <v>0</v>
      </c>
      <c r="D12" s="64"/>
      <c r="E12" s="493"/>
      <c r="F12" s="11">
        <f t="shared" si="1"/>
        <v>0</v>
      </c>
      <c r="G12" s="64"/>
      <c r="H12" s="493"/>
      <c r="I12" s="11">
        <f t="shared" si="2"/>
        <v>0</v>
      </c>
      <c r="J12" s="64"/>
      <c r="K12" s="493"/>
      <c r="L12" s="11">
        <f t="shared" si="3"/>
        <v>0</v>
      </c>
      <c r="M12" s="64"/>
      <c r="N12" s="493"/>
      <c r="O12" s="11">
        <f t="shared" si="4"/>
        <v>0</v>
      </c>
      <c r="P12" s="64"/>
      <c r="Q12" s="493"/>
      <c r="R12" s="11">
        <f t="shared" si="5"/>
        <v>0</v>
      </c>
      <c r="S12" s="64"/>
      <c r="T12" s="493"/>
      <c r="U12" s="11">
        <f t="shared" si="6"/>
        <v>0</v>
      </c>
      <c r="V12" s="64"/>
      <c r="W12" s="493"/>
      <c r="X12" s="11">
        <f t="shared" si="7"/>
        <v>0</v>
      </c>
      <c r="Y12" s="64"/>
      <c r="Z12" s="493"/>
      <c r="AA12" s="11">
        <f t="shared" si="8"/>
        <v>0</v>
      </c>
      <c r="AB12" s="64"/>
      <c r="AC12" s="493"/>
      <c r="AD12" s="11">
        <f t="shared" si="9"/>
        <v>0</v>
      </c>
      <c r="AE12" s="64"/>
      <c r="AF12" s="493"/>
      <c r="AG12" s="11">
        <f t="shared" si="10"/>
        <v>0</v>
      </c>
      <c r="AH12" s="64"/>
      <c r="AI12" s="493"/>
      <c r="AJ12" s="11">
        <f t="shared" si="11"/>
        <v>0</v>
      </c>
      <c r="AK12" s="64"/>
      <c r="AL12" s="493"/>
      <c r="AM12" s="11">
        <f t="shared" si="12"/>
        <v>0</v>
      </c>
      <c r="AN12" s="64"/>
      <c r="AO12" s="493"/>
      <c r="AP12" s="11">
        <f t="shared" si="16"/>
        <v>0</v>
      </c>
      <c r="AQ12" s="64"/>
      <c r="AR12" s="493"/>
      <c r="AS12" s="11">
        <f t="shared" si="13"/>
        <v>0</v>
      </c>
      <c r="AT12" s="64"/>
      <c r="AU12" s="493"/>
      <c r="AV12" s="11">
        <f t="shared" si="14"/>
        <v>0</v>
      </c>
      <c r="AW12" s="64"/>
      <c r="AX12" s="13"/>
      <c r="AY12" s="260">
        <f t="shared" si="15"/>
        <v>0</v>
      </c>
      <c r="AZ12" s="157"/>
      <c r="BA12" s="157"/>
    </row>
    <row r="13" spans="1:53" ht="12.75" customHeight="1">
      <c r="A13" s="10">
        <v>8</v>
      </c>
      <c r="B13" s="493">
        <v>0</v>
      </c>
      <c r="C13" s="11">
        <f t="shared" si="0"/>
        <v>0</v>
      </c>
      <c r="D13" s="64"/>
      <c r="E13" s="493"/>
      <c r="F13" s="11">
        <f t="shared" si="1"/>
        <v>0</v>
      </c>
      <c r="G13" s="64"/>
      <c r="H13" s="493"/>
      <c r="I13" s="11">
        <f t="shared" si="2"/>
        <v>0</v>
      </c>
      <c r="J13" s="64"/>
      <c r="K13" s="493"/>
      <c r="L13" s="11">
        <f t="shared" si="3"/>
        <v>0</v>
      </c>
      <c r="M13" s="64"/>
      <c r="N13" s="493"/>
      <c r="O13" s="11">
        <f t="shared" si="4"/>
        <v>0</v>
      </c>
      <c r="P13" s="64"/>
      <c r="Q13" s="493"/>
      <c r="R13" s="11">
        <f t="shared" si="5"/>
        <v>0</v>
      </c>
      <c r="S13" s="64"/>
      <c r="T13" s="493"/>
      <c r="U13" s="11">
        <f t="shared" si="6"/>
        <v>0</v>
      </c>
      <c r="V13" s="64"/>
      <c r="W13" s="493"/>
      <c r="X13" s="11">
        <f t="shared" si="7"/>
        <v>0</v>
      </c>
      <c r="Y13" s="64"/>
      <c r="Z13" s="493"/>
      <c r="AA13" s="11">
        <f t="shared" si="8"/>
        <v>0</v>
      </c>
      <c r="AB13" s="64"/>
      <c r="AC13" s="493"/>
      <c r="AD13" s="11">
        <f t="shared" si="9"/>
        <v>0</v>
      </c>
      <c r="AE13" s="64"/>
      <c r="AF13" s="493"/>
      <c r="AG13" s="11">
        <f t="shared" si="10"/>
        <v>0</v>
      </c>
      <c r="AH13" s="64"/>
      <c r="AI13" s="493"/>
      <c r="AJ13" s="11">
        <f t="shared" si="11"/>
        <v>0</v>
      </c>
      <c r="AK13" s="64"/>
      <c r="AL13" s="493"/>
      <c r="AM13" s="11">
        <f t="shared" si="12"/>
        <v>0</v>
      </c>
      <c r="AN13" s="64"/>
      <c r="AO13" s="493"/>
      <c r="AP13" s="11">
        <f t="shared" si="16"/>
        <v>0</v>
      </c>
      <c r="AQ13" s="64"/>
      <c r="AR13" s="493"/>
      <c r="AS13" s="11">
        <f t="shared" si="13"/>
        <v>0</v>
      </c>
      <c r="AT13" s="64"/>
      <c r="AU13" s="493"/>
      <c r="AV13" s="11">
        <f t="shared" si="14"/>
        <v>0</v>
      </c>
      <c r="AW13" s="64"/>
      <c r="AX13" s="13"/>
      <c r="AY13" s="260">
        <f t="shared" si="15"/>
        <v>0</v>
      </c>
      <c r="AZ13" s="157"/>
      <c r="BA13" s="157"/>
    </row>
    <row r="14" spans="1:53" ht="13.5" customHeight="1">
      <c r="A14" s="10">
        <v>9</v>
      </c>
      <c r="B14" s="493">
        <v>0</v>
      </c>
      <c r="C14" s="11">
        <f t="shared" si="0"/>
        <v>0</v>
      </c>
      <c r="D14" s="64"/>
      <c r="E14" s="493"/>
      <c r="F14" s="11">
        <f t="shared" si="1"/>
        <v>0</v>
      </c>
      <c r="G14" s="64"/>
      <c r="H14" s="493"/>
      <c r="I14" s="11">
        <f t="shared" si="2"/>
        <v>0</v>
      </c>
      <c r="J14" s="64"/>
      <c r="K14" s="493"/>
      <c r="L14" s="11">
        <f t="shared" si="3"/>
        <v>0</v>
      </c>
      <c r="M14" s="64"/>
      <c r="N14" s="493"/>
      <c r="O14" s="11">
        <f t="shared" si="4"/>
        <v>0</v>
      </c>
      <c r="P14" s="64"/>
      <c r="Q14" s="493"/>
      <c r="R14" s="11">
        <f t="shared" si="5"/>
        <v>0</v>
      </c>
      <c r="S14" s="64"/>
      <c r="T14" s="493"/>
      <c r="U14" s="11">
        <f t="shared" si="6"/>
        <v>0</v>
      </c>
      <c r="V14" s="64"/>
      <c r="W14" s="493"/>
      <c r="X14" s="11">
        <f t="shared" si="7"/>
        <v>0</v>
      </c>
      <c r="Y14" s="64"/>
      <c r="Z14" s="493"/>
      <c r="AA14" s="11">
        <f t="shared" si="8"/>
        <v>0</v>
      </c>
      <c r="AB14" s="64"/>
      <c r="AC14" s="493"/>
      <c r="AD14" s="11">
        <f t="shared" si="9"/>
        <v>0</v>
      </c>
      <c r="AE14" s="64"/>
      <c r="AF14" s="493"/>
      <c r="AG14" s="11">
        <f t="shared" si="10"/>
        <v>0</v>
      </c>
      <c r="AH14" s="64"/>
      <c r="AI14" s="493"/>
      <c r="AJ14" s="11">
        <f t="shared" si="11"/>
        <v>0</v>
      </c>
      <c r="AK14" s="64"/>
      <c r="AL14" s="493"/>
      <c r="AM14" s="11">
        <f t="shared" si="12"/>
        <v>0</v>
      </c>
      <c r="AN14" s="64"/>
      <c r="AO14" s="493"/>
      <c r="AP14" s="11">
        <f t="shared" si="16"/>
        <v>0</v>
      </c>
      <c r="AQ14" s="64"/>
      <c r="AR14" s="493"/>
      <c r="AS14" s="11">
        <f t="shared" si="13"/>
        <v>0</v>
      </c>
      <c r="AT14" s="64"/>
      <c r="AU14" s="493"/>
      <c r="AV14" s="11">
        <f t="shared" si="14"/>
        <v>0</v>
      </c>
      <c r="AW14" s="64"/>
      <c r="AX14" s="13"/>
      <c r="AY14" s="260">
        <f t="shared" si="15"/>
        <v>0</v>
      </c>
      <c r="AZ14" s="157"/>
      <c r="BA14" s="157"/>
    </row>
    <row r="15" spans="1:53" ht="12.75" customHeight="1">
      <c r="A15" s="10">
        <v>10</v>
      </c>
      <c r="B15" s="493">
        <v>9</v>
      </c>
      <c r="C15" s="11">
        <f t="shared" ref="C15:C36" si="17">D$3*D$4*144*24*60*((B15*12)/144)/9000000</f>
        <v>665.28</v>
      </c>
      <c r="D15" s="64"/>
      <c r="E15" s="493"/>
      <c r="F15" s="11">
        <f t="shared" si="1"/>
        <v>0</v>
      </c>
      <c r="G15" s="64"/>
      <c r="H15" s="493"/>
      <c r="I15" s="11">
        <f t="shared" si="2"/>
        <v>0</v>
      </c>
      <c r="J15" s="64"/>
      <c r="K15" s="493"/>
      <c r="L15" s="11">
        <f t="shared" si="3"/>
        <v>0</v>
      </c>
      <c r="M15" s="64"/>
      <c r="N15" s="493"/>
      <c r="O15" s="11">
        <f t="shared" si="4"/>
        <v>0</v>
      </c>
      <c r="P15" s="64"/>
      <c r="Q15" s="493"/>
      <c r="R15" s="11">
        <f t="shared" si="5"/>
        <v>0</v>
      </c>
      <c r="S15" s="64"/>
      <c r="T15" s="493"/>
      <c r="U15" s="11">
        <f t="shared" si="6"/>
        <v>0</v>
      </c>
      <c r="V15" s="64"/>
      <c r="W15" s="493"/>
      <c r="X15" s="11">
        <f t="shared" si="7"/>
        <v>0</v>
      </c>
      <c r="Y15" s="64"/>
      <c r="Z15" s="493"/>
      <c r="AA15" s="11">
        <f t="shared" si="8"/>
        <v>0</v>
      </c>
      <c r="AB15" s="64"/>
      <c r="AC15" s="493"/>
      <c r="AD15" s="11">
        <f t="shared" si="9"/>
        <v>0</v>
      </c>
      <c r="AE15" s="64"/>
      <c r="AF15" s="493"/>
      <c r="AG15" s="11">
        <f t="shared" si="10"/>
        <v>0</v>
      </c>
      <c r="AH15" s="64"/>
      <c r="AI15" s="493"/>
      <c r="AJ15" s="11">
        <f t="shared" si="11"/>
        <v>0</v>
      </c>
      <c r="AK15" s="64"/>
      <c r="AL15" s="493"/>
      <c r="AM15" s="11">
        <f t="shared" si="12"/>
        <v>0</v>
      </c>
      <c r="AN15" s="64"/>
      <c r="AO15" s="493"/>
      <c r="AP15" s="11">
        <f t="shared" si="16"/>
        <v>0</v>
      </c>
      <c r="AQ15" s="64"/>
      <c r="AR15" s="493"/>
      <c r="AS15" s="11">
        <f t="shared" si="13"/>
        <v>0</v>
      </c>
      <c r="AT15" s="64"/>
      <c r="AU15" s="493"/>
      <c r="AV15" s="11">
        <f t="shared" si="14"/>
        <v>0</v>
      </c>
      <c r="AW15" s="64"/>
      <c r="AX15" s="13"/>
      <c r="AY15" s="260">
        <f t="shared" si="15"/>
        <v>0.75</v>
      </c>
      <c r="AZ15" s="157"/>
      <c r="BA15" s="157"/>
    </row>
    <row r="16" spans="1:53" ht="12.75" customHeight="1">
      <c r="A16" s="10">
        <v>11</v>
      </c>
      <c r="B16" s="493">
        <v>9</v>
      </c>
      <c r="C16" s="11">
        <f t="shared" si="17"/>
        <v>665.28</v>
      </c>
      <c r="D16" s="64"/>
      <c r="E16" s="493"/>
      <c r="F16" s="11">
        <f t="shared" si="1"/>
        <v>0</v>
      </c>
      <c r="G16" s="64"/>
      <c r="H16" s="493"/>
      <c r="I16" s="11">
        <f t="shared" si="2"/>
        <v>0</v>
      </c>
      <c r="J16" s="64"/>
      <c r="K16" s="493"/>
      <c r="L16" s="11">
        <f t="shared" si="3"/>
        <v>0</v>
      </c>
      <c r="M16" s="64"/>
      <c r="N16" s="493"/>
      <c r="O16" s="11">
        <f t="shared" si="4"/>
        <v>0</v>
      </c>
      <c r="P16" s="64"/>
      <c r="Q16" s="493"/>
      <c r="R16" s="11">
        <f t="shared" si="5"/>
        <v>0</v>
      </c>
      <c r="S16" s="64"/>
      <c r="T16" s="493"/>
      <c r="U16" s="11">
        <f t="shared" si="6"/>
        <v>0</v>
      </c>
      <c r="V16" s="64"/>
      <c r="W16" s="493"/>
      <c r="X16" s="11">
        <f t="shared" si="7"/>
        <v>0</v>
      </c>
      <c r="Y16" s="64"/>
      <c r="Z16" s="493"/>
      <c r="AA16" s="11">
        <f t="shared" si="8"/>
        <v>0</v>
      </c>
      <c r="AB16" s="64"/>
      <c r="AC16" s="493"/>
      <c r="AD16" s="11">
        <f t="shared" si="9"/>
        <v>0</v>
      </c>
      <c r="AE16" s="64"/>
      <c r="AF16" s="493"/>
      <c r="AG16" s="11">
        <f t="shared" si="10"/>
        <v>0</v>
      </c>
      <c r="AH16" s="64"/>
      <c r="AI16" s="493"/>
      <c r="AJ16" s="11">
        <f t="shared" si="11"/>
        <v>0</v>
      </c>
      <c r="AK16" s="64"/>
      <c r="AL16" s="493"/>
      <c r="AM16" s="11">
        <f t="shared" si="12"/>
        <v>0</v>
      </c>
      <c r="AN16" s="64"/>
      <c r="AO16" s="493"/>
      <c r="AP16" s="11">
        <f t="shared" si="16"/>
        <v>0</v>
      </c>
      <c r="AQ16" s="64"/>
      <c r="AR16" s="493"/>
      <c r="AS16" s="11">
        <f t="shared" si="13"/>
        <v>0</v>
      </c>
      <c r="AT16" s="64"/>
      <c r="AU16" s="493"/>
      <c r="AV16" s="11">
        <f t="shared" si="14"/>
        <v>0</v>
      </c>
      <c r="AW16" s="64"/>
      <c r="AX16" s="13"/>
      <c r="AY16" s="260">
        <f t="shared" si="15"/>
        <v>0.75</v>
      </c>
      <c r="AZ16" s="157"/>
      <c r="BA16" s="157"/>
    </row>
    <row r="17" spans="1:53" ht="12.75" customHeight="1">
      <c r="A17" s="10">
        <v>12</v>
      </c>
      <c r="B17" s="493">
        <v>9</v>
      </c>
      <c r="C17" s="11">
        <f t="shared" si="17"/>
        <v>665.28</v>
      </c>
      <c r="D17" s="64"/>
      <c r="E17" s="493"/>
      <c r="F17" s="11">
        <f t="shared" si="1"/>
        <v>0</v>
      </c>
      <c r="G17" s="64"/>
      <c r="H17" s="493"/>
      <c r="I17" s="11">
        <f t="shared" si="2"/>
        <v>0</v>
      </c>
      <c r="J17" s="64"/>
      <c r="K17" s="493"/>
      <c r="L17" s="11">
        <f t="shared" si="3"/>
        <v>0</v>
      </c>
      <c r="M17" s="64"/>
      <c r="N17" s="493"/>
      <c r="O17" s="11">
        <f t="shared" si="4"/>
        <v>0</v>
      </c>
      <c r="P17" s="64"/>
      <c r="Q17" s="493"/>
      <c r="R17" s="11">
        <f t="shared" si="5"/>
        <v>0</v>
      </c>
      <c r="S17" s="64"/>
      <c r="T17" s="493"/>
      <c r="U17" s="11">
        <f t="shared" si="6"/>
        <v>0</v>
      </c>
      <c r="V17" s="64"/>
      <c r="W17" s="493"/>
      <c r="X17" s="11">
        <f t="shared" si="7"/>
        <v>0</v>
      </c>
      <c r="Y17" s="64"/>
      <c r="Z17" s="493"/>
      <c r="AA17" s="11">
        <f t="shared" si="8"/>
        <v>0</v>
      </c>
      <c r="AB17" s="64"/>
      <c r="AC17" s="493"/>
      <c r="AD17" s="11">
        <f t="shared" si="9"/>
        <v>0</v>
      </c>
      <c r="AE17" s="64"/>
      <c r="AF17" s="493"/>
      <c r="AG17" s="11">
        <f t="shared" si="10"/>
        <v>0</v>
      </c>
      <c r="AH17" s="64"/>
      <c r="AI17" s="493"/>
      <c r="AJ17" s="11">
        <f t="shared" si="11"/>
        <v>0</v>
      </c>
      <c r="AK17" s="64"/>
      <c r="AL17" s="493"/>
      <c r="AM17" s="11">
        <f t="shared" si="12"/>
        <v>0</v>
      </c>
      <c r="AN17" s="64"/>
      <c r="AO17" s="493"/>
      <c r="AP17" s="11">
        <f t="shared" si="16"/>
        <v>0</v>
      </c>
      <c r="AQ17" s="64"/>
      <c r="AR17" s="493"/>
      <c r="AS17" s="11">
        <f t="shared" si="13"/>
        <v>0</v>
      </c>
      <c r="AT17" s="64"/>
      <c r="AU17" s="493"/>
      <c r="AV17" s="11">
        <f t="shared" si="14"/>
        <v>0</v>
      </c>
      <c r="AW17" s="64"/>
      <c r="AX17" s="13"/>
      <c r="AY17" s="260">
        <f t="shared" si="15"/>
        <v>0.75</v>
      </c>
      <c r="AZ17" s="157"/>
      <c r="BA17" s="157"/>
    </row>
    <row r="18" spans="1:53" ht="12.75" customHeight="1">
      <c r="A18" s="10">
        <v>13</v>
      </c>
      <c r="B18" s="493">
        <v>9</v>
      </c>
      <c r="C18" s="11">
        <f t="shared" si="17"/>
        <v>665.28</v>
      </c>
      <c r="D18" s="64"/>
      <c r="E18" s="493"/>
      <c r="F18" s="11">
        <f t="shared" si="1"/>
        <v>0</v>
      </c>
      <c r="G18" s="64"/>
      <c r="H18" s="493"/>
      <c r="I18" s="11">
        <f t="shared" si="2"/>
        <v>0</v>
      </c>
      <c r="J18" s="64"/>
      <c r="K18" s="493"/>
      <c r="L18" s="11">
        <f t="shared" si="3"/>
        <v>0</v>
      </c>
      <c r="M18" s="64"/>
      <c r="N18" s="493"/>
      <c r="O18" s="11">
        <f t="shared" si="4"/>
        <v>0</v>
      </c>
      <c r="P18" s="64"/>
      <c r="Q18" s="493"/>
      <c r="R18" s="11">
        <f t="shared" si="5"/>
        <v>0</v>
      </c>
      <c r="S18" s="64"/>
      <c r="T18" s="493"/>
      <c r="U18" s="11">
        <f t="shared" si="6"/>
        <v>0</v>
      </c>
      <c r="V18" s="64"/>
      <c r="W18" s="493"/>
      <c r="X18" s="11">
        <f t="shared" si="7"/>
        <v>0</v>
      </c>
      <c r="Y18" s="64"/>
      <c r="Z18" s="493"/>
      <c r="AA18" s="11">
        <f t="shared" si="8"/>
        <v>0</v>
      </c>
      <c r="AB18" s="64"/>
      <c r="AC18" s="493"/>
      <c r="AD18" s="11">
        <f t="shared" si="9"/>
        <v>0</v>
      </c>
      <c r="AE18" s="64"/>
      <c r="AF18" s="493"/>
      <c r="AG18" s="11">
        <f t="shared" si="10"/>
        <v>0</v>
      </c>
      <c r="AH18" s="64"/>
      <c r="AI18" s="493"/>
      <c r="AJ18" s="11">
        <f t="shared" si="11"/>
        <v>0</v>
      </c>
      <c r="AK18" s="64"/>
      <c r="AL18" s="493"/>
      <c r="AM18" s="11">
        <f t="shared" si="12"/>
        <v>0</v>
      </c>
      <c r="AN18" s="64"/>
      <c r="AO18" s="493"/>
      <c r="AP18" s="11">
        <f t="shared" si="16"/>
        <v>0</v>
      </c>
      <c r="AQ18" s="64"/>
      <c r="AR18" s="493"/>
      <c r="AS18" s="11">
        <f t="shared" si="13"/>
        <v>0</v>
      </c>
      <c r="AT18" s="64"/>
      <c r="AU18" s="493"/>
      <c r="AV18" s="11">
        <f t="shared" si="14"/>
        <v>0</v>
      </c>
      <c r="AW18" s="64"/>
      <c r="AX18" s="13"/>
      <c r="AY18" s="260">
        <f t="shared" si="15"/>
        <v>0.75</v>
      </c>
      <c r="AZ18" s="157"/>
      <c r="BA18" s="157"/>
    </row>
    <row r="19" spans="1:53" ht="12.75" customHeight="1">
      <c r="A19" s="10">
        <v>14</v>
      </c>
      <c r="B19" s="493">
        <v>9</v>
      </c>
      <c r="C19" s="11">
        <f t="shared" si="17"/>
        <v>665.28</v>
      </c>
      <c r="D19" s="64">
        <v>120</v>
      </c>
      <c r="E19" s="493"/>
      <c r="F19" s="11">
        <f t="shared" si="1"/>
        <v>0</v>
      </c>
      <c r="G19" s="64"/>
      <c r="H19" s="493"/>
      <c r="I19" s="11">
        <f t="shared" si="2"/>
        <v>0</v>
      </c>
      <c r="J19" s="64"/>
      <c r="K19" s="493"/>
      <c r="L19" s="11">
        <f t="shared" si="3"/>
        <v>0</v>
      </c>
      <c r="M19" s="64"/>
      <c r="N19" s="493"/>
      <c r="O19" s="11">
        <f t="shared" si="4"/>
        <v>0</v>
      </c>
      <c r="P19" s="64"/>
      <c r="Q19" s="493"/>
      <c r="R19" s="11">
        <f t="shared" si="5"/>
        <v>0</v>
      </c>
      <c r="S19" s="64"/>
      <c r="T19" s="493"/>
      <c r="U19" s="11">
        <f t="shared" si="6"/>
        <v>0</v>
      </c>
      <c r="V19" s="64"/>
      <c r="W19" s="493"/>
      <c r="X19" s="11">
        <f t="shared" si="7"/>
        <v>0</v>
      </c>
      <c r="Y19" s="64"/>
      <c r="Z19" s="493"/>
      <c r="AA19" s="11">
        <f t="shared" si="8"/>
        <v>0</v>
      </c>
      <c r="AB19" s="64"/>
      <c r="AC19" s="493"/>
      <c r="AD19" s="11">
        <f t="shared" si="9"/>
        <v>0</v>
      </c>
      <c r="AE19" s="64"/>
      <c r="AF19" s="493"/>
      <c r="AG19" s="11">
        <f t="shared" si="10"/>
        <v>0</v>
      </c>
      <c r="AH19" s="64"/>
      <c r="AI19" s="493"/>
      <c r="AJ19" s="11">
        <f t="shared" si="11"/>
        <v>0</v>
      </c>
      <c r="AK19" s="64"/>
      <c r="AL19" s="493"/>
      <c r="AM19" s="11">
        <f t="shared" si="12"/>
        <v>0</v>
      </c>
      <c r="AN19" s="64"/>
      <c r="AO19" s="493"/>
      <c r="AP19" s="11">
        <f t="shared" si="16"/>
        <v>0</v>
      </c>
      <c r="AQ19" s="64"/>
      <c r="AR19" s="493"/>
      <c r="AS19" s="11">
        <f t="shared" si="13"/>
        <v>0</v>
      </c>
      <c r="AT19" s="64"/>
      <c r="AU19" s="493"/>
      <c r="AV19" s="11">
        <f t="shared" si="14"/>
        <v>0</v>
      </c>
      <c r="AW19" s="64"/>
      <c r="AX19" s="13"/>
      <c r="AY19" s="260">
        <f t="shared" si="15"/>
        <v>0.75</v>
      </c>
      <c r="AZ19" s="157"/>
      <c r="BA19" s="157"/>
    </row>
    <row r="20" spans="1:53" ht="12.75" customHeight="1">
      <c r="A20" s="10">
        <v>15</v>
      </c>
      <c r="B20" s="493">
        <v>9</v>
      </c>
      <c r="C20" s="11">
        <f t="shared" si="17"/>
        <v>665.28</v>
      </c>
      <c r="D20" s="64">
        <v>480</v>
      </c>
      <c r="E20" s="493"/>
      <c r="F20" s="11">
        <f t="shared" si="1"/>
        <v>0</v>
      </c>
      <c r="G20" s="64"/>
      <c r="H20" s="493"/>
      <c r="I20" s="11">
        <f t="shared" si="2"/>
        <v>0</v>
      </c>
      <c r="J20" s="64"/>
      <c r="K20" s="493"/>
      <c r="L20" s="11">
        <f t="shared" si="3"/>
        <v>0</v>
      </c>
      <c r="M20" s="64"/>
      <c r="N20" s="493"/>
      <c r="O20" s="11">
        <f t="shared" si="4"/>
        <v>0</v>
      </c>
      <c r="P20" s="64"/>
      <c r="Q20" s="493"/>
      <c r="R20" s="11">
        <f t="shared" si="5"/>
        <v>0</v>
      </c>
      <c r="S20" s="64"/>
      <c r="T20" s="493"/>
      <c r="U20" s="11">
        <f t="shared" si="6"/>
        <v>0</v>
      </c>
      <c r="V20" s="64"/>
      <c r="W20" s="493"/>
      <c r="X20" s="11">
        <f t="shared" si="7"/>
        <v>0</v>
      </c>
      <c r="Y20" s="64"/>
      <c r="Z20" s="493"/>
      <c r="AA20" s="11">
        <f t="shared" si="8"/>
        <v>0</v>
      </c>
      <c r="AB20" s="64"/>
      <c r="AC20" s="493"/>
      <c r="AD20" s="11">
        <f t="shared" si="9"/>
        <v>0</v>
      </c>
      <c r="AE20" s="64"/>
      <c r="AF20" s="493"/>
      <c r="AG20" s="11">
        <f t="shared" si="10"/>
        <v>0</v>
      </c>
      <c r="AH20" s="64"/>
      <c r="AI20" s="493"/>
      <c r="AJ20" s="11">
        <f t="shared" si="11"/>
        <v>0</v>
      </c>
      <c r="AK20" s="64"/>
      <c r="AL20" s="493"/>
      <c r="AM20" s="11">
        <f t="shared" si="12"/>
        <v>0</v>
      </c>
      <c r="AN20" s="64"/>
      <c r="AO20" s="493"/>
      <c r="AP20" s="11">
        <f t="shared" si="16"/>
        <v>0</v>
      </c>
      <c r="AQ20" s="64"/>
      <c r="AR20" s="493"/>
      <c r="AS20" s="11">
        <f t="shared" si="13"/>
        <v>0</v>
      </c>
      <c r="AT20" s="64"/>
      <c r="AU20" s="493"/>
      <c r="AV20" s="11">
        <f t="shared" si="14"/>
        <v>0</v>
      </c>
      <c r="AW20" s="64"/>
      <c r="AX20" s="13"/>
      <c r="AY20" s="260">
        <f t="shared" si="15"/>
        <v>0.75</v>
      </c>
      <c r="AZ20" s="157"/>
      <c r="BA20" s="157"/>
    </row>
    <row r="21" spans="1:53" ht="12.75" customHeight="1">
      <c r="A21" s="10">
        <v>16</v>
      </c>
      <c r="B21" s="493">
        <v>9</v>
      </c>
      <c r="C21" s="11">
        <f t="shared" si="17"/>
        <v>665.28</v>
      </c>
      <c r="D21" s="64">
        <v>480</v>
      </c>
      <c r="E21" s="493"/>
      <c r="F21" s="11">
        <f t="shared" si="1"/>
        <v>0</v>
      </c>
      <c r="G21" s="64"/>
      <c r="H21" s="493"/>
      <c r="I21" s="11">
        <f t="shared" si="2"/>
        <v>0</v>
      </c>
      <c r="J21" s="64"/>
      <c r="K21" s="493"/>
      <c r="L21" s="11">
        <f t="shared" si="3"/>
        <v>0</v>
      </c>
      <c r="M21" s="64"/>
      <c r="N21" s="493"/>
      <c r="O21" s="11">
        <f t="shared" si="4"/>
        <v>0</v>
      </c>
      <c r="P21" s="64"/>
      <c r="Q21" s="493"/>
      <c r="R21" s="11">
        <f t="shared" si="5"/>
        <v>0</v>
      </c>
      <c r="S21" s="64"/>
      <c r="T21" s="493"/>
      <c r="U21" s="11">
        <f t="shared" si="6"/>
        <v>0</v>
      </c>
      <c r="V21" s="64"/>
      <c r="W21" s="493"/>
      <c r="X21" s="11">
        <f t="shared" si="7"/>
        <v>0</v>
      </c>
      <c r="Y21" s="64"/>
      <c r="Z21" s="493"/>
      <c r="AA21" s="11">
        <f t="shared" si="8"/>
        <v>0</v>
      </c>
      <c r="AB21" s="64"/>
      <c r="AC21" s="493"/>
      <c r="AD21" s="11">
        <f t="shared" si="9"/>
        <v>0</v>
      </c>
      <c r="AE21" s="64"/>
      <c r="AF21" s="493"/>
      <c r="AG21" s="11">
        <f t="shared" si="10"/>
        <v>0</v>
      </c>
      <c r="AH21" s="64"/>
      <c r="AI21" s="493"/>
      <c r="AJ21" s="11">
        <f t="shared" si="11"/>
        <v>0</v>
      </c>
      <c r="AK21" s="64"/>
      <c r="AL21" s="493"/>
      <c r="AM21" s="11">
        <f t="shared" si="12"/>
        <v>0</v>
      </c>
      <c r="AN21" s="64"/>
      <c r="AO21" s="493"/>
      <c r="AP21" s="11">
        <f t="shared" si="16"/>
        <v>0</v>
      </c>
      <c r="AQ21" s="64"/>
      <c r="AR21" s="493"/>
      <c r="AS21" s="11">
        <f t="shared" si="13"/>
        <v>0</v>
      </c>
      <c r="AT21" s="64"/>
      <c r="AU21" s="493"/>
      <c r="AV21" s="11">
        <f t="shared" si="14"/>
        <v>0</v>
      </c>
      <c r="AW21" s="64"/>
      <c r="AX21" s="13"/>
      <c r="AY21" s="260">
        <f t="shared" si="15"/>
        <v>0.75</v>
      </c>
      <c r="AZ21" s="157"/>
      <c r="BA21" s="157"/>
    </row>
    <row r="22" spans="1:53" ht="12.75" customHeight="1">
      <c r="A22" s="10">
        <v>17</v>
      </c>
      <c r="B22" s="493">
        <v>9</v>
      </c>
      <c r="C22" s="11">
        <f t="shared" si="17"/>
        <v>665.28</v>
      </c>
      <c r="D22" s="64"/>
      <c r="E22" s="493"/>
      <c r="F22" s="11">
        <f t="shared" si="1"/>
        <v>0</v>
      </c>
      <c r="G22" s="64"/>
      <c r="H22" s="493"/>
      <c r="I22" s="11">
        <f t="shared" si="2"/>
        <v>0</v>
      </c>
      <c r="J22" s="64"/>
      <c r="K22" s="493"/>
      <c r="L22" s="11">
        <f t="shared" si="3"/>
        <v>0</v>
      </c>
      <c r="M22" s="64"/>
      <c r="N22" s="493"/>
      <c r="O22" s="11">
        <f t="shared" si="4"/>
        <v>0</v>
      </c>
      <c r="P22" s="64"/>
      <c r="Q22" s="493"/>
      <c r="R22" s="11">
        <f t="shared" si="5"/>
        <v>0</v>
      </c>
      <c r="S22" s="64"/>
      <c r="T22" s="493"/>
      <c r="U22" s="11">
        <f t="shared" si="6"/>
        <v>0</v>
      </c>
      <c r="V22" s="64"/>
      <c r="W22" s="493"/>
      <c r="X22" s="11">
        <f t="shared" si="7"/>
        <v>0</v>
      </c>
      <c r="Y22" s="64"/>
      <c r="Z22" s="493"/>
      <c r="AA22" s="11">
        <f t="shared" si="8"/>
        <v>0</v>
      </c>
      <c r="AB22" s="64"/>
      <c r="AC22" s="493"/>
      <c r="AD22" s="11">
        <f t="shared" si="9"/>
        <v>0</v>
      </c>
      <c r="AE22" s="64"/>
      <c r="AF22" s="493"/>
      <c r="AG22" s="11">
        <f t="shared" si="10"/>
        <v>0</v>
      </c>
      <c r="AH22" s="64"/>
      <c r="AI22" s="493"/>
      <c r="AJ22" s="11">
        <f t="shared" si="11"/>
        <v>0</v>
      </c>
      <c r="AK22" s="64"/>
      <c r="AL22" s="493"/>
      <c r="AM22" s="11">
        <f t="shared" si="12"/>
        <v>0</v>
      </c>
      <c r="AN22" s="64"/>
      <c r="AO22" s="493"/>
      <c r="AP22" s="11">
        <f t="shared" si="16"/>
        <v>0</v>
      </c>
      <c r="AQ22" s="64"/>
      <c r="AR22" s="493"/>
      <c r="AS22" s="11">
        <f t="shared" si="13"/>
        <v>0</v>
      </c>
      <c r="AT22" s="64"/>
      <c r="AU22" s="493"/>
      <c r="AV22" s="11">
        <f t="shared" si="14"/>
        <v>0</v>
      </c>
      <c r="AW22" s="64"/>
      <c r="AX22" s="13"/>
      <c r="AY22" s="260">
        <f t="shared" si="15"/>
        <v>0.75</v>
      </c>
      <c r="AZ22" s="157"/>
      <c r="BA22" s="157"/>
    </row>
    <row r="23" spans="1:53" ht="12.75" customHeight="1">
      <c r="A23" s="10">
        <v>18</v>
      </c>
      <c r="B23" s="493">
        <v>6</v>
      </c>
      <c r="C23" s="11">
        <f t="shared" si="17"/>
        <v>443.52</v>
      </c>
      <c r="D23" s="64">
        <v>600</v>
      </c>
      <c r="E23" s="493"/>
      <c r="F23" s="11">
        <f t="shared" si="1"/>
        <v>0</v>
      </c>
      <c r="G23" s="64"/>
      <c r="H23" s="493"/>
      <c r="I23" s="11">
        <f t="shared" si="2"/>
        <v>0</v>
      </c>
      <c r="J23" s="64"/>
      <c r="K23" s="493"/>
      <c r="L23" s="11">
        <f t="shared" si="3"/>
        <v>0</v>
      </c>
      <c r="M23" s="64"/>
      <c r="N23" s="493"/>
      <c r="O23" s="11">
        <f t="shared" si="4"/>
        <v>0</v>
      </c>
      <c r="P23" s="64"/>
      <c r="Q23" s="493"/>
      <c r="R23" s="11">
        <f t="shared" si="5"/>
        <v>0</v>
      </c>
      <c r="S23" s="64"/>
      <c r="T23" s="493"/>
      <c r="U23" s="11">
        <f t="shared" si="6"/>
        <v>0</v>
      </c>
      <c r="V23" s="64"/>
      <c r="W23" s="493"/>
      <c r="X23" s="11">
        <f t="shared" si="7"/>
        <v>0</v>
      </c>
      <c r="Y23" s="64"/>
      <c r="Z23" s="493"/>
      <c r="AA23" s="11">
        <f t="shared" si="8"/>
        <v>0</v>
      </c>
      <c r="AB23" s="64"/>
      <c r="AC23" s="493"/>
      <c r="AD23" s="11">
        <f t="shared" si="9"/>
        <v>0</v>
      </c>
      <c r="AE23" s="64"/>
      <c r="AF23" s="493"/>
      <c r="AG23" s="11">
        <f t="shared" si="10"/>
        <v>0</v>
      </c>
      <c r="AH23" s="64"/>
      <c r="AI23" s="493"/>
      <c r="AJ23" s="11">
        <f t="shared" si="11"/>
        <v>0</v>
      </c>
      <c r="AK23" s="64"/>
      <c r="AL23" s="493"/>
      <c r="AM23" s="11">
        <f t="shared" si="12"/>
        <v>0</v>
      </c>
      <c r="AN23" s="64"/>
      <c r="AO23" s="493"/>
      <c r="AP23" s="11">
        <f t="shared" si="16"/>
        <v>0</v>
      </c>
      <c r="AQ23" s="64"/>
      <c r="AR23" s="493"/>
      <c r="AS23" s="11">
        <f t="shared" si="13"/>
        <v>0</v>
      </c>
      <c r="AT23" s="64"/>
      <c r="AU23" s="493"/>
      <c r="AV23" s="11">
        <f t="shared" si="14"/>
        <v>0</v>
      </c>
      <c r="AW23" s="64"/>
      <c r="AX23" s="13"/>
      <c r="AY23" s="260">
        <f t="shared" si="15"/>
        <v>0.5</v>
      </c>
      <c r="AZ23" s="157"/>
      <c r="BA23" s="157"/>
    </row>
    <row r="24" spans="1:53" ht="12.75" customHeight="1">
      <c r="A24" s="10">
        <v>19</v>
      </c>
      <c r="B24" s="493">
        <v>6</v>
      </c>
      <c r="C24" s="11">
        <f t="shared" si="17"/>
        <v>443.52</v>
      </c>
      <c r="D24" s="64"/>
      <c r="E24" s="493"/>
      <c r="F24" s="11">
        <f t="shared" si="1"/>
        <v>0</v>
      </c>
      <c r="G24" s="64"/>
      <c r="H24" s="493"/>
      <c r="I24" s="11">
        <f t="shared" si="2"/>
        <v>0</v>
      </c>
      <c r="J24" s="64"/>
      <c r="K24" s="493"/>
      <c r="L24" s="11">
        <f t="shared" si="3"/>
        <v>0</v>
      </c>
      <c r="M24" s="64"/>
      <c r="N24" s="493"/>
      <c r="O24" s="11">
        <f t="shared" si="4"/>
        <v>0</v>
      </c>
      <c r="P24" s="64"/>
      <c r="Q24" s="493"/>
      <c r="R24" s="11">
        <f t="shared" si="5"/>
        <v>0</v>
      </c>
      <c r="S24" s="64"/>
      <c r="T24" s="493"/>
      <c r="U24" s="11">
        <f t="shared" si="6"/>
        <v>0</v>
      </c>
      <c r="V24" s="64"/>
      <c r="W24" s="493"/>
      <c r="X24" s="11">
        <f t="shared" si="7"/>
        <v>0</v>
      </c>
      <c r="Y24" s="64"/>
      <c r="Z24" s="493"/>
      <c r="AA24" s="11">
        <f t="shared" si="8"/>
        <v>0</v>
      </c>
      <c r="AB24" s="64"/>
      <c r="AC24" s="493"/>
      <c r="AD24" s="11">
        <f t="shared" si="9"/>
        <v>0</v>
      </c>
      <c r="AE24" s="64"/>
      <c r="AF24" s="493"/>
      <c r="AG24" s="11">
        <f t="shared" si="10"/>
        <v>0</v>
      </c>
      <c r="AH24" s="64"/>
      <c r="AI24" s="493"/>
      <c r="AJ24" s="11">
        <f t="shared" si="11"/>
        <v>0</v>
      </c>
      <c r="AK24" s="64"/>
      <c r="AL24" s="493"/>
      <c r="AM24" s="11">
        <f t="shared" si="12"/>
        <v>0</v>
      </c>
      <c r="AN24" s="64"/>
      <c r="AO24" s="493"/>
      <c r="AP24" s="11">
        <f t="shared" si="16"/>
        <v>0</v>
      </c>
      <c r="AQ24" s="64"/>
      <c r="AR24" s="493"/>
      <c r="AS24" s="11">
        <f t="shared" si="13"/>
        <v>0</v>
      </c>
      <c r="AT24" s="64"/>
      <c r="AU24" s="493"/>
      <c r="AV24" s="11">
        <f t="shared" si="14"/>
        <v>0</v>
      </c>
      <c r="AW24" s="64"/>
      <c r="AX24" s="13"/>
      <c r="AY24" s="260">
        <f t="shared" si="15"/>
        <v>0.5</v>
      </c>
      <c r="AZ24" s="157"/>
      <c r="BA24" s="157"/>
    </row>
    <row r="25" spans="1:53" ht="12.75" customHeight="1">
      <c r="A25" s="10">
        <v>20</v>
      </c>
      <c r="B25" s="493">
        <v>6</v>
      </c>
      <c r="C25" s="11">
        <f t="shared" si="17"/>
        <v>443.52</v>
      </c>
      <c r="D25" s="64"/>
      <c r="E25" s="493"/>
      <c r="F25" s="11">
        <f t="shared" si="1"/>
        <v>0</v>
      </c>
      <c r="G25" s="64"/>
      <c r="H25" s="493"/>
      <c r="I25" s="11">
        <f t="shared" si="2"/>
        <v>0</v>
      </c>
      <c r="J25" s="64"/>
      <c r="K25" s="493"/>
      <c r="L25" s="11">
        <f t="shared" si="3"/>
        <v>0</v>
      </c>
      <c r="M25" s="64"/>
      <c r="N25" s="493"/>
      <c r="O25" s="11">
        <f t="shared" si="4"/>
        <v>0</v>
      </c>
      <c r="P25" s="64"/>
      <c r="Q25" s="493"/>
      <c r="R25" s="11">
        <f t="shared" si="5"/>
        <v>0</v>
      </c>
      <c r="S25" s="64"/>
      <c r="T25" s="493"/>
      <c r="U25" s="11">
        <f t="shared" si="6"/>
        <v>0</v>
      </c>
      <c r="V25" s="64"/>
      <c r="W25" s="493"/>
      <c r="X25" s="11">
        <f t="shared" si="7"/>
        <v>0</v>
      </c>
      <c r="Y25" s="64"/>
      <c r="Z25" s="493"/>
      <c r="AA25" s="11">
        <f t="shared" si="8"/>
        <v>0</v>
      </c>
      <c r="AB25" s="64"/>
      <c r="AC25" s="493"/>
      <c r="AD25" s="11">
        <f t="shared" si="9"/>
        <v>0</v>
      </c>
      <c r="AE25" s="64"/>
      <c r="AF25" s="493"/>
      <c r="AG25" s="11">
        <f t="shared" si="10"/>
        <v>0</v>
      </c>
      <c r="AH25" s="64"/>
      <c r="AI25" s="493"/>
      <c r="AJ25" s="11">
        <f t="shared" si="11"/>
        <v>0</v>
      </c>
      <c r="AK25" s="64"/>
      <c r="AL25" s="493"/>
      <c r="AM25" s="11">
        <f t="shared" si="12"/>
        <v>0</v>
      </c>
      <c r="AN25" s="64"/>
      <c r="AO25" s="493"/>
      <c r="AP25" s="11">
        <f t="shared" si="16"/>
        <v>0</v>
      </c>
      <c r="AQ25" s="64"/>
      <c r="AR25" s="493"/>
      <c r="AS25" s="11">
        <f t="shared" si="13"/>
        <v>0</v>
      </c>
      <c r="AT25" s="64"/>
      <c r="AU25" s="493"/>
      <c r="AV25" s="11">
        <f t="shared" si="14"/>
        <v>0</v>
      </c>
      <c r="AW25" s="64"/>
      <c r="AX25" s="13"/>
      <c r="AY25" s="260">
        <f t="shared" si="15"/>
        <v>0.5</v>
      </c>
      <c r="AZ25" s="157"/>
      <c r="BA25" s="157"/>
    </row>
    <row r="26" spans="1:53" ht="12.75" customHeight="1">
      <c r="A26" s="10">
        <v>21</v>
      </c>
      <c r="B26" s="493"/>
      <c r="C26" s="11">
        <f t="shared" si="17"/>
        <v>0</v>
      </c>
      <c r="D26" s="64"/>
      <c r="E26" s="493"/>
      <c r="F26" s="11">
        <f t="shared" si="1"/>
        <v>0</v>
      </c>
      <c r="G26" s="64"/>
      <c r="H26" s="493"/>
      <c r="I26" s="11">
        <f t="shared" si="2"/>
        <v>0</v>
      </c>
      <c r="J26" s="64"/>
      <c r="K26" s="493"/>
      <c r="L26" s="11">
        <f t="shared" si="3"/>
        <v>0</v>
      </c>
      <c r="M26" s="64"/>
      <c r="N26" s="493"/>
      <c r="O26" s="11">
        <f t="shared" si="4"/>
        <v>0</v>
      </c>
      <c r="P26" s="64"/>
      <c r="Q26" s="493"/>
      <c r="R26" s="11">
        <f t="shared" si="5"/>
        <v>0</v>
      </c>
      <c r="S26" s="64"/>
      <c r="T26" s="493"/>
      <c r="U26" s="11">
        <f t="shared" si="6"/>
        <v>0</v>
      </c>
      <c r="V26" s="64"/>
      <c r="W26" s="493"/>
      <c r="X26" s="11">
        <f t="shared" si="7"/>
        <v>0</v>
      </c>
      <c r="Y26" s="64"/>
      <c r="Z26" s="493"/>
      <c r="AA26" s="11">
        <f t="shared" si="8"/>
        <v>0</v>
      </c>
      <c r="AB26" s="64"/>
      <c r="AC26" s="493"/>
      <c r="AD26" s="11">
        <f t="shared" si="9"/>
        <v>0</v>
      </c>
      <c r="AE26" s="64"/>
      <c r="AF26" s="493"/>
      <c r="AG26" s="11">
        <f t="shared" si="10"/>
        <v>0</v>
      </c>
      <c r="AH26" s="64"/>
      <c r="AI26" s="493"/>
      <c r="AJ26" s="11">
        <f t="shared" si="11"/>
        <v>0</v>
      </c>
      <c r="AK26" s="64"/>
      <c r="AL26" s="493"/>
      <c r="AM26" s="11">
        <f t="shared" si="12"/>
        <v>0</v>
      </c>
      <c r="AN26" s="64"/>
      <c r="AO26" s="493"/>
      <c r="AP26" s="11">
        <f t="shared" si="16"/>
        <v>0</v>
      </c>
      <c r="AQ26" s="64"/>
      <c r="AR26" s="493"/>
      <c r="AS26" s="11">
        <f t="shared" si="13"/>
        <v>0</v>
      </c>
      <c r="AT26" s="64"/>
      <c r="AU26" s="493"/>
      <c r="AV26" s="11">
        <f t="shared" si="14"/>
        <v>0</v>
      </c>
      <c r="AW26" s="64"/>
      <c r="AX26" s="13"/>
      <c r="AY26" s="260">
        <f t="shared" si="15"/>
        <v>0</v>
      </c>
      <c r="AZ26" s="157"/>
      <c r="BA26" s="157"/>
    </row>
    <row r="27" spans="1:53" ht="12.75" customHeight="1">
      <c r="A27" s="10">
        <v>22</v>
      </c>
      <c r="B27" s="493"/>
      <c r="C27" s="11">
        <f t="shared" si="17"/>
        <v>0</v>
      </c>
      <c r="D27" s="64"/>
      <c r="E27" s="493"/>
      <c r="F27" s="11">
        <f t="shared" si="1"/>
        <v>0</v>
      </c>
      <c r="G27" s="64"/>
      <c r="H27" s="493"/>
      <c r="I27" s="11">
        <f t="shared" si="2"/>
        <v>0</v>
      </c>
      <c r="J27" s="64"/>
      <c r="K27" s="493"/>
      <c r="L27" s="11">
        <f t="shared" si="3"/>
        <v>0</v>
      </c>
      <c r="M27" s="64"/>
      <c r="N27" s="493"/>
      <c r="O27" s="11">
        <f t="shared" si="4"/>
        <v>0</v>
      </c>
      <c r="P27" s="64"/>
      <c r="Q27" s="493"/>
      <c r="R27" s="11">
        <f t="shared" si="5"/>
        <v>0</v>
      </c>
      <c r="S27" s="64"/>
      <c r="T27" s="493"/>
      <c r="U27" s="11">
        <f t="shared" si="6"/>
        <v>0</v>
      </c>
      <c r="V27" s="64"/>
      <c r="W27" s="493"/>
      <c r="X27" s="11">
        <f t="shared" si="7"/>
        <v>0</v>
      </c>
      <c r="Y27" s="64"/>
      <c r="Z27" s="493"/>
      <c r="AA27" s="11">
        <f t="shared" si="8"/>
        <v>0</v>
      </c>
      <c r="AB27" s="64"/>
      <c r="AC27" s="493"/>
      <c r="AD27" s="11">
        <f t="shared" si="9"/>
        <v>0</v>
      </c>
      <c r="AE27" s="64"/>
      <c r="AF27" s="493"/>
      <c r="AG27" s="11">
        <f t="shared" si="10"/>
        <v>0</v>
      </c>
      <c r="AH27" s="64"/>
      <c r="AI27" s="493"/>
      <c r="AJ27" s="11">
        <f t="shared" si="11"/>
        <v>0</v>
      </c>
      <c r="AK27" s="64"/>
      <c r="AL27" s="493"/>
      <c r="AM27" s="11">
        <f t="shared" si="12"/>
        <v>0</v>
      </c>
      <c r="AN27" s="64"/>
      <c r="AO27" s="493"/>
      <c r="AP27" s="11">
        <f t="shared" si="16"/>
        <v>0</v>
      </c>
      <c r="AQ27" s="64"/>
      <c r="AR27" s="493"/>
      <c r="AS27" s="11">
        <f t="shared" si="13"/>
        <v>0</v>
      </c>
      <c r="AT27" s="64"/>
      <c r="AU27" s="493"/>
      <c r="AV27" s="11">
        <f t="shared" si="14"/>
        <v>0</v>
      </c>
      <c r="AW27" s="64"/>
      <c r="AX27" s="13"/>
      <c r="AY27" s="260">
        <f t="shared" si="15"/>
        <v>0</v>
      </c>
      <c r="AZ27" s="157"/>
      <c r="BA27" s="157"/>
    </row>
    <row r="28" spans="1:53" ht="12.75" customHeight="1">
      <c r="A28" s="10">
        <v>23</v>
      </c>
      <c r="B28" s="493"/>
      <c r="C28" s="11">
        <f t="shared" si="17"/>
        <v>0</v>
      </c>
      <c r="D28" s="64"/>
      <c r="E28" s="493"/>
      <c r="F28" s="11">
        <f t="shared" si="1"/>
        <v>0</v>
      </c>
      <c r="G28" s="64"/>
      <c r="H28" s="493"/>
      <c r="I28" s="11">
        <f t="shared" si="2"/>
        <v>0</v>
      </c>
      <c r="J28" s="64"/>
      <c r="K28" s="493"/>
      <c r="L28" s="11">
        <f t="shared" si="3"/>
        <v>0</v>
      </c>
      <c r="M28" s="64"/>
      <c r="N28" s="493"/>
      <c r="O28" s="11">
        <f t="shared" si="4"/>
        <v>0</v>
      </c>
      <c r="P28" s="64"/>
      <c r="Q28" s="493"/>
      <c r="R28" s="11">
        <f t="shared" si="5"/>
        <v>0</v>
      </c>
      <c r="S28" s="64"/>
      <c r="T28" s="493"/>
      <c r="U28" s="11">
        <f t="shared" si="6"/>
        <v>0</v>
      </c>
      <c r="V28" s="64"/>
      <c r="W28" s="493"/>
      <c r="X28" s="11">
        <f t="shared" si="7"/>
        <v>0</v>
      </c>
      <c r="Y28" s="64"/>
      <c r="Z28" s="493"/>
      <c r="AA28" s="11">
        <f t="shared" si="8"/>
        <v>0</v>
      </c>
      <c r="AB28" s="64"/>
      <c r="AC28" s="493"/>
      <c r="AD28" s="11">
        <f t="shared" si="9"/>
        <v>0</v>
      </c>
      <c r="AE28" s="64"/>
      <c r="AF28" s="493"/>
      <c r="AG28" s="11">
        <f t="shared" si="10"/>
        <v>0</v>
      </c>
      <c r="AH28" s="64"/>
      <c r="AI28" s="493"/>
      <c r="AJ28" s="11">
        <f t="shared" si="11"/>
        <v>0</v>
      </c>
      <c r="AK28" s="64"/>
      <c r="AL28" s="493"/>
      <c r="AM28" s="11">
        <f t="shared" si="12"/>
        <v>0</v>
      </c>
      <c r="AN28" s="64"/>
      <c r="AO28" s="493"/>
      <c r="AP28" s="11">
        <f t="shared" si="16"/>
        <v>0</v>
      </c>
      <c r="AQ28" s="64"/>
      <c r="AR28" s="493"/>
      <c r="AS28" s="11">
        <f t="shared" si="13"/>
        <v>0</v>
      </c>
      <c r="AT28" s="64"/>
      <c r="AU28" s="493"/>
      <c r="AV28" s="11">
        <f t="shared" si="14"/>
        <v>0</v>
      </c>
      <c r="AW28" s="64"/>
      <c r="AX28" s="13"/>
      <c r="AY28" s="260">
        <f t="shared" si="15"/>
        <v>0</v>
      </c>
      <c r="AZ28" s="157"/>
      <c r="BA28" s="157"/>
    </row>
    <row r="29" spans="1:53" ht="12.75" customHeight="1">
      <c r="A29" s="10">
        <v>24</v>
      </c>
      <c r="B29" s="493"/>
      <c r="C29" s="11">
        <f t="shared" si="17"/>
        <v>0</v>
      </c>
      <c r="D29" s="64"/>
      <c r="E29" s="493"/>
      <c r="F29" s="11">
        <f t="shared" si="1"/>
        <v>0</v>
      </c>
      <c r="G29" s="64"/>
      <c r="H29" s="493"/>
      <c r="I29" s="11">
        <f t="shared" si="2"/>
        <v>0</v>
      </c>
      <c r="J29" s="64"/>
      <c r="K29" s="493"/>
      <c r="L29" s="11">
        <f t="shared" si="3"/>
        <v>0</v>
      </c>
      <c r="M29" s="64"/>
      <c r="N29" s="493"/>
      <c r="O29" s="11">
        <f t="shared" si="4"/>
        <v>0</v>
      </c>
      <c r="P29" s="64"/>
      <c r="Q29" s="493"/>
      <c r="R29" s="11">
        <f t="shared" si="5"/>
        <v>0</v>
      </c>
      <c r="S29" s="64"/>
      <c r="T29" s="493"/>
      <c r="U29" s="11">
        <f t="shared" si="6"/>
        <v>0</v>
      </c>
      <c r="V29" s="64"/>
      <c r="W29" s="493"/>
      <c r="X29" s="11">
        <f t="shared" si="7"/>
        <v>0</v>
      </c>
      <c r="Y29" s="64"/>
      <c r="Z29" s="493"/>
      <c r="AA29" s="11">
        <f t="shared" si="8"/>
        <v>0</v>
      </c>
      <c r="AB29" s="64"/>
      <c r="AC29" s="493"/>
      <c r="AD29" s="11">
        <f t="shared" si="9"/>
        <v>0</v>
      </c>
      <c r="AE29" s="64"/>
      <c r="AF29" s="493"/>
      <c r="AG29" s="11">
        <f t="shared" si="10"/>
        <v>0</v>
      </c>
      <c r="AH29" s="64"/>
      <c r="AI29" s="493"/>
      <c r="AJ29" s="11">
        <f t="shared" si="11"/>
        <v>0</v>
      </c>
      <c r="AK29" s="64"/>
      <c r="AL29" s="493"/>
      <c r="AM29" s="11">
        <f t="shared" si="12"/>
        <v>0</v>
      </c>
      <c r="AN29" s="64"/>
      <c r="AO29" s="493"/>
      <c r="AP29" s="11">
        <f t="shared" si="16"/>
        <v>0</v>
      </c>
      <c r="AQ29" s="64"/>
      <c r="AR29" s="493"/>
      <c r="AS29" s="11">
        <f t="shared" si="13"/>
        <v>0</v>
      </c>
      <c r="AT29" s="64"/>
      <c r="AU29" s="493"/>
      <c r="AV29" s="11">
        <f t="shared" si="14"/>
        <v>0</v>
      </c>
      <c r="AW29" s="64"/>
      <c r="AX29" s="13"/>
      <c r="AY29" s="260">
        <f t="shared" si="15"/>
        <v>0</v>
      </c>
      <c r="AZ29" s="157"/>
      <c r="BA29" s="157"/>
    </row>
    <row r="30" spans="1:53" ht="12.75" customHeight="1">
      <c r="A30" s="10">
        <v>25</v>
      </c>
      <c r="B30" s="493"/>
      <c r="C30" s="11">
        <f t="shared" si="17"/>
        <v>0</v>
      </c>
      <c r="D30" s="64"/>
      <c r="E30" s="493"/>
      <c r="F30" s="11">
        <f t="shared" si="1"/>
        <v>0</v>
      </c>
      <c r="G30" s="64"/>
      <c r="H30" s="493"/>
      <c r="I30" s="11">
        <f t="shared" si="2"/>
        <v>0</v>
      </c>
      <c r="J30" s="64"/>
      <c r="K30" s="493"/>
      <c r="L30" s="11">
        <f t="shared" si="3"/>
        <v>0</v>
      </c>
      <c r="M30" s="64"/>
      <c r="N30" s="493"/>
      <c r="O30" s="11">
        <f t="shared" si="4"/>
        <v>0</v>
      </c>
      <c r="P30" s="64"/>
      <c r="Q30" s="493"/>
      <c r="R30" s="11">
        <f t="shared" si="5"/>
        <v>0</v>
      </c>
      <c r="S30" s="64"/>
      <c r="T30" s="493"/>
      <c r="U30" s="11">
        <f t="shared" si="6"/>
        <v>0</v>
      </c>
      <c r="V30" s="64"/>
      <c r="W30" s="493"/>
      <c r="X30" s="11">
        <f t="shared" si="7"/>
        <v>0</v>
      </c>
      <c r="Y30" s="64"/>
      <c r="Z30" s="493"/>
      <c r="AA30" s="11">
        <f t="shared" si="8"/>
        <v>0</v>
      </c>
      <c r="AB30" s="64"/>
      <c r="AC30" s="493"/>
      <c r="AD30" s="11">
        <f t="shared" si="9"/>
        <v>0</v>
      </c>
      <c r="AE30" s="64"/>
      <c r="AF30" s="493"/>
      <c r="AG30" s="11">
        <f t="shared" si="10"/>
        <v>0</v>
      </c>
      <c r="AH30" s="64"/>
      <c r="AI30" s="493"/>
      <c r="AJ30" s="11">
        <f t="shared" si="11"/>
        <v>0</v>
      </c>
      <c r="AK30" s="64"/>
      <c r="AL30" s="493"/>
      <c r="AM30" s="11">
        <f t="shared" si="12"/>
        <v>0</v>
      </c>
      <c r="AN30" s="64"/>
      <c r="AO30" s="493"/>
      <c r="AP30" s="11">
        <f t="shared" si="16"/>
        <v>0</v>
      </c>
      <c r="AQ30" s="64"/>
      <c r="AR30" s="493"/>
      <c r="AS30" s="11">
        <f t="shared" si="13"/>
        <v>0</v>
      </c>
      <c r="AT30" s="64"/>
      <c r="AU30" s="493"/>
      <c r="AV30" s="11">
        <f t="shared" si="14"/>
        <v>0</v>
      </c>
      <c r="AW30" s="64"/>
      <c r="AX30" s="13"/>
      <c r="AY30" s="260">
        <f t="shared" si="15"/>
        <v>0</v>
      </c>
      <c r="AZ30" s="157"/>
      <c r="BA30" s="157"/>
    </row>
    <row r="31" spans="1:53" ht="12.75" customHeight="1">
      <c r="A31" s="10">
        <v>26</v>
      </c>
      <c r="B31" s="493"/>
      <c r="C31" s="11">
        <f t="shared" si="17"/>
        <v>0</v>
      </c>
      <c r="D31" s="64"/>
      <c r="E31" s="493"/>
      <c r="F31" s="11">
        <f t="shared" si="1"/>
        <v>0</v>
      </c>
      <c r="G31" s="64"/>
      <c r="H31" s="493"/>
      <c r="I31" s="11">
        <f t="shared" si="2"/>
        <v>0</v>
      </c>
      <c r="J31" s="64"/>
      <c r="K31" s="493"/>
      <c r="L31" s="11">
        <f t="shared" si="3"/>
        <v>0</v>
      </c>
      <c r="M31" s="64"/>
      <c r="N31" s="493"/>
      <c r="O31" s="11">
        <f t="shared" si="4"/>
        <v>0</v>
      </c>
      <c r="P31" s="64"/>
      <c r="Q31" s="493"/>
      <c r="R31" s="11">
        <f t="shared" si="5"/>
        <v>0</v>
      </c>
      <c r="S31" s="64"/>
      <c r="T31" s="493"/>
      <c r="U31" s="11">
        <f t="shared" si="6"/>
        <v>0</v>
      </c>
      <c r="V31" s="64"/>
      <c r="W31" s="493"/>
      <c r="X31" s="11">
        <f t="shared" si="7"/>
        <v>0</v>
      </c>
      <c r="Y31" s="64"/>
      <c r="Z31" s="493"/>
      <c r="AA31" s="11">
        <f t="shared" si="8"/>
        <v>0</v>
      </c>
      <c r="AB31" s="64"/>
      <c r="AC31" s="493"/>
      <c r="AD31" s="11">
        <f t="shared" si="9"/>
        <v>0</v>
      </c>
      <c r="AE31" s="64"/>
      <c r="AF31" s="493"/>
      <c r="AG31" s="11">
        <f t="shared" si="10"/>
        <v>0</v>
      </c>
      <c r="AH31" s="64"/>
      <c r="AI31" s="493"/>
      <c r="AJ31" s="11">
        <f t="shared" si="11"/>
        <v>0</v>
      </c>
      <c r="AK31" s="64"/>
      <c r="AL31" s="493"/>
      <c r="AM31" s="11">
        <f t="shared" si="12"/>
        <v>0</v>
      </c>
      <c r="AN31" s="64"/>
      <c r="AO31" s="493"/>
      <c r="AP31" s="11">
        <f t="shared" si="16"/>
        <v>0</v>
      </c>
      <c r="AQ31" s="64"/>
      <c r="AR31" s="493"/>
      <c r="AS31" s="11">
        <f t="shared" si="13"/>
        <v>0</v>
      </c>
      <c r="AT31" s="64"/>
      <c r="AU31" s="493"/>
      <c r="AV31" s="11">
        <f t="shared" si="14"/>
        <v>0</v>
      </c>
      <c r="AW31" s="64"/>
      <c r="AX31" s="13"/>
      <c r="AY31" s="260">
        <f t="shared" si="15"/>
        <v>0</v>
      </c>
      <c r="AZ31" s="157"/>
      <c r="BA31" s="157"/>
    </row>
    <row r="32" spans="1:53" ht="12.75" customHeight="1">
      <c r="A32" s="10">
        <v>27</v>
      </c>
      <c r="B32" s="493"/>
      <c r="C32" s="11">
        <f t="shared" si="17"/>
        <v>0</v>
      </c>
      <c r="D32" s="64"/>
      <c r="E32" s="493"/>
      <c r="F32" s="11">
        <f t="shared" si="1"/>
        <v>0</v>
      </c>
      <c r="G32" s="64"/>
      <c r="H32" s="493"/>
      <c r="I32" s="11">
        <f t="shared" si="2"/>
        <v>0</v>
      </c>
      <c r="J32" s="64"/>
      <c r="K32" s="493"/>
      <c r="L32" s="11">
        <f t="shared" si="3"/>
        <v>0</v>
      </c>
      <c r="M32" s="64"/>
      <c r="N32" s="493"/>
      <c r="O32" s="11">
        <f t="shared" si="4"/>
        <v>0</v>
      </c>
      <c r="P32" s="64"/>
      <c r="Q32" s="493"/>
      <c r="R32" s="11">
        <f t="shared" si="5"/>
        <v>0</v>
      </c>
      <c r="S32" s="64"/>
      <c r="T32" s="493"/>
      <c r="U32" s="11">
        <f t="shared" si="6"/>
        <v>0</v>
      </c>
      <c r="V32" s="64"/>
      <c r="W32" s="493"/>
      <c r="X32" s="11">
        <f t="shared" si="7"/>
        <v>0</v>
      </c>
      <c r="Y32" s="64"/>
      <c r="Z32" s="493"/>
      <c r="AA32" s="11">
        <f t="shared" si="8"/>
        <v>0</v>
      </c>
      <c r="AB32" s="64"/>
      <c r="AC32" s="493"/>
      <c r="AD32" s="11">
        <f t="shared" si="9"/>
        <v>0</v>
      </c>
      <c r="AE32" s="64"/>
      <c r="AF32" s="493"/>
      <c r="AG32" s="11">
        <f t="shared" si="10"/>
        <v>0</v>
      </c>
      <c r="AH32" s="64"/>
      <c r="AI32" s="493"/>
      <c r="AJ32" s="11">
        <f t="shared" si="11"/>
        <v>0</v>
      </c>
      <c r="AK32" s="64"/>
      <c r="AL32" s="493"/>
      <c r="AM32" s="11">
        <f t="shared" si="12"/>
        <v>0</v>
      </c>
      <c r="AN32" s="64"/>
      <c r="AO32" s="493"/>
      <c r="AP32" s="11">
        <f t="shared" si="16"/>
        <v>0</v>
      </c>
      <c r="AQ32" s="64"/>
      <c r="AR32" s="493"/>
      <c r="AS32" s="11">
        <f t="shared" si="13"/>
        <v>0</v>
      </c>
      <c r="AT32" s="64"/>
      <c r="AU32" s="493"/>
      <c r="AV32" s="11">
        <f t="shared" si="14"/>
        <v>0</v>
      </c>
      <c r="AW32" s="64"/>
      <c r="AX32" s="13"/>
      <c r="AY32" s="260">
        <f t="shared" si="15"/>
        <v>0</v>
      </c>
      <c r="AZ32" s="157"/>
      <c r="BA32" s="157"/>
    </row>
    <row r="33" spans="1:58" ht="12.75" customHeight="1">
      <c r="A33" s="10">
        <v>28</v>
      </c>
      <c r="B33" s="493"/>
      <c r="C33" s="11">
        <f t="shared" si="17"/>
        <v>0</v>
      </c>
      <c r="D33" s="64"/>
      <c r="E33" s="493"/>
      <c r="F33" s="11">
        <f t="shared" si="1"/>
        <v>0</v>
      </c>
      <c r="G33" s="64"/>
      <c r="H33" s="493"/>
      <c r="I33" s="11">
        <f t="shared" si="2"/>
        <v>0</v>
      </c>
      <c r="J33" s="64"/>
      <c r="K33" s="493"/>
      <c r="L33" s="11">
        <f t="shared" si="3"/>
        <v>0</v>
      </c>
      <c r="M33" s="64"/>
      <c r="N33" s="493"/>
      <c r="O33" s="11">
        <f t="shared" si="4"/>
        <v>0</v>
      </c>
      <c r="P33" s="64"/>
      <c r="Q33" s="493"/>
      <c r="R33" s="11">
        <f t="shared" si="5"/>
        <v>0</v>
      </c>
      <c r="S33" s="64"/>
      <c r="T33" s="493"/>
      <c r="U33" s="11">
        <f t="shared" si="6"/>
        <v>0</v>
      </c>
      <c r="V33" s="64"/>
      <c r="W33" s="493"/>
      <c r="X33" s="11">
        <f t="shared" si="7"/>
        <v>0</v>
      </c>
      <c r="Y33" s="64"/>
      <c r="Z33" s="493"/>
      <c r="AA33" s="11">
        <f t="shared" si="8"/>
        <v>0</v>
      </c>
      <c r="AB33" s="64"/>
      <c r="AC33" s="493"/>
      <c r="AD33" s="11">
        <f t="shared" si="9"/>
        <v>0</v>
      </c>
      <c r="AE33" s="64"/>
      <c r="AF33" s="493"/>
      <c r="AG33" s="11">
        <f t="shared" si="10"/>
        <v>0</v>
      </c>
      <c r="AH33" s="64"/>
      <c r="AI33" s="493"/>
      <c r="AJ33" s="11">
        <f t="shared" si="11"/>
        <v>0</v>
      </c>
      <c r="AK33" s="64"/>
      <c r="AL33" s="493"/>
      <c r="AM33" s="11">
        <f t="shared" si="12"/>
        <v>0</v>
      </c>
      <c r="AN33" s="64"/>
      <c r="AO33" s="493"/>
      <c r="AP33" s="11">
        <f t="shared" si="16"/>
        <v>0</v>
      </c>
      <c r="AQ33" s="64"/>
      <c r="AR33" s="493"/>
      <c r="AS33" s="11">
        <f t="shared" si="13"/>
        <v>0</v>
      </c>
      <c r="AT33" s="64"/>
      <c r="AU33" s="493"/>
      <c r="AV33" s="11">
        <f t="shared" si="14"/>
        <v>0</v>
      </c>
      <c r="AW33" s="64"/>
      <c r="AX33" s="13"/>
      <c r="AY33" s="260">
        <f t="shared" si="15"/>
        <v>0</v>
      </c>
      <c r="AZ33" s="157"/>
      <c r="BA33" s="157"/>
    </row>
    <row r="34" spans="1:58" ht="12.75" customHeight="1">
      <c r="A34" s="10">
        <v>29</v>
      </c>
      <c r="B34" s="493"/>
      <c r="C34" s="11">
        <f t="shared" si="17"/>
        <v>0</v>
      </c>
      <c r="D34" s="64"/>
      <c r="E34" s="493"/>
      <c r="F34" s="11">
        <f t="shared" si="1"/>
        <v>0</v>
      </c>
      <c r="G34" s="64"/>
      <c r="H34" s="493"/>
      <c r="I34" s="11">
        <f t="shared" si="2"/>
        <v>0</v>
      </c>
      <c r="J34" s="64"/>
      <c r="K34" s="493"/>
      <c r="L34" s="11">
        <f t="shared" si="3"/>
        <v>0</v>
      </c>
      <c r="M34" s="64"/>
      <c r="N34" s="493"/>
      <c r="O34" s="11">
        <f t="shared" si="4"/>
        <v>0</v>
      </c>
      <c r="P34" s="64"/>
      <c r="Q34" s="493"/>
      <c r="R34" s="11">
        <f t="shared" si="5"/>
        <v>0</v>
      </c>
      <c r="S34" s="64"/>
      <c r="T34" s="493"/>
      <c r="U34" s="11">
        <f t="shared" si="6"/>
        <v>0</v>
      </c>
      <c r="V34" s="64"/>
      <c r="W34" s="493"/>
      <c r="X34" s="11">
        <f t="shared" si="7"/>
        <v>0</v>
      </c>
      <c r="Y34" s="64"/>
      <c r="Z34" s="493"/>
      <c r="AA34" s="11">
        <f t="shared" si="8"/>
        <v>0</v>
      </c>
      <c r="AB34" s="64"/>
      <c r="AC34" s="493"/>
      <c r="AD34" s="11">
        <f t="shared" si="9"/>
        <v>0</v>
      </c>
      <c r="AE34" s="64"/>
      <c r="AF34" s="493"/>
      <c r="AG34" s="11">
        <f t="shared" si="10"/>
        <v>0</v>
      </c>
      <c r="AH34" s="64"/>
      <c r="AI34" s="493"/>
      <c r="AJ34" s="11">
        <f t="shared" si="11"/>
        <v>0</v>
      </c>
      <c r="AK34" s="64"/>
      <c r="AL34" s="493"/>
      <c r="AM34" s="11">
        <f t="shared" si="12"/>
        <v>0</v>
      </c>
      <c r="AN34" s="64"/>
      <c r="AO34" s="493"/>
      <c r="AP34" s="11">
        <f t="shared" si="16"/>
        <v>0</v>
      </c>
      <c r="AQ34" s="64"/>
      <c r="AR34" s="493"/>
      <c r="AS34" s="11">
        <f t="shared" si="13"/>
        <v>0</v>
      </c>
      <c r="AT34" s="64"/>
      <c r="AU34" s="493"/>
      <c r="AV34" s="11">
        <f t="shared" si="14"/>
        <v>0</v>
      </c>
      <c r="AW34" s="64"/>
      <c r="AX34" s="13"/>
      <c r="AY34" s="260">
        <f t="shared" si="15"/>
        <v>0</v>
      </c>
      <c r="AZ34" s="157"/>
      <c r="BA34" s="157"/>
    </row>
    <row r="35" spans="1:58" ht="12.75" customHeight="1">
      <c r="A35" s="10">
        <v>30</v>
      </c>
      <c r="B35" s="493"/>
      <c r="C35" s="11">
        <f t="shared" si="17"/>
        <v>0</v>
      </c>
      <c r="D35" s="64"/>
      <c r="E35" s="493"/>
      <c r="F35" s="11">
        <f t="shared" si="1"/>
        <v>0</v>
      </c>
      <c r="G35" s="64"/>
      <c r="H35" s="493"/>
      <c r="I35" s="11">
        <f t="shared" si="2"/>
        <v>0</v>
      </c>
      <c r="J35" s="64"/>
      <c r="K35" s="493"/>
      <c r="L35" s="11">
        <f t="shared" si="3"/>
        <v>0</v>
      </c>
      <c r="M35" s="64"/>
      <c r="N35" s="493"/>
      <c r="O35" s="11">
        <f t="shared" si="4"/>
        <v>0</v>
      </c>
      <c r="P35" s="64"/>
      <c r="Q35" s="493"/>
      <c r="R35" s="11">
        <f t="shared" si="5"/>
        <v>0</v>
      </c>
      <c r="S35" s="64"/>
      <c r="T35" s="493"/>
      <c r="U35" s="11">
        <f t="shared" si="6"/>
        <v>0</v>
      </c>
      <c r="V35" s="64"/>
      <c r="W35" s="493"/>
      <c r="X35" s="11">
        <f t="shared" si="7"/>
        <v>0</v>
      </c>
      <c r="Y35" s="64"/>
      <c r="Z35" s="493"/>
      <c r="AA35" s="11">
        <f t="shared" si="8"/>
        <v>0</v>
      </c>
      <c r="AB35" s="64"/>
      <c r="AC35" s="493"/>
      <c r="AD35" s="11">
        <f t="shared" si="9"/>
        <v>0</v>
      </c>
      <c r="AE35" s="64"/>
      <c r="AF35" s="493"/>
      <c r="AG35" s="11">
        <f t="shared" si="10"/>
        <v>0</v>
      </c>
      <c r="AH35" s="64"/>
      <c r="AI35" s="493"/>
      <c r="AJ35" s="11">
        <f t="shared" si="11"/>
        <v>0</v>
      </c>
      <c r="AK35" s="64"/>
      <c r="AL35" s="493"/>
      <c r="AM35" s="11">
        <f t="shared" si="12"/>
        <v>0</v>
      </c>
      <c r="AN35" s="64"/>
      <c r="AO35" s="493"/>
      <c r="AP35" s="11">
        <f t="shared" si="16"/>
        <v>0</v>
      </c>
      <c r="AQ35" s="64"/>
      <c r="AR35" s="493"/>
      <c r="AS35" s="11">
        <f t="shared" si="13"/>
        <v>0</v>
      </c>
      <c r="AT35" s="64"/>
      <c r="AU35" s="493"/>
      <c r="AV35" s="11">
        <f t="shared" si="14"/>
        <v>0</v>
      </c>
      <c r="AW35" s="64"/>
      <c r="AX35" s="13"/>
      <c r="AY35" s="260">
        <f t="shared" si="15"/>
        <v>0</v>
      </c>
      <c r="AZ35" s="157"/>
      <c r="BA35" s="157"/>
    </row>
    <row r="36" spans="1:58" ht="12.75" customHeight="1" thickBot="1">
      <c r="A36" s="10">
        <v>31</v>
      </c>
      <c r="B36" s="493"/>
      <c r="C36" s="11">
        <f t="shared" si="17"/>
        <v>0</v>
      </c>
      <c r="D36" s="64"/>
      <c r="E36" s="493"/>
      <c r="F36" s="11">
        <f t="shared" si="1"/>
        <v>0</v>
      </c>
      <c r="G36" s="64"/>
      <c r="H36" s="493"/>
      <c r="I36" s="11">
        <f t="shared" si="2"/>
        <v>0</v>
      </c>
      <c r="J36" s="64"/>
      <c r="K36" s="493"/>
      <c r="L36" s="11">
        <f t="shared" si="3"/>
        <v>0</v>
      </c>
      <c r="M36" s="64"/>
      <c r="N36" s="493"/>
      <c r="O36" s="11">
        <f t="shared" si="4"/>
        <v>0</v>
      </c>
      <c r="P36" s="64"/>
      <c r="Q36" s="493"/>
      <c r="R36" s="11">
        <f t="shared" si="5"/>
        <v>0</v>
      </c>
      <c r="S36" s="64"/>
      <c r="T36" s="493"/>
      <c r="U36" s="11">
        <f t="shared" si="6"/>
        <v>0</v>
      </c>
      <c r="V36" s="64"/>
      <c r="W36" s="493"/>
      <c r="X36" s="11">
        <f t="shared" si="7"/>
        <v>0</v>
      </c>
      <c r="Y36" s="64"/>
      <c r="Z36" s="493"/>
      <c r="AA36" s="11">
        <f t="shared" si="8"/>
        <v>0</v>
      </c>
      <c r="AB36" s="64"/>
      <c r="AC36" s="493"/>
      <c r="AD36" s="11">
        <f t="shared" si="9"/>
        <v>0</v>
      </c>
      <c r="AE36" s="64"/>
      <c r="AF36" s="493"/>
      <c r="AG36" s="11">
        <f t="shared" si="10"/>
        <v>0</v>
      </c>
      <c r="AH36" s="64"/>
      <c r="AI36" s="493"/>
      <c r="AJ36" s="11">
        <f t="shared" si="11"/>
        <v>0</v>
      </c>
      <c r="AK36" s="64"/>
      <c r="AL36" s="493"/>
      <c r="AM36" s="11">
        <f t="shared" si="12"/>
        <v>0</v>
      </c>
      <c r="AN36" s="64"/>
      <c r="AO36" s="493"/>
      <c r="AP36" s="11">
        <f t="shared" si="16"/>
        <v>0</v>
      </c>
      <c r="AQ36" s="64"/>
      <c r="AR36" s="493"/>
      <c r="AS36" s="11">
        <f t="shared" si="13"/>
        <v>0</v>
      </c>
      <c r="AT36" s="64"/>
      <c r="AU36" s="493"/>
      <c r="AV36" s="11">
        <f t="shared" si="14"/>
        <v>0</v>
      </c>
      <c r="AW36" s="64"/>
      <c r="AX36" s="13"/>
      <c r="AY36" s="260">
        <f t="shared" si="15"/>
        <v>0</v>
      </c>
      <c r="AZ36" s="157"/>
      <c r="BA36" s="157"/>
    </row>
    <row r="37" spans="1:58" s="21" customFormat="1" ht="18" hidden="1" customHeight="1" thickBot="1">
      <c r="A37" s="16"/>
      <c r="B37" s="17">
        <f>IF(B6="",0,AVERAGE(B6:B36)/12)</f>
        <v>0.375</v>
      </c>
      <c r="C37" s="18">
        <f>SUM(C6:C36)</f>
        <v>6652.7999999999993</v>
      </c>
      <c r="D37" s="20">
        <f>SUM(D6:D36)</f>
        <v>1680</v>
      </c>
      <c r="E37" s="17">
        <f>IF(E6="",0,AVERAGE(E6:E36)/12)</f>
        <v>0</v>
      </c>
      <c r="F37" s="18">
        <f>SUM(F6:F36)</f>
        <v>0</v>
      </c>
      <c r="G37" s="20">
        <f>SUM(G6:G36)</f>
        <v>0</v>
      </c>
      <c r="H37" s="17">
        <f>IF(H6="",0,AVERAGE(H6:H36)/12)</f>
        <v>0</v>
      </c>
      <c r="I37" s="18">
        <f>SUM(I6:I36)</f>
        <v>0</v>
      </c>
      <c r="J37" s="20">
        <f>SUM(J6:J36)</f>
        <v>0</v>
      </c>
      <c r="K37" s="17">
        <f>IF(K6="",0,AVERAGE(K6:K36)/12)</f>
        <v>0</v>
      </c>
      <c r="L37" s="18">
        <f>SUM(L6:L36)</f>
        <v>0</v>
      </c>
      <c r="M37" s="20">
        <f>SUM(M6:M36)</f>
        <v>0</v>
      </c>
      <c r="N37" s="17">
        <f>IF(N6="",0,AVERAGE(N6:N36)/12)</f>
        <v>0</v>
      </c>
      <c r="O37" s="18">
        <f>SUM(O6:O36)</f>
        <v>0</v>
      </c>
      <c r="P37" s="20">
        <f>SUM(P6:P36)</f>
        <v>0</v>
      </c>
      <c r="Q37" s="17">
        <f>IF(Q6="",0,AVERAGE(Q6:Q36)/12)</f>
        <v>0</v>
      </c>
      <c r="R37" s="18">
        <f>SUM(R6:R36)</f>
        <v>0</v>
      </c>
      <c r="S37" s="20">
        <f>SUM(S6:S36)</f>
        <v>0</v>
      </c>
      <c r="T37" s="17">
        <f>IF(T6="",0,AVERAGE(T6:T36)/12)</f>
        <v>0</v>
      </c>
      <c r="U37" s="18">
        <f>SUM(U6:U36)</f>
        <v>0</v>
      </c>
      <c r="V37" s="20">
        <f>SUM(V6:V36)</f>
        <v>0</v>
      </c>
      <c r="W37" s="17">
        <f>IF(W6="",0,AVERAGE(W6:W36)/12)</f>
        <v>0</v>
      </c>
      <c r="X37" s="18">
        <f>SUM(X6:X36)</f>
        <v>0</v>
      </c>
      <c r="Y37" s="20">
        <f>SUM(Y6:Y36)</f>
        <v>0</v>
      </c>
      <c r="Z37" s="17">
        <f>IF(Z6="",0,AVERAGE(Z6:Z36)/12)</f>
        <v>0</v>
      </c>
      <c r="AA37" s="18">
        <f>SUM(AA6:AA36)</f>
        <v>0</v>
      </c>
      <c r="AB37" s="20">
        <f>SUM(AB6:AB36)</f>
        <v>0</v>
      </c>
      <c r="AC37" s="17">
        <f>IF(AC6="",0,AVERAGE(AC6:AC36)/12)</f>
        <v>0</v>
      </c>
      <c r="AD37" s="18">
        <f>SUM(AD6:AD36)</f>
        <v>0</v>
      </c>
      <c r="AE37" s="20">
        <f>SUM(AE6:AE36)</f>
        <v>0</v>
      </c>
      <c r="AF37" s="17">
        <f>IF(AF6="",0,AVERAGE(AF6:AF36)/12)</f>
        <v>0</v>
      </c>
      <c r="AG37" s="18">
        <f>SUM(AG6:AG36)</f>
        <v>0</v>
      </c>
      <c r="AH37" s="20">
        <f>SUM(AH6:AH36)</f>
        <v>0</v>
      </c>
      <c r="AI37" s="17">
        <f>IF(AI6="",0,AVERAGE(AI6:AI36)/12)</f>
        <v>0</v>
      </c>
      <c r="AJ37" s="18">
        <f>SUM(AJ6:AJ36)</f>
        <v>0</v>
      </c>
      <c r="AK37" s="20">
        <f>SUM(AK6:AK36)</f>
        <v>0</v>
      </c>
      <c r="AL37" s="17">
        <f>IF(AL6="",0,AVERAGE(AL6:AL36)/12)</f>
        <v>0</v>
      </c>
      <c r="AM37" s="18">
        <f>SUM(AM6:AM36)</f>
        <v>0</v>
      </c>
      <c r="AN37" s="19">
        <f>SUM(AN6:AN36)</f>
        <v>0</v>
      </c>
      <c r="AO37" s="17">
        <f>IF(AO6="",0,AVERAGE(AO6:AO36)/12)</f>
        <v>0</v>
      </c>
      <c r="AP37" s="18">
        <f>SUM(AP6:AP36)</f>
        <v>0</v>
      </c>
      <c r="AQ37" s="20">
        <f>SUM(AQ6:AQ36)-AQ41</f>
        <v>0</v>
      </c>
      <c r="AR37" s="17">
        <f>IF(AR6="",0,AVERAGE(AR6:AR36)/12)</f>
        <v>0</v>
      </c>
      <c r="AS37" s="11">
        <f t="shared" si="13"/>
        <v>0</v>
      </c>
      <c r="AT37" s="19">
        <f>SUM(AT6:AT36)-AT41</f>
        <v>0</v>
      </c>
      <c r="AU37" s="17">
        <f>IF(AU6="",0,AVERAGE(AU6:AU36)/18)</f>
        <v>0</v>
      </c>
      <c r="AV37" s="18">
        <f>SUM(AV6:AV36)</f>
        <v>0</v>
      </c>
      <c r="AW37" s="20">
        <f>SUM(AW6:AW36)-AW41</f>
        <v>0</v>
      </c>
      <c r="AX37" s="13"/>
      <c r="AY37" s="260">
        <f>SUM(Q37,T37,W37,Z37,AC37,AF37,AI37,AL37,AO37,AR37,AU37)</f>
        <v>0</v>
      </c>
      <c r="AZ37" s="157"/>
      <c r="BA37" s="157"/>
    </row>
    <row r="38" spans="1:58" s="40" customFormat="1" ht="23.25" customHeight="1" thickTop="1">
      <c r="A38" s="57"/>
      <c r="B38" s="1569">
        <v>1680</v>
      </c>
      <c r="C38" s="1569"/>
      <c r="D38" s="1570"/>
      <c r="E38" s="1569"/>
      <c r="F38" s="1569"/>
      <c r="G38" s="1570"/>
      <c r="H38" s="1569"/>
      <c r="I38" s="1569"/>
      <c r="J38" s="1570"/>
      <c r="K38" s="1569"/>
      <c r="L38" s="1569"/>
      <c r="M38" s="1570"/>
      <c r="N38" s="1568"/>
      <c r="O38" s="1569"/>
      <c r="P38" s="1570"/>
      <c r="Q38" s="1568"/>
      <c r="R38" s="1569"/>
      <c r="S38" s="1570"/>
      <c r="T38" s="1569"/>
      <c r="U38" s="1569"/>
      <c r="V38" s="1570"/>
      <c r="W38" s="1569"/>
      <c r="X38" s="1569"/>
      <c r="Y38" s="1570"/>
      <c r="Z38" s="1569"/>
      <c r="AA38" s="1569"/>
      <c r="AB38" s="1570"/>
      <c r="AC38" s="1569"/>
      <c r="AD38" s="1569"/>
      <c r="AE38" s="1570"/>
      <c r="AF38" s="1569"/>
      <c r="AG38" s="1569"/>
      <c r="AH38" s="1570"/>
      <c r="AI38" s="1569"/>
      <c r="AJ38" s="1569"/>
      <c r="AK38" s="1570"/>
      <c r="AL38" s="1569"/>
      <c r="AM38" s="1569"/>
      <c r="AN38" s="1570"/>
      <c r="AO38" s="1568"/>
      <c r="AP38" s="1569"/>
      <c r="AQ38" s="1570"/>
      <c r="AR38" s="1568"/>
      <c r="AS38" s="1569"/>
      <c r="AT38" s="1570"/>
      <c r="AU38" s="1568"/>
      <c r="AV38" s="1569"/>
      <c r="AW38" s="1570"/>
      <c r="AX38" s="24"/>
      <c r="AY38" s="39"/>
    </row>
    <row r="39" spans="1:58" s="40" customFormat="1" ht="26.25" customHeight="1" thickBot="1">
      <c r="A39" s="58"/>
      <c r="B39" s="1617"/>
      <c r="C39" s="1617"/>
      <c r="D39" s="1618"/>
      <c r="E39" s="1617"/>
      <c r="F39" s="1617"/>
      <c r="G39" s="1618"/>
      <c r="H39" s="1617"/>
      <c r="I39" s="1617"/>
      <c r="J39" s="1618"/>
      <c r="K39" s="1617"/>
      <c r="L39" s="1617"/>
      <c r="M39" s="1618"/>
      <c r="N39" s="1613"/>
      <c r="O39" s="1614"/>
      <c r="P39" s="1615"/>
      <c r="Q39" s="1613"/>
      <c r="R39" s="1614"/>
      <c r="S39" s="1615"/>
      <c r="T39" s="1617"/>
      <c r="U39" s="1617"/>
      <c r="V39" s="1618"/>
      <c r="W39" s="1617"/>
      <c r="X39" s="1617"/>
      <c r="Y39" s="1618"/>
      <c r="Z39" s="1617"/>
      <c r="AA39" s="1617"/>
      <c r="AB39" s="1618"/>
      <c r="AC39" s="1617"/>
      <c r="AD39" s="1617"/>
      <c r="AE39" s="1618"/>
      <c r="AF39" s="1617"/>
      <c r="AG39" s="1617"/>
      <c r="AH39" s="1618"/>
      <c r="AI39" s="1617"/>
      <c r="AJ39" s="1617"/>
      <c r="AK39" s="1618"/>
      <c r="AL39" s="1617"/>
      <c r="AM39" s="1617"/>
      <c r="AN39" s="1618"/>
      <c r="AO39" s="1574"/>
      <c r="AP39" s="1575"/>
      <c r="AQ39" s="1576"/>
      <c r="AR39" s="1574"/>
      <c r="AS39" s="1575"/>
      <c r="AT39" s="1576"/>
      <c r="AU39" s="1574"/>
      <c r="AV39" s="1575"/>
      <c r="AW39" s="1576"/>
      <c r="AX39" s="25"/>
      <c r="AY39" s="39"/>
    </row>
    <row r="40" spans="1:58" s="40" customFormat="1" ht="26.25" customHeight="1" thickBot="1">
      <c r="A40" s="59"/>
      <c r="B40" s="1579"/>
      <c r="C40" s="1580"/>
      <c r="D40" s="1581"/>
      <c r="E40" s="1579"/>
      <c r="F40" s="1580"/>
      <c r="G40" s="1581"/>
      <c r="H40" s="1579"/>
      <c r="I40" s="1580"/>
      <c r="J40" s="1581"/>
      <c r="K40" s="1579"/>
      <c r="L40" s="1580"/>
      <c r="M40" s="1581"/>
      <c r="N40" s="1579"/>
      <c r="O40" s="1580"/>
      <c r="P40" s="1581"/>
      <c r="Q40" s="1579"/>
      <c r="R40" s="1580"/>
      <c r="S40" s="1581"/>
      <c r="T40" s="1579"/>
      <c r="U40" s="1580"/>
      <c r="V40" s="1581"/>
      <c r="W40" s="1579"/>
      <c r="X40" s="1580"/>
      <c r="Y40" s="1581"/>
      <c r="Z40" s="1579"/>
      <c r="AA40" s="1580"/>
      <c r="AB40" s="1581"/>
      <c r="AC40" s="1579"/>
      <c r="AD40" s="1580"/>
      <c r="AE40" s="1581"/>
      <c r="AF40" s="1579"/>
      <c r="AG40" s="1580"/>
      <c r="AH40" s="1581"/>
      <c r="AI40" s="1579"/>
      <c r="AJ40" s="1580"/>
      <c r="AK40" s="1581"/>
      <c r="AL40" s="1579"/>
      <c r="AM40" s="1580"/>
      <c r="AN40" s="1581"/>
      <c r="AO40" s="1579"/>
      <c r="AP40" s="1580"/>
      <c r="AQ40" s="1581"/>
      <c r="AR40" s="1579"/>
      <c r="AS40" s="1580"/>
      <c r="AT40" s="1581"/>
      <c r="AU40" s="1579"/>
      <c r="AV40" s="1580"/>
      <c r="AW40" s="1581"/>
      <c r="AY40" s="41"/>
    </row>
    <row r="41" spans="1:58" s="27" customFormat="1" ht="26.25" hidden="1" customHeight="1" thickTop="1" thickBot="1">
      <c r="A41" s="26"/>
      <c r="B41" s="1565">
        <f>B38-B39-B60</f>
        <v>1680</v>
      </c>
      <c r="C41" s="1566"/>
      <c r="D41" s="1567"/>
      <c r="E41" s="1619">
        <f>E38-E39-E60</f>
        <v>0</v>
      </c>
      <c r="F41" s="1566"/>
      <c r="G41" s="1567"/>
      <c r="H41" s="1619">
        <f>H38-H39-H60</f>
        <v>0</v>
      </c>
      <c r="I41" s="1566"/>
      <c r="J41" s="1567"/>
      <c r="K41" s="694">
        <f>K38-K39-K60</f>
        <v>0</v>
      </c>
      <c r="L41" s="495"/>
      <c r="M41" s="496"/>
      <c r="N41" s="694">
        <f>N38-N39-N60</f>
        <v>0</v>
      </c>
      <c r="O41" s="495"/>
      <c r="P41" s="496"/>
      <c r="Q41" s="694">
        <f>Q38-Q39-Q60</f>
        <v>0</v>
      </c>
      <c r="R41" s="495"/>
      <c r="S41" s="496"/>
      <c r="T41" s="694">
        <f>T38-T39-T60</f>
        <v>0</v>
      </c>
      <c r="U41" s="495"/>
      <c r="V41" s="496"/>
      <c r="W41" s="494">
        <f>W38-W39-W60</f>
        <v>0</v>
      </c>
      <c r="X41" s="495"/>
      <c r="Y41" s="496"/>
      <c r="Z41" s="694">
        <f>Z38-Z39-Z60</f>
        <v>0</v>
      </c>
      <c r="AA41" s="495"/>
      <c r="AB41" s="496"/>
      <c r="AC41" s="694">
        <f>AC38-AC39-AC60</f>
        <v>0</v>
      </c>
      <c r="AD41" s="495"/>
      <c r="AE41" s="496"/>
      <c r="AF41" s="494">
        <f>AF38-AF39-AF60</f>
        <v>0</v>
      </c>
      <c r="AG41" s="495"/>
      <c r="AH41" s="496"/>
      <c r="AI41" s="694">
        <f>AI38-AI39-AI60</f>
        <v>0</v>
      </c>
      <c r="AJ41" s="495"/>
      <c r="AK41" s="496"/>
      <c r="AL41" s="1565">
        <f>AL38-AL39-AL60</f>
        <v>0</v>
      </c>
      <c r="AM41" s="1566"/>
      <c r="AN41" s="1567"/>
      <c r="AO41" s="1565">
        <f>AO38-AO39-AO60</f>
        <v>0</v>
      </c>
      <c r="AP41" s="1566"/>
      <c r="AQ41" s="1567"/>
      <c r="AR41" s="1565">
        <f>AR38-AR39-AR60</f>
        <v>0</v>
      </c>
      <c r="AS41" s="1566"/>
      <c r="AT41" s="1567"/>
      <c r="AU41" s="1565">
        <f>AU38-AU39-AU60</f>
        <v>0</v>
      </c>
      <c r="AV41" s="1566"/>
      <c r="AW41" s="1567"/>
      <c r="AY41" s="29"/>
    </row>
    <row r="42" spans="1:58" ht="15.75" hidden="1" customHeight="1" thickTop="1">
      <c r="V42" s="7"/>
      <c r="W42" s="7"/>
    </row>
    <row r="43" spans="1:58" ht="15" hidden="1" customHeight="1">
      <c r="V43" s="7"/>
      <c r="W43" s="7"/>
    </row>
    <row r="44" spans="1:58" ht="15.75" hidden="1" customHeight="1" thickBot="1">
      <c r="V44" s="7"/>
      <c r="W44" s="7"/>
    </row>
    <row r="45" spans="1:58" s="5" customFormat="1" ht="22.5" customHeight="1" thickTop="1" thickBot="1">
      <c r="A45" s="251" t="s">
        <v>14</v>
      </c>
      <c r="B45" s="248" t="s">
        <v>202</v>
      </c>
      <c r="C45" s="31" t="s">
        <v>203</v>
      </c>
      <c r="D45" s="32" t="s">
        <v>204</v>
      </c>
      <c r="E45" s="248" t="s">
        <v>202</v>
      </c>
      <c r="F45" s="31" t="s">
        <v>203</v>
      </c>
      <c r="G45" s="32" t="s">
        <v>204</v>
      </c>
      <c r="H45" s="248" t="s">
        <v>202</v>
      </c>
      <c r="I45" s="31" t="s">
        <v>203</v>
      </c>
      <c r="J45" s="32" t="s">
        <v>204</v>
      </c>
      <c r="K45" s="248" t="s">
        <v>202</v>
      </c>
      <c r="L45" s="31" t="s">
        <v>203</v>
      </c>
      <c r="M45" s="32" t="s">
        <v>204</v>
      </c>
      <c r="N45" s="248" t="s">
        <v>202</v>
      </c>
      <c r="O45" s="31" t="s">
        <v>203</v>
      </c>
      <c r="P45" s="32" t="s">
        <v>204</v>
      </c>
      <c r="Q45" s="248" t="s">
        <v>202</v>
      </c>
      <c r="R45" s="31" t="s">
        <v>203</v>
      </c>
      <c r="S45" s="32" t="s">
        <v>204</v>
      </c>
      <c r="T45" s="248" t="s">
        <v>202</v>
      </c>
      <c r="U45" s="31" t="s">
        <v>203</v>
      </c>
      <c r="V45" s="32" t="s">
        <v>204</v>
      </c>
      <c r="W45" s="248" t="s">
        <v>202</v>
      </c>
      <c r="X45" s="31" t="s">
        <v>203</v>
      </c>
      <c r="Y45" s="32" t="s">
        <v>204</v>
      </c>
      <c r="Z45" s="248" t="s">
        <v>202</v>
      </c>
      <c r="AA45" s="31" t="s">
        <v>203</v>
      </c>
      <c r="AB45" s="32" t="s">
        <v>204</v>
      </c>
      <c r="AC45" s="248" t="s">
        <v>202</v>
      </c>
      <c r="AD45" s="31" t="s">
        <v>203</v>
      </c>
      <c r="AE45" s="32" t="s">
        <v>204</v>
      </c>
      <c r="AF45" s="248" t="s">
        <v>202</v>
      </c>
      <c r="AG45" s="31" t="s">
        <v>203</v>
      </c>
      <c r="AH45" s="32" t="s">
        <v>204</v>
      </c>
      <c r="AI45" s="248" t="s">
        <v>202</v>
      </c>
      <c r="AJ45" s="31" t="s">
        <v>203</v>
      </c>
      <c r="AK45" s="32" t="s">
        <v>204</v>
      </c>
      <c r="AL45" s="30" t="s">
        <v>4</v>
      </c>
      <c r="AM45" s="31" t="s">
        <v>15</v>
      </c>
      <c r="AN45" s="32" t="s">
        <v>16</v>
      </c>
      <c r="AO45" s="30" t="s">
        <v>4</v>
      </c>
      <c r="AP45" s="31" t="s">
        <v>15</v>
      </c>
      <c r="AQ45" s="32" t="s">
        <v>16</v>
      </c>
      <c r="AR45" s="30" t="s">
        <v>4</v>
      </c>
      <c r="AS45" s="31" t="s">
        <v>15</v>
      </c>
      <c r="AT45" s="32" t="s">
        <v>16</v>
      </c>
      <c r="AU45" s="30" t="s">
        <v>4</v>
      </c>
      <c r="AV45" s="31" t="s">
        <v>15</v>
      </c>
      <c r="AW45" s="32" t="s">
        <v>16</v>
      </c>
      <c r="AX45" s="33"/>
      <c r="AY45" s="33"/>
      <c r="AZ45" s="33"/>
      <c r="BA45" s="33"/>
      <c r="BB45" s="33"/>
      <c r="BC45" s="33"/>
      <c r="BD45" s="33"/>
      <c r="BE45" s="33"/>
      <c r="BF45" s="33"/>
    </row>
    <row r="46" spans="1:58" s="1369" customFormat="1">
      <c r="A46" s="1363"/>
      <c r="B46" s="1364"/>
      <c r="C46" s="1365"/>
      <c r="D46" s="1366"/>
      <c r="E46" s="1364"/>
      <c r="F46" s="1365"/>
      <c r="G46" s="1366"/>
      <c r="H46" s="1364"/>
      <c r="I46" s="1365"/>
      <c r="J46" s="1366"/>
      <c r="K46" s="1364"/>
      <c r="L46" s="1365"/>
      <c r="M46" s="1366"/>
      <c r="N46" s="1364"/>
      <c r="O46" s="1365"/>
      <c r="P46" s="1366"/>
      <c r="Q46" s="1364"/>
      <c r="R46" s="1365"/>
      <c r="S46" s="1366"/>
      <c r="T46" s="1364"/>
      <c r="U46" s="1365"/>
      <c r="V46" s="1366"/>
      <c r="W46" s="1364"/>
      <c r="X46" s="1365"/>
      <c r="Y46" s="1366"/>
      <c r="Z46" s="1364"/>
      <c r="AA46" s="1365"/>
      <c r="AB46" s="1366"/>
      <c r="AC46" s="1364"/>
      <c r="AD46" s="1365"/>
      <c r="AE46" s="1366"/>
      <c r="AF46" s="1364"/>
      <c r="AG46" s="1365"/>
      <c r="AH46" s="1366"/>
      <c r="AI46" s="1364"/>
      <c r="AJ46" s="1365"/>
      <c r="AK46" s="1366"/>
      <c r="AL46" s="1367"/>
      <c r="AM46" s="1365"/>
      <c r="AN46" s="1366"/>
      <c r="AO46" s="1367"/>
      <c r="AP46" s="1365"/>
      <c r="AQ46" s="1366"/>
      <c r="AR46" s="1367"/>
      <c r="AS46" s="1365"/>
      <c r="AT46" s="1366"/>
      <c r="AU46" s="1367"/>
      <c r="AV46" s="1365"/>
      <c r="AW46" s="1366"/>
    </row>
    <row r="47" spans="1:58" s="1369" customFormat="1">
      <c r="A47" s="1363"/>
      <c r="B47" s="1370"/>
      <c r="C47" s="1371"/>
      <c r="D47" s="1372"/>
      <c r="E47" s="1370"/>
      <c r="F47" s="1371"/>
      <c r="G47" s="1372"/>
      <c r="H47" s="1370"/>
      <c r="I47" s="1371"/>
      <c r="J47" s="1372"/>
      <c r="K47" s="1370"/>
      <c r="L47" s="1371"/>
      <c r="M47" s="1372"/>
      <c r="N47" s="1370"/>
      <c r="O47" s="1371"/>
      <c r="P47" s="1372"/>
      <c r="Q47" s="1370"/>
      <c r="R47" s="1371"/>
      <c r="S47" s="1372"/>
      <c r="T47" s="1373"/>
      <c r="U47" s="1371"/>
      <c r="V47" s="1372"/>
      <c r="W47" s="1373"/>
      <c r="X47" s="1371"/>
      <c r="Y47" s="1372"/>
      <c r="Z47" s="1373"/>
      <c r="AA47" s="1371"/>
      <c r="AB47" s="1372"/>
      <c r="AC47" s="1373"/>
      <c r="AD47" s="1371"/>
      <c r="AE47" s="1372"/>
      <c r="AF47" s="1373"/>
      <c r="AG47" s="1371"/>
      <c r="AH47" s="1372"/>
      <c r="AI47" s="1373"/>
      <c r="AJ47" s="1371"/>
      <c r="AK47" s="1372"/>
      <c r="AL47" s="1373"/>
      <c r="AM47" s="1371"/>
      <c r="AN47" s="1372"/>
      <c r="AO47" s="1373"/>
      <c r="AP47" s="1371"/>
      <c r="AQ47" s="1372"/>
      <c r="AR47" s="1373"/>
      <c r="AS47" s="1371"/>
      <c r="AT47" s="1372"/>
      <c r="AU47" s="1373"/>
      <c r="AV47" s="1371"/>
      <c r="AW47" s="1372"/>
    </row>
    <row r="48" spans="1:58" s="1369" customFormat="1" ht="15.75" customHeight="1">
      <c r="A48" s="1363"/>
      <c r="B48" s="1370"/>
      <c r="C48" s="1371"/>
      <c r="D48" s="1372"/>
      <c r="E48" s="1370"/>
      <c r="F48" s="1371"/>
      <c r="G48" s="1372"/>
      <c r="H48" s="1370"/>
      <c r="I48" s="1371"/>
      <c r="J48" s="1372"/>
      <c r="K48" s="1370"/>
      <c r="L48" s="1371"/>
      <c r="M48" s="1372"/>
      <c r="N48" s="1370"/>
      <c r="O48" s="1371"/>
      <c r="P48" s="1372"/>
      <c r="Q48" s="1370"/>
      <c r="R48" s="1371"/>
      <c r="S48" s="1372"/>
      <c r="T48" s="1373"/>
      <c r="U48" s="1371"/>
      <c r="V48" s="1372"/>
      <c r="W48" s="1373"/>
      <c r="X48" s="1371"/>
      <c r="Y48" s="1372"/>
      <c r="Z48" s="1373"/>
      <c r="AA48" s="1371"/>
      <c r="AB48" s="1372"/>
      <c r="AC48" s="1373"/>
      <c r="AD48" s="1371"/>
      <c r="AE48" s="1372"/>
      <c r="AF48" s="1373"/>
      <c r="AG48" s="1371"/>
      <c r="AH48" s="1372"/>
      <c r="AI48" s="1373"/>
      <c r="AJ48" s="1371"/>
      <c r="AK48" s="1372"/>
      <c r="AL48" s="1373"/>
      <c r="AM48" s="1371"/>
      <c r="AN48" s="1372"/>
      <c r="AO48" s="1373"/>
      <c r="AP48" s="1371"/>
      <c r="AQ48" s="1372"/>
      <c r="AR48" s="1373"/>
      <c r="AS48" s="1371"/>
      <c r="AT48" s="1372"/>
      <c r="AU48" s="1373"/>
      <c r="AV48" s="1371"/>
      <c r="AW48" s="1372"/>
    </row>
    <row r="49" spans="1:58" s="1369" customFormat="1">
      <c r="A49" s="1363"/>
      <c r="B49" s="1370"/>
      <c r="C49" s="1371"/>
      <c r="D49" s="1372"/>
      <c r="E49" s="1370"/>
      <c r="F49" s="1371"/>
      <c r="G49" s="1372"/>
      <c r="H49" s="1370"/>
      <c r="I49" s="1371"/>
      <c r="J49" s="1372"/>
      <c r="K49" s="1370"/>
      <c r="L49" s="1371"/>
      <c r="M49" s="1372"/>
      <c r="N49" s="1370"/>
      <c r="O49" s="1371"/>
      <c r="P49" s="1372"/>
      <c r="Q49" s="1370"/>
      <c r="R49" s="1371"/>
      <c r="S49" s="1372"/>
      <c r="T49" s="1373"/>
      <c r="U49" s="1371"/>
      <c r="V49" s="1372"/>
      <c r="W49" s="1373"/>
      <c r="X49" s="1371"/>
      <c r="Y49" s="1372"/>
      <c r="Z49" s="1373"/>
      <c r="AA49" s="1371"/>
      <c r="AB49" s="1372"/>
      <c r="AC49" s="1373"/>
      <c r="AD49" s="1371"/>
      <c r="AE49" s="1372"/>
      <c r="AF49" s="1373"/>
      <c r="AG49" s="1371"/>
      <c r="AH49" s="1372"/>
      <c r="AI49" s="1373"/>
      <c r="AJ49" s="1371"/>
      <c r="AK49" s="1372"/>
      <c r="AL49" s="1373"/>
      <c r="AM49" s="1371"/>
      <c r="AN49" s="1372"/>
      <c r="AO49" s="1373"/>
      <c r="AP49" s="1371"/>
      <c r="AQ49" s="1372"/>
      <c r="AR49" s="1373"/>
      <c r="AS49" s="1371"/>
      <c r="AT49" s="1372"/>
      <c r="AU49" s="1373"/>
      <c r="AV49" s="1371"/>
      <c r="AW49" s="1372"/>
    </row>
    <row r="50" spans="1:58" s="1369" customFormat="1">
      <c r="A50" s="1363"/>
      <c r="B50" s="1370"/>
      <c r="C50" s="1371"/>
      <c r="D50" s="1372"/>
      <c r="E50" s="1370"/>
      <c r="F50" s="1371"/>
      <c r="G50" s="1372"/>
      <c r="H50" s="1370"/>
      <c r="I50" s="1371"/>
      <c r="J50" s="1372"/>
      <c r="K50" s="1370"/>
      <c r="L50" s="1371"/>
      <c r="M50" s="1372"/>
      <c r="N50" s="1370"/>
      <c r="O50" s="1371"/>
      <c r="P50" s="1372"/>
      <c r="Q50" s="1370"/>
      <c r="R50" s="1371"/>
      <c r="S50" s="1372"/>
      <c r="T50" s="1373"/>
      <c r="U50" s="1371"/>
      <c r="V50" s="1372"/>
      <c r="W50" s="1373"/>
      <c r="X50" s="1371"/>
      <c r="Y50" s="1372"/>
      <c r="Z50" s="1373"/>
      <c r="AA50" s="1371"/>
      <c r="AB50" s="1372"/>
      <c r="AC50" s="1373"/>
      <c r="AD50" s="1371"/>
      <c r="AE50" s="1372"/>
      <c r="AF50" s="1373"/>
      <c r="AG50" s="1371"/>
      <c r="AH50" s="1372"/>
      <c r="AI50" s="1373"/>
      <c r="AJ50" s="1371"/>
      <c r="AK50" s="1372"/>
      <c r="AL50" s="1373"/>
      <c r="AM50" s="1371"/>
      <c r="AN50" s="1372"/>
      <c r="AO50" s="1373"/>
      <c r="AP50" s="1371"/>
      <c r="AQ50" s="1372"/>
      <c r="AR50" s="1373"/>
      <c r="AS50" s="1371"/>
      <c r="AT50" s="1372"/>
      <c r="AU50" s="1373"/>
      <c r="AV50" s="1371"/>
      <c r="AW50" s="1372"/>
    </row>
    <row r="51" spans="1:58" s="1369" customFormat="1">
      <c r="A51" s="1363"/>
      <c r="B51" s="1370"/>
      <c r="C51" s="1371"/>
      <c r="D51" s="1372"/>
      <c r="E51" s="1370"/>
      <c r="F51" s="1371"/>
      <c r="G51" s="1372"/>
      <c r="H51" s="1370"/>
      <c r="I51" s="1371"/>
      <c r="J51" s="1372"/>
      <c r="K51" s="1370"/>
      <c r="L51" s="1371"/>
      <c r="M51" s="1372"/>
      <c r="N51" s="1370"/>
      <c r="O51" s="1371"/>
      <c r="P51" s="1372"/>
      <c r="Q51" s="1370"/>
      <c r="R51" s="1371"/>
      <c r="S51" s="1372"/>
      <c r="T51" s="1373"/>
      <c r="U51" s="1371"/>
      <c r="V51" s="1372"/>
      <c r="W51" s="1373"/>
      <c r="X51" s="1371"/>
      <c r="Y51" s="1372"/>
      <c r="Z51" s="1373"/>
      <c r="AA51" s="1371"/>
      <c r="AB51" s="1372"/>
      <c r="AC51" s="1373"/>
      <c r="AD51" s="1371"/>
      <c r="AE51" s="1372"/>
      <c r="AF51" s="1373"/>
      <c r="AG51" s="1371"/>
      <c r="AH51" s="1372"/>
      <c r="AI51" s="1373"/>
      <c r="AJ51" s="1371"/>
      <c r="AK51" s="1372"/>
      <c r="AL51" s="1373"/>
      <c r="AM51" s="1371"/>
      <c r="AN51" s="1372"/>
      <c r="AO51" s="1373"/>
      <c r="AP51" s="1371"/>
      <c r="AQ51" s="1372"/>
      <c r="AR51" s="1373"/>
      <c r="AS51" s="1371"/>
      <c r="AT51" s="1372"/>
      <c r="AU51" s="1373"/>
      <c r="AV51" s="1371"/>
      <c r="AW51" s="1372"/>
    </row>
    <row r="52" spans="1:58" s="1369" customFormat="1">
      <c r="A52" s="1363"/>
      <c r="B52" s="1370"/>
      <c r="C52" s="1371"/>
      <c r="D52" s="1372"/>
      <c r="E52" s="1370"/>
      <c r="F52" s="1371"/>
      <c r="G52" s="1372"/>
      <c r="H52" s="1370"/>
      <c r="I52" s="1371"/>
      <c r="J52" s="1372"/>
      <c r="K52" s="1370"/>
      <c r="L52" s="1371"/>
      <c r="M52" s="1372"/>
      <c r="N52" s="1370"/>
      <c r="O52" s="1371"/>
      <c r="P52" s="1372"/>
      <c r="Q52" s="1370"/>
      <c r="R52" s="1371"/>
      <c r="S52" s="1372"/>
      <c r="T52" s="1373"/>
      <c r="U52" s="1371"/>
      <c r="V52" s="1372"/>
      <c r="W52" s="1373"/>
      <c r="X52" s="1371"/>
      <c r="Y52" s="1372"/>
      <c r="Z52" s="1373"/>
      <c r="AA52" s="1371"/>
      <c r="AB52" s="1372"/>
      <c r="AC52" s="1373"/>
      <c r="AD52" s="1371"/>
      <c r="AE52" s="1372"/>
      <c r="AF52" s="1373"/>
      <c r="AG52" s="1371"/>
      <c r="AH52" s="1372"/>
      <c r="AI52" s="1373"/>
      <c r="AJ52" s="1371"/>
      <c r="AK52" s="1372"/>
      <c r="AL52" s="1373"/>
      <c r="AM52" s="1371"/>
      <c r="AN52" s="1372"/>
      <c r="AO52" s="1373"/>
      <c r="AP52" s="1371"/>
      <c r="AQ52" s="1372"/>
      <c r="AR52" s="1373"/>
      <c r="AS52" s="1371"/>
      <c r="AT52" s="1372"/>
      <c r="AU52" s="1373"/>
      <c r="AV52" s="1371"/>
      <c r="AW52" s="1372"/>
    </row>
    <row r="53" spans="1:58" s="1369" customFormat="1" ht="15.75" thickBot="1">
      <c r="A53" s="1363"/>
      <c r="B53" s="1370"/>
      <c r="C53" s="1371"/>
      <c r="D53" s="1372"/>
      <c r="E53" s="1370"/>
      <c r="F53" s="1371"/>
      <c r="G53" s="1372"/>
      <c r="H53" s="1370"/>
      <c r="I53" s="1371"/>
      <c r="J53" s="1372"/>
      <c r="K53" s="1370"/>
      <c r="L53" s="1371"/>
      <c r="M53" s="1372"/>
      <c r="N53" s="1370"/>
      <c r="O53" s="1371"/>
      <c r="P53" s="1372"/>
      <c r="Q53" s="1370"/>
      <c r="R53" s="1371"/>
      <c r="S53" s="1372"/>
      <c r="T53" s="1373"/>
      <c r="U53" s="1371"/>
      <c r="V53" s="1372"/>
      <c r="W53" s="1373"/>
      <c r="X53" s="1371"/>
      <c r="Y53" s="1372"/>
      <c r="Z53" s="1373"/>
      <c r="AA53" s="1371"/>
      <c r="AB53" s="1372"/>
      <c r="AC53" s="1373"/>
      <c r="AD53" s="1371"/>
      <c r="AE53" s="1372"/>
      <c r="AF53" s="1373"/>
      <c r="AG53" s="1371"/>
      <c r="AH53" s="1372"/>
      <c r="AI53" s="1373"/>
      <c r="AJ53" s="1371"/>
      <c r="AK53" s="1372"/>
      <c r="AL53" s="1373"/>
      <c r="AM53" s="1371"/>
      <c r="AN53" s="1372"/>
      <c r="AO53" s="1373"/>
      <c r="AP53" s="1371"/>
      <c r="AQ53" s="1372"/>
      <c r="AR53" s="1373"/>
      <c r="AS53" s="1371"/>
      <c r="AT53" s="1372"/>
      <c r="AU53" s="1373"/>
      <c r="AV53" s="1371"/>
      <c r="AW53" s="1372"/>
    </row>
    <row r="54" spans="1:58" s="5" customFormat="1" hidden="1">
      <c r="A54" s="252"/>
      <c r="B54" s="249"/>
      <c r="C54" s="49"/>
      <c r="D54" s="50"/>
      <c r="E54" s="249"/>
      <c r="F54" s="49"/>
      <c r="G54" s="50"/>
      <c r="H54" s="249"/>
      <c r="I54" s="49"/>
      <c r="J54" s="50"/>
      <c r="K54" s="249"/>
      <c r="L54" s="49"/>
      <c r="M54" s="50"/>
      <c r="N54" s="249"/>
      <c r="O54" s="49"/>
      <c r="P54" s="50"/>
      <c r="Q54" s="249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</row>
    <row r="55" spans="1:58" s="5" customFormat="1" hidden="1">
      <c r="A55" s="252"/>
      <c r="B55" s="249"/>
      <c r="C55" s="49"/>
      <c r="D55" s="50"/>
      <c r="E55" s="249"/>
      <c r="F55" s="49"/>
      <c r="G55" s="50"/>
      <c r="H55" s="249"/>
      <c r="I55" s="49"/>
      <c r="J55" s="50"/>
      <c r="K55" s="249"/>
      <c r="L55" s="49"/>
      <c r="M55" s="50"/>
      <c r="N55" s="249"/>
      <c r="O55" s="49"/>
      <c r="P55" s="50"/>
      <c r="Q55" s="249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</row>
    <row r="56" spans="1:58" s="5" customFormat="1" hidden="1">
      <c r="A56" s="252"/>
      <c r="B56" s="249"/>
      <c r="C56" s="49"/>
      <c r="D56" s="50"/>
      <c r="E56" s="249"/>
      <c r="F56" s="49"/>
      <c r="G56" s="50"/>
      <c r="H56" s="249"/>
      <c r="I56" s="49"/>
      <c r="J56" s="50"/>
      <c r="K56" s="249"/>
      <c r="L56" s="49"/>
      <c r="M56" s="50"/>
      <c r="N56" s="249"/>
      <c r="O56" s="49"/>
      <c r="P56" s="50"/>
      <c r="Q56" s="249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</row>
    <row r="57" spans="1:58" s="5" customFormat="1" hidden="1">
      <c r="A57" s="252"/>
      <c r="B57" s="249"/>
      <c r="C57" s="49"/>
      <c r="D57" s="50"/>
      <c r="E57" s="249"/>
      <c r="F57" s="49"/>
      <c r="G57" s="50"/>
      <c r="H57" s="249"/>
      <c r="I57" s="49"/>
      <c r="J57" s="50"/>
      <c r="K57" s="249"/>
      <c r="L57" s="49"/>
      <c r="M57" s="50"/>
      <c r="N57" s="249"/>
      <c r="O57" s="49"/>
      <c r="P57" s="50"/>
      <c r="Q57" s="249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</row>
    <row r="58" spans="1:58" s="5" customFormat="1" hidden="1">
      <c r="A58" s="252"/>
      <c r="B58" s="249"/>
      <c r="C58" s="49"/>
      <c r="D58" s="50"/>
      <c r="E58" s="249"/>
      <c r="F58" s="49"/>
      <c r="G58" s="50"/>
      <c r="H58" s="249"/>
      <c r="I58" s="49"/>
      <c r="J58" s="50"/>
      <c r="K58" s="249"/>
      <c r="L58" s="49"/>
      <c r="M58" s="50"/>
      <c r="N58" s="249"/>
      <c r="O58" s="49"/>
      <c r="P58" s="50"/>
      <c r="Q58" s="249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</row>
    <row r="59" spans="1:58" s="5" customFormat="1" ht="15.75" hidden="1" thickBot="1">
      <c r="A59" s="252"/>
      <c r="B59" s="250"/>
      <c r="C59" s="55"/>
      <c r="D59" s="56"/>
      <c r="E59" s="250"/>
      <c r="F59" s="55"/>
      <c r="G59" s="56"/>
      <c r="H59" s="250"/>
      <c r="I59" s="55"/>
      <c r="J59" s="56"/>
      <c r="K59" s="250"/>
      <c r="L59" s="55"/>
      <c r="M59" s="56"/>
      <c r="N59" s="250"/>
      <c r="O59" s="55"/>
      <c r="P59" s="56"/>
      <c r="Q59" s="250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</row>
    <row r="60" spans="1:58" s="431" customFormat="1" ht="22.5" customHeight="1" thickBot="1">
      <c r="A60" s="432"/>
      <c r="B60" s="426">
        <f t="shared" ref="B60:P60" si="18">SUM(B46:B59)</f>
        <v>0</v>
      </c>
      <c r="C60" s="427">
        <f t="shared" si="18"/>
        <v>0</v>
      </c>
      <c r="D60" s="428">
        <f t="shared" si="18"/>
        <v>0</v>
      </c>
      <c r="E60" s="426">
        <f t="shared" si="18"/>
        <v>0</v>
      </c>
      <c r="F60" s="427">
        <f t="shared" si="18"/>
        <v>0</v>
      </c>
      <c r="G60" s="428">
        <f t="shared" si="18"/>
        <v>0</v>
      </c>
      <c r="H60" s="426">
        <f t="shared" si="18"/>
        <v>0</v>
      </c>
      <c r="I60" s="427">
        <f t="shared" si="18"/>
        <v>0</v>
      </c>
      <c r="J60" s="428">
        <f t="shared" si="18"/>
        <v>0</v>
      </c>
      <c r="K60" s="426">
        <f t="shared" si="18"/>
        <v>0</v>
      </c>
      <c r="L60" s="427">
        <f t="shared" si="18"/>
        <v>0</v>
      </c>
      <c r="M60" s="428">
        <f t="shared" si="18"/>
        <v>0</v>
      </c>
      <c r="N60" s="426">
        <f t="shared" si="18"/>
        <v>0</v>
      </c>
      <c r="O60" s="427">
        <f t="shared" si="18"/>
        <v>0</v>
      </c>
      <c r="P60" s="428">
        <f t="shared" si="18"/>
        <v>0</v>
      </c>
      <c r="Q60" s="426">
        <f t="shared" ref="Q60:AV60" si="19">SUM(Q46:Q59)</f>
        <v>0</v>
      </c>
      <c r="R60" s="427">
        <f t="shared" si="19"/>
        <v>0</v>
      </c>
      <c r="S60" s="428">
        <f t="shared" si="19"/>
        <v>0</v>
      </c>
      <c r="T60" s="429">
        <f t="shared" si="19"/>
        <v>0</v>
      </c>
      <c r="U60" s="427">
        <f t="shared" si="19"/>
        <v>0</v>
      </c>
      <c r="V60" s="428">
        <f t="shared" si="19"/>
        <v>0</v>
      </c>
      <c r="W60" s="429">
        <f t="shared" si="19"/>
        <v>0</v>
      </c>
      <c r="X60" s="427">
        <f t="shared" si="19"/>
        <v>0</v>
      </c>
      <c r="Y60" s="428">
        <f t="shared" si="19"/>
        <v>0</v>
      </c>
      <c r="Z60" s="429">
        <f t="shared" si="19"/>
        <v>0</v>
      </c>
      <c r="AA60" s="427">
        <f t="shared" si="19"/>
        <v>0</v>
      </c>
      <c r="AB60" s="428">
        <f t="shared" si="19"/>
        <v>0</v>
      </c>
      <c r="AC60" s="429">
        <f t="shared" si="19"/>
        <v>0</v>
      </c>
      <c r="AD60" s="427">
        <f t="shared" si="19"/>
        <v>0</v>
      </c>
      <c r="AE60" s="428">
        <f t="shared" si="19"/>
        <v>0</v>
      </c>
      <c r="AF60" s="429">
        <f t="shared" si="19"/>
        <v>0</v>
      </c>
      <c r="AG60" s="427">
        <f t="shared" si="19"/>
        <v>0</v>
      </c>
      <c r="AH60" s="428">
        <f t="shared" si="19"/>
        <v>0</v>
      </c>
      <c r="AI60" s="429">
        <f t="shared" si="19"/>
        <v>0</v>
      </c>
      <c r="AJ60" s="427">
        <f t="shared" si="19"/>
        <v>0</v>
      </c>
      <c r="AK60" s="428">
        <f t="shared" si="19"/>
        <v>0</v>
      </c>
      <c r="AL60" s="429">
        <f t="shared" si="19"/>
        <v>0</v>
      </c>
      <c r="AM60" s="427">
        <f t="shared" si="19"/>
        <v>0</v>
      </c>
      <c r="AN60" s="428">
        <f t="shared" si="19"/>
        <v>0</v>
      </c>
      <c r="AO60" s="429">
        <f t="shared" si="19"/>
        <v>0</v>
      </c>
      <c r="AP60" s="427">
        <f t="shared" si="19"/>
        <v>0</v>
      </c>
      <c r="AQ60" s="428">
        <f t="shared" si="19"/>
        <v>0</v>
      </c>
      <c r="AR60" s="429">
        <f t="shared" si="19"/>
        <v>0</v>
      </c>
      <c r="AS60" s="427">
        <f t="shared" si="19"/>
        <v>0</v>
      </c>
      <c r="AT60" s="428">
        <f t="shared" si="19"/>
        <v>0</v>
      </c>
      <c r="AU60" s="429">
        <f t="shared" si="19"/>
        <v>0</v>
      </c>
      <c r="AV60" s="427">
        <f t="shared" si="19"/>
        <v>0</v>
      </c>
      <c r="AW60" s="428">
        <f>SUM(AW46:AW59)</f>
        <v>0</v>
      </c>
      <c r="AX60" s="430"/>
      <c r="AY60" s="430"/>
      <c r="AZ60" s="430"/>
      <c r="BA60" s="430"/>
      <c r="BB60" s="430"/>
      <c r="BC60" s="430"/>
      <c r="BD60" s="430"/>
      <c r="BE60" s="430"/>
      <c r="BF60" s="430"/>
    </row>
    <row r="61" spans="1:58" s="5" customFormat="1" ht="26.25" customHeight="1" thickTop="1" thickBot="1">
      <c r="A61" s="254"/>
      <c r="B61" s="1557">
        <f>SUM(B60:D60)</f>
        <v>0</v>
      </c>
      <c r="C61" s="1557"/>
      <c r="D61" s="1558"/>
      <c r="E61" s="1557">
        <f>SUM(E60:G60)</f>
        <v>0</v>
      </c>
      <c r="F61" s="1557"/>
      <c r="G61" s="1558"/>
      <c r="H61" s="1557">
        <f>SUM(H60:J60)</f>
        <v>0</v>
      </c>
      <c r="I61" s="1557"/>
      <c r="J61" s="1558"/>
      <c r="K61" s="1557">
        <f>SUM(K60:M60)</f>
        <v>0</v>
      </c>
      <c r="L61" s="1557"/>
      <c r="M61" s="1558"/>
      <c r="N61" s="1557">
        <f>SUM(N60:P60)</f>
        <v>0</v>
      </c>
      <c r="O61" s="1557"/>
      <c r="P61" s="1558"/>
      <c r="Q61" s="1557">
        <f>SUM(Q60:S60)</f>
        <v>0</v>
      </c>
      <c r="R61" s="1557"/>
      <c r="S61" s="1558"/>
      <c r="T61" s="1556">
        <f>SUM(T60:V60)</f>
        <v>0</v>
      </c>
      <c r="U61" s="1557"/>
      <c r="V61" s="1558"/>
      <c r="W61" s="1556">
        <f>SUM(W60:Y60)</f>
        <v>0</v>
      </c>
      <c r="X61" s="1557"/>
      <c r="Y61" s="1558"/>
      <c r="Z61" s="1556">
        <f>SUM(Z60:AB60)</f>
        <v>0</v>
      </c>
      <c r="AA61" s="1557"/>
      <c r="AB61" s="1558"/>
      <c r="AC61" s="1556">
        <f>SUM(AC60:AE60)</f>
        <v>0</v>
      </c>
      <c r="AD61" s="1557"/>
      <c r="AE61" s="1558"/>
      <c r="AF61" s="1556">
        <f>SUM(AF60:AH60)</f>
        <v>0</v>
      </c>
      <c r="AG61" s="1557"/>
      <c r="AH61" s="1558"/>
      <c r="AI61" s="1556">
        <f>SUM(AI60:AK60)</f>
        <v>0</v>
      </c>
      <c r="AJ61" s="1557"/>
      <c r="AK61" s="1558"/>
      <c r="AL61" s="1556">
        <f>SUM(AL60:AN60)</f>
        <v>0</v>
      </c>
      <c r="AM61" s="1557"/>
      <c r="AN61" s="1558"/>
      <c r="AO61" s="1556">
        <f>SUM(AO60:AQ60)</f>
        <v>0</v>
      </c>
      <c r="AP61" s="1557"/>
      <c r="AQ61" s="1558"/>
      <c r="AR61" s="1556">
        <f>SUM(AR60:AT60)</f>
        <v>0</v>
      </c>
      <c r="AS61" s="1557"/>
      <c r="AT61" s="1558"/>
      <c r="AU61" s="1556">
        <f>SUM(AU60:AW60)</f>
        <v>0</v>
      </c>
      <c r="AV61" s="1557"/>
      <c r="AW61" s="1558"/>
      <c r="AX61" s="28"/>
      <c r="AY61" s="28"/>
      <c r="AZ61" s="28"/>
      <c r="BA61" s="158"/>
      <c r="BB61" s="158"/>
      <c r="BC61" s="158"/>
      <c r="BD61" s="1582"/>
      <c r="BE61" s="1582"/>
      <c r="BF61" s="1582"/>
    </row>
    <row r="62" spans="1:58" ht="50.25" customHeight="1" thickTop="1">
      <c r="B62" s="1583">
        <f>SUM(B61:AW61)</f>
        <v>0</v>
      </c>
      <c r="C62" s="1583"/>
      <c r="D62" s="1583"/>
      <c r="E62" s="1616"/>
      <c r="F62" s="1616"/>
      <c r="G62" s="1616"/>
      <c r="H62" s="1616"/>
      <c r="I62" s="1616"/>
      <c r="J62" s="1616"/>
      <c r="K62" s="1616"/>
      <c r="L62" s="1616"/>
      <c r="M62" s="1616"/>
      <c r="N62" s="1616"/>
      <c r="O62" s="1616"/>
      <c r="P62" s="1616"/>
    </row>
  </sheetData>
  <mergeCells count="77">
    <mergeCell ref="AU38:AW38"/>
    <mergeCell ref="AU39:AW39"/>
    <mergeCell ref="AL38:AN38"/>
    <mergeCell ref="AF38:AH38"/>
    <mergeCell ref="B62:D62"/>
    <mergeCell ref="Q38:S38"/>
    <mergeCell ref="Q40:S40"/>
    <mergeCell ref="Q39:S39"/>
    <mergeCell ref="T38:V38"/>
    <mergeCell ref="T39:V39"/>
    <mergeCell ref="Q61:S61"/>
    <mergeCell ref="T61:V61"/>
    <mergeCell ref="T40:V40"/>
    <mergeCell ref="W39:Y39"/>
    <mergeCell ref="W38:Y38"/>
    <mergeCell ref="AR38:AT38"/>
    <mergeCell ref="AR39:AT39"/>
    <mergeCell ref="Z38:AB38"/>
    <mergeCell ref="AI38:AK38"/>
    <mergeCell ref="AL39:AN39"/>
    <mergeCell ref="AC39:AE39"/>
    <mergeCell ref="AO38:AQ38"/>
    <mergeCell ref="AC38:AE38"/>
    <mergeCell ref="AF39:AH39"/>
    <mergeCell ref="AI39:AK39"/>
    <mergeCell ref="Z39:AB39"/>
    <mergeCell ref="AO39:AQ39"/>
    <mergeCell ref="BD61:BF61"/>
    <mergeCell ref="AC40:AE40"/>
    <mergeCell ref="AU41:AW41"/>
    <mergeCell ref="AR41:AT41"/>
    <mergeCell ref="AU40:AW40"/>
    <mergeCell ref="AL61:AN61"/>
    <mergeCell ref="AO61:AQ61"/>
    <mergeCell ref="AR61:AT61"/>
    <mergeCell ref="AI61:AK61"/>
    <mergeCell ref="AR40:AT40"/>
    <mergeCell ref="AL41:AN41"/>
    <mergeCell ref="AU61:AW61"/>
    <mergeCell ref="AO40:AQ40"/>
    <mergeCell ref="AF61:AH61"/>
    <mergeCell ref="AO41:AQ41"/>
    <mergeCell ref="AL40:AN40"/>
    <mergeCell ref="W61:Y61"/>
    <mergeCell ref="Z61:AB61"/>
    <mergeCell ref="AC61:AE61"/>
    <mergeCell ref="W40:Y40"/>
    <mergeCell ref="Z40:AB40"/>
    <mergeCell ref="AF40:AH40"/>
    <mergeCell ref="AI40:AK40"/>
    <mergeCell ref="E62:G62"/>
    <mergeCell ref="B38:D38"/>
    <mergeCell ref="B39:D39"/>
    <mergeCell ref="B40:D40"/>
    <mergeCell ref="B41:D41"/>
    <mergeCell ref="B61:D61"/>
    <mergeCell ref="E38:G38"/>
    <mergeCell ref="E39:G39"/>
    <mergeCell ref="E40:G40"/>
    <mergeCell ref="E41:G41"/>
    <mergeCell ref="E61:G61"/>
    <mergeCell ref="H62:J62"/>
    <mergeCell ref="K38:M38"/>
    <mergeCell ref="K39:M39"/>
    <mergeCell ref="K40:M40"/>
    <mergeCell ref="K61:M61"/>
    <mergeCell ref="K62:M62"/>
    <mergeCell ref="H38:J38"/>
    <mergeCell ref="H39:J39"/>
    <mergeCell ref="H40:J40"/>
    <mergeCell ref="H41:J41"/>
    <mergeCell ref="H61:J61"/>
    <mergeCell ref="N38:P38"/>
    <mergeCell ref="N39:P39"/>
    <mergeCell ref="N62:P62"/>
    <mergeCell ref="N40:P40"/>
    <mergeCell ref="N61:P61"/>
  </mergeCells>
  <phoneticPr fontId="12" type="noConversion"/>
  <conditionalFormatting sqref="AY1:AY1048576">
    <cfRule type="cellIs" dxfId="585" priority="1" stopIfTrue="1" operator="greaterThan">
      <formula>2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r:id="rId1"/>
  <headerFooter alignWithMargins="0">
    <oddFooter>&amp;L&amp;"Times New Roman,標準"&amp;8&amp;D&amp;R&amp;8&amp;F&amp;A</oddFooter>
  </headerFooter>
  <colBreaks count="12" manualBreakCount="12">
    <brk id="1110" min="983" max="1121" man="1"/>
    <brk id="8567" min="303" max="1536" man="1"/>
    <brk id="33424" min="544" max="9408" man="1"/>
    <brk id="2317" max="1048575" man="1"/>
    <brk id="6862" max="400" man="1"/>
    <brk id="142" min="678" max="28179" man="1"/>
    <brk id="17" max="400" man="1"/>
    <brk id="20550" min="2" max="101" man="1"/>
    <brk id="415" min="200" max="200" man="1"/>
    <brk id="52896" min="80" max="1048575" man="1"/>
    <brk id="65535" max="255" man="1"/>
    <brk id="29" min="12" max="4142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2060"/>
  </sheetPr>
  <dimension ref="A1:DE62"/>
  <sheetViews>
    <sheetView showGridLines="0" zoomScaleNormal="100" workbookViewId="0">
      <pane xSplit="1" ySplit="6" topLeftCell="B23" activePane="bottomRight" state="frozen"/>
      <selection activeCell="G1" sqref="G1"/>
      <selection pane="topRight" activeCell="G1" sqref="G1"/>
      <selection pane="bottomLeft" activeCell="G1" sqref="G1"/>
      <selection pane="bottomRight" activeCell="W26" sqref="W26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5" width="6.5" style="7" customWidth="1"/>
    <col min="26" max="26" width="6.5" style="7" hidden="1" customWidth="1"/>
    <col min="27" max="28" width="6.375" style="7" hidden="1" customWidth="1"/>
    <col min="29" max="37" width="6.375" style="7" customWidth="1"/>
    <col min="38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6.375" style="7" customWidth="1"/>
    <col min="104" max="104" width="11.75" style="7" customWidth="1"/>
    <col min="105" max="16384" width="6.375" style="7"/>
  </cols>
  <sheetData>
    <row r="1" spans="1:104" s="651" customFormat="1" ht="37.15" customHeight="1">
      <c r="A1" s="1455" t="s">
        <v>17265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1456"/>
      <c r="AG1" s="1457"/>
      <c r="AH1" s="1456"/>
      <c r="AI1" s="1456"/>
      <c r="AJ1" s="1457"/>
      <c r="AK1" s="1456"/>
      <c r="AL1" s="1456"/>
      <c r="AM1" s="1457"/>
      <c r="AN1" s="1457"/>
      <c r="AO1" s="1457"/>
      <c r="AP1" s="1457"/>
      <c r="AQ1" s="1456"/>
      <c r="AR1" s="1456"/>
      <c r="AS1" s="1457"/>
      <c r="AT1" s="1456"/>
      <c r="AU1" s="6"/>
      <c r="AX1" s="6"/>
      <c r="AY1" s="1457"/>
      <c r="BA1" s="6"/>
      <c r="BB1" s="1457"/>
      <c r="BD1" s="6"/>
      <c r="BG1" s="6"/>
      <c r="BJ1" s="6"/>
      <c r="BM1" s="6"/>
      <c r="BP1" s="6"/>
      <c r="BS1" s="6"/>
      <c r="BV1" s="6"/>
      <c r="BY1" s="6"/>
      <c r="CB1" s="6"/>
      <c r="CE1" s="6"/>
      <c r="CH1" s="6"/>
      <c r="CK1" s="6"/>
      <c r="CN1" s="6"/>
      <c r="CQ1" s="6"/>
      <c r="CT1" s="6"/>
      <c r="CX1" s="81"/>
      <c r="CY1" s="1458">
        <f>'實驗紗&amp;非當月生產'!P2</f>
        <v>1193694.2</v>
      </c>
    </row>
    <row r="2" spans="1:104" s="1460" customFormat="1" ht="19.899999999999999" customHeight="1" thickBot="1">
      <c r="A2" s="1535">
        <f>'(示眾台)'!Q1</f>
        <v>1193694.2</v>
      </c>
      <c r="B2" s="1459"/>
      <c r="C2" s="1459">
        <v>149</v>
      </c>
      <c r="D2" s="1459"/>
      <c r="E2" s="1459"/>
      <c r="F2" s="1459">
        <v>150</v>
      </c>
      <c r="G2" s="1459"/>
      <c r="H2" s="1459"/>
      <c r="I2" s="1459">
        <v>151</v>
      </c>
      <c r="J2" s="1459"/>
      <c r="K2" s="1459"/>
      <c r="L2" s="1459">
        <v>152</v>
      </c>
      <c r="M2" s="1459"/>
      <c r="N2" s="1459"/>
      <c r="O2" s="1459">
        <v>153</v>
      </c>
      <c r="P2" s="1459"/>
      <c r="Q2" s="1459"/>
      <c r="R2" s="1459">
        <v>154</v>
      </c>
      <c r="S2" s="1459"/>
      <c r="T2" s="1459"/>
      <c r="U2" s="1459">
        <v>155</v>
      </c>
      <c r="V2" s="1459"/>
      <c r="W2" s="1459"/>
      <c r="X2" s="1459">
        <v>156</v>
      </c>
      <c r="Y2" s="1459"/>
      <c r="Z2" s="1459"/>
      <c r="AA2" s="1459">
        <v>157</v>
      </c>
      <c r="AB2" s="1459"/>
      <c r="AC2" s="1459"/>
      <c r="AD2" s="1459">
        <v>158</v>
      </c>
      <c r="AE2" s="1459"/>
      <c r="AF2" s="1459"/>
      <c r="AG2" s="1459">
        <v>159</v>
      </c>
      <c r="AH2" s="1459"/>
      <c r="AI2" s="1459"/>
      <c r="AJ2" s="1459">
        <v>160</v>
      </c>
      <c r="AK2" s="1459"/>
      <c r="AL2" s="1459"/>
      <c r="AM2" s="1459">
        <v>161</v>
      </c>
      <c r="AN2" s="1459"/>
      <c r="AO2" s="1459"/>
      <c r="AP2" s="1459">
        <v>162</v>
      </c>
      <c r="AQ2" s="1459"/>
      <c r="AR2" s="1459"/>
      <c r="AS2" s="1459">
        <v>163</v>
      </c>
      <c r="AT2" s="1459"/>
      <c r="AU2" s="1459"/>
      <c r="AV2" s="1459">
        <v>164</v>
      </c>
      <c r="AW2" s="1459"/>
      <c r="AX2" s="1459"/>
      <c r="AY2" s="1459">
        <v>165</v>
      </c>
      <c r="AZ2" s="1459"/>
      <c r="BA2" s="1459"/>
      <c r="BB2" s="1459">
        <v>166</v>
      </c>
      <c r="BC2" s="1459"/>
      <c r="BD2" s="1459"/>
      <c r="BE2" s="1459">
        <v>167</v>
      </c>
      <c r="BF2" s="1459"/>
      <c r="BG2" s="1459"/>
      <c r="BH2" s="1459">
        <v>168</v>
      </c>
      <c r="BI2" s="1459"/>
      <c r="BJ2" s="1459"/>
      <c r="BK2" s="1459">
        <v>169</v>
      </c>
      <c r="BL2" s="1459"/>
      <c r="BM2" s="1459"/>
      <c r="BN2" s="1459">
        <v>170</v>
      </c>
      <c r="BO2" s="1459"/>
      <c r="BP2" s="1459"/>
      <c r="BQ2" s="1459">
        <v>171</v>
      </c>
      <c r="BR2" s="1459"/>
      <c r="BS2" s="1459"/>
      <c r="BT2" s="1459">
        <v>172</v>
      </c>
      <c r="BU2" s="1459"/>
      <c r="BV2" s="1459"/>
      <c r="BW2" s="1459">
        <v>173</v>
      </c>
      <c r="BX2" s="1459"/>
      <c r="BY2" s="1459"/>
      <c r="BZ2" s="1459">
        <v>174</v>
      </c>
      <c r="CA2" s="1459"/>
      <c r="CB2" s="1459"/>
      <c r="CC2" s="1459">
        <v>175</v>
      </c>
      <c r="CD2" s="1459"/>
      <c r="CE2" s="1459"/>
      <c r="CF2" s="1459">
        <v>176</v>
      </c>
      <c r="CG2" s="1459"/>
      <c r="CH2" s="1459"/>
      <c r="CI2" s="1459">
        <v>177</v>
      </c>
      <c r="CJ2" s="1459"/>
      <c r="CK2" s="1459"/>
      <c r="CL2" s="1459">
        <v>178</v>
      </c>
      <c r="CM2" s="1459"/>
      <c r="CN2" s="1459"/>
      <c r="CO2" s="1459">
        <v>179</v>
      </c>
      <c r="CP2" s="1459"/>
      <c r="CQ2" s="1459"/>
      <c r="CR2" s="1459">
        <v>180</v>
      </c>
      <c r="CS2" s="1459"/>
      <c r="CT2" s="1459"/>
      <c r="CU2" s="1459">
        <v>181</v>
      </c>
      <c r="CV2" s="1459"/>
      <c r="CX2" s="1455"/>
    </row>
    <row r="3" spans="1:104" s="4" customFormat="1" ht="23.25" customHeight="1" thickTop="1">
      <c r="A3" s="396" t="s">
        <v>8</v>
      </c>
      <c r="B3" s="397" t="s">
        <v>17266</v>
      </c>
      <c r="C3" s="398"/>
      <c r="D3" s="399">
        <v>143</v>
      </c>
      <c r="E3" s="397" t="s">
        <v>17291</v>
      </c>
      <c r="F3" s="398"/>
      <c r="G3" s="399">
        <v>279</v>
      </c>
      <c r="H3" s="397" t="s">
        <v>17248</v>
      </c>
      <c r="I3" s="398"/>
      <c r="J3" s="399">
        <v>278</v>
      </c>
      <c r="K3" s="397" t="s">
        <v>17251</v>
      </c>
      <c r="L3" s="398"/>
      <c r="M3" s="399">
        <v>279</v>
      </c>
      <c r="N3" s="397" t="s">
        <v>17289</v>
      </c>
      <c r="O3" s="398"/>
      <c r="P3" s="399">
        <v>280</v>
      </c>
      <c r="Q3" s="397" t="s">
        <v>17296</v>
      </c>
      <c r="R3" s="398"/>
      <c r="S3" s="399">
        <v>279</v>
      </c>
      <c r="T3" s="397" t="s">
        <v>17547</v>
      </c>
      <c r="U3" s="398"/>
      <c r="V3" s="399">
        <v>279</v>
      </c>
      <c r="W3" s="397" t="s">
        <v>17550</v>
      </c>
      <c r="X3" s="398"/>
      <c r="Y3" s="399">
        <v>278</v>
      </c>
      <c r="Z3" s="397"/>
      <c r="AA3" s="398"/>
      <c r="AB3" s="399"/>
      <c r="AC3" s="397" t="s">
        <v>17241</v>
      </c>
      <c r="AD3" s="398"/>
      <c r="AE3" s="399">
        <v>397</v>
      </c>
      <c r="AF3" s="397" t="s">
        <v>17557</v>
      </c>
      <c r="AG3" s="398"/>
      <c r="AH3" s="399">
        <v>397</v>
      </c>
      <c r="AI3" s="397"/>
      <c r="AJ3" s="398"/>
      <c r="AK3" s="399"/>
      <c r="AL3" s="397"/>
      <c r="AM3" s="398"/>
      <c r="AN3" s="399"/>
      <c r="AO3" s="397"/>
      <c r="AP3" s="398"/>
      <c r="AQ3" s="399"/>
      <c r="AR3" s="397"/>
      <c r="AS3" s="398"/>
      <c r="AT3" s="399"/>
      <c r="AU3" s="397"/>
      <c r="AV3" s="398"/>
      <c r="AW3" s="399"/>
      <c r="AX3" s="397"/>
      <c r="AY3" s="398"/>
      <c r="AZ3" s="399"/>
      <c r="BA3" s="397"/>
      <c r="BB3" s="398"/>
      <c r="BC3" s="399"/>
      <c r="BD3" s="397"/>
      <c r="BE3" s="398"/>
      <c r="BF3" s="399"/>
      <c r="BG3" s="397"/>
      <c r="BH3" s="398"/>
      <c r="BI3" s="399"/>
      <c r="BJ3" s="397"/>
      <c r="BK3" s="398"/>
      <c r="BL3" s="399"/>
      <c r="BM3" s="397"/>
      <c r="BN3" s="398"/>
      <c r="BO3" s="399"/>
      <c r="BP3" s="397"/>
      <c r="BQ3" s="398"/>
      <c r="BR3" s="399"/>
      <c r="BS3" s="397"/>
      <c r="BT3" s="398"/>
      <c r="BU3" s="399"/>
      <c r="BV3" s="397"/>
      <c r="BW3" s="398"/>
      <c r="BX3" s="399"/>
      <c r="BY3" s="397"/>
      <c r="BZ3" s="398"/>
      <c r="CA3" s="399"/>
      <c r="CB3" s="397"/>
      <c r="CC3" s="398"/>
      <c r="CD3" s="399"/>
      <c r="CE3" s="397"/>
      <c r="CF3" s="398"/>
      <c r="CG3" s="399"/>
      <c r="CH3" s="397"/>
      <c r="CI3" s="398"/>
      <c r="CJ3" s="399"/>
      <c r="CK3" s="397"/>
      <c r="CL3" s="398"/>
      <c r="CM3" s="399"/>
      <c r="CN3" s="397"/>
      <c r="CO3" s="398"/>
      <c r="CP3" s="399"/>
      <c r="CQ3" s="397"/>
      <c r="CR3" s="398"/>
      <c r="CS3" s="399"/>
      <c r="CT3" s="397"/>
      <c r="CU3" s="398"/>
      <c r="CV3" s="399"/>
      <c r="CW3" s="124"/>
    </row>
    <row r="4" spans="1:104" s="4" customFormat="1" ht="21" customHeight="1" thickBot="1">
      <c r="A4" s="400" t="s">
        <v>9</v>
      </c>
      <c r="B4" s="401" t="s">
        <v>754</v>
      </c>
      <c r="C4" s="402"/>
      <c r="D4" s="403">
        <v>600</v>
      </c>
      <c r="E4" s="401" t="s">
        <v>16719</v>
      </c>
      <c r="F4" s="402"/>
      <c r="G4" s="403">
        <v>700</v>
      </c>
      <c r="H4" s="401" t="s">
        <v>16719</v>
      </c>
      <c r="I4" s="402"/>
      <c r="J4" s="403">
        <v>600</v>
      </c>
      <c r="K4" s="401" t="s">
        <v>16719</v>
      </c>
      <c r="L4" s="402"/>
      <c r="M4" s="403">
        <v>700</v>
      </c>
      <c r="N4" s="401" t="s">
        <v>16719</v>
      </c>
      <c r="O4" s="402"/>
      <c r="P4" s="403">
        <v>700</v>
      </c>
      <c r="Q4" s="401" t="s">
        <v>16719</v>
      </c>
      <c r="R4" s="402"/>
      <c r="S4" s="403">
        <v>700</v>
      </c>
      <c r="T4" s="401" t="s">
        <v>17548</v>
      </c>
      <c r="U4" s="402"/>
      <c r="V4" s="403">
        <v>700</v>
      </c>
      <c r="W4" s="401" t="s">
        <v>16719</v>
      </c>
      <c r="X4" s="402"/>
      <c r="Y4" s="403">
        <v>600</v>
      </c>
      <c r="Z4" s="401"/>
      <c r="AA4" s="402"/>
      <c r="AB4" s="403"/>
      <c r="AC4" s="401" t="s">
        <v>16723</v>
      </c>
      <c r="AD4" s="402"/>
      <c r="AE4" s="403">
        <v>550</v>
      </c>
      <c r="AF4" s="401" t="s">
        <v>8958</v>
      </c>
      <c r="AG4" s="402"/>
      <c r="AH4" s="403">
        <v>550</v>
      </c>
      <c r="AI4" s="401"/>
      <c r="AJ4" s="402"/>
      <c r="AK4" s="403"/>
      <c r="AL4" s="401"/>
      <c r="AM4" s="402"/>
      <c r="AN4" s="403"/>
      <c r="AO4" s="401"/>
      <c r="AP4" s="402"/>
      <c r="AQ4" s="403"/>
      <c r="AR4" s="401"/>
      <c r="AS4" s="402"/>
      <c r="AT4" s="403"/>
      <c r="AU4" s="401"/>
      <c r="AV4" s="402"/>
      <c r="AW4" s="403"/>
      <c r="AX4" s="401"/>
      <c r="AY4" s="402"/>
      <c r="AZ4" s="403"/>
      <c r="BA4" s="401"/>
      <c r="BB4" s="402"/>
      <c r="BC4" s="403"/>
      <c r="BD4" s="401"/>
      <c r="BE4" s="402"/>
      <c r="BF4" s="403"/>
      <c r="BG4" s="401"/>
      <c r="BH4" s="402"/>
      <c r="BI4" s="403"/>
      <c r="BJ4" s="401"/>
      <c r="BK4" s="402"/>
      <c r="BL4" s="403"/>
      <c r="BM4" s="401"/>
      <c r="BN4" s="402"/>
      <c r="BO4" s="403"/>
      <c r="BP4" s="401"/>
      <c r="BQ4" s="402"/>
      <c r="BR4" s="403"/>
      <c r="BS4" s="401"/>
      <c r="BT4" s="402"/>
      <c r="BU4" s="403"/>
      <c r="BV4" s="401"/>
      <c r="BW4" s="402"/>
      <c r="BX4" s="403"/>
      <c r="BY4" s="401"/>
      <c r="BZ4" s="402"/>
      <c r="CA4" s="403"/>
      <c r="CB4" s="401"/>
      <c r="CC4" s="402"/>
      <c r="CD4" s="403"/>
      <c r="CE4" s="401"/>
      <c r="CF4" s="402"/>
      <c r="CG4" s="403"/>
      <c r="CH4" s="401"/>
      <c r="CI4" s="402"/>
      <c r="CJ4" s="403"/>
      <c r="CK4" s="401"/>
      <c r="CL4" s="402"/>
      <c r="CM4" s="403"/>
      <c r="CN4" s="401"/>
      <c r="CO4" s="402"/>
      <c r="CP4" s="403"/>
      <c r="CQ4" s="401"/>
      <c r="CR4" s="402"/>
      <c r="CS4" s="403"/>
      <c r="CT4" s="401"/>
      <c r="CU4" s="402"/>
      <c r="CV4" s="403"/>
      <c r="CW4" s="124"/>
    </row>
    <row r="5" spans="1:104" s="651" customFormat="1" ht="17.25" thickTop="1">
      <c r="A5" s="642" t="s">
        <v>5</v>
      </c>
      <c r="B5" s="643" t="s">
        <v>3</v>
      </c>
      <c r="C5" s="644" t="s">
        <v>6</v>
      </c>
      <c r="D5" s="645" t="s">
        <v>7</v>
      </c>
      <c r="E5" s="643" t="s">
        <v>3</v>
      </c>
      <c r="F5" s="644" t="s">
        <v>6</v>
      </c>
      <c r="G5" s="645" t="s">
        <v>7</v>
      </c>
      <c r="H5" s="643" t="s">
        <v>3</v>
      </c>
      <c r="I5" s="644" t="s">
        <v>6</v>
      </c>
      <c r="J5" s="645" t="s">
        <v>7</v>
      </c>
      <c r="K5" s="643" t="s">
        <v>3</v>
      </c>
      <c r="L5" s="644" t="s">
        <v>6</v>
      </c>
      <c r="M5" s="645" t="s">
        <v>7</v>
      </c>
      <c r="N5" s="643" t="s">
        <v>3</v>
      </c>
      <c r="O5" s="644" t="s">
        <v>6</v>
      </c>
      <c r="P5" s="645" t="s">
        <v>7</v>
      </c>
      <c r="Q5" s="643" t="s">
        <v>3</v>
      </c>
      <c r="R5" s="644" t="s">
        <v>6</v>
      </c>
      <c r="S5" s="645" t="s">
        <v>7</v>
      </c>
      <c r="T5" s="643" t="s">
        <v>3</v>
      </c>
      <c r="U5" s="644" t="s">
        <v>6</v>
      </c>
      <c r="V5" s="645" t="s">
        <v>7</v>
      </c>
      <c r="W5" s="643" t="s">
        <v>3</v>
      </c>
      <c r="X5" s="644" t="s">
        <v>6</v>
      </c>
      <c r="Y5" s="645" t="s">
        <v>7</v>
      </c>
      <c r="Z5" s="643" t="s">
        <v>3</v>
      </c>
      <c r="AA5" s="644" t="s">
        <v>6</v>
      </c>
      <c r="AB5" s="645" t="s">
        <v>7</v>
      </c>
      <c r="AC5" s="643" t="s">
        <v>3</v>
      </c>
      <c r="AD5" s="644" t="s">
        <v>6</v>
      </c>
      <c r="AE5" s="645" t="s">
        <v>7</v>
      </c>
      <c r="AF5" s="643" t="s">
        <v>3</v>
      </c>
      <c r="AG5" s="644" t="s">
        <v>6</v>
      </c>
      <c r="AH5" s="645" t="s">
        <v>7</v>
      </c>
      <c r="AI5" s="643" t="s">
        <v>3</v>
      </c>
      <c r="AJ5" s="644" t="s">
        <v>6</v>
      </c>
      <c r="AK5" s="645" t="s">
        <v>7</v>
      </c>
      <c r="AL5" s="643" t="s">
        <v>3</v>
      </c>
      <c r="AM5" s="644" t="s">
        <v>6</v>
      </c>
      <c r="AN5" s="645" t="s">
        <v>7</v>
      </c>
      <c r="AO5" s="643" t="s">
        <v>3</v>
      </c>
      <c r="AP5" s="644" t="s">
        <v>6</v>
      </c>
      <c r="AQ5" s="645" t="s">
        <v>7</v>
      </c>
      <c r="AR5" s="643" t="s">
        <v>3</v>
      </c>
      <c r="AS5" s="644" t="s">
        <v>6</v>
      </c>
      <c r="AT5" s="645" t="s">
        <v>7</v>
      </c>
      <c r="AU5" s="643" t="s">
        <v>3</v>
      </c>
      <c r="AV5" s="644" t="s">
        <v>6</v>
      </c>
      <c r="AW5" s="645" t="s">
        <v>7</v>
      </c>
      <c r="AX5" s="643" t="s">
        <v>3</v>
      </c>
      <c r="AY5" s="644" t="s">
        <v>6</v>
      </c>
      <c r="AZ5" s="645" t="s">
        <v>7</v>
      </c>
      <c r="BA5" s="643" t="s">
        <v>3</v>
      </c>
      <c r="BB5" s="644" t="s">
        <v>6</v>
      </c>
      <c r="BC5" s="645" t="s">
        <v>7</v>
      </c>
      <c r="BD5" s="643" t="s">
        <v>3</v>
      </c>
      <c r="BE5" s="644" t="s">
        <v>6</v>
      </c>
      <c r="BF5" s="645" t="s">
        <v>7</v>
      </c>
      <c r="BG5" s="643" t="s">
        <v>3</v>
      </c>
      <c r="BH5" s="644" t="s">
        <v>6</v>
      </c>
      <c r="BI5" s="645" t="s">
        <v>7</v>
      </c>
      <c r="BJ5" s="643" t="s">
        <v>3</v>
      </c>
      <c r="BK5" s="644" t="s">
        <v>6</v>
      </c>
      <c r="BL5" s="645" t="s">
        <v>7</v>
      </c>
      <c r="BM5" s="643" t="s">
        <v>3</v>
      </c>
      <c r="BN5" s="644" t="s">
        <v>6</v>
      </c>
      <c r="BO5" s="645" t="s">
        <v>7</v>
      </c>
      <c r="BP5" s="643" t="s">
        <v>3</v>
      </c>
      <c r="BQ5" s="644" t="s">
        <v>6</v>
      </c>
      <c r="BR5" s="645" t="s">
        <v>7</v>
      </c>
      <c r="BS5" s="648" t="s">
        <v>3</v>
      </c>
      <c r="BT5" s="644" t="s">
        <v>6</v>
      </c>
      <c r="BU5" s="645" t="s">
        <v>7</v>
      </c>
      <c r="BV5" s="648" t="s">
        <v>3</v>
      </c>
      <c r="BW5" s="644" t="s">
        <v>6</v>
      </c>
      <c r="BX5" s="645" t="s">
        <v>7</v>
      </c>
      <c r="BY5" s="648" t="s">
        <v>3</v>
      </c>
      <c r="BZ5" s="644" t="s">
        <v>6</v>
      </c>
      <c r="CA5" s="645" t="s">
        <v>7</v>
      </c>
      <c r="CB5" s="648" t="s">
        <v>3</v>
      </c>
      <c r="CC5" s="644" t="s">
        <v>6</v>
      </c>
      <c r="CD5" s="645" t="s">
        <v>7</v>
      </c>
      <c r="CE5" s="648" t="s">
        <v>3</v>
      </c>
      <c r="CF5" s="644" t="s">
        <v>6</v>
      </c>
      <c r="CG5" s="645" t="s">
        <v>7</v>
      </c>
      <c r="CH5" s="648" t="s">
        <v>3</v>
      </c>
      <c r="CI5" s="644" t="s">
        <v>6</v>
      </c>
      <c r="CJ5" s="645" t="s">
        <v>7</v>
      </c>
      <c r="CK5" s="648" t="s">
        <v>3</v>
      </c>
      <c r="CL5" s="644" t="s">
        <v>6</v>
      </c>
      <c r="CM5" s="645" t="s">
        <v>7</v>
      </c>
      <c r="CN5" s="648" t="s">
        <v>3</v>
      </c>
      <c r="CO5" s="644" t="s">
        <v>6</v>
      </c>
      <c r="CP5" s="645" t="s">
        <v>7</v>
      </c>
      <c r="CQ5" s="648" t="s">
        <v>3</v>
      </c>
      <c r="CR5" s="644" t="s">
        <v>6</v>
      </c>
      <c r="CS5" s="645" t="s">
        <v>7</v>
      </c>
      <c r="CT5" s="648" t="s">
        <v>3</v>
      </c>
      <c r="CU5" s="644" t="s">
        <v>6</v>
      </c>
      <c r="CV5" s="645" t="s">
        <v>7</v>
      </c>
      <c r="CW5" s="6"/>
      <c r="CX5" s="649"/>
      <c r="CY5" s="650"/>
      <c r="CZ5" s="650"/>
    </row>
    <row r="6" spans="1:104" ht="14.25" customHeight="1">
      <c r="A6" s="10">
        <v>1</v>
      </c>
      <c r="B6" s="36">
        <v>0.5</v>
      </c>
      <c r="C6" s="11">
        <f>D$3*D$4*216*24*60*B6/9000000</f>
        <v>1482.624</v>
      </c>
      <c r="D6" s="64"/>
      <c r="E6" s="36">
        <v>1</v>
      </c>
      <c r="F6" s="11">
        <f>G$3*G$4*216*24*60*E6/9000000</f>
        <v>6749.5680000000002</v>
      </c>
      <c r="G6" s="64"/>
      <c r="H6" s="36">
        <v>1</v>
      </c>
      <c r="I6" s="11">
        <f>J$3*J$4*216*24*60*H6/9000000</f>
        <v>5764.6080000000002</v>
      </c>
      <c r="J6" s="64"/>
      <c r="K6" s="36">
        <v>1</v>
      </c>
      <c r="L6" s="11">
        <f>M$3*M$4*216*24*60*K6/9000000</f>
        <v>6749.5680000000002</v>
      </c>
      <c r="M6" s="64"/>
      <c r="N6" s="36">
        <v>1</v>
      </c>
      <c r="O6" s="11">
        <f>P$3*P$4*216*24*60*N6/9000000</f>
        <v>6773.76</v>
      </c>
      <c r="P6" s="64"/>
      <c r="Q6" s="36">
        <v>0.5</v>
      </c>
      <c r="R6" s="11">
        <f>S$3*S$4*216*24*60*Q6/9000000</f>
        <v>3374.7840000000001</v>
      </c>
      <c r="S6" s="64"/>
      <c r="T6" s="36">
        <v>0</v>
      </c>
      <c r="U6" s="11">
        <f>V$3*V$4*216*24*60*T6/9000000</f>
        <v>0</v>
      </c>
      <c r="V6" s="64"/>
      <c r="W6" s="36">
        <v>0</v>
      </c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>
        <v>0.5</v>
      </c>
      <c r="AD6" s="11">
        <f>AE$3*AE$4*216*24*60*AC6/9000000</f>
        <v>3773.0880000000002</v>
      </c>
      <c r="AE6" s="64"/>
      <c r="AF6" s="36">
        <v>0</v>
      </c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4" si="0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34" si="1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0">
        <f>B6+E6+H6+K6+N6+Q6+T6+W6+Z6+AC6+AF6+AI6+AL6+AO6+AR6+AU6+AX6+BA6+BD6+BG6+BJ6+BM6+BP6+BS6+BV6+BY6+CB6+CE6+CH6+CK6+CN6+CQ6+CT6</f>
        <v>5.5</v>
      </c>
      <c r="CY6" s="157"/>
      <c r="CZ6" s="157"/>
    </row>
    <row r="7" spans="1:104" ht="14.25" customHeight="1">
      <c r="A7" s="10">
        <v>2</v>
      </c>
      <c r="B7" s="36">
        <v>0.5</v>
      </c>
      <c r="C7" s="11">
        <f>D$3*D$4*216*24*60*B7/9000000</f>
        <v>1482.624</v>
      </c>
      <c r="D7" s="64"/>
      <c r="E7" s="36">
        <v>1</v>
      </c>
      <c r="F7" s="11">
        <f>G$3*G$4*216*24*60*E7/9000000</f>
        <v>6749.5680000000002</v>
      </c>
      <c r="G7" s="64"/>
      <c r="H7" s="36">
        <v>1</v>
      </c>
      <c r="I7" s="11">
        <f>J$3*J$4*216*24*60*H7/9000000</f>
        <v>5764.6080000000002</v>
      </c>
      <c r="J7" s="64"/>
      <c r="K7" s="36">
        <v>1</v>
      </c>
      <c r="L7" s="11">
        <f>M$3*M$4*216*24*60*K7/9000000</f>
        <v>6749.5680000000002</v>
      </c>
      <c r="M7" s="64"/>
      <c r="N7" s="36">
        <v>1</v>
      </c>
      <c r="O7" s="11">
        <f>P$3*P$4*216*24*60*N7/9000000</f>
        <v>6773.76</v>
      </c>
      <c r="P7" s="64"/>
      <c r="Q7" s="36">
        <v>0.5</v>
      </c>
      <c r="R7" s="11">
        <f>S$3*S$4*216*24*60*Q7/9000000</f>
        <v>3374.7840000000001</v>
      </c>
      <c r="S7" s="64"/>
      <c r="T7" s="36">
        <v>0</v>
      </c>
      <c r="U7" s="11">
        <f>V$3*V$4*216*24*60*T7/9000000</f>
        <v>0</v>
      </c>
      <c r="V7" s="64"/>
      <c r="W7" s="36">
        <v>0</v>
      </c>
      <c r="X7" s="11">
        <f>Y$3*Y$4*216*24*60*W7/9000000</f>
        <v>0</v>
      </c>
      <c r="Y7" s="64"/>
      <c r="Z7" s="36"/>
      <c r="AA7" s="11">
        <f>AB$3*AB$4*216*24*60*Z7/9000000</f>
        <v>0</v>
      </c>
      <c r="AB7" s="64"/>
      <c r="AC7" s="36">
        <v>0.5</v>
      </c>
      <c r="AD7" s="11">
        <f>AE$3*AE$4*216*24*60*AC7/9000000</f>
        <v>3773.0880000000002</v>
      </c>
      <c r="AE7" s="64"/>
      <c r="AF7" s="36">
        <v>0</v>
      </c>
      <c r="AG7" s="11">
        <f>AH$3*AH$4*216*24*60*AF7/9000000</f>
        <v>0</v>
      </c>
      <c r="AH7" s="64"/>
      <c r="AI7" s="36"/>
      <c r="AJ7" s="11">
        <f>AK$3*AK$4*216*24*60*AI7/9000000</f>
        <v>0</v>
      </c>
      <c r="AK7" s="64"/>
      <c r="AL7" s="36"/>
      <c r="AM7" s="11">
        <f>AN$3*AN$4*216*24*60*AL7/9000000</f>
        <v>0</v>
      </c>
      <c r="AN7" s="64"/>
      <c r="AO7" s="36"/>
      <c r="AP7" s="11">
        <f>AQ$3*AQ$4*216*24*60*AO7/9000000</f>
        <v>0</v>
      </c>
      <c r="AQ7" s="64"/>
      <c r="AR7" s="36"/>
      <c r="AS7" s="11">
        <f>AT$3*AT$4*216*24*60*AR7/9000000</f>
        <v>0</v>
      </c>
      <c r="AT7" s="64"/>
      <c r="AU7" s="36"/>
      <c r="AV7" s="11">
        <f>AW$3*AW$4*216*24*60*AU7/9000000</f>
        <v>0</v>
      </c>
      <c r="AW7" s="64"/>
      <c r="AX7" s="36"/>
      <c r="AY7" s="11">
        <f>AZ$3*AZ$4*216*24*60*AX7/9000000</f>
        <v>0</v>
      </c>
      <c r="AZ7" s="64"/>
      <c r="BA7" s="36"/>
      <c r="BB7" s="11">
        <f>BC$3*BC$4*216*24*60*BA7/9000000</f>
        <v>0</v>
      </c>
      <c r="BC7" s="64"/>
      <c r="BD7" s="36"/>
      <c r="BE7" s="11">
        <f>BF$3*BF$4*216*24*60*BD7/9000000</f>
        <v>0</v>
      </c>
      <c r="BF7" s="64"/>
      <c r="BG7" s="36"/>
      <c r="BH7" s="11">
        <f>BI$3*BI$4*216*24*60*BG7/9000000</f>
        <v>0</v>
      </c>
      <c r="BI7" s="64"/>
      <c r="BJ7" s="36"/>
      <c r="BK7" s="11">
        <f>BL$3*BL$4*216*24*60*BJ7/9000000</f>
        <v>0</v>
      </c>
      <c r="BL7" s="64"/>
      <c r="BM7" s="36"/>
      <c r="BN7" s="11">
        <f>BO$3*BO$4*216*24*60*BM7/9000000</f>
        <v>0</v>
      </c>
      <c r="BO7" s="64"/>
      <c r="BP7" s="36"/>
      <c r="BQ7" s="11">
        <f>BR$3*BR$4*216*24*60*BP7/9000000</f>
        <v>0</v>
      </c>
      <c r="BR7" s="64"/>
      <c r="BS7" s="36"/>
      <c r="BT7" s="11">
        <f t="shared" ref="BT7:BT36" si="2">BU$3*BU$4*216*24*60*BS7/9000000</f>
        <v>0</v>
      </c>
      <c r="BU7" s="64"/>
      <c r="BV7" s="36"/>
      <c r="BW7" s="11">
        <f t="shared" ref="BW7:BW36" si="3">BX$3*BX$4*216*24*60*BV7/9000000</f>
        <v>0</v>
      </c>
      <c r="BX7" s="64"/>
      <c r="BY7" s="36"/>
      <c r="BZ7" s="11">
        <f t="shared" si="0"/>
        <v>0</v>
      </c>
      <c r="CA7" s="64"/>
      <c r="CB7" s="36"/>
      <c r="CC7" s="11">
        <f t="shared" ref="CC7:CC36" si="4">CD$3*CD$4*216*24*60*CB7/9000000</f>
        <v>0</v>
      </c>
      <c r="CD7" s="64"/>
      <c r="CE7" s="36"/>
      <c r="CF7" s="11">
        <f t="shared" ref="CF7:CF36" si="5">CG$3*CG$4*216*24*60*CE7/9000000</f>
        <v>0</v>
      </c>
      <c r="CG7" s="64"/>
      <c r="CH7" s="36"/>
      <c r="CI7" s="11">
        <f t="shared" si="1"/>
        <v>0</v>
      </c>
      <c r="CJ7" s="64"/>
      <c r="CK7" s="36"/>
      <c r="CL7" s="11">
        <f t="shared" ref="CL7:CL36" si="6">CM$3*CM$4*216*24*60*CK7/9000000</f>
        <v>0</v>
      </c>
      <c r="CM7" s="64"/>
      <c r="CN7" s="36"/>
      <c r="CO7" s="11">
        <f t="shared" ref="CO7:CO36" si="7">CP$3*CP$4*216*24*60*CN7/9000000</f>
        <v>0</v>
      </c>
      <c r="CP7" s="64"/>
      <c r="CQ7" s="36"/>
      <c r="CR7" s="11">
        <f t="shared" ref="CR7:CR36" si="8">CS$3*CS$4*216*24*60*CQ7/9000000</f>
        <v>0</v>
      </c>
      <c r="CS7" s="64"/>
      <c r="CT7" s="36"/>
      <c r="CU7" s="11">
        <f t="shared" ref="CU7:CU36" si="9">CV$3*CV$4*216*24*60*CT7/9000000</f>
        <v>0</v>
      </c>
      <c r="CV7" s="64"/>
      <c r="CW7" s="13"/>
      <c r="CX7" s="260">
        <f t="shared" ref="CX7:CX37" si="10">B7+E7+H7+K7+N7+Q7+T7+W7+Z7+AC7+AF7+AI7+AL7+AO7+AR7+AU7+AX7+BA7+BD7+BG7+BJ7+BM7+BP7+BS7+BV7+BY7+CB7+CE7+CH7+CK7+CN7+CQ7+CT7</f>
        <v>5.5</v>
      </c>
      <c r="CY7" s="157"/>
      <c r="CZ7" s="157"/>
    </row>
    <row r="8" spans="1:104" ht="14.25" customHeight="1">
      <c r="A8" s="10">
        <v>3</v>
      </c>
      <c r="B8" s="36">
        <v>0.5</v>
      </c>
      <c r="C8" s="11">
        <f>D$3*D$4*216*24*60*B8/9000000</f>
        <v>1482.624</v>
      </c>
      <c r="D8" s="64"/>
      <c r="E8" s="36">
        <v>1</v>
      </c>
      <c r="F8" s="11">
        <f>G$3*G$4*216*24*60*E8/9000000</f>
        <v>6749.5680000000002</v>
      </c>
      <c r="G8" s="64"/>
      <c r="H8" s="36">
        <v>1</v>
      </c>
      <c r="I8" s="11">
        <f>J$3*J$4*216*24*60*H8/9000000</f>
        <v>5764.6080000000002</v>
      </c>
      <c r="J8" s="64"/>
      <c r="K8" s="36">
        <v>1</v>
      </c>
      <c r="L8" s="11">
        <f>M$3*M$4*216*24*60*K8/9000000</f>
        <v>6749.5680000000002</v>
      </c>
      <c r="M8" s="64"/>
      <c r="N8" s="36">
        <v>1</v>
      </c>
      <c r="O8" s="11">
        <f>P$3*P$4*216*24*60*N8/9000000</f>
        <v>6773.76</v>
      </c>
      <c r="P8" s="64"/>
      <c r="Q8" s="36">
        <v>0.5</v>
      </c>
      <c r="R8" s="11">
        <f>S$3*S$4*216*24*60*Q8/9000000</f>
        <v>3374.7840000000001</v>
      </c>
      <c r="S8" s="64"/>
      <c r="T8" s="36">
        <v>0</v>
      </c>
      <c r="U8" s="11">
        <f>V$3*V$4*216*24*60*T8/9000000</f>
        <v>0</v>
      </c>
      <c r="V8" s="64"/>
      <c r="W8" s="36">
        <v>0</v>
      </c>
      <c r="X8" s="11">
        <f>Y$3*Y$4*216*24*60*W8/9000000</f>
        <v>0</v>
      </c>
      <c r="Y8" s="64"/>
      <c r="Z8" s="36"/>
      <c r="AA8" s="11">
        <f>AB$3*AB$4*216*24*60*Z8/9000000</f>
        <v>0</v>
      </c>
      <c r="AB8" s="64"/>
      <c r="AC8" s="36">
        <v>0.5</v>
      </c>
      <c r="AD8" s="11">
        <f>AE$3*AE$4*216*24*60*AC8/9000000</f>
        <v>3773.0880000000002</v>
      </c>
      <c r="AE8" s="64"/>
      <c r="AF8" s="36">
        <v>0</v>
      </c>
      <c r="AG8" s="11">
        <f>AH$3*AH$4*216*24*60*AF8/9000000</f>
        <v>0</v>
      </c>
      <c r="AH8" s="64"/>
      <c r="AI8" s="36"/>
      <c r="AJ8" s="11">
        <f>AK$3*AK$4*216*24*60*AI8/9000000</f>
        <v>0</v>
      </c>
      <c r="AK8" s="64"/>
      <c r="AL8" s="36"/>
      <c r="AM8" s="11">
        <f>AN$3*AN$4*216*24*60*AL8/9000000</f>
        <v>0</v>
      </c>
      <c r="AN8" s="64"/>
      <c r="AO8" s="36"/>
      <c r="AP8" s="11">
        <f>AQ$3*AQ$4*216*24*60*AO8/9000000</f>
        <v>0</v>
      </c>
      <c r="AQ8" s="64"/>
      <c r="AR8" s="36"/>
      <c r="AS8" s="11">
        <f>AT$3*AT$4*216*24*60*AR8/9000000</f>
        <v>0</v>
      </c>
      <c r="AT8" s="64"/>
      <c r="AU8" s="36"/>
      <c r="AV8" s="11">
        <f>AW$3*AW$4*216*24*60*AU8/9000000</f>
        <v>0</v>
      </c>
      <c r="AW8" s="64"/>
      <c r="AX8" s="36"/>
      <c r="AY8" s="11">
        <f>AZ$3*AZ$4*216*24*60*AX8/9000000</f>
        <v>0</v>
      </c>
      <c r="AZ8" s="64"/>
      <c r="BA8" s="36"/>
      <c r="BB8" s="11">
        <f>BC$3*BC$4*216*24*60*BA8/9000000</f>
        <v>0</v>
      </c>
      <c r="BC8" s="64"/>
      <c r="BD8" s="36"/>
      <c r="BE8" s="11">
        <f>BF$3*BF$4*216*24*60*BD8/9000000</f>
        <v>0</v>
      </c>
      <c r="BF8" s="64"/>
      <c r="BG8" s="36"/>
      <c r="BH8" s="11">
        <f>BI$3*BI$4*216*24*60*BG8/9000000</f>
        <v>0</v>
      </c>
      <c r="BI8" s="64"/>
      <c r="BJ8" s="36"/>
      <c r="BK8" s="11">
        <f>BL$3*BL$4*216*24*60*BJ8/9000000</f>
        <v>0</v>
      </c>
      <c r="BL8" s="64"/>
      <c r="BM8" s="36"/>
      <c r="BN8" s="11">
        <f>BO$3*BO$4*216*24*60*BM8/9000000</f>
        <v>0</v>
      </c>
      <c r="BO8" s="64"/>
      <c r="BP8" s="36"/>
      <c r="BQ8" s="11">
        <f>BR$3*BR$4*216*24*60*BP8/9000000</f>
        <v>0</v>
      </c>
      <c r="BR8" s="64"/>
      <c r="BS8" s="36"/>
      <c r="BT8" s="11">
        <f t="shared" si="2"/>
        <v>0</v>
      </c>
      <c r="BU8" s="64"/>
      <c r="BV8" s="36"/>
      <c r="BW8" s="11">
        <f t="shared" si="3"/>
        <v>0</v>
      </c>
      <c r="BX8" s="64"/>
      <c r="BY8" s="36"/>
      <c r="BZ8" s="11">
        <f t="shared" si="0"/>
        <v>0</v>
      </c>
      <c r="CA8" s="64"/>
      <c r="CB8" s="36"/>
      <c r="CC8" s="11">
        <f t="shared" si="4"/>
        <v>0</v>
      </c>
      <c r="CD8" s="64"/>
      <c r="CE8" s="36"/>
      <c r="CF8" s="11">
        <f t="shared" si="5"/>
        <v>0</v>
      </c>
      <c r="CG8" s="64"/>
      <c r="CH8" s="36"/>
      <c r="CI8" s="11">
        <f t="shared" si="1"/>
        <v>0</v>
      </c>
      <c r="CJ8" s="64"/>
      <c r="CK8" s="36"/>
      <c r="CL8" s="11">
        <f t="shared" si="6"/>
        <v>0</v>
      </c>
      <c r="CM8" s="64"/>
      <c r="CN8" s="36"/>
      <c r="CO8" s="11">
        <f t="shared" si="7"/>
        <v>0</v>
      </c>
      <c r="CP8" s="64"/>
      <c r="CQ8" s="36"/>
      <c r="CR8" s="11">
        <f t="shared" si="8"/>
        <v>0</v>
      </c>
      <c r="CS8" s="64"/>
      <c r="CT8" s="36"/>
      <c r="CU8" s="11">
        <f t="shared" si="9"/>
        <v>0</v>
      </c>
      <c r="CV8" s="64"/>
      <c r="CW8" s="13"/>
      <c r="CX8" s="260">
        <f t="shared" si="10"/>
        <v>5.5</v>
      </c>
      <c r="CY8" s="157"/>
      <c r="CZ8" s="157"/>
    </row>
    <row r="9" spans="1:104" ht="14.25" customHeight="1">
      <c r="A9" s="10">
        <v>4</v>
      </c>
      <c r="B9" s="36">
        <v>0.5</v>
      </c>
      <c r="C9" s="11">
        <f t="shared" ref="C9:C36" si="11">D$3*D$4*216*24*60*B9/9000000</f>
        <v>1482.624</v>
      </c>
      <c r="D9" s="64"/>
      <c r="E9" s="36">
        <v>1</v>
      </c>
      <c r="F9" s="11">
        <f t="shared" ref="F9:F36" si="12">G$3*G$4*216*24*60*E9/9000000</f>
        <v>6749.5680000000002</v>
      </c>
      <c r="G9" s="64"/>
      <c r="H9" s="36">
        <v>1</v>
      </c>
      <c r="I9" s="11">
        <f t="shared" ref="I9:I36" si="13">J$3*J$4*216*24*60*H9/9000000</f>
        <v>5764.6080000000002</v>
      </c>
      <c r="J9" s="64"/>
      <c r="K9" s="36">
        <v>1</v>
      </c>
      <c r="L9" s="11">
        <f t="shared" ref="L9:L36" si="14">M$3*M$4*216*24*60*K9/9000000</f>
        <v>6749.5680000000002</v>
      </c>
      <c r="M9" s="64"/>
      <c r="N9" s="36">
        <v>1</v>
      </c>
      <c r="O9" s="11">
        <f t="shared" ref="O9:O36" si="15">P$3*P$4*216*24*60*N9/9000000</f>
        <v>6773.76</v>
      </c>
      <c r="P9" s="64"/>
      <c r="Q9" s="36">
        <v>0.5</v>
      </c>
      <c r="R9" s="11">
        <f t="shared" ref="R9:R36" si="16">S$3*S$4*216*24*60*Q9/9000000</f>
        <v>3374.7840000000001</v>
      </c>
      <c r="S9" s="64"/>
      <c r="T9" s="36">
        <v>0</v>
      </c>
      <c r="U9" s="11">
        <f t="shared" ref="U9:U36" si="17">V$3*V$4*216*24*60*T9/9000000</f>
        <v>0</v>
      </c>
      <c r="V9" s="64"/>
      <c r="W9" s="36">
        <v>0</v>
      </c>
      <c r="X9" s="11">
        <f t="shared" ref="X9:X36" si="18">Y$3*Y$4*216*24*60*W9/9000000</f>
        <v>0</v>
      </c>
      <c r="Y9" s="64"/>
      <c r="Z9" s="36"/>
      <c r="AA9" s="11">
        <f t="shared" ref="AA9:AA36" si="19">AB$3*AB$4*216*24*60*Z9/9000000</f>
        <v>0</v>
      </c>
      <c r="AB9" s="64"/>
      <c r="AC9" s="36">
        <v>0.5</v>
      </c>
      <c r="AD9" s="11">
        <f t="shared" ref="AD9:AD36" si="20">AE$3*AE$4*216*24*60*AC9/9000000</f>
        <v>3773.0880000000002</v>
      </c>
      <c r="AE9" s="64"/>
      <c r="AF9" s="36">
        <v>0</v>
      </c>
      <c r="AG9" s="11">
        <f t="shared" ref="AG9:AG35" si="21">AH$3*AH$4*216*24*60*AF9/9000000</f>
        <v>0</v>
      </c>
      <c r="AH9" s="64"/>
      <c r="AI9" s="36"/>
      <c r="AJ9" s="11">
        <f t="shared" ref="AJ9:AJ36" si="22">AK$3*AK$4*216*24*60*AI9/9000000</f>
        <v>0</v>
      </c>
      <c r="AK9" s="64"/>
      <c r="AL9" s="36"/>
      <c r="AM9" s="11">
        <f t="shared" ref="AM9:AM36" si="23">AN$3*AN$4*216*24*60*AL9/9000000</f>
        <v>0</v>
      </c>
      <c r="AN9" s="64"/>
      <c r="AO9" s="36"/>
      <c r="AP9" s="11">
        <f t="shared" ref="AP9:AP36" si="24">AQ$3*AQ$4*216*24*60*AO9/9000000</f>
        <v>0</v>
      </c>
      <c r="AQ9" s="64"/>
      <c r="AR9" s="36"/>
      <c r="AS9" s="11">
        <f t="shared" ref="AS9:AS35" si="25">AT$3*AT$4*216*24*60*AR9/9000000</f>
        <v>0</v>
      </c>
      <c r="AT9" s="64"/>
      <c r="AU9" s="36"/>
      <c r="AV9" s="11">
        <f t="shared" ref="AV9:AV36" si="26">AW$3*AW$4*216*24*60*AU9/9000000</f>
        <v>0</v>
      </c>
      <c r="AW9" s="64"/>
      <c r="AX9" s="36"/>
      <c r="AY9" s="11">
        <f t="shared" ref="AY9:AY36" si="27">AZ$3*AZ$4*216*24*60*AX9/9000000</f>
        <v>0</v>
      </c>
      <c r="AZ9" s="64"/>
      <c r="BA9" s="36"/>
      <c r="BB9" s="11">
        <f t="shared" ref="BB9:BB36" si="28">BC$3*BC$4*216*24*60*BA9/9000000</f>
        <v>0</v>
      </c>
      <c r="BC9" s="64"/>
      <c r="BD9" s="36"/>
      <c r="BE9" s="11">
        <f t="shared" ref="BE9:BE36" si="29">BF$3*BF$4*216*24*60*BD9/9000000</f>
        <v>0</v>
      </c>
      <c r="BF9" s="64"/>
      <c r="BG9" s="36"/>
      <c r="BH9" s="11">
        <f t="shared" ref="BH9:BH36" si="30">BI$3*BI$4*216*24*60*BG9/9000000</f>
        <v>0</v>
      </c>
      <c r="BI9" s="64"/>
      <c r="BJ9" s="36"/>
      <c r="BK9" s="11">
        <f t="shared" ref="BK9:BK36" si="31">BL$3*BL$4*216*24*60*BJ9/9000000</f>
        <v>0</v>
      </c>
      <c r="BL9" s="64"/>
      <c r="BM9" s="36"/>
      <c r="BN9" s="11">
        <f t="shared" ref="BN9:BN36" si="32">BO$3*BO$4*216*24*60*BM9/9000000</f>
        <v>0</v>
      </c>
      <c r="BO9" s="64"/>
      <c r="BP9" s="36"/>
      <c r="BQ9" s="11">
        <f t="shared" ref="BQ9:BQ36" si="33">BR$3*BR$4*216*24*60*BP9/9000000</f>
        <v>0</v>
      </c>
      <c r="BR9" s="64"/>
      <c r="BS9" s="36"/>
      <c r="BT9" s="11">
        <f t="shared" si="2"/>
        <v>0</v>
      </c>
      <c r="BU9" s="64"/>
      <c r="BV9" s="36"/>
      <c r="BW9" s="11">
        <f t="shared" si="3"/>
        <v>0</v>
      </c>
      <c r="BX9" s="64"/>
      <c r="BY9" s="36"/>
      <c r="BZ9" s="11">
        <f t="shared" si="0"/>
        <v>0</v>
      </c>
      <c r="CA9" s="64"/>
      <c r="CB9" s="36"/>
      <c r="CC9" s="11">
        <f t="shared" si="4"/>
        <v>0</v>
      </c>
      <c r="CD9" s="64"/>
      <c r="CE9" s="36"/>
      <c r="CF9" s="11">
        <f t="shared" si="5"/>
        <v>0</v>
      </c>
      <c r="CG9" s="64"/>
      <c r="CH9" s="36"/>
      <c r="CI9" s="11">
        <f t="shared" si="1"/>
        <v>0</v>
      </c>
      <c r="CJ9" s="64"/>
      <c r="CK9" s="36"/>
      <c r="CL9" s="11">
        <f t="shared" si="6"/>
        <v>0</v>
      </c>
      <c r="CM9" s="64"/>
      <c r="CN9" s="36"/>
      <c r="CO9" s="11">
        <f t="shared" si="7"/>
        <v>0</v>
      </c>
      <c r="CP9" s="64"/>
      <c r="CQ9" s="36"/>
      <c r="CR9" s="11">
        <f t="shared" si="8"/>
        <v>0</v>
      </c>
      <c r="CS9" s="64"/>
      <c r="CT9" s="36"/>
      <c r="CU9" s="11">
        <f t="shared" si="9"/>
        <v>0</v>
      </c>
      <c r="CV9" s="64"/>
      <c r="CW9" s="13"/>
      <c r="CX9" s="260">
        <f t="shared" si="10"/>
        <v>5.5</v>
      </c>
      <c r="CY9" s="157"/>
      <c r="CZ9" s="157"/>
    </row>
    <row r="10" spans="1:104" ht="14.25" customHeight="1">
      <c r="A10" s="10">
        <v>5</v>
      </c>
      <c r="B10" s="36">
        <v>0.5</v>
      </c>
      <c r="C10" s="11">
        <f t="shared" si="11"/>
        <v>1482.624</v>
      </c>
      <c r="D10" s="64"/>
      <c r="E10" s="36">
        <v>1</v>
      </c>
      <c r="F10" s="11">
        <f t="shared" si="12"/>
        <v>6749.5680000000002</v>
      </c>
      <c r="G10" s="64"/>
      <c r="H10" s="36">
        <v>1</v>
      </c>
      <c r="I10" s="11">
        <f t="shared" si="13"/>
        <v>5764.6080000000002</v>
      </c>
      <c r="J10" s="64"/>
      <c r="K10" s="36">
        <v>1</v>
      </c>
      <c r="L10" s="11">
        <f t="shared" si="14"/>
        <v>6749.5680000000002</v>
      </c>
      <c r="M10" s="64"/>
      <c r="N10" s="36">
        <v>1</v>
      </c>
      <c r="O10" s="11">
        <f t="shared" si="15"/>
        <v>6773.76</v>
      </c>
      <c r="P10" s="64"/>
      <c r="Q10" s="36">
        <v>0.5</v>
      </c>
      <c r="R10" s="11">
        <f t="shared" si="16"/>
        <v>3374.7840000000001</v>
      </c>
      <c r="S10" s="64"/>
      <c r="T10" s="36">
        <v>0</v>
      </c>
      <c r="U10" s="11">
        <f t="shared" si="17"/>
        <v>0</v>
      </c>
      <c r="V10" s="64"/>
      <c r="W10" s="36">
        <v>0</v>
      </c>
      <c r="X10" s="11">
        <f t="shared" si="18"/>
        <v>0</v>
      </c>
      <c r="Y10" s="64"/>
      <c r="Z10" s="36"/>
      <c r="AA10" s="11">
        <f t="shared" si="19"/>
        <v>0</v>
      </c>
      <c r="AB10" s="64"/>
      <c r="AC10" s="36">
        <v>0.5</v>
      </c>
      <c r="AD10" s="11">
        <f t="shared" si="20"/>
        <v>3773.0880000000002</v>
      </c>
      <c r="AE10" s="64"/>
      <c r="AF10" s="36">
        <v>0</v>
      </c>
      <c r="AG10" s="11">
        <f t="shared" si="21"/>
        <v>0</v>
      </c>
      <c r="AH10" s="64"/>
      <c r="AI10" s="36"/>
      <c r="AJ10" s="11">
        <f t="shared" si="22"/>
        <v>0</v>
      </c>
      <c r="AK10" s="64"/>
      <c r="AL10" s="36"/>
      <c r="AM10" s="11">
        <f t="shared" si="23"/>
        <v>0</v>
      </c>
      <c r="AN10" s="64"/>
      <c r="AO10" s="36"/>
      <c r="AP10" s="11">
        <f t="shared" si="24"/>
        <v>0</v>
      </c>
      <c r="AQ10" s="64"/>
      <c r="AR10" s="36"/>
      <c r="AS10" s="11">
        <f t="shared" si="25"/>
        <v>0</v>
      </c>
      <c r="AT10" s="64"/>
      <c r="AU10" s="36"/>
      <c r="AV10" s="11">
        <f t="shared" si="26"/>
        <v>0</v>
      </c>
      <c r="AW10" s="64"/>
      <c r="AX10" s="36"/>
      <c r="AY10" s="11">
        <f t="shared" si="27"/>
        <v>0</v>
      </c>
      <c r="AZ10" s="64"/>
      <c r="BA10" s="36"/>
      <c r="BB10" s="11">
        <f t="shared" si="28"/>
        <v>0</v>
      </c>
      <c r="BC10" s="64"/>
      <c r="BD10" s="36"/>
      <c r="BE10" s="11">
        <f t="shared" si="29"/>
        <v>0</v>
      </c>
      <c r="BF10" s="64"/>
      <c r="BG10" s="36"/>
      <c r="BH10" s="11">
        <f t="shared" si="30"/>
        <v>0</v>
      </c>
      <c r="BI10" s="64"/>
      <c r="BJ10" s="36"/>
      <c r="BK10" s="11">
        <f t="shared" si="31"/>
        <v>0</v>
      </c>
      <c r="BL10" s="64"/>
      <c r="BM10" s="36"/>
      <c r="BN10" s="11">
        <f t="shared" si="32"/>
        <v>0</v>
      </c>
      <c r="BO10" s="64"/>
      <c r="BP10" s="36"/>
      <c r="BQ10" s="11">
        <f t="shared" si="33"/>
        <v>0</v>
      </c>
      <c r="BR10" s="64"/>
      <c r="BS10" s="36"/>
      <c r="BT10" s="11">
        <f t="shared" si="2"/>
        <v>0</v>
      </c>
      <c r="BU10" s="64"/>
      <c r="BV10" s="36"/>
      <c r="BW10" s="11">
        <f t="shared" si="3"/>
        <v>0</v>
      </c>
      <c r="BX10" s="64"/>
      <c r="BY10" s="36"/>
      <c r="BZ10" s="11">
        <f t="shared" si="0"/>
        <v>0</v>
      </c>
      <c r="CA10" s="64"/>
      <c r="CB10" s="36"/>
      <c r="CC10" s="11">
        <f t="shared" si="4"/>
        <v>0</v>
      </c>
      <c r="CD10" s="64"/>
      <c r="CE10" s="36"/>
      <c r="CF10" s="11">
        <f t="shared" si="5"/>
        <v>0</v>
      </c>
      <c r="CG10" s="64"/>
      <c r="CH10" s="36"/>
      <c r="CI10" s="11">
        <f t="shared" si="1"/>
        <v>0</v>
      </c>
      <c r="CJ10" s="64"/>
      <c r="CK10" s="36"/>
      <c r="CL10" s="11">
        <f t="shared" si="6"/>
        <v>0</v>
      </c>
      <c r="CM10" s="64"/>
      <c r="CN10" s="36"/>
      <c r="CO10" s="11">
        <f t="shared" si="7"/>
        <v>0</v>
      </c>
      <c r="CP10" s="64"/>
      <c r="CQ10" s="36"/>
      <c r="CR10" s="11">
        <f t="shared" si="8"/>
        <v>0</v>
      </c>
      <c r="CS10" s="64"/>
      <c r="CT10" s="36"/>
      <c r="CU10" s="11">
        <f t="shared" si="9"/>
        <v>0</v>
      </c>
      <c r="CV10" s="64"/>
      <c r="CW10" s="13"/>
      <c r="CX10" s="260">
        <f t="shared" si="10"/>
        <v>5.5</v>
      </c>
      <c r="CY10" s="157"/>
      <c r="CZ10" s="157"/>
    </row>
    <row r="11" spans="1:104" ht="14.25" customHeight="1">
      <c r="A11" s="10">
        <v>6</v>
      </c>
      <c r="B11" s="36">
        <v>0.5</v>
      </c>
      <c r="C11" s="11">
        <f t="shared" si="11"/>
        <v>1482.624</v>
      </c>
      <c r="D11" s="64">
        <v>9010</v>
      </c>
      <c r="E11" s="36">
        <v>1</v>
      </c>
      <c r="F11" s="11">
        <f t="shared" si="12"/>
        <v>6749.5680000000002</v>
      </c>
      <c r="G11" s="64">
        <v>38360</v>
      </c>
      <c r="H11" s="36">
        <v>1</v>
      </c>
      <c r="I11" s="11">
        <f t="shared" si="13"/>
        <v>5764.6080000000002</v>
      </c>
      <c r="J11" s="64">
        <v>36216</v>
      </c>
      <c r="K11" s="36">
        <v>1</v>
      </c>
      <c r="L11" s="11">
        <f t="shared" si="14"/>
        <v>6749.5680000000002</v>
      </c>
      <c r="M11" s="64">
        <v>37968</v>
      </c>
      <c r="N11" s="36">
        <v>1</v>
      </c>
      <c r="O11" s="11">
        <f t="shared" si="15"/>
        <v>6773.76</v>
      </c>
      <c r="P11" s="64">
        <v>41143</v>
      </c>
      <c r="Q11" s="36">
        <v>0.5</v>
      </c>
      <c r="R11" s="11">
        <f t="shared" si="16"/>
        <v>3374.7840000000001</v>
      </c>
      <c r="S11" s="64">
        <v>21530</v>
      </c>
      <c r="T11" s="36">
        <v>0</v>
      </c>
      <c r="U11" s="11">
        <f t="shared" si="17"/>
        <v>0</v>
      </c>
      <c r="V11" s="64"/>
      <c r="W11" s="36">
        <v>0</v>
      </c>
      <c r="X11" s="11">
        <f t="shared" si="18"/>
        <v>0</v>
      </c>
      <c r="Y11" s="64"/>
      <c r="Z11" s="36"/>
      <c r="AA11" s="11">
        <f t="shared" si="19"/>
        <v>0</v>
      </c>
      <c r="AB11" s="64"/>
      <c r="AC11" s="36">
        <v>0.5</v>
      </c>
      <c r="AD11" s="11">
        <f t="shared" si="20"/>
        <v>3773.0880000000002</v>
      </c>
      <c r="AE11" s="64">
        <v>22695</v>
      </c>
      <c r="AF11" s="36">
        <v>0</v>
      </c>
      <c r="AG11" s="11">
        <f t="shared" si="21"/>
        <v>0</v>
      </c>
      <c r="AH11" s="64"/>
      <c r="AI11" s="36"/>
      <c r="AJ11" s="11">
        <f t="shared" si="22"/>
        <v>0</v>
      </c>
      <c r="AK11" s="64"/>
      <c r="AL11" s="36"/>
      <c r="AM11" s="11">
        <f t="shared" si="23"/>
        <v>0</v>
      </c>
      <c r="AN11" s="64"/>
      <c r="AO11" s="36"/>
      <c r="AP11" s="11">
        <f t="shared" si="24"/>
        <v>0</v>
      </c>
      <c r="AQ11" s="64"/>
      <c r="AR11" s="36"/>
      <c r="AS11" s="11">
        <f t="shared" si="25"/>
        <v>0</v>
      </c>
      <c r="AT11" s="64"/>
      <c r="AU11" s="36"/>
      <c r="AV11" s="11">
        <f t="shared" si="26"/>
        <v>0</v>
      </c>
      <c r="AW11" s="64"/>
      <c r="AX11" s="36"/>
      <c r="AY11" s="11">
        <f t="shared" si="27"/>
        <v>0</v>
      </c>
      <c r="AZ11" s="64"/>
      <c r="BA11" s="36"/>
      <c r="BB11" s="11">
        <f t="shared" si="28"/>
        <v>0</v>
      </c>
      <c r="BC11" s="64"/>
      <c r="BD11" s="36"/>
      <c r="BE11" s="11">
        <f t="shared" si="29"/>
        <v>0</v>
      </c>
      <c r="BF11" s="64"/>
      <c r="BG11" s="36"/>
      <c r="BH11" s="11">
        <f t="shared" si="30"/>
        <v>0</v>
      </c>
      <c r="BI11" s="64"/>
      <c r="BJ11" s="36"/>
      <c r="BK11" s="11">
        <f t="shared" si="31"/>
        <v>0</v>
      </c>
      <c r="BL11" s="64"/>
      <c r="BM11" s="36"/>
      <c r="BN11" s="11">
        <f t="shared" si="32"/>
        <v>0</v>
      </c>
      <c r="BO11" s="64"/>
      <c r="BP11" s="36"/>
      <c r="BQ11" s="11">
        <f t="shared" si="33"/>
        <v>0</v>
      </c>
      <c r="BR11" s="64"/>
      <c r="BS11" s="36"/>
      <c r="BT11" s="11">
        <f t="shared" si="2"/>
        <v>0</v>
      </c>
      <c r="BU11" s="64"/>
      <c r="BV11" s="36"/>
      <c r="BW11" s="11">
        <f t="shared" si="3"/>
        <v>0</v>
      </c>
      <c r="BX11" s="64"/>
      <c r="BY11" s="36"/>
      <c r="BZ11" s="11">
        <f t="shared" si="0"/>
        <v>0</v>
      </c>
      <c r="CA11" s="64"/>
      <c r="CB11" s="36"/>
      <c r="CC11" s="11">
        <f t="shared" si="4"/>
        <v>0</v>
      </c>
      <c r="CD11" s="64"/>
      <c r="CE11" s="36"/>
      <c r="CF11" s="11">
        <f t="shared" si="5"/>
        <v>0</v>
      </c>
      <c r="CG11" s="64"/>
      <c r="CH11" s="36"/>
      <c r="CI11" s="11">
        <f t="shared" si="1"/>
        <v>0</v>
      </c>
      <c r="CJ11" s="64"/>
      <c r="CK11" s="36"/>
      <c r="CL11" s="11">
        <f t="shared" si="6"/>
        <v>0</v>
      </c>
      <c r="CM11" s="64"/>
      <c r="CN11" s="36"/>
      <c r="CO11" s="11">
        <f t="shared" si="7"/>
        <v>0</v>
      </c>
      <c r="CP11" s="64"/>
      <c r="CQ11" s="36"/>
      <c r="CR11" s="11">
        <f t="shared" si="8"/>
        <v>0</v>
      </c>
      <c r="CS11" s="64"/>
      <c r="CT11" s="36"/>
      <c r="CU11" s="11">
        <f t="shared" si="9"/>
        <v>0</v>
      </c>
      <c r="CV11" s="64"/>
      <c r="CW11" s="13"/>
      <c r="CX11" s="260">
        <f t="shared" si="10"/>
        <v>5.5</v>
      </c>
      <c r="CY11" s="157"/>
      <c r="CZ11" s="157"/>
    </row>
    <row r="12" spans="1:104" ht="14.25" customHeight="1">
      <c r="A12" s="10">
        <v>7</v>
      </c>
      <c r="B12" s="36">
        <v>0.5</v>
      </c>
      <c r="C12" s="11">
        <f t="shared" si="11"/>
        <v>1482.624</v>
      </c>
      <c r="D12" s="64">
        <v>1800</v>
      </c>
      <c r="E12" s="36">
        <v>1</v>
      </c>
      <c r="F12" s="11">
        <f t="shared" si="12"/>
        <v>6749.5680000000002</v>
      </c>
      <c r="G12" s="64">
        <v>7995</v>
      </c>
      <c r="H12" s="36">
        <v>1</v>
      </c>
      <c r="I12" s="11">
        <f t="shared" si="13"/>
        <v>5764.6080000000002</v>
      </c>
      <c r="J12" s="64">
        <v>1650</v>
      </c>
      <c r="K12" s="36">
        <v>1</v>
      </c>
      <c r="L12" s="11">
        <f t="shared" si="14"/>
        <v>6749.5680000000002</v>
      </c>
      <c r="M12" s="64">
        <v>4950</v>
      </c>
      <c r="N12" s="36">
        <v>1</v>
      </c>
      <c r="O12" s="11">
        <f t="shared" si="15"/>
        <v>6773.76</v>
      </c>
      <c r="P12" s="64">
        <v>6396</v>
      </c>
      <c r="Q12" s="36">
        <v>0.5</v>
      </c>
      <c r="R12" s="11">
        <f t="shared" si="16"/>
        <v>3374.7840000000001</v>
      </c>
      <c r="S12" s="64">
        <v>3300</v>
      </c>
      <c r="T12" s="36">
        <v>0</v>
      </c>
      <c r="U12" s="11">
        <f t="shared" si="17"/>
        <v>0</v>
      </c>
      <c r="V12" s="64"/>
      <c r="W12" s="36">
        <v>0</v>
      </c>
      <c r="X12" s="11">
        <f t="shared" si="18"/>
        <v>0</v>
      </c>
      <c r="Y12" s="64"/>
      <c r="Z12" s="36"/>
      <c r="AA12" s="11">
        <f t="shared" si="19"/>
        <v>0</v>
      </c>
      <c r="AB12" s="64"/>
      <c r="AC12" s="36">
        <v>0.5</v>
      </c>
      <c r="AD12" s="11">
        <f t="shared" si="20"/>
        <v>3773.0880000000002</v>
      </c>
      <c r="AE12" s="64">
        <v>3960</v>
      </c>
      <c r="AF12" s="36">
        <v>0</v>
      </c>
      <c r="AG12" s="11">
        <f t="shared" si="21"/>
        <v>0</v>
      </c>
      <c r="AH12" s="64"/>
      <c r="AI12" s="36"/>
      <c r="AJ12" s="11">
        <f t="shared" si="22"/>
        <v>0</v>
      </c>
      <c r="AK12" s="64"/>
      <c r="AL12" s="36"/>
      <c r="AM12" s="11">
        <f t="shared" si="23"/>
        <v>0</v>
      </c>
      <c r="AN12" s="64"/>
      <c r="AO12" s="36"/>
      <c r="AP12" s="11">
        <f t="shared" si="24"/>
        <v>0</v>
      </c>
      <c r="AQ12" s="64"/>
      <c r="AR12" s="36"/>
      <c r="AS12" s="11">
        <f t="shared" si="25"/>
        <v>0</v>
      </c>
      <c r="AT12" s="64"/>
      <c r="AU12" s="36"/>
      <c r="AV12" s="11">
        <f t="shared" si="26"/>
        <v>0</v>
      </c>
      <c r="AW12" s="64"/>
      <c r="AX12" s="36"/>
      <c r="AY12" s="11">
        <f t="shared" si="27"/>
        <v>0</v>
      </c>
      <c r="AZ12" s="64"/>
      <c r="BA12" s="36"/>
      <c r="BB12" s="11">
        <f t="shared" si="28"/>
        <v>0</v>
      </c>
      <c r="BC12" s="64"/>
      <c r="BD12" s="36"/>
      <c r="BE12" s="11">
        <f t="shared" si="29"/>
        <v>0</v>
      </c>
      <c r="BF12" s="64"/>
      <c r="BG12" s="36"/>
      <c r="BH12" s="11">
        <f t="shared" si="30"/>
        <v>0</v>
      </c>
      <c r="BI12" s="64"/>
      <c r="BJ12" s="36"/>
      <c r="BK12" s="11">
        <f t="shared" si="31"/>
        <v>0</v>
      </c>
      <c r="BL12" s="64"/>
      <c r="BM12" s="36"/>
      <c r="BN12" s="11">
        <f t="shared" si="32"/>
        <v>0</v>
      </c>
      <c r="BO12" s="64"/>
      <c r="BP12" s="36"/>
      <c r="BQ12" s="11">
        <f t="shared" si="33"/>
        <v>0</v>
      </c>
      <c r="BR12" s="64"/>
      <c r="BS12" s="36"/>
      <c r="BT12" s="11">
        <f t="shared" si="2"/>
        <v>0</v>
      </c>
      <c r="BU12" s="64"/>
      <c r="BV12" s="36"/>
      <c r="BW12" s="11">
        <f t="shared" si="3"/>
        <v>0</v>
      </c>
      <c r="BX12" s="64"/>
      <c r="BY12" s="36"/>
      <c r="BZ12" s="11">
        <f t="shared" si="0"/>
        <v>0</v>
      </c>
      <c r="CA12" s="64"/>
      <c r="CB12" s="36"/>
      <c r="CC12" s="11">
        <f t="shared" si="4"/>
        <v>0</v>
      </c>
      <c r="CD12" s="64"/>
      <c r="CE12" s="36"/>
      <c r="CF12" s="11">
        <f t="shared" si="5"/>
        <v>0</v>
      </c>
      <c r="CG12" s="64"/>
      <c r="CH12" s="36"/>
      <c r="CI12" s="11">
        <f t="shared" si="1"/>
        <v>0</v>
      </c>
      <c r="CJ12" s="64"/>
      <c r="CK12" s="36"/>
      <c r="CL12" s="11">
        <f t="shared" si="6"/>
        <v>0</v>
      </c>
      <c r="CM12" s="64"/>
      <c r="CN12" s="36"/>
      <c r="CO12" s="11">
        <f t="shared" si="7"/>
        <v>0</v>
      </c>
      <c r="CP12" s="64"/>
      <c r="CQ12" s="36"/>
      <c r="CR12" s="11">
        <f t="shared" si="8"/>
        <v>0</v>
      </c>
      <c r="CS12" s="64"/>
      <c r="CT12" s="36"/>
      <c r="CU12" s="11">
        <f t="shared" si="9"/>
        <v>0</v>
      </c>
      <c r="CV12" s="64"/>
      <c r="CW12" s="13"/>
      <c r="CX12" s="260">
        <f t="shared" si="10"/>
        <v>5.5</v>
      </c>
      <c r="CY12" s="157"/>
      <c r="CZ12" s="157"/>
    </row>
    <row r="13" spans="1:104" ht="14.25" customHeight="1">
      <c r="A13" s="10">
        <v>8</v>
      </c>
      <c r="B13" s="36">
        <v>0.5</v>
      </c>
      <c r="C13" s="11">
        <f t="shared" si="11"/>
        <v>1482.624</v>
      </c>
      <c r="D13" s="64">
        <v>1080</v>
      </c>
      <c r="E13" s="36">
        <v>1</v>
      </c>
      <c r="F13" s="11">
        <f t="shared" si="12"/>
        <v>6749.5680000000002</v>
      </c>
      <c r="G13" s="64">
        <v>4727</v>
      </c>
      <c r="H13" s="36">
        <v>1</v>
      </c>
      <c r="I13" s="11">
        <f t="shared" si="13"/>
        <v>5764.6080000000002</v>
      </c>
      <c r="J13" s="64">
        <v>1548</v>
      </c>
      <c r="K13" s="36">
        <v>1</v>
      </c>
      <c r="L13" s="11">
        <f t="shared" si="14"/>
        <v>6749.5680000000002</v>
      </c>
      <c r="M13" s="64">
        <v>9309</v>
      </c>
      <c r="N13" s="36">
        <v>1</v>
      </c>
      <c r="O13" s="11">
        <f t="shared" si="15"/>
        <v>6773.76</v>
      </c>
      <c r="P13" s="64">
        <v>4901</v>
      </c>
      <c r="Q13" s="36">
        <v>0.5</v>
      </c>
      <c r="R13" s="11">
        <f t="shared" si="16"/>
        <v>3374.7840000000001</v>
      </c>
      <c r="S13" s="64">
        <v>2310</v>
      </c>
      <c r="T13" s="36">
        <v>0</v>
      </c>
      <c r="U13" s="11">
        <f t="shared" si="17"/>
        <v>0</v>
      </c>
      <c r="V13" s="64"/>
      <c r="W13" s="36">
        <v>0</v>
      </c>
      <c r="X13" s="11">
        <f t="shared" si="18"/>
        <v>0</v>
      </c>
      <c r="Y13" s="64"/>
      <c r="Z13" s="36"/>
      <c r="AA13" s="11">
        <f t="shared" si="19"/>
        <v>0</v>
      </c>
      <c r="AB13" s="64"/>
      <c r="AC13" s="36">
        <v>0.5</v>
      </c>
      <c r="AD13" s="11">
        <f t="shared" si="20"/>
        <v>3773.0880000000002</v>
      </c>
      <c r="AE13" s="64">
        <v>2475</v>
      </c>
      <c r="AF13" s="36">
        <v>0</v>
      </c>
      <c r="AG13" s="11">
        <f t="shared" si="21"/>
        <v>0</v>
      </c>
      <c r="AH13" s="64"/>
      <c r="AI13" s="36"/>
      <c r="AJ13" s="11">
        <f t="shared" si="22"/>
        <v>0</v>
      </c>
      <c r="AK13" s="64"/>
      <c r="AL13" s="36"/>
      <c r="AM13" s="11">
        <f t="shared" si="23"/>
        <v>0</v>
      </c>
      <c r="AN13" s="64"/>
      <c r="AO13" s="36"/>
      <c r="AP13" s="11">
        <f t="shared" si="24"/>
        <v>0</v>
      </c>
      <c r="AQ13" s="64"/>
      <c r="AR13" s="36"/>
      <c r="AS13" s="11">
        <f t="shared" si="25"/>
        <v>0</v>
      </c>
      <c r="AT13" s="64"/>
      <c r="AU13" s="36"/>
      <c r="AV13" s="11">
        <f t="shared" si="26"/>
        <v>0</v>
      </c>
      <c r="AW13" s="64"/>
      <c r="AX13" s="36"/>
      <c r="AY13" s="11">
        <f t="shared" si="27"/>
        <v>0</v>
      </c>
      <c r="AZ13" s="64"/>
      <c r="BA13" s="36"/>
      <c r="BB13" s="11">
        <f t="shared" si="28"/>
        <v>0</v>
      </c>
      <c r="BC13" s="64"/>
      <c r="BD13" s="36"/>
      <c r="BE13" s="11">
        <f t="shared" si="29"/>
        <v>0</v>
      </c>
      <c r="BF13" s="64"/>
      <c r="BG13" s="36"/>
      <c r="BH13" s="11">
        <f t="shared" si="30"/>
        <v>0</v>
      </c>
      <c r="BI13" s="64"/>
      <c r="BJ13" s="36"/>
      <c r="BK13" s="11">
        <f t="shared" si="31"/>
        <v>0</v>
      </c>
      <c r="BL13" s="64"/>
      <c r="BM13" s="36"/>
      <c r="BN13" s="11">
        <f t="shared" si="32"/>
        <v>0</v>
      </c>
      <c r="BO13" s="64"/>
      <c r="BP13" s="36"/>
      <c r="BQ13" s="11">
        <f t="shared" si="33"/>
        <v>0</v>
      </c>
      <c r="BR13" s="64"/>
      <c r="BS13" s="36"/>
      <c r="BT13" s="11">
        <f t="shared" si="2"/>
        <v>0</v>
      </c>
      <c r="BU13" s="64"/>
      <c r="BV13" s="36"/>
      <c r="BW13" s="11">
        <f t="shared" si="3"/>
        <v>0</v>
      </c>
      <c r="BX13" s="64"/>
      <c r="BY13" s="36"/>
      <c r="BZ13" s="11">
        <f t="shared" si="0"/>
        <v>0</v>
      </c>
      <c r="CA13" s="64"/>
      <c r="CB13" s="36"/>
      <c r="CC13" s="11">
        <f t="shared" si="4"/>
        <v>0</v>
      </c>
      <c r="CD13" s="64"/>
      <c r="CE13" s="36"/>
      <c r="CF13" s="11">
        <f t="shared" si="5"/>
        <v>0</v>
      </c>
      <c r="CG13" s="64"/>
      <c r="CH13" s="36"/>
      <c r="CI13" s="11">
        <f t="shared" si="1"/>
        <v>0</v>
      </c>
      <c r="CJ13" s="64"/>
      <c r="CK13" s="36"/>
      <c r="CL13" s="11">
        <f t="shared" si="6"/>
        <v>0</v>
      </c>
      <c r="CM13" s="64"/>
      <c r="CN13" s="36"/>
      <c r="CO13" s="11">
        <f t="shared" si="7"/>
        <v>0</v>
      </c>
      <c r="CP13" s="64"/>
      <c r="CQ13" s="36"/>
      <c r="CR13" s="11">
        <f t="shared" si="8"/>
        <v>0</v>
      </c>
      <c r="CS13" s="64"/>
      <c r="CT13" s="36"/>
      <c r="CU13" s="11">
        <f t="shared" si="9"/>
        <v>0</v>
      </c>
      <c r="CV13" s="64"/>
      <c r="CW13" s="13"/>
      <c r="CX13" s="260">
        <f t="shared" si="10"/>
        <v>5.5</v>
      </c>
      <c r="CY13" s="157"/>
      <c r="CZ13" s="157"/>
    </row>
    <row r="14" spans="1:104" ht="14.25" customHeight="1">
      <c r="A14" s="10">
        <v>9</v>
      </c>
      <c r="B14" s="36">
        <v>0.5</v>
      </c>
      <c r="C14" s="11">
        <f t="shared" si="11"/>
        <v>1482.624</v>
      </c>
      <c r="D14" s="64">
        <v>1200</v>
      </c>
      <c r="E14" s="36">
        <v>1</v>
      </c>
      <c r="F14" s="11">
        <f t="shared" si="12"/>
        <v>6749.5680000000002</v>
      </c>
      <c r="G14" s="64">
        <v>7590</v>
      </c>
      <c r="H14" s="36">
        <v>1</v>
      </c>
      <c r="I14" s="11">
        <f t="shared" si="13"/>
        <v>5764.6080000000002</v>
      </c>
      <c r="J14" s="64">
        <v>3960</v>
      </c>
      <c r="K14" s="36">
        <v>1</v>
      </c>
      <c r="L14" s="11">
        <f t="shared" si="14"/>
        <v>6749.5680000000002</v>
      </c>
      <c r="M14" s="64">
        <v>7030</v>
      </c>
      <c r="N14" s="36">
        <v>1</v>
      </c>
      <c r="O14" s="11">
        <f t="shared" si="15"/>
        <v>6773.76</v>
      </c>
      <c r="P14" s="64">
        <v>3960</v>
      </c>
      <c r="Q14" s="36">
        <v>0.5</v>
      </c>
      <c r="R14" s="11">
        <f t="shared" si="16"/>
        <v>3374.7840000000001</v>
      </c>
      <c r="S14" s="64">
        <v>3300</v>
      </c>
      <c r="T14" s="36">
        <v>0</v>
      </c>
      <c r="U14" s="11">
        <f t="shared" si="17"/>
        <v>0</v>
      </c>
      <c r="V14" s="64"/>
      <c r="W14" s="36">
        <v>0</v>
      </c>
      <c r="X14" s="11">
        <f t="shared" si="18"/>
        <v>0</v>
      </c>
      <c r="Y14" s="64"/>
      <c r="Z14" s="36"/>
      <c r="AA14" s="11">
        <f t="shared" si="19"/>
        <v>0</v>
      </c>
      <c r="AB14" s="64"/>
      <c r="AC14" s="36">
        <v>0.5</v>
      </c>
      <c r="AD14" s="11">
        <f t="shared" si="20"/>
        <v>3773.0880000000002</v>
      </c>
      <c r="AE14" s="64">
        <v>4402</v>
      </c>
      <c r="AF14" s="36">
        <v>0</v>
      </c>
      <c r="AG14" s="11">
        <f t="shared" si="21"/>
        <v>0</v>
      </c>
      <c r="AH14" s="64"/>
      <c r="AI14" s="36"/>
      <c r="AJ14" s="11">
        <f t="shared" si="22"/>
        <v>0</v>
      </c>
      <c r="AK14" s="64"/>
      <c r="AL14" s="36"/>
      <c r="AM14" s="11">
        <f t="shared" si="23"/>
        <v>0</v>
      </c>
      <c r="AN14" s="64"/>
      <c r="AO14" s="36"/>
      <c r="AP14" s="11">
        <f t="shared" si="24"/>
        <v>0</v>
      </c>
      <c r="AQ14" s="64"/>
      <c r="AR14" s="36"/>
      <c r="AS14" s="11">
        <f t="shared" si="25"/>
        <v>0</v>
      </c>
      <c r="AT14" s="64"/>
      <c r="AU14" s="36"/>
      <c r="AV14" s="11">
        <f t="shared" si="26"/>
        <v>0</v>
      </c>
      <c r="AW14" s="64"/>
      <c r="AX14" s="36"/>
      <c r="AY14" s="11">
        <f t="shared" si="27"/>
        <v>0</v>
      </c>
      <c r="AZ14" s="64"/>
      <c r="BA14" s="36"/>
      <c r="BB14" s="11">
        <f t="shared" si="28"/>
        <v>0</v>
      </c>
      <c r="BC14" s="64"/>
      <c r="BD14" s="36"/>
      <c r="BE14" s="11">
        <f t="shared" si="29"/>
        <v>0</v>
      </c>
      <c r="BF14" s="64"/>
      <c r="BG14" s="36"/>
      <c r="BH14" s="11">
        <f t="shared" si="30"/>
        <v>0</v>
      </c>
      <c r="BI14" s="64"/>
      <c r="BJ14" s="36"/>
      <c r="BK14" s="11">
        <f t="shared" si="31"/>
        <v>0</v>
      </c>
      <c r="BL14" s="64"/>
      <c r="BM14" s="36"/>
      <c r="BN14" s="11">
        <f t="shared" si="32"/>
        <v>0</v>
      </c>
      <c r="BO14" s="64"/>
      <c r="BP14" s="36"/>
      <c r="BQ14" s="11">
        <f t="shared" si="33"/>
        <v>0</v>
      </c>
      <c r="BR14" s="64"/>
      <c r="BS14" s="36"/>
      <c r="BT14" s="11">
        <f t="shared" si="2"/>
        <v>0</v>
      </c>
      <c r="BU14" s="64"/>
      <c r="BV14" s="36"/>
      <c r="BW14" s="11">
        <f t="shared" si="3"/>
        <v>0</v>
      </c>
      <c r="BX14" s="64"/>
      <c r="BY14" s="36"/>
      <c r="BZ14" s="11">
        <f t="shared" si="0"/>
        <v>0</v>
      </c>
      <c r="CA14" s="64"/>
      <c r="CB14" s="36"/>
      <c r="CC14" s="11">
        <f t="shared" si="4"/>
        <v>0</v>
      </c>
      <c r="CD14" s="64"/>
      <c r="CE14" s="36"/>
      <c r="CF14" s="11">
        <f t="shared" si="5"/>
        <v>0</v>
      </c>
      <c r="CG14" s="64"/>
      <c r="CH14" s="36"/>
      <c r="CI14" s="11">
        <f t="shared" si="1"/>
        <v>0</v>
      </c>
      <c r="CJ14" s="64"/>
      <c r="CK14" s="36"/>
      <c r="CL14" s="11">
        <f t="shared" si="6"/>
        <v>0</v>
      </c>
      <c r="CM14" s="64"/>
      <c r="CN14" s="36"/>
      <c r="CO14" s="11">
        <f t="shared" si="7"/>
        <v>0</v>
      </c>
      <c r="CP14" s="64"/>
      <c r="CQ14" s="36"/>
      <c r="CR14" s="11">
        <f t="shared" si="8"/>
        <v>0</v>
      </c>
      <c r="CS14" s="64"/>
      <c r="CT14" s="36"/>
      <c r="CU14" s="11">
        <f t="shared" si="9"/>
        <v>0</v>
      </c>
      <c r="CV14" s="64"/>
      <c r="CW14" s="13"/>
      <c r="CX14" s="260">
        <f t="shared" si="10"/>
        <v>5.5</v>
      </c>
      <c r="CY14" s="157"/>
      <c r="CZ14" s="157"/>
    </row>
    <row r="15" spans="1:104" ht="14.25" customHeight="1">
      <c r="A15" s="10">
        <v>10</v>
      </c>
      <c r="B15" s="36">
        <v>0.5</v>
      </c>
      <c r="C15" s="11">
        <f t="shared" si="11"/>
        <v>1482.624</v>
      </c>
      <c r="D15" s="64">
        <v>1200</v>
      </c>
      <c r="E15" s="36">
        <v>1</v>
      </c>
      <c r="F15" s="11">
        <f t="shared" si="12"/>
        <v>6749.5680000000002</v>
      </c>
      <c r="G15" s="64">
        <v>5610</v>
      </c>
      <c r="H15" s="36">
        <v>1</v>
      </c>
      <c r="I15" s="11">
        <f t="shared" si="13"/>
        <v>5764.6080000000002</v>
      </c>
      <c r="J15" s="64">
        <v>4718</v>
      </c>
      <c r="K15" s="36">
        <v>1</v>
      </c>
      <c r="L15" s="11">
        <f t="shared" si="14"/>
        <v>6749.5680000000002</v>
      </c>
      <c r="M15" s="64">
        <v>4125</v>
      </c>
      <c r="N15" s="36">
        <v>0.5</v>
      </c>
      <c r="O15" s="11">
        <f t="shared" si="15"/>
        <v>3386.88</v>
      </c>
      <c r="P15" s="64">
        <v>2310</v>
      </c>
      <c r="Q15" s="36">
        <v>0.5</v>
      </c>
      <c r="R15" s="11">
        <f t="shared" si="16"/>
        <v>3374.7840000000001</v>
      </c>
      <c r="S15" s="64">
        <v>3960</v>
      </c>
      <c r="T15" s="36">
        <v>0</v>
      </c>
      <c r="U15" s="11">
        <f t="shared" si="17"/>
        <v>0</v>
      </c>
      <c r="V15" s="64"/>
      <c r="W15" s="36">
        <v>0</v>
      </c>
      <c r="X15" s="11">
        <f t="shared" si="18"/>
        <v>0</v>
      </c>
      <c r="Y15" s="64"/>
      <c r="Z15" s="36"/>
      <c r="AA15" s="11">
        <f t="shared" si="19"/>
        <v>0</v>
      </c>
      <c r="AB15" s="64"/>
      <c r="AC15" s="36">
        <v>0.5</v>
      </c>
      <c r="AD15" s="11">
        <f t="shared" si="20"/>
        <v>3773.0880000000002</v>
      </c>
      <c r="AE15" s="64">
        <v>3069</v>
      </c>
      <c r="AF15" s="36">
        <v>0</v>
      </c>
      <c r="AG15" s="11">
        <f t="shared" si="21"/>
        <v>0</v>
      </c>
      <c r="AH15" s="64"/>
      <c r="AI15" s="36"/>
      <c r="AJ15" s="11">
        <f t="shared" si="22"/>
        <v>0</v>
      </c>
      <c r="AK15" s="64"/>
      <c r="AL15" s="36"/>
      <c r="AM15" s="11">
        <f t="shared" si="23"/>
        <v>0</v>
      </c>
      <c r="AN15" s="64"/>
      <c r="AO15" s="36"/>
      <c r="AP15" s="11">
        <f t="shared" si="24"/>
        <v>0</v>
      </c>
      <c r="AQ15" s="64"/>
      <c r="AR15" s="36"/>
      <c r="AS15" s="11">
        <f t="shared" si="25"/>
        <v>0</v>
      </c>
      <c r="AT15" s="64"/>
      <c r="AU15" s="36"/>
      <c r="AV15" s="11">
        <f t="shared" si="26"/>
        <v>0</v>
      </c>
      <c r="AW15" s="64"/>
      <c r="AX15" s="36"/>
      <c r="AY15" s="11">
        <f t="shared" si="27"/>
        <v>0</v>
      </c>
      <c r="AZ15" s="64"/>
      <c r="BA15" s="36"/>
      <c r="BB15" s="11">
        <f t="shared" si="28"/>
        <v>0</v>
      </c>
      <c r="BC15" s="64"/>
      <c r="BD15" s="36"/>
      <c r="BE15" s="11">
        <f t="shared" si="29"/>
        <v>0</v>
      </c>
      <c r="BF15" s="64"/>
      <c r="BG15" s="36"/>
      <c r="BH15" s="11">
        <f t="shared" si="30"/>
        <v>0</v>
      </c>
      <c r="BI15" s="64"/>
      <c r="BJ15" s="36"/>
      <c r="BK15" s="11">
        <f t="shared" si="31"/>
        <v>0</v>
      </c>
      <c r="BL15" s="64"/>
      <c r="BM15" s="36"/>
      <c r="BN15" s="11">
        <f t="shared" si="32"/>
        <v>0</v>
      </c>
      <c r="BO15" s="64"/>
      <c r="BP15" s="36"/>
      <c r="BQ15" s="11">
        <f t="shared" si="33"/>
        <v>0</v>
      </c>
      <c r="BR15" s="64"/>
      <c r="BS15" s="36"/>
      <c r="BT15" s="11">
        <f t="shared" si="2"/>
        <v>0</v>
      </c>
      <c r="BU15" s="64"/>
      <c r="BV15" s="36"/>
      <c r="BW15" s="11">
        <f t="shared" si="3"/>
        <v>0</v>
      </c>
      <c r="BX15" s="64"/>
      <c r="BY15" s="36"/>
      <c r="BZ15" s="11">
        <f t="shared" si="0"/>
        <v>0</v>
      </c>
      <c r="CA15" s="64"/>
      <c r="CB15" s="36"/>
      <c r="CC15" s="11">
        <f t="shared" si="4"/>
        <v>0</v>
      </c>
      <c r="CD15" s="64"/>
      <c r="CE15" s="36"/>
      <c r="CF15" s="11">
        <f t="shared" si="5"/>
        <v>0</v>
      </c>
      <c r="CG15" s="64"/>
      <c r="CH15" s="36"/>
      <c r="CI15" s="11">
        <f t="shared" si="1"/>
        <v>0</v>
      </c>
      <c r="CJ15" s="64"/>
      <c r="CK15" s="36"/>
      <c r="CL15" s="11">
        <f t="shared" si="6"/>
        <v>0</v>
      </c>
      <c r="CM15" s="64"/>
      <c r="CN15" s="36"/>
      <c r="CO15" s="11">
        <f t="shared" si="7"/>
        <v>0</v>
      </c>
      <c r="CP15" s="64"/>
      <c r="CQ15" s="36"/>
      <c r="CR15" s="11">
        <f t="shared" si="8"/>
        <v>0</v>
      </c>
      <c r="CS15" s="64"/>
      <c r="CT15" s="36"/>
      <c r="CU15" s="11">
        <f t="shared" si="9"/>
        <v>0</v>
      </c>
      <c r="CV15" s="64"/>
      <c r="CW15" s="13"/>
      <c r="CX15" s="260">
        <f t="shared" si="10"/>
        <v>5</v>
      </c>
      <c r="CY15" s="157"/>
      <c r="CZ15" s="157"/>
    </row>
    <row r="16" spans="1:104" ht="14.25" customHeight="1">
      <c r="A16" s="10">
        <v>11</v>
      </c>
      <c r="B16" s="36">
        <v>0.5</v>
      </c>
      <c r="C16" s="11">
        <f t="shared" si="11"/>
        <v>1482.624</v>
      </c>
      <c r="D16" s="64">
        <v>696</v>
      </c>
      <c r="E16" s="36">
        <v>1</v>
      </c>
      <c r="F16" s="11">
        <f t="shared" si="12"/>
        <v>6749.5680000000002</v>
      </c>
      <c r="G16" s="64">
        <v>6344</v>
      </c>
      <c r="H16" s="36">
        <v>1</v>
      </c>
      <c r="I16" s="11">
        <f t="shared" si="13"/>
        <v>5764.6080000000002</v>
      </c>
      <c r="J16" s="64">
        <v>4950</v>
      </c>
      <c r="K16" s="36">
        <v>1</v>
      </c>
      <c r="L16" s="11">
        <f t="shared" si="14"/>
        <v>6749.5680000000002</v>
      </c>
      <c r="M16" s="64">
        <v>7367</v>
      </c>
      <c r="N16" s="36">
        <v>0.5</v>
      </c>
      <c r="O16" s="11">
        <f t="shared" si="15"/>
        <v>3386.88</v>
      </c>
      <c r="P16" s="64">
        <v>2475</v>
      </c>
      <c r="Q16" s="36">
        <v>0.5</v>
      </c>
      <c r="R16" s="11">
        <f t="shared" si="16"/>
        <v>3374.7840000000001</v>
      </c>
      <c r="S16" s="64">
        <v>2413</v>
      </c>
      <c r="T16" s="36">
        <v>0</v>
      </c>
      <c r="U16" s="11">
        <f t="shared" si="17"/>
        <v>0</v>
      </c>
      <c r="V16" s="64"/>
      <c r="W16" s="36">
        <v>0</v>
      </c>
      <c r="X16" s="11">
        <f t="shared" si="18"/>
        <v>0</v>
      </c>
      <c r="Y16" s="64"/>
      <c r="Z16" s="36"/>
      <c r="AA16" s="11">
        <f t="shared" si="19"/>
        <v>0</v>
      </c>
      <c r="AB16" s="64"/>
      <c r="AC16" s="36">
        <v>0.5</v>
      </c>
      <c r="AD16" s="11">
        <f t="shared" si="20"/>
        <v>3773.0880000000002</v>
      </c>
      <c r="AE16" s="64">
        <v>3894</v>
      </c>
      <c r="AF16" s="36">
        <v>0</v>
      </c>
      <c r="AG16" s="11">
        <f t="shared" si="21"/>
        <v>0</v>
      </c>
      <c r="AH16" s="64"/>
      <c r="AI16" s="36"/>
      <c r="AJ16" s="11">
        <f t="shared" si="22"/>
        <v>0</v>
      </c>
      <c r="AK16" s="64"/>
      <c r="AL16" s="36"/>
      <c r="AM16" s="11">
        <f t="shared" si="23"/>
        <v>0</v>
      </c>
      <c r="AN16" s="64"/>
      <c r="AO16" s="36"/>
      <c r="AP16" s="11">
        <f t="shared" si="24"/>
        <v>0</v>
      </c>
      <c r="AQ16" s="64"/>
      <c r="AR16" s="36"/>
      <c r="AS16" s="11">
        <f t="shared" si="25"/>
        <v>0</v>
      </c>
      <c r="AT16" s="64"/>
      <c r="AU16" s="36"/>
      <c r="AV16" s="11">
        <f t="shared" si="26"/>
        <v>0</v>
      </c>
      <c r="AW16" s="64"/>
      <c r="AX16" s="36"/>
      <c r="AY16" s="11">
        <f t="shared" si="27"/>
        <v>0</v>
      </c>
      <c r="AZ16" s="64"/>
      <c r="BA16" s="36"/>
      <c r="BB16" s="11">
        <f t="shared" si="28"/>
        <v>0</v>
      </c>
      <c r="BC16" s="64"/>
      <c r="BD16" s="36"/>
      <c r="BE16" s="11">
        <f t="shared" si="29"/>
        <v>0</v>
      </c>
      <c r="BF16" s="64"/>
      <c r="BG16" s="36"/>
      <c r="BH16" s="11">
        <f t="shared" si="30"/>
        <v>0</v>
      </c>
      <c r="BI16" s="64"/>
      <c r="BJ16" s="36"/>
      <c r="BK16" s="11">
        <f t="shared" si="31"/>
        <v>0</v>
      </c>
      <c r="BL16" s="64"/>
      <c r="BM16" s="36"/>
      <c r="BN16" s="11">
        <f t="shared" si="32"/>
        <v>0</v>
      </c>
      <c r="BO16" s="64"/>
      <c r="BP16" s="36"/>
      <c r="BQ16" s="11">
        <f t="shared" si="33"/>
        <v>0</v>
      </c>
      <c r="BR16" s="64"/>
      <c r="BS16" s="36"/>
      <c r="BT16" s="11">
        <f t="shared" si="2"/>
        <v>0</v>
      </c>
      <c r="BU16" s="64"/>
      <c r="BV16" s="36"/>
      <c r="BW16" s="11">
        <f t="shared" si="3"/>
        <v>0</v>
      </c>
      <c r="BX16" s="64"/>
      <c r="BY16" s="36"/>
      <c r="BZ16" s="11">
        <f t="shared" si="0"/>
        <v>0</v>
      </c>
      <c r="CA16" s="64"/>
      <c r="CB16" s="36"/>
      <c r="CC16" s="11">
        <f t="shared" si="4"/>
        <v>0</v>
      </c>
      <c r="CD16" s="12"/>
      <c r="CE16" s="36"/>
      <c r="CF16" s="11">
        <f t="shared" si="5"/>
        <v>0</v>
      </c>
      <c r="CG16" s="12"/>
      <c r="CH16" s="36"/>
      <c r="CI16" s="11">
        <f t="shared" si="1"/>
        <v>0</v>
      </c>
      <c r="CJ16" s="64"/>
      <c r="CK16" s="36"/>
      <c r="CL16" s="11">
        <f t="shared" si="6"/>
        <v>0</v>
      </c>
      <c r="CM16" s="64"/>
      <c r="CN16" s="36"/>
      <c r="CO16" s="11">
        <f t="shared" si="7"/>
        <v>0</v>
      </c>
      <c r="CP16" s="64"/>
      <c r="CQ16" s="36"/>
      <c r="CR16" s="11">
        <f t="shared" si="8"/>
        <v>0</v>
      </c>
      <c r="CS16" s="64"/>
      <c r="CT16" s="36"/>
      <c r="CU16" s="11">
        <f t="shared" si="9"/>
        <v>0</v>
      </c>
      <c r="CV16" s="64"/>
      <c r="CW16" s="13"/>
      <c r="CX16" s="260">
        <f t="shared" si="10"/>
        <v>5</v>
      </c>
      <c r="CY16" s="157"/>
      <c r="CZ16" s="157"/>
    </row>
    <row r="17" spans="1:104" ht="14.25" customHeight="1">
      <c r="A17" s="10">
        <v>12</v>
      </c>
      <c r="B17" s="36">
        <v>0.5</v>
      </c>
      <c r="C17" s="11">
        <f t="shared" si="11"/>
        <v>1482.624</v>
      </c>
      <c r="D17" s="64">
        <v>2304</v>
      </c>
      <c r="E17" s="36">
        <v>1</v>
      </c>
      <c r="F17" s="11">
        <f t="shared" si="12"/>
        <v>6749.5680000000002</v>
      </c>
      <c r="G17" s="64">
        <v>6270</v>
      </c>
      <c r="H17" s="36">
        <v>1</v>
      </c>
      <c r="I17" s="11">
        <f t="shared" si="13"/>
        <v>5764.6080000000002</v>
      </c>
      <c r="J17" s="64">
        <v>6483</v>
      </c>
      <c r="K17" s="36">
        <v>1</v>
      </c>
      <c r="L17" s="11">
        <f t="shared" si="14"/>
        <v>6749.5680000000002</v>
      </c>
      <c r="M17" s="64">
        <v>6458</v>
      </c>
      <c r="N17" s="36">
        <v>0.5</v>
      </c>
      <c r="O17" s="11">
        <f t="shared" si="15"/>
        <v>3386.88</v>
      </c>
      <c r="P17" s="64">
        <v>4056</v>
      </c>
      <c r="Q17" s="36">
        <v>0.5</v>
      </c>
      <c r="R17" s="11">
        <f t="shared" si="16"/>
        <v>3374.7840000000001</v>
      </c>
      <c r="S17" s="64">
        <v>3300</v>
      </c>
      <c r="T17" s="36">
        <v>0</v>
      </c>
      <c r="U17" s="11">
        <f t="shared" si="17"/>
        <v>0</v>
      </c>
      <c r="V17" s="64"/>
      <c r="W17" s="36">
        <v>0</v>
      </c>
      <c r="X17" s="11">
        <f t="shared" si="18"/>
        <v>0</v>
      </c>
      <c r="Y17" s="64"/>
      <c r="Z17" s="36"/>
      <c r="AA17" s="11">
        <f t="shared" si="19"/>
        <v>0</v>
      </c>
      <c r="AB17" s="64"/>
      <c r="AC17" s="36">
        <v>0.5</v>
      </c>
      <c r="AD17" s="11">
        <f t="shared" si="20"/>
        <v>3773.0880000000002</v>
      </c>
      <c r="AE17" s="64">
        <v>3733</v>
      </c>
      <c r="AF17" s="36">
        <v>0</v>
      </c>
      <c r="AG17" s="11">
        <f t="shared" si="21"/>
        <v>0</v>
      </c>
      <c r="AH17" s="64"/>
      <c r="AI17" s="36"/>
      <c r="AJ17" s="11">
        <f t="shared" si="22"/>
        <v>0</v>
      </c>
      <c r="AK17" s="64"/>
      <c r="AL17" s="36"/>
      <c r="AM17" s="11">
        <f t="shared" si="23"/>
        <v>0</v>
      </c>
      <c r="AN17" s="64"/>
      <c r="AO17" s="36"/>
      <c r="AP17" s="11">
        <f t="shared" si="24"/>
        <v>0</v>
      </c>
      <c r="AQ17" s="64"/>
      <c r="AR17" s="36"/>
      <c r="AS17" s="11">
        <f t="shared" si="25"/>
        <v>0</v>
      </c>
      <c r="AT17" s="64"/>
      <c r="AU17" s="36"/>
      <c r="AV17" s="11">
        <f t="shared" si="26"/>
        <v>0</v>
      </c>
      <c r="AW17" s="64"/>
      <c r="AX17" s="36"/>
      <c r="AY17" s="11">
        <f t="shared" si="27"/>
        <v>0</v>
      </c>
      <c r="AZ17" s="64"/>
      <c r="BA17" s="36"/>
      <c r="BB17" s="11">
        <f t="shared" si="28"/>
        <v>0</v>
      </c>
      <c r="BC17" s="64"/>
      <c r="BD17" s="36"/>
      <c r="BE17" s="11">
        <f t="shared" si="29"/>
        <v>0</v>
      </c>
      <c r="BF17" s="64"/>
      <c r="BG17" s="36"/>
      <c r="BH17" s="11">
        <f t="shared" si="30"/>
        <v>0</v>
      </c>
      <c r="BI17" s="64"/>
      <c r="BJ17" s="36"/>
      <c r="BK17" s="11">
        <f t="shared" si="31"/>
        <v>0</v>
      </c>
      <c r="BL17" s="64"/>
      <c r="BM17" s="36"/>
      <c r="BN17" s="11">
        <f t="shared" si="32"/>
        <v>0</v>
      </c>
      <c r="BO17" s="64"/>
      <c r="BP17" s="36"/>
      <c r="BQ17" s="11">
        <f t="shared" si="33"/>
        <v>0</v>
      </c>
      <c r="BR17" s="64"/>
      <c r="BS17" s="36"/>
      <c r="BT17" s="11">
        <f t="shared" si="2"/>
        <v>0</v>
      </c>
      <c r="BU17" s="64"/>
      <c r="BV17" s="36"/>
      <c r="BW17" s="11">
        <f t="shared" si="3"/>
        <v>0</v>
      </c>
      <c r="BX17" s="64"/>
      <c r="BY17" s="36"/>
      <c r="BZ17" s="11">
        <f t="shared" si="0"/>
        <v>0</v>
      </c>
      <c r="CA17" s="64"/>
      <c r="CB17" s="36"/>
      <c r="CC17" s="11">
        <f t="shared" si="4"/>
        <v>0</v>
      </c>
      <c r="CD17" s="12"/>
      <c r="CE17" s="36"/>
      <c r="CF17" s="11">
        <f t="shared" si="5"/>
        <v>0</v>
      </c>
      <c r="CG17" s="12"/>
      <c r="CH17" s="36"/>
      <c r="CI17" s="11">
        <f t="shared" si="1"/>
        <v>0</v>
      </c>
      <c r="CJ17" s="64"/>
      <c r="CK17" s="36"/>
      <c r="CL17" s="11">
        <f t="shared" si="6"/>
        <v>0</v>
      </c>
      <c r="CM17" s="64"/>
      <c r="CN17" s="36"/>
      <c r="CO17" s="11">
        <f t="shared" si="7"/>
        <v>0</v>
      </c>
      <c r="CP17" s="64"/>
      <c r="CQ17" s="36"/>
      <c r="CR17" s="11">
        <f t="shared" si="8"/>
        <v>0</v>
      </c>
      <c r="CS17" s="64"/>
      <c r="CT17" s="36"/>
      <c r="CU17" s="11">
        <f t="shared" si="9"/>
        <v>0</v>
      </c>
      <c r="CV17" s="64"/>
      <c r="CW17" s="13"/>
      <c r="CX17" s="260">
        <f t="shared" si="10"/>
        <v>5</v>
      </c>
      <c r="CY17" s="157"/>
      <c r="CZ17" s="157"/>
    </row>
    <row r="18" spans="1:104" ht="14.25" customHeight="1">
      <c r="A18" s="10">
        <v>13</v>
      </c>
      <c r="B18" s="36">
        <v>0.5</v>
      </c>
      <c r="C18" s="11">
        <f t="shared" si="11"/>
        <v>1482.624</v>
      </c>
      <c r="D18" s="64">
        <v>1200</v>
      </c>
      <c r="E18" s="36">
        <v>1</v>
      </c>
      <c r="F18" s="11">
        <f t="shared" si="12"/>
        <v>6749.5680000000002</v>
      </c>
      <c r="G18" s="64">
        <v>7590</v>
      </c>
      <c r="H18" s="36">
        <v>1</v>
      </c>
      <c r="I18" s="11">
        <f t="shared" si="13"/>
        <v>5764.6080000000002</v>
      </c>
      <c r="J18" s="64">
        <v>6435</v>
      </c>
      <c r="K18" s="36">
        <v>1</v>
      </c>
      <c r="L18" s="11">
        <f t="shared" si="14"/>
        <v>6749.5680000000002</v>
      </c>
      <c r="M18" s="64">
        <v>4054</v>
      </c>
      <c r="N18" s="36">
        <v>0.5</v>
      </c>
      <c r="O18" s="11">
        <f t="shared" si="15"/>
        <v>3386.88</v>
      </c>
      <c r="P18" s="64">
        <v>3960</v>
      </c>
      <c r="Q18" s="36">
        <v>0.5</v>
      </c>
      <c r="R18" s="11">
        <f t="shared" si="16"/>
        <v>3374.7840000000001</v>
      </c>
      <c r="S18" s="64">
        <v>4561</v>
      </c>
      <c r="T18" s="36">
        <v>0</v>
      </c>
      <c r="U18" s="11">
        <f t="shared" si="17"/>
        <v>0</v>
      </c>
      <c r="V18" s="64"/>
      <c r="W18" s="36">
        <v>0</v>
      </c>
      <c r="X18" s="11">
        <f t="shared" si="18"/>
        <v>0</v>
      </c>
      <c r="Y18" s="64"/>
      <c r="Z18" s="36"/>
      <c r="AA18" s="11">
        <f t="shared" si="19"/>
        <v>0</v>
      </c>
      <c r="AB18" s="64"/>
      <c r="AC18" s="36">
        <v>0.5</v>
      </c>
      <c r="AD18" s="11">
        <f t="shared" si="20"/>
        <v>3773.0880000000002</v>
      </c>
      <c r="AE18" s="64">
        <v>2145</v>
      </c>
      <c r="AF18" s="36">
        <v>0</v>
      </c>
      <c r="AG18" s="11">
        <f t="shared" si="21"/>
        <v>0</v>
      </c>
      <c r="AH18" s="64"/>
      <c r="AI18" s="36"/>
      <c r="AJ18" s="11">
        <f t="shared" si="22"/>
        <v>0</v>
      </c>
      <c r="AK18" s="64"/>
      <c r="AL18" s="36"/>
      <c r="AM18" s="11">
        <f t="shared" si="23"/>
        <v>0</v>
      </c>
      <c r="AN18" s="64"/>
      <c r="AO18" s="36"/>
      <c r="AP18" s="11">
        <f t="shared" si="24"/>
        <v>0</v>
      </c>
      <c r="AQ18" s="64"/>
      <c r="AR18" s="36"/>
      <c r="AS18" s="11">
        <f t="shared" si="25"/>
        <v>0</v>
      </c>
      <c r="AT18" s="64"/>
      <c r="AU18" s="36"/>
      <c r="AV18" s="11">
        <f t="shared" si="26"/>
        <v>0</v>
      </c>
      <c r="AW18" s="64"/>
      <c r="AX18" s="36"/>
      <c r="AY18" s="11">
        <f t="shared" si="27"/>
        <v>0</v>
      </c>
      <c r="AZ18" s="64"/>
      <c r="BA18" s="36"/>
      <c r="BB18" s="11">
        <f t="shared" si="28"/>
        <v>0</v>
      </c>
      <c r="BC18" s="64"/>
      <c r="BD18" s="36"/>
      <c r="BE18" s="11">
        <f t="shared" si="29"/>
        <v>0</v>
      </c>
      <c r="BF18" s="64"/>
      <c r="BG18" s="36"/>
      <c r="BH18" s="11">
        <f t="shared" si="30"/>
        <v>0</v>
      </c>
      <c r="BI18" s="64"/>
      <c r="BJ18" s="36"/>
      <c r="BK18" s="11">
        <f t="shared" si="31"/>
        <v>0</v>
      </c>
      <c r="BL18" s="64"/>
      <c r="BM18" s="36"/>
      <c r="BN18" s="11">
        <f t="shared" si="32"/>
        <v>0</v>
      </c>
      <c r="BO18" s="64"/>
      <c r="BP18" s="36"/>
      <c r="BQ18" s="11">
        <f t="shared" si="33"/>
        <v>0</v>
      </c>
      <c r="BR18" s="64"/>
      <c r="BS18" s="36"/>
      <c r="BT18" s="11">
        <f t="shared" si="2"/>
        <v>0</v>
      </c>
      <c r="BU18" s="64"/>
      <c r="BV18" s="36"/>
      <c r="BW18" s="11">
        <f t="shared" si="3"/>
        <v>0</v>
      </c>
      <c r="BX18" s="64"/>
      <c r="BY18" s="36"/>
      <c r="BZ18" s="11">
        <f t="shared" si="0"/>
        <v>0</v>
      </c>
      <c r="CA18" s="64"/>
      <c r="CB18" s="36"/>
      <c r="CC18" s="11">
        <f t="shared" si="4"/>
        <v>0</v>
      </c>
      <c r="CD18" s="12"/>
      <c r="CE18" s="36"/>
      <c r="CF18" s="11">
        <f t="shared" si="5"/>
        <v>0</v>
      </c>
      <c r="CG18" s="12"/>
      <c r="CH18" s="36"/>
      <c r="CI18" s="11">
        <f t="shared" si="1"/>
        <v>0</v>
      </c>
      <c r="CJ18" s="64"/>
      <c r="CK18" s="36"/>
      <c r="CL18" s="11">
        <f t="shared" si="6"/>
        <v>0</v>
      </c>
      <c r="CM18" s="64"/>
      <c r="CN18" s="36"/>
      <c r="CO18" s="11">
        <f t="shared" si="7"/>
        <v>0</v>
      </c>
      <c r="CP18" s="64"/>
      <c r="CQ18" s="36"/>
      <c r="CR18" s="11">
        <f t="shared" si="8"/>
        <v>0</v>
      </c>
      <c r="CS18" s="64"/>
      <c r="CT18" s="36"/>
      <c r="CU18" s="11">
        <f t="shared" si="9"/>
        <v>0</v>
      </c>
      <c r="CV18" s="64"/>
      <c r="CW18" s="13"/>
      <c r="CX18" s="260">
        <f t="shared" si="10"/>
        <v>5</v>
      </c>
      <c r="CY18" s="157"/>
      <c r="CZ18" s="157"/>
    </row>
    <row r="19" spans="1:104" ht="14.25" customHeight="1">
      <c r="A19" s="10">
        <v>14</v>
      </c>
      <c r="B19" s="36">
        <v>0.5</v>
      </c>
      <c r="C19" s="11">
        <f t="shared" si="11"/>
        <v>1482.624</v>
      </c>
      <c r="D19" s="64">
        <v>1200</v>
      </c>
      <c r="E19" s="36">
        <v>1</v>
      </c>
      <c r="F19" s="11">
        <f t="shared" si="12"/>
        <v>6749.5680000000002</v>
      </c>
      <c r="G19" s="64">
        <v>6996</v>
      </c>
      <c r="H19" s="36">
        <v>1</v>
      </c>
      <c r="I19" s="11">
        <f t="shared" si="13"/>
        <v>5764.6080000000002</v>
      </c>
      <c r="J19" s="64">
        <v>4125</v>
      </c>
      <c r="K19" s="36">
        <v>1</v>
      </c>
      <c r="L19" s="11">
        <f t="shared" si="14"/>
        <v>6749.5680000000002</v>
      </c>
      <c r="M19" s="64">
        <v>5536</v>
      </c>
      <c r="N19" s="36">
        <v>0.5</v>
      </c>
      <c r="O19" s="11">
        <f t="shared" si="15"/>
        <v>3386.88</v>
      </c>
      <c r="P19" s="64">
        <v>2145</v>
      </c>
      <c r="Q19" s="36">
        <v>0.5</v>
      </c>
      <c r="R19" s="11">
        <f t="shared" si="16"/>
        <v>3374.7840000000001</v>
      </c>
      <c r="S19" s="64">
        <v>3135</v>
      </c>
      <c r="T19" s="36">
        <v>0</v>
      </c>
      <c r="U19" s="11">
        <f t="shared" si="17"/>
        <v>0</v>
      </c>
      <c r="V19" s="64"/>
      <c r="W19" s="36">
        <v>0</v>
      </c>
      <c r="X19" s="11">
        <f t="shared" si="18"/>
        <v>0</v>
      </c>
      <c r="Y19" s="64"/>
      <c r="Z19" s="36"/>
      <c r="AA19" s="11">
        <f t="shared" si="19"/>
        <v>0</v>
      </c>
      <c r="AB19" s="64"/>
      <c r="AC19" s="36">
        <v>0.5</v>
      </c>
      <c r="AD19" s="11">
        <f t="shared" si="20"/>
        <v>3773.0880000000002</v>
      </c>
      <c r="AE19" s="64">
        <v>4125</v>
      </c>
      <c r="AF19" s="36">
        <v>0</v>
      </c>
      <c r="AG19" s="11">
        <f t="shared" si="21"/>
        <v>0</v>
      </c>
      <c r="AH19" s="64"/>
      <c r="AI19" s="36"/>
      <c r="AJ19" s="11">
        <f t="shared" si="22"/>
        <v>0</v>
      </c>
      <c r="AK19" s="64"/>
      <c r="AL19" s="36"/>
      <c r="AM19" s="11">
        <f t="shared" si="23"/>
        <v>0</v>
      </c>
      <c r="AN19" s="64"/>
      <c r="AO19" s="36"/>
      <c r="AP19" s="11">
        <f t="shared" si="24"/>
        <v>0</v>
      </c>
      <c r="AQ19" s="64"/>
      <c r="AR19" s="36"/>
      <c r="AS19" s="11">
        <f t="shared" si="25"/>
        <v>0</v>
      </c>
      <c r="AT19" s="64"/>
      <c r="AU19" s="36"/>
      <c r="AV19" s="11">
        <f t="shared" si="26"/>
        <v>0</v>
      </c>
      <c r="AW19" s="64"/>
      <c r="AX19" s="36"/>
      <c r="AY19" s="11">
        <f t="shared" si="27"/>
        <v>0</v>
      </c>
      <c r="AZ19" s="64"/>
      <c r="BA19" s="36"/>
      <c r="BB19" s="11">
        <f t="shared" si="28"/>
        <v>0</v>
      </c>
      <c r="BC19" s="64"/>
      <c r="BD19" s="36"/>
      <c r="BE19" s="11">
        <f t="shared" si="29"/>
        <v>0</v>
      </c>
      <c r="BF19" s="64"/>
      <c r="BG19" s="36"/>
      <c r="BH19" s="11">
        <f t="shared" si="30"/>
        <v>0</v>
      </c>
      <c r="BI19" s="64"/>
      <c r="BJ19" s="36"/>
      <c r="BK19" s="11">
        <f t="shared" si="31"/>
        <v>0</v>
      </c>
      <c r="BL19" s="64"/>
      <c r="BM19" s="36"/>
      <c r="BN19" s="11">
        <f t="shared" si="32"/>
        <v>0</v>
      </c>
      <c r="BO19" s="64"/>
      <c r="BP19" s="36"/>
      <c r="BQ19" s="11">
        <f t="shared" si="33"/>
        <v>0</v>
      </c>
      <c r="BR19" s="64"/>
      <c r="BS19" s="36"/>
      <c r="BT19" s="11">
        <f t="shared" si="2"/>
        <v>0</v>
      </c>
      <c r="BU19" s="64"/>
      <c r="BV19" s="36"/>
      <c r="BW19" s="11">
        <f t="shared" si="3"/>
        <v>0</v>
      </c>
      <c r="BX19" s="64"/>
      <c r="BY19" s="36"/>
      <c r="BZ19" s="11">
        <f t="shared" si="0"/>
        <v>0</v>
      </c>
      <c r="CA19" s="64"/>
      <c r="CB19" s="36"/>
      <c r="CC19" s="11">
        <f t="shared" si="4"/>
        <v>0</v>
      </c>
      <c r="CD19" s="12"/>
      <c r="CE19" s="36"/>
      <c r="CF19" s="11">
        <f t="shared" si="5"/>
        <v>0</v>
      </c>
      <c r="CG19" s="12"/>
      <c r="CH19" s="36"/>
      <c r="CI19" s="11">
        <f t="shared" si="1"/>
        <v>0</v>
      </c>
      <c r="CJ19" s="64"/>
      <c r="CK19" s="36"/>
      <c r="CL19" s="11">
        <f t="shared" si="6"/>
        <v>0</v>
      </c>
      <c r="CM19" s="64"/>
      <c r="CN19" s="36"/>
      <c r="CO19" s="11">
        <f t="shared" si="7"/>
        <v>0</v>
      </c>
      <c r="CP19" s="64"/>
      <c r="CQ19" s="36"/>
      <c r="CR19" s="11">
        <f t="shared" si="8"/>
        <v>0</v>
      </c>
      <c r="CS19" s="64"/>
      <c r="CT19" s="36"/>
      <c r="CU19" s="11">
        <f t="shared" si="9"/>
        <v>0</v>
      </c>
      <c r="CV19" s="64"/>
      <c r="CW19" s="13"/>
      <c r="CX19" s="260">
        <f t="shared" si="10"/>
        <v>5</v>
      </c>
      <c r="CY19" s="157"/>
      <c r="CZ19" s="157"/>
    </row>
    <row r="20" spans="1:104" ht="14.25" customHeight="1">
      <c r="A20" s="10">
        <v>15</v>
      </c>
      <c r="B20" s="36">
        <v>0.5</v>
      </c>
      <c r="C20" s="11">
        <f t="shared" si="11"/>
        <v>1482.624</v>
      </c>
      <c r="D20" s="64">
        <v>1800</v>
      </c>
      <c r="E20" s="36">
        <v>1</v>
      </c>
      <c r="F20" s="11">
        <f t="shared" si="12"/>
        <v>6749.5680000000002</v>
      </c>
      <c r="G20" s="64">
        <v>6600</v>
      </c>
      <c r="H20" s="36">
        <v>1</v>
      </c>
      <c r="I20" s="11">
        <f t="shared" si="13"/>
        <v>5764.6080000000002</v>
      </c>
      <c r="J20" s="64">
        <v>5665</v>
      </c>
      <c r="K20" s="36">
        <v>1</v>
      </c>
      <c r="L20" s="11">
        <f t="shared" si="14"/>
        <v>6749.5680000000002</v>
      </c>
      <c r="M20" s="64">
        <v>3713</v>
      </c>
      <c r="N20" s="36">
        <v>0.5</v>
      </c>
      <c r="O20" s="11">
        <f t="shared" si="15"/>
        <v>3386.88</v>
      </c>
      <c r="P20" s="64">
        <v>2475</v>
      </c>
      <c r="Q20" s="36">
        <v>0.5</v>
      </c>
      <c r="R20" s="11">
        <f t="shared" si="16"/>
        <v>3374.7840000000001</v>
      </c>
      <c r="S20" s="64">
        <v>3960</v>
      </c>
      <c r="T20" s="36">
        <v>0</v>
      </c>
      <c r="U20" s="11">
        <f t="shared" si="17"/>
        <v>0</v>
      </c>
      <c r="V20" s="64"/>
      <c r="W20" s="36">
        <v>0</v>
      </c>
      <c r="X20" s="11">
        <f t="shared" si="18"/>
        <v>0</v>
      </c>
      <c r="Y20" s="64"/>
      <c r="Z20" s="36"/>
      <c r="AA20" s="11">
        <f t="shared" si="19"/>
        <v>0</v>
      </c>
      <c r="AB20" s="64"/>
      <c r="AC20" s="36">
        <v>0.5</v>
      </c>
      <c r="AD20" s="11">
        <f t="shared" si="20"/>
        <v>3773.0880000000002</v>
      </c>
      <c r="AE20" s="64">
        <v>4040</v>
      </c>
      <c r="AF20" s="36">
        <v>0</v>
      </c>
      <c r="AG20" s="11">
        <f t="shared" si="21"/>
        <v>0</v>
      </c>
      <c r="AH20" s="64"/>
      <c r="AI20" s="36"/>
      <c r="AJ20" s="11">
        <f t="shared" si="22"/>
        <v>0</v>
      </c>
      <c r="AK20" s="64"/>
      <c r="AL20" s="36"/>
      <c r="AM20" s="11">
        <f t="shared" si="23"/>
        <v>0</v>
      </c>
      <c r="AN20" s="64"/>
      <c r="AO20" s="36"/>
      <c r="AP20" s="11">
        <f t="shared" si="24"/>
        <v>0</v>
      </c>
      <c r="AQ20" s="64"/>
      <c r="AR20" s="36"/>
      <c r="AS20" s="11">
        <f t="shared" si="25"/>
        <v>0</v>
      </c>
      <c r="AT20" s="64"/>
      <c r="AU20" s="36"/>
      <c r="AV20" s="11">
        <f t="shared" si="26"/>
        <v>0</v>
      </c>
      <c r="AW20" s="64"/>
      <c r="AX20" s="36"/>
      <c r="AY20" s="11">
        <f t="shared" si="27"/>
        <v>0</v>
      </c>
      <c r="AZ20" s="64"/>
      <c r="BA20" s="36"/>
      <c r="BB20" s="11">
        <f t="shared" si="28"/>
        <v>0</v>
      </c>
      <c r="BC20" s="64"/>
      <c r="BD20" s="36"/>
      <c r="BE20" s="11">
        <f t="shared" si="29"/>
        <v>0</v>
      </c>
      <c r="BF20" s="64"/>
      <c r="BG20" s="36"/>
      <c r="BH20" s="11">
        <f t="shared" si="30"/>
        <v>0</v>
      </c>
      <c r="BI20" s="64"/>
      <c r="BJ20" s="36"/>
      <c r="BK20" s="11">
        <f t="shared" si="31"/>
        <v>0</v>
      </c>
      <c r="BL20" s="64"/>
      <c r="BM20" s="36"/>
      <c r="BN20" s="11">
        <f t="shared" si="32"/>
        <v>0</v>
      </c>
      <c r="BO20" s="64"/>
      <c r="BP20" s="36"/>
      <c r="BQ20" s="11">
        <f t="shared" si="33"/>
        <v>0</v>
      </c>
      <c r="BR20" s="64"/>
      <c r="BS20" s="36"/>
      <c r="BT20" s="11">
        <f t="shared" si="2"/>
        <v>0</v>
      </c>
      <c r="BU20" s="64"/>
      <c r="BV20" s="36"/>
      <c r="BW20" s="11">
        <f t="shared" si="3"/>
        <v>0</v>
      </c>
      <c r="BX20" s="64"/>
      <c r="BY20" s="36"/>
      <c r="BZ20" s="11">
        <f t="shared" si="0"/>
        <v>0</v>
      </c>
      <c r="CA20" s="64"/>
      <c r="CB20" s="36"/>
      <c r="CC20" s="11">
        <f t="shared" si="4"/>
        <v>0</v>
      </c>
      <c r="CD20" s="64"/>
      <c r="CE20" s="36"/>
      <c r="CF20" s="11">
        <f t="shared" si="5"/>
        <v>0</v>
      </c>
      <c r="CG20" s="64"/>
      <c r="CH20" s="36"/>
      <c r="CI20" s="11">
        <f t="shared" si="1"/>
        <v>0</v>
      </c>
      <c r="CJ20" s="64"/>
      <c r="CK20" s="36"/>
      <c r="CL20" s="11">
        <f t="shared" si="6"/>
        <v>0</v>
      </c>
      <c r="CM20" s="64"/>
      <c r="CN20" s="36"/>
      <c r="CO20" s="11">
        <f t="shared" si="7"/>
        <v>0</v>
      </c>
      <c r="CP20" s="64"/>
      <c r="CQ20" s="36"/>
      <c r="CR20" s="11">
        <f t="shared" si="8"/>
        <v>0</v>
      </c>
      <c r="CS20" s="64"/>
      <c r="CT20" s="36"/>
      <c r="CU20" s="11">
        <f t="shared" si="9"/>
        <v>0</v>
      </c>
      <c r="CV20" s="64"/>
      <c r="CW20" s="13"/>
      <c r="CX20" s="260">
        <f t="shared" si="10"/>
        <v>5</v>
      </c>
      <c r="CY20" s="157"/>
      <c r="CZ20" s="157"/>
    </row>
    <row r="21" spans="1:104" ht="14.25" customHeight="1">
      <c r="A21" s="10">
        <v>16</v>
      </c>
      <c r="B21" s="36">
        <v>0.5</v>
      </c>
      <c r="C21" s="11">
        <f t="shared" si="11"/>
        <v>1482.624</v>
      </c>
      <c r="D21" s="64">
        <v>1829</v>
      </c>
      <c r="E21" s="36">
        <v>1</v>
      </c>
      <c r="F21" s="11">
        <f t="shared" si="12"/>
        <v>6749.5680000000002</v>
      </c>
      <c r="G21" s="64">
        <v>6270</v>
      </c>
      <c r="H21" s="36">
        <v>1</v>
      </c>
      <c r="I21" s="11">
        <f t="shared" si="13"/>
        <v>5764.6080000000002</v>
      </c>
      <c r="J21" s="64">
        <v>5775</v>
      </c>
      <c r="K21" s="36">
        <v>1</v>
      </c>
      <c r="L21" s="11">
        <f t="shared" si="14"/>
        <v>6749.5680000000002</v>
      </c>
      <c r="M21" s="64">
        <v>1419</v>
      </c>
      <c r="N21" s="36">
        <v>0.5</v>
      </c>
      <c r="O21" s="11">
        <f t="shared" si="15"/>
        <v>3386.88</v>
      </c>
      <c r="P21" s="64">
        <v>4848</v>
      </c>
      <c r="Q21" s="36">
        <v>0.5</v>
      </c>
      <c r="R21" s="11">
        <f t="shared" si="16"/>
        <v>3374.7840000000001</v>
      </c>
      <c r="S21" s="64">
        <v>2475</v>
      </c>
      <c r="T21" s="36">
        <v>0</v>
      </c>
      <c r="U21" s="11">
        <f t="shared" si="17"/>
        <v>0</v>
      </c>
      <c r="V21" s="64"/>
      <c r="W21" s="36">
        <v>0</v>
      </c>
      <c r="X21" s="11">
        <f t="shared" si="18"/>
        <v>0</v>
      </c>
      <c r="Y21" s="64"/>
      <c r="Z21" s="36"/>
      <c r="AA21" s="11">
        <f t="shared" si="19"/>
        <v>0</v>
      </c>
      <c r="AB21" s="64"/>
      <c r="AC21" s="36">
        <v>0.5</v>
      </c>
      <c r="AD21" s="11">
        <f t="shared" si="20"/>
        <v>3773.0880000000002</v>
      </c>
      <c r="AE21" s="64"/>
      <c r="AF21" s="36">
        <v>0</v>
      </c>
      <c r="AG21" s="11">
        <f t="shared" si="21"/>
        <v>0</v>
      </c>
      <c r="AH21" s="64"/>
      <c r="AI21" s="36"/>
      <c r="AJ21" s="11">
        <f t="shared" si="22"/>
        <v>0</v>
      </c>
      <c r="AK21" s="64"/>
      <c r="AL21" s="36"/>
      <c r="AM21" s="11">
        <f t="shared" si="23"/>
        <v>0</v>
      </c>
      <c r="AN21" s="64"/>
      <c r="AO21" s="36"/>
      <c r="AP21" s="11">
        <f t="shared" si="24"/>
        <v>0</v>
      </c>
      <c r="AQ21" s="64"/>
      <c r="AR21" s="36"/>
      <c r="AS21" s="11">
        <f t="shared" si="25"/>
        <v>0</v>
      </c>
      <c r="AT21" s="64"/>
      <c r="AU21" s="36"/>
      <c r="AV21" s="11">
        <f t="shared" si="26"/>
        <v>0</v>
      </c>
      <c r="AW21" s="64"/>
      <c r="AX21" s="36"/>
      <c r="AY21" s="11">
        <f t="shared" si="27"/>
        <v>0</v>
      </c>
      <c r="AZ21" s="64"/>
      <c r="BA21" s="36"/>
      <c r="BB21" s="11">
        <f t="shared" si="28"/>
        <v>0</v>
      </c>
      <c r="BC21" s="64"/>
      <c r="BD21" s="36"/>
      <c r="BE21" s="11">
        <f t="shared" si="29"/>
        <v>0</v>
      </c>
      <c r="BF21" s="64"/>
      <c r="BG21" s="36"/>
      <c r="BH21" s="11">
        <f t="shared" si="30"/>
        <v>0</v>
      </c>
      <c r="BI21" s="64"/>
      <c r="BJ21" s="36"/>
      <c r="BK21" s="11">
        <f t="shared" si="31"/>
        <v>0</v>
      </c>
      <c r="BL21" s="64"/>
      <c r="BM21" s="36"/>
      <c r="BN21" s="11">
        <f t="shared" si="32"/>
        <v>0</v>
      </c>
      <c r="BO21" s="64"/>
      <c r="BP21" s="36"/>
      <c r="BQ21" s="11">
        <f t="shared" si="33"/>
        <v>0</v>
      </c>
      <c r="BR21" s="64"/>
      <c r="BS21" s="36"/>
      <c r="BT21" s="11">
        <f t="shared" si="2"/>
        <v>0</v>
      </c>
      <c r="BU21" s="12"/>
      <c r="BV21" s="36"/>
      <c r="BW21" s="11">
        <f t="shared" si="3"/>
        <v>0</v>
      </c>
      <c r="BX21" s="64"/>
      <c r="BY21" s="36"/>
      <c r="BZ21" s="11">
        <f t="shared" si="0"/>
        <v>0</v>
      </c>
      <c r="CA21" s="12"/>
      <c r="CB21" s="36"/>
      <c r="CC21" s="11">
        <f t="shared" si="4"/>
        <v>0</v>
      </c>
      <c r="CD21" s="64"/>
      <c r="CE21" s="36"/>
      <c r="CF21" s="11">
        <f t="shared" si="5"/>
        <v>0</v>
      </c>
      <c r="CG21" s="64"/>
      <c r="CH21" s="36"/>
      <c r="CI21" s="11">
        <f t="shared" si="1"/>
        <v>0</v>
      </c>
      <c r="CJ21" s="64"/>
      <c r="CK21" s="36"/>
      <c r="CL21" s="11">
        <f t="shared" si="6"/>
        <v>0</v>
      </c>
      <c r="CM21" s="64"/>
      <c r="CN21" s="36"/>
      <c r="CO21" s="11">
        <f t="shared" si="7"/>
        <v>0</v>
      </c>
      <c r="CP21" s="64"/>
      <c r="CQ21" s="36"/>
      <c r="CR21" s="11">
        <f t="shared" si="8"/>
        <v>0</v>
      </c>
      <c r="CS21" s="64"/>
      <c r="CT21" s="36"/>
      <c r="CU21" s="11">
        <f t="shared" si="9"/>
        <v>0</v>
      </c>
      <c r="CV21" s="64"/>
      <c r="CW21" s="13"/>
      <c r="CX21" s="260">
        <f t="shared" si="10"/>
        <v>5</v>
      </c>
      <c r="CY21" s="157"/>
      <c r="CZ21" s="157"/>
    </row>
    <row r="22" spans="1:104" ht="14.25" customHeight="1">
      <c r="A22" s="10">
        <v>17</v>
      </c>
      <c r="B22" s="36">
        <v>0.5</v>
      </c>
      <c r="C22" s="11">
        <f t="shared" si="11"/>
        <v>1482.624</v>
      </c>
      <c r="D22" s="64">
        <v>1080</v>
      </c>
      <c r="E22" s="36">
        <v>1</v>
      </c>
      <c r="F22" s="11">
        <f t="shared" si="12"/>
        <v>6749.5680000000002</v>
      </c>
      <c r="G22" s="64">
        <v>6702</v>
      </c>
      <c r="H22" s="36">
        <v>1</v>
      </c>
      <c r="I22" s="11">
        <f t="shared" si="13"/>
        <v>5764.6080000000002</v>
      </c>
      <c r="J22" s="64">
        <v>5775</v>
      </c>
      <c r="K22" s="36">
        <v>0.5</v>
      </c>
      <c r="L22" s="11">
        <f t="shared" si="14"/>
        <v>3374.7840000000001</v>
      </c>
      <c r="M22" s="64">
        <v>2805</v>
      </c>
      <c r="N22" s="36">
        <v>0.5</v>
      </c>
      <c r="O22" s="11">
        <f t="shared" si="15"/>
        <v>3386.88</v>
      </c>
      <c r="P22" s="64">
        <v>2310</v>
      </c>
      <c r="Q22" s="36">
        <v>0.5</v>
      </c>
      <c r="R22" s="11">
        <f t="shared" si="16"/>
        <v>3374.7840000000001</v>
      </c>
      <c r="S22" s="64">
        <v>4053</v>
      </c>
      <c r="T22" s="36">
        <v>0.5</v>
      </c>
      <c r="U22" s="11">
        <f t="shared" si="17"/>
        <v>3374.7840000000001</v>
      </c>
      <c r="V22" s="64">
        <v>2310</v>
      </c>
      <c r="W22" s="36">
        <v>0</v>
      </c>
      <c r="X22" s="11">
        <f t="shared" si="18"/>
        <v>0</v>
      </c>
      <c r="Y22" s="64"/>
      <c r="Z22" s="36"/>
      <c r="AA22" s="11">
        <f t="shared" si="19"/>
        <v>0</v>
      </c>
      <c r="AB22" s="64"/>
      <c r="AC22" s="36">
        <v>0.5</v>
      </c>
      <c r="AD22" s="11">
        <f t="shared" si="20"/>
        <v>3773.0880000000002</v>
      </c>
      <c r="AE22" s="64">
        <v>825</v>
      </c>
      <c r="AF22" s="36">
        <v>0</v>
      </c>
      <c r="AG22" s="11">
        <f t="shared" si="21"/>
        <v>0</v>
      </c>
      <c r="AH22" s="64"/>
      <c r="AI22" s="36"/>
      <c r="AJ22" s="11">
        <f t="shared" si="22"/>
        <v>0</v>
      </c>
      <c r="AK22" s="64"/>
      <c r="AL22" s="36"/>
      <c r="AM22" s="11">
        <f t="shared" si="23"/>
        <v>0</v>
      </c>
      <c r="AN22" s="64"/>
      <c r="AO22" s="36"/>
      <c r="AP22" s="11">
        <f t="shared" si="24"/>
        <v>0</v>
      </c>
      <c r="AQ22" s="64"/>
      <c r="AR22" s="36"/>
      <c r="AS22" s="11">
        <f t="shared" si="25"/>
        <v>0</v>
      </c>
      <c r="AT22" s="64"/>
      <c r="AU22" s="36"/>
      <c r="AV22" s="11">
        <f t="shared" si="26"/>
        <v>0</v>
      </c>
      <c r="AW22" s="64"/>
      <c r="AX22" s="36"/>
      <c r="AY22" s="11">
        <f t="shared" si="27"/>
        <v>0</v>
      </c>
      <c r="AZ22" s="64"/>
      <c r="BA22" s="36"/>
      <c r="BB22" s="11">
        <f t="shared" si="28"/>
        <v>0</v>
      </c>
      <c r="BC22" s="64"/>
      <c r="BD22" s="36"/>
      <c r="BE22" s="11">
        <f t="shared" si="29"/>
        <v>0</v>
      </c>
      <c r="BF22" s="64"/>
      <c r="BG22" s="36"/>
      <c r="BH22" s="11">
        <f t="shared" si="30"/>
        <v>0</v>
      </c>
      <c r="BI22" s="64"/>
      <c r="BJ22" s="36"/>
      <c r="BK22" s="11">
        <f t="shared" si="31"/>
        <v>0</v>
      </c>
      <c r="BL22" s="64"/>
      <c r="BM22" s="36"/>
      <c r="BN22" s="11">
        <f t="shared" si="32"/>
        <v>0</v>
      </c>
      <c r="BO22" s="64"/>
      <c r="BP22" s="36"/>
      <c r="BQ22" s="11">
        <f t="shared" si="33"/>
        <v>0</v>
      </c>
      <c r="BR22" s="64"/>
      <c r="BS22" s="36"/>
      <c r="BT22" s="11">
        <f t="shared" si="2"/>
        <v>0</v>
      </c>
      <c r="BU22" s="12"/>
      <c r="BV22" s="36"/>
      <c r="BW22" s="11">
        <f t="shared" si="3"/>
        <v>0</v>
      </c>
      <c r="BX22" s="64"/>
      <c r="BY22" s="36"/>
      <c r="BZ22" s="11">
        <f t="shared" si="0"/>
        <v>0</v>
      </c>
      <c r="CA22" s="12"/>
      <c r="CB22" s="36"/>
      <c r="CC22" s="11">
        <f t="shared" si="4"/>
        <v>0</v>
      </c>
      <c r="CD22" s="64"/>
      <c r="CE22" s="36"/>
      <c r="CF22" s="11">
        <f t="shared" si="5"/>
        <v>0</v>
      </c>
      <c r="CG22" s="64"/>
      <c r="CH22" s="36"/>
      <c r="CI22" s="11">
        <f t="shared" si="1"/>
        <v>0</v>
      </c>
      <c r="CJ22" s="64"/>
      <c r="CK22" s="36"/>
      <c r="CL22" s="11">
        <f t="shared" si="6"/>
        <v>0</v>
      </c>
      <c r="CM22" s="64"/>
      <c r="CN22" s="36"/>
      <c r="CO22" s="11">
        <f t="shared" si="7"/>
        <v>0</v>
      </c>
      <c r="CP22" s="64"/>
      <c r="CQ22" s="36"/>
      <c r="CR22" s="11">
        <f t="shared" si="8"/>
        <v>0</v>
      </c>
      <c r="CS22" s="64"/>
      <c r="CT22" s="36"/>
      <c r="CU22" s="11">
        <f t="shared" si="9"/>
        <v>0</v>
      </c>
      <c r="CV22" s="64"/>
      <c r="CW22" s="13"/>
      <c r="CX22" s="260">
        <f t="shared" si="10"/>
        <v>5</v>
      </c>
      <c r="CY22" s="157"/>
      <c r="CZ22" s="157"/>
    </row>
    <row r="23" spans="1:104" ht="14.25" customHeight="1">
      <c r="A23" s="10">
        <v>18</v>
      </c>
      <c r="B23" s="36">
        <v>0.5</v>
      </c>
      <c r="C23" s="11">
        <f t="shared" si="11"/>
        <v>1482.624</v>
      </c>
      <c r="D23" s="64">
        <v>1800</v>
      </c>
      <c r="E23" s="36">
        <v>1</v>
      </c>
      <c r="F23" s="11">
        <f t="shared" si="12"/>
        <v>6749.5680000000002</v>
      </c>
      <c r="G23" s="64">
        <v>7676</v>
      </c>
      <c r="H23" s="36">
        <v>1</v>
      </c>
      <c r="I23" s="11">
        <f t="shared" si="13"/>
        <v>5764.6080000000002</v>
      </c>
      <c r="J23" s="64">
        <v>4950</v>
      </c>
      <c r="K23" s="36">
        <v>0</v>
      </c>
      <c r="L23" s="11">
        <f t="shared" si="14"/>
        <v>0</v>
      </c>
      <c r="M23" s="64"/>
      <c r="N23" s="36">
        <v>0.5</v>
      </c>
      <c r="O23" s="11">
        <f t="shared" si="15"/>
        <v>3386.88</v>
      </c>
      <c r="P23" s="64">
        <v>3300</v>
      </c>
      <c r="Q23" s="36">
        <v>1</v>
      </c>
      <c r="R23" s="11">
        <f t="shared" si="16"/>
        <v>6749.5680000000002</v>
      </c>
      <c r="S23" s="64">
        <v>4785</v>
      </c>
      <c r="T23" s="36">
        <v>1</v>
      </c>
      <c r="U23" s="11">
        <f t="shared" si="17"/>
        <v>6749.5680000000002</v>
      </c>
      <c r="V23" s="64">
        <v>5775</v>
      </c>
      <c r="W23" s="36">
        <v>0.5</v>
      </c>
      <c r="X23" s="11">
        <f t="shared" si="18"/>
        <v>2882.3040000000001</v>
      </c>
      <c r="Y23" s="64">
        <v>825</v>
      </c>
      <c r="Z23" s="36"/>
      <c r="AA23" s="11">
        <f t="shared" si="19"/>
        <v>0</v>
      </c>
      <c r="AB23" s="64"/>
      <c r="AC23" s="36">
        <v>0</v>
      </c>
      <c r="AD23" s="11">
        <f t="shared" si="20"/>
        <v>0</v>
      </c>
      <c r="AE23" s="64"/>
      <c r="AF23" s="36">
        <v>0</v>
      </c>
      <c r="AG23" s="11">
        <f t="shared" si="21"/>
        <v>0</v>
      </c>
      <c r="AH23" s="64"/>
      <c r="AI23" s="36"/>
      <c r="AJ23" s="11">
        <f t="shared" si="22"/>
        <v>0</v>
      </c>
      <c r="AK23" s="64"/>
      <c r="AL23" s="36"/>
      <c r="AM23" s="11">
        <f t="shared" si="23"/>
        <v>0</v>
      </c>
      <c r="AN23" s="64"/>
      <c r="AO23" s="36"/>
      <c r="AP23" s="11">
        <f t="shared" si="24"/>
        <v>0</v>
      </c>
      <c r="AQ23" s="64"/>
      <c r="AR23" s="36"/>
      <c r="AS23" s="11">
        <f t="shared" si="25"/>
        <v>0</v>
      </c>
      <c r="AT23" s="64"/>
      <c r="AU23" s="36"/>
      <c r="AV23" s="11">
        <f t="shared" si="26"/>
        <v>0</v>
      </c>
      <c r="AW23" s="64"/>
      <c r="AX23" s="36"/>
      <c r="AY23" s="11">
        <f t="shared" si="27"/>
        <v>0</v>
      </c>
      <c r="AZ23" s="64"/>
      <c r="BA23" s="36"/>
      <c r="BB23" s="11">
        <f t="shared" si="28"/>
        <v>0</v>
      </c>
      <c r="BC23" s="64"/>
      <c r="BD23" s="36"/>
      <c r="BE23" s="11">
        <f t="shared" si="29"/>
        <v>0</v>
      </c>
      <c r="BF23" s="64"/>
      <c r="BG23" s="36"/>
      <c r="BH23" s="11">
        <f t="shared" si="30"/>
        <v>0</v>
      </c>
      <c r="BI23" s="64"/>
      <c r="BJ23" s="36"/>
      <c r="BK23" s="11">
        <f t="shared" si="31"/>
        <v>0</v>
      </c>
      <c r="BL23" s="64"/>
      <c r="BM23" s="36"/>
      <c r="BN23" s="11">
        <f t="shared" si="32"/>
        <v>0</v>
      </c>
      <c r="BO23" s="64"/>
      <c r="BP23" s="36"/>
      <c r="BQ23" s="11">
        <f t="shared" si="33"/>
        <v>0</v>
      </c>
      <c r="BR23" s="64"/>
      <c r="BS23" s="36"/>
      <c r="BT23" s="11">
        <f t="shared" si="2"/>
        <v>0</v>
      </c>
      <c r="BU23" s="12"/>
      <c r="BV23" s="36"/>
      <c r="BW23" s="11">
        <f t="shared" si="3"/>
        <v>0</v>
      </c>
      <c r="BX23" s="64"/>
      <c r="BY23" s="36"/>
      <c r="BZ23" s="11">
        <f t="shared" si="0"/>
        <v>0</v>
      </c>
      <c r="CA23" s="12"/>
      <c r="CB23" s="36"/>
      <c r="CC23" s="11">
        <f t="shared" si="4"/>
        <v>0</v>
      </c>
      <c r="CD23" s="64"/>
      <c r="CE23" s="36"/>
      <c r="CF23" s="11">
        <f t="shared" si="5"/>
        <v>0</v>
      </c>
      <c r="CG23" s="64"/>
      <c r="CH23" s="36"/>
      <c r="CI23" s="11">
        <f t="shared" si="1"/>
        <v>0</v>
      </c>
      <c r="CJ23" s="64"/>
      <c r="CK23" s="36"/>
      <c r="CL23" s="11">
        <f t="shared" si="6"/>
        <v>0</v>
      </c>
      <c r="CM23" s="64"/>
      <c r="CN23" s="36"/>
      <c r="CO23" s="11">
        <f t="shared" si="7"/>
        <v>0</v>
      </c>
      <c r="CP23" s="64"/>
      <c r="CQ23" s="36"/>
      <c r="CR23" s="11">
        <f t="shared" si="8"/>
        <v>0</v>
      </c>
      <c r="CS23" s="64"/>
      <c r="CT23" s="36"/>
      <c r="CU23" s="11">
        <f t="shared" si="9"/>
        <v>0</v>
      </c>
      <c r="CV23" s="64"/>
      <c r="CW23" s="13"/>
      <c r="CX23" s="260">
        <f t="shared" si="10"/>
        <v>5.5</v>
      </c>
      <c r="CY23" s="157"/>
      <c r="CZ23" s="157"/>
    </row>
    <row r="24" spans="1:104" ht="14.25" customHeight="1">
      <c r="A24" s="10">
        <v>19</v>
      </c>
      <c r="B24" s="36">
        <v>0.5</v>
      </c>
      <c r="C24" s="11">
        <f t="shared" si="11"/>
        <v>1482.624</v>
      </c>
      <c r="D24" s="64">
        <v>1080</v>
      </c>
      <c r="E24" s="36">
        <v>1</v>
      </c>
      <c r="F24" s="11">
        <f t="shared" si="12"/>
        <v>6749.5680000000002</v>
      </c>
      <c r="G24" s="64">
        <v>4950</v>
      </c>
      <c r="H24" s="36">
        <v>1</v>
      </c>
      <c r="I24" s="11">
        <f t="shared" si="13"/>
        <v>5764.6080000000002</v>
      </c>
      <c r="J24" s="64">
        <v>5684</v>
      </c>
      <c r="K24" s="36">
        <v>0</v>
      </c>
      <c r="L24" s="11">
        <f t="shared" si="14"/>
        <v>0</v>
      </c>
      <c r="M24" s="64">
        <v>1575</v>
      </c>
      <c r="N24" s="36">
        <v>0.5</v>
      </c>
      <c r="O24" s="11">
        <f t="shared" si="15"/>
        <v>3386.88</v>
      </c>
      <c r="P24" s="64">
        <v>2475</v>
      </c>
      <c r="Q24" s="36">
        <v>1</v>
      </c>
      <c r="R24" s="11">
        <f t="shared" si="16"/>
        <v>6749.5680000000002</v>
      </c>
      <c r="S24" s="64">
        <v>3300</v>
      </c>
      <c r="T24" s="36">
        <v>1</v>
      </c>
      <c r="U24" s="11">
        <f t="shared" si="17"/>
        <v>6749.5680000000002</v>
      </c>
      <c r="V24" s="64">
        <v>4950</v>
      </c>
      <c r="W24" s="36">
        <v>0.5</v>
      </c>
      <c r="X24" s="11">
        <f t="shared" si="18"/>
        <v>2882.3040000000001</v>
      </c>
      <c r="Y24" s="64">
        <v>3135</v>
      </c>
      <c r="Z24" s="36"/>
      <c r="AA24" s="11">
        <f t="shared" si="19"/>
        <v>0</v>
      </c>
      <c r="AB24" s="64"/>
      <c r="AC24" s="36">
        <v>0</v>
      </c>
      <c r="AD24" s="11">
        <f t="shared" si="20"/>
        <v>0</v>
      </c>
      <c r="AE24" s="64">
        <v>426</v>
      </c>
      <c r="AF24" s="36">
        <v>0</v>
      </c>
      <c r="AG24" s="11">
        <f t="shared" si="21"/>
        <v>0</v>
      </c>
      <c r="AH24" s="64"/>
      <c r="AI24" s="36"/>
      <c r="AJ24" s="11">
        <f t="shared" si="22"/>
        <v>0</v>
      </c>
      <c r="AK24" s="64"/>
      <c r="AL24" s="36"/>
      <c r="AM24" s="11">
        <f t="shared" si="23"/>
        <v>0</v>
      </c>
      <c r="AN24" s="64"/>
      <c r="AO24" s="36"/>
      <c r="AP24" s="11">
        <f t="shared" si="24"/>
        <v>0</v>
      </c>
      <c r="AQ24" s="64"/>
      <c r="AR24" s="36"/>
      <c r="AS24" s="11">
        <f t="shared" si="25"/>
        <v>0</v>
      </c>
      <c r="AT24" s="64"/>
      <c r="AU24" s="36"/>
      <c r="AV24" s="11">
        <f t="shared" si="26"/>
        <v>0</v>
      </c>
      <c r="AW24" s="64"/>
      <c r="AX24" s="36"/>
      <c r="AY24" s="11">
        <f t="shared" si="27"/>
        <v>0</v>
      </c>
      <c r="AZ24" s="64"/>
      <c r="BA24" s="36"/>
      <c r="BB24" s="11">
        <f t="shared" si="28"/>
        <v>0</v>
      </c>
      <c r="BC24" s="64"/>
      <c r="BD24" s="36"/>
      <c r="BE24" s="11">
        <f t="shared" si="29"/>
        <v>0</v>
      </c>
      <c r="BF24" s="64"/>
      <c r="BG24" s="36"/>
      <c r="BH24" s="11">
        <f t="shared" si="30"/>
        <v>0</v>
      </c>
      <c r="BI24" s="64"/>
      <c r="BJ24" s="36"/>
      <c r="BK24" s="11">
        <f t="shared" si="31"/>
        <v>0</v>
      </c>
      <c r="BL24" s="64"/>
      <c r="BM24" s="36"/>
      <c r="BN24" s="11">
        <f t="shared" si="32"/>
        <v>0</v>
      </c>
      <c r="BO24" s="64"/>
      <c r="BP24" s="36"/>
      <c r="BQ24" s="11">
        <f t="shared" si="33"/>
        <v>0</v>
      </c>
      <c r="BR24" s="64"/>
      <c r="BS24" s="36"/>
      <c r="BT24" s="11">
        <f t="shared" si="2"/>
        <v>0</v>
      </c>
      <c r="BU24" s="12"/>
      <c r="BV24" s="36"/>
      <c r="BW24" s="11">
        <f t="shared" si="3"/>
        <v>0</v>
      </c>
      <c r="BX24" s="64"/>
      <c r="BY24" s="36"/>
      <c r="BZ24" s="11">
        <f t="shared" si="0"/>
        <v>0</v>
      </c>
      <c r="CA24" s="64"/>
      <c r="CB24" s="36"/>
      <c r="CC24" s="11">
        <f t="shared" si="4"/>
        <v>0</v>
      </c>
      <c r="CD24" s="64"/>
      <c r="CE24" s="36"/>
      <c r="CF24" s="11">
        <f t="shared" si="5"/>
        <v>0</v>
      </c>
      <c r="CG24" s="64"/>
      <c r="CH24" s="36"/>
      <c r="CI24" s="11">
        <f t="shared" si="1"/>
        <v>0</v>
      </c>
      <c r="CJ24" s="64"/>
      <c r="CK24" s="36"/>
      <c r="CL24" s="11">
        <f t="shared" si="6"/>
        <v>0</v>
      </c>
      <c r="CM24" s="64"/>
      <c r="CN24" s="36"/>
      <c r="CO24" s="11">
        <f t="shared" si="7"/>
        <v>0</v>
      </c>
      <c r="CP24" s="64"/>
      <c r="CQ24" s="36"/>
      <c r="CR24" s="11">
        <f t="shared" si="8"/>
        <v>0</v>
      </c>
      <c r="CS24" s="64"/>
      <c r="CT24" s="36"/>
      <c r="CU24" s="11">
        <f t="shared" si="9"/>
        <v>0</v>
      </c>
      <c r="CV24" s="64"/>
      <c r="CW24" s="13"/>
      <c r="CX24" s="260">
        <f t="shared" si="10"/>
        <v>5.5</v>
      </c>
      <c r="CY24" s="157"/>
      <c r="CZ24" s="157"/>
    </row>
    <row r="25" spans="1:104" ht="14.25" customHeight="1">
      <c r="A25" s="10">
        <v>20</v>
      </c>
      <c r="B25" s="36">
        <v>0.5</v>
      </c>
      <c r="C25" s="11">
        <f t="shared" si="11"/>
        <v>1482.624</v>
      </c>
      <c r="D25" s="64">
        <v>1680</v>
      </c>
      <c r="E25" s="36">
        <v>1</v>
      </c>
      <c r="F25" s="11">
        <f t="shared" si="12"/>
        <v>6749.5680000000002</v>
      </c>
      <c r="G25" s="64">
        <v>7260</v>
      </c>
      <c r="H25" s="36">
        <v>1</v>
      </c>
      <c r="I25" s="11">
        <f t="shared" si="13"/>
        <v>5764.6080000000002</v>
      </c>
      <c r="J25" s="64">
        <v>4950</v>
      </c>
      <c r="K25" s="36">
        <v>0</v>
      </c>
      <c r="L25" s="11">
        <f t="shared" si="14"/>
        <v>0</v>
      </c>
      <c r="M25" s="64"/>
      <c r="N25" s="36">
        <v>0.5</v>
      </c>
      <c r="O25" s="11">
        <f t="shared" si="15"/>
        <v>3386.88</v>
      </c>
      <c r="P25" s="64">
        <v>825</v>
      </c>
      <c r="Q25" s="36">
        <v>1</v>
      </c>
      <c r="R25" s="11">
        <f t="shared" si="16"/>
        <v>6749.5680000000002</v>
      </c>
      <c r="S25" s="64">
        <v>4785</v>
      </c>
      <c r="T25" s="36">
        <v>1</v>
      </c>
      <c r="U25" s="11">
        <f t="shared" si="17"/>
        <v>6749.5680000000002</v>
      </c>
      <c r="V25" s="64">
        <v>6517</v>
      </c>
      <c r="W25" s="36">
        <v>0.5</v>
      </c>
      <c r="X25" s="11">
        <f t="shared" si="18"/>
        <v>2882.3040000000001</v>
      </c>
      <c r="Y25" s="64">
        <v>2970</v>
      </c>
      <c r="Z25" s="36"/>
      <c r="AA25" s="11">
        <f t="shared" si="19"/>
        <v>0</v>
      </c>
      <c r="AB25" s="64"/>
      <c r="AC25" s="36">
        <v>0</v>
      </c>
      <c r="AD25" s="11">
        <f t="shared" si="20"/>
        <v>0</v>
      </c>
      <c r="AE25" s="64">
        <v>160</v>
      </c>
      <c r="AF25" s="36">
        <v>0.5</v>
      </c>
      <c r="AG25" s="11">
        <f t="shared" si="21"/>
        <v>3773.0880000000002</v>
      </c>
      <c r="AH25" s="64">
        <v>2475</v>
      </c>
      <c r="AI25" s="36"/>
      <c r="AJ25" s="11">
        <f t="shared" si="22"/>
        <v>0</v>
      </c>
      <c r="AK25" s="64"/>
      <c r="AL25" s="36"/>
      <c r="AM25" s="11">
        <f t="shared" si="23"/>
        <v>0</v>
      </c>
      <c r="AN25" s="64"/>
      <c r="AO25" s="36"/>
      <c r="AP25" s="11">
        <f t="shared" si="24"/>
        <v>0</v>
      </c>
      <c r="AQ25" s="64"/>
      <c r="AR25" s="36"/>
      <c r="AS25" s="11">
        <f t="shared" si="25"/>
        <v>0</v>
      </c>
      <c r="AT25" s="64"/>
      <c r="AU25" s="36"/>
      <c r="AV25" s="11">
        <f t="shared" si="26"/>
        <v>0</v>
      </c>
      <c r="AW25" s="64"/>
      <c r="AX25" s="36"/>
      <c r="AY25" s="11">
        <f t="shared" si="27"/>
        <v>0</v>
      </c>
      <c r="AZ25" s="64"/>
      <c r="BA25" s="36"/>
      <c r="BB25" s="11">
        <f t="shared" si="28"/>
        <v>0</v>
      </c>
      <c r="BC25" s="64"/>
      <c r="BD25" s="36"/>
      <c r="BE25" s="11">
        <f t="shared" si="29"/>
        <v>0</v>
      </c>
      <c r="BF25" s="64"/>
      <c r="BG25" s="36"/>
      <c r="BH25" s="11">
        <f t="shared" si="30"/>
        <v>0</v>
      </c>
      <c r="BI25" s="64"/>
      <c r="BJ25" s="36"/>
      <c r="BK25" s="11">
        <f t="shared" si="31"/>
        <v>0</v>
      </c>
      <c r="BL25" s="64"/>
      <c r="BM25" s="36"/>
      <c r="BN25" s="11">
        <f t="shared" si="32"/>
        <v>0</v>
      </c>
      <c r="BO25" s="64"/>
      <c r="BP25" s="36"/>
      <c r="BQ25" s="11">
        <f t="shared" si="33"/>
        <v>0</v>
      </c>
      <c r="BR25" s="64"/>
      <c r="BS25" s="36"/>
      <c r="BT25" s="11">
        <f t="shared" si="2"/>
        <v>0</v>
      </c>
      <c r="BU25" s="64"/>
      <c r="BV25" s="36"/>
      <c r="BW25" s="11">
        <f t="shared" si="3"/>
        <v>0</v>
      </c>
      <c r="BX25" s="64"/>
      <c r="BY25" s="36"/>
      <c r="BZ25" s="11">
        <f t="shared" si="0"/>
        <v>0</v>
      </c>
      <c r="CA25" s="64"/>
      <c r="CB25" s="36"/>
      <c r="CC25" s="11">
        <f t="shared" si="4"/>
        <v>0</v>
      </c>
      <c r="CD25" s="64"/>
      <c r="CE25" s="36"/>
      <c r="CF25" s="11">
        <f t="shared" si="5"/>
        <v>0</v>
      </c>
      <c r="CG25" s="64"/>
      <c r="CH25" s="36"/>
      <c r="CI25" s="11">
        <f t="shared" si="1"/>
        <v>0</v>
      </c>
      <c r="CJ25" s="64"/>
      <c r="CK25" s="36"/>
      <c r="CL25" s="11">
        <f t="shared" si="6"/>
        <v>0</v>
      </c>
      <c r="CM25" s="64"/>
      <c r="CN25" s="36"/>
      <c r="CO25" s="11">
        <f t="shared" si="7"/>
        <v>0</v>
      </c>
      <c r="CP25" s="64"/>
      <c r="CQ25" s="36"/>
      <c r="CR25" s="11">
        <f t="shared" si="8"/>
        <v>0</v>
      </c>
      <c r="CS25" s="64"/>
      <c r="CT25" s="36"/>
      <c r="CU25" s="11">
        <f t="shared" si="9"/>
        <v>0</v>
      </c>
      <c r="CV25" s="64"/>
      <c r="CW25" s="13"/>
      <c r="CX25" s="260">
        <f t="shared" si="10"/>
        <v>6</v>
      </c>
      <c r="CY25" s="157"/>
      <c r="CZ25" s="157"/>
    </row>
    <row r="26" spans="1:104" ht="14.25" customHeight="1">
      <c r="A26" s="10">
        <v>21</v>
      </c>
      <c r="B26" s="36"/>
      <c r="C26" s="11">
        <f t="shared" si="11"/>
        <v>0</v>
      </c>
      <c r="D26" s="64"/>
      <c r="E26" s="36"/>
      <c r="F26" s="11">
        <f t="shared" si="12"/>
        <v>0</v>
      </c>
      <c r="G26" s="64"/>
      <c r="H26" s="36"/>
      <c r="I26" s="11">
        <f t="shared" si="13"/>
        <v>0</v>
      </c>
      <c r="J26" s="64"/>
      <c r="K26" s="36"/>
      <c r="L26" s="11">
        <f t="shared" si="14"/>
        <v>0</v>
      </c>
      <c r="M26" s="64"/>
      <c r="N26" s="36"/>
      <c r="O26" s="11">
        <f t="shared" si="15"/>
        <v>0</v>
      </c>
      <c r="P26" s="64"/>
      <c r="Q26" s="36"/>
      <c r="R26" s="11">
        <f t="shared" si="16"/>
        <v>0</v>
      </c>
      <c r="S26" s="64"/>
      <c r="T26" s="36"/>
      <c r="U26" s="11">
        <f t="shared" si="17"/>
        <v>0</v>
      </c>
      <c r="V26" s="64"/>
      <c r="W26" s="36"/>
      <c r="X26" s="11">
        <f t="shared" si="18"/>
        <v>0</v>
      </c>
      <c r="Y26" s="64"/>
      <c r="Z26" s="36"/>
      <c r="AA26" s="11">
        <f t="shared" si="19"/>
        <v>0</v>
      </c>
      <c r="AB26" s="64"/>
      <c r="AC26" s="36"/>
      <c r="AD26" s="11">
        <f t="shared" si="20"/>
        <v>0</v>
      </c>
      <c r="AE26" s="64"/>
      <c r="AF26" s="36"/>
      <c r="AG26" s="11">
        <f t="shared" si="21"/>
        <v>0</v>
      </c>
      <c r="AH26" s="64"/>
      <c r="AI26" s="36"/>
      <c r="AJ26" s="11">
        <f t="shared" si="22"/>
        <v>0</v>
      </c>
      <c r="AK26" s="64"/>
      <c r="AL26" s="36"/>
      <c r="AM26" s="11">
        <f t="shared" si="23"/>
        <v>0</v>
      </c>
      <c r="AN26" s="64"/>
      <c r="AO26" s="36"/>
      <c r="AP26" s="11">
        <f t="shared" si="24"/>
        <v>0</v>
      </c>
      <c r="AQ26" s="64"/>
      <c r="AR26" s="36"/>
      <c r="AS26" s="11">
        <f t="shared" si="25"/>
        <v>0</v>
      </c>
      <c r="AT26" s="64"/>
      <c r="AU26" s="36"/>
      <c r="AV26" s="11">
        <f t="shared" si="26"/>
        <v>0</v>
      </c>
      <c r="AW26" s="64"/>
      <c r="AX26" s="36"/>
      <c r="AY26" s="11">
        <f t="shared" si="27"/>
        <v>0</v>
      </c>
      <c r="AZ26" s="64"/>
      <c r="BA26" s="36"/>
      <c r="BB26" s="11">
        <f t="shared" si="28"/>
        <v>0</v>
      </c>
      <c r="BC26" s="64"/>
      <c r="BD26" s="36"/>
      <c r="BE26" s="11">
        <f t="shared" si="29"/>
        <v>0</v>
      </c>
      <c r="BF26" s="64"/>
      <c r="BG26" s="36"/>
      <c r="BH26" s="11">
        <f t="shared" si="30"/>
        <v>0</v>
      </c>
      <c r="BI26" s="64"/>
      <c r="BJ26" s="36"/>
      <c r="BK26" s="11">
        <f t="shared" si="31"/>
        <v>0</v>
      </c>
      <c r="BL26" s="64"/>
      <c r="BM26" s="36"/>
      <c r="BN26" s="11">
        <f t="shared" si="32"/>
        <v>0</v>
      </c>
      <c r="BO26" s="64"/>
      <c r="BP26" s="36"/>
      <c r="BQ26" s="11">
        <f t="shared" si="33"/>
        <v>0</v>
      </c>
      <c r="BR26" s="64"/>
      <c r="BS26" s="36"/>
      <c r="BT26" s="11">
        <f t="shared" si="2"/>
        <v>0</v>
      </c>
      <c r="BU26" s="64"/>
      <c r="BV26" s="36"/>
      <c r="BW26" s="11">
        <f t="shared" si="3"/>
        <v>0</v>
      </c>
      <c r="BX26" s="64"/>
      <c r="BY26" s="36"/>
      <c r="BZ26" s="11">
        <f t="shared" si="0"/>
        <v>0</v>
      </c>
      <c r="CA26" s="64"/>
      <c r="CB26" s="36"/>
      <c r="CC26" s="11">
        <f t="shared" si="4"/>
        <v>0</v>
      </c>
      <c r="CD26" s="64"/>
      <c r="CE26" s="36"/>
      <c r="CF26" s="11">
        <f t="shared" si="5"/>
        <v>0</v>
      </c>
      <c r="CG26" s="64"/>
      <c r="CH26" s="36"/>
      <c r="CI26" s="11">
        <f t="shared" si="1"/>
        <v>0</v>
      </c>
      <c r="CJ26" s="64"/>
      <c r="CK26" s="36"/>
      <c r="CL26" s="11">
        <f t="shared" si="6"/>
        <v>0</v>
      </c>
      <c r="CM26" s="64"/>
      <c r="CN26" s="36"/>
      <c r="CO26" s="11">
        <f t="shared" si="7"/>
        <v>0</v>
      </c>
      <c r="CP26" s="64"/>
      <c r="CQ26" s="36"/>
      <c r="CR26" s="11">
        <f t="shared" si="8"/>
        <v>0</v>
      </c>
      <c r="CS26" s="64"/>
      <c r="CT26" s="36"/>
      <c r="CU26" s="11">
        <f t="shared" si="9"/>
        <v>0</v>
      </c>
      <c r="CV26" s="64"/>
      <c r="CW26" s="13"/>
      <c r="CX26" s="260">
        <f t="shared" si="10"/>
        <v>0</v>
      </c>
      <c r="CY26" s="157"/>
      <c r="CZ26" s="157"/>
    </row>
    <row r="27" spans="1:104" ht="14.25" customHeight="1">
      <c r="A27" s="10">
        <v>22</v>
      </c>
      <c r="B27" s="36"/>
      <c r="C27" s="11">
        <f t="shared" si="11"/>
        <v>0</v>
      </c>
      <c r="D27" s="64"/>
      <c r="E27" s="36"/>
      <c r="F27" s="11">
        <f t="shared" si="12"/>
        <v>0</v>
      </c>
      <c r="G27" s="64"/>
      <c r="H27" s="36"/>
      <c r="I27" s="11">
        <f t="shared" si="13"/>
        <v>0</v>
      </c>
      <c r="J27" s="64"/>
      <c r="K27" s="36"/>
      <c r="L27" s="11">
        <f t="shared" si="14"/>
        <v>0</v>
      </c>
      <c r="M27" s="64"/>
      <c r="N27" s="36"/>
      <c r="O27" s="11">
        <f t="shared" si="15"/>
        <v>0</v>
      </c>
      <c r="P27" s="64"/>
      <c r="Q27" s="36"/>
      <c r="R27" s="11">
        <f t="shared" si="16"/>
        <v>0</v>
      </c>
      <c r="S27" s="64"/>
      <c r="T27" s="36"/>
      <c r="U27" s="11">
        <f t="shared" si="17"/>
        <v>0</v>
      </c>
      <c r="V27" s="64"/>
      <c r="W27" s="36"/>
      <c r="X27" s="11">
        <f t="shared" si="18"/>
        <v>0</v>
      </c>
      <c r="Y27" s="64"/>
      <c r="Z27" s="36"/>
      <c r="AA27" s="11">
        <f t="shared" si="19"/>
        <v>0</v>
      </c>
      <c r="AB27" s="64"/>
      <c r="AC27" s="36"/>
      <c r="AD27" s="11">
        <f t="shared" si="20"/>
        <v>0</v>
      </c>
      <c r="AE27" s="64"/>
      <c r="AF27" s="36"/>
      <c r="AG27" s="11">
        <f t="shared" si="21"/>
        <v>0</v>
      </c>
      <c r="AH27" s="64"/>
      <c r="AI27" s="36"/>
      <c r="AJ27" s="11">
        <f t="shared" si="22"/>
        <v>0</v>
      </c>
      <c r="AK27" s="64"/>
      <c r="AL27" s="36"/>
      <c r="AM27" s="11">
        <f t="shared" si="23"/>
        <v>0</v>
      </c>
      <c r="AN27" s="64"/>
      <c r="AO27" s="36"/>
      <c r="AP27" s="11">
        <f t="shared" si="24"/>
        <v>0</v>
      </c>
      <c r="AQ27" s="64"/>
      <c r="AR27" s="36"/>
      <c r="AS27" s="11">
        <f t="shared" si="25"/>
        <v>0</v>
      </c>
      <c r="AT27" s="64"/>
      <c r="AU27" s="36"/>
      <c r="AV27" s="11">
        <f t="shared" si="26"/>
        <v>0</v>
      </c>
      <c r="AW27" s="64"/>
      <c r="AX27" s="36"/>
      <c r="AY27" s="11">
        <f t="shared" si="27"/>
        <v>0</v>
      </c>
      <c r="AZ27" s="64"/>
      <c r="BA27" s="36"/>
      <c r="BB27" s="11">
        <f t="shared" si="28"/>
        <v>0</v>
      </c>
      <c r="BC27" s="64"/>
      <c r="BD27" s="36"/>
      <c r="BE27" s="11">
        <f t="shared" si="29"/>
        <v>0</v>
      </c>
      <c r="BF27" s="64"/>
      <c r="BG27" s="36"/>
      <c r="BH27" s="11">
        <f t="shared" si="30"/>
        <v>0</v>
      </c>
      <c r="BI27" s="64"/>
      <c r="BJ27" s="36"/>
      <c r="BK27" s="11">
        <f t="shared" si="31"/>
        <v>0</v>
      </c>
      <c r="BL27" s="64"/>
      <c r="BM27" s="36"/>
      <c r="BN27" s="11">
        <f t="shared" si="32"/>
        <v>0</v>
      </c>
      <c r="BO27" s="64"/>
      <c r="BP27" s="36"/>
      <c r="BQ27" s="11">
        <f t="shared" si="33"/>
        <v>0</v>
      </c>
      <c r="BR27" s="64"/>
      <c r="BS27" s="36"/>
      <c r="BT27" s="11">
        <f t="shared" si="2"/>
        <v>0</v>
      </c>
      <c r="BU27" s="64"/>
      <c r="BV27" s="36"/>
      <c r="BW27" s="11">
        <f t="shared" si="3"/>
        <v>0</v>
      </c>
      <c r="BX27" s="64"/>
      <c r="BY27" s="36"/>
      <c r="BZ27" s="11">
        <f t="shared" si="0"/>
        <v>0</v>
      </c>
      <c r="CA27" s="64"/>
      <c r="CB27" s="36"/>
      <c r="CC27" s="11">
        <f t="shared" si="4"/>
        <v>0</v>
      </c>
      <c r="CD27" s="64"/>
      <c r="CE27" s="36"/>
      <c r="CF27" s="11">
        <f t="shared" si="5"/>
        <v>0</v>
      </c>
      <c r="CG27" s="64"/>
      <c r="CH27" s="36"/>
      <c r="CI27" s="11">
        <f t="shared" si="1"/>
        <v>0</v>
      </c>
      <c r="CJ27" s="64"/>
      <c r="CK27" s="36"/>
      <c r="CL27" s="11">
        <f t="shared" si="6"/>
        <v>0</v>
      </c>
      <c r="CM27" s="64"/>
      <c r="CN27" s="36"/>
      <c r="CO27" s="11">
        <f t="shared" si="7"/>
        <v>0</v>
      </c>
      <c r="CP27" s="64"/>
      <c r="CQ27" s="36"/>
      <c r="CR27" s="11">
        <f t="shared" si="8"/>
        <v>0</v>
      </c>
      <c r="CS27" s="64"/>
      <c r="CT27" s="36"/>
      <c r="CU27" s="11">
        <f t="shared" si="9"/>
        <v>0</v>
      </c>
      <c r="CV27" s="64"/>
      <c r="CW27" s="13"/>
      <c r="CX27" s="260">
        <f t="shared" si="10"/>
        <v>0</v>
      </c>
      <c r="CY27" s="157"/>
      <c r="CZ27" s="157"/>
    </row>
    <row r="28" spans="1:104" ht="14.25" customHeight="1">
      <c r="A28" s="10">
        <v>23</v>
      </c>
      <c r="B28" s="36"/>
      <c r="C28" s="11">
        <f t="shared" si="11"/>
        <v>0</v>
      </c>
      <c r="D28" s="64"/>
      <c r="E28" s="36"/>
      <c r="F28" s="11">
        <f t="shared" si="12"/>
        <v>0</v>
      </c>
      <c r="G28" s="64"/>
      <c r="H28" s="36"/>
      <c r="I28" s="11">
        <f t="shared" si="13"/>
        <v>0</v>
      </c>
      <c r="J28" s="64"/>
      <c r="K28" s="36"/>
      <c r="L28" s="11">
        <f t="shared" si="14"/>
        <v>0</v>
      </c>
      <c r="M28" s="64"/>
      <c r="N28" s="36"/>
      <c r="O28" s="11">
        <f t="shared" si="15"/>
        <v>0</v>
      </c>
      <c r="P28" s="64"/>
      <c r="Q28" s="36"/>
      <c r="R28" s="11">
        <f t="shared" si="16"/>
        <v>0</v>
      </c>
      <c r="S28" s="64"/>
      <c r="T28" s="36"/>
      <c r="U28" s="11">
        <f t="shared" si="17"/>
        <v>0</v>
      </c>
      <c r="V28" s="64"/>
      <c r="W28" s="36"/>
      <c r="X28" s="11">
        <f t="shared" si="18"/>
        <v>0</v>
      </c>
      <c r="Y28" s="64"/>
      <c r="Z28" s="36"/>
      <c r="AA28" s="11">
        <f t="shared" si="19"/>
        <v>0</v>
      </c>
      <c r="AB28" s="64"/>
      <c r="AC28" s="36"/>
      <c r="AD28" s="11">
        <f t="shared" si="20"/>
        <v>0</v>
      </c>
      <c r="AE28" s="64"/>
      <c r="AF28" s="36"/>
      <c r="AG28" s="11">
        <f t="shared" si="21"/>
        <v>0</v>
      </c>
      <c r="AH28" s="64"/>
      <c r="AI28" s="36"/>
      <c r="AJ28" s="11">
        <f t="shared" si="22"/>
        <v>0</v>
      </c>
      <c r="AK28" s="64"/>
      <c r="AL28" s="36"/>
      <c r="AM28" s="11">
        <f t="shared" si="23"/>
        <v>0</v>
      </c>
      <c r="AN28" s="64"/>
      <c r="AO28" s="36"/>
      <c r="AP28" s="11">
        <f t="shared" si="24"/>
        <v>0</v>
      </c>
      <c r="AQ28" s="64"/>
      <c r="AR28" s="36"/>
      <c r="AS28" s="11">
        <f t="shared" si="25"/>
        <v>0</v>
      </c>
      <c r="AT28" s="64"/>
      <c r="AU28" s="36"/>
      <c r="AV28" s="11">
        <f t="shared" si="26"/>
        <v>0</v>
      </c>
      <c r="AW28" s="64"/>
      <c r="AX28" s="36"/>
      <c r="AY28" s="11">
        <f t="shared" si="27"/>
        <v>0</v>
      </c>
      <c r="AZ28" s="64"/>
      <c r="BA28" s="36"/>
      <c r="BB28" s="11">
        <f t="shared" si="28"/>
        <v>0</v>
      </c>
      <c r="BC28" s="64"/>
      <c r="BD28" s="36"/>
      <c r="BE28" s="11">
        <f t="shared" si="29"/>
        <v>0</v>
      </c>
      <c r="BF28" s="64"/>
      <c r="BG28" s="36"/>
      <c r="BH28" s="11">
        <f t="shared" si="30"/>
        <v>0</v>
      </c>
      <c r="BI28" s="64"/>
      <c r="BJ28" s="36"/>
      <c r="BK28" s="11">
        <f t="shared" si="31"/>
        <v>0</v>
      </c>
      <c r="BL28" s="64"/>
      <c r="BM28" s="36"/>
      <c r="BN28" s="11">
        <f t="shared" si="32"/>
        <v>0</v>
      </c>
      <c r="BO28" s="64"/>
      <c r="BP28" s="36"/>
      <c r="BQ28" s="11">
        <f t="shared" si="33"/>
        <v>0</v>
      </c>
      <c r="BR28" s="64"/>
      <c r="BS28" s="36"/>
      <c r="BT28" s="11">
        <f t="shared" si="2"/>
        <v>0</v>
      </c>
      <c r="BU28" s="64"/>
      <c r="BV28" s="36"/>
      <c r="BW28" s="11">
        <f t="shared" si="3"/>
        <v>0</v>
      </c>
      <c r="BX28" s="64"/>
      <c r="BY28" s="36"/>
      <c r="BZ28" s="11">
        <f t="shared" si="0"/>
        <v>0</v>
      </c>
      <c r="CA28" s="64"/>
      <c r="CB28" s="36"/>
      <c r="CC28" s="11">
        <f t="shared" si="4"/>
        <v>0</v>
      </c>
      <c r="CD28" s="64"/>
      <c r="CE28" s="36"/>
      <c r="CF28" s="11">
        <f t="shared" si="5"/>
        <v>0</v>
      </c>
      <c r="CG28" s="64"/>
      <c r="CH28" s="36"/>
      <c r="CI28" s="11">
        <f t="shared" si="1"/>
        <v>0</v>
      </c>
      <c r="CJ28" s="64"/>
      <c r="CK28" s="36"/>
      <c r="CL28" s="11">
        <f t="shared" si="6"/>
        <v>0</v>
      </c>
      <c r="CM28" s="64"/>
      <c r="CN28" s="36"/>
      <c r="CO28" s="11">
        <f t="shared" si="7"/>
        <v>0</v>
      </c>
      <c r="CP28" s="64"/>
      <c r="CQ28" s="36"/>
      <c r="CR28" s="11">
        <f t="shared" si="8"/>
        <v>0</v>
      </c>
      <c r="CS28" s="64"/>
      <c r="CT28" s="36"/>
      <c r="CU28" s="11">
        <f t="shared" si="9"/>
        <v>0</v>
      </c>
      <c r="CV28" s="64"/>
      <c r="CW28" s="13"/>
      <c r="CX28" s="260">
        <f t="shared" si="10"/>
        <v>0</v>
      </c>
      <c r="CY28" s="157"/>
      <c r="CZ28" s="157"/>
    </row>
    <row r="29" spans="1:104" ht="14.25" customHeight="1">
      <c r="A29" s="10">
        <v>24</v>
      </c>
      <c r="B29" s="36"/>
      <c r="C29" s="11">
        <f t="shared" si="11"/>
        <v>0</v>
      </c>
      <c r="D29" s="64"/>
      <c r="E29" s="36"/>
      <c r="F29" s="11">
        <f t="shared" si="12"/>
        <v>0</v>
      </c>
      <c r="G29" s="64"/>
      <c r="H29" s="36"/>
      <c r="I29" s="11">
        <f t="shared" si="13"/>
        <v>0</v>
      </c>
      <c r="J29" s="64"/>
      <c r="K29" s="36"/>
      <c r="L29" s="11">
        <f t="shared" si="14"/>
        <v>0</v>
      </c>
      <c r="M29" s="64"/>
      <c r="N29" s="36"/>
      <c r="O29" s="11">
        <f t="shared" si="15"/>
        <v>0</v>
      </c>
      <c r="P29" s="64"/>
      <c r="Q29" s="36"/>
      <c r="R29" s="11">
        <f t="shared" si="16"/>
        <v>0</v>
      </c>
      <c r="S29" s="64"/>
      <c r="T29" s="36"/>
      <c r="U29" s="11">
        <f t="shared" si="17"/>
        <v>0</v>
      </c>
      <c r="V29" s="64"/>
      <c r="W29" s="36"/>
      <c r="X29" s="11">
        <f t="shared" si="18"/>
        <v>0</v>
      </c>
      <c r="Y29" s="64"/>
      <c r="Z29" s="36"/>
      <c r="AA29" s="11">
        <f t="shared" si="19"/>
        <v>0</v>
      </c>
      <c r="AB29" s="64"/>
      <c r="AC29" s="36"/>
      <c r="AD29" s="11">
        <f t="shared" si="20"/>
        <v>0</v>
      </c>
      <c r="AE29" s="64"/>
      <c r="AF29" s="36"/>
      <c r="AG29" s="11">
        <f t="shared" si="21"/>
        <v>0</v>
      </c>
      <c r="AH29" s="64"/>
      <c r="AI29" s="36"/>
      <c r="AJ29" s="11">
        <f t="shared" si="22"/>
        <v>0</v>
      </c>
      <c r="AK29" s="64"/>
      <c r="AL29" s="36"/>
      <c r="AM29" s="11">
        <f t="shared" si="23"/>
        <v>0</v>
      </c>
      <c r="AN29" s="64"/>
      <c r="AO29" s="36"/>
      <c r="AP29" s="11">
        <f t="shared" si="24"/>
        <v>0</v>
      </c>
      <c r="AQ29" s="64"/>
      <c r="AR29" s="36"/>
      <c r="AS29" s="11">
        <f t="shared" si="25"/>
        <v>0</v>
      </c>
      <c r="AT29" s="64"/>
      <c r="AU29" s="36"/>
      <c r="AV29" s="11">
        <f t="shared" si="26"/>
        <v>0</v>
      </c>
      <c r="AW29" s="64"/>
      <c r="AX29" s="36"/>
      <c r="AY29" s="11">
        <f t="shared" si="27"/>
        <v>0</v>
      </c>
      <c r="AZ29" s="64"/>
      <c r="BA29" s="36"/>
      <c r="BB29" s="11">
        <f t="shared" si="28"/>
        <v>0</v>
      </c>
      <c r="BC29" s="64"/>
      <c r="BD29" s="36"/>
      <c r="BE29" s="11">
        <f t="shared" si="29"/>
        <v>0</v>
      </c>
      <c r="BF29" s="64"/>
      <c r="BG29" s="36"/>
      <c r="BH29" s="11">
        <f t="shared" si="30"/>
        <v>0</v>
      </c>
      <c r="BI29" s="64"/>
      <c r="BJ29" s="36"/>
      <c r="BK29" s="11">
        <f t="shared" si="31"/>
        <v>0</v>
      </c>
      <c r="BL29" s="64"/>
      <c r="BM29" s="36"/>
      <c r="BN29" s="11">
        <f t="shared" si="32"/>
        <v>0</v>
      </c>
      <c r="BO29" s="64"/>
      <c r="BP29" s="36"/>
      <c r="BQ29" s="11">
        <f t="shared" si="33"/>
        <v>0</v>
      </c>
      <c r="BR29" s="64"/>
      <c r="BS29" s="36"/>
      <c r="BT29" s="11">
        <f t="shared" si="2"/>
        <v>0</v>
      </c>
      <c r="BU29" s="64"/>
      <c r="BV29" s="36"/>
      <c r="BW29" s="11">
        <f t="shared" si="3"/>
        <v>0</v>
      </c>
      <c r="BX29" s="64"/>
      <c r="BY29" s="36"/>
      <c r="BZ29" s="11">
        <f t="shared" si="0"/>
        <v>0</v>
      </c>
      <c r="CA29" s="64"/>
      <c r="CB29" s="36"/>
      <c r="CC29" s="11">
        <f t="shared" si="4"/>
        <v>0</v>
      </c>
      <c r="CD29" s="64"/>
      <c r="CE29" s="36"/>
      <c r="CF29" s="11">
        <f t="shared" si="5"/>
        <v>0</v>
      </c>
      <c r="CG29" s="64"/>
      <c r="CH29" s="36"/>
      <c r="CI29" s="11">
        <f t="shared" si="1"/>
        <v>0</v>
      </c>
      <c r="CJ29" s="64"/>
      <c r="CK29" s="36"/>
      <c r="CL29" s="11">
        <f t="shared" si="6"/>
        <v>0</v>
      </c>
      <c r="CM29" s="64"/>
      <c r="CN29" s="36"/>
      <c r="CO29" s="11">
        <f t="shared" si="7"/>
        <v>0</v>
      </c>
      <c r="CP29" s="64"/>
      <c r="CQ29" s="36"/>
      <c r="CR29" s="11">
        <f t="shared" si="8"/>
        <v>0</v>
      </c>
      <c r="CS29" s="64"/>
      <c r="CT29" s="36"/>
      <c r="CU29" s="11">
        <f t="shared" si="9"/>
        <v>0</v>
      </c>
      <c r="CV29" s="64"/>
      <c r="CW29" s="13"/>
      <c r="CX29" s="260">
        <f t="shared" si="10"/>
        <v>0</v>
      </c>
      <c r="CY29" s="157"/>
      <c r="CZ29" s="157"/>
    </row>
    <row r="30" spans="1:104" ht="14.25" customHeight="1">
      <c r="A30" s="10">
        <v>25</v>
      </c>
      <c r="B30" s="36"/>
      <c r="C30" s="11">
        <f t="shared" si="11"/>
        <v>0</v>
      </c>
      <c r="D30" s="64"/>
      <c r="E30" s="36"/>
      <c r="F30" s="11">
        <f t="shared" si="12"/>
        <v>0</v>
      </c>
      <c r="G30" s="64"/>
      <c r="H30" s="36"/>
      <c r="I30" s="11">
        <f t="shared" si="13"/>
        <v>0</v>
      </c>
      <c r="J30" s="64"/>
      <c r="K30" s="36"/>
      <c r="L30" s="11">
        <f t="shared" si="14"/>
        <v>0</v>
      </c>
      <c r="M30" s="64"/>
      <c r="N30" s="36"/>
      <c r="O30" s="11">
        <f t="shared" si="15"/>
        <v>0</v>
      </c>
      <c r="P30" s="64"/>
      <c r="Q30" s="36"/>
      <c r="R30" s="11">
        <f t="shared" si="16"/>
        <v>0</v>
      </c>
      <c r="S30" s="64"/>
      <c r="T30" s="36"/>
      <c r="U30" s="11">
        <f t="shared" si="17"/>
        <v>0</v>
      </c>
      <c r="V30" s="64"/>
      <c r="W30" s="36"/>
      <c r="X30" s="11">
        <f t="shared" si="18"/>
        <v>0</v>
      </c>
      <c r="Y30" s="64"/>
      <c r="Z30" s="36"/>
      <c r="AA30" s="11">
        <f t="shared" si="19"/>
        <v>0</v>
      </c>
      <c r="AB30" s="64"/>
      <c r="AC30" s="36"/>
      <c r="AD30" s="11">
        <f t="shared" si="20"/>
        <v>0</v>
      </c>
      <c r="AE30" s="64"/>
      <c r="AF30" s="36"/>
      <c r="AG30" s="11">
        <f t="shared" si="21"/>
        <v>0</v>
      </c>
      <c r="AH30" s="64"/>
      <c r="AI30" s="36"/>
      <c r="AJ30" s="11">
        <f t="shared" si="22"/>
        <v>0</v>
      </c>
      <c r="AK30" s="64"/>
      <c r="AL30" s="36"/>
      <c r="AM30" s="11">
        <f t="shared" si="23"/>
        <v>0</v>
      </c>
      <c r="AN30" s="64"/>
      <c r="AO30" s="36"/>
      <c r="AP30" s="11">
        <f t="shared" si="24"/>
        <v>0</v>
      </c>
      <c r="AQ30" s="64"/>
      <c r="AR30" s="36"/>
      <c r="AS30" s="11">
        <f t="shared" si="25"/>
        <v>0</v>
      </c>
      <c r="AT30" s="64"/>
      <c r="AU30" s="36"/>
      <c r="AV30" s="11">
        <f t="shared" si="26"/>
        <v>0</v>
      </c>
      <c r="AW30" s="64"/>
      <c r="AX30" s="36"/>
      <c r="AY30" s="11">
        <f t="shared" si="27"/>
        <v>0</v>
      </c>
      <c r="AZ30" s="64"/>
      <c r="BA30" s="36"/>
      <c r="BB30" s="11">
        <f t="shared" si="28"/>
        <v>0</v>
      </c>
      <c r="BC30" s="64"/>
      <c r="BD30" s="36"/>
      <c r="BE30" s="11">
        <f t="shared" si="29"/>
        <v>0</v>
      </c>
      <c r="BF30" s="64"/>
      <c r="BG30" s="36"/>
      <c r="BH30" s="11">
        <f t="shared" si="30"/>
        <v>0</v>
      </c>
      <c r="BI30" s="64"/>
      <c r="BJ30" s="36"/>
      <c r="BK30" s="11">
        <f t="shared" si="31"/>
        <v>0</v>
      </c>
      <c r="BL30" s="64"/>
      <c r="BM30" s="36"/>
      <c r="BN30" s="11">
        <f t="shared" si="32"/>
        <v>0</v>
      </c>
      <c r="BO30" s="64"/>
      <c r="BP30" s="36"/>
      <c r="BQ30" s="11">
        <f t="shared" si="33"/>
        <v>0</v>
      </c>
      <c r="BR30" s="64"/>
      <c r="BS30" s="36"/>
      <c r="BT30" s="11">
        <f t="shared" si="2"/>
        <v>0</v>
      </c>
      <c r="BU30" s="64"/>
      <c r="BV30" s="36"/>
      <c r="BW30" s="11">
        <f t="shared" si="3"/>
        <v>0</v>
      </c>
      <c r="BX30" s="64"/>
      <c r="BY30" s="36"/>
      <c r="BZ30" s="11">
        <f t="shared" si="0"/>
        <v>0</v>
      </c>
      <c r="CA30" s="64"/>
      <c r="CB30" s="36"/>
      <c r="CC30" s="11">
        <f t="shared" si="4"/>
        <v>0</v>
      </c>
      <c r="CD30" s="64"/>
      <c r="CE30" s="36"/>
      <c r="CF30" s="11">
        <f t="shared" si="5"/>
        <v>0</v>
      </c>
      <c r="CG30" s="64"/>
      <c r="CH30" s="36"/>
      <c r="CI30" s="11">
        <f t="shared" si="1"/>
        <v>0</v>
      </c>
      <c r="CJ30" s="64"/>
      <c r="CK30" s="36"/>
      <c r="CL30" s="11">
        <f t="shared" si="6"/>
        <v>0</v>
      </c>
      <c r="CM30" s="64"/>
      <c r="CN30" s="36"/>
      <c r="CO30" s="11">
        <f t="shared" si="7"/>
        <v>0</v>
      </c>
      <c r="CP30" s="64"/>
      <c r="CQ30" s="36"/>
      <c r="CR30" s="11">
        <f t="shared" si="8"/>
        <v>0</v>
      </c>
      <c r="CS30" s="64"/>
      <c r="CT30" s="36"/>
      <c r="CU30" s="11">
        <f t="shared" si="9"/>
        <v>0</v>
      </c>
      <c r="CV30" s="64"/>
      <c r="CW30" s="13"/>
      <c r="CX30" s="260">
        <f t="shared" si="10"/>
        <v>0</v>
      </c>
      <c r="CY30" s="157"/>
      <c r="CZ30" s="157"/>
    </row>
    <row r="31" spans="1:104" ht="14.25" customHeight="1">
      <c r="A31" s="10">
        <v>26</v>
      </c>
      <c r="B31" s="36"/>
      <c r="C31" s="11">
        <f t="shared" si="11"/>
        <v>0</v>
      </c>
      <c r="D31" s="64"/>
      <c r="E31" s="36"/>
      <c r="F31" s="11">
        <f t="shared" si="12"/>
        <v>0</v>
      </c>
      <c r="G31" s="64"/>
      <c r="H31" s="36"/>
      <c r="I31" s="11">
        <f t="shared" si="13"/>
        <v>0</v>
      </c>
      <c r="J31" s="64"/>
      <c r="K31" s="36"/>
      <c r="L31" s="11">
        <f t="shared" si="14"/>
        <v>0</v>
      </c>
      <c r="M31" s="64"/>
      <c r="N31" s="36"/>
      <c r="O31" s="11">
        <f t="shared" si="15"/>
        <v>0</v>
      </c>
      <c r="P31" s="64"/>
      <c r="Q31" s="36"/>
      <c r="R31" s="11">
        <f t="shared" si="16"/>
        <v>0</v>
      </c>
      <c r="S31" s="64"/>
      <c r="T31" s="36"/>
      <c r="U31" s="11">
        <f t="shared" si="17"/>
        <v>0</v>
      </c>
      <c r="V31" s="64"/>
      <c r="W31" s="36"/>
      <c r="X31" s="11">
        <f t="shared" si="18"/>
        <v>0</v>
      </c>
      <c r="Y31" s="64"/>
      <c r="Z31" s="36"/>
      <c r="AA31" s="11">
        <f t="shared" si="19"/>
        <v>0</v>
      </c>
      <c r="AB31" s="64"/>
      <c r="AC31" s="36"/>
      <c r="AD31" s="11">
        <f t="shared" si="20"/>
        <v>0</v>
      </c>
      <c r="AE31" s="64"/>
      <c r="AF31" s="36"/>
      <c r="AG31" s="11">
        <f t="shared" si="21"/>
        <v>0</v>
      </c>
      <c r="AH31" s="64"/>
      <c r="AI31" s="36"/>
      <c r="AJ31" s="11">
        <f t="shared" si="22"/>
        <v>0</v>
      </c>
      <c r="AK31" s="64"/>
      <c r="AL31" s="36"/>
      <c r="AM31" s="11">
        <f t="shared" si="23"/>
        <v>0</v>
      </c>
      <c r="AN31" s="64"/>
      <c r="AO31" s="36"/>
      <c r="AP31" s="11">
        <f t="shared" si="24"/>
        <v>0</v>
      </c>
      <c r="AQ31" s="64"/>
      <c r="AR31" s="36"/>
      <c r="AS31" s="11">
        <f t="shared" si="25"/>
        <v>0</v>
      </c>
      <c r="AT31" s="64"/>
      <c r="AU31" s="36"/>
      <c r="AV31" s="11">
        <f t="shared" si="26"/>
        <v>0</v>
      </c>
      <c r="AW31" s="64"/>
      <c r="AX31" s="36"/>
      <c r="AY31" s="11">
        <f t="shared" si="27"/>
        <v>0</v>
      </c>
      <c r="AZ31" s="64"/>
      <c r="BA31" s="36"/>
      <c r="BB31" s="11">
        <f t="shared" si="28"/>
        <v>0</v>
      </c>
      <c r="BC31" s="64"/>
      <c r="BD31" s="36"/>
      <c r="BE31" s="11">
        <f t="shared" si="29"/>
        <v>0</v>
      </c>
      <c r="BF31" s="64"/>
      <c r="BG31" s="36"/>
      <c r="BH31" s="11">
        <f t="shared" si="30"/>
        <v>0</v>
      </c>
      <c r="BI31" s="64"/>
      <c r="BJ31" s="36"/>
      <c r="BK31" s="11">
        <f t="shared" si="31"/>
        <v>0</v>
      </c>
      <c r="BL31" s="64"/>
      <c r="BM31" s="36"/>
      <c r="BN31" s="11">
        <f t="shared" si="32"/>
        <v>0</v>
      </c>
      <c r="BO31" s="64"/>
      <c r="BP31" s="36"/>
      <c r="BQ31" s="11">
        <f t="shared" si="33"/>
        <v>0</v>
      </c>
      <c r="BR31" s="64"/>
      <c r="BS31" s="36"/>
      <c r="BT31" s="11">
        <f t="shared" si="2"/>
        <v>0</v>
      </c>
      <c r="BU31" s="64"/>
      <c r="BV31" s="36"/>
      <c r="BW31" s="11">
        <f t="shared" si="3"/>
        <v>0</v>
      </c>
      <c r="BX31" s="64"/>
      <c r="BY31" s="36"/>
      <c r="BZ31" s="11">
        <f t="shared" si="0"/>
        <v>0</v>
      </c>
      <c r="CA31" s="64"/>
      <c r="CB31" s="36"/>
      <c r="CC31" s="11">
        <f t="shared" si="4"/>
        <v>0</v>
      </c>
      <c r="CD31" s="64"/>
      <c r="CE31" s="36"/>
      <c r="CF31" s="11">
        <f t="shared" si="5"/>
        <v>0</v>
      </c>
      <c r="CG31" s="64"/>
      <c r="CH31" s="36"/>
      <c r="CI31" s="11">
        <f t="shared" si="1"/>
        <v>0</v>
      </c>
      <c r="CJ31" s="64"/>
      <c r="CK31" s="36"/>
      <c r="CL31" s="11">
        <f t="shared" si="6"/>
        <v>0</v>
      </c>
      <c r="CM31" s="64"/>
      <c r="CN31" s="36"/>
      <c r="CO31" s="11">
        <f t="shared" si="7"/>
        <v>0</v>
      </c>
      <c r="CP31" s="64"/>
      <c r="CQ31" s="36"/>
      <c r="CR31" s="11">
        <f t="shared" si="8"/>
        <v>0</v>
      </c>
      <c r="CS31" s="64"/>
      <c r="CT31" s="36"/>
      <c r="CU31" s="11">
        <f t="shared" si="9"/>
        <v>0</v>
      </c>
      <c r="CV31" s="64"/>
      <c r="CW31" s="13"/>
      <c r="CX31" s="260">
        <f t="shared" si="10"/>
        <v>0</v>
      </c>
      <c r="CY31" s="157"/>
      <c r="CZ31" s="157"/>
    </row>
    <row r="32" spans="1:104" ht="14.25" customHeight="1">
      <c r="A32" s="10">
        <v>27</v>
      </c>
      <c r="B32" s="36"/>
      <c r="C32" s="11">
        <f t="shared" si="11"/>
        <v>0</v>
      </c>
      <c r="D32" s="64"/>
      <c r="E32" s="36"/>
      <c r="F32" s="11">
        <f t="shared" si="12"/>
        <v>0</v>
      </c>
      <c r="G32" s="64"/>
      <c r="H32" s="36"/>
      <c r="I32" s="11">
        <f t="shared" si="13"/>
        <v>0</v>
      </c>
      <c r="J32" s="64"/>
      <c r="K32" s="36"/>
      <c r="L32" s="11">
        <f t="shared" si="14"/>
        <v>0</v>
      </c>
      <c r="M32" s="64"/>
      <c r="N32" s="36"/>
      <c r="O32" s="11">
        <f t="shared" si="15"/>
        <v>0</v>
      </c>
      <c r="P32" s="64"/>
      <c r="Q32" s="36"/>
      <c r="R32" s="11">
        <f t="shared" si="16"/>
        <v>0</v>
      </c>
      <c r="S32" s="64"/>
      <c r="T32" s="36"/>
      <c r="U32" s="11">
        <f t="shared" si="17"/>
        <v>0</v>
      </c>
      <c r="V32" s="64"/>
      <c r="W32" s="36"/>
      <c r="X32" s="11">
        <f t="shared" si="18"/>
        <v>0</v>
      </c>
      <c r="Y32" s="64"/>
      <c r="Z32" s="36"/>
      <c r="AA32" s="11">
        <f t="shared" si="19"/>
        <v>0</v>
      </c>
      <c r="AB32" s="64"/>
      <c r="AC32" s="36"/>
      <c r="AD32" s="11">
        <f t="shared" si="20"/>
        <v>0</v>
      </c>
      <c r="AE32" s="64"/>
      <c r="AF32" s="36"/>
      <c r="AG32" s="11">
        <f t="shared" si="21"/>
        <v>0</v>
      </c>
      <c r="AH32" s="64"/>
      <c r="AI32" s="36"/>
      <c r="AJ32" s="11">
        <f t="shared" si="22"/>
        <v>0</v>
      </c>
      <c r="AK32" s="64"/>
      <c r="AL32" s="36"/>
      <c r="AM32" s="11">
        <f t="shared" si="23"/>
        <v>0</v>
      </c>
      <c r="AN32" s="64"/>
      <c r="AO32" s="36"/>
      <c r="AP32" s="11">
        <f t="shared" si="24"/>
        <v>0</v>
      </c>
      <c r="AQ32" s="64"/>
      <c r="AR32" s="36"/>
      <c r="AS32" s="11">
        <f t="shared" si="25"/>
        <v>0</v>
      </c>
      <c r="AT32" s="64"/>
      <c r="AU32" s="36"/>
      <c r="AV32" s="11">
        <f t="shared" si="26"/>
        <v>0</v>
      </c>
      <c r="AW32" s="64"/>
      <c r="AX32" s="36"/>
      <c r="AY32" s="11">
        <f t="shared" si="27"/>
        <v>0</v>
      </c>
      <c r="AZ32" s="64"/>
      <c r="BA32" s="36"/>
      <c r="BB32" s="11">
        <f t="shared" si="28"/>
        <v>0</v>
      </c>
      <c r="BC32" s="64"/>
      <c r="BD32" s="36"/>
      <c r="BE32" s="11">
        <f t="shared" si="29"/>
        <v>0</v>
      </c>
      <c r="BF32" s="64"/>
      <c r="BG32" s="36"/>
      <c r="BH32" s="11">
        <f t="shared" si="30"/>
        <v>0</v>
      </c>
      <c r="BI32" s="64"/>
      <c r="BJ32" s="36"/>
      <c r="BK32" s="11">
        <f t="shared" si="31"/>
        <v>0</v>
      </c>
      <c r="BL32" s="64"/>
      <c r="BM32" s="36"/>
      <c r="BN32" s="11">
        <f t="shared" si="32"/>
        <v>0</v>
      </c>
      <c r="BO32" s="64"/>
      <c r="BP32" s="36"/>
      <c r="BQ32" s="11">
        <f t="shared" si="33"/>
        <v>0</v>
      </c>
      <c r="BR32" s="64"/>
      <c r="BS32" s="36"/>
      <c r="BT32" s="11">
        <f t="shared" si="2"/>
        <v>0</v>
      </c>
      <c r="BU32" s="64"/>
      <c r="BV32" s="36"/>
      <c r="BW32" s="11">
        <f t="shared" si="3"/>
        <v>0</v>
      </c>
      <c r="BX32" s="64"/>
      <c r="BY32" s="36"/>
      <c r="BZ32" s="11">
        <f t="shared" si="0"/>
        <v>0</v>
      </c>
      <c r="CA32" s="64"/>
      <c r="CB32" s="36"/>
      <c r="CC32" s="11">
        <f t="shared" si="4"/>
        <v>0</v>
      </c>
      <c r="CD32" s="64"/>
      <c r="CE32" s="36"/>
      <c r="CF32" s="11">
        <f t="shared" si="5"/>
        <v>0</v>
      </c>
      <c r="CG32" s="64"/>
      <c r="CH32" s="36"/>
      <c r="CI32" s="11">
        <f t="shared" si="1"/>
        <v>0</v>
      </c>
      <c r="CJ32" s="64"/>
      <c r="CK32" s="36"/>
      <c r="CL32" s="11">
        <f t="shared" si="6"/>
        <v>0</v>
      </c>
      <c r="CM32" s="64"/>
      <c r="CN32" s="36"/>
      <c r="CO32" s="11">
        <f t="shared" si="7"/>
        <v>0</v>
      </c>
      <c r="CP32" s="64"/>
      <c r="CQ32" s="36"/>
      <c r="CR32" s="11">
        <f t="shared" si="8"/>
        <v>0</v>
      </c>
      <c r="CS32" s="64"/>
      <c r="CT32" s="36"/>
      <c r="CU32" s="11">
        <f t="shared" si="9"/>
        <v>0</v>
      </c>
      <c r="CV32" s="64"/>
      <c r="CW32" s="13"/>
      <c r="CX32" s="260">
        <f t="shared" si="10"/>
        <v>0</v>
      </c>
      <c r="CY32" s="157"/>
      <c r="CZ32" s="157"/>
    </row>
    <row r="33" spans="1:109" ht="14.25" customHeight="1">
      <c r="A33" s="10">
        <v>28</v>
      </c>
      <c r="B33" s="36"/>
      <c r="C33" s="11">
        <f t="shared" si="11"/>
        <v>0</v>
      </c>
      <c r="D33" s="64"/>
      <c r="E33" s="36"/>
      <c r="F33" s="11">
        <f t="shared" si="12"/>
        <v>0</v>
      </c>
      <c r="G33" s="64"/>
      <c r="H33" s="36"/>
      <c r="I33" s="11">
        <f t="shared" si="13"/>
        <v>0</v>
      </c>
      <c r="J33" s="64"/>
      <c r="K33" s="36"/>
      <c r="L33" s="11">
        <f t="shared" si="14"/>
        <v>0</v>
      </c>
      <c r="M33" s="64"/>
      <c r="N33" s="36"/>
      <c r="O33" s="11">
        <f t="shared" si="15"/>
        <v>0</v>
      </c>
      <c r="P33" s="64"/>
      <c r="Q33" s="36"/>
      <c r="R33" s="11">
        <f t="shared" si="16"/>
        <v>0</v>
      </c>
      <c r="S33" s="64"/>
      <c r="T33" s="36"/>
      <c r="U33" s="11">
        <f t="shared" si="17"/>
        <v>0</v>
      </c>
      <c r="V33" s="64"/>
      <c r="W33" s="36"/>
      <c r="X33" s="11">
        <f t="shared" si="18"/>
        <v>0</v>
      </c>
      <c r="Y33" s="64"/>
      <c r="Z33" s="36"/>
      <c r="AA33" s="11">
        <f t="shared" si="19"/>
        <v>0</v>
      </c>
      <c r="AB33" s="64"/>
      <c r="AC33" s="36"/>
      <c r="AD33" s="11">
        <f t="shared" si="20"/>
        <v>0</v>
      </c>
      <c r="AE33" s="64"/>
      <c r="AF33" s="36"/>
      <c r="AG33" s="11">
        <f t="shared" si="21"/>
        <v>0</v>
      </c>
      <c r="AH33" s="64"/>
      <c r="AI33" s="36"/>
      <c r="AJ33" s="11">
        <f t="shared" si="22"/>
        <v>0</v>
      </c>
      <c r="AK33" s="64"/>
      <c r="AL33" s="36"/>
      <c r="AM33" s="11">
        <f t="shared" si="23"/>
        <v>0</v>
      </c>
      <c r="AN33" s="64"/>
      <c r="AO33" s="36"/>
      <c r="AP33" s="11">
        <f t="shared" si="24"/>
        <v>0</v>
      </c>
      <c r="AQ33" s="64"/>
      <c r="AR33" s="36"/>
      <c r="AS33" s="11">
        <f t="shared" si="25"/>
        <v>0</v>
      </c>
      <c r="AT33" s="64"/>
      <c r="AU33" s="36"/>
      <c r="AV33" s="11">
        <f t="shared" si="26"/>
        <v>0</v>
      </c>
      <c r="AW33" s="64"/>
      <c r="AX33" s="36"/>
      <c r="AY33" s="11">
        <f t="shared" si="27"/>
        <v>0</v>
      </c>
      <c r="AZ33" s="64"/>
      <c r="BA33" s="36"/>
      <c r="BB33" s="11">
        <f t="shared" si="28"/>
        <v>0</v>
      </c>
      <c r="BC33" s="64"/>
      <c r="BD33" s="36"/>
      <c r="BE33" s="11">
        <f t="shared" si="29"/>
        <v>0</v>
      </c>
      <c r="BF33" s="64"/>
      <c r="BG33" s="36"/>
      <c r="BH33" s="11">
        <f t="shared" si="30"/>
        <v>0</v>
      </c>
      <c r="BI33" s="64"/>
      <c r="BJ33" s="36"/>
      <c r="BK33" s="11">
        <f t="shared" si="31"/>
        <v>0</v>
      </c>
      <c r="BL33" s="64"/>
      <c r="BM33" s="36"/>
      <c r="BN33" s="11">
        <f t="shared" si="32"/>
        <v>0</v>
      </c>
      <c r="BO33" s="64"/>
      <c r="BP33" s="36"/>
      <c r="BQ33" s="11">
        <f t="shared" si="33"/>
        <v>0</v>
      </c>
      <c r="BR33" s="64"/>
      <c r="BS33" s="36"/>
      <c r="BT33" s="11">
        <f t="shared" si="2"/>
        <v>0</v>
      </c>
      <c r="BU33" s="64"/>
      <c r="BV33" s="36"/>
      <c r="BW33" s="11">
        <f t="shared" si="3"/>
        <v>0</v>
      </c>
      <c r="BX33" s="64"/>
      <c r="BY33" s="36"/>
      <c r="BZ33" s="11">
        <f t="shared" si="0"/>
        <v>0</v>
      </c>
      <c r="CA33" s="64"/>
      <c r="CB33" s="36"/>
      <c r="CC33" s="11">
        <f t="shared" si="4"/>
        <v>0</v>
      </c>
      <c r="CD33" s="64"/>
      <c r="CE33" s="36"/>
      <c r="CF33" s="11">
        <f t="shared" si="5"/>
        <v>0</v>
      </c>
      <c r="CG33" s="64"/>
      <c r="CH33" s="36"/>
      <c r="CI33" s="11">
        <f t="shared" si="1"/>
        <v>0</v>
      </c>
      <c r="CJ33" s="64"/>
      <c r="CK33" s="36"/>
      <c r="CL33" s="11">
        <f t="shared" si="6"/>
        <v>0</v>
      </c>
      <c r="CM33" s="64"/>
      <c r="CN33" s="36"/>
      <c r="CO33" s="11">
        <f t="shared" si="7"/>
        <v>0</v>
      </c>
      <c r="CP33" s="64"/>
      <c r="CQ33" s="36"/>
      <c r="CR33" s="11">
        <f t="shared" si="8"/>
        <v>0</v>
      </c>
      <c r="CS33" s="64"/>
      <c r="CT33" s="36"/>
      <c r="CU33" s="11">
        <f t="shared" si="9"/>
        <v>0</v>
      </c>
      <c r="CV33" s="64"/>
      <c r="CW33" s="13"/>
      <c r="CX33" s="260">
        <f t="shared" si="10"/>
        <v>0</v>
      </c>
      <c r="CY33" s="157"/>
      <c r="CZ33" s="157"/>
    </row>
    <row r="34" spans="1:109" ht="14.25" customHeight="1">
      <c r="A34" s="10">
        <v>29</v>
      </c>
      <c r="B34" s="36"/>
      <c r="C34" s="11">
        <f t="shared" si="11"/>
        <v>0</v>
      </c>
      <c r="D34" s="64"/>
      <c r="E34" s="36"/>
      <c r="F34" s="11">
        <f t="shared" si="12"/>
        <v>0</v>
      </c>
      <c r="G34" s="64"/>
      <c r="H34" s="36"/>
      <c r="I34" s="11">
        <f t="shared" si="13"/>
        <v>0</v>
      </c>
      <c r="J34" s="64"/>
      <c r="K34" s="36"/>
      <c r="L34" s="11">
        <f t="shared" si="14"/>
        <v>0</v>
      </c>
      <c r="M34" s="64"/>
      <c r="N34" s="36"/>
      <c r="O34" s="11">
        <f t="shared" si="15"/>
        <v>0</v>
      </c>
      <c r="P34" s="64"/>
      <c r="Q34" s="36"/>
      <c r="R34" s="11">
        <f t="shared" si="16"/>
        <v>0</v>
      </c>
      <c r="S34" s="64"/>
      <c r="T34" s="36"/>
      <c r="U34" s="11">
        <f t="shared" si="17"/>
        <v>0</v>
      </c>
      <c r="V34" s="64"/>
      <c r="W34" s="36"/>
      <c r="X34" s="11">
        <f t="shared" si="18"/>
        <v>0</v>
      </c>
      <c r="Y34" s="64"/>
      <c r="Z34" s="36"/>
      <c r="AA34" s="11">
        <f t="shared" si="19"/>
        <v>0</v>
      </c>
      <c r="AB34" s="64"/>
      <c r="AC34" s="36"/>
      <c r="AD34" s="11">
        <f t="shared" si="20"/>
        <v>0</v>
      </c>
      <c r="AE34" s="64"/>
      <c r="AF34" s="36"/>
      <c r="AG34" s="11">
        <f t="shared" si="21"/>
        <v>0</v>
      </c>
      <c r="AH34" s="64"/>
      <c r="AI34" s="36"/>
      <c r="AJ34" s="11">
        <f t="shared" si="22"/>
        <v>0</v>
      </c>
      <c r="AK34" s="64"/>
      <c r="AL34" s="36"/>
      <c r="AM34" s="11">
        <f t="shared" si="23"/>
        <v>0</v>
      </c>
      <c r="AN34" s="64"/>
      <c r="AO34" s="36"/>
      <c r="AP34" s="11">
        <f t="shared" si="24"/>
        <v>0</v>
      </c>
      <c r="AQ34" s="64"/>
      <c r="AR34" s="36"/>
      <c r="AS34" s="11">
        <f t="shared" si="25"/>
        <v>0</v>
      </c>
      <c r="AT34" s="64"/>
      <c r="AU34" s="36"/>
      <c r="AV34" s="11">
        <f t="shared" si="26"/>
        <v>0</v>
      </c>
      <c r="AW34" s="64"/>
      <c r="AX34" s="36"/>
      <c r="AY34" s="11">
        <f t="shared" si="27"/>
        <v>0</v>
      </c>
      <c r="AZ34" s="64"/>
      <c r="BA34" s="36"/>
      <c r="BB34" s="11">
        <f t="shared" si="28"/>
        <v>0</v>
      </c>
      <c r="BC34" s="64"/>
      <c r="BD34" s="36"/>
      <c r="BE34" s="11">
        <f t="shared" si="29"/>
        <v>0</v>
      </c>
      <c r="BF34" s="64"/>
      <c r="BG34" s="36"/>
      <c r="BH34" s="11">
        <f t="shared" si="30"/>
        <v>0</v>
      </c>
      <c r="BI34" s="64"/>
      <c r="BJ34" s="36"/>
      <c r="BK34" s="11">
        <f t="shared" si="31"/>
        <v>0</v>
      </c>
      <c r="BL34" s="64"/>
      <c r="BM34" s="36"/>
      <c r="BN34" s="11">
        <f t="shared" si="32"/>
        <v>0</v>
      </c>
      <c r="BO34" s="64"/>
      <c r="BP34" s="36"/>
      <c r="BQ34" s="11">
        <f t="shared" si="33"/>
        <v>0</v>
      </c>
      <c r="BR34" s="64"/>
      <c r="BS34" s="36"/>
      <c r="BT34" s="11">
        <f t="shared" si="2"/>
        <v>0</v>
      </c>
      <c r="BU34" s="64"/>
      <c r="BV34" s="36"/>
      <c r="BW34" s="11">
        <f t="shared" si="3"/>
        <v>0</v>
      </c>
      <c r="BX34" s="64"/>
      <c r="BY34" s="36"/>
      <c r="BZ34" s="11">
        <f t="shared" si="0"/>
        <v>0</v>
      </c>
      <c r="CA34" s="64"/>
      <c r="CB34" s="36"/>
      <c r="CC34" s="11">
        <f t="shared" si="4"/>
        <v>0</v>
      </c>
      <c r="CD34" s="64"/>
      <c r="CE34" s="36"/>
      <c r="CF34" s="11">
        <f t="shared" si="5"/>
        <v>0</v>
      </c>
      <c r="CG34" s="64"/>
      <c r="CH34" s="36"/>
      <c r="CI34" s="11">
        <f t="shared" si="1"/>
        <v>0</v>
      </c>
      <c r="CJ34" s="64"/>
      <c r="CK34" s="36"/>
      <c r="CL34" s="11">
        <f t="shared" si="6"/>
        <v>0</v>
      </c>
      <c r="CM34" s="64"/>
      <c r="CN34" s="36"/>
      <c r="CO34" s="11">
        <f t="shared" si="7"/>
        <v>0</v>
      </c>
      <c r="CP34" s="64"/>
      <c r="CQ34" s="36"/>
      <c r="CR34" s="11">
        <f t="shared" si="8"/>
        <v>0</v>
      </c>
      <c r="CS34" s="64"/>
      <c r="CT34" s="36"/>
      <c r="CU34" s="11">
        <f t="shared" si="9"/>
        <v>0</v>
      </c>
      <c r="CV34" s="64"/>
      <c r="CW34" s="13"/>
      <c r="CX34" s="260">
        <f t="shared" si="10"/>
        <v>0</v>
      </c>
      <c r="CY34" s="157"/>
      <c r="CZ34" s="157"/>
    </row>
    <row r="35" spans="1:109" ht="14.25" customHeight="1">
      <c r="A35" s="10">
        <v>30</v>
      </c>
      <c r="B35" s="36"/>
      <c r="C35" s="11">
        <f t="shared" si="11"/>
        <v>0</v>
      </c>
      <c r="D35" s="64"/>
      <c r="E35" s="36"/>
      <c r="F35" s="11">
        <f t="shared" si="12"/>
        <v>0</v>
      </c>
      <c r="G35" s="64"/>
      <c r="H35" s="36"/>
      <c r="I35" s="11">
        <f t="shared" si="13"/>
        <v>0</v>
      </c>
      <c r="J35" s="64"/>
      <c r="K35" s="36"/>
      <c r="L35" s="11">
        <f t="shared" si="14"/>
        <v>0</v>
      </c>
      <c r="M35" s="64"/>
      <c r="N35" s="36"/>
      <c r="O35" s="11">
        <f t="shared" si="15"/>
        <v>0</v>
      </c>
      <c r="P35" s="64"/>
      <c r="Q35" s="36"/>
      <c r="R35" s="11">
        <f t="shared" si="16"/>
        <v>0</v>
      </c>
      <c r="S35" s="64"/>
      <c r="T35" s="36"/>
      <c r="U35" s="11">
        <f t="shared" si="17"/>
        <v>0</v>
      </c>
      <c r="V35" s="64"/>
      <c r="W35" s="36"/>
      <c r="X35" s="11">
        <f t="shared" si="18"/>
        <v>0</v>
      </c>
      <c r="Y35" s="64"/>
      <c r="Z35" s="36"/>
      <c r="AA35" s="11">
        <f t="shared" si="19"/>
        <v>0</v>
      </c>
      <c r="AB35" s="64"/>
      <c r="AC35" s="36"/>
      <c r="AD35" s="11">
        <f t="shared" si="20"/>
        <v>0</v>
      </c>
      <c r="AE35" s="64"/>
      <c r="AF35" s="36"/>
      <c r="AG35" s="11">
        <f t="shared" si="21"/>
        <v>0</v>
      </c>
      <c r="AH35" s="64"/>
      <c r="AI35" s="36"/>
      <c r="AJ35" s="11">
        <f t="shared" si="22"/>
        <v>0</v>
      </c>
      <c r="AK35" s="64"/>
      <c r="AL35" s="36"/>
      <c r="AM35" s="11">
        <f t="shared" si="23"/>
        <v>0</v>
      </c>
      <c r="AN35" s="64"/>
      <c r="AO35" s="36"/>
      <c r="AP35" s="11">
        <f t="shared" si="24"/>
        <v>0</v>
      </c>
      <c r="AQ35" s="64"/>
      <c r="AR35" s="36"/>
      <c r="AS35" s="11">
        <f t="shared" si="25"/>
        <v>0</v>
      </c>
      <c r="AT35" s="64"/>
      <c r="AU35" s="36"/>
      <c r="AV35" s="11">
        <f t="shared" si="26"/>
        <v>0</v>
      </c>
      <c r="AW35" s="64"/>
      <c r="AX35" s="36"/>
      <c r="AY35" s="11">
        <f t="shared" si="27"/>
        <v>0</v>
      </c>
      <c r="AZ35" s="64"/>
      <c r="BA35" s="36"/>
      <c r="BB35" s="11">
        <f t="shared" si="28"/>
        <v>0</v>
      </c>
      <c r="BC35" s="64"/>
      <c r="BD35" s="36"/>
      <c r="BE35" s="11">
        <f t="shared" si="29"/>
        <v>0</v>
      </c>
      <c r="BF35" s="64"/>
      <c r="BG35" s="36"/>
      <c r="BH35" s="11">
        <f t="shared" si="30"/>
        <v>0</v>
      </c>
      <c r="BI35" s="64"/>
      <c r="BJ35" s="36"/>
      <c r="BK35" s="11">
        <f t="shared" si="31"/>
        <v>0</v>
      </c>
      <c r="BL35" s="64"/>
      <c r="BM35" s="36"/>
      <c r="BN35" s="11">
        <f t="shared" si="32"/>
        <v>0</v>
      </c>
      <c r="BO35" s="64"/>
      <c r="BP35" s="36"/>
      <c r="BQ35" s="11">
        <f t="shared" si="33"/>
        <v>0</v>
      </c>
      <c r="BR35" s="64"/>
      <c r="BS35" s="36"/>
      <c r="BT35" s="11">
        <f t="shared" si="2"/>
        <v>0</v>
      </c>
      <c r="BU35" s="64"/>
      <c r="BV35" s="36"/>
      <c r="BW35" s="11">
        <f t="shared" si="3"/>
        <v>0</v>
      </c>
      <c r="BX35" s="64"/>
      <c r="BY35" s="36"/>
      <c r="BZ35" s="11">
        <f>CA$3*CA$4*216*24*60*BY35/9000000</f>
        <v>0</v>
      </c>
      <c r="CA35" s="64"/>
      <c r="CB35" s="36"/>
      <c r="CC35" s="11">
        <f t="shared" si="4"/>
        <v>0</v>
      </c>
      <c r="CD35" s="64"/>
      <c r="CE35" s="36"/>
      <c r="CF35" s="11">
        <f t="shared" si="5"/>
        <v>0</v>
      </c>
      <c r="CG35" s="64"/>
      <c r="CH35" s="36"/>
      <c r="CI35" s="11">
        <f>CJ$3*CJ$4*216*24*60*CH35/9000000</f>
        <v>0</v>
      </c>
      <c r="CJ35" s="64"/>
      <c r="CK35" s="36"/>
      <c r="CL35" s="11">
        <f t="shared" si="6"/>
        <v>0</v>
      </c>
      <c r="CM35" s="64"/>
      <c r="CN35" s="36"/>
      <c r="CO35" s="11">
        <f t="shared" si="7"/>
        <v>0</v>
      </c>
      <c r="CP35" s="64"/>
      <c r="CQ35" s="36"/>
      <c r="CR35" s="11">
        <f t="shared" si="8"/>
        <v>0</v>
      </c>
      <c r="CS35" s="64"/>
      <c r="CT35" s="36"/>
      <c r="CU35" s="11">
        <f t="shared" si="9"/>
        <v>0</v>
      </c>
      <c r="CV35" s="64"/>
      <c r="CW35" s="13"/>
      <c r="CX35" s="260">
        <f t="shared" si="10"/>
        <v>0</v>
      </c>
      <c r="CY35" s="157"/>
      <c r="CZ35" s="157"/>
    </row>
    <row r="36" spans="1:109" ht="14.25" customHeight="1" thickBot="1">
      <c r="A36" s="10">
        <v>31</v>
      </c>
      <c r="B36" s="36"/>
      <c r="C36" s="11">
        <f t="shared" si="11"/>
        <v>0</v>
      </c>
      <c r="D36" s="64"/>
      <c r="E36" s="36"/>
      <c r="F36" s="11">
        <f t="shared" si="12"/>
        <v>0</v>
      </c>
      <c r="G36" s="64"/>
      <c r="H36" s="36"/>
      <c r="I36" s="11">
        <f t="shared" si="13"/>
        <v>0</v>
      </c>
      <c r="J36" s="14"/>
      <c r="K36" s="36"/>
      <c r="L36" s="11">
        <f t="shared" si="14"/>
        <v>0</v>
      </c>
      <c r="M36" s="64"/>
      <c r="N36" s="36"/>
      <c r="O36" s="11">
        <f t="shared" si="15"/>
        <v>0</v>
      </c>
      <c r="P36" s="64"/>
      <c r="Q36" s="36"/>
      <c r="R36" s="11">
        <f t="shared" si="16"/>
        <v>0</v>
      </c>
      <c r="S36" s="64"/>
      <c r="T36" s="36"/>
      <c r="U36" s="11">
        <f t="shared" si="17"/>
        <v>0</v>
      </c>
      <c r="V36" s="64"/>
      <c r="W36" s="36"/>
      <c r="X36" s="11">
        <f t="shared" si="18"/>
        <v>0</v>
      </c>
      <c r="Y36" s="64"/>
      <c r="Z36" s="36"/>
      <c r="AA36" s="11">
        <f t="shared" si="19"/>
        <v>0</v>
      </c>
      <c r="AB36" s="64"/>
      <c r="AC36" s="36"/>
      <c r="AD36" s="11">
        <f t="shared" si="20"/>
        <v>0</v>
      </c>
      <c r="AE36" s="64"/>
      <c r="AF36" s="36"/>
      <c r="AG36" s="11">
        <f t="shared" ref="AG36" si="34">AH$3*AH$4*216*24*60*AF36/9000000</f>
        <v>0</v>
      </c>
      <c r="AH36" s="64"/>
      <c r="AI36" s="36"/>
      <c r="AJ36" s="11">
        <f t="shared" si="22"/>
        <v>0</v>
      </c>
      <c r="AK36" s="64"/>
      <c r="AL36" s="36"/>
      <c r="AM36" s="11">
        <f t="shared" si="23"/>
        <v>0</v>
      </c>
      <c r="AN36" s="64"/>
      <c r="AO36" s="36"/>
      <c r="AP36" s="11">
        <f t="shared" si="24"/>
        <v>0</v>
      </c>
      <c r="AQ36" s="64"/>
      <c r="AR36" s="36"/>
      <c r="AS36" s="11">
        <f t="shared" ref="AS36" si="35">AT$3*AT$4*216*24*60*AR36/9000000</f>
        <v>0</v>
      </c>
      <c r="AT36" s="64"/>
      <c r="AU36" s="36"/>
      <c r="AV36" s="11">
        <f t="shared" si="26"/>
        <v>0</v>
      </c>
      <c r="AW36" s="64"/>
      <c r="AX36" s="36"/>
      <c r="AY36" s="11">
        <f t="shared" si="27"/>
        <v>0</v>
      </c>
      <c r="AZ36" s="64"/>
      <c r="BA36" s="36"/>
      <c r="BB36" s="11">
        <f t="shared" si="28"/>
        <v>0</v>
      </c>
      <c r="BC36" s="64"/>
      <c r="BD36" s="36"/>
      <c r="BE36" s="11">
        <f t="shared" si="29"/>
        <v>0</v>
      </c>
      <c r="BF36" s="64"/>
      <c r="BG36" s="36"/>
      <c r="BH36" s="11">
        <f t="shared" si="30"/>
        <v>0</v>
      </c>
      <c r="BI36" s="64"/>
      <c r="BJ36" s="36"/>
      <c r="BK36" s="11">
        <f t="shared" si="31"/>
        <v>0</v>
      </c>
      <c r="BL36" s="64"/>
      <c r="BM36" s="36"/>
      <c r="BN36" s="11">
        <f t="shared" si="32"/>
        <v>0</v>
      </c>
      <c r="BO36" s="64"/>
      <c r="BP36" s="36"/>
      <c r="BQ36" s="11">
        <f t="shared" si="33"/>
        <v>0</v>
      </c>
      <c r="BR36" s="64"/>
      <c r="BS36" s="36"/>
      <c r="BT36" s="11">
        <f t="shared" si="2"/>
        <v>0</v>
      </c>
      <c r="BU36" s="64"/>
      <c r="BV36" s="36"/>
      <c r="BW36" s="11">
        <f t="shared" si="3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4"/>
        <v>0</v>
      </c>
      <c r="CD36" s="64"/>
      <c r="CE36" s="36"/>
      <c r="CF36" s="11">
        <f t="shared" si="5"/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6"/>
        <v>0</v>
      </c>
      <c r="CM36" s="64"/>
      <c r="CN36" s="36"/>
      <c r="CO36" s="11">
        <f t="shared" si="7"/>
        <v>0</v>
      </c>
      <c r="CP36" s="64"/>
      <c r="CQ36" s="36"/>
      <c r="CR36" s="11">
        <f t="shared" si="8"/>
        <v>0</v>
      </c>
      <c r="CS36" s="64"/>
      <c r="CT36" s="36"/>
      <c r="CU36" s="11">
        <f t="shared" si="9"/>
        <v>0</v>
      </c>
      <c r="CV36" s="64"/>
      <c r="CW36" s="13"/>
      <c r="CX36" s="260">
        <f t="shared" si="10"/>
        <v>0</v>
      </c>
      <c r="CY36" s="157"/>
      <c r="CZ36" s="157"/>
    </row>
    <row r="37" spans="1:109" s="21" customFormat="1" ht="17.25" hidden="1" customHeight="1" thickBot="1">
      <c r="A37" s="16"/>
      <c r="B37" s="17">
        <f>IF(B6="",0,AVERAGE(B6:B36))</f>
        <v>0.5</v>
      </c>
      <c r="C37" s="176">
        <f>SUM(C6:C36)</f>
        <v>29652.48</v>
      </c>
      <c r="D37" s="20">
        <f>SUM(D6:D36)</f>
        <v>28959</v>
      </c>
      <c r="E37" s="17">
        <f>IF(E6="",0,AVERAGE(E6:E36))</f>
        <v>1</v>
      </c>
      <c r="F37" s="176">
        <f>SUM(F6:F36)</f>
        <v>134991.36000000002</v>
      </c>
      <c r="G37" s="20">
        <f>SUM(G6:G36)</f>
        <v>130940</v>
      </c>
      <c r="H37" s="17">
        <f>IF(H6="",0,AVERAGE(H6:H36))</f>
        <v>1</v>
      </c>
      <c r="I37" s="176">
        <f>SUM(I6:I36)</f>
        <v>115292.16000000006</v>
      </c>
      <c r="J37" s="20">
        <f>SUM(J6:J36)</f>
        <v>102884</v>
      </c>
      <c r="K37" s="17">
        <f>IF(K6="",0,AVERAGE(K6:K36))</f>
        <v>0.82499999999999996</v>
      </c>
      <c r="L37" s="176">
        <f>SUM(L6:L36)</f>
        <v>111367.872</v>
      </c>
      <c r="M37" s="20">
        <f>SUM(M6:M36)</f>
        <v>96309</v>
      </c>
      <c r="N37" s="17">
        <f>IF(N6="",0,AVERAGE(N6:N36))</f>
        <v>0.72499999999999998</v>
      </c>
      <c r="O37" s="176">
        <f>SUM(O6:O36)</f>
        <v>98219.520000000048</v>
      </c>
      <c r="P37" s="20">
        <f>SUM(P6:P36)</f>
        <v>87579</v>
      </c>
      <c r="Q37" s="17">
        <f>IF(Q6="",0,AVERAGE(Q6:Q36))</f>
        <v>0.57499999999999996</v>
      </c>
      <c r="R37" s="176">
        <f>SUM(R6:R36)</f>
        <v>77620.032000000007</v>
      </c>
      <c r="S37" s="20">
        <f>SUM(S6:S36)</f>
        <v>71167</v>
      </c>
      <c r="T37" s="17">
        <f>IF(T6="",0,AVERAGE(T6:T36))</f>
        <v>0.17499999999999999</v>
      </c>
      <c r="U37" s="176">
        <f>SUM(U6:U36)</f>
        <v>23623.488000000001</v>
      </c>
      <c r="V37" s="20">
        <f>SUM(V6:V36)</f>
        <v>19552</v>
      </c>
      <c r="W37" s="17">
        <f>IF(W6="",0,AVERAGE(W6:W36))</f>
        <v>7.4999999999999997E-2</v>
      </c>
      <c r="X37" s="176">
        <f>SUM(X6:X36)</f>
        <v>8646.9120000000003</v>
      </c>
      <c r="Y37" s="20">
        <f>SUM(Y6:Y36)</f>
        <v>6930</v>
      </c>
      <c r="Z37" s="17">
        <f>IF(Z6="",0,AVERAGE(Z6:Z36))</f>
        <v>0</v>
      </c>
      <c r="AA37" s="176">
        <f>SUM(AA6:AA36)</f>
        <v>0</v>
      </c>
      <c r="AB37" s="20">
        <f>SUM(AB6:AB36)</f>
        <v>0</v>
      </c>
      <c r="AC37" s="17">
        <f>IF(AC6="",0,AVERAGE(AC6:AC36))</f>
        <v>0.42499999999999999</v>
      </c>
      <c r="AD37" s="176">
        <f>SUM(AD6:AD36)</f>
        <v>64142.496000000028</v>
      </c>
      <c r="AE37" s="20">
        <f>SUM(AE6:AE36)</f>
        <v>55949</v>
      </c>
      <c r="AF37" s="17">
        <f>IF(AF6="",0,AVERAGE(AF6:AF36))</f>
        <v>2.5000000000000001E-2</v>
      </c>
      <c r="AG37" s="176">
        <f>SUM(AG6:AG36)</f>
        <v>3773.0880000000002</v>
      </c>
      <c r="AH37" s="20">
        <f>SUM(AH6:AH36)</f>
        <v>2475</v>
      </c>
      <c r="AI37" s="17">
        <f>IF(AI6="",0,AVERAGE(AI6:AI36))</f>
        <v>0</v>
      </c>
      <c r="AJ37" s="176">
        <f>SUM(AJ6:AJ36)</f>
        <v>0</v>
      </c>
      <c r="AK37" s="20">
        <f>SUM(AK6:AK36)</f>
        <v>0</v>
      </c>
      <c r="AL37" s="17">
        <f>IF(AL6="",0,AVERAGE(AL6:AL36))</f>
        <v>0</v>
      </c>
      <c r="AM37" s="176">
        <f>SUM(AM6:AM36)</f>
        <v>0</v>
      </c>
      <c r="AN37" s="20">
        <f>SUM(AN6:AN36)</f>
        <v>0</v>
      </c>
      <c r="AO37" s="17">
        <f>IF(AO6="",0,AVERAGE(AO6:AO36))</f>
        <v>0</v>
      </c>
      <c r="AP37" s="176">
        <f>SUM(AP6:AP36)</f>
        <v>0</v>
      </c>
      <c r="AQ37" s="20">
        <f>SUM(AQ6:AQ36)</f>
        <v>0</v>
      </c>
      <c r="AR37" s="17">
        <f>IF(AR6="",0,AVERAGE(AR6:AR36))</f>
        <v>0</v>
      </c>
      <c r="AS37" s="176">
        <f>SUM(AS6:AS36)</f>
        <v>0</v>
      </c>
      <c r="AT37" s="20">
        <f>SUM(AT6:AT36)</f>
        <v>0</v>
      </c>
      <c r="AU37" s="17">
        <f>IF(AU6="",0,AVERAGE(AU6:AU36))</f>
        <v>0</v>
      </c>
      <c r="AV37" s="176">
        <f>SUM(AV6:AV36)</f>
        <v>0</v>
      </c>
      <c r="AW37" s="20">
        <f>SUM(AW6:AW36)</f>
        <v>0</v>
      </c>
      <c r="AX37" s="17">
        <f>IF(AX6="",0,AVERAGE(AX6:AX36))</f>
        <v>0</v>
      </c>
      <c r="AY37" s="176">
        <f>SUM(AY6:AY36)</f>
        <v>0</v>
      </c>
      <c r="AZ37" s="20">
        <f>SUM(AZ6:AZ36)</f>
        <v>0</v>
      </c>
      <c r="BA37" s="17">
        <f>IF(BA6="",0,AVERAGE(BA6:BA36))</f>
        <v>0</v>
      </c>
      <c r="BB37" s="176">
        <f>SUM(BB6:BB36)</f>
        <v>0</v>
      </c>
      <c r="BC37" s="20">
        <f>SUM(BC6:BC36)</f>
        <v>0</v>
      </c>
      <c r="BD37" s="17">
        <f>IF(BD6="",0,AVERAGE(BD6:BD36))</f>
        <v>0</v>
      </c>
      <c r="BE37" s="176">
        <f>SUM(BE6:BE36)</f>
        <v>0</v>
      </c>
      <c r="BF37" s="20">
        <f>SUM(BF6:BF36)</f>
        <v>0</v>
      </c>
      <c r="BG37" s="17">
        <f>IF(BG6="",0,AVERAGE(BG6:BG36))</f>
        <v>0</v>
      </c>
      <c r="BH37" s="176">
        <f>SUM(BH6:BH36)</f>
        <v>0</v>
      </c>
      <c r="BI37" s="20">
        <f>SUM(BI6:BI36)</f>
        <v>0</v>
      </c>
      <c r="BJ37" s="17">
        <f>IF(BJ6="",0,AVERAGE(BJ6:BJ36))</f>
        <v>0</v>
      </c>
      <c r="BK37" s="176">
        <f>SUM(BK6:BK36)</f>
        <v>0</v>
      </c>
      <c r="BL37" s="20">
        <f>SUM(BL6:BL36)</f>
        <v>0</v>
      </c>
      <c r="BM37" s="17">
        <f>IF(BM6="",0,AVERAGE(BM6:BM36))</f>
        <v>0</v>
      </c>
      <c r="BN37" s="176">
        <f>SUM(BN6:BN36)</f>
        <v>0</v>
      </c>
      <c r="BO37" s="20">
        <f>SUM(BO6:BO36)</f>
        <v>0</v>
      </c>
      <c r="BP37" s="17">
        <f>IF(BP6="",0,AVERAGE(BP6:BP36))</f>
        <v>0</v>
      </c>
      <c r="BQ37" s="176">
        <f>SUM(BQ6:BQ36)</f>
        <v>0</v>
      </c>
      <c r="BR37" s="20">
        <f>SUM(BR6:BR36)</f>
        <v>0</v>
      </c>
      <c r="BS37" s="17">
        <f>IF(BS6="",0,AVERAGE(BS6:BS36))</f>
        <v>0</v>
      </c>
      <c r="BT37" s="176">
        <f>SUM(BT6:BT36)</f>
        <v>0</v>
      </c>
      <c r="BU37" s="20">
        <f>SUM(BU6:BU36)</f>
        <v>0</v>
      </c>
      <c r="BV37" s="17">
        <f>IF(BV6="",0,AVERAGE(BV6:BV36))</f>
        <v>0</v>
      </c>
      <c r="BW37" s="176">
        <f>SUM(BW6:BW36)</f>
        <v>0</v>
      </c>
      <c r="BX37" s="20">
        <f>SUM(BX6:BX36)</f>
        <v>0</v>
      </c>
      <c r="BY37" s="17">
        <f>IF(BY6="",0,AVERAGE(BY6:BY36))</f>
        <v>0</v>
      </c>
      <c r="BZ37" s="176">
        <f>SUM(BZ6:BZ36)</f>
        <v>0</v>
      </c>
      <c r="CA37" s="20">
        <f>SUM(CA6:CA36)</f>
        <v>0</v>
      </c>
      <c r="CB37" s="17">
        <f>IF(CB6="",0,AVERAGE(CB6:CB36))</f>
        <v>0</v>
      </c>
      <c r="CC37" s="176">
        <f>SUM(CC6:CC36)</f>
        <v>0</v>
      </c>
      <c r="CD37" s="20">
        <f>SUM(CD6:CD36)</f>
        <v>0</v>
      </c>
      <c r="CE37" s="17">
        <f>IF(CE6="",0,AVERAGE(CE6:CE36))</f>
        <v>0</v>
      </c>
      <c r="CF37" s="176">
        <f>SUM(CF6:CF36)</f>
        <v>0</v>
      </c>
      <c r="CG37" s="20">
        <f>SUM(CG6:CG36)</f>
        <v>0</v>
      </c>
      <c r="CH37" s="17">
        <f>IF(CH6="",0,AVERAGE(CH6:CH36))</f>
        <v>0</v>
      </c>
      <c r="CI37" s="176">
        <f>SUM(CI6:CI36)</f>
        <v>0</v>
      </c>
      <c r="CJ37" s="20">
        <f>SUM(CJ6:CJ36)</f>
        <v>0</v>
      </c>
      <c r="CK37" s="17">
        <f>IF(CK6="",0,AVERAGE(CK6:CK36))</f>
        <v>0</v>
      </c>
      <c r="CL37" s="176">
        <f>SUM(CL6:CL36)</f>
        <v>0</v>
      </c>
      <c r="CM37" s="20">
        <f>SUM(CM6:CM36)</f>
        <v>0</v>
      </c>
      <c r="CN37" s="17">
        <f>IF(CN6="",0,AVERAGE(CN6:CN36))</f>
        <v>0</v>
      </c>
      <c r="CO37" s="176">
        <f>SUM(CO6:CO36)</f>
        <v>0</v>
      </c>
      <c r="CP37" s="20">
        <f>SUM(CP6:CP36)</f>
        <v>0</v>
      </c>
      <c r="CQ37" s="17">
        <f>IF(CQ6="",0,AVERAGE(CQ6:CQ36))</f>
        <v>0</v>
      </c>
      <c r="CR37" s="176">
        <f>SUM(CR6:CR36)</f>
        <v>0</v>
      </c>
      <c r="CS37" s="20">
        <f>SUM(CS6:CS36)</f>
        <v>0</v>
      </c>
      <c r="CT37" s="17">
        <f>IF(CT6="",0,AVERAGE(CT6:CT36))</f>
        <v>0</v>
      </c>
      <c r="CU37" s="176">
        <f>SUM(CU6:CU36)</f>
        <v>0</v>
      </c>
      <c r="CV37" s="20">
        <f>SUM(CV6:CV36)</f>
        <v>0</v>
      </c>
      <c r="CW37" s="13"/>
      <c r="CX37" s="260">
        <f t="shared" si="10"/>
        <v>5.3250000000000002</v>
      </c>
      <c r="CY37" s="157"/>
      <c r="CZ37" s="157"/>
    </row>
    <row r="38" spans="1:109" s="40" customFormat="1" ht="25.5" customHeight="1" thickTop="1">
      <c r="A38" s="57"/>
      <c r="B38" s="1569">
        <v>28959</v>
      </c>
      <c r="C38" s="1569"/>
      <c r="D38" s="1570"/>
      <c r="E38" s="1569">
        <v>129411</v>
      </c>
      <c r="F38" s="1569"/>
      <c r="G38" s="1570"/>
      <c r="H38" s="1569">
        <v>101378</v>
      </c>
      <c r="I38" s="1569"/>
      <c r="J38" s="1570"/>
      <c r="K38" s="1569">
        <v>93493</v>
      </c>
      <c r="L38" s="1569"/>
      <c r="M38" s="1570"/>
      <c r="N38" s="1569">
        <v>85209</v>
      </c>
      <c r="O38" s="1569"/>
      <c r="P38" s="1570"/>
      <c r="Q38" s="1569">
        <v>70401</v>
      </c>
      <c r="R38" s="1569"/>
      <c r="S38" s="1570"/>
      <c r="T38" s="1569">
        <v>19552</v>
      </c>
      <c r="U38" s="1569"/>
      <c r="V38" s="1570"/>
      <c r="W38" s="1569">
        <v>6930</v>
      </c>
      <c r="X38" s="1569"/>
      <c r="Y38" s="1570"/>
      <c r="Z38" s="1569"/>
      <c r="AA38" s="1569"/>
      <c r="AB38" s="1570"/>
      <c r="AC38" s="1569">
        <v>54718</v>
      </c>
      <c r="AD38" s="1569"/>
      <c r="AE38" s="1570"/>
      <c r="AF38" s="1569">
        <v>2475</v>
      </c>
      <c r="AG38" s="1569"/>
      <c r="AH38" s="1570"/>
      <c r="AI38" s="1569"/>
      <c r="AJ38" s="1569"/>
      <c r="AK38" s="1570"/>
      <c r="AL38" s="1569"/>
      <c r="AM38" s="1569"/>
      <c r="AN38" s="1570"/>
      <c r="AO38" s="1569"/>
      <c r="AP38" s="1569"/>
      <c r="AQ38" s="1570"/>
      <c r="AR38" s="1569"/>
      <c r="AS38" s="1569"/>
      <c r="AT38" s="1570"/>
      <c r="AU38" s="1569"/>
      <c r="AV38" s="1569"/>
      <c r="AW38" s="1570"/>
      <c r="AX38" s="1569"/>
      <c r="AY38" s="1569"/>
      <c r="AZ38" s="1570"/>
      <c r="BA38" s="1569"/>
      <c r="BB38" s="1569"/>
      <c r="BC38" s="1570"/>
      <c r="BD38" s="1569"/>
      <c r="BE38" s="1569"/>
      <c r="BF38" s="1570"/>
      <c r="BG38" s="1569"/>
      <c r="BH38" s="1569"/>
      <c r="BI38" s="1570"/>
      <c r="BJ38" s="1569"/>
      <c r="BK38" s="1569"/>
      <c r="BL38" s="1570"/>
      <c r="BM38" s="1569"/>
      <c r="BN38" s="1569"/>
      <c r="BO38" s="1570"/>
      <c r="BP38" s="1569"/>
      <c r="BQ38" s="1569"/>
      <c r="BR38" s="1570"/>
      <c r="BS38" s="1554"/>
      <c r="BT38" s="1554"/>
      <c r="BU38" s="1555"/>
      <c r="BV38" s="1554"/>
      <c r="BW38" s="1554"/>
      <c r="BX38" s="1555"/>
      <c r="BY38" s="1554"/>
      <c r="BZ38" s="1554"/>
      <c r="CA38" s="1555"/>
      <c r="CB38" s="1554"/>
      <c r="CC38" s="1554"/>
      <c r="CD38" s="1555"/>
      <c r="CE38" s="1554"/>
      <c r="CF38" s="1554"/>
      <c r="CG38" s="1555"/>
      <c r="CH38" s="1554"/>
      <c r="CI38" s="1554"/>
      <c r="CJ38" s="1555"/>
      <c r="CK38" s="1554"/>
      <c r="CL38" s="1554"/>
      <c r="CM38" s="1555"/>
      <c r="CN38" s="1554"/>
      <c r="CO38" s="1554"/>
      <c r="CP38" s="1555"/>
      <c r="CQ38" s="1554"/>
      <c r="CR38" s="1554"/>
      <c r="CS38" s="1555"/>
      <c r="CT38" s="1554"/>
      <c r="CU38" s="1554"/>
      <c r="CV38" s="1555"/>
      <c r="CW38" s="24"/>
      <c r="CX38" s="39"/>
    </row>
    <row r="39" spans="1:109" s="40" customFormat="1" ht="26.25" customHeight="1" thickBot="1">
      <c r="A39" s="58"/>
      <c r="B39" s="1617">
        <v>1239</v>
      </c>
      <c r="C39" s="1617"/>
      <c r="D39" s="1618"/>
      <c r="E39" s="1617">
        <v>3681</v>
      </c>
      <c r="F39" s="1617"/>
      <c r="G39" s="1618"/>
      <c r="H39" s="1617">
        <v>4358</v>
      </c>
      <c r="I39" s="1617"/>
      <c r="J39" s="1618"/>
      <c r="K39" s="1617">
        <v>9772</v>
      </c>
      <c r="L39" s="1617"/>
      <c r="M39" s="1618"/>
      <c r="N39" s="1617">
        <v>4524</v>
      </c>
      <c r="O39" s="1617"/>
      <c r="P39" s="1618"/>
      <c r="Q39" s="1617">
        <v>2256</v>
      </c>
      <c r="R39" s="1617"/>
      <c r="S39" s="1618"/>
      <c r="T39" s="1617">
        <v>742</v>
      </c>
      <c r="U39" s="1617"/>
      <c r="V39" s="1618"/>
      <c r="W39" s="1617"/>
      <c r="X39" s="1617"/>
      <c r="Y39" s="1618"/>
      <c r="Z39" s="1617"/>
      <c r="AA39" s="1617"/>
      <c r="AB39" s="1618"/>
      <c r="AC39" s="1617">
        <v>2314</v>
      </c>
      <c r="AD39" s="1617"/>
      <c r="AE39" s="1618"/>
      <c r="AF39" s="1617"/>
      <c r="AG39" s="1617"/>
      <c r="AH39" s="1618"/>
      <c r="AI39" s="1617"/>
      <c r="AJ39" s="1617"/>
      <c r="AK39" s="1618"/>
      <c r="AL39" s="1617"/>
      <c r="AM39" s="1617"/>
      <c r="AN39" s="1618"/>
      <c r="AO39" s="1617"/>
      <c r="AP39" s="1617"/>
      <c r="AQ39" s="1618"/>
      <c r="AR39" s="1617"/>
      <c r="AS39" s="1617"/>
      <c r="AT39" s="1618"/>
      <c r="AU39" s="1617"/>
      <c r="AV39" s="1617"/>
      <c r="AW39" s="1618"/>
      <c r="AX39" s="1617"/>
      <c r="AY39" s="1617"/>
      <c r="AZ39" s="1618"/>
      <c r="BA39" s="1617"/>
      <c r="BB39" s="1617"/>
      <c r="BC39" s="1618"/>
      <c r="BD39" s="1617"/>
      <c r="BE39" s="1617"/>
      <c r="BF39" s="1618"/>
      <c r="BG39" s="1617"/>
      <c r="BH39" s="1617"/>
      <c r="BI39" s="1618"/>
      <c r="BJ39" s="1617"/>
      <c r="BK39" s="1617"/>
      <c r="BL39" s="1618"/>
      <c r="BM39" s="1617"/>
      <c r="BN39" s="1617"/>
      <c r="BO39" s="1618"/>
      <c r="BP39" s="1617"/>
      <c r="BQ39" s="1617"/>
      <c r="BR39" s="1618"/>
      <c r="BS39" s="1577"/>
      <c r="BT39" s="1577"/>
      <c r="BU39" s="1578"/>
      <c r="BV39" s="1577"/>
      <c r="BW39" s="1577"/>
      <c r="BX39" s="1578"/>
      <c r="BY39" s="1577"/>
      <c r="BZ39" s="1577"/>
      <c r="CA39" s="1578"/>
      <c r="CB39" s="1577"/>
      <c r="CC39" s="1577"/>
      <c r="CD39" s="1578"/>
      <c r="CE39" s="1577"/>
      <c r="CF39" s="1577"/>
      <c r="CG39" s="1578"/>
      <c r="CH39" s="1577"/>
      <c r="CI39" s="1577"/>
      <c r="CJ39" s="1578"/>
      <c r="CK39" s="1577"/>
      <c r="CL39" s="1577"/>
      <c r="CM39" s="1578"/>
      <c r="CN39" s="1577"/>
      <c r="CO39" s="1577"/>
      <c r="CP39" s="1578"/>
      <c r="CQ39" s="1577"/>
      <c r="CR39" s="1577"/>
      <c r="CS39" s="1578"/>
      <c r="CT39" s="1577"/>
      <c r="CU39" s="1577"/>
      <c r="CV39" s="1578"/>
      <c r="CW39" s="25"/>
      <c r="CX39" s="39"/>
    </row>
    <row r="40" spans="1:109" s="40" customFormat="1" ht="26.25" customHeight="1" thickBot="1">
      <c r="A40" s="59"/>
      <c r="B40" s="1562">
        <v>100</v>
      </c>
      <c r="C40" s="1563"/>
      <c r="D40" s="1564"/>
      <c r="E40" s="1562">
        <v>100</v>
      </c>
      <c r="F40" s="1563"/>
      <c r="G40" s="1564"/>
      <c r="H40" s="1562">
        <v>100</v>
      </c>
      <c r="I40" s="1563"/>
      <c r="J40" s="1564"/>
      <c r="K40" s="1562"/>
      <c r="L40" s="1563"/>
      <c r="M40" s="1564"/>
      <c r="N40" s="1562">
        <v>100</v>
      </c>
      <c r="O40" s="1563"/>
      <c r="P40" s="1564"/>
      <c r="Q40" s="1562">
        <v>100</v>
      </c>
      <c r="R40" s="1563"/>
      <c r="S40" s="1564"/>
      <c r="T40" s="1562">
        <v>100</v>
      </c>
      <c r="U40" s="1563"/>
      <c r="V40" s="1564"/>
      <c r="W40" s="1562">
        <v>100</v>
      </c>
      <c r="X40" s="1563"/>
      <c r="Y40" s="1564"/>
      <c r="Z40" s="1562"/>
      <c r="AA40" s="1563"/>
      <c r="AB40" s="1564"/>
      <c r="AC40" s="1562">
        <v>100</v>
      </c>
      <c r="AD40" s="1563"/>
      <c r="AE40" s="1564"/>
      <c r="AF40" s="1562">
        <v>100</v>
      </c>
      <c r="AG40" s="1563"/>
      <c r="AH40" s="1564"/>
      <c r="AI40" s="1562"/>
      <c r="AJ40" s="1563"/>
      <c r="AK40" s="1564"/>
      <c r="AL40" s="1562"/>
      <c r="AM40" s="1563"/>
      <c r="AN40" s="1564"/>
      <c r="AO40" s="1562"/>
      <c r="AP40" s="1563"/>
      <c r="AQ40" s="1564"/>
      <c r="AR40" s="1562"/>
      <c r="AS40" s="1563"/>
      <c r="AT40" s="1564"/>
      <c r="AU40" s="1562"/>
      <c r="AV40" s="1563"/>
      <c r="AW40" s="1564"/>
      <c r="AX40" s="1562"/>
      <c r="AY40" s="1563"/>
      <c r="AZ40" s="1564"/>
      <c r="BA40" s="1562"/>
      <c r="BB40" s="1563"/>
      <c r="BC40" s="1564"/>
      <c r="BD40" s="1562"/>
      <c r="BE40" s="1563"/>
      <c r="BF40" s="1564"/>
      <c r="BG40" s="1562"/>
      <c r="BH40" s="1563"/>
      <c r="BI40" s="1564"/>
      <c r="BJ40" s="1562"/>
      <c r="BK40" s="1563"/>
      <c r="BL40" s="1564"/>
      <c r="BM40" s="1562"/>
      <c r="BN40" s="1563"/>
      <c r="BO40" s="1564"/>
      <c r="BP40" s="1562"/>
      <c r="BQ40" s="1563"/>
      <c r="BR40" s="1564"/>
      <c r="BS40" s="1562"/>
      <c r="BT40" s="1563"/>
      <c r="BU40" s="1564"/>
      <c r="BV40" s="1562"/>
      <c r="BW40" s="1563"/>
      <c r="BX40" s="1564"/>
      <c r="BY40" s="1562"/>
      <c r="BZ40" s="1563"/>
      <c r="CA40" s="1564"/>
      <c r="CB40" s="1562"/>
      <c r="CC40" s="1563"/>
      <c r="CD40" s="1564"/>
      <c r="CE40" s="1562"/>
      <c r="CF40" s="1563"/>
      <c r="CG40" s="1564"/>
      <c r="CH40" s="1562"/>
      <c r="CI40" s="1563"/>
      <c r="CJ40" s="1564"/>
      <c r="CK40" s="1562"/>
      <c r="CL40" s="1563"/>
      <c r="CM40" s="1564"/>
      <c r="CN40" s="1562"/>
      <c r="CO40" s="1563"/>
      <c r="CP40" s="1564"/>
      <c r="CQ40" s="1562"/>
      <c r="CR40" s="1563"/>
      <c r="CS40" s="1564"/>
      <c r="CT40" s="1562"/>
      <c r="CU40" s="1563"/>
      <c r="CV40" s="1564"/>
      <c r="CX40" s="41"/>
    </row>
    <row r="41" spans="1:109" s="27" customFormat="1" ht="26.25" hidden="1" customHeight="1" thickTop="1" thickBot="1">
      <c r="A41" s="26"/>
      <c r="B41" s="1565">
        <f>B38-B39-B60</f>
        <v>27720</v>
      </c>
      <c r="C41" s="1566"/>
      <c r="D41" s="1567"/>
      <c r="E41" s="1565">
        <f>E38-E39-E60</f>
        <v>123255</v>
      </c>
      <c r="F41" s="1566"/>
      <c r="G41" s="1567"/>
      <c r="H41" s="494">
        <f>H38-H39-H60</f>
        <v>96195</v>
      </c>
      <c r="I41" s="495"/>
      <c r="J41" s="496"/>
      <c r="K41" s="494">
        <f>K38-K39-K60</f>
        <v>76791</v>
      </c>
      <c r="L41" s="495"/>
      <c r="M41" s="496"/>
      <c r="N41" s="494">
        <f>N38-N39-N60</f>
        <v>80685</v>
      </c>
      <c r="O41" s="495"/>
      <c r="P41" s="496"/>
      <c r="Q41" s="494">
        <f>Q38-Q39-Q60</f>
        <v>68145</v>
      </c>
      <c r="R41" s="495"/>
      <c r="S41" s="496"/>
      <c r="T41" s="494">
        <f>T38-T39-T60</f>
        <v>18810</v>
      </c>
      <c r="U41" s="495"/>
      <c r="V41" s="496"/>
      <c r="W41" s="494">
        <f>W38-W39-W60</f>
        <v>6930</v>
      </c>
      <c r="X41" s="495"/>
      <c r="Y41" s="496"/>
      <c r="Z41" s="494">
        <f>Z38-Z39-Z60</f>
        <v>0</v>
      </c>
      <c r="AA41" s="495"/>
      <c r="AB41" s="496"/>
      <c r="AC41" s="494">
        <f>AC38-AC39-AC60</f>
        <v>52404</v>
      </c>
      <c r="AD41" s="495"/>
      <c r="AE41" s="496"/>
      <c r="AF41" s="494">
        <f>AF38-AF39-AF60</f>
        <v>2475</v>
      </c>
      <c r="AG41" s="495"/>
      <c r="AH41" s="496"/>
      <c r="AI41" s="494">
        <f>AI38-AI39-AI60</f>
        <v>0</v>
      </c>
      <c r="AJ41" s="495"/>
      <c r="AK41" s="496"/>
      <c r="AL41" s="494">
        <f>AL38-AL39-AL60</f>
        <v>0</v>
      </c>
      <c r="AM41" s="495"/>
      <c r="AN41" s="496"/>
      <c r="AO41" s="494">
        <f>AO38-AO39-AO60</f>
        <v>0</v>
      </c>
      <c r="AP41" s="495"/>
      <c r="AQ41" s="496"/>
      <c r="AR41" s="494">
        <f>AR38-AR39-AR60</f>
        <v>0</v>
      </c>
      <c r="AS41" s="495"/>
      <c r="AT41" s="496"/>
      <c r="AU41" s="494">
        <f>AU38-AU39-AU60</f>
        <v>0</v>
      </c>
      <c r="AV41" s="495"/>
      <c r="AW41" s="496"/>
      <c r="AX41" s="494">
        <f>AX38-AX39-AX60</f>
        <v>0</v>
      </c>
      <c r="AY41" s="495"/>
      <c r="AZ41" s="496"/>
      <c r="BA41" s="494">
        <f>BA38-BA39-BA60</f>
        <v>0</v>
      </c>
      <c r="BB41" s="495"/>
      <c r="BC41" s="496"/>
      <c r="BD41" s="494">
        <f>BD38-BD39-BD60</f>
        <v>0</v>
      </c>
      <c r="BE41" s="495"/>
      <c r="BF41" s="496"/>
      <c r="BG41" s="494">
        <f>BG38-BG39-BG60</f>
        <v>0</v>
      </c>
      <c r="BH41" s="495"/>
      <c r="BI41" s="496"/>
      <c r="BJ41" s="1565">
        <f>BJ38-BJ39-BJ60</f>
        <v>0</v>
      </c>
      <c r="BK41" s="1566"/>
      <c r="BL41" s="1567"/>
      <c r="BM41" s="1565">
        <f>BM38-BM39-BM60</f>
        <v>0</v>
      </c>
      <c r="BN41" s="1566"/>
      <c r="BO41" s="1567"/>
      <c r="BP41" s="1565">
        <f>BP38-BP39-BP60</f>
        <v>0</v>
      </c>
      <c r="BQ41" s="1566"/>
      <c r="BR41" s="1567"/>
      <c r="BS41" s="1565">
        <f>BS38-BS39-BS60</f>
        <v>0</v>
      </c>
      <c r="BT41" s="1566"/>
      <c r="BU41" s="1567"/>
      <c r="BV41" s="1565">
        <f>BV38-BV39-BV60</f>
        <v>0</v>
      </c>
      <c r="BW41" s="1566"/>
      <c r="BX41" s="1567"/>
      <c r="BY41" s="1565">
        <f>BY38-BY39-BY60</f>
        <v>0</v>
      </c>
      <c r="BZ41" s="1566"/>
      <c r="CA41" s="1567"/>
      <c r="CB41" s="1565">
        <f>CB38-CB39-CB60</f>
        <v>0</v>
      </c>
      <c r="CC41" s="1566"/>
      <c r="CD41" s="1567"/>
      <c r="CE41" s="1565">
        <f>CE38-CE39-CE60</f>
        <v>0</v>
      </c>
      <c r="CF41" s="1566"/>
      <c r="CG41" s="1567"/>
      <c r="CH41" s="1565">
        <f>CH38-CH39-CH60</f>
        <v>0</v>
      </c>
      <c r="CI41" s="1566"/>
      <c r="CJ41" s="1567"/>
      <c r="CK41" s="1565">
        <f>CK38-CK39-CK60</f>
        <v>0</v>
      </c>
      <c r="CL41" s="1566"/>
      <c r="CM41" s="1567"/>
      <c r="CN41" s="1565">
        <f>CN38-CN39-CN60</f>
        <v>0</v>
      </c>
      <c r="CO41" s="1566"/>
      <c r="CP41" s="1567"/>
      <c r="CQ41" s="1565">
        <f>CQ38-CQ39-CQ60</f>
        <v>0</v>
      </c>
      <c r="CR41" s="1566"/>
      <c r="CS41" s="1567"/>
      <c r="CT41" s="1565">
        <f>CT38-CT39-CT60</f>
        <v>0</v>
      </c>
      <c r="CU41" s="1566"/>
      <c r="CV41" s="1567"/>
      <c r="CX41" s="29"/>
    </row>
    <row r="42" spans="1:109" ht="17.25" hidden="1" customHeight="1" thickTop="1" thickBot="1">
      <c r="G42" s="7"/>
      <c r="H42" s="7"/>
      <c r="AU42" s="7"/>
      <c r="AX42" s="7"/>
      <c r="BA42" s="7"/>
      <c r="BD42" s="7"/>
    </row>
    <row r="43" spans="1:109" ht="17.25" hidden="1" customHeight="1" thickTop="1" thickBot="1">
      <c r="G43" s="7"/>
      <c r="H43" s="7"/>
      <c r="AU43" s="7"/>
      <c r="AX43" s="7"/>
      <c r="BA43" s="7"/>
      <c r="BD43" s="7"/>
    </row>
    <row r="44" spans="1:109" ht="17.25" hidden="1" customHeight="1" thickTop="1" thickBot="1">
      <c r="G44" s="7"/>
      <c r="H44" s="7"/>
      <c r="AU44" s="7"/>
      <c r="AX44" s="7"/>
      <c r="BA44" s="7"/>
      <c r="BD44" s="7"/>
    </row>
    <row r="45" spans="1:109" s="5" customFormat="1" ht="22.5" customHeight="1" thickTop="1" thickBot="1">
      <c r="A45" s="251" t="s">
        <v>14</v>
      </c>
      <c r="B45" s="248" t="s">
        <v>0</v>
      </c>
      <c r="C45" s="31" t="s">
        <v>1</v>
      </c>
      <c r="D45" s="32" t="s">
        <v>2</v>
      </c>
      <c r="E45" s="248" t="s">
        <v>0</v>
      </c>
      <c r="F45" s="31" t="s">
        <v>1</v>
      </c>
      <c r="G45" s="32" t="s">
        <v>2</v>
      </c>
      <c r="H45" s="248" t="s">
        <v>0</v>
      </c>
      <c r="I45" s="31" t="s">
        <v>1</v>
      </c>
      <c r="J45" s="32" t="s">
        <v>2</v>
      </c>
      <c r="K45" s="248" t="s">
        <v>0</v>
      </c>
      <c r="L45" s="31" t="s">
        <v>1</v>
      </c>
      <c r="M45" s="32" t="s">
        <v>2</v>
      </c>
      <c r="N45" s="248" t="s">
        <v>0</v>
      </c>
      <c r="O45" s="31" t="s">
        <v>1</v>
      </c>
      <c r="P45" s="32" t="s">
        <v>2</v>
      </c>
      <c r="Q45" s="248" t="s">
        <v>0</v>
      </c>
      <c r="R45" s="31" t="s">
        <v>1</v>
      </c>
      <c r="S45" s="32" t="s">
        <v>2</v>
      </c>
      <c r="T45" s="248" t="s">
        <v>0</v>
      </c>
      <c r="U45" s="31" t="s">
        <v>1</v>
      </c>
      <c r="V45" s="32" t="s">
        <v>2</v>
      </c>
      <c r="W45" s="248" t="s">
        <v>0</v>
      </c>
      <c r="X45" s="31" t="s">
        <v>1</v>
      </c>
      <c r="Y45" s="32" t="s">
        <v>2</v>
      </c>
      <c r="Z45" s="248" t="s">
        <v>0</v>
      </c>
      <c r="AA45" s="31" t="s">
        <v>1</v>
      </c>
      <c r="AB45" s="32" t="s">
        <v>2</v>
      </c>
      <c r="AC45" s="248" t="s">
        <v>0</v>
      </c>
      <c r="AD45" s="31" t="s">
        <v>1</v>
      </c>
      <c r="AE45" s="32" t="s">
        <v>2</v>
      </c>
      <c r="AF45" s="248" t="s">
        <v>0</v>
      </c>
      <c r="AG45" s="31" t="s">
        <v>1</v>
      </c>
      <c r="AH45" s="32" t="s">
        <v>2</v>
      </c>
      <c r="AI45" s="248" t="s">
        <v>0</v>
      </c>
      <c r="AJ45" s="31" t="s">
        <v>1</v>
      </c>
      <c r="AK45" s="32" t="s">
        <v>2</v>
      </c>
      <c r="AL45" s="248" t="s">
        <v>0</v>
      </c>
      <c r="AM45" s="31" t="s">
        <v>1</v>
      </c>
      <c r="AN45" s="32" t="s">
        <v>2</v>
      </c>
      <c r="AO45" s="248" t="s">
        <v>0</v>
      </c>
      <c r="AP45" s="31" t="s">
        <v>1</v>
      </c>
      <c r="AQ45" s="32" t="s">
        <v>2</v>
      </c>
      <c r="AR45" s="248" t="s">
        <v>0</v>
      </c>
      <c r="AS45" s="31" t="s">
        <v>1</v>
      </c>
      <c r="AT45" s="32" t="s">
        <v>2</v>
      </c>
      <c r="AU45" s="248" t="s">
        <v>0</v>
      </c>
      <c r="AV45" s="31" t="s">
        <v>1</v>
      </c>
      <c r="AW45" s="32" t="s">
        <v>2</v>
      </c>
      <c r="AX45" s="248" t="s">
        <v>0</v>
      </c>
      <c r="AY45" s="31" t="s">
        <v>1</v>
      </c>
      <c r="AZ45" s="32" t="s">
        <v>2</v>
      </c>
      <c r="BA45" s="248" t="s">
        <v>0</v>
      </c>
      <c r="BB45" s="31" t="s">
        <v>1</v>
      </c>
      <c r="BC45" s="32" t="s">
        <v>2</v>
      </c>
      <c r="BD45" s="248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1369" customFormat="1" ht="15" customHeight="1">
      <c r="A46" s="1383"/>
      <c r="B46" s="1384"/>
      <c r="C46" s="1385"/>
      <c r="D46" s="1386"/>
      <c r="E46" s="1384">
        <v>2475</v>
      </c>
      <c r="F46" s="1385"/>
      <c r="G46" s="1386"/>
      <c r="H46" s="1384">
        <v>825</v>
      </c>
      <c r="I46" s="1385"/>
      <c r="J46" s="1386"/>
      <c r="K46" s="1384">
        <v>3960</v>
      </c>
      <c r="L46" s="1385"/>
      <c r="M46" s="1386"/>
      <c r="N46" s="1387"/>
      <c r="O46" s="1388"/>
      <c r="P46" s="1389"/>
      <c r="Q46" s="1387"/>
      <c r="R46" s="1388"/>
      <c r="S46" s="1389"/>
      <c r="T46" s="1387"/>
      <c r="U46" s="1388"/>
      <c r="V46" s="1389"/>
      <c r="W46" s="1387"/>
      <c r="X46" s="1388"/>
      <c r="Y46" s="1389"/>
      <c r="Z46" s="1387"/>
      <c r="AA46" s="1388"/>
      <c r="AB46" s="1389"/>
      <c r="AC46" s="1387"/>
      <c r="AD46" s="1388"/>
      <c r="AE46" s="1389"/>
      <c r="AF46" s="1387"/>
      <c r="AG46" s="1388"/>
      <c r="AH46" s="1389"/>
      <c r="AI46" s="1387"/>
      <c r="AJ46" s="1388"/>
      <c r="AK46" s="1389"/>
      <c r="AL46" s="1387"/>
      <c r="AM46" s="1388"/>
      <c r="AN46" s="1389"/>
      <c r="AO46" s="1387"/>
      <c r="AP46" s="1388"/>
      <c r="AQ46" s="1389"/>
      <c r="AR46" s="1387"/>
      <c r="AS46" s="1388"/>
      <c r="AT46" s="1389"/>
      <c r="AU46" s="1387"/>
      <c r="AV46" s="1388"/>
      <c r="AW46" s="1389"/>
      <c r="AX46" s="1384"/>
      <c r="AY46" s="1385"/>
      <c r="AZ46" s="1386"/>
      <c r="BA46" s="1384"/>
      <c r="BB46" s="1385"/>
      <c r="BC46" s="1386"/>
      <c r="BD46" s="1384"/>
      <c r="BE46" s="1385"/>
      <c r="BF46" s="1386"/>
      <c r="BG46" s="1367"/>
      <c r="BH46" s="1365"/>
      <c r="BI46" s="1366"/>
      <c r="BJ46" s="1367"/>
      <c r="BK46" s="1365"/>
      <c r="BL46" s="1366"/>
      <c r="BM46" s="1367"/>
      <c r="BN46" s="1365"/>
      <c r="BO46" s="1366"/>
      <c r="BP46" s="1384"/>
      <c r="BQ46" s="1365"/>
      <c r="BR46" s="1366"/>
      <c r="BS46" s="1384"/>
      <c r="BT46" s="1365"/>
      <c r="BU46" s="1366"/>
      <c r="BV46" s="1367"/>
      <c r="BW46" s="1365"/>
      <c r="BX46" s="1366"/>
      <c r="BY46" s="1367"/>
      <c r="BZ46" s="1365"/>
      <c r="CA46" s="1366"/>
      <c r="CB46" s="1367"/>
      <c r="CC46" s="1365"/>
      <c r="CD46" s="1366"/>
      <c r="CE46" s="1367"/>
      <c r="CF46" s="1365"/>
      <c r="CG46" s="1366"/>
      <c r="CH46" s="1367"/>
      <c r="CI46" s="1365"/>
      <c r="CJ46" s="1366"/>
      <c r="CK46" s="1367"/>
      <c r="CL46" s="1365"/>
      <c r="CM46" s="1366"/>
      <c r="CN46" s="1367"/>
      <c r="CO46" s="1365"/>
      <c r="CP46" s="1366"/>
      <c r="CQ46" s="1367"/>
      <c r="CR46" s="1365"/>
      <c r="CS46" s="1366"/>
      <c r="CT46" s="1367"/>
      <c r="CU46" s="1365"/>
      <c r="CV46" s="1366"/>
    </row>
    <row r="47" spans="1:109" s="1369" customFormat="1" ht="15" customHeight="1">
      <c r="A47" s="1383"/>
      <c r="B47" s="1370"/>
      <c r="C47" s="1371"/>
      <c r="D47" s="1372"/>
      <c r="E47" s="1370"/>
      <c r="F47" s="1371"/>
      <c r="G47" s="1372"/>
      <c r="H47" s="1370"/>
      <c r="I47" s="1371"/>
      <c r="J47" s="1372"/>
      <c r="K47" s="1390">
        <v>2970</v>
      </c>
      <c r="L47" s="1391"/>
      <c r="M47" s="1392"/>
      <c r="N47" s="1390"/>
      <c r="O47" s="1391"/>
      <c r="P47" s="1392"/>
      <c r="Q47" s="1393"/>
      <c r="R47" s="1391"/>
      <c r="S47" s="1392"/>
      <c r="T47" s="1393"/>
      <c r="U47" s="1391"/>
      <c r="V47" s="1392"/>
      <c r="W47" s="1393"/>
      <c r="X47" s="1391"/>
      <c r="Y47" s="1392"/>
      <c r="Z47" s="1393"/>
      <c r="AA47" s="1391"/>
      <c r="AB47" s="1392"/>
      <c r="AC47" s="1393"/>
      <c r="AD47" s="1391"/>
      <c r="AE47" s="1392"/>
      <c r="AF47" s="1393"/>
      <c r="AG47" s="1391"/>
      <c r="AH47" s="1392"/>
      <c r="AI47" s="1393"/>
      <c r="AJ47" s="1391"/>
      <c r="AK47" s="1392"/>
      <c r="AL47" s="1393"/>
      <c r="AM47" s="1391"/>
      <c r="AN47" s="1392"/>
      <c r="AO47" s="1393"/>
      <c r="AP47" s="1391"/>
      <c r="AQ47" s="1392"/>
      <c r="AR47" s="1393"/>
      <c r="AS47" s="1391"/>
      <c r="AT47" s="1392"/>
      <c r="AU47" s="1393"/>
      <c r="AV47" s="1391"/>
      <c r="AW47" s="1392"/>
      <c r="AX47" s="1373"/>
      <c r="AY47" s="1371"/>
      <c r="AZ47" s="1372"/>
      <c r="BA47" s="1373"/>
      <c r="BB47" s="1371"/>
      <c r="BC47" s="1372"/>
      <c r="BD47" s="1373"/>
      <c r="BE47" s="1371"/>
      <c r="BF47" s="1372"/>
      <c r="BG47" s="1373"/>
      <c r="BH47" s="1371"/>
      <c r="BI47" s="1372"/>
      <c r="BJ47" s="1373"/>
      <c r="BK47" s="1371"/>
      <c r="BL47" s="1372"/>
      <c r="BM47" s="1373"/>
      <c r="BN47" s="1371"/>
      <c r="BO47" s="1372"/>
      <c r="BP47" s="1373"/>
      <c r="BQ47" s="1371"/>
      <c r="BR47" s="1372"/>
      <c r="BS47" s="1373"/>
      <c r="BT47" s="1371"/>
      <c r="BU47" s="1372"/>
      <c r="BV47" s="1373"/>
      <c r="BW47" s="1371"/>
      <c r="BX47" s="1372"/>
      <c r="BY47" s="1373"/>
      <c r="BZ47" s="1371"/>
      <c r="CA47" s="1372"/>
      <c r="CB47" s="1373"/>
      <c r="CC47" s="1371"/>
      <c r="CD47" s="1372"/>
      <c r="CE47" s="1373"/>
      <c r="CF47" s="1371"/>
      <c r="CG47" s="1372"/>
      <c r="CH47" s="1373"/>
      <c r="CI47" s="1371"/>
      <c r="CJ47" s="1372"/>
      <c r="CK47" s="1373"/>
      <c r="CL47" s="1371"/>
      <c r="CM47" s="1372"/>
      <c r="CN47" s="1373"/>
      <c r="CO47" s="1371"/>
      <c r="CP47" s="1372"/>
      <c r="CQ47" s="1373"/>
      <c r="CR47" s="1371"/>
      <c r="CS47" s="1372"/>
      <c r="CT47" s="1373"/>
      <c r="CU47" s="1371"/>
      <c r="CV47" s="1372"/>
    </row>
    <row r="48" spans="1:109" s="1369" customFormat="1" ht="15.75" customHeight="1">
      <c r="A48" s="1383"/>
      <c r="B48" s="1370"/>
      <c r="C48" s="1371"/>
      <c r="D48" s="1372"/>
      <c r="E48" s="1370"/>
      <c r="F48" s="1371"/>
      <c r="G48" s="1372"/>
      <c r="H48" s="1370"/>
      <c r="I48" s="1371"/>
      <c r="J48" s="1372"/>
      <c r="K48" s="1390"/>
      <c r="L48" s="1391"/>
      <c r="M48" s="1392"/>
      <c r="N48" s="1393"/>
      <c r="O48" s="1391"/>
      <c r="P48" s="1392"/>
      <c r="Q48" s="1393"/>
      <c r="R48" s="1391"/>
      <c r="S48" s="1392"/>
      <c r="T48" s="1393"/>
      <c r="U48" s="1391"/>
      <c r="V48" s="1392"/>
      <c r="W48" s="1393"/>
      <c r="X48" s="1391"/>
      <c r="Y48" s="1392"/>
      <c r="Z48" s="1393"/>
      <c r="AA48" s="1391"/>
      <c r="AB48" s="1392"/>
      <c r="AC48" s="1393"/>
      <c r="AD48" s="1391"/>
      <c r="AE48" s="1392"/>
      <c r="AF48" s="1393"/>
      <c r="AG48" s="1391"/>
      <c r="AH48" s="1392"/>
      <c r="AI48" s="1393"/>
      <c r="AJ48" s="1391"/>
      <c r="AK48" s="1392"/>
      <c r="AL48" s="1393"/>
      <c r="AM48" s="1391"/>
      <c r="AN48" s="1392"/>
      <c r="AO48" s="1393"/>
      <c r="AP48" s="1391"/>
      <c r="AQ48" s="1392"/>
      <c r="AR48" s="1393"/>
      <c r="AS48" s="1391"/>
      <c r="AT48" s="1392"/>
      <c r="AU48" s="1393"/>
      <c r="AV48" s="1391"/>
      <c r="AW48" s="1392"/>
      <c r="AX48" s="1373"/>
      <c r="AY48" s="1371"/>
      <c r="AZ48" s="1372"/>
      <c r="BA48" s="1373"/>
      <c r="BB48" s="1371"/>
      <c r="BC48" s="1372"/>
      <c r="BD48" s="1373"/>
      <c r="BE48" s="1371"/>
      <c r="BF48" s="1372"/>
      <c r="BG48" s="1373"/>
      <c r="BH48" s="1371"/>
      <c r="BI48" s="1372"/>
      <c r="BJ48" s="1373"/>
      <c r="BK48" s="1371"/>
      <c r="BL48" s="1372"/>
      <c r="BM48" s="1373"/>
      <c r="BN48" s="1371"/>
      <c r="BO48" s="1372"/>
      <c r="BP48" s="1373"/>
      <c r="BQ48" s="1371"/>
      <c r="BR48" s="1372"/>
      <c r="BS48" s="1373"/>
      <c r="BT48" s="1371"/>
      <c r="BU48" s="1372"/>
      <c r="BV48" s="1373"/>
      <c r="BW48" s="1371"/>
      <c r="BX48" s="1372"/>
      <c r="BY48" s="1373"/>
      <c r="BZ48" s="1371"/>
      <c r="CA48" s="1372"/>
      <c r="CB48" s="1373"/>
      <c r="CC48" s="1371"/>
      <c r="CD48" s="1372"/>
      <c r="CE48" s="1373"/>
      <c r="CF48" s="1371"/>
      <c r="CG48" s="1372"/>
      <c r="CH48" s="1373"/>
      <c r="CI48" s="1371"/>
      <c r="CJ48" s="1372"/>
      <c r="CK48" s="1373"/>
      <c r="CL48" s="1371"/>
      <c r="CM48" s="1372"/>
      <c r="CN48" s="1373"/>
      <c r="CO48" s="1371"/>
      <c r="CP48" s="1372"/>
      <c r="CQ48" s="1373"/>
      <c r="CR48" s="1371"/>
      <c r="CS48" s="1372"/>
      <c r="CT48" s="1373"/>
      <c r="CU48" s="1371"/>
      <c r="CV48" s="1372"/>
    </row>
    <row r="49" spans="1:109" s="1369" customFormat="1" ht="15" customHeight="1">
      <c r="A49" s="1383"/>
      <c r="B49" s="1373"/>
      <c r="C49" s="1371"/>
      <c r="D49" s="1372"/>
      <c r="E49" s="1373"/>
      <c r="F49" s="1371"/>
      <c r="G49" s="1372"/>
      <c r="H49" s="1373"/>
      <c r="I49" s="1371"/>
      <c r="J49" s="1372"/>
      <c r="K49" s="1393"/>
      <c r="L49" s="1391"/>
      <c r="M49" s="1392"/>
      <c r="N49" s="1393"/>
      <c r="O49" s="1391"/>
      <c r="P49" s="1392"/>
      <c r="Q49" s="1393"/>
      <c r="R49" s="1391"/>
      <c r="S49" s="1392"/>
      <c r="T49" s="1393"/>
      <c r="U49" s="1391"/>
      <c r="V49" s="1392"/>
      <c r="W49" s="1393"/>
      <c r="X49" s="1391"/>
      <c r="Y49" s="1392"/>
      <c r="Z49" s="1393"/>
      <c r="AA49" s="1391"/>
      <c r="AB49" s="1392"/>
      <c r="AC49" s="1393"/>
      <c r="AD49" s="1391"/>
      <c r="AE49" s="1392"/>
      <c r="AF49" s="1393"/>
      <c r="AG49" s="1391"/>
      <c r="AH49" s="1392"/>
      <c r="AI49" s="1393"/>
      <c r="AJ49" s="1391"/>
      <c r="AK49" s="1392"/>
      <c r="AL49" s="1393"/>
      <c r="AM49" s="1391"/>
      <c r="AN49" s="1392"/>
      <c r="AO49" s="1393"/>
      <c r="AP49" s="1391"/>
      <c r="AQ49" s="1392"/>
      <c r="AR49" s="1393"/>
      <c r="AS49" s="1391"/>
      <c r="AT49" s="1392"/>
      <c r="AU49" s="1393"/>
      <c r="AV49" s="1391"/>
      <c r="AW49" s="1392"/>
      <c r="AX49" s="1373"/>
      <c r="AY49" s="1371"/>
      <c r="AZ49" s="1372"/>
      <c r="BA49" s="1373"/>
      <c r="BB49" s="1371"/>
      <c r="BC49" s="1372"/>
      <c r="BD49" s="1373"/>
      <c r="BE49" s="1371"/>
      <c r="BF49" s="1372"/>
      <c r="BG49" s="1373"/>
      <c r="BH49" s="1371"/>
      <c r="BI49" s="1372"/>
      <c r="BJ49" s="1373"/>
      <c r="BK49" s="1371"/>
      <c r="BL49" s="1372"/>
      <c r="BM49" s="1373"/>
      <c r="BN49" s="1371"/>
      <c r="BO49" s="1372"/>
      <c r="BP49" s="1373"/>
      <c r="BQ49" s="1371"/>
      <c r="BR49" s="1372"/>
      <c r="BS49" s="1373"/>
      <c r="BT49" s="1371"/>
      <c r="BU49" s="1372"/>
      <c r="BV49" s="1373"/>
      <c r="BW49" s="1371"/>
      <c r="BX49" s="1372"/>
      <c r="BY49" s="1373"/>
      <c r="BZ49" s="1371"/>
      <c r="CA49" s="1372"/>
      <c r="CB49" s="1373"/>
      <c r="CC49" s="1371"/>
      <c r="CD49" s="1372"/>
      <c r="CE49" s="1373"/>
      <c r="CF49" s="1371"/>
      <c r="CG49" s="1372"/>
      <c r="CH49" s="1373"/>
      <c r="CI49" s="1371"/>
      <c r="CJ49" s="1372"/>
      <c r="CK49" s="1373"/>
      <c r="CL49" s="1371"/>
      <c r="CM49" s="1372"/>
      <c r="CN49" s="1373"/>
      <c r="CO49" s="1371"/>
      <c r="CP49" s="1372"/>
      <c r="CQ49" s="1373"/>
      <c r="CR49" s="1371"/>
      <c r="CS49" s="1372"/>
      <c r="CT49" s="1373"/>
      <c r="CU49" s="1371"/>
      <c r="CV49" s="1372"/>
    </row>
    <row r="50" spans="1:109" s="1369" customFormat="1" ht="15" customHeight="1">
      <c r="A50" s="1383"/>
      <c r="B50" s="1370"/>
      <c r="C50" s="1371"/>
      <c r="D50" s="1372"/>
      <c r="E50" s="1373"/>
      <c r="F50" s="1371"/>
      <c r="G50" s="1372"/>
      <c r="H50" s="1373"/>
      <c r="I50" s="1371"/>
      <c r="J50" s="1372"/>
      <c r="K50" s="1393"/>
      <c r="L50" s="1391"/>
      <c r="M50" s="1392"/>
      <c r="N50" s="1393"/>
      <c r="O50" s="1391"/>
      <c r="P50" s="1392"/>
      <c r="Q50" s="1393"/>
      <c r="R50" s="1391"/>
      <c r="S50" s="1392"/>
      <c r="T50" s="1393"/>
      <c r="U50" s="1391"/>
      <c r="V50" s="1392"/>
      <c r="W50" s="1393"/>
      <c r="X50" s="1391"/>
      <c r="Y50" s="1392"/>
      <c r="Z50" s="1393"/>
      <c r="AA50" s="1391"/>
      <c r="AB50" s="1392"/>
      <c r="AC50" s="1393"/>
      <c r="AD50" s="1391"/>
      <c r="AE50" s="1392"/>
      <c r="AF50" s="1393"/>
      <c r="AG50" s="1391"/>
      <c r="AH50" s="1392"/>
      <c r="AI50" s="1393"/>
      <c r="AJ50" s="1391"/>
      <c r="AK50" s="1392"/>
      <c r="AL50" s="1393"/>
      <c r="AM50" s="1391"/>
      <c r="AN50" s="1392"/>
      <c r="AO50" s="1393"/>
      <c r="AP50" s="1391"/>
      <c r="AQ50" s="1392"/>
      <c r="AR50" s="1393"/>
      <c r="AS50" s="1391"/>
      <c r="AT50" s="1392"/>
      <c r="AU50" s="1393"/>
      <c r="AV50" s="1391"/>
      <c r="AW50" s="1392"/>
      <c r="AX50" s="1373"/>
      <c r="AY50" s="1371"/>
      <c r="AZ50" s="1372"/>
      <c r="BA50" s="1373"/>
      <c r="BB50" s="1371"/>
      <c r="BC50" s="1372"/>
      <c r="BD50" s="1373"/>
      <c r="BE50" s="1371"/>
      <c r="BF50" s="1372"/>
      <c r="BG50" s="1373"/>
      <c r="BH50" s="1371"/>
      <c r="BI50" s="1372"/>
      <c r="BJ50" s="1373"/>
      <c r="BK50" s="1371"/>
      <c r="BL50" s="1372"/>
      <c r="BM50" s="1373"/>
      <c r="BN50" s="1371"/>
      <c r="BO50" s="1372"/>
      <c r="BP50" s="1373"/>
      <c r="BQ50" s="1371"/>
      <c r="BR50" s="1372"/>
      <c r="BS50" s="1373"/>
      <c r="BT50" s="1371"/>
      <c r="BU50" s="1372"/>
      <c r="BV50" s="1373"/>
      <c r="BW50" s="1371"/>
      <c r="BX50" s="1372"/>
      <c r="BY50" s="1373"/>
      <c r="BZ50" s="1371"/>
      <c r="CA50" s="1372"/>
      <c r="CB50" s="1373"/>
      <c r="CC50" s="1371"/>
      <c r="CD50" s="1372"/>
      <c r="CE50" s="1373"/>
      <c r="CF50" s="1371"/>
      <c r="CG50" s="1372"/>
      <c r="CH50" s="1373"/>
      <c r="CI50" s="1371"/>
      <c r="CJ50" s="1372"/>
      <c r="CK50" s="1373"/>
      <c r="CL50" s="1371"/>
      <c r="CM50" s="1372"/>
      <c r="CN50" s="1373"/>
      <c r="CO50" s="1371"/>
      <c r="CP50" s="1372"/>
      <c r="CQ50" s="1373"/>
      <c r="CR50" s="1371"/>
      <c r="CS50" s="1372"/>
      <c r="CT50" s="1373"/>
      <c r="CU50" s="1371"/>
      <c r="CV50" s="1372"/>
    </row>
    <row r="51" spans="1:109" s="1369" customFormat="1" ht="15" customHeight="1">
      <c r="A51" s="1383"/>
      <c r="B51" s="1370"/>
      <c r="C51" s="1371"/>
      <c r="D51" s="1372"/>
      <c r="E51" s="1373"/>
      <c r="F51" s="1371"/>
      <c r="G51" s="1372"/>
      <c r="H51" s="1373"/>
      <c r="I51" s="1371"/>
      <c r="J51" s="1372"/>
      <c r="K51" s="1393"/>
      <c r="L51" s="1391"/>
      <c r="M51" s="1392"/>
      <c r="N51" s="1393"/>
      <c r="O51" s="1391"/>
      <c r="P51" s="1392"/>
      <c r="Q51" s="1393"/>
      <c r="R51" s="1391"/>
      <c r="S51" s="1392"/>
      <c r="T51" s="1393"/>
      <c r="U51" s="1391"/>
      <c r="V51" s="1392"/>
      <c r="W51" s="1393"/>
      <c r="X51" s="1391"/>
      <c r="Y51" s="1392"/>
      <c r="Z51" s="1393"/>
      <c r="AA51" s="1391"/>
      <c r="AB51" s="1392"/>
      <c r="AC51" s="1393"/>
      <c r="AD51" s="1391"/>
      <c r="AE51" s="1392"/>
      <c r="AF51" s="1393"/>
      <c r="AG51" s="1391"/>
      <c r="AH51" s="1392"/>
      <c r="AI51" s="1393"/>
      <c r="AJ51" s="1391"/>
      <c r="AK51" s="1392"/>
      <c r="AL51" s="1393"/>
      <c r="AM51" s="1391"/>
      <c r="AN51" s="1392"/>
      <c r="AO51" s="1393"/>
      <c r="AP51" s="1391"/>
      <c r="AQ51" s="1392"/>
      <c r="AR51" s="1393"/>
      <c r="AS51" s="1391"/>
      <c r="AT51" s="1392"/>
      <c r="AU51" s="1393"/>
      <c r="AV51" s="1391"/>
      <c r="AW51" s="1392"/>
      <c r="AX51" s="1373"/>
      <c r="AY51" s="1371"/>
      <c r="AZ51" s="1372"/>
      <c r="BA51" s="1373"/>
      <c r="BB51" s="1371"/>
      <c r="BC51" s="1372"/>
      <c r="BD51" s="1373"/>
      <c r="BE51" s="1371"/>
      <c r="BF51" s="1372"/>
      <c r="BG51" s="1373"/>
      <c r="BH51" s="1371"/>
      <c r="BI51" s="1372"/>
      <c r="BJ51" s="1373"/>
      <c r="BK51" s="1371"/>
      <c r="BL51" s="1372"/>
      <c r="BM51" s="1373"/>
      <c r="BN51" s="1371"/>
      <c r="BO51" s="1372"/>
      <c r="BP51" s="1373"/>
      <c r="BQ51" s="1371"/>
      <c r="BR51" s="1372"/>
      <c r="BS51" s="1373"/>
      <c r="BT51" s="1371"/>
      <c r="BU51" s="1372"/>
      <c r="BV51" s="1373"/>
      <c r="BW51" s="1371"/>
      <c r="BX51" s="1372"/>
      <c r="BY51" s="1373"/>
      <c r="BZ51" s="1371"/>
      <c r="CA51" s="1372"/>
      <c r="CB51" s="1373"/>
      <c r="CC51" s="1371"/>
      <c r="CD51" s="1372"/>
      <c r="CE51" s="1373"/>
      <c r="CF51" s="1371"/>
      <c r="CG51" s="1372"/>
      <c r="CH51" s="1373"/>
      <c r="CI51" s="1371"/>
      <c r="CJ51" s="1372"/>
      <c r="CK51" s="1373"/>
      <c r="CL51" s="1371"/>
      <c r="CM51" s="1372"/>
      <c r="CN51" s="1373"/>
      <c r="CO51" s="1371"/>
      <c r="CP51" s="1372"/>
      <c r="CQ51" s="1373"/>
      <c r="CR51" s="1371"/>
      <c r="CS51" s="1372"/>
      <c r="CT51" s="1373"/>
      <c r="CU51" s="1371"/>
      <c r="CV51" s="1372"/>
    </row>
    <row r="52" spans="1:109" s="1369" customFormat="1" ht="15" customHeight="1">
      <c r="A52" s="1383"/>
      <c r="B52" s="1370"/>
      <c r="C52" s="1371"/>
      <c r="D52" s="1372"/>
      <c r="E52" s="1373"/>
      <c r="F52" s="1371"/>
      <c r="G52" s="1372"/>
      <c r="H52" s="1373"/>
      <c r="I52" s="1371"/>
      <c r="J52" s="1372"/>
      <c r="K52" s="1393"/>
      <c r="L52" s="1391"/>
      <c r="M52" s="1392"/>
      <c r="N52" s="1393"/>
      <c r="O52" s="1391"/>
      <c r="P52" s="1392"/>
      <c r="Q52" s="1393"/>
      <c r="R52" s="1391"/>
      <c r="S52" s="1392"/>
      <c r="T52" s="1393"/>
      <c r="U52" s="1391"/>
      <c r="V52" s="1392"/>
      <c r="W52" s="1393"/>
      <c r="X52" s="1391"/>
      <c r="Y52" s="1392"/>
      <c r="Z52" s="1393"/>
      <c r="AA52" s="1391"/>
      <c r="AB52" s="1392"/>
      <c r="AC52" s="1393"/>
      <c r="AD52" s="1391"/>
      <c r="AE52" s="1392"/>
      <c r="AF52" s="1393"/>
      <c r="AG52" s="1391"/>
      <c r="AH52" s="1392"/>
      <c r="AI52" s="1393"/>
      <c r="AJ52" s="1391"/>
      <c r="AK52" s="1392"/>
      <c r="AL52" s="1393"/>
      <c r="AM52" s="1391"/>
      <c r="AN52" s="1392"/>
      <c r="AO52" s="1393"/>
      <c r="AP52" s="1391"/>
      <c r="AQ52" s="1392"/>
      <c r="AR52" s="1393"/>
      <c r="AS52" s="1391"/>
      <c r="AT52" s="1392"/>
      <c r="AU52" s="1393"/>
      <c r="AV52" s="1391"/>
      <c r="AW52" s="1392"/>
      <c r="AX52" s="1373"/>
      <c r="AY52" s="1371"/>
      <c r="AZ52" s="1372"/>
      <c r="BA52" s="1373"/>
      <c r="BB52" s="1371"/>
      <c r="BC52" s="1372"/>
      <c r="BD52" s="1373"/>
      <c r="BE52" s="1371"/>
      <c r="BF52" s="1372"/>
      <c r="BG52" s="1373"/>
      <c r="BH52" s="1371"/>
      <c r="BI52" s="1372"/>
      <c r="BJ52" s="1373"/>
      <c r="BK52" s="1371"/>
      <c r="BL52" s="1372"/>
      <c r="BM52" s="1373"/>
      <c r="BN52" s="1371"/>
      <c r="BO52" s="1372"/>
      <c r="BP52" s="1373"/>
      <c r="BQ52" s="1371"/>
      <c r="BR52" s="1372"/>
      <c r="BS52" s="1373"/>
      <c r="BT52" s="1371"/>
      <c r="BU52" s="1372"/>
      <c r="BV52" s="1373"/>
      <c r="BW52" s="1371"/>
      <c r="BX52" s="1372"/>
      <c r="BY52" s="1373"/>
      <c r="BZ52" s="1371"/>
      <c r="CA52" s="1372"/>
      <c r="CB52" s="1373"/>
      <c r="CC52" s="1371"/>
      <c r="CD52" s="1372"/>
      <c r="CE52" s="1373"/>
      <c r="CF52" s="1371"/>
      <c r="CG52" s="1372"/>
      <c r="CH52" s="1373"/>
      <c r="CI52" s="1371"/>
      <c r="CJ52" s="1372"/>
      <c r="CK52" s="1373"/>
      <c r="CL52" s="1371"/>
      <c r="CM52" s="1372"/>
      <c r="CN52" s="1373"/>
      <c r="CO52" s="1371"/>
      <c r="CP52" s="1372"/>
      <c r="CQ52" s="1373"/>
      <c r="CR52" s="1371"/>
      <c r="CS52" s="1372"/>
      <c r="CT52" s="1373"/>
      <c r="CU52" s="1371"/>
      <c r="CV52" s="1372"/>
    </row>
    <row r="53" spans="1:109" s="1369" customFormat="1" ht="15" customHeight="1" thickBot="1">
      <c r="A53" s="1383"/>
      <c r="B53" s="1370"/>
      <c r="C53" s="1371"/>
      <c r="D53" s="1372"/>
      <c r="E53" s="1373"/>
      <c r="F53" s="1371"/>
      <c r="G53" s="1372"/>
      <c r="H53" s="1373"/>
      <c r="I53" s="1371"/>
      <c r="J53" s="1372"/>
      <c r="K53" s="1393"/>
      <c r="L53" s="1391"/>
      <c r="M53" s="1392"/>
      <c r="N53" s="1393"/>
      <c r="O53" s="1391"/>
      <c r="P53" s="1392"/>
      <c r="Q53" s="1393"/>
      <c r="R53" s="1391"/>
      <c r="S53" s="1392"/>
      <c r="T53" s="1393"/>
      <c r="U53" s="1391"/>
      <c r="V53" s="1392"/>
      <c r="W53" s="1393"/>
      <c r="X53" s="1391"/>
      <c r="Y53" s="1392"/>
      <c r="Z53" s="1393"/>
      <c r="AA53" s="1391"/>
      <c r="AB53" s="1392"/>
      <c r="AC53" s="1393"/>
      <c r="AD53" s="1391"/>
      <c r="AE53" s="1392"/>
      <c r="AF53" s="1393"/>
      <c r="AG53" s="1391"/>
      <c r="AH53" s="1392"/>
      <c r="AI53" s="1393"/>
      <c r="AJ53" s="1391"/>
      <c r="AK53" s="1392"/>
      <c r="AL53" s="1393"/>
      <c r="AM53" s="1391"/>
      <c r="AN53" s="1392"/>
      <c r="AO53" s="1393"/>
      <c r="AP53" s="1391"/>
      <c r="AQ53" s="1392"/>
      <c r="AR53" s="1393"/>
      <c r="AS53" s="1391"/>
      <c r="AT53" s="1392"/>
      <c r="AU53" s="1393"/>
      <c r="AV53" s="1391"/>
      <c r="AW53" s="1392"/>
      <c r="AX53" s="1373"/>
      <c r="AY53" s="1371"/>
      <c r="AZ53" s="1372"/>
      <c r="BA53" s="1373"/>
      <c r="BB53" s="1371"/>
      <c r="BC53" s="1372"/>
      <c r="BD53" s="1373"/>
      <c r="BE53" s="1371"/>
      <c r="BF53" s="1372"/>
      <c r="BG53" s="1373"/>
      <c r="BH53" s="1371"/>
      <c r="BI53" s="1372"/>
      <c r="BJ53" s="1373"/>
      <c r="BK53" s="1371"/>
      <c r="BL53" s="1372"/>
      <c r="BM53" s="1373"/>
      <c r="BN53" s="1371"/>
      <c r="BO53" s="1372"/>
      <c r="BP53" s="1373"/>
      <c r="BQ53" s="1371"/>
      <c r="BR53" s="1372"/>
      <c r="BS53" s="1373"/>
      <c r="BT53" s="1371"/>
      <c r="BU53" s="1372"/>
      <c r="BV53" s="1373"/>
      <c r="BW53" s="1371"/>
      <c r="BX53" s="1372"/>
      <c r="BY53" s="1373"/>
      <c r="BZ53" s="1371"/>
      <c r="CA53" s="1372"/>
      <c r="CB53" s="1373"/>
      <c r="CC53" s="1371"/>
      <c r="CD53" s="1372"/>
      <c r="CE53" s="1373"/>
      <c r="CF53" s="1371"/>
      <c r="CG53" s="1372"/>
      <c r="CH53" s="1373"/>
      <c r="CI53" s="1371"/>
      <c r="CJ53" s="1372"/>
      <c r="CK53" s="1373"/>
      <c r="CL53" s="1371"/>
      <c r="CM53" s="1372"/>
      <c r="CN53" s="1373"/>
      <c r="CO53" s="1371"/>
      <c r="CP53" s="1372"/>
      <c r="CQ53" s="1373"/>
      <c r="CR53" s="1371"/>
      <c r="CS53" s="1372"/>
      <c r="CT53" s="1373"/>
      <c r="CU53" s="1371"/>
      <c r="CV53" s="1372"/>
    </row>
    <row r="54" spans="1:109" s="5" customFormat="1" ht="15" hidden="1" customHeight="1">
      <c r="A54" s="256"/>
      <c r="B54" s="249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6"/>
      <c r="B55" s="249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6"/>
      <c r="B56" s="249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6"/>
      <c r="B57" s="249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6"/>
      <c r="B58" s="249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6"/>
      <c r="B59" s="250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1" customFormat="1" ht="22.5" customHeight="1" thickBot="1">
      <c r="A60" s="425"/>
      <c r="B60" s="426">
        <f>SUM(B46:B59)</f>
        <v>0</v>
      </c>
      <c r="C60" s="427">
        <f>SUM(C46:C59)</f>
        <v>0</v>
      </c>
      <c r="D60" s="428">
        <f>SUM(D46:D59)</f>
        <v>0</v>
      </c>
      <c r="E60" s="429">
        <f t="shared" ref="E60:BP60" si="36">SUM(E46:E59)</f>
        <v>2475</v>
      </c>
      <c r="F60" s="427">
        <f t="shared" si="36"/>
        <v>0</v>
      </c>
      <c r="G60" s="428">
        <f t="shared" si="36"/>
        <v>0</v>
      </c>
      <c r="H60" s="429">
        <f t="shared" si="36"/>
        <v>825</v>
      </c>
      <c r="I60" s="427">
        <f t="shared" si="36"/>
        <v>0</v>
      </c>
      <c r="J60" s="428">
        <f t="shared" si="36"/>
        <v>0</v>
      </c>
      <c r="K60" s="429">
        <f t="shared" si="36"/>
        <v>6930</v>
      </c>
      <c r="L60" s="427">
        <f t="shared" si="36"/>
        <v>0</v>
      </c>
      <c r="M60" s="428">
        <f t="shared" si="36"/>
        <v>0</v>
      </c>
      <c r="N60" s="429">
        <f t="shared" si="36"/>
        <v>0</v>
      </c>
      <c r="O60" s="427">
        <f t="shared" si="36"/>
        <v>0</v>
      </c>
      <c r="P60" s="428">
        <f t="shared" si="36"/>
        <v>0</v>
      </c>
      <c r="Q60" s="429">
        <f t="shared" si="36"/>
        <v>0</v>
      </c>
      <c r="R60" s="427">
        <f t="shared" si="36"/>
        <v>0</v>
      </c>
      <c r="S60" s="428">
        <f t="shared" si="36"/>
        <v>0</v>
      </c>
      <c r="T60" s="429">
        <f t="shared" si="36"/>
        <v>0</v>
      </c>
      <c r="U60" s="427">
        <f t="shared" si="36"/>
        <v>0</v>
      </c>
      <c r="V60" s="428">
        <f t="shared" si="36"/>
        <v>0</v>
      </c>
      <c r="W60" s="429">
        <f t="shared" si="36"/>
        <v>0</v>
      </c>
      <c r="X60" s="427">
        <f t="shared" si="36"/>
        <v>0</v>
      </c>
      <c r="Y60" s="428">
        <f t="shared" si="36"/>
        <v>0</v>
      </c>
      <c r="Z60" s="429">
        <f t="shared" si="36"/>
        <v>0</v>
      </c>
      <c r="AA60" s="427">
        <f t="shared" si="36"/>
        <v>0</v>
      </c>
      <c r="AB60" s="428">
        <f t="shared" si="36"/>
        <v>0</v>
      </c>
      <c r="AC60" s="429">
        <f t="shared" si="36"/>
        <v>0</v>
      </c>
      <c r="AD60" s="427">
        <f t="shared" si="36"/>
        <v>0</v>
      </c>
      <c r="AE60" s="428">
        <f t="shared" si="36"/>
        <v>0</v>
      </c>
      <c r="AF60" s="429">
        <f t="shared" si="36"/>
        <v>0</v>
      </c>
      <c r="AG60" s="427">
        <f t="shared" si="36"/>
        <v>0</v>
      </c>
      <c r="AH60" s="428">
        <f t="shared" si="36"/>
        <v>0</v>
      </c>
      <c r="AI60" s="429">
        <f t="shared" si="36"/>
        <v>0</v>
      </c>
      <c r="AJ60" s="427">
        <f t="shared" si="36"/>
        <v>0</v>
      </c>
      <c r="AK60" s="428">
        <f t="shared" si="36"/>
        <v>0</v>
      </c>
      <c r="AL60" s="429">
        <f t="shared" si="36"/>
        <v>0</v>
      </c>
      <c r="AM60" s="427">
        <f t="shared" si="36"/>
        <v>0</v>
      </c>
      <c r="AN60" s="428">
        <f t="shared" si="36"/>
        <v>0</v>
      </c>
      <c r="AO60" s="429">
        <f t="shared" si="36"/>
        <v>0</v>
      </c>
      <c r="AP60" s="427">
        <f t="shared" si="36"/>
        <v>0</v>
      </c>
      <c r="AQ60" s="428">
        <f t="shared" si="36"/>
        <v>0</v>
      </c>
      <c r="AR60" s="429">
        <f t="shared" si="36"/>
        <v>0</v>
      </c>
      <c r="AS60" s="427">
        <f t="shared" si="36"/>
        <v>0</v>
      </c>
      <c r="AT60" s="428">
        <f t="shared" si="36"/>
        <v>0</v>
      </c>
      <c r="AU60" s="429">
        <f t="shared" si="36"/>
        <v>0</v>
      </c>
      <c r="AV60" s="427">
        <f t="shared" si="36"/>
        <v>0</v>
      </c>
      <c r="AW60" s="428">
        <f t="shared" si="36"/>
        <v>0</v>
      </c>
      <c r="AX60" s="429">
        <f t="shared" si="36"/>
        <v>0</v>
      </c>
      <c r="AY60" s="427">
        <f t="shared" si="36"/>
        <v>0</v>
      </c>
      <c r="AZ60" s="428">
        <f t="shared" si="36"/>
        <v>0</v>
      </c>
      <c r="BA60" s="429">
        <f t="shared" si="36"/>
        <v>0</v>
      </c>
      <c r="BB60" s="427">
        <f t="shared" si="36"/>
        <v>0</v>
      </c>
      <c r="BC60" s="428">
        <f t="shared" si="36"/>
        <v>0</v>
      </c>
      <c r="BD60" s="429">
        <f t="shared" si="36"/>
        <v>0</v>
      </c>
      <c r="BE60" s="427">
        <f t="shared" si="36"/>
        <v>0</v>
      </c>
      <c r="BF60" s="428">
        <f t="shared" si="36"/>
        <v>0</v>
      </c>
      <c r="BG60" s="429">
        <f t="shared" si="36"/>
        <v>0</v>
      </c>
      <c r="BH60" s="427">
        <f t="shared" si="36"/>
        <v>0</v>
      </c>
      <c r="BI60" s="428">
        <f t="shared" si="36"/>
        <v>0</v>
      </c>
      <c r="BJ60" s="429">
        <f t="shared" si="36"/>
        <v>0</v>
      </c>
      <c r="BK60" s="427">
        <f t="shared" si="36"/>
        <v>0</v>
      </c>
      <c r="BL60" s="428">
        <f t="shared" si="36"/>
        <v>0</v>
      </c>
      <c r="BM60" s="429">
        <f t="shared" si="36"/>
        <v>0</v>
      </c>
      <c r="BN60" s="427">
        <f t="shared" si="36"/>
        <v>0</v>
      </c>
      <c r="BO60" s="428">
        <f t="shared" si="36"/>
        <v>0</v>
      </c>
      <c r="BP60" s="429">
        <f t="shared" si="36"/>
        <v>0</v>
      </c>
      <c r="BQ60" s="427">
        <f t="shared" ref="BQ60:CV60" si="37">SUM(BQ46:BQ59)</f>
        <v>0</v>
      </c>
      <c r="BR60" s="428">
        <f t="shared" si="37"/>
        <v>0</v>
      </c>
      <c r="BS60" s="429">
        <f t="shared" si="37"/>
        <v>0</v>
      </c>
      <c r="BT60" s="427">
        <f t="shared" si="37"/>
        <v>0</v>
      </c>
      <c r="BU60" s="428">
        <f t="shared" si="37"/>
        <v>0</v>
      </c>
      <c r="BV60" s="429">
        <f t="shared" si="37"/>
        <v>0</v>
      </c>
      <c r="BW60" s="427">
        <f t="shared" si="37"/>
        <v>0</v>
      </c>
      <c r="BX60" s="428">
        <f t="shared" si="37"/>
        <v>0</v>
      </c>
      <c r="BY60" s="429">
        <f t="shared" si="37"/>
        <v>0</v>
      </c>
      <c r="BZ60" s="427">
        <f t="shared" si="37"/>
        <v>0</v>
      </c>
      <c r="CA60" s="428">
        <f t="shared" si="37"/>
        <v>0</v>
      </c>
      <c r="CB60" s="429">
        <f t="shared" si="37"/>
        <v>0</v>
      </c>
      <c r="CC60" s="427">
        <f t="shared" si="37"/>
        <v>0</v>
      </c>
      <c r="CD60" s="428">
        <f t="shared" si="37"/>
        <v>0</v>
      </c>
      <c r="CE60" s="429">
        <f t="shared" si="37"/>
        <v>0</v>
      </c>
      <c r="CF60" s="427">
        <f t="shared" si="37"/>
        <v>0</v>
      </c>
      <c r="CG60" s="428">
        <f t="shared" si="37"/>
        <v>0</v>
      </c>
      <c r="CH60" s="429">
        <f t="shared" si="37"/>
        <v>0</v>
      </c>
      <c r="CI60" s="427">
        <f t="shared" si="37"/>
        <v>0</v>
      </c>
      <c r="CJ60" s="428">
        <f t="shared" si="37"/>
        <v>0</v>
      </c>
      <c r="CK60" s="429">
        <f t="shared" si="37"/>
        <v>0</v>
      </c>
      <c r="CL60" s="427">
        <f t="shared" si="37"/>
        <v>0</v>
      </c>
      <c r="CM60" s="428">
        <f t="shared" si="37"/>
        <v>0</v>
      </c>
      <c r="CN60" s="429">
        <f t="shared" si="37"/>
        <v>0</v>
      </c>
      <c r="CO60" s="427">
        <f t="shared" si="37"/>
        <v>0</v>
      </c>
      <c r="CP60" s="428">
        <f t="shared" si="37"/>
        <v>0</v>
      </c>
      <c r="CQ60" s="429">
        <f t="shared" si="37"/>
        <v>0</v>
      </c>
      <c r="CR60" s="427">
        <f t="shared" si="37"/>
        <v>0</v>
      </c>
      <c r="CS60" s="428">
        <f t="shared" si="37"/>
        <v>0</v>
      </c>
      <c r="CT60" s="429">
        <f t="shared" si="37"/>
        <v>0</v>
      </c>
      <c r="CU60" s="427">
        <f t="shared" si="37"/>
        <v>0</v>
      </c>
      <c r="CV60" s="428">
        <f t="shared" si="37"/>
        <v>0</v>
      </c>
      <c r="CW60" s="430"/>
      <c r="CX60" s="430"/>
      <c r="CY60" s="430"/>
      <c r="CZ60" s="430"/>
      <c r="DA60" s="430"/>
      <c r="DB60" s="430"/>
      <c r="DC60" s="430"/>
      <c r="DD60" s="430"/>
      <c r="DE60" s="430"/>
    </row>
    <row r="61" spans="1:109" s="5" customFormat="1" ht="26.25" customHeight="1" thickTop="1" thickBot="1">
      <c r="A61" s="257"/>
      <c r="B61" s="1557">
        <f>SUM(B60:D60)</f>
        <v>0</v>
      </c>
      <c r="C61" s="1557"/>
      <c r="D61" s="1558"/>
      <c r="E61" s="1556">
        <f>SUM(E60:G60)</f>
        <v>2475</v>
      </c>
      <c r="F61" s="1557"/>
      <c r="G61" s="1558"/>
      <c r="H61" s="1556">
        <f>SUM(H60:J60)</f>
        <v>825</v>
      </c>
      <c r="I61" s="1557"/>
      <c r="J61" s="1558"/>
      <c r="K61" s="1556">
        <f>SUM(K60:M60)</f>
        <v>6930</v>
      </c>
      <c r="L61" s="1557"/>
      <c r="M61" s="1558"/>
      <c r="N61" s="1556">
        <f>SUM(N60:P60)</f>
        <v>0</v>
      </c>
      <c r="O61" s="1557"/>
      <c r="P61" s="1558"/>
      <c r="Q61" s="1556">
        <f>SUM(Q60:S60)</f>
        <v>0</v>
      </c>
      <c r="R61" s="1557"/>
      <c r="S61" s="1558"/>
      <c r="T61" s="1556">
        <f>SUM(T60:V60)</f>
        <v>0</v>
      </c>
      <c r="U61" s="1557"/>
      <c r="V61" s="1558"/>
      <c r="W61" s="1556">
        <f>SUM(W60:Y60)</f>
        <v>0</v>
      </c>
      <c r="X61" s="1557"/>
      <c r="Y61" s="1558"/>
      <c r="Z61" s="1556">
        <f>SUM(Z60:AB60)</f>
        <v>0</v>
      </c>
      <c r="AA61" s="1557"/>
      <c r="AB61" s="1558"/>
      <c r="AC61" s="1556">
        <f>SUM(AC60:AE60)</f>
        <v>0</v>
      </c>
      <c r="AD61" s="1557"/>
      <c r="AE61" s="1558"/>
      <c r="AF61" s="1556">
        <f>SUM(AF60:AH60)</f>
        <v>0</v>
      </c>
      <c r="AG61" s="1557"/>
      <c r="AH61" s="1558"/>
      <c r="AI61" s="1556">
        <f>SUM(AI60:AK60)</f>
        <v>0</v>
      </c>
      <c r="AJ61" s="1557"/>
      <c r="AK61" s="1558"/>
      <c r="AL61" s="1556">
        <f>SUM(AL60:AN60)</f>
        <v>0</v>
      </c>
      <c r="AM61" s="1557"/>
      <c r="AN61" s="1558"/>
      <c r="AO61" s="1556">
        <f>SUM(AO60:AQ60)</f>
        <v>0</v>
      </c>
      <c r="AP61" s="1557"/>
      <c r="AQ61" s="1558"/>
      <c r="AR61" s="1556">
        <f>SUM(AR60:AT60)</f>
        <v>0</v>
      </c>
      <c r="AS61" s="1557"/>
      <c r="AT61" s="1558"/>
      <c r="AU61" s="1556">
        <f>SUM(AU60:AW60)</f>
        <v>0</v>
      </c>
      <c r="AV61" s="1557"/>
      <c r="AW61" s="1558"/>
      <c r="AX61" s="1556">
        <f>SUM(AX60:AZ60)</f>
        <v>0</v>
      </c>
      <c r="AY61" s="1557"/>
      <c r="AZ61" s="1558"/>
      <c r="BA61" s="1556">
        <f>SUM(BA60:BC60)</f>
        <v>0</v>
      </c>
      <c r="BB61" s="1557"/>
      <c r="BC61" s="1558"/>
      <c r="BD61" s="1556">
        <f>SUM(BD60:BF60)</f>
        <v>0</v>
      </c>
      <c r="BE61" s="1557"/>
      <c r="BF61" s="1558"/>
      <c r="BG61" s="1556">
        <f>SUM(BG60:BI60)</f>
        <v>0</v>
      </c>
      <c r="BH61" s="1557"/>
      <c r="BI61" s="1558"/>
      <c r="BJ61" s="1556">
        <f>SUM(BJ60:BL60)</f>
        <v>0</v>
      </c>
      <c r="BK61" s="1557"/>
      <c r="BL61" s="1558"/>
      <c r="BM61" s="1556">
        <f>SUM(BM60:BO60)</f>
        <v>0</v>
      </c>
      <c r="BN61" s="1557"/>
      <c r="BO61" s="1558"/>
      <c r="BP61" s="1556">
        <f>SUM(BP60:BR60)</f>
        <v>0</v>
      </c>
      <c r="BQ61" s="1557"/>
      <c r="BR61" s="1558"/>
      <c r="BS61" s="1556">
        <f>SUM(BS60:BU60)</f>
        <v>0</v>
      </c>
      <c r="BT61" s="1557"/>
      <c r="BU61" s="1558"/>
      <c r="BV61" s="1556">
        <f>SUM(BV60:BX60)</f>
        <v>0</v>
      </c>
      <c r="BW61" s="1557"/>
      <c r="BX61" s="1558"/>
      <c r="BY61" s="1556">
        <f>SUM(BY60:CA60)</f>
        <v>0</v>
      </c>
      <c r="BZ61" s="1557"/>
      <c r="CA61" s="1558"/>
      <c r="CB61" s="1556">
        <f>SUM(CB60:CD60)</f>
        <v>0</v>
      </c>
      <c r="CC61" s="1557"/>
      <c r="CD61" s="1558"/>
      <c r="CE61" s="1556">
        <f>SUM(CE60:CG60)</f>
        <v>0</v>
      </c>
      <c r="CF61" s="1557"/>
      <c r="CG61" s="1558"/>
      <c r="CH61" s="1556">
        <f>SUM(CH60:CJ60)</f>
        <v>0</v>
      </c>
      <c r="CI61" s="1557"/>
      <c r="CJ61" s="1558"/>
      <c r="CK61" s="1556">
        <f>SUM(CK60:CM60)</f>
        <v>0</v>
      </c>
      <c r="CL61" s="1557"/>
      <c r="CM61" s="1558"/>
      <c r="CN61" s="1556">
        <f>SUM(CN60:CP60)</f>
        <v>0</v>
      </c>
      <c r="CO61" s="1557"/>
      <c r="CP61" s="1558"/>
      <c r="CQ61" s="1556">
        <f>SUM(CQ60:CS60)</f>
        <v>0</v>
      </c>
      <c r="CR61" s="1557"/>
      <c r="CS61" s="1558"/>
      <c r="CT61" s="1556">
        <f>SUM(CT60:CV60)</f>
        <v>0</v>
      </c>
      <c r="CU61" s="1557"/>
      <c r="CV61" s="1558"/>
      <c r="CW61" s="28"/>
      <c r="CX61" s="28"/>
      <c r="CY61" s="28"/>
      <c r="CZ61" s="158"/>
      <c r="DA61" s="158"/>
      <c r="DB61" s="158"/>
      <c r="DC61" s="1582"/>
      <c r="DD61" s="1582"/>
      <c r="DE61" s="1582"/>
    </row>
    <row r="62" spans="1:109" ht="33" customHeight="1" thickTop="1">
      <c r="B62" s="1583">
        <f>SUM(B61:CV61)</f>
        <v>10230</v>
      </c>
      <c r="C62" s="1583"/>
      <c r="D62" s="1583"/>
    </row>
  </sheetData>
  <mergeCells count="149">
    <mergeCell ref="N39:P39"/>
    <mergeCell ref="N40:P40"/>
    <mergeCell ref="AL39:AN39"/>
    <mergeCell ref="AL40:AN40"/>
    <mergeCell ref="AO39:AQ39"/>
    <mergeCell ref="AO40:AQ40"/>
    <mergeCell ref="AF38:AH38"/>
    <mergeCell ref="AI38:AK38"/>
    <mergeCell ref="AL38:AN38"/>
    <mergeCell ref="AO38:AQ38"/>
    <mergeCell ref="AR38:AT38"/>
    <mergeCell ref="AC38:AE38"/>
    <mergeCell ref="AU38:AW38"/>
    <mergeCell ref="B38:D38"/>
    <mergeCell ref="E38:G38"/>
    <mergeCell ref="H38:J38"/>
    <mergeCell ref="K38:M38"/>
    <mergeCell ref="Q38:S38"/>
    <mergeCell ref="T38:V38"/>
    <mergeCell ref="W38:Y38"/>
    <mergeCell ref="Z38:AB38"/>
    <mergeCell ref="N38:P38"/>
    <mergeCell ref="CN38:CP38"/>
    <mergeCell ref="BG38:BI38"/>
    <mergeCell ref="CQ38:CS38"/>
    <mergeCell ref="CT38:CV38"/>
    <mergeCell ref="B39:D39"/>
    <mergeCell ref="E39:G39"/>
    <mergeCell ref="H39:J39"/>
    <mergeCell ref="K39:M39"/>
    <mergeCell ref="Q39:S39"/>
    <mergeCell ref="T39:V39"/>
    <mergeCell ref="W39:Y39"/>
    <mergeCell ref="Z39:AB39"/>
    <mergeCell ref="AC39:AE39"/>
    <mergeCell ref="AF39:AH39"/>
    <mergeCell ref="AI39:AK39"/>
    <mergeCell ref="AR39:AT39"/>
    <mergeCell ref="AU39:AW39"/>
    <mergeCell ref="AX39:AZ39"/>
    <mergeCell ref="BA39:BC39"/>
    <mergeCell ref="BD39:BF39"/>
    <mergeCell ref="BG39:BI39"/>
    <mergeCell ref="BD38:BF38"/>
    <mergeCell ref="BA38:BC38"/>
    <mergeCell ref="BJ38:BL38"/>
    <mergeCell ref="CB39:CD39"/>
    <mergeCell ref="CE39:CG39"/>
    <mergeCell ref="CH39:CJ39"/>
    <mergeCell ref="CE38:CG38"/>
    <mergeCell ref="CH38:CJ38"/>
    <mergeCell ref="AX38:AZ38"/>
    <mergeCell ref="BJ39:BL39"/>
    <mergeCell ref="BM39:BO39"/>
    <mergeCell ref="CK38:CM38"/>
    <mergeCell ref="BM38:BO38"/>
    <mergeCell ref="BP38:BR38"/>
    <mergeCell ref="BS38:BU38"/>
    <mergeCell ref="BV38:BX38"/>
    <mergeCell ref="BY38:CA38"/>
    <mergeCell ref="CB38:CD38"/>
    <mergeCell ref="CK39:CM39"/>
    <mergeCell ref="CN39:CP39"/>
    <mergeCell ref="CQ39:CS39"/>
    <mergeCell ref="CT39:CV39"/>
    <mergeCell ref="B40:D40"/>
    <mergeCell ref="E40:G40"/>
    <mergeCell ref="H40:J40"/>
    <mergeCell ref="K40:M40"/>
    <mergeCell ref="Q40:S40"/>
    <mergeCell ref="T40:V40"/>
    <mergeCell ref="W40:Y40"/>
    <mergeCell ref="Z40:AB40"/>
    <mergeCell ref="AC40:AE40"/>
    <mergeCell ref="AF40:AH40"/>
    <mergeCell ref="AI40:AK40"/>
    <mergeCell ref="AR40:AT40"/>
    <mergeCell ref="AU40:AW40"/>
    <mergeCell ref="AX40:AZ40"/>
    <mergeCell ref="BA40:BC40"/>
    <mergeCell ref="BD40:BF40"/>
    <mergeCell ref="BP39:BR39"/>
    <mergeCell ref="BS39:BU39"/>
    <mergeCell ref="BV39:BX39"/>
    <mergeCell ref="BY39:CA39"/>
    <mergeCell ref="CQ40:CS40"/>
    <mergeCell ref="CT40:CV40"/>
    <mergeCell ref="B41:D41"/>
    <mergeCell ref="E41:G41"/>
    <mergeCell ref="BJ41:BL41"/>
    <mergeCell ref="BM41:BO41"/>
    <mergeCell ref="BS41:BU41"/>
    <mergeCell ref="BV41:BX41"/>
    <mergeCell ref="BY41:CA41"/>
    <mergeCell ref="CB41:CD41"/>
    <mergeCell ref="BP40:BR40"/>
    <mergeCell ref="BS40:BU40"/>
    <mergeCell ref="BV40:BX40"/>
    <mergeCell ref="BY40:CA40"/>
    <mergeCell ref="CB40:CD40"/>
    <mergeCell ref="CH40:CJ40"/>
    <mergeCell ref="CK40:CM40"/>
    <mergeCell ref="CN40:CP40"/>
    <mergeCell ref="CT61:CV61"/>
    <mergeCell ref="DC61:DE61"/>
    <mergeCell ref="CE41:CG41"/>
    <mergeCell ref="CH41:CJ41"/>
    <mergeCell ref="CK41:CM41"/>
    <mergeCell ref="CN41:CP41"/>
    <mergeCell ref="CQ41:CS41"/>
    <mergeCell ref="CT41:CV41"/>
    <mergeCell ref="CK61:CM61"/>
    <mergeCell ref="CN61:CP61"/>
    <mergeCell ref="CQ61:CS61"/>
    <mergeCell ref="CH61:CJ61"/>
    <mergeCell ref="CB61:CD61"/>
    <mergeCell ref="CE61:CG61"/>
    <mergeCell ref="BP41:BR41"/>
    <mergeCell ref="BS61:BU61"/>
    <mergeCell ref="BG61:BI61"/>
    <mergeCell ref="CE40:CG40"/>
    <mergeCell ref="BG40:BI40"/>
    <mergeCell ref="BJ40:BL40"/>
    <mergeCell ref="BM40:BO40"/>
    <mergeCell ref="BV61:BX61"/>
    <mergeCell ref="BY61:CA61"/>
    <mergeCell ref="BP61:BR61"/>
    <mergeCell ref="BM61:BO61"/>
    <mergeCell ref="AC61:AE61"/>
    <mergeCell ref="AF61:AH61"/>
    <mergeCell ref="AI61:AK61"/>
    <mergeCell ref="AL61:AN61"/>
    <mergeCell ref="AO61:AQ61"/>
    <mergeCell ref="BJ61:BL61"/>
    <mergeCell ref="B62:D62"/>
    <mergeCell ref="AR61:AT61"/>
    <mergeCell ref="AU61:AW61"/>
    <mergeCell ref="AX61:AZ61"/>
    <mergeCell ref="BA61:BC61"/>
    <mergeCell ref="BD61:BF61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</mergeCells>
  <phoneticPr fontId="12" type="noConversion"/>
  <conditionalFormatting sqref="CX6:CX36">
    <cfRule type="cellIs" dxfId="584" priority="1" stopIfTrue="1" operator="greaterThan">
      <formula>6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C00000"/>
  </sheetPr>
  <dimension ref="A1:Z203"/>
  <sheetViews>
    <sheetView showGridLines="0" tabSelected="1" zoomScaleNormal="100" zoomScaleSheetLayoutView="100" workbookViewId="0">
      <pane xSplit="3" ySplit="3" topLeftCell="J147" activePane="bottomRight" state="frozen"/>
      <selection activeCell="G1" sqref="G1"/>
      <selection pane="topRight" activeCell="G1" sqref="G1"/>
      <selection pane="bottomLeft" activeCell="G1" sqref="G1"/>
      <selection pane="bottomRight" activeCell="I185" sqref="I185:J185"/>
    </sheetView>
  </sheetViews>
  <sheetFormatPr defaultRowHeight="18.75"/>
  <cols>
    <col min="1" max="1" width="20.875" style="81" customWidth="1"/>
    <col min="2" max="2" width="18" style="81" customWidth="1"/>
    <col min="3" max="3" width="29.125" style="81" customWidth="1"/>
    <col min="4" max="4" width="8.875" style="82" customWidth="1"/>
    <col min="5" max="5" width="10.75" style="81" customWidth="1"/>
    <col min="6" max="6" width="15" style="81" customWidth="1"/>
    <col min="7" max="7" width="14.125" style="81" customWidth="1"/>
    <col min="8" max="8" width="12.625" style="81" hidden="1" customWidth="1"/>
    <col min="9" max="9" width="12.25" style="81" customWidth="1"/>
    <col min="10" max="10" width="12" style="81" customWidth="1"/>
    <col min="11" max="11" width="12.75" style="81" customWidth="1"/>
    <col min="12" max="12" width="11.5" style="76" customWidth="1"/>
    <col min="13" max="13" width="11.625" style="76" customWidth="1"/>
    <col min="14" max="14" width="12.875" style="76" customWidth="1"/>
    <col min="15" max="15" width="8.375" style="76" customWidth="1"/>
    <col min="16" max="16" width="45.875" style="219" customWidth="1"/>
    <col min="17" max="17" width="5.125" style="74" customWidth="1"/>
    <col min="18" max="18" width="6.25" style="115" customWidth="1"/>
    <col min="19" max="19" width="9.5" style="243" customWidth="1"/>
    <col min="20" max="20" width="6.875" style="243" customWidth="1"/>
    <col min="21" max="21" width="12.375" style="465" customWidth="1"/>
    <col min="22" max="22" width="10.25" style="682" bestFit="1" customWidth="1"/>
    <col min="23" max="25" width="8.125" style="682" customWidth="1"/>
    <col min="26" max="26" width="10.25" style="81" bestFit="1" customWidth="1"/>
    <col min="27" max="16384" width="9" style="81"/>
  </cols>
  <sheetData>
    <row r="1" spans="1:26" s="39" customFormat="1" ht="20.25" customHeight="1">
      <c r="A1" s="135"/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78"/>
      <c r="N1" s="78"/>
      <c r="O1" s="78"/>
      <c r="P1" s="218">
        <f ca="1">TODAY()-1</f>
        <v>46223</v>
      </c>
      <c r="Q1" s="78"/>
      <c r="R1" s="115"/>
      <c r="S1" s="243"/>
      <c r="T1" s="243"/>
      <c r="U1" s="464"/>
      <c r="V1" s="681"/>
      <c r="W1" s="681"/>
      <c r="X1" s="681"/>
      <c r="Y1" s="681"/>
    </row>
    <row r="2" spans="1:26" ht="19.5" customHeight="1" thickBot="1">
      <c r="A2" s="67" t="s">
        <v>19</v>
      </c>
      <c r="B2" s="76"/>
      <c r="C2" s="1327"/>
      <c r="D2" s="74"/>
      <c r="E2" s="278" t="s">
        <v>132</v>
      </c>
      <c r="F2" s="278"/>
      <c r="G2" s="388">
        <f>($B$184/$G$185)*G68</f>
        <v>447.92359903502376</v>
      </c>
      <c r="H2" s="79"/>
      <c r="I2" s="79"/>
      <c r="J2" s="79"/>
      <c r="K2" s="76"/>
      <c r="L2" s="1339"/>
      <c r="P2" s="924" t="s">
        <v>777</v>
      </c>
      <c r="Q2" s="80"/>
    </row>
    <row r="3" spans="1:26" ht="19.5" customHeight="1" thickTop="1">
      <c r="A3" s="368" t="s">
        <v>96</v>
      </c>
      <c r="B3" s="369" t="s">
        <v>97</v>
      </c>
      <c r="C3" s="369" t="s">
        <v>98</v>
      </c>
      <c r="D3" s="369" t="s">
        <v>99</v>
      </c>
      <c r="E3" s="369" t="s">
        <v>100</v>
      </c>
      <c r="F3" s="370" t="s">
        <v>101</v>
      </c>
      <c r="G3" s="370" t="s">
        <v>102</v>
      </c>
      <c r="H3" s="370" t="s">
        <v>103</v>
      </c>
      <c r="I3" s="369" t="s">
        <v>104</v>
      </c>
      <c r="J3" s="369" t="s">
        <v>105</v>
      </c>
      <c r="K3" s="369" t="s">
        <v>106</v>
      </c>
      <c r="L3" s="369" t="s">
        <v>94</v>
      </c>
      <c r="M3" s="371" t="s">
        <v>107</v>
      </c>
      <c r="N3" s="371" t="s">
        <v>108</v>
      </c>
      <c r="O3" s="371" t="s">
        <v>109</v>
      </c>
      <c r="P3" s="372" t="s">
        <v>110</v>
      </c>
      <c r="Q3" s="82"/>
      <c r="R3" s="261" t="s">
        <v>208</v>
      </c>
      <c r="S3" s="262" t="s">
        <v>88</v>
      </c>
      <c r="T3" s="262" t="s">
        <v>207</v>
      </c>
      <c r="U3" s="463" t="s">
        <v>209</v>
      </c>
      <c r="V3" s="463" t="s">
        <v>447</v>
      </c>
      <c r="W3" s="463" t="s">
        <v>448</v>
      </c>
      <c r="X3" s="463" t="s">
        <v>449</v>
      </c>
      <c r="Y3" s="463" t="s">
        <v>450</v>
      </c>
      <c r="Z3" s="684"/>
    </row>
    <row r="4" spans="1:26" ht="19.5" customHeight="1">
      <c r="A4" s="72" t="str">
        <f>AFK!B3</f>
        <v>2F08T2</v>
      </c>
      <c r="B4" s="83" t="str">
        <f>AFK!B4</f>
        <v>50/72F2FC</v>
      </c>
      <c r="C4" s="144" t="s">
        <v>17262</v>
      </c>
      <c r="D4" s="84">
        <f>AFK!B37</f>
        <v>0.375</v>
      </c>
      <c r="E4" s="85">
        <f>AFK!D4</f>
        <v>550</v>
      </c>
      <c r="F4" s="86">
        <f>AFK!C37</f>
        <v>6700.3200000000006</v>
      </c>
      <c r="G4" s="384">
        <f>AFK!D37-AFK!B61</f>
        <v>5400</v>
      </c>
      <c r="H4" s="86">
        <f>IF(R4="","",(G4*(150/R4)*(900/E4)))</f>
        <v>28201.160541586072</v>
      </c>
      <c r="I4" s="87">
        <f>IF(F4=0,0,G4/F4)</f>
        <v>0.80593165699548674</v>
      </c>
      <c r="J4" s="88">
        <f>AFK!B40/100</f>
        <v>0</v>
      </c>
      <c r="K4" s="89">
        <f>IF(G4=0,0,(AFK!$B$38-AFK!$B$60-AFK!$C$60)/G4)</f>
        <v>1</v>
      </c>
      <c r="L4" s="1531"/>
      <c r="M4" s="90">
        <f t="array" ref="M4">IF(ISERROR(AVERAGEA(IF(A4=斷絲!$B$4:$U$4,斷絲!$B$39:$U$39))),"",AVERAGEA(IF(A4=斷絲!$B$4:$U$4,斷絲!$B$39:$U$39)))</f>
        <v>3.4062500000000004</v>
      </c>
      <c r="N4" s="91">
        <f>IF(G4=0,0,AFK!$B$41/G$4)</f>
        <v>1</v>
      </c>
      <c r="O4" s="168">
        <v>2</v>
      </c>
      <c r="P4" s="1140" t="s">
        <v>17274</v>
      </c>
      <c r="Q4" s="82"/>
      <c r="R4" s="115">
        <f>AFK!D$3</f>
        <v>47</v>
      </c>
      <c r="S4" s="244" t="s">
        <v>158</v>
      </c>
      <c r="T4" s="243" t="s">
        <v>16082</v>
      </c>
      <c r="U4" s="465" t="str">
        <f>IF(ISNA(HLOOKUP(A4,IAD!$6:$10,5,0)),"",(HLOOKUP(A4,IAD!$6:$10,5,0)))</f>
        <v>白綠方塊</v>
      </c>
      <c r="Z4" s="690"/>
    </row>
    <row r="5" spans="1:26" ht="19.5" hidden="1" customHeight="1">
      <c r="A5" s="72">
        <f>AFK!E3</f>
        <v>0</v>
      </c>
      <c r="B5" s="83">
        <f>AFK!E4</f>
        <v>0</v>
      </c>
      <c r="C5" s="144"/>
      <c r="D5" s="84">
        <f>AFK!E37</f>
        <v>0</v>
      </c>
      <c r="E5" s="85">
        <f>AFK!G4</f>
        <v>0</v>
      </c>
      <c r="F5" s="86">
        <f>AFK!F37</f>
        <v>0</v>
      </c>
      <c r="G5" s="384">
        <f>AFK!G37-AFK!E61</f>
        <v>0</v>
      </c>
      <c r="H5" s="86" t="e">
        <f t="shared" ref="H5:H40" si="0">IF(R5="","",(G5*(150/R5)*(900/E5)))</f>
        <v>#DIV/0!</v>
      </c>
      <c r="I5" s="87">
        <f t="shared" ref="I5:I25" si="1">IF(F5=0,0,G5/F5)</f>
        <v>0</v>
      </c>
      <c r="J5" s="88">
        <f>AFK!E40/100</f>
        <v>0</v>
      </c>
      <c r="K5" s="89">
        <f>IF(G5=0,0,(AFK!$E$38-AFK!$E$60-AFK!$F$60)/G5)</f>
        <v>0</v>
      </c>
      <c r="L5" s="90"/>
      <c r="M5" s="90" t="str">
        <f t="array" ref="M5">IF(ISERROR(AVERAGEA(IF(A5=斷絲!$B$4:$U$4,斷絲!$B$39:$U$39))),"",AVERAGEA(IF(A5=斷絲!$B$4:$U$4,斷絲!$B$39:$U$39)))</f>
        <v/>
      </c>
      <c r="N5" s="91">
        <f>IF(G5=0,0,AFK!$E$41/G$5)</f>
        <v>0</v>
      </c>
      <c r="O5" s="168"/>
      <c r="P5" s="1140"/>
      <c r="Q5" s="82"/>
      <c r="R5" s="115">
        <f>AFK!G$3</f>
        <v>0</v>
      </c>
      <c r="S5" s="244"/>
      <c r="U5" s="465" t="str">
        <f>IF(ISNA(HLOOKUP(A5,IAD!$6:$10,5,0)),"",(HLOOKUP(A5,IAD!$6:$10,5,0)))</f>
        <v/>
      </c>
      <c r="Z5" s="690"/>
    </row>
    <row r="6" spans="1:26" ht="19.5" customHeight="1">
      <c r="A6" s="72" t="str">
        <f>AFK!H3</f>
        <v>2F29K1</v>
      </c>
      <c r="B6" s="83" t="str">
        <f>AFK!H4</f>
        <v>100/36SDR2</v>
      </c>
      <c r="C6" s="144" t="s">
        <v>16707</v>
      </c>
      <c r="D6" s="84">
        <f>AFK!H37</f>
        <v>0</v>
      </c>
      <c r="E6" s="85">
        <f>AFK!J4</f>
        <v>700</v>
      </c>
      <c r="F6" s="86">
        <f>AFK!I37</f>
        <v>0</v>
      </c>
      <c r="G6" s="384">
        <f>AFK!J37-AFK!H61</f>
        <v>0</v>
      </c>
      <c r="H6" s="86">
        <f t="shared" si="0"/>
        <v>0</v>
      </c>
      <c r="I6" s="87">
        <f t="shared" si="1"/>
        <v>0</v>
      </c>
      <c r="J6" s="88">
        <f>AFK!H40/100</f>
        <v>0</v>
      </c>
      <c r="K6" s="89">
        <f>IF(G6=0,0,(AFK!$H$38-AFK!$H$60-AFK!$I$60)/G6)</f>
        <v>0</v>
      </c>
      <c r="L6" s="90"/>
      <c r="M6" s="90">
        <f t="array" ref="M6">IF(ISERROR(AVERAGEA(IF(A6=斷絲!$B$4:$U$4,斷絲!$B$39:$U$39))),"",AVERAGEA(IF(A6=斷絲!$B$4:$U$4,斷絲!$B$39:$U$39)))</f>
        <v>0</v>
      </c>
      <c r="N6" s="91">
        <f>IF(G6=0,0,AFK!$H$41/G$6)</f>
        <v>0</v>
      </c>
      <c r="O6" s="168">
        <v>5</v>
      </c>
      <c r="P6" s="1140" t="s">
        <v>17590</v>
      </c>
      <c r="Q6" s="82"/>
      <c r="R6" s="115">
        <f>AFK!J$3</f>
        <v>95</v>
      </c>
      <c r="S6" s="244" t="s">
        <v>17446</v>
      </c>
      <c r="T6" s="243" t="s">
        <v>17591</v>
      </c>
      <c r="U6" s="465" t="str">
        <f>IF(ISNA(HLOOKUP(A6,IAD!$6:$10,5,0)),"",(HLOOKUP(A6,IAD!$6:$10,5,0)))</f>
        <v>黃黑條紋</v>
      </c>
      <c r="Z6" s="690"/>
    </row>
    <row r="7" spans="1:26" ht="19.5" customHeight="1">
      <c r="A7" s="72" t="str">
        <f>AFK!K3</f>
        <v>2F43R2</v>
      </c>
      <c r="B7" s="83" t="str">
        <f>AFK!K4</f>
        <v>75/72/2SDr</v>
      </c>
      <c r="C7" s="144" t="s">
        <v>17229</v>
      </c>
      <c r="D7" s="84">
        <f>AFK!K37</f>
        <v>1</v>
      </c>
      <c r="E7" s="85">
        <f>AFK!M4</f>
        <v>600</v>
      </c>
      <c r="F7" s="86">
        <f>AFK!L37</f>
        <v>29445.120000000006</v>
      </c>
      <c r="G7" s="384">
        <f>AFK!M37-AFK!K61</f>
        <v>26864</v>
      </c>
      <c r="H7" s="86">
        <f t="shared" si="0"/>
        <v>85132.394366197172</v>
      </c>
      <c r="I7" s="87">
        <f>IF(F7=0,0,G7/F7)</f>
        <v>0.91234133194227074</v>
      </c>
      <c r="J7" s="88">
        <f>AFK!K40/100</f>
        <v>1</v>
      </c>
      <c r="K7" s="89">
        <f>IF(G7=0,0,(AFK!$K$38-AFK!$K$60-AFK!$L$60)/G7)</f>
        <v>0.97446396664681356</v>
      </c>
      <c r="L7" s="90">
        <f t="array" ref="L7">IF(ISERROR(AVERAGEA(IF(A7=斷絲!$4:$4,斷絲!$27:$27))),"",AVERAGEA(IF(A7=斷絲!$4:$4,斷絲!$27:$27)))</f>
        <v>1.1299999999999999</v>
      </c>
      <c r="M7" s="90">
        <f t="array" ref="M7">IF(ISERROR(AVERAGEA(IF(A7=斷絲!$B$4:$U$4,斷絲!$B$39:$U$39))),"",AVERAGEA(IF(A7=斷絲!$B$4:$U$4,斷絲!$B$39:$U$39)))</f>
        <v>1.1065833333333335</v>
      </c>
      <c r="N7" s="91">
        <f>IF(G7=0,0,AFK!$K$41/G$7)</f>
        <v>0.92354079809410361</v>
      </c>
      <c r="O7" s="168">
        <v>5</v>
      </c>
      <c r="P7" s="1140" t="s">
        <v>17231</v>
      </c>
      <c r="Q7" s="82"/>
      <c r="R7" s="115">
        <f>AFK!M$3</f>
        <v>71</v>
      </c>
      <c r="S7" s="244" t="s">
        <v>158</v>
      </c>
      <c r="T7" s="243" t="s">
        <v>16143</v>
      </c>
      <c r="U7" s="465" t="str">
        <f>IF(ISNA(HLOOKUP(A7,IAD!$6:$10,5,0)),"",(HLOOKUP(A7,IAD!$6:$10,5,0)))</f>
        <v>白底藍三角</v>
      </c>
      <c r="Z7" s="690"/>
    </row>
    <row r="8" spans="1:26" ht="19.5" customHeight="1">
      <c r="A8" s="72" t="str">
        <f>AFK!N3</f>
        <v>2F43U3</v>
      </c>
      <c r="B8" s="83" t="str">
        <f>AFK!N4</f>
        <v>150/144FCT</v>
      </c>
      <c r="C8" s="144" t="s">
        <v>17317</v>
      </c>
      <c r="D8" s="84">
        <f>AFK!N37</f>
        <v>0.8</v>
      </c>
      <c r="E8" s="85">
        <f>AFK!P4</f>
        <v>500</v>
      </c>
      <c r="F8" s="86">
        <f>AFK!O37</f>
        <v>19906.560000000005</v>
      </c>
      <c r="G8" s="384">
        <f>AFK!P37-AFK!N61</f>
        <v>15236</v>
      </c>
      <c r="H8" s="86">
        <f t="shared" si="0"/>
        <v>57135</v>
      </c>
      <c r="I8" s="87">
        <f>IF(F8=0,0,G8/F8)</f>
        <v>0.76537583590534963</v>
      </c>
      <c r="J8" s="88">
        <f>AFK!N40/100</f>
        <v>0</v>
      </c>
      <c r="K8" s="89">
        <f>IF(G8=0,0,(AFK!$N$38-AFK!$N$60-AFK!$O$60)/G8)</f>
        <v>1</v>
      </c>
      <c r="L8" s="1531"/>
      <c r="M8" s="90">
        <f t="array" ref="M8">IF(ISERROR(AVERAGEA(IF(A8=斷絲!$B$4:$U$4,斷絲!$B$39:$U$39))),"",AVERAGEA(IF(A8=斷絲!$B$4:$U$4,斷絲!$B$39:$U$39)))</f>
        <v>4.364583333333333</v>
      </c>
      <c r="N8" s="91">
        <f>IF(G8=0,0,AFK!$N$41/G$8)</f>
        <v>0.92150170648464169</v>
      </c>
      <c r="O8" s="168">
        <v>4</v>
      </c>
      <c r="P8" s="1140" t="s">
        <v>17320</v>
      </c>
      <c r="Q8" s="82"/>
      <c r="R8" s="115">
        <f>AFK!P$3</f>
        <v>72</v>
      </c>
      <c r="S8" s="244" t="s">
        <v>158</v>
      </c>
      <c r="T8" s="243" t="s">
        <v>17295</v>
      </c>
      <c r="U8" s="465" t="str">
        <f>IF(ISNA(HLOOKUP(A8,IAD!$6:$10,5,0)),"",(HLOOKUP(A8,IAD!$6:$10,5,0)))</f>
        <v>白黑方塊</v>
      </c>
      <c r="Z8" s="690"/>
    </row>
    <row r="9" spans="1:26" ht="19.5" hidden="1" customHeight="1">
      <c r="A9" s="72" t="str">
        <f>AFK!Q3</f>
        <v>2F43V1</v>
      </c>
      <c r="B9" s="83" t="str">
        <f>AFK!Q4</f>
        <v>150/48KR5</v>
      </c>
      <c r="C9" s="144" t="s">
        <v>17573</v>
      </c>
      <c r="D9" s="84">
        <f>AFK!Q37</f>
        <v>0</v>
      </c>
      <c r="E9" s="85">
        <f>AFK!S4</f>
        <v>0</v>
      </c>
      <c r="F9" s="86">
        <f>AFK!R37</f>
        <v>0</v>
      </c>
      <c r="G9" s="384">
        <f>AFK!S37-AFK!Q61</f>
        <v>0</v>
      </c>
      <c r="H9" s="86" t="e">
        <f t="shared" si="0"/>
        <v>#DIV/0!</v>
      </c>
      <c r="I9" s="87">
        <f t="shared" si="1"/>
        <v>0</v>
      </c>
      <c r="J9" s="88">
        <f>AFK!Q40/100</f>
        <v>0</v>
      </c>
      <c r="K9" s="89">
        <f>IF(G9=0,0,(AFK!$Q$38-AFK!$Q$60-AFK!$R$60)/G9)</f>
        <v>0</v>
      </c>
      <c r="L9" s="90"/>
      <c r="M9" s="90">
        <f t="array" ref="M9">IF(ISERROR(AVERAGEA(IF(A9=斷絲!$B$4:$U$4,斷絲!$B$39:$U$39))),"",AVERAGEA(IF(A9=斷絲!$B$4:$U$4,斷絲!$B$39:$U$39)))</f>
        <v>0</v>
      </c>
      <c r="N9" s="91">
        <f>IF(G9=0,0,AFK!$Q$41/G$9)</f>
        <v>0</v>
      </c>
      <c r="O9" s="168">
        <v>5</v>
      </c>
      <c r="P9" s="1140"/>
      <c r="Q9" s="82"/>
      <c r="R9" s="115">
        <f>AFK!S$3</f>
        <v>0</v>
      </c>
      <c r="S9" s="244"/>
      <c r="U9" s="465" t="str">
        <f>IF(ISNA(HLOOKUP(A9,IAD!$6:$10,5,0)),"",(HLOOKUP(A9,IAD!$6:$10,5,0)))</f>
        <v/>
      </c>
      <c r="Z9" s="690"/>
    </row>
    <row r="10" spans="1:26" ht="19.5" customHeight="1">
      <c r="A10" s="72" t="str">
        <f>AFK!T3</f>
        <v>2F43W1</v>
      </c>
      <c r="B10" s="83" t="str">
        <f>AFK!T4</f>
        <v>150/48SDR4</v>
      </c>
      <c r="C10" s="144" t="s">
        <v>17579</v>
      </c>
      <c r="D10" s="84">
        <f>AFK!T37</f>
        <v>0</v>
      </c>
      <c r="E10" s="85">
        <f>AFK!V4</f>
        <v>670</v>
      </c>
      <c r="F10" s="86">
        <f>AFK!U37</f>
        <v>0</v>
      </c>
      <c r="G10" s="384">
        <f>AFK!V37-AFK!T61</f>
        <v>0</v>
      </c>
      <c r="H10" s="86">
        <f t="shared" si="0"/>
        <v>0</v>
      </c>
      <c r="I10" s="87">
        <f>IF(F10=0,0,G10/F10)</f>
        <v>0</v>
      </c>
      <c r="J10" s="88">
        <f>AFK!T40/100</f>
        <v>0</v>
      </c>
      <c r="K10" s="89">
        <f>IF(G10=0,0,(AFK!$T$38-AFK!$T$60-AFK!$U$60)/G10)</f>
        <v>0</v>
      </c>
      <c r="L10" s="90"/>
      <c r="M10" s="90">
        <f t="array" ref="M10">IF(ISERROR(AVERAGEA(IF(A10=斷絲!$B$4:$U$4,斷絲!$B$39:$U$39))),"",AVERAGEA(IF(A10=斷絲!$B$4:$U$4,斷絲!$B$39:$U$39)))</f>
        <v>0</v>
      </c>
      <c r="N10" s="89">
        <f>IF(G10=0,0,AFK!$T$41/G$10)</f>
        <v>0</v>
      </c>
      <c r="O10" s="168">
        <v>5</v>
      </c>
      <c r="P10" s="1140" t="s">
        <v>17592</v>
      </c>
      <c r="Q10" s="82"/>
      <c r="R10" s="115">
        <f>AFK!V$3</f>
        <v>142</v>
      </c>
      <c r="S10" s="244" t="s">
        <v>158</v>
      </c>
      <c r="T10" s="243" t="s">
        <v>16082</v>
      </c>
      <c r="U10" s="465" t="str">
        <f>IF(ISNA(HLOOKUP(A10,IAD!$6:$10,5,0)),"",(HLOOKUP(A10,IAD!$6:$10,5,0)))</f>
        <v>白綠條紋</v>
      </c>
      <c r="Z10" s="690"/>
    </row>
    <row r="11" spans="1:26" ht="19.5" hidden="1" customHeight="1">
      <c r="A11" s="72">
        <f>AFK!W3</f>
        <v>0</v>
      </c>
      <c r="B11" s="94">
        <f>AFK!W4</f>
        <v>0</v>
      </c>
      <c r="C11" s="144"/>
      <c r="D11" s="95">
        <f>AFK!W37</f>
        <v>0</v>
      </c>
      <c r="E11" s="96">
        <f>AFK!Y4</f>
        <v>0</v>
      </c>
      <c r="F11" s="97">
        <f>AFK!X37</f>
        <v>0</v>
      </c>
      <c r="G11" s="385">
        <f>AFK!Y37-AFK!W61</f>
        <v>0</v>
      </c>
      <c r="H11" s="86" t="e">
        <f t="shared" si="0"/>
        <v>#DIV/0!</v>
      </c>
      <c r="I11" s="87">
        <f>IF(F11=0,0,G11/F11)</f>
        <v>0</v>
      </c>
      <c r="J11" s="88">
        <f>AFK!W40/100</f>
        <v>0</v>
      </c>
      <c r="K11" s="98">
        <f>IF(G11=0,0,(AFK!$W$38-AFK!$W$60-AFK!$X$60)/G11)</f>
        <v>0</v>
      </c>
      <c r="L11" s="90"/>
      <c r="M11" s="90" t="str">
        <f t="array" ref="M11">IF(ISERROR(AVERAGEA(IF(A11=斷絲!$B$4:$U$4,斷絲!$B$39:$U$39))),"",AVERAGEA(IF(A11=斷絲!$B$4:$U$4,斷絲!$B$39:$U$39)))</f>
        <v/>
      </c>
      <c r="N11" s="89">
        <f>IF(G11=0,0,AFK!$W$41/G$11)</f>
        <v>0</v>
      </c>
      <c r="O11" s="168"/>
      <c r="P11" s="1140"/>
      <c r="Q11" s="82"/>
      <c r="R11" s="115">
        <f>AFK!Y$3</f>
        <v>0</v>
      </c>
      <c r="S11" s="244"/>
      <c r="U11" s="465" t="str">
        <f>IF(ISNA(HLOOKUP(A11,IAD!$6:$10,5,0)),"",(HLOOKUP(A11,IAD!$6:$10,5,0)))</f>
        <v/>
      </c>
      <c r="Z11" s="690"/>
    </row>
    <row r="12" spans="1:26" ht="19.5" customHeight="1">
      <c r="A12" s="72" t="str">
        <f>AFK!Z3</f>
        <v>2F6IX1</v>
      </c>
      <c r="B12" s="94" t="str">
        <f>AFK!Z4</f>
        <v>150/48/2HC</v>
      </c>
      <c r="C12" s="144" t="s">
        <v>17294</v>
      </c>
      <c r="D12" s="95">
        <f>AFK!Z37</f>
        <v>1</v>
      </c>
      <c r="E12" s="96">
        <f>AFK!AB4</f>
        <v>550</v>
      </c>
      <c r="F12" s="97">
        <f>AFK!AA37</f>
        <v>53222.400000000009</v>
      </c>
      <c r="G12" s="385">
        <f>AFK!AB37-AFK!Z61</f>
        <v>29943</v>
      </c>
      <c r="H12" s="86">
        <f t="shared" si="0"/>
        <v>52497.467532467534</v>
      </c>
      <c r="I12" s="87">
        <f t="shared" si="1"/>
        <v>0.56260146103896091</v>
      </c>
      <c r="J12" s="88">
        <f>AFK!Z40/100</f>
        <v>1</v>
      </c>
      <c r="K12" s="98">
        <f>IF(G12=0,0,(AFK!$Z$38-AFK!$Z$60-AFK!$AA$60)/G12)</f>
        <v>1</v>
      </c>
      <c r="L12" s="1531"/>
      <c r="M12" s="90">
        <f t="array" ref="M12">IF(ISERROR(AVERAGEA(IF(A12=斷絲!$B$4:$U$4,斷絲!$B$39:$U$39))),"",AVERAGEA(IF(A12=斷絲!$B$4:$U$4,斷絲!$B$39:$U$39)))</f>
        <v>1.5972222222222225</v>
      </c>
      <c r="N12" s="89">
        <f>IF(G12=0,0,AFK!$Z$41/G$12)</f>
        <v>0.92575894198978059</v>
      </c>
      <c r="O12" s="168">
        <v>5.5</v>
      </c>
      <c r="P12" s="1140" t="s">
        <v>17247</v>
      </c>
      <c r="Q12" s="82"/>
      <c r="R12" s="115">
        <f>AFK!AB$3</f>
        <v>140</v>
      </c>
      <c r="S12" s="244" t="s">
        <v>278</v>
      </c>
      <c r="T12" s="243" t="s">
        <v>17295</v>
      </c>
      <c r="U12" s="465" t="str">
        <f>IF(ISNA(HLOOKUP(A12,IAD!$6:$10,5,0)),"",(HLOOKUP(A12,IAD!$6:$10,5,0)))</f>
        <v>黃底白點</v>
      </c>
      <c r="Z12" s="690"/>
    </row>
    <row r="13" spans="1:26" ht="19.5" customHeight="1">
      <c r="A13" s="72" t="str">
        <f>AFK!AC3</f>
        <v>2F6IZ3</v>
      </c>
      <c r="B13" s="83" t="str">
        <f>AFK!AC4</f>
        <v>150/48/2FBKR</v>
      </c>
      <c r="C13" s="144" t="s">
        <v>17574</v>
      </c>
      <c r="D13" s="84">
        <f>AFK!AC37</f>
        <v>0</v>
      </c>
      <c r="E13" s="85">
        <f>AFK!AE4</f>
        <v>500</v>
      </c>
      <c r="F13" s="86">
        <f>AFK!AD37</f>
        <v>0</v>
      </c>
      <c r="G13" s="384">
        <f>AFK!AE37-AFK!AC61</f>
        <v>0</v>
      </c>
      <c r="H13" s="86">
        <f t="shared" si="0"/>
        <v>0</v>
      </c>
      <c r="I13" s="87">
        <f>IF(F13=0,0,G13/F13)</f>
        <v>0</v>
      </c>
      <c r="J13" s="88">
        <f>AFK!AC40/100</f>
        <v>0</v>
      </c>
      <c r="K13" s="89">
        <f>IF(G13=0,0,(AFK!$AC$38-AFK!$AC$60-AFK!$AD$60)/G13)</f>
        <v>0</v>
      </c>
      <c r="L13" s="90"/>
      <c r="M13" s="90">
        <f t="array" ref="M13">IF(ISERROR(AVERAGEA(IF(A13=斷絲!$B$4:$U$4,斷絲!$B$39:$U$39))),"",AVERAGEA(IF(A13=斷絲!$B$4:$U$4,斷絲!$B$39:$U$39)))</f>
        <v>0</v>
      </c>
      <c r="N13" s="89">
        <f>IF(G13=0,0,AFK!$AC$41/G$13)</f>
        <v>0</v>
      </c>
      <c r="O13" s="168">
        <v>5</v>
      </c>
      <c r="P13" s="1140" t="s">
        <v>17593</v>
      </c>
      <c r="Q13" s="82"/>
      <c r="R13" s="115">
        <f>AFK!AE$3</f>
        <v>138</v>
      </c>
      <c r="S13" s="244" t="s">
        <v>623</v>
      </c>
      <c r="T13" s="243" t="s">
        <v>17594</v>
      </c>
      <c r="U13" s="465" t="str">
        <f>IF(ISNA(HLOOKUP(A13,IAD!$6:$10,5,0)),"",(HLOOKUP(A13,IAD!$6:$10,5,0)))</f>
        <v>黃色</v>
      </c>
      <c r="Z13" s="690"/>
    </row>
    <row r="14" spans="1:26" ht="19.5" customHeight="1">
      <c r="A14" s="73" t="str">
        <f>AFK!AF3</f>
        <v>2F6JA2</v>
      </c>
      <c r="B14" s="94" t="str">
        <f>AFK!AF4</f>
        <v>150/48/2SDR2</v>
      </c>
      <c r="C14" s="144" t="s">
        <v>17552</v>
      </c>
      <c r="D14" s="95">
        <f>AFK!AF37</f>
        <v>0.2</v>
      </c>
      <c r="E14" s="96">
        <f>AFK!AH4</f>
        <v>650</v>
      </c>
      <c r="F14" s="97">
        <f>AFK!AG37</f>
        <v>12489.984</v>
      </c>
      <c r="G14" s="385">
        <f>AFK!AH37-AFK!AF61</f>
        <v>7950</v>
      </c>
      <c r="H14" s="86">
        <f t="shared" si="0"/>
        <v>11878.804648588821</v>
      </c>
      <c r="I14" s="87">
        <f>IF(F14=0,0,G14/F14)</f>
        <v>0.63651002275102997</v>
      </c>
      <c r="J14" s="88">
        <f>AFK!AF40/100</f>
        <v>1</v>
      </c>
      <c r="K14" s="98">
        <f>IF(G14=0,0,(AFK!$AF$38-AFK!$AF$60-AFK!$AG$60)/G14)</f>
        <v>1</v>
      </c>
      <c r="L14" s="90">
        <f t="array" ref="L14">IF(ISERROR(AVERAGEA(IF(A14=斷絲!$4:$4,斷絲!$27:$27))),"",AVERAGEA(IF(A14=斷絲!$4:$4,斷絲!$27:$27)))</f>
        <v>2.38</v>
      </c>
      <c r="M14" s="90">
        <f t="array" ref="M14">IF(ISERROR(AVERAGEA(IF(A14=斷絲!$B$4:$U$4,斷絲!$B$39:$U$39))),"",AVERAGEA(IF(A14=斷絲!$B$4:$U$4,斷絲!$B$39:$U$39)))</f>
        <v>2.0324999999999998</v>
      </c>
      <c r="N14" s="89">
        <f>IF(G14=0,0,AFK!$AF$41/G$14)</f>
        <v>1</v>
      </c>
      <c r="O14" s="168">
        <v>5</v>
      </c>
      <c r="P14" s="1140" t="s">
        <v>17504</v>
      </c>
      <c r="Q14" s="82"/>
      <c r="R14" s="115">
        <f>AFK!AH$3</f>
        <v>139</v>
      </c>
      <c r="S14" s="244" t="s">
        <v>278</v>
      </c>
      <c r="T14" s="243" t="s">
        <v>17554</v>
      </c>
      <c r="U14" s="465" t="str">
        <f>IF(ISNA(HLOOKUP(A14,IAD!$6:$10,5,0)),"",(HLOOKUP(A14,IAD!$6:$10,5,0)))</f>
        <v>紫色</v>
      </c>
      <c r="Z14" s="690"/>
    </row>
    <row r="15" spans="1:26" ht="19.5" customHeight="1">
      <c r="A15" s="72" t="str">
        <f>AFK!AI3</f>
        <v>2F7E31</v>
      </c>
      <c r="B15" s="83" t="str">
        <f>AFK!AI4</f>
        <v>165/48/2SR6</v>
      </c>
      <c r="C15" s="144" t="s">
        <v>17260</v>
      </c>
      <c r="D15" s="84">
        <f>AFK!AI37</f>
        <v>0.25</v>
      </c>
      <c r="E15" s="85">
        <f>AFK!AK4</f>
        <v>550</v>
      </c>
      <c r="F15" s="86">
        <f>AFK!AJ37</f>
        <v>14541.12</v>
      </c>
      <c r="G15" s="384">
        <f>AFK!AK37-AFK!AI61</f>
        <v>3059</v>
      </c>
      <c r="H15" s="86">
        <f t="shared" si="0"/>
        <v>4907.4866310160432</v>
      </c>
      <c r="I15" s="87">
        <f>IF(F15=0,0,G15/F15)</f>
        <v>0.21036893994410333</v>
      </c>
      <c r="J15" s="88">
        <f>AFK!AI40/100</f>
        <v>0</v>
      </c>
      <c r="K15" s="89">
        <f>IF(G15=0,0,(AFK!$AI$38-AFK!$AI$60-AFK!$AJ$60)/G15)</f>
        <v>0.8937561294540699</v>
      </c>
      <c r="L15" s="1531"/>
      <c r="M15" s="90">
        <f t="array" ref="M15">IF(ISERROR(AVERAGEA(IF(A15=斷絲!$B$4:$U$4,斷絲!$B$39:$U$39))),"",AVERAGEA(IF(A15=斷絲!$B$4:$U$4,斷絲!$B$39:$U$39)))</f>
        <v>0</v>
      </c>
      <c r="N15" s="89">
        <f>IF(G15=0,0,AFK!$AI$41/$G$15)</f>
        <v>0.65707747629944424</v>
      </c>
      <c r="O15" s="168">
        <v>5</v>
      </c>
      <c r="P15" s="1140" t="s">
        <v>17259</v>
      </c>
      <c r="Q15" s="82"/>
      <c r="R15" s="115">
        <f>AFK!AK$3</f>
        <v>153</v>
      </c>
      <c r="S15" s="244" t="s">
        <v>158</v>
      </c>
      <c r="T15" s="243" t="s">
        <v>16774</v>
      </c>
      <c r="U15" s="465" t="str">
        <f>IF(ISNA(HLOOKUP(A15,IAD!$6:$10,5,0)),"",(HLOOKUP(A15,IAD!$6:$10,5,0)))</f>
        <v>黃色</v>
      </c>
      <c r="Z15" s="690"/>
    </row>
    <row r="16" spans="1:26" ht="19.5" customHeight="1">
      <c r="A16" s="72" t="str">
        <f>AFK!AL3</f>
        <v>2FA092</v>
      </c>
      <c r="B16" s="83" t="str">
        <f>AFK!AL4</f>
        <v>75/72F2FC</v>
      </c>
      <c r="C16" s="144" t="s">
        <v>17264</v>
      </c>
      <c r="D16" s="84">
        <f>AFK!AL37</f>
        <v>0.5</v>
      </c>
      <c r="E16" s="85">
        <f>AFK!AN4</f>
        <v>600</v>
      </c>
      <c r="F16" s="86">
        <f>AFK!AM37</f>
        <v>15137.279999999995</v>
      </c>
      <c r="G16" s="384">
        <f>AFK!AN37-AFK!AL61</f>
        <v>14002</v>
      </c>
      <c r="H16" s="86">
        <f t="shared" si="0"/>
        <v>43156.849315068495</v>
      </c>
      <c r="I16" s="87">
        <f>IF(F16=0,0,G16/F16)</f>
        <v>0.92500105699306645</v>
      </c>
      <c r="J16" s="88">
        <f>AFK!AL40/100</f>
        <v>1</v>
      </c>
      <c r="K16" s="89">
        <f>IF(G16=0,0,(AFK!$AL$38-AFK!$AL$60-AFK!$AM$60)/G16)</f>
        <v>0.9575060705613484</v>
      </c>
      <c r="L16" s="90">
        <f t="array" ref="L16">IF(ISERROR(AVERAGEA(IF(A16=斷絲!$4:$4,斷絲!$27:$27))),"",AVERAGEA(IF(A16=斷絲!$4:$4,斷絲!$27:$27)))</f>
        <v>4.416666666666667</v>
      </c>
      <c r="M16" s="90">
        <f t="array" ref="M16">IF(ISERROR(AVERAGEA(IF(A16=斷絲!$B$4:$U$4,斷絲!$B$39:$U$39))),"",AVERAGEA(IF(A16=斷絲!$B$4:$U$4,斷絲!$B$39:$U$39)))</f>
        <v>2.7359259259259257</v>
      </c>
      <c r="N16" s="89">
        <f>IF(G16=0,0,AFK!$AL$41/G$16)</f>
        <v>0.8655906299100129</v>
      </c>
      <c r="O16" s="168">
        <v>3</v>
      </c>
      <c r="P16" s="1140" t="s">
        <v>17272</v>
      </c>
      <c r="Q16" s="82"/>
      <c r="R16" s="115">
        <f>AFK!AN$3</f>
        <v>73</v>
      </c>
      <c r="S16" s="244" t="s">
        <v>158</v>
      </c>
      <c r="T16" s="243" t="s">
        <v>17273</v>
      </c>
      <c r="U16" s="465" t="str">
        <f>IF(ISNA(HLOOKUP(A16,IAD!$6:$10,5,0)),"",(HLOOKUP(A16,IAD!$6:$10,5,0)))</f>
        <v>白底紅星</v>
      </c>
      <c r="Z16" s="690"/>
    </row>
    <row r="17" spans="1:26" ht="19.5" customHeight="1">
      <c r="A17" s="72" t="str">
        <f>AFK!AO3</f>
        <v>2FA102</v>
      </c>
      <c r="B17" s="83" t="str">
        <f>AFK!AO4</f>
        <v>75/48SDr</v>
      </c>
      <c r="C17" s="144" t="s">
        <v>17382</v>
      </c>
      <c r="D17" s="84">
        <f>AFK!AO37</f>
        <v>0.55000000000000004</v>
      </c>
      <c r="E17" s="85">
        <f>AFK!AQ4</f>
        <v>680</v>
      </c>
      <c r="F17" s="86">
        <f>AFK!AP37</f>
        <v>18354.124799999998</v>
      </c>
      <c r="G17" s="384">
        <f>AFK!AQ37-AFK!AO61</f>
        <v>12119</v>
      </c>
      <c r="H17" s="86">
        <f t="shared" si="0"/>
        <v>33887.013256006627</v>
      </c>
      <c r="I17" s="87">
        <f t="shared" si="1"/>
        <v>0.66028754473762763</v>
      </c>
      <c r="J17" s="88">
        <f>AFK!AO40/100</f>
        <v>0</v>
      </c>
      <c r="K17" s="89">
        <f>IF(G17=0,0,(AFK!$AO$38-AFK!$AO$60-AFK!$AP$60)/G17)</f>
        <v>1</v>
      </c>
      <c r="L17" s="1531"/>
      <c r="M17" s="90">
        <f t="array" ref="M17">IF(ISERROR(AVERAGEA(IF(A17=斷絲!$B$4:$U$4,斷絲!$B$39:$U$39))),"",AVERAGEA(IF(A17=斷絲!$B$4:$U$4,斷絲!$B$39:$U$39)))</f>
        <v>1.8055555555555556</v>
      </c>
      <c r="N17" s="89">
        <f>IF(G17=0,0,AFK!$AO$41/G$17)</f>
        <v>0.94067167258024587</v>
      </c>
      <c r="O17" s="168">
        <v>5</v>
      </c>
      <c r="P17" s="1140" t="s">
        <v>457</v>
      </c>
      <c r="Q17" s="82"/>
      <c r="R17" s="115">
        <f>AFK!AQ$3</f>
        <v>71</v>
      </c>
      <c r="S17" s="244" t="s">
        <v>158</v>
      </c>
      <c r="T17" s="243" t="s">
        <v>17384</v>
      </c>
      <c r="U17" s="465" t="str">
        <f>IF(ISNA(HLOOKUP(A17,IAD!$6:$10,5,0)),"",(HLOOKUP(A17,IAD!$6:$10,5,0)))</f>
        <v>藍底白十字</v>
      </c>
      <c r="Z17" s="690"/>
    </row>
    <row r="18" spans="1:26" ht="19.5" customHeight="1">
      <c r="A18" s="72" t="str">
        <f>AFK!AR3</f>
        <v>2FA112</v>
      </c>
      <c r="B18" s="83" t="str">
        <f>AFK!AR4</f>
        <v>75/72SRR5</v>
      </c>
      <c r="C18" s="144" t="s">
        <v>17433</v>
      </c>
      <c r="D18" s="84">
        <f>AFK!AR37</f>
        <v>0.55000000000000004</v>
      </c>
      <c r="E18" s="85">
        <f>AFK!AT4</f>
        <v>600</v>
      </c>
      <c r="F18" s="86">
        <f>AFK!AS37</f>
        <v>15966.720000000003</v>
      </c>
      <c r="G18" s="384">
        <f>AFK!AT37-AFK!AR61</f>
        <v>11946</v>
      </c>
      <c r="H18" s="86">
        <f t="shared" si="0"/>
        <v>38397.857142857145</v>
      </c>
      <c r="I18" s="87">
        <f t="shared" si="1"/>
        <v>0.74818121693121675</v>
      </c>
      <c r="J18" s="88">
        <f>AFK!AR40/100</f>
        <v>1</v>
      </c>
      <c r="K18" s="89">
        <f>IF(G18=0,0,(AFK!$AR$38-AFK!$AR$60-AFK!$AS$60)/G18)</f>
        <v>1</v>
      </c>
      <c r="L18" s="90">
        <f t="array" ref="L18">IF(ISERROR(AVERAGEA(IF(A18=斷絲!$4:$4,斷絲!$27:$27))),"",AVERAGEA(IF(A18=斷絲!$4:$4,斷絲!$27:$27)))</f>
        <v>3.54</v>
      </c>
      <c r="M18" s="90">
        <f t="array" ref="M18">IF(ISERROR(AVERAGEA(IF(A18=斷絲!$B$4:$U$4,斷絲!$B$39:$U$39))),"",AVERAGEA(IF(A18=斷絲!$B$4:$U$4,斷絲!$B$39:$U$39)))</f>
        <v>3.4737878787878786</v>
      </c>
      <c r="N18" s="89">
        <f>IF(G18=0,0,AFK!$AR$41/G$18)</f>
        <v>0.91076510966013724</v>
      </c>
      <c r="O18" s="168">
        <v>4</v>
      </c>
      <c r="P18" s="1140" t="s">
        <v>17449</v>
      </c>
      <c r="Q18" s="82"/>
      <c r="R18" s="115">
        <f>AFK!AT$3</f>
        <v>70</v>
      </c>
      <c r="S18" s="244" t="s">
        <v>158</v>
      </c>
      <c r="T18" s="243" t="s">
        <v>16082</v>
      </c>
      <c r="U18" s="465" t="str">
        <f>IF(ISNA(HLOOKUP(A18,IAD!$6:$10,5,0)),"",(HLOOKUP(A18,IAD!$6:$10,5,0)))</f>
        <v>綠藍雙色</v>
      </c>
      <c r="Z18" s="690"/>
    </row>
    <row r="19" spans="1:26" ht="19.5" customHeight="1">
      <c r="A19" s="72" t="str">
        <f>AFK!AU3</f>
        <v>2FA122</v>
      </c>
      <c r="B19" s="83" t="str">
        <f>AFK!AU4</f>
        <v>75/72PDR</v>
      </c>
      <c r="C19" s="144" t="s">
        <v>16860</v>
      </c>
      <c r="D19" s="84">
        <f>AFK!AU37</f>
        <v>0.25</v>
      </c>
      <c r="E19" s="85">
        <f>AFK!AW4</f>
        <v>550</v>
      </c>
      <c r="F19" s="86">
        <f>AFK!AV37</f>
        <v>6842.880000000001</v>
      </c>
      <c r="G19" s="384">
        <f>AFK!AW37-AFK!AU61</f>
        <v>3750</v>
      </c>
      <c r="H19" s="86">
        <f t="shared" si="0"/>
        <v>12784.090909090912</v>
      </c>
      <c r="I19" s="87">
        <f t="shared" si="1"/>
        <v>0.54801487093153756</v>
      </c>
      <c r="J19" s="88">
        <f>AFK!AU40/100</f>
        <v>1</v>
      </c>
      <c r="K19" s="89">
        <f>IF(G19=0,0,(AFK!$AU$38-AFK!$AU$60-AFK!$AV$60)/G19)</f>
        <v>1</v>
      </c>
      <c r="L19" s="90" t="s">
        <v>127</v>
      </c>
      <c r="M19" s="90">
        <f t="array" ref="M19">IF(ISERROR(AVERAGEA(IF(A19=斷絲!$B$4:$U$4,斷絲!$B$39:$U$39))),"",AVERAGEA(IF(A19=斷絲!$B$4:$U$4,斷絲!$B$39:$U$39)))</f>
        <v>1.46875</v>
      </c>
      <c r="N19" s="89">
        <f>IF(G19=0,0,AFK!$AU$41/G$19)</f>
        <v>1</v>
      </c>
      <c r="O19" s="168">
        <v>5</v>
      </c>
      <c r="P19" s="1140" t="s">
        <v>17448</v>
      </c>
      <c r="Q19" s="82"/>
      <c r="R19" s="115">
        <f>AFK!AW$3</f>
        <v>72</v>
      </c>
      <c r="S19" s="244" t="s">
        <v>158</v>
      </c>
      <c r="T19" s="243" t="s">
        <v>17273</v>
      </c>
      <c r="U19" s="465" t="str">
        <f>IF(ISNA(HLOOKUP(A19,IAD!$6:$10,5,0)),"",(HLOOKUP(A19,IAD!$6:$10,5,0)))</f>
        <v>洋綠色</v>
      </c>
      <c r="Z19" s="690"/>
    </row>
    <row r="20" spans="1:26" ht="19.5" customHeight="1">
      <c r="A20" s="72">
        <f>AFK!AX3</f>
        <v>0</v>
      </c>
      <c r="B20" s="83">
        <f>AFK!AX4</f>
        <v>0</v>
      </c>
      <c r="C20" s="144"/>
      <c r="D20" s="84">
        <f>AFK!AX37</f>
        <v>0</v>
      </c>
      <c r="E20" s="85">
        <f>AFK!AZ4</f>
        <v>0</v>
      </c>
      <c r="F20" s="86">
        <f>AFK!AY37</f>
        <v>0</v>
      </c>
      <c r="G20" s="384">
        <f>AFK!AZ37-AFK!AX61</f>
        <v>0</v>
      </c>
      <c r="H20" s="86" t="e">
        <f t="shared" si="0"/>
        <v>#DIV/0!</v>
      </c>
      <c r="I20" s="87">
        <f t="shared" si="1"/>
        <v>0</v>
      </c>
      <c r="J20" s="88">
        <f>AFK!AX40/100</f>
        <v>0</v>
      </c>
      <c r="K20" s="89">
        <f>IF(G20=0,0,(AFK!$AX$38-AFK!$AX$60-AFK!$AY$60)/G20)</f>
        <v>0</v>
      </c>
      <c r="L20" s="90"/>
      <c r="M20" s="90" t="str">
        <f t="array" ref="M20">IF(ISERROR(AVERAGEA(IF(A20=斷絲!$B$4:$U$4,斷絲!$B$39:$U$39))),"",AVERAGEA(IF(A20=斷絲!$B$4:$U$4,斷絲!$B$39:$U$39)))</f>
        <v/>
      </c>
      <c r="N20" s="89">
        <f>IF(G20=0,0,AFK!$AX$41/G$20)</f>
        <v>0</v>
      </c>
      <c r="O20" s="168"/>
      <c r="P20" s="1140"/>
      <c r="Q20" s="82"/>
      <c r="R20" s="115">
        <f>AFK!AZ$3</f>
        <v>0</v>
      </c>
      <c r="S20" s="244"/>
      <c r="U20" s="465" t="str">
        <f>IF(ISNA(HLOOKUP(A20,IAD!$6:$10,5,0)),"",(HLOOKUP(A20,IAD!$6:$10,5,0)))</f>
        <v/>
      </c>
      <c r="Z20" s="690"/>
    </row>
    <row r="21" spans="1:26" ht="19.5" customHeight="1">
      <c r="A21" s="72">
        <f>AFK!BA3</f>
        <v>0</v>
      </c>
      <c r="B21" s="83">
        <f>AFK!BA4</f>
        <v>0</v>
      </c>
      <c r="C21" s="144"/>
      <c r="D21" s="84">
        <f>AFK!BA37</f>
        <v>0</v>
      </c>
      <c r="E21" s="85">
        <f>AFK!BC4</f>
        <v>0</v>
      </c>
      <c r="F21" s="86">
        <f>AFK!BB37</f>
        <v>0</v>
      </c>
      <c r="G21" s="384">
        <f>AFK!BC37-AFK!BA61</f>
        <v>0</v>
      </c>
      <c r="H21" s="86" t="e">
        <f>IF(R21="","",(G21*(150/R21)*(900/E21)))</f>
        <v>#DIV/0!</v>
      </c>
      <c r="I21" s="87">
        <f t="shared" si="1"/>
        <v>0</v>
      </c>
      <c r="J21" s="88">
        <f>AFK!BA40/100</f>
        <v>0</v>
      </c>
      <c r="K21" s="89">
        <f>IF(G21=0,0,(AFK!$BA$38-AFK!$BA$60-AFK!$BB$60)/日報表!$G$21)</f>
        <v>0</v>
      </c>
      <c r="L21" s="90"/>
      <c r="M21" s="90" t="str">
        <f t="array" ref="M21">IF(ISERROR(AVERAGEA(IF(A21=斷絲!$B$4:$U$4,斷絲!$B$39:$U$39))),"",AVERAGEA(IF(A21=斷絲!$B$4:$U$4,斷絲!$B$39:$U$39)))</f>
        <v/>
      </c>
      <c r="N21" s="89">
        <f>IF(G21=0,0,AFK!$BA$41/G$21)</f>
        <v>0</v>
      </c>
      <c r="O21" s="168"/>
      <c r="P21" s="1140"/>
      <c r="Q21" s="82"/>
      <c r="R21" s="115">
        <f>AFK!BC$3</f>
        <v>0</v>
      </c>
      <c r="S21" s="244"/>
      <c r="U21" s="465" t="str">
        <f>IF(ISNA(HLOOKUP(A21,IAD!$6:$10,5,0)),"",(HLOOKUP(A21,IAD!$6:$10,5,0)))</f>
        <v/>
      </c>
      <c r="Z21" s="690"/>
    </row>
    <row r="22" spans="1:26" ht="19.5" customHeight="1" thickBot="1">
      <c r="A22" s="72">
        <f>AFK!BD3</f>
        <v>0</v>
      </c>
      <c r="B22" s="83">
        <f>AFK!BD4</f>
        <v>0</v>
      </c>
      <c r="C22" s="144"/>
      <c r="D22" s="84">
        <f>AFK!BD37</f>
        <v>0</v>
      </c>
      <c r="E22" s="85">
        <f>AFK!BF4</f>
        <v>0</v>
      </c>
      <c r="F22" s="86">
        <f>AFK!BE37</f>
        <v>0</v>
      </c>
      <c r="G22" s="384">
        <f>AFK!BF37-AFK!BD61</f>
        <v>0</v>
      </c>
      <c r="H22" s="86" t="e">
        <f t="shared" si="0"/>
        <v>#DIV/0!</v>
      </c>
      <c r="I22" s="87">
        <f t="shared" si="1"/>
        <v>0</v>
      </c>
      <c r="J22" s="88">
        <f>AFK!BD40/100</f>
        <v>0</v>
      </c>
      <c r="K22" s="89">
        <f>IF(G22=0,0,(AFK!$BD$38-AFK!$BD$60-AFK!$BE$60)/日報表!$G$22)</f>
        <v>0</v>
      </c>
      <c r="L22" s="90"/>
      <c r="M22" s="90" t="str">
        <f t="array" ref="M22">IF(ISERROR(AVERAGEA(IF(A22=斷絲!$B$4:$U$4,斷絲!$B$39:$U$39))),"",AVERAGEA(IF(A22=斷絲!$B$4:$U$4,斷絲!$B$39:$U$39)))</f>
        <v/>
      </c>
      <c r="N22" s="89">
        <f>IF(G22=0,0,AFK!$BD$41/G$22)</f>
        <v>0</v>
      </c>
      <c r="O22" s="168"/>
      <c r="P22" s="1140"/>
      <c r="Q22" s="82"/>
      <c r="R22" s="115">
        <f>AFK!BF$3</f>
        <v>0</v>
      </c>
      <c r="S22" s="244"/>
      <c r="U22" s="465" t="str">
        <f>IF(ISNA(HLOOKUP(A22,IAD!$6:$10,5,0)),"",(HLOOKUP(A22,IAD!$6:$10,5,0)))</f>
        <v/>
      </c>
      <c r="Z22" s="690"/>
    </row>
    <row r="23" spans="1:26" ht="19.5" hidden="1" customHeight="1">
      <c r="A23" s="72">
        <f>AFK!BG3</f>
        <v>0</v>
      </c>
      <c r="B23" s="83">
        <f>AFK!BG4</f>
        <v>0</v>
      </c>
      <c r="C23" s="144"/>
      <c r="D23" s="84">
        <f>AFK!BG37</f>
        <v>0</v>
      </c>
      <c r="E23" s="85">
        <f>AFK!BI4</f>
        <v>0</v>
      </c>
      <c r="F23" s="86">
        <f>AFK!BH37</f>
        <v>0</v>
      </c>
      <c r="G23" s="384">
        <f>AFK!BI37-AFK!BG61</f>
        <v>0</v>
      </c>
      <c r="H23" s="86" t="e">
        <f t="shared" si="0"/>
        <v>#DIV/0!</v>
      </c>
      <c r="I23" s="87">
        <f t="shared" si="1"/>
        <v>0</v>
      </c>
      <c r="J23" s="88">
        <f>AFK!BG40/100</f>
        <v>0</v>
      </c>
      <c r="K23" s="89">
        <f>IF(G23=0,0,(AFK!$BG$38-AFK!$BG$60-AFK!$BH$60)/日報表!$G$23)</f>
        <v>0</v>
      </c>
      <c r="L23" s="90"/>
      <c r="M23" s="90" t="str">
        <f t="array" ref="M23">IF(ISERROR(AVERAGEA(IF(A23=斷絲!$B$4:$U$4,斷絲!$B$39:$U$39))),"",AVERAGEA(IF(A23=斷絲!$B$4:$U$4,斷絲!$B$39:$U$39)))</f>
        <v/>
      </c>
      <c r="N23" s="89">
        <f>IF(G23=0,0,AFK!$BG$41/G$23)</f>
        <v>0</v>
      </c>
      <c r="O23" s="168"/>
      <c r="P23" s="1140"/>
      <c r="Q23" s="82"/>
      <c r="R23" s="115">
        <f>AFK!BI$3</f>
        <v>0</v>
      </c>
      <c r="S23" s="244"/>
      <c r="U23" s="465" t="str">
        <f>IF(ISNA(HLOOKUP(A23,IAD!$6:$10,5,0)),"",(HLOOKUP(A23,IAD!$6:$10,5,0)))</f>
        <v/>
      </c>
      <c r="Z23" s="690"/>
    </row>
    <row r="24" spans="1:26" ht="19.5" hidden="1" customHeight="1">
      <c r="A24" s="72">
        <f>AFK!BJ3</f>
        <v>0</v>
      </c>
      <c r="B24" s="83">
        <f>AFK!BJ4</f>
        <v>0</v>
      </c>
      <c r="C24" s="144"/>
      <c r="D24" s="84">
        <f>AFK!BJ37</f>
        <v>0</v>
      </c>
      <c r="E24" s="85">
        <f>AFK!BL4</f>
        <v>0</v>
      </c>
      <c r="F24" s="86">
        <f>AFK!BK37</f>
        <v>0</v>
      </c>
      <c r="G24" s="384">
        <f>AFK!BL37-AFK!BJ61</f>
        <v>0</v>
      </c>
      <c r="H24" s="86" t="e">
        <f t="shared" si="0"/>
        <v>#DIV/0!</v>
      </c>
      <c r="I24" s="87">
        <f t="shared" si="1"/>
        <v>0</v>
      </c>
      <c r="J24" s="88">
        <f>AFK!BJ40/100</f>
        <v>0</v>
      </c>
      <c r="K24" s="89">
        <f>IF(G24=0,0,(AFK!$BJ$38-AFK!$BJ$60-AFK!$BK$60)/日報表!$G$24)</f>
        <v>0</v>
      </c>
      <c r="L24" s="90"/>
      <c r="M24" s="90" t="str">
        <f t="array" ref="M24">IF(ISERROR(AVERAGEA(IF(A24=斷絲!$B$4:$U$4,斷絲!$B$39:$U$39))),"",AVERAGEA(IF(A24=斷絲!$B$4:$U$4,斷絲!$B$39:$U$39)))</f>
        <v/>
      </c>
      <c r="N24" s="89">
        <f>IF(G24=0,0,AFK!$BJ$41/G$24)</f>
        <v>0</v>
      </c>
      <c r="O24" s="168"/>
      <c r="P24" s="1140"/>
      <c r="Q24" s="82"/>
      <c r="R24" s="115">
        <f>AFK!BL$3</f>
        <v>0</v>
      </c>
      <c r="S24" s="244"/>
      <c r="U24" s="465" t="str">
        <f>IF(ISNA(HLOOKUP(A24,IAD!$6:$10,5,0)),"",(HLOOKUP(A24,IAD!$6:$10,5,0)))</f>
        <v/>
      </c>
      <c r="Z24" s="690"/>
    </row>
    <row r="25" spans="1:26" ht="19.5" hidden="1" customHeight="1">
      <c r="A25" s="72">
        <f>AFK!BM3</f>
        <v>0</v>
      </c>
      <c r="B25" s="83">
        <f>AFK!BM4</f>
        <v>0</v>
      </c>
      <c r="C25" s="144"/>
      <c r="D25" s="84">
        <f>AFK!BM37</f>
        <v>0</v>
      </c>
      <c r="E25" s="85">
        <f>AFK!BO4</f>
        <v>0</v>
      </c>
      <c r="F25" s="86">
        <f>AFK!BN37</f>
        <v>0</v>
      </c>
      <c r="G25" s="384">
        <f>AFK!BO37-AFK!BM61</f>
        <v>0</v>
      </c>
      <c r="H25" s="86" t="e">
        <f t="shared" si="0"/>
        <v>#DIV/0!</v>
      </c>
      <c r="I25" s="87">
        <f t="shared" si="1"/>
        <v>0</v>
      </c>
      <c r="J25" s="88">
        <f>AFK!BM40/100</f>
        <v>0</v>
      </c>
      <c r="K25" s="89">
        <f>IF(G25=0,0,(AFK!$BM$38-AFK!$BM$60-AFK!$BN$60)/日報表!$G$25)</f>
        <v>0</v>
      </c>
      <c r="L25" s="90"/>
      <c r="M25" s="90" t="str">
        <f t="array" ref="M25">IF(ISERROR(AVERAGEA(IF(A25=斷絲!$B$4:$U$4,斷絲!$B$39:$U$39))),"",AVERAGEA(IF(A25=斷絲!$B$4:$U$4,斷絲!$B$39:$U$39)))</f>
        <v/>
      </c>
      <c r="N25" s="89">
        <f>IF(G25=0,0,AFK!$BM$41/G$25)</f>
        <v>0</v>
      </c>
      <c r="O25" s="168"/>
      <c r="P25" s="1140"/>
      <c r="Q25" s="82"/>
      <c r="R25" s="115">
        <f>AFK!BO$3</f>
        <v>0</v>
      </c>
      <c r="S25" s="244"/>
      <c r="U25" s="465" t="str">
        <f>IF(ISNA(HLOOKUP(A25,IAD!$6:$10,5,0)),"",(HLOOKUP(A25,IAD!$6:$10,5,0)))</f>
        <v/>
      </c>
      <c r="Z25" s="690"/>
    </row>
    <row r="26" spans="1:26" ht="19.5" hidden="1" customHeight="1">
      <c r="A26" s="72">
        <f>AFK!BP3</f>
        <v>0</v>
      </c>
      <c r="B26" s="83">
        <f>AFK!BP4</f>
        <v>0</v>
      </c>
      <c r="C26" s="144"/>
      <c r="D26" s="84">
        <f>AFK!BP37</f>
        <v>0</v>
      </c>
      <c r="E26" s="85">
        <f>AFK!BR4</f>
        <v>0</v>
      </c>
      <c r="F26" s="86">
        <f>AFK!BQ37</f>
        <v>0</v>
      </c>
      <c r="G26" s="384">
        <f>AFK!BR37-AFK!BP61</f>
        <v>0</v>
      </c>
      <c r="H26" s="86" t="e">
        <f t="shared" si="0"/>
        <v>#DIV/0!</v>
      </c>
      <c r="I26" s="87">
        <f>IF(F26=0,0,G26/F26)</f>
        <v>0</v>
      </c>
      <c r="J26" s="88">
        <f>AFK!BP40/100</f>
        <v>0</v>
      </c>
      <c r="K26" s="89">
        <f>IF(G26=0,0,(AFK!$BP$38-AFK!$BP$60-AFK!$BQ$60)/日報表!$G$26)</f>
        <v>0</v>
      </c>
      <c r="L26" s="90"/>
      <c r="M26" s="90" t="str">
        <f t="array" ref="M26">IF(ISERROR(AVERAGEA(IF(A26=斷絲!$B$4:$U$4,斷絲!$B$39:$U$39))),"",AVERAGEA(IF(A26=斷絲!$B$4:$U$4,斷絲!$B$39:$U$39)))</f>
        <v/>
      </c>
      <c r="N26" s="89">
        <f>IF(G26=0,0,AFK!$BP$41/G$26)</f>
        <v>0</v>
      </c>
      <c r="O26" s="168"/>
      <c r="P26" s="1140"/>
      <c r="Q26" s="82"/>
      <c r="R26" s="115">
        <f>AFK!BR$3</f>
        <v>0</v>
      </c>
      <c r="S26" s="244"/>
      <c r="U26" s="465" t="str">
        <f>IF(ISNA(HLOOKUP(A26,IAD!$6:$10,5,0)),"",(HLOOKUP(A26,IAD!$6:$10,5,0)))</f>
        <v/>
      </c>
      <c r="Z26" s="690"/>
    </row>
    <row r="27" spans="1:26" ht="19.5" hidden="1" customHeight="1">
      <c r="A27" s="72">
        <f>AFK!BS3</f>
        <v>0</v>
      </c>
      <c r="B27" s="83">
        <f>AFK!BS4</f>
        <v>0</v>
      </c>
      <c r="C27" s="144"/>
      <c r="D27" s="84">
        <f>AFK!BS37</f>
        <v>0</v>
      </c>
      <c r="E27" s="85">
        <f>AFK!BU4</f>
        <v>0</v>
      </c>
      <c r="F27" s="86">
        <f>AFK!BT37</f>
        <v>0</v>
      </c>
      <c r="G27" s="384">
        <f>AFK!BU37-AFK!BS61</f>
        <v>0</v>
      </c>
      <c r="H27" s="86" t="e">
        <f t="shared" si="0"/>
        <v>#DIV/0!</v>
      </c>
      <c r="I27" s="87">
        <f>IF(F27=0,0,G27/F27)</f>
        <v>0</v>
      </c>
      <c r="J27" s="88">
        <f>AFK!BS40/100</f>
        <v>0</v>
      </c>
      <c r="K27" s="89">
        <f>IF(G27=0,0,(AFK!$BS$38-AFK!$BS$60-AFK!$BT$60)/日報表!$G$27)</f>
        <v>0</v>
      </c>
      <c r="L27" s="90"/>
      <c r="M27" s="367" t="str">
        <f t="array" ref="M27">IF(ISERROR(AVERAGEA(IF(A27=斷絲!$B$4:$U$4,斷絲!$B$39:$U$39))),"",AVERAGEA(IF(A27=斷絲!$B$4:$U$4,斷絲!$B$39:$U$39)))</f>
        <v/>
      </c>
      <c r="N27" s="89">
        <f>IF(G27=0,0,AFK!$BS$41/G$27)</f>
        <v>0</v>
      </c>
      <c r="O27" s="168"/>
      <c r="P27" s="1140"/>
      <c r="Q27" s="82"/>
      <c r="R27" s="115">
        <f>AFK!BU$3</f>
        <v>0</v>
      </c>
      <c r="S27" s="244"/>
      <c r="U27" s="465" t="str">
        <f>IF(ISNA(HLOOKUP(A27,IAD!$6:$10,5,0)),"",(HLOOKUP(A27,IAD!$6:$10,5,0)))</f>
        <v/>
      </c>
      <c r="Z27" s="690"/>
    </row>
    <row r="28" spans="1:26" ht="19.5" hidden="1" customHeight="1">
      <c r="A28" s="73">
        <f>AFK!BV3</f>
        <v>0</v>
      </c>
      <c r="B28" s="94">
        <f>AFK!BV4</f>
        <v>0</v>
      </c>
      <c r="C28" s="144"/>
      <c r="D28" s="95">
        <f>AFK!BV37</f>
        <v>0</v>
      </c>
      <c r="E28" s="96">
        <f>AFK!BX$4</f>
        <v>0</v>
      </c>
      <c r="F28" s="97">
        <f>AFK!BW$37</f>
        <v>0</v>
      </c>
      <c r="G28" s="385">
        <f>AFK!BX$37-AFK!BV$61</f>
        <v>0</v>
      </c>
      <c r="H28" s="86" t="e">
        <f t="shared" si="0"/>
        <v>#DIV/0!</v>
      </c>
      <c r="I28" s="111">
        <f>IF(G28=0,0,G28/F28)</f>
        <v>0</v>
      </c>
      <c r="J28" s="103">
        <f>AFK!BV$40/100</f>
        <v>0</v>
      </c>
      <c r="K28" s="98">
        <f>IF(G28=0,0,(AFK!BV$38-AFK!BV$60-AFK!BW$60)/G28)</f>
        <v>0</v>
      </c>
      <c r="L28" s="90"/>
      <c r="M28" s="90" t="str">
        <f t="array" ref="M28">IF(ISERROR(AVERAGEA(IF(A28=斷絲!$B$4:$U$4,斷絲!$B$39:$U$39))),"",AVERAGEA(IF(A28=斷絲!$B$4:$U$4,斷絲!$B$39:$U$39)))</f>
        <v/>
      </c>
      <c r="N28" s="98">
        <f>IF(G28=0,0,AFK!BV$41/G$28)</f>
        <v>0</v>
      </c>
      <c r="O28" s="168"/>
      <c r="P28" s="1140"/>
      <c r="Q28" s="82"/>
      <c r="R28" s="115">
        <f>AFK!BX$3</f>
        <v>0</v>
      </c>
      <c r="S28" s="244"/>
      <c r="U28" s="465" t="str">
        <f>IF(ISNA(HLOOKUP(A28,IAD!$6:$10,5,0)),"",(HLOOKUP(A28,IAD!$6:$10,5,0)))</f>
        <v/>
      </c>
      <c r="Z28" s="690"/>
    </row>
    <row r="29" spans="1:26" ht="19.5" hidden="1" customHeight="1">
      <c r="A29" s="73">
        <f>AFK!BY3</f>
        <v>0</v>
      </c>
      <c r="B29" s="83">
        <f>AFK!BY4</f>
        <v>0</v>
      </c>
      <c r="C29" s="144"/>
      <c r="D29" s="95">
        <f>AFK!BY37</f>
        <v>0</v>
      </c>
      <c r="E29" s="96">
        <f>AFK!CA$4</f>
        <v>0</v>
      </c>
      <c r="F29" s="97">
        <f>AFK!BZ$37</f>
        <v>0</v>
      </c>
      <c r="G29" s="385">
        <f>AFK!CA$37-AFK!BY$61</f>
        <v>0</v>
      </c>
      <c r="H29" s="86" t="e">
        <f t="shared" si="0"/>
        <v>#DIV/0!</v>
      </c>
      <c r="I29" s="111">
        <f t="shared" ref="I29:I36" si="2">IF(G29=0,0,G29/F29)</f>
        <v>0</v>
      </c>
      <c r="J29" s="103">
        <f>AFK!BY$40/100</f>
        <v>0</v>
      </c>
      <c r="K29" s="98">
        <f>IF(G29=0,0,(AFK!BY$38-AFK!BY$60-AFK!BZ$60)/G29)</f>
        <v>0</v>
      </c>
      <c r="L29" s="90"/>
      <c r="M29" s="90" t="str">
        <f t="array" ref="M29">IF(ISERROR(AVERAGEA(IF(A29=斷絲!$B$4:$U$4,斷絲!$B$39:$U$39))),"",AVERAGEA(IF(A29=斷絲!$B$4:$U$4,斷絲!$B$39:$U$39)))</f>
        <v/>
      </c>
      <c r="N29" s="98">
        <f>IF(G29=0,0,AFK!BY$41/G$29)</f>
        <v>0</v>
      </c>
      <c r="O29" s="168"/>
      <c r="P29" s="1140"/>
      <c r="Q29" s="82"/>
      <c r="R29" s="115">
        <f>AFK!CA$3</f>
        <v>0</v>
      </c>
      <c r="S29" s="244"/>
      <c r="U29" s="465" t="str">
        <f>IF(ISNA(HLOOKUP(A29,IAD!$6:$10,5,0)),"",(HLOOKUP(A29,IAD!$6:$10,5,0)))</f>
        <v/>
      </c>
      <c r="Z29" s="690"/>
    </row>
    <row r="30" spans="1:26" ht="19.5" hidden="1" customHeight="1">
      <c r="A30" s="73">
        <f>AFK!CB3</f>
        <v>0</v>
      </c>
      <c r="B30" s="83">
        <f>AFK!CB4</f>
        <v>0</v>
      </c>
      <c r="C30" s="144"/>
      <c r="D30" s="95">
        <f>AFK!CB37</f>
        <v>0</v>
      </c>
      <c r="E30" s="96">
        <f>AFK!CD$4</f>
        <v>0</v>
      </c>
      <c r="F30" s="97">
        <f>AFK!CC$37</f>
        <v>0</v>
      </c>
      <c r="G30" s="385">
        <f>AFK!CD$37-AFK!CB$61</f>
        <v>0</v>
      </c>
      <c r="H30" s="86" t="e">
        <f t="shared" si="0"/>
        <v>#DIV/0!</v>
      </c>
      <c r="I30" s="111">
        <f t="shared" si="2"/>
        <v>0</v>
      </c>
      <c r="J30" s="103">
        <f>AFK!CB$40/100</f>
        <v>0</v>
      </c>
      <c r="K30" s="98">
        <f>IF(G30=0,0,(AFK!CB$38-AFK!CB$60-AFK!CC$60)/G30)</f>
        <v>0</v>
      </c>
      <c r="L30" s="90"/>
      <c r="M30" s="90" t="str">
        <f t="array" ref="M30">IF(ISERROR(AVERAGEA(IF(A30=斷絲!$B$4:$U$4,斷絲!$B$39:$U$39))),"",AVERAGEA(IF(A30=斷絲!$B$4:$U$4,斷絲!$B$39:$U$39)))</f>
        <v/>
      </c>
      <c r="N30" s="98">
        <f>IF(G30=0,0,AFK!CB$41/G$30)</f>
        <v>0</v>
      </c>
      <c r="O30" s="168"/>
      <c r="P30" s="1140"/>
      <c r="Q30" s="82"/>
      <c r="R30" s="115">
        <f>AFK!CD$3</f>
        <v>0</v>
      </c>
      <c r="S30" s="244"/>
      <c r="U30" s="465" t="str">
        <f>IF(ISNA(HLOOKUP(A30,IAD!$6:$10,5,0)),"",(HLOOKUP(A30,IAD!$6:$10,5,0)))</f>
        <v/>
      </c>
      <c r="Z30" s="690"/>
    </row>
    <row r="31" spans="1:26" ht="19.5" hidden="1" customHeight="1">
      <c r="A31" s="73">
        <f>AFK!CE3</f>
        <v>0</v>
      </c>
      <c r="B31" s="83">
        <f>AFK!CE4</f>
        <v>0</v>
      </c>
      <c r="C31" s="144"/>
      <c r="D31" s="95">
        <f>AFK!CE37</f>
        <v>0</v>
      </c>
      <c r="E31" s="96">
        <f>AFK!CG$4</f>
        <v>0</v>
      </c>
      <c r="F31" s="97">
        <f>AFK!CF$37</f>
        <v>0</v>
      </c>
      <c r="G31" s="385">
        <f>AFK!CG$37-AFK!CE$61</f>
        <v>0</v>
      </c>
      <c r="H31" s="86" t="e">
        <f t="shared" si="0"/>
        <v>#DIV/0!</v>
      </c>
      <c r="I31" s="111">
        <f t="shared" si="2"/>
        <v>0</v>
      </c>
      <c r="J31" s="103">
        <f>AFK!CE$40/100</f>
        <v>0</v>
      </c>
      <c r="K31" s="98">
        <f>IF(G31=0,0,(AFK!CE$38-AFK!CE$60-AFK!CF$60)/G31)</f>
        <v>0</v>
      </c>
      <c r="L31" s="90"/>
      <c r="M31" s="90" t="str">
        <f t="array" ref="M31">IF(ISERROR(AVERAGEA(IF(A31=斷絲!$B$4:$U$4,斷絲!$B$39:$U$39))),"",AVERAGEA(IF(A31=斷絲!$B$4:$U$4,斷絲!$B$39:$U$39)))</f>
        <v/>
      </c>
      <c r="N31" s="98">
        <f>IF(G31=0,0,AFK!CE$41/G$31)</f>
        <v>0</v>
      </c>
      <c r="O31" s="168"/>
      <c r="P31" s="1140"/>
      <c r="Q31" s="82"/>
      <c r="R31" s="115">
        <f>AFK!CG$3</f>
        <v>0</v>
      </c>
      <c r="S31" s="244"/>
      <c r="U31" s="465" t="str">
        <f>IF(ISNA(HLOOKUP(A31,IAD!$6:$10,5,0)),"",(HLOOKUP(A31,IAD!$6:$10,5,0)))</f>
        <v/>
      </c>
      <c r="Z31" s="690"/>
    </row>
    <row r="32" spans="1:26" ht="19.5" hidden="1" customHeight="1">
      <c r="A32" s="73">
        <f>AFK!CH3</f>
        <v>0</v>
      </c>
      <c r="B32" s="94">
        <f>AFK!CH4</f>
        <v>0</v>
      </c>
      <c r="C32" s="144"/>
      <c r="D32" s="95">
        <f>AFK!CH37</f>
        <v>0</v>
      </c>
      <c r="E32" s="96">
        <f>AFK!CJ$4</f>
        <v>0</v>
      </c>
      <c r="F32" s="97">
        <f>AFK!CI$37</f>
        <v>0</v>
      </c>
      <c r="G32" s="385">
        <f>AFK!CJ$37-AFK!CH$61</f>
        <v>0</v>
      </c>
      <c r="H32" s="86" t="e">
        <f t="shared" si="0"/>
        <v>#DIV/0!</v>
      </c>
      <c r="I32" s="111">
        <f t="shared" si="2"/>
        <v>0</v>
      </c>
      <c r="J32" s="103">
        <f>AFK!CH$40/100</f>
        <v>0</v>
      </c>
      <c r="K32" s="98">
        <f>IF(G32=0,0,(AFK!CH$38-AFK!CH$60-AFK!CI$60)/G32)</f>
        <v>0</v>
      </c>
      <c r="L32" s="90"/>
      <c r="M32" s="90" t="str">
        <f t="array" ref="M32">IF(ISERROR(AVERAGEA(IF(A32=斷絲!$B$4:$U$4,斷絲!$B$39:$U$39))),"",AVERAGEA(IF(A32=斷絲!$B$4:$U$4,斷絲!$B$39:$U$39)))</f>
        <v/>
      </c>
      <c r="N32" s="98">
        <f>IF(G32=0,0,AFK!CH$41/G$32)</f>
        <v>0</v>
      </c>
      <c r="O32" s="168"/>
      <c r="P32" s="1140"/>
      <c r="Q32" s="82"/>
      <c r="R32" s="115">
        <f>AFK!CJ$3</f>
        <v>0</v>
      </c>
      <c r="S32" s="244"/>
      <c r="U32" s="465" t="str">
        <f>IF(ISNA(HLOOKUP(A32,IAD!$6:$10,5,0)),"",(HLOOKUP(A32,IAD!$6:$10,5,0)))</f>
        <v/>
      </c>
      <c r="Z32" s="690"/>
    </row>
    <row r="33" spans="1:26" ht="19.5" hidden="1" customHeight="1">
      <c r="A33" s="73">
        <f>AFK!CK3</f>
        <v>0</v>
      </c>
      <c r="B33" s="94">
        <f>AFK!CK4</f>
        <v>0</v>
      </c>
      <c r="C33" s="144"/>
      <c r="D33" s="95">
        <f>AFK!CK37</f>
        <v>0</v>
      </c>
      <c r="E33" s="96">
        <f>AFK!CM$4</f>
        <v>0</v>
      </c>
      <c r="F33" s="97">
        <f>AFK!CL$37</f>
        <v>0</v>
      </c>
      <c r="G33" s="385">
        <f>AFK!CM$37-AFK!CK$61</f>
        <v>0</v>
      </c>
      <c r="H33" s="86" t="e">
        <f>IF(R33="","",(G33*(150/R33)*(900/E33)))</f>
        <v>#DIV/0!</v>
      </c>
      <c r="I33" s="111">
        <f t="shared" si="2"/>
        <v>0</v>
      </c>
      <c r="J33" s="103">
        <f>AFK!CK$40/100</f>
        <v>0</v>
      </c>
      <c r="K33" s="98">
        <f>IF(G33=0,0,(AFK!CK$38-AFK!CK$60-AFK!CL$60)/G33)</f>
        <v>0</v>
      </c>
      <c r="L33" s="90"/>
      <c r="M33" s="90" t="str">
        <f t="array" ref="M33">IF(ISERROR(AVERAGEA(IF(A33=斷絲!$B$4:$U$4,斷絲!$B$39:$U$39))),"",AVERAGEA(IF(A33=斷絲!$B$4:$U$4,斷絲!$B$39:$U$39)))</f>
        <v/>
      </c>
      <c r="N33" s="98">
        <f>IF(G33=0,0,AFK!CK$41/G$33)</f>
        <v>0</v>
      </c>
      <c r="O33" s="168"/>
      <c r="P33" s="1140"/>
      <c r="Q33" s="82"/>
      <c r="R33" s="115">
        <f>AFK!CM$3</f>
        <v>0</v>
      </c>
      <c r="S33" s="244"/>
      <c r="U33" s="465" t="str">
        <f>IF(ISNA(HLOOKUP(A33,IAD!$6:$10,5,0)),"",(HLOOKUP(A33,IAD!$6:$10,5,0)))</f>
        <v/>
      </c>
      <c r="Z33" s="690"/>
    </row>
    <row r="34" spans="1:26" ht="19.5" hidden="1" customHeight="1">
      <c r="A34" s="73">
        <f>AFK!CN3</f>
        <v>0</v>
      </c>
      <c r="B34" s="94">
        <f>AFK!CN4</f>
        <v>0</v>
      </c>
      <c r="C34" s="144"/>
      <c r="D34" s="84">
        <f>AFK!CN37</f>
        <v>0</v>
      </c>
      <c r="E34" s="85">
        <f>AFK!CP$4</f>
        <v>0</v>
      </c>
      <c r="F34" s="86">
        <f>AFK!CO$37</f>
        <v>0</v>
      </c>
      <c r="G34" s="384">
        <f>AFK!CP$37-AFK!CN$61</f>
        <v>0</v>
      </c>
      <c r="H34" s="86" t="e">
        <f t="shared" si="0"/>
        <v>#DIV/0!</v>
      </c>
      <c r="I34" s="87">
        <f t="shared" si="2"/>
        <v>0</v>
      </c>
      <c r="J34" s="88">
        <f>AFK!CN$40/100</f>
        <v>0</v>
      </c>
      <c r="K34" s="89">
        <f>IF(G34=0,0,(AFK!CN$38-AFK!CN$60-AFK!CO$60)/G34)</f>
        <v>0</v>
      </c>
      <c r="L34" s="90"/>
      <c r="M34" s="90" t="str">
        <f t="array" ref="M34">IF(ISERROR(AVERAGEA(IF(A34=斷絲!$B$4:$U$4,斷絲!$B$39:$U$39))),"",AVERAGEA(IF(A34=斷絲!$B$4:$U$4,斷絲!$B$39:$U$39)))</f>
        <v/>
      </c>
      <c r="N34" s="89">
        <f>IF(G34=0,0,AFK!CN$41/G$34)</f>
        <v>0</v>
      </c>
      <c r="O34" s="168"/>
      <c r="P34" s="1140"/>
      <c r="Q34" s="82"/>
      <c r="R34" s="115">
        <f>AFK!CP$3</f>
        <v>0</v>
      </c>
      <c r="S34" s="244"/>
      <c r="U34" s="465" t="str">
        <f>IF(ISNA(HLOOKUP(A34,IAD!$6:$10,5,0)),"",(HLOOKUP(A34,IAD!$6:$10,5,0)))</f>
        <v/>
      </c>
      <c r="Z34" s="690"/>
    </row>
    <row r="35" spans="1:26" ht="19.5" hidden="1" customHeight="1">
      <c r="A35" s="73">
        <f>AFK!CQ3</f>
        <v>0</v>
      </c>
      <c r="B35" s="83">
        <f>AFK!CQ4</f>
        <v>0</v>
      </c>
      <c r="C35" s="144"/>
      <c r="D35" s="84">
        <f>AFK!CQ37</f>
        <v>0</v>
      </c>
      <c r="E35" s="85">
        <f>AFK!CS$4</f>
        <v>0</v>
      </c>
      <c r="F35" s="86">
        <f>AFK!CR$37</f>
        <v>0</v>
      </c>
      <c r="G35" s="384">
        <f>AFK!CS$37-AFK!CQ$61</f>
        <v>0</v>
      </c>
      <c r="H35" s="86" t="e">
        <f t="shared" si="0"/>
        <v>#DIV/0!</v>
      </c>
      <c r="I35" s="87">
        <f t="shared" si="2"/>
        <v>0</v>
      </c>
      <c r="J35" s="88">
        <f>AFK!CQ$40/100</f>
        <v>0</v>
      </c>
      <c r="K35" s="89">
        <f>IF(G35=0,0,(AFK!CQ$38-AFK!CQ$60-AFK!CR$60)/G35)</f>
        <v>0</v>
      </c>
      <c r="L35" s="90"/>
      <c r="M35" s="90" t="str">
        <f t="array" ref="M35">IF(ISERROR(AVERAGEA(IF(A35=斷絲!$B$4:$U$4,斷絲!$B$39:$U$39))),"",AVERAGEA(IF(A35=斷絲!$B$4:$U$4,斷絲!$B$39:$U$39)))</f>
        <v/>
      </c>
      <c r="N35" s="89">
        <f>IF(G35=0,0,AFK!CQ$41/G$35)</f>
        <v>0</v>
      </c>
      <c r="O35" s="168"/>
      <c r="P35" s="1140"/>
      <c r="Q35" s="82"/>
      <c r="R35" s="115">
        <f>AFK!CS$3</f>
        <v>0</v>
      </c>
      <c r="S35" s="244"/>
      <c r="U35" s="465" t="str">
        <f>IF(ISNA(HLOOKUP(A35,IAD!$6:$10,5,0)),"",(HLOOKUP(A35,IAD!$6:$10,5,0)))</f>
        <v/>
      </c>
      <c r="Z35" s="690"/>
    </row>
    <row r="36" spans="1:26" ht="19.5" hidden="1" customHeight="1">
      <c r="A36" s="73">
        <f>AFK!CT3</f>
        <v>0</v>
      </c>
      <c r="B36" s="83">
        <f>AFK!CT4</f>
        <v>0</v>
      </c>
      <c r="C36" s="144"/>
      <c r="D36" s="84">
        <f>AFK!CT37</f>
        <v>0</v>
      </c>
      <c r="E36" s="85">
        <f>AFK!CV$4</f>
        <v>0</v>
      </c>
      <c r="F36" s="86">
        <f>AFK!CU$37</f>
        <v>0</v>
      </c>
      <c r="G36" s="384">
        <f>AFK!CV$37-AFK!CT$61</f>
        <v>0</v>
      </c>
      <c r="H36" s="86" t="e">
        <f t="shared" si="0"/>
        <v>#DIV/0!</v>
      </c>
      <c r="I36" s="87">
        <f t="shared" si="2"/>
        <v>0</v>
      </c>
      <c r="J36" s="88">
        <f>AFK!CT$40/100</f>
        <v>0</v>
      </c>
      <c r="K36" s="89">
        <f>IF(G36=0,0,(AFK!CT$38-AFK!CT$60-AFK!CU$60)/G36)</f>
        <v>0</v>
      </c>
      <c r="L36" s="90"/>
      <c r="M36" s="90" t="str">
        <f t="array" ref="M36">IF(ISERROR(AVERAGEA(IF(A36=斷絲!$B$4:$U$4,斷絲!$B$39:$U$39))),"",AVERAGEA(IF(A36=斷絲!$B$4:$U$4,斷絲!$B$39:$U$39)))</f>
        <v/>
      </c>
      <c r="N36" s="89">
        <f>IF(G36=0,0,AFK!CT$41/G$36)</f>
        <v>0</v>
      </c>
      <c r="O36" s="168"/>
      <c r="P36" s="1140"/>
      <c r="Q36" s="82"/>
      <c r="R36" s="115">
        <f>AFK!CV$3</f>
        <v>0</v>
      </c>
      <c r="S36" s="244"/>
      <c r="U36" s="465" t="str">
        <f>IF(ISNA(HLOOKUP(A36,IAD!$6:$10,5,0)),"",(HLOOKUP(A36,IAD!$6:$10,5,0)))</f>
        <v/>
      </c>
      <c r="Z36" s="690"/>
    </row>
    <row r="37" spans="1:26" ht="19.5" hidden="1" customHeight="1">
      <c r="A37" s="73">
        <f>AFK!CW3</f>
        <v>0</v>
      </c>
      <c r="B37" s="94">
        <f>AFK!CW4</f>
        <v>0</v>
      </c>
      <c r="C37" s="144"/>
      <c r="D37" s="84">
        <f>AFK!CW$37</f>
        <v>0</v>
      </c>
      <c r="E37" s="85">
        <f>AFK!CY$4</f>
        <v>0</v>
      </c>
      <c r="F37" s="86">
        <f>AFK!CX$37</f>
        <v>0</v>
      </c>
      <c r="G37" s="384">
        <f>AFK!CY$37-AFK!CW$61</f>
        <v>0</v>
      </c>
      <c r="H37" s="86" t="e">
        <f t="shared" si="0"/>
        <v>#DIV/0!</v>
      </c>
      <c r="I37" s="87">
        <f t="shared" ref="I37:I61" si="3">IF(G37=0,0,G37/F37)</f>
        <v>0</v>
      </c>
      <c r="J37" s="88">
        <f>AFK!CW$40/100</f>
        <v>0</v>
      </c>
      <c r="K37" s="89">
        <f>IF(G37=0,0,(AFK!CW$38-AFK!CW$60-AFK!CX$60)/G37)</f>
        <v>0</v>
      </c>
      <c r="L37" s="90"/>
      <c r="M37" s="90" t="str">
        <f t="array" ref="M37">IF(ISERROR(AVERAGEA(IF(A37=斷絲!$B$4:$U$4,斷絲!$B$39:$U$39))),"",AVERAGEA(IF(A37=斷絲!$B$4:$U$4,斷絲!$B$39:$U$39)))</f>
        <v/>
      </c>
      <c r="N37" s="89">
        <f>IF(G37=0,0,AFK!CW$41/G37)</f>
        <v>0</v>
      </c>
      <c r="O37" s="168"/>
      <c r="P37" s="1140"/>
      <c r="Q37" s="82"/>
      <c r="R37" s="115">
        <f>AFK!CY$3</f>
        <v>0</v>
      </c>
      <c r="S37" s="244"/>
      <c r="U37" s="465" t="str">
        <f>IF(ISNA(HLOOKUP(A37,IAD!$6:$10,5,0)),"",(HLOOKUP(A37,IAD!$6:$10,5,0)))</f>
        <v/>
      </c>
      <c r="Z37" s="690"/>
    </row>
    <row r="38" spans="1:26" ht="19.5" hidden="1" customHeight="1">
      <c r="A38" s="73">
        <f>AFK!CZ3</f>
        <v>0</v>
      </c>
      <c r="B38" s="94">
        <f>AFK!CZ4</f>
        <v>0</v>
      </c>
      <c r="C38" s="144"/>
      <c r="D38" s="84">
        <f>AFK!CZ$37</f>
        <v>0</v>
      </c>
      <c r="E38" s="85">
        <f>AFK!DB$4</f>
        <v>0</v>
      </c>
      <c r="F38" s="86">
        <f>AFK!DA$37</f>
        <v>0</v>
      </c>
      <c r="G38" s="384">
        <f>AFK!DB$37-AFK!CZ$61</f>
        <v>0</v>
      </c>
      <c r="H38" s="86" t="e">
        <f t="shared" si="0"/>
        <v>#DIV/0!</v>
      </c>
      <c r="I38" s="87">
        <f t="shared" si="3"/>
        <v>0</v>
      </c>
      <c r="J38" s="88">
        <f>AFK!CZ$40/100</f>
        <v>0</v>
      </c>
      <c r="K38" s="89">
        <f>IF(G38=0,0,(AFK!CZ$38-AFK!CZ$60-AFK!DA$60)/G38)</f>
        <v>0</v>
      </c>
      <c r="L38" s="90"/>
      <c r="M38" s="90" t="str">
        <f t="array" ref="M38">IF(ISERROR(AVERAGEA(IF(A38=斷絲!$B$4:$U$4,斷絲!$B$39:$U$39))),"",AVERAGEA(IF(A38=斷絲!$B$4:$U$4,斷絲!$B$39:$U$39)))</f>
        <v/>
      </c>
      <c r="N38" s="89">
        <f>IF(G38=0,0,AFK!CZ$41/G38)</f>
        <v>0</v>
      </c>
      <c r="O38" s="168"/>
      <c r="P38" s="1140"/>
      <c r="Q38" s="82"/>
      <c r="R38" s="115">
        <f>AFK!DB$3</f>
        <v>0</v>
      </c>
      <c r="S38" s="244"/>
      <c r="U38" s="465" t="str">
        <f>IF(ISNA(HLOOKUP(A38,IAD!$6:$10,5,0)),"",(HLOOKUP(A38,IAD!$6:$10,5,0)))</f>
        <v/>
      </c>
      <c r="Z38" s="690"/>
    </row>
    <row r="39" spans="1:26" ht="19.5" hidden="1" customHeight="1">
      <c r="A39" s="73">
        <f>AFK!DC3</f>
        <v>0</v>
      </c>
      <c r="B39" s="94">
        <f>AFK!DC4</f>
        <v>0</v>
      </c>
      <c r="C39" s="144"/>
      <c r="D39" s="84">
        <f>AFK!DC$37</f>
        <v>0</v>
      </c>
      <c r="E39" s="85">
        <f>AFK!DE$4</f>
        <v>0</v>
      </c>
      <c r="F39" s="86">
        <f>AFK!DD$37</f>
        <v>0</v>
      </c>
      <c r="G39" s="384">
        <f>AFK!DE$37-AFK!DC$61</f>
        <v>0</v>
      </c>
      <c r="H39" s="86" t="e">
        <f t="shared" si="0"/>
        <v>#DIV/0!</v>
      </c>
      <c r="I39" s="87">
        <f t="shared" si="3"/>
        <v>0</v>
      </c>
      <c r="J39" s="88">
        <f>AFK!DC$40/100</f>
        <v>0</v>
      </c>
      <c r="K39" s="89">
        <f>IF(G39=0,0,(AFK!DC$38-AFK!DC$60-AFK!DD$60)/G39)</f>
        <v>0</v>
      </c>
      <c r="L39" s="90"/>
      <c r="M39" s="90" t="str">
        <f t="array" ref="M39">IF(ISERROR(AVERAGEA(IF(A39=斷絲!$B$4:$U$4,斷絲!$B$39:$U$39))),"",AVERAGEA(IF(A39=斷絲!$B$4:$U$4,斷絲!$B$39:$U$39)))</f>
        <v/>
      </c>
      <c r="N39" s="89">
        <f>IF(G39=0,0,AFK!DC$41/G39)</f>
        <v>0</v>
      </c>
      <c r="O39" s="168"/>
      <c r="P39" s="1140"/>
      <c r="Q39" s="82"/>
      <c r="R39" s="115">
        <f>AFK!DE$3</f>
        <v>0</v>
      </c>
      <c r="S39" s="244"/>
      <c r="U39" s="465" t="str">
        <f>IF(ISNA(HLOOKUP(A39,IAD!$6:$10,5,0)),"",(HLOOKUP(A39,IAD!$6:$10,5,0)))</f>
        <v/>
      </c>
      <c r="Z39" s="690"/>
    </row>
    <row r="40" spans="1:26" ht="19.5" hidden="1" customHeight="1">
      <c r="A40" s="73">
        <f>AFK!DF3</f>
        <v>0</v>
      </c>
      <c r="B40" s="94">
        <f>AFK!DF4</f>
        <v>0</v>
      </c>
      <c r="C40" s="144"/>
      <c r="D40" s="84">
        <f>AFK!DF$37</f>
        <v>0</v>
      </c>
      <c r="E40" s="85">
        <f>AFK!DH$4</f>
        <v>0</v>
      </c>
      <c r="F40" s="86">
        <f>AFK!DG$37</f>
        <v>0</v>
      </c>
      <c r="G40" s="384">
        <f>AFK!DH$37-AFK!DF$61</f>
        <v>0</v>
      </c>
      <c r="H40" s="86" t="e">
        <f t="shared" si="0"/>
        <v>#DIV/0!</v>
      </c>
      <c r="I40" s="87">
        <f t="shared" si="3"/>
        <v>0</v>
      </c>
      <c r="J40" s="88">
        <f>AFK!DF$40/100</f>
        <v>0</v>
      </c>
      <c r="K40" s="89">
        <f>IF(G40=0,0,(AFK!DF$38-AFK!DF$60-AFK!DG$60)/G40)</f>
        <v>0</v>
      </c>
      <c r="L40" s="90"/>
      <c r="M40" s="90" t="str">
        <f t="array" ref="M40">IF(ISERROR(AVERAGEA(IF(A40=斷絲!$B$4:$U$4,斷絲!$B$39:$U$39))),"",AVERAGEA(IF(A40=斷絲!$B$4:$U$4,斷絲!$B$39:$U$39)))</f>
        <v/>
      </c>
      <c r="N40" s="89">
        <f>IF(G40=0,0,AFK!DF$41/G40)</f>
        <v>0</v>
      </c>
      <c r="O40" s="168"/>
      <c r="P40" s="1140"/>
      <c r="Q40" s="82"/>
      <c r="R40" s="115">
        <f>AFK!DH$3</f>
        <v>0</v>
      </c>
      <c r="S40" s="244"/>
      <c r="U40" s="465" t="str">
        <f>IF(ISNA(HLOOKUP(A40,IAD!$6:$10,5,0)),"",(HLOOKUP(A40,IAD!$6:$10,5,0)))</f>
        <v/>
      </c>
      <c r="Z40" s="690"/>
    </row>
    <row r="41" spans="1:26" ht="19.5" hidden="1" customHeight="1">
      <c r="A41" s="73">
        <f>AFK!DI3</f>
        <v>0</v>
      </c>
      <c r="B41" s="94">
        <f>AFK!DI4</f>
        <v>0</v>
      </c>
      <c r="C41" s="144"/>
      <c r="D41" s="95">
        <f>AFK!DI$37</f>
        <v>0</v>
      </c>
      <c r="E41" s="96">
        <f>AFK!DK$4</f>
        <v>0</v>
      </c>
      <c r="F41" s="97">
        <f>AFK!DJ$37</f>
        <v>0</v>
      </c>
      <c r="G41" s="385">
        <f>AFK!DK$37-AFK!DI$61</f>
        <v>0</v>
      </c>
      <c r="H41" s="97" t="e">
        <f>IF(R41="","",(G41*(150/R41)*(900/E41)))</f>
        <v>#DIV/0!</v>
      </c>
      <c r="I41" s="111">
        <f t="shared" si="3"/>
        <v>0</v>
      </c>
      <c r="J41" s="103">
        <f>AFK!DI$40/100</f>
        <v>0</v>
      </c>
      <c r="K41" s="98">
        <f>IF(G41=0,0,(AFK!DI$38-AFK!DI$60-AFK!DJ$60)/G41)</f>
        <v>0</v>
      </c>
      <c r="L41" s="90"/>
      <c r="M41" s="90" t="str">
        <f t="array" ref="M41">IF(ISERROR(AVERAGEA(IF(A41=斷絲!$B$4:$U$4,斷絲!$B$39:$U$39))),"",AVERAGEA(IF(A41=斷絲!$B$4:$U$4,斷絲!$B$39:$U$39)))</f>
        <v/>
      </c>
      <c r="N41" s="98">
        <f>IF(G41=0,0,AFK!DI$41/G41)</f>
        <v>0</v>
      </c>
      <c r="O41" s="168"/>
      <c r="P41" s="1140"/>
      <c r="Q41" s="82"/>
      <c r="R41" s="115">
        <f>AFK!DK$3</f>
        <v>0</v>
      </c>
      <c r="S41" s="244"/>
      <c r="U41" s="465" t="str">
        <f>IF(ISNA(HLOOKUP(A41,IAD!$6:$10,5,0)),"",(HLOOKUP(A41,IAD!$6:$10,5,0)))</f>
        <v/>
      </c>
      <c r="Z41" s="690"/>
    </row>
    <row r="42" spans="1:26" ht="19.5" hidden="1" customHeight="1">
      <c r="A42" s="73">
        <f>AFK!DL$3</f>
        <v>0</v>
      </c>
      <c r="B42" s="94">
        <f>AFK!DL$4</f>
        <v>0</v>
      </c>
      <c r="C42" s="144"/>
      <c r="D42" s="84">
        <f>AFK!DL$37</f>
        <v>0</v>
      </c>
      <c r="E42" s="85">
        <f>AFK!DN$4</f>
        <v>0</v>
      </c>
      <c r="F42" s="86">
        <f>AFK!DM$37</f>
        <v>0</v>
      </c>
      <c r="G42" s="384">
        <f>AFK!DN$37-AFK!DL$61</f>
        <v>0</v>
      </c>
      <c r="H42" s="86" t="e">
        <f>IF(R42="","",(G42*(150/R42)*(900/E42)))</f>
        <v>#DIV/0!</v>
      </c>
      <c r="I42" s="87">
        <f t="shared" si="3"/>
        <v>0</v>
      </c>
      <c r="J42" s="88">
        <f>AFK!DL$40/100</f>
        <v>0</v>
      </c>
      <c r="K42" s="89">
        <f>IF(G42=0,0,(AFK!DL$38-AFK!DL$60-AFK!DM$60)/G42)</f>
        <v>0</v>
      </c>
      <c r="L42" s="90"/>
      <c r="M42" s="90" t="str">
        <f t="array" ref="M42">IF(ISERROR(AVERAGEA(IF(A42=斷絲!$B$4:$U$4,斷絲!$B$39:$U$39))),"",AVERAGEA(IF(A42=斷絲!$B$4:$U$4,斷絲!$B$39:$U$39)))</f>
        <v/>
      </c>
      <c r="N42" s="89">
        <f>IF(G42=0,0,AFK!DL$41/G42)</f>
        <v>0</v>
      </c>
      <c r="O42" s="168"/>
      <c r="P42" s="1140"/>
      <c r="Q42" s="82"/>
      <c r="R42" s="115">
        <f>AFK!DN$3</f>
        <v>0</v>
      </c>
      <c r="S42" s="244"/>
      <c r="U42" s="465" t="str">
        <f>IF(ISNA(HLOOKUP(A42,IAD!$6:$10,5,0)),"",(HLOOKUP(A42,IAD!$6:$10,5,0)))</f>
        <v/>
      </c>
      <c r="Z42" s="690"/>
    </row>
    <row r="43" spans="1:26" ht="19.5" hidden="1" customHeight="1">
      <c r="A43" s="73">
        <f>AFK!DO$3</f>
        <v>0</v>
      </c>
      <c r="B43" s="94">
        <f>AFK!DO$4</f>
        <v>0</v>
      </c>
      <c r="C43" s="144"/>
      <c r="D43" s="84">
        <f>AFK!DO$37</f>
        <v>0</v>
      </c>
      <c r="E43" s="85">
        <f>AFK!DQ$4</f>
        <v>0</v>
      </c>
      <c r="F43" s="86">
        <f>AFK!DP$37</f>
        <v>0</v>
      </c>
      <c r="G43" s="384">
        <f>AFK!DQ$37-AFK!DO$61</f>
        <v>0</v>
      </c>
      <c r="H43" s="86" t="e">
        <f t="shared" ref="H43:H67" si="4">IF(R43="","",(G43*(150/R43)*(900/E43)))</f>
        <v>#DIV/0!</v>
      </c>
      <c r="I43" s="87">
        <f t="shared" si="3"/>
        <v>0</v>
      </c>
      <c r="J43" s="88">
        <f>AFK!DO$40/100</f>
        <v>0</v>
      </c>
      <c r="K43" s="89">
        <f>IF(G43=0,0,(AFK!DO$38-AFK!DO$60-AFK!DP$60)/G43)</f>
        <v>0</v>
      </c>
      <c r="L43" s="90"/>
      <c r="M43" s="90" t="str">
        <f t="array" ref="M43">IF(ISERROR(AVERAGEA(IF(A43=斷絲!$B$4:$U$4,斷絲!$B$39:$U$39))),"",AVERAGEA(IF(A43=斷絲!$B$4:$U$4,斷絲!$B$39:$U$39)))</f>
        <v/>
      </c>
      <c r="N43" s="89">
        <f>IF(G43=0,0,AFK!DO$41/G43)</f>
        <v>0</v>
      </c>
      <c r="O43" s="168"/>
      <c r="P43" s="1140"/>
      <c r="Q43" s="82"/>
      <c r="R43" s="115">
        <f>AFK!DQ$3</f>
        <v>0</v>
      </c>
      <c r="S43" s="244"/>
      <c r="U43" s="465" t="str">
        <f>IF(ISNA(HLOOKUP(A43,IAD!$6:$10,5,0)),"",(HLOOKUP(A43,IAD!$6:$10,5,0)))</f>
        <v/>
      </c>
      <c r="Z43" s="690"/>
    </row>
    <row r="44" spans="1:26" ht="19.5" hidden="1" customHeight="1">
      <c r="A44" s="73">
        <f>AFK!DR$3</f>
        <v>0</v>
      </c>
      <c r="B44" s="94">
        <f>AFK!DR$4</f>
        <v>0</v>
      </c>
      <c r="C44" s="144"/>
      <c r="D44" s="84">
        <f>AFK!DR$37</f>
        <v>0</v>
      </c>
      <c r="E44" s="85">
        <f>AFK!DT$4</f>
        <v>0</v>
      </c>
      <c r="F44" s="86">
        <f>AFK!DS$37</f>
        <v>0</v>
      </c>
      <c r="G44" s="384">
        <f>AFK!DT$37-AFK!DR$61</f>
        <v>0</v>
      </c>
      <c r="H44" s="86" t="e">
        <f t="shared" si="4"/>
        <v>#DIV/0!</v>
      </c>
      <c r="I44" s="87">
        <f t="shared" si="3"/>
        <v>0</v>
      </c>
      <c r="J44" s="88">
        <f>AFK!DR$40/100</f>
        <v>0</v>
      </c>
      <c r="K44" s="89">
        <f>IF(G44=0,0,(AFK!DR$38-AFK!DR$60-AFK!DS$60)/G44)</f>
        <v>0</v>
      </c>
      <c r="L44" s="90"/>
      <c r="M44" s="90" t="str">
        <f t="array" ref="M44">IF(ISERROR(AVERAGEA(IF(A44=斷絲!$B$4:$U$4,斷絲!$B$39:$U$39))),"",AVERAGEA(IF(A44=斷絲!$B$4:$U$4,斷絲!$B$39:$U$39)))</f>
        <v/>
      </c>
      <c r="N44" s="89">
        <f>IF(G44=0,0,AFK!DR$41/G44)</f>
        <v>0</v>
      </c>
      <c r="O44" s="168"/>
      <c r="P44" s="1140"/>
      <c r="Q44" s="82"/>
      <c r="R44" s="115">
        <f>AFK!DT$3</f>
        <v>0</v>
      </c>
      <c r="S44" s="244"/>
      <c r="U44" s="465" t="str">
        <f>IF(ISNA(HLOOKUP(A44,IAD!$6:$10,5,0)),"",(HLOOKUP(A44,IAD!$6:$10,5,0)))</f>
        <v/>
      </c>
      <c r="Z44" s="690"/>
    </row>
    <row r="45" spans="1:26" ht="19.5" hidden="1" customHeight="1">
      <c r="A45" s="73">
        <f>AFK!DU$3</f>
        <v>0</v>
      </c>
      <c r="B45" s="94">
        <f>AFK!DU$4</f>
        <v>0</v>
      </c>
      <c r="C45" s="144"/>
      <c r="D45" s="84">
        <f>AFK!DU$37</f>
        <v>0</v>
      </c>
      <c r="E45" s="85">
        <f>AFK!DW$4</f>
        <v>0</v>
      </c>
      <c r="F45" s="86">
        <f>AFK!DV$37</f>
        <v>0</v>
      </c>
      <c r="G45" s="384">
        <f>AFK!DW$37-AFK!DU$61</f>
        <v>0</v>
      </c>
      <c r="H45" s="86" t="e">
        <f t="shared" si="4"/>
        <v>#DIV/0!</v>
      </c>
      <c r="I45" s="87">
        <f t="shared" si="3"/>
        <v>0</v>
      </c>
      <c r="J45" s="88">
        <f>AFK!DU$40/100</f>
        <v>0</v>
      </c>
      <c r="K45" s="89">
        <f>IF(G45=0,0,(AFK!DU$38-AFK!DU$60-AFK!DV$60)/G45)</f>
        <v>0</v>
      </c>
      <c r="L45" s="90"/>
      <c r="M45" s="90" t="str">
        <f t="array" ref="M45">IF(ISERROR(AVERAGEA(IF(A45=斷絲!$B$4:$U$4,斷絲!$B$39:$U$39))),"",AVERAGEA(IF(A45=斷絲!$B$4:$U$4,斷絲!$B$39:$U$39)))</f>
        <v/>
      </c>
      <c r="N45" s="89">
        <f>IF(G45=0,0,AFK!DU$41/G45)</f>
        <v>0</v>
      </c>
      <c r="O45" s="168"/>
      <c r="P45" s="1140"/>
      <c r="Q45" s="82"/>
      <c r="R45" s="115">
        <f>AFK!DW$3</f>
        <v>0</v>
      </c>
      <c r="S45" s="244"/>
      <c r="U45" s="465" t="str">
        <f>IF(ISNA(HLOOKUP(A45,IAD!$6:$10,5,0)),"",(HLOOKUP(A45,IAD!$6:$10,5,0)))</f>
        <v/>
      </c>
      <c r="Z45" s="690"/>
    </row>
    <row r="46" spans="1:26" ht="19.5" hidden="1" customHeight="1">
      <c r="A46" s="73">
        <f>AFK!DX$3</f>
        <v>0</v>
      </c>
      <c r="B46" s="94">
        <f>AFK!DX$4</f>
        <v>0</v>
      </c>
      <c r="C46" s="144"/>
      <c r="D46" s="84">
        <f>AFK!DX$37</f>
        <v>0</v>
      </c>
      <c r="E46" s="85">
        <f>AFK!DZ$4</f>
        <v>0</v>
      </c>
      <c r="F46" s="86">
        <f>AFK!DY$37</f>
        <v>0</v>
      </c>
      <c r="G46" s="384">
        <f>AFK!DZ$37-AFK!DX$61</f>
        <v>0</v>
      </c>
      <c r="H46" s="86" t="e">
        <f t="shared" si="4"/>
        <v>#DIV/0!</v>
      </c>
      <c r="I46" s="87">
        <f t="shared" si="3"/>
        <v>0</v>
      </c>
      <c r="J46" s="88">
        <f>AFK!DX$40/100</f>
        <v>0</v>
      </c>
      <c r="K46" s="89">
        <f>IF(G46=0,0,(AFK!DX$38-AFK!DX$60-AFK!DY$60)/G46)</f>
        <v>0</v>
      </c>
      <c r="L46" s="90"/>
      <c r="M46" s="90" t="str">
        <f t="array" ref="M46">IF(ISERROR(AVERAGEA(IF(A46=斷絲!$B$4:$U$4,斷絲!$B$39:$U$39))),"",AVERAGEA(IF(A46=斷絲!$B$4:$U$4,斷絲!$B$39:$U$39)))</f>
        <v/>
      </c>
      <c r="N46" s="89">
        <f>IF(G46=0,0,AFK!DX$41/G46)</f>
        <v>0</v>
      </c>
      <c r="O46" s="168"/>
      <c r="P46" s="1140"/>
      <c r="Q46" s="82"/>
      <c r="R46" s="115">
        <f>AFK!DZ$3</f>
        <v>0</v>
      </c>
      <c r="S46" s="244"/>
      <c r="U46" s="465" t="str">
        <f>IF(ISNA(HLOOKUP(A46,IAD!$6:$10,5,0)),"",(HLOOKUP(A46,IAD!$6:$10,5,0)))</f>
        <v/>
      </c>
      <c r="Z46" s="690"/>
    </row>
    <row r="47" spans="1:26" ht="19.5" hidden="1" customHeight="1">
      <c r="A47" s="73">
        <f>AFK!EA$3</f>
        <v>0</v>
      </c>
      <c r="B47" s="94">
        <f>AFK!EA$4</f>
        <v>0</v>
      </c>
      <c r="C47" s="144"/>
      <c r="D47" s="84">
        <f>AFK!EA$37</f>
        <v>0</v>
      </c>
      <c r="E47" s="85">
        <f>AFK!EC$4</f>
        <v>0</v>
      </c>
      <c r="F47" s="86">
        <f>AFK!EB$37</f>
        <v>0</v>
      </c>
      <c r="G47" s="384">
        <f>AFK!EC$37-AFK!EA$61</f>
        <v>0</v>
      </c>
      <c r="H47" s="86" t="e">
        <f t="shared" si="4"/>
        <v>#DIV/0!</v>
      </c>
      <c r="I47" s="87">
        <f t="shared" si="3"/>
        <v>0</v>
      </c>
      <c r="J47" s="88">
        <f>AFK!EA$40/100</f>
        <v>0</v>
      </c>
      <c r="K47" s="89">
        <f>IF(G47=0,0,(AFK!EA$38-AFK!EA$60-AFK!EB$60)/G47)</f>
        <v>0</v>
      </c>
      <c r="L47" s="90"/>
      <c r="M47" s="90" t="str">
        <f t="array" ref="M47">IF(ISERROR(AVERAGEA(IF(A47=斷絲!$B$4:$U$4,斷絲!$B$39:$U$39))),"",AVERAGEA(IF(A47=斷絲!$B$4:$U$4,斷絲!$B$39:$U$39)))</f>
        <v/>
      </c>
      <c r="N47" s="89">
        <f>IF(G47=0,0,AFK!EA$41/G47)</f>
        <v>0</v>
      </c>
      <c r="O47" s="168"/>
      <c r="P47" s="1140"/>
      <c r="Q47" s="82"/>
      <c r="R47" s="115">
        <f>AFK!EC$3</f>
        <v>0</v>
      </c>
      <c r="S47" s="244"/>
      <c r="U47" s="465" t="str">
        <f>IF(ISNA(HLOOKUP(A47,IAD!$6:$10,5,0)),"",(HLOOKUP(A47,IAD!$6:$10,5,0)))</f>
        <v/>
      </c>
      <c r="Z47" s="690"/>
    </row>
    <row r="48" spans="1:26" ht="19.5" hidden="1" customHeight="1">
      <c r="A48" s="73">
        <f>AFK!ED$3</f>
        <v>0</v>
      </c>
      <c r="B48" s="94">
        <f>AFK!ED$4</f>
        <v>0</v>
      </c>
      <c r="C48" s="144"/>
      <c r="D48" s="84">
        <f>AFK!ED$37</f>
        <v>0</v>
      </c>
      <c r="E48" s="85">
        <f>AFK!EF$4</f>
        <v>0</v>
      </c>
      <c r="F48" s="86">
        <f>AFK!EE$37</f>
        <v>0</v>
      </c>
      <c r="G48" s="384">
        <f>AFK!EF$37-AFK!ED$61</f>
        <v>0</v>
      </c>
      <c r="H48" s="86" t="e">
        <f t="shared" si="4"/>
        <v>#DIV/0!</v>
      </c>
      <c r="I48" s="87">
        <f t="shared" si="3"/>
        <v>0</v>
      </c>
      <c r="J48" s="88">
        <f>AFK!ED$40/100</f>
        <v>0</v>
      </c>
      <c r="K48" s="89">
        <f>IF(G48=0,0,(AFK!ED$38-AFK!ED$60-AFK!EE$60)/G48)</f>
        <v>0</v>
      </c>
      <c r="L48" s="90"/>
      <c r="M48" s="90" t="str">
        <f t="array" ref="M48">IF(ISERROR(AVERAGEA(IF(A48=斷絲!$B$4:$U$4,斷絲!$B$39:$U$39))),"",AVERAGEA(IF(A48=斷絲!$B$4:$U$4,斷絲!$B$39:$U$39)))</f>
        <v/>
      </c>
      <c r="N48" s="89">
        <f>IF(G48=0,0,AFK!ED$41/G48)</f>
        <v>0</v>
      </c>
      <c r="O48" s="168"/>
      <c r="P48" s="1140"/>
      <c r="Q48" s="82"/>
      <c r="R48" s="115">
        <f>AFK!EF$3</f>
        <v>0</v>
      </c>
      <c r="S48" s="244"/>
      <c r="U48" s="465" t="str">
        <f>IF(ISNA(HLOOKUP(A48,IAD!$6:$10,5,0)),"",(HLOOKUP(A48,IAD!$6:$10,5,0)))</f>
        <v/>
      </c>
      <c r="Z48" s="690"/>
    </row>
    <row r="49" spans="1:26" ht="19.5" hidden="1" customHeight="1">
      <c r="A49" s="73">
        <f>AFK!EG$3</f>
        <v>0</v>
      </c>
      <c r="B49" s="94">
        <f>AFK!EG$4</f>
        <v>0</v>
      </c>
      <c r="C49" s="144"/>
      <c r="D49" s="84">
        <f>AFK!EG$37</f>
        <v>0</v>
      </c>
      <c r="E49" s="85">
        <f>AFK!EI$4</f>
        <v>0</v>
      </c>
      <c r="F49" s="86">
        <f>AFK!EH$37</f>
        <v>0</v>
      </c>
      <c r="G49" s="384">
        <f>AFK!EI$37-AFK!EG$61</f>
        <v>0</v>
      </c>
      <c r="H49" s="86" t="e">
        <f t="shared" si="4"/>
        <v>#DIV/0!</v>
      </c>
      <c r="I49" s="87">
        <f t="shared" si="3"/>
        <v>0</v>
      </c>
      <c r="J49" s="88">
        <f>AFK!EG$40/100</f>
        <v>0</v>
      </c>
      <c r="K49" s="89">
        <f>IF(G49=0,0,(AFK!EG$38-AFK!EG$60-AFK!EH$60)/G49)</f>
        <v>0</v>
      </c>
      <c r="L49" s="90"/>
      <c r="M49" s="90" t="str">
        <f t="array" ref="M49">IF(ISERROR(AVERAGEA(IF(A49=斷絲!$B$4:$U$4,斷絲!$B$39:$U$39))),"",AVERAGEA(IF(A49=斷絲!$B$4:$U$4,斷絲!$B$39:$U$39)))</f>
        <v/>
      </c>
      <c r="N49" s="89">
        <f>IF(G49=0,0,AFK!EG$41/G49)</f>
        <v>0</v>
      </c>
      <c r="O49" s="168"/>
      <c r="P49" s="1140"/>
      <c r="Q49" s="82"/>
      <c r="R49" s="115">
        <f>AFK!EI$3</f>
        <v>0</v>
      </c>
      <c r="S49" s="244"/>
      <c r="U49" s="465" t="str">
        <f>IF(ISNA(HLOOKUP(A49,IAD!$6:$10,5,0)),"",(HLOOKUP(A49,IAD!$6:$10,5,0)))</f>
        <v/>
      </c>
      <c r="Z49" s="690"/>
    </row>
    <row r="50" spans="1:26" ht="19.5" hidden="1" customHeight="1">
      <c r="A50" s="73">
        <f>AFK!EJ$3</f>
        <v>0</v>
      </c>
      <c r="B50" s="94">
        <f>AFK!EJ$4</f>
        <v>0</v>
      </c>
      <c r="C50" s="144"/>
      <c r="D50" s="84">
        <f>AFK!EJ$37</f>
        <v>0</v>
      </c>
      <c r="E50" s="85">
        <f>AFK!EL$4</f>
        <v>0</v>
      </c>
      <c r="F50" s="86">
        <f>AFK!EK$37</f>
        <v>0</v>
      </c>
      <c r="G50" s="384">
        <f>AFK!EL$37-AFK!EJ$61</f>
        <v>0</v>
      </c>
      <c r="H50" s="86" t="e">
        <f t="shared" si="4"/>
        <v>#DIV/0!</v>
      </c>
      <c r="I50" s="87">
        <f t="shared" si="3"/>
        <v>0</v>
      </c>
      <c r="J50" s="88">
        <f>AFK!EJ$40/100</f>
        <v>0</v>
      </c>
      <c r="K50" s="89">
        <f>IF(G50=0,0,(AFK!EJ$38-AFK!EJ$60-AFK!EK$60)/G50)</f>
        <v>0</v>
      </c>
      <c r="L50" s="90"/>
      <c r="M50" s="90" t="str">
        <f t="array" ref="M50">IF(ISERROR(AVERAGEA(IF(A50=斷絲!$B$4:$U$4,斷絲!$B$39:$U$39))),"",AVERAGEA(IF(A50=斷絲!$B$4:$U$4,斷絲!$B$39:$U$39)))</f>
        <v/>
      </c>
      <c r="N50" s="89">
        <f>IF(G50=0,0,AFK!EJ$41/G50)</f>
        <v>0</v>
      </c>
      <c r="O50" s="168"/>
      <c r="P50" s="1140"/>
      <c r="Q50" s="82"/>
      <c r="R50" s="115">
        <f>AFK!EL$3</f>
        <v>0</v>
      </c>
      <c r="S50" s="244"/>
      <c r="U50" s="465" t="str">
        <f>IF(ISNA(HLOOKUP(A50,IAD!$6:$10,5,0)),"",(HLOOKUP(A50,IAD!$6:$10,5,0)))</f>
        <v/>
      </c>
      <c r="Z50" s="690"/>
    </row>
    <row r="51" spans="1:26" ht="19.5" hidden="1" customHeight="1">
      <c r="A51" s="73">
        <f>AFK!EM$3</f>
        <v>0</v>
      </c>
      <c r="B51" s="94">
        <f>AFK!EM$4</f>
        <v>0</v>
      </c>
      <c r="C51" s="144"/>
      <c r="D51" s="84">
        <f>AFK!EM$37</f>
        <v>0</v>
      </c>
      <c r="E51" s="85">
        <f>AFK!EO$4</f>
        <v>0</v>
      </c>
      <c r="F51" s="86">
        <f>AFK!EN$37</f>
        <v>0</v>
      </c>
      <c r="G51" s="384">
        <f>AFK!EO$37-AFK!EM$61</f>
        <v>0</v>
      </c>
      <c r="H51" s="86" t="e">
        <f t="shared" si="4"/>
        <v>#DIV/0!</v>
      </c>
      <c r="I51" s="87">
        <f t="shared" si="3"/>
        <v>0</v>
      </c>
      <c r="J51" s="88">
        <f>AFK!EM$40/100</f>
        <v>0</v>
      </c>
      <c r="K51" s="89">
        <f>IF(G51=0,0,(AFK!EM$38-AFK!EM$60-AFK!EN$60)/G51)</f>
        <v>0</v>
      </c>
      <c r="L51" s="90"/>
      <c r="M51" s="90" t="str">
        <f t="array" ref="M51">IF(ISERROR(AVERAGEA(IF(A51=斷絲!$B$4:$U$4,斷絲!$B$39:$U$39))),"",AVERAGEA(IF(A51=斷絲!$B$4:$U$4,斷絲!$B$39:$U$39)))</f>
        <v/>
      </c>
      <c r="N51" s="89">
        <f>IF(G51=0,0,AFK!EM$41/G51)</f>
        <v>0</v>
      </c>
      <c r="O51" s="168"/>
      <c r="P51" s="1140"/>
      <c r="Q51" s="82"/>
      <c r="R51" s="115">
        <f>AFK!EO$3</f>
        <v>0</v>
      </c>
      <c r="S51" s="244"/>
      <c r="U51" s="465" t="str">
        <f>IF(ISNA(HLOOKUP(A51,IAD!$6:$10,5,0)),"",(HLOOKUP(A51,IAD!$6:$10,5,0)))</f>
        <v/>
      </c>
      <c r="Z51" s="690"/>
    </row>
    <row r="52" spans="1:26" ht="19.5" hidden="1" customHeight="1">
      <c r="A52" s="73">
        <f>AFK!EP$3</f>
        <v>0</v>
      </c>
      <c r="B52" s="94">
        <f>AFK!EP$4</f>
        <v>0</v>
      </c>
      <c r="C52" s="144"/>
      <c r="D52" s="84">
        <f>AFK!EP$37</f>
        <v>0</v>
      </c>
      <c r="E52" s="85">
        <f>AFK!ER$4</f>
        <v>0</v>
      </c>
      <c r="F52" s="86">
        <f>AFK!EQ$37</f>
        <v>0</v>
      </c>
      <c r="G52" s="384">
        <f>AFK!ER$37-AFK!EP$61</f>
        <v>0</v>
      </c>
      <c r="H52" s="86" t="e">
        <f t="shared" si="4"/>
        <v>#DIV/0!</v>
      </c>
      <c r="I52" s="87">
        <f t="shared" si="3"/>
        <v>0</v>
      </c>
      <c r="J52" s="88">
        <f>AFK!EP$40/100</f>
        <v>0</v>
      </c>
      <c r="K52" s="89">
        <f>IF(G52=0,0,(AFK!EP$38-AFK!EP$60-AFK!EQ$60)/G52)</f>
        <v>0</v>
      </c>
      <c r="L52" s="90"/>
      <c r="M52" s="90" t="str">
        <f t="array" ref="M52">IF(ISERROR(AVERAGEA(IF(A52=斷絲!$B$4:$U$4,斷絲!$B$39:$U$39))),"",AVERAGEA(IF(A52=斷絲!$B$4:$U$4,斷絲!$B$39:$U$39)))</f>
        <v/>
      </c>
      <c r="N52" s="89">
        <f>IF(G52=0,0,AFK!EP$41/G52)</f>
        <v>0</v>
      </c>
      <c r="O52" s="168"/>
      <c r="P52" s="1140"/>
      <c r="Q52" s="82"/>
      <c r="R52" s="115">
        <f>AFK!ER$3</f>
        <v>0</v>
      </c>
      <c r="S52" s="244"/>
      <c r="U52" s="465" t="str">
        <f>IF(ISNA(HLOOKUP(A52,IAD!$6:$10,5,0)),"",(HLOOKUP(A52,IAD!$6:$10,5,0)))</f>
        <v/>
      </c>
      <c r="Z52" s="690"/>
    </row>
    <row r="53" spans="1:26" ht="19.5" hidden="1" customHeight="1">
      <c r="A53" s="73">
        <f>AFK!ES$3</f>
        <v>0</v>
      </c>
      <c r="B53" s="94">
        <f>AFK!ES$4</f>
        <v>0</v>
      </c>
      <c r="C53" s="144"/>
      <c r="D53" s="84">
        <f>AFK!ES$37</f>
        <v>0</v>
      </c>
      <c r="E53" s="85">
        <f>AFK!EU$4</f>
        <v>0</v>
      </c>
      <c r="F53" s="86">
        <f>AFK!ET$37</f>
        <v>0</v>
      </c>
      <c r="G53" s="384">
        <f>AFK!EU$37-AFK!ES$61</f>
        <v>0</v>
      </c>
      <c r="H53" s="86" t="e">
        <f t="shared" si="4"/>
        <v>#DIV/0!</v>
      </c>
      <c r="I53" s="87">
        <f t="shared" si="3"/>
        <v>0</v>
      </c>
      <c r="J53" s="88">
        <f>AFK!ES$40/100</f>
        <v>0</v>
      </c>
      <c r="K53" s="89">
        <f>IF(G53=0,0,(AFK!ES$38-AFK!ES$60-AFK!ET$60)/G53)</f>
        <v>0</v>
      </c>
      <c r="L53" s="90"/>
      <c r="M53" s="90" t="str">
        <f t="array" ref="M53">IF(ISERROR(AVERAGEA(IF(A53=斷絲!$B$4:$U$4,斷絲!$B$39:$U$39))),"",AVERAGEA(IF(A53=斷絲!$B$4:$U$4,斷絲!$B$39:$U$39)))</f>
        <v/>
      </c>
      <c r="N53" s="89">
        <f>IF(G53=0,0,AFK!ES$41/G53)</f>
        <v>0</v>
      </c>
      <c r="O53" s="168"/>
      <c r="P53" s="1140"/>
      <c r="Q53" s="82"/>
      <c r="R53" s="115">
        <f>AFK!EU$3</f>
        <v>0</v>
      </c>
      <c r="S53" s="244"/>
      <c r="U53" s="465" t="str">
        <f>IF(ISNA(HLOOKUP(A53,IAD!$6:$10,5,0)),"",(HLOOKUP(A53,IAD!$6:$10,5,0)))</f>
        <v/>
      </c>
      <c r="Z53" s="690"/>
    </row>
    <row r="54" spans="1:26" ht="19.5" hidden="1" customHeight="1">
      <c r="A54" s="73">
        <f>AFK!EV$3</f>
        <v>0</v>
      </c>
      <c r="B54" s="94">
        <f>AFK!EV$4</f>
        <v>0</v>
      </c>
      <c r="C54" s="144"/>
      <c r="D54" s="84">
        <f>AFK!EV$37</f>
        <v>0</v>
      </c>
      <c r="E54" s="85">
        <f>AFK!EX$4</f>
        <v>0</v>
      </c>
      <c r="F54" s="86">
        <f>AFK!EW$37</f>
        <v>0</v>
      </c>
      <c r="G54" s="384">
        <f>AFK!EX$37-AFK!EV$61</f>
        <v>0</v>
      </c>
      <c r="H54" s="86" t="e">
        <f t="shared" si="4"/>
        <v>#DIV/0!</v>
      </c>
      <c r="I54" s="87">
        <f t="shared" si="3"/>
        <v>0</v>
      </c>
      <c r="J54" s="88">
        <f>AFK!EV$40/100</f>
        <v>0</v>
      </c>
      <c r="K54" s="89">
        <f>IF(G54=0,0,(AFK!EV$38-AFK!EV$60-AFK!EW$60)/G54)</f>
        <v>0</v>
      </c>
      <c r="L54" s="90"/>
      <c r="M54" s="90" t="str">
        <f t="array" ref="M54">IF(ISERROR(AVERAGEA(IF(A54=斷絲!$B$4:$U$4,斷絲!$B$39:$U$39))),"",AVERAGEA(IF(A54=斷絲!$B$4:$U$4,斷絲!$B$39:$U$39)))</f>
        <v/>
      </c>
      <c r="N54" s="89">
        <f>IF(G54=0,0,AFK!EV$41/G54)</f>
        <v>0</v>
      </c>
      <c r="O54" s="168"/>
      <c r="P54" s="1140"/>
      <c r="Q54" s="82"/>
      <c r="R54" s="115">
        <f>AFK!EX$3</f>
        <v>0</v>
      </c>
      <c r="S54" s="244"/>
      <c r="U54" s="465" t="str">
        <f>IF(ISNA(HLOOKUP(A54,IAD!$6:$10,5,0)),"",(HLOOKUP(A54,IAD!$6:$10,5,0)))</f>
        <v/>
      </c>
      <c r="Z54" s="690"/>
    </row>
    <row r="55" spans="1:26" ht="19.5" hidden="1" customHeight="1">
      <c r="A55" s="73">
        <f>AFK!EY$3</f>
        <v>0</v>
      </c>
      <c r="B55" s="94">
        <f>AFK!EY$4</f>
        <v>0</v>
      </c>
      <c r="C55" s="144"/>
      <c r="D55" s="84">
        <f>AFK!EY$37</f>
        <v>0</v>
      </c>
      <c r="E55" s="85">
        <f>AFK!FA$4</f>
        <v>0</v>
      </c>
      <c r="F55" s="86">
        <f>AFK!EZ$37</f>
        <v>0</v>
      </c>
      <c r="G55" s="384">
        <f>AFK!FA$37-AFK!EY$61</f>
        <v>0</v>
      </c>
      <c r="H55" s="86" t="e">
        <f t="shared" si="4"/>
        <v>#DIV/0!</v>
      </c>
      <c r="I55" s="87">
        <f t="shared" si="3"/>
        <v>0</v>
      </c>
      <c r="J55" s="88">
        <f>AFK!EY$40/100</f>
        <v>0</v>
      </c>
      <c r="K55" s="89">
        <f>IF(G55=0,0,(AFK!EY$38-AFK!EY$60-AFK!EZ$60)/G55)</f>
        <v>0</v>
      </c>
      <c r="L55" s="90"/>
      <c r="M55" s="90" t="str">
        <f t="array" ref="M55">IF(ISERROR(AVERAGEA(IF(A55=斷絲!$B$4:$U$4,斷絲!$B$39:$U$39))),"",AVERAGEA(IF(A55=斷絲!$B$4:$U$4,斷絲!$B$39:$U$39)))</f>
        <v/>
      </c>
      <c r="N55" s="89">
        <f>IF(G55=0,0,AFK!EY$41/G55)</f>
        <v>0</v>
      </c>
      <c r="O55" s="168"/>
      <c r="P55" s="1140"/>
      <c r="Q55" s="82"/>
      <c r="R55" s="115">
        <f>AFK!FA$3</f>
        <v>0</v>
      </c>
      <c r="S55" s="244"/>
      <c r="U55" s="465" t="str">
        <f>IF(ISNA(HLOOKUP(A55,IAD!$6:$10,5,0)),"",(HLOOKUP(A55,IAD!$6:$10,5,0)))</f>
        <v/>
      </c>
      <c r="Z55" s="690"/>
    </row>
    <row r="56" spans="1:26" ht="19.5" hidden="1" customHeight="1">
      <c r="A56" s="73">
        <f>AFK!FB$3</f>
        <v>0</v>
      </c>
      <c r="B56" s="94">
        <f>AFK!FB$4</f>
        <v>0</v>
      </c>
      <c r="C56" s="144"/>
      <c r="D56" s="84">
        <f>AFK!FB$37</f>
        <v>0</v>
      </c>
      <c r="E56" s="85">
        <f>AFK!FD$4</f>
        <v>0</v>
      </c>
      <c r="F56" s="86">
        <f>AFK!FC$37</f>
        <v>0</v>
      </c>
      <c r="G56" s="384">
        <f>AFK!FD$37-AFK!FB$61</f>
        <v>0</v>
      </c>
      <c r="H56" s="86" t="e">
        <f t="shared" si="4"/>
        <v>#DIV/0!</v>
      </c>
      <c r="I56" s="87">
        <f t="shared" si="3"/>
        <v>0</v>
      </c>
      <c r="J56" s="88">
        <f>AFK!FB$40/100</f>
        <v>0</v>
      </c>
      <c r="K56" s="89">
        <f>IF(G56=0,0,(AFK!FB$38-AFK!FB$60-AFK!FC$60)/G56)</f>
        <v>0</v>
      </c>
      <c r="L56" s="90"/>
      <c r="M56" s="90" t="str">
        <f t="array" ref="M56">IF(ISERROR(AVERAGEA(IF(A56=斷絲!$B$4:$U$4,斷絲!$B$39:$U$39))),"",AVERAGEA(IF(A56=斷絲!$B$4:$U$4,斷絲!$B$39:$U$39)))</f>
        <v/>
      </c>
      <c r="N56" s="89">
        <f>IF(G56=0,0,AFK!FB$41/G56)</f>
        <v>0</v>
      </c>
      <c r="O56" s="168"/>
      <c r="P56" s="1140"/>
      <c r="Q56" s="82"/>
      <c r="R56" s="115">
        <f>AFK!FD$3</f>
        <v>0</v>
      </c>
      <c r="S56" s="244"/>
      <c r="U56" s="465" t="str">
        <f>IF(ISNA(HLOOKUP(A56,IAD!$6:$10,5,0)),"",(HLOOKUP(A56,IAD!$6:$10,5,0)))</f>
        <v/>
      </c>
      <c r="Z56" s="690"/>
    </row>
    <row r="57" spans="1:26" ht="19.5" hidden="1" customHeight="1">
      <c r="A57" s="72">
        <f>AFK!FE$3</f>
        <v>0</v>
      </c>
      <c r="B57" s="83">
        <f>AFK!FE$4</f>
        <v>0</v>
      </c>
      <c r="C57" s="144"/>
      <c r="D57" s="84">
        <f>AFK!FE$37</f>
        <v>0</v>
      </c>
      <c r="E57" s="85">
        <f>AFK!FG$4</f>
        <v>0</v>
      </c>
      <c r="F57" s="86">
        <f>AFK!FF$37</f>
        <v>0</v>
      </c>
      <c r="G57" s="384">
        <f>AFK!FG$37-AFK!FE$61</f>
        <v>0</v>
      </c>
      <c r="H57" s="86" t="e">
        <f t="shared" si="4"/>
        <v>#DIV/0!</v>
      </c>
      <c r="I57" s="87">
        <f t="shared" si="3"/>
        <v>0</v>
      </c>
      <c r="J57" s="88">
        <f>AFK!FE$40/100</f>
        <v>0</v>
      </c>
      <c r="K57" s="89">
        <f>IF(G57=0,0,(AFK!FE$38-AFK!FE$60-AFK!FF$60)/G57)</f>
        <v>0</v>
      </c>
      <c r="L57" s="90"/>
      <c r="M57" s="90" t="str">
        <f t="array" ref="M57">IF(ISERROR(AVERAGEA(IF(A57=斷絲!$B$4:$U$4,斷絲!$B$39:$U$39))),"",AVERAGEA(IF(A57=斷絲!$B$4:$U$4,斷絲!$B$39:$U$39)))</f>
        <v/>
      </c>
      <c r="N57" s="89">
        <f>IF(G57=0,0,AFK!FE$41/G57)</f>
        <v>0</v>
      </c>
      <c r="O57" s="168"/>
      <c r="P57" s="1140"/>
      <c r="Q57" s="82"/>
      <c r="R57" s="115">
        <f>AFK!FG$3</f>
        <v>0</v>
      </c>
      <c r="S57" s="244"/>
      <c r="U57" s="465" t="str">
        <f>IF(ISNA(HLOOKUP(A57,IAD!$6:$10,5,0)),"",(HLOOKUP(A57,IAD!$6:$10,5,0)))</f>
        <v/>
      </c>
      <c r="Z57" s="690"/>
    </row>
    <row r="58" spans="1:26" ht="19.5" hidden="1" customHeight="1">
      <c r="A58" s="72">
        <f>AFK!FH$3</f>
        <v>0</v>
      </c>
      <c r="B58" s="83">
        <f>AFK!FH$4</f>
        <v>0</v>
      </c>
      <c r="C58" s="144"/>
      <c r="D58" s="84">
        <f>AFK!FH$37</f>
        <v>0</v>
      </c>
      <c r="E58" s="85">
        <f>AFK!FJ$4</f>
        <v>0</v>
      </c>
      <c r="F58" s="86">
        <f>AFK!FI$37</f>
        <v>0</v>
      </c>
      <c r="G58" s="384">
        <f>AFK!FJ$37-AFK!FH$61</f>
        <v>0</v>
      </c>
      <c r="H58" s="86" t="e">
        <f t="shared" si="4"/>
        <v>#DIV/0!</v>
      </c>
      <c r="I58" s="87">
        <f t="shared" si="3"/>
        <v>0</v>
      </c>
      <c r="J58" s="88">
        <f>AFK!FH$40/100</f>
        <v>0</v>
      </c>
      <c r="K58" s="89">
        <f>IF(G58=0,0,(AFK!FH$38-AFK!FH$60-AFK!FI$60)/G58)</f>
        <v>0</v>
      </c>
      <c r="L58" s="90"/>
      <c r="M58" s="90" t="str">
        <f t="array" ref="M58">IF(ISERROR(AVERAGEA(IF(A58=斷絲!$B$4:$U$4,斷絲!$B$39:$U$39))),"",AVERAGEA(IF(A58=斷絲!$B$4:$U$4,斷絲!$B$39:$U$39)))</f>
        <v/>
      </c>
      <c r="N58" s="89">
        <f>IF(G58=0,0,AFK!FH$41/G58)</f>
        <v>0</v>
      </c>
      <c r="O58" s="168"/>
      <c r="P58" s="1140"/>
      <c r="Q58" s="82"/>
      <c r="R58" s="115">
        <f>AFK!FJ$3</f>
        <v>0</v>
      </c>
      <c r="S58" s="244"/>
      <c r="U58" s="465" t="str">
        <f>IF(ISNA(HLOOKUP(A58,IAD!$6:$10,5,0)),"",(HLOOKUP(A58,IAD!$6:$10,5,0)))</f>
        <v/>
      </c>
      <c r="Z58" s="690"/>
    </row>
    <row r="59" spans="1:26" ht="19.5" hidden="1" customHeight="1">
      <c r="A59" s="72">
        <f>AFK!FK$3</f>
        <v>0</v>
      </c>
      <c r="B59" s="83">
        <f>AFK!FK$4</f>
        <v>0</v>
      </c>
      <c r="C59" s="144"/>
      <c r="D59" s="84">
        <f>AFK!FK$37</f>
        <v>0</v>
      </c>
      <c r="E59" s="85">
        <f>AFK!FM$4</f>
        <v>0</v>
      </c>
      <c r="F59" s="86">
        <f>AFK!FL$37</f>
        <v>0</v>
      </c>
      <c r="G59" s="384">
        <f>AFK!FM$37-AFK!FK$61</f>
        <v>0</v>
      </c>
      <c r="H59" s="86" t="e">
        <f t="shared" si="4"/>
        <v>#DIV/0!</v>
      </c>
      <c r="I59" s="87">
        <f t="shared" si="3"/>
        <v>0</v>
      </c>
      <c r="J59" s="88">
        <f>AFK!FK$40/100</f>
        <v>0</v>
      </c>
      <c r="K59" s="89">
        <f>IF(G59=0,0,(AFK!FK$38-AFK!FK$60-AFK!FL$60)/G59)</f>
        <v>0</v>
      </c>
      <c r="L59" s="90"/>
      <c r="M59" s="90" t="str">
        <f t="array" ref="M59">IF(ISERROR(AVERAGEA(IF(A59=斷絲!$B$4:$U$4,斷絲!$B$39:$U$39))),"",AVERAGEA(IF(A59=斷絲!$B$4:$U$4,斷絲!$B$39:$U$39)))</f>
        <v/>
      </c>
      <c r="N59" s="89">
        <f>IF(G59=0,0,AFK!FK$41/G59)</f>
        <v>0</v>
      </c>
      <c r="O59" s="168"/>
      <c r="P59" s="1140"/>
      <c r="Q59" s="82"/>
      <c r="R59" s="115">
        <f>AFK!FM$3</f>
        <v>0</v>
      </c>
      <c r="S59" s="244"/>
      <c r="U59" s="465" t="str">
        <f>IF(ISNA(HLOOKUP(A59,IAD!$6:$10,5,0)),"",(HLOOKUP(A59,IAD!$6:$10,5,0)))</f>
        <v/>
      </c>
      <c r="Z59" s="690"/>
    </row>
    <row r="60" spans="1:26" hidden="1">
      <c r="A60" s="72">
        <f>AFK!FN$3</f>
        <v>0</v>
      </c>
      <c r="B60" s="83">
        <f>AFK!FN$4</f>
        <v>0</v>
      </c>
      <c r="C60" s="144"/>
      <c r="D60" s="84">
        <f>AFK!FN$37</f>
        <v>0</v>
      </c>
      <c r="E60" s="85">
        <f>AFK!FP$4</f>
        <v>0</v>
      </c>
      <c r="F60" s="86">
        <f>AFK!FO$37</f>
        <v>0</v>
      </c>
      <c r="G60" s="384">
        <f>AFK!FP$37-AFK!FN$61</f>
        <v>0</v>
      </c>
      <c r="H60" s="86" t="e">
        <f t="shared" si="4"/>
        <v>#DIV/0!</v>
      </c>
      <c r="I60" s="87">
        <f t="shared" si="3"/>
        <v>0</v>
      </c>
      <c r="J60" s="88">
        <f>AFK!FN$40/100</f>
        <v>0</v>
      </c>
      <c r="K60" s="89">
        <f>IF(G60=0,0,(AFK!FN$38-AFK!FN$60-AFK!FO$60)/G60)</f>
        <v>0</v>
      </c>
      <c r="L60" s="90"/>
      <c r="M60" s="90" t="str">
        <f t="array" ref="M60">IF(ISERROR(AVERAGEA(IF(A60=斷絲!$B$4:$U$4,斷絲!$B$39:$U$39))),"",AVERAGEA(IF(A60=斷絲!$B$4:$U$4,斷絲!$B$39:$U$39)))</f>
        <v/>
      </c>
      <c r="N60" s="89">
        <f>IF(G60=0,0,AFK!FN$41/G60)</f>
        <v>0</v>
      </c>
      <c r="O60" s="168"/>
      <c r="P60" s="1140"/>
      <c r="Q60" s="82"/>
      <c r="R60" s="115">
        <f>AFK!FP$3</f>
        <v>0</v>
      </c>
      <c r="S60" s="244"/>
      <c r="U60" s="465" t="str">
        <f>IF(ISNA(HLOOKUP(A60,IAD!$6:$10,5,0)),"",(HLOOKUP(A60,IAD!$6:$10,5,0)))</f>
        <v/>
      </c>
      <c r="Z60" s="690"/>
    </row>
    <row r="61" spans="1:26" ht="19.5" hidden="1" customHeight="1">
      <c r="A61" s="72">
        <f>AFK!FQ$3</f>
        <v>0</v>
      </c>
      <c r="B61" s="83">
        <f>AFK!FQ$4</f>
        <v>0</v>
      </c>
      <c r="C61" s="144"/>
      <c r="D61" s="84">
        <f>AFK!FQ$37</f>
        <v>0</v>
      </c>
      <c r="E61" s="85">
        <f>AFK!FS$4</f>
        <v>0</v>
      </c>
      <c r="F61" s="86">
        <f>AFK!FR$37</f>
        <v>0</v>
      </c>
      <c r="G61" s="384">
        <f>AFK!FS$37-AFK!FQ$61</f>
        <v>0</v>
      </c>
      <c r="H61" s="86" t="e">
        <f t="shared" si="4"/>
        <v>#DIV/0!</v>
      </c>
      <c r="I61" s="87">
        <f t="shared" si="3"/>
        <v>0</v>
      </c>
      <c r="J61" s="88">
        <f>AFK!FQ$40/100</f>
        <v>0</v>
      </c>
      <c r="K61" s="89">
        <f>IF(G61=0,0,(AFK!FQ$38-AFK!FQ$60-AFK!FR$60)/G61)</f>
        <v>0</v>
      </c>
      <c r="L61" s="90"/>
      <c r="M61" s="90" t="str">
        <f t="array" ref="M61">IF(ISERROR(AVERAGEA(IF(A61=斷絲!$B$4:$U$4,斷絲!$B$39:$U$39))),"",AVERAGEA(IF(A61=斷絲!$B$4:$U$4,斷絲!$B$39:$U$39)))</f>
        <v/>
      </c>
      <c r="N61" s="89">
        <f>IF(G61=0,0,AFK!FQ$41/G61)</f>
        <v>0</v>
      </c>
      <c r="O61" s="168"/>
      <c r="P61" s="1141"/>
      <c r="Q61" s="82"/>
      <c r="R61" s="115">
        <f>AFK!FS$3</f>
        <v>0</v>
      </c>
      <c r="S61" s="244"/>
      <c r="U61" s="465" t="str">
        <f>IF(ISNA(HLOOKUP(A61,IAD!$6:$10,5,0)),"",(HLOOKUP(A61,IAD!$6:$10,5,0)))</f>
        <v/>
      </c>
      <c r="Z61" s="690"/>
    </row>
    <row r="62" spans="1:26" ht="19.5" hidden="1" customHeight="1">
      <c r="A62" s="72">
        <f>AFK!FT$3</f>
        <v>0</v>
      </c>
      <c r="B62" s="83">
        <f>AFK!FT$4</f>
        <v>0</v>
      </c>
      <c r="C62" s="144"/>
      <c r="D62" s="84">
        <f>AFK!FT$37</f>
        <v>0</v>
      </c>
      <c r="E62" s="85">
        <f>AFK!FV$4</f>
        <v>0</v>
      </c>
      <c r="F62" s="86">
        <f>AFK!FU$37</f>
        <v>0</v>
      </c>
      <c r="G62" s="384">
        <f>AFK!FV$37-AFK!FT$61</f>
        <v>0</v>
      </c>
      <c r="H62" s="86" t="e">
        <f>IF(R62="","",(G62*(150/R62)*(900/E62)))</f>
        <v>#DIV/0!</v>
      </c>
      <c r="I62" s="87">
        <f t="shared" ref="I62:I67" si="5">IF(G62=0,0,G62/F62)</f>
        <v>0</v>
      </c>
      <c r="J62" s="88">
        <f>AFK!FT$40/100</f>
        <v>0</v>
      </c>
      <c r="K62" s="89">
        <f>IF(G62=0,0,(AFK!FT$38-AFK!FT$60-AFK!FU$60)/G62)</f>
        <v>0</v>
      </c>
      <c r="L62" s="90"/>
      <c r="M62" s="90" t="str">
        <f t="array" ref="M62">IF(ISERROR(AVERAGEA(IF(A62=斷絲!$B$4:$U$4,斷絲!$B$39:$U$39))),"",AVERAGEA(IF(A62=斷絲!$B$4:$U$4,斷絲!$B$39:$U$39)))</f>
        <v/>
      </c>
      <c r="N62" s="89">
        <f>IF(G62=0,0,AFK!FT$41/G62)</f>
        <v>0</v>
      </c>
      <c r="O62" s="168"/>
      <c r="P62" s="1142"/>
      <c r="Q62" s="82"/>
      <c r="R62" s="115">
        <f>AFK!FV$3</f>
        <v>0</v>
      </c>
      <c r="S62" s="244"/>
      <c r="U62" s="465" t="str">
        <f>IF(ISNA(HLOOKUP(A62,IAD!$6:$10,5,0)),"",(HLOOKUP(A62,IAD!$6:$10,5,0)))</f>
        <v/>
      </c>
      <c r="Z62" s="690"/>
    </row>
    <row r="63" spans="1:26" ht="19.5" hidden="1" customHeight="1">
      <c r="A63" s="73">
        <f>AFK!FW$3</f>
        <v>0</v>
      </c>
      <c r="B63" s="94">
        <f>AFK!FW$4</f>
        <v>0</v>
      </c>
      <c r="C63" s="144"/>
      <c r="D63" s="84">
        <f>AFK!FW$37</f>
        <v>0</v>
      </c>
      <c r="E63" s="85">
        <f>AFK!FY$4</f>
        <v>0</v>
      </c>
      <c r="F63" s="86">
        <f>AFK!FX$37</f>
        <v>0</v>
      </c>
      <c r="G63" s="384">
        <f>AFK!FY$37-AFK!FW$61</f>
        <v>0</v>
      </c>
      <c r="H63" s="86" t="e">
        <f>IF(R63="","",(G63*(150/R63)*(900/E63)))</f>
        <v>#DIV/0!</v>
      </c>
      <c r="I63" s="87">
        <f t="shared" si="5"/>
        <v>0</v>
      </c>
      <c r="J63" s="88">
        <f>AFK!FW$40/100</f>
        <v>0</v>
      </c>
      <c r="K63" s="89">
        <f>IF(G63=0,0,(AFK!FW$38-AFK!FW$60-AFK!FX$60)/G63)</f>
        <v>0</v>
      </c>
      <c r="L63" s="90"/>
      <c r="M63" s="394" t="str">
        <f t="array" ref="M63">IF(ISERROR(AVERAGEA(IF(A63=斷絲!$B$4:$U$4,斷絲!$B$39:$U$39))),"",AVERAGEA(IF(A63=斷絲!$B$4:$U$4,斷絲!$B$39:$U$39)))</f>
        <v/>
      </c>
      <c r="N63" s="395">
        <f>IF(G63=0,0,AFK!FW$41/G63)</f>
        <v>0</v>
      </c>
      <c r="O63" s="168"/>
      <c r="P63" s="1141"/>
      <c r="Q63" s="82"/>
      <c r="R63" s="115">
        <f>AFK!FY$3</f>
        <v>0</v>
      </c>
      <c r="S63" s="244"/>
      <c r="U63" s="465" t="str">
        <f>IF(ISNA(HLOOKUP(A63,IAD!$6:$10,5,0)),"",(HLOOKUP(A63,IAD!$6:$10,5,0)))</f>
        <v/>
      </c>
      <c r="Z63" s="690"/>
    </row>
    <row r="64" spans="1:26" ht="19.5" hidden="1" customHeight="1">
      <c r="A64" s="73">
        <f>AFK!FZ$3</f>
        <v>0</v>
      </c>
      <c r="B64" s="94">
        <f>AFK!FZ$4</f>
        <v>0</v>
      </c>
      <c r="C64" s="144"/>
      <c r="D64" s="84">
        <f>AFK!FZ$37</f>
        <v>0</v>
      </c>
      <c r="E64" s="85">
        <f>AFK!GB$4</f>
        <v>0</v>
      </c>
      <c r="F64" s="86">
        <f>AFK!GA$37</f>
        <v>0</v>
      </c>
      <c r="G64" s="384">
        <f>AFK!GB$37-AFK!FZ$61</f>
        <v>0</v>
      </c>
      <c r="H64" s="86" t="e">
        <f>IF(R64="","",(G64*(150/R64)*(900/E64)))</f>
        <v>#DIV/0!</v>
      </c>
      <c r="I64" s="87">
        <f t="shared" si="5"/>
        <v>0</v>
      </c>
      <c r="J64" s="88">
        <f>AFK!FZ$40/100</f>
        <v>0</v>
      </c>
      <c r="K64" s="89">
        <f>IF(G64=0,0,(AFK!FZ$38-AFK!FZ$60-AFK!GA$60)/G64)</f>
        <v>0</v>
      </c>
      <c r="L64" s="90"/>
      <c r="M64" s="394" t="str">
        <f t="array" ref="M64">IF(ISERROR(AVERAGEA(IF(A64=斷絲!$B$4:$U$4,斷絲!$B$39:$U$39))),"",AVERAGEA(IF(A64=斷絲!$B$4:$U$4,斷絲!$B$39:$U$39)))</f>
        <v/>
      </c>
      <c r="N64" s="395">
        <f>IF(G64=0,0,AFK!FZ$41/G64)</f>
        <v>0</v>
      </c>
      <c r="O64" s="168"/>
      <c r="P64" s="1142"/>
      <c r="Q64" s="82"/>
      <c r="R64" s="115">
        <f>AFK!GB$3</f>
        <v>0</v>
      </c>
      <c r="S64" s="244"/>
      <c r="U64" s="465" t="str">
        <f>IF(ISNA(HLOOKUP(A64,IAD!$6:$10,5,0)),"",(HLOOKUP(A64,IAD!$6:$10,5,0)))</f>
        <v/>
      </c>
      <c r="Z64" s="690"/>
    </row>
    <row r="65" spans="1:26" ht="19.5" hidden="1" customHeight="1">
      <c r="A65" s="73">
        <f>AFK!GC$3</f>
        <v>0</v>
      </c>
      <c r="B65" s="94">
        <f>AFK!GC$4</f>
        <v>0</v>
      </c>
      <c r="C65" s="144"/>
      <c r="D65" s="84">
        <f>AFK!GC$37</f>
        <v>0</v>
      </c>
      <c r="E65" s="85">
        <f>AFK!GE$4</f>
        <v>0</v>
      </c>
      <c r="F65" s="86">
        <f>AFK!GD$37</f>
        <v>0</v>
      </c>
      <c r="G65" s="384">
        <f>AFK!GE$37-AFK!GC$61</f>
        <v>0</v>
      </c>
      <c r="H65" s="86" t="e">
        <f>IF(R65="","",(G65*(150/R65)*(900/E65)))</f>
        <v>#DIV/0!</v>
      </c>
      <c r="I65" s="87">
        <f t="shared" si="5"/>
        <v>0</v>
      </c>
      <c r="J65" s="88">
        <f>AFK!GC$40/100</f>
        <v>0</v>
      </c>
      <c r="K65" s="89">
        <f>IF(G65=0,0,(AFK!GC$38-AFK!GC$60-AFK!GD$60)/G65)</f>
        <v>0</v>
      </c>
      <c r="L65" s="90"/>
      <c r="M65" s="394" t="str">
        <f t="array" ref="M65">IF(ISERROR(AVERAGEA(IF(A65=斷絲!$B$4:$U$4,斷絲!$B$39:$U$39))),"",AVERAGEA(IF(A65=斷絲!$B$4:$U$4,斷絲!$B$39:$U$39)))</f>
        <v/>
      </c>
      <c r="N65" s="395">
        <f>IF(G65=0,0,AFK!GC$41/G65)</f>
        <v>0</v>
      </c>
      <c r="O65" s="168"/>
      <c r="P65" s="1141"/>
      <c r="Q65" s="82"/>
      <c r="R65" s="115">
        <f>AFK!GE$3</f>
        <v>0</v>
      </c>
      <c r="S65" s="244"/>
      <c r="U65" s="465" t="str">
        <f>IF(ISNA(HLOOKUP(A65,IAD!$6:$10,5,0)),"",(HLOOKUP(A65,IAD!$6:$10,5,0)))</f>
        <v/>
      </c>
      <c r="Z65" s="690"/>
    </row>
    <row r="66" spans="1:26" ht="19.5" hidden="1" customHeight="1">
      <c r="A66" s="73">
        <f>AFK!GF$3</f>
        <v>0</v>
      </c>
      <c r="B66" s="94">
        <f>AFK!GF$4</f>
        <v>0</v>
      </c>
      <c r="C66" s="144"/>
      <c r="D66" s="84">
        <f>AFK!GF$37</f>
        <v>0</v>
      </c>
      <c r="E66" s="85">
        <f>AFK!GH$4</f>
        <v>0</v>
      </c>
      <c r="F66" s="86">
        <f>AFK!GG$37</f>
        <v>0</v>
      </c>
      <c r="G66" s="384">
        <f>AFK!GH$37-AFK!GF$61</f>
        <v>0</v>
      </c>
      <c r="H66" s="86" t="e">
        <f>IF(R66="","",(G66*(150/R66)*(900/E66)))</f>
        <v>#DIV/0!</v>
      </c>
      <c r="I66" s="87">
        <f t="shared" si="5"/>
        <v>0</v>
      </c>
      <c r="J66" s="88">
        <f>AFK!GF$40/100</f>
        <v>0</v>
      </c>
      <c r="K66" s="89">
        <f>IF(G66=0,0,(AFK!GF$38-AFK!GF$60-AFK!GG$60)/G66)</f>
        <v>0</v>
      </c>
      <c r="L66" s="90"/>
      <c r="M66" s="394" t="str">
        <f t="array" ref="M66">IF(ISERROR(AVERAGEA(IF(A66=斷絲!$B$4:$U$4,斷絲!$B$39:$U$39))),"",AVERAGEA(IF(A66=斷絲!$B$4:$U$4,斷絲!$B$39:$U$39)))</f>
        <v/>
      </c>
      <c r="N66" s="395">
        <f>IF(G66=0,0,AFK!GF$41/G66)</f>
        <v>0</v>
      </c>
      <c r="O66" s="168"/>
      <c r="P66" s="1140"/>
      <c r="Q66" s="82"/>
      <c r="R66" s="115">
        <f>AFK!GH$3</f>
        <v>0</v>
      </c>
      <c r="S66" s="244"/>
      <c r="U66" s="465" t="str">
        <f>IF(ISNA(HLOOKUP(A66,IAD!$6:$10,5,0)),"",(HLOOKUP(A66,IAD!$6:$10,5,0)))</f>
        <v/>
      </c>
      <c r="Z66" s="690"/>
    </row>
    <row r="67" spans="1:26" ht="19.5" hidden="1" customHeight="1" thickBot="1">
      <c r="A67" s="73">
        <f>AFK!GI$3</f>
        <v>0</v>
      </c>
      <c r="B67" s="94">
        <f>AFK!GI$4</f>
        <v>0</v>
      </c>
      <c r="C67" s="144"/>
      <c r="D67" s="84">
        <f>AFK!GI$37</f>
        <v>0</v>
      </c>
      <c r="E67" s="85">
        <f>AFK!GK$4</f>
        <v>0</v>
      </c>
      <c r="F67" s="86">
        <f>AFK!GJ$37</f>
        <v>0</v>
      </c>
      <c r="G67" s="384">
        <f>AFK!GK$37-AFK!GI$61</f>
        <v>0</v>
      </c>
      <c r="H67" s="86" t="e">
        <f t="shared" si="4"/>
        <v>#DIV/0!</v>
      </c>
      <c r="I67" s="87">
        <f t="shared" si="5"/>
        <v>0</v>
      </c>
      <c r="J67" s="88">
        <f>AFK!GI$40/100</f>
        <v>0</v>
      </c>
      <c r="K67" s="89">
        <f>IF(G67=0,0,(AFK!GI$38-AFK!GI$60-AFK!GJ$60)/G67)</f>
        <v>0</v>
      </c>
      <c r="L67" s="134"/>
      <c r="M67" s="134" t="str">
        <f t="array" ref="M67">IF(ISERROR(AVERAGEA(IF(A67=斷絲!$B$4:$U$4,斷絲!$B$39:$U$39))),"",AVERAGEA(IF(A67=斷絲!$B$4:$U$4,斷絲!$B$39:$U$39)))</f>
        <v/>
      </c>
      <c r="N67" s="89">
        <f>IF(G67=0,0,AFK!GI$41/G67)</f>
        <v>0</v>
      </c>
      <c r="O67" s="168"/>
      <c r="P67" s="1143"/>
      <c r="Q67" s="82"/>
      <c r="R67" s="115">
        <f>AFK!GK$3</f>
        <v>0</v>
      </c>
      <c r="S67" s="244"/>
      <c r="U67" s="465" t="str">
        <f>IF(ISNA(HLOOKUP(A67,IAD!$6:$10,5,0)),"",(HLOOKUP(A67,IAD!$6:$10,5,0)))</f>
        <v/>
      </c>
      <c r="Z67" s="690"/>
    </row>
    <row r="68" spans="1:26" ht="19.5" customHeight="1" thickBot="1">
      <c r="A68" s="503" t="s">
        <v>89</v>
      </c>
      <c r="B68" s="149">
        <f t="array" ref="B68">SUM(D4:D67*R4:R67)/D68</f>
        <v>88.461187214611883</v>
      </c>
      <c r="C68" s="246">
        <f t="array" ref="C68">SUM(D4:D67*E4:E67)/D68</f>
        <v>578.12785388127861</v>
      </c>
      <c r="D68" s="162">
        <f>SUM(D4:D67)</f>
        <v>5.4749999999999996</v>
      </c>
      <c r="E68" s="113" t="s">
        <v>23</v>
      </c>
      <c r="F68" s="142">
        <f>SUM(F4:F67)</f>
        <v>192606.50880000001</v>
      </c>
      <c r="G68" s="386">
        <f>SUM(G4:G67)</f>
        <v>130269</v>
      </c>
      <c r="H68" s="163" t="e">
        <f>SUM(H4:H28)</f>
        <v>#DIV/0!</v>
      </c>
      <c r="I68" s="68">
        <f>G68/F68</f>
        <v>0.67634785974584877</v>
      </c>
      <c r="J68" s="164"/>
      <c r="K68" s="71">
        <f t="array" ref="K68">(SUM(G4:G67*K4:K67))/(G68+G2)</f>
        <v>0.98428724037803017</v>
      </c>
      <c r="L68" s="216">
        <f>AVERAGE(L4:L67)</f>
        <v>2.8666666666666667</v>
      </c>
      <c r="M68" s="165">
        <f>斷絲!W38</f>
        <v>2.3330175438596483</v>
      </c>
      <c r="N68" s="166">
        <f t="array" ref="N68">SUM(G4:G67*N4:N67)/(G68+G2)</f>
        <v>0.91862627036983335</v>
      </c>
      <c r="O68" s="687">
        <f t="array" ref="O68">SUM(G4:G67*O4:O67)/$G$68</f>
        <v>4.5669384120550554</v>
      </c>
      <c r="P68" s="1152" t="s">
        <v>17505</v>
      </c>
      <c r="Q68" s="82"/>
      <c r="R68" s="237"/>
      <c r="S68" s="244"/>
      <c r="U68" s="465" t="str">
        <f>IF(ISNA(HLOOKUP(A68,IAD!$6:$8,3,0)),"",(HLOOKUP(A68,IAD!$6:$8,3,0)))</f>
        <v/>
      </c>
      <c r="Z68" s="690"/>
    </row>
    <row r="69" spans="1:26" ht="19.5" customHeight="1" thickTop="1" thickBot="1">
      <c r="A69" s="67" t="s">
        <v>20</v>
      </c>
      <c r="C69" s="104"/>
      <c r="D69" s="161"/>
      <c r="E69" s="278" t="s">
        <v>134</v>
      </c>
      <c r="F69" s="279"/>
      <c r="G69" s="388">
        <f>($B$184/$G$185)*SUM(G71:G90)</f>
        <v>122.96933017286965</v>
      </c>
      <c r="H69" s="105"/>
      <c r="K69" s="263"/>
      <c r="L69" s="404" t="str">
        <f t="array" ref="L69">IF(ISERROR(AVERAGEA(IF(A69=斷絲!$4:$4,斷絲!$14:$14))),"",AVERAGEA(IF(A69=斷絲!$4:$4,斷絲!$14:$14)))</f>
        <v/>
      </c>
      <c r="M69" s="106"/>
      <c r="N69" s="81"/>
      <c r="O69" s="81"/>
      <c r="P69" s="1144"/>
      <c r="Q69" s="107"/>
      <c r="S69" s="244"/>
      <c r="U69" s="465" t="str">
        <f>IF(ISNA(HLOOKUP(A69,IAD!$6:$8,3,0)),"",(HLOOKUP(A69,IAD!$6:$8,3,0)))</f>
        <v/>
      </c>
    </row>
    <row r="70" spans="1:26" ht="19.5" customHeight="1" thickTop="1">
      <c r="A70" s="368" t="s">
        <v>111</v>
      </c>
      <c r="B70" s="369" t="s">
        <v>112</v>
      </c>
      <c r="C70" s="369" t="s">
        <v>113</v>
      </c>
      <c r="D70" s="369" t="s">
        <v>114</v>
      </c>
      <c r="E70" s="369" t="s">
        <v>115</v>
      </c>
      <c r="F70" s="370" t="s">
        <v>116</v>
      </c>
      <c r="G70" s="370" t="s">
        <v>117</v>
      </c>
      <c r="H70" s="370" t="s">
        <v>118</v>
      </c>
      <c r="I70" s="369" t="s">
        <v>119</v>
      </c>
      <c r="J70" s="369" t="s">
        <v>120</v>
      </c>
      <c r="K70" s="369" t="s">
        <v>121</v>
      </c>
      <c r="L70" s="369" t="s">
        <v>95</v>
      </c>
      <c r="M70" s="371" t="s">
        <v>122</v>
      </c>
      <c r="N70" s="371" t="s">
        <v>123</v>
      </c>
      <c r="O70" s="371" t="s">
        <v>124</v>
      </c>
      <c r="P70" s="1145" t="s">
        <v>125</v>
      </c>
      <c r="Q70" s="82"/>
      <c r="R70" s="261" t="s">
        <v>208</v>
      </c>
      <c r="S70" s="262" t="s">
        <v>88</v>
      </c>
      <c r="T70" s="262" t="s">
        <v>207</v>
      </c>
      <c r="U70" s="463" t="s">
        <v>209</v>
      </c>
      <c r="V70" s="463" t="s">
        <v>447</v>
      </c>
      <c r="W70" s="463" t="s">
        <v>448</v>
      </c>
      <c r="X70" s="463" t="s">
        <v>449</v>
      </c>
      <c r="Y70" s="463" t="s">
        <v>450</v>
      </c>
    </row>
    <row r="71" spans="1:26" ht="19.5" customHeight="1">
      <c r="A71" s="72" t="str">
        <f>'33J'!B3</f>
        <v>2F6IV2</v>
      </c>
      <c r="B71" s="83" t="str">
        <f>'33J'!B4</f>
        <v>150/48/2SDr</v>
      </c>
      <c r="C71" s="110" t="s">
        <v>17253</v>
      </c>
      <c r="D71" s="84">
        <f>IF('33J'!B37="","",'33J'!B37)</f>
        <v>0.42499999999999999</v>
      </c>
      <c r="E71" s="85">
        <f>'33J'!D4</f>
        <v>600</v>
      </c>
      <c r="F71" s="86">
        <f>'33J'!C37</f>
        <v>49704.191999999981</v>
      </c>
      <c r="G71" s="384">
        <f>'33J'!D37-'33J'!B61</f>
        <v>35763</v>
      </c>
      <c r="H71" s="86">
        <f>IF(R71="","",(G71*(150/R71)*(900/E71)))</f>
        <v>28534.308510638301</v>
      </c>
      <c r="I71" s="87">
        <f>IF(F71=0,0,G71/F71)</f>
        <v>0.71951677637169942</v>
      </c>
      <c r="J71" s="88">
        <f>'33J'!B40/100</f>
        <v>0</v>
      </c>
      <c r="K71" s="91">
        <f>IF(G71=0,0,('33J'!$B$38-'33J'!$B$60-'33J'!$C$60)/日報表!$G$71)</f>
        <v>0.96364958197019268</v>
      </c>
      <c r="L71" s="1531"/>
      <c r="M71" s="90">
        <f t="array" ref="M71">IF(ISERROR(AVERAGEA(IF(A71=斷絲!$X$4:$Z$4,斷絲!$X$39:$Z$39))),"",AVERAGEA(IF(A71=斷絲!$X$4:$Z$4,斷絲!$X$39:$Z$39)))</f>
        <v>2.9933333333333336</v>
      </c>
      <c r="N71" s="91">
        <f>IF(G71=0,0,'33J'!$B$41/G71)</f>
        <v>0.88583172552638201</v>
      </c>
      <c r="O71" s="167">
        <v>5.5</v>
      </c>
      <c r="P71" s="1147" t="s">
        <v>17385</v>
      </c>
      <c r="Q71" s="93"/>
      <c r="R71" s="115">
        <f>'33J'!D$3</f>
        <v>282</v>
      </c>
      <c r="S71" s="525" t="s">
        <v>623</v>
      </c>
      <c r="T71" s="243" t="s">
        <v>17238</v>
      </c>
      <c r="U71" s="465" t="str">
        <f>IF(ISNA(HLOOKUP(A71,IAD!$6:$10,5,0)),"",(HLOOKUP(A71,IAD!$6:$10,5,0)))</f>
        <v>藍黑直條</v>
      </c>
    </row>
    <row r="72" spans="1:26" ht="19.5" customHeight="1">
      <c r="A72" s="72">
        <f>'33J'!E3</f>
        <v>0</v>
      </c>
      <c r="B72" s="83">
        <f>'33J'!E4</f>
        <v>0</v>
      </c>
      <c r="C72" s="110"/>
      <c r="D72" s="84">
        <f>IF('33J'!E37="","",'33J'!E37)</f>
        <v>0</v>
      </c>
      <c r="E72" s="85">
        <f>'33J'!G4</f>
        <v>0</v>
      </c>
      <c r="F72" s="86">
        <f>'33J'!F37</f>
        <v>0</v>
      </c>
      <c r="G72" s="384">
        <f>'33J'!G37-'33J'!E61</f>
        <v>0</v>
      </c>
      <c r="H72" s="86" t="e">
        <f t="shared" ref="H72:H85" si="6">IF(R72="","",(G72*(150/R72)*(900/E72)))</f>
        <v>#DIV/0!</v>
      </c>
      <c r="I72" s="87">
        <f>IF(F72=0,0,G72/F72)</f>
        <v>0</v>
      </c>
      <c r="J72" s="88">
        <f>'33J'!E40/100</f>
        <v>0</v>
      </c>
      <c r="K72" s="91">
        <f>IF(G72=0,0,('33J'!$E$38-'33J'!$E$60-'33J'!$F$60)/日報表!$G$72)</f>
        <v>0</v>
      </c>
      <c r="L72" s="90"/>
      <c r="M72" s="90" t="str">
        <f t="array" ref="M72">IF(ISERROR(AVERAGEA(IF(A72=斷絲!$X$4:$Z$4,斷絲!$X$39:$Z$39))),"",AVERAGEA(IF(A72=斷絲!$X$4:$Z$4,斷絲!$X$39:$Z$39)))</f>
        <v/>
      </c>
      <c r="N72" s="91">
        <f>IF(G72=0,0,'33J'!$E$41/G72)</f>
        <v>0</v>
      </c>
      <c r="O72" s="167"/>
      <c r="P72" s="1147"/>
      <c r="Q72" s="82"/>
      <c r="R72" s="115">
        <f>'33J'!G$3</f>
        <v>0</v>
      </c>
      <c r="S72" s="525"/>
      <c r="U72" s="465" t="str">
        <f>IF(ISNA(HLOOKUP(A72,IAD!$6:$10,5,0)),"",(HLOOKUP(A72,IAD!$6:$10,5,0)))</f>
        <v/>
      </c>
    </row>
    <row r="73" spans="1:26" ht="19.5" customHeight="1" thickBot="1">
      <c r="A73" s="72">
        <f>'33J'!H3</f>
        <v>0</v>
      </c>
      <c r="B73" s="83">
        <f>'33J'!H4</f>
        <v>0</v>
      </c>
      <c r="C73" s="110"/>
      <c r="D73" s="84">
        <f>IF('33J'!H37="","",'33J'!H37)</f>
        <v>0</v>
      </c>
      <c r="E73" s="85">
        <f>'33J'!J4</f>
        <v>0</v>
      </c>
      <c r="F73" s="86">
        <f>'33J'!I37</f>
        <v>0</v>
      </c>
      <c r="G73" s="384">
        <f>'33J'!J37-'33J'!H61</f>
        <v>0</v>
      </c>
      <c r="H73" s="86" t="e">
        <f t="shared" si="6"/>
        <v>#DIV/0!</v>
      </c>
      <c r="I73" s="87">
        <f>IF(F73=0,0,G73/F73)</f>
        <v>0</v>
      </c>
      <c r="J73" s="88">
        <f>'33J'!H40/100</f>
        <v>0</v>
      </c>
      <c r="K73" s="91">
        <f>IF(G73=0,0,('33J'!$H$38-'33J'!$H$60-'33J'!$I$60)/日報表!$G$73)</f>
        <v>0</v>
      </c>
      <c r="L73" s="90"/>
      <c r="M73" s="90" t="str">
        <f t="array" ref="M73">IF(ISERROR(AVERAGEA(IF(A73=斷絲!$X$4:$Z$4,斷絲!$X$39:$Z$39))),"",AVERAGEA(IF(A73=斷絲!$X$4:$Z$4,斷絲!$X$39:$Z$39)))</f>
        <v/>
      </c>
      <c r="N73" s="91">
        <f>IF(G73=0,0,'33J'!$H$41/G73)</f>
        <v>0</v>
      </c>
      <c r="O73" s="167"/>
      <c r="P73" s="1147"/>
      <c r="Q73" s="82"/>
      <c r="R73" s="115">
        <f>'33J'!J$3</f>
        <v>0</v>
      </c>
      <c r="S73" s="525"/>
      <c r="U73" s="465" t="str">
        <f>IF(ISNA(HLOOKUP(A73,IAD!$6:$10,5,0)),"",(HLOOKUP(A73,IAD!$6:$10,5,0)))</f>
        <v/>
      </c>
    </row>
    <row r="74" spans="1:26" ht="19.5" hidden="1" customHeight="1" thickBot="1">
      <c r="A74" s="72">
        <f>'33J'!K3</f>
        <v>0</v>
      </c>
      <c r="B74" s="83">
        <f>'33J'!K4</f>
        <v>0</v>
      </c>
      <c r="C74" s="110"/>
      <c r="D74" s="84">
        <f>IF('33J'!K37="","",'33J'!K37)</f>
        <v>0</v>
      </c>
      <c r="E74" s="85">
        <f>'33J'!M4</f>
        <v>0</v>
      </c>
      <c r="F74" s="86">
        <f>'33J'!L37</f>
        <v>0</v>
      </c>
      <c r="G74" s="384">
        <f>'33J'!M37-'33J'!K61</f>
        <v>0</v>
      </c>
      <c r="H74" s="86" t="e">
        <f t="shared" si="6"/>
        <v>#DIV/0!</v>
      </c>
      <c r="I74" s="87">
        <f t="shared" ref="I74:I80" si="7">IF(F74=0,0,G74/F74)</f>
        <v>0</v>
      </c>
      <c r="J74" s="88">
        <f>'33J'!K40/100</f>
        <v>0</v>
      </c>
      <c r="K74" s="91">
        <f>IF(G74=0,0,('33J'!$K$38-'33J'!$K$60-'33J'!$L$60)/日報表!$G$74)</f>
        <v>0</v>
      </c>
      <c r="L74" s="90"/>
      <c r="M74" s="90" t="str">
        <f t="array" ref="M74">IF(ISERROR(AVERAGEA(IF(A74=斷絲!$X$4:$Z$4,斷絲!$X$39:$Z$39))),"",AVERAGEA(IF(A74=斷絲!$X$4:$Z$4,斷絲!$X$39:$Z$39)))</f>
        <v/>
      </c>
      <c r="N74" s="91">
        <f>IF(G74=0,0,'33J'!$K$41/G74)</f>
        <v>0</v>
      </c>
      <c r="O74" s="167"/>
      <c r="P74" s="1141"/>
      <c r="Q74" s="82"/>
      <c r="R74" s="115">
        <f>'33J'!M$3</f>
        <v>0</v>
      </c>
      <c r="S74" s="525"/>
      <c r="U74" s="465" t="str">
        <f>IF(ISNA(HLOOKUP(A74,IAD!$6:$10,5,0)),"",(HLOOKUP(A74,IAD!$6:$10,5,0)))</f>
        <v/>
      </c>
    </row>
    <row r="75" spans="1:26" ht="19.5" hidden="1" customHeight="1">
      <c r="A75" s="72">
        <f>'33J'!N3</f>
        <v>0</v>
      </c>
      <c r="B75" s="83">
        <f>'33J'!N4</f>
        <v>0</v>
      </c>
      <c r="C75" s="110"/>
      <c r="D75" s="84">
        <f>IF('33J'!N37="","",'33J'!N37)</f>
        <v>0</v>
      </c>
      <c r="E75" s="81">
        <f>'33J'!P4</f>
        <v>0</v>
      </c>
      <c r="F75" s="86">
        <f>'33J'!O37</f>
        <v>0</v>
      </c>
      <c r="G75" s="384">
        <f>'33J'!P37-'33J'!N61</f>
        <v>0</v>
      </c>
      <c r="H75" s="86" t="e">
        <f t="shared" si="6"/>
        <v>#DIV/0!</v>
      </c>
      <c r="I75" s="87">
        <f t="shared" si="7"/>
        <v>0</v>
      </c>
      <c r="J75" s="88">
        <f>'33J'!N40/100</f>
        <v>0</v>
      </c>
      <c r="K75" s="91">
        <f>IF(G75=0,0,('33J'!$N$38-'33J'!$N$60-'33J'!$O$60)/日報表!$G$75)</f>
        <v>0</v>
      </c>
      <c r="L75" s="90"/>
      <c r="M75" s="90" t="str">
        <f t="array" ref="M75">IF(ISERROR(AVERAGEA(IF(A75=斷絲!$X$4:$Z$4,斷絲!$X$39:$Z$39))),"",AVERAGEA(IF(A75=斷絲!$X$4:$Z$4,斷絲!$X$39:$Z$39)))</f>
        <v/>
      </c>
      <c r="N75" s="89">
        <f>IF(G75=0,0,'33J'!$N$41/G75)</f>
        <v>0</v>
      </c>
      <c r="O75" s="167"/>
      <c r="P75" s="1147"/>
      <c r="Q75" s="82"/>
      <c r="R75" s="115">
        <f>'33J'!P$3</f>
        <v>0</v>
      </c>
      <c r="S75" s="525"/>
      <c r="U75" s="465" t="str">
        <f>IF(ISNA(HLOOKUP(A75,IAD!$6:$10,5,0)),"",(HLOOKUP(A75,IAD!$6:$10,5,0)))</f>
        <v/>
      </c>
    </row>
    <row r="76" spans="1:26" ht="19.5" hidden="1" customHeight="1" thickBot="1">
      <c r="A76" s="72">
        <f>'33J'!Q3</f>
        <v>0</v>
      </c>
      <c r="B76" s="83">
        <f>'33J'!Q4</f>
        <v>0</v>
      </c>
      <c r="C76" s="110"/>
      <c r="D76" s="84">
        <f>IF('33J'!Q37="","",'33J'!Q37)</f>
        <v>0</v>
      </c>
      <c r="E76" s="85">
        <f>'33J'!S4</f>
        <v>0</v>
      </c>
      <c r="F76" s="86">
        <f>'33J'!R37</f>
        <v>0</v>
      </c>
      <c r="G76" s="384">
        <f>'33J'!S37-'33J'!Q61</f>
        <v>0</v>
      </c>
      <c r="H76" s="86" t="e">
        <f t="shared" si="6"/>
        <v>#DIV/0!</v>
      </c>
      <c r="I76" s="87">
        <f t="shared" si="7"/>
        <v>0</v>
      </c>
      <c r="J76" s="88">
        <f>'33J'!Q40/100</f>
        <v>0</v>
      </c>
      <c r="K76" s="91">
        <f>IF(G76=0,0,('33J'!$Q$38-'33J'!$Q$60-'33J'!$R$60)/日報表!$G$76)</f>
        <v>0</v>
      </c>
      <c r="L76" s="90"/>
      <c r="M76" s="90" t="str">
        <f t="array" ref="M76">IF(ISERROR(AVERAGEA(IF(A76=斷絲!$X$4:$Z$4,斷絲!$X$39:$Z$39))),"",AVERAGEA(IF(A76=斷絲!$X$4:$Z$4,斷絲!$X$39:$Z$39)))</f>
        <v/>
      </c>
      <c r="N76" s="89">
        <f>IF(G76=0,0,'33J'!$Q$41/G76)</f>
        <v>0</v>
      </c>
      <c r="O76" s="167"/>
      <c r="P76" s="1146"/>
      <c r="Q76" s="82"/>
      <c r="R76" s="115">
        <f>'33J'!S$3</f>
        <v>0</v>
      </c>
      <c r="S76" s="525"/>
      <c r="U76" s="465" t="str">
        <f>IF(ISNA(HLOOKUP(A76,IAD!$6:$10,5,0)),"",(HLOOKUP(A76,IAD!$6:$10,5,0)))</f>
        <v/>
      </c>
    </row>
    <row r="77" spans="1:26" ht="19.5" hidden="1" customHeight="1">
      <c r="A77" s="72">
        <f>'33J'!T3</f>
        <v>0</v>
      </c>
      <c r="B77" s="83">
        <f>'33J'!T4</f>
        <v>0</v>
      </c>
      <c r="C77" s="110"/>
      <c r="D77" s="84">
        <f>IF('33J'!T37=" "," ",'33J'!T37)</f>
        <v>0</v>
      </c>
      <c r="E77" s="85">
        <f>'33J'!V4</f>
        <v>0</v>
      </c>
      <c r="F77" s="86">
        <f>'33J'!U37</f>
        <v>0</v>
      </c>
      <c r="G77" s="384">
        <f>'33J'!V37-'33J'!T61</f>
        <v>0</v>
      </c>
      <c r="H77" s="86" t="e">
        <f t="shared" si="6"/>
        <v>#DIV/0!</v>
      </c>
      <c r="I77" s="87">
        <f t="shared" si="7"/>
        <v>0</v>
      </c>
      <c r="J77" s="88">
        <f>'33J'!T40/100</f>
        <v>0</v>
      </c>
      <c r="K77" s="91">
        <f>IF(G77=0,0,('33J'!$T$38-'33J'!$T$60-'33J'!$U$60)/日報表!$G$77)</f>
        <v>0</v>
      </c>
      <c r="L77" s="90"/>
      <c r="M77" s="90" t="str">
        <f t="array" ref="M77">IF(ISERROR(AVERAGEA(IF(A77=斷絲!$X$4:$Z$4,斷絲!$X$39:$Z$39))),"",AVERAGEA(IF(A77=斷絲!$X$4:$Z$4,斷絲!$X$39:$Z$39)))</f>
        <v/>
      </c>
      <c r="N77" s="89">
        <f>IF(G77=0,0,'33J'!$T$41/G77)</f>
        <v>0</v>
      </c>
      <c r="O77" s="167"/>
      <c r="P77" s="1147"/>
      <c r="Q77" s="93"/>
      <c r="R77" s="115">
        <f>'33J'!V$3</f>
        <v>0</v>
      </c>
      <c r="S77" s="525"/>
      <c r="U77" s="465" t="str">
        <f>IF(ISNA(HLOOKUP(A77,IAD!$6:$10,5,0)),"",(HLOOKUP(A77,IAD!$6:$10,5,0)))</f>
        <v/>
      </c>
    </row>
    <row r="78" spans="1:26" ht="19.5" hidden="1" customHeight="1">
      <c r="A78" s="72">
        <f>'33J'!W3</f>
        <v>0</v>
      </c>
      <c r="B78" s="83">
        <f>'33J'!W4</f>
        <v>0</v>
      </c>
      <c r="C78" s="110"/>
      <c r="D78" s="84">
        <f>IF('33J'!W37="","",'33J'!W37)</f>
        <v>0</v>
      </c>
      <c r="E78" s="85">
        <f>'33J'!Y4</f>
        <v>0</v>
      </c>
      <c r="F78" s="86">
        <f>'33J'!X37</f>
        <v>0</v>
      </c>
      <c r="G78" s="384">
        <f>'33J'!Y37-'33J'!W61</f>
        <v>0</v>
      </c>
      <c r="H78" s="86" t="e">
        <f t="shared" si="6"/>
        <v>#DIV/0!</v>
      </c>
      <c r="I78" s="87">
        <f t="shared" si="7"/>
        <v>0</v>
      </c>
      <c r="J78" s="88">
        <f>'33J'!W40/100</f>
        <v>0</v>
      </c>
      <c r="K78" s="91">
        <f>IF(G78=0,0,('33J'!$W$38-'33J'!$W$60-'33J'!$X$60)/日報表!$G$78)</f>
        <v>0</v>
      </c>
      <c r="L78" s="90"/>
      <c r="M78" s="90" t="str">
        <f t="array" ref="M78">IF(ISERROR(AVERAGEA(IF(A78=斷絲!$X$4:$Z$4,斷絲!$X$39:$Z$39))),"",AVERAGEA(IF(A78=斷絲!$X$4:$Z$4,斷絲!$X$39:$Z$39)))</f>
        <v/>
      </c>
      <c r="N78" s="89">
        <f>IF(G78=0,0,'33J'!$W$41/G78)</f>
        <v>0</v>
      </c>
      <c r="O78" s="167"/>
      <c r="P78" s="1147"/>
      <c r="Q78" s="82"/>
      <c r="R78" s="115">
        <f>'33J'!Y$3</f>
        <v>0</v>
      </c>
      <c r="S78" s="244"/>
      <c r="U78" s="465" t="str">
        <f>IF(ISNA(HLOOKUP(A78,IAD!$6:$10,5,0)),"",(HLOOKUP(A78,IAD!$6:$10,5,0)))</f>
        <v/>
      </c>
    </row>
    <row r="79" spans="1:26" ht="19.5" hidden="1" customHeight="1">
      <c r="A79" s="72">
        <f>'33J'!Z3</f>
        <v>0</v>
      </c>
      <c r="B79" s="94">
        <f>'33J'!Z4</f>
        <v>0</v>
      </c>
      <c r="C79" s="110"/>
      <c r="D79" s="84">
        <f>IF('33J'!Z37="","",'33J'!Z37)</f>
        <v>0</v>
      </c>
      <c r="E79" s="85">
        <f>'33J'!AB4</f>
        <v>0</v>
      </c>
      <c r="F79" s="86">
        <f>'33J'!AA37</f>
        <v>0</v>
      </c>
      <c r="G79" s="384">
        <f>'33J'!AB37-'33J'!Z61</f>
        <v>0</v>
      </c>
      <c r="H79" s="86" t="e">
        <f t="shared" si="6"/>
        <v>#DIV/0!</v>
      </c>
      <c r="I79" s="87">
        <f t="shared" si="7"/>
        <v>0</v>
      </c>
      <c r="J79" s="88">
        <f>'33J'!Z40/100</f>
        <v>0</v>
      </c>
      <c r="K79" s="91">
        <f>IF(G79=0,0,('33J'!$Z$38-'33J'!$Z$60-'33J'!$AA$60)/日報表!$G$79)</f>
        <v>0</v>
      </c>
      <c r="L79" s="90"/>
      <c r="M79" s="90" t="str">
        <f t="array" ref="M79">IF(ISERROR(AVERAGEA(IF(A79=斷絲!$X$4:$Z$4,斷絲!$X$39:$Z$39))),"",AVERAGEA(IF(A79=斷絲!$X$4:$Z$4,斷絲!$X$39:$Z$39)))</f>
        <v/>
      </c>
      <c r="N79" s="89">
        <f>IF(G79=0,0,'33J'!$Z$41/G79)</f>
        <v>0</v>
      </c>
      <c r="O79" s="167"/>
      <c r="P79" s="1147"/>
      <c r="Q79" s="93"/>
      <c r="R79" s="115">
        <f>'33J'!AB$3</f>
        <v>0</v>
      </c>
      <c r="S79" s="244"/>
      <c r="U79" s="465" t="str">
        <f>IF(ISNA(HLOOKUP(A79,IAD!$6:$10,5,0)),"",(HLOOKUP(A79,IAD!$6:$10,5,0)))</f>
        <v/>
      </c>
    </row>
    <row r="80" spans="1:26" ht="19.5" hidden="1" customHeight="1">
      <c r="A80" s="72">
        <f>'33J'!AC3</f>
        <v>0</v>
      </c>
      <c r="B80" s="94">
        <f>'33J'!AC4</f>
        <v>0</v>
      </c>
      <c r="C80" s="110"/>
      <c r="D80" s="84">
        <f>IF('33J'!AC37="","",'33J'!AC37)</f>
        <v>0</v>
      </c>
      <c r="E80" s="85">
        <f>'33J'!AE4</f>
        <v>0</v>
      </c>
      <c r="F80" s="86">
        <f>'33J'!AD37</f>
        <v>0</v>
      </c>
      <c r="G80" s="384">
        <f>'33J'!AE37-'33J'!AC61</f>
        <v>0</v>
      </c>
      <c r="H80" s="86" t="e">
        <f t="shared" si="6"/>
        <v>#DIV/0!</v>
      </c>
      <c r="I80" s="87">
        <f t="shared" si="7"/>
        <v>0</v>
      </c>
      <c r="J80" s="88">
        <f>'33J'!AC40/100</f>
        <v>0</v>
      </c>
      <c r="K80" s="91">
        <f>IF(G80=0,0,('33J'!$AC$38-'33J'!$AC$60-'33J'!$AD$60)/日報表!$G$80)</f>
        <v>0</v>
      </c>
      <c r="L80" s="90"/>
      <c r="M80" s="90" t="str">
        <f t="array" ref="M80">IF(ISERROR(AVERAGEA(IF(A80=斷絲!$X$4:$Z$4,斷絲!$X$39:$Z$39))),"",AVERAGEA(IF(A80=斷絲!$X$4:$Z$4,斷絲!$X$39:$Z$39)))</f>
        <v/>
      </c>
      <c r="N80" s="89">
        <f>IF(G80=0,0,'33J'!$AC$41/G80)</f>
        <v>0</v>
      </c>
      <c r="O80" s="167"/>
      <c r="P80" s="1147"/>
      <c r="Q80" s="82"/>
      <c r="R80" s="115">
        <f>'33J'!AE$3</f>
        <v>0</v>
      </c>
      <c r="S80" s="244"/>
      <c r="U80" s="465" t="str">
        <f>IF(ISNA(HLOOKUP(A80,IAD!$6:$10,5,0)),"",(HLOOKUP(A80,IAD!$6:$10,5,0)))</f>
        <v/>
      </c>
    </row>
    <row r="81" spans="1:25" ht="19.5" hidden="1" customHeight="1">
      <c r="A81" s="72">
        <f>'33J'!AF3</f>
        <v>0</v>
      </c>
      <c r="B81" s="94">
        <f>'33J'!AF4</f>
        <v>0</v>
      </c>
      <c r="C81" s="110"/>
      <c r="D81" s="95">
        <f>IF('33J'!AF37="","",'33J'!AF37)</f>
        <v>0</v>
      </c>
      <c r="E81" s="96">
        <f>'33J'!AH4</f>
        <v>0</v>
      </c>
      <c r="F81" s="97">
        <f>'33J'!AG37</f>
        <v>0</v>
      </c>
      <c r="G81" s="385">
        <f>'33J'!AH37-'33J'!AF61</f>
        <v>0</v>
      </c>
      <c r="H81" s="86" t="e">
        <f t="shared" si="6"/>
        <v>#DIV/0!</v>
      </c>
      <c r="I81" s="87">
        <f t="shared" ref="I81:I90" si="8">IF(F81=0,0,G81/F81)</f>
        <v>0</v>
      </c>
      <c r="J81" s="103">
        <f>'33J'!AF40/100</f>
        <v>0</v>
      </c>
      <c r="K81" s="91">
        <f>IF(G81=0,0,('33J'!$AF$38-'33J'!$AF$60-'33J'!$AG$60)/日報表!$G$81)</f>
        <v>0</v>
      </c>
      <c r="L81" s="90"/>
      <c r="M81" s="90" t="str">
        <f t="array" ref="M81">IF(ISERROR(AVERAGEA(IF(A81=斷絲!$X$4:$Z$4,斷絲!$X$39:$Z$39))),"",AVERAGEA(IF(A81=斷絲!$X$4:$Z$4,斷絲!$X$39:$Z$39)))</f>
        <v/>
      </c>
      <c r="N81" s="89">
        <f>IF(G81=0,0,'33J'!$AF$41/G81)</f>
        <v>0</v>
      </c>
      <c r="O81" s="167"/>
      <c r="P81" s="1147"/>
      <c r="Q81" s="82"/>
      <c r="R81" s="115">
        <f>'33J'!AH$3</f>
        <v>0</v>
      </c>
      <c r="S81" s="244"/>
      <c r="U81" s="465" t="str">
        <f>IF(ISNA(HLOOKUP(A81,IAD!$6:$10,5,0)),"",(HLOOKUP(A81,IAD!$6:$10,5,0)))</f>
        <v/>
      </c>
    </row>
    <row r="82" spans="1:25" ht="19.5" hidden="1" customHeight="1">
      <c r="A82" s="73">
        <f>'33J'!AI3</f>
        <v>0</v>
      </c>
      <c r="B82" s="94">
        <f>'33J'!AI4</f>
        <v>0</v>
      </c>
      <c r="C82" s="110"/>
      <c r="D82" s="95">
        <f>IF('33J'!AI37="","",'33J'!AI37)</f>
        <v>0</v>
      </c>
      <c r="E82" s="96">
        <f>'33J'!AK4</f>
        <v>0</v>
      </c>
      <c r="F82" s="97">
        <f>'33J'!AJ37</f>
        <v>0</v>
      </c>
      <c r="G82" s="385">
        <f>'33J'!AK37-'33J'!AI61</f>
        <v>0</v>
      </c>
      <c r="H82" s="97" t="e">
        <f t="shared" si="6"/>
        <v>#DIV/0!</v>
      </c>
      <c r="I82" s="87">
        <f t="shared" si="8"/>
        <v>0</v>
      </c>
      <c r="J82" s="103">
        <f>'33J'!AI40/100</f>
        <v>0</v>
      </c>
      <c r="K82" s="154">
        <f>IF(G82=0,0,('33J'!$AI$38-'33J'!$AI$60-'33J'!$AJ$60)/日報表!$G$82)</f>
        <v>0</v>
      </c>
      <c r="L82" s="90"/>
      <c r="M82" s="90" t="str">
        <f t="array" ref="M82">IF(ISERROR(AVERAGEA(IF(A82=斷絲!$X$4:$Z$4,斷絲!$X$39:$Z$39))),"",AVERAGEA(IF(A82=斷絲!$X$4:$Z$4,斷絲!$X$39:$Z$39)))</f>
        <v/>
      </c>
      <c r="N82" s="89">
        <f>IF(G82=0,0,'33J'!$AI$41/G82)</f>
        <v>0</v>
      </c>
      <c r="O82" s="167"/>
      <c r="P82" s="1147"/>
      <c r="Q82" s="82"/>
      <c r="R82" s="115">
        <f>'33J'!AK$3</f>
        <v>0</v>
      </c>
      <c r="S82" s="244"/>
      <c r="U82" s="465" t="str">
        <f>IF(ISNA(HLOOKUP(A82,IAD!$6:$10,5,0)),"",(HLOOKUP(A82,IAD!$6:$10,5,0)))</f>
        <v/>
      </c>
    </row>
    <row r="83" spans="1:25" ht="19.5" hidden="1" customHeight="1">
      <c r="A83" s="72">
        <f>'33J'!AL3</f>
        <v>0</v>
      </c>
      <c r="B83" s="83">
        <f>'33J'!AL4</f>
        <v>0</v>
      </c>
      <c r="C83" s="110"/>
      <c r="D83" s="84">
        <f>'33J'!AL37</f>
        <v>0</v>
      </c>
      <c r="E83" s="85">
        <f>'33J'!AN4</f>
        <v>0</v>
      </c>
      <c r="F83" s="86">
        <f>'33J'!AM37</f>
        <v>0</v>
      </c>
      <c r="G83" s="384">
        <f>'33J'!AN37-'33J'!AL61</f>
        <v>0</v>
      </c>
      <c r="H83" s="86" t="e">
        <f t="shared" si="6"/>
        <v>#DIV/0!</v>
      </c>
      <c r="I83" s="87">
        <f t="shared" si="8"/>
        <v>0</v>
      </c>
      <c r="J83" s="88">
        <f>'33J'!AL40/100</f>
        <v>0</v>
      </c>
      <c r="K83" s="91">
        <f>IF(G83=0,0,('33J'!$AL$38-'33J'!$AL$60-'33J'!$AM$60)/日報表!$G$83)</f>
        <v>0</v>
      </c>
      <c r="L83" s="90"/>
      <c r="M83" s="90" t="str">
        <f t="array" ref="M83">IF(ISERROR(AVERAGEA(IF(A83=斷絲!$X$4:$Z$4,斷絲!$X$39:$Z$39))),"",AVERAGEA(IF(A83=斷絲!$X$4:$Z$4,斷絲!$X$39:$Z$39)))</f>
        <v/>
      </c>
      <c r="N83" s="109">
        <f>IF(G83=0,0,'33J'!$AL$41/G83)</f>
        <v>0</v>
      </c>
      <c r="O83" s="167"/>
      <c r="P83" s="1147"/>
      <c r="Q83" s="82"/>
      <c r="R83" s="115">
        <f>'33J'!AN$3</f>
        <v>0</v>
      </c>
      <c r="S83" s="244"/>
      <c r="U83" s="465" t="str">
        <f>IF(ISNA(HLOOKUP(A83,IAD!$6:$10,5,0)),"",(HLOOKUP(A83,IAD!$6:$10,5,0)))</f>
        <v/>
      </c>
    </row>
    <row r="84" spans="1:25" ht="19.5" hidden="1" customHeight="1">
      <c r="A84" s="72">
        <f>'33J'!AO3</f>
        <v>0</v>
      </c>
      <c r="B84" s="83">
        <f>'33J'!AO4</f>
        <v>0</v>
      </c>
      <c r="C84" s="110"/>
      <c r="D84" s="84">
        <f>'33J'!AO37</f>
        <v>0</v>
      </c>
      <c r="E84" s="85">
        <f>'33J'!AQ4</f>
        <v>0</v>
      </c>
      <c r="F84" s="86">
        <f>'33J'!AP37</f>
        <v>0</v>
      </c>
      <c r="G84" s="384">
        <f>'33J'!AQ37-'33J'!AO61</f>
        <v>0</v>
      </c>
      <c r="H84" s="86" t="e">
        <f t="shared" si="6"/>
        <v>#DIV/0!</v>
      </c>
      <c r="I84" s="87">
        <f t="shared" si="8"/>
        <v>0</v>
      </c>
      <c r="J84" s="88">
        <f>'33J'!AO40/100</f>
        <v>0</v>
      </c>
      <c r="K84" s="91">
        <f>IF(G84=0,0,('33J'!$AO$38-'33J'!$AO$60-'33J'!$AP$60)/日報表!$G$84)</f>
        <v>0</v>
      </c>
      <c r="L84" s="90"/>
      <c r="M84" s="90" t="str">
        <f t="array" ref="M84">IF(ISERROR(AVERAGEA(IF(A84=斷絲!$X$4:$Z$4,斷絲!$X$39:$Z$39))),"",AVERAGEA(IF(A84=斷絲!$X$4:$Z$4,斷絲!$X$39:$Z$39)))</f>
        <v/>
      </c>
      <c r="N84" s="109">
        <f>IF(G84=0,0,'33J'!$AO$41/G84)</f>
        <v>0</v>
      </c>
      <c r="O84" s="167"/>
      <c r="P84" s="1146"/>
      <c r="Q84" s="82"/>
      <c r="R84" s="115">
        <f>'33J'!AQ$3</f>
        <v>0</v>
      </c>
      <c r="S84" s="244"/>
      <c r="U84" s="465" t="str">
        <f>IF(ISNA(HLOOKUP(A84,IAD!$6:$10,5,0)),"",(HLOOKUP(A84,IAD!$6:$10,5,0)))</f>
        <v/>
      </c>
    </row>
    <row r="85" spans="1:25" ht="19.5" hidden="1" customHeight="1">
      <c r="A85" s="73">
        <f>'33J'!AR3</f>
        <v>0</v>
      </c>
      <c r="B85" s="94">
        <f>'33J'!AR$4</f>
        <v>0</v>
      </c>
      <c r="C85" s="110"/>
      <c r="D85" s="95">
        <f>'33J'!AR37</f>
        <v>0</v>
      </c>
      <c r="E85" s="96">
        <f>'33J'!AT4</f>
        <v>0</v>
      </c>
      <c r="F85" s="97">
        <f>'33J'!AS37</f>
        <v>0</v>
      </c>
      <c r="G85" s="385">
        <f>'33J'!AT37-'33J'!AR61</f>
        <v>0</v>
      </c>
      <c r="H85" s="97" t="e">
        <f t="shared" si="6"/>
        <v>#DIV/0!</v>
      </c>
      <c r="I85" s="87">
        <f t="shared" si="8"/>
        <v>0</v>
      </c>
      <c r="J85" s="103">
        <f>'33J'!AR40/100</f>
        <v>0</v>
      </c>
      <c r="K85" s="154">
        <f>IF(G85=0,0,('33J'!$AR$38-'33J'!$AR$60-'33J'!$AS$60)/日報表!$G$85)</f>
        <v>0</v>
      </c>
      <c r="L85" s="90"/>
      <c r="M85" s="90" t="str">
        <f t="array" ref="M85">IF(ISERROR(AVERAGEA(IF(A85=斷絲!$X$4:$Z$4,斷絲!$X$39:$Z$39))),"",AVERAGEA(IF(A85=斷絲!$X$4:$Z$4,斷絲!$X$39:$Z$39)))</f>
        <v/>
      </c>
      <c r="N85" s="109">
        <f>IF(G85=0,0,'33J'!$AR$41/G85)</f>
        <v>0</v>
      </c>
      <c r="O85" s="167"/>
      <c r="P85" s="1146"/>
      <c r="Q85" s="82"/>
      <c r="R85" s="115">
        <f>'33J'!AT$3</f>
        <v>0</v>
      </c>
      <c r="S85" s="244"/>
      <c r="U85" s="465" t="str">
        <f>IF(ISNA(HLOOKUP(A85,IAD!$6:$10,5,0)),"",(HLOOKUP(A85,IAD!$6:$10,5,0)))</f>
        <v/>
      </c>
    </row>
    <row r="86" spans="1:25" ht="19.5" hidden="1" customHeight="1">
      <c r="A86" s="72">
        <f>'33J'!AU3</f>
        <v>0</v>
      </c>
      <c r="B86" s="94">
        <f>'33J'!AU$4</f>
        <v>0</v>
      </c>
      <c r="C86" s="110"/>
      <c r="D86" s="95">
        <f>'33J'!AU37</f>
        <v>0</v>
      </c>
      <c r="E86" s="96">
        <f>'33J'!AW4</f>
        <v>0</v>
      </c>
      <c r="F86" s="97">
        <f>'33J'!AV37</f>
        <v>0</v>
      </c>
      <c r="G86" s="385">
        <f>'33J'!AW37-'33J'!AU61</f>
        <v>0</v>
      </c>
      <c r="H86" s="97" t="e">
        <f>IF(R86="","",(G86*(150/R86)*(900/E86)))</f>
        <v>#DIV/0!</v>
      </c>
      <c r="I86" s="87">
        <f>IF(F86=0,0,G86/F86)</f>
        <v>0</v>
      </c>
      <c r="J86" s="103">
        <f>'33J'!AU40/100</f>
        <v>0</v>
      </c>
      <c r="K86" s="154">
        <f>IF(G86=0,0,('33J'!$AU$38-'33J'!$AU$60-'33J'!$AV$60)/日報表!$G$86)</f>
        <v>0</v>
      </c>
      <c r="L86" s="90"/>
      <c r="M86" s="90" t="str">
        <f t="array" ref="M86">IF(ISERROR(AVERAGEA(IF(A86=斷絲!$X$4:$Z$4,斷絲!$X$39:$Z$39))),"",AVERAGEA(IF(A86=斷絲!$X$4:$Z$4,斷絲!$X$39:$Z$39)))</f>
        <v/>
      </c>
      <c r="N86" s="109">
        <f>IF(G86=0,0,'33J'!$AU$41/G86)</f>
        <v>0</v>
      </c>
      <c r="O86" s="167"/>
      <c r="P86" s="1147"/>
      <c r="Q86" s="82"/>
      <c r="R86" s="115">
        <f>'33J'!AW$3</f>
        <v>0</v>
      </c>
      <c r="S86" s="244"/>
      <c r="U86" s="465" t="str">
        <f>IF(ISNA(HLOOKUP(A86,IAD!$6:$10,5,0)),"",(HLOOKUP(A86,IAD!$6:$10,5,0)))</f>
        <v/>
      </c>
    </row>
    <row r="87" spans="1:25" ht="19.5" hidden="1" customHeight="1">
      <c r="A87" s="72">
        <f>'33J'!AX3</f>
        <v>0</v>
      </c>
      <c r="B87" s="94">
        <f>'33J'!AX$4</f>
        <v>0</v>
      </c>
      <c r="C87" s="110"/>
      <c r="D87" s="95">
        <f>'33J'!AX37</f>
        <v>0</v>
      </c>
      <c r="E87" s="96">
        <f>'33J'!AZ4</f>
        <v>0</v>
      </c>
      <c r="F87" s="97">
        <f>'33J'!AY37</f>
        <v>0</v>
      </c>
      <c r="G87" s="385">
        <f>'33J'!AZ37-'33J'!AX61</f>
        <v>0</v>
      </c>
      <c r="H87" s="97" t="e">
        <f>IF(R87="","",(G87*(150/R87)*(900/E87)))</f>
        <v>#DIV/0!</v>
      </c>
      <c r="I87" s="87">
        <f>IF(F87=0,0,G87/F87)</f>
        <v>0</v>
      </c>
      <c r="J87" s="103">
        <f>'33J'!AX40/100</f>
        <v>0</v>
      </c>
      <c r="K87" s="154">
        <f>IF(G87=0,0,('33J'!$AX$38-'33J'!$AX$60-'33J'!$AY$60)/日報表!$G$87)</f>
        <v>0</v>
      </c>
      <c r="L87" s="90"/>
      <c r="M87" s="90" t="str">
        <f t="array" ref="M87">IF(ISERROR(AVERAGEA(IF(A87=斷絲!$X$4:$Z$4,斷絲!$X$39:$Z$39))),"",AVERAGEA(IF(A87=斷絲!$X$4:$Z$4,斷絲!$X$39:$Z$39)))</f>
        <v/>
      </c>
      <c r="N87" s="109">
        <f>IF(G87=0,0,'33J'!$AX$41/G87)</f>
        <v>0</v>
      </c>
      <c r="O87" s="167"/>
      <c r="P87" s="1147"/>
      <c r="Q87" s="82"/>
      <c r="R87" s="115">
        <f>'33J'!AZ$3</f>
        <v>0</v>
      </c>
      <c r="S87" s="244"/>
      <c r="U87" s="465" t="str">
        <f>IF(ISNA(HLOOKUP(A87,IAD!$6:$10,5,0)),"",(HLOOKUP(A87,IAD!$6:$10,5,0)))</f>
        <v/>
      </c>
    </row>
    <row r="88" spans="1:25" ht="19.5" hidden="1" customHeight="1">
      <c r="A88" s="72">
        <f>'33J'!BA3</f>
        <v>0</v>
      </c>
      <c r="B88" s="94">
        <f>'33J'!BA$4</f>
        <v>0</v>
      </c>
      <c r="C88" s="110"/>
      <c r="D88" s="95">
        <f>'33J'!BA37</f>
        <v>0</v>
      </c>
      <c r="E88" s="96">
        <f>'33J'!BC4</f>
        <v>0</v>
      </c>
      <c r="F88" s="97">
        <f>'33J'!BB37</f>
        <v>0</v>
      </c>
      <c r="G88" s="385">
        <f>'33J'!BC37-'33J'!BA61</f>
        <v>0</v>
      </c>
      <c r="H88" s="97" t="e">
        <f>IF(R88="","",(G88*(150/R88)*(900/E88)))</f>
        <v>#DIV/0!</v>
      </c>
      <c r="I88" s="87">
        <f>IF(F88=0,0,G88/F88)</f>
        <v>0</v>
      </c>
      <c r="J88" s="103">
        <f>'33J'!BA40/100</f>
        <v>0</v>
      </c>
      <c r="K88" s="154">
        <f>IF(G88=0,0,('33J'!$BA$38-'33J'!$BA$60-'33J'!$BB$60)/日報表!$G$88)</f>
        <v>0</v>
      </c>
      <c r="L88" s="90"/>
      <c r="M88" s="90" t="str">
        <f t="array" ref="M88">IF(ISERROR(AVERAGEA(IF(A88=斷絲!$X$4:$Z$4,斷絲!$X$39:$Z$39))),"",AVERAGEA(IF(A88=斷絲!$X$4:$Z$4,斷絲!$X$39:$Z$39)))</f>
        <v/>
      </c>
      <c r="N88" s="109">
        <f>IF(G88=0,0,'33J'!$BA$41/G88)</f>
        <v>0</v>
      </c>
      <c r="O88" s="167"/>
      <c r="P88" s="1147"/>
      <c r="Q88" s="82"/>
      <c r="R88" s="115">
        <f>'33J'!BC$3</f>
        <v>0</v>
      </c>
      <c r="S88" s="244"/>
      <c r="U88" s="465" t="str">
        <f>IF(ISNA(HLOOKUP(A88,IAD!$6:$10,5,0)),"",(HLOOKUP(A88,IAD!$6:$10,5,0)))</f>
        <v/>
      </c>
    </row>
    <row r="89" spans="1:25" ht="19.5" hidden="1" customHeight="1">
      <c r="A89" s="72">
        <f>'33J'!BD3</f>
        <v>0</v>
      </c>
      <c r="B89" s="94">
        <f>'33J'!BD$4</f>
        <v>0</v>
      </c>
      <c r="C89" s="110"/>
      <c r="D89" s="95">
        <f>'33J'!BD37</f>
        <v>0</v>
      </c>
      <c r="E89" s="96">
        <f>'33J'!BF4</f>
        <v>0</v>
      </c>
      <c r="F89" s="97">
        <f>'33J'!BE37</f>
        <v>0</v>
      </c>
      <c r="G89" s="385">
        <f>'33J'!BF$37-'33J'!BD$61</f>
        <v>0</v>
      </c>
      <c r="H89" s="97" t="e">
        <f>IF(R89="","",(G89*(150/R89)*(900/E89)))</f>
        <v>#DIV/0!</v>
      </c>
      <c r="I89" s="87">
        <f>IF(F89=0,0,G89/F89)</f>
        <v>0</v>
      </c>
      <c r="J89" s="103">
        <f>'33J'!BD$40/100</f>
        <v>0</v>
      </c>
      <c r="K89" s="154">
        <f>IF(G89=0,0,('33J'!$BD$38-'33J'!$BD$60-'33J'!$BE$60)/日報表!$G89)</f>
        <v>0</v>
      </c>
      <c r="L89" s="90"/>
      <c r="M89" s="90" t="str">
        <f t="array" ref="M89">IF(ISERROR(AVERAGEA(IF(A89=斷絲!$X$4:$Z$4,斷絲!$X$39:$Z$39))),"",AVERAGEA(IF(A89=斷絲!$X$4:$Z$4,斷絲!$X$39:$Z$39)))</f>
        <v/>
      </c>
      <c r="N89" s="109">
        <f>IF(G89=0,0,'33J'!$BD$41/G89)</f>
        <v>0</v>
      </c>
      <c r="O89" s="167"/>
      <c r="P89" s="1147"/>
      <c r="Q89" s="82"/>
      <c r="R89" s="115">
        <f>'33J'!BF$3</f>
        <v>0</v>
      </c>
      <c r="S89" s="244"/>
      <c r="U89" s="465" t="str">
        <f>IF(ISNA(HLOOKUP(A89,IAD!$6:$10,5,0)),"",(HLOOKUP(A89,IAD!$6:$10,5,0)))</f>
        <v/>
      </c>
    </row>
    <row r="90" spans="1:25" ht="19.5" hidden="1" customHeight="1" thickBot="1">
      <c r="A90" s="225">
        <f>'33J'!BG3</f>
        <v>0</v>
      </c>
      <c r="B90" s="446">
        <f>'33J'!BG$4</f>
        <v>0</v>
      </c>
      <c r="C90" s="447"/>
      <c r="D90" s="99">
        <f>'33J'!BG37</f>
        <v>0</v>
      </c>
      <c r="E90" s="100">
        <f>'33J'!BI4</f>
        <v>0</v>
      </c>
      <c r="F90" s="101">
        <f>'33J'!BH37</f>
        <v>0</v>
      </c>
      <c r="G90" s="387">
        <f>'33J'!BI$37-'33J'!BG$61</f>
        <v>0</v>
      </c>
      <c r="H90" s="101" t="e">
        <f>IF(R90="","",(G90*(150/R90)*(900/E90)))</f>
        <v>#DIV/0!</v>
      </c>
      <c r="I90" s="102">
        <f t="shared" si="8"/>
        <v>0</v>
      </c>
      <c r="J90" s="145">
        <f>'33J'!BG$40/100</f>
        <v>0</v>
      </c>
      <c r="K90" s="155">
        <f>IF(G90=0,0,('33J'!$BG$38-'33J'!$BG$60-'33J'!$BH$60)/日報表!$G90)</f>
        <v>0</v>
      </c>
      <c r="L90" s="134"/>
      <c r="M90" s="134" t="str">
        <f t="array" ref="M90">IF(ISERROR(AVERAGEA(IF(A90=斷絲!$X$4:$Z$4,斷絲!$X$39:$Z$39))),"",AVERAGEA(IF(A90=斷絲!$X$4:$Z$4,斷絲!$X$39:$Z$39)))</f>
        <v/>
      </c>
      <c r="N90" s="148">
        <f>IF(G90=0,0,'33J'!$BG$41/G90)</f>
        <v>0</v>
      </c>
      <c r="O90" s="448"/>
      <c r="P90" s="1148"/>
      <c r="Q90" s="82"/>
      <c r="R90" s="115">
        <f>'33J'!BI$3</f>
        <v>0</v>
      </c>
      <c r="S90" s="244"/>
      <c r="U90" s="465" t="str">
        <f>IF(ISNA(HLOOKUP(A90,IAD!$6:$10,5,0)),"",(HLOOKUP(A90,IAD!$6:$10,5,0)))</f>
        <v/>
      </c>
    </row>
    <row r="91" spans="1:25" ht="19.5" customHeight="1" thickBot="1">
      <c r="A91" s="503" t="s">
        <v>90</v>
      </c>
      <c r="B91" s="149">
        <f t="array" ref="B91">SUM(D71:D90*R71:R90)/D91</f>
        <v>282</v>
      </c>
      <c r="C91" s="247">
        <f t="array" ref="C91">SUM(E71:E90*D71:D90)/D91</f>
        <v>600</v>
      </c>
      <c r="D91" s="112">
        <f>SUM(D71:D90)</f>
        <v>0.42499999999999999</v>
      </c>
      <c r="E91" s="113" t="s">
        <v>24</v>
      </c>
      <c r="F91" s="142">
        <f>SUM(F71:F90)</f>
        <v>49704.191999999981</v>
      </c>
      <c r="G91" s="386">
        <f>SUM(G71:G90)</f>
        <v>35763</v>
      </c>
      <c r="H91" s="136" t="e">
        <f>SUM(H61:H80)</f>
        <v>#DIV/0!</v>
      </c>
      <c r="I91" s="68">
        <f>G91/F91</f>
        <v>0.71951677637169942</v>
      </c>
      <c r="J91" s="114"/>
      <c r="K91" s="69">
        <f t="array" ref="K91">IF(ISERROR((SUM(G71:G90*K71:K90))/(G91+G69)),0,((SUM(G71:G90*K71:K90))/(G91+G69)))</f>
        <v>0.96034747404812504</v>
      </c>
      <c r="L91" s="156" t="str">
        <f t="array" ref="L91">IF(ISERROR(AVERAGE(L71:L90)),"",(AVERAGE(L71:L90)))</f>
        <v/>
      </c>
      <c r="M91" s="190">
        <f>IF((斷絲!AB38)="","",(斷絲!AB38))</f>
        <v>2.9933333333333336</v>
      </c>
      <c r="N91" s="71">
        <f t="array" ref="N91">IF(ISERROR(SUM(G71:G90*N71:N90)/(G91+G69)),0,(SUM(G71:G90*N71:N90)/(G91+G69)))</f>
        <v>0.88279627362227897</v>
      </c>
      <c r="O91" s="170">
        <f t="array" ref="O91">IF(ISERROR(SUM(G71:G90*O71:O90)/$G$91),0,(SUM(G71:G90*O71:O90)/$G$91))</f>
        <v>5.5</v>
      </c>
      <c r="P91" s="1149" t="s">
        <v>17460</v>
      </c>
      <c r="Q91" s="82"/>
      <c r="S91" s="244"/>
      <c r="U91" s="465" t="str">
        <f>IF(ISNA(HLOOKUP(A91,IAD!$6:$8,3,0)),"",(HLOOKUP(A91,IAD!$6:$8,3,0)))</f>
        <v/>
      </c>
    </row>
    <row r="92" spans="1:25" s="75" customFormat="1" ht="19.5" customHeight="1" thickTop="1" thickBot="1">
      <c r="A92" s="178" t="s">
        <v>18</v>
      </c>
      <c r="B92" s="588" t="s">
        <v>386</v>
      </c>
      <c r="C92" s="180"/>
      <c r="D92" s="181"/>
      <c r="E92" s="279" t="s">
        <v>133</v>
      </c>
      <c r="F92" s="279"/>
      <c r="G92" s="388">
        <f>($B$184/$G$185)*G110</f>
        <v>5.7765980116439053</v>
      </c>
      <c r="H92" s="182"/>
      <c r="I92" s="183"/>
      <c r="J92" s="184"/>
      <c r="K92" s="264"/>
      <c r="L92" s="186"/>
      <c r="M92" s="187"/>
      <c r="N92" s="188"/>
      <c r="O92" s="189"/>
      <c r="P92" s="1150"/>
      <c r="Q92" s="74"/>
      <c r="R92" s="115"/>
      <c r="S92" s="244"/>
      <c r="T92" s="243"/>
      <c r="U92" s="465" t="str">
        <f>IF(ISNA(HLOOKUP(A92,IAD!$6:$8,3,0)),"",(HLOOKUP(A92,IAD!$6:$8,3,0)))</f>
        <v/>
      </c>
      <c r="V92" s="682"/>
      <c r="W92" s="682"/>
      <c r="X92" s="682"/>
      <c r="Y92" s="682"/>
    </row>
    <row r="93" spans="1:25" ht="19.5" customHeight="1" thickTop="1">
      <c r="A93" s="368" t="s">
        <v>111</v>
      </c>
      <c r="B93" s="369" t="s">
        <v>97</v>
      </c>
      <c r="C93" s="369" t="s">
        <v>98</v>
      </c>
      <c r="D93" s="369" t="s">
        <v>3</v>
      </c>
      <c r="E93" s="369" t="s">
        <v>115</v>
      </c>
      <c r="F93" s="370" t="s">
        <v>101</v>
      </c>
      <c r="G93" s="370" t="s">
        <v>117</v>
      </c>
      <c r="H93" s="370" t="s">
        <v>103</v>
      </c>
      <c r="I93" s="369" t="s">
        <v>104</v>
      </c>
      <c r="J93" s="369" t="s">
        <v>120</v>
      </c>
      <c r="K93" s="371" t="s">
        <v>106</v>
      </c>
      <c r="L93" s="369" t="s">
        <v>95</v>
      </c>
      <c r="M93" s="373" t="s">
        <v>122</v>
      </c>
      <c r="N93" s="371" t="s">
        <v>123</v>
      </c>
      <c r="O93" s="371" t="s">
        <v>124</v>
      </c>
      <c r="P93" s="1145" t="s">
        <v>125</v>
      </c>
      <c r="Q93" s="82"/>
      <c r="R93" s="261" t="s">
        <v>208</v>
      </c>
      <c r="S93" s="262" t="s">
        <v>88</v>
      </c>
      <c r="T93" s="262" t="s">
        <v>207</v>
      </c>
      <c r="U93" s="463" t="s">
        <v>209</v>
      </c>
      <c r="V93" s="463" t="s">
        <v>447</v>
      </c>
      <c r="W93" s="463" t="s">
        <v>448</v>
      </c>
      <c r="X93" s="463" t="s">
        <v>449</v>
      </c>
      <c r="Y93" s="463" t="s">
        <v>450</v>
      </c>
    </row>
    <row r="94" spans="1:25" ht="19.5" customHeight="1">
      <c r="A94" s="72" t="str">
        <f>MPS!B3</f>
        <v>2FA132</v>
      </c>
      <c r="B94" s="94" t="str">
        <f>MPS!B4</f>
        <v>75/72SDM</v>
      </c>
      <c r="C94" s="110" t="s">
        <v>17435</v>
      </c>
      <c r="D94" s="95">
        <f>MPS!B37</f>
        <v>0.375</v>
      </c>
      <c r="E94" s="96">
        <f>MPS!D4</f>
        <v>550</v>
      </c>
      <c r="F94" s="97">
        <f>MPS!C37</f>
        <v>6652.7999999999993</v>
      </c>
      <c r="G94" s="385">
        <f>MPS!D37-MPS!B61</f>
        <v>1680</v>
      </c>
      <c r="H94" s="86">
        <f t="shared" ref="H94:H103" si="9">IF(R94="","",(G94*(150/R94)*(900/E94)*216/144))</f>
        <v>8836.3636363636379</v>
      </c>
      <c r="I94" s="87">
        <f>IF(F94=0,0,G94/F94)</f>
        <v>0.25252525252525254</v>
      </c>
      <c r="J94" s="103">
        <f>MPS!B40/100</f>
        <v>0</v>
      </c>
      <c r="K94" s="154">
        <f>IF(G94=0,0,(MPS!B$38-MPS!B$60-MPS!C$60)/$G94)</f>
        <v>1</v>
      </c>
      <c r="L94" s="90">
        <f t="array" ref="L94">IF(ISERROR(AVERAGEA(IF(A94=斷絲!$4:$4,斷絲!$27:$27))),"",AVERAGEA(IF(A94=斷絲!$4:$4,斷絲!$27:$27)))</f>
        <v>5.5</v>
      </c>
      <c r="M94" s="90">
        <f t="array" ref="M94">IF(ISERROR(AVERAGEA(IF(A94=斷絲!$AP$4:$AS$4,斷絲!$AP$39:$AS$39))),"",AVERAGEA(IF(A94=斷絲!$AP$4:$AS$4,斷絲!$AP$39:$AS$39)))</f>
        <v>11.681818181818182</v>
      </c>
      <c r="N94" s="109">
        <f>IF(G94=0,0,MPS!B$41/G94)</f>
        <v>1</v>
      </c>
      <c r="O94" s="169">
        <v>4</v>
      </c>
      <c r="P94" s="1141" t="s">
        <v>17445</v>
      </c>
      <c r="Q94" s="82"/>
      <c r="R94" s="115">
        <f>MPS!D$3</f>
        <v>70</v>
      </c>
      <c r="S94" s="244" t="s">
        <v>17446</v>
      </c>
      <c r="T94" s="243" t="s">
        <v>17447</v>
      </c>
      <c r="U94" s="465" t="str">
        <f>IF(ISNA(HLOOKUP(A94,IAD!$6:$10,5,0)),"",(HLOOKUP(A94,IAD!$6:$10,5,0)))</f>
        <v>白藍方塊</v>
      </c>
    </row>
    <row r="95" spans="1:25" ht="19.5" customHeight="1" thickBot="1">
      <c r="A95" s="72">
        <f>MPS!E3</f>
        <v>0</v>
      </c>
      <c r="B95" s="83">
        <f>MPS!E4</f>
        <v>0</v>
      </c>
      <c r="C95" s="110"/>
      <c r="D95" s="84">
        <f>MPS!E37</f>
        <v>0</v>
      </c>
      <c r="E95" s="85">
        <f>MPS!G4</f>
        <v>0</v>
      </c>
      <c r="F95" s="97">
        <f>MPS!F37</f>
        <v>0</v>
      </c>
      <c r="G95" s="385">
        <f>MPS!G37-MPS!E61</f>
        <v>0</v>
      </c>
      <c r="H95" s="86" t="e">
        <f t="shared" si="9"/>
        <v>#DIV/0!</v>
      </c>
      <c r="I95" s="87">
        <f>IF(F95=0,0,G95/F95)</f>
        <v>0</v>
      </c>
      <c r="J95" s="88">
        <f>MPS!E40/100</f>
        <v>0</v>
      </c>
      <c r="K95" s="154">
        <f>IF(G95=0,0,(MPS!E$38-MPS!E$60-MPS!F$60)/$G95)</f>
        <v>0</v>
      </c>
      <c r="L95" s="90"/>
      <c r="M95" s="90" t="str">
        <f t="array" ref="M95">IF(ISERROR(AVERAGE(IF(A95=斷絲!$AP$4:$AQ$4,斷絲!$AP$39:$AQ$39))),"",AVERAGE(IF(A95=斷絲!$AP$4:$AQ$4,斷絲!$AP$39:$AQ$39)))</f>
        <v/>
      </c>
      <c r="N95" s="109">
        <f>IF(G95=0,0,MPS!E$41/日報表!G95)</f>
        <v>0</v>
      </c>
      <c r="O95" s="169"/>
      <c r="P95" s="1141"/>
      <c r="Q95" s="82"/>
      <c r="R95" s="115">
        <f>MPS!G$3</f>
        <v>0</v>
      </c>
      <c r="S95" s="244"/>
      <c r="U95" s="465" t="str">
        <f>IF(ISNA(HLOOKUP(A95,IAD!$6:$10,5,0)),"",(HLOOKUP(A95,IAD!$6:$10,5,0)))</f>
        <v/>
      </c>
    </row>
    <row r="96" spans="1:25" ht="19.5" hidden="1" customHeight="1">
      <c r="A96" s="72">
        <f>MPS!H3</f>
        <v>0</v>
      </c>
      <c r="B96" s="83">
        <f>MPS!H4</f>
        <v>0</v>
      </c>
      <c r="C96" s="110"/>
      <c r="D96" s="84">
        <f>MPS!H37</f>
        <v>0</v>
      </c>
      <c r="E96" s="85">
        <f>MPS!J4</f>
        <v>0</v>
      </c>
      <c r="F96" s="86">
        <f>MPS!I37</f>
        <v>0</v>
      </c>
      <c r="G96" s="384">
        <f>MPS!J37-MPS!H61</f>
        <v>0</v>
      </c>
      <c r="H96" s="86" t="e">
        <f t="shared" si="9"/>
        <v>#DIV/0!</v>
      </c>
      <c r="I96" s="87">
        <f>IF(F96=0,0,G96/F96)</f>
        <v>0</v>
      </c>
      <c r="J96" s="88">
        <f>MPS!H40/100</f>
        <v>0</v>
      </c>
      <c r="K96" s="154">
        <f>IF(G96=0,0,(MPS!H$38-MPS!H$60-MPS!I$60)/$G96)</f>
        <v>0</v>
      </c>
      <c r="L96" s="90"/>
      <c r="M96" s="90" t="str">
        <f t="array" ref="M96">IF(ISERROR(AVERAGE(IF(A96=斷絲!$AP$4:$AQ$4,斷絲!$AP$39:$AQ$39))),"",AVERAGE(IF(A96=斷絲!$AP$4:$AQ$4,斷絲!$AP$39:$AQ$39)))</f>
        <v/>
      </c>
      <c r="N96" s="109">
        <f>IF(G96=0,0,MPS!H$41/日報表!G96)</f>
        <v>0</v>
      </c>
      <c r="O96" s="169"/>
      <c r="P96" s="1141"/>
      <c r="Q96" s="82"/>
      <c r="R96" s="115">
        <f>MPS!J$3</f>
        <v>0</v>
      </c>
      <c r="S96" s="244"/>
      <c r="U96" s="465" t="str">
        <f>IF(ISNA(HLOOKUP(A96,IAD!$6:$10,5,0)),"",(HLOOKUP(A96,IAD!$6:$10,5,0)))</f>
        <v/>
      </c>
    </row>
    <row r="97" spans="1:25" ht="19.5" hidden="1" customHeight="1">
      <c r="A97" s="72">
        <f>MPS!K3</f>
        <v>0</v>
      </c>
      <c r="B97" s="83">
        <f>MPS!K4</f>
        <v>0</v>
      </c>
      <c r="C97" s="110"/>
      <c r="D97" s="84">
        <f>MPS!K37</f>
        <v>0</v>
      </c>
      <c r="E97" s="85">
        <f>MPS!M4</f>
        <v>0</v>
      </c>
      <c r="F97" s="86">
        <f>MPS!L37</f>
        <v>0</v>
      </c>
      <c r="G97" s="384">
        <f>MPS!M37-MPS!K61</f>
        <v>0</v>
      </c>
      <c r="H97" s="86" t="e">
        <f t="shared" si="9"/>
        <v>#DIV/0!</v>
      </c>
      <c r="I97" s="87">
        <f>IF(F97=0,0,G97/F97)</f>
        <v>0</v>
      </c>
      <c r="J97" s="88">
        <f>MPS!K40/100</f>
        <v>0</v>
      </c>
      <c r="K97" s="154">
        <f>IF(G97=0,0,(MPS!K$38-MPS!K$60-MPS!L$60)/$G97)</f>
        <v>0</v>
      </c>
      <c r="L97" s="90"/>
      <c r="M97" s="90" t="str">
        <f t="array" ref="M97">IF(ISERROR(AVERAGE(IF(A97=斷絲!$AP$4:$AQ$4,斷絲!$AP$39:$AQ$39))),"",AVERAGE(IF(A97=斷絲!$AP$4:$AQ$4,斷絲!$AP$39:$AQ$39)))</f>
        <v/>
      </c>
      <c r="N97" s="109">
        <f>IF(G97=0,0,MPS!K$41/日報表!G97)</f>
        <v>0</v>
      </c>
      <c r="O97" s="169"/>
      <c r="P97" s="1141"/>
      <c r="Q97" s="82"/>
      <c r="R97" s="115">
        <f>MPS!M$3</f>
        <v>0</v>
      </c>
      <c r="S97" s="244"/>
      <c r="U97" s="465" t="str">
        <f>IF(ISNA(HLOOKUP(A97,IAD!$6:$10,5,0)),"",(HLOOKUP(A97,IAD!$6:$10,5,0)))</f>
        <v/>
      </c>
    </row>
    <row r="98" spans="1:25" ht="19.5" hidden="1" customHeight="1">
      <c r="A98" s="72">
        <f>MPS!N3</f>
        <v>0</v>
      </c>
      <c r="B98" s="94">
        <f>MPS!N4</f>
        <v>0</v>
      </c>
      <c r="C98" s="110"/>
      <c r="D98" s="95">
        <f>MPS!N37</f>
        <v>0</v>
      </c>
      <c r="E98" s="96">
        <f>MPS!P4</f>
        <v>0</v>
      </c>
      <c r="F98" s="97">
        <f>MPS!O37</f>
        <v>0</v>
      </c>
      <c r="G98" s="385">
        <f>MPS!P37-MPS!N61</f>
        <v>0</v>
      </c>
      <c r="H98" s="86" t="e">
        <f t="shared" si="9"/>
        <v>#DIV/0!</v>
      </c>
      <c r="I98" s="87">
        <f>IF(G98=0,0,G98/F98)</f>
        <v>0</v>
      </c>
      <c r="J98" s="103">
        <f>MPS!N40/100</f>
        <v>0</v>
      </c>
      <c r="K98" s="154">
        <f>IF(G98=0,0,(MPS!N$38-MPS!N$60-MPS!O$60)/$G98)</f>
        <v>0</v>
      </c>
      <c r="L98" s="90"/>
      <c r="M98" s="90" t="str">
        <f t="array" ref="M98">IF(ISERROR(AVERAGE(IF(A98=斷絲!$AP$4:$AQ$4,斷絲!$AP$39:$AQ$39))),"",AVERAGE(IF(A98=斷絲!$AP$4:$AQ$4,斷絲!$AP$39:$AQ$39)))</f>
        <v/>
      </c>
      <c r="N98" s="109">
        <f>IF(G98=0,0,MPS!N$41/日報表!G98)</f>
        <v>0</v>
      </c>
      <c r="O98" s="169"/>
      <c r="P98" s="1141"/>
      <c r="Q98" s="82"/>
      <c r="R98" s="115">
        <f>MPS!P$3</f>
        <v>0</v>
      </c>
      <c r="S98" s="244"/>
      <c r="U98" s="465" t="str">
        <f>IF(ISNA(HLOOKUP(A98,IAD!$6:$10,5,0)),"",(HLOOKUP(A98,IAD!$6:$10,5,0)))</f>
        <v/>
      </c>
    </row>
    <row r="99" spans="1:25" ht="19.5" hidden="1" customHeight="1">
      <c r="A99" s="72">
        <f>MPS!Q3</f>
        <v>0</v>
      </c>
      <c r="B99" s="94">
        <f>MPS!Q4</f>
        <v>0</v>
      </c>
      <c r="C99" s="110"/>
      <c r="D99" s="95">
        <f>MPS!Q37</f>
        <v>0</v>
      </c>
      <c r="E99" s="96">
        <f>MPS!S4</f>
        <v>0</v>
      </c>
      <c r="F99" s="97">
        <f>MPS!R37</f>
        <v>0</v>
      </c>
      <c r="G99" s="385">
        <f>MPS!S37-MPS!Q61</f>
        <v>0</v>
      </c>
      <c r="H99" s="86" t="e">
        <f t="shared" si="9"/>
        <v>#DIV/0!</v>
      </c>
      <c r="I99" s="87">
        <f>IF(F99=0,0,G99/F99)</f>
        <v>0</v>
      </c>
      <c r="J99" s="103">
        <f>MPS!Q40/100</f>
        <v>0</v>
      </c>
      <c r="K99" s="154">
        <f>IF(G99=0,0,(MPS!Q$38-MPS!Q$60-MPS!R$60)/$G99)</f>
        <v>0</v>
      </c>
      <c r="L99" s="90"/>
      <c r="M99" s="90" t="str">
        <f t="array" ref="M99">IF(ISERROR(AVERAGE(IF(A99=斷絲!$AP$4:$AQ$4,斷絲!$AP$39:$AQ$39))),"",AVERAGE(IF(A99=斷絲!$AP$4:$AQ$4,斷絲!$AP$39:$AQ$39)))</f>
        <v/>
      </c>
      <c r="N99" s="109">
        <f>IF(G99=0,0,MPS!Q$41/G99)</f>
        <v>0</v>
      </c>
      <c r="O99" s="169"/>
      <c r="P99" s="1141"/>
      <c r="Q99" s="82"/>
      <c r="R99" s="115">
        <f>MPS!S$3</f>
        <v>0</v>
      </c>
      <c r="S99" s="244"/>
      <c r="U99" s="465" t="str">
        <f>IF(ISNA(HLOOKUP(A99,IAD!$6:$10,5,0)),"",(HLOOKUP(A99,IAD!$6:$10,5,0)))</f>
        <v/>
      </c>
    </row>
    <row r="100" spans="1:25" ht="19.5" hidden="1" customHeight="1">
      <c r="A100" s="72">
        <f>MPS!T3</f>
        <v>0</v>
      </c>
      <c r="B100" s="83">
        <f>MPS!T4</f>
        <v>0</v>
      </c>
      <c r="C100" s="110"/>
      <c r="D100" s="84">
        <f>MPS!T37</f>
        <v>0</v>
      </c>
      <c r="E100" s="85">
        <f>MPS!V4</f>
        <v>0</v>
      </c>
      <c r="F100" s="97">
        <f>MPS!U37</f>
        <v>0</v>
      </c>
      <c r="G100" s="385">
        <f>MPS!V37-MPS!T61</f>
        <v>0</v>
      </c>
      <c r="H100" s="86" t="e">
        <f t="shared" si="9"/>
        <v>#DIV/0!</v>
      </c>
      <c r="I100" s="87">
        <f>IF(F100=0,0,G100/F100)</f>
        <v>0</v>
      </c>
      <c r="J100" s="88">
        <f>MPS!T40/100</f>
        <v>0</v>
      </c>
      <c r="K100" s="154">
        <f>IF(G100=0,0,(MPS!T$38-MPS!T$60-MPS!U$60)/$G100)</f>
        <v>0</v>
      </c>
      <c r="L100" s="90"/>
      <c r="M100" s="90" t="str">
        <f t="array" ref="M100">IF(ISERROR(AVERAGE(IF(A100=斷絲!$AP$4:$AQ$4,斷絲!$AP$39:$AQ$39))),"",AVERAGE(IF(A100=斷絲!$AP$4:$AQ$4,斷絲!$AP$39:$AQ$39)))</f>
        <v/>
      </c>
      <c r="N100" s="109">
        <f>IF(G100=0,0,MPS!T$41/日報表!G100)</f>
        <v>0</v>
      </c>
      <c r="O100" s="169"/>
      <c r="P100" s="1141"/>
      <c r="Q100" s="82"/>
      <c r="R100" s="115">
        <f>MPS!V$3</f>
        <v>0</v>
      </c>
      <c r="S100" s="244"/>
      <c r="U100" s="465" t="str">
        <f>IF(ISNA(HLOOKUP(A100,IAD!$6:$10,5,0)),"",(HLOOKUP(A100,IAD!$6:$10,5,0)))</f>
        <v/>
      </c>
    </row>
    <row r="101" spans="1:25" ht="19.5" hidden="1" customHeight="1">
      <c r="A101" s="72">
        <f>MPS!W3</f>
        <v>0</v>
      </c>
      <c r="B101" s="83">
        <f>MPS!W4</f>
        <v>0</v>
      </c>
      <c r="C101" s="110"/>
      <c r="D101" s="84">
        <f>MPS!W37</f>
        <v>0</v>
      </c>
      <c r="E101" s="85">
        <f>MPS!Y4</f>
        <v>0</v>
      </c>
      <c r="F101" s="86">
        <f>MPS!X37</f>
        <v>0</v>
      </c>
      <c r="G101" s="384">
        <f>MPS!Y37-MPS!W61</f>
        <v>0</v>
      </c>
      <c r="H101" s="86" t="e">
        <f t="shared" si="9"/>
        <v>#DIV/0!</v>
      </c>
      <c r="I101" s="87">
        <f>IF(F101=0,0,G101/F101)</f>
        <v>0</v>
      </c>
      <c r="J101" s="88">
        <f>MPS!W40/100</f>
        <v>0</v>
      </c>
      <c r="K101" s="154">
        <f>IF(G101=0,0,(MPS!W$38-MPS!W$60-MPS!X$60)/$G101)</f>
        <v>0</v>
      </c>
      <c r="L101" s="90"/>
      <c r="M101" s="90" t="str">
        <f t="array" ref="M101">IF(ISERROR(AVERAGE(IF(A101=斷絲!$AP$4:$AQ$4,斷絲!$AP$39:$AQ$39))),"",AVERAGE(IF(A101=斷絲!$AP$4:$AQ$4,斷絲!$AP$39:$AQ$39)))</f>
        <v/>
      </c>
      <c r="N101" s="109">
        <f>IF(G101=0,0,MPS!W$41/日報表!G101)</f>
        <v>0</v>
      </c>
      <c r="O101" s="169"/>
      <c r="P101" s="1141"/>
      <c r="Q101" s="82"/>
      <c r="R101" s="115">
        <f>MPS!Y$3</f>
        <v>0</v>
      </c>
      <c r="S101" s="244"/>
      <c r="U101" s="465" t="str">
        <f>IF(ISNA(HLOOKUP(A101,IAD!$6:$10,5,0)),"",(HLOOKUP(A101,IAD!$6:$10,5,0)))</f>
        <v/>
      </c>
    </row>
    <row r="102" spans="1:25" ht="19.5" hidden="1" customHeight="1">
      <c r="A102" s="72">
        <f>MPS!Z3</f>
        <v>0</v>
      </c>
      <c r="B102" s="83">
        <f>MPS!Z4</f>
        <v>0</v>
      </c>
      <c r="C102" s="110"/>
      <c r="D102" s="84">
        <f>MPS!Z37</f>
        <v>0</v>
      </c>
      <c r="E102" s="85">
        <f>MPS!AB4</f>
        <v>0</v>
      </c>
      <c r="F102" s="86">
        <f>MPS!AA37/2</f>
        <v>0</v>
      </c>
      <c r="G102" s="384">
        <f>MPS!AB37-MPS!Z61</f>
        <v>0</v>
      </c>
      <c r="H102" s="86" t="e">
        <f t="shared" si="9"/>
        <v>#DIV/0!</v>
      </c>
      <c r="I102" s="87">
        <f>IF(F102=0,0,G102/F102)</f>
        <v>0</v>
      </c>
      <c r="J102" s="88">
        <f>MPS!Z40/100</f>
        <v>0</v>
      </c>
      <c r="K102" s="154">
        <f>IF(G102=0,0,(MPS!Z$38-MPS!Z$60-MPS!AA$60)/$G102)</f>
        <v>0</v>
      </c>
      <c r="L102" s="90"/>
      <c r="M102" s="90" t="str">
        <f t="array" ref="M102">IF(ISERROR(AVERAGE(IF(A102=斷絲!$AP$4:$AQ$4,斷絲!$AP$39:$AQ$39))),"",AVERAGE(IF(A102=斷絲!$AP$4:$AQ$4,斷絲!$AP$39:$AQ$39)))</f>
        <v/>
      </c>
      <c r="N102" s="109">
        <f>IF(G102=0,0,MPS!Z$41/日報表!G102)</f>
        <v>0</v>
      </c>
      <c r="O102" s="169"/>
      <c r="P102" s="1141"/>
      <c r="Q102" s="82"/>
      <c r="R102" s="115">
        <f>MPS!AB$3</f>
        <v>0</v>
      </c>
      <c r="S102" s="244"/>
      <c r="U102" s="465" t="str">
        <f>IF(ISNA(HLOOKUP(A102,IAD!$6:$10,5,0)),"",(HLOOKUP(A102,IAD!$6:$10,5,0)))</f>
        <v/>
      </c>
    </row>
    <row r="103" spans="1:25" ht="19.5" hidden="1" customHeight="1">
      <c r="A103" s="72">
        <f>MPS!AC3</f>
        <v>0</v>
      </c>
      <c r="B103" s="94">
        <f>MPS!AC4</f>
        <v>0</v>
      </c>
      <c r="C103" s="110"/>
      <c r="D103" s="95">
        <f>MPS!AC37</f>
        <v>0</v>
      </c>
      <c r="E103" s="96">
        <f>MPS!AE4</f>
        <v>0</v>
      </c>
      <c r="F103" s="97">
        <f>MPS!AD37/2</f>
        <v>0</v>
      </c>
      <c r="G103" s="385">
        <f>MPS!AE37-MPS!AC61</f>
        <v>0</v>
      </c>
      <c r="H103" s="86" t="e">
        <f t="shared" si="9"/>
        <v>#DIV/0!</v>
      </c>
      <c r="I103" s="87">
        <f t="shared" ref="I103:I109" si="10">IF(G103=0,0,G103/F103)</f>
        <v>0</v>
      </c>
      <c r="J103" s="103">
        <f>MPS!AC40/100</f>
        <v>0</v>
      </c>
      <c r="K103" s="154">
        <f>IF(G103=0,0,(MPS!AC$38-MPS!AC$60-MPS!AD$60)/$G103)</f>
        <v>0</v>
      </c>
      <c r="L103" s="90"/>
      <c r="M103" s="90" t="str">
        <f t="array" ref="M103">IF(ISERROR(AVERAGE(IF(A103=斷絲!$AP$4:$AQ$4,斷絲!$AP$39:$AQ$39))),"",AVERAGE(IF(A103=斷絲!$AP$4:$AQ$4,斷絲!$AP$39:$AQ$39)))</f>
        <v/>
      </c>
      <c r="N103" s="109">
        <f>IF(G103=0,0,MPS!AC$41/日報表!G103)</f>
        <v>0</v>
      </c>
      <c r="O103" s="169"/>
      <c r="P103" s="1141"/>
      <c r="Q103" s="82"/>
      <c r="R103" s="115">
        <f>MPS!AE$3</f>
        <v>0</v>
      </c>
      <c r="S103" s="244"/>
      <c r="U103" s="465" t="str">
        <f>IF(ISNA(HLOOKUP(A103,IAD!$6:$10,5,0)),"",(HLOOKUP(A103,IAD!$6:$10,5,0)))</f>
        <v/>
      </c>
    </row>
    <row r="104" spans="1:25" ht="19.5" hidden="1" customHeight="1">
      <c r="A104" s="72">
        <f>MPS!AF3</f>
        <v>0</v>
      </c>
      <c r="B104" s="83">
        <f>MPS!AF4</f>
        <v>0</v>
      </c>
      <c r="C104" s="110"/>
      <c r="D104" s="84">
        <f>MPS!AF37</f>
        <v>0</v>
      </c>
      <c r="E104" s="85">
        <f>MPS!AH4</f>
        <v>0</v>
      </c>
      <c r="F104" s="86">
        <f>MPS!AG37</f>
        <v>0</v>
      </c>
      <c r="G104" s="384">
        <f>MPS!AH37-MPS!AF61</f>
        <v>0</v>
      </c>
      <c r="H104" s="86" t="e">
        <f t="shared" ref="H104:H109" si="11">IF(R104="","",(G104*(150/R104)*(900/E104)*216/144))</f>
        <v>#DIV/0!</v>
      </c>
      <c r="I104" s="87">
        <f t="shared" si="10"/>
        <v>0</v>
      </c>
      <c r="J104" s="88">
        <f>MPS!AF40/100</f>
        <v>0</v>
      </c>
      <c r="K104" s="154">
        <f>IF(G104=0,0,(MPS!AF$38-MPS!AF$60-MPS!AG$60)/$G104)</f>
        <v>0</v>
      </c>
      <c r="L104" s="90"/>
      <c r="M104" s="90" t="str">
        <f t="array" ref="M104">IF(ISERROR(AVERAGE(IF(A104=斷絲!$AP$4:$AQ$4,斷絲!$AP$39:$AQ$39))),"",AVERAGE(IF(A104=斷絲!$AP$4:$AQ$4,斷絲!$AP$39:$AQ$39)))</f>
        <v/>
      </c>
      <c r="N104" s="109">
        <f>IF(G104=0,0,MPS!AF$41/日報表!G104)</f>
        <v>0</v>
      </c>
      <c r="O104" s="169"/>
      <c r="P104" s="1141"/>
      <c r="Q104" s="82"/>
      <c r="R104" s="115">
        <f>MPS!AH$3</f>
        <v>0</v>
      </c>
      <c r="S104" s="244"/>
      <c r="U104" s="465" t="str">
        <f>IF(ISNA(HLOOKUP(A104,IAD!$6:$10,5,0)),"",(HLOOKUP(A104,IAD!$6:$10,5,0)))</f>
        <v/>
      </c>
    </row>
    <row r="105" spans="1:25" ht="19.5" hidden="1" customHeight="1">
      <c r="A105" s="72">
        <f>MPS!AI3</f>
        <v>0</v>
      </c>
      <c r="B105" s="94">
        <f>MPS!AI4</f>
        <v>0</v>
      </c>
      <c r="C105" s="110"/>
      <c r="D105" s="95">
        <f>MPS!AI37</f>
        <v>0</v>
      </c>
      <c r="E105" s="96">
        <f>MPS!AK4</f>
        <v>0</v>
      </c>
      <c r="F105" s="97">
        <f>MPS!AJ37</f>
        <v>0</v>
      </c>
      <c r="G105" s="385">
        <f>MPS!AK37-MPS!AI61</f>
        <v>0</v>
      </c>
      <c r="H105" s="86" t="e">
        <f t="shared" si="11"/>
        <v>#DIV/0!</v>
      </c>
      <c r="I105" s="87">
        <f t="shared" si="10"/>
        <v>0</v>
      </c>
      <c r="J105" s="103">
        <f>MPS!AI40/100</f>
        <v>0</v>
      </c>
      <c r="K105" s="154">
        <f>IF(G105=0,0,(MPS!AI$38-MPS!AI$60-MPS!AJ$60)/$G105)</f>
        <v>0</v>
      </c>
      <c r="L105" s="90"/>
      <c r="M105" s="90" t="str">
        <f t="array" ref="M105">IF(ISERROR(AVERAGE(IF(A105=斷絲!$AP$4:$AQ$4,斷絲!$AP$39:$AQ$39))),"",AVERAGE(IF(A105=斷絲!$AP$4:$AQ$4,斷絲!$AP$39:$AQ$39)))</f>
        <v/>
      </c>
      <c r="N105" s="109">
        <f>IF(G105=0,0,MPS!AI$41/日報表!G105)</f>
        <v>0</v>
      </c>
      <c r="O105" s="169"/>
      <c r="P105" s="1141"/>
      <c r="Q105" s="82"/>
      <c r="R105" s="115">
        <f>MPS!AK$3</f>
        <v>0</v>
      </c>
      <c r="S105" s="244"/>
      <c r="U105" s="465" t="str">
        <f>IF(ISNA(HLOOKUP(A105,IAD!$6:$10,5,0)),"",(HLOOKUP(A105,IAD!$6:$10,5,0)))</f>
        <v/>
      </c>
    </row>
    <row r="106" spans="1:25" ht="19.5" hidden="1" customHeight="1">
      <c r="A106" s="72">
        <f>MPS!AL3</f>
        <v>0</v>
      </c>
      <c r="B106" s="94">
        <f>MPS!AL4</f>
        <v>0</v>
      </c>
      <c r="C106" s="110"/>
      <c r="D106" s="95">
        <f>MPS!AL37</f>
        <v>0</v>
      </c>
      <c r="E106" s="96">
        <f>MPS!AN4</f>
        <v>0</v>
      </c>
      <c r="F106" s="97">
        <f>MPS!AM37</f>
        <v>0</v>
      </c>
      <c r="G106" s="385">
        <f>MPS!AN37-MPS!AL61</f>
        <v>0</v>
      </c>
      <c r="H106" s="86" t="e">
        <f t="shared" si="11"/>
        <v>#DIV/0!</v>
      </c>
      <c r="I106" s="87">
        <f t="shared" si="10"/>
        <v>0</v>
      </c>
      <c r="J106" s="103">
        <f>MPS!AL40/100</f>
        <v>0</v>
      </c>
      <c r="K106" s="154">
        <f>IF(G106=0,0,(MPS!AL$38-MPS!AL$60-MPS!AM$60)/$G106)</f>
        <v>0</v>
      </c>
      <c r="L106" s="90"/>
      <c r="M106" s="90" t="str">
        <f t="array" ref="M106">IF(ISERROR(AVERAGE(IF(A106=斷絲!$AP$4:$AQ$4,斷絲!$AP$39:$AQ$39))),"",AVERAGE(IF(A106=斷絲!$AP$4:$AQ$4,斷絲!$AP$39:$AQ$39)))</f>
        <v/>
      </c>
      <c r="N106" s="109">
        <f>IF(G106=0,0,MPS!AL$41/日報表!G106)</f>
        <v>0</v>
      </c>
      <c r="O106" s="169"/>
      <c r="P106" s="1141"/>
      <c r="Q106" s="82"/>
      <c r="R106" s="115">
        <f>MPS!AN$3</f>
        <v>0</v>
      </c>
      <c r="S106" s="244"/>
      <c r="U106" s="465" t="str">
        <f>IF(ISNA(HLOOKUP(A106,IAD!$6:$10,5,0)),"",(HLOOKUP(A106,IAD!$6:$10,5,0)))</f>
        <v/>
      </c>
    </row>
    <row r="107" spans="1:25" ht="19.5" hidden="1" customHeight="1">
      <c r="A107" s="72">
        <f>MPS!AO3</f>
        <v>0</v>
      </c>
      <c r="B107" s="94">
        <f>MPS!AO4</f>
        <v>0</v>
      </c>
      <c r="C107" s="110"/>
      <c r="D107" s="95">
        <f>MPS!AO37</f>
        <v>0</v>
      </c>
      <c r="E107" s="96">
        <f>MPS!AQ4</f>
        <v>0</v>
      </c>
      <c r="F107" s="97">
        <f>MPS!AP37</f>
        <v>0</v>
      </c>
      <c r="G107" s="385">
        <f>MPS!AQ37-MPS!AO61</f>
        <v>0</v>
      </c>
      <c r="H107" s="86" t="e">
        <f t="shared" si="11"/>
        <v>#DIV/0!</v>
      </c>
      <c r="I107" s="87">
        <f t="shared" si="10"/>
        <v>0</v>
      </c>
      <c r="J107" s="103">
        <f>MPS!AO40/100</f>
        <v>0</v>
      </c>
      <c r="K107" s="154">
        <f>IF(G107=0,0,(MPS!AO$38-MPS!AO$60-MPS!AP$60)/$G107)</f>
        <v>0</v>
      </c>
      <c r="L107" s="90"/>
      <c r="M107" s="90" t="str">
        <f t="array" ref="M107">IF(ISERROR(AVERAGE(IF(A107=斷絲!$AP$4:$AQ$4,斷絲!$AP$39:$AQ$39))),"",AVERAGE(IF(A107=斷絲!$AP$4:$AQ$4,斷絲!$AP$39:$AQ$39)))</f>
        <v/>
      </c>
      <c r="N107" s="109">
        <f>IF(G107=0,0,MPS!AO$41/日報表!G107)</f>
        <v>0</v>
      </c>
      <c r="O107" s="169"/>
      <c r="P107" s="1140"/>
      <c r="Q107" s="82"/>
      <c r="R107" s="115">
        <f>MPS!AQ$3</f>
        <v>0</v>
      </c>
      <c r="S107" s="244"/>
      <c r="U107" s="465" t="str">
        <f>IF(ISNA(HLOOKUP(A107,IAD!$6:$10,5,0)),"",(HLOOKUP(A107,IAD!$6:$10,5,0)))</f>
        <v/>
      </c>
    </row>
    <row r="108" spans="1:25" ht="19.5" hidden="1" customHeight="1">
      <c r="A108" s="72">
        <f>MPS!AR3</f>
        <v>0</v>
      </c>
      <c r="B108" s="94">
        <f>MPS!AR4</f>
        <v>0</v>
      </c>
      <c r="C108" s="110"/>
      <c r="D108" s="95">
        <f>MPS!AR37</f>
        <v>0</v>
      </c>
      <c r="E108" s="96">
        <f>MPS!AT4</f>
        <v>0</v>
      </c>
      <c r="F108" s="97">
        <f>MPS!AS37</f>
        <v>0</v>
      </c>
      <c r="G108" s="385">
        <f>MPS!AT37-MPS!AR61</f>
        <v>0</v>
      </c>
      <c r="H108" s="86" t="e">
        <f t="shared" si="11"/>
        <v>#DIV/0!</v>
      </c>
      <c r="I108" s="87">
        <f t="shared" si="10"/>
        <v>0</v>
      </c>
      <c r="J108" s="103">
        <f>MPS!AR40/100</f>
        <v>0</v>
      </c>
      <c r="K108" s="154">
        <f>IF(G108=0,0,(MPS!AR$38-MPS!AR$60-MPS!AS$60)/$G108)</f>
        <v>0</v>
      </c>
      <c r="L108" s="90"/>
      <c r="M108" s="90" t="str">
        <f t="array" ref="M108">IF(ISERROR(AVERAGE(IF(A108=斷絲!$AP$4:$AQ$4,斷絲!$AP$39:$AQ$39))),"",AVERAGE(IF(A108=斷絲!$AP$4:$AQ$4,斷絲!$AP$39:$AQ$39)))</f>
        <v/>
      </c>
      <c r="N108" s="109">
        <f>IF(G108=0,0,MPS!AR$41/日報表!G108)</f>
        <v>0</v>
      </c>
      <c r="O108" s="169"/>
      <c r="P108" s="1140"/>
      <c r="Q108" s="82"/>
      <c r="R108" s="115">
        <f>MPS!AT$3</f>
        <v>0</v>
      </c>
      <c r="S108" s="244"/>
      <c r="U108" s="465" t="str">
        <f>IF(ISNA(HLOOKUP(A108,IAD!$6:$10,5,0)),"",(HLOOKUP(A108,IAD!$6:$10,5,0)))</f>
        <v/>
      </c>
    </row>
    <row r="109" spans="1:25" ht="19.5" hidden="1" customHeight="1" thickBot="1">
      <c r="A109" s="73">
        <f>MPS!AU3</f>
        <v>0</v>
      </c>
      <c r="B109" s="94">
        <f>MPS!AU4</f>
        <v>0</v>
      </c>
      <c r="C109" s="110"/>
      <c r="D109" s="95">
        <f>MPS!AU37</f>
        <v>0</v>
      </c>
      <c r="E109" s="96">
        <f>MPS!AW4</f>
        <v>0</v>
      </c>
      <c r="F109" s="97">
        <f>MPS!AV37</f>
        <v>0</v>
      </c>
      <c r="G109" s="385">
        <f>MPS!AW37-MPS!AU61</f>
        <v>0</v>
      </c>
      <c r="H109" s="97" t="e">
        <f t="shared" si="11"/>
        <v>#DIV/0!</v>
      </c>
      <c r="I109" s="111">
        <f t="shared" si="10"/>
        <v>0</v>
      </c>
      <c r="J109" s="103">
        <f>MPS!AU40/100</f>
        <v>0</v>
      </c>
      <c r="K109" s="154">
        <f>IF(G109=0,0,(MPS!AU$38-MPS!AU$60-MPS!AV$60)/$G109)</f>
        <v>0</v>
      </c>
      <c r="L109" s="134"/>
      <c r="M109" s="90" t="str">
        <f t="array" ref="M109">IF(ISERROR(AVERAGE(IF(A109=斷絲!$AP$4:$AQ$4,斷絲!$AP$39:$AQ$39))),"",AVERAGE(IF(A109=斷絲!$AP$4:$AQ$4,斷絲!$AP$39:$AQ$39)))</f>
        <v/>
      </c>
      <c r="N109" s="109">
        <f>IF(G109=0,0,MPS!AU$41/日報表!G109)</f>
        <v>0</v>
      </c>
      <c r="O109" s="169"/>
      <c r="P109" s="1151"/>
      <c r="Q109" s="82"/>
      <c r="R109" s="115">
        <f>MPS!AW$3</f>
        <v>0</v>
      </c>
      <c r="S109" s="244"/>
      <c r="U109" s="465" t="str">
        <f>IF(ISNA(HLOOKUP(A109,IAD!$6:$10,5,0)),"",(HLOOKUP(A109,IAD!$6:$10,5,0)))</f>
        <v/>
      </c>
    </row>
    <row r="110" spans="1:25" ht="19.5" customHeight="1" thickBot="1">
      <c r="A110" s="503" t="s">
        <v>91</v>
      </c>
      <c r="B110" s="149">
        <f t="array" ref="B110">IF(D110=0,0,SUM(D94:D109*R94:R109)/D110)</f>
        <v>70</v>
      </c>
      <c r="C110" s="247">
        <f t="array" ref="C110">IF(D110=0,0,SUM(E94:E109*D94:D109)/D110)</f>
        <v>550</v>
      </c>
      <c r="D110" s="112">
        <f>IF((SUM(D94:D109))=0,0,(SUM(D94:D109)))</f>
        <v>0.375</v>
      </c>
      <c r="E110" s="113" t="s">
        <v>25</v>
      </c>
      <c r="F110" s="142">
        <f>SUM(F94:F109)</f>
        <v>6652.7999999999993</v>
      </c>
      <c r="G110" s="386">
        <f>SUM(G94:G109)</f>
        <v>1680</v>
      </c>
      <c r="H110" s="136" t="e">
        <f>SUM(H99:H109)</f>
        <v>#DIV/0!</v>
      </c>
      <c r="I110" s="68">
        <f>G110/F110</f>
        <v>0.25252525252525254</v>
      </c>
      <c r="J110" s="114"/>
      <c r="K110" s="69">
        <f t="array" ref="K110">IF(ISERROR(SUM(G94:G109*K94:K109)/(G110+G92)),0,(SUM(G94:G109*K94:K109)/(G110+G92)))</f>
        <v>0.99657333123590786</v>
      </c>
      <c r="L110" s="70">
        <f>IF(ISERROR(AVERAGE(L94:L109)),"",(AVERAGE(L94:L109)))</f>
        <v>5.5</v>
      </c>
      <c r="M110" s="165">
        <f>IF((斷絲!AS38)="","",(斷絲!AS38))</f>
        <v>11.681818181818182</v>
      </c>
      <c r="N110" s="71">
        <f t="array" ref="N110">IF(ISERROR(SUM(G94:G109*N94:N109)/(G110+G92)),0,(SUM(G94:G109*N94:N109)/(G110+G92)))</f>
        <v>0.99657333123590786</v>
      </c>
      <c r="O110" s="170">
        <f t="array" ref="O110">IF(G110=0,"0",(SUM(G94:G109*O94:O109)/G110))</f>
        <v>4</v>
      </c>
      <c r="P110" s="1152" t="s">
        <v>17444</v>
      </c>
      <c r="Q110" s="82"/>
      <c r="S110" s="244"/>
      <c r="U110" s="465" t="str">
        <f>IF(ISNA(HLOOKUP(A110,IAD!$6:$8,3,0)),"",(HLOOKUP(A110,IAD!$6:$8,3,0)))</f>
        <v/>
      </c>
    </row>
    <row r="111" spans="1:25" s="75" customFormat="1" ht="19.5" customHeight="1" thickTop="1" thickBot="1">
      <c r="A111" s="178" t="s">
        <v>26</v>
      </c>
      <c r="B111" s="830" t="s">
        <v>688</v>
      </c>
      <c r="C111" s="831"/>
      <c r="D111" s="181"/>
      <c r="E111" s="279" t="s">
        <v>135</v>
      </c>
      <c r="F111" s="279"/>
      <c r="G111" s="388">
        <f>($B$184/$G$185)*(SUM(G113:G145))</f>
        <v>0</v>
      </c>
      <c r="H111" s="182"/>
      <c r="I111" s="183"/>
      <c r="J111" s="184"/>
      <c r="K111" s="185"/>
      <c r="L111" s="186"/>
      <c r="M111" s="187"/>
      <c r="N111" s="188"/>
      <c r="O111" s="189"/>
      <c r="P111" s="1150"/>
      <c r="Q111" s="74"/>
      <c r="R111" s="115"/>
      <c r="S111" s="244"/>
      <c r="T111" s="243"/>
      <c r="U111" s="465" t="str">
        <f>IF(ISNA(HLOOKUP(A111,IAD!$6:$8,3,0)),"",(HLOOKUP(A111,IAD!$6:$8,3,0)))</f>
        <v/>
      </c>
      <c r="V111" s="682"/>
      <c r="W111" s="682"/>
      <c r="X111" s="682"/>
      <c r="Y111" s="682"/>
    </row>
    <row r="112" spans="1:25" ht="19.5" customHeight="1" thickTop="1" thickBot="1">
      <c r="A112" s="374" t="s">
        <v>111</v>
      </c>
      <c r="B112" s="375" t="s">
        <v>112</v>
      </c>
      <c r="C112" s="375" t="s">
        <v>113</v>
      </c>
      <c r="D112" s="375" t="s">
        <v>114</v>
      </c>
      <c r="E112" s="375" t="s">
        <v>115</v>
      </c>
      <c r="F112" s="376" t="s">
        <v>116</v>
      </c>
      <c r="G112" s="376" t="s">
        <v>117</v>
      </c>
      <c r="H112" s="376" t="s">
        <v>118</v>
      </c>
      <c r="I112" s="375" t="s">
        <v>119</v>
      </c>
      <c r="J112" s="375" t="s">
        <v>120</v>
      </c>
      <c r="K112" s="375" t="s">
        <v>121</v>
      </c>
      <c r="L112" s="369" t="s">
        <v>95</v>
      </c>
      <c r="M112" s="377" t="s">
        <v>122</v>
      </c>
      <c r="N112" s="377" t="s">
        <v>123</v>
      </c>
      <c r="O112" s="377" t="s">
        <v>124</v>
      </c>
      <c r="P112" s="1145" t="s">
        <v>125</v>
      </c>
      <c r="Q112" s="82"/>
      <c r="R112" s="261" t="s">
        <v>208</v>
      </c>
      <c r="S112" s="262" t="s">
        <v>88</v>
      </c>
      <c r="T112" s="262" t="s">
        <v>207</v>
      </c>
      <c r="U112" s="463" t="s">
        <v>209</v>
      </c>
      <c r="V112" s="463" t="s">
        <v>447</v>
      </c>
      <c r="W112" s="463" t="s">
        <v>448</v>
      </c>
      <c r="X112" s="463" t="s">
        <v>449</v>
      </c>
      <c r="Y112" s="463" t="s">
        <v>450</v>
      </c>
    </row>
    <row r="113" spans="1:21" ht="19.5" hidden="1" customHeight="1">
      <c r="A113" s="72">
        <f>'M80(20250122封存)'!B3</f>
        <v>0</v>
      </c>
      <c r="B113" s="94">
        <f>'M80(20250122封存)'!B$4</f>
        <v>0</v>
      </c>
      <c r="C113" s="108"/>
      <c r="D113" s="84">
        <f>'M80(20250122封存)'!B$37</f>
        <v>0</v>
      </c>
      <c r="E113" s="85">
        <f>'M80(20250122封存)'!D$4</f>
        <v>0</v>
      </c>
      <c r="F113" s="86">
        <f>'M80(20250122封存)'!C$37</f>
        <v>0</v>
      </c>
      <c r="G113" s="384">
        <f>'M80(20250122封存)'!D$37-'M80(20250122封存)'!B$61</f>
        <v>0</v>
      </c>
      <c r="H113" s="86" t="e">
        <f>IF(R113="","",(G113*(150/R113)*(900/E113)))</f>
        <v>#DIV/0!</v>
      </c>
      <c r="I113" s="87">
        <f>IF(F113=0,0,G113/F113)</f>
        <v>0</v>
      </c>
      <c r="J113" s="88">
        <f>'M80(20250122封存)'!B$40/100</f>
        <v>0</v>
      </c>
      <c r="K113" s="89">
        <f>IF(G113=0,0,('M80(20250122封存)'!B$38-'M80(20250122封存)'!B$60-'M80(20250122封存)'!C$60)/日報表!G113)</f>
        <v>0</v>
      </c>
      <c r="L113" s="90"/>
      <c r="M113" s="90" t="str">
        <f t="array" ref="M113">IF(ISERROR(AVERAGE(IF(A113=斷絲!$AT$4:$BA$4,斷絲!$AT$39:$BA$39))),"",AVERAGE(IF(A113=斷絲!$AT$4:$BA$4,斷絲!$AT$39:$BA$39)))</f>
        <v/>
      </c>
      <c r="N113" s="143">
        <f>IF(G113=0,0,'M80(20250122封存)'!B$41/日報表!G113)</f>
        <v>0</v>
      </c>
      <c r="O113" s="172"/>
      <c r="P113" s="1146"/>
      <c r="Q113" s="82"/>
      <c r="R113" s="115">
        <f>'M80(20250122封存)'!D3</f>
        <v>0</v>
      </c>
      <c r="S113" s="244"/>
      <c r="U113" s="465" t="str">
        <f>IF(ISNA(HLOOKUP(A113,IAD!$6:$10,5,0)),"",(HLOOKUP(A113,IAD!$6:$10,5,0)))</f>
        <v/>
      </c>
    </row>
    <row r="114" spans="1:21" ht="19.5" hidden="1" customHeight="1">
      <c r="A114" s="72">
        <f>'M80(20250122封存)'!E3</f>
        <v>0</v>
      </c>
      <c r="B114" s="94">
        <f>'M80(20250122封存)'!E$4</f>
        <v>0</v>
      </c>
      <c r="C114" s="108"/>
      <c r="D114" s="84">
        <f>'M80(20250122封存)'!E$37</f>
        <v>0</v>
      </c>
      <c r="E114" s="85">
        <f>'M80(20250122封存)'!G$4</f>
        <v>0</v>
      </c>
      <c r="F114" s="86">
        <f>'M80(20250122封存)'!F$37</f>
        <v>0</v>
      </c>
      <c r="G114" s="384">
        <f>'M80(20250122封存)'!G$37-'M80(20250122封存)'!E$61</f>
        <v>0</v>
      </c>
      <c r="H114" s="86" t="e">
        <f t="shared" ref="H114:H122" si="12">IF(R114="","",(G114*(150/R114)*(900/E114)))</f>
        <v>#DIV/0!</v>
      </c>
      <c r="I114" s="87">
        <f t="shared" ref="I114:I119" si="13">IF(F114=0,0,G114/F114)</f>
        <v>0</v>
      </c>
      <c r="J114" s="88">
        <f>'M80(20250122封存)'!E$40/100</f>
        <v>0</v>
      </c>
      <c r="K114" s="89">
        <f>IF(G114=0,0,('M80(20250122封存)'!E$38-'M80(20250122封存)'!E$60-'M80(20250122封存)'!F$60)/日報表!G114)</f>
        <v>0</v>
      </c>
      <c r="L114" s="90"/>
      <c r="M114" s="90" t="str">
        <f t="array" ref="M114">IF(ISERROR(AVERAGE(IF(A114=斷絲!$AT$4:$BA$4,斷絲!$AT$39:$BA$39))),"",AVERAGE(IF(A114=斷絲!$AT$4:$BA$4,斷絲!$AT$39:$BA$39)))</f>
        <v/>
      </c>
      <c r="N114" s="143">
        <f>IF(G114=0,0,'M80(20250122封存)'!E$41/日報表!G114)</f>
        <v>0</v>
      </c>
      <c r="O114" s="172"/>
      <c r="P114" s="1146"/>
      <c r="Q114" s="82"/>
      <c r="R114" s="115">
        <f>'M80(20250122封存)'!G3</f>
        <v>0</v>
      </c>
      <c r="S114" s="244"/>
      <c r="U114" s="465" t="str">
        <f>IF(ISNA(HLOOKUP(A114,IAD!$6:$10,5,0)),"",(HLOOKUP(A114,IAD!$6:$10,5,0)))</f>
        <v/>
      </c>
    </row>
    <row r="115" spans="1:21" ht="19.5" hidden="1" customHeight="1">
      <c r="A115" s="72">
        <f>'M80(20250122封存)'!H3</f>
        <v>0</v>
      </c>
      <c r="B115" s="94">
        <f>'M80(20250122封存)'!H4</f>
        <v>0</v>
      </c>
      <c r="C115" s="108"/>
      <c r="D115" s="84">
        <f>'M80(20250122封存)'!H$37</f>
        <v>0</v>
      </c>
      <c r="E115" s="85">
        <f>'M80(20250122封存)'!J$4</f>
        <v>0</v>
      </c>
      <c r="F115" s="86">
        <f>'M80(20250122封存)'!I$37</f>
        <v>0</v>
      </c>
      <c r="G115" s="384">
        <f>'M80(20250122封存)'!J$37-'M80(20250122封存)'!H$61</f>
        <v>0</v>
      </c>
      <c r="H115" s="86" t="e">
        <f t="shared" si="12"/>
        <v>#DIV/0!</v>
      </c>
      <c r="I115" s="87">
        <f t="shared" si="13"/>
        <v>0</v>
      </c>
      <c r="J115" s="88">
        <f>'M80(20250122封存)'!H$40/100</f>
        <v>0</v>
      </c>
      <c r="K115" s="89">
        <f>IF(G115=0,0,('M80(20250122封存)'!H$38-'M80(20250122封存)'!H$60-'M80(20250122封存)'!I$60)/日報表!G115)</f>
        <v>0</v>
      </c>
      <c r="L115" s="90"/>
      <c r="M115" s="90" t="str">
        <f t="array" ref="M115">IF(ISERROR(AVERAGE(IF(A115=斷絲!$AT$4:$BA$4,斷絲!$AT$39:$BA$39))),"",AVERAGE(IF(A115=斷絲!$AT$4:$BA$4,斷絲!$AT$39:$BA$39)))</f>
        <v/>
      </c>
      <c r="N115" s="143">
        <f>IF(G115=0,0,'M80(20250122封存)'!H$41/日報表!G115)</f>
        <v>0</v>
      </c>
      <c r="O115" s="172"/>
      <c r="P115" s="1146"/>
      <c r="Q115" s="82"/>
      <c r="R115" s="115">
        <f>'M80(20250122封存)'!J3</f>
        <v>0</v>
      </c>
      <c r="S115" s="244"/>
      <c r="U115" s="465" t="str">
        <f>IF(ISNA(HLOOKUP(A115,IAD!$6:$10,5,0)),"",(HLOOKUP(A115,IAD!$6:$10,5,0)))</f>
        <v/>
      </c>
    </row>
    <row r="116" spans="1:21" ht="19.5" hidden="1" customHeight="1">
      <c r="A116" s="72">
        <f>'M80(20250122封存)'!K3</f>
        <v>0</v>
      </c>
      <c r="B116" s="94">
        <f>'M80(20250122封存)'!K4</f>
        <v>0</v>
      </c>
      <c r="C116" s="108"/>
      <c r="D116" s="84">
        <f>'M80(20250122封存)'!K$37</f>
        <v>0</v>
      </c>
      <c r="E116" s="85">
        <f>'M80(20250122封存)'!M$4</f>
        <v>0</v>
      </c>
      <c r="F116" s="86">
        <f>'M80(20250122封存)'!L$37</f>
        <v>0</v>
      </c>
      <c r="G116" s="384">
        <f>'M80(20250122封存)'!M$37-'M80(20250122封存)'!K$61</f>
        <v>0</v>
      </c>
      <c r="H116" s="86" t="e">
        <f t="shared" si="12"/>
        <v>#DIV/0!</v>
      </c>
      <c r="I116" s="87">
        <f t="shared" si="13"/>
        <v>0</v>
      </c>
      <c r="J116" s="88">
        <f>'M80(20250122封存)'!K$40/100</f>
        <v>0</v>
      </c>
      <c r="K116" s="89">
        <f>IF(G116=0,0,('M80(20250122封存)'!K$38-'M80(20250122封存)'!K$60-'M80(20250122封存)'!L$60)/日報表!G116)</f>
        <v>0</v>
      </c>
      <c r="L116" s="90"/>
      <c r="M116" s="90" t="str">
        <f t="array" ref="M116">IF(ISERROR(AVERAGE(IF(A116=斷絲!$AT$4:$BA$4,斷絲!$AT$39:$BA$39))),"",AVERAGE(IF(A116=斷絲!$AT$4:$BA$4,斷絲!$AT$39:$BA$39)))</f>
        <v/>
      </c>
      <c r="N116" s="143">
        <f>IF(G116=0,0,'M80(20250122封存)'!K$41/日報表!G116)</f>
        <v>0</v>
      </c>
      <c r="O116" s="172"/>
      <c r="P116" s="1146"/>
      <c r="Q116" s="82"/>
      <c r="R116" s="115">
        <f>'M80(20250122封存)'!M3</f>
        <v>0</v>
      </c>
      <c r="S116" s="244"/>
      <c r="U116" s="465" t="str">
        <f>IF(ISNA(HLOOKUP(A116,IAD!$6:$10,5,0)),"",(HLOOKUP(A116,IAD!$6:$10,5,0)))</f>
        <v/>
      </c>
    </row>
    <row r="117" spans="1:21" ht="19.5" hidden="1" customHeight="1">
      <c r="A117" s="72">
        <f>'M80(20250122封存)'!N3</f>
        <v>0</v>
      </c>
      <c r="B117" s="94">
        <f>'M80(20250122封存)'!N4</f>
        <v>0</v>
      </c>
      <c r="C117" s="108"/>
      <c r="D117" s="84">
        <f>'M80(20250122封存)'!N$37</f>
        <v>0</v>
      </c>
      <c r="E117" s="85">
        <f>'M80(20250122封存)'!P$4</f>
        <v>0</v>
      </c>
      <c r="F117" s="86">
        <f>'M80(20250122封存)'!O$37</f>
        <v>0</v>
      </c>
      <c r="G117" s="384">
        <f>'M80(20250122封存)'!P$37-'M80(20250122封存)'!N$61</f>
        <v>0</v>
      </c>
      <c r="H117" s="86" t="e">
        <f t="shared" si="12"/>
        <v>#DIV/0!</v>
      </c>
      <c r="I117" s="87">
        <f t="shared" si="13"/>
        <v>0</v>
      </c>
      <c r="J117" s="88">
        <f>'M80(20250122封存)'!N$40/100</f>
        <v>0</v>
      </c>
      <c r="K117" s="89">
        <f>IF(G117=0,0,('M80(20250122封存)'!N$38-'M80(20250122封存)'!N$60-'M80(20250122封存)'!O$60)/日報表!G117)</f>
        <v>0</v>
      </c>
      <c r="L117" s="90"/>
      <c r="M117" s="90" t="str">
        <f t="array" ref="M117">IF(ISERROR(AVERAGE(IF(A117=斷絲!$AT$4:$BA$4,斷絲!$AT$39:$BA$39))),"",AVERAGE(IF(A117=斷絲!$AT$4:$BA$4,斷絲!$AT$39:$BA$39)))</f>
        <v/>
      </c>
      <c r="N117" s="143">
        <f>IF(G117=0,0,'M80(20250122封存)'!N$41/日報表!G117)</f>
        <v>0</v>
      </c>
      <c r="O117" s="172"/>
      <c r="P117" s="1146"/>
      <c r="Q117" s="82"/>
      <c r="R117" s="115">
        <f>'M80(20250122封存)'!P3</f>
        <v>0</v>
      </c>
      <c r="S117" s="244"/>
      <c r="U117" s="465" t="str">
        <f>IF(ISNA(HLOOKUP(A117,IAD!$6:$10,5,0)),"",(HLOOKUP(A117,IAD!$6:$10,5,0)))</f>
        <v/>
      </c>
    </row>
    <row r="118" spans="1:21" ht="19.5" hidden="1" customHeight="1">
      <c r="A118" s="72">
        <f>'M80(20250122封存)'!Q3</f>
        <v>0</v>
      </c>
      <c r="B118" s="94">
        <f>'M80(20250122封存)'!Q4</f>
        <v>0</v>
      </c>
      <c r="C118" s="108"/>
      <c r="D118" s="84">
        <f>'M80(20250122封存)'!Q$37</f>
        <v>0</v>
      </c>
      <c r="E118" s="85">
        <f>'M80(20250122封存)'!S$4</f>
        <v>0</v>
      </c>
      <c r="F118" s="86">
        <f>'M80(20250122封存)'!R$37</f>
        <v>0</v>
      </c>
      <c r="G118" s="384">
        <f>'M80(20250122封存)'!S$37-'M80(20250122封存)'!Q$61</f>
        <v>0</v>
      </c>
      <c r="H118" s="86" t="e">
        <f t="shared" si="12"/>
        <v>#DIV/0!</v>
      </c>
      <c r="I118" s="87">
        <f>IF(F118=0,0,G118/F118)</f>
        <v>0</v>
      </c>
      <c r="J118" s="88">
        <f>'M80(20250122封存)'!Q$40/100</f>
        <v>0</v>
      </c>
      <c r="K118" s="89">
        <f>IF(G118=0,0,('M80(20250122封存)'!Q$38-'M80(20250122封存)'!Q$60-'M80(20250122封存)'!R$60)/日報表!G118)</f>
        <v>0</v>
      </c>
      <c r="L118" s="90"/>
      <c r="M118" s="90" t="str">
        <f t="array" ref="M118">IF(ISERROR(AVERAGE(IF(A118=斷絲!$AT$4:$BA$4,斷絲!$AT$39:$BA$39))),"",AVERAGE(IF(A118=斷絲!$AT$4:$BA$4,斷絲!$AT$39:$BA$39)))</f>
        <v/>
      </c>
      <c r="N118" s="143">
        <f>IF(G118=0,0,'M80(20250122封存)'!Q$41/日報表!G118)</f>
        <v>0</v>
      </c>
      <c r="O118" s="172"/>
      <c r="P118" s="1146"/>
      <c r="Q118" s="82"/>
      <c r="R118" s="115">
        <f>'M80(20250122封存)'!S3</f>
        <v>0</v>
      </c>
      <c r="S118" s="244"/>
      <c r="U118" s="465" t="str">
        <f>IF(ISNA(HLOOKUP(A118,IAD!$6:$10,5,0)),"",(HLOOKUP(A118,IAD!$6:$10,5,0)))</f>
        <v/>
      </c>
    </row>
    <row r="119" spans="1:21" ht="19.5" hidden="1" customHeight="1">
      <c r="A119" s="72">
        <f>'M80(20250122封存)'!T3</f>
        <v>0</v>
      </c>
      <c r="B119" s="94">
        <f>'M80(20250122封存)'!T4</f>
        <v>0</v>
      </c>
      <c r="C119" s="108"/>
      <c r="D119" s="84">
        <f>'M80(20250122封存)'!T$37</f>
        <v>0</v>
      </c>
      <c r="E119" s="85">
        <f>'M80(20250122封存)'!V$4</f>
        <v>0</v>
      </c>
      <c r="F119" s="86">
        <f>'M80(20250122封存)'!U$37</f>
        <v>0</v>
      </c>
      <c r="G119" s="384">
        <f>'M80(20250122封存)'!V$37-'M80(20250122封存)'!T$61</f>
        <v>0</v>
      </c>
      <c r="H119" s="86" t="e">
        <f t="shared" si="12"/>
        <v>#DIV/0!</v>
      </c>
      <c r="I119" s="87">
        <f t="shared" si="13"/>
        <v>0</v>
      </c>
      <c r="J119" s="88">
        <f>'M80(20250122封存)'!T$40/100</f>
        <v>0</v>
      </c>
      <c r="K119" s="89">
        <f>IF(G119=0,0,('M80(20250122封存)'!T$38-'M80(20250122封存)'!T$60-'M80(20250122封存)'!U$60)/日報表!G119)</f>
        <v>0</v>
      </c>
      <c r="L119" s="90"/>
      <c r="M119" s="90" t="str">
        <f t="array" ref="M119">IF(ISERROR(AVERAGE(IF(A119=斷絲!$AT$4:$BA$4,斷絲!$AT$39:$BA$39))),"",AVERAGE(IF(A119=斷絲!$AT$4:$BA$4,斷絲!$AT$39:$BA$39)))</f>
        <v/>
      </c>
      <c r="N119" s="143">
        <f>IF(G119=0,0,'M80(20250122封存)'!T$41/日報表!G119)</f>
        <v>0</v>
      </c>
      <c r="O119" s="172"/>
      <c r="P119" s="1146"/>
      <c r="Q119" s="82"/>
      <c r="R119" s="115">
        <f>'M80(20250122封存)'!V3</f>
        <v>0</v>
      </c>
      <c r="S119" s="244"/>
      <c r="U119" s="465" t="str">
        <f>IF(ISNA(HLOOKUP(A119,IAD!$6:$10,5,0)),"",(HLOOKUP(A119,IAD!$6:$10,5,0)))</f>
        <v/>
      </c>
    </row>
    <row r="120" spans="1:21" ht="19.5" hidden="1" customHeight="1">
      <c r="A120" s="72">
        <f>'M80(20250122封存)'!W3</f>
        <v>0</v>
      </c>
      <c r="B120" s="94">
        <f>'M80(20250122封存)'!W4</f>
        <v>0</v>
      </c>
      <c r="C120" s="108"/>
      <c r="D120" s="84">
        <f>'M80(20250122封存)'!W$37</f>
        <v>0</v>
      </c>
      <c r="E120" s="85">
        <f>'M80(20250122封存)'!Y$4</f>
        <v>0</v>
      </c>
      <c r="F120" s="86">
        <f>'M80(20250122封存)'!X$37</f>
        <v>0</v>
      </c>
      <c r="G120" s="384">
        <f>'M80(20250122封存)'!Y$37-'M80(20250122封存)'!W$61</f>
        <v>0</v>
      </c>
      <c r="H120" s="86" t="e">
        <f t="shared" si="12"/>
        <v>#DIV/0!</v>
      </c>
      <c r="I120" s="87">
        <f t="shared" ref="I120:I134" si="14">IF(F120=0,0,G120/F120)</f>
        <v>0</v>
      </c>
      <c r="J120" s="88">
        <f>'M80(20250122封存)'!W$40/100</f>
        <v>0</v>
      </c>
      <c r="K120" s="89">
        <f>IF(G120=0,0,('M80(20250122封存)'!W$38-'M80(20250122封存)'!W$60-'M80(20250122封存)'!X$60)/日報表!G120)</f>
        <v>0</v>
      </c>
      <c r="L120" s="90"/>
      <c r="M120" s="90" t="str">
        <f t="array" ref="M120">IF(ISERROR(AVERAGE(IF(A120=斷絲!$AT$4:$BA$4,斷絲!$AT$39:$BA$39))),"",AVERAGE(IF(A120=斷絲!$AT$4:$BA$4,斷絲!$AT$39:$BA$39)))</f>
        <v/>
      </c>
      <c r="N120" s="143">
        <f>IF(G120=0,0,'M80(20250122封存)'!W$41/日報表!G120)</f>
        <v>0</v>
      </c>
      <c r="O120" s="172"/>
      <c r="P120" s="1146"/>
      <c r="Q120" s="82"/>
      <c r="R120" s="115">
        <f>'M80(20250122封存)'!Y3</f>
        <v>0</v>
      </c>
      <c r="S120" s="244"/>
      <c r="U120" s="465" t="str">
        <f>IF(ISNA(HLOOKUP(A120,IAD!$6:$10,5,0)),"",(HLOOKUP(A120,IAD!$6:$10,5,0)))</f>
        <v/>
      </c>
    </row>
    <row r="121" spans="1:21" ht="19.5" hidden="1" customHeight="1">
      <c r="A121" s="72">
        <f>'M80(20250122封存)'!Z3</f>
        <v>0</v>
      </c>
      <c r="B121" s="94">
        <f>'M80(20250122封存)'!Z4</f>
        <v>0</v>
      </c>
      <c r="C121" s="108"/>
      <c r="D121" s="84">
        <f>'M80(20250122封存)'!Z$37</f>
        <v>0</v>
      </c>
      <c r="E121" s="85">
        <f>'M80(20250122封存)'!AB$4</f>
        <v>0</v>
      </c>
      <c r="F121" s="86">
        <f>'M80(20250122封存)'!AA$37</f>
        <v>0</v>
      </c>
      <c r="G121" s="384">
        <f>'M80(20250122封存)'!AB$37-'M80(20250122封存)'!Z$61</f>
        <v>0</v>
      </c>
      <c r="H121" s="86" t="e">
        <f>IF(R121="","",(G121*(150/R121)*(900/E121)))</f>
        <v>#DIV/0!</v>
      </c>
      <c r="I121" s="87">
        <f t="shared" si="14"/>
        <v>0</v>
      </c>
      <c r="J121" s="88">
        <f>'M80(20250122封存)'!Z$40/100</f>
        <v>0</v>
      </c>
      <c r="K121" s="89">
        <f>IF(G121=0,0,('M80(20250122封存)'!Z$38-'M80(20250122封存)'!Z$60-'M80(20250122封存)'!AA$60)/日報表!G121)</f>
        <v>0</v>
      </c>
      <c r="L121" s="90"/>
      <c r="M121" s="90" t="str">
        <f t="array" ref="M121">IF(ISERROR(AVERAGE(IF(A121=斷絲!$AT$4:$BA$4,斷絲!$AT$39:$BA$39))),"",AVERAGE(IF(A121=斷絲!$AT$4:$BA$4,斷絲!$AT$39:$BA$39)))</f>
        <v/>
      </c>
      <c r="N121" s="143">
        <f>IF(G121=0,0,'M80(20250122封存)'!Z$41/日報表!G121)</f>
        <v>0</v>
      </c>
      <c r="O121" s="172"/>
      <c r="P121" s="1146"/>
      <c r="Q121" s="82"/>
      <c r="R121" s="115">
        <f>'M80(20250122封存)'!AB3</f>
        <v>0</v>
      </c>
      <c r="S121" s="244"/>
      <c r="U121" s="465" t="str">
        <f>IF(ISNA(HLOOKUP(A121,IAD!$6:$10,5,0)),"",(HLOOKUP(A121,IAD!$6:$10,5,0)))</f>
        <v/>
      </c>
    </row>
    <row r="122" spans="1:21" ht="19.5" hidden="1" customHeight="1">
      <c r="A122" s="72">
        <f>'M80(20250122封存)'!AC3</f>
        <v>0</v>
      </c>
      <c r="B122" s="94">
        <f>'M80(20250122封存)'!AC4</f>
        <v>0</v>
      </c>
      <c r="C122" s="108"/>
      <c r="D122" s="84">
        <f>'M80(20250122封存)'!AC$37</f>
        <v>0</v>
      </c>
      <c r="E122" s="85">
        <f>'M80(20250122封存)'!AE$4</f>
        <v>0</v>
      </c>
      <c r="F122" s="86">
        <f>'M80(20250122封存)'!AD$37</f>
        <v>0</v>
      </c>
      <c r="G122" s="384">
        <f>'M80(20250122封存)'!AE$37-'M80(20250122封存)'!AC$61</f>
        <v>0</v>
      </c>
      <c r="H122" s="86" t="e">
        <f t="shared" si="12"/>
        <v>#DIV/0!</v>
      </c>
      <c r="I122" s="87">
        <f t="shared" si="14"/>
        <v>0</v>
      </c>
      <c r="J122" s="88">
        <f>'M80(20250122封存)'!AC$40/100</f>
        <v>0</v>
      </c>
      <c r="K122" s="89">
        <f>IF(G122=0,0,('M80(20250122封存)'!AC$38-'M80(20250122封存)'!AC$60-'M80(20250122封存)'!AD$60)/日報表!G122)</f>
        <v>0</v>
      </c>
      <c r="L122" s="90"/>
      <c r="M122" s="90" t="str">
        <f t="array" ref="M122">IF(ISERROR(AVERAGE(IF(A122=斷絲!$AT$4:$BA$4,斷絲!$AT$39:$BA$39))),"",AVERAGE(IF(A122=斷絲!$AT$4:$BA$4,斷絲!$AT$39:$BA$39)))</f>
        <v/>
      </c>
      <c r="N122" s="143">
        <f>IF(G122=0,0,'M80(20250122封存)'!AC$41/日報表!G122)</f>
        <v>0</v>
      </c>
      <c r="O122" s="172"/>
      <c r="P122" s="1146"/>
      <c r="Q122" s="82"/>
      <c r="R122" s="115">
        <f>'M80(20250122封存)'!AE3</f>
        <v>0</v>
      </c>
      <c r="S122" s="244"/>
      <c r="U122" s="465" t="str">
        <f>IF(ISNA(HLOOKUP(A122,IAD!$6:$10,5,0)),"",(HLOOKUP(A122,IAD!$6:$10,5,0)))</f>
        <v/>
      </c>
    </row>
    <row r="123" spans="1:21" ht="19.5" hidden="1" customHeight="1">
      <c r="A123" s="72">
        <f>'M80(20250122封存)'!AF3</f>
        <v>0</v>
      </c>
      <c r="B123" s="94">
        <f>'M80(20250122封存)'!AF4</f>
        <v>0</v>
      </c>
      <c r="C123" s="108"/>
      <c r="D123" s="84">
        <f>'M80(20250122封存)'!AF$37</f>
        <v>0</v>
      </c>
      <c r="E123" s="85">
        <f>'M80(20250122封存)'!AH$4</f>
        <v>0</v>
      </c>
      <c r="F123" s="86">
        <f>'M80(20250122封存)'!AG$37</f>
        <v>0</v>
      </c>
      <c r="G123" s="384">
        <f>'M80(20250122封存)'!AH$37-'M80(20250122封存)'!AF$61</f>
        <v>0</v>
      </c>
      <c r="H123" s="86" t="e">
        <f t="shared" ref="H123:H133" si="15">IF(R123="","",(G123*(150/R123)*(900/E123)))</f>
        <v>#DIV/0!</v>
      </c>
      <c r="I123" s="87">
        <f t="shared" si="14"/>
        <v>0</v>
      </c>
      <c r="J123" s="88">
        <f>'M80(20250122封存)'!AF$40/100</f>
        <v>0</v>
      </c>
      <c r="K123" s="89">
        <f>IF(G123=0,0,('M80(20250122封存)'!AF$38-'M80(20250122封存)'!AF$60-'M80(20250122封存)'!AG$60)/日報表!G123)</f>
        <v>0</v>
      </c>
      <c r="L123" s="90"/>
      <c r="M123" s="90" t="str">
        <f t="array" ref="M123">IF(ISERROR(AVERAGE(IF(A123=斷絲!$AT$4:$BA$4,斷絲!$AT$39:$BA$39))),"",AVERAGE(IF(A123=斷絲!$AT$4:$BA$4,斷絲!$AT$39:$BA$39)))</f>
        <v/>
      </c>
      <c r="N123" s="143">
        <f>IF(G123=0,0,'M80(20250122封存)'!AF$41/日報表!G123)</f>
        <v>0</v>
      </c>
      <c r="O123" s="172"/>
      <c r="P123" s="1146"/>
      <c r="Q123" s="82"/>
      <c r="R123" s="115">
        <f>'M80(20250122封存)'!AH3</f>
        <v>0</v>
      </c>
      <c r="S123" s="244"/>
      <c r="U123" s="465" t="str">
        <f>IF(ISNA(HLOOKUP(A123,IAD!$6:$10,5,0)),"",(HLOOKUP(A123,IAD!$6:$10,5,0)))</f>
        <v/>
      </c>
    </row>
    <row r="124" spans="1:21" ht="19.5" hidden="1" customHeight="1">
      <c r="A124" s="72">
        <f>'M80(20250122封存)'!AI3</f>
        <v>0</v>
      </c>
      <c r="B124" s="94">
        <f>'M80(20250122封存)'!AI4</f>
        <v>0</v>
      </c>
      <c r="C124" s="108"/>
      <c r="D124" s="84">
        <f>'M80(20250122封存)'!AI$37</f>
        <v>0</v>
      </c>
      <c r="E124" s="85">
        <f>'M80(20250122封存)'!AK$4</f>
        <v>0</v>
      </c>
      <c r="F124" s="97">
        <f>'M80(20250122封存)'!AJ$37</f>
        <v>0</v>
      </c>
      <c r="G124" s="384">
        <f>'M80(20250122封存)'!AK$37-'M80(20250122封存)'!AI$61</f>
        <v>0</v>
      </c>
      <c r="H124" s="86" t="e">
        <f t="shared" si="15"/>
        <v>#DIV/0!</v>
      </c>
      <c r="I124" s="87">
        <f t="shared" si="14"/>
        <v>0</v>
      </c>
      <c r="J124" s="88">
        <f>'M80(20250122封存)'!AI$40/100</f>
        <v>0</v>
      </c>
      <c r="K124" s="89">
        <f>IF(G124=0,0,('M80(20250122封存)'!AI$38-'M80(20250122封存)'!AI$60-'M80(20250122封存)'!AJ$60)/日報表!G124)</f>
        <v>0</v>
      </c>
      <c r="L124" s="90"/>
      <c r="M124" s="90" t="str">
        <f t="array" ref="M124">IF(ISERROR(AVERAGE(IF(A124=斷絲!$AT$4:$BA$4,斷絲!$AT$39:$BA$39))),"",AVERAGE(IF(A124=斷絲!$AT$4:$BA$4,斷絲!$AT$39:$BA$39)))</f>
        <v/>
      </c>
      <c r="N124" s="143">
        <f>IF(G124=0,0,'M80(20250122封存)'!AI$41/日報表!G124)</f>
        <v>0</v>
      </c>
      <c r="O124" s="172"/>
      <c r="P124" s="1146"/>
      <c r="Q124" s="82"/>
      <c r="R124" s="115">
        <f>'M80(20250122封存)'!AK3</f>
        <v>0</v>
      </c>
      <c r="S124" s="244"/>
      <c r="U124" s="465" t="str">
        <f>IF(ISNA(HLOOKUP(A124,IAD!$6:$10,5,0)),"",(HLOOKUP(A124,IAD!$6:$10,5,0)))</f>
        <v/>
      </c>
    </row>
    <row r="125" spans="1:21" ht="19.5" hidden="1" customHeight="1">
      <c r="A125" s="72">
        <f>'M80(20250122封存)'!AL3</f>
        <v>0</v>
      </c>
      <c r="B125" s="94">
        <f>'M80(20250122封存)'!AL4</f>
        <v>0</v>
      </c>
      <c r="C125" s="108"/>
      <c r="D125" s="95">
        <f>'M80(20250122封存)'!AL$37</f>
        <v>0</v>
      </c>
      <c r="E125" s="96">
        <f>'M80(20250122封存)'!AN$4</f>
        <v>0</v>
      </c>
      <c r="F125" s="97">
        <f>'M80(20250122封存)'!AM$37</f>
        <v>0</v>
      </c>
      <c r="G125" s="385">
        <f>'M80(20250122封存)'!AN$37-'M80(20250122封存)'!AL$61</f>
        <v>0</v>
      </c>
      <c r="H125" s="97" t="e">
        <f t="shared" si="15"/>
        <v>#DIV/0!</v>
      </c>
      <c r="I125" s="87">
        <f t="shared" si="14"/>
        <v>0</v>
      </c>
      <c r="J125" s="103">
        <f>'M80(20250122封存)'!AL$40/100</f>
        <v>0</v>
      </c>
      <c r="K125" s="98">
        <f>IF(G125=0,0,('M80(20250122封存)'!AL$38-'M80(20250122封存)'!AL$60-'M80(20250122封存)'!AM$60)/日報表!G125)</f>
        <v>0</v>
      </c>
      <c r="L125" s="90"/>
      <c r="M125" s="90" t="str">
        <f t="array" ref="M125">IF(ISERROR(AVERAGE(IF(A125=斷絲!$AT$4:$BA$4,斷絲!$AT$39:$BA$39))),"",AVERAGE(IF(A125=斷絲!$AT$4:$BA$4,斷絲!$AT$39:$BA$39)))</f>
        <v/>
      </c>
      <c r="N125" s="109">
        <f>IF(G125=0,0,'M80(20250122封存)'!AL$41/日報表!G125)</f>
        <v>0</v>
      </c>
      <c r="O125" s="172"/>
      <c r="P125" s="1146"/>
      <c r="Q125" s="82"/>
      <c r="R125" s="115">
        <f>'M80(20250122封存)'!AN3</f>
        <v>0</v>
      </c>
      <c r="S125" s="244"/>
      <c r="U125" s="465" t="str">
        <f>IF(ISNA(HLOOKUP(A125,IAD!$6:$10,5,0)),"",(HLOOKUP(A125,IAD!$6:$10,5,0)))</f>
        <v/>
      </c>
    </row>
    <row r="126" spans="1:21" ht="19.5" hidden="1" customHeight="1">
      <c r="A126" s="72">
        <f>'M80(20250122封存)'!AO3</f>
        <v>0</v>
      </c>
      <c r="B126" s="94">
        <f>'M80(20250122封存)'!AO4</f>
        <v>0</v>
      </c>
      <c r="C126" s="108"/>
      <c r="D126" s="95">
        <f>'M80(20250122封存)'!AO$37</f>
        <v>0</v>
      </c>
      <c r="E126" s="96">
        <f>'M80(20250122封存)'!AQ$4</f>
        <v>0</v>
      </c>
      <c r="F126" s="97">
        <f>'M80(20250122封存)'!AP$37</f>
        <v>0</v>
      </c>
      <c r="G126" s="385">
        <f>'M80(20250122封存)'!AQ$37-'M80(20250122封存)'!AO$61</f>
        <v>0</v>
      </c>
      <c r="H126" s="97" t="e">
        <f t="shared" si="15"/>
        <v>#DIV/0!</v>
      </c>
      <c r="I126" s="87">
        <f t="shared" si="14"/>
        <v>0</v>
      </c>
      <c r="J126" s="103">
        <f>'M80(20250122封存)'!AO$40/100</f>
        <v>0</v>
      </c>
      <c r="K126" s="98">
        <f>IF(G126=0,0,('M80(20250122封存)'!AO$38-'M80(20250122封存)'!AO$60-'M80(20250122封存)'!AP$60)/日報表!G126)</f>
        <v>0</v>
      </c>
      <c r="L126" s="90"/>
      <c r="M126" s="90" t="str">
        <f t="array" ref="M126">IF(ISERROR(AVERAGE(IF(A126=斷絲!$AT$4:$BA$4,斷絲!$AT$39:$BA$39))),"",AVERAGE(IF(A126=斷絲!$AT$4:$BA$4,斷絲!$AT$39:$BA$39)))</f>
        <v/>
      </c>
      <c r="N126" s="109">
        <f>IF(G126=0,0,'M80(20250122封存)'!AO$41/日報表!G126)</f>
        <v>0</v>
      </c>
      <c r="O126" s="172"/>
      <c r="P126" s="1146"/>
      <c r="Q126" s="82"/>
      <c r="R126" s="115">
        <f>'M80(20250122封存)'!AQ3</f>
        <v>0</v>
      </c>
      <c r="S126" s="244"/>
      <c r="U126" s="465" t="str">
        <f>IF(ISNA(HLOOKUP(A126,IAD!$6:$10,5,0)),"",(HLOOKUP(A126,IAD!$6:$10,5,0)))</f>
        <v/>
      </c>
    </row>
    <row r="127" spans="1:21" ht="19.5" hidden="1" customHeight="1">
      <c r="A127" s="72">
        <f>'M80(20250122封存)'!AR3</f>
        <v>0</v>
      </c>
      <c r="B127" s="94">
        <f>'M80(20250122封存)'!AR4</f>
        <v>0</v>
      </c>
      <c r="C127" s="108"/>
      <c r="D127" s="95">
        <f>'M80(20250122封存)'!AR$37</f>
        <v>0</v>
      </c>
      <c r="E127" s="96">
        <f>'M80(20250122封存)'!AT$4</f>
        <v>0</v>
      </c>
      <c r="F127" s="97">
        <f>'M80(20250122封存)'!AS$37</f>
        <v>0</v>
      </c>
      <c r="G127" s="385">
        <f>'M80(20250122封存)'!AT$37-'M80(20250122封存)'!AR$61</f>
        <v>0</v>
      </c>
      <c r="H127" s="97" t="e">
        <f t="shared" si="15"/>
        <v>#DIV/0!</v>
      </c>
      <c r="I127" s="87">
        <f t="shared" si="14"/>
        <v>0</v>
      </c>
      <c r="J127" s="103">
        <f>'M80(20250122封存)'!AR$40/100</f>
        <v>0</v>
      </c>
      <c r="K127" s="98">
        <f>IF(G127=0,0,('M80(20250122封存)'!AR$38-'M80(20250122封存)'!AR$60-'M80(20250122封存)'!AS$60)/日報表!G127)</f>
        <v>0</v>
      </c>
      <c r="L127" s="90"/>
      <c r="M127" s="173" t="str">
        <f t="array" ref="M127">IF(ISERROR(AVERAGE(IF(A127=斷絲!$AT$4:$BA$4,斷絲!$AT$39:$BA$39))),"",AVERAGE(IF(A127=斷絲!$AT$4:$BA$4,斷絲!$AT$39:$BA$39)))</f>
        <v/>
      </c>
      <c r="N127" s="109">
        <f>IF(G127=0,0,'M80(20250122封存)'!AR$41/日報表!G127)</f>
        <v>0</v>
      </c>
      <c r="O127" s="172"/>
      <c r="P127" s="1146"/>
      <c r="Q127" s="82"/>
      <c r="R127" s="115">
        <f>'M80(20250122封存)'!AT3</f>
        <v>0</v>
      </c>
      <c r="S127" s="244"/>
      <c r="U127" s="465" t="str">
        <f>IF(ISNA(HLOOKUP(A127,IAD!$6:$10,5,0)),"",(HLOOKUP(A127,IAD!$6:$10,5,0)))</f>
        <v/>
      </c>
    </row>
    <row r="128" spans="1:21" ht="19.5" hidden="1" customHeight="1">
      <c r="A128" s="72">
        <f>'M80(20250122封存)'!AU3</f>
        <v>0</v>
      </c>
      <c r="B128" s="94">
        <f>'M80(20250122封存)'!AU4</f>
        <v>0</v>
      </c>
      <c r="C128" s="108"/>
      <c r="D128" s="95">
        <f>'M80(20250122封存)'!AU$37</f>
        <v>0</v>
      </c>
      <c r="E128" s="96">
        <f>'M80(20250122封存)'!AW$4</f>
        <v>0</v>
      </c>
      <c r="F128" s="97">
        <f>'M80(20250122封存)'!AV$37</f>
        <v>0</v>
      </c>
      <c r="G128" s="385">
        <f>'M80(20250122封存)'!AW$37-'M80(20250122封存)'!AU$61</f>
        <v>0</v>
      </c>
      <c r="H128" s="97" t="e">
        <f>IF(R128="","",(G128*(150/R128)*(900/E128)))</f>
        <v>#DIV/0!</v>
      </c>
      <c r="I128" s="87">
        <f t="shared" si="14"/>
        <v>0</v>
      </c>
      <c r="J128" s="103">
        <f>'M80(20250122封存)'!AU$40/100</f>
        <v>0</v>
      </c>
      <c r="K128" s="89">
        <f>IF(G128=0,0,('M80(20250122封存)'!AU$38-'M80(20250122封存)'!AU$60-'M80(20250122封存)'!AV$60)/日報表!G128)</f>
        <v>0</v>
      </c>
      <c r="L128" s="90"/>
      <c r="M128" s="90" t="str">
        <f t="array" ref="M128">IF(ISERROR(AVERAGE(IF(A128=斷絲!$AT$4:$BA$4,斷絲!$AT$39:$BA$39))),"",AVERAGE(IF(A128=斷絲!$AT$4:$BA$4,斷絲!$AT$39:$BA$39)))</f>
        <v/>
      </c>
      <c r="N128" s="109">
        <f>IF(G128=0,0,'M80(20250122封存)'!AU$41/日報表!G128)</f>
        <v>0</v>
      </c>
      <c r="O128" s="172"/>
      <c r="P128" s="1146"/>
      <c r="Q128" s="82"/>
      <c r="R128" s="115">
        <f>'M80(20250122封存)'!AW3</f>
        <v>0</v>
      </c>
      <c r="S128" s="244"/>
      <c r="U128" s="465" t="str">
        <f>IF(ISNA(HLOOKUP(A128,IAD!$6:$10,5,0)),"",(HLOOKUP(A128,IAD!$6:$10,5,0)))</f>
        <v/>
      </c>
    </row>
    <row r="129" spans="1:21" ht="19.5" hidden="1" customHeight="1">
      <c r="A129" s="72">
        <f>'M80(20250122封存)'!AX3</f>
        <v>0</v>
      </c>
      <c r="B129" s="94">
        <f>'M80(20250122封存)'!AX4</f>
        <v>0</v>
      </c>
      <c r="C129" s="108"/>
      <c r="D129" s="84">
        <f>'M80(20250122封存)'!AX$37</f>
        <v>0</v>
      </c>
      <c r="E129" s="85">
        <f>'M80(20250122封存)'!AZ$4</f>
        <v>0</v>
      </c>
      <c r="F129" s="86">
        <f>'M80(20250122封存)'!AY$37</f>
        <v>0</v>
      </c>
      <c r="G129" s="384">
        <f>'M80(20250122封存)'!AZ$37-'M80(20250122封存)'!AX$61</f>
        <v>0</v>
      </c>
      <c r="H129" s="86" t="e">
        <f>IF(R129="","",(G129*(150/R129)*(900/E129)))</f>
        <v>#DIV/0!</v>
      </c>
      <c r="I129" s="87">
        <f t="shared" si="14"/>
        <v>0</v>
      </c>
      <c r="J129" s="88">
        <f>'M80(20250122封存)'!AX$40/100</f>
        <v>0</v>
      </c>
      <c r="K129" s="89">
        <f>IF(G129=0,0,('M80(20250122封存)'!AX$38-'M80(20250122封存)'!AX$60-'M80(20250122封存)'!AY$60)/日報表!G129)</f>
        <v>0</v>
      </c>
      <c r="L129" s="90"/>
      <c r="M129" s="90" t="str">
        <f t="array" ref="M129">IF(ISERROR(AVERAGE(IF(A129=斷絲!$AT$4:$BA$4,斷絲!$AT$39:$BA$39))),"",AVERAGE(IF(A129=斷絲!$AT$4:$BA$4,斷絲!$AT$39:$BA$39)))</f>
        <v/>
      </c>
      <c r="N129" s="143">
        <f>IF(G129=0,0,'M80(20250122封存)'!AX$41/日報表!G129)</f>
        <v>0</v>
      </c>
      <c r="O129" s="172"/>
      <c r="P129" s="1146"/>
      <c r="Q129" s="82"/>
      <c r="R129" s="115">
        <f>'M80(20250122封存)'!AZ3</f>
        <v>0</v>
      </c>
      <c r="S129" s="244"/>
      <c r="U129" s="465" t="str">
        <f>IF(ISNA(HLOOKUP(A129,IAD!$6:$10,5,0)),"",(HLOOKUP(A129,IAD!$6:$10,5,0)))</f>
        <v/>
      </c>
    </row>
    <row r="130" spans="1:21" ht="19.5" hidden="1" customHeight="1">
      <c r="A130" s="72">
        <f>'M80(20250122封存)'!BA3</f>
        <v>0</v>
      </c>
      <c r="B130" s="94">
        <f>'M80(20250122封存)'!BA4</f>
        <v>0</v>
      </c>
      <c r="C130" s="108"/>
      <c r="D130" s="95">
        <f>'M80(20250122封存)'!BA$37</f>
        <v>0</v>
      </c>
      <c r="E130" s="96">
        <f>'M80(20250122封存)'!BC$4</f>
        <v>0</v>
      </c>
      <c r="F130" s="97">
        <f>'M80(20250122封存)'!BB$37</f>
        <v>0</v>
      </c>
      <c r="G130" s="385">
        <f>'M80(20250122封存)'!BC$37-'M80(20250122封存)'!BA$61</f>
        <v>0</v>
      </c>
      <c r="H130" s="97" t="e">
        <f t="shared" si="15"/>
        <v>#DIV/0!</v>
      </c>
      <c r="I130" s="87">
        <f t="shared" si="14"/>
        <v>0</v>
      </c>
      <c r="J130" s="103">
        <f>'M80(20250122封存)'!BA$40/100</f>
        <v>0</v>
      </c>
      <c r="K130" s="98">
        <f>IF(G130=0,0,('M80(20250122封存)'!BA$38-'M80(20250122封存)'!BA$60-'M80(20250122封存)'!BB$60)/日報表!G130)</f>
        <v>0</v>
      </c>
      <c r="L130" s="90"/>
      <c r="M130" s="173" t="str">
        <f t="array" ref="M130">IF(ISERROR(AVERAGE(IF(A130=斷絲!$AT$4:$BA$4,斷絲!$AT$39:$BA$39))),"",AVERAGE(IF(A130=斷絲!$AT$4:$BA$4,斷絲!$AT$39:$BA$39)))</f>
        <v/>
      </c>
      <c r="N130" s="109">
        <f>IF(G130=0,0,'M80(20250122封存)'!BA$41/日報表!G130)</f>
        <v>0</v>
      </c>
      <c r="O130" s="172"/>
      <c r="P130" s="1146"/>
      <c r="Q130" s="82"/>
      <c r="R130" s="115">
        <f>'M80(20250122封存)'!BC3</f>
        <v>0</v>
      </c>
      <c r="S130" s="244"/>
      <c r="U130" s="465" t="str">
        <f>IF(ISNA(HLOOKUP(A130,IAD!$6:$10,5,0)),"",(HLOOKUP(A130,IAD!$6:$10,5,0)))</f>
        <v/>
      </c>
    </row>
    <row r="131" spans="1:21" ht="19.5" hidden="1" customHeight="1">
      <c r="A131" s="72">
        <f>'M80(20250122封存)'!BD3</f>
        <v>0</v>
      </c>
      <c r="B131" s="94">
        <f>'M80(20250122封存)'!BD4</f>
        <v>0</v>
      </c>
      <c r="C131" s="108"/>
      <c r="D131" s="84">
        <f>'M80(20250122封存)'!BD$37</f>
        <v>0</v>
      </c>
      <c r="E131" s="85">
        <f>'M80(20250122封存)'!BF$4</f>
        <v>0</v>
      </c>
      <c r="F131" s="86">
        <f>'M80(20250122封存)'!BE$37</f>
        <v>0</v>
      </c>
      <c r="G131" s="384">
        <f>'M80(20250122封存)'!BF$37-'M80(20250122封存)'!BD$61</f>
        <v>0</v>
      </c>
      <c r="H131" s="86" t="e">
        <f t="shared" si="15"/>
        <v>#DIV/0!</v>
      </c>
      <c r="I131" s="87">
        <f t="shared" si="14"/>
        <v>0</v>
      </c>
      <c r="J131" s="88">
        <f>'M80(20250122封存)'!BD$40/100</f>
        <v>0</v>
      </c>
      <c r="K131" s="89">
        <f>IF(G131=0,0,('M80(20250122封存)'!BD$38-'M80(20250122封存)'!BD$60-'M80(20250122封存)'!BE$60)/日報表!G131)</f>
        <v>0</v>
      </c>
      <c r="L131" s="90"/>
      <c r="M131" s="90" t="str">
        <f t="array" ref="M131">IF(ISERROR(AVERAGE(IF(A131=斷絲!$AT$4:$BA$4,斷絲!$AT$39:$BA$39))),"",AVERAGE(IF(A131=斷絲!$AT$4:$BA$4,斷絲!$AT$39:$BA$39)))</f>
        <v/>
      </c>
      <c r="N131" s="143">
        <f>IF(G131=0,0,'M80(20250122封存)'!BD$41/日報表!G131)</f>
        <v>0</v>
      </c>
      <c r="O131" s="172"/>
      <c r="P131" s="1147"/>
      <c r="Q131" s="82"/>
      <c r="R131" s="115">
        <f>'M80(20250122封存)'!BF3</f>
        <v>0</v>
      </c>
      <c r="S131" s="244"/>
      <c r="U131" s="465" t="str">
        <f>IF(ISNA(HLOOKUP(A131,IAD!$6:$10,5,0)),"",(HLOOKUP(A131,IAD!$6:$10,5,0)))</f>
        <v/>
      </c>
    </row>
    <row r="132" spans="1:21" ht="19.5" hidden="1" customHeight="1">
      <c r="A132" s="72">
        <f>'M80(20250122封存)'!BG3</f>
        <v>0</v>
      </c>
      <c r="B132" s="94">
        <f>'M80(20250122封存)'!BG4</f>
        <v>0</v>
      </c>
      <c r="C132" s="108"/>
      <c r="D132" s="84">
        <f>'M80(20250122封存)'!BG$37</f>
        <v>0</v>
      </c>
      <c r="E132" s="85">
        <f>'M80(20250122封存)'!BI$4</f>
        <v>0</v>
      </c>
      <c r="F132" s="86">
        <f>'M80(20250122封存)'!BH$37</f>
        <v>0</v>
      </c>
      <c r="G132" s="384">
        <f>'M80(20250122封存)'!BI$37-'M80(20250122封存)'!BG$61</f>
        <v>0</v>
      </c>
      <c r="H132" s="86" t="e">
        <f t="shared" si="15"/>
        <v>#DIV/0!</v>
      </c>
      <c r="I132" s="87">
        <f t="shared" si="14"/>
        <v>0</v>
      </c>
      <c r="J132" s="88">
        <f>'M80(20250122封存)'!BG$40/100</f>
        <v>0</v>
      </c>
      <c r="K132" s="89">
        <f>IF(G132=0,0,('M80(20250122封存)'!BG$38-'M80(20250122封存)'!BG$60-'M80(20250122封存)'!BH$60)/日報表!G132)</f>
        <v>0</v>
      </c>
      <c r="L132" s="90"/>
      <c r="M132" s="90" t="str">
        <f t="array" ref="M132">IF(ISERROR(AVERAGE(IF(A132=斷絲!$AT$4:$BA$4,斷絲!$AT$39:$BA$39))),"",AVERAGE(IF(A132=斷絲!$AT$4:$BA$4,斷絲!$AT$39:$BA$39)))</f>
        <v/>
      </c>
      <c r="N132" s="143">
        <f>IF(G132=0,0,'M80(20250122封存)'!BG$41/日報表!G132)</f>
        <v>0</v>
      </c>
      <c r="O132" s="172"/>
      <c r="P132" s="1146"/>
      <c r="Q132" s="82"/>
      <c r="R132" s="115">
        <f>'M80(20250122封存)'!BI3</f>
        <v>0</v>
      </c>
      <c r="S132" s="244"/>
      <c r="U132" s="465" t="str">
        <f>IF(ISNA(HLOOKUP(A132,IAD!$6:$10,5,0)),"",(HLOOKUP(A132,IAD!$6:$10,5,0)))</f>
        <v/>
      </c>
    </row>
    <row r="133" spans="1:21" ht="19.5" hidden="1" customHeight="1">
      <c r="A133" s="72">
        <f>'M80(20250122封存)'!BJ3</f>
        <v>0</v>
      </c>
      <c r="B133" s="94">
        <f>'M80(20250122封存)'!BJ4</f>
        <v>0</v>
      </c>
      <c r="C133" s="108"/>
      <c r="D133" s="84">
        <f>'M80(20250122封存)'!BJ$37</f>
        <v>0</v>
      </c>
      <c r="E133" s="85">
        <f>'M80(20250122封存)'!BL$4</f>
        <v>0</v>
      </c>
      <c r="F133" s="86">
        <f>'M80(20250122封存)'!BK$37</f>
        <v>0</v>
      </c>
      <c r="G133" s="384">
        <f>'M80(20250122封存)'!BL$37-'M80(20250122封存)'!BJ$61</f>
        <v>0</v>
      </c>
      <c r="H133" s="86" t="e">
        <f t="shared" si="15"/>
        <v>#DIV/0!</v>
      </c>
      <c r="I133" s="87">
        <f t="shared" si="14"/>
        <v>0</v>
      </c>
      <c r="J133" s="88">
        <f>'M80(20250122封存)'!BJ$40/100</f>
        <v>0</v>
      </c>
      <c r="K133" s="89">
        <f>IF(G133=0,0,('M80(20250122封存)'!BJ$38-'M80(20250122封存)'!BJ$60-'M80(20250122封存)'!BK$60)/日報表!G133)</f>
        <v>0</v>
      </c>
      <c r="L133" s="90"/>
      <c r="M133" s="90" t="str">
        <f t="array" ref="M133">IF(ISERROR(AVERAGE(IF(A133=斷絲!$AT$4:$BA$4,斷絲!$AT$39:$BA$39))),"",AVERAGE(IF(A133=斷絲!$AT$4:$BA$4,斷絲!$AT$39:$BA$39)))</f>
        <v/>
      </c>
      <c r="N133" s="143">
        <f>IF(G133=0,0,'M80(20250122封存)'!BJ$41/日報表!G133)</f>
        <v>0</v>
      </c>
      <c r="O133" s="172"/>
      <c r="P133" s="1147"/>
      <c r="Q133" s="82"/>
      <c r="R133" s="115">
        <f>'M80(20250122封存)'!BL3</f>
        <v>0</v>
      </c>
      <c r="S133" s="244"/>
      <c r="U133" s="465" t="str">
        <f>IF(ISNA(HLOOKUP(A133,IAD!$6:$10,5,0)),"",(HLOOKUP(A133,IAD!$6:$10,5,0)))</f>
        <v/>
      </c>
    </row>
    <row r="134" spans="1:21" ht="19.5" hidden="1" customHeight="1">
      <c r="A134" s="72">
        <f>'M80(20250122封存)'!BM$3</f>
        <v>0</v>
      </c>
      <c r="B134" s="83">
        <f>'M80(20250122封存)'!BM$4</f>
        <v>0</v>
      </c>
      <c r="C134" s="108"/>
      <c r="D134" s="84">
        <f>'M80(20250122封存)'!BM$37</f>
        <v>0</v>
      </c>
      <c r="E134" s="85">
        <f>'M80(20250122封存)'!BO$4</f>
        <v>0</v>
      </c>
      <c r="F134" s="86">
        <f>'M80(20250122封存)'!BN$37</f>
        <v>0</v>
      </c>
      <c r="G134" s="384">
        <f>'M80(20250122封存)'!BO$37-'M80(20250122封存)'!BM$61</f>
        <v>0</v>
      </c>
      <c r="H134" s="86" t="e">
        <f>IF(R134="","",(G134*(150/R134)*(900/E134)))</f>
        <v>#DIV/0!</v>
      </c>
      <c r="I134" s="87">
        <f t="shared" si="14"/>
        <v>0</v>
      </c>
      <c r="J134" s="88">
        <f>'M80(20250122封存)'!BM$40/100</f>
        <v>0</v>
      </c>
      <c r="K134" s="89">
        <f>IF(G134=0,0,('M80(20250122封存)'!BM$38-'M80(20250122封存)'!BM$60-'M80(20250122封存)'!BN$60)/日報表!G134)</f>
        <v>0</v>
      </c>
      <c r="L134" s="90"/>
      <c r="M134" s="90" t="str">
        <f t="array" ref="M134">IF(ISERROR(AVERAGE(IF(A134=斷絲!$AT$4:$BA$4,斷絲!$AT$39:$BA$39))),"",AVERAGE(IF(A134=斷絲!$AT$4:$BA$4,斷絲!$AT$39:$BA$39)))</f>
        <v/>
      </c>
      <c r="N134" s="143">
        <f>IF(G134=0,0,'M80(20250122封存)'!BM$41/日報表!G134)</f>
        <v>0</v>
      </c>
      <c r="O134" s="172"/>
      <c r="P134" s="1147"/>
      <c r="Q134" s="82"/>
      <c r="R134" s="115">
        <f>'M80(20250122封存)'!BO$3</f>
        <v>0</v>
      </c>
      <c r="S134" s="244"/>
      <c r="U134" s="465" t="str">
        <f>IF(ISNA(HLOOKUP(A134,IAD!$6:$10,5,0)),"",(HLOOKUP(A134,IAD!$6:$10,5,0)))</f>
        <v/>
      </c>
    </row>
    <row r="135" spans="1:21" ht="19.5" hidden="1" customHeight="1">
      <c r="A135" s="72">
        <f>'M80(20250122封存)'!BP$3</f>
        <v>0</v>
      </c>
      <c r="B135" s="83">
        <f>'M80(20250122封存)'!BP$4</f>
        <v>0</v>
      </c>
      <c r="C135" s="108"/>
      <c r="D135" s="84">
        <f>'M80(20250122封存)'!BP$37</f>
        <v>0</v>
      </c>
      <c r="E135" s="85">
        <f>'M80(20250122封存)'!BR$4</f>
        <v>0</v>
      </c>
      <c r="F135" s="86">
        <f>'M80(20250122封存)'!BQ$37</f>
        <v>0</v>
      </c>
      <c r="G135" s="384">
        <f>'M80(20250122封存)'!BR$37-'M80(20250122封存)'!BP$61</f>
        <v>0</v>
      </c>
      <c r="H135" s="86" t="e">
        <f t="shared" ref="H135:H145" si="16">IF(R135="","",(G135*(150/R135)*(900/E135)))</f>
        <v>#DIV/0!</v>
      </c>
      <c r="I135" s="87">
        <f t="shared" ref="I135:I145" si="17">IF(F135=0,0,G135/F135)</f>
        <v>0</v>
      </c>
      <c r="J135" s="88">
        <f>'M80(20250122封存)'!BP$40/100</f>
        <v>0</v>
      </c>
      <c r="K135" s="89">
        <f>IF(G135=0,0,('M80(20250122封存)'!BP$38-'M80(20250122封存)'!BP$60-'M80(20250122封存)'!BQ$60)/日報表!G135)</f>
        <v>0</v>
      </c>
      <c r="L135" s="90"/>
      <c r="M135" s="90" t="str">
        <f t="array" ref="M135">IF(ISERROR(AVERAGE(IF(A135=斷絲!$AT$4:$BA$4,斷絲!$AT$39:$BA$39))),"",AVERAGE(IF(A135=斷絲!$AT$4:$BA$4,斷絲!$AT$39:$BA$39)))</f>
        <v/>
      </c>
      <c r="N135" s="143">
        <f>IF(G135=0,0,'M80(20250122封存)'!BP$41/日報表!G135)</f>
        <v>0</v>
      </c>
      <c r="O135" s="172"/>
      <c r="P135" s="1147"/>
      <c r="Q135" s="82"/>
      <c r="R135" s="115">
        <f>'M80(20250122封存)'!BR$3</f>
        <v>0</v>
      </c>
      <c r="S135" s="244"/>
      <c r="U135" s="465" t="str">
        <f>IF(ISNA(HLOOKUP(A135,IAD!$6:$10,5,0)),"",(HLOOKUP(A135,IAD!$6:$10,5,0)))</f>
        <v/>
      </c>
    </row>
    <row r="136" spans="1:21" ht="19.5" hidden="1" customHeight="1">
      <c r="A136" s="72">
        <f>'M80(20250122封存)'!BS$3</f>
        <v>0</v>
      </c>
      <c r="B136" s="83">
        <f>'M80(20250122封存)'!BS$4</f>
        <v>0</v>
      </c>
      <c r="C136" s="108"/>
      <c r="D136" s="84">
        <f>'M80(20250122封存)'!BS$37</f>
        <v>0</v>
      </c>
      <c r="E136" s="85">
        <f>'M80(20250122封存)'!BU$4</f>
        <v>0</v>
      </c>
      <c r="F136" s="86">
        <f>'M80(20250122封存)'!BT$37</f>
        <v>0</v>
      </c>
      <c r="G136" s="384">
        <f>'M80(20250122封存)'!BU$37-'M80(20250122封存)'!BS$61</f>
        <v>0</v>
      </c>
      <c r="H136" s="86" t="e">
        <f t="shared" si="16"/>
        <v>#DIV/0!</v>
      </c>
      <c r="I136" s="87">
        <f t="shared" si="17"/>
        <v>0</v>
      </c>
      <c r="J136" s="88">
        <f>'M80(20250122封存)'!BS$40/100</f>
        <v>0</v>
      </c>
      <c r="K136" s="89">
        <f>IF(G136=0,0,('M80(20250122封存)'!BS$38-'M80(20250122封存)'!BS$60-'M80(20250122封存)'!BT$60)/日報表!G136)</f>
        <v>0</v>
      </c>
      <c r="L136" s="90"/>
      <c r="M136" s="90" t="str">
        <f t="array" ref="M136">IF(ISERROR(AVERAGE(IF(A136=斷絲!$AT$4:$BA$4,斷絲!$AT$39:$BA$39))),"",AVERAGE(IF(A136=斷絲!$AT$4:$BA$4,斷絲!$AT$39:$BA$39)))</f>
        <v/>
      </c>
      <c r="N136" s="143">
        <f>IF(G136=0,0,'M80(20250122封存)'!BS$41/日報表!G136)</f>
        <v>0</v>
      </c>
      <c r="O136" s="172"/>
      <c r="P136" s="1146"/>
      <c r="Q136" s="82"/>
      <c r="R136" s="115">
        <f>'M80(20250122封存)'!BU$3</f>
        <v>0</v>
      </c>
      <c r="S136" s="244"/>
      <c r="U136" s="465" t="str">
        <f>IF(ISNA(HLOOKUP(A136,IAD!$6:$10,5,0)),"",(HLOOKUP(A136,IAD!$6:$10,5,0)))</f>
        <v/>
      </c>
    </row>
    <row r="137" spans="1:21" ht="19.5" hidden="1" customHeight="1">
      <c r="A137" s="72">
        <f>'M80(20250122封存)'!BV$3</f>
        <v>0</v>
      </c>
      <c r="B137" s="83">
        <f>'M80(20250122封存)'!BV$4</f>
        <v>0</v>
      </c>
      <c r="C137" s="108"/>
      <c r="D137" s="84">
        <f>'M80(20250122封存)'!BV$37</f>
        <v>0</v>
      </c>
      <c r="E137" s="85">
        <f>'M80(20250122封存)'!BX$4</f>
        <v>0</v>
      </c>
      <c r="F137" s="86">
        <f>'M80(20250122封存)'!BW$37</f>
        <v>0</v>
      </c>
      <c r="G137" s="384">
        <f>'M80(20250122封存)'!BX$37-'M80(20250122封存)'!BV$61</f>
        <v>0</v>
      </c>
      <c r="H137" s="86" t="e">
        <f t="shared" si="16"/>
        <v>#DIV/0!</v>
      </c>
      <c r="I137" s="87">
        <f t="shared" si="17"/>
        <v>0</v>
      </c>
      <c r="J137" s="88">
        <f>'M80(20250122封存)'!BV$40/100</f>
        <v>0</v>
      </c>
      <c r="K137" s="89">
        <f>IF(G137=0,0,('M80(20250122封存)'!BV$38-'M80(20250122封存)'!BV$60-'M80(20250122封存)'!BW$60)/日報表!G137)</f>
        <v>0</v>
      </c>
      <c r="L137" s="90"/>
      <c r="M137" s="90" t="str">
        <f t="array" ref="M137">IF(ISERROR(AVERAGE(IF(A137=斷絲!$AT$4:$BA$4,斷絲!$AT$39:$BA$39))),"",AVERAGE(IF(A137=斷絲!$AT$4:$BA$4,斷絲!$AT$39:$BA$39)))</f>
        <v/>
      </c>
      <c r="N137" s="143">
        <f>IF(G137=0,0,'M80(20250122封存)'!BV$41/日報表!G137)</f>
        <v>0</v>
      </c>
      <c r="O137" s="172"/>
      <c r="P137" s="1147"/>
      <c r="Q137" s="82"/>
      <c r="R137" s="115">
        <f>'M80(20250122封存)'!BX$3</f>
        <v>0</v>
      </c>
      <c r="S137" s="244"/>
      <c r="U137" s="465" t="str">
        <f>IF(ISNA(HLOOKUP(A137,IAD!$6:$10,5,0)),"",(HLOOKUP(A137,IAD!$6:$10,5,0)))</f>
        <v/>
      </c>
    </row>
    <row r="138" spans="1:21" ht="19.5" hidden="1" customHeight="1">
      <c r="A138" s="72">
        <f>'M80(20250122封存)'!BY$3</f>
        <v>0</v>
      </c>
      <c r="B138" s="83">
        <f>'M80(20250122封存)'!BY$4</f>
        <v>0</v>
      </c>
      <c r="C138" s="108"/>
      <c r="D138" s="84">
        <f>'M80(20250122封存)'!BY$37</f>
        <v>0</v>
      </c>
      <c r="E138" s="85">
        <f>'M80(20250122封存)'!CA$4</f>
        <v>0</v>
      </c>
      <c r="F138" s="86">
        <f>'M80(20250122封存)'!BZ$37</f>
        <v>0</v>
      </c>
      <c r="G138" s="384">
        <f>'M80(20250122封存)'!CA$37-'M80(20250122封存)'!BY$61</f>
        <v>0</v>
      </c>
      <c r="H138" s="86" t="e">
        <f t="shared" si="16"/>
        <v>#DIV/0!</v>
      </c>
      <c r="I138" s="87">
        <f t="shared" si="17"/>
        <v>0</v>
      </c>
      <c r="J138" s="88">
        <f>'M80(20250122封存)'!BY$40/100</f>
        <v>0</v>
      </c>
      <c r="K138" s="89">
        <f>IF(G138=0,0,('M80(20250122封存)'!BY$38-'M80(20250122封存)'!BY$60-'M80(20250122封存)'!BZ$60)/日報表!G138)</f>
        <v>0</v>
      </c>
      <c r="L138" s="90"/>
      <c r="M138" s="90" t="str">
        <f t="array" ref="M138">IF(ISERROR(AVERAGE(IF(A138=斷絲!$AT$4:$BA$4,斷絲!$AT$39:$BA$39))),"",AVERAGE(IF(A138=斷絲!$AT$4:$BA$4,斷絲!$AT$39:$BA$39)))</f>
        <v/>
      </c>
      <c r="N138" s="143">
        <f>IF(G138=0,0,'M80(20250122封存)'!BY$41/日報表!G138)</f>
        <v>0</v>
      </c>
      <c r="O138" s="172"/>
      <c r="P138" s="1146"/>
      <c r="Q138" s="82"/>
      <c r="R138" s="115">
        <f>'M80(20250122封存)'!CA$3</f>
        <v>0</v>
      </c>
      <c r="S138" s="244"/>
      <c r="U138" s="465" t="str">
        <f>IF(ISNA(HLOOKUP(A138,IAD!$6:$10,5,0)),"",(HLOOKUP(A138,IAD!$6:$10,5,0)))</f>
        <v/>
      </c>
    </row>
    <row r="139" spans="1:21" ht="19.5" hidden="1" customHeight="1">
      <c r="A139" s="72">
        <f>'M80(20250122封存)'!CB$3</f>
        <v>0</v>
      </c>
      <c r="B139" s="83">
        <f>'M80(20250122封存)'!CB$4</f>
        <v>0</v>
      </c>
      <c r="C139" s="108"/>
      <c r="D139" s="84">
        <f>'M80(20250122封存)'!CB$37</f>
        <v>0</v>
      </c>
      <c r="E139" s="85">
        <f>'M80(20250122封存)'!CD$4</f>
        <v>0</v>
      </c>
      <c r="F139" s="86">
        <f>'M80(20250122封存)'!CC$37</f>
        <v>0</v>
      </c>
      <c r="G139" s="384">
        <f>'M80(20250122封存)'!CD$37-'M80(20250122封存)'!CB$61</f>
        <v>0</v>
      </c>
      <c r="H139" s="86" t="e">
        <f t="shared" si="16"/>
        <v>#DIV/0!</v>
      </c>
      <c r="I139" s="87">
        <f t="shared" si="17"/>
        <v>0</v>
      </c>
      <c r="J139" s="88">
        <f>'M80(20250122封存)'!CB$40/100</f>
        <v>0</v>
      </c>
      <c r="K139" s="89">
        <f>IF(G139=0,0,('M80(20250122封存)'!CB$38-'M80(20250122封存)'!CB$60-'M80(20250122封存)'!CC$60)/日報表!G139)</f>
        <v>0</v>
      </c>
      <c r="L139" s="90"/>
      <c r="M139" s="90" t="str">
        <f t="array" ref="M139">IF(ISERROR(AVERAGE(IF(A139=斷絲!$AT$4:$BA$4,斷絲!$AT$39:$BA$39))),"",AVERAGE(IF(A139=斷絲!$AT$4:$BA$4,斷絲!$AT$39:$BA$39)))</f>
        <v/>
      </c>
      <c r="N139" s="143">
        <f>IF(G139=0,0,'M80(20250122封存)'!CB$41/日報表!G139)</f>
        <v>0</v>
      </c>
      <c r="O139" s="172"/>
      <c r="P139" s="1146"/>
      <c r="Q139" s="82"/>
      <c r="R139" s="115">
        <f>'M80(20250122封存)'!CD$3</f>
        <v>0</v>
      </c>
      <c r="S139" s="244"/>
      <c r="U139" s="465" t="str">
        <f>IF(ISNA(HLOOKUP(A139,IAD!$6:$10,5,0)),"",(HLOOKUP(A139,IAD!$6:$10,5,0)))</f>
        <v/>
      </c>
    </row>
    <row r="140" spans="1:21" ht="19.5" hidden="1" customHeight="1">
      <c r="A140" s="72">
        <f>'M80(20250122封存)'!CE$3</f>
        <v>0</v>
      </c>
      <c r="B140" s="83">
        <f>'M80(20250122封存)'!CE$4</f>
        <v>0</v>
      </c>
      <c r="C140" s="108"/>
      <c r="D140" s="84">
        <f>'M80(20250122封存)'!CE$37</f>
        <v>0</v>
      </c>
      <c r="E140" s="85">
        <f>'M80(20250122封存)'!CG$4</f>
        <v>0</v>
      </c>
      <c r="F140" s="86">
        <f>'M80(20250122封存)'!CF$37</f>
        <v>0</v>
      </c>
      <c r="G140" s="384">
        <f>'M80(20250122封存)'!CG$37-'M80(20250122封存)'!CE$61</f>
        <v>0</v>
      </c>
      <c r="H140" s="86" t="e">
        <f t="shared" si="16"/>
        <v>#DIV/0!</v>
      </c>
      <c r="I140" s="87">
        <f t="shared" si="17"/>
        <v>0</v>
      </c>
      <c r="J140" s="88">
        <f>'M80(20250122封存)'!CE$40/100</f>
        <v>0</v>
      </c>
      <c r="K140" s="89">
        <f>IF(G140=0,0,('M80(20250122封存)'!CE$38-'M80(20250122封存)'!CE$60-'M80(20250122封存)'!CF$60)/日報表!G140)</f>
        <v>0</v>
      </c>
      <c r="L140" s="90"/>
      <c r="M140" s="90" t="str">
        <f t="array" ref="M140">IF(ISERROR(AVERAGE(IF(A140=斷絲!$AT$4:$BA$4,斷絲!$AT$39:$BA$39))),"",AVERAGE(IF(A140=斷絲!$AT$4:$BA$4,斷絲!$AT$39:$BA$39)))</f>
        <v/>
      </c>
      <c r="N140" s="143">
        <f>IF(G140=0,0,'M80(20250122封存)'!CE$41/日報表!G140)</f>
        <v>0</v>
      </c>
      <c r="O140" s="172"/>
      <c r="P140" s="1146"/>
      <c r="Q140" s="82"/>
      <c r="R140" s="115">
        <f>'M80(20250122封存)'!CG$3</f>
        <v>0</v>
      </c>
      <c r="S140" s="244"/>
      <c r="U140" s="465" t="str">
        <f>IF(ISNA(HLOOKUP(A140,IAD!$6:$10,5,0)),"",(HLOOKUP(A140,IAD!$6:$10,5,0)))</f>
        <v/>
      </c>
    </row>
    <row r="141" spans="1:21" ht="19.5" hidden="1" customHeight="1">
      <c r="A141" s="72">
        <f>'M80(20250122封存)'!CH$3</f>
        <v>0</v>
      </c>
      <c r="B141" s="83">
        <f>'M80(20250122封存)'!CH$4</f>
        <v>0</v>
      </c>
      <c r="C141" s="108"/>
      <c r="D141" s="84">
        <f>'M80(20250122封存)'!CH$37</f>
        <v>0</v>
      </c>
      <c r="E141" s="85">
        <f>'M80(20250122封存)'!CJ$4</f>
        <v>0</v>
      </c>
      <c r="F141" s="86">
        <f>'M80(20250122封存)'!CI$37</f>
        <v>0</v>
      </c>
      <c r="G141" s="384">
        <f>'M80(20250122封存)'!CJ$37-'M80(20250122封存)'!CH$61</f>
        <v>0</v>
      </c>
      <c r="H141" s="86" t="e">
        <f t="shared" si="16"/>
        <v>#DIV/0!</v>
      </c>
      <c r="I141" s="87">
        <f t="shared" si="17"/>
        <v>0</v>
      </c>
      <c r="J141" s="88">
        <f>'M80(20250122封存)'!CH$40/100</f>
        <v>0</v>
      </c>
      <c r="K141" s="89">
        <f>IF(G141=0,0,('M80(20250122封存)'!CH$38-'M80(20250122封存)'!CH$60-'M80(20250122封存)'!CI$60)/日報表!G141)</f>
        <v>0</v>
      </c>
      <c r="L141" s="90"/>
      <c r="M141" s="90" t="str">
        <f t="array" ref="M141">IF(ISERROR(AVERAGE(IF(A141=斷絲!$AT$4:$BA$4,斷絲!$AT$39:$BA$39))),"",AVERAGE(IF(A141=斷絲!$AT$4:$BA$4,斷絲!$AT$39:$BA$39)))</f>
        <v/>
      </c>
      <c r="N141" s="143">
        <f>IF(G141=0,0,'M80(20250122封存)'!CH$41/日報表!G141)</f>
        <v>0</v>
      </c>
      <c r="O141" s="172"/>
      <c r="P141" s="1146"/>
      <c r="Q141" s="82"/>
      <c r="R141" s="115">
        <f>'M80(20250122封存)'!CJ$3</f>
        <v>0</v>
      </c>
      <c r="S141" s="244"/>
      <c r="U141" s="465" t="str">
        <f>IF(ISNA(HLOOKUP(A141,IAD!$6:$10,5,0)),"",(HLOOKUP(A141,IAD!$6:$10,5,0)))</f>
        <v/>
      </c>
    </row>
    <row r="142" spans="1:21" ht="19.5" hidden="1" customHeight="1">
      <c r="A142" s="72">
        <f>'M80(20250122封存)'!CK$3</f>
        <v>0</v>
      </c>
      <c r="B142" s="83">
        <f>'M80(20250122封存)'!CK$4</f>
        <v>0</v>
      </c>
      <c r="C142" s="108"/>
      <c r="D142" s="84">
        <f>'M80(20250122封存)'!CK$37</f>
        <v>0</v>
      </c>
      <c r="E142" s="85">
        <f>'M80(20250122封存)'!CM$4</f>
        <v>0</v>
      </c>
      <c r="F142" s="86">
        <f>'M80(20250122封存)'!CL$37</f>
        <v>0</v>
      </c>
      <c r="G142" s="384">
        <f>'M80(20250122封存)'!CM$37-'M80(20250122封存)'!CK$61</f>
        <v>0</v>
      </c>
      <c r="H142" s="86" t="e">
        <f t="shared" si="16"/>
        <v>#DIV/0!</v>
      </c>
      <c r="I142" s="87">
        <f t="shared" si="17"/>
        <v>0</v>
      </c>
      <c r="J142" s="88">
        <f>'M80(20250122封存)'!CK$40/100</f>
        <v>0</v>
      </c>
      <c r="K142" s="89">
        <f>IF(G142=0,0,('M80(20250122封存)'!CK$38-'M80(20250122封存)'!CK$60-'M80(20250122封存)'!CL$60)/日報表!G142)</f>
        <v>0</v>
      </c>
      <c r="L142" s="266"/>
      <c r="M142" s="90" t="str">
        <f t="array" ref="M142">IF(ISERROR(AVERAGE(IF(A142=斷絲!$AT$4:$BA$4,斷絲!$AT$39:$BA$39))),"",AVERAGE(IF(A142=斷絲!$AT$4:$BA$4,斷絲!$AT$39:$BA$39)))</f>
        <v/>
      </c>
      <c r="N142" s="143">
        <f>IF(G142=0,0,'M80(20250122封存)'!CK$41/日報表!G142)</f>
        <v>0</v>
      </c>
      <c r="O142" s="172"/>
      <c r="P142" s="1147"/>
      <c r="Q142" s="82"/>
      <c r="R142" s="115">
        <f>'M80(20250122封存)'!CM$3</f>
        <v>0</v>
      </c>
      <c r="S142" s="244"/>
      <c r="U142" s="465" t="str">
        <f>IF(ISNA(HLOOKUP(A142,IAD!$6:$10,5,0)),"",(HLOOKUP(A142,IAD!$6:$10,5,0)))</f>
        <v/>
      </c>
    </row>
    <row r="143" spans="1:21" ht="19.5" hidden="1" customHeight="1">
      <c r="A143" s="72">
        <f>'M80(20250122封存)'!CN$3</f>
        <v>0</v>
      </c>
      <c r="B143" s="83">
        <f>'M80(20250122封存)'!CN$4</f>
        <v>0</v>
      </c>
      <c r="C143" s="108"/>
      <c r="D143" s="84">
        <f>'M80(20250122封存)'!CN$37</f>
        <v>0</v>
      </c>
      <c r="E143" s="85">
        <f>'M80(20250122封存)'!CP$4</f>
        <v>0</v>
      </c>
      <c r="F143" s="86">
        <f>'M80(20250122封存)'!CO$37</f>
        <v>0</v>
      </c>
      <c r="G143" s="384">
        <f>'M80(20250122封存)'!CP$37-'M80(20250122封存)'!CN$61</f>
        <v>0</v>
      </c>
      <c r="H143" s="86" t="e">
        <f t="shared" si="16"/>
        <v>#DIV/0!</v>
      </c>
      <c r="I143" s="87">
        <f t="shared" si="17"/>
        <v>0</v>
      </c>
      <c r="J143" s="88">
        <f>'M80(20250122封存)'!CN$40/100</f>
        <v>0</v>
      </c>
      <c r="K143" s="89">
        <f>IF(G143=0,0,('M80(20250122封存)'!CN$38-'M80(20250122封存)'!CN$60-'M80(20250122封存)'!CO$60)/日報表!G143)</f>
        <v>0</v>
      </c>
      <c r="L143" s="90"/>
      <c r="M143" s="90" t="str">
        <f t="array" ref="M143">IF(ISERROR(AVERAGE(IF(A143=斷絲!$AT$4:$BA$4,斷絲!$AT$39:$BA$39))),"",AVERAGE(IF(A143=斷絲!$AT$4:$BA$4,斷絲!$AT$39:$BA$39)))</f>
        <v/>
      </c>
      <c r="N143" s="143">
        <f>IF(G143=0,0,'M80(20250122封存)'!CN$41/日報表!G143)</f>
        <v>0</v>
      </c>
      <c r="O143" s="172"/>
      <c r="P143" s="1146"/>
      <c r="Q143" s="82"/>
      <c r="R143" s="115">
        <f>'M80(20250122封存)'!CP$3</f>
        <v>0</v>
      </c>
      <c r="S143" s="244"/>
      <c r="U143" s="465" t="str">
        <f>IF(ISNA(HLOOKUP(A143,IAD!$6:$10,5,0)),"",(HLOOKUP(A143,IAD!$6:$10,5,0)))</f>
        <v/>
      </c>
    </row>
    <row r="144" spans="1:21" ht="19.5" hidden="1" customHeight="1">
      <c r="A144" s="72">
        <f>'M80(20250122封存)'!CQ$3</f>
        <v>0</v>
      </c>
      <c r="B144" s="83">
        <f>'M80(20250122封存)'!CQ$4</f>
        <v>0</v>
      </c>
      <c r="C144" s="108"/>
      <c r="D144" s="84">
        <f>'M80(20250122封存)'!CQ$37</f>
        <v>0</v>
      </c>
      <c r="E144" s="85">
        <f>'M80(20250122封存)'!CS$4</f>
        <v>0</v>
      </c>
      <c r="F144" s="86">
        <f>'M80(20250122封存)'!CR$37</f>
        <v>0</v>
      </c>
      <c r="G144" s="384">
        <f>'M80(20250122封存)'!CS$37-'M80(20250122封存)'!CQ$61</f>
        <v>0</v>
      </c>
      <c r="H144" s="86" t="e">
        <f t="shared" si="16"/>
        <v>#DIV/0!</v>
      </c>
      <c r="I144" s="87">
        <f t="shared" si="17"/>
        <v>0</v>
      </c>
      <c r="J144" s="88">
        <f>'M80(20250122封存)'!CQ$40/100</f>
        <v>0</v>
      </c>
      <c r="K144" s="89">
        <f>IF(G144=0,0,('M80(20250122封存)'!CQ$38-'M80(20250122封存)'!CQ$60-'M80(20250122封存)'!CR$60)/日報表!G144)</f>
        <v>0</v>
      </c>
      <c r="L144" s="90"/>
      <c r="M144" s="90" t="str">
        <f t="array" ref="M144">IF(ISERROR(AVERAGE(IF(A144=斷絲!$AT$4:$BA$4,斷絲!$AT$39:$BA$39))),"",AVERAGE(IF(A144=斷絲!$AT$4:$BA$4,斷絲!$AT$39:$BA$39)))</f>
        <v/>
      </c>
      <c r="N144" s="143">
        <f>IF(G144=0,0,'M80(20250122封存)'!CQ$41/日報表!G144)</f>
        <v>0</v>
      </c>
      <c r="O144" s="171"/>
      <c r="P144" s="1147"/>
      <c r="Q144" s="82"/>
      <c r="R144" s="115">
        <f>'M80(20250122封存)'!CS$3</f>
        <v>0</v>
      </c>
      <c r="S144" s="244"/>
      <c r="U144" s="465" t="str">
        <f>IF(ISNA(HLOOKUP(A144,IAD!$6:$10,5,0)),"",(HLOOKUP(A144,IAD!$6:$10,5,0)))</f>
        <v/>
      </c>
    </row>
    <row r="145" spans="1:26" ht="19.5" hidden="1" customHeight="1" thickBot="1">
      <c r="A145" s="73">
        <f>'M80(20250122封存)'!CT$3</f>
        <v>0</v>
      </c>
      <c r="B145" s="94">
        <f>'M80(20250122封存)'!CT$4</f>
        <v>0</v>
      </c>
      <c r="C145" s="108"/>
      <c r="D145" s="84">
        <f>'M80(20250122封存)'!CT$37</f>
        <v>0</v>
      </c>
      <c r="E145" s="85">
        <f>'M80(20250122封存)'!CV$4</f>
        <v>0</v>
      </c>
      <c r="F145" s="86">
        <f>'M80(20250122封存)'!CU$37</f>
        <v>0</v>
      </c>
      <c r="G145" s="384">
        <f>'M80(20250122封存)'!CV$37-'M80(20250122封存)'!CT$61</f>
        <v>0</v>
      </c>
      <c r="H145" s="86" t="e">
        <f t="shared" si="16"/>
        <v>#DIV/0!</v>
      </c>
      <c r="I145" s="102">
        <f t="shared" si="17"/>
        <v>0</v>
      </c>
      <c r="J145" s="88">
        <f>'M80(20250122封存)'!CT$40/100</f>
        <v>0</v>
      </c>
      <c r="K145" s="89">
        <f>IF(G145=0,0,('M80(20250122封存)'!CT$38-'M80(20250122封存)'!CT$60-'M80(20250122封存)'!CU$60)/日報表!G145)</f>
        <v>0</v>
      </c>
      <c r="L145" s="492"/>
      <c r="M145" s="134" t="str">
        <f t="array" ref="M145">IF(ISERROR(AVERAGE(IF(A145=斷絲!$AT$4:$BA$4,斷絲!$AT$39:$BA$39))),"",AVERAGE(IF(A145=斷絲!$AT$4:$BA$4,斷絲!$AT$39:$BA$39)))</f>
        <v/>
      </c>
      <c r="N145" s="143">
        <f>IF(G145=0,0,'M80(20250122封存)'!CT$41/日報表!G145)</f>
        <v>0</v>
      </c>
      <c r="O145" s="171"/>
      <c r="P145" s="1153"/>
      <c r="Q145" s="82"/>
      <c r="R145" s="115">
        <f>'M80(20250122封存)'!CV$3</f>
        <v>0</v>
      </c>
      <c r="S145" s="244"/>
      <c r="U145" s="465" t="str">
        <f>IF(ISNA(HLOOKUP(A145,IAD!$6:$10,5,0)),"",(HLOOKUP(A145,IAD!$6:$10,5,0)))</f>
        <v/>
      </c>
    </row>
    <row r="146" spans="1:26" ht="21" customHeight="1" thickBot="1">
      <c r="A146" s="503" t="s">
        <v>130</v>
      </c>
      <c r="B146" s="274" t="str">
        <f t="array" ref="B146">IF(D146=0,"",SUM(D113:D145*R113:R145)/D146)</f>
        <v/>
      </c>
      <c r="C146" s="247" t="str">
        <f t="array" ref="C146">IF(ISERROR(SUM(E113:E145*D113:D145)/D146),"",(SUM(E113:E145*D113:D145)/D146))</f>
        <v/>
      </c>
      <c r="D146" s="267">
        <f>IF((SUM(D113:D145))=0,0,(SUM(D113:D145)))</f>
        <v>0</v>
      </c>
      <c r="E146" s="268" t="s">
        <v>27</v>
      </c>
      <c r="F146" s="269">
        <f>SUM(F113:F145)</f>
        <v>0</v>
      </c>
      <c r="G146" s="389">
        <f>SUM(G113:G145)</f>
        <v>0</v>
      </c>
      <c r="H146" s="270" t="e">
        <f>SUM(H113:H145)</f>
        <v>#DIV/0!</v>
      </c>
      <c r="I146" s="68">
        <f>IF(F146=0,0,G146/F146)</f>
        <v>0</v>
      </c>
      <c r="J146" s="271"/>
      <c r="K146" s="69">
        <f t="array" ref="K146">IF(ISERROR(IF(G146=0,0,SUM(G113:G145*K113:K145))/(G146+G111)),0,(IF(G146=0,0,SUM(G113:G145*K113:K145))/(G146+G111)))</f>
        <v>0</v>
      </c>
      <c r="L146" s="216" t="str">
        <f>IF(ISERROR(AVERAGE(L113:L145)),"",(AVERAGE(L113:L145)))</f>
        <v/>
      </c>
      <c r="M146" s="165"/>
      <c r="N146" s="71">
        <f t="array" ref="N146">IF(G146=0,0,SUM(G113:G145*N113:N145)/(G146+G111))</f>
        <v>0</v>
      </c>
      <c r="O146" s="686">
        <f t="array" ref="O146">IF(ISERROR(SUM(G113:G145*O113:O145)/$G$146),0,(SUM(G113:G145*O113:O145)/$G$146))</f>
        <v>0</v>
      </c>
      <c r="P146" s="1154" t="s">
        <v>688</v>
      </c>
      <c r="Q146" s="82"/>
      <c r="S146" s="244"/>
      <c r="U146" s="465" t="str">
        <f>IF(ISNA(HLOOKUP(A146,IAD!$6:$8,3,0)),"",(HLOOKUP(A146,IAD!$6:$8,3,0)))</f>
        <v/>
      </c>
    </row>
    <row r="147" spans="1:26" s="75" customFormat="1" ht="19.5" customHeight="1" thickTop="1" thickBot="1">
      <c r="A147" s="178" t="s">
        <v>129</v>
      </c>
      <c r="B147" s="179"/>
      <c r="C147" s="180"/>
      <c r="D147" s="181"/>
      <c r="E147" s="279" t="s">
        <v>136</v>
      </c>
      <c r="F147" s="279"/>
      <c r="G147" s="388">
        <f>($B$184/$G$185)*(SUM(G149:G181))</f>
        <v>2037.3304727804625</v>
      </c>
      <c r="H147" s="182"/>
      <c r="I147" s="183"/>
      <c r="J147" s="184"/>
      <c r="K147" s="185"/>
      <c r="L147" s="186"/>
      <c r="M147" s="187"/>
      <c r="N147" s="188"/>
      <c r="O147" s="189"/>
      <c r="P147" s="1150"/>
      <c r="Q147" s="74"/>
      <c r="R147" s="115"/>
      <c r="S147" s="244"/>
      <c r="T147" s="243"/>
      <c r="U147" s="465" t="str">
        <f>IF(ISNA(HLOOKUP(A147,IAD!$6:$8,3,0)),"",(HLOOKUP(A147,IAD!$6:$8,3,0)))</f>
        <v/>
      </c>
      <c r="V147" s="682"/>
      <c r="W147" s="682"/>
      <c r="X147" s="682"/>
      <c r="Y147" s="682"/>
    </row>
    <row r="148" spans="1:26" ht="19.5" customHeight="1" thickTop="1">
      <c r="A148" s="374" t="s">
        <v>96</v>
      </c>
      <c r="B148" s="375" t="s">
        <v>97</v>
      </c>
      <c r="C148" s="375" t="s">
        <v>98</v>
      </c>
      <c r="D148" s="375" t="s">
        <v>3</v>
      </c>
      <c r="E148" s="375" t="s">
        <v>100</v>
      </c>
      <c r="F148" s="376" t="s">
        <v>101</v>
      </c>
      <c r="G148" s="376" t="s">
        <v>102</v>
      </c>
      <c r="H148" s="376" t="s">
        <v>103</v>
      </c>
      <c r="I148" s="375" t="s">
        <v>104</v>
      </c>
      <c r="J148" s="375" t="s">
        <v>105</v>
      </c>
      <c r="K148" s="375" t="s">
        <v>106</v>
      </c>
      <c r="L148" s="369" t="s">
        <v>94</v>
      </c>
      <c r="M148" s="377" t="s">
        <v>107</v>
      </c>
      <c r="N148" s="377" t="s">
        <v>108</v>
      </c>
      <c r="O148" s="377" t="s">
        <v>109</v>
      </c>
      <c r="P148" s="1145" t="s">
        <v>110</v>
      </c>
      <c r="Q148" s="82"/>
      <c r="R148" s="261" t="s">
        <v>208</v>
      </c>
      <c r="S148" s="262" t="s">
        <v>88</v>
      </c>
      <c r="T148" s="262" t="s">
        <v>207</v>
      </c>
      <c r="U148" s="463" t="s">
        <v>205</v>
      </c>
      <c r="V148" s="463" t="s">
        <v>447</v>
      </c>
      <c r="W148" s="463" t="s">
        <v>448</v>
      </c>
      <c r="X148" s="463" t="s">
        <v>449</v>
      </c>
      <c r="Y148" s="463" t="s">
        <v>450</v>
      </c>
    </row>
    <row r="149" spans="1:26" ht="18.75" customHeight="1">
      <c r="A149" s="72" t="str">
        <f>TMT!B3</f>
        <v>2F43T2</v>
      </c>
      <c r="B149" s="94" t="str">
        <f>TMT!B$4</f>
        <v>75/72/2PDR</v>
      </c>
      <c r="C149" s="108" t="s">
        <v>17270</v>
      </c>
      <c r="D149" s="84">
        <f>TMT!B$37</f>
        <v>0.5</v>
      </c>
      <c r="E149" s="85">
        <f>TMT!D$4</f>
        <v>600</v>
      </c>
      <c r="F149" s="272">
        <f>TMT!C37</f>
        <v>29652.48</v>
      </c>
      <c r="G149" s="390">
        <f>TMT!D$37-TMT!B$61</f>
        <v>28959</v>
      </c>
      <c r="H149" s="86">
        <f>IF(R149="","",(G149*(150/R149)*(900/E149)))</f>
        <v>45564.860139860146</v>
      </c>
      <c r="I149" s="87">
        <f t="shared" ref="I149:I154" si="18">IF(F149=0,0,G149/F149)</f>
        <v>0.97661308598808605</v>
      </c>
      <c r="J149" s="88">
        <f>TMT!B$40/100</f>
        <v>1</v>
      </c>
      <c r="K149" s="89">
        <f>IF(G149=0,0,(TMT!B$38-TMT!B$60-TMT!C$60)/日報表!G149)</f>
        <v>1</v>
      </c>
      <c r="L149" s="90">
        <f t="array" ref="L149">IF(ISERROR(AVERAGEA(IF(A149=斷絲!$4:$4,斷絲!$27:$27))),"",AVERAGEA(IF(A149=斷絲!$4:$4,斷絲!$27:$27)))</f>
        <v>2.4166666666666665</v>
      </c>
      <c r="M149" s="90">
        <f t="array" ref="M149">IF(ISERROR(AVERAGE(IF(A149=斷絲!$AC$4:$AM$4,斷絲!$AC$39:$AM$39))),"",AVERAGE(IF(A149=斷絲!$AC$4:$AM$4,斷絲!$AC$39:$AM$39)))</f>
        <v>3.3791666666666664</v>
      </c>
      <c r="N149" s="143">
        <f>IF(G149=0,0,TMT!B$41/日報表!G149)</f>
        <v>0.9572153734590283</v>
      </c>
      <c r="O149" s="172">
        <v>4</v>
      </c>
      <c r="P149" s="1141" t="s">
        <v>867</v>
      </c>
      <c r="Q149" s="82"/>
      <c r="R149" s="115">
        <f>TMT!D3</f>
        <v>143</v>
      </c>
      <c r="S149" s="244" t="s">
        <v>158</v>
      </c>
      <c r="T149" s="243" t="s">
        <v>17269</v>
      </c>
      <c r="U149" s="465" t="str">
        <f>IF(ISNA(HLOOKUP(A149,IAD!$6:$10,5,0)),"",(HLOOKUP(A149,IAD!$6:$10,5,0)))</f>
        <v>紅底黃星</v>
      </c>
    </row>
    <row r="150" spans="1:26" ht="18.75" customHeight="1">
      <c r="A150" s="72" t="str">
        <f>TMT!E3</f>
        <v>2F6IS2</v>
      </c>
      <c r="B150" s="94" t="str">
        <f>TMT!E$4</f>
        <v>150/48/2SDr</v>
      </c>
      <c r="C150" s="108" t="s">
        <v>17290</v>
      </c>
      <c r="D150" s="84">
        <f>TMT!E$37</f>
        <v>1</v>
      </c>
      <c r="E150" s="85">
        <f>TMT!G$4</f>
        <v>700</v>
      </c>
      <c r="F150" s="272">
        <f>TMT!F37</f>
        <v>134991.36000000002</v>
      </c>
      <c r="G150" s="390">
        <f>TMT!G$37-TMT!E$61</f>
        <v>128465</v>
      </c>
      <c r="H150" s="86">
        <f t="shared" ref="H150:H156" si="19">IF(R150="","",(G150*(150/R150)*(900/E150)))</f>
        <v>88800.691244239642</v>
      </c>
      <c r="I150" s="87">
        <f t="shared" si="18"/>
        <v>0.95165349841649116</v>
      </c>
      <c r="J150" s="88">
        <f>TMT!E$40/100</f>
        <v>1</v>
      </c>
      <c r="K150" s="89">
        <f>IF(G150=0,0,(TMT!E$38-TMT!E$60-TMT!F$60)/日報表!G150)</f>
        <v>0.98809792550500142</v>
      </c>
      <c r="L150" s="90">
        <f t="array" ref="L150">IF(ISERROR(AVERAGEA(IF(A150=斷絲!$4:$4,斷絲!$27:$27))),"",AVERAGEA(IF(A150=斷絲!$4:$4,斷絲!$27:$27)))</f>
        <v>5.166666666666667</v>
      </c>
      <c r="M150" s="90">
        <f t="array" ref="M150">IF(ISERROR(AVERAGE(IF(A150=斷絲!$AC$4:$AM$4,斷絲!$AC$39:$AM$39))),"",AVERAGE(IF(A150=斷絲!$AC$4:$AM$4,斷絲!$AC$39:$AM$39)))</f>
        <v>3.7312500000000002</v>
      </c>
      <c r="N150" s="143">
        <f>IF(G150=0,0,TMT!E$41/日報表!G150)</f>
        <v>0.95944420659323548</v>
      </c>
      <c r="O150" s="172">
        <v>5.5</v>
      </c>
      <c r="P150" s="1141" t="s">
        <v>16709</v>
      </c>
      <c r="Q150" s="82"/>
      <c r="R150" s="115">
        <f>TMT!G3</f>
        <v>279</v>
      </c>
      <c r="S150" s="244" t="s">
        <v>460</v>
      </c>
      <c r="T150" s="243" t="s">
        <v>15630</v>
      </c>
      <c r="U150" s="465" t="str">
        <f>IF(ISNA(HLOOKUP(A150,IAD!$6:$10,5,0)),"",(HLOOKUP(A150,IAD!$6:$10,5,0)))</f>
        <v>藍色</v>
      </c>
    </row>
    <row r="151" spans="1:26">
      <c r="A151" s="72" t="str">
        <f>TMT!H3</f>
        <v>2F6IT2</v>
      </c>
      <c r="B151" s="94" t="str">
        <f>TMT!H4</f>
        <v>150/48/2SDr</v>
      </c>
      <c r="C151" s="108" t="s">
        <v>17252</v>
      </c>
      <c r="D151" s="84">
        <f>TMT!H$37</f>
        <v>1</v>
      </c>
      <c r="E151" s="85">
        <f>TMT!J$4</f>
        <v>600</v>
      </c>
      <c r="F151" s="272">
        <f>TMT!I37</f>
        <v>115292.16000000006</v>
      </c>
      <c r="G151" s="390">
        <f>TMT!J$37-TMT!H$61</f>
        <v>102059</v>
      </c>
      <c r="H151" s="86">
        <f t="shared" si="19"/>
        <v>82601.708633093527</v>
      </c>
      <c r="I151" s="87">
        <f t="shared" si="18"/>
        <v>0.88522064293009994</v>
      </c>
      <c r="J151" s="88">
        <f>TMT!H$40/100</f>
        <v>1</v>
      </c>
      <c r="K151" s="89">
        <f>IF(G151=0,0,(TMT!H$38-TMT!H$60-TMT!I$60)/日報表!G151)</f>
        <v>0.98524382954957423</v>
      </c>
      <c r="L151" s="90">
        <f t="array" ref="L151">IF(ISERROR(AVERAGEA(IF(A151=斷絲!$4:$4,斷絲!$27:$27))),"",AVERAGEA(IF(A151=斷絲!$4:$4,斷絲!$27:$27)))</f>
        <v>5.208333333333333</v>
      </c>
      <c r="M151" s="90">
        <f t="array" ref="M151">IF(ISERROR(AVERAGE(IF(A151=斷絲!$AC$4:$AM$4,斷絲!$AC$39:$AM$39))),"",AVERAGE(IF(A151=斷絲!$AC$4:$AM$4,斷絲!$AC$39:$AM$39)))</f>
        <v>4.2132352941176476</v>
      </c>
      <c r="N151" s="143">
        <f>IF(G151=0,0,TMT!H$41/日報表!G151)</f>
        <v>0.94254303883048041</v>
      </c>
      <c r="O151" s="172">
        <v>5.5</v>
      </c>
      <c r="P151" s="1141" t="s">
        <v>17255</v>
      </c>
      <c r="Q151" s="82"/>
      <c r="R151" s="115">
        <f>TMT!J3</f>
        <v>278</v>
      </c>
      <c r="S151" s="244" t="s">
        <v>460</v>
      </c>
      <c r="T151" s="243" t="s">
        <v>16127</v>
      </c>
      <c r="U151" s="465" t="str">
        <f>IF(ISNA(HLOOKUP(A151,IAD!$6:$10,5,0)),"",(HLOOKUP(A151,IAD!$6:$10,5,0)))</f>
        <v>棕色</v>
      </c>
    </row>
    <row r="152" spans="1:26">
      <c r="A152" s="72" t="str">
        <f>TMT!K3</f>
        <v>2F6IU2</v>
      </c>
      <c r="B152" s="94" t="str">
        <f>TMT!K4</f>
        <v>150/48/2SDr</v>
      </c>
      <c r="C152" s="108" t="s">
        <v>17254</v>
      </c>
      <c r="D152" s="84">
        <f>TMT!K$37</f>
        <v>0.82499999999999996</v>
      </c>
      <c r="E152" s="85">
        <f>TMT!M$4</f>
        <v>700</v>
      </c>
      <c r="F152" s="272">
        <f>TMT!L37</f>
        <v>111367.872</v>
      </c>
      <c r="G152" s="390">
        <f>TMT!M$37-TMT!K$61</f>
        <v>89379</v>
      </c>
      <c r="H152" s="86">
        <f t="shared" si="19"/>
        <v>61782.718894009209</v>
      </c>
      <c r="I152" s="87">
        <f t="shared" si="18"/>
        <v>0.8025564141155539</v>
      </c>
      <c r="J152" s="88">
        <f>TMT!K$40/100</f>
        <v>0</v>
      </c>
      <c r="K152" s="89">
        <f>IF(G152=0,0,(TMT!K$38-TMT!K$60-TMT!L$60)/日報表!G152)</f>
        <v>0.96849371776368054</v>
      </c>
      <c r="L152" s="1531"/>
      <c r="M152" s="90">
        <f t="array" ref="M152">IF(ISERROR(AVERAGE(IF(A152=斷絲!$AC$4:$AM$4,斷絲!$AC$39:$AM$39))),"",AVERAGE(IF(A152=斷絲!$AC$4:$AM$4,斷絲!$AC$39:$AM$39)))</f>
        <v>7.8397435897435903</v>
      </c>
      <c r="N152" s="143">
        <f>IF(G152=0,0,TMT!K$41/日報表!G152)</f>
        <v>0.85916154801463429</v>
      </c>
      <c r="O152" s="172">
        <v>5.5</v>
      </c>
      <c r="P152" s="1140" t="s">
        <v>17234</v>
      </c>
      <c r="Q152" s="82"/>
      <c r="R152" s="115">
        <f>TMT!M3</f>
        <v>279</v>
      </c>
      <c r="S152" s="244" t="s">
        <v>460</v>
      </c>
      <c r="T152" s="243" t="s">
        <v>17235</v>
      </c>
      <c r="U152" s="465" t="str">
        <f>IF(ISNA(HLOOKUP(A152,IAD!$6:$10,5,0)),"",(HLOOKUP(A152,IAD!$6:$10,5,0)))</f>
        <v>白桔方塊</v>
      </c>
      <c r="Z152" s="690"/>
    </row>
    <row r="153" spans="1:26" ht="19.5" customHeight="1">
      <c r="A153" s="72" t="str">
        <f>TMT!N3</f>
        <v>2F6IW2</v>
      </c>
      <c r="B153" s="94" t="str">
        <f>TMT!N4</f>
        <v>150/48/2SDr</v>
      </c>
      <c r="C153" s="108" t="s">
        <v>17290</v>
      </c>
      <c r="D153" s="84">
        <f>TMT!N$37</f>
        <v>0.72499999999999998</v>
      </c>
      <c r="E153" s="85">
        <f>TMT!P$4</f>
        <v>700</v>
      </c>
      <c r="F153" s="272">
        <f>TMT!O37</f>
        <v>98219.520000000048</v>
      </c>
      <c r="G153" s="390">
        <f>TMT!P$37-TMT!N$61</f>
        <v>87579</v>
      </c>
      <c r="H153" s="86">
        <f t="shared" si="19"/>
        <v>60322.270408163269</v>
      </c>
      <c r="I153" s="87">
        <f t="shared" si="18"/>
        <v>0.89166593361482482</v>
      </c>
      <c r="J153" s="88">
        <f>TMT!N$40/100</f>
        <v>1</v>
      </c>
      <c r="K153" s="89">
        <f>IF(G153=0,0,(TMT!N$38-TMT!N$60-TMT!O$60)/日報表!G153)</f>
        <v>0.97293871818586652</v>
      </c>
      <c r="L153" s="1531"/>
      <c r="M153" s="90">
        <f t="array" ref="M153">IF(ISERROR(AVERAGE(IF(A153=斷絲!$AC$4:$AM$4,斷絲!$AC$39:$AM$39))),"",AVERAGE(IF(A153=斷絲!$AC$4:$AM$4,斷絲!$AC$39:$AM$39)))</f>
        <v>4.7720588235294112</v>
      </c>
      <c r="N153" s="143">
        <f>IF(G153=0,0,TMT!N$41/日報表!G153)</f>
        <v>0.9212824992292673</v>
      </c>
      <c r="O153" s="172">
        <v>5.5</v>
      </c>
      <c r="P153" s="1141" t="s">
        <v>484</v>
      </c>
      <c r="Q153" s="82"/>
      <c r="R153" s="115">
        <f>TMT!P3</f>
        <v>280</v>
      </c>
      <c r="S153" s="244" t="s">
        <v>460</v>
      </c>
      <c r="T153" s="243" t="s">
        <v>16127</v>
      </c>
      <c r="U153" s="465" t="str">
        <f>IF(ISNA(HLOOKUP(A153,IAD!$6:$10,5,0)),"",(HLOOKUP(A153,IAD!$6:$10,5,0)))</f>
        <v>黃紅雙色</v>
      </c>
      <c r="Z153" s="690"/>
    </row>
    <row r="154" spans="1:26" ht="19.5" customHeight="1">
      <c r="A154" s="72" t="str">
        <f>TMT!Q3</f>
        <v>2F6IY2</v>
      </c>
      <c r="B154" s="94" t="str">
        <f>TMT!Q4</f>
        <v>150/48/2SDr</v>
      </c>
      <c r="C154" s="108" t="s">
        <v>17290</v>
      </c>
      <c r="D154" s="84">
        <f>TMT!Q$37</f>
        <v>0.57499999999999996</v>
      </c>
      <c r="E154" s="85">
        <f>TMT!S$4</f>
        <v>700</v>
      </c>
      <c r="F154" s="272">
        <f>TMT!R37</f>
        <v>77620.032000000007</v>
      </c>
      <c r="G154" s="390">
        <f>TMT!S$37-TMT!Q$61</f>
        <v>71167</v>
      </c>
      <c r="H154" s="86">
        <f t="shared" si="19"/>
        <v>49193.77880184332</v>
      </c>
      <c r="I154" s="87">
        <f t="shared" si="18"/>
        <v>0.91686383226433088</v>
      </c>
      <c r="J154" s="88">
        <f>TMT!Q$40/100</f>
        <v>1</v>
      </c>
      <c r="K154" s="89">
        <f>IF(G154=0,0,(TMT!Q$38-TMT!Q$60-TMT!R$60)/日報表!G154)</f>
        <v>0.98923658437197015</v>
      </c>
      <c r="L154" s="90">
        <f t="array" ref="L154">IF(ISERROR(AVERAGEA(IF(A154=斷絲!$4:$4,斷絲!$27:$27))),"",AVERAGEA(IF(A154=斷絲!$4:$4,斷絲!$27:$27)))</f>
        <v>1.75</v>
      </c>
      <c r="M154" s="90">
        <f t="array" ref="M154">IF(ISERROR(AVERAGE(IF(A154=斷絲!$AC$4:$AM$4,斷絲!$AC$39:$AM$39))),"",AVERAGE(IF(A154=斷絲!$AC$4:$AM$4,斷絲!$AC$39:$AM$39)))</f>
        <v>3.8837719298245625</v>
      </c>
      <c r="N154" s="143">
        <f>IF(G154=0,0,TMT!Q$41/日報表!G154)</f>
        <v>0.95753649865808588</v>
      </c>
      <c r="O154" s="172">
        <v>5.5</v>
      </c>
      <c r="P154" s="1141" t="s">
        <v>16782</v>
      </c>
      <c r="Q154" s="82"/>
      <c r="R154" s="115">
        <f>TMT!S3</f>
        <v>279</v>
      </c>
      <c r="S154" s="244" t="s">
        <v>460</v>
      </c>
      <c r="T154" s="243" t="s">
        <v>15630</v>
      </c>
      <c r="U154" s="465" t="str">
        <f>IF(ISNA(HLOOKUP(A154,IAD!$6:$10,5,0)),"",(HLOOKUP(A154,IAD!$6:$10,5,0)))</f>
        <v>白桔雙色</v>
      </c>
      <c r="Z154" s="690"/>
    </row>
    <row r="155" spans="1:26" ht="19.5" customHeight="1">
      <c r="A155" s="72" t="str">
        <f>TMT!T3</f>
        <v>2F6JB2</v>
      </c>
      <c r="B155" s="94" t="str">
        <f>TMT!T4</f>
        <v>150/48/2SDR4</v>
      </c>
      <c r="C155" s="108" t="s">
        <v>17549</v>
      </c>
      <c r="D155" s="84">
        <f>TMT!T$37</f>
        <v>0.17499999999999999</v>
      </c>
      <c r="E155" s="85">
        <f>TMT!V$4</f>
        <v>700</v>
      </c>
      <c r="F155" s="272">
        <f>TMT!U$37</f>
        <v>23623.488000000001</v>
      </c>
      <c r="G155" s="390">
        <f>TMT!V$37-TMT!T$61</f>
        <v>19552</v>
      </c>
      <c r="H155" s="86">
        <f t="shared" si="19"/>
        <v>13515.207373271891</v>
      </c>
      <c r="I155" s="87">
        <f t="shared" ref="I155:I181" si="20">IF(F155=0,0,G155/F155)</f>
        <v>0.82765085325249177</v>
      </c>
      <c r="J155" s="88">
        <f>TMT!T$40/100</f>
        <v>1</v>
      </c>
      <c r="K155" s="89">
        <f>IF(G155=0,0,(TMT!T$38-TMT!T$60-TMT!U$60)/日報表!G155)</f>
        <v>1</v>
      </c>
      <c r="L155" s="90">
        <f t="array" ref="L155">IF(ISERROR(AVERAGEA(IF(A155=斷絲!$4:$4,斷絲!$27:$27))),"",AVERAGEA(IF(A155=斷絲!$4:$4,斷絲!$27:$27)))</f>
        <v>4.208333333333333</v>
      </c>
      <c r="M155" s="90">
        <f t="array" ref="M155">IF(ISERROR(AVERAGE(IF(A155=斷絲!$AC$4:$AM$4,斷絲!$AC$39:$AM$39))),"",AVERAGE(IF(A155=斷絲!$AC$4:$AM$4,斷絲!$AC$39:$AM$39)))</f>
        <v>4.9444444444444438</v>
      </c>
      <c r="N155" s="143">
        <f>IF(G155=0,0,TMT!T$41/日報表!G155)</f>
        <v>0.96204991816693941</v>
      </c>
      <c r="O155" s="172">
        <v>5.5</v>
      </c>
      <c r="P155" s="1141" t="s">
        <v>17555</v>
      </c>
      <c r="Q155" s="82"/>
      <c r="R155" s="115">
        <f>TMT!V3</f>
        <v>279</v>
      </c>
      <c r="S155" s="244" t="s">
        <v>460</v>
      </c>
      <c r="T155" s="243" t="s">
        <v>17235</v>
      </c>
      <c r="U155" s="465" t="str">
        <f>IF(ISNA(HLOOKUP(A155,IAD!$6:$10,5,0)),"",(HLOOKUP(A155,IAD!$6:$10,5,0)))</f>
        <v>黃綠條紋</v>
      </c>
      <c r="Z155" s="690"/>
    </row>
    <row r="156" spans="1:26" ht="19.5" customHeight="1">
      <c r="A156" s="72" t="str">
        <f>TMT!W3</f>
        <v>2F6JE2</v>
      </c>
      <c r="B156" s="94" t="str">
        <f>TMT!W4</f>
        <v>150/48/2SDr</v>
      </c>
      <c r="C156" s="108" t="s">
        <v>17249</v>
      </c>
      <c r="D156" s="84">
        <f>TMT!W$37</f>
        <v>7.4999999999999997E-2</v>
      </c>
      <c r="E156" s="85">
        <f>TMT!Y$4</f>
        <v>600</v>
      </c>
      <c r="F156" s="272">
        <f>TMT!X$37</f>
        <v>8646.9120000000003</v>
      </c>
      <c r="G156" s="390">
        <f>TMT!Y$37-TMT!W$61</f>
        <v>6930</v>
      </c>
      <c r="H156" s="86">
        <f t="shared" si="19"/>
        <v>5608.8129496402871</v>
      </c>
      <c r="I156" s="87">
        <f t="shared" si="20"/>
        <v>0.80144217958966157</v>
      </c>
      <c r="J156" s="88">
        <f>TMT!W$40/100</f>
        <v>1</v>
      </c>
      <c r="K156" s="89">
        <f>IF(G156=0,0,(TMT!W$38-TMT!W$60-TMT!X$60)/日報表!G156)</f>
        <v>1</v>
      </c>
      <c r="L156" s="90"/>
      <c r="M156" s="90">
        <f t="array" ref="M156">IF(ISERROR(AVERAGE(IF(A156=斷絲!$AC$4:$AM$4,斷絲!$AC$39:$AM$39))),"",AVERAGE(IF(A156=斷絲!$AC$4:$AM$4,斷絲!$AC$39:$AM$39)))</f>
        <v>4.4166666666666661</v>
      </c>
      <c r="N156" s="143">
        <f>IF(G156=0,0,TMT!W$41/日報表!G156)</f>
        <v>1</v>
      </c>
      <c r="O156" s="172">
        <v>5.5</v>
      </c>
      <c r="P156" s="1141" t="s">
        <v>484</v>
      </c>
      <c r="Q156" s="82"/>
      <c r="R156" s="115">
        <f>TMT!Y3</f>
        <v>278</v>
      </c>
      <c r="S156" s="244" t="s">
        <v>460</v>
      </c>
      <c r="T156" s="243" t="s">
        <v>17572</v>
      </c>
      <c r="U156" s="502" t="str">
        <f>IF(ISNA(HLOOKUP(A156,IAD!$6:$10,5,0)),"",(HLOOKUP(A156,IAD!$6:$10,5,0)))</f>
        <v>黃底紅點</v>
      </c>
      <c r="Z156" s="690"/>
    </row>
    <row r="157" spans="1:26" ht="19.5" hidden="1" customHeight="1">
      <c r="A157" s="72">
        <f>TMT!Z3</f>
        <v>0</v>
      </c>
      <c r="B157" s="94">
        <f>TMT!Z4</f>
        <v>0</v>
      </c>
      <c r="C157" s="108"/>
      <c r="D157" s="84">
        <f>TMT!Z$37</f>
        <v>0</v>
      </c>
      <c r="E157" s="85">
        <f>TMT!AB$4</f>
        <v>0</v>
      </c>
      <c r="F157" s="272">
        <f>TMT!AA$37</f>
        <v>0</v>
      </c>
      <c r="G157" s="390">
        <f>TMT!AB$37-TMT!Z$61</f>
        <v>0</v>
      </c>
      <c r="H157" s="86" t="e">
        <f>IF(R157="","",(G157*(150/R157)*(900/E157)))</f>
        <v>#DIV/0!</v>
      </c>
      <c r="I157" s="87">
        <f t="shared" si="20"/>
        <v>0</v>
      </c>
      <c r="J157" s="88">
        <f>TMT!Z$40/100</f>
        <v>0</v>
      </c>
      <c r="K157" s="89">
        <f>IF(G157=0,0,(TMT!Z$38-TMT!Z$60-TMT!AA$60)/日報表!G157)</f>
        <v>0</v>
      </c>
      <c r="L157" s="90"/>
      <c r="M157" s="90" t="str">
        <f t="array" ref="M157">IF(ISERROR(AVERAGE(IF(A157=斷絲!$AC$4:$AM$4,斷絲!$AC$39:$AM$39))),"",AVERAGE(IF(A157=斷絲!$AC$4:$AM$4,斷絲!$AC$39:$AM$39)))</f>
        <v/>
      </c>
      <c r="N157" s="143">
        <f>IF(G157=0,0,TMT!Z$41/日報表!G157)</f>
        <v>0</v>
      </c>
      <c r="O157" s="172"/>
      <c r="P157" s="1141"/>
      <c r="Q157" s="82"/>
      <c r="R157" s="115">
        <f>TMT!AB3</f>
        <v>0</v>
      </c>
      <c r="S157" s="244"/>
      <c r="U157" s="465" t="str">
        <f>IF(ISNA(HLOOKUP(A157,IAD!$6:$10,5,0)),"",(HLOOKUP(A157,IAD!$6:$10,5,0)))</f>
        <v/>
      </c>
      <c r="Z157" s="690"/>
    </row>
    <row r="158" spans="1:26" ht="19.5" customHeight="1">
      <c r="A158" s="72" t="str">
        <f>TMT!AC3</f>
        <v>2F7E13</v>
      </c>
      <c r="B158" s="94" t="str">
        <f>TMT!AC4</f>
        <v>225/72/2SDr</v>
      </c>
      <c r="C158" s="108" t="s">
        <v>17243</v>
      </c>
      <c r="D158" s="84">
        <f>TMT!AC$37</f>
        <v>0.42499999999999999</v>
      </c>
      <c r="E158" s="85">
        <f>TMT!AE$4</f>
        <v>550</v>
      </c>
      <c r="F158" s="272">
        <f>TMT!AD$37</f>
        <v>64142.496000000028</v>
      </c>
      <c r="G158" s="390">
        <f>TMT!AE$37-TMT!AC$61</f>
        <v>55949</v>
      </c>
      <c r="H158" s="86">
        <f t="shared" ref="H158:H163" si="21">IF(R158="","",(G158*(150/R158)*(900/E158)))</f>
        <v>34591.779253492103</v>
      </c>
      <c r="I158" s="87">
        <f t="shared" si="20"/>
        <v>0.87226103580378245</v>
      </c>
      <c r="J158" s="88">
        <f>TMT!AC$40/100</f>
        <v>1</v>
      </c>
      <c r="K158" s="89">
        <f>IF(G158=0,0,(TMT!AC$38-TMT!AC$60-TMT!AD$60)/日報表!G158)</f>
        <v>0.97799781944270681</v>
      </c>
      <c r="L158" s="1531"/>
      <c r="M158" s="90">
        <f t="array" ref="M158">IF(ISERROR(AVERAGE(IF(A158=斷絲!$AC$4:$AM$4,斷絲!$AC$39:$AM$39))),"",AVERAGE(IF(A158=斷絲!$AC$4:$AM$4,斷絲!$AC$39:$AM$39)))</f>
        <v>5.2261904761904763</v>
      </c>
      <c r="N158" s="143">
        <f>IF(G158=0,0,TMT!AC$41/日報表!G158)</f>
        <v>0.93663872455271768</v>
      </c>
      <c r="O158" s="172">
        <v>5.5</v>
      </c>
      <c r="P158" s="1141" t="s">
        <v>908</v>
      </c>
      <c r="Q158" s="82"/>
      <c r="R158" s="115">
        <f>TMT!AE3</f>
        <v>397</v>
      </c>
      <c r="S158" s="244" t="s">
        <v>623</v>
      </c>
      <c r="T158" s="243" t="s">
        <v>17225</v>
      </c>
      <c r="U158" s="465" t="str">
        <f>IF(ISNA(HLOOKUP(A158,IAD!$6:$10,5,0)),"",(HLOOKUP(A158,IAD!$6:$10,5,0)))</f>
        <v>白紅條紋</v>
      </c>
      <c r="Z158" s="690"/>
    </row>
    <row r="159" spans="1:26" ht="19.5" customHeight="1">
      <c r="A159" s="72" t="str">
        <f>TMT!AF3</f>
        <v>2F7E43</v>
      </c>
      <c r="B159" s="94" t="str">
        <f>TMT!AF4</f>
        <v>225/72/2SDR2</v>
      </c>
      <c r="C159" s="108" t="s">
        <v>17558</v>
      </c>
      <c r="D159" s="84">
        <f>TMT!AF$37</f>
        <v>2.5000000000000001E-2</v>
      </c>
      <c r="E159" s="85">
        <f>TMT!AH$4</f>
        <v>550</v>
      </c>
      <c r="F159" s="272">
        <f>TMT!AG$37</f>
        <v>3773.0880000000002</v>
      </c>
      <c r="G159" s="390">
        <f>TMT!AH$37-TMT!AF$61</f>
        <v>2475</v>
      </c>
      <c r="H159" s="86">
        <f t="shared" si="21"/>
        <v>1530.2267002518893</v>
      </c>
      <c r="I159" s="87">
        <f t="shared" si="20"/>
        <v>0.6559613769941226</v>
      </c>
      <c r="J159" s="88">
        <f>TMT!AF$40/100</f>
        <v>1</v>
      </c>
      <c r="K159" s="89">
        <f>IF(G159=0,0,(TMT!AF$38-TMT!AF$60-TMT!AG$60)/日報表!G159)</f>
        <v>1</v>
      </c>
      <c r="L159" s="90">
        <f t="array" ref="L159">IF(ISERROR(AVERAGEA(IF(A159=斷絲!$4:$4,斷絲!$27:$27))),"",AVERAGEA(IF(A159=斷絲!$4:$4,斷絲!$27:$27)))</f>
        <v>3.25</v>
      </c>
      <c r="M159" s="90">
        <f t="array" ref="M159">IF(ISERROR(AVERAGE(IF(A159=斷絲!$AC$4:$AM$4,斷絲!$AC$39:$AM$39))),"",AVERAGE(IF(A159=斷絲!$AC$4:$AM$4,斷絲!$AC$39:$AM$39)))</f>
        <v>3.25</v>
      </c>
      <c r="N159" s="143">
        <f>IF(G159=0,0,TMT!AF$41/日報表!G159)</f>
        <v>1</v>
      </c>
      <c r="O159" s="172">
        <v>5.5</v>
      </c>
      <c r="P159" s="1141" t="s">
        <v>908</v>
      </c>
      <c r="Q159" s="82"/>
      <c r="R159" s="115">
        <f>TMT!AH3</f>
        <v>397</v>
      </c>
      <c r="S159" s="244" t="s">
        <v>623</v>
      </c>
      <c r="T159" s="243" t="s">
        <v>17225</v>
      </c>
      <c r="U159" s="465" t="str">
        <f>IF(ISNA(HLOOKUP(A159,IAD!$6:$10,5,0)),"",(HLOOKUP(A159,IAD!$6:$10,5,0)))</f>
        <v>白底綠星</v>
      </c>
      <c r="Z159" s="690"/>
    </row>
    <row r="160" spans="1:26" ht="19.5" customHeight="1" thickBot="1">
      <c r="A160" s="72">
        <f>TMT!AI3</f>
        <v>0</v>
      </c>
      <c r="B160" s="94">
        <f>TMT!AI4</f>
        <v>0</v>
      </c>
      <c r="C160" s="108"/>
      <c r="D160" s="84">
        <f>TMT!AI$37</f>
        <v>0</v>
      </c>
      <c r="E160" s="85">
        <f>TMT!AK$4</f>
        <v>0</v>
      </c>
      <c r="F160" s="273">
        <f>TMT!AJ$37</f>
        <v>0</v>
      </c>
      <c r="G160" s="390">
        <f>TMT!AK$37-TMT!AI$61</f>
        <v>0</v>
      </c>
      <c r="H160" s="86" t="e">
        <f t="shared" si="21"/>
        <v>#DIV/0!</v>
      </c>
      <c r="I160" s="87">
        <f t="shared" si="20"/>
        <v>0</v>
      </c>
      <c r="J160" s="88">
        <f>TMT!AI$40/100</f>
        <v>0</v>
      </c>
      <c r="K160" s="89">
        <f>IF(G160=0,0,(TMT!AI$38-TMT!AI$60-TMT!AJ$60)/日報表!G160)</f>
        <v>0</v>
      </c>
      <c r="L160" s="90"/>
      <c r="M160" s="90" t="str">
        <f t="array" ref="M160">IF(ISERROR(AVERAGE(IF(A160=斷絲!$AC$4:$AM$4,斷絲!$AC$39:$AM$39))),"",AVERAGE(IF(A160=斷絲!$AC$4:$AM$4,斷絲!$AC$39:$AM$39)))</f>
        <v/>
      </c>
      <c r="N160" s="143">
        <f>IF(G160=0,0,TMT!AI$41/日報表!G160)</f>
        <v>0</v>
      </c>
      <c r="O160" s="172"/>
      <c r="P160" s="1141"/>
      <c r="Q160" s="82"/>
      <c r="R160" s="115">
        <f>TMT!AK3</f>
        <v>0</v>
      </c>
      <c r="S160" s="244"/>
      <c r="U160" s="465" t="str">
        <f>IF(ISNA(HLOOKUP(A160,IAD!$6:$10,5,0)),"",(HLOOKUP(A160,IAD!$6:$10,5,0)))</f>
        <v/>
      </c>
      <c r="Z160" s="690"/>
    </row>
    <row r="161" spans="1:21" ht="19.5" hidden="1" customHeight="1">
      <c r="A161" s="72">
        <f>TMT!AL3</f>
        <v>0</v>
      </c>
      <c r="B161" s="94">
        <f>TMT!AL4</f>
        <v>0</v>
      </c>
      <c r="C161" s="108"/>
      <c r="D161" s="95">
        <f>TMT!AL$37</f>
        <v>0</v>
      </c>
      <c r="E161" s="96">
        <f>TMT!AN$4</f>
        <v>0</v>
      </c>
      <c r="F161" s="273">
        <f>TMT!AM$37</f>
        <v>0</v>
      </c>
      <c r="G161" s="391">
        <f>TMT!AN$37-TMT!AL$61</f>
        <v>0</v>
      </c>
      <c r="H161" s="97" t="e">
        <f t="shared" si="21"/>
        <v>#DIV/0!</v>
      </c>
      <c r="I161" s="87">
        <f t="shared" si="20"/>
        <v>0</v>
      </c>
      <c r="J161" s="103">
        <f>TMT!AL$40/100</f>
        <v>0</v>
      </c>
      <c r="K161" s="98">
        <f>IF(G161=0,0,(TMT!AL$38-TMT!AL$60-TMT!AM$60)/日報表!G161)</f>
        <v>0</v>
      </c>
      <c r="L161" s="90"/>
      <c r="M161" s="90" t="str">
        <f t="array" ref="M161">IF(ISERROR(AVERAGE(IF(A161=斷絲!$AC$4:$AM$4,斷絲!$AC$39:$AM$39))),"",AVERAGE(IF(A161=斷絲!$AC$4:$AM$4,斷絲!$AC$39:$AM$39)))</f>
        <v/>
      </c>
      <c r="N161" s="109">
        <f>IF(G161=0,0,TMT!AL$41/日報表!G161)</f>
        <v>0</v>
      </c>
      <c r="O161" s="172"/>
      <c r="P161" s="1140"/>
      <c r="Q161" s="82"/>
      <c r="R161" s="115">
        <f>TMT!AN3</f>
        <v>0</v>
      </c>
      <c r="S161" s="244"/>
      <c r="U161" s="465" t="str">
        <f>IF(ISNA(HLOOKUP(A161,IAD!$6:$10,5,0)),"",(HLOOKUP(A161,IAD!$6:$10,5,0)))</f>
        <v/>
      </c>
    </row>
    <row r="162" spans="1:21" ht="19.5" hidden="1" customHeight="1">
      <c r="A162" s="72">
        <f>TMT!AO3</f>
        <v>0</v>
      </c>
      <c r="B162" s="94">
        <f>TMT!AO4</f>
        <v>0</v>
      </c>
      <c r="C162" s="108"/>
      <c r="D162" s="95">
        <f>TMT!AO$37</f>
        <v>0</v>
      </c>
      <c r="E162" s="96">
        <f>TMT!AQ$4</f>
        <v>0</v>
      </c>
      <c r="F162" s="273">
        <f>TMT!AP$37</f>
        <v>0</v>
      </c>
      <c r="G162" s="391">
        <f>TMT!AQ$37-TMT!AO$61</f>
        <v>0</v>
      </c>
      <c r="H162" s="97" t="e">
        <f t="shared" si="21"/>
        <v>#DIV/0!</v>
      </c>
      <c r="I162" s="87">
        <f t="shared" si="20"/>
        <v>0</v>
      </c>
      <c r="J162" s="103">
        <f>TMT!AO$40/100</f>
        <v>0</v>
      </c>
      <c r="K162" s="98">
        <f>IF(G162=0,0,(TMT!AO$38-TMT!AO$60-TMT!AP$60)/日報表!G162)</f>
        <v>0</v>
      </c>
      <c r="L162" s="90"/>
      <c r="M162" s="90" t="str">
        <f t="array" ref="M162">IF(ISERROR(AVERAGE(IF(A162=斷絲!$AC$4:$AM$4,斷絲!$AC$39:$AM$39))),"",AVERAGE(IF(A162=斷絲!$AC$4:$AM$4,斷絲!$AC$39:$AM$39)))</f>
        <v/>
      </c>
      <c r="N162" s="109">
        <f>IF(G162=0,0,TMT!AO$41/日報表!G162)</f>
        <v>0</v>
      </c>
      <c r="O162" s="172"/>
      <c r="P162" s="1141"/>
      <c r="Q162" s="82"/>
      <c r="R162" s="115">
        <f>TMT!AQ3</f>
        <v>0</v>
      </c>
      <c r="S162" s="244"/>
      <c r="U162" s="465" t="str">
        <f>IF(ISNA(HLOOKUP(A162,IAD!$6:$10,5,0)),"",(HLOOKUP(A162,IAD!$6:$10,5,0)))</f>
        <v/>
      </c>
    </row>
    <row r="163" spans="1:21" ht="19.5" hidden="1" customHeight="1">
      <c r="A163" s="72">
        <f>TMT!AR3</f>
        <v>0</v>
      </c>
      <c r="B163" s="94">
        <f>TMT!AR4</f>
        <v>0</v>
      </c>
      <c r="C163" s="108"/>
      <c r="D163" s="95">
        <f>TMT!AR$37</f>
        <v>0</v>
      </c>
      <c r="E163" s="96">
        <f>TMT!AT$4</f>
        <v>0</v>
      </c>
      <c r="F163" s="273">
        <f>TMT!AS$37</f>
        <v>0</v>
      </c>
      <c r="G163" s="391">
        <f>TMT!AT$37-TMT!AR$61</f>
        <v>0</v>
      </c>
      <c r="H163" s="97" t="e">
        <f t="shared" si="21"/>
        <v>#DIV/0!</v>
      </c>
      <c r="I163" s="87">
        <f t="shared" si="20"/>
        <v>0</v>
      </c>
      <c r="J163" s="103">
        <f>TMT!AR$40/100</f>
        <v>0</v>
      </c>
      <c r="K163" s="98">
        <f>IF(G163=0,0,(TMT!AR$38-TMT!AR$60-TMT!AS$60)/日報表!G163)</f>
        <v>0</v>
      </c>
      <c r="L163" s="90"/>
      <c r="M163" s="90" t="str">
        <f t="array" ref="M163">IF(ISERROR(AVERAGE(IF(A163=斷絲!$AC$4:$AM$4,斷絲!$AC$39:$AM$39))),"",AVERAGE(IF(A163=斷絲!$AC$4:$AM$4,斷絲!$AC$39:$AM$39)))</f>
        <v/>
      </c>
      <c r="N163" s="109">
        <f>IF(G163=0,0,TMT!AR$41/日報表!G163)</f>
        <v>0</v>
      </c>
      <c r="O163" s="172"/>
      <c r="P163" s="1141"/>
      <c r="Q163" s="82"/>
      <c r="R163" s="115">
        <f>TMT!AT3</f>
        <v>0</v>
      </c>
      <c r="S163" s="244"/>
      <c r="U163" s="465" t="str">
        <f>IF(ISNA(HLOOKUP(A163,IAD!$6:$10,5,0)),"",(HLOOKUP(A163,IAD!$6:$10,5,0)))</f>
        <v/>
      </c>
    </row>
    <row r="164" spans="1:21" ht="19.5" hidden="1" customHeight="1">
      <c r="A164" s="72">
        <f>TMT!AU3</f>
        <v>0</v>
      </c>
      <c r="B164" s="94">
        <f>TMT!AU4</f>
        <v>0</v>
      </c>
      <c r="C164" s="108"/>
      <c r="D164" s="95">
        <f>TMT!AU$37</f>
        <v>0</v>
      </c>
      <c r="E164" s="96">
        <f>TMT!AW$4</f>
        <v>0</v>
      </c>
      <c r="F164" s="273">
        <f>TMT!AV$37</f>
        <v>0</v>
      </c>
      <c r="G164" s="391">
        <f>TMT!AW$37-TMT!AU$61</f>
        <v>0</v>
      </c>
      <c r="H164" s="97" t="e">
        <f t="shared" ref="H164:H170" si="22">IF(R164="","",(G164*(150/R164)*(900/E164)))</f>
        <v>#DIV/0!</v>
      </c>
      <c r="I164" s="87">
        <f t="shared" si="20"/>
        <v>0</v>
      </c>
      <c r="J164" s="103">
        <f>TMT!AU$40/100</f>
        <v>0</v>
      </c>
      <c r="K164" s="89">
        <f>IF(G164=0,0,(TMT!AU$38-TMT!AU$60-TMT!AV$60)/日報表!G164)</f>
        <v>0</v>
      </c>
      <c r="L164" s="90"/>
      <c r="M164" s="90" t="str">
        <f t="array" ref="M164">IF(ISERROR(AVERAGE(IF(A164=斷絲!$AC$4:$AM$4,斷絲!$AC$39:$AM$39))),"",AVERAGE(IF(A164=斷絲!$AC$4:$AM$4,斷絲!$AC$39:$AM$39)))</f>
        <v/>
      </c>
      <c r="N164" s="109">
        <f>IF(G164=0,0,TMT!AU$41/日報表!G164)</f>
        <v>0</v>
      </c>
      <c r="O164" s="172"/>
      <c r="P164" s="1141"/>
      <c r="Q164" s="82"/>
      <c r="R164" s="115">
        <f>TMT!AW3</f>
        <v>0</v>
      </c>
      <c r="S164" s="244"/>
      <c r="U164" s="465" t="str">
        <f>IF(ISNA(HLOOKUP(A164,IAD!$6:$10,5,0)),"",(HLOOKUP(A164,IAD!$6:$10,5,0)))</f>
        <v/>
      </c>
    </row>
    <row r="165" spans="1:21" ht="19.5" hidden="1" customHeight="1">
      <c r="A165" s="72">
        <f>TMT!AX3</f>
        <v>0</v>
      </c>
      <c r="B165" s="94">
        <f>TMT!AX4</f>
        <v>0</v>
      </c>
      <c r="C165" s="108"/>
      <c r="D165" s="84">
        <f>TMT!AX$37</f>
        <v>0</v>
      </c>
      <c r="E165" s="85">
        <f>TMT!AZ$4</f>
        <v>0</v>
      </c>
      <c r="F165" s="272">
        <f>TMT!AY$37</f>
        <v>0</v>
      </c>
      <c r="G165" s="390">
        <f>TMT!AZ$37-TMT!AX$61</f>
        <v>0</v>
      </c>
      <c r="H165" s="86" t="e">
        <f t="shared" si="22"/>
        <v>#DIV/0!</v>
      </c>
      <c r="I165" s="87">
        <f t="shared" si="20"/>
        <v>0</v>
      </c>
      <c r="J165" s="88">
        <f>TMT!AX$40/100</f>
        <v>0</v>
      </c>
      <c r="K165" s="89">
        <f>IF(G165=0,0,(TMT!AX$38-TMT!AX$60-TMT!AY$60)/日報表!G165)</f>
        <v>0</v>
      </c>
      <c r="L165" s="90"/>
      <c r="M165" s="90" t="str">
        <f t="array" ref="M165">IF(ISERROR(AVERAGE(IF(A165=斷絲!$AC$4:$AM$4,斷絲!$AC$39:$AM$39))),"",AVERAGE(IF(A165=斷絲!$AC$4:$AM$4,斷絲!$AC$39:$AM$39)))</f>
        <v/>
      </c>
      <c r="N165" s="143">
        <f>IF(G165=0,0,TMT!AX$41/日報表!G165)</f>
        <v>0</v>
      </c>
      <c r="O165" s="172"/>
      <c r="P165" s="1141"/>
      <c r="Q165" s="82"/>
      <c r="R165" s="115">
        <f>TMT!AZ3</f>
        <v>0</v>
      </c>
      <c r="S165" s="244"/>
      <c r="U165" s="465" t="str">
        <f>IF(ISNA(HLOOKUP(A165,IAD!$6:$10,5,0)),"",(HLOOKUP(A165,IAD!$6:$10,5,0)))</f>
        <v/>
      </c>
    </row>
    <row r="166" spans="1:21" ht="19.5" hidden="1" customHeight="1" thickBot="1">
      <c r="A166" s="72">
        <f>TMT!BA3</f>
        <v>0</v>
      </c>
      <c r="B166" s="94">
        <f>TMT!BA4</f>
        <v>0</v>
      </c>
      <c r="C166" s="108"/>
      <c r="D166" s="95">
        <f>TMT!BA$37</f>
        <v>0</v>
      </c>
      <c r="E166" s="96">
        <f>TMT!BC$4</f>
        <v>0</v>
      </c>
      <c r="F166" s="273">
        <f>TMT!BB$37</f>
        <v>0</v>
      </c>
      <c r="G166" s="391">
        <f>TMT!BC$37-TMT!BA$61</f>
        <v>0</v>
      </c>
      <c r="H166" s="97" t="e">
        <f t="shared" si="22"/>
        <v>#DIV/0!</v>
      </c>
      <c r="I166" s="87">
        <f t="shared" si="20"/>
        <v>0</v>
      </c>
      <c r="J166" s="103">
        <f>TMT!BA$40/100</f>
        <v>0</v>
      </c>
      <c r="K166" s="98">
        <f>IF(G166=0,0,(TMT!BA$38-TMT!BA$60-TMT!BB$60)/日報表!G166)</f>
        <v>0</v>
      </c>
      <c r="L166" s="90"/>
      <c r="M166" s="90" t="str">
        <f t="array" ref="M166">IF(ISERROR(AVERAGE(IF(A166=斷絲!$AC$4:$AM$4,斷絲!$AC$39:$AM$39))),"",AVERAGE(IF(A166=斷絲!$AC$4:$AM$4,斷絲!$AC$39:$AM$39)))</f>
        <v/>
      </c>
      <c r="N166" s="109">
        <f>IF(G166=0,0,TMT!BA$41/日報表!G166)</f>
        <v>0</v>
      </c>
      <c r="O166" s="172"/>
      <c r="P166" s="1141"/>
      <c r="Q166" s="82"/>
      <c r="R166" s="115">
        <f>TMT!BC3</f>
        <v>0</v>
      </c>
      <c r="S166" s="244"/>
      <c r="U166" s="465" t="str">
        <f>IF(ISNA(HLOOKUP(A166,IAD!$6:$10,5,0)),"",(HLOOKUP(A166,IAD!$6:$10,5,0)))</f>
        <v/>
      </c>
    </row>
    <row r="167" spans="1:21" ht="19.5" hidden="1" customHeight="1">
      <c r="A167" s="72">
        <f>TMT!BD3</f>
        <v>0</v>
      </c>
      <c r="B167" s="94">
        <f>TMT!BD4</f>
        <v>0</v>
      </c>
      <c r="C167" s="108"/>
      <c r="D167" s="84">
        <f>TMT!BD$37</f>
        <v>0</v>
      </c>
      <c r="E167" s="85">
        <f>TMT!BF$4</f>
        <v>0</v>
      </c>
      <c r="F167" s="272">
        <f>TMT!BE$37</f>
        <v>0</v>
      </c>
      <c r="G167" s="390">
        <f>TMT!BF$37-TMT!BD$61</f>
        <v>0</v>
      </c>
      <c r="H167" s="86" t="e">
        <f t="shared" si="22"/>
        <v>#DIV/0!</v>
      </c>
      <c r="I167" s="87">
        <f t="shared" si="20"/>
        <v>0</v>
      </c>
      <c r="J167" s="88">
        <f>TMT!BD$40/100</f>
        <v>0</v>
      </c>
      <c r="K167" s="89">
        <f>IF(G167=0,0,(TMT!BD$38-TMT!BD$60-TMT!BE$60)/日報表!G167)</f>
        <v>0</v>
      </c>
      <c r="L167" s="90"/>
      <c r="M167" s="90" t="str">
        <f t="array" ref="M167">IF(ISERROR(AVERAGE(IF(A167=斷絲!$AC$4:$AM$4,斷絲!$AC$39:$AM$39))),"",AVERAGE(IF(A167=斷絲!$AC$4:$AM$4,斷絲!$AC$39:$AM$39)))</f>
        <v/>
      </c>
      <c r="N167" s="143">
        <f>IF(G167=0,0,TMT!BD$41/日報表!G167)</f>
        <v>0</v>
      </c>
      <c r="O167" s="172"/>
      <c r="P167" s="1141"/>
      <c r="Q167" s="82"/>
      <c r="R167" s="115">
        <f>TMT!BF3</f>
        <v>0</v>
      </c>
      <c r="S167" s="244"/>
      <c r="U167" s="465" t="str">
        <f>IF(ISNA(HLOOKUP(A167,IAD!$6:$10,5,0)),"",(HLOOKUP(A167,IAD!$6:$10,5,0)))</f>
        <v/>
      </c>
    </row>
    <row r="168" spans="1:21" ht="19.5" hidden="1" customHeight="1">
      <c r="A168" s="72">
        <f>TMT!BG3</f>
        <v>0</v>
      </c>
      <c r="B168" s="94">
        <f>TMT!BG4</f>
        <v>0</v>
      </c>
      <c r="C168" s="108"/>
      <c r="D168" s="84">
        <f>TMT!BG$37</f>
        <v>0</v>
      </c>
      <c r="E168" s="85">
        <f>TMT!BI$4</f>
        <v>0</v>
      </c>
      <c r="F168" s="272">
        <f>TMT!BH$37</f>
        <v>0</v>
      </c>
      <c r="G168" s="390">
        <f>TMT!BI$37-TMT!BG$61</f>
        <v>0</v>
      </c>
      <c r="H168" s="86" t="e">
        <f t="shared" si="22"/>
        <v>#DIV/0!</v>
      </c>
      <c r="I168" s="87">
        <f t="shared" si="20"/>
        <v>0</v>
      </c>
      <c r="J168" s="88">
        <f>TMT!BG$40/100</f>
        <v>0</v>
      </c>
      <c r="K168" s="89">
        <f>IF(G168=0,0,(TMT!BG$38-TMT!BG$60-TMT!BH$60)/日報表!G168)</f>
        <v>0</v>
      </c>
      <c r="L168" s="90"/>
      <c r="M168" s="90" t="str">
        <f t="array" ref="M168">IF(ISERROR(AVERAGE(IF(A168=斷絲!$AC$4:$AM$4,斷絲!$AC$39:$AM$39))),"",AVERAGE(IF(A168=斷絲!$AC$4:$AM$4,斷絲!$AC$39:$AM$39)))</f>
        <v/>
      </c>
      <c r="N168" s="143">
        <f>IF(G168=0,0,TMT!BG$41/日報表!G168)</f>
        <v>0</v>
      </c>
      <c r="O168" s="172"/>
      <c r="P168" s="1141"/>
      <c r="Q168" s="82"/>
      <c r="R168" s="115">
        <f>TMT!BI3</f>
        <v>0</v>
      </c>
      <c r="S168" s="244"/>
      <c r="U168" s="465" t="str">
        <f>IF(ISNA(HLOOKUP(A168,IAD!$6:$10,5,0)),"",(HLOOKUP(A168,IAD!$6:$10,5,0)))</f>
        <v/>
      </c>
    </row>
    <row r="169" spans="1:21" ht="19.5" hidden="1" customHeight="1">
      <c r="A169" s="72">
        <f>TMT!BJ3</f>
        <v>0</v>
      </c>
      <c r="B169" s="94">
        <f>TMT!BJ4</f>
        <v>0</v>
      </c>
      <c r="C169" s="108"/>
      <c r="D169" s="84">
        <f>TMT!BJ$37</f>
        <v>0</v>
      </c>
      <c r="E169" s="85">
        <f>TMT!BL$4</f>
        <v>0</v>
      </c>
      <c r="F169" s="272">
        <f>TMT!BK$37</f>
        <v>0</v>
      </c>
      <c r="G169" s="390">
        <f>TMT!BL$37-TMT!BJ$61</f>
        <v>0</v>
      </c>
      <c r="H169" s="86" t="e">
        <f t="shared" si="22"/>
        <v>#DIV/0!</v>
      </c>
      <c r="I169" s="87">
        <f t="shared" si="20"/>
        <v>0</v>
      </c>
      <c r="J169" s="88">
        <f>TMT!BJ$40/100</f>
        <v>0</v>
      </c>
      <c r="K169" s="89">
        <f>IF(G169=0,0,(TMT!BJ$38-TMT!BJ$60-TMT!BK$60)/日報表!G169)</f>
        <v>0</v>
      </c>
      <c r="L169" s="90"/>
      <c r="M169" s="90" t="str">
        <f t="array" ref="M169">IF(ISERROR(AVERAGE(IF(A169=斷絲!$AC$4:$AM$4,斷絲!$AC$39:$AM$39))),"",AVERAGE(IF(A169=斷絲!$AC$4:$AM$4,斷絲!$AC$39:$AM$39)))</f>
        <v/>
      </c>
      <c r="N169" s="143">
        <f>IF(G169=0,0,TMT!BJ$41/日報表!G169)</f>
        <v>0</v>
      </c>
      <c r="O169" s="172"/>
      <c r="P169" s="1141"/>
      <c r="Q169" s="82"/>
      <c r="R169" s="115">
        <f>TMT!BL3</f>
        <v>0</v>
      </c>
      <c r="S169" s="244"/>
      <c r="U169" s="465" t="str">
        <f>IF(ISNA(HLOOKUP(A169,IAD!$6:$10,5,0)),"",(HLOOKUP(A169,IAD!$6:$10,5,0)))</f>
        <v/>
      </c>
    </row>
    <row r="170" spans="1:21" ht="19.5" hidden="1" customHeight="1">
      <c r="A170" s="72">
        <f>TMT!BM$3</f>
        <v>0</v>
      </c>
      <c r="B170" s="83">
        <f>TMT!BM$4</f>
        <v>0</v>
      </c>
      <c r="C170" s="108"/>
      <c r="D170" s="84">
        <f>TMT!BM$37</f>
        <v>0</v>
      </c>
      <c r="E170" s="85">
        <f>TMT!BO$4</f>
        <v>0</v>
      </c>
      <c r="F170" s="272">
        <f>TMT!BN$37</f>
        <v>0</v>
      </c>
      <c r="G170" s="390">
        <f>TMT!BO$37-TMT!BM$61</f>
        <v>0</v>
      </c>
      <c r="H170" s="86" t="e">
        <f t="shared" si="22"/>
        <v>#DIV/0!</v>
      </c>
      <c r="I170" s="87">
        <f t="shared" si="20"/>
        <v>0</v>
      </c>
      <c r="J170" s="88">
        <f>TMT!BM$40/100</f>
        <v>0</v>
      </c>
      <c r="K170" s="89">
        <f>IF(G170=0,0,(TMT!BM$38-TMT!BM$60-TMT!BN$60)/日報表!G170)</f>
        <v>0</v>
      </c>
      <c r="L170" s="90"/>
      <c r="M170" s="90" t="str">
        <f t="array" ref="M170">IF(ISERROR(AVERAGE(IF(A170=斷絲!$AC$4:$AM$4,斷絲!$AC$39:$AM$39))),"",AVERAGE(IF(A170=斷絲!$AC$4:$AM$4,斷絲!$AC$39:$AM$39)))</f>
        <v/>
      </c>
      <c r="N170" s="143">
        <f>IF(G170=0,0,TMT!BM$41/日報表!G170)</f>
        <v>0</v>
      </c>
      <c r="O170" s="172"/>
      <c r="P170" s="1141"/>
      <c r="Q170" s="82"/>
      <c r="R170" s="115">
        <f>TMT!BO$3</f>
        <v>0</v>
      </c>
      <c r="S170" s="244"/>
      <c r="U170" s="465" t="str">
        <f>IF(ISNA(HLOOKUP(A170,IAD!$6:$10,5,0)),"",(HLOOKUP(A170,IAD!$6:$10,5,0)))</f>
        <v/>
      </c>
    </row>
    <row r="171" spans="1:21" ht="19.5" hidden="1" customHeight="1">
      <c r="A171" s="72">
        <f>TMT!BP$3</f>
        <v>0</v>
      </c>
      <c r="B171" s="83">
        <f>TMT!BP$4</f>
        <v>0</v>
      </c>
      <c r="C171" s="108"/>
      <c r="D171" s="84">
        <f>TMT!BP$37</f>
        <v>0</v>
      </c>
      <c r="E171" s="85">
        <f>TMT!BR$4</f>
        <v>0</v>
      </c>
      <c r="F171" s="272">
        <f>TMT!BQ$37</f>
        <v>0</v>
      </c>
      <c r="G171" s="390">
        <f>TMT!BR$37-TMT!BP$61</f>
        <v>0</v>
      </c>
      <c r="H171" s="86" t="e">
        <f t="shared" ref="H171:H181" si="23">IF(R171="","",(G171*(150/R171)*(900/E171)))</f>
        <v>#DIV/0!</v>
      </c>
      <c r="I171" s="87">
        <f t="shared" si="20"/>
        <v>0</v>
      </c>
      <c r="J171" s="88">
        <f>TMT!BP$40/100</f>
        <v>0</v>
      </c>
      <c r="K171" s="89">
        <f>IF(G171=0,0,(TMT!BP$38-TMT!BP$60-TMT!BQ$60)/日報表!G171)</f>
        <v>0</v>
      </c>
      <c r="L171" s="90"/>
      <c r="M171" s="90" t="str">
        <f t="array" ref="M171">IF(ISERROR(AVERAGE(IF(A171=斷絲!$AC$4:$AM$4,斷絲!$AC$39:$AM$39))),"",AVERAGE(IF(A171=斷絲!$AC$4:$AM$4,斷絲!$AC$39:$AM$39)))</f>
        <v/>
      </c>
      <c r="N171" s="143">
        <f>IF(G171=0,0,TMT!BP$41/日報表!G171)</f>
        <v>0</v>
      </c>
      <c r="O171" s="172"/>
      <c r="P171" s="1141"/>
      <c r="Q171" s="82"/>
      <c r="R171" s="115">
        <f>TMT!BR$3</f>
        <v>0</v>
      </c>
      <c r="S171" s="244"/>
      <c r="U171" s="465" t="str">
        <f>IF(ISNA(HLOOKUP(A171,IAD!$6:$10,5,0)),"",(HLOOKUP(A171,IAD!$6:$10,5,0)))</f>
        <v/>
      </c>
    </row>
    <row r="172" spans="1:21" ht="19.5" hidden="1" customHeight="1">
      <c r="A172" s="72">
        <f>TMT!BS$3</f>
        <v>0</v>
      </c>
      <c r="B172" s="83">
        <f>TMT!BS$4</f>
        <v>0</v>
      </c>
      <c r="C172" s="108"/>
      <c r="D172" s="84">
        <f>TMT!BS$37</f>
        <v>0</v>
      </c>
      <c r="E172" s="85">
        <f>TMT!BU$4</f>
        <v>0</v>
      </c>
      <c r="F172" s="272">
        <f>TMT!BT$37</f>
        <v>0</v>
      </c>
      <c r="G172" s="390">
        <f>TMT!BU$37-TMT!BS$61</f>
        <v>0</v>
      </c>
      <c r="H172" s="86" t="e">
        <f t="shared" si="23"/>
        <v>#DIV/0!</v>
      </c>
      <c r="I172" s="87">
        <f t="shared" si="20"/>
        <v>0</v>
      </c>
      <c r="J172" s="88">
        <f>TMT!BS$40/100</f>
        <v>0</v>
      </c>
      <c r="K172" s="89">
        <f>IF(G172=0,0,(TMT!BS$38-TMT!BS$60-TMT!BT$60)/日報表!G172)</f>
        <v>0</v>
      </c>
      <c r="L172" s="90"/>
      <c r="M172" s="90" t="str">
        <f t="array" ref="M172">IF(ISERROR(AVERAGE(IF(A172=斷絲!$AC$4:$AM$4,斷絲!$AC$39:$AM$39))),"",AVERAGE(IF(A172=斷絲!$AC$4:$AM$4,斷絲!$AC$39:$AM$39)))</f>
        <v/>
      </c>
      <c r="N172" s="143">
        <f>IF(G172=0,0,TMT!BS$41/日報表!G172)</f>
        <v>0</v>
      </c>
      <c r="O172" s="172"/>
      <c r="P172" s="1140"/>
      <c r="Q172" s="82"/>
      <c r="R172" s="115">
        <f>TMT!BU$3</f>
        <v>0</v>
      </c>
      <c r="S172" s="244"/>
      <c r="U172" s="465" t="str">
        <f>IF(ISNA(HLOOKUP(A172,IAD!$6:$10,5,0)),"",(HLOOKUP(A172,IAD!$6:$10,5,0)))</f>
        <v/>
      </c>
    </row>
    <row r="173" spans="1:21" ht="19.5" hidden="1" customHeight="1">
      <c r="A173" s="72">
        <f>TMT!BV$3</f>
        <v>0</v>
      </c>
      <c r="B173" s="83">
        <f>TMT!BV$4</f>
        <v>0</v>
      </c>
      <c r="C173" s="108"/>
      <c r="D173" s="84">
        <f>TMT!BV$37</f>
        <v>0</v>
      </c>
      <c r="E173" s="85">
        <f>TMT!BX$4</f>
        <v>0</v>
      </c>
      <c r="F173" s="272">
        <f>TMT!BW$37</f>
        <v>0</v>
      </c>
      <c r="G173" s="390">
        <f>TMT!BX$37-TMT!BV$61</f>
        <v>0</v>
      </c>
      <c r="H173" s="86" t="e">
        <f t="shared" si="23"/>
        <v>#DIV/0!</v>
      </c>
      <c r="I173" s="87">
        <f t="shared" si="20"/>
        <v>0</v>
      </c>
      <c r="J173" s="88">
        <f>TMT!BV$40/100</f>
        <v>0</v>
      </c>
      <c r="K173" s="89">
        <f>IF(G173=0,0,(TMT!BV$38-TMT!BV$60-TMT!BW$60)/日報表!G173)</f>
        <v>0</v>
      </c>
      <c r="L173" s="90"/>
      <c r="M173" s="90" t="str">
        <f t="array" ref="M173">IF(ISERROR(AVERAGE(IF(A173=斷絲!$AC$4:$AM$4,斷絲!$AC$39:$AM$39))),"",AVERAGE(IF(A173=斷絲!$AC$4:$AM$4,斷絲!$AC$39:$AM$39)))</f>
        <v/>
      </c>
      <c r="N173" s="143">
        <f>IF(G173=0,0,TMT!BV$41/日報表!G173)</f>
        <v>0</v>
      </c>
      <c r="O173" s="172"/>
      <c r="P173" s="1140"/>
      <c r="Q173" s="82"/>
      <c r="R173" s="115">
        <f>TMT!BX$3</f>
        <v>0</v>
      </c>
      <c r="S173" s="244"/>
      <c r="U173" s="465" t="str">
        <f>IF(ISNA(HLOOKUP(A173,IAD!$6:$10,5,0)),"",(HLOOKUP(A173,IAD!$6:$10,5,0)))</f>
        <v/>
      </c>
    </row>
    <row r="174" spans="1:21" ht="19.5" hidden="1" customHeight="1">
      <c r="A174" s="72">
        <f>TMT!BY$3</f>
        <v>0</v>
      </c>
      <c r="B174" s="83">
        <f>TMT!BY$4</f>
        <v>0</v>
      </c>
      <c r="C174" s="108"/>
      <c r="D174" s="84">
        <f>TMT!BY$37</f>
        <v>0</v>
      </c>
      <c r="E174" s="85">
        <f>TMT!CA$4</f>
        <v>0</v>
      </c>
      <c r="F174" s="272">
        <f>TMT!BZ$37</f>
        <v>0</v>
      </c>
      <c r="G174" s="390">
        <f>TMT!CA$37-TMT!BY$61</f>
        <v>0</v>
      </c>
      <c r="H174" s="86" t="e">
        <f t="shared" si="23"/>
        <v>#DIV/0!</v>
      </c>
      <c r="I174" s="87">
        <f t="shared" si="20"/>
        <v>0</v>
      </c>
      <c r="J174" s="88">
        <f>TMT!BY$40/100</f>
        <v>0</v>
      </c>
      <c r="K174" s="89">
        <f>IF(G174=0,0,(TMT!BY$38-TMT!BY$60-TMT!BZ$60)/日報表!G174)</f>
        <v>0</v>
      </c>
      <c r="L174" s="217"/>
      <c r="M174" s="90" t="str">
        <f t="array" ref="M174">IF(ISERROR(AVERAGE(IF(A174=斷絲!$AC$4:$AM$4,斷絲!$AC$39:$AM$39))),"",AVERAGE(IF(A174=斷絲!$AC$4:$AM$4,斷絲!$AC$39:$AM$39)))</f>
        <v/>
      </c>
      <c r="N174" s="143">
        <f>IF(G174=0,0,TMT!BY$41/日報表!G174)</f>
        <v>0</v>
      </c>
      <c r="O174" s="172"/>
      <c r="P174" s="1140"/>
      <c r="Q174" s="82"/>
      <c r="R174" s="115">
        <f>TMT!CA$3</f>
        <v>0</v>
      </c>
      <c r="S174" s="244"/>
      <c r="U174" s="465" t="str">
        <f>IF(ISNA(HLOOKUP(A174,IAD!$6:$10,5,0)),"",(HLOOKUP(A174,IAD!$6:$10,5,0)))</f>
        <v/>
      </c>
    </row>
    <row r="175" spans="1:21" ht="19.5" hidden="1" customHeight="1">
      <c r="A175" s="72">
        <f>TMT!CB$3</f>
        <v>0</v>
      </c>
      <c r="B175" s="83">
        <f>TMT!CB$4</f>
        <v>0</v>
      </c>
      <c r="C175" s="108"/>
      <c r="D175" s="84">
        <f>TMT!CB$37</f>
        <v>0</v>
      </c>
      <c r="E175" s="85">
        <f>TMT!CD$4</f>
        <v>0</v>
      </c>
      <c r="F175" s="272">
        <f>TMT!CC$37</f>
        <v>0</v>
      </c>
      <c r="G175" s="390">
        <f>TMT!CD$37-TMT!CB$61</f>
        <v>0</v>
      </c>
      <c r="H175" s="86" t="e">
        <f t="shared" si="23"/>
        <v>#DIV/0!</v>
      </c>
      <c r="I175" s="87">
        <f t="shared" si="20"/>
        <v>0</v>
      </c>
      <c r="J175" s="88">
        <f>TMT!CB$40/100</f>
        <v>0</v>
      </c>
      <c r="K175" s="89">
        <f>IF(G175=0,0,(TMT!CB$38-TMT!CB$60-TMT!CC$60)/日報表!G175)</f>
        <v>0</v>
      </c>
      <c r="L175" s="90"/>
      <c r="M175" s="90" t="str">
        <f t="array" ref="M175">IF(ISERROR(AVERAGE(IF(A175=斷絲!$AC$4:$AM$4,斷絲!$AC$39:$AM$39))),"",AVERAGE(IF(A175=斷絲!$AC$4:$AM$4,斷絲!$AC$39:$AM$39)))</f>
        <v/>
      </c>
      <c r="N175" s="143">
        <f>IF(G175=0,0,TMT!CB$41/日報表!G175)</f>
        <v>0</v>
      </c>
      <c r="O175" s="172"/>
      <c r="P175" s="1141"/>
      <c r="Q175" s="82"/>
      <c r="R175" s="115">
        <f>TMT!CD$3</f>
        <v>0</v>
      </c>
      <c r="S175" s="244"/>
      <c r="U175" s="465" t="str">
        <f>IF(ISNA(HLOOKUP(A175,IAD!$6:$10,5,0)),"",(HLOOKUP(A175,IAD!$6:$10,5,0)))</f>
        <v/>
      </c>
    </row>
    <row r="176" spans="1:21" ht="19.5" hidden="1" customHeight="1">
      <c r="A176" s="72">
        <f>TMT!CE$3</f>
        <v>0</v>
      </c>
      <c r="B176" s="83">
        <f>TMT!CE$4</f>
        <v>0</v>
      </c>
      <c r="C176" s="108"/>
      <c r="D176" s="84">
        <f>TMT!CE$37</f>
        <v>0</v>
      </c>
      <c r="E176" s="85">
        <f>TMT!CG$4</f>
        <v>0</v>
      </c>
      <c r="F176" s="272">
        <f>TMT!CF$37</f>
        <v>0</v>
      </c>
      <c r="G176" s="390">
        <f>TMT!CG$37-TMT!CE$61</f>
        <v>0</v>
      </c>
      <c r="H176" s="86" t="e">
        <f t="shared" si="23"/>
        <v>#DIV/0!</v>
      </c>
      <c r="I176" s="87">
        <f t="shared" si="20"/>
        <v>0</v>
      </c>
      <c r="J176" s="88">
        <f>TMT!CE$40/100</f>
        <v>0</v>
      </c>
      <c r="K176" s="89">
        <f>IF(G176=0,0,(TMT!CE$38-TMT!CE$60-TMT!CF$60)/日報表!G176)</f>
        <v>0</v>
      </c>
      <c r="L176" s="217"/>
      <c r="M176" s="90" t="str">
        <f t="array" ref="M176">IF(ISERROR(AVERAGE(IF(A176=斷絲!$AC$4:$AM$4,斷絲!$AC$39:$AM$39))),"",AVERAGE(IF(A176=斷絲!$AC$4:$AM$4,斷絲!$AC$39:$AM$39)))</f>
        <v/>
      </c>
      <c r="N176" s="143">
        <f>IF(G176=0,0,TMT!CE$41/日報表!G176)</f>
        <v>0</v>
      </c>
      <c r="O176" s="172"/>
      <c r="P176" s="1141"/>
      <c r="Q176" s="82"/>
      <c r="R176" s="115">
        <f>TMT!CG$3</f>
        <v>0</v>
      </c>
      <c r="S176" s="244"/>
      <c r="U176" s="465" t="str">
        <f>IF(ISNA(HLOOKUP(A176,IAD!$6:$10,5,0)),"",(HLOOKUP(A176,IAD!$6:$10,5,0)))</f>
        <v/>
      </c>
    </row>
    <row r="177" spans="1:25" ht="19.5" hidden="1" customHeight="1">
      <c r="A177" s="72">
        <f>TMT!CH$3</f>
        <v>0</v>
      </c>
      <c r="B177" s="83">
        <f>TMT!CH$4</f>
        <v>0</v>
      </c>
      <c r="C177" s="108"/>
      <c r="D177" s="84">
        <f>TMT!CH$37</f>
        <v>0</v>
      </c>
      <c r="E177" s="85">
        <f>TMT!CJ$4</f>
        <v>0</v>
      </c>
      <c r="F177" s="272">
        <f>TMT!CI$37</f>
        <v>0</v>
      </c>
      <c r="G177" s="390">
        <f>TMT!CJ$37-TMT!CH$61</f>
        <v>0</v>
      </c>
      <c r="H177" s="86" t="e">
        <f t="shared" si="23"/>
        <v>#DIV/0!</v>
      </c>
      <c r="I177" s="87">
        <f t="shared" si="20"/>
        <v>0</v>
      </c>
      <c r="J177" s="88">
        <f>TMT!CH$40/100</f>
        <v>0</v>
      </c>
      <c r="K177" s="89">
        <f>IF(G177=0,0,(TMT!CH$38-TMT!CH$60-TMT!CI$60)/日報表!G177)</f>
        <v>0</v>
      </c>
      <c r="L177" s="217"/>
      <c r="M177" s="90" t="str">
        <f t="array" ref="M177">IF(ISERROR(AVERAGE(IF(A177=斷絲!$AC$4:$AM$4,斷絲!$AC$39:$AM$39))),"",AVERAGE(IF(A177=斷絲!$AC$4:$AM$4,斷絲!$AC$39:$AM$39)))</f>
        <v/>
      </c>
      <c r="N177" s="143">
        <f>IF(G177=0,0,TMT!CH$41/日報表!G177)</f>
        <v>0</v>
      </c>
      <c r="O177" s="171"/>
      <c r="P177" s="1141"/>
      <c r="Q177" s="82"/>
      <c r="R177" s="115">
        <f>TMT!CJ$3</f>
        <v>0</v>
      </c>
      <c r="S177" s="244"/>
      <c r="U177" s="465" t="str">
        <f>IF(ISNA(HLOOKUP(A177,IAD!$6:$10,5,0)),"",(HLOOKUP(A177,IAD!$6:$10,5,0)))</f>
        <v/>
      </c>
    </row>
    <row r="178" spans="1:25" ht="19.5" hidden="1" customHeight="1">
      <c r="A178" s="72">
        <f>TMT!CK$3</f>
        <v>0</v>
      </c>
      <c r="B178" s="83">
        <f>TMT!CK$4</f>
        <v>0</v>
      </c>
      <c r="C178" s="108"/>
      <c r="D178" s="84">
        <f>TMT!CK$37</f>
        <v>0</v>
      </c>
      <c r="E178" s="85">
        <f>TMT!CM$4</f>
        <v>0</v>
      </c>
      <c r="F178" s="272">
        <f>TMT!CL$37</f>
        <v>0</v>
      </c>
      <c r="G178" s="390">
        <f>TMT!CM$37-TMT!CK$61</f>
        <v>0</v>
      </c>
      <c r="H178" s="86" t="e">
        <f t="shared" si="23"/>
        <v>#DIV/0!</v>
      </c>
      <c r="I178" s="87">
        <f t="shared" si="20"/>
        <v>0</v>
      </c>
      <c r="J178" s="88">
        <f>TMT!CK$40/100</f>
        <v>0</v>
      </c>
      <c r="K178" s="89">
        <f>IF(G178=0,0,(TMT!CK$38-TMT!CK$60-TMT!CL$60)/日報表!G178)</f>
        <v>0</v>
      </c>
      <c r="L178" s="90"/>
      <c r="M178" s="90" t="str">
        <f t="array" ref="M178">IF(ISERROR(AVERAGE(IF(A178=斷絲!$AC$4:$AM$4,斷絲!$AC$39:$AM$39))),"",AVERAGE(IF(A178=斷絲!$AC$4:$AM$4,斷絲!$AC$39:$AM$39)))</f>
        <v/>
      </c>
      <c r="N178" s="143">
        <f>IF(G178=0,0,TMT!CK$41/日報表!G178)</f>
        <v>0</v>
      </c>
      <c r="O178" s="172"/>
      <c r="P178" s="1140"/>
      <c r="Q178" s="82"/>
      <c r="R178" s="115">
        <f>TMT!CM$3</f>
        <v>0</v>
      </c>
      <c r="S178" s="244"/>
      <c r="U178" s="465" t="str">
        <f>IF(ISNA(HLOOKUP(A178,IAD!$6:$10,5,0)),"",(HLOOKUP(A178,IAD!$6:$10,5,0)))</f>
        <v/>
      </c>
    </row>
    <row r="179" spans="1:25" ht="19.5" hidden="1" customHeight="1">
      <c r="A179" s="72">
        <f>TMT!CN$3</f>
        <v>0</v>
      </c>
      <c r="B179" s="83">
        <f>TMT!CN$4</f>
        <v>0</v>
      </c>
      <c r="C179" s="108"/>
      <c r="D179" s="84">
        <f>TMT!CN$37</f>
        <v>0</v>
      </c>
      <c r="E179" s="85">
        <f>TMT!CP$4</f>
        <v>0</v>
      </c>
      <c r="F179" s="272">
        <f>TMT!CO$37</f>
        <v>0</v>
      </c>
      <c r="G179" s="390">
        <f>TMT!CP$37-TMT!CN$61</f>
        <v>0</v>
      </c>
      <c r="H179" s="86" t="e">
        <f t="shared" si="23"/>
        <v>#DIV/0!</v>
      </c>
      <c r="I179" s="87">
        <f t="shared" si="20"/>
        <v>0</v>
      </c>
      <c r="J179" s="88">
        <f>TMT!CN$40/100</f>
        <v>0</v>
      </c>
      <c r="K179" s="89">
        <f>IF(G179=0,0,(TMT!CN$38-TMT!CN$60-TMT!CO$60)/日報表!G179)</f>
        <v>0</v>
      </c>
      <c r="L179" s="90"/>
      <c r="M179" s="90" t="str">
        <f t="array" ref="M179">IF(ISERROR(AVERAGE(IF(A179=斷絲!$AC$4:$AM$4,斷絲!$AC$39:$AM$39))),"",AVERAGE(IF(A179=斷絲!$AC$4:$AM$4,斷絲!$AC$39:$AM$39)))</f>
        <v/>
      </c>
      <c r="N179" s="143">
        <f>IF(G179=0,0,TMT!CN$41/日報表!G179)</f>
        <v>0</v>
      </c>
      <c r="O179" s="172"/>
      <c r="P179" s="1140"/>
      <c r="Q179" s="82"/>
      <c r="R179" s="115">
        <f>TMT!CP$3</f>
        <v>0</v>
      </c>
      <c r="S179" s="244"/>
      <c r="U179" s="465" t="str">
        <f>IF(ISNA(HLOOKUP(A179,IAD!$6:$10,5,0)),"",(HLOOKUP(A179,IAD!$6:$10,5,0)))</f>
        <v/>
      </c>
    </row>
    <row r="180" spans="1:25" ht="19.5" hidden="1" customHeight="1">
      <c r="A180" s="72">
        <f>TMT!CQ$3</f>
        <v>0</v>
      </c>
      <c r="B180" s="83">
        <f>TMT!CQ$4</f>
        <v>0</v>
      </c>
      <c r="C180" s="108"/>
      <c r="D180" s="84">
        <f>TMT!CQ$37</f>
        <v>0</v>
      </c>
      <c r="E180" s="85">
        <f>TMT!CS$4</f>
        <v>0</v>
      </c>
      <c r="F180" s="272">
        <f>TMT!CR$37</f>
        <v>0</v>
      </c>
      <c r="G180" s="390">
        <f>TMT!CS$37-TMT!CQ$61</f>
        <v>0</v>
      </c>
      <c r="H180" s="86" t="e">
        <f t="shared" si="23"/>
        <v>#DIV/0!</v>
      </c>
      <c r="I180" s="87">
        <f t="shared" si="20"/>
        <v>0</v>
      </c>
      <c r="J180" s="88">
        <f>TMT!CQ$40/100</f>
        <v>0</v>
      </c>
      <c r="K180" s="89">
        <f>IF(G180=0,0,(TMT!CQ$38-TMT!CQ$60-TMT!CR$60)/日報表!G180)</f>
        <v>0</v>
      </c>
      <c r="L180" s="90"/>
      <c r="M180" s="90" t="str">
        <f t="array" ref="M180">IF(ISERROR(AVERAGE(IF(A180=斷絲!$AC$4:$AM$4,斷絲!$AC$39:$AM$39))),"",AVERAGE(IF(A180=斷絲!$AC$4:$AM$4,斷絲!$AC$39:$AM$39)))</f>
        <v/>
      </c>
      <c r="N180" s="143">
        <f>IF(G180=0,0,TMT!CQ$41/日報表!G180)</f>
        <v>0</v>
      </c>
      <c r="O180" s="171"/>
      <c r="P180" s="1142"/>
      <c r="Q180" s="82"/>
      <c r="R180" s="115">
        <f>TMT!CS$3</f>
        <v>0</v>
      </c>
      <c r="S180" s="244"/>
      <c r="U180" s="465" t="str">
        <f>IF(ISNA(HLOOKUP(A180,IAD!$6:$10,5,0)),"",(HLOOKUP(A180,IAD!$6:$10,5,0)))</f>
        <v/>
      </c>
    </row>
    <row r="181" spans="1:25" ht="19.5" hidden="1" customHeight="1" thickBot="1">
      <c r="A181" s="73">
        <f>TMT!CT$3</f>
        <v>0</v>
      </c>
      <c r="B181" s="94">
        <f>TMT!CT$4</f>
        <v>0</v>
      </c>
      <c r="C181" s="110"/>
      <c r="D181" s="95">
        <f>TMT!CT$37</f>
        <v>0</v>
      </c>
      <c r="E181" s="96">
        <f>TMT!CV$4</f>
        <v>0</v>
      </c>
      <c r="F181" s="273">
        <f>TMT!CU$37</f>
        <v>0</v>
      </c>
      <c r="G181" s="391">
        <f>TMT!CV$37-TMT!CT$61</f>
        <v>0</v>
      </c>
      <c r="H181" s="97" t="e">
        <f t="shared" si="23"/>
        <v>#DIV/0!</v>
      </c>
      <c r="I181" s="111">
        <f t="shared" si="20"/>
        <v>0</v>
      </c>
      <c r="J181" s="103">
        <f>TMT!CT$40/100</f>
        <v>0</v>
      </c>
      <c r="K181" s="98">
        <f>IF(G181=0,0,(TMT!CT$38-TMT!CT$60-TMT!CU$60)/日報表!G181)</f>
        <v>0</v>
      </c>
      <c r="L181" s="134"/>
      <c r="M181" s="173" t="str">
        <f t="array" ref="M181">IF(ISERROR(AVERAGE(IF(A181=斷絲!$AC$4:$AM$4,斷絲!$AC$39:$AM$39))),"",AVERAGE(IF(A181=斷絲!$AC$4:$AM$4,斷絲!$AC$39:$AM$39)))</f>
        <v/>
      </c>
      <c r="N181" s="109">
        <f>IF(G181=0,0,TMT!CT$41/日報表!G181)</f>
        <v>0</v>
      </c>
      <c r="O181" s="172"/>
      <c r="P181" s="1141"/>
      <c r="Q181" s="82"/>
      <c r="R181" s="115">
        <f>TMT!CV$3</f>
        <v>0</v>
      </c>
      <c r="S181" s="244"/>
      <c r="U181" s="465" t="str">
        <f>IF(ISNA(HLOOKUP(A181,IAD!$6:$10,5,0)),"",(HLOOKUP(A181,IAD!$6:$10,5,0)))</f>
        <v/>
      </c>
    </row>
    <row r="182" spans="1:25" ht="21" customHeight="1" thickBot="1">
      <c r="A182" s="503" t="s">
        <v>131</v>
      </c>
      <c r="B182" s="149">
        <f t="array" ref="B182">IF(D182=0,"",SUM(D149:D181*R149:R181)/D182)</f>
        <v>276.13615023474171</v>
      </c>
      <c r="C182" s="275">
        <f t="array" ref="C182">SUM(E149:E181*D149:D181)/D182</f>
        <v>657.74647887323943</v>
      </c>
      <c r="D182" s="267">
        <f>SUM(D149:D181)</f>
        <v>5.3250000000000002</v>
      </c>
      <c r="E182" s="268" t="s">
        <v>128</v>
      </c>
      <c r="F182" s="269">
        <f>SUM(F149:F181)</f>
        <v>667329.40800000017</v>
      </c>
      <c r="G182" s="392">
        <f>SUM(G149:G181)</f>
        <v>592514</v>
      </c>
      <c r="H182" s="270" t="e">
        <f>SUM(H148:H180)</f>
        <v>#DIV/0!</v>
      </c>
      <c r="I182" s="68">
        <f>IF(F182=0,0,G182/F182)</f>
        <v>0.88788833954699597</v>
      </c>
      <c r="J182" s="271"/>
      <c r="K182" s="69">
        <f t="array" ref="K182">(IF(G182=0,0,SUM(G149:G181*K149:K181))/(G182+G147))</f>
        <v>0.97938726255471464</v>
      </c>
      <c r="L182" s="216">
        <f>IF(ISERROR(AVERAGE(L149:L181)),"",(AVERAGE(L149:L181)))</f>
        <v>3.6666666666666665</v>
      </c>
      <c r="M182" s="165">
        <f>斷絲!AO38</f>
        <v>4.5297619047619042</v>
      </c>
      <c r="N182" s="71">
        <f t="array" ref="N182">IF(G182=0,0,SUM(G149:G181*N149:N181)/(G182+G147))</f>
        <v>0.93080272742798276</v>
      </c>
      <c r="O182" s="686">
        <f t="array" ref="O182">IF(G182=0,"0",(SUM(G149:G181*O149:O181)/$G$182))</f>
        <v>5.4266878082205654</v>
      </c>
      <c r="P182" s="1152" t="s">
        <v>17551</v>
      </c>
      <c r="Q182" s="82"/>
      <c r="S182" s="244"/>
    </row>
    <row r="183" spans="1:25" ht="21" customHeight="1" thickTop="1" thickBot="1">
      <c r="A183" s="1550" t="s">
        <v>137</v>
      </c>
      <c r="B183" s="1551"/>
      <c r="C183" s="1551"/>
      <c r="D183" s="1551"/>
      <c r="E183" s="280">
        <f>((B68*D68+B91*D91+B110*D110+B182*D182)/D184)*0.9</f>
        <v>162.9969827586207</v>
      </c>
      <c r="F183" s="280">
        <f>((C68*D68+C91*D91+C110*D110+C182*D182)/D184)</f>
        <v>614.56896551724139</v>
      </c>
      <c r="G183" s="689"/>
      <c r="H183" s="281" t="e">
        <f>SUM(H149:H181)</f>
        <v>#DIV/0!</v>
      </c>
      <c r="I183" s="282"/>
      <c r="J183" s="283"/>
      <c r="K183" s="284"/>
      <c r="L183" s="285"/>
      <c r="M183" s="286"/>
      <c r="N183" s="284"/>
      <c r="O183" s="284"/>
      <c r="P183" s="695"/>
      <c r="Q183" s="82"/>
      <c r="S183" s="244"/>
    </row>
    <row r="184" spans="1:25" ht="34.5" customHeight="1" thickTop="1" thickBot="1">
      <c r="A184" s="294" t="s">
        <v>138</v>
      </c>
      <c r="B184" s="310">
        <f>'C、D級'!$B$35-'C、D級'!$C$35+'C、D級'!$D$35-'C、D級'!$E$35</f>
        <v>2614</v>
      </c>
      <c r="C184" s="296" t="s">
        <v>139</v>
      </c>
      <c r="D184" s="1207">
        <f>D68+D110+D91+D146+D182</f>
        <v>11.6</v>
      </c>
      <c r="E184" s="301" t="s">
        <v>140</v>
      </c>
      <c r="F184" s="443">
        <f>F110+F68+F91+F146+F182</f>
        <v>916292.90880000009</v>
      </c>
      <c r="G184" s="383">
        <f>B184+G91+G68+G110+G146+G182+'實驗紗&amp;非當月生產'!O1-P184</f>
        <v>1193694.2</v>
      </c>
      <c r="H184" s="287" t="e">
        <f>SUM(H68,H96,H110,H146)</f>
        <v>#DIV/0!</v>
      </c>
      <c r="I184" s="288">
        <f>G185/F184</f>
        <v>0.8296757430935604</v>
      </c>
      <c r="J184" s="289">
        <v>0.99880000000000002</v>
      </c>
      <c r="K184" s="290">
        <f>'(示眾台)'!AK53</f>
        <v>0.97910687678636621</v>
      </c>
      <c r="L184" s="291">
        <f>AVERAGE(L68,L91,L110,L146)</f>
        <v>4.1833333333333336</v>
      </c>
      <c r="M184" s="291">
        <f>(M68*D68+M91*D91+D110*M110+M146*D146+D182*M182)/D184</f>
        <v>3.6678535931325174</v>
      </c>
      <c r="N184" s="292">
        <f>'(示眾台)'!AK54</f>
        <v>0.95480249464226263</v>
      </c>
      <c r="O184" s="688">
        <f t="array" ref="O184">SUM(G68*O68,G91*O91,G110*O110,G146*O146,G182*O182)/SUM(G68,G91,G110,G146,G182)</f>
        <v>5.279660916622162</v>
      </c>
      <c r="P184" s="315">
        <f>'實驗紗&amp;非當月生產'!P1</f>
        <v>253000.8</v>
      </c>
      <c r="Q184" s="82"/>
      <c r="S184" s="244"/>
    </row>
    <row r="185" spans="1:25" ht="38.25" customHeight="1" thickBot="1">
      <c r="A185" s="1052" t="s">
        <v>15081</v>
      </c>
      <c r="B185" s="1064">
        <f>'(示眾台)'!S35</f>
        <v>21200</v>
      </c>
      <c r="C185" s="295">
        <f>AFK!B62+'33J'!B62+MPS!B62+'M80(20250122封存)'!B62+TMT!B62</f>
        <v>48230</v>
      </c>
      <c r="D185" s="298" t="s">
        <v>142</v>
      </c>
      <c r="E185" s="299"/>
      <c r="F185" s="300"/>
      <c r="G185" s="1548">
        <f>SUM(G68,G91,G110,G146,G182)</f>
        <v>760226</v>
      </c>
      <c r="H185" s="1549"/>
      <c r="I185" s="1546" t="s">
        <v>141</v>
      </c>
      <c r="J185" s="1547"/>
      <c r="K185" s="293">
        <f>(G68*K68+G91*K91+G110*K110+K146*G146+K182*G182)/(G68+G91+G110+G146+G182)</f>
        <v>0.9793691993078496</v>
      </c>
      <c r="L185" s="297">
        <f>(N68*G68+N91*G91+N110*G110+N146*G146+N182*G182)/(G68+G91+G110+G146+G182)</f>
        <v>0.92660321954800473</v>
      </c>
      <c r="M185" s="1543" t="s">
        <v>267</v>
      </c>
      <c r="N185" s="1544"/>
      <c r="O185" s="1545"/>
      <c r="P185" s="393">
        <f>G184</f>
        <v>1193694.2</v>
      </c>
      <c r="Q185" s="82"/>
    </row>
    <row r="186" spans="1:25" ht="22.5" customHeight="1" thickTop="1" thickBot="1">
      <c r="A186" s="104"/>
      <c r="B186" s="146"/>
      <c r="C186" s="104"/>
      <c r="D186" s="276"/>
      <c r="E186" s="277"/>
      <c r="I186" s="150"/>
      <c r="K186" s="302"/>
      <c r="L186" s="1552" t="s">
        <v>266</v>
      </c>
      <c r="M186" s="1552"/>
      <c r="N186" s="819">
        <f>(G184/30)*30</f>
        <v>1193694.2</v>
      </c>
      <c r="O186" s="819"/>
      <c r="P186" s="220" t="s">
        <v>87</v>
      </c>
      <c r="Q186" s="82"/>
    </row>
    <row r="187" spans="1:25" s="302" customFormat="1" ht="24.75" customHeight="1" thickBot="1">
      <c r="D187" s="303"/>
      <c r="F187" s="444" t="s">
        <v>144</v>
      </c>
      <c r="G187" s="445">
        <f>C185+P184+'C、D級'!C35+'C、D級'!E35</f>
        <v>301230.8</v>
      </c>
      <c r="H187" s="304"/>
      <c r="I187" s="304"/>
      <c r="J187" s="304"/>
      <c r="M187" s="305" t="s">
        <v>145</v>
      </c>
      <c r="N187" s="306"/>
      <c r="O187" s="306"/>
      <c r="P187" s="307">
        <f ca="1">DAY(TODAY())-1</f>
        <v>20</v>
      </c>
      <c r="Q187" s="303"/>
      <c r="R187" s="308"/>
      <c r="S187" s="309"/>
      <c r="T187" s="309"/>
      <c r="U187" s="466"/>
      <c r="V187" s="683"/>
      <c r="W187" s="683"/>
      <c r="X187" s="683"/>
      <c r="Y187" s="683"/>
    </row>
    <row r="188" spans="1:25" ht="15.75" customHeight="1">
      <c r="A188" s="265"/>
      <c r="F188" s="76"/>
      <c r="G188" s="79"/>
      <c r="H188" s="79"/>
      <c r="I188" s="79"/>
      <c r="J188" s="79"/>
      <c r="K188" s="76"/>
    </row>
    <row r="189" spans="1:25">
      <c r="A189" s="131"/>
      <c r="D189" s="1213" t="s">
        <v>30</v>
      </c>
      <c r="E189" s="1317">
        <v>18</v>
      </c>
      <c r="F189" s="584" t="s">
        <v>16108</v>
      </c>
      <c r="G189" s="585"/>
      <c r="H189" s="115"/>
      <c r="I189" s="116"/>
      <c r="J189" s="92"/>
      <c r="K189" s="92"/>
      <c r="P189" s="221"/>
    </row>
    <row r="190" spans="1:25">
      <c r="D190" s="1213" t="s">
        <v>31</v>
      </c>
      <c r="E190" s="1317">
        <v>3</v>
      </c>
      <c r="F190" s="586">
        <f>D184/28</f>
        <v>0.41428571428571426</v>
      </c>
      <c r="G190" s="585"/>
      <c r="H190" s="118"/>
      <c r="I190" s="119"/>
      <c r="J190" s="119"/>
      <c r="K190" s="92"/>
      <c r="P190" s="222"/>
      <c r="Q190" s="120"/>
    </row>
    <row r="191" spans="1:25">
      <c r="B191" s="117"/>
      <c r="C191" s="117"/>
      <c r="D191" s="1316" t="s">
        <v>32</v>
      </c>
      <c r="E191" s="1317">
        <v>1</v>
      </c>
      <c r="G191" s="122"/>
      <c r="H191" s="122"/>
      <c r="I191" s="123"/>
      <c r="J191" s="123"/>
      <c r="K191" s="124"/>
      <c r="Q191" s="125"/>
    </row>
    <row r="192" spans="1:25">
      <c r="B192" s="82"/>
      <c r="C192" s="121"/>
      <c r="D192" s="1213" t="s">
        <v>143</v>
      </c>
      <c r="E192" s="1317">
        <v>6</v>
      </c>
      <c r="G192" s="122"/>
      <c r="H192" s="122"/>
      <c r="I192" s="127"/>
      <c r="J192" s="127"/>
      <c r="L192" s="74"/>
      <c r="M192" s="74"/>
      <c r="N192" s="74"/>
      <c r="O192" s="74"/>
      <c r="P192" s="223"/>
    </row>
    <row r="193" spans="1:16">
      <c r="B193" s="82"/>
      <c r="C193" s="126"/>
      <c r="D193" s="1213" t="s">
        <v>33</v>
      </c>
      <c r="E193" s="1317">
        <v>8</v>
      </c>
      <c r="G193" s="122"/>
      <c r="H193" s="122"/>
      <c r="I193" s="129"/>
      <c r="J193" s="129"/>
      <c r="P193" s="224"/>
    </row>
    <row r="194" spans="1:16">
      <c r="A194" s="147"/>
      <c r="B194" s="82"/>
      <c r="C194" s="128"/>
      <c r="E194" s="118"/>
      <c r="G194" s="105"/>
      <c r="H194" s="105"/>
      <c r="I194" s="131"/>
      <c r="J194" s="126"/>
      <c r="P194" s="224"/>
    </row>
    <row r="195" spans="1:16">
      <c r="B195" s="82"/>
      <c r="C195" s="130"/>
      <c r="G195" s="122"/>
      <c r="H195" s="122"/>
      <c r="I195" s="118"/>
      <c r="J195" s="118"/>
      <c r="K195" s="124"/>
    </row>
    <row r="196" spans="1:16">
      <c r="B196" s="82"/>
      <c r="C196" s="126"/>
      <c r="G196" s="122"/>
      <c r="H196" s="122"/>
      <c r="I196" s="118"/>
      <c r="J196" s="118"/>
    </row>
    <row r="197" spans="1:16">
      <c r="G197" s="122"/>
      <c r="H197" s="122"/>
      <c r="I197" s="118"/>
      <c r="J197" s="118"/>
    </row>
    <row r="198" spans="1:16">
      <c r="G198" s="122"/>
      <c r="H198" s="122"/>
      <c r="I198" s="132"/>
      <c r="J198" s="132"/>
    </row>
    <row r="199" spans="1:16">
      <c r="G199" s="105"/>
      <c r="H199" s="105"/>
      <c r="I199" s="105"/>
      <c r="J199" s="105"/>
    </row>
    <row r="200" spans="1:16">
      <c r="G200" s="105"/>
      <c r="H200" s="105"/>
      <c r="I200" s="105"/>
      <c r="J200" s="105"/>
    </row>
    <row r="202" spans="1:16">
      <c r="G202" s="133"/>
      <c r="H202" s="133"/>
    </row>
    <row r="203" spans="1:16">
      <c r="C203" s="133"/>
    </row>
  </sheetData>
  <dataConsolidate/>
  <customSheetViews>
    <customSheetView guid="{40FADD7F-233D-11D9-A2E0-00055D0D7FDA}" showPageBreaks="1" showGridLines="0" fitToPage="1" printArea="1" hiddenRows="1" showRuler="0">
      <pane xSplit="2" ySplit="3" topLeftCell="C4" activePane="bottomRight" state="frozen"/>
      <selection pane="bottomRight" activeCell="A80" sqref="A80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1"/>
      <headerFooter alignWithMargins="0">
        <oddHeader>&amp;C&amp;"標楷體,標準"&amp;16撚生產二科&amp;"Times New Roman,標準"93&amp;"標楷體,標準"年十月份生產日報表</oddHeader>
        <oddFooter>&amp;L&amp;"Times New Roman,標準"
&amp;F&amp;R&amp;"Times New Roman,標準"5KFT5QR009-02</oddFooter>
      </headerFooter>
    </customSheetView>
    <customSheetView guid="{40FADD80-233D-11D9-A2E0-00055D0D7FDA}" showPageBreaks="1" showGridLines="0" showRuler="0">
      <pane xSplit="2" ySplit="3" topLeftCell="C4" activePane="bottomRight" state="frozen"/>
      <selection pane="bottomRight" activeCell="A80" sqref="A80"/>
    </customSheetView>
    <customSheetView guid="{B499F86B-5A3B-11D9-A2E0-00055D0D7FDA}" showPageBreaks="1" showGridLines="0" fitToPage="1" printArea="1" hiddenRows="1" showRuler="0">
      <pane xSplit="2" ySplit="3" topLeftCell="E10" activePane="bottomRight" state="frozen"/>
      <selection pane="bottomRight" activeCell="J64" sqref="J64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2"/>
      <headerFooter alignWithMargins="0">
        <oddHeader>&amp;C&amp;"標楷體,標準"&amp;16撚生產二科&amp;"Times New Roman,標準"94&amp;"標楷體,標準"年元月份生產日報表</oddHeader>
        <oddFooter>&amp;L&amp;"Times New Roman,標準"
&amp;F&amp;R&amp;"Times New Roman,標準"5KFT5QR009-02</oddFooter>
      </headerFooter>
    </customSheetView>
  </customSheetViews>
  <mergeCells count="5">
    <mergeCell ref="M185:O185"/>
    <mergeCell ref="I185:J185"/>
    <mergeCell ref="G185:H185"/>
    <mergeCell ref="A183:D183"/>
    <mergeCell ref="L186:M186"/>
  </mergeCells>
  <phoneticPr fontId="12" type="noConversion"/>
  <conditionalFormatting sqref="C60">
    <cfRule type="duplicateValues" dxfId="583" priority="13"/>
    <cfRule type="duplicateValues" dxfId="582" priority="14"/>
  </conditionalFormatting>
  <conditionalFormatting sqref="C66">
    <cfRule type="duplicateValues" dxfId="581" priority="118"/>
  </conditionalFormatting>
  <conditionalFormatting sqref="C67">
    <cfRule type="duplicateValues" dxfId="580" priority="124"/>
    <cfRule type="duplicateValues" dxfId="579" priority="140"/>
  </conditionalFormatting>
  <conditionalFormatting sqref="M184">
    <cfRule type="cellIs" dxfId="578" priority="172" stopIfTrue="1" operator="greaterThan">
      <formula>2.6</formula>
    </cfRule>
  </conditionalFormatting>
  <conditionalFormatting sqref="S78">
    <cfRule type="duplicateValues" dxfId="577" priority="84"/>
  </conditionalFormatting>
  <conditionalFormatting sqref="S79:T79">
    <cfRule type="duplicateValues" dxfId="576" priority="85"/>
  </conditionalFormatting>
  <conditionalFormatting sqref="T78">
    <cfRule type="duplicateValues" dxfId="575" priority="86"/>
  </conditionalFormatting>
  <dataValidations count="1">
    <dataValidation type="list" allowBlank="1" showInputMessage="1" showErrorMessage="1" sqref="A1" xr:uid="{00000000-0002-0000-0500-000000000000}">
      <formula1>#N/A</formula1>
    </dataValidation>
  </dataValidations>
  <printOptions horizontalCentered="1"/>
  <pageMargins left="0.35433070866141736" right="0.15748031496062992" top="0.78740157480314965" bottom="0.35433070866141736" header="0.39370078740157483" footer="0.15748031496062992"/>
  <pageSetup paperSize="9" scale="58" fitToWidth="2" fitToHeight="2" orientation="landscape" horizontalDpi="4294967293" r:id="rId3"/>
  <headerFooter alignWithMargins="0">
    <oddHeader>&amp;C&amp;"標楷體,標準"&amp;18遠東新世紀股份有限公司　化纖總廠
撚二科生產日報表</oddHeader>
    <oddFooter>&amp;L&amp;"微軟正黑體,標準"&amp;16
&amp;F&amp;C&amp;"微軟正黑體,標準"&amp;18
&amp;16共&amp;N頁，第&amp;P頁&amp;R&amp;"Times New Roman,標準"&amp;18 
&amp;16 5KFT5QR009-03</oddFooter>
  </headerFooter>
  <rowBreaks count="1" manualBreakCount="1">
    <brk id="68" max="16383" man="1"/>
  </rowBreaks>
  <ignoredErrors>
    <ignoredError sqref="M113 B68 E184 J110 E110 M115:M116 M4:M26 M71:M90 M125:M133 N185:O185 J185 H184 H68:J68 A86:A90 E146 M67:M68 M136:M143 E68:F68 H111:I111 H110 M28:M61 M62:M66" unlockedFormula="1"/>
    <ignoredError sqref="B62 N62 D62:K62" formula="1"/>
  </ignoredErrors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CT108"/>
  <sheetViews>
    <sheetView showGridLines="0" zoomScale="90" zoomScaleNormal="90" workbookViewId="0">
      <pane xSplit="1" ySplit="7" topLeftCell="B23" activePane="bottomRight" state="frozen"/>
      <selection activeCell="G1" sqref="G1"/>
      <selection pane="topRight" activeCell="G1" sqref="G1"/>
      <selection pane="bottomLeft" activeCell="G1" sqref="G1"/>
      <selection pane="bottomRight" activeCell="S28" sqref="S28"/>
    </sheetView>
  </sheetViews>
  <sheetFormatPr defaultColWidth="7.875" defaultRowHeight="14.25" customHeight="1"/>
  <cols>
    <col min="1" max="1" width="8.75" style="328" customWidth="1"/>
    <col min="2" max="21" width="10.25" style="328" customWidth="1"/>
    <col min="22" max="23" width="8.5" style="328" customWidth="1"/>
    <col min="24" max="26" width="12.875" style="328" customWidth="1"/>
    <col min="27" max="28" width="8.375" style="328" customWidth="1"/>
    <col min="29" max="39" width="12.625" style="328" customWidth="1"/>
    <col min="40" max="41" width="7.75" style="328" customWidth="1"/>
    <col min="42" max="43" width="12.625" style="328" customWidth="1"/>
    <col min="44" max="45" width="8.625" style="328" customWidth="1"/>
    <col min="46" max="55" width="7.625" style="328" customWidth="1"/>
    <col min="56" max="56" width="6.5" style="328" customWidth="1"/>
    <col min="57" max="91" width="7.75" style="328" customWidth="1"/>
    <col min="92" max="16384" width="7.875" style="328"/>
  </cols>
  <sheetData>
    <row r="1" spans="1:98" s="326" customFormat="1" ht="23.25" customHeight="1">
      <c r="B1" s="523" t="s">
        <v>17312</v>
      </c>
      <c r="G1" s="1337"/>
      <c r="X1" s="523" t="s">
        <v>17311</v>
      </c>
      <c r="AT1" s="327"/>
    </row>
    <row r="2" spans="1:98" ht="20.25" customHeight="1" thickBot="1">
      <c r="B2" s="522" t="s">
        <v>382</v>
      </c>
      <c r="I2" s="1337"/>
      <c r="AL2" s="328" t="s">
        <v>469</v>
      </c>
      <c r="AQ2" s="587" t="s">
        <v>16050</v>
      </c>
      <c r="AT2" s="827" t="s">
        <v>685</v>
      </c>
    </row>
    <row r="3" spans="1:98" s="336" customFormat="1" ht="21" customHeight="1" thickBot="1">
      <c r="A3" s="329" t="s">
        <v>268</v>
      </c>
      <c r="B3" s="330" t="s">
        <v>16057</v>
      </c>
      <c r="C3" s="330" t="s">
        <v>16710</v>
      </c>
      <c r="D3" s="330" t="s">
        <v>17223</v>
      </c>
      <c r="E3" s="330" t="s">
        <v>17587</v>
      </c>
      <c r="F3" s="330" t="s">
        <v>17588</v>
      </c>
      <c r="G3" s="330" t="s">
        <v>16135</v>
      </c>
      <c r="H3" s="330" t="s">
        <v>17224</v>
      </c>
      <c r="I3" s="330" t="s">
        <v>16754</v>
      </c>
      <c r="J3" s="330" t="s">
        <v>766</v>
      </c>
      <c r="K3" s="330" t="s">
        <v>708</v>
      </c>
      <c r="L3" s="330" t="s">
        <v>17441</v>
      </c>
      <c r="M3" s="330" t="s">
        <v>17436</v>
      </c>
      <c r="N3" s="330" t="s">
        <v>17437</v>
      </c>
      <c r="O3" s="330" t="s">
        <v>15373</v>
      </c>
      <c r="P3" s="330" t="s">
        <v>16758</v>
      </c>
      <c r="Q3" s="330" t="s">
        <v>16124</v>
      </c>
      <c r="R3" s="330" t="s">
        <v>16713</v>
      </c>
      <c r="S3" s="330" t="s">
        <v>16741</v>
      </c>
      <c r="T3" s="330" t="s">
        <v>15500</v>
      </c>
      <c r="U3" s="330" t="s">
        <v>230</v>
      </c>
      <c r="V3" s="331"/>
      <c r="W3" s="332"/>
      <c r="X3" s="333" t="s">
        <v>231</v>
      </c>
      <c r="Y3" s="333" t="s">
        <v>16737</v>
      </c>
      <c r="Z3" s="333" t="s">
        <v>265</v>
      </c>
      <c r="AA3" s="331"/>
      <c r="AB3" s="331"/>
      <c r="AC3" s="335" t="s">
        <v>235</v>
      </c>
      <c r="AD3" s="335" t="s">
        <v>235</v>
      </c>
      <c r="AE3" s="335" t="s">
        <v>15458</v>
      </c>
      <c r="AF3" s="335" t="s">
        <v>15458</v>
      </c>
      <c r="AG3" s="335" t="s">
        <v>17250</v>
      </c>
      <c r="AH3" s="335" t="s">
        <v>16184</v>
      </c>
      <c r="AI3" s="335" t="s">
        <v>16183</v>
      </c>
      <c r="AJ3" s="335" t="s">
        <v>16183</v>
      </c>
      <c r="AK3" s="335" t="s">
        <v>16781</v>
      </c>
      <c r="AL3" s="335" t="s">
        <v>16781</v>
      </c>
      <c r="AM3" s="335" t="s">
        <v>417</v>
      </c>
      <c r="AN3" s="331"/>
      <c r="AO3" s="332"/>
      <c r="AP3" s="524" t="s">
        <v>17443</v>
      </c>
      <c r="AQ3" s="1336" t="s">
        <v>16045</v>
      </c>
      <c r="AR3" s="331"/>
      <c r="AS3" s="332"/>
      <c r="AT3" s="334" t="s">
        <v>384</v>
      </c>
      <c r="AU3" s="334" t="s">
        <v>705</v>
      </c>
      <c r="AV3" s="334" t="s">
        <v>706</v>
      </c>
      <c r="AW3" s="334" t="s">
        <v>15495</v>
      </c>
      <c r="AX3" s="334" t="s">
        <v>707</v>
      </c>
      <c r="AY3" s="334" t="s">
        <v>383</v>
      </c>
      <c r="AZ3" s="334" t="s">
        <v>248</v>
      </c>
      <c r="BA3" s="589" t="s">
        <v>249</v>
      </c>
      <c r="BB3" s="331"/>
      <c r="BC3" s="332"/>
    </row>
    <row r="4" spans="1:98" s="341" customFormat="1" ht="34.5" customHeight="1">
      <c r="A4" s="337" t="s">
        <v>269</v>
      </c>
      <c r="B4" s="338" t="s">
        <v>377</v>
      </c>
      <c r="C4" s="338" t="s">
        <v>377</v>
      </c>
      <c r="D4" s="338" t="s">
        <v>17316</v>
      </c>
      <c r="E4" s="338" t="s">
        <v>17553</v>
      </c>
      <c r="F4" s="338" t="s">
        <v>17571</v>
      </c>
      <c r="G4" s="338" t="s">
        <v>17380</v>
      </c>
      <c r="H4" s="338" t="s">
        <v>17227</v>
      </c>
      <c r="I4" s="338" t="s">
        <v>377</v>
      </c>
      <c r="J4" s="338" t="s">
        <v>17430</v>
      </c>
      <c r="K4" s="338" t="s">
        <v>377</v>
      </c>
      <c r="L4" s="338" t="s">
        <v>17261</v>
      </c>
      <c r="M4" s="338" t="s">
        <v>17263</v>
      </c>
      <c r="N4" s="338" t="s">
        <v>17431</v>
      </c>
      <c r="O4" s="338" t="s">
        <v>17258</v>
      </c>
      <c r="P4" s="338" t="s">
        <v>17577</v>
      </c>
      <c r="Q4" s="338" t="s">
        <v>377</v>
      </c>
      <c r="R4" s="338" t="s">
        <v>17575</v>
      </c>
      <c r="S4" s="338" t="s">
        <v>17293</v>
      </c>
      <c r="T4" s="338" t="s">
        <v>17503</v>
      </c>
      <c r="U4" s="1291" t="s">
        <v>377</v>
      </c>
      <c r="V4" s="339" t="s">
        <v>146</v>
      </c>
      <c r="W4" s="340" t="s">
        <v>147</v>
      </c>
      <c r="X4" s="338" t="s">
        <v>377</v>
      </c>
      <c r="Y4" s="338" t="s">
        <v>17268</v>
      </c>
      <c r="Z4" s="338" t="s">
        <v>377</v>
      </c>
      <c r="AA4" s="339" t="s">
        <v>146</v>
      </c>
      <c r="AB4" s="339" t="s">
        <v>147</v>
      </c>
      <c r="AC4" s="338" t="s">
        <v>17289</v>
      </c>
      <c r="AD4" s="338" t="s">
        <v>17550</v>
      </c>
      <c r="AE4" s="338" t="s">
        <v>17256</v>
      </c>
      <c r="AF4" s="338" t="s">
        <v>17547</v>
      </c>
      <c r="AG4" s="338" t="s">
        <v>17248</v>
      </c>
      <c r="AH4" s="338" t="s">
        <v>17266</v>
      </c>
      <c r="AI4" s="338" t="s">
        <v>17242</v>
      </c>
      <c r="AJ4" s="338" t="s">
        <v>17557</v>
      </c>
      <c r="AK4" s="338" t="s">
        <v>17313</v>
      </c>
      <c r="AL4" s="338" t="s">
        <v>17296</v>
      </c>
      <c r="AM4" s="338" t="s">
        <v>17291</v>
      </c>
      <c r="AN4" s="339" t="s">
        <v>146</v>
      </c>
      <c r="AO4" s="340" t="s">
        <v>147</v>
      </c>
      <c r="AP4" s="590" t="s">
        <v>17429</v>
      </c>
      <c r="AQ4" s="1280" t="s">
        <v>385</v>
      </c>
      <c r="AR4" s="339" t="s">
        <v>146</v>
      </c>
      <c r="AS4" s="340" t="s">
        <v>147</v>
      </c>
      <c r="AT4" s="338" t="s">
        <v>16185</v>
      </c>
      <c r="AU4" s="338" t="s">
        <v>16185</v>
      </c>
      <c r="AV4" s="338" t="s">
        <v>16185</v>
      </c>
      <c r="AW4" s="338" t="s">
        <v>16185</v>
      </c>
      <c r="AX4" s="338" t="s">
        <v>16185</v>
      </c>
      <c r="AY4" s="338" t="s">
        <v>16185</v>
      </c>
      <c r="AZ4" s="338" t="s">
        <v>16185</v>
      </c>
      <c r="BA4" s="590" t="s">
        <v>16185</v>
      </c>
      <c r="BB4" s="339" t="s">
        <v>146</v>
      </c>
      <c r="BC4" s="340" t="s">
        <v>147</v>
      </c>
    </row>
    <row r="5" spans="1:98" ht="24.75" customHeight="1">
      <c r="A5" s="342" t="s">
        <v>270</v>
      </c>
      <c r="B5" s="343"/>
      <c r="C5" s="343"/>
      <c r="D5" s="343" t="s">
        <v>5005</v>
      </c>
      <c r="E5" s="343" t="s">
        <v>4950</v>
      </c>
      <c r="F5" s="343" t="s">
        <v>7068</v>
      </c>
      <c r="G5" s="343" t="s">
        <v>17381</v>
      </c>
      <c r="H5" s="343" t="s">
        <v>17228</v>
      </c>
      <c r="I5" s="343"/>
      <c r="J5" s="343" t="s">
        <v>1891</v>
      </c>
      <c r="K5" s="343"/>
      <c r="L5" s="498" t="s">
        <v>17177</v>
      </c>
      <c r="M5" s="343" t="s">
        <v>17156</v>
      </c>
      <c r="N5" s="343" t="s">
        <v>15035</v>
      </c>
      <c r="O5" s="343" t="s">
        <v>8513</v>
      </c>
      <c r="P5" s="343" t="s">
        <v>17578</v>
      </c>
      <c r="Q5" s="343"/>
      <c r="R5" s="343" t="s">
        <v>17576</v>
      </c>
      <c r="S5" s="498" t="s">
        <v>7055</v>
      </c>
      <c r="T5" s="343" t="s">
        <v>467</v>
      </c>
      <c r="U5" s="498"/>
      <c r="V5" s="344"/>
      <c r="W5" s="345"/>
      <c r="X5" s="346"/>
      <c r="Y5" s="346" t="s">
        <v>16719</v>
      </c>
      <c r="Z5" s="346"/>
      <c r="AA5" s="344"/>
      <c r="AB5" s="344"/>
      <c r="AC5" s="343" t="s">
        <v>16719</v>
      </c>
      <c r="AD5" s="343" t="s">
        <v>16719</v>
      </c>
      <c r="AE5" s="343" t="s">
        <v>16719</v>
      </c>
      <c r="AF5" s="343" t="s">
        <v>17548</v>
      </c>
      <c r="AG5" s="343" t="s">
        <v>16719</v>
      </c>
      <c r="AH5" s="343" t="s">
        <v>754</v>
      </c>
      <c r="AI5" s="343" t="s">
        <v>16723</v>
      </c>
      <c r="AJ5" s="343" t="s">
        <v>8958</v>
      </c>
      <c r="AK5" s="343"/>
      <c r="AL5" s="343" t="s">
        <v>16719</v>
      </c>
      <c r="AM5" s="343" t="s">
        <v>17292</v>
      </c>
      <c r="AN5" s="344"/>
      <c r="AO5" s="345"/>
      <c r="AP5" s="1281" t="s">
        <v>17434</v>
      </c>
      <c r="AQ5" s="1272"/>
      <c r="AR5" s="344"/>
      <c r="AS5" s="345"/>
      <c r="AT5" s="346"/>
      <c r="AU5" s="346"/>
      <c r="AV5" s="346"/>
      <c r="AW5" s="346"/>
      <c r="AX5" s="346"/>
      <c r="AY5" s="346"/>
      <c r="AZ5" s="346"/>
      <c r="BA5" s="591"/>
      <c r="BB5" s="344"/>
      <c r="BC5" s="345"/>
    </row>
    <row r="6" spans="1:98" s="341" customFormat="1" ht="48" customHeight="1">
      <c r="A6" s="342" t="s">
        <v>271</v>
      </c>
      <c r="B6" s="347"/>
      <c r="C6" s="347"/>
      <c r="D6" s="347" t="s">
        <v>17317</v>
      </c>
      <c r="E6" s="347" t="s">
        <v>17573</v>
      </c>
      <c r="F6" s="347" t="s">
        <v>17574</v>
      </c>
      <c r="G6" s="347" t="s">
        <v>17382</v>
      </c>
      <c r="H6" s="347" t="s">
        <v>17230</v>
      </c>
      <c r="I6" s="347"/>
      <c r="J6" s="347" t="s">
        <v>17433</v>
      </c>
      <c r="K6" s="347"/>
      <c r="L6" s="347" t="s">
        <v>17262</v>
      </c>
      <c r="M6" s="347" t="s">
        <v>17264</v>
      </c>
      <c r="N6" s="347" t="s">
        <v>16860</v>
      </c>
      <c r="O6" s="347" t="s">
        <v>17260</v>
      </c>
      <c r="P6" s="347" t="s">
        <v>17579</v>
      </c>
      <c r="Q6" s="347"/>
      <c r="R6" s="347" t="s">
        <v>16707</v>
      </c>
      <c r="S6" s="347" t="s">
        <v>17294</v>
      </c>
      <c r="T6" s="347" t="s">
        <v>17552</v>
      </c>
      <c r="U6" s="347"/>
      <c r="V6" s="339" t="s">
        <v>148</v>
      </c>
      <c r="W6" s="340" t="s">
        <v>148</v>
      </c>
      <c r="X6" s="347"/>
      <c r="Y6" s="347" t="s">
        <v>17253</v>
      </c>
      <c r="Z6" s="347"/>
      <c r="AA6" s="339" t="s">
        <v>148</v>
      </c>
      <c r="AB6" s="339" t="s">
        <v>148</v>
      </c>
      <c r="AC6" s="347" t="s">
        <v>17290</v>
      </c>
      <c r="AD6" s="347" t="s">
        <v>17249</v>
      </c>
      <c r="AE6" s="347" t="s">
        <v>17257</v>
      </c>
      <c r="AF6" s="347" t="s">
        <v>17549</v>
      </c>
      <c r="AG6" s="347" t="s">
        <v>17249</v>
      </c>
      <c r="AH6" s="347" t="s">
        <v>17271</v>
      </c>
      <c r="AI6" s="347" t="s">
        <v>17244</v>
      </c>
      <c r="AJ6" s="347" t="s">
        <v>17558</v>
      </c>
      <c r="AK6" s="347"/>
      <c r="AL6" s="347" t="s">
        <v>17290</v>
      </c>
      <c r="AM6" s="347" t="s">
        <v>17290</v>
      </c>
      <c r="AN6" s="339" t="s">
        <v>148</v>
      </c>
      <c r="AO6" s="340" t="s">
        <v>148</v>
      </c>
      <c r="AP6" s="1275" t="s">
        <v>17435</v>
      </c>
      <c r="AQ6" s="1273"/>
      <c r="AR6" s="339" t="s">
        <v>148</v>
      </c>
      <c r="AS6" s="340" t="s">
        <v>148</v>
      </c>
      <c r="AT6" s="346"/>
      <c r="AU6" s="346"/>
      <c r="AV6" s="346"/>
      <c r="AW6" s="346"/>
      <c r="AX6" s="346"/>
      <c r="AY6" s="346"/>
      <c r="AZ6" s="346"/>
      <c r="BA6" s="591"/>
      <c r="BB6" s="339" t="s">
        <v>148</v>
      </c>
      <c r="BC6" s="340" t="s">
        <v>148</v>
      </c>
      <c r="BE6" s="341" t="s">
        <v>17310</v>
      </c>
      <c r="BF6" s="341" t="s">
        <v>17309</v>
      </c>
      <c r="BG6" s="341" t="s">
        <v>16768</v>
      </c>
      <c r="BH6" s="341" t="s">
        <v>16769</v>
      </c>
      <c r="BI6" s="341" t="s">
        <v>16770</v>
      </c>
      <c r="BJ6" s="341" t="s">
        <v>16177</v>
      </c>
      <c r="BK6" s="341" t="s">
        <v>16176</v>
      </c>
      <c r="BL6" s="341" t="s">
        <v>16074</v>
      </c>
      <c r="BM6" s="341" t="s">
        <v>16075</v>
      </c>
      <c r="BN6" s="341" t="s">
        <v>16036</v>
      </c>
      <c r="BO6" s="341" t="s">
        <v>16035</v>
      </c>
      <c r="BP6" s="341" t="s">
        <v>15836</v>
      </c>
      <c r="BQ6" s="341" t="s">
        <v>15497</v>
      </c>
      <c r="BR6" s="341" t="s">
        <v>15499</v>
      </c>
      <c r="BS6" s="341" t="s">
        <v>15498</v>
      </c>
      <c r="BT6" s="341" t="s">
        <v>15022</v>
      </c>
      <c r="BU6" s="341" t="s">
        <v>704</v>
      </c>
      <c r="BV6" s="341" t="s">
        <v>703</v>
      </c>
      <c r="BW6" s="341" t="s">
        <v>658</v>
      </c>
      <c r="BX6" s="341" t="s">
        <v>616</v>
      </c>
      <c r="BY6" s="341" t="s">
        <v>615</v>
      </c>
      <c r="BZ6" s="341" t="s">
        <v>478</v>
      </c>
      <c r="CA6" s="341" t="s">
        <v>476</v>
      </c>
      <c r="CB6" s="341" t="s">
        <v>475</v>
      </c>
      <c r="CC6" s="341" t="s">
        <v>470</v>
      </c>
      <c r="CD6" s="341" t="s">
        <v>463</v>
      </c>
      <c r="CE6" s="341" t="s">
        <v>459</v>
      </c>
      <c r="CF6" s="341" t="s">
        <v>455</v>
      </c>
      <c r="CG6" s="341" t="s">
        <v>452</v>
      </c>
      <c r="CH6" s="341" t="s">
        <v>451</v>
      </c>
      <c r="CI6" s="341" t="s">
        <v>422</v>
      </c>
      <c r="CJ6" s="341" t="s">
        <v>421</v>
      </c>
      <c r="CK6" s="341" t="s">
        <v>420</v>
      </c>
      <c r="CL6" s="341" t="s">
        <v>418</v>
      </c>
      <c r="CM6" s="341" t="s">
        <v>415</v>
      </c>
      <c r="CN6" s="341" t="s">
        <v>389</v>
      </c>
      <c r="CO6" s="341" t="s">
        <v>390</v>
      </c>
      <c r="CP6" s="341" t="s">
        <v>391</v>
      </c>
      <c r="CQ6" s="341" t="s">
        <v>392</v>
      </c>
      <c r="CR6" s="341" t="s">
        <v>406</v>
      </c>
      <c r="CS6" s="341" t="s">
        <v>405</v>
      </c>
      <c r="CT6" s="341" t="s">
        <v>404</v>
      </c>
    </row>
    <row r="7" spans="1:98" s="352" customFormat="1" ht="24.75" customHeight="1" thickBot="1">
      <c r="A7" s="348" t="s">
        <v>272</v>
      </c>
      <c r="B7" s="349"/>
      <c r="C7" s="349"/>
      <c r="D7" s="349">
        <v>500</v>
      </c>
      <c r="E7" s="349"/>
      <c r="F7" s="349">
        <v>500</v>
      </c>
      <c r="G7" s="349">
        <v>680</v>
      </c>
      <c r="H7" s="349">
        <v>600</v>
      </c>
      <c r="I7" s="349"/>
      <c r="J7" s="349">
        <v>600</v>
      </c>
      <c r="K7" s="349"/>
      <c r="L7" s="349">
        <v>550</v>
      </c>
      <c r="M7" s="349">
        <v>600</v>
      </c>
      <c r="N7" s="349">
        <v>550</v>
      </c>
      <c r="O7" s="349">
        <v>550</v>
      </c>
      <c r="P7" s="349">
        <v>670</v>
      </c>
      <c r="Q7" s="349"/>
      <c r="R7" s="349">
        <v>700</v>
      </c>
      <c r="S7" s="349">
        <v>550</v>
      </c>
      <c r="T7" s="349">
        <v>650</v>
      </c>
      <c r="U7" s="349"/>
      <c r="V7" s="350"/>
      <c r="W7" s="351"/>
      <c r="X7" s="349"/>
      <c r="Y7" s="349">
        <v>600</v>
      </c>
      <c r="Z7" s="349"/>
      <c r="AA7" s="350"/>
      <c r="AB7" s="350"/>
      <c r="AC7" s="349">
        <v>700</v>
      </c>
      <c r="AD7" s="349">
        <v>600</v>
      </c>
      <c r="AE7" s="349">
        <v>700</v>
      </c>
      <c r="AF7" s="349">
        <v>700</v>
      </c>
      <c r="AG7" s="349">
        <v>600</v>
      </c>
      <c r="AH7" s="349">
        <v>600</v>
      </c>
      <c r="AI7" s="349">
        <v>550</v>
      </c>
      <c r="AJ7" s="349">
        <v>550</v>
      </c>
      <c r="AK7" s="349"/>
      <c r="AL7" s="349">
        <v>700</v>
      </c>
      <c r="AM7" s="349">
        <v>700</v>
      </c>
      <c r="AN7" s="350"/>
      <c r="AO7" s="351"/>
      <c r="AP7" s="592">
        <v>550</v>
      </c>
      <c r="AQ7" s="1274"/>
      <c r="AR7" s="350"/>
      <c r="AS7" s="351"/>
      <c r="AT7" s="349"/>
      <c r="AU7" s="349"/>
      <c r="AV7" s="349"/>
      <c r="AW7" s="349"/>
      <c r="AX7" s="349"/>
      <c r="AY7" s="349"/>
      <c r="AZ7" s="349"/>
      <c r="BA7" s="592"/>
      <c r="BB7" s="350"/>
      <c r="BC7" s="351"/>
      <c r="BE7" s="352" t="s">
        <v>461</v>
      </c>
      <c r="BF7" s="352" t="s">
        <v>387</v>
      </c>
      <c r="BG7" s="352" t="s">
        <v>387</v>
      </c>
      <c r="BH7" s="352" t="s">
        <v>387</v>
      </c>
      <c r="BI7" s="352" t="s">
        <v>387</v>
      </c>
      <c r="BJ7" s="352" t="s">
        <v>387</v>
      </c>
      <c r="BK7" s="352" t="s">
        <v>387</v>
      </c>
      <c r="BL7" s="352" t="s">
        <v>387</v>
      </c>
      <c r="BM7" s="352" t="s">
        <v>387</v>
      </c>
      <c r="BN7" s="352" t="s">
        <v>387</v>
      </c>
      <c r="BO7" s="352" t="s">
        <v>387</v>
      </c>
      <c r="BP7" s="352" t="s">
        <v>387</v>
      </c>
      <c r="BQ7" s="352" t="s">
        <v>387</v>
      </c>
      <c r="BR7" s="352" t="s">
        <v>387</v>
      </c>
      <c r="BS7" s="352" t="s">
        <v>387</v>
      </c>
      <c r="BT7" s="352" t="s">
        <v>387</v>
      </c>
      <c r="BU7" s="352" t="s">
        <v>461</v>
      </c>
      <c r="BV7" s="352" t="s">
        <v>387</v>
      </c>
      <c r="BW7" s="352" t="s">
        <v>387</v>
      </c>
      <c r="BX7" s="352" t="s">
        <v>461</v>
      </c>
      <c r="BY7" s="352" t="s">
        <v>387</v>
      </c>
      <c r="BZ7" s="352" t="s">
        <v>387</v>
      </c>
      <c r="CA7" s="352" t="s">
        <v>387</v>
      </c>
      <c r="CB7" s="352" t="s">
        <v>387</v>
      </c>
      <c r="CC7" s="352" t="s">
        <v>387</v>
      </c>
      <c r="CD7" s="352" t="s">
        <v>387</v>
      </c>
      <c r="CE7" s="352" t="s">
        <v>462</v>
      </c>
      <c r="CF7" s="352" t="s">
        <v>462</v>
      </c>
      <c r="CG7" s="352" t="s">
        <v>462</v>
      </c>
      <c r="CH7" s="352" t="s">
        <v>462</v>
      </c>
      <c r="CI7" s="352" t="s">
        <v>461</v>
      </c>
      <c r="CJ7" s="352" t="s">
        <v>462</v>
      </c>
      <c r="CK7" s="352" t="s">
        <v>462</v>
      </c>
      <c r="CL7" s="352" t="s">
        <v>462</v>
      </c>
      <c r="CM7" s="352" t="s">
        <v>462</v>
      </c>
      <c r="CN7" s="352" t="s">
        <v>387</v>
      </c>
      <c r="CO7" s="352" t="s">
        <v>387</v>
      </c>
      <c r="CP7" s="352" t="s">
        <v>387</v>
      </c>
      <c r="CQ7" s="352" t="s">
        <v>387</v>
      </c>
      <c r="CR7" s="352" t="s">
        <v>387</v>
      </c>
      <c r="CS7" s="352" t="s">
        <v>387</v>
      </c>
      <c r="CT7" s="352" t="s">
        <v>387</v>
      </c>
    </row>
    <row r="8" spans="1:98" s="323" customFormat="1" ht="21.95" customHeight="1" thickBot="1">
      <c r="A8" s="499">
        <v>1</v>
      </c>
      <c r="B8" s="441" t="s">
        <v>377</v>
      </c>
      <c r="C8" s="1295" t="s">
        <v>16136</v>
      </c>
      <c r="D8" s="1295" t="s">
        <v>16136</v>
      </c>
      <c r="E8" s="1295" t="s">
        <v>16136</v>
      </c>
      <c r="F8" s="1541"/>
      <c r="G8" s="1295" t="s">
        <v>16136</v>
      </c>
      <c r="H8" s="488">
        <v>1.125</v>
      </c>
      <c r="I8" s="1295" t="s">
        <v>377</v>
      </c>
      <c r="J8" s="1295" t="s">
        <v>377</v>
      </c>
      <c r="K8" s="1295" t="s">
        <v>377</v>
      </c>
      <c r="L8" s="488">
        <v>3.3333333333333335</v>
      </c>
      <c r="M8" s="488">
        <v>1.9166666666666667</v>
      </c>
      <c r="N8" s="488" t="s">
        <v>17439</v>
      </c>
      <c r="O8" s="488" t="s">
        <v>127</v>
      </c>
      <c r="P8" s="1295" t="s">
        <v>16136</v>
      </c>
      <c r="Q8" s="1295" t="s">
        <v>16136</v>
      </c>
      <c r="R8" s="1295" t="s">
        <v>16136</v>
      </c>
      <c r="S8" s="488">
        <v>1.4166666666666667</v>
      </c>
      <c r="T8" s="1295" t="s">
        <v>16136</v>
      </c>
      <c r="U8" s="321" t="s">
        <v>377</v>
      </c>
      <c r="V8" s="320">
        <f t="array" ref="V8">IF(ISERROR(AVERAGE($B8:$U8)),"",AVERAGE($B8:$U8))</f>
        <v>1.947916666666667</v>
      </c>
      <c r="W8" s="319">
        <f>IF(ISERROR(AVERAGE($B$8:U8)),"",AVERAGE($B$8:U8))</f>
        <v>1.947916666666667</v>
      </c>
      <c r="X8" s="500" t="s">
        <v>377</v>
      </c>
      <c r="Y8" s="488">
        <v>2.5</v>
      </c>
      <c r="Z8" s="321" t="s">
        <v>377</v>
      </c>
      <c r="AA8" s="320">
        <f t="shared" ref="AA8:AA38" si="0">IF(ISERROR(AVERAGE($X8:$Z8)),"",AVERAGE($X8:$Z8))</f>
        <v>2.5</v>
      </c>
      <c r="AB8" s="319">
        <f>IF(ISERROR(AVERAGE($X$8:Z8)),"",AVERAGE($X$8:Z8))</f>
        <v>2.5</v>
      </c>
      <c r="AC8" s="500">
        <v>5.166666666666667</v>
      </c>
      <c r="AD8" s="1532"/>
      <c r="AE8" s="488">
        <v>6.083333333333333</v>
      </c>
      <c r="AF8" s="1532"/>
      <c r="AG8" s="488">
        <v>4.833333333333333</v>
      </c>
      <c r="AH8" s="488">
        <v>3.5833333333333335</v>
      </c>
      <c r="AI8" s="488">
        <v>5.666666666666667</v>
      </c>
      <c r="AJ8" s="1532"/>
      <c r="AK8" s="488" t="s">
        <v>17313</v>
      </c>
      <c r="AL8" s="488">
        <v>4</v>
      </c>
      <c r="AM8" s="321">
        <v>4.75</v>
      </c>
      <c r="AN8" s="320">
        <f t="shared" ref="AN8:AN38" si="1">IF(ISERROR(AVERAGE($AC8:$AM8)),"",AVERAGE($AC8:$AM8))</f>
        <v>4.8690476190476186</v>
      </c>
      <c r="AO8" s="321">
        <f>IF(ISERROR(AVERAGE($AC$8:AM8)),"",AVERAGE($AC$8:AM8))</f>
        <v>4.8690476190476186</v>
      </c>
      <c r="AP8" s="500" t="s">
        <v>377</v>
      </c>
      <c r="AQ8" s="670" t="s">
        <v>385</v>
      </c>
      <c r="AR8" s="320" t="str">
        <f t="shared" ref="AR8:AR38" si="2">IF(ISERROR(AVERAGE(AP8:AP8)),"",AVERAGE(AP8:AQ8))</f>
        <v/>
      </c>
      <c r="AS8" s="321" t="str">
        <f>IF(ISERROR(AVERAGE(AP$8:$AQ8)),"",AVERAGE(AP$8:$AQ8))</f>
        <v/>
      </c>
      <c r="AT8" s="1338" t="s">
        <v>16185</v>
      </c>
      <c r="AU8" s="488" t="s">
        <v>16185</v>
      </c>
      <c r="AV8" s="488" t="s">
        <v>16185</v>
      </c>
      <c r="AW8" s="488" t="s">
        <v>16185</v>
      </c>
      <c r="AX8" s="488" t="s">
        <v>16185</v>
      </c>
      <c r="AY8" s="488" t="s">
        <v>16185</v>
      </c>
      <c r="AZ8" s="488" t="s">
        <v>16185</v>
      </c>
      <c r="BA8" s="488" t="s">
        <v>16185</v>
      </c>
      <c r="BB8" s="322" t="str">
        <f t="shared" ref="BB8:BB22" si="3">IF(ISERROR(AVERAGE($AT8:$BA8)),"",AVERAGE($AT8:$BA8))</f>
        <v/>
      </c>
      <c r="BC8" s="322" t="str">
        <f>IF(ISERROR(AVERAGE(AT$8:$BA8)),"",AVERAGE(AT$8:$BA8))</f>
        <v/>
      </c>
      <c r="BD8" s="323">
        <f t="shared" ref="BD8:BD38" si="4">IF(ISERROR(AVERAGE(V8,AA8,BB8,AN8,AR8)),"",AVERAGE(V8,AA8,BB8,AN8,AR8))</f>
        <v>3.1056547619047614</v>
      </c>
      <c r="BE8" s="323">
        <f t="shared" ref="BE8:BE38" si="5">COUNTIF(A8:BC8,"產銷停機")</f>
        <v>16</v>
      </c>
      <c r="BF8" s="323">
        <v>16</v>
      </c>
      <c r="BG8" s="323">
        <v>6</v>
      </c>
      <c r="BH8" s="323">
        <v>2</v>
      </c>
      <c r="BI8" s="323">
        <v>2</v>
      </c>
      <c r="BJ8" s="323">
        <v>11</v>
      </c>
      <c r="BK8" s="323">
        <v>11</v>
      </c>
      <c r="BL8" s="323">
        <v>9</v>
      </c>
      <c r="BM8" s="323">
        <v>9</v>
      </c>
      <c r="BN8" s="323">
        <v>9</v>
      </c>
      <c r="BO8" s="323">
        <v>9</v>
      </c>
      <c r="BP8" s="323">
        <v>9</v>
      </c>
      <c r="BQ8" s="323">
        <v>9</v>
      </c>
      <c r="BR8" s="323">
        <v>9</v>
      </c>
      <c r="BS8" s="323">
        <v>10</v>
      </c>
      <c r="BT8" s="323">
        <v>9</v>
      </c>
      <c r="BU8" s="323">
        <v>9</v>
      </c>
      <c r="BV8" s="323">
        <v>1</v>
      </c>
      <c r="BW8" s="323">
        <v>5</v>
      </c>
      <c r="BX8" s="323">
        <v>4</v>
      </c>
      <c r="BY8" s="323">
        <v>4</v>
      </c>
      <c r="BZ8" s="323">
        <v>3</v>
      </c>
      <c r="CA8" s="323">
        <v>3</v>
      </c>
      <c r="CB8" s="323">
        <v>4</v>
      </c>
      <c r="CC8" s="323">
        <v>2</v>
      </c>
      <c r="CD8" s="323">
        <v>5</v>
      </c>
      <c r="CE8" s="323">
        <v>3</v>
      </c>
      <c r="CF8" s="323">
        <v>4</v>
      </c>
      <c r="CG8" s="323">
        <v>3</v>
      </c>
      <c r="CH8" s="323">
        <v>4</v>
      </c>
      <c r="CI8" s="323">
        <v>2</v>
      </c>
      <c r="CJ8" s="323">
        <v>1</v>
      </c>
      <c r="CK8" s="323">
        <v>1</v>
      </c>
      <c r="CL8" s="323">
        <v>1</v>
      </c>
      <c r="CM8" s="323">
        <v>2</v>
      </c>
      <c r="CN8" s="323">
        <v>3</v>
      </c>
      <c r="CO8" s="616">
        <v>9</v>
      </c>
      <c r="CP8" s="616">
        <v>17</v>
      </c>
      <c r="CQ8" s="616">
        <v>9</v>
      </c>
      <c r="CR8" s="323">
        <v>3</v>
      </c>
      <c r="CS8" s="323">
        <v>3</v>
      </c>
      <c r="CT8" s="323">
        <v>0</v>
      </c>
    </row>
    <row r="9" spans="1:98" s="323" customFormat="1" ht="21.95" customHeight="1" thickBot="1">
      <c r="A9" s="324">
        <v>2</v>
      </c>
      <c r="B9" s="1333" t="s">
        <v>377</v>
      </c>
      <c r="C9" s="1295" t="s">
        <v>16136</v>
      </c>
      <c r="D9" s="1295" t="s">
        <v>16136</v>
      </c>
      <c r="E9" s="1295" t="s">
        <v>16136</v>
      </c>
      <c r="F9" s="1542"/>
      <c r="G9" s="1295" t="s">
        <v>16136</v>
      </c>
      <c r="H9" s="441">
        <v>0.95833333333333337</v>
      </c>
      <c r="I9" s="1295" t="s">
        <v>377</v>
      </c>
      <c r="J9" s="1295" t="s">
        <v>377</v>
      </c>
      <c r="K9" s="1295" t="s">
        <v>377</v>
      </c>
      <c r="L9" s="441">
        <v>4.416666666666667</v>
      </c>
      <c r="M9" s="441">
        <v>1.9166666666666667</v>
      </c>
      <c r="N9" s="441" t="s">
        <v>17440</v>
      </c>
      <c r="O9" s="1530" t="s">
        <v>17314</v>
      </c>
      <c r="P9" s="1295" t="s">
        <v>16136</v>
      </c>
      <c r="Q9" s="1295" t="s">
        <v>16136</v>
      </c>
      <c r="R9" s="1295" t="s">
        <v>16136</v>
      </c>
      <c r="S9" s="441">
        <v>1.4583333333333333</v>
      </c>
      <c r="T9" s="1295" t="s">
        <v>16136</v>
      </c>
      <c r="U9" s="1026" t="s">
        <v>377</v>
      </c>
      <c r="V9" s="320">
        <f t="shared" ref="V9:V38" si="6">IF(ISERROR(AVERAGE($B9:$U9)),"",AVERAGE($B9:$U9))</f>
        <v>2.1875</v>
      </c>
      <c r="W9" s="319">
        <f>IF(ISERROR(AVERAGE($B$8:U9)),"",AVERAGE($B$8:U9))</f>
        <v>2.0677083333333335</v>
      </c>
      <c r="X9" s="325" t="s">
        <v>377</v>
      </c>
      <c r="Y9" s="441">
        <v>2.875</v>
      </c>
      <c r="Z9" s="1026" t="s">
        <v>377</v>
      </c>
      <c r="AA9" s="320">
        <f t="shared" si="0"/>
        <v>2.875</v>
      </c>
      <c r="AB9" s="319">
        <f>IF(ISERROR(AVERAGE($X$8:Z9)),"",AVERAGE($X$8:Z9))</f>
        <v>2.6875</v>
      </c>
      <c r="AC9" s="325">
        <v>3.8333333333333335</v>
      </c>
      <c r="AD9" s="1533"/>
      <c r="AE9" s="441">
        <v>6.833333333333333</v>
      </c>
      <c r="AF9" s="1533"/>
      <c r="AG9" s="441">
        <v>3.5833333333333335</v>
      </c>
      <c r="AH9" s="441">
        <v>2.75</v>
      </c>
      <c r="AI9" s="441">
        <v>4.75</v>
      </c>
      <c r="AJ9" s="1533"/>
      <c r="AK9" s="441" t="s">
        <v>17313</v>
      </c>
      <c r="AL9" s="441">
        <v>4.166666666666667</v>
      </c>
      <c r="AM9" s="1026">
        <v>3.5833333333333335</v>
      </c>
      <c r="AN9" s="320">
        <f t="shared" si="1"/>
        <v>4.2142857142857144</v>
      </c>
      <c r="AO9" s="321">
        <f>IF(ISERROR(AVERAGE($AC$8:AM9)),"",AVERAGE($AC$8:AM9))</f>
        <v>4.541666666666667</v>
      </c>
      <c r="AP9" s="325" t="s">
        <v>377</v>
      </c>
      <c r="AQ9" s="1279" t="s">
        <v>16051</v>
      </c>
      <c r="AR9" s="320" t="str">
        <f t="shared" si="2"/>
        <v/>
      </c>
      <c r="AS9" s="321" t="str">
        <f>IF(ISERROR(AVERAGE(AP$8:$AQ9)),"",AVERAGE(AP$8:$AQ9))</f>
        <v/>
      </c>
      <c r="AT9" s="325" t="s">
        <v>16185</v>
      </c>
      <c r="AU9" s="441" t="s">
        <v>16185</v>
      </c>
      <c r="AV9" s="441" t="s">
        <v>16185</v>
      </c>
      <c r="AW9" s="441" t="s">
        <v>16185</v>
      </c>
      <c r="AX9" s="441" t="s">
        <v>16185</v>
      </c>
      <c r="AY9" s="441" t="s">
        <v>16185</v>
      </c>
      <c r="AZ9" s="441" t="s">
        <v>16185</v>
      </c>
      <c r="BA9" s="441" t="s">
        <v>16185</v>
      </c>
      <c r="BB9" s="322" t="str">
        <f t="shared" si="3"/>
        <v/>
      </c>
      <c r="BC9" s="322" t="str">
        <f>IF(ISERROR(AVERAGE(AT$8:$BA9)),"",AVERAGE(AT$8:$BA9))</f>
        <v/>
      </c>
      <c r="BD9" s="323">
        <f t="shared" si="4"/>
        <v>3.0922619047619051</v>
      </c>
      <c r="BE9" s="323">
        <f t="shared" si="5"/>
        <v>16</v>
      </c>
      <c r="BF9" s="323">
        <v>15</v>
      </c>
      <c r="BG9" s="323">
        <v>5</v>
      </c>
      <c r="BH9" s="323">
        <v>2</v>
      </c>
      <c r="BI9" s="323">
        <v>2</v>
      </c>
      <c r="BJ9" s="323">
        <v>11</v>
      </c>
      <c r="BK9" s="323">
        <v>10</v>
      </c>
      <c r="BL9" s="323">
        <v>9</v>
      </c>
      <c r="BM9" s="323">
        <v>9</v>
      </c>
      <c r="BN9" s="323">
        <v>9</v>
      </c>
      <c r="BO9" s="323">
        <v>9</v>
      </c>
      <c r="BP9" s="323">
        <v>9</v>
      </c>
      <c r="BQ9" s="323">
        <v>9</v>
      </c>
      <c r="BR9" s="323">
        <v>9</v>
      </c>
      <c r="BS9" s="323">
        <v>10</v>
      </c>
      <c r="BT9" s="323">
        <v>9</v>
      </c>
      <c r="BU9" s="323">
        <v>9</v>
      </c>
      <c r="BV9" s="323">
        <v>1</v>
      </c>
      <c r="BW9" s="323">
        <v>5</v>
      </c>
      <c r="BX9" s="323">
        <v>4</v>
      </c>
      <c r="BY9" s="323">
        <v>4</v>
      </c>
      <c r="BZ9" s="323">
        <v>3</v>
      </c>
      <c r="CA9" s="323">
        <v>3</v>
      </c>
      <c r="CB9" s="323">
        <v>4</v>
      </c>
      <c r="CC9" s="323">
        <v>2</v>
      </c>
      <c r="CD9" s="323">
        <v>5</v>
      </c>
      <c r="CE9" s="323">
        <v>3</v>
      </c>
      <c r="CF9" s="323">
        <v>4</v>
      </c>
      <c r="CG9" s="323">
        <v>3</v>
      </c>
      <c r="CH9" s="323">
        <v>3</v>
      </c>
      <c r="CI9" s="323">
        <v>2</v>
      </c>
      <c r="CJ9" s="323">
        <v>1</v>
      </c>
      <c r="CK9" s="323">
        <v>1</v>
      </c>
      <c r="CL9" s="323">
        <v>1</v>
      </c>
      <c r="CM9" s="323">
        <v>3</v>
      </c>
      <c r="CN9" s="323">
        <v>3</v>
      </c>
      <c r="CO9" s="323">
        <v>6</v>
      </c>
      <c r="CP9" s="323">
        <v>10</v>
      </c>
      <c r="CQ9" s="323">
        <v>11</v>
      </c>
      <c r="CR9" s="323">
        <v>3</v>
      </c>
      <c r="CS9" s="323">
        <v>3</v>
      </c>
      <c r="CT9" s="323">
        <v>0</v>
      </c>
    </row>
    <row r="10" spans="1:98" s="323" customFormat="1" ht="21.95" customHeight="1" thickBot="1">
      <c r="A10" s="324">
        <v>3</v>
      </c>
      <c r="B10" s="1333" t="s">
        <v>377</v>
      </c>
      <c r="C10" s="1295" t="s">
        <v>16136</v>
      </c>
      <c r="D10" s="441" t="s">
        <v>17316</v>
      </c>
      <c r="E10" s="1295" t="s">
        <v>16136</v>
      </c>
      <c r="F10" s="1542"/>
      <c r="G10" s="1295" t="s">
        <v>16136</v>
      </c>
      <c r="H10" s="441">
        <v>0.95833333333333337</v>
      </c>
      <c r="I10" s="1295" t="s">
        <v>377</v>
      </c>
      <c r="J10" s="1295" t="s">
        <v>377</v>
      </c>
      <c r="K10" s="1295" t="s">
        <v>377</v>
      </c>
      <c r="L10" s="441">
        <v>3.25</v>
      </c>
      <c r="M10" s="441">
        <v>2.0833333333333335</v>
      </c>
      <c r="N10" s="441" t="s">
        <v>17440</v>
      </c>
      <c r="O10" s="1530" t="s">
        <v>17314</v>
      </c>
      <c r="P10" s="1295" t="s">
        <v>16136</v>
      </c>
      <c r="Q10" s="1295" t="s">
        <v>16136</v>
      </c>
      <c r="R10" s="1295" t="s">
        <v>16136</v>
      </c>
      <c r="S10" s="441">
        <v>1.5416666666666667</v>
      </c>
      <c r="T10" s="1295" t="s">
        <v>16136</v>
      </c>
      <c r="U10" s="1026" t="s">
        <v>377</v>
      </c>
      <c r="V10" s="320">
        <f t="shared" si="6"/>
        <v>1.9583333333333333</v>
      </c>
      <c r="W10" s="319">
        <f>IF(ISERROR(AVERAGE($B$8:U10)),"",AVERAGE($B$8:U10))</f>
        <v>2.03125</v>
      </c>
      <c r="X10" s="325" t="s">
        <v>377</v>
      </c>
      <c r="Y10" s="441">
        <v>2.5</v>
      </c>
      <c r="Z10" s="1026" t="s">
        <v>377</v>
      </c>
      <c r="AA10" s="320">
        <f t="shared" si="0"/>
        <v>2.5</v>
      </c>
      <c r="AB10" s="319">
        <f>IF(ISERROR(AVERAGE($X$8:Z10)),"",AVERAGE($X$8:Z10))</f>
        <v>2.625</v>
      </c>
      <c r="AC10" s="325">
        <v>3.6666666666666665</v>
      </c>
      <c r="AD10" s="1533"/>
      <c r="AE10" s="441">
        <v>6.625</v>
      </c>
      <c r="AF10" s="1533"/>
      <c r="AG10" s="441">
        <v>3.7916666666666665</v>
      </c>
      <c r="AH10" s="441">
        <v>4.666666666666667</v>
      </c>
      <c r="AI10" s="441">
        <v>7.083333333333333</v>
      </c>
      <c r="AJ10" s="1533"/>
      <c r="AK10" s="441" t="s">
        <v>17313</v>
      </c>
      <c r="AL10" s="441">
        <v>2.8333333333333335</v>
      </c>
      <c r="AM10" s="1026">
        <v>4.25</v>
      </c>
      <c r="AN10" s="320">
        <f t="shared" si="1"/>
        <v>4.7023809523809517</v>
      </c>
      <c r="AO10" s="321">
        <f>IF(ISERROR(AVERAGE($AC$8:AM10)),"",AVERAGE($AC$8:AM10))</f>
        <v>4.5952380952380949</v>
      </c>
      <c r="AP10" s="325" t="s">
        <v>377</v>
      </c>
      <c r="AQ10" s="1279" t="s">
        <v>16051</v>
      </c>
      <c r="AR10" s="320" t="str">
        <f t="shared" si="2"/>
        <v/>
      </c>
      <c r="AS10" s="321" t="str">
        <f>IF(ISERROR(AVERAGE(AP$8:$AQ10)),"",AVERAGE(AP$8:$AQ10))</f>
        <v/>
      </c>
      <c r="AT10" s="325" t="s">
        <v>16185</v>
      </c>
      <c r="AU10" s="441" t="s">
        <v>16185</v>
      </c>
      <c r="AV10" s="441" t="s">
        <v>16185</v>
      </c>
      <c r="AW10" s="441" t="s">
        <v>16185</v>
      </c>
      <c r="AX10" s="441" t="s">
        <v>16185</v>
      </c>
      <c r="AY10" s="441" t="s">
        <v>16185</v>
      </c>
      <c r="AZ10" s="441" t="s">
        <v>16185</v>
      </c>
      <c r="BA10" s="441" t="s">
        <v>16185</v>
      </c>
      <c r="BB10" s="322" t="str">
        <f t="shared" si="3"/>
        <v/>
      </c>
      <c r="BC10" s="322" t="str">
        <f t="array" ref="BC10">IF(ISERROR(AVERAGE(AT$8:$BA10)),"",AVERAGE(AT$8:$BA10))</f>
        <v/>
      </c>
      <c r="BD10" s="323">
        <f t="shared" si="4"/>
        <v>3.0535714285714284</v>
      </c>
      <c r="BE10" s="323">
        <f t="shared" si="5"/>
        <v>15</v>
      </c>
      <c r="BF10" s="323">
        <v>14</v>
      </c>
      <c r="BG10" s="323">
        <v>6</v>
      </c>
      <c r="BH10" s="323">
        <v>2</v>
      </c>
      <c r="BI10" s="323">
        <v>2</v>
      </c>
      <c r="BJ10" s="323">
        <v>11</v>
      </c>
      <c r="BK10" s="323">
        <v>10</v>
      </c>
      <c r="BL10" s="323">
        <v>9</v>
      </c>
      <c r="BM10" s="323">
        <v>9</v>
      </c>
      <c r="BN10" s="323">
        <v>9</v>
      </c>
      <c r="BO10" s="323">
        <v>9</v>
      </c>
      <c r="BP10" s="323">
        <v>9</v>
      </c>
      <c r="BQ10" s="323">
        <v>9</v>
      </c>
      <c r="BR10" s="323">
        <v>9</v>
      </c>
      <c r="BS10" s="323">
        <v>10</v>
      </c>
      <c r="BT10" s="323">
        <v>9</v>
      </c>
      <c r="BU10" s="323">
        <v>9</v>
      </c>
      <c r="BV10" s="323">
        <v>1</v>
      </c>
      <c r="BW10" s="323">
        <v>5</v>
      </c>
      <c r="BX10" s="323">
        <v>4</v>
      </c>
      <c r="BY10" s="323">
        <v>4</v>
      </c>
      <c r="BZ10" s="323">
        <v>3</v>
      </c>
      <c r="CA10" s="323">
        <v>3</v>
      </c>
      <c r="CB10" s="323">
        <v>4</v>
      </c>
      <c r="CC10" s="323">
        <v>2</v>
      </c>
      <c r="CD10" s="323">
        <v>5</v>
      </c>
      <c r="CE10" s="323">
        <v>3</v>
      </c>
      <c r="CF10" s="323">
        <v>4</v>
      </c>
      <c r="CG10" s="323">
        <v>3</v>
      </c>
      <c r="CH10" s="323">
        <v>4</v>
      </c>
      <c r="CI10" s="323">
        <v>2</v>
      </c>
      <c r="CJ10" s="323">
        <v>1</v>
      </c>
      <c r="CK10" s="323">
        <v>3</v>
      </c>
      <c r="CL10" s="323">
        <v>2</v>
      </c>
      <c r="CM10" s="323">
        <v>4</v>
      </c>
      <c r="CN10" s="323">
        <v>4</v>
      </c>
      <c r="CO10" s="323">
        <v>6</v>
      </c>
      <c r="CP10" s="616">
        <v>9</v>
      </c>
      <c r="CQ10" s="616">
        <v>11</v>
      </c>
      <c r="CR10" s="323">
        <v>2</v>
      </c>
      <c r="CS10" s="323">
        <v>3</v>
      </c>
      <c r="CT10" s="323">
        <v>0</v>
      </c>
    </row>
    <row r="11" spans="1:98" s="323" customFormat="1" ht="21.95" customHeight="1" thickBot="1">
      <c r="A11" s="324">
        <v>4</v>
      </c>
      <c r="B11" s="1333" t="s">
        <v>377</v>
      </c>
      <c r="C11" s="1295" t="s">
        <v>16136</v>
      </c>
      <c r="D11" s="441">
        <v>4.916666666666667</v>
      </c>
      <c r="E11" s="1295" t="s">
        <v>16136</v>
      </c>
      <c r="F11" s="1542"/>
      <c r="G11" s="1295" t="s">
        <v>16136</v>
      </c>
      <c r="H11" s="441">
        <v>0.79166666666666663</v>
      </c>
      <c r="I11" s="1295" t="s">
        <v>377</v>
      </c>
      <c r="J11" s="1295" t="s">
        <v>377</v>
      </c>
      <c r="K11" s="1295" t="s">
        <v>377</v>
      </c>
      <c r="L11" s="441">
        <v>2.8333333333333335</v>
      </c>
      <c r="M11" s="441">
        <v>3.4166666666666665</v>
      </c>
      <c r="N11" s="441" t="s">
        <v>17440</v>
      </c>
      <c r="O11" s="1295" t="s">
        <v>16136</v>
      </c>
      <c r="P11" s="1295" t="s">
        <v>16136</v>
      </c>
      <c r="Q11" s="1295" t="s">
        <v>16136</v>
      </c>
      <c r="R11" s="1295" t="s">
        <v>16136</v>
      </c>
      <c r="S11" s="441">
        <v>1.2916666666666667</v>
      </c>
      <c r="T11" s="1295" t="s">
        <v>16136</v>
      </c>
      <c r="U11" s="1026" t="s">
        <v>377</v>
      </c>
      <c r="V11" s="320">
        <f t="shared" si="6"/>
        <v>2.65</v>
      </c>
      <c r="W11" s="319">
        <f>IF(ISERROR(AVERAGE($B$8:U11)),"",AVERAGE($B$8:U11))</f>
        <v>2.2132352941176472</v>
      </c>
      <c r="X11" s="325" t="s">
        <v>377</v>
      </c>
      <c r="Y11" s="441">
        <v>3.5</v>
      </c>
      <c r="Z11" s="1026" t="s">
        <v>377</v>
      </c>
      <c r="AA11" s="320">
        <f t="shared" si="0"/>
        <v>3.5</v>
      </c>
      <c r="AB11" s="319">
        <f>IF(ISERROR(AVERAGE($X$8:Z11)),"",AVERAGE($X$8:Z11))</f>
        <v>2.84375</v>
      </c>
      <c r="AC11" s="325">
        <v>5</v>
      </c>
      <c r="AD11" s="1533"/>
      <c r="AE11" s="441">
        <v>6.041666666666667</v>
      </c>
      <c r="AF11" s="1533"/>
      <c r="AG11" s="441">
        <v>3.5833333333333335</v>
      </c>
      <c r="AH11" s="441">
        <v>3.25</v>
      </c>
      <c r="AI11" s="441">
        <v>3.25</v>
      </c>
      <c r="AJ11" s="1533"/>
      <c r="AK11" s="441" t="s">
        <v>17313</v>
      </c>
      <c r="AL11" s="441">
        <v>4</v>
      </c>
      <c r="AM11" s="1026">
        <v>3.2083333333333335</v>
      </c>
      <c r="AN11" s="320">
        <f t="shared" si="1"/>
        <v>4.0476190476190474</v>
      </c>
      <c r="AO11" s="321">
        <f>IF(ISERROR(AVERAGE($AC$8:AM11)),"",AVERAGE($AC$8:AM11))</f>
        <v>4.458333333333333</v>
      </c>
      <c r="AP11" s="325" t="s">
        <v>377</v>
      </c>
      <c r="AQ11" s="1279" t="s">
        <v>16051</v>
      </c>
      <c r="AR11" s="320" t="str">
        <f t="shared" si="2"/>
        <v/>
      </c>
      <c r="AS11" s="321" t="str">
        <f>IF(ISERROR(AVERAGE(AP$8:$AQ11)),"",AVERAGE(AP$8:$AQ11))</f>
        <v/>
      </c>
      <c r="AT11" s="325" t="s">
        <v>16185</v>
      </c>
      <c r="AU11" s="441" t="s">
        <v>16185</v>
      </c>
      <c r="AV11" s="441" t="s">
        <v>16185</v>
      </c>
      <c r="AW11" s="441" t="s">
        <v>16185</v>
      </c>
      <c r="AX11" s="441" t="s">
        <v>16185</v>
      </c>
      <c r="AY11" s="441" t="s">
        <v>16185</v>
      </c>
      <c r="AZ11" s="441" t="s">
        <v>16185</v>
      </c>
      <c r="BA11" s="441" t="s">
        <v>16185</v>
      </c>
      <c r="BB11" s="322" t="str">
        <f t="shared" si="3"/>
        <v/>
      </c>
      <c r="BC11" s="322" t="str">
        <f t="array" ref="BC11">IF(ISERROR(AVERAGE(AT$8:$BA11)),"",AVERAGE(AT$8:$BA11))</f>
        <v/>
      </c>
      <c r="BD11" s="323">
        <f t="shared" si="4"/>
        <v>3.3992063492063491</v>
      </c>
      <c r="BE11" s="323">
        <f t="shared" si="5"/>
        <v>16</v>
      </c>
      <c r="BF11" s="323">
        <v>14</v>
      </c>
      <c r="BG11" s="323">
        <v>6</v>
      </c>
      <c r="BH11" s="323">
        <v>2</v>
      </c>
      <c r="BI11" s="323">
        <v>2</v>
      </c>
      <c r="BJ11" s="323">
        <v>11</v>
      </c>
      <c r="BK11" s="323">
        <v>10</v>
      </c>
      <c r="BL11" s="323">
        <v>9</v>
      </c>
      <c r="BM11" s="323">
        <v>9</v>
      </c>
      <c r="BN11" s="323">
        <v>9</v>
      </c>
      <c r="BO11" s="323">
        <v>9</v>
      </c>
      <c r="BP11" s="323">
        <v>9</v>
      </c>
      <c r="BQ11" s="323">
        <v>9</v>
      </c>
      <c r="BR11" s="323">
        <v>9</v>
      </c>
      <c r="BS11" s="323">
        <v>10</v>
      </c>
      <c r="BT11" s="323">
        <v>9</v>
      </c>
      <c r="BU11" s="323">
        <v>9</v>
      </c>
      <c r="BV11" s="323">
        <v>1</v>
      </c>
      <c r="BW11" s="323">
        <v>5</v>
      </c>
      <c r="BX11" s="323">
        <v>4</v>
      </c>
      <c r="BY11" s="323">
        <v>3</v>
      </c>
      <c r="BZ11" s="323">
        <v>3</v>
      </c>
      <c r="CA11" s="323">
        <v>3</v>
      </c>
      <c r="CB11" s="323">
        <v>4</v>
      </c>
      <c r="CC11" s="323">
        <v>2</v>
      </c>
      <c r="CD11" s="323">
        <v>5</v>
      </c>
      <c r="CE11" s="323">
        <v>3</v>
      </c>
      <c r="CF11" s="323">
        <v>4</v>
      </c>
      <c r="CG11" s="323">
        <v>3</v>
      </c>
      <c r="CH11" s="323">
        <v>4</v>
      </c>
      <c r="CI11" s="323">
        <v>1</v>
      </c>
      <c r="CJ11" s="323">
        <v>1</v>
      </c>
      <c r="CK11" s="323">
        <v>3</v>
      </c>
      <c r="CL11" s="323">
        <v>3</v>
      </c>
      <c r="CM11" s="323">
        <v>4</v>
      </c>
      <c r="CN11" s="323">
        <v>4</v>
      </c>
      <c r="CO11" s="323">
        <v>6</v>
      </c>
      <c r="CP11" s="616">
        <v>8</v>
      </c>
      <c r="CQ11" s="616">
        <v>11</v>
      </c>
      <c r="CR11" s="323">
        <v>2</v>
      </c>
      <c r="CS11" s="323">
        <v>3</v>
      </c>
      <c r="CT11" s="323">
        <v>0</v>
      </c>
    </row>
    <row r="12" spans="1:98" s="323" customFormat="1" ht="21.95" customHeight="1" thickBot="1">
      <c r="A12" s="324">
        <v>5</v>
      </c>
      <c r="B12" s="1333" t="s">
        <v>377</v>
      </c>
      <c r="C12" s="1295" t="s">
        <v>16136</v>
      </c>
      <c r="D12" s="441">
        <v>1.5833333333333333</v>
      </c>
      <c r="E12" s="1295" t="s">
        <v>16136</v>
      </c>
      <c r="F12" s="1542"/>
      <c r="G12" s="1295" t="s">
        <v>16136</v>
      </c>
      <c r="H12" s="441">
        <v>1.2083333333333333</v>
      </c>
      <c r="I12" s="1295" t="s">
        <v>377</v>
      </c>
      <c r="J12" s="1295" t="s">
        <v>377</v>
      </c>
      <c r="K12" s="1295" t="s">
        <v>377</v>
      </c>
      <c r="L12" s="441">
        <v>3.5</v>
      </c>
      <c r="M12" s="441">
        <v>3.3333333333333335</v>
      </c>
      <c r="N12" s="441" t="s">
        <v>17440</v>
      </c>
      <c r="O12" s="1295" t="s">
        <v>16136</v>
      </c>
      <c r="P12" s="1295" t="s">
        <v>16136</v>
      </c>
      <c r="Q12" s="1295" t="s">
        <v>16136</v>
      </c>
      <c r="R12" s="1295" t="s">
        <v>16136</v>
      </c>
      <c r="S12" s="441">
        <v>3.125</v>
      </c>
      <c r="T12" s="1295" t="s">
        <v>16136</v>
      </c>
      <c r="U12" s="1026" t="s">
        <v>377</v>
      </c>
      <c r="V12" s="320">
        <f t="shared" si="6"/>
        <v>2.5499999999999998</v>
      </c>
      <c r="W12" s="319">
        <f>IF(ISERROR(AVERAGE($B$8:U12)),"",AVERAGE($B$8:U12))</f>
        <v>2.2897727272727275</v>
      </c>
      <c r="X12" s="325" t="s">
        <v>377</v>
      </c>
      <c r="Y12" s="441">
        <v>4.166666666666667</v>
      </c>
      <c r="Z12" s="1026" t="s">
        <v>377</v>
      </c>
      <c r="AA12" s="320">
        <f t="shared" si="0"/>
        <v>4.166666666666667</v>
      </c>
      <c r="AB12" s="319">
        <f>IF(ISERROR(AVERAGE($X$8:Z12)),"",AVERAGE($X$8:Z12))</f>
        <v>3.1083333333333334</v>
      </c>
      <c r="AC12" s="325">
        <v>3.6666666666666665</v>
      </c>
      <c r="AD12" s="1533"/>
      <c r="AE12" s="441">
        <v>8</v>
      </c>
      <c r="AF12" s="1533"/>
      <c r="AG12" s="441">
        <v>2.4583333333333335</v>
      </c>
      <c r="AH12" s="441">
        <v>3.75</v>
      </c>
      <c r="AI12" s="441">
        <v>5.666666666666667</v>
      </c>
      <c r="AJ12" s="1533"/>
      <c r="AK12" s="441" t="s">
        <v>17313</v>
      </c>
      <c r="AL12" s="441">
        <v>3.25</v>
      </c>
      <c r="AM12" s="1026">
        <v>3.875</v>
      </c>
      <c r="AN12" s="320">
        <f t="shared" si="1"/>
        <v>4.3809523809523814</v>
      </c>
      <c r="AO12" s="321">
        <f>IF(ISERROR(AVERAGE($AC$8:AM12)),"",AVERAGE($AC$8:AM12))</f>
        <v>4.4428571428571431</v>
      </c>
      <c r="AP12" s="325" t="s">
        <v>377</v>
      </c>
      <c r="AQ12" s="1279" t="s">
        <v>16051</v>
      </c>
      <c r="AR12" s="320" t="str">
        <f t="shared" si="2"/>
        <v/>
      </c>
      <c r="AS12" s="321" t="str">
        <f>IF(ISERROR(AVERAGE(AP$8:$AQ12)),"",AVERAGE(AP$8:$AQ12))</f>
        <v/>
      </c>
      <c r="AT12" s="325" t="s">
        <v>16185</v>
      </c>
      <c r="AU12" s="441" t="s">
        <v>16185</v>
      </c>
      <c r="AV12" s="441" t="s">
        <v>16185</v>
      </c>
      <c r="AW12" s="441" t="s">
        <v>16185</v>
      </c>
      <c r="AX12" s="441" t="s">
        <v>16185</v>
      </c>
      <c r="AY12" s="441" t="s">
        <v>16185</v>
      </c>
      <c r="AZ12" s="441" t="s">
        <v>16185</v>
      </c>
      <c r="BA12" s="441" t="s">
        <v>16185</v>
      </c>
      <c r="BB12" s="322" t="str">
        <f t="shared" si="3"/>
        <v/>
      </c>
      <c r="BC12" s="322" t="str">
        <f t="array" ref="BC12">IF(ISERROR(AVERAGE(AT$8:$BA12)),"",AVERAGE(AT$8:$BA12))</f>
        <v/>
      </c>
      <c r="BD12" s="323">
        <f t="shared" si="4"/>
        <v>3.6992063492063494</v>
      </c>
      <c r="BE12" s="323">
        <f t="shared" si="5"/>
        <v>16</v>
      </c>
      <c r="BF12" s="323">
        <v>14</v>
      </c>
      <c r="BG12" s="323">
        <v>6</v>
      </c>
      <c r="BH12" s="323">
        <v>2</v>
      </c>
      <c r="BI12" s="323">
        <v>2</v>
      </c>
      <c r="BJ12" s="323">
        <v>11</v>
      </c>
      <c r="BK12" s="323">
        <v>10</v>
      </c>
      <c r="BL12" s="323">
        <v>9</v>
      </c>
      <c r="BM12" s="323">
        <v>9</v>
      </c>
      <c r="BN12" s="323">
        <v>9</v>
      </c>
      <c r="BO12" s="323">
        <v>9</v>
      </c>
      <c r="BP12" s="323">
        <v>9</v>
      </c>
      <c r="BQ12" s="323">
        <v>8</v>
      </c>
      <c r="BR12" s="323">
        <v>9</v>
      </c>
      <c r="BS12" s="323">
        <v>10</v>
      </c>
      <c r="BT12" s="323">
        <v>9</v>
      </c>
      <c r="BU12" s="323">
        <v>9</v>
      </c>
      <c r="BV12" s="323">
        <v>1</v>
      </c>
      <c r="BW12" s="323">
        <v>5</v>
      </c>
      <c r="BX12" s="323">
        <v>4</v>
      </c>
      <c r="BY12" s="323">
        <v>3</v>
      </c>
      <c r="BZ12" s="323">
        <v>3</v>
      </c>
      <c r="CA12" s="323">
        <v>3</v>
      </c>
      <c r="CB12" s="323">
        <v>4</v>
      </c>
      <c r="CC12" s="323">
        <v>2</v>
      </c>
      <c r="CD12" s="323">
        <v>5</v>
      </c>
      <c r="CE12" s="323">
        <v>3</v>
      </c>
      <c r="CF12" s="323">
        <v>5</v>
      </c>
      <c r="CG12" s="323">
        <v>3</v>
      </c>
      <c r="CH12" s="323">
        <v>4</v>
      </c>
      <c r="CI12" s="323">
        <v>1</v>
      </c>
      <c r="CJ12" s="323">
        <v>1</v>
      </c>
      <c r="CK12" s="323">
        <v>3</v>
      </c>
      <c r="CL12" s="323">
        <v>3</v>
      </c>
      <c r="CM12" s="323">
        <v>4</v>
      </c>
      <c r="CN12" s="323">
        <v>3</v>
      </c>
      <c r="CO12" s="323">
        <v>5</v>
      </c>
      <c r="CP12" s="323">
        <v>8</v>
      </c>
      <c r="CQ12" s="323">
        <v>11</v>
      </c>
      <c r="CR12" s="323">
        <v>2</v>
      </c>
      <c r="CS12" s="323">
        <v>3</v>
      </c>
      <c r="CT12" s="323">
        <v>0</v>
      </c>
    </row>
    <row r="13" spans="1:98" s="323" customFormat="1" ht="21.95" customHeight="1" thickBot="1">
      <c r="A13" s="324">
        <v>6</v>
      </c>
      <c r="B13" s="1333" t="s">
        <v>377</v>
      </c>
      <c r="C13" s="1295" t="s">
        <v>16136</v>
      </c>
      <c r="D13" s="441">
        <v>6</v>
      </c>
      <c r="E13" s="1295" t="s">
        <v>16136</v>
      </c>
      <c r="F13" s="1542"/>
      <c r="G13" s="1295" t="s">
        <v>16136</v>
      </c>
      <c r="H13" s="441">
        <v>0.75</v>
      </c>
      <c r="I13" s="1295" t="s">
        <v>16136</v>
      </c>
      <c r="J13" s="1295" t="s">
        <v>16136</v>
      </c>
      <c r="K13" s="1295" t="s">
        <v>16136</v>
      </c>
      <c r="L13" s="441">
        <v>4</v>
      </c>
      <c r="M13" s="441">
        <v>3.3333333333333335</v>
      </c>
      <c r="N13" s="441" t="s">
        <v>17440</v>
      </c>
      <c r="O13" s="1295" t="s">
        <v>16136</v>
      </c>
      <c r="P13" s="1295" t="s">
        <v>16136</v>
      </c>
      <c r="Q13" s="1295" t="s">
        <v>16136</v>
      </c>
      <c r="R13" s="1295" t="s">
        <v>16136</v>
      </c>
      <c r="S13" s="441">
        <v>1.9583333333333333</v>
      </c>
      <c r="T13" s="1295" t="s">
        <v>16136</v>
      </c>
      <c r="U13" s="1026" t="s">
        <v>377</v>
      </c>
      <c r="V13" s="320">
        <f t="shared" si="6"/>
        <v>3.2083333333333335</v>
      </c>
      <c r="W13" s="319">
        <f>IF(ISERROR(AVERAGE($B$8:U13)),"",AVERAGE($B$8:U13))</f>
        <v>2.4598765432098766</v>
      </c>
      <c r="X13" s="325" t="s">
        <v>377</v>
      </c>
      <c r="Y13" s="441">
        <v>1.2916666666666667</v>
      </c>
      <c r="Z13" s="1026" t="s">
        <v>377</v>
      </c>
      <c r="AA13" s="320">
        <f t="shared" si="0"/>
        <v>1.2916666666666667</v>
      </c>
      <c r="AB13" s="319">
        <f>IF(ISERROR(AVERAGE($X$8:Z13)),"",AVERAGE($X$8:Z13))</f>
        <v>2.8055555555555558</v>
      </c>
      <c r="AC13" s="325">
        <v>5.166666666666667</v>
      </c>
      <c r="AD13" s="1533"/>
      <c r="AE13" s="441">
        <v>5.791666666666667</v>
      </c>
      <c r="AF13" s="1533"/>
      <c r="AG13" s="441" t="s">
        <v>17383</v>
      </c>
      <c r="AH13" s="441">
        <v>3.0833333333333335</v>
      </c>
      <c r="AI13" s="441">
        <v>5.416666666666667</v>
      </c>
      <c r="AJ13" s="1533"/>
      <c r="AK13" s="441" t="s">
        <v>17313</v>
      </c>
      <c r="AL13" s="441">
        <v>3.4166666666666665</v>
      </c>
      <c r="AM13" s="1026">
        <v>3.375</v>
      </c>
      <c r="AN13" s="320">
        <f t="shared" si="1"/>
        <v>4.3750000000000009</v>
      </c>
      <c r="AO13" s="321">
        <f>IF(ISERROR(AVERAGE($AC$8:AM13)),"",AVERAGE($AC$8:AM13))</f>
        <v>4.4329268292682924</v>
      </c>
      <c r="AP13" s="325" t="s">
        <v>377</v>
      </c>
      <c r="AQ13" s="1279" t="s">
        <v>16051</v>
      </c>
      <c r="AR13" s="320" t="str">
        <f t="shared" si="2"/>
        <v/>
      </c>
      <c r="AS13" s="321" t="str">
        <f>IF(ISERROR(AVERAGE(AP$8:$AQ13)),"",AVERAGE(AP$8:$AQ13))</f>
        <v/>
      </c>
      <c r="AT13" s="325" t="s">
        <v>16185</v>
      </c>
      <c r="AU13" s="441" t="s">
        <v>16185</v>
      </c>
      <c r="AV13" s="441" t="s">
        <v>16185</v>
      </c>
      <c r="AW13" s="441" t="s">
        <v>16185</v>
      </c>
      <c r="AX13" s="441" t="s">
        <v>16185</v>
      </c>
      <c r="AY13" s="441" t="s">
        <v>16185</v>
      </c>
      <c r="AZ13" s="441" t="s">
        <v>16185</v>
      </c>
      <c r="BA13" s="441" t="s">
        <v>16185</v>
      </c>
      <c r="BB13" s="322" t="str">
        <f t="shared" si="3"/>
        <v/>
      </c>
      <c r="BC13" s="322" t="str">
        <f t="array" ref="BC13">IF(ISERROR(AVERAGE(AT$8:$BA13)),"",AVERAGE(AT$8:$BA13))</f>
        <v/>
      </c>
      <c r="BD13" s="323">
        <f t="shared" si="4"/>
        <v>2.9583333333333335</v>
      </c>
      <c r="BE13" s="323">
        <f t="shared" si="5"/>
        <v>16</v>
      </c>
      <c r="BF13" s="323">
        <v>14</v>
      </c>
      <c r="BG13" s="323">
        <v>6</v>
      </c>
      <c r="BH13" s="323">
        <v>2</v>
      </c>
      <c r="BI13" s="323">
        <v>2</v>
      </c>
      <c r="BJ13" s="323">
        <v>11</v>
      </c>
      <c r="BK13" s="323">
        <v>10</v>
      </c>
      <c r="BL13" s="323">
        <v>9</v>
      </c>
      <c r="BM13" s="323">
        <v>9</v>
      </c>
      <c r="BN13" s="323">
        <v>9</v>
      </c>
      <c r="BO13" s="323">
        <v>9</v>
      </c>
      <c r="BP13" s="323">
        <v>9</v>
      </c>
      <c r="BQ13" s="323">
        <v>8</v>
      </c>
      <c r="BR13" s="323">
        <v>9</v>
      </c>
      <c r="BS13" s="323">
        <v>10</v>
      </c>
      <c r="BT13" s="323">
        <v>9</v>
      </c>
      <c r="BU13" s="323">
        <v>9</v>
      </c>
      <c r="BV13" s="323">
        <v>0</v>
      </c>
      <c r="BW13" s="323">
        <v>5</v>
      </c>
      <c r="BX13" s="323">
        <v>4</v>
      </c>
      <c r="BY13" s="323">
        <v>3</v>
      </c>
      <c r="BZ13" s="323">
        <v>3</v>
      </c>
      <c r="CA13" s="323">
        <v>3</v>
      </c>
      <c r="CB13" s="323">
        <v>4</v>
      </c>
      <c r="CC13" s="323">
        <v>3</v>
      </c>
      <c r="CD13" s="323">
        <v>5</v>
      </c>
      <c r="CE13" s="323">
        <v>3</v>
      </c>
      <c r="CF13" s="323">
        <v>5</v>
      </c>
      <c r="CG13" s="323">
        <v>3</v>
      </c>
      <c r="CH13" s="323">
        <v>5</v>
      </c>
      <c r="CI13" s="323">
        <v>1</v>
      </c>
      <c r="CJ13" s="323">
        <v>1</v>
      </c>
      <c r="CK13" s="323">
        <v>2</v>
      </c>
      <c r="CL13" s="323">
        <v>2</v>
      </c>
      <c r="CM13" s="323">
        <v>4</v>
      </c>
      <c r="CN13" s="323">
        <v>3</v>
      </c>
      <c r="CO13" s="323">
        <v>5</v>
      </c>
      <c r="CP13" s="323">
        <v>8</v>
      </c>
      <c r="CQ13" s="323">
        <v>8</v>
      </c>
      <c r="CR13" s="323">
        <v>3</v>
      </c>
      <c r="CS13" s="323">
        <v>3</v>
      </c>
      <c r="CT13" s="323">
        <v>0</v>
      </c>
    </row>
    <row r="14" spans="1:98" s="323" customFormat="1" ht="21.95" customHeight="1" thickBot="1">
      <c r="A14" s="324">
        <v>7</v>
      </c>
      <c r="B14" s="1333" t="s">
        <v>377</v>
      </c>
      <c r="C14" s="1295" t="s">
        <v>16136</v>
      </c>
      <c r="D14" s="441">
        <v>3.8333333333333335</v>
      </c>
      <c r="E14" s="1295" t="s">
        <v>16136</v>
      </c>
      <c r="F14" s="1542"/>
      <c r="G14" s="441" t="s">
        <v>17380</v>
      </c>
      <c r="H14" s="441">
        <v>1.5</v>
      </c>
      <c r="I14" s="1295" t="s">
        <v>16136</v>
      </c>
      <c r="J14" s="1295" t="s">
        <v>16136</v>
      </c>
      <c r="K14" s="1295" t="s">
        <v>16136</v>
      </c>
      <c r="L14" s="441">
        <v>3.1666666666666665</v>
      </c>
      <c r="M14" s="441">
        <v>2</v>
      </c>
      <c r="N14" s="441" t="s">
        <v>17440</v>
      </c>
      <c r="O14" s="1295" t="s">
        <v>16136</v>
      </c>
      <c r="P14" s="1295" t="s">
        <v>16136</v>
      </c>
      <c r="Q14" s="1295" t="s">
        <v>16136</v>
      </c>
      <c r="R14" s="1295" t="s">
        <v>16136</v>
      </c>
      <c r="S14" s="441">
        <v>1.6666666666666667</v>
      </c>
      <c r="T14" s="1295" t="s">
        <v>16136</v>
      </c>
      <c r="U14" s="1026" t="s">
        <v>377</v>
      </c>
      <c r="V14" s="320">
        <f t="shared" si="6"/>
        <v>2.4333333333333331</v>
      </c>
      <c r="W14" s="319">
        <f>IF(ISERROR(AVERAGE($B$8:U14)),"",AVERAGE($B$8:U14))</f>
        <v>2.455729166666667</v>
      </c>
      <c r="X14" s="325" t="s">
        <v>377</v>
      </c>
      <c r="Y14" s="441">
        <v>2.25</v>
      </c>
      <c r="Z14" s="1026" t="s">
        <v>377</v>
      </c>
      <c r="AA14" s="320">
        <f t="shared" si="0"/>
        <v>2.25</v>
      </c>
      <c r="AB14" s="319">
        <f>IF(ISERROR(AVERAGE($X$8:Z14)),"",AVERAGE($X$8:Z14))</f>
        <v>2.7261904761904767</v>
      </c>
      <c r="AC14" s="325">
        <v>6.041666666666667</v>
      </c>
      <c r="AD14" s="1533"/>
      <c r="AE14" s="441">
        <v>9.2083333333333339</v>
      </c>
      <c r="AF14" s="1533"/>
      <c r="AG14" s="441" t="s">
        <v>628</v>
      </c>
      <c r="AH14" s="441">
        <v>4.25</v>
      </c>
      <c r="AI14" s="441">
        <v>5.083333333333333</v>
      </c>
      <c r="AJ14" s="1533"/>
      <c r="AK14" s="441" t="s">
        <v>17313</v>
      </c>
      <c r="AL14" s="441">
        <v>4.916666666666667</v>
      </c>
      <c r="AM14" s="1026">
        <v>4.041666666666667</v>
      </c>
      <c r="AN14" s="320">
        <f t="shared" si="1"/>
        <v>5.5902777777777777</v>
      </c>
      <c r="AO14" s="321">
        <f>IF(ISERROR(AVERAGE($AC$8:AM14)),"",AVERAGE($AC$8:AM14))</f>
        <v>4.5806737588652471</v>
      </c>
      <c r="AP14" s="325" t="s">
        <v>377</v>
      </c>
      <c r="AQ14" s="1279" t="s">
        <v>16051</v>
      </c>
      <c r="AR14" s="320" t="str">
        <f t="shared" si="2"/>
        <v/>
      </c>
      <c r="AS14" s="321" t="str">
        <f>IF(ISERROR(AVERAGE(AP$8:$AQ14)),"",AVERAGE(AP$8:$AQ14))</f>
        <v/>
      </c>
      <c r="AT14" s="325" t="s">
        <v>16185</v>
      </c>
      <c r="AU14" s="441" t="s">
        <v>16185</v>
      </c>
      <c r="AV14" s="441" t="s">
        <v>16185</v>
      </c>
      <c r="AW14" s="441" t="s">
        <v>16185</v>
      </c>
      <c r="AX14" s="441" t="s">
        <v>16185</v>
      </c>
      <c r="AY14" s="441" t="s">
        <v>16185</v>
      </c>
      <c r="AZ14" s="441" t="s">
        <v>16185</v>
      </c>
      <c r="BA14" s="441" t="s">
        <v>16185</v>
      </c>
      <c r="BB14" s="322" t="str">
        <f t="shared" si="3"/>
        <v/>
      </c>
      <c r="BC14" s="322" t="str">
        <f t="array" ref="BC14">IF(ISERROR(AVERAGE(AT$8:$BA14)),"",AVERAGE(AT$8:$BA14))</f>
        <v/>
      </c>
      <c r="BD14" s="323">
        <f t="shared" si="4"/>
        <v>3.4245370370370374</v>
      </c>
      <c r="BE14" s="323">
        <f t="shared" si="5"/>
        <v>15</v>
      </c>
      <c r="BF14" s="323">
        <v>14</v>
      </c>
      <c r="BG14" s="323">
        <v>6</v>
      </c>
      <c r="BH14" s="323">
        <v>2</v>
      </c>
      <c r="BI14" s="323">
        <v>2</v>
      </c>
      <c r="BJ14" s="323">
        <v>11</v>
      </c>
      <c r="BK14" s="323">
        <v>10</v>
      </c>
      <c r="BL14" s="323">
        <v>9</v>
      </c>
      <c r="BM14" s="323">
        <v>9</v>
      </c>
      <c r="BN14" s="323">
        <v>9</v>
      </c>
      <c r="BO14" s="323">
        <v>9</v>
      </c>
      <c r="BP14" s="323">
        <v>9</v>
      </c>
      <c r="BQ14" s="323">
        <v>8</v>
      </c>
      <c r="BR14" s="323">
        <v>9</v>
      </c>
      <c r="BS14" s="323">
        <v>9</v>
      </c>
      <c r="BT14" s="323">
        <v>9</v>
      </c>
      <c r="BU14" s="323">
        <v>9</v>
      </c>
      <c r="BV14" s="323">
        <v>0</v>
      </c>
      <c r="BW14" s="323">
        <v>5</v>
      </c>
      <c r="BX14" s="323">
        <v>4</v>
      </c>
      <c r="BY14" s="323">
        <v>3</v>
      </c>
      <c r="BZ14" s="323">
        <v>3</v>
      </c>
      <c r="CA14" s="323">
        <v>3</v>
      </c>
      <c r="CB14" s="323">
        <v>4</v>
      </c>
      <c r="CC14" s="323">
        <v>3</v>
      </c>
      <c r="CD14" s="323">
        <v>4</v>
      </c>
      <c r="CE14" s="323">
        <v>3</v>
      </c>
      <c r="CF14" s="323">
        <v>5</v>
      </c>
      <c r="CG14" s="323">
        <v>3</v>
      </c>
      <c r="CH14" s="323">
        <v>5</v>
      </c>
      <c r="CI14" s="323">
        <v>1</v>
      </c>
      <c r="CJ14" s="323">
        <v>1</v>
      </c>
      <c r="CK14" s="323">
        <v>2</v>
      </c>
      <c r="CL14" s="323">
        <v>2</v>
      </c>
      <c r="CM14" s="323">
        <v>3</v>
      </c>
      <c r="CN14" s="323">
        <v>5</v>
      </c>
      <c r="CO14" s="323">
        <v>4</v>
      </c>
      <c r="CP14" s="323">
        <v>8</v>
      </c>
      <c r="CQ14" s="323">
        <v>5</v>
      </c>
      <c r="CR14" s="323">
        <v>2</v>
      </c>
      <c r="CS14" s="323">
        <v>3</v>
      </c>
      <c r="CT14" s="323">
        <v>0</v>
      </c>
    </row>
    <row r="15" spans="1:98" s="323" customFormat="1" ht="21.95" customHeight="1" thickBot="1">
      <c r="A15" s="324">
        <v>8</v>
      </c>
      <c r="B15" s="1333" t="s">
        <v>377</v>
      </c>
      <c r="C15" s="1295" t="s">
        <v>16136</v>
      </c>
      <c r="D15" s="441">
        <v>4.583333333333333</v>
      </c>
      <c r="E15" s="1295" t="s">
        <v>16136</v>
      </c>
      <c r="F15" s="1542"/>
      <c r="G15" s="441">
        <v>1.6666666666666667</v>
      </c>
      <c r="H15" s="441">
        <v>1.1666666666666667</v>
      </c>
      <c r="I15" s="1295" t="s">
        <v>16136</v>
      </c>
      <c r="J15" s="1295" t="s">
        <v>16136</v>
      </c>
      <c r="K15" s="1295" t="s">
        <v>16136</v>
      </c>
      <c r="L15" s="441" t="s">
        <v>627</v>
      </c>
      <c r="M15" s="441">
        <v>2.4166666666666665</v>
      </c>
      <c r="N15" s="441" t="s">
        <v>17440</v>
      </c>
      <c r="O15" s="441" t="s">
        <v>377</v>
      </c>
      <c r="P15" s="1295" t="s">
        <v>16136</v>
      </c>
      <c r="Q15" s="1295" t="s">
        <v>16136</v>
      </c>
      <c r="R15" s="1295" t="s">
        <v>16136</v>
      </c>
      <c r="S15" s="441">
        <v>1.3333333333333333</v>
      </c>
      <c r="T15" s="1295" t="s">
        <v>16136</v>
      </c>
      <c r="U15" s="1026" t="s">
        <v>377</v>
      </c>
      <c r="V15" s="320">
        <f t="shared" si="6"/>
        <v>2.2333333333333334</v>
      </c>
      <c r="W15" s="319">
        <f>IF(ISERROR(AVERAGE($B$8:U15)),"",AVERAGE($B$8:U15))</f>
        <v>2.4256756756756759</v>
      </c>
      <c r="X15" s="325" t="s">
        <v>377</v>
      </c>
      <c r="Y15" s="441">
        <v>2.92</v>
      </c>
      <c r="Z15" s="1026" t="s">
        <v>377</v>
      </c>
      <c r="AA15" s="320">
        <f t="shared" si="0"/>
        <v>2.92</v>
      </c>
      <c r="AB15" s="319">
        <f>IF(ISERROR(AVERAGE($X$8:Z15)),"",AVERAGE($X$8:Z15))</f>
        <v>2.7504166666666672</v>
      </c>
      <c r="AC15" s="325">
        <v>2.9166666666666665</v>
      </c>
      <c r="AD15" s="1533"/>
      <c r="AE15" s="441">
        <v>8.875</v>
      </c>
      <c r="AF15" s="1533"/>
      <c r="AG15" s="441" t="s">
        <v>628</v>
      </c>
      <c r="AH15" s="441">
        <v>4.666666666666667</v>
      </c>
      <c r="AI15" s="441">
        <v>6.75</v>
      </c>
      <c r="AJ15" s="1533"/>
      <c r="AK15" s="441" t="s">
        <v>17313</v>
      </c>
      <c r="AL15" s="441">
        <v>4.416666666666667</v>
      </c>
      <c r="AM15" s="1026">
        <v>4.416666666666667</v>
      </c>
      <c r="AN15" s="320">
        <f t="shared" si="1"/>
        <v>5.3402777777777777</v>
      </c>
      <c r="AO15" s="321">
        <f>IF(ISERROR(AVERAGE($AC$8:AM15)),"",AVERAGE($AC$8:AM15))</f>
        <v>4.6666666666666652</v>
      </c>
      <c r="AP15" s="325" t="s">
        <v>377</v>
      </c>
      <c r="AQ15" s="1279" t="s">
        <v>16051</v>
      </c>
      <c r="AR15" s="320" t="str">
        <f t="shared" si="2"/>
        <v/>
      </c>
      <c r="AS15" s="321" t="str">
        <f>IF(ISERROR(AVERAGE(AP$8:$AQ15)),"",AVERAGE(AP$8:$AQ15))</f>
        <v/>
      </c>
      <c r="AT15" s="325" t="s">
        <v>16185</v>
      </c>
      <c r="AU15" s="441" t="s">
        <v>16185</v>
      </c>
      <c r="AV15" s="441" t="s">
        <v>16185</v>
      </c>
      <c r="AW15" s="441" t="s">
        <v>16185</v>
      </c>
      <c r="AX15" s="441" t="s">
        <v>16185</v>
      </c>
      <c r="AY15" s="441" t="s">
        <v>16185</v>
      </c>
      <c r="AZ15" s="441" t="s">
        <v>16185</v>
      </c>
      <c r="BA15" s="441" t="s">
        <v>16185</v>
      </c>
      <c r="BB15" s="322" t="str">
        <f t="shared" si="3"/>
        <v/>
      </c>
      <c r="BC15" s="322" t="str">
        <f t="array" ref="BC15">IF(ISERROR(AVERAGE(AT$8:$BA15)),"",AVERAGE(AT$8:$BA15))</f>
        <v/>
      </c>
      <c r="BD15" s="323">
        <f t="shared" si="4"/>
        <v>3.4978703703703702</v>
      </c>
      <c r="BE15" s="323">
        <f t="shared" si="5"/>
        <v>15</v>
      </c>
      <c r="BF15" s="323">
        <v>13</v>
      </c>
      <c r="BG15" s="323">
        <v>6</v>
      </c>
      <c r="BH15" s="323">
        <v>2</v>
      </c>
      <c r="BI15" s="323">
        <v>2</v>
      </c>
      <c r="BJ15" s="323">
        <v>11</v>
      </c>
      <c r="BK15" s="323">
        <v>9</v>
      </c>
      <c r="BL15" s="323">
        <v>9</v>
      </c>
      <c r="BM15" s="323">
        <v>9</v>
      </c>
      <c r="BN15" s="323">
        <v>9</v>
      </c>
      <c r="BO15" s="323">
        <v>9</v>
      </c>
      <c r="BP15" s="323">
        <v>9</v>
      </c>
      <c r="BQ15" s="323">
        <v>8</v>
      </c>
      <c r="BR15" s="323">
        <v>9</v>
      </c>
      <c r="BS15" s="323">
        <v>9</v>
      </c>
      <c r="BT15" s="323">
        <v>9</v>
      </c>
      <c r="BU15" s="323">
        <v>9</v>
      </c>
      <c r="BV15" s="323">
        <v>0</v>
      </c>
      <c r="BW15" s="323">
        <v>5</v>
      </c>
      <c r="BX15" s="323">
        <v>4</v>
      </c>
      <c r="BY15" s="323">
        <v>3</v>
      </c>
      <c r="BZ15" s="323">
        <v>3</v>
      </c>
      <c r="CA15" s="323">
        <v>3</v>
      </c>
      <c r="CB15" s="323">
        <v>4</v>
      </c>
      <c r="CC15" s="323">
        <v>3</v>
      </c>
      <c r="CD15" s="323">
        <v>4</v>
      </c>
      <c r="CE15" s="323">
        <v>3</v>
      </c>
      <c r="CF15" s="323">
        <v>5</v>
      </c>
      <c r="CG15" s="323">
        <v>3</v>
      </c>
      <c r="CH15" s="323">
        <v>5</v>
      </c>
      <c r="CI15" s="323">
        <v>1</v>
      </c>
      <c r="CJ15" s="323">
        <v>1</v>
      </c>
      <c r="CK15" s="323">
        <v>2</v>
      </c>
      <c r="CL15" s="323">
        <v>2</v>
      </c>
      <c r="CM15" s="323">
        <v>2</v>
      </c>
      <c r="CN15" s="323">
        <v>6</v>
      </c>
      <c r="CO15" s="323">
        <v>4</v>
      </c>
      <c r="CP15" s="616">
        <v>6</v>
      </c>
      <c r="CQ15" s="323">
        <v>5</v>
      </c>
      <c r="CR15" s="323">
        <v>3</v>
      </c>
      <c r="CS15" s="323">
        <v>2</v>
      </c>
      <c r="CT15" s="323">
        <v>0</v>
      </c>
    </row>
    <row r="16" spans="1:98" s="323" customFormat="1" ht="21.95" customHeight="1" thickBot="1">
      <c r="A16" s="324">
        <v>9</v>
      </c>
      <c r="B16" s="1333" t="s">
        <v>377</v>
      </c>
      <c r="C16" s="1295" t="s">
        <v>16136</v>
      </c>
      <c r="D16" s="441">
        <v>4.833333333333333</v>
      </c>
      <c r="E16" s="1295" t="s">
        <v>16136</v>
      </c>
      <c r="F16" s="1542"/>
      <c r="G16" s="441">
        <v>2.0416666666666665</v>
      </c>
      <c r="H16" s="441">
        <v>1</v>
      </c>
      <c r="I16" s="1295" t="s">
        <v>16136</v>
      </c>
      <c r="J16" s="1295" t="s">
        <v>16136</v>
      </c>
      <c r="K16" s="1295" t="s">
        <v>16136</v>
      </c>
      <c r="L16" s="441" t="s">
        <v>628</v>
      </c>
      <c r="M16" s="441">
        <v>2.08</v>
      </c>
      <c r="N16" s="441" t="s">
        <v>17438</v>
      </c>
      <c r="O16" s="441" t="s">
        <v>377</v>
      </c>
      <c r="P16" s="1295" t="s">
        <v>16136</v>
      </c>
      <c r="Q16" s="1295" t="s">
        <v>16136</v>
      </c>
      <c r="R16" s="1295" t="s">
        <v>16136</v>
      </c>
      <c r="S16" s="441">
        <v>1.5833333333333333</v>
      </c>
      <c r="T16" s="1295" t="s">
        <v>16136</v>
      </c>
      <c r="U16" s="1026" t="s">
        <v>377</v>
      </c>
      <c r="V16" s="320">
        <f t="shared" si="6"/>
        <v>2.307666666666667</v>
      </c>
      <c r="W16" s="319">
        <f>IF(ISERROR(AVERAGE($B$8:U16)),"",AVERAGE($B$8:U16))</f>
        <v>2.4116269841269844</v>
      </c>
      <c r="X16" s="325" t="s">
        <v>377</v>
      </c>
      <c r="Y16" s="441">
        <v>2.25</v>
      </c>
      <c r="Z16" s="1026" t="s">
        <v>377</v>
      </c>
      <c r="AA16" s="320">
        <f t="shared" si="0"/>
        <v>2.25</v>
      </c>
      <c r="AB16" s="319">
        <f>IF(ISERROR(AVERAGE($X$8:Z16)),"",AVERAGE($X$8:Z16))</f>
        <v>2.6948148148148152</v>
      </c>
      <c r="AC16" s="325">
        <v>6.916666666666667</v>
      </c>
      <c r="AD16" s="441" t="s">
        <v>17567</v>
      </c>
      <c r="AE16" s="441">
        <v>6.666666666666667</v>
      </c>
      <c r="AF16" s="1533"/>
      <c r="AG16" s="441">
        <v>5.25</v>
      </c>
      <c r="AH16" s="441">
        <v>3.8333333333333335</v>
      </c>
      <c r="AI16" s="441">
        <v>5.083333333333333</v>
      </c>
      <c r="AJ16" s="1533"/>
      <c r="AK16" s="441" t="s">
        <v>17313</v>
      </c>
      <c r="AL16" s="441">
        <v>3.8333333333333335</v>
      </c>
      <c r="AM16" s="1026">
        <v>3.875</v>
      </c>
      <c r="AN16" s="320">
        <f t="shared" si="1"/>
        <v>5.0654761904761898</v>
      </c>
      <c r="AO16" s="321">
        <f>IF(ISERROR(AVERAGE($AC$8:AM16)),"",AVERAGE($AC$8:AM16))</f>
        <v>4.7131944444444418</v>
      </c>
      <c r="AP16" s="325" t="s">
        <v>17442</v>
      </c>
      <c r="AQ16" s="1279" t="s">
        <v>16051</v>
      </c>
      <c r="AR16" s="320" t="str">
        <f t="shared" si="2"/>
        <v/>
      </c>
      <c r="AS16" s="321" t="str">
        <f>IF(ISERROR(AVERAGE(AP$8:$AQ16)),"",AVERAGE(AP$8:$AQ16))</f>
        <v/>
      </c>
      <c r="AT16" s="325" t="s">
        <v>16185</v>
      </c>
      <c r="AU16" s="441" t="s">
        <v>16185</v>
      </c>
      <c r="AV16" s="441" t="s">
        <v>16185</v>
      </c>
      <c r="AW16" s="441" t="s">
        <v>16185</v>
      </c>
      <c r="AX16" s="441" t="s">
        <v>16185</v>
      </c>
      <c r="AY16" s="441" t="s">
        <v>16185</v>
      </c>
      <c r="AZ16" s="441" t="s">
        <v>16185</v>
      </c>
      <c r="BA16" s="441" t="s">
        <v>16185</v>
      </c>
      <c r="BB16" s="322" t="str">
        <f t="shared" si="3"/>
        <v/>
      </c>
      <c r="BC16" s="322" t="str">
        <f t="array" ref="BC16">IF(ISERROR(AVERAGE(AT$8:$BA16)),"",AVERAGE(AT$8:$BA16))</f>
        <v/>
      </c>
      <c r="BD16" s="323">
        <f t="shared" si="4"/>
        <v>3.2077142857142853</v>
      </c>
      <c r="BE16" s="323">
        <f t="shared" si="5"/>
        <v>14</v>
      </c>
      <c r="BF16" s="323">
        <v>13</v>
      </c>
      <c r="BG16" s="323">
        <v>5</v>
      </c>
      <c r="BH16" s="323">
        <v>2</v>
      </c>
      <c r="BI16" s="323">
        <v>2</v>
      </c>
      <c r="BJ16" s="323">
        <v>11</v>
      </c>
      <c r="BK16" s="323">
        <v>9</v>
      </c>
      <c r="BL16" s="323">
        <v>9</v>
      </c>
      <c r="BM16" s="323">
        <v>9</v>
      </c>
      <c r="BN16" s="323">
        <v>9</v>
      </c>
      <c r="BO16" s="323">
        <v>9</v>
      </c>
      <c r="BP16" s="323">
        <v>9</v>
      </c>
      <c r="BQ16" s="323">
        <v>8</v>
      </c>
      <c r="BR16" s="323">
        <v>9</v>
      </c>
      <c r="BS16" s="323">
        <v>9</v>
      </c>
      <c r="BT16" s="323">
        <v>9</v>
      </c>
      <c r="BU16" s="323">
        <v>9</v>
      </c>
      <c r="BV16" s="323">
        <v>0</v>
      </c>
      <c r="BW16" s="323">
        <v>5</v>
      </c>
      <c r="BX16" s="323">
        <v>4</v>
      </c>
      <c r="BY16" s="323">
        <v>2</v>
      </c>
      <c r="BZ16" s="323">
        <v>3</v>
      </c>
      <c r="CA16" s="323">
        <v>3</v>
      </c>
      <c r="CB16" s="323">
        <v>4</v>
      </c>
      <c r="CC16" s="323">
        <v>3</v>
      </c>
      <c r="CD16" s="323">
        <v>3</v>
      </c>
      <c r="CE16" s="323">
        <v>4</v>
      </c>
      <c r="CF16" s="323">
        <v>5</v>
      </c>
      <c r="CG16" s="616">
        <v>36</v>
      </c>
      <c r="CH16" s="323">
        <v>5</v>
      </c>
      <c r="CI16" s="323">
        <v>1</v>
      </c>
      <c r="CJ16" s="323">
        <v>1</v>
      </c>
      <c r="CK16" s="323">
        <v>2</v>
      </c>
      <c r="CL16" s="323">
        <v>2</v>
      </c>
      <c r="CM16" s="323">
        <v>1</v>
      </c>
      <c r="CN16" s="323">
        <v>6</v>
      </c>
      <c r="CO16" s="323">
        <v>4</v>
      </c>
      <c r="CP16" s="323">
        <v>8</v>
      </c>
      <c r="CQ16" s="323">
        <v>5</v>
      </c>
      <c r="CR16" s="323">
        <v>3</v>
      </c>
      <c r="CS16" s="323">
        <v>2</v>
      </c>
      <c r="CT16" s="323">
        <v>0</v>
      </c>
    </row>
    <row r="17" spans="1:98" s="323" customFormat="1" ht="21.95" customHeight="1" thickBot="1">
      <c r="A17" s="324">
        <v>10</v>
      </c>
      <c r="B17" s="1333" t="s">
        <v>377</v>
      </c>
      <c r="C17" s="1295" t="s">
        <v>16136</v>
      </c>
      <c r="D17" s="441">
        <v>3.3333333333333335</v>
      </c>
      <c r="E17" s="1295" t="s">
        <v>16136</v>
      </c>
      <c r="F17" s="1542"/>
      <c r="G17" s="441">
        <v>1.2083333333333333</v>
      </c>
      <c r="H17" s="441">
        <v>0.875</v>
      </c>
      <c r="I17" s="1295" t="s">
        <v>16136</v>
      </c>
      <c r="J17" s="441">
        <v>3.875</v>
      </c>
      <c r="K17" s="1295" t="s">
        <v>16136</v>
      </c>
      <c r="L17" s="441">
        <v>2.75</v>
      </c>
      <c r="M17" s="441">
        <v>2.4166666666666665</v>
      </c>
      <c r="N17" s="441">
        <v>0.41666666666666669</v>
      </c>
      <c r="O17" s="441" t="s">
        <v>377</v>
      </c>
      <c r="P17" s="1295" t="s">
        <v>16136</v>
      </c>
      <c r="Q17" s="1295" t="s">
        <v>16136</v>
      </c>
      <c r="R17" s="1295" t="s">
        <v>16136</v>
      </c>
      <c r="S17" s="441">
        <v>1.0833333333333333</v>
      </c>
      <c r="T17" s="1295" t="s">
        <v>16136</v>
      </c>
      <c r="U17" s="1026" t="s">
        <v>377</v>
      </c>
      <c r="V17" s="320">
        <f t="shared" si="6"/>
        <v>1.9947916666666667</v>
      </c>
      <c r="W17" s="319">
        <f>IF(ISERROR(AVERAGE($B$8:U17)),"",AVERAGE($B$8:U17))</f>
        <v>2.3449333333333335</v>
      </c>
      <c r="X17" s="325" t="s">
        <v>377</v>
      </c>
      <c r="Y17" s="441">
        <v>3.5</v>
      </c>
      <c r="Z17" s="1026" t="s">
        <v>377</v>
      </c>
      <c r="AA17" s="320">
        <f t="shared" si="0"/>
        <v>3.5</v>
      </c>
      <c r="AB17" s="319">
        <f>IF(ISERROR(AVERAGE($X$8:Z17)),"",AVERAGE($X$8:Z17))</f>
        <v>2.7753333333333337</v>
      </c>
      <c r="AC17" s="325">
        <v>6.25</v>
      </c>
      <c r="AD17" s="441" t="s">
        <v>17567</v>
      </c>
      <c r="AE17" s="441">
        <v>7.958333333333333</v>
      </c>
      <c r="AF17" s="1533"/>
      <c r="AG17" s="441">
        <v>5.041666666666667</v>
      </c>
      <c r="AH17" s="441">
        <v>3.75</v>
      </c>
      <c r="AI17" s="441">
        <v>5.083333333333333</v>
      </c>
      <c r="AJ17" s="1533"/>
      <c r="AK17" s="441" t="s">
        <v>17313</v>
      </c>
      <c r="AL17" s="441">
        <v>4</v>
      </c>
      <c r="AM17" s="1026">
        <v>4</v>
      </c>
      <c r="AN17" s="320">
        <f t="shared" si="1"/>
        <v>5.1547619047619042</v>
      </c>
      <c r="AO17" s="321">
        <f>IF(ISERROR(AVERAGE($AC$8:AM17)),"",AVERAGE($AC$8:AM17))</f>
        <v>4.7593283582089523</v>
      </c>
      <c r="AP17" s="325">
        <v>21</v>
      </c>
      <c r="AQ17" s="1279" t="s">
        <v>16051</v>
      </c>
      <c r="AR17" s="320">
        <f t="shared" si="2"/>
        <v>21</v>
      </c>
      <c r="AS17" s="321">
        <f>IF(ISERROR(AVERAGE(AP$8:$AQ17)),"",AVERAGE(AP$8:$AQ17))</f>
        <v>21</v>
      </c>
      <c r="AT17" s="325" t="s">
        <v>16185</v>
      </c>
      <c r="AU17" s="441" t="s">
        <v>16185</v>
      </c>
      <c r="AV17" s="441" t="s">
        <v>16185</v>
      </c>
      <c r="AW17" s="441" t="s">
        <v>16185</v>
      </c>
      <c r="AX17" s="441" t="s">
        <v>16185</v>
      </c>
      <c r="AY17" s="441" t="s">
        <v>16185</v>
      </c>
      <c r="AZ17" s="441" t="s">
        <v>16185</v>
      </c>
      <c r="BA17" s="441" t="s">
        <v>16185</v>
      </c>
      <c r="BB17" s="322" t="str">
        <f t="shared" si="3"/>
        <v/>
      </c>
      <c r="BC17" s="322" t="str">
        <f t="array" ref="BC17">IF(ISERROR(AVERAGE(AT$8:$BA17)),"",AVERAGE(AT$8:$BA17))</f>
        <v/>
      </c>
      <c r="BD17" s="323">
        <f t="shared" si="4"/>
        <v>7.9123883928571423</v>
      </c>
      <c r="BE17" s="323">
        <f t="shared" si="5"/>
        <v>13</v>
      </c>
      <c r="BF17" s="323">
        <v>13</v>
      </c>
      <c r="BG17" s="323">
        <v>5</v>
      </c>
      <c r="BH17" s="323">
        <v>2</v>
      </c>
      <c r="BI17" s="323">
        <v>5</v>
      </c>
      <c r="BJ17" s="323">
        <v>11</v>
      </c>
      <c r="BK17" s="323">
        <v>9</v>
      </c>
      <c r="BL17" s="323">
        <v>9</v>
      </c>
      <c r="BM17" s="323">
        <v>9</v>
      </c>
      <c r="BN17" s="323">
        <v>9</v>
      </c>
      <c r="BO17" s="323">
        <v>9</v>
      </c>
      <c r="BP17" s="323">
        <v>9</v>
      </c>
      <c r="BQ17" s="323">
        <v>8</v>
      </c>
      <c r="BR17" s="323">
        <v>9</v>
      </c>
      <c r="BS17" s="323">
        <v>9</v>
      </c>
      <c r="BT17" s="323">
        <v>9</v>
      </c>
      <c r="BU17" s="323">
        <v>9</v>
      </c>
      <c r="BV17" s="323">
        <v>0</v>
      </c>
      <c r="BW17" s="323">
        <v>5</v>
      </c>
      <c r="BX17" s="323">
        <v>4</v>
      </c>
      <c r="BY17" s="323">
        <v>3</v>
      </c>
      <c r="BZ17" s="323">
        <v>3</v>
      </c>
      <c r="CA17" s="323">
        <v>3</v>
      </c>
      <c r="CB17" s="323">
        <v>5</v>
      </c>
      <c r="CC17" s="323">
        <v>3</v>
      </c>
      <c r="CD17" s="323">
        <v>3</v>
      </c>
      <c r="CE17" s="323">
        <v>4</v>
      </c>
      <c r="CF17" s="323">
        <v>5</v>
      </c>
      <c r="CG17" s="616">
        <v>36</v>
      </c>
      <c r="CH17" s="323">
        <v>4</v>
      </c>
      <c r="CI17" s="323">
        <v>1</v>
      </c>
      <c r="CJ17" s="323">
        <v>1</v>
      </c>
      <c r="CK17" s="323">
        <v>2</v>
      </c>
      <c r="CL17" s="323">
        <v>2</v>
      </c>
      <c r="CM17" s="323">
        <v>1</v>
      </c>
      <c r="CN17" s="323">
        <v>4</v>
      </c>
      <c r="CO17" s="323">
        <v>4</v>
      </c>
      <c r="CP17" s="323">
        <v>9</v>
      </c>
      <c r="CQ17" s="323">
        <v>5</v>
      </c>
      <c r="CR17" s="323">
        <v>2</v>
      </c>
      <c r="CS17" s="323">
        <v>2</v>
      </c>
      <c r="CT17" s="323">
        <v>0</v>
      </c>
    </row>
    <row r="18" spans="1:98" s="323" customFormat="1" ht="21.95" customHeight="1" thickBot="1">
      <c r="A18" s="324">
        <v>11</v>
      </c>
      <c r="B18" s="1333" t="s">
        <v>377</v>
      </c>
      <c r="C18" s="1295" t="s">
        <v>16136</v>
      </c>
      <c r="D18" s="441">
        <v>5.833333333333333</v>
      </c>
      <c r="E18" s="1295" t="s">
        <v>16136</v>
      </c>
      <c r="F18" s="1542"/>
      <c r="G18" s="441">
        <v>2.5833333333333335</v>
      </c>
      <c r="H18" s="441">
        <v>0.83333333333333337</v>
      </c>
      <c r="I18" s="1295" t="s">
        <v>16136</v>
      </c>
      <c r="J18" s="441">
        <v>4.083333333333333</v>
      </c>
      <c r="K18" s="1295" t="s">
        <v>16136</v>
      </c>
      <c r="L18" s="441" t="s">
        <v>127</v>
      </c>
      <c r="M18" s="441">
        <v>2.8333333333333335</v>
      </c>
      <c r="N18" s="441">
        <v>1.5833333333333333</v>
      </c>
      <c r="O18" s="441" t="s">
        <v>377</v>
      </c>
      <c r="P18" s="1295" t="s">
        <v>16136</v>
      </c>
      <c r="Q18" s="1295" t="s">
        <v>16136</v>
      </c>
      <c r="R18" s="1295" t="s">
        <v>16136</v>
      </c>
      <c r="S18" s="441">
        <v>1.2916666666666667</v>
      </c>
      <c r="T18" s="1295" t="s">
        <v>16136</v>
      </c>
      <c r="U18" s="1026" t="s">
        <v>377</v>
      </c>
      <c r="V18" s="320">
        <f t="shared" si="6"/>
        <v>2.7202380952380949</v>
      </c>
      <c r="W18" s="319">
        <f>IF(ISERROR(AVERAGE($B$8:U18)),"",AVERAGE($B$8:U18))</f>
        <v>2.3910233918128654</v>
      </c>
      <c r="X18" s="325" t="s">
        <v>377</v>
      </c>
      <c r="Y18" s="441">
        <v>3.9166666666666665</v>
      </c>
      <c r="Z18" s="1026" t="s">
        <v>377</v>
      </c>
      <c r="AA18" s="320">
        <f t="shared" si="0"/>
        <v>3.9166666666666665</v>
      </c>
      <c r="AB18" s="319">
        <f>IF(ISERROR(AVERAGE($X$8:Z18)),"",AVERAGE($X$8:Z18))</f>
        <v>2.8790909090909094</v>
      </c>
      <c r="AC18" s="325">
        <v>5.916666666666667</v>
      </c>
      <c r="AD18" s="441" t="s">
        <v>17567</v>
      </c>
      <c r="AE18" s="441">
        <v>8.7916666666666661</v>
      </c>
      <c r="AF18" s="1533"/>
      <c r="AG18" s="441">
        <v>5.375</v>
      </c>
      <c r="AH18" s="441">
        <v>4.5</v>
      </c>
      <c r="AI18" s="441">
        <v>5.916666666666667</v>
      </c>
      <c r="AJ18" s="1533"/>
      <c r="AK18" s="441" t="s">
        <v>17313</v>
      </c>
      <c r="AL18" s="441">
        <v>4.5</v>
      </c>
      <c r="AM18" s="1026">
        <v>4.125</v>
      </c>
      <c r="AN18" s="320">
        <f t="shared" si="1"/>
        <v>5.5892857142857144</v>
      </c>
      <c r="AO18" s="321">
        <f>IF(ISERROR(AVERAGE($AC$8:AM18)),"",AVERAGE($AC$8:AM18))</f>
        <v>4.8378378378378359</v>
      </c>
      <c r="AP18" s="325">
        <v>11.25</v>
      </c>
      <c r="AQ18" s="1279" t="s">
        <v>16051</v>
      </c>
      <c r="AR18" s="320">
        <f t="shared" si="2"/>
        <v>11.25</v>
      </c>
      <c r="AS18" s="321">
        <f>IF(ISERROR(AVERAGE(AP$8:$AQ18)),"",AVERAGE(AP$8:$AQ18))</f>
        <v>16.125</v>
      </c>
      <c r="AT18" s="325" t="s">
        <v>16185</v>
      </c>
      <c r="AU18" s="441" t="s">
        <v>16185</v>
      </c>
      <c r="AV18" s="441" t="s">
        <v>16185</v>
      </c>
      <c r="AW18" s="441" t="s">
        <v>16185</v>
      </c>
      <c r="AX18" s="441" t="s">
        <v>16185</v>
      </c>
      <c r="AY18" s="441" t="s">
        <v>16185</v>
      </c>
      <c r="AZ18" s="441" t="s">
        <v>16185</v>
      </c>
      <c r="BA18" s="441" t="s">
        <v>16185</v>
      </c>
      <c r="BB18" s="322" t="str">
        <f t="shared" si="3"/>
        <v/>
      </c>
      <c r="BC18" s="322" t="str">
        <f t="array" ref="BC18">IF(ISERROR(AVERAGE(AT$8:$BA18)),"",AVERAGE(AT$8:$BA18))</f>
        <v/>
      </c>
      <c r="BD18" s="323">
        <f t="shared" si="4"/>
        <v>5.8690476190476186</v>
      </c>
      <c r="BE18" s="323">
        <f t="shared" si="5"/>
        <v>13</v>
      </c>
      <c r="BF18" s="323">
        <v>13</v>
      </c>
      <c r="BG18" s="323">
        <v>5</v>
      </c>
      <c r="BH18" s="323">
        <v>2</v>
      </c>
      <c r="BI18" s="323">
        <v>5</v>
      </c>
      <c r="BJ18" s="323">
        <v>11</v>
      </c>
      <c r="BK18" s="323">
        <v>9</v>
      </c>
      <c r="BL18" s="323">
        <v>9</v>
      </c>
      <c r="BM18" s="323">
        <v>9</v>
      </c>
      <c r="BN18" s="323">
        <v>9</v>
      </c>
      <c r="BO18" s="323">
        <v>9</v>
      </c>
      <c r="BP18" s="323">
        <v>9</v>
      </c>
      <c r="BQ18" s="323">
        <v>8</v>
      </c>
      <c r="BR18" s="323">
        <v>9</v>
      </c>
      <c r="BS18" s="323">
        <v>9</v>
      </c>
      <c r="BT18" s="323">
        <v>10</v>
      </c>
      <c r="BU18" s="323">
        <v>9</v>
      </c>
      <c r="BV18" s="323">
        <v>0</v>
      </c>
      <c r="BW18" s="323">
        <v>5</v>
      </c>
      <c r="BX18" s="323">
        <v>4</v>
      </c>
      <c r="BY18" s="323">
        <v>3</v>
      </c>
      <c r="BZ18" s="323">
        <v>3</v>
      </c>
      <c r="CA18" s="323">
        <v>3</v>
      </c>
      <c r="CB18" s="323">
        <v>5</v>
      </c>
      <c r="CC18" s="323">
        <v>3</v>
      </c>
      <c r="CD18" s="323">
        <v>3</v>
      </c>
      <c r="CE18" s="323">
        <v>4</v>
      </c>
      <c r="CF18" s="323">
        <v>5</v>
      </c>
      <c r="CG18" s="616">
        <v>36</v>
      </c>
      <c r="CH18" s="323">
        <v>4</v>
      </c>
      <c r="CI18" s="323">
        <v>1</v>
      </c>
      <c r="CJ18" s="323">
        <v>1</v>
      </c>
      <c r="CK18" s="323">
        <v>2</v>
      </c>
      <c r="CL18" s="323">
        <v>2</v>
      </c>
      <c r="CM18" s="323">
        <v>1</v>
      </c>
      <c r="CN18" s="323">
        <v>3</v>
      </c>
      <c r="CO18" s="323">
        <v>4</v>
      </c>
      <c r="CP18" s="323">
        <v>8</v>
      </c>
      <c r="CQ18" s="323">
        <v>4</v>
      </c>
      <c r="CR18" s="323">
        <v>2</v>
      </c>
      <c r="CS18" s="323">
        <v>2</v>
      </c>
      <c r="CT18" s="323">
        <v>1</v>
      </c>
    </row>
    <row r="19" spans="1:98" s="323" customFormat="1" ht="21.95" customHeight="1" thickBot="1">
      <c r="A19" s="324">
        <v>12</v>
      </c>
      <c r="B19" s="1333" t="s">
        <v>377</v>
      </c>
      <c r="C19" s="1295" t="s">
        <v>16136</v>
      </c>
      <c r="D19" s="441" t="s">
        <v>127</v>
      </c>
      <c r="E19" s="1295" t="s">
        <v>16136</v>
      </c>
      <c r="F19" s="1542"/>
      <c r="G19" s="441">
        <v>1.25</v>
      </c>
      <c r="H19" s="441">
        <v>2.2916666666666665</v>
      </c>
      <c r="I19" s="1295" t="s">
        <v>16136</v>
      </c>
      <c r="J19" s="441">
        <v>4.208333333333333</v>
      </c>
      <c r="K19" s="1295" t="s">
        <v>16136</v>
      </c>
      <c r="L19" s="441" t="s">
        <v>127</v>
      </c>
      <c r="M19" s="441">
        <v>2.25</v>
      </c>
      <c r="N19" s="441">
        <v>1.5</v>
      </c>
      <c r="O19" s="441" t="s">
        <v>377</v>
      </c>
      <c r="P19" s="1295" t="s">
        <v>16136</v>
      </c>
      <c r="Q19" s="1295" t="s">
        <v>16136</v>
      </c>
      <c r="R19" s="1295" t="s">
        <v>16136</v>
      </c>
      <c r="S19" s="441">
        <v>1.4166666666666667</v>
      </c>
      <c r="T19" s="1295" t="s">
        <v>16136</v>
      </c>
      <c r="U19" s="1026" t="s">
        <v>377</v>
      </c>
      <c r="V19" s="320">
        <f t="shared" si="6"/>
        <v>2.1527777777777777</v>
      </c>
      <c r="W19" s="319">
        <f>IF(ISERROR(AVERAGE($B$8:U19)),"",AVERAGE($B$8:U19))</f>
        <v>2.3683333333333332</v>
      </c>
      <c r="X19" s="325" t="s">
        <v>377</v>
      </c>
      <c r="Y19" s="441">
        <v>4.25</v>
      </c>
      <c r="Z19" s="1026" t="s">
        <v>377</v>
      </c>
      <c r="AA19" s="320">
        <f t="shared" si="0"/>
        <v>4.25</v>
      </c>
      <c r="AB19" s="319">
        <f>IF(ISERROR(AVERAGE($X$8:Z19)),"",AVERAGE($X$8:Z19))</f>
        <v>2.9933333333333336</v>
      </c>
      <c r="AC19" s="325">
        <v>5.166666666666667</v>
      </c>
      <c r="AD19" s="441" t="s">
        <v>17567</v>
      </c>
      <c r="AE19" s="441">
        <v>9.25</v>
      </c>
      <c r="AF19" s="1533"/>
      <c r="AG19" s="441">
        <v>4.125</v>
      </c>
      <c r="AH19" s="441">
        <v>2.9166666666666665</v>
      </c>
      <c r="AI19" s="441">
        <v>5.083333333333333</v>
      </c>
      <c r="AJ19" s="1533"/>
      <c r="AK19" s="441" t="s">
        <v>17313</v>
      </c>
      <c r="AL19" s="441">
        <v>5.083333333333333</v>
      </c>
      <c r="AM19" s="1026">
        <v>2.9166666666666665</v>
      </c>
      <c r="AN19" s="320">
        <f t="shared" si="1"/>
        <v>4.9345238095238093</v>
      </c>
      <c r="AO19" s="321">
        <f>IF(ISERROR(AVERAGE($AC$8:AM19)),"",AVERAGE($AC$8:AM19))</f>
        <v>4.8461934156378588</v>
      </c>
      <c r="AP19" s="325">
        <v>14.25</v>
      </c>
      <c r="AQ19" s="1279" t="s">
        <v>16051</v>
      </c>
      <c r="AR19" s="320">
        <f t="shared" si="2"/>
        <v>14.25</v>
      </c>
      <c r="AS19" s="321">
        <f>IF(ISERROR(AVERAGE(AP$8:$AQ19)),"",AVERAGE(AP$8:$AQ19))</f>
        <v>15.5</v>
      </c>
      <c r="AT19" s="325" t="s">
        <v>16185</v>
      </c>
      <c r="AU19" s="441" t="s">
        <v>16185</v>
      </c>
      <c r="AV19" s="441" t="s">
        <v>16185</v>
      </c>
      <c r="AW19" s="441" t="s">
        <v>16185</v>
      </c>
      <c r="AX19" s="441" t="s">
        <v>16185</v>
      </c>
      <c r="AY19" s="441" t="s">
        <v>16185</v>
      </c>
      <c r="AZ19" s="441" t="s">
        <v>16185</v>
      </c>
      <c r="BA19" s="441" t="s">
        <v>16185</v>
      </c>
      <c r="BB19" s="322" t="str">
        <f t="shared" si="3"/>
        <v/>
      </c>
      <c r="BC19" s="322" t="str">
        <f t="array" ref="BC19">IF(ISERROR(AVERAGE(AT$8:$BA19)),"",AVERAGE(AT$8:$BA19))</f>
        <v/>
      </c>
      <c r="BD19" s="323">
        <f t="shared" si="4"/>
        <v>6.3968253968253972</v>
      </c>
      <c r="BE19" s="323">
        <f t="shared" si="5"/>
        <v>13</v>
      </c>
      <c r="BF19" s="323">
        <v>13</v>
      </c>
      <c r="BG19" s="323">
        <v>5</v>
      </c>
      <c r="BH19" s="323">
        <v>2</v>
      </c>
      <c r="BI19" s="323">
        <v>5</v>
      </c>
      <c r="BJ19" s="323">
        <v>11</v>
      </c>
      <c r="BK19" s="323">
        <v>9</v>
      </c>
      <c r="BL19" s="323">
        <v>9</v>
      </c>
      <c r="BM19" s="323">
        <v>9</v>
      </c>
      <c r="BN19" s="323">
        <v>9</v>
      </c>
      <c r="BO19" s="323">
        <v>9</v>
      </c>
      <c r="BP19" s="323">
        <v>9</v>
      </c>
      <c r="BQ19" s="323">
        <v>8</v>
      </c>
      <c r="BR19" s="323">
        <v>9</v>
      </c>
      <c r="BS19" s="323">
        <v>9</v>
      </c>
      <c r="BT19" s="323">
        <v>10</v>
      </c>
      <c r="BU19" s="323">
        <v>9</v>
      </c>
      <c r="BV19" s="323">
        <v>0</v>
      </c>
      <c r="BW19" s="323">
        <v>5</v>
      </c>
      <c r="BX19" s="323">
        <v>4</v>
      </c>
      <c r="BY19" s="323">
        <v>3</v>
      </c>
      <c r="BZ19" s="323">
        <v>3</v>
      </c>
      <c r="CA19" s="323">
        <v>3</v>
      </c>
      <c r="CB19" s="323">
        <v>5</v>
      </c>
      <c r="CC19" s="323">
        <v>3</v>
      </c>
      <c r="CD19" s="323">
        <v>3</v>
      </c>
      <c r="CE19" s="323">
        <v>4</v>
      </c>
      <c r="CF19" s="323">
        <v>5</v>
      </c>
      <c r="CG19" s="616">
        <v>36</v>
      </c>
      <c r="CH19" s="323">
        <v>4</v>
      </c>
      <c r="CI19" s="323">
        <v>1</v>
      </c>
      <c r="CJ19" s="323">
        <v>1</v>
      </c>
      <c r="CK19" s="323">
        <v>2</v>
      </c>
      <c r="CL19" s="323">
        <v>2</v>
      </c>
      <c r="CM19" s="323">
        <v>1</v>
      </c>
      <c r="CN19" s="323">
        <v>2</v>
      </c>
      <c r="CO19" s="323">
        <v>3</v>
      </c>
      <c r="CP19" s="323">
        <v>7</v>
      </c>
      <c r="CQ19" s="323">
        <v>4</v>
      </c>
      <c r="CR19" s="323">
        <v>3</v>
      </c>
      <c r="CS19" s="323">
        <v>2</v>
      </c>
      <c r="CT19" s="323">
        <v>1</v>
      </c>
    </row>
    <row r="20" spans="1:98" s="323" customFormat="1" ht="21.95" customHeight="1" thickBot="1">
      <c r="A20" s="324">
        <v>13</v>
      </c>
      <c r="B20" s="1333" t="s">
        <v>377</v>
      </c>
      <c r="C20" s="1295" t="s">
        <v>16136</v>
      </c>
      <c r="D20" s="441" t="s">
        <v>127</v>
      </c>
      <c r="E20" s="1295" t="s">
        <v>16136</v>
      </c>
      <c r="F20" s="1542"/>
      <c r="G20" s="441">
        <v>2.0833333333333335</v>
      </c>
      <c r="H20" s="441">
        <v>0.54166666666666663</v>
      </c>
      <c r="I20" s="1295" t="s">
        <v>16136</v>
      </c>
      <c r="J20" s="441">
        <v>4.38</v>
      </c>
      <c r="K20" s="1295" t="s">
        <v>16136</v>
      </c>
      <c r="L20" s="441" t="s">
        <v>127</v>
      </c>
      <c r="M20" s="441">
        <v>1</v>
      </c>
      <c r="N20" s="441">
        <v>2.5833333333333335</v>
      </c>
      <c r="O20" s="441" t="s">
        <v>377</v>
      </c>
      <c r="P20" s="1295" t="s">
        <v>16136</v>
      </c>
      <c r="Q20" s="1295" t="s">
        <v>16136</v>
      </c>
      <c r="R20" s="1295" t="s">
        <v>16136</v>
      </c>
      <c r="S20" s="441" t="s">
        <v>627</v>
      </c>
      <c r="T20" s="1295" t="s">
        <v>16136</v>
      </c>
      <c r="U20" s="1026" t="s">
        <v>377</v>
      </c>
      <c r="V20" s="320">
        <f t="shared" si="6"/>
        <v>2.1176666666666666</v>
      </c>
      <c r="W20" s="319">
        <f>IF(ISERROR(AVERAGE($B$8:U20)),"",AVERAGE($B$8:U20))</f>
        <v>2.3499019607843135</v>
      </c>
      <c r="X20" s="325" t="s">
        <v>377</v>
      </c>
      <c r="Y20" s="441" t="s">
        <v>17383</v>
      </c>
      <c r="Z20" s="1026" t="s">
        <v>377</v>
      </c>
      <c r="AA20" s="320" t="str">
        <f t="shared" si="0"/>
        <v/>
      </c>
      <c r="AB20" s="319">
        <f>IF(ISERROR(AVERAGE($X$8:Z20)),"",AVERAGE($X$8:Z20))</f>
        <v>2.9933333333333336</v>
      </c>
      <c r="AC20" s="325">
        <v>4.833333333333333</v>
      </c>
      <c r="AD20" s="441" t="s">
        <v>17567</v>
      </c>
      <c r="AE20" s="441">
        <v>11.791666666666666</v>
      </c>
      <c r="AF20" s="1533"/>
      <c r="AG20" s="441">
        <v>4.083333333333333</v>
      </c>
      <c r="AH20" s="441">
        <v>4.5</v>
      </c>
      <c r="AI20" s="441">
        <v>4.5</v>
      </c>
      <c r="AJ20" s="1533"/>
      <c r="AK20" s="441" t="s">
        <v>17313</v>
      </c>
      <c r="AL20" s="441">
        <v>7.166666666666667</v>
      </c>
      <c r="AM20" s="1026">
        <v>3.6666666666666665</v>
      </c>
      <c r="AN20" s="320">
        <f t="shared" si="1"/>
        <v>5.7916666666666661</v>
      </c>
      <c r="AO20" s="321">
        <f>IF(ISERROR(AVERAGE($AC$8:AM20)),"",AVERAGE($AC$8:AM20))</f>
        <v>4.9214015151515147</v>
      </c>
      <c r="AP20" s="325">
        <v>11.25</v>
      </c>
      <c r="AQ20" s="1279" t="s">
        <v>16051</v>
      </c>
      <c r="AR20" s="320">
        <f t="shared" si="2"/>
        <v>11.25</v>
      </c>
      <c r="AS20" s="321">
        <f>IF(ISERROR(AVERAGE(AP$8:$AQ20)),"",AVERAGE(AP$8:$AQ20))</f>
        <v>14.4375</v>
      </c>
      <c r="AT20" s="325" t="s">
        <v>16185</v>
      </c>
      <c r="AU20" s="441" t="s">
        <v>16185</v>
      </c>
      <c r="AV20" s="441" t="s">
        <v>16185</v>
      </c>
      <c r="AW20" s="441" t="s">
        <v>16185</v>
      </c>
      <c r="AX20" s="441" t="s">
        <v>16185</v>
      </c>
      <c r="AY20" s="441" t="s">
        <v>16185</v>
      </c>
      <c r="AZ20" s="441" t="s">
        <v>16185</v>
      </c>
      <c r="BA20" s="441" t="s">
        <v>16185</v>
      </c>
      <c r="BB20" s="322" t="str">
        <f t="shared" si="3"/>
        <v/>
      </c>
      <c r="BC20" s="322" t="str">
        <f t="array" ref="BC20">IF(ISERROR(AVERAGE(AT$8:$BA20)),"",AVERAGE(AT$8:$BA20))</f>
        <v/>
      </c>
      <c r="BD20" s="323">
        <f t="shared" si="4"/>
        <v>6.3864444444444439</v>
      </c>
      <c r="BE20" s="323">
        <f t="shared" si="5"/>
        <v>13</v>
      </c>
      <c r="BF20" s="323">
        <v>13</v>
      </c>
      <c r="BG20" s="323">
        <v>5</v>
      </c>
      <c r="BH20" s="323">
        <v>2</v>
      </c>
      <c r="BI20" s="323">
        <v>5</v>
      </c>
      <c r="BJ20" s="323">
        <v>11</v>
      </c>
      <c r="BK20" s="323">
        <v>9</v>
      </c>
      <c r="BL20" s="323">
        <v>9</v>
      </c>
      <c r="BM20" s="323">
        <v>9</v>
      </c>
      <c r="BN20" s="323">
        <v>9</v>
      </c>
      <c r="BO20" s="323">
        <v>9</v>
      </c>
      <c r="BP20" s="323">
        <v>9</v>
      </c>
      <c r="BQ20" s="323">
        <v>8</v>
      </c>
      <c r="BR20" s="323">
        <v>9</v>
      </c>
      <c r="BS20" s="323">
        <v>9</v>
      </c>
      <c r="BT20" s="323">
        <v>9</v>
      </c>
      <c r="BU20" s="323">
        <v>9</v>
      </c>
      <c r="BV20" s="323">
        <v>0</v>
      </c>
      <c r="BW20" s="323">
        <v>5</v>
      </c>
      <c r="BX20" s="323">
        <v>4</v>
      </c>
      <c r="BY20" s="323">
        <v>3</v>
      </c>
      <c r="BZ20" s="323">
        <v>4</v>
      </c>
      <c r="CA20" s="323">
        <v>3</v>
      </c>
      <c r="CB20" s="323">
        <v>5</v>
      </c>
      <c r="CC20" s="323">
        <v>3</v>
      </c>
      <c r="CD20" s="323">
        <v>3</v>
      </c>
      <c r="CE20" s="323">
        <v>4</v>
      </c>
      <c r="CF20" s="323">
        <v>4</v>
      </c>
      <c r="CG20" s="616">
        <v>36</v>
      </c>
      <c r="CH20" s="323">
        <v>4</v>
      </c>
      <c r="CI20" s="323">
        <v>2</v>
      </c>
      <c r="CJ20" s="323">
        <v>1</v>
      </c>
      <c r="CK20" s="323">
        <v>2</v>
      </c>
      <c r="CL20" s="323">
        <v>2</v>
      </c>
      <c r="CM20" s="323">
        <v>1</v>
      </c>
      <c r="CN20" s="323">
        <v>1</v>
      </c>
      <c r="CO20" s="323">
        <v>3</v>
      </c>
      <c r="CP20" s="323">
        <v>7</v>
      </c>
      <c r="CQ20" s="323">
        <v>4</v>
      </c>
      <c r="CR20" s="323">
        <v>2</v>
      </c>
      <c r="CS20" s="323">
        <v>0</v>
      </c>
      <c r="CT20" s="323">
        <v>1</v>
      </c>
    </row>
    <row r="21" spans="1:98" s="323" customFormat="1" ht="21.95" customHeight="1" thickBot="1">
      <c r="A21" s="324">
        <v>14</v>
      </c>
      <c r="B21" s="1333" t="s">
        <v>377</v>
      </c>
      <c r="C21" s="1295" t="s">
        <v>16136</v>
      </c>
      <c r="D21" s="441" t="s">
        <v>127</v>
      </c>
      <c r="E21" s="1295" t="s">
        <v>16136</v>
      </c>
      <c r="F21" s="1542"/>
      <c r="G21" s="441" t="s">
        <v>127</v>
      </c>
      <c r="H21" s="441">
        <v>1.46</v>
      </c>
      <c r="I21" s="1295" t="s">
        <v>16136</v>
      </c>
      <c r="J21" s="441">
        <v>3.96</v>
      </c>
      <c r="K21" s="1295" t="s">
        <v>16136</v>
      </c>
      <c r="L21" s="441" t="s">
        <v>127</v>
      </c>
      <c r="M21" s="441">
        <v>3.1666666666666665</v>
      </c>
      <c r="N21" s="441">
        <v>1</v>
      </c>
      <c r="O21" s="441" t="s">
        <v>377</v>
      </c>
      <c r="P21" s="1295" t="s">
        <v>16136</v>
      </c>
      <c r="Q21" s="1295" t="s">
        <v>16136</v>
      </c>
      <c r="R21" s="1295" t="s">
        <v>16136</v>
      </c>
      <c r="S21" s="441" t="s">
        <v>628</v>
      </c>
      <c r="T21" s="1295" t="s">
        <v>16136</v>
      </c>
      <c r="U21" s="1026" t="s">
        <v>377</v>
      </c>
      <c r="V21" s="320">
        <f t="shared" si="6"/>
        <v>2.3966666666666665</v>
      </c>
      <c r="W21" s="319">
        <f>IF(ISERROR(AVERAGE($B$8:U21)),"",AVERAGE($B$8:U21))</f>
        <v>2.3525</v>
      </c>
      <c r="X21" s="325" t="s">
        <v>377</v>
      </c>
      <c r="Y21" s="1295" t="s">
        <v>377</v>
      </c>
      <c r="Z21" s="1026" t="s">
        <v>377</v>
      </c>
      <c r="AA21" s="320" t="str">
        <f t="shared" si="0"/>
        <v/>
      </c>
      <c r="AB21" s="319">
        <f>IF(ISERROR(AVERAGE($X$8:Z21)),"",AVERAGE($X$8:Z21))</f>
        <v>2.9933333333333336</v>
      </c>
      <c r="AC21" s="325">
        <v>3.9166666666666665</v>
      </c>
      <c r="AD21" s="441" t="s">
        <v>17567</v>
      </c>
      <c r="AE21" s="441" t="s">
        <v>127</v>
      </c>
      <c r="AF21" s="1533"/>
      <c r="AG21" s="441">
        <v>3.5833333333333335</v>
      </c>
      <c r="AH21" s="441">
        <v>3.25</v>
      </c>
      <c r="AI21" s="441">
        <v>3.8333333333333335</v>
      </c>
      <c r="AJ21" s="1533"/>
      <c r="AK21" s="441" t="s">
        <v>17313</v>
      </c>
      <c r="AL21" s="441">
        <v>2.9166666666666665</v>
      </c>
      <c r="AM21" s="1026">
        <v>3.1666666666666665</v>
      </c>
      <c r="AN21" s="320">
        <f t="shared" si="1"/>
        <v>3.4444444444444446</v>
      </c>
      <c r="AO21" s="321">
        <f>IF(ISERROR(AVERAGE($AC$8:AM21)),"",AVERAGE($AC$8:AM21))</f>
        <v>4.8271276595744679</v>
      </c>
      <c r="AP21" s="325">
        <v>18.75</v>
      </c>
      <c r="AQ21" s="1279" t="s">
        <v>16051</v>
      </c>
      <c r="AR21" s="320">
        <f t="shared" si="2"/>
        <v>18.75</v>
      </c>
      <c r="AS21" s="321">
        <f>IF(ISERROR(AVERAGE(AP$8:$AQ21)),"",AVERAGE(AP$8:$AQ21))</f>
        <v>15.3</v>
      </c>
      <c r="AT21" s="325" t="s">
        <v>16185</v>
      </c>
      <c r="AU21" s="441" t="s">
        <v>16185</v>
      </c>
      <c r="AV21" s="441" t="s">
        <v>16185</v>
      </c>
      <c r="AW21" s="441" t="s">
        <v>16185</v>
      </c>
      <c r="AX21" s="441" t="s">
        <v>16185</v>
      </c>
      <c r="AY21" s="441" t="s">
        <v>16185</v>
      </c>
      <c r="AZ21" s="441" t="s">
        <v>16185</v>
      </c>
      <c r="BA21" s="441" t="s">
        <v>16185</v>
      </c>
      <c r="BB21" s="322" t="str">
        <f t="shared" si="3"/>
        <v/>
      </c>
      <c r="BC21" s="322" t="str">
        <f t="array" ref="BC21">IF(ISERROR(AVERAGE(AT$8:$BA21)),"",AVERAGE(AT$8:$BA21))</f>
        <v/>
      </c>
      <c r="BD21" s="323">
        <f t="shared" si="4"/>
        <v>8.1970370370370365</v>
      </c>
      <c r="BE21" s="323">
        <f t="shared" si="5"/>
        <v>14</v>
      </c>
      <c r="BF21" s="323">
        <v>13</v>
      </c>
      <c r="BG21" s="323">
        <v>5</v>
      </c>
      <c r="BH21" s="323">
        <v>2</v>
      </c>
      <c r="BI21" s="323">
        <v>5</v>
      </c>
      <c r="BJ21" s="323">
        <v>10</v>
      </c>
      <c r="BK21" s="323">
        <v>9</v>
      </c>
      <c r="BL21" s="323">
        <v>9</v>
      </c>
      <c r="BM21" s="323">
        <v>9</v>
      </c>
      <c r="BN21" s="323">
        <v>9</v>
      </c>
      <c r="BO21" s="323">
        <v>9</v>
      </c>
      <c r="BP21" s="323">
        <v>9</v>
      </c>
      <c r="BQ21" s="323">
        <v>8</v>
      </c>
      <c r="BR21" s="323">
        <v>9</v>
      </c>
      <c r="BS21" s="323">
        <v>9</v>
      </c>
      <c r="BT21" s="323">
        <v>9</v>
      </c>
      <c r="BU21" s="323">
        <v>9</v>
      </c>
      <c r="BV21" s="323">
        <v>0</v>
      </c>
      <c r="BW21" s="323">
        <v>5</v>
      </c>
      <c r="BX21" s="323">
        <v>4</v>
      </c>
      <c r="BY21" s="323">
        <v>3</v>
      </c>
      <c r="BZ21" s="323">
        <v>4</v>
      </c>
      <c r="CA21" s="323">
        <v>3</v>
      </c>
      <c r="CB21" s="323">
        <v>5</v>
      </c>
      <c r="CC21" s="323">
        <v>3</v>
      </c>
      <c r="CD21" s="323">
        <v>3</v>
      </c>
      <c r="CE21" s="323">
        <v>4</v>
      </c>
      <c r="CF21" s="323">
        <v>4</v>
      </c>
      <c r="CG21" s="323">
        <v>6</v>
      </c>
      <c r="CH21" s="323">
        <v>4</v>
      </c>
      <c r="CI21" s="323">
        <v>2</v>
      </c>
      <c r="CJ21" s="323">
        <v>1</v>
      </c>
      <c r="CK21" s="323">
        <v>2</v>
      </c>
      <c r="CL21" s="323">
        <v>2</v>
      </c>
      <c r="CM21" s="323">
        <v>2</v>
      </c>
      <c r="CN21" s="323">
        <v>1</v>
      </c>
      <c r="CO21" s="323">
        <v>3</v>
      </c>
      <c r="CP21" s="616">
        <v>7</v>
      </c>
      <c r="CQ21" s="323">
        <v>4</v>
      </c>
      <c r="CR21" s="323">
        <v>2</v>
      </c>
      <c r="CS21" s="323">
        <v>0</v>
      </c>
      <c r="CT21" s="323">
        <v>1</v>
      </c>
    </row>
    <row r="22" spans="1:98" s="323" customFormat="1" ht="21.95" customHeight="1" thickBot="1">
      <c r="A22" s="324">
        <v>15</v>
      </c>
      <c r="B22" s="1333" t="s">
        <v>377</v>
      </c>
      <c r="C22" s="1295" t="s">
        <v>16136</v>
      </c>
      <c r="D22" s="441" t="s">
        <v>127</v>
      </c>
      <c r="E22" s="1295" t="s">
        <v>16136</v>
      </c>
      <c r="F22" s="1542"/>
      <c r="G22" s="441" t="s">
        <v>127</v>
      </c>
      <c r="H22" s="441">
        <v>0.75</v>
      </c>
      <c r="I22" s="1295" t="s">
        <v>16136</v>
      </c>
      <c r="J22" s="441">
        <v>2.54</v>
      </c>
      <c r="K22" s="1295" t="s">
        <v>16136</v>
      </c>
      <c r="L22" s="1295" t="s">
        <v>16136</v>
      </c>
      <c r="M22" s="441" t="s">
        <v>17383</v>
      </c>
      <c r="N22" s="441" t="s">
        <v>627</v>
      </c>
      <c r="O22" s="441" t="s">
        <v>377</v>
      </c>
      <c r="P22" s="1295" t="s">
        <v>16136</v>
      </c>
      <c r="Q22" s="1295" t="s">
        <v>16136</v>
      </c>
      <c r="R22" s="1295" t="s">
        <v>16136</v>
      </c>
      <c r="S22" s="441" t="s">
        <v>628</v>
      </c>
      <c r="T22" s="1295" t="s">
        <v>16136</v>
      </c>
      <c r="U22" s="1026" t="s">
        <v>377</v>
      </c>
      <c r="V22" s="320">
        <f t="shared" si="6"/>
        <v>1.645</v>
      </c>
      <c r="W22" s="319">
        <f>IF(ISERROR(AVERAGE($B$8:U22)),"",AVERAGE($B$8:U22))</f>
        <v>2.3333783783783781</v>
      </c>
      <c r="X22" s="325" t="s">
        <v>377</v>
      </c>
      <c r="Y22" s="1295" t="s">
        <v>377</v>
      </c>
      <c r="Z22" s="1026" t="s">
        <v>377</v>
      </c>
      <c r="AA22" s="320" t="str">
        <f t="shared" si="0"/>
        <v/>
      </c>
      <c r="AB22" s="319">
        <f>IF(ISERROR(AVERAGE($X$8:Z22)),"",AVERAGE($X$8:Z22))</f>
        <v>2.9933333333333336</v>
      </c>
      <c r="AC22" s="325">
        <v>3.0833333333333335</v>
      </c>
      <c r="AD22" s="441" t="s">
        <v>17567</v>
      </c>
      <c r="AE22" s="441" t="s">
        <v>127</v>
      </c>
      <c r="AF22" s="1534"/>
      <c r="AG22" s="441">
        <v>3.5833333333333335</v>
      </c>
      <c r="AH22" s="441">
        <v>2.0833333333333335</v>
      </c>
      <c r="AI22" s="441" t="s">
        <v>127</v>
      </c>
      <c r="AJ22" s="1533"/>
      <c r="AK22" s="441" t="s">
        <v>17313</v>
      </c>
      <c r="AL22" s="441">
        <v>2.8333333333333335</v>
      </c>
      <c r="AM22" s="1026">
        <v>2.0416666666666665</v>
      </c>
      <c r="AN22" s="320">
        <f t="shared" si="1"/>
        <v>2.7250000000000001</v>
      </c>
      <c r="AO22" s="321">
        <f>IF(ISERROR(AVERAGE($AC$8:AM22)),"",AVERAGE($AC$8:AM22))</f>
        <v>4.7209595959595951</v>
      </c>
      <c r="AP22" s="325">
        <v>12.375</v>
      </c>
      <c r="AQ22" s="1279" t="s">
        <v>16051</v>
      </c>
      <c r="AR22" s="320">
        <f t="shared" si="2"/>
        <v>12.375</v>
      </c>
      <c r="AS22" s="321">
        <f>IF(ISERROR(AVERAGE(AP$8:$AQ22)),"",AVERAGE(AP$8:$AQ22))</f>
        <v>14.8125</v>
      </c>
      <c r="AT22" s="325" t="s">
        <v>16185</v>
      </c>
      <c r="AU22" s="441" t="s">
        <v>16185</v>
      </c>
      <c r="AV22" s="441" t="s">
        <v>16185</v>
      </c>
      <c r="AW22" s="441" t="s">
        <v>16185</v>
      </c>
      <c r="AX22" s="441" t="s">
        <v>16185</v>
      </c>
      <c r="AY22" s="441" t="s">
        <v>16185</v>
      </c>
      <c r="AZ22" s="441" t="s">
        <v>16185</v>
      </c>
      <c r="BA22" s="441" t="s">
        <v>16185</v>
      </c>
      <c r="BB22" s="322" t="str">
        <f t="shared" si="3"/>
        <v/>
      </c>
      <c r="BC22" s="322" t="str">
        <f t="array" ref="BC22">IF(ISERROR(AVERAGE(AT$8:$BA22)),"",AVERAGE(AT$8:$BA22))</f>
        <v/>
      </c>
      <c r="BD22" s="323">
        <f t="shared" si="4"/>
        <v>5.581666666666667</v>
      </c>
      <c r="BE22" s="323">
        <f t="shared" si="5"/>
        <v>15</v>
      </c>
      <c r="BF22" s="323">
        <v>13</v>
      </c>
      <c r="BG22" s="323">
        <v>5</v>
      </c>
      <c r="BH22" s="323">
        <v>2</v>
      </c>
      <c r="BI22" s="323">
        <v>5</v>
      </c>
      <c r="BJ22" s="323">
        <v>10</v>
      </c>
      <c r="BK22" s="323">
        <v>9</v>
      </c>
      <c r="BL22" s="323">
        <v>9</v>
      </c>
      <c r="BM22" s="323">
        <v>9</v>
      </c>
      <c r="BN22" s="323">
        <v>9</v>
      </c>
      <c r="BO22" s="323">
        <v>9</v>
      </c>
      <c r="BP22" s="323">
        <v>9</v>
      </c>
      <c r="BQ22" s="323">
        <v>8</v>
      </c>
      <c r="BR22" s="323">
        <v>9</v>
      </c>
      <c r="BS22" s="323">
        <v>9</v>
      </c>
      <c r="BT22" s="323">
        <v>10</v>
      </c>
      <c r="BU22" s="323">
        <v>9</v>
      </c>
      <c r="BV22" s="323">
        <v>0</v>
      </c>
      <c r="BW22" s="323">
        <v>5</v>
      </c>
      <c r="BX22" s="323">
        <v>4</v>
      </c>
      <c r="BY22" s="323">
        <v>3</v>
      </c>
      <c r="BZ22" s="323">
        <v>4</v>
      </c>
      <c r="CA22" s="323">
        <v>3</v>
      </c>
      <c r="CB22" s="323">
        <v>4</v>
      </c>
      <c r="CC22" s="323">
        <v>3</v>
      </c>
      <c r="CD22" s="323">
        <v>3</v>
      </c>
      <c r="CE22" s="323">
        <v>3</v>
      </c>
      <c r="CF22" s="323">
        <v>4</v>
      </c>
      <c r="CG22" s="323">
        <v>4</v>
      </c>
      <c r="CH22" s="323">
        <v>4</v>
      </c>
      <c r="CI22" s="323">
        <v>2</v>
      </c>
      <c r="CJ22" s="323">
        <v>1</v>
      </c>
      <c r="CK22" s="323">
        <v>4</v>
      </c>
      <c r="CL22" s="323">
        <v>1</v>
      </c>
      <c r="CM22" s="323">
        <v>2</v>
      </c>
      <c r="CN22" s="323">
        <v>1</v>
      </c>
      <c r="CO22" s="323">
        <v>3</v>
      </c>
      <c r="CP22" s="323">
        <v>5</v>
      </c>
      <c r="CQ22" s="323">
        <v>4</v>
      </c>
      <c r="CR22" s="323">
        <v>3</v>
      </c>
      <c r="CS22" s="323">
        <v>0</v>
      </c>
      <c r="CT22" s="323">
        <v>1</v>
      </c>
    </row>
    <row r="23" spans="1:98" s="323" customFormat="1" ht="21.95" customHeight="1" thickBot="1">
      <c r="A23" s="324">
        <v>16</v>
      </c>
      <c r="B23" s="1333" t="s">
        <v>377</v>
      </c>
      <c r="C23" s="1295" t="s">
        <v>16136</v>
      </c>
      <c r="D23" s="441" t="s">
        <v>127</v>
      </c>
      <c r="E23" s="1295" t="s">
        <v>16136</v>
      </c>
      <c r="F23" s="1542"/>
      <c r="G23" s="441" t="s">
        <v>127</v>
      </c>
      <c r="H23" s="441">
        <v>0.875</v>
      </c>
      <c r="I23" s="1295" t="s">
        <v>16136</v>
      </c>
      <c r="J23" s="441">
        <v>3.375</v>
      </c>
      <c r="K23" s="1295" t="s">
        <v>16136</v>
      </c>
      <c r="L23" s="1295" t="s">
        <v>16136</v>
      </c>
      <c r="M23" s="441" t="s">
        <v>628</v>
      </c>
      <c r="N23" s="441" t="s">
        <v>628</v>
      </c>
      <c r="O23" s="441" t="s">
        <v>377</v>
      </c>
      <c r="P23" s="1295" t="s">
        <v>16136</v>
      </c>
      <c r="Q23" s="1295" t="s">
        <v>16136</v>
      </c>
      <c r="R23" s="1295" t="s">
        <v>16136</v>
      </c>
      <c r="S23" s="441" t="s">
        <v>127</v>
      </c>
      <c r="T23" s="441" t="s">
        <v>17503</v>
      </c>
      <c r="U23" s="1026" t="s">
        <v>377</v>
      </c>
      <c r="V23" s="320">
        <f t="shared" si="6"/>
        <v>2.125</v>
      </c>
      <c r="W23" s="319">
        <f>IF(ISERROR(AVERAGE($B$8:U23)),"",AVERAGE($B$8:U23))</f>
        <v>2.3278947368421052</v>
      </c>
      <c r="X23" s="325" t="s">
        <v>377</v>
      </c>
      <c r="Y23" s="1295" t="s">
        <v>377</v>
      </c>
      <c r="Z23" s="1026" t="s">
        <v>377</v>
      </c>
      <c r="AA23" s="320" t="str">
        <f t="shared" si="0"/>
        <v/>
      </c>
      <c r="AB23" s="319">
        <f>IF(ISERROR(AVERAGE($X$8:Z23)),"",AVERAGE($X$8:Z23))</f>
        <v>2.9933333333333336</v>
      </c>
      <c r="AC23" s="325">
        <v>5</v>
      </c>
      <c r="AD23" s="441" t="s">
        <v>17567</v>
      </c>
      <c r="AE23" s="441" t="s">
        <v>127</v>
      </c>
      <c r="AF23" s="441" t="s">
        <v>17564</v>
      </c>
      <c r="AG23" s="441">
        <v>3.2083333333333335</v>
      </c>
      <c r="AH23" s="441">
        <v>1.6666666666666667</v>
      </c>
      <c r="AI23" s="441" t="s">
        <v>127</v>
      </c>
      <c r="AJ23" s="1533"/>
      <c r="AK23" s="441" t="s">
        <v>17313</v>
      </c>
      <c r="AL23" s="441">
        <v>4</v>
      </c>
      <c r="AM23" s="1528">
        <v>3.1666666666666665</v>
      </c>
      <c r="AN23" s="320">
        <f t="shared" si="1"/>
        <v>3.4083333333333337</v>
      </c>
      <c r="AO23" s="321">
        <f>IF(ISERROR(AVERAGE($AC$8:AM23)),"",AVERAGE($AC$8:AM23))</f>
        <v>4.657852564102563</v>
      </c>
      <c r="AP23" s="325">
        <v>10.125</v>
      </c>
      <c r="AQ23" s="1279" t="s">
        <v>16051</v>
      </c>
      <c r="AR23" s="320">
        <f t="shared" si="2"/>
        <v>10.125</v>
      </c>
      <c r="AS23" s="321">
        <f>IF(ISERROR(AVERAGE(AP$8:$AQ23)),"",AVERAGE(AP$8:$AQ23))</f>
        <v>14.142857142857142</v>
      </c>
      <c r="AT23" s="325" t="s">
        <v>16185</v>
      </c>
      <c r="AU23" s="441" t="s">
        <v>16185</v>
      </c>
      <c r="AV23" s="441" t="s">
        <v>16185</v>
      </c>
      <c r="AW23" s="441" t="s">
        <v>16185</v>
      </c>
      <c r="AX23" s="441" t="s">
        <v>16185</v>
      </c>
      <c r="AY23" s="441" t="s">
        <v>16185</v>
      </c>
      <c r="AZ23" s="441" t="s">
        <v>16185</v>
      </c>
      <c r="BA23" s="441" t="s">
        <v>16185</v>
      </c>
      <c r="BB23" s="322" t="str">
        <f t="shared" ref="BB23:BB38" si="7">IF(ISERROR(AVERAGE($AU23:$BA23)),"",AVERAGE($AU23:$BA23))</f>
        <v/>
      </c>
      <c r="BC23" s="322" t="str">
        <f t="array" ref="BC23">IF(ISERROR(AVERAGE(AT$8:$BA23)),"",AVERAGE(AT$8:$BA23))</f>
        <v/>
      </c>
      <c r="BD23" s="323">
        <f t="shared" si="4"/>
        <v>5.2194444444444441</v>
      </c>
      <c r="BE23" s="323">
        <f t="shared" si="5"/>
        <v>14</v>
      </c>
      <c r="BF23" s="323">
        <v>12</v>
      </c>
      <c r="BG23" s="323">
        <v>5</v>
      </c>
      <c r="BH23" s="323">
        <v>2</v>
      </c>
      <c r="BI23" s="323">
        <v>29</v>
      </c>
      <c r="BJ23" s="323">
        <v>10</v>
      </c>
      <c r="BK23" s="323">
        <v>9</v>
      </c>
      <c r="BL23" s="323">
        <v>9</v>
      </c>
      <c r="BM23" s="323">
        <v>9</v>
      </c>
      <c r="BN23" s="323">
        <v>9</v>
      </c>
      <c r="BO23" s="323">
        <v>9</v>
      </c>
      <c r="BP23" s="323">
        <v>9</v>
      </c>
      <c r="BQ23" s="323">
        <v>8</v>
      </c>
      <c r="BR23" s="323">
        <v>9</v>
      </c>
      <c r="BS23" s="323">
        <v>9</v>
      </c>
      <c r="BT23" s="323">
        <v>10</v>
      </c>
      <c r="BU23" s="323">
        <v>9</v>
      </c>
      <c r="BV23" s="323">
        <v>0</v>
      </c>
      <c r="BW23" s="323">
        <v>5</v>
      </c>
      <c r="BX23" s="323">
        <v>4</v>
      </c>
      <c r="BY23" s="323">
        <v>3</v>
      </c>
      <c r="BZ23" s="323">
        <v>3</v>
      </c>
      <c r="CA23" s="323">
        <v>3</v>
      </c>
      <c r="CB23" s="323">
        <v>4</v>
      </c>
      <c r="CC23" s="323">
        <v>3</v>
      </c>
      <c r="CD23" s="323">
        <v>3</v>
      </c>
      <c r="CE23" s="323">
        <v>4</v>
      </c>
      <c r="CF23" s="323">
        <v>4</v>
      </c>
      <c r="CG23" s="323">
        <v>4</v>
      </c>
      <c r="CH23" s="323">
        <v>3</v>
      </c>
      <c r="CI23" s="323">
        <v>2</v>
      </c>
      <c r="CJ23" s="323">
        <v>1</v>
      </c>
      <c r="CK23" s="323">
        <v>4</v>
      </c>
      <c r="CL23" s="323">
        <v>1</v>
      </c>
      <c r="CM23" s="323">
        <v>1</v>
      </c>
      <c r="CN23" s="323">
        <v>1</v>
      </c>
      <c r="CO23" s="323">
        <v>3</v>
      </c>
      <c r="CP23" s="323">
        <v>5</v>
      </c>
      <c r="CQ23" s="323">
        <v>6</v>
      </c>
      <c r="CR23" s="323">
        <v>3</v>
      </c>
      <c r="CS23" s="323">
        <v>0</v>
      </c>
      <c r="CT23" s="323">
        <v>1</v>
      </c>
    </row>
    <row r="24" spans="1:98" s="323" customFormat="1" ht="21.95" customHeight="1" thickBot="1">
      <c r="A24" s="324">
        <v>17</v>
      </c>
      <c r="B24" s="1333" t="s">
        <v>377</v>
      </c>
      <c r="C24" s="1295" t="s">
        <v>16136</v>
      </c>
      <c r="D24" s="441" t="s">
        <v>127</v>
      </c>
      <c r="E24" s="1295" t="s">
        <v>16136</v>
      </c>
      <c r="F24" s="1542"/>
      <c r="G24" s="441" t="s">
        <v>127</v>
      </c>
      <c r="H24" s="441">
        <v>1</v>
      </c>
      <c r="I24" s="1295" t="s">
        <v>16136</v>
      </c>
      <c r="J24" s="441">
        <v>2.5</v>
      </c>
      <c r="K24" s="1295" t="s">
        <v>16136</v>
      </c>
      <c r="L24" s="1295" t="s">
        <v>16136</v>
      </c>
      <c r="M24" s="441">
        <v>3.5833333333333335</v>
      </c>
      <c r="N24" s="441">
        <v>1.5833333333333333</v>
      </c>
      <c r="O24" s="441" t="s">
        <v>377</v>
      </c>
      <c r="P24" s="1295" t="s">
        <v>16136</v>
      </c>
      <c r="Q24" s="1295" t="s">
        <v>16136</v>
      </c>
      <c r="R24" s="1295" t="s">
        <v>16136</v>
      </c>
      <c r="S24" s="441" t="s">
        <v>127</v>
      </c>
      <c r="T24" s="441">
        <v>2.9166666666666665</v>
      </c>
      <c r="U24" s="1026" t="s">
        <v>377</v>
      </c>
      <c r="V24" s="320">
        <f t="shared" si="6"/>
        <v>2.3166666666666669</v>
      </c>
      <c r="W24" s="319">
        <f>IF(ISERROR(AVERAGE($B$8:U24)),"",AVERAGE($B$8:U24))</f>
        <v>2.3272016460905349</v>
      </c>
      <c r="X24" s="325" t="s">
        <v>377</v>
      </c>
      <c r="Y24" s="441" t="s">
        <v>377</v>
      </c>
      <c r="Z24" s="1026" t="s">
        <v>377</v>
      </c>
      <c r="AA24" s="320" t="str">
        <f t="shared" si="0"/>
        <v/>
      </c>
      <c r="AB24" s="319">
        <f>IF(ISERROR(AVERAGE($X$8:Z24)),"",AVERAGE($X$8:Z24))</f>
        <v>2.9933333333333336</v>
      </c>
      <c r="AC24" s="325">
        <v>4.583333333333333</v>
      </c>
      <c r="AD24" s="441" t="s">
        <v>17566</v>
      </c>
      <c r="AE24" s="1536"/>
      <c r="AF24" s="441" t="s">
        <v>17565</v>
      </c>
      <c r="AG24" s="441">
        <v>3.5416666666666665</v>
      </c>
      <c r="AH24" s="441">
        <v>2.4166666666666665</v>
      </c>
      <c r="AI24" s="1536"/>
      <c r="AJ24" s="441" t="s">
        <v>17563</v>
      </c>
      <c r="AK24" s="1536"/>
      <c r="AL24" s="441" t="s">
        <v>17561</v>
      </c>
      <c r="AM24" s="1528">
        <v>2.9583333333333335</v>
      </c>
      <c r="AN24" s="320">
        <f t="shared" si="1"/>
        <v>3.375</v>
      </c>
      <c r="AO24" s="321">
        <f>IF(ISERROR(AVERAGE($AC$8:AM24)),"",AVERAGE($AC$8:AM24))</f>
        <v>4.6103395061728385</v>
      </c>
      <c r="AP24" s="325">
        <v>10.75</v>
      </c>
      <c r="AQ24" s="1279" t="s">
        <v>16051</v>
      </c>
      <c r="AR24" s="320">
        <f t="shared" si="2"/>
        <v>10.75</v>
      </c>
      <c r="AS24" s="321">
        <f>IF(ISERROR(AVERAGE(AP$8:$AQ24)),"",AVERAGE(AP$8:$AQ24))</f>
        <v>13.71875</v>
      </c>
      <c r="AT24" s="325" t="s">
        <v>16185</v>
      </c>
      <c r="AU24" s="441" t="s">
        <v>16185</v>
      </c>
      <c r="AV24" s="441" t="s">
        <v>16185</v>
      </c>
      <c r="AW24" s="441" t="s">
        <v>16185</v>
      </c>
      <c r="AX24" s="441" t="s">
        <v>16185</v>
      </c>
      <c r="AY24" s="441" t="s">
        <v>16185</v>
      </c>
      <c r="AZ24" s="441" t="s">
        <v>16185</v>
      </c>
      <c r="BA24" s="441" t="s">
        <v>16185</v>
      </c>
      <c r="BB24" s="322" t="str">
        <f t="shared" si="7"/>
        <v/>
      </c>
      <c r="BC24" s="322" t="str">
        <f t="array" ref="BC24">IF(ISERROR(AVERAGE(AT$8:$BA24)),"",AVERAGE(AT$8:$BA24))</f>
        <v/>
      </c>
      <c r="BD24" s="323">
        <f t="shared" si="4"/>
        <v>5.4805555555555552</v>
      </c>
      <c r="BE24" s="323">
        <f t="shared" si="5"/>
        <v>14</v>
      </c>
      <c r="BF24" s="323">
        <v>11</v>
      </c>
      <c r="BG24" s="323">
        <v>4</v>
      </c>
      <c r="BH24" s="323">
        <v>2</v>
      </c>
      <c r="BI24" s="323">
        <v>29</v>
      </c>
      <c r="BJ24" s="323">
        <v>10</v>
      </c>
      <c r="BK24" s="323">
        <v>9</v>
      </c>
      <c r="BL24" s="323">
        <v>12</v>
      </c>
      <c r="BM24" s="323">
        <v>9</v>
      </c>
      <c r="BN24" s="323">
        <v>9</v>
      </c>
      <c r="BO24" s="323">
        <v>9</v>
      </c>
      <c r="BP24" s="323">
        <v>9</v>
      </c>
      <c r="BQ24" s="323">
        <v>8</v>
      </c>
      <c r="BR24" s="323">
        <v>9</v>
      </c>
      <c r="BS24" s="323">
        <v>9</v>
      </c>
      <c r="BT24" s="323">
        <v>10</v>
      </c>
      <c r="BU24" s="323">
        <v>9</v>
      </c>
      <c r="BV24" s="323">
        <v>0</v>
      </c>
      <c r="BW24" s="323">
        <v>5</v>
      </c>
      <c r="BX24" s="323">
        <v>4</v>
      </c>
      <c r="BY24" s="323">
        <v>3</v>
      </c>
      <c r="BZ24" s="323">
        <v>3</v>
      </c>
      <c r="CA24" s="323">
        <v>3</v>
      </c>
      <c r="CB24" s="323">
        <v>4</v>
      </c>
      <c r="CC24" s="323">
        <v>3</v>
      </c>
      <c r="CD24" s="323">
        <v>3</v>
      </c>
      <c r="CE24" s="323">
        <v>3</v>
      </c>
      <c r="CF24" s="323">
        <v>4</v>
      </c>
      <c r="CG24" s="323">
        <v>4</v>
      </c>
      <c r="CH24" s="323">
        <v>3</v>
      </c>
      <c r="CI24" s="323">
        <v>3</v>
      </c>
      <c r="CJ24" s="323">
        <v>1</v>
      </c>
      <c r="CK24" s="323">
        <v>4</v>
      </c>
      <c r="CL24" s="323">
        <v>1</v>
      </c>
      <c r="CM24" s="323">
        <v>1</v>
      </c>
      <c r="CN24" s="323">
        <v>1</v>
      </c>
      <c r="CO24" s="323">
        <v>3</v>
      </c>
      <c r="CP24" s="323">
        <v>4</v>
      </c>
      <c r="CQ24" s="323">
        <v>7</v>
      </c>
      <c r="CR24" s="323">
        <v>3</v>
      </c>
      <c r="CS24" s="323">
        <v>0</v>
      </c>
      <c r="CT24" s="323">
        <v>1</v>
      </c>
    </row>
    <row r="25" spans="1:98" s="323" customFormat="1" ht="21.95" customHeight="1" thickBot="1">
      <c r="A25" s="324">
        <v>18</v>
      </c>
      <c r="B25" s="1333" t="s">
        <v>377</v>
      </c>
      <c r="C25" s="1295" t="s">
        <v>16136</v>
      </c>
      <c r="D25" s="441" t="s">
        <v>17569</v>
      </c>
      <c r="E25" s="1295" t="s">
        <v>16136</v>
      </c>
      <c r="F25" s="1542"/>
      <c r="G25" s="1295" t="s">
        <v>16136</v>
      </c>
      <c r="H25" s="441">
        <v>1.7916666666666667</v>
      </c>
      <c r="I25" s="1295" t="s">
        <v>16136</v>
      </c>
      <c r="J25" s="441">
        <v>2.75</v>
      </c>
      <c r="K25" s="1295" t="s">
        <v>16136</v>
      </c>
      <c r="L25" s="1295" t="s">
        <v>16136</v>
      </c>
      <c r="M25" s="441">
        <v>3.1666666666666665</v>
      </c>
      <c r="N25" s="441">
        <v>1.6666666666666667</v>
      </c>
      <c r="O25" s="441" t="s">
        <v>377</v>
      </c>
      <c r="P25" s="1295" t="s">
        <v>16136</v>
      </c>
      <c r="Q25" s="1295" t="s">
        <v>16136</v>
      </c>
      <c r="R25" s="1295" t="s">
        <v>16136</v>
      </c>
      <c r="S25" s="441" t="s">
        <v>127</v>
      </c>
      <c r="T25" s="441">
        <v>1.375</v>
      </c>
      <c r="U25" s="1026" t="s">
        <v>377</v>
      </c>
      <c r="V25" s="320">
        <f t="shared" si="6"/>
        <v>2.15</v>
      </c>
      <c r="W25" s="319">
        <f>IF(ISERROR(AVERAGE($B$8:U25)),"",AVERAGE($B$8:U25))</f>
        <v>2.316899224806201</v>
      </c>
      <c r="X25" s="325" t="s">
        <v>377</v>
      </c>
      <c r="Y25" s="441" t="s">
        <v>377</v>
      </c>
      <c r="Z25" s="1026" t="s">
        <v>377</v>
      </c>
      <c r="AA25" s="320" t="str">
        <f t="shared" si="0"/>
        <v/>
      </c>
      <c r="AB25" s="319">
        <f>IF(ISERROR(AVERAGE($X$8:Z25)),"",AVERAGE($X$8:Z25))</f>
        <v>2.9933333333333336</v>
      </c>
      <c r="AC25" s="325" t="s">
        <v>127</v>
      </c>
      <c r="AD25" s="441">
        <v>4.5</v>
      </c>
      <c r="AE25" s="1533"/>
      <c r="AF25" s="441">
        <v>4.916666666666667</v>
      </c>
      <c r="AG25" s="441">
        <v>5.333333333333333</v>
      </c>
      <c r="AH25" s="441">
        <v>2.5</v>
      </c>
      <c r="AI25" s="1533"/>
      <c r="AJ25" s="441" t="s">
        <v>17563</v>
      </c>
      <c r="AK25" s="1533"/>
      <c r="AL25" s="441">
        <v>3.1666666666666665</v>
      </c>
      <c r="AM25" s="1026">
        <v>3.0416666666666665</v>
      </c>
      <c r="AN25" s="320">
        <f t="shared" si="1"/>
        <v>3.9097222222222228</v>
      </c>
      <c r="AO25" s="321">
        <f>IF(ISERROR(AVERAGE($AC$8:AM25)),"",AVERAGE($AC$8:AM25))</f>
        <v>4.5734649122807012</v>
      </c>
      <c r="AP25" s="325">
        <v>5.25</v>
      </c>
      <c r="AQ25" s="1279" t="s">
        <v>16051</v>
      </c>
      <c r="AR25" s="320">
        <f t="shared" si="2"/>
        <v>5.25</v>
      </c>
      <c r="AS25" s="321">
        <f>IF(ISERROR(AVERAGE(AP$8:$AQ25)),"",AVERAGE(AP$8:$AQ25))</f>
        <v>12.777777777777779</v>
      </c>
      <c r="AT25" s="325" t="s">
        <v>16185</v>
      </c>
      <c r="AU25" s="441" t="s">
        <v>16185</v>
      </c>
      <c r="AV25" s="441" t="s">
        <v>16185</v>
      </c>
      <c r="AW25" s="441" t="s">
        <v>16185</v>
      </c>
      <c r="AX25" s="441" t="s">
        <v>16185</v>
      </c>
      <c r="AY25" s="441" t="s">
        <v>16185</v>
      </c>
      <c r="AZ25" s="441" t="s">
        <v>16185</v>
      </c>
      <c r="BA25" s="441" t="s">
        <v>16185</v>
      </c>
      <c r="BB25" s="322" t="str">
        <f t="shared" si="7"/>
        <v/>
      </c>
      <c r="BC25" s="322" t="str">
        <f t="array" ref="BC25">IF(ISERROR(AVERAGE(AT$8:$BA25)),"",AVERAGE(AT$8:$BA25))</f>
        <v/>
      </c>
      <c r="BD25" s="323">
        <f t="shared" si="4"/>
        <v>3.7699074074074077</v>
      </c>
      <c r="BE25" s="323">
        <f t="shared" si="5"/>
        <v>15</v>
      </c>
      <c r="BF25" s="323">
        <v>11</v>
      </c>
      <c r="BG25" s="323">
        <v>4</v>
      </c>
      <c r="BH25" s="323">
        <v>2</v>
      </c>
      <c r="BI25" s="323">
        <v>29</v>
      </c>
      <c r="BJ25" s="323">
        <v>10</v>
      </c>
      <c r="BK25" s="323">
        <v>9</v>
      </c>
      <c r="BL25" s="323">
        <v>12</v>
      </c>
      <c r="BM25" s="323">
        <v>9</v>
      </c>
      <c r="BN25" s="323">
        <v>9</v>
      </c>
      <c r="BO25" s="323">
        <v>9</v>
      </c>
      <c r="BP25" s="323">
        <v>9</v>
      </c>
      <c r="BQ25" s="323">
        <v>8</v>
      </c>
      <c r="BR25" s="323">
        <v>9</v>
      </c>
      <c r="BS25" s="323">
        <v>9</v>
      </c>
      <c r="BT25" s="323">
        <v>10</v>
      </c>
      <c r="BU25" s="323">
        <v>9</v>
      </c>
      <c r="BV25" s="323">
        <v>0</v>
      </c>
      <c r="BW25" s="323">
        <v>5</v>
      </c>
      <c r="BX25" s="323">
        <v>4</v>
      </c>
      <c r="BY25" s="323">
        <v>3</v>
      </c>
      <c r="BZ25" s="323">
        <v>3</v>
      </c>
      <c r="CA25" s="323">
        <v>3</v>
      </c>
      <c r="CB25" s="323">
        <v>4</v>
      </c>
      <c r="CC25" s="323">
        <v>3</v>
      </c>
      <c r="CD25" s="323">
        <v>3</v>
      </c>
      <c r="CE25" s="323">
        <v>4</v>
      </c>
      <c r="CF25" s="323">
        <v>3</v>
      </c>
      <c r="CG25" s="323">
        <v>4</v>
      </c>
      <c r="CH25" s="323">
        <v>3</v>
      </c>
      <c r="CI25" s="323">
        <v>3</v>
      </c>
      <c r="CJ25" s="323">
        <v>1</v>
      </c>
      <c r="CK25" s="323">
        <v>2</v>
      </c>
      <c r="CL25" s="323">
        <v>1</v>
      </c>
      <c r="CM25" s="323">
        <v>1</v>
      </c>
      <c r="CN25" s="323">
        <v>1</v>
      </c>
      <c r="CO25" s="323">
        <v>3</v>
      </c>
      <c r="CP25" s="323">
        <v>4</v>
      </c>
      <c r="CQ25" s="323">
        <v>5</v>
      </c>
      <c r="CR25" s="323">
        <v>5</v>
      </c>
      <c r="CS25" s="323">
        <v>0</v>
      </c>
      <c r="CT25" s="323">
        <v>1</v>
      </c>
    </row>
    <row r="26" spans="1:98" s="323" customFormat="1" ht="21.95" customHeight="1" thickBot="1">
      <c r="A26" s="324">
        <v>19</v>
      </c>
      <c r="B26" s="1333" t="s">
        <v>377</v>
      </c>
      <c r="C26" s="1295" t="s">
        <v>16136</v>
      </c>
      <c r="D26" s="441" t="s">
        <v>17569</v>
      </c>
      <c r="E26" s="1295" t="s">
        <v>16136</v>
      </c>
      <c r="F26" s="1542"/>
      <c r="G26" s="1295" t="s">
        <v>16136</v>
      </c>
      <c r="H26" s="441">
        <v>1.125</v>
      </c>
      <c r="I26" s="1295" t="s">
        <v>16136</v>
      </c>
      <c r="J26" s="441">
        <v>3</v>
      </c>
      <c r="K26" s="1295" t="s">
        <v>16136</v>
      </c>
      <c r="L26" s="1295" t="s">
        <v>16136</v>
      </c>
      <c r="M26" s="441">
        <v>3.9166666666666665</v>
      </c>
      <c r="N26" s="441">
        <v>1.4166666666666667</v>
      </c>
      <c r="O26" s="441" t="s">
        <v>377</v>
      </c>
      <c r="P26" s="1295" t="s">
        <v>16136</v>
      </c>
      <c r="Q26" s="1295" t="s">
        <v>16136</v>
      </c>
      <c r="R26" s="1295" t="s">
        <v>16136</v>
      </c>
      <c r="S26" s="441" t="s">
        <v>17569</v>
      </c>
      <c r="T26" s="441">
        <v>1.4583333333333333</v>
      </c>
      <c r="U26" s="1026" t="s">
        <v>377</v>
      </c>
      <c r="V26" s="320">
        <f t="shared" si="6"/>
        <v>2.1833333333333331</v>
      </c>
      <c r="W26" s="319">
        <f>IF(ISERROR(AVERAGE($B$8:U26)),"",AVERAGE($B$8:U26))</f>
        <v>2.309560439560439</v>
      </c>
      <c r="X26" s="325" t="s">
        <v>377</v>
      </c>
      <c r="Y26" s="441" t="s">
        <v>377</v>
      </c>
      <c r="Z26" s="1026" t="s">
        <v>377</v>
      </c>
      <c r="AA26" s="320" t="str">
        <f t="shared" si="0"/>
        <v/>
      </c>
      <c r="AB26" s="319">
        <f>IF(ISERROR(AVERAGE($X$8:Z26)),"",AVERAGE($X$8:Z26))</f>
        <v>2.9933333333333336</v>
      </c>
      <c r="AC26" s="325" t="s">
        <v>127</v>
      </c>
      <c r="AD26" s="441">
        <v>4.333333333333333</v>
      </c>
      <c r="AE26" s="1533"/>
      <c r="AF26" s="441">
        <v>5.708333333333333</v>
      </c>
      <c r="AG26" s="441">
        <v>5.041666666666667</v>
      </c>
      <c r="AH26" s="441">
        <v>3.75</v>
      </c>
      <c r="AI26" s="1533"/>
      <c r="AJ26" s="441" t="s">
        <v>17562</v>
      </c>
      <c r="AK26" s="1533"/>
      <c r="AL26" s="441">
        <v>3.5416666666666665</v>
      </c>
      <c r="AM26" s="1026">
        <v>5</v>
      </c>
      <c r="AN26" s="320">
        <f t="shared" si="1"/>
        <v>4.5625</v>
      </c>
      <c r="AO26" s="321">
        <f>IF(ISERROR(AVERAGE($AC$8:AM26)),"",AVERAGE($AC$8:AM26))</f>
        <v>4.5729166666666661</v>
      </c>
      <c r="AP26" s="325">
        <v>8</v>
      </c>
      <c r="AQ26" s="1279" t="s">
        <v>16051</v>
      </c>
      <c r="AR26" s="320">
        <f t="shared" si="2"/>
        <v>8</v>
      </c>
      <c r="AS26" s="321">
        <f>IF(ISERROR(AVERAGE(AP$8:$AQ26)),"",AVERAGE(AP$8:$AQ26))</f>
        <v>12.3</v>
      </c>
      <c r="AT26" s="325" t="s">
        <v>16185</v>
      </c>
      <c r="AU26" s="441" t="s">
        <v>16185</v>
      </c>
      <c r="AV26" s="441" t="s">
        <v>16185</v>
      </c>
      <c r="AW26" s="441" t="s">
        <v>16185</v>
      </c>
      <c r="AX26" s="441" t="s">
        <v>16185</v>
      </c>
      <c r="AY26" s="441" t="s">
        <v>16185</v>
      </c>
      <c r="AZ26" s="441" t="s">
        <v>16185</v>
      </c>
      <c r="BA26" s="441" t="s">
        <v>16185</v>
      </c>
      <c r="BB26" s="322" t="str">
        <f t="shared" si="7"/>
        <v/>
      </c>
      <c r="BC26" s="322" t="str">
        <f t="array" ref="BC26">IF(ISERROR(AVERAGE(AT$8:$BA26)),"",AVERAGE(AT$8:$BA26))</f>
        <v/>
      </c>
      <c r="BD26" s="323">
        <f t="shared" si="4"/>
        <v>4.9152777777777779</v>
      </c>
      <c r="BE26" s="323">
        <f t="shared" si="5"/>
        <v>15</v>
      </c>
      <c r="BF26" s="323">
        <v>11</v>
      </c>
      <c r="BG26" s="323">
        <v>4</v>
      </c>
      <c r="BH26" s="323">
        <v>2</v>
      </c>
      <c r="BI26" s="323">
        <v>29</v>
      </c>
      <c r="BJ26" s="323">
        <v>10</v>
      </c>
      <c r="BK26" s="323">
        <v>9</v>
      </c>
      <c r="BL26" s="323">
        <v>11</v>
      </c>
      <c r="BM26" s="323">
        <v>9</v>
      </c>
      <c r="BN26" s="323">
        <v>9</v>
      </c>
      <c r="BO26" s="323">
        <v>9</v>
      </c>
      <c r="BP26" s="323">
        <v>9</v>
      </c>
      <c r="BQ26" s="323">
        <v>8</v>
      </c>
      <c r="BR26" s="323">
        <v>9</v>
      </c>
      <c r="BS26" s="323">
        <v>9</v>
      </c>
      <c r="BT26" s="323">
        <v>10</v>
      </c>
      <c r="BU26" s="323">
        <v>10</v>
      </c>
      <c r="BV26" s="323">
        <v>0</v>
      </c>
      <c r="BW26" s="323">
        <v>5</v>
      </c>
      <c r="BX26" s="323">
        <v>4</v>
      </c>
      <c r="BY26" s="323">
        <v>3</v>
      </c>
      <c r="BZ26" s="323">
        <v>3</v>
      </c>
      <c r="CA26" s="323">
        <v>3</v>
      </c>
      <c r="CB26" s="323">
        <v>4</v>
      </c>
      <c r="CC26" s="323">
        <v>3</v>
      </c>
      <c r="CD26" s="323">
        <v>3</v>
      </c>
      <c r="CE26" s="323">
        <v>4</v>
      </c>
      <c r="CF26" s="323">
        <v>3</v>
      </c>
      <c r="CG26" s="323">
        <v>4</v>
      </c>
      <c r="CH26" s="323">
        <v>3</v>
      </c>
      <c r="CI26" s="323">
        <v>3</v>
      </c>
      <c r="CJ26" s="323">
        <v>1</v>
      </c>
      <c r="CK26" s="323">
        <v>2</v>
      </c>
      <c r="CL26" s="323">
        <v>1</v>
      </c>
      <c r="CM26" s="323">
        <v>1</v>
      </c>
      <c r="CN26" s="323">
        <v>1</v>
      </c>
      <c r="CO26" s="323">
        <v>3</v>
      </c>
      <c r="CP26" s="323">
        <v>4</v>
      </c>
      <c r="CQ26" s="323">
        <v>6</v>
      </c>
      <c r="CR26" s="323">
        <v>5</v>
      </c>
      <c r="CS26" s="323">
        <v>0</v>
      </c>
      <c r="CT26" s="323">
        <v>3</v>
      </c>
    </row>
    <row r="27" spans="1:98" s="323" customFormat="1" ht="21.95" customHeight="1" thickBot="1">
      <c r="A27" s="324">
        <v>20</v>
      </c>
      <c r="B27" s="1333" t="s">
        <v>377</v>
      </c>
      <c r="C27" s="1295" t="s">
        <v>16136</v>
      </c>
      <c r="D27" s="441" t="s">
        <v>17570</v>
      </c>
      <c r="E27" s="441" t="s">
        <v>17586</v>
      </c>
      <c r="F27" s="441" t="s">
        <v>17589</v>
      </c>
      <c r="G27" s="1295" t="s">
        <v>16136</v>
      </c>
      <c r="H27" s="441">
        <v>1.1299999999999999</v>
      </c>
      <c r="I27" s="1295" t="s">
        <v>16136</v>
      </c>
      <c r="J27" s="441">
        <v>3.54</v>
      </c>
      <c r="K27" s="1295" t="s">
        <v>16136</v>
      </c>
      <c r="L27" s="1295" t="s">
        <v>16136</v>
      </c>
      <c r="M27" s="441">
        <v>4.416666666666667</v>
      </c>
      <c r="N27" s="441" t="s">
        <v>127</v>
      </c>
      <c r="O27" s="441" t="s">
        <v>377</v>
      </c>
      <c r="P27" s="441" t="s">
        <v>17577</v>
      </c>
      <c r="Q27" s="1295" t="s">
        <v>16136</v>
      </c>
      <c r="R27" s="441" t="s">
        <v>17575</v>
      </c>
      <c r="S27" s="441" t="s">
        <v>17569</v>
      </c>
      <c r="T27" s="441">
        <v>2.38</v>
      </c>
      <c r="U27" s="1026" t="s">
        <v>377</v>
      </c>
      <c r="V27" s="320">
        <f t="shared" si="6"/>
        <v>2.8666666666666663</v>
      </c>
      <c r="W27" s="319">
        <f>IF(ISERROR(AVERAGE($B$8:U27)),"",AVERAGE($B$8:U27))</f>
        <v>2.3330175438596483</v>
      </c>
      <c r="X27" s="325" t="s">
        <v>377</v>
      </c>
      <c r="Y27" s="441" t="s">
        <v>377</v>
      </c>
      <c r="Z27" s="1026" t="s">
        <v>377</v>
      </c>
      <c r="AA27" s="320" t="str">
        <f t="shared" si="0"/>
        <v/>
      </c>
      <c r="AB27" s="319">
        <f>IF(ISERROR(AVERAGE($X$8:Z27)),"",AVERAGE($X$8:Z27))</f>
        <v>2.9933333333333336</v>
      </c>
      <c r="AC27" s="1538"/>
      <c r="AD27" s="441" t="s">
        <v>17568</v>
      </c>
      <c r="AE27" s="1533"/>
      <c r="AF27" s="441">
        <v>4.208333333333333</v>
      </c>
      <c r="AG27" s="441">
        <v>5.208333333333333</v>
      </c>
      <c r="AH27" s="441">
        <v>2.4166666666666665</v>
      </c>
      <c r="AI27" s="1533"/>
      <c r="AJ27" s="441">
        <v>3.25</v>
      </c>
      <c r="AK27" s="1533"/>
      <c r="AL27" s="441">
        <v>1.75</v>
      </c>
      <c r="AM27" s="1026">
        <v>5.166666666666667</v>
      </c>
      <c r="AN27" s="320">
        <f t="shared" si="1"/>
        <v>3.6666666666666665</v>
      </c>
      <c r="AO27" s="321">
        <f>IF(ISERROR(AVERAGE($AC$8:AM27)),"",AVERAGE($AC$8:AM27))</f>
        <v>4.5297619047619042</v>
      </c>
      <c r="AP27" s="325">
        <v>5.5</v>
      </c>
      <c r="AQ27" s="1279" t="s">
        <v>16051</v>
      </c>
      <c r="AR27" s="320">
        <f t="shared" si="2"/>
        <v>5.5</v>
      </c>
      <c r="AS27" s="321">
        <f>IF(ISERROR(AVERAGE(AP$8:$AQ27)),"",AVERAGE(AP$8:$AQ27))</f>
        <v>11.681818181818182</v>
      </c>
      <c r="AT27" s="325" t="s">
        <v>16185</v>
      </c>
      <c r="AU27" s="441" t="s">
        <v>16185</v>
      </c>
      <c r="AV27" s="441" t="s">
        <v>16185</v>
      </c>
      <c r="AW27" s="441" t="s">
        <v>16185</v>
      </c>
      <c r="AX27" s="441" t="s">
        <v>16185</v>
      </c>
      <c r="AY27" s="441" t="s">
        <v>16185</v>
      </c>
      <c r="AZ27" s="441" t="s">
        <v>16185</v>
      </c>
      <c r="BA27" s="441" t="s">
        <v>16185</v>
      </c>
      <c r="BB27" s="322" t="str">
        <f t="shared" si="7"/>
        <v/>
      </c>
      <c r="BC27" s="322" t="str">
        <f t="array" ref="BC27">IF(ISERROR(AVERAGE(AT$8:$BA27)),"",AVERAGE(AT$8:$BA27))</f>
        <v/>
      </c>
      <c r="BD27" s="323">
        <f t="shared" si="4"/>
        <v>4.0111111111111111</v>
      </c>
      <c r="BE27" s="323">
        <f t="shared" si="5"/>
        <v>12</v>
      </c>
      <c r="BF27" s="323">
        <v>11</v>
      </c>
      <c r="BG27" s="323">
        <v>3</v>
      </c>
      <c r="BH27" s="323">
        <v>3</v>
      </c>
      <c r="BI27" s="323">
        <v>29</v>
      </c>
      <c r="BJ27" s="323">
        <v>10</v>
      </c>
      <c r="BK27" s="323">
        <v>9</v>
      </c>
      <c r="BL27" s="323">
        <v>11</v>
      </c>
      <c r="BM27" s="323">
        <v>9</v>
      </c>
      <c r="BN27" s="323">
        <v>9</v>
      </c>
      <c r="BO27" s="323">
        <v>9</v>
      </c>
      <c r="BP27" s="323">
        <v>9</v>
      </c>
      <c r="BQ27" s="323">
        <v>8</v>
      </c>
      <c r="BR27" s="323">
        <v>9</v>
      </c>
      <c r="BS27" s="323">
        <v>9</v>
      </c>
      <c r="BT27" s="323">
        <v>10</v>
      </c>
      <c r="BU27" s="323">
        <v>10</v>
      </c>
      <c r="BV27" s="323">
        <v>2</v>
      </c>
      <c r="BW27" s="323">
        <v>5</v>
      </c>
      <c r="BX27" s="323">
        <v>4</v>
      </c>
      <c r="BY27" s="323">
        <v>3</v>
      </c>
      <c r="BZ27" s="323">
        <v>3</v>
      </c>
      <c r="CA27" s="323">
        <v>3</v>
      </c>
      <c r="CB27" s="323">
        <v>4</v>
      </c>
      <c r="CC27" s="323">
        <v>3</v>
      </c>
      <c r="CD27" s="323">
        <v>3</v>
      </c>
      <c r="CE27" s="323">
        <v>5</v>
      </c>
      <c r="CF27" s="323">
        <v>3</v>
      </c>
      <c r="CG27" s="323">
        <v>3</v>
      </c>
      <c r="CH27" s="323">
        <v>3</v>
      </c>
      <c r="CI27" s="323">
        <v>3</v>
      </c>
      <c r="CJ27" s="323">
        <v>1</v>
      </c>
      <c r="CK27" s="323">
        <v>2</v>
      </c>
      <c r="CL27" s="323">
        <v>1</v>
      </c>
      <c r="CM27" s="323">
        <v>1</v>
      </c>
      <c r="CN27" s="323">
        <v>1</v>
      </c>
      <c r="CO27" s="323">
        <v>3</v>
      </c>
      <c r="CP27" s="323">
        <v>4</v>
      </c>
      <c r="CQ27" s="323">
        <v>5</v>
      </c>
      <c r="CR27" s="323">
        <v>7</v>
      </c>
      <c r="CS27" s="323">
        <v>0</v>
      </c>
      <c r="CT27" s="323">
        <v>9</v>
      </c>
    </row>
    <row r="28" spans="1:98" s="323" customFormat="1" ht="21.95" customHeight="1" thickBot="1">
      <c r="A28" s="324">
        <v>21</v>
      </c>
      <c r="B28" s="1333" t="s">
        <v>377</v>
      </c>
      <c r="C28" s="1295" t="s">
        <v>16136</v>
      </c>
      <c r="D28" s="1295" t="s">
        <v>16136</v>
      </c>
      <c r="E28" s="441" t="s">
        <v>17586</v>
      </c>
      <c r="F28" s="441"/>
      <c r="G28" s="1295" t="s">
        <v>16136</v>
      </c>
      <c r="H28" s="441"/>
      <c r="I28" s="1295" t="s">
        <v>16136</v>
      </c>
      <c r="J28" s="441"/>
      <c r="K28" s="1295" t="s">
        <v>16136</v>
      </c>
      <c r="L28" s="1295" t="s">
        <v>16136</v>
      </c>
      <c r="M28" s="441"/>
      <c r="N28" s="441"/>
      <c r="O28" s="441" t="s">
        <v>377</v>
      </c>
      <c r="P28" s="441"/>
      <c r="Q28" s="1295" t="s">
        <v>16136</v>
      </c>
      <c r="R28" s="441"/>
      <c r="S28" s="1295" t="s">
        <v>16136</v>
      </c>
      <c r="T28" s="441"/>
      <c r="U28" s="1026" t="s">
        <v>377</v>
      </c>
      <c r="V28" s="320" t="str">
        <f t="shared" si="6"/>
        <v/>
      </c>
      <c r="W28" s="319">
        <f>IF(ISERROR(AVERAGE($B$8:U28)),"",AVERAGE($B$8:U28))</f>
        <v>2.3330175438596483</v>
      </c>
      <c r="X28" s="325" t="s">
        <v>377</v>
      </c>
      <c r="Y28" s="441" t="s">
        <v>377</v>
      </c>
      <c r="Z28" s="1026" t="s">
        <v>377</v>
      </c>
      <c r="AA28" s="320" t="str">
        <f t="shared" si="0"/>
        <v/>
      </c>
      <c r="AB28" s="319">
        <f>IF(ISERROR(AVERAGE($X$8:Z28)),"",AVERAGE($X$8:Z28))</f>
        <v>2.9933333333333336</v>
      </c>
      <c r="AC28" s="1539"/>
      <c r="AD28" s="441"/>
      <c r="AE28" s="1533"/>
      <c r="AF28" s="441"/>
      <c r="AG28" s="441"/>
      <c r="AH28" s="441"/>
      <c r="AI28" s="1533"/>
      <c r="AJ28" s="441"/>
      <c r="AK28" s="1533"/>
      <c r="AL28" s="441"/>
      <c r="AM28" s="1026"/>
      <c r="AN28" s="320" t="str">
        <f t="shared" si="1"/>
        <v/>
      </c>
      <c r="AO28" s="321">
        <f>IF(ISERROR(AVERAGE($AC$8:AM28)),"",AVERAGE($AC$8:AM28))</f>
        <v>4.5297619047619042</v>
      </c>
      <c r="AP28" s="325"/>
      <c r="AQ28" s="1279" t="s">
        <v>16051</v>
      </c>
      <c r="AR28" s="320" t="str">
        <f t="shared" si="2"/>
        <v/>
      </c>
      <c r="AS28" s="321">
        <f>IF(ISERROR(AVERAGE(AP$8:$AQ28)),"",AVERAGE(AP$8:$AQ28))</f>
        <v>11.681818181818182</v>
      </c>
      <c r="AT28" s="325" t="s">
        <v>16185</v>
      </c>
      <c r="AU28" s="441" t="s">
        <v>16185</v>
      </c>
      <c r="AV28" s="441" t="s">
        <v>16185</v>
      </c>
      <c r="AW28" s="441" t="s">
        <v>16185</v>
      </c>
      <c r="AX28" s="441" t="s">
        <v>16185</v>
      </c>
      <c r="AY28" s="441" t="s">
        <v>16185</v>
      </c>
      <c r="AZ28" s="441" t="s">
        <v>16185</v>
      </c>
      <c r="BA28" s="441" t="s">
        <v>16185</v>
      </c>
      <c r="BB28" s="322" t="str">
        <f t="shared" si="7"/>
        <v/>
      </c>
      <c r="BC28" s="322" t="str">
        <f t="array" ref="BC28">IF(ISERROR(AVERAGE(AT$8:$BA28)),"",AVERAGE(AT$8:$BA28))</f>
        <v/>
      </c>
      <c r="BD28" s="323" t="str">
        <f t="shared" si="4"/>
        <v/>
      </c>
      <c r="BE28" s="323">
        <f t="shared" si="5"/>
        <v>14</v>
      </c>
      <c r="BF28" s="323">
        <v>14</v>
      </c>
      <c r="BG28" s="323">
        <v>4</v>
      </c>
      <c r="BH28" s="323">
        <v>3</v>
      </c>
      <c r="BI28" s="323">
        <v>29</v>
      </c>
      <c r="BJ28" s="323">
        <v>10</v>
      </c>
      <c r="BK28" s="323">
        <v>9</v>
      </c>
      <c r="BL28" s="323">
        <v>11</v>
      </c>
      <c r="BM28" s="323">
        <v>9</v>
      </c>
      <c r="BN28" s="323">
        <v>9</v>
      </c>
      <c r="BO28" s="323">
        <v>9</v>
      </c>
      <c r="BP28" s="323">
        <v>9</v>
      </c>
      <c r="BQ28" s="323">
        <v>8</v>
      </c>
      <c r="BR28" s="323">
        <v>9</v>
      </c>
      <c r="BS28" s="323">
        <v>9</v>
      </c>
      <c r="BT28" s="323">
        <v>9</v>
      </c>
      <c r="BU28" s="323">
        <v>10</v>
      </c>
      <c r="BV28" s="323">
        <v>2</v>
      </c>
      <c r="BW28" s="323">
        <v>5</v>
      </c>
      <c r="BX28" s="323">
        <v>4</v>
      </c>
      <c r="BY28" s="323">
        <v>3</v>
      </c>
      <c r="BZ28" s="323">
        <v>3</v>
      </c>
      <c r="CA28" s="323">
        <v>3</v>
      </c>
      <c r="CB28" s="323">
        <v>4</v>
      </c>
      <c r="CC28" s="323">
        <v>3</v>
      </c>
      <c r="CD28" s="323">
        <v>3</v>
      </c>
      <c r="CE28" s="323">
        <v>5</v>
      </c>
      <c r="CF28" s="323">
        <v>3</v>
      </c>
      <c r="CG28" s="323">
        <v>3</v>
      </c>
      <c r="CH28" s="323">
        <v>3</v>
      </c>
      <c r="CI28" s="323">
        <v>3</v>
      </c>
      <c r="CJ28" s="323">
        <v>1</v>
      </c>
      <c r="CK28" s="323">
        <v>2</v>
      </c>
      <c r="CL28" s="323">
        <v>1</v>
      </c>
      <c r="CM28" s="323">
        <v>1</v>
      </c>
      <c r="CN28" s="323">
        <v>1</v>
      </c>
      <c r="CO28" s="323">
        <v>3</v>
      </c>
      <c r="CP28" s="323">
        <v>4</v>
      </c>
      <c r="CQ28" s="323">
        <v>10</v>
      </c>
      <c r="CR28" s="323">
        <v>7</v>
      </c>
      <c r="CS28" s="323">
        <v>0</v>
      </c>
      <c r="CT28" s="323">
        <v>15</v>
      </c>
    </row>
    <row r="29" spans="1:98" s="323" customFormat="1" ht="21.95" customHeight="1" thickBot="1">
      <c r="A29" s="324">
        <v>22</v>
      </c>
      <c r="B29" s="1333" t="s">
        <v>377</v>
      </c>
      <c r="C29" s="1295" t="s">
        <v>16136</v>
      </c>
      <c r="D29" s="1295" t="s">
        <v>16136</v>
      </c>
      <c r="E29" s="441" t="s">
        <v>17586</v>
      </c>
      <c r="F29" s="441"/>
      <c r="G29" s="1295" t="s">
        <v>16136</v>
      </c>
      <c r="H29" s="441"/>
      <c r="I29" s="1295" t="s">
        <v>16136</v>
      </c>
      <c r="J29" s="441"/>
      <c r="K29" s="1295" t="s">
        <v>16136</v>
      </c>
      <c r="L29" s="1295" t="s">
        <v>16136</v>
      </c>
      <c r="M29" s="441"/>
      <c r="N29" s="441"/>
      <c r="O29" s="441" t="s">
        <v>377</v>
      </c>
      <c r="P29" s="441"/>
      <c r="Q29" s="1295" t="s">
        <v>16136</v>
      </c>
      <c r="R29" s="441"/>
      <c r="S29" s="441"/>
      <c r="T29" s="441"/>
      <c r="U29" s="1026" t="s">
        <v>377</v>
      </c>
      <c r="V29" s="320" t="str">
        <f t="shared" si="6"/>
        <v/>
      </c>
      <c r="W29" s="319">
        <f>IF(ISERROR(AVERAGE($B$8:U29)),"",AVERAGE($B$8:U29))</f>
        <v>2.3330175438596483</v>
      </c>
      <c r="X29" s="1333" t="s">
        <v>377</v>
      </c>
      <c r="Y29" s="441" t="s">
        <v>377</v>
      </c>
      <c r="Z29" s="1026" t="s">
        <v>377</v>
      </c>
      <c r="AA29" s="320" t="str">
        <f t="shared" si="0"/>
        <v/>
      </c>
      <c r="AB29" s="319">
        <f>IF(ISERROR(AVERAGE($X$8:Z29)),"",AVERAGE($X$8:Z29))</f>
        <v>2.9933333333333336</v>
      </c>
      <c r="AC29" s="1539"/>
      <c r="AD29" s="441"/>
      <c r="AE29" s="1533"/>
      <c r="AF29" s="441"/>
      <c r="AG29" s="441"/>
      <c r="AH29" s="441"/>
      <c r="AI29" s="1533"/>
      <c r="AJ29" s="441"/>
      <c r="AK29" s="1533"/>
      <c r="AL29" s="441"/>
      <c r="AM29" s="1026"/>
      <c r="AN29" s="320" t="str">
        <f t="shared" si="1"/>
        <v/>
      </c>
      <c r="AO29" s="321">
        <f>IF(ISERROR(AVERAGE($AC$8:AM29)),"",AVERAGE($AC$8:AM29))</f>
        <v>4.5297619047619042</v>
      </c>
      <c r="AP29" s="325"/>
      <c r="AQ29" s="1279" t="s">
        <v>16051</v>
      </c>
      <c r="AR29" s="320" t="str">
        <f t="shared" si="2"/>
        <v/>
      </c>
      <c r="AS29" s="321">
        <f>IF(ISERROR(AVERAGE(AP$8:$AQ29)),"",AVERAGE(AP$8:$AQ29))</f>
        <v>11.681818181818182</v>
      </c>
      <c r="AT29" s="325" t="s">
        <v>16185</v>
      </c>
      <c r="AU29" s="441" t="s">
        <v>16185</v>
      </c>
      <c r="AV29" s="441" t="s">
        <v>16185</v>
      </c>
      <c r="AW29" s="441" t="s">
        <v>16185</v>
      </c>
      <c r="AX29" s="441" t="s">
        <v>16185</v>
      </c>
      <c r="AY29" s="441" t="s">
        <v>16185</v>
      </c>
      <c r="AZ29" s="441" t="s">
        <v>16185</v>
      </c>
      <c r="BA29" s="441" t="s">
        <v>16185</v>
      </c>
      <c r="BB29" s="322" t="str">
        <f t="shared" si="7"/>
        <v/>
      </c>
      <c r="BC29" s="322" t="str">
        <f t="array" ref="BC29">IF(ISERROR(AVERAGE(AT$8:$BA29)),"",AVERAGE(AT$8:$BA29))</f>
        <v/>
      </c>
      <c r="BD29" s="323" t="str">
        <f t="shared" si="4"/>
        <v/>
      </c>
      <c r="BE29" s="323">
        <f t="shared" si="5"/>
        <v>13</v>
      </c>
      <c r="BF29" s="323">
        <v>13</v>
      </c>
      <c r="BG29" s="323">
        <v>4</v>
      </c>
      <c r="BH29" s="323">
        <v>3</v>
      </c>
      <c r="BI29" s="323">
        <v>29</v>
      </c>
      <c r="BJ29" s="323">
        <v>10</v>
      </c>
      <c r="BK29" s="323">
        <v>9</v>
      </c>
      <c r="BL29" s="323">
        <v>11</v>
      </c>
      <c r="BM29" s="323">
        <v>9</v>
      </c>
      <c r="BN29" s="323">
        <v>9</v>
      </c>
      <c r="BO29" s="323">
        <v>9</v>
      </c>
      <c r="BP29" s="323">
        <v>9</v>
      </c>
      <c r="BQ29" s="323">
        <v>8</v>
      </c>
      <c r="BR29" s="323">
        <v>9</v>
      </c>
      <c r="BS29" s="323">
        <v>9</v>
      </c>
      <c r="BT29" s="323">
        <v>9</v>
      </c>
      <c r="BU29" s="323">
        <v>10</v>
      </c>
      <c r="BV29" s="323">
        <v>28</v>
      </c>
      <c r="BW29" s="323">
        <v>5</v>
      </c>
      <c r="BX29" s="323">
        <v>4</v>
      </c>
      <c r="BY29" s="323">
        <v>4</v>
      </c>
      <c r="BZ29" s="323">
        <v>3</v>
      </c>
      <c r="CA29" s="323">
        <v>3</v>
      </c>
      <c r="CB29" s="323">
        <v>4</v>
      </c>
      <c r="CC29" s="323">
        <v>3</v>
      </c>
      <c r="CD29" s="323">
        <v>2</v>
      </c>
      <c r="CE29" s="323">
        <v>5</v>
      </c>
      <c r="CF29" s="323">
        <v>3</v>
      </c>
      <c r="CG29" s="323">
        <v>3</v>
      </c>
      <c r="CH29" s="323">
        <v>3</v>
      </c>
      <c r="CI29" s="323">
        <v>3</v>
      </c>
      <c r="CJ29" s="323">
        <v>1</v>
      </c>
      <c r="CK29" s="323">
        <v>2</v>
      </c>
      <c r="CL29" s="323">
        <v>2</v>
      </c>
      <c r="CM29" s="323">
        <v>1</v>
      </c>
      <c r="CN29" s="323">
        <v>1</v>
      </c>
      <c r="CO29" s="323">
        <v>3</v>
      </c>
      <c r="CP29" s="323">
        <v>4</v>
      </c>
      <c r="CQ29" s="323">
        <v>14</v>
      </c>
      <c r="CR29" s="323">
        <v>10</v>
      </c>
      <c r="CS29" s="323">
        <v>0</v>
      </c>
      <c r="CT29" s="323">
        <v>15</v>
      </c>
    </row>
    <row r="30" spans="1:98" s="323" customFormat="1" ht="21.95" customHeight="1" thickBot="1">
      <c r="A30" s="324">
        <v>23</v>
      </c>
      <c r="B30" s="1333" t="s">
        <v>377</v>
      </c>
      <c r="C30" s="1295" t="s">
        <v>16136</v>
      </c>
      <c r="D30" s="1295" t="s">
        <v>16136</v>
      </c>
      <c r="E30" s="441" t="s">
        <v>17586</v>
      </c>
      <c r="F30" s="441"/>
      <c r="G30" s="1295" t="s">
        <v>16136</v>
      </c>
      <c r="H30" s="441"/>
      <c r="I30" s="1295" t="s">
        <v>16136</v>
      </c>
      <c r="J30" s="441"/>
      <c r="K30" s="1295" t="s">
        <v>16136</v>
      </c>
      <c r="L30" s="1295" t="s">
        <v>16136</v>
      </c>
      <c r="M30" s="441"/>
      <c r="N30" s="441"/>
      <c r="O30" s="441" t="s">
        <v>377</v>
      </c>
      <c r="P30" s="441"/>
      <c r="Q30" s="1295" t="s">
        <v>16136</v>
      </c>
      <c r="R30" s="441"/>
      <c r="S30" s="441"/>
      <c r="T30" s="441"/>
      <c r="U30" s="1026" t="s">
        <v>377</v>
      </c>
      <c r="V30" s="320" t="str">
        <f t="shared" si="6"/>
        <v/>
      </c>
      <c r="W30" s="319">
        <f>IF(ISERROR(AVERAGE($B$8:U30)),"",AVERAGE($B$8:U30))</f>
        <v>2.3330175438596483</v>
      </c>
      <c r="X30" s="325" t="s">
        <v>377</v>
      </c>
      <c r="Y30" s="441" t="s">
        <v>377</v>
      </c>
      <c r="Z30" s="1026" t="s">
        <v>377</v>
      </c>
      <c r="AA30" s="320" t="str">
        <f t="shared" si="0"/>
        <v/>
      </c>
      <c r="AB30" s="319">
        <f>IF(ISERROR(AVERAGE($X$8:Z30)),"",AVERAGE($X$8:Z30))</f>
        <v>2.9933333333333336</v>
      </c>
      <c r="AC30" s="1539"/>
      <c r="AD30" s="441"/>
      <c r="AE30" s="1533"/>
      <c r="AF30" s="441"/>
      <c r="AG30" s="441"/>
      <c r="AH30" s="441"/>
      <c r="AI30" s="1533"/>
      <c r="AJ30" s="441"/>
      <c r="AK30" s="1533"/>
      <c r="AL30" s="441"/>
      <c r="AM30" s="1026"/>
      <c r="AN30" s="320" t="str">
        <f t="shared" si="1"/>
        <v/>
      </c>
      <c r="AO30" s="321">
        <f>IF(ISERROR(AVERAGE($AC$8:AM30)),"",AVERAGE($AC$8:AM30))</f>
        <v>4.5297619047619042</v>
      </c>
      <c r="AP30" s="325"/>
      <c r="AQ30" s="1279" t="s">
        <v>16051</v>
      </c>
      <c r="AR30" s="320" t="str">
        <f t="shared" si="2"/>
        <v/>
      </c>
      <c r="AS30" s="321">
        <f>IF(ISERROR(AVERAGE(AP$8:$AQ30)),"",AVERAGE(AP$8:$AQ30))</f>
        <v>11.681818181818182</v>
      </c>
      <c r="AT30" s="325" t="s">
        <v>16185</v>
      </c>
      <c r="AU30" s="441" t="s">
        <v>16185</v>
      </c>
      <c r="AV30" s="441" t="s">
        <v>16185</v>
      </c>
      <c r="AW30" s="441" t="s">
        <v>16185</v>
      </c>
      <c r="AX30" s="441" t="s">
        <v>16185</v>
      </c>
      <c r="AY30" s="441" t="s">
        <v>16185</v>
      </c>
      <c r="AZ30" s="441" t="s">
        <v>16185</v>
      </c>
      <c r="BA30" s="441" t="s">
        <v>16185</v>
      </c>
      <c r="BB30" s="322" t="str">
        <f t="shared" si="7"/>
        <v/>
      </c>
      <c r="BC30" s="322" t="str">
        <f t="array" ref="BC30">IF(ISERROR(AVERAGE(AT$8:$BA30)),"",AVERAGE(AT$8:$BA30))</f>
        <v/>
      </c>
      <c r="BD30" s="323" t="str">
        <f t="shared" si="4"/>
        <v/>
      </c>
      <c r="BE30" s="323">
        <f t="shared" si="5"/>
        <v>13</v>
      </c>
      <c r="BF30" s="323">
        <v>14</v>
      </c>
      <c r="BG30" s="323">
        <v>4</v>
      </c>
      <c r="BH30" s="323">
        <v>2</v>
      </c>
      <c r="BI30" s="323">
        <v>2</v>
      </c>
      <c r="BJ30" s="323">
        <v>10</v>
      </c>
      <c r="BK30" s="323">
        <v>9</v>
      </c>
      <c r="BL30" s="323">
        <v>11</v>
      </c>
      <c r="BM30" s="323">
        <v>9</v>
      </c>
      <c r="BN30" s="323">
        <v>9</v>
      </c>
      <c r="BO30" s="323">
        <v>9</v>
      </c>
      <c r="BP30" s="323">
        <v>9</v>
      </c>
      <c r="BQ30" s="323">
        <v>8</v>
      </c>
      <c r="BR30" s="323">
        <v>9</v>
      </c>
      <c r="BS30" s="323">
        <v>9</v>
      </c>
      <c r="BT30" s="323">
        <v>9</v>
      </c>
      <c r="BU30" s="323">
        <v>10</v>
      </c>
      <c r="BV30" s="323">
        <v>28</v>
      </c>
      <c r="BW30" s="323">
        <v>5</v>
      </c>
      <c r="BX30" s="323">
        <v>4</v>
      </c>
      <c r="BY30" s="323">
        <v>4</v>
      </c>
      <c r="BZ30" s="323">
        <v>3</v>
      </c>
      <c r="CA30" s="323">
        <v>3</v>
      </c>
      <c r="CB30" s="323">
        <v>3</v>
      </c>
      <c r="CC30" s="323">
        <v>3</v>
      </c>
      <c r="CD30" s="323">
        <v>2</v>
      </c>
      <c r="CE30" s="323">
        <v>5</v>
      </c>
      <c r="CF30" s="323">
        <v>3</v>
      </c>
      <c r="CG30" s="323">
        <v>3</v>
      </c>
      <c r="CH30" s="323">
        <v>3</v>
      </c>
      <c r="CI30" s="323">
        <v>3</v>
      </c>
      <c r="CJ30" s="323">
        <v>1</v>
      </c>
      <c r="CK30" s="323">
        <v>2</v>
      </c>
      <c r="CL30" s="323">
        <v>2</v>
      </c>
      <c r="CM30" s="323">
        <v>1</v>
      </c>
      <c r="CN30" s="323">
        <v>1</v>
      </c>
      <c r="CO30" s="323">
        <v>3</v>
      </c>
      <c r="CP30" s="323">
        <v>4</v>
      </c>
      <c r="CQ30" s="323">
        <v>12</v>
      </c>
      <c r="CR30" s="323">
        <v>9</v>
      </c>
      <c r="CS30" s="323">
        <v>3</v>
      </c>
      <c r="CT30" s="323">
        <v>15</v>
      </c>
    </row>
    <row r="31" spans="1:98" s="323" customFormat="1" ht="21.95" customHeight="1" thickBot="1">
      <c r="A31" s="324">
        <v>24</v>
      </c>
      <c r="B31" s="1333" t="s">
        <v>377</v>
      </c>
      <c r="C31" s="1295" t="s">
        <v>16136</v>
      </c>
      <c r="D31" s="1295" t="s">
        <v>16136</v>
      </c>
      <c r="E31" s="441" t="s">
        <v>17586</v>
      </c>
      <c r="F31" s="441"/>
      <c r="G31" s="1295" t="s">
        <v>16136</v>
      </c>
      <c r="H31" s="441"/>
      <c r="I31" s="1295" t="s">
        <v>16136</v>
      </c>
      <c r="J31" s="441"/>
      <c r="K31" s="1295" t="s">
        <v>16136</v>
      </c>
      <c r="L31" s="1295" t="s">
        <v>16136</v>
      </c>
      <c r="M31" s="441"/>
      <c r="N31" s="441"/>
      <c r="O31" s="441" t="s">
        <v>377</v>
      </c>
      <c r="P31" s="441"/>
      <c r="Q31" s="1295" t="s">
        <v>16136</v>
      </c>
      <c r="R31" s="441"/>
      <c r="S31" s="441"/>
      <c r="T31" s="441"/>
      <c r="U31" s="1026" t="s">
        <v>377</v>
      </c>
      <c r="V31" s="320" t="str">
        <f t="shared" si="6"/>
        <v/>
      </c>
      <c r="W31" s="319">
        <f>IF(ISERROR(AVERAGE($B$8:U31)),"",AVERAGE($B$8:U31))</f>
        <v>2.3330175438596483</v>
      </c>
      <c r="X31" s="325" t="s">
        <v>377</v>
      </c>
      <c r="Y31" s="441" t="s">
        <v>377</v>
      </c>
      <c r="Z31" s="1026" t="s">
        <v>377</v>
      </c>
      <c r="AA31" s="320" t="str">
        <f t="shared" si="0"/>
        <v/>
      </c>
      <c r="AB31" s="319">
        <f>IF(ISERROR(AVERAGE($X$8:Z31)),"",AVERAGE($X$8:Z31))</f>
        <v>2.9933333333333336</v>
      </c>
      <c r="AC31" s="1539"/>
      <c r="AD31" s="441"/>
      <c r="AE31" s="1533"/>
      <c r="AF31" s="441"/>
      <c r="AG31" s="441"/>
      <c r="AH31" s="441"/>
      <c r="AI31" s="1533"/>
      <c r="AJ31" s="441"/>
      <c r="AK31" s="1533"/>
      <c r="AL31" s="441"/>
      <c r="AM31" s="1528"/>
      <c r="AN31" s="320" t="str">
        <f t="shared" si="1"/>
        <v/>
      </c>
      <c r="AO31" s="321">
        <f>IF(ISERROR(AVERAGE($AC$8:AM31)),"",AVERAGE($AC$8:AM31))</f>
        <v>4.5297619047619042</v>
      </c>
      <c r="AP31" s="325"/>
      <c r="AQ31" s="1279" t="s">
        <v>16051</v>
      </c>
      <c r="AR31" s="320" t="str">
        <f t="shared" si="2"/>
        <v/>
      </c>
      <c r="AS31" s="321">
        <f>IF(ISERROR(AVERAGE(AP$8:$AQ31)),"",AVERAGE(AP$8:$AQ31))</f>
        <v>11.681818181818182</v>
      </c>
      <c r="AT31" s="325" t="s">
        <v>16185</v>
      </c>
      <c r="AU31" s="441" t="s">
        <v>16185</v>
      </c>
      <c r="AV31" s="441" t="s">
        <v>16185</v>
      </c>
      <c r="AW31" s="441" t="s">
        <v>16185</v>
      </c>
      <c r="AX31" s="441" t="s">
        <v>16185</v>
      </c>
      <c r="AY31" s="441" t="s">
        <v>16185</v>
      </c>
      <c r="AZ31" s="441" t="s">
        <v>16185</v>
      </c>
      <c r="BA31" s="441" t="s">
        <v>16185</v>
      </c>
      <c r="BB31" s="322" t="str">
        <f t="shared" si="7"/>
        <v/>
      </c>
      <c r="BC31" s="322" t="str">
        <f t="array" ref="BC31">IF(ISERROR(AVERAGE(AT$8:$BA31)),"",AVERAGE(AT$8:$BA31))</f>
        <v/>
      </c>
      <c r="BD31" s="323" t="str">
        <f t="shared" si="4"/>
        <v/>
      </c>
      <c r="BE31" s="323">
        <f t="shared" si="5"/>
        <v>13</v>
      </c>
      <c r="BF31" s="323">
        <v>14</v>
      </c>
      <c r="BG31" s="323">
        <v>4</v>
      </c>
      <c r="BH31" s="323">
        <v>2</v>
      </c>
      <c r="BI31" s="323">
        <v>2</v>
      </c>
      <c r="BJ31" s="323">
        <v>10</v>
      </c>
      <c r="BK31" s="323">
        <v>9</v>
      </c>
      <c r="BL31" s="323">
        <v>12</v>
      </c>
      <c r="BM31" s="323">
        <v>9</v>
      </c>
      <c r="BN31" s="323">
        <v>9</v>
      </c>
      <c r="BO31" s="323">
        <v>9</v>
      </c>
      <c r="BP31" s="323">
        <v>9</v>
      </c>
      <c r="BQ31" s="323">
        <v>8</v>
      </c>
      <c r="BR31" s="323">
        <v>9</v>
      </c>
      <c r="BS31" s="323">
        <v>9</v>
      </c>
      <c r="BT31" s="323">
        <v>9</v>
      </c>
      <c r="BU31" s="323">
        <v>10</v>
      </c>
      <c r="BV31" s="323">
        <v>28</v>
      </c>
      <c r="BW31" s="323">
        <v>5</v>
      </c>
      <c r="BX31" s="323">
        <v>4</v>
      </c>
      <c r="BY31" s="323">
        <v>4</v>
      </c>
      <c r="BZ31" s="323">
        <v>3</v>
      </c>
      <c r="CA31" s="323">
        <v>3</v>
      </c>
      <c r="CB31" s="323">
        <v>3</v>
      </c>
      <c r="CC31" s="323">
        <v>3</v>
      </c>
      <c r="CD31" s="323">
        <v>3</v>
      </c>
      <c r="CE31" s="323">
        <v>6</v>
      </c>
      <c r="CF31" s="323">
        <v>3</v>
      </c>
      <c r="CG31" s="323">
        <v>3</v>
      </c>
      <c r="CH31" s="323">
        <v>3</v>
      </c>
      <c r="CI31" s="323">
        <v>3</v>
      </c>
      <c r="CJ31" s="323">
        <v>1</v>
      </c>
      <c r="CK31" s="323">
        <v>2</v>
      </c>
      <c r="CL31" s="323">
        <v>2</v>
      </c>
      <c r="CM31" s="323">
        <v>1</v>
      </c>
      <c r="CN31" s="323">
        <v>1</v>
      </c>
      <c r="CO31" s="323">
        <v>3</v>
      </c>
      <c r="CP31" s="323">
        <v>37</v>
      </c>
      <c r="CQ31" s="323">
        <v>12</v>
      </c>
      <c r="CR31" s="323">
        <v>8</v>
      </c>
      <c r="CS31" s="323">
        <v>3</v>
      </c>
      <c r="CT31" s="323">
        <v>15</v>
      </c>
    </row>
    <row r="32" spans="1:98" s="323" customFormat="1" ht="21.95" customHeight="1" thickBot="1">
      <c r="A32" s="324">
        <v>25</v>
      </c>
      <c r="B32" s="1333" t="s">
        <v>377</v>
      </c>
      <c r="C32" s="1295" t="s">
        <v>16136</v>
      </c>
      <c r="D32" s="1295" t="s">
        <v>16136</v>
      </c>
      <c r="E32" s="441" t="s">
        <v>17586</v>
      </c>
      <c r="F32" s="441"/>
      <c r="G32" s="1295" t="s">
        <v>16136</v>
      </c>
      <c r="H32" s="441"/>
      <c r="I32" s="1295" t="s">
        <v>16136</v>
      </c>
      <c r="J32" s="441"/>
      <c r="K32" s="1295" t="s">
        <v>16136</v>
      </c>
      <c r="L32" s="1295" t="s">
        <v>16136</v>
      </c>
      <c r="M32" s="441"/>
      <c r="N32" s="441"/>
      <c r="O32" s="441" t="s">
        <v>377</v>
      </c>
      <c r="P32" s="441"/>
      <c r="Q32" s="1295" t="s">
        <v>16136</v>
      </c>
      <c r="R32" s="441"/>
      <c r="S32" s="441"/>
      <c r="T32" s="441"/>
      <c r="U32" s="1026" t="s">
        <v>377</v>
      </c>
      <c r="V32" s="320" t="str">
        <f t="shared" si="6"/>
        <v/>
      </c>
      <c r="W32" s="319">
        <f>IF(ISERROR(AVERAGE($B$8:U32)),"",AVERAGE($B$8:U32))</f>
        <v>2.3330175438596483</v>
      </c>
      <c r="X32" s="325" t="s">
        <v>377</v>
      </c>
      <c r="Y32" s="441" t="s">
        <v>377</v>
      </c>
      <c r="Z32" s="1026" t="s">
        <v>377</v>
      </c>
      <c r="AA32" s="320" t="str">
        <f t="shared" si="0"/>
        <v/>
      </c>
      <c r="AB32" s="319">
        <f>IF(ISERROR(AVERAGE($X$8:Z32)),"",AVERAGE($X$8:Z32))</f>
        <v>2.9933333333333336</v>
      </c>
      <c r="AC32" s="1539"/>
      <c r="AD32" s="441"/>
      <c r="AE32" s="1533"/>
      <c r="AF32" s="441"/>
      <c r="AG32" s="441"/>
      <c r="AH32" s="441"/>
      <c r="AI32" s="1533"/>
      <c r="AJ32" s="441"/>
      <c r="AK32" s="1533"/>
      <c r="AL32" s="441"/>
      <c r="AM32" s="1528"/>
      <c r="AN32" s="320" t="str">
        <f t="shared" si="1"/>
        <v/>
      </c>
      <c r="AO32" s="321">
        <f>IF(ISERROR(AVERAGE($AC$8:AM32)),"",AVERAGE($AC$8:AM32))</f>
        <v>4.5297619047619042</v>
      </c>
      <c r="AP32" s="325"/>
      <c r="AQ32" s="1279" t="s">
        <v>16051</v>
      </c>
      <c r="AR32" s="320" t="str">
        <f t="shared" si="2"/>
        <v/>
      </c>
      <c r="AS32" s="321">
        <f>IF(ISERROR(AVERAGE(AP$8:$AQ32)),"",AVERAGE(AP$8:$AQ32))</f>
        <v>11.681818181818182</v>
      </c>
      <c r="AT32" s="325" t="s">
        <v>16185</v>
      </c>
      <c r="AU32" s="441" t="s">
        <v>16185</v>
      </c>
      <c r="AV32" s="441" t="s">
        <v>16185</v>
      </c>
      <c r="AW32" s="441" t="s">
        <v>16185</v>
      </c>
      <c r="AX32" s="441" t="s">
        <v>16185</v>
      </c>
      <c r="AY32" s="441" t="s">
        <v>16185</v>
      </c>
      <c r="AZ32" s="441" t="s">
        <v>16185</v>
      </c>
      <c r="BA32" s="441" t="s">
        <v>16185</v>
      </c>
      <c r="BB32" s="322" t="str">
        <f t="shared" si="7"/>
        <v/>
      </c>
      <c r="BC32" s="322" t="str">
        <f t="array" ref="BC32">IF(ISERROR(AVERAGE(AT$8:$BA32)),"",AVERAGE(AT$8:$BA32))</f>
        <v/>
      </c>
      <c r="BD32" s="323" t="str">
        <f t="shared" si="4"/>
        <v/>
      </c>
      <c r="BE32" s="323">
        <f t="shared" si="5"/>
        <v>13</v>
      </c>
      <c r="BF32" s="323">
        <v>13</v>
      </c>
      <c r="BG32" s="323">
        <v>4</v>
      </c>
      <c r="BH32" s="323">
        <v>2</v>
      </c>
      <c r="BI32" s="323">
        <v>2</v>
      </c>
      <c r="BJ32" s="323">
        <v>10</v>
      </c>
      <c r="BK32" s="323">
        <v>10</v>
      </c>
      <c r="BL32" s="323">
        <v>11</v>
      </c>
      <c r="BM32" s="323">
        <v>9</v>
      </c>
      <c r="BN32" s="323">
        <v>9</v>
      </c>
      <c r="BO32" s="323">
        <v>9</v>
      </c>
      <c r="BP32" s="323">
        <v>9</v>
      </c>
      <c r="BQ32" s="323">
        <v>9</v>
      </c>
      <c r="BR32" s="323">
        <v>9</v>
      </c>
      <c r="BS32" s="323">
        <v>9</v>
      </c>
      <c r="BT32" s="323">
        <v>9</v>
      </c>
      <c r="BU32" s="323">
        <v>10</v>
      </c>
      <c r="BV32" s="323">
        <v>28</v>
      </c>
      <c r="BW32" s="323">
        <v>5</v>
      </c>
      <c r="BX32" s="323">
        <v>4</v>
      </c>
      <c r="BY32" s="323">
        <v>4</v>
      </c>
      <c r="BZ32" s="323">
        <v>3</v>
      </c>
      <c r="CA32" s="323">
        <v>3</v>
      </c>
      <c r="CB32" s="323">
        <v>3</v>
      </c>
      <c r="CC32" s="323">
        <v>3</v>
      </c>
      <c r="CD32" s="323">
        <v>3</v>
      </c>
      <c r="CE32" s="323">
        <v>6</v>
      </c>
      <c r="CF32" s="323">
        <v>3</v>
      </c>
      <c r="CG32" s="323">
        <v>3</v>
      </c>
      <c r="CH32" s="323">
        <v>3</v>
      </c>
      <c r="CI32" s="323">
        <v>3</v>
      </c>
      <c r="CJ32" s="323">
        <v>1</v>
      </c>
      <c r="CK32" s="323">
        <v>2</v>
      </c>
      <c r="CL32" s="323">
        <v>2</v>
      </c>
      <c r="CM32" s="323">
        <v>0</v>
      </c>
      <c r="CN32" s="323">
        <v>2</v>
      </c>
      <c r="CO32" s="323">
        <v>4</v>
      </c>
      <c r="CP32" s="323">
        <v>37</v>
      </c>
      <c r="CQ32" s="323">
        <v>17</v>
      </c>
      <c r="CR32" s="323">
        <v>11</v>
      </c>
      <c r="CS32" s="323">
        <v>3</v>
      </c>
      <c r="CT32" s="323">
        <v>15</v>
      </c>
    </row>
    <row r="33" spans="1:98" s="323" customFormat="1" ht="21.95" customHeight="1" thickBot="1">
      <c r="A33" s="324">
        <v>26</v>
      </c>
      <c r="B33" s="1333" t="s">
        <v>377</v>
      </c>
      <c r="C33" s="1295" t="s">
        <v>16136</v>
      </c>
      <c r="D33" s="1295" t="s">
        <v>16136</v>
      </c>
      <c r="E33" s="441" t="s">
        <v>17586</v>
      </c>
      <c r="F33" s="441"/>
      <c r="G33" s="1295" t="s">
        <v>16136</v>
      </c>
      <c r="H33" s="441"/>
      <c r="I33" s="1295" t="s">
        <v>16136</v>
      </c>
      <c r="J33" s="441"/>
      <c r="K33" s="1295" t="s">
        <v>16136</v>
      </c>
      <c r="L33" s="1295" t="s">
        <v>16136</v>
      </c>
      <c r="M33" s="441"/>
      <c r="N33" s="441"/>
      <c r="O33" s="441" t="s">
        <v>377</v>
      </c>
      <c r="P33" s="441"/>
      <c r="Q33" s="1295" t="s">
        <v>16136</v>
      </c>
      <c r="R33" s="441"/>
      <c r="S33" s="441"/>
      <c r="T33" s="441"/>
      <c r="U33" s="1026" t="s">
        <v>377</v>
      </c>
      <c r="V33" s="320" t="str">
        <f t="shared" si="6"/>
        <v/>
      </c>
      <c r="W33" s="319">
        <f>IF(ISERROR(AVERAGE($B$8:U33)),"",AVERAGE($B$8:U33))</f>
        <v>2.3330175438596483</v>
      </c>
      <c r="X33" s="325" t="s">
        <v>377</v>
      </c>
      <c r="Y33" s="441" t="s">
        <v>377</v>
      </c>
      <c r="Z33" s="1346" t="s">
        <v>16136</v>
      </c>
      <c r="AA33" s="320" t="str">
        <f t="shared" si="0"/>
        <v/>
      </c>
      <c r="AB33" s="319">
        <f>IF(ISERROR(AVERAGE($X$8:Z33)),"",AVERAGE($X$8:Z33))</f>
        <v>2.9933333333333336</v>
      </c>
      <c r="AC33" s="1539"/>
      <c r="AD33" s="441"/>
      <c r="AE33" s="1533"/>
      <c r="AF33" s="441"/>
      <c r="AG33" s="441"/>
      <c r="AH33" s="441"/>
      <c r="AI33" s="1533"/>
      <c r="AJ33" s="441"/>
      <c r="AK33" s="1533"/>
      <c r="AL33" s="441"/>
      <c r="AM33" s="1528"/>
      <c r="AN33" s="320" t="str">
        <f t="shared" si="1"/>
        <v/>
      </c>
      <c r="AO33" s="321">
        <f>IF(ISERROR(AVERAGE($AC$8:AM33)),"",AVERAGE($AC$8:AM33))</f>
        <v>4.5297619047619042</v>
      </c>
      <c r="AP33" s="325"/>
      <c r="AQ33" s="1279" t="s">
        <v>16051</v>
      </c>
      <c r="AR33" s="320" t="str">
        <f t="shared" si="2"/>
        <v/>
      </c>
      <c r="AS33" s="321">
        <f>IF(ISERROR(AVERAGE(AP$8:$AQ33)),"",AVERAGE(AP$8:$AQ33))</f>
        <v>11.681818181818182</v>
      </c>
      <c r="AT33" s="325" t="s">
        <v>16185</v>
      </c>
      <c r="AU33" s="441" t="s">
        <v>16185</v>
      </c>
      <c r="AV33" s="441" t="s">
        <v>16185</v>
      </c>
      <c r="AW33" s="441" t="s">
        <v>16185</v>
      </c>
      <c r="AX33" s="441" t="s">
        <v>16185</v>
      </c>
      <c r="AY33" s="441" t="s">
        <v>16185</v>
      </c>
      <c r="AZ33" s="441" t="s">
        <v>16185</v>
      </c>
      <c r="BA33" s="441" t="s">
        <v>16185</v>
      </c>
      <c r="BB33" s="322" t="str">
        <f t="shared" si="7"/>
        <v/>
      </c>
      <c r="BC33" s="322" t="str">
        <f t="array" ref="BC33">IF(ISERROR(AVERAGE(AT$8:$BA33)),"",AVERAGE(AT$8:$BA33))</f>
        <v/>
      </c>
      <c r="BD33" s="323" t="str">
        <f t="shared" si="4"/>
        <v/>
      </c>
      <c r="BE33" s="323">
        <f t="shared" si="5"/>
        <v>13</v>
      </c>
      <c r="BF33" s="323">
        <v>13</v>
      </c>
      <c r="BG33" s="323">
        <v>4</v>
      </c>
      <c r="BH33" s="323">
        <v>3</v>
      </c>
      <c r="BI33" s="323">
        <v>2</v>
      </c>
      <c r="BJ33" s="323">
        <v>10</v>
      </c>
      <c r="BK33" s="323">
        <v>10</v>
      </c>
      <c r="BL33" s="323">
        <v>11</v>
      </c>
      <c r="BM33" s="323">
        <v>9</v>
      </c>
      <c r="BN33" s="323">
        <v>9</v>
      </c>
      <c r="BO33" s="323">
        <v>9</v>
      </c>
      <c r="BP33" s="323">
        <v>9</v>
      </c>
      <c r="BQ33" s="323">
        <v>9</v>
      </c>
      <c r="BR33" s="323">
        <v>9</v>
      </c>
      <c r="BS33" s="323">
        <v>9</v>
      </c>
      <c r="BT33" s="323">
        <v>9</v>
      </c>
      <c r="BU33" s="323">
        <v>10</v>
      </c>
      <c r="BV33" s="323">
        <v>28</v>
      </c>
      <c r="BW33" s="323">
        <v>5</v>
      </c>
      <c r="BX33" s="323">
        <v>4</v>
      </c>
      <c r="BY33" s="323">
        <v>4</v>
      </c>
      <c r="BZ33" s="323">
        <v>3</v>
      </c>
      <c r="CA33" s="323">
        <v>3</v>
      </c>
      <c r="CB33" s="323">
        <v>3</v>
      </c>
      <c r="CC33" s="323">
        <v>3</v>
      </c>
      <c r="CD33" s="323">
        <v>3</v>
      </c>
      <c r="CE33" s="323">
        <v>5</v>
      </c>
      <c r="CF33" s="323">
        <v>3</v>
      </c>
      <c r="CG33" s="323">
        <v>3</v>
      </c>
      <c r="CH33" s="323">
        <v>3</v>
      </c>
      <c r="CI33" s="323">
        <v>3</v>
      </c>
      <c r="CJ33" s="323">
        <v>1</v>
      </c>
      <c r="CK33" s="323">
        <v>2</v>
      </c>
      <c r="CL33" s="323">
        <v>2</v>
      </c>
      <c r="CM33" s="323">
        <v>0</v>
      </c>
      <c r="CN33" s="323">
        <v>2</v>
      </c>
      <c r="CO33" s="323">
        <v>4</v>
      </c>
      <c r="CP33" s="323">
        <v>37</v>
      </c>
      <c r="CQ33" s="323">
        <v>17</v>
      </c>
      <c r="CR33" s="323">
        <v>12</v>
      </c>
      <c r="CS33" s="323">
        <v>3</v>
      </c>
      <c r="CT33" s="323">
        <v>15</v>
      </c>
    </row>
    <row r="34" spans="1:98" s="323" customFormat="1" ht="21.95" customHeight="1" thickBot="1">
      <c r="A34" s="324">
        <v>27</v>
      </c>
      <c r="B34" s="1333" t="s">
        <v>377</v>
      </c>
      <c r="C34" s="1295" t="s">
        <v>16136</v>
      </c>
      <c r="D34" s="1295" t="s">
        <v>16136</v>
      </c>
      <c r="E34" s="441" t="s">
        <v>17586</v>
      </c>
      <c r="F34" s="441"/>
      <c r="G34" s="1295" t="s">
        <v>16136</v>
      </c>
      <c r="H34" s="441"/>
      <c r="I34" s="1295" t="s">
        <v>16136</v>
      </c>
      <c r="J34" s="441"/>
      <c r="K34" s="1295" t="s">
        <v>16136</v>
      </c>
      <c r="L34" s="1295" t="s">
        <v>16136</v>
      </c>
      <c r="M34" s="441"/>
      <c r="N34" s="441"/>
      <c r="O34" s="441" t="s">
        <v>377</v>
      </c>
      <c r="P34" s="441"/>
      <c r="Q34" s="1295" t="s">
        <v>16136</v>
      </c>
      <c r="R34" s="441"/>
      <c r="S34" s="441"/>
      <c r="T34" s="441"/>
      <c r="U34" s="1026" t="s">
        <v>377</v>
      </c>
      <c r="V34" s="320" t="str">
        <f t="shared" si="6"/>
        <v/>
      </c>
      <c r="W34" s="319">
        <f>IF(ISERROR(AVERAGE($B$8:U34)),"",AVERAGE($B$8:U34))</f>
        <v>2.3330175438596483</v>
      </c>
      <c r="X34" s="325" t="s">
        <v>377</v>
      </c>
      <c r="Y34" s="441" t="s">
        <v>377</v>
      </c>
      <c r="Z34" s="1026" t="s">
        <v>377</v>
      </c>
      <c r="AA34" s="320" t="str">
        <f t="shared" si="0"/>
        <v/>
      </c>
      <c r="AB34" s="319">
        <f>IF(ISERROR(AVERAGE($X$8:Z34)),"",AVERAGE($X$8:Z34))</f>
        <v>2.9933333333333336</v>
      </c>
      <c r="AC34" s="1539"/>
      <c r="AD34" s="441"/>
      <c r="AE34" s="1533"/>
      <c r="AF34" s="441"/>
      <c r="AG34" s="441"/>
      <c r="AH34" s="441"/>
      <c r="AI34" s="1533"/>
      <c r="AJ34" s="441"/>
      <c r="AK34" s="1533"/>
      <c r="AL34" s="441"/>
      <c r="AM34" s="1528"/>
      <c r="AN34" s="320" t="str">
        <f t="shared" si="1"/>
        <v/>
      </c>
      <c r="AO34" s="321">
        <f>IF(ISERROR(AVERAGE($AC$8:AM34)),"",AVERAGE($AC$8:AM34))</f>
        <v>4.5297619047619042</v>
      </c>
      <c r="AP34" s="325"/>
      <c r="AQ34" s="1279" t="s">
        <v>16051</v>
      </c>
      <c r="AR34" s="320" t="str">
        <f t="shared" si="2"/>
        <v/>
      </c>
      <c r="AS34" s="321">
        <f>IF(ISERROR(AVERAGE(AP$8:$AQ34)),"",AVERAGE(AP$8:$AQ34))</f>
        <v>11.681818181818182</v>
      </c>
      <c r="AT34" s="325" t="s">
        <v>16185</v>
      </c>
      <c r="AU34" s="441" t="s">
        <v>16185</v>
      </c>
      <c r="AV34" s="441" t="s">
        <v>16185</v>
      </c>
      <c r="AW34" s="441" t="s">
        <v>16185</v>
      </c>
      <c r="AX34" s="441" t="s">
        <v>16185</v>
      </c>
      <c r="AY34" s="441" t="s">
        <v>16185</v>
      </c>
      <c r="AZ34" s="441" t="s">
        <v>16185</v>
      </c>
      <c r="BA34" s="441" t="s">
        <v>16185</v>
      </c>
      <c r="BB34" s="322" t="str">
        <f t="shared" si="7"/>
        <v/>
      </c>
      <c r="BC34" s="322" t="str">
        <f t="array" ref="BC34">IF(ISERROR(AVERAGE(AT$8:$BA34)),"",AVERAGE(AT$8:$BA34))</f>
        <v/>
      </c>
      <c r="BD34" s="323" t="str">
        <f t="shared" si="4"/>
        <v/>
      </c>
      <c r="BE34" s="323">
        <f t="shared" si="5"/>
        <v>13</v>
      </c>
      <c r="BF34" s="323">
        <v>15</v>
      </c>
      <c r="BG34" s="323">
        <v>4</v>
      </c>
      <c r="BH34" s="323">
        <v>5</v>
      </c>
      <c r="BI34" s="323">
        <v>2</v>
      </c>
      <c r="BJ34" s="323">
        <v>10</v>
      </c>
      <c r="BK34" s="323">
        <v>10</v>
      </c>
      <c r="BL34" s="323">
        <v>11</v>
      </c>
      <c r="BM34" s="323">
        <v>9</v>
      </c>
      <c r="BN34" s="323">
        <v>9</v>
      </c>
      <c r="BO34" s="323">
        <v>9</v>
      </c>
      <c r="BP34" s="323">
        <v>9</v>
      </c>
      <c r="BQ34" s="323">
        <v>9</v>
      </c>
      <c r="BR34" s="323">
        <v>9</v>
      </c>
      <c r="BS34" s="323">
        <v>9</v>
      </c>
      <c r="BT34" s="323">
        <v>9</v>
      </c>
      <c r="BU34" s="323">
        <v>10</v>
      </c>
      <c r="BV34" s="323">
        <v>4</v>
      </c>
      <c r="BW34" s="323">
        <v>6</v>
      </c>
      <c r="BX34" s="323">
        <v>4</v>
      </c>
      <c r="BY34" s="323">
        <v>4</v>
      </c>
      <c r="BZ34" s="323">
        <v>3</v>
      </c>
      <c r="CA34" s="323">
        <v>3</v>
      </c>
      <c r="CB34" s="323">
        <v>3</v>
      </c>
      <c r="CC34" s="323">
        <v>3</v>
      </c>
      <c r="CD34" s="323">
        <v>3</v>
      </c>
      <c r="CE34" s="323">
        <v>5</v>
      </c>
      <c r="CF34" s="323">
        <v>3</v>
      </c>
      <c r="CG34" s="323">
        <v>3</v>
      </c>
      <c r="CH34" s="323">
        <v>3</v>
      </c>
      <c r="CI34" s="323">
        <v>3</v>
      </c>
      <c r="CJ34" s="323">
        <v>1</v>
      </c>
      <c r="CK34" s="323">
        <v>2</v>
      </c>
      <c r="CL34" s="323">
        <v>2</v>
      </c>
      <c r="CM34" s="323">
        <v>1</v>
      </c>
      <c r="CN34" s="323">
        <v>2</v>
      </c>
      <c r="CO34" s="323">
        <v>4</v>
      </c>
      <c r="CP34" s="616">
        <v>38</v>
      </c>
      <c r="CQ34" s="616">
        <v>14</v>
      </c>
      <c r="CR34" s="616">
        <v>9</v>
      </c>
      <c r="CS34" s="323">
        <v>3</v>
      </c>
      <c r="CT34" s="616">
        <v>15</v>
      </c>
    </row>
    <row r="35" spans="1:98" s="323" customFormat="1" ht="21.95" customHeight="1" thickBot="1">
      <c r="A35" s="324">
        <v>28</v>
      </c>
      <c r="B35" s="1333" t="s">
        <v>377</v>
      </c>
      <c r="C35" s="1295" t="s">
        <v>16136</v>
      </c>
      <c r="D35" s="1295" t="s">
        <v>16136</v>
      </c>
      <c r="E35" s="441" t="s">
        <v>17586</v>
      </c>
      <c r="F35" s="441"/>
      <c r="G35" s="1295" t="s">
        <v>16136</v>
      </c>
      <c r="H35" s="441"/>
      <c r="I35" s="1295" t="s">
        <v>16136</v>
      </c>
      <c r="J35" s="441"/>
      <c r="K35" s="1295" t="s">
        <v>16136</v>
      </c>
      <c r="L35" s="1295" t="s">
        <v>16136</v>
      </c>
      <c r="M35" s="441"/>
      <c r="N35" s="441"/>
      <c r="O35" s="441" t="s">
        <v>377</v>
      </c>
      <c r="P35" s="441"/>
      <c r="Q35" s="1295" t="s">
        <v>16136</v>
      </c>
      <c r="R35" s="441"/>
      <c r="S35" s="441"/>
      <c r="T35" s="441"/>
      <c r="U35" s="1026" t="s">
        <v>377</v>
      </c>
      <c r="V35" s="320" t="str">
        <f t="shared" si="6"/>
        <v/>
      </c>
      <c r="W35" s="319">
        <f>IF(ISERROR(AVERAGE($B$8:U35)),"",AVERAGE($B$8:U35))</f>
        <v>2.3330175438596483</v>
      </c>
      <c r="X35" s="325" t="s">
        <v>377</v>
      </c>
      <c r="Y35" s="441" t="s">
        <v>377</v>
      </c>
      <c r="Z35" s="1026" t="s">
        <v>377</v>
      </c>
      <c r="AA35" s="320" t="str">
        <f t="shared" si="0"/>
        <v/>
      </c>
      <c r="AB35" s="319">
        <f>IF(ISERROR(AVERAGE($X$8:Z35)),"",AVERAGE($X$8:Z35))</f>
        <v>2.9933333333333336</v>
      </c>
      <c r="AC35" s="1539"/>
      <c r="AD35" s="441"/>
      <c r="AE35" s="1533"/>
      <c r="AF35" s="441"/>
      <c r="AG35" s="441"/>
      <c r="AH35" s="441"/>
      <c r="AI35" s="1533"/>
      <c r="AJ35" s="441"/>
      <c r="AK35" s="1533"/>
      <c r="AL35" s="441"/>
      <c r="AM35" s="1528"/>
      <c r="AN35" s="320" t="str">
        <f t="shared" si="1"/>
        <v/>
      </c>
      <c r="AO35" s="321">
        <f>IF(ISERROR(AVERAGE($AC$8:AM35)),"",AVERAGE($AC$8:AM35))</f>
        <v>4.5297619047619042</v>
      </c>
      <c r="AP35" s="325"/>
      <c r="AQ35" s="1279" t="s">
        <v>16051</v>
      </c>
      <c r="AR35" s="320" t="str">
        <f t="shared" si="2"/>
        <v/>
      </c>
      <c r="AS35" s="321">
        <f>IF(ISERROR(AVERAGE(AP$8:$AQ35)),"",AVERAGE(AP$8:$AQ35))</f>
        <v>11.681818181818182</v>
      </c>
      <c r="AT35" s="325" t="s">
        <v>16185</v>
      </c>
      <c r="AU35" s="441" t="s">
        <v>16185</v>
      </c>
      <c r="AV35" s="441" t="s">
        <v>16185</v>
      </c>
      <c r="AW35" s="441" t="s">
        <v>16185</v>
      </c>
      <c r="AX35" s="441" t="s">
        <v>16185</v>
      </c>
      <c r="AY35" s="441" t="s">
        <v>16185</v>
      </c>
      <c r="AZ35" s="441" t="s">
        <v>16185</v>
      </c>
      <c r="BA35" s="441" t="s">
        <v>16185</v>
      </c>
      <c r="BB35" s="322" t="str">
        <f t="shared" si="7"/>
        <v/>
      </c>
      <c r="BC35" s="322" t="str">
        <f t="array" ref="BC35">IF(ISERROR(AVERAGE(AT$8:$BA35)),"",AVERAGE(AT$8:$BA35))</f>
        <v/>
      </c>
      <c r="BD35" s="323" t="str">
        <f t="shared" si="4"/>
        <v/>
      </c>
      <c r="BE35" s="323">
        <f t="shared" si="5"/>
        <v>13</v>
      </c>
      <c r="BF35" s="323">
        <v>15</v>
      </c>
      <c r="BG35" s="323">
        <v>4</v>
      </c>
      <c r="BH35" s="323">
        <v>5</v>
      </c>
      <c r="BI35" s="323">
        <v>2</v>
      </c>
      <c r="BJ35" s="323">
        <v>10</v>
      </c>
      <c r="BK35" s="323">
        <v>10</v>
      </c>
      <c r="BL35" s="323">
        <v>11</v>
      </c>
      <c r="BM35" s="323">
        <v>9</v>
      </c>
      <c r="BN35" s="323">
        <v>9</v>
      </c>
      <c r="BO35" s="323">
        <v>9</v>
      </c>
      <c r="BP35" s="323">
        <v>9</v>
      </c>
      <c r="BQ35" s="323">
        <v>9</v>
      </c>
      <c r="BR35" s="323">
        <v>9</v>
      </c>
      <c r="BS35" s="323">
        <v>9</v>
      </c>
      <c r="BT35" s="323">
        <v>9</v>
      </c>
      <c r="BU35" s="323">
        <v>9</v>
      </c>
      <c r="BV35" s="323">
        <v>1</v>
      </c>
      <c r="BW35" s="323">
        <v>6</v>
      </c>
      <c r="BX35" s="323">
        <v>5</v>
      </c>
      <c r="BY35" s="323">
        <v>4</v>
      </c>
      <c r="BZ35" s="323">
        <v>3</v>
      </c>
      <c r="CA35" s="323">
        <v>3</v>
      </c>
      <c r="CB35" s="323">
        <v>3</v>
      </c>
      <c r="CC35" s="323">
        <v>4</v>
      </c>
      <c r="CD35" s="323">
        <v>3</v>
      </c>
      <c r="CE35" s="323">
        <v>6</v>
      </c>
      <c r="CF35" s="323">
        <v>3</v>
      </c>
      <c r="CG35" s="323">
        <v>3</v>
      </c>
      <c r="CH35" s="323">
        <v>3</v>
      </c>
      <c r="CI35" s="323">
        <v>3</v>
      </c>
      <c r="CJ35" s="323">
        <v>1</v>
      </c>
      <c r="CK35" s="323">
        <v>2</v>
      </c>
      <c r="CL35" s="323">
        <v>2</v>
      </c>
      <c r="CM35" s="323">
        <v>1</v>
      </c>
      <c r="CN35" s="323">
        <v>2</v>
      </c>
      <c r="CO35" s="323">
        <v>4</v>
      </c>
      <c r="CP35" s="616">
        <v>38</v>
      </c>
      <c r="CQ35" s="616">
        <v>15</v>
      </c>
      <c r="CR35" s="616">
        <v>9</v>
      </c>
      <c r="CS35" s="323">
        <v>2</v>
      </c>
      <c r="CT35" s="616">
        <v>15</v>
      </c>
    </row>
    <row r="36" spans="1:98" s="323" customFormat="1" ht="21.95" customHeight="1" thickBot="1">
      <c r="A36" s="324">
        <v>29</v>
      </c>
      <c r="B36" s="1333" t="s">
        <v>377</v>
      </c>
      <c r="C36" s="1295" t="s">
        <v>16136</v>
      </c>
      <c r="D36" s="1295" t="s">
        <v>16136</v>
      </c>
      <c r="E36" s="441" t="s">
        <v>17586</v>
      </c>
      <c r="F36" s="441"/>
      <c r="G36" s="1295" t="s">
        <v>16136</v>
      </c>
      <c r="H36" s="441"/>
      <c r="I36" s="1295" t="s">
        <v>16136</v>
      </c>
      <c r="J36" s="441"/>
      <c r="K36" s="1295" t="s">
        <v>16136</v>
      </c>
      <c r="L36" s="1295" t="s">
        <v>16136</v>
      </c>
      <c r="M36" s="441"/>
      <c r="N36" s="441"/>
      <c r="O36" s="441" t="s">
        <v>377</v>
      </c>
      <c r="P36" s="441"/>
      <c r="Q36" s="1295" t="s">
        <v>16136</v>
      </c>
      <c r="R36" s="441"/>
      <c r="S36" s="441"/>
      <c r="T36" s="441"/>
      <c r="U36" s="1026" t="s">
        <v>377</v>
      </c>
      <c r="V36" s="320" t="str">
        <f t="shared" si="6"/>
        <v/>
      </c>
      <c r="W36" s="319">
        <f>IF(ISERROR(AVERAGE($B$8:U36)),"",AVERAGE($B$8:U36))</f>
        <v>2.3330175438596483</v>
      </c>
      <c r="X36" s="325" t="s">
        <v>377</v>
      </c>
      <c r="Y36" s="441" t="s">
        <v>377</v>
      </c>
      <c r="Z36" s="1026" t="s">
        <v>377</v>
      </c>
      <c r="AA36" s="320" t="str">
        <f t="shared" si="0"/>
        <v/>
      </c>
      <c r="AB36" s="319">
        <f>IF(ISERROR(AVERAGE($X$8:Z36)),"",AVERAGE($X$8:Z36))</f>
        <v>2.9933333333333336</v>
      </c>
      <c r="AC36" s="1539"/>
      <c r="AD36" s="441"/>
      <c r="AE36" s="1533"/>
      <c r="AF36" s="441"/>
      <c r="AG36" s="441"/>
      <c r="AH36" s="441"/>
      <c r="AI36" s="1533"/>
      <c r="AJ36" s="441"/>
      <c r="AK36" s="1533"/>
      <c r="AL36" s="441"/>
      <c r="AM36" s="1528"/>
      <c r="AN36" s="320" t="str">
        <f t="shared" si="1"/>
        <v/>
      </c>
      <c r="AO36" s="321">
        <f>IF(ISERROR(AVERAGE($AC$8:AM36)),"",AVERAGE($AC$8:AM36))</f>
        <v>4.5297619047619042</v>
      </c>
      <c r="AP36" s="325"/>
      <c r="AQ36" s="1279" t="s">
        <v>385</v>
      </c>
      <c r="AR36" s="320" t="str">
        <f t="shared" si="2"/>
        <v/>
      </c>
      <c r="AS36" s="321">
        <f>IF(ISERROR(AVERAGE(AP$8:$AQ36)),"",AVERAGE(AP$8:$AQ36))</f>
        <v>11.681818181818182</v>
      </c>
      <c r="AT36" s="325" t="s">
        <v>16185</v>
      </c>
      <c r="AU36" s="441" t="s">
        <v>16185</v>
      </c>
      <c r="AV36" s="441" t="s">
        <v>16185</v>
      </c>
      <c r="AW36" s="441" t="s">
        <v>16185</v>
      </c>
      <c r="AX36" s="441" t="s">
        <v>16185</v>
      </c>
      <c r="AY36" s="441" t="s">
        <v>16185</v>
      </c>
      <c r="AZ36" s="441" t="s">
        <v>16185</v>
      </c>
      <c r="BA36" s="441" t="s">
        <v>16185</v>
      </c>
      <c r="BB36" s="322" t="str">
        <f t="shared" si="7"/>
        <v/>
      </c>
      <c r="BC36" s="322" t="str">
        <f t="array" ref="BC36">IF(ISERROR(AVERAGE(AT$8:$BA36)),"",AVERAGE(AT$8:$BA36))</f>
        <v/>
      </c>
      <c r="BD36" s="323" t="str">
        <f t="shared" si="4"/>
        <v/>
      </c>
      <c r="BE36" s="323">
        <f t="shared" si="5"/>
        <v>13</v>
      </c>
      <c r="BF36" s="323">
        <v>15</v>
      </c>
      <c r="BG36" s="323">
        <v>4</v>
      </c>
      <c r="BH36" s="323">
        <v>5</v>
      </c>
      <c r="BI36" s="323">
        <v>0</v>
      </c>
      <c r="BJ36" s="323">
        <v>10</v>
      </c>
      <c r="BK36" s="323">
        <v>10</v>
      </c>
      <c r="BL36" s="323">
        <v>11</v>
      </c>
      <c r="BM36" s="323">
        <v>9</v>
      </c>
      <c r="BN36" s="323">
        <v>9</v>
      </c>
      <c r="BO36" s="323">
        <v>9</v>
      </c>
      <c r="BP36" s="323">
        <v>9</v>
      </c>
      <c r="BQ36" s="323">
        <v>9</v>
      </c>
      <c r="BR36" s="323">
        <v>9</v>
      </c>
      <c r="BS36" s="323">
        <v>9</v>
      </c>
      <c r="BT36" s="323">
        <v>9</v>
      </c>
      <c r="BV36" s="323">
        <v>1</v>
      </c>
      <c r="BW36" s="323">
        <v>6</v>
      </c>
      <c r="BX36" s="323">
        <v>5</v>
      </c>
      <c r="BY36" s="323">
        <v>4</v>
      </c>
      <c r="BZ36" s="323">
        <v>3</v>
      </c>
      <c r="CA36" s="323">
        <v>3</v>
      </c>
      <c r="CB36" s="323">
        <v>3</v>
      </c>
      <c r="CC36" s="323">
        <v>4</v>
      </c>
      <c r="CD36" s="323">
        <v>2</v>
      </c>
      <c r="CE36" s="323">
        <v>6</v>
      </c>
      <c r="CF36" s="323">
        <v>3</v>
      </c>
      <c r="CG36" s="323">
        <v>4</v>
      </c>
      <c r="CH36" s="323">
        <v>3</v>
      </c>
      <c r="CI36" s="323">
        <v>3</v>
      </c>
      <c r="CJ36" s="323">
        <v>1</v>
      </c>
      <c r="CK36" s="323">
        <v>2</v>
      </c>
      <c r="CL36" s="323">
        <v>1</v>
      </c>
      <c r="CM36" s="323">
        <v>1</v>
      </c>
      <c r="CN36" s="323">
        <v>2</v>
      </c>
      <c r="CO36" s="323">
        <v>4</v>
      </c>
      <c r="CP36" s="616">
        <v>38</v>
      </c>
      <c r="CQ36" s="616">
        <v>16</v>
      </c>
      <c r="CR36" s="616">
        <v>11</v>
      </c>
      <c r="CS36" s="323">
        <v>0</v>
      </c>
      <c r="CT36" s="616">
        <v>15</v>
      </c>
    </row>
    <row r="37" spans="1:98" s="323" customFormat="1" ht="21.95" customHeight="1" thickBot="1">
      <c r="A37" s="324">
        <v>30</v>
      </c>
      <c r="B37" s="1333" t="s">
        <v>377</v>
      </c>
      <c r="C37" s="1295" t="s">
        <v>16136</v>
      </c>
      <c r="D37" s="1295" t="s">
        <v>16136</v>
      </c>
      <c r="E37" s="441" t="s">
        <v>17586</v>
      </c>
      <c r="F37" s="441"/>
      <c r="G37" s="1295" t="s">
        <v>16136</v>
      </c>
      <c r="H37" s="441"/>
      <c r="I37" s="1295" t="s">
        <v>16136</v>
      </c>
      <c r="J37" s="441"/>
      <c r="K37" s="1295" t="s">
        <v>16136</v>
      </c>
      <c r="L37" s="1295" t="s">
        <v>16136</v>
      </c>
      <c r="M37" s="441"/>
      <c r="N37" s="441"/>
      <c r="O37" s="441" t="s">
        <v>377</v>
      </c>
      <c r="P37" s="441"/>
      <c r="Q37" s="1295" t="s">
        <v>16136</v>
      </c>
      <c r="R37" s="441"/>
      <c r="S37" s="441"/>
      <c r="T37" s="441"/>
      <c r="U37" s="1026" t="s">
        <v>377</v>
      </c>
      <c r="V37" s="320" t="str">
        <f t="shared" si="6"/>
        <v/>
      </c>
      <c r="W37" s="319">
        <f>IF(ISERROR(AVERAGE($B$8:U37)),"",AVERAGE($B$8:U37))</f>
        <v>2.3330175438596483</v>
      </c>
      <c r="X37" s="325" t="s">
        <v>377</v>
      </c>
      <c r="Y37" s="441" t="s">
        <v>377</v>
      </c>
      <c r="Z37" s="1026" t="s">
        <v>377</v>
      </c>
      <c r="AA37" s="320" t="str">
        <f t="shared" si="0"/>
        <v/>
      </c>
      <c r="AB37" s="319">
        <f>IF(ISERROR(AVERAGE($X$8:Z37)),"",AVERAGE($X$8:Z37))</f>
        <v>2.9933333333333336</v>
      </c>
      <c r="AC37" s="1539"/>
      <c r="AD37" s="441"/>
      <c r="AE37" s="1533"/>
      <c r="AF37" s="441"/>
      <c r="AG37" s="441"/>
      <c r="AH37" s="441"/>
      <c r="AI37" s="1533"/>
      <c r="AJ37" s="441"/>
      <c r="AK37" s="1533"/>
      <c r="AL37" s="441"/>
      <c r="AM37" s="1026"/>
      <c r="AN37" s="320" t="str">
        <f t="shared" si="1"/>
        <v/>
      </c>
      <c r="AO37" s="321">
        <f>IF(ISERROR(AVERAGE($AC$8:AM37)),"",AVERAGE($AC$8:AM37))</f>
        <v>4.5297619047619042</v>
      </c>
      <c r="AP37" s="325"/>
      <c r="AQ37" s="1279" t="s">
        <v>385</v>
      </c>
      <c r="AR37" s="320" t="str">
        <f t="shared" si="2"/>
        <v/>
      </c>
      <c r="AS37" s="321">
        <f>IF(ISERROR(AVERAGE(AP$8:$AQ37)),"",AVERAGE(AP$8:$AQ37))</f>
        <v>11.681818181818182</v>
      </c>
      <c r="AT37" s="325" t="s">
        <v>16185</v>
      </c>
      <c r="AU37" s="441" t="s">
        <v>16185</v>
      </c>
      <c r="AV37" s="441" t="s">
        <v>16185</v>
      </c>
      <c r="AW37" s="441" t="s">
        <v>16185</v>
      </c>
      <c r="AX37" s="441" t="s">
        <v>16185</v>
      </c>
      <c r="AY37" s="441" t="s">
        <v>16185</v>
      </c>
      <c r="AZ37" s="441" t="s">
        <v>16185</v>
      </c>
      <c r="BA37" s="441" t="s">
        <v>16185</v>
      </c>
      <c r="BB37" s="322" t="str">
        <f t="shared" si="7"/>
        <v/>
      </c>
      <c r="BC37" s="322" t="str">
        <f t="array" ref="BC37">IF(ISERROR(AVERAGE(AT$8:$BA37)),"",AVERAGE(AT$8:$BA37))</f>
        <v/>
      </c>
      <c r="BD37" s="323" t="str">
        <f t="shared" si="4"/>
        <v/>
      </c>
      <c r="BE37" s="323">
        <f t="shared" si="5"/>
        <v>13</v>
      </c>
      <c r="BF37" s="323">
        <v>15</v>
      </c>
      <c r="BG37" s="323">
        <v>4</v>
      </c>
      <c r="BH37" s="323">
        <v>5</v>
      </c>
      <c r="BI37" s="323">
        <v>0</v>
      </c>
      <c r="BJ37" s="323">
        <v>10</v>
      </c>
      <c r="BK37" s="323">
        <v>10</v>
      </c>
      <c r="BL37" s="323">
        <v>11</v>
      </c>
      <c r="BM37" s="323">
        <v>9</v>
      </c>
      <c r="BN37" s="323">
        <v>9</v>
      </c>
      <c r="BO37" s="323">
        <v>9</v>
      </c>
      <c r="BP37" s="323">
        <v>9</v>
      </c>
      <c r="BQ37" s="323">
        <v>9</v>
      </c>
      <c r="BR37" s="323">
        <v>9</v>
      </c>
      <c r="BS37" s="323">
        <v>9</v>
      </c>
      <c r="BT37" s="323">
        <v>9</v>
      </c>
      <c r="BV37" s="323">
        <v>1</v>
      </c>
      <c r="BW37" s="323">
        <v>6</v>
      </c>
      <c r="BX37" s="323">
        <v>5</v>
      </c>
      <c r="BY37" s="323">
        <v>4</v>
      </c>
      <c r="BZ37" s="323">
        <v>3</v>
      </c>
      <c r="CA37" s="323">
        <v>3</v>
      </c>
      <c r="CB37" s="323">
        <v>3</v>
      </c>
      <c r="CC37" s="323">
        <v>4</v>
      </c>
      <c r="CD37" s="323">
        <v>2</v>
      </c>
      <c r="CE37" s="323">
        <v>5</v>
      </c>
      <c r="CF37" s="323">
        <v>3</v>
      </c>
      <c r="CH37" s="323">
        <v>3</v>
      </c>
      <c r="CI37" s="323">
        <v>4</v>
      </c>
      <c r="CJ37" s="323">
        <v>1</v>
      </c>
      <c r="CK37" s="323">
        <v>2</v>
      </c>
      <c r="CL37" s="323">
        <v>1</v>
      </c>
      <c r="CM37" s="323">
        <v>1</v>
      </c>
      <c r="CN37" s="323">
        <v>2</v>
      </c>
      <c r="CO37" s="323">
        <v>4</v>
      </c>
      <c r="CP37" s="323">
        <v>38</v>
      </c>
      <c r="CQ37" s="323">
        <v>16</v>
      </c>
      <c r="CR37" s="323">
        <v>11</v>
      </c>
      <c r="CS37" s="323">
        <v>0</v>
      </c>
      <c r="CT37" s="323">
        <v>5</v>
      </c>
    </row>
    <row r="38" spans="1:98" s="323" customFormat="1" ht="21.95" customHeight="1" thickBot="1">
      <c r="A38" s="639">
        <v>31</v>
      </c>
      <c r="B38" s="1333" t="s">
        <v>377</v>
      </c>
      <c r="C38" s="1295" t="s">
        <v>16136</v>
      </c>
      <c r="D38" s="1295" t="s">
        <v>16136</v>
      </c>
      <c r="E38" s="441" t="s">
        <v>17586</v>
      </c>
      <c r="F38" s="441"/>
      <c r="G38" s="1295" t="s">
        <v>16136</v>
      </c>
      <c r="H38" s="640"/>
      <c r="I38" s="1295" t="s">
        <v>16136</v>
      </c>
      <c r="J38" s="441"/>
      <c r="K38" s="1295" t="s">
        <v>16136</v>
      </c>
      <c r="L38" s="1295" t="s">
        <v>16136</v>
      </c>
      <c r="M38" s="640"/>
      <c r="N38" s="640"/>
      <c r="O38" s="640" t="s">
        <v>377</v>
      </c>
      <c r="P38" s="441"/>
      <c r="Q38" s="1295" t="s">
        <v>16136</v>
      </c>
      <c r="R38" s="441"/>
      <c r="S38" s="640"/>
      <c r="T38" s="441"/>
      <c r="U38" s="1026" t="s">
        <v>377</v>
      </c>
      <c r="V38" s="320" t="str">
        <f t="shared" si="6"/>
        <v/>
      </c>
      <c r="W38" s="319">
        <f>IF(ISERROR(AVERAGE($B$8:U38)),"",AVERAGE($B$8:U38))</f>
        <v>2.3330175438596483</v>
      </c>
      <c r="X38" s="325" t="s">
        <v>377</v>
      </c>
      <c r="Y38" s="640" t="s">
        <v>377</v>
      </c>
      <c r="Z38" s="1026" t="s">
        <v>377</v>
      </c>
      <c r="AA38" s="641" t="str">
        <f t="shared" si="0"/>
        <v/>
      </c>
      <c r="AB38" s="319">
        <f>IF(ISERROR(AVERAGE($X$8:Z38)),"",AVERAGE($X$8:Z38))</f>
        <v>2.9933333333333336</v>
      </c>
      <c r="AC38" s="1540"/>
      <c r="AD38" s="640"/>
      <c r="AE38" s="1537"/>
      <c r="AF38" s="640"/>
      <c r="AG38" s="640"/>
      <c r="AH38" s="640"/>
      <c r="AI38" s="1537"/>
      <c r="AJ38" s="640"/>
      <c r="AK38" s="1537"/>
      <c r="AL38" s="640"/>
      <c r="AM38" s="1529"/>
      <c r="AN38" s="320" t="str">
        <f t="shared" si="1"/>
        <v/>
      </c>
      <c r="AO38" s="321">
        <f>IF(ISERROR(AVERAGE($AC$8:AM38)),"",AVERAGE($AC$8:AM38))</f>
        <v>4.5297619047619042</v>
      </c>
      <c r="AP38" s="1451"/>
      <c r="AQ38" s="1279" t="s">
        <v>385</v>
      </c>
      <c r="AR38" s="320" t="str">
        <f t="shared" si="2"/>
        <v/>
      </c>
      <c r="AS38" s="321">
        <f>IF(ISERROR(AVERAGE(AP$8:$AQ38)),"",AVERAGE(AP$8:$AQ38))</f>
        <v>11.681818181818182</v>
      </c>
      <c r="AT38" s="325" t="s">
        <v>16185</v>
      </c>
      <c r="AU38" s="441" t="s">
        <v>16185</v>
      </c>
      <c r="AV38" s="441" t="s">
        <v>16185</v>
      </c>
      <c r="AW38" s="441" t="s">
        <v>16185</v>
      </c>
      <c r="AX38" s="441" t="s">
        <v>16185</v>
      </c>
      <c r="AY38" s="441" t="s">
        <v>16185</v>
      </c>
      <c r="AZ38" s="441" t="s">
        <v>16185</v>
      </c>
      <c r="BA38" s="441" t="s">
        <v>16185</v>
      </c>
      <c r="BB38" s="322" t="str">
        <f t="shared" si="7"/>
        <v/>
      </c>
      <c r="BC38" s="322" t="str">
        <f t="array" ref="BC38">IF(ISERROR(AVERAGE(AT$8:$BA38)),"",AVERAGE(AT$8:$BA38))</f>
        <v/>
      </c>
      <c r="BD38" s="323" t="str">
        <f t="shared" si="4"/>
        <v/>
      </c>
      <c r="BE38" s="323">
        <f t="shared" si="5"/>
        <v>13</v>
      </c>
      <c r="BF38" s="323">
        <v>1</v>
      </c>
      <c r="BG38" s="323">
        <v>2</v>
      </c>
      <c r="BH38" s="323">
        <v>6</v>
      </c>
      <c r="BI38" s="323">
        <v>0</v>
      </c>
      <c r="BJ38" s="323">
        <v>10</v>
      </c>
      <c r="BK38" s="323">
        <v>10</v>
      </c>
      <c r="BL38" s="323">
        <v>0</v>
      </c>
      <c r="BM38" s="323">
        <v>9</v>
      </c>
      <c r="BO38" s="323">
        <v>9</v>
      </c>
      <c r="BP38" s="323">
        <v>9</v>
      </c>
      <c r="BR38" s="323">
        <v>9</v>
      </c>
      <c r="BT38" s="323">
        <v>9</v>
      </c>
      <c r="BV38" s="323">
        <v>1</v>
      </c>
      <c r="BW38" s="323">
        <v>6</v>
      </c>
      <c r="BX38" s="323">
        <v>4</v>
      </c>
      <c r="BY38" s="323">
        <v>4</v>
      </c>
      <c r="BZ38" s="323">
        <v>0</v>
      </c>
      <c r="CA38" s="323">
        <v>3</v>
      </c>
      <c r="CB38" s="323">
        <v>3</v>
      </c>
      <c r="CD38" s="323">
        <v>2</v>
      </c>
      <c r="CF38" s="323">
        <v>3</v>
      </c>
      <c r="CH38" s="323">
        <v>3</v>
      </c>
      <c r="CI38" s="323">
        <v>4</v>
      </c>
      <c r="CJ38" s="323">
        <v>1</v>
      </c>
      <c r="CK38" s="323">
        <v>2</v>
      </c>
      <c r="CL38" s="323">
        <v>0</v>
      </c>
      <c r="CM38" s="323">
        <v>1</v>
      </c>
      <c r="CN38" s="323">
        <v>1</v>
      </c>
      <c r="CP38" s="323">
        <v>37</v>
      </c>
      <c r="CR38" s="323">
        <v>11</v>
      </c>
      <c r="CS38" s="323">
        <v>0</v>
      </c>
      <c r="CT38" s="323">
        <v>3</v>
      </c>
    </row>
    <row r="39" spans="1:98" s="357" customFormat="1" ht="18.75" customHeight="1" thickTop="1" thickBot="1">
      <c r="A39" s="353" t="s">
        <v>273</v>
      </c>
      <c r="B39" s="354" t="str">
        <f t="shared" ref="B39:O39" si="8">IF(ISERROR(AVERAGE(B8:B38)),"",AVERAGE(B8:B38))</f>
        <v/>
      </c>
      <c r="C39" s="354" t="str">
        <f t="shared" ref="C39" si="9">IF(ISERROR(AVERAGE(C8:C38)),"",AVERAGE(C8:C38))</f>
        <v/>
      </c>
      <c r="D39" s="354">
        <f t="shared" ref="D39" si="10">IF(ISERROR(AVERAGE(D8:D38)),"",AVERAGE(D8:D38))</f>
        <v>4.364583333333333</v>
      </c>
      <c r="E39" s="354" t="str">
        <f t="shared" ref="E39:F39" si="11">IF(ISERROR(AVERAGE(E8:E38)),"",AVERAGE(E8:E38))</f>
        <v/>
      </c>
      <c r="F39" s="354" t="str">
        <f t="shared" si="11"/>
        <v/>
      </c>
      <c r="G39" s="354">
        <f t="shared" ref="G39" si="12">IF(ISERROR(AVERAGE(G8:G38)),"",AVERAGE(G8:G38))</f>
        <v>1.8055555555555556</v>
      </c>
      <c r="H39" s="354">
        <f t="shared" ref="H39" si="13">IF(ISERROR(AVERAGE(H8:H38)),"",AVERAGE(H8:H38))</f>
        <v>1.1065833333333335</v>
      </c>
      <c r="I39" s="354" t="str">
        <f t="shared" ref="I39" si="14">IF(ISERROR(AVERAGE(I8:I38)),"",AVERAGE(I8:I38))</f>
        <v/>
      </c>
      <c r="J39" s="354">
        <f t="shared" ref="J39" si="15">IF(ISERROR(AVERAGE(J8:J38)),"",AVERAGE(J8:J38))</f>
        <v>3.4737878787878786</v>
      </c>
      <c r="K39" s="354" t="str">
        <f t="shared" ref="K39" si="16">IF(ISERROR(AVERAGE(K8:K38)),"",AVERAGE(K8:K38))</f>
        <v/>
      </c>
      <c r="L39" s="354">
        <f t="shared" ref="L39" si="17">IF(ISERROR(AVERAGE(L8:L38)),"",AVERAGE(L8:L38))</f>
        <v>3.4062500000000004</v>
      </c>
      <c r="M39" s="354">
        <f>IF(ISERROR(AVERAGE(M8:M38)),"",AVERAGE(M8:M38))</f>
        <v>2.7359259259259257</v>
      </c>
      <c r="N39" s="354">
        <f>IF(ISERROR(AVERAGE(N8:N38)),"",AVERAGE(N8:N38))</f>
        <v>1.46875</v>
      </c>
      <c r="O39" s="354" t="str">
        <f t="shared" si="8"/>
        <v/>
      </c>
      <c r="P39" s="354" t="str">
        <f t="shared" ref="P39" si="18">IF(ISERROR(AVERAGE(P8:P38)),"",AVERAGE(P8:P38))</f>
        <v/>
      </c>
      <c r="Q39" s="354" t="str">
        <f t="shared" ref="Q39" si="19">IF(ISERROR(AVERAGE(Q8:Q38)),"",AVERAGE(Q8:Q38))</f>
        <v/>
      </c>
      <c r="R39" s="354" t="str">
        <f t="shared" ref="R39" si="20">IF(ISERROR(AVERAGE(R8:R38)),"",AVERAGE(R8:R38))</f>
        <v/>
      </c>
      <c r="S39" s="354">
        <f t="shared" ref="S39:T39" si="21">IF(ISERROR(AVERAGE(S8:S38)),"",AVERAGE(S8:S38))</f>
        <v>1.5972222222222225</v>
      </c>
      <c r="T39" s="354">
        <f t="shared" si="21"/>
        <v>2.0324999999999998</v>
      </c>
      <c r="U39" s="354" t="str">
        <f t="shared" ref="U39" si="22">IF(ISERROR(AVERAGE(U8:U38)),"",AVERAGE(U8:U38))</f>
        <v/>
      </c>
      <c r="V39" s="355"/>
      <c r="W39" s="356"/>
      <c r="X39" s="442" t="str">
        <f>IF(ISERROR(AVERAGE(X8:X38)),"",AVERAGE(X8:X38))</f>
        <v/>
      </c>
      <c r="Y39" s="354">
        <f>IF(ISERROR(AVERAGE(Y8:Y38)),"",AVERAGE(Y8:Y38))</f>
        <v>2.9933333333333336</v>
      </c>
      <c r="Z39" s="354" t="str">
        <f>IF(ISERROR(AVERAGE(Z8:Z38)),"",AVERAGE(Z8:Z38))</f>
        <v/>
      </c>
      <c r="AA39" s="355"/>
      <c r="AB39" s="501"/>
      <c r="AC39" s="354">
        <f>IF(ISERROR(AVERAGE(AC8:AC38)),"",AVERAGE(AC8:AC38))</f>
        <v>4.7720588235294112</v>
      </c>
      <c r="AD39" s="354">
        <f t="shared" ref="AD39" si="23">IF(ISERROR(AVERAGE(AD8:AD38)),"",AVERAGE(AD8:AD38))</f>
        <v>4.4166666666666661</v>
      </c>
      <c r="AE39" s="354">
        <f t="shared" ref="AE39:AF39" si="24">IF(ISERROR(AVERAGE(AE8:AE38)),"",AVERAGE(AE8:AE38))</f>
        <v>7.8397435897435903</v>
      </c>
      <c r="AF39" s="354">
        <f t="shared" si="24"/>
        <v>4.9444444444444438</v>
      </c>
      <c r="AG39" s="354">
        <f t="shared" ref="AG39" si="25">IF(ISERROR(AVERAGE(AG8:AG38)),"",AVERAGE(AG8:AG38))</f>
        <v>4.2132352941176476</v>
      </c>
      <c r="AH39" s="354">
        <f t="shared" ref="AH39:AI39" si="26">IF(ISERROR(AVERAGE(AH8:AH38)),"",AVERAGE(AH8:AH38))</f>
        <v>3.3791666666666664</v>
      </c>
      <c r="AI39" s="354">
        <f t="shared" si="26"/>
        <v>5.2261904761904763</v>
      </c>
      <c r="AJ39" s="354">
        <f t="shared" ref="AJ39" si="27">IF(ISERROR(AVERAGE(AJ8:AJ38)),"",AVERAGE(AJ8:AJ38))</f>
        <v>3.25</v>
      </c>
      <c r="AK39" s="354" t="str">
        <f>IF(ISERROR(AVERAGE(AK8:AK38)),"",AVERAGE(AK8:AK38))</f>
        <v/>
      </c>
      <c r="AL39" s="354">
        <f t="shared" ref="AL39" si="28">IF(ISERROR(AVERAGE(AL8:AL38)),"",AVERAGE(AL8:AL38))</f>
        <v>3.8837719298245625</v>
      </c>
      <c r="AM39" s="354">
        <f t="shared" ref="AM39" si="29">IF(ISERROR(AVERAGE(AM8:AM38)),"",AVERAGE(AM8:AM38))</f>
        <v>3.7312500000000002</v>
      </c>
      <c r="AN39" s="354"/>
      <c r="AO39" s="356"/>
      <c r="AP39" s="1334">
        <f>IF(ISERROR(AVERAGE(AP8:AP38)),"",AVERAGE(AP8:AP38))</f>
        <v>11.681818181818182</v>
      </c>
      <c r="AQ39" s="354" t="str">
        <f>IF(ISERROR(AVERAGE(AQ8:AQ38)),"",AVERAGE(AQ8:AQ38))</f>
        <v/>
      </c>
      <c r="AR39" s="354"/>
      <c r="AS39" s="356"/>
      <c r="AT39" s="354" t="str">
        <f t="shared" ref="AT39:BA39" si="30">IF(ISERROR(AVERAGE(AT8:AT38)),"",AVERAGE(AT8:AT38))</f>
        <v/>
      </c>
      <c r="AU39" s="354" t="str">
        <f t="shared" si="30"/>
        <v/>
      </c>
      <c r="AV39" s="354" t="str">
        <f t="shared" si="30"/>
        <v/>
      </c>
      <c r="AW39" s="354" t="str">
        <f t="shared" si="30"/>
        <v/>
      </c>
      <c r="AX39" s="354" t="str">
        <f t="shared" si="30"/>
        <v/>
      </c>
      <c r="AY39" s="354" t="str">
        <f t="shared" si="30"/>
        <v/>
      </c>
      <c r="AZ39" s="354" t="str">
        <f t="shared" si="30"/>
        <v/>
      </c>
      <c r="BA39" s="354" t="str">
        <f t="shared" si="30"/>
        <v/>
      </c>
      <c r="BB39" s="354"/>
      <c r="BC39" s="356"/>
    </row>
    <row r="40" spans="1:98" s="361" customFormat="1" ht="16.5" customHeight="1">
      <c r="A40" s="358">
        <f>SUM(B40:DG40)</f>
        <v>434</v>
      </c>
      <c r="B40" s="359">
        <f t="shared" ref="B40:O40" si="31">COUNTIF(B8:B38,"產銷停機")</f>
        <v>31</v>
      </c>
      <c r="C40" s="359">
        <f t="shared" ref="C40" si="32">COUNTIF(C8:C38,"產銷停機")</f>
        <v>31</v>
      </c>
      <c r="D40" s="359">
        <f t="shared" ref="D40" si="33">COUNTIF(D8:D38,"產銷停機")</f>
        <v>13</v>
      </c>
      <c r="E40" s="359">
        <f t="shared" ref="E40:F40" si="34">COUNTIF(E8:E38,"產銷停機")</f>
        <v>19</v>
      </c>
      <c r="F40" s="359">
        <f t="shared" si="34"/>
        <v>0</v>
      </c>
      <c r="G40" s="359">
        <f t="shared" ref="G40" si="35">COUNTIF(G8:G38,"產銷停機")</f>
        <v>20</v>
      </c>
      <c r="H40" s="359">
        <f t="shared" ref="H40" si="36">COUNTIF(H8:H38,"產銷停機")</f>
        <v>0</v>
      </c>
      <c r="I40" s="359">
        <f t="shared" ref="I40" si="37">COUNTIF(I8:I38,"產銷停機")</f>
        <v>31</v>
      </c>
      <c r="J40" s="359">
        <f t="shared" ref="J40" si="38">COUNTIF(J8:J38,"產銷停機")</f>
        <v>9</v>
      </c>
      <c r="K40" s="359">
        <f t="shared" ref="K40" si="39">COUNTIF(K8:K38,"產銷停機")</f>
        <v>31</v>
      </c>
      <c r="L40" s="359">
        <f t="shared" ref="L40" si="40">COUNTIF(L8:L38,"產銷停機")</f>
        <v>17</v>
      </c>
      <c r="M40" s="359">
        <f>COUNTIF(M8:M38,"產銷停機")</f>
        <v>0</v>
      </c>
      <c r="N40" s="359">
        <f>COUNTIF(N8:N38,"產銷停機")</f>
        <v>0</v>
      </c>
      <c r="O40" s="359">
        <f t="shared" si="31"/>
        <v>28</v>
      </c>
      <c r="P40" s="359">
        <f t="shared" ref="P40" si="41">COUNTIF(P8:P38,"產銷停機")</f>
        <v>19</v>
      </c>
      <c r="Q40" s="359">
        <f t="shared" ref="Q40" si="42">COUNTIF(Q8:Q38,"產銷停機")</f>
        <v>31</v>
      </c>
      <c r="R40" s="359">
        <f t="shared" ref="R40" si="43">COUNTIF(R8:R38,"產銷停機")</f>
        <v>19</v>
      </c>
      <c r="S40" s="359">
        <f t="shared" ref="S40:T40" si="44">COUNTIF(S8:S38,"產銷停機")</f>
        <v>1</v>
      </c>
      <c r="T40" s="359">
        <f t="shared" si="44"/>
        <v>15</v>
      </c>
      <c r="U40" s="359">
        <f t="shared" ref="U40" si="45">COUNTIF(U8:U38,"產銷停機")</f>
        <v>31</v>
      </c>
      <c r="V40" s="359"/>
      <c r="W40" s="359"/>
      <c r="X40" s="359">
        <f>COUNTIF(X8:X38,"產銷停機")</f>
        <v>31</v>
      </c>
      <c r="Y40" s="359">
        <f>COUNTIF(Y8:Y38,"產銷停機")</f>
        <v>18</v>
      </c>
      <c r="Z40" s="359">
        <f>COUNTIF(Z8:Z38,"產銷停機")</f>
        <v>31</v>
      </c>
      <c r="AA40" s="359"/>
      <c r="AB40" s="359"/>
      <c r="AC40" s="359">
        <f>COUNTIF(AC8:AC38,"產銷停機")</f>
        <v>0</v>
      </c>
      <c r="AD40" s="359">
        <f t="shared" ref="AD40" si="46">COUNTIF(AD8:AD38,"產銷停機")</f>
        <v>0</v>
      </c>
      <c r="AE40" s="359">
        <f t="shared" ref="AE40:AF40" si="47">COUNTIF(AE8:AE38,"產銷停機")</f>
        <v>0</v>
      </c>
      <c r="AF40" s="359">
        <f t="shared" si="47"/>
        <v>0</v>
      </c>
      <c r="AG40" s="359">
        <f t="shared" ref="AG40" si="48">COUNTIF(AG8:AG38,"產銷停機")</f>
        <v>0</v>
      </c>
      <c r="AH40" s="359">
        <f t="shared" ref="AH40:AI40" si="49">COUNTIF(AH8:AH38,"產銷停機")</f>
        <v>0</v>
      </c>
      <c r="AI40" s="359">
        <f t="shared" si="49"/>
        <v>0</v>
      </c>
      <c r="AJ40" s="359">
        <f t="shared" ref="AJ40" si="50">COUNTIF(AJ8:AJ38,"產銷停機")</f>
        <v>0</v>
      </c>
      <c r="AK40" s="359">
        <f>COUNTIF(AK8:AK38,"產銷停機")</f>
        <v>0</v>
      </c>
      <c r="AL40" s="359">
        <f t="shared" ref="AL40" si="51">COUNTIF(AL8:AL38,"產銷停機")</f>
        <v>0</v>
      </c>
      <c r="AM40" s="359">
        <f t="shared" ref="AM40" si="52">COUNTIF(AM8:AM38,"產銷停機")</f>
        <v>0</v>
      </c>
      <c r="AN40" s="359"/>
      <c r="AO40" s="360"/>
      <c r="AP40" s="1276">
        <f>COUNTIF(AP8:AP38,"產銷停機")</f>
        <v>8</v>
      </c>
      <c r="AQ40" s="359">
        <f>COUNTIF(AQ8:AQ38,"產銷停機")</f>
        <v>0</v>
      </c>
      <c r="AR40" s="359"/>
      <c r="AS40" s="360"/>
      <c r="AT40" s="359">
        <f t="shared" ref="AT40:BA40" si="53">COUNTIF(AT8:AT38,"產銷停機")</f>
        <v>0</v>
      </c>
      <c r="AU40" s="359">
        <f t="shared" si="53"/>
        <v>0</v>
      </c>
      <c r="AV40" s="359">
        <f t="shared" si="53"/>
        <v>0</v>
      </c>
      <c r="AW40" s="359">
        <f t="shared" si="53"/>
        <v>0</v>
      </c>
      <c r="AX40" s="359">
        <f t="shared" si="53"/>
        <v>0</v>
      </c>
      <c r="AY40" s="359">
        <f t="shared" si="53"/>
        <v>0</v>
      </c>
      <c r="AZ40" s="359">
        <f t="shared" si="53"/>
        <v>0</v>
      </c>
      <c r="BA40" s="359">
        <f t="shared" si="53"/>
        <v>0</v>
      </c>
      <c r="BB40" s="359"/>
      <c r="BC40" s="359"/>
    </row>
    <row r="41" spans="1:98" s="361" customFormat="1" ht="16.5" customHeight="1" thickBot="1">
      <c r="A41" s="362">
        <f>SUM(B41:DG41)</f>
        <v>14.466666666666665</v>
      </c>
      <c r="B41" s="363">
        <f t="shared" ref="B41:O41" si="54">IF(B40=0,"",B40/30)</f>
        <v>1.0333333333333334</v>
      </c>
      <c r="C41" s="363">
        <f t="shared" ref="C41" si="55">IF(C40=0,"",C40/30)</f>
        <v>1.0333333333333334</v>
      </c>
      <c r="D41" s="363">
        <f t="shared" ref="D41" si="56">IF(D40=0,"",D40/30)</f>
        <v>0.43333333333333335</v>
      </c>
      <c r="E41" s="363">
        <f t="shared" ref="E41:F41" si="57">IF(E40=0,"",E40/30)</f>
        <v>0.6333333333333333</v>
      </c>
      <c r="F41" s="363" t="str">
        <f t="shared" si="57"/>
        <v/>
      </c>
      <c r="G41" s="363">
        <f t="shared" ref="G41" si="58">IF(G40=0,"",G40/30)</f>
        <v>0.66666666666666663</v>
      </c>
      <c r="H41" s="363" t="str">
        <f t="shared" ref="H41" si="59">IF(H40=0,"",H40/30)</f>
        <v/>
      </c>
      <c r="I41" s="363">
        <f t="shared" ref="I41" si="60">IF(I40=0,"",I40/30)</f>
        <v>1.0333333333333334</v>
      </c>
      <c r="J41" s="363">
        <f t="shared" ref="J41" si="61">IF(J40=0,"",J40/30)</f>
        <v>0.3</v>
      </c>
      <c r="K41" s="363">
        <f t="shared" ref="K41" si="62">IF(K40=0,"",K40/30)</f>
        <v>1.0333333333333334</v>
      </c>
      <c r="L41" s="363">
        <f t="shared" ref="L41" si="63">IF(L40=0,"",L40/30)</f>
        <v>0.56666666666666665</v>
      </c>
      <c r="M41" s="363" t="str">
        <f>IF(M40=0,"",M40/30)</f>
        <v/>
      </c>
      <c r="N41" s="363" t="str">
        <f>IF(N40=0,"",N40/30)</f>
        <v/>
      </c>
      <c r="O41" s="363">
        <f t="shared" si="54"/>
        <v>0.93333333333333335</v>
      </c>
      <c r="P41" s="363">
        <f t="shared" ref="P41" si="64">IF(P40=0,"",P40/30)</f>
        <v>0.6333333333333333</v>
      </c>
      <c r="Q41" s="363">
        <f t="shared" ref="Q41" si="65">IF(Q40=0,"",Q40/30)</f>
        <v>1.0333333333333334</v>
      </c>
      <c r="R41" s="363">
        <f t="shared" ref="R41" si="66">IF(R40=0,"",R40/30)</f>
        <v>0.6333333333333333</v>
      </c>
      <c r="S41" s="363">
        <f t="shared" ref="S41:T41" si="67">IF(S40=0,"",S40/30)</f>
        <v>3.3333333333333333E-2</v>
      </c>
      <c r="T41" s="363">
        <f t="shared" si="67"/>
        <v>0.5</v>
      </c>
      <c r="U41" s="363">
        <f t="shared" ref="U41" si="68">IF(U40=0,"",U40/30)</f>
        <v>1.0333333333333334</v>
      </c>
      <c r="V41" s="363"/>
      <c r="W41" s="363"/>
      <c r="X41" s="363">
        <f>IF(X40=0,"",X40/30)</f>
        <v>1.0333333333333334</v>
      </c>
      <c r="Y41" s="363">
        <f>IF(Y40=0,"",Y40/30)</f>
        <v>0.6</v>
      </c>
      <c r="Z41" s="363">
        <f>IF(Z40=0,"",Z40/30)</f>
        <v>1.0333333333333334</v>
      </c>
      <c r="AA41" s="363"/>
      <c r="AB41" s="363"/>
      <c r="AC41" s="363" t="str">
        <f t="shared" ref="AC41:AD41" si="69">IF(AC40=0,"",AC40/30)</f>
        <v/>
      </c>
      <c r="AD41" s="363" t="str">
        <f t="shared" si="69"/>
        <v/>
      </c>
      <c r="AE41" s="363" t="str">
        <f t="shared" ref="AE41:AF41" si="70">IF(AE40=0,"",AE40/30)</f>
        <v/>
      </c>
      <c r="AF41" s="363" t="str">
        <f t="shared" si="70"/>
        <v/>
      </c>
      <c r="AG41" s="363" t="str">
        <f t="shared" ref="AG41" si="71">IF(AG40=0,"",AG40/30)</f>
        <v/>
      </c>
      <c r="AH41" s="363" t="str">
        <f t="shared" ref="AH41:AI41" si="72">IF(AH40=0,"",AH40/30)</f>
        <v/>
      </c>
      <c r="AI41" s="363" t="str">
        <f t="shared" si="72"/>
        <v/>
      </c>
      <c r="AJ41" s="363" t="str">
        <f t="shared" ref="AJ41" si="73">IF(AJ40=0,"",AJ40/30)</f>
        <v/>
      </c>
      <c r="AK41" s="363" t="str">
        <f>IF(AK40=0,"",AK40/30)</f>
        <v/>
      </c>
      <c r="AL41" s="363" t="str">
        <f t="shared" ref="AL41" si="74">IF(AL40=0,"",AL40/30)</f>
        <v/>
      </c>
      <c r="AM41" s="363" t="str">
        <f t="shared" ref="AM41" si="75">IF(AM40=0,"",AM40/30)</f>
        <v/>
      </c>
      <c r="AN41" s="363"/>
      <c r="AO41" s="364"/>
      <c r="AP41" s="1277">
        <f>IF(AP40=0,"",AP40/30)</f>
        <v>0.26666666666666666</v>
      </c>
      <c r="AQ41" s="363" t="str">
        <f>IF(AQ40=0,"",AQ40/30)</f>
        <v/>
      </c>
      <c r="AR41" s="363"/>
      <c r="AS41" s="364"/>
      <c r="AT41" s="363" t="str">
        <f t="shared" ref="AT41:BA41" si="76">IF(AT40=0,"",AT40/30)</f>
        <v/>
      </c>
      <c r="AU41" s="363" t="str">
        <f t="shared" si="76"/>
        <v/>
      </c>
      <c r="AV41" s="363" t="str">
        <f t="shared" si="76"/>
        <v/>
      </c>
      <c r="AW41" s="363" t="str">
        <f t="shared" si="76"/>
        <v/>
      </c>
      <c r="AX41" s="363" t="str">
        <f t="shared" si="76"/>
        <v/>
      </c>
      <c r="AY41" s="363" t="str">
        <f t="shared" si="76"/>
        <v/>
      </c>
      <c r="AZ41" s="363" t="str">
        <f t="shared" si="76"/>
        <v/>
      </c>
      <c r="BA41" s="363" t="str">
        <f t="shared" si="76"/>
        <v/>
      </c>
      <c r="BB41" s="363"/>
      <c r="BC41" s="363"/>
    </row>
    <row r="42" spans="1:98" s="361" customFormat="1" ht="14.25" customHeight="1">
      <c r="A42" s="74"/>
      <c r="L42" s="365"/>
      <c r="S42" s="365"/>
      <c r="T42" s="365"/>
      <c r="U42" s="365"/>
      <c r="V42" s="365"/>
      <c r="W42" s="365"/>
      <c r="AA42" s="366"/>
      <c r="AN42" s="366"/>
      <c r="AR42" s="366"/>
      <c r="BB42" s="366"/>
    </row>
    <row r="43" spans="1:98" s="352" customFormat="1" ht="20.25" customHeight="1">
      <c r="A43" s="326" t="s">
        <v>601</v>
      </c>
      <c r="B43" s="352" t="str">
        <f>IF(ISNA(VLOOKUP(B44,ABC區!$A:$B,2,0)),"",(VLOOKUP(B44,ABC區!$A:$B,2,0)))</f>
        <v>A區</v>
      </c>
      <c r="C43" s="352" t="str">
        <f>IF(ISNA(VLOOKUP(C44,ABC區!$A:$B,2,0)),"",(VLOOKUP(C44,ABC區!$A:$B,2,0)))</f>
        <v>A區</v>
      </c>
      <c r="D43" s="352" t="str">
        <f>IF(ISNA(VLOOKUP(D44,ABC區!$A:$B,2,0)),"",(VLOOKUP(D44,ABC區!$A:$B,2,0)))</f>
        <v>B區</v>
      </c>
      <c r="E43" s="352" t="str">
        <f>IF(ISNA(VLOOKUP(E44,ABC區!$A:$B,2,0)),"",(VLOOKUP(E44,ABC區!$A:$B,2,0)))</f>
        <v>B區</v>
      </c>
      <c r="F43" s="352" t="str">
        <f>IF(ISNA(VLOOKUP(F44,ABC區!$A:$B,2,0)),"",(VLOOKUP(F44,ABC區!$A:$B,2,0)))</f>
        <v>B區</v>
      </c>
      <c r="G43" s="352" t="str">
        <f>IF(ISNA(VLOOKUP(G44,ABC區!$A:$B,2,0)),"",(VLOOKUP(G44,ABC區!$A:$B,2,0)))</f>
        <v>C區</v>
      </c>
      <c r="H43" s="352" t="str">
        <f>IF(ISNA(VLOOKUP(H44,ABC區!$A:$B,2,0)),"",(VLOOKUP(H44,ABC區!$A:$B,2,0)))</f>
        <v>C區</v>
      </c>
      <c r="I43" s="352" t="str">
        <f>IF(ISNA(VLOOKUP(I44,ABC區!$A:$B,2,0)),"",(VLOOKUP(I44,ABC區!$A:$B,2,0)))</f>
        <v>A區</v>
      </c>
      <c r="J43" s="352" t="str">
        <f>IF(ISNA(VLOOKUP(J44,ABC區!$A:$B,2,0)),"",(VLOOKUP(J44,ABC區!$A:$B,2,0)))</f>
        <v>A區</v>
      </c>
      <c r="K43" s="352" t="str">
        <f>IF(ISNA(VLOOKUP(K44,ABC區!$A:$B,2,0)),"",(VLOOKUP(K44,ABC區!$A:$B,2,0)))</f>
        <v>B區</v>
      </c>
      <c r="L43" s="352" t="str">
        <f>IF(ISNA(VLOOKUP(L44,ABC區!$A:$B,2,0)),"",(VLOOKUP(L44,ABC區!$A:$B,2,0)))</f>
        <v>B區</v>
      </c>
      <c r="M43" s="352" t="str">
        <f>IF(ISNA(VLOOKUP(M44,ABC區!$A:$B,2,0)),"",(VLOOKUP(M44,ABC區!$A:$B,2,0)))</f>
        <v>C區</v>
      </c>
      <c r="N43" s="352" t="str">
        <f>IF(ISNA(VLOOKUP(N44,ABC區!$A:$B,2,0)),"",(VLOOKUP(N44,ABC區!$A:$B,2,0)))</f>
        <v>C區</v>
      </c>
      <c r="O43" s="352" t="str">
        <f>IF(ISNA(VLOOKUP(O44,ABC區!$A:$B,2,0)),"",(VLOOKUP(O44,ABC區!$A:$B,2,0)))</f>
        <v>C區</v>
      </c>
      <c r="P43" s="352" t="str">
        <f>IF(ISNA(VLOOKUP(P44,ABC區!$A:$B,2,0)),"",(VLOOKUP(P44,ABC區!$A:$B,2,0)))</f>
        <v>A區</v>
      </c>
      <c r="Q43" s="352" t="str">
        <f>IF(ISNA(VLOOKUP(Q44,ABC區!$A:$B,2,0)),"",(VLOOKUP(Q44,ABC區!$A:$B,2,0)))</f>
        <v>A區</v>
      </c>
      <c r="R43" s="352" t="str">
        <f>IF(ISNA(VLOOKUP(R44,ABC區!$A:$B,2,0)),"",(VLOOKUP(R44,ABC區!$A:$B,2,0)))</f>
        <v>B區</v>
      </c>
      <c r="S43" s="352" t="str">
        <f>IF(ISNA(VLOOKUP(S44,ABC區!$A:$B,2,0)),"",(VLOOKUP(S44,ABC區!$A:$B,2,0)))</f>
        <v>B區</v>
      </c>
      <c r="T43" s="352" t="str">
        <f>IF(ISNA(VLOOKUP(T44,ABC區!$A:$B,2,0)),"",(VLOOKUP(T44,ABC區!$A:$B,2,0)))</f>
        <v>C區</v>
      </c>
      <c r="U43" s="352" t="str">
        <f>IF(ISNA(VLOOKUP(U44,ABC區!$A:$B,2,0)),"",(VLOOKUP(U44,ABC區!$A:$B,2,0)))</f>
        <v>C區</v>
      </c>
      <c r="V43" s="352" t="str">
        <f>IF(ISNA(VLOOKUP(V44,ABC區!$A:$B,2,0)),"",(VLOOKUP(V44,ABC區!$A:$B,2,0)))</f>
        <v/>
      </c>
      <c r="W43" s="352" t="str">
        <f>IF(ISNA(VLOOKUP(W44,ABC區!$A:$B,2,0)),"",(VLOOKUP(W44,ABC區!$A:$B,2,0)))</f>
        <v/>
      </c>
      <c r="X43" s="352" t="str">
        <f>IF(ISNA(VLOOKUP(X44,ABC區!$A:$B,2,0)),"",(VLOOKUP(X44,ABC區!$A:$B,2,0)))</f>
        <v>A區</v>
      </c>
      <c r="Y43" s="352" t="str">
        <f>IF(ISNA(VLOOKUP(Y44,ABC區!$A:$B,2,0)),"",(VLOOKUP(Y44,ABC區!$A:$B,2,0)))</f>
        <v>B區</v>
      </c>
      <c r="Z43" s="352" t="str">
        <f>IF(ISNA(VLOOKUP(Z44,ABC區!$A:$B,2,0)),"",(VLOOKUP(Z44,ABC區!$A:$B,2,0)))</f>
        <v>C區</v>
      </c>
      <c r="AA43" s="352" t="str">
        <f>IF(ISNA(VLOOKUP(AA44,ABC區!$A:$B,2,0)),"",(VLOOKUP(AA44,ABC區!$A:$B,2,0)))</f>
        <v/>
      </c>
      <c r="AB43" s="352" t="str">
        <f>IF(ISNA(VLOOKUP(AB44,ABC區!$A:$B,2,0)),"",(VLOOKUP(AB44,ABC區!$A:$B,2,0)))</f>
        <v/>
      </c>
      <c r="AC43" s="352" t="str">
        <f>IF(ISNA(VLOOKUP(AC44,ABC區!$A:$B,2,0)),"",(VLOOKUP(AC44,ABC區!$A:$B,2,0)))</f>
        <v>C區</v>
      </c>
      <c r="AD43" s="352" t="str">
        <f>IF(ISNA(VLOOKUP(AD44,ABC區!$A:$B,2,0)),"",(VLOOKUP(AD44,ABC區!$A:$B,2,0)))</f>
        <v>C區</v>
      </c>
      <c r="AE43" s="352" t="str">
        <f>IF(ISNA(VLOOKUP(AE44,ABC區!$A:$B,2,0)),"",(VLOOKUP(AE44,ABC區!$A:$B,2,0)))</f>
        <v>C區</v>
      </c>
      <c r="AF43" s="352" t="str">
        <f>IF(ISNA(VLOOKUP(AF44,ABC區!$A:$B,2,0)),"",(VLOOKUP(AF44,ABC區!$A:$B,2,0)))</f>
        <v>C區</v>
      </c>
      <c r="AG43" s="352" t="str">
        <f>IF(ISNA(VLOOKUP(AG44,ABC區!$A:$B,2,0)),"",(VLOOKUP(AG44,ABC區!$A:$B,2,0)))</f>
        <v>B區</v>
      </c>
      <c r="AH43" s="352" t="str">
        <f>IF(ISNA(VLOOKUP(AH44,ABC區!$A:$B,2,0)),"",(VLOOKUP(AH44,ABC區!$A:$B,2,0)))</f>
        <v>B區</v>
      </c>
      <c r="AI43" s="352" t="str">
        <f>IF(ISNA(VLOOKUP(AI44,ABC區!$A:$B,2,0)),"",(VLOOKUP(AI44,ABC區!$A:$B,2,0)))</f>
        <v>B區</v>
      </c>
      <c r="AJ43" s="352" t="str">
        <f>IF(ISNA(VLOOKUP(AJ44,ABC區!$A:$B,2,0)),"",(VLOOKUP(AJ44,ABC區!$A:$B,2,0)))</f>
        <v>B區</v>
      </c>
      <c r="AK43" s="352" t="str">
        <f>IF(ISNA(VLOOKUP(AK44,ABC區!$A:$B,2,0)),"",(VLOOKUP(AK44,ABC區!$A:$B,2,0)))</f>
        <v>A區</v>
      </c>
      <c r="AL43" s="352" t="str">
        <f>IF(ISNA(VLOOKUP(AL44,ABC區!$A:$B,2,0)),"",(VLOOKUP(AL44,ABC區!$A:$B,2,0)))</f>
        <v>A區</v>
      </c>
      <c r="AM43" s="352" t="str">
        <f>IF(ISNA(VLOOKUP(AM44,ABC區!$A:$B,2,0)),"",(VLOOKUP(AM44,ABC區!$A:$B,2,0)))</f>
        <v>A區</v>
      </c>
      <c r="AP43" s="352" t="str">
        <f>IF(ISNA(VLOOKUP(AP44,ABC區!$A:$B,2,0)),"",(VLOOKUP(AP44,ABC區!$A:$B,2,0)))</f>
        <v/>
      </c>
      <c r="AQ43" s="352" t="str">
        <f>IF(ISNA(VLOOKUP(AQ44,ABC區!$A:$B,2,0)),"",(VLOOKUP(AQ44,ABC區!$A:$B,2,0)))</f>
        <v/>
      </c>
      <c r="AR43" s="352" t="str">
        <f>IF(ISNA(VLOOKUP(AR44,ABC區!$A:$B,2,0)),"",(VLOOKUP(AR44,ABC區!$A:$B,2,0)))</f>
        <v/>
      </c>
      <c r="AS43" s="352" t="str">
        <f>IF(ISNA(VLOOKUP(AS44,ABC區!$A:$B,2,0)),"",(VLOOKUP(AS44,ABC區!$A:$B,2,0)))</f>
        <v/>
      </c>
      <c r="AT43" s="352" t="str">
        <f>IF(ISNA(VLOOKUP(AT44,ABC區!$A:$B,2,0)),"",(VLOOKUP(AT44,ABC區!$A:$B,2,0)))</f>
        <v>A區</v>
      </c>
      <c r="AU43" s="352" t="str">
        <f>IF(ISNA(VLOOKUP(AU44,ABC區!$A:$B,2,0)),"",(VLOOKUP(AU44,ABC區!$A:$B,2,0)))</f>
        <v>A區</v>
      </c>
      <c r="AV43" s="352" t="str">
        <f>IF(ISNA(VLOOKUP(AV44,ABC區!$A:$B,2,0)),"",(VLOOKUP(AV44,ABC區!$A:$B,2,0)))</f>
        <v>B區</v>
      </c>
      <c r="AW43" s="352" t="str">
        <f>IF(ISNA(VLOOKUP(AW44,ABC區!$A:$B,2,0)),"",(VLOOKUP(AW44,ABC區!$A:$B,2,0)))</f>
        <v>B區</v>
      </c>
      <c r="AX43" s="352" t="str">
        <f>IF(ISNA(VLOOKUP(AX44,ABC區!$A:$B,2,0)),"",(VLOOKUP(AX44,ABC區!$A:$B,2,0)))</f>
        <v>C區</v>
      </c>
      <c r="AY43" s="352" t="str">
        <f>IF(ISNA(VLOOKUP(AY44,ABC區!$A:$B,2,0)),"",(VLOOKUP(AY44,ABC區!$A:$B,2,0)))</f>
        <v>C區</v>
      </c>
      <c r="AZ43" s="352" t="str">
        <f>IF(ISNA(VLOOKUP(AZ44,ABC區!$A:$B,2,0)),"",(VLOOKUP(AZ44,ABC區!$A:$B,2,0)))</f>
        <v/>
      </c>
      <c r="BA43" s="352" t="str">
        <f>IF(ISNA(VLOOKUP(BA44,ABC區!$A:$B,2,0)),"",(VLOOKUP(BA44,ABC區!$A:$B,2,0)))</f>
        <v/>
      </c>
      <c r="BB43" s="352" t="str">
        <f>IF(ISNA(VLOOKUP(BB44,ABC區!$A:$B,2,0)),"",(VLOOKUP(BB44,ABC區!$A:$B,2,0)))</f>
        <v/>
      </c>
      <c r="BC43" s="352" t="str">
        <f>IF(ISNA(VLOOKUP(BC44,ABC區!$A:$B,2,0)),"",(VLOOKUP(BC44,ABC區!$A:$B,2,0)))</f>
        <v/>
      </c>
    </row>
    <row r="44" spans="1:98" s="326" customFormat="1" ht="20.25" customHeight="1">
      <c r="A44" s="326" t="s">
        <v>38</v>
      </c>
      <c r="B44" s="326" t="str">
        <f t="shared" ref="B44:O44" si="77">LEFTB(B3,3)</f>
        <v>A07</v>
      </c>
      <c r="C44" s="326" t="str">
        <f t="shared" ref="C44" si="78">LEFTB(C3,3)</f>
        <v>A08</v>
      </c>
      <c r="D44" s="326" t="str">
        <f t="shared" ref="D44" si="79">LEFTB(D3,3)</f>
        <v>A09</v>
      </c>
      <c r="E44" s="326" t="str">
        <f t="shared" ref="E44:F44" si="80">LEFTB(E3,3)</f>
        <v>A10</v>
      </c>
      <c r="F44" s="326" t="str">
        <f t="shared" si="80"/>
        <v>A10</v>
      </c>
      <c r="G44" s="326" t="str">
        <f t="shared" ref="G44" si="81">LEFTB(G3,3)</f>
        <v>A11</v>
      </c>
      <c r="H44" s="326" t="str">
        <f t="shared" ref="H44" si="82">LEFTB(H3,3)</f>
        <v>A12</v>
      </c>
      <c r="I44" s="326" t="str">
        <f t="shared" ref="I44" si="83">LEFTB(I3,3)</f>
        <v>A13</v>
      </c>
      <c r="J44" s="326" t="str">
        <f t="shared" ref="J44" si="84">LEFTB(J3,3)</f>
        <v>A14</v>
      </c>
      <c r="K44" s="326" t="str">
        <f t="shared" ref="K44" si="85">LEFTB(K3,3)</f>
        <v>A15</v>
      </c>
      <c r="L44" s="326" t="str">
        <f t="shared" ref="L44" si="86">LEFTB(L3,3)</f>
        <v>A16</v>
      </c>
      <c r="M44" s="326" t="str">
        <f>LEFTB(M3,3)</f>
        <v>A17</v>
      </c>
      <c r="N44" s="326" t="str">
        <f>LEFTB(N3,3)</f>
        <v>A17</v>
      </c>
      <c r="O44" s="326" t="str">
        <f t="shared" si="77"/>
        <v>A18</v>
      </c>
      <c r="P44" s="326" t="str">
        <f t="shared" ref="P44" si="87">LEFTB(P3,3)</f>
        <v>A19</v>
      </c>
      <c r="Q44" s="326" t="str">
        <f t="shared" ref="Q44" si="88">LEFTB(Q3,3)</f>
        <v>A20</v>
      </c>
      <c r="R44" s="326" t="str">
        <f t="shared" ref="R44" si="89">LEFTB(R3,3)</f>
        <v>A21</v>
      </c>
      <c r="S44" s="326" t="str">
        <f t="shared" ref="S44:T44" si="90">LEFTB(S3,3)</f>
        <v>A22</v>
      </c>
      <c r="T44" s="326" t="str">
        <f t="shared" si="90"/>
        <v>A23</v>
      </c>
      <c r="U44" s="326" t="str">
        <f t="shared" ref="U44" si="91">LEFTB(U3,3)</f>
        <v>A24</v>
      </c>
      <c r="V44" s="326" t="str">
        <f t="shared" ref="V44:AB44" si="92">LEFTB(V3,3)</f>
        <v/>
      </c>
      <c r="W44" s="326" t="str">
        <f t="shared" si="92"/>
        <v/>
      </c>
      <c r="X44" s="326" t="str">
        <f t="shared" si="92"/>
        <v>J07</v>
      </c>
      <c r="Y44" s="326" t="str">
        <f>LEFTB(Y3,3)</f>
        <v>J08</v>
      </c>
      <c r="Z44" s="326" t="str">
        <f t="shared" si="92"/>
        <v>J09</v>
      </c>
      <c r="AA44" s="326" t="str">
        <f t="shared" si="92"/>
        <v/>
      </c>
      <c r="AB44" s="326" t="str">
        <f t="shared" si="92"/>
        <v/>
      </c>
      <c r="AC44" s="326" t="str">
        <f t="shared" ref="AC44:AD44" si="93">LEFTB(AC3,3)</f>
        <v>T01</v>
      </c>
      <c r="AD44" s="326" t="str">
        <f t="shared" si="93"/>
        <v>T01</v>
      </c>
      <c r="AE44" s="326" t="str">
        <f t="shared" ref="AE44:AF44" si="94">LEFTB(AE3,3)</f>
        <v>T02</v>
      </c>
      <c r="AF44" s="326" t="str">
        <f t="shared" si="94"/>
        <v>T02</v>
      </c>
      <c r="AG44" s="326" t="str">
        <f t="shared" ref="AG44" si="95">LEFTB(AG3,3)</f>
        <v>T03</v>
      </c>
      <c r="AH44" s="326" t="str">
        <f t="shared" ref="AH44:AI44" si="96">LEFTB(AH3,3)</f>
        <v>T04</v>
      </c>
      <c r="AI44" s="326" t="str">
        <f t="shared" si="96"/>
        <v>T04</v>
      </c>
      <c r="AJ44" s="326" t="str">
        <f t="shared" ref="AJ44" si="97">LEFTB(AJ3,3)</f>
        <v>T04</v>
      </c>
      <c r="AK44" s="326" t="str">
        <f>LEFTB(AK3,3)</f>
        <v>T05</v>
      </c>
      <c r="AL44" s="326" t="str">
        <f t="shared" ref="AL44" si="98">LEFTB(AL3,3)</f>
        <v>T05</v>
      </c>
      <c r="AM44" s="326" t="str">
        <f t="shared" ref="AM44" si="99">LEFTB(AM3,3)</f>
        <v>T06</v>
      </c>
      <c r="AN44" s="773"/>
      <c r="AP44" s="326" t="str">
        <f>LEFTB(AP3,3)</f>
        <v>S01</v>
      </c>
      <c r="AQ44" s="326" t="str">
        <f t="shared" ref="AQ44:AV44" si="100">LEFTB(AQ3,3)</f>
        <v>S02</v>
      </c>
      <c r="AR44" s="326" t="str">
        <f t="shared" si="100"/>
        <v/>
      </c>
      <c r="AS44" s="326" t="str">
        <f t="shared" si="100"/>
        <v/>
      </c>
      <c r="AT44" s="326" t="str">
        <f t="shared" si="100"/>
        <v>M01</v>
      </c>
      <c r="AU44" s="326" t="str">
        <f t="shared" si="100"/>
        <v>M02</v>
      </c>
      <c r="AV44" s="326" t="str">
        <f t="shared" si="100"/>
        <v>M03</v>
      </c>
      <c r="AW44" s="326" t="str">
        <f t="shared" ref="AW44:BC44" si="101">LEFTB(AW3,3)</f>
        <v>M04</v>
      </c>
      <c r="AX44" s="326" t="str">
        <f t="shared" si="101"/>
        <v>M05</v>
      </c>
      <c r="AY44" s="326" t="str">
        <f t="shared" si="101"/>
        <v>M06</v>
      </c>
      <c r="AZ44" s="326" t="str">
        <f t="shared" si="101"/>
        <v>M07</v>
      </c>
      <c r="BA44" s="326" t="str">
        <f t="shared" si="101"/>
        <v>M08</v>
      </c>
      <c r="BB44" s="326" t="str">
        <f t="shared" si="101"/>
        <v/>
      </c>
      <c r="BC44" s="326" t="str">
        <f t="shared" si="101"/>
        <v/>
      </c>
    </row>
    <row r="45" spans="1:98" s="352" customFormat="1" ht="20.25" customHeight="1">
      <c r="A45" s="352" t="s">
        <v>592</v>
      </c>
      <c r="B45" s="771" t="str">
        <f>IF(ISNA(VLOOKUP(B4,日報表!$A$4:$N$181,11,0)),"",(VLOOKUP(B4,日報表!$A$4:$N$181,11,0)))</f>
        <v/>
      </c>
      <c r="C45" s="771" t="str">
        <f>IF(ISNA(VLOOKUP(C4,日報表!$A$4:$N$181,11,0)),"",(VLOOKUP(C4,日報表!$A$4:$N$181,11,0)))</f>
        <v/>
      </c>
      <c r="D45" s="771">
        <f>IF(ISNA(VLOOKUP(D4,日報表!$A$4:$N$181,11,0)),"",(VLOOKUP(D4,日報表!$A$4:$N$181,11,0)))</f>
        <v>1</v>
      </c>
      <c r="E45" s="771">
        <f>IF(ISNA(VLOOKUP(E4,日報表!$A$4:$N$181,11,0)),"",(VLOOKUP(E4,日報表!$A$4:$N$181,11,0)))</f>
        <v>0</v>
      </c>
      <c r="F45" s="771">
        <f>IF(ISNA(VLOOKUP(F4,日報表!$A$4:$N$181,11,0)),"",(VLOOKUP(F4,日報表!$A$4:$N$181,11,0)))</f>
        <v>0</v>
      </c>
      <c r="G45" s="771">
        <f>IF(ISNA(VLOOKUP(G4,日報表!$A$4:$N$181,11,0)),"",(VLOOKUP(G4,日報表!$A$4:$N$181,11,0)))</f>
        <v>1</v>
      </c>
      <c r="H45" s="771">
        <f>IF(ISNA(VLOOKUP(H4,日報表!$A$4:$N$181,11,0)),"",(VLOOKUP(H4,日報表!$A$4:$N$181,11,0)))</f>
        <v>0.97446396664681356</v>
      </c>
      <c r="I45" s="771" t="str">
        <f>IF(ISNA(VLOOKUP(I4,日報表!$A$4:$N$181,11,0)),"",(VLOOKUP(I4,日報表!$A$4:$N$181,11,0)))</f>
        <v/>
      </c>
      <c r="J45" s="771">
        <f>IF(ISNA(VLOOKUP(J4,日報表!$A$4:$N$181,11,0)),"",(VLOOKUP(J4,日報表!$A$4:$N$181,11,0)))</f>
        <v>1</v>
      </c>
      <c r="K45" s="771" t="str">
        <f>IF(ISNA(VLOOKUP(K4,日報表!$A$4:$N$181,11,0)),"",(VLOOKUP(K4,日報表!$A$4:$N$181,11,0)))</f>
        <v/>
      </c>
      <c r="L45" s="771">
        <f>IF(ISNA(VLOOKUP(L4,日報表!$A$4:$N$181,11,0)),"",(VLOOKUP(L4,日報表!$A$4:$N$181,11,0)))</f>
        <v>1</v>
      </c>
      <c r="M45" s="771">
        <f>IF(ISNA(VLOOKUP(M4,日報表!$A$4:$N$181,11,0)),"",(VLOOKUP(M4,日報表!$A$4:$N$181,11,0)))</f>
        <v>0.9575060705613484</v>
      </c>
      <c r="N45" s="771">
        <f>IF(ISNA(VLOOKUP(N4,日報表!$A$4:$N$181,11,0)),"",(VLOOKUP(N4,日報表!$A$4:$N$181,11,0)))</f>
        <v>1</v>
      </c>
      <c r="O45" s="771">
        <f>IF(ISNA(VLOOKUP(O4,日報表!$A$4:$N$181,11,0)),"",(VLOOKUP(O4,日報表!$A$4:$N$181,11,0)))</f>
        <v>0.8937561294540699</v>
      </c>
      <c r="P45" s="771">
        <f>IF(ISNA(VLOOKUP(P4,日報表!$A$4:$N$181,11,0)),"",(VLOOKUP(P4,日報表!$A$4:$N$181,11,0)))</f>
        <v>0</v>
      </c>
      <c r="Q45" s="771" t="str">
        <f>IF(ISNA(VLOOKUP(Q4,日報表!$A$4:$N$181,11,0)),"",(VLOOKUP(Q4,日報表!$A$4:$N$181,11,0)))</f>
        <v/>
      </c>
      <c r="R45" s="771">
        <f>IF(ISNA(VLOOKUP(R4,日報表!$A$4:$N$181,11,0)),"",(VLOOKUP(R4,日報表!$A$4:$N$181,11,0)))</f>
        <v>0</v>
      </c>
      <c r="S45" s="771">
        <f>IF(ISNA(VLOOKUP(S4,日報表!$A$4:$N$181,11,0)),"",(VLOOKUP(S4,日報表!$A$4:$N$181,11,0)))</f>
        <v>1</v>
      </c>
      <c r="T45" s="771">
        <f>IF(ISNA(VLOOKUP(T4,日報表!$A$4:$N$181,11,0)),"",(VLOOKUP(T4,日報表!$A$4:$N$181,11,0)))</f>
        <v>1</v>
      </c>
      <c r="U45" s="771" t="str">
        <f>IF(ISNA(VLOOKUP(U4,日報表!$A$4:$N$181,11,0)),"",(VLOOKUP(U4,日報表!$A$4:$N$181,11,0)))</f>
        <v/>
      </c>
      <c r="V45" s="771" t="str">
        <f>IF(ISNA(VLOOKUP(V4,日報表!$A$4:$N$181,11,0)),"",(VLOOKUP(V4,日報表!$A$4:$N$181,11,0)))</f>
        <v/>
      </c>
      <c r="W45" s="771" t="str">
        <f>IF(ISNA(VLOOKUP(W4,日報表!$A$4:$N$181,11,0)),"",(VLOOKUP(W4,日報表!$A$4:$N$181,11,0)))</f>
        <v/>
      </c>
      <c r="X45" s="771" t="str">
        <f>IF(ISNA(VLOOKUP(X4,日報表!$A$4:$N$181,11,0)),"",(VLOOKUP(X4,日報表!$A$4:$N$181,11,0)))</f>
        <v/>
      </c>
      <c r="Y45" s="771">
        <f>IF(ISNA(VLOOKUP(Y4,日報表!$A$4:$N$181,11,0)),"",(VLOOKUP(Y4,日報表!$A$4:$N$181,11,0)))</f>
        <v>0.96364958197019268</v>
      </c>
      <c r="Z45" s="771" t="str">
        <f>IF(ISNA(VLOOKUP(Z4,日報表!$A$4:$N$181,11,0)),"",(VLOOKUP(Z4,日報表!$A$4:$N$181,11,0)))</f>
        <v/>
      </c>
      <c r="AA45" s="771" t="str">
        <f>IF(ISNA(VLOOKUP(AA4,日報表!$A$4:$N$181,11,0)),"",(VLOOKUP(AA4,日報表!$A$4:$N$181,11,0)))</f>
        <v/>
      </c>
      <c r="AB45" s="771" t="str">
        <f>IF(ISNA(VLOOKUP(AB4,日報表!$A$4:$N$181,11,0)),"",(VLOOKUP(AB4,日報表!$A$4:$N$181,11,0)))</f>
        <v/>
      </c>
      <c r="AC45" s="771">
        <f>IF(ISNA(VLOOKUP(AC4,日報表!$A$4:$N$181,11,0)),"",(VLOOKUP(AC4,日報表!$A$4:$N$181,11,0)))</f>
        <v>0.97293871818586652</v>
      </c>
      <c r="AD45" s="771">
        <f>IF(ISNA(VLOOKUP(AD4,日報表!$A$4:$N$181,11,0)),"",(VLOOKUP(AD4,日報表!$A$4:$N$181,11,0)))</f>
        <v>1</v>
      </c>
      <c r="AE45" s="771">
        <f>IF(ISNA(VLOOKUP(AE4,日報表!$A$4:$N$181,11,0)),"",(VLOOKUP(AE4,日報表!$A$4:$N$181,11,0)))</f>
        <v>0.96849371776368054</v>
      </c>
      <c r="AF45" s="771">
        <f>IF(ISNA(VLOOKUP(AF4,日報表!$A$4:$N$181,11,0)),"",(VLOOKUP(AF4,日報表!$A$4:$N$181,11,0)))</f>
        <v>1</v>
      </c>
      <c r="AG45" s="771">
        <f>IF(ISNA(VLOOKUP(AG4,日報表!$A$4:$N$181,11,0)),"",(VLOOKUP(AG4,日報表!$A$4:$N$181,11,0)))</f>
        <v>0.98524382954957423</v>
      </c>
      <c r="AH45" s="771">
        <f>IF(ISNA(VLOOKUP(AH4,日報表!$A$4:$N$181,11,0)),"",(VLOOKUP(AH4,日報表!$A$4:$N$181,11,0)))</f>
        <v>1</v>
      </c>
      <c r="AI45" s="771">
        <f>IF(ISNA(VLOOKUP(AI4,日報表!$A$4:$N$181,11,0)),"",(VLOOKUP(AI4,日報表!$A$4:$N$181,11,0)))</f>
        <v>0.97799781944270681</v>
      </c>
      <c r="AJ45" s="771">
        <f>IF(ISNA(VLOOKUP(AJ4,日報表!$A$4:$N$181,11,0)),"",(VLOOKUP(AJ4,日報表!$A$4:$N$181,11,0)))</f>
        <v>1</v>
      </c>
      <c r="AK45" s="771" t="str">
        <f>IF(ISNA(VLOOKUP(AK4,日報表!$A$4:$N$181,11,0)),"",(VLOOKUP(AK4,日報表!$A$4:$N$181,11,0)))</f>
        <v/>
      </c>
      <c r="AL45" s="771">
        <f>IF(ISNA(VLOOKUP(AL4,日報表!$A$4:$N$181,11,0)),"",(VLOOKUP(AL4,日報表!$A$4:$N$181,11,0)))</f>
        <v>0.98923658437197015</v>
      </c>
      <c r="AM45" s="771">
        <f>IF(ISNA(VLOOKUP(AM4,日報表!$A$4:$N$181,11,0)),"",(VLOOKUP(AM4,日報表!$A$4:$N$181,11,0)))</f>
        <v>0.98809792550500142</v>
      </c>
      <c r="AP45" s="771">
        <f>IF(ISNA(VLOOKUP(AP4,日報表!$A$4:$N$181,11,0)),"",(VLOOKUP(AP4,日報表!$A$4:$N$181,11,0)))</f>
        <v>1</v>
      </c>
      <c r="AQ45" s="771" t="str">
        <f>IF(ISNA(VLOOKUP(AQ4,日報表!$A$4:$N$181,11,0)),"",(VLOOKUP(AQ4,日報表!$A$4:$N$181,11,0)))</f>
        <v/>
      </c>
      <c r="AR45" s="771" t="str">
        <f>IF(ISNA(VLOOKUP(AR4,日報表!$A$4:$N$181,11,0)),"",(VLOOKUP(AR4,日報表!$A$4:$N$181,11,0)))</f>
        <v/>
      </c>
      <c r="AS45" s="771" t="str">
        <f>IF(ISNA(VLOOKUP(AS4,日報表!$A$4:$N$181,11,0)),"",(VLOOKUP(AS4,日報表!$A$4:$N$181,11,0)))</f>
        <v/>
      </c>
      <c r="AT45" s="771" t="str">
        <f>IF(ISNA(VLOOKUP(AT4,日報表!$A$4:$N$181,11,0)),"",(VLOOKUP(AT4,日報表!$A$4:$N$181,11,0)))</f>
        <v/>
      </c>
      <c r="AU45" s="771" t="str">
        <f>IF(ISNA(VLOOKUP(AU4,日報表!$A$4:$N$181,11,0)),"",(VLOOKUP(AU4,日報表!$A$4:$N$181,11,0)))</f>
        <v/>
      </c>
      <c r="AV45" s="771" t="str">
        <f>IF(ISNA(VLOOKUP(AV4,日報表!$A$4:$N$181,11,0)),"",(VLOOKUP(AV4,日報表!$A$4:$N$181,11,0)))</f>
        <v/>
      </c>
      <c r="AW45" s="771" t="str">
        <f>IF(ISNA(VLOOKUP(AW4,日報表!$A$4:$N$181,11,0)),"",(VLOOKUP(AW4,日報表!$A$4:$N$181,11,0)))</f>
        <v/>
      </c>
      <c r="AX45" s="771" t="str">
        <f>IF(ISNA(VLOOKUP(AX4,日報表!$A$4:$N$181,11,0)),"",(VLOOKUP(AX4,日報表!$A$4:$N$181,11,0)))</f>
        <v/>
      </c>
      <c r="AY45" s="771" t="str">
        <f>IF(ISNA(VLOOKUP(AY4,日報表!$A$4:$N$181,11,0)),"",(VLOOKUP(AY4,日報表!$A$4:$N$181,11,0)))</f>
        <v/>
      </c>
      <c r="AZ45" s="771" t="str">
        <f>IF(ISNA(VLOOKUP(AZ4,日報表!$A$4:$N$181,11,0)),"",(VLOOKUP(AZ4,日報表!$A$4:$N$181,11,0)))</f>
        <v/>
      </c>
      <c r="BA45" s="771" t="str">
        <f>IF(ISNA(VLOOKUP(BA4,日報表!$A$4:$N$181,11,0)),"",(VLOOKUP(BA4,日報表!$A$4:$N$181,11,0)))</f>
        <v/>
      </c>
      <c r="BB45" s="771" t="str">
        <f>IF(ISNA(VLOOKUP(BB4,日報表!$A$4:$N$181,11,0)),"",(VLOOKUP(BB4,日報表!$A$4:$N$181,11,0)))</f>
        <v/>
      </c>
      <c r="BC45" s="771" t="str">
        <f>IF(ISNA(VLOOKUP(BC4,日報表!$A$4:$N$181,11,0)),"",(VLOOKUP(BC4,日報表!$A$4:$N$181,11,0)))</f>
        <v/>
      </c>
    </row>
    <row r="46" spans="1:98" s="352" customFormat="1" ht="20.25" customHeight="1">
      <c r="A46" s="352" t="s">
        <v>594</v>
      </c>
      <c r="B46" s="771" t="str">
        <f>IF(ISNA(VLOOKUP(B4,日報表!$A$4:$N$181,14,0)),"",(VLOOKUP(B4,日報表!$A$4:$N$181,14,0)))</f>
        <v/>
      </c>
      <c r="C46" s="771" t="str">
        <f>IF(ISNA(VLOOKUP(C4,日報表!$A$4:$N$181,14,0)),"",(VLOOKUP(C4,日報表!$A$4:$N$181,14,0)))</f>
        <v/>
      </c>
      <c r="D46" s="771">
        <f>IF(ISNA(VLOOKUP(D4,日報表!$A$4:$N$181,14,0)),"",(VLOOKUP(D4,日報表!$A$4:$N$181,14,0)))</f>
        <v>0.92150170648464169</v>
      </c>
      <c r="E46" s="771">
        <f>IF(ISNA(VLOOKUP(E4,日報表!$A$4:$N$181,14,0)),"",(VLOOKUP(E4,日報表!$A$4:$N$181,14,0)))</f>
        <v>0</v>
      </c>
      <c r="F46" s="771">
        <f>IF(ISNA(VLOOKUP(F4,日報表!$A$4:$N$181,14,0)),"",(VLOOKUP(F4,日報表!$A$4:$N$181,14,0)))</f>
        <v>0</v>
      </c>
      <c r="G46" s="771">
        <f>IF(ISNA(VLOOKUP(G4,日報表!$A$4:$N$181,14,0)),"",(VLOOKUP(G4,日報表!$A$4:$N$181,14,0)))</f>
        <v>0.94067167258024587</v>
      </c>
      <c r="H46" s="771">
        <f>IF(ISNA(VLOOKUP(H4,日報表!$A$4:$N$181,14,0)),"",(VLOOKUP(H4,日報表!$A$4:$N$181,14,0)))</f>
        <v>0.92354079809410361</v>
      </c>
      <c r="I46" s="771" t="str">
        <f>IF(ISNA(VLOOKUP(I4,日報表!$A$4:$N$181,14,0)),"",(VLOOKUP(I4,日報表!$A$4:$N$181,14,0)))</f>
        <v/>
      </c>
      <c r="J46" s="771">
        <f>IF(ISNA(VLOOKUP(J4,日報表!$A$4:$N$181,14,0)),"",(VLOOKUP(J4,日報表!$A$4:$N$181,14,0)))</f>
        <v>0.91076510966013724</v>
      </c>
      <c r="K46" s="771" t="str">
        <f>IF(ISNA(VLOOKUP(K4,日報表!$A$4:$N$181,14,0)),"",(VLOOKUP(K4,日報表!$A$4:$N$181,14,0)))</f>
        <v/>
      </c>
      <c r="L46" s="771">
        <f>IF(ISNA(VLOOKUP(L4,日報表!$A$4:$N$181,14,0)),"",(VLOOKUP(L4,日報表!$A$4:$N$181,14,0)))</f>
        <v>1</v>
      </c>
      <c r="M46" s="771">
        <f>IF(ISNA(VLOOKUP(M4,日報表!$A$4:$N$181,14,0)),"",(VLOOKUP(M4,日報表!$A$4:$N$181,14,0)))</f>
        <v>0.8655906299100129</v>
      </c>
      <c r="N46" s="771">
        <f>IF(ISNA(VLOOKUP(N4,日報表!$A$4:$N$181,14,0)),"",(VLOOKUP(N4,日報表!$A$4:$N$181,14,0)))</f>
        <v>1</v>
      </c>
      <c r="O46" s="771">
        <f>IF(ISNA(VLOOKUP(O4,日報表!$A$4:$N$181,14,0)),"",(VLOOKUP(O4,日報表!$A$4:$N$181,14,0)))</f>
        <v>0.65707747629944424</v>
      </c>
      <c r="P46" s="771">
        <f>IF(ISNA(VLOOKUP(P4,日報表!$A$4:$N$181,14,0)),"",(VLOOKUP(P4,日報表!$A$4:$N$181,14,0)))</f>
        <v>0</v>
      </c>
      <c r="Q46" s="771" t="str">
        <f>IF(ISNA(VLOOKUP(Q4,日報表!$A$4:$N$181,14,0)),"",(VLOOKUP(Q4,日報表!$A$4:$N$181,14,0)))</f>
        <v/>
      </c>
      <c r="R46" s="771">
        <f>IF(ISNA(VLOOKUP(R4,日報表!$A$4:$N$181,14,0)),"",(VLOOKUP(R4,日報表!$A$4:$N$181,14,0)))</f>
        <v>0</v>
      </c>
      <c r="S46" s="771">
        <f>IF(ISNA(VLOOKUP(S4,日報表!$A$4:$N$181,14,0)),"",(VLOOKUP(S4,日報表!$A$4:$N$181,14,0)))</f>
        <v>0.92575894198978059</v>
      </c>
      <c r="T46" s="771">
        <f>IF(ISNA(VLOOKUP(T4,日報表!$A$4:$N$181,14,0)),"",(VLOOKUP(T4,日報表!$A$4:$N$181,14,0)))</f>
        <v>1</v>
      </c>
      <c r="U46" s="771" t="str">
        <f>IF(ISNA(VLOOKUP(U4,日報表!$A$4:$N$181,14,0)),"",(VLOOKUP(U4,日報表!$A$4:$N$181,14,0)))</f>
        <v/>
      </c>
      <c r="V46" s="771" t="str">
        <f>IF(ISNA(VLOOKUP(V4,日報表!$A$4:$N$181,14,0)),"",(VLOOKUP(V4,日報表!$A$4:$N$181,14,0)))</f>
        <v/>
      </c>
      <c r="W46" s="771" t="str">
        <f>IF(ISNA(VLOOKUP(W4,日報表!$A$4:$N$181,14,0)),"",(VLOOKUP(W4,日報表!$A$4:$N$181,14,0)))</f>
        <v/>
      </c>
      <c r="X46" s="771" t="str">
        <f>IF(ISNA(VLOOKUP(X4,日報表!$A$4:$N$181,14,0)),"",(VLOOKUP(X4,日報表!$A$4:$N$181,14,0)))</f>
        <v/>
      </c>
      <c r="Y46" s="771">
        <f>IF(ISNA(VLOOKUP(Y4,日報表!$A$4:$N$181,14,0)),"",(VLOOKUP(Y4,日報表!$A$4:$N$181,14,0)))</f>
        <v>0.88583172552638201</v>
      </c>
      <c r="Z46" s="771" t="str">
        <f>IF(ISNA(VLOOKUP(Z4,日報表!$A$4:$N$181,14,0)),"",(VLOOKUP(Z4,日報表!$A$4:$N$181,14,0)))</f>
        <v/>
      </c>
      <c r="AA46" s="771" t="str">
        <f>IF(ISNA(VLOOKUP(AA4,日報表!$A$4:$N$181,14,0)),"",(VLOOKUP(AA4,日報表!$A$4:$N$181,14,0)))</f>
        <v/>
      </c>
      <c r="AB46" s="771" t="str">
        <f>IF(ISNA(VLOOKUP(AB4,日報表!$A$4:$N$181,14,0)),"",(VLOOKUP(AB4,日報表!$A$4:$N$181,14,0)))</f>
        <v/>
      </c>
      <c r="AC46" s="771">
        <f>IF(ISNA(VLOOKUP(AC4,日報表!$A$4:$N$181,14,0)),"",(VLOOKUP(AC4,日報表!$A$4:$N$181,14,0)))</f>
        <v>0.9212824992292673</v>
      </c>
      <c r="AD46" s="771">
        <f>IF(ISNA(VLOOKUP(AD4,日報表!$A$4:$N$181,14,0)),"",(VLOOKUP(AD4,日報表!$A$4:$N$181,14,0)))</f>
        <v>1</v>
      </c>
      <c r="AE46" s="771">
        <f>IF(ISNA(VLOOKUP(AE4,日報表!$A$4:$N$181,14,0)),"",(VLOOKUP(AE4,日報表!$A$4:$N$181,14,0)))</f>
        <v>0.85916154801463429</v>
      </c>
      <c r="AF46" s="771">
        <f>IF(ISNA(VLOOKUP(AF4,日報表!$A$4:$N$181,14,0)),"",(VLOOKUP(AF4,日報表!$A$4:$N$181,14,0)))</f>
        <v>0.96204991816693941</v>
      </c>
      <c r="AG46" s="771">
        <f>IF(ISNA(VLOOKUP(AG4,日報表!$A$4:$N$181,14,0)),"",(VLOOKUP(AG4,日報表!$A$4:$N$181,14,0)))</f>
        <v>0.94254303883048041</v>
      </c>
      <c r="AH46" s="771">
        <f>IF(ISNA(VLOOKUP(AH4,日報表!$A$4:$N$181,14,0)),"",(VLOOKUP(AH4,日報表!$A$4:$N$181,14,0)))</f>
        <v>0.9572153734590283</v>
      </c>
      <c r="AI46" s="771">
        <f>IF(ISNA(VLOOKUP(AI4,日報表!$A$4:$N$181,14,0)),"",(VLOOKUP(AI4,日報表!$A$4:$N$181,14,0)))</f>
        <v>0.93663872455271768</v>
      </c>
      <c r="AJ46" s="771">
        <f>IF(ISNA(VLOOKUP(AJ4,日報表!$A$4:$N$181,14,0)),"",(VLOOKUP(AJ4,日報表!$A$4:$N$181,14,0)))</f>
        <v>1</v>
      </c>
      <c r="AK46" s="771" t="str">
        <f>IF(ISNA(VLOOKUP(AK4,日報表!$A$4:$N$181,14,0)),"",(VLOOKUP(AK4,日報表!$A$4:$N$181,14,0)))</f>
        <v/>
      </c>
      <c r="AL46" s="771">
        <f>IF(ISNA(VLOOKUP(AL4,日報表!$A$4:$N$181,14,0)),"",(VLOOKUP(AL4,日報表!$A$4:$N$181,14,0)))</f>
        <v>0.95753649865808588</v>
      </c>
      <c r="AM46" s="771">
        <f>IF(ISNA(VLOOKUP(AM4,日報表!$A$4:$N$181,14,0)),"",(VLOOKUP(AM4,日報表!$A$4:$N$181,14,0)))</f>
        <v>0.95944420659323548</v>
      </c>
      <c r="AP46" s="771">
        <f>IF(ISNA(VLOOKUP(AP4,日報表!$A$4:$N$181,14,0)),"",(VLOOKUP(AP4,日報表!$A$4:$N$181,14,0)))</f>
        <v>1</v>
      </c>
      <c r="AQ46" s="771" t="str">
        <f>IF(ISNA(VLOOKUP(AQ4,日報表!$A$4:$N$181,14,0)),"",(VLOOKUP(AQ4,日報表!$A$4:$N$181,14,0)))</f>
        <v/>
      </c>
      <c r="AR46" s="771" t="str">
        <f>IF(ISNA(VLOOKUP(AR4,日報表!$A$4:$N$181,14,0)),"",(VLOOKUP(AR4,日報表!$A$4:$N$181,14,0)))</f>
        <v/>
      </c>
      <c r="AS46" s="771" t="str">
        <f>IF(ISNA(VLOOKUP(AS4,日報表!$A$4:$N$181,14,0)),"",(VLOOKUP(AS4,日報表!$A$4:$N$181,14,0)))</f>
        <v/>
      </c>
      <c r="AT46" s="771" t="str">
        <f>IF(ISNA(VLOOKUP(AT4,日報表!$A$4:$N$181,14,0)),"",(VLOOKUP(AT4,日報表!$A$4:$N$181,14,0)))</f>
        <v/>
      </c>
      <c r="AU46" s="771" t="str">
        <f>IF(ISNA(VLOOKUP(AU4,日報表!$A$4:$N$181,14,0)),"",(VLOOKUP(AU4,日報表!$A$4:$N$181,14,0)))</f>
        <v/>
      </c>
      <c r="AV46" s="771" t="str">
        <f>IF(ISNA(VLOOKUP(AV4,日報表!$A$4:$N$181,14,0)),"",(VLOOKUP(AV4,日報表!$A$4:$N$181,14,0)))</f>
        <v/>
      </c>
      <c r="AW46" s="771" t="str">
        <f>IF(ISNA(VLOOKUP(AW4,日報表!$A$4:$N$181,14,0)),"",(VLOOKUP(AW4,日報表!$A$4:$N$181,14,0)))</f>
        <v/>
      </c>
      <c r="AX46" s="771" t="str">
        <f>IF(ISNA(VLOOKUP(AX4,日報表!$A$4:$N$181,14,0)),"",(VLOOKUP(AX4,日報表!$A$4:$N$181,14,0)))</f>
        <v/>
      </c>
      <c r="AY46" s="771" t="str">
        <f>IF(ISNA(VLOOKUP(AY4,日報表!$A$4:$N$181,14,0)),"",(VLOOKUP(AY4,日報表!$A$4:$N$181,14,0)))</f>
        <v/>
      </c>
      <c r="AZ46" s="771" t="str">
        <f>IF(ISNA(VLOOKUP(AZ4,日報表!$A$4:$N$181,14,0)),"",(VLOOKUP(AZ4,日報表!$A$4:$N$181,14,0)))</f>
        <v/>
      </c>
      <c r="BA46" s="771" t="str">
        <f>IF(ISNA(VLOOKUP(BA4,日報表!$A$4:$N$181,14,0)),"",(VLOOKUP(BA4,日報表!$A$4:$N$181,14,0)))</f>
        <v/>
      </c>
      <c r="BB46" s="771" t="str">
        <f>IF(ISNA(VLOOKUP(BB4,日報表!$A$4:$N$181,14,0)),"",(VLOOKUP(BB4,日報表!$A$4:$N$181,14,0)))</f>
        <v/>
      </c>
      <c r="BC46" s="771" t="str">
        <f>IF(ISNA(VLOOKUP(BC4,日報表!$A$4:$N$181,14,0)),"",(VLOOKUP(BC4,日報表!$A$4:$N$181,14,0)))</f>
        <v/>
      </c>
    </row>
    <row r="47" spans="1:98" s="352" customFormat="1" ht="17.25" customHeight="1">
      <c r="A47" s="772" t="s">
        <v>606</v>
      </c>
      <c r="B47" s="352" t="str">
        <f>IF(ISNA(VLOOKUP(B4,日報表!$A$4:$N$181,7,0)),"",(VLOOKUP(B4,日報表!$A$4:$N$181,7,0)))</f>
        <v/>
      </c>
      <c r="C47" s="352" t="str">
        <f>IF(ISNA(VLOOKUP(C4,日報表!$A$4:$N$181,7,0)),"",(VLOOKUP(C4,日報表!$A$4:$N$181,7,0)))</f>
        <v/>
      </c>
      <c r="D47" s="352">
        <f>IF(ISNA(VLOOKUP(D4,日報表!$A$4:$N$181,7,0)),"",(VLOOKUP(D4,日報表!$A$4:$N$181,7,0)))</f>
        <v>15236</v>
      </c>
      <c r="E47" s="352">
        <f>IF(ISNA(VLOOKUP(E4,日報表!$A$4:$N$181,7,0)),"",(VLOOKUP(E4,日報表!$A$4:$N$181,7,0)))</f>
        <v>0</v>
      </c>
      <c r="F47" s="352">
        <f>IF(ISNA(VLOOKUP(F4,日報表!$A$4:$N$181,7,0)),"",(VLOOKUP(F4,日報表!$A$4:$N$181,7,0)))</f>
        <v>0</v>
      </c>
      <c r="G47" s="352">
        <f>IF(ISNA(VLOOKUP(G4,日報表!$A$4:$N$181,7,0)),"",(VLOOKUP(G4,日報表!$A$4:$N$181,7,0)))</f>
        <v>12119</v>
      </c>
      <c r="H47" s="352">
        <f>IF(ISNA(VLOOKUP(H4,日報表!$A$4:$N$181,7,0)),"",(VLOOKUP(H4,日報表!$A$4:$N$181,7,0)))</f>
        <v>26864</v>
      </c>
      <c r="I47" s="352" t="str">
        <f>IF(ISNA(VLOOKUP(I4,日報表!$A$4:$N$181,7,0)),"",(VLOOKUP(I4,日報表!$A$4:$N$181,7,0)))</f>
        <v/>
      </c>
      <c r="J47" s="352">
        <f>IF(ISNA(VLOOKUP(J4,日報表!$A$4:$N$181,7,0)),"",(VLOOKUP(J4,日報表!$A$4:$N$181,7,0)))</f>
        <v>11946</v>
      </c>
      <c r="K47" s="352" t="str">
        <f>IF(ISNA(VLOOKUP(K4,日報表!$A$4:$N$181,7,0)),"",(VLOOKUP(K4,日報表!$A$4:$N$181,7,0)))</f>
        <v/>
      </c>
      <c r="L47" s="352">
        <f>IF(ISNA(VLOOKUP(L4,日報表!$A$4:$N$181,7,0)),"",(VLOOKUP(L4,日報表!$A$4:$N$181,7,0)))</f>
        <v>5400</v>
      </c>
      <c r="M47" s="352">
        <f>IF(ISNA(VLOOKUP(M4,日報表!$A$4:$N$181,7,0)),"",(VLOOKUP(M4,日報表!$A$4:$N$181,7,0)))</f>
        <v>14002</v>
      </c>
      <c r="N47" s="352">
        <f>IF(ISNA(VLOOKUP(N4,日報表!$A$4:$N$181,7,0)),"",(VLOOKUP(N4,日報表!$A$4:$N$181,7,0)))</f>
        <v>3750</v>
      </c>
      <c r="O47" s="352">
        <f>IF(ISNA(VLOOKUP(O4,日報表!$A$4:$N$181,7,0)),"",(VLOOKUP(O4,日報表!$A$4:$N$181,7,0)))</f>
        <v>3059</v>
      </c>
      <c r="P47" s="352">
        <f>IF(ISNA(VLOOKUP(P4,日報表!$A$4:$N$181,7,0)),"",(VLOOKUP(P4,日報表!$A$4:$N$181,7,0)))</f>
        <v>0</v>
      </c>
      <c r="Q47" s="352" t="str">
        <f>IF(ISNA(VLOOKUP(Q4,日報表!$A$4:$N$181,7,0)),"",(VLOOKUP(Q4,日報表!$A$4:$N$181,7,0)))</f>
        <v/>
      </c>
      <c r="R47" s="352">
        <f>IF(ISNA(VLOOKUP(R4,日報表!$A$4:$N$181,7,0)),"",(VLOOKUP(R4,日報表!$A$4:$N$181,7,0)))</f>
        <v>0</v>
      </c>
      <c r="S47" s="352">
        <f>IF(ISNA(VLOOKUP(S4,日報表!$A$4:$N$181,7,0)),"",(VLOOKUP(S4,日報表!$A$4:$N$181,7,0)))</f>
        <v>29943</v>
      </c>
      <c r="T47" s="352">
        <f>IF(ISNA(VLOOKUP(T4,日報表!$A$4:$N$181,7,0)),"",(VLOOKUP(T4,日報表!$A$4:$N$181,7,0)))</f>
        <v>7950</v>
      </c>
      <c r="U47" s="352" t="str">
        <f>IF(ISNA(VLOOKUP(U4,日報表!$A$4:$N$181,7,0)),"",(VLOOKUP(U4,日報表!$A$4:$N$181,7,0)))</f>
        <v/>
      </c>
      <c r="V47" s="352" t="str">
        <f>IF(ISNA(VLOOKUP(V4,日報表!$A$4:$N$181,7,0)),"",(VLOOKUP(V4,日報表!$A$4:$N$181,7,0)))</f>
        <v/>
      </c>
      <c r="W47" s="352" t="str">
        <f>IF(ISNA(VLOOKUP(W4,日報表!$A$4:$N$181,7,0)),"",(VLOOKUP(W4,日報表!$A$4:$N$181,7,0)))</f>
        <v/>
      </c>
      <c r="X47" s="352" t="str">
        <f>IF(ISNA(VLOOKUP(X4,日報表!$A$4:$N$181,7,0)),"",(VLOOKUP(X4,日報表!$A$4:$N$181,7,0)))</f>
        <v/>
      </c>
      <c r="Y47" s="352">
        <f>IF(ISNA(VLOOKUP(Y4,日報表!$A$4:$N$181,7,0)),"",(VLOOKUP(Y4,日報表!$A$4:$N$181,7,0)))</f>
        <v>35763</v>
      </c>
      <c r="Z47" s="352" t="str">
        <f>IF(ISNA(VLOOKUP(Z4,日報表!$A$4:$N$181,7,0)),"",(VLOOKUP(Z4,日報表!$A$4:$N$181,7,0)))</f>
        <v/>
      </c>
      <c r="AA47" s="352" t="str">
        <f>IF(ISNA(VLOOKUP(AA4,日報表!$A$4:$N$181,7,0)),"",(VLOOKUP(AA4,日報表!$A$4:$N$181,7,0)))</f>
        <v/>
      </c>
      <c r="AB47" s="352" t="str">
        <f>IF(ISNA(VLOOKUP(AB4,日報表!$A$4:$N$181,7,0)),"",(VLOOKUP(AB4,日報表!$A$4:$N$181,7,0)))</f>
        <v/>
      </c>
      <c r="AC47" s="352">
        <f>IF(ISNA(VLOOKUP(AC4,日報表!$A$4:$N$181,7,0)),"",(VLOOKUP(AC4,日報表!$A$4:$N$181,7,0)))</f>
        <v>87579</v>
      </c>
      <c r="AD47" s="352">
        <f>IF(ISNA(VLOOKUP(AD4,日報表!$A$4:$N$181,7,0)),"",(VLOOKUP(AD4,日報表!$A$4:$N$181,7,0)))</f>
        <v>6930</v>
      </c>
      <c r="AE47" s="352">
        <f>IF(ISNA(VLOOKUP(AE4,日報表!$A$4:$N$181,7,0)),"",(VLOOKUP(AE4,日報表!$A$4:$N$181,7,0)))</f>
        <v>89379</v>
      </c>
      <c r="AF47" s="352">
        <f>IF(ISNA(VLOOKUP(AF4,日報表!$A$4:$N$181,7,0)),"",(VLOOKUP(AF4,日報表!$A$4:$N$181,7,0)))</f>
        <v>19552</v>
      </c>
      <c r="AG47" s="352">
        <f>IF(ISNA(VLOOKUP(AG4,日報表!$A$4:$N$181,7,0)),"",(VLOOKUP(AG4,日報表!$A$4:$N$181,7,0)))</f>
        <v>102059</v>
      </c>
      <c r="AH47" s="352">
        <f>IF(ISNA(VLOOKUP(AH4,日報表!$A$4:$N$181,7,0)),"",(VLOOKUP(AH4,日報表!$A$4:$N$181,7,0)))</f>
        <v>28959</v>
      </c>
      <c r="AI47" s="352">
        <f>IF(ISNA(VLOOKUP(AI4,日報表!$A$4:$N$181,7,0)),"",(VLOOKUP(AI4,日報表!$A$4:$N$181,7,0)))</f>
        <v>55949</v>
      </c>
      <c r="AJ47" s="352">
        <f>IF(ISNA(VLOOKUP(AJ4,日報表!$A$4:$N$181,7,0)),"",(VLOOKUP(AJ4,日報表!$A$4:$N$181,7,0)))</f>
        <v>2475</v>
      </c>
      <c r="AK47" s="352" t="str">
        <f>IF(ISNA(VLOOKUP(AK4,日報表!$A$4:$N$181,7,0)),"",(VLOOKUP(AK4,日報表!$A$4:$N$181,7,0)))</f>
        <v/>
      </c>
      <c r="AL47" s="352">
        <f>IF(ISNA(VLOOKUP(AL4,日報表!$A$4:$N$181,7,0)),"",(VLOOKUP(AL4,日報表!$A$4:$N$181,7,0)))</f>
        <v>71167</v>
      </c>
      <c r="AM47" s="352">
        <f>IF(ISNA(VLOOKUP(AM4,日報表!$A$4:$N$181,7,0)),"",(VLOOKUP(AM4,日報表!$A$4:$N$181,7,0)))</f>
        <v>128465</v>
      </c>
      <c r="AP47" s="352">
        <f>IF(ISNA(VLOOKUP(AP4,日報表!$A$4:$N$181,7,0)),"",(VLOOKUP(AP4,日報表!$A$4:$N$181,7,0)))</f>
        <v>1680</v>
      </c>
      <c r="AQ47" s="352" t="str">
        <f>IF(ISNA(VLOOKUP(AQ4,日報表!$A$4:$N$181,7,0)),"",(VLOOKUP(AQ4,日報表!$A$4:$N$181,7,0)))</f>
        <v/>
      </c>
      <c r="AR47" s="352" t="str">
        <f>IF(ISNA(VLOOKUP(AR4,日報表!$A$4:$N$181,7,0)),"",(VLOOKUP(AR4,日報表!$A$4:$N$181,7,0)))</f>
        <v/>
      </c>
      <c r="AS47" s="352" t="str">
        <f>IF(ISNA(VLOOKUP(AS4,日報表!$A$4:$N$181,7,0)),"",(VLOOKUP(AS4,日報表!$A$4:$N$181,7,0)))</f>
        <v/>
      </c>
      <c r="AT47" s="352" t="str">
        <f>IF(ISNA(VLOOKUP(AT4,日報表!$A$4:$N$181,7,0)),"",(VLOOKUP(AT4,日報表!$A$4:$N$181,7,0)))</f>
        <v/>
      </c>
      <c r="AU47" s="352" t="str">
        <f>IF(ISNA(VLOOKUP(AU4,日報表!$A$4:$N$181,7,0)),"",(VLOOKUP(AU4,日報表!$A$4:$N$181,7,0)))</f>
        <v/>
      </c>
      <c r="AV47" s="352" t="str">
        <f>IF(ISNA(VLOOKUP(AV4,日報表!$A$4:$N$181,7,0)),"",(VLOOKUP(AV4,日報表!$A$4:$N$181,7,0)))</f>
        <v/>
      </c>
      <c r="AW47" s="352" t="str">
        <f>IF(ISNA(VLOOKUP(AW4,日報表!$A$4:$N$181,7,0)),"",(VLOOKUP(AW4,日報表!$A$4:$N$181,7,0)))</f>
        <v/>
      </c>
      <c r="AX47" s="352" t="str">
        <f>IF(ISNA(VLOOKUP(AX4,日報表!$A$4:$N$181,7,0)),"",(VLOOKUP(AX4,日報表!$A$4:$N$181,7,0)))</f>
        <v/>
      </c>
      <c r="AY47" s="352" t="str">
        <f>IF(ISNA(VLOOKUP(AY4,日報表!$A$4:$N$181,7,0)),"",(VLOOKUP(AY4,日報表!$A$4:$N$181,7,0)))</f>
        <v/>
      </c>
      <c r="AZ47" s="352" t="str">
        <f>IF(ISNA(VLOOKUP(AZ4,日報表!$A$4:$N$181,7,0)),"",(VLOOKUP(AZ4,日報表!$A$4:$N$181,7,0)))</f>
        <v/>
      </c>
      <c r="BA47" s="352" t="str">
        <f>IF(ISNA(VLOOKUP(BA4,日報表!$A$4:$N$181,7,0)),"",(VLOOKUP(BA4,日報表!$A$4:$N$181,7,0)))</f>
        <v/>
      </c>
      <c r="BB47" s="352" t="str">
        <f>IF(ISNA(VLOOKUP(BB4,日報表!$A$4:$N$181,7,0)),"",(VLOOKUP(BB4,日報表!$A$4:$N$181,7,0)))</f>
        <v/>
      </c>
      <c r="BC47" s="352" t="str">
        <f>IF(ISNA(VLOOKUP(BC4,日報表!$A$4:$N$181,7,0)),"",(VLOOKUP(BC4,日報表!$A$4:$N$181,7,0)))</f>
        <v/>
      </c>
    </row>
    <row r="48" spans="1:98" ht="17.25" customHeight="1"/>
    <row r="49" spans="1:55" ht="17.25" customHeight="1"/>
    <row r="51" spans="1:55" s="814" customFormat="1" ht="14.25" customHeight="1"/>
    <row r="52" spans="1:55" ht="14.25" customHeight="1">
      <c r="A52" s="809" t="s">
        <v>486</v>
      </c>
      <c r="B52" s="328" t="str">
        <f t="shared" ref="B52" si="102">B3</f>
        <v>A07</v>
      </c>
      <c r="C52" s="328" t="str">
        <f t="shared" ref="C52" si="103">C3</f>
        <v>A08</v>
      </c>
      <c r="D52" s="328" t="str">
        <f t="shared" ref="D52" si="104">D3</f>
        <v>A09</v>
      </c>
      <c r="E52" s="328" t="str">
        <f t="shared" ref="E52:F52" si="105">E3</f>
        <v>A10(A)</v>
      </c>
      <c r="F52" s="328" t="str">
        <f t="shared" si="105"/>
        <v>A10(B)</v>
      </c>
      <c r="G52" s="328" t="str">
        <f t="shared" ref="G52" si="106">G3</f>
        <v>A11</v>
      </c>
      <c r="H52" s="328" t="str">
        <f t="shared" ref="H52" si="107">H3</f>
        <v>A12</v>
      </c>
      <c r="I52" s="328" t="str">
        <f t="shared" ref="I52" si="108">I3</f>
        <v>A13</v>
      </c>
      <c r="J52" s="328" t="str">
        <f t="shared" ref="J52" si="109">J3</f>
        <v>A14</v>
      </c>
      <c r="K52" s="328" t="str">
        <f t="shared" ref="K52" si="110">K3</f>
        <v>A15</v>
      </c>
      <c r="L52" s="328" t="str">
        <f t="shared" ref="L52" si="111">L3</f>
        <v>A16(A)</v>
      </c>
      <c r="M52" s="328" t="str">
        <f t="shared" ref="M52:N54" si="112">M3</f>
        <v>A17(A)</v>
      </c>
      <c r="N52" s="328" t="str">
        <f t="shared" si="112"/>
        <v>A17(B)</v>
      </c>
      <c r="O52" s="328" t="str">
        <f t="shared" ref="O52" si="113">O3</f>
        <v>A18</v>
      </c>
      <c r="P52" s="328" t="str">
        <f t="shared" ref="P52:P54" si="114">P3</f>
        <v>A19</v>
      </c>
      <c r="Q52" s="328" t="str">
        <f t="shared" ref="Q52" si="115">Q3</f>
        <v>A20</v>
      </c>
      <c r="R52" s="328" t="str">
        <f t="shared" ref="R52:R54" si="116">R3</f>
        <v>A21</v>
      </c>
      <c r="S52" s="328" t="str">
        <f t="shared" ref="S52:T52" si="117">S3</f>
        <v>A22</v>
      </c>
      <c r="T52" s="328" t="str">
        <f t="shared" si="117"/>
        <v>A23</v>
      </c>
      <c r="U52" s="328" t="str">
        <f t="shared" ref="U52" si="118">U3</f>
        <v>A24</v>
      </c>
      <c r="X52" s="328" t="str">
        <f t="shared" ref="X52:Z54" si="119">X3</f>
        <v>J07</v>
      </c>
      <c r="Y52" s="328" t="str">
        <f t="shared" ref="Y52" si="120">Y3</f>
        <v>J08</v>
      </c>
      <c r="Z52" s="328" t="str">
        <f t="shared" si="119"/>
        <v>J09</v>
      </c>
      <c r="AC52" s="328" t="str">
        <f>AC3</f>
        <v>T01</v>
      </c>
      <c r="AD52" s="328" t="str">
        <f t="shared" ref="AD52" si="121">AD3</f>
        <v>T01</v>
      </c>
      <c r="AE52" s="328" t="str">
        <f t="shared" ref="AE52:AF52" si="122">AE3</f>
        <v>T02</v>
      </c>
      <c r="AF52" s="328" t="str">
        <f t="shared" si="122"/>
        <v>T02</v>
      </c>
      <c r="AG52" s="328" t="str">
        <f t="shared" ref="AG52" si="123">AG3</f>
        <v>T03</v>
      </c>
      <c r="AH52" s="328" t="str">
        <f t="shared" ref="AH52:AI52" si="124">AH3</f>
        <v>T04(L)</v>
      </c>
      <c r="AI52" s="328" t="str">
        <f t="shared" si="124"/>
        <v>T04(R)</v>
      </c>
      <c r="AJ52" s="328" t="str">
        <f t="shared" ref="AJ52" si="125">AJ3</f>
        <v>T04(R)</v>
      </c>
      <c r="AK52" s="328" t="str">
        <f t="shared" ref="AK52:AL54" si="126">AK3</f>
        <v>T05</v>
      </c>
      <c r="AL52" s="328" t="str">
        <f t="shared" si="126"/>
        <v>T05</v>
      </c>
      <c r="AM52" s="328" t="str">
        <f t="shared" ref="AM52" si="127">AM3</f>
        <v>T06</v>
      </c>
      <c r="AP52" s="328" t="str">
        <f t="shared" ref="AP52:AQ54" si="128">AP3</f>
        <v>S01-1~9</v>
      </c>
      <c r="AQ52" s="328" t="str">
        <f t="shared" si="128"/>
        <v>S02-1~5</v>
      </c>
      <c r="AT52" s="328" t="str">
        <f t="shared" ref="AT52:BC52" si="129">AT3</f>
        <v>M01</v>
      </c>
      <c r="AU52" s="328" t="str">
        <f t="shared" si="129"/>
        <v>M02</v>
      </c>
      <c r="AV52" s="328" t="str">
        <f t="shared" si="129"/>
        <v>M03</v>
      </c>
      <c r="AW52" s="328" t="str">
        <f t="shared" si="129"/>
        <v>M04</v>
      </c>
      <c r="AX52" s="328" t="str">
        <f t="shared" si="129"/>
        <v>M05</v>
      </c>
      <c r="AY52" s="328" t="str">
        <f t="shared" si="129"/>
        <v>M06</v>
      </c>
      <c r="AZ52" s="328" t="str">
        <f t="shared" si="129"/>
        <v>M07</v>
      </c>
      <c r="BA52" s="328" t="str">
        <f t="shared" si="129"/>
        <v>M08</v>
      </c>
      <c r="BB52" s="328">
        <f t="shared" si="129"/>
        <v>0</v>
      </c>
      <c r="BC52" s="328">
        <f t="shared" si="129"/>
        <v>0</v>
      </c>
    </row>
    <row r="53" spans="1:55" ht="14.25" customHeight="1">
      <c r="A53" s="809" t="s">
        <v>487</v>
      </c>
      <c r="B53" s="328" t="str">
        <f t="shared" ref="B53" si="130">B4</f>
        <v>產銷停機</v>
      </c>
      <c r="C53" s="328" t="str">
        <f t="shared" ref="C53" si="131">C4</f>
        <v>產銷停機</v>
      </c>
      <c r="D53" s="328" t="str">
        <f t="shared" ref="D53" si="132">D4</f>
        <v>2F43U3</v>
      </c>
      <c r="E53" s="328" t="str">
        <f t="shared" ref="E53:F53" si="133">E4</f>
        <v>2F43V1</v>
      </c>
      <c r="F53" s="328" t="str">
        <f t="shared" si="133"/>
        <v>2F6IZ3</v>
      </c>
      <c r="G53" s="328" t="str">
        <f t="shared" ref="G53" si="134">G4</f>
        <v>2FA102</v>
      </c>
      <c r="H53" s="328" t="str">
        <f t="shared" ref="H53" si="135">H4</f>
        <v>2F43R2</v>
      </c>
      <c r="I53" s="328" t="str">
        <f t="shared" ref="I53" si="136">I4</f>
        <v>產銷停機</v>
      </c>
      <c r="J53" s="328" t="str">
        <f t="shared" ref="J53" si="137">J4</f>
        <v>2FA112</v>
      </c>
      <c r="K53" s="328" t="str">
        <f t="shared" ref="K53" si="138">K4</f>
        <v>產銷停機</v>
      </c>
      <c r="L53" s="328" t="str">
        <f t="shared" ref="L53" si="139">L4</f>
        <v>2F08T2</v>
      </c>
      <c r="M53" s="328" t="str">
        <f t="shared" si="112"/>
        <v>2FA092</v>
      </c>
      <c r="N53" s="328" t="str">
        <f t="shared" si="112"/>
        <v>2FA122</v>
      </c>
      <c r="O53" s="328" t="str">
        <f t="shared" ref="O53" si="140">O4</f>
        <v>2F7E31</v>
      </c>
      <c r="P53" s="328" t="str">
        <f t="shared" si="114"/>
        <v>2F43W1</v>
      </c>
      <c r="Q53" s="328" t="str">
        <f t="shared" ref="Q53" si="141">Q4</f>
        <v>產銷停機</v>
      </c>
      <c r="R53" s="328" t="str">
        <f t="shared" si="116"/>
        <v>2F29K1</v>
      </c>
      <c r="S53" s="328" t="str">
        <f t="shared" ref="S53:T53" si="142">S4</f>
        <v>2F6IX1</v>
      </c>
      <c r="T53" s="328" t="str">
        <f t="shared" si="142"/>
        <v>2F6JA2</v>
      </c>
      <c r="U53" s="328" t="str">
        <f t="shared" ref="U53" si="143">U4</f>
        <v>產銷停機</v>
      </c>
      <c r="X53" s="328" t="str">
        <f t="shared" si="119"/>
        <v>產銷停機</v>
      </c>
      <c r="Y53" s="328" t="str">
        <f t="shared" ref="Y53" si="144">Y4</f>
        <v>2F6IV2</v>
      </c>
      <c r="Z53" s="328" t="str">
        <f t="shared" si="119"/>
        <v>產銷停機</v>
      </c>
      <c r="AC53" s="328" t="str">
        <f>AC4</f>
        <v>2F6IW2</v>
      </c>
      <c r="AD53" s="328" t="str">
        <f t="shared" ref="AD53" si="145">AD4</f>
        <v>2F6JE2</v>
      </c>
      <c r="AE53" s="328" t="str">
        <f t="shared" ref="AE53:AF53" si="146">AE4</f>
        <v>2F6IU2</v>
      </c>
      <c r="AF53" s="328" t="str">
        <f t="shared" si="146"/>
        <v>2F6JB2</v>
      </c>
      <c r="AG53" s="328" t="str">
        <f t="shared" ref="AG53" si="147">AG4</f>
        <v>2F6IT2</v>
      </c>
      <c r="AH53" s="328" t="str">
        <f t="shared" ref="AH53" si="148">AH4</f>
        <v>2F43T2</v>
      </c>
      <c r="AI53" s="328" t="str">
        <f t="shared" ref="AI53:AJ53" si="149">AI4</f>
        <v>2F7E13</v>
      </c>
      <c r="AJ53" s="328" t="str">
        <f t="shared" si="149"/>
        <v>2F7E43</v>
      </c>
      <c r="AK53" s="328" t="str">
        <f t="shared" ref="AK53" si="150">AK4</f>
        <v>L待料停機</v>
      </c>
      <c r="AL53" s="328" t="str">
        <f t="shared" si="126"/>
        <v>2F6IY2</v>
      </c>
      <c r="AM53" s="328" t="str">
        <f t="shared" ref="AM53" si="151">AM4</f>
        <v>2F6IS2</v>
      </c>
      <c r="AP53" s="328" t="str">
        <f t="shared" si="128"/>
        <v>2FA132</v>
      </c>
      <c r="AQ53" s="328" t="str">
        <f t="shared" si="128"/>
        <v>絲開發</v>
      </c>
      <c r="AT53" s="328" t="str">
        <f t="shared" ref="AT53:BC53" si="152">AT4</f>
        <v>封存</v>
      </c>
      <c r="AU53" s="328" t="str">
        <f t="shared" si="152"/>
        <v>封存</v>
      </c>
      <c r="AV53" s="328" t="str">
        <f t="shared" si="152"/>
        <v>封存</v>
      </c>
      <c r="AW53" s="328" t="str">
        <f t="shared" si="152"/>
        <v>封存</v>
      </c>
      <c r="AX53" s="328" t="str">
        <f t="shared" si="152"/>
        <v>封存</v>
      </c>
      <c r="AY53" s="328" t="str">
        <f t="shared" si="152"/>
        <v>封存</v>
      </c>
      <c r="AZ53" s="328" t="str">
        <f t="shared" si="152"/>
        <v>封存</v>
      </c>
      <c r="BA53" s="328" t="str">
        <f t="shared" si="152"/>
        <v>封存</v>
      </c>
      <c r="BB53" s="328" t="str">
        <f t="shared" si="152"/>
        <v>日</v>
      </c>
      <c r="BC53" s="328" t="str">
        <f t="shared" si="152"/>
        <v>月</v>
      </c>
    </row>
    <row r="54" spans="1:55" ht="14.25" customHeight="1">
      <c r="A54" s="809" t="s">
        <v>41</v>
      </c>
      <c r="B54" s="328">
        <f t="shared" ref="B54" si="153">B5</f>
        <v>0</v>
      </c>
      <c r="C54" s="328">
        <f t="shared" ref="C54" si="154">C5</f>
        <v>0</v>
      </c>
      <c r="D54" s="328" t="str">
        <f t="shared" ref="D54" si="155">D5</f>
        <v>150/144FCT</v>
      </c>
      <c r="E54" s="328" t="str">
        <f t="shared" ref="E54:F54" si="156">E5</f>
        <v>150/48KR5</v>
      </c>
      <c r="F54" s="328" t="str">
        <f t="shared" si="156"/>
        <v>150/48/2FBKR</v>
      </c>
      <c r="G54" s="328" t="str">
        <f t="shared" ref="G54" si="157">G5</f>
        <v>75/48SDr</v>
      </c>
      <c r="H54" s="328" t="str">
        <f t="shared" ref="H54" si="158">H5</f>
        <v>75/72/2SDr</v>
      </c>
      <c r="I54" s="328">
        <f t="shared" ref="I54" si="159">I5</f>
        <v>0</v>
      </c>
      <c r="J54" s="328" t="str">
        <f t="shared" ref="J54" si="160">J5</f>
        <v>75/72SRR5</v>
      </c>
      <c r="K54" s="328">
        <f t="shared" ref="K54" si="161">K5</f>
        <v>0</v>
      </c>
      <c r="L54" s="328" t="str">
        <f t="shared" ref="L54" si="162">L5</f>
        <v>50/72F2FC</v>
      </c>
      <c r="M54" s="328" t="str">
        <f t="shared" si="112"/>
        <v>75/72F2FC</v>
      </c>
      <c r="N54" s="328" t="str">
        <f t="shared" si="112"/>
        <v>75/72PDR</v>
      </c>
      <c r="O54" s="328" t="str">
        <f t="shared" ref="O54" si="163">O5</f>
        <v>165/48/2SR6</v>
      </c>
      <c r="P54" s="328" t="str">
        <f t="shared" si="114"/>
        <v>150/48SDR4</v>
      </c>
      <c r="Q54" s="328">
        <f t="shared" ref="Q54" si="164">Q5</f>
        <v>0</v>
      </c>
      <c r="R54" s="328" t="str">
        <f t="shared" si="116"/>
        <v>100/36SDR2</v>
      </c>
      <c r="S54" s="328" t="str">
        <f t="shared" ref="S54:T54" si="165">S5</f>
        <v>150/48/2HC</v>
      </c>
      <c r="T54" s="328" t="str">
        <f t="shared" si="165"/>
        <v>150/48/2SDR2</v>
      </c>
      <c r="U54" s="328">
        <f t="shared" ref="U54" si="166">U5</f>
        <v>0</v>
      </c>
      <c r="X54" s="328">
        <f t="shared" si="119"/>
        <v>0</v>
      </c>
      <c r="Y54" s="328" t="str">
        <f t="shared" ref="Y54" si="167">Y5</f>
        <v>150/48/2SDr</v>
      </c>
      <c r="Z54" s="328">
        <f t="shared" si="119"/>
        <v>0</v>
      </c>
      <c r="AC54" s="328" t="str">
        <f>AC5</f>
        <v>150/48/2SDr</v>
      </c>
      <c r="AD54" s="328" t="str">
        <f t="shared" ref="AD54" si="168">AD5</f>
        <v>150/48/2SDr</v>
      </c>
      <c r="AE54" s="328" t="str">
        <f t="shared" ref="AE54:AF54" si="169">AE5</f>
        <v>150/48/2SDr</v>
      </c>
      <c r="AF54" s="328" t="str">
        <f t="shared" si="169"/>
        <v>150/48/2SDR4</v>
      </c>
      <c r="AG54" s="328" t="str">
        <f t="shared" ref="AG54" si="170">AG5</f>
        <v>150/48/2SDr</v>
      </c>
      <c r="AH54" s="328" t="str">
        <f t="shared" ref="AH54" si="171">AH5</f>
        <v>75/72/2PDR</v>
      </c>
      <c r="AI54" s="328" t="str">
        <f t="shared" ref="AI54:AJ54" si="172">AI5</f>
        <v>225/72/2SDr</v>
      </c>
      <c r="AJ54" s="328" t="str">
        <f t="shared" si="172"/>
        <v>225/72/2SDR2</v>
      </c>
      <c r="AK54" s="328">
        <f t="shared" ref="AK54" si="173">AK5</f>
        <v>0</v>
      </c>
      <c r="AL54" s="328" t="str">
        <f t="shared" si="126"/>
        <v>150/48/2SDr</v>
      </c>
      <c r="AM54" s="328" t="str">
        <f t="shared" ref="AM54" si="174">AM5</f>
        <v>150/48/2SDr</v>
      </c>
      <c r="AP54" s="328" t="str">
        <f t="shared" si="128"/>
        <v>75/72SDM</v>
      </c>
      <c r="AQ54" s="328">
        <f t="shared" si="128"/>
        <v>0</v>
      </c>
      <c r="AT54" s="328">
        <f t="shared" ref="AT54:BC54" si="175">AT5</f>
        <v>0</v>
      </c>
      <c r="AU54" s="328">
        <f t="shared" si="175"/>
        <v>0</v>
      </c>
      <c r="AV54" s="328">
        <f t="shared" si="175"/>
        <v>0</v>
      </c>
      <c r="AW54" s="328">
        <f t="shared" si="175"/>
        <v>0</v>
      </c>
      <c r="AX54" s="328">
        <f t="shared" si="175"/>
        <v>0</v>
      </c>
      <c r="AY54" s="328">
        <f t="shared" si="175"/>
        <v>0</v>
      </c>
      <c r="AZ54" s="328">
        <f t="shared" si="175"/>
        <v>0</v>
      </c>
      <c r="BA54" s="328">
        <f t="shared" si="175"/>
        <v>0</v>
      </c>
      <c r="BB54" s="328">
        <f t="shared" si="175"/>
        <v>0</v>
      </c>
      <c r="BC54" s="328">
        <f t="shared" si="175"/>
        <v>0</v>
      </c>
    </row>
    <row r="55" spans="1:55" ht="14.25" customHeight="1">
      <c r="A55" s="809" t="s">
        <v>83</v>
      </c>
      <c r="B55" s="328" t="e">
        <f>VLOOKUP(B$4,整理!$4:$181,10,0)</f>
        <v>#N/A</v>
      </c>
      <c r="C55" s="328" t="e">
        <f>VLOOKUP(C$4,整理!$4:$181,10,0)</f>
        <v>#N/A</v>
      </c>
      <c r="D55" s="328" t="str">
        <f>VLOOKUP(D$4,整理!$4:$181,10,0)</f>
        <v>白黑方塊</v>
      </c>
      <c r="E55" s="328" t="str">
        <f>VLOOKUP(E$4,整理!$4:$181,10,0)</f>
        <v/>
      </c>
      <c r="F55" s="328" t="str">
        <f>VLOOKUP(F$4,整理!$4:$181,10,0)</f>
        <v>黃色</v>
      </c>
      <c r="G55" s="328" t="str">
        <f>VLOOKUP(G$4,整理!$4:$181,10,0)</f>
        <v>藍底白十字</v>
      </c>
      <c r="H55" s="328" t="str">
        <f>VLOOKUP(H$4,整理!$4:$181,10,0)</f>
        <v>白底藍三角</v>
      </c>
      <c r="I55" s="328" t="e">
        <f>VLOOKUP(I$4,整理!$4:$181,10,0)</f>
        <v>#N/A</v>
      </c>
      <c r="J55" s="328" t="str">
        <f>VLOOKUP(J$4,整理!$4:$181,10,0)</f>
        <v>綠藍雙色</v>
      </c>
      <c r="K55" s="328" t="e">
        <f>VLOOKUP(K$4,整理!$4:$181,10,0)</f>
        <v>#N/A</v>
      </c>
      <c r="L55" s="328" t="str">
        <f>VLOOKUP(L$4,整理!$4:$181,10,0)</f>
        <v>白綠方塊</v>
      </c>
      <c r="M55" s="328" t="str">
        <f>VLOOKUP(M$4,整理!$4:$181,10,0)</f>
        <v>白底紅星</v>
      </c>
      <c r="N55" s="328" t="str">
        <f>VLOOKUP(N$4,整理!$4:$181,10,0)</f>
        <v>洋綠色</v>
      </c>
      <c r="O55" s="328" t="str">
        <f>VLOOKUP(O$4,整理!$4:$181,10,0)</f>
        <v>黃色</v>
      </c>
      <c r="P55" s="328" t="str">
        <f>VLOOKUP(P$4,整理!$4:$181,10,0)</f>
        <v>白綠條紋</v>
      </c>
      <c r="Q55" s="328" t="e">
        <f>VLOOKUP(Q$4,整理!$4:$181,10,0)</f>
        <v>#N/A</v>
      </c>
      <c r="R55" s="328" t="str">
        <f>VLOOKUP(R$4,整理!$4:$181,10,0)</f>
        <v>黃黑條紋</v>
      </c>
      <c r="S55" s="328" t="str">
        <f>VLOOKUP(S$4,整理!$4:$181,10,0)</f>
        <v>黃底白點</v>
      </c>
      <c r="T55" s="328" t="str">
        <f>VLOOKUP(T$4,整理!$4:$181,10,0)</f>
        <v>紫色</v>
      </c>
      <c r="U55" s="328" t="e">
        <f>VLOOKUP(U$4,整理!$4:$181,10,0)</f>
        <v>#N/A</v>
      </c>
      <c r="X55" s="328" t="e">
        <f>VLOOKUP(X$4,整理!$4:$181,10,0)</f>
        <v>#N/A</v>
      </c>
      <c r="Y55" s="328" t="str">
        <f>VLOOKUP(Y$4,整理!$4:$181,10,0)</f>
        <v>藍黑直條</v>
      </c>
      <c r="Z55" s="328" t="e">
        <f>VLOOKUP(Z$4,整理!$4:$181,10,0)</f>
        <v>#N/A</v>
      </c>
      <c r="AC55" s="328" t="str">
        <f>VLOOKUP(AC$4,整理!$4:$181,10,0)</f>
        <v>黃紅雙色</v>
      </c>
      <c r="AD55" s="328" t="str">
        <f>VLOOKUP(AD$4,整理!$4:$181,10,0)</f>
        <v>黃底紅點</v>
      </c>
      <c r="AE55" s="328" t="str">
        <f>VLOOKUP(AE$4,整理!$4:$181,10,0)</f>
        <v>白桔方塊</v>
      </c>
      <c r="AF55" s="328" t="str">
        <f>VLOOKUP(AF$4,整理!$4:$181,10,0)</f>
        <v>黃綠條紋</v>
      </c>
      <c r="AG55" s="328" t="str">
        <f>VLOOKUP(AG$4,整理!$4:$181,10,0)</f>
        <v>棕色</v>
      </c>
      <c r="AH55" s="328" t="str">
        <f>VLOOKUP(AH$4,整理!$4:$181,10,0)</f>
        <v>紅底黃星</v>
      </c>
      <c r="AI55" s="328" t="str">
        <f>VLOOKUP(AI$4,整理!$4:$181,10,0)</f>
        <v>白紅條紋</v>
      </c>
      <c r="AJ55" s="328" t="str">
        <f>VLOOKUP(AJ$4,整理!$4:$181,10,0)</f>
        <v>白底綠星</v>
      </c>
      <c r="AK55" s="328" t="e">
        <f>VLOOKUP(AK$4,整理!$4:$181,10,0)</f>
        <v>#N/A</v>
      </c>
      <c r="AL55" s="328" t="str">
        <f>VLOOKUP(AL$4,整理!$4:$181,10,0)</f>
        <v>白桔雙色</v>
      </c>
      <c r="AM55" s="328" t="str">
        <f>VLOOKUP(AM$4,整理!$4:$181,10,0)</f>
        <v>藍色</v>
      </c>
      <c r="AP55" s="328" t="str">
        <f>VLOOKUP(AP$4,整理!$4:$181,10,0)</f>
        <v>白藍方塊</v>
      </c>
      <c r="AQ55" s="328" t="e">
        <f>VLOOKUP(AQ$4,整理!$4:$181,10,0)</f>
        <v>#N/A</v>
      </c>
      <c r="AT55" s="328" t="e">
        <f>VLOOKUP(AT$4,整理!$4:$181,10,0)</f>
        <v>#N/A</v>
      </c>
      <c r="AU55" s="328" t="e">
        <f>VLOOKUP(AU$4,整理!$4:$181,10,0)</f>
        <v>#N/A</v>
      </c>
      <c r="AV55" s="328" t="e">
        <f>VLOOKUP(AV$4,整理!$4:$181,10,0)</f>
        <v>#N/A</v>
      </c>
      <c r="AW55" s="328" t="e">
        <f>VLOOKUP(AW$4,整理!$4:$181,10,0)</f>
        <v>#N/A</v>
      </c>
      <c r="AX55" s="328" t="e">
        <f>VLOOKUP(AX$4,整理!$4:$181,10,0)</f>
        <v>#N/A</v>
      </c>
      <c r="AY55" s="328" t="e">
        <f>VLOOKUP(AY$4,整理!$4:$181,10,0)</f>
        <v>#N/A</v>
      </c>
      <c r="AZ55" s="328" t="e">
        <f>VLOOKUP(AZ$4,整理!$4:$181,10,0)</f>
        <v>#N/A</v>
      </c>
      <c r="BA55" s="328" t="e">
        <f>VLOOKUP(BA$4,整理!$4:$181,10,0)</f>
        <v>#N/A</v>
      </c>
      <c r="BB55" s="328" t="e">
        <f>VLOOKUP(BB$4,整理!$4:$181,10,0)</f>
        <v>#N/A</v>
      </c>
      <c r="BC55" s="328" t="e">
        <f>VLOOKUP(BC$4,整理!$4:$181,10,0)</f>
        <v>#N/A</v>
      </c>
    </row>
    <row r="56" spans="1:55" ht="14.25" customHeight="1">
      <c r="A56" s="809" t="s">
        <v>488</v>
      </c>
      <c r="B56" s="328" t="e">
        <f>VLOOKUP(B$4,整理!$4:$181,11,0)</f>
        <v>#N/A</v>
      </c>
      <c r="C56" s="328" t="e">
        <f>VLOOKUP(C$4,整理!$4:$181,11,0)</f>
        <v>#N/A</v>
      </c>
      <c r="D56" s="328">
        <f>VLOOKUP(D$4,整理!$4:$181,11,0)</f>
        <v>4</v>
      </c>
      <c r="E56" s="328">
        <f>VLOOKUP(E$4,整理!$4:$181,11,0)</f>
        <v>5</v>
      </c>
      <c r="F56" s="328">
        <f>VLOOKUP(F$4,整理!$4:$181,11,0)</f>
        <v>5</v>
      </c>
      <c r="G56" s="328">
        <f>VLOOKUP(G$4,整理!$4:$181,11,0)</f>
        <v>5</v>
      </c>
      <c r="H56" s="328">
        <f>VLOOKUP(H$4,整理!$4:$181,11,0)</f>
        <v>5</v>
      </c>
      <c r="I56" s="328" t="e">
        <f>VLOOKUP(I$4,整理!$4:$181,11,0)</f>
        <v>#N/A</v>
      </c>
      <c r="J56" s="328">
        <f>VLOOKUP(J$4,整理!$4:$181,11,0)</f>
        <v>4</v>
      </c>
      <c r="K56" s="328" t="e">
        <f>VLOOKUP(K$4,整理!$4:$181,11,0)</f>
        <v>#N/A</v>
      </c>
      <c r="L56" s="328">
        <f>VLOOKUP(L$4,整理!$4:$181,11,0)</f>
        <v>2</v>
      </c>
      <c r="M56" s="328">
        <f>VLOOKUP(M$4,整理!$4:$181,11,0)</f>
        <v>3</v>
      </c>
      <c r="N56" s="328">
        <f>VLOOKUP(N$4,整理!$4:$181,11,0)</f>
        <v>5</v>
      </c>
      <c r="O56" s="328">
        <f>VLOOKUP(O$4,整理!$4:$181,11,0)</f>
        <v>5</v>
      </c>
      <c r="P56" s="328">
        <f>VLOOKUP(P$4,整理!$4:$181,11,0)</f>
        <v>5</v>
      </c>
      <c r="Q56" s="328" t="e">
        <f>VLOOKUP(Q$4,整理!$4:$181,11,0)</f>
        <v>#N/A</v>
      </c>
      <c r="R56" s="328">
        <f>VLOOKUP(R$4,整理!$4:$181,11,0)</f>
        <v>5</v>
      </c>
      <c r="S56" s="328">
        <f>VLOOKUP(S$4,整理!$4:$181,11,0)</f>
        <v>5.5</v>
      </c>
      <c r="T56" s="328">
        <f>VLOOKUP(T$4,整理!$4:$181,11,0)</f>
        <v>5</v>
      </c>
      <c r="U56" s="328" t="e">
        <f>VLOOKUP(U$4,整理!$4:$181,11,0)</f>
        <v>#N/A</v>
      </c>
      <c r="X56" s="328" t="e">
        <f>VLOOKUP(X$4,整理!$4:$181,11,0)</f>
        <v>#N/A</v>
      </c>
      <c r="Y56" s="328">
        <f>VLOOKUP(Y$4,整理!$4:$181,11,0)</f>
        <v>5.5</v>
      </c>
      <c r="Z56" s="328" t="e">
        <f>VLOOKUP(Z$4,整理!$4:$181,11,0)</f>
        <v>#N/A</v>
      </c>
      <c r="AC56" s="328">
        <f>VLOOKUP(AC$4,整理!$4:$181,11,0)</f>
        <v>5.5</v>
      </c>
      <c r="AD56" s="328">
        <f>VLOOKUP(AD$4,整理!$4:$181,11,0)</f>
        <v>5.5</v>
      </c>
      <c r="AE56" s="328">
        <f>VLOOKUP(AE$4,整理!$4:$181,11,0)</f>
        <v>5.5</v>
      </c>
      <c r="AF56" s="328">
        <f>VLOOKUP(AF$4,整理!$4:$181,11,0)</f>
        <v>5.5</v>
      </c>
      <c r="AG56" s="328">
        <f>VLOOKUP(AG$4,整理!$4:$181,11,0)</f>
        <v>5.5</v>
      </c>
      <c r="AH56" s="328">
        <f>VLOOKUP(AH$4,整理!$4:$181,11,0)</f>
        <v>4</v>
      </c>
      <c r="AI56" s="328">
        <f>VLOOKUP(AI$4,整理!$4:$181,11,0)</f>
        <v>5.5</v>
      </c>
      <c r="AJ56" s="328">
        <f>VLOOKUP(AJ$4,整理!$4:$181,11,0)</f>
        <v>5.5</v>
      </c>
      <c r="AK56" s="328" t="e">
        <f>VLOOKUP(AK$4,整理!$4:$181,11,0)</f>
        <v>#N/A</v>
      </c>
      <c r="AL56" s="328">
        <f>VLOOKUP(AL$4,整理!$4:$181,11,0)</f>
        <v>5.5</v>
      </c>
      <c r="AM56" s="328">
        <f>VLOOKUP(AM$4,整理!$4:$181,11,0)</f>
        <v>5.5</v>
      </c>
      <c r="AP56" s="328">
        <f>VLOOKUP(AP$4,整理!$4:$181,11,0)</f>
        <v>4</v>
      </c>
      <c r="AQ56" s="328" t="e">
        <f>VLOOKUP(AQ$4,整理!$4:$181,11,0)</f>
        <v>#N/A</v>
      </c>
      <c r="AT56" s="328" t="e">
        <f>VLOOKUP(AT$4,整理!$4:$181,11,0)</f>
        <v>#N/A</v>
      </c>
      <c r="AU56" s="328" t="e">
        <f>VLOOKUP(AU$4,整理!$4:$181,11,0)</f>
        <v>#N/A</v>
      </c>
      <c r="AV56" s="328" t="e">
        <f>VLOOKUP(AV$4,整理!$4:$181,11,0)</f>
        <v>#N/A</v>
      </c>
      <c r="AW56" s="328" t="e">
        <f>VLOOKUP(AW$4,整理!$4:$181,11,0)</f>
        <v>#N/A</v>
      </c>
      <c r="AX56" s="328" t="e">
        <f>VLOOKUP(AX$4,整理!$4:$181,11,0)</f>
        <v>#N/A</v>
      </c>
      <c r="AY56" s="328" t="e">
        <f>VLOOKUP(AY$4,整理!$4:$181,11,0)</f>
        <v>#N/A</v>
      </c>
      <c r="AZ56" s="328" t="e">
        <f>VLOOKUP(AZ$4,整理!$4:$181,11,0)</f>
        <v>#N/A</v>
      </c>
      <c r="BA56" s="328" t="e">
        <f>VLOOKUP(BA$4,整理!$4:$181,11,0)</f>
        <v>#N/A</v>
      </c>
      <c r="BB56" s="328" t="e">
        <f>VLOOKUP(BB$4,整理!$4:$181,11,0)</f>
        <v>#N/A</v>
      </c>
      <c r="BC56" s="328" t="e">
        <f>VLOOKUP(BC$4,整理!$4:$181,11,0)</f>
        <v>#N/A</v>
      </c>
    </row>
    <row r="57" spans="1:55" s="929" customFormat="1" ht="14.25" customHeight="1">
      <c r="A57" s="928" t="s">
        <v>489</v>
      </c>
      <c r="B57" s="1006" t="e">
        <f>VLOOKUP(B4,條件!$A:$M,13,0)</f>
        <v>#N/A</v>
      </c>
      <c r="C57" s="1006" t="e">
        <f>VLOOKUP(C4,條件!$A:$M,13,0)</f>
        <v>#N/A</v>
      </c>
      <c r="D57" s="1006" t="e">
        <f>VLOOKUP(D4,條件!$A:$M,13,0)</f>
        <v>#N/A</v>
      </c>
      <c r="E57" s="1006" t="e">
        <f>VLOOKUP(E4,條件!$A:$M,13,0)</f>
        <v>#N/A</v>
      </c>
      <c r="F57" s="1006" t="e">
        <f>VLOOKUP(F4,條件!$A:$M,13,0)</f>
        <v>#N/A</v>
      </c>
      <c r="G57" s="1006" t="e">
        <f>VLOOKUP(G4,條件!$A:$M,13,0)</f>
        <v>#N/A</v>
      </c>
      <c r="H57" s="1006" t="e">
        <f>VLOOKUP(H4,條件!$A:$M,13,0)</f>
        <v>#N/A</v>
      </c>
      <c r="I57" s="1006" t="e">
        <f>VLOOKUP(I4,條件!$A:$M,13,0)</f>
        <v>#N/A</v>
      </c>
      <c r="J57" s="1006" t="e">
        <f>VLOOKUP(J4,條件!$A:$M,13,0)</f>
        <v>#N/A</v>
      </c>
      <c r="K57" s="1006" t="e">
        <f>VLOOKUP(K4,條件!$A:$M,13,0)</f>
        <v>#N/A</v>
      </c>
      <c r="L57" s="1006" t="e">
        <f>VLOOKUP(L4,條件!$A:$M,13,0)</f>
        <v>#N/A</v>
      </c>
      <c r="M57" s="1006" t="e">
        <f>VLOOKUP(M4,條件!$A:$M,13,0)</f>
        <v>#N/A</v>
      </c>
      <c r="N57" s="1006" t="e">
        <f>VLOOKUP(N4,條件!$A:$M,13,0)</f>
        <v>#N/A</v>
      </c>
      <c r="O57" s="1006" t="e">
        <f>VLOOKUP(O4,條件!$A:$M,13,0)</f>
        <v>#N/A</v>
      </c>
      <c r="P57" s="1006" t="e">
        <f>VLOOKUP(P4,條件!$A:$M,13,0)</f>
        <v>#N/A</v>
      </c>
      <c r="Q57" s="1006" t="e">
        <f>VLOOKUP(Q4,條件!$A:$M,13,0)</f>
        <v>#N/A</v>
      </c>
      <c r="R57" s="1006" t="e">
        <f>VLOOKUP(R4,條件!$A:$M,13,0)</f>
        <v>#N/A</v>
      </c>
      <c r="S57" s="1006" t="e">
        <f>VLOOKUP(S4,條件!$A:$M,13,0)</f>
        <v>#N/A</v>
      </c>
      <c r="T57" s="1006" t="e">
        <f>VLOOKUP(T4,條件!$A:$M,13,0)</f>
        <v>#N/A</v>
      </c>
      <c r="U57" s="1006" t="e">
        <f>VLOOKUP(U4,條件!$A:$M,13,0)</f>
        <v>#N/A</v>
      </c>
      <c r="V57" s="1006"/>
      <c r="W57" s="1006"/>
      <c r="X57" s="1006" t="e">
        <f>VLOOKUP(X4,條件!$A:$M,13,0)</f>
        <v>#N/A</v>
      </c>
      <c r="Y57" s="1006" t="e">
        <f>VLOOKUP(Y4,條件!$A:$M,13,0)</f>
        <v>#N/A</v>
      </c>
      <c r="Z57" s="1006" t="e">
        <f>VLOOKUP(Z4,條件!$A:$M,13,0)</f>
        <v>#N/A</v>
      </c>
      <c r="AA57" s="1006"/>
      <c r="AB57" s="1006"/>
      <c r="AC57" s="1006" t="e">
        <f>VLOOKUP(AC4,條件!$A:$M,13,0)</f>
        <v>#N/A</v>
      </c>
      <c r="AD57" s="1006" t="e">
        <f>VLOOKUP(AD4,條件!$A:$M,13,0)</f>
        <v>#N/A</v>
      </c>
      <c r="AE57" s="1006" t="e">
        <f>VLOOKUP(AE4,條件!$A:$M,13,0)</f>
        <v>#N/A</v>
      </c>
      <c r="AF57" s="1006" t="e">
        <f>VLOOKUP(AF4,條件!$A:$M,13,0)</f>
        <v>#N/A</v>
      </c>
      <c r="AG57" s="1006" t="e">
        <f>VLOOKUP(AG4,條件!$A:$M,13,0)</f>
        <v>#N/A</v>
      </c>
      <c r="AH57" s="1006" t="e">
        <f>VLOOKUP(AH4,條件!$A:$M,13,0)</f>
        <v>#N/A</v>
      </c>
      <c r="AI57" s="1006" t="e">
        <f>VLOOKUP(AI4,條件!$A:$M,13,0)</f>
        <v>#N/A</v>
      </c>
      <c r="AJ57" s="1006" t="e">
        <f>VLOOKUP(AJ4,條件!$A:$M,13,0)</f>
        <v>#N/A</v>
      </c>
      <c r="AK57" s="1006" t="e">
        <f>VLOOKUP(AK4,條件!$A:$M,13,0)</f>
        <v>#N/A</v>
      </c>
      <c r="AL57" s="1006" t="e">
        <f>VLOOKUP(AL4,條件!$A:$M,13,0)</f>
        <v>#N/A</v>
      </c>
      <c r="AM57" s="1006" t="e">
        <f>VLOOKUP(AM4,條件!$A:$M,13,0)</f>
        <v>#N/A</v>
      </c>
      <c r="AN57" s="1006"/>
      <c r="AO57" s="1006"/>
      <c r="AP57" s="1006" t="e">
        <f>VLOOKUP(AP4,條件!$A:$M,13,0)</f>
        <v>#N/A</v>
      </c>
      <c r="AQ57" s="1006" t="e">
        <f>VLOOKUP(AQ4,條件!$A:$M,13,0)</f>
        <v>#N/A</v>
      </c>
      <c r="AR57" s="1006"/>
      <c r="AS57" s="1006"/>
      <c r="AT57" s="1006" t="e">
        <f>VLOOKUP(AT4,條件!$A:$M,13,0)</f>
        <v>#N/A</v>
      </c>
      <c r="AU57" s="1006" t="e">
        <f>VLOOKUP(AU4,條件!$A:$M,13,0)</f>
        <v>#N/A</v>
      </c>
      <c r="AV57" s="1006" t="e">
        <f>VLOOKUP(AV4,條件!$A:$M,13,0)</f>
        <v>#N/A</v>
      </c>
      <c r="AW57" s="1006" t="e">
        <f>VLOOKUP(AW4,條件!$A:$M,13,0)</f>
        <v>#N/A</v>
      </c>
      <c r="AX57" s="1006" t="e">
        <f>VLOOKUP(AX4,條件!$A:$M,13,0)</f>
        <v>#N/A</v>
      </c>
      <c r="AY57" s="1006" t="e">
        <f>VLOOKUP(AY4,條件!$A:$M,13,0)</f>
        <v>#N/A</v>
      </c>
      <c r="AZ57" s="1006" t="e">
        <f>VLOOKUP(AZ4,條件!$A:$M,13,0)</f>
        <v>#N/A</v>
      </c>
      <c r="BA57" s="1006" t="e">
        <f>VLOOKUP(BA4,條件!$A:$M,13,0)</f>
        <v>#N/A</v>
      </c>
      <c r="BB57" s="1006" t="e">
        <f>VLOOKUP(BB4,條件!$A:$M,13,0)</f>
        <v>#N/A</v>
      </c>
      <c r="BC57" s="1006" t="e">
        <f>VLOOKUP(BC4,條件!$A:$M,13,0)</f>
        <v>#N/A</v>
      </c>
    </row>
    <row r="58" spans="1:55" ht="14.25" customHeight="1">
      <c r="A58" s="807" t="s">
        <v>490</v>
      </c>
      <c r="B58" s="328" t="e">
        <f>VLOOKUP(B$4,整理!$4:$181,4,0)</f>
        <v>#N/A</v>
      </c>
      <c r="C58" s="328" t="e">
        <f>VLOOKUP(C$4,整理!$4:$181,4,0)</f>
        <v>#N/A</v>
      </c>
      <c r="D58" s="328">
        <f>VLOOKUP(D$4,整理!$4:$181,4,0)</f>
        <v>15236</v>
      </c>
      <c r="E58" s="328">
        <f>VLOOKUP(E$4,整理!$4:$181,4,0)</f>
        <v>0</v>
      </c>
      <c r="F58" s="328">
        <f>VLOOKUP(F$4,整理!$4:$181,4,0)</f>
        <v>0</v>
      </c>
      <c r="G58" s="328">
        <f>VLOOKUP(G$4,整理!$4:$181,4,0)</f>
        <v>12119</v>
      </c>
      <c r="H58" s="328">
        <f>VLOOKUP(H$4,整理!$4:$181,4,0)</f>
        <v>26864</v>
      </c>
      <c r="I58" s="328" t="e">
        <f>VLOOKUP(I$4,整理!$4:$181,4,0)</f>
        <v>#N/A</v>
      </c>
      <c r="J58" s="328">
        <f>VLOOKUP(J$4,整理!$4:$181,4,0)</f>
        <v>11946</v>
      </c>
      <c r="K58" s="328" t="e">
        <f>VLOOKUP(K$4,整理!$4:$181,4,0)</f>
        <v>#N/A</v>
      </c>
      <c r="L58" s="328">
        <f>VLOOKUP(L$4,整理!$4:$181,4,0)</f>
        <v>5400</v>
      </c>
      <c r="M58" s="328">
        <f>VLOOKUP(M$4,整理!$4:$181,4,0)</f>
        <v>14002</v>
      </c>
      <c r="N58" s="328">
        <f>VLOOKUP(N$4,整理!$4:$181,4,0)</f>
        <v>3750</v>
      </c>
      <c r="O58" s="328">
        <f>VLOOKUP(O$4,整理!$4:$181,4,0)</f>
        <v>3059</v>
      </c>
      <c r="P58" s="328">
        <f>VLOOKUP(P$4,整理!$4:$181,4,0)</f>
        <v>0</v>
      </c>
      <c r="Q58" s="328" t="e">
        <f>VLOOKUP(Q$4,整理!$4:$181,4,0)</f>
        <v>#N/A</v>
      </c>
      <c r="R58" s="328">
        <f>VLOOKUP(R$4,整理!$4:$181,4,0)</f>
        <v>0</v>
      </c>
      <c r="S58" s="328">
        <f>VLOOKUP(S$4,整理!$4:$181,4,0)</f>
        <v>29943</v>
      </c>
      <c r="T58" s="328">
        <f>VLOOKUP(T$4,整理!$4:$181,4,0)</f>
        <v>7950</v>
      </c>
      <c r="U58" s="328" t="e">
        <f>VLOOKUP(U$4,整理!$4:$181,4,0)</f>
        <v>#N/A</v>
      </c>
      <c r="X58" s="328" t="e">
        <f>VLOOKUP(X$4,整理!$4:$181,4,0)</f>
        <v>#N/A</v>
      </c>
      <c r="Y58" s="328">
        <f>VLOOKUP(Y$4,整理!$4:$181,4,0)</f>
        <v>35763</v>
      </c>
      <c r="Z58" s="328" t="e">
        <f>VLOOKUP(Z$4,整理!$4:$181,4,0)</f>
        <v>#N/A</v>
      </c>
      <c r="AC58" s="328">
        <f>VLOOKUP(AC$4,整理!$4:$181,4,0)</f>
        <v>87579</v>
      </c>
      <c r="AD58" s="328">
        <f>VLOOKUP(AD$4,整理!$4:$181,4,0)</f>
        <v>6930</v>
      </c>
      <c r="AE58" s="328">
        <f>VLOOKUP(AE$4,整理!$4:$181,4,0)</f>
        <v>89379</v>
      </c>
      <c r="AF58" s="328">
        <f>VLOOKUP(AF$4,整理!$4:$181,4,0)</f>
        <v>19552</v>
      </c>
      <c r="AG58" s="328">
        <f>VLOOKUP(AG$4,整理!$4:$181,4,0)</f>
        <v>102059</v>
      </c>
      <c r="AH58" s="328">
        <f>VLOOKUP(AH$4,整理!$4:$181,4,0)</f>
        <v>28959</v>
      </c>
      <c r="AI58" s="328">
        <f>VLOOKUP(AI$4,整理!$4:$181,4,0)</f>
        <v>55949</v>
      </c>
      <c r="AJ58" s="328">
        <f>VLOOKUP(AJ$4,整理!$4:$181,4,0)</f>
        <v>2475</v>
      </c>
      <c r="AK58" s="328" t="e">
        <f>VLOOKUP(AK$4,整理!$4:$181,4,0)</f>
        <v>#N/A</v>
      </c>
      <c r="AL58" s="328">
        <f>VLOOKUP(AL$4,整理!$4:$181,4,0)</f>
        <v>71167</v>
      </c>
      <c r="AM58" s="328">
        <f>VLOOKUP(AM$4,整理!$4:$181,4,0)</f>
        <v>128465</v>
      </c>
      <c r="AP58" s="328">
        <f>VLOOKUP(AP$4,整理!$4:$181,4,0)</f>
        <v>1680</v>
      </c>
      <c r="AQ58" s="328" t="e">
        <f>VLOOKUP(AQ$4,整理!$4:$181,4,0)</f>
        <v>#N/A</v>
      </c>
      <c r="AT58" s="328" t="e">
        <f>VLOOKUP(AT$4,整理!$4:$181,4,0)</f>
        <v>#N/A</v>
      </c>
      <c r="AU58" s="328" t="e">
        <f>VLOOKUP(AU$4,整理!$4:$181,4,0)</f>
        <v>#N/A</v>
      </c>
      <c r="AV58" s="328" t="e">
        <f>VLOOKUP(AV$4,整理!$4:$181,4,0)</f>
        <v>#N/A</v>
      </c>
      <c r="AW58" s="328" t="e">
        <f>VLOOKUP(AW$4,整理!$4:$181,4,0)</f>
        <v>#N/A</v>
      </c>
      <c r="AX58" s="328" t="e">
        <f>VLOOKUP(AX$4,整理!$4:$181,4,0)</f>
        <v>#N/A</v>
      </c>
      <c r="AY58" s="328" t="e">
        <f>VLOOKUP(AY$4,整理!$4:$181,4,0)</f>
        <v>#N/A</v>
      </c>
      <c r="AZ58" s="328" t="e">
        <f>VLOOKUP(AZ$4,整理!$4:$181,4,0)</f>
        <v>#N/A</v>
      </c>
      <c r="BA58" s="328" t="e">
        <f>VLOOKUP(BA$4,整理!$4:$181,4,0)</f>
        <v>#N/A</v>
      </c>
      <c r="BB58" s="328" t="e">
        <f>VLOOKUP(BB$4,整理!$4:$181,4,0)</f>
        <v>#N/A</v>
      </c>
      <c r="BC58" s="328" t="e">
        <f>VLOOKUP(BC$4,整理!$4:$181,4,0)</f>
        <v>#N/A</v>
      </c>
    </row>
    <row r="59" spans="1:55" ht="14.25" customHeight="1">
      <c r="A59" s="807" t="s">
        <v>491</v>
      </c>
      <c r="B59" s="812" t="e">
        <f>VLOOKUP(B$4,整理!$4:$181,5,0)</f>
        <v>#N/A</v>
      </c>
      <c r="C59" s="812" t="e">
        <f>VLOOKUP(C$4,整理!$4:$181,5,0)</f>
        <v>#N/A</v>
      </c>
      <c r="D59" s="812">
        <f>VLOOKUP(D$4,整理!$4:$181,5,0)</f>
        <v>1</v>
      </c>
      <c r="E59" s="812">
        <f>VLOOKUP(E$4,整理!$4:$181,5,0)</f>
        <v>0</v>
      </c>
      <c r="F59" s="812">
        <f>VLOOKUP(F$4,整理!$4:$181,5,0)</f>
        <v>0</v>
      </c>
      <c r="G59" s="812">
        <f>VLOOKUP(G$4,整理!$4:$181,5,0)</f>
        <v>1</v>
      </c>
      <c r="H59" s="812">
        <f>VLOOKUP(H$4,整理!$4:$181,5,0)</f>
        <v>0.97446396664681356</v>
      </c>
      <c r="I59" s="812" t="e">
        <f>VLOOKUP(I$4,整理!$4:$181,5,0)</f>
        <v>#N/A</v>
      </c>
      <c r="J59" s="812">
        <f>VLOOKUP(J$4,整理!$4:$181,5,0)</f>
        <v>1</v>
      </c>
      <c r="K59" s="812" t="e">
        <f>VLOOKUP(K$4,整理!$4:$181,5,0)</f>
        <v>#N/A</v>
      </c>
      <c r="L59" s="812">
        <f>VLOOKUP(L$4,整理!$4:$181,5,0)</f>
        <v>1</v>
      </c>
      <c r="M59" s="812">
        <f>VLOOKUP(M$4,整理!$4:$181,5,0)</f>
        <v>0.9575060705613484</v>
      </c>
      <c r="N59" s="812">
        <f>VLOOKUP(N$4,整理!$4:$181,5,0)</f>
        <v>1</v>
      </c>
      <c r="O59" s="812">
        <f>VLOOKUP(O$4,整理!$4:$181,5,0)</f>
        <v>0.8937561294540699</v>
      </c>
      <c r="P59" s="812">
        <f>VLOOKUP(P$4,整理!$4:$181,5,0)</f>
        <v>0</v>
      </c>
      <c r="Q59" s="812" t="e">
        <f>VLOOKUP(Q$4,整理!$4:$181,5,0)</f>
        <v>#N/A</v>
      </c>
      <c r="R59" s="812">
        <f>VLOOKUP(R$4,整理!$4:$181,5,0)</f>
        <v>0</v>
      </c>
      <c r="S59" s="812">
        <f>VLOOKUP(S$4,整理!$4:$181,5,0)</f>
        <v>1</v>
      </c>
      <c r="T59" s="812">
        <f>VLOOKUP(T$4,整理!$4:$181,5,0)</f>
        <v>1</v>
      </c>
      <c r="U59" s="812" t="e">
        <f>VLOOKUP(U$4,整理!$4:$181,5,0)</f>
        <v>#N/A</v>
      </c>
      <c r="V59" s="812"/>
      <c r="W59" s="812"/>
      <c r="X59" s="812" t="e">
        <f>VLOOKUP(X$4,整理!$4:$181,5,0)</f>
        <v>#N/A</v>
      </c>
      <c r="Y59" s="812">
        <f>VLOOKUP(Y$4,整理!$4:$181,5,0)</f>
        <v>0.96364958197019268</v>
      </c>
      <c r="Z59" s="812" t="e">
        <f>VLOOKUP(Z$4,整理!$4:$181,5,0)</f>
        <v>#N/A</v>
      </c>
      <c r="AA59" s="812"/>
      <c r="AB59" s="812"/>
      <c r="AC59" s="812">
        <f>VLOOKUP(AC$4,整理!$4:$181,5,0)</f>
        <v>0.97293871818586652</v>
      </c>
      <c r="AD59" s="812">
        <f>VLOOKUP(AD$4,整理!$4:$181,5,0)</f>
        <v>1</v>
      </c>
      <c r="AE59" s="812">
        <f>VLOOKUP(AE$4,整理!$4:$181,5,0)</f>
        <v>0.96849371776368054</v>
      </c>
      <c r="AF59" s="812">
        <f>VLOOKUP(AF$4,整理!$4:$181,5,0)</f>
        <v>1</v>
      </c>
      <c r="AG59" s="812">
        <f>VLOOKUP(AG$4,整理!$4:$181,5,0)</f>
        <v>0.98524382954957423</v>
      </c>
      <c r="AH59" s="812">
        <f>VLOOKUP(AH$4,整理!$4:$181,5,0)</f>
        <v>1</v>
      </c>
      <c r="AI59" s="812">
        <f>VLOOKUP(AI$4,整理!$4:$181,5,0)</f>
        <v>0.97799781944270681</v>
      </c>
      <c r="AJ59" s="812">
        <f>VLOOKUP(AJ$4,整理!$4:$181,5,0)</f>
        <v>1</v>
      </c>
      <c r="AK59" s="812" t="e">
        <f>VLOOKUP(AK$4,整理!$4:$181,5,0)</f>
        <v>#N/A</v>
      </c>
      <c r="AL59" s="812">
        <f>VLOOKUP(AL$4,整理!$4:$181,5,0)</f>
        <v>0.98923658437197015</v>
      </c>
      <c r="AM59" s="812">
        <f>VLOOKUP(AM$4,整理!$4:$181,5,0)</f>
        <v>0.98809792550500142</v>
      </c>
      <c r="AN59" s="812"/>
      <c r="AO59" s="812"/>
      <c r="AP59" s="812">
        <f>VLOOKUP(AP$4,整理!$4:$181,5,0)</f>
        <v>1</v>
      </c>
      <c r="AQ59" s="812" t="e">
        <f>VLOOKUP(AQ$4,整理!$4:$181,5,0)</f>
        <v>#N/A</v>
      </c>
      <c r="AR59" s="812"/>
      <c r="AS59" s="812"/>
      <c r="AT59" s="812" t="e">
        <f>VLOOKUP(AT$4,整理!$4:$181,5,0)</f>
        <v>#N/A</v>
      </c>
      <c r="AU59" s="812" t="e">
        <f>VLOOKUP(AU$4,整理!$4:$181,5,0)</f>
        <v>#N/A</v>
      </c>
      <c r="AV59" s="812" t="e">
        <f>VLOOKUP(AV$4,整理!$4:$181,5,0)</f>
        <v>#N/A</v>
      </c>
      <c r="AW59" s="812" t="e">
        <f>VLOOKUP(AW$4,整理!$4:$181,5,0)</f>
        <v>#N/A</v>
      </c>
      <c r="AX59" s="812" t="e">
        <f>VLOOKUP(AX$4,整理!$4:$181,5,0)</f>
        <v>#N/A</v>
      </c>
      <c r="AY59" s="812" t="e">
        <f>VLOOKUP(AY$4,整理!$4:$181,5,0)</f>
        <v>#N/A</v>
      </c>
      <c r="AZ59" s="812" t="e">
        <f>VLOOKUP(AZ$4,整理!$4:$181,5,0)</f>
        <v>#N/A</v>
      </c>
      <c r="BA59" s="812" t="e">
        <f>VLOOKUP(BA$4,整理!$4:$181,5,0)</f>
        <v>#N/A</v>
      </c>
      <c r="BB59" s="812" t="e">
        <f>VLOOKUP(BB$4,整理!$4:$181,5,0)</f>
        <v>#N/A</v>
      </c>
      <c r="BC59" s="812" t="e">
        <f>VLOOKUP(BC$4,整理!$4:$181,5,0)</f>
        <v>#N/A</v>
      </c>
    </row>
    <row r="60" spans="1:55" ht="14.25" customHeight="1">
      <c r="A60" s="807" t="s">
        <v>492</v>
      </c>
      <c r="B60" s="812" t="e">
        <f>VLOOKUP(B$4,整理!$4:$181,6,0)</f>
        <v>#N/A</v>
      </c>
      <c r="C60" s="812" t="e">
        <f>VLOOKUP(C$4,整理!$4:$181,6,0)</f>
        <v>#N/A</v>
      </c>
      <c r="D60" s="812">
        <f>VLOOKUP(D$4,整理!$4:$181,6,0)</f>
        <v>0.92150170648464169</v>
      </c>
      <c r="E60" s="812">
        <f>VLOOKUP(E$4,整理!$4:$181,6,0)</f>
        <v>0</v>
      </c>
      <c r="F60" s="812">
        <f>VLOOKUP(F$4,整理!$4:$181,6,0)</f>
        <v>0</v>
      </c>
      <c r="G60" s="812">
        <f>VLOOKUP(G$4,整理!$4:$181,6,0)</f>
        <v>0.94067167258024587</v>
      </c>
      <c r="H60" s="812">
        <f>VLOOKUP(H$4,整理!$4:$181,6,0)</f>
        <v>0.92354079809410361</v>
      </c>
      <c r="I60" s="812" t="e">
        <f>VLOOKUP(I$4,整理!$4:$181,6,0)</f>
        <v>#N/A</v>
      </c>
      <c r="J60" s="812">
        <f>VLOOKUP(J$4,整理!$4:$181,6,0)</f>
        <v>0.91076510966013724</v>
      </c>
      <c r="K60" s="812" t="e">
        <f>VLOOKUP(K$4,整理!$4:$181,6,0)</f>
        <v>#N/A</v>
      </c>
      <c r="L60" s="812">
        <f>VLOOKUP(L$4,整理!$4:$181,6,0)</f>
        <v>1</v>
      </c>
      <c r="M60" s="812">
        <f>VLOOKUP(M$4,整理!$4:$181,6,0)</f>
        <v>0.8655906299100129</v>
      </c>
      <c r="N60" s="812">
        <f>VLOOKUP(N$4,整理!$4:$181,6,0)</f>
        <v>1</v>
      </c>
      <c r="O60" s="812">
        <f>VLOOKUP(O$4,整理!$4:$181,6,0)</f>
        <v>0.65707747629944424</v>
      </c>
      <c r="P60" s="812">
        <f>VLOOKUP(P$4,整理!$4:$181,6,0)</f>
        <v>0</v>
      </c>
      <c r="Q60" s="812" t="e">
        <f>VLOOKUP(Q$4,整理!$4:$181,6,0)</f>
        <v>#N/A</v>
      </c>
      <c r="R60" s="812">
        <f>VLOOKUP(R$4,整理!$4:$181,6,0)</f>
        <v>0</v>
      </c>
      <c r="S60" s="812">
        <f>VLOOKUP(S$4,整理!$4:$181,6,0)</f>
        <v>0.92575894198978059</v>
      </c>
      <c r="T60" s="812">
        <f>VLOOKUP(T$4,整理!$4:$181,6,0)</f>
        <v>1</v>
      </c>
      <c r="U60" s="812" t="e">
        <f>VLOOKUP(U$4,整理!$4:$181,6,0)</f>
        <v>#N/A</v>
      </c>
      <c r="V60" s="812"/>
      <c r="W60" s="812"/>
      <c r="X60" s="812" t="e">
        <f>VLOOKUP(X$4,整理!$4:$181,6,0)</f>
        <v>#N/A</v>
      </c>
      <c r="Y60" s="812">
        <f>VLOOKUP(Y$4,整理!$4:$181,6,0)</f>
        <v>0.88583172552638201</v>
      </c>
      <c r="Z60" s="812" t="e">
        <f>VLOOKUP(Z$4,整理!$4:$181,6,0)</f>
        <v>#N/A</v>
      </c>
      <c r="AA60" s="812"/>
      <c r="AB60" s="812"/>
      <c r="AC60" s="812">
        <f>VLOOKUP(AC$4,整理!$4:$181,6,0)</f>
        <v>0.9212824992292673</v>
      </c>
      <c r="AD60" s="812">
        <f>VLOOKUP(AD$4,整理!$4:$181,6,0)</f>
        <v>1</v>
      </c>
      <c r="AE60" s="812">
        <f>VLOOKUP(AE$4,整理!$4:$181,6,0)</f>
        <v>0.85916154801463429</v>
      </c>
      <c r="AF60" s="812">
        <f>VLOOKUP(AF$4,整理!$4:$181,6,0)</f>
        <v>0.96204991816693941</v>
      </c>
      <c r="AG60" s="812">
        <f>VLOOKUP(AG$4,整理!$4:$181,6,0)</f>
        <v>0.94254303883048041</v>
      </c>
      <c r="AH60" s="812">
        <f>VLOOKUP(AH$4,整理!$4:$181,6,0)</f>
        <v>0.9572153734590283</v>
      </c>
      <c r="AI60" s="812">
        <f>VLOOKUP(AI$4,整理!$4:$181,6,0)</f>
        <v>0.93663872455271768</v>
      </c>
      <c r="AJ60" s="812">
        <f>VLOOKUP(AJ$4,整理!$4:$181,6,0)</f>
        <v>1</v>
      </c>
      <c r="AK60" s="812" t="e">
        <f>VLOOKUP(AK$4,整理!$4:$181,6,0)</f>
        <v>#N/A</v>
      </c>
      <c r="AL60" s="812">
        <f>VLOOKUP(AL$4,整理!$4:$181,6,0)</f>
        <v>0.95753649865808588</v>
      </c>
      <c r="AM60" s="812">
        <f>VLOOKUP(AM$4,整理!$4:$181,6,0)</f>
        <v>0.95944420659323548</v>
      </c>
      <c r="AN60" s="812"/>
      <c r="AO60" s="812"/>
      <c r="AP60" s="812">
        <f>VLOOKUP(AP$4,整理!$4:$181,6,0)</f>
        <v>1</v>
      </c>
      <c r="AQ60" s="812" t="e">
        <f>VLOOKUP(AQ$4,整理!$4:$181,6,0)</f>
        <v>#N/A</v>
      </c>
      <c r="AR60" s="812"/>
      <c r="AS60" s="812"/>
      <c r="AT60" s="812" t="e">
        <f>VLOOKUP(AT$4,整理!$4:$181,6,0)</f>
        <v>#N/A</v>
      </c>
      <c r="AU60" s="812" t="e">
        <f>VLOOKUP(AU$4,整理!$4:$181,6,0)</f>
        <v>#N/A</v>
      </c>
      <c r="AV60" s="812" t="e">
        <f>VLOOKUP(AV$4,整理!$4:$181,6,0)</f>
        <v>#N/A</v>
      </c>
      <c r="AW60" s="812" t="e">
        <f>VLOOKUP(AW$4,整理!$4:$181,6,0)</f>
        <v>#N/A</v>
      </c>
      <c r="AX60" s="812" t="e">
        <f>VLOOKUP(AX$4,整理!$4:$181,6,0)</f>
        <v>#N/A</v>
      </c>
      <c r="AY60" s="812" t="e">
        <f>VLOOKUP(AY$4,整理!$4:$181,6,0)</f>
        <v>#N/A</v>
      </c>
      <c r="AZ60" s="812" t="e">
        <f>VLOOKUP(AZ$4,整理!$4:$181,6,0)</f>
        <v>#N/A</v>
      </c>
      <c r="BA60" s="812" t="e">
        <f>VLOOKUP(BA$4,整理!$4:$181,6,0)</f>
        <v>#N/A</v>
      </c>
      <c r="BB60" s="812" t="e">
        <f>VLOOKUP(BB$4,整理!$4:$181,6,0)</f>
        <v>#N/A</v>
      </c>
      <c r="BC60" s="812" t="e">
        <f>VLOOKUP(BC$4,整理!$4:$181,6,0)</f>
        <v>#N/A</v>
      </c>
    </row>
    <row r="61" spans="1:55" ht="14.25" customHeight="1">
      <c r="A61" s="807" t="s">
        <v>493</v>
      </c>
      <c r="B61" s="811" t="str">
        <f t="shared" ref="B61:O61" si="176">B39</f>
        <v/>
      </c>
      <c r="C61" s="811" t="str">
        <f t="shared" ref="C61" si="177">C39</f>
        <v/>
      </c>
      <c r="D61" s="811">
        <f t="shared" ref="D61" si="178">D39</f>
        <v>4.364583333333333</v>
      </c>
      <c r="E61" s="811" t="str">
        <f t="shared" ref="E61:F61" si="179">E39</f>
        <v/>
      </c>
      <c r="F61" s="811" t="str">
        <f t="shared" si="179"/>
        <v/>
      </c>
      <c r="G61" s="811">
        <f t="shared" ref="G61" si="180">G39</f>
        <v>1.8055555555555556</v>
      </c>
      <c r="H61" s="811">
        <f t="shared" ref="H61" si="181">H39</f>
        <v>1.1065833333333335</v>
      </c>
      <c r="I61" s="811" t="str">
        <f t="shared" ref="I61" si="182">I39</f>
        <v/>
      </c>
      <c r="J61" s="811">
        <f t="shared" ref="J61" si="183">J39</f>
        <v>3.4737878787878786</v>
      </c>
      <c r="K61" s="811" t="str">
        <f t="shared" ref="K61" si="184">K39</f>
        <v/>
      </c>
      <c r="L61" s="811">
        <f t="shared" ref="L61" si="185">L39</f>
        <v>3.4062500000000004</v>
      </c>
      <c r="M61" s="811">
        <f>M39</f>
        <v>2.7359259259259257</v>
      </c>
      <c r="N61" s="811">
        <f>N39</f>
        <v>1.46875</v>
      </c>
      <c r="O61" s="811" t="str">
        <f t="shared" si="176"/>
        <v/>
      </c>
      <c r="P61" s="811" t="str">
        <f t="shared" ref="P61" si="186">P39</f>
        <v/>
      </c>
      <c r="Q61" s="811" t="str">
        <f t="shared" ref="Q61" si="187">Q39</f>
        <v/>
      </c>
      <c r="R61" s="811" t="str">
        <f t="shared" ref="R61" si="188">R39</f>
        <v/>
      </c>
      <c r="S61" s="811">
        <f t="shared" ref="S61:T61" si="189">S39</f>
        <v>1.5972222222222225</v>
      </c>
      <c r="T61" s="811">
        <f t="shared" si="189"/>
        <v>2.0324999999999998</v>
      </c>
      <c r="U61" s="811" t="str">
        <f t="shared" ref="U61" si="190">U39</f>
        <v/>
      </c>
      <c r="V61" s="811"/>
      <c r="W61" s="811"/>
      <c r="X61" s="811" t="str">
        <f>X39</f>
        <v/>
      </c>
      <c r="Y61" s="811">
        <f>Y39</f>
        <v>2.9933333333333336</v>
      </c>
      <c r="Z61" s="811" t="str">
        <f>Z39</f>
        <v/>
      </c>
      <c r="AA61" s="811"/>
      <c r="AB61" s="811"/>
      <c r="AC61" s="811">
        <f t="shared" ref="AC61:AD61" si="191">AC39</f>
        <v>4.7720588235294112</v>
      </c>
      <c r="AD61" s="811">
        <f t="shared" si="191"/>
        <v>4.4166666666666661</v>
      </c>
      <c r="AE61" s="811">
        <f t="shared" ref="AE61:AF61" si="192">AE39</f>
        <v>7.8397435897435903</v>
      </c>
      <c r="AF61" s="811">
        <f t="shared" si="192"/>
        <v>4.9444444444444438</v>
      </c>
      <c r="AG61" s="811">
        <f t="shared" ref="AG61" si="193">AG39</f>
        <v>4.2132352941176476</v>
      </c>
      <c r="AH61" s="811">
        <f t="shared" ref="AH61:AI61" si="194">AH39</f>
        <v>3.3791666666666664</v>
      </c>
      <c r="AI61" s="811">
        <f t="shared" si="194"/>
        <v>5.2261904761904763</v>
      </c>
      <c r="AJ61" s="811">
        <f t="shared" ref="AJ61" si="195">AJ39</f>
        <v>3.25</v>
      </c>
      <c r="AK61" s="811" t="str">
        <f>AK39</f>
        <v/>
      </c>
      <c r="AL61" s="811">
        <f t="shared" ref="AL61" si="196">AL39</f>
        <v>3.8837719298245625</v>
      </c>
      <c r="AM61" s="811">
        <f t="shared" ref="AM61" si="197">AM39</f>
        <v>3.7312500000000002</v>
      </c>
      <c r="AN61" s="811"/>
      <c r="AO61" s="811"/>
      <c r="AP61" s="811">
        <f>AP39</f>
        <v>11.681818181818182</v>
      </c>
      <c r="AQ61" s="811" t="str">
        <f>AQ39</f>
        <v/>
      </c>
      <c r="AR61" s="811"/>
      <c r="AS61" s="811"/>
      <c r="AT61" s="811" t="str">
        <f t="shared" ref="AT61:BC61" si="198">AT39</f>
        <v/>
      </c>
      <c r="AU61" s="811" t="str">
        <f t="shared" si="198"/>
        <v/>
      </c>
      <c r="AV61" s="811" t="str">
        <f t="shared" si="198"/>
        <v/>
      </c>
      <c r="AW61" s="811" t="str">
        <f t="shared" si="198"/>
        <v/>
      </c>
      <c r="AX61" s="811" t="str">
        <f t="shared" si="198"/>
        <v/>
      </c>
      <c r="AY61" s="811" t="str">
        <f t="shared" si="198"/>
        <v/>
      </c>
      <c r="AZ61" s="811" t="str">
        <f t="shared" si="198"/>
        <v/>
      </c>
      <c r="BA61" s="811" t="str">
        <f t="shared" si="198"/>
        <v/>
      </c>
      <c r="BB61" s="811">
        <f t="shared" si="198"/>
        <v>0</v>
      </c>
      <c r="BC61" s="811">
        <f t="shared" si="198"/>
        <v>0</v>
      </c>
    </row>
    <row r="62" spans="1:55" ht="14.25" customHeight="1">
      <c r="A62" s="807" t="s">
        <v>494</v>
      </c>
      <c r="B62" s="813" t="e">
        <f t="shared" ref="B62:O62" si="199">(1-B59)*100</f>
        <v>#N/A</v>
      </c>
      <c r="C62" s="813" t="e">
        <f t="shared" ref="C62" si="200">(1-C59)*100</f>
        <v>#N/A</v>
      </c>
      <c r="D62" s="813">
        <f t="shared" ref="D62" si="201">(1-D59)*100</f>
        <v>0</v>
      </c>
      <c r="E62" s="813">
        <f t="shared" ref="E62:F62" si="202">(1-E59)*100</f>
        <v>100</v>
      </c>
      <c r="F62" s="813">
        <f t="shared" si="202"/>
        <v>100</v>
      </c>
      <c r="G62" s="813">
        <f t="shared" ref="G62" si="203">(1-G59)*100</f>
        <v>0</v>
      </c>
      <c r="H62" s="813">
        <f t="shared" ref="H62" si="204">(1-H59)*100</f>
        <v>2.5536033353186438</v>
      </c>
      <c r="I62" s="813" t="e">
        <f t="shared" ref="I62" si="205">(1-I59)*100</f>
        <v>#N/A</v>
      </c>
      <c r="J62" s="813">
        <f t="shared" ref="J62" si="206">(1-J59)*100</f>
        <v>0</v>
      </c>
      <c r="K62" s="813" t="e">
        <f t="shared" ref="K62" si="207">(1-K59)*100</f>
        <v>#N/A</v>
      </c>
      <c r="L62" s="813">
        <f t="shared" ref="L62" si="208">(1-L59)*100</f>
        <v>0</v>
      </c>
      <c r="M62" s="813">
        <f>(1-M59)*100</f>
        <v>4.2493929438651605</v>
      </c>
      <c r="N62" s="813">
        <f>(1-N59)*100</f>
        <v>0</v>
      </c>
      <c r="O62" s="813">
        <f t="shared" si="199"/>
        <v>10.62438705459301</v>
      </c>
      <c r="P62" s="813">
        <f t="shared" ref="P62" si="209">(1-P59)*100</f>
        <v>100</v>
      </c>
      <c r="Q62" s="813" t="e">
        <f t="shared" ref="Q62" si="210">(1-Q59)*100</f>
        <v>#N/A</v>
      </c>
      <c r="R62" s="813">
        <f t="shared" ref="R62" si="211">(1-R59)*100</f>
        <v>100</v>
      </c>
      <c r="S62" s="813">
        <f t="shared" ref="S62:T62" si="212">(1-S59)*100</f>
        <v>0</v>
      </c>
      <c r="T62" s="813">
        <f t="shared" si="212"/>
        <v>0</v>
      </c>
      <c r="U62" s="813" t="e">
        <f t="shared" ref="U62" si="213">(1-U59)*100</f>
        <v>#N/A</v>
      </c>
      <c r="V62" s="813"/>
      <c r="W62" s="813"/>
      <c r="X62" s="813" t="e">
        <f>(1-X59)*100</f>
        <v>#N/A</v>
      </c>
      <c r="Y62" s="813">
        <f>(1-Y59)*100</f>
        <v>3.6350418029807319</v>
      </c>
      <c r="Z62" s="813" t="e">
        <f>(1-Z59)*100</f>
        <v>#N/A</v>
      </c>
      <c r="AA62" s="813"/>
      <c r="AB62" s="813"/>
      <c r="AC62" s="813">
        <f t="shared" ref="AC62:AD62" si="214">(1-AC59)*100</f>
        <v>2.7061281814133475</v>
      </c>
      <c r="AD62" s="813">
        <f t="shared" si="214"/>
        <v>0</v>
      </c>
      <c r="AE62" s="813">
        <f t="shared" ref="AE62:AF62" si="215">(1-AE59)*100</f>
        <v>3.1506282236319461</v>
      </c>
      <c r="AF62" s="813">
        <f t="shared" si="215"/>
        <v>0</v>
      </c>
      <c r="AG62" s="813">
        <f t="shared" ref="AG62" si="216">(1-AG59)*100</f>
        <v>1.4756170450425765</v>
      </c>
      <c r="AH62" s="813">
        <f t="shared" ref="AH62:AI62" si="217">(1-AH59)*100</f>
        <v>0</v>
      </c>
      <c r="AI62" s="813">
        <f t="shared" si="217"/>
        <v>2.2002180557293194</v>
      </c>
      <c r="AJ62" s="813">
        <f t="shared" ref="AJ62" si="218">(1-AJ59)*100</f>
        <v>0</v>
      </c>
      <c r="AK62" s="813" t="e">
        <f>(1-AK59)*100</f>
        <v>#N/A</v>
      </c>
      <c r="AL62" s="813">
        <f t="shared" ref="AL62" si="219">(1-AL59)*100</f>
        <v>1.0763415628029849</v>
      </c>
      <c r="AM62" s="813">
        <f t="shared" ref="AM62" si="220">(1-AM59)*100</f>
        <v>1.1902074494998582</v>
      </c>
      <c r="AN62" s="813"/>
      <c r="AO62" s="813"/>
      <c r="AP62" s="813">
        <f>(1-AP59)*100</f>
        <v>0</v>
      </c>
      <c r="AQ62" s="813" t="e">
        <f>(1-AQ59)*100</f>
        <v>#N/A</v>
      </c>
      <c r="AR62" s="813"/>
      <c r="AS62" s="813"/>
      <c r="AT62" s="813" t="e">
        <f t="shared" ref="AT62:BC62" si="221">(1-AT59)*100</f>
        <v>#N/A</v>
      </c>
      <c r="AU62" s="813" t="e">
        <f t="shared" si="221"/>
        <v>#N/A</v>
      </c>
      <c r="AV62" s="813" t="e">
        <f t="shared" si="221"/>
        <v>#N/A</v>
      </c>
      <c r="AW62" s="813" t="e">
        <f t="shared" si="221"/>
        <v>#N/A</v>
      </c>
      <c r="AX62" s="813" t="e">
        <f t="shared" si="221"/>
        <v>#N/A</v>
      </c>
      <c r="AY62" s="813" t="e">
        <f t="shared" si="221"/>
        <v>#N/A</v>
      </c>
      <c r="AZ62" s="813" t="e">
        <f t="shared" si="221"/>
        <v>#N/A</v>
      </c>
      <c r="BA62" s="813" t="e">
        <f t="shared" si="221"/>
        <v>#N/A</v>
      </c>
      <c r="BB62" s="813" t="e">
        <f t="shared" si="221"/>
        <v>#N/A</v>
      </c>
      <c r="BC62" s="813" t="e">
        <f t="shared" si="221"/>
        <v>#N/A</v>
      </c>
    </row>
    <row r="63" spans="1:55" ht="14.25" customHeight="1">
      <c r="A63" s="808" t="s">
        <v>495</v>
      </c>
      <c r="B63" s="328" t="e">
        <f>VLOOKUP(B$4,物性!$AA:$AB,2,0)</f>
        <v>#N/A</v>
      </c>
      <c r="C63" s="328" t="e">
        <f>VLOOKUP(C$4,物性!$AA:$AB,2,0)</f>
        <v>#N/A</v>
      </c>
      <c r="D63" s="328" t="e">
        <f>VLOOKUP(D$4,物性!$AA:$AB,2,0)</f>
        <v>#N/A</v>
      </c>
      <c r="E63" s="328" t="e">
        <f>VLOOKUP(E$4,物性!$AA:$AB,2,0)</f>
        <v>#N/A</v>
      </c>
      <c r="F63" s="328" t="e">
        <f>VLOOKUP(F$4,物性!$AA:$AB,2,0)</f>
        <v>#N/A</v>
      </c>
      <c r="G63" s="328" t="e">
        <f>VLOOKUP(G$4,物性!$AA:$AB,2,0)</f>
        <v>#N/A</v>
      </c>
      <c r="H63" s="328" t="e">
        <f>VLOOKUP(H$4,物性!$AA:$AB,2,0)</f>
        <v>#N/A</v>
      </c>
      <c r="I63" s="328" t="e">
        <f>VLOOKUP(I$4,物性!$AA:$AB,2,0)</f>
        <v>#N/A</v>
      </c>
      <c r="J63" s="328" t="e">
        <f>VLOOKUP(J$4,物性!$AA:$AB,2,0)</f>
        <v>#N/A</v>
      </c>
      <c r="K63" s="328" t="e">
        <f>VLOOKUP(K$4,物性!$AA:$AB,2,0)</f>
        <v>#N/A</v>
      </c>
      <c r="L63" s="328" t="e">
        <f>VLOOKUP(L$4,物性!$AA:$AB,2,0)</f>
        <v>#N/A</v>
      </c>
      <c r="M63" s="328" t="e">
        <f>VLOOKUP(M$4,物性!$AA:$AB,2,0)</f>
        <v>#N/A</v>
      </c>
      <c r="N63" s="328" t="e">
        <f>VLOOKUP(N$4,物性!$AA:$AB,2,0)</f>
        <v>#N/A</v>
      </c>
      <c r="O63" s="328" t="e">
        <f>VLOOKUP(O$4,物性!$AA:$AB,2,0)</f>
        <v>#N/A</v>
      </c>
      <c r="P63" s="328" t="e">
        <f>VLOOKUP(P$4,物性!$AA:$AB,2,0)</f>
        <v>#N/A</v>
      </c>
      <c r="Q63" s="328" t="e">
        <f>VLOOKUP(Q$4,物性!$AA:$AB,2,0)</f>
        <v>#N/A</v>
      </c>
      <c r="R63" s="328" t="e">
        <f>VLOOKUP(R$4,物性!$AA:$AB,2,0)</f>
        <v>#N/A</v>
      </c>
      <c r="S63" s="328" t="e">
        <f>VLOOKUP(S$4,物性!$AA:$AB,2,0)</f>
        <v>#N/A</v>
      </c>
      <c r="T63" s="328" t="e">
        <f>VLOOKUP(T$4,物性!$AA:$AB,2,0)</f>
        <v>#N/A</v>
      </c>
      <c r="U63" s="328" t="e">
        <f>VLOOKUP(U$4,物性!$AA:$AB,2,0)</f>
        <v>#N/A</v>
      </c>
      <c r="X63" s="328" t="e">
        <f>VLOOKUP(X$4,物性!$AA:$AB,2,0)</f>
        <v>#N/A</v>
      </c>
      <c r="Y63" s="328" t="e">
        <f>VLOOKUP(Y$4,物性!$AA:$AB,2,0)</f>
        <v>#N/A</v>
      </c>
      <c r="Z63" s="328" t="e">
        <f>VLOOKUP(Z$4,物性!$AA:$AB,2,0)</f>
        <v>#N/A</v>
      </c>
      <c r="AC63" s="328" t="e">
        <f>VLOOKUP(AC$4,物性!$AA:$AB,2,0)</f>
        <v>#N/A</v>
      </c>
      <c r="AD63" s="328" t="e">
        <f>VLOOKUP(AD$4,物性!$AA:$AB,2,0)</f>
        <v>#N/A</v>
      </c>
      <c r="AE63" s="328" t="e">
        <f>VLOOKUP(AE$4,物性!$AA:$AB,2,0)</f>
        <v>#N/A</v>
      </c>
      <c r="AF63" s="328" t="e">
        <f>VLOOKUP(AF$4,物性!$AA:$AB,2,0)</f>
        <v>#N/A</v>
      </c>
      <c r="AG63" s="328" t="e">
        <f>VLOOKUP(AG$4,物性!$AA:$AB,2,0)</f>
        <v>#N/A</v>
      </c>
      <c r="AH63" s="328" t="e">
        <f>VLOOKUP(AH$4,物性!$AA:$AB,2,0)</f>
        <v>#N/A</v>
      </c>
      <c r="AI63" s="328" t="e">
        <f>VLOOKUP(AI$4,物性!$AA:$AB,2,0)</f>
        <v>#N/A</v>
      </c>
      <c r="AJ63" s="328" t="e">
        <f>VLOOKUP(AJ$4,物性!$AA:$AB,2,0)</f>
        <v>#N/A</v>
      </c>
      <c r="AK63" s="328" t="e">
        <f>VLOOKUP(AK$4,物性!$AA:$AB,2,0)</f>
        <v>#N/A</v>
      </c>
      <c r="AL63" s="328" t="e">
        <f>VLOOKUP(AL$4,物性!$AA:$AB,2,0)</f>
        <v>#N/A</v>
      </c>
      <c r="AM63" s="328" t="e">
        <f>VLOOKUP(AM$4,物性!$AA:$AB,2,0)</f>
        <v>#N/A</v>
      </c>
      <c r="AP63" s="328" t="e">
        <f>VLOOKUP(AP$4,物性!$AA:$AB,2,0)</f>
        <v>#N/A</v>
      </c>
      <c r="AQ63" s="328" t="e">
        <f>VLOOKUP(AQ$4,物性!$AA:$AB,2,0)</f>
        <v>#N/A</v>
      </c>
      <c r="AT63" s="328" t="e">
        <f>VLOOKUP(AT$4,物性!$AA:$AB,2,0)</f>
        <v>#N/A</v>
      </c>
      <c r="AU63" s="328" t="e">
        <f>VLOOKUP(AU$4,物性!$AA:$AB,2,0)</f>
        <v>#N/A</v>
      </c>
      <c r="AV63" s="328" t="e">
        <f>VLOOKUP(AV$4,物性!$AA:$AB,2,0)</f>
        <v>#N/A</v>
      </c>
      <c r="AW63" s="328" t="e">
        <f>VLOOKUP(AW$4,物性!$AA:$AB,2,0)</f>
        <v>#N/A</v>
      </c>
      <c r="AX63" s="328" t="e">
        <f>VLOOKUP(AX$4,物性!$AA:$AB,2,0)</f>
        <v>#N/A</v>
      </c>
      <c r="AY63" s="328" t="e">
        <f>VLOOKUP(AY$4,物性!$AA:$AB,2,0)</f>
        <v>#N/A</v>
      </c>
      <c r="AZ63" s="328" t="e">
        <f>VLOOKUP(AZ$4,物性!$AA:$AB,2,0)</f>
        <v>#N/A</v>
      </c>
      <c r="BA63" s="328" t="e">
        <f>VLOOKUP(BA$4,物性!$AA:$AB,2,0)</f>
        <v>#N/A</v>
      </c>
      <c r="BB63" s="328" t="e">
        <f>VLOOKUP(BB$4,物性!$AA:$AB,2,0)</f>
        <v>#N/A</v>
      </c>
      <c r="BC63" s="328" t="e">
        <f>VLOOKUP(BC$4,物性!$AA:$AB,2,0)</f>
        <v>#N/A</v>
      </c>
    </row>
    <row r="64" spans="1:55" ht="14.25" customHeight="1">
      <c r="A64" s="808" t="s">
        <v>496</v>
      </c>
      <c r="B64" s="903" t="e">
        <f>VLOOKUP(B$4,物性!$AA:$AD,4,0)</f>
        <v>#N/A</v>
      </c>
      <c r="C64" s="903" t="e">
        <f>VLOOKUP(C$4,物性!$AA:$AD,4,0)</f>
        <v>#N/A</v>
      </c>
      <c r="D64" s="903" t="e">
        <f>VLOOKUP(D$4,物性!$AA:$AD,4,0)</f>
        <v>#N/A</v>
      </c>
      <c r="E64" s="903" t="e">
        <f>VLOOKUP(E$4,物性!$AA:$AD,4,0)</f>
        <v>#N/A</v>
      </c>
      <c r="F64" s="903" t="e">
        <f>VLOOKUP(F$4,物性!$AA:$AD,4,0)</f>
        <v>#N/A</v>
      </c>
      <c r="G64" s="903" t="e">
        <f>VLOOKUP(G$4,物性!$AA:$AD,4,0)</f>
        <v>#N/A</v>
      </c>
      <c r="H64" s="903" t="e">
        <f>VLOOKUP(H$4,物性!$AA:$AD,4,0)</f>
        <v>#N/A</v>
      </c>
      <c r="I64" s="903" t="e">
        <f>VLOOKUP(I$4,物性!$AA:$AD,4,0)</f>
        <v>#N/A</v>
      </c>
      <c r="J64" s="903" t="e">
        <f>VLOOKUP(J$4,物性!$AA:$AD,4,0)</f>
        <v>#N/A</v>
      </c>
      <c r="K64" s="903" t="e">
        <f>VLOOKUP(K$4,物性!$AA:$AD,4,0)</f>
        <v>#N/A</v>
      </c>
      <c r="L64" s="903" t="e">
        <f>VLOOKUP(L$4,物性!$AA:$AD,4,0)</f>
        <v>#N/A</v>
      </c>
      <c r="M64" s="903" t="e">
        <f>VLOOKUP(M$4,物性!$AA:$AD,4,0)</f>
        <v>#N/A</v>
      </c>
      <c r="N64" s="903" t="e">
        <f>VLOOKUP(N$4,物性!$AA:$AD,4,0)</f>
        <v>#N/A</v>
      </c>
      <c r="O64" s="903" t="e">
        <f>VLOOKUP(O$4,物性!$AA:$AD,4,0)</f>
        <v>#N/A</v>
      </c>
      <c r="P64" s="903" t="e">
        <f>VLOOKUP(P$4,物性!$AA:$AD,4,0)</f>
        <v>#N/A</v>
      </c>
      <c r="Q64" s="903" t="e">
        <f>VLOOKUP(Q$4,物性!$AA:$AD,4,0)</f>
        <v>#N/A</v>
      </c>
      <c r="R64" s="903" t="e">
        <f>VLOOKUP(R$4,物性!$AA:$AD,4,0)</f>
        <v>#N/A</v>
      </c>
      <c r="S64" s="903" t="e">
        <f>VLOOKUP(S$4,物性!$AA:$AD,4,0)</f>
        <v>#N/A</v>
      </c>
      <c r="T64" s="903" t="e">
        <f>VLOOKUP(T$4,物性!$AA:$AD,4,0)</f>
        <v>#N/A</v>
      </c>
      <c r="U64" s="903" t="e">
        <f>VLOOKUP(U$4,物性!$AA:$AD,4,0)</f>
        <v>#N/A</v>
      </c>
      <c r="V64" s="903"/>
      <c r="W64" s="903"/>
      <c r="X64" s="903" t="e">
        <f>VLOOKUP(X$4,物性!$AA:$AD,4,0)</f>
        <v>#N/A</v>
      </c>
      <c r="Y64" s="903" t="e">
        <f>VLOOKUP(Y$4,物性!$AA:$AD,4,0)</f>
        <v>#N/A</v>
      </c>
      <c r="Z64" s="903" t="e">
        <f>VLOOKUP(Z$4,物性!$AA:$AD,4,0)</f>
        <v>#N/A</v>
      </c>
      <c r="AA64" s="903"/>
      <c r="AB64" s="903"/>
      <c r="AC64" s="903" t="e">
        <f>VLOOKUP(AC$4,物性!$AA:$AD,4,0)</f>
        <v>#N/A</v>
      </c>
      <c r="AD64" s="903" t="e">
        <f>VLOOKUP(AD$4,物性!$AA:$AD,4,0)</f>
        <v>#N/A</v>
      </c>
      <c r="AE64" s="903" t="e">
        <f>VLOOKUP(AE$4,物性!$AA:$AD,4,0)</f>
        <v>#N/A</v>
      </c>
      <c r="AF64" s="903" t="e">
        <f>VLOOKUP(AF$4,物性!$AA:$AD,4,0)</f>
        <v>#N/A</v>
      </c>
      <c r="AG64" s="903" t="e">
        <f>VLOOKUP(AG$4,物性!$AA:$AD,4,0)</f>
        <v>#N/A</v>
      </c>
      <c r="AH64" s="903" t="e">
        <f>VLOOKUP(AH$4,物性!$AA:$AD,4,0)</f>
        <v>#N/A</v>
      </c>
      <c r="AI64" s="903" t="e">
        <f>VLOOKUP(AI$4,物性!$AA:$AD,4,0)</f>
        <v>#N/A</v>
      </c>
      <c r="AJ64" s="903" t="e">
        <f>VLOOKUP(AJ$4,物性!$AA:$AD,4,0)</f>
        <v>#N/A</v>
      </c>
      <c r="AK64" s="903" t="e">
        <f>VLOOKUP(AK$4,物性!$AA:$AD,4,0)</f>
        <v>#N/A</v>
      </c>
      <c r="AL64" s="903" t="e">
        <f>VLOOKUP(AL$4,物性!$AA:$AD,4,0)</f>
        <v>#N/A</v>
      </c>
      <c r="AM64" s="903" t="e">
        <f>VLOOKUP(AM$4,物性!$AA:$AD,4,0)</f>
        <v>#N/A</v>
      </c>
      <c r="AN64" s="903"/>
      <c r="AO64" s="903"/>
      <c r="AP64" s="903" t="e">
        <f>VLOOKUP(AP$4,物性!$AA:$AD,4,0)</f>
        <v>#N/A</v>
      </c>
      <c r="AQ64" s="903" t="e">
        <f>VLOOKUP(AQ$4,物性!$AA:$AD,4,0)</f>
        <v>#N/A</v>
      </c>
      <c r="AR64" s="903"/>
      <c r="AS64" s="903"/>
      <c r="AT64" s="903" t="e">
        <f>VLOOKUP(AT$4,物性!$AA:$AD,4,0)</f>
        <v>#N/A</v>
      </c>
      <c r="AU64" s="903" t="e">
        <f>VLOOKUP(AU$4,物性!$AA:$AD,4,0)</f>
        <v>#N/A</v>
      </c>
      <c r="AV64" s="903" t="e">
        <f>VLOOKUP(AV$4,物性!$AA:$AD,4,0)</f>
        <v>#N/A</v>
      </c>
      <c r="AW64" s="903" t="e">
        <f>VLOOKUP(AW$4,物性!$AA:$AD,4,0)</f>
        <v>#N/A</v>
      </c>
      <c r="AX64" s="903" t="e">
        <f>VLOOKUP(AX$4,物性!$AA:$AD,4,0)</f>
        <v>#N/A</v>
      </c>
      <c r="AY64" s="903" t="e">
        <f>VLOOKUP(AY$4,物性!$AA:$AD,4,0)</f>
        <v>#N/A</v>
      </c>
      <c r="AZ64" s="903" t="e">
        <f>VLOOKUP(AZ$4,物性!$AA:$AD,4,0)</f>
        <v>#N/A</v>
      </c>
      <c r="BA64" s="903" t="e">
        <f>VLOOKUP(BA$4,物性!$AA:$AD,4,0)</f>
        <v>#N/A</v>
      </c>
      <c r="BB64" s="903" t="e">
        <f>VLOOKUP(BB$4,物性!$AA:$AD,4,0)</f>
        <v>#N/A</v>
      </c>
      <c r="BC64" s="903" t="e">
        <f>VLOOKUP(BC$4,物性!$AA:$AD,4,0)</f>
        <v>#N/A</v>
      </c>
    </row>
    <row r="65" spans="1:55" ht="14.25" customHeight="1">
      <c r="A65" s="808" t="s">
        <v>497</v>
      </c>
      <c r="B65" s="328" t="e">
        <f>VLOOKUP(B$4,物性!$B:$N,3,0)</f>
        <v>#N/A</v>
      </c>
      <c r="C65" s="328" t="e">
        <f>VLOOKUP(C$4,物性!$B:$N,3,0)</f>
        <v>#N/A</v>
      </c>
      <c r="D65" s="328" t="e">
        <f>VLOOKUP(D$4,物性!$B:$N,3,0)</f>
        <v>#N/A</v>
      </c>
      <c r="E65" s="328" t="e">
        <f>VLOOKUP(E$4,物性!$B:$N,3,0)</f>
        <v>#N/A</v>
      </c>
      <c r="F65" s="328" t="e">
        <f>VLOOKUP(F$4,物性!$B:$N,3,0)</f>
        <v>#N/A</v>
      </c>
      <c r="G65" s="328" t="e">
        <f>VLOOKUP(G$4,物性!$B:$N,3,0)</f>
        <v>#N/A</v>
      </c>
      <c r="H65" s="328" t="e">
        <f>VLOOKUP(H$4,物性!$B:$N,3,0)</f>
        <v>#N/A</v>
      </c>
      <c r="I65" s="328" t="e">
        <f>VLOOKUP(I$4,物性!$B:$N,3,0)</f>
        <v>#N/A</v>
      </c>
      <c r="J65" s="328" t="e">
        <f>VLOOKUP(J$4,物性!$B:$N,3,0)</f>
        <v>#N/A</v>
      </c>
      <c r="K65" s="328" t="e">
        <f>VLOOKUP(K$4,物性!$B:$N,3,0)</f>
        <v>#N/A</v>
      </c>
      <c r="L65" s="328" t="e">
        <f>VLOOKUP(L$4,物性!$B:$N,3,0)</f>
        <v>#N/A</v>
      </c>
      <c r="M65" s="328" t="e">
        <f>VLOOKUP(M$4,物性!$B:$N,3,0)</f>
        <v>#N/A</v>
      </c>
      <c r="N65" s="328" t="e">
        <f>VLOOKUP(N$4,物性!$B:$N,3,0)</f>
        <v>#N/A</v>
      </c>
      <c r="O65" s="328" t="e">
        <f>VLOOKUP(O$4,物性!$B:$N,3,0)</f>
        <v>#N/A</v>
      </c>
      <c r="P65" s="328" t="e">
        <f>VLOOKUP(P$4,物性!$B:$N,3,0)</f>
        <v>#N/A</v>
      </c>
      <c r="Q65" s="328" t="e">
        <f>VLOOKUP(Q$4,物性!$B:$N,3,0)</f>
        <v>#N/A</v>
      </c>
      <c r="R65" s="328" t="e">
        <f>VLOOKUP(R$4,物性!$B:$N,3,0)</f>
        <v>#N/A</v>
      </c>
      <c r="S65" s="328" t="e">
        <f>VLOOKUP(S$4,物性!$B:$N,3,0)</f>
        <v>#N/A</v>
      </c>
      <c r="T65" s="328" t="e">
        <f>VLOOKUP(T$4,物性!$B:$N,3,0)</f>
        <v>#N/A</v>
      </c>
      <c r="U65" s="328" t="e">
        <f>VLOOKUP(U$4,物性!$B:$N,3,0)</f>
        <v>#N/A</v>
      </c>
      <c r="X65" s="328" t="e">
        <f>VLOOKUP(X$4,物性!$B:$N,3,0)</f>
        <v>#N/A</v>
      </c>
      <c r="Y65" s="328" t="e">
        <f>VLOOKUP(Y$4,物性!$B:$N,3,0)</f>
        <v>#N/A</v>
      </c>
      <c r="Z65" s="328" t="e">
        <f>VLOOKUP(Z$4,物性!$B:$N,3,0)</f>
        <v>#N/A</v>
      </c>
      <c r="AC65" s="328" t="e">
        <f>VLOOKUP(AC$4,物性!$B:$N,3,0)</f>
        <v>#N/A</v>
      </c>
      <c r="AD65" s="328" t="e">
        <f>VLOOKUP(AD$4,物性!$B:$N,3,0)</f>
        <v>#N/A</v>
      </c>
      <c r="AE65" s="328" t="e">
        <f>VLOOKUP(AE$4,物性!$B:$N,3,0)</f>
        <v>#N/A</v>
      </c>
      <c r="AF65" s="328" t="e">
        <f>VLOOKUP(AF$4,物性!$B:$N,3,0)</f>
        <v>#N/A</v>
      </c>
      <c r="AG65" s="328" t="e">
        <f>VLOOKUP(AG$4,物性!$B:$N,3,0)</f>
        <v>#N/A</v>
      </c>
      <c r="AH65" s="328" t="e">
        <f>VLOOKUP(AH$4,物性!$B:$N,3,0)</f>
        <v>#N/A</v>
      </c>
      <c r="AI65" s="328" t="e">
        <f>VLOOKUP(AI$4,物性!$B:$N,3,0)</f>
        <v>#N/A</v>
      </c>
      <c r="AJ65" s="328" t="e">
        <f>VLOOKUP(AJ$4,物性!$B:$N,3,0)</f>
        <v>#N/A</v>
      </c>
      <c r="AK65" s="328" t="e">
        <f>VLOOKUP(AK$4,物性!$B:$N,3,0)</f>
        <v>#N/A</v>
      </c>
      <c r="AL65" s="328" t="e">
        <f>VLOOKUP(AL$4,物性!$B:$N,3,0)</f>
        <v>#N/A</v>
      </c>
      <c r="AM65" s="328" t="e">
        <f>VLOOKUP(AM$4,物性!$B:$N,3,0)</f>
        <v>#N/A</v>
      </c>
      <c r="AP65" s="328" t="e">
        <f>VLOOKUP(AP$4,物性!$B:$N,3,0)</f>
        <v>#N/A</v>
      </c>
      <c r="AQ65" s="328" t="e">
        <f>VLOOKUP(AQ$4,物性!$B:$N,3,0)</f>
        <v>#N/A</v>
      </c>
      <c r="AT65" s="328" t="e">
        <f>VLOOKUP(AT$4,物性!$B:$N,3,0)</f>
        <v>#N/A</v>
      </c>
      <c r="AU65" s="328" t="e">
        <f>VLOOKUP(AU$4,物性!$B:$N,3,0)</f>
        <v>#N/A</v>
      </c>
      <c r="AV65" s="328" t="e">
        <f>VLOOKUP(AV$4,物性!$B:$N,3,0)</f>
        <v>#N/A</v>
      </c>
      <c r="AW65" s="328" t="e">
        <f>VLOOKUP(AW$4,物性!$B:$N,3,0)</f>
        <v>#N/A</v>
      </c>
      <c r="AX65" s="328" t="e">
        <f>VLOOKUP(AX$4,物性!$B:$N,3,0)</f>
        <v>#N/A</v>
      </c>
      <c r="AY65" s="328" t="e">
        <f>VLOOKUP(AY$4,物性!$B:$N,3,0)</f>
        <v>#N/A</v>
      </c>
      <c r="AZ65" s="328" t="e">
        <f>VLOOKUP(AZ$4,物性!$B:$N,3,0)</f>
        <v>#N/A</v>
      </c>
      <c r="BA65" s="328" t="e">
        <f>VLOOKUP(BA$4,物性!$B:$N,3,0)</f>
        <v>#N/A</v>
      </c>
      <c r="BB65" s="328" t="e">
        <f>VLOOKUP(BB$4,物性!$B:$N,3,0)</f>
        <v>#N/A</v>
      </c>
      <c r="BC65" s="328" t="e">
        <f>VLOOKUP(BC$4,物性!$B:$N,3,0)</f>
        <v>#N/A</v>
      </c>
    </row>
    <row r="66" spans="1:55" ht="14.25" customHeight="1">
      <c r="A66" s="808" t="s">
        <v>498</v>
      </c>
      <c r="B66" s="328" t="e">
        <f>VLOOKUP(B$4,物性!$B:$N,4,0)</f>
        <v>#N/A</v>
      </c>
      <c r="C66" s="328" t="e">
        <f>VLOOKUP(C$4,物性!$B:$N,4,0)</f>
        <v>#N/A</v>
      </c>
      <c r="D66" s="328" t="e">
        <f>VLOOKUP(D$4,物性!$B:$N,4,0)</f>
        <v>#N/A</v>
      </c>
      <c r="E66" s="328" t="e">
        <f>VLOOKUP(E$4,物性!$B:$N,4,0)</f>
        <v>#N/A</v>
      </c>
      <c r="F66" s="328" t="e">
        <f>VLOOKUP(F$4,物性!$B:$N,4,0)</f>
        <v>#N/A</v>
      </c>
      <c r="G66" s="328" t="e">
        <f>VLOOKUP(G$4,物性!$B:$N,4,0)</f>
        <v>#N/A</v>
      </c>
      <c r="H66" s="328" t="e">
        <f>VLOOKUP(H$4,物性!$B:$N,4,0)</f>
        <v>#N/A</v>
      </c>
      <c r="I66" s="328" t="e">
        <f>VLOOKUP(I$4,物性!$B:$N,4,0)</f>
        <v>#N/A</v>
      </c>
      <c r="J66" s="328" t="e">
        <f>VLOOKUP(J$4,物性!$B:$N,4,0)</f>
        <v>#N/A</v>
      </c>
      <c r="K66" s="328" t="e">
        <f>VLOOKUP(K$4,物性!$B:$N,4,0)</f>
        <v>#N/A</v>
      </c>
      <c r="L66" s="328" t="e">
        <f>VLOOKUP(L$4,物性!$B:$N,4,0)</f>
        <v>#N/A</v>
      </c>
      <c r="M66" s="328" t="e">
        <f>VLOOKUP(M$4,物性!$B:$N,4,0)</f>
        <v>#N/A</v>
      </c>
      <c r="N66" s="328" t="e">
        <f>VLOOKUP(N$4,物性!$B:$N,4,0)</f>
        <v>#N/A</v>
      </c>
      <c r="O66" s="328" t="e">
        <f>VLOOKUP(O$4,物性!$B:$N,4,0)</f>
        <v>#N/A</v>
      </c>
      <c r="P66" s="328" t="e">
        <f>VLOOKUP(P$4,物性!$B:$N,4,0)</f>
        <v>#N/A</v>
      </c>
      <c r="Q66" s="328" t="e">
        <f>VLOOKUP(Q$4,物性!$B:$N,4,0)</f>
        <v>#N/A</v>
      </c>
      <c r="R66" s="328" t="e">
        <f>VLOOKUP(R$4,物性!$B:$N,4,0)</f>
        <v>#N/A</v>
      </c>
      <c r="S66" s="328" t="e">
        <f>VLOOKUP(S$4,物性!$B:$N,4,0)</f>
        <v>#N/A</v>
      </c>
      <c r="T66" s="328" t="e">
        <f>VLOOKUP(T$4,物性!$B:$N,4,0)</f>
        <v>#N/A</v>
      </c>
      <c r="U66" s="328" t="e">
        <f>VLOOKUP(U$4,物性!$B:$N,4,0)</f>
        <v>#N/A</v>
      </c>
      <c r="X66" s="328" t="e">
        <f>VLOOKUP(X$4,物性!$B:$N,4,0)</f>
        <v>#N/A</v>
      </c>
      <c r="Y66" s="328" t="e">
        <f>VLOOKUP(Y$4,物性!$B:$N,4,0)</f>
        <v>#N/A</v>
      </c>
      <c r="Z66" s="328" t="e">
        <f>VLOOKUP(Z$4,物性!$B:$N,4,0)</f>
        <v>#N/A</v>
      </c>
      <c r="AC66" s="328" t="e">
        <f>VLOOKUP(AC$4,物性!$B:$N,4,0)</f>
        <v>#N/A</v>
      </c>
      <c r="AD66" s="328" t="e">
        <f>VLOOKUP(AD$4,物性!$B:$N,4,0)</f>
        <v>#N/A</v>
      </c>
      <c r="AE66" s="328" t="e">
        <f>VLOOKUP(AE$4,物性!$B:$N,4,0)</f>
        <v>#N/A</v>
      </c>
      <c r="AF66" s="328" t="e">
        <f>VLOOKUP(AF$4,物性!$B:$N,4,0)</f>
        <v>#N/A</v>
      </c>
      <c r="AG66" s="328" t="e">
        <f>VLOOKUP(AG$4,物性!$B:$N,4,0)</f>
        <v>#N/A</v>
      </c>
      <c r="AH66" s="328" t="e">
        <f>VLOOKUP(AH$4,物性!$B:$N,4,0)</f>
        <v>#N/A</v>
      </c>
      <c r="AI66" s="328" t="e">
        <f>VLOOKUP(AI$4,物性!$B:$N,4,0)</f>
        <v>#N/A</v>
      </c>
      <c r="AJ66" s="328" t="e">
        <f>VLOOKUP(AJ$4,物性!$B:$N,4,0)</f>
        <v>#N/A</v>
      </c>
      <c r="AK66" s="328" t="e">
        <f>VLOOKUP(AK$4,物性!$B:$N,4,0)</f>
        <v>#N/A</v>
      </c>
      <c r="AL66" s="328" t="e">
        <f>VLOOKUP(AL$4,物性!$B:$N,4,0)</f>
        <v>#N/A</v>
      </c>
      <c r="AM66" s="328" t="e">
        <f>VLOOKUP(AM$4,物性!$B:$N,4,0)</f>
        <v>#N/A</v>
      </c>
      <c r="AP66" s="328" t="e">
        <f>VLOOKUP(AP$4,物性!$B:$N,4,0)</f>
        <v>#N/A</v>
      </c>
      <c r="AQ66" s="328" t="e">
        <f>VLOOKUP(AQ$4,物性!$B:$N,4,0)</f>
        <v>#N/A</v>
      </c>
      <c r="AT66" s="328" t="e">
        <f>VLOOKUP(AT$4,物性!$B:$N,4,0)</f>
        <v>#N/A</v>
      </c>
      <c r="AU66" s="328" t="e">
        <f>VLOOKUP(AU$4,物性!$B:$N,4,0)</f>
        <v>#N/A</v>
      </c>
      <c r="AV66" s="328" t="e">
        <f>VLOOKUP(AV$4,物性!$B:$N,4,0)</f>
        <v>#N/A</v>
      </c>
      <c r="AW66" s="328" t="e">
        <f>VLOOKUP(AW$4,物性!$B:$N,4,0)</f>
        <v>#N/A</v>
      </c>
      <c r="AX66" s="328" t="e">
        <f>VLOOKUP(AX$4,物性!$B:$N,4,0)</f>
        <v>#N/A</v>
      </c>
      <c r="AY66" s="328" t="e">
        <f>VLOOKUP(AY$4,物性!$B:$N,4,0)</f>
        <v>#N/A</v>
      </c>
      <c r="AZ66" s="328" t="e">
        <f>VLOOKUP(AZ$4,物性!$B:$N,4,0)</f>
        <v>#N/A</v>
      </c>
      <c r="BA66" s="328" t="e">
        <f>VLOOKUP(BA$4,物性!$B:$N,4,0)</f>
        <v>#N/A</v>
      </c>
      <c r="BB66" s="328" t="e">
        <f>VLOOKUP(BB$4,物性!$B:$N,4,0)</f>
        <v>#N/A</v>
      </c>
      <c r="BC66" s="328" t="e">
        <f>VLOOKUP(BC$4,物性!$B:$N,4,0)</f>
        <v>#N/A</v>
      </c>
    </row>
    <row r="67" spans="1:55" ht="14.25" customHeight="1">
      <c r="A67" s="808" t="s">
        <v>499</v>
      </c>
      <c r="B67" s="328" t="e">
        <f>VLOOKUP(B$4,物性!$B:$N,5,0)</f>
        <v>#N/A</v>
      </c>
      <c r="C67" s="328" t="e">
        <f>VLOOKUP(C$4,物性!$B:$N,5,0)</f>
        <v>#N/A</v>
      </c>
      <c r="D67" s="328" t="e">
        <f>VLOOKUP(D$4,物性!$B:$N,5,0)</f>
        <v>#N/A</v>
      </c>
      <c r="E67" s="328" t="e">
        <f>VLOOKUP(E$4,物性!$B:$N,5,0)</f>
        <v>#N/A</v>
      </c>
      <c r="F67" s="328" t="e">
        <f>VLOOKUP(F$4,物性!$B:$N,5,0)</f>
        <v>#N/A</v>
      </c>
      <c r="G67" s="328" t="e">
        <f>VLOOKUP(G$4,物性!$B:$N,5,0)</f>
        <v>#N/A</v>
      </c>
      <c r="H67" s="328" t="e">
        <f>VLOOKUP(H$4,物性!$B:$N,5,0)</f>
        <v>#N/A</v>
      </c>
      <c r="I67" s="328" t="e">
        <f>VLOOKUP(I$4,物性!$B:$N,5,0)</f>
        <v>#N/A</v>
      </c>
      <c r="J67" s="328" t="e">
        <f>VLOOKUP(J$4,物性!$B:$N,5,0)</f>
        <v>#N/A</v>
      </c>
      <c r="K67" s="328" t="e">
        <f>VLOOKUP(K$4,物性!$B:$N,5,0)</f>
        <v>#N/A</v>
      </c>
      <c r="L67" s="328" t="e">
        <f>VLOOKUP(L$4,物性!$B:$N,5,0)</f>
        <v>#N/A</v>
      </c>
      <c r="M67" s="328" t="e">
        <f>VLOOKUP(M$4,物性!$B:$N,5,0)</f>
        <v>#N/A</v>
      </c>
      <c r="N67" s="328" t="e">
        <f>VLOOKUP(N$4,物性!$B:$N,5,0)</f>
        <v>#N/A</v>
      </c>
      <c r="O67" s="328" t="e">
        <f>VLOOKUP(O$4,物性!$B:$N,5,0)</f>
        <v>#N/A</v>
      </c>
      <c r="P67" s="328" t="e">
        <f>VLOOKUP(P$4,物性!$B:$N,5,0)</f>
        <v>#N/A</v>
      </c>
      <c r="Q67" s="328" t="e">
        <f>VLOOKUP(Q$4,物性!$B:$N,5,0)</f>
        <v>#N/A</v>
      </c>
      <c r="R67" s="328" t="e">
        <f>VLOOKUP(R$4,物性!$B:$N,5,0)</f>
        <v>#N/A</v>
      </c>
      <c r="S67" s="328" t="e">
        <f>VLOOKUP(S$4,物性!$B:$N,5,0)</f>
        <v>#N/A</v>
      </c>
      <c r="T67" s="328" t="e">
        <f>VLOOKUP(T$4,物性!$B:$N,5,0)</f>
        <v>#N/A</v>
      </c>
      <c r="U67" s="328" t="e">
        <f>VLOOKUP(U$4,物性!$B:$N,5,0)</f>
        <v>#N/A</v>
      </c>
      <c r="X67" s="328" t="e">
        <f>VLOOKUP(X$4,物性!$B:$N,5,0)</f>
        <v>#N/A</v>
      </c>
      <c r="Y67" s="328" t="e">
        <f>VLOOKUP(Y$4,物性!$B:$N,5,0)</f>
        <v>#N/A</v>
      </c>
      <c r="Z67" s="328" t="e">
        <f>VLOOKUP(Z$4,物性!$B:$N,5,0)</f>
        <v>#N/A</v>
      </c>
      <c r="AC67" s="328" t="e">
        <f>VLOOKUP(AC$4,物性!$B:$N,5,0)</f>
        <v>#N/A</v>
      </c>
      <c r="AD67" s="328" t="e">
        <f>VLOOKUP(AD$4,物性!$B:$N,5,0)</f>
        <v>#N/A</v>
      </c>
      <c r="AE67" s="328" t="e">
        <f>VLOOKUP(AE$4,物性!$B:$N,5,0)</f>
        <v>#N/A</v>
      </c>
      <c r="AF67" s="328" t="e">
        <f>VLOOKUP(AF$4,物性!$B:$N,5,0)</f>
        <v>#N/A</v>
      </c>
      <c r="AG67" s="328" t="e">
        <f>VLOOKUP(AG$4,物性!$B:$N,5,0)</f>
        <v>#N/A</v>
      </c>
      <c r="AH67" s="328" t="e">
        <f>VLOOKUP(AH$4,物性!$B:$N,5,0)</f>
        <v>#N/A</v>
      </c>
      <c r="AI67" s="328" t="e">
        <f>VLOOKUP(AI$4,物性!$B:$N,5,0)</f>
        <v>#N/A</v>
      </c>
      <c r="AJ67" s="328" t="e">
        <f>VLOOKUP(AJ$4,物性!$B:$N,5,0)</f>
        <v>#N/A</v>
      </c>
      <c r="AK67" s="328" t="e">
        <f>VLOOKUP(AK$4,物性!$B:$N,5,0)</f>
        <v>#N/A</v>
      </c>
      <c r="AL67" s="328" t="e">
        <f>VLOOKUP(AL$4,物性!$B:$N,5,0)</f>
        <v>#N/A</v>
      </c>
      <c r="AM67" s="328" t="e">
        <f>VLOOKUP(AM$4,物性!$B:$N,5,0)</f>
        <v>#N/A</v>
      </c>
      <c r="AP67" s="328" t="e">
        <f>VLOOKUP(AP$4,物性!$B:$N,5,0)</f>
        <v>#N/A</v>
      </c>
      <c r="AQ67" s="328" t="e">
        <f>VLOOKUP(AQ$4,物性!$B:$N,5,0)</f>
        <v>#N/A</v>
      </c>
      <c r="AT67" s="328" t="e">
        <f>VLOOKUP(AT$4,物性!$B:$N,5,0)</f>
        <v>#N/A</v>
      </c>
      <c r="AU67" s="328" t="e">
        <f>VLOOKUP(AU$4,物性!$B:$N,5,0)</f>
        <v>#N/A</v>
      </c>
      <c r="AV67" s="328" t="e">
        <f>VLOOKUP(AV$4,物性!$B:$N,5,0)</f>
        <v>#N/A</v>
      </c>
      <c r="AW67" s="328" t="e">
        <f>VLOOKUP(AW$4,物性!$B:$N,5,0)</f>
        <v>#N/A</v>
      </c>
      <c r="AX67" s="328" t="e">
        <f>VLOOKUP(AX$4,物性!$B:$N,5,0)</f>
        <v>#N/A</v>
      </c>
      <c r="AY67" s="328" t="e">
        <f>VLOOKUP(AY$4,物性!$B:$N,5,0)</f>
        <v>#N/A</v>
      </c>
      <c r="AZ67" s="328" t="e">
        <f>VLOOKUP(AZ$4,物性!$B:$N,5,0)</f>
        <v>#N/A</v>
      </c>
      <c r="BA67" s="328" t="e">
        <f>VLOOKUP(BA$4,物性!$B:$N,5,0)</f>
        <v>#N/A</v>
      </c>
      <c r="BB67" s="328" t="e">
        <f>VLOOKUP(BB$4,物性!$B:$N,5,0)</f>
        <v>#N/A</v>
      </c>
      <c r="BC67" s="328" t="e">
        <f>VLOOKUP(BC$4,物性!$B:$N,5,0)</f>
        <v>#N/A</v>
      </c>
    </row>
    <row r="68" spans="1:55" ht="14.25" customHeight="1">
      <c r="A68" s="808" t="s">
        <v>500</v>
      </c>
      <c r="B68" s="328" t="e">
        <f>VLOOKUP(B$4,物性!$B:$N,6,0)</f>
        <v>#N/A</v>
      </c>
      <c r="C68" s="328" t="e">
        <f>VLOOKUP(C$4,物性!$B:$N,6,0)</f>
        <v>#N/A</v>
      </c>
      <c r="D68" s="328" t="e">
        <f>VLOOKUP(D$4,物性!$B:$N,6,0)</f>
        <v>#N/A</v>
      </c>
      <c r="E68" s="328" t="e">
        <f>VLOOKUP(E$4,物性!$B:$N,6,0)</f>
        <v>#N/A</v>
      </c>
      <c r="F68" s="328" t="e">
        <f>VLOOKUP(F$4,物性!$B:$N,6,0)</f>
        <v>#N/A</v>
      </c>
      <c r="G68" s="328" t="e">
        <f>VLOOKUP(G$4,物性!$B:$N,6,0)</f>
        <v>#N/A</v>
      </c>
      <c r="H68" s="328" t="e">
        <f>VLOOKUP(H$4,物性!$B:$N,6,0)</f>
        <v>#N/A</v>
      </c>
      <c r="I68" s="328" t="e">
        <f>VLOOKUP(I$4,物性!$B:$N,6,0)</f>
        <v>#N/A</v>
      </c>
      <c r="J68" s="328" t="e">
        <f>VLOOKUP(J$4,物性!$B:$N,6,0)</f>
        <v>#N/A</v>
      </c>
      <c r="K68" s="328" t="e">
        <f>VLOOKUP(K$4,物性!$B:$N,6,0)</f>
        <v>#N/A</v>
      </c>
      <c r="L68" s="328" t="e">
        <f>VLOOKUP(L$4,物性!$B:$N,6,0)</f>
        <v>#N/A</v>
      </c>
      <c r="M68" s="328" t="e">
        <f>VLOOKUP(M$4,物性!$B:$N,6,0)</f>
        <v>#N/A</v>
      </c>
      <c r="N68" s="328" t="e">
        <f>VLOOKUP(N$4,物性!$B:$N,6,0)</f>
        <v>#N/A</v>
      </c>
      <c r="O68" s="328" t="e">
        <f>VLOOKUP(O$4,物性!$B:$N,6,0)</f>
        <v>#N/A</v>
      </c>
      <c r="P68" s="328" t="e">
        <f>VLOOKUP(P$4,物性!$B:$N,6,0)</f>
        <v>#N/A</v>
      </c>
      <c r="Q68" s="328" t="e">
        <f>VLOOKUP(Q$4,物性!$B:$N,6,0)</f>
        <v>#N/A</v>
      </c>
      <c r="R68" s="328" t="e">
        <f>VLOOKUP(R$4,物性!$B:$N,6,0)</f>
        <v>#N/A</v>
      </c>
      <c r="S68" s="328" t="e">
        <f>VLOOKUP(S$4,物性!$B:$N,6,0)</f>
        <v>#N/A</v>
      </c>
      <c r="T68" s="328" t="e">
        <f>VLOOKUP(T$4,物性!$B:$N,6,0)</f>
        <v>#N/A</v>
      </c>
      <c r="U68" s="328" t="e">
        <f>VLOOKUP(U$4,物性!$B:$N,6,0)</f>
        <v>#N/A</v>
      </c>
      <c r="X68" s="328" t="e">
        <f>VLOOKUP(X$4,物性!$B:$N,6,0)</f>
        <v>#N/A</v>
      </c>
      <c r="Y68" s="328" t="e">
        <f>VLOOKUP(Y$4,物性!$B:$N,6,0)</f>
        <v>#N/A</v>
      </c>
      <c r="Z68" s="328" t="e">
        <f>VLOOKUP(Z$4,物性!$B:$N,6,0)</f>
        <v>#N/A</v>
      </c>
      <c r="AC68" s="328" t="e">
        <f>VLOOKUP(AC$4,物性!$B:$N,6,0)</f>
        <v>#N/A</v>
      </c>
      <c r="AD68" s="328" t="e">
        <f>VLOOKUP(AD$4,物性!$B:$N,6,0)</f>
        <v>#N/A</v>
      </c>
      <c r="AE68" s="328" t="e">
        <f>VLOOKUP(AE$4,物性!$B:$N,6,0)</f>
        <v>#N/A</v>
      </c>
      <c r="AF68" s="328" t="e">
        <f>VLOOKUP(AF$4,物性!$B:$N,6,0)</f>
        <v>#N/A</v>
      </c>
      <c r="AG68" s="328" t="e">
        <f>VLOOKUP(AG$4,物性!$B:$N,6,0)</f>
        <v>#N/A</v>
      </c>
      <c r="AH68" s="328" t="e">
        <f>VLOOKUP(AH$4,物性!$B:$N,6,0)</f>
        <v>#N/A</v>
      </c>
      <c r="AI68" s="328" t="e">
        <f>VLOOKUP(AI$4,物性!$B:$N,6,0)</f>
        <v>#N/A</v>
      </c>
      <c r="AJ68" s="328" t="e">
        <f>VLOOKUP(AJ$4,物性!$B:$N,6,0)</f>
        <v>#N/A</v>
      </c>
      <c r="AK68" s="328" t="e">
        <f>VLOOKUP(AK$4,物性!$B:$N,6,0)</f>
        <v>#N/A</v>
      </c>
      <c r="AL68" s="328" t="e">
        <f>VLOOKUP(AL$4,物性!$B:$N,6,0)</f>
        <v>#N/A</v>
      </c>
      <c r="AM68" s="328" t="e">
        <f>VLOOKUP(AM$4,物性!$B:$N,6,0)</f>
        <v>#N/A</v>
      </c>
      <c r="AP68" s="328" t="e">
        <f>VLOOKUP(AP$4,物性!$B:$N,6,0)</f>
        <v>#N/A</v>
      </c>
      <c r="AQ68" s="328" t="e">
        <f>VLOOKUP(AQ$4,物性!$B:$N,6,0)</f>
        <v>#N/A</v>
      </c>
      <c r="AT68" s="328" t="e">
        <f>VLOOKUP(AT$4,物性!$B:$N,6,0)</f>
        <v>#N/A</v>
      </c>
      <c r="AU68" s="328" t="e">
        <f>VLOOKUP(AU$4,物性!$B:$N,6,0)</f>
        <v>#N/A</v>
      </c>
      <c r="AV68" s="328" t="e">
        <f>VLOOKUP(AV$4,物性!$B:$N,6,0)</f>
        <v>#N/A</v>
      </c>
      <c r="AW68" s="328" t="e">
        <f>VLOOKUP(AW$4,物性!$B:$N,6,0)</f>
        <v>#N/A</v>
      </c>
      <c r="AX68" s="328" t="e">
        <f>VLOOKUP(AX$4,物性!$B:$N,6,0)</f>
        <v>#N/A</v>
      </c>
      <c r="AY68" s="328" t="e">
        <f>VLOOKUP(AY$4,物性!$B:$N,6,0)</f>
        <v>#N/A</v>
      </c>
      <c r="AZ68" s="328" t="e">
        <f>VLOOKUP(AZ$4,物性!$B:$N,6,0)</f>
        <v>#N/A</v>
      </c>
      <c r="BA68" s="328" t="e">
        <f>VLOOKUP(BA$4,物性!$B:$N,6,0)</f>
        <v>#N/A</v>
      </c>
      <c r="BB68" s="328" t="e">
        <f>VLOOKUP(BB$4,物性!$B:$N,6,0)</f>
        <v>#N/A</v>
      </c>
      <c r="BC68" s="328" t="e">
        <f>VLOOKUP(BC$4,物性!$B:$N,6,0)</f>
        <v>#N/A</v>
      </c>
    </row>
    <row r="69" spans="1:55" ht="14.25" customHeight="1">
      <c r="A69" s="808" t="s">
        <v>501</v>
      </c>
      <c r="B69" s="328" t="e">
        <f>VLOOKUP(B$4,物性!$B:$N,7,0)</f>
        <v>#N/A</v>
      </c>
      <c r="C69" s="328" t="e">
        <f>VLOOKUP(C$4,物性!$B:$N,7,0)</f>
        <v>#N/A</v>
      </c>
      <c r="D69" s="328" t="e">
        <f>VLOOKUP(D$4,物性!$B:$N,7,0)</f>
        <v>#N/A</v>
      </c>
      <c r="E69" s="328" t="e">
        <f>VLOOKUP(E$4,物性!$B:$N,7,0)</f>
        <v>#N/A</v>
      </c>
      <c r="F69" s="328" t="e">
        <f>VLOOKUP(F$4,物性!$B:$N,7,0)</f>
        <v>#N/A</v>
      </c>
      <c r="G69" s="328" t="e">
        <f>VLOOKUP(G$4,物性!$B:$N,7,0)</f>
        <v>#N/A</v>
      </c>
      <c r="H69" s="328" t="e">
        <f>VLOOKUP(H$4,物性!$B:$N,7,0)</f>
        <v>#N/A</v>
      </c>
      <c r="I69" s="328" t="e">
        <f>VLOOKUP(I$4,物性!$B:$N,7,0)</f>
        <v>#N/A</v>
      </c>
      <c r="J69" s="328" t="e">
        <f>VLOOKUP(J$4,物性!$B:$N,7,0)</f>
        <v>#N/A</v>
      </c>
      <c r="K69" s="328" t="e">
        <f>VLOOKUP(K$4,物性!$B:$N,7,0)</f>
        <v>#N/A</v>
      </c>
      <c r="L69" s="328" t="e">
        <f>VLOOKUP(L$4,物性!$B:$N,7,0)</f>
        <v>#N/A</v>
      </c>
      <c r="M69" s="328" t="e">
        <f>VLOOKUP(M$4,物性!$B:$N,7,0)</f>
        <v>#N/A</v>
      </c>
      <c r="N69" s="328" t="e">
        <f>VLOOKUP(N$4,物性!$B:$N,7,0)</f>
        <v>#N/A</v>
      </c>
      <c r="O69" s="328" t="e">
        <f>VLOOKUP(O$4,物性!$B:$N,7,0)</f>
        <v>#N/A</v>
      </c>
      <c r="P69" s="328" t="e">
        <f>VLOOKUP(P$4,物性!$B:$N,7,0)</f>
        <v>#N/A</v>
      </c>
      <c r="Q69" s="328" t="e">
        <f>VLOOKUP(Q$4,物性!$B:$N,7,0)</f>
        <v>#N/A</v>
      </c>
      <c r="R69" s="328" t="e">
        <f>VLOOKUP(R$4,物性!$B:$N,7,0)</f>
        <v>#N/A</v>
      </c>
      <c r="S69" s="328" t="e">
        <f>VLOOKUP(S$4,物性!$B:$N,7,0)</f>
        <v>#N/A</v>
      </c>
      <c r="T69" s="328" t="e">
        <f>VLOOKUP(T$4,物性!$B:$N,7,0)</f>
        <v>#N/A</v>
      </c>
      <c r="U69" s="328" t="e">
        <f>VLOOKUP(U$4,物性!$B:$N,7,0)</f>
        <v>#N/A</v>
      </c>
      <c r="X69" s="328" t="e">
        <f>VLOOKUP(X$4,物性!$B:$N,7,0)</f>
        <v>#N/A</v>
      </c>
      <c r="Y69" s="328" t="e">
        <f>VLOOKUP(Y$4,物性!$B:$N,7,0)</f>
        <v>#N/A</v>
      </c>
      <c r="Z69" s="328" t="e">
        <f>VLOOKUP(Z$4,物性!$B:$N,7,0)</f>
        <v>#N/A</v>
      </c>
      <c r="AC69" s="328" t="e">
        <f>VLOOKUP(AC$4,物性!$B:$N,7,0)</f>
        <v>#N/A</v>
      </c>
      <c r="AD69" s="328" t="e">
        <f>VLOOKUP(AD$4,物性!$B:$N,7,0)</f>
        <v>#N/A</v>
      </c>
      <c r="AE69" s="328" t="e">
        <f>VLOOKUP(AE$4,物性!$B:$N,7,0)</f>
        <v>#N/A</v>
      </c>
      <c r="AF69" s="328" t="e">
        <f>VLOOKUP(AF$4,物性!$B:$N,7,0)</f>
        <v>#N/A</v>
      </c>
      <c r="AG69" s="328" t="e">
        <f>VLOOKUP(AG$4,物性!$B:$N,7,0)</f>
        <v>#N/A</v>
      </c>
      <c r="AH69" s="328" t="e">
        <f>VLOOKUP(AH$4,物性!$B:$N,7,0)</f>
        <v>#N/A</v>
      </c>
      <c r="AI69" s="328" t="e">
        <f>VLOOKUP(AI$4,物性!$B:$N,7,0)</f>
        <v>#N/A</v>
      </c>
      <c r="AJ69" s="328" t="e">
        <f>VLOOKUP(AJ$4,物性!$B:$N,7,0)</f>
        <v>#N/A</v>
      </c>
      <c r="AK69" s="328" t="e">
        <f>VLOOKUP(AK$4,物性!$B:$N,7,0)</f>
        <v>#N/A</v>
      </c>
      <c r="AL69" s="328" t="e">
        <f>VLOOKUP(AL$4,物性!$B:$N,7,0)</f>
        <v>#N/A</v>
      </c>
      <c r="AM69" s="328" t="e">
        <f>VLOOKUP(AM$4,物性!$B:$N,7,0)</f>
        <v>#N/A</v>
      </c>
      <c r="AP69" s="328" t="e">
        <f>VLOOKUP(AP$4,物性!$B:$N,7,0)</f>
        <v>#N/A</v>
      </c>
      <c r="AQ69" s="328" t="e">
        <f>VLOOKUP(AQ$4,物性!$B:$N,7,0)</f>
        <v>#N/A</v>
      </c>
      <c r="AT69" s="328" t="e">
        <f>VLOOKUP(AT$4,物性!$B:$N,7,0)</f>
        <v>#N/A</v>
      </c>
      <c r="AU69" s="328" t="e">
        <f>VLOOKUP(AU$4,物性!$B:$N,7,0)</f>
        <v>#N/A</v>
      </c>
      <c r="AV69" s="328" t="e">
        <f>VLOOKUP(AV$4,物性!$B:$N,7,0)</f>
        <v>#N/A</v>
      </c>
      <c r="AW69" s="328" t="e">
        <f>VLOOKUP(AW$4,物性!$B:$N,7,0)</f>
        <v>#N/A</v>
      </c>
      <c r="AX69" s="328" t="e">
        <f>VLOOKUP(AX$4,物性!$B:$N,7,0)</f>
        <v>#N/A</v>
      </c>
      <c r="AY69" s="328" t="e">
        <f>VLOOKUP(AY$4,物性!$B:$N,7,0)</f>
        <v>#N/A</v>
      </c>
      <c r="AZ69" s="328" t="e">
        <f>VLOOKUP(AZ$4,物性!$B:$N,7,0)</f>
        <v>#N/A</v>
      </c>
      <c r="BA69" s="328" t="e">
        <f>VLOOKUP(BA$4,物性!$B:$N,7,0)</f>
        <v>#N/A</v>
      </c>
      <c r="BB69" s="328" t="e">
        <f>VLOOKUP(BB$4,物性!$B:$N,7,0)</f>
        <v>#N/A</v>
      </c>
      <c r="BC69" s="328" t="e">
        <f>VLOOKUP(BC$4,物性!$B:$N,7,0)</f>
        <v>#N/A</v>
      </c>
    </row>
    <row r="70" spans="1:55" ht="14.25" customHeight="1">
      <c r="A70" s="808" t="s">
        <v>502</v>
      </c>
      <c r="B70" s="328" t="e">
        <f>VLOOKUP(B$4,物性!$B:$N,8,0)</f>
        <v>#N/A</v>
      </c>
      <c r="C70" s="328" t="e">
        <f>VLOOKUP(C$4,物性!$B:$N,8,0)</f>
        <v>#N/A</v>
      </c>
      <c r="D70" s="328" t="e">
        <f>VLOOKUP(D$4,物性!$B:$N,8,0)</f>
        <v>#N/A</v>
      </c>
      <c r="E70" s="328" t="e">
        <f>VLOOKUP(E$4,物性!$B:$N,8,0)</f>
        <v>#N/A</v>
      </c>
      <c r="F70" s="328" t="e">
        <f>VLOOKUP(F$4,物性!$B:$N,8,0)</f>
        <v>#N/A</v>
      </c>
      <c r="G70" s="328" t="e">
        <f>VLOOKUP(G$4,物性!$B:$N,8,0)</f>
        <v>#N/A</v>
      </c>
      <c r="H70" s="328" t="e">
        <f>VLOOKUP(H$4,物性!$B:$N,8,0)</f>
        <v>#N/A</v>
      </c>
      <c r="I70" s="328" t="e">
        <f>VLOOKUP(I$4,物性!$B:$N,8,0)</f>
        <v>#N/A</v>
      </c>
      <c r="J70" s="328" t="e">
        <f>VLOOKUP(J$4,物性!$B:$N,8,0)</f>
        <v>#N/A</v>
      </c>
      <c r="K70" s="328" t="e">
        <f>VLOOKUP(K$4,物性!$B:$N,8,0)</f>
        <v>#N/A</v>
      </c>
      <c r="L70" s="328" t="e">
        <f>VLOOKUP(L$4,物性!$B:$N,8,0)</f>
        <v>#N/A</v>
      </c>
      <c r="M70" s="328" t="e">
        <f>VLOOKUP(M$4,物性!$B:$N,8,0)</f>
        <v>#N/A</v>
      </c>
      <c r="N70" s="328" t="e">
        <f>VLOOKUP(N$4,物性!$B:$N,8,0)</f>
        <v>#N/A</v>
      </c>
      <c r="O70" s="328" t="e">
        <f>VLOOKUP(O$4,物性!$B:$N,8,0)</f>
        <v>#N/A</v>
      </c>
      <c r="P70" s="328" t="e">
        <f>VLOOKUP(P$4,物性!$B:$N,8,0)</f>
        <v>#N/A</v>
      </c>
      <c r="Q70" s="328" t="e">
        <f>VLOOKUP(Q$4,物性!$B:$N,8,0)</f>
        <v>#N/A</v>
      </c>
      <c r="R70" s="328" t="e">
        <f>VLOOKUP(R$4,物性!$B:$N,8,0)</f>
        <v>#N/A</v>
      </c>
      <c r="S70" s="328" t="e">
        <f>VLOOKUP(S$4,物性!$B:$N,8,0)</f>
        <v>#N/A</v>
      </c>
      <c r="T70" s="328" t="e">
        <f>VLOOKUP(T$4,物性!$B:$N,8,0)</f>
        <v>#N/A</v>
      </c>
      <c r="U70" s="328" t="e">
        <f>VLOOKUP(U$4,物性!$B:$N,8,0)</f>
        <v>#N/A</v>
      </c>
      <c r="X70" s="328" t="e">
        <f>VLOOKUP(X$4,物性!$B:$N,8,0)</f>
        <v>#N/A</v>
      </c>
      <c r="Y70" s="328" t="e">
        <f>VLOOKUP(Y$4,物性!$B:$N,8,0)</f>
        <v>#N/A</v>
      </c>
      <c r="Z70" s="328" t="e">
        <f>VLOOKUP(Z$4,物性!$B:$N,8,0)</f>
        <v>#N/A</v>
      </c>
      <c r="AC70" s="328" t="e">
        <f>VLOOKUP(AC$4,物性!$B:$N,8,0)</f>
        <v>#N/A</v>
      </c>
      <c r="AD70" s="328" t="e">
        <f>VLOOKUP(AD$4,物性!$B:$N,8,0)</f>
        <v>#N/A</v>
      </c>
      <c r="AE70" s="328" t="e">
        <f>VLOOKUP(AE$4,物性!$B:$N,8,0)</f>
        <v>#N/A</v>
      </c>
      <c r="AF70" s="328" t="e">
        <f>VLOOKUP(AF$4,物性!$B:$N,8,0)</f>
        <v>#N/A</v>
      </c>
      <c r="AG70" s="328" t="e">
        <f>VLOOKUP(AG$4,物性!$B:$N,8,0)</f>
        <v>#N/A</v>
      </c>
      <c r="AH70" s="328" t="e">
        <f>VLOOKUP(AH$4,物性!$B:$N,8,0)</f>
        <v>#N/A</v>
      </c>
      <c r="AI70" s="328" t="e">
        <f>VLOOKUP(AI$4,物性!$B:$N,8,0)</f>
        <v>#N/A</v>
      </c>
      <c r="AJ70" s="328" t="e">
        <f>VLOOKUP(AJ$4,物性!$B:$N,8,0)</f>
        <v>#N/A</v>
      </c>
      <c r="AK70" s="328" t="e">
        <f>VLOOKUP(AK$4,物性!$B:$N,8,0)</f>
        <v>#N/A</v>
      </c>
      <c r="AL70" s="328" t="e">
        <f>VLOOKUP(AL$4,物性!$B:$N,8,0)</f>
        <v>#N/A</v>
      </c>
      <c r="AM70" s="328" t="e">
        <f>VLOOKUP(AM$4,物性!$B:$N,8,0)</f>
        <v>#N/A</v>
      </c>
      <c r="AP70" s="328" t="e">
        <f>VLOOKUP(AP$4,物性!$B:$N,8,0)</f>
        <v>#N/A</v>
      </c>
      <c r="AQ70" s="328" t="e">
        <f>VLOOKUP(AQ$4,物性!$B:$N,8,0)</f>
        <v>#N/A</v>
      </c>
      <c r="AT70" s="328" t="e">
        <f>VLOOKUP(AT$4,物性!$B:$N,8,0)</f>
        <v>#N/A</v>
      </c>
      <c r="AU70" s="328" t="e">
        <f>VLOOKUP(AU$4,物性!$B:$N,8,0)</f>
        <v>#N/A</v>
      </c>
      <c r="AV70" s="328" t="e">
        <f>VLOOKUP(AV$4,物性!$B:$N,8,0)</f>
        <v>#N/A</v>
      </c>
      <c r="AW70" s="328" t="e">
        <f>VLOOKUP(AW$4,物性!$B:$N,8,0)</f>
        <v>#N/A</v>
      </c>
      <c r="AX70" s="328" t="e">
        <f>VLOOKUP(AX$4,物性!$B:$N,8,0)</f>
        <v>#N/A</v>
      </c>
      <c r="AY70" s="328" t="e">
        <f>VLOOKUP(AY$4,物性!$B:$N,8,0)</f>
        <v>#N/A</v>
      </c>
      <c r="AZ70" s="328" t="e">
        <f>VLOOKUP(AZ$4,物性!$B:$N,8,0)</f>
        <v>#N/A</v>
      </c>
      <c r="BA70" s="328" t="e">
        <f>VLOOKUP(BA$4,物性!$B:$N,8,0)</f>
        <v>#N/A</v>
      </c>
      <c r="BB70" s="328" t="e">
        <f>VLOOKUP(BB$4,物性!$B:$N,8,0)</f>
        <v>#N/A</v>
      </c>
      <c r="BC70" s="328" t="e">
        <f>VLOOKUP(BC$4,物性!$B:$N,8,0)</f>
        <v>#N/A</v>
      </c>
    </row>
    <row r="71" spans="1:55" ht="14.25" customHeight="1">
      <c r="A71" s="808" t="s">
        <v>503</v>
      </c>
      <c r="B71" s="328" t="e">
        <f>VLOOKUP(B$4,物性!$B:$N,9,0)</f>
        <v>#N/A</v>
      </c>
      <c r="C71" s="328" t="e">
        <f>VLOOKUP(C$4,物性!$B:$N,9,0)</f>
        <v>#N/A</v>
      </c>
      <c r="D71" s="328" t="e">
        <f>VLOOKUP(D$4,物性!$B:$N,9,0)</f>
        <v>#N/A</v>
      </c>
      <c r="E71" s="328" t="e">
        <f>VLOOKUP(E$4,物性!$B:$N,9,0)</f>
        <v>#N/A</v>
      </c>
      <c r="F71" s="328" t="e">
        <f>VLOOKUP(F$4,物性!$B:$N,9,0)</f>
        <v>#N/A</v>
      </c>
      <c r="G71" s="328" t="e">
        <f>VLOOKUP(G$4,物性!$B:$N,9,0)</f>
        <v>#N/A</v>
      </c>
      <c r="H71" s="328" t="e">
        <f>VLOOKUP(H$4,物性!$B:$N,9,0)</f>
        <v>#N/A</v>
      </c>
      <c r="I71" s="328" t="e">
        <f>VLOOKUP(I$4,物性!$B:$N,9,0)</f>
        <v>#N/A</v>
      </c>
      <c r="J71" s="328" t="e">
        <f>VLOOKUP(J$4,物性!$B:$N,9,0)</f>
        <v>#N/A</v>
      </c>
      <c r="K71" s="328" t="e">
        <f>VLOOKUP(K$4,物性!$B:$N,9,0)</f>
        <v>#N/A</v>
      </c>
      <c r="L71" s="328" t="e">
        <f>VLOOKUP(L$4,物性!$B:$N,9,0)</f>
        <v>#N/A</v>
      </c>
      <c r="M71" s="328" t="e">
        <f>VLOOKUP(M$4,物性!$B:$N,9,0)</f>
        <v>#N/A</v>
      </c>
      <c r="N71" s="328" t="e">
        <f>VLOOKUP(N$4,物性!$B:$N,9,0)</f>
        <v>#N/A</v>
      </c>
      <c r="O71" s="328" t="e">
        <f>VLOOKUP(O$4,物性!$B:$N,9,0)</f>
        <v>#N/A</v>
      </c>
      <c r="P71" s="328" t="e">
        <f>VLOOKUP(P$4,物性!$B:$N,9,0)</f>
        <v>#N/A</v>
      </c>
      <c r="Q71" s="328" t="e">
        <f>VLOOKUP(Q$4,物性!$B:$N,9,0)</f>
        <v>#N/A</v>
      </c>
      <c r="R71" s="328" t="e">
        <f>VLOOKUP(R$4,物性!$B:$N,9,0)</f>
        <v>#N/A</v>
      </c>
      <c r="S71" s="328" t="e">
        <f>VLOOKUP(S$4,物性!$B:$N,9,0)</f>
        <v>#N/A</v>
      </c>
      <c r="T71" s="328" t="e">
        <f>VLOOKUP(T$4,物性!$B:$N,9,0)</f>
        <v>#N/A</v>
      </c>
      <c r="U71" s="328" t="e">
        <f>VLOOKUP(U$4,物性!$B:$N,9,0)</f>
        <v>#N/A</v>
      </c>
      <c r="X71" s="328" t="e">
        <f>VLOOKUP(X$4,物性!$B:$N,9,0)</f>
        <v>#N/A</v>
      </c>
      <c r="Y71" s="328" t="e">
        <f>VLOOKUP(Y$4,物性!$B:$N,9,0)</f>
        <v>#N/A</v>
      </c>
      <c r="Z71" s="328" t="e">
        <f>VLOOKUP(Z$4,物性!$B:$N,9,0)</f>
        <v>#N/A</v>
      </c>
      <c r="AC71" s="328" t="e">
        <f>VLOOKUP(AC$4,物性!$B:$N,9,0)</f>
        <v>#N/A</v>
      </c>
      <c r="AD71" s="328" t="e">
        <f>VLOOKUP(AD$4,物性!$B:$N,9,0)</f>
        <v>#N/A</v>
      </c>
      <c r="AE71" s="328" t="e">
        <f>VLOOKUP(AE$4,物性!$B:$N,9,0)</f>
        <v>#N/A</v>
      </c>
      <c r="AF71" s="328" t="e">
        <f>VLOOKUP(AF$4,物性!$B:$N,9,0)</f>
        <v>#N/A</v>
      </c>
      <c r="AG71" s="328" t="e">
        <f>VLOOKUP(AG$4,物性!$B:$N,9,0)</f>
        <v>#N/A</v>
      </c>
      <c r="AH71" s="328" t="e">
        <f>VLOOKUP(AH$4,物性!$B:$N,9,0)</f>
        <v>#N/A</v>
      </c>
      <c r="AI71" s="328" t="e">
        <f>VLOOKUP(AI$4,物性!$B:$N,9,0)</f>
        <v>#N/A</v>
      </c>
      <c r="AJ71" s="328" t="e">
        <f>VLOOKUP(AJ$4,物性!$B:$N,9,0)</f>
        <v>#N/A</v>
      </c>
      <c r="AK71" s="328" t="e">
        <f>VLOOKUP(AK$4,物性!$B:$N,9,0)</f>
        <v>#N/A</v>
      </c>
      <c r="AL71" s="328" t="e">
        <f>VLOOKUP(AL$4,物性!$B:$N,9,0)</f>
        <v>#N/A</v>
      </c>
      <c r="AM71" s="328" t="e">
        <f>VLOOKUP(AM$4,物性!$B:$N,9,0)</f>
        <v>#N/A</v>
      </c>
      <c r="AP71" s="328" t="e">
        <f>VLOOKUP(AP$4,物性!$B:$N,9,0)</f>
        <v>#N/A</v>
      </c>
      <c r="AQ71" s="328" t="e">
        <f>VLOOKUP(AQ$4,物性!$B:$N,9,0)</f>
        <v>#N/A</v>
      </c>
      <c r="AT71" s="328" t="e">
        <f>VLOOKUP(AT$4,物性!$B:$N,9,0)</f>
        <v>#N/A</v>
      </c>
      <c r="AU71" s="328" t="e">
        <f>VLOOKUP(AU$4,物性!$B:$N,9,0)</f>
        <v>#N/A</v>
      </c>
      <c r="AV71" s="328" t="e">
        <f>VLOOKUP(AV$4,物性!$B:$N,9,0)</f>
        <v>#N/A</v>
      </c>
      <c r="AW71" s="328" t="e">
        <f>VLOOKUP(AW$4,物性!$B:$N,9,0)</f>
        <v>#N/A</v>
      </c>
      <c r="AX71" s="328" t="e">
        <f>VLOOKUP(AX$4,物性!$B:$N,9,0)</f>
        <v>#N/A</v>
      </c>
      <c r="AY71" s="328" t="e">
        <f>VLOOKUP(AY$4,物性!$B:$N,9,0)</f>
        <v>#N/A</v>
      </c>
      <c r="AZ71" s="328" t="e">
        <f>VLOOKUP(AZ$4,物性!$B:$N,9,0)</f>
        <v>#N/A</v>
      </c>
      <c r="BA71" s="328" t="e">
        <f>VLOOKUP(BA$4,物性!$B:$N,9,0)</f>
        <v>#N/A</v>
      </c>
      <c r="BB71" s="328" t="e">
        <f>VLOOKUP(BB$4,物性!$B:$N,9,0)</f>
        <v>#N/A</v>
      </c>
      <c r="BC71" s="328" t="e">
        <f>VLOOKUP(BC$4,物性!$B:$N,9,0)</f>
        <v>#N/A</v>
      </c>
    </row>
    <row r="72" spans="1:55" ht="14.25" customHeight="1">
      <c r="A72" s="808" t="s">
        <v>504</v>
      </c>
      <c r="B72" s="328" t="e">
        <f>VLOOKUP(B$4,物性!$B:$N,10,0)</f>
        <v>#N/A</v>
      </c>
      <c r="C72" s="328" t="e">
        <f>VLOOKUP(C$4,物性!$B:$N,10,0)</f>
        <v>#N/A</v>
      </c>
      <c r="D72" s="328" t="e">
        <f>VLOOKUP(D$4,物性!$B:$N,10,0)</f>
        <v>#N/A</v>
      </c>
      <c r="E72" s="328" t="e">
        <f>VLOOKUP(E$4,物性!$B:$N,10,0)</f>
        <v>#N/A</v>
      </c>
      <c r="F72" s="328" t="e">
        <f>VLOOKUP(F$4,物性!$B:$N,10,0)</f>
        <v>#N/A</v>
      </c>
      <c r="G72" s="328" t="e">
        <f>VLOOKUP(G$4,物性!$B:$N,10,0)</f>
        <v>#N/A</v>
      </c>
      <c r="H72" s="328" t="e">
        <f>VLOOKUP(H$4,物性!$B:$N,10,0)</f>
        <v>#N/A</v>
      </c>
      <c r="I72" s="328" t="e">
        <f>VLOOKUP(I$4,物性!$B:$N,10,0)</f>
        <v>#N/A</v>
      </c>
      <c r="J72" s="328" t="e">
        <f>VLOOKUP(J$4,物性!$B:$N,10,0)</f>
        <v>#N/A</v>
      </c>
      <c r="K72" s="328" t="e">
        <f>VLOOKUP(K$4,物性!$B:$N,10,0)</f>
        <v>#N/A</v>
      </c>
      <c r="L72" s="328" t="e">
        <f>VLOOKUP(L$4,物性!$B:$N,10,0)</f>
        <v>#N/A</v>
      </c>
      <c r="M72" s="328" t="e">
        <f>VLOOKUP(M$4,物性!$B:$N,10,0)</f>
        <v>#N/A</v>
      </c>
      <c r="N72" s="328" t="e">
        <f>VLOOKUP(N$4,物性!$B:$N,10,0)</f>
        <v>#N/A</v>
      </c>
      <c r="O72" s="328" t="e">
        <f>VLOOKUP(O$4,物性!$B:$N,10,0)</f>
        <v>#N/A</v>
      </c>
      <c r="P72" s="328" t="e">
        <f>VLOOKUP(P$4,物性!$B:$N,10,0)</f>
        <v>#N/A</v>
      </c>
      <c r="Q72" s="328" t="e">
        <f>VLOOKUP(Q$4,物性!$B:$N,10,0)</f>
        <v>#N/A</v>
      </c>
      <c r="R72" s="328" t="e">
        <f>VLOOKUP(R$4,物性!$B:$N,10,0)</f>
        <v>#N/A</v>
      </c>
      <c r="S72" s="328" t="e">
        <f>VLOOKUP(S$4,物性!$B:$N,10,0)</f>
        <v>#N/A</v>
      </c>
      <c r="T72" s="328" t="e">
        <f>VLOOKUP(T$4,物性!$B:$N,10,0)</f>
        <v>#N/A</v>
      </c>
      <c r="U72" s="328" t="e">
        <f>VLOOKUP(U$4,物性!$B:$N,10,0)</f>
        <v>#N/A</v>
      </c>
      <c r="X72" s="328" t="e">
        <f>VLOOKUP(X$4,物性!$B:$N,10,0)</f>
        <v>#N/A</v>
      </c>
      <c r="Y72" s="328" t="e">
        <f>VLOOKUP(Y$4,物性!$B:$N,10,0)</f>
        <v>#N/A</v>
      </c>
      <c r="Z72" s="328" t="e">
        <f>VLOOKUP(Z$4,物性!$B:$N,10,0)</f>
        <v>#N/A</v>
      </c>
      <c r="AC72" s="328" t="e">
        <f>VLOOKUP(AC$4,物性!$B:$N,10,0)</f>
        <v>#N/A</v>
      </c>
      <c r="AD72" s="328" t="e">
        <f>VLOOKUP(AD$4,物性!$B:$N,10,0)</f>
        <v>#N/A</v>
      </c>
      <c r="AE72" s="328" t="e">
        <f>VLOOKUP(AE$4,物性!$B:$N,10,0)</f>
        <v>#N/A</v>
      </c>
      <c r="AF72" s="328" t="e">
        <f>VLOOKUP(AF$4,物性!$B:$N,10,0)</f>
        <v>#N/A</v>
      </c>
      <c r="AG72" s="328" t="e">
        <f>VLOOKUP(AG$4,物性!$B:$N,10,0)</f>
        <v>#N/A</v>
      </c>
      <c r="AH72" s="328" t="e">
        <f>VLOOKUP(AH$4,物性!$B:$N,10,0)</f>
        <v>#N/A</v>
      </c>
      <c r="AI72" s="328" t="e">
        <f>VLOOKUP(AI$4,物性!$B:$N,10,0)</f>
        <v>#N/A</v>
      </c>
      <c r="AJ72" s="328" t="e">
        <f>VLOOKUP(AJ$4,物性!$B:$N,10,0)</f>
        <v>#N/A</v>
      </c>
      <c r="AK72" s="328" t="e">
        <f>VLOOKUP(AK$4,物性!$B:$N,10,0)</f>
        <v>#N/A</v>
      </c>
      <c r="AL72" s="328" t="e">
        <f>VLOOKUP(AL$4,物性!$B:$N,10,0)</f>
        <v>#N/A</v>
      </c>
      <c r="AM72" s="328" t="e">
        <f>VLOOKUP(AM$4,物性!$B:$N,10,0)</f>
        <v>#N/A</v>
      </c>
      <c r="AP72" s="328" t="e">
        <f>VLOOKUP(AP$4,物性!$B:$N,10,0)</f>
        <v>#N/A</v>
      </c>
      <c r="AQ72" s="328" t="e">
        <f>VLOOKUP(AQ$4,物性!$B:$N,10,0)</f>
        <v>#N/A</v>
      </c>
      <c r="AT72" s="328" t="e">
        <f>VLOOKUP(AT$4,物性!$B:$N,10,0)</f>
        <v>#N/A</v>
      </c>
      <c r="AU72" s="328" t="e">
        <f>VLOOKUP(AU$4,物性!$B:$N,10,0)</f>
        <v>#N/A</v>
      </c>
      <c r="AV72" s="328" t="e">
        <f>VLOOKUP(AV$4,物性!$B:$N,10,0)</f>
        <v>#N/A</v>
      </c>
      <c r="AW72" s="328" t="e">
        <f>VLOOKUP(AW$4,物性!$B:$N,10,0)</f>
        <v>#N/A</v>
      </c>
      <c r="AX72" s="328" t="e">
        <f>VLOOKUP(AX$4,物性!$B:$N,10,0)</f>
        <v>#N/A</v>
      </c>
      <c r="AY72" s="328" t="e">
        <f>VLOOKUP(AY$4,物性!$B:$N,10,0)</f>
        <v>#N/A</v>
      </c>
      <c r="AZ72" s="328" t="e">
        <f>VLOOKUP(AZ$4,物性!$B:$N,10,0)</f>
        <v>#N/A</v>
      </c>
      <c r="BA72" s="328" t="e">
        <f>VLOOKUP(BA$4,物性!$B:$N,10,0)</f>
        <v>#N/A</v>
      </c>
      <c r="BB72" s="328" t="e">
        <f>VLOOKUP(BB$4,物性!$B:$N,10,0)</f>
        <v>#N/A</v>
      </c>
      <c r="BC72" s="328" t="e">
        <f>VLOOKUP(BC$4,物性!$B:$N,10,0)</f>
        <v>#N/A</v>
      </c>
    </row>
    <row r="73" spans="1:55" ht="14.25" customHeight="1">
      <c r="A73" s="808" t="s">
        <v>505</v>
      </c>
      <c r="B73" s="328" t="e">
        <f>VLOOKUP(B$4,物性!$B:$N,11,0)</f>
        <v>#N/A</v>
      </c>
      <c r="C73" s="328" t="e">
        <f>VLOOKUP(C$4,物性!$B:$N,11,0)</f>
        <v>#N/A</v>
      </c>
      <c r="D73" s="328" t="e">
        <f>VLOOKUP(D$4,物性!$B:$N,11,0)</f>
        <v>#N/A</v>
      </c>
      <c r="E73" s="328" t="e">
        <f>VLOOKUP(E$4,物性!$B:$N,11,0)</f>
        <v>#N/A</v>
      </c>
      <c r="F73" s="328" t="e">
        <f>VLOOKUP(F$4,物性!$B:$N,11,0)</f>
        <v>#N/A</v>
      </c>
      <c r="G73" s="328" t="e">
        <f>VLOOKUP(G$4,物性!$B:$N,11,0)</f>
        <v>#N/A</v>
      </c>
      <c r="H73" s="328" t="e">
        <f>VLOOKUP(H$4,物性!$B:$N,11,0)</f>
        <v>#N/A</v>
      </c>
      <c r="I73" s="328" t="e">
        <f>VLOOKUP(I$4,物性!$B:$N,11,0)</f>
        <v>#N/A</v>
      </c>
      <c r="J73" s="328" t="e">
        <f>VLOOKUP(J$4,物性!$B:$N,11,0)</f>
        <v>#N/A</v>
      </c>
      <c r="K73" s="328" t="e">
        <f>VLOOKUP(K$4,物性!$B:$N,11,0)</f>
        <v>#N/A</v>
      </c>
      <c r="L73" s="328" t="e">
        <f>VLOOKUP(L$4,物性!$B:$N,11,0)</f>
        <v>#N/A</v>
      </c>
      <c r="M73" s="328" t="e">
        <f>VLOOKUP(M$4,物性!$B:$N,11,0)</f>
        <v>#N/A</v>
      </c>
      <c r="N73" s="328" t="e">
        <f>VLOOKUP(N$4,物性!$B:$N,11,0)</f>
        <v>#N/A</v>
      </c>
      <c r="O73" s="328" t="e">
        <f>VLOOKUP(O$4,物性!$B:$N,11,0)</f>
        <v>#N/A</v>
      </c>
      <c r="P73" s="328" t="e">
        <f>VLOOKUP(P$4,物性!$B:$N,11,0)</f>
        <v>#N/A</v>
      </c>
      <c r="Q73" s="328" t="e">
        <f>VLOOKUP(Q$4,物性!$B:$N,11,0)</f>
        <v>#N/A</v>
      </c>
      <c r="R73" s="328" t="e">
        <f>VLOOKUP(R$4,物性!$B:$N,11,0)</f>
        <v>#N/A</v>
      </c>
      <c r="S73" s="328" t="e">
        <f>VLOOKUP(S$4,物性!$B:$N,11,0)</f>
        <v>#N/A</v>
      </c>
      <c r="T73" s="328" t="e">
        <f>VLOOKUP(T$4,物性!$B:$N,11,0)</f>
        <v>#N/A</v>
      </c>
      <c r="U73" s="328" t="e">
        <f>VLOOKUP(U$4,物性!$B:$N,11,0)</f>
        <v>#N/A</v>
      </c>
      <c r="X73" s="328" t="e">
        <f>VLOOKUP(X$4,物性!$B:$N,11,0)</f>
        <v>#N/A</v>
      </c>
      <c r="Y73" s="328" t="e">
        <f>VLOOKUP(Y$4,物性!$B:$N,11,0)</f>
        <v>#N/A</v>
      </c>
      <c r="Z73" s="328" t="e">
        <f>VLOOKUP(Z$4,物性!$B:$N,11,0)</f>
        <v>#N/A</v>
      </c>
      <c r="AC73" s="328" t="e">
        <f>VLOOKUP(AC$4,物性!$B:$N,11,0)</f>
        <v>#N/A</v>
      </c>
      <c r="AD73" s="328" t="e">
        <f>VLOOKUP(AD$4,物性!$B:$N,11,0)</f>
        <v>#N/A</v>
      </c>
      <c r="AE73" s="328" t="e">
        <f>VLOOKUP(AE$4,物性!$B:$N,11,0)</f>
        <v>#N/A</v>
      </c>
      <c r="AF73" s="328" t="e">
        <f>VLOOKUP(AF$4,物性!$B:$N,11,0)</f>
        <v>#N/A</v>
      </c>
      <c r="AG73" s="328" t="e">
        <f>VLOOKUP(AG$4,物性!$B:$N,11,0)</f>
        <v>#N/A</v>
      </c>
      <c r="AH73" s="328" t="e">
        <f>VLOOKUP(AH$4,物性!$B:$N,11,0)</f>
        <v>#N/A</v>
      </c>
      <c r="AI73" s="328" t="e">
        <f>VLOOKUP(AI$4,物性!$B:$N,11,0)</f>
        <v>#N/A</v>
      </c>
      <c r="AJ73" s="328" t="e">
        <f>VLOOKUP(AJ$4,物性!$B:$N,11,0)</f>
        <v>#N/A</v>
      </c>
      <c r="AK73" s="328" t="e">
        <f>VLOOKUP(AK$4,物性!$B:$N,11,0)</f>
        <v>#N/A</v>
      </c>
      <c r="AL73" s="328" t="e">
        <f>VLOOKUP(AL$4,物性!$B:$N,11,0)</f>
        <v>#N/A</v>
      </c>
      <c r="AM73" s="328" t="e">
        <f>VLOOKUP(AM$4,物性!$B:$N,11,0)</f>
        <v>#N/A</v>
      </c>
      <c r="AP73" s="328" t="e">
        <f>VLOOKUP(AP$4,物性!$B:$N,11,0)</f>
        <v>#N/A</v>
      </c>
      <c r="AQ73" s="328" t="e">
        <f>VLOOKUP(AQ$4,物性!$B:$N,11,0)</f>
        <v>#N/A</v>
      </c>
      <c r="AT73" s="328" t="e">
        <f>VLOOKUP(AT$4,物性!$B:$N,11,0)</f>
        <v>#N/A</v>
      </c>
      <c r="AU73" s="328" t="e">
        <f>VLOOKUP(AU$4,物性!$B:$N,11,0)</f>
        <v>#N/A</v>
      </c>
      <c r="AV73" s="328" t="e">
        <f>VLOOKUP(AV$4,物性!$B:$N,11,0)</f>
        <v>#N/A</v>
      </c>
      <c r="AW73" s="328" t="e">
        <f>VLOOKUP(AW$4,物性!$B:$N,11,0)</f>
        <v>#N/A</v>
      </c>
      <c r="AX73" s="328" t="e">
        <f>VLOOKUP(AX$4,物性!$B:$N,11,0)</f>
        <v>#N/A</v>
      </c>
      <c r="AY73" s="328" t="e">
        <f>VLOOKUP(AY$4,物性!$B:$N,11,0)</f>
        <v>#N/A</v>
      </c>
      <c r="AZ73" s="328" t="e">
        <f>VLOOKUP(AZ$4,物性!$B:$N,11,0)</f>
        <v>#N/A</v>
      </c>
      <c r="BA73" s="328" t="e">
        <f>VLOOKUP(BA$4,物性!$B:$N,11,0)</f>
        <v>#N/A</v>
      </c>
      <c r="BB73" s="328" t="e">
        <f>VLOOKUP(BB$4,物性!$B:$N,11,0)</f>
        <v>#N/A</v>
      </c>
      <c r="BC73" s="328" t="e">
        <f>VLOOKUP(BC$4,物性!$B:$N,11,0)</f>
        <v>#N/A</v>
      </c>
    </row>
    <row r="74" spans="1:55" ht="14.25" customHeight="1">
      <c r="A74" s="808" t="s">
        <v>506</v>
      </c>
      <c r="B74" s="328" t="e">
        <f>VLOOKUP(B$4,物性!$B:$N,12,0)</f>
        <v>#N/A</v>
      </c>
      <c r="C74" s="328" t="e">
        <f>VLOOKUP(C$4,物性!$B:$N,12,0)</f>
        <v>#N/A</v>
      </c>
      <c r="D74" s="328" t="e">
        <f>VLOOKUP(D$4,物性!$B:$N,12,0)</f>
        <v>#N/A</v>
      </c>
      <c r="E74" s="328" t="e">
        <f>VLOOKUP(E$4,物性!$B:$N,12,0)</f>
        <v>#N/A</v>
      </c>
      <c r="F74" s="328" t="e">
        <f>VLOOKUP(F$4,物性!$B:$N,12,0)</f>
        <v>#N/A</v>
      </c>
      <c r="G74" s="328" t="e">
        <f>VLOOKUP(G$4,物性!$B:$N,12,0)</f>
        <v>#N/A</v>
      </c>
      <c r="H74" s="328" t="e">
        <f>VLOOKUP(H$4,物性!$B:$N,12,0)</f>
        <v>#N/A</v>
      </c>
      <c r="I74" s="328" t="e">
        <f>VLOOKUP(I$4,物性!$B:$N,12,0)</f>
        <v>#N/A</v>
      </c>
      <c r="J74" s="328" t="e">
        <f>VLOOKUP(J$4,物性!$B:$N,12,0)</f>
        <v>#N/A</v>
      </c>
      <c r="K74" s="328" t="e">
        <f>VLOOKUP(K$4,物性!$B:$N,12,0)</f>
        <v>#N/A</v>
      </c>
      <c r="L74" s="328" t="e">
        <f>VLOOKUP(L$4,物性!$B:$N,12,0)</f>
        <v>#N/A</v>
      </c>
      <c r="M74" s="328" t="e">
        <f>VLOOKUP(M$4,物性!$B:$N,12,0)</f>
        <v>#N/A</v>
      </c>
      <c r="N74" s="328" t="e">
        <f>VLOOKUP(N$4,物性!$B:$N,12,0)</f>
        <v>#N/A</v>
      </c>
      <c r="O74" s="328" t="e">
        <f>VLOOKUP(O$4,物性!$B:$N,12,0)</f>
        <v>#N/A</v>
      </c>
      <c r="P74" s="328" t="e">
        <f>VLOOKUP(P$4,物性!$B:$N,12,0)</f>
        <v>#N/A</v>
      </c>
      <c r="Q74" s="328" t="e">
        <f>VLOOKUP(Q$4,物性!$B:$N,12,0)</f>
        <v>#N/A</v>
      </c>
      <c r="R74" s="328" t="e">
        <f>VLOOKUP(R$4,物性!$B:$N,12,0)</f>
        <v>#N/A</v>
      </c>
      <c r="S74" s="328" t="e">
        <f>VLOOKUP(S$4,物性!$B:$N,12,0)</f>
        <v>#N/A</v>
      </c>
      <c r="T74" s="328" t="e">
        <f>VLOOKUP(T$4,物性!$B:$N,12,0)</f>
        <v>#N/A</v>
      </c>
      <c r="U74" s="328" t="e">
        <f>VLOOKUP(U$4,物性!$B:$N,12,0)</f>
        <v>#N/A</v>
      </c>
      <c r="X74" s="328" t="e">
        <f>VLOOKUP(X$4,物性!$B:$N,12,0)</f>
        <v>#N/A</v>
      </c>
      <c r="Y74" s="328" t="e">
        <f>VLOOKUP(Y$4,物性!$B:$N,12,0)</f>
        <v>#N/A</v>
      </c>
      <c r="Z74" s="328" t="e">
        <f>VLOOKUP(Z$4,物性!$B:$N,12,0)</f>
        <v>#N/A</v>
      </c>
      <c r="AC74" s="328" t="e">
        <f>VLOOKUP(AC$4,物性!$B:$N,12,0)</f>
        <v>#N/A</v>
      </c>
      <c r="AD74" s="328" t="e">
        <f>VLOOKUP(AD$4,物性!$B:$N,12,0)</f>
        <v>#N/A</v>
      </c>
      <c r="AE74" s="328" t="e">
        <f>VLOOKUP(AE$4,物性!$B:$N,12,0)</f>
        <v>#N/A</v>
      </c>
      <c r="AF74" s="328" t="e">
        <f>VLOOKUP(AF$4,物性!$B:$N,12,0)</f>
        <v>#N/A</v>
      </c>
      <c r="AG74" s="328" t="e">
        <f>VLOOKUP(AG$4,物性!$B:$N,12,0)</f>
        <v>#N/A</v>
      </c>
      <c r="AH74" s="328" t="e">
        <f>VLOOKUP(AH$4,物性!$B:$N,12,0)</f>
        <v>#N/A</v>
      </c>
      <c r="AI74" s="328" t="e">
        <f>VLOOKUP(AI$4,物性!$B:$N,12,0)</f>
        <v>#N/A</v>
      </c>
      <c r="AJ74" s="328" t="e">
        <f>VLOOKUP(AJ$4,物性!$B:$N,12,0)</f>
        <v>#N/A</v>
      </c>
      <c r="AK74" s="328" t="e">
        <f>VLOOKUP(AK$4,物性!$B:$N,12,0)</f>
        <v>#N/A</v>
      </c>
      <c r="AL74" s="328" t="e">
        <f>VLOOKUP(AL$4,物性!$B:$N,12,0)</f>
        <v>#N/A</v>
      </c>
      <c r="AM74" s="328" t="e">
        <f>VLOOKUP(AM$4,物性!$B:$N,12,0)</f>
        <v>#N/A</v>
      </c>
      <c r="AP74" s="328" t="e">
        <f>VLOOKUP(AP$4,物性!$B:$N,12,0)</f>
        <v>#N/A</v>
      </c>
      <c r="AQ74" s="328" t="e">
        <f>VLOOKUP(AQ$4,物性!$B:$N,12,0)</f>
        <v>#N/A</v>
      </c>
      <c r="AT74" s="328" t="e">
        <f>VLOOKUP(AT$4,物性!$B:$N,12,0)</f>
        <v>#N/A</v>
      </c>
      <c r="AU74" s="328" t="e">
        <f>VLOOKUP(AU$4,物性!$B:$N,12,0)</f>
        <v>#N/A</v>
      </c>
      <c r="AV74" s="328" t="e">
        <f>VLOOKUP(AV$4,物性!$B:$N,12,0)</f>
        <v>#N/A</v>
      </c>
      <c r="AW74" s="328" t="e">
        <f>VLOOKUP(AW$4,物性!$B:$N,12,0)</f>
        <v>#N/A</v>
      </c>
      <c r="AX74" s="328" t="e">
        <f>VLOOKUP(AX$4,物性!$B:$N,12,0)</f>
        <v>#N/A</v>
      </c>
      <c r="AY74" s="328" t="e">
        <f>VLOOKUP(AY$4,物性!$B:$N,12,0)</f>
        <v>#N/A</v>
      </c>
      <c r="AZ74" s="328" t="e">
        <f>VLOOKUP(AZ$4,物性!$B:$N,12,0)</f>
        <v>#N/A</v>
      </c>
      <c r="BA74" s="328" t="e">
        <f>VLOOKUP(BA$4,物性!$B:$N,12,0)</f>
        <v>#N/A</v>
      </c>
      <c r="BB74" s="328" t="e">
        <f>VLOOKUP(BB$4,物性!$B:$N,12,0)</f>
        <v>#N/A</v>
      </c>
      <c r="BC74" s="328" t="e">
        <f>VLOOKUP(BC$4,物性!$B:$N,12,0)</f>
        <v>#N/A</v>
      </c>
    </row>
    <row r="75" spans="1:55" ht="14.25" customHeight="1">
      <c r="A75" s="328" t="s">
        <v>507</v>
      </c>
      <c r="B75" s="328" t="e">
        <f>VLOOKUP(B$4,物性!$B:$N,13,0)</f>
        <v>#N/A</v>
      </c>
      <c r="C75" s="328" t="e">
        <f>VLOOKUP(C$4,物性!$B:$N,13,0)</f>
        <v>#N/A</v>
      </c>
      <c r="D75" s="328" t="e">
        <f>VLOOKUP(D$4,物性!$B:$N,13,0)</f>
        <v>#N/A</v>
      </c>
      <c r="E75" s="328" t="e">
        <f>VLOOKUP(E$4,物性!$B:$N,13,0)</f>
        <v>#N/A</v>
      </c>
      <c r="F75" s="328" t="e">
        <f>VLOOKUP(F$4,物性!$B:$N,13,0)</f>
        <v>#N/A</v>
      </c>
      <c r="G75" s="328" t="e">
        <f>VLOOKUP(G$4,物性!$B:$N,13,0)</f>
        <v>#N/A</v>
      </c>
      <c r="H75" s="328" t="e">
        <f>VLOOKUP(H$4,物性!$B:$N,13,0)</f>
        <v>#N/A</v>
      </c>
      <c r="I75" s="328" t="e">
        <f>VLOOKUP(I$4,物性!$B:$N,13,0)</f>
        <v>#N/A</v>
      </c>
      <c r="J75" s="328" t="e">
        <f>VLOOKUP(J$4,物性!$B:$N,13,0)</f>
        <v>#N/A</v>
      </c>
      <c r="K75" s="328" t="e">
        <f>VLOOKUP(K$4,物性!$B:$N,13,0)</f>
        <v>#N/A</v>
      </c>
      <c r="L75" s="328" t="e">
        <f>VLOOKUP(L$4,物性!$B:$N,13,0)</f>
        <v>#N/A</v>
      </c>
      <c r="M75" s="328" t="e">
        <f>VLOOKUP(M$4,物性!$B:$N,13,0)</f>
        <v>#N/A</v>
      </c>
      <c r="N75" s="328" t="e">
        <f>VLOOKUP(N$4,物性!$B:$N,13,0)</f>
        <v>#N/A</v>
      </c>
      <c r="O75" s="328" t="e">
        <f>VLOOKUP(O$4,物性!$B:$N,13,0)</f>
        <v>#N/A</v>
      </c>
      <c r="P75" s="328" t="e">
        <f>VLOOKUP(P$4,物性!$B:$N,13,0)</f>
        <v>#N/A</v>
      </c>
      <c r="Q75" s="328" t="e">
        <f>VLOOKUP(Q$4,物性!$B:$N,13,0)</f>
        <v>#N/A</v>
      </c>
      <c r="R75" s="328" t="e">
        <f>VLOOKUP(R$4,物性!$B:$N,13,0)</f>
        <v>#N/A</v>
      </c>
      <c r="S75" s="328" t="e">
        <f>VLOOKUP(S$4,物性!$B:$N,13,0)</f>
        <v>#N/A</v>
      </c>
      <c r="T75" s="328" t="e">
        <f>VLOOKUP(T$4,物性!$B:$N,13,0)</f>
        <v>#N/A</v>
      </c>
      <c r="U75" s="328" t="e">
        <f>VLOOKUP(U$4,物性!$B:$N,13,0)</f>
        <v>#N/A</v>
      </c>
      <c r="X75" s="328" t="e">
        <f>VLOOKUP(X$4,物性!$B:$N,13,0)</f>
        <v>#N/A</v>
      </c>
      <c r="Y75" s="328" t="e">
        <f>VLOOKUP(Y$4,物性!$B:$N,13,0)</f>
        <v>#N/A</v>
      </c>
      <c r="Z75" s="328" t="e">
        <f>VLOOKUP(Z$4,物性!$B:$N,13,0)</f>
        <v>#N/A</v>
      </c>
      <c r="AC75" s="328" t="e">
        <f>VLOOKUP(AC$4,物性!$B:$N,13,0)</f>
        <v>#N/A</v>
      </c>
      <c r="AD75" s="328" t="e">
        <f>VLOOKUP(AD$4,物性!$B:$N,13,0)</f>
        <v>#N/A</v>
      </c>
      <c r="AE75" s="328" t="e">
        <f>VLOOKUP(AE$4,物性!$B:$N,13,0)</f>
        <v>#N/A</v>
      </c>
      <c r="AF75" s="328" t="e">
        <f>VLOOKUP(AF$4,物性!$B:$N,13,0)</f>
        <v>#N/A</v>
      </c>
      <c r="AG75" s="328" t="e">
        <f>VLOOKUP(AG$4,物性!$B:$N,13,0)</f>
        <v>#N/A</v>
      </c>
      <c r="AH75" s="328" t="e">
        <f>VLOOKUP(AH$4,物性!$B:$N,13,0)</f>
        <v>#N/A</v>
      </c>
      <c r="AI75" s="328" t="e">
        <f>VLOOKUP(AI$4,物性!$B:$N,13,0)</f>
        <v>#N/A</v>
      </c>
      <c r="AJ75" s="328" t="e">
        <f>VLOOKUP(AJ$4,物性!$B:$N,13,0)</f>
        <v>#N/A</v>
      </c>
      <c r="AK75" s="328" t="e">
        <f>VLOOKUP(AK$4,物性!$B:$N,13,0)</f>
        <v>#N/A</v>
      </c>
      <c r="AL75" s="328" t="e">
        <f>VLOOKUP(AL$4,物性!$B:$N,13,0)</f>
        <v>#N/A</v>
      </c>
      <c r="AM75" s="328" t="e">
        <f>VLOOKUP(AM$4,物性!$B:$N,13,0)</f>
        <v>#N/A</v>
      </c>
      <c r="AP75" s="328" t="e">
        <f>VLOOKUP(AP$4,物性!$B:$N,13,0)</f>
        <v>#N/A</v>
      </c>
      <c r="AQ75" s="328" t="e">
        <f>VLOOKUP(AQ$4,物性!$B:$N,13,0)</f>
        <v>#N/A</v>
      </c>
      <c r="AT75" s="328" t="e">
        <f>VLOOKUP(AT$4,物性!$B:$N,13,0)</f>
        <v>#N/A</v>
      </c>
      <c r="AU75" s="328" t="e">
        <f>VLOOKUP(AU$4,物性!$B:$N,13,0)</f>
        <v>#N/A</v>
      </c>
      <c r="AV75" s="328" t="e">
        <f>VLOOKUP(AV$4,物性!$B:$N,13,0)</f>
        <v>#N/A</v>
      </c>
      <c r="AW75" s="328" t="e">
        <f>VLOOKUP(AW$4,物性!$B:$N,13,0)</f>
        <v>#N/A</v>
      </c>
      <c r="AX75" s="328" t="e">
        <f>VLOOKUP(AX$4,物性!$B:$N,13,0)</f>
        <v>#N/A</v>
      </c>
      <c r="AY75" s="328" t="e">
        <f>VLOOKUP(AY$4,物性!$B:$N,13,0)</f>
        <v>#N/A</v>
      </c>
      <c r="AZ75" s="328" t="e">
        <f>VLOOKUP(AZ$4,物性!$B:$N,13,0)</f>
        <v>#N/A</v>
      </c>
      <c r="BA75" s="328" t="e">
        <f>VLOOKUP(BA$4,物性!$B:$N,13,0)</f>
        <v>#N/A</v>
      </c>
      <c r="BB75" s="328" t="e">
        <f>VLOOKUP(BB$4,物性!$B:$N,13,0)</f>
        <v>#N/A</v>
      </c>
      <c r="BC75" s="328" t="e">
        <f>VLOOKUP(BC$4,物性!$B:$N,13,0)</f>
        <v>#N/A</v>
      </c>
    </row>
    <row r="76" spans="1:55" ht="14.25" customHeight="1">
      <c r="A76" s="696" t="s">
        <v>508</v>
      </c>
      <c r="B76" s="328">
        <f t="shared" ref="B76:O76" si="222">B6</f>
        <v>0</v>
      </c>
      <c r="C76" s="328">
        <f t="shared" ref="C76" si="223">C6</f>
        <v>0</v>
      </c>
      <c r="D76" s="328" t="str">
        <f t="shared" ref="D76" si="224">D6</f>
        <v>FP81360R+FP81858</v>
      </c>
      <c r="E76" s="328" t="str">
        <f t="shared" ref="E76:F76" si="225">E6</f>
        <v>FP82661</v>
      </c>
      <c r="F76" s="328" t="str">
        <f t="shared" si="225"/>
        <v>FP02423R×2</v>
      </c>
      <c r="G76" s="328" t="str">
        <f t="shared" ref="G76" si="226">G6</f>
        <v>FP81388R</v>
      </c>
      <c r="H76" s="328" t="str">
        <f t="shared" ref="H76" si="227">H6</f>
        <v>FP81390R×2</v>
      </c>
      <c r="I76" s="328">
        <f t="shared" ref="I76" si="228">I6</f>
        <v>0</v>
      </c>
      <c r="J76" s="328" t="str">
        <f t="shared" ref="J76" si="229">J6</f>
        <v>FP81630</v>
      </c>
      <c r="K76" s="328">
        <f t="shared" ref="K76" si="230">K6</f>
        <v>0</v>
      </c>
      <c r="L76" s="328" t="str">
        <f t="shared" ref="L76" si="231">L6</f>
        <v>FP00413</v>
      </c>
      <c r="M76" s="328" t="str">
        <f>M6</f>
        <v>FP01436</v>
      </c>
      <c r="N76" s="328" t="str">
        <f>N6</f>
        <v>FP81365R</v>
      </c>
      <c r="O76" s="328" t="str">
        <f t="shared" si="222"/>
        <v>FP82659×2</v>
      </c>
      <c r="P76" s="328" t="str">
        <f t="shared" ref="P76" si="232">P6</f>
        <v>FP82179R</v>
      </c>
      <c r="Q76" s="328">
        <f t="shared" ref="Q76" si="233">Q6</f>
        <v>0</v>
      </c>
      <c r="R76" s="328" t="str">
        <f t="shared" ref="R76" si="234">R6</f>
        <v>FP81384R</v>
      </c>
      <c r="S76" s="328" t="str">
        <f t="shared" ref="S76:T76" si="235">S6</f>
        <v>FP82781×2</v>
      </c>
      <c r="T76" s="328" t="str">
        <f t="shared" si="235"/>
        <v>FP82179R×2</v>
      </c>
      <c r="U76" s="328">
        <f t="shared" ref="U76" si="236">U6</f>
        <v>0</v>
      </c>
      <c r="X76" s="328">
        <f>X6</f>
        <v>0</v>
      </c>
      <c r="Y76" s="328" t="str">
        <f>Y6</f>
        <v>FP82180R×2</v>
      </c>
      <c r="Z76" s="328">
        <f>Z6</f>
        <v>0</v>
      </c>
      <c r="AC76" s="328" t="str">
        <f t="shared" ref="AC76:AD76" si="237">AC6</f>
        <v>FP82184R×2</v>
      </c>
      <c r="AD76" s="328" t="str">
        <f t="shared" si="237"/>
        <v>FP12902R×2</v>
      </c>
      <c r="AE76" s="328" t="str">
        <f t="shared" ref="AE76:AF76" si="238">AE6</f>
        <v>FP82180R×2</v>
      </c>
      <c r="AF76" s="328" t="str">
        <f t="shared" si="238"/>
        <v>FP82186R×2</v>
      </c>
      <c r="AG76" s="328" t="str">
        <f t="shared" ref="AG76" si="239">AG6</f>
        <v>FP12902R×2</v>
      </c>
      <c r="AH76" s="328" t="str">
        <f t="shared" ref="AH76:AI76" si="240">AH6</f>
        <v>FP81392R×2</v>
      </c>
      <c r="AI76" s="328" t="str">
        <f t="shared" si="240"/>
        <v>FP83025R×2</v>
      </c>
      <c r="AJ76" s="328" t="str">
        <f t="shared" ref="AJ76" si="241">AJ6</f>
        <v>FP83026R×2</v>
      </c>
      <c r="AK76" s="328">
        <f>AK6</f>
        <v>0</v>
      </c>
      <c r="AL76" s="328" t="str">
        <f t="shared" ref="AL76" si="242">AL6</f>
        <v>FP82184R×2</v>
      </c>
      <c r="AM76" s="328" t="str">
        <f t="shared" ref="AM76" si="243">AM6</f>
        <v>FP82184R×2</v>
      </c>
      <c r="AP76" s="328" t="str">
        <f>AP6</f>
        <v>FP81390R</v>
      </c>
      <c r="AQ76" s="328">
        <f>AQ6</f>
        <v>0</v>
      </c>
      <c r="AT76" s="328">
        <f t="shared" ref="AT76:BC76" si="244">AT6</f>
        <v>0</v>
      </c>
      <c r="AU76" s="328">
        <f t="shared" si="244"/>
        <v>0</v>
      </c>
      <c r="AV76" s="328">
        <f t="shared" si="244"/>
        <v>0</v>
      </c>
      <c r="AW76" s="328">
        <f t="shared" si="244"/>
        <v>0</v>
      </c>
      <c r="AX76" s="328">
        <f t="shared" si="244"/>
        <v>0</v>
      </c>
      <c r="AY76" s="328">
        <f t="shared" si="244"/>
        <v>0</v>
      </c>
      <c r="AZ76" s="328">
        <f t="shared" si="244"/>
        <v>0</v>
      </c>
      <c r="BA76" s="328">
        <f t="shared" si="244"/>
        <v>0</v>
      </c>
      <c r="BB76" s="328" t="str">
        <f t="shared" si="244"/>
        <v>累</v>
      </c>
      <c r="BC76" s="328" t="str">
        <f t="shared" si="244"/>
        <v>累</v>
      </c>
    </row>
    <row r="77" spans="1:55" ht="14.25" customHeight="1">
      <c r="A77" s="696" t="s">
        <v>509</v>
      </c>
      <c r="B77" s="328" t="e">
        <f>VLOOKUP(B4,物性!$AA:$AC,3,0)</f>
        <v>#N/A</v>
      </c>
      <c r="C77" s="328" t="e">
        <f>VLOOKUP(C4,物性!$AA:$AC,3,0)</f>
        <v>#N/A</v>
      </c>
      <c r="D77" s="328" t="e">
        <f>VLOOKUP(D4,物性!$AA:$AC,3,0)</f>
        <v>#N/A</v>
      </c>
      <c r="E77" s="328" t="e">
        <f>VLOOKUP(E4,物性!$AA:$AC,3,0)</f>
        <v>#N/A</v>
      </c>
      <c r="F77" s="328" t="e">
        <f>VLOOKUP(F4,物性!$AA:$AC,3,0)</f>
        <v>#N/A</v>
      </c>
      <c r="G77" s="328" t="e">
        <f>VLOOKUP(G4,物性!$AA:$AC,3,0)</f>
        <v>#N/A</v>
      </c>
      <c r="H77" s="328" t="e">
        <f>VLOOKUP(H4,物性!$AA:$AC,3,0)</f>
        <v>#N/A</v>
      </c>
      <c r="I77" s="328" t="e">
        <f>VLOOKUP(I4,物性!$AA:$AC,3,0)</f>
        <v>#N/A</v>
      </c>
      <c r="J77" s="328" t="e">
        <f>VLOOKUP(J4,物性!$AA:$AC,3,0)</f>
        <v>#N/A</v>
      </c>
      <c r="K77" s="328" t="e">
        <f>VLOOKUP(K4,物性!$AA:$AC,3,0)</f>
        <v>#N/A</v>
      </c>
      <c r="L77" s="328" t="e">
        <f>VLOOKUP(L4,物性!$AA:$AC,3,0)</f>
        <v>#N/A</v>
      </c>
      <c r="M77" s="328" t="e">
        <f>VLOOKUP(M4,物性!$AA:$AC,3,0)</f>
        <v>#N/A</v>
      </c>
      <c r="N77" s="328" t="e">
        <f>VLOOKUP(N4,物性!$AA:$AC,3,0)</f>
        <v>#N/A</v>
      </c>
      <c r="O77" s="328" t="e">
        <f>VLOOKUP(O4,物性!$AA:$AC,3,0)</f>
        <v>#N/A</v>
      </c>
      <c r="P77" s="328" t="e">
        <f>VLOOKUP(P4,物性!$AA:$AC,3,0)</f>
        <v>#N/A</v>
      </c>
      <c r="Q77" s="328" t="e">
        <f>VLOOKUP(Q4,物性!$AA:$AC,3,0)</f>
        <v>#N/A</v>
      </c>
      <c r="R77" s="328" t="e">
        <f>VLOOKUP(R4,物性!$AA:$AC,3,0)</f>
        <v>#N/A</v>
      </c>
      <c r="S77" s="328" t="e">
        <f>VLOOKUP(S4,物性!$AA:$AC,3,0)</f>
        <v>#N/A</v>
      </c>
      <c r="T77" s="328" t="e">
        <f>VLOOKUP(T4,物性!$AA:$AC,3,0)</f>
        <v>#N/A</v>
      </c>
      <c r="U77" s="328" t="e">
        <f>VLOOKUP(U4,物性!$AA:$AC,3,0)</f>
        <v>#N/A</v>
      </c>
      <c r="X77" s="328" t="e">
        <f>VLOOKUP(X4,物性!$AA:$AC,3,0)</f>
        <v>#N/A</v>
      </c>
      <c r="Y77" s="328" t="e">
        <f>VLOOKUP(Y4,物性!$AA:$AC,3,0)</f>
        <v>#N/A</v>
      </c>
      <c r="Z77" s="328" t="e">
        <f>VLOOKUP(Z4,物性!$AA:$AC,3,0)</f>
        <v>#N/A</v>
      </c>
      <c r="AC77" s="328" t="e">
        <f>VLOOKUP(AC4,物性!$AA:$AC,3,0)</f>
        <v>#N/A</v>
      </c>
      <c r="AD77" s="328" t="e">
        <f>VLOOKUP(AD4,物性!$AA:$AC,3,0)</f>
        <v>#N/A</v>
      </c>
      <c r="AE77" s="328" t="e">
        <f>VLOOKUP(AE4,物性!$AA:$AC,3,0)</f>
        <v>#N/A</v>
      </c>
      <c r="AF77" s="328" t="e">
        <f>VLOOKUP(AF4,物性!$AA:$AC,3,0)</f>
        <v>#N/A</v>
      </c>
      <c r="AG77" s="328" t="e">
        <f>VLOOKUP(AG4,物性!$AA:$AC,3,0)</f>
        <v>#N/A</v>
      </c>
      <c r="AH77" s="328" t="e">
        <f>VLOOKUP(AH4,物性!$AA:$AC,3,0)</f>
        <v>#N/A</v>
      </c>
      <c r="AI77" s="328" t="e">
        <f>VLOOKUP(AI4,物性!$AA:$AC,3,0)</f>
        <v>#N/A</v>
      </c>
      <c r="AJ77" s="328" t="e">
        <f>VLOOKUP(AJ4,物性!$AA:$AC,3,0)</f>
        <v>#N/A</v>
      </c>
      <c r="AK77" s="328" t="e">
        <f>VLOOKUP(AK4,物性!$AA:$AC,3,0)</f>
        <v>#N/A</v>
      </c>
      <c r="AL77" s="328" t="e">
        <f>VLOOKUP(AL4,物性!$AA:$AC,3,0)</f>
        <v>#N/A</v>
      </c>
      <c r="AM77" s="328" t="e">
        <f>VLOOKUP(AM4,物性!$AA:$AC,3,0)</f>
        <v>#N/A</v>
      </c>
      <c r="AP77" s="328" t="e">
        <f>VLOOKUP(AP4,物性!$AA:$AC,3,0)</f>
        <v>#N/A</v>
      </c>
      <c r="AQ77" s="328" t="e">
        <f>VLOOKUP(AQ4,物性!$AA:$AC,3,0)</f>
        <v>#N/A</v>
      </c>
      <c r="AT77" s="328" t="e">
        <f>VLOOKUP(AT4,物性!$AA:$AC,3,0)</f>
        <v>#N/A</v>
      </c>
      <c r="AU77" s="328" t="e">
        <f>VLOOKUP(AU4,物性!$AA:$AC,3,0)</f>
        <v>#N/A</v>
      </c>
      <c r="AV77" s="328" t="e">
        <f>VLOOKUP(AV4,物性!$AA:$AC,3,0)</f>
        <v>#N/A</v>
      </c>
      <c r="AW77" s="328" t="e">
        <f>VLOOKUP(AW4,物性!$AA:$AC,3,0)</f>
        <v>#N/A</v>
      </c>
      <c r="AX77" s="328" t="e">
        <f>VLOOKUP(AX4,物性!$AA:$AC,3,0)</f>
        <v>#N/A</v>
      </c>
      <c r="AY77" s="328" t="e">
        <f>VLOOKUP(AY4,物性!$AA:$AC,3,0)</f>
        <v>#N/A</v>
      </c>
      <c r="AZ77" s="328" t="e">
        <f>VLOOKUP(AZ4,物性!$AA:$AC,3,0)</f>
        <v>#N/A</v>
      </c>
      <c r="BA77" s="328" t="e">
        <f>VLOOKUP(BA4,物性!$AA:$AC,3,0)</f>
        <v>#N/A</v>
      </c>
      <c r="BB77" s="328" t="e">
        <f>VLOOKUP(BB4,物性!$AA:$AC,3,0)</f>
        <v>#N/A</v>
      </c>
      <c r="BC77" s="328" t="e">
        <f>VLOOKUP(BC4,物性!$AA:$AC,3,0)</f>
        <v>#N/A</v>
      </c>
    </row>
    <row r="78" spans="1:55" ht="14.25" customHeight="1">
      <c r="A78" s="696" t="s">
        <v>510</v>
      </c>
      <c r="B78" s="328" t="e">
        <f>VLOOKUP(B4,日誌斷絲!$C:$AL,36,0)&amp;"/"&amp;B108</f>
        <v>#N/A</v>
      </c>
      <c r="C78" s="328" t="e">
        <f>VLOOKUP(C4,日誌斷絲!$C:$AL,36,0)</f>
        <v>#N/A</v>
      </c>
      <c r="D78" s="328" t="e">
        <f>VLOOKUP(D4,日誌斷絲!$C:$AL,36,0)</f>
        <v>#N/A</v>
      </c>
      <c r="E78" s="328" t="e">
        <f>VLOOKUP(E4,日誌斷絲!$C:$AL,36,0)</f>
        <v>#N/A</v>
      </c>
      <c r="F78" s="328" t="e">
        <f>VLOOKUP(F4,日誌斷絲!$C:$AL,36,0)</f>
        <v>#N/A</v>
      </c>
      <c r="G78" s="328" t="e">
        <f>VLOOKUP(G4,日誌斷絲!$C:$AL,36,0)</f>
        <v>#N/A</v>
      </c>
      <c r="H78" s="328" t="e">
        <f>VLOOKUP(H4,日誌斷絲!$C:$AL,36,0)</f>
        <v>#N/A</v>
      </c>
      <c r="I78" s="328" t="e">
        <f>VLOOKUP(I4,日誌斷絲!$C:$AL,36,0)</f>
        <v>#N/A</v>
      </c>
      <c r="J78" s="328" t="e">
        <f>VLOOKUP(J4,日誌斷絲!$C:$AL,36,0)</f>
        <v>#N/A</v>
      </c>
      <c r="K78" s="328" t="e">
        <f>VLOOKUP(K4,日誌斷絲!$C:$AL,36,0)</f>
        <v>#N/A</v>
      </c>
      <c r="L78" s="328" t="e">
        <f>VLOOKUP(L4,日誌斷絲!$C:$AL,36,0)</f>
        <v>#N/A</v>
      </c>
      <c r="M78" s="328" t="e">
        <f>VLOOKUP(M4,日誌斷絲!$C:$AL,36,0)</f>
        <v>#N/A</v>
      </c>
      <c r="N78" s="328" t="e">
        <f>VLOOKUP(N4,日誌斷絲!$C:$AL,36,0)</f>
        <v>#N/A</v>
      </c>
      <c r="O78" s="328" t="e">
        <f>VLOOKUP(O4,日誌斷絲!$C:$AL,36,0)</f>
        <v>#N/A</v>
      </c>
      <c r="P78" s="328" t="e">
        <f>VLOOKUP(P4,日誌斷絲!$C:$AL,36,0)</f>
        <v>#N/A</v>
      </c>
      <c r="Q78" s="328" t="e">
        <f>VLOOKUP(Q4,日誌斷絲!$C:$AL,36,0)</f>
        <v>#N/A</v>
      </c>
      <c r="R78" s="328" t="e">
        <f>VLOOKUP(R4,日誌斷絲!$C:$AL,36,0)</f>
        <v>#N/A</v>
      </c>
      <c r="S78" s="328" t="e">
        <f>VLOOKUP(S4,日誌斷絲!$C:$AL,36,0)</f>
        <v>#N/A</v>
      </c>
      <c r="T78" s="328" t="e">
        <f>VLOOKUP(T4,日誌斷絲!$C:$AL,36,0)</f>
        <v>#N/A</v>
      </c>
      <c r="U78" s="328" t="e">
        <f>VLOOKUP(U4,日誌斷絲!$C:$AL,36,0)</f>
        <v>#N/A</v>
      </c>
      <c r="X78" s="328" t="e">
        <f>VLOOKUP(X4,日誌斷絲!$C:$AL,36,0)</f>
        <v>#N/A</v>
      </c>
      <c r="Y78" s="328" t="e">
        <f>VLOOKUP(Y4,日誌斷絲!$C:$AL,36,0)</f>
        <v>#N/A</v>
      </c>
      <c r="Z78" s="328" t="e">
        <f>VLOOKUP(Z4,日誌斷絲!$C:$AL,36,0)</f>
        <v>#N/A</v>
      </c>
      <c r="AC78" s="328" t="e">
        <f>VLOOKUP(AC4,日誌斷絲!$C:$AL,36,0)</f>
        <v>#N/A</v>
      </c>
      <c r="AD78" s="328" t="e">
        <f>VLOOKUP(AD4,日誌斷絲!$C:$AL,36,0)</f>
        <v>#N/A</v>
      </c>
      <c r="AE78" s="328" t="e">
        <f>VLOOKUP(AE4,日誌斷絲!$C:$AL,36,0)</f>
        <v>#N/A</v>
      </c>
      <c r="AF78" s="328" t="e">
        <f>VLOOKUP(AF4,日誌斷絲!$C:$AL,36,0)</f>
        <v>#N/A</v>
      </c>
      <c r="AG78" s="328" t="e">
        <f>VLOOKUP(AG4,日誌斷絲!$C:$AL,36,0)</f>
        <v>#N/A</v>
      </c>
      <c r="AH78" s="328" t="e">
        <f>VLOOKUP(AH4,日誌斷絲!$C:$AL,36,0)</f>
        <v>#N/A</v>
      </c>
      <c r="AI78" s="328" t="e">
        <f>VLOOKUP(AI4,日誌斷絲!$C:$AL,36,0)</f>
        <v>#N/A</v>
      </c>
      <c r="AJ78" s="328" t="e">
        <f>VLOOKUP(AJ4,日誌斷絲!$C:$AL,36,0)</f>
        <v>#N/A</v>
      </c>
      <c r="AK78" s="328" t="e">
        <f>VLOOKUP(AK4,日誌斷絲!$C:$AL,36,0)</f>
        <v>#N/A</v>
      </c>
      <c r="AL78" s="328" t="e">
        <f>VLOOKUP(AL4,日誌斷絲!$C:$AL,36,0)</f>
        <v>#N/A</v>
      </c>
      <c r="AM78" s="328" t="e">
        <f>VLOOKUP(AM4,日誌斷絲!$C:$AL,36,0)</f>
        <v>#N/A</v>
      </c>
      <c r="AP78" s="328" t="e">
        <f>VLOOKUP(AP4,日誌斷絲!$C:$AL,36,0)</f>
        <v>#N/A</v>
      </c>
      <c r="AQ78" s="328">
        <f>VLOOKUP(AQ4,日誌斷絲!$C:$AL,36,0)</f>
        <v>0</v>
      </c>
      <c r="AT78" s="328">
        <f>VLOOKUP(AT4,日誌斷絲!$C:$AL,36,0)</f>
        <v>0</v>
      </c>
      <c r="AU78" s="328">
        <f>VLOOKUP(AU4,日誌斷絲!$C:$AL,36,0)</f>
        <v>0</v>
      </c>
      <c r="AV78" s="328">
        <f>VLOOKUP(AV4,日誌斷絲!$C:$AL,36,0)</f>
        <v>0</v>
      </c>
      <c r="AW78" s="328">
        <f>VLOOKUP(AW4,日誌斷絲!$C:$AL,36,0)</f>
        <v>0</v>
      </c>
      <c r="AX78" s="328">
        <f>VLOOKUP(AX4,日誌斷絲!$C:$AL,36,0)</f>
        <v>0</v>
      </c>
      <c r="AY78" s="328">
        <f>VLOOKUP(AY4,日誌斷絲!$C:$AL,36,0)</f>
        <v>0</v>
      </c>
      <c r="AZ78" s="328">
        <f>VLOOKUP(AZ4,日誌斷絲!$C:$AL,36,0)</f>
        <v>0</v>
      </c>
      <c r="BA78" s="328">
        <f>VLOOKUP(BA4,日誌斷絲!$C:$AL,36,0)</f>
        <v>0</v>
      </c>
      <c r="BB78" s="328" t="e">
        <f>VLOOKUP(BB4,日誌斷絲!$C:$AL,36,0)</f>
        <v>#N/A</v>
      </c>
      <c r="BC78" s="328" t="e">
        <f>VLOOKUP(BC4,日誌斷絲!$C:$AL,36,0)</f>
        <v>#N/A</v>
      </c>
    </row>
    <row r="79" spans="1:55" ht="14.25" customHeight="1">
      <c r="A79" s="696" t="s">
        <v>83</v>
      </c>
      <c r="B79" s="328" t="e">
        <f>VLOOKUP(B4,條件!$A:$Q,15,0)</f>
        <v>#N/A</v>
      </c>
      <c r="C79" s="328" t="e">
        <f>VLOOKUP(C4,條件!$A:$Q,15,0)</f>
        <v>#N/A</v>
      </c>
      <c r="D79" s="328" t="e">
        <f>VLOOKUP(D4,條件!$A:$Q,15,0)</f>
        <v>#N/A</v>
      </c>
      <c r="E79" s="328" t="e">
        <f>VLOOKUP(E4,條件!$A:$Q,15,0)</f>
        <v>#N/A</v>
      </c>
      <c r="F79" s="328" t="e">
        <f>VLOOKUP(F4,條件!$A:$Q,15,0)</f>
        <v>#N/A</v>
      </c>
      <c r="G79" s="328" t="e">
        <f>VLOOKUP(G4,條件!$A:$Q,15,0)</f>
        <v>#N/A</v>
      </c>
      <c r="H79" s="328" t="e">
        <f>VLOOKUP(H4,條件!$A:$Q,15,0)</f>
        <v>#N/A</v>
      </c>
      <c r="I79" s="328" t="e">
        <f>VLOOKUP(I4,條件!$A:$Q,15,0)</f>
        <v>#N/A</v>
      </c>
      <c r="J79" s="328" t="e">
        <f>VLOOKUP(J4,條件!$A:$Q,15,0)</f>
        <v>#N/A</v>
      </c>
      <c r="K79" s="328" t="e">
        <f>VLOOKUP(K4,條件!$A:$Q,15,0)</f>
        <v>#N/A</v>
      </c>
      <c r="L79" s="328" t="e">
        <f>VLOOKUP(L4,條件!$A:$Q,15,0)</f>
        <v>#N/A</v>
      </c>
      <c r="M79" s="328" t="e">
        <f>VLOOKUP(M4,條件!$A:$Q,15,0)</f>
        <v>#N/A</v>
      </c>
      <c r="N79" s="328" t="e">
        <f>VLOOKUP(N4,條件!$A:$Q,15,0)</f>
        <v>#N/A</v>
      </c>
      <c r="O79" s="328" t="e">
        <f>VLOOKUP(O4,條件!$A:$Q,15,0)</f>
        <v>#N/A</v>
      </c>
      <c r="P79" s="328" t="e">
        <f>VLOOKUP(P4,條件!$A:$Q,15,0)</f>
        <v>#N/A</v>
      </c>
      <c r="Q79" s="328" t="e">
        <f>VLOOKUP(Q4,條件!$A:$Q,15,0)</f>
        <v>#N/A</v>
      </c>
      <c r="R79" s="328" t="e">
        <f>VLOOKUP(R4,條件!$A:$Q,15,0)</f>
        <v>#N/A</v>
      </c>
      <c r="S79" s="328" t="e">
        <f>VLOOKUP(S4,條件!$A:$Q,15,0)</f>
        <v>#N/A</v>
      </c>
      <c r="T79" s="328" t="e">
        <f>VLOOKUP(T4,條件!$A:$Q,15,0)</f>
        <v>#N/A</v>
      </c>
      <c r="U79" s="328" t="e">
        <f>VLOOKUP(U4,條件!$A:$Q,15,0)</f>
        <v>#N/A</v>
      </c>
      <c r="X79" s="328" t="e">
        <f>VLOOKUP(X4,條件!$A:$Q,15,0)</f>
        <v>#N/A</v>
      </c>
      <c r="Y79" s="328" t="e">
        <f>VLOOKUP(Y4,條件!$A:$Q,15,0)</f>
        <v>#N/A</v>
      </c>
      <c r="Z79" s="328" t="e">
        <f>VLOOKUP(Z4,條件!$A:$Q,15,0)</f>
        <v>#N/A</v>
      </c>
      <c r="AC79" s="328" t="e">
        <f>VLOOKUP(AC4,條件!$A:$Q,15,0)</f>
        <v>#N/A</v>
      </c>
      <c r="AD79" s="328" t="e">
        <f>VLOOKUP(AD4,條件!$A:$Q,15,0)</f>
        <v>#N/A</v>
      </c>
      <c r="AE79" s="328" t="e">
        <f>VLOOKUP(AE4,條件!$A:$Q,15,0)</f>
        <v>#N/A</v>
      </c>
      <c r="AF79" s="328" t="e">
        <f>VLOOKUP(AF4,條件!$A:$Q,15,0)</f>
        <v>#N/A</v>
      </c>
      <c r="AG79" s="328" t="e">
        <f>VLOOKUP(AG4,條件!$A:$Q,15,0)</f>
        <v>#N/A</v>
      </c>
      <c r="AH79" s="328" t="e">
        <f>VLOOKUP(AH4,條件!$A:$Q,15,0)</f>
        <v>#N/A</v>
      </c>
      <c r="AI79" s="328" t="e">
        <f>VLOOKUP(AI4,條件!$A:$Q,15,0)</f>
        <v>#N/A</v>
      </c>
      <c r="AJ79" s="328" t="e">
        <f>VLOOKUP(AJ4,條件!$A:$Q,15,0)</f>
        <v>#N/A</v>
      </c>
      <c r="AK79" s="328" t="e">
        <f>VLOOKUP(AK4,條件!$A:$Q,15,0)</f>
        <v>#N/A</v>
      </c>
      <c r="AL79" s="328" t="e">
        <f>VLOOKUP(AL4,條件!$A:$Q,15,0)</f>
        <v>#N/A</v>
      </c>
      <c r="AM79" s="328" t="e">
        <f>VLOOKUP(AM4,條件!$A:$Q,15,0)</f>
        <v>#N/A</v>
      </c>
      <c r="AP79" s="328" t="e">
        <f>VLOOKUP(AP4,條件!$A:$Q,15,0)</f>
        <v>#N/A</v>
      </c>
      <c r="AQ79" s="328" t="e">
        <f>VLOOKUP(AQ4,條件!$A:$Q,15,0)</f>
        <v>#N/A</v>
      </c>
      <c r="AT79" s="328" t="e">
        <f>VLOOKUP(AT4,條件!$A:$Q,15,0)</f>
        <v>#N/A</v>
      </c>
      <c r="AU79" s="328" t="e">
        <f>VLOOKUP(AU4,條件!$A:$Q,15,0)</f>
        <v>#N/A</v>
      </c>
      <c r="AV79" s="328" t="e">
        <f>VLOOKUP(AV4,條件!$A:$Q,15,0)</f>
        <v>#N/A</v>
      </c>
      <c r="AW79" s="328" t="e">
        <f>VLOOKUP(AW4,條件!$A:$Q,15,0)</f>
        <v>#N/A</v>
      </c>
      <c r="AX79" s="328" t="e">
        <f>VLOOKUP(AX4,條件!$A:$Q,15,0)</f>
        <v>#N/A</v>
      </c>
      <c r="AY79" s="328" t="e">
        <f>VLOOKUP(AY4,條件!$A:$Q,15,0)</f>
        <v>#N/A</v>
      </c>
      <c r="AZ79" s="328" t="e">
        <f>VLOOKUP(AZ4,條件!$A:$Q,15,0)</f>
        <v>#N/A</v>
      </c>
      <c r="BA79" s="328" t="e">
        <f>VLOOKUP(BA4,條件!$A:$Q,15,0)</f>
        <v>#N/A</v>
      </c>
      <c r="BB79" s="328" t="e">
        <f>VLOOKUP(BB4,條件!$A:$Q,15,0)</f>
        <v>#N/A</v>
      </c>
      <c r="BC79" s="328" t="e">
        <f>VLOOKUP(BC4,條件!$A:$Q,15,0)</f>
        <v>#N/A</v>
      </c>
    </row>
    <row r="80" spans="1:55" ht="14.25" customHeight="1">
      <c r="A80" s="696" t="s">
        <v>511</v>
      </c>
    </row>
    <row r="81" spans="1:55" ht="14.25" customHeight="1">
      <c r="A81" s="696" t="s">
        <v>512</v>
      </c>
    </row>
    <row r="82" spans="1:55" ht="14.25" customHeight="1">
      <c r="A82" s="696" t="s">
        <v>513</v>
      </c>
    </row>
    <row r="83" spans="1:55" ht="14.25" customHeight="1">
      <c r="A83" s="696" t="s">
        <v>514</v>
      </c>
    </row>
    <row r="84" spans="1:55" ht="14.25" customHeight="1">
      <c r="A84" s="696" t="s">
        <v>515</v>
      </c>
    </row>
    <row r="85" spans="1:55" ht="14.25" customHeight="1">
      <c r="A85" s="696" t="s">
        <v>516</v>
      </c>
    </row>
    <row r="86" spans="1:55" ht="14.25" customHeight="1">
      <c r="A86" s="809" t="s">
        <v>43</v>
      </c>
      <c r="B86" s="328">
        <f t="shared" ref="B86:O86" si="245">B7</f>
        <v>0</v>
      </c>
      <c r="C86" s="328">
        <f t="shared" ref="C86" si="246">C7</f>
        <v>0</v>
      </c>
      <c r="D86" s="328">
        <f t="shared" ref="D86" si="247">D7</f>
        <v>500</v>
      </c>
      <c r="E86" s="328">
        <f t="shared" ref="E86:F86" si="248">E7</f>
        <v>0</v>
      </c>
      <c r="F86" s="328">
        <f t="shared" si="248"/>
        <v>500</v>
      </c>
      <c r="G86" s="328">
        <f t="shared" ref="G86" si="249">G7</f>
        <v>680</v>
      </c>
      <c r="H86" s="328">
        <f t="shared" ref="H86" si="250">H7</f>
        <v>600</v>
      </c>
      <c r="I86" s="328">
        <f t="shared" ref="I86" si="251">I7</f>
        <v>0</v>
      </c>
      <c r="J86" s="328">
        <f t="shared" ref="J86" si="252">J7</f>
        <v>600</v>
      </c>
      <c r="K86" s="328">
        <f t="shared" ref="K86" si="253">K7</f>
        <v>0</v>
      </c>
      <c r="L86" s="328">
        <f t="shared" ref="L86" si="254">L7</f>
        <v>550</v>
      </c>
      <c r="M86" s="328">
        <f>M7</f>
        <v>600</v>
      </c>
      <c r="N86" s="328">
        <f>N7</f>
        <v>550</v>
      </c>
      <c r="O86" s="328">
        <f t="shared" si="245"/>
        <v>550</v>
      </c>
      <c r="P86" s="328">
        <f t="shared" ref="P86" si="255">P7</f>
        <v>670</v>
      </c>
      <c r="Q86" s="328">
        <f t="shared" ref="Q86" si="256">Q7</f>
        <v>0</v>
      </c>
      <c r="R86" s="328">
        <f t="shared" ref="R86" si="257">R7</f>
        <v>700</v>
      </c>
      <c r="S86" s="328">
        <f t="shared" ref="S86:T86" si="258">S7</f>
        <v>550</v>
      </c>
      <c r="T86" s="328">
        <f t="shared" si="258"/>
        <v>650</v>
      </c>
      <c r="U86" s="328">
        <f t="shared" ref="U86" si="259">U7</f>
        <v>0</v>
      </c>
      <c r="X86" s="328">
        <f>X7</f>
        <v>0</v>
      </c>
      <c r="Y86" s="328">
        <f>Y7</f>
        <v>600</v>
      </c>
      <c r="Z86" s="328">
        <f>Z7</f>
        <v>0</v>
      </c>
      <c r="AC86" s="328">
        <f t="shared" ref="AC86:AD86" si="260">AC7</f>
        <v>700</v>
      </c>
      <c r="AD86" s="328">
        <f t="shared" si="260"/>
        <v>600</v>
      </c>
      <c r="AE86" s="328">
        <f t="shared" ref="AE86:AF86" si="261">AE7</f>
        <v>700</v>
      </c>
      <c r="AF86" s="328">
        <f t="shared" si="261"/>
        <v>700</v>
      </c>
      <c r="AG86" s="328">
        <f t="shared" ref="AG86" si="262">AG7</f>
        <v>600</v>
      </c>
      <c r="AH86" s="328">
        <f t="shared" ref="AH86:AI86" si="263">AH7</f>
        <v>600</v>
      </c>
      <c r="AI86" s="328">
        <f t="shared" si="263"/>
        <v>550</v>
      </c>
      <c r="AJ86" s="328">
        <f t="shared" ref="AJ86" si="264">AJ7</f>
        <v>550</v>
      </c>
      <c r="AK86" s="328">
        <f>AK7</f>
        <v>0</v>
      </c>
      <c r="AL86" s="328">
        <f t="shared" ref="AL86" si="265">AL7</f>
        <v>700</v>
      </c>
      <c r="AM86" s="328">
        <f t="shared" ref="AM86" si="266">AM7</f>
        <v>700</v>
      </c>
      <c r="AN86" s="328">
        <f t="shared" ref="AN86:BC86" si="267">AN7</f>
        <v>0</v>
      </c>
      <c r="AO86" s="328">
        <f t="shared" si="267"/>
        <v>0</v>
      </c>
      <c r="AP86" s="328">
        <f>AP7</f>
        <v>550</v>
      </c>
      <c r="AQ86" s="328">
        <f>AQ7</f>
        <v>0</v>
      </c>
      <c r="AT86" s="328">
        <f t="shared" si="267"/>
        <v>0</v>
      </c>
      <c r="AU86" s="328">
        <f t="shared" si="267"/>
        <v>0</v>
      </c>
      <c r="AV86" s="328">
        <f t="shared" si="267"/>
        <v>0</v>
      </c>
      <c r="AW86" s="328">
        <f t="shared" si="267"/>
        <v>0</v>
      </c>
      <c r="AX86" s="328">
        <f t="shared" si="267"/>
        <v>0</v>
      </c>
      <c r="AY86" s="328">
        <f t="shared" si="267"/>
        <v>0</v>
      </c>
      <c r="AZ86" s="328">
        <f t="shared" si="267"/>
        <v>0</v>
      </c>
      <c r="BA86" s="328">
        <f t="shared" si="267"/>
        <v>0</v>
      </c>
      <c r="BB86" s="328">
        <f t="shared" si="267"/>
        <v>0</v>
      </c>
      <c r="BC86" s="328">
        <f t="shared" si="267"/>
        <v>0</v>
      </c>
    </row>
    <row r="87" spans="1:55" ht="14.25" customHeight="1">
      <c r="A87" s="809" t="s">
        <v>517</v>
      </c>
      <c r="B87" s="328" t="e">
        <f>VLOOKUP(B4,條件!$A:$Q,16,0)</f>
        <v>#N/A</v>
      </c>
      <c r="C87" s="328" t="e">
        <f>VLOOKUP(C4,條件!$A:$Q,16,0)</f>
        <v>#N/A</v>
      </c>
      <c r="D87" s="328" t="e">
        <f>VLOOKUP(D4,條件!$A:$Q,16,0)</f>
        <v>#N/A</v>
      </c>
      <c r="E87" s="328" t="e">
        <f>VLOOKUP(E4,條件!$A:$Q,16,0)</f>
        <v>#N/A</v>
      </c>
      <c r="F87" s="328" t="e">
        <f>VLOOKUP(F4,條件!$A:$Q,16,0)</f>
        <v>#N/A</v>
      </c>
      <c r="G87" s="328" t="e">
        <f>VLOOKUP(G4,條件!$A:$Q,16,0)</f>
        <v>#N/A</v>
      </c>
      <c r="H87" s="328" t="e">
        <f>VLOOKUP(H4,條件!$A:$Q,16,0)</f>
        <v>#N/A</v>
      </c>
      <c r="I87" s="328" t="e">
        <f>VLOOKUP(I4,條件!$A:$Q,16,0)</f>
        <v>#N/A</v>
      </c>
      <c r="J87" s="328" t="e">
        <f>VLOOKUP(J4,條件!$A:$Q,16,0)</f>
        <v>#N/A</v>
      </c>
      <c r="K87" s="328" t="e">
        <f>VLOOKUP(K4,條件!$A:$Q,16,0)</f>
        <v>#N/A</v>
      </c>
      <c r="L87" s="328" t="e">
        <f>VLOOKUP(L4,條件!$A:$Q,16,0)</f>
        <v>#N/A</v>
      </c>
      <c r="M87" s="328" t="e">
        <f>VLOOKUP(M4,條件!$A:$Q,16,0)</f>
        <v>#N/A</v>
      </c>
      <c r="N87" s="328" t="e">
        <f>VLOOKUP(N4,條件!$A:$Q,16,0)</f>
        <v>#N/A</v>
      </c>
      <c r="O87" s="328" t="e">
        <f>VLOOKUP(O4,條件!$A:$Q,16,0)</f>
        <v>#N/A</v>
      </c>
      <c r="P87" s="328" t="e">
        <f>VLOOKUP(P4,條件!$A:$Q,16,0)</f>
        <v>#N/A</v>
      </c>
      <c r="Q87" s="328" t="e">
        <f>VLOOKUP(Q4,條件!$A:$Q,16,0)</f>
        <v>#N/A</v>
      </c>
      <c r="R87" s="328" t="e">
        <f>VLOOKUP(R4,條件!$A:$Q,16,0)</f>
        <v>#N/A</v>
      </c>
      <c r="S87" s="328" t="e">
        <f>VLOOKUP(S4,條件!$A:$Q,16,0)</f>
        <v>#N/A</v>
      </c>
      <c r="T87" s="328" t="e">
        <f>VLOOKUP(T4,條件!$A:$Q,16,0)</f>
        <v>#N/A</v>
      </c>
      <c r="U87" s="328" t="e">
        <f>VLOOKUP(U4,條件!$A:$Q,16,0)</f>
        <v>#N/A</v>
      </c>
      <c r="X87" s="328" t="e">
        <f>VLOOKUP(X4,條件!$A:$Q,16,0)</f>
        <v>#N/A</v>
      </c>
      <c r="Y87" s="328" t="e">
        <f>VLOOKUP(Y4,條件!$A:$Q,16,0)</f>
        <v>#N/A</v>
      </c>
      <c r="Z87" s="328" t="e">
        <f>VLOOKUP(Z4,條件!$A:$Q,16,0)</f>
        <v>#N/A</v>
      </c>
      <c r="AC87" s="328" t="e">
        <f>VLOOKUP(AC4,條件!$A:$Q,16,0)</f>
        <v>#N/A</v>
      </c>
      <c r="AD87" s="328" t="e">
        <f>VLOOKUP(AD4,條件!$A:$Q,16,0)</f>
        <v>#N/A</v>
      </c>
      <c r="AE87" s="328" t="e">
        <f>VLOOKUP(AE4,條件!$A:$Q,16,0)</f>
        <v>#N/A</v>
      </c>
      <c r="AF87" s="328" t="e">
        <f>VLOOKUP(AF4,條件!$A:$Q,16,0)</f>
        <v>#N/A</v>
      </c>
      <c r="AG87" s="328" t="e">
        <f>VLOOKUP(AG4,條件!$A:$Q,16,0)</f>
        <v>#N/A</v>
      </c>
      <c r="AH87" s="328" t="e">
        <f>VLOOKUP(AH4,條件!$A:$Q,16,0)</f>
        <v>#N/A</v>
      </c>
      <c r="AI87" s="328" t="e">
        <f>VLOOKUP(AI4,條件!$A:$Q,16,0)</f>
        <v>#N/A</v>
      </c>
      <c r="AJ87" s="328" t="e">
        <f>VLOOKUP(AJ4,條件!$A:$Q,16,0)</f>
        <v>#N/A</v>
      </c>
      <c r="AK87" s="328" t="e">
        <f>VLOOKUP(AK4,條件!$A:$Q,16,0)</f>
        <v>#N/A</v>
      </c>
      <c r="AL87" s="328" t="e">
        <f>VLOOKUP(AL4,條件!$A:$Q,16,0)</f>
        <v>#N/A</v>
      </c>
      <c r="AM87" s="328" t="e">
        <f>VLOOKUP(AM4,條件!$A:$Q,16,0)</f>
        <v>#N/A</v>
      </c>
      <c r="AN87" s="328" t="e">
        <f>VLOOKUP(AN4,條件!$A:$Q,16,0)</f>
        <v>#N/A</v>
      </c>
      <c r="AO87" s="328" t="e">
        <f>VLOOKUP(AO4,條件!$A:$Q,16,0)</f>
        <v>#N/A</v>
      </c>
      <c r="AP87" s="328" t="e">
        <f>VLOOKUP(AP4,條件!$A:$Q,16,0)</f>
        <v>#N/A</v>
      </c>
      <c r="AQ87" s="328" t="e">
        <f>VLOOKUP(AQ4,條件!$A:$Q,16,0)</f>
        <v>#N/A</v>
      </c>
      <c r="AT87" s="328" t="e">
        <f>VLOOKUP(AT4,條件!$A:$Q,16,0)</f>
        <v>#N/A</v>
      </c>
      <c r="AU87" s="328" t="e">
        <f>VLOOKUP(AU4,條件!$A:$Q,16,0)</f>
        <v>#N/A</v>
      </c>
      <c r="AV87" s="328" t="e">
        <f>VLOOKUP(AV4,條件!$A:$Q,16,0)</f>
        <v>#N/A</v>
      </c>
      <c r="AW87" s="328" t="e">
        <f>VLOOKUP(AW4,條件!$A:$Q,16,0)</f>
        <v>#N/A</v>
      </c>
      <c r="AX87" s="328" t="e">
        <f>VLOOKUP(AX4,條件!$A:$Q,16,0)</f>
        <v>#N/A</v>
      </c>
      <c r="AY87" s="328" t="e">
        <f>VLOOKUP(AY4,條件!$A:$Q,16,0)</f>
        <v>#N/A</v>
      </c>
      <c r="AZ87" s="328" t="e">
        <f>VLOOKUP(AZ4,條件!$A:$Q,16,0)</f>
        <v>#N/A</v>
      </c>
      <c r="BA87" s="328" t="e">
        <f>VLOOKUP(BA4,條件!$A:$Q,16,0)</f>
        <v>#N/A</v>
      </c>
      <c r="BB87" s="328" t="e">
        <f>VLOOKUP(BB4,條件!$A:$Q,16,0)</f>
        <v>#N/A</v>
      </c>
      <c r="BC87" s="328" t="e">
        <f>VLOOKUP(BC4,條件!$A:$Q,16,0)</f>
        <v>#N/A</v>
      </c>
    </row>
    <row r="88" spans="1:55" ht="14.25" customHeight="1">
      <c r="A88" s="809" t="s">
        <v>518</v>
      </c>
      <c r="B88" s="328" t="e">
        <f>VLOOKUP(B4,條件!$A:$Q,17,0)</f>
        <v>#N/A</v>
      </c>
      <c r="C88" s="328" t="e">
        <f>VLOOKUP(C4,條件!$A:$Q,17,0)</f>
        <v>#N/A</v>
      </c>
      <c r="D88" s="328" t="e">
        <f>VLOOKUP(D4,條件!$A:$Q,17,0)</f>
        <v>#N/A</v>
      </c>
      <c r="E88" s="328" t="e">
        <f>VLOOKUP(E4,條件!$A:$Q,17,0)</f>
        <v>#N/A</v>
      </c>
      <c r="F88" s="328" t="e">
        <f>VLOOKUP(F4,條件!$A:$Q,17,0)</f>
        <v>#N/A</v>
      </c>
      <c r="G88" s="328" t="e">
        <f>VLOOKUP(G4,條件!$A:$Q,17,0)</f>
        <v>#N/A</v>
      </c>
      <c r="H88" s="328" t="e">
        <f>VLOOKUP(H4,條件!$A:$Q,17,0)</f>
        <v>#N/A</v>
      </c>
      <c r="I88" s="328" t="e">
        <f>VLOOKUP(I4,條件!$A:$Q,17,0)</f>
        <v>#N/A</v>
      </c>
      <c r="J88" s="328" t="e">
        <f>VLOOKUP(J4,條件!$A:$Q,17,0)</f>
        <v>#N/A</v>
      </c>
      <c r="K88" s="328" t="e">
        <f>VLOOKUP(K4,條件!$A:$Q,17,0)</f>
        <v>#N/A</v>
      </c>
      <c r="L88" s="328" t="e">
        <f>VLOOKUP(L4,條件!$A:$Q,17,0)</f>
        <v>#N/A</v>
      </c>
      <c r="M88" s="328" t="e">
        <f>VLOOKUP(M4,條件!$A:$Q,17,0)</f>
        <v>#N/A</v>
      </c>
      <c r="N88" s="328" t="e">
        <f>VLOOKUP(N4,條件!$A:$Q,17,0)</f>
        <v>#N/A</v>
      </c>
      <c r="O88" s="328" t="e">
        <f>VLOOKUP(O4,條件!$A:$Q,17,0)</f>
        <v>#N/A</v>
      </c>
      <c r="P88" s="328" t="e">
        <f>VLOOKUP(P4,條件!$A:$Q,17,0)</f>
        <v>#N/A</v>
      </c>
      <c r="Q88" s="328" t="e">
        <f>VLOOKUP(Q4,條件!$A:$Q,17,0)</f>
        <v>#N/A</v>
      </c>
      <c r="R88" s="328" t="e">
        <f>VLOOKUP(R4,條件!$A:$Q,17,0)</f>
        <v>#N/A</v>
      </c>
      <c r="S88" s="328" t="e">
        <f>VLOOKUP(S4,條件!$A:$Q,17,0)</f>
        <v>#N/A</v>
      </c>
      <c r="T88" s="328" t="e">
        <f>VLOOKUP(T4,條件!$A:$Q,17,0)</f>
        <v>#N/A</v>
      </c>
      <c r="U88" s="328" t="e">
        <f>VLOOKUP(U4,條件!$A:$Q,17,0)</f>
        <v>#N/A</v>
      </c>
      <c r="X88" s="328" t="e">
        <f>VLOOKUP(X4,條件!$A:$Q,17,0)</f>
        <v>#N/A</v>
      </c>
      <c r="Y88" s="328" t="e">
        <f>VLOOKUP(Y4,條件!$A:$Q,17,0)</f>
        <v>#N/A</v>
      </c>
      <c r="Z88" s="328" t="e">
        <f>VLOOKUP(Z4,條件!$A:$Q,17,0)</f>
        <v>#N/A</v>
      </c>
      <c r="AC88" s="328" t="e">
        <f>VLOOKUP(AC4,條件!$A:$Q,17,0)</f>
        <v>#N/A</v>
      </c>
      <c r="AD88" s="328" t="e">
        <f>VLOOKUP(AD4,條件!$A:$Q,17,0)</f>
        <v>#N/A</v>
      </c>
      <c r="AE88" s="328" t="e">
        <f>VLOOKUP(AE4,條件!$A:$Q,17,0)</f>
        <v>#N/A</v>
      </c>
      <c r="AF88" s="328" t="e">
        <f>VLOOKUP(AF4,條件!$A:$Q,17,0)</f>
        <v>#N/A</v>
      </c>
      <c r="AG88" s="328" t="e">
        <f>VLOOKUP(AG4,條件!$A:$Q,17,0)</f>
        <v>#N/A</v>
      </c>
      <c r="AH88" s="328" t="e">
        <f>VLOOKUP(AH4,條件!$A:$Q,17,0)</f>
        <v>#N/A</v>
      </c>
      <c r="AI88" s="328" t="e">
        <f>VLOOKUP(AI4,條件!$A:$Q,17,0)</f>
        <v>#N/A</v>
      </c>
      <c r="AJ88" s="328" t="e">
        <f>VLOOKUP(AJ4,條件!$A:$Q,17,0)</f>
        <v>#N/A</v>
      </c>
      <c r="AK88" s="328" t="e">
        <f>VLOOKUP(AK4,條件!$A:$Q,17,0)</f>
        <v>#N/A</v>
      </c>
      <c r="AL88" s="328" t="e">
        <f>VLOOKUP(AL4,條件!$A:$Q,17,0)</f>
        <v>#N/A</v>
      </c>
      <c r="AM88" s="328" t="e">
        <f>VLOOKUP(AM4,條件!$A:$Q,17,0)</f>
        <v>#N/A</v>
      </c>
      <c r="AN88" s="328" t="e">
        <f>VLOOKUP(AN4,條件!$A:$Q,17,0)</f>
        <v>#N/A</v>
      </c>
      <c r="AO88" s="328" t="e">
        <f>VLOOKUP(AO4,條件!$A:$Q,17,0)</f>
        <v>#N/A</v>
      </c>
      <c r="AP88" s="328" t="e">
        <f>VLOOKUP(AP4,條件!$A:$Q,17,0)</f>
        <v>#N/A</v>
      </c>
      <c r="AQ88" s="328" t="e">
        <f>VLOOKUP(AQ4,條件!$A:$Q,17,0)</f>
        <v>#N/A</v>
      </c>
      <c r="AT88" s="328" t="e">
        <f>VLOOKUP(AT4,條件!$A:$Q,17,0)</f>
        <v>#N/A</v>
      </c>
      <c r="AU88" s="328" t="e">
        <f>VLOOKUP(AU4,條件!$A:$Q,17,0)</f>
        <v>#N/A</v>
      </c>
      <c r="AV88" s="328" t="e">
        <f>VLOOKUP(AV4,條件!$A:$Q,17,0)</f>
        <v>#N/A</v>
      </c>
      <c r="AW88" s="328" t="e">
        <f>VLOOKUP(AW4,條件!$A:$Q,17,0)</f>
        <v>#N/A</v>
      </c>
      <c r="AX88" s="328" t="e">
        <f>VLOOKUP(AX4,條件!$A:$Q,17,0)</f>
        <v>#N/A</v>
      </c>
      <c r="AY88" s="328" t="e">
        <f>VLOOKUP(AY4,條件!$A:$Q,17,0)</f>
        <v>#N/A</v>
      </c>
      <c r="AZ88" s="328" t="e">
        <f>VLOOKUP(AZ4,條件!$A:$Q,17,0)</f>
        <v>#N/A</v>
      </c>
      <c r="BA88" s="328" t="e">
        <f>VLOOKUP(BA4,條件!$A:$Q,17,0)</f>
        <v>#N/A</v>
      </c>
      <c r="BB88" s="328" t="e">
        <f>VLOOKUP(BB4,條件!$A:$Q,17,0)</f>
        <v>#N/A</v>
      </c>
      <c r="BC88" s="328" t="e">
        <f>VLOOKUP(BC4,條件!$A:$Q,17,0)</f>
        <v>#N/A</v>
      </c>
    </row>
    <row r="89" spans="1:55" ht="14.25" customHeight="1">
      <c r="A89" s="809" t="s">
        <v>519</v>
      </c>
      <c r="B89" s="328" t="e">
        <f>VLOOKUP(B$4,總表!$AM:$AS,7,0)</f>
        <v>#N/A</v>
      </c>
      <c r="C89" s="328" t="e">
        <f>VLOOKUP(C$4,總表!$AM:$AS,7,0)</f>
        <v>#N/A</v>
      </c>
      <c r="D89" s="328" t="e">
        <f>VLOOKUP(D$4,總表!$AM:$AS,7,0)</f>
        <v>#N/A</v>
      </c>
      <c r="E89" s="328" t="e">
        <f>VLOOKUP(E$4,總表!$AM:$AS,7,0)</f>
        <v>#N/A</v>
      </c>
      <c r="F89" s="328" t="e">
        <f>VLOOKUP(F$4,總表!$AM:$AS,7,0)</f>
        <v>#N/A</v>
      </c>
      <c r="G89" s="328" t="e">
        <f>VLOOKUP(G$4,總表!$AM:$AS,7,0)</f>
        <v>#N/A</v>
      </c>
      <c r="H89" s="328" t="e">
        <f>VLOOKUP(H$4,總表!$AM:$AS,7,0)</f>
        <v>#N/A</v>
      </c>
      <c r="I89" s="328" t="e">
        <f>VLOOKUP(I$4,總表!$AM:$AS,7,0)</f>
        <v>#N/A</v>
      </c>
      <c r="J89" s="328" t="e">
        <f>VLOOKUP(J$4,總表!$AM:$AS,7,0)</f>
        <v>#N/A</v>
      </c>
      <c r="K89" s="328" t="e">
        <f>VLOOKUP(K$4,總表!$AM:$AS,7,0)</f>
        <v>#N/A</v>
      </c>
      <c r="L89" s="328" t="e">
        <f>VLOOKUP(L$4,總表!$AM:$AS,7,0)</f>
        <v>#N/A</v>
      </c>
      <c r="M89" s="328" t="e">
        <f>VLOOKUP(M$4,總表!$AM:$AS,7,0)</f>
        <v>#N/A</v>
      </c>
      <c r="N89" s="328" t="e">
        <f>VLOOKUP(N$4,總表!$AM:$AS,7,0)</f>
        <v>#N/A</v>
      </c>
      <c r="O89" s="328" t="e">
        <f>VLOOKUP(O$4,總表!$AM:$AS,7,0)</f>
        <v>#N/A</v>
      </c>
      <c r="P89" s="328" t="e">
        <f>VLOOKUP(P$4,總表!$AM:$AS,7,0)</f>
        <v>#N/A</v>
      </c>
      <c r="Q89" s="328" t="e">
        <f>VLOOKUP(Q$4,總表!$AM:$AS,7,0)</f>
        <v>#N/A</v>
      </c>
      <c r="R89" s="328" t="e">
        <f>VLOOKUP(R$4,總表!$AM:$AS,7,0)</f>
        <v>#N/A</v>
      </c>
      <c r="S89" s="328" t="e">
        <f>VLOOKUP(S$4,總表!$AM:$AS,7,0)</f>
        <v>#N/A</v>
      </c>
      <c r="T89" s="328" t="e">
        <f>VLOOKUP(T$4,總表!$AM:$AS,7,0)</f>
        <v>#N/A</v>
      </c>
      <c r="U89" s="328" t="e">
        <f>VLOOKUP(U$4,總表!$AM:$AS,7,0)</f>
        <v>#N/A</v>
      </c>
      <c r="X89" s="328" t="e">
        <f>VLOOKUP(X$4,總表!$AM:$AS,7,0)</f>
        <v>#N/A</v>
      </c>
      <c r="Y89" s="328" t="e">
        <f>VLOOKUP(Y$4,總表!$AM:$AS,7,0)</f>
        <v>#N/A</v>
      </c>
      <c r="Z89" s="328" t="e">
        <f>VLOOKUP(Z$4,總表!$AM:$AS,7,0)</f>
        <v>#N/A</v>
      </c>
      <c r="AC89" s="328" t="e">
        <f>VLOOKUP(AC$4,總表!$AM:$AS,7,0)</f>
        <v>#N/A</v>
      </c>
      <c r="AD89" s="328" t="e">
        <f>VLOOKUP(AD$4,總表!$AM:$AS,7,0)</f>
        <v>#N/A</v>
      </c>
      <c r="AE89" s="328" t="e">
        <f>VLOOKUP(AE$4,總表!$AM:$AS,7,0)</f>
        <v>#N/A</v>
      </c>
      <c r="AF89" s="328" t="e">
        <f>VLOOKUP(AF$4,總表!$AM:$AS,7,0)</f>
        <v>#N/A</v>
      </c>
      <c r="AG89" s="328" t="e">
        <f>VLOOKUP(AG$4,總表!$AM:$AS,7,0)</f>
        <v>#N/A</v>
      </c>
      <c r="AH89" s="328" t="e">
        <f>VLOOKUP(AH$4,總表!$AM:$AS,7,0)</f>
        <v>#N/A</v>
      </c>
      <c r="AI89" s="328" t="e">
        <f>VLOOKUP(AI$4,總表!$AM:$AS,7,0)</f>
        <v>#N/A</v>
      </c>
      <c r="AJ89" s="328" t="e">
        <f>VLOOKUP(AJ$4,總表!$AM:$AS,7,0)</f>
        <v>#N/A</v>
      </c>
      <c r="AK89" s="328" t="e">
        <f>VLOOKUP(AK$4,總表!$AM:$AS,7,0)</f>
        <v>#N/A</v>
      </c>
      <c r="AL89" s="328" t="e">
        <f>VLOOKUP(AL$4,總表!$AM:$AS,7,0)</f>
        <v>#N/A</v>
      </c>
      <c r="AM89" s="328" t="e">
        <f>VLOOKUP(AM$4,總表!$AM:$AS,7,0)</f>
        <v>#N/A</v>
      </c>
      <c r="AN89" s="328" t="e">
        <f>VLOOKUP(AN$4,總表!$AM:$AS,7,0)</f>
        <v>#N/A</v>
      </c>
      <c r="AO89" s="328" t="e">
        <f>VLOOKUP(AO$4,總表!$AM:$AS,7,0)</f>
        <v>#N/A</v>
      </c>
      <c r="AP89" s="328" t="e">
        <f>VLOOKUP(AP$4,總表!$AM:$AS,7,0)</f>
        <v>#N/A</v>
      </c>
      <c r="AQ89" s="328" t="e">
        <f>VLOOKUP(AQ$4,總表!$AM:$AS,7,0)</f>
        <v>#N/A</v>
      </c>
      <c r="AT89" s="328" t="e">
        <f>VLOOKUP(AT$4,總表!$AM:$AS,7,0)</f>
        <v>#N/A</v>
      </c>
      <c r="AU89" s="328" t="e">
        <f>VLOOKUP(AU$4,總表!$AM:$AS,7,0)</f>
        <v>#N/A</v>
      </c>
      <c r="AV89" s="328" t="e">
        <f>VLOOKUP(AV$4,總表!$AM:$AS,7,0)</f>
        <v>#N/A</v>
      </c>
      <c r="AW89" s="328" t="e">
        <f>VLOOKUP(AW$4,總表!$AM:$AS,7,0)</f>
        <v>#N/A</v>
      </c>
      <c r="AX89" s="328" t="e">
        <f>VLOOKUP(AX$4,總表!$AM:$AS,7,0)</f>
        <v>#N/A</v>
      </c>
      <c r="AY89" s="328" t="e">
        <f>VLOOKUP(AY$4,總表!$AM:$AS,7,0)</f>
        <v>#N/A</v>
      </c>
      <c r="AZ89" s="328" t="e">
        <f>VLOOKUP(AZ$4,總表!$AM:$AS,7,0)</f>
        <v>#N/A</v>
      </c>
      <c r="BA89" s="328" t="e">
        <f>VLOOKUP(BA$4,總表!$AM:$AS,7,0)</f>
        <v>#N/A</v>
      </c>
      <c r="BB89" s="328" t="e">
        <f>VLOOKUP(BB$4,總表!$AM:$AS,7,0)</f>
        <v>#N/A</v>
      </c>
      <c r="BC89" s="328" t="e">
        <f>VLOOKUP(BC$4,總表!$AM:$AS,7,0)</f>
        <v>#N/A</v>
      </c>
    </row>
    <row r="90" spans="1:55" ht="14.25" customHeight="1">
      <c r="A90" s="809" t="s">
        <v>520</v>
      </c>
    </row>
    <row r="91" spans="1:55" ht="14.25" customHeight="1">
      <c r="A91" s="809" t="s">
        <v>521</v>
      </c>
    </row>
    <row r="92" spans="1:55" ht="14.25" customHeight="1">
      <c r="A92" s="809" t="s">
        <v>522</v>
      </c>
    </row>
    <row r="93" spans="1:55" ht="14.25" customHeight="1">
      <c r="A93" s="809" t="s">
        <v>523</v>
      </c>
      <c r="B93" s="328" t="e">
        <f>VLOOKUP(B$4,總表!$AM:$AS,5,0)</f>
        <v>#N/A</v>
      </c>
      <c r="C93" s="328" t="e">
        <f>VLOOKUP(C$4,總表!$AM:$AS,5,0)</f>
        <v>#N/A</v>
      </c>
      <c r="D93" s="328" t="e">
        <f>VLOOKUP(D$4,總表!$AM:$AS,5,0)</f>
        <v>#N/A</v>
      </c>
      <c r="E93" s="328" t="e">
        <f>VLOOKUP(E$4,總表!$AM:$AS,5,0)</f>
        <v>#N/A</v>
      </c>
      <c r="F93" s="328" t="e">
        <f>VLOOKUP(F$4,總表!$AM:$AS,5,0)</f>
        <v>#N/A</v>
      </c>
      <c r="G93" s="328" t="e">
        <f>VLOOKUP(G$4,總表!$AM:$AS,5,0)</f>
        <v>#N/A</v>
      </c>
      <c r="H93" s="328" t="e">
        <f>VLOOKUP(H$4,總表!$AM:$AS,5,0)</f>
        <v>#N/A</v>
      </c>
      <c r="I93" s="328" t="e">
        <f>VLOOKUP(I$4,總表!$AM:$AS,5,0)</f>
        <v>#N/A</v>
      </c>
      <c r="J93" s="328" t="e">
        <f>VLOOKUP(J$4,總表!$AM:$AS,5,0)</f>
        <v>#N/A</v>
      </c>
      <c r="K93" s="328" t="e">
        <f>VLOOKUP(K$4,總表!$AM:$AS,5,0)</f>
        <v>#N/A</v>
      </c>
      <c r="L93" s="328" t="e">
        <f>VLOOKUP(L$4,總表!$AM:$AS,5,0)</f>
        <v>#N/A</v>
      </c>
      <c r="M93" s="328" t="e">
        <f>VLOOKUP(M$4,總表!$AM:$AS,5,0)</f>
        <v>#N/A</v>
      </c>
      <c r="N93" s="328" t="e">
        <f>VLOOKUP(N$4,總表!$AM:$AS,5,0)</f>
        <v>#N/A</v>
      </c>
      <c r="O93" s="328" t="e">
        <f>VLOOKUP(O$4,總表!$AM:$AS,5,0)</f>
        <v>#N/A</v>
      </c>
      <c r="P93" s="328" t="e">
        <f>VLOOKUP(P$4,總表!$AM:$AS,5,0)</f>
        <v>#N/A</v>
      </c>
      <c r="Q93" s="328" t="e">
        <f>VLOOKUP(Q$4,總表!$AM:$AS,5,0)</f>
        <v>#N/A</v>
      </c>
      <c r="R93" s="328" t="e">
        <f>VLOOKUP(R$4,總表!$AM:$AS,5,0)</f>
        <v>#N/A</v>
      </c>
      <c r="S93" s="328" t="e">
        <f>VLOOKUP(S$4,總表!$AM:$AS,5,0)</f>
        <v>#N/A</v>
      </c>
      <c r="T93" s="328" t="e">
        <f>VLOOKUP(T$4,總表!$AM:$AS,5,0)</f>
        <v>#N/A</v>
      </c>
      <c r="U93" s="328" t="e">
        <f>VLOOKUP(U$4,總表!$AM:$AS,5,0)</f>
        <v>#N/A</v>
      </c>
      <c r="X93" s="328" t="e">
        <f>VLOOKUP(X$4,總表!$AM:$AS,5,0)</f>
        <v>#N/A</v>
      </c>
      <c r="Y93" s="328" t="e">
        <f>VLOOKUP(Y$4,總表!$AM:$AS,5,0)</f>
        <v>#N/A</v>
      </c>
      <c r="Z93" s="328" t="e">
        <f>VLOOKUP(Z$4,總表!$AM:$AS,5,0)</f>
        <v>#N/A</v>
      </c>
      <c r="AC93" s="328" t="e">
        <f>VLOOKUP(AC$4,總表!$AM:$AS,5,0)</f>
        <v>#N/A</v>
      </c>
      <c r="AD93" s="328" t="e">
        <f>VLOOKUP(AD$4,總表!$AM:$AS,5,0)</f>
        <v>#N/A</v>
      </c>
      <c r="AE93" s="328" t="e">
        <f>VLOOKUP(AE$4,總表!$AM:$AS,5,0)</f>
        <v>#N/A</v>
      </c>
      <c r="AF93" s="328" t="e">
        <f>VLOOKUP(AF$4,總表!$AM:$AS,5,0)</f>
        <v>#N/A</v>
      </c>
      <c r="AG93" s="328" t="e">
        <f>VLOOKUP(AG$4,總表!$AM:$AS,5,0)</f>
        <v>#N/A</v>
      </c>
      <c r="AH93" s="328" t="e">
        <f>VLOOKUP(AH$4,總表!$AM:$AS,5,0)</f>
        <v>#N/A</v>
      </c>
      <c r="AI93" s="328" t="e">
        <f>VLOOKUP(AI$4,總表!$AM:$AS,5,0)</f>
        <v>#N/A</v>
      </c>
      <c r="AJ93" s="328" t="e">
        <f>VLOOKUP(AJ$4,總表!$AM:$AS,5,0)</f>
        <v>#N/A</v>
      </c>
      <c r="AK93" s="328" t="e">
        <f>VLOOKUP(AK$4,總表!$AM:$AS,5,0)</f>
        <v>#N/A</v>
      </c>
      <c r="AL93" s="328" t="e">
        <f>VLOOKUP(AL$4,總表!$AM:$AS,5,0)</f>
        <v>#N/A</v>
      </c>
      <c r="AM93" s="328" t="e">
        <f>VLOOKUP(AM$4,總表!$AM:$AS,5,0)</f>
        <v>#N/A</v>
      </c>
      <c r="AN93" s="328" t="e">
        <f>VLOOKUP(AN$4,總表!$AM:$AS,5,0)</f>
        <v>#N/A</v>
      </c>
      <c r="AO93" s="328" t="e">
        <f>VLOOKUP(AO$4,總表!$AM:$AS,5,0)</f>
        <v>#N/A</v>
      </c>
      <c r="AP93" s="328" t="e">
        <f>VLOOKUP(AP$4,總表!$AM:$AS,5,0)</f>
        <v>#N/A</v>
      </c>
      <c r="AQ93" s="328" t="e">
        <f>VLOOKUP(AQ$4,總表!$AM:$AS,5,0)</f>
        <v>#N/A</v>
      </c>
      <c r="AT93" s="328" t="e">
        <f>VLOOKUP(AT$4,總表!$AM:$AS,5,0)</f>
        <v>#N/A</v>
      </c>
      <c r="AU93" s="328" t="e">
        <f>VLOOKUP(AU$4,總表!$AM:$AS,5,0)</f>
        <v>#N/A</v>
      </c>
      <c r="AV93" s="328" t="e">
        <f>VLOOKUP(AV$4,總表!$AM:$AS,5,0)</f>
        <v>#N/A</v>
      </c>
      <c r="AW93" s="328" t="e">
        <f>VLOOKUP(AW$4,總表!$AM:$AS,5,0)</f>
        <v>#N/A</v>
      </c>
      <c r="AX93" s="328" t="e">
        <f>VLOOKUP(AX$4,總表!$AM:$AS,5,0)</f>
        <v>#N/A</v>
      </c>
      <c r="AY93" s="328" t="e">
        <f>VLOOKUP(AY$4,總表!$AM:$AS,5,0)</f>
        <v>#N/A</v>
      </c>
      <c r="AZ93" s="328" t="e">
        <f>VLOOKUP(AZ$4,總表!$AM:$AS,5,0)</f>
        <v>#N/A</v>
      </c>
      <c r="BA93" s="328" t="e">
        <f>VLOOKUP(BA$4,總表!$AM:$AS,5,0)</f>
        <v>#N/A</v>
      </c>
      <c r="BB93" s="328" t="e">
        <f>VLOOKUP(BB$4,總表!$AM:$AS,5,0)</f>
        <v>#N/A</v>
      </c>
      <c r="BC93" s="328" t="e">
        <f>VLOOKUP(BC$4,總表!$AM:$AS,5,0)</f>
        <v>#N/A</v>
      </c>
    </row>
    <row r="94" spans="1:55" ht="14.25" customHeight="1">
      <c r="A94" s="809" t="s">
        <v>524</v>
      </c>
      <c r="B94" s="328" t="e">
        <f>VLOOKUP(B$4,總表!$AM:$AS,6,0)</f>
        <v>#N/A</v>
      </c>
      <c r="C94" s="328" t="e">
        <f>VLOOKUP(C$4,總表!$AM:$AS,6,0)</f>
        <v>#N/A</v>
      </c>
      <c r="D94" s="328" t="e">
        <f>VLOOKUP(D$4,總表!$AM:$AS,6,0)</f>
        <v>#N/A</v>
      </c>
      <c r="E94" s="328" t="e">
        <f>VLOOKUP(E$4,總表!$AM:$AS,6,0)</f>
        <v>#N/A</v>
      </c>
      <c r="F94" s="328" t="e">
        <f>VLOOKUP(F$4,總表!$AM:$AS,6,0)</f>
        <v>#N/A</v>
      </c>
      <c r="G94" s="328" t="e">
        <f>VLOOKUP(G$4,總表!$AM:$AS,6,0)</f>
        <v>#N/A</v>
      </c>
      <c r="H94" s="328" t="e">
        <f>VLOOKUP(H$4,總表!$AM:$AS,6,0)</f>
        <v>#N/A</v>
      </c>
      <c r="I94" s="328" t="e">
        <f>VLOOKUP(I$4,總表!$AM:$AS,6,0)</f>
        <v>#N/A</v>
      </c>
      <c r="J94" s="328" t="e">
        <f>VLOOKUP(J$4,總表!$AM:$AS,6,0)</f>
        <v>#N/A</v>
      </c>
      <c r="K94" s="328" t="e">
        <f>VLOOKUP(K$4,總表!$AM:$AS,6,0)</f>
        <v>#N/A</v>
      </c>
      <c r="L94" s="328" t="e">
        <f>VLOOKUP(L$4,總表!$AM:$AS,6,0)</f>
        <v>#N/A</v>
      </c>
      <c r="M94" s="328" t="e">
        <f>VLOOKUP(M$4,總表!$AM:$AS,6,0)</f>
        <v>#N/A</v>
      </c>
      <c r="N94" s="328" t="e">
        <f>VLOOKUP(N$4,總表!$AM:$AS,6,0)</f>
        <v>#N/A</v>
      </c>
      <c r="O94" s="328" t="e">
        <f>VLOOKUP(O$4,總表!$AM:$AS,6,0)</f>
        <v>#N/A</v>
      </c>
      <c r="P94" s="328" t="e">
        <f>VLOOKUP(P$4,總表!$AM:$AS,6,0)</f>
        <v>#N/A</v>
      </c>
      <c r="Q94" s="328" t="e">
        <f>VLOOKUP(Q$4,總表!$AM:$AS,6,0)</f>
        <v>#N/A</v>
      </c>
      <c r="R94" s="328" t="e">
        <f>VLOOKUP(R$4,總表!$AM:$AS,6,0)</f>
        <v>#N/A</v>
      </c>
      <c r="S94" s="328" t="e">
        <f>VLOOKUP(S$4,總表!$AM:$AS,6,0)</f>
        <v>#N/A</v>
      </c>
      <c r="T94" s="328" t="e">
        <f>VLOOKUP(T$4,總表!$AM:$AS,6,0)</f>
        <v>#N/A</v>
      </c>
      <c r="U94" s="328" t="e">
        <f>VLOOKUP(U$4,總表!$AM:$AS,6,0)</f>
        <v>#N/A</v>
      </c>
      <c r="X94" s="328" t="e">
        <f>VLOOKUP(X$4,總表!$AM:$AS,6,0)</f>
        <v>#N/A</v>
      </c>
      <c r="Y94" s="328" t="e">
        <f>VLOOKUP(Y$4,總表!$AM:$AS,6,0)</f>
        <v>#N/A</v>
      </c>
      <c r="Z94" s="328" t="e">
        <f>VLOOKUP(Z$4,總表!$AM:$AS,6,0)</f>
        <v>#N/A</v>
      </c>
      <c r="AC94" s="328" t="e">
        <f>VLOOKUP(AC$4,總表!$AM:$AS,6,0)</f>
        <v>#N/A</v>
      </c>
      <c r="AD94" s="328" t="e">
        <f>VLOOKUP(AD$4,總表!$AM:$AS,6,0)</f>
        <v>#N/A</v>
      </c>
      <c r="AE94" s="328" t="e">
        <f>VLOOKUP(AE$4,總表!$AM:$AS,6,0)</f>
        <v>#N/A</v>
      </c>
      <c r="AF94" s="328" t="e">
        <f>VLOOKUP(AF$4,總表!$AM:$AS,6,0)</f>
        <v>#N/A</v>
      </c>
      <c r="AG94" s="328" t="e">
        <f>VLOOKUP(AG$4,總表!$AM:$AS,6,0)</f>
        <v>#N/A</v>
      </c>
      <c r="AH94" s="328" t="e">
        <f>VLOOKUP(AH$4,總表!$AM:$AS,6,0)</f>
        <v>#N/A</v>
      </c>
      <c r="AI94" s="328" t="e">
        <f>VLOOKUP(AI$4,總表!$AM:$AS,6,0)</f>
        <v>#N/A</v>
      </c>
      <c r="AJ94" s="328" t="e">
        <f>VLOOKUP(AJ$4,總表!$AM:$AS,6,0)</f>
        <v>#N/A</v>
      </c>
      <c r="AK94" s="328" t="e">
        <f>VLOOKUP(AK$4,總表!$AM:$AS,6,0)</f>
        <v>#N/A</v>
      </c>
      <c r="AL94" s="328" t="e">
        <f>VLOOKUP(AL$4,總表!$AM:$AS,6,0)</f>
        <v>#N/A</v>
      </c>
      <c r="AM94" s="328" t="e">
        <f>VLOOKUP(AM$4,總表!$AM:$AS,6,0)</f>
        <v>#N/A</v>
      </c>
      <c r="AN94" s="328" t="e">
        <f>VLOOKUP(AN$4,總表!$AM:$AS,6,0)</f>
        <v>#N/A</v>
      </c>
      <c r="AO94" s="328" t="e">
        <f>VLOOKUP(AO$4,總表!$AM:$AS,6,0)</f>
        <v>#N/A</v>
      </c>
      <c r="AP94" s="328" t="e">
        <f>VLOOKUP(AP$4,總表!$AM:$AS,6,0)</f>
        <v>#N/A</v>
      </c>
      <c r="AQ94" s="328" t="e">
        <f>VLOOKUP(AQ$4,總表!$AM:$AS,6,0)</f>
        <v>#N/A</v>
      </c>
      <c r="AT94" s="328" t="e">
        <f>VLOOKUP(AT$4,總表!$AM:$AS,6,0)</f>
        <v>#N/A</v>
      </c>
      <c r="AU94" s="328" t="e">
        <f>VLOOKUP(AU$4,總表!$AM:$AS,6,0)</f>
        <v>#N/A</v>
      </c>
      <c r="AV94" s="328" t="e">
        <f>VLOOKUP(AV$4,總表!$AM:$AS,6,0)</f>
        <v>#N/A</v>
      </c>
      <c r="AW94" s="328" t="e">
        <f>VLOOKUP(AW$4,總表!$AM:$AS,6,0)</f>
        <v>#N/A</v>
      </c>
      <c r="AX94" s="328" t="e">
        <f>VLOOKUP(AX$4,總表!$AM:$AS,6,0)</f>
        <v>#N/A</v>
      </c>
      <c r="AY94" s="328" t="e">
        <f>VLOOKUP(AY$4,總表!$AM:$AS,6,0)</f>
        <v>#N/A</v>
      </c>
      <c r="AZ94" s="328" t="e">
        <f>VLOOKUP(AZ$4,總表!$AM:$AS,6,0)</f>
        <v>#N/A</v>
      </c>
      <c r="BA94" s="328" t="e">
        <f>VLOOKUP(BA$4,總表!$AM:$AS,6,0)</f>
        <v>#N/A</v>
      </c>
      <c r="BB94" s="328" t="e">
        <f>VLOOKUP(BB$4,總表!$AM:$AS,6,0)</f>
        <v>#N/A</v>
      </c>
      <c r="BC94" s="328" t="e">
        <f>VLOOKUP(BC$4,總表!$AM:$AS,6,0)</f>
        <v>#N/A</v>
      </c>
    </row>
    <row r="95" spans="1:55" ht="14.25" customHeight="1">
      <c r="A95" s="809" t="s">
        <v>525</v>
      </c>
      <c r="B95" s="328" t="e">
        <f>VLOOKUP(B4,條件!$A:$R,18,0)</f>
        <v>#N/A</v>
      </c>
      <c r="C95" s="328" t="e">
        <f>VLOOKUP(C4,條件!$A:$R,18,0)</f>
        <v>#N/A</v>
      </c>
      <c r="D95" s="328" t="e">
        <f>VLOOKUP(D4,條件!$A:$R,18,0)</f>
        <v>#N/A</v>
      </c>
      <c r="E95" s="328" t="e">
        <f>VLOOKUP(E4,條件!$A:$R,18,0)</f>
        <v>#N/A</v>
      </c>
      <c r="F95" s="328" t="e">
        <f>VLOOKUP(F4,條件!$A:$R,18,0)</f>
        <v>#N/A</v>
      </c>
      <c r="G95" s="328" t="e">
        <f>VLOOKUP(G4,條件!$A:$R,18,0)</f>
        <v>#N/A</v>
      </c>
      <c r="H95" s="328" t="e">
        <f>VLOOKUP(H4,條件!$A:$R,18,0)</f>
        <v>#N/A</v>
      </c>
      <c r="I95" s="328" t="e">
        <f>VLOOKUP(I4,條件!$A:$R,18,0)</f>
        <v>#N/A</v>
      </c>
      <c r="J95" s="328" t="e">
        <f>VLOOKUP(J4,條件!$A:$R,18,0)</f>
        <v>#N/A</v>
      </c>
      <c r="K95" s="328" t="e">
        <f>VLOOKUP(K4,條件!$A:$R,18,0)</f>
        <v>#N/A</v>
      </c>
      <c r="L95" s="328" t="e">
        <f>VLOOKUP(L4,條件!$A:$R,18,0)</f>
        <v>#N/A</v>
      </c>
      <c r="M95" s="328" t="e">
        <f>VLOOKUP(M4,條件!$A:$R,18,0)</f>
        <v>#N/A</v>
      </c>
      <c r="N95" s="328" t="e">
        <f>VLOOKUP(N4,條件!$A:$R,18,0)</f>
        <v>#N/A</v>
      </c>
      <c r="O95" s="328" t="e">
        <f>VLOOKUP(O4,條件!$A:$R,18,0)</f>
        <v>#N/A</v>
      </c>
      <c r="P95" s="328" t="e">
        <f>VLOOKUP(P4,條件!$A:$R,18,0)</f>
        <v>#N/A</v>
      </c>
      <c r="Q95" s="328" t="e">
        <f>VLOOKUP(Q4,條件!$A:$R,18,0)</f>
        <v>#N/A</v>
      </c>
      <c r="R95" s="328" t="e">
        <f>VLOOKUP(R4,條件!$A:$R,18,0)</f>
        <v>#N/A</v>
      </c>
      <c r="S95" s="328" t="e">
        <f>VLOOKUP(S4,條件!$A:$R,18,0)</f>
        <v>#N/A</v>
      </c>
      <c r="T95" s="328" t="e">
        <f>VLOOKUP(T4,條件!$A:$R,18,0)</f>
        <v>#N/A</v>
      </c>
      <c r="U95" s="328" t="e">
        <f>VLOOKUP(U4,條件!$A:$R,18,0)</f>
        <v>#N/A</v>
      </c>
      <c r="X95" s="328" t="e">
        <f>VLOOKUP(X4,條件!$A:$R,18,0)</f>
        <v>#N/A</v>
      </c>
      <c r="Y95" s="328" t="e">
        <f>VLOOKUP(Y4,條件!$A:$R,18,0)</f>
        <v>#N/A</v>
      </c>
      <c r="Z95" s="328" t="e">
        <f>VLOOKUP(Z4,條件!$A:$R,18,0)</f>
        <v>#N/A</v>
      </c>
      <c r="AC95" s="328" t="e">
        <f>VLOOKUP(AC4,條件!$A:$R,18,0)</f>
        <v>#N/A</v>
      </c>
      <c r="AD95" s="328" t="e">
        <f>VLOOKUP(AD4,條件!$A:$R,18,0)</f>
        <v>#N/A</v>
      </c>
      <c r="AE95" s="328" t="e">
        <f>VLOOKUP(AE4,條件!$A:$R,18,0)</f>
        <v>#N/A</v>
      </c>
      <c r="AF95" s="328" t="e">
        <f>VLOOKUP(AF4,條件!$A:$R,18,0)</f>
        <v>#N/A</v>
      </c>
      <c r="AG95" s="328" t="e">
        <f>VLOOKUP(AG4,條件!$A:$R,18,0)</f>
        <v>#N/A</v>
      </c>
      <c r="AH95" s="328" t="e">
        <f>VLOOKUP(AH4,條件!$A:$R,18,0)</f>
        <v>#N/A</v>
      </c>
      <c r="AI95" s="328" t="e">
        <f>VLOOKUP(AI4,條件!$A:$R,18,0)</f>
        <v>#N/A</v>
      </c>
      <c r="AJ95" s="328" t="e">
        <f>VLOOKUP(AJ4,條件!$A:$R,18,0)</f>
        <v>#N/A</v>
      </c>
      <c r="AK95" s="328" t="e">
        <f>VLOOKUP(AK4,條件!$A:$R,18,0)</f>
        <v>#N/A</v>
      </c>
      <c r="AL95" s="328" t="e">
        <f>VLOOKUP(AL4,條件!$A:$R,18,0)</f>
        <v>#N/A</v>
      </c>
      <c r="AM95" s="328" t="e">
        <f>VLOOKUP(AM4,條件!$A:$R,18,0)</f>
        <v>#N/A</v>
      </c>
      <c r="AP95" s="328" t="e">
        <f>VLOOKUP(AP4,條件!$A:$R,18,0)</f>
        <v>#N/A</v>
      </c>
      <c r="AQ95" s="328" t="e">
        <f>VLOOKUP(AQ4,條件!$A:$R,18,0)</f>
        <v>#N/A</v>
      </c>
    </row>
    <row r="96" spans="1:55" ht="14.25" customHeight="1">
      <c r="A96" s="809" t="s">
        <v>526</v>
      </c>
      <c r="B96" s="328" t="e">
        <f>VLOOKUP(B4,條件!$A:$B,2,0)</f>
        <v>#N/A</v>
      </c>
      <c r="C96" s="328" t="e">
        <f>VLOOKUP(C4,條件!$A:$B,2,0)</f>
        <v>#N/A</v>
      </c>
      <c r="D96" s="328" t="e">
        <f>VLOOKUP(D4,條件!$A:$B,2,0)</f>
        <v>#N/A</v>
      </c>
      <c r="E96" s="328" t="e">
        <f>VLOOKUP(E4,條件!$A:$B,2,0)</f>
        <v>#N/A</v>
      </c>
      <c r="F96" s="328" t="e">
        <f>VLOOKUP(F4,條件!$A:$B,2,0)</f>
        <v>#N/A</v>
      </c>
      <c r="G96" s="328" t="e">
        <f>VLOOKUP(G4,條件!$A:$B,2,0)</f>
        <v>#N/A</v>
      </c>
      <c r="H96" s="328" t="e">
        <f>VLOOKUP(H4,條件!$A:$B,2,0)</f>
        <v>#N/A</v>
      </c>
      <c r="I96" s="328" t="e">
        <f>VLOOKUP(I4,條件!$A:$B,2,0)</f>
        <v>#N/A</v>
      </c>
      <c r="J96" s="328" t="e">
        <f>VLOOKUP(J4,條件!$A:$B,2,0)</f>
        <v>#N/A</v>
      </c>
      <c r="K96" s="328" t="e">
        <f>VLOOKUP(K4,條件!$A:$B,2,0)</f>
        <v>#N/A</v>
      </c>
      <c r="L96" s="328" t="e">
        <f>VLOOKUP(L4,條件!$A:$B,2,0)</f>
        <v>#N/A</v>
      </c>
      <c r="M96" s="328" t="e">
        <f>VLOOKUP(M4,條件!$A:$B,2,0)</f>
        <v>#N/A</v>
      </c>
      <c r="N96" s="328" t="e">
        <f>VLOOKUP(N4,條件!$A:$B,2,0)</f>
        <v>#N/A</v>
      </c>
      <c r="O96" s="328" t="e">
        <f>VLOOKUP(O4,條件!$A:$B,2,0)</f>
        <v>#N/A</v>
      </c>
      <c r="P96" s="328" t="e">
        <f>VLOOKUP(P4,條件!$A:$B,2,0)</f>
        <v>#N/A</v>
      </c>
      <c r="Q96" s="328" t="e">
        <f>VLOOKUP(Q4,條件!$A:$B,2,0)</f>
        <v>#N/A</v>
      </c>
      <c r="R96" s="328" t="e">
        <f>VLOOKUP(R4,條件!$A:$B,2,0)</f>
        <v>#N/A</v>
      </c>
      <c r="S96" s="328" t="e">
        <f>VLOOKUP(S4,條件!$A:$B,2,0)</f>
        <v>#N/A</v>
      </c>
      <c r="T96" s="328" t="e">
        <f>VLOOKUP(T4,條件!$A:$B,2,0)</f>
        <v>#N/A</v>
      </c>
      <c r="U96" s="328" t="e">
        <f>VLOOKUP(U4,條件!$A:$B,2,0)</f>
        <v>#N/A</v>
      </c>
      <c r="X96" s="1010" t="e">
        <f>VLOOKUP(X4,條件!$A:$B,2,0)</f>
        <v>#N/A</v>
      </c>
      <c r="Y96" s="1010" t="e">
        <f>VLOOKUP(Y4,條件!$A:$B,2,0)</f>
        <v>#N/A</v>
      </c>
      <c r="Z96" s="1010" t="e">
        <f>VLOOKUP(Z4,條件!$A:$B,2,0)</f>
        <v>#N/A</v>
      </c>
      <c r="AC96" s="1010" t="e">
        <f>VLOOKUP(AC4,條件!$A:$B,2,0)</f>
        <v>#N/A</v>
      </c>
      <c r="AD96" s="1010" t="e">
        <f>VLOOKUP(AD4,條件!$A:$B,2,0)</f>
        <v>#N/A</v>
      </c>
      <c r="AE96" s="1010" t="e">
        <f>VLOOKUP(AE4,條件!$A:$B,2,0)</f>
        <v>#N/A</v>
      </c>
      <c r="AF96" s="1010" t="e">
        <f>VLOOKUP(AF4,條件!$A:$B,2,0)</f>
        <v>#N/A</v>
      </c>
      <c r="AG96" s="1010" t="e">
        <f>VLOOKUP(AG4,條件!$A:$B,2,0)</f>
        <v>#N/A</v>
      </c>
      <c r="AH96" s="1010" t="e">
        <f>VLOOKUP(AH4,條件!$A:$B,2,0)</f>
        <v>#N/A</v>
      </c>
      <c r="AI96" s="1010" t="e">
        <f>VLOOKUP(AI4,條件!$A:$B,2,0)</f>
        <v>#N/A</v>
      </c>
      <c r="AJ96" s="1010" t="e">
        <f>VLOOKUP(AJ4,條件!$A:$B,2,0)</f>
        <v>#N/A</v>
      </c>
      <c r="AK96" s="1010" t="e">
        <f>VLOOKUP(AK4,條件!$A:$B,2,0)</f>
        <v>#N/A</v>
      </c>
      <c r="AL96" s="1010" t="e">
        <f>VLOOKUP(AL4,條件!$A:$B,2,0)</f>
        <v>#N/A</v>
      </c>
      <c r="AM96" s="1010" t="e">
        <f>VLOOKUP(AM4,條件!$A:$B,2,0)</f>
        <v>#N/A</v>
      </c>
      <c r="AN96" s="328" t="e">
        <f>VLOOKUP(AN4,條件!$A:$B,2,0)</f>
        <v>#N/A</v>
      </c>
      <c r="AO96" s="328" t="e">
        <f>VLOOKUP(AO4,條件!$A:$B,2,0)</f>
        <v>#N/A</v>
      </c>
      <c r="AP96" s="328" t="e">
        <f>VLOOKUP(AP4,條件!$A:$B,2,0)</f>
        <v>#N/A</v>
      </c>
      <c r="AQ96" s="328" t="e">
        <f>VLOOKUP(AQ4,條件!$A:$B,2,0)</f>
        <v>#N/A</v>
      </c>
      <c r="AT96" s="328" t="e">
        <f>VLOOKUP(AT4,條件!$A:$B,2,0)</f>
        <v>#N/A</v>
      </c>
      <c r="AU96" s="328" t="e">
        <f>VLOOKUP(AU4,條件!$A:$B,2,0)</f>
        <v>#N/A</v>
      </c>
      <c r="AV96" s="328" t="e">
        <f>VLOOKUP(AV4,條件!$A:$B,2,0)</f>
        <v>#N/A</v>
      </c>
      <c r="AW96" s="328" t="e">
        <f>VLOOKUP(AW4,條件!$A:$B,2,0)</f>
        <v>#N/A</v>
      </c>
      <c r="AX96" s="328" t="e">
        <f>VLOOKUP(AX4,條件!$A:$B,2,0)</f>
        <v>#N/A</v>
      </c>
      <c r="AY96" s="328" t="e">
        <f>VLOOKUP(AY4,條件!$A:$B,2,0)</f>
        <v>#N/A</v>
      </c>
      <c r="AZ96" s="328" t="e">
        <f>VLOOKUP(AZ4,條件!$A:$B,2,0)</f>
        <v>#N/A</v>
      </c>
      <c r="BA96" s="328" t="e">
        <f>VLOOKUP(BA4,條件!$A:$B,2,0)</f>
        <v>#N/A</v>
      </c>
      <c r="BB96" s="328" t="e">
        <f>VLOOKUP(BB4,條件!$A:$B,2,0)</f>
        <v>#N/A</v>
      </c>
      <c r="BC96" s="328" t="e">
        <f>VLOOKUP(BC4,條件!$A:$B,2,0)</f>
        <v>#N/A</v>
      </c>
    </row>
    <row r="97" spans="1:55" ht="14.25" customHeight="1">
      <c r="A97" s="809" t="s">
        <v>527</v>
      </c>
      <c r="B97" s="812" t="e">
        <f>VLOOKUP(B$4,整理!$4:$181,8,0)</f>
        <v>#N/A</v>
      </c>
      <c r="C97" s="812" t="e">
        <f>VLOOKUP(C$4,整理!$4:$181,8,0)</f>
        <v>#N/A</v>
      </c>
      <c r="D97" s="812" t="str">
        <f>VLOOKUP(D$4,整理!$4:$181,8,0)</f>
        <v>P203</v>
      </c>
      <c r="E97" s="812">
        <f>VLOOKUP(E$4,整理!$4:$181,8,0)</f>
        <v>0</v>
      </c>
      <c r="F97" s="812" t="str">
        <f>VLOOKUP(F$4,整理!$4:$181,8,0)</f>
        <v>P227</v>
      </c>
      <c r="G97" s="812" t="str">
        <f>VLOOKUP(G$4,整理!$4:$181,8,0)</f>
        <v>P203</v>
      </c>
      <c r="H97" s="812" t="str">
        <f>VLOOKUP(H$4,整理!$4:$181,8,0)</f>
        <v>P203</v>
      </c>
      <c r="I97" s="812" t="e">
        <f>VLOOKUP(I$4,整理!$4:$181,8,0)</f>
        <v>#N/A</v>
      </c>
      <c r="J97" s="812" t="str">
        <f>VLOOKUP(J$4,整理!$4:$181,8,0)</f>
        <v>P203</v>
      </c>
      <c r="K97" s="812" t="e">
        <f>VLOOKUP(K$4,整理!$4:$181,8,0)</f>
        <v>#N/A</v>
      </c>
      <c r="L97" s="812" t="str">
        <f>VLOOKUP(L$4,整理!$4:$181,8,0)</f>
        <v>P203</v>
      </c>
      <c r="M97" s="812" t="str">
        <f>VLOOKUP(M$4,整理!$4:$181,8,0)</f>
        <v>P203</v>
      </c>
      <c r="N97" s="812" t="str">
        <f>VLOOKUP(N$4,整理!$4:$181,8,0)</f>
        <v>P203</v>
      </c>
      <c r="O97" s="812" t="str">
        <f>VLOOKUP(O$4,整理!$4:$181,8,0)</f>
        <v>P203</v>
      </c>
      <c r="P97" s="812" t="str">
        <f>VLOOKUP(P$4,整理!$4:$181,8,0)</f>
        <v>P203</v>
      </c>
      <c r="Q97" s="812" t="e">
        <f>VLOOKUP(Q$4,整理!$4:$181,8,0)</f>
        <v>#N/A</v>
      </c>
      <c r="R97" s="812" t="str">
        <f>VLOOKUP(R$4,整理!$4:$181,8,0)</f>
        <v>P123</v>
      </c>
      <c r="S97" s="812" t="str">
        <f>VLOOKUP(S$4,整理!$4:$181,8,0)</f>
        <v>P204</v>
      </c>
      <c r="T97" s="812" t="str">
        <f>VLOOKUP(T$4,整理!$4:$181,8,0)</f>
        <v>P204</v>
      </c>
      <c r="U97" s="812" t="e">
        <f>VLOOKUP(U$4,整理!$4:$181,8,0)</f>
        <v>#N/A</v>
      </c>
      <c r="V97" s="812"/>
      <c r="W97" s="812"/>
      <c r="X97" s="812" t="e">
        <f>VLOOKUP(X$4,整理!$4:$181,8,0)</f>
        <v>#N/A</v>
      </c>
      <c r="Y97" s="812" t="str">
        <f>VLOOKUP(Y$4,整理!$4:$181,8,0)</f>
        <v>P227</v>
      </c>
      <c r="Z97" s="812" t="e">
        <f>VLOOKUP(Z$4,整理!$4:$181,8,0)</f>
        <v>#N/A</v>
      </c>
      <c r="AA97" s="812"/>
      <c r="AB97" s="812"/>
      <c r="AC97" s="812" t="str">
        <f>VLOOKUP(AC$4,整理!$4:$181,8,0)</f>
        <v>P204</v>
      </c>
      <c r="AD97" s="812" t="str">
        <f>VLOOKUP(AD$4,整理!$4:$181,8,0)</f>
        <v>P204</v>
      </c>
      <c r="AE97" s="812" t="str">
        <f>VLOOKUP(AE$4,整理!$4:$181,8,0)</f>
        <v>P204</v>
      </c>
      <c r="AF97" s="812" t="str">
        <f>VLOOKUP(AF$4,整理!$4:$181,8,0)</f>
        <v>P204</v>
      </c>
      <c r="AG97" s="812" t="str">
        <f>VLOOKUP(AG$4,整理!$4:$181,8,0)</f>
        <v>P204</v>
      </c>
      <c r="AH97" s="812" t="str">
        <f>VLOOKUP(AH$4,整理!$4:$181,8,0)</f>
        <v>P203</v>
      </c>
      <c r="AI97" s="812" t="str">
        <f>VLOOKUP(AI$4,整理!$4:$181,8,0)</f>
        <v>P227</v>
      </c>
      <c r="AJ97" s="812" t="str">
        <f>VLOOKUP(AJ$4,整理!$4:$181,8,0)</f>
        <v>P227</v>
      </c>
      <c r="AK97" s="812" t="e">
        <f>VLOOKUP(AK$4,整理!$4:$181,8,0)</f>
        <v>#N/A</v>
      </c>
      <c r="AL97" s="812" t="str">
        <f>VLOOKUP(AL$4,整理!$4:$181,8,0)</f>
        <v>P204</v>
      </c>
      <c r="AM97" s="812" t="str">
        <f>VLOOKUP(AM$4,整理!$4:$181,8,0)</f>
        <v>P204</v>
      </c>
      <c r="AN97" s="812" t="e">
        <f>VLOOKUP(AN$4,整理!$4:$181,8,0)</f>
        <v>#N/A</v>
      </c>
      <c r="AO97" s="812" t="e">
        <f>VLOOKUP(AO$4,整理!$4:$181,8,0)</f>
        <v>#N/A</v>
      </c>
      <c r="AP97" s="812" t="str">
        <f>VLOOKUP(AP$4,整理!$4:$181,8,0)</f>
        <v>P123</v>
      </c>
      <c r="AQ97" s="812" t="e">
        <f>VLOOKUP(AQ$4,整理!$4:$181,8,0)</f>
        <v>#N/A</v>
      </c>
      <c r="AR97" s="812"/>
      <c r="AS97" s="812"/>
      <c r="AT97" s="812" t="e">
        <f>VLOOKUP(AT$4,整理!$4:$181,8,0)</f>
        <v>#N/A</v>
      </c>
      <c r="AU97" s="812" t="e">
        <f>VLOOKUP(AU$4,整理!$4:$181,8,0)</f>
        <v>#N/A</v>
      </c>
      <c r="AV97" s="812" t="e">
        <f>VLOOKUP(AV$4,整理!$4:$181,8,0)</f>
        <v>#N/A</v>
      </c>
      <c r="AW97" s="812" t="e">
        <f>VLOOKUP(AW$4,整理!$4:$181,8,0)</f>
        <v>#N/A</v>
      </c>
      <c r="AX97" s="812" t="e">
        <f>VLOOKUP(AX$4,整理!$4:$181,8,0)</f>
        <v>#N/A</v>
      </c>
      <c r="AY97" s="812" t="e">
        <f>VLOOKUP(AY$4,整理!$4:$181,8,0)</f>
        <v>#N/A</v>
      </c>
      <c r="AZ97" s="812" t="e">
        <f>VLOOKUP(AZ$4,整理!$4:$181,8,0)</f>
        <v>#N/A</v>
      </c>
      <c r="BA97" s="812" t="e">
        <f>VLOOKUP(BA$4,整理!$4:$181,8,0)</f>
        <v>#N/A</v>
      </c>
      <c r="BB97" s="812" t="e">
        <f>VLOOKUP(BB$4,整理!$4:$181,8,0)</f>
        <v>#N/A</v>
      </c>
      <c r="BC97" s="812" t="e">
        <f>VLOOKUP(BC$4,整理!$4:$181,8,0)</f>
        <v>#N/A</v>
      </c>
    </row>
    <row r="98" spans="1:55" ht="14.25" customHeight="1">
      <c r="A98" s="809" t="s">
        <v>528</v>
      </c>
      <c r="B98" s="1007" t="e">
        <f>VLOOKUP(B$4,整理!$4:$181,9,0)</f>
        <v>#N/A</v>
      </c>
      <c r="C98" s="1007" t="e">
        <f>VLOOKUP(C$4,整理!$4:$181,9,0)</f>
        <v>#N/A</v>
      </c>
      <c r="D98" s="1007" t="str">
        <f>VLOOKUP(D$4,整理!$4:$181,9,0)</f>
        <v>1.9</v>
      </c>
      <c r="E98" s="1007">
        <f>VLOOKUP(E$4,整理!$4:$181,9,0)</f>
        <v>0</v>
      </c>
      <c r="F98" s="1007" t="str">
        <f>VLOOKUP(F$4,整理!$4:$181,9,0)</f>
        <v>3.4</v>
      </c>
      <c r="G98" s="1007" t="str">
        <f>VLOOKUP(G$4,整理!$4:$181,9,0)</f>
        <v>1.3</v>
      </c>
      <c r="H98" s="1007" t="str">
        <f>VLOOKUP(H$4,整理!$4:$181,9,0)</f>
        <v>1.7</v>
      </c>
      <c r="I98" s="1007" t="e">
        <f>VLOOKUP(I$4,整理!$4:$181,9,0)</f>
        <v>#N/A</v>
      </c>
      <c r="J98" s="1007" t="str">
        <f>VLOOKUP(J$4,整理!$4:$181,9,0)</f>
        <v>0.7</v>
      </c>
      <c r="K98" s="1007" t="e">
        <f>VLOOKUP(K$4,整理!$4:$181,9,0)</f>
        <v>#N/A</v>
      </c>
      <c r="L98" s="1007" t="str">
        <f>VLOOKUP(L$4,整理!$4:$181,9,0)</f>
        <v>0.7</v>
      </c>
      <c r="M98" s="1007" t="str">
        <f>VLOOKUP(M$4,整理!$4:$181,9,0)</f>
        <v>0.8</v>
      </c>
      <c r="N98" s="1007" t="str">
        <f>VLOOKUP(N$4,整理!$4:$181,9,0)</f>
        <v>0.8</v>
      </c>
      <c r="O98" s="1007" t="str">
        <f>VLOOKUP(O$4,整理!$4:$181,9,0)</f>
        <v>2.0</v>
      </c>
      <c r="P98" s="1007" t="str">
        <f>VLOOKUP(P$4,整理!$4:$181,9,0)</f>
        <v>0.7</v>
      </c>
      <c r="Q98" s="1007" t="e">
        <f>VLOOKUP(Q$4,整理!$4:$181,9,0)</f>
        <v>#N/A</v>
      </c>
      <c r="R98" s="1007" t="str">
        <f>VLOOKUP(R$4,整理!$4:$181,9,0)</f>
        <v>2.4</v>
      </c>
      <c r="S98" s="1007" t="str">
        <f>VLOOKUP(S$4,整理!$4:$181,9,0)</f>
        <v>1.9</v>
      </c>
      <c r="T98" s="1007" t="str">
        <f>VLOOKUP(T$4,整理!$4:$181,9,0)</f>
        <v>2.6</v>
      </c>
      <c r="U98" s="1007" t="e">
        <f>VLOOKUP(U$4,整理!$4:$181,9,0)</f>
        <v>#N/A</v>
      </c>
      <c r="V98" s="1007"/>
      <c r="W98" s="1007"/>
      <c r="X98" s="1007" t="e">
        <f>VLOOKUP(X$4,整理!$4:$181,9,0)</f>
        <v>#N/A</v>
      </c>
      <c r="Y98" s="1007" t="str">
        <f>VLOOKUP(Y$4,整理!$4:$181,9,0)</f>
        <v>2.1</v>
      </c>
      <c r="Z98" s="1007" t="e">
        <f>VLOOKUP(Z$4,整理!$4:$181,9,0)</f>
        <v>#N/A</v>
      </c>
      <c r="AA98" s="1007"/>
      <c r="AB98" s="1007"/>
      <c r="AC98" s="1007" t="str">
        <f>VLOOKUP(AC$4,整理!$4:$181,9,0)</f>
        <v>3.0</v>
      </c>
      <c r="AD98" s="1007" t="str">
        <f>VLOOKUP(AD$4,整理!$4:$181,9,0)</f>
        <v>2.7</v>
      </c>
      <c r="AE98" s="1007" t="str">
        <f>VLOOKUP(AE$4,整理!$4:$181,9,0)</f>
        <v>2.9</v>
      </c>
      <c r="AF98" s="1007" t="str">
        <f>VLOOKUP(AF$4,整理!$4:$181,9,0)</f>
        <v>2.9</v>
      </c>
      <c r="AG98" s="1007" t="str">
        <f>VLOOKUP(AG$4,整理!$4:$181,9,0)</f>
        <v>3.0</v>
      </c>
      <c r="AH98" s="1007" t="str">
        <f>VLOOKUP(AH$4,整理!$4:$181,9,0)</f>
        <v>1.5</v>
      </c>
      <c r="AI98" s="1007" t="str">
        <f>VLOOKUP(AI$4,整理!$4:$181,9,0)</f>
        <v>3.3</v>
      </c>
      <c r="AJ98" s="1007" t="str">
        <f>VLOOKUP(AJ$4,整理!$4:$181,9,0)</f>
        <v>3.3</v>
      </c>
      <c r="AK98" s="1007" t="e">
        <f>VLOOKUP(AK$4,整理!$4:$181,9,0)</f>
        <v>#N/A</v>
      </c>
      <c r="AL98" s="1007" t="str">
        <f>VLOOKUP(AL$4,整理!$4:$181,9,0)</f>
        <v>2.8</v>
      </c>
      <c r="AM98" s="1007" t="str">
        <f>VLOOKUP(AM$4,整理!$4:$181,9,0)</f>
        <v>2.8</v>
      </c>
      <c r="AN98" s="1007" t="e">
        <f>VLOOKUP(AN$4,整理!$4:$181,9,0)</f>
        <v>#N/A</v>
      </c>
      <c r="AO98" s="1007" t="e">
        <f>VLOOKUP(AO$4,整理!$4:$181,9,0)</f>
        <v>#N/A</v>
      </c>
      <c r="AP98" s="1007" t="str">
        <f>VLOOKUP(AP$4,整理!$4:$181,9,0)</f>
        <v>1.6</v>
      </c>
      <c r="AQ98" s="1007" t="e">
        <f>VLOOKUP(AQ$4,整理!$4:$181,9,0)</f>
        <v>#N/A</v>
      </c>
      <c r="AR98" s="1007"/>
      <c r="AS98" s="1007"/>
      <c r="AT98" s="1007" t="e">
        <f>VLOOKUP(AT$4,整理!$4:$181,9,0)</f>
        <v>#N/A</v>
      </c>
      <c r="AU98" s="1007" t="e">
        <f>VLOOKUP(AU$4,整理!$4:$181,9,0)</f>
        <v>#N/A</v>
      </c>
      <c r="AV98" s="1007" t="e">
        <f>VLOOKUP(AV$4,整理!$4:$181,9,0)</f>
        <v>#N/A</v>
      </c>
      <c r="AW98" s="1007" t="e">
        <f>VLOOKUP(AW$4,整理!$4:$181,9,0)</f>
        <v>#N/A</v>
      </c>
      <c r="AX98" s="1007" t="e">
        <f>VLOOKUP(AX$4,整理!$4:$181,9,0)</f>
        <v>#N/A</v>
      </c>
      <c r="AY98" s="1007" t="e">
        <f>VLOOKUP(AY$4,整理!$4:$181,9,0)</f>
        <v>#N/A</v>
      </c>
      <c r="AZ98" s="1007" t="e">
        <f>VLOOKUP(AZ$4,整理!$4:$181,9,0)</f>
        <v>#N/A</v>
      </c>
      <c r="BA98" s="1007" t="e">
        <f>VLOOKUP(BA$4,整理!$4:$181,9,0)</f>
        <v>#N/A</v>
      </c>
      <c r="BB98" s="1007" t="e">
        <f>VLOOKUP(BB$4,整理!$4:$181,9,0)</f>
        <v>#N/A</v>
      </c>
      <c r="BC98" s="1007" t="e">
        <f>VLOOKUP(BC$4,整理!$4:$181,9,0)</f>
        <v>#N/A</v>
      </c>
    </row>
    <row r="99" spans="1:55" ht="14.25" customHeight="1">
      <c r="A99" s="809" t="s">
        <v>529</v>
      </c>
      <c r="B99" s="328" t="e">
        <f>VLOOKUP(B$4,總表!$AM:$AU,9,0)</f>
        <v>#N/A</v>
      </c>
      <c r="C99" s="328" t="e">
        <f>VLOOKUP(C$4,總表!$AM:$AU,9,0)</f>
        <v>#N/A</v>
      </c>
      <c r="D99" s="328" t="e">
        <f>VLOOKUP(D$4,總表!$AM:$AU,9,0)</f>
        <v>#N/A</v>
      </c>
      <c r="E99" s="328" t="e">
        <f>VLOOKUP(E$4,總表!$AM:$AU,9,0)</f>
        <v>#N/A</v>
      </c>
      <c r="F99" s="328" t="e">
        <f>VLOOKUP(F$4,總表!$AM:$AU,9,0)</f>
        <v>#N/A</v>
      </c>
      <c r="G99" s="328" t="e">
        <f>VLOOKUP(G$4,總表!$AM:$AU,9,0)</f>
        <v>#N/A</v>
      </c>
      <c r="H99" s="328" t="e">
        <f>VLOOKUP(H$4,總表!$AM:$AU,9,0)</f>
        <v>#N/A</v>
      </c>
      <c r="I99" s="328" t="e">
        <f>VLOOKUP(I$4,總表!$AM:$AU,9,0)</f>
        <v>#N/A</v>
      </c>
      <c r="J99" s="328" t="e">
        <f>VLOOKUP(J$4,總表!$AM:$AU,9,0)</f>
        <v>#N/A</v>
      </c>
      <c r="K99" s="328" t="e">
        <f>VLOOKUP(K$4,總表!$AM:$AU,9,0)</f>
        <v>#N/A</v>
      </c>
      <c r="L99" s="328" t="e">
        <f>VLOOKUP(L$4,總表!$AM:$AU,9,0)</f>
        <v>#N/A</v>
      </c>
      <c r="M99" s="328" t="e">
        <f>VLOOKUP(M$4,總表!$AM:$AU,9,0)</f>
        <v>#N/A</v>
      </c>
      <c r="N99" s="328" t="e">
        <f>VLOOKUP(N$4,總表!$AM:$AU,9,0)</f>
        <v>#N/A</v>
      </c>
      <c r="O99" s="328" t="e">
        <f>VLOOKUP(O$4,總表!$AM:$AU,9,0)</f>
        <v>#N/A</v>
      </c>
      <c r="P99" s="328" t="e">
        <f>VLOOKUP(P$4,總表!$AM:$AU,9,0)</f>
        <v>#N/A</v>
      </c>
      <c r="Q99" s="328" t="e">
        <f>VLOOKUP(Q$4,總表!$AM:$AU,9,0)</f>
        <v>#N/A</v>
      </c>
      <c r="R99" s="328" t="e">
        <f>VLOOKUP(R$4,總表!$AM:$AU,9,0)</f>
        <v>#N/A</v>
      </c>
      <c r="S99" s="328" t="e">
        <f>VLOOKUP(S$4,總表!$AM:$AU,9,0)</f>
        <v>#N/A</v>
      </c>
      <c r="T99" s="328" t="e">
        <f>VLOOKUP(T$4,總表!$AM:$AU,9,0)</f>
        <v>#N/A</v>
      </c>
      <c r="U99" s="328" t="e">
        <f>VLOOKUP(U$4,總表!$AM:$AU,9,0)</f>
        <v>#N/A</v>
      </c>
      <c r="X99" s="328" t="e">
        <f>VLOOKUP(X$4,總表!$AM:$AU,9,0)</f>
        <v>#N/A</v>
      </c>
      <c r="Y99" s="328" t="e">
        <f>VLOOKUP(Y$4,總表!$AM:$AU,9,0)</f>
        <v>#N/A</v>
      </c>
      <c r="Z99" s="328" t="e">
        <f>VLOOKUP(Z$4,總表!$AM:$AU,9,0)</f>
        <v>#N/A</v>
      </c>
      <c r="AC99" s="328" t="e">
        <f>VLOOKUP(AC$4,總表!$AM:$AU,9,0)</f>
        <v>#N/A</v>
      </c>
      <c r="AD99" s="328" t="e">
        <f>VLOOKUP(AD$4,總表!$AM:$AU,9,0)</f>
        <v>#N/A</v>
      </c>
      <c r="AE99" s="328" t="e">
        <f>VLOOKUP(AE$4,總表!$AM:$AU,9,0)</f>
        <v>#N/A</v>
      </c>
      <c r="AF99" s="328" t="e">
        <f>VLOOKUP(AF$4,總表!$AM:$AU,9,0)</f>
        <v>#N/A</v>
      </c>
      <c r="AG99" s="328" t="e">
        <f>VLOOKUP(AG$4,總表!$AM:$AU,9,0)</f>
        <v>#N/A</v>
      </c>
      <c r="AH99" s="328" t="e">
        <f>VLOOKUP(AH$4,總表!$AM:$AU,9,0)</f>
        <v>#N/A</v>
      </c>
      <c r="AI99" s="328" t="e">
        <f>VLOOKUP(AI$4,總表!$AM:$AU,9,0)</f>
        <v>#N/A</v>
      </c>
      <c r="AJ99" s="328" t="e">
        <f>VLOOKUP(AJ$4,總表!$AM:$AU,9,0)</f>
        <v>#N/A</v>
      </c>
      <c r="AK99" s="328" t="e">
        <f>VLOOKUP(AK$4,總表!$AM:$AU,9,0)</f>
        <v>#N/A</v>
      </c>
      <c r="AL99" s="328" t="e">
        <f>VLOOKUP(AL$4,總表!$AM:$AU,9,0)</f>
        <v>#N/A</v>
      </c>
      <c r="AM99" s="328" t="e">
        <f>VLOOKUP(AM$4,總表!$AM:$AU,9,0)</f>
        <v>#N/A</v>
      </c>
      <c r="AN99" s="328" t="e">
        <f>VLOOKUP(AN$4,總表!$AM:$AU,9,0)</f>
        <v>#N/A</v>
      </c>
      <c r="AO99" s="328" t="e">
        <f>VLOOKUP(AO$4,總表!$AM:$AU,9,0)</f>
        <v>#N/A</v>
      </c>
      <c r="AP99" s="328" t="e">
        <f>VLOOKUP(AP$4,總表!$AM:$AU,9,0)</f>
        <v>#N/A</v>
      </c>
      <c r="AQ99" s="328" t="e">
        <f>VLOOKUP(AQ$4,總表!$AM:$AU,9,0)</f>
        <v>#N/A</v>
      </c>
    </row>
    <row r="100" spans="1:55" ht="14.25" customHeight="1">
      <c r="A100" s="809" t="s">
        <v>530</v>
      </c>
    </row>
    <row r="101" spans="1:55" ht="14.25" customHeight="1">
      <c r="A101" s="809" t="s">
        <v>531</v>
      </c>
    </row>
    <row r="102" spans="1:55" ht="14.25" customHeight="1">
      <c r="A102" s="809" t="s">
        <v>532</v>
      </c>
    </row>
    <row r="103" spans="1:55" ht="14.25" customHeight="1">
      <c r="A103" s="810" t="s">
        <v>443</v>
      </c>
    </row>
    <row r="104" spans="1:55" ht="14.25" customHeight="1">
      <c r="A104" s="810" t="s">
        <v>444</v>
      </c>
    </row>
    <row r="105" spans="1:55" ht="14.25" customHeight="1">
      <c r="A105" s="810" t="s">
        <v>445</v>
      </c>
    </row>
    <row r="106" spans="1:55" ht="14.25" customHeight="1">
      <c r="A106" s="810" t="s">
        <v>533</v>
      </c>
    </row>
    <row r="108" spans="1:55" ht="14.25" customHeight="1">
      <c r="A108" s="1009" t="s">
        <v>909</v>
      </c>
    </row>
  </sheetData>
  <customSheetViews>
    <customSheetView guid="{40FADD7F-233D-11D9-A2E0-00055D0D7FDA}" scale="75" showPageBreaks="1" showGridLines="0" fitToPage="1" printArea="1" hiddenRows="1" view="pageBreakPreview" showRuler="0">
      <pane ySplit="7" topLeftCell="A8" activePane="bottomLeft" state="frozen"/>
      <selection pane="bottomLeft" activeCell="A49" sqref="A49:IV81"/>
      <pageMargins left="0.39370078740157483" right="0.15748031496062992" top="0.93" bottom="0.62" header="0.71" footer="0.36"/>
      <printOptions horizontalCentered="1" verticalCentered="1"/>
      <pageSetup paperSize="9" scale="28" pageOrder="overThenDown" orientation="landscape" horizontalDpi="300" verticalDpi="300" r:id="rId1"/>
      <headerFooter alignWithMargins="0">
        <oddFooter>&amp;L&amp;"全真行書,標準"                      廠主管：&amp;C&amp;"全真行書,標準"主任：&amp;R&amp;"全真行書,標準"製表：朱玉萍</oddFooter>
      </headerFooter>
    </customSheetView>
    <customSheetView guid="{40FADD80-233D-11D9-A2E0-00055D0D7FDA}" scale="75" showPageBreaks="1" showGridLines="0" showRuler="0">
      <pane ySplit="7" topLeftCell="A42" activePane="bottomLeft" state="frozen"/>
      <selection pane="bottomLeft" activeCell="H48" sqref="H48"/>
    </customSheetView>
    <customSheetView guid="{B499F86B-5A3B-11D9-A2E0-00055D0D7FDA}" scale="60" showPageBreaks="1" showGridLines="0" fitToPage="1" hiddenRows="1" view="pageBreakPreview" showRuler="0">
      <pane xSplit="1" ySplit="7" topLeftCell="B8" activePane="bottomRight" state="frozen"/>
      <selection pane="bottomRight" activeCell="C40" sqref="C40"/>
      <pageMargins left="0.39370078740157483" right="0.15748031496062992" top="0.82" bottom="0.62992125984251968" header="0.99" footer="0.23622047244094491"/>
      <printOptions horizontalCentered="1" verticalCentered="1"/>
      <pageSetup paperSize="9" scale="37" orientation="landscape" horizontalDpi="400" verticalDpi="400" r:id="rId2"/>
      <headerFooter alignWithMargins="0">
        <oddFooter>&amp;L&amp;"全真行書,標準"                     &amp;C&amp;"全真行書,標準"&amp;20主任：&amp;R&amp;"全真行書,標準"&amp;20製表：朱玉萍
&amp;"Times New Roman,標準"
&amp;F</oddFooter>
      </headerFooter>
    </customSheetView>
  </customSheetViews>
  <phoneticPr fontId="14" type="noConversion"/>
  <pageMargins left="0.31496062992125984" right="0.23622047244094491" top="0.31496062992125984" bottom="0.55118110236220474" header="0.23622047244094491" footer="0.19685039370078741"/>
  <pageSetup paperSize="9" scale="58" fitToWidth="5" orientation="landscape" horizontalDpi="4294967293" r:id="rId3"/>
  <headerFooter alignWithMargins="0">
    <oddFooter>&amp;L&amp;"標楷體,標準"斷絲率　共&amp;N頁－第&amp;P頁&amp;C&amp;"標楷體,標準"主任：&amp;R&amp;"標楷體,標準"製表：朱玉萍
&amp;F</oddFooter>
  </headerFooter>
  <colBreaks count="1" manualBreakCount="1">
    <brk id="4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4635-F6E9-4361-8281-ED6B1299CB8B}">
  <sheetPr codeName="工作表17">
    <tabColor rgb="FFFFC000"/>
  </sheetPr>
  <dimension ref="A3:C34"/>
  <sheetViews>
    <sheetView showGridLines="0" zoomScale="90" zoomScaleNormal="90" workbookViewId="0">
      <pane ySplit="11" topLeftCell="A12" activePane="bottomLeft" state="frozen"/>
      <selection pane="bottomLeft" activeCell="A3" sqref="A3"/>
    </sheetView>
  </sheetViews>
  <sheetFormatPr defaultRowHeight="16.5"/>
  <cols>
    <col min="1" max="1" width="12.625" bestFit="1" customWidth="1"/>
    <col min="2" max="2" width="14.625" customWidth="1"/>
    <col min="3" max="3" width="18.125" bestFit="1" customWidth="1"/>
  </cols>
  <sheetData>
    <row r="3" spans="1:3">
      <c r="A3" s="1136" t="s">
        <v>61</v>
      </c>
      <c r="B3" s="1136" t="s">
        <v>39</v>
      </c>
      <c r="C3" t="s">
        <v>15507</v>
      </c>
    </row>
    <row r="4" spans="1:3">
      <c r="A4" t="s">
        <v>213</v>
      </c>
      <c r="B4" t="s">
        <v>632</v>
      </c>
      <c r="C4" s="1135" t="e">
        <v>#DIV/0!</v>
      </c>
    </row>
    <row r="5" spans="1:3">
      <c r="A5" t="s">
        <v>213</v>
      </c>
      <c r="B5" t="s">
        <v>17221</v>
      </c>
      <c r="C5" s="1135">
        <v>1.1062500000000002</v>
      </c>
    </row>
    <row r="6" spans="1:3">
      <c r="A6" t="s">
        <v>213</v>
      </c>
      <c r="B6" t="s">
        <v>17258</v>
      </c>
      <c r="C6" s="1135" t="e">
        <v>#DIV/0!</v>
      </c>
    </row>
    <row r="7" spans="1:3">
      <c r="A7" t="s">
        <v>213</v>
      </c>
      <c r="B7" t="s">
        <v>17261</v>
      </c>
      <c r="C7" s="1135">
        <v>3.1574074074074079</v>
      </c>
    </row>
    <row r="8" spans="1:3">
      <c r="A8" t="s">
        <v>213</v>
      </c>
      <c r="B8" t="s">
        <v>17263</v>
      </c>
      <c r="C8" s="1135">
        <v>2.7361111111111107</v>
      </c>
    </row>
    <row r="9" spans="1:3">
      <c r="A9" t="s">
        <v>213</v>
      </c>
      <c r="B9" t="s">
        <v>17293</v>
      </c>
      <c r="C9" s="1135">
        <v>1.4404761904761909</v>
      </c>
    </row>
    <row r="10" spans="1:3">
      <c r="A10" t="s">
        <v>213</v>
      </c>
      <c r="B10" t="s">
        <v>17316</v>
      </c>
      <c r="C10" s="1135">
        <v>3.9444444444444446</v>
      </c>
    </row>
    <row r="11" spans="1:3">
      <c r="A11" t="s">
        <v>213</v>
      </c>
      <c r="B11" t="s">
        <v>17380</v>
      </c>
      <c r="C11" s="1135">
        <v>1.8055555555555556</v>
      </c>
    </row>
    <row r="12" spans="1:3">
      <c r="A12" t="s">
        <v>213</v>
      </c>
      <c r="B12" t="s">
        <v>17430</v>
      </c>
      <c r="C12" s="1135">
        <v>3.4734848484848482</v>
      </c>
    </row>
    <row r="13" spans="1:3">
      <c r="A13" t="s">
        <v>213</v>
      </c>
      <c r="B13" t="s">
        <v>17431</v>
      </c>
      <c r="C13" s="1135">
        <v>1.46875</v>
      </c>
    </row>
    <row r="14" spans="1:3">
      <c r="A14" t="s">
        <v>213</v>
      </c>
      <c r="B14" t="s">
        <v>17503</v>
      </c>
      <c r="C14" s="1135">
        <v>2.03125</v>
      </c>
    </row>
    <row r="15" spans="1:3">
      <c r="A15" t="s">
        <v>213</v>
      </c>
      <c r="B15" t="s">
        <v>17595</v>
      </c>
      <c r="C15" s="1135" t="e">
        <v>#DIV/0!</v>
      </c>
    </row>
    <row r="16" spans="1:3">
      <c r="A16" t="s">
        <v>213</v>
      </c>
      <c r="B16" t="s">
        <v>17571</v>
      </c>
      <c r="C16" s="1135" t="e">
        <v>#DIV/0!</v>
      </c>
    </row>
    <row r="17" spans="1:3">
      <c r="A17" t="s">
        <v>213</v>
      </c>
      <c r="B17" t="s">
        <v>17577</v>
      </c>
      <c r="C17" s="1135" t="e">
        <v>#DIV/0!</v>
      </c>
    </row>
    <row r="18" spans="1:3">
      <c r="A18" t="s">
        <v>213</v>
      </c>
      <c r="B18" t="s">
        <v>17575</v>
      </c>
      <c r="C18" s="1135" t="e">
        <v>#DIV/0!</v>
      </c>
    </row>
    <row r="19" spans="1:3">
      <c r="A19" t="s">
        <v>232</v>
      </c>
      <c r="B19" t="s">
        <v>632</v>
      </c>
      <c r="C19" s="1135" t="e">
        <v>#DIV/0!</v>
      </c>
    </row>
    <row r="20" spans="1:3">
      <c r="A20" t="s">
        <v>232</v>
      </c>
      <c r="B20" t="s">
        <v>17268</v>
      </c>
      <c r="C20" s="1135">
        <v>3.0032051282051286</v>
      </c>
    </row>
    <row r="21" spans="1:3">
      <c r="A21" t="s">
        <v>241</v>
      </c>
      <c r="B21" t="s">
        <v>632</v>
      </c>
      <c r="C21" s="1135" t="e">
        <v>#DIV/0!</v>
      </c>
    </row>
    <row r="22" spans="1:3">
      <c r="A22" t="s">
        <v>241</v>
      </c>
      <c r="B22" t="s">
        <v>385</v>
      </c>
      <c r="C22" s="1135" t="e">
        <v>#DIV/0!</v>
      </c>
    </row>
    <row r="23" spans="1:3">
      <c r="A23" t="s">
        <v>241</v>
      </c>
      <c r="B23" t="s">
        <v>17429</v>
      </c>
      <c r="C23" s="1135">
        <v>13.090909090909092</v>
      </c>
    </row>
    <row r="24" spans="1:3">
      <c r="A24" t="s">
        <v>236</v>
      </c>
      <c r="B24" t="s">
        <v>17241</v>
      </c>
      <c r="C24" s="1135">
        <v>5.3333333333333339</v>
      </c>
    </row>
    <row r="25" spans="1:3">
      <c r="A25" t="s">
        <v>236</v>
      </c>
      <c r="B25" t="s">
        <v>17248</v>
      </c>
      <c r="C25" s="1135">
        <v>4.1319444444444455</v>
      </c>
    </row>
    <row r="26" spans="1:3">
      <c r="A26" t="s">
        <v>236</v>
      </c>
      <c r="B26" t="s">
        <v>17251</v>
      </c>
      <c r="C26" s="1135">
        <v>7.6130952380952381</v>
      </c>
    </row>
    <row r="27" spans="1:3">
      <c r="A27" t="s">
        <v>236</v>
      </c>
      <c r="B27" t="s">
        <v>17266</v>
      </c>
      <c r="C27" s="1135">
        <v>3.3791666666666664</v>
      </c>
    </row>
    <row r="28" spans="1:3">
      <c r="A28" t="s">
        <v>236</v>
      </c>
      <c r="B28" t="s">
        <v>17289</v>
      </c>
      <c r="C28" s="1135">
        <v>3.7107843137254903</v>
      </c>
    </row>
    <row r="29" spans="1:3">
      <c r="A29" t="s">
        <v>236</v>
      </c>
      <c r="B29" t="s">
        <v>17291</v>
      </c>
      <c r="C29" s="1135">
        <v>3.7312500000000002</v>
      </c>
    </row>
    <row r="30" spans="1:3">
      <c r="A30" t="s">
        <v>236</v>
      </c>
      <c r="B30" t="s">
        <v>17296</v>
      </c>
      <c r="C30" s="1135">
        <v>3.8837719298245625</v>
      </c>
    </row>
    <row r="31" spans="1:3">
      <c r="A31" t="s">
        <v>236</v>
      </c>
      <c r="B31" t="s">
        <v>17547</v>
      </c>
      <c r="C31" s="1135">
        <v>5.458333333333333</v>
      </c>
    </row>
    <row r="32" spans="1:3">
      <c r="A32" t="s">
        <v>236</v>
      </c>
      <c r="B32" t="s">
        <v>17550</v>
      </c>
      <c r="C32" s="1135">
        <v>4.2499999999999991</v>
      </c>
    </row>
    <row r="33" spans="1:3">
      <c r="A33" t="s">
        <v>236</v>
      </c>
      <c r="B33" t="s">
        <v>17557</v>
      </c>
      <c r="C33" s="1135">
        <v>3.25</v>
      </c>
    </row>
    <row r="34" spans="1:3">
      <c r="A34" t="s">
        <v>70</v>
      </c>
      <c r="C34" s="1135">
        <v>3.8675595238095224</v>
      </c>
    </row>
  </sheetData>
  <phoneticPr fontId="12" type="noConversion"/>
  <conditionalFormatting pivot="1" sqref="C4:C33">
    <cfRule type="cellIs" dxfId="574" priority="1" operator="greaterThanOrEqual">
      <formula>3</formula>
    </cfRule>
  </conditionalFormatting>
  <pageMargins left="0.7" right="0.7" top="0.75" bottom="0.75" header="0.3" footer="0.3"/>
  <pageSetup paperSize="9" orientation="portrait" horizontalDpi="4294967293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276"/>
  <sheetViews>
    <sheetView showGridLines="0" zoomScale="96" zoomScaleNormal="96" zoomScaleSheetLayoutView="100" workbookViewId="0">
      <pane ySplit="22" topLeftCell="A110" activePane="bottomLeft" state="frozen"/>
      <selection activeCell="L173" sqref="L173"/>
      <selection pane="bottomLeft" activeCell="F120" sqref="F120"/>
    </sheetView>
  </sheetViews>
  <sheetFormatPr defaultRowHeight="17.25" customHeight="1"/>
  <cols>
    <col min="1" max="1" width="13.875" style="1236" customWidth="1"/>
    <col min="2" max="2" width="12" style="81" customWidth="1"/>
    <col min="3" max="3" width="15.125" style="81" customWidth="1"/>
    <col min="4" max="4" width="27" style="81" customWidth="1"/>
    <col min="5" max="5" width="13.625" style="1240" customWidth="1"/>
    <col min="6" max="6" width="14.875" style="81" customWidth="1"/>
    <col min="7" max="7" width="20.25" style="81" customWidth="1"/>
    <col min="8" max="8" width="13.625" style="1240" customWidth="1"/>
    <col min="9" max="9" width="14.875" style="81" customWidth="1"/>
    <col min="10" max="14" width="12.75" style="1218" customWidth="1"/>
    <col min="15" max="16" width="14.125" style="1213" customWidth="1"/>
    <col min="17" max="16384" width="9" style="81"/>
  </cols>
  <sheetData>
    <row r="1" spans="1:16" s="1213" customFormat="1" ht="17.25" customHeight="1">
      <c r="A1" s="1236" t="s">
        <v>15859</v>
      </c>
      <c r="B1" s="82" t="s">
        <v>15860</v>
      </c>
      <c r="C1" s="82" t="s">
        <v>15861</v>
      </c>
      <c r="D1" s="1232" t="s">
        <v>15864</v>
      </c>
      <c r="E1" s="1237" t="s">
        <v>15863</v>
      </c>
      <c r="F1" s="1233" t="s">
        <v>15862</v>
      </c>
      <c r="G1" s="1232" t="s">
        <v>15864</v>
      </c>
      <c r="H1" s="1237" t="s">
        <v>15865</v>
      </c>
      <c r="I1" s="1233" t="s">
        <v>15862</v>
      </c>
      <c r="J1" s="1235" t="s">
        <v>15866</v>
      </c>
      <c r="K1" s="1235" t="s">
        <v>15867</v>
      </c>
      <c r="L1" s="1235" t="s">
        <v>15868</v>
      </c>
      <c r="M1" s="1235" t="s">
        <v>15869</v>
      </c>
      <c r="N1" s="1235" t="s">
        <v>15870</v>
      </c>
      <c r="O1" s="1212">
        <f>SUM(F:F,I:I)</f>
        <v>683855</v>
      </c>
      <c r="P1" s="1212">
        <f>SUM(E:E,H:H,J:N)</f>
        <v>253000.8</v>
      </c>
    </row>
    <row r="2" spans="1:16" ht="17.25" customHeight="1">
      <c r="D2" s="1234" t="s">
        <v>17360</v>
      </c>
      <c r="E2" s="1239">
        <v>7688</v>
      </c>
      <c r="F2" s="384">
        <v>7689</v>
      </c>
      <c r="G2" s="1234"/>
      <c r="H2" s="1238"/>
      <c r="I2" s="384"/>
      <c r="J2" s="1217"/>
      <c r="K2" s="1214"/>
      <c r="L2" s="1214"/>
      <c r="M2" s="1214"/>
      <c r="N2" s="1214"/>
      <c r="O2" s="1215">
        <f>日報表!G187</f>
        <v>301230.8</v>
      </c>
      <c r="P2" s="1215">
        <f>日報表!G184</f>
        <v>1193694.2</v>
      </c>
    </row>
    <row r="3" spans="1:16" ht="17.25" customHeight="1">
      <c r="D3" s="1234" t="s">
        <v>17487</v>
      </c>
      <c r="E3" s="1238">
        <v>3310</v>
      </c>
      <c r="F3" s="384">
        <v>3300</v>
      </c>
      <c r="G3" s="1234"/>
      <c r="H3" s="1238"/>
      <c r="I3" s="384"/>
      <c r="J3" s="1217"/>
      <c r="K3" s="1214"/>
      <c r="L3" s="1214"/>
      <c r="M3" s="1214"/>
      <c r="N3" s="1214"/>
      <c r="O3" s="1216" t="s">
        <v>15871</v>
      </c>
    </row>
    <row r="4" spans="1:16" ht="17.25" customHeight="1">
      <c r="D4" s="1234" t="s">
        <v>17349</v>
      </c>
      <c r="E4" s="1238">
        <v>3744</v>
      </c>
      <c r="F4" s="384">
        <v>3720</v>
      </c>
      <c r="G4" s="1234"/>
      <c r="H4" s="1238"/>
      <c r="I4" s="384"/>
      <c r="J4" s="1214"/>
      <c r="K4" s="1217"/>
      <c r="L4" s="1214"/>
      <c r="M4" s="1217"/>
      <c r="N4" s="1214"/>
      <c r="O4" s="1216">
        <f>'C、D級'!B35-+'C、D級'!C35</f>
        <v>2614</v>
      </c>
    </row>
    <row r="5" spans="1:16" ht="17.25" customHeight="1">
      <c r="D5" s="1234" t="s">
        <v>17350</v>
      </c>
      <c r="E5" s="1239">
        <v>2241</v>
      </c>
      <c r="F5" s="384">
        <v>2241</v>
      </c>
      <c r="G5" s="1234"/>
      <c r="H5" s="1238"/>
      <c r="I5" s="384"/>
      <c r="J5" s="1217"/>
      <c r="K5" s="1217"/>
      <c r="L5" s="1217"/>
      <c r="M5" s="1217"/>
      <c r="N5" s="1214"/>
    </row>
    <row r="6" spans="1:16" ht="17.25" customHeight="1">
      <c r="D6" s="1234" t="s">
        <v>17423</v>
      </c>
      <c r="E6" s="1238">
        <v>3990</v>
      </c>
      <c r="F6" s="384">
        <v>3990</v>
      </c>
      <c r="G6" s="1234"/>
      <c r="H6" s="1238"/>
      <c r="I6" s="384"/>
      <c r="J6" s="1214"/>
      <c r="K6" s="1214"/>
      <c r="L6" s="1214"/>
      <c r="M6" s="1214"/>
      <c r="N6" s="1214"/>
    </row>
    <row r="7" spans="1:16" ht="17.25" customHeight="1">
      <c r="D7" s="1234" t="s">
        <v>17488</v>
      </c>
      <c r="E7" s="1238">
        <v>1261</v>
      </c>
      <c r="F7" s="384">
        <v>1261</v>
      </c>
      <c r="G7" s="1234"/>
      <c r="H7" s="1238"/>
      <c r="I7" s="384"/>
      <c r="J7" s="1217"/>
      <c r="K7" s="1214"/>
      <c r="L7" s="1214"/>
      <c r="M7" s="1214"/>
      <c r="N7" s="1214"/>
    </row>
    <row r="8" spans="1:16" ht="17.25" customHeight="1">
      <c r="D8" s="1234" t="s">
        <v>17406</v>
      </c>
      <c r="E8" s="1239">
        <v>2708</v>
      </c>
      <c r="F8" s="384">
        <v>2708</v>
      </c>
      <c r="G8" s="1234"/>
      <c r="H8" s="1238"/>
      <c r="I8" s="384"/>
      <c r="J8" s="1214"/>
      <c r="K8" s="1214"/>
      <c r="L8" s="1217"/>
      <c r="M8" s="1214"/>
      <c r="N8" s="1214"/>
    </row>
    <row r="9" spans="1:16" ht="17.25" customHeight="1">
      <c r="D9" s="1234" t="s">
        <v>17351</v>
      </c>
      <c r="E9" s="1239">
        <v>9744</v>
      </c>
      <c r="F9" s="384">
        <v>9744</v>
      </c>
      <c r="G9" s="1234"/>
      <c r="H9" s="1239"/>
      <c r="I9" s="384"/>
      <c r="J9" s="1214"/>
      <c r="K9" s="1214"/>
      <c r="L9" s="1217"/>
      <c r="M9" s="1214"/>
      <c r="N9" s="1214"/>
    </row>
    <row r="10" spans="1:16" ht="17.25" customHeight="1">
      <c r="D10" s="1234" t="s">
        <v>17489</v>
      </c>
      <c r="E10" s="1238">
        <v>1130</v>
      </c>
      <c r="F10" s="384">
        <v>1130</v>
      </c>
      <c r="G10" s="1234"/>
      <c r="H10" s="1238"/>
      <c r="I10" s="384"/>
      <c r="J10" s="1214"/>
      <c r="K10" s="1217"/>
      <c r="L10" s="1214"/>
      <c r="M10" s="1217"/>
      <c r="N10" s="1214"/>
    </row>
    <row r="11" spans="1:16" ht="17.25" customHeight="1">
      <c r="D11" s="1234" t="s">
        <v>17363</v>
      </c>
      <c r="E11" s="1238"/>
      <c r="F11" s="384">
        <v>19200</v>
      </c>
      <c r="G11" s="1234"/>
      <c r="H11" s="1239"/>
      <c r="I11" s="384"/>
      <c r="J11" s="1217"/>
      <c r="K11" s="1217"/>
      <c r="L11" s="1217"/>
      <c r="M11" s="1217"/>
      <c r="N11" s="1214"/>
    </row>
    <row r="12" spans="1:16" ht="17.25" customHeight="1">
      <c r="D12" s="1234" t="s">
        <v>17407</v>
      </c>
      <c r="E12" s="1238">
        <v>1740</v>
      </c>
      <c r="F12" s="384">
        <v>1740</v>
      </c>
      <c r="G12" s="1234"/>
      <c r="H12" s="1239"/>
      <c r="I12" s="384"/>
      <c r="J12" s="1214"/>
      <c r="K12" s="1217"/>
      <c r="L12" s="1217"/>
      <c r="M12" s="1217"/>
      <c r="N12" s="1214"/>
    </row>
    <row r="13" spans="1:16" ht="17.25" customHeight="1">
      <c r="D13" s="1234" t="s">
        <v>17428</v>
      </c>
      <c r="E13" s="1238">
        <v>7432</v>
      </c>
      <c r="F13" s="384">
        <v>6600</v>
      </c>
      <c r="G13" s="1234"/>
      <c r="H13" s="1238"/>
      <c r="I13" s="384"/>
      <c r="J13" s="1217"/>
      <c r="K13" s="1217"/>
      <c r="L13" s="1217"/>
      <c r="M13" s="1217"/>
      <c r="N13" s="1214"/>
    </row>
    <row r="14" spans="1:16" ht="17.25" customHeight="1">
      <c r="D14" s="1234" t="s">
        <v>17408</v>
      </c>
      <c r="E14" s="1238">
        <v>20184</v>
      </c>
      <c r="F14" s="384">
        <v>26448</v>
      </c>
      <c r="G14" s="1234"/>
      <c r="H14" s="1239"/>
      <c r="I14" s="384"/>
      <c r="J14" s="1217"/>
      <c r="K14" s="1217"/>
      <c r="L14" s="1217"/>
      <c r="M14" s="1217"/>
      <c r="N14" s="1214"/>
    </row>
    <row r="15" spans="1:16" ht="17.25" customHeight="1">
      <c r="D15" s="1234" t="s">
        <v>17409</v>
      </c>
      <c r="E15" s="1238">
        <v>2635</v>
      </c>
      <c r="F15" s="384">
        <v>2637</v>
      </c>
      <c r="G15" s="1234"/>
      <c r="H15" s="1239"/>
      <c r="I15" s="384"/>
      <c r="J15" s="1217"/>
      <c r="K15" s="1217"/>
      <c r="L15" s="1217"/>
      <c r="M15" s="1214"/>
      <c r="N15" s="1214"/>
    </row>
    <row r="16" spans="1:16" ht="17.25" customHeight="1">
      <c r="D16" s="1234" t="s">
        <v>17410</v>
      </c>
      <c r="E16" s="1238">
        <v>3823</v>
      </c>
      <c r="F16" s="384">
        <v>3826</v>
      </c>
      <c r="G16" s="1234"/>
      <c r="H16" s="1239"/>
      <c r="I16" s="384"/>
      <c r="J16" s="1217"/>
      <c r="K16" s="1217"/>
      <c r="L16" s="1217"/>
      <c r="M16" s="1214"/>
      <c r="N16" s="1214"/>
    </row>
    <row r="17" spans="4:14" ht="17.25" customHeight="1">
      <c r="D17" s="1234" t="s">
        <v>17394</v>
      </c>
      <c r="E17" s="1238">
        <v>750</v>
      </c>
      <c r="F17" s="384">
        <v>750</v>
      </c>
      <c r="G17" s="1234"/>
      <c r="H17" s="1238"/>
      <c r="I17" s="384"/>
      <c r="J17" s="1217"/>
      <c r="K17" s="1217"/>
      <c r="L17" s="1217"/>
      <c r="M17" s="1214"/>
      <c r="N17" s="1214"/>
    </row>
    <row r="18" spans="4:14" ht="17.25" customHeight="1">
      <c r="D18" s="1234" t="s">
        <v>17411</v>
      </c>
      <c r="E18" s="1238">
        <v>3325</v>
      </c>
      <c r="F18" s="384">
        <v>3325</v>
      </c>
      <c r="G18" s="1234"/>
      <c r="H18" s="1238"/>
      <c r="I18" s="384"/>
      <c r="J18" s="1214"/>
      <c r="K18" s="1214"/>
      <c r="L18" s="1217"/>
      <c r="M18" s="1214"/>
      <c r="N18" s="1214"/>
    </row>
    <row r="19" spans="4:14" ht="17.25" customHeight="1">
      <c r="D19" s="1234" t="s">
        <v>17348</v>
      </c>
      <c r="E19" s="1238">
        <v>1200</v>
      </c>
      <c r="F19" s="384">
        <v>1200</v>
      </c>
      <c r="G19" s="1234"/>
      <c r="H19" s="1238"/>
      <c r="I19" s="384"/>
      <c r="J19" s="1217"/>
      <c r="K19" s="1217"/>
      <c r="L19" s="1217"/>
      <c r="M19" s="1214"/>
      <c r="N19" s="1214"/>
    </row>
    <row r="20" spans="4:14" ht="17.25" customHeight="1">
      <c r="D20" s="1234" t="s">
        <v>17490</v>
      </c>
      <c r="E20" s="1238">
        <v>2391</v>
      </c>
      <c r="F20" s="384">
        <v>2391</v>
      </c>
      <c r="G20" s="1234"/>
      <c r="H20" s="1238"/>
      <c r="I20" s="384"/>
      <c r="J20" s="1217"/>
      <c r="K20" s="1217"/>
      <c r="L20" s="1217"/>
      <c r="M20" s="1214"/>
      <c r="N20" s="1214"/>
    </row>
    <row r="21" spans="4:14" ht="17.25" customHeight="1">
      <c r="D21" s="1234" t="s">
        <v>17395</v>
      </c>
      <c r="E21" s="1238">
        <v>5940</v>
      </c>
      <c r="F21" s="384">
        <v>5940</v>
      </c>
      <c r="G21" s="1234"/>
      <c r="H21" s="1239"/>
      <c r="I21" s="384"/>
      <c r="J21" s="1217"/>
      <c r="K21" s="1217"/>
      <c r="L21" s="1217"/>
      <c r="M21" s="1214"/>
      <c r="N21" s="1214"/>
    </row>
    <row r="22" spans="4:14" ht="17.25" customHeight="1">
      <c r="D22" s="1234" t="s">
        <v>17491</v>
      </c>
      <c r="E22" s="1238">
        <v>3444</v>
      </c>
      <c r="F22" s="384">
        <v>3444</v>
      </c>
      <c r="G22" s="1234"/>
      <c r="H22" s="1238"/>
      <c r="I22" s="384"/>
      <c r="J22" s="1217"/>
      <c r="K22" s="1217"/>
      <c r="L22" s="1217"/>
      <c r="M22" s="1214"/>
      <c r="N22" s="1214"/>
    </row>
    <row r="23" spans="4:14" ht="17.25" customHeight="1">
      <c r="D23" s="1234" t="s">
        <v>17388</v>
      </c>
      <c r="E23" s="1238">
        <v>6600</v>
      </c>
      <c r="F23" s="384">
        <v>6600</v>
      </c>
      <c r="G23" s="1234"/>
      <c r="H23" s="1238"/>
      <c r="I23" s="384"/>
      <c r="J23" s="1217"/>
      <c r="K23" s="1217"/>
      <c r="L23" s="1217"/>
      <c r="M23" s="1214"/>
      <c r="N23" s="1214"/>
    </row>
    <row r="24" spans="4:14" ht="17.25" customHeight="1">
      <c r="D24" s="1234" t="s">
        <v>17543</v>
      </c>
      <c r="E24" s="1238">
        <v>694</v>
      </c>
      <c r="F24" s="384">
        <v>694</v>
      </c>
      <c r="G24" s="1234"/>
      <c r="H24" s="1238"/>
      <c r="I24" s="384"/>
      <c r="J24" s="1217"/>
      <c r="K24" s="1217"/>
      <c r="L24" s="1217"/>
      <c r="M24" s="1214"/>
      <c r="N24" s="1214"/>
    </row>
    <row r="25" spans="4:14" ht="17.25" customHeight="1">
      <c r="D25" s="1234" t="s">
        <v>17492</v>
      </c>
      <c r="E25" s="1238">
        <v>1976</v>
      </c>
      <c r="F25" s="384">
        <v>1980</v>
      </c>
      <c r="G25" s="1234"/>
      <c r="H25" s="1238"/>
      <c r="I25" s="384"/>
      <c r="J25" s="1217"/>
      <c r="K25" s="1217"/>
      <c r="L25" s="1217"/>
      <c r="M25" s="1214"/>
      <c r="N25" s="1214"/>
    </row>
    <row r="26" spans="4:14" ht="17.25" customHeight="1">
      <c r="D26" s="1234" t="s">
        <v>17540</v>
      </c>
      <c r="E26" s="1238">
        <v>1755</v>
      </c>
      <c r="F26" s="384">
        <v>1755</v>
      </c>
      <c r="G26" s="1234"/>
      <c r="H26" s="1238"/>
      <c r="I26" s="384"/>
      <c r="J26" s="1217"/>
      <c r="K26" s="1217"/>
      <c r="L26" s="1217"/>
      <c r="M26" s="1214"/>
      <c r="N26" s="1214"/>
    </row>
    <row r="27" spans="4:14" ht="17.25" customHeight="1">
      <c r="D27" s="1234" t="s">
        <v>17412</v>
      </c>
      <c r="E27" s="1238">
        <v>3690</v>
      </c>
      <c r="F27" s="384">
        <v>3690</v>
      </c>
      <c r="G27" s="1234"/>
      <c r="H27" s="1238"/>
      <c r="I27" s="384"/>
      <c r="J27" s="1217"/>
      <c r="K27" s="1217"/>
      <c r="L27" s="1217"/>
      <c r="M27" s="1214"/>
      <c r="N27" s="1214"/>
    </row>
    <row r="28" spans="4:14" ht="17.25" customHeight="1">
      <c r="D28" s="1234" t="s">
        <v>17321</v>
      </c>
      <c r="E28" s="1238">
        <v>360</v>
      </c>
      <c r="F28" s="384">
        <v>264</v>
      </c>
      <c r="G28" s="1234"/>
      <c r="H28" s="1238"/>
      <c r="I28" s="384"/>
      <c r="J28" s="1217"/>
      <c r="K28" s="1217"/>
      <c r="L28" s="1217"/>
      <c r="M28" s="1214"/>
      <c r="N28" s="1214"/>
    </row>
    <row r="29" spans="4:14" ht="17.25" customHeight="1">
      <c r="D29" s="1234" t="s">
        <v>17413</v>
      </c>
      <c r="E29" s="1238">
        <v>1470</v>
      </c>
      <c r="F29" s="384">
        <v>1470</v>
      </c>
      <c r="G29" s="1234"/>
      <c r="H29" s="1239"/>
      <c r="I29" s="384"/>
      <c r="J29" s="1217"/>
      <c r="K29" s="1217"/>
      <c r="L29" s="1217"/>
      <c r="M29" s="1214"/>
      <c r="N29" s="1214"/>
    </row>
    <row r="30" spans="4:14" ht="17.25" customHeight="1">
      <c r="D30" s="1234" t="s">
        <v>17239</v>
      </c>
      <c r="E30" s="1238">
        <v>1990</v>
      </c>
      <c r="F30" s="384">
        <v>1980</v>
      </c>
      <c r="G30" s="1234"/>
      <c r="H30" s="1238"/>
      <c r="I30" s="384"/>
      <c r="J30" s="1217"/>
      <c r="K30" s="1217"/>
      <c r="L30" s="1217"/>
      <c r="M30" s="1214"/>
      <c r="N30" s="1214"/>
    </row>
    <row r="31" spans="4:14" ht="17.25" customHeight="1">
      <c r="D31" s="1234" t="s">
        <v>17459</v>
      </c>
      <c r="E31" s="1238"/>
      <c r="F31" s="384">
        <v>26280</v>
      </c>
      <c r="G31" s="1234"/>
      <c r="H31" s="1238"/>
      <c r="I31" s="384"/>
      <c r="J31" s="1217"/>
      <c r="K31" s="1217"/>
      <c r="L31" s="1217"/>
      <c r="M31" s="1214"/>
      <c r="N31" s="1214"/>
    </row>
    <row r="32" spans="4:14" ht="17.25" customHeight="1">
      <c r="D32" s="1234" t="s">
        <v>17525</v>
      </c>
      <c r="E32" s="1238">
        <v>192</v>
      </c>
      <c r="F32" s="384">
        <v>192</v>
      </c>
      <c r="G32" s="1234"/>
      <c r="H32" s="1238"/>
      <c r="I32" s="384"/>
      <c r="J32" s="1217"/>
      <c r="K32" s="1217"/>
      <c r="L32" s="1217"/>
      <c r="M32" s="1214"/>
      <c r="N32" s="1214"/>
    </row>
    <row r="33" spans="4:14" ht="17.25" customHeight="1">
      <c r="D33" s="1234" t="s">
        <v>17352</v>
      </c>
      <c r="E33" s="1238">
        <v>2304</v>
      </c>
      <c r="F33" s="384">
        <v>2304</v>
      </c>
      <c r="G33" s="1234"/>
      <c r="H33" s="1239"/>
      <c r="I33" s="384"/>
      <c r="J33" s="1217"/>
      <c r="K33" s="1217"/>
      <c r="L33" s="1217"/>
      <c r="M33" s="1214"/>
      <c r="N33" s="1214"/>
    </row>
    <row r="34" spans="4:14" ht="17.25" customHeight="1">
      <c r="D34" s="1234" t="s">
        <v>17364</v>
      </c>
      <c r="E34" s="1239"/>
      <c r="F34" s="384">
        <v>2711</v>
      </c>
      <c r="G34" s="1234"/>
      <c r="H34" s="1238"/>
      <c r="I34" s="384"/>
      <c r="J34" s="1217"/>
      <c r="K34" s="1217"/>
      <c r="L34" s="1217"/>
      <c r="M34" s="1214"/>
      <c r="N34" s="1214"/>
    </row>
    <row r="35" spans="4:14" ht="17.25" customHeight="1">
      <c r="D35" s="1234" t="s">
        <v>17424</v>
      </c>
      <c r="E35" s="1238">
        <v>4679</v>
      </c>
      <c r="F35" s="384">
        <v>4680</v>
      </c>
      <c r="G35" s="1234"/>
      <c r="H35" s="1238"/>
      <c r="I35" s="384"/>
      <c r="J35" s="1217"/>
      <c r="K35" s="1217"/>
      <c r="L35" s="1217"/>
      <c r="M35" s="1214"/>
      <c r="N35" s="1214"/>
    </row>
    <row r="36" spans="4:14" ht="17.25" customHeight="1">
      <c r="D36" s="1234" t="s">
        <v>17493</v>
      </c>
      <c r="E36" s="1238">
        <v>1768</v>
      </c>
      <c r="F36" s="384">
        <v>1768</v>
      </c>
      <c r="G36" s="1234"/>
      <c r="H36" s="1238"/>
      <c r="I36" s="384"/>
      <c r="J36" s="1217"/>
      <c r="K36" s="1217"/>
      <c r="L36" s="1217"/>
      <c r="M36" s="1214"/>
      <c r="N36" s="1214"/>
    </row>
    <row r="37" spans="4:14" ht="17.25" customHeight="1">
      <c r="D37" s="1234" t="s">
        <v>17546</v>
      </c>
      <c r="E37" s="1239"/>
      <c r="F37" s="384">
        <v>890</v>
      </c>
      <c r="G37" s="1234"/>
      <c r="H37" s="1238"/>
      <c r="I37" s="384"/>
      <c r="J37" s="1217"/>
      <c r="K37" s="1217"/>
      <c r="L37" s="1217"/>
      <c r="M37" s="1214"/>
      <c r="N37" s="1214"/>
    </row>
    <row r="38" spans="4:14" ht="17.25" customHeight="1">
      <c r="D38" s="1234" t="s">
        <v>17494</v>
      </c>
      <c r="E38" s="1239">
        <v>4504</v>
      </c>
      <c r="F38" s="384">
        <v>4504</v>
      </c>
      <c r="G38" s="1234"/>
      <c r="H38" s="1239"/>
      <c r="I38" s="384"/>
      <c r="J38" s="1217"/>
      <c r="K38" s="1217"/>
      <c r="L38" s="1217"/>
      <c r="M38" s="1214"/>
      <c r="N38" s="1214"/>
    </row>
    <row r="39" spans="4:14" ht="17.25" customHeight="1">
      <c r="D39" s="1234" t="s">
        <v>17362</v>
      </c>
      <c r="E39" s="1238">
        <v>1842</v>
      </c>
      <c r="F39" s="384">
        <v>1770</v>
      </c>
      <c r="G39" s="1234"/>
      <c r="H39" s="1239"/>
      <c r="I39" s="384"/>
      <c r="J39" s="1217"/>
      <c r="K39" s="1217"/>
      <c r="L39" s="1217"/>
      <c r="M39" s="1214"/>
      <c r="N39" s="1214"/>
    </row>
    <row r="40" spans="4:14" ht="17.25" customHeight="1">
      <c r="D40" s="1234" t="s">
        <v>17331</v>
      </c>
      <c r="E40" s="1238">
        <v>3794</v>
      </c>
      <c r="F40" s="384">
        <v>3794</v>
      </c>
      <c r="G40" s="1234"/>
      <c r="H40" s="1238"/>
      <c r="I40" s="384"/>
      <c r="J40" s="1217"/>
      <c r="K40" s="1217"/>
      <c r="L40" s="1217"/>
      <c r="M40" s="1214"/>
      <c r="N40" s="1214"/>
    </row>
    <row r="41" spans="4:14" ht="17.25" customHeight="1">
      <c r="D41" s="1234" t="s">
        <v>17545</v>
      </c>
      <c r="E41" s="1238">
        <v>1270</v>
      </c>
      <c r="F41" s="384">
        <v>930</v>
      </c>
      <c r="G41" s="1234"/>
      <c r="H41" s="1238"/>
      <c r="I41" s="384"/>
      <c r="J41" s="1217"/>
      <c r="K41" s="1217"/>
      <c r="L41" s="1217"/>
      <c r="M41" s="1214"/>
      <c r="N41" s="1214"/>
    </row>
    <row r="42" spans="4:14" ht="17.25" customHeight="1">
      <c r="D42" s="1234" t="s">
        <v>17450</v>
      </c>
      <c r="E42" s="1239">
        <v>17820</v>
      </c>
      <c r="F42" s="384">
        <v>51120</v>
      </c>
      <c r="G42" s="1234"/>
      <c r="H42" s="1238"/>
      <c r="I42" s="384"/>
      <c r="J42" s="1217"/>
      <c r="K42" s="1217"/>
      <c r="L42" s="1217"/>
      <c r="M42" s="1214"/>
      <c r="N42" s="1214"/>
    </row>
    <row r="43" spans="4:14" ht="17.25" customHeight="1">
      <c r="D43" s="1234" t="s">
        <v>17425</v>
      </c>
      <c r="E43" s="1238">
        <v>3900</v>
      </c>
      <c r="F43" s="384">
        <v>4500</v>
      </c>
      <c r="G43" s="1234"/>
      <c r="H43" s="1238"/>
      <c r="I43" s="384"/>
      <c r="J43" s="1217"/>
      <c r="K43" s="1217"/>
      <c r="L43" s="1217"/>
      <c r="M43" s="1214"/>
      <c r="N43" s="1214"/>
    </row>
    <row r="44" spans="4:14" ht="17.25" customHeight="1">
      <c r="D44" s="1234" t="s">
        <v>17495</v>
      </c>
      <c r="E44" s="1239">
        <v>2016</v>
      </c>
      <c r="F44" s="384">
        <v>2019</v>
      </c>
      <c r="G44" s="1234"/>
      <c r="H44" s="1238"/>
      <c r="I44" s="384"/>
      <c r="J44" s="1217"/>
      <c r="K44" s="1217"/>
      <c r="L44" s="1217"/>
      <c r="M44" s="1214"/>
      <c r="N44" s="1214"/>
    </row>
    <row r="45" spans="4:14" ht="17.25" customHeight="1">
      <c r="D45" s="1234" t="s">
        <v>17378</v>
      </c>
      <c r="E45" s="1239"/>
      <c r="F45" s="384">
        <v>4847</v>
      </c>
      <c r="G45" s="1234"/>
      <c r="H45" s="1238"/>
      <c r="I45" s="384"/>
      <c r="J45" s="1217"/>
      <c r="K45" s="1217"/>
      <c r="L45" s="1217"/>
      <c r="M45" s="1214"/>
      <c r="N45" s="1214"/>
    </row>
    <row r="46" spans="4:14" ht="17.25" customHeight="1">
      <c r="D46" s="1234" t="s">
        <v>17336</v>
      </c>
      <c r="E46" s="1238">
        <v>765.3</v>
      </c>
      <c r="F46" s="384"/>
      <c r="G46" s="1234"/>
      <c r="H46" s="1238"/>
      <c r="I46" s="384"/>
      <c r="J46" s="1217"/>
      <c r="K46" s="1217"/>
      <c r="L46" s="1217"/>
      <c r="M46" s="1214"/>
      <c r="N46" s="1214"/>
    </row>
    <row r="47" spans="4:14" ht="17.25" customHeight="1">
      <c r="D47" s="1234" t="s">
        <v>17341</v>
      </c>
      <c r="E47" s="1238">
        <v>257.7</v>
      </c>
      <c r="F47" s="384"/>
      <c r="G47" s="1234"/>
      <c r="H47" s="1239"/>
      <c r="I47" s="384"/>
      <c r="J47" s="1217"/>
      <c r="K47" s="1217"/>
      <c r="L47" s="1217"/>
      <c r="M47" s="1214"/>
      <c r="N47" s="1214"/>
    </row>
    <row r="48" spans="4:14" ht="17.25" customHeight="1">
      <c r="D48" s="1234" t="s">
        <v>17426</v>
      </c>
      <c r="E48" s="1238">
        <v>4020</v>
      </c>
      <c r="F48" s="384">
        <v>4020</v>
      </c>
      <c r="G48" s="1234"/>
      <c r="H48" s="1238"/>
      <c r="I48" s="384"/>
      <c r="J48" s="1217"/>
      <c r="K48" s="1217"/>
      <c r="L48" s="1217"/>
      <c r="M48" s="1214"/>
      <c r="N48" s="1214"/>
    </row>
    <row r="49" spans="4:14" ht="17.25" customHeight="1">
      <c r="D49" s="1234" t="s">
        <v>17496</v>
      </c>
      <c r="E49" s="1239">
        <v>595</v>
      </c>
      <c r="F49" s="384">
        <v>595</v>
      </c>
      <c r="G49" s="1234"/>
      <c r="H49" s="1239"/>
      <c r="I49" s="384"/>
      <c r="J49" s="1217"/>
      <c r="K49" s="1217"/>
      <c r="L49" s="1217"/>
      <c r="M49" s="1214"/>
      <c r="N49" s="1214"/>
    </row>
    <row r="50" spans="4:14" ht="17.25" customHeight="1">
      <c r="D50" s="1234" t="s">
        <v>17451</v>
      </c>
      <c r="E50" s="1238">
        <v>6400</v>
      </c>
      <c r="F50" s="384">
        <v>6390</v>
      </c>
      <c r="G50" s="1234"/>
      <c r="H50" s="1239"/>
      <c r="I50" s="384"/>
      <c r="J50" s="1217"/>
      <c r="K50" s="1217"/>
      <c r="L50" s="1217"/>
      <c r="M50" s="1214"/>
      <c r="N50" s="1214"/>
    </row>
    <row r="51" spans="4:14" ht="17.25" customHeight="1">
      <c r="D51" s="1234" t="s">
        <v>17389</v>
      </c>
      <c r="E51" s="1238">
        <v>6390</v>
      </c>
      <c r="F51" s="384">
        <v>6390</v>
      </c>
      <c r="G51" s="1234"/>
      <c r="H51" s="1238"/>
      <c r="I51" s="384"/>
      <c r="J51" s="1217"/>
      <c r="K51" s="1217"/>
      <c r="L51" s="1217"/>
      <c r="M51" s="1214"/>
      <c r="N51" s="1214"/>
    </row>
    <row r="52" spans="4:14" ht="17.25" customHeight="1">
      <c r="D52" s="1234" t="s">
        <v>17497</v>
      </c>
      <c r="E52" s="1239">
        <v>1516</v>
      </c>
      <c r="F52" s="384">
        <v>1486</v>
      </c>
      <c r="G52" s="1234"/>
      <c r="H52" s="1239"/>
      <c r="I52" s="384"/>
      <c r="J52" s="1217"/>
      <c r="K52" s="1217"/>
      <c r="L52" s="1217"/>
      <c r="M52" s="1214"/>
      <c r="N52" s="1214"/>
    </row>
    <row r="53" spans="4:14" ht="17.25" customHeight="1">
      <c r="D53" s="1234" t="s">
        <v>17361</v>
      </c>
      <c r="E53" s="1238">
        <v>9791</v>
      </c>
      <c r="F53" s="384">
        <v>9409</v>
      </c>
      <c r="G53" s="1234"/>
      <c r="H53" s="1238"/>
      <c r="I53" s="384"/>
      <c r="J53" s="1217"/>
      <c r="K53" s="1217"/>
      <c r="L53" s="1217"/>
      <c r="M53" s="1214"/>
      <c r="N53" s="1214"/>
    </row>
    <row r="54" spans="4:14" ht="17.25" customHeight="1">
      <c r="D54" s="1234" t="s">
        <v>17498</v>
      </c>
      <c r="E54" s="1239">
        <v>3644</v>
      </c>
      <c r="F54" s="384">
        <v>3644</v>
      </c>
      <c r="G54" s="1234"/>
      <c r="H54" s="1238"/>
      <c r="I54" s="384"/>
      <c r="J54" s="1217"/>
      <c r="K54" s="1217"/>
      <c r="L54" s="1217"/>
      <c r="M54" s="1214"/>
      <c r="N54" s="1214"/>
    </row>
    <row r="55" spans="4:14" ht="17.25" customHeight="1">
      <c r="D55" s="1234" t="s">
        <v>17499</v>
      </c>
      <c r="E55" s="1238">
        <v>3111</v>
      </c>
      <c r="F55" s="384">
        <v>3111</v>
      </c>
      <c r="G55" s="1234"/>
      <c r="H55" s="1238"/>
      <c r="I55" s="384"/>
      <c r="J55" s="1217"/>
      <c r="K55" s="1217"/>
      <c r="L55" s="1217"/>
      <c r="M55" s="1214"/>
      <c r="N55" s="1214"/>
    </row>
    <row r="56" spans="4:14" ht="17.25" customHeight="1">
      <c r="D56" s="1234" t="s">
        <v>17417</v>
      </c>
      <c r="E56" s="1238">
        <v>3741</v>
      </c>
      <c r="F56" s="384">
        <v>3742</v>
      </c>
      <c r="G56" s="1234"/>
      <c r="H56" s="1238"/>
      <c r="I56" s="384"/>
      <c r="J56" s="1217"/>
      <c r="K56" s="1217"/>
      <c r="L56" s="1217"/>
      <c r="M56" s="1214"/>
      <c r="N56" s="1214"/>
    </row>
    <row r="57" spans="4:14" ht="17.25" customHeight="1">
      <c r="D57" s="1234" t="s">
        <v>17541</v>
      </c>
      <c r="E57" s="1238">
        <v>7651</v>
      </c>
      <c r="F57" s="384">
        <v>3000</v>
      </c>
      <c r="G57" s="1234"/>
      <c r="H57" s="1238"/>
      <c r="I57" s="384"/>
      <c r="J57" s="1217"/>
      <c r="K57" s="1217"/>
      <c r="L57" s="1217"/>
      <c r="M57" s="1214"/>
      <c r="N57" s="1214"/>
    </row>
    <row r="58" spans="4:14" ht="17.25" customHeight="1">
      <c r="D58" s="1234" t="s">
        <v>17365</v>
      </c>
      <c r="E58" s="1238"/>
      <c r="F58" s="384">
        <v>644</v>
      </c>
      <c r="G58" s="1234"/>
      <c r="H58" s="1238"/>
      <c r="I58" s="384"/>
      <c r="J58" s="1217"/>
      <c r="K58" s="1217"/>
      <c r="L58" s="1217"/>
      <c r="M58" s="1214"/>
      <c r="N58" s="1214"/>
    </row>
    <row r="59" spans="4:14" ht="17.25" customHeight="1">
      <c r="D59" s="1234" t="s">
        <v>17322</v>
      </c>
      <c r="E59" s="1238">
        <v>849</v>
      </c>
      <c r="F59" s="384">
        <v>384</v>
      </c>
      <c r="G59" s="1234"/>
      <c r="H59" s="1238"/>
      <c r="I59" s="384"/>
      <c r="J59" s="1217"/>
      <c r="K59" s="1217"/>
      <c r="L59" s="1217"/>
      <c r="M59" s="1214"/>
      <c r="N59" s="1214"/>
    </row>
    <row r="60" spans="4:14" ht="17.25" customHeight="1">
      <c r="D60" s="1234" t="s">
        <v>17323</v>
      </c>
      <c r="E60" s="1238">
        <v>997.3</v>
      </c>
      <c r="F60" s="384">
        <v>815</v>
      </c>
      <c r="G60" s="1234"/>
      <c r="H60" s="1238"/>
      <c r="I60" s="384"/>
      <c r="J60" s="1217"/>
      <c r="K60" s="1217"/>
      <c r="L60" s="1217"/>
      <c r="M60" s="1214"/>
      <c r="N60" s="1214"/>
    </row>
    <row r="61" spans="4:14" ht="17.25" customHeight="1">
      <c r="D61" s="1234" t="s">
        <v>17533</v>
      </c>
      <c r="E61" s="1238">
        <v>750</v>
      </c>
      <c r="F61" s="384"/>
      <c r="G61" s="1234"/>
      <c r="H61" s="1238"/>
      <c r="I61" s="384"/>
      <c r="J61" s="1217"/>
      <c r="K61" s="1217"/>
      <c r="L61" s="1217"/>
      <c r="M61" s="1214"/>
      <c r="N61" s="1214"/>
    </row>
    <row r="62" spans="4:14" ht="17.25" customHeight="1">
      <c r="D62" s="1234" t="s">
        <v>17246</v>
      </c>
      <c r="E62" s="1239">
        <v>3246</v>
      </c>
      <c r="F62" s="384">
        <v>1146</v>
      </c>
      <c r="G62" s="1234"/>
      <c r="H62" s="1238"/>
      <c r="I62" s="384"/>
      <c r="J62" s="1217"/>
      <c r="K62" s="1217"/>
      <c r="L62" s="1217"/>
      <c r="M62" s="1214"/>
      <c r="N62" s="1214"/>
    </row>
    <row r="63" spans="4:14" ht="17.25" customHeight="1">
      <c r="D63" s="1234" t="s">
        <v>17339</v>
      </c>
      <c r="E63" s="1238">
        <v>1550</v>
      </c>
      <c r="F63" s="384">
        <v>1503</v>
      </c>
      <c r="G63" s="1234"/>
      <c r="H63" s="1238"/>
      <c r="I63" s="384"/>
      <c r="J63" s="1217"/>
      <c r="K63" s="1217"/>
      <c r="L63" s="1217"/>
      <c r="M63" s="1214"/>
      <c r="N63" s="1214"/>
    </row>
    <row r="64" spans="4:14" ht="17.25" customHeight="1">
      <c r="D64" s="1234" t="s">
        <v>17332</v>
      </c>
      <c r="E64" s="1238">
        <v>2988</v>
      </c>
      <c r="F64" s="384">
        <v>2988</v>
      </c>
      <c r="G64" s="1234"/>
      <c r="H64" s="1238"/>
      <c r="I64" s="384"/>
      <c r="J64" s="1217"/>
      <c r="K64" s="1217"/>
      <c r="L64" s="1217"/>
      <c r="M64" s="1214"/>
      <c r="N64" s="1214"/>
    </row>
    <row r="65" spans="4:14" ht="17.25" customHeight="1">
      <c r="D65" s="1234" t="s">
        <v>17325</v>
      </c>
      <c r="E65" s="1238">
        <v>2398</v>
      </c>
      <c r="F65" s="384">
        <v>2398</v>
      </c>
      <c r="G65" s="1234"/>
      <c r="H65" s="1238"/>
      <c r="I65" s="384"/>
      <c r="J65" s="1217"/>
      <c r="K65" s="1217"/>
      <c r="L65" s="1217"/>
      <c r="M65" s="1214"/>
      <c r="N65" s="1214"/>
    </row>
    <row r="66" spans="4:14" ht="17.25" customHeight="1">
      <c r="D66" s="1234" t="s">
        <v>17344</v>
      </c>
      <c r="E66" s="1238">
        <v>1429.1</v>
      </c>
      <c r="F66" s="384">
        <v>996</v>
      </c>
      <c r="G66" s="1234"/>
      <c r="H66" s="1239"/>
      <c r="I66" s="384"/>
      <c r="J66" s="1217"/>
      <c r="K66" s="1217"/>
      <c r="L66" s="1217"/>
      <c r="M66" s="1214"/>
      <c r="N66" s="1214"/>
    </row>
    <row r="67" spans="4:14" ht="17.25" customHeight="1">
      <c r="D67" s="1234" t="s">
        <v>17333</v>
      </c>
      <c r="E67" s="1238">
        <v>6932</v>
      </c>
      <c r="F67" s="384">
        <v>6932</v>
      </c>
      <c r="G67" s="1234"/>
      <c r="H67" s="1238"/>
      <c r="I67" s="384"/>
      <c r="J67" s="1217"/>
      <c r="K67" s="1217"/>
      <c r="L67" s="1217"/>
      <c r="M67" s="1214"/>
      <c r="N67" s="1214"/>
    </row>
    <row r="68" spans="4:14" ht="17.25" customHeight="1">
      <c r="D68" s="1234" t="s">
        <v>17326</v>
      </c>
      <c r="E68" s="1238">
        <v>6624</v>
      </c>
      <c r="F68" s="384">
        <v>6600</v>
      </c>
      <c r="G68" s="1234"/>
      <c r="H68" s="1238"/>
      <c r="I68" s="384"/>
      <c r="J68" s="1217"/>
      <c r="K68" s="1217"/>
      <c r="L68" s="1217"/>
      <c r="M68" s="1214"/>
      <c r="N68" s="1214"/>
    </row>
    <row r="69" spans="4:14" ht="17.25" customHeight="1">
      <c r="D69" s="1234" t="s">
        <v>17338</v>
      </c>
      <c r="E69" s="1238">
        <v>480</v>
      </c>
      <c r="F69" s="384">
        <v>480</v>
      </c>
      <c r="G69" s="1234"/>
      <c r="H69" s="1239"/>
      <c r="I69" s="384"/>
      <c r="J69" s="1217"/>
      <c r="K69" s="1217"/>
      <c r="L69" s="1217"/>
      <c r="M69" s="1214"/>
      <c r="N69" s="1214"/>
    </row>
    <row r="70" spans="4:14" ht="17.25" customHeight="1">
      <c r="D70" s="1234" t="s">
        <v>17346</v>
      </c>
      <c r="E70" s="1238">
        <v>528</v>
      </c>
      <c r="F70" s="384">
        <v>528</v>
      </c>
      <c r="G70" s="1234"/>
      <c r="H70" s="1238"/>
      <c r="I70" s="384"/>
      <c r="J70" s="1217"/>
      <c r="K70" s="1217"/>
      <c r="L70" s="1217"/>
      <c r="M70" s="1214"/>
      <c r="N70" s="1214"/>
    </row>
    <row r="71" spans="4:14" ht="17.25" customHeight="1">
      <c r="D71" s="1234" t="s">
        <v>17366</v>
      </c>
      <c r="E71" s="1238"/>
      <c r="F71" s="384">
        <v>136787</v>
      </c>
      <c r="G71" s="1234"/>
      <c r="H71" s="1238"/>
      <c r="I71" s="384"/>
      <c r="J71" s="1217"/>
      <c r="K71" s="1217"/>
      <c r="L71" s="1217"/>
      <c r="M71" s="1214"/>
      <c r="N71" s="1214"/>
    </row>
    <row r="72" spans="4:14" ht="17.25" customHeight="1">
      <c r="D72" s="1234" t="s">
        <v>17367</v>
      </c>
      <c r="E72" s="1238"/>
      <c r="F72" s="384">
        <v>60</v>
      </c>
      <c r="G72" s="1234"/>
      <c r="H72" s="1238"/>
      <c r="I72" s="384"/>
      <c r="J72" s="1217"/>
      <c r="K72" s="1217"/>
      <c r="L72" s="1217"/>
      <c r="M72" s="1214"/>
      <c r="N72" s="1214"/>
    </row>
    <row r="73" spans="4:14" ht="17.25" customHeight="1">
      <c r="D73" s="1234" t="s">
        <v>17509</v>
      </c>
      <c r="E73" s="1238">
        <v>99</v>
      </c>
      <c r="F73" s="384">
        <v>99</v>
      </c>
      <c r="G73" s="1234"/>
      <c r="H73" s="1238"/>
      <c r="I73" s="384"/>
      <c r="J73" s="1217"/>
      <c r="K73" s="1217"/>
      <c r="L73" s="1217"/>
      <c r="M73" s="1214"/>
      <c r="N73" s="1214"/>
    </row>
    <row r="74" spans="4:14" ht="17.25" customHeight="1">
      <c r="D74" s="1234" t="s">
        <v>17457</v>
      </c>
      <c r="E74" s="1239">
        <v>660</v>
      </c>
      <c r="F74" s="384">
        <v>630</v>
      </c>
      <c r="G74" s="1234"/>
      <c r="H74" s="1238"/>
      <c r="I74" s="384"/>
      <c r="J74" s="1217"/>
      <c r="K74" s="1217"/>
      <c r="L74" s="1217"/>
      <c r="M74" s="1214"/>
      <c r="N74" s="1214"/>
    </row>
    <row r="75" spans="4:14" ht="17.25" customHeight="1">
      <c r="D75" s="1234" t="s">
        <v>17368</v>
      </c>
      <c r="E75" s="1238"/>
      <c r="F75" s="384">
        <v>600</v>
      </c>
      <c r="G75" s="1234"/>
      <c r="H75" s="1238"/>
      <c r="I75" s="384"/>
      <c r="J75" s="1217"/>
      <c r="K75" s="1217"/>
      <c r="L75" s="1217"/>
      <c r="M75" s="1214"/>
      <c r="N75" s="1214"/>
    </row>
    <row r="76" spans="4:14" ht="17.25" customHeight="1">
      <c r="D76" s="1234" t="s">
        <v>17402</v>
      </c>
      <c r="E76" s="1239">
        <v>330</v>
      </c>
      <c r="F76" s="384">
        <v>231</v>
      </c>
      <c r="G76" s="1234"/>
      <c r="H76" s="1239"/>
      <c r="I76" s="384"/>
      <c r="J76" s="1217"/>
      <c r="K76" s="1217"/>
      <c r="L76" s="1217"/>
      <c r="M76" s="1214"/>
      <c r="N76" s="1214"/>
    </row>
    <row r="77" spans="4:14" ht="17.25" customHeight="1">
      <c r="D77" s="1234" t="s">
        <v>17374</v>
      </c>
      <c r="E77" s="1238"/>
      <c r="F77" s="384">
        <v>1176</v>
      </c>
      <c r="G77" s="1234"/>
      <c r="H77" s="1238"/>
      <c r="I77" s="384"/>
      <c r="J77" s="1217"/>
      <c r="K77" s="1217"/>
      <c r="L77" s="1217"/>
      <c r="M77" s="1214"/>
      <c r="N77" s="1214"/>
    </row>
    <row r="78" spans="4:14" ht="17.25" customHeight="1">
      <c r="D78" s="1234" t="s">
        <v>17379</v>
      </c>
      <c r="E78" s="1239">
        <v>594</v>
      </c>
      <c r="F78" s="384">
        <v>205260</v>
      </c>
      <c r="G78" s="1234"/>
      <c r="H78" s="1238"/>
      <c r="I78" s="384"/>
      <c r="J78" s="1217"/>
      <c r="K78" s="1217"/>
      <c r="L78" s="1217"/>
      <c r="M78" s="1214"/>
      <c r="N78" s="1214"/>
    </row>
    <row r="79" spans="4:14" ht="17.25" customHeight="1">
      <c r="D79" s="1234" t="s">
        <v>17500</v>
      </c>
      <c r="E79" s="1238">
        <v>184</v>
      </c>
      <c r="F79" s="384">
        <v>184</v>
      </c>
      <c r="G79" s="1234"/>
      <c r="H79" s="1238"/>
      <c r="I79" s="384"/>
      <c r="J79" s="1217"/>
      <c r="K79" s="1217"/>
      <c r="L79" s="1217"/>
      <c r="M79" s="1214"/>
      <c r="N79" s="1214"/>
    </row>
    <row r="80" spans="4:14" ht="17.25" customHeight="1">
      <c r="D80" s="1234" t="s">
        <v>17501</v>
      </c>
      <c r="E80" s="1239">
        <v>1017</v>
      </c>
      <c r="F80" s="384">
        <v>998</v>
      </c>
      <c r="G80" s="1234"/>
      <c r="H80" s="1238"/>
      <c r="I80" s="384"/>
      <c r="J80" s="1217"/>
      <c r="K80" s="1217"/>
      <c r="L80" s="1217"/>
      <c r="M80" s="1214"/>
      <c r="N80" s="1214"/>
    </row>
    <row r="81" spans="4:14" ht="17.25" customHeight="1">
      <c r="D81" s="1234" t="s">
        <v>17390</v>
      </c>
      <c r="E81" s="1239">
        <v>2490</v>
      </c>
      <c r="F81" s="384">
        <v>2490</v>
      </c>
      <c r="G81" s="1234"/>
      <c r="H81" s="1238"/>
      <c r="I81" s="384"/>
      <c r="J81" s="1217"/>
      <c r="K81" s="1217"/>
      <c r="L81" s="1217"/>
      <c r="M81" s="1214"/>
      <c r="N81" s="1214"/>
    </row>
    <row r="82" spans="4:14" ht="17.25" customHeight="1">
      <c r="D82" s="1234" t="s">
        <v>17375</v>
      </c>
      <c r="E82" s="1238"/>
      <c r="F82" s="384">
        <v>952</v>
      </c>
      <c r="G82" s="1234"/>
      <c r="H82" s="1238"/>
      <c r="I82" s="384"/>
      <c r="J82" s="1217"/>
      <c r="K82" s="1217"/>
      <c r="L82" s="1217"/>
      <c r="M82" s="1214"/>
      <c r="N82" s="1214"/>
    </row>
    <row r="83" spans="4:14" ht="17.25" customHeight="1">
      <c r="D83" s="1234" t="s">
        <v>17418</v>
      </c>
      <c r="E83" s="1238">
        <v>2662</v>
      </c>
      <c r="F83" s="384">
        <v>2662</v>
      </c>
      <c r="G83" s="1234"/>
      <c r="H83" s="1238"/>
      <c r="I83" s="384"/>
      <c r="J83" s="1217"/>
      <c r="K83" s="1217"/>
      <c r="L83" s="1217"/>
      <c r="M83" s="1214"/>
      <c r="N83" s="1214"/>
    </row>
    <row r="84" spans="4:14" ht="17.25" customHeight="1">
      <c r="D84" s="1234" t="s">
        <v>17542</v>
      </c>
      <c r="E84" s="1239">
        <v>5218</v>
      </c>
      <c r="F84" s="384">
        <v>5266</v>
      </c>
      <c r="G84" s="1234"/>
      <c r="H84" s="1238"/>
      <c r="I84" s="384"/>
      <c r="J84" s="1217"/>
      <c r="K84" s="1217"/>
      <c r="L84" s="1217"/>
      <c r="M84" s="1214"/>
      <c r="N84" s="1214"/>
    </row>
    <row r="85" spans="4:14" ht="17.25" customHeight="1">
      <c r="D85" s="1234" t="s">
        <v>17376</v>
      </c>
      <c r="E85" s="1238"/>
      <c r="F85" s="384">
        <v>288</v>
      </c>
      <c r="G85" s="1234"/>
      <c r="H85" s="1238"/>
      <c r="I85" s="384"/>
      <c r="J85" s="1217"/>
      <c r="K85" s="1217"/>
      <c r="L85" s="1217"/>
      <c r="M85" s="1214"/>
      <c r="N85" s="1214"/>
    </row>
    <row r="86" spans="4:14" ht="17.25" customHeight="1">
      <c r="D86" s="1234" t="s">
        <v>17502</v>
      </c>
      <c r="E86" s="1238"/>
      <c r="F86" s="384">
        <v>2100</v>
      </c>
      <c r="G86" s="1234"/>
      <c r="H86" s="1239"/>
      <c r="I86" s="384"/>
      <c r="J86" s="1217"/>
      <c r="K86" s="1217"/>
      <c r="L86" s="1217"/>
      <c r="M86" s="1214"/>
      <c r="N86" s="1214"/>
    </row>
    <row r="87" spans="4:14" ht="17.25" customHeight="1">
      <c r="D87" s="1234" t="s">
        <v>17584</v>
      </c>
      <c r="E87" s="1238">
        <v>397</v>
      </c>
      <c r="F87" s="384"/>
      <c r="G87" s="1234"/>
      <c r="H87" s="1239"/>
      <c r="I87" s="384"/>
      <c r="J87" s="1217"/>
      <c r="K87" s="1217"/>
      <c r="L87" s="1217"/>
      <c r="M87" s="1214"/>
      <c r="N87" s="1214"/>
    </row>
    <row r="88" spans="4:14" ht="17.25" customHeight="1">
      <c r="D88" s="1234" t="s">
        <v>17377</v>
      </c>
      <c r="E88" s="1238"/>
      <c r="F88" s="384">
        <v>1036</v>
      </c>
      <c r="G88" s="1234"/>
      <c r="H88" s="1238"/>
      <c r="I88" s="384"/>
      <c r="J88" s="1217"/>
      <c r="K88" s="1217"/>
      <c r="L88" s="1217"/>
      <c r="M88" s="1214"/>
      <c r="N88" s="1214"/>
    </row>
    <row r="89" spans="4:14" ht="17.25" customHeight="1">
      <c r="D89" s="1234" t="s">
        <v>17343</v>
      </c>
      <c r="E89" s="1238">
        <v>71.099999999999994</v>
      </c>
      <c r="F89" s="384"/>
      <c r="G89" s="1234"/>
      <c r="H89" s="1238"/>
      <c r="I89" s="384"/>
      <c r="J89" s="1217"/>
      <c r="K89" s="1217"/>
      <c r="L89" s="1217"/>
      <c r="M89" s="1214"/>
      <c r="N89" s="1214"/>
    </row>
    <row r="90" spans="4:14" ht="17.25" customHeight="1">
      <c r="D90" s="1234" t="s">
        <v>17330</v>
      </c>
      <c r="E90" s="1238">
        <v>60.3</v>
      </c>
      <c r="F90" s="384"/>
      <c r="G90" s="1234"/>
      <c r="H90" s="1238"/>
      <c r="I90" s="384"/>
      <c r="J90" s="1217"/>
      <c r="K90" s="1217"/>
      <c r="L90" s="1217"/>
      <c r="M90" s="1214"/>
      <c r="N90" s="1214"/>
    </row>
    <row r="91" spans="4:14" ht="17.25" customHeight="1">
      <c r="D91" s="1234" t="s">
        <v>17419</v>
      </c>
      <c r="E91" s="1238">
        <v>336</v>
      </c>
      <c r="F91" s="384">
        <v>336</v>
      </c>
      <c r="G91" s="1234"/>
      <c r="H91" s="1238"/>
      <c r="I91" s="384"/>
      <c r="J91" s="1217"/>
      <c r="K91" s="1217"/>
      <c r="L91" s="1217"/>
      <c r="M91" s="1214"/>
      <c r="N91" s="1214"/>
    </row>
    <row r="92" spans="4:14" ht="17.25" customHeight="1">
      <c r="D92" s="1234" t="s">
        <v>17427</v>
      </c>
      <c r="E92" s="1239">
        <v>140</v>
      </c>
      <c r="F92" s="384">
        <v>140</v>
      </c>
      <c r="G92" s="1234"/>
      <c r="H92" s="1238"/>
      <c r="I92" s="384"/>
      <c r="J92" s="1217"/>
      <c r="K92" s="1217"/>
      <c r="L92" s="1217"/>
      <c r="M92" s="1214"/>
      <c r="N92" s="1214"/>
    </row>
    <row r="93" spans="4:14" ht="17.25" customHeight="1">
      <c r="D93" s="1234" t="s">
        <v>17403</v>
      </c>
      <c r="E93" s="1239">
        <v>14</v>
      </c>
      <c r="F93" s="384">
        <v>14</v>
      </c>
      <c r="G93" s="1234"/>
      <c r="H93" s="1238"/>
      <c r="I93" s="384"/>
      <c r="J93" s="1217"/>
      <c r="K93" s="1217"/>
      <c r="L93" s="1217"/>
      <c r="M93" s="1214"/>
      <c r="N93" s="1214"/>
    </row>
    <row r="94" spans="4:14" ht="17.25" customHeight="1">
      <c r="D94" s="1234" t="s">
        <v>17508</v>
      </c>
      <c r="E94" s="1238">
        <v>12</v>
      </c>
      <c r="F94" s="384">
        <v>12</v>
      </c>
      <c r="G94" s="1234"/>
      <c r="H94" s="1238"/>
      <c r="I94" s="384"/>
      <c r="J94" s="1217"/>
      <c r="K94" s="1217"/>
      <c r="L94" s="1217"/>
      <c r="M94" s="1214"/>
      <c r="N94" s="1214"/>
    </row>
    <row r="95" spans="4:14" ht="17.25" customHeight="1">
      <c r="D95" s="1234" t="s">
        <v>17507</v>
      </c>
      <c r="E95" s="1239">
        <v>10</v>
      </c>
      <c r="F95" s="384">
        <v>10</v>
      </c>
      <c r="G95" s="1234"/>
      <c r="H95" s="1238"/>
      <c r="I95" s="384"/>
      <c r="J95" s="1217"/>
      <c r="K95" s="1217"/>
      <c r="L95" s="1217"/>
      <c r="M95" s="1214"/>
      <c r="N95" s="1214"/>
    </row>
    <row r="96" spans="4:14" ht="17.25" customHeight="1">
      <c r="D96" s="1234" t="s">
        <v>17506</v>
      </c>
      <c r="E96" s="1239">
        <v>20</v>
      </c>
      <c r="F96" s="384">
        <v>20</v>
      </c>
      <c r="G96" s="1234"/>
      <c r="H96" s="1239"/>
      <c r="I96" s="384"/>
      <c r="J96" s="1217"/>
      <c r="K96" s="1217"/>
      <c r="L96" s="1217"/>
      <c r="M96" s="1214"/>
      <c r="N96" s="1214"/>
    </row>
    <row r="97" spans="4:14" ht="17.25" customHeight="1">
      <c r="D97" s="1234" t="s">
        <v>17537</v>
      </c>
      <c r="E97" s="1238">
        <v>22</v>
      </c>
      <c r="F97" s="384">
        <v>22</v>
      </c>
      <c r="G97" s="1234"/>
      <c r="H97" s="1238"/>
      <c r="I97" s="384"/>
      <c r="J97" s="1217"/>
      <c r="K97" s="1217"/>
      <c r="L97" s="1217"/>
      <c r="M97" s="1214"/>
      <c r="N97" s="1214"/>
    </row>
    <row r="98" spans="4:14" ht="17.25" customHeight="1">
      <c r="D98" s="1234" t="s">
        <v>17517</v>
      </c>
      <c r="E98" s="1239">
        <v>4</v>
      </c>
      <c r="F98" s="384">
        <v>4</v>
      </c>
      <c r="G98" s="1234"/>
      <c r="H98" s="1238"/>
      <c r="I98" s="384"/>
      <c r="J98" s="1217"/>
      <c r="K98" s="1217"/>
      <c r="L98" s="1217"/>
      <c r="M98" s="1214"/>
      <c r="N98" s="1214"/>
    </row>
    <row r="99" spans="4:14" ht="17.25" customHeight="1">
      <c r="D99" s="1234" t="s">
        <v>17515</v>
      </c>
      <c r="E99" s="1239">
        <v>12</v>
      </c>
      <c r="F99" s="384">
        <v>12</v>
      </c>
      <c r="G99" s="1234"/>
      <c r="H99" s="1238"/>
      <c r="I99" s="384"/>
      <c r="J99" s="1217"/>
      <c r="K99" s="1217"/>
      <c r="L99" s="1217"/>
      <c r="M99" s="1214"/>
      <c r="N99" s="1214"/>
    </row>
    <row r="100" spans="4:14" ht="17.25" customHeight="1">
      <c r="D100" s="1234" t="s">
        <v>17516</v>
      </c>
      <c r="E100" s="1239">
        <v>11</v>
      </c>
      <c r="F100" s="384">
        <v>11</v>
      </c>
      <c r="G100" s="1234"/>
      <c r="H100" s="1238"/>
      <c r="I100" s="384"/>
      <c r="J100" s="1217"/>
      <c r="K100" s="1217"/>
      <c r="L100" s="1217"/>
      <c r="M100" s="1214"/>
      <c r="N100" s="1214"/>
    </row>
    <row r="101" spans="4:14" ht="17.25" customHeight="1">
      <c r="D101" s="1234" t="s">
        <v>17538</v>
      </c>
      <c r="E101" s="1238">
        <v>31</v>
      </c>
      <c r="F101" s="384">
        <v>31</v>
      </c>
      <c r="G101" s="1234"/>
      <c r="H101" s="1238"/>
      <c r="I101" s="384"/>
      <c r="J101" s="1217"/>
      <c r="K101" s="1217"/>
      <c r="L101" s="1217"/>
      <c r="M101" s="1214"/>
      <c r="N101" s="1214"/>
    </row>
    <row r="102" spans="4:14" ht="17.25" customHeight="1">
      <c r="D102" s="1234" t="s">
        <v>17539</v>
      </c>
      <c r="E102" s="1238">
        <v>11</v>
      </c>
      <c r="F102" s="384">
        <v>11</v>
      </c>
      <c r="G102" s="1234"/>
      <c r="H102" s="1239"/>
      <c r="I102" s="384"/>
      <c r="J102" s="1217"/>
      <c r="K102" s="1217"/>
      <c r="L102" s="1217"/>
      <c r="M102" s="1214"/>
      <c r="N102" s="1214"/>
    </row>
    <row r="103" spans="4:14" ht="17.25" customHeight="1">
      <c r="D103" s="1234" t="s">
        <v>17421</v>
      </c>
      <c r="E103" s="1239">
        <v>483</v>
      </c>
      <c r="F103" s="384">
        <v>483</v>
      </c>
      <c r="G103" s="1234"/>
      <c r="H103" s="1238"/>
      <c r="I103" s="384"/>
      <c r="J103" s="1217"/>
      <c r="K103" s="1217"/>
      <c r="L103" s="1217"/>
      <c r="M103" s="1214"/>
      <c r="N103" s="1214"/>
    </row>
    <row r="104" spans="4:14" ht="17.25" customHeight="1">
      <c r="D104" s="1234" t="s">
        <v>17514</v>
      </c>
      <c r="E104" s="1238">
        <v>40</v>
      </c>
      <c r="F104" s="384">
        <v>40</v>
      </c>
      <c r="G104" s="1234"/>
      <c r="H104" s="1238"/>
      <c r="I104" s="384"/>
      <c r="J104" s="1217"/>
      <c r="K104" s="1217"/>
      <c r="L104" s="1217"/>
      <c r="M104" s="1214"/>
      <c r="N104" s="1214"/>
    </row>
    <row r="105" spans="4:14" ht="17.25" customHeight="1">
      <c r="D105" s="1234" t="s">
        <v>17513</v>
      </c>
      <c r="E105" s="1238">
        <v>52</v>
      </c>
      <c r="F105" s="384">
        <v>52</v>
      </c>
      <c r="G105" s="1234"/>
      <c r="H105" s="1238"/>
      <c r="I105" s="384"/>
      <c r="J105" s="1217"/>
      <c r="K105" s="1217"/>
      <c r="L105" s="1217"/>
      <c r="M105" s="1214"/>
      <c r="N105" s="1214"/>
    </row>
    <row r="106" spans="4:14" ht="17.25" customHeight="1">
      <c r="D106" s="1234" t="s">
        <v>17512</v>
      </c>
      <c r="E106" s="1239">
        <v>7</v>
      </c>
      <c r="F106" s="384">
        <v>7</v>
      </c>
      <c r="G106" s="1234"/>
      <c r="H106" s="1238"/>
      <c r="I106" s="384"/>
      <c r="J106" s="1217"/>
      <c r="K106" s="1217"/>
      <c r="L106" s="1217"/>
      <c r="M106" s="1214"/>
      <c r="N106" s="1214"/>
    </row>
    <row r="107" spans="4:14" ht="17.25" customHeight="1">
      <c r="D107" s="1234" t="s">
        <v>17329</v>
      </c>
      <c r="E107" s="1239">
        <v>6</v>
      </c>
      <c r="F107" s="384"/>
      <c r="G107" s="1234"/>
      <c r="H107" s="1239"/>
      <c r="I107" s="384"/>
      <c r="J107" s="1217"/>
      <c r="K107" s="1217"/>
      <c r="L107" s="1217"/>
      <c r="M107" s="1214"/>
      <c r="N107" s="1214"/>
    </row>
    <row r="108" spans="4:14" ht="17.25" customHeight="1">
      <c r="D108" s="1234" t="s">
        <v>17369</v>
      </c>
      <c r="E108" s="1238"/>
      <c r="F108" s="384">
        <v>40</v>
      </c>
      <c r="G108" s="1234"/>
      <c r="H108" s="1238"/>
      <c r="I108" s="384"/>
      <c r="J108" s="1217"/>
      <c r="K108" s="1217"/>
      <c r="L108" s="1217"/>
      <c r="M108" s="1214"/>
      <c r="N108" s="1214"/>
    </row>
    <row r="109" spans="4:14" ht="17.25" customHeight="1">
      <c r="D109" s="1234" t="s">
        <v>17370</v>
      </c>
      <c r="E109" s="1239"/>
      <c r="F109" s="384">
        <v>84</v>
      </c>
      <c r="G109" s="1234"/>
      <c r="H109" s="1238"/>
      <c r="I109" s="384"/>
      <c r="J109" s="1217"/>
      <c r="K109" s="1217"/>
      <c r="L109" s="1217"/>
      <c r="M109" s="1214"/>
      <c r="N109" s="1214"/>
    </row>
    <row r="110" spans="4:14" ht="17.25" customHeight="1">
      <c r="D110" s="1234" t="s">
        <v>17371</v>
      </c>
      <c r="E110" s="1238"/>
      <c r="F110" s="384">
        <v>38</v>
      </c>
      <c r="G110" s="1234"/>
      <c r="H110" s="1238"/>
      <c r="I110" s="384"/>
      <c r="J110" s="1217"/>
      <c r="K110" s="1217"/>
      <c r="L110" s="1217"/>
      <c r="M110" s="1214"/>
      <c r="N110" s="1214"/>
    </row>
    <row r="111" spans="4:14" ht="17.25" customHeight="1">
      <c r="D111" s="1234" t="s">
        <v>17372</v>
      </c>
      <c r="E111" s="1238"/>
      <c r="F111" s="384">
        <v>40</v>
      </c>
      <c r="G111" s="1234"/>
      <c r="H111" s="1238"/>
      <c r="I111" s="384"/>
      <c r="J111" s="1217"/>
      <c r="K111" s="1217"/>
      <c r="L111" s="1217"/>
      <c r="M111" s="1214"/>
      <c r="N111" s="1214"/>
    </row>
    <row r="112" spans="4:14" ht="17.25" customHeight="1">
      <c r="D112" s="1234" t="s">
        <v>17396</v>
      </c>
      <c r="E112" s="1238">
        <v>20</v>
      </c>
      <c r="F112" s="384">
        <v>184</v>
      </c>
      <c r="G112" s="1234"/>
      <c r="H112" s="1238"/>
      <c r="I112" s="384"/>
      <c r="J112" s="1217"/>
      <c r="K112" s="1217"/>
      <c r="L112" s="1217"/>
      <c r="M112" s="1214"/>
      <c r="N112" s="1214"/>
    </row>
    <row r="113" spans="4:14" ht="17.25" customHeight="1">
      <c r="D113" s="1234" t="s">
        <v>17373</v>
      </c>
      <c r="E113" s="1239"/>
      <c r="F113" s="384">
        <v>132</v>
      </c>
      <c r="G113" s="1234"/>
      <c r="H113" s="1238"/>
      <c r="I113" s="384"/>
      <c r="J113" s="1217"/>
      <c r="K113" s="1217"/>
      <c r="L113" s="1217"/>
      <c r="M113" s="1214"/>
      <c r="N113" s="1214"/>
    </row>
    <row r="114" spans="4:14" ht="17.25" customHeight="1">
      <c r="D114" s="1234" t="s">
        <v>17432</v>
      </c>
      <c r="E114" s="1239"/>
      <c r="F114" s="384">
        <v>120</v>
      </c>
      <c r="G114" s="1234"/>
      <c r="H114" s="1238"/>
      <c r="I114" s="384"/>
      <c r="J114" s="1217"/>
      <c r="K114" s="1217"/>
      <c r="L114" s="1217"/>
      <c r="M114" s="1214"/>
      <c r="N114" s="1214"/>
    </row>
    <row r="115" spans="4:14" ht="17.25" customHeight="1">
      <c r="D115" s="1234" t="s">
        <v>17453</v>
      </c>
      <c r="E115" s="1238"/>
      <c r="F115" s="384">
        <v>132</v>
      </c>
      <c r="G115" s="1234"/>
      <c r="H115" s="1238"/>
      <c r="I115" s="384"/>
      <c r="J115" s="1217"/>
      <c r="K115" s="1217"/>
      <c r="L115" s="1217"/>
      <c r="M115" s="1214"/>
      <c r="N115" s="1214"/>
    </row>
    <row r="116" spans="4:14" ht="17.25" customHeight="1">
      <c r="D116" s="1234" t="s">
        <v>17454</v>
      </c>
      <c r="E116" s="1238"/>
      <c r="F116" s="384">
        <v>92</v>
      </c>
      <c r="G116" s="1234"/>
      <c r="H116" s="1239"/>
      <c r="I116" s="384"/>
      <c r="J116" s="1217"/>
      <c r="K116" s="1217"/>
      <c r="L116" s="1217"/>
      <c r="M116" s="1214"/>
      <c r="N116" s="1214"/>
    </row>
    <row r="117" spans="4:14" ht="17.25" customHeight="1">
      <c r="D117" s="1234" t="s">
        <v>17511</v>
      </c>
      <c r="E117" s="1238">
        <v>160</v>
      </c>
      <c r="F117" s="384">
        <v>160</v>
      </c>
      <c r="G117" s="1234"/>
      <c r="H117" s="1239"/>
      <c r="I117" s="384"/>
      <c r="J117" s="1217"/>
      <c r="K117" s="1217"/>
      <c r="L117" s="1217"/>
      <c r="M117" s="1214"/>
      <c r="N117" s="1214"/>
    </row>
    <row r="118" spans="4:14" ht="17.25" customHeight="1">
      <c r="D118" s="1234" t="s">
        <v>17510</v>
      </c>
      <c r="E118" s="1238">
        <v>20</v>
      </c>
      <c r="F118" s="384">
        <v>20</v>
      </c>
      <c r="G118" s="1234"/>
      <c r="H118" s="1239"/>
      <c r="I118" s="384"/>
      <c r="J118" s="1217"/>
      <c r="K118" s="1217"/>
      <c r="L118" s="1217"/>
      <c r="M118" s="1214"/>
      <c r="N118" s="1214"/>
    </row>
    <row r="119" spans="4:14" ht="17.25" customHeight="1">
      <c r="D119" s="1234" t="s">
        <v>17544</v>
      </c>
      <c r="E119" s="1239">
        <v>112</v>
      </c>
      <c r="F119" s="384">
        <v>112</v>
      </c>
      <c r="G119" s="1234"/>
      <c r="H119" s="1239"/>
      <c r="I119" s="384"/>
      <c r="J119" s="1217"/>
      <c r="K119" s="1217"/>
      <c r="L119" s="1217"/>
      <c r="M119" s="1214"/>
      <c r="N119" s="1214"/>
    </row>
    <row r="120" spans="4:14" ht="17.25" customHeight="1">
      <c r="D120" s="1234" t="s">
        <v>17397</v>
      </c>
      <c r="E120" s="1238">
        <v>4176</v>
      </c>
      <c r="F120" s="384">
        <v>3888</v>
      </c>
      <c r="G120" s="1234"/>
      <c r="H120" s="1238"/>
      <c r="I120" s="384"/>
      <c r="J120" s="1217"/>
      <c r="K120" s="1217"/>
      <c r="L120" s="1217"/>
      <c r="M120" s="1214"/>
      <c r="N120" s="1214"/>
    </row>
    <row r="121" spans="4:14" ht="17.25" customHeight="1">
      <c r="D121" s="1234" t="s">
        <v>17355</v>
      </c>
      <c r="E121" s="1239">
        <v>5562</v>
      </c>
      <c r="F121" s="384">
        <v>5562</v>
      </c>
      <c r="G121" s="1234"/>
      <c r="H121" s="1239"/>
      <c r="I121" s="384"/>
      <c r="J121" s="1217"/>
      <c r="K121" s="1217"/>
      <c r="L121" s="1217"/>
      <c r="M121" s="1214"/>
      <c r="N121" s="1214"/>
    </row>
    <row r="122" spans="4:14" ht="17.25" customHeight="1">
      <c r="D122" s="1234"/>
      <c r="E122" s="1238"/>
      <c r="F122" s="384"/>
      <c r="G122" s="1234"/>
      <c r="H122" s="1238"/>
      <c r="I122" s="384"/>
      <c r="J122" s="1217"/>
      <c r="K122" s="1217"/>
      <c r="L122" s="1217"/>
      <c r="M122" s="1214"/>
      <c r="N122" s="1214"/>
    </row>
    <row r="123" spans="4:14" ht="17.25" customHeight="1">
      <c r="D123" s="1234"/>
      <c r="E123" s="1238"/>
      <c r="F123" s="384"/>
      <c r="G123" s="1234"/>
      <c r="H123" s="1238"/>
      <c r="I123" s="384"/>
      <c r="J123" s="1217"/>
      <c r="K123" s="1217"/>
      <c r="L123" s="1217"/>
      <c r="M123" s="1214"/>
      <c r="N123" s="1214"/>
    </row>
    <row r="124" spans="4:14" ht="17.25" customHeight="1">
      <c r="D124" s="1234"/>
      <c r="E124" s="1239"/>
      <c r="F124" s="384"/>
      <c r="G124" s="1234"/>
      <c r="H124" s="1238"/>
      <c r="I124" s="384"/>
      <c r="J124" s="1217"/>
      <c r="K124" s="1217"/>
      <c r="L124" s="1217"/>
      <c r="M124" s="1214"/>
      <c r="N124" s="1214"/>
    </row>
    <row r="125" spans="4:14" ht="17.25" customHeight="1">
      <c r="D125" s="1234"/>
      <c r="E125" s="1238"/>
      <c r="F125" s="384"/>
      <c r="G125" s="1234"/>
      <c r="H125" s="1238"/>
      <c r="I125" s="384"/>
      <c r="J125" s="1217"/>
      <c r="K125" s="1217"/>
      <c r="L125" s="1217"/>
      <c r="M125" s="1214"/>
      <c r="N125" s="1214"/>
    </row>
    <row r="126" spans="4:14" ht="17.25" customHeight="1">
      <c r="D126" s="1234"/>
      <c r="E126" s="1239"/>
      <c r="F126" s="384"/>
      <c r="G126" s="1234"/>
      <c r="H126" s="1238"/>
      <c r="I126" s="384"/>
      <c r="J126" s="1217"/>
      <c r="K126" s="1217"/>
      <c r="L126" s="1217"/>
      <c r="M126" s="1214"/>
      <c r="N126" s="1214"/>
    </row>
    <row r="127" spans="4:14" ht="17.25" customHeight="1">
      <c r="D127" s="1234"/>
      <c r="E127" s="1239"/>
      <c r="F127" s="384"/>
      <c r="G127" s="1234"/>
      <c r="H127" s="1238"/>
      <c r="I127" s="384"/>
      <c r="J127" s="1217"/>
      <c r="K127" s="1217"/>
      <c r="L127" s="1217"/>
      <c r="M127" s="1214"/>
      <c r="N127" s="1214"/>
    </row>
    <row r="128" spans="4:14" ht="17.25" customHeight="1">
      <c r="D128" s="1234"/>
      <c r="E128" s="1238"/>
      <c r="F128" s="384"/>
      <c r="G128" s="1234"/>
      <c r="H128" s="1238"/>
      <c r="I128" s="384"/>
      <c r="J128" s="1217"/>
      <c r="K128" s="1217"/>
      <c r="L128" s="1217"/>
      <c r="M128" s="1214"/>
      <c r="N128" s="1214"/>
    </row>
    <row r="129" spans="4:14" ht="17.25" customHeight="1">
      <c r="D129" s="1234"/>
      <c r="E129" s="1238"/>
      <c r="F129" s="384"/>
      <c r="G129" s="1234"/>
      <c r="H129" s="1238"/>
      <c r="I129" s="384"/>
      <c r="J129" s="1217"/>
      <c r="K129" s="1217"/>
      <c r="L129" s="1217"/>
      <c r="M129" s="1214"/>
      <c r="N129" s="1214"/>
    </row>
    <row r="130" spans="4:14" ht="17.25" customHeight="1">
      <c r="D130" s="1234"/>
      <c r="E130" s="1239"/>
      <c r="F130" s="384"/>
      <c r="G130" s="1234"/>
      <c r="H130" s="1238"/>
      <c r="I130" s="384"/>
      <c r="J130" s="1217"/>
      <c r="K130" s="1217"/>
      <c r="L130" s="1217"/>
      <c r="M130" s="1214"/>
      <c r="N130" s="1214"/>
    </row>
    <row r="131" spans="4:14" ht="17.25" customHeight="1">
      <c r="D131" s="1234"/>
      <c r="E131" s="1238"/>
      <c r="F131" s="384"/>
      <c r="G131" s="1234"/>
      <c r="H131" s="1239"/>
      <c r="I131" s="384"/>
      <c r="J131" s="1217"/>
      <c r="K131" s="1217"/>
      <c r="L131" s="1217"/>
      <c r="M131" s="1214"/>
      <c r="N131" s="1214"/>
    </row>
    <row r="132" spans="4:14" ht="17.25" customHeight="1">
      <c r="D132" s="1234"/>
      <c r="E132" s="1238"/>
      <c r="F132" s="384"/>
      <c r="G132" s="1234"/>
      <c r="H132" s="1239"/>
      <c r="I132" s="384"/>
      <c r="J132" s="1217"/>
      <c r="K132" s="1217"/>
      <c r="L132" s="1217"/>
      <c r="M132" s="1214"/>
      <c r="N132" s="1214"/>
    </row>
    <row r="133" spans="4:14" ht="17.25" customHeight="1">
      <c r="D133" s="1234"/>
      <c r="E133" s="1238"/>
      <c r="F133" s="384"/>
      <c r="G133" s="1234"/>
      <c r="H133" s="1239"/>
      <c r="I133" s="384"/>
      <c r="J133" s="1217"/>
      <c r="K133" s="1217"/>
      <c r="L133" s="1217"/>
      <c r="M133" s="1214"/>
      <c r="N133" s="1214"/>
    </row>
    <row r="134" spans="4:14" ht="17.25" customHeight="1">
      <c r="D134" s="1234"/>
      <c r="E134" s="1238"/>
      <c r="F134" s="384"/>
      <c r="G134" s="1234"/>
      <c r="H134" s="1239"/>
      <c r="I134" s="384"/>
      <c r="J134" s="1217"/>
      <c r="K134" s="1217"/>
      <c r="L134" s="1217"/>
      <c r="M134" s="1214"/>
      <c r="N134" s="1214"/>
    </row>
    <row r="135" spans="4:14" ht="17.25" customHeight="1">
      <c r="D135" s="1234"/>
      <c r="E135" s="1238"/>
      <c r="F135" s="384"/>
      <c r="G135" s="1234"/>
      <c r="H135" s="1238"/>
      <c r="I135" s="384"/>
      <c r="J135" s="1217"/>
      <c r="K135" s="1217"/>
      <c r="L135" s="1217"/>
      <c r="M135" s="1214"/>
      <c r="N135" s="1214"/>
    </row>
    <row r="136" spans="4:14" ht="17.25" customHeight="1">
      <c r="D136" s="1234"/>
      <c r="E136" s="1239"/>
      <c r="F136" s="384"/>
      <c r="G136" s="1234"/>
      <c r="H136" s="1238"/>
      <c r="I136" s="384"/>
      <c r="J136" s="1217"/>
      <c r="K136" s="1217"/>
      <c r="L136" s="1217"/>
      <c r="M136" s="1214"/>
      <c r="N136" s="1214"/>
    </row>
    <row r="137" spans="4:14" ht="17.25" customHeight="1">
      <c r="D137" s="1234"/>
      <c r="E137" s="1239"/>
      <c r="F137" s="384"/>
      <c r="G137" s="1234"/>
      <c r="H137" s="1238"/>
      <c r="I137" s="384"/>
      <c r="J137" s="1217"/>
      <c r="K137" s="1217"/>
      <c r="L137" s="1217"/>
      <c r="M137" s="1214"/>
      <c r="N137" s="1214"/>
    </row>
    <row r="138" spans="4:14" ht="17.25" customHeight="1">
      <c r="D138" s="1234"/>
      <c r="E138" s="1239"/>
      <c r="F138" s="384"/>
      <c r="G138" s="1234"/>
      <c r="H138" s="1239"/>
      <c r="I138" s="384"/>
      <c r="J138" s="1217"/>
      <c r="K138" s="1217"/>
      <c r="L138" s="1217"/>
      <c r="M138" s="1214"/>
      <c r="N138" s="1214"/>
    </row>
    <row r="139" spans="4:14" ht="17.25" customHeight="1">
      <c r="D139" s="1234"/>
      <c r="E139" s="1238"/>
      <c r="F139" s="384"/>
      <c r="G139" s="1234"/>
      <c r="H139" s="1239"/>
      <c r="I139" s="384"/>
      <c r="J139" s="1217"/>
      <c r="K139" s="1217"/>
      <c r="L139" s="1217"/>
      <c r="M139" s="1214"/>
      <c r="N139" s="1214"/>
    </row>
    <row r="140" spans="4:14" ht="17.25" customHeight="1">
      <c r="D140" s="1234"/>
      <c r="E140" s="1238"/>
      <c r="F140" s="384"/>
      <c r="G140" s="1234"/>
      <c r="H140" s="1239"/>
      <c r="I140" s="384"/>
      <c r="J140" s="1217"/>
      <c r="K140" s="1217"/>
      <c r="L140" s="1217"/>
      <c r="M140" s="1214"/>
      <c r="N140" s="1214"/>
    </row>
    <row r="141" spans="4:14" ht="17.25" customHeight="1">
      <c r="D141" s="1234"/>
      <c r="E141" s="1238"/>
      <c r="F141" s="384"/>
      <c r="G141" s="1234"/>
      <c r="H141" s="1239"/>
      <c r="I141" s="384"/>
      <c r="J141" s="1217"/>
      <c r="K141" s="1217"/>
      <c r="L141" s="1217"/>
      <c r="M141" s="1214"/>
      <c r="N141" s="1214"/>
    </row>
    <row r="142" spans="4:14" ht="17.25" customHeight="1">
      <c r="D142" s="1234"/>
      <c r="E142" s="1238"/>
      <c r="F142" s="384"/>
      <c r="G142" s="1234"/>
      <c r="H142" s="1238"/>
      <c r="I142" s="384"/>
      <c r="J142" s="1217"/>
      <c r="K142" s="1217"/>
      <c r="L142" s="1217"/>
      <c r="M142" s="1214"/>
      <c r="N142" s="1214"/>
    </row>
    <row r="143" spans="4:14" ht="17.25" customHeight="1">
      <c r="D143" s="1234"/>
      <c r="E143" s="1238"/>
      <c r="F143" s="384"/>
      <c r="G143" s="1234"/>
      <c r="H143" s="1238"/>
      <c r="I143" s="384"/>
      <c r="J143" s="1217"/>
      <c r="K143" s="1217"/>
      <c r="L143" s="1217"/>
      <c r="M143" s="1214"/>
      <c r="N143" s="1214"/>
    </row>
    <row r="144" spans="4:14" ht="17.25" customHeight="1">
      <c r="D144" s="1234"/>
      <c r="E144" s="1238"/>
      <c r="F144" s="384"/>
      <c r="G144" s="1234"/>
      <c r="H144" s="1238"/>
      <c r="I144" s="384"/>
      <c r="J144" s="1217"/>
      <c r="K144" s="1217"/>
      <c r="L144" s="1217"/>
      <c r="M144" s="1214"/>
      <c r="N144" s="1214"/>
    </row>
    <row r="145" spans="4:14" ht="17.25" customHeight="1">
      <c r="D145" s="1234"/>
      <c r="E145" s="1238"/>
      <c r="F145" s="384"/>
      <c r="G145" s="1234"/>
      <c r="H145" s="1238"/>
      <c r="I145" s="384"/>
      <c r="J145" s="1217"/>
      <c r="K145" s="1217"/>
      <c r="L145" s="1217"/>
      <c r="M145" s="1214"/>
      <c r="N145" s="1214"/>
    </row>
    <row r="146" spans="4:14" ht="17.25" customHeight="1">
      <c r="D146" s="1234"/>
      <c r="E146" s="1239"/>
      <c r="F146" s="384"/>
      <c r="G146" s="1234"/>
      <c r="H146" s="1239"/>
      <c r="I146" s="384"/>
      <c r="J146" s="1217"/>
      <c r="K146" s="1217"/>
      <c r="L146" s="1217"/>
      <c r="M146" s="1214"/>
      <c r="N146" s="1214"/>
    </row>
    <row r="147" spans="4:14" ht="17.25" customHeight="1">
      <c r="D147" s="1234"/>
      <c r="E147" s="1239"/>
      <c r="F147" s="384"/>
      <c r="G147" s="1234"/>
      <c r="H147" s="1238"/>
      <c r="I147" s="384"/>
      <c r="J147" s="1217"/>
      <c r="K147" s="1217"/>
      <c r="L147" s="1217"/>
      <c r="M147" s="1214"/>
      <c r="N147" s="1214"/>
    </row>
    <row r="148" spans="4:14" ht="17.25" customHeight="1">
      <c r="D148" s="1234"/>
      <c r="E148" s="1238"/>
      <c r="F148" s="384"/>
      <c r="G148" s="1234"/>
      <c r="H148" s="1239"/>
      <c r="I148" s="384"/>
      <c r="J148" s="1217"/>
      <c r="K148" s="1217"/>
      <c r="L148" s="1217"/>
      <c r="M148" s="1214"/>
      <c r="N148" s="1214"/>
    </row>
    <row r="149" spans="4:14" ht="17.25" customHeight="1">
      <c r="D149" s="1234"/>
      <c r="E149" s="1238"/>
      <c r="F149" s="384"/>
      <c r="G149" s="1234"/>
      <c r="H149" s="1238"/>
      <c r="I149" s="384"/>
      <c r="J149" s="1217"/>
      <c r="K149" s="1217"/>
      <c r="L149" s="1217"/>
      <c r="M149" s="1214"/>
      <c r="N149" s="1214"/>
    </row>
    <row r="150" spans="4:14" ht="17.25" customHeight="1">
      <c r="D150" s="1234"/>
      <c r="E150" s="1239"/>
      <c r="F150" s="384"/>
      <c r="G150" s="1234"/>
      <c r="H150" s="1238"/>
      <c r="I150" s="384"/>
      <c r="J150" s="1217"/>
      <c r="K150" s="1217"/>
      <c r="L150" s="1217"/>
      <c r="M150" s="1214"/>
      <c r="N150" s="1214"/>
    </row>
    <row r="151" spans="4:14" ht="17.25" customHeight="1">
      <c r="D151" s="1234"/>
      <c r="E151" s="1239"/>
      <c r="F151" s="384"/>
      <c r="G151" s="1234"/>
      <c r="H151" s="1238"/>
      <c r="I151" s="384"/>
      <c r="J151" s="1217"/>
      <c r="K151" s="1217"/>
      <c r="L151" s="1217"/>
      <c r="M151" s="1214"/>
      <c r="N151" s="1214"/>
    </row>
    <row r="152" spans="4:14" ht="17.25" customHeight="1">
      <c r="D152" s="1234"/>
      <c r="E152" s="1238"/>
      <c r="F152" s="384"/>
      <c r="G152" s="1234"/>
      <c r="H152" s="1239"/>
      <c r="I152" s="384"/>
      <c r="J152" s="1217"/>
      <c r="K152" s="1217"/>
      <c r="L152" s="1217"/>
      <c r="M152" s="1214"/>
      <c r="N152" s="1214"/>
    </row>
    <row r="153" spans="4:14" ht="17.25" customHeight="1">
      <c r="D153" s="1234"/>
      <c r="E153" s="1238"/>
      <c r="F153" s="384"/>
      <c r="G153" s="1234"/>
      <c r="H153" s="1238"/>
      <c r="I153" s="384"/>
      <c r="J153" s="1217"/>
      <c r="K153" s="1217"/>
      <c r="L153" s="1217"/>
      <c r="M153" s="1214"/>
      <c r="N153" s="1214"/>
    </row>
    <row r="154" spans="4:14" ht="17.25" customHeight="1">
      <c r="D154" s="1234"/>
      <c r="E154" s="1238"/>
      <c r="F154" s="384"/>
      <c r="G154" s="1234"/>
      <c r="H154" s="1239"/>
      <c r="I154" s="384"/>
      <c r="J154" s="1217"/>
      <c r="K154" s="1217"/>
      <c r="L154" s="1217"/>
      <c r="M154" s="1214"/>
      <c r="N154" s="1214"/>
    </row>
    <row r="155" spans="4:14" ht="17.25" customHeight="1">
      <c r="D155" s="1234"/>
      <c r="E155" s="1238"/>
      <c r="F155" s="384"/>
      <c r="G155" s="1234"/>
      <c r="H155" s="1238"/>
      <c r="I155" s="384"/>
      <c r="J155" s="1217"/>
      <c r="K155" s="1217"/>
      <c r="L155" s="1217"/>
      <c r="M155" s="1214"/>
      <c r="N155" s="1214"/>
    </row>
    <row r="156" spans="4:14" ht="17.25" customHeight="1">
      <c r="D156" s="1234"/>
      <c r="E156" s="1239"/>
      <c r="F156" s="384"/>
      <c r="G156" s="1234"/>
      <c r="H156" s="1239"/>
      <c r="I156" s="384"/>
      <c r="J156" s="1217"/>
      <c r="K156" s="1217"/>
      <c r="L156" s="1217"/>
      <c r="M156" s="1214"/>
      <c r="N156" s="1214"/>
    </row>
    <row r="157" spans="4:14" ht="17.25" customHeight="1">
      <c r="D157" s="1234"/>
      <c r="E157" s="1238"/>
      <c r="F157" s="384"/>
      <c r="G157" s="1234"/>
      <c r="H157" s="1239"/>
      <c r="I157" s="384"/>
      <c r="J157" s="1217"/>
      <c r="K157" s="1217"/>
      <c r="L157" s="1217"/>
      <c r="M157" s="1214"/>
      <c r="N157" s="1214"/>
    </row>
    <row r="158" spans="4:14" ht="17.25" customHeight="1">
      <c r="D158" s="1234"/>
      <c r="E158" s="1238"/>
      <c r="F158" s="384"/>
      <c r="G158" s="1234"/>
      <c r="H158" s="1239"/>
      <c r="I158" s="384"/>
      <c r="J158" s="1217"/>
      <c r="K158" s="1217"/>
      <c r="L158" s="1217"/>
      <c r="M158" s="1214"/>
      <c r="N158" s="1214"/>
    </row>
    <row r="159" spans="4:14" ht="17.25" customHeight="1">
      <c r="D159" s="1234"/>
      <c r="E159" s="1238"/>
      <c r="F159" s="384"/>
      <c r="G159" s="1234"/>
      <c r="H159" s="1238"/>
      <c r="I159" s="384"/>
      <c r="J159" s="1217"/>
      <c r="K159" s="1217"/>
      <c r="L159" s="1217"/>
      <c r="M159" s="1217"/>
      <c r="N159" s="1217"/>
    </row>
    <row r="160" spans="4:14" ht="17.25" customHeight="1">
      <c r="D160" s="1234"/>
      <c r="E160" s="1238"/>
      <c r="F160" s="384"/>
      <c r="G160" s="1234"/>
      <c r="H160" s="1238"/>
      <c r="I160" s="384"/>
      <c r="J160" s="1217"/>
      <c r="K160" s="1217"/>
      <c r="L160" s="1217"/>
      <c r="M160" s="1217"/>
      <c r="N160" s="1217"/>
    </row>
    <row r="161" spans="4:14" ht="17.25" customHeight="1">
      <c r="D161" s="1234"/>
      <c r="E161" s="1238"/>
      <c r="F161" s="384"/>
      <c r="G161" s="1234"/>
      <c r="H161" s="1238"/>
      <c r="I161" s="384"/>
      <c r="J161" s="1217"/>
      <c r="K161" s="1217"/>
      <c r="L161" s="1217"/>
      <c r="M161" s="1217"/>
      <c r="N161" s="1217"/>
    </row>
    <row r="162" spans="4:14" ht="17.25" customHeight="1">
      <c r="D162" s="1234"/>
      <c r="E162" s="1238"/>
      <c r="F162" s="384"/>
      <c r="G162" s="1234"/>
      <c r="H162" s="1238"/>
      <c r="I162" s="384"/>
      <c r="J162" s="1217"/>
      <c r="K162" s="1217"/>
      <c r="L162" s="1217"/>
      <c r="M162" s="1217"/>
      <c r="N162" s="1217"/>
    </row>
    <row r="163" spans="4:14" ht="17.25" customHeight="1">
      <c r="D163" s="1234"/>
      <c r="E163" s="1238"/>
      <c r="F163" s="384"/>
      <c r="G163" s="1234"/>
      <c r="H163" s="1238"/>
      <c r="I163" s="384"/>
      <c r="J163" s="1217"/>
      <c r="K163" s="1217"/>
      <c r="L163" s="1217"/>
      <c r="M163" s="1217"/>
      <c r="N163" s="1217"/>
    </row>
    <row r="164" spans="4:14" ht="17.25" customHeight="1">
      <c r="D164" s="1234"/>
      <c r="E164" s="1239"/>
      <c r="F164" s="384"/>
      <c r="G164" s="1234"/>
      <c r="H164" s="1238"/>
      <c r="I164" s="384"/>
      <c r="J164" s="1217"/>
      <c r="K164" s="1217"/>
      <c r="L164" s="1217"/>
      <c r="M164" s="1217"/>
      <c r="N164" s="1217"/>
    </row>
    <row r="165" spans="4:14" ht="17.25" customHeight="1">
      <c r="D165" s="1234"/>
      <c r="E165" s="1238"/>
      <c r="F165" s="384"/>
      <c r="G165" s="1234"/>
      <c r="H165" s="1238"/>
      <c r="I165" s="384"/>
      <c r="J165" s="1217"/>
      <c r="K165" s="1217"/>
      <c r="L165" s="1217"/>
      <c r="M165" s="1217"/>
      <c r="N165" s="1217"/>
    </row>
    <row r="166" spans="4:14" ht="17.25" customHeight="1">
      <c r="D166" s="1234"/>
      <c r="E166" s="1238"/>
      <c r="F166" s="384"/>
      <c r="G166" s="1234"/>
      <c r="H166" s="1238"/>
      <c r="I166" s="384"/>
      <c r="J166" s="1217"/>
      <c r="K166" s="1217"/>
      <c r="L166" s="1217"/>
      <c r="M166" s="1217"/>
      <c r="N166" s="1217"/>
    </row>
    <row r="167" spans="4:14" ht="17.25" customHeight="1">
      <c r="D167" s="1234"/>
      <c r="E167" s="1238"/>
      <c r="F167" s="384"/>
      <c r="G167" s="1234"/>
      <c r="H167" s="1238"/>
      <c r="I167" s="384"/>
      <c r="J167" s="1217"/>
      <c r="K167" s="1217"/>
      <c r="L167" s="1217"/>
      <c r="M167" s="1217"/>
      <c r="N167" s="1217"/>
    </row>
    <row r="168" spans="4:14" ht="17.25" customHeight="1">
      <c r="D168" s="1234"/>
      <c r="E168" s="1238"/>
      <c r="F168" s="384"/>
      <c r="G168" s="1234"/>
      <c r="H168" s="1238"/>
      <c r="I168" s="384"/>
      <c r="J168" s="1217"/>
      <c r="K168" s="1217"/>
      <c r="L168" s="1217"/>
      <c r="M168" s="1217"/>
      <c r="N168" s="1217"/>
    </row>
    <row r="169" spans="4:14" ht="17.25" customHeight="1">
      <c r="D169" s="1234"/>
      <c r="E169" s="1238"/>
      <c r="F169" s="384"/>
      <c r="G169" s="1234"/>
      <c r="H169" s="1238"/>
      <c r="I169" s="384"/>
      <c r="J169" s="1217"/>
      <c r="K169" s="1217"/>
      <c r="L169" s="1217"/>
      <c r="M169" s="1217"/>
      <c r="N169" s="1217"/>
    </row>
    <row r="170" spans="4:14" ht="17.25" customHeight="1">
      <c r="D170" s="1234"/>
      <c r="E170" s="1238"/>
      <c r="F170" s="384"/>
      <c r="G170" s="1234"/>
      <c r="H170" s="1238"/>
      <c r="I170" s="384"/>
      <c r="J170" s="1217"/>
      <c r="K170" s="1217"/>
      <c r="L170" s="1217"/>
      <c r="M170" s="1217"/>
      <c r="N170" s="1217"/>
    </row>
    <row r="171" spans="4:14" ht="17.25" customHeight="1">
      <c r="D171" s="1234"/>
      <c r="E171" s="1238"/>
      <c r="F171" s="384"/>
      <c r="G171" s="1234"/>
      <c r="H171" s="1238"/>
      <c r="I171" s="384"/>
      <c r="J171" s="1217"/>
      <c r="K171" s="1217"/>
      <c r="L171" s="1217"/>
      <c r="M171" s="1217"/>
      <c r="N171" s="1217"/>
    </row>
    <row r="172" spans="4:14" ht="17.25" customHeight="1">
      <c r="D172" s="1234"/>
      <c r="E172" s="1239"/>
      <c r="F172" s="384"/>
      <c r="G172" s="1234"/>
      <c r="H172" s="1238"/>
      <c r="I172" s="384"/>
      <c r="J172" s="1217"/>
      <c r="K172" s="1217"/>
      <c r="L172" s="1217"/>
      <c r="M172" s="1217"/>
      <c r="N172" s="1217"/>
    </row>
    <row r="173" spans="4:14" ht="17.25" customHeight="1">
      <c r="D173" s="1234"/>
      <c r="E173" s="1239"/>
      <c r="F173" s="384"/>
      <c r="G173" s="1234"/>
      <c r="H173" s="1238"/>
      <c r="I173" s="384"/>
      <c r="J173" s="1217"/>
      <c r="K173" s="1217"/>
      <c r="L173" s="1217"/>
      <c r="M173" s="1217"/>
      <c r="N173" s="1217"/>
    </row>
    <row r="174" spans="4:14" ht="17.25" customHeight="1">
      <c r="D174" s="1234"/>
      <c r="E174" s="1238"/>
      <c r="F174" s="384"/>
      <c r="G174" s="1234"/>
      <c r="H174" s="1238"/>
      <c r="I174" s="384"/>
      <c r="J174" s="1217"/>
      <c r="K174" s="1217"/>
      <c r="L174" s="1217"/>
      <c r="M174" s="1217"/>
      <c r="N174" s="1217"/>
    </row>
    <row r="175" spans="4:14" ht="17.25" customHeight="1">
      <c r="D175" s="1234"/>
      <c r="E175" s="1238"/>
      <c r="F175" s="384"/>
      <c r="G175" s="1234"/>
      <c r="H175" s="1238"/>
      <c r="I175" s="384"/>
      <c r="J175" s="1217"/>
      <c r="K175" s="1217"/>
      <c r="L175" s="1217"/>
      <c r="M175" s="1217"/>
      <c r="N175" s="1217"/>
    </row>
    <row r="176" spans="4:14" ht="17.25" customHeight="1">
      <c r="D176" s="1234"/>
      <c r="E176" s="1238"/>
      <c r="F176" s="384"/>
      <c r="G176" s="1234"/>
      <c r="H176" s="1238"/>
      <c r="I176" s="384"/>
      <c r="J176" s="1217"/>
      <c r="K176" s="1217"/>
      <c r="L176" s="1217"/>
      <c r="M176" s="1217"/>
      <c r="N176" s="1217"/>
    </row>
    <row r="177" spans="4:14" ht="17.25" customHeight="1">
      <c r="D177" s="1234"/>
      <c r="E177" s="1238"/>
      <c r="F177" s="384"/>
      <c r="G177" s="1234"/>
      <c r="H177" s="1238"/>
      <c r="I177" s="384"/>
      <c r="J177" s="1217"/>
      <c r="K177" s="1217"/>
      <c r="L177" s="1217"/>
      <c r="M177" s="1217"/>
      <c r="N177" s="1217"/>
    </row>
    <row r="178" spans="4:14" ht="17.25" customHeight="1">
      <c r="D178" s="1234"/>
      <c r="E178" s="1238"/>
      <c r="F178" s="384"/>
      <c r="G178" s="1234"/>
      <c r="H178" s="1238"/>
      <c r="I178" s="384"/>
      <c r="J178" s="1217"/>
      <c r="K178" s="1217"/>
      <c r="L178" s="1217"/>
      <c r="M178" s="1217"/>
      <c r="N178" s="1217"/>
    </row>
    <row r="179" spans="4:14" ht="17.25" customHeight="1">
      <c r="D179" s="1234"/>
      <c r="E179" s="1238"/>
      <c r="F179" s="384"/>
      <c r="G179" s="1234"/>
      <c r="H179" s="1238"/>
      <c r="I179" s="384"/>
      <c r="J179" s="1217"/>
      <c r="K179" s="1217"/>
      <c r="L179" s="1217"/>
      <c r="M179" s="1217"/>
      <c r="N179" s="1217"/>
    </row>
    <row r="180" spans="4:14" ht="17.25" customHeight="1">
      <c r="D180" s="1234"/>
      <c r="E180" s="1238"/>
      <c r="F180" s="384"/>
      <c r="G180" s="1234"/>
      <c r="H180" s="1238"/>
      <c r="I180" s="384"/>
      <c r="J180" s="1217"/>
      <c r="K180" s="1217"/>
      <c r="L180" s="1217"/>
      <c r="M180" s="1217"/>
      <c r="N180" s="1217"/>
    </row>
    <row r="181" spans="4:14" ht="17.25" customHeight="1">
      <c r="D181" s="1234"/>
      <c r="E181" s="1238"/>
      <c r="F181" s="384"/>
      <c r="G181" s="1234"/>
      <c r="H181" s="1238"/>
      <c r="I181" s="384"/>
      <c r="J181" s="1217"/>
      <c r="K181" s="1217"/>
      <c r="L181" s="1217"/>
      <c r="M181" s="1217"/>
      <c r="N181" s="1217"/>
    </row>
    <row r="182" spans="4:14" ht="17.25" customHeight="1">
      <c r="D182" s="1234"/>
      <c r="E182" s="1239"/>
      <c r="F182" s="384"/>
      <c r="G182" s="1234"/>
      <c r="H182" s="1238"/>
      <c r="I182" s="384"/>
      <c r="J182" s="1217"/>
      <c r="K182" s="1217"/>
      <c r="L182" s="1217"/>
      <c r="M182" s="1217"/>
      <c r="N182" s="1217"/>
    </row>
    <row r="183" spans="4:14" ht="17.25" customHeight="1">
      <c r="D183" s="1234"/>
      <c r="E183" s="1239"/>
      <c r="F183" s="384"/>
      <c r="G183" s="1234"/>
      <c r="H183" s="1238"/>
      <c r="I183" s="384"/>
      <c r="J183" s="1217"/>
      <c r="K183" s="1217"/>
      <c r="L183" s="1217"/>
      <c r="M183" s="1217"/>
      <c r="N183" s="1217"/>
    </row>
    <row r="184" spans="4:14" ht="17.25" customHeight="1">
      <c r="D184" s="1234"/>
      <c r="E184" s="1239"/>
      <c r="F184" s="384"/>
      <c r="G184" s="1234"/>
      <c r="H184" s="1238"/>
      <c r="I184" s="384"/>
      <c r="J184" s="1217"/>
      <c r="K184" s="1217"/>
      <c r="L184" s="1217"/>
      <c r="M184" s="1217"/>
      <c r="N184" s="1217"/>
    </row>
    <row r="185" spans="4:14" ht="17.25" customHeight="1">
      <c r="D185" s="1234"/>
      <c r="E185" s="1239"/>
      <c r="F185" s="384"/>
      <c r="G185" s="1234"/>
      <c r="H185" s="1238"/>
      <c r="I185" s="384"/>
      <c r="J185" s="1217"/>
      <c r="K185" s="1217"/>
      <c r="L185" s="1217"/>
      <c r="M185" s="1217"/>
      <c r="N185" s="1217"/>
    </row>
    <row r="186" spans="4:14" ht="17.25" customHeight="1">
      <c r="D186" s="1234"/>
      <c r="E186" s="1239"/>
      <c r="F186" s="384"/>
      <c r="G186" s="1234"/>
      <c r="H186" s="1238"/>
      <c r="I186" s="384"/>
      <c r="J186" s="1217"/>
      <c r="K186" s="1217"/>
      <c r="L186" s="1217"/>
      <c r="M186" s="1217"/>
      <c r="N186" s="1217"/>
    </row>
    <row r="187" spans="4:14" ht="17.25" customHeight="1">
      <c r="D187" s="1234"/>
      <c r="E187" s="1239"/>
      <c r="F187" s="384"/>
      <c r="G187" s="1234"/>
      <c r="H187" s="1238"/>
      <c r="I187" s="384"/>
      <c r="J187" s="1217"/>
      <c r="K187" s="1217"/>
      <c r="L187" s="1217"/>
      <c r="M187" s="1217"/>
      <c r="N187" s="1217"/>
    </row>
    <row r="188" spans="4:14" ht="17.25" customHeight="1">
      <c r="D188" s="1234"/>
      <c r="E188" s="1239"/>
      <c r="F188" s="384"/>
      <c r="G188" s="1234"/>
      <c r="H188" s="1238"/>
      <c r="I188" s="384"/>
      <c r="J188" s="1217"/>
      <c r="K188" s="1217"/>
      <c r="L188" s="1217"/>
      <c r="M188" s="1217"/>
      <c r="N188" s="1217"/>
    </row>
    <row r="189" spans="4:14" ht="17.25" customHeight="1">
      <c r="D189" s="1234"/>
      <c r="E189" s="1239"/>
      <c r="F189" s="384"/>
      <c r="G189" s="1234"/>
      <c r="H189" s="1238"/>
      <c r="I189" s="384"/>
      <c r="J189" s="1217"/>
      <c r="K189" s="1217"/>
      <c r="L189" s="1217"/>
      <c r="M189" s="1217"/>
      <c r="N189" s="1217"/>
    </row>
    <row r="190" spans="4:14" ht="17.25" customHeight="1">
      <c r="D190" s="1234"/>
      <c r="E190" s="1239"/>
      <c r="F190" s="384"/>
      <c r="G190" s="1234"/>
      <c r="H190" s="1238"/>
      <c r="I190" s="384"/>
      <c r="J190" s="1217"/>
      <c r="K190" s="1217"/>
      <c r="L190" s="1217"/>
      <c r="M190" s="1217"/>
      <c r="N190" s="1217"/>
    </row>
    <row r="191" spans="4:14" ht="17.25" customHeight="1">
      <c r="D191" s="1234"/>
      <c r="E191" s="1239"/>
      <c r="F191" s="384"/>
      <c r="G191" s="1234"/>
      <c r="H191" s="1238"/>
      <c r="I191" s="384"/>
      <c r="J191" s="1217"/>
      <c r="K191" s="1217"/>
      <c r="L191" s="1217"/>
      <c r="M191" s="1217"/>
      <c r="N191" s="1217"/>
    </row>
    <row r="192" spans="4:14" ht="17.25" customHeight="1">
      <c r="D192" s="1234"/>
      <c r="E192" s="1239"/>
      <c r="F192" s="384"/>
      <c r="G192" s="1234"/>
      <c r="H192" s="1238"/>
      <c r="I192" s="384"/>
      <c r="J192" s="1217"/>
      <c r="K192" s="1217"/>
      <c r="L192" s="1217"/>
      <c r="M192" s="1217"/>
      <c r="N192" s="1217"/>
    </row>
    <row r="193" spans="4:14" ht="17.25" customHeight="1">
      <c r="D193" s="1234"/>
      <c r="E193" s="1239"/>
      <c r="F193" s="384"/>
      <c r="G193" s="1234"/>
      <c r="H193" s="1238"/>
      <c r="I193" s="384"/>
      <c r="J193" s="1217"/>
      <c r="K193" s="1217"/>
      <c r="L193" s="1217"/>
      <c r="M193" s="1217"/>
      <c r="N193" s="1217"/>
    </row>
    <row r="194" spans="4:14" ht="17.25" customHeight="1">
      <c r="D194" s="1234"/>
      <c r="E194" s="1239"/>
      <c r="F194" s="384"/>
      <c r="G194" s="1234"/>
      <c r="H194" s="1238"/>
      <c r="I194" s="384"/>
      <c r="J194" s="1217"/>
      <c r="K194" s="1217"/>
      <c r="L194" s="1217"/>
      <c r="M194" s="1217"/>
      <c r="N194" s="1217"/>
    </row>
    <row r="195" spans="4:14" ht="17.25" customHeight="1">
      <c r="D195" s="1234"/>
      <c r="E195" s="1239"/>
      <c r="F195" s="384"/>
      <c r="G195" s="1234"/>
      <c r="H195" s="1238"/>
      <c r="I195" s="384"/>
      <c r="J195" s="1217"/>
      <c r="K195" s="1217"/>
      <c r="L195" s="1217"/>
      <c r="M195" s="1217"/>
      <c r="N195" s="1217"/>
    </row>
    <row r="196" spans="4:14" ht="17.25" customHeight="1">
      <c r="D196" s="1234"/>
      <c r="E196" s="1239"/>
      <c r="F196" s="384"/>
      <c r="G196" s="1234"/>
      <c r="H196" s="1238"/>
      <c r="I196" s="384"/>
      <c r="J196" s="1217"/>
      <c r="K196" s="1217"/>
      <c r="L196" s="1217"/>
      <c r="M196" s="1217"/>
      <c r="N196" s="1217"/>
    </row>
    <row r="197" spans="4:14" ht="17.25" customHeight="1">
      <c r="D197" s="1234"/>
      <c r="E197" s="1239"/>
      <c r="F197" s="384"/>
      <c r="G197" s="1234"/>
      <c r="H197" s="1238"/>
      <c r="I197" s="384"/>
      <c r="J197" s="1217"/>
      <c r="K197" s="1217"/>
      <c r="L197" s="1217"/>
      <c r="M197" s="1217"/>
      <c r="N197" s="1217"/>
    </row>
    <row r="198" spans="4:14" ht="17.25" customHeight="1">
      <c r="D198" s="1234"/>
      <c r="E198" s="1239"/>
      <c r="F198" s="384"/>
      <c r="G198" s="1234"/>
      <c r="H198" s="1238"/>
      <c r="I198" s="384"/>
      <c r="J198" s="1217"/>
      <c r="K198" s="1217"/>
      <c r="L198" s="1217"/>
      <c r="M198" s="1217"/>
      <c r="N198" s="1217"/>
    </row>
    <row r="199" spans="4:14" ht="17.25" customHeight="1">
      <c r="D199" s="1234"/>
      <c r="E199" s="1239"/>
      <c r="F199" s="384"/>
      <c r="G199" s="1234"/>
      <c r="H199" s="1238"/>
      <c r="I199" s="384"/>
      <c r="J199" s="1217"/>
      <c r="K199" s="1217"/>
      <c r="L199" s="1217"/>
      <c r="M199" s="1217"/>
      <c r="N199" s="1217"/>
    </row>
    <row r="200" spans="4:14" ht="17.25" customHeight="1">
      <c r="D200" s="1234"/>
      <c r="E200" s="1239"/>
      <c r="F200" s="384"/>
      <c r="G200" s="1234"/>
      <c r="H200" s="1238"/>
      <c r="I200" s="384"/>
      <c r="J200" s="1217"/>
      <c r="K200" s="1217"/>
      <c r="L200" s="1217"/>
      <c r="M200" s="1217"/>
      <c r="N200" s="1217"/>
    </row>
    <row r="201" spans="4:14" ht="17.25" customHeight="1">
      <c r="D201" s="1234"/>
      <c r="E201" s="1239"/>
      <c r="F201" s="384"/>
      <c r="G201" s="1234"/>
      <c r="H201" s="1238"/>
      <c r="I201" s="384"/>
      <c r="J201" s="1217"/>
      <c r="K201" s="1217"/>
      <c r="L201" s="1217"/>
      <c r="M201" s="1217"/>
      <c r="N201" s="1217"/>
    </row>
    <row r="202" spans="4:14" ht="17.25" customHeight="1">
      <c r="D202" s="1234"/>
      <c r="E202" s="1239"/>
      <c r="F202" s="384"/>
      <c r="G202" s="1234"/>
      <c r="H202" s="1238"/>
      <c r="I202" s="384"/>
      <c r="J202" s="1217"/>
      <c r="K202" s="1217"/>
      <c r="L202" s="1217"/>
      <c r="M202" s="1217"/>
      <c r="N202" s="1217"/>
    </row>
    <row r="203" spans="4:14" ht="17.25" customHeight="1">
      <c r="D203" s="1234"/>
      <c r="E203" s="1239"/>
      <c r="F203" s="384"/>
      <c r="G203" s="1234"/>
      <c r="H203" s="1238"/>
      <c r="I203" s="384"/>
      <c r="J203" s="1217"/>
      <c r="K203" s="1217"/>
      <c r="L203" s="1217"/>
      <c r="M203" s="1217"/>
      <c r="N203" s="1217"/>
    </row>
    <row r="204" spans="4:14" ht="17.25" customHeight="1">
      <c r="D204" s="1234"/>
      <c r="E204" s="1239"/>
      <c r="F204" s="384"/>
      <c r="G204" s="1234"/>
      <c r="H204" s="1238"/>
      <c r="I204" s="384"/>
      <c r="J204" s="1217"/>
      <c r="K204" s="1217"/>
      <c r="L204" s="1217"/>
      <c r="M204" s="1217"/>
      <c r="N204" s="1217"/>
    </row>
    <row r="205" spans="4:14" ht="17.25" customHeight="1">
      <c r="D205" s="1234"/>
      <c r="E205" s="1239"/>
      <c r="F205" s="384"/>
      <c r="G205" s="1234"/>
      <c r="H205" s="1238"/>
      <c r="I205" s="384"/>
      <c r="J205" s="1217"/>
      <c r="K205" s="1217"/>
      <c r="L205" s="1217"/>
      <c r="M205" s="1217"/>
      <c r="N205" s="1217"/>
    </row>
    <row r="206" spans="4:14" ht="17.25" customHeight="1">
      <c r="D206" s="1234"/>
      <c r="E206" s="1239"/>
      <c r="F206" s="384"/>
      <c r="G206" s="1234"/>
      <c r="H206" s="1238"/>
      <c r="I206" s="384"/>
      <c r="J206" s="1217"/>
      <c r="K206" s="1217"/>
      <c r="L206" s="1217"/>
      <c r="M206" s="1217"/>
      <c r="N206" s="1217"/>
    </row>
    <row r="207" spans="4:14" ht="17.25" customHeight="1">
      <c r="D207" s="1234"/>
      <c r="E207" s="1239"/>
      <c r="F207" s="384"/>
      <c r="G207" s="1234"/>
      <c r="H207" s="1238"/>
      <c r="I207" s="384"/>
      <c r="J207" s="1217"/>
      <c r="K207" s="1217"/>
      <c r="L207" s="1217"/>
      <c r="M207" s="1217"/>
      <c r="N207" s="1217"/>
    </row>
    <row r="208" spans="4:14" ht="17.25" customHeight="1">
      <c r="D208" s="1234"/>
      <c r="E208" s="1239"/>
      <c r="F208" s="384"/>
      <c r="G208" s="1234"/>
      <c r="H208" s="1238"/>
      <c r="I208" s="384"/>
      <c r="J208" s="1217"/>
      <c r="K208" s="1217"/>
      <c r="L208" s="1217"/>
      <c r="M208" s="1217"/>
      <c r="N208" s="1217"/>
    </row>
    <row r="209" spans="4:14" ht="17.25" customHeight="1">
      <c r="D209" s="1234"/>
      <c r="E209" s="1239"/>
      <c r="F209" s="384"/>
      <c r="G209" s="1234"/>
      <c r="H209" s="1238"/>
      <c r="I209" s="384"/>
      <c r="J209" s="1217"/>
      <c r="K209" s="1217"/>
      <c r="L209" s="1217"/>
      <c r="M209" s="1217"/>
      <c r="N209" s="1217"/>
    </row>
    <row r="210" spans="4:14" ht="17.25" customHeight="1">
      <c r="D210" s="1234"/>
      <c r="E210" s="1239"/>
      <c r="F210" s="384"/>
      <c r="G210" s="1234"/>
      <c r="H210" s="1238"/>
      <c r="I210" s="384"/>
      <c r="J210" s="1217"/>
      <c r="K210" s="1217"/>
      <c r="L210" s="1217"/>
      <c r="M210" s="1217"/>
      <c r="N210" s="1217"/>
    </row>
    <row r="211" spans="4:14" ht="17.25" customHeight="1">
      <c r="D211" s="1234"/>
      <c r="E211" s="1239"/>
      <c r="F211" s="384"/>
      <c r="G211" s="1234"/>
      <c r="H211" s="1238"/>
      <c r="I211" s="384"/>
      <c r="J211" s="1217"/>
      <c r="K211" s="1217"/>
      <c r="L211" s="1217"/>
      <c r="M211" s="1217"/>
      <c r="N211" s="1217"/>
    </row>
    <row r="212" spans="4:14" ht="17.25" customHeight="1">
      <c r="D212" s="1234"/>
      <c r="E212" s="1239"/>
      <c r="F212" s="384"/>
      <c r="G212" s="1234"/>
      <c r="H212" s="1238"/>
      <c r="I212" s="384"/>
      <c r="J212" s="1217"/>
      <c r="K212" s="1217"/>
      <c r="L212" s="1217"/>
      <c r="M212" s="1217"/>
      <c r="N212" s="1217"/>
    </row>
    <row r="213" spans="4:14" ht="17.25" customHeight="1">
      <c r="D213" s="1234"/>
      <c r="E213" s="1239"/>
      <c r="F213" s="384"/>
      <c r="G213" s="1234"/>
      <c r="H213" s="1238"/>
      <c r="I213" s="384"/>
      <c r="J213" s="1217"/>
      <c r="K213" s="1217"/>
      <c r="L213" s="1217"/>
      <c r="M213" s="1217"/>
      <c r="N213" s="1217"/>
    </row>
    <row r="214" spans="4:14" ht="17.25" customHeight="1">
      <c r="D214" s="1234"/>
      <c r="E214" s="1239"/>
      <c r="F214" s="384"/>
      <c r="G214" s="1234"/>
      <c r="H214" s="1238"/>
      <c r="I214" s="384"/>
      <c r="J214" s="1217"/>
      <c r="K214" s="1217"/>
      <c r="L214" s="1217"/>
      <c r="M214" s="1217"/>
      <c r="N214" s="1217"/>
    </row>
    <row r="215" spans="4:14" ht="17.25" customHeight="1">
      <c r="D215" s="1234"/>
      <c r="E215" s="1239"/>
      <c r="F215" s="384"/>
      <c r="G215" s="1234"/>
      <c r="H215" s="1238"/>
      <c r="I215" s="384"/>
      <c r="J215" s="1217"/>
      <c r="K215" s="1217"/>
      <c r="L215" s="1217"/>
      <c r="M215" s="1217"/>
      <c r="N215" s="1217"/>
    </row>
    <row r="216" spans="4:14" ht="17.25" customHeight="1">
      <c r="D216" s="1234"/>
      <c r="E216" s="1239"/>
      <c r="F216" s="384"/>
      <c r="G216" s="1234"/>
      <c r="H216" s="1238"/>
      <c r="I216" s="384"/>
      <c r="J216" s="1217"/>
      <c r="K216" s="1217"/>
      <c r="L216" s="1217"/>
      <c r="M216" s="1217"/>
      <c r="N216" s="1217"/>
    </row>
    <row r="217" spans="4:14" ht="17.25" customHeight="1">
      <c r="D217" s="1234"/>
      <c r="E217" s="1239"/>
      <c r="F217" s="384"/>
      <c r="G217" s="1234"/>
      <c r="H217" s="1238"/>
      <c r="I217" s="384"/>
      <c r="J217" s="1217"/>
      <c r="K217" s="1217"/>
      <c r="L217" s="1217"/>
      <c r="M217" s="1217"/>
      <c r="N217" s="1217"/>
    </row>
    <row r="218" spans="4:14" ht="17.25" customHeight="1">
      <c r="D218" s="1234"/>
      <c r="E218" s="1239"/>
      <c r="F218" s="384"/>
      <c r="G218" s="1234"/>
      <c r="H218" s="1238"/>
      <c r="I218" s="384"/>
      <c r="J218" s="1217"/>
      <c r="K218" s="1217"/>
      <c r="L218" s="1217"/>
      <c r="M218" s="1217"/>
      <c r="N218" s="1217"/>
    </row>
    <row r="219" spans="4:14" ht="17.25" customHeight="1">
      <c r="D219" s="1234"/>
      <c r="E219" s="1239"/>
      <c r="F219" s="384"/>
      <c r="G219" s="1234"/>
      <c r="H219" s="1238"/>
      <c r="I219" s="384"/>
      <c r="J219" s="1217"/>
      <c r="K219" s="1217"/>
      <c r="L219" s="1217"/>
      <c r="M219" s="1217"/>
      <c r="N219" s="1217"/>
    </row>
    <row r="220" spans="4:14" ht="17.25" customHeight="1">
      <c r="D220" s="1234"/>
      <c r="E220" s="1239"/>
      <c r="F220" s="384"/>
      <c r="G220" s="1234"/>
      <c r="H220" s="1238"/>
      <c r="I220" s="384"/>
      <c r="J220" s="1217"/>
      <c r="K220" s="1217"/>
      <c r="L220" s="1217"/>
      <c r="M220" s="1217"/>
      <c r="N220" s="1217"/>
    </row>
    <row r="221" spans="4:14" ht="17.25" customHeight="1">
      <c r="D221" s="1234"/>
      <c r="E221" s="1239"/>
      <c r="F221" s="384"/>
      <c r="G221" s="1234"/>
      <c r="H221" s="1238"/>
      <c r="I221" s="384"/>
      <c r="J221" s="1217"/>
      <c r="K221" s="1217"/>
      <c r="L221" s="1217"/>
      <c r="M221" s="1217"/>
      <c r="N221" s="1217"/>
    </row>
    <row r="222" spans="4:14" ht="17.25" customHeight="1">
      <c r="D222" s="1234"/>
      <c r="E222" s="1239"/>
      <c r="F222" s="384"/>
      <c r="G222" s="1234"/>
      <c r="H222" s="1238"/>
      <c r="I222" s="384"/>
      <c r="J222" s="1217"/>
      <c r="K222" s="1217"/>
      <c r="L222" s="1217"/>
      <c r="M222" s="1217"/>
      <c r="N222" s="1217"/>
    </row>
    <row r="223" spans="4:14" ht="17.25" customHeight="1">
      <c r="D223" s="1234"/>
      <c r="E223" s="1239"/>
      <c r="F223" s="384"/>
      <c r="G223" s="1234"/>
      <c r="H223" s="1238"/>
      <c r="I223" s="384"/>
      <c r="J223" s="1217"/>
      <c r="K223" s="1217"/>
      <c r="L223" s="1217"/>
      <c r="M223" s="1217"/>
      <c r="N223" s="1217"/>
    </row>
    <row r="224" spans="4:14" ht="17.25" customHeight="1">
      <c r="D224" s="1234"/>
      <c r="E224" s="1239"/>
      <c r="F224" s="384"/>
      <c r="G224" s="1234"/>
      <c r="H224" s="1238"/>
      <c r="I224" s="384"/>
      <c r="J224" s="1217"/>
      <c r="K224" s="1217"/>
      <c r="L224" s="1217"/>
      <c r="M224" s="1217"/>
      <c r="N224" s="1217"/>
    </row>
    <row r="225" spans="4:14" ht="17.25" customHeight="1">
      <c r="D225" s="1234"/>
      <c r="E225" s="1239"/>
      <c r="F225" s="384"/>
      <c r="G225" s="1234"/>
      <c r="H225" s="1238"/>
      <c r="I225" s="384"/>
      <c r="J225" s="1217"/>
      <c r="K225" s="1217"/>
      <c r="L225" s="1217"/>
      <c r="M225" s="1217"/>
      <c r="N225" s="1217"/>
    </row>
    <row r="226" spans="4:14" ht="17.25" customHeight="1">
      <c r="D226" s="1234"/>
      <c r="E226" s="1239"/>
      <c r="F226" s="384"/>
      <c r="G226" s="1234"/>
      <c r="H226" s="1238"/>
      <c r="I226" s="384"/>
      <c r="J226" s="1217"/>
      <c r="K226" s="1217"/>
      <c r="L226" s="1217"/>
      <c r="M226" s="1217"/>
      <c r="N226" s="1217"/>
    </row>
    <row r="227" spans="4:14" ht="17.25" customHeight="1">
      <c r="D227" s="1234"/>
      <c r="E227" s="1239"/>
      <c r="F227" s="384"/>
      <c r="G227" s="1234"/>
      <c r="H227" s="1238"/>
      <c r="I227" s="384"/>
      <c r="J227" s="1217"/>
      <c r="K227" s="1217"/>
      <c r="L227" s="1217"/>
      <c r="M227" s="1217"/>
      <c r="N227" s="1217"/>
    </row>
    <row r="228" spans="4:14" ht="17.25" customHeight="1">
      <c r="D228" s="1234"/>
      <c r="E228" s="1239"/>
      <c r="F228" s="384"/>
      <c r="G228" s="1234"/>
      <c r="H228" s="1238"/>
      <c r="I228" s="384"/>
      <c r="J228" s="1217"/>
      <c r="K228" s="1217"/>
      <c r="L228" s="1217"/>
      <c r="M228" s="1217"/>
      <c r="N228" s="1217"/>
    </row>
    <row r="229" spans="4:14" ht="17.25" customHeight="1">
      <c r="D229" s="1234"/>
      <c r="E229" s="1239"/>
      <c r="F229" s="384"/>
      <c r="G229" s="1234"/>
      <c r="H229" s="1238"/>
      <c r="I229" s="384"/>
      <c r="J229" s="1217"/>
      <c r="K229" s="1217"/>
      <c r="L229" s="1217"/>
      <c r="M229" s="1217"/>
      <c r="N229" s="1217"/>
    </row>
    <row r="230" spans="4:14" ht="17.25" customHeight="1">
      <c r="D230" s="1234"/>
      <c r="E230" s="1239"/>
      <c r="F230" s="384"/>
      <c r="G230" s="1234"/>
      <c r="H230" s="1238"/>
      <c r="I230" s="384"/>
      <c r="J230" s="1217"/>
      <c r="K230" s="1217"/>
      <c r="L230" s="1217"/>
      <c r="M230" s="1217"/>
      <c r="N230" s="1217"/>
    </row>
    <row r="231" spans="4:14" ht="17.25" customHeight="1">
      <c r="D231" s="1234"/>
      <c r="E231" s="1239"/>
      <c r="F231" s="384"/>
      <c r="G231" s="1234"/>
      <c r="H231" s="1238"/>
      <c r="I231" s="384"/>
      <c r="J231" s="1217"/>
      <c r="K231" s="1217"/>
      <c r="L231" s="1217"/>
      <c r="M231" s="1217"/>
      <c r="N231" s="1217"/>
    </row>
    <row r="232" spans="4:14" ht="17.25" customHeight="1">
      <c r="D232" s="1234"/>
      <c r="E232" s="1239"/>
      <c r="F232" s="384"/>
      <c r="G232" s="1234"/>
      <c r="H232" s="1238"/>
      <c r="I232" s="384"/>
      <c r="J232" s="1217"/>
      <c r="K232" s="1217"/>
      <c r="L232" s="1217"/>
      <c r="M232" s="1217"/>
      <c r="N232" s="1217"/>
    </row>
    <row r="233" spans="4:14" ht="17.25" customHeight="1">
      <c r="D233" s="1234"/>
      <c r="E233" s="1239"/>
      <c r="F233" s="384"/>
      <c r="G233" s="1234"/>
      <c r="H233" s="1238"/>
      <c r="I233" s="384"/>
      <c r="J233" s="1217"/>
      <c r="K233" s="1217"/>
      <c r="L233" s="1217"/>
      <c r="M233" s="1217"/>
      <c r="N233" s="1217"/>
    </row>
    <row r="234" spans="4:14" ht="17.25" customHeight="1">
      <c r="D234" s="1234"/>
      <c r="E234" s="1239"/>
      <c r="F234" s="384"/>
      <c r="G234" s="1234"/>
      <c r="H234" s="1238"/>
      <c r="I234" s="384"/>
      <c r="J234" s="1217"/>
      <c r="K234" s="1217"/>
      <c r="L234" s="1217"/>
      <c r="M234" s="1217"/>
      <c r="N234" s="1217"/>
    </row>
    <row r="235" spans="4:14" ht="17.25" customHeight="1">
      <c r="D235" s="1234"/>
      <c r="E235" s="1239"/>
      <c r="F235" s="384"/>
      <c r="G235" s="1234"/>
      <c r="H235" s="1238"/>
      <c r="I235" s="384"/>
      <c r="J235" s="1217"/>
      <c r="K235" s="1217"/>
      <c r="L235" s="1217"/>
      <c r="M235" s="1217"/>
      <c r="N235" s="1217"/>
    </row>
    <row r="236" spans="4:14" ht="17.25" customHeight="1">
      <c r="D236" s="1234"/>
      <c r="E236" s="1239"/>
      <c r="F236" s="384"/>
      <c r="G236" s="1234"/>
      <c r="H236" s="1238"/>
      <c r="I236" s="384"/>
      <c r="J236" s="1217"/>
      <c r="K236" s="1217"/>
      <c r="L236" s="1217"/>
      <c r="M236" s="1217"/>
      <c r="N236" s="1217"/>
    </row>
    <row r="237" spans="4:14" ht="17.25" customHeight="1">
      <c r="D237" s="1234"/>
      <c r="E237" s="1239"/>
      <c r="F237" s="384"/>
      <c r="G237" s="1234"/>
      <c r="H237" s="1238"/>
      <c r="I237" s="384"/>
      <c r="J237" s="1217"/>
      <c r="K237" s="1217"/>
      <c r="L237" s="1217"/>
      <c r="M237" s="1217"/>
      <c r="N237" s="1217"/>
    </row>
    <row r="238" spans="4:14" ht="17.25" customHeight="1">
      <c r="D238" s="1234"/>
      <c r="E238" s="1239"/>
      <c r="F238" s="384"/>
      <c r="G238" s="1234"/>
      <c r="H238" s="1238"/>
      <c r="I238" s="384"/>
      <c r="J238" s="1217"/>
      <c r="K238" s="1217"/>
      <c r="L238" s="1217"/>
      <c r="M238" s="1217"/>
      <c r="N238" s="1217"/>
    </row>
    <row r="239" spans="4:14" ht="17.25" customHeight="1">
      <c r="D239" s="1234"/>
      <c r="E239" s="1239"/>
      <c r="F239" s="384"/>
      <c r="G239" s="1234"/>
      <c r="H239" s="1238"/>
      <c r="I239" s="384"/>
      <c r="J239" s="1217"/>
      <c r="K239" s="1217"/>
      <c r="L239" s="1217"/>
      <c r="M239" s="1217"/>
      <c r="N239" s="1217"/>
    </row>
    <row r="240" spans="4:14" ht="17.25" customHeight="1">
      <c r="D240" s="1234"/>
      <c r="E240" s="1239"/>
      <c r="F240" s="384"/>
      <c r="G240" s="1234"/>
      <c r="H240" s="1238"/>
      <c r="I240" s="384"/>
      <c r="J240" s="1217"/>
      <c r="K240" s="1217"/>
      <c r="L240" s="1217"/>
      <c r="M240" s="1217"/>
      <c r="N240" s="1217"/>
    </row>
    <row r="241" spans="4:14" ht="17.25" customHeight="1">
      <c r="D241" s="1234"/>
      <c r="E241" s="1239"/>
      <c r="F241" s="384"/>
      <c r="G241" s="1234"/>
      <c r="H241" s="1238"/>
      <c r="I241" s="384"/>
      <c r="J241" s="1217"/>
      <c r="K241" s="1217"/>
      <c r="L241" s="1217"/>
      <c r="M241" s="1217"/>
      <c r="N241" s="1217"/>
    </row>
    <row r="242" spans="4:14" ht="17.25" customHeight="1">
      <c r="D242" s="1234"/>
      <c r="E242" s="1239"/>
      <c r="F242" s="384"/>
      <c r="G242" s="1234"/>
      <c r="H242" s="1238"/>
      <c r="I242" s="384"/>
      <c r="J242" s="1217"/>
      <c r="K242" s="1217"/>
      <c r="L242" s="1217"/>
      <c r="M242" s="1217"/>
      <c r="N242" s="1217"/>
    </row>
    <row r="243" spans="4:14" ht="17.25" customHeight="1">
      <c r="D243" s="1234"/>
      <c r="E243" s="1239"/>
      <c r="F243" s="384"/>
      <c r="G243" s="1234"/>
      <c r="H243" s="1238"/>
      <c r="I243" s="384"/>
      <c r="J243" s="1217"/>
      <c r="K243" s="1217"/>
      <c r="L243" s="1217"/>
      <c r="M243" s="1217"/>
      <c r="N243" s="1217"/>
    </row>
    <row r="244" spans="4:14" ht="17.25" customHeight="1">
      <c r="D244" s="1234"/>
      <c r="E244" s="1239"/>
      <c r="F244" s="384"/>
      <c r="G244" s="1234"/>
      <c r="H244" s="1238"/>
      <c r="I244" s="384"/>
      <c r="J244" s="1217"/>
      <c r="K244" s="1217"/>
      <c r="L244" s="1217"/>
      <c r="M244" s="1217"/>
      <c r="N244" s="1217"/>
    </row>
    <row r="245" spans="4:14" ht="17.25" customHeight="1">
      <c r="D245" s="1234"/>
      <c r="E245" s="1239"/>
      <c r="F245" s="384"/>
      <c r="G245" s="1234"/>
      <c r="H245" s="1238"/>
      <c r="I245" s="384"/>
      <c r="J245" s="1217"/>
      <c r="K245" s="1217"/>
      <c r="L245" s="1217"/>
      <c r="M245" s="1217"/>
      <c r="N245" s="1217"/>
    </row>
    <row r="246" spans="4:14" ht="17.25" customHeight="1">
      <c r="D246" s="1234"/>
      <c r="E246" s="1239"/>
      <c r="F246" s="384"/>
      <c r="G246" s="1234"/>
      <c r="H246" s="1238"/>
      <c r="I246" s="384"/>
      <c r="J246" s="1217"/>
      <c r="K246" s="1217"/>
      <c r="L246" s="1217"/>
      <c r="M246" s="1217"/>
      <c r="N246" s="1217"/>
    </row>
    <row r="247" spans="4:14" ht="17.25" customHeight="1">
      <c r="D247" s="1234"/>
      <c r="E247" s="1239"/>
      <c r="F247" s="384"/>
      <c r="G247" s="1234"/>
      <c r="H247" s="1238"/>
      <c r="I247" s="384"/>
      <c r="J247" s="1217"/>
      <c r="K247" s="1217"/>
      <c r="L247" s="1217"/>
      <c r="M247" s="1217"/>
      <c r="N247" s="1217"/>
    </row>
    <row r="248" spans="4:14" ht="17.25" customHeight="1">
      <c r="D248" s="1234"/>
      <c r="E248" s="1239"/>
      <c r="F248" s="384"/>
      <c r="G248" s="1234"/>
      <c r="H248" s="1238"/>
      <c r="I248" s="384"/>
      <c r="J248" s="1217"/>
      <c r="K248" s="1217"/>
      <c r="L248" s="1217"/>
      <c r="M248" s="1217"/>
      <c r="N248" s="1217"/>
    </row>
    <row r="249" spans="4:14" ht="17.25" customHeight="1">
      <c r="D249" s="1234"/>
      <c r="E249" s="1239"/>
      <c r="F249" s="384"/>
      <c r="G249" s="1234"/>
      <c r="H249" s="1238"/>
      <c r="I249" s="384"/>
      <c r="J249" s="1217"/>
      <c r="K249" s="1217"/>
      <c r="L249" s="1217"/>
      <c r="M249" s="1217"/>
      <c r="N249" s="1217"/>
    </row>
    <row r="250" spans="4:14" ht="17.25" customHeight="1">
      <c r="D250" s="1234"/>
      <c r="E250" s="1239"/>
      <c r="F250" s="384"/>
      <c r="G250" s="1234"/>
      <c r="H250" s="1238"/>
      <c r="I250" s="384"/>
      <c r="J250" s="1217"/>
      <c r="K250" s="1217"/>
      <c r="L250" s="1217"/>
      <c r="M250" s="1217"/>
      <c r="N250" s="1217"/>
    </row>
    <row r="251" spans="4:14" ht="17.25" customHeight="1">
      <c r="D251" s="1234"/>
      <c r="E251" s="1239"/>
      <c r="F251" s="384"/>
      <c r="G251" s="1234"/>
      <c r="H251" s="1238"/>
      <c r="I251" s="384"/>
      <c r="J251" s="1217"/>
      <c r="K251" s="1217"/>
      <c r="L251" s="1217"/>
      <c r="M251" s="1217"/>
      <c r="N251" s="1217"/>
    </row>
    <row r="252" spans="4:14" ht="17.25" customHeight="1">
      <c r="D252" s="1234"/>
      <c r="E252" s="1239"/>
      <c r="F252" s="384"/>
      <c r="G252" s="1234"/>
      <c r="H252" s="1238"/>
      <c r="I252" s="384"/>
      <c r="J252" s="1217"/>
      <c r="K252" s="1217"/>
      <c r="L252" s="1217"/>
      <c r="M252" s="1217"/>
      <c r="N252" s="1217"/>
    </row>
    <row r="253" spans="4:14" ht="17.25" customHeight="1">
      <c r="D253" s="1234"/>
      <c r="E253" s="1239"/>
      <c r="F253" s="384"/>
      <c r="G253" s="1234"/>
      <c r="H253" s="1238"/>
      <c r="I253" s="384"/>
      <c r="J253" s="1217"/>
      <c r="K253" s="1217"/>
      <c r="L253" s="1217"/>
      <c r="M253" s="1217"/>
      <c r="N253" s="1217"/>
    </row>
    <row r="254" spans="4:14" ht="17.25" customHeight="1">
      <c r="D254" s="1234"/>
      <c r="E254" s="1239"/>
      <c r="F254" s="384"/>
      <c r="G254" s="1234"/>
      <c r="H254" s="1238"/>
      <c r="I254" s="384"/>
      <c r="J254" s="1217"/>
      <c r="K254" s="1217"/>
      <c r="L254" s="1217"/>
      <c r="M254" s="1217"/>
      <c r="N254" s="1217"/>
    </row>
    <row r="255" spans="4:14" ht="17.25" customHeight="1">
      <c r="D255" s="1234"/>
      <c r="E255" s="1239"/>
      <c r="F255" s="384"/>
      <c r="G255" s="1234"/>
      <c r="H255" s="1238"/>
      <c r="I255" s="384"/>
      <c r="J255" s="1217"/>
      <c r="K255" s="1217"/>
      <c r="L255" s="1217"/>
      <c r="M255" s="1217"/>
      <c r="N255" s="1217"/>
    </row>
    <row r="256" spans="4:14" ht="17.25" customHeight="1">
      <c r="D256" s="1234"/>
      <c r="E256" s="1239"/>
      <c r="F256" s="384"/>
      <c r="G256" s="1234"/>
      <c r="H256" s="1238"/>
      <c r="I256" s="384"/>
      <c r="J256" s="1217"/>
      <c r="K256" s="1217"/>
      <c r="L256" s="1217"/>
      <c r="M256" s="1217"/>
      <c r="N256" s="1217"/>
    </row>
    <row r="257" spans="4:14" ht="17.25" customHeight="1">
      <c r="D257" s="1234"/>
      <c r="E257" s="1239"/>
      <c r="F257" s="384"/>
      <c r="G257" s="1234"/>
      <c r="H257" s="1238"/>
      <c r="I257" s="384"/>
      <c r="J257" s="1217"/>
      <c r="K257" s="1217"/>
      <c r="L257" s="1217"/>
      <c r="M257" s="1217"/>
      <c r="N257" s="1217"/>
    </row>
    <row r="258" spans="4:14" ht="17.25" customHeight="1">
      <c r="D258" s="1234"/>
      <c r="E258" s="1239"/>
      <c r="F258" s="384"/>
      <c r="G258" s="1234"/>
      <c r="H258" s="1238"/>
      <c r="I258" s="384"/>
      <c r="J258" s="1217"/>
      <c r="K258" s="1217"/>
      <c r="L258" s="1217"/>
      <c r="M258" s="1217"/>
      <c r="N258" s="1217"/>
    </row>
    <row r="259" spans="4:14" ht="17.25" customHeight="1">
      <c r="D259" s="1234"/>
      <c r="E259" s="1239"/>
      <c r="F259" s="384"/>
      <c r="G259" s="1234"/>
      <c r="H259" s="1238"/>
      <c r="I259" s="384"/>
      <c r="J259" s="1217"/>
      <c r="K259" s="1217"/>
      <c r="L259" s="1217"/>
      <c r="M259" s="1217"/>
      <c r="N259" s="1217"/>
    </row>
    <row r="260" spans="4:14" ht="17.25" customHeight="1">
      <c r="D260" s="1234"/>
      <c r="E260" s="1239"/>
      <c r="F260" s="384"/>
      <c r="G260" s="1234"/>
      <c r="H260" s="1238"/>
      <c r="I260" s="384"/>
      <c r="J260" s="1217"/>
      <c r="K260" s="1217"/>
      <c r="L260" s="1217"/>
      <c r="M260" s="1217"/>
      <c r="N260" s="1217"/>
    </row>
    <row r="261" spans="4:14" ht="17.25" customHeight="1">
      <c r="D261" s="1234"/>
      <c r="E261" s="1239"/>
      <c r="F261" s="384"/>
      <c r="G261" s="1234"/>
      <c r="H261" s="1238"/>
      <c r="I261" s="384"/>
      <c r="J261" s="1217"/>
      <c r="K261" s="1217"/>
      <c r="L261" s="1217"/>
      <c r="M261" s="1217"/>
      <c r="N261" s="1217"/>
    </row>
    <row r="262" spans="4:14" ht="17.25" customHeight="1">
      <c r="D262" s="1234"/>
      <c r="E262" s="1239"/>
      <c r="F262" s="384"/>
      <c r="G262" s="1234"/>
      <c r="H262" s="1238"/>
      <c r="I262" s="384"/>
      <c r="J262" s="1217"/>
      <c r="K262" s="1217"/>
      <c r="L262" s="1217"/>
      <c r="M262" s="1217"/>
      <c r="N262" s="1217"/>
    </row>
    <row r="263" spans="4:14" ht="17.25" customHeight="1">
      <c r="D263" s="1234"/>
      <c r="E263" s="1239"/>
      <c r="F263" s="384"/>
      <c r="G263" s="1234"/>
      <c r="H263" s="1238"/>
      <c r="I263" s="384"/>
      <c r="J263" s="1217"/>
      <c r="K263" s="1217"/>
      <c r="L263" s="1217"/>
      <c r="M263" s="1217"/>
      <c r="N263" s="1217"/>
    </row>
    <row r="264" spans="4:14" ht="17.25" customHeight="1">
      <c r="D264" s="1234"/>
      <c r="E264" s="1239"/>
      <c r="F264" s="384"/>
      <c r="G264" s="1234"/>
      <c r="H264" s="1238"/>
      <c r="I264" s="384"/>
      <c r="J264" s="1217"/>
      <c r="K264" s="1217"/>
      <c r="L264" s="1217"/>
      <c r="M264" s="1217"/>
      <c r="N264" s="1217"/>
    </row>
    <row r="265" spans="4:14" ht="17.25" customHeight="1">
      <c r="D265" s="1234"/>
      <c r="E265" s="1239"/>
      <c r="F265" s="384"/>
      <c r="G265" s="1234"/>
      <c r="H265" s="1238"/>
      <c r="I265" s="384"/>
      <c r="J265" s="1217"/>
      <c r="K265" s="1217"/>
      <c r="L265" s="1217"/>
      <c r="M265" s="1217"/>
      <c r="N265" s="1217"/>
    </row>
    <row r="266" spans="4:14" ht="17.25" customHeight="1">
      <c r="D266" s="1234"/>
      <c r="E266" s="1239"/>
      <c r="F266" s="384"/>
      <c r="G266" s="1234"/>
      <c r="H266" s="1238"/>
      <c r="I266" s="384"/>
      <c r="J266" s="1217"/>
      <c r="K266" s="1217"/>
      <c r="L266" s="1217"/>
      <c r="M266" s="1217"/>
      <c r="N266" s="1217"/>
    </row>
    <row r="267" spans="4:14" ht="17.25" customHeight="1">
      <c r="D267" s="1234"/>
      <c r="E267" s="1239"/>
      <c r="F267" s="384"/>
      <c r="G267" s="1234"/>
      <c r="H267" s="1238"/>
      <c r="I267" s="384"/>
      <c r="J267" s="1217"/>
      <c r="K267" s="1217"/>
      <c r="L267" s="1217"/>
      <c r="M267" s="1217"/>
      <c r="N267" s="1217"/>
    </row>
    <row r="268" spans="4:14" ht="17.25" customHeight="1">
      <c r="D268" s="1234"/>
      <c r="E268" s="1239"/>
      <c r="F268" s="384"/>
      <c r="G268" s="1234"/>
      <c r="H268" s="1238"/>
      <c r="I268" s="384"/>
      <c r="J268" s="1217"/>
      <c r="K268" s="1217"/>
      <c r="L268" s="1217"/>
      <c r="M268" s="1217"/>
      <c r="N268" s="1217"/>
    </row>
    <row r="269" spans="4:14" ht="17.25" customHeight="1">
      <c r="D269" s="1234"/>
      <c r="E269" s="1239"/>
      <c r="F269" s="384"/>
      <c r="G269" s="1234"/>
      <c r="H269" s="1238"/>
      <c r="I269" s="384"/>
      <c r="J269" s="1217"/>
      <c r="K269" s="1217"/>
      <c r="L269" s="1217"/>
      <c r="M269" s="1217"/>
      <c r="N269" s="1217"/>
    </row>
    <row r="270" spans="4:14" ht="17.25" customHeight="1">
      <c r="D270" s="1234"/>
      <c r="E270" s="1239"/>
      <c r="F270" s="384"/>
      <c r="G270" s="1234"/>
      <c r="H270" s="1238"/>
      <c r="I270" s="384"/>
      <c r="J270" s="1217"/>
      <c r="K270" s="1217"/>
      <c r="L270" s="1217"/>
      <c r="M270" s="1217"/>
      <c r="N270" s="1217"/>
    </row>
    <row r="271" spans="4:14" ht="17.25" customHeight="1">
      <c r="D271" s="1234"/>
      <c r="E271" s="1239"/>
      <c r="F271" s="384"/>
      <c r="G271" s="1234"/>
      <c r="H271" s="1238"/>
      <c r="I271" s="384"/>
      <c r="J271" s="1217"/>
      <c r="K271" s="1217"/>
      <c r="L271" s="1217"/>
      <c r="M271" s="1217"/>
      <c r="N271" s="1217"/>
    </row>
    <row r="272" spans="4:14" ht="17.25" customHeight="1">
      <c r="D272" s="1234"/>
      <c r="E272" s="1239"/>
      <c r="F272" s="384"/>
      <c r="G272" s="1234"/>
      <c r="H272" s="1238"/>
      <c r="I272" s="384"/>
      <c r="J272" s="1217"/>
      <c r="K272" s="1217"/>
      <c r="L272" s="1217"/>
      <c r="M272" s="1217"/>
      <c r="N272" s="1217"/>
    </row>
    <row r="273" spans="4:14" ht="17.25" customHeight="1">
      <c r="D273" s="1234"/>
      <c r="E273" s="1239"/>
      <c r="F273" s="384"/>
      <c r="G273" s="1234"/>
      <c r="H273" s="1238"/>
      <c r="I273" s="384"/>
      <c r="J273" s="1217"/>
      <c r="K273" s="1217"/>
      <c r="L273" s="1217"/>
      <c r="M273" s="1217"/>
      <c r="N273" s="1217"/>
    </row>
    <row r="274" spans="4:14" ht="17.25" customHeight="1">
      <c r="D274" s="1234"/>
      <c r="E274" s="1239"/>
      <c r="F274" s="384"/>
      <c r="G274" s="1234"/>
      <c r="H274" s="1238"/>
      <c r="I274" s="384"/>
      <c r="J274" s="1217"/>
      <c r="K274" s="1217"/>
      <c r="L274" s="1217"/>
      <c r="M274" s="1217"/>
      <c r="N274" s="1217"/>
    </row>
    <row r="275" spans="4:14" ht="17.25" customHeight="1">
      <c r="D275" s="1234"/>
      <c r="E275" s="1239"/>
      <c r="F275" s="384"/>
      <c r="G275" s="1234"/>
      <c r="H275" s="1238"/>
      <c r="I275" s="384"/>
      <c r="J275" s="1217"/>
      <c r="K275" s="1217"/>
      <c r="L275" s="1217"/>
      <c r="M275" s="1217"/>
      <c r="N275" s="1217"/>
    </row>
    <row r="276" spans="4:14" ht="17.25" customHeight="1">
      <c r="D276" s="1234"/>
      <c r="E276" s="1239"/>
      <c r="F276" s="384"/>
      <c r="G276" s="1234"/>
      <c r="H276" s="1238"/>
      <c r="I276" s="384"/>
      <c r="J276" s="1217"/>
      <c r="K276" s="1217"/>
      <c r="L276" s="1217"/>
      <c r="M276" s="1217"/>
      <c r="N276" s="1217"/>
    </row>
  </sheetData>
  <sortState xmlns:xlrd2="http://schemas.microsoft.com/office/spreadsheetml/2017/richdata2" ref="D3:F122">
    <sortCondition ref="D2:D122"/>
  </sortState>
  <customSheetViews>
    <customSheetView guid="{40FADD7F-233D-11D9-A2E0-00055D0D7FDA}" showPageBreaks="1" showGridLines="0" printArea="1" hiddenColumns="1" view="pageBreakPreview" showRuler="0" topLeftCell="A19">
      <selection activeCell="G33" sqref="G33"/>
      <pageMargins left="0.75" right="0.75" top="0.59" bottom="0.61" header="0.5" footer="0.5"/>
      <pageSetup paperSize="9" orientation="landscape" horizontalDpi="300" verticalDpi="400" r:id="rId1"/>
      <headerFooter alignWithMargins="0"/>
    </customSheetView>
    <customSheetView guid="{40FADD80-233D-11D9-A2E0-00055D0D7FDA}" showPageBreaks="1" showGridLines="0" view="pageBreakPreview" showRuler="0" topLeftCell="A19">
      <selection activeCell="G33" sqref="G33"/>
    </customSheetView>
    <customSheetView guid="{B499F86B-5A3B-11D9-A2E0-00055D0D7FDA}" showPageBreaks="1" showGridLines="0" printArea="1" hiddenColumns="1" view="pageBreakPreview" showRuler="0" topLeftCell="A175">
      <selection activeCell="A3" sqref="A3:G32"/>
      <pageMargins left="0.75" right="0.75" top="0.59" bottom="0.61" header="0.5" footer="0.5"/>
      <pageSetup paperSize="9" orientation="landscape" horizontalDpi="300" verticalDpi="400" r:id="rId2"/>
      <headerFooter alignWithMargins="0"/>
    </customSheetView>
  </customSheetViews>
  <phoneticPr fontId="17" type="noConversion"/>
  <conditionalFormatting sqref="G1:G1048576 D1:D1048576">
    <cfRule type="duplicateValues" dxfId="573" priority="1"/>
  </conditionalFormatting>
  <pageMargins left="0.75" right="0.75" top="0.59" bottom="0.61" header="0.5" footer="0.5"/>
  <pageSetup paperSize="9" orientation="landscape" horizontalDpi="300" verticalDpi="400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A999-71B5-4086-82D0-61A059932569}">
  <sheetPr codeName="工作表18"/>
  <dimension ref="A1:P345"/>
  <sheetViews>
    <sheetView workbookViewId="0">
      <pane ySplit="6" topLeftCell="A142" activePane="bottomLeft" state="frozen"/>
      <selection activeCell="L173" sqref="L173"/>
      <selection pane="bottomLeft" activeCell="H154" sqref="H154:I155"/>
    </sheetView>
  </sheetViews>
  <sheetFormatPr defaultRowHeight="16.5"/>
  <cols>
    <col min="1" max="1" width="12.25" style="1222" customWidth="1"/>
    <col min="2" max="2" width="12" style="1221" customWidth="1"/>
    <col min="3" max="4" width="10.25" style="1221" customWidth="1"/>
    <col min="5" max="6" width="9" style="1221"/>
    <col min="7" max="7" width="16" style="1221" customWidth="1"/>
    <col min="8" max="8" width="12.125" style="1221" bestFit="1" customWidth="1"/>
    <col min="9" max="9" width="12.5" style="1221" bestFit="1" customWidth="1"/>
    <col min="10" max="10" width="9" style="1221"/>
    <col min="11" max="11" width="12.125" style="1221" bestFit="1" customWidth="1"/>
    <col min="12" max="12" width="12.5" style="1221" bestFit="1" customWidth="1"/>
    <col min="13" max="13" width="9" style="1221"/>
    <col min="14" max="14" width="10.125" style="1221" bestFit="1" customWidth="1"/>
    <col min="15" max="15" width="12.5" style="1221" bestFit="1" customWidth="1"/>
    <col min="16" max="16384" width="9" style="1221"/>
  </cols>
  <sheetData>
    <row r="1" spans="1:16">
      <c r="A1" s="1219" t="s">
        <v>15856</v>
      </c>
      <c r="B1" s="1220" t="s">
        <v>39</v>
      </c>
      <c r="C1" s="1220" t="s">
        <v>15857</v>
      </c>
      <c r="D1" s="1220" t="s">
        <v>15872</v>
      </c>
      <c r="G1" s="1136" t="s">
        <v>37</v>
      </c>
      <c r="H1" s="1136" t="s">
        <v>39</v>
      </c>
      <c r="I1" t="s">
        <v>15873</v>
      </c>
      <c r="K1" s="1136" t="s">
        <v>15874</v>
      </c>
      <c r="L1" t="s">
        <v>15873</v>
      </c>
      <c r="N1" s="1136" t="s">
        <v>15874</v>
      </c>
      <c r="O1" t="s">
        <v>15873</v>
      </c>
      <c r="P1"/>
    </row>
    <row r="2" spans="1:16">
      <c r="A2" s="1342">
        <v>46204</v>
      </c>
      <c r="B2" s="618" t="s">
        <v>17321</v>
      </c>
      <c r="C2" s="618">
        <v>360</v>
      </c>
      <c r="G2" s="1223">
        <v>46204</v>
      </c>
      <c r="H2" t="s">
        <v>17321</v>
      </c>
      <c r="I2" s="1653">
        <v>360</v>
      </c>
      <c r="K2" s="175" t="s">
        <v>17350</v>
      </c>
      <c r="L2" s="1653">
        <v>2241</v>
      </c>
      <c r="N2" s="1335">
        <v>46204</v>
      </c>
      <c r="O2" s="1653">
        <v>360</v>
      </c>
      <c r="P2"/>
    </row>
    <row r="3" spans="1:16">
      <c r="A3" s="1342">
        <v>46205</v>
      </c>
      <c r="B3" s="618" t="s">
        <v>17322</v>
      </c>
      <c r="C3" s="618">
        <v>408</v>
      </c>
      <c r="G3" t="s">
        <v>17356</v>
      </c>
      <c r="H3"/>
      <c r="I3" s="1653">
        <v>360</v>
      </c>
      <c r="K3" s="175" t="s">
        <v>17405</v>
      </c>
      <c r="L3" s="1653">
        <v>3990</v>
      </c>
      <c r="N3" s="1335">
        <v>46205</v>
      </c>
      <c r="O3" s="1653">
        <v>11474.3</v>
      </c>
      <c r="P3"/>
    </row>
    <row r="4" spans="1:16">
      <c r="A4" s="1342">
        <v>46205</v>
      </c>
      <c r="B4" s="618" t="s">
        <v>17322</v>
      </c>
      <c r="C4" s="618">
        <v>441</v>
      </c>
      <c r="G4" s="1223">
        <v>46205</v>
      </c>
      <c r="H4" t="s">
        <v>17328</v>
      </c>
      <c r="I4" s="1653">
        <v>72</v>
      </c>
      <c r="K4" s="175" t="s">
        <v>17406</v>
      </c>
      <c r="L4" s="1653">
        <v>1110</v>
      </c>
      <c r="N4" s="1335">
        <v>46206</v>
      </c>
      <c r="O4" s="1653">
        <v>23282.499999999996</v>
      </c>
      <c r="P4"/>
    </row>
    <row r="5" spans="1:16">
      <c r="A5" s="1342">
        <v>46205</v>
      </c>
      <c r="B5" s="618" t="s">
        <v>17323</v>
      </c>
      <c r="C5" s="618">
        <v>504</v>
      </c>
      <c r="D5" s="1228"/>
      <c r="G5" s="1223">
        <v>46205</v>
      </c>
      <c r="H5" t="s">
        <v>17322</v>
      </c>
      <c r="I5" s="1653">
        <v>849</v>
      </c>
      <c r="K5" s="175" t="s">
        <v>17351</v>
      </c>
      <c r="L5" s="1653">
        <v>9744</v>
      </c>
      <c r="N5" s="1335">
        <v>46209</v>
      </c>
      <c r="O5" s="1653">
        <v>35665</v>
      </c>
      <c r="P5"/>
    </row>
    <row r="6" spans="1:16">
      <c r="A6" s="1342">
        <v>46205</v>
      </c>
      <c r="B6" s="618" t="s">
        <v>17323</v>
      </c>
      <c r="C6" s="618">
        <v>86.6</v>
      </c>
      <c r="G6" s="1223">
        <v>46205</v>
      </c>
      <c r="H6" t="s">
        <v>17323</v>
      </c>
      <c r="I6" s="1653">
        <v>590.6</v>
      </c>
      <c r="K6" s="175" t="s">
        <v>17407</v>
      </c>
      <c r="L6" s="1653">
        <v>1740</v>
      </c>
      <c r="N6" s="1335">
        <v>46210</v>
      </c>
      <c r="O6" s="1653">
        <v>28680</v>
      </c>
      <c r="P6"/>
    </row>
    <row r="7" spans="1:16">
      <c r="A7" s="1342">
        <v>46205</v>
      </c>
      <c r="B7" s="618" t="s">
        <v>17324</v>
      </c>
      <c r="C7" s="618">
        <v>406.7</v>
      </c>
      <c r="G7" s="1223">
        <v>46205</v>
      </c>
      <c r="H7" t="s">
        <v>17325</v>
      </c>
      <c r="I7" s="1653">
        <v>2280</v>
      </c>
      <c r="K7" s="175" t="s">
        <v>17408</v>
      </c>
      <c r="L7" s="1653">
        <v>20184</v>
      </c>
      <c r="N7" s="1335">
        <v>46211</v>
      </c>
      <c r="O7" s="1653">
        <v>7260</v>
      </c>
      <c r="P7"/>
    </row>
    <row r="8" spans="1:16">
      <c r="A8" s="1342">
        <v>46205</v>
      </c>
      <c r="B8" s="618" t="s">
        <v>17325</v>
      </c>
      <c r="C8" s="618">
        <v>168</v>
      </c>
      <c r="G8" s="1223">
        <v>46205</v>
      </c>
      <c r="H8" t="s">
        <v>17326</v>
      </c>
      <c r="I8" s="1653">
        <v>6624</v>
      </c>
      <c r="K8" s="175" t="s">
        <v>17409</v>
      </c>
      <c r="L8" s="1653">
        <v>1290</v>
      </c>
      <c r="N8" s="1335">
        <v>46212</v>
      </c>
      <c r="O8" s="1653">
        <v>55529</v>
      </c>
      <c r="P8"/>
    </row>
    <row r="9" spans="1:16">
      <c r="A9" s="1342">
        <v>46205</v>
      </c>
      <c r="B9" s="618" t="s">
        <v>17325</v>
      </c>
      <c r="C9" s="618">
        <v>1032</v>
      </c>
      <c r="G9" s="1223">
        <v>46205</v>
      </c>
      <c r="H9" t="s">
        <v>17329</v>
      </c>
      <c r="I9" s="1653">
        <v>6</v>
      </c>
      <c r="K9" s="175" t="s">
        <v>17410</v>
      </c>
      <c r="L9" s="1653">
        <v>1485</v>
      </c>
      <c r="N9" s="1335">
        <v>46216</v>
      </c>
      <c r="O9" s="1653">
        <v>7750</v>
      </c>
      <c r="P9"/>
    </row>
    <row r="10" spans="1:16">
      <c r="A10" s="1342">
        <v>46205</v>
      </c>
      <c r="B10" s="618" t="s">
        <v>17325</v>
      </c>
      <c r="C10" s="618">
        <v>1080</v>
      </c>
      <c r="G10" s="1223">
        <v>46205</v>
      </c>
      <c r="H10" t="s">
        <v>17236</v>
      </c>
      <c r="I10" s="1653">
        <v>528</v>
      </c>
      <c r="K10" s="175" t="s">
        <v>17386</v>
      </c>
      <c r="L10" s="1653">
        <v>750</v>
      </c>
      <c r="N10" s="1335">
        <v>46217</v>
      </c>
      <c r="O10" s="1653">
        <v>11685</v>
      </c>
      <c r="P10"/>
    </row>
    <row r="11" spans="1:16">
      <c r="A11" s="1342">
        <v>46205</v>
      </c>
      <c r="B11" s="618" t="s">
        <v>17326</v>
      </c>
      <c r="C11" s="618">
        <v>1752</v>
      </c>
      <c r="G11" s="1223">
        <v>46205</v>
      </c>
      <c r="H11" t="s">
        <v>17324</v>
      </c>
      <c r="I11" s="1653">
        <v>406.7</v>
      </c>
      <c r="K11" s="175" t="s">
        <v>17411</v>
      </c>
      <c r="L11" s="1653">
        <v>2310</v>
      </c>
      <c r="N11" s="1335">
        <v>46218</v>
      </c>
      <c r="O11" s="1653">
        <v>52197</v>
      </c>
      <c r="P11"/>
    </row>
    <row r="12" spans="1:16">
      <c r="A12" s="1342">
        <v>46205</v>
      </c>
      <c r="B12" s="618" t="s">
        <v>17327</v>
      </c>
      <c r="C12" s="618">
        <v>118</v>
      </c>
      <c r="G12" s="1223">
        <v>46205</v>
      </c>
      <c r="H12" t="s">
        <v>17327</v>
      </c>
      <c r="I12" s="1653">
        <v>118</v>
      </c>
      <c r="K12" s="175" t="s">
        <v>17348</v>
      </c>
      <c r="L12" s="1653">
        <v>1200</v>
      </c>
      <c r="N12" s="1335">
        <v>46219</v>
      </c>
      <c r="O12" s="1653">
        <v>27442</v>
      </c>
      <c r="P12"/>
    </row>
    <row r="13" spans="1:16">
      <c r="A13" s="1342">
        <v>46205</v>
      </c>
      <c r="B13" s="618" t="s">
        <v>17326</v>
      </c>
      <c r="C13" s="618">
        <v>864</v>
      </c>
      <c r="G13" t="s">
        <v>17357</v>
      </c>
      <c r="H13"/>
      <c r="I13" s="1653">
        <v>11474.300000000001</v>
      </c>
      <c r="K13" s="175" t="s">
        <v>17387</v>
      </c>
      <c r="L13" s="1653">
        <v>5940</v>
      </c>
      <c r="N13" s="1335">
        <v>46220</v>
      </c>
      <c r="O13" s="1653">
        <v>32690</v>
      </c>
      <c r="P13"/>
    </row>
    <row r="14" spans="1:16">
      <c r="A14" s="1342">
        <v>46205</v>
      </c>
      <c r="B14" s="618" t="s">
        <v>17326</v>
      </c>
      <c r="C14" s="618">
        <v>2736</v>
      </c>
      <c r="G14" s="1223">
        <v>46206</v>
      </c>
      <c r="H14" t="s">
        <v>17239</v>
      </c>
      <c r="I14" s="1653">
        <v>1990</v>
      </c>
      <c r="K14" s="175" t="s">
        <v>17388</v>
      </c>
      <c r="L14" s="1653">
        <v>6600</v>
      </c>
      <c r="N14" s="1335">
        <v>46223</v>
      </c>
      <c r="O14" s="1653">
        <v>7216</v>
      </c>
      <c r="P14"/>
    </row>
    <row r="15" spans="1:16">
      <c r="A15" s="1342">
        <v>46205</v>
      </c>
      <c r="B15" s="618" t="s">
        <v>17326</v>
      </c>
      <c r="C15" s="618">
        <v>600</v>
      </c>
      <c r="G15" s="1223">
        <v>46206</v>
      </c>
      <c r="H15" t="s">
        <v>17331</v>
      </c>
      <c r="I15" s="1653">
        <v>2592</v>
      </c>
      <c r="K15" s="175" t="s">
        <v>17321</v>
      </c>
      <c r="L15" s="1653">
        <v>360</v>
      </c>
      <c r="N15" s="175" t="s">
        <v>211</v>
      </c>
      <c r="O15" s="1653"/>
      <c r="P15"/>
    </row>
    <row r="16" spans="1:16">
      <c r="A16" s="1342">
        <v>46205</v>
      </c>
      <c r="B16" s="618" t="s">
        <v>17326</v>
      </c>
      <c r="C16" s="618">
        <v>672</v>
      </c>
      <c r="G16" s="1223">
        <v>46206</v>
      </c>
      <c r="H16" t="s">
        <v>17245</v>
      </c>
      <c r="I16" s="1653">
        <v>700</v>
      </c>
      <c r="K16" s="175" t="s">
        <v>17525</v>
      </c>
      <c r="L16" s="1653">
        <v>192</v>
      </c>
      <c r="N16" s="175" t="s">
        <v>70</v>
      </c>
      <c r="O16" s="1653">
        <v>301230.8</v>
      </c>
      <c r="P16"/>
    </row>
    <row r="17" spans="1:16">
      <c r="A17" s="1342">
        <v>46205</v>
      </c>
      <c r="B17" s="618" t="s">
        <v>17236</v>
      </c>
      <c r="C17" s="618">
        <v>528</v>
      </c>
      <c r="G17" s="1223">
        <v>46206</v>
      </c>
      <c r="H17" t="s">
        <v>17336</v>
      </c>
      <c r="I17" s="1653">
        <v>649</v>
      </c>
      <c r="K17" s="175" t="s">
        <v>17352</v>
      </c>
      <c r="L17" s="1653">
        <v>2304</v>
      </c>
      <c r="N17"/>
      <c r="O17"/>
      <c r="P17"/>
    </row>
    <row r="18" spans="1:16">
      <c r="A18" s="1342">
        <v>46205</v>
      </c>
      <c r="B18" s="618" t="s">
        <v>17328</v>
      </c>
      <c r="C18" s="618">
        <v>72</v>
      </c>
      <c r="G18" s="1223">
        <v>46206</v>
      </c>
      <c r="H18" t="s">
        <v>17341</v>
      </c>
      <c r="I18" s="1653">
        <v>63.7</v>
      </c>
      <c r="K18" s="175" t="s">
        <v>17415</v>
      </c>
      <c r="L18" s="1653">
        <v>3900</v>
      </c>
      <c r="N18"/>
      <c r="O18"/>
      <c r="P18"/>
    </row>
    <row r="19" spans="1:16">
      <c r="A19" s="1342">
        <v>46205</v>
      </c>
      <c r="B19" s="618" t="s">
        <v>17329</v>
      </c>
      <c r="C19" s="618">
        <v>6</v>
      </c>
      <c r="G19" s="1223">
        <v>46206</v>
      </c>
      <c r="H19" t="s">
        <v>17339</v>
      </c>
      <c r="I19" s="1653">
        <v>1320</v>
      </c>
      <c r="K19" s="175" t="s">
        <v>17416</v>
      </c>
      <c r="L19" s="1653">
        <v>4020</v>
      </c>
      <c r="N19"/>
      <c r="O19"/>
    </row>
    <row r="20" spans="1:16">
      <c r="A20" s="1342">
        <v>46206</v>
      </c>
      <c r="B20" s="618" t="s">
        <v>17330</v>
      </c>
      <c r="C20" s="618">
        <v>60.3</v>
      </c>
      <c r="G20" s="1223">
        <v>46206</v>
      </c>
      <c r="H20" t="s">
        <v>17332</v>
      </c>
      <c r="I20" s="1653">
        <v>2730</v>
      </c>
      <c r="K20" s="175" t="s">
        <v>17389</v>
      </c>
      <c r="L20" s="1653">
        <v>6390</v>
      </c>
      <c r="N20"/>
      <c r="O20"/>
    </row>
    <row r="21" spans="1:16">
      <c r="A21" s="1342">
        <v>46206</v>
      </c>
      <c r="B21" s="618" t="s">
        <v>17240</v>
      </c>
      <c r="C21" s="618">
        <v>8093</v>
      </c>
      <c r="G21" s="1223">
        <v>46206</v>
      </c>
      <c r="H21" t="s">
        <v>17344</v>
      </c>
      <c r="I21" s="1653">
        <v>1275.0999999999999</v>
      </c>
      <c r="K21" s="175" t="s">
        <v>17497</v>
      </c>
      <c r="L21" s="1653">
        <v>90</v>
      </c>
      <c r="N21"/>
      <c r="O21"/>
    </row>
    <row r="22" spans="1:16">
      <c r="A22" s="1342">
        <v>46206</v>
      </c>
      <c r="B22" s="618" t="s">
        <v>17331</v>
      </c>
      <c r="C22" s="618">
        <v>1512</v>
      </c>
      <c r="G22" s="1223">
        <v>46206</v>
      </c>
      <c r="H22" t="s">
        <v>17333</v>
      </c>
      <c r="I22" s="1653">
        <v>390</v>
      </c>
      <c r="K22" s="175" t="s">
        <v>17333</v>
      </c>
      <c r="L22" s="1653">
        <v>6270</v>
      </c>
      <c r="N22"/>
      <c r="O22"/>
    </row>
    <row r="23" spans="1:16">
      <c r="A23" s="1342">
        <v>46206</v>
      </c>
      <c r="B23" s="618" t="s">
        <v>17331</v>
      </c>
      <c r="C23" s="618">
        <v>1080</v>
      </c>
      <c r="G23" s="1223">
        <v>46206</v>
      </c>
      <c r="H23" t="s">
        <v>17338</v>
      </c>
      <c r="I23" s="1653">
        <v>480</v>
      </c>
      <c r="K23" s="175" t="s">
        <v>17326</v>
      </c>
      <c r="L23" s="1653">
        <v>6624</v>
      </c>
      <c r="N23"/>
      <c r="O23"/>
    </row>
    <row r="24" spans="1:16">
      <c r="A24" s="1342">
        <v>46206</v>
      </c>
      <c r="B24" s="618" t="s">
        <v>17332</v>
      </c>
      <c r="C24" s="618">
        <v>960</v>
      </c>
      <c r="G24" s="1223">
        <v>46206</v>
      </c>
      <c r="H24" t="s">
        <v>17346</v>
      </c>
      <c r="I24" s="1653">
        <v>528</v>
      </c>
      <c r="K24" s="175" t="s">
        <v>17346</v>
      </c>
      <c r="L24" s="1653">
        <v>528</v>
      </c>
      <c r="N24"/>
      <c r="O24"/>
    </row>
    <row r="25" spans="1:16">
      <c r="A25" s="1342">
        <v>46206</v>
      </c>
      <c r="B25" s="618" t="s">
        <v>17333</v>
      </c>
      <c r="C25" s="618">
        <v>390</v>
      </c>
      <c r="G25" s="1223">
        <v>46206</v>
      </c>
      <c r="H25" t="s">
        <v>17343</v>
      </c>
      <c r="I25" s="1653">
        <v>71.099999999999994</v>
      </c>
      <c r="K25" s="175" t="s">
        <v>17509</v>
      </c>
      <c r="L25" s="1653">
        <v>99</v>
      </c>
      <c r="N25"/>
      <c r="O25"/>
    </row>
    <row r="26" spans="1:16">
      <c r="A26" s="1342">
        <v>46206</v>
      </c>
      <c r="B26" s="618" t="s">
        <v>17334</v>
      </c>
      <c r="C26" s="618">
        <v>662</v>
      </c>
      <c r="G26" s="1223">
        <v>46206</v>
      </c>
      <c r="H26" t="s">
        <v>17330</v>
      </c>
      <c r="I26" s="1653">
        <v>60.3</v>
      </c>
      <c r="K26" s="175" t="s">
        <v>17390</v>
      </c>
      <c r="L26" s="1653">
        <v>2490</v>
      </c>
    </row>
    <row r="27" spans="1:16">
      <c r="A27" s="1342">
        <v>46206</v>
      </c>
      <c r="B27" s="618" t="s">
        <v>17332</v>
      </c>
      <c r="C27" s="618">
        <v>750</v>
      </c>
      <c r="G27" s="1223">
        <v>46206</v>
      </c>
      <c r="H27" t="s">
        <v>17337</v>
      </c>
      <c r="I27" s="1653">
        <v>116.3</v>
      </c>
      <c r="K27" s="175" t="s">
        <v>17418</v>
      </c>
      <c r="L27" s="1653">
        <v>1272</v>
      </c>
    </row>
    <row r="28" spans="1:16">
      <c r="A28" s="1342">
        <v>46206</v>
      </c>
      <c r="B28" s="618" t="s">
        <v>17332</v>
      </c>
      <c r="C28" s="618">
        <v>1020</v>
      </c>
      <c r="G28" s="1223">
        <v>46206</v>
      </c>
      <c r="H28" t="s">
        <v>17342</v>
      </c>
      <c r="I28" s="1653">
        <v>194</v>
      </c>
      <c r="K28" s="175" t="s">
        <v>17419</v>
      </c>
      <c r="L28" s="1653">
        <v>336</v>
      </c>
    </row>
    <row r="29" spans="1:16">
      <c r="A29" s="1342">
        <v>46206</v>
      </c>
      <c r="B29" s="618" t="s">
        <v>17335</v>
      </c>
      <c r="C29" s="618">
        <v>258</v>
      </c>
      <c r="G29" s="1223">
        <v>46206</v>
      </c>
      <c r="H29" t="s">
        <v>17240</v>
      </c>
      <c r="I29" s="1653">
        <v>8093</v>
      </c>
      <c r="K29" s="175" t="s">
        <v>17420</v>
      </c>
      <c r="L29" s="1653">
        <v>140</v>
      </c>
    </row>
    <row r="30" spans="1:16">
      <c r="A30" s="1342">
        <v>46206</v>
      </c>
      <c r="B30" s="618" t="s">
        <v>17336</v>
      </c>
      <c r="C30" s="618">
        <v>649</v>
      </c>
      <c r="G30" s="1223">
        <v>46206</v>
      </c>
      <c r="H30" t="s">
        <v>17347</v>
      </c>
      <c r="I30" s="1653">
        <v>726</v>
      </c>
      <c r="K30" s="175" t="s">
        <v>17403</v>
      </c>
      <c r="L30" s="1653">
        <v>14</v>
      </c>
    </row>
    <row r="31" spans="1:16">
      <c r="A31" s="1342">
        <v>46206</v>
      </c>
      <c r="B31" s="618" t="s">
        <v>17337</v>
      </c>
      <c r="C31" s="618">
        <v>116.3</v>
      </c>
      <c r="G31" s="1223">
        <v>46206</v>
      </c>
      <c r="H31" t="s">
        <v>17340</v>
      </c>
      <c r="I31" s="1653">
        <v>230</v>
      </c>
      <c r="K31" s="175" t="s">
        <v>17507</v>
      </c>
      <c r="L31" s="1653">
        <v>10</v>
      </c>
    </row>
    <row r="32" spans="1:16">
      <c r="A32" s="1342">
        <v>46206</v>
      </c>
      <c r="B32" s="618" t="s">
        <v>17338</v>
      </c>
      <c r="C32" s="618">
        <v>480</v>
      </c>
      <c r="G32" s="1223">
        <v>46206</v>
      </c>
      <c r="H32" t="s">
        <v>17335</v>
      </c>
      <c r="I32" s="1653">
        <v>258</v>
      </c>
      <c r="K32" s="175" t="s">
        <v>17506</v>
      </c>
      <c r="L32" s="1653">
        <v>20</v>
      </c>
    </row>
    <row r="33" spans="1:12">
      <c r="A33" s="1342">
        <v>46206</v>
      </c>
      <c r="B33" s="618" t="s">
        <v>17339</v>
      </c>
      <c r="C33" s="618">
        <v>600</v>
      </c>
      <c r="G33" s="1223">
        <v>46206</v>
      </c>
      <c r="H33" t="s">
        <v>17345</v>
      </c>
      <c r="I33" s="1653">
        <v>154</v>
      </c>
      <c r="K33" s="175" t="s">
        <v>17511</v>
      </c>
      <c r="L33" s="1653">
        <v>160</v>
      </c>
    </row>
    <row r="34" spans="1:12">
      <c r="A34" s="1342">
        <v>46206</v>
      </c>
      <c r="B34" s="618" t="s">
        <v>17339</v>
      </c>
      <c r="C34" s="618">
        <v>408</v>
      </c>
      <c r="G34" s="1223">
        <v>46206</v>
      </c>
      <c r="H34" t="s">
        <v>17334</v>
      </c>
      <c r="I34" s="1653">
        <v>662</v>
      </c>
      <c r="K34" s="175" t="s">
        <v>17510</v>
      </c>
      <c r="L34" s="1653">
        <v>20</v>
      </c>
    </row>
    <row r="35" spans="1:12">
      <c r="A35" s="1342">
        <v>46206</v>
      </c>
      <c r="B35" s="618" t="s">
        <v>17339</v>
      </c>
      <c r="C35" s="618">
        <v>312</v>
      </c>
      <c r="G35" t="s">
        <v>17358</v>
      </c>
      <c r="H35"/>
      <c r="I35" s="1653">
        <v>23282.5</v>
      </c>
      <c r="K35" s="175" t="s">
        <v>17518</v>
      </c>
      <c r="L35" s="1653">
        <v>112</v>
      </c>
    </row>
    <row r="36" spans="1:12">
      <c r="A36" s="1342">
        <v>46206</v>
      </c>
      <c r="B36" s="618" t="s">
        <v>17340</v>
      </c>
      <c r="C36" s="618">
        <v>230</v>
      </c>
      <c r="G36" s="1223">
        <v>46209</v>
      </c>
      <c r="H36" t="s">
        <v>17349</v>
      </c>
      <c r="I36" s="1653">
        <v>3744</v>
      </c>
      <c r="K36" s="175" t="s">
        <v>17236</v>
      </c>
      <c r="L36" s="1653">
        <v>528</v>
      </c>
    </row>
    <row r="37" spans="1:12">
      <c r="A37" s="1342">
        <v>46206</v>
      </c>
      <c r="B37" s="618" t="s">
        <v>17341</v>
      </c>
      <c r="C37" s="618">
        <v>63.7</v>
      </c>
      <c r="G37" s="1223">
        <v>46209</v>
      </c>
      <c r="H37" t="s">
        <v>17350</v>
      </c>
      <c r="I37" s="1653">
        <v>2241</v>
      </c>
      <c r="K37" s="175" t="s">
        <v>17391</v>
      </c>
      <c r="L37" s="1653">
        <v>3648</v>
      </c>
    </row>
    <row r="38" spans="1:12">
      <c r="A38" s="1342">
        <v>46206</v>
      </c>
      <c r="B38" s="618" t="s">
        <v>17342</v>
      </c>
      <c r="C38" s="618">
        <v>194</v>
      </c>
      <c r="G38" s="1223">
        <v>46209</v>
      </c>
      <c r="H38" t="s">
        <v>17351</v>
      </c>
      <c r="I38" s="1653">
        <v>9744</v>
      </c>
      <c r="K38" s="175" t="s">
        <v>17354</v>
      </c>
      <c r="L38" s="1653">
        <v>7688</v>
      </c>
    </row>
    <row r="39" spans="1:12">
      <c r="A39" s="1342">
        <v>46206</v>
      </c>
      <c r="B39" s="618" t="s">
        <v>17343</v>
      </c>
      <c r="C39" s="618">
        <v>71.099999999999994</v>
      </c>
      <c r="G39" s="1223">
        <v>46209</v>
      </c>
      <c r="H39" t="s">
        <v>17348</v>
      </c>
      <c r="I39" s="1653">
        <v>1200</v>
      </c>
      <c r="K39" s="175" t="s">
        <v>17463</v>
      </c>
      <c r="L39" s="1653">
        <v>1261</v>
      </c>
    </row>
    <row r="40" spans="1:12">
      <c r="A40" s="1342">
        <v>46206</v>
      </c>
      <c r="B40" s="618" t="s">
        <v>17344</v>
      </c>
      <c r="C40" s="618">
        <v>600</v>
      </c>
      <c r="G40" s="1223">
        <v>46209</v>
      </c>
      <c r="H40" t="s">
        <v>17352</v>
      </c>
      <c r="I40" s="1653">
        <v>2304</v>
      </c>
      <c r="K40" s="175" t="s">
        <v>17464</v>
      </c>
      <c r="L40" s="1653">
        <v>1598</v>
      </c>
    </row>
    <row r="41" spans="1:12">
      <c r="A41" s="1342">
        <v>46206</v>
      </c>
      <c r="B41" s="618" t="s">
        <v>17344</v>
      </c>
      <c r="C41" s="618">
        <v>408</v>
      </c>
      <c r="G41" s="1223">
        <v>46209</v>
      </c>
      <c r="H41" t="s">
        <v>17333</v>
      </c>
      <c r="I41" s="1653">
        <v>5880</v>
      </c>
      <c r="K41" s="175" t="s">
        <v>17465</v>
      </c>
      <c r="L41" s="1653">
        <v>1130</v>
      </c>
    </row>
    <row r="42" spans="1:12">
      <c r="A42" s="1342">
        <v>46206</v>
      </c>
      <c r="B42" s="618" t="s">
        <v>17344</v>
      </c>
      <c r="C42" s="618">
        <v>267.10000000000002</v>
      </c>
      <c r="G42" s="1223">
        <v>46209</v>
      </c>
      <c r="H42" t="s">
        <v>17353</v>
      </c>
      <c r="I42" s="1653">
        <v>4008</v>
      </c>
      <c r="K42" s="175" t="s">
        <v>17404</v>
      </c>
      <c r="L42" s="1653">
        <v>7432</v>
      </c>
    </row>
    <row r="43" spans="1:12">
      <c r="A43" s="1342">
        <v>46206</v>
      </c>
      <c r="B43" s="618" t="s">
        <v>17345</v>
      </c>
      <c r="C43" s="618">
        <v>154</v>
      </c>
      <c r="G43" s="1223">
        <v>46209</v>
      </c>
      <c r="H43" t="s">
        <v>17354</v>
      </c>
      <c r="I43" s="1653">
        <v>3844</v>
      </c>
      <c r="K43" s="175" t="s">
        <v>17466</v>
      </c>
      <c r="L43" s="1653">
        <v>1345</v>
      </c>
    </row>
    <row r="44" spans="1:12">
      <c r="A44" s="1342">
        <v>46206</v>
      </c>
      <c r="B44" s="618" t="s">
        <v>17346</v>
      </c>
      <c r="C44" s="618">
        <v>528</v>
      </c>
      <c r="G44" s="1223">
        <v>46209</v>
      </c>
      <c r="H44" t="s">
        <v>17355</v>
      </c>
      <c r="I44" s="1653">
        <v>2700</v>
      </c>
      <c r="K44" s="175" t="s">
        <v>17467</v>
      </c>
      <c r="L44" s="1653">
        <v>2338</v>
      </c>
    </row>
    <row r="45" spans="1:12">
      <c r="A45" s="1342">
        <v>46206</v>
      </c>
      <c r="B45" s="618" t="s">
        <v>17245</v>
      </c>
      <c r="C45" s="618">
        <v>700</v>
      </c>
      <c r="G45" t="s">
        <v>17359</v>
      </c>
      <c r="H45"/>
      <c r="I45" s="1653">
        <v>35665</v>
      </c>
      <c r="K45" s="175" t="s">
        <v>17468</v>
      </c>
      <c r="L45" s="1653">
        <v>1015</v>
      </c>
    </row>
    <row r="46" spans="1:12">
      <c r="A46" s="1342">
        <v>46206</v>
      </c>
      <c r="B46" s="618" t="s">
        <v>17239</v>
      </c>
      <c r="C46" s="618">
        <v>1990</v>
      </c>
      <c r="G46" s="1223">
        <v>46210</v>
      </c>
      <c r="H46" t="s">
        <v>17386</v>
      </c>
      <c r="I46" s="1653">
        <v>750</v>
      </c>
      <c r="K46" s="175" t="s">
        <v>17469</v>
      </c>
      <c r="L46" s="1653">
        <v>2391</v>
      </c>
    </row>
    <row r="47" spans="1:12">
      <c r="A47" s="1342">
        <v>46206</v>
      </c>
      <c r="B47" s="618" t="s">
        <v>17347</v>
      </c>
      <c r="C47" s="618">
        <v>726</v>
      </c>
      <c r="G47" s="1223">
        <v>46210</v>
      </c>
      <c r="H47" t="s">
        <v>17387</v>
      </c>
      <c r="I47" s="1653">
        <v>5940</v>
      </c>
      <c r="K47" s="175" t="s">
        <v>17470</v>
      </c>
      <c r="L47" s="1653">
        <v>3444</v>
      </c>
    </row>
    <row r="48" spans="1:12">
      <c r="A48" s="1342">
        <v>46209</v>
      </c>
      <c r="B48" s="618" t="s">
        <v>17348</v>
      </c>
      <c r="C48" s="618">
        <v>1200</v>
      </c>
      <c r="G48" s="1223">
        <v>46210</v>
      </c>
      <c r="H48" t="s">
        <v>17388</v>
      </c>
      <c r="I48" s="1653">
        <v>6600</v>
      </c>
      <c r="K48" s="175" t="s">
        <v>17528</v>
      </c>
      <c r="L48" s="1653">
        <v>1343</v>
      </c>
    </row>
    <row r="49" spans="1:12">
      <c r="A49" s="1342">
        <v>46209</v>
      </c>
      <c r="B49" s="618" t="s">
        <v>17349</v>
      </c>
      <c r="C49" s="618">
        <v>3744</v>
      </c>
      <c r="G49" s="1223">
        <v>46210</v>
      </c>
      <c r="H49" t="s">
        <v>17389</v>
      </c>
      <c r="I49" s="1653">
        <v>6390</v>
      </c>
      <c r="K49" s="175" t="s">
        <v>17474</v>
      </c>
      <c r="L49" s="1653">
        <v>1768</v>
      </c>
    </row>
    <row r="50" spans="1:12">
      <c r="A50" s="1342">
        <v>46209</v>
      </c>
      <c r="B50" s="618" t="s">
        <v>17350</v>
      </c>
      <c r="C50" s="618">
        <v>2241</v>
      </c>
      <c r="G50" s="1223">
        <v>46210</v>
      </c>
      <c r="H50" t="s">
        <v>17390</v>
      </c>
      <c r="I50" s="1653">
        <v>2490</v>
      </c>
      <c r="K50" s="175" t="s">
        <v>17477</v>
      </c>
      <c r="L50" s="1653">
        <v>2016</v>
      </c>
    </row>
    <row r="51" spans="1:12">
      <c r="A51" s="1342">
        <v>46209</v>
      </c>
      <c r="B51" s="618" t="s">
        <v>17351</v>
      </c>
      <c r="C51" s="618">
        <v>9744</v>
      </c>
      <c r="G51" s="1223">
        <v>46210</v>
      </c>
      <c r="H51" t="s">
        <v>17391</v>
      </c>
      <c r="I51" s="1653">
        <v>3648</v>
      </c>
      <c r="K51" s="175" t="s">
        <v>17479</v>
      </c>
      <c r="L51" s="1653">
        <v>1426</v>
      </c>
    </row>
    <row r="52" spans="1:12">
      <c r="A52" s="1342">
        <v>46209</v>
      </c>
      <c r="B52" s="618" t="s">
        <v>17352</v>
      </c>
      <c r="C52" s="618">
        <v>2304</v>
      </c>
      <c r="G52" s="1223">
        <v>46210</v>
      </c>
      <c r="H52" t="s">
        <v>17392</v>
      </c>
      <c r="I52" s="1653">
        <v>2862</v>
      </c>
      <c r="K52" s="175" t="s">
        <v>17483</v>
      </c>
      <c r="L52" s="1653">
        <v>184</v>
      </c>
    </row>
    <row r="53" spans="1:12">
      <c r="A53" s="1342">
        <v>46209</v>
      </c>
      <c r="B53" s="618" t="s">
        <v>17333</v>
      </c>
      <c r="C53" s="618">
        <v>5880</v>
      </c>
      <c r="G53" t="s">
        <v>17393</v>
      </c>
      <c r="H53"/>
      <c r="I53" s="1653">
        <v>28680</v>
      </c>
      <c r="K53" s="175" t="s">
        <v>17484</v>
      </c>
      <c r="L53" s="1653">
        <v>1017</v>
      </c>
    </row>
    <row r="54" spans="1:12">
      <c r="A54" s="1342">
        <v>46209</v>
      </c>
      <c r="B54" s="618" t="s">
        <v>17353</v>
      </c>
      <c r="C54" s="618">
        <v>4008</v>
      </c>
      <c r="G54" s="1223">
        <v>46211</v>
      </c>
      <c r="H54" t="s">
        <v>17399</v>
      </c>
      <c r="I54" s="1653">
        <v>330</v>
      </c>
      <c r="K54" s="175" t="s">
        <v>17485</v>
      </c>
      <c r="L54" s="1653">
        <v>1390</v>
      </c>
    </row>
    <row r="55" spans="1:12">
      <c r="A55" s="1342">
        <v>46209</v>
      </c>
      <c r="B55" s="618" t="s">
        <v>17354</v>
      </c>
      <c r="C55" s="618">
        <v>3844</v>
      </c>
      <c r="G55" s="1223">
        <v>46211</v>
      </c>
      <c r="H55" t="s">
        <v>17398</v>
      </c>
      <c r="I55" s="1653">
        <v>3960</v>
      </c>
      <c r="K55" s="175" t="s">
        <v>17355</v>
      </c>
      <c r="L55" s="1653">
        <v>2700</v>
      </c>
    </row>
    <row r="56" spans="1:12">
      <c r="A56" s="1342">
        <v>46209</v>
      </c>
      <c r="B56" s="618" t="s">
        <v>17355</v>
      </c>
      <c r="C56" s="618">
        <v>2700</v>
      </c>
      <c r="G56" s="1223">
        <v>46211</v>
      </c>
      <c r="H56" t="s">
        <v>17400</v>
      </c>
      <c r="I56" s="1653">
        <v>2970</v>
      </c>
      <c r="K56" s="175" t="s">
        <v>17392</v>
      </c>
      <c r="L56" s="1653">
        <v>2862</v>
      </c>
    </row>
    <row r="57" spans="1:12">
      <c r="A57" s="1342">
        <v>46210</v>
      </c>
      <c r="B57" s="618" t="s">
        <v>17386</v>
      </c>
      <c r="C57" s="618">
        <v>750</v>
      </c>
      <c r="G57" t="s">
        <v>17401</v>
      </c>
      <c r="H57"/>
      <c r="I57" s="1653">
        <v>7260</v>
      </c>
      <c r="K57" s="175" t="s">
        <v>211</v>
      </c>
      <c r="L57" s="1653"/>
    </row>
    <row r="58" spans="1:12">
      <c r="A58" s="1342">
        <v>46210</v>
      </c>
      <c r="B58" s="618" t="s">
        <v>17387</v>
      </c>
      <c r="C58" s="618">
        <v>5940</v>
      </c>
      <c r="G58" s="1223">
        <v>46212</v>
      </c>
      <c r="H58" t="s">
        <v>17405</v>
      </c>
      <c r="I58" s="1653">
        <v>3990</v>
      </c>
      <c r="K58" s="175" t="s">
        <v>17481</v>
      </c>
      <c r="L58" s="1653">
        <v>3111</v>
      </c>
    </row>
    <row r="59" spans="1:12">
      <c r="A59" s="1342">
        <v>46210</v>
      </c>
      <c r="B59" s="618" t="s">
        <v>17388</v>
      </c>
      <c r="C59" s="618">
        <v>6600</v>
      </c>
      <c r="G59" s="1223">
        <v>46212</v>
      </c>
      <c r="H59" t="s">
        <v>17406</v>
      </c>
      <c r="I59" s="1653">
        <v>1110</v>
      </c>
      <c r="K59" s="175" t="s">
        <v>17417</v>
      </c>
      <c r="L59" s="1653">
        <v>120</v>
      </c>
    </row>
    <row r="60" spans="1:12">
      <c r="A60" s="1342">
        <v>46210</v>
      </c>
      <c r="B60" s="618" t="s">
        <v>17389</v>
      </c>
      <c r="C60" s="618">
        <v>6390</v>
      </c>
      <c r="G60" s="1223">
        <v>46212</v>
      </c>
      <c r="H60" t="s">
        <v>17407</v>
      </c>
      <c r="I60" s="1653">
        <v>1740</v>
      </c>
      <c r="K60" s="175" t="s">
        <v>17524</v>
      </c>
      <c r="L60" s="1653">
        <v>7651</v>
      </c>
    </row>
    <row r="61" spans="1:12">
      <c r="A61" s="1342">
        <v>46210</v>
      </c>
      <c r="B61" s="618" t="s">
        <v>17390</v>
      </c>
      <c r="C61" s="618">
        <v>2490</v>
      </c>
      <c r="G61" s="1223">
        <v>46212</v>
      </c>
      <c r="H61" t="s">
        <v>17408</v>
      </c>
      <c r="I61" s="1653">
        <v>20184</v>
      </c>
      <c r="K61" s="175" t="s">
        <v>17526</v>
      </c>
      <c r="L61" s="1653">
        <v>240</v>
      </c>
    </row>
    <row r="62" spans="1:12">
      <c r="A62" s="1342">
        <v>46210</v>
      </c>
      <c r="B62" s="618" t="s">
        <v>17391</v>
      </c>
      <c r="C62" s="618">
        <v>3648</v>
      </c>
      <c r="G62" s="1223">
        <v>46212</v>
      </c>
      <c r="H62" t="s">
        <v>17409</v>
      </c>
      <c r="I62" s="1653">
        <v>1290</v>
      </c>
      <c r="K62" s="175" t="s">
        <v>17516</v>
      </c>
      <c r="L62" s="1653">
        <v>11</v>
      </c>
    </row>
    <row r="63" spans="1:12">
      <c r="A63" s="1342">
        <v>46210</v>
      </c>
      <c r="B63" s="618" t="s">
        <v>17392</v>
      </c>
      <c r="C63" s="618">
        <v>2862</v>
      </c>
      <c r="G63" s="1223">
        <v>46212</v>
      </c>
      <c r="H63" t="s">
        <v>17410</v>
      </c>
      <c r="I63" s="1653">
        <v>1485</v>
      </c>
      <c r="K63" s="175" t="s">
        <v>17515</v>
      </c>
      <c r="L63" s="1653">
        <v>12</v>
      </c>
    </row>
    <row r="64" spans="1:12">
      <c r="A64" s="1342">
        <v>46211</v>
      </c>
      <c r="B64" s="618" t="s">
        <v>17398</v>
      </c>
      <c r="C64" s="618">
        <v>3960</v>
      </c>
      <c r="G64" s="1223">
        <v>46212</v>
      </c>
      <c r="H64" t="s">
        <v>17411</v>
      </c>
      <c r="I64" s="1653">
        <v>2310</v>
      </c>
      <c r="K64" s="175" t="s">
        <v>17245</v>
      </c>
      <c r="L64" s="1653">
        <v>1030</v>
      </c>
    </row>
    <row r="65" spans="1:12">
      <c r="A65" s="1342">
        <v>46211</v>
      </c>
      <c r="B65" s="618" t="s">
        <v>17399</v>
      </c>
      <c r="C65" s="618">
        <v>330</v>
      </c>
      <c r="G65" s="1223">
        <v>46212</v>
      </c>
      <c r="H65" t="s">
        <v>17412</v>
      </c>
      <c r="I65" s="1653">
        <v>300</v>
      </c>
      <c r="K65" s="175" t="s">
        <v>17349</v>
      </c>
      <c r="L65" s="1653">
        <v>3744</v>
      </c>
    </row>
    <row r="66" spans="1:12">
      <c r="A66" s="1342">
        <v>46211</v>
      </c>
      <c r="B66" s="618" t="s">
        <v>17400</v>
      </c>
      <c r="C66" s="618">
        <v>2970</v>
      </c>
      <c r="G66" s="1223">
        <v>46212</v>
      </c>
      <c r="H66" t="s">
        <v>17413</v>
      </c>
      <c r="I66" s="1653">
        <v>1470</v>
      </c>
      <c r="K66" s="175" t="s">
        <v>17451</v>
      </c>
      <c r="L66" s="1653">
        <v>6400</v>
      </c>
    </row>
    <row r="67" spans="1:12">
      <c r="A67" s="1342">
        <v>46212</v>
      </c>
      <c r="B67" s="618" t="s">
        <v>17403</v>
      </c>
      <c r="C67" s="618">
        <v>14</v>
      </c>
      <c r="G67" s="1223">
        <v>46212</v>
      </c>
      <c r="H67" t="s">
        <v>17414</v>
      </c>
      <c r="I67" s="1653">
        <v>3336</v>
      </c>
      <c r="K67" s="175" t="s">
        <v>17519</v>
      </c>
      <c r="L67" s="1653">
        <v>123</v>
      </c>
    </row>
    <row r="68" spans="1:12">
      <c r="A68" s="1342">
        <v>46212</v>
      </c>
      <c r="B68" s="618" t="s">
        <v>17404</v>
      </c>
      <c r="C68" s="618">
        <v>7432</v>
      </c>
      <c r="G68" s="1223">
        <v>46212</v>
      </c>
      <c r="H68" t="s">
        <v>17415</v>
      </c>
      <c r="I68" s="1653">
        <v>3900</v>
      </c>
      <c r="K68" s="175" t="s">
        <v>17361</v>
      </c>
      <c r="L68" s="1653">
        <v>720</v>
      </c>
    </row>
    <row r="69" spans="1:12">
      <c r="A69" s="1342">
        <v>46212</v>
      </c>
      <c r="B69" s="618" t="s">
        <v>17405</v>
      </c>
      <c r="C69" s="618">
        <v>3990</v>
      </c>
      <c r="G69" s="1223">
        <v>46212</v>
      </c>
      <c r="H69" t="s">
        <v>17416</v>
      </c>
      <c r="I69" s="1653">
        <v>4020</v>
      </c>
      <c r="K69" s="175" t="s">
        <v>17239</v>
      </c>
      <c r="L69" s="1653">
        <v>1990</v>
      </c>
    </row>
    <row r="70" spans="1:12">
      <c r="A70" s="1342">
        <v>46212</v>
      </c>
      <c r="B70" s="618" t="s">
        <v>17406</v>
      </c>
      <c r="C70" s="618">
        <v>1110</v>
      </c>
      <c r="G70" s="1223">
        <v>46212</v>
      </c>
      <c r="H70" t="s">
        <v>17361</v>
      </c>
      <c r="I70" s="1653">
        <v>720</v>
      </c>
      <c r="K70" s="175" t="s">
        <v>17473</v>
      </c>
      <c r="L70" s="1653">
        <v>3390</v>
      </c>
    </row>
    <row r="71" spans="1:12">
      <c r="A71" s="1342">
        <v>46212</v>
      </c>
      <c r="B71" s="618" t="s">
        <v>17407</v>
      </c>
      <c r="C71" s="618">
        <v>1740</v>
      </c>
      <c r="G71" s="1223">
        <v>46212</v>
      </c>
      <c r="H71" t="s">
        <v>17417</v>
      </c>
      <c r="I71" s="1653">
        <v>120</v>
      </c>
      <c r="K71" s="175" t="s">
        <v>17475</v>
      </c>
      <c r="L71" s="1653">
        <v>4504</v>
      </c>
    </row>
    <row r="72" spans="1:12">
      <c r="A72" s="1342">
        <v>46212</v>
      </c>
      <c r="B72" s="618" t="s">
        <v>17408</v>
      </c>
      <c r="C72" s="618">
        <v>20184</v>
      </c>
      <c r="G72" s="1223">
        <v>46212</v>
      </c>
      <c r="H72" t="s">
        <v>17418</v>
      </c>
      <c r="I72" s="1653">
        <v>1272</v>
      </c>
      <c r="K72" s="175" t="s">
        <v>17240</v>
      </c>
      <c r="L72" s="1653">
        <v>8093</v>
      </c>
    </row>
    <row r="73" spans="1:12">
      <c r="A73" s="1342">
        <v>46212</v>
      </c>
      <c r="B73" s="618" t="s">
        <v>17409</v>
      </c>
      <c r="C73" s="618">
        <v>1290</v>
      </c>
      <c r="G73" s="1223">
        <v>46212</v>
      </c>
      <c r="H73" t="s">
        <v>17419</v>
      </c>
      <c r="I73" s="1653">
        <v>336</v>
      </c>
      <c r="K73" s="175" t="s">
        <v>17246</v>
      </c>
      <c r="L73" s="1653">
        <v>2520</v>
      </c>
    </row>
    <row r="74" spans="1:12">
      <c r="A74" s="1342">
        <v>46212</v>
      </c>
      <c r="B74" s="618" t="s">
        <v>17410</v>
      </c>
      <c r="C74" s="618">
        <v>1485</v>
      </c>
      <c r="G74" s="1223">
        <v>46212</v>
      </c>
      <c r="H74" t="s">
        <v>17420</v>
      </c>
      <c r="I74" s="1653">
        <v>140</v>
      </c>
      <c r="K74" s="175" t="s">
        <v>17471</v>
      </c>
      <c r="L74" s="1653">
        <v>694</v>
      </c>
    </row>
    <row r="75" spans="1:12">
      <c r="A75" s="1342">
        <v>46212</v>
      </c>
      <c r="B75" s="618" t="s">
        <v>17411</v>
      </c>
      <c r="C75" s="618">
        <v>2310</v>
      </c>
      <c r="G75" s="1223">
        <v>46212</v>
      </c>
      <c r="H75" t="s">
        <v>17403</v>
      </c>
      <c r="I75" s="1653">
        <v>14</v>
      </c>
      <c r="K75" s="175" t="s">
        <v>17472</v>
      </c>
      <c r="L75" s="1653">
        <v>1976</v>
      </c>
    </row>
    <row r="76" spans="1:12">
      <c r="A76" s="1342">
        <v>46212</v>
      </c>
      <c r="B76" s="618" t="s">
        <v>17412</v>
      </c>
      <c r="C76" s="618">
        <v>300</v>
      </c>
      <c r="G76" s="1223">
        <v>46212</v>
      </c>
      <c r="H76" t="s">
        <v>17421</v>
      </c>
      <c r="I76" s="1653">
        <v>360</v>
      </c>
      <c r="K76" s="175" t="s">
        <v>17478</v>
      </c>
      <c r="L76" s="1653">
        <v>595</v>
      </c>
    </row>
    <row r="77" spans="1:12">
      <c r="A77" s="1342">
        <v>46212</v>
      </c>
      <c r="B77" s="618" t="s">
        <v>17413</v>
      </c>
      <c r="C77" s="618">
        <v>1470</v>
      </c>
      <c r="G77" s="1223">
        <v>46212</v>
      </c>
      <c r="H77" t="s">
        <v>17404</v>
      </c>
      <c r="I77" s="1653">
        <v>7432</v>
      </c>
      <c r="K77" s="175" t="s">
        <v>17530</v>
      </c>
      <c r="L77" s="1653">
        <v>978</v>
      </c>
    </row>
    <row r="78" spans="1:12">
      <c r="A78" s="1342">
        <v>46212</v>
      </c>
      <c r="B78" s="618" t="s">
        <v>17414</v>
      </c>
      <c r="C78" s="618">
        <v>3336</v>
      </c>
      <c r="G78" t="s">
        <v>17422</v>
      </c>
      <c r="H78"/>
      <c r="I78" s="1653">
        <v>55529</v>
      </c>
      <c r="K78" s="175" t="s">
        <v>17531</v>
      </c>
      <c r="L78" s="1653">
        <v>645</v>
      </c>
    </row>
    <row r="79" spans="1:12">
      <c r="A79" s="1342">
        <v>46212</v>
      </c>
      <c r="B79" s="618" t="s">
        <v>17415</v>
      </c>
      <c r="C79" s="618">
        <v>3900</v>
      </c>
      <c r="G79" s="1223">
        <v>46216</v>
      </c>
      <c r="H79" t="s">
        <v>17245</v>
      </c>
      <c r="I79" s="1653">
        <v>330</v>
      </c>
      <c r="K79" s="175" t="s">
        <v>17413</v>
      </c>
      <c r="L79" s="1653">
        <v>1470</v>
      </c>
    </row>
    <row r="80" spans="1:12">
      <c r="A80" s="1342">
        <v>46212</v>
      </c>
      <c r="B80" s="618" t="s">
        <v>17416</v>
      </c>
      <c r="C80" s="618">
        <v>4020</v>
      </c>
      <c r="G80" s="1223">
        <v>46216</v>
      </c>
      <c r="H80" t="s">
        <v>17450</v>
      </c>
      <c r="I80" s="1653">
        <v>1020</v>
      </c>
      <c r="K80" s="175" t="s">
        <v>17399</v>
      </c>
      <c r="L80" s="1653">
        <v>330</v>
      </c>
    </row>
    <row r="81" spans="1:12">
      <c r="A81" s="1342">
        <v>46212</v>
      </c>
      <c r="B81" s="618" t="s">
        <v>17361</v>
      </c>
      <c r="C81" s="618">
        <v>720</v>
      </c>
      <c r="G81" s="1223">
        <v>46216</v>
      </c>
      <c r="H81" t="s">
        <v>17451</v>
      </c>
      <c r="I81" s="1653">
        <v>6400</v>
      </c>
      <c r="K81" s="175" t="s">
        <v>17398</v>
      </c>
      <c r="L81" s="1653">
        <v>6930</v>
      </c>
    </row>
    <row r="82" spans="1:12">
      <c r="A82" s="1342">
        <v>46212</v>
      </c>
      <c r="B82" s="618" t="s">
        <v>17417</v>
      </c>
      <c r="C82" s="618">
        <v>120</v>
      </c>
      <c r="G82" t="s">
        <v>17452</v>
      </c>
      <c r="H82"/>
      <c r="I82" s="1653">
        <v>7750</v>
      </c>
      <c r="K82" s="175" t="s">
        <v>17400</v>
      </c>
      <c r="L82" s="1653">
        <v>2970</v>
      </c>
    </row>
    <row r="83" spans="1:12">
      <c r="A83" s="1342">
        <v>46212</v>
      </c>
      <c r="B83" s="618" t="s">
        <v>17418</v>
      </c>
      <c r="C83" s="618">
        <v>1272</v>
      </c>
      <c r="G83" s="1223">
        <v>46217</v>
      </c>
      <c r="H83" t="s">
        <v>17455</v>
      </c>
      <c r="I83" s="1653">
        <v>7740</v>
      </c>
      <c r="K83" s="175" t="s">
        <v>17322</v>
      </c>
      <c r="L83" s="1653">
        <v>849</v>
      </c>
    </row>
    <row r="84" spans="1:12">
      <c r="A84" s="1342">
        <v>46212</v>
      </c>
      <c r="B84" s="618" t="s">
        <v>17419</v>
      </c>
      <c r="C84" s="618">
        <v>336</v>
      </c>
      <c r="G84" s="1223">
        <v>46217</v>
      </c>
      <c r="H84" t="s">
        <v>17246</v>
      </c>
      <c r="I84" s="1653">
        <v>2520</v>
      </c>
      <c r="K84" s="175" t="s">
        <v>17323</v>
      </c>
      <c r="L84" s="1653">
        <v>590.6</v>
      </c>
    </row>
    <row r="85" spans="1:12">
      <c r="A85" s="1342">
        <v>46212</v>
      </c>
      <c r="B85" s="618" t="s">
        <v>17420</v>
      </c>
      <c r="C85" s="618">
        <v>140</v>
      </c>
      <c r="G85" s="1223">
        <v>46217</v>
      </c>
      <c r="H85" t="s">
        <v>17457</v>
      </c>
      <c r="I85" s="1653">
        <v>600</v>
      </c>
      <c r="K85" s="175" t="s">
        <v>17324</v>
      </c>
      <c r="L85" s="1653">
        <v>406.7</v>
      </c>
    </row>
    <row r="86" spans="1:12">
      <c r="A86" s="1342">
        <v>46212</v>
      </c>
      <c r="B86" s="618" t="s">
        <v>17421</v>
      </c>
      <c r="C86" s="618">
        <v>360</v>
      </c>
      <c r="G86" s="1223">
        <v>46217</v>
      </c>
      <c r="H86" t="s">
        <v>17456</v>
      </c>
      <c r="I86" s="1653">
        <v>825</v>
      </c>
      <c r="K86" s="175" t="s">
        <v>17325</v>
      </c>
      <c r="L86" s="1653">
        <v>2280</v>
      </c>
    </row>
    <row r="87" spans="1:12">
      <c r="A87" s="1342">
        <v>46216</v>
      </c>
      <c r="B87" s="618" t="s">
        <v>17245</v>
      </c>
      <c r="C87" s="618">
        <v>330</v>
      </c>
      <c r="G87" t="s">
        <v>17458</v>
      </c>
      <c r="H87"/>
      <c r="I87" s="1653">
        <v>11685</v>
      </c>
      <c r="K87" s="175" t="s">
        <v>17327</v>
      </c>
      <c r="L87" s="1653">
        <v>118</v>
      </c>
    </row>
    <row r="88" spans="1:12">
      <c r="A88" s="1342">
        <v>46216</v>
      </c>
      <c r="B88" s="618" t="s">
        <v>17450</v>
      </c>
      <c r="C88" s="618">
        <v>1020</v>
      </c>
      <c r="G88" s="1223">
        <v>46218</v>
      </c>
      <c r="H88" t="s">
        <v>17457</v>
      </c>
      <c r="I88" s="1653">
        <v>60</v>
      </c>
      <c r="K88" s="175" t="s">
        <v>17328</v>
      </c>
      <c r="L88" s="1653">
        <v>72</v>
      </c>
    </row>
    <row r="89" spans="1:12">
      <c r="A89" s="1342">
        <v>46216</v>
      </c>
      <c r="B89" s="618" t="s">
        <v>17451</v>
      </c>
      <c r="C89" s="618">
        <v>6400</v>
      </c>
      <c r="G89" s="1223">
        <v>46218</v>
      </c>
      <c r="H89" t="s">
        <v>17354</v>
      </c>
      <c r="I89" s="1653">
        <v>3844</v>
      </c>
      <c r="K89" s="175" t="s">
        <v>17329</v>
      </c>
      <c r="L89" s="1653">
        <v>6</v>
      </c>
    </row>
    <row r="90" spans="1:12">
      <c r="A90" s="1342">
        <v>46217</v>
      </c>
      <c r="B90" s="618" t="s">
        <v>17455</v>
      </c>
      <c r="C90" s="618">
        <v>7740</v>
      </c>
      <c r="G90" s="1223">
        <v>46218</v>
      </c>
      <c r="H90" t="s">
        <v>17461</v>
      </c>
      <c r="I90" s="1653">
        <v>2744</v>
      </c>
      <c r="K90" s="175" t="s">
        <v>17330</v>
      </c>
      <c r="L90" s="1653">
        <v>60.3</v>
      </c>
    </row>
    <row r="91" spans="1:12">
      <c r="A91" s="1342">
        <v>46217</v>
      </c>
      <c r="B91" s="618" t="s">
        <v>17456</v>
      </c>
      <c r="C91" s="618">
        <v>825</v>
      </c>
      <c r="G91" s="1223">
        <v>46218</v>
      </c>
      <c r="H91" t="s">
        <v>17462</v>
      </c>
      <c r="I91" s="1653">
        <v>566</v>
      </c>
      <c r="K91" s="175" t="s">
        <v>17331</v>
      </c>
      <c r="L91" s="1653">
        <v>2592</v>
      </c>
    </row>
    <row r="92" spans="1:12">
      <c r="A92" s="1342">
        <v>46217</v>
      </c>
      <c r="B92" s="618" t="s">
        <v>17457</v>
      </c>
      <c r="C92" s="618">
        <v>600</v>
      </c>
      <c r="G92" s="1223">
        <v>46218</v>
      </c>
      <c r="H92" t="s">
        <v>17463</v>
      </c>
      <c r="I92" s="1653">
        <v>1261</v>
      </c>
      <c r="K92" s="175" t="s">
        <v>17332</v>
      </c>
      <c r="L92" s="1653">
        <v>2730</v>
      </c>
    </row>
    <row r="93" spans="1:12">
      <c r="A93" s="1342">
        <v>46217</v>
      </c>
      <c r="B93" s="618" t="s">
        <v>17246</v>
      </c>
      <c r="C93" s="618">
        <v>2520</v>
      </c>
      <c r="G93" s="1223">
        <v>46218</v>
      </c>
      <c r="H93" t="s">
        <v>17464</v>
      </c>
      <c r="I93" s="1653">
        <v>1598</v>
      </c>
      <c r="K93" s="175" t="s">
        <v>17334</v>
      </c>
      <c r="L93" s="1653">
        <v>662</v>
      </c>
    </row>
    <row r="94" spans="1:12">
      <c r="A94" s="1342">
        <v>46218</v>
      </c>
      <c r="B94" s="618" t="s">
        <v>17457</v>
      </c>
      <c r="C94" s="618">
        <v>60</v>
      </c>
      <c r="G94" s="1223">
        <v>46218</v>
      </c>
      <c r="H94" t="s">
        <v>17465</v>
      </c>
      <c r="I94" s="1653">
        <v>1130</v>
      </c>
      <c r="K94" s="175" t="s">
        <v>17335</v>
      </c>
      <c r="L94" s="1653">
        <v>258</v>
      </c>
    </row>
    <row r="95" spans="1:12">
      <c r="A95" s="1342">
        <v>46218</v>
      </c>
      <c r="B95" s="618" t="s">
        <v>17354</v>
      </c>
      <c r="C95" s="618">
        <v>3844</v>
      </c>
      <c r="G95" s="1223">
        <v>46218</v>
      </c>
      <c r="H95" t="s">
        <v>17466</v>
      </c>
      <c r="I95" s="1653">
        <v>1345</v>
      </c>
      <c r="K95" s="175" t="s">
        <v>17336</v>
      </c>
      <c r="L95" s="1653">
        <v>649</v>
      </c>
    </row>
    <row r="96" spans="1:12">
      <c r="A96" s="1342">
        <v>46218</v>
      </c>
      <c r="B96" s="618" t="s">
        <v>17461</v>
      </c>
      <c r="C96" s="618">
        <v>2744</v>
      </c>
      <c r="G96" s="1223">
        <v>46218</v>
      </c>
      <c r="H96" t="s">
        <v>17467</v>
      </c>
      <c r="I96" s="1653">
        <v>2338</v>
      </c>
      <c r="K96" s="175" t="s">
        <v>17337</v>
      </c>
      <c r="L96" s="1653">
        <v>116.3</v>
      </c>
    </row>
    <row r="97" spans="1:12">
      <c r="A97" s="1342">
        <v>46218</v>
      </c>
      <c r="B97" s="618" t="s">
        <v>17462</v>
      </c>
      <c r="C97" s="618">
        <v>566</v>
      </c>
      <c r="G97" s="1223">
        <v>46218</v>
      </c>
      <c r="H97" t="s">
        <v>17468</v>
      </c>
      <c r="I97" s="1653">
        <v>1015</v>
      </c>
      <c r="K97" s="175" t="s">
        <v>17338</v>
      </c>
      <c r="L97" s="1653">
        <v>480</v>
      </c>
    </row>
    <row r="98" spans="1:12">
      <c r="A98" s="1342">
        <v>46218</v>
      </c>
      <c r="B98" s="618" t="s">
        <v>17463</v>
      </c>
      <c r="C98" s="618">
        <v>1261</v>
      </c>
      <c r="G98" s="1223">
        <v>46218</v>
      </c>
      <c r="H98" t="s">
        <v>17469</v>
      </c>
      <c r="I98" s="1653">
        <v>2391</v>
      </c>
      <c r="K98" s="175" t="s">
        <v>17339</v>
      </c>
      <c r="L98" s="1653">
        <v>1320</v>
      </c>
    </row>
    <row r="99" spans="1:12">
      <c r="A99" s="1342">
        <v>46218</v>
      </c>
      <c r="B99" s="618" t="s">
        <v>17464</v>
      </c>
      <c r="C99" s="618">
        <v>1598</v>
      </c>
      <c r="G99" s="1223">
        <v>46218</v>
      </c>
      <c r="H99" t="s">
        <v>17470</v>
      </c>
      <c r="I99" s="1653">
        <v>3444</v>
      </c>
      <c r="K99" s="175" t="s">
        <v>17340</v>
      </c>
      <c r="L99" s="1653">
        <v>230</v>
      </c>
    </row>
    <row r="100" spans="1:12">
      <c r="A100" s="1342">
        <v>46218</v>
      </c>
      <c r="B100" s="618" t="s">
        <v>17465</v>
      </c>
      <c r="C100" s="618">
        <v>1130</v>
      </c>
      <c r="G100" s="1223">
        <v>46218</v>
      </c>
      <c r="H100" t="s">
        <v>17471</v>
      </c>
      <c r="I100" s="1653">
        <v>694</v>
      </c>
      <c r="K100" s="175" t="s">
        <v>17341</v>
      </c>
      <c r="L100" s="1653">
        <v>63.7</v>
      </c>
    </row>
    <row r="101" spans="1:12">
      <c r="A101" s="1342">
        <v>46218</v>
      </c>
      <c r="B101" s="618" t="s">
        <v>17466</v>
      </c>
      <c r="C101" s="618">
        <v>1345</v>
      </c>
      <c r="G101" s="1223">
        <v>46218</v>
      </c>
      <c r="H101" t="s">
        <v>17472</v>
      </c>
      <c r="I101" s="1653">
        <v>1976</v>
      </c>
      <c r="K101" s="175" t="s">
        <v>17342</v>
      </c>
      <c r="L101" s="1653">
        <v>194</v>
      </c>
    </row>
    <row r="102" spans="1:12">
      <c r="A102" s="1342">
        <v>46218</v>
      </c>
      <c r="B102" s="618" t="s">
        <v>17467</v>
      </c>
      <c r="C102" s="618">
        <v>2338</v>
      </c>
      <c r="G102" s="1223">
        <v>46218</v>
      </c>
      <c r="H102" t="s">
        <v>17473</v>
      </c>
      <c r="I102" s="1653">
        <v>3390</v>
      </c>
      <c r="K102" s="175" t="s">
        <v>17343</v>
      </c>
      <c r="L102" s="1653">
        <v>71.099999999999994</v>
      </c>
    </row>
    <row r="103" spans="1:12">
      <c r="A103" s="1342">
        <v>46218</v>
      </c>
      <c r="B103" s="618" t="s">
        <v>17468</v>
      </c>
      <c r="C103" s="618">
        <v>1015</v>
      </c>
      <c r="G103" s="1223">
        <v>46218</v>
      </c>
      <c r="H103" t="s">
        <v>17474</v>
      </c>
      <c r="I103" s="1653">
        <v>1768</v>
      </c>
      <c r="K103" s="175" t="s">
        <v>17344</v>
      </c>
      <c r="L103" s="1653">
        <v>1275.0999999999999</v>
      </c>
    </row>
    <row r="104" spans="1:12">
      <c r="A104" s="1342">
        <v>46218</v>
      </c>
      <c r="B104" s="618" t="s">
        <v>17469</v>
      </c>
      <c r="C104" s="618">
        <v>2391</v>
      </c>
      <c r="G104" s="1223">
        <v>46218</v>
      </c>
      <c r="H104" t="s">
        <v>17475</v>
      </c>
      <c r="I104" s="1653">
        <v>4504</v>
      </c>
      <c r="K104" s="175" t="s">
        <v>17345</v>
      </c>
      <c r="L104" s="1653">
        <v>154</v>
      </c>
    </row>
    <row r="105" spans="1:12">
      <c r="A105" s="1342">
        <v>46218</v>
      </c>
      <c r="B105" s="618" t="s">
        <v>17470</v>
      </c>
      <c r="C105" s="618">
        <v>3444</v>
      </c>
      <c r="G105" s="1223">
        <v>46218</v>
      </c>
      <c r="H105" t="s">
        <v>17476</v>
      </c>
      <c r="I105" s="1653">
        <v>1770</v>
      </c>
      <c r="K105" s="175" t="s">
        <v>17347</v>
      </c>
      <c r="L105" s="1653">
        <v>726</v>
      </c>
    </row>
    <row r="106" spans="1:12">
      <c r="A106" s="1342">
        <v>46218</v>
      </c>
      <c r="B106" s="618" t="s">
        <v>17471</v>
      </c>
      <c r="C106" s="618">
        <v>694</v>
      </c>
      <c r="G106" s="1223">
        <v>46218</v>
      </c>
      <c r="H106" t="s">
        <v>17477</v>
      </c>
      <c r="I106" s="1653">
        <v>2016</v>
      </c>
      <c r="K106" s="175" t="s">
        <v>17353</v>
      </c>
      <c r="L106" s="1653">
        <v>4008</v>
      </c>
    </row>
    <row r="107" spans="1:12">
      <c r="A107" s="1342">
        <v>46218</v>
      </c>
      <c r="B107" s="618" t="s">
        <v>17472</v>
      </c>
      <c r="C107" s="618">
        <v>1976</v>
      </c>
      <c r="G107" s="1223">
        <v>46218</v>
      </c>
      <c r="H107" t="s">
        <v>17478</v>
      </c>
      <c r="I107" s="1653">
        <v>595</v>
      </c>
      <c r="K107" s="175" t="s">
        <v>17412</v>
      </c>
      <c r="L107" s="1653">
        <v>300</v>
      </c>
    </row>
    <row r="108" spans="1:12">
      <c r="A108" s="1342">
        <v>46218</v>
      </c>
      <c r="B108" s="618" t="s">
        <v>17473</v>
      </c>
      <c r="C108" s="618">
        <v>3390</v>
      </c>
      <c r="G108" s="1223">
        <v>46218</v>
      </c>
      <c r="H108" t="s">
        <v>17479</v>
      </c>
      <c r="I108" s="1653">
        <v>1426</v>
      </c>
      <c r="K108" s="175" t="s">
        <v>17414</v>
      </c>
      <c r="L108" s="1653">
        <v>3336</v>
      </c>
    </row>
    <row r="109" spans="1:12">
      <c r="A109" s="1342">
        <v>46218</v>
      </c>
      <c r="B109" s="618" t="s">
        <v>17474</v>
      </c>
      <c r="C109" s="618">
        <v>1768</v>
      </c>
      <c r="G109" s="1223">
        <v>46218</v>
      </c>
      <c r="H109" t="s">
        <v>17480</v>
      </c>
      <c r="I109" s="1653">
        <v>2999</v>
      </c>
      <c r="K109" s="175" t="s">
        <v>17421</v>
      </c>
      <c r="L109" s="1653">
        <v>360</v>
      </c>
    </row>
    <row r="110" spans="1:12">
      <c r="A110" s="1342">
        <v>46218</v>
      </c>
      <c r="B110" s="618" t="s">
        <v>17475</v>
      </c>
      <c r="C110" s="618">
        <v>4504</v>
      </c>
      <c r="G110" s="1223">
        <v>46218</v>
      </c>
      <c r="H110" t="s">
        <v>17481</v>
      </c>
      <c r="I110" s="1653">
        <v>3111</v>
      </c>
      <c r="K110" s="175" t="s">
        <v>17450</v>
      </c>
      <c r="L110" s="1653">
        <v>17820</v>
      </c>
    </row>
    <row r="111" spans="1:12">
      <c r="A111" s="1342">
        <v>46218</v>
      </c>
      <c r="B111" s="618" t="s">
        <v>17476</v>
      </c>
      <c r="C111" s="618">
        <v>1770</v>
      </c>
      <c r="G111" s="1223">
        <v>46218</v>
      </c>
      <c r="H111" t="s">
        <v>17482</v>
      </c>
      <c r="I111" s="1653">
        <v>3621</v>
      </c>
      <c r="K111" s="175" t="s">
        <v>17455</v>
      </c>
      <c r="L111" s="1653">
        <v>34440</v>
      </c>
    </row>
    <row r="112" spans="1:12">
      <c r="A112" s="1342">
        <v>46218</v>
      </c>
      <c r="B112" s="618" t="s">
        <v>17477</v>
      </c>
      <c r="C112" s="618">
        <v>2016</v>
      </c>
      <c r="G112" s="1223">
        <v>46218</v>
      </c>
      <c r="H112" t="s">
        <v>17483</v>
      </c>
      <c r="I112" s="1653">
        <v>184</v>
      </c>
      <c r="K112" s="175" t="s">
        <v>17456</v>
      </c>
      <c r="L112" s="1653">
        <v>825</v>
      </c>
    </row>
    <row r="113" spans="1:12">
      <c r="A113" s="1342">
        <v>46218</v>
      </c>
      <c r="B113" s="618" t="s">
        <v>17478</v>
      </c>
      <c r="C113" s="618">
        <v>595</v>
      </c>
      <c r="G113" s="1223">
        <v>46218</v>
      </c>
      <c r="H113" t="s">
        <v>17484</v>
      </c>
      <c r="I113" s="1653">
        <v>1017</v>
      </c>
      <c r="K113" s="175" t="s">
        <v>17457</v>
      </c>
      <c r="L113" s="1653">
        <v>660</v>
      </c>
    </row>
    <row r="114" spans="1:12">
      <c r="A114" s="1342">
        <v>46218</v>
      </c>
      <c r="B114" s="618" t="s">
        <v>17479</v>
      </c>
      <c r="C114" s="618">
        <v>1426</v>
      </c>
      <c r="G114" s="1223">
        <v>46218</v>
      </c>
      <c r="H114" t="s">
        <v>17485</v>
      </c>
      <c r="I114" s="1653">
        <v>1390</v>
      </c>
      <c r="K114" s="175" t="s">
        <v>17461</v>
      </c>
      <c r="L114" s="1653">
        <v>2744</v>
      </c>
    </row>
    <row r="115" spans="1:12">
      <c r="A115" s="1342">
        <v>46218</v>
      </c>
      <c r="B115" s="618" t="s">
        <v>17480</v>
      </c>
      <c r="C115" s="618">
        <v>2999</v>
      </c>
      <c r="G115" t="s">
        <v>17486</v>
      </c>
      <c r="H115"/>
      <c r="I115" s="1653">
        <v>52197</v>
      </c>
      <c r="K115" s="175" t="s">
        <v>17462</v>
      </c>
      <c r="L115" s="1653">
        <v>566</v>
      </c>
    </row>
    <row r="116" spans="1:12">
      <c r="A116" s="1342">
        <v>46218</v>
      </c>
      <c r="B116" s="618" t="s">
        <v>17481</v>
      </c>
      <c r="C116" s="618">
        <v>3111</v>
      </c>
      <c r="G116" s="1223">
        <v>46219</v>
      </c>
      <c r="H116" t="s">
        <v>17525</v>
      </c>
      <c r="I116" s="1653">
        <v>192</v>
      </c>
      <c r="K116" s="175" t="s">
        <v>17476</v>
      </c>
      <c r="L116" s="1653">
        <v>1770</v>
      </c>
    </row>
    <row r="117" spans="1:12">
      <c r="A117" s="1342">
        <v>46218</v>
      </c>
      <c r="B117" s="618" t="s">
        <v>17482</v>
      </c>
      <c r="C117" s="618">
        <v>3621</v>
      </c>
      <c r="G117" s="1223">
        <v>46219</v>
      </c>
      <c r="H117" t="s">
        <v>17526</v>
      </c>
      <c r="I117" s="1653">
        <v>240</v>
      </c>
      <c r="K117" s="175" t="s">
        <v>17480</v>
      </c>
      <c r="L117" s="1653">
        <v>2999</v>
      </c>
    </row>
    <row r="118" spans="1:12">
      <c r="A118" s="1342">
        <v>46218</v>
      </c>
      <c r="B118" s="618" t="s">
        <v>17483</v>
      </c>
      <c r="C118" s="618">
        <v>184</v>
      </c>
      <c r="G118" s="1223">
        <v>46219</v>
      </c>
      <c r="H118" t="s">
        <v>17497</v>
      </c>
      <c r="I118" s="1653">
        <v>90</v>
      </c>
      <c r="K118" s="175" t="s">
        <v>17482</v>
      </c>
      <c r="L118" s="1653">
        <v>3621</v>
      </c>
    </row>
    <row r="119" spans="1:12">
      <c r="A119" s="1342">
        <v>46218</v>
      </c>
      <c r="B119" s="618" t="s">
        <v>17484</v>
      </c>
      <c r="C119" s="618">
        <v>1017</v>
      </c>
      <c r="G119" s="1223">
        <v>46219</v>
      </c>
      <c r="H119" t="s">
        <v>17533</v>
      </c>
      <c r="I119" s="1653">
        <v>750</v>
      </c>
      <c r="K119" s="175" t="s">
        <v>17508</v>
      </c>
      <c r="L119" s="1653">
        <v>12</v>
      </c>
    </row>
    <row r="120" spans="1:12">
      <c r="A120" s="1342">
        <v>46218</v>
      </c>
      <c r="B120" s="618" t="s">
        <v>17485</v>
      </c>
      <c r="C120" s="618">
        <v>1390</v>
      </c>
      <c r="G120" s="1223">
        <v>46219</v>
      </c>
      <c r="H120" t="s">
        <v>17455</v>
      </c>
      <c r="I120" s="1653">
        <v>7650</v>
      </c>
      <c r="K120" s="175" t="s">
        <v>17512</v>
      </c>
      <c r="L120" s="1653">
        <v>7</v>
      </c>
    </row>
    <row r="121" spans="1:12">
      <c r="A121" s="1342">
        <v>46219</v>
      </c>
      <c r="B121" s="618" t="s">
        <v>17506</v>
      </c>
      <c r="C121" s="618">
        <v>20</v>
      </c>
      <c r="G121" s="1223">
        <v>46219</v>
      </c>
      <c r="H121" t="s">
        <v>17509</v>
      </c>
      <c r="I121" s="1653">
        <v>99</v>
      </c>
      <c r="K121" s="175" t="s">
        <v>17513</v>
      </c>
      <c r="L121" s="1653">
        <v>52</v>
      </c>
    </row>
    <row r="122" spans="1:12">
      <c r="A122" s="1342">
        <v>46219</v>
      </c>
      <c r="B122" s="618" t="s">
        <v>17507</v>
      </c>
      <c r="C122" s="618">
        <v>10</v>
      </c>
      <c r="G122" s="1223">
        <v>46219</v>
      </c>
      <c r="H122" t="s">
        <v>17398</v>
      </c>
      <c r="I122" s="1653">
        <v>2970</v>
      </c>
      <c r="K122" s="175" t="s">
        <v>17514</v>
      </c>
      <c r="L122" s="1653">
        <v>40</v>
      </c>
    </row>
    <row r="123" spans="1:12">
      <c r="A123" s="1342">
        <v>46219</v>
      </c>
      <c r="B123" s="618" t="s">
        <v>17508</v>
      </c>
      <c r="C123" s="618">
        <v>12</v>
      </c>
      <c r="G123" s="1223">
        <v>46219</v>
      </c>
      <c r="H123" t="s">
        <v>17508</v>
      </c>
      <c r="I123" s="1653">
        <v>12</v>
      </c>
      <c r="K123" s="175" t="s">
        <v>17517</v>
      </c>
      <c r="L123" s="1653">
        <v>4</v>
      </c>
    </row>
    <row r="124" spans="1:12">
      <c r="A124" s="1342">
        <v>46219</v>
      </c>
      <c r="B124" s="618" t="s">
        <v>17509</v>
      </c>
      <c r="C124" s="618">
        <v>99</v>
      </c>
      <c r="G124" s="1223">
        <v>46219</v>
      </c>
      <c r="H124" t="s">
        <v>17507</v>
      </c>
      <c r="I124" s="1653">
        <v>10</v>
      </c>
      <c r="K124" s="175" t="s">
        <v>17520</v>
      </c>
      <c r="L124" s="1653">
        <v>11</v>
      </c>
    </row>
    <row r="125" spans="1:12">
      <c r="A125" s="1342">
        <v>46219</v>
      </c>
      <c r="B125" s="618" t="s">
        <v>17510</v>
      </c>
      <c r="C125" s="618">
        <v>20</v>
      </c>
      <c r="G125" s="1223">
        <v>46219</v>
      </c>
      <c r="H125" t="s">
        <v>17506</v>
      </c>
      <c r="I125" s="1653">
        <v>20</v>
      </c>
      <c r="K125" s="175" t="s">
        <v>17521</v>
      </c>
      <c r="L125" s="1653">
        <v>31</v>
      </c>
    </row>
    <row r="126" spans="1:12">
      <c r="A126" s="1342">
        <v>46219</v>
      </c>
      <c r="B126" s="618" t="s">
        <v>17511</v>
      </c>
      <c r="C126" s="618">
        <v>20</v>
      </c>
      <c r="G126" s="1223">
        <v>46219</v>
      </c>
      <c r="H126" t="s">
        <v>17517</v>
      </c>
      <c r="I126" s="1653">
        <v>4</v>
      </c>
      <c r="K126" s="175" t="s">
        <v>17522</v>
      </c>
      <c r="L126" s="1653">
        <v>22</v>
      </c>
    </row>
    <row r="127" spans="1:12">
      <c r="A127" s="1342">
        <v>46219</v>
      </c>
      <c r="B127" s="618" t="s">
        <v>17512</v>
      </c>
      <c r="C127" s="618">
        <v>7</v>
      </c>
      <c r="G127" s="1223">
        <v>46219</v>
      </c>
      <c r="H127" t="s">
        <v>17515</v>
      </c>
      <c r="I127" s="1653">
        <v>12</v>
      </c>
      <c r="K127" s="175" t="s">
        <v>17523</v>
      </c>
      <c r="L127" s="1653">
        <v>20</v>
      </c>
    </row>
    <row r="128" spans="1:12">
      <c r="A128" s="1342">
        <v>46219</v>
      </c>
      <c r="B128" s="618" t="s">
        <v>17513</v>
      </c>
      <c r="C128" s="618">
        <v>52</v>
      </c>
      <c r="G128" s="1223">
        <v>46219</v>
      </c>
      <c r="H128" t="s">
        <v>17516</v>
      </c>
      <c r="I128" s="1653">
        <v>11</v>
      </c>
      <c r="K128" s="175" t="s">
        <v>17527</v>
      </c>
      <c r="L128" s="1653">
        <v>1755</v>
      </c>
    </row>
    <row r="129" spans="1:12">
      <c r="A129" s="1342">
        <v>46219</v>
      </c>
      <c r="B129" s="618" t="s">
        <v>17514</v>
      </c>
      <c r="C129" s="618">
        <v>40</v>
      </c>
      <c r="G129" s="1223">
        <v>46219</v>
      </c>
      <c r="H129" t="s">
        <v>17514</v>
      </c>
      <c r="I129" s="1653">
        <v>40</v>
      </c>
      <c r="K129" s="175" t="s">
        <v>17529</v>
      </c>
      <c r="L129" s="1653">
        <v>1202</v>
      </c>
    </row>
    <row r="130" spans="1:12">
      <c r="A130" s="1342">
        <v>46219</v>
      </c>
      <c r="B130" s="618" t="s">
        <v>17515</v>
      </c>
      <c r="C130" s="618">
        <v>12</v>
      </c>
      <c r="G130" s="1223">
        <v>46219</v>
      </c>
      <c r="H130" t="s">
        <v>17513</v>
      </c>
      <c r="I130" s="1653">
        <v>52</v>
      </c>
      <c r="K130" s="175" t="s">
        <v>17532</v>
      </c>
      <c r="L130" s="1653">
        <v>1210</v>
      </c>
    </row>
    <row r="131" spans="1:12">
      <c r="A131" s="1342">
        <v>46219</v>
      </c>
      <c r="B131" s="618" t="s">
        <v>17516</v>
      </c>
      <c r="C131" s="618">
        <v>11</v>
      </c>
      <c r="G131" s="1223">
        <v>46219</v>
      </c>
      <c r="H131" t="s">
        <v>17512</v>
      </c>
      <c r="I131" s="1653">
        <v>7</v>
      </c>
      <c r="K131" s="175" t="s">
        <v>17533</v>
      </c>
      <c r="L131" s="1653">
        <v>750</v>
      </c>
    </row>
    <row r="132" spans="1:12">
      <c r="A132" s="1342">
        <v>46219</v>
      </c>
      <c r="B132" s="618" t="s">
        <v>17517</v>
      </c>
      <c r="C132" s="618">
        <v>4</v>
      </c>
      <c r="G132" s="1223">
        <v>46219</v>
      </c>
      <c r="H132" t="s">
        <v>17523</v>
      </c>
      <c r="I132" s="1653">
        <v>20</v>
      </c>
      <c r="K132" s="175" t="s">
        <v>17534</v>
      </c>
      <c r="L132" s="1653">
        <v>590</v>
      </c>
    </row>
    <row r="133" spans="1:12">
      <c r="A133" s="1342">
        <v>46219</v>
      </c>
      <c r="B133" s="618" t="s">
        <v>17497</v>
      </c>
      <c r="C133" s="618">
        <v>90</v>
      </c>
      <c r="G133" s="1223">
        <v>46219</v>
      </c>
      <c r="H133" t="s">
        <v>17511</v>
      </c>
      <c r="I133" s="1653">
        <v>160</v>
      </c>
      <c r="K133" s="175" t="s">
        <v>17580</v>
      </c>
      <c r="L133" s="1653">
        <v>594</v>
      </c>
    </row>
    <row r="134" spans="1:12">
      <c r="A134" s="1342">
        <v>46219</v>
      </c>
      <c r="B134" s="618" t="s">
        <v>17518</v>
      </c>
      <c r="C134" s="618">
        <v>12</v>
      </c>
      <c r="G134" s="1223">
        <v>46219</v>
      </c>
      <c r="H134" t="s">
        <v>17510</v>
      </c>
      <c r="I134" s="1653">
        <v>20</v>
      </c>
      <c r="K134" s="175" t="s">
        <v>17581</v>
      </c>
      <c r="L134" s="1653">
        <v>2475</v>
      </c>
    </row>
    <row r="135" spans="1:12">
      <c r="A135" s="1342">
        <v>46219</v>
      </c>
      <c r="B135" s="618" t="s">
        <v>17519</v>
      </c>
      <c r="C135" s="618">
        <v>123</v>
      </c>
      <c r="G135" s="1223">
        <v>46219</v>
      </c>
      <c r="H135" t="s">
        <v>17518</v>
      </c>
      <c r="I135" s="1653">
        <v>112</v>
      </c>
      <c r="K135" s="175" t="s">
        <v>17582</v>
      </c>
      <c r="L135" s="1653">
        <v>397</v>
      </c>
    </row>
    <row r="136" spans="1:12">
      <c r="A136" s="1342">
        <v>46219</v>
      </c>
      <c r="B136" s="618" t="s">
        <v>17520</v>
      </c>
      <c r="C136" s="618">
        <v>11</v>
      </c>
      <c r="G136" s="1223">
        <v>46219</v>
      </c>
      <c r="H136" t="s">
        <v>17527</v>
      </c>
      <c r="I136" s="1653">
        <v>1755</v>
      </c>
      <c r="K136" s="175" t="s">
        <v>70</v>
      </c>
      <c r="L136" s="1653">
        <v>301230.80000000005</v>
      </c>
    </row>
    <row r="137" spans="1:12">
      <c r="A137" s="1342">
        <v>46219</v>
      </c>
      <c r="B137" s="618" t="s">
        <v>17521</v>
      </c>
      <c r="C137" s="618">
        <v>31</v>
      </c>
      <c r="G137" s="1223">
        <v>46219</v>
      </c>
      <c r="H137" t="s">
        <v>17528</v>
      </c>
      <c r="I137" s="1653">
        <v>1343</v>
      </c>
      <c r="K137"/>
      <c r="L137"/>
    </row>
    <row r="138" spans="1:12">
      <c r="A138" s="1342">
        <v>46219</v>
      </c>
      <c r="B138" s="618" t="s">
        <v>17522</v>
      </c>
      <c r="C138" s="618">
        <v>22</v>
      </c>
      <c r="G138" s="1223">
        <v>46219</v>
      </c>
      <c r="H138" t="s">
        <v>17529</v>
      </c>
      <c r="I138" s="1653">
        <v>1202</v>
      </c>
      <c r="K138"/>
      <c r="L138"/>
    </row>
    <row r="139" spans="1:12">
      <c r="A139" s="1342">
        <v>46219</v>
      </c>
      <c r="B139" s="618" t="s">
        <v>17523</v>
      </c>
      <c r="C139" s="618">
        <v>20</v>
      </c>
      <c r="G139" s="1223">
        <v>46219</v>
      </c>
      <c r="H139" t="s">
        <v>17530</v>
      </c>
      <c r="I139" s="1653">
        <v>978</v>
      </c>
      <c r="K139"/>
      <c r="L139"/>
    </row>
    <row r="140" spans="1:12">
      <c r="A140" s="1342">
        <v>46219</v>
      </c>
      <c r="B140" s="618" t="s">
        <v>17524</v>
      </c>
      <c r="C140" s="618">
        <v>7651</v>
      </c>
      <c r="G140" s="1223">
        <v>46219</v>
      </c>
      <c r="H140" t="s">
        <v>17531</v>
      </c>
      <c r="I140" s="1653">
        <v>645</v>
      </c>
      <c r="K140"/>
      <c r="L140"/>
    </row>
    <row r="141" spans="1:12">
      <c r="A141" s="1342">
        <v>46219</v>
      </c>
      <c r="B141" s="618" t="s">
        <v>17525</v>
      </c>
      <c r="C141" s="618">
        <v>192</v>
      </c>
      <c r="G141" s="1223">
        <v>46219</v>
      </c>
      <c r="H141" t="s">
        <v>17524</v>
      </c>
      <c r="I141" s="1653">
        <v>7651</v>
      </c>
      <c r="K141"/>
      <c r="L141"/>
    </row>
    <row r="142" spans="1:12">
      <c r="A142" s="1342">
        <v>46219</v>
      </c>
      <c r="B142" s="618" t="s">
        <v>17526</v>
      </c>
      <c r="C142" s="618">
        <v>240</v>
      </c>
      <c r="G142" s="1223">
        <v>46219</v>
      </c>
      <c r="H142" t="s">
        <v>17532</v>
      </c>
      <c r="I142" s="1653">
        <v>1210</v>
      </c>
      <c r="K142"/>
      <c r="L142"/>
    </row>
    <row r="143" spans="1:12">
      <c r="A143" s="1342">
        <v>46219</v>
      </c>
      <c r="B143" s="618" t="s">
        <v>17455</v>
      </c>
      <c r="C143" s="618">
        <v>7650</v>
      </c>
      <c r="G143" s="1223">
        <v>46219</v>
      </c>
      <c r="H143" t="s">
        <v>17522</v>
      </c>
      <c r="I143" s="1653">
        <v>22</v>
      </c>
      <c r="K143"/>
      <c r="L143"/>
    </row>
    <row r="144" spans="1:12">
      <c r="A144" s="1342">
        <v>46219</v>
      </c>
      <c r="B144" s="618" t="s">
        <v>17398</v>
      </c>
      <c r="C144" s="618">
        <v>2970</v>
      </c>
      <c r="G144" s="1223">
        <v>46219</v>
      </c>
      <c r="H144" t="s">
        <v>17521</v>
      </c>
      <c r="I144" s="1653">
        <v>31</v>
      </c>
      <c r="K144"/>
      <c r="L144"/>
    </row>
    <row r="145" spans="1:12">
      <c r="A145" s="1342">
        <v>46219</v>
      </c>
      <c r="B145" s="618" t="s">
        <v>17511</v>
      </c>
      <c r="C145" s="618">
        <v>140</v>
      </c>
      <c r="G145" s="1223">
        <v>46219</v>
      </c>
      <c r="H145" t="s">
        <v>17520</v>
      </c>
      <c r="I145" s="1653">
        <v>11</v>
      </c>
      <c r="K145"/>
      <c r="L145"/>
    </row>
    <row r="146" spans="1:12">
      <c r="A146" s="1342">
        <v>46219</v>
      </c>
      <c r="B146" s="618" t="s">
        <v>17518</v>
      </c>
      <c r="C146" s="618">
        <v>100</v>
      </c>
      <c r="G146" s="1223">
        <v>46219</v>
      </c>
      <c r="H146" t="s">
        <v>17519</v>
      </c>
      <c r="I146" s="1653">
        <v>123</v>
      </c>
      <c r="K146"/>
      <c r="L146"/>
    </row>
    <row r="147" spans="1:12">
      <c r="A147" s="1342">
        <v>46219</v>
      </c>
      <c r="B147" s="618" t="s">
        <v>17527</v>
      </c>
      <c r="C147" s="618">
        <v>1755</v>
      </c>
      <c r="G147" t="s">
        <v>17535</v>
      </c>
      <c r="H147"/>
      <c r="I147" s="1653">
        <v>27442</v>
      </c>
      <c r="K147"/>
      <c r="L147"/>
    </row>
    <row r="148" spans="1:12">
      <c r="A148" s="1342">
        <v>46219</v>
      </c>
      <c r="B148" s="618" t="s">
        <v>17528</v>
      </c>
      <c r="C148" s="618">
        <v>1343</v>
      </c>
      <c r="G148" s="1223">
        <v>46220</v>
      </c>
      <c r="H148" t="s">
        <v>17450</v>
      </c>
      <c r="I148" s="1653">
        <v>16800</v>
      </c>
      <c r="K148"/>
      <c r="L148"/>
    </row>
    <row r="149" spans="1:12">
      <c r="A149" s="1342">
        <v>46219</v>
      </c>
      <c r="B149" s="618" t="s">
        <v>17529</v>
      </c>
      <c r="C149" s="618">
        <v>1202</v>
      </c>
      <c r="G149" s="1223">
        <v>46220</v>
      </c>
      <c r="H149" t="s">
        <v>17455</v>
      </c>
      <c r="I149" s="1653">
        <v>15300</v>
      </c>
      <c r="K149"/>
      <c r="L149"/>
    </row>
    <row r="150" spans="1:12">
      <c r="A150" s="1342">
        <v>46219</v>
      </c>
      <c r="B150" s="618" t="s">
        <v>17530</v>
      </c>
      <c r="C150" s="618">
        <v>978</v>
      </c>
      <c r="G150" s="1223">
        <v>46220</v>
      </c>
      <c r="H150" t="s">
        <v>17534</v>
      </c>
      <c r="I150" s="1653">
        <v>590</v>
      </c>
      <c r="K150"/>
      <c r="L150"/>
    </row>
    <row r="151" spans="1:12">
      <c r="A151" s="1342">
        <v>46219</v>
      </c>
      <c r="B151" s="618" t="s">
        <v>17531</v>
      </c>
      <c r="C151" s="618">
        <v>645</v>
      </c>
      <c r="G151" t="s">
        <v>17536</v>
      </c>
      <c r="H151"/>
      <c r="I151" s="1653">
        <v>32690</v>
      </c>
      <c r="K151"/>
      <c r="L151"/>
    </row>
    <row r="152" spans="1:12">
      <c r="A152" s="1342">
        <v>46219</v>
      </c>
      <c r="B152" s="618" t="s">
        <v>17532</v>
      </c>
      <c r="C152" s="618">
        <v>1210</v>
      </c>
      <c r="G152" s="1223">
        <v>46223</v>
      </c>
      <c r="H152" t="s">
        <v>17455</v>
      </c>
      <c r="I152" s="1653">
        <v>3750</v>
      </c>
      <c r="K152"/>
      <c r="L152"/>
    </row>
    <row r="153" spans="1:12">
      <c r="A153" s="1342">
        <v>46219</v>
      </c>
      <c r="B153" s="618" t="s">
        <v>17533</v>
      </c>
      <c r="C153" s="618">
        <v>750</v>
      </c>
      <c r="G153" s="1223">
        <v>46223</v>
      </c>
      <c r="H153" t="s">
        <v>17581</v>
      </c>
      <c r="I153" s="1653">
        <v>2475</v>
      </c>
      <c r="K153"/>
      <c r="L153"/>
    </row>
    <row r="154" spans="1:12">
      <c r="A154" s="1342">
        <v>46220</v>
      </c>
      <c r="B154" s="618" t="s">
        <v>17450</v>
      </c>
      <c r="C154" s="618">
        <v>16800</v>
      </c>
      <c r="G154" s="1223">
        <v>46223</v>
      </c>
      <c r="H154" t="s">
        <v>17580</v>
      </c>
      <c r="I154" s="1653">
        <v>594</v>
      </c>
      <c r="K154"/>
      <c r="L154"/>
    </row>
    <row r="155" spans="1:12">
      <c r="A155" s="1342">
        <v>46220</v>
      </c>
      <c r="B155" s="618" t="s">
        <v>17455</v>
      </c>
      <c r="C155" s="618">
        <v>15300</v>
      </c>
      <c r="G155" s="1223">
        <v>46223</v>
      </c>
      <c r="H155" t="s">
        <v>17582</v>
      </c>
      <c r="I155" s="1653">
        <v>397</v>
      </c>
      <c r="K155"/>
      <c r="L155"/>
    </row>
    <row r="156" spans="1:12">
      <c r="A156" s="1342">
        <v>46220</v>
      </c>
      <c r="B156" s="618" t="s">
        <v>17534</v>
      </c>
      <c r="C156" s="618">
        <v>590</v>
      </c>
      <c r="G156" t="s">
        <v>17583</v>
      </c>
      <c r="H156"/>
      <c r="I156" s="1653">
        <v>7216</v>
      </c>
      <c r="K156"/>
      <c r="L156"/>
    </row>
    <row r="157" spans="1:12">
      <c r="A157" s="1342">
        <v>46223</v>
      </c>
      <c r="B157" s="618" t="s">
        <v>17580</v>
      </c>
      <c r="C157" s="618">
        <v>594</v>
      </c>
      <c r="G157" t="s">
        <v>211</v>
      </c>
      <c r="H157" t="s">
        <v>211</v>
      </c>
      <c r="I157" s="1653"/>
      <c r="K157"/>
      <c r="L157"/>
    </row>
    <row r="158" spans="1:12">
      <c r="A158" s="1342">
        <v>46223</v>
      </c>
      <c r="B158" s="618" t="s">
        <v>17455</v>
      </c>
      <c r="C158" s="618">
        <v>3750</v>
      </c>
      <c r="G158" t="s">
        <v>16052</v>
      </c>
      <c r="H158"/>
      <c r="I158" s="1653"/>
      <c r="K158"/>
      <c r="L158"/>
    </row>
    <row r="159" spans="1:12">
      <c r="A159" s="1342">
        <v>46223</v>
      </c>
      <c r="B159" s="618" t="s">
        <v>17581</v>
      </c>
      <c r="C159" s="618">
        <v>2475</v>
      </c>
      <c r="G159" t="s">
        <v>70</v>
      </c>
      <c r="H159"/>
      <c r="I159" s="1653">
        <v>301230.8</v>
      </c>
      <c r="K159"/>
      <c r="L159"/>
    </row>
    <row r="160" spans="1:12">
      <c r="A160" s="1342">
        <v>46223</v>
      </c>
      <c r="B160" s="618" t="s">
        <v>17582</v>
      </c>
      <c r="C160" s="618">
        <v>397</v>
      </c>
      <c r="G160"/>
      <c r="H160"/>
      <c r="I160"/>
      <c r="K160"/>
      <c r="L160"/>
    </row>
    <row r="161" spans="1:12">
      <c r="A161" s="1342"/>
      <c r="B161" s="618"/>
      <c r="C161" s="618"/>
      <c r="G161"/>
      <c r="H161"/>
      <c r="I161"/>
      <c r="K161"/>
      <c r="L161"/>
    </row>
    <row r="162" spans="1:12">
      <c r="A162" s="1342"/>
      <c r="B162" s="618"/>
      <c r="C162" s="618"/>
      <c r="G162"/>
      <c r="H162"/>
      <c r="I162"/>
      <c r="K162"/>
      <c r="L162"/>
    </row>
    <row r="163" spans="1:12">
      <c r="A163" s="1342"/>
      <c r="B163" s="618"/>
      <c r="C163" s="618"/>
      <c r="G163"/>
      <c r="H163"/>
      <c r="I163"/>
      <c r="K163"/>
      <c r="L163"/>
    </row>
    <row r="164" spans="1:12">
      <c r="A164" s="1342"/>
      <c r="B164" s="618"/>
      <c r="C164" s="618"/>
      <c r="G164"/>
      <c r="H164"/>
      <c r="I164"/>
      <c r="K164"/>
      <c r="L164"/>
    </row>
    <row r="165" spans="1:12">
      <c r="A165" s="1342"/>
      <c r="B165" s="618"/>
      <c r="C165" s="618"/>
      <c r="G165"/>
      <c r="H165"/>
      <c r="I165"/>
      <c r="K165"/>
      <c r="L165"/>
    </row>
    <row r="166" spans="1:12">
      <c r="A166" s="1342"/>
      <c r="B166" s="618"/>
      <c r="C166" s="618"/>
      <c r="G166"/>
      <c r="H166"/>
      <c r="I166"/>
      <c r="K166"/>
      <c r="L166"/>
    </row>
    <row r="167" spans="1:12">
      <c r="A167" s="1342"/>
      <c r="B167" s="618"/>
      <c r="C167" s="618"/>
      <c r="G167"/>
      <c r="H167"/>
      <c r="I167"/>
      <c r="K167"/>
      <c r="L167"/>
    </row>
    <row r="168" spans="1:12">
      <c r="A168" s="1342"/>
      <c r="B168" s="618"/>
      <c r="C168" s="618"/>
      <c r="G168"/>
      <c r="H168"/>
      <c r="I168"/>
      <c r="K168"/>
      <c r="L168"/>
    </row>
    <row r="169" spans="1:12">
      <c r="A169" s="1342"/>
      <c r="B169" s="618"/>
      <c r="C169" s="618"/>
      <c r="G169"/>
      <c r="H169"/>
      <c r="I169"/>
      <c r="K169"/>
      <c r="L169"/>
    </row>
    <row r="170" spans="1:12">
      <c r="A170" s="1342"/>
      <c r="B170" s="618"/>
      <c r="C170" s="618"/>
      <c r="G170"/>
      <c r="H170"/>
      <c r="I170"/>
      <c r="K170"/>
      <c r="L170"/>
    </row>
    <row r="171" spans="1:12">
      <c r="A171" s="1342"/>
      <c r="B171" s="618"/>
      <c r="C171" s="618"/>
      <c r="G171"/>
      <c r="H171"/>
      <c r="I171"/>
      <c r="K171"/>
      <c r="L171"/>
    </row>
    <row r="172" spans="1:12">
      <c r="A172" s="1342"/>
      <c r="B172" s="618"/>
      <c r="C172" s="618"/>
      <c r="G172"/>
      <c r="H172"/>
      <c r="I172"/>
      <c r="K172"/>
      <c r="L172"/>
    </row>
    <row r="173" spans="1:12">
      <c r="A173" s="1342"/>
      <c r="B173" s="618"/>
      <c r="C173" s="618"/>
      <c r="G173"/>
      <c r="H173"/>
      <c r="I173"/>
      <c r="K173"/>
      <c r="L173"/>
    </row>
    <row r="174" spans="1:12">
      <c r="A174" s="1342"/>
      <c r="B174" s="618"/>
      <c r="C174" s="618"/>
      <c r="G174"/>
      <c r="H174"/>
      <c r="I174"/>
      <c r="K174"/>
      <c r="L174"/>
    </row>
    <row r="175" spans="1:12">
      <c r="A175" s="1342"/>
      <c r="B175" s="618"/>
      <c r="C175" s="618"/>
      <c r="G175"/>
      <c r="H175"/>
      <c r="I175"/>
      <c r="K175"/>
      <c r="L175"/>
    </row>
    <row r="176" spans="1:12">
      <c r="A176" s="1342"/>
      <c r="B176" s="618"/>
      <c r="C176" s="618"/>
      <c r="G176"/>
      <c r="H176"/>
      <c r="I176"/>
      <c r="K176"/>
      <c r="L176"/>
    </row>
    <row r="177" spans="1:12">
      <c r="A177" s="1342"/>
      <c r="B177" s="618"/>
      <c r="C177" s="618"/>
      <c r="G177"/>
      <c r="H177"/>
      <c r="I177"/>
      <c r="K177"/>
      <c r="L177"/>
    </row>
    <row r="178" spans="1:12">
      <c r="A178" s="1342"/>
      <c r="B178" s="618"/>
      <c r="C178" s="618"/>
      <c r="G178"/>
      <c r="H178"/>
      <c r="I178"/>
      <c r="K178"/>
      <c r="L178"/>
    </row>
    <row r="179" spans="1:12">
      <c r="A179" s="1342"/>
      <c r="B179" s="618"/>
      <c r="C179" s="618"/>
      <c r="G179"/>
      <c r="H179"/>
      <c r="I179"/>
      <c r="K179"/>
      <c r="L179"/>
    </row>
    <row r="180" spans="1:12">
      <c r="A180" s="1342"/>
      <c r="B180" s="618"/>
      <c r="C180" s="618"/>
      <c r="G180"/>
      <c r="H180"/>
      <c r="I180"/>
      <c r="K180"/>
      <c r="L180"/>
    </row>
    <row r="181" spans="1:12">
      <c r="A181" s="1342"/>
      <c r="B181" s="618"/>
      <c r="C181" s="618"/>
      <c r="G181"/>
      <c r="H181"/>
      <c r="I181"/>
      <c r="K181"/>
      <c r="L181"/>
    </row>
    <row r="182" spans="1:12">
      <c r="A182" s="1342"/>
      <c r="B182" s="618"/>
      <c r="C182" s="618"/>
      <c r="G182"/>
      <c r="H182"/>
      <c r="I182"/>
      <c r="K182"/>
      <c r="L182"/>
    </row>
    <row r="183" spans="1:12">
      <c r="A183" s="1342"/>
      <c r="B183" s="618"/>
      <c r="C183" s="618"/>
      <c r="G183"/>
      <c r="H183"/>
      <c r="I183"/>
      <c r="K183"/>
      <c r="L183"/>
    </row>
    <row r="184" spans="1:12">
      <c r="A184" s="1342"/>
      <c r="B184" s="618"/>
      <c r="C184" s="618"/>
      <c r="G184"/>
      <c r="H184"/>
      <c r="I184"/>
      <c r="K184"/>
      <c r="L184"/>
    </row>
    <row r="185" spans="1:12">
      <c r="A185" s="1342"/>
      <c r="B185" s="618"/>
      <c r="C185" s="618"/>
      <c r="G185"/>
      <c r="H185"/>
      <c r="I185"/>
      <c r="K185"/>
      <c r="L185"/>
    </row>
    <row r="186" spans="1:12">
      <c r="A186" s="1342"/>
      <c r="B186" s="618"/>
      <c r="C186" s="618"/>
      <c r="G186"/>
      <c r="H186"/>
      <c r="I186"/>
      <c r="K186"/>
      <c r="L186"/>
    </row>
    <row r="187" spans="1:12">
      <c r="A187" s="1342"/>
      <c r="B187" s="618"/>
      <c r="C187" s="618"/>
      <c r="G187"/>
      <c r="H187"/>
      <c r="I187"/>
      <c r="K187"/>
      <c r="L187"/>
    </row>
    <row r="188" spans="1:12">
      <c r="A188" s="1342"/>
      <c r="B188" s="618"/>
      <c r="C188" s="618"/>
      <c r="G188"/>
      <c r="H188"/>
      <c r="I188"/>
      <c r="K188"/>
      <c r="L188"/>
    </row>
    <row r="189" spans="1:12">
      <c r="A189" s="1342"/>
      <c r="B189" s="618"/>
      <c r="C189" s="618"/>
      <c r="G189"/>
      <c r="H189"/>
      <c r="I189"/>
      <c r="K189"/>
      <c r="L189"/>
    </row>
    <row r="190" spans="1:12">
      <c r="A190" s="1342"/>
      <c r="B190" s="618"/>
      <c r="C190" s="618"/>
      <c r="G190"/>
      <c r="H190"/>
      <c r="I190"/>
      <c r="K190"/>
      <c r="L190"/>
    </row>
    <row r="191" spans="1:12">
      <c r="A191" s="1342"/>
      <c r="B191" s="618"/>
      <c r="C191" s="618"/>
      <c r="G191"/>
      <c r="H191"/>
      <c r="I191"/>
      <c r="K191"/>
      <c r="L191"/>
    </row>
    <row r="192" spans="1:12">
      <c r="A192" s="1342"/>
      <c r="B192" s="618"/>
      <c r="C192" s="618"/>
      <c r="G192"/>
      <c r="H192"/>
      <c r="I192"/>
      <c r="K192"/>
      <c r="L192"/>
    </row>
    <row r="193" spans="1:12">
      <c r="A193" s="1342"/>
      <c r="B193" s="618"/>
      <c r="C193" s="618"/>
      <c r="G193"/>
      <c r="H193"/>
      <c r="I193"/>
      <c r="K193"/>
      <c r="L193"/>
    </row>
    <row r="194" spans="1:12">
      <c r="A194" s="1342"/>
      <c r="B194" s="618"/>
      <c r="C194" s="618"/>
      <c r="G194"/>
      <c r="H194"/>
      <c r="I194"/>
      <c r="K194"/>
      <c r="L194"/>
    </row>
    <row r="195" spans="1:12">
      <c r="A195" s="1342"/>
      <c r="B195" s="618"/>
      <c r="C195" s="618"/>
      <c r="G195"/>
      <c r="H195"/>
      <c r="I195"/>
      <c r="K195"/>
      <c r="L195"/>
    </row>
    <row r="196" spans="1:12">
      <c r="A196" s="1342"/>
      <c r="B196" s="618"/>
      <c r="C196" s="618"/>
      <c r="G196"/>
      <c r="H196"/>
      <c r="I196"/>
      <c r="K196"/>
      <c r="L196"/>
    </row>
    <row r="197" spans="1:12">
      <c r="A197" s="1342"/>
      <c r="B197" s="618"/>
      <c r="C197" s="618"/>
      <c r="G197"/>
      <c r="H197"/>
      <c r="I197"/>
      <c r="K197"/>
      <c r="L197"/>
    </row>
    <row r="198" spans="1:12">
      <c r="A198" s="1342"/>
      <c r="B198" s="618"/>
      <c r="C198" s="618"/>
      <c r="G198"/>
      <c r="H198"/>
      <c r="I198"/>
      <c r="K198"/>
      <c r="L198"/>
    </row>
    <row r="199" spans="1:12">
      <c r="A199" s="1342"/>
      <c r="B199" s="618"/>
      <c r="C199" s="618"/>
      <c r="G199"/>
      <c r="H199"/>
      <c r="I199"/>
      <c r="K199"/>
      <c r="L199"/>
    </row>
    <row r="200" spans="1:12">
      <c r="A200" s="1342"/>
      <c r="B200" s="618"/>
      <c r="C200" s="618"/>
      <c r="G200"/>
      <c r="H200"/>
      <c r="I200"/>
      <c r="K200"/>
      <c r="L200"/>
    </row>
    <row r="201" spans="1:12">
      <c r="A201" s="1342"/>
      <c r="B201" s="618"/>
      <c r="C201" s="618"/>
      <c r="G201"/>
      <c r="H201"/>
      <c r="I201"/>
      <c r="K201"/>
      <c r="L201"/>
    </row>
    <row r="202" spans="1:12">
      <c r="A202" s="1342"/>
      <c r="B202" s="618"/>
      <c r="C202" s="618"/>
      <c r="G202"/>
      <c r="H202"/>
      <c r="I202"/>
      <c r="K202"/>
      <c r="L202"/>
    </row>
    <row r="203" spans="1:12">
      <c r="A203" s="1342"/>
      <c r="B203" s="618"/>
      <c r="C203" s="618"/>
      <c r="G203"/>
      <c r="H203"/>
      <c r="I203"/>
      <c r="K203"/>
      <c r="L203"/>
    </row>
    <row r="204" spans="1:12">
      <c r="A204" s="1342"/>
      <c r="B204" s="618"/>
      <c r="C204" s="618"/>
      <c r="G204"/>
      <c r="H204"/>
      <c r="I204"/>
      <c r="K204"/>
      <c r="L204"/>
    </row>
    <row r="205" spans="1:12">
      <c r="A205" s="1342"/>
      <c r="B205" s="618"/>
      <c r="C205" s="618"/>
      <c r="G205"/>
      <c r="H205"/>
      <c r="I205"/>
      <c r="K205"/>
      <c r="L205"/>
    </row>
    <row r="206" spans="1:12">
      <c r="A206" s="1342"/>
      <c r="B206" s="618"/>
      <c r="C206" s="618"/>
      <c r="G206"/>
      <c r="H206"/>
      <c r="I206"/>
      <c r="K206"/>
      <c r="L206"/>
    </row>
    <row r="207" spans="1:12">
      <c r="A207" s="1342"/>
      <c r="B207" s="618"/>
      <c r="C207" s="618"/>
      <c r="G207"/>
      <c r="H207"/>
      <c r="I207"/>
      <c r="K207"/>
      <c r="L207"/>
    </row>
    <row r="208" spans="1:12">
      <c r="A208" s="1342"/>
      <c r="B208" s="618"/>
      <c r="C208" s="618"/>
      <c r="G208"/>
      <c r="H208"/>
      <c r="I208"/>
      <c r="K208"/>
      <c r="L208"/>
    </row>
    <row r="209" spans="1:12">
      <c r="A209" s="1342"/>
      <c r="B209" s="618"/>
      <c r="C209" s="618"/>
      <c r="G209"/>
      <c r="H209"/>
      <c r="I209"/>
      <c r="K209"/>
      <c r="L209"/>
    </row>
    <row r="210" spans="1:12">
      <c r="A210" s="1342"/>
      <c r="B210" s="618"/>
      <c r="C210" s="618"/>
      <c r="G210"/>
      <c r="H210"/>
      <c r="I210"/>
      <c r="K210"/>
      <c r="L210"/>
    </row>
    <row r="211" spans="1:12">
      <c r="A211" s="1342"/>
      <c r="B211" s="618"/>
      <c r="C211" s="618"/>
      <c r="G211"/>
      <c r="H211"/>
      <c r="I211"/>
      <c r="K211"/>
      <c r="L211"/>
    </row>
    <row r="212" spans="1:12">
      <c r="A212" s="1342"/>
      <c r="B212" s="618"/>
      <c r="C212" s="618"/>
      <c r="G212"/>
      <c r="H212"/>
      <c r="I212"/>
      <c r="K212"/>
      <c r="L212"/>
    </row>
    <row r="213" spans="1:12">
      <c r="A213" s="1342"/>
      <c r="B213" s="618"/>
      <c r="C213" s="618"/>
      <c r="G213"/>
      <c r="H213"/>
      <c r="I213"/>
      <c r="K213"/>
      <c r="L213"/>
    </row>
    <row r="214" spans="1:12">
      <c r="A214" s="1342"/>
      <c r="B214" s="618"/>
      <c r="C214" s="618"/>
      <c r="G214"/>
      <c r="H214"/>
      <c r="I214"/>
      <c r="K214"/>
      <c r="L214"/>
    </row>
    <row r="215" spans="1:12">
      <c r="A215" s="1342"/>
      <c r="B215" s="618"/>
      <c r="C215" s="618"/>
      <c r="G215"/>
      <c r="H215"/>
      <c r="I215"/>
      <c r="K215"/>
      <c r="L215"/>
    </row>
    <row r="216" spans="1:12">
      <c r="A216" s="1342"/>
      <c r="B216" s="618"/>
      <c r="C216" s="618"/>
      <c r="G216"/>
      <c r="H216"/>
      <c r="I216"/>
      <c r="K216"/>
      <c r="L216"/>
    </row>
    <row r="217" spans="1:12">
      <c r="A217" s="1342"/>
      <c r="B217" s="618"/>
      <c r="C217" s="618"/>
      <c r="G217"/>
      <c r="H217"/>
      <c r="I217"/>
      <c r="K217"/>
      <c r="L217"/>
    </row>
    <row r="218" spans="1:12">
      <c r="A218" s="1342"/>
      <c r="B218" s="618"/>
      <c r="C218" s="618"/>
      <c r="G218"/>
      <c r="H218"/>
      <c r="I218"/>
      <c r="K218"/>
      <c r="L218"/>
    </row>
    <row r="219" spans="1:12">
      <c r="A219" s="1342"/>
      <c r="B219" s="618"/>
      <c r="C219" s="618"/>
      <c r="G219"/>
      <c r="H219"/>
      <c r="I219"/>
      <c r="K219"/>
      <c r="L219"/>
    </row>
    <row r="220" spans="1:12">
      <c r="A220" s="1342"/>
      <c r="B220" s="618"/>
      <c r="C220" s="618"/>
      <c r="G220"/>
      <c r="H220"/>
      <c r="I220"/>
      <c r="K220"/>
      <c r="L220"/>
    </row>
    <row r="221" spans="1:12">
      <c r="A221" s="1342"/>
      <c r="B221" s="618"/>
      <c r="C221" s="618"/>
      <c r="G221"/>
      <c r="H221"/>
      <c r="I221"/>
      <c r="K221"/>
      <c r="L221"/>
    </row>
    <row r="222" spans="1:12">
      <c r="A222" s="1342"/>
      <c r="B222" s="618"/>
      <c r="C222" s="618"/>
      <c r="G222"/>
      <c r="H222"/>
      <c r="I222"/>
      <c r="K222"/>
      <c r="L222"/>
    </row>
    <row r="223" spans="1:12">
      <c r="A223" s="1342"/>
      <c r="B223" s="618"/>
      <c r="C223" s="618"/>
      <c r="G223"/>
      <c r="H223"/>
      <c r="I223"/>
      <c r="K223"/>
      <c r="L223"/>
    </row>
    <row r="224" spans="1:12">
      <c r="A224" s="1342"/>
      <c r="B224" s="618"/>
      <c r="C224" s="618"/>
      <c r="G224"/>
      <c r="H224"/>
      <c r="I224"/>
      <c r="K224"/>
      <c r="L224"/>
    </row>
    <row r="225" spans="1:12">
      <c r="A225" s="1342"/>
      <c r="B225" s="618"/>
      <c r="C225" s="618"/>
      <c r="G225"/>
      <c r="H225"/>
      <c r="I225"/>
      <c r="K225"/>
      <c r="L225"/>
    </row>
    <row r="226" spans="1:12">
      <c r="A226" s="1342"/>
      <c r="B226" s="618"/>
      <c r="C226" s="618"/>
      <c r="G226"/>
      <c r="H226"/>
      <c r="I226"/>
      <c r="K226"/>
      <c r="L226"/>
    </row>
    <row r="227" spans="1:12">
      <c r="A227" s="1342"/>
      <c r="B227" s="618"/>
      <c r="C227" s="618"/>
      <c r="G227"/>
      <c r="H227"/>
      <c r="I227"/>
      <c r="K227"/>
      <c r="L227"/>
    </row>
    <row r="228" spans="1:12">
      <c r="A228" s="1342"/>
      <c r="B228" s="618"/>
      <c r="C228" s="618"/>
      <c r="G228"/>
      <c r="H228"/>
      <c r="I228"/>
      <c r="K228"/>
      <c r="L228"/>
    </row>
    <row r="229" spans="1:12">
      <c r="A229" s="1342"/>
      <c r="B229" s="618"/>
      <c r="C229" s="618"/>
      <c r="G229"/>
      <c r="H229"/>
      <c r="I229"/>
      <c r="K229"/>
      <c r="L229"/>
    </row>
    <row r="230" spans="1:12">
      <c r="A230" s="1342"/>
      <c r="B230" s="618"/>
      <c r="C230" s="618"/>
      <c r="G230"/>
      <c r="H230"/>
      <c r="I230"/>
      <c r="K230"/>
      <c r="L230"/>
    </row>
    <row r="231" spans="1:12">
      <c r="A231" s="1342"/>
      <c r="B231" s="618"/>
      <c r="C231" s="618"/>
      <c r="G231"/>
      <c r="H231"/>
      <c r="I231"/>
      <c r="K231"/>
      <c r="L231"/>
    </row>
    <row r="232" spans="1:12">
      <c r="A232" s="1342"/>
      <c r="B232" s="618"/>
      <c r="C232" s="618"/>
      <c r="G232"/>
      <c r="H232"/>
      <c r="I232"/>
      <c r="K232"/>
      <c r="L232"/>
    </row>
    <row r="233" spans="1:12">
      <c r="A233" s="1342"/>
      <c r="B233" s="618"/>
      <c r="C233" s="618"/>
      <c r="G233"/>
      <c r="H233"/>
      <c r="I233"/>
      <c r="K233"/>
      <c r="L233"/>
    </row>
    <row r="234" spans="1:12">
      <c r="A234" s="1342"/>
      <c r="B234" s="618"/>
      <c r="C234" s="618"/>
      <c r="G234"/>
      <c r="H234"/>
      <c r="I234"/>
      <c r="K234"/>
      <c r="L234"/>
    </row>
    <row r="235" spans="1:12">
      <c r="G235"/>
      <c r="H235"/>
      <c r="I235"/>
      <c r="K235"/>
      <c r="L235"/>
    </row>
    <row r="236" spans="1:12">
      <c r="G236"/>
      <c r="H236"/>
      <c r="I236"/>
      <c r="K236"/>
      <c r="L236"/>
    </row>
    <row r="237" spans="1:12">
      <c r="G237"/>
      <c r="H237"/>
      <c r="I237"/>
      <c r="K237"/>
      <c r="L237"/>
    </row>
    <row r="238" spans="1:12">
      <c r="G238"/>
      <c r="H238"/>
      <c r="I238"/>
      <c r="K238"/>
      <c r="L238"/>
    </row>
    <row r="239" spans="1:12">
      <c r="G239"/>
      <c r="H239"/>
      <c r="I239"/>
      <c r="K239"/>
      <c r="L239"/>
    </row>
    <row r="240" spans="1:12">
      <c r="G240"/>
      <c r="H240"/>
      <c r="I240"/>
      <c r="K240"/>
      <c r="L240"/>
    </row>
    <row r="241" spans="7:12">
      <c r="G241"/>
      <c r="H241"/>
      <c r="I241"/>
      <c r="K241"/>
      <c r="L241"/>
    </row>
    <row r="242" spans="7:12">
      <c r="G242"/>
      <c r="H242"/>
      <c r="I242"/>
      <c r="K242"/>
      <c r="L242"/>
    </row>
    <row r="243" spans="7:12">
      <c r="G243"/>
      <c r="H243"/>
      <c r="I243"/>
      <c r="K243"/>
      <c r="L243"/>
    </row>
    <row r="244" spans="7:12">
      <c r="G244"/>
      <c r="H244"/>
      <c r="I244"/>
      <c r="K244"/>
      <c r="L244"/>
    </row>
    <row r="245" spans="7:12">
      <c r="G245"/>
      <c r="H245"/>
      <c r="I245"/>
      <c r="K245"/>
      <c r="L245"/>
    </row>
    <row r="246" spans="7:12">
      <c r="G246"/>
      <c r="H246"/>
      <c r="I246"/>
      <c r="K246"/>
      <c r="L246"/>
    </row>
    <row r="247" spans="7:12">
      <c r="G247"/>
      <c r="H247"/>
      <c r="I247"/>
      <c r="K247"/>
      <c r="L247"/>
    </row>
    <row r="248" spans="7:12">
      <c r="G248"/>
      <c r="H248"/>
      <c r="I248"/>
      <c r="K248"/>
      <c r="L248"/>
    </row>
    <row r="249" spans="7:12">
      <c r="G249"/>
      <c r="H249"/>
      <c r="I249"/>
      <c r="K249"/>
      <c r="L249"/>
    </row>
    <row r="250" spans="7:12">
      <c r="G250"/>
      <c r="H250"/>
      <c r="I250"/>
      <c r="K250"/>
      <c r="L250"/>
    </row>
    <row r="251" spans="7:12">
      <c r="G251"/>
      <c r="H251"/>
      <c r="I251"/>
      <c r="K251"/>
      <c r="L251"/>
    </row>
    <row r="252" spans="7:12">
      <c r="G252"/>
      <c r="H252"/>
      <c r="I252"/>
      <c r="K252"/>
      <c r="L252"/>
    </row>
    <row r="253" spans="7:12">
      <c r="G253"/>
      <c r="H253"/>
      <c r="I253"/>
      <c r="K253"/>
      <c r="L253"/>
    </row>
    <row r="254" spans="7:12">
      <c r="G254"/>
      <c r="H254"/>
      <c r="I254"/>
      <c r="K254"/>
      <c r="L254"/>
    </row>
    <row r="255" spans="7:12">
      <c r="G255"/>
      <c r="H255"/>
      <c r="I255"/>
      <c r="K255"/>
      <c r="L255"/>
    </row>
    <row r="256" spans="7:12">
      <c r="G256"/>
      <c r="H256"/>
      <c r="I256"/>
      <c r="K256"/>
      <c r="L256"/>
    </row>
    <row r="257" spans="7:12">
      <c r="G257"/>
      <c r="H257"/>
      <c r="I257"/>
      <c r="K257"/>
      <c r="L257"/>
    </row>
    <row r="258" spans="7:12">
      <c r="G258"/>
      <c r="H258"/>
      <c r="I258"/>
      <c r="K258"/>
      <c r="L258"/>
    </row>
    <row r="259" spans="7:12">
      <c r="G259"/>
      <c r="H259"/>
      <c r="I259"/>
      <c r="K259"/>
      <c r="L259"/>
    </row>
    <row r="260" spans="7:12">
      <c r="G260"/>
      <c r="H260"/>
      <c r="I260"/>
      <c r="K260"/>
      <c r="L260"/>
    </row>
    <row r="261" spans="7:12">
      <c r="G261"/>
      <c r="H261"/>
      <c r="I261"/>
      <c r="K261"/>
      <c r="L261"/>
    </row>
    <row r="262" spans="7:12">
      <c r="G262"/>
      <c r="H262"/>
      <c r="I262"/>
      <c r="K262"/>
      <c r="L262"/>
    </row>
    <row r="263" spans="7:12">
      <c r="G263"/>
      <c r="H263"/>
      <c r="I263"/>
      <c r="K263"/>
      <c r="L263"/>
    </row>
    <row r="264" spans="7:12">
      <c r="G264"/>
      <c r="H264"/>
      <c r="I264"/>
      <c r="K264"/>
      <c r="L264"/>
    </row>
    <row r="265" spans="7:12">
      <c r="G265"/>
      <c r="H265"/>
      <c r="I265"/>
      <c r="K265"/>
      <c r="L265"/>
    </row>
    <row r="266" spans="7:12">
      <c r="G266"/>
      <c r="H266"/>
      <c r="I266"/>
      <c r="K266"/>
      <c r="L266"/>
    </row>
    <row r="267" spans="7:12">
      <c r="G267"/>
      <c r="H267"/>
      <c r="I267"/>
      <c r="K267"/>
      <c r="L267"/>
    </row>
    <row r="268" spans="7:12">
      <c r="G268"/>
      <c r="H268"/>
      <c r="I268"/>
      <c r="K268"/>
      <c r="L268"/>
    </row>
    <row r="269" spans="7:12">
      <c r="G269"/>
      <c r="H269"/>
      <c r="I269"/>
      <c r="K269"/>
      <c r="L269"/>
    </row>
    <row r="270" spans="7:12">
      <c r="G270"/>
      <c r="H270"/>
      <c r="I270"/>
      <c r="K270"/>
      <c r="L270"/>
    </row>
    <row r="271" spans="7:12">
      <c r="G271"/>
      <c r="H271"/>
      <c r="I271"/>
      <c r="K271"/>
      <c r="L271"/>
    </row>
    <row r="272" spans="7:12">
      <c r="G272"/>
      <c r="H272"/>
      <c r="I272"/>
      <c r="K272"/>
      <c r="L272"/>
    </row>
    <row r="273" spans="7:12">
      <c r="G273"/>
      <c r="H273"/>
      <c r="I273"/>
      <c r="K273"/>
      <c r="L273"/>
    </row>
    <row r="274" spans="7:12">
      <c r="G274"/>
      <c r="H274"/>
      <c r="I274"/>
      <c r="K274"/>
      <c r="L274"/>
    </row>
    <row r="275" spans="7:12">
      <c r="G275"/>
      <c r="H275"/>
      <c r="I275"/>
      <c r="K275"/>
      <c r="L275"/>
    </row>
    <row r="276" spans="7:12">
      <c r="G276"/>
      <c r="H276"/>
      <c r="I276"/>
      <c r="K276"/>
      <c r="L276"/>
    </row>
    <row r="277" spans="7:12">
      <c r="G277"/>
      <c r="H277"/>
      <c r="I277"/>
      <c r="K277"/>
      <c r="L277"/>
    </row>
    <row r="278" spans="7:12">
      <c r="G278"/>
      <c r="H278"/>
      <c r="I278"/>
      <c r="K278"/>
      <c r="L278"/>
    </row>
    <row r="279" spans="7:12">
      <c r="G279"/>
      <c r="H279"/>
      <c r="I279"/>
      <c r="K279"/>
      <c r="L279"/>
    </row>
    <row r="280" spans="7:12">
      <c r="G280"/>
      <c r="H280"/>
      <c r="I280"/>
    </row>
    <row r="281" spans="7:12">
      <c r="G281"/>
      <c r="H281"/>
      <c r="I281"/>
    </row>
    <row r="282" spans="7:12">
      <c r="G282"/>
      <c r="H282"/>
      <c r="I282"/>
    </row>
    <row r="283" spans="7:12">
      <c r="G283"/>
      <c r="H283"/>
      <c r="I283"/>
    </row>
    <row r="284" spans="7:12">
      <c r="G284"/>
      <c r="H284"/>
      <c r="I284"/>
    </row>
    <row r="285" spans="7:12">
      <c r="G285"/>
      <c r="H285"/>
      <c r="I285"/>
    </row>
    <row r="286" spans="7:12">
      <c r="G286"/>
      <c r="H286"/>
      <c r="I286"/>
    </row>
    <row r="287" spans="7:12">
      <c r="G287"/>
      <c r="H287"/>
      <c r="I287"/>
    </row>
    <row r="288" spans="7:12">
      <c r="G288"/>
      <c r="H288"/>
      <c r="I288"/>
    </row>
    <row r="289" spans="7:9">
      <c r="G289"/>
      <c r="H289"/>
      <c r="I289"/>
    </row>
    <row r="290" spans="7:9">
      <c r="G290"/>
      <c r="H290"/>
      <c r="I290"/>
    </row>
    <row r="291" spans="7:9">
      <c r="G291"/>
      <c r="H291"/>
      <c r="I291"/>
    </row>
    <row r="292" spans="7:9">
      <c r="G292"/>
      <c r="H292"/>
      <c r="I292"/>
    </row>
    <row r="293" spans="7:9">
      <c r="G293"/>
      <c r="H293"/>
      <c r="I293"/>
    </row>
    <row r="294" spans="7:9">
      <c r="G294"/>
      <c r="H294"/>
      <c r="I294"/>
    </row>
    <row r="295" spans="7:9">
      <c r="G295"/>
      <c r="H295"/>
      <c r="I295"/>
    </row>
    <row r="296" spans="7:9">
      <c r="G296"/>
      <c r="H296"/>
      <c r="I296"/>
    </row>
    <row r="297" spans="7:9">
      <c r="G297"/>
      <c r="H297"/>
      <c r="I297"/>
    </row>
    <row r="298" spans="7:9">
      <c r="G298"/>
      <c r="H298"/>
      <c r="I298"/>
    </row>
    <row r="299" spans="7:9">
      <c r="G299"/>
      <c r="H299"/>
      <c r="I299"/>
    </row>
    <row r="300" spans="7:9">
      <c r="G300"/>
      <c r="H300"/>
      <c r="I300"/>
    </row>
    <row r="301" spans="7:9">
      <c r="G301"/>
      <c r="H301"/>
      <c r="I301"/>
    </row>
    <row r="302" spans="7:9">
      <c r="G302"/>
      <c r="H302"/>
      <c r="I302"/>
    </row>
    <row r="303" spans="7:9">
      <c r="G303"/>
      <c r="H303"/>
      <c r="I303"/>
    </row>
    <row r="304" spans="7:9">
      <c r="G304"/>
      <c r="H304"/>
      <c r="I304"/>
    </row>
    <row r="305" spans="7:9">
      <c r="G305"/>
      <c r="H305"/>
      <c r="I305"/>
    </row>
    <row r="306" spans="7:9">
      <c r="G306"/>
      <c r="H306"/>
      <c r="I306"/>
    </row>
    <row r="307" spans="7:9">
      <c r="G307"/>
      <c r="H307"/>
      <c r="I307"/>
    </row>
    <row r="308" spans="7:9">
      <c r="G308"/>
      <c r="H308"/>
      <c r="I308"/>
    </row>
    <row r="309" spans="7:9">
      <c r="G309"/>
      <c r="H309"/>
      <c r="I309"/>
    </row>
    <row r="310" spans="7:9">
      <c r="G310"/>
      <c r="H310"/>
      <c r="I310"/>
    </row>
    <row r="311" spans="7:9">
      <c r="G311"/>
      <c r="H311"/>
      <c r="I311"/>
    </row>
    <row r="312" spans="7:9">
      <c r="G312"/>
      <c r="H312"/>
      <c r="I312"/>
    </row>
    <row r="313" spans="7:9">
      <c r="G313"/>
      <c r="H313"/>
      <c r="I313"/>
    </row>
    <row r="314" spans="7:9">
      <c r="G314"/>
      <c r="H314"/>
      <c r="I314"/>
    </row>
    <row r="315" spans="7:9">
      <c r="G315"/>
      <c r="H315"/>
      <c r="I315"/>
    </row>
    <row r="316" spans="7:9">
      <c r="G316"/>
      <c r="H316"/>
      <c r="I316"/>
    </row>
    <row r="317" spans="7:9">
      <c r="G317"/>
      <c r="H317"/>
      <c r="I317"/>
    </row>
    <row r="318" spans="7:9">
      <c r="G318"/>
      <c r="H318"/>
      <c r="I318"/>
    </row>
    <row r="319" spans="7:9">
      <c r="G319"/>
      <c r="H319"/>
      <c r="I319"/>
    </row>
    <row r="320" spans="7:9">
      <c r="G320"/>
      <c r="H320"/>
      <c r="I320"/>
    </row>
    <row r="321" spans="7:9">
      <c r="G321"/>
      <c r="H321"/>
      <c r="I321"/>
    </row>
    <row r="322" spans="7:9">
      <c r="G322"/>
      <c r="H322"/>
      <c r="I322"/>
    </row>
    <row r="323" spans="7:9">
      <c r="G323"/>
      <c r="H323"/>
      <c r="I323"/>
    </row>
    <row r="324" spans="7:9">
      <c r="G324"/>
      <c r="H324"/>
      <c r="I324"/>
    </row>
    <row r="325" spans="7:9">
      <c r="G325"/>
      <c r="H325"/>
      <c r="I325"/>
    </row>
    <row r="326" spans="7:9">
      <c r="G326"/>
      <c r="H326"/>
      <c r="I326"/>
    </row>
    <row r="327" spans="7:9">
      <c r="G327"/>
      <c r="H327"/>
      <c r="I327"/>
    </row>
    <row r="328" spans="7:9">
      <c r="G328"/>
      <c r="H328"/>
      <c r="I328"/>
    </row>
    <row r="329" spans="7:9">
      <c r="G329"/>
      <c r="H329"/>
      <c r="I329"/>
    </row>
    <row r="330" spans="7:9">
      <c r="G330"/>
      <c r="H330"/>
      <c r="I330"/>
    </row>
    <row r="331" spans="7:9">
      <c r="G331"/>
      <c r="H331"/>
      <c r="I331"/>
    </row>
    <row r="332" spans="7:9">
      <c r="G332"/>
      <c r="H332"/>
      <c r="I332"/>
    </row>
    <row r="333" spans="7:9">
      <c r="G333"/>
      <c r="H333"/>
      <c r="I333"/>
    </row>
    <row r="334" spans="7:9">
      <c r="G334"/>
      <c r="H334"/>
      <c r="I334"/>
    </row>
    <row r="335" spans="7:9">
      <c r="G335"/>
      <c r="H335"/>
      <c r="I335"/>
    </row>
    <row r="336" spans="7:9">
      <c r="G336"/>
      <c r="H336"/>
      <c r="I336"/>
    </row>
    <row r="337" spans="7:9">
      <c r="G337"/>
      <c r="H337"/>
      <c r="I337"/>
    </row>
    <row r="338" spans="7:9">
      <c r="G338"/>
      <c r="H338"/>
      <c r="I338"/>
    </row>
    <row r="339" spans="7:9">
      <c r="G339"/>
      <c r="H339"/>
      <c r="I339"/>
    </row>
    <row r="340" spans="7:9">
      <c r="G340"/>
      <c r="H340"/>
      <c r="I340"/>
    </row>
    <row r="341" spans="7:9">
      <c r="G341"/>
      <c r="H341"/>
      <c r="I341"/>
    </row>
    <row r="342" spans="7:9">
      <c r="G342"/>
      <c r="H342"/>
      <c r="I342"/>
    </row>
    <row r="343" spans="7:9">
      <c r="G343"/>
      <c r="H343"/>
      <c r="I343"/>
    </row>
    <row r="344" spans="7:9">
      <c r="G344"/>
      <c r="H344"/>
      <c r="I344"/>
    </row>
    <row r="345" spans="7:9">
      <c r="G345"/>
      <c r="H345"/>
      <c r="I345"/>
    </row>
  </sheetData>
  <phoneticPr fontId="12" type="noConversion"/>
  <pageMargins left="0.7" right="0.7" top="0.75" bottom="0.75" header="0.3" footer="0.3"/>
  <pageSetup paperSize="9" orientation="portrait" horizontalDpi="4294967293" verticalDpi="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F35"/>
  <sheetViews>
    <sheetView showGridLines="0" zoomScale="90" zoomScaleNormal="90" workbookViewId="0">
      <pane xSplit="1" ySplit="3" topLeftCell="B4" activePane="bottomRight" state="frozen"/>
      <selection activeCell="G1" sqref="G1"/>
      <selection pane="topRight" activeCell="G1" sqref="G1"/>
      <selection pane="bottomLeft" activeCell="G1" sqref="G1"/>
      <selection pane="bottomRight" activeCell="B23" sqref="B23"/>
    </sheetView>
  </sheetViews>
  <sheetFormatPr defaultColWidth="11.375" defaultRowHeight="16.5"/>
  <cols>
    <col min="1" max="16384" width="11.375" style="1089"/>
  </cols>
  <sheetData>
    <row r="1" spans="1:6">
      <c r="B1" s="1090" t="s">
        <v>15342</v>
      </c>
      <c r="D1" s="1090" t="s">
        <v>15343</v>
      </c>
    </row>
    <row r="2" spans="1:6">
      <c r="B2" s="1090" t="s">
        <v>28</v>
      </c>
      <c r="D2" s="1090" t="s">
        <v>29</v>
      </c>
      <c r="E2" s="1090" t="s">
        <v>13</v>
      </c>
    </row>
    <row r="3" spans="1:6" s="1091" customFormat="1">
      <c r="A3" s="1091" t="s">
        <v>12</v>
      </c>
      <c r="B3" s="1091" t="s">
        <v>10</v>
      </c>
      <c r="C3" s="1092" t="s">
        <v>11</v>
      </c>
      <c r="D3" s="1091" t="s">
        <v>10</v>
      </c>
      <c r="E3" s="1092" t="s">
        <v>11</v>
      </c>
      <c r="F3" s="1089">
        <f>日報表!$G$184</f>
        <v>1193694.2</v>
      </c>
    </row>
    <row r="4" spans="1:6">
      <c r="A4" s="1089">
        <v>1</v>
      </c>
      <c r="C4" s="1093"/>
      <c r="E4" s="1093"/>
    </row>
    <row r="5" spans="1:6">
      <c r="A5" s="1089">
        <v>2</v>
      </c>
      <c r="C5" s="1093"/>
      <c r="E5" s="1093"/>
    </row>
    <row r="6" spans="1:6">
      <c r="A6" s="1089">
        <v>3</v>
      </c>
      <c r="C6" s="1093"/>
      <c r="E6" s="1093"/>
    </row>
    <row r="7" spans="1:6">
      <c r="A7" s="1089">
        <v>4</v>
      </c>
      <c r="C7" s="1093"/>
      <c r="E7" s="1093"/>
    </row>
    <row r="8" spans="1:6">
      <c r="A8" s="1089">
        <v>5</v>
      </c>
      <c r="C8" s="1093"/>
      <c r="E8" s="1093"/>
    </row>
    <row r="9" spans="1:6">
      <c r="A9" s="1089">
        <v>6</v>
      </c>
      <c r="B9" s="1089">
        <v>889</v>
      </c>
      <c r="C9" s="1093"/>
      <c r="E9" s="1093"/>
    </row>
    <row r="10" spans="1:6">
      <c r="A10" s="1089">
        <v>7</v>
      </c>
      <c r="C10" s="1093"/>
      <c r="E10" s="1093"/>
    </row>
    <row r="11" spans="1:6">
      <c r="A11" s="1089">
        <v>8</v>
      </c>
      <c r="C11" s="1093"/>
      <c r="E11" s="1093"/>
    </row>
    <row r="12" spans="1:6">
      <c r="A12" s="1089">
        <v>9</v>
      </c>
      <c r="C12" s="1093"/>
      <c r="E12" s="1093"/>
    </row>
    <row r="13" spans="1:6">
      <c r="A13" s="1089">
        <v>10</v>
      </c>
      <c r="C13" s="1093"/>
      <c r="E13" s="1093"/>
    </row>
    <row r="14" spans="1:6">
      <c r="A14" s="1089">
        <v>11</v>
      </c>
      <c r="C14" s="1093"/>
      <c r="E14" s="1093"/>
    </row>
    <row r="15" spans="1:6">
      <c r="A15" s="1089">
        <v>12</v>
      </c>
      <c r="C15" s="1093"/>
      <c r="E15" s="1093"/>
    </row>
    <row r="16" spans="1:6">
      <c r="A16" s="1089">
        <v>13</v>
      </c>
      <c r="C16" s="1093"/>
      <c r="E16" s="1093"/>
    </row>
    <row r="17" spans="1:5">
      <c r="A17" s="1089">
        <v>14</v>
      </c>
      <c r="C17" s="1093"/>
      <c r="E17" s="1093"/>
    </row>
    <row r="18" spans="1:5">
      <c r="A18" s="1089">
        <v>15</v>
      </c>
      <c r="C18" s="1093"/>
      <c r="E18" s="1093"/>
    </row>
    <row r="19" spans="1:5">
      <c r="A19" s="1089">
        <v>16</v>
      </c>
      <c r="C19" s="1093"/>
      <c r="E19" s="1093"/>
    </row>
    <row r="20" spans="1:5">
      <c r="A20" s="1089">
        <v>17</v>
      </c>
      <c r="C20" s="1093"/>
      <c r="E20" s="1093"/>
    </row>
    <row r="21" spans="1:5">
      <c r="A21" s="1089">
        <v>18</v>
      </c>
      <c r="C21" s="1093"/>
      <c r="E21" s="1093"/>
    </row>
    <row r="22" spans="1:5">
      <c r="A22" s="1089">
        <v>19</v>
      </c>
      <c r="B22" s="1089">
        <v>1725</v>
      </c>
      <c r="C22" s="1093"/>
      <c r="E22" s="1093"/>
    </row>
    <row r="23" spans="1:5">
      <c r="A23" s="1089">
        <v>20</v>
      </c>
      <c r="C23" s="1093"/>
      <c r="E23" s="1093"/>
    </row>
    <row r="24" spans="1:5">
      <c r="A24" s="1089">
        <v>21</v>
      </c>
      <c r="C24" s="1093"/>
      <c r="E24" s="1093"/>
    </row>
    <row r="25" spans="1:5">
      <c r="A25" s="1089">
        <v>22</v>
      </c>
      <c r="C25" s="1093"/>
      <c r="E25" s="1093"/>
    </row>
    <row r="26" spans="1:5">
      <c r="A26" s="1089">
        <v>23</v>
      </c>
      <c r="C26" s="1093"/>
      <c r="E26" s="1093"/>
    </row>
    <row r="27" spans="1:5">
      <c r="A27" s="1089">
        <v>24</v>
      </c>
      <c r="C27" s="1093"/>
      <c r="E27" s="1093"/>
    </row>
    <row r="28" spans="1:5">
      <c r="A28" s="1089">
        <v>25</v>
      </c>
      <c r="C28" s="1093"/>
      <c r="E28" s="1093"/>
    </row>
    <row r="29" spans="1:5">
      <c r="A29" s="1089">
        <v>26</v>
      </c>
      <c r="C29" s="1093"/>
      <c r="E29" s="1093"/>
    </row>
    <row r="30" spans="1:5">
      <c r="A30" s="1089">
        <v>27</v>
      </c>
      <c r="C30" s="1093"/>
      <c r="E30" s="1093"/>
    </row>
    <row r="31" spans="1:5">
      <c r="A31" s="1089">
        <v>28</v>
      </c>
      <c r="C31" s="1093"/>
      <c r="E31" s="1093"/>
    </row>
    <row r="32" spans="1:5">
      <c r="A32" s="1089">
        <v>29</v>
      </c>
      <c r="C32" s="1093"/>
      <c r="E32" s="1093"/>
    </row>
    <row r="33" spans="1:5">
      <c r="A33" s="1089">
        <v>30</v>
      </c>
      <c r="C33" s="1093"/>
      <c r="E33" s="1093"/>
    </row>
    <row r="34" spans="1:5">
      <c r="A34" s="1089">
        <v>31</v>
      </c>
      <c r="C34" s="1093"/>
      <c r="E34" s="1093"/>
    </row>
    <row r="35" spans="1:5">
      <c r="B35" s="1094">
        <f>SUM(B4:B34)</f>
        <v>2614</v>
      </c>
      <c r="C35" s="1093">
        <f>SUM(C4:C34)</f>
        <v>0</v>
      </c>
      <c r="D35" s="1094">
        <f>SUM(D4:D34)</f>
        <v>0</v>
      </c>
      <c r="E35" s="1093">
        <f>SUM(E4:E34)</f>
        <v>0</v>
      </c>
    </row>
  </sheetData>
  <customSheetViews>
    <customSheetView guid="{40FADD7F-233D-11D9-A2E0-00055D0D7FDA}" scale="75" showGridLines="0" showRuler="0">
      <pane xSplit="1" ySplit="3" topLeftCell="B4" activePane="bottomRight" state="frozen"/>
      <selection pane="bottomRight" activeCell="D24" sqref="D24"/>
      <pageMargins left="0.75" right="0.75" top="1" bottom="1" header="0.5" footer="0.5"/>
      <headerFooter alignWithMargins="0"/>
    </customSheetView>
    <customSheetView guid="{40FADD80-233D-11D9-A2E0-00055D0D7FDA}" scale="75" showGridLines="0" showRuler="0">
      <pane xSplit="1" ySplit="3" topLeftCell="B4" activePane="bottomRight" state="frozen"/>
      <selection pane="bottomRight" activeCell="D24" sqref="D24"/>
    </customSheetView>
    <customSheetView guid="{B499F86B-5A3B-11D9-A2E0-00055D0D7FDA}" scale="75" showGridLines="0" showRuler="0">
      <pane xSplit="1" ySplit="3" topLeftCell="B4" activePane="bottomRight" state="frozen"/>
      <selection pane="bottomRight" activeCell="B4" sqref="B4:D32"/>
      <pageMargins left="0.75" right="0.75" top="1" bottom="1" header="0.5" footer="0.5"/>
      <headerFooter alignWithMargins="0"/>
    </customSheetView>
  </customSheetViews>
  <phoneticPr fontId="17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">
    <tabColor rgb="FFFF0000"/>
    <pageSetUpPr fitToPage="1"/>
  </sheetPr>
  <dimension ref="A1:AY74"/>
  <sheetViews>
    <sheetView showGridLines="0" zoomScale="80" zoomScaleNormal="80" workbookViewId="0">
      <pane xSplit="22" ySplit="4" topLeftCell="AJ11" activePane="bottomRight" state="frozen"/>
      <selection pane="topRight" activeCell="W1" sqref="W1"/>
      <selection pane="bottomLeft" activeCell="A5" sqref="A5"/>
      <selection pane="bottomRight" activeCell="I33" sqref="I33"/>
    </sheetView>
  </sheetViews>
  <sheetFormatPr defaultRowHeight="21.75" customHeight="1"/>
  <cols>
    <col min="1" max="1" width="1.125" style="479" customWidth="1"/>
    <col min="2" max="2" width="6.875" style="481" customWidth="1"/>
    <col min="3" max="4" width="8.875" style="481" customWidth="1"/>
    <col min="5" max="5" width="8.875" style="483" customWidth="1"/>
    <col min="6" max="9" width="8.875" style="1289" customWidth="1"/>
    <col min="10" max="10" width="0.875" style="481" customWidth="1"/>
    <col min="11" max="11" width="6.875" style="481" customWidth="1"/>
    <col min="12" max="14" width="6.125" style="482" customWidth="1"/>
    <col min="15" max="16" width="6" style="482" customWidth="1"/>
    <col min="17" max="17" width="16.75" style="478" customWidth="1"/>
    <col min="18" max="18" width="3.5" style="478" customWidth="1"/>
    <col min="19" max="19" width="9.625" style="724" customWidth="1"/>
    <col min="20" max="20" width="9.875" style="699" customWidth="1"/>
    <col min="21" max="21" width="10.375" style="699" customWidth="1"/>
    <col min="22" max="22" width="6.375" style="699" hidden="1" customWidth="1"/>
    <col min="23" max="23" width="12" style="699" customWidth="1"/>
    <col min="24" max="25" width="6.375" style="699" customWidth="1"/>
    <col min="26" max="26" width="16.125" style="699" bestFit="1" customWidth="1"/>
    <col min="27" max="27" width="10" style="699" customWidth="1"/>
    <col min="28" max="28" width="6.375" style="699" customWidth="1"/>
    <col min="29" max="29" width="8.375" style="699" customWidth="1"/>
    <col min="30" max="30" width="7.75" style="699" customWidth="1"/>
    <col min="31" max="31" width="6.375" style="699" customWidth="1"/>
    <col min="32" max="32" width="11.125" style="699" customWidth="1"/>
    <col min="33" max="33" width="13.5" style="699" customWidth="1"/>
    <col min="34" max="34" width="10" style="699" customWidth="1"/>
    <col min="35" max="35" width="6.375" style="699" customWidth="1"/>
    <col min="36" max="36" width="8.75" style="699" customWidth="1"/>
    <col min="37" max="37" width="8.875" style="699" customWidth="1"/>
    <col min="38" max="38" width="8.5" style="699" customWidth="1"/>
    <col min="39" max="40" width="8.375" style="699" customWidth="1"/>
    <col min="41" max="41" width="3.5" style="699" customWidth="1"/>
    <col min="42" max="42" width="8.75" style="732" customWidth="1"/>
    <col min="43" max="43" width="9.625" style="732" customWidth="1"/>
    <col min="44" max="44" width="9.5" style="732" customWidth="1"/>
    <col min="45" max="45" width="9.375" style="732" customWidth="1"/>
    <col min="46" max="48" width="9.625" style="732" customWidth="1"/>
    <col min="49" max="51" width="8.5" style="732" customWidth="1"/>
    <col min="52" max="16384" width="9" style="478"/>
  </cols>
  <sheetData>
    <row r="1" spans="1:51" ht="21.75" customHeight="1" thickBot="1">
      <c r="B1" s="1244" t="s">
        <v>255</v>
      </c>
      <c r="C1" s="1241" t="s">
        <v>34</v>
      </c>
      <c r="D1" s="1241" t="s">
        <v>35</v>
      </c>
      <c r="E1" s="1242" t="s">
        <v>256</v>
      </c>
      <c r="F1" s="1282" t="s">
        <v>30</v>
      </c>
      <c r="G1" s="1282" t="s">
        <v>31</v>
      </c>
      <c r="H1" s="1282" t="s">
        <v>32</v>
      </c>
      <c r="I1" s="1282" t="s">
        <v>143</v>
      </c>
      <c r="J1" s="1243"/>
      <c r="K1" s="1244" t="s">
        <v>255</v>
      </c>
      <c r="L1" s="1245" t="s">
        <v>30</v>
      </c>
      <c r="M1" s="1245" t="s">
        <v>31</v>
      </c>
      <c r="N1" s="1245" t="s">
        <v>143</v>
      </c>
      <c r="O1" s="1245" t="s">
        <v>32</v>
      </c>
      <c r="P1" s="1318" t="s">
        <v>33</v>
      </c>
      <c r="Q1" s="480">
        <f>日報表!G184</f>
        <v>1193694.2</v>
      </c>
      <c r="S1" s="729"/>
      <c r="T1" s="733" t="s">
        <v>12</v>
      </c>
      <c r="U1" s="1357" t="s">
        <v>534</v>
      </c>
      <c r="V1" s="1357"/>
      <c r="W1" s="1357"/>
      <c r="X1" s="1357"/>
      <c r="Y1" s="1357"/>
      <c r="Z1" s="1629" t="s">
        <v>535</v>
      </c>
      <c r="AA1" s="1357" t="s">
        <v>536</v>
      </c>
      <c r="AB1" s="1357"/>
      <c r="AC1" s="1357"/>
      <c r="AD1" s="1357"/>
      <c r="AE1" s="1357"/>
      <c r="AF1" s="1629" t="s">
        <v>537</v>
      </c>
      <c r="AG1" s="1631" t="s">
        <v>538</v>
      </c>
      <c r="AH1" s="1358" t="s">
        <v>539</v>
      </c>
      <c r="AI1" s="1359"/>
      <c r="AJ1" s="1359"/>
      <c r="AK1" s="1359"/>
      <c r="AL1" s="1360"/>
      <c r="AM1" s="1361" t="s">
        <v>540</v>
      </c>
      <c r="AN1" s="1362"/>
      <c r="AO1" s="1085"/>
      <c r="AP1" s="734"/>
      <c r="AQ1" s="735">
        <v>0.97599999999999998</v>
      </c>
      <c r="AR1" s="735">
        <v>0.92600000000000005</v>
      </c>
      <c r="AS1" s="735">
        <v>8.9999999999999993E-3</v>
      </c>
      <c r="AT1" s="734"/>
      <c r="AU1" s="1129"/>
      <c r="AV1" s="1129"/>
      <c r="AW1" s="736"/>
      <c r="AX1" s="736"/>
      <c r="AY1" s="736"/>
    </row>
    <row r="2" spans="1:51" ht="21.75" customHeight="1" thickTop="1" thickBot="1">
      <c r="B2" s="1250">
        <v>1</v>
      </c>
      <c r="C2" s="1246">
        <f t="shared" ref="C2:C32" si="0">AQ4</f>
        <v>0.96191475065960896</v>
      </c>
      <c r="D2" s="1246">
        <f t="shared" ref="D2:D32" si="1">AR4</f>
        <v>0.91242359187820588</v>
      </c>
      <c r="E2" s="1247">
        <f>斷絲!BD8</f>
        <v>3.1056547619047614</v>
      </c>
      <c r="F2" s="1248">
        <v>1</v>
      </c>
      <c r="G2" s="1248">
        <v>0.98001802884615385</v>
      </c>
      <c r="H2" s="1248"/>
      <c r="I2" s="1248">
        <v>0.99453077304639803</v>
      </c>
      <c r="J2" s="1249"/>
      <c r="K2" s="1250">
        <v>1</v>
      </c>
      <c r="L2" s="1251"/>
      <c r="M2" s="1251"/>
      <c r="N2" s="1251"/>
      <c r="O2" s="1251"/>
      <c r="P2" s="1397" t="s">
        <v>16771</v>
      </c>
      <c r="Q2" s="480">
        <f>日報表!G187</f>
        <v>301230.8</v>
      </c>
      <c r="S2" s="730" t="s">
        <v>584</v>
      </c>
      <c r="T2" s="737" t="s">
        <v>541</v>
      </c>
      <c r="U2" s="738" t="s">
        <v>585</v>
      </c>
      <c r="V2" s="738" t="s">
        <v>586</v>
      </c>
      <c r="W2" s="738" t="s">
        <v>587</v>
      </c>
      <c r="X2" s="738" t="s">
        <v>588</v>
      </c>
      <c r="Y2" s="738" t="s">
        <v>589</v>
      </c>
      <c r="Z2" s="1630"/>
      <c r="AA2" s="738" t="s">
        <v>585</v>
      </c>
      <c r="AB2" s="738" t="s">
        <v>586</v>
      </c>
      <c r="AC2" s="738" t="s">
        <v>587</v>
      </c>
      <c r="AD2" s="738" t="s">
        <v>588</v>
      </c>
      <c r="AE2" s="738" t="s">
        <v>589</v>
      </c>
      <c r="AF2" s="1630"/>
      <c r="AG2" s="1632"/>
      <c r="AH2" s="739" t="s">
        <v>585</v>
      </c>
      <c r="AI2" s="739" t="s">
        <v>586</v>
      </c>
      <c r="AJ2" s="740" t="s">
        <v>587</v>
      </c>
      <c r="AK2" s="740" t="s">
        <v>588</v>
      </c>
      <c r="AL2" s="741" t="s">
        <v>589</v>
      </c>
      <c r="AM2" s="1086" t="s">
        <v>585</v>
      </c>
      <c r="AN2" s="1087" t="s">
        <v>587</v>
      </c>
      <c r="AO2" s="1088" t="s">
        <v>15334</v>
      </c>
      <c r="AP2" s="742" t="s">
        <v>16129</v>
      </c>
      <c r="AQ2" s="1620" t="s">
        <v>17301</v>
      </c>
      <c r="AR2" s="1621"/>
      <c r="AS2" s="1621"/>
      <c r="AT2" s="1621"/>
      <c r="AU2" s="1621"/>
      <c r="AV2" s="1621"/>
      <c r="AW2" s="1621"/>
      <c r="AX2" s="1621"/>
      <c r="AY2" s="1622"/>
    </row>
    <row r="3" spans="1:51" ht="21.75" customHeight="1" thickBot="1">
      <c r="B3" s="1250">
        <v>2</v>
      </c>
      <c r="C3" s="1246">
        <f t="shared" si="0"/>
        <v>0.98885753523108078</v>
      </c>
      <c r="D3" s="1246">
        <f t="shared" si="1"/>
        <v>0.93433466950056676</v>
      </c>
      <c r="E3" s="1247">
        <f>斷絲!BD9</f>
        <v>3.0922619047619051</v>
      </c>
      <c r="F3" s="1248">
        <v>0.99888154380341887</v>
      </c>
      <c r="G3" s="1248">
        <v>0.98763020833333337</v>
      </c>
      <c r="H3" s="1248"/>
      <c r="I3" s="1248">
        <v>0.99768677503052494</v>
      </c>
      <c r="J3" s="1249"/>
      <c r="K3" s="1250">
        <v>2</v>
      </c>
      <c r="L3" s="1251">
        <v>44</v>
      </c>
      <c r="M3" s="1251">
        <v>63</v>
      </c>
      <c r="N3" s="1251">
        <v>31</v>
      </c>
      <c r="O3" s="1251">
        <v>0</v>
      </c>
      <c r="P3" s="1251"/>
      <c r="S3" s="731"/>
      <c r="T3" s="1349" t="s">
        <v>542</v>
      </c>
      <c r="U3" s="1484"/>
      <c r="V3" s="1484"/>
      <c r="W3" s="1484"/>
      <c r="X3" s="1484"/>
      <c r="Y3" s="1484"/>
      <c r="Z3" s="1484"/>
      <c r="AA3" s="1484"/>
      <c r="AB3" s="1485"/>
      <c r="AC3" s="1484"/>
      <c r="AD3" s="1484"/>
      <c r="AE3" s="1484"/>
      <c r="AF3" s="1484"/>
      <c r="AG3" s="1492">
        <v>2809405</v>
      </c>
      <c r="AH3" s="1488">
        <v>2263896</v>
      </c>
      <c r="AI3" s="1489">
        <v>0</v>
      </c>
      <c r="AJ3" s="1490">
        <v>416599</v>
      </c>
      <c r="AK3" s="1490">
        <v>89190</v>
      </c>
      <c r="AL3" s="1491">
        <v>39720</v>
      </c>
      <c r="AM3" s="1486"/>
      <c r="AN3" s="1487"/>
      <c r="AO3" s="1079"/>
      <c r="AP3" s="743" t="s">
        <v>255</v>
      </c>
      <c r="AQ3" s="1498" t="s">
        <v>17302</v>
      </c>
      <c r="AR3" s="1499" t="s">
        <v>17303</v>
      </c>
      <c r="AS3" s="1499" t="s">
        <v>17304</v>
      </c>
      <c r="AT3" s="1499" t="s">
        <v>17298</v>
      </c>
      <c r="AU3" s="1500" t="s">
        <v>17305</v>
      </c>
      <c r="AV3" s="1501" t="s">
        <v>17306</v>
      </c>
      <c r="AW3" s="1502" t="s">
        <v>17307</v>
      </c>
      <c r="AX3" s="1499" t="s">
        <v>17299</v>
      </c>
      <c r="AY3" s="1503" t="s">
        <v>17300</v>
      </c>
    </row>
    <row r="4" spans="1:51" ht="21.75" customHeight="1">
      <c r="B4" s="1250">
        <v>3</v>
      </c>
      <c r="C4" s="1246">
        <f t="shared" si="0"/>
        <v>0.78488248994283294</v>
      </c>
      <c r="D4" s="1246">
        <f t="shared" si="1"/>
        <v>1.0905874326581506</v>
      </c>
      <c r="E4" s="1247">
        <f>斷絲!BD10</f>
        <v>3.0535714285714284</v>
      </c>
      <c r="F4" s="1248">
        <v>0.99707865918803407</v>
      </c>
      <c r="G4" s="1248">
        <v>0.99048477564102566</v>
      </c>
      <c r="H4" s="1248"/>
      <c r="I4" s="1248">
        <v>0.98965153769841263</v>
      </c>
      <c r="J4" s="1249"/>
      <c r="K4" s="1250">
        <v>3</v>
      </c>
      <c r="L4" s="1251"/>
      <c r="M4" s="1251"/>
      <c r="N4" s="1251"/>
      <c r="O4" s="1251"/>
      <c r="P4" s="1251"/>
      <c r="S4" s="1328">
        <v>0</v>
      </c>
      <c r="T4" s="1347">
        <v>46204</v>
      </c>
      <c r="U4" s="1130">
        <v>81552</v>
      </c>
      <c r="V4" s="1130"/>
      <c r="W4" s="1130">
        <v>3020</v>
      </c>
      <c r="X4" s="1130">
        <v>2324</v>
      </c>
      <c r="Y4" s="1130">
        <v>0</v>
      </c>
      <c r="Z4" s="816">
        <f t="shared" ref="Z4:Z23" si="2">(IF(U4="","",SUM(U4:Y4)))</f>
        <v>86896</v>
      </c>
      <c r="AA4" s="815">
        <v>64245</v>
      </c>
      <c r="AB4" s="815"/>
      <c r="AC4" s="815">
        <v>6221</v>
      </c>
      <c r="AD4" s="815">
        <v>0</v>
      </c>
      <c r="AE4" s="815">
        <v>0</v>
      </c>
      <c r="AF4" s="816">
        <f t="shared" ref="AF4:AF23" si="3">(IF(AA4="","",SUM(AA4:AE4)))</f>
        <v>70466</v>
      </c>
      <c r="AG4" s="1269">
        <f t="shared" ref="AG4:AG23" si="4">(IF(U4="","",SUM(AG3+Z4-AF4)))</f>
        <v>2825835</v>
      </c>
      <c r="AH4" s="817">
        <f t="shared" ref="AH4:AI19" si="5">IF(AG4="","",AH3+U4-AA4)</f>
        <v>2281203</v>
      </c>
      <c r="AI4" s="1493">
        <f t="shared" si="5"/>
        <v>0</v>
      </c>
      <c r="AJ4" s="815">
        <f t="shared" ref="AJ4:AJ23" si="6">IF(AG4="","",AJ3+W4-AC4)</f>
        <v>413398</v>
      </c>
      <c r="AK4" s="815">
        <f t="shared" ref="AK4:AK23" si="7">IF(AG4="","",AK3+X4-AD4)</f>
        <v>91514</v>
      </c>
      <c r="AL4" s="818">
        <f t="shared" ref="AL4:AL23" si="8">IF(AG4="","",AL3+Y4-AE4)</f>
        <v>39720</v>
      </c>
      <c r="AM4" s="817">
        <f>5250+20625</f>
        <v>25875</v>
      </c>
      <c r="AN4" s="818">
        <v>0</v>
      </c>
      <c r="AO4" s="1080"/>
      <c r="AP4" s="744">
        <f t="shared" ref="AP4:AP18" si="9">T4</f>
        <v>46204</v>
      </c>
      <c r="AQ4" s="1504">
        <f>(IF(U4=0,"",IF(ISERROR((U4+V4+W4)-(AM4+AN4))/(Z4-AM4-AN4),"",((U4+V4+W4)-(AM4+AN4))/(Z4-AM4-AN4))))</f>
        <v>0.96191475065960896</v>
      </c>
      <c r="AR4" s="1505">
        <f>IF(ISERROR(((U4+V4)-AM4)/(Z4-AM4-AN4)),"",((U4+V4)-AM4)/(Z4-AM4-AN4))</f>
        <v>0.91242359187820588</v>
      </c>
      <c r="AS4" s="1505">
        <f t="shared" ref="AS4:AS34" si="10">IF(ISERROR(S4/Z4),"",(S4/Z4))</f>
        <v>0</v>
      </c>
      <c r="AT4" s="1506">
        <f>IF(AFK!GM6=0,"",AFK!GM6)</f>
        <v>10.5</v>
      </c>
      <c r="AU4" s="1507">
        <f>Z4-AM4-AN4</f>
        <v>61021</v>
      </c>
      <c r="AV4" s="1507">
        <f>SUM(AM4:AN4)</f>
        <v>25875</v>
      </c>
      <c r="AW4" s="1507">
        <f t="shared" ref="AW4:AW34" si="11">Z4</f>
        <v>86896</v>
      </c>
      <c r="AX4" s="1507">
        <f t="shared" ref="AX4:AX34" si="12">AF4</f>
        <v>70466</v>
      </c>
      <c r="AY4" s="1508">
        <f t="shared" ref="AY4:AY34" si="13">AG4</f>
        <v>2825835</v>
      </c>
    </row>
    <row r="5" spans="1:51" ht="21.75" customHeight="1">
      <c r="B5" s="1250">
        <v>4</v>
      </c>
      <c r="C5" s="1246">
        <f t="shared" si="0"/>
        <v>0.97648799362694894</v>
      </c>
      <c r="D5" s="1246">
        <f t="shared" si="1"/>
        <v>0.87838852850802318</v>
      </c>
      <c r="E5" s="1247">
        <f>斷絲!BD11</f>
        <v>3.3992063492063491</v>
      </c>
      <c r="F5" s="1248">
        <v>0.9992781784188034</v>
      </c>
      <c r="G5" s="1283">
        <v>0.99143629807692313</v>
      </c>
      <c r="H5" s="1248"/>
      <c r="I5" s="1248">
        <v>0.99435763888888895</v>
      </c>
      <c r="J5" s="1249"/>
      <c r="K5" s="1250">
        <v>4</v>
      </c>
      <c r="L5" s="1251"/>
      <c r="M5" s="1251"/>
      <c r="N5" s="1251"/>
      <c r="O5" s="1251"/>
      <c r="P5" s="1251"/>
      <c r="S5" s="1329">
        <v>0</v>
      </c>
      <c r="T5" s="1347">
        <f>T4+1</f>
        <v>46205</v>
      </c>
      <c r="U5" s="1130">
        <f>90928-11309.6+360</f>
        <v>79978.399999999994</v>
      </c>
      <c r="V5" s="1130"/>
      <c r="W5" s="1130">
        <f>7530-524.7</f>
        <v>7005.3</v>
      </c>
      <c r="X5" s="1130">
        <v>400</v>
      </c>
      <c r="Y5" s="1130">
        <v>0</v>
      </c>
      <c r="Z5" s="816">
        <f t="shared" si="2"/>
        <v>87383.7</v>
      </c>
      <c r="AA5" s="815">
        <v>89613</v>
      </c>
      <c r="AB5" s="815"/>
      <c r="AC5" s="815">
        <v>2514</v>
      </c>
      <c r="AD5" s="815">
        <v>0</v>
      </c>
      <c r="AE5" s="815">
        <v>0</v>
      </c>
      <c r="AF5" s="816">
        <f t="shared" si="3"/>
        <v>92127</v>
      </c>
      <c r="AG5" s="1269">
        <f t="shared" si="4"/>
        <v>2821091.7</v>
      </c>
      <c r="AH5" s="817">
        <f t="shared" si="5"/>
        <v>2271568.4</v>
      </c>
      <c r="AI5" s="1493">
        <f t="shared" si="5"/>
        <v>0</v>
      </c>
      <c r="AJ5" s="815">
        <f t="shared" si="6"/>
        <v>417889.3</v>
      </c>
      <c r="AK5" s="815">
        <f t="shared" si="7"/>
        <v>91914</v>
      </c>
      <c r="AL5" s="818">
        <f t="shared" si="8"/>
        <v>39720</v>
      </c>
      <c r="AM5" s="817">
        <f>26100+20337</f>
        <v>46437</v>
      </c>
      <c r="AN5" s="818">
        <f>1294+3754</f>
        <v>5048</v>
      </c>
      <c r="AO5" s="1080"/>
      <c r="AP5" s="744">
        <f t="shared" si="9"/>
        <v>46205</v>
      </c>
      <c r="AQ5" s="1504">
        <f>(IF(U5=0,"",IF(ISERROR((U5+V5+W5)-(AM5+AN5))/(Z5-AM5-AN5),"",((U5+V5+W5)-(AM5+AN5))/(Z5-AM5-AN5))))</f>
        <v>0.98885753523108078</v>
      </c>
      <c r="AR5" s="1505">
        <f t="shared" ref="AR5:AR35" si="14">IF(ISERROR(((U5+V5)-AM5)/(Z5-AM5-AN5)),"",((U5+V5)-AM5)/(Z5-AM5-AN5))</f>
        <v>0.93433466950056676</v>
      </c>
      <c r="AS5" s="1505">
        <f t="shared" si="10"/>
        <v>0</v>
      </c>
      <c r="AT5" s="1506">
        <f>IF(AFK!GM7=0,"",AFK!GM7)</f>
        <v>10.5</v>
      </c>
      <c r="AU5" s="1507">
        <f t="shared" ref="AU5:AU35" si="15">Z5-AM5-AN5</f>
        <v>35898.699999999997</v>
      </c>
      <c r="AV5" s="1507">
        <f t="shared" ref="AV5:AV35" si="16">SUM(AM5:AN5)</f>
        <v>51485</v>
      </c>
      <c r="AW5" s="1507">
        <f t="shared" si="11"/>
        <v>87383.7</v>
      </c>
      <c r="AX5" s="1507">
        <f t="shared" si="12"/>
        <v>92127</v>
      </c>
      <c r="AY5" s="1508">
        <f t="shared" si="13"/>
        <v>2821091.7</v>
      </c>
    </row>
    <row r="6" spans="1:51" ht="21.75" customHeight="1">
      <c r="B6" s="1250">
        <v>5</v>
      </c>
      <c r="C6" s="1246">
        <f t="shared" si="0"/>
        <v>0.97913243509694381</v>
      </c>
      <c r="D6" s="1246">
        <f t="shared" si="1"/>
        <v>0.94300737054598371</v>
      </c>
      <c r="E6" s="1247">
        <f>斷絲!BD12</f>
        <v>3.6992063492063494</v>
      </c>
      <c r="F6" s="1283">
        <v>0.99528311965811977</v>
      </c>
      <c r="G6" s="1283">
        <v>0.99429086538461542</v>
      </c>
      <c r="H6" s="1248"/>
      <c r="I6" s="1248">
        <v>0.99789424984737496</v>
      </c>
      <c r="J6" s="1252"/>
      <c r="K6" s="1250">
        <v>5</v>
      </c>
      <c r="L6" s="1251"/>
      <c r="M6" s="1251"/>
      <c r="N6" s="1251"/>
      <c r="O6" s="1251"/>
      <c r="P6" s="1251"/>
      <c r="S6" s="1329">
        <v>2000</v>
      </c>
      <c r="T6" s="1347">
        <f t="shared" ref="T6:T34" si="17">T5+1</f>
        <v>46206</v>
      </c>
      <c r="U6" s="1130">
        <v>82052.800000000003</v>
      </c>
      <c r="V6" s="1130"/>
      <c r="W6" s="1130">
        <v>-5854.3</v>
      </c>
      <c r="X6" s="1130">
        <v>4572</v>
      </c>
      <c r="Y6" s="1130">
        <v>0</v>
      </c>
      <c r="Z6" s="816">
        <f t="shared" si="2"/>
        <v>80770.5</v>
      </c>
      <c r="AA6" s="815">
        <v>54021.2</v>
      </c>
      <c r="AB6" s="815"/>
      <c r="AC6" s="815">
        <v>8909</v>
      </c>
      <c r="AD6" s="815">
        <v>0</v>
      </c>
      <c r="AE6" s="815">
        <v>0</v>
      </c>
      <c r="AF6" s="816">
        <f t="shared" si="3"/>
        <v>62930.2</v>
      </c>
      <c r="AG6" s="1269">
        <f t="shared" si="4"/>
        <v>2838932</v>
      </c>
      <c r="AH6" s="817">
        <f t="shared" si="5"/>
        <v>2299599.9999999995</v>
      </c>
      <c r="AI6" s="1493">
        <f t="shared" si="5"/>
        <v>0</v>
      </c>
      <c r="AJ6" s="815">
        <f t="shared" si="6"/>
        <v>403126</v>
      </c>
      <c r="AK6" s="815">
        <f t="shared" si="7"/>
        <v>96486</v>
      </c>
      <c r="AL6" s="818">
        <f t="shared" si="8"/>
        <v>39720</v>
      </c>
      <c r="AM6" s="817">
        <f>16100+42774</f>
        <v>58874</v>
      </c>
      <c r="AN6" s="818">
        <f>643+0</f>
        <v>643</v>
      </c>
      <c r="AO6" s="1080"/>
      <c r="AP6" s="744">
        <f t="shared" si="9"/>
        <v>46206</v>
      </c>
      <c r="AQ6" s="1504">
        <f t="shared" ref="AQ6:AQ34" si="18">(IF(U6=0,"",IF(ISERROR((U6+V6+W6)-(AM6+AN6))/(Z6-AM6-AN6),"",((U6+V6+W6)-(AM6+AN6))/(Z6-AM6-AN6))))</f>
        <v>0.78488248994283294</v>
      </c>
      <c r="AR6" s="1505">
        <f t="shared" si="14"/>
        <v>1.0905874326581506</v>
      </c>
      <c r="AS6" s="1505">
        <f t="shared" si="10"/>
        <v>2.476151565237308E-2</v>
      </c>
      <c r="AT6" s="1506">
        <f>IF(AFK!GM8=0,"",AFK!GM8)</f>
        <v>10.5</v>
      </c>
      <c r="AU6" s="1507">
        <f t="shared" si="15"/>
        <v>21253.5</v>
      </c>
      <c r="AV6" s="1507">
        <f t="shared" si="16"/>
        <v>59517</v>
      </c>
      <c r="AW6" s="1507">
        <f t="shared" si="11"/>
        <v>80770.5</v>
      </c>
      <c r="AX6" s="1507">
        <f t="shared" si="12"/>
        <v>62930.2</v>
      </c>
      <c r="AY6" s="1508">
        <f t="shared" si="13"/>
        <v>2838932</v>
      </c>
    </row>
    <row r="7" spans="1:51" ht="21.75" customHeight="1">
      <c r="B7" s="1250">
        <v>6</v>
      </c>
      <c r="C7" s="1246">
        <f t="shared" si="0"/>
        <v>1</v>
      </c>
      <c r="D7" s="1246">
        <f t="shared" si="1"/>
        <v>0.97363461811975538</v>
      </c>
      <c r="E7" s="1247">
        <f>斷絲!BD13</f>
        <v>2.9583333333333335</v>
      </c>
      <c r="F7" s="1283">
        <v>0.99353365384615377</v>
      </c>
      <c r="G7" s="1283">
        <v>0.98763020833333337</v>
      </c>
      <c r="H7" s="1248"/>
      <c r="I7" s="1248">
        <v>0.99839362026862033</v>
      </c>
      <c r="J7" s="1252"/>
      <c r="K7" s="1250">
        <v>6</v>
      </c>
      <c r="L7" s="1253">
        <v>56</v>
      </c>
      <c r="M7" s="1253">
        <v>37</v>
      </c>
      <c r="N7" s="1253">
        <v>43</v>
      </c>
      <c r="O7" s="1253">
        <v>0</v>
      </c>
      <c r="P7" s="1253"/>
      <c r="S7" s="1329">
        <v>1200</v>
      </c>
      <c r="T7" s="1347">
        <f t="shared" si="17"/>
        <v>46207</v>
      </c>
      <c r="U7" s="1130">
        <v>38592</v>
      </c>
      <c r="V7" s="1130"/>
      <c r="W7" s="1130">
        <v>4310</v>
      </c>
      <c r="X7" s="1130">
        <v>1033</v>
      </c>
      <c r="Y7" s="1130">
        <v>0</v>
      </c>
      <c r="Z7" s="816">
        <f t="shared" si="2"/>
        <v>43935</v>
      </c>
      <c r="AA7" s="815">
        <v>0</v>
      </c>
      <c r="AB7" s="815"/>
      <c r="AC7" s="815">
        <v>0</v>
      </c>
      <c r="AD7" s="815">
        <v>0</v>
      </c>
      <c r="AE7" s="815">
        <v>0</v>
      </c>
      <c r="AF7" s="816">
        <f t="shared" si="3"/>
        <v>0</v>
      </c>
      <c r="AG7" s="1269">
        <f t="shared" si="4"/>
        <v>2882867</v>
      </c>
      <c r="AH7" s="817">
        <f t="shared" si="5"/>
        <v>2338191.9999999995</v>
      </c>
      <c r="AI7" s="1493">
        <f t="shared" si="5"/>
        <v>0</v>
      </c>
      <c r="AJ7" s="815">
        <f t="shared" si="6"/>
        <v>407436</v>
      </c>
      <c r="AK7" s="815">
        <f t="shared" si="7"/>
        <v>97519</v>
      </c>
      <c r="AL7" s="818">
        <f t="shared" si="8"/>
        <v>39720</v>
      </c>
      <c r="AM7" s="817">
        <v>0</v>
      </c>
      <c r="AN7" s="818">
        <v>0</v>
      </c>
      <c r="AO7" s="1080"/>
      <c r="AP7" s="744">
        <f t="shared" si="9"/>
        <v>46207</v>
      </c>
      <c r="AQ7" s="1504">
        <f t="shared" si="18"/>
        <v>0.97648799362694894</v>
      </c>
      <c r="AR7" s="1505">
        <f t="shared" si="14"/>
        <v>0.87838852850802318</v>
      </c>
      <c r="AS7" s="1505">
        <f t="shared" si="10"/>
        <v>2.7313076135199729E-2</v>
      </c>
      <c r="AT7" s="1506">
        <f>IF(AFK!GM9=0,"",AFK!GM9)</f>
        <v>11</v>
      </c>
      <c r="AU7" s="1507">
        <f t="shared" si="15"/>
        <v>43935</v>
      </c>
      <c r="AV7" s="1507">
        <f t="shared" si="16"/>
        <v>0</v>
      </c>
      <c r="AW7" s="1507">
        <f t="shared" si="11"/>
        <v>43935</v>
      </c>
      <c r="AX7" s="1507">
        <f t="shared" si="12"/>
        <v>0</v>
      </c>
      <c r="AY7" s="1508">
        <f t="shared" si="13"/>
        <v>2882867</v>
      </c>
    </row>
    <row r="8" spans="1:51" ht="21.75" customHeight="1">
      <c r="B8" s="1250">
        <v>7</v>
      </c>
      <c r="C8" s="1246">
        <f t="shared" si="0"/>
        <v>0.9649988143229784</v>
      </c>
      <c r="D8" s="1246">
        <f t="shared" si="1"/>
        <v>0.91769030116196348</v>
      </c>
      <c r="E8" s="1247">
        <f>斷絲!BD14</f>
        <v>3.4245370370370374</v>
      </c>
      <c r="F8" s="1283">
        <v>0.99178685897435892</v>
      </c>
      <c r="G8" s="1283">
        <v>0.98477564102564097</v>
      </c>
      <c r="H8" s="1248"/>
      <c r="I8" s="1248">
        <v>0.99208066239316228</v>
      </c>
      <c r="J8" s="1252"/>
      <c r="K8" s="1250">
        <v>7</v>
      </c>
      <c r="L8" s="1251"/>
      <c r="M8" s="1251"/>
      <c r="N8" s="1251"/>
      <c r="O8" s="1251"/>
      <c r="P8" s="1251"/>
      <c r="S8" s="1329">
        <v>1200</v>
      </c>
      <c r="T8" s="1347">
        <f t="shared" si="17"/>
        <v>46208</v>
      </c>
      <c r="U8" s="1130">
        <v>40174</v>
      </c>
      <c r="V8" s="1130"/>
      <c r="W8" s="1130">
        <v>1539</v>
      </c>
      <c r="X8" s="1130">
        <v>0</v>
      </c>
      <c r="Y8" s="1130">
        <v>889</v>
      </c>
      <c r="Z8" s="816">
        <f t="shared" si="2"/>
        <v>42602</v>
      </c>
      <c r="AA8" s="815">
        <v>0</v>
      </c>
      <c r="AB8" s="815"/>
      <c r="AC8" s="815">
        <v>0</v>
      </c>
      <c r="AD8" s="815">
        <v>0</v>
      </c>
      <c r="AE8" s="815">
        <v>0</v>
      </c>
      <c r="AF8" s="816">
        <f t="shared" si="3"/>
        <v>0</v>
      </c>
      <c r="AG8" s="1269">
        <f t="shared" si="4"/>
        <v>2925469</v>
      </c>
      <c r="AH8" s="817">
        <f t="shared" si="5"/>
        <v>2378365.9999999995</v>
      </c>
      <c r="AI8" s="1493">
        <f t="shared" si="5"/>
        <v>0</v>
      </c>
      <c r="AJ8" s="815">
        <f t="shared" si="6"/>
        <v>408975</v>
      </c>
      <c r="AK8" s="815">
        <f t="shared" si="7"/>
        <v>97519</v>
      </c>
      <c r="AL8" s="818">
        <f t="shared" si="8"/>
        <v>40609</v>
      </c>
      <c r="AM8" s="817">
        <v>0</v>
      </c>
      <c r="AN8" s="818">
        <v>0</v>
      </c>
      <c r="AO8" s="1080"/>
      <c r="AP8" s="744">
        <f t="shared" si="9"/>
        <v>46208</v>
      </c>
      <c r="AQ8" s="1504">
        <f t="shared" si="18"/>
        <v>0.97913243509694381</v>
      </c>
      <c r="AR8" s="1505">
        <f t="shared" si="14"/>
        <v>0.94300737054598371</v>
      </c>
      <c r="AS8" s="1505">
        <f t="shared" si="10"/>
        <v>2.8167691657668654E-2</v>
      </c>
      <c r="AT8" s="1506">
        <f>IF(AFK!GM10=0,"",AFK!GM10)</f>
        <v>11</v>
      </c>
      <c r="AU8" s="1507">
        <f t="shared" si="15"/>
        <v>42602</v>
      </c>
      <c r="AV8" s="1507">
        <f t="shared" si="16"/>
        <v>0</v>
      </c>
      <c r="AW8" s="1507">
        <f t="shared" si="11"/>
        <v>42602</v>
      </c>
      <c r="AX8" s="1507">
        <f t="shared" si="12"/>
        <v>0</v>
      </c>
      <c r="AY8" s="1508">
        <f t="shared" si="13"/>
        <v>2925469</v>
      </c>
    </row>
    <row r="9" spans="1:51" ht="21.75" customHeight="1">
      <c r="B9" s="1250">
        <v>8</v>
      </c>
      <c r="C9" s="1246">
        <f t="shared" si="0"/>
        <v>0.9222173849949209</v>
      </c>
      <c r="D9" s="1246">
        <f t="shared" si="1"/>
        <v>0.84011754462342181</v>
      </c>
      <c r="E9" s="1247">
        <f>斷絲!BD15</f>
        <v>3.4978703703703702</v>
      </c>
      <c r="F9" s="1248">
        <v>0.99931891025641029</v>
      </c>
      <c r="G9" s="1248">
        <v>0.99238782051282048</v>
      </c>
      <c r="H9" s="1248"/>
      <c r="I9" s="1248">
        <v>0.99674479166666663</v>
      </c>
      <c r="J9" s="1252"/>
      <c r="K9" s="1250">
        <v>8</v>
      </c>
      <c r="L9" s="1254"/>
      <c r="M9" s="1254"/>
      <c r="N9" s="1254"/>
      <c r="O9" s="1254"/>
      <c r="P9" s="1254"/>
      <c r="S9" s="1329">
        <v>1200</v>
      </c>
      <c r="T9" s="1347">
        <f t="shared" si="17"/>
        <v>46209</v>
      </c>
      <c r="U9" s="1130">
        <v>54765</v>
      </c>
      <c r="V9" s="1130"/>
      <c r="W9" s="1130">
        <v>1483</v>
      </c>
      <c r="X9" s="1130">
        <v>0</v>
      </c>
      <c r="Y9" s="1130">
        <v>0</v>
      </c>
      <c r="Z9" s="816">
        <f t="shared" si="2"/>
        <v>56248</v>
      </c>
      <c r="AA9" s="815">
        <v>113571</v>
      </c>
      <c r="AB9" s="815"/>
      <c r="AC9" s="815">
        <v>10030</v>
      </c>
      <c r="AD9" s="815">
        <v>0</v>
      </c>
      <c r="AE9" s="815">
        <v>0</v>
      </c>
      <c r="AF9" s="816">
        <f t="shared" si="3"/>
        <v>123601</v>
      </c>
      <c r="AG9" s="1269">
        <f t="shared" si="4"/>
        <v>2858116</v>
      </c>
      <c r="AH9" s="817">
        <f t="shared" si="5"/>
        <v>2319559.9999999995</v>
      </c>
      <c r="AI9" s="1493">
        <f t="shared" si="5"/>
        <v>0</v>
      </c>
      <c r="AJ9" s="815">
        <f t="shared" si="6"/>
        <v>400428</v>
      </c>
      <c r="AK9" s="815">
        <f t="shared" si="7"/>
        <v>97519</v>
      </c>
      <c r="AL9" s="818">
        <f t="shared" si="8"/>
        <v>40609</v>
      </c>
      <c r="AM9" s="817">
        <v>0</v>
      </c>
      <c r="AN9" s="818">
        <v>0</v>
      </c>
      <c r="AO9" s="1080"/>
      <c r="AP9" s="744">
        <f t="shared" si="9"/>
        <v>46209</v>
      </c>
      <c r="AQ9" s="1504">
        <f t="shared" si="18"/>
        <v>1</v>
      </c>
      <c r="AR9" s="1505">
        <f t="shared" si="14"/>
        <v>0.97363461811975538</v>
      </c>
      <c r="AS9" s="1505">
        <f t="shared" si="10"/>
        <v>2.1334091878822358E-2</v>
      </c>
      <c r="AT9" s="1506">
        <f>IF(AFK!GM11=0,"",AFK!GM11)</f>
        <v>10</v>
      </c>
      <c r="AU9" s="1507">
        <f t="shared" si="15"/>
        <v>56248</v>
      </c>
      <c r="AV9" s="1507">
        <f t="shared" si="16"/>
        <v>0</v>
      </c>
      <c r="AW9" s="1507">
        <f t="shared" si="11"/>
        <v>56248</v>
      </c>
      <c r="AX9" s="1507">
        <f t="shared" si="12"/>
        <v>123601</v>
      </c>
      <c r="AY9" s="1508">
        <f t="shared" si="13"/>
        <v>2858116</v>
      </c>
    </row>
    <row r="10" spans="1:51" ht="21.75" customHeight="1">
      <c r="B10" s="1250">
        <v>9</v>
      </c>
      <c r="C10" s="1246">
        <f t="shared" si="0"/>
        <v>0.9593844865487281</v>
      </c>
      <c r="D10" s="1246">
        <f t="shared" si="1"/>
        <v>1.1339893227258453</v>
      </c>
      <c r="E10" s="1247">
        <f>斷絲!BD16</f>
        <v>3.2077142857142853</v>
      </c>
      <c r="F10" s="1248">
        <v>0.99967881944444448</v>
      </c>
      <c r="G10" s="1248">
        <v>0.99429086538461542</v>
      </c>
      <c r="H10" s="1248"/>
      <c r="I10" s="1248">
        <v>0.99225761217948716</v>
      </c>
      <c r="J10" s="1252"/>
      <c r="K10" s="1250">
        <v>9</v>
      </c>
      <c r="L10" s="1253">
        <v>63</v>
      </c>
      <c r="M10" s="1253">
        <v>37</v>
      </c>
      <c r="N10" s="1253">
        <v>29</v>
      </c>
      <c r="O10" s="1253">
        <v>0</v>
      </c>
      <c r="P10" s="1253"/>
      <c r="S10" s="1329">
        <v>1200</v>
      </c>
      <c r="T10" s="1347">
        <f t="shared" si="17"/>
        <v>46210</v>
      </c>
      <c r="U10" s="1130">
        <v>73949</v>
      </c>
      <c r="V10" s="1130"/>
      <c r="W10" s="1130">
        <v>4279</v>
      </c>
      <c r="X10" s="1130">
        <v>1476</v>
      </c>
      <c r="Y10" s="1130">
        <v>0</v>
      </c>
      <c r="Z10" s="816">
        <f t="shared" si="2"/>
        <v>79704</v>
      </c>
      <c r="AA10" s="815">
        <v>63963</v>
      </c>
      <c r="AB10" s="815"/>
      <c r="AC10" s="815">
        <v>742</v>
      </c>
      <c r="AD10" s="815">
        <v>0</v>
      </c>
      <c r="AE10" s="815">
        <v>0</v>
      </c>
      <c r="AF10" s="816">
        <f t="shared" si="3"/>
        <v>64705</v>
      </c>
      <c r="AG10" s="1269">
        <f t="shared" si="4"/>
        <v>2873115</v>
      </c>
      <c r="AH10" s="817">
        <f t="shared" si="5"/>
        <v>2329545.9999999995</v>
      </c>
      <c r="AI10" s="1493">
        <f t="shared" si="5"/>
        <v>0</v>
      </c>
      <c r="AJ10" s="815">
        <f t="shared" si="6"/>
        <v>403965</v>
      </c>
      <c r="AK10" s="815">
        <f t="shared" si="7"/>
        <v>98995</v>
      </c>
      <c r="AL10" s="818">
        <f t="shared" si="8"/>
        <v>40609</v>
      </c>
      <c r="AM10" s="817">
        <f>16050+19200</f>
        <v>35250</v>
      </c>
      <c r="AN10" s="818">
        <v>2284</v>
      </c>
      <c r="AO10" s="1080"/>
      <c r="AP10" s="744">
        <f t="shared" si="9"/>
        <v>46210</v>
      </c>
      <c r="AQ10" s="1504">
        <f t="shared" si="18"/>
        <v>0.9649988143229784</v>
      </c>
      <c r="AR10" s="1505">
        <f t="shared" si="14"/>
        <v>0.91769030116196348</v>
      </c>
      <c r="AS10" s="1505">
        <f t="shared" si="10"/>
        <v>1.5055706112616682E-2</v>
      </c>
      <c r="AT10" s="1506">
        <f>IF(AFK!GM12=0,"",AFK!GM12)</f>
        <v>10</v>
      </c>
      <c r="AU10" s="1507">
        <f t="shared" si="15"/>
        <v>42170</v>
      </c>
      <c r="AV10" s="1507">
        <f t="shared" si="16"/>
        <v>37534</v>
      </c>
      <c r="AW10" s="1507">
        <f t="shared" si="11"/>
        <v>79704</v>
      </c>
      <c r="AX10" s="1507">
        <f t="shared" si="12"/>
        <v>64705</v>
      </c>
      <c r="AY10" s="1508">
        <f t="shared" si="13"/>
        <v>2873115</v>
      </c>
    </row>
    <row r="11" spans="1:51" ht="21.75" customHeight="1" thickBot="1">
      <c r="B11" s="1257">
        <v>10</v>
      </c>
      <c r="C11" s="1255">
        <f t="shared" si="0"/>
        <v>0.95543500452066377</v>
      </c>
      <c r="D11" s="1255">
        <f t="shared" si="1"/>
        <v>0.93341499693761487</v>
      </c>
      <c r="E11" s="1256">
        <f>斷絲!BD17</f>
        <v>7.9123883928571423</v>
      </c>
      <c r="F11" s="1284">
        <v>0.99158081501831508</v>
      </c>
      <c r="G11" s="1284">
        <v>0.98953325320512819</v>
      </c>
      <c r="H11" s="1284">
        <v>1</v>
      </c>
      <c r="I11" s="1284">
        <v>0.9925399687118438</v>
      </c>
      <c r="J11" s="1252"/>
      <c r="K11" s="1257">
        <v>10</v>
      </c>
      <c r="L11" s="1258"/>
      <c r="M11" s="1258"/>
      <c r="N11" s="1258"/>
      <c r="O11" s="1258"/>
      <c r="P11" s="1258"/>
      <c r="S11" s="1329">
        <v>1200</v>
      </c>
      <c r="T11" s="1347">
        <f t="shared" si="17"/>
        <v>46211</v>
      </c>
      <c r="U11" s="1130">
        <v>58107</v>
      </c>
      <c r="V11" s="1130"/>
      <c r="W11" s="1130">
        <v>2263</v>
      </c>
      <c r="X11" s="1130">
        <v>2144</v>
      </c>
      <c r="Y11" s="1130">
        <v>0</v>
      </c>
      <c r="Z11" s="816">
        <f t="shared" si="2"/>
        <v>62514</v>
      </c>
      <c r="AA11" s="815">
        <v>56407</v>
      </c>
      <c r="AB11" s="815"/>
      <c r="AC11" s="815">
        <v>3574</v>
      </c>
      <c r="AD11" s="815">
        <v>0</v>
      </c>
      <c r="AE11" s="815">
        <v>0</v>
      </c>
      <c r="AF11" s="816">
        <f t="shared" si="3"/>
        <v>59981</v>
      </c>
      <c r="AG11" s="1269">
        <f t="shared" si="4"/>
        <v>2875648</v>
      </c>
      <c r="AH11" s="817">
        <f t="shared" si="5"/>
        <v>2331245.9999999995</v>
      </c>
      <c r="AI11" s="1493">
        <f t="shared" si="5"/>
        <v>0</v>
      </c>
      <c r="AJ11" s="815">
        <f t="shared" si="6"/>
        <v>402654</v>
      </c>
      <c r="AK11" s="815">
        <f t="shared" si="7"/>
        <v>101139</v>
      </c>
      <c r="AL11" s="818">
        <f t="shared" si="8"/>
        <v>40609</v>
      </c>
      <c r="AM11" s="817">
        <f>14250+20700</f>
        <v>34950</v>
      </c>
      <c r="AN11" s="818">
        <v>0</v>
      </c>
      <c r="AO11" s="1080"/>
      <c r="AP11" s="744">
        <f t="shared" si="9"/>
        <v>46211</v>
      </c>
      <c r="AQ11" s="1504">
        <f t="shared" si="18"/>
        <v>0.9222173849949209</v>
      </c>
      <c r="AR11" s="1505">
        <f t="shared" si="14"/>
        <v>0.84011754462342181</v>
      </c>
      <c r="AS11" s="1505">
        <f t="shared" si="10"/>
        <v>1.9195700163163451E-2</v>
      </c>
      <c r="AT11" s="1506">
        <f>IF(AFK!GM13=0,"",AFK!GM13)</f>
        <v>11</v>
      </c>
      <c r="AU11" s="1507">
        <f t="shared" si="15"/>
        <v>27564</v>
      </c>
      <c r="AV11" s="1507">
        <f t="shared" si="16"/>
        <v>34950</v>
      </c>
      <c r="AW11" s="1507">
        <f t="shared" si="11"/>
        <v>62514</v>
      </c>
      <c r="AX11" s="1507">
        <f t="shared" si="12"/>
        <v>59981</v>
      </c>
      <c r="AY11" s="1508">
        <f t="shared" si="13"/>
        <v>2875648</v>
      </c>
    </row>
    <row r="12" spans="1:51" ht="21.75" customHeight="1">
      <c r="A12" s="484"/>
      <c r="B12" s="1261">
        <v>11</v>
      </c>
      <c r="C12" s="1259">
        <f t="shared" si="0"/>
        <v>1</v>
      </c>
      <c r="D12" s="1259">
        <f t="shared" si="1"/>
        <v>0.93455701690995807</v>
      </c>
      <c r="E12" s="1260">
        <f>斷絲!BD18</f>
        <v>5.8690476190476186</v>
      </c>
      <c r="F12" s="1285">
        <v>0.99305460164835169</v>
      </c>
      <c r="G12" s="1286">
        <v>0.98953325320512819</v>
      </c>
      <c r="H12" s="1286">
        <v>1</v>
      </c>
      <c r="I12" s="1286">
        <v>0.99225045787545785</v>
      </c>
      <c r="J12" s="1252"/>
      <c r="K12" s="1261">
        <v>11</v>
      </c>
      <c r="L12" s="1262"/>
      <c r="M12" s="1262"/>
      <c r="N12" s="1262"/>
      <c r="O12" s="1262"/>
      <c r="P12" s="1262"/>
      <c r="S12" s="1329">
        <v>1200</v>
      </c>
      <c r="T12" s="1347">
        <f t="shared" si="17"/>
        <v>46212</v>
      </c>
      <c r="U12" s="1130">
        <v>56796</v>
      </c>
      <c r="V12" s="1130"/>
      <c r="W12" s="1494">
        <v>-6672</v>
      </c>
      <c r="X12" s="1130">
        <v>1552</v>
      </c>
      <c r="Y12" s="1130">
        <v>0</v>
      </c>
      <c r="Z12" s="816">
        <f t="shared" si="2"/>
        <v>51676</v>
      </c>
      <c r="AA12" s="815">
        <v>48114</v>
      </c>
      <c r="AB12" s="815"/>
      <c r="AC12" s="815">
        <v>0</v>
      </c>
      <c r="AD12" s="815">
        <v>0</v>
      </c>
      <c r="AE12" s="815">
        <v>0</v>
      </c>
      <c r="AF12" s="816">
        <f t="shared" si="3"/>
        <v>48114</v>
      </c>
      <c r="AG12" s="1269">
        <f t="shared" si="4"/>
        <v>2879210</v>
      </c>
      <c r="AH12" s="1495">
        <f t="shared" si="5"/>
        <v>2339927.9999999995</v>
      </c>
      <c r="AI12" s="815">
        <f t="shared" si="5"/>
        <v>0</v>
      </c>
      <c r="AJ12" s="815">
        <f t="shared" si="6"/>
        <v>395982</v>
      </c>
      <c r="AK12" s="815">
        <f t="shared" si="7"/>
        <v>102691</v>
      </c>
      <c r="AL12" s="818">
        <f t="shared" si="8"/>
        <v>40609</v>
      </c>
      <c r="AM12" s="817">
        <f>3300+10164</f>
        <v>13464</v>
      </c>
      <c r="AN12" s="818">
        <v>0</v>
      </c>
      <c r="AO12" s="1080"/>
      <c r="AP12" s="744">
        <f t="shared" si="9"/>
        <v>46212</v>
      </c>
      <c r="AQ12" s="1504">
        <f t="shared" si="18"/>
        <v>0.9593844865487281</v>
      </c>
      <c r="AR12" s="1505">
        <f t="shared" si="14"/>
        <v>1.1339893227258453</v>
      </c>
      <c r="AS12" s="1505">
        <f t="shared" si="10"/>
        <v>2.3221611579843641E-2</v>
      </c>
      <c r="AT12" s="1506">
        <f>IF(AFK!GM14=0,"",AFK!GM14)</f>
        <v>11</v>
      </c>
      <c r="AU12" s="1507">
        <f t="shared" si="15"/>
        <v>38212</v>
      </c>
      <c r="AV12" s="1507">
        <f t="shared" si="16"/>
        <v>13464</v>
      </c>
      <c r="AW12" s="1507">
        <f t="shared" si="11"/>
        <v>51676</v>
      </c>
      <c r="AX12" s="1507">
        <f t="shared" si="12"/>
        <v>48114</v>
      </c>
      <c r="AY12" s="1508">
        <f t="shared" si="13"/>
        <v>2879210</v>
      </c>
    </row>
    <row r="13" spans="1:51" ht="21.75" customHeight="1">
      <c r="B13" s="1250">
        <v>12</v>
      </c>
      <c r="C13" s="1246">
        <f t="shared" si="0"/>
        <v>0.98409886714727091</v>
      </c>
      <c r="D13" s="1246">
        <f t="shared" si="1"/>
        <v>0.89530381050463437</v>
      </c>
      <c r="E13" s="1247">
        <f>斷絲!BD19</f>
        <v>6.3968253968253972</v>
      </c>
      <c r="F13" s="1248">
        <v>0.99371565934065942</v>
      </c>
      <c r="G13" s="1248">
        <v>0.98953325320512819</v>
      </c>
      <c r="H13" s="1248">
        <v>0.98217147435897434</v>
      </c>
      <c r="I13" s="1248">
        <v>0.9916647588522588</v>
      </c>
      <c r="J13" s="1252"/>
      <c r="K13" s="1250">
        <v>12</v>
      </c>
      <c r="L13" s="1251"/>
      <c r="M13" s="1251"/>
      <c r="N13" s="1251"/>
      <c r="O13" s="1251"/>
      <c r="P13" s="1251"/>
      <c r="S13" s="1329">
        <v>1200</v>
      </c>
      <c r="T13" s="1347">
        <f t="shared" si="17"/>
        <v>46213</v>
      </c>
      <c r="U13" s="1130">
        <v>32004</v>
      </c>
      <c r="V13" s="1130"/>
      <c r="W13" s="1130">
        <v>755</v>
      </c>
      <c r="X13" s="1130">
        <v>1528</v>
      </c>
      <c r="Y13" s="1130">
        <v>0</v>
      </c>
      <c r="Z13" s="816">
        <f>(IF(U13="","",SUM(U13:Y13)))</f>
        <v>34287</v>
      </c>
      <c r="AA13" s="815">
        <v>0</v>
      </c>
      <c r="AB13" s="815"/>
      <c r="AC13" s="815">
        <v>0</v>
      </c>
      <c r="AD13" s="815">
        <v>0</v>
      </c>
      <c r="AE13" s="815">
        <v>0</v>
      </c>
      <c r="AF13" s="816">
        <f>(IF(AA13="","",SUM(AA13:AE13)))</f>
        <v>0</v>
      </c>
      <c r="AG13" s="1269">
        <f t="shared" si="4"/>
        <v>2913497</v>
      </c>
      <c r="AH13" s="817">
        <f t="shared" si="5"/>
        <v>2371931.9999999995</v>
      </c>
      <c r="AI13" s="1496">
        <f t="shared" si="5"/>
        <v>0</v>
      </c>
      <c r="AJ13" s="815">
        <f t="shared" si="6"/>
        <v>396737</v>
      </c>
      <c r="AK13" s="815">
        <f t="shared" si="7"/>
        <v>104219</v>
      </c>
      <c r="AL13" s="818">
        <f t="shared" si="8"/>
        <v>40609</v>
      </c>
      <c r="AM13" s="817">
        <v>0</v>
      </c>
      <c r="AN13" s="818">
        <v>0</v>
      </c>
      <c r="AO13" s="1080"/>
      <c r="AP13" s="744">
        <f t="shared" si="9"/>
        <v>46213</v>
      </c>
      <c r="AQ13" s="1504">
        <f t="shared" si="18"/>
        <v>0.95543500452066377</v>
      </c>
      <c r="AR13" s="1505">
        <f t="shared" si="14"/>
        <v>0.93341499693761487</v>
      </c>
      <c r="AS13" s="1505">
        <f t="shared" si="10"/>
        <v>3.4998687549216902E-2</v>
      </c>
      <c r="AT13" s="1506">
        <f>IF(AFK!GM15=0,"",AFK!GM15)</f>
        <v>12.25</v>
      </c>
      <c r="AU13" s="1507">
        <f t="shared" si="15"/>
        <v>34287</v>
      </c>
      <c r="AV13" s="1507">
        <f t="shared" si="16"/>
        <v>0</v>
      </c>
      <c r="AW13" s="1507">
        <f t="shared" si="11"/>
        <v>34287</v>
      </c>
      <c r="AX13" s="1507">
        <f t="shared" si="12"/>
        <v>0</v>
      </c>
      <c r="AY13" s="1508">
        <f t="shared" si="13"/>
        <v>2913497</v>
      </c>
    </row>
    <row r="14" spans="1:51" ht="21.75" customHeight="1">
      <c r="B14" s="1250">
        <v>13</v>
      </c>
      <c r="C14" s="1246">
        <f t="shared" si="0"/>
        <v>0.98033679022486908</v>
      </c>
      <c r="D14" s="1246">
        <f t="shared" si="1"/>
        <v>0.93369442447889928</v>
      </c>
      <c r="E14" s="1247">
        <f>斷絲!BD20</f>
        <v>6.3864444444444439</v>
      </c>
      <c r="F14" s="1248">
        <v>0.998518741096866</v>
      </c>
      <c r="G14" s="1248">
        <v>1</v>
      </c>
      <c r="H14" s="1248">
        <v>1</v>
      </c>
      <c r="I14" s="1248">
        <v>0.99</v>
      </c>
      <c r="J14" s="1252"/>
      <c r="K14" s="1250">
        <v>13</v>
      </c>
      <c r="L14" s="1254">
        <v>117</v>
      </c>
      <c r="M14" s="1254">
        <v>38</v>
      </c>
      <c r="N14" s="1254">
        <v>34</v>
      </c>
      <c r="O14" s="1254">
        <v>14</v>
      </c>
      <c r="P14" s="1254"/>
      <c r="S14" s="1329">
        <v>1200</v>
      </c>
      <c r="T14" s="1347">
        <f t="shared" si="17"/>
        <v>46214</v>
      </c>
      <c r="U14" s="1130">
        <v>32331</v>
      </c>
      <c r="V14" s="1130"/>
      <c r="W14" s="1130">
        <v>2264</v>
      </c>
      <c r="X14" s="1130">
        <v>0</v>
      </c>
      <c r="Y14" s="1130">
        <v>0</v>
      </c>
      <c r="Z14" s="816">
        <f>(IF(U14="","",SUM(U14:Y14)))</f>
        <v>34595</v>
      </c>
      <c r="AA14" s="815">
        <v>0</v>
      </c>
      <c r="AB14" s="815"/>
      <c r="AC14" s="815">
        <v>0</v>
      </c>
      <c r="AD14" s="815">
        <v>0</v>
      </c>
      <c r="AE14" s="815">
        <v>0</v>
      </c>
      <c r="AF14" s="816">
        <f>(IF(AA14="","",SUM(AA14:AE14)))</f>
        <v>0</v>
      </c>
      <c r="AG14" s="1269">
        <f t="shared" si="4"/>
        <v>2948092</v>
      </c>
      <c r="AH14" s="817">
        <f t="shared" si="5"/>
        <v>2404262.9999999995</v>
      </c>
      <c r="AI14" s="815">
        <f t="shared" si="5"/>
        <v>0</v>
      </c>
      <c r="AJ14" s="815">
        <f t="shared" si="6"/>
        <v>399001</v>
      </c>
      <c r="AK14" s="815">
        <f t="shared" si="7"/>
        <v>104219</v>
      </c>
      <c r="AL14" s="818">
        <f t="shared" si="8"/>
        <v>40609</v>
      </c>
      <c r="AM14" s="817">
        <v>0</v>
      </c>
      <c r="AN14" s="818">
        <v>0</v>
      </c>
      <c r="AO14" s="1080"/>
      <c r="AP14" s="744">
        <f t="shared" si="9"/>
        <v>46214</v>
      </c>
      <c r="AQ14" s="1504">
        <f t="shared" si="18"/>
        <v>1</v>
      </c>
      <c r="AR14" s="1505">
        <f t="shared" si="14"/>
        <v>0.93455701690995807</v>
      </c>
      <c r="AS14" s="1505">
        <f t="shared" si="10"/>
        <v>3.4687093510622921E-2</v>
      </c>
      <c r="AT14" s="1506">
        <f>IF(AFK!GM16=0,"",AFK!GM16)</f>
        <v>12.75</v>
      </c>
      <c r="AU14" s="1507">
        <f t="shared" si="15"/>
        <v>34595</v>
      </c>
      <c r="AV14" s="1507">
        <f t="shared" si="16"/>
        <v>0</v>
      </c>
      <c r="AW14" s="1507">
        <f t="shared" si="11"/>
        <v>34595</v>
      </c>
      <c r="AX14" s="1507">
        <f t="shared" si="12"/>
        <v>0</v>
      </c>
      <c r="AY14" s="1508">
        <f t="shared" si="13"/>
        <v>2948092</v>
      </c>
    </row>
    <row r="15" spans="1:51" ht="21.75" customHeight="1">
      <c r="B15" s="1250">
        <v>14</v>
      </c>
      <c r="C15" s="1246">
        <f t="shared" si="0"/>
        <v>0.9816134139320668</v>
      </c>
      <c r="D15" s="1246">
        <f t="shared" si="1"/>
        <v>0.91587507196315487</v>
      </c>
      <c r="E15" s="1247">
        <f>斷絲!BD21</f>
        <v>8.1970370370370365</v>
      </c>
      <c r="F15" s="1248">
        <v>0.99191573183760684</v>
      </c>
      <c r="G15" s="1248"/>
      <c r="H15" s="1248">
        <v>1</v>
      </c>
      <c r="I15" s="1248">
        <v>0.99233058608058611</v>
      </c>
      <c r="J15" s="1252"/>
      <c r="K15" s="1250">
        <v>14</v>
      </c>
      <c r="L15" s="1251"/>
      <c r="M15" s="1251"/>
      <c r="N15" s="1251"/>
      <c r="O15" s="1251"/>
      <c r="P15" s="1251"/>
      <c r="S15" s="1329">
        <v>1200</v>
      </c>
      <c r="T15" s="1347">
        <f t="shared" si="17"/>
        <v>46215</v>
      </c>
      <c r="U15" s="1130">
        <f>1500+41967</f>
        <v>43467</v>
      </c>
      <c r="V15" s="1130"/>
      <c r="W15" s="1130">
        <v>4311</v>
      </c>
      <c r="X15" s="1130">
        <v>772</v>
      </c>
      <c r="Y15" s="1130">
        <v>0</v>
      </c>
      <c r="Z15" s="816">
        <f t="shared" si="2"/>
        <v>48550</v>
      </c>
      <c r="AA15" s="815">
        <v>0</v>
      </c>
      <c r="AB15" s="815"/>
      <c r="AC15" s="815">
        <v>0</v>
      </c>
      <c r="AD15" s="815">
        <v>0</v>
      </c>
      <c r="AE15" s="815">
        <v>0</v>
      </c>
      <c r="AF15" s="816">
        <f t="shared" si="3"/>
        <v>0</v>
      </c>
      <c r="AG15" s="1269">
        <f t="shared" si="4"/>
        <v>2996642</v>
      </c>
      <c r="AH15" s="817">
        <f t="shared" si="5"/>
        <v>2447729.9999999995</v>
      </c>
      <c r="AI15" s="815">
        <f t="shared" si="5"/>
        <v>0</v>
      </c>
      <c r="AJ15" s="815">
        <f t="shared" si="6"/>
        <v>403312</v>
      </c>
      <c r="AK15" s="815">
        <f t="shared" si="7"/>
        <v>104991</v>
      </c>
      <c r="AL15" s="818">
        <f t="shared" si="8"/>
        <v>40609</v>
      </c>
      <c r="AM15" s="817">
        <v>0</v>
      </c>
      <c r="AN15" s="818">
        <v>0</v>
      </c>
      <c r="AO15" s="1080"/>
      <c r="AP15" s="744">
        <f t="shared" si="9"/>
        <v>46215</v>
      </c>
      <c r="AQ15" s="1504">
        <f t="shared" si="18"/>
        <v>0.98409886714727091</v>
      </c>
      <c r="AR15" s="1505">
        <f t="shared" si="14"/>
        <v>0.89530381050463437</v>
      </c>
      <c r="AS15" s="1505">
        <f t="shared" si="10"/>
        <v>2.4716786817713696E-2</v>
      </c>
      <c r="AT15" s="1506">
        <f>IF(AFK!GM17=0,"",AFK!GM17)</f>
        <v>12.75</v>
      </c>
      <c r="AU15" s="1507">
        <f t="shared" si="15"/>
        <v>48550</v>
      </c>
      <c r="AV15" s="1507">
        <f t="shared" si="16"/>
        <v>0</v>
      </c>
      <c r="AW15" s="1507">
        <f t="shared" si="11"/>
        <v>48550</v>
      </c>
      <c r="AX15" s="1507">
        <f t="shared" si="12"/>
        <v>0</v>
      </c>
      <c r="AY15" s="1508">
        <f t="shared" si="13"/>
        <v>2996642</v>
      </c>
    </row>
    <row r="16" spans="1:51" ht="21.75" customHeight="1">
      <c r="B16" s="1250">
        <v>15</v>
      </c>
      <c r="C16" s="1246">
        <f t="shared" si="0"/>
        <v>1.2656684775407447</v>
      </c>
      <c r="D16" s="1246">
        <f t="shared" si="1"/>
        <v>4.6717901152775934</v>
      </c>
      <c r="E16" s="1247">
        <f>斷絲!BD22</f>
        <v>5.581666666666667</v>
      </c>
      <c r="F16" s="1248">
        <v>0.99454460470085471</v>
      </c>
      <c r="G16" s="1248"/>
      <c r="H16" s="1248">
        <v>1</v>
      </c>
      <c r="I16" s="1248">
        <v>0.99564236111111115</v>
      </c>
      <c r="J16" s="1252"/>
      <c r="K16" s="1250">
        <v>15</v>
      </c>
      <c r="L16" s="1251"/>
      <c r="M16" s="1251"/>
      <c r="N16" s="1251"/>
      <c r="O16" s="1251"/>
      <c r="P16" s="1251"/>
      <c r="S16" s="1329">
        <v>1200</v>
      </c>
      <c r="T16" s="1347">
        <f t="shared" si="17"/>
        <v>46216</v>
      </c>
      <c r="U16" s="1130">
        <v>106885</v>
      </c>
      <c r="V16" s="1130"/>
      <c r="W16" s="1130">
        <v>2583</v>
      </c>
      <c r="X16" s="1130">
        <v>766</v>
      </c>
      <c r="Y16" s="1130">
        <v>0</v>
      </c>
      <c r="Z16" s="816">
        <f t="shared" si="2"/>
        <v>110234</v>
      </c>
      <c r="AA16" s="815">
        <v>97950</v>
      </c>
      <c r="AB16" s="815"/>
      <c r="AC16" s="815">
        <v>3035</v>
      </c>
      <c r="AD16" s="815">
        <v>0</v>
      </c>
      <c r="AE16" s="815">
        <v>0</v>
      </c>
      <c r="AF16" s="816">
        <f t="shared" si="3"/>
        <v>100985</v>
      </c>
      <c r="AG16" s="1269">
        <f t="shared" si="4"/>
        <v>3005891</v>
      </c>
      <c r="AH16" s="817">
        <f t="shared" si="5"/>
        <v>2456664.9999999995</v>
      </c>
      <c r="AI16" s="815">
        <f t="shared" si="5"/>
        <v>0</v>
      </c>
      <c r="AJ16" s="815">
        <f t="shared" si="6"/>
        <v>402860</v>
      </c>
      <c r="AK16" s="815">
        <f t="shared" si="7"/>
        <v>105757</v>
      </c>
      <c r="AL16" s="818">
        <f t="shared" si="8"/>
        <v>40609</v>
      </c>
      <c r="AM16" s="817">
        <f>48270+22242</f>
        <v>70512</v>
      </c>
      <c r="AN16" s="818">
        <v>766</v>
      </c>
      <c r="AO16" s="1080"/>
      <c r="AP16" s="744">
        <f t="shared" si="9"/>
        <v>46216</v>
      </c>
      <c r="AQ16" s="1504">
        <f t="shared" si="18"/>
        <v>0.98033679022486908</v>
      </c>
      <c r="AR16" s="1505">
        <f t="shared" si="14"/>
        <v>0.93369442447889928</v>
      </c>
      <c r="AS16" s="1505">
        <f t="shared" si="10"/>
        <v>1.0885933559518841E-2</v>
      </c>
      <c r="AT16" s="1506">
        <f>IF(AFK!GM18=0,"",AFK!GM18)</f>
        <v>12.75</v>
      </c>
      <c r="AU16" s="1507">
        <f t="shared" si="15"/>
        <v>38956</v>
      </c>
      <c r="AV16" s="1507">
        <f t="shared" si="16"/>
        <v>71278</v>
      </c>
      <c r="AW16" s="1507">
        <f t="shared" si="11"/>
        <v>110234</v>
      </c>
      <c r="AX16" s="1507">
        <f t="shared" si="12"/>
        <v>100985</v>
      </c>
      <c r="AY16" s="1508">
        <f t="shared" si="13"/>
        <v>3005891</v>
      </c>
    </row>
    <row r="17" spans="1:51" ht="21.75" customHeight="1">
      <c r="B17" s="1250">
        <v>16</v>
      </c>
      <c r="C17" s="1246">
        <f t="shared" si="0"/>
        <v>1.0303636363636364</v>
      </c>
      <c r="D17" s="1246">
        <f t="shared" si="1"/>
        <v>0.52496103896103896</v>
      </c>
      <c r="E17" s="1247">
        <f>斷絲!BD23</f>
        <v>5.2194444444444441</v>
      </c>
      <c r="F17" s="1248">
        <v>1</v>
      </c>
      <c r="G17" s="1248"/>
      <c r="H17" s="1248">
        <v>1</v>
      </c>
      <c r="I17" s="1248">
        <v>0.99582131410256414</v>
      </c>
      <c r="J17" s="1252"/>
      <c r="K17" s="1250">
        <v>16</v>
      </c>
      <c r="L17" s="1251">
        <v>62</v>
      </c>
      <c r="M17" s="1251">
        <v>0</v>
      </c>
      <c r="N17" s="1251">
        <v>34</v>
      </c>
      <c r="O17" s="1251">
        <v>15</v>
      </c>
      <c r="P17" s="1251"/>
      <c r="S17" s="1329">
        <v>1200</v>
      </c>
      <c r="T17" s="1347">
        <f t="shared" si="17"/>
        <v>46217</v>
      </c>
      <c r="U17" s="1130">
        <v>52979</v>
      </c>
      <c r="V17" s="1130"/>
      <c r="W17" s="1130">
        <v>4026</v>
      </c>
      <c r="X17" s="1130">
        <v>511</v>
      </c>
      <c r="Y17" s="1130">
        <v>0</v>
      </c>
      <c r="Z17" s="816">
        <f t="shared" si="2"/>
        <v>57516</v>
      </c>
      <c r="AA17" s="815">
        <v>56026</v>
      </c>
      <c r="AB17" s="815"/>
      <c r="AC17" s="815">
        <v>2214</v>
      </c>
      <c r="AD17" s="815">
        <v>0</v>
      </c>
      <c r="AE17" s="815">
        <v>0</v>
      </c>
      <c r="AF17" s="816">
        <f t="shared" si="3"/>
        <v>58240</v>
      </c>
      <c r="AG17" s="1269">
        <f t="shared" si="4"/>
        <v>3005167</v>
      </c>
      <c r="AH17" s="817">
        <f t="shared" si="5"/>
        <v>2453617.9999999995</v>
      </c>
      <c r="AI17" s="815">
        <f t="shared" si="5"/>
        <v>0</v>
      </c>
      <c r="AJ17" s="815">
        <f t="shared" si="6"/>
        <v>404672</v>
      </c>
      <c r="AK17" s="815">
        <f t="shared" si="7"/>
        <v>106268</v>
      </c>
      <c r="AL17" s="818">
        <f t="shared" si="8"/>
        <v>40609</v>
      </c>
      <c r="AM17" s="817">
        <f>20100+7425</f>
        <v>27525</v>
      </c>
      <c r="AN17" s="818">
        <v>2199</v>
      </c>
      <c r="AO17" s="1080"/>
      <c r="AP17" s="744">
        <f t="shared" si="9"/>
        <v>46217</v>
      </c>
      <c r="AQ17" s="1504">
        <f t="shared" si="18"/>
        <v>0.9816134139320668</v>
      </c>
      <c r="AR17" s="1505">
        <f t="shared" si="14"/>
        <v>0.91587507196315487</v>
      </c>
      <c r="AS17" s="1505">
        <f t="shared" si="10"/>
        <v>2.0863759649488837E-2</v>
      </c>
      <c r="AT17" s="1506">
        <f>IF(AFK!GM19=0,"",AFK!GM19)</f>
        <v>12.75</v>
      </c>
      <c r="AU17" s="1507">
        <f t="shared" si="15"/>
        <v>27792</v>
      </c>
      <c r="AV17" s="1507">
        <f t="shared" si="16"/>
        <v>29724</v>
      </c>
      <c r="AW17" s="1507">
        <f t="shared" si="11"/>
        <v>57516</v>
      </c>
      <c r="AX17" s="1507">
        <f t="shared" si="12"/>
        <v>58240</v>
      </c>
      <c r="AY17" s="1508">
        <f t="shared" si="13"/>
        <v>3005167</v>
      </c>
    </row>
    <row r="18" spans="1:51" ht="21.75" customHeight="1">
      <c r="B18" s="1250">
        <v>17</v>
      </c>
      <c r="C18" s="1246">
        <f t="shared" si="0"/>
        <v>0.84497722586054524</v>
      </c>
      <c r="D18" s="1246">
        <f t="shared" si="1"/>
        <v>0.76013505857825925</v>
      </c>
      <c r="E18" s="1247">
        <f>斷絲!BD24</f>
        <v>5.4805555555555552</v>
      </c>
      <c r="F18" s="1283">
        <v>0.99710803952991456</v>
      </c>
      <c r="G18" s="1283"/>
      <c r="H18" s="1248">
        <v>1</v>
      </c>
      <c r="I18" s="1248">
        <v>0.99633357816951573</v>
      </c>
      <c r="J18" s="1252"/>
      <c r="K18" s="1250">
        <v>17</v>
      </c>
      <c r="L18" s="1251"/>
      <c r="M18" s="1251"/>
      <c r="N18" s="1251"/>
      <c r="O18" s="1251"/>
      <c r="P18" s="1251"/>
      <c r="S18" s="1329">
        <v>1000</v>
      </c>
      <c r="T18" s="1347">
        <f t="shared" si="17"/>
        <v>46218</v>
      </c>
      <c r="U18" s="1130">
        <v>57908</v>
      </c>
      <c r="V18" s="1130"/>
      <c r="W18" s="1130">
        <v>-26305</v>
      </c>
      <c r="X18" s="1130">
        <v>-2005</v>
      </c>
      <c r="Y18" s="1130">
        <v>0</v>
      </c>
      <c r="Z18" s="816">
        <f t="shared" si="2"/>
        <v>29598</v>
      </c>
      <c r="AA18" s="815">
        <v>67656</v>
      </c>
      <c r="AB18" s="815"/>
      <c r="AC18" s="815">
        <v>13029</v>
      </c>
      <c r="AD18" s="815">
        <v>0</v>
      </c>
      <c r="AE18" s="815">
        <v>0</v>
      </c>
      <c r="AF18" s="816">
        <f t="shared" si="3"/>
        <v>80685</v>
      </c>
      <c r="AG18" s="1269">
        <f t="shared" si="4"/>
        <v>2954080</v>
      </c>
      <c r="AH18" s="817">
        <f t="shared" si="5"/>
        <v>2443869.9999999995</v>
      </c>
      <c r="AI18" s="815">
        <f t="shared" si="5"/>
        <v>0</v>
      </c>
      <c r="AJ18" s="815">
        <f t="shared" si="6"/>
        <v>365338</v>
      </c>
      <c r="AK18" s="815">
        <f t="shared" si="7"/>
        <v>104263</v>
      </c>
      <c r="AL18" s="818">
        <f t="shared" si="8"/>
        <v>40609</v>
      </c>
      <c r="AM18" s="817">
        <f>11100+11550</f>
        <v>22650</v>
      </c>
      <c r="AN18" s="818">
        <v>-599</v>
      </c>
      <c r="AO18" s="1080"/>
      <c r="AP18" s="744">
        <f t="shared" si="9"/>
        <v>46218</v>
      </c>
      <c r="AQ18" s="1504">
        <f t="shared" si="18"/>
        <v>1.2656684775407447</v>
      </c>
      <c r="AR18" s="1505">
        <f t="shared" si="14"/>
        <v>4.6717901152775934</v>
      </c>
      <c r="AS18" s="1505">
        <f t="shared" si="10"/>
        <v>3.3786066626123386E-2</v>
      </c>
      <c r="AT18" s="1506">
        <f>IF(AFK!GM20=0,"",AFK!GM20)</f>
        <v>12.25</v>
      </c>
      <c r="AU18" s="1507">
        <f t="shared" si="15"/>
        <v>7547</v>
      </c>
      <c r="AV18" s="1507">
        <f t="shared" si="16"/>
        <v>22051</v>
      </c>
      <c r="AW18" s="1507">
        <f t="shared" si="11"/>
        <v>29598</v>
      </c>
      <c r="AX18" s="1507">
        <f t="shared" si="12"/>
        <v>80685</v>
      </c>
      <c r="AY18" s="1508">
        <f t="shared" si="13"/>
        <v>2954080</v>
      </c>
    </row>
    <row r="19" spans="1:51" ht="21.75" customHeight="1">
      <c r="B19" s="1250">
        <v>18</v>
      </c>
      <c r="C19" s="1246">
        <f t="shared" si="0"/>
        <v>0.98663672094329025</v>
      </c>
      <c r="D19" s="1246">
        <f t="shared" si="1"/>
        <v>0.93996631106120154</v>
      </c>
      <c r="E19" s="1247">
        <f>斷絲!BD25</f>
        <v>3.7699074074074077</v>
      </c>
      <c r="F19" s="1283">
        <v>0.99509014423076925</v>
      </c>
      <c r="G19" s="1283"/>
      <c r="H19" s="1248">
        <v>1</v>
      </c>
      <c r="I19" s="1248">
        <v>0.99811889499389495</v>
      </c>
      <c r="J19" s="1252"/>
      <c r="K19" s="1250">
        <v>18</v>
      </c>
      <c r="L19" s="1251"/>
      <c r="M19" s="1251"/>
      <c r="N19" s="1251"/>
      <c r="O19" s="1251"/>
      <c r="P19" s="1251"/>
      <c r="S19" s="1329">
        <v>1000</v>
      </c>
      <c r="T19" s="1347">
        <f t="shared" si="17"/>
        <v>46219</v>
      </c>
      <c r="U19" s="1130">
        <f>51291+630</f>
        <v>51921</v>
      </c>
      <c r="V19" s="1130"/>
      <c r="W19" s="1130">
        <v>20057</v>
      </c>
      <c r="X19" s="1130">
        <v>-1169</v>
      </c>
      <c r="Y19" s="1130">
        <v>0</v>
      </c>
      <c r="Z19" s="816">
        <f t="shared" si="2"/>
        <v>70809</v>
      </c>
      <c r="AA19" s="815">
        <v>44660</v>
      </c>
      <c r="AB19" s="815"/>
      <c r="AC19" s="815">
        <v>5492</v>
      </c>
      <c r="AD19" s="815">
        <v>0</v>
      </c>
      <c r="AE19" s="815">
        <v>0</v>
      </c>
      <c r="AF19" s="816">
        <f t="shared" si="3"/>
        <v>50152</v>
      </c>
      <c r="AG19" s="1269">
        <f t="shared" si="4"/>
        <v>2974737</v>
      </c>
      <c r="AH19" s="817">
        <f t="shared" si="5"/>
        <v>2451130.9999999995</v>
      </c>
      <c r="AI19" s="815">
        <f t="shared" si="5"/>
        <v>0</v>
      </c>
      <c r="AJ19" s="815">
        <f t="shared" si="6"/>
        <v>379903</v>
      </c>
      <c r="AK19" s="815">
        <f t="shared" si="7"/>
        <v>103094</v>
      </c>
      <c r="AL19" s="818">
        <f t="shared" si="8"/>
        <v>40609</v>
      </c>
      <c r="AM19" s="817">
        <f>9510+22200</f>
        <v>31710</v>
      </c>
      <c r="AN19" s="818">
        <v>599</v>
      </c>
      <c r="AO19" s="1080"/>
      <c r="AP19" s="744">
        <f t="shared" ref="AP19:AP34" si="19">AP18+1</f>
        <v>46219</v>
      </c>
      <c r="AQ19" s="1504">
        <f t="shared" si="18"/>
        <v>1.0303636363636364</v>
      </c>
      <c r="AR19" s="1505">
        <f t="shared" si="14"/>
        <v>0.52496103896103896</v>
      </c>
      <c r="AS19" s="1505">
        <f t="shared" si="10"/>
        <v>1.4122498552443899E-2</v>
      </c>
      <c r="AT19" s="1506">
        <f>IF(AFK!GM21=0,"",AFK!GM21)</f>
        <v>11.75</v>
      </c>
      <c r="AU19" s="1507">
        <f t="shared" si="15"/>
        <v>38500</v>
      </c>
      <c r="AV19" s="1507">
        <f t="shared" si="16"/>
        <v>32309</v>
      </c>
      <c r="AW19" s="1507">
        <f t="shared" si="11"/>
        <v>70809</v>
      </c>
      <c r="AX19" s="1507">
        <f t="shared" si="12"/>
        <v>50152</v>
      </c>
      <c r="AY19" s="1508">
        <f t="shared" si="13"/>
        <v>2974737</v>
      </c>
    </row>
    <row r="20" spans="1:51" ht="21.75" customHeight="1">
      <c r="B20" s="1250">
        <v>19</v>
      </c>
      <c r="C20" s="1246">
        <f t="shared" si="0"/>
        <v>0.93759233665348141</v>
      </c>
      <c r="D20" s="1246">
        <f t="shared" si="1"/>
        <v>0.90315970071009866</v>
      </c>
      <c r="E20" s="1247">
        <f>斷絲!BD26</f>
        <v>4.9152777777777779</v>
      </c>
      <c r="F20" s="1283">
        <v>0.99062967414529912</v>
      </c>
      <c r="G20" s="1283"/>
      <c r="H20" s="1248">
        <v>1</v>
      </c>
      <c r="I20" s="1248">
        <v>0.99704861111111109</v>
      </c>
      <c r="J20" s="1252"/>
      <c r="K20" s="1250">
        <v>19</v>
      </c>
      <c r="L20" s="1251"/>
      <c r="M20" s="1251"/>
      <c r="N20" s="1251"/>
      <c r="O20" s="1251"/>
      <c r="P20" s="1251"/>
      <c r="Q20" s="634"/>
      <c r="S20" s="1329">
        <v>1000</v>
      </c>
      <c r="T20" s="1347">
        <f t="shared" si="17"/>
        <v>46220</v>
      </c>
      <c r="U20" s="1131">
        <v>49789</v>
      </c>
      <c r="V20" s="1130"/>
      <c r="W20" s="1130">
        <v>4509</v>
      </c>
      <c r="X20" s="1130">
        <v>6841</v>
      </c>
      <c r="Y20" s="1130">
        <v>0</v>
      </c>
      <c r="Z20" s="816">
        <f t="shared" si="2"/>
        <v>61139</v>
      </c>
      <c r="AA20" s="1496">
        <v>96855</v>
      </c>
      <c r="AB20" s="815"/>
      <c r="AC20" s="815">
        <v>4551</v>
      </c>
      <c r="AD20" s="815">
        <v>0</v>
      </c>
      <c r="AE20" s="815">
        <v>0</v>
      </c>
      <c r="AF20" s="816">
        <f t="shared" si="3"/>
        <v>101406</v>
      </c>
      <c r="AG20" s="1269">
        <f t="shared" si="4"/>
        <v>2934470</v>
      </c>
      <c r="AH20" s="817">
        <f t="shared" ref="AH20:AI23" si="20">IF(AG20="","",AH19+U20-AA20)</f>
        <v>2404064.9999999995</v>
      </c>
      <c r="AI20" s="815">
        <f t="shared" si="20"/>
        <v>0</v>
      </c>
      <c r="AJ20" s="815">
        <f t="shared" si="6"/>
        <v>379861</v>
      </c>
      <c r="AK20" s="815">
        <f t="shared" si="7"/>
        <v>109935</v>
      </c>
      <c r="AL20" s="818">
        <f t="shared" si="8"/>
        <v>40609</v>
      </c>
      <c r="AM20" s="817">
        <f>3870+12375</f>
        <v>16245</v>
      </c>
      <c r="AN20" s="818">
        <v>765</v>
      </c>
      <c r="AO20" s="1080"/>
      <c r="AP20" s="744">
        <f t="shared" si="19"/>
        <v>46220</v>
      </c>
      <c r="AQ20" s="1504">
        <f t="shared" si="18"/>
        <v>0.84497722586054524</v>
      </c>
      <c r="AR20" s="1505">
        <f t="shared" si="14"/>
        <v>0.76013505857825925</v>
      </c>
      <c r="AS20" s="1505">
        <f t="shared" si="10"/>
        <v>1.6356172001504767E-2</v>
      </c>
      <c r="AT20" s="1506">
        <f>IF(AFK!GM22=0,"",AFK!GM22)</f>
        <v>12.75</v>
      </c>
      <c r="AU20" s="1507">
        <f t="shared" si="15"/>
        <v>44129</v>
      </c>
      <c r="AV20" s="1507">
        <f t="shared" si="16"/>
        <v>17010</v>
      </c>
      <c r="AW20" s="1507">
        <f t="shared" si="11"/>
        <v>61139</v>
      </c>
      <c r="AX20" s="1507">
        <f t="shared" si="12"/>
        <v>101406</v>
      </c>
      <c r="AY20" s="1508">
        <f t="shared" si="13"/>
        <v>2934470</v>
      </c>
    </row>
    <row r="21" spans="1:51" ht="21.75" customHeight="1" thickBot="1">
      <c r="A21" s="485"/>
      <c r="B21" s="1264">
        <v>20</v>
      </c>
      <c r="C21" s="1255">
        <f t="shared" si="0"/>
        <v>0.997625193598348</v>
      </c>
      <c r="D21" s="1255">
        <f t="shared" si="1"/>
        <v>0.94816726897263814</v>
      </c>
      <c r="E21" s="1256">
        <f>斷絲!BD27</f>
        <v>4.0111111111111111</v>
      </c>
      <c r="F21" s="1287">
        <v>0.99638755341880336</v>
      </c>
      <c r="G21" s="1287"/>
      <c r="H21" s="1287">
        <v>1</v>
      </c>
      <c r="I21" s="1287">
        <v>0.99550280448717943</v>
      </c>
      <c r="J21" s="1263"/>
      <c r="K21" s="1264">
        <v>20</v>
      </c>
      <c r="L21" s="1265"/>
      <c r="M21" s="1265"/>
      <c r="N21" s="1265"/>
      <c r="O21" s="1265"/>
      <c r="P21" s="1265"/>
      <c r="S21" s="1329">
        <v>1000</v>
      </c>
      <c r="T21" s="1347">
        <f t="shared" si="17"/>
        <v>46221</v>
      </c>
      <c r="U21" s="1130">
        <v>41852</v>
      </c>
      <c r="V21" s="1130"/>
      <c r="W21" s="1130">
        <v>2078</v>
      </c>
      <c r="X21" s="1130">
        <v>595</v>
      </c>
      <c r="Y21" s="1130">
        <v>0</v>
      </c>
      <c r="Z21" s="816">
        <f t="shared" si="2"/>
        <v>44525</v>
      </c>
      <c r="AA21" s="815">
        <v>0</v>
      </c>
      <c r="AB21" s="815"/>
      <c r="AC21" s="815">
        <v>0</v>
      </c>
      <c r="AD21" s="815">
        <v>0</v>
      </c>
      <c r="AE21" s="815">
        <v>0</v>
      </c>
      <c r="AF21" s="816">
        <f t="shared" si="3"/>
        <v>0</v>
      </c>
      <c r="AG21" s="1269">
        <f t="shared" si="4"/>
        <v>2978995</v>
      </c>
      <c r="AH21" s="817">
        <f t="shared" si="20"/>
        <v>2445916.9999999995</v>
      </c>
      <c r="AI21" s="815">
        <f t="shared" si="20"/>
        <v>0</v>
      </c>
      <c r="AJ21" s="815">
        <f t="shared" si="6"/>
        <v>381939</v>
      </c>
      <c r="AK21" s="815">
        <f t="shared" si="7"/>
        <v>110530</v>
      </c>
      <c r="AL21" s="818">
        <f t="shared" si="8"/>
        <v>40609</v>
      </c>
      <c r="AM21" s="817">
        <v>0</v>
      </c>
      <c r="AN21" s="818">
        <v>0</v>
      </c>
      <c r="AO21" s="1080"/>
      <c r="AP21" s="744">
        <f t="shared" si="19"/>
        <v>46221</v>
      </c>
      <c r="AQ21" s="1504">
        <f t="shared" si="18"/>
        <v>0.98663672094329025</v>
      </c>
      <c r="AR21" s="1505">
        <f t="shared" si="14"/>
        <v>0.93996631106120154</v>
      </c>
      <c r="AS21" s="1505">
        <f t="shared" si="10"/>
        <v>2.2459292532285232E-2</v>
      </c>
      <c r="AT21" s="1506">
        <f>IF(AFK!GM23=0,"",AFK!GM23)</f>
        <v>13</v>
      </c>
      <c r="AU21" s="1507">
        <f t="shared" si="15"/>
        <v>44525</v>
      </c>
      <c r="AV21" s="1507">
        <f t="shared" si="16"/>
        <v>0</v>
      </c>
      <c r="AW21" s="1507">
        <f t="shared" si="11"/>
        <v>44525</v>
      </c>
      <c r="AX21" s="1507">
        <f t="shared" si="12"/>
        <v>0</v>
      </c>
      <c r="AY21" s="1508">
        <f t="shared" si="13"/>
        <v>2978995</v>
      </c>
    </row>
    <row r="22" spans="1:51" ht="21.75" customHeight="1">
      <c r="B22" s="1267">
        <v>21</v>
      </c>
      <c r="C22" s="1259" t="str">
        <f t="shared" si="0"/>
        <v/>
      </c>
      <c r="D22" s="1259" t="str">
        <f t="shared" si="1"/>
        <v/>
      </c>
      <c r="E22" s="1260" t="str">
        <f>斷絲!BD28</f>
        <v/>
      </c>
      <c r="F22" s="1288"/>
      <c r="G22" s="1288"/>
      <c r="H22" s="1288"/>
      <c r="I22" s="1288"/>
      <c r="J22" s="1266"/>
      <c r="K22" s="1267">
        <v>21</v>
      </c>
      <c r="L22" s="1268"/>
      <c r="M22" s="1268"/>
      <c r="N22" s="1268"/>
      <c r="O22" s="1268"/>
      <c r="P22" s="1268"/>
      <c r="S22" s="1329">
        <v>1000</v>
      </c>
      <c r="T22" s="1347">
        <f t="shared" si="17"/>
        <v>46222</v>
      </c>
      <c r="U22" s="1130">
        <v>37902</v>
      </c>
      <c r="V22" s="1130"/>
      <c r="W22" s="1130">
        <v>1445</v>
      </c>
      <c r="X22" s="1130">
        <v>894</v>
      </c>
      <c r="Y22" s="1130">
        <v>1725</v>
      </c>
      <c r="Z22" s="816">
        <f t="shared" si="2"/>
        <v>41966</v>
      </c>
      <c r="AA22" s="815">
        <v>0</v>
      </c>
      <c r="AB22" s="815"/>
      <c r="AC22" s="815">
        <v>0</v>
      </c>
      <c r="AD22" s="815">
        <v>0</v>
      </c>
      <c r="AE22" s="815">
        <v>0</v>
      </c>
      <c r="AF22" s="816">
        <f t="shared" si="3"/>
        <v>0</v>
      </c>
      <c r="AG22" s="1269">
        <f t="shared" si="4"/>
        <v>3020961</v>
      </c>
      <c r="AH22" s="817">
        <f t="shared" si="20"/>
        <v>2483818.9999999995</v>
      </c>
      <c r="AI22" s="815">
        <f t="shared" si="20"/>
        <v>0</v>
      </c>
      <c r="AJ22" s="815">
        <f t="shared" si="6"/>
        <v>383384</v>
      </c>
      <c r="AK22" s="815">
        <f t="shared" si="7"/>
        <v>111424</v>
      </c>
      <c r="AL22" s="818">
        <f t="shared" si="8"/>
        <v>42334</v>
      </c>
      <c r="AM22" s="817">
        <v>0</v>
      </c>
      <c r="AN22" s="818">
        <v>0</v>
      </c>
      <c r="AO22" s="1080"/>
      <c r="AP22" s="744">
        <f t="shared" si="19"/>
        <v>46222</v>
      </c>
      <c r="AQ22" s="1504">
        <f t="shared" si="18"/>
        <v>0.93759233665348141</v>
      </c>
      <c r="AR22" s="1505">
        <f t="shared" si="14"/>
        <v>0.90315970071009866</v>
      </c>
      <c r="AS22" s="1505">
        <f t="shared" si="10"/>
        <v>2.3828813801648953E-2</v>
      </c>
      <c r="AT22" s="1506">
        <f>IF(AFK!GM24=0,"",AFK!GM24)</f>
        <v>11.5</v>
      </c>
      <c r="AU22" s="1507">
        <f t="shared" si="15"/>
        <v>41966</v>
      </c>
      <c r="AV22" s="1507">
        <f t="shared" si="16"/>
        <v>0</v>
      </c>
      <c r="AW22" s="1507">
        <f t="shared" si="11"/>
        <v>41966</v>
      </c>
      <c r="AX22" s="1507">
        <f t="shared" si="12"/>
        <v>0</v>
      </c>
      <c r="AY22" s="1508">
        <f t="shared" si="13"/>
        <v>3020961</v>
      </c>
    </row>
    <row r="23" spans="1:51" ht="21.75" customHeight="1">
      <c r="B23" s="1250">
        <v>22</v>
      </c>
      <c r="C23" s="1246" t="str">
        <f t="shared" si="0"/>
        <v/>
      </c>
      <c r="D23" s="1246" t="str">
        <f t="shared" si="1"/>
        <v/>
      </c>
      <c r="E23" s="1247" t="str">
        <f>斷絲!BD29</f>
        <v/>
      </c>
      <c r="F23" s="1248"/>
      <c r="G23" s="1248"/>
      <c r="H23" s="1248"/>
      <c r="I23" s="1283"/>
      <c r="J23" s="1266"/>
      <c r="K23" s="1250">
        <v>22</v>
      </c>
      <c r="L23" s="1251"/>
      <c r="M23" s="1251"/>
      <c r="N23" s="1251"/>
      <c r="O23" s="1251"/>
      <c r="P23" s="1251"/>
      <c r="S23" s="1329">
        <v>1000</v>
      </c>
      <c r="T23" s="1347">
        <f t="shared" si="17"/>
        <v>46223</v>
      </c>
      <c r="U23" s="1130">
        <v>66738</v>
      </c>
      <c r="V23" s="1130"/>
      <c r="W23" s="1130">
        <v>1916</v>
      </c>
      <c r="X23" s="1130">
        <v>92</v>
      </c>
      <c r="Y23" s="1130">
        <v>0</v>
      </c>
      <c r="Z23" s="816">
        <f t="shared" si="2"/>
        <v>68746</v>
      </c>
      <c r="AA23" s="815">
        <v>83076</v>
      </c>
      <c r="AB23" s="815"/>
      <c r="AC23" s="815">
        <v>4853</v>
      </c>
      <c r="AD23" s="815">
        <v>0</v>
      </c>
      <c r="AE23" s="815">
        <v>0</v>
      </c>
      <c r="AF23" s="816">
        <f t="shared" si="3"/>
        <v>87929</v>
      </c>
      <c r="AG23" s="1269">
        <f t="shared" si="4"/>
        <v>3001778</v>
      </c>
      <c r="AH23" s="817">
        <f t="shared" si="20"/>
        <v>2467480.9999999995</v>
      </c>
      <c r="AI23" s="815">
        <f t="shared" si="20"/>
        <v>0</v>
      </c>
      <c r="AJ23" s="815">
        <f t="shared" si="6"/>
        <v>380447</v>
      </c>
      <c r="AK23" s="815">
        <f t="shared" si="7"/>
        <v>111516</v>
      </c>
      <c r="AL23" s="818">
        <f t="shared" si="8"/>
        <v>42334</v>
      </c>
      <c r="AM23" s="817">
        <f>19500+10506</f>
        <v>30006</v>
      </c>
      <c r="AN23" s="818">
        <v>0</v>
      </c>
      <c r="AO23" s="1080"/>
      <c r="AP23" s="744">
        <f t="shared" si="19"/>
        <v>46223</v>
      </c>
      <c r="AQ23" s="1504">
        <f t="shared" si="18"/>
        <v>0.997625193598348</v>
      </c>
      <c r="AR23" s="1505">
        <f t="shared" si="14"/>
        <v>0.94816726897263814</v>
      </c>
      <c r="AS23" s="1505">
        <f t="shared" si="10"/>
        <v>1.4546300875687312E-2</v>
      </c>
      <c r="AT23" s="1506">
        <f>IF(AFK!GM25=0,"",AFK!GM25)</f>
        <v>12</v>
      </c>
      <c r="AU23" s="1507">
        <f t="shared" si="15"/>
        <v>38740</v>
      </c>
      <c r="AV23" s="1507">
        <f t="shared" si="16"/>
        <v>30006</v>
      </c>
      <c r="AW23" s="1507">
        <f t="shared" si="11"/>
        <v>68746</v>
      </c>
      <c r="AX23" s="1507">
        <f t="shared" si="12"/>
        <v>87929</v>
      </c>
      <c r="AY23" s="1508">
        <f t="shared" si="13"/>
        <v>3001778</v>
      </c>
    </row>
    <row r="24" spans="1:51" ht="21.75" customHeight="1">
      <c r="B24" s="1250">
        <v>23</v>
      </c>
      <c r="C24" s="1246" t="str">
        <f t="shared" si="0"/>
        <v/>
      </c>
      <c r="D24" s="1246" t="str">
        <f t="shared" si="1"/>
        <v/>
      </c>
      <c r="E24" s="1247" t="str">
        <f>斷絲!BD30</f>
        <v/>
      </c>
      <c r="F24" s="1248"/>
      <c r="G24" s="1248"/>
      <c r="H24" s="1248"/>
      <c r="I24" s="1283"/>
      <c r="J24" s="1266"/>
      <c r="K24" s="1250">
        <v>23</v>
      </c>
      <c r="L24" s="1251"/>
      <c r="M24" s="1251"/>
      <c r="N24" s="1251"/>
      <c r="O24" s="1251"/>
      <c r="P24" s="1251"/>
      <c r="S24" s="1329"/>
      <c r="T24" s="1347">
        <f t="shared" si="17"/>
        <v>46224</v>
      </c>
      <c r="U24" s="1130"/>
      <c r="V24" s="1130"/>
      <c r="W24" s="1130"/>
      <c r="X24" s="1130"/>
      <c r="Y24" s="1130"/>
      <c r="Z24" s="816"/>
      <c r="AA24" s="815"/>
      <c r="AB24" s="815"/>
      <c r="AC24" s="815"/>
      <c r="AD24" s="815"/>
      <c r="AE24" s="815"/>
      <c r="AF24" s="816"/>
      <c r="AG24" s="1269"/>
      <c r="AH24" s="817"/>
      <c r="AI24" s="815"/>
      <c r="AJ24" s="815"/>
      <c r="AK24" s="815"/>
      <c r="AL24" s="818"/>
      <c r="AM24" s="817"/>
      <c r="AN24" s="818"/>
      <c r="AO24" s="1080"/>
      <c r="AP24" s="744">
        <f t="shared" si="19"/>
        <v>46224</v>
      </c>
      <c r="AQ24" s="1504" t="str">
        <f t="shared" si="18"/>
        <v/>
      </c>
      <c r="AR24" s="1505" t="str">
        <f t="shared" si="14"/>
        <v/>
      </c>
      <c r="AS24" s="1505" t="str">
        <f t="shared" si="10"/>
        <v/>
      </c>
      <c r="AT24" s="1506" t="str">
        <f>IF(AFK!GM26=0,"",AFK!GM26)</f>
        <v/>
      </c>
      <c r="AU24" s="1507">
        <f t="shared" si="15"/>
        <v>0</v>
      </c>
      <c r="AV24" s="1507">
        <f t="shared" si="16"/>
        <v>0</v>
      </c>
      <c r="AW24" s="1507">
        <f t="shared" si="11"/>
        <v>0</v>
      </c>
      <c r="AX24" s="1507">
        <f t="shared" si="12"/>
        <v>0</v>
      </c>
      <c r="AY24" s="1508">
        <f t="shared" si="13"/>
        <v>0</v>
      </c>
    </row>
    <row r="25" spans="1:51" ht="21.75" customHeight="1">
      <c r="B25" s="1250">
        <v>24</v>
      </c>
      <c r="C25" s="1246" t="str">
        <f t="shared" si="0"/>
        <v/>
      </c>
      <c r="D25" s="1246" t="str">
        <f t="shared" si="1"/>
        <v/>
      </c>
      <c r="E25" s="1247" t="str">
        <f>斷絲!BD31</f>
        <v/>
      </c>
      <c r="F25" s="1248"/>
      <c r="G25" s="1248"/>
      <c r="H25" s="1248"/>
      <c r="I25" s="1283"/>
      <c r="J25" s="1266"/>
      <c r="K25" s="1250">
        <v>24</v>
      </c>
      <c r="L25" s="1251"/>
      <c r="M25" s="1251"/>
      <c r="N25" s="1251"/>
      <c r="O25" s="1251"/>
      <c r="P25" s="1251"/>
      <c r="S25" s="1329"/>
      <c r="T25" s="1347">
        <f t="shared" si="17"/>
        <v>46225</v>
      </c>
      <c r="U25" s="1130"/>
      <c r="V25" s="1130"/>
      <c r="W25" s="1130"/>
      <c r="X25" s="1130"/>
      <c r="Y25" s="1130"/>
      <c r="Z25" s="816"/>
      <c r="AA25" s="815"/>
      <c r="AB25" s="815"/>
      <c r="AC25" s="815"/>
      <c r="AD25" s="815"/>
      <c r="AE25" s="815"/>
      <c r="AF25" s="816"/>
      <c r="AG25" s="1269"/>
      <c r="AH25" s="817"/>
      <c r="AI25" s="815"/>
      <c r="AJ25" s="815"/>
      <c r="AK25" s="815"/>
      <c r="AL25" s="818"/>
      <c r="AM25" s="817"/>
      <c r="AN25" s="818"/>
      <c r="AO25" s="1080"/>
      <c r="AP25" s="744">
        <f t="shared" si="19"/>
        <v>46225</v>
      </c>
      <c r="AQ25" s="1504" t="str">
        <f t="shared" si="18"/>
        <v/>
      </c>
      <c r="AR25" s="1505" t="str">
        <f t="shared" si="14"/>
        <v/>
      </c>
      <c r="AS25" s="1505" t="str">
        <f t="shared" si="10"/>
        <v/>
      </c>
      <c r="AT25" s="1506" t="str">
        <f>IF(AFK!GM27=0,"",AFK!GM27)</f>
        <v/>
      </c>
      <c r="AU25" s="1507">
        <f t="shared" si="15"/>
        <v>0</v>
      </c>
      <c r="AV25" s="1507">
        <f t="shared" si="16"/>
        <v>0</v>
      </c>
      <c r="AW25" s="1507">
        <f t="shared" si="11"/>
        <v>0</v>
      </c>
      <c r="AX25" s="1507">
        <f t="shared" si="12"/>
        <v>0</v>
      </c>
      <c r="AY25" s="1508">
        <f t="shared" si="13"/>
        <v>0</v>
      </c>
    </row>
    <row r="26" spans="1:51" ht="21.75" customHeight="1">
      <c r="B26" s="1250">
        <v>25</v>
      </c>
      <c r="C26" s="1246" t="str">
        <f t="shared" si="0"/>
        <v/>
      </c>
      <c r="D26" s="1246" t="str">
        <f t="shared" si="1"/>
        <v/>
      </c>
      <c r="E26" s="1247" t="str">
        <f>斷絲!BD32</f>
        <v/>
      </c>
      <c r="F26" s="1248"/>
      <c r="G26" s="1248"/>
      <c r="H26" s="1248"/>
      <c r="I26" s="1283"/>
      <c r="J26" s="1266"/>
      <c r="K26" s="1250">
        <v>25</v>
      </c>
      <c r="L26" s="1251"/>
      <c r="M26" s="1251"/>
      <c r="N26" s="1251"/>
      <c r="O26" s="1251"/>
      <c r="P26" s="1251"/>
      <c r="S26" s="1329"/>
      <c r="T26" s="1347">
        <f t="shared" si="17"/>
        <v>46226</v>
      </c>
      <c r="U26" s="1130"/>
      <c r="V26" s="1130"/>
      <c r="W26" s="1130"/>
      <c r="X26" s="1130"/>
      <c r="Y26" s="1130"/>
      <c r="Z26" s="816"/>
      <c r="AA26" s="815"/>
      <c r="AB26" s="815"/>
      <c r="AC26" s="815"/>
      <c r="AD26" s="815"/>
      <c r="AE26" s="815"/>
      <c r="AF26" s="816"/>
      <c r="AG26" s="1269"/>
      <c r="AH26" s="817"/>
      <c r="AI26" s="815"/>
      <c r="AJ26" s="815"/>
      <c r="AK26" s="815"/>
      <c r="AL26" s="818"/>
      <c r="AM26" s="817"/>
      <c r="AN26" s="818"/>
      <c r="AO26" s="1080"/>
      <c r="AP26" s="744">
        <f t="shared" si="19"/>
        <v>46226</v>
      </c>
      <c r="AQ26" s="1504" t="str">
        <f t="shared" si="18"/>
        <v/>
      </c>
      <c r="AR26" s="1505" t="str">
        <f t="shared" si="14"/>
        <v/>
      </c>
      <c r="AS26" s="1505" t="str">
        <f t="shared" si="10"/>
        <v/>
      </c>
      <c r="AT26" s="1506" t="str">
        <f>IF(AFK!GM28=0,"",AFK!GM28)</f>
        <v/>
      </c>
      <c r="AU26" s="1507">
        <f t="shared" si="15"/>
        <v>0</v>
      </c>
      <c r="AV26" s="1507">
        <f t="shared" si="16"/>
        <v>0</v>
      </c>
      <c r="AW26" s="1507">
        <f t="shared" si="11"/>
        <v>0</v>
      </c>
      <c r="AX26" s="1507">
        <f t="shared" si="12"/>
        <v>0</v>
      </c>
      <c r="AY26" s="1508">
        <f t="shared" si="13"/>
        <v>0</v>
      </c>
    </row>
    <row r="27" spans="1:51" ht="21.75" customHeight="1">
      <c r="B27" s="1250">
        <v>26</v>
      </c>
      <c r="C27" s="1246" t="str">
        <f t="shared" si="0"/>
        <v/>
      </c>
      <c r="D27" s="1246" t="str">
        <f t="shared" si="1"/>
        <v/>
      </c>
      <c r="E27" s="1247" t="str">
        <f>斷絲!BD33</f>
        <v/>
      </c>
      <c r="F27" s="1248"/>
      <c r="G27" s="1248"/>
      <c r="H27" s="1248"/>
      <c r="I27" s="1283"/>
      <c r="J27" s="1266"/>
      <c r="K27" s="1250">
        <v>26</v>
      </c>
      <c r="L27" s="1251"/>
      <c r="M27" s="1251"/>
      <c r="N27" s="1251"/>
      <c r="O27" s="1251"/>
      <c r="P27" s="1251"/>
      <c r="S27" s="1329"/>
      <c r="T27" s="1347">
        <f t="shared" si="17"/>
        <v>46227</v>
      </c>
      <c r="U27" s="1130"/>
      <c r="V27" s="1130"/>
      <c r="W27" s="1130"/>
      <c r="X27" s="1130"/>
      <c r="Y27" s="1130"/>
      <c r="Z27" s="816"/>
      <c r="AA27" s="815"/>
      <c r="AB27" s="815"/>
      <c r="AC27" s="815"/>
      <c r="AD27" s="815"/>
      <c r="AE27" s="815"/>
      <c r="AF27" s="816"/>
      <c r="AG27" s="1269"/>
      <c r="AH27" s="817"/>
      <c r="AI27" s="815"/>
      <c r="AJ27" s="815"/>
      <c r="AK27" s="815"/>
      <c r="AL27" s="818"/>
      <c r="AM27" s="817"/>
      <c r="AN27" s="818"/>
      <c r="AO27" s="1080"/>
      <c r="AP27" s="744">
        <f t="shared" si="19"/>
        <v>46227</v>
      </c>
      <c r="AQ27" s="1504" t="str">
        <f t="shared" si="18"/>
        <v/>
      </c>
      <c r="AR27" s="1505" t="str">
        <f t="shared" si="14"/>
        <v/>
      </c>
      <c r="AS27" s="1505" t="str">
        <f t="shared" si="10"/>
        <v/>
      </c>
      <c r="AT27" s="1506" t="str">
        <f>IF(AFK!GM29=0,"",AFK!GM29)</f>
        <v/>
      </c>
      <c r="AU27" s="1507">
        <f t="shared" si="15"/>
        <v>0</v>
      </c>
      <c r="AV27" s="1507">
        <f t="shared" si="16"/>
        <v>0</v>
      </c>
      <c r="AW27" s="1507">
        <f t="shared" si="11"/>
        <v>0</v>
      </c>
      <c r="AX27" s="1507">
        <f t="shared" si="12"/>
        <v>0</v>
      </c>
      <c r="AY27" s="1508">
        <f t="shared" si="13"/>
        <v>0</v>
      </c>
    </row>
    <row r="28" spans="1:51" ht="21.75" customHeight="1">
      <c r="B28" s="1250">
        <v>27</v>
      </c>
      <c r="C28" s="1246" t="str">
        <f t="shared" si="0"/>
        <v/>
      </c>
      <c r="D28" s="1246" t="str">
        <f t="shared" si="1"/>
        <v/>
      </c>
      <c r="E28" s="1247" t="str">
        <f>斷絲!BD34</f>
        <v/>
      </c>
      <c r="F28" s="1248"/>
      <c r="G28" s="1248"/>
      <c r="H28" s="1248"/>
      <c r="I28" s="1283"/>
      <c r="J28" s="1266"/>
      <c r="K28" s="1250">
        <v>27</v>
      </c>
      <c r="L28" s="1251"/>
      <c r="M28" s="1251"/>
      <c r="N28" s="1251"/>
      <c r="O28" s="1251"/>
      <c r="P28" s="1251"/>
      <c r="S28" s="1329"/>
      <c r="T28" s="1347">
        <f t="shared" si="17"/>
        <v>46228</v>
      </c>
      <c r="U28" s="1130"/>
      <c r="V28" s="1130"/>
      <c r="W28" s="1130"/>
      <c r="X28" s="1130"/>
      <c r="Y28" s="1130"/>
      <c r="Z28" s="816"/>
      <c r="AA28" s="815"/>
      <c r="AB28" s="815"/>
      <c r="AC28" s="815"/>
      <c r="AD28" s="815"/>
      <c r="AE28" s="815"/>
      <c r="AF28" s="816"/>
      <c r="AG28" s="1269"/>
      <c r="AH28" s="817"/>
      <c r="AI28" s="815"/>
      <c r="AJ28" s="815"/>
      <c r="AK28" s="815"/>
      <c r="AL28" s="818"/>
      <c r="AM28" s="817"/>
      <c r="AN28" s="818"/>
      <c r="AO28" s="1080"/>
      <c r="AP28" s="744">
        <f t="shared" si="19"/>
        <v>46228</v>
      </c>
      <c r="AQ28" s="1504" t="str">
        <f t="shared" si="18"/>
        <v/>
      </c>
      <c r="AR28" s="1505" t="str">
        <f t="shared" si="14"/>
        <v/>
      </c>
      <c r="AS28" s="1505" t="str">
        <f t="shared" si="10"/>
        <v/>
      </c>
      <c r="AT28" s="1506" t="str">
        <f>IF(AFK!GM30=0,"",AFK!GM30)</f>
        <v/>
      </c>
      <c r="AU28" s="1507">
        <f t="shared" si="15"/>
        <v>0</v>
      </c>
      <c r="AV28" s="1507">
        <f t="shared" si="16"/>
        <v>0</v>
      </c>
      <c r="AW28" s="1507">
        <f t="shared" si="11"/>
        <v>0</v>
      </c>
      <c r="AX28" s="1507">
        <f t="shared" si="12"/>
        <v>0</v>
      </c>
      <c r="AY28" s="1508">
        <f t="shared" si="13"/>
        <v>0</v>
      </c>
    </row>
    <row r="29" spans="1:51" ht="21.75" customHeight="1">
      <c r="B29" s="1250">
        <v>28</v>
      </c>
      <c r="C29" s="1246" t="str">
        <f t="shared" si="0"/>
        <v/>
      </c>
      <c r="D29" s="1246" t="str">
        <f t="shared" si="1"/>
        <v/>
      </c>
      <c r="E29" s="1247" t="str">
        <f>斷絲!BD35</f>
        <v/>
      </c>
      <c r="F29" s="1248"/>
      <c r="G29" s="1248"/>
      <c r="H29" s="1283"/>
      <c r="I29" s="1283"/>
      <c r="J29" s="1266"/>
      <c r="K29" s="1250">
        <v>28</v>
      </c>
      <c r="L29" s="1251"/>
      <c r="M29" s="1251"/>
      <c r="N29" s="1251"/>
      <c r="O29" s="1251"/>
      <c r="P29" s="1251"/>
      <c r="S29" s="1329"/>
      <c r="T29" s="1347">
        <f t="shared" si="17"/>
        <v>46229</v>
      </c>
      <c r="U29" s="1130"/>
      <c r="V29" s="1130"/>
      <c r="W29" s="1131"/>
      <c r="X29" s="1130"/>
      <c r="Y29" s="1130"/>
      <c r="Z29" s="816"/>
      <c r="AA29" s="815"/>
      <c r="AB29" s="815"/>
      <c r="AC29" s="815"/>
      <c r="AD29" s="815"/>
      <c r="AE29" s="815"/>
      <c r="AF29" s="816"/>
      <c r="AG29" s="1269"/>
      <c r="AH29" s="817"/>
      <c r="AI29" s="815"/>
      <c r="AJ29" s="815"/>
      <c r="AK29" s="815"/>
      <c r="AL29" s="818"/>
      <c r="AM29" s="817"/>
      <c r="AN29" s="818"/>
      <c r="AO29" s="1080"/>
      <c r="AP29" s="744">
        <f t="shared" si="19"/>
        <v>46229</v>
      </c>
      <c r="AQ29" s="1504" t="str">
        <f t="shared" si="18"/>
        <v/>
      </c>
      <c r="AR29" s="1505" t="str">
        <f t="shared" si="14"/>
        <v/>
      </c>
      <c r="AS29" s="1505" t="str">
        <f t="shared" si="10"/>
        <v/>
      </c>
      <c r="AT29" s="1506" t="str">
        <f>IF(AFK!GM31=0,"",AFK!GM31)</f>
        <v/>
      </c>
      <c r="AU29" s="1507">
        <f t="shared" si="15"/>
        <v>0</v>
      </c>
      <c r="AV29" s="1507">
        <f t="shared" si="16"/>
        <v>0</v>
      </c>
      <c r="AW29" s="1507">
        <f t="shared" si="11"/>
        <v>0</v>
      </c>
      <c r="AX29" s="1507">
        <f t="shared" si="12"/>
        <v>0</v>
      </c>
      <c r="AY29" s="1508">
        <f t="shared" si="13"/>
        <v>0</v>
      </c>
    </row>
    <row r="30" spans="1:51" ht="21.75" customHeight="1">
      <c r="B30" s="1250">
        <v>29</v>
      </c>
      <c r="C30" s="1246" t="str">
        <f t="shared" si="0"/>
        <v/>
      </c>
      <c r="D30" s="1246" t="str">
        <f t="shared" si="1"/>
        <v/>
      </c>
      <c r="E30" s="1247" t="str">
        <f>斷絲!BD36</f>
        <v/>
      </c>
      <c r="F30" s="1248"/>
      <c r="G30" s="1248"/>
      <c r="H30" s="1283"/>
      <c r="I30" s="1283"/>
      <c r="J30" s="1266"/>
      <c r="K30" s="1250">
        <v>29</v>
      </c>
      <c r="L30" s="1251"/>
      <c r="M30" s="1251"/>
      <c r="N30" s="1251"/>
      <c r="O30" s="1251"/>
      <c r="P30" s="1251"/>
      <c r="S30" s="1329"/>
      <c r="T30" s="1347">
        <f t="shared" si="17"/>
        <v>46230</v>
      </c>
      <c r="U30" s="1130"/>
      <c r="V30" s="1130"/>
      <c r="W30" s="1130"/>
      <c r="X30" s="1130"/>
      <c r="Y30" s="1130"/>
      <c r="Z30" s="816"/>
      <c r="AA30" s="815"/>
      <c r="AB30" s="815"/>
      <c r="AC30" s="815"/>
      <c r="AD30" s="815"/>
      <c r="AE30" s="815"/>
      <c r="AF30" s="816"/>
      <c r="AG30" s="1269"/>
      <c r="AH30" s="817"/>
      <c r="AI30" s="815"/>
      <c r="AJ30" s="815"/>
      <c r="AK30" s="815"/>
      <c r="AL30" s="818"/>
      <c r="AM30" s="817"/>
      <c r="AN30" s="818"/>
      <c r="AO30" s="1080"/>
      <c r="AP30" s="744">
        <f t="shared" si="19"/>
        <v>46230</v>
      </c>
      <c r="AQ30" s="1504" t="str">
        <f t="shared" si="18"/>
        <v/>
      </c>
      <c r="AR30" s="1505" t="str">
        <f t="shared" si="14"/>
        <v/>
      </c>
      <c r="AS30" s="1505" t="str">
        <f t="shared" si="10"/>
        <v/>
      </c>
      <c r="AT30" s="1506" t="str">
        <f>IF(AFK!GM32=0,"",AFK!GM32)</f>
        <v/>
      </c>
      <c r="AU30" s="1507">
        <f t="shared" si="15"/>
        <v>0</v>
      </c>
      <c r="AV30" s="1507">
        <f t="shared" si="16"/>
        <v>0</v>
      </c>
      <c r="AW30" s="1507">
        <f t="shared" si="11"/>
        <v>0</v>
      </c>
      <c r="AX30" s="1507">
        <f t="shared" si="12"/>
        <v>0</v>
      </c>
      <c r="AY30" s="1508">
        <f t="shared" si="13"/>
        <v>0</v>
      </c>
    </row>
    <row r="31" spans="1:51" ht="21.75" customHeight="1">
      <c r="B31" s="1250">
        <v>30</v>
      </c>
      <c r="C31" s="1246" t="str">
        <f t="shared" si="0"/>
        <v/>
      </c>
      <c r="D31" s="1246" t="str">
        <f t="shared" si="1"/>
        <v/>
      </c>
      <c r="E31" s="1247" t="str">
        <f>斷絲!BD37</f>
        <v/>
      </c>
      <c r="F31" s="1248"/>
      <c r="G31" s="1248"/>
      <c r="H31" s="1283"/>
      <c r="I31" s="1283"/>
      <c r="J31" s="1266"/>
      <c r="K31" s="1250">
        <v>30</v>
      </c>
      <c r="L31" s="1251"/>
      <c r="M31" s="1251"/>
      <c r="N31" s="1251"/>
      <c r="O31" s="1251"/>
      <c r="P31" s="1251"/>
      <c r="S31" s="1329"/>
      <c r="T31" s="1347">
        <f t="shared" si="17"/>
        <v>46231</v>
      </c>
      <c r="U31" s="1130"/>
      <c r="V31" s="1130"/>
      <c r="W31" s="1130"/>
      <c r="X31" s="1130"/>
      <c r="Y31" s="1130"/>
      <c r="Z31" s="816"/>
      <c r="AA31" s="815"/>
      <c r="AB31" s="815"/>
      <c r="AC31" s="815"/>
      <c r="AD31" s="815"/>
      <c r="AE31" s="815"/>
      <c r="AF31" s="816"/>
      <c r="AG31" s="1269"/>
      <c r="AH31" s="817"/>
      <c r="AI31" s="815"/>
      <c r="AJ31" s="815"/>
      <c r="AK31" s="815"/>
      <c r="AL31" s="818"/>
      <c r="AM31" s="817"/>
      <c r="AN31" s="818"/>
      <c r="AO31" s="1080"/>
      <c r="AP31" s="744">
        <f t="shared" si="19"/>
        <v>46231</v>
      </c>
      <c r="AQ31" s="1504" t="str">
        <f t="shared" si="18"/>
        <v/>
      </c>
      <c r="AR31" s="1505" t="str">
        <f t="shared" si="14"/>
        <v/>
      </c>
      <c r="AS31" s="1505" t="str">
        <f t="shared" si="10"/>
        <v/>
      </c>
      <c r="AT31" s="1506" t="str">
        <f>IF(AFK!GM33=0,"",AFK!GM33)</f>
        <v/>
      </c>
      <c r="AU31" s="1507">
        <f t="shared" si="15"/>
        <v>0</v>
      </c>
      <c r="AV31" s="1507">
        <f t="shared" si="16"/>
        <v>0</v>
      </c>
      <c r="AW31" s="1507">
        <f t="shared" si="11"/>
        <v>0</v>
      </c>
      <c r="AX31" s="1507">
        <f t="shared" si="12"/>
        <v>0</v>
      </c>
      <c r="AY31" s="1508">
        <f t="shared" si="13"/>
        <v>0</v>
      </c>
    </row>
    <row r="32" spans="1:51" ht="21.75" customHeight="1">
      <c r="B32" s="1250">
        <v>31</v>
      </c>
      <c r="C32" s="1246" t="str">
        <f t="shared" si="0"/>
        <v/>
      </c>
      <c r="D32" s="1246" t="str">
        <f t="shared" si="1"/>
        <v/>
      </c>
      <c r="E32" s="1247" t="str">
        <f>斷絲!BD38</f>
        <v/>
      </c>
      <c r="F32" s="1248"/>
      <c r="G32" s="1248"/>
      <c r="H32" s="1283"/>
      <c r="I32" s="1283"/>
      <c r="J32" s="1266"/>
      <c r="K32" s="1250">
        <v>31</v>
      </c>
      <c r="L32" s="1253"/>
      <c r="M32" s="1253"/>
      <c r="N32" s="1253"/>
      <c r="O32" s="1253"/>
      <c r="P32" s="1253"/>
      <c r="S32" s="1329"/>
      <c r="T32" s="1347">
        <f t="shared" si="17"/>
        <v>46232</v>
      </c>
      <c r="U32" s="1130"/>
      <c r="V32" s="1130"/>
      <c r="W32" s="1130"/>
      <c r="X32" s="1130"/>
      <c r="Y32" s="1130"/>
      <c r="Z32" s="816"/>
      <c r="AA32" s="815"/>
      <c r="AB32" s="815"/>
      <c r="AC32" s="815"/>
      <c r="AD32" s="815"/>
      <c r="AE32" s="815"/>
      <c r="AF32" s="816"/>
      <c r="AG32" s="1269"/>
      <c r="AH32" s="817"/>
      <c r="AI32" s="815"/>
      <c r="AJ32" s="815"/>
      <c r="AK32" s="815"/>
      <c r="AL32" s="818"/>
      <c r="AM32" s="817"/>
      <c r="AN32" s="818"/>
      <c r="AO32" s="1080"/>
      <c r="AP32" s="744">
        <f t="shared" si="19"/>
        <v>46232</v>
      </c>
      <c r="AQ32" s="1504" t="str">
        <f t="shared" si="18"/>
        <v/>
      </c>
      <c r="AR32" s="1505" t="str">
        <f t="shared" si="14"/>
        <v/>
      </c>
      <c r="AS32" s="1505" t="str">
        <f t="shared" si="10"/>
        <v/>
      </c>
      <c r="AT32" s="1506" t="str">
        <f>IF(AFK!GM34=0,"",AFK!GM34)</f>
        <v/>
      </c>
      <c r="AU32" s="1507">
        <f t="shared" si="15"/>
        <v>0</v>
      </c>
      <c r="AV32" s="1507">
        <f t="shared" si="16"/>
        <v>0</v>
      </c>
      <c r="AW32" s="1507">
        <f t="shared" si="11"/>
        <v>0</v>
      </c>
      <c r="AX32" s="1507">
        <f t="shared" si="12"/>
        <v>0</v>
      </c>
      <c r="AY32" s="1508">
        <f t="shared" si="13"/>
        <v>0</v>
      </c>
    </row>
    <row r="33" spans="1:51" ht="21.75" customHeight="1">
      <c r="B33" s="490" t="s">
        <v>263</v>
      </c>
      <c r="C33" s="505"/>
      <c r="D33" s="505"/>
      <c r="K33" s="490" t="s">
        <v>263</v>
      </c>
      <c r="L33" s="491">
        <f>AVERAGE(L2:L32)</f>
        <v>68.400000000000006</v>
      </c>
      <c r="M33" s="491">
        <f>AVERAGE(M2:M32)</f>
        <v>35</v>
      </c>
      <c r="N33" s="491">
        <f>AVERAGE(N2:N32)</f>
        <v>34.200000000000003</v>
      </c>
      <c r="O33" s="491">
        <f>AVERAGE(O2:O32)</f>
        <v>5.8</v>
      </c>
      <c r="P33" s="491" t="e">
        <f>AVERAGE(P2:P32)</f>
        <v>#DIV/0!</v>
      </c>
      <c r="S33" s="1329"/>
      <c r="T33" s="1347">
        <f t="shared" si="17"/>
        <v>46233</v>
      </c>
      <c r="U33" s="1130"/>
      <c r="V33" s="1130"/>
      <c r="W33" s="1130"/>
      <c r="X33" s="1130"/>
      <c r="Y33" s="1130"/>
      <c r="Z33" s="816"/>
      <c r="AA33" s="815"/>
      <c r="AB33" s="815"/>
      <c r="AC33" s="815"/>
      <c r="AD33" s="815"/>
      <c r="AE33" s="815"/>
      <c r="AF33" s="816"/>
      <c r="AG33" s="1269"/>
      <c r="AH33" s="817"/>
      <c r="AI33" s="815"/>
      <c r="AJ33" s="815"/>
      <c r="AK33" s="815"/>
      <c r="AL33" s="818"/>
      <c r="AM33" s="817"/>
      <c r="AN33" s="818"/>
      <c r="AO33" s="1080"/>
      <c r="AP33" s="744">
        <f t="shared" si="19"/>
        <v>46233</v>
      </c>
      <c r="AQ33" s="1504" t="str">
        <f t="shared" si="18"/>
        <v/>
      </c>
      <c r="AR33" s="1505" t="str">
        <f t="shared" si="14"/>
        <v/>
      </c>
      <c r="AS33" s="1505" t="str">
        <f t="shared" si="10"/>
        <v/>
      </c>
      <c r="AT33" s="1506" t="str">
        <f>IF(AFK!GM35=0,"",AFK!GM35)</f>
        <v/>
      </c>
      <c r="AU33" s="1507">
        <f t="shared" si="15"/>
        <v>0</v>
      </c>
      <c r="AV33" s="1507">
        <f t="shared" si="16"/>
        <v>0</v>
      </c>
      <c r="AW33" s="1507">
        <f t="shared" si="11"/>
        <v>0</v>
      </c>
      <c r="AX33" s="1507">
        <f t="shared" si="12"/>
        <v>0</v>
      </c>
      <c r="AY33" s="1508">
        <f t="shared" si="13"/>
        <v>0</v>
      </c>
    </row>
    <row r="34" spans="1:51" ht="21.75" customHeight="1" thickBot="1">
      <c r="A34" s="1229"/>
      <c r="C34" s="1230"/>
      <c r="D34" s="1230"/>
      <c r="P34" s="506" t="s">
        <v>277</v>
      </c>
      <c r="S34" s="1330"/>
      <c r="T34" s="1348">
        <f t="shared" si="17"/>
        <v>46234</v>
      </c>
      <c r="U34" s="1130"/>
      <c r="V34" s="1130"/>
      <c r="W34" s="1130"/>
      <c r="X34" s="1130"/>
      <c r="Y34" s="1130"/>
      <c r="Z34" s="816"/>
      <c r="AA34" s="815"/>
      <c r="AB34" s="815"/>
      <c r="AC34" s="815"/>
      <c r="AD34" s="815"/>
      <c r="AE34" s="815"/>
      <c r="AF34" s="816"/>
      <c r="AG34" s="1269"/>
      <c r="AH34" s="817"/>
      <c r="AI34" s="815"/>
      <c r="AJ34" s="815"/>
      <c r="AK34" s="815"/>
      <c r="AL34" s="818"/>
      <c r="AM34" s="817"/>
      <c r="AN34" s="818"/>
      <c r="AO34" s="1096"/>
      <c r="AP34" s="745">
        <f t="shared" si="19"/>
        <v>46234</v>
      </c>
      <c r="AQ34" s="1509" t="str">
        <f t="shared" si="18"/>
        <v/>
      </c>
      <c r="AR34" s="1510" t="str">
        <f t="shared" si="14"/>
        <v/>
      </c>
      <c r="AS34" s="1510" t="str">
        <f t="shared" si="10"/>
        <v/>
      </c>
      <c r="AT34" s="1511" t="str">
        <f>IF(AFK!GM36=0,"",AFK!GM36)</f>
        <v/>
      </c>
      <c r="AU34" s="1512">
        <f>Z34-AM34-AN34</f>
        <v>0</v>
      </c>
      <c r="AV34" s="1512">
        <f t="shared" si="16"/>
        <v>0</v>
      </c>
      <c r="AW34" s="1512">
        <f t="shared" si="11"/>
        <v>0</v>
      </c>
      <c r="AX34" s="1512">
        <f t="shared" si="12"/>
        <v>0</v>
      </c>
      <c r="AY34" s="1513">
        <f t="shared" si="13"/>
        <v>0</v>
      </c>
    </row>
    <row r="35" spans="1:51" s="909" customFormat="1" ht="21.75" customHeight="1" thickTop="1" thickBot="1">
      <c r="A35" s="907"/>
      <c r="B35" s="905"/>
      <c r="C35" s="905"/>
      <c r="D35" s="905"/>
      <c r="E35" s="908"/>
      <c r="F35" s="1290"/>
      <c r="G35" s="1290"/>
      <c r="H35" s="1290"/>
      <c r="I35" s="1290"/>
      <c r="J35" s="905"/>
      <c r="K35" s="905"/>
      <c r="L35" s="906"/>
      <c r="M35" s="906"/>
      <c r="N35" s="906"/>
      <c r="O35" s="906"/>
      <c r="P35" s="906"/>
      <c r="S35" s="1331">
        <f>SUM(S4:S34)</f>
        <v>21200</v>
      </c>
      <c r="T35" s="910" t="s">
        <v>545</v>
      </c>
      <c r="U35" s="911">
        <f>SUM(U4:U34)</f>
        <v>1139742.2</v>
      </c>
      <c r="V35" s="911">
        <f>SUM(V4:V33)</f>
        <v>0</v>
      </c>
      <c r="W35" s="911">
        <f>SUM(W4:W34)</f>
        <v>29012</v>
      </c>
      <c r="X35" s="911">
        <f>SUM(X4:X34)</f>
        <v>22326</v>
      </c>
      <c r="Y35" s="911">
        <f>SUM(Y4:Y34)</f>
        <v>2614</v>
      </c>
      <c r="Z35" s="912">
        <f>SUM(U35:Y35)</f>
        <v>1193694.2</v>
      </c>
      <c r="AA35" s="911">
        <f>SUM(AA4:AA34)</f>
        <v>936157.2</v>
      </c>
      <c r="AB35" s="911">
        <f>SUM(AB4:AB34)</f>
        <v>0</v>
      </c>
      <c r="AC35" s="911">
        <f>SUM(AC4:AC34)</f>
        <v>65164</v>
      </c>
      <c r="AD35" s="911">
        <f>SUM(AD4:AD34)</f>
        <v>0</v>
      </c>
      <c r="AE35" s="911">
        <f>SUM(AE4:AE34)</f>
        <v>0</v>
      </c>
      <c r="AF35" s="913">
        <f>SUM(AA35:AE35)</f>
        <v>1001321.2</v>
      </c>
      <c r="AG35" s="914">
        <f>AG3+Z35-AF35</f>
        <v>3001778</v>
      </c>
      <c r="AH35" s="1452">
        <f t="shared" ref="AH35:AL35" si="21">SUM(AH4:AH34)</f>
        <v>47719700.399999999</v>
      </c>
      <c r="AI35" s="1453">
        <f t="shared" si="21"/>
        <v>0</v>
      </c>
      <c r="AJ35" s="1453">
        <f t="shared" si="21"/>
        <v>7931307.2999999998</v>
      </c>
      <c r="AK35" s="1453">
        <f t="shared" si="21"/>
        <v>2051512</v>
      </c>
      <c r="AL35" s="1454">
        <f t="shared" si="21"/>
        <v>812074</v>
      </c>
      <c r="AM35" s="915">
        <f>SUM(AM4:AM34)</f>
        <v>413498</v>
      </c>
      <c r="AN35" s="1084">
        <f>SUM(AN4:AN34)</f>
        <v>11705</v>
      </c>
      <c r="AO35" s="915">
        <f>SUM(AO4:AO34)</f>
        <v>0</v>
      </c>
      <c r="AP35" s="1514" t="s">
        <v>546</v>
      </c>
      <c r="AQ35" s="1515">
        <f>(IF(U35=0,"",IF(ISERROR((U35+V35+W35)-(AM35+AN35))/(Z35-AM35-AN35),"",((U35+V35+W35)-(AM35+AN35))/(Z35-AM35-AN35))))</f>
        <v>0.9675467981936553</v>
      </c>
      <c r="AR35" s="1515">
        <f t="shared" si="14"/>
        <v>0.94502604584151384</v>
      </c>
      <c r="AS35" s="1516">
        <f>IF(ISERROR(S35/(Z35-AM37)),"",(S35/(Z35-AM37)))</f>
        <v>2.7586522786467824E-2</v>
      </c>
      <c r="AT35" s="1517">
        <f>日報表!D184</f>
        <v>11.6</v>
      </c>
      <c r="AU35" s="1518">
        <f t="shared" si="15"/>
        <v>768491.2</v>
      </c>
      <c r="AV35" s="1518">
        <f t="shared" si="16"/>
        <v>425203</v>
      </c>
      <c r="AW35" s="1518">
        <f>SUM(AW4:AW34)</f>
        <v>1193694.2</v>
      </c>
      <c r="AX35" s="1518">
        <f>SUM(AX4:AX34)</f>
        <v>1001321.2</v>
      </c>
      <c r="AY35" s="1519">
        <f>AG35</f>
        <v>3001778</v>
      </c>
    </row>
    <row r="36" spans="1:51" s="909" customFormat="1" ht="21.75" customHeight="1" thickTop="1" thickBot="1">
      <c r="A36" s="907"/>
      <c r="B36" s="905"/>
      <c r="C36" s="905"/>
      <c r="D36" s="905"/>
      <c r="E36" s="908"/>
      <c r="F36" s="1290"/>
      <c r="G36" s="1290"/>
      <c r="H36" s="1290"/>
      <c r="I36" s="1290"/>
      <c r="J36" s="905"/>
      <c r="K36" s="905"/>
      <c r="L36" s="906"/>
      <c r="M36" s="906"/>
      <c r="N36" s="906"/>
      <c r="O36" s="906"/>
      <c r="P36" s="906"/>
      <c r="S36" s="1332" t="s">
        <v>550</v>
      </c>
      <c r="T36" s="916" t="s">
        <v>547</v>
      </c>
      <c r="U36" s="917">
        <f>U35/Z35</f>
        <v>0.95480249464226263</v>
      </c>
      <c r="V36" s="917">
        <f>V35/Z35</f>
        <v>0</v>
      </c>
      <c r="W36" s="917">
        <f>W35/Z35</f>
        <v>2.4304382144103576E-2</v>
      </c>
      <c r="X36" s="917">
        <f>X35/Z35</f>
        <v>1.8703282633022764E-2</v>
      </c>
      <c r="Y36" s="917">
        <f>Y35/Z35</f>
        <v>2.1898405806110143E-3</v>
      </c>
      <c r="Z36" s="918">
        <f>SUM(U37,Z35)</f>
        <v>1193694.2</v>
      </c>
      <c r="AA36" s="917">
        <f>AA35/AF35</f>
        <v>0.93492198107859892</v>
      </c>
      <c r="AB36" s="917">
        <f>AB35/AF35</f>
        <v>0</v>
      </c>
      <c r="AC36" s="917">
        <f>AC35/AF35</f>
        <v>6.5078018921401054E-2</v>
      </c>
      <c r="AD36" s="917">
        <f>AD35/AF35</f>
        <v>0</v>
      </c>
      <c r="AE36" s="917">
        <f>AE35/AF35</f>
        <v>0</v>
      </c>
      <c r="AF36" s="919">
        <f>SUM(AA35:AE35)/AF35</f>
        <v>1</v>
      </c>
      <c r="AG36" s="920">
        <f>SUM(AG35,U37)</f>
        <v>3001778</v>
      </c>
      <c r="AH36" s="921">
        <f>AH35/$AG$35</f>
        <v>15.897145092008802</v>
      </c>
      <c r="AI36" s="922" t="e">
        <f>AI34/$D$36</f>
        <v>#DIV/0!</v>
      </c>
      <c r="AJ36" s="919">
        <f>AJ35/$AG$35</f>
        <v>2.6422031542639064</v>
      </c>
      <c r="AK36" s="919">
        <f>AK35/$AG$35</f>
        <v>0.6834322857986167</v>
      </c>
      <c r="AL36" s="923">
        <f>AL35/$AG$35</f>
        <v>0.27053099862814639</v>
      </c>
      <c r="AM36" s="1340" t="s">
        <v>16194</v>
      </c>
      <c r="AN36" s="1341"/>
      <c r="AO36" s="1083"/>
      <c r="AP36" s="1520" t="s">
        <v>15365</v>
      </c>
      <c r="AQ36" s="1521">
        <f>AK53</f>
        <v>0.97910687678636621</v>
      </c>
      <c r="AR36" s="1522">
        <f>AK54</f>
        <v>0.95480249464226263</v>
      </c>
      <c r="AS36" s="1523">
        <f>S35/(Z36)</f>
        <v>1.7759992467082441E-2</v>
      </c>
      <c r="AT36" s="1524" t="s">
        <v>17308</v>
      </c>
      <c r="AU36" s="1525">
        <f>AT35/28</f>
        <v>0.41428571428571426</v>
      </c>
      <c r="AV36" s="1526"/>
      <c r="AW36" s="1526"/>
      <c r="AX36" s="1526"/>
      <c r="AY36" s="1527"/>
    </row>
    <row r="37" spans="1:51" s="1107" customFormat="1" ht="21.75" customHeight="1">
      <c r="A37" s="1105"/>
      <c r="B37" s="1103"/>
      <c r="C37" s="1103"/>
      <c r="D37" s="1103"/>
      <c r="E37" s="1106"/>
      <c r="F37" s="1289"/>
      <c r="G37" s="1289"/>
      <c r="H37" s="1289"/>
      <c r="I37" s="1289"/>
      <c r="J37" s="1103"/>
      <c r="K37" s="1103"/>
      <c r="L37" s="1104"/>
      <c r="M37" s="1104"/>
      <c r="N37" s="1104"/>
      <c r="O37" s="1104"/>
      <c r="P37" s="1104"/>
      <c r="T37" s="1108" t="s">
        <v>15355</v>
      </c>
      <c r="U37" s="1100"/>
      <c r="V37" s="699"/>
      <c r="W37" s="699" t="s">
        <v>548</v>
      </c>
      <c r="X37" s="699" t="s">
        <v>15356</v>
      </c>
      <c r="Y37" s="699"/>
      <c r="Z37" s="1101">
        <f>AVERAGE(Z4:Z33)</f>
        <v>59684.71</v>
      </c>
      <c r="AA37" s="699" t="s">
        <v>549</v>
      </c>
      <c r="AB37" s="699"/>
      <c r="AC37" s="699"/>
      <c r="AD37" s="699"/>
      <c r="AE37" s="699"/>
      <c r="AF37" s="699"/>
      <c r="AG37" s="1109" t="s">
        <v>15357</v>
      </c>
      <c r="AH37" s="699"/>
      <c r="AI37" s="699"/>
      <c r="AJ37" s="699"/>
      <c r="AK37" s="699"/>
      <c r="AL37" s="699"/>
      <c r="AM37" s="1352">
        <f>SUM(AM35:AO35,AN36)</f>
        <v>425203</v>
      </c>
      <c r="AN37" s="1353"/>
      <c r="AO37" s="1354"/>
      <c r="AP37" s="1102"/>
      <c r="AQ37" s="1110" t="s">
        <v>15358</v>
      </c>
      <c r="AR37" s="1110"/>
    </row>
    <row r="38" spans="1:51" ht="21.75" customHeight="1">
      <c r="AS38" s="1394" t="s">
        <v>16761</v>
      </c>
      <c r="AT38" s="1398">
        <f>AS35</f>
        <v>2.7586522786467824E-2</v>
      </c>
    </row>
    <row r="39" spans="1:51" ht="21.75" customHeight="1">
      <c r="AS39" s="1394" t="s">
        <v>274</v>
      </c>
      <c r="AT39" s="1395">
        <f>AT35</f>
        <v>11.6</v>
      </c>
    </row>
    <row r="40" spans="1:51" ht="21.75" customHeight="1">
      <c r="T40" s="746" t="s">
        <v>551</v>
      </c>
      <c r="U40" s="820" t="s">
        <v>552</v>
      </c>
      <c r="V40" s="22"/>
      <c r="W40" s="821" t="s">
        <v>553</v>
      </c>
      <c r="AS40" s="1394" t="s">
        <v>16762</v>
      </c>
      <c r="AT40" s="1396">
        <f>AT39/28</f>
        <v>0.41428571428571426</v>
      </c>
    </row>
    <row r="41" spans="1:51" ht="21.75" customHeight="1">
      <c r="S41" s="725"/>
      <c r="T41" s="1497">
        <v>46174</v>
      </c>
      <c r="U41" s="822"/>
      <c r="V41" s="823"/>
      <c r="W41" s="824">
        <f>(IF(Z4="","",(Z4-(AM4+AN4))))</f>
        <v>61021</v>
      </c>
      <c r="AF41" s="697" t="s">
        <v>554</v>
      </c>
      <c r="AG41" s="698"/>
      <c r="AP41" s="699"/>
    </row>
    <row r="42" spans="1:51" ht="21.75" customHeight="1">
      <c r="S42" s="726"/>
      <c r="T42" s="1497">
        <v>46175</v>
      </c>
      <c r="U42" s="822"/>
      <c r="V42" s="823"/>
      <c r="W42" s="824">
        <f t="shared" ref="W42:W70" si="22">(IF(Z5="","",(Z5-(AM5+AN5))))</f>
        <v>35898.699999999997</v>
      </c>
      <c r="AF42" s="747" t="s">
        <v>555</v>
      </c>
      <c r="AG42" s="748" t="s">
        <v>590</v>
      </c>
      <c r="AH42" s="749" t="s">
        <v>556</v>
      </c>
      <c r="AI42" s="749"/>
      <c r="AJ42" s="749" t="s">
        <v>557</v>
      </c>
      <c r="AK42" s="749" t="s">
        <v>558</v>
      </c>
      <c r="AL42" s="749" t="s">
        <v>559</v>
      </c>
      <c r="AM42" s="750"/>
      <c r="AN42" s="750"/>
      <c r="AO42" s="750"/>
      <c r="AP42" s="750"/>
    </row>
    <row r="43" spans="1:51" ht="21.75" customHeight="1">
      <c r="S43" s="727"/>
      <c r="T43" s="1497">
        <v>46176</v>
      </c>
      <c r="U43" s="822"/>
      <c r="V43" s="823"/>
      <c r="W43" s="824">
        <f t="shared" si="22"/>
        <v>21253.5</v>
      </c>
      <c r="AF43" s="700" t="s">
        <v>560</v>
      </c>
      <c r="AG43" s="751">
        <f>U35</f>
        <v>1139742.2</v>
      </c>
      <c r="AH43" s="752">
        <f>-AM35</f>
        <v>-413498</v>
      </c>
      <c r="AI43" s="752"/>
      <c r="AJ43" s="753">
        <f>SUM(AG43:AH43)</f>
        <v>726244.2</v>
      </c>
      <c r="AK43" s="754">
        <f>AJ43/AJ48</f>
        <v>0.94502604584151384</v>
      </c>
      <c r="AL43" s="755">
        <f>AG43/AG48</f>
        <v>0.95480249464226263</v>
      </c>
      <c r="AM43" s="756"/>
      <c r="AN43" s="756"/>
      <c r="AO43" s="756"/>
      <c r="AP43" s="756"/>
    </row>
    <row r="44" spans="1:51" ht="21.75" customHeight="1">
      <c r="S44" s="727"/>
      <c r="T44" s="1497">
        <v>46177</v>
      </c>
      <c r="U44" s="822"/>
      <c r="V44" s="823"/>
      <c r="W44" s="824">
        <f t="shared" si="22"/>
        <v>43935</v>
      </c>
      <c r="AF44" s="700" t="s">
        <v>561</v>
      </c>
      <c r="AG44" s="751">
        <f>V35</f>
        <v>0</v>
      </c>
      <c r="AH44" s="752"/>
      <c r="AI44" s="752"/>
      <c r="AJ44" s="753">
        <f>SUM(AG44:AH44)</f>
        <v>0</v>
      </c>
      <c r="AK44" s="754">
        <f>AJ44/AJ48</f>
        <v>0</v>
      </c>
      <c r="AL44" s="755">
        <f>AG44/AG48</f>
        <v>0</v>
      </c>
      <c r="AM44" s="756"/>
      <c r="AN44" s="756"/>
      <c r="AO44" s="756"/>
      <c r="AP44" s="756"/>
    </row>
    <row r="45" spans="1:51" ht="21.75" customHeight="1">
      <c r="S45" s="727"/>
      <c r="T45" s="1497">
        <v>46178</v>
      </c>
      <c r="U45" s="822"/>
      <c r="V45" s="823"/>
      <c r="W45" s="824">
        <f t="shared" si="22"/>
        <v>42602</v>
      </c>
      <c r="AF45" s="700" t="s">
        <v>562</v>
      </c>
      <c r="AG45" s="751">
        <f>W35</f>
        <v>29012</v>
      </c>
      <c r="AH45" s="752">
        <f>-AN35</f>
        <v>-11705</v>
      </c>
      <c r="AI45" s="752"/>
      <c r="AJ45" s="753">
        <f>SUM(AG45:AH45)</f>
        <v>17307</v>
      </c>
      <c r="AK45" s="754">
        <f>AJ45/AJ48</f>
        <v>2.2520752352141443E-2</v>
      </c>
      <c r="AL45" s="755">
        <f>AG45/AG48</f>
        <v>2.4304382144103576E-2</v>
      </c>
      <c r="AM45" s="756"/>
      <c r="AN45" s="756"/>
      <c r="AO45" s="756"/>
      <c r="AP45" s="756"/>
    </row>
    <row r="46" spans="1:51" ht="21.75" customHeight="1">
      <c r="S46" s="727"/>
      <c r="T46" s="1497">
        <v>46179</v>
      </c>
      <c r="U46" s="822"/>
      <c r="V46" s="823"/>
      <c r="W46" s="824">
        <f t="shared" si="22"/>
        <v>56248</v>
      </c>
      <c r="AF46" s="700" t="s">
        <v>563</v>
      </c>
      <c r="AG46" s="751">
        <f>X35</f>
        <v>22326</v>
      </c>
      <c r="AH46" s="752">
        <v>0</v>
      </c>
      <c r="AI46" s="752"/>
      <c r="AJ46" s="753">
        <f>SUM(AG46:AH46)</f>
        <v>22326</v>
      </c>
      <c r="AK46" s="754">
        <f>AJ46/AJ48</f>
        <v>2.9051731496730217E-2</v>
      </c>
      <c r="AL46" s="755">
        <f>AG46/AG48</f>
        <v>1.8703282633022764E-2</v>
      </c>
      <c r="AM46" s="756"/>
      <c r="AN46" s="756"/>
      <c r="AO46" s="756"/>
      <c r="AP46" s="756"/>
    </row>
    <row r="47" spans="1:51" ht="21.75" customHeight="1">
      <c r="S47" s="727"/>
      <c r="T47" s="1497">
        <v>46180</v>
      </c>
      <c r="U47" s="822"/>
      <c r="V47" s="823"/>
      <c r="W47" s="824">
        <f t="shared" si="22"/>
        <v>42170</v>
      </c>
      <c r="AF47" s="700" t="s">
        <v>564</v>
      </c>
      <c r="AG47" s="751">
        <f>Y35</f>
        <v>2614</v>
      </c>
      <c r="AH47" s="752">
        <v>0</v>
      </c>
      <c r="AI47" s="752"/>
      <c r="AJ47" s="753">
        <f>SUM(AG47:AH47)</f>
        <v>2614</v>
      </c>
      <c r="AK47" s="754">
        <f>AJ47/AJ48</f>
        <v>3.4014703096144757E-3</v>
      </c>
      <c r="AL47" s="755">
        <f>AG47/AG48</f>
        <v>2.1898405806110143E-3</v>
      </c>
      <c r="AM47" s="756"/>
      <c r="AN47" s="756"/>
      <c r="AO47" s="756"/>
      <c r="AP47" s="756"/>
    </row>
    <row r="48" spans="1:51" ht="21.75" customHeight="1">
      <c r="S48" s="727"/>
      <c r="T48" s="1497">
        <v>46181</v>
      </c>
      <c r="U48" s="822"/>
      <c r="V48" s="823"/>
      <c r="W48" s="824">
        <f t="shared" si="22"/>
        <v>27564</v>
      </c>
      <c r="AF48" s="700" t="s">
        <v>565</v>
      </c>
      <c r="AG48" s="751">
        <f>SUM(AG43:AG47)</f>
        <v>1193694.2</v>
      </c>
      <c r="AH48" s="752">
        <f>SUM(AH43:AH47)</f>
        <v>-425203</v>
      </c>
      <c r="AI48" s="752"/>
      <c r="AJ48" s="753">
        <f>SUM(AJ43:AJ47)</f>
        <v>768491.2</v>
      </c>
      <c r="AK48" s="754">
        <f>SUM(AK43:AK47)</f>
        <v>1</v>
      </c>
      <c r="AL48" s="755">
        <f>SUM(AL43:AL47)</f>
        <v>1</v>
      </c>
      <c r="AM48" s="756"/>
      <c r="AN48" s="756"/>
      <c r="AO48" s="756"/>
      <c r="AP48" s="756"/>
    </row>
    <row r="49" spans="19:42" ht="21.75" customHeight="1" thickBot="1">
      <c r="S49" s="725"/>
      <c r="T49" s="1497">
        <v>46182</v>
      </c>
      <c r="U49" s="822"/>
      <c r="V49" s="22"/>
      <c r="W49" s="824">
        <f t="shared" si="22"/>
        <v>38212</v>
      </c>
      <c r="AF49" s="701"/>
      <c r="AG49" s="702"/>
      <c r="AH49" s="702"/>
      <c r="AI49" s="702"/>
      <c r="AJ49" s="702"/>
      <c r="AK49" s="702"/>
      <c r="AP49" s="699"/>
    </row>
    <row r="50" spans="19:42" ht="21.75" customHeight="1">
      <c r="S50" s="728"/>
      <c r="T50" s="1497">
        <v>46183</v>
      </c>
      <c r="U50" s="822"/>
      <c r="V50" s="22"/>
      <c r="W50" s="824">
        <f t="shared" si="22"/>
        <v>34287</v>
      </c>
      <c r="AF50" s="703"/>
      <c r="AG50" s="704"/>
      <c r="AH50" s="1623" t="s">
        <v>566</v>
      </c>
      <c r="AI50" s="705"/>
      <c r="AJ50" s="706" t="s">
        <v>567</v>
      </c>
      <c r="AK50" s="707">
        <f>SUM(AK43:AK45)</f>
        <v>0.9675467981936553</v>
      </c>
      <c r="AL50" s="708">
        <f>AK50-AK53</f>
        <v>-1.156007859271091E-2</v>
      </c>
      <c r="AM50" s="709">
        <v>0.98</v>
      </c>
      <c r="AN50" s="1625" t="s">
        <v>568</v>
      </c>
      <c r="AO50" s="1081"/>
      <c r="AP50" s="708"/>
    </row>
    <row r="51" spans="19:42" ht="21.75" customHeight="1" thickBot="1">
      <c r="S51" s="728"/>
      <c r="T51" s="1497">
        <v>46184</v>
      </c>
      <c r="U51" s="822"/>
      <c r="V51" s="22"/>
      <c r="W51" s="824">
        <f t="shared" si="22"/>
        <v>34595</v>
      </c>
      <c r="AF51" s="703"/>
      <c r="AG51" s="710"/>
      <c r="AH51" s="1624"/>
      <c r="AI51" s="711"/>
      <c r="AJ51" s="712" t="s">
        <v>569</v>
      </c>
      <c r="AK51" s="707">
        <f>SUM(AK43+AK44)</f>
        <v>0.94502604584151384</v>
      </c>
      <c r="AL51" s="708">
        <f>AK51-AK54</f>
        <v>-9.7764488007487937E-3</v>
      </c>
      <c r="AM51" s="713">
        <v>0.93400000000000005</v>
      </c>
      <c r="AN51" s="1626"/>
      <c r="AO51" s="1081"/>
      <c r="AP51" s="708"/>
    </row>
    <row r="52" spans="19:42" ht="21.75" customHeight="1" thickBot="1">
      <c r="S52" s="725"/>
      <c r="T52" s="1497">
        <v>46185</v>
      </c>
      <c r="U52" s="822"/>
      <c r="V52" s="22"/>
      <c r="W52" s="824">
        <f t="shared" si="22"/>
        <v>48550</v>
      </c>
      <c r="AF52" s="714"/>
      <c r="AG52" s="699" t="s">
        <v>86</v>
      </c>
      <c r="AP52" s="699"/>
    </row>
    <row r="53" spans="19:42" ht="21.75" customHeight="1">
      <c r="S53" s="725"/>
      <c r="T53" s="1497">
        <v>46186</v>
      </c>
      <c r="U53" s="822"/>
      <c r="V53" s="22"/>
      <c r="W53" s="824">
        <f t="shared" si="22"/>
        <v>38956</v>
      </c>
      <c r="AH53" s="1627" t="s">
        <v>570</v>
      </c>
      <c r="AI53" s="715"/>
      <c r="AJ53" s="716" t="s">
        <v>571</v>
      </c>
      <c r="AK53" s="717">
        <f>SUM(AL43:AL45)</f>
        <v>0.97910687678636621</v>
      </c>
      <c r="AL53" s="708">
        <f>AK53-AM53</f>
        <v>3.1068767863662305E-3</v>
      </c>
      <c r="AM53" s="718">
        <v>0.97599999999999998</v>
      </c>
      <c r="AN53" s="719" t="s">
        <v>572</v>
      </c>
      <c r="AO53" s="1082"/>
      <c r="AP53" s="699"/>
    </row>
    <row r="54" spans="19:42" ht="21.75" customHeight="1" thickBot="1">
      <c r="S54" s="725"/>
      <c r="T54" s="1497">
        <v>46187</v>
      </c>
      <c r="U54" s="822"/>
      <c r="V54" s="22"/>
      <c r="W54" s="824">
        <f t="shared" si="22"/>
        <v>27792</v>
      </c>
      <c r="AH54" s="1628"/>
      <c r="AI54" s="720"/>
      <c r="AJ54" s="721" t="s">
        <v>573</v>
      </c>
      <c r="AK54" s="717">
        <f>SUM(AL43+AL44)</f>
        <v>0.95480249464226263</v>
      </c>
      <c r="AL54" s="708">
        <f>AK54-AM54</f>
        <v>3.8802494642262597E-2</v>
      </c>
      <c r="AM54" s="722">
        <v>0.91600000000000004</v>
      </c>
      <c r="AN54" s="723"/>
      <c r="AP54" s="699"/>
    </row>
    <row r="55" spans="19:42" ht="21.75" customHeight="1">
      <c r="S55" s="725"/>
      <c r="T55" s="1497">
        <v>46188</v>
      </c>
      <c r="U55" s="822"/>
      <c r="V55" s="22"/>
      <c r="W55" s="824">
        <f t="shared" si="22"/>
        <v>7547</v>
      </c>
      <c r="AP55" s="699"/>
    </row>
    <row r="56" spans="19:42" ht="21.75" customHeight="1">
      <c r="S56" s="725"/>
      <c r="T56" s="1497">
        <v>46189</v>
      </c>
      <c r="U56" s="822"/>
      <c r="V56" s="22"/>
      <c r="W56" s="824">
        <f t="shared" si="22"/>
        <v>38500</v>
      </c>
      <c r="AP56" s="699"/>
    </row>
    <row r="57" spans="19:42" ht="21.75" customHeight="1">
      <c r="S57" s="725"/>
      <c r="T57" s="1497">
        <v>46190</v>
      </c>
      <c r="U57" s="822"/>
      <c r="V57" s="22"/>
      <c r="W57" s="824">
        <f t="shared" si="22"/>
        <v>44129</v>
      </c>
      <c r="AF57" s="757" t="s">
        <v>574</v>
      </c>
      <c r="AG57" s="757" t="s">
        <v>575</v>
      </c>
      <c r="AP57" s="699"/>
    </row>
    <row r="58" spans="19:42" ht="21.75" customHeight="1">
      <c r="S58" s="725"/>
      <c r="T58" s="1497">
        <v>46191</v>
      </c>
      <c r="U58" s="822"/>
      <c r="V58" s="22"/>
      <c r="W58" s="824">
        <f t="shared" si="22"/>
        <v>44525</v>
      </c>
      <c r="AF58" s="758" t="s">
        <v>576</v>
      </c>
      <c r="AG58" s="759">
        <f>Z35</f>
        <v>1193694.2</v>
      </c>
      <c r="AP58" s="699"/>
    </row>
    <row r="59" spans="19:42" ht="21.75" customHeight="1">
      <c r="S59" s="725"/>
      <c r="T59" s="1497">
        <v>46192</v>
      </c>
      <c r="U59" s="822"/>
      <c r="V59" s="22"/>
      <c r="W59" s="824">
        <f t="shared" si="22"/>
        <v>41966</v>
      </c>
      <c r="AF59" s="758" t="s">
        <v>577</v>
      </c>
      <c r="AG59" s="760">
        <f>AF35</f>
        <v>1001321.2</v>
      </c>
      <c r="AP59" s="699"/>
    </row>
    <row r="60" spans="19:42" ht="21.75" customHeight="1">
      <c r="S60" s="725"/>
      <c r="T60" s="1497">
        <v>46193</v>
      </c>
      <c r="U60" s="822"/>
      <c r="V60" s="22"/>
      <c r="W60" s="824">
        <f t="shared" si="22"/>
        <v>38740</v>
      </c>
      <c r="AF60" s="758" t="s">
        <v>578</v>
      </c>
      <c r="AG60" s="760">
        <f>AG35</f>
        <v>3001778</v>
      </c>
      <c r="AP60" s="699"/>
    </row>
    <row r="61" spans="19:42" ht="21.75" customHeight="1">
      <c r="S61" s="725"/>
      <c r="T61" s="1497">
        <v>46194</v>
      </c>
      <c r="U61" s="822"/>
      <c r="V61" s="22"/>
      <c r="W61" s="824" t="str">
        <f t="shared" si="22"/>
        <v/>
      </c>
      <c r="AF61" s="758" t="s">
        <v>579</v>
      </c>
      <c r="AG61" s="761">
        <f>AM37</f>
        <v>425203</v>
      </c>
      <c r="AP61" s="699"/>
    </row>
    <row r="62" spans="19:42" ht="21.75" customHeight="1">
      <c r="S62" s="725"/>
      <c r="T62" s="1497">
        <v>46195</v>
      </c>
      <c r="U62" s="822"/>
      <c r="V62" s="22"/>
      <c r="W62" s="824" t="str">
        <f t="shared" si="22"/>
        <v/>
      </c>
      <c r="AF62" s="758" t="s">
        <v>580</v>
      </c>
      <c r="AG62" s="761"/>
      <c r="AP62" s="699"/>
    </row>
    <row r="63" spans="19:42" ht="21.75" customHeight="1">
      <c r="S63" s="725"/>
      <c r="T63" s="1497">
        <v>46196</v>
      </c>
      <c r="U63" s="822"/>
      <c r="V63" s="22"/>
      <c r="W63" s="824" t="str">
        <f t="shared" si="22"/>
        <v/>
      </c>
      <c r="AF63" s="762" t="s">
        <v>581</v>
      </c>
      <c r="AG63" s="763"/>
      <c r="AP63" s="699"/>
    </row>
    <row r="64" spans="19:42" ht="21.75" customHeight="1">
      <c r="T64" s="1497">
        <v>46197</v>
      </c>
      <c r="U64" s="822"/>
      <c r="V64" s="22"/>
      <c r="W64" s="824" t="str">
        <f t="shared" si="22"/>
        <v/>
      </c>
    </row>
    <row r="65" spans="20:23" ht="21.75" customHeight="1">
      <c r="T65" s="1497">
        <v>46198</v>
      </c>
      <c r="U65" s="822"/>
      <c r="V65" s="22"/>
      <c r="W65" s="824" t="str">
        <f t="shared" si="22"/>
        <v/>
      </c>
    </row>
    <row r="66" spans="20:23" ht="21.75" customHeight="1">
      <c r="T66" s="1497">
        <v>46199</v>
      </c>
      <c r="U66" s="822"/>
      <c r="V66" s="22"/>
      <c r="W66" s="824" t="str">
        <f t="shared" si="22"/>
        <v/>
      </c>
    </row>
    <row r="67" spans="20:23" ht="21.75" customHeight="1">
      <c r="T67" s="1497">
        <v>46200</v>
      </c>
      <c r="U67" s="822"/>
      <c r="V67" s="22"/>
      <c r="W67" s="824" t="str">
        <f t="shared" si="22"/>
        <v/>
      </c>
    </row>
    <row r="68" spans="20:23" ht="21.75" customHeight="1">
      <c r="T68" s="1497">
        <v>46201</v>
      </c>
      <c r="U68" s="822"/>
      <c r="V68" s="22"/>
      <c r="W68" s="824" t="str">
        <f t="shared" si="22"/>
        <v/>
      </c>
    </row>
    <row r="69" spans="20:23" ht="21.75" customHeight="1">
      <c r="T69" s="1497">
        <v>46202</v>
      </c>
      <c r="U69" s="822"/>
      <c r="V69" s="22"/>
      <c r="W69" s="824" t="str">
        <f t="shared" si="22"/>
        <v/>
      </c>
    </row>
    <row r="70" spans="20:23" ht="21.75" customHeight="1">
      <c r="T70" s="1497">
        <v>46203</v>
      </c>
      <c r="U70" s="822"/>
      <c r="V70" s="22"/>
      <c r="W70" s="824" t="str">
        <f t="shared" si="22"/>
        <v/>
      </c>
    </row>
    <row r="71" spans="20:23" ht="21.75" customHeight="1">
      <c r="T71" s="1347">
        <f t="shared" ref="T71" si="23">T34</f>
        <v>46234</v>
      </c>
      <c r="U71" s="822"/>
      <c r="V71" s="22"/>
      <c r="W71" s="824" t="str">
        <f t="shared" ref="W71" si="24">(IF(Z34="","",(Z34-(AM34+AN34))))</f>
        <v/>
      </c>
    </row>
    <row r="73" spans="20:23" ht="21.75" customHeight="1">
      <c r="T73" s="764" t="s">
        <v>582</v>
      </c>
      <c r="U73" s="765">
        <f>SUM(U41:U71)</f>
        <v>0</v>
      </c>
      <c r="V73" s="766"/>
      <c r="W73" s="765">
        <f>SUM(W41:W71)</f>
        <v>768491.2</v>
      </c>
    </row>
    <row r="74" spans="20:23" ht="21.75" customHeight="1">
      <c r="T74" s="767" t="s">
        <v>583</v>
      </c>
      <c r="U74" s="768" t="e">
        <f>AVERAGE(U41:U71)</f>
        <v>#DIV/0!</v>
      </c>
      <c r="V74" s="769"/>
      <c r="W74" s="770">
        <f>AVERAGE(W41:W71)</f>
        <v>38424.559999999998</v>
      </c>
    </row>
  </sheetData>
  <mergeCells count="7">
    <mergeCell ref="AQ2:AY2"/>
    <mergeCell ref="AH50:AH51"/>
    <mergeCell ref="AN50:AN51"/>
    <mergeCell ref="AH53:AH54"/>
    <mergeCell ref="Z1:Z2"/>
    <mergeCell ref="AF1:AF2"/>
    <mergeCell ref="AG1:AG2"/>
  </mergeCells>
  <phoneticPr fontId="12" type="noConversion"/>
  <conditionalFormatting sqref="AA29 AC29:AE29">
    <cfRule type="cellIs" priority="1" stopIfTrue="1" operator="equal">
      <formula>$H$31</formula>
    </cfRule>
  </conditionalFormatting>
  <pageMargins left="0.31496062992125984" right="0.11811023622047245" top="0.74803149606299213" bottom="0.74803149606299213" header="0.31496062992125984" footer="0.31496062992125984"/>
  <pageSetup paperSize="9" scale="98" orientation="portrait" horizontalDpi="4294967293" r:id="rId1"/>
  <headerFooter>
    <oddFooter xml:space="preserve">&amp;C第 &amp;P 頁 </oddFooter>
  </headerFooter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2">
    <pageSetUpPr fitToPage="1"/>
  </sheetPr>
  <dimension ref="A3:GV42"/>
  <sheetViews>
    <sheetView showGridLines="0" zoomScale="90" zoomScaleNormal="90" workbookViewId="0">
      <pane xSplit="8" ySplit="13" topLeftCell="AX14" activePane="bottomRight" state="frozen"/>
      <selection pane="topRight" activeCell="I1" sqref="I1"/>
      <selection pane="bottomLeft" activeCell="A14" sqref="A14"/>
      <selection pane="bottomRight" activeCell="AY30" sqref="AY30"/>
    </sheetView>
  </sheetViews>
  <sheetFormatPr defaultColWidth="10.25" defaultRowHeight="17.25" customHeight="1"/>
  <cols>
    <col min="1" max="1" width="12.5" style="316" customWidth="1"/>
    <col min="2" max="16384" width="10.25" style="316"/>
  </cols>
  <sheetData>
    <row r="3" spans="1:204" ht="16.5">
      <c r="A3" s="536" t="s">
        <v>71</v>
      </c>
      <c r="B3" s="536" t="s">
        <v>61</v>
      </c>
      <c r="C3" s="537" t="s">
        <v>38</v>
      </c>
      <c r="D3" s="537" t="s">
        <v>39</v>
      </c>
      <c r="E3" s="537" t="s">
        <v>41</v>
      </c>
      <c r="F3" s="537" t="s">
        <v>42</v>
      </c>
      <c r="G3" s="537" t="s">
        <v>43</v>
      </c>
      <c r="H3" s="537" t="s">
        <v>83</v>
      </c>
      <c r="I3" s="538"/>
      <c r="J3" s="538"/>
      <c r="K3" s="538"/>
      <c r="L3" s="538"/>
      <c r="M3" s="538"/>
      <c r="N3" s="538"/>
      <c r="O3" s="538"/>
      <c r="P3" s="538"/>
      <c r="Q3" s="538"/>
      <c r="R3" s="538"/>
      <c r="S3" s="538"/>
      <c r="T3" s="538"/>
      <c r="U3" s="538"/>
      <c r="V3" s="538"/>
      <c r="W3" s="538"/>
      <c r="X3" s="538"/>
      <c r="Y3" s="538"/>
      <c r="Z3" s="538"/>
      <c r="AA3" s="538"/>
      <c r="AB3" s="538"/>
      <c r="AC3" s="538"/>
      <c r="AD3" s="538"/>
      <c r="AE3" s="538"/>
      <c r="AF3" s="538"/>
      <c r="AG3" s="538"/>
      <c r="AH3" s="538"/>
      <c r="AI3" s="538"/>
      <c r="AJ3" s="538"/>
      <c r="AK3" s="538"/>
      <c r="AL3" s="538"/>
      <c r="AM3" s="538"/>
      <c r="AN3" s="538"/>
      <c r="AO3" s="538"/>
      <c r="AP3" s="538"/>
      <c r="AQ3" s="538"/>
      <c r="AR3" s="538"/>
      <c r="AS3" s="538"/>
      <c r="AT3" s="538"/>
      <c r="AU3" s="538"/>
      <c r="AV3" s="538"/>
      <c r="AW3" s="538"/>
      <c r="AX3" s="538"/>
      <c r="AY3" s="539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ht="16.5">
      <c r="A4" s="540"/>
      <c r="B4" s="541" t="s">
        <v>213</v>
      </c>
      <c r="C4" s="538"/>
      <c r="D4" s="538"/>
      <c r="E4" s="538"/>
      <c r="F4" s="538"/>
      <c r="G4" s="538"/>
      <c r="H4" s="538"/>
      <c r="I4" s="538"/>
      <c r="J4" s="538"/>
      <c r="K4" s="538"/>
      <c r="L4" s="538"/>
      <c r="M4" s="538"/>
      <c r="N4" s="538"/>
      <c r="O4" s="538"/>
      <c r="P4" s="538"/>
      <c r="Q4" s="538"/>
      <c r="R4" s="538"/>
      <c r="S4" s="538"/>
      <c r="T4" s="538"/>
      <c r="U4" s="538"/>
      <c r="V4" s="538"/>
      <c r="W4" s="538"/>
      <c r="X4" s="538"/>
      <c r="Y4" s="538"/>
      <c r="Z4" s="538"/>
      <c r="AA4" s="538"/>
      <c r="AB4" s="538"/>
      <c r="AC4" s="538"/>
      <c r="AD4" s="538"/>
      <c r="AE4" s="542" t="s">
        <v>252</v>
      </c>
      <c r="AF4" s="541" t="s">
        <v>232</v>
      </c>
      <c r="AG4" s="538"/>
      <c r="AH4" s="538"/>
      <c r="AI4" s="538"/>
      <c r="AJ4" s="542" t="s">
        <v>253</v>
      </c>
      <c r="AK4" s="541" t="s">
        <v>241</v>
      </c>
      <c r="AL4" s="538"/>
      <c r="AM4" s="538"/>
      <c r="AN4" s="542" t="s">
        <v>16038</v>
      </c>
      <c r="AO4" s="541" t="s">
        <v>236</v>
      </c>
      <c r="AP4" s="538"/>
      <c r="AQ4" s="538"/>
      <c r="AR4" s="538"/>
      <c r="AS4" s="538"/>
      <c r="AT4" s="538"/>
      <c r="AU4" s="538"/>
      <c r="AV4" s="538"/>
      <c r="AW4" s="538"/>
      <c r="AX4" s="538"/>
      <c r="AY4" s="543" t="s">
        <v>254</v>
      </c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ht="16.5">
      <c r="A5" s="540"/>
      <c r="B5" s="541" t="s">
        <v>212</v>
      </c>
      <c r="C5" s="541" t="s">
        <v>214</v>
      </c>
      <c r="D5" s="541" t="s">
        <v>215</v>
      </c>
      <c r="E5" s="538"/>
      <c r="F5" s="541" t="s">
        <v>216</v>
      </c>
      <c r="G5" s="538"/>
      <c r="H5" s="538"/>
      <c r="I5" s="541" t="s">
        <v>217</v>
      </c>
      <c r="J5" s="538"/>
      <c r="K5" s="541" t="s">
        <v>218</v>
      </c>
      <c r="L5" s="541" t="s">
        <v>219</v>
      </c>
      <c r="M5" s="541" t="s">
        <v>220</v>
      </c>
      <c r="N5" s="538"/>
      <c r="O5" s="541" t="s">
        <v>221</v>
      </c>
      <c r="P5" s="541" t="s">
        <v>222</v>
      </c>
      <c r="Q5" s="538"/>
      <c r="R5" s="541" t="s">
        <v>223</v>
      </c>
      <c r="S5" s="538"/>
      <c r="T5" s="541" t="s">
        <v>224</v>
      </c>
      <c r="U5" s="538"/>
      <c r="V5" s="541" t="s">
        <v>225</v>
      </c>
      <c r="W5" s="538"/>
      <c r="X5" s="541" t="s">
        <v>226</v>
      </c>
      <c r="Y5" s="541" t="s">
        <v>227</v>
      </c>
      <c r="Z5" s="538"/>
      <c r="AA5" s="541" t="s">
        <v>228</v>
      </c>
      <c r="AB5" s="541" t="s">
        <v>229</v>
      </c>
      <c r="AC5" s="538"/>
      <c r="AD5" s="541" t="s">
        <v>230</v>
      </c>
      <c r="AE5" s="544"/>
      <c r="AF5" s="541" t="s">
        <v>231</v>
      </c>
      <c r="AG5" s="541" t="s">
        <v>233</v>
      </c>
      <c r="AH5" s="538"/>
      <c r="AI5" s="541" t="s">
        <v>234</v>
      </c>
      <c r="AJ5" s="544"/>
      <c r="AK5" s="541" t="s">
        <v>240</v>
      </c>
      <c r="AL5" s="538"/>
      <c r="AM5" s="541" t="s">
        <v>242</v>
      </c>
      <c r="AN5" s="544"/>
      <c r="AO5" s="541" t="s">
        <v>235</v>
      </c>
      <c r="AP5" s="538"/>
      <c r="AQ5" s="541" t="s">
        <v>237</v>
      </c>
      <c r="AR5" s="538"/>
      <c r="AS5" s="541" t="s">
        <v>238</v>
      </c>
      <c r="AT5" s="541" t="s">
        <v>239</v>
      </c>
      <c r="AU5" s="538"/>
      <c r="AV5" s="538"/>
      <c r="AW5" s="541" t="s">
        <v>388</v>
      </c>
      <c r="AX5" s="541" t="s">
        <v>417</v>
      </c>
      <c r="AY5" s="54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ht="16.5">
      <c r="A6" s="540"/>
      <c r="B6" s="541" t="s">
        <v>632</v>
      </c>
      <c r="C6" s="541" t="s">
        <v>632</v>
      </c>
      <c r="D6" s="541" t="s">
        <v>632</v>
      </c>
      <c r="E6" s="541" t="s">
        <v>17316</v>
      </c>
      <c r="F6" s="541" t="s">
        <v>632</v>
      </c>
      <c r="G6" s="541" t="s">
        <v>17595</v>
      </c>
      <c r="H6" s="541" t="s">
        <v>17571</v>
      </c>
      <c r="I6" s="541" t="s">
        <v>632</v>
      </c>
      <c r="J6" s="541" t="s">
        <v>17380</v>
      </c>
      <c r="K6" s="541" t="s">
        <v>17221</v>
      </c>
      <c r="L6" s="541" t="s">
        <v>632</v>
      </c>
      <c r="M6" s="541" t="s">
        <v>632</v>
      </c>
      <c r="N6" s="541" t="s">
        <v>17430</v>
      </c>
      <c r="O6" s="541" t="s">
        <v>632</v>
      </c>
      <c r="P6" s="541" t="s">
        <v>632</v>
      </c>
      <c r="Q6" s="541" t="s">
        <v>17261</v>
      </c>
      <c r="R6" s="541" t="s">
        <v>17263</v>
      </c>
      <c r="S6" s="541" t="s">
        <v>17431</v>
      </c>
      <c r="T6" s="541" t="s">
        <v>632</v>
      </c>
      <c r="U6" s="541" t="s">
        <v>17258</v>
      </c>
      <c r="V6" s="541" t="s">
        <v>632</v>
      </c>
      <c r="W6" s="541" t="s">
        <v>17577</v>
      </c>
      <c r="X6" s="541" t="s">
        <v>632</v>
      </c>
      <c r="Y6" s="541" t="s">
        <v>632</v>
      </c>
      <c r="Z6" s="541" t="s">
        <v>17575</v>
      </c>
      <c r="AA6" s="541" t="s">
        <v>17293</v>
      </c>
      <c r="AB6" s="541" t="s">
        <v>632</v>
      </c>
      <c r="AC6" s="541" t="s">
        <v>17503</v>
      </c>
      <c r="AD6" s="541" t="s">
        <v>632</v>
      </c>
      <c r="AE6" s="544"/>
      <c r="AF6" s="541" t="s">
        <v>632</v>
      </c>
      <c r="AG6" s="541" t="s">
        <v>632</v>
      </c>
      <c r="AH6" s="541" t="s">
        <v>17268</v>
      </c>
      <c r="AI6" s="541" t="s">
        <v>632</v>
      </c>
      <c r="AJ6" s="544"/>
      <c r="AK6" s="541" t="s">
        <v>632</v>
      </c>
      <c r="AL6" s="541" t="s">
        <v>17429</v>
      </c>
      <c r="AM6" s="541" t="s">
        <v>385</v>
      </c>
      <c r="AN6" s="544"/>
      <c r="AO6" s="541" t="s">
        <v>17289</v>
      </c>
      <c r="AP6" s="541" t="s">
        <v>17550</v>
      </c>
      <c r="AQ6" s="541" t="s">
        <v>17251</v>
      </c>
      <c r="AR6" s="541" t="s">
        <v>17547</v>
      </c>
      <c r="AS6" s="541" t="s">
        <v>17248</v>
      </c>
      <c r="AT6" s="541" t="s">
        <v>17241</v>
      </c>
      <c r="AU6" s="541" t="s">
        <v>17266</v>
      </c>
      <c r="AV6" s="541" t="s">
        <v>17557</v>
      </c>
      <c r="AW6" s="541" t="s">
        <v>17296</v>
      </c>
      <c r="AX6" s="541" t="s">
        <v>17291</v>
      </c>
      <c r="AY6" s="545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ht="16.5">
      <c r="A7" s="540"/>
      <c r="B7" s="540"/>
      <c r="C7" s="540"/>
      <c r="D7" s="540"/>
      <c r="E7" s="541" t="s">
        <v>5005</v>
      </c>
      <c r="F7" s="540"/>
      <c r="G7" s="541" t="s">
        <v>419</v>
      </c>
      <c r="H7" s="541" t="s">
        <v>7068</v>
      </c>
      <c r="I7" s="540"/>
      <c r="J7" s="541" t="s">
        <v>17381</v>
      </c>
      <c r="K7" s="541" t="s">
        <v>17237</v>
      </c>
      <c r="L7" s="540"/>
      <c r="M7" s="540"/>
      <c r="N7" s="541" t="s">
        <v>1891</v>
      </c>
      <c r="O7" s="540"/>
      <c r="P7" s="540"/>
      <c r="Q7" s="541" t="s">
        <v>17177</v>
      </c>
      <c r="R7" s="541" t="s">
        <v>17156</v>
      </c>
      <c r="S7" s="541" t="s">
        <v>15035</v>
      </c>
      <c r="T7" s="540"/>
      <c r="U7" s="541" t="s">
        <v>8513</v>
      </c>
      <c r="V7" s="540"/>
      <c r="W7" s="541" t="s">
        <v>17578</v>
      </c>
      <c r="X7" s="540"/>
      <c r="Y7" s="540"/>
      <c r="Z7" s="541" t="s">
        <v>17576</v>
      </c>
      <c r="AA7" s="541" t="s">
        <v>7055</v>
      </c>
      <c r="AB7" s="540"/>
      <c r="AC7" s="541" t="s">
        <v>467</v>
      </c>
      <c r="AD7" s="540"/>
      <c r="AE7" s="544"/>
      <c r="AF7" s="540"/>
      <c r="AG7" s="540"/>
      <c r="AH7" s="541" t="s">
        <v>16719</v>
      </c>
      <c r="AI7" s="540"/>
      <c r="AJ7" s="544"/>
      <c r="AK7" s="540"/>
      <c r="AL7" s="541" t="s">
        <v>17434</v>
      </c>
      <c r="AM7" s="540"/>
      <c r="AN7" s="544"/>
      <c r="AO7" s="541" t="s">
        <v>16719</v>
      </c>
      <c r="AP7" s="541" t="s">
        <v>16719</v>
      </c>
      <c r="AQ7" s="541" t="s">
        <v>16719</v>
      </c>
      <c r="AR7" s="541" t="s">
        <v>17548</v>
      </c>
      <c r="AS7" s="541" t="s">
        <v>16719</v>
      </c>
      <c r="AT7" s="541" t="s">
        <v>16723</v>
      </c>
      <c r="AU7" s="541" t="s">
        <v>754</v>
      </c>
      <c r="AV7" s="541" t="s">
        <v>8958</v>
      </c>
      <c r="AW7" s="541" t="s">
        <v>16719</v>
      </c>
      <c r="AX7" s="541" t="s">
        <v>16719</v>
      </c>
      <c r="AY7" s="545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ht="16.5">
      <c r="A8" s="540"/>
      <c r="B8" s="540"/>
      <c r="C8" s="540"/>
      <c r="D8" s="540"/>
      <c r="E8" s="541" t="s">
        <v>17317</v>
      </c>
      <c r="F8" s="540"/>
      <c r="G8" s="541" t="s">
        <v>419</v>
      </c>
      <c r="H8" s="541" t="s">
        <v>17574</v>
      </c>
      <c r="I8" s="540"/>
      <c r="J8" s="541" t="s">
        <v>17382</v>
      </c>
      <c r="K8" s="541" t="s">
        <v>17229</v>
      </c>
      <c r="L8" s="540"/>
      <c r="M8" s="540"/>
      <c r="N8" s="541" t="s">
        <v>17433</v>
      </c>
      <c r="O8" s="540"/>
      <c r="P8" s="540"/>
      <c r="Q8" s="541" t="s">
        <v>17262</v>
      </c>
      <c r="R8" s="541" t="s">
        <v>17264</v>
      </c>
      <c r="S8" s="541" t="s">
        <v>16860</v>
      </c>
      <c r="T8" s="540"/>
      <c r="U8" s="541" t="s">
        <v>17260</v>
      </c>
      <c r="V8" s="540"/>
      <c r="W8" s="541" t="s">
        <v>17579</v>
      </c>
      <c r="X8" s="540"/>
      <c r="Y8" s="540"/>
      <c r="Z8" s="541" t="s">
        <v>16707</v>
      </c>
      <c r="AA8" s="541" t="s">
        <v>17294</v>
      </c>
      <c r="AB8" s="540"/>
      <c r="AC8" s="541" t="s">
        <v>17552</v>
      </c>
      <c r="AD8" s="540"/>
      <c r="AE8" s="544"/>
      <c r="AF8" s="540"/>
      <c r="AG8" s="540"/>
      <c r="AH8" s="541" t="s">
        <v>17253</v>
      </c>
      <c r="AI8" s="540"/>
      <c r="AJ8" s="544"/>
      <c r="AK8" s="540"/>
      <c r="AL8" s="541" t="s">
        <v>17435</v>
      </c>
      <c r="AM8" s="540"/>
      <c r="AN8" s="544"/>
      <c r="AO8" s="541" t="s">
        <v>17290</v>
      </c>
      <c r="AP8" s="541" t="s">
        <v>17249</v>
      </c>
      <c r="AQ8" s="541" t="s">
        <v>17253</v>
      </c>
      <c r="AR8" s="541" t="s">
        <v>17549</v>
      </c>
      <c r="AS8" s="541" t="s">
        <v>17249</v>
      </c>
      <c r="AT8" s="541" t="s">
        <v>17243</v>
      </c>
      <c r="AU8" s="541" t="s">
        <v>17267</v>
      </c>
      <c r="AV8" s="541" t="s">
        <v>17558</v>
      </c>
      <c r="AW8" s="541" t="s">
        <v>17290</v>
      </c>
      <c r="AX8" s="541" t="s">
        <v>17290</v>
      </c>
      <c r="AY8" s="545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ht="16.5">
      <c r="A9" s="540"/>
      <c r="B9" s="540"/>
      <c r="C9" s="540"/>
      <c r="D9" s="540"/>
      <c r="E9" s="541">
        <v>500</v>
      </c>
      <c r="F9" s="540"/>
      <c r="G9" s="541" t="s">
        <v>419</v>
      </c>
      <c r="H9" s="541">
        <v>500</v>
      </c>
      <c r="I9" s="540"/>
      <c r="J9" s="541">
        <v>680</v>
      </c>
      <c r="K9" s="541">
        <v>600</v>
      </c>
      <c r="L9" s="540"/>
      <c r="M9" s="540"/>
      <c r="N9" s="541">
        <v>600</v>
      </c>
      <c r="O9" s="540"/>
      <c r="P9" s="540"/>
      <c r="Q9" s="541">
        <v>550</v>
      </c>
      <c r="R9" s="541">
        <v>600</v>
      </c>
      <c r="S9" s="541">
        <v>550</v>
      </c>
      <c r="T9" s="540"/>
      <c r="U9" s="541">
        <v>550</v>
      </c>
      <c r="V9" s="540"/>
      <c r="W9" s="541">
        <v>670</v>
      </c>
      <c r="X9" s="540"/>
      <c r="Y9" s="540"/>
      <c r="Z9" s="541">
        <v>700</v>
      </c>
      <c r="AA9" s="541">
        <v>550</v>
      </c>
      <c r="AB9" s="540"/>
      <c r="AC9" s="541">
        <v>650</v>
      </c>
      <c r="AD9" s="540"/>
      <c r="AE9" s="544"/>
      <c r="AF9" s="540"/>
      <c r="AG9" s="540"/>
      <c r="AH9" s="541">
        <v>600</v>
      </c>
      <c r="AI9" s="540"/>
      <c r="AJ9" s="544"/>
      <c r="AK9" s="540"/>
      <c r="AL9" s="541">
        <v>550</v>
      </c>
      <c r="AM9" s="540"/>
      <c r="AN9" s="544"/>
      <c r="AO9" s="541">
        <v>700</v>
      </c>
      <c r="AP9" s="541">
        <v>600</v>
      </c>
      <c r="AQ9" s="541">
        <v>700</v>
      </c>
      <c r="AR9" s="541">
        <v>700</v>
      </c>
      <c r="AS9" s="541">
        <v>600</v>
      </c>
      <c r="AT9" s="541">
        <v>550</v>
      </c>
      <c r="AU9" s="541">
        <v>600</v>
      </c>
      <c r="AV9" s="541">
        <v>550</v>
      </c>
      <c r="AW9" s="541">
        <v>700</v>
      </c>
      <c r="AX9" s="541">
        <v>700</v>
      </c>
      <c r="AY9" s="545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 spans="1:204" ht="16.5">
      <c r="A10" s="536" t="s">
        <v>37</v>
      </c>
      <c r="B10" s="540"/>
      <c r="C10" s="540"/>
      <c r="D10" s="540"/>
      <c r="E10" s="541" t="s">
        <v>1186</v>
      </c>
      <c r="F10" s="540"/>
      <c r="G10" s="541"/>
      <c r="H10" s="541" t="s">
        <v>621</v>
      </c>
      <c r="I10" s="540"/>
      <c r="J10" s="541" t="s">
        <v>16728</v>
      </c>
      <c r="K10" s="541" t="s">
        <v>15893</v>
      </c>
      <c r="L10" s="540"/>
      <c r="M10" s="540"/>
      <c r="N10" s="541" t="s">
        <v>474</v>
      </c>
      <c r="O10" s="540"/>
      <c r="P10" s="540"/>
      <c r="Q10" s="541" t="s">
        <v>762</v>
      </c>
      <c r="R10" s="541" t="s">
        <v>456</v>
      </c>
      <c r="S10" s="541" t="s">
        <v>622</v>
      </c>
      <c r="T10" s="540"/>
      <c r="U10" s="541" t="s">
        <v>621</v>
      </c>
      <c r="V10" s="540"/>
      <c r="W10" s="541" t="s">
        <v>878</v>
      </c>
      <c r="X10" s="540"/>
      <c r="Y10" s="540"/>
      <c r="Z10" s="541" t="s">
        <v>813</v>
      </c>
      <c r="AA10" s="541" t="s">
        <v>889</v>
      </c>
      <c r="AB10" s="540"/>
      <c r="AC10" s="541" t="s">
        <v>618</v>
      </c>
      <c r="AD10" s="540"/>
      <c r="AE10" s="544"/>
      <c r="AF10" s="540"/>
      <c r="AG10" s="540"/>
      <c r="AH10" s="541" t="s">
        <v>723</v>
      </c>
      <c r="AI10" s="540"/>
      <c r="AJ10" s="544"/>
      <c r="AK10" s="540"/>
      <c r="AL10" s="541" t="s">
        <v>884</v>
      </c>
      <c r="AM10" s="540"/>
      <c r="AN10" s="544"/>
      <c r="AO10" s="541" t="s">
        <v>776</v>
      </c>
      <c r="AP10" s="541" t="s">
        <v>712</v>
      </c>
      <c r="AQ10" s="541" t="s">
        <v>646</v>
      </c>
      <c r="AR10" s="541" t="s">
        <v>803</v>
      </c>
      <c r="AS10" s="541" t="s">
        <v>877</v>
      </c>
      <c r="AT10" s="541" t="s">
        <v>868</v>
      </c>
      <c r="AU10" s="541" t="s">
        <v>842</v>
      </c>
      <c r="AV10" s="541" t="s">
        <v>1023</v>
      </c>
      <c r="AW10" s="541" t="s">
        <v>15541</v>
      </c>
      <c r="AX10" s="541" t="s">
        <v>724</v>
      </c>
      <c r="AY10" s="545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 spans="1:204" ht="16.5">
      <c r="A11" s="546">
        <v>46204</v>
      </c>
      <c r="B11" s="547"/>
      <c r="C11" s="547"/>
      <c r="D11" s="547"/>
      <c r="E11" s="547"/>
      <c r="F11" s="547"/>
      <c r="G11" s="547"/>
      <c r="H11" s="547"/>
      <c r="I11" s="547"/>
      <c r="J11" s="547"/>
      <c r="K11" s="547">
        <v>1</v>
      </c>
      <c r="L11" s="547"/>
      <c r="M11" s="547"/>
      <c r="N11" s="547"/>
      <c r="O11" s="547"/>
      <c r="P11" s="547"/>
      <c r="Q11" s="547">
        <v>1</v>
      </c>
      <c r="R11" s="547">
        <v>1</v>
      </c>
      <c r="S11" s="547"/>
      <c r="T11" s="547"/>
      <c r="U11" s="547"/>
      <c r="V11" s="547"/>
      <c r="W11" s="547"/>
      <c r="X11" s="547"/>
      <c r="Y11" s="547"/>
      <c r="Z11" s="547"/>
      <c r="AA11" s="547">
        <v>1</v>
      </c>
      <c r="AB11" s="547"/>
      <c r="AC11" s="547"/>
      <c r="AD11" s="547"/>
      <c r="AE11" s="548">
        <v>1</v>
      </c>
      <c r="AF11" s="547"/>
      <c r="AG11" s="547"/>
      <c r="AH11" s="547">
        <v>0.98001802884615385</v>
      </c>
      <c r="AI11" s="547"/>
      <c r="AJ11" s="548">
        <v>0.98001802884615385</v>
      </c>
      <c r="AK11" s="547"/>
      <c r="AL11" s="547"/>
      <c r="AM11" s="547"/>
      <c r="AN11" s="548"/>
      <c r="AO11" s="547">
        <v>0.98773036858974361</v>
      </c>
      <c r="AP11" s="547"/>
      <c r="AQ11" s="547">
        <v>0.99591012286324787</v>
      </c>
      <c r="AR11" s="547"/>
      <c r="AS11" s="547">
        <v>0.99522569444444442</v>
      </c>
      <c r="AT11" s="547">
        <v>0.9949051816239316</v>
      </c>
      <c r="AU11" s="547">
        <v>0.99866452991452992</v>
      </c>
      <c r="AV11" s="547"/>
      <c r="AW11" s="547">
        <v>1</v>
      </c>
      <c r="AX11" s="547">
        <v>0.98927951388888891</v>
      </c>
      <c r="AY11" s="549">
        <v>0.99453077304639803</v>
      </c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</row>
    <row r="12" spans="1:204" ht="16.5">
      <c r="A12" s="623">
        <v>46205</v>
      </c>
      <c r="B12" s="624"/>
      <c r="C12" s="624"/>
      <c r="D12" s="624"/>
      <c r="E12" s="624"/>
      <c r="F12" s="624"/>
      <c r="G12" s="624"/>
      <c r="H12" s="624"/>
      <c r="I12" s="624"/>
      <c r="J12" s="624"/>
      <c r="K12" s="624">
        <v>1</v>
      </c>
      <c r="L12" s="624"/>
      <c r="M12" s="624"/>
      <c r="N12" s="624"/>
      <c r="O12" s="624"/>
      <c r="P12" s="624"/>
      <c r="Q12" s="624">
        <v>0.99552617521367526</v>
      </c>
      <c r="R12" s="624">
        <v>1</v>
      </c>
      <c r="S12" s="624"/>
      <c r="T12" s="624"/>
      <c r="U12" s="624"/>
      <c r="V12" s="624"/>
      <c r="W12" s="624"/>
      <c r="X12" s="624"/>
      <c r="Y12" s="624"/>
      <c r="Z12" s="624"/>
      <c r="AA12" s="624">
        <v>1</v>
      </c>
      <c r="AB12" s="624"/>
      <c r="AC12" s="624"/>
      <c r="AD12" s="624"/>
      <c r="AE12" s="625">
        <v>0.99888154380341887</v>
      </c>
      <c r="AF12" s="624"/>
      <c r="AG12" s="624"/>
      <c r="AH12" s="624">
        <v>0.98763020833333337</v>
      </c>
      <c r="AI12" s="624"/>
      <c r="AJ12" s="625">
        <v>0.98763020833333337</v>
      </c>
      <c r="AK12" s="624"/>
      <c r="AL12" s="624"/>
      <c r="AM12" s="624"/>
      <c r="AN12" s="625"/>
      <c r="AO12" s="624">
        <v>1</v>
      </c>
      <c r="AP12" s="624"/>
      <c r="AQ12" s="624">
        <v>0.99509214743589747</v>
      </c>
      <c r="AR12" s="624"/>
      <c r="AS12" s="624">
        <v>1</v>
      </c>
      <c r="AT12" s="624">
        <v>0.99272168803418803</v>
      </c>
      <c r="AU12" s="624">
        <v>0.99599358974358976</v>
      </c>
      <c r="AV12" s="624"/>
      <c r="AW12" s="624">
        <v>1</v>
      </c>
      <c r="AX12" s="624">
        <v>1</v>
      </c>
      <c r="AY12" s="626">
        <v>0.99768677503052494</v>
      </c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</row>
    <row r="13" spans="1:204" ht="16.5">
      <c r="A13" s="623">
        <v>46206</v>
      </c>
      <c r="B13" s="624"/>
      <c r="C13" s="624"/>
      <c r="D13" s="624"/>
      <c r="E13" s="624"/>
      <c r="F13" s="624"/>
      <c r="G13" s="624"/>
      <c r="H13" s="624"/>
      <c r="I13" s="624"/>
      <c r="J13" s="624"/>
      <c r="K13" s="624">
        <v>0.99828392094017093</v>
      </c>
      <c r="L13" s="624"/>
      <c r="M13" s="624"/>
      <c r="N13" s="624"/>
      <c r="O13" s="624"/>
      <c r="P13" s="624"/>
      <c r="Q13" s="624">
        <v>0.9910523504273504</v>
      </c>
      <c r="R13" s="624">
        <v>1</v>
      </c>
      <c r="S13" s="624"/>
      <c r="T13" s="624"/>
      <c r="U13" s="624"/>
      <c r="V13" s="624"/>
      <c r="W13" s="624"/>
      <c r="X13" s="624"/>
      <c r="Y13" s="624"/>
      <c r="Z13" s="624"/>
      <c r="AA13" s="624">
        <v>0.99897836538461537</v>
      </c>
      <c r="AB13" s="624"/>
      <c r="AC13" s="624"/>
      <c r="AD13" s="624"/>
      <c r="AE13" s="625">
        <v>0.99707865918803407</v>
      </c>
      <c r="AF13" s="624"/>
      <c r="AG13" s="624"/>
      <c r="AH13" s="624">
        <v>0.99048477564102566</v>
      </c>
      <c r="AI13" s="624"/>
      <c r="AJ13" s="625">
        <v>0.99048477564102566</v>
      </c>
      <c r="AK13" s="624"/>
      <c r="AL13" s="624"/>
      <c r="AM13" s="624"/>
      <c r="AN13" s="625"/>
      <c r="AO13" s="624">
        <v>0.99836404914529919</v>
      </c>
      <c r="AP13" s="624"/>
      <c r="AQ13" s="624">
        <v>0.99591012286324787</v>
      </c>
      <c r="AR13" s="624"/>
      <c r="AS13" s="624">
        <v>0.99140625000000004</v>
      </c>
      <c r="AT13" s="624">
        <v>0.97015892094017098</v>
      </c>
      <c r="AU13" s="624">
        <v>0.97996794871794868</v>
      </c>
      <c r="AV13" s="624"/>
      <c r="AW13" s="624">
        <v>0.9975260416666667</v>
      </c>
      <c r="AX13" s="624">
        <v>0.99422743055555551</v>
      </c>
      <c r="AY13" s="626">
        <v>0.98965153769841263</v>
      </c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</row>
    <row r="14" spans="1:204" ht="16.5">
      <c r="A14" s="623">
        <v>46207</v>
      </c>
      <c r="B14" s="624"/>
      <c r="C14" s="624"/>
      <c r="D14" s="624"/>
      <c r="E14" s="624">
        <v>0.99839409722222228</v>
      </c>
      <c r="F14" s="624"/>
      <c r="G14" s="624"/>
      <c r="H14" s="624"/>
      <c r="I14" s="624"/>
      <c r="J14" s="624"/>
      <c r="K14" s="624">
        <v>1</v>
      </c>
      <c r="L14" s="624"/>
      <c r="M14" s="624"/>
      <c r="N14" s="624"/>
      <c r="O14" s="624"/>
      <c r="P14" s="624"/>
      <c r="Q14" s="624">
        <v>1</v>
      </c>
      <c r="R14" s="624">
        <v>0.99799679487179482</v>
      </c>
      <c r="S14" s="624"/>
      <c r="T14" s="624"/>
      <c r="U14" s="624"/>
      <c r="V14" s="624"/>
      <c r="W14" s="624"/>
      <c r="X14" s="624"/>
      <c r="Y14" s="624"/>
      <c r="Z14" s="624"/>
      <c r="AA14" s="624">
        <v>1</v>
      </c>
      <c r="AB14" s="624"/>
      <c r="AC14" s="624"/>
      <c r="AD14" s="624"/>
      <c r="AE14" s="625">
        <v>0.9992781784188034</v>
      </c>
      <c r="AF14" s="624"/>
      <c r="AG14" s="624"/>
      <c r="AH14" s="624">
        <v>0.99143629807692313</v>
      </c>
      <c r="AI14" s="624"/>
      <c r="AJ14" s="625">
        <v>0.99143629807692313</v>
      </c>
      <c r="AK14" s="624"/>
      <c r="AL14" s="624"/>
      <c r="AM14" s="624"/>
      <c r="AN14" s="625"/>
      <c r="AO14" s="624">
        <v>0.99345619658119655</v>
      </c>
      <c r="AP14" s="624"/>
      <c r="AQ14" s="624">
        <v>0.99345619658119655</v>
      </c>
      <c r="AR14" s="624"/>
      <c r="AS14" s="624">
        <v>0.99618055555555551</v>
      </c>
      <c r="AT14" s="624">
        <v>0.99563301282051286</v>
      </c>
      <c r="AU14" s="624">
        <v>0.9933226495726496</v>
      </c>
      <c r="AV14" s="624"/>
      <c r="AW14" s="624">
        <v>0.99505208333333328</v>
      </c>
      <c r="AX14" s="624">
        <v>0.99340277777777775</v>
      </c>
      <c r="AY14" s="626">
        <v>0.99435763888888895</v>
      </c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</row>
    <row r="15" spans="1:204" ht="16.5">
      <c r="A15" s="623">
        <v>46208</v>
      </c>
      <c r="B15" s="624"/>
      <c r="C15" s="624"/>
      <c r="D15" s="624"/>
      <c r="E15" s="624">
        <v>0.99357638888888888</v>
      </c>
      <c r="F15" s="624"/>
      <c r="G15" s="624"/>
      <c r="H15" s="624"/>
      <c r="I15" s="624"/>
      <c r="J15" s="624"/>
      <c r="K15" s="624">
        <v>0.98283920940170943</v>
      </c>
      <c r="L15" s="624"/>
      <c r="M15" s="624"/>
      <c r="N15" s="624"/>
      <c r="O15" s="624"/>
      <c r="P15" s="624"/>
      <c r="Q15" s="624">
        <v>1</v>
      </c>
      <c r="R15" s="624">
        <v>1</v>
      </c>
      <c r="S15" s="624"/>
      <c r="T15" s="624"/>
      <c r="U15" s="624"/>
      <c r="V15" s="624"/>
      <c r="W15" s="624"/>
      <c r="X15" s="624"/>
      <c r="Y15" s="624"/>
      <c r="Z15" s="624"/>
      <c r="AA15" s="624">
        <v>1</v>
      </c>
      <c r="AB15" s="624"/>
      <c r="AC15" s="624"/>
      <c r="AD15" s="624"/>
      <c r="AE15" s="625">
        <v>0.99528311965811977</v>
      </c>
      <c r="AF15" s="624"/>
      <c r="AG15" s="624"/>
      <c r="AH15" s="624">
        <v>0.99429086538461542</v>
      </c>
      <c r="AI15" s="624"/>
      <c r="AJ15" s="625">
        <v>0.99429086538461542</v>
      </c>
      <c r="AK15" s="624"/>
      <c r="AL15" s="624"/>
      <c r="AM15" s="624"/>
      <c r="AN15" s="625"/>
      <c r="AO15" s="624">
        <v>0.99263822115384615</v>
      </c>
      <c r="AP15" s="624"/>
      <c r="AQ15" s="624">
        <v>1</v>
      </c>
      <c r="AR15" s="624"/>
      <c r="AS15" s="624">
        <v>0.99427083333333333</v>
      </c>
      <c r="AT15" s="624">
        <v>1</v>
      </c>
      <c r="AU15" s="624">
        <v>1</v>
      </c>
      <c r="AV15" s="624"/>
      <c r="AW15" s="624">
        <v>0.99835069444444446</v>
      </c>
      <c r="AX15" s="624">
        <v>1</v>
      </c>
      <c r="AY15" s="626">
        <v>0.99789424984737496</v>
      </c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</row>
    <row r="16" spans="1:204" ht="16.5">
      <c r="A16" s="623">
        <v>46209</v>
      </c>
      <c r="B16" s="624"/>
      <c r="C16" s="624"/>
      <c r="D16" s="624"/>
      <c r="E16" s="624">
        <v>0.98394097222222221</v>
      </c>
      <c r="F16" s="624"/>
      <c r="G16" s="624"/>
      <c r="H16" s="624"/>
      <c r="I16" s="624"/>
      <c r="J16" s="624"/>
      <c r="K16" s="624">
        <v>0.99656784188034186</v>
      </c>
      <c r="L16" s="624"/>
      <c r="M16" s="624"/>
      <c r="N16" s="624"/>
      <c r="O16" s="624"/>
      <c r="P16" s="624"/>
      <c r="Q16" s="624">
        <v>0.99328926282051277</v>
      </c>
      <c r="R16" s="624">
        <v>1</v>
      </c>
      <c r="S16" s="624"/>
      <c r="T16" s="624"/>
      <c r="U16" s="624"/>
      <c r="V16" s="624"/>
      <c r="W16" s="624"/>
      <c r="X16" s="624"/>
      <c r="Y16" s="624"/>
      <c r="Z16" s="624"/>
      <c r="AA16" s="624">
        <v>0.99387019230769236</v>
      </c>
      <c r="AB16" s="624"/>
      <c r="AC16" s="624"/>
      <c r="AD16" s="624"/>
      <c r="AE16" s="625">
        <v>0.99353365384615377</v>
      </c>
      <c r="AF16" s="624"/>
      <c r="AG16" s="624"/>
      <c r="AH16" s="624">
        <v>0.98763020833333337</v>
      </c>
      <c r="AI16" s="624"/>
      <c r="AJ16" s="625">
        <v>0.98763020833333337</v>
      </c>
      <c r="AK16" s="624"/>
      <c r="AL16" s="624"/>
      <c r="AM16" s="624"/>
      <c r="AN16" s="625"/>
      <c r="AO16" s="624">
        <v>0.99672809829059827</v>
      </c>
      <c r="AP16" s="624"/>
      <c r="AQ16" s="624">
        <v>0.99672809829059827</v>
      </c>
      <c r="AR16" s="624"/>
      <c r="AS16" s="624">
        <v>0.99809027777777781</v>
      </c>
      <c r="AT16" s="624">
        <v>0.99854433760683758</v>
      </c>
      <c r="AU16" s="624">
        <v>0.99866452991452992</v>
      </c>
      <c r="AV16" s="624"/>
      <c r="AW16" s="624">
        <v>1</v>
      </c>
      <c r="AX16" s="624">
        <v>1</v>
      </c>
      <c r="AY16" s="626">
        <v>0.99839362026862033</v>
      </c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</row>
    <row r="17" spans="1:130" ht="16.5">
      <c r="A17" s="623">
        <v>46210</v>
      </c>
      <c r="B17" s="624"/>
      <c r="C17" s="624"/>
      <c r="D17" s="624"/>
      <c r="E17" s="624">
        <v>0.99357638888888888</v>
      </c>
      <c r="F17" s="624"/>
      <c r="G17" s="624"/>
      <c r="H17" s="624"/>
      <c r="I17" s="624"/>
      <c r="J17" s="624"/>
      <c r="K17" s="624">
        <v>0.99313568376068373</v>
      </c>
      <c r="L17" s="624"/>
      <c r="M17" s="624"/>
      <c r="N17" s="624"/>
      <c r="O17" s="624"/>
      <c r="P17" s="624"/>
      <c r="Q17" s="624">
        <v>0.99776308760683763</v>
      </c>
      <c r="R17" s="624">
        <v>1</v>
      </c>
      <c r="S17" s="624"/>
      <c r="T17" s="624"/>
      <c r="U17" s="624"/>
      <c r="V17" s="624"/>
      <c r="W17" s="624"/>
      <c r="X17" s="624"/>
      <c r="Y17" s="624"/>
      <c r="Z17" s="624"/>
      <c r="AA17" s="624">
        <v>0.97445913461538458</v>
      </c>
      <c r="AB17" s="624"/>
      <c r="AC17" s="624"/>
      <c r="AD17" s="624"/>
      <c r="AE17" s="625">
        <v>0.99178685897435892</v>
      </c>
      <c r="AF17" s="624"/>
      <c r="AG17" s="624"/>
      <c r="AH17" s="624">
        <v>0.98477564102564097</v>
      </c>
      <c r="AI17" s="624"/>
      <c r="AJ17" s="625">
        <v>0.98477564102564097</v>
      </c>
      <c r="AK17" s="624"/>
      <c r="AL17" s="624"/>
      <c r="AM17" s="624"/>
      <c r="AN17" s="625"/>
      <c r="AO17" s="624">
        <v>0.99591012286324787</v>
      </c>
      <c r="AP17" s="624"/>
      <c r="AQ17" s="624">
        <v>1</v>
      </c>
      <c r="AR17" s="624"/>
      <c r="AS17" s="624"/>
      <c r="AT17" s="624">
        <v>0.99636084401709402</v>
      </c>
      <c r="AU17" s="624">
        <v>0.96928418803418803</v>
      </c>
      <c r="AV17" s="624"/>
      <c r="AW17" s="624">
        <v>0.99422743055555551</v>
      </c>
      <c r="AX17" s="624">
        <v>0.99670138888888893</v>
      </c>
      <c r="AY17" s="626">
        <v>0.99208066239316228</v>
      </c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</row>
    <row r="18" spans="1:130" ht="16.5">
      <c r="A18" s="623">
        <v>46211</v>
      </c>
      <c r="B18" s="624"/>
      <c r="C18" s="624"/>
      <c r="D18" s="624"/>
      <c r="E18" s="624">
        <v>1</v>
      </c>
      <c r="F18" s="624"/>
      <c r="G18" s="624"/>
      <c r="H18" s="624"/>
      <c r="I18" s="624"/>
      <c r="J18" s="624">
        <v>1</v>
      </c>
      <c r="K18" s="624">
        <v>1</v>
      </c>
      <c r="L18" s="624"/>
      <c r="M18" s="624"/>
      <c r="N18" s="624"/>
      <c r="O18" s="624"/>
      <c r="P18" s="624"/>
      <c r="Q18" s="624">
        <v>1</v>
      </c>
      <c r="R18" s="624">
        <v>1</v>
      </c>
      <c r="S18" s="624"/>
      <c r="T18" s="624"/>
      <c r="U18" s="624"/>
      <c r="V18" s="624"/>
      <c r="W18" s="624"/>
      <c r="X18" s="624"/>
      <c r="Y18" s="624"/>
      <c r="Z18" s="624"/>
      <c r="AA18" s="624">
        <v>0.9959134615384615</v>
      </c>
      <c r="AB18" s="624"/>
      <c r="AC18" s="624"/>
      <c r="AD18" s="624"/>
      <c r="AE18" s="625">
        <v>0.99931891025641029</v>
      </c>
      <c r="AF18" s="624"/>
      <c r="AG18" s="624"/>
      <c r="AH18" s="624">
        <v>0.99238782051282048</v>
      </c>
      <c r="AI18" s="624"/>
      <c r="AJ18" s="625">
        <v>0.99238782051282048</v>
      </c>
      <c r="AK18" s="624"/>
      <c r="AL18" s="624"/>
      <c r="AM18" s="624"/>
      <c r="AN18" s="625"/>
      <c r="AO18" s="624">
        <v>0.99754607371794868</v>
      </c>
      <c r="AP18" s="624"/>
      <c r="AQ18" s="624">
        <v>0.99100227029914534</v>
      </c>
      <c r="AR18" s="624"/>
      <c r="AS18" s="624"/>
      <c r="AT18" s="624">
        <v>0.9949051816239316</v>
      </c>
      <c r="AU18" s="624">
        <v>0.99866452991452992</v>
      </c>
      <c r="AV18" s="624"/>
      <c r="AW18" s="624">
        <v>0.99917534722222223</v>
      </c>
      <c r="AX18" s="624">
        <v>0.99917534722222223</v>
      </c>
      <c r="AY18" s="626">
        <v>0.99674479166666663</v>
      </c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1:130" ht="16.5">
      <c r="A19" s="623">
        <v>46212</v>
      </c>
      <c r="B19" s="624"/>
      <c r="C19" s="624"/>
      <c r="D19" s="624"/>
      <c r="E19" s="624">
        <v>0.99839409722222228</v>
      </c>
      <c r="F19" s="624"/>
      <c r="G19" s="624"/>
      <c r="H19" s="624"/>
      <c r="I19" s="624"/>
      <c r="J19" s="624">
        <v>1</v>
      </c>
      <c r="K19" s="624">
        <v>1</v>
      </c>
      <c r="L19" s="624"/>
      <c r="M19" s="624"/>
      <c r="N19" s="624"/>
      <c r="O19" s="624"/>
      <c r="P19" s="624"/>
      <c r="Q19" s="624"/>
      <c r="R19" s="624">
        <v>1</v>
      </c>
      <c r="S19" s="624"/>
      <c r="T19" s="624"/>
      <c r="U19" s="624"/>
      <c r="V19" s="624"/>
      <c r="W19" s="624"/>
      <c r="X19" s="624"/>
      <c r="Y19" s="624"/>
      <c r="Z19" s="624"/>
      <c r="AA19" s="624">
        <v>1</v>
      </c>
      <c r="AB19" s="624"/>
      <c r="AC19" s="624"/>
      <c r="AD19" s="624"/>
      <c r="AE19" s="625">
        <v>0.99967881944444448</v>
      </c>
      <c r="AF19" s="624"/>
      <c r="AG19" s="624"/>
      <c r="AH19" s="624">
        <v>0.99429086538461542</v>
      </c>
      <c r="AI19" s="624"/>
      <c r="AJ19" s="625">
        <v>0.99429086538461542</v>
      </c>
      <c r="AK19" s="624"/>
      <c r="AL19" s="624"/>
      <c r="AM19" s="624"/>
      <c r="AN19" s="625"/>
      <c r="AO19" s="624">
        <v>0.99345619658119655</v>
      </c>
      <c r="AP19" s="624"/>
      <c r="AQ19" s="624">
        <v>0.99182024572649574</v>
      </c>
      <c r="AR19" s="624"/>
      <c r="AS19" s="624">
        <v>0.98663194444444446</v>
      </c>
      <c r="AT19" s="624">
        <v>0.9949051816239316</v>
      </c>
      <c r="AU19" s="624">
        <v>0.99465811965811968</v>
      </c>
      <c r="AV19" s="624"/>
      <c r="AW19" s="624">
        <v>0.9975260416666667</v>
      </c>
      <c r="AX19" s="624">
        <v>0.9868055555555556</v>
      </c>
      <c r="AY19" s="626">
        <v>0.99225761217948716</v>
      </c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1:130" ht="16.5">
      <c r="A20" s="623">
        <v>46213</v>
      </c>
      <c r="B20" s="624"/>
      <c r="C20" s="624"/>
      <c r="D20" s="624"/>
      <c r="E20" s="624">
        <v>0.99357638888888888</v>
      </c>
      <c r="F20" s="624"/>
      <c r="G20" s="624"/>
      <c r="H20" s="624"/>
      <c r="I20" s="624"/>
      <c r="J20" s="624">
        <v>1</v>
      </c>
      <c r="K20" s="624">
        <v>1</v>
      </c>
      <c r="L20" s="624"/>
      <c r="M20" s="624"/>
      <c r="N20" s="624">
        <v>0.95635683760683765</v>
      </c>
      <c r="O20" s="624"/>
      <c r="P20" s="624"/>
      <c r="Q20" s="624">
        <v>0.99113247863247866</v>
      </c>
      <c r="R20" s="624">
        <v>1</v>
      </c>
      <c r="S20" s="624"/>
      <c r="T20" s="624"/>
      <c r="U20" s="624"/>
      <c r="V20" s="624"/>
      <c r="W20" s="624"/>
      <c r="X20" s="624"/>
      <c r="Y20" s="624"/>
      <c r="Z20" s="624"/>
      <c r="AA20" s="624">
        <v>1</v>
      </c>
      <c r="AB20" s="624"/>
      <c r="AC20" s="624"/>
      <c r="AD20" s="624"/>
      <c r="AE20" s="625">
        <v>0.99158081501831508</v>
      </c>
      <c r="AF20" s="624"/>
      <c r="AG20" s="624"/>
      <c r="AH20" s="624">
        <v>0.98953325320512819</v>
      </c>
      <c r="AI20" s="624"/>
      <c r="AJ20" s="625">
        <v>0.98953325320512819</v>
      </c>
      <c r="AK20" s="624"/>
      <c r="AL20" s="624">
        <v>1</v>
      </c>
      <c r="AM20" s="624"/>
      <c r="AN20" s="625">
        <v>1</v>
      </c>
      <c r="AO20" s="624">
        <v>0.99427417200854706</v>
      </c>
      <c r="AP20" s="624"/>
      <c r="AQ20" s="624">
        <v>0.99345619658119655</v>
      </c>
      <c r="AR20" s="624"/>
      <c r="AS20" s="624">
        <v>0.98567708333333337</v>
      </c>
      <c r="AT20" s="624">
        <v>0.9883547008547009</v>
      </c>
      <c r="AU20" s="624">
        <v>0.98931623931623935</v>
      </c>
      <c r="AV20" s="624"/>
      <c r="AW20" s="624">
        <v>1</v>
      </c>
      <c r="AX20" s="624">
        <v>0.99670138888888893</v>
      </c>
      <c r="AY20" s="626">
        <v>0.9925399687118438</v>
      </c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</row>
    <row r="21" spans="1:130" ht="16.5">
      <c r="A21" s="623">
        <v>46214</v>
      </c>
      <c r="B21" s="624"/>
      <c r="C21" s="624"/>
      <c r="D21" s="624"/>
      <c r="E21" s="624">
        <v>0.98715277777777777</v>
      </c>
      <c r="F21" s="624"/>
      <c r="G21" s="624"/>
      <c r="H21" s="624"/>
      <c r="I21" s="624"/>
      <c r="J21" s="624">
        <v>0.99696180555555558</v>
      </c>
      <c r="K21" s="624">
        <v>1</v>
      </c>
      <c r="L21" s="624"/>
      <c r="M21" s="624"/>
      <c r="N21" s="624">
        <v>0.96726762820512824</v>
      </c>
      <c r="O21" s="624"/>
      <c r="P21" s="624"/>
      <c r="Q21" s="624"/>
      <c r="R21" s="624">
        <v>1</v>
      </c>
      <c r="S21" s="624">
        <v>1</v>
      </c>
      <c r="T21" s="624"/>
      <c r="U21" s="624"/>
      <c r="V21" s="624"/>
      <c r="W21" s="624"/>
      <c r="X21" s="624"/>
      <c r="Y21" s="624"/>
      <c r="Z21" s="624"/>
      <c r="AA21" s="624">
        <v>1</v>
      </c>
      <c r="AB21" s="624"/>
      <c r="AC21" s="624"/>
      <c r="AD21" s="624"/>
      <c r="AE21" s="625">
        <v>0.99305460164835169</v>
      </c>
      <c r="AF21" s="624"/>
      <c r="AG21" s="624"/>
      <c r="AH21" s="624">
        <v>0.98953325320512819</v>
      </c>
      <c r="AI21" s="624"/>
      <c r="AJ21" s="625">
        <v>0.98953325320512819</v>
      </c>
      <c r="AK21" s="624"/>
      <c r="AL21" s="624">
        <v>1</v>
      </c>
      <c r="AM21" s="624"/>
      <c r="AN21" s="625">
        <v>1</v>
      </c>
      <c r="AO21" s="624">
        <v>0.99263822115384615</v>
      </c>
      <c r="AP21" s="624"/>
      <c r="AQ21" s="624">
        <v>0.98364049145299148</v>
      </c>
      <c r="AR21" s="624"/>
      <c r="AS21" s="624">
        <v>0.99236111111111114</v>
      </c>
      <c r="AT21" s="624">
        <v>0.9949051816239316</v>
      </c>
      <c r="AU21" s="624">
        <v>0.98798076923076927</v>
      </c>
      <c r="AV21" s="624"/>
      <c r="AW21" s="624">
        <v>0.99917534722222223</v>
      </c>
      <c r="AX21" s="624">
        <v>0.99505208333333328</v>
      </c>
      <c r="AY21" s="626">
        <v>0.99225045787545785</v>
      </c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</row>
    <row r="22" spans="1:130" ht="16.5">
      <c r="A22" s="623">
        <v>46215</v>
      </c>
      <c r="B22" s="624"/>
      <c r="C22" s="624"/>
      <c r="D22" s="624"/>
      <c r="E22" s="624">
        <v>1</v>
      </c>
      <c r="F22" s="624"/>
      <c r="G22" s="624"/>
      <c r="H22" s="624"/>
      <c r="I22" s="624"/>
      <c r="J22" s="624">
        <v>1</v>
      </c>
      <c r="K22" s="624">
        <v>0.98970352564102559</v>
      </c>
      <c r="L22" s="624"/>
      <c r="M22" s="624"/>
      <c r="N22" s="624">
        <v>0.98636151175213671</v>
      </c>
      <c r="O22" s="624"/>
      <c r="P22" s="624"/>
      <c r="Q22" s="624"/>
      <c r="R22" s="624">
        <v>1</v>
      </c>
      <c r="S22" s="624">
        <v>0.98198784722222221</v>
      </c>
      <c r="T22" s="624"/>
      <c r="U22" s="624"/>
      <c r="V22" s="624"/>
      <c r="W22" s="624"/>
      <c r="X22" s="624"/>
      <c r="Y22" s="624"/>
      <c r="Z22" s="624"/>
      <c r="AA22" s="624">
        <v>0.99795673076923075</v>
      </c>
      <c r="AB22" s="624"/>
      <c r="AC22" s="624"/>
      <c r="AD22" s="624"/>
      <c r="AE22" s="625">
        <v>0.99371565934065942</v>
      </c>
      <c r="AF22" s="624"/>
      <c r="AG22" s="624"/>
      <c r="AH22" s="624">
        <v>0.98953325320512819</v>
      </c>
      <c r="AI22" s="624"/>
      <c r="AJ22" s="625">
        <v>0.98953325320512819</v>
      </c>
      <c r="AK22" s="624"/>
      <c r="AL22" s="624">
        <v>0.98217147435897434</v>
      </c>
      <c r="AM22" s="624"/>
      <c r="AN22" s="625">
        <v>0.98217147435897434</v>
      </c>
      <c r="AO22" s="624">
        <v>0.99836404914529919</v>
      </c>
      <c r="AP22" s="624"/>
      <c r="AQ22" s="624">
        <v>0.97627871260683763</v>
      </c>
      <c r="AR22" s="624"/>
      <c r="AS22" s="624">
        <v>0.98854166666666665</v>
      </c>
      <c r="AT22" s="624">
        <v>0.99563301282051286</v>
      </c>
      <c r="AU22" s="624">
        <v>0.98530982905982911</v>
      </c>
      <c r="AV22" s="624"/>
      <c r="AW22" s="624">
        <v>1</v>
      </c>
      <c r="AX22" s="624">
        <v>0.9975260416666667</v>
      </c>
      <c r="AY22" s="626">
        <v>0.9916647588522588</v>
      </c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</row>
    <row r="23" spans="1:130" ht="16.5">
      <c r="A23" s="623">
        <v>46216</v>
      </c>
      <c r="B23" s="624"/>
      <c r="C23" s="624"/>
      <c r="D23" s="624"/>
      <c r="E23" s="624"/>
      <c r="F23" s="624"/>
      <c r="G23" s="624"/>
      <c r="H23" s="624"/>
      <c r="I23" s="624"/>
      <c r="J23" s="624">
        <v>1</v>
      </c>
      <c r="K23" s="624">
        <v>0.99656784188034186</v>
      </c>
      <c r="L23" s="624"/>
      <c r="M23" s="624"/>
      <c r="N23" s="624">
        <v>0.99454460470085471</v>
      </c>
      <c r="O23" s="624"/>
      <c r="P23" s="624"/>
      <c r="Q23" s="624"/>
      <c r="R23" s="624">
        <v>1</v>
      </c>
      <c r="S23" s="624">
        <v>1</v>
      </c>
      <c r="T23" s="624"/>
      <c r="U23" s="624"/>
      <c r="V23" s="624"/>
      <c r="W23" s="624"/>
      <c r="X23" s="624"/>
      <c r="Y23" s="624"/>
      <c r="Z23" s="624"/>
      <c r="AA23" s="624">
        <v>1</v>
      </c>
      <c r="AB23" s="624"/>
      <c r="AC23" s="624"/>
      <c r="AD23" s="624"/>
      <c r="AE23" s="625">
        <v>0.998518741096866</v>
      </c>
      <c r="AF23" s="624"/>
      <c r="AG23" s="624"/>
      <c r="AH23" s="624">
        <v>1</v>
      </c>
      <c r="AI23" s="624"/>
      <c r="AJ23" s="625">
        <v>1</v>
      </c>
      <c r="AK23" s="624"/>
      <c r="AL23" s="624">
        <v>1</v>
      </c>
      <c r="AM23" s="624"/>
      <c r="AN23" s="625">
        <v>1</v>
      </c>
      <c r="AO23" s="624">
        <v>0.99836404914529919</v>
      </c>
      <c r="AP23" s="624"/>
      <c r="AQ23" s="624">
        <v>0.98445846688034189</v>
      </c>
      <c r="AR23" s="624"/>
      <c r="AS23" s="624">
        <v>0.99427083333333333</v>
      </c>
      <c r="AT23" s="624">
        <v>0.98398771367521365</v>
      </c>
      <c r="AU23" s="624">
        <v>0.97729700854700852</v>
      </c>
      <c r="AV23" s="624"/>
      <c r="AW23" s="624">
        <v>0.99835069444444446</v>
      </c>
      <c r="AX23" s="624">
        <v>0.99340277777777775</v>
      </c>
      <c r="AY23" s="626">
        <v>0.99001879197191689</v>
      </c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</row>
    <row r="24" spans="1:130" ht="16.5">
      <c r="A24" s="623">
        <v>46217</v>
      </c>
      <c r="B24" s="624"/>
      <c r="C24" s="624"/>
      <c r="D24" s="624"/>
      <c r="E24" s="624"/>
      <c r="F24" s="624"/>
      <c r="G24" s="624"/>
      <c r="H24" s="624"/>
      <c r="I24" s="624"/>
      <c r="J24" s="624">
        <v>0.98784722222222221</v>
      </c>
      <c r="K24" s="624">
        <v>0.99828392094017093</v>
      </c>
      <c r="L24" s="624"/>
      <c r="M24" s="624"/>
      <c r="N24" s="624">
        <v>0.97545072115384612</v>
      </c>
      <c r="O24" s="624"/>
      <c r="P24" s="624"/>
      <c r="Q24" s="624"/>
      <c r="R24" s="624">
        <v>0.99799679487179482</v>
      </c>
      <c r="S24" s="624">
        <v>1</v>
      </c>
      <c r="T24" s="624"/>
      <c r="U24" s="624"/>
      <c r="V24" s="624"/>
      <c r="W24" s="624"/>
      <c r="X24" s="624"/>
      <c r="Y24" s="624"/>
      <c r="Z24" s="624"/>
      <c r="AA24" s="624"/>
      <c r="AB24" s="624"/>
      <c r="AC24" s="624"/>
      <c r="AD24" s="624"/>
      <c r="AE24" s="625">
        <v>0.99191573183760684</v>
      </c>
      <c r="AF24" s="624"/>
      <c r="AG24" s="624"/>
      <c r="AH24" s="624"/>
      <c r="AI24" s="624"/>
      <c r="AJ24" s="625"/>
      <c r="AK24" s="624"/>
      <c r="AL24" s="624">
        <v>1</v>
      </c>
      <c r="AM24" s="624"/>
      <c r="AN24" s="625">
        <v>1</v>
      </c>
      <c r="AO24" s="624">
        <v>0.9991820245726496</v>
      </c>
      <c r="AP24" s="624"/>
      <c r="AQ24" s="624">
        <v>0.99427417200854706</v>
      </c>
      <c r="AR24" s="624"/>
      <c r="AS24" s="624">
        <v>0.99904513888888891</v>
      </c>
      <c r="AT24" s="624">
        <v>0.98908253205128205</v>
      </c>
      <c r="AU24" s="624">
        <v>0.97462606837606836</v>
      </c>
      <c r="AV24" s="624"/>
      <c r="AW24" s="624">
        <v>0.99587673611111116</v>
      </c>
      <c r="AX24" s="624">
        <v>0.99422743055555551</v>
      </c>
      <c r="AY24" s="626">
        <v>0.99233058608058611</v>
      </c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</row>
    <row r="25" spans="1:130" ht="16.5">
      <c r="A25" s="623">
        <v>46218</v>
      </c>
      <c r="B25" s="624"/>
      <c r="C25" s="624"/>
      <c r="D25" s="624"/>
      <c r="E25" s="624"/>
      <c r="F25" s="624"/>
      <c r="G25" s="624"/>
      <c r="H25" s="624"/>
      <c r="I25" s="624"/>
      <c r="J25" s="624"/>
      <c r="K25" s="624">
        <v>1</v>
      </c>
      <c r="L25" s="624"/>
      <c r="M25" s="624"/>
      <c r="N25" s="624">
        <v>0.98363381410256412</v>
      </c>
      <c r="O25" s="624"/>
      <c r="P25" s="624"/>
      <c r="Q25" s="624"/>
      <c r="R25" s="624">
        <v>1</v>
      </c>
      <c r="S25" s="624"/>
      <c r="T25" s="624"/>
      <c r="U25" s="624"/>
      <c r="V25" s="624"/>
      <c r="W25" s="624"/>
      <c r="X25" s="624"/>
      <c r="Y25" s="624"/>
      <c r="Z25" s="624"/>
      <c r="AA25" s="624"/>
      <c r="AB25" s="624"/>
      <c r="AC25" s="624"/>
      <c r="AD25" s="624"/>
      <c r="AE25" s="625">
        <v>0.99454460470085471</v>
      </c>
      <c r="AF25" s="624"/>
      <c r="AG25" s="624"/>
      <c r="AH25" s="624"/>
      <c r="AI25" s="624"/>
      <c r="AJ25" s="625"/>
      <c r="AK25" s="624"/>
      <c r="AL25" s="624">
        <v>1</v>
      </c>
      <c r="AM25" s="624"/>
      <c r="AN25" s="625">
        <v>1</v>
      </c>
      <c r="AO25" s="624">
        <v>0.9991820245726496</v>
      </c>
      <c r="AP25" s="624"/>
      <c r="AQ25" s="624"/>
      <c r="AR25" s="624"/>
      <c r="AS25" s="624">
        <v>0.99713541666666672</v>
      </c>
      <c r="AT25" s="624"/>
      <c r="AU25" s="624">
        <v>0.98931623931623935</v>
      </c>
      <c r="AV25" s="624"/>
      <c r="AW25" s="624">
        <v>0.9975260416666667</v>
      </c>
      <c r="AX25" s="624">
        <v>0.99505208333333328</v>
      </c>
      <c r="AY25" s="626">
        <v>0.99564236111111115</v>
      </c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1:130" ht="16.5">
      <c r="A26" s="623">
        <v>46219</v>
      </c>
      <c r="B26" s="624"/>
      <c r="C26" s="624"/>
      <c r="D26" s="624"/>
      <c r="E26" s="624"/>
      <c r="F26" s="624"/>
      <c r="G26" s="624"/>
      <c r="H26" s="624"/>
      <c r="I26" s="624"/>
      <c r="J26" s="624"/>
      <c r="K26" s="624">
        <v>1</v>
      </c>
      <c r="L26" s="624"/>
      <c r="M26" s="624"/>
      <c r="N26" s="624">
        <v>1</v>
      </c>
      <c r="O26" s="624"/>
      <c r="P26" s="624"/>
      <c r="Q26" s="624"/>
      <c r="R26" s="624"/>
      <c r="S26" s="624"/>
      <c r="T26" s="624"/>
      <c r="U26" s="624"/>
      <c r="V26" s="624"/>
      <c r="W26" s="624"/>
      <c r="X26" s="624"/>
      <c r="Y26" s="624"/>
      <c r="Z26" s="624"/>
      <c r="AA26" s="624">
        <v>1</v>
      </c>
      <c r="AB26" s="624"/>
      <c r="AC26" s="624"/>
      <c r="AD26" s="624"/>
      <c r="AE26" s="625">
        <v>1</v>
      </c>
      <c r="AF26" s="624"/>
      <c r="AG26" s="624"/>
      <c r="AH26" s="624"/>
      <c r="AI26" s="624"/>
      <c r="AJ26" s="625"/>
      <c r="AK26" s="624"/>
      <c r="AL26" s="624">
        <v>1</v>
      </c>
      <c r="AM26" s="624"/>
      <c r="AN26" s="625">
        <v>1</v>
      </c>
      <c r="AO26" s="624">
        <v>1</v>
      </c>
      <c r="AP26" s="624"/>
      <c r="AQ26" s="624"/>
      <c r="AR26" s="624"/>
      <c r="AS26" s="624">
        <v>1</v>
      </c>
      <c r="AT26" s="624"/>
      <c r="AU26" s="624">
        <v>0.99065170940170943</v>
      </c>
      <c r="AV26" s="624"/>
      <c r="AW26" s="624">
        <v>0.99670138888888893</v>
      </c>
      <c r="AX26" s="624">
        <v>0.99175347222222221</v>
      </c>
      <c r="AY26" s="626">
        <v>0.99582131410256414</v>
      </c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1:130" ht="16.5">
      <c r="A27" s="623">
        <v>46220</v>
      </c>
      <c r="B27" s="624"/>
      <c r="C27" s="624"/>
      <c r="D27" s="624"/>
      <c r="E27" s="624"/>
      <c r="F27" s="624"/>
      <c r="G27" s="624"/>
      <c r="H27" s="624"/>
      <c r="I27" s="624"/>
      <c r="J27" s="624"/>
      <c r="K27" s="624">
        <v>0.99313568376068373</v>
      </c>
      <c r="L27" s="624"/>
      <c r="M27" s="624"/>
      <c r="N27" s="624">
        <v>0.9972723023504273</v>
      </c>
      <c r="O27" s="624"/>
      <c r="P27" s="624"/>
      <c r="Q27" s="624"/>
      <c r="R27" s="624">
        <v>1</v>
      </c>
      <c r="S27" s="624">
        <v>1</v>
      </c>
      <c r="T27" s="624"/>
      <c r="U27" s="624"/>
      <c r="V27" s="624"/>
      <c r="W27" s="624"/>
      <c r="X27" s="624"/>
      <c r="Y27" s="624"/>
      <c r="Z27" s="624"/>
      <c r="AA27" s="624"/>
      <c r="AB27" s="624"/>
      <c r="AC27" s="624">
        <v>0.99513221153846154</v>
      </c>
      <c r="AD27" s="624"/>
      <c r="AE27" s="625">
        <v>0.99710803952991456</v>
      </c>
      <c r="AF27" s="624"/>
      <c r="AG27" s="624"/>
      <c r="AH27" s="624"/>
      <c r="AI27" s="624"/>
      <c r="AJ27" s="625"/>
      <c r="AK27" s="624"/>
      <c r="AL27" s="624">
        <v>1</v>
      </c>
      <c r="AM27" s="624"/>
      <c r="AN27" s="625">
        <v>1</v>
      </c>
      <c r="AO27" s="624">
        <v>0.99591012286324787</v>
      </c>
      <c r="AP27" s="624"/>
      <c r="AQ27" s="624"/>
      <c r="AR27" s="624">
        <v>0.99175347222222221</v>
      </c>
      <c r="AS27" s="624">
        <v>1</v>
      </c>
      <c r="AT27" s="624"/>
      <c r="AU27" s="624">
        <v>0.99198717948717952</v>
      </c>
      <c r="AV27" s="624"/>
      <c r="AW27" s="624">
        <v>1</v>
      </c>
      <c r="AX27" s="624">
        <v>0.99835069444444446</v>
      </c>
      <c r="AY27" s="626">
        <v>0.99633357816951573</v>
      </c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ht="16.5">
      <c r="A28" s="623">
        <v>46221</v>
      </c>
      <c r="B28" s="624"/>
      <c r="C28" s="624"/>
      <c r="D28" s="624"/>
      <c r="E28" s="624"/>
      <c r="F28" s="624"/>
      <c r="G28" s="624"/>
      <c r="H28" s="624"/>
      <c r="I28" s="624"/>
      <c r="J28" s="624"/>
      <c r="K28" s="624">
        <v>1</v>
      </c>
      <c r="L28" s="624"/>
      <c r="M28" s="624"/>
      <c r="N28" s="624">
        <v>0.97545072115384612</v>
      </c>
      <c r="O28" s="624"/>
      <c r="P28" s="624"/>
      <c r="Q28" s="624"/>
      <c r="R28" s="624">
        <v>1</v>
      </c>
      <c r="S28" s="624">
        <v>1</v>
      </c>
      <c r="T28" s="624"/>
      <c r="U28" s="624"/>
      <c r="V28" s="624"/>
      <c r="W28" s="624"/>
      <c r="X28" s="624"/>
      <c r="Y28" s="624"/>
      <c r="Z28" s="624"/>
      <c r="AA28" s="624"/>
      <c r="AB28" s="624"/>
      <c r="AC28" s="624">
        <v>1</v>
      </c>
      <c r="AD28" s="624"/>
      <c r="AE28" s="625">
        <v>0.99509014423076925</v>
      </c>
      <c r="AF28" s="624"/>
      <c r="AG28" s="624"/>
      <c r="AH28" s="624"/>
      <c r="AI28" s="624"/>
      <c r="AJ28" s="625"/>
      <c r="AK28" s="624"/>
      <c r="AL28" s="624">
        <v>1</v>
      </c>
      <c r="AM28" s="624"/>
      <c r="AN28" s="625">
        <v>1</v>
      </c>
      <c r="AO28" s="624">
        <v>0.99509214743589747</v>
      </c>
      <c r="AP28" s="624">
        <v>0.99904513888888891</v>
      </c>
      <c r="AQ28" s="624"/>
      <c r="AR28" s="624">
        <v>0.99670138888888893</v>
      </c>
      <c r="AS28" s="624">
        <v>1</v>
      </c>
      <c r="AT28" s="624"/>
      <c r="AU28" s="624">
        <v>0.99599358974358976</v>
      </c>
      <c r="AV28" s="624"/>
      <c r="AW28" s="624">
        <v>1</v>
      </c>
      <c r="AX28" s="624">
        <v>1</v>
      </c>
      <c r="AY28" s="626">
        <v>0.99811889499389495</v>
      </c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6.5">
      <c r="A29" s="623">
        <v>46222</v>
      </c>
      <c r="B29" s="624"/>
      <c r="C29" s="624"/>
      <c r="D29" s="624"/>
      <c r="E29" s="624"/>
      <c r="F29" s="624"/>
      <c r="G29" s="624"/>
      <c r="H29" s="624"/>
      <c r="I29" s="624"/>
      <c r="J29" s="624"/>
      <c r="K29" s="624">
        <v>0.98970352564102559</v>
      </c>
      <c r="L29" s="624"/>
      <c r="M29" s="624"/>
      <c r="N29" s="624">
        <v>0.98908920940170941</v>
      </c>
      <c r="O29" s="624"/>
      <c r="P29" s="624"/>
      <c r="Q29" s="624"/>
      <c r="R29" s="624">
        <v>0.98607104700854697</v>
      </c>
      <c r="S29" s="624">
        <v>0.99639756944444446</v>
      </c>
      <c r="T29" s="624"/>
      <c r="U29" s="624"/>
      <c r="V29" s="624"/>
      <c r="W29" s="624"/>
      <c r="X29" s="624"/>
      <c r="Y29" s="624"/>
      <c r="Z29" s="624"/>
      <c r="AA29" s="624"/>
      <c r="AB29" s="624"/>
      <c r="AC29" s="624">
        <v>0.99188701923076927</v>
      </c>
      <c r="AD29" s="624"/>
      <c r="AE29" s="625">
        <v>0.99062967414529912</v>
      </c>
      <c r="AF29" s="624"/>
      <c r="AG29" s="624"/>
      <c r="AH29" s="624"/>
      <c r="AI29" s="624"/>
      <c r="AJ29" s="625"/>
      <c r="AK29" s="624"/>
      <c r="AL29" s="624">
        <v>1</v>
      </c>
      <c r="AM29" s="624"/>
      <c r="AN29" s="625">
        <v>1</v>
      </c>
      <c r="AO29" s="624"/>
      <c r="AP29" s="624">
        <v>1</v>
      </c>
      <c r="AQ29" s="624"/>
      <c r="AR29" s="624">
        <v>0.99340277777777775</v>
      </c>
      <c r="AS29" s="624">
        <v>0.99713541666666672</v>
      </c>
      <c r="AT29" s="624"/>
      <c r="AU29" s="624">
        <v>1</v>
      </c>
      <c r="AV29" s="624"/>
      <c r="AW29" s="624">
        <v>0.99835069444444446</v>
      </c>
      <c r="AX29" s="624">
        <v>0.99340277777777775</v>
      </c>
      <c r="AY29" s="626">
        <v>0.99704861111111109</v>
      </c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</row>
    <row r="30" spans="1:130" ht="16.5">
      <c r="A30" s="623">
        <v>46223</v>
      </c>
      <c r="B30" s="624"/>
      <c r="C30" s="624"/>
      <c r="D30" s="624"/>
      <c r="E30" s="624"/>
      <c r="F30" s="624"/>
      <c r="G30" s="624"/>
      <c r="H30" s="624"/>
      <c r="I30" s="624"/>
      <c r="J30" s="624"/>
      <c r="K30" s="624">
        <v>1</v>
      </c>
      <c r="L30" s="624"/>
      <c r="M30" s="624"/>
      <c r="N30" s="624">
        <v>0.98636151175213671</v>
      </c>
      <c r="O30" s="624"/>
      <c r="P30" s="624"/>
      <c r="Q30" s="624"/>
      <c r="R30" s="624">
        <v>1</v>
      </c>
      <c r="S30" s="624"/>
      <c r="T30" s="624"/>
      <c r="U30" s="624"/>
      <c r="V30" s="624"/>
      <c r="W30" s="624"/>
      <c r="X30" s="624"/>
      <c r="Y30" s="624"/>
      <c r="Z30" s="624"/>
      <c r="AA30" s="624"/>
      <c r="AB30" s="624"/>
      <c r="AC30" s="624">
        <v>0.99918870192307696</v>
      </c>
      <c r="AD30" s="624"/>
      <c r="AE30" s="625">
        <v>0.99638755341880336</v>
      </c>
      <c r="AF30" s="624"/>
      <c r="AG30" s="624"/>
      <c r="AH30" s="624"/>
      <c r="AI30" s="624"/>
      <c r="AJ30" s="625"/>
      <c r="AK30" s="624"/>
      <c r="AL30" s="624">
        <v>1</v>
      </c>
      <c r="AM30" s="624"/>
      <c r="AN30" s="625">
        <v>1</v>
      </c>
      <c r="AO30" s="624"/>
      <c r="AP30" s="624">
        <v>0.99904513888888891</v>
      </c>
      <c r="AQ30" s="624"/>
      <c r="AR30" s="624">
        <v>0.9975260416666667</v>
      </c>
      <c r="AS30" s="624">
        <v>0.99904513888888891</v>
      </c>
      <c r="AT30" s="624"/>
      <c r="AU30" s="624">
        <v>0.99866452991452992</v>
      </c>
      <c r="AV30" s="624">
        <v>0.98908253205128205</v>
      </c>
      <c r="AW30" s="624">
        <v>0.99917534722222223</v>
      </c>
      <c r="AX30" s="624">
        <v>0.98598090277777772</v>
      </c>
      <c r="AY30" s="626">
        <v>0.99550280448717943</v>
      </c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ht="16.5">
      <c r="A31" s="550" t="s">
        <v>70</v>
      </c>
      <c r="B31" s="551"/>
      <c r="C31" s="551"/>
      <c r="D31" s="551"/>
      <c r="E31" s="551">
        <v>0.99429012345679013</v>
      </c>
      <c r="F31" s="551"/>
      <c r="G31" s="551"/>
      <c r="H31" s="551"/>
      <c r="I31" s="551"/>
      <c r="J31" s="551">
        <v>0.99782986111111105</v>
      </c>
      <c r="K31" s="551">
        <v>0.9969110576923077</v>
      </c>
      <c r="L31" s="551"/>
      <c r="M31" s="551"/>
      <c r="N31" s="551">
        <v>0.9828898965617715</v>
      </c>
      <c r="O31" s="551"/>
      <c r="P31" s="551"/>
      <c r="Q31" s="551">
        <v>0.99652926163342825</v>
      </c>
      <c r="R31" s="551">
        <v>0.99905603351327044</v>
      </c>
      <c r="S31" s="551">
        <v>0.99691220238095235</v>
      </c>
      <c r="T31" s="551"/>
      <c r="U31" s="551"/>
      <c r="V31" s="551"/>
      <c r="W31" s="551"/>
      <c r="X31" s="551"/>
      <c r="Y31" s="551"/>
      <c r="Z31" s="551"/>
      <c r="AA31" s="551">
        <v>0.99722699175824159</v>
      </c>
      <c r="AB31" s="551"/>
      <c r="AC31" s="551">
        <v>0.99655198317307692</v>
      </c>
      <c r="AD31" s="551"/>
      <c r="AE31" s="552">
        <v>0.99560029380341886</v>
      </c>
      <c r="AF31" s="551"/>
      <c r="AG31" s="551"/>
      <c r="AH31" s="551">
        <v>0.99011880547337272</v>
      </c>
      <c r="AI31" s="551"/>
      <c r="AJ31" s="552">
        <v>0.99011880547337272</v>
      </c>
      <c r="AK31" s="551"/>
      <c r="AL31" s="551">
        <v>0.99837922494172493</v>
      </c>
      <c r="AM31" s="551"/>
      <c r="AN31" s="552">
        <v>0.99837922494172493</v>
      </c>
      <c r="AO31" s="551">
        <v>0.99604645210113973</v>
      </c>
      <c r="AP31" s="551">
        <v>0.99936342592592597</v>
      </c>
      <c r="AQ31" s="551">
        <v>0.99228766025641035</v>
      </c>
      <c r="AR31" s="551">
        <v>0.99484592013888895</v>
      </c>
      <c r="AS31" s="551">
        <v>0.99527874228395063</v>
      </c>
      <c r="AT31" s="551">
        <v>0.99214982066544566</v>
      </c>
      <c r="AU31" s="551">
        <v>0.99051816239316248</v>
      </c>
      <c r="AV31" s="551">
        <v>0.98908253205128205</v>
      </c>
      <c r="AW31" s="551">
        <v>0.99835069444444469</v>
      </c>
      <c r="AX31" s="551">
        <v>0.99505208333333339</v>
      </c>
      <c r="AY31" s="553">
        <v>0.99447692064879567</v>
      </c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2" spans="1:130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</row>
    <row r="33" spans="1:130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</row>
    <row r="34" spans="1:130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</row>
    <row r="35" spans="1:130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</row>
    <row r="36" spans="1:130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</row>
    <row r="37" spans="1:130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</row>
    <row r="38" spans="1:130" ht="16.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</row>
    <row r="39" spans="1:130" ht="16.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</row>
    <row r="40" spans="1:130" ht="16.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</row>
    <row r="41" spans="1:130" ht="17.2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</row>
    <row r="42" spans="1:130" ht="17.2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39" fitToWidth="2" orientation="landscape" r:id="rId2"/>
  <headerFooter>
    <oddFooter>&amp;C&amp;F
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422F-23ED-4697-80F0-4A17AEA3EAF9}">
  <sheetPr codeName="工作表12">
    <pageSetUpPr fitToPage="1"/>
  </sheetPr>
  <dimension ref="A1:GJ42"/>
  <sheetViews>
    <sheetView showGridLines="0" zoomScale="70" zoomScaleNormal="70" workbookViewId="0">
      <pane xSplit="1" ySplit="9" topLeftCell="B25" activePane="bottomRight" state="frozen"/>
      <selection activeCell="G1" sqref="G1"/>
      <selection pane="topRight" activeCell="G1" sqref="G1"/>
      <selection pane="bottomLeft" activeCell="G1" sqref="G1"/>
      <selection pane="bottomRight" activeCell="Q40" sqref="Q40"/>
    </sheetView>
  </sheetViews>
  <sheetFormatPr defaultColWidth="10.25" defaultRowHeight="26.25" customHeight="1" outlineLevelCol="1"/>
  <cols>
    <col min="1" max="1" width="17.375" style="1011" customWidth="1"/>
    <col min="2" max="2" width="16.125" style="1011" customWidth="1"/>
    <col min="3" max="3" width="7.75" style="1011" customWidth="1"/>
    <col min="4" max="4" width="12.125" style="1011" customWidth="1"/>
    <col min="5" max="16" width="12.125" style="1072" hidden="1" customWidth="1" outlineLevel="1"/>
    <col min="17" max="17" width="12.125" style="1072" customWidth="1" collapsed="1"/>
    <col min="18" max="23" width="12.125" style="1072" customWidth="1"/>
    <col min="24" max="24" width="12.125" style="1071" customWidth="1"/>
    <col min="25" max="33" width="13.875" style="1072" customWidth="1"/>
    <col min="34" max="16384" width="10.25" style="1011"/>
  </cols>
  <sheetData>
    <row r="1" spans="1:192" ht="26.25" customHeight="1">
      <c r="D1" s="1012" t="s">
        <v>38</v>
      </c>
      <c r="E1" s="1065" t="s">
        <v>792</v>
      </c>
      <c r="F1" s="1065" t="s">
        <v>793</v>
      </c>
      <c r="G1" s="1065" t="s">
        <v>794</v>
      </c>
      <c r="H1" s="1065" t="s">
        <v>817</v>
      </c>
      <c r="I1" s="1065" t="s">
        <v>818</v>
      </c>
      <c r="J1" s="1065" t="s">
        <v>819</v>
      </c>
      <c r="K1" s="1065" t="s">
        <v>820</v>
      </c>
      <c r="L1" s="1065" t="s">
        <v>821</v>
      </c>
      <c r="M1" s="1065" t="s">
        <v>15838</v>
      </c>
      <c r="N1" s="1065" t="s">
        <v>822</v>
      </c>
      <c r="O1" s="1065" t="s">
        <v>823</v>
      </c>
      <c r="P1" s="1065" t="s">
        <v>16076</v>
      </c>
      <c r="Q1" s="1065" t="s">
        <v>16122</v>
      </c>
      <c r="R1" s="1065" t="s">
        <v>16204</v>
      </c>
      <c r="S1" s="1065" t="s">
        <v>16206</v>
      </c>
      <c r="T1" s="1065" t="s">
        <v>16711</v>
      </c>
      <c r="U1" s="1065" t="s">
        <v>16756</v>
      </c>
      <c r="V1" s="1065" t="s">
        <v>17233</v>
      </c>
      <c r="W1" s="1065" t="s">
        <v>17319</v>
      </c>
      <c r="X1" s="1066" t="s">
        <v>790</v>
      </c>
      <c r="Y1" s="1065" t="s">
        <v>38</v>
      </c>
      <c r="Z1" s="1065" t="s">
        <v>16205</v>
      </c>
      <c r="AA1" s="1065" t="s">
        <v>16207</v>
      </c>
      <c r="AB1" s="1065" t="s">
        <v>16711</v>
      </c>
      <c r="AC1" s="1065" t="s">
        <v>16756</v>
      </c>
      <c r="AD1" s="1065" t="s">
        <v>17233</v>
      </c>
      <c r="AE1" s="1065" t="s">
        <v>17319</v>
      </c>
      <c r="AF1" s="1067" t="s">
        <v>791</v>
      </c>
      <c r="AG1" s="1074" t="s">
        <v>797</v>
      </c>
    </row>
    <row r="2" spans="1:192" ht="26.25" customHeight="1">
      <c r="D2" s="1013" t="s">
        <v>212</v>
      </c>
      <c r="E2" s="1068">
        <v>0.99547845335605745</v>
      </c>
      <c r="F2" s="1068">
        <v>0.99785930993863703</v>
      </c>
      <c r="G2" s="1068">
        <v>0.99924010361022064</v>
      </c>
      <c r="H2" s="1068">
        <v>0.99885168834237359</v>
      </c>
      <c r="I2" s="1068">
        <v>0.99926994301994299</v>
      </c>
      <c r="J2" s="1068">
        <v>0.99881514126305782</v>
      </c>
      <c r="K2" s="1068">
        <v>0.99709838772338777</v>
      </c>
      <c r="L2" s="1068">
        <v>0.99425480769230745</v>
      </c>
      <c r="M2" s="1068">
        <v>0.9982331253815625</v>
      </c>
      <c r="N2" s="1068">
        <v>0.99880225026709368</v>
      </c>
      <c r="O2" s="1068">
        <v>0.99716779169904157</v>
      </c>
      <c r="P2" s="1068">
        <v>0.99855378361475911</v>
      </c>
      <c r="Q2" s="1068">
        <v>0.99839743589743568</v>
      </c>
      <c r="R2" s="1068">
        <v>0</v>
      </c>
      <c r="S2" s="1068">
        <v>0</v>
      </c>
      <c r="T2" s="1068">
        <v>0.99198717948717963</v>
      </c>
      <c r="U2" s="1068">
        <v>0</v>
      </c>
      <c r="V2" s="1068">
        <v>0</v>
      </c>
      <c r="W2" s="1068">
        <f>GETPIVOTDATA("IAD",$A$3,"機台",$D2)</f>
        <v>0</v>
      </c>
      <c r="X2" s="1066">
        <v>0.99299999999999999</v>
      </c>
      <c r="Y2" s="1069" t="s">
        <v>212</v>
      </c>
      <c r="Z2" s="1068">
        <f t="shared" ref="Z2:AE2" si="0">HLOOKUP(Z$1,$E:$W,2,0)</f>
        <v>0</v>
      </c>
      <c r="AA2" s="1068">
        <f t="shared" si="0"/>
        <v>0</v>
      </c>
      <c r="AB2" s="1068">
        <f t="shared" si="0"/>
        <v>0.99198717948717963</v>
      </c>
      <c r="AC2" s="1068">
        <f t="shared" si="0"/>
        <v>0</v>
      </c>
      <c r="AD2" s="1068">
        <f t="shared" si="0"/>
        <v>0</v>
      </c>
      <c r="AE2" s="1068">
        <f t="shared" si="0"/>
        <v>0</v>
      </c>
      <c r="AF2" s="1070">
        <v>0.99299999999999999</v>
      </c>
      <c r="AG2" s="1073">
        <f>IFERROR(AVERAGEIF(Z2:AE2,"&lt;&gt;0"),"")</f>
        <v>0.99198717948717963</v>
      </c>
    </row>
    <row r="3" spans="1:192" ht="26.25" customHeight="1">
      <c r="A3" s="1019" t="s">
        <v>71</v>
      </c>
      <c r="B3" s="1025"/>
      <c r="C3" s="1015"/>
      <c r="D3" s="1013" t="s">
        <v>214</v>
      </c>
      <c r="E3" s="1068">
        <v>0.99625167167234485</v>
      </c>
      <c r="F3" s="1068">
        <v>0.99906241111202865</v>
      </c>
      <c r="G3" s="1068">
        <v>0.99908806471306455</v>
      </c>
      <c r="H3" s="1068">
        <v>0.99818448079017952</v>
      </c>
      <c r="I3" s="1068">
        <v>0.99664010035103801</v>
      </c>
      <c r="J3" s="1068">
        <v>0.99676388888888889</v>
      </c>
      <c r="K3" s="1068">
        <v>0.9979484211775882</v>
      </c>
      <c r="L3" s="1068">
        <v>0.99807061669040875</v>
      </c>
      <c r="M3" s="1068">
        <v>0.99851416111932945</v>
      </c>
      <c r="N3" s="1068">
        <v>0.99838534759062758</v>
      </c>
      <c r="O3" s="1068">
        <v>0.99509610438429885</v>
      </c>
      <c r="P3" s="1068">
        <v>0.99732312440645787</v>
      </c>
      <c r="Q3" s="1068">
        <v>0.99603335033022522</v>
      </c>
      <c r="R3" s="1068">
        <v>0.99717977335164842</v>
      </c>
      <c r="S3" s="1068">
        <v>0.99911915802873263</v>
      </c>
      <c r="T3" s="1068">
        <v>0.99748217838196296</v>
      </c>
      <c r="U3" s="1068">
        <v>0.99774639423076927</v>
      </c>
      <c r="V3" s="1068">
        <v>0</v>
      </c>
      <c r="W3" s="1068">
        <f t="shared" ref="W3:W19" si="1">GETPIVOTDATA("IAD",$A$3,"機台",$D3)</f>
        <v>0</v>
      </c>
      <c r="Y3" s="1069" t="s">
        <v>214</v>
      </c>
      <c r="Z3" s="1068">
        <f t="shared" ref="Z3:AE3" si="2">HLOOKUP(Z$1,$E:$W,3,0)</f>
        <v>0.99717977335164842</v>
      </c>
      <c r="AA3" s="1068">
        <f t="shared" si="2"/>
        <v>0.99911915802873263</v>
      </c>
      <c r="AB3" s="1068">
        <f t="shared" si="2"/>
        <v>0.99748217838196296</v>
      </c>
      <c r="AC3" s="1068">
        <f t="shared" si="2"/>
        <v>0.99774639423076927</v>
      </c>
      <c r="AD3" s="1068">
        <f t="shared" si="2"/>
        <v>0</v>
      </c>
      <c r="AE3" s="1068">
        <f t="shared" si="2"/>
        <v>0</v>
      </c>
      <c r="AF3" s="1070">
        <v>0.99299999999999999</v>
      </c>
      <c r="AG3" s="1073">
        <f t="shared" ref="AG3:AG10" si="3">IFERROR(AVERAGEIF(Z3:AE3,"&lt;&gt;0"),"")</f>
        <v>0.99788187599827838</v>
      </c>
      <c r="AH3" s="1015"/>
      <c r="AI3" s="1015"/>
      <c r="AJ3" s="1015"/>
      <c r="AK3" s="1015"/>
      <c r="AL3" s="1015"/>
      <c r="AM3" s="1015"/>
      <c r="AN3" s="1015"/>
      <c r="AO3" s="1015"/>
      <c r="AP3" s="1015"/>
      <c r="AQ3" s="1015"/>
      <c r="AR3" s="1015"/>
      <c r="AS3" s="1015"/>
      <c r="AT3" s="1015"/>
      <c r="AU3" s="1015"/>
      <c r="AV3" s="1015"/>
      <c r="AW3" s="1015"/>
      <c r="AX3" s="1015"/>
      <c r="AY3" s="1015"/>
      <c r="AZ3" s="1015"/>
      <c r="BA3" s="1015"/>
      <c r="BB3" s="1015"/>
      <c r="BC3" s="1015"/>
      <c r="BD3" s="1015"/>
      <c r="BE3" s="1015"/>
      <c r="BF3" s="1015"/>
      <c r="BG3" s="1015"/>
      <c r="BH3" s="1015"/>
      <c r="BI3" s="1015"/>
      <c r="BJ3" s="1015"/>
      <c r="BK3" s="1015"/>
      <c r="BL3" s="1015"/>
      <c r="BM3" s="1015"/>
      <c r="BN3" s="1015"/>
      <c r="BO3" s="1015"/>
      <c r="BP3" s="1015"/>
      <c r="BQ3" s="1015"/>
      <c r="BR3" s="1015"/>
      <c r="BS3" s="1015"/>
      <c r="BT3" s="1015"/>
      <c r="BU3" s="1015"/>
      <c r="BV3" s="1015"/>
      <c r="BW3" s="1015"/>
      <c r="BX3" s="1015"/>
      <c r="BY3" s="1015"/>
      <c r="BZ3" s="1015"/>
      <c r="CA3" s="1015"/>
      <c r="CB3" s="1015"/>
      <c r="CC3" s="1015"/>
      <c r="CD3" s="1015"/>
      <c r="CE3" s="1015"/>
      <c r="CF3" s="1015"/>
      <c r="CG3" s="1015"/>
      <c r="CH3" s="1015"/>
      <c r="CI3" s="1015"/>
      <c r="CJ3" s="1015"/>
      <c r="CK3" s="1015"/>
      <c r="CL3" s="1015"/>
      <c r="CM3" s="1015"/>
      <c r="CN3" s="1015"/>
      <c r="CO3" s="1015"/>
      <c r="CP3" s="1015"/>
      <c r="CQ3" s="1015"/>
      <c r="CR3" s="1015"/>
      <c r="CS3" s="1015"/>
      <c r="CT3" s="1015"/>
      <c r="CU3" s="1015"/>
      <c r="CV3" s="1015"/>
      <c r="CW3" s="1015"/>
      <c r="CX3" s="1015"/>
      <c r="CY3" s="1015"/>
      <c r="CZ3" s="1015"/>
      <c r="DA3" s="1015"/>
      <c r="DB3" s="1015"/>
      <c r="DC3" s="1015"/>
      <c r="DD3" s="1015"/>
      <c r="DE3" s="1015"/>
      <c r="DF3" s="1015"/>
      <c r="DG3" s="1015"/>
      <c r="DH3" s="1015"/>
      <c r="DI3" s="1015"/>
      <c r="DJ3" s="1015"/>
      <c r="DK3" s="1015"/>
      <c r="DL3" s="1015"/>
      <c r="DM3" s="1015"/>
      <c r="DN3" s="1015"/>
      <c r="DO3" s="1015"/>
      <c r="DP3" s="1015"/>
      <c r="DQ3" s="1015"/>
      <c r="DR3" s="1015"/>
      <c r="DS3" s="1015"/>
      <c r="DT3" s="1015"/>
      <c r="DU3" s="1015"/>
      <c r="DV3" s="1015"/>
      <c r="DW3" s="1015"/>
      <c r="DX3" s="1015"/>
      <c r="DY3" s="1015"/>
      <c r="DZ3" s="1015"/>
      <c r="EA3" s="1015"/>
      <c r="EB3" s="1015"/>
      <c r="EC3" s="1015"/>
      <c r="ED3" s="1015"/>
      <c r="EE3" s="1015"/>
      <c r="EF3" s="1015"/>
      <c r="EG3" s="1015"/>
      <c r="EH3" s="1015"/>
      <c r="EI3" s="1015"/>
      <c r="EJ3" s="1015"/>
      <c r="EK3" s="1015"/>
      <c r="EL3" s="1015"/>
      <c r="EM3" s="1015"/>
      <c r="EN3" s="1015"/>
      <c r="EO3" s="1015"/>
      <c r="EP3" s="1015"/>
      <c r="EQ3" s="1015"/>
      <c r="ER3" s="1015"/>
      <c r="ES3" s="1015"/>
      <c r="ET3" s="1015"/>
      <c r="EU3" s="1015"/>
      <c r="EV3" s="1015"/>
      <c r="EW3" s="1015"/>
      <c r="EX3" s="1015"/>
      <c r="EY3" s="1015"/>
      <c r="EZ3" s="1015"/>
      <c r="FA3" s="1015"/>
      <c r="FB3" s="1015"/>
      <c r="FC3" s="1015"/>
      <c r="FD3" s="1015"/>
      <c r="FE3" s="1015"/>
      <c r="FF3" s="1015"/>
      <c r="FG3" s="1015"/>
      <c r="FH3" s="1015"/>
      <c r="FI3" s="1015"/>
      <c r="FJ3" s="1015"/>
      <c r="FK3" s="1015"/>
      <c r="FL3" s="1015"/>
      <c r="FM3" s="1015"/>
      <c r="FN3" s="1015"/>
      <c r="FO3" s="1015"/>
      <c r="FP3" s="1015"/>
      <c r="FQ3" s="1015"/>
      <c r="FR3" s="1015"/>
      <c r="FS3" s="1015"/>
      <c r="FT3" s="1015"/>
      <c r="FU3" s="1015"/>
      <c r="FV3" s="1015"/>
      <c r="FW3" s="1015"/>
      <c r="FX3" s="1015"/>
      <c r="FY3" s="1015"/>
      <c r="FZ3" s="1015"/>
      <c r="GA3" s="1015"/>
      <c r="GB3" s="1015"/>
      <c r="GC3" s="1015"/>
      <c r="GD3" s="1015"/>
      <c r="GE3" s="1015"/>
      <c r="GF3" s="1015"/>
      <c r="GG3" s="1015"/>
      <c r="GH3" s="1015"/>
      <c r="GI3" s="1015"/>
      <c r="GJ3" s="1015"/>
    </row>
    <row r="4" spans="1:192" ht="26.25" customHeight="1">
      <c r="A4" s="1019" t="s">
        <v>38</v>
      </c>
      <c r="B4" s="1014" t="s">
        <v>789</v>
      </c>
      <c r="C4" s="1015"/>
      <c r="D4" s="1013" t="s">
        <v>215</v>
      </c>
      <c r="E4" s="1068">
        <v>0.9966599336716524</v>
      </c>
      <c r="F4" s="1068">
        <v>0.99812905777449035</v>
      </c>
      <c r="G4" s="1068">
        <v>0.99756276709401692</v>
      </c>
      <c r="H4" s="1068">
        <v>0.99828299992631886</v>
      </c>
      <c r="I4" s="1068">
        <v>0.99811676460113974</v>
      </c>
      <c r="J4" s="1068">
        <v>0</v>
      </c>
      <c r="K4" s="1068">
        <v>0.98987970496383959</v>
      </c>
      <c r="L4" s="1068">
        <v>0.99158925886356442</v>
      </c>
      <c r="M4" s="1068">
        <v>0.99472798452833178</v>
      </c>
      <c r="N4" s="1068">
        <v>0.99583834134615379</v>
      </c>
      <c r="O4" s="1068">
        <v>0.99848334257889571</v>
      </c>
      <c r="P4" s="1068">
        <v>0.99874568540433928</v>
      </c>
      <c r="Q4" s="1068">
        <v>0.99679616418527728</v>
      </c>
      <c r="R4" s="1068">
        <v>0.99605591168091179</v>
      </c>
      <c r="S4" s="1068">
        <v>0.99865980691056921</v>
      </c>
      <c r="T4" s="1068">
        <v>0.99878149867374011</v>
      </c>
      <c r="U4" s="1068">
        <v>0.9997401725113122</v>
      </c>
      <c r="V4" s="1068">
        <v>0</v>
      </c>
      <c r="W4" s="1068">
        <f t="shared" si="1"/>
        <v>0.99429012345679013</v>
      </c>
      <c r="Y4" s="1069" t="s">
        <v>215</v>
      </c>
      <c r="Z4" s="1068">
        <f t="shared" ref="Z4:AE4" si="4">HLOOKUP(Z$1,$E:$W,4,0)</f>
        <v>0.99605591168091179</v>
      </c>
      <c r="AA4" s="1068">
        <f t="shared" si="4"/>
        <v>0.99865980691056921</v>
      </c>
      <c r="AB4" s="1068">
        <f t="shared" si="4"/>
        <v>0.99878149867374011</v>
      </c>
      <c r="AC4" s="1068">
        <f t="shared" si="4"/>
        <v>0.9997401725113122</v>
      </c>
      <c r="AD4" s="1068">
        <f t="shared" si="4"/>
        <v>0</v>
      </c>
      <c r="AE4" s="1068">
        <f t="shared" si="4"/>
        <v>0.99429012345679013</v>
      </c>
      <c r="AF4" s="1070">
        <v>0.99299999999999999</v>
      </c>
      <c r="AG4" s="1073">
        <f t="shared" si="3"/>
        <v>0.99750550264666471</v>
      </c>
      <c r="AH4" s="1015"/>
      <c r="AI4" s="1015"/>
      <c r="AJ4" s="1015"/>
      <c r="AK4" s="1015"/>
      <c r="AL4" s="1015"/>
      <c r="AM4" s="1015"/>
      <c r="AN4" s="1015"/>
      <c r="AO4" s="1015"/>
      <c r="AP4" s="1015"/>
      <c r="AQ4" s="1015"/>
      <c r="AR4" s="1015"/>
      <c r="AS4" s="1015"/>
      <c r="AT4" s="1015"/>
      <c r="AU4" s="1015"/>
      <c r="AV4" s="1015"/>
      <c r="AW4" s="1015"/>
      <c r="AX4" s="1015"/>
      <c r="AY4" s="1015"/>
      <c r="AZ4" s="1015"/>
      <c r="BA4" s="1015"/>
      <c r="BB4" s="1015"/>
      <c r="BC4" s="1015"/>
      <c r="BD4" s="1015"/>
      <c r="BE4" s="1015"/>
      <c r="BF4" s="1015"/>
      <c r="BG4" s="1015"/>
      <c r="BH4" s="1015"/>
      <c r="BI4" s="1015"/>
      <c r="BJ4" s="1015"/>
      <c r="BK4" s="1015"/>
      <c r="BL4" s="1015"/>
      <c r="BM4" s="1015"/>
      <c r="BN4" s="1015"/>
      <c r="BO4" s="1015"/>
      <c r="BP4" s="1015"/>
      <c r="BQ4" s="1015"/>
      <c r="BR4" s="1015"/>
      <c r="BS4" s="1015"/>
      <c r="BT4" s="1015"/>
      <c r="BU4" s="1015"/>
      <c r="BV4" s="1015"/>
      <c r="BW4" s="1015"/>
      <c r="BX4" s="1015"/>
      <c r="BY4" s="1015"/>
      <c r="BZ4" s="1015"/>
      <c r="CA4" s="1015"/>
      <c r="CB4" s="1015"/>
      <c r="CC4" s="1015"/>
      <c r="CD4" s="1015"/>
      <c r="CE4" s="1015"/>
      <c r="CF4" s="1015"/>
      <c r="CG4" s="1015"/>
      <c r="CH4" s="1015"/>
      <c r="CI4" s="1015"/>
      <c r="CJ4" s="1015"/>
      <c r="CK4" s="1015"/>
      <c r="CL4" s="1015"/>
      <c r="CM4" s="1015"/>
      <c r="CN4" s="1015"/>
      <c r="CO4" s="1015"/>
      <c r="CP4" s="1015"/>
      <c r="CQ4" s="1015"/>
      <c r="CR4" s="1015"/>
      <c r="CS4" s="1015"/>
      <c r="CT4" s="1015"/>
      <c r="CU4" s="1015"/>
      <c r="CV4" s="1015"/>
      <c r="CW4" s="1015"/>
      <c r="CX4" s="1015"/>
      <c r="CY4" s="1015"/>
      <c r="CZ4" s="1015"/>
      <c r="DA4" s="1015"/>
      <c r="DB4" s="1015"/>
      <c r="DC4" s="1015"/>
      <c r="DD4" s="1015"/>
      <c r="DE4" s="1015"/>
      <c r="DF4" s="1015"/>
      <c r="DG4" s="1015"/>
      <c r="DH4" s="1015"/>
      <c r="DI4" s="1015"/>
      <c r="DJ4" s="1015"/>
      <c r="DK4" s="1015"/>
      <c r="DL4" s="1015"/>
      <c r="DM4" s="1015"/>
      <c r="DN4" s="1015"/>
      <c r="DO4" s="1015"/>
      <c r="DP4" s="1015"/>
      <c r="DQ4" s="1015"/>
      <c r="DR4" s="1015"/>
      <c r="DS4" s="1015"/>
      <c r="DT4" s="1015"/>
      <c r="DU4" s="1015"/>
      <c r="DV4" s="1015"/>
      <c r="DW4" s="1015"/>
      <c r="DX4" s="1015"/>
      <c r="DY4" s="1015"/>
      <c r="DZ4" s="1015"/>
      <c r="EA4" s="1015"/>
      <c r="EB4" s="1015"/>
      <c r="EC4" s="1015"/>
      <c r="ED4" s="1015"/>
      <c r="EE4" s="1015"/>
      <c r="EF4" s="1015"/>
      <c r="EG4" s="1015"/>
      <c r="EH4" s="1015"/>
      <c r="EI4" s="1015"/>
      <c r="EJ4" s="1015"/>
      <c r="EK4" s="1015"/>
      <c r="EL4" s="1015"/>
      <c r="EM4" s="1015"/>
      <c r="EN4" s="1015"/>
      <c r="EO4" s="1015"/>
      <c r="EP4" s="1015"/>
      <c r="EQ4" s="1015"/>
      <c r="ER4" s="1015"/>
      <c r="ES4" s="1015"/>
      <c r="ET4" s="1015"/>
      <c r="EU4" s="1015"/>
      <c r="EV4" s="1015"/>
      <c r="EW4" s="1015"/>
      <c r="EX4" s="1015"/>
      <c r="EY4" s="1015"/>
      <c r="EZ4" s="1015"/>
      <c r="FA4" s="1015"/>
      <c r="FB4" s="1015"/>
      <c r="FC4" s="1015"/>
      <c r="FD4" s="1015"/>
      <c r="FE4" s="1015"/>
      <c r="FF4" s="1015"/>
      <c r="FG4" s="1015"/>
      <c r="FH4" s="1015"/>
      <c r="FI4" s="1015"/>
      <c r="FJ4" s="1015"/>
      <c r="FK4" s="1015"/>
      <c r="FL4" s="1015"/>
      <c r="FM4" s="1015"/>
      <c r="FN4" s="1015"/>
      <c r="FO4" s="1015"/>
      <c r="FP4" s="1015"/>
      <c r="FQ4" s="1015"/>
      <c r="FR4" s="1015"/>
      <c r="FS4" s="1015"/>
      <c r="FT4" s="1015"/>
      <c r="FU4" s="1015"/>
      <c r="FV4" s="1015"/>
      <c r="FW4" s="1015"/>
      <c r="FX4" s="1015"/>
      <c r="FY4" s="1015"/>
      <c r="FZ4" s="1015"/>
      <c r="GA4" s="1015"/>
      <c r="GB4" s="1015"/>
      <c r="GC4" s="1015"/>
      <c r="GD4" s="1015"/>
      <c r="GE4" s="1015"/>
      <c r="GF4" s="1015"/>
      <c r="GG4" s="1015"/>
      <c r="GH4" s="1015"/>
      <c r="GI4" s="1015"/>
      <c r="GJ4" s="1015"/>
    </row>
    <row r="5" spans="1:192" ht="26.25" customHeight="1">
      <c r="A5" s="1023" t="s">
        <v>212</v>
      </c>
      <c r="B5" s="1020"/>
      <c r="C5" s="1015"/>
      <c r="D5" s="1013" t="s">
        <v>216</v>
      </c>
      <c r="E5" s="1068">
        <v>0.99423911591880332</v>
      </c>
      <c r="F5" s="1068">
        <v>0.99640513710826217</v>
      </c>
      <c r="G5" s="1068">
        <v>0.99969602879759134</v>
      </c>
      <c r="H5" s="1068">
        <v>0.99804858505315841</v>
      </c>
      <c r="I5" s="1068">
        <v>0.99589800470876855</v>
      </c>
      <c r="J5" s="1068">
        <v>0.99652944711538449</v>
      </c>
      <c r="K5" s="1068">
        <v>0.99716067074841142</v>
      </c>
      <c r="L5" s="1068">
        <v>0.99730976970560292</v>
      </c>
      <c r="M5" s="1068">
        <v>0.99838142989567635</v>
      </c>
      <c r="N5" s="1068">
        <v>1</v>
      </c>
      <c r="O5" s="1068">
        <v>0.99690153368196133</v>
      </c>
      <c r="P5" s="1068">
        <v>0.99831730769230775</v>
      </c>
      <c r="Q5" s="1068">
        <v>0.99710999137080836</v>
      </c>
      <c r="R5" s="1068">
        <v>0.99938362919132162</v>
      </c>
      <c r="S5" s="1068">
        <v>0.99716119865859454</v>
      </c>
      <c r="T5" s="1068">
        <v>0.99903245192307699</v>
      </c>
      <c r="U5" s="1068">
        <v>0.99677751068376064</v>
      </c>
      <c r="V5" s="1068">
        <v>0</v>
      </c>
      <c r="W5" s="1068">
        <f t="shared" si="1"/>
        <v>0</v>
      </c>
      <c r="Y5" s="1069" t="s">
        <v>216</v>
      </c>
      <c r="Z5" s="1068">
        <f t="shared" ref="Z5:AE5" si="5">HLOOKUP(Z$1,$E:$W,5,0)</f>
        <v>0.99938362919132162</v>
      </c>
      <c r="AA5" s="1068">
        <f t="shared" si="5"/>
        <v>0.99716119865859454</v>
      </c>
      <c r="AB5" s="1068">
        <f t="shared" si="5"/>
        <v>0.99903245192307699</v>
      </c>
      <c r="AC5" s="1068">
        <f t="shared" si="5"/>
        <v>0.99677751068376064</v>
      </c>
      <c r="AD5" s="1068">
        <f t="shared" si="5"/>
        <v>0</v>
      </c>
      <c r="AE5" s="1068">
        <f t="shared" si="5"/>
        <v>0</v>
      </c>
      <c r="AF5" s="1070">
        <v>0.99299999999999999</v>
      </c>
      <c r="AG5" s="1073">
        <f t="shared" si="3"/>
        <v>0.9980886976141885</v>
      </c>
      <c r="AH5" s="1015"/>
      <c r="AI5" s="1015"/>
      <c r="AJ5" s="1015"/>
      <c r="AK5" s="1015"/>
      <c r="AL5" s="1015"/>
      <c r="AM5" s="1015"/>
      <c r="AN5" s="1015"/>
      <c r="AO5" s="1015"/>
      <c r="AP5" s="1015"/>
      <c r="AQ5" s="1015"/>
      <c r="AR5" s="1015"/>
      <c r="AS5" s="1015"/>
      <c r="AT5" s="1015"/>
      <c r="AU5" s="1015"/>
      <c r="AV5" s="1015"/>
      <c r="AW5" s="1015"/>
      <c r="AX5" s="1015"/>
      <c r="AY5" s="1015"/>
      <c r="AZ5" s="1015"/>
      <c r="BA5" s="1015"/>
      <c r="BB5" s="1015"/>
      <c r="BC5" s="1015"/>
      <c r="BD5" s="1015"/>
      <c r="BE5" s="1015"/>
      <c r="BF5" s="1015"/>
      <c r="BG5" s="1015"/>
      <c r="BH5" s="1015"/>
      <c r="BI5" s="1015"/>
      <c r="BJ5" s="1015"/>
      <c r="BK5" s="1015"/>
      <c r="BL5" s="1015"/>
      <c r="BM5" s="1015"/>
      <c r="BN5" s="1015"/>
      <c r="BO5" s="1015"/>
      <c r="BP5" s="1015"/>
      <c r="BQ5" s="1015"/>
      <c r="BR5" s="1015"/>
      <c r="BS5" s="1015"/>
      <c r="BT5" s="1015"/>
      <c r="BU5" s="1015"/>
      <c r="BV5" s="1015"/>
      <c r="BW5" s="1015"/>
      <c r="BX5" s="1015"/>
      <c r="BY5" s="1015"/>
      <c r="BZ5" s="1015"/>
      <c r="CA5" s="1015"/>
      <c r="CB5" s="1015"/>
      <c r="CC5" s="1015"/>
      <c r="CD5" s="1015"/>
      <c r="CE5" s="1015"/>
      <c r="CF5" s="1015"/>
      <c r="CG5" s="1015"/>
      <c r="CH5" s="1015"/>
      <c r="CI5" s="1015"/>
      <c r="CJ5" s="1015"/>
      <c r="CK5" s="1015"/>
      <c r="CL5" s="1015"/>
      <c r="CM5" s="1015"/>
      <c r="CN5" s="1015"/>
      <c r="CO5" s="1015"/>
      <c r="CP5" s="1015"/>
      <c r="CQ5" s="1015"/>
      <c r="CR5" s="1015"/>
      <c r="CS5" s="1015"/>
      <c r="CT5" s="1015"/>
      <c r="CU5" s="1015"/>
      <c r="CV5" s="1015"/>
      <c r="CW5" s="1015"/>
      <c r="CX5" s="1015"/>
      <c r="CY5" s="1015"/>
      <c r="CZ5" s="1015"/>
      <c r="DA5" s="1015"/>
      <c r="DB5" s="1015"/>
      <c r="DC5" s="1015"/>
      <c r="DD5" s="1015"/>
      <c r="DE5" s="1015"/>
      <c r="DF5" s="1015"/>
      <c r="DG5" s="1015"/>
      <c r="DH5" s="1015"/>
      <c r="DI5" s="1015"/>
      <c r="DJ5" s="1015"/>
      <c r="DK5" s="1015"/>
      <c r="DL5" s="1015"/>
      <c r="DM5" s="1015"/>
      <c r="DN5" s="1015"/>
      <c r="DO5" s="1015"/>
      <c r="DP5" s="1015"/>
      <c r="DQ5" s="1015"/>
      <c r="DR5" s="1015"/>
      <c r="DS5" s="1015"/>
      <c r="DT5" s="1015"/>
      <c r="DU5" s="1015"/>
      <c r="DV5" s="1015"/>
      <c r="DW5" s="1015"/>
      <c r="DX5" s="1015"/>
      <c r="DY5" s="1015"/>
      <c r="DZ5" s="1015"/>
      <c r="EA5" s="1015"/>
      <c r="EB5" s="1015"/>
      <c r="EC5" s="1015"/>
      <c r="ED5" s="1015"/>
      <c r="EE5" s="1015"/>
      <c r="EF5" s="1015"/>
      <c r="EG5" s="1015"/>
      <c r="EH5" s="1015"/>
      <c r="EI5" s="1015"/>
      <c r="EJ5" s="1015"/>
      <c r="EK5" s="1015"/>
      <c r="EL5" s="1015"/>
      <c r="EM5" s="1015"/>
      <c r="EN5" s="1015"/>
      <c r="EO5" s="1015"/>
      <c r="EP5" s="1015"/>
      <c r="EQ5" s="1015"/>
      <c r="ER5" s="1015"/>
      <c r="ES5" s="1015"/>
      <c r="ET5" s="1015"/>
      <c r="EU5" s="1015"/>
      <c r="EV5" s="1015"/>
      <c r="EW5" s="1015"/>
      <c r="EX5" s="1015"/>
      <c r="EY5" s="1015"/>
      <c r="EZ5" s="1015"/>
      <c r="FA5" s="1015"/>
      <c r="FB5" s="1015"/>
      <c r="FC5" s="1015"/>
      <c r="FD5" s="1015"/>
      <c r="FE5" s="1015"/>
      <c r="FF5" s="1015"/>
      <c r="FG5" s="1015"/>
      <c r="FH5" s="1015"/>
      <c r="FI5" s="1015"/>
      <c r="FJ5" s="1015"/>
      <c r="FK5" s="1015"/>
      <c r="FL5" s="1015"/>
      <c r="FM5" s="1015"/>
      <c r="FN5" s="1015"/>
      <c r="FO5" s="1015"/>
      <c r="FP5" s="1015"/>
      <c r="FQ5" s="1015"/>
      <c r="FR5" s="1015"/>
      <c r="FS5" s="1015"/>
      <c r="FT5" s="1015"/>
      <c r="FU5" s="1015"/>
      <c r="FV5" s="1015"/>
      <c r="FW5" s="1015"/>
      <c r="FX5" s="1015"/>
      <c r="FY5" s="1015"/>
      <c r="FZ5" s="1015"/>
      <c r="GA5" s="1015"/>
      <c r="GB5" s="1015"/>
      <c r="GC5" s="1015"/>
      <c r="GD5" s="1015"/>
      <c r="GE5" s="1015"/>
      <c r="GF5" s="1015"/>
      <c r="GG5" s="1015"/>
      <c r="GH5" s="1015"/>
      <c r="GI5" s="1015"/>
      <c r="GJ5" s="1015"/>
    </row>
    <row r="6" spans="1:192" ht="26.25" customHeight="1">
      <c r="A6" s="1016" t="s">
        <v>214</v>
      </c>
      <c r="B6" s="1021"/>
      <c r="C6" s="1015"/>
      <c r="D6" s="1013" t="s">
        <v>217</v>
      </c>
      <c r="E6" s="1068">
        <v>0.99638101517984345</v>
      </c>
      <c r="F6" s="1068">
        <v>0.99644681490384623</v>
      </c>
      <c r="G6" s="1068">
        <v>0.99520796492779273</v>
      </c>
      <c r="H6" s="1068">
        <v>0.99493442381373398</v>
      </c>
      <c r="I6" s="1068">
        <v>0.99602417631651474</v>
      </c>
      <c r="J6" s="1068">
        <v>0.99603503536693194</v>
      </c>
      <c r="K6" s="1068">
        <v>0.99689099049707597</v>
      </c>
      <c r="L6" s="1068">
        <v>0.99495764652014651</v>
      </c>
      <c r="M6" s="1068">
        <v>0.99633265938680171</v>
      </c>
      <c r="N6" s="1068">
        <v>0.99778645833333324</v>
      </c>
      <c r="O6" s="1068">
        <v>0.99879576553254468</v>
      </c>
      <c r="P6" s="1068">
        <v>0.99866695209066547</v>
      </c>
      <c r="Q6" s="1068">
        <v>0.99845875623219338</v>
      </c>
      <c r="R6" s="1068">
        <v>0.99772376543209873</v>
      </c>
      <c r="S6" s="1068">
        <v>0.99521691496517872</v>
      </c>
      <c r="T6" s="1068">
        <v>0.9978018162393163</v>
      </c>
      <c r="U6" s="1068">
        <v>0.9971479700854704</v>
      </c>
      <c r="V6" s="1068">
        <v>0.99558293269230769</v>
      </c>
      <c r="W6" s="1068">
        <f t="shared" si="1"/>
        <v>0.99782986111111105</v>
      </c>
      <c r="Y6" s="1069" t="s">
        <v>217</v>
      </c>
      <c r="Z6" s="1068">
        <f t="shared" ref="Z6:AE6" si="6">HLOOKUP(Z$1,$E:$W,6,0)</f>
        <v>0.99772376543209873</v>
      </c>
      <c r="AA6" s="1068">
        <f t="shared" si="6"/>
        <v>0.99521691496517872</v>
      </c>
      <c r="AB6" s="1068">
        <f t="shared" si="6"/>
        <v>0.9978018162393163</v>
      </c>
      <c r="AC6" s="1068">
        <f t="shared" si="6"/>
        <v>0.9971479700854704</v>
      </c>
      <c r="AD6" s="1068">
        <f t="shared" si="6"/>
        <v>0.99558293269230769</v>
      </c>
      <c r="AE6" s="1068">
        <f t="shared" si="6"/>
        <v>0.99782986111111105</v>
      </c>
      <c r="AF6" s="1070">
        <v>0.99299999999999999</v>
      </c>
      <c r="AG6" s="1073">
        <f t="shared" si="3"/>
        <v>0.99688387675424728</v>
      </c>
      <c r="AH6" s="1015"/>
      <c r="AI6" s="1015"/>
      <c r="AJ6" s="1015"/>
      <c r="AK6" s="1015"/>
      <c r="AL6" s="1015"/>
      <c r="AM6" s="1015"/>
      <c r="AN6" s="1015"/>
      <c r="AO6" s="1015"/>
      <c r="AP6" s="1015"/>
      <c r="AQ6" s="1015"/>
      <c r="AR6" s="1015"/>
      <c r="AS6" s="1015"/>
      <c r="AT6" s="1015"/>
      <c r="AU6" s="1015"/>
      <c r="AV6" s="1015"/>
      <c r="AW6" s="1015"/>
      <c r="AX6" s="1015"/>
      <c r="AY6" s="1015"/>
      <c r="AZ6" s="1015"/>
      <c r="BA6" s="1015"/>
      <c r="BB6" s="1015"/>
      <c r="BC6" s="1015"/>
      <c r="BD6" s="1015"/>
      <c r="BE6" s="1015"/>
      <c r="BF6" s="1015"/>
      <c r="BG6" s="1015"/>
      <c r="BH6" s="1015"/>
      <c r="BI6" s="1015"/>
      <c r="BJ6" s="1015"/>
      <c r="BK6" s="1015"/>
      <c r="BL6" s="1015"/>
      <c r="BM6" s="1015"/>
      <c r="BN6" s="1015"/>
      <c r="BO6" s="1015"/>
      <c r="BP6" s="1015"/>
      <c r="BQ6" s="1015"/>
      <c r="BR6" s="1015"/>
      <c r="BS6" s="1015"/>
      <c r="BT6" s="1015"/>
      <c r="BU6" s="1015"/>
      <c r="BV6" s="1015"/>
      <c r="BW6" s="1015"/>
      <c r="BX6" s="1015"/>
      <c r="BY6" s="1015"/>
      <c r="BZ6" s="1015"/>
      <c r="CA6" s="1015"/>
      <c r="CB6" s="1015"/>
      <c r="CC6" s="1015"/>
      <c r="CD6" s="1015"/>
      <c r="CE6" s="1015"/>
      <c r="CF6" s="1015"/>
      <c r="CG6" s="1015"/>
      <c r="CH6" s="1015"/>
      <c r="CI6" s="1015"/>
      <c r="CJ6" s="1015"/>
      <c r="CK6" s="1015"/>
      <c r="CL6" s="1015"/>
      <c r="CM6" s="1015"/>
      <c r="CN6" s="1015"/>
      <c r="CO6" s="1015"/>
      <c r="CP6" s="1015"/>
      <c r="CQ6" s="1015"/>
      <c r="CR6" s="1015"/>
      <c r="CS6" s="1015"/>
      <c r="CT6" s="1015"/>
      <c r="CU6" s="1015"/>
      <c r="CV6" s="1015"/>
      <c r="CW6" s="1015"/>
      <c r="CX6" s="1015"/>
      <c r="CY6" s="1015"/>
      <c r="CZ6" s="1015"/>
      <c r="DA6" s="1015"/>
      <c r="DB6" s="1015"/>
      <c r="DC6" s="1015"/>
      <c r="DD6" s="1015"/>
      <c r="DE6" s="1015"/>
      <c r="DF6" s="1015"/>
      <c r="DG6" s="1015"/>
      <c r="DH6" s="1015"/>
      <c r="DI6" s="1015"/>
      <c r="DJ6" s="1015"/>
      <c r="DK6" s="1015"/>
      <c r="DL6" s="1015"/>
      <c r="DM6" s="1015"/>
      <c r="DN6" s="1015"/>
      <c r="DO6" s="1015"/>
      <c r="DP6" s="1015"/>
      <c r="DQ6" s="1015"/>
      <c r="DR6" s="1015"/>
      <c r="DS6" s="1015"/>
      <c r="DT6" s="1015"/>
      <c r="DU6" s="1015"/>
      <c r="DV6" s="1015"/>
      <c r="DW6" s="1015"/>
      <c r="DX6" s="1015"/>
      <c r="DY6" s="1015"/>
      <c r="DZ6" s="1015"/>
      <c r="EA6" s="1015"/>
      <c r="EB6" s="1015"/>
      <c r="EC6" s="1015"/>
      <c r="ED6" s="1015"/>
      <c r="EE6" s="1015"/>
      <c r="EF6" s="1015"/>
      <c r="EG6" s="1015"/>
      <c r="EH6" s="1015"/>
      <c r="EI6" s="1015"/>
      <c r="EJ6" s="1015"/>
      <c r="EK6" s="1015"/>
      <c r="EL6" s="1015"/>
      <c r="EM6" s="1015"/>
      <c r="EN6" s="1015"/>
      <c r="EO6" s="1015"/>
      <c r="EP6" s="1015"/>
      <c r="EQ6" s="1015"/>
      <c r="ER6" s="1015"/>
      <c r="ES6" s="1015"/>
      <c r="ET6" s="1015"/>
      <c r="EU6" s="1015"/>
      <c r="EV6" s="1015"/>
      <c r="EW6" s="1015"/>
      <c r="EX6" s="1015"/>
      <c r="EY6" s="1015"/>
      <c r="EZ6" s="1015"/>
      <c r="FA6" s="1015"/>
      <c r="FB6" s="1015"/>
      <c r="FC6" s="1015"/>
      <c r="FD6" s="1015"/>
      <c r="FE6" s="1015"/>
      <c r="FF6" s="1015"/>
      <c r="FG6" s="1015"/>
      <c r="FH6" s="1015"/>
      <c r="FI6" s="1015"/>
      <c r="FJ6" s="1015"/>
      <c r="FK6" s="1015"/>
      <c r="FL6" s="1015"/>
      <c r="FM6" s="1015"/>
      <c r="FN6" s="1015"/>
      <c r="FO6" s="1015"/>
      <c r="FP6" s="1015"/>
      <c r="FQ6" s="1015"/>
      <c r="FR6" s="1015"/>
      <c r="FS6" s="1015"/>
      <c r="FT6" s="1015"/>
      <c r="FU6" s="1015"/>
      <c r="FV6" s="1015"/>
      <c r="FW6" s="1015"/>
      <c r="FX6" s="1015"/>
      <c r="FY6" s="1015"/>
      <c r="FZ6" s="1015"/>
      <c r="GA6" s="1015"/>
      <c r="GB6" s="1015"/>
      <c r="GC6" s="1015"/>
      <c r="GD6" s="1015"/>
      <c r="GE6" s="1015"/>
      <c r="GF6" s="1015"/>
      <c r="GG6" s="1015"/>
      <c r="GH6" s="1015"/>
      <c r="GI6" s="1015"/>
      <c r="GJ6" s="1015"/>
    </row>
    <row r="7" spans="1:192" ht="26.25" customHeight="1">
      <c r="A7" s="1016" t="s">
        <v>215</v>
      </c>
      <c r="B7" s="1021">
        <v>0.99429012345679013</v>
      </c>
      <c r="C7" s="1015"/>
      <c r="D7" s="1013" t="s">
        <v>218</v>
      </c>
      <c r="E7" s="1068">
        <v>0.99333304815482548</v>
      </c>
      <c r="F7" s="1068">
        <v>0.99651342147435895</v>
      </c>
      <c r="G7" s="1068">
        <v>0.99719254510921196</v>
      </c>
      <c r="H7" s="1068">
        <v>0.99508367233727824</v>
      </c>
      <c r="I7" s="1068">
        <v>0.99593599759615414</v>
      </c>
      <c r="J7" s="1068">
        <v>0.99707944475867283</v>
      </c>
      <c r="K7" s="1068">
        <v>0.98940031322843824</v>
      </c>
      <c r="L7" s="1068">
        <v>0.99152490138067073</v>
      </c>
      <c r="M7" s="1068">
        <v>0.99359241452991443</v>
      </c>
      <c r="N7" s="1068">
        <v>0.99498530982905986</v>
      </c>
      <c r="O7" s="1068">
        <v>0.99633544623779025</v>
      </c>
      <c r="P7" s="1068">
        <v>0.99840621537670149</v>
      </c>
      <c r="Q7" s="1068">
        <v>0.99739102564102566</v>
      </c>
      <c r="R7" s="1068">
        <v>0.99829627403846166</v>
      </c>
      <c r="S7" s="1068">
        <v>0.99815266927083357</v>
      </c>
      <c r="T7" s="1068">
        <v>0.99886607460826216</v>
      </c>
      <c r="U7" s="1068">
        <v>0.99778145032051291</v>
      </c>
      <c r="V7" s="1068">
        <v>0.99345347617917079</v>
      </c>
      <c r="W7" s="1068">
        <f t="shared" si="1"/>
        <v>0.9969110576923077</v>
      </c>
      <c r="Y7" s="1069" t="s">
        <v>218</v>
      </c>
      <c r="Z7" s="1068">
        <f t="shared" ref="Z7:AE7" si="7">HLOOKUP(Z$1,$E:$W,7,0)</f>
        <v>0.99829627403846166</v>
      </c>
      <c r="AA7" s="1068">
        <f t="shared" si="7"/>
        <v>0.99815266927083357</v>
      </c>
      <c r="AB7" s="1068">
        <f t="shared" si="7"/>
        <v>0.99886607460826216</v>
      </c>
      <c r="AC7" s="1068">
        <f t="shared" si="7"/>
        <v>0.99778145032051291</v>
      </c>
      <c r="AD7" s="1068">
        <f t="shared" si="7"/>
        <v>0.99345347617917079</v>
      </c>
      <c r="AE7" s="1068">
        <f t="shared" si="7"/>
        <v>0.9969110576923077</v>
      </c>
      <c r="AF7" s="1070">
        <v>0.99299999999999999</v>
      </c>
      <c r="AG7" s="1073">
        <f t="shared" si="3"/>
        <v>0.99724350035159137</v>
      </c>
      <c r="AH7" s="1015"/>
      <c r="AI7" s="1015"/>
      <c r="AJ7" s="1015"/>
      <c r="AK7" s="1015"/>
      <c r="AL7" s="1015"/>
      <c r="AM7" s="1015"/>
      <c r="AN7" s="1015"/>
      <c r="AO7" s="1015"/>
      <c r="AP7" s="1015"/>
      <c r="AQ7" s="1015"/>
      <c r="AR7" s="1015"/>
      <c r="AS7" s="1015"/>
      <c r="AT7" s="1015"/>
      <c r="AU7" s="1015"/>
      <c r="AV7" s="1015"/>
      <c r="AW7" s="1015"/>
      <c r="AX7" s="1015"/>
      <c r="AY7" s="1015"/>
      <c r="AZ7" s="1015"/>
      <c r="BA7" s="1015"/>
      <c r="BB7" s="1015"/>
      <c r="BC7" s="1015"/>
      <c r="BD7" s="1015"/>
      <c r="BE7" s="1015"/>
      <c r="BF7" s="1015"/>
      <c r="BG7" s="1015"/>
      <c r="BH7" s="1015"/>
      <c r="BI7" s="1015"/>
      <c r="BJ7" s="1015"/>
      <c r="BK7" s="1015"/>
      <c r="BL7" s="1015"/>
      <c r="BM7" s="1015"/>
      <c r="BN7" s="1015"/>
      <c r="BO7" s="1015"/>
      <c r="BP7" s="1015"/>
      <c r="BQ7" s="1015"/>
      <c r="BR7" s="1015"/>
      <c r="BS7" s="1015"/>
      <c r="BT7" s="1015"/>
      <c r="BU7" s="1015"/>
      <c r="BV7" s="1015"/>
      <c r="BW7" s="1015"/>
      <c r="BX7" s="1015"/>
      <c r="BY7" s="1015"/>
      <c r="BZ7" s="1015"/>
      <c r="CA7" s="1015"/>
      <c r="CB7" s="1015"/>
      <c r="CC7" s="1015"/>
      <c r="CD7" s="1015"/>
      <c r="CE7" s="1015"/>
      <c r="CF7" s="1015"/>
      <c r="CG7" s="1015"/>
      <c r="CH7" s="1015"/>
      <c r="CI7" s="1015"/>
      <c r="CJ7" s="1015"/>
      <c r="CK7" s="1015"/>
      <c r="CL7" s="1015"/>
      <c r="CM7" s="1015"/>
      <c r="CN7" s="1015"/>
      <c r="CO7" s="1015"/>
      <c r="CP7" s="1015"/>
      <c r="CQ7" s="1015"/>
      <c r="CR7" s="1015"/>
      <c r="CS7" s="1015"/>
      <c r="CT7" s="1015"/>
      <c r="CU7" s="1015"/>
      <c r="CV7" s="1015"/>
      <c r="CW7" s="1015"/>
      <c r="CX7" s="1015"/>
      <c r="CY7" s="1015"/>
      <c r="CZ7" s="1015"/>
      <c r="DA7" s="1015"/>
      <c r="DB7" s="1015"/>
      <c r="DC7" s="1015"/>
      <c r="DD7" s="1015"/>
      <c r="DE7" s="1015"/>
      <c r="DF7" s="1015"/>
      <c r="DG7" s="1015"/>
      <c r="DH7" s="1015"/>
      <c r="DI7" s="1015"/>
      <c r="DJ7" s="1015"/>
      <c r="DK7" s="1015"/>
      <c r="DL7" s="1015"/>
      <c r="DM7" s="1015"/>
      <c r="DN7" s="1015"/>
      <c r="DO7" s="1015"/>
      <c r="DP7" s="1015"/>
      <c r="DQ7" s="1015"/>
      <c r="DR7" s="1015"/>
      <c r="DS7" s="1015"/>
      <c r="DT7" s="1015"/>
      <c r="DU7" s="1015"/>
      <c r="DV7" s="1015"/>
      <c r="DW7" s="1015"/>
      <c r="DX7" s="1015"/>
      <c r="DY7" s="1015"/>
      <c r="DZ7" s="1015"/>
      <c r="EA7" s="1015"/>
      <c r="EB7" s="1015"/>
      <c r="EC7" s="1015"/>
      <c r="ED7" s="1015"/>
      <c r="EE7" s="1015"/>
      <c r="EF7" s="1015"/>
      <c r="EG7" s="1015"/>
      <c r="EH7" s="1015"/>
      <c r="EI7" s="1015"/>
      <c r="EJ7" s="1015"/>
      <c r="EK7" s="1015"/>
      <c r="EL7" s="1015"/>
      <c r="EM7" s="1015"/>
      <c r="EN7" s="1015"/>
      <c r="EO7" s="1015"/>
      <c r="EP7" s="1015"/>
      <c r="EQ7" s="1015"/>
      <c r="ER7" s="1015"/>
      <c r="ES7" s="1015"/>
      <c r="ET7" s="1015"/>
      <c r="EU7" s="1015"/>
      <c r="EV7" s="1015"/>
      <c r="EW7" s="1015"/>
      <c r="EX7" s="1015"/>
      <c r="EY7" s="1015"/>
      <c r="EZ7" s="1015"/>
      <c r="FA7" s="1015"/>
      <c r="FB7" s="1015"/>
      <c r="FC7" s="1015"/>
      <c r="FD7" s="1015"/>
      <c r="FE7" s="1015"/>
      <c r="FF7" s="1015"/>
      <c r="FG7" s="1015"/>
      <c r="FH7" s="1015"/>
      <c r="FI7" s="1015"/>
      <c r="FJ7" s="1015"/>
      <c r="FK7" s="1015"/>
      <c r="FL7" s="1015"/>
      <c r="FM7" s="1015"/>
      <c r="FN7" s="1015"/>
      <c r="FO7" s="1015"/>
      <c r="FP7" s="1015"/>
      <c r="FQ7" s="1015"/>
      <c r="FR7" s="1015"/>
      <c r="FS7" s="1015"/>
      <c r="FT7" s="1015"/>
      <c r="FU7" s="1015"/>
      <c r="FV7" s="1015"/>
      <c r="FW7" s="1015"/>
      <c r="FX7" s="1015"/>
      <c r="FY7" s="1015"/>
      <c r="FZ7" s="1015"/>
      <c r="GA7" s="1015"/>
      <c r="GB7" s="1015"/>
      <c r="GC7" s="1015"/>
      <c r="GD7" s="1015"/>
      <c r="GE7" s="1015"/>
      <c r="GF7" s="1015"/>
      <c r="GG7" s="1015"/>
      <c r="GH7" s="1015"/>
      <c r="GI7" s="1015"/>
      <c r="GJ7" s="1015"/>
    </row>
    <row r="8" spans="1:192" ht="26.25" customHeight="1">
      <c r="A8" s="1016" t="s">
        <v>216</v>
      </c>
      <c r="B8" s="1021"/>
      <c r="C8" s="1015"/>
      <c r="D8" s="1013" t="s">
        <v>219</v>
      </c>
      <c r="E8" s="1068">
        <v>0.99593182425213667</v>
      </c>
      <c r="F8" s="1068">
        <v>0.99725739755036602</v>
      </c>
      <c r="G8" s="1068">
        <v>0.99526831819800565</v>
      </c>
      <c r="H8" s="1068">
        <v>0.99718724562474559</v>
      </c>
      <c r="I8" s="1068">
        <v>0.9948689013532761</v>
      </c>
      <c r="J8" s="1068">
        <v>0.987226362179487</v>
      </c>
      <c r="K8" s="1068">
        <v>0.99626805666844731</v>
      </c>
      <c r="L8" s="1068">
        <v>0.99618863299558891</v>
      </c>
      <c r="M8" s="1068">
        <v>0.9979392027243591</v>
      </c>
      <c r="N8" s="1068">
        <v>0.99786421715605189</v>
      </c>
      <c r="O8" s="1068">
        <v>0.99508647168803421</v>
      </c>
      <c r="P8" s="1068">
        <v>0.99543207403450462</v>
      </c>
      <c r="Q8" s="1068">
        <v>0.99000519110146123</v>
      </c>
      <c r="R8" s="1068">
        <v>0.99378316417378898</v>
      </c>
      <c r="S8" s="1068">
        <v>0.98796741452991443</v>
      </c>
      <c r="T8" s="1068">
        <v>0.99198217147435896</v>
      </c>
      <c r="U8" s="1068">
        <v>0.99185075431034486</v>
      </c>
      <c r="V8" s="1068">
        <v>0.9931640625</v>
      </c>
      <c r="W8" s="1068">
        <f t="shared" si="1"/>
        <v>0</v>
      </c>
      <c r="Y8" s="1069" t="s">
        <v>219</v>
      </c>
      <c r="Z8" s="1068">
        <f t="shared" ref="Z8:AE8" si="8">HLOOKUP(Z$1,$E:$W,8,0)</f>
        <v>0.99378316417378898</v>
      </c>
      <c r="AA8" s="1068">
        <f t="shared" si="8"/>
        <v>0.98796741452991443</v>
      </c>
      <c r="AB8" s="1068">
        <f t="shared" si="8"/>
        <v>0.99198217147435896</v>
      </c>
      <c r="AC8" s="1068">
        <f t="shared" si="8"/>
        <v>0.99185075431034486</v>
      </c>
      <c r="AD8" s="1068">
        <f t="shared" si="8"/>
        <v>0.9931640625</v>
      </c>
      <c r="AE8" s="1068">
        <f t="shared" si="8"/>
        <v>0</v>
      </c>
      <c r="AF8" s="1070">
        <v>0.99299999999999999</v>
      </c>
      <c r="AG8" s="1073">
        <f t="shared" si="3"/>
        <v>0.99174951339768147</v>
      </c>
      <c r="AH8" s="1015"/>
      <c r="AI8" s="1015"/>
      <c r="AJ8" s="1015"/>
      <c r="AK8" s="1015"/>
      <c r="AL8" s="1015"/>
      <c r="AM8" s="1015"/>
      <c r="AN8" s="1015"/>
      <c r="AO8" s="1015"/>
      <c r="AP8" s="1015"/>
      <c r="AQ8" s="1015"/>
      <c r="AR8" s="1015"/>
      <c r="AS8" s="1015"/>
      <c r="AT8" s="1015"/>
      <c r="AU8" s="1015"/>
      <c r="AV8" s="1015"/>
      <c r="AW8" s="1015"/>
      <c r="AX8" s="1015"/>
      <c r="AY8" s="1015"/>
      <c r="AZ8" s="1015"/>
      <c r="BA8" s="1015"/>
      <c r="BB8" s="1015"/>
      <c r="BC8" s="1015"/>
      <c r="BD8" s="1015"/>
      <c r="BE8" s="1015"/>
      <c r="BF8" s="1015"/>
      <c r="BG8" s="1015"/>
      <c r="BH8" s="1015"/>
      <c r="BI8" s="1015"/>
      <c r="BJ8" s="1015"/>
      <c r="BK8" s="1015"/>
      <c r="BL8" s="1015"/>
      <c r="BM8" s="1015"/>
      <c r="BN8" s="1015"/>
      <c r="BO8" s="1015"/>
      <c r="BP8" s="1015"/>
      <c r="BQ8" s="1015"/>
      <c r="BR8" s="1015"/>
      <c r="BS8" s="1015"/>
      <c r="BT8" s="1015"/>
      <c r="BU8" s="1015"/>
      <c r="BV8" s="1015"/>
      <c r="BW8" s="1015"/>
      <c r="BX8" s="1015"/>
      <c r="BY8" s="1015"/>
      <c r="BZ8" s="1015"/>
      <c r="CA8" s="1015"/>
      <c r="CB8" s="1015"/>
      <c r="CC8" s="1015"/>
      <c r="CD8" s="1015"/>
      <c r="CE8" s="1015"/>
      <c r="CF8" s="1015"/>
      <c r="CG8" s="1015"/>
      <c r="CH8" s="1015"/>
      <c r="CI8" s="1015"/>
      <c r="CJ8" s="1015"/>
      <c r="CK8" s="1015"/>
      <c r="CL8" s="1015"/>
      <c r="CM8" s="1015"/>
      <c r="CN8" s="1015"/>
      <c r="CO8" s="1015"/>
      <c r="CP8" s="1015"/>
      <c r="CQ8" s="1015"/>
      <c r="CR8" s="1015"/>
      <c r="CS8" s="1015"/>
      <c r="CT8" s="1015"/>
      <c r="CU8" s="1015"/>
      <c r="CV8" s="1015"/>
      <c r="CW8" s="1015"/>
      <c r="CX8" s="1015"/>
      <c r="CY8" s="1015"/>
      <c r="CZ8" s="1015"/>
      <c r="DA8" s="1015"/>
      <c r="DB8" s="1015"/>
      <c r="DC8" s="1015"/>
      <c r="DD8" s="1015"/>
      <c r="DE8" s="1015"/>
      <c r="DF8" s="1015"/>
      <c r="DG8" s="1015"/>
      <c r="DH8" s="1015"/>
      <c r="DI8" s="1015"/>
      <c r="DJ8" s="1015"/>
      <c r="DK8" s="1015"/>
      <c r="DL8" s="1015"/>
      <c r="DM8" s="1015"/>
      <c r="DN8" s="1015"/>
      <c r="DO8" s="1015"/>
      <c r="DP8" s="1015"/>
      <c r="DQ8" s="1015"/>
      <c r="DR8" s="1015"/>
      <c r="DS8" s="1015"/>
      <c r="DT8" s="1015"/>
      <c r="DU8" s="1015"/>
      <c r="DV8" s="1015"/>
      <c r="DW8" s="1015"/>
      <c r="DX8" s="1015"/>
      <c r="DY8" s="1015"/>
      <c r="DZ8" s="1015"/>
      <c r="EA8" s="1015"/>
      <c r="EB8" s="1015"/>
      <c r="EC8" s="1015"/>
      <c r="ED8" s="1015"/>
      <c r="EE8" s="1015"/>
      <c r="EF8" s="1015"/>
      <c r="EG8" s="1015"/>
      <c r="EH8" s="1015"/>
      <c r="EI8" s="1015"/>
      <c r="EJ8" s="1015"/>
      <c r="EK8" s="1015"/>
      <c r="EL8" s="1015"/>
      <c r="EM8" s="1015"/>
      <c r="EN8" s="1015"/>
      <c r="EO8" s="1015"/>
      <c r="EP8" s="1015"/>
      <c r="EQ8" s="1015"/>
      <c r="ER8" s="1015"/>
      <c r="ES8" s="1015"/>
      <c r="ET8" s="1015"/>
      <c r="EU8" s="1015"/>
      <c r="EV8" s="1015"/>
      <c r="EW8" s="1015"/>
      <c r="EX8" s="1015"/>
      <c r="EY8" s="1015"/>
      <c r="EZ8" s="1015"/>
      <c r="FA8" s="1015"/>
      <c r="FB8" s="1015"/>
      <c r="FC8" s="1015"/>
      <c r="FD8" s="1015"/>
      <c r="FE8" s="1015"/>
      <c r="FF8" s="1015"/>
      <c r="FG8" s="1015"/>
      <c r="FH8" s="1015"/>
      <c r="FI8" s="1015"/>
      <c r="FJ8" s="1015"/>
      <c r="FK8" s="1015"/>
      <c r="FL8" s="1015"/>
      <c r="FM8" s="1015"/>
      <c r="FN8" s="1015"/>
      <c r="FO8" s="1015"/>
      <c r="FP8" s="1015"/>
      <c r="FQ8" s="1015"/>
      <c r="FR8" s="1015"/>
      <c r="FS8" s="1015"/>
      <c r="FT8" s="1015"/>
      <c r="FU8" s="1015"/>
      <c r="FV8" s="1015"/>
      <c r="FW8" s="1015"/>
      <c r="FX8" s="1015"/>
      <c r="FY8" s="1015"/>
      <c r="FZ8" s="1015"/>
      <c r="GA8" s="1015"/>
      <c r="GB8" s="1015"/>
      <c r="GC8" s="1015"/>
      <c r="GD8" s="1015"/>
      <c r="GE8" s="1015"/>
      <c r="GF8" s="1015"/>
      <c r="GG8" s="1015"/>
      <c r="GH8" s="1015"/>
      <c r="GI8" s="1015"/>
      <c r="GJ8" s="1015"/>
    </row>
    <row r="9" spans="1:192" ht="26.25" customHeight="1">
      <c r="A9" s="1016" t="s">
        <v>217</v>
      </c>
      <c r="B9" s="1021">
        <v>0.99782986111111105</v>
      </c>
      <c r="C9" s="1015"/>
      <c r="D9" s="1013" t="s">
        <v>220</v>
      </c>
      <c r="E9" s="1068">
        <v>0.99433424094493217</v>
      </c>
      <c r="F9" s="1068">
        <v>0.99806007071632075</v>
      </c>
      <c r="G9" s="1068">
        <v>0.99780336037660222</v>
      </c>
      <c r="H9" s="1068">
        <v>0.99512788362614779</v>
      </c>
      <c r="I9" s="1068">
        <v>0.99770823794261276</v>
      </c>
      <c r="J9" s="1068">
        <v>0.99101151586127567</v>
      </c>
      <c r="K9" s="1068">
        <v>0.99373175652472534</v>
      </c>
      <c r="L9" s="1068">
        <v>0.9960538194444446</v>
      </c>
      <c r="M9" s="1068">
        <v>0.99582709146228165</v>
      </c>
      <c r="N9" s="1068">
        <v>0.99691324300699291</v>
      </c>
      <c r="O9" s="1068">
        <v>0.99650641025641029</v>
      </c>
      <c r="P9" s="1068">
        <v>0.99405298477564097</v>
      </c>
      <c r="Q9" s="1068">
        <v>0.99452194940476191</v>
      </c>
      <c r="R9" s="1068">
        <v>0.99616052350427342</v>
      </c>
      <c r="S9" s="1068">
        <v>0.99726437299679482</v>
      </c>
      <c r="T9" s="1068">
        <v>0.99620652302943968</v>
      </c>
      <c r="U9" s="1068">
        <v>0</v>
      </c>
      <c r="V9" s="1068">
        <v>0</v>
      </c>
      <c r="W9" s="1068">
        <f t="shared" si="1"/>
        <v>0.9828898965617715</v>
      </c>
      <c r="Y9" s="1069" t="s">
        <v>220</v>
      </c>
      <c r="Z9" s="1068">
        <f t="shared" ref="Z9:AE9" si="9">HLOOKUP(Z$1,$E:$W,9,0)</f>
        <v>0.99616052350427342</v>
      </c>
      <c r="AA9" s="1068">
        <f t="shared" si="9"/>
        <v>0.99726437299679482</v>
      </c>
      <c r="AB9" s="1068">
        <f t="shared" si="9"/>
        <v>0.99620652302943968</v>
      </c>
      <c r="AC9" s="1068">
        <f t="shared" si="9"/>
        <v>0</v>
      </c>
      <c r="AD9" s="1068">
        <f t="shared" si="9"/>
        <v>0</v>
      </c>
      <c r="AE9" s="1068">
        <f t="shared" si="9"/>
        <v>0.9828898965617715</v>
      </c>
      <c r="AF9" s="1070">
        <v>0.99299999999999999</v>
      </c>
      <c r="AG9" s="1073">
        <f t="shared" si="3"/>
        <v>0.99313032902306986</v>
      </c>
      <c r="AH9" s="1015"/>
      <c r="AI9" s="1015"/>
      <c r="AJ9" s="1015"/>
      <c r="AK9" s="1015"/>
      <c r="AL9" s="1015"/>
      <c r="AM9" s="1015"/>
      <c r="AN9" s="1015"/>
      <c r="AO9" s="1015"/>
      <c r="AP9" s="1015"/>
      <c r="AQ9" s="1015"/>
      <c r="AR9" s="1015"/>
      <c r="AS9" s="1015"/>
      <c r="AT9" s="1015"/>
      <c r="AU9" s="1015"/>
      <c r="AV9" s="1015"/>
      <c r="AW9" s="1015"/>
      <c r="AX9" s="1015"/>
      <c r="AY9" s="1015"/>
      <c r="AZ9" s="1015"/>
      <c r="BA9" s="1015"/>
      <c r="BB9" s="1015"/>
      <c r="BC9" s="1015"/>
      <c r="BD9" s="1015"/>
      <c r="BE9" s="1015"/>
      <c r="BF9" s="1015"/>
      <c r="BG9" s="1015"/>
      <c r="BH9" s="1015"/>
      <c r="BI9" s="1015"/>
      <c r="BJ9" s="1015"/>
      <c r="BK9" s="1015"/>
      <c r="BL9" s="1015"/>
      <c r="BM9" s="1015"/>
      <c r="BN9" s="1015"/>
      <c r="BO9" s="1015"/>
      <c r="BP9" s="1015"/>
      <c r="BQ9" s="1015"/>
      <c r="BR9" s="1015"/>
      <c r="BS9" s="1015"/>
      <c r="BT9" s="1015"/>
      <c r="BU9" s="1015"/>
      <c r="BV9" s="1015"/>
      <c r="BW9" s="1015"/>
      <c r="BX9" s="1015"/>
      <c r="BY9" s="1015"/>
      <c r="BZ9" s="1015"/>
      <c r="CA9" s="1015"/>
      <c r="CB9" s="1015"/>
      <c r="CC9" s="1015"/>
      <c r="CD9" s="1015"/>
      <c r="CE9" s="1015"/>
      <c r="CF9" s="1015"/>
      <c r="CG9" s="1015"/>
      <c r="CH9" s="1015"/>
      <c r="CI9" s="1015"/>
      <c r="CJ9" s="1015"/>
      <c r="CK9" s="1015"/>
      <c r="CL9" s="1015"/>
      <c r="CM9" s="1015"/>
      <c r="CN9" s="1015"/>
      <c r="CO9" s="1015"/>
      <c r="CP9" s="1015"/>
      <c r="CQ9" s="1015"/>
      <c r="CR9" s="1015"/>
      <c r="CS9" s="1015"/>
      <c r="CT9" s="1015"/>
      <c r="CU9" s="1015"/>
      <c r="CV9" s="1015"/>
      <c r="CW9" s="1015"/>
      <c r="CX9" s="1015"/>
      <c r="CY9" s="1015"/>
      <c r="CZ9" s="1015"/>
      <c r="DA9" s="1015"/>
      <c r="DB9" s="1015"/>
      <c r="DC9" s="1015"/>
      <c r="DD9" s="1015"/>
      <c r="DE9" s="1015"/>
      <c r="DF9" s="1015"/>
      <c r="DG9" s="1015"/>
      <c r="DH9" s="1015"/>
      <c r="DI9" s="1015"/>
      <c r="DJ9" s="1015"/>
      <c r="DK9" s="1015"/>
      <c r="DL9" s="1015"/>
      <c r="DM9" s="1015"/>
      <c r="DN9" s="1015"/>
      <c r="DO9" s="1015"/>
      <c r="DP9" s="1015"/>
      <c r="DQ9" s="1015"/>
      <c r="DR9" s="1015"/>
      <c r="DS9" s="1015"/>
      <c r="DT9" s="1015"/>
      <c r="DU9" s="1015"/>
      <c r="DV9" s="1015"/>
      <c r="DW9" s="1015"/>
      <c r="DX9" s="1015"/>
      <c r="DY9" s="1015"/>
      <c r="DZ9" s="1015"/>
      <c r="EA9" s="1015"/>
      <c r="EB9" s="1015"/>
      <c r="EC9" s="1015"/>
      <c r="ED9" s="1015"/>
      <c r="EE9" s="1015"/>
      <c r="EF9" s="1015"/>
      <c r="EG9" s="1015"/>
      <c r="EH9" s="1015"/>
      <c r="EI9" s="1015"/>
      <c r="EJ9" s="1015"/>
      <c r="EK9" s="1015"/>
      <c r="EL9" s="1015"/>
      <c r="EM9" s="1015"/>
      <c r="EN9" s="1015"/>
      <c r="EO9" s="1015"/>
      <c r="EP9" s="1015"/>
      <c r="EQ9" s="1015"/>
      <c r="ER9" s="1015"/>
      <c r="ES9" s="1015"/>
      <c r="ET9" s="1015"/>
      <c r="EU9" s="1015"/>
      <c r="EV9" s="1015"/>
      <c r="EW9" s="1015"/>
      <c r="EX9" s="1015"/>
      <c r="EY9" s="1015"/>
      <c r="EZ9" s="1015"/>
      <c r="FA9" s="1015"/>
      <c r="FB9" s="1015"/>
      <c r="FC9" s="1015"/>
      <c r="FD9" s="1015"/>
      <c r="FE9" s="1015"/>
      <c r="FF9" s="1015"/>
      <c r="FG9" s="1015"/>
      <c r="FH9" s="1015"/>
      <c r="FI9" s="1015"/>
      <c r="FJ9" s="1015"/>
      <c r="FK9" s="1015"/>
      <c r="FL9" s="1015"/>
      <c r="FM9" s="1015"/>
      <c r="FN9" s="1015"/>
      <c r="FO9" s="1015"/>
      <c r="FP9" s="1015"/>
      <c r="FQ9" s="1015"/>
      <c r="FR9" s="1015"/>
      <c r="FS9" s="1015"/>
      <c r="FT9" s="1015"/>
      <c r="FU9" s="1015"/>
      <c r="FV9" s="1015"/>
      <c r="FW9" s="1015"/>
      <c r="FX9" s="1015"/>
      <c r="FY9" s="1015"/>
      <c r="FZ9" s="1015"/>
      <c r="GA9" s="1015"/>
      <c r="GB9" s="1015"/>
      <c r="GC9" s="1015"/>
      <c r="GD9" s="1015"/>
      <c r="GE9" s="1015"/>
      <c r="GF9" s="1015"/>
      <c r="GG9" s="1015"/>
      <c r="GH9" s="1015"/>
      <c r="GI9" s="1015"/>
      <c r="GJ9" s="1015"/>
    </row>
    <row r="10" spans="1:192" ht="26.25" customHeight="1">
      <c r="A10" s="1016" t="s">
        <v>218</v>
      </c>
      <c r="B10" s="1021">
        <v>0.9969110576923077</v>
      </c>
      <c r="C10" s="1015"/>
      <c r="D10" s="1013" t="s">
        <v>221</v>
      </c>
      <c r="E10" s="1068">
        <v>0.99840856481481488</v>
      </c>
      <c r="F10" s="1068">
        <v>0</v>
      </c>
      <c r="G10" s="1068">
        <v>0</v>
      </c>
      <c r="H10" s="1068">
        <v>0</v>
      </c>
      <c r="I10" s="1068">
        <v>0</v>
      </c>
      <c r="J10" s="1068">
        <v>0</v>
      </c>
      <c r="K10" s="1068">
        <v>0</v>
      </c>
      <c r="L10" s="1068">
        <v>0</v>
      </c>
      <c r="M10" s="1068">
        <v>0</v>
      </c>
      <c r="N10" s="1068">
        <v>0</v>
      </c>
      <c r="O10" s="1068">
        <v>0</v>
      </c>
      <c r="P10" s="1068">
        <v>0</v>
      </c>
      <c r="Q10" s="1068">
        <v>0.99143806561085979</v>
      </c>
      <c r="R10" s="1068">
        <v>0.99867168421855923</v>
      </c>
      <c r="S10" s="1068">
        <v>0.99294885706018521</v>
      </c>
      <c r="T10" s="1068">
        <v>0.99611211271367517</v>
      </c>
      <c r="U10" s="1068">
        <v>0.99688740079365068</v>
      </c>
      <c r="V10" s="1068">
        <v>0.99452501780626779</v>
      </c>
      <c r="W10" s="1068">
        <f t="shared" si="1"/>
        <v>0</v>
      </c>
      <c r="Y10" s="1069" t="s">
        <v>221</v>
      </c>
      <c r="Z10" s="1068">
        <f t="shared" ref="Z10:AE10" si="10">HLOOKUP(Z$1,$E:$W,10,0)</f>
        <v>0.99867168421855923</v>
      </c>
      <c r="AA10" s="1068">
        <f t="shared" si="10"/>
        <v>0.99294885706018521</v>
      </c>
      <c r="AB10" s="1068">
        <f t="shared" si="10"/>
        <v>0.99611211271367517</v>
      </c>
      <c r="AC10" s="1068">
        <f t="shared" si="10"/>
        <v>0.99688740079365068</v>
      </c>
      <c r="AD10" s="1068">
        <f t="shared" si="10"/>
        <v>0.99452501780626779</v>
      </c>
      <c r="AE10" s="1068">
        <f t="shared" si="10"/>
        <v>0</v>
      </c>
      <c r="AF10" s="1070">
        <v>0.99299999999999999</v>
      </c>
      <c r="AG10" s="1073">
        <f t="shared" si="3"/>
        <v>0.99582901451846761</v>
      </c>
      <c r="AH10" s="1015"/>
      <c r="AI10" s="1015"/>
      <c r="AJ10" s="1015"/>
      <c r="AK10" s="1015"/>
      <c r="AL10" s="1015"/>
      <c r="AM10" s="1015"/>
      <c r="AN10" s="1015"/>
      <c r="AO10" s="1015"/>
      <c r="AP10" s="1015"/>
      <c r="AQ10" s="1015"/>
      <c r="AR10" s="1015"/>
      <c r="AS10" s="1015"/>
      <c r="AT10" s="1015"/>
      <c r="AU10" s="1015"/>
      <c r="AV10" s="1015"/>
      <c r="AW10" s="1015"/>
      <c r="AX10" s="1015"/>
      <c r="AY10" s="1015"/>
      <c r="AZ10" s="1015"/>
      <c r="BA10" s="1015"/>
      <c r="BB10" s="1015"/>
      <c r="BC10" s="1015"/>
      <c r="BD10" s="1015"/>
      <c r="BE10" s="1015"/>
      <c r="BF10" s="1015"/>
      <c r="BG10" s="1015"/>
      <c r="BH10" s="1015"/>
      <c r="BI10" s="1015"/>
      <c r="BJ10" s="1015"/>
      <c r="BK10" s="1015"/>
      <c r="BL10" s="1015"/>
      <c r="BM10" s="1015"/>
      <c r="BN10" s="1015"/>
      <c r="BO10" s="1015"/>
      <c r="BP10" s="1015"/>
      <c r="BQ10" s="1015"/>
      <c r="BR10" s="1015"/>
      <c r="BS10" s="1015"/>
      <c r="BT10" s="1015"/>
      <c r="BU10" s="1015"/>
      <c r="BV10" s="1015"/>
      <c r="BW10" s="1015"/>
      <c r="BX10" s="1015"/>
      <c r="BY10" s="1015"/>
      <c r="BZ10" s="1015"/>
      <c r="CA10" s="1015"/>
      <c r="CB10" s="1015"/>
      <c r="CC10" s="1015"/>
      <c r="CD10" s="1015"/>
      <c r="CE10" s="1015"/>
      <c r="CF10" s="1015"/>
      <c r="CG10" s="1015"/>
      <c r="CH10" s="1015"/>
      <c r="CI10" s="1015"/>
      <c r="CJ10" s="1015"/>
      <c r="CK10" s="1015"/>
      <c r="CL10" s="1015"/>
      <c r="CM10" s="1015"/>
      <c r="CN10" s="1015"/>
      <c r="CO10" s="1015"/>
      <c r="CP10" s="1015"/>
      <c r="CQ10" s="1015"/>
      <c r="CR10" s="1015"/>
      <c r="CS10" s="1015"/>
      <c r="CT10" s="1015"/>
      <c r="CU10" s="1015"/>
      <c r="CV10" s="1015"/>
      <c r="CW10" s="1015"/>
      <c r="CX10" s="1015"/>
      <c r="CY10" s="1015"/>
      <c r="CZ10" s="1015"/>
      <c r="DA10" s="1015"/>
      <c r="DB10" s="1015"/>
      <c r="DC10" s="1015"/>
      <c r="DD10" s="1015"/>
      <c r="DE10" s="1015"/>
      <c r="DF10" s="1015"/>
      <c r="DG10" s="1015"/>
      <c r="DH10" s="1015"/>
      <c r="DI10" s="1015"/>
      <c r="DJ10" s="1015"/>
      <c r="DK10" s="1015"/>
      <c r="DL10" s="1015"/>
      <c r="DM10" s="1015"/>
      <c r="DN10" s="1015"/>
      <c r="DO10" s="1015"/>
      <c r="DP10" s="1015"/>
      <c r="DQ10" s="1015"/>
      <c r="DR10" s="1015"/>
      <c r="DS10" s="1015"/>
      <c r="DT10" s="1015"/>
      <c r="DU10" s="1015"/>
      <c r="DV10" s="1015"/>
      <c r="DW10" s="1015"/>
      <c r="DX10" s="1015"/>
      <c r="DY10" s="1015"/>
      <c r="DZ10" s="1015"/>
      <c r="EA10" s="1015"/>
      <c r="EB10" s="1015"/>
      <c r="EC10" s="1015"/>
      <c r="ED10" s="1015"/>
      <c r="EE10" s="1015"/>
      <c r="EF10" s="1015"/>
      <c r="EG10" s="1015"/>
      <c r="EH10" s="1015"/>
      <c r="EI10" s="1015"/>
      <c r="EJ10" s="1015"/>
      <c r="EK10" s="1015"/>
      <c r="EL10" s="1015"/>
      <c r="EM10" s="1015"/>
      <c r="EN10" s="1015"/>
      <c r="EO10" s="1015"/>
      <c r="EP10" s="1015"/>
      <c r="EQ10" s="1015"/>
      <c r="ER10" s="1015"/>
      <c r="ES10" s="1015"/>
      <c r="ET10" s="1015"/>
      <c r="EU10" s="1015"/>
      <c r="EV10" s="1015"/>
      <c r="EW10" s="1015"/>
      <c r="EX10" s="1015"/>
      <c r="EY10" s="1015"/>
      <c r="EZ10" s="1015"/>
      <c r="FA10" s="1015"/>
      <c r="FB10" s="1015"/>
      <c r="FC10" s="1015"/>
      <c r="FD10" s="1015"/>
      <c r="FE10" s="1015"/>
      <c r="FF10" s="1015"/>
      <c r="FG10" s="1015"/>
      <c r="FH10" s="1015"/>
      <c r="FI10" s="1015"/>
      <c r="FJ10" s="1015"/>
      <c r="FK10" s="1015"/>
      <c r="FL10" s="1015"/>
      <c r="FM10" s="1015"/>
      <c r="FN10" s="1015"/>
      <c r="FO10" s="1015"/>
      <c r="FP10" s="1015"/>
      <c r="FQ10" s="1015"/>
      <c r="FR10" s="1015"/>
      <c r="FS10" s="1015"/>
      <c r="FT10" s="1015"/>
      <c r="FU10" s="1015"/>
      <c r="FV10" s="1015"/>
      <c r="FW10" s="1015"/>
      <c r="FX10" s="1015"/>
      <c r="FY10" s="1015"/>
      <c r="FZ10" s="1015"/>
      <c r="GA10" s="1015"/>
      <c r="GB10" s="1015"/>
      <c r="GC10" s="1015"/>
      <c r="GD10" s="1015"/>
      <c r="GE10" s="1015"/>
      <c r="GF10" s="1015"/>
      <c r="GG10" s="1015"/>
      <c r="GH10" s="1015"/>
      <c r="GI10" s="1015"/>
      <c r="GJ10" s="1015"/>
    </row>
    <row r="11" spans="1:192" ht="26.25" customHeight="1">
      <c r="A11" s="1016" t="s">
        <v>219</v>
      </c>
      <c r="B11" s="1021"/>
      <c r="C11" s="1015"/>
      <c r="D11" s="1013" t="s">
        <v>222</v>
      </c>
      <c r="E11" s="1068">
        <v>0.9950357029580662</v>
      </c>
      <c r="F11" s="1068">
        <v>0.99815787330435768</v>
      </c>
      <c r="G11" s="1068">
        <v>0.99657349194608813</v>
      </c>
      <c r="H11" s="1068">
        <v>0.99642543454142007</v>
      </c>
      <c r="I11" s="1068">
        <v>0.99614216079059814</v>
      </c>
      <c r="J11" s="1068">
        <v>0.99192647630147623</v>
      </c>
      <c r="K11" s="1068">
        <v>0.9935507923789173</v>
      </c>
      <c r="L11" s="1068">
        <v>0.99825679420405988</v>
      </c>
      <c r="M11" s="1068">
        <v>0.99422743055555551</v>
      </c>
      <c r="N11" s="1068">
        <v>0.99670472756410244</v>
      </c>
      <c r="O11" s="1068">
        <v>0.99621944130216189</v>
      </c>
      <c r="P11" s="1068">
        <v>0.99681223290598264</v>
      </c>
      <c r="Q11" s="1068">
        <v>0.9953903256704979</v>
      </c>
      <c r="R11" s="1068">
        <v>0.99729391587944216</v>
      </c>
      <c r="S11" s="1068">
        <v>0.9963199550653592</v>
      </c>
      <c r="T11" s="1068">
        <v>0.99375667735042739</v>
      </c>
      <c r="U11" s="1068">
        <v>0</v>
      </c>
      <c r="V11" s="1068">
        <v>0.99030740852029919</v>
      </c>
      <c r="W11" s="1068">
        <f t="shared" si="1"/>
        <v>0.99652926163342825</v>
      </c>
      <c r="AH11" s="1015"/>
      <c r="AI11" s="1015"/>
      <c r="AJ11" s="1015"/>
      <c r="AK11" s="1015"/>
      <c r="AL11" s="1015"/>
      <c r="AM11" s="1015"/>
      <c r="AN11" s="1015"/>
      <c r="AO11" s="1015"/>
      <c r="AP11" s="1015"/>
      <c r="AQ11" s="1015"/>
      <c r="AR11" s="1015"/>
      <c r="AS11" s="1015"/>
      <c r="AT11" s="1015"/>
      <c r="AU11" s="1015"/>
      <c r="AV11" s="1015"/>
      <c r="AW11" s="1015"/>
      <c r="AX11" s="1015"/>
      <c r="AY11" s="1015"/>
      <c r="AZ11" s="1015"/>
      <c r="BA11" s="1015"/>
      <c r="BB11" s="1015"/>
      <c r="BC11" s="1015"/>
      <c r="BD11" s="1015"/>
      <c r="BE11" s="1015"/>
      <c r="BF11" s="1015"/>
      <c r="BG11" s="1015"/>
      <c r="BH11" s="1015"/>
      <c r="BI11" s="1015"/>
      <c r="BJ11" s="1015"/>
      <c r="BK11" s="1015"/>
      <c r="BL11" s="1015"/>
      <c r="BM11" s="1015"/>
      <c r="BN11" s="1015"/>
      <c r="BO11" s="1015"/>
      <c r="BP11" s="1015"/>
      <c r="BQ11" s="1015"/>
      <c r="BR11" s="1015"/>
      <c r="BS11" s="1015"/>
      <c r="BT11" s="1015"/>
      <c r="BU11" s="1015"/>
      <c r="BV11" s="1015"/>
      <c r="BW11" s="1015"/>
      <c r="BX11" s="1015"/>
      <c r="BY11" s="1015"/>
      <c r="BZ11" s="1015"/>
      <c r="CA11" s="1015"/>
      <c r="CB11" s="1015"/>
      <c r="CC11" s="1015"/>
      <c r="CD11" s="1015"/>
      <c r="CE11" s="1015"/>
      <c r="CF11" s="1015"/>
      <c r="CG11" s="1015"/>
      <c r="CH11" s="1015"/>
      <c r="CI11" s="1015"/>
      <c r="CJ11" s="1015"/>
      <c r="CK11" s="1015"/>
      <c r="CL11" s="1015"/>
      <c r="CM11" s="1015"/>
      <c r="CN11" s="1015"/>
      <c r="CO11" s="1015"/>
      <c r="CP11" s="1015"/>
      <c r="CQ11" s="1015"/>
      <c r="CR11" s="1015"/>
      <c r="CS11" s="1015"/>
      <c r="CT11" s="1015"/>
      <c r="CU11" s="1015"/>
      <c r="CV11" s="1015"/>
      <c r="CW11" s="1015"/>
      <c r="CX11" s="1015"/>
      <c r="CY11" s="1015"/>
      <c r="CZ11" s="1015"/>
      <c r="DA11" s="1015"/>
      <c r="DB11" s="1015"/>
      <c r="DC11" s="1015"/>
      <c r="DD11" s="1015"/>
      <c r="DE11" s="1015"/>
      <c r="DF11" s="1015"/>
      <c r="DG11" s="1015"/>
      <c r="DH11" s="1015"/>
      <c r="DI11" s="1015"/>
      <c r="DJ11" s="1015"/>
      <c r="DK11" s="1015"/>
      <c r="DL11" s="1015"/>
      <c r="DM11" s="1015"/>
      <c r="DN11" s="1015"/>
      <c r="DO11" s="1015"/>
      <c r="DP11" s="1015"/>
      <c r="DQ11" s="1015"/>
      <c r="DR11" s="1015"/>
      <c r="DS11" s="1015"/>
      <c r="DT11" s="1015"/>
      <c r="DU11" s="1015"/>
      <c r="DV11" s="1015"/>
      <c r="DW11" s="1015"/>
      <c r="DX11" s="1015"/>
      <c r="DY11" s="1015"/>
      <c r="DZ11" s="1015"/>
      <c r="EA11" s="1015"/>
      <c r="EB11" s="1015"/>
      <c r="EC11" s="1015"/>
      <c r="ED11" s="1015"/>
      <c r="EE11" s="1015"/>
      <c r="EF11" s="1015"/>
      <c r="EG11" s="1015"/>
      <c r="EH11" s="1015"/>
      <c r="EI11" s="1015"/>
      <c r="EJ11" s="1015"/>
      <c r="EK11" s="1015"/>
      <c r="EL11" s="1015"/>
      <c r="EM11" s="1015"/>
      <c r="EN11" s="1015"/>
      <c r="EO11" s="1015"/>
      <c r="EP11" s="1015"/>
      <c r="EQ11" s="1015"/>
      <c r="ER11" s="1015"/>
      <c r="ES11" s="1015"/>
      <c r="ET11" s="1015"/>
      <c r="EU11" s="1015"/>
      <c r="EV11" s="1015"/>
      <c r="EW11" s="1015"/>
      <c r="EX11" s="1015"/>
      <c r="EY11" s="1015"/>
      <c r="EZ11" s="1015"/>
      <c r="FA11" s="1015"/>
      <c r="FB11" s="1015"/>
      <c r="FC11" s="1015"/>
      <c r="FD11" s="1015"/>
      <c r="FE11" s="1015"/>
      <c r="FF11" s="1015"/>
      <c r="FG11" s="1015"/>
      <c r="FH11" s="1015"/>
      <c r="FI11" s="1015"/>
      <c r="FJ11" s="1015"/>
      <c r="FK11" s="1015"/>
      <c r="FL11" s="1015"/>
      <c r="FM11" s="1015"/>
      <c r="FN11" s="1015"/>
      <c r="FO11" s="1015"/>
      <c r="FP11" s="1015"/>
      <c r="FQ11" s="1015"/>
      <c r="FR11" s="1015"/>
      <c r="FS11" s="1015"/>
      <c r="FT11" s="1015"/>
      <c r="FU11" s="1015"/>
      <c r="FV11" s="1015"/>
      <c r="FW11" s="1015"/>
      <c r="FX11" s="1015"/>
      <c r="FY11" s="1015"/>
      <c r="FZ11" s="1015"/>
      <c r="GA11" s="1015"/>
      <c r="GB11" s="1015"/>
      <c r="GC11" s="1015"/>
      <c r="GD11" s="1015"/>
      <c r="GE11" s="1015"/>
      <c r="GF11" s="1015"/>
      <c r="GG11" s="1015"/>
      <c r="GH11" s="1015"/>
      <c r="GI11" s="1015"/>
      <c r="GJ11" s="1015"/>
    </row>
    <row r="12" spans="1:192" ht="26.25" customHeight="1">
      <c r="A12" s="1016" t="s">
        <v>220</v>
      </c>
      <c r="B12" s="1021">
        <v>0.9828898965617715</v>
      </c>
      <c r="C12" s="1015"/>
      <c r="D12" s="1013" t="s">
        <v>223</v>
      </c>
      <c r="E12" s="1068">
        <v>0.99742031695156697</v>
      </c>
      <c r="F12" s="1068">
        <v>0.99665347658104819</v>
      </c>
      <c r="G12" s="1068">
        <v>0.99628561253561254</v>
      </c>
      <c r="H12" s="1068">
        <v>0.99737560488939181</v>
      </c>
      <c r="I12" s="1068">
        <v>0.99393439760026281</v>
      </c>
      <c r="J12" s="1068">
        <v>0.99489433092948698</v>
      </c>
      <c r="K12" s="1068">
        <v>0.99669593571937332</v>
      </c>
      <c r="L12" s="1068">
        <v>0.99380859715681191</v>
      </c>
      <c r="M12" s="1068">
        <v>0.99828815390338865</v>
      </c>
      <c r="N12" s="1068">
        <v>0.99702229917073681</v>
      </c>
      <c r="O12" s="1068">
        <v>0.99686120014244994</v>
      </c>
      <c r="P12" s="1068">
        <v>0.99088708600427367</v>
      </c>
      <c r="Q12" s="1068">
        <v>0.99237936253561254</v>
      </c>
      <c r="R12" s="1068">
        <v>0.98923400247413407</v>
      </c>
      <c r="S12" s="1068">
        <v>0.99373952710301416</v>
      </c>
      <c r="T12" s="1068">
        <v>1</v>
      </c>
      <c r="U12" s="1068">
        <v>0</v>
      </c>
      <c r="V12" s="1068">
        <v>0.99949919871794868</v>
      </c>
      <c r="W12" s="1068">
        <f t="shared" si="1"/>
        <v>0.99847884820841548</v>
      </c>
      <c r="Y12" s="1065" t="s">
        <v>38</v>
      </c>
      <c r="Z12" s="1065" t="str">
        <f t="shared" ref="Z12:AE12" si="11">Z$1</f>
        <v>115-02月</v>
      </c>
      <c r="AA12" s="1065" t="str">
        <f t="shared" si="11"/>
        <v>115-03月</v>
      </c>
      <c r="AB12" s="1065" t="str">
        <f t="shared" si="11"/>
        <v>115-04月</v>
      </c>
      <c r="AC12" s="1065" t="str">
        <f t="shared" si="11"/>
        <v>115-05月</v>
      </c>
      <c r="AD12" s="1065" t="str">
        <f t="shared" si="11"/>
        <v>115-06月</v>
      </c>
      <c r="AE12" s="1065" t="str">
        <f t="shared" si="11"/>
        <v>115-07月</v>
      </c>
      <c r="AF12" s="1067" t="s">
        <v>796</v>
      </c>
      <c r="AG12" s="1074" t="s">
        <v>797</v>
      </c>
      <c r="AH12" s="1015"/>
      <c r="AI12" s="1015"/>
      <c r="AJ12" s="1015"/>
      <c r="AK12" s="1015"/>
      <c r="AL12" s="1015"/>
      <c r="AM12" s="1015"/>
      <c r="AN12" s="1015"/>
      <c r="AO12" s="1015"/>
      <c r="AP12" s="1015"/>
      <c r="AQ12" s="1015"/>
      <c r="AR12" s="1015"/>
      <c r="AS12" s="1015"/>
      <c r="AT12" s="1015"/>
      <c r="AU12" s="1015"/>
      <c r="AV12" s="1015"/>
      <c r="AW12" s="1015"/>
      <c r="AX12" s="1015"/>
      <c r="AY12" s="1015"/>
      <c r="AZ12" s="1015"/>
      <c r="BA12" s="1015"/>
      <c r="BB12" s="1015"/>
      <c r="BC12" s="1015"/>
      <c r="BD12" s="1015"/>
      <c r="BE12" s="1015"/>
      <c r="BF12" s="1015"/>
      <c r="BG12" s="1015"/>
      <c r="BH12" s="1015"/>
      <c r="BI12" s="1015"/>
      <c r="BJ12" s="1015"/>
      <c r="BK12" s="1015"/>
      <c r="BL12" s="1015"/>
      <c r="BM12" s="1015"/>
      <c r="BN12" s="1015"/>
      <c r="BO12" s="1015"/>
      <c r="BP12" s="1015"/>
      <c r="BQ12" s="1015"/>
      <c r="BR12" s="1015"/>
      <c r="BS12" s="1015"/>
      <c r="BT12" s="1015"/>
      <c r="BU12" s="1015"/>
      <c r="BV12" s="1015"/>
      <c r="BW12" s="1015"/>
      <c r="BX12" s="1015"/>
      <c r="BY12" s="1015"/>
      <c r="BZ12" s="1015"/>
      <c r="CA12" s="1015"/>
      <c r="CB12" s="1015"/>
      <c r="CC12" s="1015"/>
      <c r="CD12" s="1015"/>
      <c r="CE12" s="1015"/>
      <c r="CF12" s="1015"/>
      <c r="CG12" s="1015"/>
      <c r="CH12" s="1015"/>
      <c r="CI12" s="1015"/>
      <c r="CJ12" s="1015"/>
      <c r="CK12" s="1015"/>
      <c r="CL12" s="1015"/>
      <c r="CM12" s="1015"/>
      <c r="CN12" s="1015"/>
      <c r="CO12" s="1015"/>
      <c r="CP12" s="1015"/>
      <c r="CQ12" s="1015"/>
      <c r="CR12" s="1015"/>
      <c r="CS12" s="1015"/>
      <c r="CT12" s="1015"/>
      <c r="CU12" s="1015"/>
      <c r="CV12" s="1015"/>
      <c r="CW12" s="1015"/>
      <c r="CX12" s="1015"/>
      <c r="CY12" s="1015"/>
      <c r="CZ12" s="1015"/>
      <c r="DA12" s="1015"/>
      <c r="DB12" s="1015"/>
      <c r="DC12" s="1015"/>
      <c r="DD12" s="1015"/>
      <c r="DE12" s="1015"/>
      <c r="DF12" s="1015"/>
      <c r="DG12" s="1015"/>
      <c r="DH12" s="1015"/>
      <c r="DI12" s="1015"/>
      <c r="DJ12" s="1015"/>
      <c r="DK12" s="1015"/>
      <c r="DL12" s="1015"/>
      <c r="DM12" s="1015"/>
      <c r="DN12" s="1015"/>
      <c r="DO12" s="1015"/>
      <c r="DP12" s="1015"/>
      <c r="DQ12" s="1015"/>
      <c r="DR12" s="1015"/>
      <c r="DS12" s="1015"/>
      <c r="DT12" s="1015"/>
      <c r="DU12" s="1015"/>
      <c r="DV12" s="1015"/>
      <c r="DW12" s="1015"/>
      <c r="DX12" s="1015"/>
      <c r="DY12" s="1015"/>
      <c r="DZ12" s="1015"/>
      <c r="EA12" s="1015"/>
      <c r="EB12" s="1015"/>
      <c r="EC12" s="1015"/>
      <c r="ED12" s="1015"/>
      <c r="EE12" s="1015"/>
      <c r="EF12" s="1015"/>
      <c r="EG12" s="1015"/>
      <c r="EH12" s="1015"/>
      <c r="EI12" s="1015"/>
      <c r="EJ12" s="1015"/>
      <c r="EK12" s="1015"/>
      <c r="EL12" s="1015"/>
      <c r="EM12" s="1015"/>
      <c r="EN12" s="1015"/>
      <c r="EO12" s="1015"/>
      <c r="EP12" s="1015"/>
      <c r="EQ12" s="1015"/>
      <c r="ER12" s="1015"/>
      <c r="ES12" s="1015"/>
      <c r="ET12" s="1015"/>
      <c r="EU12" s="1015"/>
      <c r="EV12" s="1015"/>
      <c r="EW12" s="1015"/>
      <c r="EX12" s="1015"/>
      <c r="EY12" s="1015"/>
      <c r="EZ12" s="1015"/>
      <c r="FA12" s="1015"/>
      <c r="FB12" s="1015"/>
      <c r="FC12" s="1015"/>
      <c r="FD12" s="1015"/>
      <c r="FE12" s="1015"/>
      <c r="FF12" s="1015"/>
      <c r="FG12" s="1015"/>
      <c r="FH12" s="1015"/>
      <c r="FI12" s="1015"/>
      <c r="FJ12" s="1015"/>
      <c r="FK12" s="1015"/>
      <c r="FL12" s="1015"/>
      <c r="FM12" s="1015"/>
      <c r="FN12" s="1015"/>
      <c r="FO12" s="1015"/>
      <c r="FP12" s="1015"/>
      <c r="FQ12" s="1015"/>
      <c r="FR12" s="1015"/>
      <c r="FS12" s="1015"/>
      <c r="FT12" s="1015"/>
      <c r="FU12" s="1015"/>
      <c r="FV12" s="1015"/>
      <c r="FW12" s="1015"/>
      <c r="FX12" s="1015"/>
      <c r="FY12" s="1015"/>
      <c r="FZ12" s="1015"/>
      <c r="GA12" s="1015"/>
      <c r="GB12" s="1015"/>
      <c r="GC12" s="1015"/>
      <c r="GD12" s="1015"/>
      <c r="GE12" s="1015"/>
      <c r="GF12" s="1015"/>
      <c r="GG12" s="1015"/>
      <c r="GH12" s="1015"/>
      <c r="GI12" s="1015"/>
      <c r="GJ12" s="1015"/>
    </row>
    <row r="13" spans="1:192" ht="26.25" customHeight="1">
      <c r="A13" s="1016" t="s">
        <v>221</v>
      </c>
      <c r="B13" s="1021"/>
      <c r="C13" s="1015"/>
      <c r="D13" s="1013" t="s">
        <v>224</v>
      </c>
      <c r="E13" s="1068">
        <v>0.99730425824175839</v>
      </c>
      <c r="F13" s="1068">
        <v>0.99780970982142869</v>
      </c>
      <c r="G13" s="1068">
        <v>0.9952702529174885</v>
      </c>
      <c r="H13" s="1068">
        <v>0.99595147107166326</v>
      </c>
      <c r="I13" s="1068">
        <v>0.99883203930887121</v>
      </c>
      <c r="J13" s="1068">
        <v>0.99799932143682157</v>
      </c>
      <c r="K13" s="1068">
        <v>0.99650032644824282</v>
      </c>
      <c r="L13" s="1068">
        <v>0.99449150899503735</v>
      </c>
      <c r="M13" s="1068">
        <v>0.9981865237253168</v>
      </c>
      <c r="N13" s="1068">
        <v>0.99716822778514558</v>
      </c>
      <c r="O13" s="1068">
        <v>0.99688942307692319</v>
      </c>
      <c r="P13" s="1068">
        <v>0.99639995421245431</v>
      </c>
      <c r="Q13" s="1068">
        <v>0.99654984206614639</v>
      </c>
      <c r="R13" s="1068">
        <v>0.99689874169040849</v>
      </c>
      <c r="S13" s="1068">
        <v>0.99772539288668327</v>
      </c>
      <c r="T13" s="1068">
        <v>0.99795219971001237</v>
      </c>
      <c r="U13" s="1068">
        <v>0.99635785678137656</v>
      </c>
      <c r="V13" s="1068">
        <v>0.9987893963675214</v>
      </c>
      <c r="W13" s="1068">
        <f t="shared" si="1"/>
        <v>0</v>
      </c>
      <c r="Y13" s="1069" t="s">
        <v>222</v>
      </c>
      <c r="Z13" s="1068">
        <f t="shared" ref="Z13:AE13" si="12">HLOOKUP(Z$1,$E:$W,11,0)</f>
        <v>0.99729391587944216</v>
      </c>
      <c r="AA13" s="1068">
        <f t="shared" si="12"/>
        <v>0.9963199550653592</v>
      </c>
      <c r="AB13" s="1068">
        <f t="shared" si="12"/>
        <v>0.99375667735042739</v>
      </c>
      <c r="AC13" s="1068">
        <f t="shared" si="12"/>
        <v>0</v>
      </c>
      <c r="AD13" s="1068">
        <f t="shared" si="12"/>
        <v>0.99030740852029919</v>
      </c>
      <c r="AE13" s="1068">
        <f t="shared" si="12"/>
        <v>0.99652926163342825</v>
      </c>
      <c r="AF13" s="1070">
        <v>0.99299999999999999</v>
      </c>
      <c r="AG13" s="1073">
        <f t="shared" ref="AG13:AG22" si="13">IFERROR(AVERAGEIF(Z13:AE13,"&lt;&gt;0"),"")</f>
        <v>0.99484144368979133</v>
      </c>
      <c r="AH13" s="1015"/>
      <c r="AI13" s="1015"/>
      <c r="AJ13" s="1015"/>
      <c r="AK13" s="1015"/>
      <c r="AL13" s="1015"/>
      <c r="AM13" s="1015"/>
      <c r="AN13" s="1015"/>
      <c r="AO13" s="1015"/>
      <c r="AP13" s="1015"/>
      <c r="AQ13" s="1015"/>
      <c r="AR13" s="1015"/>
      <c r="AS13" s="1015"/>
      <c r="AT13" s="1015"/>
      <c r="AU13" s="1015"/>
      <c r="AV13" s="1015"/>
      <c r="AW13" s="1015"/>
      <c r="AX13" s="1015"/>
      <c r="AY13" s="1015"/>
      <c r="AZ13" s="1015"/>
      <c r="BA13" s="1015"/>
      <c r="BB13" s="1015"/>
      <c r="BC13" s="1015"/>
      <c r="BD13" s="1015"/>
      <c r="BE13" s="1015"/>
      <c r="BF13" s="1015"/>
      <c r="BG13" s="1015"/>
      <c r="BH13" s="1015"/>
      <c r="BI13" s="1015"/>
      <c r="BJ13" s="1015"/>
      <c r="BK13" s="1015"/>
      <c r="BL13" s="1015"/>
      <c r="BM13" s="1015"/>
      <c r="BN13" s="1015"/>
      <c r="BO13" s="1015"/>
      <c r="BP13" s="1015"/>
      <c r="BQ13" s="1015"/>
      <c r="BR13" s="1015"/>
      <c r="BS13" s="1015"/>
      <c r="BT13" s="1015"/>
      <c r="BU13" s="1015"/>
      <c r="BV13" s="1015"/>
      <c r="BW13" s="1015"/>
      <c r="BX13" s="1015"/>
      <c r="BY13" s="1015"/>
      <c r="BZ13" s="1015"/>
      <c r="CA13" s="1015"/>
      <c r="CB13" s="1015"/>
      <c r="CC13" s="1015"/>
      <c r="CD13" s="1015"/>
      <c r="CE13" s="1015"/>
      <c r="CF13" s="1015"/>
      <c r="CG13" s="1015"/>
      <c r="CH13" s="1015"/>
      <c r="CI13" s="1015"/>
      <c r="CJ13" s="1015"/>
      <c r="CK13" s="1015"/>
      <c r="CL13" s="1015"/>
      <c r="CM13" s="1015"/>
      <c r="CN13" s="1015"/>
      <c r="CO13" s="1015"/>
      <c r="CP13" s="1015"/>
      <c r="CQ13" s="1015"/>
      <c r="CR13" s="1015"/>
      <c r="CS13" s="1015"/>
      <c r="CT13" s="1015"/>
      <c r="CU13" s="1015"/>
      <c r="CV13" s="1015"/>
      <c r="CW13" s="1015"/>
      <c r="CX13" s="1015"/>
      <c r="CY13" s="1015"/>
      <c r="CZ13" s="1015"/>
      <c r="DA13" s="1015"/>
      <c r="DB13" s="1015"/>
      <c r="DC13" s="1015"/>
      <c r="DD13" s="1015"/>
      <c r="DE13" s="1015"/>
      <c r="DF13" s="1015"/>
      <c r="DG13" s="1015"/>
      <c r="DH13" s="1015"/>
      <c r="DI13" s="1015"/>
      <c r="DJ13" s="1015"/>
      <c r="DK13" s="1015"/>
      <c r="DL13" s="1015"/>
      <c r="DM13" s="1015"/>
      <c r="DN13" s="1015"/>
      <c r="DO13" s="1015"/>
      <c r="DP13" s="1015"/>
      <c r="DQ13" s="1015"/>
      <c r="DR13" s="1015"/>
      <c r="DS13" s="1015"/>
      <c r="DT13" s="1015"/>
      <c r="DU13" s="1015"/>
      <c r="DV13" s="1015"/>
      <c r="DW13" s="1015"/>
      <c r="DX13" s="1015"/>
      <c r="DY13" s="1015"/>
      <c r="DZ13" s="1015"/>
      <c r="EA13" s="1015"/>
      <c r="EB13" s="1015"/>
      <c r="EC13" s="1015"/>
      <c r="ED13" s="1015"/>
      <c r="EE13" s="1015"/>
      <c r="EF13" s="1015"/>
      <c r="EG13" s="1015"/>
      <c r="EH13" s="1015"/>
      <c r="EI13" s="1015"/>
      <c r="EJ13" s="1015"/>
      <c r="EK13" s="1015"/>
      <c r="EL13" s="1015"/>
      <c r="EM13" s="1015"/>
      <c r="EN13" s="1015"/>
      <c r="EO13" s="1015"/>
      <c r="EP13" s="1015"/>
      <c r="EQ13" s="1015"/>
      <c r="ER13" s="1015"/>
      <c r="ES13" s="1015"/>
      <c r="ET13" s="1015"/>
      <c r="EU13" s="1015"/>
      <c r="EV13" s="1015"/>
      <c r="EW13" s="1015"/>
      <c r="EX13" s="1015"/>
      <c r="EY13" s="1015"/>
      <c r="EZ13" s="1015"/>
      <c r="FA13" s="1015"/>
      <c r="FB13" s="1015"/>
      <c r="FC13" s="1015"/>
      <c r="FD13" s="1015"/>
      <c r="FE13" s="1015"/>
      <c r="FF13" s="1015"/>
      <c r="FG13" s="1015"/>
      <c r="FH13" s="1015"/>
      <c r="FI13" s="1015"/>
      <c r="FJ13" s="1015"/>
      <c r="FK13" s="1015"/>
      <c r="FL13" s="1015"/>
      <c r="FM13" s="1015"/>
      <c r="FN13" s="1015"/>
      <c r="FO13" s="1015"/>
      <c r="FP13" s="1015"/>
      <c r="FQ13" s="1015"/>
      <c r="FR13" s="1015"/>
      <c r="FS13" s="1015"/>
      <c r="FT13" s="1015"/>
      <c r="FU13" s="1015"/>
      <c r="FV13" s="1015"/>
      <c r="FW13" s="1015"/>
      <c r="FX13" s="1015"/>
      <c r="FY13" s="1015"/>
      <c r="FZ13" s="1015"/>
      <c r="GA13" s="1015"/>
      <c r="GB13" s="1015"/>
      <c r="GC13" s="1015"/>
      <c r="GD13" s="1015"/>
      <c r="GE13" s="1015"/>
      <c r="GF13" s="1015"/>
      <c r="GG13" s="1015"/>
      <c r="GH13" s="1015"/>
      <c r="GI13" s="1015"/>
      <c r="GJ13" s="1015"/>
    </row>
    <row r="14" spans="1:192" ht="26.25" customHeight="1">
      <c r="A14" s="1016" t="s">
        <v>222</v>
      </c>
      <c r="B14" s="1021">
        <v>0.99652926163342825</v>
      </c>
      <c r="C14" s="1015"/>
      <c r="D14" s="1013" t="s">
        <v>225</v>
      </c>
      <c r="E14" s="1068">
        <v>0.99681309539707974</v>
      </c>
      <c r="F14" s="1068">
        <v>0.99825104783037477</v>
      </c>
      <c r="G14" s="1068">
        <v>0.99480311355311368</v>
      </c>
      <c r="H14" s="1068">
        <v>0.9960499678273117</v>
      </c>
      <c r="I14" s="1068">
        <v>0.99362439362439348</v>
      </c>
      <c r="J14" s="1068">
        <v>0.99678151709401719</v>
      </c>
      <c r="K14" s="1068">
        <v>0.99725087918447297</v>
      </c>
      <c r="L14" s="1068">
        <v>0.99671204696745552</v>
      </c>
      <c r="M14" s="1068">
        <v>0.99771330206762199</v>
      </c>
      <c r="N14" s="1068">
        <v>0.9984652527377138</v>
      </c>
      <c r="O14" s="1068">
        <v>0.99709839665032707</v>
      </c>
      <c r="P14" s="1068">
        <v>0.99362384577228313</v>
      </c>
      <c r="Q14" s="1068">
        <v>0.99582372612506531</v>
      </c>
      <c r="R14" s="1068">
        <v>0.99744350961538475</v>
      </c>
      <c r="S14" s="1068">
        <v>0.9975240845122314</v>
      </c>
      <c r="T14" s="1068">
        <v>0.99640853937728946</v>
      </c>
      <c r="U14" s="1068">
        <v>0.99292367788461511</v>
      </c>
      <c r="V14" s="1068">
        <v>0.98910110343215796</v>
      </c>
      <c r="W14" s="1068">
        <f t="shared" si="1"/>
        <v>0</v>
      </c>
      <c r="Y14" s="1069" t="s">
        <v>223</v>
      </c>
      <c r="Z14" s="1068">
        <f t="shared" ref="Z14:AE14" si="14">HLOOKUP(Z$1,$E:$W,12,0)</f>
        <v>0.98923400247413407</v>
      </c>
      <c r="AA14" s="1068">
        <f t="shared" si="14"/>
        <v>0.99373952710301416</v>
      </c>
      <c r="AB14" s="1068">
        <f t="shared" si="14"/>
        <v>1</v>
      </c>
      <c r="AC14" s="1068">
        <f t="shared" si="14"/>
        <v>0</v>
      </c>
      <c r="AD14" s="1068">
        <f t="shared" si="14"/>
        <v>0.99949919871794868</v>
      </c>
      <c r="AE14" s="1068">
        <f t="shared" si="14"/>
        <v>0.99847884820841548</v>
      </c>
      <c r="AF14" s="1070">
        <v>0.99299999999999999</v>
      </c>
      <c r="AG14" s="1073">
        <f t="shared" si="13"/>
        <v>0.99619031530070257</v>
      </c>
      <c r="AH14" s="1015"/>
      <c r="AI14" s="1015"/>
      <c r="AJ14" s="1015"/>
      <c r="AK14" s="1015"/>
      <c r="AL14" s="1015"/>
      <c r="AM14" s="1015"/>
      <c r="AN14" s="1015"/>
      <c r="AO14" s="1015"/>
      <c r="AP14" s="1015"/>
      <c r="AQ14" s="1015"/>
      <c r="AR14" s="1015"/>
      <c r="AS14" s="1015"/>
      <c r="AT14" s="1015"/>
      <c r="AU14" s="1015"/>
      <c r="AV14" s="1015"/>
      <c r="AW14" s="1015"/>
      <c r="AX14" s="1015"/>
      <c r="AY14" s="1015"/>
      <c r="AZ14" s="1015"/>
      <c r="BA14" s="1015"/>
      <c r="BB14" s="1015"/>
      <c r="BC14" s="1015"/>
      <c r="BD14" s="1015"/>
      <c r="BE14" s="1015"/>
      <c r="BF14" s="1015"/>
      <c r="BG14" s="1015"/>
      <c r="BH14" s="1015"/>
      <c r="BI14" s="1015"/>
      <c r="BJ14" s="1015"/>
      <c r="BK14" s="1015"/>
      <c r="BL14" s="1015"/>
      <c r="BM14" s="1015"/>
      <c r="BN14" s="1015"/>
      <c r="BO14" s="1015"/>
      <c r="BP14" s="1015"/>
      <c r="BQ14" s="1015"/>
      <c r="BR14" s="1015"/>
      <c r="BS14" s="1015"/>
      <c r="BT14" s="1015"/>
      <c r="BU14" s="1015"/>
      <c r="BV14" s="1015"/>
      <c r="BW14" s="1015"/>
      <c r="BX14" s="1015"/>
      <c r="BY14" s="1015"/>
      <c r="BZ14" s="1015"/>
      <c r="CA14" s="1015"/>
      <c r="CB14" s="1015"/>
      <c r="CC14" s="1015"/>
      <c r="CD14" s="1015"/>
      <c r="CE14" s="1015"/>
      <c r="CF14" s="1015"/>
      <c r="CG14" s="1015"/>
      <c r="CH14" s="1015"/>
      <c r="CI14" s="1015"/>
      <c r="CJ14" s="1015"/>
      <c r="CK14" s="1015"/>
      <c r="CL14" s="1015"/>
      <c r="CM14" s="1015"/>
      <c r="CN14" s="1015"/>
      <c r="CO14" s="1015"/>
      <c r="CP14" s="1015"/>
      <c r="CQ14" s="1015"/>
      <c r="CR14" s="1015"/>
      <c r="CS14" s="1015"/>
      <c r="CT14" s="1015"/>
      <c r="CU14" s="1015"/>
      <c r="CV14" s="1015"/>
      <c r="CW14" s="1015"/>
      <c r="CX14" s="1015"/>
      <c r="CY14" s="1015"/>
      <c r="CZ14" s="1015"/>
      <c r="DA14" s="1015"/>
      <c r="DB14" s="1015"/>
      <c r="DC14" s="1015"/>
      <c r="DD14" s="1015"/>
      <c r="DE14" s="1015"/>
      <c r="DF14" s="1015"/>
      <c r="DG14" s="1015"/>
      <c r="DH14" s="1015"/>
      <c r="DI14" s="1015"/>
      <c r="DJ14" s="1015"/>
      <c r="DK14" s="1015"/>
      <c r="DL14" s="1015"/>
      <c r="DM14" s="1015"/>
      <c r="DN14" s="1015"/>
      <c r="DO14" s="1015"/>
      <c r="DP14" s="1015"/>
      <c r="DQ14" s="1015"/>
      <c r="DR14" s="1015"/>
      <c r="DS14" s="1015"/>
      <c r="DT14" s="1015"/>
      <c r="DU14" s="1015"/>
      <c r="DV14" s="1015"/>
      <c r="DW14" s="1015"/>
      <c r="DX14" s="1015"/>
      <c r="DY14" s="1015"/>
      <c r="DZ14" s="1015"/>
      <c r="EA14" s="1015"/>
      <c r="EB14" s="1015"/>
      <c r="EC14" s="1015"/>
      <c r="ED14" s="1015"/>
      <c r="EE14" s="1015"/>
      <c r="EF14" s="1015"/>
      <c r="EG14" s="1015"/>
      <c r="EH14" s="1015"/>
      <c r="EI14" s="1015"/>
      <c r="EJ14" s="1015"/>
      <c r="EK14" s="1015"/>
      <c r="EL14" s="1015"/>
      <c r="EM14" s="1015"/>
      <c r="EN14" s="1015"/>
      <c r="EO14" s="1015"/>
      <c r="EP14" s="1015"/>
      <c r="EQ14" s="1015"/>
      <c r="ER14" s="1015"/>
      <c r="ES14" s="1015"/>
      <c r="ET14" s="1015"/>
      <c r="EU14" s="1015"/>
      <c r="EV14" s="1015"/>
      <c r="EW14" s="1015"/>
      <c r="EX14" s="1015"/>
      <c r="EY14" s="1015"/>
      <c r="EZ14" s="1015"/>
      <c r="FA14" s="1015"/>
      <c r="FB14" s="1015"/>
      <c r="FC14" s="1015"/>
      <c r="FD14" s="1015"/>
      <c r="FE14" s="1015"/>
      <c r="FF14" s="1015"/>
      <c r="FG14" s="1015"/>
      <c r="FH14" s="1015"/>
      <c r="FI14" s="1015"/>
      <c r="FJ14" s="1015"/>
      <c r="FK14" s="1015"/>
      <c r="FL14" s="1015"/>
      <c r="FM14" s="1015"/>
      <c r="FN14" s="1015"/>
      <c r="FO14" s="1015"/>
      <c r="FP14" s="1015"/>
      <c r="FQ14" s="1015"/>
      <c r="FR14" s="1015"/>
      <c r="FS14" s="1015"/>
      <c r="FT14" s="1015"/>
      <c r="FU14" s="1015"/>
      <c r="FV14" s="1015"/>
      <c r="FW14" s="1015"/>
      <c r="FX14" s="1015"/>
      <c r="FY14" s="1015"/>
      <c r="FZ14" s="1015"/>
      <c r="GA14" s="1015"/>
      <c r="GB14" s="1015"/>
      <c r="GC14" s="1015"/>
      <c r="GD14" s="1015"/>
      <c r="GE14" s="1015"/>
      <c r="GF14" s="1015"/>
      <c r="GG14" s="1015"/>
      <c r="GH14" s="1015"/>
      <c r="GI14" s="1015"/>
      <c r="GJ14" s="1015"/>
    </row>
    <row r="15" spans="1:192" ht="26.25" customHeight="1">
      <c r="A15" s="1016" t="s">
        <v>223</v>
      </c>
      <c r="B15" s="1021">
        <v>0.99847884820841548</v>
      </c>
      <c r="C15" s="1015"/>
      <c r="D15" s="1013" t="s">
        <v>226</v>
      </c>
      <c r="E15" s="1068">
        <v>0.9974429921207264</v>
      </c>
      <c r="F15" s="1068">
        <v>0.9944529914529916</v>
      </c>
      <c r="G15" s="1068">
        <v>0.9967132026627219</v>
      </c>
      <c r="H15" s="1068">
        <v>0.99755664618945861</v>
      </c>
      <c r="I15" s="1068">
        <v>0.99480784640039444</v>
      </c>
      <c r="J15" s="1068">
        <v>0.99555053517727132</v>
      </c>
      <c r="K15" s="1068">
        <v>0.99592285929091495</v>
      </c>
      <c r="L15" s="1068">
        <v>0.99378432575454034</v>
      </c>
      <c r="M15" s="1068">
        <v>0.99517578124999984</v>
      </c>
      <c r="N15" s="1068">
        <v>0.99253330581455579</v>
      </c>
      <c r="O15" s="1068">
        <v>0.99436550862332118</v>
      </c>
      <c r="P15" s="1068">
        <v>0.99858163866784533</v>
      </c>
      <c r="Q15" s="1068">
        <v>0.9925621735517568</v>
      </c>
      <c r="R15" s="1068">
        <v>0.9923284948224852</v>
      </c>
      <c r="S15" s="1068">
        <v>0.99642772435897409</v>
      </c>
      <c r="T15" s="1068">
        <v>0.99318743322649572</v>
      </c>
      <c r="U15" s="1068">
        <v>0</v>
      </c>
      <c r="V15" s="1068">
        <v>0</v>
      </c>
      <c r="W15" s="1068">
        <f t="shared" si="1"/>
        <v>0</v>
      </c>
      <c r="Y15" s="1069" t="s">
        <v>224</v>
      </c>
      <c r="Z15" s="1068">
        <f t="shared" ref="Z15:AE15" si="15">HLOOKUP(Z$1,$E:$W,13,0)</f>
        <v>0.99689874169040849</v>
      </c>
      <c r="AA15" s="1068">
        <f t="shared" si="15"/>
        <v>0.99772539288668327</v>
      </c>
      <c r="AB15" s="1068">
        <f t="shared" si="15"/>
        <v>0.99795219971001237</v>
      </c>
      <c r="AC15" s="1068">
        <f t="shared" si="15"/>
        <v>0.99635785678137656</v>
      </c>
      <c r="AD15" s="1068">
        <f t="shared" si="15"/>
        <v>0.9987893963675214</v>
      </c>
      <c r="AE15" s="1068">
        <f t="shared" si="15"/>
        <v>0</v>
      </c>
      <c r="AF15" s="1070">
        <v>0.99299999999999999</v>
      </c>
      <c r="AG15" s="1073">
        <f t="shared" si="13"/>
        <v>0.99754471748720042</v>
      </c>
      <c r="AH15" s="1015"/>
      <c r="AI15" s="1015"/>
      <c r="AJ15" s="1015"/>
      <c r="AK15" s="1015"/>
      <c r="AL15" s="1015"/>
      <c r="AM15" s="1015"/>
      <c r="AN15" s="1015"/>
      <c r="AO15" s="1015"/>
      <c r="AP15" s="1015"/>
      <c r="AQ15" s="1015"/>
      <c r="AR15" s="1015"/>
      <c r="AS15" s="1015"/>
      <c r="AT15" s="1015"/>
      <c r="AU15" s="1015"/>
      <c r="AV15" s="1015"/>
      <c r="AW15" s="1015"/>
      <c r="AX15" s="1015"/>
      <c r="AY15" s="1015"/>
      <c r="AZ15" s="1015"/>
      <c r="BA15" s="1015"/>
      <c r="BB15" s="1015"/>
      <c r="BC15" s="1015"/>
      <c r="BD15" s="1015"/>
      <c r="BE15" s="1015"/>
      <c r="BF15" s="1015"/>
      <c r="BG15" s="1015"/>
      <c r="BH15" s="1015"/>
      <c r="BI15" s="1015"/>
      <c r="BJ15" s="1015"/>
      <c r="BK15" s="1015"/>
      <c r="BL15" s="1015"/>
      <c r="BM15" s="1015"/>
      <c r="BN15" s="1015"/>
      <c r="BO15" s="1015"/>
      <c r="BP15" s="1015"/>
      <c r="BQ15" s="1015"/>
      <c r="BR15" s="1015"/>
      <c r="BS15" s="1015"/>
      <c r="BT15" s="1015"/>
      <c r="BU15" s="1015"/>
      <c r="BV15" s="1015"/>
      <c r="BW15" s="1015"/>
      <c r="BX15" s="1015"/>
      <c r="BY15" s="1015"/>
      <c r="BZ15" s="1015"/>
      <c r="CA15" s="1015"/>
      <c r="CB15" s="1015"/>
      <c r="CC15" s="1015"/>
      <c r="CD15" s="1015"/>
      <c r="CE15" s="1015"/>
      <c r="CF15" s="1015"/>
      <c r="CG15" s="1015"/>
      <c r="CH15" s="1015"/>
      <c r="CI15" s="1015"/>
      <c r="CJ15" s="1015"/>
      <c r="CK15" s="1015"/>
      <c r="CL15" s="1015"/>
      <c r="CM15" s="1015"/>
      <c r="CN15" s="1015"/>
      <c r="CO15" s="1015"/>
      <c r="CP15" s="1015"/>
      <c r="CQ15" s="1015"/>
      <c r="CR15" s="1015"/>
      <c r="CS15" s="1015"/>
      <c r="CT15" s="1015"/>
      <c r="CU15" s="1015"/>
      <c r="CV15" s="1015"/>
      <c r="CW15" s="1015"/>
      <c r="CX15" s="1015"/>
      <c r="CY15" s="1015"/>
      <c r="CZ15" s="1015"/>
      <c r="DA15" s="1015"/>
      <c r="DB15" s="1015"/>
      <c r="DC15" s="1015"/>
      <c r="DD15" s="1015"/>
      <c r="DE15" s="1015"/>
      <c r="DF15" s="1015"/>
      <c r="DG15" s="1015"/>
      <c r="DH15" s="1015"/>
      <c r="DI15" s="1015"/>
      <c r="DJ15" s="1015"/>
      <c r="DK15" s="1015"/>
      <c r="DL15" s="1015"/>
      <c r="DM15" s="1015"/>
      <c r="DN15" s="1015"/>
      <c r="DO15" s="1015"/>
      <c r="DP15" s="1015"/>
      <c r="DQ15" s="1015"/>
      <c r="DR15" s="1015"/>
      <c r="DS15" s="1015"/>
      <c r="DT15" s="1015"/>
      <c r="DU15" s="1015"/>
      <c r="DV15" s="1015"/>
      <c r="DW15" s="1015"/>
      <c r="DX15" s="1015"/>
      <c r="DY15" s="1015"/>
      <c r="DZ15" s="1015"/>
      <c r="EA15" s="1015"/>
      <c r="EB15" s="1015"/>
      <c r="EC15" s="1015"/>
      <c r="ED15" s="1015"/>
      <c r="EE15" s="1015"/>
      <c r="EF15" s="1015"/>
      <c r="EG15" s="1015"/>
      <c r="EH15" s="1015"/>
      <c r="EI15" s="1015"/>
      <c r="EJ15" s="1015"/>
      <c r="EK15" s="1015"/>
      <c r="EL15" s="1015"/>
      <c r="EM15" s="1015"/>
      <c r="EN15" s="1015"/>
      <c r="EO15" s="1015"/>
      <c r="EP15" s="1015"/>
      <c r="EQ15" s="1015"/>
      <c r="ER15" s="1015"/>
      <c r="ES15" s="1015"/>
      <c r="ET15" s="1015"/>
      <c r="EU15" s="1015"/>
      <c r="EV15" s="1015"/>
      <c r="EW15" s="1015"/>
      <c r="EX15" s="1015"/>
      <c r="EY15" s="1015"/>
      <c r="EZ15" s="1015"/>
      <c r="FA15" s="1015"/>
      <c r="FB15" s="1015"/>
      <c r="FC15" s="1015"/>
      <c r="FD15" s="1015"/>
      <c r="FE15" s="1015"/>
      <c r="FF15" s="1015"/>
      <c r="FG15" s="1015"/>
      <c r="FH15" s="1015"/>
      <c r="FI15" s="1015"/>
      <c r="FJ15" s="1015"/>
      <c r="FK15" s="1015"/>
      <c r="FL15" s="1015"/>
      <c r="FM15" s="1015"/>
      <c r="FN15" s="1015"/>
      <c r="FO15" s="1015"/>
      <c r="FP15" s="1015"/>
      <c r="FQ15" s="1015"/>
      <c r="FR15" s="1015"/>
      <c r="FS15" s="1015"/>
      <c r="FT15" s="1015"/>
      <c r="FU15" s="1015"/>
      <c r="FV15" s="1015"/>
      <c r="FW15" s="1015"/>
      <c r="FX15" s="1015"/>
      <c r="FY15" s="1015"/>
      <c r="FZ15" s="1015"/>
      <c r="GA15" s="1015"/>
      <c r="GB15" s="1015"/>
      <c r="GC15" s="1015"/>
      <c r="GD15" s="1015"/>
      <c r="GE15" s="1015"/>
      <c r="GF15" s="1015"/>
      <c r="GG15" s="1015"/>
      <c r="GH15" s="1015"/>
      <c r="GI15" s="1015"/>
      <c r="GJ15" s="1015"/>
    </row>
    <row r="16" spans="1:192" ht="26.25" customHeight="1">
      <c r="A16" s="1016" t="s">
        <v>224</v>
      </c>
      <c r="B16" s="1021"/>
      <c r="C16" s="1015"/>
      <c r="D16" s="1013" t="s">
        <v>227</v>
      </c>
      <c r="E16" s="1068">
        <v>0.99397858986534204</v>
      </c>
      <c r="F16" s="1068">
        <v>0.99743487015121635</v>
      </c>
      <c r="G16" s="1068">
        <v>0.99797898860398848</v>
      </c>
      <c r="H16" s="1068">
        <v>0.99532211538461512</v>
      </c>
      <c r="I16" s="1068">
        <v>0.99924075490481712</v>
      </c>
      <c r="J16" s="1068">
        <v>0.99517647989870217</v>
      </c>
      <c r="K16" s="1068">
        <v>0.99433760683760675</v>
      </c>
      <c r="L16" s="1068">
        <v>0.99650924237400518</v>
      </c>
      <c r="M16" s="1068">
        <v>0.99391582086894592</v>
      </c>
      <c r="N16" s="1068">
        <v>0.99652088502894964</v>
      </c>
      <c r="O16" s="1068">
        <v>0.99684380065576172</v>
      </c>
      <c r="P16" s="1068">
        <v>0.99699288091715954</v>
      </c>
      <c r="Q16" s="1068">
        <v>0.99727491522668132</v>
      </c>
      <c r="R16" s="1068">
        <v>0.99694098793363495</v>
      </c>
      <c r="S16" s="1068">
        <v>0.99722141701231759</v>
      </c>
      <c r="T16" s="1068">
        <v>0.99744746356074465</v>
      </c>
      <c r="U16" s="1068">
        <v>0.99767842834249088</v>
      </c>
      <c r="V16" s="1068">
        <v>0.99006187678062663</v>
      </c>
      <c r="W16" s="1068">
        <f t="shared" si="1"/>
        <v>0</v>
      </c>
      <c r="Y16" s="1069" t="s">
        <v>225</v>
      </c>
      <c r="Z16" s="1068">
        <f t="shared" ref="Z16:AE16" si="16">HLOOKUP(Z$1,$E:$W,14,0)</f>
        <v>0.99744350961538475</v>
      </c>
      <c r="AA16" s="1068">
        <f t="shared" si="16"/>
        <v>0.9975240845122314</v>
      </c>
      <c r="AB16" s="1068">
        <f t="shared" si="16"/>
        <v>0.99640853937728946</v>
      </c>
      <c r="AC16" s="1068">
        <f t="shared" si="16"/>
        <v>0.99292367788461511</v>
      </c>
      <c r="AD16" s="1068">
        <f t="shared" si="16"/>
        <v>0.98910110343215796</v>
      </c>
      <c r="AE16" s="1068">
        <f t="shared" si="16"/>
        <v>0</v>
      </c>
      <c r="AF16" s="1070">
        <v>0.99299999999999999</v>
      </c>
      <c r="AG16" s="1073">
        <f t="shared" si="13"/>
        <v>0.99468018296433569</v>
      </c>
      <c r="AH16" s="1015"/>
      <c r="AI16" s="1015"/>
      <c r="AJ16" s="1015"/>
      <c r="AK16" s="1015"/>
      <c r="AL16" s="1015"/>
      <c r="AM16" s="1015"/>
      <c r="AN16" s="1015"/>
      <c r="AO16" s="1015"/>
      <c r="AP16" s="1015"/>
      <c r="AQ16" s="1015"/>
      <c r="AR16" s="1015"/>
      <c r="AS16" s="1015"/>
      <c r="AT16" s="1015"/>
      <c r="AU16" s="1015"/>
      <c r="AV16" s="1015"/>
      <c r="AW16" s="1015"/>
      <c r="AX16" s="1015"/>
      <c r="AY16" s="1015"/>
      <c r="AZ16" s="1015"/>
      <c r="BA16" s="1015"/>
      <c r="BB16" s="1015"/>
      <c r="BC16" s="1015"/>
      <c r="BD16" s="1015"/>
      <c r="BE16" s="1015"/>
      <c r="BF16" s="1015"/>
      <c r="BG16" s="1015"/>
      <c r="BH16" s="1015"/>
      <c r="BI16" s="1015"/>
      <c r="BJ16" s="1015"/>
      <c r="BK16" s="1015"/>
      <c r="BL16" s="1015"/>
      <c r="BM16" s="1015"/>
      <c r="BN16" s="1015"/>
      <c r="BO16" s="1015"/>
      <c r="BP16" s="1015"/>
      <c r="BQ16" s="1015"/>
      <c r="BR16" s="1015"/>
      <c r="BS16" s="1015"/>
      <c r="BT16" s="1015"/>
      <c r="BU16" s="1015"/>
      <c r="BV16" s="1015"/>
      <c r="BW16" s="1015"/>
      <c r="BX16" s="1015"/>
      <c r="BY16" s="1015"/>
      <c r="BZ16" s="1015"/>
      <c r="CA16" s="1015"/>
      <c r="CB16" s="1015"/>
      <c r="CC16" s="1015"/>
      <c r="CD16" s="1015"/>
      <c r="CE16" s="1015"/>
      <c r="CF16" s="1015"/>
      <c r="CG16" s="1015"/>
      <c r="CH16" s="1015"/>
      <c r="CI16" s="1015"/>
      <c r="CJ16" s="1015"/>
      <c r="CK16" s="1015"/>
      <c r="CL16" s="1015"/>
      <c r="CM16" s="1015"/>
      <c r="CN16" s="1015"/>
      <c r="CO16" s="1015"/>
      <c r="CP16" s="1015"/>
      <c r="CQ16" s="1015"/>
      <c r="CR16" s="1015"/>
      <c r="CS16" s="1015"/>
      <c r="CT16" s="1015"/>
      <c r="CU16" s="1015"/>
      <c r="CV16" s="1015"/>
      <c r="CW16" s="1015"/>
      <c r="CX16" s="1015"/>
      <c r="CY16" s="1015"/>
      <c r="CZ16" s="1015"/>
      <c r="DA16" s="1015"/>
      <c r="DB16" s="1015"/>
      <c r="DC16" s="1015"/>
      <c r="DD16" s="1015"/>
      <c r="DE16" s="1015"/>
      <c r="DF16" s="1015"/>
      <c r="DG16" s="1015"/>
      <c r="DH16" s="1015"/>
      <c r="DI16" s="1015"/>
      <c r="DJ16" s="1015"/>
      <c r="DK16" s="1015"/>
      <c r="DL16" s="1015"/>
      <c r="DM16" s="1015"/>
      <c r="DN16" s="1015"/>
      <c r="DO16" s="1015"/>
      <c r="DP16" s="1015"/>
      <c r="DQ16" s="1015"/>
      <c r="DR16" s="1015"/>
      <c r="DS16" s="1015"/>
      <c r="DT16" s="1015"/>
      <c r="DU16" s="1015"/>
      <c r="DV16" s="1015"/>
      <c r="DW16" s="1015"/>
      <c r="DX16" s="1015"/>
      <c r="DY16" s="1015"/>
      <c r="DZ16" s="1015"/>
      <c r="EA16" s="1015"/>
      <c r="EB16" s="1015"/>
      <c r="EC16" s="1015"/>
      <c r="ED16" s="1015"/>
      <c r="EE16" s="1015"/>
      <c r="EF16" s="1015"/>
      <c r="EG16" s="1015"/>
      <c r="EH16" s="1015"/>
      <c r="EI16" s="1015"/>
      <c r="EJ16" s="1015"/>
      <c r="EK16" s="1015"/>
      <c r="EL16" s="1015"/>
      <c r="EM16" s="1015"/>
      <c r="EN16" s="1015"/>
      <c r="EO16" s="1015"/>
      <c r="EP16" s="1015"/>
      <c r="EQ16" s="1015"/>
      <c r="ER16" s="1015"/>
      <c r="ES16" s="1015"/>
      <c r="ET16" s="1015"/>
      <c r="EU16" s="1015"/>
      <c r="EV16" s="1015"/>
      <c r="EW16" s="1015"/>
      <c r="EX16" s="1015"/>
      <c r="EY16" s="1015"/>
      <c r="EZ16" s="1015"/>
      <c r="FA16" s="1015"/>
      <c r="FB16" s="1015"/>
      <c r="FC16" s="1015"/>
      <c r="FD16" s="1015"/>
      <c r="FE16" s="1015"/>
      <c r="FF16" s="1015"/>
      <c r="FG16" s="1015"/>
      <c r="FH16" s="1015"/>
      <c r="FI16" s="1015"/>
      <c r="FJ16" s="1015"/>
      <c r="FK16" s="1015"/>
      <c r="FL16" s="1015"/>
      <c r="FM16" s="1015"/>
      <c r="FN16" s="1015"/>
      <c r="FO16" s="1015"/>
      <c r="FP16" s="1015"/>
      <c r="FQ16" s="1015"/>
      <c r="FR16" s="1015"/>
      <c r="FS16" s="1015"/>
      <c r="FT16" s="1015"/>
      <c r="FU16" s="1015"/>
      <c r="FV16" s="1015"/>
      <c r="FW16" s="1015"/>
      <c r="FX16" s="1015"/>
      <c r="FY16" s="1015"/>
      <c r="FZ16" s="1015"/>
      <c r="GA16" s="1015"/>
      <c r="GB16" s="1015"/>
      <c r="GC16" s="1015"/>
      <c r="GD16" s="1015"/>
      <c r="GE16" s="1015"/>
      <c r="GF16" s="1015"/>
      <c r="GG16" s="1015"/>
      <c r="GH16" s="1015"/>
      <c r="GI16" s="1015"/>
      <c r="GJ16" s="1015"/>
    </row>
    <row r="17" spans="1:118" ht="26.25" customHeight="1">
      <c r="A17" s="1016" t="s">
        <v>225</v>
      </c>
      <c r="B17" s="1021"/>
      <c r="C17" s="1015"/>
      <c r="D17" s="1013" t="s">
        <v>228</v>
      </c>
      <c r="E17" s="1068">
        <v>0.99741774493510604</v>
      </c>
      <c r="F17" s="1068">
        <v>0.99794970654345649</v>
      </c>
      <c r="G17" s="1068">
        <v>0.99699830840455861</v>
      </c>
      <c r="H17" s="1068">
        <v>0.99697649572649583</v>
      </c>
      <c r="I17" s="1068">
        <v>0.99497041420118337</v>
      </c>
      <c r="J17" s="1068">
        <v>0.99689986737400538</v>
      </c>
      <c r="K17" s="1068">
        <v>0.99693509615384612</v>
      </c>
      <c r="L17" s="1068">
        <v>0.99747716346153847</v>
      </c>
      <c r="M17" s="1068">
        <v>0.9985471377860492</v>
      </c>
      <c r="N17" s="1068">
        <v>0.99891851654004415</v>
      </c>
      <c r="O17" s="1068">
        <v>0.99812056433150176</v>
      </c>
      <c r="P17" s="1068">
        <v>0.99651474617452451</v>
      </c>
      <c r="Q17" s="1068">
        <v>0.99252971420940195</v>
      </c>
      <c r="R17" s="1068">
        <v>0.98820481190958165</v>
      </c>
      <c r="S17" s="1068">
        <v>0.99021673273729238</v>
      </c>
      <c r="T17" s="1068">
        <v>0.99302773326210814</v>
      </c>
      <c r="U17" s="1068">
        <v>0</v>
      </c>
      <c r="V17" s="1068">
        <v>0.99532174556213016</v>
      </c>
      <c r="W17" s="1068">
        <f t="shared" si="1"/>
        <v>0.99722699175824159</v>
      </c>
      <c r="Y17" s="1069" t="s">
        <v>226</v>
      </c>
      <c r="Z17" s="1068">
        <f t="shared" ref="Z17:AE17" si="17">HLOOKUP(Z$1,$E:$W,15,0)</f>
        <v>0.9923284948224852</v>
      </c>
      <c r="AA17" s="1068">
        <f t="shared" si="17"/>
        <v>0.99642772435897409</v>
      </c>
      <c r="AB17" s="1068">
        <f t="shared" si="17"/>
        <v>0.99318743322649572</v>
      </c>
      <c r="AC17" s="1068">
        <f t="shared" si="17"/>
        <v>0</v>
      </c>
      <c r="AD17" s="1068">
        <f t="shared" si="17"/>
        <v>0</v>
      </c>
      <c r="AE17" s="1068">
        <f t="shared" si="17"/>
        <v>0</v>
      </c>
      <c r="AF17" s="1070">
        <v>0.99299999999999999</v>
      </c>
      <c r="AG17" s="1073">
        <f t="shared" si="13"/>
        <v>0.99398121746931833</v>
      </c>
      <c r="AH17" s="1015"/>
      <c r="AI17" s="1015"/>
      <c r="AJ17" s="1015"/>
      <c r="AK17" s="1015"/>
      <c r="AL17" s="1015"/>
      <c r="AM17" s="1015"/>
      <c r="AN17" s="1015"/>
      <c r="AO17" s="1015"/>
      <c r="AP17" s="1015"/>
      <c r="AQ17" s="1015"/>
      <c r="AR17" s="1015"/>
      <c r="AS17" s="1015"/>
      <c r="AT17" s="1015"/>
      <c r="AU17" s="1015"/>
      <c r="AV17" s="1015"/>
      <c r="AW17" s="1015"/>
      <c r="AX17" s="1015"/>
      <c r="AY17" s="1015"/>
      <c r="AZ17" s="1015"/>
      <c r="BA17" s="1015"/>
      <c r="BB17" s="1015"/>
      <c r="BC17" s="1015"/>
      <c r="BD17" s="1015"/>
      <c r="BE17" s="1015"/>
      <c r="BF17" s="1015"/>
      <c r="BG17" s="1015"/>
      <c r="BH17" s="1015"/>
      <c r="BI17" s="1015"/>
      <c r="BJ17" s="1015"/>
      <c r="BK17" s="1015"/>
      <c r="BL17" s="1015"/>
      <c r="BM17" s="1015"/>
      <c r="BN17" s="1015"/>
      <c r="BO17" s="1015"/>
      <c r="BP17" s="1015"/>
      <c r="BQ17" s="1015"/>
      <c r="BR17" s="1015"/>
      <c r="BS17" s="1015"/>
      <c r="BT17" s="1015"/>
      <c r="BU17" s="1015"/>
      <c r="BV17" s="1015"/>
      <c r="BW17" s="1015"/>
      <c r="BX17" s="1015"/>
      <c r="BY17" s="1015"/>
      <c r="BZ17" s="1015"/>
      <c r="CA17" s="1015"/>
      <c r="CB17" s="1015"/>
      <c r="CC17" s="1015"/>
      <c r="CD17" s="1015"/>
      <c r="CE17" s="1015"/>
      <c r="CF17" s="1015"/>
      <c r="CG17" s="1015"/>
      <c r="CH17" s="1015"/>
      <c r="CI17" s="1015"/>
      <c r="CJ17" s="1015"/>
      <c r="CK17" s="1015"/>
      <c r="CL17" s="1015"/>
      <c r="CM17" s="1015"/>
      <c r="CN17" s="1015"/>
      <c r="CO17" s="1015"/>
      <c r="CP17" s="1015"/>
      <c r="CQ17" s="1015"/>
      <c r="CR17" s="1015"/>
      <c r="CS17" s="1015"/>
      <c r="CT17" s="1015"/>
      <c r="CU17" s="1015"/>
      <c r="CV17" s="1015"/>
      <c r="CW17" s="1015"/>
      <c r="CX17" s="1015"/>
      <c r="CY17" s="1015"/>
      <c r="CZ17" s="1015"/>
      <c r="DA17" s="1015"/>
      <c r="DB17" s="1015"/>
      <c r="DC17" s="1015"/>
      <c r="DD17" s="1015"/>
      <c r="DE17" s="1015"/>
      <c r="DF17" s="1015"/>
      <c r="DG17" s="1015"/>
      <c r="DH17" s="1015"/>
      <c r="DI17" s="1015"/>
      <c r="DJ17" s="1015"/>
      <c r="DK17" s="1015"/>
      <c r="DL17" s="1015"/>
      <c r="DM17" s="1015"/>
      <c r="DN17" s="1015"/>
    </row>
    <row r="18" spans="1:118" ht="26.25" customHeight="1">
      <c r="A18" s="1016" t="s">
        <v>226</v>
      </c>
      <c r="B18" s="1021"/>
      <c r="C18" s="1015"/>
      <c r="D18" s="1013" t="s">
        <v>229</v>
      </c>
      <c r="E18" s="1068">
        <v>0.99722434683372185</v>
      </c>
      <c r="F18" s="1068">
        <v>0.99771412037037066</v>
      </c>
      <c r="G18" s="1068">
        <v>0.99670222355769222</v>
      </c>
      <c r="H18" s="1068">
        <v>0.99649626068376052</v>
      </c>
      <c r="I18" s="1068">
        <v>0.99733647910731249</v>
      </c>
      <c r="J18" s="1068">
        <v>0.99801612404408446</v>
      </c>
      <c r="K18" s="1068">
        <v>0.99672809829059794</v>
      </c>
      <c r="L18" s="1068">
        <v>0.99577381281314481</v>
      </c>
      <c r="M18" s="1068">
        <v>0.99908006656804738</v>
      </c>
      <c r="N18" s="1068">
        <v>0.99371947496947499</v>
      </c>
      <c r="O18" s="1068">
        <v>0.99711965811965797</v>
      </c>
      <c r="P18" s="1068">
        <v>0.99679542824074074</v>
      </c>
      <c r="Q18" s="1068">
        <v>0.99466825492216127</v>
      </c>
      <c r="R18" s="1068">
        <v>0.99801696047008548</v>
      </c>
      <c r="S18" s="1068">
        <v>0.99683946695665426</v>
      </c>
      <c r="T18" s="1068">
        <v>0.99725939280626774</v>
      </c>
      <c r="U18" s="1068">
        <v>0</v>
      </c>
      <c r="V18" s="1068">
        <v>0</v>
      </c>
      <c r="W18" s="1068">
        <f t="shared" si="1"/>
        <v>0.99655198317307692</v>
      </c>
      <c r="Y18" s="1069" t="s">
        <v>227</v>
      </c>
      <c r="Z18" s="1068">
        <f t="shared" ref="Z18:AE18" si="18">HLOOKUP(Z$1,$E:$W,16,0)</f>
        <v>0.99694098793363495</v>
      </c>
      <c r="AA18" s="1068">
        <f t="shared" si="18"/>
        <v>0.99722141701231759</v>
      </c>
      <c r="AB18" s="1068">
        <f t="shared" si="18"/>
        <v>0.99744746356074465</v>
      </c>
      <c r="AC18" s="1068">
        <f t="shared" si="18"/>
        <v>0.99767842834249088</v>
      </c>
      <c r="AD18" s="1068">
        <f t="shared" si="18"/>
        <v>0.99006187678062663</v>
      </c>
      <c r="AE18" s="1068">
        <f t="shared" si="18"/>
        <v>0</v>
      </c>
      <c r="AF18" s="1070">
        <v>0.99299999999999999</v>
      </c>
      <c r="AG18" s="1073">
        <f t="shared" si="13"/>
        <v>0.99587003472596292</v>
      </c>
      <c r="AH18" s="1015"/>
      <c r="AI18" s="1015"/>
      <c r="AJ18" s="1015"/>
      <c r="AK18" s="1015"/>
      <c r="AL18" s="1015"/>
      <c r="AM18" s="1015"/>
      <c r="AN18" s="1015"/>
      <c r="AO18" s="1015"/>
      <c r="AP18" s="1015"/>
      <c r="AQ18" s="1015"/>
      <c r="AR18" s="1015"/>
      <c r="AS18" s="1015"/>
      <c r="AT18" s="1015"/>
      <c r="AU18" s="1015"/>
      <c r="AV18" s="1015"/>
      <c r="AW18" s="1015"/>
      <c r="AX18" s="1015"/>
      <c r="AY18" s="1015"/>
      <c r="AZ18" s="1015"/>
      <c r="BA18" s="1015"/>
      <c r="BB18" s="1015"/>
      <c r="BC18" s="1015"/>
      <c r="BD18" s="1015"/>
      <c r="BE18" s="1015"/>
      <c r="BF18" s="1015"/>
      <c r="BG18" s="1015"/>
      <c r="BH18" s="1015"/>
      <c r="BI18" s="1015"/>
      <c r="BJ18" s="1015"/>
      <c r="BK18" s="1015"/>
      <c r="BL18" s="1015"/>
      <c r="BM18" s="1015"/>
      <c r="BN18" s="1015"/>
      <c r="BO18" s="1015"/>
      <c r="BP18" s="1015"/>
      <c r="BQ18" s="1015"/>
      <c r="BR18" s="1015"/>
      <c r="BS18" s="1015"/>
      <c r="BT18" s="1015"/>
      <c r="BU18" s="1015"/>
      <c r="BV18" s="1015"/>
      <c r="BW18" s="1015"/>
      <c r="BX18" s="1015"/>
      <c r="BY18" s="1015"/>
      <c r="BZ18" s="1015"/>
      <c r="CA18" s="1015"/>
      <c r="CB18" s="1015"/>
      <c r="CC18" s="1015"/>
      <c r="CD18" s="1015"/>
      <c r="CE18" s="1015"/>
      <c r="CF18" s="1015"/>
      <c r="CG18" s="1015"/>
      <c r="CH18" s="1015"/>
      <c r="CI18" s="1015"/>
      <c r="CJ18" s="1015"/>
      <c r="CK18" s="1015"/>
      <c r="CL18" s="1015"/>
      <c r="CM18" s="1015"/>
      <c r="CN18" s="1015"/>
      <c r="CO18" s="1015"/>
      <c r="CP18" s="1015"/>
      <c r="CQ18" s="1015"/>
      <c r="CR18" s="1015"/>
      <c r="CS18" s="1015"/>
      <c r="CT18" s="1015"/>
      <c r="CU18" s="1015"/>
      <c r="CV18" s="1015"/>
      <c r="CW18" s="1015"/>
      <c r="CX18" s="1015"/>
      <c r="CY18" s="1015"/>
      <c r="CZ18" s="1015"/>
      <c r="DA18" s="1015"/>
      <c r="DB18" s="1015"/>
      <c r="DC18" s="1015"/>
      <c r="DD18" s="1015"/>
      <c r="DE18" s="1015"/>
      <c r="DF18" s="1015"/>
      <c r="DG18" s="1015"/>
      <c r="DH18" s="1015"/>
      <c r="DI18" s="1015"/>
      <c r="DJ18" s="1015"/>
      <c r="DK18" s="1015"/>
      <c r="DL18" s="1015"/>
      <c r="DM18" s="1015"/>
      <c r="DN18" s="1015"/>
    </row>
    <row r="19" spans="1:118" ht="26.25" customHeight="1">
      <c r="A19" s="1016" t="s">
        <v>227</v>
      </c>
      <c r="B19" s="1021"/>
      <c r="C19" s="1015"/>
      <c r="D19" s="1013" t="s">
        <v>230</v>
      </c>
      <c r="E19" s="1068">
        <v>0.99809518245065121</v>
      </c>
      <c r="F19" s="1068">
        <v>0.99890536980380729</v>
      </c>
      <c r="G19" s="1068">
        <v>0.99738072980260484</v>
      </c>
      <c r="H19" s="1068">
        <v>0.98124705411010549</v>
      </c>
      <c r="I19" s="1068">
        <v>0.99907947954822962</v>
      </c>
      <c r="J19" s="1068">
        <v>0.99470064383715706</v>
      </c>
      <c r="K19" s="1068">
        <v>0.99692609184796699</v>
      </c>
      <c r="L19" s="1068">
        <v>0.99267625301932383</v>
      </c>
      <c r="M19" s="1068">
        <v>0.99500200320512799</v>
      </c>
      <c r="N19" s="1068">
        <v>0.99748848157051284</v>
      </c>
      <c r="O19" s="1068">
        <v>0.99981637286324787</v>
      </c>
      <c r="P19" s="1068">
        <v>0.99654029780982922</v>
      </c>
      <c r="Q19" s="1068">
        <v>0.99858840811965821</v>
      </c>
      <c r="R19" s="1068">
        <v>0.99890046296296309</v>
      </c>
      <c r="S19" s="1068">
        <v>0</v>
      </c>
      <c r="T19" s="1068">
        <v>0</v>
      </c>
      <c r="U19" s="1068">
        <v>0.99845085470085471</v>
      </c>
      <c r="V19" s="1068">
        <v>0</v>
      </c>
      <c r="W19" s="1068">
        <f t="shared" si="1"/>
        <v>0</v>
      </c>
      <c r="Y19" s="1069" t="s">
        <v>228</v>
      </c>
      <c r="Z19" s="1068">
        <f t="shared" ref="Z19:AE19" si="19">HLOOKUP(Z$1,$E:$W,17,0)</f>
        <v>0.98820481190958165</v>
      </c>
      <c r="AA19" s="1068">
        <f t="shared" si="19"/>
        <v>0.99021673273729238</v>
      </c>
      <c r="AB19" s="1068">
        <f t="shared" si="19"/>
        <v>0.99302773326210814</v>
      </c>
      <c r="AC19" s="1068">
        <f t="shared" si="19"/>
        <v>0</v>
      </c>
      <c r="AD19" s="1068">
        <f t="shared" si="19"/>
        <v>0.99532174556213016</v>
      </c>
      <c r="AE19" s="1068">
        <f t="shared" si="19"/>
        <v>0.99722699175824159</v>
      </c>
      <c r="AF19" s="1070">
        <v>0.99299999999999999</v>
      </c>
      <c r="AG19" s="1073">
        <f t="shared" si="13"/>
        <v>0.99279960304587078</v>
      </c>
      <c r="AH19" s="1015"/>
      <c r="AI19" s="1015"/>
      <c r="AJ19" s="1015"/>
      <c r="AK19" s="1015"/>
      <c r="AL19" s="1015"/>
      <c r="AM19" s="1015"/>
      <c r="AN19" s="1015"/>
      <c r="AO19" s="1015"/>
      <c r="AP19" s="1015"/>
      <c r="AQ19" s="1015"/>
      <c r="AR19" s="1015"/>
      <c r="AS19" s="1015"/>
      <c r="AT19" s="1015"/>
      <c r="AU19" s="1015"/>
      <c r="AV19" s="1015"/>
      <c r="AW19" s="1015"/>
      <c r="AX19" s="1015"/>
      <c r="AY19" s="1015"/>
      <c r="AZ19" s="1015"/>
      <c r="BA19" s="1015"/>
      <c r="BB19" s="1015"/>
      <c r="BC19" s="1015"/>
      <c r="BD19" s="1015"/>
      <c r="BE19" s="1015"/>
      <c r="BF19" s="1015"/>
      <c r="BG19" s="1015"/>
      <c r="BH19" s="1015"/>
      <c r="BI19" s="1015"/>
      <c r="BJ19" s="1015"/>
      <c r="BK19" s="1015"/>
      <c r="BL19" s="1015"/>
      <c r="BM19" s="1015"/>
      <c r="BN19" s="1015"/>
      <c r="BO19" s="1015"/>
      <c r="BP19" s="1015"/>
      <c r="BQ19" s="1015"/>
      <c r="BR19" s="1015"/>
      <c r="BS19" s="1015"/>
      <c r="BT19" s="1015"/>
      <c r="BU19" s="1015"/>
      <c r="BV19" s="1015"/>
      <c r="BW19" s="1015"/>
      <c r="BX19" s="1015"/>
      <c r="BY19" s="1015"/>
      <c r="BZ19" s="1015"/>
      <c r="CA19" s="1015"/>
      <c r="CB19" s="1015"/>
      <c r="CC19" s="1015"/>
      <c r="CD19" s="1015"/>
      <c r="CE19" s="1015"/>
      <c r="CF19" s="1015"/>
      <c r="CG19" s="1015"/>
      <c r="CH19" s="1015"/>
      <c r="CI19" s="1015"/>
      <c r="CJ19" s="1015"/>
      <c r="CK19" s="1015"/>
      <c r="CL19" s="1015"/>
      <c r="CM19" s="1015"/>
      <c r="CN19" s="1015"/>
      <c r="CO19" s="1015"/>
      <c r="CP19" s="1015"/>
      <c r="CQ19" s="1015"/>
      <c r="CR19" s="1015"/>
      <c r="CS19" s="1015"/>
      <c r="CT19" s="1015"/>
      <c r="CU19" s="1015"/>
      <c r="CV19" s="1015"/>
      <c r="CW19" s="1015"/>
      <c r="CX19" s="1015"/>
      <c r="CY19" s="1015"/>
      <c r="CZ19" s="1015"/>
      <c r="DA19" s="1015"/>
      <c r="DB19" s="1015"/>
      <c r="DC19" s="1015"/>
      <c r="DD19" s="1015"/>
      <c r="DE19" s="1015"/>
      <c r="DF19" s="1015"/>
      <c r="DG19" s="1015"/>
      <c r="DH19" s="1015"/>
      <c r="DI19" s="1015"/>
      <c r="DJ19" s="1015"/>
      <c r="DK19" s="1015"/>
      <c r="DL19" s="1015"/>
      <c r="DM19" s="1015"/>
      <c r="DN19" s="1015"/>
    </row>
    <row r="20" spans="1:118" ht="26.25" customHeight="1">
      <c r="A20" s="1016" t="s">
        <v>228</v>
      </c>
      <c r="B20" s="1021">
        <v>0.99722699175824159</v>
      </c>
      <c r="C20" s="1015"/>
      <c r="D20" s="1017" t="s">
        <v>807</v>
      </c>
      <c r="E20" s="1073">
        <f t="shared" ref="E20:N20" si="20">IFERROR(AVERAGEIF(E2:E19,"&lt;&gt;0"),"")</f>
        <v>0.9962083387621905</v>
      </c>
      <c r="F20" s="1073">
        <f t="shared" si="20"/>
        <v>0.99747428155513895</v>
      </c>
      <c r="G20" s="1073">
        <f t="shared" si="20"/>
        <v>0.99704500451825739</v>
      </c>
      <c r="H20" s="1073">
        <f t="shared" si="20"/>
        <v>0.99582953117283302</v>
      </c>
      <c r="I20" s="1073">
        <f t="shared" si="20"/>
        <v>0.99661353478679471</v>
      </c>
      <c r="J20" s="1073">
        <f t="shared" si="20"/>
        <v>0.99533788322042027</v>
      </c>
      <c r="K20" s="1073">
        <f t="shared" si="20"/>
        <v>0.99548388162846191</v>
      </c>
      <c r="L20" s="1073">
        <f t="shared" si="20"/>
        <v>0.9952611292963911</v>
      </c>
      <c r="M20" s="1073">
        <f t="shared" si="20"/>
        <v>0.9966873111151946</v>
      </c>
      <c r="N20" s="1073">
        <f t="shared" si="20"/>
        <v>0.99700684345356194</v>
      </c>
      <c r="O20" s="1073">
        <v>0.99692395481319573</v>
      </c>
      <c r="P20" s="1073">
        <v>0.99662624930002774</v>
      </c>
      <c r="Q20" s="1073">
        <v>0.99532881401116824</v>
      </c>
      <c r="R20" s="1073">
        <v>0.99603038902054042</v>
      </c>
      <c r="S20" s="1073">
        <v>0.99578154331583324</v>
      </c>
      <c r="T20" s="1073">
        <v>0.99631126151907978</v>
      </c>
      <c r="U20" s="1073">
        <v>0.99666749733137794</v>
      </c>
      <c r="V20" s="1073">
        <v>0.99398062185584313</v>
      </c>
      <c r="W20" s="1073">
        <f t="shared" ref="W20" si="21">IFERROR(AVERAGEIF(W2:W19,"&lt;&gt;0"),"")</f>
        <v>0.99508850294939277</v>
      </c>
      <c r="Y20" s="1069" t="s">
        <v>229</v>
      </c>
      <c r="Z20" s="1068">
        <f t="shared" ref="Z20:AE20" si="22">HLOOKUP(Z$1,$E:$W,18,0)</f>
        <v>0.99801696047008548</v>
      </c>
      <c r="AA20" s="1068">
        <f t="shared" si="22"/>
        <v>0.99683946695665426</v>
      </c>
      <c r="AB20" s="1068">
        <f t="shared" si="22"/>
        <v>0.99725939280626774</v>
      </c>
      <c r="AC20" s="1068">
        <f t="shared" si="22"/>
        <v>0</v>
      </c>
      <c r="AD20" s="1068">
        <f t="shared" si="22"/>
        <v>0</v>
      </c>
      <c r="AE20" s="1068">
        <f t="shared" si="22"/>
        <v>0.99655198317307692</v>
      </c>
      <c r="AF20" s="1070">
        <v>0.99299999999999999</v>
      </c>
      <c r="AG20" s="1073">
        <f t="shared" si="13"/>
        <v>0.99716695085152107</v>
      </c>
      <c r="AH20" s="1015"/>
      <c r="AI20" s="1015"/>
      <c r="AJ20" s="1015"/>
      <c r="AK20" s="1015"/>
      <c r="AL20" s="1015"/>
      <c r="AM20" s="1015"/>
      <c r="AN20" s="1015"/>
      <c r="AO20" s="1015"/>
      <c r="AP20" s="1015"/>
      <c r="AQ20" s="1015"/>
      <c r="AR20" s="1015"/>
      <c r="AS20" s="1015"/>
      <c r="AT20" s="1015"/>
      <c r="AU20" s="1015"/>
      <c r="AV20" s="1015"/>
      <c r="AW20" s="1015"/>
      <c r="AX20" s="1015"/>
      <c r="AY20" s="1015"/>
      <c r="AZ20" s="1015"/>
      <c r="BA20" s="1015"/>
      <c r="BB20" s="1015"/>
      <c r="BC20" s="1015"/>
      <c r="BD20" s="1015"/>
      <c r="BE20" s="1015"/>
      <c r="BF20" s="1015"/>
      <c r="BG20" s="1015"/>
      <c r="BH20" s="1015"/>
      <c r="BI20" s="1015"/>
      <c r="BJ20" s="1015"/>
      <c r="BK20" s="1015"/>
      <c r="BL20" s="1015"/>
      <c r="BM20" s="1015"/>
      <c r="BN20" s="1015"/>
      <c r="BO20" s="1015"/>
      <c r="BP20" s="1015"/>
      <c r="BQ20" s="1015"/>
      <c r="BR20" s="1015"/>
      <c r="BS20" s="1015"/>
      <c r="BT20" s="1015"/>
      <c r="BU20" s="1015"/>
      <c r="BV20" s="1015"/>
      <c r="BW20" s="1015"/>
      <c r="BX20" s="1015"/>
      <c r="BY20" s="1015"/>
      <c r="BZ20" s="1015"/>
      <c r="CA20" s="1015"/>
      <c r="CB20" s="1015"/>
      <c r="CC20" s="1015"/>
      <c r="CD20" s="1015"/>
      <c r="CE20" s="1015"/>
      <c r="CF20" s="1015"/>
      <c r="CG20" s="1015"/>
      <c r="CH20" s="1015"/>
      <c r="CI20" s="1015"/>
      <c r="CJ20" s="1015"/>
      <c r="CK20" s="1015"/>
      <c r="CL20" s="1015"/>
      <c r="CM20" s="1015"/>
      <c r="CN20" s="1015"/>
      <c r="CO20" s="1015"/>
      <c r="CP20" s="1015"/>
      <c r="CQ20" s="1015"/>
      <c r="CR20" s="1015"/>
      <c r="CS20" s="1015"/>
      <c r="CT20" s="1015"/>
      <c r="CU20" s="1015"/>
      <c r="CV20" s="1015"/>
      <c r="CW20" s="1015"/>
      <c r="CX20" s="1015"/>
      <c r="CY20" s="1015"/>
      <c r="CZ20" s="1015"/>
      <c r="DA20" s="1015"/>
      <c r="DB20" s="1015"/>
      <c r="DC20" s="1015"/>
      <c r="DD20" s="1015"/>
      <c r="DE20" s="1015"/>
      <c r="DF20" s="1015"/>
      <c r="DG20" s="1015"/>
      <c r="DH20" s="1015"/>
      <c r="DI20" s="1015"/>
      <c r="DJ20" s="1015"/>
      <c r="DK20" s="1015"/>
      <c r="DL20" s="1015"/>
      <c r="DM20" s="1015"/>
      <c r="DN20" s="1015"/>
    </row>
    <row r="21" spans="1:118" ht="26.25" customHeight="1">
      <c r="A21" s="1016" t="s">
        <v>229</v>
      </c>
      <c r="B21" s="1021">
        <v>0.99655198317307692</v>
      </c>
      <c r="C21" s="1015"/>
      <c r="Y21" s="1069" t="s">
        <v>230</v>
      </c>
      <c r="Z21" s="1068">
        <f t="shared" ref="Z21:AE21" si="23">HLOOKUP(Z$1,$E:$W,19,0)</f>
        <v>0.99890046296296309</v>
      </c>
      <c r="AA21" s="1068">
        <f t="shared" si="23"/>
        <v>0</v>
      </c>
      <c r="AB21" s="1068">
        <f t="shared" si="23"/>
        <v>0</v>
      </c>
      <c r="AC21" s="1068">
        <f t="shared" si="23"/>
        <v>0.99845085470085471</v>
      </c>
      <c r="AD21" s="1068">
        <f t="shared" si="23"/>
        <v>0</v>
      </c>
      <c r="AE21" s="1068">
        <f t="shared" si="23"/>
        <v>0</v>
      </c>
      <c r="AF21" s="1070">
        <v>0.99299999999999999</v>
      </c>
      <c r="AG21" s="1073">
        <f t="shared" si="13"/>
        <v>0.9986756588319089</v>
      </c>
      <c r="AH21" s="1015"/>
      <c r="AI21" s="1015"/>
      <c r="AJ21" s="1015"/>
      <c r="AK21" s="1015"/>
      <c r="AL21" s="1015"/>
      <c r="AM21" s="1015"/>
      <c r="AN21" s="1015"/>
      <c r="AO21" s="1015"/>
      <c r="AP21" s="1015"/>
      <c r="AQ21" s="1015"/>
      <c r="AR21" s="1015"/>
      <c r="AS21" s="1015"/>
      <c r="AT21" s="1015"/>
      <c r="AU21" s="1015"/>
      <c r="AV21" s="1015"/>
      <c r="AW21" s="1015"/>
      <c r="AX21" s="1015"/>
      <c r="AY21" s="1015"/>
      <c r="AZ21" s="1015"/>
      <c r="BA21" s="1015"/>
      <c r="BB21" s="1015"/>
      <c r="BC21" s="1015"/>
      <c r="BD21" s="1015"/>
      <c r="BE21" s="1015"/>
      <c r="BF21" s="1015"/>
      <c r="BG21" s="1015"/>
      <c r="BH21" s="1015"/>
      <c r="BI21" s="1015"/>
      <c r="BJ21" s="1015"/>
      <c r="BK21" s="1015"/>
      <c r="BL21" s="1015"/>
      <c r="BM21" s="1015"/>
      <c r="BN21" s="1015"/>
      <c r="BO21" s="1015"/>
      <c r="BP21" s="1015"/>
      <c r="BQ21" s="1015"/>
      <c r="BR21" s="1015"/>
      <c r="BS21" s="1015"/>
      <c r="BT21" s="1015"/>
      <c r="BU21" s="1015"/>
      <c r="BV21" s="1015"/>
      <c r="BW21" s="1015"/>
      <c r="BX21" s="1015"/>
      <c r="BY21" s="1015"/>
      <c r="BZ21" s="1015"/>
      <c r="CA21" s="1015"/>
      <c r="CB21" s="1015"/>
      <c r="CC21" s="1015"/>
      <c r="CD21" s="1015"/>
      <c r="CE21" s="1015"/>
      <c r="CF21" s="1015"/>
      <c r="CG21" s="1015"/>
      <c r="CH21" s="1015"/>
      <c r="CI21" s="1015"/>
      <c r="CJ21" s="1015"/>
      <c r="CK21" s="1015"/>
      <c r="CL21" s="1015"/>
      <c r="CM21" s="1015"/>
      <c r="CN21" s="1015"/>
      <c r="CO21" s="1015"/>
      <c r="CP21" s="1015"/>
      <c r="CQ21" s="1015"/>
      <c r="CR21" s="1015"/>
      <c r="CS21" s="1015"/>
      <c r="CT21" s="1015"/>
      <c r="CU21" s="1015"/>
      <c r="CV21" s="1015"/>
      <c r="CW21" s="1015"/>
      <c r="CX21" s="1015"/>
      <c r="CY21" s="1015"/>
      <c r="CZ21" s="1015"/>
      <c r="DA21" s="1015"/>
      <c r="DB21" s="1015"/>
      <c r="DC21" s="1015"/>
      <c r="DD21" s="1015"/>
      <c r="DE21" s="1015"/>
      <c r="DF21" s="1015"/>
      <c r="DG21" s="1015"/>
      <c r="DH21" s="1015"/>
      <c r="DI21" s="1015"/>
      <c r="DJ21" s="1015"/>
      <c r="DK21" s="1015"/>
      <c r="DL21" s="1015"/>
      <c r="DM21" s="1015"/>
      <c r="DN21" s="1015"/>
    </row>
    <row r="22" spans="1:118" ht="26.25" customHeight="1">
      <c r="A22" s="1016" t="s">
        <v>230</v>
      </c>
      <c r="B22" s="1021"/>
      <c r="C22" s="1015"/>
      <c r="Y22" s="1074" t="s">
        <v>807</v>
      </c>
      <c r="Z22" s="1073">
        <f t="shared" ref="Z22:AE22" si="24">HLOOKUP(Z$1,$E:$W,20,0)</f>
        <v>0.99603038902054042</v>
      </c>
      <c r="AA22" s="1073">
        <f t="shared" si="24"/>
        <v>0.99578154331583324</v>
      </c>
      <c r="AB22" s="1073">
        <f t="shared" si="24"/>
        <v>0.99631126151907978</v>
      </c>
      <c r="AC22" s="1073">
        <f t="shared" si="24"/>
        <v>0.99666749733137794</v>
      </c>
      <c r="AD22" s="1073">
        <f t="shared" si="24"/>
        <v>0.99398062185584313</v>
      </c>
      <c r="AE22" s="1073">
        <f t="shared" si="24"/>
        <v>0.99508850294939277</v>
      </c>
      <c r="AF22" s="1070">
        <v>0.99299999999999999</v>
      </c>
      <c r="AG22" s="1073">
        <f t="shared" si="13"/>
        <v>0.99564330266534462</v>
      </c>
      <c r="AH22" s="1015"/>
      <c r="AI22" s="1015"/>
      <c r="AJ22" s="1015"/>
      <c r="AK22" s="1015"/>
      <c r="AL22" s="1015"/>
      <c r="AM22" s="1015"/>
      <c r="AN22" s="1015"/>
      <c r="AO22" s="1015"/>
      <c r="AP22" s="1015"/>
      <c r="AQ22" s="1015"/>
      <c r="AR22" s="1015"/>
      <c r="AS22" s="1015"/>
      <c r="AT22" s="1015"/>
      <c r="AU22" s="1015"/>
      <c r="AV22" s="1015"/>
      <c r="AW22" s="1015"/>
      <c r="AX22" s="1015"/>
      <c r="AY22" s="1015"/>
      <c r="AZ22" s="1015"/>
      <c r="BA22" s="1015"/>
      <c r="BB22" s="1015"/>
      <c r="BC22" s="1015"/>
      <c r="BD22" s="1015"/>
      <c r="BE22" s="1015"/>
      <c r="BF22" s="1015"/>
      <c r="BG22" s="1015"/>
      <c r="BH22" s="1015"/>
      <c r="BI22" s="1015"/>
      <c r="BJ22" s="1015"/>
      <c r="BK22" s="1015"/>
      <c r="BL22" s="1015"/>
      <c r="BM22" s="1015"/>
      <c r="BN22" s="1015"/>
      <c r="BO22" s="1015"/>
      <c r="BP22" s="1015"/>
      <c r="BQ22" s="1015"/>
      <c r="BR22" s="1015"/>
      <c r="BS22" s="1015"/>
      <c r="BT22" s="1015"/>
      <c r="BU22" s="1015"/>
      <c r="BV22" s="1015"/>
      <c r="BW22" s="1015"/>
      <c r="BX22" s="1015"/>
      <c r="BY22" s="1015"/>
      <c r="BZ22" s="1015"/>
      <c r="CA22" s="1015"/>
      <c r="CB22" s="1015"/>
      <c r="CC22" s="1015"/>
      <c r="CD22" s="1015"/>
      <c r="CE22" s="1015"/>
      <c r="CF22" s="1015"/>
      <c r="CG22" s="1015"/>
      <c r="CH22" s="1015"/>
      <c r="CI22" s="1015"/>
      <c r="CJ22" s="1015"/>
      <c r="CK22" s="1015"/>
      <c r="CL22" s="1015"/>
      <c r="CM22" s="1015"/>
      <c r="CN22" s="1015"/>
      <c r="CO22" s="1015"/>
      <c r="CP22" s="1015"/>
      <c r="CQ22" s="1015"/>
      <c r="CR22" s="1015"/>
      <c r="CS22" s="1015"/>
      <c r="CT22" s="1015"/>
      <c r="CU22" s="1015"/>
      <c r="CV22" s="1015"/>
      <c r="CW22" s="1015"/>
      <c r="CX22" s="1015"/>
      <c r="CY22" s="1015"/>
      <c r="CZ22" s="1015"/>
      <c r="DA22" s="1015"/>
      <c r="DB22" s="1015"/>
      <c r="DC22" s="1015"/>
      <c r="DD22" s="1015"/>
      <c r="DE22" s="1015"/>
      <c r="DF22" s="1015"/>
      <c r="DG22" s="1015"/>
      <c r="DH22" s="1015"/>
      <c r="DI22" s="1015"/>
      <c r="DJ22" s="1015"/>
      <c r="DK22" s="1015"/>
      <c r="DL22" s="1015"/>
      <c r="DM22" s="1015"/>
      <c r="DN22" s="1015"/>
    </row>
    <row r="23" spans="1:118" ht="26.25" customHeight="1">
      <c r="A23" s="1016" t="s">
        <v>231</v>
      </c>
      <c r="B23" s="1021"/>
      <c r="C23" s="1015"/>
      <c r="AH23" s="1015"/>
      <c r="AI23" s="1015"/>
      <c r="AJ23" s="1015"/>
      <c r="AK23" s="1015"/>
      <c r="AL23" s="1015"/>
      <c r="AM23" s="1015"/>
      <c r="AN23" s="1015"/>
      <c r="AO23" s="1015"/>
      <c r="AP23" s="1015"/>
      <c r="AQ23" s="1015"/>
      <c r="AR23" s="1015"/>
      <c r="AS23" s="1015"/>
      <c r="AT23" s="1015"/>
      <c r="AU23" s="1015"/>
      <c r="AV23" s="1015"/>
      <c r="AW23" s="1015"/>
      <c r="AX23" s="1015"/>
      <c r="AY23" s="1015"/>
      <c r="AZ23" s="1015"/>
      <c r="BA23" s="1015"/>
      <c r="BB23" s="1015"/>
      <c r="BC23" s="1015"/>
      <c r="BD23" s="1015"/>
      <c r="BE23" s="1015"/>
      <c r="BF23" s="1015"/>
      <c r="BG23" s="1015"/>
      <c r="BH23" s="1015"/>
      <c r="BI23" s="1015"/>
      <c r="BJ23" s="1015"/>
      <c r="BK23" s="1015"/>
      <c r="BL23" s="1015"/>
      <c r="BM23" s="1015"/>
      <c r="BN23" s="1015"/>
      <c r="BO23" s="1015"/>
      <c r="BP23" s="1015"/>
      <c r="BQ23" s="1015"/>
      <c r="BR23" s="1015"/>
      <c r="BS23" s="1015"/>
      <c r="BT23" s="1015"/>
      <c r="BU23" s="1015"/>
      <c r="BV23" s="1015"/>
      <c r="BW23" s="1015"/>
      <c r="BX23" s="1015"/>
      <c r="BY23" s="1015"/>
      <c r="BZ23" s="1015"/>
      <c r="CA23" s="1015"/>
      <c r="CB23" s="1015"/>
      <c r="CC23" s="1015"/>
      <c r="CD23" s="1015"/>
      <c r="CE23" s="1015"/>
      <c r="CF23" s="1015"/>
      <c r="CG23" s="1015"/>
      <c r="CH23" s="1015"/>
      <c r="CI23" s="1015"/>
      <c r="CJ23" s="1015"/>
      <c r="CK23" s="1015"/>
      <c r="CL23" s="1015"/>
      <c r="CM23" s="1015"/>
      <c r="CN23" s="1015"/>
      <c r="CO23" s="1015"/>
      <c r="CP23" s="1015"/>
      <c r="CQ23" s="1015"/>
      <c r="CR23" s="1015"/>
      <c r="CS23" s="1015"/>
      <c r="CT23" s="1015"/>
      <c r="CU23" s="1015"/>
      <c r="CV23" s="1015"/>
      <c r="CW23" s="1015"/>
      <c r="CX23" s="1015"/>
      <c r="CY23" s="1015"/>
      <c r="CZ23" s="1015"/>
      <c r="DA23" s="1015"/>
      <c r="DB23" s="1015"/>
      <c r="DC23" s="1015"/>
      <c r="DD23" s="1015"/>
      <c r="DE23" s="1015"/>
      <c r="DF23" s="1015"/>
      <c r="DG23" s="1015"/>
      <c r="DH23" s="1015"/>
      <c r="DI23" s="1015"/>
      <c r="DJ23" s="1015"/>
      <c r="DK23" s="1015"/>
      <c r="DL23" s="1015"/>
      <c r="DM23" s="1015"/>
      <c r="DN23" s="1015"/>
    </row>
    <row r="24" spans="1:118" ht="26.25" customHeight="1">
      <c r="A24" s="1016" t="s">
        <v>233</v>
      </c>
      <c r="B24" s="1021">
        <v>0.99011880547337272</v>
      </c>
      <c r="C24" s="1015"/>
      <c r="D24" s="1012" t="s">
        <v>38</v>
      </c>
      <c r="E24" s="1065" t="str">
        <f t="shared" ref="E24:F24" si="25">E1</f>
        <v>114-01月</v>
      </c>
      <c r="F24" s="1065" t="str">
        <f t="shared" si="25"/>
        <v>114-02月</v>
      </c>
      <c r="G24" s="1065" t="s">
        <v>794</v>
      </c>
      <c r="H24" s="1065" t="s">
        <v>817</v>
      </c>
      <c r="I24" s="1065" t="s">
        <v>818</v>
      </c>
      <c r="J24" s="1065" t="s">
        <v>819</v>
      </c>
      <c r="K24" s="1065" t="s">
        <v>820</v>
      </c>
      <c r="L24" s="1065" t="s">
        <v>821</v>
      </c>
      <c r="M24" s="1065" t="s">
        <v>16032</v>
      </c>
      <c r="N24" s="1065" t="s">
        <v>822</v>
      </c>
      <c r="O24" s="1065" t="s">
        <v>823</v>
      </c>
      <c r="P24" s="1065" t="s">
        <v>824</v>
      </c>
      <c r="Q24" s="1065" t="s">
        <v>16171</v>
      </c>
      <c r="R24" s="1065" t="s">
        <v>16203</v>
      </c>
      <c r="S24" s="1065" t="s">
        <v>16206</v>
      </c>
      <c r="T24" s="1065" t="s">
        <v>16757</v>
      </c>
      <c r="U24" s="1065" t="s">
        <v>17232</v>
      </c>
      <c r="V24" s="1065" t="s">
        <v>17318</v>
      </c>
      <c r="W24" s="1065" t="str">
        <f t="shared" ref="W24" si="26">W1</f>
        <v>115-07月</v>
      </c>
      <c r="X24" s="1066" t="s">
        <v>795</v>
      </c>
      <c r="Y24" s="1065" t="s">
        <v>38</v>
      </c>
      <c r="Z24" s="1065" t="str">
        <f t="shared" ref="Z24:AE24" si="27">Z$1</f>
        <v>115-02月</v>
      </c>
      <c r="AA24" s="1065" t="str">
        <f t="shared" si="27"/>
        <v>115-03月</v>
      </c>
      <c r="AB24" s="1065" t="str">
        <f t="shared" si="27"/>
        <v>115-04月</v>
      </c>
      <c r="AC24" s="1065" t="str">
        <f t="shared" si="27"/>
        <v>115-05月</v>
      </c>
      <c r="AD24" s="1065" t="str">
        <f t="shared" si="27"/>
        <v>115-06月</v>
      </c>
      <c r="AE24" s="1065" t="str">
        <f t="shared" si="27"/>
        <v>115-07月</v>
      </c>
      <c r="AF24" s="1067" t="s">
        <v>796</v>
      </c>
      <c r="AG24" s="1074" t="s">
        <v>797</v>
      </c>
      <c r="AH24" s="1015"/>
      <c r="AI24" s="1015"/>
      <c r="AJ24" s="1015"/>
      <c r="AK24" s="1015"/>
      <c r="AL24" s="1015"/>
      <c r="AM24" s="1015"/>
      <c r="AN24" s="1015"/>
      <c r="AO24" s="1015"/>
      <c r="AP24" s="1015"/>
      <c r="AQ24" s="1015"/>
      <c r="AR24" s="1015"/>
      <c r="AS24" s="1015"/>
      <c r="AT24" s="1015"/>
      <c r="AU24" s="1015"/>
      <c r="AV24" s="1015"/>
      <c r="AW24" s="1015"/>
      <c r="AX24" s="1015"/>
      <c r="AY24" s="1015"/>
      <c r="AZ24" s="1015"/>
      <c r="BA24" s="1015"/>
      <c r="BB24" s="1015"/>
      <c r="BC24" s="1015"/>
      <c r="BD24" s="1015"/>
      <c r="BE24" s="1015"/>
      <c r="BF24" s="1015"/>
      <c r="BG24" s="1015"/>
      <c r="BH24" s="1015"/>
      <c r="BI24" s="1015"/>
      <c r="BJ24" s="1015"/>
      <c r="BK24" s="1015"/>
      <c r="BL24" s="1015"/>
      <c r="BM24" s="1015"/>
      <c r="BN24" s="1015"/>
      <c r="BO24" s="1015"/>
      <c r="BP24" s="1015"/>
      <c r="BQ24" s="1015"/>
      <c r="BR24" s="1015"/>
      <c r="BS24" s="1015"/>
      <c r="BT24" s="1015"/>
      <c r="BU24" s="1015"/>
      <c r="BV24" s="1015"/>
      <c r="BW24" s="1015"/>
      <c r="BX24" s="1015"/>
      <c r="BY24" s="1015"/>
      <c r="BZ24" s="1015"/>
      <c r="CA24" s="1015"/>
      <c r="CB24" s="1015"/>
      <c r="CC24" s="1015"/>
      <c r="CD24" s="1015"/>
      <c r="CE24" s="1015"/>
      <c r="CF24" s="1015"/>
      <c r="CG24" s="1015"/>
      <c r="CH24" s="1015"/>
      <c r="CI24" s="1015"/>
      <c r="CJ24" s="1015"/>
      <c r="CK24" s="1015"/>
      <c r="CL24" s="1015"/>
      <c r="CM24" s="1015"/>
      <c r="CN24" s="1015"/>
      <c r="CO24" s="1015"/>
      <c r="CP24" s="1015"/>
      <c r="CQ24" s="1015"/>
      <c r="CR24" s="1015"/>
      <c r="CS24" s="1015"/>
      <c r="CT24" s="1015"/>
      <c r="CU24" s="1015"/>
      <c r="CV24" s="1015"/>
      <c r="CW24" s="1015"/>
      <c r="CX24" s="1015"/>
      <c r="CY24" s="1015"/>
      <c r="CZ24" s="1015"/>
      <c r="DA24" s="1015"/>
      <c r="DB24" s="1015"/>
      <c r="DC24" s="1015"/>
      <c r="DD24" s="1015"/>
      <c r="DE24" s="1015"/>
      <c r="DF24" s="1015"/>
      <c r="DG24" s="1015"/>
      <c r="DH24" s="1015"/>
      <c r="DI24" s="1015"/>
      <c r="DJ24" s="1015"/>
      <c r="DK24" s="1015"/>
      <c r="DL24" s="1015"/>
      <c r="DM24" s="1015"/>
      <c r="DN24" s="1015"/>
    </row>
    <row r="25" spans="1:118" ht="26.25" customHeight="1">
      <c r="A25" s="1016" t="s">
        <v>234</v>
      </c>
      <c r="B25" s="1021"/>
      <c r="C25" s="1015"/>
      <c r="D25" s="1013" t="s">
        <v>231</v>
      </c>
      <c r="E25" s="1068">
        <v>0.99213026556776551</v>
      </c>
      <c r="F25" s="1068">
        <v>0.99431898054430956</v>
      </c>
      <c r="G25" s="1068">
        <v>0.99463620960202981</v>
      </c>
      <c r="H25" s="1068">
        <v>0.99085510149572631</v>
      </c>
      <c r="I25" s="1068">
        <v>0.99331597222222234</v>
      </c>
      <c r="J25" s="1068">
        <v>0.99419661201512166</v>
      </c>
      <c r="K25" s="1068">
        <v>0.99326789529914505</v>
      </c>
      <c r="L25" s="1068">
        <v>0.99371389284583722</v>
      </c>
      <c r="M25" s="1068">
        <v>0.99244839362026871</v>
      </c>
      <c r="N25" s="1068">
        <v>0.99156116452991461</v>
      </c>
      <c r="O25" s="1068">
        <v>0.99263334155161087</v>
      </c>
      <c r="P25" s="1068">
        <v>0.99211443437705482</v>
      </c>
      <c r="Q25" s="1068">
        <v>0.98659900284900282</v>
      </c>
      <c r="R25" s="1068">
        <v>0.98882497710622708</v>
      </c>
      <c r="S25" s="1068">
        <v>0.98735103046594952</v>
      </c>
      <c r="T25" s="1068">
        <v>0.9935997596153846</v>
      </c>
      <c r="U25" s="1068">
        <v>0</v>
      </c>
      <c r="V25" s="1068">
        <v>0</v>
      </c>
      <c r="W25" s="1068">
        <f>GETPIVOTDATA("IAD",$A$3,"機台",$D25)</f>
        <v>0</v>
      </c>
      <c r="X25" s="1066">
        <v>0.99099999999999999</v>
      </c>
      <c r="Y25" s="1069" t="s">
        <v>231</v>
      </c>
      <c r="Z25" s="1068">
        <f t="shared" ref="Z25:AE25" si="28">HLOOKUP(Z$1,$E:$W,25,0)</f>
        <v>0.98882497710622708</v>
      </c>
      <c r="AA25" s="1068">
        <f t="shared" si="28"/>
        <v>0.98735103046594952</v>
      </c>
      <c r="AB25" s="1068">
        <f t="shared" si="28"/>
        <v>0.9935997596153846</v>
      </c>
      <c r="AC25" s="1068">
        <f t="shared" si="28"/>
        <v>0</v>
      </c>
      <c r="AD25" s="1068">
        <f t="shared" si="28"/>
        <v>0</v>
      </c>
      <c r="AE25" s="1068">
        <f t="shared" si="28"/>
        <v>0</v>
      </c>
      <c r="AF25" s="1070">
        <v>0.99099999999999999</v>
      </c>
      <c r="AG25" s="1073">
        <f t="shared" ref="AG25:AG30" si="29">IFERROR(AVERAGEIF(Z25:AE25,"&lt;&gt;0"),"")</f>
        <v>0.9899252557291871</v>
      </c>
      <c r="AH25" s="1015"/>
      <c r="AI25" s="1015"/>
      <c r="AJ25" s="1015"/>
      <c r="AK25" s="1015"/>
      <c r="AL25" s="1015"/>
      <c r="AM25" s="1015"/>
      <c r="AN25" s="1015"/>
      <c r="AO25" s="1015"/>
      <c r="AP25" s="1015"/>
      <c r="AQ25" s="1015"/>
      <c r="AR25" s="1015"/>
      <c r="AS25" s="1015"/>
      <c r="AT25" s="1015"/>
      <c r="AU25" s="1015"/>
      <c r="AV25" s="1015"/>
      <c r="AW25" s="1015"/>
      <c r="AX25" s="1015"/>
      <c r="AY25" s="1015"/>
      <c r="AZ25" s="1015"/>
      <c r="BA25" s="1015"/>
      <c r="BB25" s="1015"/>
      <c r="BC25" s="1015"/>
      <c r="BD25" s="1015"/>
      <c r="BE25" s="1015"/>
      <c r="BF25" s="1015"/>
      <c r="BG25" s="1015"/>
      <c r="BH25" s="1015"/>
      <c r="BI25" s="1015"/>
      <c r="BJ25" s="1015"/>
      <c r="BK25" s="1015"/>
      <c r="BL25" s="1015"/>
      <c r="BM25" s="1015"/>
      <c r="BN25" s="1015"/>
      <c r="BO25" s="1015"/>
      <c r="BP25" s="1015"/>
      <c r="BQ25" s="1015"/>
      <c r="BR25" s="1015"/>
      <c r="BS25" s="1015"/>
      <c r="BT25" s="1015"/>
      <c r="BU25" s="1015"/>
      <c r="BV25" s="1015"/>
      <c r="BW25" s="1015"/>
      <c r="BX25" s="1015"/>
      <c r="BY25" s="1015"/>
      <c r="BZ25" s="1015"/>
      <c r="CA25" s="1015"/>
      <c r="CB25" s="1015"/>
      <c r="CC25" s="1015"/>
      <c r="CD25" s="1015"/>
      <c r="CE25" s="1015"/>
      <c r="CF25" s="1015"/>
      <c r="CG25" s="1015"/>
      <c r="CH25" s="1015"/>
      <c r="CI25" s="1015"/>
      <c r="CJ25" s="1015"/>
      <c r="CK25" s="1015"/>
      <c r="CL25" s="1015"/>
      <c r="CM25" s="1015"/>
      <c r="CN25" s="1015"/>
      <c r="CO25" s="1015"/>
      <c r="CP25" s="1015"/>
      <c r="CQ25" s="1015"/>
      <c r="CR25" s="1015"/>
      <c r="CS25" s="1015"/>
      <c r="CT25" s="1015"/>
      <c r="CU25" s="1015"/>
      <c r="CV25" s="1015"/>
      <c r="CW25" s="1015"/>
      <c r="CX25" s="1015"/>
      <c r="CY25" s="1015"/>
      <c r="CZ25" s="1015"/>
      <c r="DA25" s="1015"/>
      <c r="DB25" s="1015"/>
      <c r="DC25" s="1015"/>
      <c r="DD25" s="1015"/>
      <c r="DE25" s="1015"/>
      <c r="DF25" s="1015"/>
      <c r="DG25" s="1015"/>
      <c r="DH25" s="1015"/>
      <c r="DI25" s="1015"/>
      <c r="DJ25" s="1015"/>
      <c r="DK25" s="1015"/>
      <c r="DL25" s="1015"/>
      <c r="DM25" s="1015"/>
      <c r="DN25" s="1015"/>
    </row>
    <row r="26" spans="1:118" ht="26.25" customHeight="1">
      <c r="A26" s="1016" t="s">
        <v>240</v>
      </c>
      <c r="B26" s="1021">
        <v>0.99837922494172493</v>
      </c>
      <c r="C26" s="1015"/>
      <c r="D26" s="1013" t="s">
        <v>233</v>
      </c>
      <c r="E26" s="1068">
        <v>0.99376780626780636</v>
      </c>
      <c r="F26" s="1068">
        <v>0.99524795227920215</v>
      </c>
      <c r="G26" s="1068">
        <v>0.99522235576923068</v>
      </c>
      <c r="H26" s="1068">
        <v>0.99402697093126802</v>
      </c>
      <c r="I26" s="1068">
        <v>0.99332759575815122</v>
      </c>
      <c r="J26" s="1068">
        <v>0.99159182469729334</v>
      </c>
      <c r="K26" s="1068">
        <v>0.99103662634408618</v>
      </c>
      <c r="L26" s="1068">
        <v>0.99151141826923084</v>
      </c>
      <c r="M26" s="1068">
        <v>0.9906563321827746</v>
      </c>
      <c r="N26" s="1068">
        <v>0.9919251447477252</v>
      </c>
      <c r="O26" s="1068">
        <v>0.99192409003831439</v>
      </c>
      <c r="P26" s="1068">
        <v>0.99142491622960371</v>
      </c>
      <c r="Q26" s="1068">
        <v>0</v>
      </c>
      <c r="R26" s="1068">
        <v>0</v>
      </c>
      <c r="S26" s="1068">
        <v>0</v>
      </c>
      <c r="T26" s="1068">
        <v>0.99121294070512822</v>
      </c>
      <c r="U26" s="1068">
        <v>0.98859027777777764</v>
      </c>
      <c r="V26" s="1068">
        <v>0.98806423611111105</v>
      </c>
      <c r="W26" s="1068">
        <f>GETPIVOTDATA("IAD",$A$3,"機台",$D26)</f>
        <v>0.99011880547337272</v>
      </c>
      <c r="Y26" s="1069" t="s">
        <v>233</v>
      </c>
      <c r="Z26" s="1068">
        <f t="shared" ref="Z26:AE26" si="30">HLOOKUP(Z$1,$E:$W,26,0)</f>
        <v>0</v>
      </c>
      <c r="AA26" s="1068">
        <f t="shared" si="30"/>
        <v>0</v>
      </c>
      <c r="AB26" s="1068">
        <f t="shared" si="30"/>
        <v>0.99121294070512822</v>
      </c>
      <c r="AC26" s="1068">
        <f t="shared" si="30"/>
        <v>0.98859027777777764</v>
      </c>
      <c r="AD26" s="1068">
        <f t="shared" si="30"/>
        <v>0.98806423611111105</v>
      </c>
      <c r="AE26" s="1068">
        <f t="shared" si="30"/>
        <v>0.99011880547337272</v>
      </c>
      <c r="AF26" s="1070">
        <v>0.99099999999999999</v>
      </c>
      <c r="AG26" s="1073">
        <f t="shared" si="29"/>
        <v>0.98949656501684746</v>
      </c>
      <c r="AH26" s="1015"/>
      <c r="AI26" s="1015"/>
      <c r="AJ26" s="1015"/>
      <c r="AK26" s="1015"/>
      <c r="AL26" s="1015"/>
      <c r="AM26" s="1015"/>
      <c r="AN26" s="1015"/>
      <c r="AO26" s="1015"/>
      <c r="AP26" s="1015"/>
      <c r="AQ26" s="1015"/>
      <c r="AR26" s="1015"/>
      <c r="AS26" s="1015"/>
      <c r="AT26" s="1015"/>
      <c r="AU26" s="1015"/>
      <c r="AV26" s="1015"/>
      <c r="AW26" s="1015"/>
      <c r="AX26" s="1015"/>
      <c r="AY26" s="1015"/>
      <c r="AZ26" s="1015"/>
      <c r="BA26" s="1015"/>
      <c r="BB26" s="1015"/>
      <c r="BC26" s="1015"/>
      <c r="BD26" s="1015"/>
      <c r="BE26" s="1015"/>
      <c r="BF26" s="1015"/>
      <c r="BG26" s="1015"/>
      <c r="BH26" s="1015"/>
      <c r="BI26" s="1015"/>
      <c r="BJ26" s="1015"/>
      <c r="BK26" s="1015"/>
      <c r="BL26" s="1015"/>
      <c r="BM26" s="1015"/>
      <c r="BN26" s="1015"/>
      <c r="BO26" s="1015"/>
      <c r="BP26" s="1015"/>
      <c r="BQ26" s="1015"/>
      <c r="BR26" s="1015"/>
      <c r="BS26" s="1015"/>
      <c r="BT26" s="1015"/>
      <c r="BU26" s="1015"/>
      <c r="BV26" s="1015"/>
      <c r="BW26" s="1015"/>
      <c r="BX26" s="1015"/>
      <c r="BY26" s="1015"/>
      <c r="BZ26" s="1015"/>
      <c r="CA26" s="1015"/>
      <c r="CB26" s="1015"/>
      <c r="CC26" s="1015"/>
      <c r="CD26" s="1015"/>
      <c r="CE26" s="1015"/>
      <c r="CF26" s="1015"/>
      <c r="CG26" s="1015"/>
      <c r="CH26" s="1015"/>
      <c r="CI26" s="1015"/>
      <c r="CJ26" s="1015"/>
      <c r="CK26" s="1015"/>
      <c r="CL26" s="1015"/>
      <c r="CM26" s="1015"/>
      <c r="CN26" s="1015"/>
      <c r="CO26" s="1015"/>
      <c r="CP26" s="1015"/>
      <c r="CQ26" s="1015"/>
      <c r="CR26" s="1015"/>
      <c r="CS26" s="1015"/>
      <c r="CT26" s="1015"/>
      <c r="CU26" s="1015"/>
      <c r="CV26" s="1015"/>
      <c r="CW26" s="1015"/>
      <c r="CX26" s="1015"/>
      <c r="CY26" s="1015"/>
      <c r="CZ26" s="1015"/>
      <c r="DA26" s="1015"/>
      <c r="DB26" s="1015"/>
      <c r="DC26" s="1015"/>
      <c r="DD26" s="1015"/>
      <c r="DE26" s="1015"/>
      <c r="DF26" s="1015"/>
      <c r="DG26" s="1015"/>
      <c r="DH26" s="1015"/>
      <c r="DI26" s="1015"/>
      <c r="DJ26" s="1015"/>
      <c r="DK26" s="1015"/>
      <c r="DL26" s="1015"/>
      <c r="DM26" s="1015"/>
      <c r="DN26" s="1015"/>
    </row>
    <row r="27" spans="1:118" ht="26.25" customHeight="1">
      <c r="A27" s="1016" t="s">
        <v>235</v>
      </c>
      <c r="B27" s="1021">
        <v>0.99652030550468051</v>
      </c>
      <c r="C27" s="1015"/>
      <c r="D27" s="1013" t="s">
        <v>234</v>
      </c>
      <c r="E27" s="1068">
        <v>0.99488069800569812</v>
      </c>
      <c r="F27" s="1068">
        <v>0.99485194830246926</v>
      </c>
      <c r="G27" s="1068">
        <v>0.99380675747863256</v>
      </c>
      <c r="H27" s="1068">
        <v>0.99268507773356895</v>
      </c>
      <c r="I27" s="1068">
        <v>0.99223102643241545</v>
      </c>
      <c r="J27" s="1068">
        <v>0.99367816091954009</v>
      </c>
      <c r="K27" s="1068">
        <v>0.9908015046296299</v>
      </c>
      <c r="L27" s="1068">
        <v>0.99405954288766807</v>
      </c>
      <c r="M27" s="1068">
        <v>0.99189421022353741</v>
      </c>
      <c r="N27" s="1068">
        <v>0.99111516698322244</v>
      </c>
      <c r="O27" s="1068">
        <v>0.99322725885225882</v>
      </c>
      <c r="P27" s="1068">
        <v>0.99543269230769227</v>
      </c>
      <c r="Q27" s="1068">
        <v>0</v>
      </c>
      <c r="R27" s="1068">
        <v>0</v>
      </c>
      <c r="S27" s="1068">
        <v>0</v>
      </c>
      <c r="T27" s="1068">
        <v>0</v>
      </c>
      <c r="U27" s="1068">
        <v>0</v>
      </c>
      <c r="V27" s="1068">
        <v>0</v>
      </c>
      <c r="W27" s="1068">
        <f>GETPIVOTDATA("IAD",$A$3,"機台",$D27)</f>
        <v>0</v>
      </c>
      <c r="Y27" s="1069" t="s">
        <v>234</v>
      </c>
      <c r="Z27" s="1068">
        <f t="shared" ref="Z27:AE27" si="31">HLOOKUP(Z$1,$E:$W,27,0)</f>
        <v>0</v>
      </c>
      <c r="AA27" s="1068">
        <f t="shared" si="31"/>
        <v>0</v>
      </c>
      <c r="AB27" s="1068">
        <f t="shared" si="31"/>
        <v>0</v>
      </c>
      <c r="AC27" s="1068">
        <f t="shared" si="31"/>
        <v>0</v>
      </c>
      <c r="AD27" s="1068">
        <f t="shared" si="31"/>
        <v>0</v>
      </c>
      <c r="AE27" s="1068">
        <f t="shared" si="31"/>
        <v>0</v>
      </c>
      <c r="AF27" s="1070">
        <v>0.99099999999999999</v>
      </c>
      <c r="AG27" s="1073" t="str">
        <f t="shared" si="29"/>
        <v/>
      </c>
      <c r="AH27" s="1015"/>
      <c r="AI27" s="1015"/>
      <c r="AJ27" s="1015"/>
      <c r="AK27" s="1015"/>
      <c r="AL27" s="1015"/>
      <c r="AM27" s="1015"/>
      <c r="AN27" s="1015"/>
      <c r="AO27" s="1015"/>
      <c r="AP27" s="1015"/>
      <c r="AQ27" s="1015"/>
      <c r="AR27" s="1015"/>
      <c r="AS27" s="1015"/>
      <c r="AT27" s="1015"/>
      <c r="AU27" s="1015"/>
      <c r="AV27" s="1015"/>
      <c r="AW27" s="1015"/>
      <c r="AX27" s="1015"/>
      <c r="AY27" s="1015"/>
      <c r="AZ27" s="1015"/>
      <c r="BA27" s="1015"/>
      <c r="BB27" s="1015"/>
      <c r="BC27" s="1015"/>
      <c r="BD27" s="1015"/>
      <c r="BE27" s="1015"/>
      <c r="BF27" s="1015"/>
      <c r="BG27" s="1015"/>
      <c r="BH27" s="1015"/>
      <c r="BI27" s="1015"/>
      <c r="BJ27" s="1015"/>
      <c r="BK27" s="1015"/>
      <c r="BL27" s="1015"/>
      <c r="BM27" s="1015"/>
      <c r="BN27" s="1015"/>
      <c r="BO27" s="1015"/>
      <c r="BP27" s="1015"/>
      <c r="BQ27" s="1015"/>
      <c r="BR27" s="1015"/>
      <c r="BS27" s="1015"/>
      <c r="BT27" s="1015"/>
      <c r="BU27" s="1015"/>
      <c r="BV27" s="1015"/>
      <c r="BW27" s="1015"/>
      <c r="BX27" s="1015"/>
      <c r="BY27" s="1015"/>
      <c r="BZ27" s="1015"/>
      <c r="CA27" s="1015"/>
      <c r="CB27" s="1015"/>
      <c r="CC27" s="1015"/>
      <c r="CD27" s="1015"/>
      <c r="CE27" s="1015"/>
      <c r="CF27" s="1015"/>
      <c r="CG27" s="1015"/>
      <c r="CH27" s="1015"/>
      <c r="CI27" s="1015"/>
      <c r="CJ27" s="1015"/>
      <c r="CK27" s="1015"/>
      <c r="CL27" s="1015"/>
      <c r="CM27" s="1015"/>
      <c r="CN27" s="1015"/>
      <c r="CO27" s="1015"/>
      <c r="CP27" s="1015"/>
      <c r="CQ27" s="1015"/>
      <c r="CR27" s="1015"/>
      <c r="CS27" s="1015"/>
      <c r="CT27" s="1015"/>
      <c r="CU27" s="1015"/>
      <c r="CV27" s="1015"/>
      <c r="CW27" s="1015"/>
      <c r="CX27" s="1015"/>
      <c r="CY27" s="1015"/>
      <c r="CZ27" s="1015"/>
      <c r="DA27" s="1015"/>
      <c r="DB27" s="1015"/>
      <c r="DC27" s="1015"/>
      <c r="DD27" s="1015"/>
      <c r="DE27" s="1015"/>
      <c r="DF27" s="1015"/>
      <c r="DG27" s="1015"/>
      <c r="DH27" s="1015"/>
      <c r="DI27" s="1015"/>
      <c r="DJ27" s="1015"/>
      <c r="DK27" s="1015"/>
      <c r="DL27" s="1015"/>
      <c r="DM27" s="1015"/>
      <c r="DN27" s="1015"/>
    </row>
    <row r="28" spans="1:118" ht="26.25" customHeight="1">
      <c r="A28" s="1016" t="s">
        <v>237</v>
      </c>
      <c r="B28" s="1021">
        <v>0.99285616245251651</v>
      </c>
      <c r="C28" s="1015"/>
      <c r="D28" s="1017" t="s">
        <v>808</v>
      </c>
      <c r="E28" s="1073">
        <f t="shared" ref="E28:N28" si="32">IFERROR(AVERAGEIF(E25:E27,"&lt;&gt;0"),"")</f>
        <v>0.99359292328042326</v>
      </c>
      <c r="F28" s="1073">
        <f t="shared" si="32"/>
        <v>0.99480629370866025</v>
      </c>
      <c r="G28" s="1073">
        <f t="shared" si="32"/>
        <v>0.99455510761663091</v>
      </c>
      <c r="H28" s="1073">
        <f t="shared" si="32"/>
        <v>0.9925223833868545</v>
      </c>
      <c r="I28" s="1073">
        <f t="shared" si="32"/>
        <v>0.99295819813759634</v>
      </c>
      <c r="J28" s="1073">
        <f t="shared" si="32"/>
        <v>0.99315553254398503</v>
      </c>
      <c r="K28" s="1073">
        <f t="shared" si="32"/>
        <v>0.99170200875762038</v>
      </c>
      <c r="L28" s="1073">
        <f t="shared" si="32"/>
        <v>0.99309495133424541</v>
      </c>
      <c r="M28" s="1073">
        <f t="shared" si="32"/>
        <v>0.99166631200886035</v>
      </c>
      <c r="N28" s="1073">
        <f t="shared" si="32"/>
        <v>0.99153382542028734</v>
      </c>
      <c r="O28" s="1073">
        <v>0.99259489681406132</v>
      </c>
      <c r="P28" s="1073">
        <v>0.99299068097145027</v>
      </c>
      <c r="Q28" s="1073">
        <v>0.98659900284900282</v>
      </c>
      <c r="R28" s="1073">
        <v>0.98882497710622708</v>
      </c>
      <c r="S28" s="1073">
        <v>0.98735103046594952</v>
      </c>
      <c r="T28" s="1073">
        <v>0.99240635016025647</v>
      </c>
      <c r="U28" s="1073">
        <v>0.98859027777777764</v>
      </c>
      <c r="V28" s="1073">
        <v>0.98806423611111105</v>
      </c>
      <c r="W28" s="1073">
        <f t="shared" ref="W28" si="33">IFERROR(AVERAGEIF(W25:W27,"&lt;&gt;0"),"")</f>
        <v>0.99011880547337272</v>
      </c>
      <c r="Y28" s="1074" t="s">
        <v>808</v>
      </c>
      <c r="Z28" s="1073">
        <f t="shared" ref="Z28:AE28" si="34">HLOOKUP(Z$1,$E:$W,28,0)</f>
        <v>0.98882497710622708</v>
      </c>
      <c r="AA28" s="1073">
        <f t="shared" si="34"/>
        <v>0.98735103046594952</v>
      </c>
      <c r="AB28" s="1073">
        <f t="shared" si="34"/>
        <v>0.99240635016025647</v>
      </c>
      <c r="AC28" s="1073">
        <f t="shared" si="34"/>
        <v>0.98859027777777764</v>
      </c>
      <c r="AD28" s="1073">
        <f t="shared" si="34"/>
        <v>0.98806423611111105</v>
      </c>
      <c r="AE28" s="1073">
        <f t="shared" si="34"/>
        <v>0.99011880547337272</v>
      </c>
      <c r="AF28" s="1070">
        <v>0.99099999999999999</v>
      </c>
      <c r="AG28" s="1073">
        <f t="shared" si="29"/>
        <v>0.98922594618244908</v>
      </c>
      <c r="AH28" s="1015"/>
      <c r="AI28" s="1015"/>
      <c r="AJ28" s="1015"/>
      <c r="AK28" s="1015"/>
      <c r="AL28" s="1015"/>
      <c r="AM28" s="1015"/>
      <c r="AN28" s="1015"/>
      <c r="AO28" s="1015"/>
      <c r="AP28" s="1015"/>
      <c r="AQ28" s="1015"/>
      <c r="AR28" s="1015"/>
      <c r="AS28" s="1015"/>
      <c r="AT28" s="1015"/>
      <c r="AU28" s="1015"/>
      <c r="AV28" s="1015"/>
      <c r="AW28" s="1015"/>
      <c r="AX28" s="1015"/>
      <c r="AY28" s="1015"/>
      <c r="AZ28" s="1015"/>
      <c r="BA28" s="1015"/>
      <c r="BB28" s="1015"/>
      <c r="BC28" s="1015"/>
      <c r="BD28" s="1015"/>
      <c r="BE28" s="1015"/>
      <c r="BF28" s="1015"/>
      <c r="BG28" s="1015"/>
      <c r="BH28" s="1015"/>
      <c r="BI28" s="1015"/>
      <c r="BJ28" s="1015"/>
      <c r="BK28" s="1015"/>
      <c r="BL28" s="1015"/>
      <c r="BM28" s="1015"/>
      <c r="BN28" s="1015"/>
      <c r="BO28" s="1015"/>
      <c r="BP28" s="1015"/>
      <c r="BQ28" s="1015"/>
      <c r="BR28" s="1015"/>
      <c r="BS28" s="1015"/>
      <c r="BT28" s="1015"/>
      <c r="BU28" s="1015"/>
      <c r="BV28" s="1015"/>
      <c r="BW28" s="1015"/>
      <c r="BX28" s="1015"/>
      <c r="BY28" s="1015"/>
      <c r="BZ28" s="1015"/>
      <c r="CA28" s="1015"/>
      <c r="CB28" s="1015"/>
      <c r="CC28" s="1015"/>
      <c r="CD28" s="1015"/>
      <c r="CE28" s="1015"/>
      <c r="CF28" s="1015"/>
      <c r="CG28" s="1015"/>
      <c r="CH28" s="1015"/>
      <c r="CI28" s="1015"/>
      <c r="CJ28" s="1015"/>
      <c r="CK28" s="1015"/>
      <c r="CL28" s="1015"/>
      <c r="CM28" s="1015"/>
      <c r="CN28" s="1015"/>
      <c r="CO28" s="1015"/>
      <c r="CP28" s="1015"/>
      <c r="CQ28" s="1015"/>
      <c r="CR28" s="1015"/>
      <c r="CS28" s="1015"/>
      <c r="CT28" s="1015"/>
      <c r="CU28" s="1015"/>
      <c r="CV28" s="1015"/>
      <c r="CW28" s="1015"/>
      <c r="CX28" s="1015"/>
      <c r="CY28" s="1015"/>
      <c r="CZ28" s="1015"/>
      <c r="DA28" s="1015"/>
      <c r="DB28" s="1015"/>
      <c r="DC28" s="1015"/>
      <c r="DD28" s="1015"/>
      <c r="DE28" s="1015"/>
      <c r="DF28" s="1015"/>
      <c r="DG28" s="1015"/>
      <c r="DH28" s="1015"/>
      <c r="DI28" s="1015"/>
      <c r="DJ28" s="1015"/>
      <c r="DK28" s="1015"/>
      <c r="DL28" s="1015"/>
      <c r="DM28" s="1015"/>
      <c r="DN28" s="1015"/>
    </row>
    <row r="29" spans="1:118" ht="26.25" customHeight="1">
      <c r="A29" s="1016" t="s">
        <v>238</v>
      </c>
      <c r="B29" s="1021">
        <v>0.99527874228395063</v>
      </c>
      <c r="C29" s="1015"/>
      <c r="D29" s="1013" t="s">
        <v>240</v>
      </c>
      <c r="E29" s="1068">
        <v>0.99872683278104257</v>
      </c>
      <c r="F29" s="1068">
        <v>0.99639256882928351</v>
      </c>
      <c r="G29" s="1068">
        <v>0.99840624381065557</v>
      </c>
      <c r="H29" s="1068">
        <v>0.9932210294991437</v>
      </c>
      <c r="I29" s="1068">
        <v>0.99293536774050595</v>
      </c>
      <c r="J29" s="1068">
        <v>0.99504731086334308</v>
      </c>
      <c r="K29" s="1068">
        <v>0.99326609728858872</v>
      </c>
      <c r="L29" s="1068">
        <v>0.99785930167273884</v>
      </c>
      <c r="M29" s="1068">
        <v>0</v>
      </c>
      <c r="N29" s="1068">
        <v>0.99913895296680766</v>
      </c>
      <c r="O29" s="1068">
        <v>0.99261101499423299</v>
      </c>
      <c r="P29" s="1068">
        <v>1</v>
      </c>
      <c r="Q29" s="1068">
        <v>1</v>
      </c>
      <c r="R29" s="1068">
        <v>0</v>
      </c>
      <c r="S29" s="1068">
        <v>0</v>
      </c>
      <c r="T29" s="1068">
        <v>0</v>
      </c>
      <c r="U29" s="1068">
        <v>0.99620504050166381</v>
      </c>
      <c r="V29" s="1068">
        <v>0</v>
      </c>
      <c r="W29" s="1068">
        <f>GETPIVOTDATA("IAD",$A$3,"機台",$D29)</f>
        <v>0.99837922494172493</v>
      </c>
      <c r="X29" s="1066" t="s">
        <v>795</v>
      </c>
      <c r="Y29" s="1069" t="s">
        <v>240</v>
      </c>
      <c r="Z29" s="1068">
        <f t="shared" ref="Z29:AE29" si="35">HLOOKUP(Z$1,$E:$W,29,0)</f>
        <v>0</v>
      </c>
      <c r="AA29" s="1068">
        <f t="shared" si="35"/>
        <v>0</v>
      </c>
      <c r="AB29" s="1068">
        <f t="shared" si="35"/>
        <v>0</v>
      </c>
      <c r="AC29" s="1068">
        <f t="shared" si="35"/>
        <v>0.99620504050166381</v>
      </c>
      <c r="AD29" s="1068">
        <f t="shared" si="35"/>
        <v>0</v>
      </c>
      <c r="AE29" s="1068">
        <f t="shared" si="35"/>
        <v>0.99837922494172493</v>
      </c>
      <c r="AF29" s="1070">
        <v>0.99199999999999999</v>
      </c>
      <c r="AG29" s="1073">
        <f t="shared" si="29"/>
        <v>0.99729213272169437</v>
      </c>
      <c r="AH29" s="1015"/>
      <c r="AI29" s="1015"/>
      <c r="AJ29" s="1015"/>
      <c r="AK29" s="1015"/>
      <c r="AL29" s="1015"/>
      <c r="AM29" s="1015"/>
      <c r="AN29" s="1015"/>
      <c r="AO29" s="1015"/>
      <c r="AP29" s="1015"/>
      <c r="AQ29" s="1015"/>
      <c r="AR29" s="1015"/>
      <c r="AS29" s="1015"/>
      <c r="AT29" s="1015"/>
      <c r="AU29" s="1015"/>
      <c r="AV29" s="1015"/>
      <c r="AW29" s="1015"/>
      <c r="AX29" s="1015"/>
      <c r="AY29" s="1015"/>
      <c r="AZ29" s="1015"/>
      <c r="BA29" s="1015"/>
      <c r="BB29" s="1015"/>
      <c r="BC29" s="1015"/>
      <c r="BD29" s="1015"/>
      <c r="BE29" s="1015"/>
      <c r="BF29" s="1015"/>
      <c r="BG29" s="1015"/>
      <c r="BH29" s="1015"/>
      <c r="BI29" s="1015"/>
      <c r="BJ29" s="1015"/>
      <c r="BK29" s="1015"/>
      <c r="BL29" s="1015"/>
      <c r="BM29" s="1015"/>
      <c r="BN29" s="1015"/>
      <c r="BO29" s="1015"/>
      <c r="BP29" s="1015"/>
      <c r="BQ29" s="1015"/>
      <c r="BR29" s="1015"/>
      <c r="BS29" s="1015"/>
      <c r="BT29" s="1015"/>
      <c r="BU29" s="1015"/>
      <c r="BV29" s="1015"/>
      <c r="BW29" s="1015"/>
      <c r="BX29" s="1015"/>
      <c r="BY29" s="1015"/>
      <c r="BZ29" s="1015"/>
      <c r="CA29" s="1015"/>
      <c r="CB29" s="1015"/>
      <c r="CC29" s="1015"/>
      <c r="CD29" s="1015"/>
      <c r="CE29" s="1015"/>
      <c r="CF29" s="1015"/>
      <c r="CG29" s="1015"/>
      <c r="CH29" s="1015"/>
      <c r="CI29" s="1015"/>
      <c r="CJ29" s="1015"/>
      <c r="CK29" s="1015"/>
      <c r="CL29" s="1015"/>
      <c r="CM29" s="1015"/>
      <c r="CN29" s="1015"/>
      <c r="CO29" s="1015"/>
      <c r="CP29" s="1015"/>
      <c r="CQ29" s="1015"/>
      <c r="CR29" s="1015"/>
      <c r="CS29" s="1015"/>
      <c r="CT29" s="1015"/>
      <c r="CU29" s="1015"/>
      <c r="CV29" s="1015"/>
      <c r="CW29" s="1015"/>
      <c r="CX29" s="1015"/>
      <c r="CY29" s="1015"/>
      <c r="CZ29" s="1015"/>
      <c r="DA29" s="1015"/>
      <c r="DB29" s="1015"/>
      <c r="DC29" s="1015"/>
      <c r="DD29" s="1015"/>
      <c r="DE29" s="1015"/>
      <c r="DF29" s="1015"/>
      <c r="DG29" s="1015"/>
      <c r="DH29" s="1015"/>
      <c r="DI29" s="1015"/>
      <c r="DJ29" s="1015"/>
      <c r="DK29" s="1015"/>
      <c r="DL29" s="1015"/>
      <c r="DM29" s="1015"/>
      <c r="DN29" s="1015"/>
    </row>
    <row r="30" spans="1:118" ht="26.25" customHeight="1">
      <c r="A30" s="1016" t="s">
        <v>239</v>
      </c>
      <c r="B30" s="1021">
        <v>0.99112980769230763</v>
      </c>
      <c r="C30" s="1015"/>
      <c r="D30" s="1017" t="s">
        <v>809</v>
      </c>
      <c r="E30" s="1073">
        <f t="shared" ref="E30:N30" si="36">IFERROR(AVERAGEIF(E29,"&lt;&gt;0"),"")</f>
        <v>0.99872683278104257</v>
      </c>
      <c r="F30" s="1073">
        <f t="shared" si="36"/>
        <v>0.99639256882928351</v>
      </c>
      <c r="G30" s="1073">
        <f t="shared" si="36"/>
        <v>0.99840624381065557</v>
      </c>
      <c r="H30" s="1073">
        <f t="shared" si="36"/>
        <v>0.9932210294991437</v>
      </c>
      <c r="I30" s="1073">
        <f t="shared" si="36"/>
        <v>0.99293536774050595</v>
      </c>
      <c r="J30" s="1073">
        <f t="shared" si="36"/>
        <v>0.99504731086334308</v>
      </c>
      <c r="K30" s="1073">
        <f t="shared" si="36"/>
        <v>0.99326609728858872</v>
      </c>
      <c r="L30" s="1073">
        <f t="shared" si="36"/>
        <v>0.99785930167273884</v>
      </c>
      <c r="M30" s="1073" t="str">
        <f t="shared" si="36"/>
        <v/>
      </c>
      <c r="N30" s="1073">
        <f t="shared" si="36"/>
        <v>0.99913895296680766</v>
      </c>
      <c r="O30" s="1073">
        <v>0.99261101499423299</v>
      </c>
      <c r="P30" s="1073">
        <v>1</v>
      </c>
      <c r="Q30" s="1073">
        <v>1</v>
      </c>
      <c r="R30" s="1073" t="s">
        <v>419</v>
      </c>
      <c r="S30" s="1073" t="s">
        <v>419</v>
      </c>
      <c r="T30" s="1073" t="s">
        <v>419</v>
      </c>
      <c r="U30" s="1073">
        <v>0.99620504050166381</v>
      </c>
      <c r="V30" s="1073" t="s">
        <v>419</v>
      </c>
      <c r="W30" s="1073">
        <f t="shared" ref="W30" si="37">IFERROR(AVERAGEIF(W29,"&lt;&gt;0"),"")</f>
        <v>0.99837922494172493</v>
      </c>
      <c r="X30" s="1066">
        <v>0.99199999999999999</v>
      </c>
      <c r="Y30" s="1074" t="s">
        <v>809</v>
      </c>
      <c r="Z30" s="1073" t="str">
        <f t="shared" ref="Z30:AE30" si="38">HLOOKUP(Z$1,$E:$W,30,0)</f>
        <v/>
      </c>
      <c r="AA30" s="1073" t="str">
        <f t="shared" si="38"/>
        <v/>
      </c>
      <c r="AB30" s="1073" t="str">
        <f t="shared" si="38"/>
        <v/>
      </c>
      <c r="AC30" s="1073">
        <f t="shared" si="38"/>
        <v>0.99620504050166381</v>
      </c>
      <c r="AD30" s="1073" t="str">
        <f t="shared" si="38"/>
        <v/>
      </c>
      <c r="AE30" s="1073">
        <f t="shared" si="38"/>
        <v>0.99837922494172493</v>
      </c>
      <c r="AF30" s="1070">
        <v>0.99199999999999999</v>
      </c>
      <c r="AG30" s="1073">
        <f t="shared" si="29"/>
        <v>0.99729213272169437</v>
      </c>
      <c r="AH30" s="1015"/>
      <c r="AI30" s="1015"/>
      <c r="AJ30" s="1015"/>
      <c r="AK30" s="1015"/>
      <c r="AL30" s="1015"/>
      <c r="AM30" s="1015"/>
      <c r="AN30" s="1015"/>
      <c r="AO30" s="1015"/>
      <c r="AP30" s="1015"/>
      <c r="AQ30" s="1015"/>
      <c r="AR30" s="1015"/>
      <c r="AS30" s="1015"/>
      <c r="AT30" s="1015"/>
      <c r="AU30" s="1015"/>
      <c r="AV30" s="1015"/>
      <c r="AW30" s="1015"/>
      <c r="AX30" s="1015"/>
      <c r="AY30" s="1015"/>
      <c r="AZ30" s="1015"/>
      <c r="BA30" s="1015"/>
      <c r="BB30" s="1015"/>
      <c r="BC30" s="1015"/>
      <c r="BD30" s="1015"/>
      <c r="BE30" s="1015"/>
      <c r="BF30" s="1015"/>
      <c r="BG30" s="1015"/>
      <c r="BH30" s="1015"/>
      <c r="BI30" s="1015"/>
      <c r="BJ30" s="1015"/>
      <c r="BK30" s="1015"/>
      <c r="BL30" s="1015"/>
      <c r="BM30" s="1015"/>
      <c r="BN30" s="1015"/>
      <c r="BO30" s="1015"/>
      <c r="BP30" s="1015"/>
      <c r="BQ30" s="1015"/>
      <c r="BR30" s="1015"/>
      <c r="BS30" s="1015"/>
      <c r="BT30" s="1015"/>
      <c r="BU30" s="1015"/>
      <c r="BV30" s="1015"/>
      <c r="BW30" s="1015"/>
      <c r="BX30" s="1015"/>
      <c r="BY30" s="1015"/>
      <c r="BZ30" s="1015"/>
      <c r="CA30" s="1015"/>
      <c r="CB30" s="1015"/>
      <c r="CC30" s="1015"/>
      <c r="CD30" s="1015"/>
      <c r="CE30" s="1015"/>
      <c r="CF30" s="1015"/>
      <c r="CG30" s="1015"/>
      <c r="CH30" s="1015"/>
      <c r="CI30" s="1015"/>
      <c r="CJ30" s="1015"/>
      <c r="CK30" s="1015"/>
      <c r="CL30" s="1015"/>
      <c r="CM30" s="1015"/>
      <c r="CN30" s="1015"/>
      <c r="CO30" s="1015"/>
      <c r="CP30" s="1015"/>
      <c r="CQ30" s="1015"/>
      <c r="CR30" s="1015"/>
      <c r="CS30" s="1015"/>
      <c r="CT30" s="1015"/>
      <c r="CU30" s="1015"/>
      <c r="CV30" s="1015"/>
      <c r="CW30" s="1015"/>
      <c r="CX30" s="1015"/>
      <c r="CY30" s="1015"/>
      <c r="CZ30" s="1015"/>
      <c r="DA30" s="1015"/>
      <c r="DB30" s="1015"/>
      <c r="DC30" s="1015"/>
      <c r="DD30" s="1015"/>
      <c r="DE30" s="1015"/>
      <c r="DF30" s="1015"/>
      <c r="DG30" s="1015"/>
      <c r="DH30" s="1015"/>
      <c r="DI30" s="1015"/>
      <c r="DJ30" s="1015"/>
      <c r="DK30" s="1015"/>
      <c r="DL30" s="1015"/>
      <c r="DM30" s="1015"/>
      <c r="DN30" s="1015"/>
    </row>
    <row r="31" spans="1:118" ht="26.25" customHeight="1">
      <c r="A31" s="1016" t="s">
        <v>388</v>
      </c>
      <c r="B31" s="1021">
        <v>0.99835069444444446</v>
      </c>
      <c r="C31" s="1015"/>
      <c r="AH31" s="1015"/>
      <c r="AI31" s="1015"/>
      <c r="AJ31" s="1015"/>
      <c r="AK31" s="1015"/>
      <c r="AL31" s="1015"/>
      <c r="AM31" s="1015"/>
      <c r="AN31" s="1015"/>
      <c r="AO31" s="1015"/>
      <c r="AP31" s="1015"/>
      <c r="AQ31" s="1015"/>
      <c r="AR31" s="1015"/>
      <c r="AS31" s="1015"/>
      <c r="AT31" s="1015"/>
      <c r="AU31" s="1015"/>
      <c r="AV31" s="1015"/>
      <c r="AW31" s="1015"/>
      <c r="AX31" s="1015"/>
      <c r="AY31" s="1015"/>
      <c r="AZ31" s="1015"/>
      <c r="BA31" s="1015"/>
      <c r="BB31" s="1015"/>
      <c r="BC31" s="1015"/>
      <c r="BD31" s="1015"/>
      <c r="BE31" s="1015"/>
      <c r="BF31" s="1015"/>
      <c r="BG31" s="1015"/>
      <c r="BH31" s="1015"/>
      <c r="BI31" s="1015"/>
      <c r="BJ31" s="1015"/>
      <c r="BK31" s="1015"/>
      <c r="BL31" s="1015"/>
      <c r="BM31" s="1015"/>
      <c r="BN31" s="1015"/>
      <c r="BO31" s="1015"/>
      <c r="BP31" s="1015"/>
      <c r="BQ31" s="1015"/>
      <c r="BR31" s="1015"/>
      <c r="BS31" s="1015"/>
      <c r="BT31" s="1015"/>
      <c r="BU31" s="1015"/>
      <c r="BV31" s="1015"/>
      <c r="BW31" s="1015"/>
      <c r="BX31" s="1015"/>
      <c r="BY31" s="1015"/>
      <c r="BZ31" s="1015"/>
      <c r="CA31" s="1015"/>
      <c r="CB31" s="1015"/>
      <c r="CC31" s="1015"/>
      <c r="CD31" s="1015"/>
      <c r="CE31" s="1015"/>
      <c r="CF31" s="1015"/>
      <c r="CG31" s="1015"/>
      <c r="CH31" s="1015"/>
      <c r="CI31" s="1015"/>
      <c r="CJ31" s="1015"/>
      <c r="CK31" s="1015"/>
      <c r="CL31" s="1015"/>
      <c r="CM31" s="1015"/>
      <c r="CN31" s="1015"/>
      <c r="CO31" s="1015"/>
      <c r="CP31" s="1015"/>
      <c r="CQ31" s="1015"/>
      <c r="CR31" s="1015"/>
      <c r="CS31" s="1015"/>
      <c r="CT31" s="1015"/>
      <c r="CU31" s="1015"/>
      <c r="CV31" s="1015"/>
      <c r="CW31" s="1015"/>
      <c r="CX31" s="1015"/>
      <c r="CY31" s="1015"/>
      <c r="CZ31" s="1015"/>
      <c r="DA31" s="1015"/>
      <c r="DB31" s="1015"/>
      <c r="DC31" s="1015"/>
      <c r="DD31" s="1015"/>
      <c r="DE31" s="1015"/>
      <c r="DF31" s="1015"/>
      <c r="DG31" s="1015"/>
      <c r="DH31" s="1015"/>
      <c r="DI31" s="1015"/>
      <c r="DJ31" s="1015"/>
      <c r="DK31" s="1015"/>
      <c r="DL31" s="1015"/>
      <c r="DM31" s="1015"/>
      <c r="DN31" s="1015"/>
    </row>
    <row r="32" spans="1:118" ht="26.25" customHeight="1">
      <c r="A32" s="1016" t="s">
        <v>417</v>
      </c>
      <c r="B32" s="1021">
        <v>0.99505208333333317</v>
      </c>
      <c r="C32" s="1015"/>
      <c r="D32" s="1012" t="s">
        <v>38</v>
      </c>
      <c r="E32" s="1065" t="str">
        <f t="shared" ref="E32:F32" si="39">E1</f>
        <v>114-01月</v>
      </c>
      <c r="F32" s="1065" t="str">
        <f t="shared" si="39"/>
        <v>114-02月</v>
      </c>
      <c r="G32" s="1065" t="s">
        <v>794</v>
      </c>
      <c r="H32" s="1065" t="s">
        <v>817</v>
      </c>
      <c r="I32" s="1065" t="s">
        <v>818</v>
      </c>
      <c r="J32" s="1065" t="s">
        <v>819</v>
      </c>
      <c r="K32" s="1065" t="s">
        <v>820</v>
      </c>
      <c r="L32" s="1065" t="s">
        <v>821</v>
      </c>
      <c r="M32" s="1065" t="s">
        <v>16032</v>
      </c>
      <c r="N32" s="1065" t="s">
        <v>822</v>
      </c>
      <c r="O32" s="1065" t="s">
        <v>823</v>
      </c>
      <c r="P32" s="1065" t="s">
        <v>824</v>
      </c>
      <c r="Q32" s="1065" t="s">
        <v>16171</v>
      </c>
      <c r="R32" s="1065" t="s">
        <v>16203</v>
      </c>
      <c r="S32" s="1065" t="s">
        <v>16206</v>
      </c>
      <c r="T32" s="1065" t="s">
        <v>16757</v>
      </c>
      <c r="U32" s="1065" t="s">
        <v>17232</v>
      </c>
      <c r="V32" s="1065" t="s">
        <v>17318</v>
      </c>
      <c r="W32" s="1065" t="str">
        <f t="shared" ref="W32" si="40">W1</f>
        <v>115-07月</v>
      </c>
      <c r="X32" s="1066" t="s">
        <v>795</v>
      </c>
      <c r="Y32" s="1065" t="s">
        <v>38</v>
      </c>
      <c r="Z32" s="1065" t="str">
        <f t="shared" ref="Z32:AE32" si="41">Z$1</f>
        <v>115-02月</v>
      </c>
      <c r="AA32" s="1065" t="str">
        <f t="shared" si="41"/>
        <v>115-03月</v>
      </c>
      <c r="AB32" s="1065" t="str">
        <f t="shared" si="41"/>
        <v>115-04月</v>
      </c>
      <c r="AC32" s="1065" t="str">
        <f t="shared" si="41"/>
        <v>115-05月</v>
      </c>
      <c r="AD32" s="1065" t="str">
        <f t="shared" si="41"/>
        <v>115-06月</v>
      </c>
      <c r="AE32" s="1065" t="str">
        <f t="shared" si="41"/>
        <v>115-07月</v>
      </c>
      <c r="AF32" s="1067" t="s">
        <v>796</v>
      </c>
      <c r="AG32" s="1074" t="s">
        <v>797</v>
      </c>
      <c r="AH32" s="1015"/>
      <c r="AI32" s="1015"/>
      <c r="AJ32" s="1015"/>
      <c r="AK32" s="1015"/>
      <c r="AL32" s="1015"/>
      <c r="AM32" s="1015"/>
      <c r="AN32" s="1015"/>
      <c r="AO32" s="1015"/>
      <c r="AP32" s="1015"/>
      <c r="AQ32" s="1015"/>
      <c r="AR32" s="1015"/>
      <c r="AS32" s="1015"/>
      <c r="AT32" s="1015"/>
      <c r="AU32" s="1015"/>
      <c r="AV32" s="1015"/>
      <c r="AW32" s="1015"/>
      <c r="AX32" s="1015"/>
      <c r="AY32" s="1015"/>
      <c r="AZ32" s="1015"/>
      <c r="BA32" s="1015"/>
      <c r="BB32" s="1015"/>
      <c r="BC32" s="1015"/>
      <c r="BD32" s="1015"/>
      <c r="BE32" s="1015"/>
      <c r="BF32" s="1015"/>
      <c r="BG32" s="1015"/>
      <c r="BH32" s="1015"/>
      <c r="BI32" s="1015"/>
      <c r="BJ32" s="1015"/>
      <c r="BK32" s="1015"/>
      <c r="BL32" s="1015"/>
      <c r="BM32" s="1015"/>
      <c r="BN32" s="1015"/>
      <c r="BO32" s="1015"/>
      <c r="BP32" s="1015"/>
      <c r="BQ32" s="1015"/>
      <c r="BR32" s="1015"/>
      <c r="BS32" s="1015"/>
      <c r="BT32" s="1015"/>
      <c r="BU32" s="1015"/>
      <c r="BV32" s="1015"/>
      <c r="BW32" s="1015"/>
      <c r="BX32" s="1015"/>
      <c r="BY32" s="1015"/>
      <c r="BZ32" s="1015"/>
      <c r="CA32" s="1015"/>
      <c r="CB32" s="1015"/>
      <c r="CC32" s="1015"/>
      <c r="CD32" s="1015"/>
      <c r="CE32" s="1015"/>
      <c r="CF32" s="1015"/>
      <c r="CG32" s="1015"/>
      <c r="CH32" s="1015"/>
      <c r="CI32" s="1015"/>
      <c r="CJ32" s="1015"/>
      <c r="CK32" s="1015"/>
      <c r="CL32" s="1015"/>
      <c r="CM32" s="1015"/>
      <c r="CN32" s="1015"/>
      <c r="CO32" s="1015"/>
      <c r="CP32" s="1015"/>
      <c r="CQ32" s="1015"/>
      <c r="CR32" s="1015"/>
      <c r="CS32" s="1015"/>
      <c r="CT32" s="1015"/>
      <c r="CU32" s="1015"/>
      <c r="CV32" s="1015"/>
      <c r="CW32" s="1015"/>
      <c r="CX32" s="1015"/>
      <c r="CY32" s="1015"/>
      <c r="CZ32" s="1015"/>
      <c r="DA32" s="1015"/>
      <c r="DB32" s="1015"/>
      <c r="DC32" s="1015"/>
      <c r="DD32" s="1015"/>
      <c r="DE32" s="1015"/>
      <c r="DF32" s="1015"/>
      <c r="DG32" s="1015"/>
      <c r="DH32" s="1015"/>
      <c r="DI32" s="1015"/>
      <c r="DJ32" s="1015"/>
      <c r="DK32" s="1015"/>
      <c r="DL32" s="1015"/>
      <c r="DM32" s="1015"/>
      <c r="DN32" s="1015"/>
    </row>
    <row r="33" spans="1:118" ht="26.25" customHeight="1">
      <c r="A33" s="1024" t="s">
        <v>70</v>
      </c>
      <c r="B33" s="1022">
        <v>0.99486210488865545</v>
      </c>
      <c r="C33" s="1015"/>
      <c r="D33" s="1013" t="s">
        <v>235</v>
      </c>
      <c r="E33" s="1068">
        <v>0.99897806186868687</v>
      </c>
      <c r="F33" s="1068">
        <v>0.99262583614174837</v>
      </c>
      <c r="G33" s="1068">
        <v>0.99759114583333319</v>
      </c>
      <c r="H33" s="1068">
        <v>0.99743884332579147</v>
      </c>
      <c r="I33" s="1068">
        <v>0.99739761396011395</v>
      </c>
      <c r="J33" s="1068">
        <v>0.99853861416361434</v>
      </c>
      <c r="K33" s="1068">
        <v>0.99896314873027603</v>
      </c>
      <c r="L33" s="1068">
        <v>0.9893853822029226</v>
      </c>
      <c r="M33" s="1068">
        <v>0.99338155334249101</v>
      </c>
      <c r="N33" s="1068">
        <v>0.99844389912749298</v>
      </c>
      <c r="O33" s="1068">
        <v>0.99673798590565399</v>
      </c>
      <c r="P33" s="1068">
        <v>0.99664389690170907</v>
      </c>
      <c r="Q33" s="1068">
        <v>0.99799679487179471</v>
      </c>
      <c r="R33" s="1068">
        <v>0.99820104323780801</v>
      </c>
      <c r="S33" s="1068">
        <v>0.99705528846153835</v>
      </c>
      <c r="T33" s="1068">
        <v>0.99218689296814311</v>
      </c>
      <c r="U33" s="1068">
        <v>0.99728458867521386</v>
      </c>
      <c r="V33" s="1068">
        <v>0.99443042200854703</v>
      </c>
      <c r="W33" s="1068">
        <f t="shared" ref="W33:W38" si="42">GETPIVOTDATA("IAD",$A$3,"機台",$D33)</f>
        <v>0.99652030550468051</v>
      </c>
      <c r="X33" s="1066">
        <v>0.997</v>
      </c>
      <c r="Y33" s="1069" t="s">
        <v>235</v>
      </c>
      <c r="Z33" s="1068">
        <f t="shared" ref="Z33:AE33" si="43">HLOOKUP(Z$1,$E:$W,33,0)</f>
        <v>0.99820104323780801</v>
      </c>
      <c r="AA33" s="1068">
        <f t="shared" si="43"/>
        <v>0.99705528846153835</v>
      </c>
      <c r="AB33" s="1068">
        <f t="shared" si="43"/>
        <v>0.99218689296814311</v>
      </c>
      <c r="AC33" s="1068">
        <f t="shared" si="43"/>
        <v>0.99728458867521386</v>
      </c>
      <c r="AD33" s="1068">
        <f t="shared" si="43"/>
        <v>0.99443042200854703</v>
      </c>
      <c r="AE33" s="1068">
        <f t="shared" si="43"/>
        <v>0.99652030550468051</v>
      </c>
      <c r="AF33" s="1070">
        <v>0.997</v>
      </c>
      <c r="AG33" s="1073">
        <f t="shared" ref="AG33:AG39" si="44">IFERROR(AVERAGEIF(Z33:AE33,"&lt;&gt;0"),"")</f>
        <v>0.9959464234759885</v>
      </c>
      <c r="AH33" s="1015"/>
      <c r="AI33" s="1015"/>
      <c r="AJ33" s="1015"/>
      <c r="AK33" s="1015"/>
      <c r="AL33" s="1015"/>
      <c r="AM33" s="1015"/>
      <c r="AN33" s="1015"/>
      <c r="AO33" s="1015"/>
      <c r="AP33" s="1015"/>
      <c r="AQ33" s="1015"/>
      <c r="AR33" s="1015"/>
      <c r="AS33" s="1015"/>
      <c r="AT33" s="1015"/>
      <c r="AU33" s="1015"/>
      <c r="AV33" s="1015"/>
      <c r="AW33" s="1015"/>
      <c r="AX33" s="1015"/>
      <c r="AY33" s="1015"/>
      <c r="AZ33" s="1015"/>
      <c r="BA33" s="1015"/>
      <c r="BB33" s="1015"/>
      <c r="BC33" s="1015"/>
      <c r="BD33" s="1015"/>
      <c r="BE33" s="1015"/>
      <c r="BF33" s="1015"/>
      <c r="BG33" s="1015"/>
      <c r="BH33" s="1015"/>
      <c r="BI33" s="1015"/>
      <c r="BJ33" s="1015"/>
      <c r="BK33" s="1015"/>
      <c r="BL33" s="1015"/>
      <c r="BM33" s="1015"/>
      <c r="BN33" s="1015"/>
      <c r="BO33" s="1015"/>
      <c r="BP33" s="1015"/>
      <c r="BQ33" s="1015"/>
      <c r="BR33" s="1015"/>
      <c r="BS33" s="1015"/>
      <c r="BT33" s="1015"/>
      <c r="BU33" s="1015"/>
      <c r="BV33" s="1015"/>
      <c r="BW33" s="1015"/>
      <c r="BX33" s="1015"/>
      <c r="BY33" s="1015"/>
      <c r="BZ33" s="1015"/>
      <c r="CA33" s="1015"/>
      <c r="CB33" s="1015"/>
      <c r="CC33" s="1015"/>
      <c r="CD33" s="1015"/>
      <c r="CE33" s="1015"/>
      <c r="CF33" s="1015"/>
      <c r="CG33" s="1015"/>
      <c r="CH33" s="1015"/>
      <c r="CI33" s="1015"/>
      <c r="CJ33" s="1015"/>
      <c r="CK33" s="1015"/>
      <c r="CL33" s="1015"/>
      <c r="CM33" s="1015"/>
      <c r="CN33" s="1015"/>
      <c r="CO33" s="1015"/>
      <c r="CP33" s="1015"/>
      <c r="CQ33" s="1015"/>
      <c r="CR33" s="1015"/>
      <c r="CS33" s="1015"/>
      <c r="CT33" s="1015"/>
      <c r="CU33" s="1015"/>
      <c r="CV33" s="1015"/>
      <c r="CW33" s="1015"/>
      <c r="CX33" s="1015"/>
      <c r="CY33" s="1015"/>
      <c r="CZ33" s="1015"/>
      <c r="DA33" s="1015"/>
      <c r="DB33" s="1015"/>
      <c r="DC33" s="1015"/>
      <c r="DD33" s="1015"/>
      <c r="DE33" s="1015"/>
      <c r="DF33" s="1015"/>
      <c r="DG33" s="1015"/>
      <c r="DH33" s="1015"/>
      <c r="DI33" s="1015"/>
      <c r="DJ33" s="1015"/>
      <c r="DK33" s="1015"/>
      <c r="DL33" s="1015"/>
      <c r="DM33" s="1015"/>
      <c r="DN33" s="1015"/>
    </row>
    <row r="34" spans="1:118" ht="26.25" customHeight="1">
      <c r="A34" s="1018"/>
      <c r="B34" s="1018"/>
      <c r="C34" s="1015"/>
      <c r="D34" s="1013" t="s">
        <v>237</v>
      </c>
      <c r="E34" s="1068">
        <v>0.99844175681089753</v>
      </c>
      <c r="F34" s="1068">
        <v>0.99663461538461551</v>
      </c>
      <c r="G34" s="1068">
        <v>0.99837334506452147</v>
      </c>
      <c r="H34" s="1068">
        <v>0.99877215309200607</v>
      </c>
      <c r="I34" s="1068">
        <v>0.9950239430708181</v>
      </c>
      <c r="J34" s="1068">
        <v>0.99887714652386916</v>
      </c>
      <c r="K34" s="1068">
        <v>0.99878334070144426</v>
      </c>
      <c r="L34" s="1068">
        <v>0.99581739385166812</v>
      </c>
      <c r="M34" s="1068">
        <v>0.99806523771367495</v>
      </c>
      <c r="N34" s="1068">
        <v>0.99765086503997802</v>
      </c>
      <c r="O34" s="1068">
        <v>0.99825671691991136</v>
      </c>
      <c r="P34" s="1068">
        <v>0.99703970797720809</v>
      </c>
      <c r="Q34" s="1068">
        <v>0.99703970797720787</v>
      </c>
      <c r="R34" s="1068">
        <v>0.99881588319088321</v>
      </c>
      <c r="S34" s="1068">
        <v>0.99634424603174576</v>
      </c>
      <c r="T34" s="1068">
        <v>0.99507833222811681</v>
      </c>
      <c r="U34" s="1068">
        <v>0.994405448717949</v>
      </c>
      <c r="V34" s="1068">
        <v>0.98839540701019069</v>
      </c>
      <c r="W34" s="1068">
        <f t="shared" si="42"/>
        <v>0.99285616245251651</v>
      </c>
      <c r="Y34" s="1069" t="s">
        <v>237</v>
      </c>
      <c r="Z34" s="1068">
        <f t="shared" ref="Z34:AE34" si="45">HLOOKUP(Z$1,$E:$W,34,0)</f>
        <v>0.99881588319088321</v>
      </c>
      <c r="AA34" s="1068">
        <f t="shared" si="45"/>
        <v>0.99634424603174576</v>
      </c>
      <c r="AB34" s="1068">
        <f t="shared" si="45"/>
        <v>0.99507833222811681</v>
      </c>
      <c r="AC34" s="1068">
        <f t="shared" si="45"/>
        <v>0.994405448717949</v>
      </c>
      <c r="AD34" s="1068">
        <f t="shared" si="45"/>
        <v>0.98839540701019069</v>
      </c>
      <c r="AE34" s="1068">
        <f t="shared" si="45"/>
        <v>0.99285616245251651</v>
      </c>
      <c r="AF34" s="1070">
        <v>0.997</v>
      </c>
      <c r="AG34" s="1073">
        <f t="shared" si="44"/>
        <v>0.9943159132719005</v>
      </c>
      <c r="AH34" s="1015"/>
      <c r="AI34" s="1015"/>
      <c r="AJ34" s="1015"/>
      <c r="AK34" s="1015"/>
      <c r="AL34" s="1015"/>
      <c r="AM34" s="1015"/>
      <c r="AN34" s="1015"/>
      <c r="AO34" s="1015"/>
      <c r="AP34" s="1015"/>
      <c r="AQ34" s="1015"/>
      <c r="AR34" s="1015"/>
      <c r="AS34" s="1015"/>
      <c r="AT34" s="1015"/>
      <c r="AU34" s="1015"/>
      <c r="AV34" s="1015"/>
      <c r="AW34" s="1015"/>
      <c r="AX34" s="1015"/>
      <c r="AY34" s="1015"/>
      <c r="AZ34" s="1015"/>
      <c r="BA34" s="1015"/>
      <c r="BB34" s="1015"/>
      <c r="BC34" s="1015"/>
      <c r="BD34" s="1015"/>
      <c r="BE34" s="1015"/>
      <c r="BF34" s="1015"/>
      <c r="BG34" s="1015"/>
      <c r="BH34" s="1015"/>
      <c r="BI34" s="1015"/>
      <c r="BJ34" s="1015"/>
      <c r="BK34" s="1015"/>
      <c r="BL34" s="1015"/>
      <c r="BM34" s="1015"/>
      <c r="BN34" s="1015"/>
      <c r="BO34" s="1015"/>
      <c r="BP34" s="1015"/>
      <c r="BQ34" s="1015"/>
      <c r="BR34" s="1015"/>
      <c r="BS34" s="1015"/>
      <c r="BT34" s="1015"/>
      <c r="BU34" s="1015"/>
      <c r="BV34" s="1015"/>
      <c r="BW34" s="1015"/>
      <c r="BX34" s="1015"/>
      <c r="BY34" s="1015"/>
      <c r="BZ34" s="1015"/>
      <c r="CA34" s="1015"/>
      <c r="CB34" s="1015"/>
      <c r="CC34" s="1015"/>
      <c r="CD34" s="1015"/>
      <c r="CE34" s="1015"/>
      <c r="CF34" s="1015"/>
      <c r="CG34" s="1015"/>
      <c r="CH34" s="1015"/>
      <c r="CI34" s="1015"/>
      <c r="CJ34" s="1015"/>
      <c r="CK34" s="1015"/>
      <c r="CL34" s="1015"/>
      <c r="CM34" s="1015"/>
      <c r="CN34" s="1015"/>
      <c r="CO34" s="1015"/>
      <c r="CP34" s="1015"/>
      <c r="CQ34" s="1015"/>
      <c r="CR34" s="1015"/>
      <c r="CS34" s="1015"/>
      <c r="CT34" s="1015"/>
      <c r="CU34" s="1015"/>
      <c r="CV34" s="1015"/>
      <c r="CW34" s="1015"/>
      <c r="CX34" s="1015"/>
      <c r="CY34" s="1015"/>
      <c r="CZ34" s="1015"/>
      <c r="DA34" s="1015"/>
      <c r="DB34" s="1015"/>
      <c r="DC34" s="1015"/>
      <c r="DD34" s="1015"/>
      <c r="DE34" s="1015"/>
      <c r="DF34" s="1015"/>
      <c r="DG34" s="1015"/>
      <c r="DH34" s="1015"/>
      <c r="DI34" s="1015"/>
      <c r="DJ34" s="1015"/>
      <c r="DK34" s="1015"/>
      <c r="DL34" s="1015"/>
      <c r="DM34" s="1015"/>
      <c r="DN34" s="1015"/>
    </row>
    <row r="35" spans="1:118" ht="26.25" customHeight="1">
      <c r="A35" s="1018"/>
      <c r="B35" s="1018"/>
      <c r="C35" s="1015"/>
      <c r="D35" s="1013" t="s">
        <v>238</v>
      </c>
      <c r="E35" s="1068">
        <v>0.99893545015940843</v>
      </c>
      <c r="F35" s="1068">
        <v>0.99674788550569793</v>
      </c>
      <c r="G35" s="1068">
        <v>0.99759655853405815</v>
      </c>
      <c r="H35" s="1068">
        <v>0.99663374732905996</v>
      </c>
      <c r="I35" s="1068">
        <v>0.99641659212880118</v>
      </c>
      <c r="J35" s="1068">
        <v>0.99403736454517699</v>
      </c>
      <c r="K35" s="1068">
        <v>0.99840356815803222</v>
      </c>
      <c r="L35" s="1068">
        <v>0.99772704227999409</v>
      </c>
      <c r="M35" s="1068">
        <v>0.99822802904400143</v>
      </c>
      <c r="N35" s="1068">
        <v>0.99894204059829061</v>
      </c>
      <c r="O35" s="1068">
        <v>0.9983161948005701</v>
      </c>
      <c r="P35" s="1068">
        <v>0.99835722003690774</v>
      </c>
      <c r="Q35" s="1068">
        <v>0.99685861962473288</v>
      </c>
      <c r="R35" s="1068">
        <v>0.9940972222222223</v>
      </c>
      <c r="S35" s="1068">
        <v>0.99699519230769218</v>
      </c>
      <c r="T35" s="1068">
        <v>0.99887709223646715</v>
      </c>
      <c r="U35" s="1068">
        <v>0.99915326888613187</v>
      </c>
      <c r="V35" s="1068">
        <v>0.99866567758413471</v>
      </c>
      <c r="W35" s="1068">
        <f t="shared" si="42"/>
        <v>0.99527874228395063</v>
      </c>
      <c r="Y35" s="1069" t="s">
        <v>238</v>
      </c>
      <c r="Z35" s="1068">
        <f t="shared" ref="Z35:AE35" si="46">HLOOKUP(Z$1,$E:$W,35,0)</f>
        <v>0.9940972222222223</v>
      </c>
      <c r="AA35" s="1068">
        <f t="shared" si="46"/>
        <v>0.99699519230769218</v>
      </c>
      <c r="AB35" s="1068">
        <f t="shared" si="46"/>
        <v>0.99887709223646715</v>
      </c>
      <c r="AC35" s="1068">
        <f t="shared" si="46"/>
        <v>0.99915326888613187</v>
      </c>
      <c r="AD35" s="1068">
        <f t="shared" si="46"/>
        <v>0.99866567758413471</v>
      </c>
      <c r="AE35" s="1068">
        <f t="shared" si="46"/>
        <v>0.99527874228395063</v>
      </c>
      <c r="AF35" s="1070">
        <v>0.997</v>
      </c>
      <c r="AG35" s="1073">
        <f t="shared" si="44"/>
        <v>0.99717786592009983</v>
      </c>
      <c r="AH35" s="1015"/>
      <c r="AI35" s="1015"/>
      <c r="AJ35" s="1015"/>
      <c r="AK35" s="1015"/>
      <c r="AL35" s="1015"/>
      <c r="AM35" s="1015"/>
      <c r="AN35" s="1015"/>
      <c r="AO35" s="1015"/>
      <c r="AP35" s="1015"/>
      <c r="AQ35" s="1015"/>
      <c r="AR35" s="1015"/>
      <c r="AS35" s="1015"/>
      <c r="AT35" s="1015"/>
      <c r="AU35" s="1015"/>
      <c r="AV35" s="1015"/>
      <c r="AW35" s="1015"/>
      <c r="AX35" s="1015"/>
      <c r="AY35" s="1015"/>
      <c r="AZ35" s="1015"/>
      <c r="BA35" s="1015"/>
      <c r="BB35" s="1015"/>
      <c r="BC35" s="1015"/>
      <c r="BD35" s="1015"/>
      <c r="BE35" s="1015"/>
      <c r="BF35" s="1015"/>
      <c r="BG35" s="1015"/>
      <c r="BH35" s="1015"/>
      <c r="BI35" s="1015"/>
      <c r="BJ35" s="1015"/>
      <c r="BK35" s="1015"/>
      <c r="BL35" s="1015"/>
      <c r="BM35" s="1015"/>
      <c r="BN35" s="1015"/>
      <c r="BO35" s="1015"/>
      <c r="BP35" s="1015"/>
      <c r="BQ35" s="1015"/>
      <c r="BR35" s="1015"/>
      <c r="BS35" s="1015"/>
      <c r="BT35" s="1015"/>
      <c r="BU35" s="1015"/>
      <c r="BV35" s="1015"/>
      <c r="BW35" s="1015"/>
      <c r="BX35" s="1015"/>
      <c r="BY35" s="1015"/>
      <c r="BZ35" s="1015"/>
      <c r="CA35" s="1015"/>
      <c r="CB35" s="1015"/>
      <c r="CC35" s="1015"/>
      <c r="CD35" s="1015"/>
      <c r="CE35" s="1015"/>
      <c r="CF35" s="1015"/>
      <c r="CG35" s="1015"/>
      <c r="CH35" s="1015"/>
      <c r="CI35" s="1015"/>
      <c r="CJ35" s="1015"/>
      <c r="CK35" s="1015"/>
      <c r="CL35" s="1015"/>
      <c r="CM35" s="1015"/>
      <c r="CN35" s="1015"/>
      <c r="CO35" s="1015"/>
      <c r="CP35" s="1015"/>
      <c r="CQ35" s="1015"/>
      <c r="CR35" s="1015"/>
      <c r="CS35" s="1015"/>
      <c r="CT35" s="1015"/>
      <c r="CU35" s="1015"/>
      <c r="CV35" s="1015"/>
      <c r="CW35" s="1015"/>
      <c r="CX35" s="1015"/>
      <c r="CY35" s="1015"/>
      <c r="CZ35" s="1015"/>
      <c r="DA35" s="1015"/>
      <c r="DB35" s="1015"/>
      <c r="DC35" s="1015"/>
      <c r="DD35" s="1015"/>
      <c r="DE35" s="1015"/>
      <c r="DF35" s="1015"/>
      <c r="DG35" s="1015"/>
      <c r="DH35" s="1015"/>
      <c r="DI35" s="1015"/>
      <c r="DJ35" s="1015"/>
      <c r="DK35" s="1015"/>
      <c r="DL35" s="1015"/>
      <c r="DM35" s="1015"/>
      <c r="DN35" s="1015"/>
    </row>
    <row r="36" spans="1:118" ht="26.25" customHeight="1">
      <c r="A36" s="1018"/>
      <c r="B36" s="1018"/>
      <c r="C36" s="1015"/>
      <c r="D36" s="1013" t="s">
        <v>239</v>
      </c>
      <c r="E36" s="1068">
        <v>0.99821714743589762</v>
      </c>
      <c r="F36" s="1068">
        <v>0.99491144163995737</v>
      </c>
      <c r="G36" s="1068">
        <v>0.99883086748321115</v>
      </c>
      <c r="H36" s="1068">
        <v>0.99869934752747247</v>
      </c>
      <c r="I36" s="1068">
        <v>0.99790564903846135</v>
      </c>
      <c r="J36" s="1068">
        <v>0.99863259202144816</v>
      </c>
      <c r="K36" s="1068">
        <v>0.99835020755430914</v>
      </c>
      <c r="L36" s="1068">
        <v>0.99757116763165143</v>
      </c>
      <c r="M36" s="1068">
        <v>0.99913534068302357</v>
      </c>
      <c r="N36" s="1068">
        <v>0.99879446754446743</v>
      </c>
      <c r="O36" s="1068">
        <v>0.9976938743014464</v>
      </c>
      <c r="P36" s="1068">
        <v>0.99643143315018323</v>
      </c>
      <c r="Q36" s="1068">
        <v>0.98493923611111123</v>
      </c>
      <c r="R36" s="1068">
        <v>0.9966414004342431</v>
      </c>
      <c r="S36" s="1068">
        <v>0.99528806875314213</v>
      </c>
      <c r="T36" s="1068">
        <v>0.99728912927350422</v>
      </c>
      <c r="U36" s="1068">
        <v>0.99665297809829057</v>
      </c>
      <c r="V36" s="1068">
        <v>0.99259848014888308</v>
      </c>
      <c r="W36" s="1068">
        <f t="shared" si="42"/>
        <v>0.99112980769230763</v>
      </c>
      <c r="Y36" s="1069" t="s">
        <v>239</v>
      </c>
      <c r="Z36" s="1068">
        <f t="shared" ref="Z36:AE36" si="47">HLOOKUP(Z$1,$E:$W,36,0)</f>
        <v>0.9966414004342431</v>
      </c>
      <c r="AA36" s="1068">
        <f t="shared" si="47"/>
        <v>0.99528806875314213</v>
      </c>
      <c r="AB36" s="1068">
        <f t="shared" si="47"/>
        <v>0.99728912927350422</v>
      </c>
      <c r="AC36" s="1068">
        <f t="shared" si="47"/>
        <v>0.99665297809829057</v>
      </c>
      <c r="AD36" s="1068">
        <f t="shared" si="47"/>
        <v>0.99259848014888308</v>
      </c>
      <c r="AE36" s="1068">
        <f t="shared" si="47"/>
        <v>0.99112980769230763</v>
      </c>
      <c r="AF36" s="1070">
        <v>0.997</v>
      </c>
      <c r="AG36" s="1073">
        <f t="shared" si="44"/>
        <v>0.99493331073339508</v>
      </c>
      <c r="AH36" s="1015"/>
      <c r="AI36" s="1015"/>
      <c r="AJ36" s="1015"/>
      <c r="AK36" s="1015"/>
      <c r="AL36" s="1015"/>
      <c r="AM36" s="1015"/>
      <c r="AN36" s="1015"/>
      <c r="AO36" s="1015"/>
      <c r="AP36" s="1015"/>
      <c r="AQ36" s="1015"/>
      <c r="AR36" s="1015"/>
      <c r="AS36" s="1015"/>
      <c r="AT36" s="1015"/>
      <c r="AU36" s="1015"/>
      <c r="AV36" s="1015"/>
      <c r="AW36" s="1015"/>
      <c r="AX36" s="1015"/>
      <c r="AY36" s="1015"/>
      <c r="AZ36" s="1015"/>
      <c r="BA36" s="1015"/>
      <c r="BB36" s="1015"/>
      <c r="BC36" s="1015"/>
      <c r="BD36" s="1015"/>
      <c r="BE36" s="1015"/>
      <c r="BF36" s="1015"/>
      <c r="BG36" s="1015"/>
      <c r="BH36" s="1015"/>
      <c r="BI36" s="1015"/>
      <c r="BJ36" s="1015"/>
      <c r="BK36" s="1015"/>
      <c r="BL36" s="1015"/>
      <c r="BM36" s="1015"/>
      <c r="BN36" s="1015"/>
      <c r="BO36" s="1015"/>
      <c r="BP36" s="1015"/>
      <c r="BQ36" s="1015"/>
      <c r="BR36" s="1015"/>
      <c r="BS36" s="1015"/>
      <c r="BT36" s="1015"/>
      <c r="BU36" s="1015"/>
      <c r="BV36" s="1015"/>
      <c r="BW36" s="1015"/>
      <c r="BX36" s="1015"/>
      <c r="BY36" s="1015"/>
      <c r="BZ36" s="1015"/>
      <c r="CA36" s="1015"/>
      <c r="CB36" s="1015"/>
      <c r="CC36" s="1015"/>
      <c r="CD36" s="1015"/>
      <c r="CE36" s="1015"/>
      <c r="CF36" s="1015"/>
      <c r="CG36" s="1015"/>
      <c r="CH36" s="1015"/>
      <c r="CI36" s="1015"/>
      <c r="CJ36" s="1015"/>
      <c r="CK36" s="1015"/>
      <c r="CL36" s="1015"/>
      <c r="CM36" s="1015"/>
      <c r="CN36" s="1015"/>
      <c r="CO36" s="1015"/>
      <c r="CP36" s="1015"/>
      <c r="CQ36" s="1015"/>
      <c r="CR36" s="1015"/>
      <c r="CS36" s="1015"/>
      <c r="CT36" s="1015"/>
      <c r="CU36" s="1015"/>
      <c r="CV36" s="1015"/>
      <c r="CW36" s="1015"/>
      <c r="CX36" s="1015"/>
      <c r="CY36" s="1015"/>
      <c r="CZ36" s="1015"/>
      <c r="DA36" s="1015"/>
      <c r="DB36" s="1015"/>
      <c r="DC36" s="1015"/>
      <c r="DD36" s="1015"/>
      <c r="DE36" s="1015"/>
      <c r="DF36" s="1015"/>
      <c r="DG36" s="1015"/>
      <c r="DH36" s="1015"/>
      <c r="DI36" s="1015"/>
      <c r="DJ36" s="1015"/>
      <c r="DK36" s="1015"/>
      <c r="DL36" s="1015"/>
      <c r="DM36" s="1015"/>
      <c r="DN36" s="1015"/>
    </row>
    <row r="37" spans="1:118" ht="26.25" customHeight="1">
      <c r="A37" s="1018"/>
      <c r="B37" s="1018"/>
      <c r="C37" s="1015"/>
      <c r="D37" s="1013" t="s">
        <v>388</v>
      </c>
      <c r="E37" s="1068">
        <v>0.99860083459542592</v>
      </c>
      <c r="F37" s="1068">
        <v>0.99793836805555558</v>
      </c>
      <c r="G37" s="1068">
        <v>0.99874759615384634</v>
      </c>
      <c r="H37" s="1068">
        <v>0.99915765224358943</v>
      </c>
      <c r="I37" s="1068">
        <v>0.99745796172426604</v>
      </c>
      <c r="J37" s="1068">
        <v>0.99854250133547018</v>
      </c>
      <c r="K37" s="1068">
        <v>0.99592033528154866</v>
      </c>
      <c r="L37" s="1068">
        <v>0.99768909324686927</v>
      </c>
      <c r="M37" s="1068">
        <v>0.99671978712038545</v>
      </c>
      <c r="N37" s="1068">
        <v>0.9977644359179817</v>
      </c>
      <c r="O37" s="1068">
        <v>0.99786754961784996</v>
      </c>
      <c r="P37" s="1068">
        <v>0.99768629807692311</v>
      </c>
      <c r="Q37" s="1068">
        <v>0.99850631380579291</v>
      </c>
      <c r="R37" s="1068">
        <v>0.9952184829059828</v>
      </c>
      <c r="S37" s="1068">
        <v>0.99432182648700496</v>
      </c>
      <c r="T37" s="1068">
        <v>0.9975765823017978</v>
      </c>
      <c r="U37" s="1068">
        <v>0.99897991257556784</v>
      </c>
      <c r="V37" s="1068">
        <v>0.99850777116402123</v>
      </c>
      <c r="W37" s="1068">
        <f t="shared" si="42"/>
        <v>0.99835069444444446</v>
      </c>
      <c r="Y37" s="1069" t="s">
        <v>388</v>
      </c>
      <c r="Z37" s="1068">
        <f t="shared" ref="Z37:AE37" si="48">HLOOKUP(Z$1,$E:$W,37,0)</f>
        <v>0.9952184829059828</v>
      </c>
      <c r="AA37" s="1068">
        <f t="shared" si="48"/>
        <v>0.99432182648700496</v>
      </c>
      <c r="AB37" s="1068">
        <f t="shared" si="48"/>
        <v>0.9975765823017978</v>
      </c>
      <c r="AC37" s="1068">
        <f t="shared" si="48"/>
        <v>0.99897991257556784</v>
      </c>
      <c r="AD37" s="1068">
        <f t="shared" si="48"/>
        <v>0.99850777116402123</v>
      </c>
      <c r="AE37" s="1068">
        <f t="shared" si="48"/>
        <v>0.99835069444444446</v>
      </c>
      <c r="AF37" s="1070">
        <v>0.997</v>
      </c>
      <c r="AG37" s="1073">
        <f t="shared" si="44"/>
        <v>0.99715921164646992</v>
      </c>
      <c r="AH37" s="1015"/>
      <c r="AI37" s="1015"/>
      <c r="AJ37" s="1015"/>
      <c r="AK37" s="1015"/>
      <c r="AL37" s="1015"/>
      <c r="AM37" s="1015"/>
      <c r="AN37" s="1015"/>
      <c r="AO37" s="1015"/>
      <c r="AP37" s="1015"/>
      <c r="AQ37" s="1015"/>
      <c r="AR37" s="1015"/>
      <c r="AS37" s="1015"/>
      <c r="AT37" s="1015"/>
      <c r="AU37" s="1015"/>
      <c r="AV37" s="1015"/>
      <c r="AW37" s="1015"/>
      <c r="AX37" s="1015"/>
      <c r="AY37" s="1015"/>
      <c r="AZ37" s="1015"/>
      <c r="BA37" s="1015"/>
      <c r="BB37" s="1015"/>
      <c r="BC37" s="1015"/>
      <c r="BD37" s="1015"/>
      <c r="BE37" s="1015"/>
      <c r="BF37" s="1015"/>
      <c r="BG37" s="1015"/>
      <c r="BH37" s="1015"/>
      <c r="BI37" s="1015"/>
      <c r="BJ37" s="1015"/>
      <c r="BK37" s="1015"/>
      <c r="BL37" s="1015"/>
      <c r="BM37" s="1015"/>
      <c r="BN37" s="1015"/>
      <c r="BO37" s="1015"/>
      <c r="BP37" s="1015"/>
      <c r="BQ37" s="1015"/>
      <c r="BR37" s="1015"/>
      <c r="BS37" s="1015"/>
      <c r="BT37" s="1015"/>
      <c r="BU37" s="1015"/>
      <c r="BV37" s="1015"/>
      <c r="BW37" s="1015"/>
      <c r="BX37" s="1015"/>
      <c r="BY37" s="1015"/>
      <c r="BZ37" s="1015"/>
      <c r="CA37" s="1015"/>
      <c r="CB37" s="1015"/>
      <c r="CC37" s="1015"/>
      <c r="CD37" s="1015"/>
      <c r="CE37" s="1015"/>
      <c r="CF37" s="1015"/>
      <c r="CG37" s="1015"/>
      <c r="CH37" s="1015"/>
      <c r="CI37" s="1015"/>
      <c r="CJ37" s="1015"/>
      <c r="CK37" s="1015"/>
      <c r="CL37" s="1015"/>
      <c r="CM37" s="1015"/>
      <c r="CN37" s="1015"/>
      <c r="CO37" s="1015"/>
      <c r="CP37" s="1015"/>
      <c r="CQ37" s="1015"/>
      <c r="CR37" s="1015"/>
      <c r="CS37" s="1015"/>
      <c r="CT37" s="1015"/>
      <c r="CU37" s="1015"/>
      <c r="CV37" s="1015"/>
      <c r="CW37" s="1015"/>
      <c r="CX37" s="1015"/>
      <c r="CY37" s="1015"/>
      <c r="CZ37" s="1015"/>
      <c r="DA37" s="1015"/>
      <c r="DB37" s="1015"/>
      <c r="DC37" s="1015"/>
      <c r="DD37" s="1015"/>
      <c r="DE37" s="1015"/>
      <c r="DF37" s="1015"/>
      <c r="DG37" s="1015"/>
      <c r="DH37" s="1015"/>
      <c r="DI37" s="1015"/>
      <c r="DJ37" s="1015"/>
      <c r="DK37" s="1015"/>
      <c r="DL37" s="1015"/>
      <c r="DM37" s="1015"/>
      <c r="DN37" s="1015"/>
    </row>
    <row r="38" spans="1:118" ht="26.25" customHeight="1">
      <c r="A38" s="1018"/>
      <c r="B38" s="1018"/>
      <c r="C38" s="1015"/>
      <c r="D38" s="1013" t="s">
        <v>417</v>
      </c>
      <c r="E38" s="1068">
        <v>0.99879557291666665</v>
      </c>
      <c r="F38" s="1068">
        <v>0.99691666666666667</v>
      </c>
      <c r="G38" s="1068">
        <v>0.99628390932738775</v>
      </c>
      <c r="H38" s="1068">
        <v>0.99793361201822295</v>
      </c>
      <c r="I38" s="1068">
        <v>0.99879930696131336</v>
      </c>
      <c r="J38" s="1068">
        <v>0.99340804261176818</v>
      </c>
      <c r="K38" s="1068">
        <v>0.99800713399503715</v>
      </c>
      <c r="L38" s="1068">
        <v>0.99644949160035368</v>
      </c>
      <c r="M38" s="1068">
        <v>0.99788350249287738</v>
      </c>
      <c r="N38" s="1068">
        <v>0.99850170529257065</v>
      </c>
      <c r="O38" s="1068">
        <v>0.99711769600591726</v>
      </c>
      <c r="P38" s="1068">
        <v>0.99676240605658695</v>
      </c>
      <c r="Q38" s="1068">
        <v>0.99822382478632476</v>
      </c>
      <c r="R38" s="1068">
        <v>0.99441068672839505</v>
      </c>
      <c r="S38" s="1068">
        <v>0.99710232023411383</v>
      </c>
      <c r="T38" s="1068">
        <v>0.98652757455406925</v>
      </c>
      <c r="U38" s="1068">
        <v>0.99147035256410265</v>
      </c>
      <c r="V38" s="1068">
        <v>0.99627256944444453</v>
      </c>
      <c r="W38" s="1068">
        <f t="shared" si="42"/>
        <v>0.99505208333333317</v>
      </c>
      <c r="Y38" s="1069" t="s">
        <v>417</v>
      </c>
      <c r="Z38" s="1068">
        <f t="shared" ref="Z38:AE38" si="49">HLOOKUP(Z$1,$E:$W,38,0)</f>
        <v>0.99441068672839505</v>
      </c>
      <c r="AA38" s="1068">
        <f t="shared" si="49"/>
        <v>0.99710232023411383</v>
      </c>
      <c r="AB38" s="1068">
        <f t="shared" si="49"/>
        <v>0.98652757455406925</v>
      </c>
      <c r="AC38" s="1068">
        <f t="shared" si="49"/>
        <v>0.99147035256410265</v>
      </c>
      <c r="AD38" s="1068">
        <f t="shared" si="49"/>
        <v>0.99627256944444453</v>
      </c>
      <c r="AE38" s="1068">
        <f t="shared" si="49"/>
        <v>0.99505208333333317</v>
      </c>
      <c r="AF38" s="1070">
        <v>0.997</v>
      </c>
      <c r="AG38" s="1073">
        <f t="shared" si="44"/>
        <v>0.99347259780974317</v>
      </c>
      <c r="AH38" s="1015"/>
      <c r="AI38" s="1015"/>
      <c r="AJ38" s="1015"/>
      <c r="AK38" s="1015"/>
      <c r="AL38" s="1015"/>
      <c r="AM38" s="1015"/>
      <c r="AN38" s="1015"/>
      <c r="AO38" s="1015"/>
      <c r="AP38" s="1015"/>
      <c r="AQ38" s="1015"/>
      <c r="AR38" s="1015"/>
      <c r="AS38" s="1015"/>
      <c r="AT38" s="1015"/>
      <c r="AU38" s="1015"/>
      <c r="AV38" s="1015"/>
      <c r="AW38" s="1015"/>
      <c r="AX38" s="1015"/>
      <c r="AY38" s="1015"/>
      <c r="AZ38" s="1015"/>
      <c r="BA38" s="1015"/>
      <c r="BB38" s="1015"/>
      <c r="BC38" s="1015"/>
      <c r="BD38" s="1015"/>
      <c r="BE38" s="1015"/>
      <c r="BF38" s="1015"/>
      <c r="BG38" s="1015"/>
      <c r="BH38" s="1015"/>
      <c r="BI38" s="1015"/>
      <c r="BJ38" s="1015"/>
      <c r="BK38" s="1015"/>
      <c r="BL38" s="1015"/>
      <c r="BM38" s="1015"/>
      <c r="BN38" s="1015"/>
      <c r="BO38" s="1015"/>
      <c r="BP38" s="1015"/>
      <c r="BQ38" s="1015"/>
      <c r="BR38" s="1015"/>
      <c r="BS38" s="1015"/>
      <c r="BT38" s="1015"/>
      <c r="BU38" s="1015"/>
      <c r="BV38" s="1015"/>
      <c r="BW38" s="1015"/>
      <c r="BX38" s="1015"/>
      <c r="BY38" s="1015"/>
      <c r="BZ38" s="1015"/>
      <c r="CA38" s="1015"/>
      <c r="CB38" s="1015"/>
      <c r="CC38" s="1015"/>
      <c r="CD38" s="1015"/>
      <c r="CE38" s="1015"/>
      <c r="CF38" s="1015"/>
      <c r="CG38" s="1015"/>
      <c r="CH38" s="1015"/>
      <c r="CI38" s="1015"/>
      <c r="CJ38" s="1015"/>
      <c r="CK38" s="1015"/>
      <c r="CL38" s="1015"/>
      <c r="CM38" s="1015"/>
      <c r="CN38" s="1015"/>
      <c r="CO38" s="1015"/>
      <c r="CP38" s="1015"/>
      <c r="CQ38" s="1015"/>
      <c r="CR38" s="1015"/>
      <c r="CS38" s="1015"/>
      <c r="CT38" s="1015"/>
      <c r="CU38" s="1015"/>
      <c r="CV38" s="1015"/>
      <c r="CW38" s="1015"/>
      <c r="CX38" s="1015"/>
      <c r="CY38" s="1015"/>
      <c r="CZ38" s="1015"/>
      <c r="DA38" s="1015"/>
      <c r="DB38" s="1015"/>
      <c r="DC38" s="1015"/>
      <c r="DD38" s="1015"/>
      <c r="DE38" s="1015"/>
      <c r="DF38" s="1015"/>
      <c r="DG38" s="1015"/>
      <c r="DH38" s="1015"/>
      <c r="DI38" s="1015"/>
      <c r="DJ38" s="1015"/>
      <c r="DK38" s="1015"/>
      <c r="DL38" s="1015"/>
      <c r="DM38" s="1015"/>
      <c r="DN38" s="1015"/>
    </row>
    <row r="39" spans="1:118" ht="26.25" customHeight="1">
      <c r="A39" s="1018"/>
      <c r="B39" s="1018"/>
      <c r="C39" s="1015"/>
      <c r="D39" s="1017" t="s">
        <v>810</v>
      </c>
      <c r="E39" s="1073">
        <f t="shared" ref="E39:N39" si="50">IFERROR(AVERAGEIF(E33:E38,"&lt;&gt;0"),"")</f>
        <v>0.99866147063116373</v>
      </c>
      <c r="F39" s="1073">
        <f t="shared" si="50"/>
        <v>0.99596246889904017</v>
      </c>
      <c r="G39" s="1073">
        <f t="shared" si="50"/>
        <v>0.99790390373272631</v>
      </c>
      <c r="H39" s="1073">
        <f t="shared" si="50"/>
        <v>0.99810589258935722</v>
      </c>
      <c r="I39" s="1073">
        <f t="shared" si="50"/>
        <v>0.99716684448062898</v>
      </c>
      <c r="J39" s="1073">
        <f t="shared" si="50"/>
        <v>0.99700604353355782</v>
      </c>
      <c r="K39" s="1073">
        <f t="shared" si="50"/>
        <v>0.99807128907010778</v>
      </c>
      <c r="L39" s="1073">
        <f t="shared" si="50"/>
        <v>0.99577326180224324</v>
      </c>
      <c r="M39" s="1073">
        <f t="shared" si="50"/>
        <v>0.99723557506607552</v>
      </c>
      <c r="N39" s="1073">
        <f t="shared" si="50"/>
        <v>0.99834956892013016</v>
      </c>
      <c r="O39" s="1073">
        <v>0.99766500292522486</v>
      </c>
      <c r="P39" s="1073">
        <v>0.99715349369991968</v>
      </c>
      <c r="Q39" s="1073">
        <v>0.99559408286282747</v>
      </c>
      <c r="R39" s="1073">
        <v>0.99623078645325569</v>
      </c>
      <c r="S39" s="1073">
        <v>0.9961844903792062</v>
      </c>
      <c r="T39" s="1073">
        <v>0.99458926726034969</v>
      </c>
      <c r="U39" s="1073">
        <v>0.99632442491954265</v>
      </c>
      <c r="V39" s="1073">
        <v>0.99481172122670358</v>
      </c>
      <c r="W39" s="1073">
        <f t="shared" ref="W39" si="51">IFERROR(AVERAGEIF(W33:W38,"&lt;&gt;0"),"")</f>
        <v>0.99486463261853875</v>
      </c>
      <c r="Y39" s="1074" t="s">
        <v>810</v>
      </c>
      <c r="Z39" s="1073">
        <f t="shared" ref="Z39:AE39" si="52">HLOOKUP(Z$1,$E:$W,39,0)</f>
        <v>0.99623078645325569</v>
      </c>
      <c r="AA39" s="1073">
        <f t="shared" si="52"/>
        <v>0.9961844903792062</v>
      </c>
      <c r="AB39" s="1073">
        <f t="shared" si="52"/>
        <v>0.99458926726034969</v>
      </c>
      <c r="AC39" s="1073">
        <f t="shared" si="52"/>
        <v>0.99632442491954265</v>
      </c>
      <c r="AD39" s="1073">
        <f t="shared" si="52"/>
        <v>0.99481172122670358</v>
      </c>
      <c r="AE39" s="1073">
        <f t="shared" si="52"/>
        <v>0.99486463261853875</v>
      </c>
      <c r="AF39" s="1070">
        <v>0.997</v>
      </c>
      <c r="AG39" s="1073">
        <f t="shared" si="44"/>
        <v>0.99550088714293272</v>
      </c>
      <c r="AH39" s="1015"/>
      <c r="AI39" s="1015"/>
      <c r="AJ39" s="1015"/>
      <c r="AK39" s="1015"/>
      <c r="AL39" s="1015"/>
      <c r="AM39" s="1015"/>
      <c r="AN39" s="1015"/>
      <c r="AO39" s="1015"/>
      <c r="AP39" s="1015"/>
      <c r="AQ39" s="1015"/>
      <c r="AR39" s="1015"/>
      <c r="AS39" s="1015"/>
      <c r="AT39" s="1015"/>
      <c r="AU39" s="1015"/>
      <c r="AV39" s="1015"/>
      <c r="AW39" s="1015"/>
      <c r="AX39" s="1015"/>
      <c r="AY39" s="1015"/>
      <c r="AZ39" s="1015"/>
      <c r="BA39" s="1015"/>
      <c r="BB39" s="1015"/>
      <c r="BC39" s="1015"/>
      <c r="BD39" s="1015"/>
      <c r="BE39" s="1015"/>
      <c r="BF39" s="1015"/>
      <c r="BG39" s="1015"/>
      <c r="BH39" s="1015"/>
      <c r="BI39" s="1015"/>
      <c r="BJ39" s="1015"/>
      <c r="BK39" s="1015"/>
      <c r="BL39" s="1015"/>
      <c r="BM39" s="1015"/>
      <c r="BN39" s="1015"/>
      <c r="BO39" s="1015"/>
      <c r="BP39" s="1015"/>
      <c r="BQ39" s="1015"/>
      <c r="BR39" s="1015"/>
      <c r="BS39" s="1015"/>
      <c r="BT39" s="1015"/>
      <c r="BU39" s="1015"/>
      <c r="BV39" s="1015"/>
      <c r="BW39" s="1015"/>
      <c r="BX39" s="1015"/>
      <c r="BY39" s="1015"/>
      <c r="BZ39" s="1015"/>
      <c r="CA39" s="1015"/>
      <c r="CB39" s="1015"/>
      <c r="CC39" s="1015"/>
      <c r="CD39" s="1015"/>
      <c r="CE39" s="1015"/>
      <c r="CF39" s="1015"/>
      <c r="CG39" s="1015"/>
      <c r="CH39" s="1015"/>
      <c r="CI39" s="1015"/>
      <c r="CJ39" s="1015"/>
      <c r="CK39" s="1015"/>
      <c r="CL39" s="1015"/>
      <c r="CM39" s="1015"/>
      <c r="CN39" s="1015"/>
      <c r="CO39" s="1015"/>
      <c r="CP39" s="1015"/>
      <c r="CQ39" s="1015"/>
      <c r="CR39" s="1015"/>
      <c r="CS39" s="1015"/>
      <c r="CT39" s="1015"/>
      <c r="CU39" s="1015"/>
      <c r="CV39" s="1015"/>
      <c r="CW39" s="1015"/>
      <c r="CX39" s="1015"/>
      <c r="CY39" s="1015"/>
      <c r="CZ39" s="1015"/>
      <c r="DA39" s="1015"/>
      <c r="DB39" s="1015"/>
      <c r="DC39" s="1015"/>
      <c r="DD39" s="1015"/>
      <c r="DE39" s="1015"/>
      <c r="DF39" s="1015"/>
      <c r="DG39" s="1015"/>
      <c r="DH39" s="1015"/>
      <c r="DI39" s="1015"/>
      <c r="DJ39" s="1015"/>
      <c r="DK39" s="1015"/>
      <c r="DL39" s="1015"/>
      <c r="DM39" s="1015"/>
      <c r="DN39" s="1015"/>
    </row>
    <row r="40" spans="1:118" ht="26.25" customHeight="1">
      <c r="A40" s="1018"/>
      <c r="B40" s="1018"/>
      <c r="C40" s="1015"/>
      <c r="AH40" s="1015"/>
      <c r="AI40" s="1015"/>
      <c r="AJ40" s="1015"/>
      <c r="AK40" s="1015"/>
      <c r="AL40" s="1015"/>
      <c r="AM40" s="1015"/>
      <c r="AN40" s="1015"/>
      <c r="AO40" s="1015"/>
      <c r="AP40" s="1015"/>
      <c r="AQ40" s="1015"/>
      <c r="AR40" s="1015"/>
      <c r="AS40" s="1015"/>
      <c r="AT40" s="1015"/>
      <c r="AU40" s="1015"/>
      <c r="AV40" s="1015"/>
      <c r="AW40" s="1015"/>
      <c r="AX40" s="1015"/>
      <c r="AY40" s="1015"/>
      <c r="AZ40" s="1015"/>
      <c r="BA40" s="1015"/>
      <c r="BB40" s="1015"/>
      <c r="BC40" s="1015"/>
      <c r="BD40" s="1015"/>
      <c r="BE40" s="1015"/>
      <c r="BF40" s="1015"/>
      <c r="BG40" s="1015"/>
      <c r="BH40" s="1015"/>
      <c r="BI40" s="1015"/>
      <c r="BJ40" s="1015"/>
      <c r="BK40" s="1015"/>
      <c r="BL40" s="1015"/>
      <c r="BM40" s="1015"/>
      <c r="BN40" s="1015"/>
      <c r="BO40" s="1015"/>
      <c r="BP40" s="1015"/>
      <c r="BQ40" s="1015"/>
      <c r="BR40" s="1015"/>
      <c r="BS40" s="1015"/>
      <c r="BT40" s="1015"/>
      <c r="BU40" s="1015"/>
      <c r="BV40" s="1015"/>
      <c r="BW40" s="1015"/>
      <c r="BX40" s="1015"/>
      <c r="BY40" s="1015"/>
      <c r="BZ40" s="1015"/>
      <c r="CA40" s="1015"/>
      <c r="CB40" s="1015"/>
      <c r="CC40" s="1015"/>
      <c r="CD40" s="1015"/>
      <c r="CE40" s="1015"/>
      <c r="CF40" s="1015"/>
      <c r="CG40" s="1015"/>
      <c r="CH40" s="1015"/>
      <c r="CI40" s="1015"/>
      <c r="CJ40" s="1015"/>
      <c r="CK40" s="1015"/>
      <c r="CL40" s="1015"/>
      <c r="CM40" s="1015"/>
      <c r="CN40" s="1015"/>
      <c r="CO40" s="1015"/>
      <c r="CP40" s="1015"/>
      <c r="CQ40" s="1015"/>
      <c r="CR40" s="1015"/>
      <c r="CS40" s="1015"/>
      <c r="CT40" s="1015"/>
      <c r="CU40" s="1015"/>
      <c r="CV40" s="1015"/>
      <c r="CW40" s="1015"/>
      <c r="CX40" s="1015"/>
      <c r="CY40" s="1015"/>
      <c r="CZ40" s="1015"/>
      <c r="DA40" s="1015"/>
      <c r="DB40" s="1015"/>
      <c r="DC40" s="1015"/>
      <c r="DD40" s="1015"/>
      <c r="DE40" s="1015"/>
      <c r="DF40" s="1015"/>
      <c r="DG40" s="1015"/>
      <c r="DH40" s="1015"/>
      <c r="DI40" s="1015"/>
      <c r="DJ40" s="1015"/>
      <c r="DK40" s="1015"/>
      <c r="DL40" s="1015"/>
      <c r="DM40" s="1015"/>
      <c r="DN40" s="1015"/>
    </row>
    <row r="41" spans="1:118" ht="26.25" customHeight="1">
      <c r="A41" s="1018"/>
      <c r="B41" s="1018"/>
      <c r="C41" s="1015"/>
      <c r="AH41" s="1015"/>
      <c r="AI41" s="1015"/>
      <c r="AJ41" s="1015"/>
      <c r="AK41" s="1015"/>
      <c r="AL41" s="1015"/>
      <c r="AM41" s="1015"/>
      <c r="AN41" s="1015"/>
      <c r="AO41" s="1015"/>
      <c r="AP41" s="1015"/>
      <c r="AQ41" s="1015"/>
      <c r="AR41" s="1015"/>
      <c r="AS41" s="1015"/>
      <c r="AT41" s="1015"/>
      <c r="AU41" s="1015"/>
      <c r="AV41" s="1015"/>
      <c r="AW41" s="1015"/>
      <c r="AX41" s="1015"/>
      <c r="AY41" s="1015"/>
      <c r="AZ41" s="1015"/>
      <c r="BA41" s="1015"/>
      <c r="BB41" s="1015"/>
      <c r="BC41" s="1015"/>
      <c r="BD41" s="1015"/>
      <c r="BE41" s="1015"/>
      <c r="BF41" s="1015"/>
      <c r="BG41" s="1015"/>
      <c r="BH41" s="1015"/>
      <c r="BI41" s="1015"/>
      <c r="BJ41" s="1015"/>
      <c r="BK41" s="1015"/>
      <c r="BL41" s="1015"/>
      <c r="BM41" s="1015"/>
      <c r="BN41" s="1015"/>
      <c r="BO41" s="1015"/>
      <c r="BP41" s="1015"/>
      <c r="BQ41" s="1015"/>
      <c r="BR41" s="1015"/>
      <c r="BS41" s="1015"/>
      <c r="BT41" s="1015"/>
      <c r="BU41" s="1015"/>
      <c r="BV41" s="1015"/>
      <c r="BW41" s="1015"/>
      <c r="BX41" s="1015"/>
      <c r="BY41" s="1015"/>
      <c r="BZ41" s="1015"/>
      <c r="CA41" s="1015"/>
      <c r="CB41" s="1015"/>
      <c r="CC41" s="1015"/>
      <c r="CD41" s="1015"/>
      <c r="CE41" s="1015"/>
      <c r="CF41" s="1015"/>
      <c r="CG41" s="1015"/>
      <c r="CH41" s="1015"/>
      <c r="CI41" s="1015"/>
      <c r="CJ41" s="1015"/>
      <c r="CK41" s="1015"/>
      <c r="CL41" s="1015"/>
      <c r="CM41" s="1015"/>
      <c r="CN41" s="1015"/>
      <c r="CO41" s="1015"/>
      <c r="CP41" s="1015"/>
      <c r="CQ41" s="1015"/>
      <c r="CR41" s="1015"/>
      <c r="CS41" s="1015"/>
      <c r="CT41" s="1015"/>
      <c r="CU41" s="1015"/>
      <c r="CV41" s="1015"/>
      <c r="CW41" s="1015"/>
      <c r="CX41" s="1015"/>
      <c r="CY41" s="1015"/>
      <c r="CZ41" s="1015"/>
      <c r="DA41" s="1015"/>
      <c r="DB41" s="1015"/>
      <c r="DC41" s="1015"/>
      <c r="DD41" s="1015"/>
      <c r="DE41" s="1015"/>
      <c r="DF41" s="1015"/>
      <c r="DG41" s="1015"/>
      <c r="DH41" s="1015"/>
      <c r="DI41" s="1015"/>
      <c r="DJ41" s="1015"/>
      <c r="DK41" s="1015"/>
      <c r="DL41" s="1015"/>
      <c r="DM41" s="1015"/>
      <c r="DN41" s="1015"/>
    </row>
    <row r="42" spans="1:118" ht="26.25" customHeight="1">
      <c r="A42" s="1018"/>
      <c r="B42" s="1018"/>
      <c r="C42" s="1015"/>
      <c r="AH42" s="1015"/>
      <c r="AI42" s="1015"/>
      <c r="AJ42" s="1015"/>
      <c r="AK42" s="1015"/>
      <c r="AL42" s="1015"/>
      <c r="AM42" s="1015"/>
      <c r="AN42" s="1015"/>
      <c r="AO42" s="1015"/>
      <c r="AP42" s="1015"/>
      <c r="AQ42" s="1015"/>
      <c r="AR42" s="1015"/>
      <c r="AS42" s="1015"/>
      <c r="AT42" s="1015"/>
      <c r="AU42" s="1015"/>
      <c r="AV42" s="1015"/>
      <c r="AW42" s="1015"/>
      <c r="AX42" s="1015"/>
      <c r="AY42" s="1015"/>
      <c r="AZ42" s="1015"/>
      <c r="BA42" s="1015"/>
      <c r="BB42" s="1015"/>
      <c r="BC42" s="1015"/>
      <c r="BD42" s="1015"/>
      <c r="BE42" s="1015"/>
      <c r="BF42" s="1015"/>
      <c r="BG42" s="1015"/>
      <c r="BH42" s="1015"/>
      <c r="BI42" s="1015"/>
      <c r="BJ42" s="1015"/>
      <c r="BK42" s="1015"/>
      <c r="BL42" s="1015"/>
      <c r="BM42" s="1015"/>
      <c r="BN42" s="1015"/>
      <c r="BO42" s="1015"/>
      <c r="BP42" s="1015"/>
      <c r="BQ42" s="1015"/>
      <c r="BR42" s="1015"/>
      <c r="BS42" s="1015"/>
      <c r="BT42" s="1015"/>
      <c r="BU42" s="1015"/>
      <c r="BV42" s="1015"/>
      <c r="BW42" s="1015"/>
      <c r="BX42" s="1015"/>
      <c r="BY42" s="1015"/>
      <c r="BZ42" s="1015"/>
      <c r="CA42" s="1015"/>
      <c r="CB42" s="1015"/>
      <c r="CC42" s="1015"/>
      <c r="CD42" s="1015"/>
      <c r="CE42" s="1015"/>
      <c r="CF42" s="1015"/>
      <c r="CG42" s="1015"/>
      <c r="CH42" s="1015"/>
      <c r="CI42" s="1015"/>
      <c r="CJ42" s="1015"/>
      <c r="CK42" s="1015"/>
      <c r="CL42" s="1015"/>
      <c r="CM42" s="1015"/>
      <c r="CN42" s="1015"/>
      <c r="CO42" s="1015"/>
      <c r="CP42" s="1015"/>
      <c r="CQ42" s="1015"/>
      <c r="CR42" s="1015"/>
      <c r="CS42" s="1015"/>
      <c r="CT42" s="1015"/>
      <c r="CU42" s="1015"/>
      <c r="CV42" s="1015"/>
      <c r="CW42" s="1015"/>
      <c r="CX42" s="1015"/>
      <c r="CY42" s="1015"/>
      <c r="CZ42" s="1015"/>
      <c r="DA42" s="1015"/>
      <c r="DB42" s="1015"/>
      <c r="DC42" s="1015"/>
      <c r="DD42" s="1015"/>
      <c r="DE42" s="1015"/>
      <c r="DF42" s="1015"/>
      <c r="DG42" s="1015"/>
      <c r="DH42" s="1015"/>
      <c r="DI42" s="1015"/>
      <c r="DJ42" s="1015"/>
      <c r="DK42" s="1015"/>
      <c r="DL42" s="1015"/>
      <c r="DM42" s="1015"/>
      <c r="DN42" s="1015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50" fitToWidth="2" orientation="landscape" r:id="rId2"/>
  <headerFooter>
    <oddFooter>&amp;C&amp;F
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3">
    <pageSetUpPr fitToPage="1"/>
  </sheetPr>
  <dimension ref="A3:AN37"/>
  <sheetViews>
    <sheetView showGridLines="0" zoomScaleNormal="100" workbookViewId="0">
      <pane xSplit="1" ySplit="5" topLeftCell="B6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11.5" defaultRowHeight="15.75"/>
  <cols>
    <col min="1" max="1" width="18.375" style="318" bestFit="1" customWidth="1"/>
    <col min="2" max="3" width="10" style="318" customWidth="1"/>
    <col min="4" max="19" width="10" style="318" bestFit="1" customWidth="1"/>
    <col min="20" max="20" width="7.625" style="318" bestFit="1" customWidth="1"/>
    <col min="21" max="26" width="7.25" style="318" bestFit="1" customWidth="1"/>
    <col min="27" max="27" width="7.375" style="318" bestFit="1" customWidth="1"/>
    <col min="28" max="33" width="8.375" style="318" bestFit="1" customWidth="1"/>
    <col min="34" max="34" width="7.375" style="318" bestFit="1" customWidth="1"/>
    <col min="35" max="35" width="7.25" style="318" bestFit="1" customWidth="1"/>
    <col min="36" max="36" width="8.125" style="318" customWidth="1"/>
    <col min="37" max="37" width="6.75" style="318" customWidth="1"/>
    <col min="38" max="38" width="5" style="318" bestFit="1" customWidth="1"/>
    <col min="39" max="39" width="7.625" style="318" customWidth="1"/>
    <col min="40" max="40" width="6.75" style="318" customWidth="1"/>
    <col min="41" max="16384" width="11.5" style="318"/>
  </cols>
  <sheetData>
    <row r="3" spans="1:40">
      <c r="A3" s="554" t="s">
        <v>75</v>
      </c>
      <c r="B3" s="554" t="s">
        <v>61</v>
      </c>
      <c r="C3" s="555" t="s">
        <v>38</v>
      </c>
      <c r="D3" s="556"/>
      <c r="E3" s="556"/>
      <c r="F3" s="556"/>
      <c r="G3" s="556"/>
      <c r="H3" s="556"/>
      <c r="I3" s="556"/>
      <c r="J3" s="556"/>
      <c r="K3" s="556"/>
      <c r="L3" s="556"/>
      <c r="M3" s="556"/>
      <c r="N3" s="556"/>
      <c r="O3" s="556"/>
      <c r="P3" s="556"/>
      <c r="Q3" s="556"/>
      <c r="R3" s="556"/>
      <c r="S3" s="556"/>
      <c r="T3" s="556"/>
      <c r="U3" s="556"/>
      <c r="V3" s="556"/>
      <c r="W3" s="556"/>
      <c r="X3" s="556"/>
      <c r="Y3" s="556"/>
      <c r="Z3" s="556"/>
      <c r="AA3" s="556"/>
      <c r="AB3" s="556"/>
      <c r="AC3" s="556"/>
      <c r="AD3" s="556"/>
      <c r="AE3" s="556"/>
      <c r="AF3" s="556"/>
      <c r="AG3" s="556"/>
      <c r="AH3" s="556"/>
      <c r="AI3" s="557"/>
      <c r="AJ3" s="317"/>
      <c r="AK3" s="317"/>
      <c r="AL3" s="317"/>
      <c r="AM3" s="317"/>
      <c r="AN3" s="317"/>
    </row>
    <row r="4" spans="1:40">
      <c r="A4" s="558"/>
      <c r="B4" s="559" t="s">
        <v>213</v>
      </c>
      <c r="C4" s="556"/>
      <c r="D4" s="556"/>
      <c r="E4" s="556"/>
      <c r="F4" s="556"/>
      <c r="G4" s="556"/>
      <c r="H4" s="556"/>
      <c r="I4" s="556"/>
      <c r="J4" s="556"/>
      <c r="K4" s="556"/>
      <c r="L4" s="556"/>
      <c r="M4" s="556"/>
      <c r="N4" s="556"/>
      <c r="O4" s="556"/>
      <c r="P4" s="556"/>
      <c r="Q4" s="556"/>
      <c r="R4" s="556"/>
      <c r="S4" s="556"/>
      <c r="T4" s="560" t="s">
        <v>252</v>
      </c>
      <c r="U4" s="559" t="s">
        <v>232</v>
      </c>
      <c r="V4" s="556"/>
      <c r="W4" s="556"/>
      <c r="X4" s="560" t="s">
        <v>253</v>
      </c>
      <c r="Y4" s="559" t="s">
        <v>241</v>
      </c>
      <c r="Z4" s="556"/>
      <c r="AA4" s="560" t="s">
        <v>16038</v>
      </c>
      <c r="AB4" s="559" t="s">
        <v>236</v>
      </c>
      <c r="AC4" s="556"/>
      <c r="AD4" s="556"/>
      <c r="AE4" s="556"/>
      <c r="AF4" s="556"/>
      <c r="AG4" s="556"/>
      <c r="AH4" s="560" t="s">
        <v>254</v>
      </c>
      <c r="AI4" s="561" t="s">
        <v>70</v>
      </c>
      <c r="AJ4" s="317"/>
      <c r="AK4" s="317"/>
      <c r="AL4" s="317"/>
      <c r="AM4" s="317"/>
      <c r="AN4" s="317"/>
    </row>
    <row r="5" spans="1:40">
      <c r="A5" s="554" t="s">
        <v>37</v>
      </c>
      <c r="B5" s="559" t="s">
        <v>212</v>
      </c>
      <c r="C5" s="562" t="s">
        <v>214</v>
      </c>
      <c r="D5" s="562" t="s">
        <v>215</v>
      </c>
      <c r="E5" s="562" t="s">
        <v>216</v>
      </c>
      <c r="F5" s="562" t="s">
        <v>217</v>
      </c>
      <c r="G5" s="562" t="s">
        <v>218</v>
      </c>
      <c r="H5" s="562" t="s">
        <v>219</v>
      </c>
      <c r="I5" s="562" t="s">
        <v>220</v>
      </c>
      <c r="J5" s="562" t="s">
        <v>221</v>
      </c>
      <c r="K5" s="562" t="s">
        <v>222</v>
      </c>
      <c r="L5" s="562" t="s">
        <v>223</v>
      </c>
      <c r="M5" s="562" t="s">
        <v>224</v>
      </c>
      <c r="N5" s="562" t="s">
        <v>225</v>
      </c>
      <c r="O5" s="562" t="s">
        <v>226</v>
      </c>
      <c r="P5" s="562" t="s">
        <v>227</v>
      </c>
      <c r="Q5" s="562" t="s">
        <v>228</v>
      </c>
      <c r="R5" s="562" t="s">
        <v>229</v>
      </c>
      <c r="S5" s="562" t="s">
        <v>230</v>
      </c>
      <c r="T5" s="563"/>
      <c r="U5" s="559" t="s">
        <v>231</v>
      </c>
      <c r="V5" s="562" t="s">
        <v>233</v>
      </c>
      <c r="W5" s="562" t="s">
        <v>234</v>
      </c>
      <c r="X5" s="563"/>
      <c r="Y5" s="559" t="s">
        <v>240</v>
      </c>
      <c r="Z5" s="562" t="s">
        <v>242</v>
      </c>
      <c r="AA5" s="563"/>
      <c r="AB5" s="559" t="s">
        <v>235</v>
      </c>
      <c r="AC5" s="562" t="s">
        <v>237</v>
      </c>
      <c r="AD5" s="562" t="s">
        <v>238</v>
      </c>
      <c r="AE5" s="562" t="s">
        <v>239</v>
      </c>
      <c r="AF5" s="562" t="s">
        <v>388</v>
      </c>
      <c r="AG5" s="562" t="s">
        <v>417</v>
      </c>
      <c r="AH5" s="563"/>
      <c r="AI5" s="564"/>
      <c r="AJ5" s="317"/>
      <c r="AK5" s="317"/>
      <c r="AL5" s="317"/>
      <c r="AM5" s="317"/>
      <c r="AN5" s="317"/>
    </row>
    <row r="6" spans="1:40">
      <c r="A6" s="565">
        <v>46204</v>
      </c>
      <c r="B6" s="566"/>
      <c r="C6" s="567"/>
      <c r="D6" s="567"/>
      <c r="E6" s="567"/>
      <c r="F6" s="567"/>
      <c r="G6" s="567">
        <v>93.816249999999997</v>
      </c>
      <c r="H6" s="567"/>
      <c r="I6" s="567"/>
      <c r="J6" s="567"/>
      <c r="K6" s="567">
        <v>92.822500000000005</v>
      </c>
      <c r="L6" s="567">
        <v>78.707499999999996</v>
      </c>
      <c r="M6" s="567"/>
      <c r="N6" s="567"/>
      <c r="O6" s="567"/>
      <c r="P6" s="567"/>
      <c r="Q6" s="567">
        <v>67.576250000000002</v>
      </c>
      <c r="R6" s="567"/>
      <c r="S6" s="567"/>
      <c r="T6" s="568">
        <v>83.230625000000003</v>
      </c>
      <c r="U6" s="566"/>
      <c r="V6" s="567">
        <v>71.025000000000006</v>
      </c>
      <c r="W6" s="567"/>
      <c r="X6" s="568">
        <v>71.025000000000006</v>
      </c>
      <c r="Y6" s="566"/>
      <c r="Z6" s="567"/>
      <c r="AA6" s="568"/>
      <c r="AB6" s="566">
        <v>94.4375</v>
      </c>
      <c r="AC6" s="567">
        <v>89.012500000000003</v>
      </c>
      <c r="AD6" s="567">
        <v>91.35</v>
      </c>
      <c r="AE6" s="567">
        <v>95.737499999999997</v>
      </c>
      <c r="AF6" s="567">
        <v>100</v>
      </c>
      <c r="AG6" s="567">
        <v>95.35</v>
      </c>
      <c r="AH6" s="568">
        <v>94.517857142857139</v>
      </c>
      <c r="AI6" s="569">
        <v>88.797708333333333</v>
      </c>
      <c r="AJ6" s="317"/>
      <c r="AK6" s="317"/>
      <c r="AL6" s="317"/>
      <c r="AM6" s="317"/>
      <c r="AN6" s="317"/>
    </row>
    <row r="7" spans="1:40">
      <c r="A7" s="627">
        <v>46205</v>
      </c>
      <c r="B7" s="628"/>
      <c r="C7" s="629"/>
      <c r="D7" s="629"/>
      <c r="E7" s="629"/>
      <c r="F7" s="629"/>
      <c r="G7" s="629">
        <v>95.261250000000004</v>
      </c>
      <c r="H7" s="629"/>
      <c r="I7" s="629"/>
      <c r="J7" s="629"/>
      <c r="K7" s="629">
        <v>93.38</v>
      </c>
      <c r="L7" s="629">
        <v>78.757499999999993</v>
      </c>
      <c r="M7" s="629"/>
      <c r="N7" s="629"/>
      <c r="O7" s="629"/>
      <c r="P7" s="629"/>
      <c r="Q7" s="629">
        <v>69.48</v>
      </c>
      <c r="R7" s="629"/>
      <c r="S7" s="629"/>
      <c r="T7" s="630">
        <v>84.219687500000006</v>
      </c>
      <c r="U7" s="628"/>
      <c r="V7" s="629">
        <v>70.8</v>
      </c>
      <c r="W7" s="629"/>
      <c r="X7" s="630">
        <v>70.8</v>
      </c>
      <c r="Y7" s="628"/>
      <c r="Z7" s="629"/>
      <c r="AA7" s="630"/>
      <c r="AB7" s="628">
        <v>94.1875</v>
      </c>
      <c r="AC7" s="629">
        <v>82.65</v>
      </c>
      <c r="AD7" s="629">
        <v>93.337500000000006</v>
      </c>
      <c r="AE7" s="629">
        <v>94.625</v>
      </c>
      <c r="AF7" s="629">
        <v>99.1</v>
      </c>
      <c r="AG7" s="629">
        <v>96.875</v>
      </c>
      <c r="AH7" s="630">
        <v>93.628571428571419</v>
      </c>
      <c r="AI7" s="631">
        <v>88.589895833333344</v>
      </c>
      <c r="AJ7" s="317"/>
      <c r="AK7" s="317"/>
      <c r="AL7" s="317"/>
      <c r="AM7" s="317"/>
      <c r="AN7" s="317"/>
    </row>
    <row r="8" spans="1:40">
      <c r="A8" s="627">
        <v>46206</v>
      </c>
      <c r="B8" s="628"/>
      <c r="C8" s="629"/>
      <c r="D8" s="629"/>
      <c r="E8" s="629"/>
      <c r="F8" s="629"/>
      <c r="G8" s="629">
        <v>94.53125</v>
      </c>
      <c r="H8" s="629"/>
      <c r="I8" s="629"/>
      <c r="J8" s="629"/>
      <c r="K8" s="629">
        <v>94.027500000000003</v>
      </c>
      <c r="L8" s="629">
        <v>83.555000000000007</v>
      </c>
      <c r="M8" s="629"/>
      <c r="N8" s="629"/>
      <c r="O8" s="629"/>
      <c r="P8" s="629"/>
      <c r="Q8" s="629">
        <v>67.21875</v>
      </c>
      <c r="R8" s="629"/>
      <c r="S8" s="629"/>
      <c r="T8" s="630">
        <v>84.833124999999995</v>
      </c>
      <c r="U8" s="628"/>
      <c r="V8" s="629">
        <v>56.5</v>
      </c>
      <c r="W8" s="629"/>
      <c r="X8" s="630">
        <v>56.5</v>
      </c>
      <c r="Y8" s="628"/>
      <c r="Z8" s="629"/>
      <c r="AA8" s="630"/>
      <c r="AB8" s="628">
        <v>94.4375</v>
      </c>
      <c r="AC8" s="629">
        <v>84.487499999999997</v>
      </c>
      <c r="AD8" s="629">
        <v>95.35</v>
      </c>
      <c r="AE8" s="629">
        <v>93.525000000000006</v>
      </c>
      <c r="AF8" s="629">
        <v>100</v>
      </c>
      <c r="AG8" s="629">
        <v>94.325000000000003</v>
      </c>
      <c r="AH8" s="630">
        <v>93.664285714285711</v>
      </c>
      <c r="AI8" s="631">
        <v>87.623541666666668</v>
      </c>
      <c r="AJ8" s="317"/>
      <c r="AK8" s="317"/>
      <c r="AL8" s="317"/>
      <c r="AM8" s="317"/>
      <c r="AN8" s="317"/>
    </row>
    <row r="9" spans="1:40">
      <c r="A9" s="627">
        <v>46207</v>
      </c>
      <c r="B9" s="628"/>
      <c r="C9" s="629"/>
      <c r="D9" s="629">
        <v>82.036249999999995</v>
      </c>
      <c r="E9" s="629"/>
      <c r="F9" s="629"/>
      <c r="G9" s="629">
        <v>92.686250000000001</v>
      </c>
      <c r="H9" s="629"/>
      <c r="I9" s="629"/>
      <c r="J9" s="629"/>
      <c r="K9" s="629">
        <v>93.62</v>
      </c>
      <c r="L9" s="629">
        <v>80.59</v>
      </c>
      <c r="M9" s="629"/>
      <c r="N9" s="629"/>
      <c r="O9" s="629"/>
      <c r="P9" s="629"/>
      <c r="Q9" s="629">
        <v>63.026249999999997</v>
      </c>
      <c r="R9" s="629"/>
      <c r="S9" s="629"/>
      <c r="T9" s="630">
        <v>82.391750000000002</v>
      </c>
      <c r="U9" s="628"/>
      <c r="V9" s="629">
        <v>32.174999999999997</v>
      </c>
      <c r="W9" s="629"/>
      <c r="X9" s="630">
        <v>32.174999999999997</v>
      </c>
      <c r="Y9" s="628"/>
      <c r="Z9" s="629"/>
      <c r="AA9" s="630"/>
      <c r="AB9" s="628">
        <v>93.862499999999997</v>
      </c>
      <c r="AC9" s="629">
        <v>93.05</v>
      </c>
      <c r="AD9" s="629">
        <v>95.125</v>
      </c>
      <c r="AE9" s="629">
        <v>96.287499999999994</v>
      </c>
      <c r="AF9" s="629">
        <v>99.05</v>
      </c>
      <c r="AG9" s="629">
        <v>98.262500000000003</v>
      </c>
      <c r="AH9" s="630">
        <v>95.989285714285728</v>
      </c>
      <c r="AI9" s="631">
        <v>85.850673076923073</v>
      </c>
      <c r="AJ9" s="317"/>
      <c r="AK9" s="317"/>
      <c r="AL9" s="317"/>
      <c r="AM9" s="317"/>
      <c r="AN9" s="317"/>
    </row>
    <row r="10" spans="1:40">
      <c r="A10" s="627">
        <v>46208</v>
      </c>
      <c r="B10" s="628"/>
      <c r="C10" s="629"/>
      <c r="D10" s="629">
        <v>81.144999999999996</v>
      </c>
      <c r="E10" s="629"/>
      <c r="F10" s="629"/>
      <c r="G10" s="629">
        <v>91.053749999999994</v>
      </c>
      <c r="H10" s="629"/>
      <c r="I10" s="629"/>
      <c r="J10" s="629"/>
      <c r="K10" s="629">
        <v>93.3125</v>
      </c>
      <c r="L10" s="629">
        <v>77.614999999999995</v>
      </c>
      <c r="M10" s="629"/>
      <c r="N10" s="629"/>
      <c r="O10" s="629"/>
      <c r="P10" s="629"/>
      <c r="Q10" s="629">
        <v>61.313749999999999</v>
      </c>
      <c r="R10" s="629"/>
      <c r="S10" s="629"/>
      <c r="T10" s="630">
        <v>80.888000000000005</v>
      </c>
      <c r="U10" s="628"/>
      <c r="V10" s="629">
        <v>32.225000000000001</v>
      </c>
      <c r="W10" s="629"/>
      <c r="X10" s="630">
        <v>32.225000000000001</v>
      </c>
      <c r="Y10" s="628"/>
      <c r="Z10" s="629"/>
      <c r="AA10" s="630"/>
      <c r="AB10" s="628">
        <v>94.674999999999997</v>
      </c>
      <c r="AC10" s="629">
        <v>88.875</v>
      </c>
      <c r="AD10" s="629">
        <v>94.9</v>
      </c>
      <c r="AE10" s="629">
        <v>93.65</v>
      </c>
      <c r="AF10" s="629">
        <v>99.525000000000006</v>
      </c>
      <c r="AG10" s="629">
        <v>92.462500000000006</v>
      </c>
      <c r="AH10" s="630">
        <v>93.962499999999991</v>
      </c>
      <c r="AI10" s="631">
        <v>84.184807692307686</v>
      </c>
      <c r="AJ10" s="317"/>
      <c r="AK10" s="317"/>
      <c r="AL10" s="317"/>
      <c r="AM10" s="317"/>
      <c r="AN10" s="317"/>
    </row>
    <row r="11" spans="1:40">
      <c r="A11" s="627">
        <v>46209</v>
      </c>
      <c r="B11" s="628"/>
      <c r="C11" s="629"/>
      <c r="D11" s="629">
        <v>78.072500000000005</v>
      </c>
      <c r="E11" s="629"/>
      <c r="F11" s="629"/>
      <c r="G11" s="629">
        <v>90.233750000000001</v>
      </c>
      <c r="H11" s="629"/>
      <c r="I11" s="629"/>
      <c r="J11" s="629"/>
      <c r="K11" s="629">
        <v>87.98</v>
      </c>
      <c r="L11" s="629">
        <v>76.564999999999998</v>
      </c>
      <c r="M11" s="629"/>
      <c r="N11" s="629"/>
      <c r="O11" s="629"/>
      <c r="P11" s="629"/>
      <c r="Q11" s="629">
        <v>56.48</v>
      </c>
      <c r="R11" s="629"/>
      <c r="S11" s="629"/>
      <c r="T11" s="630">
        <v>77.866250000000008</v>
      </c>
      <c r="U11" s="628"/>
      <c r="V11" s="629">
        <v>31.45</v>
      </c>
      <c r="W11" s="629"/>
      <c r="X11" s="630">
        <v>31.45</v>
      </c>
      <c r="Y11" s="628"/>
      <c r="Z11" s="629"/>
      <c r="AA11" s="630"/>
      <c r="AB11" s="628">
        <v>93.0625</v>
      </c>
      <c r="AC11" s="629">
        <v>85.412499999999994</v>
      </c>
      <c r="AD11" s="629">
        <v>93.666666666666657</v>
      </c>
      <c r="AE11" s="629">
        <v>93.95</v>
      </c>
      <c r="AF11" s="629">
        <v>99.775000000000006</v>
      </c>
      <c r="AG11" s="629">
        <v>96.537499999999994</v>
      </c>
      <c r="AH11" s="630">
        <v>93.764880952380949</v>
      </c>
      <c r="AI11" s="631">
        <v>82.856570512820497</v>
      </c>
      <c r="AJ11" s="317"/>
      <c r="AK11" s="317"/>
      <c r="AL11" s="317"/>
      <c r="AM11" s="317"/>
      <c r="AN11" s="317"/>
    </row>
    <row r="12" spans="1:40">
      <c r="A12" s="627">
        <v>46210</v>
      </c>
      <c r="B12" s="628"/>
      <c r="C12" s="629"/>
      <c r="D12" s="629">
        <v>77.423749999999998</v>
      </c>
      <c r="E12" s="629"/>
      <c r="F12" s="629"/>
      <c r="G12" s="629">
        <v>91.138571428571424</v>
      </c>
      <c r="H12" s="629"/>
      <c r="I12" s="629"/>
      <c r="J12" s="629"/>
      <c r="K12" s="629">
        <v>91.864999999999995</v>
      </c>
      <c r="L12" s="629">
        <v>76.642499999999998</v>
      </c>
      <c r="M12" s="629"/>
      <c r="N12" s="629"/>
      <c r="O12" s="629"/>
      <c r="P12" s="629"/>
      <c r="Q12" s="629">
        <v>60.458750000000002</v>
      </c>
      <c r="R12" s="629"/>
      <c r="S12" s="629"/>
      <c r="T12" s="630">
        <v>79.505714285714276</v>
      </c>
      <c r="U12" s="628"/>
      <c r="V12" s="629">
        <v>46.15</v>
      </c>
      <c r="W12" s="629"/>
      <c r="X12" s="630">
        <v>46.15</v>
      </c>
      <c r="Y12" s="628"/>
      <c r="Z12" s="629"/>
      <c r="AA12" s="630"/>
      <c r="AB12" s="628">
        <v>90.412499999999994</v>
      </c>
      <c r="AC12" s="629">
        <v>83.087500000000006</v>
      </c>
      <c r="AD12" s="629"/>
      <c r="AE12" s="629">
        <v>95.746250000000003</v>
      </c>
      <c r="AF12" s="629">
        <v>98.375</v>
      </c>
      <c r="AG12" s="629">
        <v>96.075000000000003</v>
      </c>
      <c r="AH12" s="630">
        <v>93.240416666666661</v>
      </c>
      <c r="AI12" s="631">
        <v>83.593422619047615</v>
      </c>
      <c r="AJ12" s="317"/>
      <c r="AK12" s="317"/>
      <c r="AL12" s="317"/>
      <c r="AM12" s="317"/>
      <c r="AN12" s="317"/>
    </row>
    <row r="13" spans="1:40">
      <c r="A13" s="627">
        <v>46211</v>
      </c>
      <c r="B13" s="628"/>
      <c r="C13" s="629"/>
      <c r="D13" s="629">
        <v>77.685000000000002</v>
      </c>
      <c r="E13" s="629"/>
      <c r="F13" s="629">
        <v>89.90625</v>
      </c>
      <c r="G13" s="629">
        <v>92.606250000000003</v>
      </c>
      <c r="H13" s="629"/>
      <c r="I13" s="629"/>
      <c r="J13" s="629"/>
      <c r="K13" s="629">
        <v>91.724999999999994</v>
      </c>
      <c r="L13" s="629">
        <v>74.790000000000006</v>
      </c>
      <c r="M13" s="629"/>
      <c r="N13" s="629"/>
      <c r="O13" s="629"/>
      <c r="P13" s="629"/>
      <c r="Q13" s="629">
        <v>64.709999999999994</v>
      </c>
      <c r="R13" s="629"/>
      <c r="S13" s="629"/>
      <c r="T13" s="630">
        <v>81.903750000000002</v>
      </c>
      <c r="U13" s="628"/>
      <c r="V13" s="629">
        <v>31.45</v>
      </c>
      <c r="W13" s="629"/>
      <c r="X13" s="630">
        <v>31.45</v>
      </c>
      <c r="Y13" s="628"/>
      <c r="Z13" s="629"/>
      <c r="AA13" s="630"/>
      <c r="AB13" s="628">
        <v>96.275000000000006</v>
      </c>
      <c r="AC13" s="629">
        <v>90.724999999999994</v>
      </c>
      <c r="AD13" s="629"/>
      <c r="AE13" s="629">
        <v>93.175000000000011</v>
      </c>
      <c r="AF13" s="629">
        <v>99.05</v>
      </c>
      <c r="AG13" s="629">
        <v>94.3</v>
      </c>
      <c r="AH13" s="630">
        <v>94.45</v>
      </c>
      <c r="AI13" s="631">
        <v>83.813269230769237</v>
      </c>
      <c r="AJ13" s="317"/>
      <c r="AK13" s="317"/>
    </row>
    <row r="14" spans="1:40">
      <c r="A14" s="627">
        <v>46212</v>
      </c>
      <c r="B14" s="628"/>
      <c r="C14" s="629"/>
      <c r="D14" s="629">
        <v>80</v>
      </c>
      <c r="E14" s="629"/>
      <c r="F14" s="629">
        <v>90.435000000000002</v>
      </c>
      <c r="G14" s="629">
        <v>93.818749999999994</v>
      </c>
      <c r="H14" s="629"/>
      <c r="I14" s="629"/>
      <c r="J14" s="629"/>
      <c r="K14" s="629"/>
      <c r="L14" s="629">
        <v>72.72</v>
      </c>
      <c r="M14" s="629"/>
      <c r="N14" s="629"/>
      <c r="O14" s="629"/>
      <c r="P14" s="629"/>
      <c r="Q14" s="629">
        <v>57.848750000000003</v>
      </c>
      <c r="R14" s="629"/>
      <c r="S14" s="629"/>
      <c r="T14" s="630">
        <v>78.964500000000001</v>
      </c>
      <c r="U14" s="628"/>
      <c r="V14" s="629">
        <v>31.625</v>
      </c>
      <c r="W14" s="629"/>
      <c r="X14" s="630">
        <v>31.625</v>
      </c>
      <c r="Y14" s="628"/>
      <c r="Z14" s="629"/>
      <c r="AA14" s="630"/>
      <c r="AB14" s="628">
        <v>92.8</v>
      </c>
      <c r="AC14" s="629">
        <v>89.237499999999997</v>
      </c>
      <c r="AD14" s="629">
        <v>95.025000000000006</v>
      </c>
      <c r="AE14" s="629">
        <v>94.449999999999989</v>
      </c>
      <c r="AF14" s="629">
        <v>99.3</v>
      </c>
      <c r="AG14" s="629">
        <v>97.112499999999997</v>
      </c>
      <c r="AH14" s="630">
        <v>94.624999999999986</v>
      </c>
      <c r="AI14" s="631">
        <v>83.755576923076902</v>
      </c>
    </row>
    <row r="15" spans="1:40">
      <c r="A15" s="627">
        <v>46213</v>
      </c>
      <c r="B15" s="628"/>
      <c r="C15" s="629"/>
      <c r="D15" s="629">
        <v>75.276250000000005</v>
      </c>
      <c r="E15" s="629"/>
      <c r="F15" s="629">
        <v>91.492500000000007</v>
      </c>
      <c r="G15" s="629">
        <v>93.128749999999997</v>
      </c>
      <c r="H15" s="629"/>
      <c r="I15" s="629">
        <v>80.001249999999999</v>
      </c>
      <c r="J15" s="629"/>
      <c r="K15" s="629">
        <v>94.77</v>
      </c>
      <c r="L15" s="629">
        <v>76.135416666666657</v>
      </c>
      <c r="M15" s="629"/>
      <c r="N15" s="629"/>
      <c r="O15" s="629"/>
      <c r="P15" s="629"/>
      <c r="Q15" s="629">
        <v>57.511249999999997</v>
      </c>
      <c r="R15" s="629"/>
      <c r="S15" s="629"/>
      <c r="T15" s="630">
        <v>80.556354166666679</v>
      </c>
      <c r="U15" s="628"/>
      <c r="V15" s="629">
        <v>31.5</v>
      </c>
      <c r="W15" s="629"/>
      <c r="X15" s="630">
        <v>31.5</v>
      </c>
      <c r="Y15" s="628">
        <v>29.475000000000001</v>
      </c>
      <c r="Z15" s="629"/>
      <c r="AA15" s="630">
        <v>29.475000000000001</v>
      </c>
      <c r="AB15" s="628">
        <v>95.35</v>
      </c>
      <c r="AC15" s="629">
        <v>85.4375</v>
      </c>
      <c r="AD15" s="629">
        <v>92.474999999999994</v>
      </c>
      <c r="AE15" s="629">
        <v>93.0625</v>
      </c>
      <c r="AF15" s="629">
        <v>98.125</v>
      </c>
      <c r="AG15" s="629">
        <v>93.962500000000006</v>
      </c>
      <c r="AH15" s="630">
        <v>93.06785714285715</v>
      </c>
      <c r="AI15" s="631">
        <v>79.817696078431382</v>
      </c>
    </row>
    <row r="16" spans="1:40">
      <c r="A16" s="627">
        <v>46214</v>
      </c>
      <c r="B16" s="628"/>
      <c r="C16" s="629"/>
      <c r="D16" s="629">
        <v>77.916250000000005</v>
      </c>
      <c r="E16" s="629"/>
      <c r="F16" s="629">
        <v>88.394999999999996</v>
      </c>
      <c r="G16" s="629">
        <v>94.09</v>
      </c>
      <c r="H16" s="629"/>
      <c r="I16" s="629">
        <v>78.058750000000003</v>
      </c>
      <c r="J16" s="629"/>
      <c r="K16" s="629"/>
      <c r="L16" s="629">
        <v>74.917500000000004</v>
      </c>
      <c r="M16" s="629"/>
      <c r="N16" s="629"/>
      <c r="O16" s="629"/>
      <c r="P16" s="629"/>
      <c r="Q16" s="629">
        <v>57.612499999999997</v>
      </c>
      <c r="R16" s="629"/>
      <c r="S16" s="629"/>
      <c r="T16" s="630">
        <v>77.986785714285716</v>
      </c>
      <c r="U16" s="628"/>
      <c r="V16" s="629">
        <v>31.375</v>
      </c>
      <c r="W16" s="629"/>
      <c r="X16" s="630">
        <v>31.375</v>
      </c>
      <c r="Y16" s="628">
        <v>33.590000000000003</v>
      </c>
      <c r="Z16" s="629"/>
      <c r="AA16" s="630">
        <v>33.590000000000003</v>
      </c>
      <c r="AB16" s="628">
        <v>95.85</v>
      </c>
      <c r="AC16" s="629">
        <v>88.974999999999994</v>
      </c>
      <c r="AD16" s="629">
        <v>94.912499999999994</v>
      </c>
      <c r="AE16" s="629">
        <v>92.825000000000003</v>
      </c>
      <c r="AF16" s="629">
        <v>99.775000000000006</v>
      </c>
      <c r="AG16" s="629">
        <v>94.4375</v>
      </c>
      <c r="AH16" s="630">
        <v>94.228571428571414</v>
      </c>
      <c r="AI16" s="631">
        <v>79.404531250000019</v>
      </c>
    </row>
    <row r="17" spans="1:35">
      <c r="A17" s="627">
        <v>46215</v>
      </c>
      <c r="B17" s="628"/>
      <c r="C17" s="629"/>
      <c r="D17" s="629">
        <v>81.194999999999993</v>
      </c>
      <c r="E17" s="629"/>
      <c r="F17" s="629">
        <v>86.328749999999999</v>
      </c>
      <c r="G17" s="629">
        <v>94.757499999999993</v>
      </c>
      <c r="H17" s="629"/>
      <c r="I17" s="629">
        <v>76.678749999999994</v>
      </c>
      <c r="J17" s="629"/>
      <c r="K17" s="629"/>
      <c r="L17" s="629">
        <v>71.22</v>
      </c>
      <c r="M17" s="629"/>
      <c r="N17" s="629"/>
      <c r="O17" s="629"/>
      <c r="P17" s="629"/>
      <c r="Q17" s="629">
        <v>56.448749999999997</v>
      </c>
      <c r="R17" s="629"/>
      <c r="S17" s="629"/>
      <c r="T17" s="630">
        <v>76.835535714285712</v>
      </c>
      <c r="U17" s="628"/>
      <c r="V17" s="629">
        <v>31.433333333333334</v>
      </c>
      <c r="W17" s="629"/>
      <c r="X17" s="630">
        <v>31.433333333333334</v>
      </c>
      <c r="Y17" s="628">
        <v>33.167499999999997</v>
      </c>
      <c r="Z17" s="629"/>
      <c r="AA17" s="630">
        <v>33.167499999999997</v>
      </c>
      <c r="AB17" s="628">
        <v>91.224999999999994</v>
      </c>
      <c r="AC17" s="629">
        <v>82.762500000000003</v>
      </c>
      <c r="AD17" s="629">
        <v>95.25</v>
      </c>
      <c r="AE17" s="629">
        <v>93.287499999999994</v>
      </c>
      <c r="AF17" s="629">
        <v>96.775000000000006</v>
      </c>
      <c r="AG17" s="629">
        <v>98.275000000000006</v>
      </c>
      <c r="AH17" s="630">
        <v>92.98035714285713</v>
      </c>
      <c r="AI17" s="631">
        <v>78.332005208333342</v>
      </c>
    </row>
    <row r="18" spans="1:35">
      <c r="A18" s="627">
        <v>46216</v>
      </c>
      <c r="B18" s="628"/>
      <c r="C18" s="629"/>
      <c r="D18" s="629"/>
      <c r="E18" s="629"/>
      <c r="F18" s="629">
        <v>86.056250000000006</v>
      </c>
      <c r="G18" s="629">
        <v>94.75</v>
      </c>
      <c r="H18" s="629"/>
      <c r="I18" s="629">
        <v>88.323750000000004</v>
      </c>
      <c r="J18" s="629"/>
      <c r="K18" s="629"/>
      <c r="L18" s="629">
        <v>69.796250000000001</v>
      </c>
      <c r="M18" s="629"/>
      <c r="N18" s="629"/>
      <c r="O18" s="629"/>
      <c r="P18" s="629"/>
      <c r="Q18" s="629">
        <v>55.597499999999997</v>
      </c>
      <c r="R18" s="629"/>
      <c r="S18" s="629"/>
      <c r="T18" s="630">
        <v>77.386666666666656</v>
      </c>
      <c r="U18" s="628"/>
      <c r="V18" s="629">
        <v>31.4</v>
      </c>
      <c r="W18" s="629"/>
      <c r="X18" s="630">
        <v>31.4</v>
      </c>
      <c r="Y18" s="628">
        <v>31.9925</v>
      </c>
      <c r="Z18" s="629"/>
      <c r="AA18" s="630">
        <v>31.9925</v>
      </c>
      <c r="AB18" s="628">
        <v>92.85</v>
      </c>
      <c r="AC18" s="629">
        <v>78.887500000000003</v>
      </c>
      <c r="AD18" s="629">
        <v>95.6875</v>
      </c>
      <c r="AE18" s="629">
        <v>94.125</v>
      </c>
      <c r="AF18" s="629">
        <v>95.375</v>
      </c>
      <c r="AG18" s="629">
        <v>97</v>
      </c>
      <c r="AH18" s="630">
        <v>92.578571428571436</v>
      </c>
      <c r="AI18" s="631">
        <v>78.384166666666658</v>
      </c>
    </row>
    <row r="19" spans="1:35">
      <c r="A19" s="627">
        <v>46217</v>
      </c>
      <c r="B19" s="628"/>
      <c r="C19" s="629"/>
      <c r="D19" s="629"/>
      <c r="E19" s="629"/>
      <c r="F19" s="629"/>
      <c r="G19" s="629">
        <v>94.62</v>
      </c>
      <c r="H19" s="629"/>
      <c r="I19" s="629">
        <v>90.731250000000003</v>
      </c>
      <c r="J19" s="629"/>
      <c r="K19" s="629"/>
      <c r="L19" s="629">
        <v>75.816249999999997</v>
      </c>
      <c r="M19" s="629"/>
      <c r="N19" s="629"/>
      <c r="O19" s="629"/>
      <c r="P19" s="629"/>
      <c r="Q19" s="629"/>
      <c r="R19" s="629"/>
      <c r="S19" s="629"/>
      <c r="T19" s="630">
        <v>84.245937499999997</v>
      </c>
      <c r="U19" s="628"/>
      <c r="V19" s="629"/>
      <c r="W19" s="629"/>
      <c r="X19" s="630"/>
      <c r="Y19" s="628">
        <v>36.5</v>
      </c>
      <c r="Z19" s="629"/>
      <c r="AA19" s="630">
        <v>36.5</v>
      </c>
      <c r="AB19" s="628">
        <v>93.525000000000006</v>
      </c>
      <c r="AC19" s="629">
        <v>67.599999999999994</v>
      </c>
      <c r="AD19" s="629">
        <v>96.3</v>
      </c>
      <c r="AE19" s="629">
        <v>96.224999999999994</v>
      </c>
      <c r="AF19" s="629">
        <v>98.825000000000003</v>
      </c>
      <c r="AG19" s="629">
        <v>98.174999999999997</v>
      </c>
      <c r="AH19" s="630">
        <v>91.774999999999991</v>
      </c>
      <c r="AI19" s="631">
        <v>84.012159090909094</v>
      </c>
    </row>
    <row r="20" spans="1:35">
      <c r="A20" s="627">
        <v>46218</v>
      </c>
      <c r="B20" s="628"/>
      <c r="C20" s="629"/>
      <c r="D20" s="629"/>
      <c r="E20" s="629"/>
      <c r="F20" s="629"/>
      <c r="G20" s="629">
        <v>94.94</v>
      </c>
      <c r="H20" s="629"/>
      <c r="I20" s="629">
        <v>89.662499999999994</v>
      </c>
      <c r="J20" s="629"/>
      <c r="K20" s="629"/>
      <c r="L20" s="629"/>
      <c r="M20" s="629"/>
      <c r="N20" s="629"/>
      <c r="O20" s="629"/>
      <c r="P20" s="629"/>
      <c r="Q20" s="629"/>
      <c r="R20" s="629"/>
      <c r="S20" s="629"/>
      <c r="T20" s="630">
        <v>92.301249999999996</v>
      </c>
      <c r="U20" s="628"/>
      <c r="V20" s="629"/>
      <c r="W20" s="629"/>
      <c r="X20" s="630"/>
      <c r="Y20" s="628">
        <v>38.479999999999997</v>
      </c>
      <c r="Z20" s="629"/>
      <c r="AA20" s="630">
        <v>38.479999999999997</v>
      </c>
      <c r="AB20" s="628">
        <v>93.5</v>
      </c>
      <c r="AC20" s="629"/>
      <c r="AD20" s="629">
        <v>96.137500000000003</v>
      </c>
      <c r="AE20" s="629">
        <v>94.924999999999997</v>
      </c>
      <c r="AF20" s="629">
        <v>99.075000000000003</v>
      </c>
      <c r="AG20" s="629">
        <v>81.575000000000003</v>
      </c>
      <c r="AH20" s="630">
        <v>93.04249999999999</v>
      </c>
      <c r="AI20" s="631">
        <v>86.036875000000009</v>
      </c>
    </row>
    <row r="21" spans="1:35">
      <c r="A21" s="627">
        <v>46219</v>
      </c>
      <c r="B21" s="628"/>
      <c r="C21" s="629"/>
      <c r="D21" s="629"/>
      <c r="E21" s="629"/>
      <c r="F21" s="629"/>
      <c r="G21" s="629">
        <v>91.733750000000001</v>
      </c>
      <c r="H21" s="629"/>
      <c r="I21" s="629">
        <v>91.355000000000004</v>
      </c>
      <c r="J21" s="629"/>
      <c r="K21" s="629"/>
      <c r="L21" s="629"/>
      <c r="M21" s="629"/>
      <c r="N21" s="629"/>
      <c r="O21" s="629"/>
      <c r="P21" s="629"/>
      <c r="Q21" s="629">
        <v>53.152500000000003</v>
      </c>
      <c r="R21" s="629"/>
      <c r="S21" s="629"/>
      <c r="T21" s="630">
        <v>78.747083333333336</v>
      </c>
      <c r="U21" s="628"/>
      <c r="V21" s="629"/>
      <c r="W21" s="629"/>
      <c r="X21" s="630"/>
      <c r="Y21" s="628">
        <v>37.07</v>
      </c>
      <c r="Z21" s="629"/>
      <c r="AA21" s="630">
        <v>37.07</v>
      </c>
      <c r="AB21" s="628">
        <v>93.5</v>
      </c>
      <c r="AC21" s="629"/>
      <c r="AD21" s="629">
        <v>96.75</v>
      </c>
      <c r="AE21" s="629">
        <v>95.15</v>
      </c>
      <c r="AF21" s="629">
        <v>100</v>
      </c>
      <c r="AG21" s="629">
        <v>97.7</v>
      </c>
      <c r="AH21" s="630">
        <v>96.61999999999999</v>
      </c>
      <c r="AI21" s="631">
        <v>84.04569444444445</v>
      </c>
    </row>
    <row r="22" spans="1:35">
      <c r="A22" s="627">
        <v>46220</v>
      </c>
      <c r="B22" s="628"/>
      <c r="C22" s="629"/>
      <c r="D22" s="629"/>
      <c r="E22" s="629"/>
      <c r="F22" s="629"/>
      <c r="G22" s="629">
        <v>89.728750000000005</v>
      </c>
      <c r="H22" s="629"/>
      <c r="I22" s="629">
        <v>91.144999999999996</v>
      </c>
      <c r="J22" s="629"/>
      <c r="K22" s="629"/>
      <c r="L22" s="629">
        <v>85.131249999999994</v>
      </c>
      <c r="M22" s="629"/>
      <c r="N22" s="629"/>
      <c r="O22" s="629"/>
      <c r="P22" s="629"/>
      <c r="Q22" s="629"/>
      <c r="R22" s="629">
        <v>78.117500000000007</v>
      </c>
      <c r="S22" s="629"/>
      <c r="T22" s="630">
        <v>85.850750000000005</v>
      </c>
      <c r="U22" s="628"/>
      <c r="V22" s="629"/>
      <c r="W22" s="629"/>
      <c r="X22" s="630"/>
      <c r="Y22" s="628">
        <v>36.027500000000003</v>
      </c>
      <c r="Z22" s="629"/>
      <c r="AA22" s="630">
        <v>36.027500000000003</v>
      </c>
      <c r="AB22" s="628">
        <v>88.674999999999997</v>
      </c>
      <c r="AC22" s="629">
        <v>89.8</v>
      </c>
      <c r="AD22" s="629">
        <v>93.5</v>
      </c>
      <c r="AE22" s="629">
        <v>92.1</v>
      </c>
      <c r="AF22" s="629"/>
      <c r="AG22" s="629">
        <v>95.462500000000006</v>
      </c>
      <c r="AH22" s="630">
        <v>91.907499999999999</v>
      </c>
      <c r="AI22" s="631">
        <v>84.074431818181807</v>
      </c>
    </row>
    <row r="23" spans="1:35">
      <c r="A23" s="627">
        <v>46221</v>
      </c>
      <c r="B23" s="628"/>
      <c r="C23" s="629"/>
      <c r="D23" s="629"/>
      <c r="E23" s="629"/>
      <c r="F23" s="629"/>
      <c r="G23" s="629">
        <v>90.892499999999998</v>
      </c>
      <c r="H23" s="629"/>
      <c r="I23" s="629">
        <v>93.108750000000001</v>
      </c>
      <c r="J23" s="629"/>
      <c r="K23" s="629"/>
      <c r="L23" s="629">
        <v>80.692499999999995</v>
      </c>
      <c r="M23" s="629"/>
      <c r="N23" s="629"/>
      <c r="O23" s="629"/>
      <c r="P23" s="629"/>
      <c r="Q23" s="629"/>
      <c r="R23" s="629">
        <v>77.907499999999999</v>
      </c>
      <c r="S23" s="629"/>
      <c r="T23" s="630">
        <v>84.658750000000012</v>
      </c>
      <c r="U23" s="628"/>
      <c r="V23" s="629"/>
      <c r="W23" s="629"/>
      <c r="X23" s="630"/>
      <c r="Y23" s="628">
        <v>36.487499999999997</v>
      </c>
      <c r="Z23" s="629"/>
      <c r="AA23" s="630">
        <v>36.487499999999997</v>
      </c>
      <c r="AB23" s="628">
        <v>92.8</v>
      </c>
      <c r="AC23" s="629">
        <v>91.5625</v>
      </c>
      <c r="AD23" s="629">
        <v>93.825000000000003</v>
      </c>
      <c r="AE23" s="629">
        <v>93.5</v>
      </c>
      <c r="AF23" s="629">
        <v>69.887500000000003</v>
      </c>
      <c r="AG23" s="629">
        <v>96.1</v>
      </c>
      <c r="AH23" s="630">
        <v>89.612499999999997</v>
      </c>
      <c r="AI23" s="631">
        <v>83.121354166666677</v>
      </c>
    </row>
    <row r="24" spans="1:35">
      <c r="A24" s="627">
        <v>46222</v>
      </c>
      <c r="B24" s="628"/>
      <c r="C24" s="629"/>
      <c r="D24" s="629"/>
      <c r="E24" s="629"/>
      <c r="F24" s="629"/>
      <c r="G24" s="629">
        <v>90.652500000000003</v>
      </c>
      <c r="H24" s="629"/>
      <c r="I24" s="629">
        <v>91.261250000000004</v>
      </c>
      <c r="J24" s="629"/>
      <c r="K24" s="629"/>
      <c r="L24" s="629">
        <v>78.317916666666662</v>
      </c>
      <c r="M24" s="629"/>
      <c r="N24" s="629"/>
      <c r="O24" s="629"/>
      <c r="P24" s="629"/>
      <c r="Q24" s="629"/>
      <c r="R24" s="629">
        <v>75.366249999999994</v>
      </c>
      <c r="S24" s="629"/>
      <c r="T24" s="630">
        <v>82.783166666666659</v>
      </c>
      <c r="U24" s="628"/>
      <c r="V24" s="629"/>
      <c r="W24" s="629"/>
      <c r="X24" s="630"/>
      <c r="Y24" s="628">
        <v>34.987499999999997</v>
      </c>
      <c r="Z24" s="629"/>
      <c r="AA24" s="630">
        <v>34.987499999999997</v>
      </c>
      <c r="AB24" s="628">
        <v>93.05</v>
      </c>
      <c r="AC24" s="629">
        <v>92.25</v>
      </c>
      <c r="AD24" s="629">
        <v>91.775000000000006</v>
      </c>
      <c r="AE24" s="629">
        <v>91.2</v>
      </c>
      <c r="AF24" s="629">
        <v>66.224999999999994</v>
      </c>
      <c r="AG24" s="629">
        <v>92.737499999999997</v>
      </c>
      <c r="AH24" s="630">
        <v>87.872916666666654</v>
      </c>
      <c r="AI24" s="631">
        <v>81.345069444444434</v>
      </c>
    </row>
    <row r="25" spans="1:35">
      <c r="A25" s="627">
        <v>46223</v>
      </c>
      <c r="B25" s="628"/>
      <c r="C25" s="629"/>
      <c r="D25" s="629"/>
      <c r="E25" s="629"/>
      <c r="F25" s="629"/>
      <c r="G25" s="629">
        <v>90.972499999999997</v>
      </c>
      <c r="H25" s="629"/>
      <c r="I25" s="629">
        <v>90.908749999999998</v>
      </c>
      <c r="J25" s="629"/>
      <c r="K25" s="629"/>
      <c r="L25" s="629">
        <v>73.743333333333325</v>
      </c>
      <c r="M25" s="629"/>
      <c r="N25" s="629"/>
      <c r="O25" s="629"/>
      <c r="P25" s="629"/>
      <c r="Q25" s="629"/>
      <c r="R25" s="629">
        <v>77.622500000000002</v>
      </c>
      <c r="S25" s="629"/>
      <c r="T25" s="630">
        <v>83.311770833333327</v>
      </c>
      <c r="U25" s="628"/>
      <c r="V25" s="629"/>
      <c r="W25" s="629"/>
      <c r="X25" s="630"/>
      <c r="Y25" s="628">
        <v>33.880000000000003</v>
      </c>
      <c r="Z25" s="629"/>
      <c r="AA25" s="630">
        <v>33.880000000000003</v>
      </c>
      <c r="AB25" s="628">
        <v>86.566666666666663</v>
      </c>
      <c r="AC25" s="629">
        <v>83.75</v>
      </c>
      <c r="AD25" s="629">
        <v>90.275000000000006</v>
      </c>
      <c r="AE25" s="629">
        <v>88.837500000000006</v>
      </c>
      <c r="AF25" s="629">
        <v>68.516666666666666</v>
      </c>
      <c r="AG25" s="629">
        <v>95.825000000000003</v>
      </c>
      <c r="AH25" s="630">
        <v>86.086904761904762</v>
      </c>
      <c r="AI25" s="631">
        <v>80.811284722222226</v>
      </c>
    </row>
    <row r="26" spans="1:35">
      <c r="A26" s="570" t="s">
        <v>70</v>
      </c>
      <c r="B26" s="571"/>
      <c r="C26" s="572"/>
      <c r="D26" s="572">
        <v>78.972222222222229</v>
      </c>
      <c r="E26" s="572"/>
      <c r="F26" s="572">
        <v>88.76895833333333</v>
      </c>
      <c r="G26" s="572">
        <v>92.770616071428577</v>
      </c>
      <c r="H26" s="572"/>
      <c r="I26" s="572">
        <v>87.384999999999991</v>
      </c>
      <c r="J26" s="572"/>
      <c r="K26" s="572">
        <v>92.611388888888897</v>
      </c>
      <c r="L26" s="572">
        <v>76.836153846153834</v>
      </c>
      <c r="M26" s="572"/>
      <c r="N26" s="572"/>
      <c r="O26" s="572"/>
      <c r="P26" s="572"/>
      <c r="Q26" s="572">
        <v>60.602500000000006</v>
      </c>
      <c r="R26" s="572">
        <v>77.253437500000004</v>
      </c>
      <c r="S26" s="572"/>
      <c r="T26" s="573">
        <v>81.300023448773459</v>
      </c>
      <c r="U26" s="571"/>
      <c r="V26" s="572">
        <v>40.700641025641026</v>
      </c>
      <c r="W26" s="572"/>
      <c r="X26" s="573">
        <v>40.700641025641026</v>
      </c>
      <c r="Y26" s="571">
        <v>34.696136363636363</v>
      </c>
      <c r="Z26" s="572"/>
      <c r="AA26" s="573">
        <v>34.696136363636363</v>
      </c>
      <c r="AB26" s="571">
        <v>93.052083333333314</v>
      </c>
      <c r="AC26" s="572">
        <v>85.975694444444443</v>
      </c>
      <c r="AD26" s="572">
        <v>94.202314814814827</v>
      </c>
      <c r="AE26" s="572">
        <v>93.81374999999997</v>
      </c>
      <c r="AF26" s="572">
        <v>94.039692982456145</v>
      </c>
      <c r="AG26" s="572">
        <v>95.127499999999998</v>
      </c>
      <c r="AH26" s="573">
        <v>92.893158914728673</v>
      </c>
      <c r="AI26" s="574">
        <v>83.105895455404394</v>
      </c>
    </row>
    <row r="27" spans="1:35" ht="16.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 spans="1:35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 spans="1:35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spans="1:35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1:35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1:35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73" fitToWidth="2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4">
    <pageSetUpPr fitToPage="1"/>
  </sheetPr>
  <dimension ref="A3:K580"/>
  <sheetViews>
    <sheetView showGridLines="0" zoomScaleNormal="100" workbookViewId="0">
      <pane xSplit="1" ySplit="10" topLeftCell="B11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23.125" defaultRowHeight="15.75"/>
  <cols>
    <col min="1" max="1" width="12.75" style="317" customWidth="1"/>
    <col min="2" max="11" width="17.25" style="317" customWidth="1"/>
    <col min="12" max="16384" width="23.125" style="317"/>
  </cols>
  <sheetData>
    <row r="3" spans="1:11">
      <c r="A3" s="531"/>
      <c r="B3" s="526" t="s">
        <v>63</v>
      </c>
      <c r="C3" s="527" t="s">
        <v>72</v>
      </c>
      <c r="D3" s="528"/>
      <c r="E3" s="528"/>
      <c r="F3" s="528"/>
      <c r="G3" s="528"/>
      <c r="H3" s="528"/>
      <c r="I3" s="528"/>
      <c r="J3" s="528"/>
      <c r="K3" s="529"/>
    </row>
    <row r="4" spans="1:11">
      <c r="A4" s="530"/>
      <c r="B4" s="531" t="s">
        <v>211</v>
      </c>
      <c r="C4" s="528"/>
      <c r="D4" s="531" t="s">
        <v>250</v>
      </c>
      <c r="E4" s="528"/>
      <c r="F4" s="531" t="s">
        <v>251</v>
      </c>
      <c r="G4" s="528"/>
      <c r="H4" s="531"/>
      <c r="I4" s="528"/>
      <c r="J4" s="531" t="s">
        <v>74</v>
      </c>
      <c r="K4" s="532" t="s">
        <v>154</v>
      </c>
    </row>
    <row r="5" spans="1:11">
      <c r="A5" s="526" t="s">
        <v>37</v>
      </c>
      <c r="B5" s="531" t="s">
        <v>81</v>
      </c>
      <c r="C5" s="575" t="s">
        <v>155</v>
      </c>
      <c r="D5" s="531" t="s">
        <v>81</v>
      </c>
      <c r="E5" s="575" t="s">
        <v>155</v>
      </c>
      <c r="F5" s="531" t="s">
        <v>81</v>
      </c>
      <c r="G5" s="575" t="s">
        <v>155</v>
      </c>
      <c r="H5" s="531" t="s">
        <v>81</v>
      </c>
      <c r="I5" s="575" t="s">
        <v>155</v>
      </c>
      <c r="J5" s="530"/>
      <c r="K5" s="533"/>
    </row>
    <row r="6" spans="1:11">
      <c r="A6" s="531" t="s">
        <v>211</v>
      </c>
      <c r="B6" s="576"/>
      <c r="C6" s="577"/>
      <c r="D6" s="576"/>
      <c r="E6" s="577"/>
      <c r="F6" s="576"/>
      <c r="G6" s="577"/>
      <c r="H6" s="576"/>
      <c r="I6" s="577"/>
      <c r="J6" s="576"/>
      <c r="K6" s="578"/>
    </row>
    <row r="7" spans="1:11">
      <c r="A7" s="534">
        <v>46204</v>
      </c>
      <c r="B7" s="579"/>
      <c r="C7" s="475">
        <v>41439.340799999998</v>
      </c>
      <c r="D7" s="579">
        <v>7</v>
      </c>
      <c r="E7" s="475">
        <v>115236.6912</v>
      </c>
      <c r="F7" s="579">
        <v>5</v>
      </c>
      <c r="G7" s="475">
        <v>107961.4656</v>
      </c>
      <c r="H7" s="579">
        <v>17</v>
      </c>
      <c r="I7" s="475">
        <v>0</v>
      </c>
      <c r="J7" s="579">
        <v>29</v>
      </c>
      <c r="K7" s="580">
        <v>264637.4976</v>
      </c>
    </row>
    <row r="8" spans="1:11">
      <c r="A8" s="534">
        <v>46205</v>
      </c>
      <c r="B8" s="579"/>
      <c r="C8" s="475">
        <v>41439.340799999998</v>
      </c>
      <c r="D8" s="579">
        <v>7</v>
      </c>
      <c r="E8" s="475">
        <v>115236.6912</v>
      </c>
      <c r="F8" s="579">
        <v>5</v>
      </c>
      <c r="G8" s="475">
        <v>107961.4656</v>
      </c>
      <c r="H8" s="579">
        <v>17</v>
      </c>
      <c r="I8" s="475">
        <v>0</v>
      </c>
      <c r="J8" s="579">
        <v>29</v>
      </c>
      <c r="K8" s="580">
        <v>264637.4976</v>
      </c>
    </row>
    <row r="9" spans="1:11">
      <c r="A9" s="534">
        <v>46206</v>
      </c>
      <c r="B9" s="579"/>
      <c r="C9" s="475">
        <v>41439.340799999998</v>
      </c>
      <c r="D9" s="579">
        <v>8</v>
      </c>
      <c r="E9" s="475">
        <v>128932.30080000001</v>
      </c>
      <c r="F9" s="579">
        <v>5</v>
      </c>
      <c r="G9" s="475">
        <v>107961.4656</v>
      </c>
      <c r="H9" s="579">
        <v>16</v>
      </c>
      <c r="I9" s="475">
        <v>0</v>
      </c>
      <c r="J9" s="579">
        <v>29</v>
      </c>
      <c r="K9" s="580">
        <v>278333.10719999997</v>
      </c>
    </row>
    <row r="10" spans="1:11">
      <c r="A10" s="534">
        <v>46207</v>
      </c>
      <c r="B10" s="579"/>
      <c r="C10" s="475">
        <v>41439.340799999998</v>
      </c>
      <c r="D10" s="579">
        <v>7</v>
      </c>
      <c r="E10" s="475">
        <v>114764.42880000001</v>
      </c>
      <c r="F10" s="579">
        <v>5</v>
      </c>
      <c r="G10" s="475">
        <v>107961.4656</v>
      </c>
      <c r="H10" s="579">
        <v>17</v>
      </c>
      <c r="I10" s="475">
        <v>0</v>
      </c>
      <c r="J10" s="579">
        <v>29</v>
      </c>
      <c r="K10" s="580">
        <v>264165.2352</v>
      </c>
    </row>
    <row r="11" spans="1:11">
      <c r="A11" s="534">
        <v>46208</v>
      </c>
      <c r="B11" s="579"/>
      <c r="C11" s="475">
        <v>41439.340799999998</v>
      </c>
      <c r="D11" s="579">
        <v>7</v>
      </c>
      <c r="E11" s="475">
        <v>114764.42880000001</v>
      </c>
      <c r="F11" s="579">
        <v>5</v>
      </c>
      <c r="G11" s="475">
        <v>107961.4656</v>
      </c>
      <c r="H11" s="579">
        <v>17</v>
      </c>
      <c r="I11" s="475">
        <v>0</v>
      </c>
      <c r="J11" s="579">
        <v>29</v>
      </c>
      <c r="K11" s="580">
        <v>264165.2352</v>
      </c>
    </row>
    <row r="12" spans="1:11">
      <c r="A12" s="534">
        <v>46209</v>
      </c>
      <c r="B12" s="579"/>
      <c r="C12" s="475">
        <v>41439.340799999998</v>
      </c>
      <c r="D12" s="579">
        <v>7</v>
      </c>
      <c r="E12" s="475">
        <v>114764.42880000001</v>
      </c>
      <c r="F12" s="579">
        <v>5</v>
      </c>
      <c r="G12" s="475">
        <v>107961.4656</v>
      </c>
      <c r="H12" s="579">
        <v>17</v>
      </c>
      <c r="I12" s="475">
        <v>0</v>
      </c>
      <c r="J12" s="579">
        <v>29</v>
      </c>
      <c r="K12" s="580">
        <v>264165.2352</v>
      </c>
    </row>
    <row r="13" spans="1:11">
      <c r="A13" s="534">
        <v>46210</v>
      </c>
      <c r="B13" s="579"/>
      <c r="C13" s="475">
        <v>41439.340799999998</v>
      </c>
      <c r="D13" s="579">
        <v>7</v>
      </c>
      <c r="E13" s="475">
        <v>114764.42880000001</v>
      </c>
      <c r="F13" s="579">
        <v>6</v>
      </c>
      <c r="G13" s="475">
        <v>118823.50080000001</v>
      </c>
      <c r="H13" s="579">
        <v>16</v>
      </c>
      <c r="I13" s="475">
        <v>0</v>
      </c>
      <c r="J13" s="579">
        <v>29</v>
      </c>
      <c r="K13" s="580">
        <v>275027.27039999998</v>
      </c>
    </row>
    <row r="14" spans="1:11">
      <c r="A14" s="534">
        <v>46211</v>
      </c>
      <c r="B14" s="579"/>
      <c r="C14" s="475">
        <v>41439.340799999998</v>
      </c>
      <c r="D14" s="579">
        <v>7</v>
      </c>
      <c r="E14" s="475">
        <v>114764.42880000001</v>
      </c>
      <c r="F14" s="579">
        <v>6</v>
      </c>
      <c r="G14" s="475">
        <v>117590.74559999999</v>
      </c>
      <c r="H14" s="579">
        <v>16</v>
      </c>
      <c r="I14" s="475">
        <v>0</v>
      </c>
      <c r="J14" s="579">
        <v>29</v>
      </c>
      <c r="K14" s="580">
        <v>273794.51519999997</v>
      </c>
    </row>
    <row r="15" spans="1:11">
      <c r="A15" s="534">
        <v>46212</v>
      </c>
      <c r="B15" s="579"/>
      <c r="C15" s="475">
        <v>41439.340799999998</v>
      </c>
      <c r="D15" s="579">
        <v>8</v>
      </c>
      <c r="E15" s="475">
        <v>122792.88960000001</v>
      </c>
      <c r="F15" s="579">
        <v>7</v>
      </c>
      <c r="G15" s="475">
        <v>122099.27039999999</v>
      </c>
      <c r="H15" s="579">
        <v>14</v>
      </c>
      <c r="I15" s="475">
        <v>0</v>
      </c>
      <c r="J15" s="579">
        <v>29</v>
      </c>
      <c r="K15" s="580">
        <v>286331.50079999998</v>
      </c>
    </row>
    <row r="16" spans="1:11">
      <c r="A16" s="534">
        <v>46213</v>
      </c>
      <c r="B16" s="579"/>
      <c r="C16" s="475">
        <v>49940.063999999998</v>
      </c>
      <c r="D16" s="579">
        <v>8</v>
      </c>
      <c r="E16" s="475">
        <v>122792.88960000001</v>
      </c>
      <c r="F16" s="579">
        <v>7</v>
      </c>
      <c r="G16" s="475">
        <v>122099.27039999999</v>
      </c>
      <c r="H16" s="579">
        <v>14</v>
      </c>
      <c r="I16" s="475">
        <v>0</v>
      </c>
      <c r="J16" s="579">
        <v>29</v>
      </c>
      <c r="K16" s="580">
        <v>294832.22399999999</v>
      </c>
    </row>
    <row r="17" spans="1:11">
      <c r="A17" s="534">
        <v>46214</v>
      </c>
      <c r="B17" s="579"/>
      <c r="C17" s="475">
        <v>49940.063999999998</v>
      </c>
      <c r="D17" s="579">
        <v>8</v>
      </c>
      <c r="E17" s="475">
        <v>122792.88960000001</v>
      </c>
      <c r="F17" s="579">
        <v>7</v>
      </c>
      <c r="G17" s="475">
        <v>122099.27039999999</v>
      </c>
      <c r="H17" s="579">
        <v>14</v>
      </c>
      <c r="I17" s="475">
        <v>0</v>
      </c>
      <c r="J17" s="579">
        <v>29</v>
      </c>
      <c r="K17" s="580">
        <v>294832.22399999999</v>
      </c>
    </row>
    <row r="18" spans="1:11">
      <c r="A18" s="534">
        <v>46215</v>
      </c>
      <c r="B18" s="579"/>
      <c r="C18" s="475">
        <v>49940.063999999998</v>
      </c>
      <c r="D18" s="579">
        <v>8</v>
      </c>
      <c r="E18" s="475">
        <v>122792.88960000001</v>
      </c>
      <c r="F18" s="579">
        <v>7</v>
      </c>
      <c r="G18" s="475">
        <v>122099.27039999999</v>
      </c>
      <c r="H18" s="579">
        <v>14</v>
      </c>
      <c r="I18" s="475">
        <v>0</v>
      </c>
      <c r="J18" s="579">
        <v>29</v>
      </c>
      <c r="K18" s="580">
        <v>294832.22399999999</v>
      </c>
    </row>
    <row r="19" spans="1:11">
      <c r="A19" s="534">
        <v>46216</v>
      </c>
      <c r="B19" s="579"/>
      <c r="C19" s="475">
        <v>49940.063999999998</v>
      </c>
      <c r="D19" s="579">
        <v>8</v>
      </c>
      <c r="E19" s="475">
        <v>122792.88960000001</v>
      </c>
      <c r="F19" s="579">
        <v>7</v>
      </c>
      <c r="G19" s="475">
        <v>122099.27039999999</v>
      </c>
      <c r="H19" s="579">
        <v>14</v>
      </c>
      <c r="I19" s="475">
        <v>0</v>
      </c>
      <c r="J19" s="579">
        <v>29</v>
      </c>
      <c r="K19" s="580">
        <v>294832.22399999999</v>
      </c>
    </row>
    <row r="20" spans="1:11">
      <c r="A20" s="534">
        <v>46217</v>
      </c>
      <c r="B20" s="579"/>
      <c r="C20" s="475">
        <v>49940.063999999998</v>
      </c>
      <c r="D20" s="579">
        <v>7</v>
      </c>
      <c r="E20" s="475">
        <v>92918.016000000003</v>
      </c>
      <c r="F20" s="579">
        <v>7</v>
      </c>
      <c r="G20" s="475">
        <v>122099.27039999999</v>
      </c>
      <c r="H20" s="579">
        <v>15</v>
      </c>
      <c r="I20" s="475">
        <v>0</v>
      </c>
      <c r="J20" s="579">
        <v>29</v>
      </c>
      <c r="K20" s="580">
        <v>264957.3504</v>
      </c>
    </row>
    <row r="21" spans="1:11">
      <c r="A21" s="534">
        <v>46218</v>
      </c>
      <c r="B21" s="579"/>
      <c r="C21" s="475">
        <v>49940.063999999998</v>
      </c>
      <c r="D21" s="579">
        <v>6</v>
      </c>
      <c r="E21" s="475">
        <v>84889.555200000003</v>
      </c>
      <c r="F21" s="579">
        <v>7</v>
      </c>
      <c r="G21" s="475">
        <v>122099.27039999999</v>
      </c>
      <c r="H21" s="579">
        <v>16</v>
      </c>
      <c r="I21" s="475">
        <v>0</v>
      </c>
      <c r="J21" s="579">
        <v>29</v>
      </c>
      <c r="K21" s="580">
        <v>256928.88960000002</v>
      </c>
    </row>
    <row r="22" spans="1:11">
      <c r="A22" s="534">
        <v>46219</v>
      </c>
      <c r="B22" s="579"/>
      <c r="C22" s="475">
        <v>73978.790399999998</v>
      </c>
      <c r="D22" s="579">
        <v>6</v>
      </c>
      <c r="E22" s="475">
        <v>84889.555200000003</v>
      </c>
      <c r="F22" s="579">
        <v>8</v>
      </c>
      <c r="G22" s="475">
        <v>148797.38880000002</v>
      </c>
      <c r="H22" s="579">
        <v>15</v>
      </c>
      <c r="I22" s="475">
        <v>0</v>
      </c>
      <c r="J22" s="579">
        <v>29</v>
      </c>
      <c r="K22" s="580">
        <v>307665.73439999996</v>
      </c>
    </row>
    <row r="23" spans="1:11">
      <c r="A23" s="534">
        <v>46220</v>
      </c>
      <c r="B23" s="579"/>
      <c r="C23" s="475">
        <v>74595.168000000005</v>
      </c>
      <c r="D23" s="579">
        <v>6</v>
      </c>
      <c r="E23" s="475">
        <v>84889.555200000003</v>
      </c>
      <c r="F23" s="579">
        <v>8</v>
      </c>
      <c r="G23" s="475">
        <v>146948.25599999999</v>
      </c>
      <c r="H23" s="579">
        <v>15</v>
      </c>
      <c r="I23" s="475">
        <v>0</v>
      </c>
      <c r="J23" s="579">
        <v>29</v>
      </c>
      <c r="K23" s="580">
        <v>306432.9792</v>
      </c>
    </row>
    <row r="24" spans="1:11">
      <c r="A24" s="534">
        <v>46221</v>
      </c>
      <c r="B24" s="579"/>
      <c r="C24" s="475">
        <v>74595.168000000005</v>
      </c>
      <c r="D24" s="579">
        <v>6</v>
      </c>
      <c r="E24" s="475">
        <v>84889.555200000003</v>
      </c>
      <c r="F24" s="579">
        <v>7</v>
      </c>
      <c r="G24" s="475">
        <v>136086.22080000001</v>
      </c>
      <c r="H24" s="579">
        <v>16</v>
      </c>
      <c r="I24" s="475">
        <v>0</v>
      </c>
      <c r="J24" s="579">
        <v>29</v>
      </c>
      <c r="K24" s="580">
        <v>295570.94400000002</v>
      </c>
    </row>
    <row r="25" spans="1:11">
      <c r="A25" s="534">
        <v>46222</v>
      </c>
      <c r="B25" s="579"/>
      <c r="C25" s="475">
        <v>74595.168000000005</v>
      </c>
      <c r="D25" s="579">
        <v>6</v>
      </c>
      <c r="E25" s="475">
        <v>84889.555200000003</v>
      </c>
      <c r="F25" s="579">
        <v>7</v>
      </c>
      <c r="G25" s="475">
        <v>136086.22080000001</v>
      </c>
      <c r="H25" s="579">
        <v>16</v>
      </c>
      <c r="I25" s="475">
        <v>0</v>
      </c>
      <c r="J25" s="579">
        <v>29</v>
      </c>
      <c r="K25" s="580">
        <v>295570.94400000002</v>
      </c>
    </row>
    <row r="26" spans="1:11">
      <c r="A26" s="534">
        <v>46223</v>
      </c>
      <c r="B26" s="579"/>
      <c r="C26" s="475">
        <v>49940.063999999998</v>
      </c>
      <c r="D26" s="579">
        <v>8</v>
      </c>
      <c r="E26" s="475">
        <v>104709.54240000001</v>
      </c>
      <c r="F26" s="579">
        <v>8</v>
      </c>
      <c r="G26" s="475">
        <v>178489.2672</v>
      </c>
      <c r="H26" s="579">
        <v>14</v>
      </c>
      <c r="I26" s="475">
        <v>0</v>
      </c>
      <c r="J26" s="579">
        <v>30</v>
      </c>
      <c r="K26" s="580">
        <v>333138.87359999993</v>
      </c>
    </row>
    <row r="27" spans="1:11">
      <c r="A27" s="535" t="s">
        <v>70</v>
      </c>
      <c r="B27" s="581"/>
      <c r="C27" s="582">
        <v>1020298.8096000003</v>
      </c>
      <c r="D27" s="581">
        <v>142</v>
      </c>
      <c r="E27" s="582">
        <v>2169267.609600001</v>
      </c>
      <c r="F27" s="581">
        <v>129</v>
      </c>
      <c r="G27" s="582">
        <v>2485285.286400001</v>
      </c>
      <c r="H27" s="581">
        <v>310</v>
      </c>
      <c r="I27" s="582">
        <v>0</v>
      </c>
      <c r="J27" s="581">
        <v>581</v>
      </c>
      <c r="K27" s="583">
        <v>5674851.7055999991</v>
      </c>
    </row>
    <row r="28" spans="1:11" ht="16.5">
      <c r="A28"/>
      <c r="B28"/>
      <c r="C28"/>
      <c r="D28"/>
      <c r="E28"/>
      <c r="F28"/>
      <c r="G28"/>
      <c r="H28"/>
      <c r="I28"/>
      <c r="J28"/>
      <c r="K28"/>
    </row>
    <row r="29" spans="1:11" ht="16.5">
      <c r="A29"/>
      <c r="B29"/>
      <c r="C29"/>
      <c r="D29"/>
      <c r="E29"/>
      <c r="F29"/>
      <c r="G29"/>
      <c r="H29"/>
      <c r="I29"/>
      <c r="J29"/>
      <c r="K29"/>
    </row>
    <row r="30" spans="1:11" ht="16.5">
      <c r="A30"/>
      <c r="B30"/>
      <c r="C30"/>
      <c r="D30"/>
      <c r="E30"/>
      <c r="F30"/>
      <c r="G30"/>
      <c r="H30"/>
      <c r="I30"/>
      <c r="J30"/>
      <c r="K30"/>
    </row>
    <row r="31" spans="1:11" ht="16.5">
      <c r="A31"/>
      <c r="B31"/>
      <c r="C31"/>
      <c r="D31"/>
      <c r="E31"/>
      <c r="F31"/>
      <c r="G31"/>
      <c r="H31"/>
      <c r="I31"/>
      <c r="J31"/>
      <c r="K31"/>
    </row>
    <row r="32" spans="1:11" ht="16.5">
      <c r="A32"/>
      <c r="B32"/>
      <c r="C32"/>
      <c r="D32"/>
      <c r="E32"/>
      <c r="F32"/>
      <c r="G32"/>
      <c r="H32"/>
      <c r="I32"/>
      <c r="J32"/>
      <c r="K32"/>
    </row>
    <row r="33" spans="1:11" ht="16.5">
      <c r="A33"/>
      <c r="B33"/>
      <c r="C33"/>
      <c r="D33"/>
      <c r="E33"/>
      <c r="F33"/>
      <c r="G33"/>
      <c r="H33"/>
      <c r="I33"/>
      <c r="J33"/>
      <c r="K33"/>
    </row>
    <row r="34" spans="1:11" ht="16.5">
      <c r="A34"/>
      <c r="B34"/>
      <c r="C34"/>
      <c r="D34"/>
      <c r="E34"/>
      <c r="F34"/>
      <c r="G34"/>
      <c r="H34"/>
      <c r="I34"/>
      <c r="J34"/>
      <c r="K34"/>
    </row>
    <row r="35" spans="1:11" ht="16.5">
      <c r="A35"/>
      <c r="B35"/>
      <c r="C35"/>
      <c r="D35"/>
      <c r="E35"/>
      <c r="F35"/>
      <c r="G35"/>
      <c r="H35"/>
      <c r="I35"/>
      <c r="J35"/>
      <c r="K35"/>
    </row>
    <row r="36" spans="1:11" ht="16.5">
      <c r="A36"/>
      <c r="B36"/>
      <c r="C36"/>
      <c r="D36"/>
      <c r="E36"/>
      <c r="F36"/>
      <c r="G36"/>
      <c r="H36"/>
      <c r="I36"/>
      <c r="J36"/>
      <c r="K36"/>
    </row>
    <row r="37" spans="1:11" ht="16.5">
      <c r="A37"/>
      <c r="B37"/>
      <c r="C37"/>
      <c r="D37"/>
      <c r="E37"/>
      <c r="F37"/>
      <c r="G37"/>
      <c r="H37"/>
      <c r="I37"/>
      <c r="J37"/>
      <c r="K37"/>
    </row>
    <row r="38" spans="1:11" ht="16.5">
      <c r="A38"/>
      <c r="B38"/>
      <c r="C38"/>
      <c r="D38"/>
      <c r="E38"/>
      <c r="F38"/>
      <c r="G38"/>
      <c r="H38"/>
      <c r="I38"/>
      <c r="J38"/>
      <c r="K38"/>
    </row>
    <row r="39" spans="1:11" ht="16.5">
      <c r="A39"/>
      <c r="B39"/>
      <c r="C39"/>
      <c r="D39"/>
      <c r="E39"/>
      <c r="F39"/>
      <c r="G39"/>
      <c r="H39"/>
    </row>
    <row r="40" spans="1:11" ht="16.5">
      <c r="A40"/>
      <c r="B40"/>
      <c r="C40"/>
      <c r="D40"/>
      <c r="E40"/>
      <c r="F40"/>
      <c r="G40"/>
      <c r="H40"/>
    </row>
    <row r="41" spans="1:11" ht="16.5">
      <c r="A41"/>
      <c r="B41"/>
      <c r="C41"/>
      <c r="D41"/>
      <c r="E41"/>
      <c r="F41"/>
      <c r="G41"/>
      <c r="H41"/>
    </row>
    <row r="42" spans="1:11" ht="16.5">
      <c r="A42"/>
      <c r="B42"/>
      <c r="C42"/>
      <c r="D42"/>
      <c r="E42"/>
      <c r="F42"/>
      <c r="G42"/>
      <c r="H42"/>
    </row>
    <row r="43" spans="1:11" ht="16.5">
      <c r="A43"/>
      <c r="B43"/>
      <c r="C43"/>
      <c r="D43"/>
      <c r="E43"/>
      <c r="F43"/>
      <c r="G43"/>
      <c r="H43"/>
    </row>
    <row r="44" spans="1:11" ht="16.5">
      <c r="A44"/>
      <c r="B44"/>
      <c r="C44"/>
      <c r="D44"/>
      <c r="E44"/>
      <c r="F44"/>
      <c r="G44"/>
      <c r="H44"/>
    </row>
    <row r="45" spans="1:11" ht="16.5">
      <c r="A45"/>
      <c r="B45"/>
      <c r="C45"/>
      <c r="D45"/>
      <c r="E45"/>
      <c r="F45"/>
      <c r="G45"/>
      <c r="H45"/>
    </row>
    <row r="46" spans="1:11" ht="16.5">
      <c r="A46"/>
      <c r="B46"/>
      <c r="C46"/>
      <c r="D46"/>
      <c r="E46"/>
      <c r="F46"/>
      <c r="G46"/>
      <c r="H46"/>
    </row>
    <row r="47" spans="1:11" ht="16.5">
      <c r="A47"/>
      <c r="B47"/>
      <c r="C47"/>
      <c r="D47"/>
      <c r="E47"/>
      <c r="F47"/>
      <c r="G47"/>
      <c r="H47"/>
    </row>
    <row r="48" spans="1:11" ht="16.5">
      <c r="A48"/>
      <c r="B48"/>
      <c r="C48"/>
      <c r="D48"/>
      <c r="E48"/>
      <c r="F48"/>
      <c r="G48"/>
      <c r="H48"/>
    </row>
    <row r="49" spans="1:8" ht="16.5">
      <c r="A49"/>
      <c r="B49"/>
      <c r="C49"/>
      <c r="D49"/>
      <c r="E49"/>
      <c r="F49"/>
      <c r="G49"/>
      <c r="H49"/>
    </row>
    <row r="50" spans="1:8" ht="16.5">
      <c r="A50"/>
      <c r="B50"/>
      <c r="C50"/>
      <c r="D50"/>
      <c r="E50"/>
      <c r="F50"/>
      <c r="G50"/>
      <c r="H50"/>
    </row>
    <row r="51" spans="1:8" ht="16.5">
      <c r="A51"/>
      <c r="B51"/>
      <c r="C51"/>
      <c r="D51"/>
      <c r="E51"/>
      <c r="F51"/>
      <c r="G51"/>
      <c r="H51"/>
    </row>
    <row r="52" spans="1:8" ht="16.5">
      <c r="A52"/>
      <c r="B52"/>
      <c r="C52"/>
      <c r="D52"/>
      <c r="E52"/>
      <c r="F52"/>
      <c r="G52"/>
      <c r="H52"/>
    </row>
    <row r="53" spans="1:8" ht="16.5">
      <c r="A53"/>
      <c r="B53"/>
      <c r="C53"/>
      <c r="D53"/>
      <c r="E53"/>
      <c r="F53"/>
      <c r="G53"/>
      <c r="H53"/>
    </row>
    <row r="54" spans="1:8" ht="16.5">
      <c r="A54"/>
      <c r="B54"/>
      <c r="C54"/>
      <c r="D54"/>
      <c r="E54"/>
      <c r="F54"/>
      <c r="G54"/>
      <c r="H54"/>
    </row>
    <row r="55" spans="1:8" ht="16.5">
      <c r="A55"/>
      <c r="B55"/>
      <c r="C55"/>
      <c r="D55"/>
      <c r="E55"/>
      <c r="F55"/>
      <c r="G55"/>
      <c r="H55"/>
    </row>
    <row r="56" spans="1:8" ht="16.5">
      <c r="A56"/>
      <c r="B56"/>
      <c r="C56"/>
      <c r="D56"/>
      <c r="E56"/>
      <c r="F56"/>
      <c r="G56"/>
      <c r="H56"/>
    </row>
    <row r="57" spans="1:8" ht="16.5">
      <c r="A57"/>
      <c r="B57"/>
      <c r="C57"/>
      <c r="D57"/>
      <c r="E57"/>
      <c r="F57"/>
      <c r="G57"/>
      <c r="H57"/>
    </row>
    <row r="58" spans="1:8" ht="16.5">
      <c r="A58"/>
      <c r="B58"/>
      <c r="C58"/>
      <c r="D58"/>
      <c r="E58"/>
      <c r="F58"/>
      <c r="G58"/>
      <c r="H58"/>
    </row>
    <row r="59" spans="1:8" ht="16.5">
      <c r="A59"/>
      <c r="B59"/>
      <c r="C59"/>
      <c r="D59"/>
      <c r="E59"/>
      <c r="F59"/>
      <c r="G59"/>
      <c r="H59"/>
    </row>
    <row r="60" spans="1:8" ht="16.5">
      <c r="A60"/>
      <c r="B60"/>
      <c r="C60"/>
      <c r="D60"/>
      <c r="E60"/>
      <c r="F60"/>
      <c r="G60"/>
      <c r="H60"/>
    </row>
    <row r="61" spans="1:8" ht="16.5">
      <c r="A61"/>
      <c r="B61"/>
      <c r="C61"/>
      <c r="D61"/>
      <c r="E61"/>
      <c r="F61"/>
      <c r="G61"/>
      <c r="H61"/>
    </row>
    <row r="62" spans="1:8" ht="16.5">
      <c r="A62"/>
      <c r="B62"/>
      <c r="C62"/>
      <c r="D62"/>
      <c r="E62"/>
      <c r="F62"/>
      <c r="G62"/>
      <c r="H62"/>
    </row>
    <row r="63" spans="1:8" ht="16.5">
      <c r="A63"/>
      <c r="B63"/>
      <c r="C63"/>
      <c r="D63"/>
      <c r="E63"/>
      <c r="F63"/>
      <c r="G63"/>
      <c r="H63"/>
    </row>
    <row r="64" spans="1:8" ht="16.5">
      <c r="A64"/>
      <c r="B64"/>
      <c r="C64"/>
      <c r="D64"/>
      <c r="E64"/>
      <c r="F64"/>
      <c r="G64"/>
      <c r="H64"/>
    </row>
    <row r="65" spans="1:8" ht="16.5">
      <c r="A65"/>
      <c r="B65"/>
      <c r="C65"/>
      <c r="D65"/>
      <c r="E65"/>
      <c r="F65"/>
      <c r="G65"/>
      <c r="H65"/>
    </row>
    <row r="66" spans="1:8" ht="16.5">
      <c r="A66"/>
      <c r="B66"/>
      <c r="C66"/>
      <c r="D66"/>
      <c r="E66"/>
      <c r="F66"/>
      <c r="G66"/>
      <c r="H66"/>
    </row>
    <row r="67" spans="1:8" ht="16.5">
      <c r="A67"/>
      <c r="B67"/>
      <c r="C67"/>
      <c r="D67"/>
      <c r="E67"/>
      <c r="F67"/>
      <c r="G67"/>
      <c r="H67"/>
    </row>
    <row r="68" spans="1:8" ht="16.5">
      <c r="A68"/>
      <c r="B68"/>
      <c r="C68"/>
      <c r="D68"/>
      <c r="E68"/>
      <c r="F68"/>
      <c r="G68"/>
      <c r="H68"/>
    </row>
    <row r="69" spans="1:8" ht="16.5">
      <c r="A69"/>
      <c r="B69"/>
      <c r="C69"/>
      <c r="D69"/>
      <c r="E69"/>
      <c r="F69"/>
      <c r="G69"/>
      <c r="H69"/>
    </row>
    <row r="70" spans="1:8" ht="16.5">
      <c r="A70"/>
      <c r="B70"/>
      <c r="C70"/>
      <c r="D70"/>
      <c r="E70"/>
      <c r="F70"/>
      <c r="G70"/>
      <c r="H70"/>
    </row>
    <row r="71" spans="1:8" ht="16.5">
      <c r="A71"/>
      <c r="B71"/>
      <c r="C71"/>
      <c r="D71"/>
      <c r="E71"/>
      <c r="F71"/>
      <c r="G71"/>
      <c r="H71"/>
    </row>
    <row r="72" spans="1:8" ht="16.5">
      <c r="A72"/>
      <c r="B72"/>
      <c r="C72"/>
      <c r="D72"/>
      <c r="E72"/>
      <c r="F72"/>
      <c r="G72"/>
      <c r="H72"/>
    </row>
    <row r="73" spans="1:8" ht="16.5">
      <c r="A73"/>
      <c r="B73"/>
      <c r="C73"/>
      <c r="D73"/>
      <c r="E73"/>
      <c r="F73"/>
      <c r="G73"/>
      <c r="H73"/>
    </row>
    <row r="74" spans="1:8" ht="16.5">
      <c r="A74"/>
      <c r="B74"/>
      <c r="C74"/>
      <c r="D74"/>
      <c r="E74"/>
      <c r="F74"/>
      <c r="G74"/>
      <c r="H74"/>
    </row>
    <row r="75" spans="1:8" ht="16.5">
      <c r="A75"/>
      <c r="B75"/>
      <c r="C75"/>
      <c r="D75"/>
      <c r="E75"/>
      <c r="F75"/>
      <c r="G75"/>
      <c r="H75"/>
    </row>
    <row r="76" spans="1:8" ht="16.5">
      <c r="A76"/>
      <c r="B76"/>
      <c r="C76"/>
      <c r="D76"/>
      <c r="E76"/>
      <c r="F76"/>
      <c r="G76"/>
      <c r="H76"/>
    </row>
    <row r="77" spans="1:8" ht="16.5">
      <c r="A77"/>
      <c r="B77"/>
      <c r="C77"/>
      <c r="D77"/>
      <c r="E77"/>
      <c r="F77"/>
      <c r="G77"/>
      <c r="H77"/>
    </row>
    <row r="78" spans="1:8" ht="16.5">
      <c r="A78"/>
      <c r="B78"/>
      <c r="C78"/>
      <c r="D78"/>
      <c r="E78"/>
      <c r="F78"/>
      <c r="G78"/>
      <c r="H78"/>
    </row>
    <row r="79" spans="1:8" ht="16.5">
      <c r="A79"/>
      <c r="B79"/>
      <c r="C79"/>
      <c r="D79"/>
      <c r="E79"/>
      <c r="F79"/>
      <c r="G79"/>
      <c r="H79"/>
    </row>
    <row r="80" spans="1:8" ht="16.5">
      <c r="A80"/>
      <c r="B80"/>
      <c r="C80"/>
      <c r="D80"/>
      <c r="E80"/>
      <c r="F80"/>
      <c r="G80"/>
      <c r="H80"/>
    </row>
    <row r="81" spans="1:8" ht="16.5">
      <c r="A81"/>
      <c r="B81"/>
      <c r="C81"/>
      <c r="D81"/>
      <c r="E81"/>
      <c r="F81"/>
      <c r="G81"/>
      <c r="H81"/>
    </row>
    <row r="82" spans="1:8" ht="16.5">
      <c r="A82"/>
      <c r="B82"/>
      <c r="C82"/>
      <c r="D82"/>
      <c r="E82"/>
      <c r="F82"/>
      <c r="G82"/>
      <c r="H82"/>
    </row>
    <row r="83" spans="1:8" ht="16.5">
      <c r="A83"/>
      <c r="B83"/>
      <c r="C83"/>
      <c r="D83"/>
      <c r="E83"/>
      <c r="F83"/>
      <c r="G83"/>
      <c r="H83"/>
    </row>
    <row r="84" spans="1:8" ht="16.5">
      <c r="A84"/>
      <c r="B84"/>
      <c r="C84"/>
      <c r="D84"/>
      <c r="E84"/>
      <c r="F84"/>
      <c r="G84"/>
      <c r="H84"/>
    </row>
    <row r="85" spans="1:8" ht="16.5">
      <c r="A85"/>
      <c r="B85"/>
      <c r="C85"/>
      <c r="D85"/>
      <c r="E85"/>
      <c r="F85"/>
      <c r="G85"/>
      <c r="H85"/>
    </row>
    <row r="86" spans="1:8" ht="16.5">
      <c r="A86"/>
      <c r="B86"/>
      <c r="C86"/>
      <c r="D86"/>
      <c r="E86"/>
      <c r="F86"/>
      <c r="G86"/>
      <c r="H86"/>
    </row>
    <row r="87" spans="1:8" ht="16.5">
      <c r="A87"/>
      <c r="B87"/>
      <c r="C87"/>
      <c r="D87"/>
      <c r="E87"/>
      <c r="F87"/>
      <c r="G87"/>
      <c r="H87"/>
    </row>
    <row r="88" spans="1:8" ht="16.5">
      <c r="A88"/>
      <c r="B88"/>
      <c r="C88"/>
      <c r="D88"/>
      <c r="E88"/>
      <c r="F88"/>
      <c r="G88"/>
      <c r="H88"/>
    </row>
    <row r="89" spans="1:8" ht="16.5">
      <c r="A89"/>
      <c r="B89"/>
      <c r="C89"/>
      <c r="D89"/>
      <c r="E89"/>
      <c r="F89"/>
      <c r="G89"/>
      <c r="H89"/>
    </row>
    <row r="90" spans="1:8" ht="16.5">
      <c r="A90"/>
      <c r="B90"/>
      <c r="C90"/>
      <c r="D90"/>
      <c r="E90"/>
      <c r="F90"/>
      <c r="G90"/>
      <c r="H90"/>
    </row>
    <row r="91" spans="1:8" ht="16.5">
      <c r="A91"/>
      <c r="B91"/>
      <c r="C91"/>
      <c r="D91"/>
      <c r="E91"/>
      <c r="F91"/>
      <c r="G91"/>
      <c r="H91"/>
    </row>
    <row r="92" spans="1:8" ht="16.5">
      <c r="A92"/>
      <c r="B92"/>
      <c r="C92"/>
      <c r="D92"/>
      <c r="E92"/>
      <c r="F92"/>
      <c r="G92"/>
      <c r="H92"/>
    </row>
    <row r="93" spans="1:8" ht="16.5">
      <c r="A93"/>
      <c r="B93"/>
      <c r="C93"/>
      <c r="D93"/>
      <c r="E93"/>
      <c r="F93"/>
      <c r="G93"/>
      <c r="H93"/>
    </row>
    <row r="94" spans="1:8" ht="16.5">
      <c r="A94"/>
      <c r="B94"/>
      <c r="C94"/>
      <c r="D94"/>
      <c r="E94"/>
      <c r="F94"/>
      <c r="G94"/>
      <c r="H94"/>
    </row>
    <row r="95" spans="1:8" ht="16.5">
      <c r="A95"/>
      <c r="B95"/>
      <c r="C95"/>
      <c r="D95"/>
      <c r="E95"/>
      <c r="F95"/>
      <c r="G95"/>
      <c r="H95"/>
    </row>
    <row r="96" spans="1:8" ht="16.5">
      <c r="A96"/>
      <c r="B96"/>
      <c r="C96"/>
      <c r="D96"/>
      <c r="E96"/>
      <c r="F96"/>
      <c r="G96"/>
      <c r="H96"/>
    </row>
    <row r="97" spans="1:8" ht="16.5">
      <c r="A97"/>
      <c r="B97"/>
      <c r="C97"/>
      <c r="D97"/>
      <c r="E97"/>
      <c r="F97"/>
      <c r="G97"/>
      <c r="H97"/>
    </row>
    <row r="98" spans="1:8" ht="16.5">
      <c r="A98"/>
      <c r="B98"/>
      <c r="C98"/>
      <c r="D98"/>
      <c r="E98"/>
      <c r="F98"/>
      <c r="G98"/>
      <c r="H98"/>
    </row>
    <row r="99" spans="1:8" ht="16.5">
      <c r="A99"/>
      <c r="B99"/>
      <c r="C99"/>
      <c r="D99"/>
      <c r="E99"/>
      <c r="F99"/>
      <c r="G99"/>
      <c r="H99"/>
    </row>
    <row r="100" spans="1:8" ht="16.5">
      <c r="A100"/>
      <c r="B100"/>
      <c r="C100"/>
      <c r="D100"/>
      <c r="E100"/>
      <c r="F100"/>
      <c r="G100"/>
      <c r="H100"/>
    </row>
    <row r="101" spans="1:8" ht="16.5">
      <c r="A101"/>
      <c r="B101"/>
      <c r="C101"/>
      <c r="D101"/>
      <c r="E101"/>
      <c r="F101"/>
      <c r="G101"/>
      <c r="H101"/>
    </row>
    <row r="102" spans="1:8" ht="16.5">
      <c r="A102"/>
      <c r="B102"/>
      <c r="C102"/>
      <c r="D102"/>
      <c r="E102"/>
      <c r="F102"/>
      <c r="G102"/>
      <c r="H102"/>
    </row>
    <row r="103" spans="1:8" ht="16.5">
      <c r="A103"/>
      <c r="B103"/>
      <c r="C103"/>
      <c r="D103"/>
      <c r="E103"/>
      <c r="F103"/>
      <c r="G103"/>
      <c r="H103"/>
    </row>
    <row r="104" spans="1:8" ht="16.5">
      <c r="A104"/>
      <c r="B104"/>
      <c r="C104"/>
      <c r="D104"/>
      <c r="E104"/>
      <c r="F104"/>
      <c r="G104"/>
      <c r="H104"/>
    </row>
    <row r="105" spans="1:8" ht="16.5">
      <c r="A105"/>
      <c r="B105"/>
      <c r="C105"/>
      <c r="D105"/>
      <c r="E105"/>
      <c r="F105"/>
      <c r="G105"/>
      <c r="H105"/>
    </row>
    <row r="106" spans="1:8" ht="16.5">
      <c r="A106"/>
      <c r="B106"/>
      <c r="C106"/>
      <c r="D106"/>
      <c r="E106"/>
      <c r="F106"/>
      <c r="G106"/>
      <c r="H106"/>
    </row>
    <row r="107" spans="1:8" ht="16.5">
      <c r="A107"/>
      <c r="B107"/>
      <c r="C107"/>
      <c r="D107"/>
      <c r="E107"/>
      <c r="F107"/>
      <c r="G107"/>
      <c r="H107"/>
    </row>
    <row r="108" spans="1:8" ht="16.5">
      <c r="A108"/>
      <c r="B108"/>
      <c r="C108"/>
      <c r="D108"/>
      <c r="E108"/>
      <c r="F108"/>
      <c r="G108"/>
      <c r="H108"/>
    </row>
    <row r="109" spans="1:8" ht="16.5">
      <c r="A109"/>
      <c r="B109"/>
      <c r="C109"/>
      <c r="D109"/>
      <c r="E109"/>
      <c r="F109"/>
      <c r="G109"/>
      <c r="H109"/>
    </row>
    <row r="110" spans="1:8" ht="16.5">
      <c r="A110"/>
      <c r="B110"/>
      <c r="C110"/>
      <c r="D110"/>
      <c r="E110"/>
      <c r="F110"/>
      <c r="G110"/>
      <c r="H110"/>
    </row>
    <row r="111" spans="1:8" ht="16.5">
      <c r="A111"/>
      <c r="B111"/>
      <c r="C111"/>
      <c r="D111"/>
      <c r="E111"/>
      <c r="F111"/>
      <c r="G111"/>
      <c r="H111"/>
    </row>
    <row r="112" spans="1:8" ht="16.5">
      <c r="A112"/>
      <c r="B112"/>
      <c r="C112"/>
      <c r="D112"/>
      <c r="E112"/>
      <c r="F112"/>
      <c r="G112"/>
      <c r="H112"/>
    </row>
    <row r="113" spans="1:8" ht="16.5">
      <c r="A113"/>
      <c r="B113"/>
      <c r="C113"/>
      <c r="D113"/>
      <c r="E113"/>
      <c r="F113"/>
      <c r="G113"/>
      <c r="H113"/>
    </row>
    <row r="114" spans="1:8" ht="16.5">
      <c r="A114"/>
      <c r="B114"/>
      <c r="C114"/>
      <c r="D114"/>
      <c r="E114"/>
      <c r="F114"/>
      <c r="G114"/>
      <c r="H114"/>
    </row>
    <row r="115" spans="1:8" ht="16.5">
      <c r="A115"/>
      <c r="B115"/>
      <c r="C115"/>
      <c r="D115"/>
      <c r="E115"/>
      <c r="F115"/>
      <c r="G115"/>
      <c r="H115"/>
    </row>
    <row r="116" spans="1:8" ht="16.5">
      <c r="A116"/>
      <c r="B116"/>
      <c r="C116"/>
      <c r="D116"/>
      <c r="E116"/>
      <c r="F116"/>
      <c r="G116"/>
      <c r="H116"/>
    </row>
    <row r="117" spans="1:8" ht="16.5">
      <c r="A117"/>
      <c r="B117"/>
      <c r="C117"/>
      <c r="D117"/>
      <c r="E117"/>
      <c r="F117"/>
      <c r="G117"/>
      <c r="H117"/>
    </row>
    <row r="118" spans="1:8" ht="16.5">
      <c r="A118"/>
      <c r="B118"/>
      <c r="C118"/>
      <c r="D118"/>
      <c r="E118"/>
      <c r="F118"/>
      <c r="G118"/>
      <c r="H118"/>
    </row>
    <row r="119" spans="1:8" ht="16.5">
      <c r="A119"/>
      <c r="B119"/>
      <c r="C119"/>
      <c r="D119"/>
      <c r="E119"/>
      <c r="F119"/>
      <c r="G119"/>
      <c r="H119"/>
    </row>
    <row r="120" spans="1:8" ht="16.5">
      <c r="A120"/>
      <c r="B120"/>
      <c r="C120"/>
      <c r="D120"/>
      <c r="E120"/>
      <c r="F120"/>
      <c r="G120"/>
      <c r="H120"/>
    </row>
    <row r="121" spans="1:8" ht="16.5">
      <c r="A121"/>
      <c r="B121"/>
      <c r="C121"/>
      <c r="D121"/>
      <c r="E121"/>
      <c r="F121"/>
      <c r="G121"/>
      <c r="H121"/>
    </row>
    <row r="122" spans="1:8" ht="16.5">
      <c r="A122"/>
      <c r="B122"/>
      <c r="C122"/>
      <c r="D122"/>
      <c r="E122"/>
      <c r="F122"/>
      <c r="G122"/>
      <c r="H122"/>
    </row>
    <row r="123" spans="1:8" ht="16.5">
      <c r="A123"/>
      <c r="B123"/>
      <c r="C123"/>
      <c r="D123"/>
      <c r="E123"/>
      <c r="F123"/>
      <c r="G123"/>
      <c r="H123"/>
    </row>
    <row r="124" spans="1:8" ht="16.5">
      <c r="A124"/>
      <c r="B124"/>
      <c r="C124"/>
      <c r="D124"/>
      <c r="E124"/>
      <c r="F124"/>
      <c r="G124"/>
      <c r="H124"/>
    </row>
    <row r="125" spans="1:8" ht="16.5">
      <c r="A125"/>
      <c r="B125"/>
      <c r="C125"/>
      <c r="D125"/>
      <c r="E125"/>
      <c r="F125"/>
      <c r="G125"/>
      <c r="H125"/>
    </row>
    <row r="126" spans="1:8" ht="16.5">
      <c r="A126"/>
      <c r="B126"/>
      <c r="C126"/>
      <c r="D126"/>
      <c r="E126"/>
      <c r="F126"/>
      <c r="G126"/>
      <c r="H126"/>
    </row>
    <row r="127" spans="1:8" ht="16.5">
      <c r="A127"/>
      <c r="B127"/>
      <c r="C127"/>
      <c r="D127"/>
      <c r="E127"/>
      <c r="F127"/>
      <c r="G127"/>
      <c r="H127"/>
    </row>
    <row r="128" spans="1:8" ht="16.5">
      <c r="A128"/>
      <c r="B128"/>
      <c r="C128"/>
      <c r="D128"/>
      <c r="E128"/>
      <c r="F128"/>
      <c r="G128"/>
      <c r="H128"/>
    </row>
    <row r="129" spans="1:8" ht="16.5">
      <c r="A129"/>
      <c r="B129"/>
      <c r="C129"/>
      <c r="D129"/>
      <c r="E129"/>
      <c r="F129"/>
      <c r="G129"/>
      <c r="H129"/>
    </row>
    <row r="130" spans="1:8" ht="16.5">
      <c r="A130"/>
      <c r="B130"/>
      <c r="C130"/>
      <c r="D130"/>
      <c r="E130"/>
      <c r="F130"/>
      <c r="G130"/>
      <c r="H130"/>
    </row>
    <row r="131" spans="1:8" ht="16.5">
      <c r="A131"/>
      <c r="B131"/>
      <c r="C131"/>
      <c r="D131"/>
      <c r="E131"/>
      <c r="F131"/>
      <c r="G131"/>
      <c r="H131"/>
    </row>
    <row r="132" spans="1:8" ht="16.5">
      <c r="A132"/>
      <c r="B132"/>
      <c r="C132"/>
      <c r="D132"/>
      <c r="E132"/>
      <c r="F132"/>
      <c r="G132"/>
      <c r="H132"/>
    </row>
    <row r="133" spans="1:8" ht="16.5">
      <c r="A133"/>
      <c r="B133"/>
      <c r="C133"/>
      <c r="D133"/>
      <c r="E133"/>
      <c r="F133"/>
      <c r="G133"/>
      <c r="H133"/>
    </row>
    <row r="134" spans="1:8" ht="16.5">
      <c r="A134"/>
      <c r="B134"/>
      <c r="C134"/>
      <c r="D134"/>
      <c r="E134"/>
      <c r="F134"/>
      <c r="G134"/>
      <c r="H134"/>
    </row>
    <row r="135" spans="1:8" ht="16.5">
      <c r="A135"/>
      <c r="B135"/>
      <c r="C135"/>
      <c r="D135"/>
      <c r="E135"/>
      <c r="F135"/>
      <c r="G135"/>
      <c r="H135"/>
    </row>
    <row r="136" spans="1:8" ht="16.5">
      <c r="A136"/>
      <c r="B136"/>
      <c r="C136"/>
      <c r="D136"/>
      <c r="E136"/>
      <c r="F136"/>
      <c r="G136"/>
      <c r="H136"/>
    </row>
    <row r="137" spans="1:8" ht="16.5">
      <c r="A137"/>
      <c r="B137"/>
      <c r="C137"/>
      <c r="D137"/>
      <c r="E137"/>
      <c r="F137"/>
      <c r="G137"/>
      <c r="H137"/>
    </row>
    <row r="138" spans="1:8" ht="16.5">
      <c r="A138"/>
      <c r="B138"/>
      <c r="C138"/>
      <c r="D138"/>
      <c r="E138"/>
      <c r="F138"/>
      <c r="G138"/>
      <c r="H138"/>
    </row>
    <row r="139" spans="1:8" ht="16.5">
      <c r="A139"/>
      <c r="B139"/>
      <c r="C139"/>
      <c r="D139"/>
      <c r="E139"/>
      <c r="F139"/>
      <c r="G139"/>
      <c r="H139"/>
    </row>
    <row r="140" spans="1:8" ht="16.5">
      <c r="A140"/>
      <c r="B140"/>
      <c r="C140"/>
      <c r="D140"/>
      <c r="E140"/>
      <c r="F140"/>
      <c r="G140"/>
      <c r="H140"/>
    </row>
    <row r="141" spans="1:8" ht="16.5">
      <c r="A141"/>
      <c r="B141"/>
      <c r="C141"/>
      <c r="D141"/>
      <c r="E141"/>
      <c r="F141"/>
      <c r="G141"/>
      <c r="H141"/>
    </row>
    <row r="142" spans="1:8" ht="16.5">
      <c r="A142"/>
      <c r="B142"/>
      <c r="C142"/>
      <c r="D142"/>
      <c r="E142"/>
      <c r="F142"/>
      <c r="G142"/>
      <c r="H142"/>
    </row>
    <row r="143" spans="1:8" ht="16.5">
      <c r="A143"/>
      <c r="B143"/>
      <c r="C143"/>
      <c r="D143"/>
      <c r="E143"/>
      <c r="F143"/>
      <c r="G143"/>
      <c r="H143"/>
    </row>
    <row r="144" spans="1:8" ht="16.5">
      <c r="A144"/>
      <c r="B144"/>
      <c r="C144"/>
      <c r="D144"/>
      <c r="E144"/>
      <c r="F144"/>
      <c r="G144"/>
      <c r="H144"/>
    </row>
    <row r="145" spans="1:8" ht="16.5">
      <c r="A145"/>
      <c r="B145"/>
      <c r="C145"/>
      <c r="D145"/>
      <c r="E145"/>
      <c r="F145"/>
      <c r="G145"/>
      <c r="H145"/>
    </row>
    <row r="146" spans="1:8" ht="16.5">
      <c r="A146"/>
      <c r="B146"/>
      <c r="C146"/>
      <c r="D146"/>
      <c r="E146"/>
      <c r="F146"/>
      <c r="G146"/>
      <c r="H146"/>
    </row>
    <row r="147" spans="1:8" ht="16.5">
      <c r="A147"/>
      <c r="B147"/>
      <c r="C147"/>
      <c r="D147"/>
      <c r="E147"/>
      <c r="F147"/>
      <c r="G147"/>
      <c r="H147"/>
    </row>
    <row r="148" spans="1:8" ht="16.5">
      <c r="A148"/>
      <c r="B148"/>
      <c r="C148"/>
      <c r="D148"/>
      <c r="E148"/>
      <c r="F148"/>
      <c r="G148"/>
      <c r="H148"/>
    </row>
    <row r="149" spans="1:8" ht="16.5">
      <c r="A149"/>
      <c r="B149"/>
      <c r="C149"/>
      <c r="D149"/>
      <c r="E149"/>
      <c r="F149"/>
      <c r="G149"/>
      <c r="H149"/>
    </row>
    <row r="150" spans="1:8" ht="16.5">
      <c r="A150"/>
      <c r="B150"/>
      <c r="C150"/>
      <c r="D150"/>
      <c r="E150"/>
      <c r="F150"/>
      <c r="G150"/>
      <c r="H150"/>
    </row>
    <row r="151" spans="1:8" ht="16.5">
      <c r="A151"/>
      <c r="B151"/>
      <c r="C151"/>
      <c r="D151"/>
      <c r="E151"/>
      <c r="F151"/>
      <c r="G151"/>
      <c r="H151"/>
    </row>
    <row r="152" spans="1:8" ht="16.5">
      <c r="A152"/>
      <c r="B152"/>
      <c r="C152"/>
      <c r="D152"/>
      <c r="E152"/>
      <c r="F152"/>
      <c r="G152"/>
      <c r="H152"/>
    </row>
    <row r="153" spans="1:8" ht="16.5">
      <c r="A153"/>
      <c r="B153"/>
      <c r="C153"/>
      <c r="D153"/>
      <c r="E153"/>
      <c r="F153"/>
      <c r="G153"/>
      <c r="H153"/>
    </row>
    <row r="154" spans="1:8" ht="16.5">
      <c r="A154"/>
      <c r="B154"/>
      <c r="C154"/>
      <c r="D154"/>
      <c r="E154"/>
      <c r="F154"/>
      <c r="G154"/>
      <c r="H154"/>
    </row>
    <row r="155" spans="1:8" ht="16.5">
      <c r="A155"/>
      <c r="B155"/>
      <c r="C155"/>
      <c r="D155"/>
      <c r="E155"/>
      <c r="F155"/>
      <c r="G155"/>
      <c r="H155"/>
    </row>
    <row r="156" spans="1:8" ht="16.5">
      <c r="A156"/>
      <c r="B156"/>
      <c r="C156"/>
      <c r="D156"/>
      <c r="E156"/>
      <c r="F156"/>
      <c r="G156"/>
      <c r="H156"/>
    </row>
    <row r="157" spans="1:8" ht="16.5">
      <c r="A157"/>
      <c r="B157"/>
      <c r="C157"/>
      <c r="D157"/>
      <c r="E157"/>
      <c r="F157"/>
      <c r="G157"/>
      <c r="H157"/>
    </row>
    <row r="158" spans="1:8" ht="16.5">
      <c r="A158"/>
      <c r="B158"/>
      <c r="C158"/>
      <c r="D158"/>
      <c r="E158"/>
      <c r="F158"/>
      <c r="G158"/>
      <c r="H158"/>
    </row>
    <row r="159" spans="1:8" ht="16.5">
      <c r="A159"/>
      <c r="B159"/>
      <c r="C159"/>
      <c r="D159"/>
      <c r="E159"/>
      <c r="F159"/>
      <c r="G159"/>
      <c r="H159"/>
    </row>
    <row r="160" spans="1:8" ht="16.5">
      <c r="A160"/>
      <c r="B160"/>
      <c r="C160"/>
      <c r="D160"/>
      <c r="E160"/>
      <c r="F160"/>
      <c r="G160"/>
      <c r="H160"/>
    </row>
    <row r="161" spans="1:8" ht="16.5">
      <c r="A161"/>
      <c r="B161"/>
      <c r="C161"/>
      <c r="D161"/>
      <c r="E161"/>
      <c r="F161"/>
      <c r="G161"/>
      <c r="H161"/>
    </row>
    <row r="162" spans="1:8" ht="16.5">
      <c r="A162"/>
      <c r="B162"/>
      <c r="C162"/>
      <c r="D162"/>
      <c r="E162"/>
      <c r="F162"/>
      <c r="G162"/>
      <c r="H162"/>
    </row>
    <row r="163" spans="1:8" ht="16.5">
      <c r="A163"/>
      <c r="B163"/>
      <c r="C163"/>
      <c r="D163"/>
      <c r="E163"/>
      <c r="F163"/>
      <c r="G163"/>
      <c r="H163"/>
    </row>
    <row r="164" spans="1:8" ht="16.5">
      <c r="A164"/>
      <c r="B164"/>
      <c r="C164"/>
      <c r="D164"/>
      <c r="E164"/>
      <c r="F164"/>
      <c r="G164"/>
      <c r="H164"/>
    </row>
    <row r="165" spans="1:8" ht="16.5">
      <c r="A165"/>
      <c r="B165"/>
      <c r="C165"/>
      <c r="D165"/>
      <c r="E165"/>
      <c r="F165"/>
      <c r="G165"/>
      <c r="H165"/>
    </row>
    <row r="166" spans="1:8" ht="16.5">
      <c r="A166"/>
      <c r="B166"/>
      <c r="C166"/>
      <c r="D166"/>
      <c r="E166"/>
      <c r="F166"/>
      <c r="G166"/>
      <c r="H166"/>
    </row>
    <row r="167" spans="1:8" ht="16.5">
      <c r="A167"/>
      <c r="B167"/>
      <c r="C167"/>
      <c r="D167"/>
      <c r="E167"/>
      <c r="F167"/>
      <c r="G167"/>
      <c r="H167"/>
    </row>
    <row r="168" spans="1:8" ht="16.5">
      <c r="A168"/>
      <c r="B168"/>
      <c r="C168"/>
      <c r="D168"/>
      <c r="E168"/>
      <c r="F168"/>
      <c r="G168"/>
      <c r="H168"/>
    </row>
    <row r="169" spans="1:8" ht="16.5">
      <c r="A169"/>
      <c r="B169"/>
      <c r="C169"/>
      <c r="D169"/>
      <c r="E169"/>
      <c r="F169"/>
      <c r="G169"/>
      <c r="H169"/>
    </row>
    <row r="170" spans="1:8" ht="16.5">
      <c r="A170"/>
      <c r="B170"/>
      <c r="C170"/>
      <c r="D170"/>
      <c r="E170"/>
      <c r="F170"/>
      <c r="G170"/>
      <c r="H170"/>
    </row>
    <row r="171" spans="1:8" ht="16.5">
      <c r="A171"/>
      <c r="B171"/>
      <c r="C171"/>
      <c r="D171"/>
      <c r="E171"/>
      <c r="F171"/>
      <c r="G171"/>
      <c r="H171"/>
    </row>
    <row r="172" spans="1:8" ht="16.5">
      <c r="A172"/>
      <c r="B172"/>
      <c r="C172"/>
      <c r="D172"/>
      <c r="E172"/>
      <c r="F172"/>
      <c r="G172"/>
      <c r="H172"/>
    </row>
    <row r="173" spans="1:8" ht="16.5">
      <c r="A173"/>
      <c r="B173"/>
      <c r="C173"/>
      <c r="D173"/>
      <c r="E173"/>
      <c r="F173"/>
      <c r="G173"/>
      <c r="H173"/>
    </row>
    <row r="174" spans="1:8" ht="16.5">
      <c r="A174"/>
      <c r="B174"/>
      <c r="C174"/>
      <c r="D174"/>
      <c r="E174"/>
      <c r="F174"/>
      <c r="G174"/>
      <c r="H174"/>
    </row>
    <row r="175" spans="1:8" ht="16.5">
      <c r="A175"/>
      <c r="B175"/>
      <c r="C175"/>
      <c r="D175"/>
      <c r="E175"/>
      <c r="F175"/>
      <c r="G175"/>
      <c r="H175"/>
    </row>
    <row r="176" spans="1:8" ht="16.5">
      <c r="A176"/>
      <c r="B176"/>
      <c r="C176"/>
      <c r="D176"/>
      <c r="E176"/>
      <c r="F176"/>
      <c r="G176"/>
      <c r="H176"/>
    </row>
    <row r="177" spans="1:8" ht="16.5">
      <c r="A177"/>
      <c r="B177"/>
      <c r="C177"/>
      <c r="D177"/>
      <c r="E177"/>
      <c r="F177"/>
      <c r="G177"/>
      <c r="H177"/>
    </row>
    <row r="178" spans="1:8" ht="16.5">
      <c r="A178"/>
      <c r="B178"/>
      <c r="C178"/>
      <c r="D178"/>
      <c r="E178"/>
      <c r="F178"/>
      <c r="G178"/>
      <c r="H178"/>
    </row>
    <row r="179" spans="1:8" ht="16.5">
      <c r="A179"/>
      <c r="B179"/>
      <c r="C179"/>
      <c r="D179"/>
      <c r="E179"/>
      <c r="F179"/>
      <c r="G179"/>
      <c r="H179"/>
    </row>
    <row r="180" spans="1:8" ht="16.5">
      <c r="A180"/>
      <c r="B180"/>
      <c r="C180"/>
      <c r="D180"/>
      <c r="E180"/>
      <c r="F180"/>
      <c r="G180"/>
      <c r="H180"/>
    </row>
    <row r="181" spans="1:8" ht="16.5">
      <c r="A181"/>
      <c r="B181"/>
      <c r="C181"/>
      <c r="D181"/>
      <c r="E181"/>
      <c r="F181"/>
      <c r="G181"/>
      <c r="H181"/>
    </row>
    <row r="182" spans="1:8" ht="16.5">
      <c r="A182"/>
      <c r="B182"/>
      <c r="C182"/>
      <c r="D182"/>
      <c r="E182"/>
      <c r="F182"/>
      <c r="G182"/>
      <c r="H182"/>
    </row>
    <row r="183" spans="1:8" ht="16.5">
      <c r="A183"/>
      <c r="B183"/>
      <c r="C183"/>
      <c r="D183"/>
      <c r="E183"/>
      <c r="F183"/>
      <c r="G183"/>
      <c r="H183"/>
    </row>
    <row r="184" spans="1:8" ht="16.5">
      <c r="A184"/>
      <c r="B184"/>
      <c r="C184"/>
      <c r="D184"/>
      <c r="E184"/>
      <c r="F184"/>
      <c r="G184"/>
      <c r="H184"/>
    </row>
    <row r="185" spans="1:8" ht="16.5">
      <c r="A185"/>
      <c r="B185"/>
      <c r="C185"/>
      <c r="D185"/>
      <c r="E185"/>
      <c r="F185"/>
      <c r="G185"/>
      <c r="H185"/>
    </row>
    <row r="186" spans="1:8" ht="16.5">
      <c r="A186"/>
      <c r="B186"/>
      <c r="C186"/>
      <c r="D186"/>
      <c r="E186"/>
      <c r="F186"/>
      <c r="G186"/>
      <c r="H186"/>
    </row>
    <row r="187" spans="1:8" ht="16.5">
      <c r="A187"/>
      <c r="B187"/>
      <c r="C187"/>
      <c r="D187"/>
      <c r="E187"/>
      <c r="F187"/>
      <c r="G187"/>
      <c r="H187"/>
    </row>
    <row r="188" spans="1:8" ht="16.5">
      <c r="A188"/>
      <c r="B188"/>
      <c r="C188"/>
      <c r="D188"/>
      <c r="E188"/>
      <c r="F188"/>
      <c r="G188"/>
      <c r="H188"/>
    </row>
    <row r="189" spans="1:8" ht="16.5">
      <c r="A189"/>
      <c r="B189"/>
      <c r="C189"/>
      <c r="D189"/>
      <c r="E189"/>
      <c r="F189"/>
      <c r="G189"/>
      <c r="H189"/>
    </row>
    <row r="190" spans="1:8" ht="16.5">
      <c r="A190"/>
      <c r="B190"/>
      <c r="C190"/>
      <c r="D190"/>
      <c r="E190"/>
      <c r="F190"/>
      <c r="G190"/>
      <c r="H190"/>
    </row>
    <row r="191" spans="1:8" ht="16.5">
      <c r="A191"/>
      <c r="B191"/>
      <c r="C191"/>
      <c r="D191"/>
      <c r="E191"/>
      <c r="F191"/>
      <c r="G191"/>
      <c r="H191"/>
    </row>
    <row r="192" spans="1:8" ht="16.5">
      <c r="A192"/>
      <c r="B192"/>
      <c r="C192"/>
      <c r="D192"/>
      <c r="E192"/>
      <c r="F192"/>
      <c r="G192"/>
      <c r="H192"/>
    </row>
    <row r="193" spans="1:8" ht="16.5">
      <c r="A193"/>
      <c r="B193"/>
      <c r="C193"/>
      <c r="D193"/>
      <c r="E193"/>
      <c r="F193"/>
      <c r="G193"/>
      <c r="H193"/>
    </row>
    <row r="194" spans="1:8" ht="16.5">
      <c r="A194"/>
      <c r="B194"/>
      <c r="C194"/>
      <c r="D194"/>
      <c r="E194"/>
      <c r="F194"/>
      <c r="G194"/>
      <c r="H194"/>
    </row>
    <row r="195" spans="1:8" ht="16.5">
      <c r="A195"/>
      <c r="B195"/>
      <c r="C195"/>
      <c r="D195"/>
      <c r="E195"/>
      <c r="F195"/>
      <c r="G195"/>
      <c r="H195"/>
    </row>
    <row r="196" spans="1:8" ht="16.5">
      <c r="A196"/>
      <c r="B196"/>
      <c r="C196"/>
      <c r="D196"/>
      <c r="E196"/>
      <c r="F196"/>
      <c r="G196"/>
      <c r="H196"/>
    </row>
    <row r="197" spans="1:8" ht="16.5">
      <c r="A197"/>
      <c r="B197"/>
      <c r="C197"/>
      <c r="D197"/>
      <c r="E197"/>
      <c r="F197"/>
      <c r="G197"/>
      <c r="H197"/>
    </row>
    <row r="198" spans="1:8" ht="16.5">
      <c r="A198"/>
      <c r="B198"/>
      <c r="C198"/>
      <c r="D198"/>
      <c r="E198"/>
      <c r="F198"/>
      <c r="G198"/>
      <c r="H198"/>
    </row>
    <row r="199" spans="1:8" ht="16.5">
      <c r="A199"/>
      <c r="B199"/>
      <c r="C199"/>
      <c r="D199"/>
      <c r="E199"/>
      <c r="F199"/>
      <c r="G199"/>
      <c r="H199"/>
    </row>
    <row r="200" spans="1:8" ht="16.5">
      <c r="A200"/>
      <c r="B200"/>
      <c r="C200"/>
      <c r="D200"/>
      <c r="E200"/>
      <c r="F200"/>
      <c r="G200"/>
      <c r="H200"/>
    </row>
    <row r="201" spans="1:8" ht="16.5">
      <c r="A201"/>
      <c r="B201"/>
      <c r="C201"/>
      <c r="D201"/>
      <c r="E201"/>
      <c r="F201"/>
      <c r="G201"/>
      <c r="H201"/>
    </row>
    <row r="202" spans="1:8" ht="16.5">
      <c r="A202"/>
      <c r="B202"/>
      <c r="C202"/>
      <c r="D202"/>
      <c r="E202"/>
      <c r="F202"/>
      <c r="G202"/>
      <c r="H202"/>
    </row>
    <row r="203" spans="1:8" ht="16.5">
      <c r="A203"/>
      <c r="B203"/>
      <c r="C203"/>
      <c r="D203"/>
      <c r="E203"/>
      <c r="F203"/>
      <c r="G203"/>
      <c r="H203"/>
    </row>
    <row r="204" spans="1:8" ht="16.5">
      <c r="A204"/>
      <c r="B204"/>
      <c r="C204"/>
      <c r="D204"/>
      <c r="E204"/>
      <c r="F204"/>
      <c r="G204"/>
      <c r="H204"/>
    </row>
    <row r="205" spans="1:8" ht="16.5">
      <c r="A205"/>
      <c r="B205"/>
      <c r="C205"/>
      <c r="D205"/>
      <c r="E205"/>
      <c r="F205"/>
      <c r="G205"/>
      <c r="H205"/>
    </row>
    <row r="206" spans="1:8" ht="16.5">
      <c r="A206"/>
      <c r="B206"/>
      <c r="C206"/>
      <c r="D206"/>
      <c r="E206"/>
      <c r="F206"/>
      <c r="G206"/>
      <c r="H206"/>
    </row>
    <row r="207" spans="1:8" ht="16.5">
      <c r="A207"/>
      <c r="B207"/>
      <c r="C207"/>
      <c r="D207"/>
      <c r="E207"/>
      <c r="F207"/>
      <c r="G207"/>
      <c r="H207"/>
    </row>
    <row r="208" spans="1:8" ht="16.5">
      <c r="A208"/>
      <c r="B208"/>
      <c r="C208"/>
      <c r="D208"/>
      <c r="E208"/>
      <c r="F208"/>
      <c r="G208"/>
      <c r="H208"/>
    </row>
    <row r="209" spans="1:8" ht="16.5">
      <c r="A209"/>
      <c r="B209"/>
      <c r="C209"/>
      <c r="D209"/>
      <c r="E209"/>
      <c r="F209"/>
      <c r="G209"/>
      <c r="H209"/>
    </row>
    <row r="210" spans="1:8" ht="16.5">
      <c r="A210"/>
      <c r="B210"/>
      <c r="C210"/>
      <c r="D210"/>
      <c r="E210"/>
      <c r="F210"/>
      <c r="G210"/>
      <c r="H210"/>
    </row>
    <row r="211" spans="1:8" ht="16.5">
      <c r="A211"/>
      <c r="B211"/>
      <c r="C211"/>
      <c r="D211"/>
      <c r="E211"/>
      <c r="F211"/>
      <c r="G211"/>
      <c r="H211"/>
    </row>
    <row r="212" spans="1:8" ht="16.5">
      <c r="A212"/>
      <c r="B212"/>
      <c r="C212"/>
      <c r="D212"/>
      <c r="E212"/>
      <c r="F212"/>
      <c r="G212"/>
      <c r="H212"/>
    </row>
    <row r="213" spans="1:8" ht="16.5">
      <c r="A213"/>
      <c r="B213"/>
      <c r="C213"/>
      <c r="D213"/>
      <c r="E213"/>
      <c r="F213"/>
      <c r="G213"/>
      <c r="H213"/>
    </row>
    <row r="214" spans="1:8" ht="16.5">
      <c r="A214"/>
      <c r="B214"/>
      <c r="C214"/>
      <c r="D214"/>
      <c r="E214"/>
      <c r="F214"/>
      <c r="G214"/>
      <c r="H214"/>
    </row>
    <row r="215" spans="1:8" ht="16.5">
      <c r="A215"/>
      <c r="B215"/>
      <c r="C215"/>
      <c r="D215"/>
      <c r="E215"/>
      <c r="F215"/>
      <c r="G215"/>
      <c r="H215"/>
    </row>
    <row r="216" spans="1:8" ht="16.5">
      <c r="A216"/>
      <c r="B216"/>
      <c r="C216"/>
      <c r="D216"/>
      <c r="E216"/>
      <c r="F216"/>
      <c r="G216"/>
      <c r="H216"/>
    </row>
    <row r="217" spans="1:8" ht="16.5">
      <c r="A217"/>
      <c r="B217"/>
      <c r="C217"/>
      <c r="D217"/>
      <c r="E217"/>
      <c r="F217"/>
      <c r="G217"/>
      <c r="H217"/>
    </row>
    <row r="218" spans="1:8" ht="16.5">
      <c r="A218"/>
      <c r="B218"/>
      <c r="C218"/>
      <c r="D218"/>
      <c r="E218"/>
      <c r="F218"/>
      <c r="G218"/>
      <c r="H218"/>
    </row>
    <row r="219" spans="1:8" ht="16.5">
      <c r="A219"/>
      <c r="B219"/>
      <c r="C219"/>
      <c r="D219"/>
      <c r="E219"/>
      <c r="F219"/>
      <c r="G219"/>
      <c r="H219"/>
    </row>
    <row r="220" spans="1:8" ht="16.5">
      <c r="A220"/>
      <c r="B220"/>
      <c r="C220"/>
      <c r="D220"/>
      <c r="E220"/>
      <c r="F220"/>
      <c r="G220"/>
      <c r="H220"/>
    </row>
    <row r="221" spans="1:8" ht="16.5">
      <c r="A221"/>
      <c r="B221"/>
      <c r="C221"/>
      <c r="D221"/>
      <c r="E221"/>
      <c r="F221"/>
      <c r="G221"/>
      <c r="H221"/>
    </row>
    <row r="222" spans="1:8" ht="16.5">
      <c r="A222"/>
      <c r="B222"/>
      <c r="C222"/>
      <c r="D222"/>
      <c r="E222"/>
      <c r="F222"/>
      <c r="G222"/>
      <c r="H222"/>
    </row>
    <row r="223" spans="1:8" ht="16.5">
      <c r="A223"/>
      <c r="B223"/>
      <c r="C223"/>
      <c r="D223"/>
      <c r="E223"/>
      <c r="F223"/>
      <c r="G223"/>
      <c r="H223"/>
    </row>
    <row r="224" spans="1:8" ht="16.5">
      <c r="A224"/>
      <c r="B224"/>
      <c r="C224"/>
      <c r="D224"/>
      <c r="E224"/>
      <c r="F224"/>
      <c r="G224"/>
      <c r="H224"/>
    </row>
    <row r="225" spans="1:8" ht="16.5">
      <c r="A225"/>
      <c r="B225"/>
      <c r="C225"/>
      <c r="D225"/>
      <c r="E225"/>
      <c r="F225"/>
      <c r="G225"/>
      <c r="H225"/>
    </row>
    <row r="226" spans="1:8" ht="16.5">
      <c r="A226"/>
      <c r="B226"/>
      <c r="C226"/>
      <c r="D226"/>
      <c r="E226"/>
      <c r="F226"/>
      <c r="G226"/>
      <c r="H226"/>
    </row>
    <row r="227" spans="1:8" ht="16.5">
      <c r="A227"/>
      <c r="B227"/>
      <c r="C227"/>
      <c r="D227"/>
      <c r="E227"/>
      <c r="F227"/>
      <c r="G227"/>
      <c r="H227"/>
    </row>
    <row r="228" spans="1:8" ht="16.5">
      <c r="A228"/>
      <c r="B228"/>
      <c r="C228"/>
      <c r="D228"/>
      <c r="E228"/>
      <c r="F228"/>
      <c r="G228"/>
      <c r="H228"/>
    </row>
    <row r="229" spans="1:8" ht="16.5">
      <c r="A229"/>
      <c r="B229"/>
      <c r="C229"/>
      <c r="D229"/>
      <c r="E229"/>
      <c r="F229"/>
      <c r="G229"/>
      <c r="H229"/>
    </row>
    <row r="230" spans="1:8" ht="16.5">
      <c r="A230"/>
      <c r="B230"/>
      <c r="C230"/>
      <c r="D230"/>
      <c r="E230"/>
      <c r="F230"/>
      <c r="G230"/>
      <c r="H230"/>
    </row>
    <row r="231" spans="1:8" ht="16.5">
      <c r="A231"/>
      <c r="B231"/>
      <c r="C231"/>
      <c r="D231"/>
      <c r="E231"/>
      <c r="F231"/>
      <c r="G231"/>
      <c r="H231"/>
    </row>
    <row r="232" spans="1:8" ht="16.5">
      <c r="A232"/>
      <c r="B232"/>
      <c r="C232"/>
      <c r="D232"/>
      <c r="E232"/>
      <c r="F232"/>
      <c r="G232"/>
      <c r="H232"/>
    </row>
    <row r="233" spans="1:8" ht="16.5">
      <c r="A233"/>
      <c r="B233"/>
      <c r="C233"/>
      <c r="D233"/>
      <c r="E233"/>
      <c r="F233"/>
      <c r="G233"/>
      <c r="H233"/>
    </row>
    <row r="234" spans="1:8" ht="16.5">
      <c r="A234"/>
      <c r="B234"/>
      <c r="C234"/>
      <c r="D234"/>
      <c r="E234"/>
      <c r="F234"/>
      <c r="G234"/>
      <c r="H234"/>
    </row>
    <row r="235" spans="1:8" ht="16.5">
      <c r="A235"/>
      <c r="B235"/>
      <c r="C235"/>
      <c r="D235"/>
      <c r="E235"/>
      <c r="F235"/>
      <c r="G235"/>
      <c r="H235"/>
    </row>
    <row r="236" spans="1:8" ht="16.5">
      <c r="A236"/>
      <c r="B236"/>
      <c r="C236"/>
      <c r="D236"/>
      <c r="E236"/>
      <c r="F236"/>
      <c r="G236"/>
      <c r="H236"/>
    </row>
    <row r="237" spans="1:8" ht="16.5">
      <c r="A237"/>
      <c r="B237"/>
      <c r="C237"/>
      <c r="D237"/>
      <c r="E237"/>
      <c r="F237"/>
      <c r="G237"/>
      <c r="H237"/>
    </row>
    <row r="238" spans="1:8" ht="16.5">
      <c r="A238"/>
      <c r="B238"/>
      <c r="C238"/>
      <c r="D238"/>
      <c r="E238"/>
      <c r="F238"/>
      <c r="G238"/>
      <c r="H238"/>
    </row>
    <row r="239" spans="1:8" ht="16.5">
      <c r="A239"/>
      <c r="B239"/>
      <c r="C239"/>
      <c r="D239"/>
      <c r="E239"/>
      <c r="F239"/>
      <c r="G239"/>
      <c r="H239"/>
    </row>
    <row r="240" spans="1:8" ht="16.5">
      <c r="A240"/>
      <c r="B240"/>
      <c r="C240"/>
      <c r="D240"/>
      <c r="E240"/>
      <c r="F240"/>
      <c r="G240"/>
      <c r="H240"/>
    </row>
    <row r="241" spans="1:8" ht="16.5">
      <c r="A241"/>
      <c r="B241"/>
      <c r="C241"/>
      <c r="D241"/>
      <c r="E241"/>
      <c r="F241"/>
      <c r="G241"/>
      <c r="H241"/>
    </row>
    <row r="242" spans="1:8" ht="16.5">
      <c r="A242"/>
      <c r="B242"/>
      <c r="C242"/>
      <c r="D242"/>
      <c r="E242"/>
      <c r="F242"/>
      <c r="G242"/>
      <c r="H242"/>
    </row>
    <row r="243" spans="1:8" ht="16.5">
      <c r="A243"/>
      <c r="B243"/>
      <c r="C243"/>
      <c r="D243"/>
      <c r="E243"/>
      <c r="F243"/>
      <c r="G243"/>
      <c r="H243"/>
    </row>
    <row r="244" spans="1:8" ht="16.5">
      <c r="A244"/>
      <c r="B244"/>
      <c r="C244"/>
      <c r="D244"/>
      <c r="E244"/>
      <c r="F244"/>
      <c r="G244"/>
      <c r="H244"/>
    </row>
    <row r="245" spans="1:8" ht="16.5">
      <c r="A245"/>
      <c r="B245"/>
      <c r="C245"/>
      <c r="D245"/>
      <c r="E245"/>
      <c r="F245"/>
      <c r="G245"/>
      <c r="H245"/>
    </row>
    <row r="246" spans="1:8" ht="16.5">
      <c r="A246"/>
      <c r="B246"/>
      <c r="C246"/>
      <c r="D246"/>
      <c r="E246"/>
      <c r="F246"/>
      <c r="G246"/>
      <c r="H246"/>
    </row>
    <row r="247" spans="1:8" ht="16.5">
      <c r="A247"/>
      <c r="B247"/>
      <c r="C247"/>
      <c r="D247"/>
      <c r="E247"/>
      <c r="F247"/>
      <c r="G247"/>
      <c r="H247"/>
    </row>
    <row r="248" spans="1:8" ht="16.5">
      <c r="A248"/>
      <c r="B248"/>
      <c r="C248"/>
      <c r="D248"/>
      <c r="E248"/>
      <c r="F248"/>
      <c r="G248"/>
      <c r="H248"/>
    </row>
    <row r="249" spans="1:8" ht="16.5">
      <c r="A249"/>
      <c r="B249"/>
      <c r="C249"/>
      <c r="D249"/>
      <c r="E249"/>
      <c r="F249"/>
      <c r="G249"/>
      <c r="H249"/>
    </row>
    <row r="250" spans="1:8" ht="16.5">
      <c r="A250"/>
      <c r="B250"/>
      <c r="C250"/>
      <c r="D250"/>
      <c r="E250"/>
      <c r="F250"/>
      <c r="G250"/>
      <c r="H250"/>
    </row>
    <row r="251" spans="1:8" ht="16.5">
      <c r="A251"/>
      <c r="B251"/>
      <c r="C251"/>
      <c r="D251"/>
      <c r="E251"/>
      <c r="F251"/>
      <c r="G251"/>
      <c r="H251"/>
    </row>
    <row r="252" spans="1:8" ht="16.5">
      <c r="A252"/>
      <c r="B252"/>
      <c r="C252"/>
      <c r="D252"/>
      <c r="E252"/>
      <c r="F252"/>
      <c r="G252"/>
      <c r="H252"/>
    </row>
    <row r="253" spans="1:8" ht="16.5">
      <c r="A253"/>
      <c r="B253"/>
      <c r="C253"/>
      <c r="D253"/>
      <c r="E253"/>
      <c r="F253"/>
      <c r="G253"/>
      <c r="H253"/>
    </row>
    <row r="254" spans="1:8" ht="16.5">
      <c r="A254"/>
      <c r="B254"/>
      <c r="C254"/>
      <c r="D254"/>
      <c r="E254"/>
      <c r="F254"/>
      <c r="G254"/>
      <c r="H254"/>
    </row>
    <row r="255" spans="1:8" ht="16.5">
      <c r="A255"/>
      <c r="B255"/>
      <c r="C255"/>
      <c r="D255"/>
      <c r="E255"/>
      <c r="F255"/>
      <c r="G255"/>
      <c r="H255"/>
    </row>
    <row r="256" spans="1:8" ht="16.5">
      <c r="A256"/>
      <c r="B256"/>
      <c r="C256"/>
      <c r="D256"/>
      <c r="E256"/>
      <c r="F256"/>
      <c r="G256"/>
      <c r="H256"/>
    </row>
    <row r="257" spans="1:8" ht="16.5">
      <c r="A257"/>
      <c r="B257"/>
      <c r="C257"/>
      <c r="D257"/>
      <c r="E257"/>
      <c r="F257"/>
      <c r="G257"/>
      <c r="H257"/>
    </row>
    <row r="258" spans="1:8" ht="16.5">
      <c r="A258"/>
      <c r="B258"/>
      <c r="C258"/>
      <c r="D258"/>
      <c r="E258"/>
      <c r="F258"/>
      <c r="G258"/>
      <c r="H258"/>
    </row>
    <row r="259" spans="1:8" ht="16.5">
      <c r="A259"/>
      <c r="B259"/>
      <c r="C259"/>
      <c r="D259"/>
      <c r="E259"/>
      <c r="F259"/>
      <c r="G259"/>
      <c r="H259"/>
    </row>
    <row r="260" spans="1:8" ht="16.5">
      <c r="A260"/>
      <c r="B260"/>
      <c r="C260"/>
      <c r="D260"/>
      <c r="E260"/>
      <c r="F260"/>
      <c r="G260"/>
      <c r="H260"/>
    </row>
    <row r="261" spans="1:8" ht="16.5">
      <c r="A261"/>
      <c r="B261"/>
      <c r="C261"/>
      <c r="D261"/>
      <c r="E261"/>
      <c r="F261"/>
      <c r="G261"/>
      <c r="H261"/>
    </row>
    <row r="262" spans="1:8" ht="16.5">
      <c r="A262"/>
      <c r="B262"/>
      <c r="C262"/>
      <c r="D262"/>
      <c r="E262"/>
      <c r="F262"/>
      <c r="G262"/>
      <c r="H262"/>
    </row>
    <row r="263" spans="1:8" ht="16.5">
      <c r="A263"/>
      <c r="B263"/>
      <c r="C263"/>
      <c r="D263"/>
      <c r="E263"/>
      <c r="F263"/>
      <c r="G263"/>
      <c r="H263"/>
    </row>
    <row r="264" spans="1:8" ht="16.5">
      <c r="A264"/>
      <c r="B264"/>
      <c r="C264"/>
      <c r="D264"/>
      <c r="E264"/>
      <c r="F264"/>
      <c r="G264"/>
      <c r="H264"/>
    </row>
    <row r="265" spans="1:8" ht="16.5">
      <c r="A265"/>
      <c r="B265"/>
      <c r="C265"/>
      <c r="D265"/>
      <c r="E265"/>
      <c r="F265"/>
      <c r="G265"/>
      <c r="H265"/>
    </row>
    <row r="266" spans="1:8" ht="16.5">
      <c r="A266"/>
      <c r="B266"/>
      <c r="C266"/>
      <c r="D266"/>
      <c r="E266"/>
      <c r="F266"/>
      <c r="G266"/>
      <c r="H266"/>
    </row>
    <row r="267" spans="1:8" ht="16.5">
      <c r="A267"/>
      <c r="B267"/>
      <c r="C267"/>
      <c r="D267"/>
      <c r="E267"/>
      <c r="F267"/>
      <c r="G267"/>
      <c r="H267"/>
    </row>
    <row r="268" spans="1:8" ht="16.5">
      <c r="A268"/>
      <c r="B268"/>
      <c r="C268"/>
      <c r="D268"/>
      <c r="E268"/>
      <c r="F268"/>
      <c r="G268"/>
      <c r="H268"/>
    </row>
    <row r="269" spans="1:8" ht="16.5">
      <c r="A269"/>
      <c r="B269"/>
      <c r="C269"/>
      <c r="D269"/>
      <c r="E269"/>
      <c r="F269"/>
      <c r="G269"/>
      <c r="H269"/>
    </row>
    <row r="270" spans="1:8" ht="16.5">
      <c r="A270"/>
      <c r="B270"/>
      <c r="C270"/>
      <c r="D270"/>
      <c r="E270"/>
      <c r="F270"/>
      <c r="G270"/>
      <c r="H270"/>
    </row>
    <row r="271" spans="1:8" ht="16.5">
      <c r="A271"/>
      <c r="B271"/>
      <c r="C271"/>
      <c r="D271"/>
      <c r="E271"/>
      <c r="F271"/>
      <c r="G271"/>
      <c r="H271"/>
    </row>
    <row r="272" spans="1:8" ht="16.5">
      <c r="A272"/>
      <c r="B272"/>
      <c r="C272"/>
      <c r="D272"/>
      <c r="E272"/>
      <c r="F272"/>
      <c r="G272"/>
      <c r="H272"/>
    </row>
    <row r="273" spans="1:8" ht="16.5">
      <c r="A273"/>
      <c r="B273"/>
      <c r="C273"/>
      <c r="D273"/>
      <c r="E273"/>
      <c r="F273"/>
      <c r="G273"/>
      <c r="H273"/>
    </row>
    <row r="274" spans="1:8" ht="16.5">
      <c r="A274"/>
      <c r="B274"/>
      <c r="C274"/>
      <c r="D274"/>
      <c r="E274"/>
      <c r="F274"/>
      <c r="G274"/>
      <c r="H274"/>
    </row>
    <row r="275" spans="1:8" ht="16.5">
      <c r="A275"/>
      <c r="B275"/>
      <c r="C275"/>
      <c r="D275"/>
      <c r="E275"/>
      <c r="F275"/>
      <c r="G275"/>
      <c r="H275"/>
    </row>
    <row r="276" spans="1:8" ht="16.5">
      <c r="A276"/>
      <c r="B276"/>
      <c r="C276"/>
      <c r="D276"/>
      <c r="E276"/>
      <c r="F276"/>
      <c r="G276"/>
      <c r="H276"/>
    </row>
    <row r="277" spans="1:8" ht="16.5">
      <c r="A277"/>
      <c r="B277"/>
      <c r="C277"/>
      <c r="D277"/>
      <c r="E277"/>
      <c r="F277"/>
      <c r="G277"/>
      <c r="H277"/>
    </row>
    <row r="278" spans="1:8" ht="16.5">
      <c r="A278"/>
      <c r="B278"/>
      <c r="C278"/>
      <c r="D278"/>
      <c r="E278"/>
      <c r="F278"/>
      <c r="G278"/>
      <c r="H278"/>
    </row>
    <row r="279" spans="1:8" ht="16.5">
      <c r="A279"/>
      <c r="B279"/>
      <c r="C279"/>
      <c r="D279"/>
      <c r="E279"/>
      <c r="F279"/>
      <c r="G279"/>
      <c r="H279"/>
    </row>
    <row r="280" spans="1:8" ht="16.5">
      <c r="A280"/>
      <c r="B280"/>
      <c r="C280"/>
      <c r="D280"/>
      <c r="E280"/>
      <c r="F280"/>
      <c r="G280"/>
      <c r="H280"/>
    </row>
    <row r="281" spans="1:8" ht="16.5">
      <c r="A281"/>
      <c r="B281"/>
      <c r="C281"/>
      <c r="D281"/>
      <c r="E281"/>
      <c r="F281"/>
      <c r="G281"/>
      <c r="H281"/>
    </row>
    <row r="282" spans="1:8" ht="16.5">
      <c r="A282"/>
      <c r="B282"/>
      <c r="C282"/>
      <c r="D282"/>
      <c r="E282"/>
      <c r="F282"/>
      <c r="G282"/>
      <c r="H282"/>
    </row>
    <row r="283" spans="1:8" ht="16.5">
      <c r="A283"/>
      <c r="B283"/>
      <c r="C283"/>
      <c r="D283"/>
      <c r="E283"/>
      <c r="F283"/>
      <c r="G283"/>
      <c r="H283"/>
    </row>
    <row r="284" spans="1:8" ht="16.5">
      <c r="A284"/>
      <c r="B284"/>
      <c r="C284"/>
      <c r="D284"/>
      <c r="E284"/>
      <c r="F284"/>
      <c r="G284"/>
      <c r="H284"/>
    </row>
    <row r="285" spans="1:8" ht="16.5">
      <c r="A285"/>
      <c r="B285"/>
      <c r="C285"/>
      <c r="D285"/>
      <c r="E285"/>
      <c r="F285"/>
      <c r="G285"/>
      <c r="H285"/>
    </row>
    <row r="286" spans="1:8" ht="16.5">
      <c r="A286"/>
      <c r="B286"/>
      <c r="C286"/>
      <c r="D286"/>
      <c r="E286"/>
      <c r="F286"/>
      <c r="G286"/>
      <c r="H286"/>
    </row>
    <row r="287" spans="1:8" ht="16.5">
      <c r="A287"/>
      <c r="B287"/>
      <c r="C287"/>
      <c r="D287"/>
      <c r="E287"/>
      <c r="F287"/>
      <c r="G287"/>
      <c r="H287"/>
    </row>
    <row r="288" spans="1:8" ht="16.5">
      <c r="A288"/>
      <c r="B288"/>
      <c r="C288"/>
      <c r="D288"/>
      <c r="E288"/>
      <c r="F288"/>
      <c r="G288"/>
      <c r="H288"/>
    </row>
    <row r="289" spans="1:8" ht="16.5">
      <c r="A289"/>
      <c r="B289"/>
      <c r="C289"/>
      <c r="D289"/>
      <c r="E289"/>
      <c r="F289"/>
      <c r="G289"/>
      <c r="H289"/>
    </row>
    <row r="290" spans="1:8" ht="16.5">
      <c r="A290"/>
      <c r="B290"/>
      <c r="C290"/>
      <c r="D290"/>
      <c r="E290"/>
      <c r="F290"/>
      <c r="G290"/>
      <c r="H290"/>
    </row>
    <row r="291" spans="1:8" ht="16.5">
      <c r="A291"/>
      <c r="B291"/>
      <c r="C291"/>
      <c r="D291"/>
      <c r="E291"/>
      <c r="F291"/>
      <c r="G291"/>
      <c r="H291"/>
    </row>
    <row r="292" spans="1:8" ht="16.5">
      <c r="A292"/>
      <c r="B292"/>
      <c r="C292"/>
      <c r="D292"/>
      <c r="E292"/>
      <c r="F292"/>
      <c r="G292"/>
      <c r="H292"/>
    </row>
    <row r="293" spans="1:8" ht="16.5">
      <c r="A293"/>
      <c r="B293"/>
      <c r="C293"/>
      <c r="D293"/>
      <c r="E293"/>
      <c r="F293"/>
      <c r="G293"/>
      <c r="H293"/>
    </row>
    <row r="294" spans="1:8" ht="16.5">
      <c r="A294"/>
      <c r="B294"/>
      <c r="C294"/>
      <c r="D294"/>
      <c r="E294"/>
      <c r="F294"/>
      <c r="G294"/>
      <c r="H294"/>
    </row>
    <row r="295" spans="1:8" ht="16.5">
      <c r="A295"/>
      <c r="B295"/>
      <c r="C295"/>
      <c r="D295"/>
      <c r="E295"/>
      <c r="F295"/>
      <c r="G295"/>
      <c r="H295"/>
    </row>
    <row r="296" spans="1:8" ht="16.5">
      <c r="A296"/>
      <c r="B296"/>
      <c r="C296"/>
      <c r="D296"/>
      <c r="E296"/>
      <c r="F296"/>
      <c r="G296"/>
      <c r="H296"/>
    </row>
    <row r="297" spans="1:8" ht="16.5">
      <c r="A297"/>
      <c r="B297"/>
      <c r="C297"/>
      <c r="D297"/>
      <c r="E297"/>
      <c r="F297"/>
      <c r="G297"/>
      <c r="H297"/>
    </row>
    <row r="298" spans="1:8" ht="16.5">
      <c r="A298"/>
      <c r="B298"/>
      <c r="C298"/>
      <c r="D298"/>
      <c r="E298"/>
      <c r="F298"/>
      <c r="G298"/>
      <c r="H298"/>
    </row>
    <row r="299" spans="1:8" ht="16.5">
      <c r="A299"/>
      <c r="B299"/>
      <c r="C299"/>
      <c r="D299"/>
      <c r="E299"/>
      <c r="F299"/>
      <c r="G299"/>
      <c r="H299"/>
    </row>
    <row r="300" spans="1:8" ht="16.5">
      <c r="A300"/>
      <c r="B300"/>
      <c r="C300"/>
      <c r="D300"/>
      <c r="E300"/>
      <c r="F300"/>
      <c r="G300"/>
      <c r="H300"/>
    </row>
    <row r="301" spans="1:8" ht="16.5">
      <c r="A301"/>
      <c r="B301"/>
      <c r="C301"/>
      <c r="D301"/>
      <c r="E301"/>
      <c r="F301"/>
      <c r="G301"/>
      <c r="H301"/>
    </row>
    <row r="302" spans="1:8" ht="16.5">
      <c r="A302"/>
      <c r="B302"/>
      <c r="C302"/>
      <c r="D302"/>
      <c r="E302"/>
      <c r="F302"/>
      <c r="G302"/>
      <c r="H302"/>
    </row>
    <row r="303" spans="1:8" ht="16.5">
      <c r="A303"/>
      <c r="B303"/>
      <c r="C303"/>
      <c r="D303"/>
      <c r="E303"/>
      <c r="F303"/>
      <c r="G303"/>
      <c r="H303"/>
    </row>
    <row r="304" spans="1:8" ht="16.5">
      <c r="A304"/>
      <c r="B304"/>
      <c r="C304"/>
      <c r="D304"/>
      <c r="E304"/>
      <c r="F304"/>
      <c r="G304"/>
      <c r="H304"/>
    </row>
    <row r="305" spans="1:8" ht="16.5">
      <c r="A305"/>
      <c r="B305"/>
      <c r="C305"/>
      <c r="D305"/>
      <c r="E305"/>
      <c r="F305"/>
      <c r="G305"/>
      <c r="H305"/>
    </row>
    <row r="306" spans="1:8" ht="16.5">
      <c r="A306"/>
      <c r="B306"/>
      <c r="C306"/>
      <c r="D306"/>
      <c r="E306"/>
      <c r="F306"/>
      <c r="G306"/>
      <c r="H306"/>
    </row>
    <row r="307" spans="1:8" ht="16.5">
      <c r="A307"/>
      <c r="B307"/>
      <c r="C307"/>
      <c r="D307"/>
      <c r="E307"/>
      <c r="F307"/>
      <c r="G307"/>
      <c r="H307"/>
    </row>
    <row r="308" spans="1:8" ht="16.5">
      <c r="A308"/>
      <c r="B308"/>
      <c r="C308"/>
      <c r="D308"/>
      <c r="E308"/>
      <c r="F308"/>
      <c r="G308"/>
      <c r="H308"/>
    </row>
    <row r="309" spans="1:8" ht="16.5">
      <c r="A309"/>
      <c r="B309"/>
      <c r="C309"/>
      <c r="D309"/>
      <c r="E309"/>
      <c r="F309"/>
      <c r="G309"/>
      <c r="H309"/>
    </row>
    <row r="310" spans="1:8" ht="16.5">
      <c r="A310"/>
      <c r="B310"/>
      <c r="C310"/>
      <c r="D310"/>
      <c r="E310"/>
      <c r="F310"/>
      <c r="G310"/>
      <c r="H310"/>
    </row>
    <row r="311" spans="1:8" ht="16.5">
      <c r="A311"/>
      <c r="B311"/>
      <c r="C311"/>
      <c r="D311"/>
      <c r="E311"/>
      <c r="F311"/>
      <c r="G311"/>
      <c r="H311"/>
    </row>
    <row r="312" spans="1:8" ht="16.5">
      <c r="A312"/>
      <c r="B312"/>
      <c r="C312"/>
      <c r="D312"/>
      <c r="E312"/>
      <c r="F312"/>
      <c r="G312"/>
      <c r="H312"/>
    </row>
    <row r="313" spans="1:8" ht="16.5">
      <c r="A313"/>
      <c r="B313"/>
      <c r="C313"/>
      <c r="D313"/>
      <c r="E313"/>
      <c r="F313"/>
      <c r="G313"/>
      <c r="H313"/>
    </row>
    <row r="314" spans="1:8" ht="16.5">
      <c r="A314"/>
      <c r="B314"/>
      <c r="C314"/>
      <c r="D314"/>
      <c r="E314"/>
      <c r="F314"/>
      <c r="G314"/>
      <c r="H314"/>
    </row>
    <row r="315" spans="1:8" ht="16.5">
      <c r="A315"/>
      <c r="B315"/>
      <c r="C315"/>
      <c r="D315"/>
      <c r="E315"/>
      <c r="F315"/>
      <c r="G315"/>
      <c r="H315"/>
    </row>
    <row r="316" spans="1:8" ht="16.5">
      <c r="A316"/>
      <c r="B316"/>
      <c r="C316"/>
      <c r="D316"/>
      <c r="E316"/>
      <c r="F316"/>
      <c r="G316"/>
      <c r="H316"/>
    </row>
    <row r="317" spans="1:8" ht="16.5">
      <c r="A317"/>
      <c r="B317"/>
      <c r="C317"/>
      <c r="D317"/>
      <c r="E317"/>
      <c r="F317"/>
      <c r="G317"/>
      <c r="H317"/>
    </row>
    <row r="318" spans="1:8" ht="16.5">
      <c r="A318"/>
      <c r="B318"/>
      <c r="C318"/>
      <c r="D318"/>
      <c r="E318"/>
      <c r="F318"/>
      <c r="G318"/>
      <c r="H318"/>
    </row>
    <row r="319" spans="1:8" ht="16.5">
      <c r="A319"/>
      <c r="B319"/>
      <c r="C319"/>
      <c r="D319"/>
      <c r="E319"/>
      <c r="F319"/>
      <c r="G319"/>
      <c r="H319"/>
    </row>
    <row r="320" spans="1:8" ht="16.5">
      <c r="A320"/>
      <c r="B320"/>
      <c r="C320"/>
      <c r="D320"/>
      <c r="E320"/>
      <c r="F320"/>
      <c r="G320"/>
      <c r="H320"/>
    </row>
    <row r="321" spans="1:8" ht="16.5">
      <c r="A321"/>
      <c r="B321"/>
      <c r="C321"/>
      <c r="D321"/>
      <c r="E321"/>
      <c r="F321"/>
      <c r="G321"/>
      <c r="H321"/>
    </row>
    <row r="322" spans="1:8" ht="16.5">
      <c r="A322"/>
      <c r="B322"/>
      <c r="C322"/>
      <c r="D322"/>
      <c r="E322"/>
      <c r="F322"/>
      <c r="G322"/>
      <c r="H322"/>
    </row>
    <row r="323" spans="1:8" ht="16.5">
      <c r="A323"/>
      <c r="B323"/>
      <c r="C323"/>
      <c r="D323"/>
      <c r="E323"/>
      <c r="F323"/>
      <c r="G323"/>
      <c r="H323"/>
    </row>
    <row r="324" spans="1:8" ht="16.5">
      <c r="A324"/>
      <c r="B324"/>
      <c r="C324"/>
      <c r="D324"/>
      <c r="E324"/>
      <c r="F324"/>
      <c r="G324"/>
      <c r="H324"/>
    </row>
    <row r="325" spans="1:8" ht="16.5">
      <c r="A325"/>
      <c r="B325"/>
      <c r="C325"/>
      <c r="D325"/>
      <c r="E325"/>
      <c r="F325"/>
      <c r="G325"/>
      <c r="H325"/>
    </row>
    <row r="326" spans="1:8" ht="16.5">
      <c r="A326"/>
      <c r="B326"/>
      <c r="C326"/>
      <c r="D326"/>
      <c r="E326"/>
      <c r="F326"/>
      <c r="G326"/>
      <c r="H326"/>
    </row>
    <row r="327" spans="1:8" ht="16.5">
      <c r="A327"/>
      <c r="B327"/>
      <c r="C327"/>
      <c r="D327"/>
      <c r="E327"/>
      <c r="F327"/>
      <c r="G327"/>
      <c r="H327"/>
    </row>
    <row r="328" spans="1:8" ht="16.5">
      <c r="A328"/>
      <c r="B328"/>
      <c r="C328"/>
      <c r="D328"/>
      <c r="E328"/>
      <c r="F328"/>
      <c r="G328"/>
      <c r="H328"/>
    </row>
    <row r="329" spans="1:8" ht="16.5">
      <c r="A329"/>
      <c r="B329"/>
      <c r="C329"/>
      <c r="D329"/>
      <c r="E329"/>
      <c r="F329"/>
      <c r="G329"/>
      <c r="H329"/>
    </row>
    <row r="330" spans="1:8" ht="16.5">
      <c r="A330"/>
      <c r="B330"/>
      <c r="C330"/>
      <c r="D330"/>
      <c r="E330"/>
      <c r="F330"/>
      <c r="G330"/>
      <c r="H330"/>
    </row>
    <row r="331" spans="1:8" ht="16.5">
      <c r="A331"/>
      <c r="B331"/>
      <c r="C331"/>
      <c r="D331"/>
      <c r="E331"/>
      <c r="F331"/>
      <c r="G331"/>
      <c r="H331"/>
    </row>
    <row r="332" spans="1:8" ht="16.5">
      <c r="A332"/>
      <c r="B332"/>
      <c r="C332"/>
      <c r="D332"/>
      <c r="E332"/>
      <c r="F332"/>
      <c r="G332"/>
      <c r="H332"/>
    </row>
    <row r="333" spans="1:8" ht="16.5">
      <c r="A333"/>
      <c r="B333"/>
      <c r="C333"/>
      <c r="D333"/>
      <c r="E333"/>
      <c r="F333"/>
      <c r="G333"/>
      <c r="H333"/>
    </row>
    <row r="334" spans="1:8" ht="16.5">
      <c r="A334"/>
      <c r="B334"/>
      <c r="C334"/>
      <c r="D334"/>
      <c r="E334"/>
      <c r="F334"/>
      <c r="G334"/>
      <c r="H334"/>
    </row>
    <row r="335" spans="1:8" ht="16.5">
      <c r="A335"/>
      <c r="B335"/>
      <c r="C335"/>
      <c r="D335"/>
      <c r="E335"/>
      <c r="F335"/>
      <c r="G335"/>
      <c r="H335"/>
    </row>
    <row r="336" spans="1:8" ht="16.5">
      <c r="A336"/>
      <c r="B336"/>
      <c r="C336"/>
      <c r="D336"/>
      <c r="E336"/>
      <c r="F336"/>
      <c r="G336"/>
      <c r="H336"/>
    </row>
    <row r="337" spans="1:8" ht="16.5">
      <c r="A337"/>
      <c r="B337"/>
      <c r="C337"/>
      <c r="D337"/>
      <c r="E337"/>
      <c r="F337"/>
      <c r="G337"/>
      <c r="H337"/>
    </row>
    <row r="338" spans="1:8" ht="16.5">
      <c r="A338"/>
      <c r="B338"/>
      <c r="C338"/>
      <c r="D338"/>
      <c r="E338"/>
      <c r="F338"/>
      <c r="G338"/>
      <c r="H338"/>
    </row>
    <row r="339" spans="1:8" ht="16.5">
      <c r="A339"/>
      <c r="B339"/>
      <c r="C339"/>
      <c r="D339"/>
      <c r="E339"/>
      <c r="F339"/>
      <c r="G339"/>
      <c r="H339"/>
    </row>
    <row r="340" spans="1:8" ht="16.5">
      <c r="A340"/>
      <c r="B340"/>
      <c r="C340"/>
      <c r="D340"/>
      <c r="E340"/>
      <c r="F340"/>
      <c r="G340"/>
      <c r="H340"/>
    </row>
    <row r="341" spans="1:8" ht="16.5">
      <c r="A341"/>
      <c r="B341"/>
      <c r="C341"/>
      <c r="D341"/>
      <c r="E341"/>
      <c r="F341"/>
      <c r="G341"/>
      <c r="H341"/>
    </row>
    <row r="342" spans="1:8" ht="16.5">
      <c r="A342"/>
      <c r="B342"/>
      <c r="C342"/>
      <c r="D342"/>
      <c r="E342"/>
      <c r="F342"/>
      <c r="G342"/>
      <c r="H342"/>
    </row>
    <row r="343" spans="1:8" ht="16.5">
      <c r="A343"/>
      <c r="B343"/>
      <c r="C343"/>
      <c r="D343"/>
      <c r="E343"/>
      <c r="F343"/>
      <c r="G343"/>
      <c r="H343"/>
    </row>
    <row r="344" spans="1:8" ht="16.5">
      <c r="A344"/>
      <c r="B344"/>
      <c r="C344"/>
      <c r="D344"/>
      <c r="E344"/>
      <c r="F344"/>
      <c r="G344"/>
      <c r="H344"/>
    </row>
    <row r="345" spans="1:8" ht="16.5">
      <c r="A345"/>
      <c r="B345"/>
      <c r="C345"/>
      <c r="D345"/>
      <c r="E345"/>
      <c r="F345"/>
      <c r="G345"/>
      <c r="H345"/>
    </row>
    <row r="346" spans="1:8" ht="16.5">
      <c r="A346"/>
      <c r="B346"/>
      <c r="C346"/>
      <c r="D346"/>
      <c r="E346"/>
      <c r="F346"/>
      <c r="G346"/>
      <c r="H346"/>
    </row>
    <row r="347" spans="1:8" ht="16.5">
      <c r="A347"/>
      <c r="B347"/>
      <c r="C347"/>
      <c r="D347"/>
      <c r="E347"/>
      <c r="F347"/>
      <c r="G347"/>
      <c r="H347"/>
    </row>
    <row r="348" spans="1:8" ht="16.5">
      <c r="A348"/>
      <c r="B348"/>
      <c r="C348"/>
      <c r="D348"/>
      <c r="E348"/>
      <c r="F348"/>
      <c r="G348"/>
      <c r="H348"/>
    </row>
    <row r="349" spans="1:8" ht="16.5">
      <c r="A349"/>
      <c r="B349"/>
      <c r="C349"/>
      <c r="D349"/>
      <c r="E349"/>
      <c r="F349"/>
      <c r="G349"/>
      <c r="H349"/>
    </row>
    <row r="350" spans="1:8" ht="16.5">
      <c r="A350"/>
      <c r="B350"/>
      <c r="C350"/>
      <c r="D350"/>
      <c r="E350"/>
      <c r="F350"/>
      <c r="G350"/>
      <c r="H350"/>
    </row>
    <row r="351" spans="1:8" ht="16.5">
      <c r="A351"/>
      <c r="B351"/>
      <c r="C351"/>
      <c r="D351"/>
      <c r="E351"/>
      <c r="F351"/>
      <c r="G351"/>
      <c r="H351"/>
    </row>
    <row r="352" spans="1:8" ht="16.5">
      <c r="A352"/>
      <c r="B352"/>
      <c r="C352"/>
      <c r="D352"/>
      <c r="E352"/>
      <c r="F352"/>
      <c r="G352"/>
      <c r="H352"/>
    </row>
    <row r="353" spans="1:8" ht="16.5">
      <c r="A353"/>
      <c r="B353"/>
      <c r="C353"/>
      <c r="D353"/>
      <c r="E353"/>
      <c r="F353"/>
      <c r="G353"/>
      <c r="H353"/>
    </row>
    <row r="354" spans="1:8" ht="16.5">
      <c r="A354"/>
      <c r="B354"/>
      <c r="C354"/>
      <c r="D354"/>
      <c r="E354"/>
      <c r="F354"/>
      <c r="G354"/>
      <c r="H354"/>
    </row>
    <row r="355" spans="1:8" ht="16.5">
      <c r="A355"/>
      <c r="B355"/>
      <c r="C355"/>
      <c r="D355"/>
      <c r="E355"/>
      <c r="F355"/>
      <c r="G355"/>
      <c r="H355"/>
    </row>
    <row r="356" spans="1:8" ht="16.5">
      <c r="A356"/>
      <c r="B356"/>
      <c r="C356"/>
      <c r="D356"/>
      <c r="E356"/>
      <c r="F356"/>
      <c r="G356"/>
      <c r="H356"/>
    </row>
    <row r="357" spans="1:8" ht="16.5">
      <c r="A357"/>
      <c r="B357"/>
      <c r="C357"/>
      <c r="D357"/>
      <c r="E357"/>
      <c r="F357"/>
      <c r="G357"/>
      <c r="H357"/>
    </row>
    <row r="358" spans="1:8" ht="16.5">
      <c r="A358"/>
      <c r="B358"/>
      <c r="C358"/>
      <c r="D358"/>
      <c r="E358"/>
      <c r="F358"/>
      <c r="G358"/>
      <c r="H358"/>
    </row>
    <row r="359" spans="1:8" ht="16.5">
      <c r="A359"/>
      <c r="B359"/>
      <c r="C359"/>
      <c r="D359"/>
      <c r="E359"/>
      <c r="F359"/>
      <c r="G359"/>
      <c r="H359"/>
    </row>
    <row r="360" spans="1:8" ht="16.5">
      <c r="A360"/>
      <c r="B360"/>
      <c r="C360"/>
      <c r="D360"/>
      <c r="E360"/>
      <c r="F360"/>
      <c r="G360"/>
      <c r="H360"/>
    </row>
    <row r="361" spans="1:8" ht="16.5">
      <c r="A361"/>
      <c r="B361"/>
      <c r="C361"/>
      <c r="D361"/>
      <c r="E361"/>
      <c r="F361"/>
      <c r="G361"/>
      <c r="H361"/>
    </row>
    <row r="362" spans="1:8" ht="16.5">
      <c r="A362"/>
      <c r="B362"/>
      <c r="C362"/>
      <c r="D362"/>
      <c r="E362"/>
      <c r="F362"/>
      <c r="G362"/>
      <c r="H362"/>
    </row>
    <row r="363" spans="1:8" ht="16.5">
      <c r="A363"/>
      <c r="B363"/>
      <c r="C363"/>
      <c r="D363"/>
      <c r="E363"/>
      <c r="F363"/>
      <c r="G363"/>
      <c r="H363"/>
    </row>
    <row r="364" spans="1:8" ht="16.5">
      <c r="A364"/>
      <c r="B364"/>
      <c r="C364"/>
      <c r="D364"/>
      <c r="E364"/>
      <c r="F364"/>
      <c r="G364"/>
      <c r="H364"/>
    </row>
    <row r="365" spans="1:8" ht="16.5">
      <c r="A365"/>
      <c r="B365"/>
      <c r="C365"/>
      <c r="D365"/>
      <c r="E365"/>
      <c r="F365"/>
      <c r="G365"/>
      <c r="H365"/>
    </row>
    <row r="366" spans="1:8" ht="16.5">
      <c r="A366"/>
      <c r="B366"/>
      <c r="C366"/>
      <c r="D366"/>
      <c r="E366"/>
      <c r="F366"/>
      <c r="G366"/>
      <c r="H366"/>
    </row>
    <row r="367" spans="1:8" ht="16.5">
      <c r="A367"/>
      <c r="B367"/>
      <c r="C367"/>
      <c r="D367"/>
      <c r="E367"/>
      <c r="F367"/>
      <c r="G367"/>
      <c r="H367"/>
    </row>
    <row r="368" spans="1:8" ht="16.5">
      <c r="A368"/>
      <c r="B368"/>
      <c r="C368"/>
      <c r="D368"/>
      <c r="E368"/>
      <c r="F368"/>
      <c r="G368"/>
      <c r="H368"/>
    </row>
    <row r="369" spans="1:8" ht="16.5">
      <c r="A369"/>
      <c r="B369"/>
      <c r="C369"/>
      <c r="D369"/>
      <c r="E369"/>
      <c r="F369"/>
      <c r="G369"/>
      <c r="H369"/>
    </row>
    <row r="370" spans="1:8" ht="16.5">
      <c r="A370"/>
      <c r="B370"/>
      <c r="C370"/>
      <c r="D370"/>
      <c r="E370"/>
      <c r="F370"/>
      <c r="G370"/>
      <c r="H370"/>
    </row>
    <row r="371" spans="1:8" ht="16.5">
      <c r="A371"/>
      <c r="B371"/>
      <c r="C371"/>
      <c r="D371"/>
      <c r="E371"/>
      <c r="F371"/>
      <c r="G371"/>
      <c r="H371"/>
    </row>
    <row r="372" spans="1:8" ht="16.5">
      <c r="A372"/>
      <c r="B372"/>
      <c r="C372"/>
      <c r="D372"/>
      <c r="E372"/>
      <c r="F372"/>
      <c r="G372"/>
      <c r="H372"/>
    </row>
    <row r="373" spans="1:8" ht="16.5">
      <c r="A373"/>
      <c r="B373"/>
      <c r="C373"/>
      <c r="D373"/>
      <c r="E373"/>
      <c r="F373"/>
      <c r="G373"/>
      <c r="H373"/>
    </row>
    <row r="374" spans="1:8" ht="16.5">
      <c r="A374"/>
      <c r="B374"/>
      <c r="C374"/>
      <c r="D374"/>
      <c r="E374"/>
      <c r="F374"/>
      <c r="G374"/>
      <c r="H374"/>
    </row>
    <row r="375" spans="1:8" ht="16.5">
      <c r="A375"/>
      <c r="B375"/>
      <c r="C375"/>
      <c r="D375"/>
      <c r="E375"/>
      <c r="F375"/>
      <c r="G375"/>
      <c r="H375"/>
    </row>
    <row r="376" spans="1:8" ht="16.5">
      <c r="A376"/>
      <c r="B376"/>
      <c r="C376"/>
      <c r="D376"/>
      <c r="E376"/>
      <c r="F376"/>
      <c r="G376"/>
      <c r="H376"/>
    </row>
    <row r="377" spans="1:8" ht="16.5">
      <c r="A377"/>
      <c r="B377"/>
      <c r="C377"/>
      <c r="D377"/>
      <c r="E377"/>
      <c r="F377"/>
      <c r="G377"/>
      <c r="H377"/>
    </row>
    <row r="378" spans="1:8" ht="16.5">
      <c r="A378"/>
      <c r="B378"/>
      <c r="C378"/>
      <c r="D378"/>
      <c r="E378"/>
      <c r="F378"/>
      <c r="G378"/>
      <c r="H378"/>
    </row>
    <row r="379" spans="1:8" ht="16.5">
      <c r="A379"/>
      <c r="B379"/>
      <c r="C379"/>
      <c r="D379"/>
      <c r="E379"/>
      <c r="F379"/>
      <c r="G379"/>
      <c r="H379"/>
    </row>
    <row r="380" spans="1:8" ht="16.5">
      <c r="A380"/>
      <c r="B380"/>
      <c r="C380"/>
      <c r="D380"/>
      <c r="E380"/>
      <c r="F380"/>
      <c r="G380"/>
      <c r="H380"/>
    </row>
    <row r="381" spans="1:8" ht="16.5">
      <c r="A381"/>
      <c r="B381"/>
      <c r="C381"/>
      <c r="D381"/>
      <c r="E381"/>
      <c r="F381"/>
      <c r="G381"/>
      <c r="H381"/>
    </row>
    <row r="382" spans="1:8" ht="16.5">
      <c r="A382"/>
      <c r="B382"/>
      <c r="C382"/>
      <c r="D382"/>
      <c r="E382"/>
      <c r="F382"/>
      <c r="G382"/>
      <c r="H382"/>
    </row>
    <row r="383" spans="1:8" ht="16.5">
      <c r="A383"/>
      <c r="B383"/>
      <c r="C383"/>
      <c r="D383"/>
      <c r="E383"/>
      <c r="F383"/>
      <c r="G383"/>
      <c r="H383"/>
    </row>
    <row r="384" spans="1:8" ht="16.5">
      <c r="A384"/>
      <c r="B384"/>
      <c r="C384"/>
      <c r="D384"/>
      <c r="E384"/>
      <c r="F384"/>
      <c r="G384"/>
      <c r="H384"/>
    </row>
    <row r="385" spans="1:8" ht="16.5">
      <c r="A385"/>
      <c r="B385"/>
      <c r="C385"/>
      <c r="D385"/>
      <c r="E385"/>
      <c r="F385"/>
      <c r="G385"/>
      <c r="H385"/>
    </row>
    <row r="386" spans="1:8" ht="16.5">
      <c r="A386"/>
      <c r="B386"/>
      <c r="C386"/>
      <c r="D386"/>
      <c r="E386"/>
      <c r="F386"/>
      <c r="G386"/>
      <c r="H386"/>
    </row>
    <row r="387" spans="1:8" ht="16.5">
      <c r="A387"/>
      <c r="B387"/>
      <c r="C387"/>
      <c r="D387"/>
      <c r="E387"/>
      <c r="F387"/>
      <c r="G387"/>
      <c r="H387"/>
    </row>
    <row r="388" spans="1:8" ht="16.5">
      <c r="A388"/>
      <c r="B388"/>
      <c r="C388"/>
      <c r="D388"/>
      <c r="E388"/>
      <c r="F388"/>
      <c r="G388"/>
      <c r="H388"/>
    </row>
    <row r="389" spans="1:8" ht="16.5">
      <c r="A389"/>
      <c r="B389"/>
      <c r="C389"/>
      <c r="D389"/>
      <c r="E389"/>
      <c r="F389"/>
      <c r="G389"/>
      <c r="H389"/>
    </row>
    <row r="390" spans="1:8" ht="16.5">
      <c r="A390"/>
      <c r="B390"/>
      <c r="C390"/>
      <c r="D390"/>
      <c r="E390"/>
      <c r="F390"/>
      <c r="G390"/>
      <c r="H390"/>
    </row>
    <row r="391" spans="1:8" ht="16.5">
      <c r="A391"/>
      <c r="B391"/>
      <c r="C391"/>
      <c r="D391"/>
      <c r="E391"/>
      <c r="F391"/>
      <c r="G391"/>
      <c r="H391"/>
    </row>
    <row r="392" spans="1:8" ht="16.5">
      <c r="A392"/>
      <c r="B392"/>
      <c r="C392"/>
      <c r="D392"/>
      <c r="E392"/>
      <c r="F392"/>
      <c r="G392"/>
      <c r="H392"/>
    </row>
    <row r="393" spans="1:8" ht="16.5">
      <c r="A393"/>
      <c r="B393"/>
      <c r="C393"/>
      <c r="D393"/>
      <c r="E393"/>
      <c r="F393"/>
      <c r="G393"/>
      <c r="H393"/>
    </row>
    <row r="394" spans="1:8" ht="16.5">
      <c r="A394"/>
      <c r="B394"/>
      <c r="C394"/>
      <c r="D394"/>
      <c r="E394"/>
      <c r="F394"/>
      <c r="G394"/>
      <c r="H394"/>
    </row>
    <row r="395" spans="1:8" ht="16.5">
      <c r="A395"/>
      <c r="B395"/>
      <c r="C395"/>
      <c r="D395"/>
      <c r="E395"/>
      <c r="F395"/>
      <c r="G395"/>
      <c r="H395"/>
    </row>
    <row r="396" spans="1:8" ht="16.5">
      <c r="A396"/>
      <c r="B396"/>
      <c r="C396"/>
      <c r="D396"/>
      <c r="E396"/>
      <c r="F396"/>
      <c r="G396"/>
      <c r="H396"/>
    </row>
    <row r="397" spans="1:8" ht="16.5">
      <c r="A397"/>
      <c r="B397"/>
      <c r="C397"/>
      <c r="D397"/>
      <c r="E397"/>
      <c r="F397"/>
      <c r="G397"/>
      <c r="H397"/>
    </row>
    <row r="398" spans="1:8" ht="16.5">
      <c r="A398"/>
      <c r="B398"/>
      <c r="C398"/>
      <c r="D398"/>
      <c r="E398"/>
      <c r="F398"/>
      <c r="G398"/>
      <c r="H398"/>
    </row>
    <row r="399" spans="1:8" ht="16.5">
      <c r="A399"/>
      <c r="B399"/>
      <c r="C399"/>
      <c r="D399"/>
      <c r="E399"/>
      <c r="F399"/>
      <c r="G399"/>
      <c r="H399"/>
    </row>
    <row r="400" spans="1:8" ht="16.5">
      <c r="A400"/>
      <c r="B400"/>
      <c r="C400"/>
      <c r="D400"/>
      <c r="E400"/>
      <c r="F400"/>
      <c r="G400"/>
      <c r="H400"/>
    </row>
    <row r="401" spans="1:8" ht="16.5">
      <c r="A401"/>
      <c r="B401"/>
      <c r="C401"/>
      <c r="D401"/>
      <c r="E401"/>
      <c r="F401"/>
      <c r="G401"/>
      <c r="H401"/>
    </row>
    <row r="402" spans="1:8" ht="16.5">
      <c r="A402"/>
      <c r="B402"/>
      <c r="C402"/>
      <c r="D402"/>
      <c r="E402"/>
      <c r="F402"/>
      <c r="G402"/>
      <c r="H402"/>
    </row>
    <row r="403" spans="1:8" ht="16.5">
      <c r="A403"/>
      <c r="B403"/>
      <c r="C403"/>
      <c r="D403"/>
      <c r="E403"/>
      <c r="F403"/>
      <c r="G403"/>
      <c r="H403"/>
    </row>
    <row r="404" spans="1:8" ht="16.5">
      <c r="A404"/>
      <c r="B404"/>
      <c r="C404"/>
      <c r="D404"/>
      <c r="E404"/>
      <c r="F404"/>
      <c r="G404"/>
      <c r="H404"/>
    </row>
    <row r="405" spans="1:8" ht="16.5">
      <c r="A405"/>
      <c r="B405"/>
      <c r="C405"/>
      <c r="D405"/>
      <c r="E405"/>
      <c r="F405"/>
      <c r="G405"/>
      <c r="H405"/>
    </row>
    <row r="406" spans="1:8" ht="16.5">
      <c r="A406"/>
      <c r="B406"/>
      <c r="C406"/>
      <c r="D406"/>
      <c r="E406"/>
      <c r="F406"/>
      <c r="G406"/>
      <c r="H406"/>
    </row>
    <row r="407" spans="1:8" ht="16.5">
      <c r="A407"/>
      <c r="B407"/>
      <c r="C407"/>
      <c r="D407"/>
      <c r="E407"/>
      <c r="F407"/>
      <c r="G407"/>
      <c r="H407"/>
    </row>
    <row r="408" spans="1:8" ht="16.5">
      <c r="A408"/>
      <c r="B408"/>
      <c r="C408"/>
      <c r="D408"/>
      <c r="E408"/>
      <c r="F408"/>
      <c r="G408"/>
      <c r="H408"/>
    </row>
    <row r="409" spans="1:8" ht="16.5">
      <c r="A409"/>
      <c r="B409"/>
      <c r="C409"/>
      <c r="D409"/>
      <c r="E409"/>
      <c r="F409"/>
      <c r="G409"/>
      <c r="H409"/>
    </row>
    <row r="410" spans="1:8" ht="16.5">
      <c r="A410"/>
      <c r="B410"/>
      <c r="C410"/>
      <c r="D410"/>
      <c r="E410"/>
      <c r="F410"/>
      <c r="G410"/>
      <c r="H410"/>
    </row>
    <row r="411" spans="1:8" ht="16.5">
      <c r="A411"/>
      <c r="B411"/>
      <c r="C411"/>
      <c r="D411"/>
      <c r="E411"/>
      <c r="F411"/>
      <c r="G411"/>
      <c r="H411"/>
    </row>
    <row r="412" spans="1:8" ht="16.5">
      <c r="A412"/>
      <c r="B412"/>
      <c r="C412"/>
      <c r="D412"/>
      <c r="E412"/>
      <c r="F412"/>
      <c r="G412"/>
      <c r="H412"/>
    </row>
    <row r="413" spans="1:8" ht="16.5">
      <c r="A413"/>
      <c r="B413"/>
      <c r="C413"/>
      <c r="D413"/>
      <c r="E413"/>
      <c r="F413"/>
      <c r="G413"/>
      <c r="H413"/>
    </row>
    <row r="414" spans="1:8" ht="16.5">
      <c r="A414"/>
      <c r="B414"/>
      <c r="C414"/>
      <c r="D414"/>
      <c r="E414"/>
      <c r="F414"/>
      <c r="G414"/>
      <c r="H414"/>
    </row>
    <row r="415" spans="1:8" ht="16.5">
      <c r="A415"/>
      <c r="B415"/>
      <c r="C415"/>
      <c r="D415"/>
      <c r="E415"/>
      <c r="F415"/>
      <c r="G415"/>
      <c r="H415"/>
    </row>
    <row r="416" spans="1:8" ht="16.5">
      <c r="A416"/>
      <c r="B416"/>
      <c r="C416"/>
      <c r="D416"/>
      <c r="E416"/>
      <c r="F416"/>
      <c r="G416"/>
      <c r="H416"/>
    </row>
    <row r="417" spans="1:8" ht="16.5">
      <c r="A417"/>
      <c r="B417"/>
      <c r="C417"/>
      <c r="D417"/>
      <c r="E417"/>
      <c r="F417"/>
      <c r="G417"/>
      <c r="H417"/>
    </row>
    <row r="418" spans="1:8" ht="16.5">
      <c r="A418"/>
      <c r="B418"/>
      <c r="C418"/>
      <c r="D418"/>
      <c r="E418"/>
      <c r="F418"/>
      <c r="G418"/>
      <c r="H418"/>
    </row>
    <row r="419" spans="1:8" ht="16.5">
      <c r="A419"/>
      <c r="B419"/>
      <c r="C419"/>
      <c r="D419"/>
      <c r="E419"/>
      <c r="F419"/>
      <c r="G419"/>
      <c r="H419"/>
    </row>
    <row r="420" spans="1:8" ht="16.5">
      <c r="A420"/>
      <c r="B420"/>
      <c r="C420"/>
      <c r="D420"/>
      <c r="E420"/>
      <c r="F420"/>
      <c r="G420"/>
      <c r="H420"/>
    </row>
    <row r="421" spans="1:8" ht="16.5">
      <c r="A421"/>
      <c r="B421"/>
      <c r="C421"/>
      <c r="D421"/>
      <c r="E421"/>
      <c r="F421"/>
      <c r="G421"/>
      <c r="H421"/>
    </row>
    <row r="422" spans="1:8" ht="16.5">
      <c r="A422"/>
      <c r="B422"/>
      <c r="C422"/>
      <c r="D422"/>
      <c r="E422"/>
      <c r="F422"/>
      <c r="G422"/>
      <c r="H422"/>
    </row>
    <row r="423" spans="1:8" ht="16.5">
      <c r="A423"/>
      <c r="B423"/>
      <c r="C423"/>
      <c r="D423"/>
      <c r="E423"/>
      <c r="F423"/>
      <c r="G423"/>
      <c r="H423"/>
    </row>
    <row r="424" spans="1:8" ht="16.5">
      <c r="A424"/>
      <c r="B424"/>
      <c r="C424"/>
      <c r="D424"/>
      <c r="E424"/>
      <c r="F424"/>
      <c r="G424"/>
      <c r="H424"/>
    </row>
    <row r="425" spans="1:8" ht="16.5">
      <c r="A425"/>
      <c r="B425"/>
      <c r="C425"/>
      <c r="D425"/>
      <c r="E425"/>
      <c r="F425"/>
      <c r="G425"/>
      <c r="H425"/>
    </row>
    <row r="426" spans="1:8" ht="16.5">
      <c r="A426"/>
      <c r="B426"/>
      <c r="C426"/>
      <c r="D426"/>
      <c r="E426"/>
      <c r="F426"/>
      <c r="G426"/>
      <c r="H426"/>
    </row>
    <row r="427" spans="1:8" ht="16.5">
      <c r="A427"/>
      <c r="B427"/>
      <c r="C427"/>
      <c r="D427"/>
      <c r="E427"/>
      <c r="F427"/>
      <c r="G427"/>
      <c r="H427"/>
    </row>
    <row r="428" spans="1:8" ht="16.5">
      <c r="A428"/>
      <c r="B428"/>
      <c r="C428"/>
      <c r="D428"/>
      <c r="E428"/>
      <c r="F428"/>
      <c r="G428"/>
      <c r="H428"/>
    </row>
    <row r="429" spans="1:8" ht="16.5">
      <c r="A429"/>
      <c r="B429"/>
      <c r="C429"/>
      <c r="D429"/>
      <c r="E429"/>
      <c r="F429"/>
      <c r="G429"/>
      <c r="H429"/>
    </row>
    <row r="430" spans="1:8" ht="16.5">
      <c r="A430"/>
      <c r="B430"/>
      <c r="C430"/>
      <c r="D430"/>
      <c r="E430"/>
      <c r="F430"/>
      <c r="G430"/>
      <c r="H430"/>
    </row>
    <row r="431" spans="1:8" ht="16.5">
      <c r="A431"/>
      <c r="B431"/>
      <c r="C431"/>
      <c r="D431"/>
      <c r="E431"/>
      <c r="F431"/>
      <c r="G431"/>
      <c r="H431"/>
    </row>
    <row r="432" spans="1:8" ht="16.5">
      <c r="A432"/>
      <c r="B432"/>
      <c r="C432"/>
      <c r="D432"/>
      <c r="E432"/>
      <c r="F432"/>
      <c r="G432"/>
      <c r="H432"/>
    </row>
    <row r="433" spans="1:8" ht="16.5">
      <c r="A433"/>
      <c r="B433"/>
      <c r="C433"/>
      <c r="D433"/>
      <c r="E433"/>
      <c r="F433"/>
      <c r="G433"/>
      <c r="H433"/>
    </row>
    <row r="434" spans="1:8" ht="16.5">
      <c r="A434"/>
      <c r="B434"/>
      <c r="C434"/>
      <c r="D434"/>
      <c r="E434"/>
      <c r="F434"/>
      <c r="G434"/>
      <c r="H434"/>
    </row>
    <row r="435" spans="1:8" ht="16.5">
      <c r="A435"/>
      <c r="B435"/>
      <c r="C435"/>
      <c r="D435"/>
      <c r="E435"/>
      <c r="F435"/>
      <c r="G435"/>
      <c r="H435"/>
    </row>
    <row r="436" spans="1:8" ht="16.5">
      <c r="A436"/>
      <c r="B436"/>
      <c r="C436"/>
      <c r="D436"/>
      <c r="E436"/>
      <c r="F436"/>
      <c r="G436"/>
      <c r="H436"/>
    </row>
    <row r="437" spans="1:8" ht="16.5">
      <c r="A437"/>
      <c r="B437"/>
      <c r="C437"/>
      <c r="D437"/>
      <c r="E437"/>
      <c r="F437"/>
      <c r="G437"/>
      <c r="H437"/>
    </row>
    <row r="438" spans="1:8" ht="16.5">
      <c r="A438"/>
      <c r="B438"/>
      <c r="C438"/>
      <c r="D438"/>
      <c r="E438"/>
      <c r="F438"/>
      <c r="G438"/>
      <c r="H438"/>
    </row>
    <row r="439" spans="1:8" ht="16.5">
      <c r="A439"/>
      <c r="B439"/>
      <c r="C439"/>
      <c r="D439"/>
      <c r="E439"/>
      <c r="F439"/>
      <c r="G439"/>
      <c r="H439"/>
    </row>
    <row r="440" spans="1:8" ht="16.5">
      <c r="A440"/>
      <c r="B440"/>
      <c r="C440"/>
      <c r="D440"/>
      <c r="E440"/>
      <c r="F440"/>
      <c r="G440"/>
      <c r="H440"/>
    </row>
    <row r="441" spans="1:8" ht="16.5">
      <c r="A441"/>
      <c r="B441"/>
      <c r="C441"/>
      <c r="D441"/>
      <c r="E441"/>
      <c r="F441"/>
      <c r="G441"/>
      <c r="H441"/>
    </row>
    <row r="442" spans="1:8" ht="16.5">
      <c r="A442"/>
      <c r="B442"/>
      <c r="C442"/>
      <c r="D442"/>
      <c r="E442"/>
      <c r="F442"/>
      <c r="G442"/>
      <c r="H442"/>
    </row>
    <row r="443" spans="1:8" ht="16.5">
      <c r="A443"/>
      <c r="B443"/>
      <c r="C443"/>
      <c r="D443"/>
      <c r="E443"/>
      <c r="F443"/>
      <c r="G443"/>
      <c r="H443"/>
    </row>
    <row r="444" spans="1:8" ht="16.5">
      <c r="A444"/>
      <c r="B444"/>
      <c r="C444"/>
      <c r="D444"/>
      <c r="E444"/>
      <c r="F444"/>
      <c r="G444"/>
      <c r="H444"/>
    </row>
    <row r="445" spans="1:8" ht="16.5">
      <c r="A445"/>
      <c r="B445"/>
      <c r="C445"/>
      <c r="D445"/>
      <c r="E445"/>
      <c r="F445"/>
      <c r="G445"/>
      <c r="H445"/>
    </row>
    <row r="446" spans="1:8" ht="16.5">
      <c r="A446"/>
      <c r="B446"/>
      <c r="C446"/>
      <c r="D446"/>
      <c r="E446"/>
      <c r="F446"/>
      <c r="G446"/>
      <c r="H446"/>
    </row>
    <row r="447" spans="1:8" ht="16.5">
      <c r="A447"/>
      <c r="B447"/>
      <c r="C447"/>
      <c r="D447"/>
      <c r="E447"/>
      <c r="F447"/>
      <c r="G447"/>
      <c r="H447"/>
    </row>
    <row r="448" spans="1:8" ht="16.5">
      <c r="A448"/>
      <c r="B448"/>
      <c r="C448"/>
      <c r="D448"/>
      <c r="E448"/>
      <c r="F448"/>
      <c r="G448"/>
      <c r="H448"/>
    </row>
    <row r="449" spans="1:8" ht="16.5">
      <c r="A449"/>
      <c r="B449"/>
      <c r="C449"/>
      <c r="D449"/>
      <c r="E449"/>
      <c r="F449"/>
      <c r="G449"/>
      <c r="H449"/>
    </row>
    <row r="450" spans="1:8" ht="16.5">
      <c r="A450"/>
      <c r="B450"/>
      <c r="C450"/>
      <c r="D450"/>
      <c r="E450"/>
      <c r="F450"/>
      <c r="G450"/>
      <c r="H450"/>
    </row>
    <row r="451" spans="1:8" ht="16.5">
      <c r="A451"/>
      <c r="B451"/>
      <c r="C451"/>
      <c r="D451"/>
      <c r="E451"/>
      <c r="F451"/>
      <c r="G451"/>
      <c r="H451"/>
    </row>
    <row r="452" spans="1:8" ht="16.5">
      <c r="A452"/>
      <c r="B452"/>
      <c r="C452"/>
      <c r="D452"/>
      <c r="E452"/>
      <c r="F452"/>
      <c r="G452"/>
      <c r="H452"/>
    </row>
    <row r="453" spans="1:8" ht="16.5">
      <c r="A453"/>
      <c r="B453"/>
      <c r="C453"/>
      <c r="D453"/>
      <c r="E453"/>
      <c r="F453"/>
      <c r="G453"/>
      <c r="H453"/>
    </row>
    <row r="454" spans="1:8" ht="16.5">
      <c r="A454"/>
      <c r="B454"/>
      <c r="C454"/>
      <c r="D454"/>
      <c r="E454"/>
      <c r="F454"/>
      <c r="G454"/>
      <c r="H454"/>
    </row>
    <row r="455" spans="1:8" ht="16.5">
      <c r="A455"/>
      <c r="B455"/>
      <c r="C455"/>
      <c r="D455"/>
      <c r="E455"/>
      <c r="F455"/>
      <c r="G455"/>
      <c r="H455"/>
    </row>
    <row r="456" spans="1:8" ht="16.5">
      <c r="A456"/>
      <c r="B456"/>
      <c r="C456"/>
      <c r="D456"/>
      <c r="E456"/>
      <c r="F456"/>
      <c r="G456"/>
      <c r="H456"/>
    </row>
    <row r="457" spans="1:8" ht="16.5">
      <c r="A457"/>
      <c r="B457"/>
      <c r="C457"/>
      <c r="D457"/>
      <c r="E457"/>
      <c r="F457"/>
      <c r="G457"/>
      <c r="H457"/>
    </row>
    <row r="458" spans="1:8" ht="16.5">
      <c r="A458"/>
      <c r="B458"/>
      <c r="C458"/>
      <c r="D458"/>
      <c r="E458"/>
      <c r="F458"/>
      <c r="G458"/>
      <c r="H458"/>
    </row>
    <row r="459" spans="1:8" ht="16.5">
      <c r="A459"/>
      <c r="B459"/>
      <c r="C459"/>
      <c r="D459"/>
      <c r="E459"/>
      <c r="F459"/>
      <c r="G459"/>
      <c r="H459"/>
    </row>
    <row r="460" spans="1:8" ht="16.5">
      <c r="A460"/>
      <c r="B460"/>
      <c r="C460"/>
      <c r="D460"/>
      <c r="E460"/>
      <c r="F460"/>
      <c r="G460"/>
      <c r="H460"/>
    </row>
    <row r="461" spans="1:8" ht="16.5">
      <c r="A461"/>
      <c r="B461"/>
      <c r="C461"/>
      <c r="D461"/>
      <c r="E461"/>
      <c r="F461"/>
      <c r="G461"/>
      <c r="H461"/>
    </row>
    <row r="462" spans="1:8" ht="16.5">
      <c r="A462"/>
      <c r="B462"/>
      <c r="C462"/>
      <c r="D462"/>
      <c r="E462"/>
      <c r="F462"/>
      <c r="G462"/>
      <c r="H462"/>
    </row>
    <row r="463" spans="1:8" ht="16.5">
      <c r="A463"/>
      <c r="B463"/>
      <c r="C463"/>
      <c r="D463"/>
      <c r="E463"/>
      <c r="F463"/>
      <c r="G463"/>
      <c r="H463"/>
    </row>
    <row r="464" spans="1:8" ht="16.5">
      <c r="A464"/>
      <c r="B464"/>
      <c r="C464"/>
      <c r="D464"/>
      <c r="E464"/>
      <c r="F464"/>
      <c r="G464"/>
      <c r="H464"/>
    </row>
    <row r="465" spans="1:8" ht="16.5">
      <c r="A465"/>
      <c r="B465"/>
      <c r="C465"/>
      <c r="D465"/>
      <c r="E465"/>
      <c r="F465"/>
      <c r="G465"/>
      <c r="H465"/>
    </row>
    <row r="466" spans="1:8" ht="16.5">
      <c r="A466"/>
      <c r="B466"/>
      <c r="C466"/>
      <c r="D466"/>
      <c r="E466"/>
      <c r="F466"/>
      <c r="G466"/>
      <c r="H466"/>
    </row>
    <row r="467" spans="1:8" ht="16.5">
      <c r="A467"/>
      <c r="B467"/>
      <c r="C467"/>
      <c r="D467"/>
      <c r="E467"/>
      <c r="F467"/>
      <c r="G467"/>
      <c r="H467"/>
    </row>
    <row r="468" spans="1:8" ht="16.5">
      <c r="A468"/>
      <c r="B468"/>
      <c r="C468"/>
      <c r="D468"/>
      <c r="E468"/>
      <c r="F468"/>
      <c r="G468"/>
      <c r="H468"/>
    </row>
    <row r="469" spans="1:8" ht="16.5">
      <c r="A469"/>
      <c r="B469"/>
      <c r="C469"/>
      <c r="D469"/>
      <c r="E469"/>
      <c r="F469"/>
      <c r="G469"/>
      <c r="H469"/>
    </row>
    <row r="470" spans="1:8" ht="16.5">
      <c r="A470"/>
      <c r="B470"/>
      <c r="C470"/>
      <c r="D470"/>
      <c r="E470"/>
      <c r="F470"/>
      <c r="G470"/>
      <c r="H470"/>
    </row>
    <row r="471" spans="1:8" ht="16.5">
      <c r="A471"/>
      <c r="B471"/>
      <c r="C471"/>
      <c r="D471"/>
      <c r="E471"/>
      <c r="F471"/>
      <c r="G471"/>
      <c r="H471"/>
    </row>
    <row r="472" spans="1:8" ht="16.5">
      <c r="A472"/>
      <c r="B472"/>
      <c r="C472"/>
      <c r="D472"/>
      <c r="E472"/>
      <c r="F472"/>
      <c r="G472"/>
      <c r="H472"/>
    </row>
    <row r="473" spans="1:8" ht="16.5">
      <c r="A473"/>
      <c r="B473"/>
      <c r="C473"/>
      <c r="D473"/>
      <c r="E473"/>
      <c r="F473"/>
      <c r="G473"/>
      <c r="H473"/>
    </row>
    <row r="474" spans="1:8" ht="16.5">
      <c r="A474"/>
      <c r="B474"/>
      <c r="C474"/>
      <c r="D474"/>
      <c r="E474"/>
      <c r="F474"/>
      <c r="G474"/>
      <c r="H474"/>
    </row>
    <row r="475" spans="1:8" ht="16.5">
      <c r="A475"/>
      <c r="B475"/>
      <c r="C475"/>
      <c r="D475"/>
      <c r="E475"/>
      <c r="F475"/>
      <c r="G475"/>
      <c r="H475"/>
    </row>
    <row r="476" spans="1:8" ht="16.5">
      <c r="A476"/>
      <c r="B476"/>
      <c r="C476"/>
      <c r="D476"/>
      <c r="E476"/>
      <c r="F476"/>
      <c r="G476"/>
      <c r="H476"/>
    </row>
    <row r="477" spans="1:8" ht="16.5">
      <c r="A477"/>
      <c r="B477"/>
      <c r="C477"/>
      <c r="D477"/>
      <c r="E477"/>
      <c r="F477"/>
      <c r="G477"/>
      <c r="H477"/>
    </row>
    <row r="478" spans="1:8" ht="16.5">
      <c r="A478"/>
      <c r="B478"/>
      <c r="C478"/>
      <c r="D478"/>
      <c r="E478"/>
      <c r="F478"/>
      <c r="G478"/>
      <c r="H478"/>
    </row>
    <row r="479" spans="1:8" ht="16.5">
      <c r="A479"/>
      <c r="B479"/>
      <c r="C479"/>
      <c r="D479"/>
      <c r="E479"/>
      <c r="F479"/>
      <c r="G479"/>
      <c r="H479"/>
    </row>
    <row r="480" spans="1:8" ht="16.5">
      <c r="A480"/>
      <c r="B480"/>
      <c r="C480"/>
      <c r="D480"/>
      <c r="E480"/>
      <c r="F480"/>
      <c r="G480"/>
      <c r="H480"/>
    </row>
    <row r="481" spans="1:8" ht="16.5">
      <c r="A481"/>
      <c r="B481"/>
      <c r="C481"/>
      <c r="D481"/>
      <c r="E481"/>
      <c r="F481"/>
      <c r="G481"/>
      <c r="H481"/>
    </row>
    <row r="482" spans="1:8" ht="16.5">
      <c r="A482"/>
      <c r="B482"/>
      <c r="C482"/>
      <c r="D482"/>
      <c r="E482"/>
      <c r="F482"/>
      <c r="G482"/>
      <c r="H482"/>
    </row>
    <row r="483" spans="1:8" ht="16.5">
      <c r="A483"/>
      <c r="B483"/>
      <c r="C483"/>
      <c r="D483"/>
      <c r="E483"/>
      <c r="F483"/>
      <c r="G483"/>
      <c r="H483"/>
    </row>
    <row r="484" spans="1:8" ht="16.5">
      <c r="A484"/>
      <c r="B484"/>
      <c r="C484"/>
      <c r="D484"/>
      <c r="E484"/>
      <c r="F484"/>
      <c r="G484"/>
      <c r="H484"/>
    </row>
    <row r="485" spans="1:8" ht="16.5">
      <c r="A485"/>
      <c r="B485"/>
      <c r="C485"/>
      <c r="D485"/>
      <c r="E485"/>
      <c r="F485"/>
      <c r="G485"/>
      <c r="H485"/>
    </row>
    <row r="486" spans="1:8" ht="16.5">
      <c r="A486"/>
      <c r="B486"/>
      <c r="C486"/>
      <c r="D486"/>
      <c r="E486"/>
      <c r="F486"/>
      <c r="G486"/>
      <c r="H486"/>
    </row>
    <row r="487" spans="1:8" ht="16.5">
      <c r="A487"/>
      <c r="B487"/>
      <c r="C487"/>
      <c r="D487"/>
      <c r="E487"/>
      <c r="F487"/>
      <c r="G487"/>
      <c r="H487"/>
    </row>
    <row r="488" spans="1:8" ht="16.5">
      <c r="A488"/>
      <c r="B488"/>
      <c r="C488"/>
      <c r="D488"/>
      <c r="E488"/>
      <c r="F488"/>
      <c r="G488"/>
      <c r="H488"/>
    </row>
    <row r="489" spans="1:8" ht="16.5">
      <c r="A489"/>
      <c r="B489"/>
      <c r="C489"/>
      <c r="D489"/>
      <c r="E489"/>
      <c r="F489"/>
      <c r="G489"/>
      <c r="H489"/>
    </row>
    <row r="490" spans="1:8" ht="16.5">
      <c r="A490"/>
      <c r="B490"/>
      <c r="C490"/>
      <c r="D490"/>
      <c r="E490"/>
      <c r="F490"/>
      <c r="G490"/>
      <c r="H490"/>
    </row>
    <row r="491" spans="1:8" ht="16.5">
      <c r="A491"/>
      <c r="B491"/>
      <c r="C491"/>
      <c r="D491"/>
      <c r="E491"/>
      <c r="F491"/>
      <c r="G491"/>
      <c r="H491"/>
    </row>
    <row r="492" spans="1:8" ht="16.5">
      <c r="A492"/>
      <c r="B492"/>
      <c r="C492"/>
      <c r="D492"/>
      <c r="E492"/>
      <c r="F492"/>
      <c r="G492"/>
      <c r="H492"/>
    </row>
    <row r="493" spans="1:8" ht="16.5">
      <c r="A493"/>
      <c r="B493"/>
      <c r="C493"/>
      <c r="D493"/>
      <c r="E493"/>
      <c r="F493"/>
      <c r="G493"/>
      <c r="H493"/>
    </row>
    <row r="494" spans="1:8" ht="16.5">
      <c r="A494"/>
      <c r="B494"/>
      <c r="C494"/>
      <c r="D494"/>
      <c r="E494"/>
      <c r="F494"/>
      <c r="G494"/>
      <c r="H494"/>
    </row>
    <row r="495" spans="1:8" ht="16.5">
      <c r="A495"/>
      <c r="B495"/>
      <c r="C495"/>
      <c r="D495"/>
      <c r="E495"/>
      <c r="F495"/>
      <c r="G495"/>
      <c r="H495"/>
    </row>
    <row r="496" spans="1:8" ht="16.5">
      <c r="A496"/>
      <c r="B496"/>
      <c r="C496"/>
      <c r="D496"/>
      <c r="E496"/>
      <c r="F496"/>
      <c r="G496"/>
      <c r="H496"/>
    </row>
    <row r="497" spans="1:8" ht="16.5">
      <c r="A497"/>
      <c r="B497"/>
      <c r="C497"/>
      <c r="D497"/>
      <c r="E497"/>
      <c r="F497"/>
      <c r="G497"/>
      <c r="H497"/>
    </row>
    <row r="498" spans="1:8" ht="16.5">
      <c r="A498"/>
      <c r="B498"/>
      <c r="C498"/>
      <c r="D498"/>
      <c r="E498"/>
      <c r="F498"/>
      <c r="G498"/>
      <c r="H498"/>
    </row>
    <row r="499" spans="1:8" ht="16.5">
      <c r="A499"/>
      <c r="B499"/>
      <c r="C499"/>
      <c r="D499"/>
      <c r="E499"/>
      <c r="F499"/>
      <c r="G499"/>
      <c r="H499"/>
    </row>
    <row r="500" spans="1:8" ht="16.5">
      <c r="A500"/>
      <c r="B500"/>
      <c r="C500"/>
      <c r="D500"/>
      <c r="E500"/>
      <c r="F500"/>
      <c r="G500"/>
      <c r="H500"/>
    </row>
    <row r="501" spans="1:8" ht="16.5">
      <c r="A501"/>
      <c r="B501"/>
      <c r="C501"/>
      <c r="D501"/>
      <c r="E501"/>
      <c r="F501"/>
      <c r="G501"/>
      <c r="H501"/>
    </row>
    <row r="502" spans="1:8" ht="16.5">
      <c r="A502"/>
      <c r="B502"/>
      <c r="C502"/>
      <c r="D502"/>
      <c r="E502"/>
      <c r="F502"/>
      <c r="G502"/>
      <c r="H502"/>
    </row>
    <row r="503" spans="1:8" ht="16.5">
      <c r="A503"/>
      <c r="B503"/>
      <c r="C503"/>
      <c r="D503"/>
      <c r="E503"/>
      <c r="F503"/>
      <c r="G503"/>
      <c r="H503"/>
    </row>
    <row r="504" spans="1:8" ht="16.5">
      <c r="A504"/>
      <c r="B504"/>
      <c r="C504"/>
      <c r="D504"/>
      <c r="E504"/>
      <c r="F504"/>
      <c r="G504"/>
      <c r="H504"/>
    </row>
    <row r="505" spans="1:8" ht="16.5">
      <c r="A505"/>
      <c r="B505"/>
      <c r="C505"/>
      <c r="D505"/>
      <c r="E505"/>
      <c r="F505"/>
      <c r="G505"/>
      <c r="H505"/>
    </row>
    <row r="506" spans="1:8" ht="16.5">
      <c r="A506"/>
      <c r="B506"/>
      <c r="C506"/>
      <c r="D506"/>
      <c r="E506"/>
      <c r="F506"/>
      <c r="G506"/>
      <c r="H506"/>
    </row>
    <row r="507" spans="1:8" ht="16.5">
      <c r="A507"/>
      <c r="B507"/>
      <c r="C507"/>
      <c r="D507"/>
      <c r="E507"/>
      <c r="F507"/>
      <c r="G507"/>
      <c r="H507"/>
    </row>
    <row r="508" spans="1:8" ht="16.5">
      <c r="A508"/>
      <c r="B508"/>
      <c r="C508"/>
      <c r="D508"/>
      <c r="E508"/>
      <c r="F508"/>
      <c r="G508"/>
      <c r="H508"/>
    </row>
    <row r="509" spans="1:8" ht="16.5">
      <c r="A509"/>
      <c r="B509"/>
      <c r="C509"/>
      <c r="D509"/>
      <c r="E509"/>
      <c r="F509"/>
      <c r="G509"/>
      <c r="H509"/>
    </row>
    <row r="510" spans="1:8" ht="16.5">
      <c r="A510"/>
      <c r="B510"/>
      <c r="C510"/>
      <c r="D510"/>
      <c r="E510"/>
      <c r="F510"/>
      <c r="G510"/>
      <c r="H510"/>
    </row>
    <row r="511" spans="1:8" ht="16.5">
      <c r="A511"/>
      <c r="B511"/>
      <c r="C511"/>
      <c r="D511"/>
      <c r="E511"/>
      <c r="F511"/>
      <c r="G511"/>
      <c r="H511"/>
    </row>
    <row r="512" spans="1:8" ht="16.5">
      <c r="A512"/>
      <c r="B512"/>
      <c r="C512"/>
      <c r="D512"/>
      <c r="E512"/>
      <c r="F512"/>
      <c r="G512"/>
      <c r="H512"/>
    </row>
    <row r="513" spans="1:8" ht="16.5">
      <c r="A513"/>
      <c r="B513"/>
      <c r="C513"/>
      <c r="D513"/>
      <c r="E513"/>
      <c r="F513"/>
      <c r="G513"/>
      <c r="H513"/>
    </row>
    <row r="514" spans="1:8" ht="16.5">
      <c r="A514"/>
      <c r="B514"/>
      <c r="C514"/>
      <c r="D514"/>
      <c r="E514"/>
      <c r="F514"/>
      <c r="G514"/>
      <c r="H514"/>
    </row>
    <row r="515" spans="1:8" ht="16.5">
      <c r="A515"/>
      <c r="B515"/>
      <c r="C515"/>
      <c r="D515"/>
      <c r="E515"/>
      <c r="F515"/>
      <c r="G515"/>
      <c r="H515"/>
    </row>
    <row r="516" spans="1:8" ht="16.5">
      <c r="A516"/>
      <c r="B516"/>
      <c r="C516"/>
      <c r="D516"/>
      <c r="E516"/>
      <c r="F516"/>
      <c r="G516"/>
      <c r="H516"/>
    </row>
    <row r="517" spans="1:8" ht="16.5">
      <c r="A517"/>
      <c r="B517"/>
      <c r="C517"/>
      <c r="D517"/>
      <c r="E517"/>
      <c r="F517"/>
      <c r="G517"/>
      <c r="H517"/>
    </row>
    <row r="518" spans="1:8" ht="16.5">
      <c r="A518"/>
      <c r="B518"/>
      <c r="C518"/>
      <c r="D518"/>
      <c r="E518"/>
      <c r="F518"/>
      <c r="G518"/>
      <c r="H518"/>
    </row>
    <row r="519" spans="1:8" ht="16.5">
      <c r="A519"/>
      <c r="B519"/>
      <c r="C519"/>
      <c r="D519"/>
      <c r="E519"/>
      <c r="F519"/>
      <c r="G519"/>
      <c r="H519"/>
    </row>
    <row r="520" spans="1:8" ht="16.5">
      <c r="A520"/>
      <c r="B520"/>
      <c r="C520"/>
      <c r="D520"/>
      <c r="E520"/>
      <c r="F520"/>
      <c r="G520"/>
      <c r="H520"/>
    </row>
    <row r="521" spans="1:8" ht="16.5">
      <c r="A521"/>
      <c r="B521"/>
      <c r="C521"/>
      <c r="D521"/>
      <c r="E521"/>
      <c r="F521"/>
      <c r="G521"/>
      <c r="H521"/>
    </row>
    <row r="522" spans="1:8" ht="16.5">
      <c r="A522"/>
      <c r="B522"/>
      <c r="C522"/>
      <c r="D522"/>
      <c r="E522"/>
      <c r="F522"/>
      <c r="G522"/>
      <c r="H522"/>
    </row>
    <row r="523" spans="1:8" ht="16.5">
      <c r="A523"/>
      <c r="B523"/>
      <c r="C523"/>
      <c r="D523"/>
      <c r="E523"/>
      <c r="F523"/>
      <c r="G523"/>
      <c r="H523"/>
    </row>
    <row r="524" spans="1:8" ht="16.5">
      <c r="A524"/>
      <c r="B524"/>
      <c r="C524"/>
      <c r="D524"/>
      <c r="E524"/>
      <c r="F524"/>
      <c r="G524"/>
      <c r="H524"/>
    </row>
    <row r="525" spans="1:8" ht="16.5">
      <c r="A525"/>
      <c r="B525"/>
      <c r="C525"/>
      <c r="D525"/>
      <c r="E525"/>
      <c r="F525"/>
      <c r="G525"/>
      <c r="H525"/>
    </row>
    <row r="526" spans="1:8" ht="16.5">
      <c r="A526"/>
      <c r="B526"/>
      <c r="C526"/>
      <c r="D526"/>
      <c r="E526"/>
      <c r="F526"/>
      <c r="G526"/>
      <c r="H526"/>
    </row>
    <row r="527" spans="1:8" ht="16.5">
      <c r="A527"/>
      <c r="B527"/>
      <c r="C527"/>
      <c r="D527"/>
      <c r="E527"/>
      <c r="F527"/>
      <c r="G527"/>
      <c r="H527"/>
    </row>
    <row r="528" spans="1:8" ht="16.5">
      <c r="A528"/>
      <c r="B528"/>
      <c r="C528"/>
      <c r="D528"/>
      <c r="E528"/>
      <c r="F528"/>
      <c r="G528"/>
      <c r="H528"/>
    </row>
    <row r="529" spans="1:8" ht="16.5">
      <c r="A529"/>
      <c r="B529"/>
      <c r="C529"/>
      <c r="D529"/>
      <c r="E529"/>
      <c r="F529"/>
      <c r="G529"/>
      <c r="H529"/>
    </row>
    <row r="530" spans="1:8" ht="16.5">
      <c r="A530"/>
      <c r="B530"/>
      <c r="C530"/>
      <c r="D530"/>
      <c r="E530"/>
      <c r="F530"/>
      <c r="G530"/>
      <c r="H530"/>
    </row>
    <row r="531" spans="1:8" ht="16.5">
      <c r="A531"/>
      <c r="B531"/>
      <c r="C531"/>
      <c r="D531"/>
      <c r="E531"/>
      <c r="F531"/>
      <c r="G531"/>
      <c r="H531"/>
    </row>
    <row r="532" spans="1:8" ht="16.5">
      <c r="A532"/>
      <c r="B532"/>
      <c r="C532"/>
      <c r="D532"/>
      <c r="E532"/>
      <c r="F532"/>
      <c r="G532"/>
      <c r="H532"/>
    </row>
    <row r="533" spans="1:8" ht="16.5">
      <c r="A533"/>
      <c r="B533"/>
      <c r="C533"/>
      <c r="D533"/>
      <c r="E533"/>
      <c r="F533"/>
      <c r="G533"/>
      <c r="H533"/>
    </row>
    <row r="534" spans="1:8" ht="16.5">
      <c r="A534"/>
      <c r="B534"/>
      <c r="C534"/>
      <c r="D534"/>
      <c r="E534"/>
      <c r="F534"/>
      <c r="G534"/>
      <c r="H534"/>
    </row>
    <row r="535" spans="1:8" ht="16.5">
      <c r="A535"/>
      <c r="B535"/>
      <c r="C535"/>
      <c r="D535"/>
      <c r="E535"/>
      <c r="F535"/>
      <c r="G535"/>
      <c r="H535"/>
    </row>
    <row r="536" spans="1:8" ht="16.5">
      <c r="A536"/>
      <c r="B536"/>
      <c r="C536"/>
      <c r="D536"/>
      <c r="E536"/>
      <c r="F536"/>
      <c r="G536"/>
      <c r="H536"/>
    </row>
    <row r="537" spans="1:8" ht="16.5">
      <c r="A537"/>
      <c r="B537"/>
      <c r="C537"/>
      <c r="D537"/>
      <c r="E537"/>
      <c r="F537"/>
      <c r="G537"/>
      <c r="H537"/>
    </row>
    <row r="538" spans="1:8" ht="16.5">
      <c r="A538"/>
      <c r="B538"/>
      <c r="C538"/>
      <c r="D538"/>
      <c r="E538"/>
      <c r="F538"/>
      <c r="G538"/>
      <c r="H538"/>
    </row>
    <row r="539" spans="1:8" ht="16.5">
      <c r="A539"/>
      <c r="B539"/>
      <c r="C539"/>
      <c r="D539"/>
      <c r="E539"/>
      <c r="F539"/>
      <c r="G539"/>
      <c r="H539"/>
    </row>
    <row r="540" spans="1:8" ht="16.5">
      <c r="A540"/>
      <c r="B540"/>
      <c r="C540"/>
      <c r="D540"/>
      <c r="E540"/>
      <c r="F540"/>
      <c r="G540"/>
      <c r="H540"/>
    </row>
    <row r="541" spans="1:8" ht="16.5">
      <c r="A541"/>
      <c r="B541"/>
      <c r="C541"/>
      <c r="D541"/>
      <c r="E541"/>
      <c r="F541"/>
      <c r="G541"/>
      <c r="H541"/>
    </row>
    <row r="542" spans="1:8" ht="16.5">
      <c r="A542"/>
      <c r="B542"/>
      <c r="C542"/>
      <c r="D542"/>
      <c r="E542"/>
      <c r="F542"/>
      <c r="G542"/>
      <c r="H542"/>
    </row>
    <row r="543" spans="1:8" ht="16.5">
      <c r="A543"/>
      <c r="B543"/>
      <c r="C543"/>
      <c r="D543"/>
      <c r="E543"/>
      <c r="F543"/>
      <c r="G543"/>
      <c r="H543"/>
    </row>
    <row r="544" spans="1:8" ht="16.5">
      <c r="A544"/>
      <c r="B544"/>
      <c r="C544"/>
      <c r="D544"/>
      <c r="E544"/>
      <c r="F544"/>
      <c r="G544"/>
      <c r="H544"/>
    </row>
    <row r="545" spans="1:8" ht="16.5">
      <c r="A545"/>
      <c r="B545"/>
      <c r="C545"/>
      <c r="D545"/>
      <c r="E545"/>
      <c r="F545"/>
      <c r="G545"/>
      <c r="H545"/>
    </row>
    <row r="546" spans="1:8" ht="16.5">
      <c r="A546"/>
      <c r="B546"/>
      <c r="C546"/>
      <c r="D546"/>
      <c r="E546"/>
      <c r="F546"/>
      <c r="G546"/>
      <c r="H546"/>
    </row>
    <row r="547" spans="1:8" ht="16.5">
      <c r="A547"/>
      <c r="B547"/>
      <c r="C547"/>
      <c r="D547"/>
      <c r="E547"/>
      <c r="F547"/>
      <c r="G547"/>
      <c r="H547"/>
    </row>
    <row r="548" spans="1:8" ht="16.5">
      <c r="A548"/>
      <c r="B548"/>
      <c r="C548"/>
      <c r="D548"/>
      <c r="E548"/>
      <c r="F548"/>
      <c r="G548"/>
      <c r="H548"/>
    </row>
    <row r="549" spans="1:8" ht="16.5">
      <c r="A549"/>
      <c r="B549"/>
      <c r="C549"/>
      <c r="D549"/>
      <c r="E549"/>
      <c r="F549"/>
      <c r="G549"/>
      <c r="H549"/>
    </row>
    <row r="550" spans="1:8" ht="16.5">
      <c r="A550"/>
      <c r="B550"/>
      <c r="C550"/>
      <c r="D550"/>
      <c r="E550"/>
      <c r="F550"/>
      <c r="G550"/>
      <c r="H550"/>
    </row>
    <row r="551" spans="1:8" ht="16.5">
      <c r="A551"/>
      <c r="B551"/>
      <c r="C551"/>
      <c r="D551"/>
      <c r="E551"/>
      <c r="F551"/>
      <c r="G551"/>
      <c r="H551"/>
    </row>
    <row r="552" spans="1:8" ht="16.5">
      <c r="A552"/>
      <c r="B552"/>
      <c r="C552"/>
      <c r="D552"/>
      <c r="E552"/>
      <c r="F552"/>
      <c r="G552"/>
      <c r="H552"/>
    </row>
    <row r="553" spans="1:8" ht="16.5">
      <c r="A553"/>
      <c r="B553"/>
      <c r="C553"/>
      <c r="D553"/>
      <c r="E553"/>
      <c r="F553"/>
      <c r="G553"/>
      <c r="H553"/>
    </row>
    <row r="554" spans="1:8" ht="16.5">
      <c r="A554"/>
      <c r="B554"/>
      <c r="C554"/>
      <c r="D554"/>
      <c r="E554"/>
      <c r="F554"/>
      <c r="G554"/>
      <c r="H554"/>
    </row>
    <row r="555" spans="1:8" ht="16.5">
      <c r="A555"/>
      <c r="B555"/>
      <c r="C555"/>
      <c r="D555"/>
      <c r="E555"/>
      <c r="F555"/>
      <c r="G555"/>
      <c r="H555"/>
    </row>
    <row r="556" spans="1:8" ht="16.5">
      <c r="A556"/>
      <c r="B556"/>
      <c r="C556"/>
      <c r="D556"/>
      <c r="E556"/>
      <c r="F556"/>
      <c r="G556"/>
      <c r="H556"/>
    </row>
    <row r="557" spans="1:8" ht="16.5">
      <c r="A557"/>
      <c r="B557"/>
      <c r="C557"/>
      <c r="D557"/>
      <c r="E557"/>
      <c r="F557"/>
      <c r="G557"/>
      <c r="H557"/>
    </row>
    <row r="558" spans="1:8" ht="16.5">
      <c r="A558"/>
      <c r="B558"/>
      <c r="C558"/>
      <c r="D558"/>
      <c r="E558"/>
      <c r="F558"/>
      <c r="G558"/>
      <c r="H558"/>
    </row>
    <row r="559" spans="1:8" ht="16.5">
      <c r="A559"/>
      <c r="B559"/>
      <c r="C559"/>
      <c r="D559"/>
      <c r="E559"/>
      <c r="F559"/>
      <c r="G559"/>
      <c r="H559"/>
    </row>
    <row r="560" spans="1:8" ht="16.5">
      <c r="A560"/>
      <c r="B560"/>
      <c r="C560"/>
      <c r="D560"/>
      <c r="E560"/>
      <c r="F560"/>
      <c r="G560"/>
      <c r="H560"/>
    </row>
    <row r="561" spans="1:8" ht="16.5">
      <c r="A561"/>
      <c r="B561"/>
      <c r="C561"/>
      <c r="D561"/>
      <c r="E561"/>
      <c r="F561"/>
      <c r="G561"/>
      <c r="H561"/>
    </row>
    <row r="562" spans="1:8" ht="16.5">
      <c r="A562"/>
      <c r="B562"/>
      <c r="C562"/>
      <c r="D562"/>
      <c r="E562"/>
      <c r="F562"/>
      <c r="G562"/>
      <c r="H562"/>
    </row>
    <row r="563" spans="1:8" ht="16.5">
      <c r="A563"/>
      <c r="B563"/>
      <c r="C563"/>
      <c r="D563"/>
      <c r="E563"/>
      <c r="F563"/>
      <c r="G563"/>
      <c r="H563"/>
    </row>
    <row r="564" spans="1:8" ht="16.5">
      <c r="A564"/>
      <c r="B564"/>
      <c r="C564"/>
      <c r="D564"/>
      <c r="E564"/>
      <c r="F564"/>
      <c r="G564"/>
      <c r="H564"/>
    </row>
    <row r="565" spans="1:8" ht="16.5">
      <c r="A565"/>
      <c r="B565"/>
      <c r="C565"/>
      <c r="D565"/>
      <c r="E565"/>
      <c r="F565"/>
      <c r="G565"/>
      <c r="H565"/>
    </row>
    <row r="566" spans="1:8" ht="16.5">
      <c r="A566"/>
      <c r="B566"/>
      <c r="C566"/>
      <c r="D566"/>
      <c r="E566"/>
      <c r="F566"/>
      <c r="G566"/>
      <c r="H566"/>
    </row>
    <row r="567" spans="1:8" ht="16.5">
      <c r="A567"/>
      <c r="B567"/>
      <c r="C567"/>
      <c r="D567"/>
      <c r="E567"/>
      <c r="F567"/>
      <c r="G567"/>
      <c r="H567"/>
    </row>
    <row r="568" spans="1:8" ht="16.5">
      <c r="A568"/>
      <c r="B568"/>
      <c r="C568"/>
      <c r="D568"/>
      <c r="E568"/>
      <c r="F568"/>
      <c r="G568"/>
      <c r="H568"/>
    </row>
    <row r="569" spans="1:8" ht="16.5">
      <c r="A569"/>
      <c r="B569"/>
      <c r="C569"/>
      <c r="D569"/>
      <c r="E569"/>
      <c r="F569"/>
      <c r="G569"/>
      <c r="H569"/>
    </row>
    <row r="570" spans="1:8" ht="16.5">
      <c r="A570"/>
      <c r="B570"/>
      <c r="C570"/>
      <c r="D570"/>
      <c r="E570"/>
      <c r="F570"/>
      <c r="G570"/>
      <c r="H570"/>
    </row>
    <row r="571" spans="1:8" ht="16.5">
      <c r="A571"/>
      <c r="B571"/>
      <c r="C571"/>
      <c r="D571"/>
      <c r="E571"/>
      <c r="F571"/>
      <c r="G571"/>
      <c r="H571"/>
    </row>
    <row r="572" spans="1:8" ht="16.5">
      <c r="A572"/>
      <c r="B572"/>
      <c r="C572"/>
      <c r="D572"/>
      <c r="E572"/>
      <c r="F572"/>
      <c r="G572"/>
      <c r="H572"/>
    </row>
    <row r="573" spans="1:8" ht="16.5">
      <c r="A573"/>
      <c r="B573"/>
      <c r="C573"/>
      <c r="D573"/>
      <c r="E573"/>
      <c r="F573"/>
      <c r="G573"/>
      <c r="H573"/>
    </row>
    <row r="574" spans="1:8" ht="16.5">
      <c r="A574"/>
      <c r="B574"/>
      <c r="C574"/>
      <c r="D574"/>
      <c r="E574"/>
      <c r="F574"/>
      <c r="G574"/>
      <c r="H574"/>
    </row>
    <row r="575" spans="1:8" ht="16.5">
      <c r="A575"/>
      <c r="B575"/>
      <c r="C575"/>
      <c r="D575"/>
      <c r="E575"/>
      <c r="F575"/>
      <c r="G575"/>
      <c r="H575"/>
    </row>
    <row r="576" spans="1:8" ht="16.5">
      <c r="A576"/>
      <c r="B576"/>
      <c r="C576"/>
      <c r="D576"/>
      <c r="E576"/>
      <c r="F576"/>
      <c r="G576"/>
      <c r="H576"/>
    </row>
    <row r="577" spans="1:8" ht="16.5">
      <c r="A577"/>
      <c r="B577"/>
      <c r="C577"/>
      <c r="D577"/>
      <c r="E577"/>
      <c r="F577"/>
      <c r="G577"/>
      <c r="H577"/>
    </row>
    <row r="578" spans="1:8" ht="16.5">
      <c r="A578"/>
      <c r="B578"/>
      <c r="C578"/>
      <c r="D578"/>
      <c r="E578"/>
      <c r="F578"/>
      <c r="G578"/>
      <c r="H578"/>
    </row>
    <row r="579" spans="1:8" ht="16.5">
      <c r="A579"/>
      <c r="B579"/>
      <c r="C579"/>
      <c r="D579"/>
      <c r="E579"/>
      <c r="F579"/>
      <c r="G579"/>
      <c r="H579"/>
    </row>
    <row r="580" spans="1:8" ht="16.5">
      <c r="A580"/>
      <c r="B580"/>
      <c r="C580"/>
      <c r="D580"/>
      <c r="E580"/>
      <c r="F580"/>
      <c r="G580"/>
      <c r="H580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60" orientation="landscape" horizontalDpi="4294967293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5">
    <tabColor rgb="FFFF0000"/>
  </sheetPr>
  <dimension ref="A1:AS1357"/>
  <sheetViews>
    <sheetView showGridLines="0" zoomScale="90" zoomScaleNormal="90" workbookViewId="0">
      <pane xSplit="11" ySplit="9" topLeftCell="R593" activePane="bottomRight" state="frozen"/>
      <selection pane="topRight" activeCell="L1" sqref="L1"/>
      <selection pane="bottomLeft" activeCell="A10" sqref="A10"/>
      <selection pane="bottomRight" activeCell="AL7" sqref="AL7"/>
    </sheetView>
  </sheetViews>
  <sheetFormatPr defaultRowHeight="16.5"/>
  <cols>
    <col min="1" max="1" width="5.5" style="174" bestFit="1" customWidth="1"/>
    <col min="2" max="2" width="5.5" style="175" bestFit="1" customWidth="1"/>
    <col min="3" max="3" width="7.25" style="175" customWidth="1"/>
    <col min="4" max="4" width="5.5" style="175" customWidth="1"/>
    <col min="5" max="5" width="12.875" style="175" customWidth="1"/>
    <col min="6" max="6" width="7.75" style="175" customWidth="1"/>
    <col min="7" max="7" width="5.5" style="175" customWidth="1"/>
    <col min="8" max="8" width="9.25" style="175" customWidth="1"/>
    <col min="9" max="9" width="5.875" style="175" bestFit="1" customWidth="1"/>
    <col min="10" max="33" width="4.875" style="175" customWidth="1"/>
    <col min="34" max="37" width="9" style="175" customWidth="1"/>
    <col min="38" max="38" width="8" style="1159" bestFit="1" customWidth="1"/>
    <col min="39" max="39" width="8.25" style="175" bestFit="1" customWidth="1"/>
    <col min="40" max="40" width="6.5" style="175" bestFit="1" customWidth="1"/>
    <col min="41" max="41" width="9" style="175"/>
    <col min="42" max="42" width="6" style="175" bestFit="1" customWidth="1"/>
    <col min="43" max="43" width="9" style="175"/>
    <col min="44" max="44" width="5.875" style="175" customWidth="1"/>
    <col min="45" max="45" width="9.375" style="192" customWidth="1"/>
    <col min="46" max="16384" width="9" style="175"/>
  </cols>
  <sheetData>
    <row r="1" spans="1:45">
      <c r="A1" s="1271" t="s">
        <v>37</v>
      </c>
      <c r="B1" s="1270" t="s">
        <v>38</v>
      </c>
      <c r="C1" s="1270" t="s">
        <v>39</v>
      </c>
      <c r="D1" s="1270" t="s">
        <v>40</v>
      </c>
      <c r="E1" s="1270" t="s">
        <v>41</v>
      </c>
      <c r="F1" s="1270" t="s">
        <v>42</v>
      </c>
      <c r="G1" s="1270" t="s">
        <v>43</v>
      </c>
      <c r="H1" s="1270" t="s">
        <v>83</v>
      </c>
      <c r="I1" s="1270" t="s">
        <v>84</v>
      </c>
      <c r="J1" s="175" t="s">
        <v>44</v>
      </c>
      <c r="K1" s="175" t="s">
        <v>45</v>
      </c>
      <c r="L1" s="175" t="s">
        <v>46</v>
      </c>
      <c r="M1" s="175" t="s">
        <v>46</v>
      </c>
      <c r="N1" s="175" t="s">
        <v>47</v>
      </c>
      <c r="O1" s="175" t="s">
        <v>48</v>
      </c>
      <c r="P1" s="175" t="s">
        <v>49</v>
      </c>
      <c r="Q1" s="175" t="s">
        <v>49</v>
      </c>
      <c r="R1" s="175" t="s">
        <v>50</v>
      </c>
      <c r="S1" s="175" t="s">
        <v>51</v>
      </c>
      <c r="T1" s="175" t="s">
        <v>52</v>
      </c>
      <c r="U1" s="175" t="s">
        <v>52</v>
      </c>
      <c r="V1" s="175" t="s">
        <v>53</v>
      </c>
      <c r="W1" s="175" t="s">
        <v>54</v>
      </c>
      <c r="X1" s="175" t="s">
        <v>55</v>
      </c>
      <c r="Y1" s="175" t="s">
        <v>55</v>
      </c>
      <c r="Z1" s="175" t="s">
        <v>56</v>
      </c>
      <c r="AA1" s="175" t="s">
        <v>57</v>
      </c>
      <c r="AB1" s="175" t="s">
        <v>58</v>
      </c>
      <c r="AC1" s="175" t="s">
        <v>59</v>
      </c>
      <c r="AD1" s="175" t="s">
        <v>60</v>
      </c>
      <c r="AE1" s="175" t="s">
        <v>85</v>
      </c>
      <c r="AF1" s="175" t="s">
        <v>61</v>
      </c>
      <c r="AG1" s="175" t="s">
        <v>62</v>
      </c>
      <c r="AH1" s="175" t="s">
        <v>718</v>
      </c>
      <c r="AI1" s="175" t="s">
        <v>719</v>
      </c>
      <c r="AJ1" s="175" t="s">
        <v>720</v>
      </c>
      <c r="AK1" s="175" t="s">
        <v>721</v>
      </c>
      <c r="AL1" s="1159" t="s">
        <v>63</v>
      </c>
      <c r="AM1" s="175" t="s">
        <v>64</v>
      </c>
      <c r="AN1" s="175" t="s">
        <v>65</v>
      </c>
      <c r="AO1" s="175" t="s">
        <v>66</v>
      </c>
      <c r="AP1" s="175" t="s">
        <v>67</v>
      </c>
      <c r="AQ1" s="175" t="s">
        <v>68</v>
      </c>
      <c r="AR1" s="175" t="s">
        <v>69</v>
      </c>
      <c r="AS1" s="192" t="s">
        <v>153</v>
      </c>
    </row>
    <row r="2" spans="1:45" ht="16.5" customHeight="1">
      <c r="A2" s="174">
        <v>46204</v>
      </c>
      <c r="B2" s="175" t="s">
        <v>212</v>
      </c>
      <c r="C2" s="175" t="s">
        <v>632</v>
      </c>
      <c r="E2" s="175" t="s">
        <v>419</v>
      </c>
      <c r="F2" s="175" t="s">
        <v>419</v>
      </c>
      <c r="G2" s="175" t="s">
        <v>419</v>
      </c>
      <c r="H2" s="175" t="s">
        <v>419</v>
      </c>
      <c r="I2" s="175" t="s">
        <v>419</v>
      </c>
      <c r="L2" s="175" t="s">
        <v>628</v>
      </c>
      <c r="P2" s="175" t="s">
        <v>632</v>
      </c>
      <c r="T2" s="175" t="s">
        <v>632</v>
      </c>
      <c r="X2" s="175" t="s">
        <v>632</v>
      </c>
      <c r="Z2" s="175" t="s">
        <v>419</v>
      </c>
      <c r="AA2" s="175" t="s">
        <v>628</v>
      </c>
      <c r="AB2" s="175" t="s">
        <v>419</v>
      </c>
      <c r="AC2" s="175" t="s">
        <v>419</v>
      </c>
      <c r="AD2" s="175" t="s">
        <v>419</v>
      </c>
      <c r="AE2" s="175" t="s">
        <v>419</v>
      </c>
      <c r="AF2" s="175" t="s">
        <v>213</v>
      </c>
      <c r="AG2" s="175">
        <v>1</v>
      </c>
      <c r="AH2" s="175" t="s">
        <v>640</v>
      </c>
      <c r="AI2" s="175" t="s">
        <v>640</v>
      </c>
      <c r="AJ2" s="175" t="s">
        <v>640</v>
      </c>
      <c r="AK2" s="175" t="s">
        <v>640</v>
      </c>
      <c r="AL2" s="1159" t="s">
        <v>419</v>
      </c>
      <c r="AM2" s="175" t="s">
        <v>419</v>
      </c>
      <c r="AN2" s="175" t="s">
        <v>419</v>
      </c>
      <c r="AO2" s="175" t="s">
        <v>419</v>
      </c>
      <c r="AP2" s="175">
        <v>24</v>
      </c>
      <c r="AQ2" s="175">
        <v>216</v>
      </c>
      <c r="AR2" s="175" t="s">
        <v>419</v>
      </c>
      <c r="AS2" s="192" t="s">
        <v>419</v>
      </c>
    </row>
    <row r="3" spans="1:45" ht="16.5" customHeight="1">
      <c r="A3" s="174">
        <v>46204</v>
      </c>
      <c r="B3" s="175" t="s">
        <v>214</v>
      </c>
      <c r="C3" s="175" t="s">
        <v>632</v>
      </c>
      <c r="E3" s="175" t="s">
        <v>419</v>
      </c>
      <c r="F3" s="175" t="s">
        <v>419</v>
      </c>
      <c r="G3" s="175" t="s">
        <v>419</v>
      </c>
      <c r="H3" s="175" t="s">
        <v>419</v>
      </c>
      <c r="I3" s="175" t="s">
        <v>419</v>
      </c>
      <c r="L3" s="175" t="s">
        <v>632</v>
      </c>
      <c r="P3" s="175" t="s">
        <v>632</v>
      </c>
      <c r="T3" s="175" t="s">
        <v>632</v>
      </c>
      <c r="X3" s="175" t="s">
        <v>632</v>
      </c>
      <c r="Z3" s="175" t="s">
        <v>419</v>
      </c>
      <c r="AA3" s="175" t="s">
        <v>632</v>
      </c>
      <c r="AB3" s="175" t="s">
        <v>419</v>
      </c>
      <c r="AC3" s="175" t="s">
        <v>419</v>
      </c>
      <c r="AD3" s="175" t="s">
        <v>419</v>
      </c>
      <c r="AE3" s="175" t="s">
        <v>419</v>
      </c>
      <c r="AF3" s="175" t="s">
        <v>213</v>
      </c>
      <c r="AG3" s="175">
        <v>1</v>
      </c>
      <c r="AH3" s="175" t="s">
        <v>640</v>
      </c>
      <c r="AI3" s="175" t="s">
        <v>640</v>
      </c>
      <c r="AJ3" s="175" t="s">
        <v>640</v>
      </c>
      <c r="AK3" s="175" t="s">
        <v>640</v>
      </c>
      <c r="AL3" s="1159" t="s">
        <v>419</v>
      </c>
      <c r="AM3" s="175" t="s">
        <v>419</v>
      </c>
      <c r="AN3" s="175" t="s">
        <v>419</v>
      </c>
      <c r="AO3" s="175" t="s">
        <v>419</v>
      </c>
      <c r="AP3" s="175">
        <v>24</v>
      </c>
      <c r="AQ3" s="175">
        <v>216</v>
      </c>
      <c r="AR3" s="175" t="s">
        <v>419</v>
      </c>
      <c r="AS3" s="192" t="s">
        <v>419</v>
      </c>
    </row>
    <row r="4" spans="1:45" ht="16.5" customHeight="1">
      <c r="A4" s="174">
        <v>46204</v>
      </c>
      <c r="B4" s="175" t="s">
        <v>215</v>
      </c>
      <c r="C4" s="175" t="s">
        <v>632</v>
      </c>
      <c r="E4" s="175" t="s">
        <v>419</v>
      </c>
      <c r="F4" s="175" t="s">
        <v>419</v>
      </c>
      <c r="G4" s="175" t="s">
        <v>419</v>
      </c>
      <c r="H4" s="175" t="s">
        <v>419</v>
      </c>
      <c r="I4" s="175" t="s">
        <v>419</v>
      </c>
      <c r="L4" s="175" t="s">
        <v>632</v>
      </c>
      <c r="P4" s="175" t="s">
        <v>632</v>
      </c>
      <c r="T4" s="175" t="s">
        <v>632</v>
      </c>
      <c r="X4" s="175" t="s">
        <v>632</v>
      </c>
      <c r="Z4" s="175" t="s">
        <v>419</v>
      </c>
      <c r="AA4" s="175" t="s">
        <v>632</v>
      </c>
      <c r="AB4" s="175" t="s">
        <v>419</v>
      </c>
      <c r="AC4" s="175" t="s">
        <v>419</v>
      </c>
      <c r="AD4" s="175" t="s">
        <v>419</v>
      </c>
      <c r="AE4" s="175" t="s">
        <v>419</v>
      </c>
      <c r="AF4" s="175" t="s">
        <v>213</v>
      </c>
      <c r="AG4" s="175">
        <v>1</v>
      </c>
      <c r="AH4" s="175" t="s">
        <v>640</v>
      </c>
      <c r="AI4" s="175" t="s">
        <v>640</v>
      </c>
      <c r="AJ4" s="175" t="s">
        <v>640</v>
      </c>
      <c r="AK4" s="175" t="s">
        <v>640</v>
      </c>
      <c r="AL4" s="1159" t="s">
        <v>419</v>
      </c>
      <c r="AM4" s="175" t="s">
        <v>419</v>
      </c>
      <c r="AN4" s="175" t="s">
        <v>419</v>
      </c>
      <c r="AO4" s="175" t="s">
        <v>419</v>
      </c>
      <c r="AP4" s="175">
        <v>24</v>
      </c>
      <c r="AQ4" s="175">
        <v>216</v>
      </c>
      <c r="AR4" s="175" t="s">
        <v>419</v>
      </c>
      <c r="AS4" s="192" t="s">
        <v>419</v>
      </c>
    </row>
    <row r="5" spans="1:45" ht="16.5" customHeight="1">
      <c r="A5" s="174">
        <v>46204</v>
      </c>
      <c r="B5" s="175" t="s">
        <v>216</v>
      </c>
      <c r="C5" s="175" t="s">
        <v>632</v>
      </c>
      <c r="E5" s="175" t="s">
        <v>419</v>
      </c>
      <c r="F5" s="175" t="s">
        <v>419</v>
      </c>
      <c r="G5" s="175" t="s">
        <v>419</v>
      </c>
      <c r="H5" s="175" t="s">
        <v>419</v>
      </c>
      <c r="I5" s="175" t="s">
        <v>419</v>
      </c>
      <c r="L5" s="175" t="s">
        <v>632</v>
      </c>
      <c r="P5" s="175" t="s">
        <v>632</v>
      </c>
      <c r="T5" s="175" t="s">
        <v>632</v>
      </c>
      <c r="X5" s="175" t="s">
        <v>632</v>
      </c>
      <c r="Z5" s="175" t="s">
        <v>419</v>
      </c>
      <c r="AA5" s="175" t="s">
        <v>632</v>
      </c>
      <c r="AB5" s="175" t="s">
        <v>419</v>
      </c>
      <c r="AC5" s="175" t="s">
        <v>419</v>
      </c>
      <c r="AD5" s="175" t="s">
        <v>419</v>
      </c>
      <c r="AE5" s="175" t="s">
        <v>419</v>
      </c>
      <c r="AF5" s="175" t="s">
        <v>213</v>
      </c>
      <c r="AG5" s="175">
        <v>1</v>
      </c>
      <c r="AH5" s="175" t="s">
        <v>640</v>
      </c>
      <c r="AI5" s="175" t="s">
        <v>640</v>
      </c>
      <c r="AJ5" s="175" t="s">
        <v>640</v>
      </c>
      <c r="AK5" s="175" t="s">
        <v>640</v>
      </c>
      <c r="AL5" s="1159" t="s">
        <v>419</v>
      </c>
      <c r="AM5" s="175" t="s">
        <v>419</v>
      </c>
      <c r="AN5" s="175" t="s">
        <v>419</v>
      </c>
      <c r="AO5" s="175" t="s">
        <v>419</v>
      </c>
      <c r="AP5" s="175">
        <v>24</v>
      </c>
      <c r="AQ5" s="175">
        <v>216</v>
      </c>
      <c r="AR5" s="175" t="s">
        <v>419</v>
      </c>
      <c r="AS5" s="192" t="s">
        <v>419</v>
      </c>
    </row>
    <row r="6" spans="1:45" ht="16.5" customHeight="1">
      <c r="A6" s="174">
        <v>46204</v>
      </c>
      <c r="B6" s="175" t="s">
        <v>217</v>
      </c>
      <c r="C6" s="175" t="s">
        <v>632</v>
      </c>
      <c r="E6" s="175" t="s">
        <v>419</v>
      </c>
      <c r="F6" s="175" t="s">
        <v>419</v>
      </c>
      <c r="G6" s="175" t="s">
        <v>419</v>
      </c>
      <c r="H6" s="175" t="s">
        <v>419</v>
      </c>
      <c r="I6" s="175" t="s">
        <v>419</v>
      </c>
      <c r="L6" s="175" t="s">
        <v>632</v>
      </c>
      <c r="P6" s="175" t="s">
        <v>632</v>
      </c>
      <c r="T6" s="175" t="s">
        <v>632</v>
      </c>
      <c r="X6" s="175" t="s">
        <v>632</v>
      </c>
      <c r="Z6" s="175" t="s">
        <v>419</v>
      </c>
      <c r="AA6" s="175" t="s">
        <v>632</v>
      </c>
      <c r="AB6" s="175" t="s">
        <v>419</v>
      </c>
      <c r="AC6" s="175" t="s">
        <v>419</v>
      </c>
      <c r="AD6" s="175" t="s">
        <v>419</v>
      </c>
      <c r="AE6" s="175" t="s">
        <v>419</v>
      </c>
      <c r="AF6" s="175" t="s">
        <v>213</v>
      </c>
      <c r="AG6" s="175">
        <v>1</v>
      </c>
      <c r="AH6" s="175" t="s">
        <v>640</v>
      </c>
      <c r="AI6" s="175" t="s">
        <v>640</v>
      </c>
      <c r="AJ6" s="175" t="s">
        <v>640</v>
      </c>
      <c r="AK6" s="175" t="s">
        <v>640</v>
      </c>
      <c r="AL6" s="1159" t="s">
        <v>419</v>
      </c>
      <c r="AM6" s="175" t="s">
        <v>419</v>
      </c>
      <c r="AN6" s="175" t="s">
        <v>419</v>
      </c>
      <c r="AO6" s="175" t="s">
        <v>419</v>
      </c>
      <c r="AP6" s="175">
        <v>24</v>
      </c>
      <c r="AQ6" s="175">
        <v>216</v>
      </c>
      <c r="AR6" s="175" t="s">
        <v>419</v>
      </c>
      <c r="AS6" s="192" t="s">
        <v>419</v>
      </c>
    </row>
    <row r="7" spans="1:45" ht="16.5" customHeight="1">
      <c r="A7" s="174">
        <v>46204</v>
      </c>
      <c r="B7" s="175" t="s">
        <v>218</v>
      </c>
      <c r="C7" s="175" t="s">
        <v>17221</v>
      </c>
      <c r="E7" s="175" t="s">
        <v>17237</v>
      </c>
      <c r="F7" s="175" t="s">
        <v>17229</v>
      </c>
      <c r="G7" s="175">
        <v>600</v>
      </c>
      <c r="H7" s="175" t="s">
        <v>15893</v>
      </c>
      <c r="I7" s="175">
        <v>5</v>
      </c>
      <c r="J7" s="175">
        <v>14</v>
      </c>
      <c r="K7" s="175">
        <v>0</v>
      </c>
      <c r="L7" s="175">
        <v>9466</v>
      </c>
      <c r="M7" s="175">
        <v>9360</v>
      </c>
      <c r="N7" s="175">
        <v>10</v>
      </c>
      <c r="O7" s="175">
        <v>0</v>
      </c>
      <c r="P7" s="175">
        <v>9617</v>
      </c>
      <c r="Q7" s="175">
        <v>9277</v>
      </c>
      <c r="R7" s="175">
        <v>14</v>
      </c>
      <c r="S7" s="175">
        <v>0</v>
      </c>
      <c r="T7" s="175">
        <v>9355</v>
      </c>
      <c r="U7" s="175">
        <v>9324</v>
      </c>
      <c r="V7" s="175">
        <v>16</v>
      </c>
      <c r="W7" s="175">
        <v>0</v>
      </c>
      <c r="X7" s="175">
        <v>9220</v>
      </c>
      <c r="Y7" s="175">
        <v>9434</v>
      </c>
      <c r="Z7" s="175">
        <v>2.8015564202334629</v>
      </c>
      <c r="AA7" s="175">
        <v>9</v>
      </c>
      <c r="AB7" s="175">
        <v>1</v>
      </c>
      <c r="AC7" s="175">
        <v>93.816249999999997</v>
      </c>
      <c r="AD7" s="175">
        <v>1.125</v>
      </c>
      <c r="AE7" s="175">
        <v>1.125</v>
      </c>
      <c r="AF7" s="175" t="s">
        <v>213</v>
      </c>
      <c r="AG7" s="175">
        <v>0.5</v>
      </c>
      <c r="AH7" s="175" t="s">
        <v>15376</v>
      </c>
      <c r="AL7" s="1159" t="s">
        <v>250</v>
      </c>
      <c r="AM7" s="175" t="s">
        <v>126</v>
      </c>
      <c r="AN7" s="175">
        <v>0.91100000000000003</v>
      </c>
      <c r="AO7" s="175">
        <v>1.7</v>
      </c>
      <c r="AP7" s="175">
        <v>24</v>
      </c>
      <c r="AQ7" s="175">
        <v>216</v>
      </c>
      <c r="AR7" s="175">
        <v>2.7</v>
      </c>
      <c r="AS7" s="192">
        <v>12751.084800000001</v>
      </c>
    </row>
    <row r="8" spans="1:45" ht="16.5" customHeight="1">
      <c r="A8" s="174">
        <v>46204</v>
      </c>
      <c r="B8" s="175" t="s">
        <v>219</v>
      </c>
      <c r="C8" s="175" t="s">
        <v>632</v>
      </c>
      <c r="E8" s="175" t="s">
        <v>419</v>
      </c>
      <c r="F8" s="175" t="s">
        <v>419</v>
      </c>
      <c r="G8" s="175" t="s">
        <v>419</v>
      </c>
      <c r="H8" s="175" t="s">
        <v>419</v>
      </c>
      <c r="I8" s="175" t="s">
        <v>419</v>
      </c>
      <c r="L8" s="175" t="s">
        <v>632</v>
      </c>
      <c r="P8" s="175" t="s">
        <v>632</v>
      </c>
      <c r="T8" s="175" t="s">
        <v>632</v>
      </c>
      <c r="X8" s="175" t="s">
        <v>632</v>
      </c>
      <c r="Z8" s="175" t="s">
        <v>419</v>
      </c>
      <c r="AA8" s="175" t="s">
        <v>632</v>
      </c>
      <c r="AB8" s="175" t="s">
        <v>419</v>
      </c>
      <c r="AC8" s="175" t="s">
        <v>419</v>
      </c>
      <c r="AD8" s="175" t="s">
        <v>419</v>
      </c>
      <c r="AE8" s="175" t="s">
        <v>419</v>
      </c>
      <c r="AF8" s="175" t="s">
        <v>213</v>
      </c>
      <c r="AG8" s="175">
        <v>1</v>
      </c>
      <c r="AH8" s="175" t="s">
        <v>640</v>
      </c>
      <c r="AI8" s="175" t="s">
        <v>640</v>
      </c>
      <c r="AJ8" s="175" t="s">
        <v>640</v>
      </c>
      <c r="AK8" s="175" t="s">
        <v>640</v>
      </c>
      <c r="AL8" s="1159" t="s">
        <v>419</v>
      </c>
      <c r="AM8" s="175" t="s">
        <v>419</v>
      </c>
      <c r="AN8" s="175" t="s">
        <v>419</v>
      </c>
      <c r="AO8" s="175" t="s">
        <v>419</v>
      </c>
      <c r="AP8" s="175">
        <v>24</v>
      </c>
      <c r="AQ8" s="175">
        <v>216</v>
      </c>
      <c r="AR8" s="175" t="s">
        <v>419</v>
      </c>
      <c r="AS8" s="192" t="s">
        <v>419</v>
      </c>
    </row>
    <row r="9" spans="1:45" ht="16.5" customHeight="1">
      <c r="A9" s="174">
        <v>46204</v>
      </c>
      <c r="B9" s="175" t="s">
        <v>220</v>
      </c>
      <c r="C9" s="175" t="s">
        <v>632</v>
      </c>
      <c r="E9" s="175" t="s">
        <v>419</v>
      </c>
      <c r="F9" s="175" t="s">
        <v>419</v>
      </c>
      <c r="G9" s="175" t="s">
        <v>419</v>
      </c>
      <c r="H9" s="175" t="s">
        <v>419</v>
      </c>
      <c r="I9" s="175" t="s">
        <v>419</v>
      </c>
      <c r="L9" s="175" t="s">
        <v>632</v>
      </c>
      <c r="P9" s="175" t="s">
        <v>632</v>
      </c>
      <c r="T9" s="175" t="s">
        <v>632</v>
      </c>
      <c r="X9" s="175" t="s">
        <v>632</v>
      </c>
      <c r="Z9" s="175" t="s">
        <v>419</v>
      </c>
      <c r="AA9" s="175" t="s">
        <v>632</v>
      </c>
      <c r="AB9" s="175" t="s">
        <v>419</v>
      </c>
      <c r="AC9" s="175" t="s">
        <v>419</v>
      </c>
      <c r="AD9" s="175" t="s">
        <v>419</v>
      </c>
      <c r="AE9" s="175" t="s">
        <v>419</v>
      </c>
      <c r="AF9" s="175" t="s">
        <v>213</v>
      </c>
      <c r="AG9" s="175">
        <v>1</v>
      </c>
      <c r="AH9" s="175" t="s">
        <v>640</v>
      </c>
      <c r="AI9" s="175" t="s">
        <v>640</v>
      </c>
      <c r="AJ9" s="175" t="s">
        <v>640</v>
      </c>
      <c r="AK9" s="175" t="s">
        <v>640</v>
      </c>
      <c r="AL9" s="1159" t="s">
        <v>419</v>
      </c>
      <c r="AM9" s="175" t="s">
        <v>419</v>
      </c>
      <c r="AN9" s="175" t="s">
        <v>419</v>
      </c>
      <c r="AO9" s="175" t="s">
        <v>419</v>
      </c>
      <c r="AP9" s="175">
        <v>24</v>
      </c>
      <c r="AQ9" s="175">
        <v>216</v>
      </c>
      <c r="AR9" s="175" t="s">
        <v>419</v>
      </c>
      <c r="AS9" s="192" t="s">
        <v>419</v>
      </c>
    </row>
    <row r="10" spans="1:45" ht="16.5" customHeight="1">
      <c r="A10" s="174">
        <v>46204</v>
      </c>
      <c r="B10" s="175" t="s">
        <v>221</v>
      </c>
      <c r="C10" s="175" t="s">
        <v>632</v>
      </c>
      <c r="E10" s="175" t="s">
        <v>419</v>
      </c>
      <c r="F10" s="175" t="s">
        <v>419</v>
      </c>
      <c r="G10" s="175" t="s">
        <v>419</v>
      </c>
      <c r="H10" s="175" t="s">
        <v>419</v>
      </c>
      <c r="I10" s="175" t="s">
        <v>419</v>
      </c>
      <c r="L10" s="175" t="s">
        <v>632</v>
      </c>
      <c r="P10" s="175" t="s">
        <v>632</v>
      </c>
      <c r="T10" s="175" t="s">
        <v>632</v>
      </c>
      <c r="X10" s="175" t="s">
        <v>632</v>
      </c>
      <c r="Z10" s="175" t="s">
        <v>419</v>
      </c>
      <c r="AA10" s="175" t="s">
        <v>632</v>
      </c>
      <c r="AB10" s="175" t="s">
        <v>419</v>
      </c>
      <c r="AC10" s="175" t="s">
        <v>419</v>
      </c>
      <c r="AD10" s="175" t="s">
        <v>419</v>
      </c>
      <c r="AE10" s="175" t="s">
        <v>419</v>
      </c>
      <c r="AF10" s="175" t="s">
        <v>213</v>
      </c>
      <c r="AG10" s="175">
        <v>1</v>
      </c>
      <c r="AH10" s="175" t="s">
        <v>640</v>
      </c>
      <c r="AI10" s="175" t="s">
        <v>640</v>
      </c>
      <c r="AJ10" s="175" t="s">
        <v>640</v>
      </c>
      <c r="AK10" s="175" t="s">
        <v>640</v>
      </c>
      <c r="AL10" s="1159" t="s">
        <v>419</v>
      </c>
      <c r="AM10" s="175" t="s">
        <v>419</v>
      </c>
      <c r="AN10" s="175" t="s">
        <v>419</v>
      </c>
      <c r="AO10" s="175" t="s">
        <v>419</v>
      </c>
      <c r="AP10" s="175">
        <v>24</v>
      </c>
      <c r="AQ10" s="175">
        <v>216</v>
      </c>
      <c r="AR10" s="175" t="s">
        <v>419</v>
      </c>
      <c r="AS10" s="192" t="s">
        <v>419</v>
      </c>
    </row>
    <row r="11" spans="1:45" ht="16.5" customHeight="1">
      <c r="A11" s="174">
        <v>46204</v>
      </c>
      <c r="B11" s="175" t="s">
        <v>222</v>
      </c>
      <c r="C11" s="175" t="s">
        <v>17261</v>
      </c>
      <c r="D11" s="175" t="s">
        <v>16748</v>
      </c>
      <c r="E11" s="175" t="s">
        <v>17177</v>
      </c>
      <c r="F11" s="175" t="s">
        <v>17262</v>
      </c>
      <c r="G11" s="175">
        <v>550</v>
      </c>
      <c r="H11" s="175" t="s">
        <v>762</v>
      </c>
      <c r="I11" s="175">
        <v>2</v>
      </c>
      <c r="J11" s="175">
        <v>11</v>
      </c>
      <c r="K11" s="175">
        <v>0</v>
      </c>
      <c r="L11" s="175">
        <v>9342</v>
      </c>
      <c r="M11" s="175" t="s">
        <v>632</v>
      </c>
      <c r="N11" s="175">
        <v>6</v>
      </c>
      <c r="O11" s="175">
        <v>0</v>
      </c>
      <c r="P11" s="175">
        <v>9338</v>
      </c>
      <c r="Q11" s="175" t="s">
        <v>632</v>
      </c>
      <c r="R11" s="175">
        <v>6</v>
      </c>
      <c r="S11" s="175">
        <v>0</v>
      </c>
      <c r="T11" s="175">
        <v>9333</v>
      </c>
      <c r="U11" s="175" t="s">
        <v>632</v>
      </c>
      <c r="V11" s="175">
        <v>17</v>
      </c>
      <c r="W11" s="175">
        <v>0</v>
      </c>
      <c r="X11" s="175">
        <v>9116</v>
      </c>
      <c r="Y11" s="175" t="s">
        <v>632</v>
      </c>
      <c r="Z11" s="175">
        <v>2.1492537313432836</v>
      </c>
      <c r="AA11" s="175">
        <v>26.666666666666668</v>
      </c>
      <c r="AB11" s="175">
        <v>1</v>
      </c>
      <c r="AC11" s="175">
        <v>92.822500000000005</v>
      </c>
      <c r="AD11" s="175">
        <v>3.3333333333333335</v>
      </c>
      <c r="AE11" s="175">
        <v>3.3333333333333335</v>
      </c>
      <c r="AF11" s="175" t="s">
        <v>213</v>
      </c>
      <c r="AG11" s="175">
        <v>2</v>
      </c>
      <c r="AH11" s="175" t="s">
        <v>15376</v>
      </c>
      <c r="AL11" s="1159" t="s">
        <v>250</v>
      </c>
      <c r="AM11" s="175" t="s">
        <v>126</v>
      </c>
      <c r="AN11" s="175">
        <v>0.91100000000000003</v>
      </c>
      <c r="AO11" s="175">
        <v>0.7</v>
      </c>
      <c r="AP11" s="175">
        <v>24</v>
      </c>
      <c r="AQ11" s="175">
        <v>216</v>
      </c>
      <c r="AR11" s="175">
        <v>1.7</v>
      </c>
      <c r="AS11" s="192">
        <v>8028.4608000000007</v>
      </c>
    </row>
    <row r="12" spans="1:45" ht="16.5" customHeight="1">
      <c r="A12" s="174">
        <v>46204</v>
      </c>
      <c r="B12" s="175" t="s">
        <v>223</v>
      </c>
      <c r="C12" s="175" t="s">
        <v>17263</v>
      </c>
      <c r="D12" s="175" t="s">
        <v>16748</v>
      </c>
      <c r="E12" s="175" t="s">
        <v>17156</v>
      </c>
      <c r="F12" s="175" t="s">
        <v>17264</v>
      </c>
      <c r="G12" s="175">
        <v>600</v>
      </c>
      <c r="H12" s="175" t="s">
        <v>456</v>
      </c>
      <c r="I12" s="175">
        <v>3</v>
      </c>
      <c r="J12" s="175">
        <v>9</v>
      </c>
      <c r="K12" s="175">
        <v>0</v>
      </c>
      <c r="L12" s="175">
        <v>7857</v>
      </c>
      <c r="M12" s="175" t="s">
        <v>632</v>
      </c>
      <c r="N12" s="175">
        <v>5</v>
      </c>
      <c r="O12" s="175">
        <v>0</v>
      </c>
      <c r="P12" s="175">
        <v>7808</v>
      </c>
      <c r="Q12" s="175" t="s">
        <v>632</v>
      </c>
      <c r="R12" s="175">
        <v>3</v>
      </c>
      <c r="S12" s="175">
        <v>0</v>
      </c>
      <c r="T12" s="175">
        <v>7920</v>
      </c>
      <c r="U12" s="175" t="s">
        <v>632</v>
      </c>
      <c r="V12" s="175">
        <v>6</v>
      </c>
      <c r="W12" s="175">
        <v>0</v>
      </c>
      <c r="X12" s="175">
        <v>7898</v>
      </c>
      <c r="Y12" s="175" t="s">
        <v>632</v>
      </c>
      <c r="Z12" s="175">
        <v>2.4</v>
      </c>
      <c r="AA12" s="175">
        <v>15.333333333333334</v>
      </c>
      <c r="AB12" s="175">
        <v>1</v>
      </c>
      <c r="AC12" s="175">
        <v>78.707499999999996</v>
      </c>
      <c r="AD12" s="175">
        <v>1.9166666666666667</v>
      </c>
      <c r="AE12" s="175">
        <v>1.9166666666666667</v>
      </c>
      <c r="AF12" s="175" t="s">
        <v>213</v>
      </c>
      <c r="AG12" s="175">
        <v>2</v>
      </c>
      <c r="AH12" s="175" t="s">
        <v>15376</v>
      </c>
      <c r="AL12" s="1159" t="s">
        <v>250</v>
      </c>
      <c r="AM12" s="175" t="s">
        <v>126</v>
      </c>
      <c r="AN12" s="175">
        <v>0.91100000000000003</v>
      </c>
      <c r="AO12" s="175">
        <v>0.8</v>
      </c>
      <c r="AP12" s="175">
        <v>24</v>
      </c>
      <c r="AQ12" s="175">
        <v>216</v>
      </c>
      <c r="AR12" s="175">
        <v>1.8</v>
      </c>
      <c r="AS12" s="192">
        <v>8500.7232000000004</v>
      </c>
    </row>
    <row r="13" spans="1:45" ht="16.5" customHeight="1">
      <c r="A13" s="174">
        <v>46204</v>
      </c>
      <c r="B13" s="175" t="s">
        <v>224</v>
      </c>
      <c r="C13" s="175" t="s">
        <v>17258</v>
      </c>
      <c r="E13" s="175" t="s">
        <v>8513</v>
      </c>
      <c r="F13" s="175" t="s">
        <v>17260</v>
      </c>
      <c r="G13" s="175">
        <v>550</v>
      </c>
      <c r="H13" s="175" t="s">
        <v>621</v>
      </c>
      <c r="I13" s="175">
        <v>5</v>
      </c>
      <c r="L13" s="175" t="s">
        <v>127</v>
      </c>
      <c r="M13" s="175" t="s">
        <v>632</v>
      </c>
      <c r="P13" s="175" t="s">
        <v>127</v>
      </c>
      <c r="Q13" s="175" t="s">
        <v>632</v>
      </c>
      <c r="T13" s="175" t="s">
        <v>127</v>
      </c>
      <c r="U13" s="175" t="s">
        <v>632</v>
      </c>
      <c r="Z13" s="175">
        <v>5.5598455598455603</v>
      </c>
      <c r="AA13" s="175" t="s">
        <v>127</v>
      </c>
      <c r="AB13" s="175" t="s">
        <v>419</v>
      </c>
      <c r="AC13" s="175" t="s">
        <v>419</v>
      </c>
      <c r="AD13" s="175" t="s">
        <v>419</v>
      </c>
      <c r="AE13" s="175" t="s">
        <v>419</v>
      </c>
      <c r="AF13" s="175" t="s">
        <v>213</v>
      </c>
      <c r="AG13" s="175">
        <v>0.5</v>
      </c>
      <c r="AH13" s="175" t="s">
        <v>15376</v>
      </c>
      <c r="AL13" s="1159" t="s">
        <v>250</v>
      </c>
      <c r="AM13" s="175" t="s">
        <v>126</v>
      </c>
      <c r="AN13" s="175">
        <v>0.91100000000000003</v>
      </c>
      <c r="AO13" s="175">
        <v>2</v>
      </c>
      <c r="AP13" s="175">
        <v>24</v>
      </c>
      <c r="AQ13" s="175">
        <v>216</v>
      </c>
      <c r="AR13" s="175">
        <v>3</v>
      </c>
      <c r="AS13" s="192">
        <v>14167.871999999999</v>
      </c>
    </row>
    <row r="14" spans="1:45" ht="16.5" customHeight="1">
      <c r="A14" s="174">
        <v>46204</v>
      </c>
      <c r="B14" s="175" t="s">
        <v>225</v>
      </c>
      <c r="C14" s="175" t="s">
        <v>632</v>
      </c>
      <c r="E14" s="175" t="s">
        <v>419</v>
      </c>
      <c r="F14" s="175" t="s">
        <v>419</v>
      </c>
      <c r="G14" s="175" t="s">
        <v>419</v>
      </c>
      <c r="H14" s="175" t="s">
        <v>419</v>
      </c>
      <c r="I14" s="175" t="s">
        <v>419</v>
      </c>
      <c r="L14" s="175" t="s">
        <v>632</v>
      </c>
      <c r="P14" s="175" t="s">
        <v>632</v>
      </c>
      <c r="T14" s="175" t="s">
        <v>632</v>
      </c>
      <c r="X14" s="175" t="s">
        <v>632</v>
      </c>
      <c r="Z14" s="175" t="s">
        <v>419</v>
      </c>
      <c r="AA14" s="175" t="s">
        <v>632</v>
      </c>
      <c r="AB14" s="175" t="s">
        <v>419</v>
      </c>
      <c r="AC14" s="175" t="s">
        <v>419</v>
      </c>
      <c r="AD14" s="175" t="s">
        <v>419</v>
      </c>
      <c r="AE14" s="175" t="s">
        <v>419</v>
      </c>
      <c r="AF14" s="175" t="s">
        <v>213</v>
      </c>
      <c r="AG14" s="175">
        <v>1</v>
      </c>
      <c r="AH14" s="175" t="s">
        <v>640</v>
      </c>
      <c r="AI14" s="175" t="s">
        <v>640</v>
      </c>
      <c r="AJ14" s="175" t="s">
        <v>640</v>
      </c>
      <c r="AK14" s="175" t="s">
        <v>640</v>
      </c>
      <c r="AL14" s="1159" t="s">
        <v>419</v>
      </c>
      <c r="AM14" s="175" t="s">
        <v>419</v>
      </c>
      <c r="AN14" s="175" t="s">
        <v>419</v>
      </c>
      <c r="AO14" s="175" t="s">
        <v>419</v>
      </c>
      <c r="AP14" s="175">
        <v>24</v>
      </c>
      <c r="AQ14" s="175">
        <v>216</v>
      </c>
      <c r="AR14" s="175" t="s">
        <v>419</v>
      </c>
      <c r="AS14" s="192" t="s">
        <v>419</v>
      </c>
    </row>
    <row r="15" spans="1:45" ht="16.5" customHeight="1">
      <c r="A15" s="174">
        <v>46204</v>
      </c>
      <c r="B15" s="175" t="s">
        <v>226</v>
      </c>
      <c r="C15" s="175" t="s">
        <v>632</v>
      </c>
      <c r="E15" s="175" t="s">
        <v>419</v>
      </c>
      <c r="F15" s="175" t="s">
        <v>419</v>
      </c>
      <c r="G15" s="175" t="s">
        <v>419</v>
      </c>
      <c r="H15" s="175" t="s">
        <v>419</v>
      </c>
      <c r="I15" s="175" t="s">
        <v>419</v>
      </c>
      <c r="L15" s="175" t="s">
        <v>632</v>
      </c>
      <c r="P15" s="175" t="s">
        <v>632</v>
      </c>
      <c r="T15" s="175" t="s">
        <v>632</v>
      </c>
      <c r="X15" s="175" t="s">
        <v>632</v>
      </c>
      <c r="Z15" s="175" t="s">
        <v>419</v>
      </c>
      <c r="AA15" s="175" t="s">
        <v>632</v>
      </c>
      <c r="AB15" s="175" t="s">
        <v>419</v>
      </c>
      <c r="AC15" s="175" t="s">
        <v>419</v>
      </c>
      <c r="AD15" s="175" t="s">
        <v>419</v>
      </c>
      <c r="AE15" s="175" t="s">
        <v>419</v>
      </c>
      <c r="AF15" s="175" t="s">
        <v>213</v>
      </c>
      <c r="AG15" s="175">
        <v>1</v>
      </c>
      <c r="AH15" s="175" t="s">
        <v>640</v>
      </c>
      <c r="AI15" s="175" t="s">
        <v>640</v>
      </c>
      <c r="AJ15" s="175" t="s">
        <v>640</v>
      </c>
      <c r="AK15" s="175" t="s">
        <v>640</v>
      </c>
      <c r="AL15" s="1159" t="s">
        <v>419</v>
      </c>
      <c r="AM15" s="175" t="s">
        <v>419</v>
      </c>
      <c r="AN15" s="175" t="s">
        <v>419</v>
      </c>
      <c r="AO15" s="175" t="s">
        <v>419</v>
      </c>
      <c r="AP15" s="175">
        <v>24</v>
      </c>
      <c r="AQ15" s="175">
        <v>216</v>
      </c>
      <c r="AR15" s="175" t="s">
        <v>419</v>
      </c>
      <c r="AS15" s="192" t="s">
        <v>419</v>
      </c>
    </row>
    <row r="16" spans="1:45" ht="16.5" customHeight="1">
      <c r="A16" s="174">
        <v>46204</v>
      </c>
      <c r="B16" s="175" t="s">
        <v>227</v>
      </c>
      <c r="C16" s="175" t="s">
        <v>632</v>
      </c>
      <c r="E16" s="175" t="s">
        <v>419</v>
      </c>
      <c r="F16" s="175" t="s">
        <v>419</v>
      </c>
      <c r="G16" s="175" t="s">
        <v>419</v>
      </c>
      <c r="H16" s="175" t="s">
        <v>419</v>
      </c>
      <c r="I16" s="175" t="s">
        <v>419</v>
      </c>
      <c r="L16" s="175" t="s">
        <v>632</v>
      </c>
      <c r="P16" s="175" t="s">
        <v>632</v>
      </c>
      <c r="T16" s="175" t="s">
        <v>632</v>
      </c>
      <c r="X16" s="175" t="s">
        <v>632</v>
      </c>
      <c r="Z16" s="175" t="s">
        <v>419</v>
      </c>
      <c r="AA16" s="175" t="s">
        <v>632</v>
      </c>
      <c r="AB16" s="175" t="s">
        <v>419</v>
      </c>
      <c r="AC16" s="175" t="s">
        <v>419</v>
      </c>
      <c r="AD16" s="175" t="s">
        <v>419</v>
      </c>
      <c r="AE16" s="175" t="s">
        <v>419</v>
      </c>
      <c r="AF16" s="175" t="s">
        <v>213</v>
      </c>
      <c r="AG16" s="175">
        <v>1</v>
      </c>
      <c r="AH16" s="175" t="s">
        <v>640</v>
      </c>
      <c r="AI16" s="175" t="s">
        <v>640</v>
      </c>
      <c r="AJ16" s="175" t="s">
        <v>640</v>
      </c>
      <c r="AK16" s="175" t="s">
        <v>640</v>
      </c>
      <c r="AL16" s="1159" t="s">
        <v>419</v>
      </c>
      <c r="AM16" s="175" t="s">
        <v>419</v>
      </c>
      <c r="AN16" s="175" t="s">
        <v>419</v>
      </c>
      <c r="AO16" s="175" t="s">
        <v>419</v>
      </c>
      <c r="AP16" s="175">
        <v>24</v>
      </c>
      <c r="AQ16" s="175">
        <v>216</v>
      </c>
      <c r="AR16" s="175" t="s">
        <v>419</v>
      </c>
      <c r="AS16" s="192" t="s">
        <v>419</v>
      </c>
    </row>
    <row r="17" spans="1:45" ht="16.5" customHeight="1">
      <c r="A17" s="174">
        <v>46204</v>
      </c>
      <c r="B17" s="175" t="s">
        <v>228</v>
      </c>
      <c r="C17" s="175" t="s">
        <v>17293</v>
      </c>
      <c r="E17" s="175" t="s">
        <v>7055</v>
      </c>
      <c r="F17" s="175" t="s">
        <v>17294</v>
      </c>
      <c r="G17" s="175">
        <v>550</v>
      </c>
      <c r="H17" s="175" t="s">
        <v>889</v>
      </c>
      <c r="I17" s="175">
        <v>5.5</v>
      </c>
      <c r="J17" s="175">
        <v>16</v>
      </c>
      <c r="K17" s="175">
        <v>0</v>
      </c>
      <c r="L17" s="175">
        <v>6233</v>
      </c>
      <c r="M17" s="175">
        <v>7360</v>
      </c>
      <c r="N17" s="175">
        <v>14</v>
      </c>
      <c r="O17" s="175">
        <v>0</v>
      </c>
      <c r="P17" s="175">
        <v>6299</v>
      </c>
      <c r="Q17" s="175">
        <v>7401</v>
      </c>
      <c r="R17" s="175">
        <v>12</v>
      </c>
      <c r="S17" s="175">
        <v>0</v>
      </c>
      <c r="T17" s="175">
        <v>6193</v>
      </c>
      <c r="U17" s="175">
        <v>7378</v>
      </c>
      <c r="V17" s="175">
        <v>26</v>
      </c>
      <c r="W17" s="175">
        <v>0</v>
      </c>
      <c r="X17" s="175">
        <v>5967</v>
      </c>
      <c r="Y17" s="175">
        <v>7230</v>
      </c>
      <c r="Z17" s="175">
        <v>4.7058823529411766</v>
      </c>
      <c r="AA17" s="175">
        <v>11.333333333333334</v>
      </c>
      <c r="AB17" s="175">
        <v>1</v>
      </c>
      <c r="AC17" s="175">
        <v>67.576250000000002</v>
      </c>
      <c r="AD17" s="175">
        <v>1.4166666666666667</v>
      </c>
      <c r="AE17" s="175">
        <v>1.4166666666666667</v>
      </c>
      <c r="AF17" s="175" t="s">
        <v>213</v>
      </c>
      <c r="AG17" s="175">
        <v>0.5</v>
      </c>
      <c r="AH17" s="175" t="s">
        <v>15376</v>
      </c>
      <c r="AL17" s="1159" t="s">
        <v>250</v>
      </c>
      <c r="AM17" s="175" t="s">
        <v>460</v>
      </c>
      <c r="AN17" s="175">
        <v>1.1890000000000001</v>
      </c>
      <c r="AO17" s="175">
        <v>1.9</v>
      </c>
      <c r="AP17" s="175">
        <v>24</v>
      </c>
      <c r="AQ17" s="175">
        <v>216</v>
      </c>
      <c r="AR17" s="175">
        <v>2.9</v>
      </c>
      <c r="AS17" s="192">
        <v>17874.950400000002</v>
      </c>
    </row>
    <row r="18" spans="1:45" ht="16.5" customHeight="1">
      <c r="A18" s="174">
        <v>46204</v>
      </c>
      <c r="B18" s="175" t="s">
        <v>229</v>
      </c>
      <c r="C18" s="175" t="s">
        <v>632</v>
      </c>
      <c r="E18" s="175" t="s">
        <v>419</v>
      </c>
      <c r="F18" s="175" t="s">
        <v>419</v>
      </c>
      <c r="G18" s="175" t="s">
        <v>419</v>
      </c>
      <c r="H18" s="175" t="s">
        <v>419</v>
      </c>
      <c r="I18" s="175" t="s">
        <v>419</v>
      </c>
      <c r="L18" s="175" t="s">
        <v>632</v>
      </c>
      <c r="P18" s="175" t="s">
        <v>632</v>
      </c>
      <c r="T18" s="175" t="s">
        <v>632</v>
      </c>
      <c r="X18" s="175" t="s">
        <v>632</v>
      </c>
      <c r="Z18" s="175" t="s">
        <v>419</v>
      </c>
      <c r="AA18" s="175" t="s">
        <v>632</v>
      </c>
      <c r="AB18" s="175" t="s">
        <v>419</v>
      </c>
      <c r="AC18" s="175" t="s">
        <v>419</v>
      </c>
      <c r="AD18" s="175" t="s">
        <v>419</v>
      </c>
      <c r="AE18" s="175" t="s">
        <v>419</v>
      </c>
      <c r="AF18" s="175" t="s">
        <v>213</v>
      </c>
      <c r="AG18" s="175">
        <v>1</v>
      </c>
      <c r="AH18" s="175" t="s">
        <v>640</v>
      </c>
      <c r="AI18" s="175" t="s">
        <v>640</v>
      </c>
      <c r="AJ18" s="175" t="s">
        <v>640</v>
      </c>
      <c r="AK18" s="175" t="s">
        <v>640</v>
      </c>
      <c r="AL18" s="1159" t="s">
        <v>419</v>
      </c>
      <c r="AM18" s="175" t="s">
        <v>419</v>
      </c>
      <c r="AN18" s="175" t="s">
        <v>419</v>
      </c>
      <c r="AO18" s="175" t="s">
        <v>419</v>
      </c>
      <c r="AP18" s="175">
        <v>24</v>
      </c>
      <c r="AQ18" s="175">
        <v>216</v>
      </c>
      <c r="AR18" s="175" t="s">
        <v>419</v>
      </c>
      <c r="AS18" s="192" t="s">
        <v>419</v>
      </c>
    </row>
    <row r="19" spans="1:45" ht="16.5" customHeight="1">
      <c r="A19" s="174">
        <v>46204</v>
      </c>
      <c r="B19" s="175" t="s">
        <v>230</v>
      </c>
      <c r="C19" s="175" t="s">
        <v>632</v>
      </c>
      <c r="E19" s="175" t="s">
        <v>419</v>
      </c>
      <c r="F19" s="175" t="s">
        <v>419</v>
      </c>
      <c r="G19" s="175" t="s">
        <v>419</v>
      </c>
      <c r="H19" s="175" t="s">
        <v>419</v>
      </c>
      <c r="I19" s="175" t="s">
        <v>419</v>
      </c>
      <c r="L19" s="175" t="s">
        <v>632</v>
      </c>
      <c r="P19" s="175" t="s">
        <v>632</v>
      </c>
      <c r="T19" s="175" t="s">
        <v>632</v>
      </c>
      <c r="X19" s="175" t="s">
        <v>632</v>
      </c>
      <c r="Z19" s="175" t="s">
        <v>419</v>
      </c>
      <c r="AA19" s="175" t="s">
        <v>632</v>
      </c>
      <c r="AB19" s="175" t="s">
        <v>419</v>
      </c>
      <c r="AC19" s="175" t="s">
        <v>419</v>
      </c>
      <c r="AD19" s="175" t="s">
        <v>419</v>
      </c>
      <c r="AE19" s="175" t="s">
        <v>419</v>
      </c>
      <c r="AF19" s="175" t="s">
        <v>213</v>
      </c>
      <c r="AG19" s="175">
        <v>1</v>
      </c>
      <c r="AH19" s="175" t="s">
        <v>640</v>
      </c>
      <c r="AI19" s="175" t="s">
        <v>640</v>
      </c>
      <c r="AJ19" s="175" t="s">
        <v>640</v>
      </c>
      <c r="AK19" s="175" t="s">
        <v>640</v>
      </c>
      <c r="AL19" s="1159" t="s">
        <v>419</v>
      </c>
      <c r="AM19" s="175" t="s">
        <v>419</v>
      </c>
      <c r="AN19" s="175" t="s">
        <v>419</v>
      </c>
      <c r="AO19" s="175" t="s">
        <v>419</v>
      </c>
      <c r="AP19" s="175">
        <v>24</v>
      </c>
      <c r="AQ19" s="175">
        <v>216</v>
      </c>
      <c r="AR19" s="175" t="s">
        <v>419</v>
      </c>
      <c r="AS19" s="192" t="s">
        <v>419</v>
      </c>
    </row>
    <row r="20" spans="1:45" ht="16.5" customHeight="1">
      <c r="A20" s="174">
        <v>46204</v>
      </c>
      <c r="B20" s="175" t="s">
        <v>231</v>
      </c>
      <c r="C20" s="175" t="s">
        <v>632</v>
      </c>
      <c r="E20" s="175" t="s">
        <v>419</v>
      </c>
      <c r="F20" s="175" t="s">
        <v>419</v>
      </c>
      <c r="G20" s="175" t="s">
        <v>419</v>
      </c>
      <c r="H20" s="175" t="s">
        <v>419</v>
      </c>
      <c r="I20" s="175" t="s">
        <v>419</v>
      </c>
      <c r="L20" s="175" t="s">
        <v>632</v>
      </c>
      <c r="P20" s="175" t="s">
        <v>632</v>
      </c>
      <c r="T20" s="175" t="s">
        <v>632</v>
      </c>
      <c r="X20" s="175" t="s">
        <v>632</v>
      </c>
      <c r="Z20" s="175" t="s">
        <v>419</v>
      </c>
      <c r="AA20" s="175" t="s">
        <v>632</v>
      </c>
      <c r="AB20" s="175" t="s">
        <v>419</v>
      </c>
      <c r="AC20" s="175" t="s">
        <v>419</v>
      </c>
      <c r="AD20" s="175" t="s">
        <v>419</v>
      </c>
      <c r="AE20" s="175" t="s">
        <v>419</v>
      </c>
      <c r="AF20" s="175" t="s">
        <v>232</v>
      </c>
      <c r="AG20" s="175">
        <v>1</v>
      </c>
      <c r="AH20" s="175" t="s">
        <v>640</v>
      </c>
      <c r="AI20" s="175" t="s">
        <v>640</v>
      </c>
      <c r="AJ20" s="175" t="s">
        <v>640</v>
      </c>
      <c r="AK20" s="175" t="s">
        <v>640</v>
      </c>
      <c r="AL20" s="1159" t="s">
        <v>419</v>
      </c>
      <c r="AM20" s="175" t="s">
        <v>419</v>
      </c>
      <c r="AN20" s="175" t="s">
        <v>419</v>
      </c>
      <c r="AO20" s="175" t="s">
        <v>419</v>
      </c>
      <c r="AP20" s="175">
        <v>24</v>
      </c>
      <c r="AQ20" s="175">
        <v>216</v>
      </c>
      <c r="AR20" s="175" t="s">
        <v>419</v>
      </c>
      <c r="AS20" s="192" t="s">
        <v>419</v>
      </c>
    </row>
    <row r="21" spans="1:45" ht="16.5" customHeight="1">
      <c r="A21" s="174">
        <v>46204</v>
      </c>
      <c r="B21" s="175" t="s">
        <v>233</v>
      </c>
      <c r="C21" s="175" t="s">
        <v>17268</v>
      </c>
      <c r="D21" s="175" t="s">
        <v>633</v>
      </c>
      <c r="E21" s="175" t="s">
        <v>16719</v>
      </c>
      <c r="F21" s="175" t="s">
        <v>17253</v>
      </c>
      <c r="G21" s="175">
        <v>600</v>
      </c>
      <c r="H21" s="175" t="s">
        <v>723</v>
      </c>
      <c r="I21" s="175">
        <v>5.5</v>
      </c>
      <c r="J21" s="175">
        <v>23</v>
      </c>
      <c r="K21" s="175">
        <v>8</v>
      </c>
      <c r="L21" s="175">
        <v>7180</v>
      </c>
      <c r="N21" s="175">
        <v>6</v>
      </c>
      <c r="O21" s="175">
        <v>3</v>
      </c>
      <c r="P21" s="175">
        <v>7150</v>
      </c>
      <c r="R21" s="175">
        <v>12</v>
      </c>
      <c r="S21" s="175">
        <v>5</v>
      </c>
      <c r="T21" s="175">
        <v>7090</v>
      </c>
      <c r="V21" s="175">
        <v>19</v>
      </c>
      <c r="W21" s="175">
        <v>5</v>
      </c>
      <c r="X21" s="175">
        <v>6990</v>
      </c>
      <c r="Z21" s="175">
        <v>5.0526315789473681</v>
      </c>
      <c r="AA21" s="175">
        <v>20</v>
      </c>
      <c r="AB21" s="175">
        <v>0.98001802884615385</v>
      </c>
      <c r="AC21" s="175">
        <v>71.025000000000006</v>
      </c>
      <c r="AD21" s="175">
        <v>2.5</v>
      </c>
      <c r="AE21" s="175">
        <v>1.625</v>
      </c>
      <c r="AF21" s="175" t="s">
        <v>232</v>
      </c>
      <c r="AG21" s="175">
        <v>1</v>
      </c>
      <c r="AH21" s="175" t="s">
        <v>637</v>
      </c>
      <c r="AL21" s="1159" t="s">
        <v>250</v>
      </c>
      <c r="AM21" s="175" t="s">
        <v>643</v>
      </c>
      <c r="AN21" s="175">
        <v>1.859</v>
      </c>
      <c r="AO21" s="175">
        <v>2.1</v>
      </c>
      <c r="AP21" s="175">
        <v>24</v>
      </c>
      <c r="AQ21" s="175">
        <v>216</v>
      </c>
      <c r="AR21" s="175">
        <v>3.1</v>
      </c>
      <c r="AS21" s="192">
        <v>29874.873599999999</v>
      </c>
    </row>
    <row r="22" spans="1:45" ht="16.5" customHeight="1">
      <c r="A22" s="174">
        <v>46204</v>
      </c>
      <c r="B22" s="175" t="s">
        <v>234</v>
      </c>
      <c r="C22" s="175" t="s">
        <v>632</v>
      </c>
      <c r="E22" s="175" t="s">
        <v>419</v>
      </c>
      <c r="F22" s="175" t="s">
        <v>419</v>
      </c>
      <c r="G22" s="175" t="s">
        <v>419</v>
      </c>
      <c r="H22" s="175" t="s">
        <v>419</v>
      </c>
      <c r="I22" s="175" t="s">
        <v>419</v>
      </c>
      <c r="L22" s="175" t="s">
        <v>632</v>
      </c>
      <c r="P22" s="175" t="s">
        <v>632</v>
      </c>
      <c r="T22" s="175" t="s">
        <v>632</v>
      </c>
      <c r="X22" s="175" t="s">
        <v>632</v>
      </c>
      <c r="Z22" s="175" t="s">
        <v>419</v>
      </c>
      <c r="AA22" s="175" t="s">
        <v>632</v>
      </c>
      <c r="AB22" s="175" t="s">
        <v>419</v>
      </c>
      <c r="AC22" s="175" t="s">
        <v>419</v>
      </c>
      <c r="AD22" s="175" t="s">
        <v>419</v>
      </c>
      <c r="AE22" s="175" t="s">
        <v>419</v>
      </c>
      <c r="AF22" s="175" t="s">
        <v>232</v>
      </c>
      <c r="AG22" s="175">
        <v>1</v>
      </c>
      <c r="AH22" s="175" t="s">
        <v>640</v>
      </c>
      <c r="AI22" s="175" t="s">
        <v>640</v>
      </c>
      <c r="AJ22" s="175" t="s">
        <v>640</v>
      </c>
      <c r="AK22" s="175" t="s">
        <v>640</v>
      </c>
      <c r="AL22" s="1159" t="s">
        <v>419</v>
      </c>
      <c r="AM22" s="175" t="s">
        <v>419</v>
      </c>
      <c r="AN22" s="175" t="s">
        <v>419</v>
      </c>
      <c r="AO22" s="175" t="s">
        <v>419</v>
      </c>
      <c r="AP22" s="175">
        <v>24</v>
      </c>
      <c r="AQ22" s="175">
        <v>216</v>
      </c>
      <c r="AR22" s="175" t="s">
        <v>419</v>
      </c>
      <c r="AS22" s="192" t="s">
        <v>419</v>
      </c>
    </row>
    <row r="23" spans="1:45" ht="16.5" customHeight="1">
      <c r="A23" s="174">
        <v>46204</v>
      </c>
      <c r="B23" s="175" t="s">
        <v>235</v>
      </c>
      <c r="C23" s="175" t="s">
        <v>17289</v>
      </c>
      <c r="D23" s="175" t="s">
        <v>633</v>
      </c>
      <c r="E23" s="175" t="s">
        <v>16719</v>
      </c>
      <c r="F23" s="175" t="s">
        <v>17290</v>
      </c>
      <c r="G23" s="175">
        <v>700</v>
      </c>
      <c r="H23" s="175" t="s">
        <v>776</v>
      </c>
      <c r="I23" s="175">
        <v>5.5</v>
      </c>
      <c r="J23" s="175">
        <v>55</v>
      </c>
      <c r="K23" s="175">
        <v>10</v>
      </c>
      <c r="L23" s="175">
        <v>9070</v>
      </c>
      <c r="M23" s="175">
        <v>9440</v>
      </c>
      <c r="N23" s="175">
        <v>21</v>
      </c>
      <c r="O23" s="175">
        <v>0</v>
      </c>
      <c r="P23" s="175">
        <v>9350</v>
      </c>
      <c r="Q23" s="175">
        <v>9540</v>
      </c>
      <c r="R23" s="175">
        <v>15</v>
      </c>
      <c r="S23" s="175">
        <v>0</v>
      </c>
      <c r="T23" s="175">
        <v>9260</v>
      </c>
      <c r="U23" s="175">
        <v>9630</v>
      </c>
      <c r="V23" s="175">
        <v>33</v>
      </c>
      <c r="W23" s="175">
        <v>5</v>
      </c>
      <c r="X23" s="175">
        <v>9350</v>
      </c>
      <c r="Y23" s="175">
        <v>9910</v>
      </c>
      <c r="Z23" s="175">
        <v>5.8775510204081636</v>
      </c>
      <c r="AA23" s="175">
        <v>41.333333333333336</v>
      </c>
      <c r="AB23" s="175">
        <v>0.98773036858974361</v>
      </c>
      <c r="AC23" s="175">
        <v>94.4375</v>
      </c>
      <c r="AD23" s="175">
        <v>5.166666666666667</v>
      </c>
      <c r="AE23" s="175">
        <v>4.541666666666667</v>
      </c>
      <c r="AF23" s="175" t="s">
        <v>236</v>
      </c>
      <c r="AG23" s="175">
        <v>1</v>
      </c>
      <c r="AH23" s="175" t="s">
        <v>15337</v>
      </c>
      <c r="AL23" s="1159" t="s">
        <v>251</v>
      </c>
      <c r="AM23" s="175" t="s">
        <v>460</v>
      </c>
      <c r="AN23" s="175">
        <v>1.1890000000000001</v>
      </c>
      <c r="AO23" s="175">
        <v>3</v>
      </c>
      <c r="AP23" s="175">
        <v>24</v>
      </c>
      <c r="AQ23" s="175">
        <v>216</v>
      </c>
      <c r="AR23" s="175">
        <v>4</v>
      </c>
      <c r="AS23" s="192">
        <v>24655.103999999999</v>
      </c>
    </row>
    <row r="24" spans="1:45" ht="16.5" customHeight="1">
      <c r="A24" s="174">
        <v>46204</v>
      </c>
      <c r="B24" s="175" t="s">
        <v>237</v>
      </c>
      <c r="C24" s="175" t="s">
        <v>17251</v>
      </c>
      <c r="D24" s="175" t="s">
        <v>633</v>
      </c>
      <c r="E24" s="175" t="s">
        <v>16719</v>
      </c>
      <c r="F24" s="175" t="s">
        <v>17253</v>
      </c>
      <c r="G24" s="175">
        <v>700</v>
      </c>
      <c r="H24" s="175" t="s">
        <v>646</v>
      </c>
      <c r="I24" s="175">
        <v>5.5</v>
      </c>
      <c r="J24" s="175">
        <v>37</v>
      </c>
      <c r="K24" s="175">
        <v>1</v>
      </c>
      <c r="L24" s="175">
        <v>8700</v>
      </c>
      <c r="M24" s="175">
        <v>8520</v>
      </c>
      <c r="N24" s="175">
        <v>31</v>
      </c>
      <c r="O24" s="175">
        <v>4</v>
      </c>
      <c r="P24" s="175">
        <v>8980</v>
      </c>
      <c r="Q24" s="175">
        <v>8800</v>
      </c>
      <c r="R24" s="175">
        <v>26</v>
      </c>
      <c r="S24" s="175">
        <v>0</v>
      </c>
      <c r="T24" s="175">
        <v>9260</v>
      </c>
      <c r="U24" s="175">
        <v>8800</v>
      </c>
      <c r="V24" s="175">
        <v>52</v>
      </c>
      <c r="W24" s="175">
        <v>0</v>
      </c>
      <c r="X24" s="175">
        <v>9170</v>
      </c>
      <c r="Y24" s="175">
        <v>8980</v>
      </c>
      <c r="Z24" s="175">
        <v>5.8775510204081636</v>
      </c>
      <c r="AA24" s="175">
        <v>48.666666666666664</v>
      </c>
      <c r="AB24" s="175">
        <v>0.99591012286324787</v>
      </c>
      <c r="AC24" s="175">
        <v>89.012500000000003</v>
      </c>
      <c r="AD24" s="175">
        <v>6.083333333333333</v>
      </c>
      <c r="AE24" s="175">
        <v>5.875</v>
      </c>
      <c r="AF24" s="175" t="s">
        <v>236</v>
      </c>
      <c r="AG24" s="175">
        <v>1</v>
      </c>
      <c r="AH24" s="175" t="s">
        <v>638</v>
      </c>
      <c r="AL24" s="1159" t="s">
        <v>250</v>
      </c>
      <c r="AM24" s="175" t="s">
        <v>460</v>
      </c>
      <c r="AN24" s="175">
        <v>1.1890000000000001</v>
      </c>
      <c r="AO24" s="175">
        <v>2.9</v>
      </c>
      <c r="AP24" s="175">
        <v>24</v>
      </c>
      <c r="AQ24" s="175">
        <v>216</v>
      </c>
      <c r="AR24" s="175">
        <v>3.9</v>
      </c>
      <c r="AS24" s="192">
        <v>24038.7264</v>
      </c>
    </row>
    <row r="25" spans="1:45" ht="16.5" customHeight="1">
      <c r="A25" s="174">
        <v>46204</v>
      </c>
      <c r="B25" s="175" t="s">
        <v>238</v>
      </c>
      <c r="C25" s="175" t="s">
        <v>17248</v>
      </c>
      <c r="D25" s="175" t="s">
        <v>633</v>
      </c>
      <c r="E25" s="175" t="s">
        <v>16719</v>
      </c>
      <c r="F25" s="175" t="s">
        <v>17249</v>
      </c>
      <c r="G25" s="175">
        <v>600</v>
      </c>
      <c r="H25" s="175" t="s">
        <v>877</v>
      </c>
      <c r="I25" s="175">
        <v>5.5</v>
      </c>
      <c r="J25" s="175">
        <v>27</v>
      </c>
      <c r="K25" s="175">
        <v>0</v>
      </c>
      <c r="L25" s="175">
        <v>8800</v>
      </c>
      <c r="M25" s="175">
        <v>8980</v>
      </c>
      <c r="N25" s="175">
        <v>22</v>
      </c>
      <c r="O25" s="175">
        <v>0</v>
      </c>
      <c r="P25" s="175">
        <v>8330</v>
      </c>
      <c r="Q25" s="175">
        <v>8430</v>
      </c>
      <c r="R25" s="175">
        <v>37</v>
      </c>
      <c r="S25" s="175">
        <v>1</v>
      </c>
      <c r="T25" s="175">
        <v>9750</v>
      </c>
      <c r="U25" s="175">
        <v>9720</v>
      </c>
      <c r="V25" s="175">
        <v>30</v>
      </c>
      <c r="W25" s="175">
        <v>4</v>
      </c>
      <c r="X25" s="175">
        <v>9350</v>
      </c>
      <c r="Y25" s="175">
        <v>9720</v>
      </c>
      <c r="Z25" s="175">
        <v>5.034965034965035</v>
      </c>
      <c r="AA25" s="175">
        <v>38.666666666666664</v>
      </c>
      <c r="AB25" s="175">
        <v>0.99522569444444442</v>
      </c>
      <c r="AC25" s="175">
        <v>91.35</v>
      </c>
      <c r="AD25" s="175">
        <v>4.833333333333333</v>
      </c>
      <c r="AE25" s="175">
        <v>4.625</v>
      </c>
      <c r="AF25" s="175" t="s">
        <v>236</v>
      </c>
      <c r="AG25" s="175">
        <v>1</v>
      </c>
      <c r="AH25" s="175" t="s">
        <v>15337</v>
      </c>
      <c r="AL25" s="1159" t="s">
        <v>251</v>
      </c>
      <c r="AM25" s="175" t="s">
        <v>460</v>
      </c>
      <c r="AN25" s="175">
        <v>1.1890000000000001</v>
      </c>
      <c r="AO25" s="175">
        <v>3</v>
      </c>
      <c r="AP25" s="175">
        <v>24</v>
      </c>
      <c r="AQ25" s="175">
        <v>216</v>
      </c>
      <c r="AR25" s="175">
        <v>4</v>
      </c>
      <c r="AS25" s="192">
        <v>24655.103999999999</v>
      </c>
    </row>
    <row r="26" spans="1:45" ht="16.5" customHeight="1">
      <c r="A26" s="174">
        <v>46204</v>
      </c>
      <c r="B26" s="175" t="s">
        <v>239</v>
      </c>
      <c r="C26" s="175" t="s">
        <v>17266</v>
      </c>
      <c r="E26" s="175" t="s">
        <v>754</v>
      </c>
      <c r="F26" s="175" t="s">
        <v>17267</v>
      </c>
      <c r="G26" s="175">
        <v>600</v>
      </c>
      <c r="H26" s="175" t="s">
        <v>842</v>
      </c>
      <c r="I26" s="175">
        <v>4</v>
      </c>
      <c r="J26" s="175">
        <v>18</v>
      </c>
      <c r="K26" s="175">
        <v>1</v>
      </c>
      <c r="L26" s="175">
        <v>9260</v>
      </c>
      <c r="N26" s="175">
        <v>8</v>
      </c>
      <c r="O26" s="175">
        <v>0</v>
      </c>
      <c r="P26" s="175">
        <v>9260</v>
      </c>
      <c r="R26" s="175">
        <v>7</v>
      </c>
      <c r="S26" s="175">
        <v>0</v>
      </c>
      <c r="T26" s="175">
        <v>9540</v>
      </c>
      <c r="V26" s="175">
        <v>10</v>
      </c>
      <c r="W26" s="175">
        <v>0</v>
      </c>
      <c r="X26" s="175">
        <v>9540</v>
      </c>
      <c r="Z26" s="175">
        <v>3.6</v>
      </c>
      <c r="AA26" s="175">
        <v>28.666666666666668</v>
      </c>
      <c r="AB26" s="175">
        <v>0.99866452991452992</v>
      </c>
      <c r="AC26" s="175">
        <v>94</v>
      </c>
      <c r="AD26" s="175">
        <v>3.5833333333333335</v>
      </c>
      <c r="AE26" s="175">
        <v>3.5</v>
      </c>
      <c r="AF26" s="175" t="s">
        <v>236</v>
      </c>
      <c r="AG26" s="175">
        <v>2</v>
      </c>
      <c r="AH26" s="175" t="s">
        <v>638</v>
      </c>
      <c r="AL26" s="1159" t="s">
        <v>251</v>
      </c>
      <c r="AM26" s="175" t="s">
        <v>126</v>
      </c>
      <c r="AN26" s="175">
        <v>0.91100000000000003</v>
      </c>
      <c r="AO26" s="175">
        <v>1.5</v>
      </c>
      <c r="AP26" s="175">
        <v>24</v>
      </c>
      <c r="AQ26" s="175">
        <v>216</v>
      </c>
      <c r="AR26" s="175">
        <v>2.5</v>
      </c>
      <c r="AS26" s="192">
        <v>11806.560000000001</v>
      </c>
    </row>
    <row r="27" spans="1:45" ht="16.5" customHeight="1">
      <c r="A27" s="174">
        <v>46204</v>
      </c>
      <c r="B27" s="175" t="s">
        <v>239</v>
      </c>
      <c r="C27" s="175" t="s">
        <v>17241</v>
      </c>
      <c r="E27" s="175" t="s">
        <v>16723</v>
      </c>
      <c r="F27" s="175" t="s">
        <v>17243</v>
      </c>
      <c r="G27" s="175">
        <v>550</v>
      </c>
      <c r="H27" s="175" t="s">
        <v>868</v>
      </c>
      <c r="I27" s="175">
        <v>5.5</v>
      </c>
      <c r="J27" s="175">
        <v>17</v>
      </c>
      <c r="K27" s="175">
        <v>4</v>
      </c>
      <c r="L27" s="175">
        <v>9630</v>
      </c>
      <c r="N27" s="175">
        <v>12</v>
      </c>
      <c r="O27" s="175">
        <v>3</v>
      </c>
      <c r="Q27" s="175">
        <v>9540</v>
      </c>
      <c r="R27" s="175">
        <v>12</v>
      </c>
      <c r="S27" s="175">
        <v>0</v>
      </c>
      <c r="T27" s="175">
        <v>9910</v>
      </c>
      <c r="V27" s="175">
        <v>27</v>
      </c>
      <c r="W27" s="175">
        <v>0</v>
      </c>
      <c r="X27" s="175">
        <v>9910</v>
      </c>
      <c r="Z27" s="175">
        <v>6.6055045871559646</v>
      </c>
      <c r="AA27" s="175">
        <v>45.333333333333336</v>
      </c>
      <c r="AB27" s="175">
        <v>0.9949051816239316</v>
      </c>
      <c r="AC27" s="175">
        <v>97.474999999999994</v>
      </c>
      <c r="AD27" s="175">
        <v>5.666666666666667</v>
      </c>
      <c r="AE27" s="175">
        <v>5.083333333333333</v>
      </c>
      <c r="AF27" s="175" t="s">
        <v>236</v>
      </c>
      <c r="AG27" s="175">
        <v>2</v>
      </c>
      <c r="AH27" s="175" t="s">
        <v>638</v>
      </c>
      <c r="AM27" s="175" t="s">
        <v>643</v>
      </c>
      <c r="AN27" s="175">
        <v>1.859</v>
      </c>
      <c r="AO27" s="175">
        <v>3.3</v>
      </c>
      <c r="AP27" s="175">
        <v>24</v>
      </c>
      <c r="AQ27" s="175">
        <v>216</v>
      </c>
      <c r="AR27" s="175">
        <v>4.3</v>
      </c>
      <c r="AS27" s="192">
        <v>41439.340799999998</v>
      </c>
    </row>
    <row r="28" spans="1:45" ht="16.5" customHeight="1">
      <c r="A28" s="174">
        <v>46204</v>
      </c>
      <c r="B28" s="175" t="s">
        <v>388</v>
      </c>
      <c r="C28" s="175" t="s">
        <v>17296</v>
      </c>
      <c r="D28" s="175" t="s">
        <v>633</v>
      </c>
      <c r="E28" s="175" t="s">
        <v>16719</v>
      </c>
      <c r="F28" s="175" t="s">
        <v>17290</v>
      </c>
      <c r="G28" s="175">
        <v>700</v>
      </c>
      <c r="H28" s="175" t="s">
        <v>15541</v>
      </c>
      <c r="I28" s="175">
        <v>5.5</v>
      </c>
      <c r="J28" s="175">
        <v>27</v>
      </c>
      <c r="K28" s="175">
        <v>0</v>
      </c>
      <c r="L28" s="175" t="s">
        <v>17315</v>
      </c>
      <c r="M28" s="175">
        <v>10000</v>
      </c>
      <c r="N28" s="175">
        <v>10</v>
      </c>
      <c r="O28" s="175">
        <v>0</v>
      </c>
      <c r="P28" s="175" t="s">
        <v>632</v>
      </c>
      <c r="Q28" s="175">
        <v>10000</v>
      </c>
      <c r="R28" s="175">
        <v>4</v>
      </c>
      <c r="S28" s="175">
        <v>0</v>
      </c>
      <c r="T28" s="175" t="s">
        <v>632</v>
      </c>
      <c r="U28" s="175">
        <v>10000</v>
      </c>
      <c r="V28" s="175">
        <v>7</v>
      </c>
      <c r="W28" s="175">
        <v>0</v>
      </c>
      <c r="X28" s="175" t="s">
        <v>632</v>
      </c>
      <c r="Y28" s="175">
        <v>10000</v>
      </c>
      <c r="Z28" s="175">
        <v>5.8299595141700413</v>
      </c>
      <c r="AA28" s="175">
        <v>32</v>
      </c>
      <c r="AB28" s="175">
        <v>1</v>
      </c>
      <c r="AC28" s="175">
        <v>100</v>
      </c>
      <c r="AD28" s="175">
        <v>4</v>
      </c>
      <c r="AE28" s="175">
        <v>4</v>
      </c>
      <c r="AF28" s="175" t="s">
        <v>236</v>
      </c>
      <c r="AG28" s="175">
        <v>2</v>
      </c>
      <c r="AH28" s="175" t="s">
        <v>15337</v>
      </c>
      <c r="AL28" s="1159" t="s">
        <v>251</v>
      </c>
      <c r="AM28" s="175" t="s">
        <v>460</v>
      </c>
      <c r="AN28" s="175">
        <v>1.1890000000000001</v>
      </c>
      <c r="AO28" s="175">
        <v>2.8</v>
      </c>
      <c r="AP28" s="175">
        <v>24</v>
      </c>
      <c r="AQ28" s="175">
        <v>216</v>
      </c>
      <c r="AR28" s="175">
        <v>3.8</v>
      </c>
      <c r="AS28" s="192">
        <v>23422.3488</v>
      </c>
    </row>
    <row r="29" spans="1:45" ht="16.5" customHeight="1">
      <c r="A29" s="174">
        <v>46204</v>
      </c>
      <c r="B29" s="175" t="s">
        <v>417</v>
      </c>
      <c r="C29" s="175" t="s">
        <v>17291</v>
      </c>
      <c r="D29" s="175" t="s">
        <v>633</v>
      </c>
      <c r="E29" s="175" t="s">
        <v>16719</v>
      </c>
      <c r="F29" s="175" t="s">
        <v>17290</v>
      </c>
      <c r="G29" s="175">
        <v>700</v>
      </c>
      <c r="H29" s="175" t="s">
        <v>724</v>
      </c>
      <c r="I29" s="175">
        <v>5.5</v>
      </c>
      <c r="J29" s="175">
        <v>39</v>
      </c>
      <c r="K29" s="175">
        <v>6</v>
      </c>
      <c r="L29" s="175">
        <v>9440</v>
      </c>
      <c r="M29" s="175">
        <v>9070</v>
      </c>
      <c r="N29" s="175">
        <v>15</v>
      </c>
      <c r="O29" s="175">
        <v>1</v>
      </c>
      <c r="P29" s="175">
        <v>8700</v>
      </c>
      <c r="Q29" s="175">
        <v>9630</v>
      </c>
      <c r="R29" s="175">
        <v>32</v>
      </c>
      <c r="S29" s="175">
        <v>3</v>
      </c>
      <c r="T29" s="175">
        <v>10000</v>
      </c>
      <c r="U29" s="175">
        <v>9720</v>
      </c>
      <c r="V29" s="175">
        <v>28</v>
      </c>
      <c r="W29" s="175">
        <v>3</v>
      </c>
      <c r="X29" s="175">
        <v>10000</v>
      </c>
      <c r="Y29" s="175">
        <v>9720</v>
      </c>
      <c r="Z29" s="175">
        <v>5.8299595141700413</v>
      </c>
      <c r="AA29" s="175">
        <v>38</v>
      </c>
      <c r="AB29" s="175">
        <v>0.98927951388888891</v>
      </c>
      <c r="AC29" s="175">
        <v>95.35</v>
      </c>
      <c r="AD29" s="175">
        <v>4.75</v>
      </c>
      <c r="AE29" s="175">
        <v>4.208333333333333</v>
      </c>
      <c r="AF29" s="175" t="s">
        <v>236</v>
      </c>
      <c r="AG29" s="175">
        <v>1</v>
      </c>
      <c r="AH29" s="175" t="s">
        <v>638</v>
      </c>
      <c r="AL29" s="1159" t="s">
        <v>251</v>
      </c>
      <c r="AM29" s="175" t="s">
        <v>460</v>
      </c>
      <c r="AN29" s="175">
        <v>1.1890000000000001</v>
      </c>
      <c r="AO29" s="175">
        <v>2.8</v>
      </c>
      <c r="AP29" s="175">
        <v>24</v>
      </c>
      <c r="AQ29" s="175">
        <v>216</v>
      </c>
      <c r="AR29" s="175">
        <v>3.8</v>
      </c>
      <c r="AS29" s="192">
        <v>23422.3488</v>
      </c>
    </row>
    <row r="30" spans="1:45" ht="16.5" customHeight="1">
      <c r="A30" s="174">
        <v>46204</v>
      </c>
      <c r="B30" s="175" t="s">
        <v>240</v>
      </c>
      <c r="C30" s="175" t="s">
        <v>632</v>
      </c>
      <c r="E30" s="175" t="s">
        <v>419</v>
      </c>
      <c r="F30" s="175" t="s">
        <v>419</v>
      </c>
      <c r="G30" s="175" t="s">
        <v>419</v>
      </c>
      <c r="H30" s="175" t="s">
        <v>419</v>
      </c>
      <c r="I30" s="175" t="s">
        <v>419</v>
      </c>
      <c r="L30" s="175" t="s">
        <v>632</v>
      </c>
      <c r="P30" s="175" t="s">
        <v>632</v>
      </c>
      <c r="T30" s="175" t="s">
        <v>632</v>
      </c>
      <c r="X30" s="175" t="s">
        <v>632</v>
      </c>
      <c r="Z30" s="175" t="s">
        <v>419</v>
      </c>
      <c r="AA30" s="175" t="s">
        <v>632</v>
      </c>
      <c r="AB30" s="175" t="s">
        <v>419</v>
      </c>
      <c r="AC30" s="175" t="s">
        <v>419</v>
      </c>
      <c r="AD30" s="175" t="s">
        <v>419</v>
      </c>
      <c r="AE30" s="175" t="s">
        <v>419</v>
      </c>
      <c r="AF30" s="175" t="s">
        <v>241</v>
      </c>
      <c r="AG30" s="175">
        <v>12</v>
      </c>
      <c r="AH30" s="175" t="s">
        <v>640</v>
      </c>
      <c r="AI30" s="175" t="s">
        <v>640</v>
      </c>
      <c r="AJ30" s="175" t="s">
        <v>640</v>
      </c>
      <c r="AK30" s="175" t="s">
        <v>640</v>
      </c>
      <c r="AL30" s="1159" t="s">
        <v>419</v>
      </c>
      <c r="AM30" s="175" t="s">
        <v>419</v>
      </c>
      <c r="AN30" s="175" t="s">
        <v>419</v>
      </c>
      <c r="AO30" s="175" t="s">
        <v>419</v>
      </c>
      <c r="AP30" s="175">
        <v>24</v>
      </c>
      <c r="AQ30" s="175">
        <v>216</v>
      </c>
      <c r="AR30" s="175" t="s">
        <v>419</v>
      </c>
      <c r="AS30" s="192" t="s">
        <v>419</v>
      </c>
    </row>
    <row r="31" spans="1:45" ht="16.5" customHeight="1">
      <c r="A31" s="174">
        <v>46204</v>
      </c>
      <c r="B31" s="175" t="s">
        <v>242</v>
      </c>
      <c r="C31" s="175" t="s">
        <v>385</v>
      </c>
      <c r="E31" s="175" t="s">
        <v>419</v>
      </c>
      <c r="F31" s="175" t="s">
        <v>419</v>
      </c>
      <c r="G31" s="175" t="s">
        <v>419</v>
      </c>
      <c r="H31" s="175" t="s">
        <v>419</v>
      </c>
      <c r="I31" s="175" t="s">
        <v>419</v>
      </c>
      <c r="L31" s="175" t="s">
        <v>385</v>
      </c>
      <c r="P31" s="175" t="s">
        <v>385</v>
      </c>
      <c r="T31" s="175" t="s">
        <v>385</v>
      </c>
      <c r="X31" s="175" t="s">
        <v>385</v>
      </c>
      <c r="Z31" s="175" t="s">
        <v>419</v>
      </c>
      <c r="AA31" s="175" t="s">
        <v>385</v>
      </c>
      <c r="AB31" s="175" t="s">
        <v>419</v>
      </c>
      <c r="AC31" s="175" t="s">
        <v>419</v>
      </c>
      <c r="AD31" s="175" t="s">
        <v>419</v>
      </c>
      <c r="AE31" s="175" t="s">
        <v>419</v>
      </c>
      <c r="AF31" s="175" t="s">
        <v>241</v>
      </c>
      <c r="AG31" s="175">
        <v>5</v>
      </c>
      <c r="AH31" s="175" t="s">
        <v>634</v>
      </c>
      <c r="AL31" s="1159" t="s">
        <v>419</v>
      </c>
      <c r="AM31" s="175" t="s">
        <v>419</v>
      </c>
      <c r="AN31" s="175" t="s">
        <v>419</v>
      </c>
      <c r="AO31" s="175" t="s">
        <v>419</v>
      </c>
      <c r="AP31" s="175">
        <v>24</v>
      </c>
      <c r="AQ31" s="175">
        <v>216</v>
      </c>
      <c r="AR31" s="175" t="s">
        <v>419</v>
      </c>
      <c r="AS31" s="192" t="s">
        <v>419</v>
      </c>
    </row>
    <row r="32" spans="1:45" ht="16.5" customHeight="1">
      <c r="A32" s="174">
        <v>46205</v>
      </c>
      <c r="B32" s="175" t="s">
        <v>212</v>
      </c>
      <c r="C32" s="175" t="s">
        <v>632</v>
      </c>
      <c r="E32" s="175" t="s">
        <v>419</v>
      </c>
      <c r="F32" s="175" t="s">
        <v>419</v>
      </c>
      <c r="G32" s="175" t="s">
        <v>419</v>
      </c>
      <c r="H32" s="175" t="s">
        <v>419</v>
      </c>
      <c r="I32" s="175" t="s">
        <v>419</v>
      </c>
      <c r="L32" s="175" t="s">
        <v>632</v>
      </c>
      <c r="P32" s="175" t="s">
        <v>632</v>
      </c>
      <c r="T32" s="175" t="s">
        <v>632</v>
      </c>
      <c r="X32" s="175" t="s">
        <v>632</v>
      </c>
      <c r="Z32" s="175" t="s">
        <v>419</v>
      </c>
      <c r="AA32" s="175" t="s">
        <v>632</v>
      </c>
      <c r="AB32" s="175" t="s">
        <v>419</v>
      </c>
      <c r="AC32" s="175" t="s">
        <v>419</v>
      </c>
      <c r="AD32" s="175" t="s">
        <v>419</v>
      </c>
      <c r="AE32" s="175" t="s">
        <v>419</v>
      </c>
      <c r="AF32" s="175" t="s">
        <v>213</v>
      </c>
      <c r="AG32" s="175">
        <v>1</v>
      </c>
      <c r="AH32" s="175" t="s">
        <v>640</v>
      </c>
      <c r="AI32" s="175" t="s">
        <v>640</v>
      </c>
      <c r="AJ32" s="175" t="s">
        <v>640</v>
      </c>
      <c r="AK32" s="175" t="s">
        <v>640</v>
      </c>
      <c r="AL32" s="1159" t="s">
        <v>419</v>
      </c>
      <c r="AM32" s="175" t="s">
        <v>419</v>
      </c>
      <c r="AN32" s="175" t="s">
        <v>419</v>
      </c>
      <c r="AO32" s="175" t="s">
        <v>419</v>
      </c>
      <c r="AP32" s="175">
        <v>24</v>
      </c>
      <c r="AQ32" s="175">
        <v>216</v>
      </c>
      <c r="AR32" s="175" t="s">
        <v>419</v>
      </c>
      <c r="AS32" s="192" t="s">
        <v>419</v>
      </c>
    </row>
    <row r="33" spans="1:45" ht="16.5" customHeight="1">
      <c r="A33" s="174">
        <v>46205</v>
      </c>
      <c r="B33" s="175" t="s">
        <v>214</v>
      </c>
      <c r="C33" s="175" t="s">
        <v>632</v>
      </c>
      <c r="E33" s="175" t="s">
        <v>419</v>
      </c>
      <c r="F33" s="175" t="s">
        <v>419</v>
      </c>
      <c r="G33" s="175" t="s">
        <v>419</v>
      </c>
      <c r="H33" s="175" t="s">
        <v>419</v>
      </c>
      <c r="I33" s="175" t="s">
        <v>419</v>
      </c>
      <c r="L33" s="175" t="s">
        <v>632</v>
      </c>
      <c r="P33" s="175" t="s">
        <v>632</v>
      </c>
      <c r="T33" s="175" t="s">
        <v>632</v>
      </c>
      <c r="X33" s="175" t="s">
        <v>632</v>
      </c>
      <c r="Z33" s="175" t="s">
        <v>419</v>
      </c>
      <c r="AA33" s="175" t="s">
        <v>632</v>
      </c>
      <c r="AB33" s="175" t="s">
        <v>419</v>
      </c>
      <c r="AC33" s="175" t="s">
        <v>419</v>
      </c>
      <c r="AD33" s="175" t="s">
        <v>419</v>
      </c>
      <c r="AE33" s="175" t="s">
        <v>419</v>
      </c>
      <c r="AF33" s="175" t="s">
        <v>213</v>
      </c>
      <c r="AG33" s="175">
        <v>1</v>
      </c>
      <c r="AH33" s="175" t="s">
        <v>640</v>
      </c>
      <c r="AI33" s="175" t="s">
        <v>640</v>
      </c>
      <c r="AJ33" s="175" t="s">
        <v>640</v>
      </c>
      <c r="AK33" s="175" t="s">
        <v>640</v>
      </c>
      <c r="AL33" s="1159" t="s">
        <v>419</v>
      </c>
      <c r="AM33" s="175" t="s">
        <v>419</v>
      </c>
      <c r="AN33" s="175" t="s">
        <v>419</v>
      </c>
      <c r="AO33" s="175" t="s">
        <v>419</v>
      </c>
      <c r="AP33" s="175">
        <v>24</v>
      </c>
      <c r="AQ33" s="175">
        <v>216</v>
      </c>
      <c r="AR33" s="175" t="s">
        <v>419</v>
      </c>
      <c r="AS33" s="192" t="s">
        <v>419</v>
      </c>
    </row>
    <row r="34" spans="1:45" ht="16.5" customHeight="1">
      <c r="A34" s="174">
        <v>46205</v>
      </c>
      <c r="B34" s="175" t="s">
        <v>215</v>
      </c>
      <c r="C34" s="175" t="s">
        <v>632</v>
      </c>
      <c r="E34" s="175" t="s">
        <v>419</v>
      </c>
      <c r="F34" s="175" t="s">
        <v>419</v>
      </c>
      <c r="G34" s="175" t="s">
        <v>419</v>
      </c>
      <c r="H34" s="175" t="s">
        <v>419</v>
      </c>
      <c r="I34" s="175" t="s">
        <v>419</v>
      </c>
      <c r="L34" s="175" t="s">
        <v>632</v>
      </c>
      <c r="P34" s="175" t="s">
        <v>632</v>
      </c>
      <c r="T34" s="175" t="s">
        <v>632</v>
      </c>
      <c r="X34" s="175" t="s">
        <v>632</v>
      </c>
      <c r="Z34" s="175" t="s">
        <v>419</v>
      </c>
      <c r="AA34" s="175" t="s">
        <v>632</v>
      </c>
      <c r="AB34" s="175" t="s">
        <v>419</v>
      </c>
      <c r="AC34" s="175" t="s">
        <v>419</v>
      </c>
      <c r="AD34" s="175" t="s">
        <v>419</v>
      </c>
      <c r="AE34" s="175" t="s">
        <v>419</v>
      </c>
      <c r="AF34" s="175" t="s">
        <v>213</v>
      </c>
      <c r="AG34" s="175">
        <v>1</v>
      </c>
      <c r="AH34" s="175" t="s">
        <v>640</v>
      </c>
      <c r="AI34" s="175" t="s">
        <v>640</v>
      </c>
      <c r="AJ34" s="175" t="s">
        <v>640</v>
      </c>
      <c r="AK34" s="175" t="s">
        <v>640</v>
      </c>
      <c r="AL34" s="1159" t="s">
        <v>419</v>
      </c>
      <c r="AM34" s="175" t="s">
        <v>419</v>
      </c>
      <c r="AN34" s="175" t="s">
        <v>419</v>
      </c>
      <c r="AO34" s="175" t="s">
        <v>419</v>
      </c>
      <c r="AP34" s="175">
        <v>24</v>
      </c>
      <c r="AQ34" s="175">
        <v>216</v>
      </c>
      <c r="AR34" s="175" t="s">
        <v>419</v>
      </c>
      <c r="AS34" s="192" t="s">
        <v>419</v>
      </c>
    </row>
    <row r="35" spans="1:45" ht="16.5" customHeight="1">
      <c r="A35" s="174">
        <v>46205</v>
      </c>
      <c r="B35" s="175" t="s">
        <v>216</v>
      </c>
      <c r="C35" s="175" t="s">
        <v>632</v>
      </c>
      <c r="E35" s="175" t="s">
        <v>419</v>
      </c>
      <c r="F35" s="175" t="s">
        <v>419</v>
      </c>
      <c r="G35" s="175" t="s">
        <v>419</v>
      </c>
      <c r="H35" s="175" t="s">
        <v>419</v>
      </c>
      <c r="I35" s="175" t="s">
        <v>419</v>
      </c>
      <c r="L35" s="175" t="s">
        <v>632</v>
      </c>
      <c r="P35" s="175" t="s">
        <v>632</v>
      </c>
      <c r="T35" s="175" t="s">
        <v>632</v>
      </c>
      <c r="X35" s="175" t="s">
        <v>632</v>
      </c>
      <c r="Z35" s="175" t="s">
        <v>419</v>
      </c>
      <c r="AA35" s="175" t="s">
        <v>632</v>
      </c>
      <c r="AB35" s="175" t="s">
        <v>419</v>
      </c>
      <c r="AC35" s="175" t="s">
        <v>419</v>
      </c>
      <c r="AD35" s="175" t="s">
        <v>419</v>
      </c>
      <c r="AE35" s="175" t="s">
        <v>419</v>
      </c>
      <c r="AF35" s="175" t="s">
        <v>213</v>
      </c>
      <c r="AG35" s="175">
        <v>1</v>
      </c>
      <c r="AH35" s="175" t="s">
        <v>640</v>
      </c>
      <c r="AI35" s="175" t="s">
        <v>640</v>
      </c>
      <c r="AJ35" s="175" t="s">
        <v>640</v>
      </c>
      <c r="AK35" s="175" t="s">
        <v>640</v>
      </c>
      <c r="AL35" s="1159" t="s">
        <v>419</v>
      </c>
      <c r="AM35" s="175" t="s">
        <v>419</v>
      </c>
      <c r="AN35" s="175" t="s">
        <v>419</v>
      </c>
      <c r="AO35" s="175" t="s">
        <v>419</v>
      </c>
      <c r="AP35" s="175">
        <v>24</v>
      </c>
      <c r="AQ35" s="175">
        <v>216</v>
      </c>
      <c r="AR35" s="175" t="s">
        <v>419</v>
      </c>
      <c r="AS35" s="192" t="s">
        <v>419</v>
      </c>
    </row>
    <row r="36" spans="1:45" ht="16.5" customHeight="1">
      <c r="A36" s="174">
        <v>46205</v>
      </c>
      <c r="B36" s="175" t="s">
        <v>217</v>
      </c>
      <c r="C36" s="175" t="s">
        <v>632</v>
      </c>
      <c r="E36" s="175" t="s">
        <v>419</v>
      </c>
      <c r="F36" s="175" t="s">
        <v>419</v>
      </c>
      <c r="G36" s="175" t="s">
        <v>419</v>
      </c>
      <c r="H36" s="175" t="s">
        <v>419</v>
      </c>
      <c r="I36" s="175" t="s">
        <v>419</v>
      </c>
      <c r="L36" s="175" t="s">
        <v>632</v>
      </c>
      <c r="P36" s="175" t="s">
        <v>632</v>
      </c>
      <c r="T36" s="175" t="s">
        <v>632</v>
      </c>
      <c r="X36" s="175" t="s">
        <v>632</v>
      </c>
      <c r="Z36" s="175" t="s">
        <v>419</v>
      </c>
      <c r="AA36" s="175" t="s">
        <v>632</v>
      </c>
      <c r="AB36" s="175" t="s">
        <v>419</v>
      </c>
      <c r="AC36" s="175" t="s">
        <v>419</v>
      </c>
      <c r="AD36" s="175" t="s">
        <v>419</v>
      </c>
      <c r="AE36" s="175" t="s">
        <v>419</v>
      </c>
      <c r="AF36" s="175" t="s">
        <v>213</v>
      </c>
      <c r="AG36" s="175">
        <v>1</v>
      </c>
      <c r="AH36" s="175" t="s">
        <v>640</v>
      </c>
      <c r="AI36" s="175" t="s">
        <v>640</v>
      </c>
      <c r="AJ36" s="175" t="s">
        <v>640</v>
      </c>
      <c r="AK36" s="175" t="s">
        <v>640</v>
      </c>
      <c r="AL36" s="1159" t="s">
        <v>419</v>
      </c>
      <c r="AM36" s="175" t="s">
        <v>419</v>
      </c>
      <c r="AN36" s="175" t="s">
        <v>419</v>
      </c>
      <c r="AO36" s="175" t="s">
        <v>419</v>
      </c>
      <c r="AP36" s="175">
        <v>24</v>
      </c>
      <c r="AQ36" s="175">
        <v>216</v>
      </c>
      <c r="AR36" s="175" t="s">
        <v>419</v>
      </c>
      <c r="AS36" s="192" t="s">
        <v>419</v>
      </c>
    </row>
    <row r="37" spans="1:45" ht="16.5" customHeight="1">
      <c r="A37" s="174">
        <v>46205</v>
      </c>
      <c r="B37" s="175" t="s">
        <v>218</v>
      </c>
      <c r="C37" s="175" t="s">
        <v>17221</v>
      </c>
      <c r="E37" s="175" t="s">
        <v>17237</v>
      </c>
      <c r="F37" s="175" t="s">
        <v>17229</v>
      </c>
      <c r="G37" s="175">
        <v>600</v>
      </c>
      <c r="H37" s="175" t="s">
        <v>15893</v>
      </c>
      <c r="I37" s="175">
        <v>5</v>
      </c>
      <c r="J37" s="175">
        <v>16</v>
      </c>
      <c r="K37" s="175">
        <v>0</v>
      </c>
      <c r="L37" s="175">
        <v>9584</v>
      </c>
      <c r="M37" s="175">
        <v>9421</v>
      </c>
      <c r="N37" s="175">
        <v>2</v>
      </c>
      <c r="O37" s="175">
        <v>0</v>
      </c>
      <c r="P37" s="175">
        <v>9630</v>
      </c>
      <c r="Q37" s="175">
        <v>9625</v>
      </c>
      <c r="R37" s="175">
        <v>8</v>
      </c>
      <c r="S37" s="175">
        <v>0</v>
      </c>
      <c r="T37" s="175">
        <v>9572</v>
      </c>
      <c r="U37" s="175">
        <v>9603</v>
      </c>
      <c r="V37" s="175">
        <v>20</v>
      </c>
      <c r="W37" s="175">
        <v>0</v>
      </c>
      <c r="X37" s="175">
        <v>9386</v>
      </c>
      <c r="Y37" s="175">
        <v>9388</v>
      </c>
      <c r="Z37" s="175">
        <v>2.8015564202334629</v>
      </c>
      <c r="AA37" s="175">
        <v>7.666666666666667</v>
      </c>
      <c r="AB37" s="175">
        <v>1</v>
      </c>
      <c r="AC37" s="175">
        <v>95.261250000000004</v>
      </c>
      <c r="AD37" s="175">
        <v>0.95833333333333337</v>
      </c>
      <c r="AE37" s="175">
        <v>0.95833333333333337</v>
      </c>
      <c r="AF37" s="175" t="s">
        <v>213</v>
      </c>
      <c r="AG37" s="175">
        <v>0.5</v>
      </c>
      <c r="AH37" s="175" t="s">
        <v>629</v>
      </c>
      <c r="AI37" s="175" t="s">
        <v>629</v>
      </c>
      <c r="AJ37" s="175" t="s">
        <v>15368</v>
      </c>
      <c r="AK37" s="175" t="s">
        <v>15368</v>
      </c>
      <c r="AL37" s="1159" t="s">
        <v>250</v>
      </c>
      <c r="AM37" s="175" t="s">
        <v>126</v>
      </c>
      <c r="AN37" s="175">
        <v>0.91100000000000003</v>
      </c>
      <c r="AO37" s="175">
        <v>1.7</v>
      </c>
      <c r="AP37" s="175">
        <v>24</v>
      </c>
      <c r="AQ37" s="175">
        <v>216</v>
      </c>
      <c r="AR37" s="175">
        <v>2.7</v>
      </c>
      <c r="AS37" s="192">
        <v>12751.084800000001</v>
      </c>
    </row>
    <row r="38" spans="1:45" ht="16.5" customHeight="1">
      <c r="A38" s="174">
        <v>46205</v>
      </c>
      <c r="B38" s="175" t="s">
        <v>219</v>
      </c>
      <c r="C38" s="175" t="s">
        <v>632</v>
      </c>
      <c r="E38" s="175" t="s">
        <v>419</v>
      </c>
      <c r="F38" s="175" t="s">
        <v>419</v>
      </c>
      <c r="G38" s="175" t="s">
        <v>419</v>
      </c>
      <c r="H38" s="175" t="s">
        <v>419</v>
      </c>
      <c r="I38" s="175" t="s">
        <v>419</v>
      </c>
      <c r="L38" s="175" t="s">
        <v>632</v>
      </c>
      <c r="P38" s="175" t="s">
        <v>632</v>
      </c>
      <c r="T38" s="175" t="s">
        <v>632</v>
      </c>
      <c r="X38" s="175" t="s">
        <v>632</v>
      </c>
      <c r="Z38" s="175" t="s">
        <v>419</v>
      </c>
      <c r="AA38" s="175" t="s">
        <v>632</v>
      </c>
      <c r="AB38" s="175" t="s">
        <v>419</v>
      </c>
      <c r="AC38" s="175" t="s">
        <v>419</v>
      </c>
      <c r="AD38" s="175" t="s">
        <v>419</v>
      </c>
      <c r="AE38" s="175" t="s">
        <v>419</v>
      </c>
      <c r="AF38" s="175" t="s">
        <v>213</v>
      </c>
      <c r="AG38" s="175">
        <v>1</v>
      </c>
      <c r="AH38" s="175" t="s">
        <v>640</v>
      </c>
      <c r="AI38" s="175" t="s">
        <v>640</v>
      </c>
      <c r="AJ38" s="175" t="s">
        <v>640</v>
      </c>
      <c r="AK38" s="175" t="s">
        <v>640</v>
      </c>
      <c r="AL38" s="1159" t="s">
        <v>419</v>
      </c>
      <c r="AM38" s="175" t="s">
        <v>419</v>
      </c>
      <c r="AN38" s="175" t="s">
        <v>419</v>
      </c>
      <c r="AO38" s="175" t="s">
        <v>419</v>
      </c>
      <c r="AP38" s="175">
        <v>24</v>
      </c>
      <c r="AQ38" s="175">
        <v>216</v>
      </c>
      <c r="AR38" s="175" t="s">
        <v>419</v>
      </c>
      <c r="AS38" s="192" t="s">
        <v>419</v>
      </c>
    </row>
    <row r="39" spans="1:45" ht="16.5" customHeight="1">
      <c r="A39" s="174">
        <v>46205</v>
      </c>
      <c r="B39" s="175" t="s">
        <v>220</v>
      </c>
      <c r="C39" s="175" t="s">
        <v>632</v>
      </c>
      <c r="E39" s="175" t="s">
        <v>419</v>
      </c>
      <c r="F39" s="175" t="s">
        <v>419</v>
      </c>
      <c r="G39" s="175" t="s">
        <v>419</v>
      </c>
      <c r="H39" s="175" t="s">
        <v>419</v>
      </c>
      <c r="I39" s="175" t="s">
        <v>419</v>
      </c>
      <c r="L39" s="175" t="s">
        <v>632</v>
      </c>
      <c r="P39" s="175" t="s">
        <v>632</v>
      </c>
      <c r="T39" s="175" t="s">
        <v>632</v>
      </c>
      <c r="X39" s="175" t="s">
        <v>632</v>
      </c>
      <c r="Z39" s="175" t="s">
        <v>419</v>
      </c>
      <c r="AA39" s="175" t="s">
        <v>632</v>
      </c>
      <c r="AB39" s="175" t="s">
        <v>419</v>
      </c>
      <c r="AC39" s="175" t="s">
        <v>419</v>
      </c>
      <c r="AD39" s="175" t="s">
        <v>419</v>
      </c>
      <c r="AE39" s="175" t="s">
        <v>419</v>
      </c>
      <c r="AF39" s="175" t="s">
        <v>213</v>
      </c>
      <c r="AG39" s="175">
        <v>1</v>
      </c>
      <c r="AH39" s="175" t="s">
        <v>640</v>
      </c>
      <c r="AI39" s="175" t="s">
        <v>640</v>
      </c>
      <c r="AJ39" s="175" t="s">
        <v>640</v>
      </c>
      <c r="AK39" s="175" t="s">
        <v>640</v>
      </c>
      <c r="AL39" s="1159" t="s">
        <v>419</v>
      </c>
      <c r="AM39" s="175" t="s">
        <v>419</v>
      </c>
      <c r="AN39" s="175" t="s">
        <v>419</v>
      </c>
      <c r="AO39" s="175" t="s">
        <v>419</v>
      </c>
      <c r="AP39" s="175">
        <v>24</v>
      </c>
      <c r="AQ39" s="175">
        <v>216</v>
      </c>
      <c r="AR39" s="175" t="s">
        <v>419</v>
      </c>
      <c r="AS39" s="192" t="s">
        <v>419</v>
      </c>
    </row>
    <row r="40" spans="1:45" ht="16.5" customHeight="1">
      <c r="A40" s="174">
        <v>46205</v>
      </c>
      <c r="B40" s="175" t="s">
        <v>221</v>
      </c>
      <c r="C40" s="175" t="s">
        <v>632</v>
      </c>
      <c r="E40" s="175" t="s">
        <v>419</v>
      </c>
      <c r="F40" s="175" t="s">
        <v>419</v>
      </c>
      <c r="G40" s="175" t="s">
        <v>419</v>
      </c>
      <c r="H40" s="175" t="s">
        <v>419</v>
      </c>
      <c r="I40" s="175" t="s">
        <v>419</v>
      </c>
      <c r="L40" s="175" t="s">
        <v>632</v>
      </c>
      <c r="P40" s="175" t="s">
        <v>632</v>
      </c>
      <c r="T40" s="175" t="s">
        <v>632</v>
      </c>
      <c r="X40" s="175" t="s">
        <v>632</v>
      </c>
      <c r="Z40" s="175" t="s">
        <v>419</v>
      </c>
      <c r="AA40" s="175" t="s">
        <v>632</v>
      </c>
      <c r="AB40" s="175" t="s">
        <v>419</v>
      </c>
      <c r="AC40" s="175" t="s">
        <v>419</v>
      </c>
      <c r="AD40" s="175" t="s">
        <v>419</v>
      </c>
      <c r="AE40" s="175" t="s">
        <v>419</v>
      </c>
      <c r="AF40" s="175" t="s">
        <v>213</v>
      </c>
      <c r="AG40" s="175">
        <v>1</v>
      </c>
      <c r="AH40" s="175" t="s">
        <v>640</v>
      </c>
      <c r="AI40" s="175" t="s">
        <v>640</v>
      </c>
      <c r="AJ40" s="175" t="s">
        <v>640</v>
      </c>
      <c r="AK40" s="175" t="s">
        <v>640</v>
      </c>
      <c r="AL40" s="1159" t="s">
        <v>419</v>
      </c>
      <c r="AM40" s="175" t="s">
        <v>419</v>
      </c>
      <c r="AN40" s="175" t="s">
        <v>419</v>
      </c>
      <c r="AO40" s="175" t="s">
        <v>419</v>
      </c>
      <c r="AP40" s="175">
        <v>24</v>
      </c>
      <c r="AQ40" s="175">
        <v>216</v>
      </c>
      <c r="AR40" s="175" t="s">
        <v>419</v>
      </c>
      <c r="AS40" s="192" t="s">
        <v>419</v>
      </c>
    </row>
    <row r="41" spans="1:45" ht="16.5" customHeight="1">
      <c r="A41" s="174">
        <v>46205</v>
      </c>
      <c r="B41" s="175" t="s">
        <v>222</v>
      </c>
      <c r="C41" s="175" t="s">
        <v>17261</v>
      </c>
      <c r="D41" s="175" t="s">
        <v>16748</v>
      </c>
      <c r="E41" s="175" t="s">
        <v>17177</v>
      </c>
      <c r="F41" s="175" t="s">
        <v>17262</v>
      </c>
      <c r="G41" s="175">
        <v>550</v>
      </c>
      <c r="H41" s="175" t="s">
        <v>762</v>
      </c>
      <c r="I41" s="175">
        <v>2</v>
      </c>
      <c r="J41" s="175">
        <v>30</v>
      </c>
      <c r="K41" s="175">
        <v>2</v>
      </c>
      <c r="L41" s="175">
        <v>9275</v>
      </c>
      <c r="M41" s="175" t="s">
        <v>632</v>
      </c>
      <c r="N41" s="175">
        <v>4</v>
      </c>
      <c r="O41" s="175">
        <v>0</v>
      </c>
      <c r="P41" s="175">
        <v>9474</v>
      </c>
      <c r="Q41" s="175" t="s">
        <v>632</v>
      </c>
      <c r="R41" s="175">
        <v>5</v>
      </c>
      <c r="S41" s="175">
        <v>0</v>
      </c>
      <c r="T41" s="175">
        <v>9437</v>
      </c>
      <c r="U41" s="175" t="s">
        <v>632</v>
      </c>
      <c r="V41" s="175">
        <v>14</v>
      </c>
      <c r="W41" s="175">
        <v>0</v>
      </c>
      <c r="X41" s="175">
        <v>9166</v>
      </c>
      <c r="Y41" s="175" t="s">
        <v>632</v>
      </c>
      <c r="Z41" s="175">
        <v>2.1492537313432836</v>
      </c>
      <c r="AA41" s="175">
        <v>35.333333333333336</v>
      </c>
      <c r="AB41" s="175">
        <v>0.99552617521367526</v>
      </c>
      <c r="AC41" s="175">
        <v>93.38</v>
      </c>
      <c r="AD41" s="175">
        <v>4.416666666666667</v>
      </c>
      <c r="AE41" s="175">
        <v>4.25</v>
      </c>
      <c r="AF41" s="175" t="s">
        <v>213</v>
      </c>
      <c r="AG41" s="175">
        <v>2</v>
      </c>
      <c r="AH41" s="175" t="s">
        <v>629</v>
      </c>
      <c r="AI41" s="175" t="s">
        <v>629</v>
      </c>
      <c r="AJ41" s="175" t="s">
        <v>15368</v>
      </c>
      <c r="AK41" s="175" t="s">
        <v>15368</v>
      </c>
      <c r="AL41" s="1159" t="s">
        <v>250</v>
      </c>
      <c r="AM41" s="175" t="s">
        <v>126</v>
      </c>
      <c r="AN41" s="175">
        <v>0.91100000000000003</v>
      </c>
      <c r="AO41" s="175">
        <v>0.7</v>
      </c>
      <c r="AP41" s="175">
        <v>24</v>
      </c>
      <c r="AQ41" s="175">
        <v>216</v>
      </c>
      <c r="AR41" s="175">
        <v>1.7</v>
      </c>
      <c r="AS41" s="192">
        <v>8028.4608000000007</v>
      </c>
    </row>
    <row r="42" spans="1:45" ht="16.5" customHeight="1">
      <c r="A42" s="174">
        <v>46205</v>
      </c>
      <c r="B42" s="175" t="s">
        <v>223</v>
      </c>
      <c r="C42" s="175" t="s">
        <v>17263</v>
      </c>
      <c r="D42" s="175" t="s">
        <v>16748</v>
      </c>
      <c r="E42" s="175" t="s">
        <v>17156</v>
      </c>
      <c r="F42" s="175" t="s">
        <v>17264</v>
      </c>
      <c r="G42" s="175">
        <v>600</v>
      </c>
      <c r="H42" s="175" t="s">
        <v>456</v>
      </c>
      <c r="I42" s="175">
        <v>3</v>
      </c>
      <c r="J42" s="175">
        <v>9</v>
      </c>
      <c r="K42" s="175">
        <v>0</v>
      </c>
      <c r="L42" s="175">
        <v>7919</v>
      </c>
      <c r="M42" s="175" t="s">
        <v>632</v>
      </c>
      <c r="N42" s="175">
        <v>5</v>
      </c>
      <c r="O42" s="175">
        <v>0</v>
      </c>
      <c r="P42" s="175">
        <v>7923</v>
      </c>
      <c r="Q42" s="175" t="s">
        <v>632</v>
      </c>
      <c r="R42" s="175">
        <v>2</v>
      </c>
      <c r="S42" s="175">
        <v>0</v>
      </c>
      <c r="T42" s="175">
        <v>7870</v>
      </c>
      <c r="U42" s="175" t="s">
        <v>632</v>
      </c>
      <c r="V42" s="175">
        <v>7</v>
      </c>
      <c r="W42" s="175">
        <v>0</v>
      </c>
      <c r="X42" s="175">
        <v>7791</v>
      </c>
      <c r="Y42" s="175" t="s">
        <v>632</v>
      </c>
      <c r="Z42" s="175">
        <v>2.4</v>
      </c>
      <c r="AA42" s="175">
        <v>15.333333333333334</v>
      </c>
      <c r="AB42" s="175">
        <v>1</v>
      </c>
      <c r="AC42" s="175">
        <v>78.757499999999993</v>
      </c>
      <c r="AD42" s="175">
        <v>1.9166666666666667</v>
      </c>
      <c r="AE42" s="175">
        <v>1.9166666666666667</v>
      </c>
      <c r="AF42" s="175" t="s">
        <v>213</v>
      </c>
      <c r="AG42" s="175">
        <v>2</v>
      </c>
      <c r="AH42" s="175" t="s">
        <v>629</v>
      </c>
      <c r="AI42" s="175" t="s">
        <v>629</v>
      </c>
      <c r="AJ42" s="175" t="s">
        <v>15368</v>
      </c>
      <c r="AK42" s="175" t="s">
        <v>15368</v>
      </c>
      <c r="AL42" s="1159" t="s">
        <v>250</v>
      </c>
      <c r="AM42" s="175" t="s">
        <v>126</v>
      </c>
      <c r="AN42" s="175">
        <v>0.91100000000000003</v>
      </c>
      <c r="AO42" s="175">
        <v>0.8</v>
      </c>
      <c r="AP42" s="175">
        <v>24</v>
      </c>
      <c r="AQ42" s="175">
        <v>216</v>
      </c>
      <c r="AR42" s="175">
        <v>1.8</v>
      </c>
      <c r="AS42" s="192">
        <v>8500.7232000000004</v>
      </c>
    </row>
    <row r="43" spans="1:45" ht="16.5" customHeight="1">
      <c r="A43" s="174">
        <v>46205</v>
      </c>
      <c r="B43" s="175" t="s">
        <v>224</v>
      </c>
      <c r="C43" s="175" t="s">
        <v>17258</v>
      </c>
      <c r="E43" s="175" t="s">
        <v>8513</v>
      </c>
      <c r="F43" s="175" t="s">
        <v>17260</v>
      </c>
      <c r="G43" s="175">
        <v>550</v>
      </c>
      <c r="H43" s="175" t="s">
        <v>621</v>
      </c>
      <c r="I43" s="175">
        <v>5</v>
      </c>
      <c r="L43" s="175" t="s">
        <v>628</v>
      </c>
      <c r="P43" s="175" t="s">
        <v>628</v>
      </c>
      <c r="T43" s="175" t="s">
        <v>628</v>
      </c>
      <c r="X43" s="175" t="s">
        <v>628</v>
      </c>
      <c r="Z43" s="175">
        <v>5.5598455598455603</v>
      </c>
      <c r="AA43" s="175" t="s">
        <v>628</v>
      </c>
      <c r="AB43" s="175" t="s">
        <v>419</v>
      </c>
      <c r="AC43" s="175" t="s">
        <v>419</v>
      </c>
      <c r="AD43" s="175" t="s">
        <v>419</v>
      </c>
      <c r="AE43" s="175" t="s">
        <v>419</v>
      </c>
      <c r="AF43" s="175" t="s">
        <v>213</v>
      </c>
      <c r="AG43" s="175">
        <v>0.5</v>
      </c>
      <c r="AH43" s="175" t="s">
        <v>629</v>
      </c>
      <c r="AI43" s="175" t="s">
        <v>629</v>
      </c>
      <c r="AJ43" s="175" t="s">
        <v>15368</v>
      </c>
      <c r="AK43" s="175" t="s">
        <v>15368</v>
      </c>
      <c r="AL43" s="1159" t="s">
        <v>250</v>
      </c>
      <c r="AM43" s="175" t="s">
        <v>126</v>
      </c>
      <c r="AN43" s="175">
        <v>0.91100000000000003</v>
      </c>
      <c r="AO43" s="175">
        <v>2</v>
      </c>
      <c r="AP43" s="175">
        <v>24</v>
      </c>
      <c r="AQ43" s="175">
        <v>216</v>
      </c>
      <c r="AR43" s="175">
        <v>3</v>
      </c>
      <c r="AS43" s="192">
        <v>14167.871999999999</v>
      </c>
    </row>
    <row r="44" spans="1:45" ht="16.5" customHeight="1">
      <c r="A44" s="174">
        <v>46205</v>
      </c>
      <c r="B44" s="175" t="s">
        <v>225</v>
      </c>
      <c r="C44" s="175" t="s">
        <v>632</v>
      </c>
      <c r="E44" s="175" t="s">
        <v>419</v>
      </c>
      <c r="F44" s="175" t="s">
        <v>419</v>
      </c>
      <c r="G44" s="175" t="s">
        <v>419</v>
      </c>
      <c r="H44" s="175" t="s">
        <v>419</v>
      </c>
      <c r="I44" s="175" t="s">
        <v>419</v>
      </c>
      <c r="L44" s="175" t="s">
        <v>632</v>
      </c>
      <c r="P44" s="175" t="s">
        <v>632</v>
      </c>
      <c r="T44" s="175" t="s">
        <v>632</v>
      </c>
      <c r="X44" s="175" t="s">
        <v>632</v>
      </c>
      <c r="Z44" s="175" t="s">
        <v>419</v>
      </c>
      <c r="AA44" s="175" t="s">
        <v>632</v>
      </c>
      <c r="AB44" s="175" t="s">
        <v>419</v>
      </c>
      <c r="AC44" s="175" t="s">
        <v>419</v>
      </c>
      <c r="AD44" s="175" t="s">
        <v>419</v>
      </c>
      <c r="AE44" s="175" t="s">
        <v>419</v>
      </c>
      <c r="AF44" s="175" t="s">
        <v>213</v>
      </c>
      <c r="AG44" s="175">
        <v>1</v>
      </c>
      <c r="AH44" s="175" t="s">
        <v>640</v>
      </c>
      <c r="AI44" s="175" t="s">
        <v>640</v>
      </c>
      <c r="AJ44" s="175" t="s">
        <v>640</v>
      </c>
      <c r="AK44" s="175" t="s">
        <v>640</v>
      </c>
      <c r="AL44" s="1159" t="s">
        <v>419</v>
      </c>
      <c r="AM44" s="175" t="s">
        <v>419</v>
      </c>
      <c r="AN44" s="175" t="s">
        <v>419</v>
      </c>
      <c r="AO44" s="175" t="s">
        <v>419</v>
      </c>
      <c r="AP44" s="175">
        <v>24</v>
      </c>
      <c r="AQ44" s="175">
        <v>216</v>
      </c>
      <c r="AR44" s="175" t="s">
        <v>419</v>
      </c>
      <c r="AS44" s="192" t="s">
        <v>419</v>
      </c>
    </row>
    <row r="45" spans="1:45" ht="16.5" customHeight="1">
      <c r="A45" s="174">
        <v>46205</v>
      </c>
      <c r="B45" s="175" t="s">
        <v>226</v>
      </c>
      <c r="C45" s="175" t="s">
        <v>632</v>
      </c>
      <c r="E45" s="175" t="s">
        <v>419</v>
      </c>
      <c r="F45" s="175" t="s">
        <v>419</v>
      </c>
      <c r="G45" s="175" t="s">
        <v>419</v>
      </c>
      <c r="H45" s="175" t="s">
        <v>419</v>
      </c>
      <c r="I45" s="175" t="s">
        <v>419</v>
      </c>
      <c r="L45" s="175" t="s">
        <v>632</v>
      </c>
      <c r="P45" s="175" t="s">
        <v>632</v>
      </c>
      <c r="T45" s="175" t="s">
        <v>632</v>
      </c>
      <c r="X45" s="175" t="s">
        <v>632</v>
      </c>
      <c r="Z45" s="175" t="s">
        <v>419</v>
      </c>
      <c r="AA45" s="175" t="s">
        <v>632</v>
      </c>
      <c r="AB45" s="175" t="s">
        <v>419</v>
      </c>
      <c r="AC45" s="175" t="s">
        <v>419</v>
      </c>
      <c r="AD45" s="175" t="s">
        <v>419</v>
      </c>
      <c r="AE45" s="175" t="s">
        <v>419</v>
      </c>
      <c r="AF45" s="175" t="s">
        <v>213</v>
      </c>
      <c r="AG45" s="175">
        <v>1</v>
      </c>
      <c r="AH45" s="175" t="s">
        <v>640</v>
      </c>
      <c r="AI45" s="175" t="s">
        <v>640</v>
      </c>
      <c r="AJ45" s="175" t="s">
        <v>640</v>
      </c>
      <c r="AK45" s="175" t="s">
        <v>640</v>
      </c>
      <c r="AL45" s="1159" t="s">
        <v>419</v>
      </c>
      <c r="AM45" s="175" t="s">
        <v>419</v>
      </c>
      <c r="AN45" s="175" t="s">
        <v>419</v>
      </c>
      <c r="AO45" s="175" t="s">
        <v>419</v>
      </c>
      <c r="AP45" s="175">
        <v>24</v>
      </c>
      <c r="AQ45" s="175">
        <v>216</v>
      </c>
      <c r="AR45" s="175" t="s">
        <v>419</v>
      </c>
      <c r="AS45" s="192" t="s">
        <v>419</v>
      </c>
    </row>
    <row r="46" spans="1:45" ht="16.5" customHeight="1">
      <c r="A46" s="174">
        <v>46205</v>
      </c>
      <c r="B46" s="175" t="s">
        <v>227</v>
      </c>
      <c r="C46" s="175" t="s">
        <v>632</v>
      </c>
      <c r="E46" s="175" t="s">
        <v>419</v>
      </c>
      <c r="F46" s="175" t="s">
        <v>419</v>
      </c>
      <c r="G46" s="175" t="s">
        <v>419</v>
      </c>
      <c r="H46" s="175" t="s">
        <v>419</v>
      </c>
      <c r="I46" s="175" t="s">
        <v>419</v>
      </c>
      <c r="L46" s="175" t="s">
        <v>632</v>
      </c>
      <c r="P46" s="175" t="s">
        <v>632</v>
      </c>
      <c r="T46" s="175" t="s">
        <v>632</v>
      </c>
      <c r="X46" s="175" t="s">
        <v>632</v>
      </c>
      <c r="Z46" s="175" t="s">
        <v>419</v>
      </c>
      <c r="AA46" s="175" t="s">
        <v>632</v>
      </c>
      <c r="AB46" s="175" t="s">
        <v>419</v>
      </c>
      <c r="AC46" s="175" t="s">
        <v>419</v>
      </c>
      <c r="AD46" s="175" t="s">
        <v>419</v>
      </c>
      <c r="AE46" s="175" t="s">
        <v>419</v>
      </c>
      <c r="AF46" s="175" t="s">
        <v>213</v>
      </c>
      <c r="AG46" s="175">
        <v>1</v>
      </c>
      <c r="AH46" s="175" t="s">
        <v>640</v>
      </c>
      <c r="AI46" s="175" t="s">
        <v>640</v>
      </c>
      <c r="AJ46" s="175" t="s">
        <v>640</v>
      </c>
      <c r="AK46" s="175" t="s">
        <v>640</v>
      </c>
      <c r="AL46" s="1159" t="s">
        <v>419</v>
      </c>
      <c r="AM46" s="175" t="s">
        <v>419</v>
      </c>
      <c r="AN46" s="175" t="s">
        <v>419</v>
      </c>
      <c r="AO46" s="175" t="s">
        <v>419</v>
      </c>
      <c r="AP46" s="175">
        <v>24</v>
      </c>
      <c r="AQ46" s="175">
        <v>216</v>
      </c>
      <c r="AR46" s="175" t="s">
        <v>419</v>
      </c>
      <c r="AS46" s="192" t="s">
        <v>419</v>
      </c>
    </row>
    <row r="47" spans="1:45" ht="16.5" customHeight="1">
      <c r="A47" s="174">
        <v>46205</v>
      </c>
      <c r="B47" s="175" t="s">
        <v>228</v>
      </c>
      <c r="C47" s="175" t="s">
        <v>17293</v>
      </c>
      <c r="E47" s="175" t="s">
        <v>7055</v>
      </c>
      <c r="F47" s="175" t="s">
        <v>17294</v>
      </c>
      <c r="G47" s="175">
        <v>550</v>
      </c>
      <c r="H47" s="175" t="s">
        <v>889</v>
      </c>
      <c r="I47" s="175">
        <v>5.5</v>
      </c>
      <c r="J47" s="175">
        <v>24</v>
      </c>
      <c r="K47" s="175">
        <v>0</v>
      </c>
      <c r="L47" s="175">
        <v>9141</v>
      </c>
      <c r="M47" s="175">
        <v>7129</v>
      </c>
      <c r="N47" s="175">
        <v>12</v>
      </c>
      <c r="O47" s="175">
        <v>0</v>
      </c>
      <c r="P47" s="175">
        <v>6100</v>
      </c>
      <c r="Q47" s="175">
        <v>7540</v>
      </c>
      <c r="R47" s="175">
        <v>6</v>
      </c>
      <c r="S47" s="175">
        <v>0</v>
      </c>
      <c r="T47" s="175">
        <v>6015</v>
      </c>
      <c r="U47" s="175">
        <v>7355</v>
      </c>
      <c r="V47" s="175">
        <v>28</v>
      </c>
      <c r="W47" s="175">
        <v>0</v>
      </c>
      <c r="X47" s="175">
        <v>5793</v>
      </c>
      <c r="Y47" s="175">
        <v>6511</v>
      </c>
      <c r="Z47" s="175">
        <v>4.7058823529411766</v>
      </c>
      <c r="AA47" s="175">
        <v>11.666666666666666</v>
      </c>
      <c r="AB47" s="175">
        <v>1</v>
      </c>
      <c r="AC47" s="175">
        <v>69.48</v>
      </c>
      <c r="AD47" s="175">
        <v>1.4583333333333333</v>
      </c>
      <c r="AE47" s="175">
        <v>1.4583333333333333</v>
      </c>
      <c r="AF47" s="175" t="s">
        <v>213</v>
      </c>
      <c r="AG47" s="175">
        <v>0.5</v>
      </c>
      <c r="AH47" s="175" t="s">
        <v>629</v>
      </c>
      <c r="AI47" s="175" t="s">
        <v>629</v>
      </c>
      <c r="AJ47" s="175" t="s">
        <v>15368</v>
      </c>
      <c r="AK47" s="175" t="s">
        <v>15368</v>
      </c>
      <c r="AL47" s="1159" t="s">
        <v>250</v>
      </c>
      <c r="AM47" s="175" t="s">
        <v>460</v>
      </c>
      <c r="AN47" s="175">
        <v>1.1890000000000001</v>
      </c>
      <c r="AO47" s="175">
        <v>1.9</v>
      </c>
      <c r="AP47" s="175">
        <v>24</v>
      </c>
      <c r="AQ47" s="175">
        <v>216</v>
      </c>
      <c r="AR47" s="175">
        <v>2.9</v>
      </c>
      <c r="AS47" s="192">
        <v>17874.950400000002</v>
      </c>
    </row>
    <row r="48" spans="1:45" ht="16.5" customHeight="1">
      <c r="A48" s="174">
        <v>46205</v>
      </c>
      <c r="B48" s="175" t="s">
        <v>229</v>
      </c>
      <c r="C48" s="175" t="s">
        <v>632</v>
      </c>
      <c r="E48" s="175" t="s">
        <v>419</v>
      </c>
      <c r="F48" s="175" t="s">
        <v>419</v>
      </c>
      <c r="G48" s="175" t="s">
        <v>419</v>
      </c>
      <c r="H48" s="175" t="s">
        <v>419</v>
      </c>
      <c r="I48" s="175" t="s">
        <v>419</v>
      </c>
      <c r="L48" s="175" t="s">
        <v>632</v>
      </c>
      <c r="P48" s="175" t="s">
        <v>632</v>
      </c>
      <c r="T48" s="175" t="s">
        <v>632</v>
      </c>
      <c r="X48" s="175" t="s">
        <v>632</v>
      </c>
      <c r="Z48" s="175" t="s">
        <v>419</v>
      </c>
      <c r="AA48" s="175" t="s">
        <v>632</v>
      </c>
      <c r="AB48" s="175" t="s">
        <v>419</v>
      </c>
      <c r="AC48" s="175" t="s">
        <v>419</v>
      </c>
      <c r="AD48" s="175" t="s">
        <v>419</v>
      </c>
      <c r="AE48" s="175" t="s">
        <v>419</v>
      </c>
      <c r="AF48" s="175" t="s">
        <v>213</v>
      </c>
      <c r="AG48" s="175">
        <v>1</v>
      </c>
      <c r="AH48" s="175" t="s">
        <v>640</v>
      </c>
      <c r="AI48" s="175" t="s">
        <v>640</v>
      </c>
      <c r="AJ48" s="175" t="s">
        <v>640</v>
      </c>
      <c r="AK48" s="175" t="s">
        <v>640</v>
      </c>
      <c r="AL48" s="1159" t="s">
        <v>419</v>
      </c>
      <c r="AM48" s="175" t="s">
        <v>419</v>
      </c>
      <c r="AN48" s="175" t="s">
        <v>419</v>
      </c>
      <c r="AO48" s="175" t="s">
        <v>419</v>
      </c>
      <c r="AP48" s="175">
        <v>24</v>
      </c>
      <c r="AQ48" s="175">
        <v>216</v>
      </c>
      <c r="AR48" s="175" t="s">
        <v>419</v>
      </c>
      <c r="AS48" s="192" t="s">
        <v>419</v>
      </c>
    </row>
    <row r="49" spans="1:45" ht="16.5" customHeight="1">
      <c r="A49" s="174">
        <v>46205</v>
      </c>
      <c r="B49" s="175" t="s">
        <v>230</v>
      </c>
      <c r="C49" s="175" t="s">
        <v>632</v>
      </c>
      <c r="E49" s="175" t="s">
        <v>419</v>
      </c>
      <c r="F49" s="175" t="s">
        <v>419</v>
      </c>
      <c r="G49" s="175" t="s">
        <v>419</v>
      </c>
      <c r="H49" s="175" t="s">
        <v>419</v>
      </c>
      <c r="I49" s="175" t="s">
        <v>419</v>
      </c>
      <c r="L49" s="175" t="s">
        <v>632</v>
      </c>
      <c r="P49" s="175" t="s">
        <v>632</v>
      </c>
      <c r="T49" s="175" t="s">
        <v>632</v>
      </c>
      <c r="X49" s="175" t="s">
        <v>632</v>
      </c>
      <c r="Z49" s="175" t="s">
        <v>419</v>
      </c>
      <c r="AA49" s="175" t="s">
        <v>632</v>
      </c>
      <c r="AB49" s="175" t="s">
        <v>419</v>
      </c>
      <c r="AC49" s="175" t="s">
        <v>419</v>
      </c>
      <c r="AD49" s="175" t="s">
        <v>419</v>
      </c>
      <c r="AE49" s="175" t="s">
        <v>419</v>
      </c>
      <c r="AF49" s="175" t="s">
        <v>213</v>
      </c>
      <c r="AG49" s="175">
        <v>1</v>
      </c>
      <c r="AH49" s="175" t="s">
        <v>640</v>
      </c>
      <c r="AI49" s="175" t="s">
        <v>640</v>
      </c>
      <c r="AJ49" s="175" t="s">
        <v>640</v>
      </c>
      <c r="AK49" s="175" t="s">
        <v>640</v>
      </c>
      <c r="AL49" s="1159" t="s">
        <v>419</v>
      </c>
      <c r="AM49" s="175" t="s">
        <v>419</v>
      </c>
      <c r="AN49" s="175" t="s">
        <v>419</v>
      </c>
      <c r="AO49" s="175" t="s">
        <v>419</v>
      </c>
      <c r="AP49" s="175">
        <v>24</v>
      </c>
      <c r="AQ49" s="175">
        <v>216</v>
      </c>
      <c r="AR49" s="175" t="s">
        <v>419</v>
      </c>
      <c r="AS49" s="192" t="s">
        <v>419</v>
      </c>
    </row>
    <row r="50" spans="1:45" ht="16.5" customHeight="1">
      <c r="A50" s="174">
        <v>46205</v>
      </c>
      <c r="B50" s="175" t="s">
        <v>231</v>
      </c>
      <c r="C50" s="175" t="s">
        <v>632</v>
      </c>
      <c r="E50" s="175" t="s">
        <v>419</v>
      </c>
      <c r="F50" s="175" t="s">
        <v>419</v>
      </c>
      <c r="G50" s="175" t="s">
        <v>419</v>
      </c>
      <c r="H50" s="175" t="s">
        <v>419</v>
      </c>
      <c r="I50" s="175" t="s">
        <v>419</v>
      </c>
      <c r="L50" s="175" t="s">
        <v>632</v>
      </c>
      <c r="P50" s="175" t="s">
        <v>632</v>
      </c>
      <c r="T50" s="175" t="s">
        <v>632</v>
      </c>
      <c r="X50" s="175" t="s">
        <v>632</v>
      </c>
      <c r="Z50" s="175" t="s">
        <v>419</v>
      </c>
      <c r="AA50" s="175" t="s">
        <v>632</v>
      </c>
      <c r="AB50" s="175" t="s">
        <v>419</v>
      </c>
      <c r="AC50" s="175" t="s">
        <v>419</v>
      </c>
      <c r="AD50" s="175" t="s">
        <v>419</v>
      </c>
      <c r="AE50" s="175" t="s">
        <v>419</v>
      </c>
      <c r="AF50" s="175" t="s">
        <v>232</v>
      </c>
      <c r="AG50" s="175">
        <v>1</v>
      </c>
      <c r="AH50" s="175" t="s">
        <v>640</v>
      </c>
      <c r="AI50" s="175" t="s">
        <v>640</v>
      </c>
      <c r="AJ50" s="175" t="s">
        <v>640</v>
      </c>
      <c r="AK50" s="175" t="s">
        <v>640</v>
      </c>
      <c r="AL50" s="1159" t="s">
        <v>419</v>
      </c>
      <c r="AM50" s="175" t="s">
        <v>419</v>
      </c>
      <c r="AN50" s="175" t="s">
        <v>419</v>
      </c>
      <c r="AO50" s="175" t="s">
        <v>419</v>
      </c>
      <c r="AP50" s="175">
        <v>24</v>
      </c>
      <c r="AQ50" s="175">
        <v>216</v>
      </c>
      <c r="AR50" s="175" t="s">
        <v>419</v>
      </c>
      <c r="AS50" s="192" t="s">
        <v>419</v>
      </c>
    </row>
    <row r="51" spans="1:45" ht="16.5" customHeight="1">
      <c r="A51" s="174">
        <v>46205</v>
      </c>
      <c r="B51" s="175" t="s">
        <v>233</v>
      </c>
      <c r="C51" s="175" t="s">
        <v>17268</v>
      </c>
      <c r="D51" s="175" t="s">
        <v>633</v>
      </c>
      <c r="E51" s="175" t="s">
        <v>16719</v>
      </c>
      <c r="F51" s="175" t="s">
        <v>17253</v>
      </c>
      <c r="G51" s="175">
        <v>600</v>
      </c>
      <c r="H51" s="175" t="s">
        <v>723</v>
      </c>
      <c r="I51" s="175">
        <v>5.5</v>
      </c>
      <c r="J51" s="175">
        <v>24</v>
      </c>
      <c r="K51" s="175">
        <v>7</v>
      </c>
      <c r="L51" s="175">
        <v>6960</v>
      </c>
      <c r="N51" s="175">
        <v>3</v>
      </c>
      <c r="O51" s="175">
        <v>1</v>
      </c>
      <c r="P51" s="175">
        <v>7180</v>
      </c>
      <c r="R51" s="175">
        <v>12</v>
      </c>
      <c r="S51" s="175">
        <v>0</v>
      </c>
      <c r="T51" s="175">
        <v>7150</v>
      </c>
      <c r="V51" s="175">
        <v>30</v>
      </c>
      <c r="W51" s="175">
        <v>5</v>
      </c>
      <c r="X51" s="175">
        <v>7030</v>
      </c>
      <c r="Z51" s="175">
        <v>5.0526315789473681</v>
      </c>
      <c r="AA51" s="175">
        <v>23</v>
      </c>
      <c r="AB51" s="175">
        <v>0.98763020833333337</v>
      </c>
      <c r="AC51" s="175">
        <v>70.8</v>
      </c>
      <c r="AD51" s="175">
        <v>2.875</v>
      </c>
      <c r="AE51" s="175">
        <v>2.3333333333333335</v>
      </c>
      <c r="AF51" s="175" t="s">
        <v>232</v>
      </c>
      <c r="AG51" s="175">
        <v>1</v>
      </c>
      <c r="AH51" s="175" t="s">
        <v>637</v>
      </c>
      <c r="AI51" s="175" t="s">
        <v>637</v>
      </c>
      <c r="AJ51" s="175" t="s">
        <v>15370</v>
      </c>
      <c r="AK51" s="175" t="s">
        <v>15370</v>
      </c>
      <c r="AL51" s="1159" t="s">
        <v>250</v>
      </c>
      <c r="AM51" s="175" t="s">
        <v>643</v>
      </c>
      <c r="AN51" s="175">
        <v>1.859</v>
      </c>
      <c r="AO51" s="175">
        <v>2.1</v>
      </c>
      <c r="AP51" s="175">
        <v>24</v>
      </c>
      <c r="AQ51" s="175">
        <v>216</v>
      </c>
      <c r="AR51" s="175">
        <v>3.1</v>
      </c>
      <c r="AS51" s="192">
        <v>29874.873599999999</v>
      </c>
    </row>
    <row r="52" spans="1:45" ht="16.5" customHeight="1">
      <c r="A52" s="174">
        <v>46205</v>
      </c>
      <c r="B52" s="175" t="s">
        <v>234</v>
      </c>
      <c r="C52" s="175" t="s">
        <v>632</v>
      </c>
      <c r="E52" s="175" t="s">
        <v>419</v>
      </c>
      <c r="F52" s="175" t="s">
        <v>419</v>
      </c>
      <c r="G52" s="175" t="s">
        <v>419</v>
      </c>
      <c r="H52" s="175" t="s">
        <v>419</v>
      </c>
      <c r="I52" s="175" t="s">
        <v>419</v>
      </c>
      <c r="L52" s="175" t="s">
        <v>632</v>
      </c>
      <c r="P52" s="175" t="s">
        <v>632</v>
      </c>
      <c r="T52" s="175" t="s">
        <v>632</v>
      </c>
      <c r="X52" s="175" t="s">
        <v>632</v>
      </c>
      <c r="Z52" s="175" t="s">
        <v>419</v>
      </c>
      <c r="AA52" s="175" t="s">
        <v>632</v>
      </c>
      <c r="AB52" s="175" t="s">
        <v>419</v>
      </c>
      <c r="AC52" s="175" t="s">
        <v>419</v>
      </c>
      <c r="AD52" s="175" t="s">
        <v>419</v>
      </c>
      <c r="AE52" s="175" t="s">
        <v>419</v>
      </c>
      <c r="AF52" s="175" t="s">
        <v>232</v>
      </c>
      <c r="AG52" s="175">
        <v>1</v>
      </c>
      <c r="AH52" s="175" t="s">
        <v>640</v>
      </c>
      <c r="AI52" s="175" t="s">
        <v>640</v>
      </c>
      <c r="AJ52" s="175" t="s">
        <v>640</v>
      </c>
      <c r="AK52" s="175" t="s">
        <v>640</v>
      </c>
      <c r="AL52" s="1159" t="s">
        <v>419</v>
      </c>
      <c r="AM52" s="175" t="s">
        <v>419</v>
      </c>
      <c r="AN52" s="175" t="s">
        <v>419</v>
      </c>
      <c r="AO52" s="175" t="s">
        <v>419</v>
      </c>
      <c r="AP52" s="175">
        <v>24</v>
      </c>
      <c r="AQ52" s="175">
        <v>216</v>
      </c>
      <c r="AR52" s="175" t="s">
        <v>419</v>
      </c>
      <c r="AS52" s="192" t="s">
        <v>419</v>
      </c>
    </row>
    <row r="53" spans="1:45" ht="16.5" customHeight="1">
      <c r="A53" s="174">
        <v>46205</v>
      </c>
      <c r="B53" s="175" t="s">
        <v>235</v>
      </c>
      <c r="C53" s="175" t="s">
        <v>17289</v>
      </c>
      <c r="D53" s="175" t="s">
        <v>633</v>
      </c>
      <c r="E53" s="175" t="s">
        <v>16719</v>
      </c>
      <c r="F53" s="175" t="s">
        <v>17290</v>
      </c>
      <c r="G53" s="175">
        <v>700</v>
      </c>
      <c r="H53" s="175" t="s">
        <v>776</v>
      </c>
      <c r="I53" s="175">
        <v>5.5</v>
      </c>
      <c r="J53" s="175">
        <v>36</v>
      </c>
      <c r="K53" s="175">
        <v>0</v>
      </c>
      <c r="L53" s="175">
        <v>9170</v>
      </c>
      <c r="M53" s="175">
        <v>9440</v>
      </c>
      <c r="N53" s="175">
        <v>19</v>
      </c>
      <c r="O53" s="175">
        <v>0</v>
      </c>
      <c r="P53" s="175">
        <v>9170</v>
      </c>
      <c r="Q53" s="175">
        <v>9810</v>
      </c>
      <c r="R53" s="175">
        <v>10</v>
      </c>
      <c r="S53" s="175">
        <v>0</v>
      </c>
      <c r="T53" s="175">
        <v>9070</v>
      </c>
      <c r="U53" s="175">
        <v>9810</v>
      </c>
      <c r="V53" s="175">
        <v>27</v>
      </c>
      <c r="W53" s="175">
        <v>0</v>
      </c>
      <c r="X53" s="175">
        <v>9070</v>
      </c>
      <c r="Y53" s="175">
        <v>9810</v>
      </c>
      <c r="Z53" s="175">
        <v>5.8775510204081636</v>
      </c>
      <c r="AA53" s="175">
        <v>30.666666666666668</v>
      </c>
      <c r="AB53" s="175">
        <v>1</v>
      </c>
      <c r="AC53" s="175">
        <v>94.1875</v>
      </c>
      <c r="AD53" s="175">
        <v>3.8333333333333335</v>
      </c>
      <c r="AE53" s="175">
        <v>3.8333333333333335</v>
      </c>
      <c r="AF53" s="175" t="s">
        <v>236</v>
      </c>
      <c r="AG53" s="175">
        <v>1</v>
      </c>
      <c r="AH53" s="175" t="s">
        <v>15337</v>
      </c>
      <c r="AI53" s="175" t="s">
        <v>15337</v>
      </c>
      <c r="AJ53" s="175" t="s">
        <v>652</v>
      </c>
      <c r="AK53" s="175" t="s">
        <v>652</v>
      </c>
      <c r="AL53" s="1159" t="s">
        <v>251</v>
      </c>
      <c r="AM53" s="175" t="s">
        <v>460</v>
      </c>
      <c r="AN53" s="175">
        <v>1.1890000000000001</v>
      </c>
      <c r="AO53" s="175">
        <v>3</v>
      </c>
      <c r="AP53" s="175">
        <v>24</v>
      </c>
      <c r="AQ53" s="175">
        <v>216</v>
      </c>
      <c r="AR53" s="175">
        <v>4</v>
      </c>
      <c r="AS53" s="192">
        <v>24655.103999999999</v>
      </c>
    </row>
    <row r="54" spans="1:45" ht="16.5" customHeight="1">
      <c r="A54" s="174">
        <v>46205</v>
      </c>
      <c r="B54" s="175" t="s">
        <v>237</v>
      </c>
      <c r="C54" s="175" t="s">
        <v>17251</v>
      </c>
      <c r="D54" s="175" t="s">
        <v>633</v>
      </c>
      <c r="E54" s="175" t="s">
        <v>16719</v>
      </c>
      <c r="F54" s="175" t="s">
        <v>17253</v>
      </c>
      <c r="G54" s="175">
        <v>700</v>
      </c>
      <c r="H54" s="175" t="s">
        <v>646</v>
      </c>
      <c r="I54" s="175">
        <v>5.5</v>
      </c>
      <c r="J54" s="175">
        <v>49</v>
      </c>
      <c r="K54" s="175">
        <v>5</v>
      </c>
      <c r="L54" s="175">
        <v>8330</v>
      </c>
      <c r="M54" s="175">
        <v>7780</v>
      </c>
      <c r="N54" s="175">
        <v>53</v>
      </c>
      <c r="O54" s="175">
        <v>1</v>
      </c>
      <c r="P54" s="175">
        <v>8150</v>
      </c>
      <c r="Q54" s="175">
        <v>9350</v>
      </c>
      <c r="R54" s="175">
        <v>21</v>
      </c>
      <c r="S54" s="175">
        <v>0</v>
      </c>
      <c r="T54" s="175">
        <v>8330</v>
      </c>
      <c r="U54" s="175">
        <v>8060</v>
      </c>
      <c r="V54" s="175">
        <v>41</v>
      </c>
      <c r="W54" s="175">
        <v>0</v>
      </c>
      <c r="X54" s="175">
        <v>7690</v>
      </c>
      <c r="Y54" s="175">
        <v>8430</v>
      </c>
      <c r="Z54" s="175">
        <v>5.8775510204081636</v>
      </c>
      <c r="AA54" s="175">
        <v>54.666666666666664</v>
      </c>
      <c r="AB54" s="175">
        <v>0.99509214743589747</v>
      </c>
      <c r="AC54" s="175">
        <v>82.65</v>
      </c>
      <c r="AD54" s="175">
        <v>6.833333333333333</v>
      </c>
      <c r="AE54" s="175">
        <v>6.583333333333333</v>
      </c>
      <c r="AF54" s="175" t="s">
        <v>236</v>
      </c>
      <c r="AG54" s="175">
        <v>1</v>
      </c>
      <c r="AH54" s="175" t="s">
        <v>638</v>
      </c>
      <c r="AI54" s="175" t="s">
        <v>638</v>
      </c>
      <c r="AJ54" s="175" t="s">
        <v>835</v>
      </c>
      <c r="AK54" s="175" t="s">
        <v>835</v>
      </c>
      <c r="AL54" s="1159" t="s">
        <v>250</v>
      </c>
      <c r="AM54" s="175" t="s">
        <v>460</v>
      </c>
      <c r="AN54" s="175">
        <v>1.1890000000000001</v>
      </c>
      <c r="AO54" s="175">
        <v>2.9</v>
      </c>
      <c r="AP54" s="175">
        <v>24</v>
      </c>
      <c r="AQ54" s="175">
        <v>216</v>
      </c>
      <c r="AR54" s="175">
        <v>3.9</v>
      </c>
      <c r="AS54" s="192">
        <v>24038.7264</v>
      </c>
    </row>
    <row r="55" spans="1:45" ht="16.5" customHeight="1">
      <c r="A55" s="174">
        <v>46205</v>
      </c>
      <c r="B55" s="175" t="s">
        <v>238</v>
      </c>
      <c r="C55" s="175" t="s">
        <v>17248</v>
      </c>
      <c r="D55" s="175" t="s">
        <v>633</v>
      </c>
      <c r="E55" s="175" t="s">
        <v>16719</v>
      </c>
      <c r="F55" s="175" t="s">
        <v>17249</v>
      </c>
      <c r="G55" s="175">
        <v>600</v>
      </c>
      <c r="H55" s="175" t="s">
        <v>877</v>
      </c>
      <c r="I55" s="175">
        <v>5.5</v>
      </c>
      <c r="J55" s="175">
        <v>26</v>
      </c>
      <c r="K55" s="175">
        <v>0</v>
      </c>
      <c r="L55" s="175">
        <v>8570</v>
      </c>
      <c r="M55" s="175">
        <v>8890</v>
      </c>
      <c r="N55" s="175">
        <v>22</v>
      </c>
      <c r="O55" s="175">
        <v>0</v>
      </c>
      <c r="P55" s="175">
        <v>9350</v>
      </c>
      <c r="Q55" s="175">
        <v>9720</v>
      </c>
      <c r="R55" s="175">
        <v>12</v>
      </c>
      <c r="S55" s="175">
        <v>0</v>
      </c>
      <c r="T55" s="175">
        <v>9350</v>
      </c>
      <c r="U55" s="175">
        <v>9720</v>
      </c>
      <c r="V55" s="175">
        <v>26</v>
      </c>
      <c r="W55" s="175">
        <v>0</v>
      </c>
      <c r="X55" s="175">
        <v>9350</v>
      </c>
      <c r="Y55" s="175">
        <v>9720</v>
      </c>
      <c r="Z55" s="175">
        <v>5.034965034965035</v>
      </c>
      <c r="AA55" s="175">
        <v>28.666666666666668</v>
      </c>
      <c r="AB55" s="175">
        <v>1</v>
      </c>
      <c r="AC55" s="175">
        <v>93.337500000000006</v>
      </c>
      <c r="AD55" s="175">
        <v>3.5833333333333335</v>
      </c>
      <c r="AE55" s="175">
        <v>3.5833333333333335</v>
      </c>
      <c r="AF55" s="175" t="s">
        <v>236</v>
      </c>
      <c r="AG55" s="175">
        <v>1</v>
      </c>
      <c r="AH55" s="175" t="s">
        <v>15337</v>
      </c>
      <c r="AI55" s="175" t="s">
        <v>15337</v>
      </c>
      <c r="AJ55" s="175" t="s">
        <v>652</v>
      </c>
      <c r="AK55" s="175" t="s">
        <v>652</v>
      </c>
      <c r="AL55" s="1159" t="s">
        <v>251</v>
      </c>
      <c r="AM55" s="175" t="s">
        <v>460</v>
      </c>
      <c r="AN55" s="175">
        <v>1.1890000000000001</v>
      </c>
      <c r="AO55" s="175">
        <v>3</v>
      </c>
      <c r="AP55" s="175">
        <v>24</v>
      </c>
      <c r="AQ55" s="175">
        <v>216</v>
      </c>
      <c r="AR55" s="175">
        <v>4</v>
      </c>
      <c r="AS55" s="192">
        <v>24655.103999999999</v>
      </c>
    </row>
    <row r="56" spans="1:45" ht="16.5" customHeight="1">
      <c r="A56" s="174">
        <v>46205</v>
      </c>
      <c r="B56" s="175" t="s">
        <v>239</v>
      </c>
      <c r="C56" s="175" t="s">
        <v>17266</v>
      </c>
      <c r="E56" s="175" t="s">
        <v>754</v>
      </c>
      <c r="F56" s="175" t="s">
        <v>17267</v>
      </c>
      <c r="G56" s="175">
        <v>600</v>
      </c>
      <c r="H56" s="175" t="s">
        <v>842</v>
      </c>
      <c r="I56" s="175">
        <v>4</v>
      </c>
      <c r="J56" s="175">
        <v>11</v>
      </c>
      <c r="K56" s="175">
        <v>0</v>
      </c>
      <c r="L56" s="175">
        <v>9350</v>
      </c>
      <c r="N56" s="175">
        <v>7</v>
      </c>
      <c r="O56" s="175">
        <v>3</v>
      </c>
      <c r="P56" s="175">
        <v>9350</v>
      </c>
      <c r="R56" s="175">
        <v>6</v>
      </c>
      <c r="S56" s="175">
        <v>0</v>
      </c>
      <c r="T56" s="175">
        <v>9440</v>
      </c>
      <c r="V56" s="175">
        <v>9</v>
      </c>
      <c r="W56" s="175">
        <v>0</v>
      </c>
      <c r="X56" s="175">
        <v>9440</v>
      </c>
      <c r="Z56" s="175">
        <v>3.6</v>
      </c>
      <c r="AA56" s="175">
        <v>22</v>
      </c>
      <c r="AB56" s="175">
        <v>0.99599358974358976</v>
      </c>
      <c r="AC56" s="175">
        <v>93.95</v>
      </c>
      <c r="AD56" s="175">
        <v>2.75</v>
      </c>
      <c r="AE56" s="175">
        <v>2.5</v>
      </c>
      <c r="AF56" s="175" t="s">
        <v>236</v>
      </c>
      <c r="AG56" s="175">
        <v>2</v>
      </c>
      <c r="AH56" s="175" t="s">
        <v>638</v>
      </c>
      <c r="AI56" s="175" t="s">
        <v>638</v>
      </c>
      <c r="AJ56" s="175" t="s">
        <v>835</v>
      </c>
      <c r="AK56" s="175" t="s">
        <v>835</v>
      </c>
      <c r="AL56" s="1159" t="s">
        <v>251</v>
      </c>
      <c r="AM56" s="175" t="s">
        <v>126</v>
      </c>
      <c r="AN56" s="175">
        <v>0.91100000000000003</v>
      </c>
      <c r="AO56" s="175">
        <v>1.5</v>
      </c>
      <c r="AP56" s="175">
        <v>24</v>
      </c>
      <c r="AQ56" s="175">
        <v>216</v>
      </c>
      <c r="AR56" s="175">
        <v>2.5</v>
      </c>
      <c r="AS56" s="192">
        <v>11806.560000000001</v>
      </c>
    </row>
    <row r="57" spans="1:45" ht="16.5" customHeight="1">
      <c r="A57" s="174">
        <v>46205</v>
      </c>
      <c r="B57" s="175" t="s">
        <v>239</v>
      </c>
      <c r="C57" s="175" t="s">
        <v>17241</v>
      </c>
      <c r="E57" s="175" t="s">
        <v>16723</v>
      </c>
      <c r="F57" s="175" t="s">
        <v>17243</v>
      </c>
      <c r="G57" s="175">
        <v>550</v>
      </c>
      <c r="H57" s="175" t="s">
        <v>868</v>
      </c>
      <c r="I57" s="175">
        <v>5.5</v>
      </c>
      <c r="J57" s="175">
        <v>28</v>
      </c>
      <c r="K57" s="175">
        <v>10</v>
      </c>
      <c r="M57" s="175">
        <v>9630</v>
      </c>
      <c r="N57" s="175">
        <v>7</v>
      </c>
      <c r="O57" s="175">
        <v>0</v>
      </c>
      <c r="Q57" s="175">
        <v>9610</v>
      </c>
      <c r="R57" s="175">
        <v>5</v>
      </c>
      <c r="S57" s="175">
        <v>0</v>
      </c>
      <c r="U57" s="175">
        <v>9440</v>
      </c>
      <c r="V57" s="175">
        <v>17</v>
      </c>
      <c r="W57" s="175">
        <v>0</v>
      </c>
      <c r="Y57" s="175">
        <v>9440</v>
      </c>
      <c r="Z57" s="175">
        <v>6.6055045871559646</v>
      </c>
      <c r="AA57" s="175">
        <v>38</v>
      </c>
      <c r="AB57" s="175">
        <v>0.99272168803418803</v>
      </c>
      <c r="AC57" s="175">
        <v>95.3</v>
      </c>
      <c r="AD57" s="175">
        <v>4.75</v>
      </c>
      <c r="AE57" s="175">
        <v>3.9166666666666665</v>
      </c>
      <c r="AF57" s="175" t="s">
        <v>236</v>
      </c>
      <c r="AG57" s="175">
        <v>2</v>
      </c>
      <c r="AH57" s="175" t="s">
        <v>638</v>
      </c>
      <c r="AI57" s="175" t="s">
        <v>638</v>
      </c>
      <c r="AJ57" s="175" t="s">
        <v>835</v>
      </c>
      <c r="AK57" s="175" t="s">
        <v>835</v>
      </c>
      <c r="AM57" s="175" t="s">
        <v>643</v>
      </c>
      <c r="AN57" s="175">
        <v>1.859</v>
      </c>
      <c r="AO57" s="175">
        <v>3.3</v>
      </c>
      <c r="AP57" s="175">
        <v>24</v>
      </c>
      <c r="AQ57" s="175">
        <v>216</v>
      </c>
      <c r="AR57" s="175">
        <v>4.3</v>
      </c>
      <c r="AS57" s="192">
        <v>41439.340799999998</v>
      </c>
    </row>
    <row r="58" spans="1:45" ht="16.5" customHeight="1">
      <c r="A58" s="174">
        <v>46205</v>
      </c>
      <c r="B58" s="175" t="s">
        <v>388</v>
      </c>
      <c r="C58" s="175" t="s">
        <v>17296</v>
      </c>
      <c r="D58" s="175" t="s">
        <v>633</v>
      </c>
      <c r="E58" s="175" t="s">
        <v>16719</v>
      </c>
      <c r="F58" s="175" t="s">
        <v>17290</v>
      </c>
      <c r="G58" s="175">
        <v>700</v>
      </c>
      <c r="H58" s="175" t="s">
        <v>15541</v>
      </c>
      <c r="I58" s="175">
        <v>5.5</v>
      </c>
      <c r="J58" s="175">
        <v>32</v>
      </c>
      <c r="K58" s="175">
        <v>0</v>
      </c>
      <c r="L58" s="175" t="s">
        <v>17315</v>
      </c>
      <c r="M58" s="175">
        <v>9910</v>
      </c>
      <c r="N58" s="175">
        <v>9</v>
      </c>
      <c r="O58" s="175">
        <v>0</v>
      </c>
      <c r="P58" s="175" t="s">
        <v>632</v>
      </c>
      <c r="Q58" s="175">
        <v>9910</v>
      </c>
      <c r="R58" s="175">
        <v>4</v>
      </c>
      <c r="S58" s="175">
        <v>0</v>
      </c>
      <c r="T58" s="175" t="s">
        <v>632</v>
      </c>
      <c r="U58" s="175">
        <v>9910</v>
      </c>
      <c r="V58" s="175">
        <v>5</v>
      </c>
      <c r="W58" s="175">
        <v>0</v>
      </c>
      <c r="X58" s="175" t="s">
        <v>632</v>
      </c>
      <c r="Y58" s="175">
        <v>9910</v>
      </c>
      <c r="Z58" s="175">
        <v>5.8299595141700413</v>
      </c>
      <c r="AA58" s="175">
        <v>33.333333333333336</v>
      </c>
      <c r="AB58" s="175">
        <v>1</v>
      </c>
      <c r="AC58" s="175">
        <v>99.1</v>
      </c>
      <c r="AD58" s="175">
        <v>4.166666666666667</v>
      </c>
      <c r="AE58" s="175">
        <v>4.166666666666667</v>
      </c>
      <c r="AF58" s="175" t="s">
        <v>236</v>
      </c>
      <c r="AG58" s="175">
        <v>2</v>
      </c>
      <c r="AH58" s="175" t="s">
        <v>15337</v>
      </c>
      <c r="AI58" s="175" t="s">
        <v>15337</v>
      </c>
      <c r="AJ58" s="175" t="s">
        <v>652</v>
      </c>
      <c r="AK58" s="175" t="s">
        <v>652</v>
      </c>
      <c r="AL58" s="1159" t="s">
        <v>251</v>
      </c>
      <c r="AM58" s="175" t="s">
        <v>460</v>
      </c>
      <c r="AN58" s="175">
        <v>1.1890000000000001</v>
      </c>
      <c r="AO58" s="175">
        <v>2.8</v>
      </c>
      <c r="AP58" s="175">
        <v>24</v>
      </c>
      <c r="AQ58" s="175">
        <v>216</v>
      </c>
      <c r="AR58" s="175">
        <v>3.8</v>
      </c>
      <c r="AS58" s="192">
        <v>23422.3488</v>
      </c>
    </row>
    <row r="59" spans="1:45" ht="16.5" customHeight="1">
      <c r="A59" s="174">
        <v>46205</v>
      </c>
      <c r="B59" s="175" t="s">
        <v>417</v>
      </c>
      <c r="C59" s="175" t="s">
        <v>17291</v>
      </c>
      <c r="D59" s="175" t="s">
        <v>633</v>
      </c>
      <c r="E59" s="175" t="s">
        <v>16719</v>
      </c>
      <c r="F59" s="175" t="s">
        <v>17290</v>
      </c>
      <c r="G59" s="175">
        <v>700</v>
      </c>
      <c r="H59" s="175" t="s">
        <v>724</v>
      </c>
      <c r="I59" s="175">
        <v>5.5</v>
      </c>
      <c r="J59" s="175">
        <v>26</v>
      </c>
      <c r="K59" s="175">
        <v>0</v>
      </c>
      <c r="L59" s="175">
        <v>9910</v>
      </c>
      <c r="M59" s="175">
        <v>9540</v>
      </c>
      <c r="N59" s="175">
        <v>23</v>
      </c>
      <c r="O59" s="175">
        <v>0</v>
      </c>
      <c r="P59" s="175">
        <v>10000</v>
      </c>
      <c r="Q59" s="175">
        <v>9720</v>
      </c>
      <c r="R59" s="175">
        <v>15</v>
      </c>
      <c r="S59" s="175">
        <v>0</v>
      </c>
      <c r="T59" s="175">
        <v>9910</v>
      </c>
      <c r="U59" s="175">
        <v>9070</v>
      </c>
      <c r="V59" s="175">
        <v>22</v>
      </c>
      <c r="W59" s="175">
        <v>0</v>
      </c>
      <c r="X59" s="175">
        <v>9910</v>
      </c>
      <c r="Y59" s="175">
        <v>9440</v>
      </c>
      <c r="Z59" s="175">
        <v>5.8299595141700413</v>
      </c>
      <c r="AA59" s="175">
        <v>28.666666666666668</v>
      </c>
      <c r="AB59" s="175">
        <v>1</v>
      </c>
      <c r="AC59" s="175">
        <v>96.875</v>
      </c>
      <c r="AD59" s="175">
        <v>3.5833333333333335</v>
      </c>
      <c r="AE59" s="175">
        <v>3.5833333333333335</v>
      </c>
      <c r="AF59" s="175" t="s">
        <v>236</v>
      </c>
      <c r="AG59" s="175">
        <v>1</v>
      </c>
      <c r="AH59" s="175" t="s">
        <v>638</v>
      </c>
      <c r="AI59" s="175" t="s">
        <v>638</v>
      </c>
      <c r="AJ59" s="175" t="s">
        <v>835</v>
      </c>
      <c r="AK59" s="175" t="s">
        <v>835</v>
      </c>
      <c r="AL59" s="1159" t="s">
        <v>251</v>
      </c>
      <c r="AM59" s="175" t="s">
        <v>460</v>
      </c>
      <c r="AN59" s="175">
        <v>1.1890000000000001</v>
      </c>
      <c r="AO59" s="175">
        <v>2.8</v>
      </c>
      <c r="AP59" s="175">
        <v>24</v>
      </c>
      <c r="AQ59" s="175">
        <v>216</v>
      </c>
      <c r="AR59" s="175">
        <v>3.8</v>
      </c>
      <c r="AS59" s="192">
        <v>23422.3488</v>
      </c>
    </row>
    <row r="60" spans="1:45" ht="16.5" customHeight="1">
      <c r="A60" s="174">
        <v>46205</v>
      </c>
      <c r="B60" s="175" t="s">
        <v>240</v>
      </c>
      <c r="C60" s="175" t="s">
        <v>632</v>
      </c>
      <c r="E60" s="175" t="s">
        <v>419</v>
      </c>
      <c r="F60" s="175" t="s">
        <v>419</v>
      </c>
      <c r="G60" s="175" t="s">
        <v>419</v>
      </c>
      <c r="H60" s="175" t="s">
        <v>419</v>
      </c>
      <c r="I60" s="175" t="s">
        <v>419</v>
      </c>
      <c r="L60" s="175" t="s">
        <v>632</v>
      </c>
      <c r="P60" s="175" t="s">
        <v>632</v>
      </c>
      <c r="T60" s="175" t="s">
        <v>632</v>
      </c>
      <c r="X60" s="175" t="s">
        <v>632</v>
      </c>
      <c r="Z60" s="175" t="s">
        <v>419</v>
      </c>
      <c r="AA60" s="175" t="s">
        <v>632</v>
      </c>
      <c r="AB60" s="175" t="s">
        <v>419</v>
      </c>
      <c r="AC60" s="175" t="s">
        <v>419</v>
      </c>
      <c r="AD60" s="175" t="s">
        <v>419</v>
      </c>
      <c r="AE60" s="175" t="s">
        <v>419</v>
      </c>
      <c r="AF60" s="175" t="s">
        <v>241</v>
      </c>
      <c r="AG60" s="175">
        <v>12</v>
      </c>
      <c r="AH60" s="175" t="s">
        <v>640</v>
      </c>
      <c r="AI60" s="175" t="s">
        <v>640</v>
      </c>
      <c r="AJ60" s="175" t="s">
        <v>640</v>
      </c>
      <c r="AK60" s="175" t="s">
        <v>640</v>
      </c>
      <c r="AL60" s="1159" t="s">
        <v>419</v>
      </c>
      <c r="AM60" s="175" t="s">
        <v>419</v>
      </c>
      <c r="AN60" s="175" t="s">
        <v>419</v>
      </c>
      <c r="AO60" s="175" t="s">
        <v>419</v>
      </c>
      <c r="AP60" s="175">
        <v>24</v>
      </c>
      <c r="AQ60" s="175">
        <v>216</v>
      </c>
      <c r="AR60" s="175" t="s">
        <v>419</v>
      </c>
      <c r="AS60" s="192" t="s">
        <v>419</v>
      </c>
    </row>
    <row r="61" spans="1:45" ht="16.5" customHeight="1">
      <c r="A61" s="174">
        <v>46205</v>
      </c>
      <c r="B61" s="175" t="s">
        <v>242</v>
      </c>
      <c r="C61" s="175" t="s">
        <v>385</v>
      </c>
      <c r="E61" s="175" t="s">
        <v>419</v>
      </c>
      <c r="F61" s="175" t="s">
        <v>419</v>
      </c>
      <c r="G61" s="175" t="s">
        <v>419</v>
      </c>
      <c r="H61" s="175" t="s">
        <v>419</v>
      </c>
      <c r="I61" s="175" t="s">
        <v>419</v>
      </c>
      <c r="L61" s="175" t="s">
        <v>385</v>
      </c>
      <c r="P61" s="175" t="s">
        <v>385</v>
      </c>
      <c r="T61" s="175" t="s">
        <v>385</v>
      </c>
      <c r="X61" s="175" t="s">
        <v>385</v>
      </c>
      <c r="Z61" s="175" t="s">
        <v>419</v>
      </c>
      <c r="AA61" s="175" t="s">
        <v>385</v>
      </c>
      <c r="AB61" s="175" t="s">
        <v>419</v>
      </c>
      <c r="AC61" s="175" t="s">
        <v>419</v>
      </c>
      <c r="AD61" s="175" t="s">
        <v>419</v>
      </c>
      <c r="AE61" s="175" t="s">
        <v>419</v>
      </c>
      <c r="AF61" s="175" t="s">
        <v>241</v>
      </c>
      <c r="AG61" s="175">
        <v>5</v>
      </c>
      <c r="AH61" s="175" t="s">
        <v>634</v>
      </c>
      <c r="AI61" s="175" t="s">
        <v>634</v>
      </c>
      <c r="AJ61" s="175" t="s">
        <v>635</v>
      </c>
      <c r="AK61" s="175" t="s">
        <v>635</v>
      </c>
      <c r="AL61" s="1159" t="s">
        <v>419</v>
      </c>
      <c r="AM61" s="175" t="s">
        <v>419</v>
      </c>
      <c r="AN61" s="175" t="s">
        <v>419</v>
      </c>
      <c r="AO61" s="175" t="s">
        <v>419</v>
      </c>
      <c r="AP61" s="175">
        <v>24</v>
      </c>
      <c r="AQ61" s="175">
        <v>216</v>
      </c>
      <c r="AR61" s="175" t="s">
        <v>419</v>
      </c>
      <c r="AS61" s="192" t="s">
        <v>419</v>
      </c>
    </row>
    <row r="62" spans="1:45" ht="16.5" customHeight="1">
      <c r="A62" s="174">
        <v>46206</v>
      </c>
      <c r="B62" s="175" t="s">
        <v>212</v>
      </c>
      <c r="C62" s="175" t="s">
        <v>632</v>
      </c>
      <c r="E62" s="175" t="s">
        <v>419</v>
      </c>
      <c r="F62" s="175" t="s">
        <v>419</v>
      </c>
      <c r="G62" s="175" t="s">
        <v>419</v>
      </c>
      <c r="H62" s="175" t="s">
        <v>419</v>
      </c>
      <c r="I62" s="175" t="s">
        <v>419</v>
      </c>
      <c r="L62" s="175" t="s">
        <v>632</v>
      </c>
      <c r="P62" s="175" t="s">
        <v>632</v>
      </c>
      <c r="T62" s="175" t="s">
        <v>632</v>
      </c>
      <c r="X62" s="175" t="s">
        <v>632</v>
      </c>
      <c r="Z62" s="175" t="s">
        <v>419</v>
      </c>
      <c r="AA62" s="175" t="s">
        <v>632</v>
      </c>
      <c r="AB62" s="175" t="s">
        <v>419</v>
      </c>
      <c r="AC62" s="175" t="s">
        <v>419</v>
      </c>
      <c r="AD62" s="175" t="s">
        <v>419</v>
      </c>
      <c r="AE62" s="175" t="s">
        <v>419</v>
      </c>
      <c r="AF62" s="175" t="s">
        <v>213</v>
      </c>
      <c r="AG62" s="175">
        <v>1</v>
      </c>
      <c r="AH62" s="175" t="s">
        <v>640</v>
      </c>
      <c r="AI62" s="175" t="s">
        <v>640</v>
      </c>
      <c r="AJ62" s="175" t="s">
        <v>640</v>
      </c>
      <c r="AK62" s="175" t="s">
        <v>640</v>
      </c>
      <c r="AL62" s="1159" t="s">
        <v>419</v>
      </c>
      <c r="AM62" s="175" t="s">
        <v>419</v>
      </c>
      <c r="AN62" s="175" t="s">
        <v>419</v>
      </c>
      <c r="AO62" s="175" t="s">
        <v>419</v>
      </c>
      <c r="AP62" s="175">
        <v>24</v>
      </c>
      <c r="AQ62" s="175">
        <v>216</v>
      </c>
      <c r="AR62" s="175" t="s">
        <v>419</v>
      </c>
      <c r="AS62" s="192" t="s">
        <v>419</v>
      </c>
    </row>
    <row r="63" spans="1:45" ht="16.5" customHeight="1">
      <c r="A63" s="174">
        <v>46206</v>
      </c>
      <c r="B63" s="175" t="s">
        <v>214</v>
      </c>
      <c r="C63" s="175" t="s">
        <v>632</v>
      </c>
      <c r="E63" s="175" t="s">
        <v>419</v>
      </c>
      <c r="F63" s="175" t="s">
        <v>419</v>
      </c>
      <c r="G63" s="175" t="s">
        <v>419</v>
      </c>
      <c r="H63" s="175" t="s">
        <v>419</v>
      </c>
      <c r="I63" s="175" t="s">
        <v>419</v>
      </c>
      <c r="L63" s="175" t="s">
        <v>632</v>
      </c>
      <c r="P63" s="175" t="s">
        <v>632</v>
      </c>
      <c r="T63" s="175" t="s">
        <v>632</v>
      </c>
      <c r="X63" s="175" t="s">
        <v>632</v>
      </c>
      <c r="Z63" s="175" t="s">
        <v>419</v>
      </c>
      <c r="AA63" s="175" t="s">
        <v>632</v>
      </c>
      <c r="AB63" s="175" t="s">
        <v>419</v>
      </c>
      <c r="AC63" s="175" t="s">
        <v>419</v>
      </c>
      <c r="AD63" s="175" t="s">
        <v>419</v>
      </c>
      <c r="AE63" s="175" t="s">
        <v>419</v>
      </c>
      <c r="AF63" s="175" t="s">
        <v>213</v>
      </c>
      <c r="AG63" s="175">
        <v>1</v>
      </c>
      <c r="AH63" s="175" t="s">
        <v>640</v>
      </c>
      <c r="AI63" s="175" t="s">
        <v>640</v>
      </c>
      <c r="AJ63" s="175" t="s">
        <v>640</v>
      </c>
      <c r="AK63" s="175" t="s">
        <v>640</v>
      </c>
      <c r="AL63" s="1159" t="s">
        <v>419</v>
      </c>
      <c r="AM63" s="175" t="s">
        <v>419</v>
      </c>
      <c r="AN63" s="175" t="s">
        <v>419</v>
      </c>
      <c r="AO63" s="175" t="s">
        <v>419</v>
      </c>
      <c r="AP63" s="175">
        <v>24</v>
      </c>
      <c r="AQ63" s="175">
        <v>216</v>
      </c>
      <c r="AR63" s="175" t="s">
        <v>419</v>
      </c>
      <c r="AS63" s="192" t="s">
        <v>419</v>
      </c>
    </row>
    <row r="64" spans="1:45" ht="16.5" customHeight="1">
      <c r="A64" s="174">
        <v>46206</v>
      </c>
      <c r="B64" s="175" t="s">
        <v>215</v>
      </c>
      <c r="C64" s="175" t="s">
        <v>17316</v>
      </c>
      <c r="E64" s="175" t="s">
        <v>5005</v>
      </c>
      <c r="F64" s="175" t="s">
        <v>17317</v>
      </c>
      <c r="G64" s="175">
        <v>500</v>
      </c>
      <c r="H64" s="175" t="s">
        <v>1186</v>
      </c>
      <c r="I64" s="175">
        <v>4</v>
      </c>
      <c r="L64" s="175" t="s">
        <v>642</v>
      </c>
      <c r="N64" s="175">
        <v>50</v>
      </c>
      <c r="O64" s="175">
        <v>0</v>
      </c>
      <c r="P64" s="175">
        <v>7386</v>
      </c>
      <c r="Q64" s="175">
        <v>5771</v>
      </c>
      <c r="R64" s="175">
        <v>42</v>
      </c>
      <c r="S64" s="175">
        <v>0</v>
      </c>
      <c r="T64" s="175">
        <v>7396</v>
      </c>
      <c r="U64" s="175">
        <v>5765</v>
      </c>
      <c r="V64" s="175">
        <v>24</v>
      </c>
      <c r="W64" s="175">
        <v>2</v>
      </c>
      <c r="X64" s="175">
        <v>7453</v>
      </c>
      <c r="Y64" s="175">
        <v>7251</v>
      </c>
      <c r="Z64" s="175">
        <v>2.9937629937629939</v>
      </c>
      <c r="AA64" s="175" t="s">
        <v>642</v>
      </c>
      <c r="AB64" s="175" t="s">
        <v>419</v>
      </c>
      <c r="AC64" s="175" t="s">
        <v>419</v>
      </c>
      <c r="AD64" s="175" t="s">
        <v>419</v>
      </c>
      <c r="AE64" s="175" t="s">
        <v>419</v>
      </c>
      <c r="AF64" s="175" t="s">
        <v>213</v>
      </c>
      <c r="AG64" s="175">
        <v>1</v>
      </c>
      <c r="AH64" s="175" t="s">
        <v>640</v>
      </c>
      <c r="AI64" s="175" t="s">
        <v>629</v>
      </c>
      <c r="AJ64" s="175" t="s">
        <v>725</v>
      </c>
      <c r="AK64" s="175" t="s">
        <v>725</v>
      </c>
      <c r="AL64" s="1159" t="s">
        <v>250</v>
      </c>
      <c r="AM64" s="175" t="s">
        <v>126</v>
      </c>
      <c r="AN64" s="175">
        <v>0.91100000000000003</v>
      </c>
      <c r="AO64" s="175">
        <v>1.9</v>
      </c>
      <c r="AP64" s="175">
        <v>24</v>
      </c>
      <c r="AQ64" s="175">
        <v>216</v>
      </c>
      <c r="AR64" s="175">
        <v>2.9</v>
      </c>
      <c r="AS64" s="192">
        <v>13695.6096</v>
      </c>
    </row>
    <row r="65" spans="1:45" ht="16.5" customHeight="1">
      <c r="A65" s="174">
        <v>46206</v>
      </c>
      <c r="B65" s="175" t="s">
        <v>216</v>
      </c>
      <c r="C65" s="175" t="s">
        <v>632</v>
      </c>
      <c r="E65" s="175" t="s">
        <v>419</v>
      </c>
      <c r="F65" s="175" t="s">
        <v>419</v>
      </c>
      <c r="G65" s="175" t="s">
        <v>419</v>
      </c>
      <c r="H65" s="175" t="s">
        <v>419</v>
      </c>
      <c r="I65" s="175" t="s">
        <v>419</v>
      </c>
      <c r="L65" s="175" t="s">
        <v>632</v>
      </c>
      <c r="P65" s="175" t="s">
        <v>632</v>
      </c>
      <c r="T65" s="175" t="s">
        <v>632</v>
      </c>
      <c r="X65" s="175" t="s">
        <v>632</v>
      </c>
      <c r="Z65" s="175" t="s">
        <v>419</v>
      </c>
      <c r="AA65" s="175" t="s">
        <v>632</v>
      </c>
      <c r="AB65" s="175" t="s">
        <v>419</v>
      </c>
      <c r="AC65" s="175" t="s">
        <v>419</v>
      </c>
      <c r="AD65" s="175" t="s">
        <v>419</v>
      </c>
      <c r="AE65" s="175" t="s">
        <v>419</v>
      </c>
      <c r="AF65" s="175" t="s">
        <v>213</v>
      </c>
      <c r="AG65" s="175">
        <v>1</v>
      </c>
      <c r="AH65" s="175" t="s">
        <v>640</v>
      </c>
      <c r="AI65" s="175" t="s">
        <v>640</v>
      </c>
      <c r="AJ65" s="175" t="s">
        <v>640</v>
      </c>
      <c r="AK65" s="175" t="s">
        <v>640</v>
      </c>
      <c r="AL65" s="1159" t="s">
        <v>419</v>
      </c>
      <c r="AM65" s="175" t="s">
        <v>419</v>
      </c>
      <c r="AN65" s="175" t="s">
        <v>419</v>
      </c>
      <c r="AO65" s="175" t="s">
        <v>419</v>
      </c>
      <c r="AP65" s="175">
        <v>24</v>
      </c>
      <c r="AQ65" s="175">
        <v>216</v>
      </c>
      <c r="AR65" s="175" t="s">
        <v>419</v>
      </c>
      <c r="AS65" s="192" t="s">
        <v>419</v>
      </c>
    </row>
    <row r="66" spans="1:45" ht="16.5" customHeight="1">
      <c r="A66" s="174">
        <v>46206</v>
      </c>
      <c r="B66" s="175" t="s">
        <v>217</v>
      </c>
      <c r="C66" s="175" t="s">
        <v>632</v>
      </c>
      <c r="E66" s="175" t="s">
        <v>419</v>
      </c>
      <c r="F66" s="175" t="s">
        <v>419</v>
      </c>
      <c r="G66" s="175" t="s">
        <v>419</v>
      </c>
      <c r="H66" s="175" t="s">
        <v>419</v>
      </c>
      <c r="I66" s="175" t="s">
        <v>419</v>
      </c>
      <c r="L66" s="175" t="s">
        <v>632</v>
      </c>
      <c r="P66" s="175" t="s">
        <v>632</v>
      </c>
      <c r="T66" s="175" t="s">
        <v>632</v>
      </c>
      <c r="X66" s="175" t="s">
        <v>632</v>
      </c>
      <c r="Z66" s="175" t="s">
        <v>419</v>
      </c>
      <c r="AA66" s="175" t="s">
        <v>632</v>
      </c>
      <c r="AB66" s="175" t="s">
        <v>419</v>
      </c>
      <c r="AC66" s="175" t="s">
        <v>419</v>
      </c>
      <c r="AD66" s="175" t="s">
        <v>419</v>
      </c>
      <c r="AE66" s="175" t="s">
        <v>419</v>
      </c>
      <c r="AF66" s="175" t="s">
        <v>213</v>
      </c>
      <c r="AG66" s="175">
        <v>1</v>
      </c>
      <c r="AH66" s="175" t="s">
        <v>640</v>
      </c>
      <c r="AI66" s="175" t="s">
        <v>640</v>
      </c>
      <c r="AJ66" s="175" t="s">
        <v>640</v>
      </c>
      <c r="AK66" s="175" t="s">
        <v>640</v>
      </c>
      <c r="AL66" s="1159" t="s">
        <v>419</v>
      </c>
      <c r="AM66" s="175" t="s">
        <v>419</v>
      </c>
      <c r="AN66" s="175" t="s">
        <v>419</v>
      </c>
      <c r="AO66" s="175" t="s">
        <v>419</v>
      </c>
      <c r="AP66" s="175">
        <v>24</v>
      </c>
      <c r="AQ66" s="175">
        <v>216</v>
      </c>
      <c r="AR66" s="175" t="s">
        <v>419</v>
      </c>
      <c r="AS66" s="192" t="s">
        <v>419</v>
      </c>
    </row>
    <row r="67" spans="1:45" ht="16.5" customHeight="1">
      <c r="A67" s="174">
        <v>46206</v>
      </c>
      <c r="B67" s="175" t="s">
        <v>218</v>
      </c>
      <c r="C67" s="175" t="s">
        <v>17221</v>
      </c>
      <c r="E67" s="175" t="s">
        <v>17237</v>
      </c>
      <c r="F67" s="175" t="s">
        <v>17229</v>
      </c>
      <c r="G67" s="175">
        <v>600</v>
      </c>
      <c r="H67" s="175" t="s">
        <v>15893</v>
      </c>
      <c r="I67" s="175">
        <v>5</v>
      </c>
      <c r="J67" s="175">
        <v>26</v>
      </c>
      <c r="K67" s="175">
        <v>0</v>
      </c>
      <c r="L67" s="175">
        <v>9346</v>
      </c>
      <c r="M67" s="175">
        <v>9351</v>
      </c>
      <c r="N67" s="175">
        <v>2</v>
      </c>
      <c r="O67" s="175">
        <v>0</v>
      </c>
      <c r="P67" s="175">
        <v>9444</v>
      </c>
      <c r="Q67" s="175">
        <v>9630</v>
      </c>
      <c r="R67" s="175">
        <v>8</v>
      </c>
      <c r="S67" s="175">
        <v>0</v>
      </c>
      <c r="T67" s="175">
        <v>9418</v>
      </c>
      <c r="U67" s="175">
        <v>9590</v>
      </c>
      <c r="V67" s="175">
        <v>10</v>
      </c>
      <c r="W67" s="175">
        <v>1</v>
      </c>
      <c r="X67" s="175">
        <v>9402</v>
      </c>
      <c r="Y67" s="175">
        <v>9444</v>
      </c>
      <c r="Z67" s="175">
        <v>2.8015564202334629</v>
      </c>
      <c r="AA67" s="175">
        <v>7.666666666666667</v>
      </c>
      <c r="AB67" s="175">
        <v>0.99828392094017093</v>
      </c>
      <c r="AC67" s="175">
        <v>94.53125</v>
      </c>
      <c r="AD67" s="175">
        <v>0.95833333333333337</v>
      </c>
      <c r="AE67" s="175">
        <v>0.9375</v>
      </c>
      <c r="AF67" s="175" t="s">
        <v>213</v>
      </c>
      <c r="AG67" s="175">
        <v>0.5</v>
      </c>
      <c r="AH67" s="175" t="s">
        <v>629</v>
      </c>
      <c r="AI67" s="175" t="s">
        <v>629</v>
      </c>
      <c r="AJ67" s="175" t="s">
        <v>725</v>
      </c>
      <c r="AK67" s="175" t="s">
        <v>725</v>
      </c>
      <c r="AL67" s="1159" t="s">
        <v>250</v>
      </c>
      <c r="AM67" s="175" t="s">
        <v>126</v>
      </c>
      <c r="AN67" s="175">
        <v>0.91100000000000003</v>
      </c>
      <c r="AO67" s="175">
        <v>1.7</v>
      </c>
      <c r="AP67" s="175">
        <v>24</v>
      </c>
      <c r="AQ67" s="175">
        <v>216</v>
      </c>
      <c r="AR67" s="175">
        <v>2.7</v>
      </c>
      <c r="AS67" s="192">
        <v>12751.084800000001</v>
      </c>
    </row>
    <row r="68" spans="1:45" ht="16.5" customHeight="1">
      <c r="A68" s="174">
        <v>46206</v>
      </c>
      <c r="B68" s="175" t="s">
        <v>219</v>
      </c>
      <c r="C68" s="175" t="s">
        <v>632</v>
      </c>
      <c r="E68" s="175" t="s">
        <v>419</v>
      </c>
      <c r="F68" s="175" t="s">
        <v>419</v>
      </c>
      <c r="G68" s="175" t="s">
        <v>419</v>
      </c>
      <c r="H68" s="175" t="s">
        <v>419</v>
      </c>
      <c r="I68" s="175" t="s">
        <v>419</v>
      </c>
      <c r="L68" s="175" t="s">
        <v>632</v>
      </c>
      <c r="P68" s="175" t="s">
        <v>632</v>
      </c>
      <c r="T68" s="175" t="s">
        <v>632</v>
      </c>
      <c r="X68" s="175" t="s">
        <v>632</v>
      </c>
      <c r="Z68" s="175" t="s">
        <v>419</v>
      </c>
      <c r="AA68" s="175" t="s">
        <v>632</v>
      </c>
      <c r="AB68" s="175" t="s">
        <v>419</v>
      </c>
      <c r="AC68" s="175" t="s">
        <v>419</v>
      </c>
      <c r="AD68" s="175" t="s">
        <v>419</v>
      </c>
      <c r="AE68" s="175" t="s">
        <v>419</v>
      </c>
      <c r="AF68" s="175" t="s">
        <v>213</v>
      </c>
      <c r="AG68" s="175">
        <v>1</v>
      </c>
      <c r="AH68" s="175" t="s">
        <v>640</v>
      </c>
      <c r="AI68" s="175" t="s">
        <v>640</v>
      </c>
      <c r="AJ68" s="175" t="s">
        <v>640</v>
      </c>
      <c r="AK68" s="175" t="s">
        <v>640</v>
      </c>
      <c r="AL68" s="1159" t="s">
        <v>419</v>
      </c>
      <c r="AM68" s="175" t="s">
        <v>419</v>
      </c>
      <c r="AN68" s="175" t="s">
        <v>419</v>
      </c>
      <c r="AO68" s="175" t="s">
        <v>419</v>
      </c>
      <c r="AP68" s="175">
        <v>24</v>
      </c>
      <c r="AQ68" s="175">
        <v>216</v>
      </c>
      <c r="AR68" s="175" t="s">
        <v>419</v>
      </c>
      <c r="AS68" s="192" t="s">
        <v>419</v>
      </c>
    </row>
    <row r="69" spans="1:45" ht="16.5" customHeight="1">
      <c r="A69" s="174">
        <v>46206</v>
      </c>
      <c r="B69" s="175" t="s">
        <v>220</v>
      </c>
      <c r="C69" s="175" t="s">
        <v>632</v>
      </c>
      <c r="E69" s="175" t="s">
        <v>419</v>
      </c>
      <c r="F69" s="175" t="s">
        <v>419</v>
      </c>
      <c r="G69" s="175" t="s">
        <v>419</v>
      </c>
      <c r="H69" s="175" t="s">
        <v>419</v>
      </c>
      <c r="I69" s="175" t="s">
        <v>419</v>
      </c>
      <c r="L69" s="175" t="s">
        <v>632</v>
      </c>
      <c r="P69" s="175" t="s">
        <v>632</v>
      </c>
      <c r="T69" s="175" t="s">
        <v>632</v>
      </c>
      <c r="X69" s="175" t="s">
        <v>632</v>
      </c>
      <c r="Z69" s="175" t="s">
        <v>419</v>
      </c>
      <c r="AA69" s="175" t="s">
        <v>632</v>
      </c>
      <c r="AB69" s="175" t="s">
        <v>419</v>
      </c>
      <c r="AC69" s="175" t="s">
        <v>419</v>
      </c>
      <c r="AD69" s="175" t="s">
        <v>419</v>
      </c>
      <c r="AE69" s="175" t="s">
        <v>419</v>
      </c>
      <c r="AF69" s="175" t="s">
        <v>213</v>
      </c>
      <c r="AG69" s="175">
        <v>1</v>
      </c>
      <c r="AH69" s="175" t="s">
        <v>640</v>
      </c>
      <c r="AI69" s="175" t="s">
        <v>640</v>
      </c>
      <c r="AJ69" s="175" t="s">
        <v>640</v>
      </c>
      <c r="AK69" s="175" t="s">
        <v>640</v>
      </c>
      <c r="AL69" s="1159" t="s">
        <v>419</v>
      </c>
      <c r="AM69" s="175" t="s">
        <v>419</v>
      </c>
      <c r="AN69" s="175" t="s">
        <v>419</v>
      </c>
      <c r="AO69" s="175" t="s">
        <v>419</v>
      </c>
      <c r="AP69" s="175">
        <v>24</v>
      </c>
      <c r="AQ69" s="175">
        <v>216</v>
      </c>
      <c r="AR69" s="175" t="s">
        <v>419</v>
      </c>
      <c r="AS69" s="192" t="s">
        <v>419</v>
      </c>
    </row>
    <row r="70" spans="1:45" ht="16.5" customHeight="1">
      <c r="A70" s="174">
        <v>46206</v>
      </c>
      <c r="B70" s="175" t="s">
        <v>221</v>
      </c>
      <c r="C70" s="175" t="s">
        <v>632</v>
      </c>
      <c r="E70" s="175" t="s">
        <v>419</v>
      </c>
      <c r="F70" s="175" t="s">
        <v>419</v>
      </c>
      <c r="G70" s="175" t="s">
        <v>419</v>
      </c>
      <c r="H70" s="175" t="s">
        <v>419</v>
      </c>
      <c r="I70" s="175" t="s">
        <v>419</v>
      </c>
      <c r="L70" s="175" t="s">
        <v>632</v>
      </c>
      <c r="P70" s="175" t="s">
        <v>632</v>
      </c>
      <c r="T70" s="175" t="s">
        <v>632</v>
      </c>
      <c r="X70" s="175" t="s">
        <v>632</v>
      </c>
      <c r="Z70" s="175" t="s">
        <v>419</v>
      </c>
      <c r="AA70" s="175" t="s">
        <v>632</v>
      </c>
      <c r="AB70" s="175" t="s">
        <v>419</v>
      </c>
      <c r="AC70" s="175" t="s">
        <v>419</v>
      </c>
      <c r="AD70" s="175" t="s">
        <v>419</v>
      </c>
      <c r="AE70" s="175" t="s">
        <v>419</v>
      </c>
      <c r="AF70" s="175" t="s">
        <v>213</v>
      </c>
      <c r="AG70" s="175">
        <v>1</v>
      </c>
      <c r="AH70" s="175" t="s">
        <v>640</v>
      </c>
      <c r="AI70" s="175" t="s">
        <v>640</v>
      </c>
      <c r="AJ70" s="175" t="s">
        <v>640</v>
      </c>
      <c r="AK70" s="175" t="s">
        <v>640</v>
      </c>
      <c r="AL70" s="1159" t="s">
        <v>419</v>
      </c>
      <c r="AM70" s="175" t="s">
        <v>419</v>
      </c>
      <c r="AN70" s="175" t="s">
        <v>419</v>
      </c>
      <c r="AO70" s="175" t="s">
        <v>419</v>
      </c>
      <c r="AP70" s="175">
        <v>24</v>
      </c>
      <c r="AQ70" s="175">
        <v>216</v>
      </c>
      <c r="AR70" s="175" t="s">
        <v>419</v>
      </c>
      <c r="AS70" s="192" t="s">
        <v>419</v>
      </c>
    </row>
    <row r="71" spans="1:45" ht="16.5" customHeight="1">
      <c r="A71" s="174">
        <v>46206</v>
      </c>
      <c r="B71" s="175" t="s">
        <v>222</v>
      </c>
      <c r="C71" s="175" t="s">
        <v>17261</v>
      </c>
      <c r="D71" s="175" t="s">
        <v>16748</v>
      </c>
      <c r="E71" s="175" t="s">
        <v>17177</v>
      </c>
      <c r="F71" s="175" t="s">
        <v>17262</v>
      </c>
      <c r="G71" s="175">
        <v>550</v>
      </c>
      <c r="H71" s="175" t="s">
        <v>762</v>
      </c>
      <c r="I71" s="175">
        <v>2</v>
      </c>
      <c r="J71" s="175">
        <v>13</v>
      </c>
      <c r="K71" s="175">
        <v>4</v>
      </c>
      <c r="L71" s="175">
        <v>9490</v>
      </c>
      <c r="M71" s="175" t="s">
        <v>632</v>
      </c>
      <c r="N71" s="175">
        <v>7</v>
      </c>
      <c r="O71" s="175">
        <v>0</v>
      </c>
      <c r="P71" s="175">
        <v>9378</v>
      </c>
      <c r="Q71" s="175" t="s">
        <v>632</v>
      </c>
      <c r="R71" s="175">
        <v>8</v>
      </c>
      <c r="S71" s="175">
        <v>0</v>
      </c>
      <c r="T71" s="175">
        <v>9367</v>
      </c>
      <c r="U71" s="175" t="s">
        <v>632</v>
      </c>
      <c r="V71" s="175">
        <v>11</v>
      </c>
      <c r="W71" s="175">
        <v>0</v>
      </c>
      <c r="X71" s="175">
        <v>9376</v>
      </c>
      <c r="Y71" s="175" t="s">
        <v>632</v>
      </c>
      <c r="Z71" s="175">
        <v>2.1492537313432836</v>
      </c>
      <c r="AA71" s="175">
        <v>26</v>
      </c>
      <c r="AB71" s="175">
        <v>0.9910523504273504</v>
      </c>
      <c r="AC71" s="175">
        <v>94.027500000000003</v>
      </c>
      <c r="AD71" s="175">
        <v>3.25</v>
      </c>
      <c r="AE71" s="175">
        <v>2.9166666666666665</v>
      </c>
      <c r="AF71" s="175" t="s">
        <v>213</v>
      </c>
      <c r="AG71" s="175">
        <v>2</v>
      </c>
      <c r="AH71" s="175" t="s">
        <v>629</v>
      </c>
      <c r="AI71" s="175" t="s">
        <v>629</v>
      </c>
      <c r="AJ71" s="175" t="s">
        <v>725</v>
      </c>
      <c r="AK71" s="175" t="s">
        <v>725</v>
      </c>
      <c r="AL71" s="1159" t="s">
        <v>250</v>
      </c>
      <c r="AM71" s="175" t="s">
        <v>126</v>
      </c>
      <c r="AN71" s="175">
        <v>0.91100000000000003</v>
      </c>
      <c r="AO71" s="175">
        <v>0.7</v>
      </c>
      <c r="AP71" s="175">
        <v>24</v>
      </c>
      <c r="AQ71" s="175">
        <v>216</v>
      </c>
      <c r="AR71" s="175">
        <v>1.7</v>
      </c>
      <c r="AS71" s="192">
        <v>8028.4608000000007</v>
      </c>
    </row>
    <row r="72" spans="1:45" ht="16.5" customHeight="1">
      <c r="A72" s="174">
        <v>46206</v>
      </c>
      <c r="B72" s="175" t="s">
        <v>223</v>
      </c>
      <c r="C72" s="175" t="s">
        <v>17263</v>
      </c>
      <c r="D72" s="175" t="s">
        <v>16748</v>
      </c>
      <c r="E72" s="175" t="s">
        <v>17156</v>
      </c>
      <c r="F72" s="175" t="s">
        <v>17264</v>
      </c>
      <c r="G72" s="175">
        <v>600</v>
      </c>
      <c r="H72" s="175" t="s">
        <v>456</v>
      </c>
      <c r="I72" s="175">
        <v>3</v>
      </c>
      <c r="J72" s="175">
        <v>11</v>
      </c>
      <c r="K72" s="175">
        <v>0</v>
      </c>
      <c r="L72" s="175">
        <v>8176</v>
      </c>
      <c r="M72" s="175" t="s">
        <v>632</v>
      </c>
      <c r="N72" s="175">
        <v>4</v>
      </c>
      <c r="O72" s="175">
        <v>0</v>
      </c>
      <c r="P72" s="175">
        <v>8488</v>
      </c>
      <c r="Q72" s="175" t="s">
        <v>632</v>
      </c>
      <c r="R72" s="175">
        <v>4</v>
      </c>
      <c r="S72" s="175">
        <v>0</v>
      </c>
      <c r="T72" s="175">
        <v>8400</v>
      </c>
      <c r="U72" s="175" t="s">
        <v>632</v>
      </c>
      <c r="V72" s="175">
        <v>6</v>
      </c>
      <c r="W72" s="175">
        <v>0</v>
      </c>
      <c r="X72" s="175">
        <v>8358</v>
      </c>
      <c r="Y72" s="175" t="s">
        <v>632</v>
      </c>
      <c r="Z72" s="175">
        <v>2.4</v>
      </c>
      <c r="AA72" s="175">
        <v>16.666666666666668</v>
      </c>
      <c r="AB72" s="175">
        <v>1</v>
      </c>
      <c r="AC72" s="175">
        <v>83.555000000000007</v>
      </c>
      <c r="AD72" s="175">
        <v>2.0833333333333335</v>
      </c>
      <c r="AE72" s="175">
        <v>2.0833333333333335</v>
      </c>
      <c r="AF72" s="175" t="s">
        <v>213</v>
      </c>
      <c r="AG72" s="175">
        <v>2</v>
      </c>
      <c r="AH72" s="175" t="s">
        <v>629</v>
      </c>
      <c r="AI72" s="175" t="s">
        <v>629</v>
      </c>
      <c r="AJ72" s="175" t="s">
        <v>725</v>
      </c>
      <c r="AK72" s="175" t="s">
        <v>725</v>
      </c>
      <c r="AL72" s="1159" t="s">
        <v>250</v>
      </c>
      <c r="AM72" s="175" t="s">
        <v>126</v>
      </c>
      <c r="AN72" s="175">
        <v>0.91100000000000003</v>
      </c>
      <c r="AO72" s="175">
        <v>0.8</v>
      </c>
      <c r="AP72" s="175">
        <v>24</v>
      </c>
      <c r="AQ72" s="175">
        <v>216</v>
      </c>
      <c r="AR72" s="175">
        <v>1.8</v>
      </c>
      <c r="AS72" s="192">
        <v>8500.7232000000004</v>
      </c>
    </row>
    <row r="73" spans="1:45" ht="16.5" customHeight="1">
      <c r="A73" s="174">
        <v>46206</v>
      </c>
      <c r="B73" s="175" t="s">
        <v>224</v>
      </c>
      <c r="C73" s="175" t="s">
        <v>17258</v>
      </c>
      <c r="E73" s="175" t="s">
        <v>8513</v>
      </c>
      <c r="F73" s="175" t="s">
        <v>17260</v>
      </c>
      <c r="G73" s="175">
        <v>550</v>
      </c>
      <c r="H73" s="175" t="s">
        <v>621</v>
      </c>
      <c r="I73" s="175">
        <v>5</v>
      </c>
      <c r="L73" s="175" t="s">
        <v>628</v>
      </c>
      <c r="P73" s="175" t="s">
        <v>628</v>
      </c>
      <c r="T73" s="175" t="s">
        <v>628</v>
      </c>
      <c r="X73" s="175" t="s">
        <v>632</v>
      </c>
      <c r="Z73" s="175">
        <v>5.5598455598455603</v>
      </c>
      <c r="AA73" s="175" t="s">
        <v>628</v>
      </c>
      <c r="AB73" s="175" t="s">
        <v>419</v>
      </c>
      <c r="AC73" s="175" t="s">
        <v>419</v>
      </c>
      <c r="AD73" s="175" t="s">
        <v>419</v>
      </c>
      <c r="AE73" s="175" t="s">
        <v>419</v>
      </c>
      <c r="AF73" s="175" t="s">
        <v>213</v>
      </c>
      <c r="AG73" s="175">
        <v>0.5</v>
      </c>
      <c r="AH73" s="175" t="s">
        <v>629</v>
      </c>
      <c r="AI73" s="175" t="s">
        <v>640</v>
      </c>
      <c r="AJ73" s="175" t="s">
        <v>640</v>
      </c>
      <c r="AK73" s="175" t="s">
        <v>640</v>
      </c>
      <c r="AL73" s="1159" t="s">
        <v>250</v>
      </c>
      <c r="AM73" s="175" t="s">
        <v>126</v>
      </c>
      <c r="AN73" s="175">
        <v>0.91100000000000003</v>
      </c>
      <c r="AO73" s="175">
        <v>2</v>
      </c>
      <c r="AP73" s="175">
        <v>24</v>
      </c>
      <c r="AQ73" s="175">
        <v>216</v>
      </c>
      <c r="AR73" s="175">
        <v>3</v>
      </c>
      <c r="AS73" s="192">
        <v>14167.871999999999</v>
      </c>
    </row>
    <row r="74" spans="1:45" ht="16.5" customHeight="1">
      <c r="A74" s="174">
        <v>46206</v>
      </c>
      <c r="B74" s="175" t="s">
        <v>225</v>
      </c>
      <c r="C74" s="175" t="s">
        <v>632</v>
      </c>
      <c r="E74" s="175" t="s">
        <v>419</v>
      </c>
      <c r="F74" s="175" t="s">
        <v>419</v>
      </c>
      <c r="G74" s="175" t="s">
        <v>419</v>
      </c>
      <c r="H74" s="175" t="s">
        <v>419</v>
      </c>
      <c r="I74" s="175" t="s">
        <v>419</v>
      </c>
      <c r="L74" s="175" t="s">
        <v>632</v>
      </c>
      <c r="P74" s="175" t="s">
        <v>632</v>
      </c>
      <c r="T74" s="175" t="s">
        <v>632</v>
      </c>
      <c r="X74" s="175" t="s">
        <v>632</v>
      </c>
      <c r="Z74" s="175" t="s">
        <v>419</v>
      </c>
      <c r="AA74" s="175" t="s">
        <v>632</v>
      </c>
      <c r="AB74" s="175" t="s">
        <v>419</v>
      </c>
      <c r="AC74" s="175" t="s">
        <v>419</v>
      </c>
      <c r="AD74" s="175" t="s">
        <v>419</v>
      </c>
      <c r="AE74" s="175" t="s">
        <v>419</v>
      </c>
      <c r="AF74" s="175" t="s">
        <v>213</v>
      </c>
      <c r="AG74" s="175">
        <v>1</v>
      </c>
      <c r="AH74" s="175" t="s">
        <v>640</v>
      </c>
      <c r="AI74" s="175" t="s">
        <v>640</v>
      </c>
      <c r="AJ74" s="175" t="s">
        <v>640</v>
      </c>
      <c r="AK74" s="175" t="s">
        <v>640</v>
      </c>
      <c r="AL74" s="1159" t="s">
        <v>419</v>
      </c>
      <c r="AM74" s="175" t="s">
        <v>419</v>
      </c>
      <c r="AN74" s="175" t="s">
        <v>419</v>
      </c>
      <c r="AO74" s="175" t="s">
        <v>419</v>
      </c>
      <c r="AP74" s="175">
        <v>24</v>
      </c>
      <c r="AQ74" s="175">
        <v>216</v>
      </c>
      <c r="AR74" s="175" t="s">
        <v>419</v>
      </c>
      <c r="AS74" s="192" t="s">
        <v>419</v>
      </c>
    </row>
    <row r="75" spans="1:45" ht="16.5" customHeight="1">
      <c r="A75" s="174">
        <v>46206</v>
      </c>
      <c r="B75" s="175" t="s">
        <v>226</v>
      </c>
      <c r="C75" s="175" t="s">
        <v>632</v>
      </c>
      <c r="E75" s="175" t="s">
        <v>419</v>
      </c>
      <c r="F75" s="175" t="s">
        <v>419</v>
      </c>
      <c r="G75" s="175" t="s">
        <v>419</v>
      </c>
      <c r="H75" s="175" t="s">
        <v>419</v>
      </c>
      <c r="I75" s="175" t="s">
        <v>419</v>
      </c>
      <c r="L75" s="175" t="s">
        <v>632</v>
      </c>
      <c r="P75" s="175" t="s">
        <v>632</v>
      </c>
      <c r="T75" s="175" t="s">
        <v>632</v>
      </c>
      <c r="X75" s="175" t="s">
        <v>632</v>
      </c>
      <c r="Z75" s="175" t="s">
        <v>419</v>
      </c>
      <c r="AA75" s="175" t="s">
        <v>632</v>
      </c>
      <c r="AB75" s="175" t="s">
        <v>419</v>
      </c>
      <c r="AC75" s="175" t="s">
        <v>419</v>
      </c>
      <c r="AD75" s="175" t="s">
        <v>419</v>
      </c>
      <c r="AE75" s="175" t="s">
        <v>419</v>
      </c>
      <c r="AF75" s="175" t="s">
        <v>213</v>
      </c>
      <c r="AG75" s="175">
        <v>1</v>
      </c>
      <c r="AH75" s="175" t="s">
        <v>640</v>
      </c>
      <c r="AI75" s="175" t="s">
        <v>640</v>
      </c>
      <c r="AJ75" s="175" t="s">
        <v>640</v>
      </c>
      <c r="AK75" s="175" t="s">
        <v>640</v>
      </c>
      <c r="AL75" s="1159" t="s">
        <v>419</v>
      </c>
      <c r="AM75" s="175" t="s">
        <v>419</v>
      </c>
      <c r="AN75" s="175" t="s">
        <v>419</v>
      </c>
      <c r="AO75" s="175" t="s">
        <v>419</v>
      </c>
      <c r="AP75" s="175">
        <v>24</v>
      </c>
      <c r="AQ75" s="175">
        <v>216</v>
      </c>
      <c r="AR75" s="175" t="s">
        <v>419</v>
      </c>
      <c r="AS75" s="192" t="s">
        <v>419</v>
      </c>
    </row>
    <row r="76" spans="1:45" ht="16.5" customHeight="1">
      <c r="A76" s="174">
        <v>46206</v>
      </c>
      <c r="B76" s="175" t="s">
        <v>227</v>
      </c>
      <c r="C76" s="175" t="s">
        <v>632</v>
      </c>
      <c r="E76" s="175" t="s">
        <v>419</v>
      </c>
      <c r="F76" s="175" t="s">
        <v>419</v>
      </c>
      <c r="G76" s="175" t="s">
        <v>419</v>
      </c>
      <c r="H76" s="175" t="s">
        <v>419</v>
      </c>
      <c r="I76" s="175" t="s">
        <v>419</v>
      </c>
      <c r="L76" s="175" t="s">
        <v>632</v>
      </c>
      <c r="P76" s="175" t="s">
        <v>632</v>
      </c>
      <c r="T76" s="175" t="s">
        <v>632</v>
      </c>
      <c r="X76" s="175" t="s">
        <v>632</v>
      </c>
      <c r="Z76" s="175" t="s">
        <v>419</v>
      </c>
      <c r="AA76" s="175" t="s">
        <v>632</v>
      </c>
      <c r="AB76" s="175" t="s">
        <v>419</v>
      </c>
      <c r="AC76" s="175" t="s">
        <v>419</v>
      </c>
      <c r="AD76" s="175" t="s">
        <v>419</v>
      </c>
      <c r="AE76" s="175" t="s">
        <v>419</v>
      </c>
      <c r="AF76" s="175" t="s">
        <v>213</v>
      </c>
      <c r="AG76" s="175">
        <v>1</v>
      </c>
      <c r="AH76" s="175" t="s">
        <v>640</v>
      </c>
      <c r="AI76" s="175" t="s">
        <v>640</v>
      </c>
      <c r="AJ76" s="175" t="s">
        <v>640</v>
      </c>
      <c r="AK76" s="175" t="s">
        <v>640</v>
      </c>
      <c r="AL76" s="1159" t="s">
        <v>419</v>
      </c>
      <c r="AM76" s="175" t="s">
        <v>419</v>
      </c>
      <c r="AN76" s="175" t="s">
        <v>419</v>
      </c>
      <c r="AO76" s="175" t="s">
        <v>419</v>
      </c>
      <c r="AP76" s="175">
        <v>24</v>
      </c>
      <c r="AQ76" s="175">
        <v>216</v>
      </c>
      <c r="AR76" s="175" t="s">
        <v>419</v>
      </c>
      <c r="AS76" s="192" t="s">
        <v>419</v>
      </c>
    </row>
    <row r="77" spans="1:45" ht="16.5" customHeight="1">
      <c r="A77" s="174">
        <v>46206</v>
      </c>
      <c r="B77" s="175" t="s">
        <v>228</v>
      </c>
      <c r="C77" s="175" t="s">
        <v>17293</v>
      </c>
      <c r="E77" s="175" t="s">
        <v>7055</v>
      </c>
      <c r="F77" s="175" t="s">
        <v>17294</v>
      </c>
      <c r="G77" s="175">
        <v>550</v>
      </c>
      <c r="H77" s="175" t="s">
        <v>889</v>
      </c>
      <c r="I77" s="175">
        <v>5.5</v>
      </c>
      <c r="J77" s="175">
        <v>28</v>
      </c>
      <c r="K77" s="175">
        <v>0</v>
      </c>
      <c r="L77" s="175">
        <v>6043</v>
      </c>
      <c r="M77" s="175">
        <v>7118</v>
      </c>
      <c r="N77" s="175">
        <v>8</v>
      </c>
      <c r="O77" s="175">
        <v>0</v>
      </c>
      <c r="P77" s="175">
        <v>6287</v>
      </c>
      <c r="Q77" s="175">
        <v>7386</v>
      </c>
      <c r="R77" s="175">
        <v>8</v>
      </c>
      <c r="S77" s="175">
        <v>0</v>
      </c>
      <c r="T77" s="175">
        <v>6293</v>
      </c>
      <c r="U77" s="175">
        <v>7317</v>
      </c>
      <c r="V77" s="175">
        <v>30</v>
      </c>
      <c r="W77" s="175">
        <v>1</v>
      </c>
      <c r="X77" s="175">
        <v>6348</v>
      </c>
      <c r="Y77" s="175">
        <v>6983</v>
      </c>
      <c r="Z77" s="175">
        <v>4.7058823529411766</v>
      </c>
      <c r="AA77" s="175">
        <v>12.333333333333334</v>
      </c>
      <c r="AB77" s="175">
        <v>0.99897836538461537</v>
      </c>
      <c r="AC77" s="175">
        <v>67.21875</v>
      </c>
      <c r="AD77" s="175">
        <v>1.5416666666666667</v>
      </c>
      <c r="AE77" s="175">
        <v>1.5208333333333333</v>
      </c>
      <c r="AF77" s="175" t="s">
        <v>213</v>
      </c>
      <c r="AG77" s="175">
        <v>0.5</v>
      </c>
      <c r="AH77" s="175" t="s">
        <v>629</v>
      </c>
      <c r="AI77" s="175" t="s">
        <v>629</v>
      </c>
      <c r="AJ77" s="175" t="s">
        <v>725</v>
      </c>
      <c r="AK77" s="175" t="s">
        <v>725</v>
      </c>
      <c r="AL77" s="1159" t="s">
        <v>250</v>
      </c>
      <c r="AM77" s="175" t="s">
        <v>460</v>
      </c>
      <c r="AN77" s="175">
        <v>1.1890000000000001</v>
      </c>
      <c r="AO77" s="175">
        <v>1.9</v>
      </c>
      <c r="AP77" s="175">
        <v>24</v>
      </c>
      <c r="AQ77" s="175">
        <v>216</v>
      </c>
      <c r="AR77" s="175">
        <v>2.9</v>
      </c>
      <c r="AS77" s="192">
        <v>17874.950400000002</v>
      </c>
    </row>
    <row r="78" spans="1:45" ht="16.5" customHeight="1">
      <c r="A78" s="174">
        <v>46206</v>
      </c>
      <c r="B78" s="175" t="s">
        <v>229</v>
      </c>
      <c r="C78" s="175" t="s">
        <v>632</v>
      </c>
      <c r="E78" s="175" t="s">
        <v>419</v>
      </c>
      <c r="F78" s="175" t="s">
        <v>419</v>
      </c>
      <c r="G78" s="175" t="s">
        <v>419</v>
      </c>
      <c r="H78" s="175" t="s">
        <v>419</v>
      </c>
      <c r="I78" s="175" t="s">
        <v>419</v>
      </c>
      <c r="L78" s="175" t="s">
        <v>632</v>
      </c>
      <c r="P78" s="175" t="s">
        <v>632</v>
      </c>
      <c r="T78" s="175" t="s">
        <v>632</v>
      </c>
      <c r="X78" s="175" t="s">
        <v>632</v>
      </c>
      <c r="Z78" s="175" t="s">
        <v>419</v>
      </c>
      <c r="AA78" s="175" t="s">
        <v>632</v>
      </c>
      <c r="AB78" s="175" t="s">
        <v>419</v>
      </c>
      <c r="AC78" s="175" t="s">
        <v>419</v>
      </c>
      <c r="AD78" s="175" t="s">
        <v>419</v>
      </c>
      <c r="AE78" s="175" t="s">
        <v>419</v>
      </c>
      <c r="AF78" s="175" t="s">
        <v>213</v>
      </c>
      <c r="AG78" s="175">
        <v>1</v>
      </c>
      <c r="AH78" s="175" t="s">
        <v>640</v>
      </c>
      <c r="AI78" s="175" t="s">
        <v>640</v>
      </c>
      <c r="AJ78" s="175" t="s">
        <v>640</v>
      </c>
      <c r="AK78" s="175" t="s">
        <v>640</v>
      </c>
      <c r="AL78" s="1159" t="s">
        <v>419</v>
      </c>
      <c r="AM78" s="175" t="s">
        <v>419</v>
      </c>
      <c r="AN78" s="175" t="s">
        <v>419</v>
      </c>
      <c r="AO78" s="175" t="s">
        <v>419</v>
      </c>
      <c r="AP78" s="175">
        <v>24</v>
      </c>
      <c r="AQ78" s="175">
        <v>216</v>
      </c>
      <c r="AR78" s="175" t="s">
        <v>419</v>
      </c>
      <c r="AS78" s="192" t="s">
        <v>419</v>
      </c>
    </row>
    <row r="79" spans="1:45" ht="16.5" customHeight="1">
      <c r="A79" s="174">
        <v>46206</v>
      </c>
      <c r="B79" s="175" t="s">
        <v>230</v>
      </c>
      <c r="C79" s="175" t="s">
        <v>632</v>
      </c>
      <c r="E79" s="175" t="s">
        <v>419</v>
      </c>
      <c r="F79" s="175" t="s">
        <v>419</v>
      </c>
      <c r="G79" s="175" t="s">
        <v>419</v>
      </c>
      <c r="H79" s="175" t="s">
        <v>419</v>
      </c>
      <c r="I79" s="175" t="s">
        <v>419</v>
      </c>
      <c r="L79" s="175" t="s">
        <v>632</v>
      </c>
      <c r="P79" s="175" t="s">
        <v>632</v>
      </c>
      <c r="T79" s="175" t="s">
        <v>632</v>
      </c>
      <c r="X79" s="175" t="s">
        <v>632</v>
      </c>
      <c r="Z79" s="175" t="s">
        <v>419</v>
      </c>
      <c r="AA79" s="175" t="s">
        <v>632</v>
      </c>
      <c r="AB79" s="175" t="s">
        <v>419</v>
      </c>
      <c r="AC79" s="175" t="s">
        <v>419</v>
      </c>
      <c r="AD79" s="175" t="s">
        <v>419</v>
      </c>
      <c r="AE79" s="175" t="s">
        <v>419</v>
      </c>
      <c r="AF79" s="175" t="s">
        <v>213</v>
      </c>
      <c r="AG79" s="175">
        <v>1</v>
      </c>
      <c r="AH79" s="175" t="s">
        <v>640</v>
      </c>
      <c r="AI79" s="175" t="s">
        <v>640</v>
      </c>
      <c r="AJ79" s="175" t="s">
        <v>640</v>
      </c>
      <c r="AK79" s="175" t="s">
        <v>640</v>
      </c>
      <c r="AL79" s="1159" t="s">
        <v>419</v>
      </c>
      <c r="AM79" s="175" t="s">
        <v>419</v>
      </c>
      <c r="AN79" s="175" t="s">
        <v>419</v>
      </c>
      <c r="AO79" s="175" t="s">
        <v>419</v>
      </c>
      <c r="AP79" s="175">
        <v>24</v>
      </c>
      <c r="AQ79" s="175">
        <v>216</v>
      </c>
      <c r="AR79" s="175" t="s">
        <v>419</v>
      </c>
      <c r="AS79" s="192" t="s">
        <v>419</v>
      </c>
    </row>
    <row r="80" spans="1:45" ht="16.5" customHeight="1">
      <c r="A80" s="174">
        <v>46206</v>
      </c>
      <c r="B80" s="175" t="s">
        <v>231</v>
      </c>
      <c r="C80" s="175" t="s">
        <v>632</v>
      </c>
      <c r="E80" s="175" t="s">
        <v>419</v>
      </c>
      <c r="F80" s="175" t="s">
        <v>419</v>
      </c>
      <c r="G80" s="175" t="s">
        <v>419</v>
      </c>
      <c r="H80" s="175" t="s">
        <v>419</v>
      </c>
      <c r="I80" s="175" t="s">
        <v>419</v>
      </c>
      <c r="L80" s="175" t="s">
        <v>632</v>
      </c>
      <c r="P80" s="175" t="s">
        <v>632</v>
      </c>
      <c r="T80" s="175" t="s">
        <v>632</v>
      </c>
      <c r="X80" s="175" t="s">
        <v>632</v>
      </c>
      <c r="Z80" s="175" t="s">
        <v>419</v>
      </c>
      <c r="AA80" s="175" t="s">
        <v>632</v>
      </c>
      <c r="AB80" s="175" t="s">
        <v>419</v>
      </c>
      <c r="AC80" s="175" t="s">
        <v>419</v>
      </c>
      <c r="AD80" s="175" t="s">
        <v>419</v>
      </c>
      <c r="AE80" s="175" t="s">
        <v>419</v>
      </c>
      <c r="AF80" s="175" t="s">
        <v>232</v>
      </c>
      <c r="AG80" s="175">
        <v>1</v>
      </c>
      <c r="AH80" s="175" t="s">
        <v>640</v>
      </c>
      <c r="AI80" s="175" t="s">
        <v>640</v>
      </c>
      <c r="AJ80" s="175" t="s">
        <v>640</v>
      </c>
      <c r="AK80" s="175" t="s">
        <v>640</v>
      </c>
      <c r="AL80" s="1159" t="s">
        <v>419</v>
      </c>
      <c r="AM80" s="175" t="s">
        <v>419</v>
      </c>
      <c r="AN80" s="175" t="s">
        <v>419</v>
      </c>
      <c r="AO80" s="175" t="s">
        <v>419</v>
      </c>
      <c r="AP80" s="175">
        <v>24</v>
      </c>
      <c r="AQ80" s="175">
        <v>216</v>
      </c>
      <c r="AR80" s="175" t="s">
        <v>419</v>
      </c>
      <c r="AS80" s="192" t="s">
        <v>419</v>
      </c>
    </row>
    <row r="81" spans="1:45" ht="16.5" customHeight="1">
      <c r="A81" s="174">
        <v>46206</v>
      </c>
      <c r="B81" s="175" t="s">
        <v>233</v>
      </c>
      <c r="C81" s="175" t="s">
        <v>17268</v>
      </c>
      <c r="D81" s="175" t="s">
        <v>633</v>
      </c>
      <c r="E81" s="175" t="s">
        <v>16719</v>
      </c>
      <c r="F81" s="175" t="s">
        <v>17253</v>
      </c>
      <c r="G81" s="175">
        <v>600</v>
      </c>
      <c r="H81" s="175" t="s">
        <v>723</v>
      </c>
      <c r="I81" s="175">
        <v>5.5</v>
      </c>
      <c r="J81" s="175">
        <v>8</v>
      </c>
      <c r="K81" s="175">
        <v>1</v>
      </c>
      <c r="L81" s="175">
        <v>6700</v>
      </c>
      <c r="N81" s="175">
        <v>30</v>
      </c>
      <c r="O81" s="175">
        <v>4</v>
      </c>
      <c r="P81" s="175">
        <v>6410</v>
      </c>
      <c r="R81" s="175">
        <v>6</v>
      </c>
      <c r="S81" s="175">
        <v>0</v>
      </c>
      <c r="T81" s="175">
        <v>6180</v>
      </c>
      <c r="V81" s="175">
        <v>16</v>
      </c>
      <c r="W81" s="175">
        <v>5</v>
      </c>
      <c r="X81" s="175">
        <v>3310</v>
      </c>
      <c r="Z81" s="175">
        <v>5.0526315789473681</v>
      </c>
      <c r="AA81" s="175">
        <v>20</v>
      </c>
      <c r="AB81" s="175">
        <v>0.99048477564102566</v>
      </c>
      <c r="AC81" s="175">
        <v>56.5</v>
      </c>
      <c r="AD81" s="175">
        <v>2.5</v>
      </c>
      <c r="AE81" s="175">
        <v>2.0833333333333335</v>
      </c>
      <c r="AF81" s="175" t="s">
        <v>232</v>
      </c>
      <c r="AG81" s="175">
        <v>1</v>
      </c>
      <c r="AH81" s="175" t="s">
        <v>637</v>
      </c>
      <c r="AI81" s="175" t="s">
        <v>637</v>
      </c>
      <c r="AJ81" s="175" t="s">
        <v>15370</v>
      </c>
      <c r="AK81" s="175" t="s">
        <v>15370</v>
      </c>
      <c r="AL81" s="1159" t="s">
        <v>250</v>
      </c>
      <c r="AM81" s="175" t="s">
        <v>643</v>
      </c>
      <c r="AN81" s="175">
        <v>1.859</v>
      </c>
      <c r="AO81" s="175">
        <v>2.1</v>
      </c>
      <c r="AP81" s="175">
        <v>24</v>
      </c>
      <c r="AQ81" s="175">
        <v>216</v>
      </c>
      <c r="AR81" s="175">
        <v>3.1</v>
      </c>
      <c r="AS81" s="192">
        <v>29874.873599999999</v>
      </c>
    </row>
    <row r="82" spans="1:45" ht="16.5" customHeight="1">
      <c r="A82" s="174">
        <v>46206</v>
      </c>
      <c r="B82" s="175" t="s">
        <v>234</v>
      </c>
      <c r="C82" s="175" t="s">
        <v>632</v>
      </c>
      <c r="E82" s="175" t="s">
        <v>419</v>
      </c>
      <c r="F82" s="175" t="s">
        <v>419</v>
      </c>
      <c r="G82" s="175" t="s">
        <v>419</v>
      </c>
      <c r="H82" s="175" t="s">
        <v>419</v>
      </c>
      <c r="I82" s="175" t="s">
        <v>419</v>
      </c>
      <c r="L82" s="175" t="s">
        <v>632</v>
      </c>
      <c r="P82" s="175" t="s">
        <v>632</v>
      </c>
      <c r="T82" s="175" t="s">
        <v>632</v>
      </c>
      <c r="X82" s="175" t="s">
        <v>632</v>
      </c>
      <c r="Z82" s="175" t="s">
        <v>419</v>
      </c>
      <c r="AA82" s="175" t="s">
        <v>632</v>
      </c>
      <c r="AB82" s="175" t="s">
        <v>419</v>
      </c>
      <c r="AC82" s="175" t="s">
        <v>419</v>
      </c>
      <c r="AD82" s="175" t="s">
        <v>419</v>
      </c>
      <c r="AE82" s="175" t="s">
        <v>419</v>
      </c>
      <c r="AF82" s="175" t="s">
        <v>232</v>
      </c>
      <c r="AG82" s="175">
        <v>1</v>
      </c>
      <c r="AH82" s="175" t="s">
        <v>640</v>
      </c>
      <c r="AI82" s="175" t="s">
        <v>640</v>
      </c>
      <c r="AJ82" s="175" t="s">
        <v>640</v>
      </c>
      <c r="AK82" s="175" t="s">
        <v>640</v>
      </c>
      <c r="AL82" s="1159" t="s">
        <v>419</v>
      </c>
      <c r="AM82" s="175" t="s">
        <v>419</v>
      </c>
      <c r="AN82" s="175" t="s">
        <v>419</v>
      </c>
      <c r="AO82" s="175" t="s">
        <v>419</v>
      </c>
      <c r="AP82" s="175">
        <v>24</v>
      </c>
      <c r="AQ82" s="175">
        <v>216</v>
      </c>
      <c r="AR82" s="175" t="s">
        <v>419</v>
      </c>
      <c r="AS82" s="192" t="s">
        <v>419</v>
      </c>
    </row>
    <row r="83" spans="1:45" ht="16.5" customHeight="1">
      <c r="A83" s="174">
        <v>46206</v>
      </c>
      <c r="B83" s="175" t="s">
        <v>235</v>
      </c>
      <c r="C83" s="175" t="s">
        <v>17289</v>
      </c>
      <c r="D83" s="175" t="s">
        <v>633</v>
      </c>
      <c r="E83" s="175" t="s">
        <v>16719</v>
      </c>
      <c r="F83" s="175" t="s">
        <v>17290</v>
      </c>
      <c r="G83" s="175">
        <v>700</v>
      </c>
      <c r="H83" s="175" t="s">
        <v>776</v>
      </c>
      <c r="I83" s="175">
        <v>5.5</v>
      </c>
      <c r="J83" s="175">
        <v>40</v>
      </c>
      <c r="K83" s="175">
        <v>2</v>
      </c>
      <c r="L83" s="175">
        <v>8890</v>
      </c>
      <c r="M83" s="175">
        <v>9720</v>
      </c>
      <c r="N83" s="175">
        <v>15</v>
      </c>
      <c r="O83" s="175">
        <v>0</v>
      </c>
      <c r="P83" s="175">
        <v>9170</v>
      </c>
      <c r="Q83" s="175">
        <v>9810</v>
      </c>
      <c r="R83" s="175">
        <v>12</v>
      </c>
      <c r="S83" s="175">
        <v>0</v>
      </c>
      <c r="T83" s="175">
        <v>9170</v>
      </c>
      <c r="U83" s="175">
        <v>9910</v>
      </c>
      <c r="V83" s="175">
        <v>21</v>
      </c>
      <c r="W83" s="175">
        <v>0</v>
      </c>
      <c r="X83" s="175">
        <v>9070</v>
      </c>
      <c r="Y83" s="175">
        <v>9810</v>
      </c>
      <c r="Z83" s="175">
        <v>5.8775510204081636</v>
      </c>
      <c r="AA83" s="175">
        <v>29.333333333333332</v>
      </c>
      <c r="AB83" s="175">
        <v>0.99836404914529919</v>
      </c>
      <c r="AC83" s="175">
        <v>94.4375</v>
      </c>
      <c r="AD83" s="175">
        <v>3.6666666666666665</v>
      </c>
      <c r="AE83" s="175">
        <v>3.5833333333333335</v>
      </c>
      <c r="AF83" s="175" t="s">
        <v>236</v>
      </c>
      <c r="AG83" s="175">
        <v>1</v>
      </c>
      <c r="AH83" s="175" t="s">
        <v>15337</v>
      </c>
      <c r="AI83" s="175" t="s">
        <v>15892</v>
      </c>
      <c r="AJ83" s="175" t="s">
        <v>652</v>
      </c>
      <c r="AK83" s="175" t="s">
        <v>652</v>
      </c>
      <c r="AL83" s="1159" t="s">
        <v>251</v>
      </c>
      <c r="AM83" s="175" t="s">
        <v>460</v>
      </c>
      <c r="AN83" s="175">
        <v>1.1890000000000001</v>
      </c>
      <c r="AO83" s="175">
        <v>3</v>
      </c>
      <c r="AP83" s="175">
        <v>24</v>
      </c>
      <c r="AQ83" s="175">
        <v>216</v>
      </c>
      <c r="AR83" s="175">
        <v>4</v>
      </c>
      <c r="AS83" s="192">
        <v>24655.103999999999</v>
      </c>
    </row>
    <row r="84" spans="1:45" ht="16.5" customHeight="1">
      <c r="A84" s="174">
        <v>46206</v>
      </c>
      <c r="B84" s="175" t="s">
        <v>237</v>
      </c>
      <c r="C84" s="175" t="s">
        <v>17251</v>
      </c>
      <c r="D84" s="175" t="s">
        <v>633</v>
      </c>
      <c r="E84" s="175" t="s">
        <v>16719</v>
      </c>
      <c r="F84" s="175" t="s">
        <v>17253</v>
      </c>
      <c r="G84" s="175">
        <v>700</v>
      </c>
      <c r="H84" s="175" t="s">
        <v>646</v>
      </c>
      <c r="I84" s="175">
        <v>5.5</v>
      </c>
      <c r="J84" s="175">
        <v>31</v>
      </c>
      <c r="K84" s="175">
        <v>5</v>
      </c>
      <c r="L84" s="175">
        <v>6480</v>
      </c>
      <c r="M84" s="175">
        <v>7690</v>
      </c>
      <c r="N84" s="175">
        <v>59</v>
      </c>
      <c r="O84" s="175">
        <v>0</v>
      </c>
      <c r="P84" s="175">
        <v>9260</v>
      </c>
      <c r="Q84" s="175">
        <v>6940</v>
      </c>
      <c r="R84" s="175">
        <v>47</v>
      </c>
      <c r="S84" s="175">
        <v>0</v>
      </c>
      <c r="T84" s="175">
        <v>9630</v>
      </c>
      <c r="U84" s="175">
        <v>8980</v>
      </c>
      <c r="V84" s="175">
        <v>22</v>
      </c>
      <c r="W84" s="175">
        <v>0</v>
      </c>
      <c r="X84" s="175">
        <v>9630</v>
      </c>
      <c r="Y84" s="175">
        <v>8980</v>
      </c>
      <c r="Z84" s="175">
        <v>5.8775510204081636</v>
      </c>
      <c r="AA84" s="175">
        <v>53</v>
      </c>
      <c r="AB84" s="175">
        <v>0.99591012286324787</v>
      </c>
      <c r="AC84" s="175">
        <v>84.487499999999997</v>
      </c>
      <c r="AD84" s="175">
        <v>6.625</v>
      </c>
      <c r="AE84" s="175">
        <v>6.416666666666667</v>
      </c>
      <c r="AF84" s="175" t="s">
        <v>236</v>
      </c>
      <c r="AG84" s="175">
        <v>1</v>
      </c>
      <c r="AH84" s="175" t="s">
        <v>638</v>
      </c>
      <c r="AI84" s="175" t="s">
        <v>16113</v>
      </c>
      <c r="AJ84" s="175" t="s">
        <v>652</v>
      </c>
      <c r="AK84" s="175" t="s">
        <v>652</v>
      </c>
      <c r="AL84" s="1159" t="s">
        <v>250</v>
      </c>
      <c r="AM84" s="175" t="s">
        <v>460</v>
      </c>
      <c r="AN84" s="175">
        <v>1.1890000000000001</v>
      </c>
      <c r="AO84" s="175">
        <v>2.9</v>
      </c>
      <c r="AP84" s="175">
        <v>24</v>
      </c>
      <c r="AQ84" s="175">
        <v>216</v>
      </c>
      <c r="AR84" s="175">
        <v>3.9</v>
      </c>
      <c r="AS84" s="192">
        <v>24038.7264</v>
      </c>
    </row>
    <row r="85" spans="1:45" ht="16.5" customHeight="1">
      <c r="A85" s="174">
        <v>46206</v>
      </c>
      <c r="B85" s="175" t="s">
        <v>238</v>
      </c>
      <c r="C85" s="175" t="s">
        <v>17248</v>
      </c>
      <c r="D85" s="175" t="s">
        <v>633</v>
      </c>
      <c r="E85" s="175" t="s">
        <v>16719</v>
      </c>
      <c r="F85" s="175" t="s">
        <v>17249</v>
      </c>
      <c r="G85" s="175">
        <v>600</v>
      </c>
      <c r="H85" s="175" t="s">
        <v>877</v>
      </c>
      <c r="I85" s="175">
        <v>5.5</v>
      </c>
      <c r="J85" s="175">
        <v>38</v>
      </c>
      <c r="K85" s="175">
        <v>5</v>
      </c>
      <c r="L85" s="175">
        <v>9350</v>
      </c>
      <c r="M85" s="175">
        <v>9720</v>
      </c>
      <c r="N85" s="175">
        <v>12</v>
      </c>
      <c r="O85" s="175">
        <v>1</v>
      </c>
      <c r="P85" s="175">
        <v>9350</v>
      </c>
      <c r="Q85" s="175">
        <v>9720</v>
      </c>
      <c r="R85" s="175">
        <v>8</v>
      </c>
      <c r="S85" s="175">
        <v>0</v>
      </c>
      <c r="T85" s="175">
        <v>9350</v>
      </c>
      <c r="U85" s="175">
        <v>9720</v>
      </c>
      <c r="V85" s="175">
        <v>33</v>
      </c>
      <c r="W85" s="175">
        <v>3</v>
      </c>
      <c r="X85" s="175">
        <v>9350</v>
      </c>
      <c r="Y85" s="175">
        <v>9720</v>
      </c>
      <c r="Z85" s="175">
        <v>5.034965034965035</v>
      </c>
      <c r="AA85" s="175">
        <v>30.333333333333332</v>
      </c>
      <c r="AB85" s="175">
        <v>0.99140625000000004</v>
      </c>
      <c r="AC85" s="175">
        <v>95.35</v>
      </c>
      <c r="AD85" s="175">
        <v>3.7916666666666665</v>
      </c>
      <c r="AE85" s="175">
        <v>3.4166666666666665</v>
      </c>
      <c r="AF85" s="175" t="s">
        <v>236</v>
      </c>
      <c r="AG85" s="175">
        <v>1</v>
      </c>
      <c r="AH85" s="175" t="s">
        <v>15337</v>
      </c>
      <c r="AI85" s="175" t="s">
        <v>15892</v>
      </c>
      <c r="AJ85" s="175" t="s">
        <v>639</v>
      </c>
      <c r="AK85" s="175" t="s">
        <v>639</v>
      </c>
      <c r="AL85" s="1159" t="s">
        <v>251</v>
      </c>
      <c r="AM85" s="175" t="s">
        <v>460</v>
      </c>
      <c r="AN85" s="175">
        <v>1.1890000000000001</v>
      </c>
      <c r="AO85" s="175">
        <v>3</v>
      </c>
      <c r="AP85" s="175">
        <v>24</v>
      </c>
      <c r="AQ85" s="175">
        <v>216</v>
      </c>
      <c r="AR85" s="175">
        <v>4</v>
      </c>
      <c r="AS85" s="192">
        <v>24655.103999999999</v>
      </c>
    </row>
    <row r="86" spans="1:45" ht="16.5" customHeight="1">
      <c r="A86" s="174">
        <v>46206</v>
      </c>
      <c r="B86" s="175" t="s">
        <v>239</v>
      </c>
      <c r="C86" s="175" t="s">
        <v>17266</v>
      </c>
      <c r="E86" s="175" t="s">
        <v>754</v>
      </c>
      <c r="F86" s="175" t="s">
        <v>17267</v>
      </c>
      <c r="G86" s="175">
        <v>600</v>
      </c>
      <c r="H86" s="175" t="s">
        <v>842</v>
      </c>
      <c r="I86" s="175">
        <v>4</v>
      </c>
      <c r="J86" s="175">
        <v>22</v>
      </c>
      <c r="K86" s="175">
        <v>3</v>
      </c>
      <c r="L86" s="175">
        <v>9260</v>
      </c>
      <c r="N86" s="175">
        <v>10</v>
      </c>
      <c r="O86" s="175">
        <v>2</v>
      </c>
      <c r="P86" s="175">
        <v>9260</v>
      </c>
      <c r="R86" s="175">
        <v>9</v>
      </c>
      <c r="S86" s="175">
        <v>4</v>
      </c>
      <c r="T86" s="175">
        <v>9630</v>
      </c>
      <c r="V86" s="175">
        <v>15</v>
      </c>
      <c r="W86" s="175">
        <v>6</v>
      </c>
      <c r="X86" s="175">
        <v>9630</v>
      </c>
      <c r="Z86" s="175">
        <v>3.6</v>
      </c>
      <c r="AA86" s="175">
        <v>37.333333333333336</v>
      </c>
      <c r="AB86" s="175">
        <v>0.97996794871794868</v>
      </c>
      <c r="AC86" s="175">
        <v>94.45</v>
      </c>
      <c r="AD86" s="175">
        <v>4.666666666666667</v>
      </c>
      <c r="AE86" s="175">
        <v>3.4166666666666665</v>
      </c>
      <c r="AF86" s="175" t="s">
        <v>236</v>
      </c>
      <c r="AG86" s="175">
        <v>2</v>
      </c>
      <c r="AH86" s="175" t="s">
        <v>638</v>
      </c>
      <c r="AI86" s="175" t="s">
        <v>16113</v>
      </c>
      <c r="AJ86" s="175" t="s">
        <v>639</v>
      </c>
      <c r="AK86" s="175" t="s">
        <v>639</v>
      </c>
      <c r="AL86" s="1159" t="s">
        <v>251</v>
      </c>
      <c r="AM86" s="175" t="s">
        <v>126</v>
      </c>
      <c r="AN86" s="175">
        <v>0.91100000000000003</v>
      </c>
      <c r="AO86" s="175">
        <v>1.5</v>
      </c>
      <c r="AP86" s="175">
        <v>24</v>
      </c>
      <c r="AQ86" s="175">
        <v>216</v>
      </c>
      <c r="AR86" s="175">
        <v>2.5</v>
      </c>
      <c r="AS86" s="192">
        <v>11806.560000000001</v>
      </c>
    </row>
    <row r="87" spans="1:45" ht="16.5" customHeight="1">
      <c r="A87" s="174">
        <v>46206</v>
      </c>
      <c r="B87" s="175" t="s">
        <v>239</v>
      </c>
      <c r="C87" s="175" t="s">
        <v>17241</v>
      </c>
      <c r="E87" s="175" t="s">
        <v>16723</v>
      </c>
      <c r="F87" s="175" t="s">
        <v>17243</v>
      </c>
      <c r="G87" s="175">
        <v>550</v>
      </c>
      <c r="H87" s="175" t="s">
        <v>868</v>
      </c>
      <c r="I87" s="175">
        <v>5.5</v>
      </c>
      <c r="J87" s="175">
        <v>24</v>
      </c>
      <c r="K87" s="175">
        <v>21</v>
      </c>
      <c r="M87" s="175">
        <v>7780</v>
      </c>
      <c r="N87" s="175">
        <v>27</v>
      </c>
      <c r="O87" s="175">
        <v>16</v>
      </c>
      <c r="Q87" s="175">
        <v>9540</v>
      </c>
      <c r="R87" s="175">
        <v>15</v>
      </c>
      <c r="S87" s="175">
        <v>3</v>
      </c>
      <c r="U87" s="175">
        <v>9910</v>
      </c>
      <c r="V87" s="175">
        <v>19</v>
      </c>
      <c r="W87" s="175">
        <v>1</v>
      </c>
      <c r="X87" s="175">
        <v>9810</v>
      </c>
      <c r="Z87" s="175">
        <v>6.6055045871559646</v>
      </c>
      <c r="AA87" s="175">
        <v>56.666666666666664</v>
      </c>
      <c r="AB87" s="175">
        <v>0.97015892094017098</v>
      </c>
      <c r="AC87" s="175">
        <v>92.6</v>
      </c>
      <c r="AD87" s="175">
        <v>7.083333333333333</v>
      </c>
      <c r="AE87" s="175">
        <v>3.6666666666666665</v>
      </c>
      <c r="AF87" s="175" t="s">
        <v>236</v>
      </c>
      <c r="AG87" s="175">
        <v>2</v>
      </c>
      <c r="AH87" s="175" t="s">
        <v>638</v>
      </c>
      <c r="AI87" s="175" t="s">
        <v>638</v>
      </c>
      <c r="AJ87" s="175" t="s">
        <v>639</v>
      </c>
      <c r="AK87" s="175" t="s">
        <v>639</v>
      </c>
      <c r="AM87" s="175" t="s">
        <v>643</v>
      </c>
      <c r="AN87" s="175">
        <v>1.859</v>
      </c>
      <c r="AO87" s="175">
        <v>3.3</v>
      </c>
      <c r="AP87" s="175">
        <v>24</v>
      </c>
      <c r="AQ87" s="175">
        <v>216</v>
      </c>
      <c r="AR87" s="175">
        <v>4.3</v>
      </c>
      <c r="AS87" s="192">
        <v>41439.340799999998</v>
      </c>
    </row>
    <row r="88" spans="1:45" ht="16.5" customHeight="1">
      <c r="A88" s="174">
        <v>46206</v>
      </c>
      <c r="B88" s="175" t="s">
        <v>388</v>
      </c>
      <c r="C88" s="175" t="s">
        <v>17296</v>
      </c>
      <c r="D88" s="175" t="s">
        <v>633</v>
      </c>
      <c r="E88" s="175" t="s">
        <v>16719</v>
      </c>
      <c r="F88" s="175" t="s">
        <v>17290</v>
      </c>
      <c r="G88" s="175">
        <v>700</v>
      </c>
      <c r="H88" s="175" t="s">
        <v>15541</v>
      </c>
      <c r="I88" s="175">
        <v>5.5</v>
      </c>
      <c r="J88" s="175">
        <v>16</v>
      </c>
      <c r="K88" s="175">
        <v>3</v>
      </c>
      <c r="L88" s="175" t="s">
        <v>17315</v>
      </c>
      <c r="M88" s="175">
        <v>10000</v>
      </c>
      <c r="N88" s="175">
        <v>7</v>
      </c>
      <c r="O88" s="175">
        <v>0</v>
      </c>
      <c r="P88" s="175" t="s">
        <v>632</v>
      </c>
      <c r="Q88" s="175">
        <v>10000</v>
      </c>
      <c r="R88" s="175">
        <v>6</v>
      </c>
      <c r="S88" s="175">
        <v>0</v>
      </c>
      <c r="T88" s="175" t="s">
        <v>632</v>
      </c>
      <c r="U88" s="175">
        <v>10000</v>
      </c>
      <c r="V88" s="175">
        <v>5</v>
      </c>
      <c r="W88" s="175">
        <v>0</v>
      </c>
      <c r="X88" s="175" t="s">
        <v>632</v>
      </c>
      <c r="Y88" s="175">
        <v>10000</v>
      </c>
      <c r="Z88" s="175">
        <v>5.8299595141700413</v>
      </c>
      <c r="AA88" s="175">
        <v>22.666666666666668</v>
      </c>
      <c r="AB88" s="175">
        <v>0.9975260416666667</v>
      </c>
      <c r="AC88" s="175">
        <v>100</v>
      </c>
      <c r="AD88" s="175">
        <v>2.8333333333333335</v>
      </c>
      <c r="AE88" s="175">
        <v>2.5833333333333335</v>
      </c>
      <c r="AF88" s="175" t="s">
        <v>236</v>
      </c>
      <c r="AG88" s="175">
        <v>2</v>
      </c>
      <c r="AH88" s="175" t="s">
        <v>15337</v>
      </c>
      <c r="AI88" s="175" t="s">
        <v>15892</v>
      </c>
      <c r="AJ88" s="175" t="s">
        <v>835</v>
      </c>
      <c r="AK88" s="175" t="s">
        <v>835</v>
      </c>
      <c r="AL88" s="1159" t="s">
        <v>251</v>
      </c>
      <c r="AM88" s="175" t="s">
        <v>460</v>
      </c>
      <c r="AN88" s="175">
        <v>1.1890000000000001</v>
      </c>
      <c r="AO88" s="175">
        <v>2.8</v>
      </c>
      <c r="AP88" s="175">
        <v>24</v>
      </c>
      <c r="AQ88" s="175">
        <v>216</v>
      </c>
      <c r="AR88" s="175">
        <v>3.8</v>
      </c>
      <c r="AS88" s="192">
        <v>23422.3488</v>
      </c>
    </row>
    <row r="89" spans="1:45" ht="16.5" customHeight="1">
      <c r="A89" s="174">
        <v>46206</v>
      </c>
      <c r="B89" s="175" t="s">
        <v>417</v>
      </c>
      <c r="C89" s="175" t="s">
        <v>17291</v>
      </c>
      <c r="D89" s="175" t="s">
        <v>633</v>
      </c>
      <c r="E89" s="175" t="s">
        <v>16719</v>
      </c>
      <c r="F89" s="175" t="s">
        <v>17290</v>
      </c>
      <c r="G89" s="175">
        <v>700</v>
      </c>
      <c r="H89" s="175" t="s">
        <v>724</v>
      </c>
      <c r="I89" s="175">
        <v>5.5</v>
      </c>
      <c r="J89" s="175">
        <v>12</v>
      </c>
      <c r="K89" s="175">
        <v>7</v>
      </c>
      <c r="L89" s="175">
        <v>9070</v>
      </c>
      <c r="M89" s="175">
        <v>8150</v>
      </c>
      <c r="N89" s="175">
        <v>30</v>
      </c>
      <c r="O89" s="175">
        <v>0</v>
      </c>
      <c r="P89" s="175">
        <v>9260</v>
      </c>
      <c r="Q89" s="175">
        <v>9540</v>
      </c>
      <c r="R89" s="175">
        <v>28</v>
      </c>
      <c r="S89" s="175">
        <v>0</v>
      </c>
      <c r="T89" s="175">
        <v>10000</v>
      </c>
      <c r="U89" s="175">
        <v>9720</v>
      </c>
      <c r="V89" s="175">
        <v>32</v>
      </c>
      <c r="W89" s="175">
        <v>0</v>
      </c>
      <c r="X89" s="175">
        <v>10000</v>
      </c>
      <c r="Y89" s="175">
        <v>9720</v>
      </c>
      <c r="Z89" s="175">
        <v>5.8299595141700413</v>
      </c>
      <c r="AA89" s="175">
        <v>34</v>
      </c>
      <c r="AB89" s="175">
        <v>0.99422743055555551</v>
      </c>
      <c r="AC89" s="175">
        <v>94.325000000000003</v>
      </c>
      <c r="AD89" s="175">
        <v>4.25</v>
      </c>
      <c r="AE89" s="175">
        <v>3.9583333333333335</v>
      </c>
      <c r="AF89" s="175" t="s">
        <v>236</v>
      </c>
      <c r="AG89" s="175">
        <v>1</v>
      </c>
      <c r="AH89" s="175" t="s">
        <v>638</v>
      </c>
      <c r="AI89" s="175" t="s">
        <v>16113</v>
      </c>
      <c r="AJ89" s="175" t="s">
        <v>835</v>
      </c>
      <c r="AK89" s="175" t="s">
        <v>835</v>
      </c>
      <c r="AL89" s="1159" t="s">
        <v>251</v>
      </c>
      <c r="AM89" s="175" t="s">
        <v>460</v>
      </c>
      <c r="AN89" s="175">
        <v>1.1890000000000001</v>
      </c>
      <c r="AO89" s="175">
        <v>2.8</v>
      </c>
      <c r="AP89" s="175">
        <v>24</v>
      </c>
      <c r="AQ89" s="175">
        <v>216</v>
      </c>
      <c r="AR89" s="175">
        <v>3.8</v>
      </c>
      <c r="AS89" s="192">
        <v>23422.3488</v>
      </c>
    </row>
    <row r="90" spans="1:45" ht="16.5" customHeight="1">
      <c r="A90" s="174">
        <v>46206</v>
      </c>
      <c r="B90" s="175" t="s">
        <v>240</v>
      </c>
      <c r="C90" s="175" t="s">
        <v>632</v>
      </c>
      <c r="E90" s="175" t="s">
        <v>419</v>
      </c>
      <c r="F90" s="175" t="s">
        <v>419</v>
      </c>
      <c r="G90" s="175" t="s">
        <v>419</v>
      </c>
      <c r="H90" s="175" t="s">
        <v>419</v>
      </c>
      <c r="I90" s="175" t="s">
        <v>419</v>
      </c>
      <c r="L90" s="175" t="s">
        <v>632</v>
      </c>
      <c r="P90" s="175" t="s">
        <v>632</v>
      </c>
      <c r="T90" s="175" t="s">
        <v>632</v>
      </c>
      <c r="X90" s="175" t="s">
        <v>632</v>
      </c>
      <c r="Z90" s="175" t="s">
        <v>419</v>
      </c>
      <c r="AA90" s="175" t="s">
        <v>632</v>
      </c>
      <c r="AB90" s="175" t="s">
        <v>419</v>
      </c>
      <c r="AC90" s="175" t="s">
        <v>419</v>
      </c>
      <c r="AD90" s="175" t="s">
        <v>419</v>
      </c>
      <c r="AE90" s="175" t="s">
        <v>419</v>
      </c>
      <c r="AF90" s="175" t="s">
        <v>241</v>
      </c>
      <c r="AG90" s="175">
        <v>12</v>
      </c>
      <c r="AH90" s="175" t="s">
        <v>640</v>
      </c>
      <c r="AI90" s="175" t="s">
        <v>640</v>
      </c>
      <c r="AJ90" s="175" t="s">
        <v>640</v>
      </c>
      <c r="AK90" s="175" t="s">
        <v>640</v>
      </c>
      <c r="AL90" s="1159" t="s">
        <v>419</v>
      </c>
      <c r="AM90" s="175" t="s">
        <v>419</v>
      </c>
      <c r="AN90" s="175" t="s">
        <v>419</v>
      </c>
      <c r="AO90" s="175" t="s">
        <v>419</v>
      </c>
      <c r="AP90" s="175">
        <v>24</v>
      </c>
      <c r="AQ90" s="175">
        <v>216</v>
      </c>
      <c r="AR90" s="175" t="s">
        <v>419</v>
      </c>
      <c r="AS90" s="192" t="s">
        <v>419</v>
      </c>
    </row>
    <row r="91" spans="1:45" ht="16.5" customHeight="1">
      <c r="A91" s="174">
        <v>46206</v>
      </c>
      <c r="B91" s="175" t="s">
        <v>242</v>
      </c>
      <c r="C91" s="175" t="s">
        <v>385</v>
      </c>
      <c r="E91" s="175" t="s">
        <v>419</v>
      </c>
      <c r="F91" s="175" t="s">
        <v>419</v>
      </c>
      <c r="G91" s="175" t="s">
        <v>419</v>
      </c>
      <c r="H91" s="175" t="s">
        <v>419</v>
      </c>
      <c r="I91" s="175" t="s">
        <v>419</v>
      </c>
      <c r="L91" s="175" t="s">
        <v>385</v>
      </c>
      <c r="P91" s="175" t="s">
        <v>385</v>
      </c>
      <c r="T91" s="175" t="s">
        <v>385</v>
      </c>
      <c r="X91" s="175" t="s">
        <v>385</v>
      </c>
      <c r="Z91" s="175" t="s">
        <v>419</v>
      </c>
      <c r="AA91" s="175" t="s">
        <v>385</v>
      </c>
      <c r="AB91" s="175" t="s">
        <v>419</v>
      </c>
      <c r="AC91" s="175" t="s">
        <v>419</v>
      </c>
      <c r="AD91" s="175" t="s">
        <v>419</v>
      </c>
      <c r="AE91" s="175" t="s">
        <v>419</v>
      </c>
      <c r="AF91" s="175" t="s">
        <v>241</v>
      </c>
      <c r="AG91" s="175">
        <v>5</v>
      </c>
      <c r="AH91" s="175" t="s">
        <v>634</v>
      </c>
      <c r="AI91" s="175" t="s">
        <v>634</v>
      </c>
      <c r="AJ91" s="175" t="s">
        <v>635</v>
      </c>
      <c r="AK91" s="175" t="s">
        <v>635</v>
      </c>
      <c r="AL91" s="1159" t="s">
        <v>419</v>
      </c>
      <c r="AM91" s="175" t="s">
        <v>419</v>
      </c>
      <c r="AN91" s="175" t="s">
        <v>419</v>
      </c>
      <c r="AO91" s="175" t="s">
        <v>419</v>
      </c>
      <c r="AP91" s="175">
        <v>24</v>
      </c>
      <c r="AQ91" s="175">
        <v>216</v>
      </c>
      <c r="AR91" s="175" t="s">
        <v>419</v>
      </c>
      <c r="AS91" s="192" t="s">
        <v>419</v>
      </c>
    </row>
    <row r="92" spans="1:45" ht="16.5" customHeight="1">
      <c r="A92" s="174">
        <v>46207</v>
      </c>
      <c r="B92" s="175" t="s">
        <v>212</v>
      </c>
      <c r="C92" s="175" t="s">
        <v>632</v>
      </c>
      <c r="E92" s="175" t="s">
        <v>419</v>
      </c>
      <c r="F92" s="175" t="s">
        <v>419</v>
      </c>
      <c r="G92" s="175" t="s">
        <v>419</v>
      </c>
      <c r="H92" s="175" t="s">
        <v>419</v>
      </c>
      <c r="I92" s="175" t="s">
        <v>419</v>
      </c>
      <c r="L92" s="175" t="s">
        <v>632</v>
      </c>
      <c r="P92" s="175" t="s">
        <v>632</v>
      </c>
      <c r="T92" s="175" t="s">
        <v>632</v>
      </c>
      <c r="X92" s="175" t="s">
        <v>632</v>
      </c>
      <c r="Z92" s="175" t="s">
        <v>419</v>
      </c>
      <c r="AA92" s="175" t="s">
        <v>632</v>
      </c>
      <c r="AB92" s="175" t="s">
        <v>419</v>
      </c>
      <c r="AC92" s="175" t="s">
        <v>419</v>
      </c>
      <c r="AD92" s="175" t="s">
        <v>419</v>
      </c>
      <c r="AE92" s="175" t="s">
        <v>419</v>
      </c>
      <c r="AF92" s="175" t="s">
        <v>213</v>
      </c>
      <c r="AG92" s="175">
        <v>1</v>
      </c>
      <c r="AH92" s="175" t="s">
        <v>640</v>
      </c>
      <c r="AI92" s="175" t="s">
        <v>640</v>
      </c>
      <c r="AJ92" s="175" t="s">
        <v>640</v>
      </c>
      <c r="AK92" s="175" t="s">
        <v>640</v>
      </c>
      <c r="AL92" s="1159" t="s">
        <v>419</v>
      </c>
      <c r="AM92" s="175" t="s">
        <v>419</v>
      </c>
      <c r="AN92" s="175" t="s">
        <v>419</v>
      </c>
      <c r="AO92" s="175" t="s">
        <v>419</v>
      </c>
      <c r="AP92" s="175">
        <v>24</v>
      </c>
      <c r="AQ92" s="175">
        <v>216</v>
      </c>
      <c r="AR92" s="175" t="s">
        <v>419</v>
      </c>
      <c r="AS92" s="192" t="s">
        <v>419</v>
      </c>
    </row>
    <row r="93" spans="1:45" ht="16.5" customHeight="1">
      <c r="A93" s="174">
        <v>46207</v>
      </c>
      <c r="B93" s="175" t="s">
        <v>214</v>
      </c>
      <c r="C93" s="175" t="s">
        <v>632</v>
      </c>
      <c r="E93" s="175" t="s">
        <v>419</v>
      </c>
      <c r="F93" s="175" t="s">
        <v>419</v>
      </c>
      <c r="G93" s="175" t="s">
        <v>419</v>
      </c>
      <c r="H93" s="175" t="s">
        <v>419</v>
      </c>
      <c r="I93" s="175" t="s">
        <v>419</v>
      </c>
      <c r="L93" s="175" t="s">
        <v>632</v>
      </c>
      <c r="P93" s="175" t="s">
        <v>632</v>
      </c>
      <c r="T93" s="175" t="s">
        <v>632</v>
      </c>
      <c r="X93" s="175" t="s">
        <v>632</v>
      </c>
      <c r="Z93" s="175" t="s">
        <v>419</v>
      </c>
      <c r="AA93" s="175" t="s">
        <v>632</v>
      </c>
      <c r="AB93" s="175" t="s">
        <v>419</v>
      </c>
      <c r="AC93" s="175" t="s">
        <v>419</v>
      </c>
      <c r="AD93" s="175" t="s">
        <v>419</v>
      </c>
      <c r="AE93" s="175" t="s">
        <v>419</v>
      </c>
      <c r="AF93" s="175" t="s">
        <v>213</v>
      </c>
      <c r="AG93" s="175">
        <v>1</v>
      </c>
      <c r="AH93" s="175" t="s">
        <v>640</v>
      </c>
      <c r="AI93" s="175" t="s">
        <v>640</v>
      </c>
      <c r="AJ93" s="175" t="s">
        <v>640</v>
      </c>
      <c r="AK93" s="175" t="s">
        <v>640</v>
      </c>
      <c r="AL93" s="1159" t="s">
        <v>419</v>
      </c>
      <c r="AM93" s="175" t="s">
        <v>419</v>
      </c>
      <c r="AN93" s="175" t="s">
        <v>419</v>
      </c>
      <c r="AO93" s="175" t="s">
        <v>419</v>
      </c>
      <c r="AP93" s="175">
        <v>24</v>
      </c>
      <c r="AQ93" s="175">
        <v>216</v>
      </c>
      <c r="AR93" s="175" t="s">
        <v>419</v>
      </c>
      <c r="AS93" s="192" t="s">
        <v>419</v>
      </c>
    </row>
    <row r="94" spans="1:45" ht="16.5" customHeight="1">
      <c r="A94" s="174">
        <v>46207</v>
      </c>
      <c r="B94" s="175" t="s">
        <v>215</v>
      </c>
      <c r="C94" s="175" t="s">
        <v>17316</v>
      </c>
      <c r="E94" s="175" t="s">
        <v>5005</v>
      </c>
      <c r="F94" s="175" t="s">
        <v>17317</v>
      </c>
      <c r="G94" s="175">
        <v>500</v>
      </c>
      <c r="H94" s="175" t="s">
        <v>1186</v>
      </c>
      <c r="I94" s="175">
        <v>4</v>
      </c>
      <c r="J94" s="175">
        <v>48</v>
      </c>
      <c r="K94" s="175">
        <v>0</v>
      </c>
      <c r="L94" s="175">
        <v>8533</v>
      </c>
      <c r="M94" s="175">
        <v>7799</v>
      </c>
      <c r="N94" s="175">
        <v>16</v>
      </c>
      <c r="O94" s="175">
        <v>0</v>
      </c>
      <c r="P94" s="175">
        <v>8574</v>
      </c>
      <c r="Q94" s="175">
        <v>7702</v>
      </c>
      <c r="R94" s="175">
        <v>22</v>
      </c>
      <c r="S94" s="175">
        <v>0</v>
      </c>
      <c r="T94" s="175">
        <v>8748</v>
      </c>
      <c r="U94" s="175">
        <v>7743</v>
      </c>
      <c r="V94" s="175">
        <v>32</v>
      </c>
      <c r="W94" s="175">
        <v>1</v>
      </c>
      <c r="X94" s="175">
        <v>8952</v>
      </c>
      <c r="Y94" s="175">
        <v>7578</v>
      </c>
      <c r="Z94" s="175">
        <v>2.9937629937629939</v>
      </c>
      <c r="AA94" s="175">
        <v>39.333333333333336</v>
      </c>
      <c r="AB94" s="175">
        <v>0.99839409722222228</v>
      </c>
      <c r="AC94" s="175">
        <v>82.036249999999995</v>
      </c>
      <c r="AD94" s="175">
        <v>4.916666666666667</v>
      </c>
      <c r="AE94" s="175">
        <v>4.875</v>
      </c>
      <c r="AF94" s="175" t="s">
        <v>213</v>
      </c>
      <c r="AG94" s="175">
        <v>1</v>
      </c>
      <c r="AH94" s="175" t="s">
        <v>15376</v>
      </c>
      <c r="AI94" s="175" t="s">
        <v>15376</v>
      </c>
      <c r="AL94" s="1159" t="s">
        <v>250</v>
      </c>
      <c r="AM94" s="175" t="s">
        <v>126</v>
      </c>
      <c r="AN94" s="175">
        <v>0.91100000000000003</v>
      </c>
      <c r="AO94" s="175">
        <v>1.9</v>
      </c>
      <c r="AP94" s="175">
        <v>24</v>
      </c>
      <c r="AQ94" s="175">
        <v>216</v>
      </c>
      <c r="AR94" s="175">
        <v>2.9</v>
      </c>
      <c r="AS94" s="192">
        <v>13695.6096</v>
      </c>
    </row>
    <row r="95" spans="1:45" ht="16.5" customHeight="1">
      <c r="A95" s="174">
        <v>46207</v>
      </c>
      <c r="B95" s="175" t="s">
        <v>216</v>
      </c>
      <c r="C95" s="175" t="s">
        <v>632</v>
      </c>
      <c r="E95" s="175" t="s">
        <v>419</v>
      </c>
      <c r="F95" s="175" t="s">
        <v>419</v>
      </c>
      <c r="G95" s="175" t="s">
        <v>419</v>
      </c>
      <c r="H95" s="175" t="s">
        <v>419</v>
      </c>
      <c r="I95" s="175" t="s">
        <v>419</v>
      </c>
      <c r="L95" s="175" t="s">
        <v>632</v>
      </c>
      <c r="P95" s="175" t="s">
        <v>632</v>
      </c>
      <c r="T95" s="175" t="s">
        <v>632</v>
      </c>
      <c r="X95" s="175" t="s">
        <v>632</v>
      </c>
      <c r="Z95" s="175" t="s">
        <v>419</v>
      </c>
      <c r="AA95" s="175" t="s">
        <v>632</v>
      </c>
      <c r="AB95" s="175" t="s">
        <v>419</v>
      </c>
      <c r="AC95" s="175" t="s">
        <v>419</v>
      </c>
      <c r="AD95" s="175" t="s">
        <v>419</v>
      </c>
      <c r="AE95" s="175" t="s">
        <v>419</v>
      </c>
      <c r="AF95" s="175" t="s">
        <v>213</v>
      </c>
      <c r="AG95" s="175">
        <v>1</v>
      </c>
      <c r="AH95" s="175" t="s">
        <v>640</v>
      </c>
      <c r="AI95" s="175" t="s">
        <v>640</v>
      </c>
      <c r="AJ95" s="175" t="s">
        <v>640</v>
      </c>
      <c r="AK95" s="175" t="s">
        <v>640</v>
      </c>
      <c r="AL95" s="1159" t="s">
        <v>419</v>
      </c>
      <c r="AM95" s="175" t="s">
        <v>419</v>
      </c>
      <c r="AN95" s="175" t="s">
        <v>419</v>
      </c>
      <c r="AO95" s="175" t="s">
        <v>419</v>
      </c>
      <c r="AP95" s="175">
        <v>24</v>
      </c>
      <c r="AQ95" s="175">
        <v>216</v>
      </c>
      <c r="AR95" s="175" t="s">
        <v>419</v>
      </c>
      <c r="AS95" s="192" t="s">
        <v>419</v>
      </c>
    </row>
    <row r="96" spans="1:45" ht="16.5" customHeight="1">
      <c r="A96" s="174">
        <v>46207</v>
      </c>
      <c r="B96" s="175" t="s">
        <v>217</v>
      </c>
      <c r="C96" s="175" t="s">
        <v>632</v>
      </c>
      <c r="E96" s="175" t="s">
        <v>419</v>
      </c>
      <c r="F96" s="175" t="s">
        <v>419</v>
      </c>
      <c r="G96" s="175" t="s">
        <v>419</v>
      </c>
      <c r="H96" s="175" t="s">
        <v>419</v>
      </c>
      <c r="I96" s="175" t="s">
        <v>419</v>
      </c>
      <c r="L96" s="175" t="s">
        <v>632</v>
      </c>
      <c r="P96" s="175" t="s">
        <v>632</v>
      </c>
      <c r="T96" s="175" t="s">
        <v>632</v>
      </c>
      <c r="X96" s="175" t="s">
        <v>632</v>
      </c>
      <c r="Z96" s="175" t="s">
        <v>419</v>
      </c>
      <c r="AA96" s="175" t="s">
        <v>632</v>
      </c>
      <c r="AB96" s="175" t="s">
        <v>419</v>
      </c>
      <c r="AC96" s="175" t="s">
        <v>419</v>
      </c>
      <c r="AD96" s="175" t="s">
        <v>419</v>
      </c>
      <c r="AE96" s="175" t="s">
        <v>419</v>
      </c>
      <c r="AF96" s="175" t="s">
        <v>213</v>
      </c>
      <c r="AG96" s="175">
        <v>1</v>
      </c>
      <c r="AH96" s="175" t="s">
        <v>640</v>
      </c>
      <c r="AI96" s="175" t="s">
        <v>640</v>
      </c>
      <c r="AJ96" s="175" t="s">
        <v>640</v>
      </c>
      <c r="AK96" s="175" t="s">
        <v>640</v>
      </c>
      <c r="AL96" s="1159" t="s">
        <v>419</v>
      </c>
      <c r="AM96" s="175" t="s">
        <v>419</v>
      </c>
      <c r="AN96" s="175" t="s">
        <v>419</v>
      </c>
      <c r="AO96" s="175" t="s">
        <v>419</v>
      </c>
      <c r="AP96" s="175">
        <v>24</v>
      </c>
      <c r="AQ96" s="175">
        <v>216</v>
      </c>
      <c r="AR96" s="175" t="s">
        <v>419</v>
      </c>
      <c r="AS96" s="192" t="s">
        <v>419</v>
      </c>
    </row>
    <row r="97" spans="1:45" ht="16.5" customHeight="1">
      <c r="A97" s="174">
        <v>46207</v>
      </c>
      <c r="B97" s="175" t="s">
        <v>218</v>
      </c>
      <c r="C97" s="175" t="s">
        <v>17221</v>
      </c>
      <c r="E97" s="175" t="s">
        <v>17237</v>
      </c>
      <c r="F97" s="175" t="s">
        <v>17229</v>
      </c>
      <c r="G97" s="175">
        <v>600</v>
      </c>
      <c r="H97" s="175" t="s">
        <v>15893</v>
      </c>
      <c r="I97" s="175">
        <v>5</v>
      </c>
      <c r="J97" s="175">
        <v>8</v>
      </c>
      <c r="K97" s="175">
        <v>0</v>
      </c>
      <c r="L97" s="175">
        <v>9179</v>
      </c>
      <c r="M97" s="175">
        <v>9327</v>
      </c>
      <c r="N97" s="175">
        <v>12</v>
      </c>
      <c r="O97" s="175">
        <v>0</v>
      </c>
      <c r="P97" s="175">
        <v>9046</v>
      </c>
      <c r="Q97" s="175">
        <v>9305</v>
      </c>
      <c r="R97" s="175">
        <v>6</v>
      </c>
      <c r="S97" s="175">
        <v>0</v>
      </c>
      <c r="T97" s="175">
        <v>9125</v>
      </c>
      <c r="U97" s="175">
        <v>9370</v>
      </c>
      <c r="V97" s="175">
        <v>12</v>
      </c>
      <c r="W97" s="175">
        <v>0</v>
      </c>
      <c r="X97" s="175">
        <v>9369</v>
      </c>
      <c r="Y97" s="175">
        <v>9428</v>
      </c>
      <c r="Z97" s="175">
        <v>2.8015564202334629</v>
      </c>
      <c r="AA97" s="175">
        <v>6.333333333333333</v>
      </c>
      <c r="AB97" s="175">
        <v>1</v>
      </c>
      <c r="AC97" s="175">
        <v>92.686250000000001</v>
      </c>
      <c r="AD97" s="175">
        <v>0.79166666666666663</v>
      </c>
      <c r="AE97" s="175">
        <v>0.79166666666666663</v>
      </c>
      <c r="AF97" s="175" t="s">
        <v>213</v>
      </c>
      <c r="AG97" s="175">
        <v>0.5</v>
      </c>
      <c r="AH97" s="175" t="s">
        <v>15376</v>
      </c>
      <c r="AI97" s="175" t="s">
        <v>15376</v>
      </c>
      <c r="AJ97" s="175" t="s">
        <v>725</v>
      </c>
      <c r="AK97" s="175" t="s">
        <v>725</v>
      </c>
      <c r="AL97" s="1159" t="s">
        <v>250</v>
      </c>
      <c r="AM97" s="175" t="s">
        <v>126</v>
      </c>
      <c r="AN97" s="175">
        <v>0.91100000000000003</v>
      </c>
      <c r="AO97" s="175">
        <v>1.7</v>
      </c>
      <c r="AP97" s="175">
        <v>24</v>
      </c>
      <c r="AQ97" s="175">
        <v>216</v>
      </c>
      <c r="AR97" s="175">
        <v>2.7</v>
      </c>
      <c r="AS97" s="192">
        <v>12751.084800000001</v>
      </c>
    </row>
    <row r="98" spans="1:45" ht="16.5" customHeight="1">
      <c r="A98" s="174">
        <v>46207</v>
      </c>
      <c r="B98" s="175" t="s">
        <v>219</v>
      </c>
      <c r="C98" s="175" t="s">
        <v>632</v>
      </c>
      <c r="E98" s="175" t="s">
        <v>419</v>
      </c>
      <c r="F98" s="175" t="s">
        <v>419</v>
      </c>
      <c r="G98" s="175" t="s">
        <v>419</v>
      </c>
      <c r="H98" s="175" t="s">
        <v>419</v>
      </c>
      <c r="I98" s="175" t="s">
        <v>419</v>
      </c>
      <c r="L98" s="175" t="s">
        <v>632</v>
      </c>
      <c r="P98" s="175" t="s">
        <v>632</v>
      </c>
      <c r="T98" s="175" t="s">
        <v>632</v>
      </c>
      <c r="X98" s="175" t="s">
        <v>632</v>
      </c>
      <c r="Z98" s="175" t="s">
        <v>419</v>
      </c>
      <c r="AA98" s="175" t="s">
        <v>632</v>
      </c>
      <c r="AB98" s="175" t="s">
        <v>419</v>
      </c>
      <c r="AC98" s="175" t="s">
        <v>419</v>
      </c>
      <c r="AD98" s="175" t="s">
        <v>419</v>
      </c>
      <c r="AE98" s="175" t="s">
        <v>419</v>
      </c>
      <c r="AF98" s="175" t="s">
        <v>213</v>
      </c>
      <c r="AG98" s="175">
        <v>1</v>
      </c>
      <c r="AH98" s="175" t="s">
        <v>640</v>
      </c>
      <c r="AI98" s="175" t="s">
        <v>640</v>
      </c>
      <c r="AJ98" s="175" t="s">
        <v>640</v>
      </c>
      <c r="AK98" s="175" t="s">
        <v>640</v>
      </c>
      <c r="AL98" s="1159" t="s">
        <v>419</v>
      </c>
      <c r="AM98" s="175" t="s">
        <v>419</v>
      </c>
      <c r="AN98" s="175" t="s">
        <v>419</v>
      </c>
      <c r="AO98" s="175" t="s">
        <v>419</v>
      </c>
      <c r="AP98" s="175">
        <v>24</v>
      </c>
      <c r="AQ98" s="175">
        <v>216</v>
      </c>
      <c r="AR98" s="175" t="s">
        <v>419</v>
      </c>
      <c r="AS98" s="192" t="s">
        <v>419</v>
      </c>
    </row>
    <row r="99" spans="1:45" ht="16.5" customHeight="1">
      <c r="A99" s="174">
        <v>46207</v>
      </c>
      <c r="B99" s="175" t="s">
        <v>220</v>
      </c>
      <c r="C99" s="175" t="s">
        <v>632</v>
      </c>
      <c r="E99" s="175" t="s">
        <v>419</v>
      </c>
      <c r="F99" s="175" t="s">
        <v>419</v>
      </c>
      <c r="G99" s="175" t="s">
        <v>419</v>
      </c>
      <c r="H99" s="175" t="s">
        <v>419</v>
      </c>
      <c r="I99" s="175" t="s">
        <v>419</v>
      </c>
      <c r="L99" s="175" t="s">
        <v>632</v>
      </c>
      <c r="P99" s="175" t="s">
        <v>632</v>
      </c>
      <c r="T99" s="175" t="s">
        <v>632</v>
      </c>
      <c r="X99" s="175" t="s">
        <v>632</v>
      </c>
      <c r="Z99" s="175" t="s">
        <v>419</v>
      </c>
      <c r="AA99" s="175" t="s">
        <v>632</v>
      </c>
      <c r="AB99" s="175" t="s">
        <v>419</v>
      </c>
      <c r="AC99" s="175" t="s">
        <v>419</v>
      </c>
      <c r="AD99" s="175" t="s">
        <v>419</v>
      </c>
      <c r="AE99" s="175" t="s">
        <v>419</v>
      </c>
      <c r="AF99" s="175" t="s">
        <v>213</v>
      </c>
      <c r="AG99" s="175">
        <v>1</v>
      </c>
      <c r="AH99" s="175" t="s">
        <v>640</v>
      </c>
      <c r="AI99" s="175" t="s">
        <v>640</v>
      </c>
      <c r="AJ99" s="175" t="s">
        <v>640</v>
      </c>
      <c r="AK99" s="175" t="s">
        <v>640</v>
      </c>
      <c r="AL99" s="1159" t="s">
        <v>419</v>
      </c>
      <c r="AM99" s="175" t="s">
        <v>419</v>
      </c>
      <c r="AN99" s="175" t="s">
        <v>419</v>
      </c>
      <c r="AO99" s="175" t="s">
        <v>419</v>
      </c>
      <c r="AP99" s="175">
        <v>24</v>
      </c>
      <c r="AQ99" s="175">
        <v>216</v>
      </c>
      <c r="AR99" s="175" t="s">
        <v>419</v>
      </c>
      <c r="AS99" s="192" t="s">
        <v>419</v>
      </c>
    </row>
    <row r="100" spans="1:45" ht="16.5" customHeight="1">
      <c r="A100" s="174">
        <v>46207</v>
      </c>
      <c r="B100" s="175" t="s">
        <v>221</v>
      </c>
      <c r="C100" s="175" t="s">
        <v>632</v>
      </c>
      <c r="E100" s="175" t="s">
        <v>419</v>
      </c>
      <c r="F100" s="175" t="s">
        <v>419</v>
      </c>
      <c r="G100" s="175" t="s">
        <v>419</v>
      </c>
      <c r="H100" s="175" t="s">
        <v>419</v>
      </c>
      <c r="I100" s="175" t="s">
        <v>419</v>
      </c>
      <c r="L100" s="175" t="s">
        <v>632</v>
      </c>
      <c r="P100" s="175" t="s">
        <v>632</v>
      </c>
      <c r="T100" s="175" t="s">
        <v>632</v>
      </c>
      <c r="X100" s="175" t="s">
        <v>632</v>
      </c>
      <c r="Z100" s="175" t="s">
        <v>419</v>
      </c>
      <c r="AA100" s="175" t="s">
        <v>632</v>
      </c>
      <c r="AB100" s="175" t="s">
        <v>419</v>
      </c>
      <c r="AC100" s="175" t="s">
        <v>419</v>
      </c>
      <c r="AD100" s="175" t="s">
        <v>419</v>
      </c>
      <c r="AE100" s="175" t="s">
        <v>419</v>
      </c>
      <c r="AF100" s="175" t="s">
        <v>213</v>
      </c>
      <c r="AG100" s="175">
        <v>1</v>
      </c>
      <c r="AH100" s="175" t="s">
        <v>640</v>
      </c>
      <c r="AI100" s="175" t="s">
        <v>640</v>
      </c>
      <c r="AJ100" s="175" t="s">
        <v>640</v>
      </c>
      <c r="AK100" s="175" t="s">
        <v>640</v>
      </c>
      <c r="AL100" s="1159" t="s">
        <v>419</v>
      </c>
      <c r="AM100" s="175" t="s">
        <v>419</v>
      </c>
      <c r="AN100" s="175" t="s">
        <v>419</v>
      </c>
      <c r="AO100" s="175" t="s">
        <v>419</v>
      </c>
      <c r="AP100" s="175">
        <v>24</v>
      </c>
      <c r="AQ100" s="175">
        <v>216</v>
      </c>
      <c r="AR100" s="175" t="s">
        <v>419</v>
      </c>
      <c r="AS100" s="192" t="s">
        <v>419</v>
      </c>
    </row>
    <row r="101" spans="1:45" ht="16.5" customHeight="1">
      <c r="A101" s="174">
        <v>46207</v>
      </c>
      <c r="B101" s="175" t="s">
        <v>222</v>
      </c>
      <c r="C101" s="175" t="s">
        <v>17261</v>
      </c>
      <c r="D101" s="175" t="s">
        <v>16748</v>
      </c>
      <c r="E101" s="175" t="s">
        <v>17177</v>
      </c>
      <c r="F101" s="175" t="s">
        <v>17262</v>
      </c>
      <c r="G101" s="175">
        <v>550</v>
      </c>
      <c r="H101" s="175" t="s">
        <v>762</v>
      </c>
      <c r="I101" s="175">
        <v>2</v>
      </c>
      <c r="J101" s="175">
        <v>8</v>
      </c>
      <c r="K101" s="175">
        <v>0</v>
      </c>
      <c r="L101" s="175">
        <v>9245</v>
      </c>
      <c r="M101" s="175" t="s">
        <v>632</v>
      </c>
      <c r="N101" s="175">
        <v>5</v>
      </c>
      <c r="O101" s="175">
        <v>0</v>
      </c>
      <c r="P101" s="175">
        <v>9332</v>
      </c>
      <c r="Q101" s="175" t="s">
        <v>632</v>
      </c>
      <c r="R101" s="175">
        <v>6</v>
      </c>
      <c r="S101" s="175">
        <v>0</v>
      </c>
      <c r="T101" s="175">
        <v>9408</v>
      </c>
      <c r="U101" s="175" t="s">
        <v>632</v>
      </c>
      <c r="V101" s="175">
        <v>15</v>
      </c>
      <c r="W101" s="175">
        <v>0</v>
      </c>
      <c r="X101" s="175">
        <v>9463</v>
      </c>
      <c r="Y101" s="175" t="s">
        <v>632</v>
      </c>
      <c r="Z101" s="175">
        <v>2.1492537313432836</v>
      </c>
      <c r="AA101" s="175">
        <v>22.666666666666668</v>
      </c>
      <c r="AB101" s="175">
        <v>1</v>
      </c>
      <c r="AC101" s="175">
        <v>93.62</v>
      </c>
      <c r="AD101" s="175">
        <v>2.8333333333333335</v>
      </c>
      <c r="AE101" s="175">
        <v>2.8333333333333335</v>
      </c>
      <c r="AF101" s="175" t="s">
        <v>213</v>
      </c>
      <c r="AG101" s="175">
        <v>2</v>
      </c>
      <c r="AH101" s="175" t="s">
        <v>15376</v>
      </c>
      <c r="AI101" s="175" t="s">
        <v>15376</v>
      </c>
      <c r="AJ101" s="175" t="s">
        <v>725</v>
      </c>
      <c r="AK101" s="175" t="s">
        <v>725</v>
      </c>
      <c r="AL101" s="1159" t="s">
        <v>250</v>
      </c>
      <c r="AM101" s="175" t="s">
        <v>126</v>
      </c>
      <c r="AN101" s="175">
        <v>0.91100000000000003</v>
      </c>
      <c r="AO101" s="175">
        <v>0.7</v>
      </c>
      <c r="AP101" s="175">
        <v>24</v>
      </c>
      <c r="AQ101" s="175">
        <v>216</v>
      </c>
      <c r="AR101" s="175">
        <v>1.7</v>
      </c>
      <c r="AS101" s="192">
        <v>8028.4608000000007</v>
      </c>
    </row>
    <row r="102" spans="1:45" ht="16.5" customHeight="1">
      <c r="A102" s="174">
        <v>46207</v>
      </c>
      <c r="B102" s="175" t="s">
        <v>223</v>
      </c>
      <c r="C102" s="175" t="s">
        <v>17263</v>
      </c>
      <c r="D102" s="175" t="s">
        <v>16748</v>
      </c>
      <c r="E102" s="175" t="s">
        <v>17156</v>
      </c>
      <c r="F102" s="175" t="s">
        <v>17264</v>
      </c>
      <c r="G102" s="175">
        <v>600</v>
      </c>
      <c r="H102" s="175" t="s">
        <v>456</v>
      </c>
      <c r="I102" s="175">
        <v>3</v>
      </c>
      <c r="J102" s="175">
        <v>6</v>
      </c>
      <c r="K102" s="175">
        <v>0</v>
      </c>
      <c r="L102" s="175">
        <v>8169</v>
      </c>
      <c r="M102" s="175" t="s">
        <v>632</v>
      </c>
      <c r="N102" s="175">
        <v>9</v>
      </c>
      <c r="O102" s="175">
        <v>0</v>
      </c>
      <c r="P102" s="175">
        <v>7977</v>
      </c>
      <c r="Q102" s="175" t="s">
        <v>632</v>
      </c>
      <c r="R102" s="175">
        <v>12</v>
      </c>
      <c r="S102" s="175">
        <v>0</v>
      </c>
      <c r="T102" s="175">
        <v>7987</v>
      </c>
      <c r="U102" s="175" t="s">
        <v>632</v>
      </c>
      <c r="V102" s="175">
        <v>14</v>
      </c>
      <c r="W102" s="175">
        <v>1</v>
      </c>
      <c r="X102" s="175">
        <v>8103</v>
      </c>
      <c r="Y102" s="175" t="s">
        <v>632</v>
      </c>
      <c r="Z102" s="175">
        <v>2.4</v>
      </c>
      <c r="AA102" s="175">
        <v>27.333333333333332</v>
      </c>
      <c r="AB102" s="175">
        <v>0.99799679487179482</v>
      </c>
      <c r="AC102" s="175">
        <v>80.59</v>
      </c>
      <c r="AD102" s="175">
        <v>3.4166666666666665</v>
      </c>
      <c r="AE102" s="175">
        <v>3.3333333333333335</v>
      </c>
      <c r="AF102" s="175" t="s">
        <v>213</v>
      </c>
      <c r="AG102" s="175">
        <v>2</v>
      </c>
      <c r="AH102" s="175" t="s">
        <v>15376</v>
      </c>
      <c r="AI102" s="175" t="s">
        <v>15376</v>
      </c>
      <c r="AJ102" s="175" t="s">
        <v>725</v>
      </c>
      <c r="AK102" s="175" t="s">
        <v>725</v>
      </c>
      <c r="AL102" s="1159" t="s">
        <v>250</v>
      </c>
      <c r="AM102" s="175" t="s">
        <v>126</v>
      </c>
      <c r="AN102" s="175">
        <v>0.91100000000000003</v>
      </c>
      <c r="AO102" s="175">
        <v>0.8</v>
      </c>
      <c r="AP102" s="175">
        <v>24</v>
      </c>
      <c r="AQ102" s="175">
        <v>216</v>
      </c>
      <c r="AR102" s="175">
        <v>1.8</v>
      </c>
      <c r="AS102" s="192">
        <v>8500.7232000000004</v>
      </c>
    </row>
    <row r="103" spans="1:45" ht="16.5" customHeight="1">
      <c r="A103" s="174">
        <v>46207</v>
      </c>
      <c r="B103" s="175" t="s">
        <v>224</v>
      </c>
      <c r="C103" s="175" t="s">
        <v>632</v>
      </c>
      <c r="E103" s="175" t="s">
        <v>419</v>
      </c>
      <c r="F103" s="175" t="s">
        <v>419</v>
      </c>
      <c r="G103" s="175" t="s">
        <v>419</v>
      </c>
      <c r="H103" s="175" t="s">
        <v>419</v>
      </c>
      <c r="I103" s="175" t="s">
        <v>419</v>
      </c>
      <c r="L103" s="175" t="s">
        <v>632</v>
      </c>
      <c r="P103" s="175" t="s">
        <v>632</v>
      </c>
      <c r="T103" s="175" t="s">
        <v>632</v>
      </c>
      <c r="X103" s="175" t="s">
        <v>632</v>
      </c>
      <c r="Z103" s="175" t="s">
        <v>419</v>
      </c>
      <c r="AA103" s="175" t="s">
        <v>632</v>
      </c>
      <c r="AB103" s="175" t="s">
        <v>419</v>
      </c>
      <c r="AC103" s="175" t="s">
        <v>419</v>
      </c>
      <c r="AD103" s="175" t="s">
        <v>419</v>
      </c>
      <c r="AE103" s="175" t="s">
        <v>419</v>
      </c>
      <c r="AF103" s="175" t="s">
        <v>213</v>
      </c>
      <c r="AG103" s="175">
        <v>0.5</v>
      </c>
      <c r="AH103" s="175" t="s">
        <v>15376</v>
      </c>
      <c r="AI103" s="175" t="s">
        <v>15376</v>
      </c>
      <c r="AJ103" s="175" t="s">
        <v>640</v>
      </c>
      <c r="AK103" s="175" t="s">
        <v>640</v>
      </c>
      <c r="AL103" s="1159" t="s">
        <v>419</v>
      </c>
      <c r="AM103" s="175" t="s">
        <v>419</v>
      </c>
      <c r="AN103" s="175" t="s">
        <v>419</v>
      </c>
      <c r="AO103" s="175" t="s">
        <v>419</v>
      </c>
      <c r="AP103" s="175">
        <v>24</v>
      </c>
      <c r="AQ103" s="175">
        <v>216</v>
      </c>
      <c r="AR103" s="175" t="s">
        <v>419</v>
      </c>
      <c r="AS103" s="192" t="s">
        <v>419</v>
      </c>
    </row>
    <row r="104" spans="1:45" ht="16.5" customHeight="1">
      <c r="A104" s="174">
        <v>46207</v>
      </c>
      <c r="B104" s="175" t="s">
        <v>225</v>
      </c>
      <c r="C104" s="175" t="s">
        <v>632</v>
      </c>
      <c r="E104" s="175" t="s">
        <v>419</v>
      </c>
      <c r="F104" s="175" t="s">
        <v>419</v>
      </c>
      <c r="G104" s="175" t="s">
        <v>419</v>
      </c>
      <c r="H104" s="175" t="s">
        <v>419</v>
      </c>
      <c r="I104" s="175" t="s">
        <v>419</v>
      </c>
      <c r="L104" s="175" t="s">
        <v>632</v>
      </c>
      <c r="P104" s="175" t="s">
        <v>632</v>
      </c>
      <c r="T104" s="175" t="s">
        <v>632</v>
      </c>
      <c r="X104" s="175" t="s">
        <v>632</v>
      </c>
      <c r="Z104" s="175" t="s">
        <v>419</v>
      </c>
      <c r="AA104" s="175" t="s">
        <v>632</v>
      </c>
      <c r="AB104" s="175" t="s">
        <v>419</v>
      </c>
      <c r="AC104" s="175" t="s">
        <v>419</v>
      </c>
      <c r="AD104" s="175" t="s">
        <v>419</v>
      </c>
      <c r="AE104" s="175" t="s">
        <v>419</v>
      </c>
      <c r="AF104" s="175" t="s">
        <v>213</v>
      </c>
      <c r="AG104" s="175">
        <v>1</v>
      </c>
      <c r="AH104" s="175" t="s">
        <v>640</v>
      </c>
      <c r="AI104" s="175" t="s">
        <v>640</v>
      </c>
      <c r="AJ104" s="175" t="s">
        <v>640</v>
      </c>
      <c r="AK104" s="175" t="s">
        <v>640</v>
      </c>
      <c r="AL104" s="1159" t="s">
        <v>419</v>
      </c>
      <c r="AM104" s="175" t="s">
        <v>419</v>
      </c>
      <c r="AN104" s="175" t="s">
        <v>419</v>
      </c>
      <c r="AO104" s="175" t="s">
        <v>419</v>
      </c>
      <c r="AP104" s="175">
        <v>24</v>
      </c>
      <c r="AQ104" s="175">
        <v>216</v>
      </c>
      <c r="AR104" s="175" t="s">
        <v>419</v>
      </c>
      <c r="AS104" s="192" t="s">
        <v>419</v>
      </c>
    </row>
    <row r="105" spans="1:45" ht="16.5" customHeight="1">
      <c r="A105" s="174">
        <v>46207</v>
      </c>
      <c r="B105" s="175" t="s">
        <v>226</v>
      </c>
      <c r="C105" s="175" t="s">
        <v>632</v>
      </c>
      <c r="E105" s="175" t="s">
        <v>419</v>
      </c>
      <c r="F105" s="175" t="s">
        <v>419</v>
      </c>
      <c r="G105" s="175" t="s">
        <v>419</v>
      </c>
      <c r="H105" s="175" t="s">
        <v>419</v>
      </c>
      <c r="I105" s="175" t="s">
        <v>419</v>
      </c>
      <c r="L105" s="175" t="s">
        <v>632</v>
      </c>
      <c r="P105" s="175" t="s">
        <v>632</v>
      </c>
      <c r="T105" s="175" t="s">
        <v>632</v>
      </c>
      <c r="X105" s="175" t="s">
        <v>632</v>
      </c>
      <c r="Z105" s="175" t="s">
        <v>419</v>
      </c>
      <c r="AA105" s="175" t="s">
        <v>632</v>
      </c>
      <c r="AB105" s="175" t="s">
        <v>419</v>
      </c>
      <c r="AC105" s="175" t="s">
        <v>419</v>
      </c>
      <c r="AD105" s="175" t="s">
        <v>419</v>
      </c>
      <c r="AE105" s="175" t="s">
        <v>419</v>
      </c>
      <c r="AF105" s="175" t="s">
        <v>213</v>
      </c>
      <c r="AG105" s="175">
        <v>1</v>
      </c>
      <c r="AH105" s="175" t="s">
        <v>640</v>
      </c>
      <c r="AI105" s="175" t="s">
        <v>640</v>
      </c>
      <c r="AJ105" s="175" t="s">
        <v>640</v>
      </c>
      <c r="AK105" s="175" t="s">
        <v>640</v>
      </c>
      <c r="AL105" s="1159" t="s">
        <v>419</v>
      </c>
      <c r="AM105" s="175" t="s">
        <v>419</v>
      </c>
      <c r="AN105" s="175" t="s">
        <v>419</v>
      </c>
      <c r="AO105" s="175" t="s">
        <v>419</v>
      </c>
      <c r="AP105" s="175">
        <v>24</v>
      </c>
      <c r="AQ105" s="175">
        <v>216</v>
      </c>
      <c r="AR105" s="175" t="s">
        <v>419</v>
      </c>
      <c r="AS105" s="192" t="s">
        <v>419</v>
      </c>
    </row>
    <row r="106" spans="1:45" ht="16.5" customHeight="1">
      <c r="A106" s="174">
        <v>46207</v>
      </c>
      <c r="B106" s="175" t="s">
        <v>227</v>
      </c>
      <c r="C106" s="175" t="s">
        <v>632</v>
      </c>
      <c r="E106" s="175" t="s">
        <v>419</v>
      </c>
      <c r="F106" s="175" t="s">
        <v>419</v>
      </c>
      <c r="G106" s="175" t="s">
        <v>419</v>
      </c>
      <c r="H106" s="175" t="s">
        <v>419</v>
      </c>
      <c r="I106" s="175" t="s">
        <v>419</v>
      </c>
      <c r="L106" s="175" t="s">
        <v>632</v>
      </c>
      <c r="P106" s="175" t="s">
        <v>632</v>
      </c>
      <c r="T106" s="175" t="s">
        <v>632</v>
      </c>
      <c r="X106" s="175" t="s">
        <v>632</v>
      </c>
      <c r="Z106" s="175" t="s">
        <v>419</v>
      </c>
      <c r="AA106" s="175" t="s">
        <v>632</v>
      </c>
      <c r="AB106" s="175" t="s">
        <v>419</v>
      </c>
      <c r="AC106" s="175" t="s">
        <v>419</v>
      </c>
      <c r="AD106" s="175" t="s">
        <v>419</v>
      </c>
      <c r="AE106" s="175" t="s">
        <v>419</v>
      </c>
      <c r="AF106" s="175" t="s">
        <v>213</v>
      </c>
      <c r="AG106" s="175">
        <v>1</v>
      </c>
      <c r="AH106" s="175" t="s">
        <v>640</v>
      </c>
      <c r="AI106" s="175" t="s">
        <v>640</v>
      </c>
      <c r="AJ106" s="175" t="s">
        <v>640</v>
      </c>
      <c r="AK106" s="175" t="s">
        <v>640</v>
      </c>
      <c r="AL106" s="1159" t="s">
        <v>419</v>
      </c>
      <c r="AM106" s="175" t="s">
        <v>419</v>
      </c>
      <c r="AN106" s="175" t="s">
        <v>419</v>
      </c>
      <c r="AO106" s="175" t="s">
        <v>419</v>
      </c>
      <c r="AP106" s="175">
        <v>24</v>
      </c>
      <c r="AQ106" s="175">
        <v>216</v>
      </c>
      <c r="AR106" s="175" t="s">
        <v>419</v>
      </c>
      <c r="AS106" s="192" t="s">
        <v>419</v>
      </c>
    </row>
    <row r="107" spans="1:45" ht="16.5" customHeight="1">
      <c r="A107" s="174">
        <v>46207</v>
      </c>
      <c r="B107" s="175" t="s">
        <v>228</v>
      </c>
      <c r="C107" s="175" t="s">
        <v>17293</v>
      </c>
      <c r="E107" s="175" t="s">
        <v>7055</v>
      </c>
      <c r="F107" s="175" t="s">
        <v>17294</v>
      </c>
      <c r="G107" s="175">
        <v>550</v>
      </c>
      <c r="H107" s="175" t="s">
        <v>889</v>
      </c>
      <c r="I107" s="175">
        <v>5.5</v>
      </c>
      <c r="J107" s="175">
        <v>22</v>
      </c>
      <c r="K107" s="175">
        <v>0</v>
      </c>
      <c r="L107" s="175">
        <v>6035</v>
      </c>
      <c r="M107" s="175">
        <v>6461</v>
      </c>
      <c r="N107" s="175">
        <v>12</v>
      </c>
      <c r="O107" s="175">
        <v>0</v>
      </c>
      <c r="P107" s="175">
        <v>6222</v>
      </c>
      <c r="Q107" s="175">
        <v>6450</v>
      </c>
      <c r="R107" s="175">
        <v>14</v>
      </c>
      <c r="S107" s="175">
        <v>0</v>
      </c>
      <c r="T107" s="175">
        <v>6254</v>
      </c>
      <c r="U107" s="175">
        <v>6413</v>
      </c>
      <c r="V107" s="175">
        <v>14</v>
      </c>
      <c r="W107" s="175">
        <v>0</v>
      </c>
      <c r="X107" s="175">
        <v>6296</v>
      </c>
      <c r="Y107" s="175">
        <v>6290</v>
      </c>
      <c r="Z107" s="175">
        <v>4.7058823529411766</v>
      </c>
      <c r="AA107" s="175">
        <v>10.333333333333334</v>
      </c>
      <c r="AB107" s="175">
        <v>1</v>
      </c>
      <c r="AC107" s="175">
        <v>63.026249999999997</v>
      </c>
      <c r="AD107" s="175">
        <v>1.2916666666666667</v>
      </c>
      <c r="AE107" s="175">
        <v>1.2916666666666667</v>
      </c>
      <c r="AF107" s="175" t="s">
        <v>213</v>
      </c>
      <c r="AG107" s="175">
        <v>0.5</v>
      </c>
      <c r="AH107" s="175" t="s">
        <v>15376</v>
      </c>
      <c r="AI107" s="175" t="s">
        <v>15376</v>
      </c>
      <c r="AJ107" s="175" t="s">
        <v>725</v>
      </c>
      <c r="AK107" s="175" t="s">
        <v>725</v>
      </c>
      <c r="AL107" s="1159" t="s">
        <v>250</v>
      </c>
      <c r="AM107" s="175" t="s">
        <v>460</v>
      </c>
      <c r="AN107" s="175">
        <v>1.1890000000000001</v>
      </c>
      <c r="AO107" s="175">
        <v>1.9</v>
      </c>
      <c r="AP107" s="175">
        <v>24</v>
      </c>
      <c r="AQ107" s="175">
        <v>216</v>
      </c>
      <c r="AR107" s="175">
        <v>2.9</v>
      </c>
      <c r="AS107" s="192">
        <v>17874.950400000002</v>
      </c>
    </row>
    <row r="108" spans="1:45" ht="16.5" customHeight="1">
      <c r="A108" s="174">
        <v>46207</v>
      </c>
      <c r="B108" s="175" t="s">
        <v>229</v>
      </c>
      <c r="C108" s="175" t="s">
        <v>632</v>
      </c>
      <c r="E108" s="175" t="s">
        <v>419</v>
      </c>
      <c r="F108" s="175" t="s">
        <v>419</v>
      </c>
      <c r="G108" s="175" t="s">
        <v>419</v>
      </c>
      <c r="H108" s="175" t="s">
        <v>419</v>
      </c>
      <c r="I108" s="175" t="s">
        <v>419</v>
      </c>
      <c r="L108" s="175" t="s">
        <v>632</v>
      </c>
      <c r="P108" s="175" t="s">
        <v>632</v>
      </c>
      <c r="T108" s="175" t="s">
        <v>632</v>
      </c>
      <c r="X108" s="175" t="s">
        <v>632</v>
      </c>
      <c r="Z108" s="175" t="s">
        <v>419</v>
      </c>
      <c r="AA108" s="175" t="s">
        <v>632</v>
      </c>
      <c r="AB108" s="175" t="s">
        <v>419</v>
      </c>
      <c r="AC108" s="175" t="s">
        <v>419</v>
      </c>
      <c r="AD108" s="175" t="s">
        <v>419</v>
      </c>
      <c r="AE108" s="175" t="s">
        <v>419</v>
      </c>
      <c r="AF108" s="175" t="s">
        <v>213</v>
      </c>
      <c r="AG108" s="175">
        <v>1</v>
      </c>
      <c r="AH108" s="175" t="s">
        <v>640</v>
      </c>
      <c r="AI108" s="175" t="s">
        <v>640</v>
      </c>
      <c r="AJ108" s="175" t="s">
        <v>640</v>
      </c>
      <c r="AK108" s="175" t="s">
        <v>640</v>
      </c>
      <c r="AL108" s="1159" t="s">
        <v>419</v>
      </c>
      <c r="AM108" s="175" t="s">
        <v>419</v>
      </c>
      <c r="AN108" s="175" t="s">
        <v>419</v>
      </c>
      <c r="AO108" s="175" t="s">
        <v>419</v>
      </c>
      <c r="AP108" s="175">
        <v>24</v>
      </c>
      <c r="AQ108" s="175">
        <v>216</v>
      </c>
      <c r="AR108" s="175" t="s">
        <v>419</v>
      </c>
      <c r="AS108" s="192" t="s">
        <v>419</v>
      </c>
    </row>
    <row r="109" spans="1:45" ht="16.5" customHeight="1">
      <c r="A109" s="174">
        <v>46207</v>
      </c>
      <c r="B109" s="175" t="s">
        <v>230</v>
      </c>
      <c r="C109" s="175" t="s">
        <v>632</v>
      </c>
      <c r="E109" s="175" t="s">
        <v>419</v>
      </c>
      <c r="F109" s="175" t="s">
        <v>419</v>
      </c>
      <c r="G109" s="175" t="s">
        <v>419</v>
      </c>
      <c r="H109" s="175" t="s">
        <v>419</v>
      </c>
      <c r="I109" s="175" t="s">
        <v>419</v>
      </c>
      <c r="L109" s="175" t="s">
        <v>632</v>
      </c>
      <c r="P109" s="175" t="s">
        <v>632</v>
      </c>
      <c r="T109" s="175" t="s">
        <v>632</v>
      </c>
      <c r="X109" s="175" t="s">
        <v>632</v>
      </c>
      <c r="Z109" s="175" t="s">
        <v>419</v>
      </c>
      <c r="AA109" s="175" t="s">
        <v>632</v>
      </c>
      <c r="AB109" s="175" t="s">
        <v>419</v>
      </c>
      <c r="AC109" s="175" t="s">
        <v>419</v>
      </c>
      <c r="AD109" s="175" t="s">
        <v>419</v>
      </c>
      <c r="AE109" s="175" t="s">
        <v>419</v>
      </c>
      <c r="AF109" s="175" t="s">
        <v>213</v>
      </c>
      <c r="AG109" s="175">
        <v>1</v>
      </c>
      <c r="AH109" s="175" t="s">
        <v>640</v>
      </c>
      <c r="AI109" s="175" t="s">
        <v>640</v>
      </c>
      <c r="AJ109" s="175" t="s">
        <v>640</v>
      </c>
      <c r="AK109" s="175" t="s">
        <v>640</v>
      </c>
      <c r="AL109" s="1159" t="s">
        <v>419</v>
      </c>
      <c r="AM109" s="175" t="s">
        <v>419</v>
      </c>
      <c r="AN109" s="175" t="s">
        <v>419</v>
      </c>
      <c r="AO109" s="175" t="s">
        <v>419</v>
      </c>
      <c r="AP109" s="175">
        <v>24</v>
      </c>
      <c r="AQ109" s="175">
        <v>216</v>
      </c>
      <c r="AR109" s="175" t="s">
        <v>419</v>
      </c>
      <c r="AS109" s="192" t="s">
        <v>419</v>
      </c>
    </row>
    <row r="110" spans="1:45" ht="16.5" customHeight="1">
      <c r="A110" s="174">
        <v>46207</v>
      </c>
      <c r="B110" s="175" t="s">
        <v>231</v>
      </c>
      <c r="C110" s="175" t="s">
        <v>632</v>
      </c>
      <c r="E110" s="175" t="s">
        <v>419</v>
      </c>
      <c r="F110" s="175" t="s">
        <v>419</v>
      </c>
      <c r="G110" s="175" t="s">
        <v>419</v>
      </c>
      <c r="H110" s="175" t="s">
        <v>419</v>
      </c>
      <c r="I110" s="175" t="s">
        <v>419</v>
      </c>
      <c r="L110" s="175" t="s">
        <v>632</v>
      </c>
      <c r="P110" s="175" t="s">
        <v>632</v>
      </c>
      <c r="T110" s="175" t="s">
        <v>632</v>
      </c>
      <c r="X110" s="175" t="s">
        <v>632</v>
      </c>
      <c r="Z110" s="175" t="s">
        <v>419</v>
      </c>
      <c r="AA110" s="175" t="s">
        <v>632</v>
      </c>
      <c r="AB110" s="175" t="s">
        <v>419</v>
      </c>
      <c r="AC110" s="175" t="s">
        <v>419</v>
      </c>
      <c r="AD110" s="175" t="s">
        <v>419</v>
      </c>
      <c r="AE110" s="175" t="s">
        <v>419</v>
      </c>
      <c r="AF110" s="175" t="s">
        <v>232</v>
      </c>
      <c r="AG110" s="175">
        <v>1</v>
      </c>
      <c r="AH110" s="175" t="s">
        <v>640</v>
      </c>
      <c r="AI110" s="175" t="s">
        <v>640</v>
      </c>
      <c r="AJ110" s="175" t="s">
        <v>640</v>
      </c>
      <c r="AK110" s="175" t="s">
        <v>640</v>
      </c>
      <c r="AL110" s="1159" t="s">
        <v>419</v>
      </c>
      <c r="AM110" s="175" t="s">
        <v>419</v>
      </c>
      <c r="AN110" s="175" t="s">
        <v>419</v>
      </c>
      <c r="AO110" s="175" t="s">
        <v>419</v>
      </c>
      <c r="AP110" s="175">
        <v>24</v>
      </c>
      <c r="AQ110" s="175">
        <v>216</v>
      </c>
      <c r="AR110" s="175" t="s">
        <v>419</v>
      </c>
      <c r="AS110" s="192" t="s">
        <v>419</v>
      </c>
    </row>
    <row r="111" spans="1:45" ht="16.5" customHeight="1">
      <c r="A111" s="174">
        <v>46207</v>
      </c>
      <c r="B111" s="175" t="s">
        <v>233</v>
      </c>
      <c r="C111" s="175" t="s">
        <v>17268</v>
      </c>
      <c r="D111" s="175" t="s">
        <v>633</v>
      </c>
      <c r="E111" s="175" t="s">
        <v>16719</v>
      </c>
      <c r="F111" s="175" t="s">
        <v>17253</v>
      </c>
      <c r="G111" s="175">
        <v>600</v>
      </c>
      <c r="H111" s="175" t="s">
        <v>723</v>
      </c>
      <c r="I111" s="175">
        <v>5.5</v>
      </c>
      <c r="J111" s="175">
        <v>14</v>
      </c>
      <c r="K111" s="175">
        <v>2</v>
      </c>
      <c r="L111" s="175">
        <v>3080</v>
      </c>
      <c r="M111" s="175" t="s">
        <v>17315</v>
      </c>
      <c r="N111" s="175">
        <v>8</v>
      </c>
      <c r="O111" s="175">
        <v>4</v>
      </c>
      <c r="P111" s="175">
        <v>3130</v>
      </c>
      <c r="R111" s="175">
        <v>6</v>
      </c>
      <c r="S111" s="175">
        <v>0</v>
      </c>
      <c r="T111" s="175">
        <v>3360</v>
      </c>
      <c r="V111" s="175">
        <v>14</v>
      </c>
      <c r="W111" s="175">
        <v>3</v>
      </c>
      <c r="X111" s="175">
        <v>3300</v>
      </c>
      <c r="Z111" s="175">
        <v>5.0526315789473681</v>
      </c>
      <c r="AA111" s="175">
        <v>28</v>
      </c>
      <c r="AB111" s="175">
        <v>0.99143629807692313</v>
      </c>
      <c r="AC111" s="175">
        <v>32.174999999999997</v>
      </c>
      <c r="AD111" s="175">
        <v>3.5</v>
      </c>
      <c r="AE111" s="175">
        <v>2.75</v>
      </c>
      <c r="AF111" s="175" t="s">
        <v>232</v>
      </c>
      <c r="AG111" s="175">
        <v>2</v>
      </c>
      <c r="AH111" s="175" t="s">
        <v>637</v>
      </c>
      <c r="AI111" s="175" t="s">
        <v>637</v>
      </c>
      <c r="AJ111" s="175" t="s">
        <v>15370</v>
      </c>
      <c r="AK111" s="175" t="s">
        <v>15370</v>
      </c>
      <c r="AL111" s="1159" t="s">
        <v>250</v>
      </c>
      <c r="AM111" s="175" t="s">
        <v>643</v>
      </c>
      <c r="AN111" s="175">
        <v>1.859</v>
      </c>
      <c r="AO111" s="175">
        <v>2.1</v>
      </c>
      <c r="AP111" s="175">
        <v>24</v>
      </c>
      <c r="AQ111" s="175">
        <v>216</v>
      </c>
      <c r="AR111" s="175">
        <v>3.1</v>
      </c>
      <c r="AS111" s="192">
        <v>29874.873599999999</v>
      </c>
    </row>
    <row r="112" spans="1:45" ht="16.5" customHeight="1">
      <c r="A112" s="174">
        <v>46207</v>
      </c>
      <c r="B112" s="175" t="s">
        <v>234</v>
      </c>
      <c r="C112" s="175" t="s">
        <v>632</v>
      </c>
      <c r="E112" s="175" t="s">
        <v>419</v>
      </c>
      <c r="F112" s="175" t="s">
        <v>419</v>
      </c>
      <c r="G112" s="175" t="s">
        <v>419</v>
      </c>
      <c r="H112" s="175" t="s">
        <v>419</v>
      </c>
      <c r="I112" s="175" t="s">
        <v>419</v>
      </c>
      <c r="L112" s="175" t="s">
        <v>632</v>
      </c>
      <c r="P112" s="175" t="s">
        <v>632</v>
      </c>
      <c r="T112" s="175" t="s">
        <v>632</v>
      </c>
      <c r="X112" s="175" t="s">
        <v>632</v>
      </c>
      <c r="Z112" s="175" t="s">
        <v>419</v>
      </c>
      <c r="AA112" s="175" t="s">
        <v>632</v>
      </c>
      <c r="AB112" s="175" t="s">
        <v>419</v>
      </c>
      <c r="AC112" s="175" t="s">
        <v>419</v>
      </c>
      <c r="AD112" s="175" t="s">
        <v>419</v>
      </c>
      <c r="AE112" s="175" t="s">
        <v>419</v>
      </c>
      <c r="AF112" s="175" t="s">
        <v>232</v>
      </c>
      <c r="AG112" s="175">
        <v>1</v>
      </c>
      <c r="AH112" s="175" t="s">
        <v>640</v>
      </c>
      <c r="AI112" s="175" t="s">
        <v>640</v>
      </c>
      <c r="AJ112" s="175" t="s">
        <v>640</v>
      </c>
      <c r="AK112" s="175" t="s">
        <v>640</v>
      </c>
      <c r="AL112" s="1159" t="s">
        <v>419</v>
      </c>
      <c r="AM112" s="175" t="s">
        <v>419</v>
      </c>
      <c r="AN112" s="175" t="s">
        <v>419</v>
      </c>
      <c r="AO112" s="175" t="s">
        <v>419</v>
      </c>
      <c r="AP112" s="175">
        <v>24</v>
      </c>
      <c r="AQ112" s="175">
        <v>216</v>
      </c>
      <c r="AR112" s="175" t="s">
        <v>419</v>
      </c>
      <c r="AS112" s="192" t="s">
        <v>419</v>
      </c>
    </row>
    <row r="113" spans="1:45" ht="16.5" customHeight="1">
      <c r="A113" s="174">
        <v>46207</v>
      </c>
      <c r="B113" s="175" t="s">
        <v>235</v>
      </c>
      <c r="C113" s="175" t="s">
        <v>17289</v>
      </c>
      <c r="D113" s="175" t="s">
        <v>633</v>
      </c>
      <c r="E113" s="175" t="s">
        <v>16719</v>
      </c>
      <c r="F113" s="175" t="s">
        <v>17290</v>
      </c>
      <c r="G113" s="175">
        <v>700</v>
      </c>
      <c r="H113" s="175" t="s">
        <v>776</v>
      </c>
      <c r="I113" s="175">
        <v>5.5</v>
      </c>
      <c r="J113" s="175">
        <v>50</v>
      </c>
      <c r="K113" s="175">
        <v>0</v>
      </c>
      <c r="L113" s="175">
        <v>9170</v>
      </c>
      <c r="M113" s="175">
        <v>9440</v>
      </c>
      <c r="N113" s="175">
        <v>15</v>
      </c>
      <c r="O113" s="175">
        <v>2</v>
      </c>
      <c r="P113" s="175">
        <v>9170</v>
      </c>
      <c r="Q113" s="175">
        <v>9720</v>
      </c>
      <c r="R113" s="175">
        <v>20</v>
      </c>
      <c r="S113" s="175">
        <v>2</v>
      </c>
      <c r="T113" s="175">
        <v>9070</v>
      </c>
      <c r="U113" s="175">
        <v>9630</v>
      </c>
      <c r="V113" s="175">
        <v>35</v>
      </c>
      <c r="W113" s="175">
        <v>4</v>
      </c>
      <c r="X113" s="175">
        <v>9170</v>
      </c>
      <c r="Y113" s="175">
        <v>9720</v>
      </c>
      <c r="Z113" s="175">
        <v>5.8775510204081636</v>
      </c>
      <c r="AA113" s="175">
        <v>40</v>
      </c>
      <c r="AB113" s="175">
        <v>0.99345619658119655</v>
      </c>
      <c r="AC113" s="175">
        <v>93.862499999999997</v>
      </c>
      <c r="AD113" s="175">
        <v>5</v>
      </c>
      <c r="AE113" s="175">
        <v>4.666666666666667</v>
      </c>
      <c r="AF113" s="175" t="s">
        <v>236</v>
      </c>
      <c r="AG113" s="175">
        <v>1</v>
      </c>
      <c r="AH113" s="175" t="s">
        <v>15337</v>
      </c>
      <c r="AI113" s="175" t="s">
        <v>15337</v>
      </c>
      <c r="AJ113" s="175" t="s">
        <v>639</v>
      </c>
      <c r="AK113" s="175" t="s">
        <v>639</v>
      </c>
      <c r="AL113" s="1159" t="s">
        <v>251</v>
      </c>
      <c r="AM113" s="175" t="s">
        <v>460</v>
      </c>
      <c r="AN113" s="175">
        <v>1.1890000000000001</v>
      </c>
      <c r="AO113" s="175">
        <v>3</v>
      </c>
      <c r="AP113" s="175">
        <v>24</v>
      </c>
      <c r="AQ113" s="175">
        <v>216</v>
      </c>
      <c r="AR113" s="175">
        <v>4</v>
      </c>
      <c r="AS113" s="192">
        <v>24655.103999999999</v>
      </c>
    </row>
    <row r="114" spans="1:45" ht="16.5" customHeight="1">
      <c r="A114" s="174">
        <v>46207</v>
      </c>
      <c r="B114" s="175" t="s">
        <v>237</v>
      </c>
      <c r="C114" s="175" t="s">
        <v>17251</v>
      </c>
      <c r="D114" s="175" t="s">
        <v>633</v>
      </c>
      <c r="E114" s="175" t="s">
        <v>16719</v>
      </c>
      <c r="F114" s="175" t="s">
        <v>17253</v>
      </c>
      <c r="G114" s="175">
        <v>700</v>
      </c>
      <c r="H114" s="175" t="s">
        <v>646</v>
      </c>
      <c r="I114" s="175">
        <v>5.5</v>
      </c>
      <c r="J114" s="175">
        <v>50</v>
      </c>
      <c r="K114" s="175">
        <v>1</v>
      </c>
      <c r="L114" s="175">
        <v>9630</v>
      </c>
      <c r="M114" s="175">
        <v>8800</v>
      </c>
      <c r="N114" s="175">
        <v>14</v>
      </c>
      <c r="O114" s="175">
        <v>0</v>
      </c>
      <c r="P114" s="175">
        <v>9630</v>
      </c>
      <c r="Q114" s="175">
        <v>9260</v>
      </c>
      <c r="R114" s="175">
        <v>29</v>
      </c>
      <c r="S114" s="175">
        <v>6</v>
      </c>
      <c r="T114" s="175">
        <v>9540</v>
      </c>
      <c r="U114" s="175">
        <v>9070</v>
      </c>
      <c r="V114" s="175">
        <v>52</v>
      </c>
      <c r="W114" s="175">
        <v>1</v>
      </c>
      <c r="X114" s="175">
        <v>9440</v>
      </c>
      <c r="Y114" s="175">
        <v>9070</v>
      </c>
      <c r="Z114" s="175">
        <v>5.8775510204081636</v>
      </c>
      <c r="AA114" s="175">
        <v>48.333333333333336</v>
      </c>
      <c r="AB114" s="175">
        <v>0.99345619658119655</v>
      </c>
      <c r="AC114" s="175">
        <v>93.05</v>
      </c>
      <c r="AD114" s="175">
        <v>6.041666666666667</v>
      </c>
      <c r="AE114" s="175">
        <v>5.708333333333333</v>
      </c>
      <c r="AF114" s="175" t="s">
        <v>236</v>
      </c>
      <c r="AG114" s="175">
        <v>1</v>
      </c>
      <c r="AH114" s="175" t="s">
        <v>15337</v>
      </c>
      <c r="AI114" s="175" t="s">
        <v>15337</v>
      </c>
      <c r="AJ114" s="175" t="s">
        <v>639</v>
      </c>
      <c r="AK114" s="175" t="s">
        <v>639</v>
      </c>
      <c r="AL114" s="1159" t="s">
        <v>250</v>
      </c>
      <c r="AM114" s="175" t="s">
        <v>460</v>
      </c>
      <c r="AN114" s="175">
        <v>1.1890000000000001</v>
      </c>
      <c r="AO114" s="175">
        <v>2.9</v>
      </c>
      <c r="AP114" s="175">
        <v>24</v>
      </c>
      <c r="AQ114" s="175">
        <v>216</v>
      </c>
      <c r="AR114" s="175">
        <v>3.9</v>
      </c>
      <c r="AS114" s="192">
        <v>24038.7264</v>
      </c>
    </row>
    <row r="115" spans="1:45" ht="16.5" customHeight="1">
      <c r="A115" s="174">
        <v>46207</v>
      </c>
      <c r="B115" s="175" t="s">
        <v>238</v>
      </c>
      <c r="C115" s="175" t="s">
        <v>17248</v>
      </c>
      <c r="D115" s="175" t="s">
        <v>633</v>
      </c>
      <c r="E115" s="175" t="s">
        <v>16719</v>
      </c>
      <c r="F115" s="175" t="s">
        <v>17249</v>
      </c>
      <c r="G115" s="175">
        <v>600</v>
      </c>
      <c r="H115" s="175" t="s">
        <v>877</v>
      </c>
      <c r="I115" s="175">
        <v>5.5</v>
      </c>
      <c r="J115" s="175">
        <v>33</v>
      </c>
      <c r="K115" s="175">
        <v>3</v>
      </c>
      <c r="L115" s="175">
        <v>9350</v>
      </c>
      <c r="M115" s="175">
        <v>9810</v>
      </c>
      <c r="N115" s="175">
        <v>9</v>
      </c>
      <c r="O115" s="175">
        <v>0</v>
      </c>
      <c r="P115" s="175">
        <v>9260</v>
      </c>
      <c r="Q115" s="175">
        <v>9810</v>
      </c>
      <c r="R115" s="175">
        <v>10</v>
      </c>
      <c r="S115" s="175">
        <v>0</v>
      </c>
      <c r="T115" s="175">
        <v>9260</v>
      </c>
      <c r="U115" s="175">
        <v>9720</v>
      </c>
      <c r="V115" s="175">
        <v>34</v>
      </c>
      <c r="W115" s="175">
        <v>1</v>
      </c>
      <c r="X115" s="175">
        <v>9170</v>
      </c>
      <c r="Y115" s="175">
        <v>9720</v>
      </c>
      <c r="Z115" s="175">
        <v>5.034965034965035</v>
      </c>
      <c r="AA115" s="175">
        <v>28.666666666666668</v>
      </c>
      <c r="AB115" s="175">
        <v>0.99618055555555551</v>
      </c>
      <c r="AC115" s="175">
        <v>95.125</v>
      </c>
      <c r="AD115" s="175">
        <v>3.5833333333333335</v>
      </c>
      <c r="AE115" s="175">
        <v>3.4166666666666665</v>
      </c>
      <c r="AF115" s="175" t="s">
        <v>236</v>
      </c>
      <c r="AG115" s="175">
        <v>1</v>
      </c>
      <c r="AH115" s="175" t="s">
        <v>638</v>
      </c>
      <c r="AI115" s="175" t="s">
        <v>638</v>
      </c>
      <c r="AJ115" s="175" t="s">
        <v>835</v>
      </c>
      <c r="AK115" s="175" t="s">
        <v>835</v>
      </c>
      <c r="AL115" s="1159" t="s">
        <v>251</v>
      </c>
      <c r="AM115" s="175" t="s">
        <v>460</v>
      </c>
      <c r="AN115" s="175">
        <v>1.1890000000000001</v>
      </c>
      <c r="AO115" s="175">
        <v>3</v>
      </c>
      <c r="AP115" s="175">
        <v>24</v>
      </c>
      <c r="AQ115" s="175">
        <v>216</v>
      </c>
      <c r="AR115" s="175">
        <v>4</v>
      </c>
      <c r="AS115" s="192">
        <v>24655.103999999999</v>
      </c>
    </row>
    <row r="116" spans="1:45" ht="16.5" customHeight="1">
      <c r="A116" s="174">
        <v>46207</v>
      </c>
      <c r="B116" s="175" t="s">
        <v>239</v>
      </c>
      <c r="C116" s="175" t="s">
        <v>17266</v>
      </c>
      <c r="E116" s="175" t="s">
        <v>754</v>
      </c>
      <c r="F116" s="175" t="s">
        <v>17267</v>
      </c>
      <c r="G116" s="175">
        <v>600</v>
      </c>
      <c r="H116" s="175" t="s">
        <v>842</v>
      </c>
      <c r="I116" s="175">
        <v>4</v>
      </c>
      <c r="J116" s="175">
        <v>12</v>
      </c>
      <c r="K116" s="175">
        <v>5</v>
      </c>
      <c r="L116" s="175">
        <v>9630</v>
      </c>
      <c r="N116" s="175">
        <v>3</v>
      </c>
      <c r="O116" s="175">
        <v>0</v>
      </c>
      <c r="P116" s="175">
        <v>9630</v>
      </c>
      <c r="R116" s="175">
        <v>14</v>
      </c>
      <c r="S116" s="175">
        <v>0</v>
      </c>
      <c r="T116" s="175">
        <v>9540</v>
      </c>
      <c r="V116" s="175">
        <v>10</v>
      </c>
      <c r="W116" s="175">
        <v>0</v>
      </c>
      <c r="X116" s="175">
        <v>9170</v>
      </c>
      <c r="Z116" s="175">
        <v>3.6</v>
      </c>
      <c r="AA116" s="175">
        <v>26</v>
      </c>
      <c r="AB116" s="175">
        <v>0.9933226495726496</v>
      </c>
      <c r="AC116" s="175">
        <v>94.924999999999997</v>
      </c>
      <c r="AD116" s="175">
        <v>3.25</v>
      </c>
      <c r="AE116" s="175">
        <v>2.8333333333333335</v>
      </c>
      <c r="AF116" s="175" t="s">
        <v>236</v>
      </c>
      <c r="AG116" s="175">
        <v>2</v>
      </c>
      <c r="AH116" s="175" t="s">
        <v>638</v>
      </c>
      <c r="AI116" s="175" t="s">
        <v>638</v>
      </c>
      <c r="AJ116" s="175" t="s">
        <v>835</v>
      </c>
      <c r="AK116" s="175" t="s">
        <v>835</v>
      </c>
      <c r="AL116" s="1159" t="s">
        <v>251</v>
      </c>
      <c r="AM116" s="175" t="s">
        <v>126</v>
      </c>
      <c r="AN116" s="175">
        <v>0.91100000000000003</v>
      </c>
      <c r="AO116" s="175">
        <v>1.5</v>
      </c>
      <c r="AP116" s="175">
        <v>24</v>
      </c>
      <c r="AQ116" s="175">
        <v>216</v>
      </c>
      <c r="AR116" s="175">
        <v>2.5</v>
      </c>
      <c r="AS116" s="192">
        <v>11806.560000000001</v>
      </c>
    </row>
    <row r="117" spans="1:45" ht="16.5" customHeight="1">
      <c r="A117" s="174">
        <v>46207</v>
      </c>
      <c r="B117" s="175" t="s">
        <v>239</v>
      </c>
      <c r="C117" s="175" t="s">
        <v>17241</v>
      </c>
      <c r="E117" s="175" t="s">
        <v>16723</v>
      </c>
      <c r="F117" s="175" t="s">
        <v>17243</v>
      </c>
      <c r="G117" s="175">
        <v>550</v>
      </c>
      <c r="H117" s="175" t="s">
        <v>868</v>
      </c>
      <c r="I117" s="175">
        <v>5.5</v>
      </c>
      <c r="J117" s="175">
        <v>8</v>
      </c>
      <c r="K117" s="175">
        <v>2</v>
      </c>
      <c r="M117" s="175">
        <v>9810</v>
      </c>
      <c r="N117" s="175">
        <v>12</v>
      </c>
      <c r="O117" s="175">
        <v>4</v>
      </c>
      <c r="Q117" s="175">
        <v>9810</v>
      </c>
      <c r="R117" s="175">
        <v>6</v>
      </c>
      <c r="S117" s="175">
        <v>0</v>
      </c>
      <c r="U117" s="175">
        <v>9720</v>
      </c>
      <c r="V117" s="175">
        <v>13</v>
      </c>
      <c r="W117" s="175">
        <v>0</v>
      </c>
      <c r="X117" s="175">
        <v>9720</v>
      </c>
      <c r="Z117" s="175">
        <v>6.6055045871559646</v>
      </c>
      <c r="AA117" s="175">
        <v>26</v>
      </c>
      <c r="AB117" s="175">
        <v>0.99563301282051286</v>
      </c>
      <c r="AC117" s="175">
        <v>97.65</v>
      </c>
      <c r="AD117" s="175">
        <v>3.25</v>
      </c>
      <c r="AE117" s="175">
        <v>2.75</v>
      </c>
      <c r="AF117" s="175" t="s">
        <v>236</v>
      </c>
      <c r="AG117" s="175">
        <v>2</v>
      </c>
      <c r="AH117" s="175" t="s">
        <v>638</v>
      </c>
      <c r="AI117" s="175" t="s">
        <v>638</v>
      </c>
      <c r="AJ117" s="175" t="s">
        <v>835</v>
      </c>
      <c r="AK117" s="175" t="s">
        <v>835</v>
      </c>
      <c r="AM117" s="175" t="s">
        <v>643</v>
      </c>
      <c r="AN117" s="175">
        <v>1.859</v>
      </c>
      <c r="AO117" s="175">
        <v>3.3</v>
      </c>
      <c r="AP117" s="175">
        <v>24</v>
      </c>
      <c r="AQ117" s="175">
        <v>216</v>
      </c>
      <c r="AR117" s="175">
        <v>4.3</v>
      </c>
      <c r="AS117" s="192">
        <v>41439.340799999998</v>
      </c>
    </row>
    <row r="118" spans="1:45" ht="16.5" customHeight="1">
      <c r="A118" s="174">
        <v>46207</v>
      </c>
      <c r="B118" s="175" t="s">
        <v>388</v>
      </c>
      <c r="C118" s="175" t="s">
        <v>17296</v>
      </c>
      <c r="D118" s="175" t="s">
        <v>633</v>
      </c>
      <c r="E118" s="175" t="s">
        <v>16719</v>
      </c>
      <c r="F118" s="175" t="s">
        <v>17290</v>
      </c>
      <c r="G118" s="175">
        <v>700</v>
      </c>
      <c r="H118" s="175" t="s">
        <v>15541</v>
      </c>
      <c r="I118" s="175">
        <v>5.5</v>
      </c>
      <c r="J118" s="175">
        <v>26</v>
      </c>
      <c r="K118" s="175">
        <v>4</v>
      </c>
      <c r="L118" s="175" t="s">
        <v>17315</v>
      </c>
      <c r="M118" s="175">
        <v>9810</v>
      </c>
      <c r="N118" s="175">
        <v>9</v>
      </c>
      <c r="O118" s="175">
        <v>1</v>
      </c>
      <c r="P118" s="175" t="s">
        <v>632</v>
      </c>
      <c r="Q118" s="175">
        <v>9810</v>
      </c>
      <c r="R118" s="175">
        <v>5</v>
      </c>
      <c r="S118" s="175">
        <v>0</v>
      </c>
      <c r="T118" s="175" t="s">
        <v>632</v>
      </c>
      <c r="U118" s="175">
        <v>10000</v>
      </c>
      <c r="V118" s="175">
        <v>8</v>
      </c>
      <c r="W118" s="175">
        <v>1</v>
      </c>
      <c r="X118" s="175" t="s">
        <v>632</v>
      </c>
      <c r="Y118" s="175">
        <v>10000</v>
      </c>
      <c r="Z118" s="175">
        <v>5.8299595141700413</v>
      </c>
      <c r="AA118" s="175">
        <v>32</v>
      </c>
      <c r="AB118" s="175">
        <v>0.99505208333333328</v>
      </c>
      <c r="AC118" s="175">
        <v>99.05</v>
      </c>
      <c r="AD118" s="175">
        <v>4</v>
      </c>
      <c r="AE118" s="175">
        <v>3.5</v>
      </c>
      <c r="AF118" s="175" t="s">
        <v>236</v>
      </c>
      <c r="AG118" s="175">
        <v>2</v>
      </c>
      <c r="AH118" s="175" t="s">
        <v>16113</v>
      </c>
      <c r="AI118" s="175" t="s">
        <v>16113</v>
      </c>
      <c r="AJ118" s="175" t="s">
        <v>15876</v>
      </c>
      <c r="AK118" s="175" t="s">
        <v>15876</v>
      </c>
      <c r="AL118" s="1159" t="s">
        <v>251</v>
      </c>
      <c r="AM118" s="175" t="s">
        <v>460</v>
      </c>
      <c r="AN118" s="175">
        <v>1.1890000000000001</v>
      </c>
      <c r="AO118" s="175">
        <v>2.8</v>
      </c>
      <c r="AP118" s="175">
        <v>24</v>
      </c>
      <c r="AQ118" s="175">
        <v>216</v>
      </c>
      <c r="AR118" s="175">
        <v>3.8</v>
      </c>
      <c r="AS118" s="192">
        <v>23422.3488</v>
      </c>
    </row>
    <row r="119" spans="1:45" ht="16.5" customHeight="1">
      <c r="A119" s="174">
        <v>46207</v>
      </c>
      <c r="B119" s="175" t="s">
        <v>417</v>
      </c>
      <c r="C119" s="175" t="s">
        <v>17291</v>
      </c>
      <c r="D119" s="175" t="s">
        <v>633</v>
      </c>
      <c r="E119" s="175" t="s">
        <v>16719</v>
      </c>
      <c r="F119" s="175" t="s">
        <v>17290</v>
      </c>
      <c r="G119" s="175">
        <v>700</v>
      </c>
      <c r="H119" s="175" t="s">
        <v>724</v>
      </c>
      <c r="I119" s="175">
        <v>5.5</v>
      </c>
      <c r="J119" s="175">
        <v>25</v>
      </c>
      <c r="K119" s="175">
        <v>2</v>
      </c>
      <c r="L119" s="175">
        <v>10000</v>
      </c>
      <c r="M119" s="175">
        <v>9720</v>
      </c>
      <c r="N119" s="175">
        <v>16</v>
      </c>
      <c r="O119" s="175">
        <v>2</v>
      </c>
      <c r="P119" s="175">
        <v>10000</v>
      </c>
      <c r="Q119" s="175">
        <v>9630</v>
      </c>
      <c r="R119" s="175">
        <v>21</v>
      </c>
      <c r="S119" s="175">
        <v>0</v>
      </c>
      <c r="T119" s="175">
        <v>10000</v>
      </c>
      <c r="U119" s="175">
        <v>9630</v>
      </c>
      <c r="V119" s="175">
        <v>15</v>
      </c>
      <c r="W119" s="175">
        <v>4</v>
      </c>
      <c r="X119" s="175">
        <v>10000</v>
      </c>
      <c r="Y119" s="175">
        <v>9630</v>
      </c>
      <c r="Z119" s="175">
        <v>5.8299595141700413</v>
      </c>
      <c r="AA119" s="175">
        <v>25.666666666666668</v>
      </c>
      <c r="AB119" s="175">
        <v>0.99340277777777775</v>
      </c>
      <c r="AC119" s="175">
        <v>98.262500000000003</v>
      </c>
      <c r="AD119" s="175">
        <v>3.2083333333333335</v>
      </c>
      <c r="AE119" s="175">
        <v>2.875</v>
      </c>
      <c r="AF119" s="175" t="s">
        <v>236</v>
      </c>
      <c r="AG119" s="175">
        <v>1</v>
      </c>
      <c r="AH119" s="175" t="s">
        <v>16113</v>
      </c>
      <c r="AI119" s="175" t="s">
        <v>16113</v>
      </c>
      <c r="AJ119" s="175" t="s">
        <v>15876</v>
      </c>
      <c r="AK119" s="175" t="s">
        <v>15876</v>
      </c>
      <c r="AL119" s="1159" t="s">
        <v>251</v>
      </c>
      <c r="AM119" s="175" t="s">
        <v>460</v>
      </c>
      <c r="AN119" s="175">
        <v>1.1890000000000001</v>
      </c>
      <c r="AO119" s="175">
        <v>2.8</v>
      </c>
      <c r="AP119" s="175">
        <v>24</v>
      </c>
      <c r="AQ119" s="175">
        <v>216</v>
      </c>
      <c r="AR119" s="175">
        <v>3.8</v>
      </c>
      <c r="AS119" s="192">
        <v>23422.3488</v>
      </c>
    </row>
    <row r="120" spans="1:45" ht="16.5" customHeight="1">
      <c r="A120" s="174">
        <v>46207</v>
      </c>
      <c r="B120" s="175" t="s">
        <v>240</v>
      </c>
      <c r="C120" s="175" t="s">
        <v>632</v>
      </c>
      <c r="E120" s="175" t="s">
        <v>419</v>
      </c>
      <c r="F120" s="175" t="s">
        <v>419</v>
      </c>
      <c r="G120" s="175" t="s">
        <v>419</v>
      </c>
      <c r="H120" s="175" t="s">
        <v>419</v>
      </c>
      <c r="I120" s="175" t="s">
        <v>419</v>
      </c>
      <c r="L120" s="175" t="s">
        <v>632</v>
      </c>
      <c r="P120" s="175" t="s">
        <v>632</v>
      </c>
      <c r="T120" s="175" t="s">
        <v>632</v>
      </c>
      <c r="X120" s="175" t="s">
        <v>632</v>
      </c>
      <c r="Z120" s="175" t="s">
        <v>419</v>
      </c>
      <c r="AA120" s="175" t="s">
        <v>632</v>
      </c>
      <c r="AB120" s="175" t="s">
        <v>419</v>
      </c>
      <c r="AC120" s="175" t="s">
        <v>419</v>
      </c>
      <c r="AD120" s="175" t="s">
        <v>419</v>
      </c>
      <c r="AE120" s="175" t="s">
        <v>419</v>
      </c>
      <c r="AF120" s="175" t="s">
        <v>241</v>
      </c>
      <c r="AG120" s="175">
        <v>12</v>
      </c>
      <c r="AH120" s="175" t="s">
        <v>640</v>
      </c>
      <c r="AI120" s="175" t="s">
        <v>640</v>
      </c>
      <c r="AJ120" s="175" t="s">
        <v>640</v>
      </c>
      <c r="AK120" s="175" t="s">
        <v>640</v>
      </c>
      <c r="AL120" s="1159" t="s">
        <v>419</v>
      </c>
      <c r="AM120" s="175" t="s">
        <v>419</v>
      </c>
      <c r="AN120" s="175" t="s">
        <v>419</v>
      </c>
      <c r="AO120" s="175" t="s">
        <v>419</v>
      </c>
      <c r="AP120" s="175">
        <v>24</v>
      </c>
      <c r="AQ120" s="175">
        <v>216</v>
      </c>
      <c r="AR120" s="175" t="s">
        <v>419</v>
      </c>
      <c r="AS120" s="192" t="s">
        <v>419</v>
      </c>
    </row>
    <row r="121" spans="1:45" ht="16.5" customHeight="1">
      <c r="A121" s="174">
        <v>46207</v>
      </c>
      <c r="B121" s="175" t="s">
        <v>242</v>
      </c>
      <c r="C121" s="175" t="s">
        <v>385</v>
      </c>
      <c r="E121" s="175" t="s">
        <v>419</v>
      </c>
      <c r="F121" s="175" t="s">
        <v>419</v>
      </c>
      <c r="G121" s="175" t="s">
        <v>419</v>
      </c>
      <c r="H121" s="175" t="s">
        <v>419</v>
      </c>
      <c r="I121" s="175" t="s">
        <v>419</v>
      </c>
      <c r="L121" s="175" t="s">
        <v>385</v>
      </c>
      <c r="P121" s="175" t="s">
        <v>385</v>
      </c>
      <c r="T121" s="175" t="s">
        <v>385</v>
      </c>
      <c r="X121" s="175" t="s">
        <v>385</v>
      </c>
      <c r="Z121" s="175" t="s">
        <v>419</v>
      </c>
      <c r="AA121" s="175" t="s">
        <v>385</v>
      </c>
      <c r="AB121" s="175" t="s">
        <v>419</v>
      </c>
      <c r="AC121" s="175" t="s">
        <v>419</v>
      </c>
      <c r="AD121" s="175" t="s">
        <v>419</v>
      </c>
      <c r="AE121" s="175" t="s">
        <v>419</v>
      </c>
      <c r="AF121" s="175" t="s">
        <v>241</v>
      </c>
      <c r="AG121" s="175">
        <v>5</v>
      </c>
      <c r="AH121" s="175" t="s">
        <v>636</v>
      </c>
      <c r="AI121" s="175" t="s">
        <v>636</v>
      </c>
      <c r="AJ121" s="175" t="s">
        <v>635</v>
      </c>
      <c r="AK121" s="175" t="s">
        <v>635</v>
      </c>
      <c r="AL121" s="1159" t="s">
        <v>419</v>
      </c>
      <c r="AM121" s="175" t="s">
        <v>419</v>
      </c>
      <c r="AN121" s="175" t="s">
        <v>419</v>
      </c>
      <c r="AO121" s="175" t="s">
        <v>419</v>
      </c>
      <c r="AP121" s="175">
        <v>24</v>
      </c>
      <c r="AQ121" s="175">
        <v>216</v>
      </c>
      <c r="AR121" s="175" t="s">
        <v>419</v>
      </c>
      <c r="AS121" s="192" t="s">
        <v>419</v>
      </c>
    </row>
    <row r="122" spans="1:45" ht="16.5" customHeight="1">
      <c r="A122" s="174">
        <v>46208</v>
      </c>
      <c r="B122" s="175" t="s">
        <v>212</v>
      </c>
      <c r="C122" s="175" t="s">
        <v>632</v>
      </c>
      <c r="E122" s="175" t="s">
        <v>419</v>
      </c>
      <c r="F122" s="175" t="s">
        <v>419</v>
      </c>
      <c r="G122" s="175" t="s">
        <v>419</v>
      </c>
      <c r="H122" s="175" t="s">
        <v>419</v>
      </c>
      <c r="I122" s="175" t="s">
        <v>419</v>
      </c>
      <c r="L122" s="175" t="s">
        <v>632</v>
      </c>
      <c r="P122" s="175" t="s">
        <v>632</v>
      </c>
      <c r="T122" s="175" t="s">
        <v>632</v>
      </c>
      <c r="X122" s="175" t="s">
        <v>632</v>
      </c>
      <c r="Z122" s="175" t="s">
        <v>419</v>
      </c>
      <c r="AA122" s="175" t="s">
        <v>632</v>
      </c>
      <c r="AB122" s="175" t="s">
        <v>419</v>
      </c>
      <c r="AC122" s="175" t="s">
        <v>419</v>
      </c>
      <c r="AD122" s="175" t="s">
        <v>419</v>
      </c>
      <c r="AE122" s="175" t="s">
        <v>419</v>
      </c>
      <c r="AF122" s="175" t="s">
        <v>213</v>
      </c>
      <c r="AG122" s="175">
        <v>1</v>
      </c>
      <c r="AH122" s="175" t="s">
        <v>640</v>
      </c>
      <c r="AI122" s="175" t="s">
        <v>640</v>
      </c>
      <c r="AJ122" s="175" t="s">
        <v>640</v>
      </c>
      <c r="AK122" s="175" t="s">
        <v>640</v>
      </c>
      <c r="AL122" s="1159" t="s">
        <v>419</v>
      </c>
      <c r="AM122" s="175" t="s">
        <v>419</v>
      </c>
      <c r="AN122" s="175" t="s">
        <v>419</v>
      </c>
      <c r="AO122" s="175" t="s">
        <v>419</v>
      </c>
      <c r="AP122" s="175">
        <v>24</v>
      </c>
      <c r="AQ122" s="175">
        <v>216</v>
      </c>
      <c r="AR122" s="175" t="s">
        <v>419</v>
      </c>
      <c r="AS122" s="192" t="s">
        <v>419</v>
      </c>
    </row>
    <row r="123" spans="1:45" ht="16.5" customHeight="1">
      <c r="A123" s="174">
        <v>46208</v>
      </c>
      <c r="B123" s="175" t="s">
        <v>214</v>
      </c>
      <c r="C123" s="175" t="s">
        <v>632</v>
      </c>
      <c r="E123" s="175" t="s">
        <v>419</v>
      </c>
      <c r="F123" s="175" t="s">
        <v>419</v>
      </c>
      <c r="G123" s="175" t="s">
        <v>419</v>
      </c>
      <c r="H123" s="175" t="s">
        <v>419</v>
      </c>
      <c r="I123" s="175" t="s">
        <v>419</v>
      </c>
      <c r="L123" s="175" t="s">
        <v>632</v>
      </c>
      <c r="P123" s="175" t="s">
        <v>632</v>
      </c>
      <c r="T123" s="175" t="s">
        <v>632</v>
      </c>
      <c r="X123" s="175" t="s">
        <v>632</v>
      </c>
      <c r="Z123" s="175" t="s">
        <v>419</v>
      </c>
      <c r="AA123" s="175" t="s">
        <v>632</v>
      </c>
      <c r="AB123" s="175" t="s">
        <v>419</v>
      </c>
      <c r="AC123" s="175" t="s">
        <v>419</v>
      </c>
      <c r="AD123" s="175" t="s">
        <v>419</v>
      </c>
      <c r="AE123" s="175" t="s">
        <v>419</v>
      </c>
      <c r="AF123" s="175" t="s">
        <v>213</v>
      </c>
      <c r="AG123" s="175">
        <v>1</v>
      </c>
      <c r="AH123" s="175" t="s">
        <v>640</v>
      </c>
      <c r="AI123" s="175" t="s">
        <v>640</v>
      </c>
      <c r="AJ123" s="175" t="s">
        <v>640</v>
      </c>
      <c r="AK123" s="175" t="s">
        <v>640</v>
      </c>
      <c r="AL123" s="1159" t="s">
        <v>419</v>
      </c>
      <c r="AM123" s="175" t="s">
        <v>419</v>
      </c>
      <c r="AN123" s="175" t="s">
        <v>419</v>
      </c>
      <c r="AO123" s="175" t="s">
        <v>419</v>
      </c>
      <c r="AP123" s="175">
        <v>24</v>
      </c>
      <c r="AQ123" s="175">
        <v>216</v>
      </c>
      <c r="AR123" s="175" t="s">
        <v>419</v>
      </c>
      <c r="AS123" s="192" t="s">
        <v>419</v>
      </c>
    </row>
    <row r="124" spans="1:45" ht="16.5" customHeight="1">
      <c r="A124" s="174">
        <v>46208</v>
      </c>
      <c r="B124" s="175" t="s">
        <v>215</v>
      </c>
      <c r="C124" s="175" t="s">
        <v>17316</v>
      </c>
      <c r="E124" s="175" t="s">
        <v>5005</v>
      </c>
      <c r="F124" s="175" t="s">
        <v>17317</v>
      </c>
      <c r="G124" s="175">
        <v>500</v>
      </c>
      <c r="H124" s="175" t="s">
        <v>1186</v>
      </c>
      <c r="I124" s="175">
        <v>4</v>
      </c>
      <c r="J124" s="175">
        <v>14</v>
      </c>
      <c r="K124" s="175">
        <v>0</v>
      </c>
      <c r="L124" s="175">
        <v>8759</v>
      </c>
      <c r="M124" s="175">
        <v>7824</v>
      </c>
      <c r="N124" s="175">
        <v>8</v>
      </c>
      <c r="O124" s="175">
        <v>0</v>
      </c>
      <c r="P124" s="175">
        <v>8586</v>
      </c>
      <c r="Q124" s="175">
        <v>7668</v>
      </c>
      <c r="R124" s="175">
        <v>6</v>
      </c>
      <c r="S124" s="175">
        <v>4</v>
      </c>
      <c r="T124" s="175">
        <v>8518</v>
      </c>
      <c r="U124" s="175">
        <v>7616</v>
      </c>
      <c r="V124" s="175">
        <v>10</v>
      </c>
      <c r="W124" s="175">
        <v>0</v>
      </c>
      <c r="X124" s="175">
        <v>8433</v>
      </c>
      <c r="Y124" s="175">
        <v>7512</v>
      </c>
      <c r="Z124" s="175">
        <v>2.9937629937629939</v>
      </c>
      <c r="AA124" s="175">
        <v>12.666666666666666</v>
      </c>
      <c r="AB124" s="175">
        <v>0.99357638888888888</v>
      </c>
      <c r="AC124" s="175">
        <v>81.144999999999996</v>
      </c>
      <c r="AD124" s="175">
        <v>1.5833333333333333</v>
      </c>
      <c r="AE124" s="175">
        <v>1.4166666666666667</v>
      </c>
      <c r="AF124" s="175" t="s">
        <v>213</v>
      </c>
      <c r="AG124" s="175">
        <v>1</v>
      </c>
      <c r="AH124" s="175" t="s">
        <v>15376</v>
      </c>
      <c r="AI124" s="175" t="s">
        <v>15376</v>
      </c>
      <c r="AJ124" s="175" t="s">
        <v>635</v>
      </c>
      <c r="AK124" s="175" t="s">
        <v>635</v>
      </c>
      <c r="AL124" s="1159" t="s">
        <v>250</v>
      </c>
      <c r="AM124" s="175" t="s">
        <v>126</v>
      </c>
      <c r="AN124" s="175">
        <v>0.91100000000000003</v>
      </c>
      <c r="AO124" s="175">
        <v>1.9</v>
      </c>
      <c r="AP124" s="175">
        <v>24</v>
      </c>
      <c r="AQ124" s="175">
        <v>216</v>
      </c>
      <c r="AR124" s="175">
        <v>2.9</v>
      </c>
      <c r="AS124" s="192">
        <v>13695.6096</v>
      </c>
    </row>
    <row r="125" spans="1:45" ht="16.5" customHeight="1">
      <c r="A125" s="174">
        <v>46208</v>
      </c>
      <c r="B125" s="175" t="s">
        <v>216</v>
      </c>
      <c r="C125" s="175" t="s">
        <v>632</v>
      </c>
      <c r="E125" s="175" t="s">
        <v>419</v>
      </c>
      <c r="F125" s="175" t="s">
        <v>419</v>
      </c>
      <c r="G125" s="175" t="s">
        <v>419</v>
      </c>
      <c r="H125" s="175" t="s">
        <v>419</v>
      </c>
      <c r="I125" s="175" t="s">
        <v>419</v>
      </c>
      <c r="L125" s="175" t="s">
        <v>632</v>
      </c>
      <c r="P125" s="175" t="s">
        <v>632</v>
      </c>
      <c r="T125" s="175" t="s">
        <v>632</v>
      </c>
      <c r="X125" s="175" t="s">
        <v>632</v>
      </c>
      <c r="Z125" s="175" t="s">
        <v>419</v>
      </c>
      <c r="AA125" s="175" t="s">
        <v>632</v>
      </c>
      <c r="AB125" s="175" t="s">
        <v>419</v>
      </c>
      <c r="AC125" s="175" t="s">
        <v>419</v>
      </c>
      <c r="AD125" s="175" t="s">
        <v>419</v>
      </c>
      <c r="AE125" s="175" t="s">
        <v>419</v>
      </c>
      <c r="AF125" s="175" t="s">
        <v>213</v>
      </c>
      <c r="AG125" s="175">
        <v>1</v>
      </c>
      <c r="AH125" s="175" t="s">
        <v>640</v>
      </c>
      <c r="AI125" s="175" t="s">
        <v>640</v>
      </c>
      <c r="AJ125" s="175" t="s">
        <v>640</v>
      </c>
      <c r="AK125" s="175" t="s">
        <v>640</v>
      </c>
      <c r="AL125" s="1159" t="s">
        <v>419</v>
      </c>
      <c r="AM125" s="175" t="s">
        <v>419</v>
      </c>
      <c r="AN125" s="175" t="s">
        <v>419</v>
      </c>
      <c r="AO125" s="175" t="s">
        <v>419</v>
      </c>
      <c r="AP125" s="175">
        <v>24</v>
      </c>
      <c r="AQ125" s="175">
        <v>216</v>
      </c>
      <c r="AR125" s="175" t="s">
        <v>419</v>
      </c>
      <c r="AS125" s="192" t="s">
        <v>419</v>
      </c>
    </row>
    <row r="126" spans="1:45" ht="16.5" customHeight="1">
      <c r="A126" s="174">
        <v>46208</v>
      </c>
      <c r="B126" s="175" t="s">
        <v>217</v>
      </c>
      <c r="C126" s="175" t="s">
        <v>632</v>
      </c>
      <c r="E126" s="175" t="s">
        <v>419</v>
      </c>
      <c r="F126" s="175" t="s">
        <v>419</v>
      </c>
      <c r="G126" s="175" t="s">
        <v>419</v>
      </c>
      <c r="H126" s="175" t="s">
        <v>419</v>
      </c>
      <c r="I126" s="175" t="s">
        <v>419</v>
      </c>
      <c r="L126" s="175" t="s">
        <v>632</v>
      </c>
      <c r="P126" s="175" t="s">
        <v>632</v>
      </c>
      <c r="T126" s="175" t="s">
        <v>632</v>
      </c>
      <c r="X126" s="175" t="s">
        <v>632</v>
      </c>
      <c r="Z126" s="175" t="s">
        <v>419</v>
      </c>
      <c r="AA126" s="175" t="s">
        <v>632</v>
      </c>
      <c r="AB126" s="175" t="s">
        <v>419</v>
      </c>
      <c r="AC126" s="175" t="s">
        <v>419</v>
      </c>
      <c r="AD126" s="175" t="s">
        <v>419</v>
      </c>
      <c r="AE126" s="175" t="s">
        <v>419</v>
      </c>
      <c r="AF126" s="175" t="s">
        <v>213</v>
      </c>
      <c r="AG126" s="175">
        <v>1</v>
      </c>
      <c r="AH126" s="175" t="s">
        <v>640</v>
      </c>
      <c r="AI126" s="175" t="s">
        <v>640</v>
      </c>
      <c r="AJ126" s="175" t="s">
        <v>640</v>
      </c>
      <c r="AK126" s="175" t="s">
        <v>640</v>
      </c>
      <c r="AL126" s="1159" t="s">
        <v>419</v>
      </c>
      <c r="AM126" s="175" t="s">
        <v>419</v>
      </c>
      <c r="AN126" s="175" t="s">
        <v>419</v>
      </c>
      <c r="AO126" s="175" t="s">
        <v>419</v>
      </c>
      <c r="AP126" s="175">
        <v>24</v>
      </c>
      <c r="AQ126" s="175">
        <v>216</v>
      </c>
      <c r="AR126" s="175" t="s">
        <v>419</v>
      </c>
      <c r="AS126" s="192" t="s">
        <v>419</v>
      </c>
    </row>
    <row r="127" spans="1:45" ht="16.5" customHeight="1">
      <c r="A127" s="174">
        <v>46208</v>
      </c>
      <c r="B127" s="175" t="s">
        <v>218</v>
      </c>
      <c r="C127" s="175" t="s">
        <v>17221</v>
      </c>
      <c r="E127" s="175" t="s">
        <v>17237</v>
      </c>
      <c r="F127" s="175" t="s">
        <v>17229</v>
      </c>
      <c r="G127" s="175">
        <v>600</v>
      </c>
      <c r="H127" s="175" t="s">
        <v>15893</v>
      </c>
      <c r="I127" s="175">
        <v>5</v>
      </c>
      <c r="J127" s="175">
        <v>12</v>
      </c>
      <c r="K127" s="175">
        <v>0</v>
      </c>
      <c r="L127" s="175">
        <v>9180</v>
      </c>
      <c r="M127" s="175">
        <v>9424</v>
      </c>
      <c r="N127" s="175">
        <v>18</v>
      </c>
      <c r="O127" s="175">
        <v>0</v>
      </c>
      <c r="P127" s="175">
        <v>8888</v>
      </c>
      <c r="Q127" s="175">
        <v>9000</v>
      </c>
      <c r="R127" s="175">
        <v>6</v>
      </c>
      <c r="S127" s="175">
        <v>2</v>
      </c>
      <c r="T127" s="175">
        <v>9072</v>
      </c>
      <c r="U127" s="175">
        <v>9185</v>
      </c>
      <c r="V127" s="175">
        <v>22</v>
      </c>
      <c r="W127" s="175">
        <v>8</v>
      </c>
      <c r="X127" s="175">
        <v>8752</v>
      </c>
      <c r="Y127" s="175">
        <v>9342</v>
      </c>
      <c r="Z127" s="175">
        <v>2.8015564202334629</v>
      </c>
      <c r="AA127" s="175">
        <v>9.6666666666666661</v>
      </c>
      <c r="AB127" s="175">
        <v>0.98283920940170943</v>
      </c>
      <c r="AC127" s="175">
        <v>91.053749999999994</v>
      </c>
      <c r="AD127" s="175">
        <v>1.2083333333333333</v>
      </c>
      <c r="AE127" s="175">
        <v>1</v>
      </c>
      <c r="AF127" s="175" t="s">
        <v>213</v>
      </c>
      <c r="AG127" s="175">
        <v>0.5</v>
      </c>
      <c r="AH127" s="175" t="s">
        <v>15376</v>
      </c>
      <c r="AI127" s="175" t="s">
        <v>15376</v>
      </c>
      <c r="AJ127" s="175" t="s">
        <v>635</v>
      </c>
      <c r="AK127" s="175" t="s">
        <v>635</v>
      </c>
      <c r="AL127" s="1159" t="s">
        <v>250</v>
      </c>
      <c r="AM127" s="175" t="s">
        <v>126</v>
      </c>
      <c r="AN127" s="175">
        <v>0.91100000000000003</v>
      </c>
      <c r="AO127" s="175">
        <v>1.7</v>
      </c>
      <c r="AP127" s="175">
        <v>24</v>
      </c>
      <c r="AQ127" s="175">
        <v>216</v>
      </c>
      <c r="AR127" s="175">
        <v>2.7</v>
      </c>
      <c r="AS127" s="192">
        <v>12751.084800000001</v>
      </c>
    </row>
    <row r="128" spans="1:45" ht="16.5" customHeight="1">
      <c r="A128" s="174">
        <v>46208</v>
      </c>
      <c r="B128" s="175" t="s">
        <v>219</v>
      </c>
      <c r="C128" s="175" t="s">
        <v>632</v>
      </c>
      <c r="E128" s="175" t="s">
        <v>419</v>
      </c>
      <c r="F128" s="175" t="s">
        <v>419</v>
      </c>
      <c r="G128" s="175" t="s">
        <v>419</v>
      </c>
      <c r="H128" s="175" t="s">
        <v>419</v>
      </c>
      <c r="I128" s="175" t="s">
        <v>419</v>
      </c>
      <c r="L128" s="175" t="s">
        <v>632</v>
      </c>
      <c r="P128" s="175" t="s">
        <v>632</v>
      </c>
      <c r="T128" s="175" t="s">
        <v>632</v>
      </c>
      <c r="X128" s="175" t="s">
        <v>632</v>
      </c>
      <c r="Z128" s="175" t="s">
        <v>419</v>
      </c>
      <c r="AA128" s="175" t="s">
        <v>632</v>
      </c>
      <c r="AB128" s="175" t="s">
        <v>419</v>
      </c>
      <c r="AC128" s="175" t="s">
        <v>419</v>
      </c>
      <c r="AD128" s="175" t="s">
        <v>419</v>
      </c>
      <c r="AE128" s="175" t="s">
        <v>419</v>
      </c>
      <c r="AF128" s="175" t="s">
        <v>213</v>
      </c>
      <c r="AG128" s="175">
        <v>1</v>
      </c>
      <c r="AH128" s="175" t="s">
        <v>640</v>
      </c>
      <c r="AI128" s="175" t="s">
        <v>640</v>
      </c>
      <c r="AJ128" s="175" t="s">
        <v>640</v>
      </c>
      <c r="AK128" s="175" t="s">
        <v>640</v>
      </c>
      <c r="AL128" s="1159" t="s">
        <v>419</v>
      </c>
      <c r="AM128" s="175" t="s">
        <v>419</v>
      </c>
      <c r="AN128" s="175" t="s">
        <v>419</v>
      </c>
      <c r="AO128" s="175" t="s">
        <v>419</v>
      </c>
      <c r="AP128" s="175">
        <v>24</v>
      </c>
      <c r="AQ128" s="175">
        <v>216</v>
      </c>
      <c r="AR128" s="175" t="s">
        <v>419</v>
      </c>
      <c r="AS128" s="192" t="s">
        <v>419</v>
      </c>
    </row>
    <row r="129" spans="1:45" ht="16.5" customHeight="1">
      <c r="A129" s="174">
        <v>46208</v>
      </c>
      <c r="B129" s="175" t="s">
        <v>220</v>
      </c>
      <c r="C129" s="175" t="s">
        <v>632</v>
      </c>
      <c r="E129" s="175" t="s">
        <v>419</v>
      </c>
      <c r="F129" s="175" t="s">
        <v>419</v>
      </c>
      <c r="G129" s="175" t="s">
        <v>419</v>
      </c>
      <c r="H129" s="175" t="s">
        <v>419</v>
      </c>
      <c r="I129" s="175" t="s">
        <v>419</v>
      </c>
      <c r="L129" s="175" t="s">
        <v>632</v>
      </c>
      <c r="P129" s="175" t="s">
        <v>632</v>
      </c>
      <c r="T129" s="175" t="s">
        <v>632</v>
      </c>
      <c r="X129" s="175" t="s">
        <v>632</v>
      </c>
      <c r="Z129" s="175" t="s">
        <v>419</v>
      </c>
      <c r="AA129" s="175" t="s">
        <v>632</v>
      </c>
      <c r="AB129" s="175" t="s">
        <v>419</v>
      </c>
      <c r="AC129" s="175" t="s">
        <v>419</v>
      </c>
      <c r="AD129" s="175" t="s">
        <v>419</v>
      </c>
      <c r="AE129" s="175" t="s">
        <v>419</v>
      </c>
      <c r="AF129" s="175" t="s">
        <v>213</v>
      </c>
      <c r="AG129" s="175">
        <v>1</v>
      </c>
      <c r="AH129" s="175" t="s">
        <v>640</v>
      </c>
      <c r="AI129" s="175" t="s">
        <v>640</v>
      </c>
      <c r="AJ129" s="175" t="s">
        <v>640</v>
      </c>
      <c r="AK129" s="175" t="s">
        <v>640</v>
      </c>
      <c r="AL129" s="1159" t="s">
        <v>419</v>
      </c>
      <c r="AM129" s="175" t="s">
        <v>419</v>
      </c>
      <c r="AN129" s="175" t="s">
        <v>419</v>
      </c>
      <c r="AO129" s="175" t="s">
        <v>419</v>
      </c>
      <c r="AP129" s="175">
        <v>24</v>
      </c>
      <c r="AQ129" s="175">
        <v>216</v>
      </c>
      <c r="AR129" s="175" t="s">
        <v>419</v>
      </c>
      <c r="AS129" s="192" t="s">
        <v>419</v>
      </c>
    </row>
    <row r="130" spans="1:45" ht="16.5" customHeight="1">
      <c r="A130" s="174">
        <v>46208</v>
      </c>
      <c r="B130" s="175" t="s">
        <v>221</v>
      </c>
      <c r="C130" s="175" t="s">
        <v>632</v>
      </c>
      <c r="E130" s="175" t="s">
        <v>419</v>
      </c>
      <c r="F130" s="175" t="s">
        <v>419</v>
      </c>
      <c r="G130" s="175" t="s">
        <v>419</v>
      </c>
      <c r="H130" s="175" t="s">
        <v>419</v>
      </c>
      <c r="I130" s="175" t="s">
        <v>419</v>
      </c>
      <c r="L130" s="175" t="s">
        <v>632</v>
      </c>
      <c r="P130" s="175" t="s">
        <v>632</v>
      </c>
      <c r="T130" s="175" t="s">
        <v>632</v>
      </c>
      <c r="X130" s="175" t="s">
        <v>632</v>
      </c>
      <c r="Z130" s="175" t="s">
        <v>419</v>
      </c>
      <c r="AA130" s="175" t="s">
        <v>632</v>
      </c>
      <c r="AB130" s="175" t="s">
        <v>419</v>
      </c>
      <c r="AC130" s="175" t="s">
        <v>419</v>
      </c>
      <c r="AD130" s="175" t="s">
        <v>419</v>
      </c>
      <c r="AE130" s="175" t="s">
        <v>419</v>
      </c>
      <c r="AF130" s="175" t="s">
        <v>213</v>
      </c>
      <c r="AG130" s="175">
        <v>1</v>
      </c>
      <c r="AH130" s="175" t="s">
        <v>640</v>
      </c>
      <c r="AI130" s="175" t="s">
        <v>640</v>
      </c>
      <c r="AJ130" s="175" t="s">
        <v>640</v>
      </c>
      <c r="AK130" s="175" t="s">
        <v>640</v>
      </c>
      <c r="AL130" s="1159" t="s">
        <v>419</v>
      </c>
      <c r="AM130" s="175" t="s">
        <v>419</v>
      </c>
      <c r="AN130" s="175" t="s">
        <v>419</v>
      </c>
      <c r="AO130" s="175" t="s">
        <v>419</v>
      </c>
      <c r="AP130" s="175">
        <v>24</v>
      </c>
      <c r="AQ130" s="175">
        <v>216</v>
      </c>
      <c r="AR130" s="175" t="s">
        <v>419</v>
      </c>
      <c r="AS130" s="192" t="s">
        <v>419</v>
      </c>
    </row>
    <row r="131" spans="1:45" ht="16.5" customHeight="1">
      <c r="A131" s="174">
        <v>46208</v>
      </c>
      <c r="B131" s="175" t="s">
        <v>222</v>
      </c>
      <c r="C131" s="175" t="s">
        <v>17261</v>
      </c>
      <c r="D131" s="175" t="s">
        <v>16748</v>
      </c>
      <c r="E131" s="175" t="s">
        <v>17177</v>
      </c>
      <c r="F131" s="175" t="s">
        <v>17262</v>
      </c>
      <c r="G131" s="175">
        <v>550</v>
      </c>
      <c r="H131" s="175" t="s">
        <v>762</v>
      </c>
      <c r="I131" s="175">
        <v>2</v>
      </c>
      <c r="J131" s="175">
        <v>13</v>
      </c>
      <c r="K131" s="175">
        <v>0</v>
      </c>
      <c r="L131" s="175">
        <v>9443</v>
      </c>
      <c r="M131" s="175" t="s">
        <v>632</v>
      </c>
      <c r="N131" s="175">
        <v>8</v>
      </c>
      <c r="O131" s="175">
        <v>0</v>
      </c>
      <c r="P131" s="175">
        <v>9308</v>
      </c>
      <c r="Q131" s="175" t="s">
        <v>632</v>
      </c>
      <c r="R131" s="175">
        <v>7</v>
      </c>
      <c r="S131" s="175">
        <v>0</v>
      </c>
      <c r="T131" s="175">
        <v>9266</v>
      </c>
      <c r="U131" s="175" t="s">
        <v>632</v>
      </c>
      <c r="V131" s="175">
        <v>14</v>
      </c>
      <c r="W131" s="175">
        <v>0</v>
      </c>
      <c r="X131" s="175">
        <v>9308</v>
      </c>
      <c r="Y131" s="175" t="s">
        <v>632</v>
      </c>
      <c r="Z131" s="175">
        <v>2.1492537313432836</v>
      </c>
      <c r="AA131" s="175">
        <v>28</v>
      </c>
      <c r="AB131" s="175">
        <v>1</v>
      </c>
      <c r="AC131" s="175">
        <v>93.3125</v>
      </c>
      <c r="AD131" s="175">
        <v>3.5</v>
      </c>
      <c r="AE131" s="175">
        <v>3.5</v>
      </c>
      <c r="AF131" s="175" t="s">
        <v>213</v>
      </c>
      <c r="AG131" s="175">
        <v>2</v>
      </c>
      <c r="AH131" s="175" t="s">
        <v>15376</v>
      </c>
      <c r="AI131" s="175" t="s">
        <v>15376</v>
      </c>
      <c r="AJ131" s="175" t="s">
        <v>635</v>
      </c>
      <c r="AK131" s="175" t="s">
        <v>635</v>
      </c>
      <c r="AL131" s="1159" t="s">
        <v>250</v>
      </c>
      <c r="AM131" s="175" t="s">
        <v>126</v>
      </c>
      <c r="AN131" s="175">
        <v>0.91100000000000003</v>
      </c>
      <c r="AO131" s="175">
        <v>0.7</v>
      </c>
      <c r="AP131" s="175">
        <v>24</v>
      </c>
      <c r="AQ131" s="175">
        <v>216</v>
      </c>
      <c r="AR131" s="175">
        <v>1.7</v>
      </c>
      <c r="AS131" s="192">
        <v>8028.4608000000007</v>
      </c>
    </row>
    <row r="132" spans="1:45" ht="16.5" customHeight="1">
      <c r="A132" s="174">
        <v>46208</v>
      </c>
      <c r="B132" s="175" t="s">
        <v>223</v>
      </c>
      <c r="C132" s="175" t="s">
        <v>17263</v>
      </c>
      <c r="D132" s="175" t="s">
        <v>16748</v>
      </c>
      <c r="E132" s="175" t="s">
        <v>17156</v>
      </c>
      <c r="F132" s="175" t="s">
        <v>17264</v>
      </c>
      <c r="G132" s="175">
        <v>600</v>
      </c>
      <c r="H132" s="175" t="s">
        <v>456</v>
      </c>
      <c r="I132" s="175">
        <v>3</v>
      </c>
      <c r="J132" s="175">
        <v>14</v>
      </c>
      <c r="K132" s="175">
        <v>0</v>
      </c>
      <c r="L132" s="175">
        <v>8068</v>
      </c>
      <c r="M132" s="175" t="s">
        <v>632</v>
      </c>
      <c r="N132" s="175">
        <v>5</v>
      </c>
      <c r="O132" s="175">
        <v>0</v>
      </c>
      <c r="P132" s="175">
        <v>7544</v>
      </c>
      <c r="Q132" s="175" t="s">
        <v>632</v>
      </c>
      <c r="R132" s="175">
        <v>11</v>
      </c>
      <c r="S132" s="175">
        <v>0</v>
      </c>
      <c r="T132" s="175">
        <v>7554</v>
      </c>
      <c r="U132" s="175" t="s">
        <v>632</v>
      </c>
      <c r="V132" s="175">
        <v>10</v>
      </c>
      <c r="W132" s="175">
        <v>0</v>
      </c>
      <c r="X132" s="175">
        <v>7880</v>
      </c>
      <c r="Y132" s="175" t="s">
        <v>632</v>
      </c>
      <c r="Z132" s="175">
        <v>2.4</v>
      </c>
      <c r="AA132" s="175">
        <v>26.666666666666668</v>
      </c>
      <c r="AB132" s="175">
        <v>1</v>
      </c>
      <c r="AC132" s="175">
        <v>77.614999999999995</v>
      </c>
      <c r="AD132" s="175">
        <v>3.3333333333333335</v>
      </c>
      <c r="AE132" s="175">
        <v>3.3333333333333335</v>
      </c>
      <c r="AF132" s="175" t="s">
        <v>213</v>
      </c>
      <c r="AG132" s="175">
        <v>2</v>
      </c>
      <c r="AH132" s="175" t="s">
        <v>15376</v>
      </c>
      <c r="AI132" s="175" t="s">
        <v>15376</v>
      </c>
      <c r="AJ132" s="175" t="s">
        <v>635</v>
      </c>
      <c r="AK132" s="175" t="s">
        <v>635</v>
      </c>
      <c r="AL132" s="1159" t="s">
        <v>250</v>
      </c>
      <c r="AM132" s="175" t="s">
        <v>126</v>
      </c>
      <c r="AN132" s="175">
        <v>0.91100000000000003</v>
      </c>
      <c r="AO132" s="175">
        <v>0.8</v>
      </c>
      <c r="AP132" s="175">
        <v>24</v>
      </c>
      <c r="AQ132" s="175">
        <v>216</v>
      </c>
      <c r="AR132" s="175">
        <v>1.8</v>
      </c>
      <c r="AS132" s="192">
        <v>8500.7232000000004</v>
      </c>
    </row>
    <row r="133" spans="1:45" ht="16.5" customHeight="1">
      <c r="A133" s="174">
        <v>46208</v>
      </c>
      <c r="B133" s="175" t="s">
        <v>224</v>
      </c>
      <c r="C133" s="175" t="s">
        <v>632</v>
      </c>
      <c r="E133" s="175" t="s">
        <v>419</v>
      </c>
      <c r="F133" s="175" t="s">
        <v>419</v>
      </c>
      <c r="G133" s="175" t="s">
        <v>419</v>
      </c>
      <c r="H133" s="175" t="s">
        <v>419</v>
      </c>
      <c r="I133" s="175" t="s">
        <v>419</v>
      </c>
      <c r="L133" s="175" t="s">
        <v>632</v>
      </c>
      <c r="P133" s="175" t="s">
        <v>632</v>
      </c>
      <c r="T133" s="175" t="s">
        <v>632</v>
      </c>
      <c r="X133" s="175" t="s">
        <v>632</v>
      </c>
      <c r="Z133" s="175" t="s">
        <v>419</v>
      </c>
      <c r="AA133" s="175" t="s">
        <v>632</v>
      </c>
      <c r="AB133" s="175" t="s">
        <v>419</v>
      </c>
      <c r="AC133" s="175" t="s">
        <v>419</v>
      </c>
      <c r="AD133" s="175" t="s">
        <v>419</v>
      </c>
      <c r="AE133" s="175" t="s">
        <v>419</v>
      </c>
      <c r="AF133" s="175" t="s">
        <v>213</v>
      </c>
      <c r="AG133" s="175">
        <v>0.5</v>
      </c>
      <c r="AH133" s="175" t="s">
        <v>640</v>
      </c>
      <c r="AI133" s="175" t="s">
        <v>640</v>
      </c>
      <c r="AJ133" s="175" t="s">
        <v>640</v>
      </c>
      <c r="AK133" s="175" t="s">
        <v>640</v>
      </c>
      <c r="AL133" s="1159" t="s">
        <v>419</v>
      </c>
      <c r="AM133" s="175" t="s">
        <v>419</v>
      </c>
      <c r="AN133" s="175" t="s">
        <v>419</v>
      </c>
      <c r="AO133" s="175" t="s">
        <v>419</v>
      </c>
      <c r="AP133" s="175">
        <v>24</v>
      </c>
      <c r="AQ133" s="175">
        <v>216</v>
      </c>
      <c r="AR133" s="175" t="s">
        <v>419</v>
      </c>
      <c r="AS133" s="192" t="s">
        <v>419</v>
      </c>
    </row>
    <row r="134" spans="1:45" ht="16.5" customHeight="1">
      <c r="A134" s="174">
        <v>46208</v>
      </c>
      <c r="B134" s="175" t="s">
        <v>225</v>
      </c>
      <c r="C134" s="175" t="s">
        <v>632</v>
      </c>
      <c r="E134" s="175" t="s">
        <v>419</v>
      </c>
      <c r="F134" s="175" t="s">
        <v>419</v>
      </c>
      <c r="G134" s="175" t="s">
        <v>419</v>
      </c>
      <c r="H134" s="175" t="s">
        <v>419</v>
      </c>
      <c r="I134" s="175" t="s">
        <v>419</v>
      </c>
      <c r="L134" s="175" t="s">
        <v>632</v>
      </c>
      <c r="P134" s="175" t="s">
        <v>632</v>
      </c>
      <c r="T134" s="175" t="s">
        <v>632</v>
      </c>
      <c r="X134" s="175" t="s">
        <v>632</v>
      </c>
      <c r="Z134" s="175" t="s">
        <v>419</v>
      </c>
      <c r="AA134" s="175" t="s">
        <v>632</v>
      </c>
      <c r="AB134" s="175" t="s">
        <v>419</v>
      </c>
      <c r="AC134" s="175" t="s">
        <v>419</v>
      </c>
      <c r="AD134" s="175" t="s">
        <v>419</v>
      </c>
      <c r="AE134" s="175" t="s">
        <v>419</v>
      </c>
      <c r="AF134" s="175" t="s">
        <v>213</v>
      </c>
      <c r="AG134" s="175">
        <v>1</v>
      </c>
      <c r="AH134" s="175" t="s">
        <v>640</v>
      </c>
      <c r="AI134" s="175" t="s">
        <v>640</v>
      </c>
      <c r="AJ134" s="175" t="s">
        <v>640</v>
      </c>
      <c r="AK134" s="175" t="s">
        <v>640</v>
      </c>
      <c r="AL134" s="1159" t="s">
        <v>419</v>
      </c>
      <c r="AM134" s="175" t="s">
        <v>419</v>
      </c>
      <c r="AN134" s="175" t="s">
        <v>419</v>
      </c>
      <c r="AO134" s="175" t="s">
        <v>419</v>
      </c>
      <c r="AP134" s="175">
        <v>24</v>
      </c>
      <c r="AQ134" s="175">
        <v>216</v>
      </c>
      <c r="AR134" s="175" t="s">
        <v>419</v>
      </c>
      <c r="AS134" s="192" t="s">
        <v>419</v>
      </c>
    </row>
    <row r="135" spans="1:45" ht="16.5" customHeight="1">
      <c r="A135" s="174">
        <v>46208</v>
      </c>
      <c r="B135" s="175" t="s">
        <v>226</v>
      </c>
      <c r="C135" s="175" t="s">
        <v>632</v>
      </c>
      <c r="E135" s="175" t="s">
        <v>419</v>
      </c>
      <c r="F135" s="175" t="s">
        <v>419</v>
      </c>
      <c r="G135" s="175" t="s">
        <v>419</v>
      </c>
      <c r="H135" s="175" t="s">
        <v>419</v>
      </c>
      <c r="I135" s="175" t="s">
        <v>419</v>
      </c>
      <c r="L135" s="175" t="s">
        <v>632</v>
      </c>
      <c r="P135" s="175" t="s">
        <v>632</v>
      </c>
      <c r="T135" s="175" t="s">
        <v>632</v>
      </c>
      <c r="X135" s="175" t="s">
        <v>632</v>
      </c>
      <c r="Z135" s="175" t="s">
        <v>419</v>
      </c>
      <c r="AA135" s="175" t="s">
        <v>632</v>
      </c>
      <c r="AB135" s="175" t="s">
        <v>419</v>
      </c>
      <c r="AC135" s="175" t="s">
        <v>419</v>
      </c>
      <c r="AD135" s="175" t="s">
        <v>419</v>
      </c>
      <c r="AE135" s="175" t="s">
        <v>419</v>
      </c>
      <c r="AF135" s="175" t="s">
        <v>213</v>
      </c>
      <c r="AG135" s="175">
        <v>1</v>
      </c>
      <c r="AH135" s="175" t="s">
        <v>640</v>
      </c>
      <c r="AI135" s="175" t="s">
        <v>640</v>
      </c>
      <c r="AJ135" s="175" t="s">
        <v>640</v>
      </c>
      <c r="AK135" s="175" t="s">
        <v>640</v>
      </c>
      <c r="AL135" s="1159" t="s">
        <v>419</v>
      </c>
      <c r="AM135" s="175" t="s">
        <v>419</v>
      </c>
      <c r="AN135" s="175" t="s">
        <v>419</v>
      </c>
      <c r="AO135" s="175" t="s">
        <v>419</v>
      </c>
      <c r="AP135" s="175">
        <v>24</v>
      </c>
      <c r="AQ135" s="175">
        <v>216</v>
      </c>
      <c r="AR135" s="175" t="s">
        <v>419</v>
      </c>
      <c r="AS135" s="192" t="s">
        <v>419</v>
      </c>
    </row>
    <row r="136" spans="1:45" ht="16.5" customHeight="1">
      <c r="A136" s="174">
        <v>46208</v>
      </c>
      <c r="B136" s="175" t="s">
        <v>227</v>
      </c>
      <c r="C136" s="175" t="s">
        <v>632</v>
      </c>
      <c r="E136" s="175" t="s">
        <v>419</v>
      </c>
      <c r="F136" s="175" t="s">
        <v>419</v>
      </c>
      <c r="G136" s="175" t="s">
        <v>419</v>
      </c>
      <c r="H136" s="175" t="s">
        <v>419</v>
      </c>
      <c r="I136" s="175" t="s">
        <v>419</v>
      </c>
      <c r="L136" s="175" t="s">
        <v>632</v>
      </c>
      <c r="P136" s="175" t="s">
        <v>632</v>
      </c>
      <c r="T136" s="175" t="s">
        <v>632</v>
      </c>
      <c r="X136" s="175" t="s">
        <v>632</v>
      </c>
      <c r="Z136" s="175" t="s">
        <v>419</v>
      </c>
      <c r="AA136" s="175" t="s">
        <v>632</v>
      </c>
      <c r="AB136" s="175" t="s">
        <v>419</v>
      </c>
      <c r="AC136" s="175" t="s">
        <v>419</v>
      </c>
      <c r="AD136" s="175" t="s">
        <v>419</v>
      </c>
      <c r="AE136" s="175" t="s">
        <v>419</v>
      </c>
      <c r="AF136" s="175" t="s">
        <v>213</v>
      </c>
      <c r="AG136" s="175">
        <v>1</v>
      </c>
      <c r="AH136" s="175" t="s">
        <v>640</v>
      </c>
      <c r="AI136" s="175" t="s">
        <v>640</v>
      </c>
      <c r="AJ136" s="175" t="s">
        <v>640</v>
      </c>
      <c r="AK136" s="175" t="s">
        <v>640</v>
      </c>
      <c r="AL136" s="1159" t="s">
        <v>419</v>
      </c>
      <c r="AM136" s="175" t="s">
        <v>419</v>
      </c>
      <c r="AN136" s="175" t="s">
        <v>419</v>
      </c>
      <c r="AO136" s="175" t="s">
        <v>419</v>
      </c>
      <c r="AP136" s="175">
        <v>24</v>
      </c>
      <c r="AQ136" s="175">
        <v>216</v>
      </c>
      <c r="AR136" s="175" t="s">
        <v>419</v>
      </c>
      <c r="AS136" s="192" t="s">
        <v>419</v>
      </c>
    </row>
    <row r="137" spans="1:45" ht="16.5" customHeight="1">
      <c r="A137" s="174">
        <v>46208</v>
      </c>
      <c r="B137" s="175" t="s">
        <v>228</v>
      </c>
      <c r="C137" s="175" t="s">
        <v>17293</v>
      </c>
      <c r="E137" s="175" t="s">
        <v>7055</v>
      </c>
      <c r="F137" s="175" t="s">
        <v>17294</v>
      </c>
      <c r="G137" s="175">
        <v>550</v>
      </c>
      <c r="H137" s="175" t="s">
        <v>889</v>
      </c>
      <c r="I137" s="175">
        <v>5.5</v>
      </c>
      <c r="J137" s="175">
        <v>34</v>
      </c>
      <c r="K137" s="175">
        <v>0</v>
      </c>
      <c r="L137" s="175">
        <v>5996</v>
      </c>
      <c r="M137" s="175">
        <v>5982</v>
      </c>
      <c r="N137" s="175">
        <v>22</v>
      </c>
      <c r="O137" s="175">
        <v>0</v>
      </c>
      <c r="P137" s="175">
        <v>5905</v>
      </c>
      <c r="Q137" s="175">
        <v>5475</v>
      </c>
      <c r="R137" s="175">
        <v>44</v>
      </c>
      <c r="S137" s="175">
        <v>0</v>
      </c>
      <c r="T137" s="175">
        <v>5919</v>
      </c>
      <c r="U137" s="175">
        <v>5337</v>
      </c>
      <c r="V137" s="175">
        <v>50</v>
      </c>
      <c r="W137" s="175">
        <v>0</v>
      </c>
      <c r="X137" s="175">
        <v>5806</v>
      </c>
      <c r="Y137" s="175">
        <v>8631</v>
      </c>
      <c r="Z137" s="175">
        <v>4.7058823529411766</v>
      </c>
      <c r="AA137" s="175">
        <v>25</v>
      </c>
      <c r="AB137" s="175">
        <v>1</v>
      </c>
      <c r="AC137" s="175">
        <v>61.313749999999999</v>
      </c>
      <c r="AD137" s="175">
        <v>3.125</v>
      </c>
      <c r="AE137" s="175">
        <v>3.125</v>
      </c>
      <c r="AF137" s="175" t="s">
        <v>213</v>
      </c>
      <c r="AG137" s="175">
        <v>0.5</v>
      </c>
      <c r="AH137" s="175" t="s">
        <v>15376</v>
      </c>
      <c r="AI137" s="175" t="s">
        <v>15376</v>
      </c>
      <c r="AJ137" s="175" t="s">
        <v>635</v>
      </c>
      <c r="AK137" s="175" t="s">
        <v>635</v>
      </c>
      <c r="AL137" s="1159" t="s">
        <v>250</v>
      </c>
      <c r="AM137" s="175" t="s">
        <v>460</v>
      </c>
      <c r="AN137" s="175">
        <v>1.1890000000000001</v>
      </c>
      <c r="AO137" s="175">
        <v>1.9</v>
      </c>
      <c r="AP137" s="175">
        <v>24</v>
      </c>
      <c r="AQ137" s="175">
        <v>216</v>
      </c>
      <c r="AR137" s="175">
        <v>2.9</v>
      </c>
      <c r="AS137" s="192">
        <v>17874.950400000002</v>
      </c>
    </row>
    <row r="138" spans="1:45" ht="16.5" customHeight="1">
      <c r="A138" s="174">
        <v>46208</v>
      </c>
      <c r="B138" s="175" t="s">
        <v>229</v>
      </c>
      <c r="C138" s="175" t="s">
        <v>632</v>
      </c>
      <c r="E138" s="175" t="s">
        <v>419</v>
      </c>
      <c r="F138" s="175" t="s">
        <v>419</v>
      </c>
      <c r="G138" s="175" t="s">
        <v>419</v>
      </c>
      <c r="H138" s="175" t="s">
        <v>419</v>
      </c>
      <c r="I138" s="175" t="s">
        <v>419</v>
      </c>
      <c r="L138" s="175" t="s">
        <v>632</v>
      </c>
      <c r="P138" s="175" t="s">
        <v>632</v>
      </c>
      <c r="T138" s="175" t="s">
        <v>632</v>
      </c>
      <c r="X138" s="175" t="s">
        <v>632</v>
      </c>
      <c r="Z138" s="175" t="s">
        <v>419</v>
      </c>
      <c r="AA138" s="175" t="s">
        <v>632</v>
      </c>
      <c r="AB138" s="175" t="s">
        <v>419</v>
      </c>
      <c r="AC138" s="175" t="s">
        <v>419</v>
      </c>
      <c r="AD138" s="175" t="s">
        <v>419</v>
      </c>
      <c r="AE138" s="175" t="s">
        <v>419</v>
      </c>
      <c r="AF138" s="175" t="s">
        <v>213</v>
      </c>
      <c r="AG138" s="175">
        <v>1</v>
      </c>
      <c r="AH138" s="175" t="s">
        <v>640</v>
      </c>
      <c r="AI138" s="175" t="s">
        <v>640</v>
      </c>
      <c r="AJ138" s="175" t="s">
        <v>640</v>
      </c>
      <c r="AK138" s="175" t="s">
        <v>640</v>
      </c>
      <c r="AL138" s="1159" t="s">
        <v>419</v>
      </c>
      <c r="AM138" s="175" t="s">
        <v>419</v>
      </c>
      <c r="AN138" s="175" t="s">
        <v>419</v>
      </c>
      <c r="AO138" s="175" t="s">
        <v>419</v>
      </c>
      <c r="AP138" s="175">
        <v>24</v>
      </c>
      <c r="AQ138" s="175">
        <v>216</v>
      </c>
      <c r="AR138" s="175" t="s">
        <v>419</v>
      </c>
      <c r="AS138" s="192" t="s">
        <v>419</v>
      </c>
    </row>
    <row r="139" spans="1:45" ht="16.5" customHeight="1">
      <c r="A139" s="174">
        <v>46208</v>
      </c>
      <c r="B139" s="175" t="s">
        <v>230</v>
      </c>
      <c r="C139" s="175" t="s">
        <v>632</v>
      </c>
      <c r="E139" s="175" t="s">
        <v>419</v>
      </c>
      <c r="F139" s="175" t="s">
        <v>419</v>
      </c>
      <c r="G139" s="175" t="s">
        <v>419</v>
      </c>
      <c r="H139" s="175" t="s">
        <v>419</v>
      </c>
      <c r="I139" s="175" t="s">
        <v>419</v>
      </c>
      <c r="L139" s="175" t="s">
        <v>632</v>
      </c>
      <c r="P139" s="175" t="s">
        <v>632</v>
      </c>
      <c r="T139" s="175" t="s">
        <v>632</v>
      </c>
      <c r="X139" s="175" t="s">
        <v>632</v>
      </c>
      <c r="Z139" s="175" t="s">
        <v>419</v>
      </c>
      <c r="AA139" s="175" t="s">
        <v>632</v>
      </c>
      <c r="AB139" s="175" t="s">
        <v>419</v>
      </c>
      <c r="AC139" s="175" t="s">
        <v>419</v>
      </c>
      <c r="AD139" s="175" t="s">
        <v>419</v>
      </c>
      <c r="AE139" s="175" t="s">
        <v>419</v>
      </c>
      <c r="AF139" s="175" t="s">
        <v>213</v>
      </c>
      <c r="AG139" s="175">
        <v>1</v>
      </c>
      <c r="AH139" s="175" t="s">
        <v>640</v>
      </c>
      <c r="AI139" s="175" t="s">
        <v>640</v>
      </c>
      <c r="AJ139" s="175" t="s">
        <v>640</v>
      </c>
      <c r="AK139" s="175" t="s">
        <v>640</v>
      </c>
      <c r="AL139" s="1159" t="s">
        <v>419</v>
      </c>
      <c r="AM139" s="175" t="s">
        <v>419</v>
      </c>
      <c r="AN139" s="175" t="s">
        <v>419</v>
      </c>
      <c r="AO139" s="175" t="s">
        <v>419</v>
      </c>
      <c r="AP139" s="175">
        <v>24</v>
      </c>
      <c r="AQ139" s="175">
        <v>216</v>
      </c>
      <c r="AR139" s="175" t="s">
        <v>419</v>
      </c>
      <c r="AS139" s="192" t="s">
        <v>419</v>
      </c>
    </row>
    <row r="140" spans="1:45" ht="16.5" customHeight="1">
      <c r="A140" s="174">
        <v>46208</v>
      </c>
      <c r="B140" s="175" t="s">
        <v>231</v>
      </c>
      <c r="C140" s="175" t="s">
        <v>632</v>
      </c>
      <c r="E140" s="175" t="s">
        <v>419</v>
      </c>
      <c r="F140" s="175" t="s">
        <v>419</v>
      </c>
      <c r="G140" s="175" t="s">
        <v>419</v>
      </c>
      <c r="H140" s="175" t="s">
        <v>419</v>
      </c>
      <c r="I140" s="175" t="s">
        <v>419</v>
      </c>
      <c r="L140" s="175" t="s">
        <v>632</v>
      </c>
      <c r="P140" s="175" t="s">
        <v>632</v>
      </c>
      <c r="T140" s="175" t="s">
        <v>632</v>
      </c>
      <c r="X140" s="175" t="s">
        <v>632</v>
      </c>
      <c r="Z140" s="175" t="s">
        <v>419</v>
      </c>
      <c r="AA140" s="175" t="s">
        <v>632</v>
      </c>
      <c r="AB140" s="175" t="s">
        <v>419</v>
      </c>
      <c r="AC140" s="175" t="s">
        <v>419</v>
      </c>
      <c r="AD140" s="175" t="s">
        <v>419</v>
      </c>
      <c r="AE140" s="175" t="s">
        <v>419</v>
      </c>
      <c r="AF140" s="175" t="s">
        <v>232</v>
      </c>
      <c r="AG140" s="175">
        <v>1</v>
      </c>
      <c r="AH140" s="175" t="s">
        <v>640</v>
      </c>
      <c r="AI140" s="175" t="s">
        <v>640</v>
      </c>
      <c r="AJ140" s="175" t="s">
        <v>640</v>
      </c>
      <c r="AK140" s="175" t="s">
        <v>640</v>
      </c>
      <c r="AL140" s="1159" t="s">
        <v>419</v>
      </c>
      <c r="AM140" s="175" t="s">
        <v>419</v>
      </c>
      <c r="AN140" s="175" t="s">
        <v>419</v>
      </c>
      <c r="AO140" s="175" t="s">
        <v>419</v>
      </c>
      <c r="AP140" s="175">
        <v>24</v>
      </c>
      <c r="AQ140" s="175">
        <v>216</v>
      </c>
      <c r="AR140" s="175" t="s">
        <v>419</v>
      </c>
      <c r="AS140" s="192" t="s">
        <v>419</v>
      </c>
    </row>
    <row r="141" spans="1:45" ht="16.5" customHeight="1">
      <c r="A141" s="174">
        <v>46208</v>
      </c>
      <c r="B141" s="175" t="s">
        <v>233</v>
      </c>
      <c r="C141" s="175" t="s">
        <v>17268</v>
      </c>
      <c r="D141" s="175" t="s">
        <v>633</v>
      </c>
      <c r="E141" s="175" t="s">
        <v>16719</v>
      </c>
      <c r="F141" s="175" t="s">
        <v>17253</v>
      </c>
      <c r="G141" s="175">
        <v>600</v>
      </c>
      <c r="H141" s="175" t="s">
        <v>723</v>
      </c>
      <c r="I141" s="175">
        <v>5.5</v>
      </c>
      <c r="J141" s="175">
        <v>12</v>
      </c>
      <c r="K141" s="175">
        <v>2</v>
      </c>
      <c r="L141" s="175">
        <v>3190</v>
      </c>
      <c r="M141" s="175" t="s">
        <v>17315</v>
      </c>
      <c r="N141" s="175">
        <v>8</v>
      </c>
      <c r="O141" s="175">
        <v>1</v>
      </c>
      <c r="P141" s="175">
        <v>3220</v>
      </c>
      <c r="R141" s="175">
        <v>10</v>
      </c>
      <c r="S141" s="175">
        <v>0</v>
      </c>
      <c r="T141" s="175">
        <v>3280</v>
      </c>
      <c r="V141" s="175">
        <v>20</v>
      </c>
      <c r="W141" s="175">
        <v>3</v>
      </c>
      <c r="X141" s="175">
        <v>3200</v>
      </c>
      <c r="Z141" s="175">
        <v>5.0526315789473681</v>
      </c>
      <c r="AA141" s="175">
        <v>33.333333333333336</v>
      </c>
      <c r="AB141" s="175">
        <v>0.99429086538461542</v>
      </c>
      <c r="AC141" s="175">
        <v>32.225000000000001</v>
      </c>
      <c r="AD141" s="175">
        <v>4.166666666666667</v>
      </c>
      <c r="AE141" s="175">
        <v>3.6666666666666665</v>
      </c>
      <c r="AF141" s="175" t="s">
        <v>232</v>
      </c>
      <c r="AG141" s="175">
        <v>2</v>
      </c>
      <c r="AH141" s="175" t="s">
        <v>815</v>
      </c>
      <c r="AI141" s="175" t="s">
        <v>815</v>
      </c>
      <c r="AJ141" s="175" t="s">
        <v>15370</v>
      </c>
      <c r="AK141" s="175" t="s">
        <v>15370</v>
      </c>
      <c r="AL141" s="1159" t="s">
        <v>250</v>
      </c>
      <c r="AM141" s="175" t="s">
        <v>643</v>
      </c>
      <c r="AN141" s="175">
        <v>1.859</v>
      </c>
      <c r="AO141" s="175">
        <v>2.1</v>
      </c>
      <c r="AP141" s="175">
        <v>24</v>
      </c>
      <c r="AQ141" s="175">
        <v>216</v>
      </c>
      <c r="AR141" s="175">
        <v>3.1</v>
      </c>
      <c r="AS141" s="192">
        <v>29874.873599999999</v>
      </c>
    </row>
    <row r="142" spans="1:45" ht="16.5" customHeight="1">
      <c r="A142" s="174">
        <v>46208</v>
      </c>
      <c r="B142" s="175" t="s">
        <v>234</v>
      </c>
      <c r="C142" s="175" t="s">
        <v>632</v>
      </c>
      <c r="E142" s="175" t="s">
        <v>419</v>
      </c>
      <c r="F142" s="175" t="s">
        <v>419</v>
      </c>
      <c r="G142" s="175" t="s">
        <v>419</v>
      </c>
      <c r="H142" s="175" t="s">
        <v>419</v>
      </c>
      <c r="I142" s="175" t="s">
        <v>419</v>
      </c>
      <c r="L142" s="175" t="s">
        <v>632</v>
      </c>
      <c r="P142" s="175" t="s">
        <v>632</v>
      </c>
      <c r="T142" s="175" t="s">
        <v>632</v>
      </c>
      <c r="X142" s="175" t="s">
        <v>632</v>
      </c>
      <c r="Z142" s="175" t="s">
        <v>419</v>
      </c>
      <c r="AA142" s="175" t="s">
        <v>632</v>
      </c>
      <c r="AB142" s="175" t="s">
        <v>419</v>
      </c>
      <c r="AC142" s="175" t="s">
        <v>419</v>
      </c>
      <c r="AD142" s="175" t="s">
        <v>419</v>
      </c>
      <c r="AE142" s="175" t="s">
        <v>419</v>
      </c>
      <c r="AF142" s="175" t="s">
        <v>232</v>
      </c>
      <c r="AG142" s="175">
        <v>1</v>
      </c>
      <c r="AH142" s="175" t="s">
        <v>640</v>
      </c>
      <c r="AI142" s="175" t="s">
        <v>640</v>
      </c>
      <c r="AJ142" s="175" t="s">
        <v>640</v>
      </c>
      <c r="AK142" s="175" t="s">
        <v>640</v>
      </c>
      <c r="AL142" s="1159" t="s">
        <v>419</v>
      </c>
      <c r="AM142" s="175" t="s">
        <v>419</v>
      </c>
      <c r="AN142" s="175" t="s">
        <v>419</v>
      </c>
      <c r="AO142" s="175" t="s">
        <v>419</v>
      </c>
      <c r="AP142" s="175">
        <v>24</v>
      </c>
      <c r="AQ142" s="175">
        <v>216</v>
      </c>
      <c r="AR142" s="175" t="s">
        <v>419</v>
      </c>
      <c r="AS142" s="192" t="s">
        <v>419</v>
      </c>
    </row>
    <row r="143" spans="1:45" ht="16.5" customHeight="1">
      <c r="A143" s="174">
        <v>46208</v>
      </c>
      <c r="B143" s="175" t="s">
        <v>235</v>
      </c>
      <c r="C143" s="175" t="s">
        <v>17289</v>
      </c>
      <c r="D143" s="175" t="s">
        <v>633</v>
      </c>
      <c r="E143" s="175" t="s">
        <v>16719</v>
      </c>
      <c r="F143" s="175" t="s">
        <v>17290</v>
      </c>
      <c r="G143" s="175">
        <v>700</v>
      </c>
      <c r="H143" s="175" t="s">
        <v>776</v>
      </c>
      <c r="I143" s="175">
        <v>5.5</v>
      </c>
      <c r="J143" s="175">
        <v>30</v>
      </c>
      <c r="K143" s="175">
        <v>2</v>
      </c>
      <c r="L143" s="175">
        <v>9260</v>
      </c>
      <c r="M143" s="175">
        <v>9720</v>
      </c>
      <c r="N143" s="175">
        <v>13</v>
      </c>
      <c r="O143" s="175">
        <v>2</v>
      </c>
      <c r="P143" s="175">
        <v>9260</v>
      </c>
      <c r="Q143" s="175">
        <v>9720</v>
      </c>
      <c r="R143" s="175">
        <v>12</v>
      </c>
      <c r="S143" s="175">
        <v>1</v>
      </c>
      <c r="T143" s="175">
        <v>9260</v>
      </c>
      <c r="U143" s="175">
        <v>9720</v>
      </c>
      <c r="V143" s="175">
        <v>33</v>
      </c>
      <c r="W143" s="175">
        <v>4</v>
      </c>
      <c r="X143" s="175">
        <v>9260</v>
      </c>
      <c r="Y143" s="175">
        <v>9540</v>
      </c>
      <c r="Z143" s="175">
        <v>5.8775510204081636</v>
      </c>
      <c r="AA143" s="175">
        <v>29.333333333333332</v>
      </c>
      <c r="AB143" s="175">
        <v>0.99263822115384615</v>
      </c>
      <c r="AC143" s="175">
        <v>94.674999999999997</v>
      </c>
      <c r="AD143" s="175">
        <v>3.6666666666666665</v>
      </c>
      <c r="AE143" s="175">
        <v>3.2916666666666665</v>
      </c>
      <c r="AF143" s="175" t="s">
        <v>236</v>
      </c>
      <c r="AG143" s="175">
        <v>1</v>
      </c>
      <c r="AH143" s="175" t="s">
        <v>638</v>
      </c>
      <c r="AI143" s="175" t="s">
        <v>638</v>
      </c>
      <c r="AJ143" s="175" t="s">
        <v>639</v>
      </c>
      <c r="AK143" s="175" t="s">
        <v>639</v>
      </c>
      <c r="AL143" s="1159" t="s">
        <v>251</v>
      </c>
      <c r="AM143" s="175" t="s">
        <v>460</v>
      </c>
      <c r="AN143" s="175">
        <v>1.1890000000000001</v>
      </c>
      <c r="AO143" s="175">
        <v>3</v>
      </c>
      <c r="AP143" s="175">
        <v>24</v>
      </c>
      <c r="AQ143" s="175">
        <v>216</v>
      </c>
      <c r="AR143" s="175">
        <v>4</v>
      </c>
      <c r="AS143" s="192">
        <v>24655.103999999999</v>
      </c>
    </row>
    <row r="144" spans="1:45" ht="16.5" customHeight="1">
      <c r="A144" s="174">
        <v>46208</v>
      </c>
      <c r="B144" s="175" t="s">
        <v>237</v>
      </c>
      <c r="C144" s="175" t="s">
        <v>17251</v>
      </c>
      <c r="D144" s="175" t="s">
        <v>633</v>
      </c>
      <c r="E144" s="175" t="s">
        <v>16719</v>
      </c>
      <c r="F144" s="175" t="s">
        <v>17253</v>
      </c>
      <c r="G144" s="175">
        <v>700</v>
      </c>
      <c r="H144" s="175" t="s">
        <v>646</v>
      </c>
      <c r="I144" s="175">
        <v>5.5</v>
      </c>
      <c r="J144" s="175">
        <v>45</v>
      </c>
      <c r="K144" s="175">
        <v>0</v>
      </c>
      <c r="L144" s="175">
        <v>7310</v>
      </c>
      <c r="M144" s="175">
        <v>8800</v>
      </c>
      <c r="N144" s="175">
        <v>54</v>
      </c>
      <c r="O144" s="175">
        <v>0</v>
      </c>
      <c r="P144" s="175">
        <v>9440</v>
      </c>
      <c r="Q144" s="175">
        <v>7830</v>
      </c>
      <c r="R144" s="175">
        <v>48</v>
      </c>
      <c r="S144" s="175">
        <v>0</v>
      </c>
      <c r="T144" s="175">
        <v>9350</v>
      </c>
      <c r="U144" s="175">
        <v>9070</v>
      </c>
      <c r="V144" s="175">
        <v>45</v>
      </c>
      <c r="W144" s="175">
        <v>0</v>
      </c>
      <c r="X144" s="175">
        <v>9630</v>
      </c>
      <c r="Y144" s="175">
        <v>9670</v>
      </c>
      <c r="Z144" s="175">
        <v>5.8775510204081636</v>
      </c>
      <c r="AA144" s="175">
        <v>64</v>
      </c>
      <c r="AB144" s="175">
        <v>1</v>
      </c>
      <c r="AC144" s="175">
        <v>88.875</v>
      </c>
      <c r="AD144" s="175">
        <v>8</v>
      </c>
      <c r="AE144" s="175">
        <v>8</v>
      </c>
      <c r="AF144" s="175" t="s">
        <v>236</v>
      </c>
      <c r="AG144" s="175">
        <v>1</v>
      </c>
      <c r="AH144" s="175" t="s">
        <v>15892</v>
      </c>
      <c r="AI144" s="175" t="s">
        <v>15892</v>
      </c>
      <c r="AJ144" s="175" t="s">
        <v>835</v>
      </c>
      <c r="AK144" s="175" t="s">
        <v>835</v>
      </c>
      <c r="AL144" s="1159" t="s">
        <v>250</v>
      </c>
      <c r="AM144" s="175" t="s">
        <v>460</v>
      </c>
      <c r="AN144" s="175">
        <v>1.1890000000000001</v>
      </c>
      <c r="AO144" s="175">
        <v>2.9</v>
      </c>
      <c r="AP144" s="175">
        <v>24</v>
      </c>
      <c r="AQ144" s="175">
        <v>216</v>
      </c>
      <c r="AR144" s="175">
        <v>3.9</v>
      </c>
      <c r="AS144" s="192">
        <v>24038.7264</v>
      </c>
    </row>
    <row r="145" spans="1:45" ht="16.5" customHeight="1">
      <c r="A145" s="174">
        <v>46208</v>
      </c>
      <c r="B145" s="175" t="s">
        <v>238</v>
      </c>
      <c r="C145" s="175" t="s">
        <v>17248</v>
      </c>
      <c r="D145" s="175" t="s">
        <v>633</v>
      </c>
      <c r="E145" s="175" t="s">
        <v>16719</v>
      </c>
      <c r="F145" s="175" t="s">
        <v>17249</v>
      </c>
      <c r="G145" s="175">
        <v>600</v>
      </c>
      <c r="H145" s="175" t="s">
        <v>877</v>
      </c>
      <c r="I145" s="175">
        <v>5.5</v>
      </c>
      <c r="J145" s="175">
        <v>29</v>
      </c>
      <c r="K145" s="175">
        <v>3</v>
      </c>
      <c r="L145" s="175">
        <v>9260</v>
      </c>
      <c r="M145" s="175">
        <v>9810</v>
      </c>
      <c r="N145" s="175">
        <v>12</v>
      </c>
      <c r="O145" s="175">
        <v>2</v>
      </c>
      <c r="P145" s="175">
        <v>9260</v>
      </c>
      <c r="Q145" s="175">
        <v>9720</v>
      </c>
      <c r="R145" s="175">
        <v>2</v>
      </c>
      <c r="S145" s="175">
        <v>0</v>
      </c>
      <c r="T145" s="175">
        <v>9260</v>
      </c>
      <c r="U145" s="175">
        <v>9720</v>
      </c>
      <c r="V145" s="175">
        <v>16</v>
      </c>
      <c r="W145" s="175">
        <v>1</v>
      </c>
      <c r="X145" s="175">
        <v>9260</v>
      </c>
      <c r="Y145" s="175">
        <v>9630</v>
      </c>
      <c r="Z145" s="175">
        <v>5.034965034965035</v>
      </c>
      <c r="AA145" s="175">
        <v>19.666666666666668</v>
      </c>
      <c r="AB145" s="175">
        <v>0.99427083333333333</v>
      </c>
      <c r="AC145" s="175">
        <v>94.9</v>
      </c>
      <c r="AD145" s="175">
        <v>2.4583333333333335</v>
      </c>
      <c r="AE145" s="175">
        <v>2.2083333333333335</v>
      </c>
      <c r="AF145" s="175" t="s">
        <v>236</v>
      </c>
      <c r="AG145" s="175">
        <v>1</v>
      </c>
      <c r="AH145" s="175" t="s">
        <v>638</v>
      </c>
      <c r="AI145" s="175" t="s">
        <v>638</v>
      </c>
      <c r="AJ145" s="175" t="s">
        <v>639</v>
      </c>
      <c r="AK145" s="175" t="s">
        <v>639</v>
      </c>
      <c r="AL145" s="1159" t="s">
        <v>251</v>
      </c>
      <c r="AM145" s="175" t="s">
        <v>460</v>
      </c>
      <c r="AN145" s="175">
        <v>1.1890000000000001</v>
      </c>
      <c r="AO145" s="175">
        <v>3</v>
      </c>
      <c r="AP145" s="175">
        <v>24</v>
      </c>
      <c r="AQ145" s="175">
        <v>216</v>
      </c>
      <c r="AR145" s="175">
        <v>4</v>
      </c>
      <c r="AS145" s="192">
        <v>24655.103999999999</v>
      </c>
    </row>
    <row r="146" spans="1:45" ht="16.5" customHeight="1">
      <c r="A146" s="174">
        <v>46208</v>
      </c>
      <c r="B146" s="175" t="s">
        <v>239</v>
      </c>
      <c r="C146" s="175" t="s">
        <v>17266</v>
      </c>
      <c r="E146" s="175" t="s">
        <v>754</v>
      </c>
      <c r="F146" s="175" t="s">
        <v>17267</v>
      </c>
      <c r="G146" s="175">
        <v>600</v>
      </c>
      <c r="H146" s="175" t="s">
        <v>842</v>
      </c>
      <c r="I146" s="175">
        <v>4</v>
      </c>
      <c r="J146" s="175">
        <v>14</v>
      </c>
      <c r="K146" s="175">
        <v>0</v>
      </c>
      <c r="L146" s="175">
        <v>8890</v>
      </c>
      <c r="N146" s="175">
        <v>12</v>
      </c>
      <c r="O146" s="175">
        <v>0</v>
      </c>
      <c r="P146" s="175">
        <v>9440</v>
      </c>
      <c r="R146" s="175">
        <v>7</v>
      </c>
      <c r="S146" s="175">
        <v>0</v>
      </c>
      <c r="T146" s="175">
        <v>9170</v>
      </c>
      <c r="V146" s="175">
        <v>12</v>
      </c>
      <c r="W146" s="175">
        <v>0</v>
      </c>
      <c r="X146" s="175">
        <v>9260</v>
      </c>
      <c r="Z146" s="175">
        <v>3.6</v>
      </c>
      <c r="AA146" s="175">
        <v>30</v>
      </c>
      <c r="AB146" s="175">
        <v>1</v>
      </c>
      <c r="AC146" s="175">
        <v>91.9</v>
      </c>
      <c r="AD146" s="175">
        <v>3.75</v>
      </c>
      <c r="AE146" s="175">
        <v>3.75</v>
      </c>
      <c r="AF146" s="175" t="s">
        <v>236</v>
      </c>
      <c r="AG146" s="175">
        <v>2</v>
      </c>
      <c r="AH146" s="175" t="s">
        <v>15892</v>
      </c>
      <c r="AI146" s="175" t="s">
        <v>15892</v>
      </c>
      <c r="AJ146" s="175" t="s">
        <v>835</v>
      </c>
      <c r="AK146" s="175" t="s">
        <v>835</v>
      </c>
      <c r="AL146" s="1159" t="s">
        <v>251</v>
      </c>
      <c r="AM146" s="175" t="s">
        <v>126</v>
      </c>
      <c r="AN146" s="175">
        <v>0.91100000000000003</v>
      </c>
      <c r="AO146" s="175">
        <v>1.5</v>
      </c>
      <c r="AP146" s="175">
        <v>24</v>
      </c>
      <c r="AQ146" s="175">
        <v>216</v>
      </c>
      <c r="AR146" s="175">
        <v>2.5</v>
      </c>
      <c r="AS146" s="192">
        <v>11806.560000000001</v>
      </c>
    </row>
    <row r="147" spans="1:45" ht="16.5" customHeight="1">
      <c r="A147" s="174">
        <v>46208</v>
      </c>
      <c r="B147" s="175" t="s">
        <v>239</v>
      </c>
      <c r="C147" s="175" t="s">
        <v>17241</v>
      </c>
      <c r="E147" s="175" t="s">
        <v>16723</v>
      </c>
      <c r="F147" s="175" t="s">
        <v>17243</v>
      </c>
      <c r="G147" s="175">
        <v>550</v>
      </c>
      <c r="H147" s="175" t="s">
        <v>868</v>
      </c>
      <c r="I147" s="175">
        <v>5.5</v>
      </c>
      <c r="J147" s="175">
        <v>20</v>
      </c>
      <c r="K147" s="175">
        <v>0</v>
      </c>
      <c r="M147" s="175">
        <v>9540</v>
      </c>
      <c r="N147" s="175">
        <v>7</v>
      </c>
      <c r="O147" s="175">
        <v>0</v>
      </c>
      <c r="Q147" s="175">
        <v>9820</v>
      </c>
      <c r="R147" s="175">
        <v>9</v>
      </c>
      <c r="S147" s="175">
        <v>0</v>
      </c>
      <c r="U147" s="175">
        <v>9170</v>
      </c>
      <c r="V147" s="175">
        <v>32</v>
      </c>
      <c r="W147" s="175">
        <v>0</v>
      </c>
      <c r="Y147" s="175">
        <v>9630</v>
      </c>
      <c r="Z147" s="175">
        <v>6.6055045871559646</v>
      </c>
      <c r="AA147" s="175">
        <v>45.333333333333336</v>
      </c>
      <c r="AB147" s="175">
        <v>1</v>
      </c>
      <c r="AC147" s="175">
        <v>95.4</v>
      </c>
      <c r="AD147" s="175">
        <v>5.666666666666667</v>
      </c>
      <c r="AE147" s="175">
        <v>5.666666666666667</v>
      </c>
      <c r="AF147" s="175" t="s">
        <v>236</v>
      </c>
      <c r="AG147" s="175">
        <v>2</v>
      </c>
      <c r="AH147" s="175" t="s">
        <v>15892</v>
      </c>
      <c r="AI147" s="175" t="s">
        <v>15892</v>
      </c>
      <c r="AJ147" s="175" t="s">
        <v>835</v>
      </c>
      <c r="AK147" s="175" t="s">
        <v>835</v>
      </c>
      <c r="AM147" s="175" t="s">
        <v>643</v>
      </c>
      <c r="AN147" s="175">
        <v>1.859</v>
      </c>
      <c r="AO147" s="175">
        <v>3.3</v>
      </c>
      <c r="AP147" s="175">
        <v>24</v>
      </c>
      <c r="AQ147" s="175">
        <v>216</v>
      </c>
      <c r="AR147" s="175">
        <v>4.3</v>
      </c>
      <c r="AS147" s="192">
        <v>41439.340799999998</v>
      </c>
    </row>
    <row r="148" spans="1:45" ht="16.5" customHeight="1">
      <c r="A148" s="174">
        <v>46208</v>
      </c>
      <c r="B148" s="175" t="s">
        <v>388</v>
      </c>
      <c r="C148" s="175" t="s">
        <v>17296</v>
      </c>
      <c r="D148" s="175" t="s">
        <v>633</v>
      </c>
      <c r="E148" s="175" t="s">
        <v>16719</v>
      </c>
      <c r="F148" s="175" t="s">
        <v>17290</v>
      </c>
      <c r="G148" s="175">
        <v>700</v>
      </c>
      <c r="H148" s="175" t="s">
        <v>15541</v>
      </c>
      <c r="I148" s="175">
        <v>5.5</v>
      </c>
      <c r="J148" s="175">
        <v>16</v>
      </c>
      <c r="K148" s="175">
        <v>1</v>
      </c>
      <c r="L148" s="175" t="s">
        <v>17315</v>
      </c>
      <c r="M148" s="175">
        <v>10000</v>
      </c>
      <c r="N148" s="175">
        <v>10</v>
      </c>
      <c r="O148" s="175">
        <v>0</v>
      </c>
      <c r="P148" s="175" t="s">
        <v>632</v>
      </c>
      <c r="Q148" s="175">
        <v>10000</v>
      </c>
      <c r="R148" s="175">
        <v>7</v>
      </c>
      <c r="S148" s="175">
        <v>0</v>
      </c>
      <c r="T148" s="175" t="s">
        <v>632</v>
      </c>
      <c r="U148" s="175">
        <v>10000</v>
      </c>
      <c r="V148" s="175">
        <v>6</v>
      </c>
      <c r="W148" s="175">
        <v>1</v>
      </c>
      <c r="X148" s="175" t="s">
        <v>632</v>
      </c>
      <c r="Y148" s="175">
        <v>9810</v>
      </c>
      <c r="Z148" s="175">
        <v>5.8299595141700413</v>
      </c>
      <c r="AA148" s="175">
        <v>26</v>
      </c>
      <c r="AB148" s="175">
        <v>0.99835069444444446</v>
      </c>
      <c r="AC148" s="175">
        <v>99.525000000000006</v>
      </c>
      <c r="AD148" s="175">
        <v>3.25</v>
      </c>
      <c r="AE148" s="175">
        <v>3.0833333333333335</v>
      </c>
      <c r="AF148" s="175" t="s">
        <v>236</v>
      </c>
      <c r="AG148" s="175">
        <v>2</v>
      </c>
      <c r="AH148" s="175" t="s">
        <v>638</v>
      </c>
      <c r="AI148" s="175" t="s">
        <v>638</v>
      </c>
      <c r="AJ148" s="175" t="s">
        <v>639</v>
      </c>
      <c r="AK148" s="175" t="s">
        <v>639</v>
      </c>
      <c r="AL148" s="1159" t="s">
        <v>251</v>
      </c>
      <c r="AM148" s="175" t="s">
        <v>460</v>
      </c>
      <c r="AN148" s="175">
        <v>1.1890000000000001</v>
      </c>
      <c r="AO148" s="175">
        <v>2.8</v>
      </c>
      <c r="AP148" s="175">
        <v>24</v>
      </c>
      <c r="AQ148" s="175">
        <v>216</v>
      </c>
      <c r="AR148" s="175">
        <v>3.8</v>
      </c>
      <c r="AS148" s="192">
        <v>23422.3488</v>
      </c>
    </row>
    <row r="149" spans="1:45" ht="16.5" customHeight="1">
      <c r="A149" s="174">
        <v>46208</v>
      </c>
      <c r="B149" s="175" t="s">
        <v>417</v>
      </c>
      <c r="C149" s="175" t="s">
        <v>17291</v>
      </c>
      <c r="D149" s="175" t="s">
        <v>633</v>
      </c>
      <c r="E149" s="175" t="s">
        <v>16719</v>
      </c>
      <c r="F149" s="175" t="s">
        <v>17290</v>
      </c>
      <c r="G149" s="175">
        <v>700</v>
      </c>
      <c r="H149" s="175" t="s">
        <v>724</v>
      </c>
      <c r="I149" s="175">
        <v>5.5</v>
      </c>
      <c r="J149" s="175">
        <v>22</v>
      </c>
      <c r="K149" s="175">
        <v>0</v>
      </c>
      <c r="L149" s="175">
        <v>9260</v>
      </c>
      <c r="M149" s="175">
        <v>8700</v>
      </c>
      <c r="N149" s="175">
        <v>20</v>
      </c>
      <c r="O149" s="175">
        <v>0</v>
      </c>
      <c r="P149" s="175">
        <v>10000</v>
      </c>
      <c r="Q149" s="175">
        <v>9440</v>
      </c>
      <c r="R149" s="175">
        <v>11</v>
      </c>
      <c r="S149" s="175">
        <v>0</v>
      </c>
      <c r="T149" s="175">
        <v>9070</v>
      </c>
      <c r="U149" s="175">
        <v>8890</v>
      </c>
      <c r="V149" s="175">
        <v>40</v>
      </c>
      <c r="W149" s="175">
        <v>0</v>
      </c>
      <c r="X149" s="175">
        <v>9260</v>
      </c>
      <c r="Y149" s="175">
        <v>9350</v>
      </c>
      <c r="Z149" s="175">
        <v>5.8299595141700413</v>
      </c>
      <c r="AA149" s="175">
        <v>31</v>
      </c>
      <c r="AB149" s="175">
        <v>1</v>
      </c>
      <c r="AC149" s="175">
        <v>92.462500000000006</v>
      </c>
      <c r="AD149" s="175">
        <v>3.875</v>
      </c>
      <c r="AE149" s="175">
        <v>3.875</v>
      </c>
      <c r="AF149" s="175" t="s">
        <v>236</v>
      </c>
      <c r="AG149" s="175">
        <v>1</v>
      </c>
      <c r="AH149" s="175" t="s">
        <v>15892</v>
      </c>
      <c r="AI149" s="175" t="s">
        <v>15892</v>
      </c>
      <c r="AJ149" s="175" t="s">
        <v>835</v>
      </c>
      <c r="AK149" s="175" t="s">
        <v>835</v>
      </c>
      <c r="AL149" s="1159" t="s">
        <v>251</v>
      </c>
      <c r="AM149" s="175" t="s">
        <v>460</v>
      </c>
      <c r="AN149" s="175">
        <v>1.1890000000000001</v>
      </c>
      <c r="AO149" s="175">
        <v>2.8</v>
      </c>
      <c r="AP149" s="175">
        <v>24</v>
      </c>
      <c r="AQ149" s="175">
        <v>216</v>
      </c>
      <c r="AR149" s="175">
        <v>3.8</v>
      </c>
      <c r="AS149" s="192">
        <v>23422.3488</v>
      </c>
    </row>
    <row r="150" spans="1:45" ht="16.5" customHeight="1">
      <c r="A150" s="174">
        <v>46208</v>
      </c>
      <c r="B150" s="175" t="s">
        <v>240</v>
      </c>
      <c r="C150" s="175" t="s">
        <v>632</v>
      </c>
      <c r="E150" s="175" t="s">
        <v>419</v>
      </c>
      <c r="F150" s="175" t="s">
        <v>419</v>
      </c>
      <c r="G150" s="175" t="s">
        <v>419</v>
      </c>
      <c r="H150" s="175" t="s">
        <v>419</v>
      </c>
      <c r="I150" s="175" t="s">
        <v>419</v>
      </c>
      <c r="L150" s="175" t="s">
        <v>632</v>
      </c>
      <c r="P150" s="175" t="s">
        <v>632</v>
      </c>
      <c r="T150" s="175" t="s">
        <v>632</v>
      </c>
      <c r="X150" s="175" t="s">
        <v>632</v>
      </c>
      <c r="Z150" s="175" t="s">
        <v>419</v>
      </c>
      <c r="AA150" s="175" t="s">
        <v>632</v>
      </c>
      <c r="AB150" s="175" t="s">
        <v>419</v>
      </c>
      <c r="AC150" s="175" t="s">
        <v>419</v>
      </c>
      <c r="AD150" s="175" t="s">
        <v>419</v>
      </c>
      <c r="AE150" s="175" t="s">
        <v>419</v>
      </c>
      <c r="AF150" s="175" t="s">
        <v>241</v>
      </c>
      <c r="AG150" s="175">
        <v>12</v>
      </c>
      <c r="AH150" s="175" t="s">
        <v>640</v>
      </c>
      <c r="AI150" s="175" t="s">
        <v>640</v>
      </c>
      <c r="AJ150" s="175" t="s">
        <v>640</v>
      </c>
      <c r="AK150" s="175" t="s">
        <v>640</v>
      </c>
      <c r="AL150" s="1159" t="s">
        <v>419</v>
      </c>
      <c r="AM150" s="175" t="s">
        <v>419</v>
      </c>
      <c r="AN150" s="175" t="s">
        <v>419</v>
      </c>
      <c r="AO150" s="175" t="s">
        <v>419</v>
      </c>
      <c r="AP150" s="175">
        <v>24</v>
      </c>
      <c r="AQ150" s="175">
        <v>216</v>
      </c>
      <c r="AR150" s="175" t="s">
        <v>419</v>
      </c>
      <c r="AS150" s="192" t="s">
        <v>419</v>
      </c>
    </row>
    <row r="151" spans="1:45" ht="16.5" customHeight="1">
      <c r="A151" s="174">
        <v>46208</v>
      </c>
      <c r="B151" s="175" t="s">
        <v>242</v>
      </c>
      <c r="C151" s="175" t="s">
        <v>385</v>
      </c>
      <c r="E151" s="175" t="s">
        <v>419</v>
      </c>
      <c r="F151" s="175" t="s">
        <v>419</v>
      </c>
      <c r="G151" s="175" t="s">
        <v>419</v>
      </c>
      <c r="H151" s="175" t="s">
        <v>419</v>
      </c>
      <c r="I151" s="175" t="s">
        <v>419</v>
      </c>
      <c r="L151" s="175" t="s">
        <v>385</v>
      </c>
      <c r="P151" s="175" t="s">
        <v>385</v>
      </c>
      <c r="T151" s="175" t="s">
        <v>385</v>
      </c>
      <c r="X151" s="175" t="s">
        <v>385</v>
      </c>
      <c r="Z151" s="175" t="s">
        <v>419</v>
      </c>
      <c r="AA151" s="175" t="s">
        <v>385</v>
      </c>
      <c r="AB151" s="175" t="s">
        <v>419</v>
      </c>
      <c r="AC151" s="175" t="s">
        <v>419</v>
      </c>
      <c r="AD151" s="175" t="s">
        <v>419</v>
      </c>
      <c r="AE151" s="175" t="s">
        <v>419</v>
      </c>
      <c r="AF151" s="175" t="s">
        <v>241</v>
      </c>
      <c r="AG151" s="175">
        <v>5</v>
      </c>
      <c r="AH151" s="175" t="s">
        <v>634</v>
      </c>
      <c r="AI151" s="175" t="s">
        <v>634</v>
      </c>
      <c r="AJ151" s="175" t="s">
        <v>635</v>
      </c>
      <c r="AK151" s="175" t="s">
        <v>635</v>
      </c>
      <c r="AL151" s="1159" t="s">
        <v>419</v>
      </c>
      <c r="AM151" s="175" t="s">
        <v>419</v>
      </c>
      <c r="AN151" s="175" t="s">
        <v>419</v>
      </c>
      <c r="AO151" s="175" t="s">
        <v>419</v>
      </c>
      <c r="AP151" s="175">
        <v>24</v>
      </c>
      <c r="AQ151" s="175">
        <v>216</v>
      </c>
      <c r="AR151" s="175" t="s">
        <v>419</v>
      </c>
      <c r="AS151" s="192" t="s">
        <v>419</v>
      </c>
    </row>
    <row r="152" spans="1:45" ht="16.5" customHeight="1">
      <c r="A152" s="174">
        <v>46209</v>
      </c>
      <c r="B152" s="175" t="s">
        <v>212</v>
      </c>
      <c r="C152" s="175" t="s">
        <v>632</v>
      </c>
      <c r="E152" s="175" t="s">
        <v>419</v>
      </c>
      <c r="F152" s="175" t="s">
        <v>419</v>
      </c>
      <c r="G152" s="175" t="s">
        <v>419</v>
      </c>
      <c r="H152" s="175" t="s">
        <v>419</v>
      </c>
      <c r="I152" s="175" t="s">
        <v>419</v>
      </c>
      <c r="L152" s="175" t="s">
        <v>632</v>
      </c>
      <c r="P152" s="175" t="s">
        <v>632</v>
      </c>
      <c r="T152" s="175" t="s">
        <v>632</v>
      </c>
      <c r="X152" s="175" t="s">
        <v>632</v>
      </c>
      <c r="Z152" s="175" t="s">
        <v>419</v>
      </c>
      <c r="AA152" s="175" t="s">
        <v>632</v>
      </c>
      <c r="AB152" s="175" t="s">
        <v>419</v>
      </c>
      <c r="AC152" s="175" t="s">
        <v>419</v>
      </c>
      <c r="AD152" s="175" t="s">
        <v>419</v>
      </c>
      <c r="AE152" s="175" t="s">
        <v>419</v>
      </c>
      <c r="AF152" s="175" t="s">
        <v>213</v>
      </c>
      <c r="AG152" s="175">
        <v>1</v>
      </c>
      <c r="AH152" s="175" t="s">
        <v>640</v>
      </c>
      <c r="AI152" s="175" t="s">
        <v>640</v>
      </c>
      <c r="AJ152" s="175" t="s">
        <v>640</v>
      </c>
      <c r="AK152" s="175" t="s">
        <v>640</v>
      </c>
      <c r="AL152" s="1159" t="s">
        <v>419</v>
      </c>
      <c r="AM152" s="175" t="s">
        <v>419</v>
      </c>
      <c r="AN152" s="175" t="s">
        <v>419</v>
      </c>
      <c r="AO152" s="175" t="s">
        <v>419</v>
      </c>
      <c r="AP152" s="175">
        <v>24</v>
      </c>
      <c r="AQ152" s="175">
        <v>216</v>
      </c>
      <c r="AR152" s="175" t="s">
        <v>419</v>
      </c>
      <c r="AS152" s="192" t="s">
        <v>419</v>
      </c>
    </row>
    <row r="153" spans="1:45" ht="16.5" customHeight="1">
      <c r="A153" s="174">
        <v>46209</v>
      </c>
      <c r="B153" s="175" t="s">
        <v>214</v>
      </c>
      <c r="C153" s="175" t="s">
        <v>632</v>
      </c>
      <c r="E153" s="175" t="s">
        <v>419</v>
      </c>
      <c r="F153" s="175" t="s">
        <v>419</v>
      </c>
      <c r="G153" s="175" t="s">
        <v>419</v>
      </c>
      <c r="H153" s="175" t="s">
        <v>419</v>
      </c>
      <c r="I153" s="175" t="s">
        <v>419</v>
      </c>
      <c r="L153" s="175" t="s">
        <v>632</v>
      </c>
      <c r="P153" s="175" t="s">
        <v>632</v>
      </c>
      <c r="T153" s="175" t="s">
        <v>632</v>
      </c>
      <c r="X153" s="175" t="s">
        <v>632</v>
      </c>
      <c r="Z153" s="175" t="s">
        <v>419</v>
      </c>
      <c r="AA153" s="175" t="s">
        <v>632</v>
      </c>
      <c r="AB153" s="175" t="s">
        <v>419</v>
      </c>
      <c r="AC153" s="175" t="s">
        <v>419</v>
      </c>
      <c r="AD153" s="175" t="s">
        <v>419</v>
      </c>
      <c r="AE153" s="175" t="s">
        <v>419</v>
      </c>
      <c r="AF153" s="175" t="s">
        <v>213</v>
      </c>
      <c r="AG153" s="175">
        <v>1</v>
      </c>
      <c r="AH153" s="175" t="s">
        <v>640</v>
      </c>
      <c r="AI153" s="175" t="s">
        <v>640</v>
      </c>
      <c r="AJ153" s="175" t="s">
        <v>640</v>
      </c>
      <c r="AK153" s="175" t="s">
        <v>640</v>
      </c>
      <c r="AL153" s="1159" t="s">
        <v>419</v>
      </c>
      <c r="AM153" s="175" t="s">
        <v>419</v>
      </c>
      <c r="AN153" s="175" t="s">
        <v>419</v>
      </c>
      <c r="AO153" s="175" t="s">
        <v>419</v>
      </c>
      <c r="AP153" s="175">
        <v>24</v>
      </c>
      <c r="AQ153" s="175">
        <v>216</v>
      </c>
      <c r="AR153" s="175" t="s">
        <v>419</v>
      </c>
      <c r="AS153" s="192" t="s">
        <v>419</v>
      </c>
    </row>
    <row r="154" spans="1:45" ht="16.5" customHeight="1">
      <c r="A154" s="174">
        <v>46209</v>
      </c>
      <c r="B154" s="175" t="s">
        <v>215</v>
      </c>
      <c r="C154" s="175" t="s">
        <v>17316</v>
      </c>
      <c r="E154" s="175" t="s">
        <v>5005</v>
      </c>
      <c r="F154" s="175" t="s">
        <v>17317</v>
      </c>
      <c r="G154" s="175">
        <v>500</v>
      </c>
      <c r="H154" s="175" t="s">
        <v>1186</v>
      </c>
      <c r="I154" s="175">
        <v>4</v>
      </c>
      <c r="J154" s="175">
        <v>50</v>
      </c>
      <c r="K154" s="175">
        <v>0</v>
      </c>
      <c r="L154" s="175">
        <v>7975</v>
      </c>
      <c r="M154" s="175">
        <v>6629</v>
      </c>
      <c r="N154" s="175">
        <v>38</v>
      </c>
      <c r="O154" s="175">
        <v>0</v>
      </c>
      <c r="P154" s="175">
        <v>7034</v>
      </c>
      <c r="Q154" s="175">
        <v>8484</v>
      </c>
      <c r="R154" s="175">
        <v>18</v>
      </c>
      <c r="S154" s="175">
        <v>2</v>
      </c>
      <c r="T154" s="175">
        <v>8510</v>
      </c>
      <c r="U154" s="175">
        <v>7140</v>
      </c>
      <c r="V154" s="175">
        <v>38</v>
      </c>
      <c r="W154" s="175">
        <v>8</v>
      </c>
      <c r="X154" s="175">
        <v>8661</v>
      </c>
      <c r="Y154" s="175">
        <v>8025</v>
      </c>
      <c r="Z154" s="175">
        <v>2.9937629937629939</v>
      </c>
      <c r="AA154" s="175">
        <v>48</v>
      </c>
      <c r="AB154" s="175">
        <v>0.98394097222222221</v>
      </c>
      <c r="AC154" s="175">
        <v>78.072500000000005</v>
      </c>
      <c r="AD154" s="175">
        <v>6</v>
      </c>
      <c r="AE154" s="175">
        <v>5.583333333333333</v>
      </c>
      <c r="AF154" s="175" t="s">
        <v>213</v>
      </c>
      <c r="AG154" s="175">
        <v>1</v>
      </c>
      <c r="AH154" s="175" t="s">
        <v>629</v>
      </c>
      <c r="AI154" s="175" t="s">
        <v>629</v>
      </c>
      <c r="AJ154" s="175" t="s">
        <v>635</v>
      </c>
      <c r="AK154" s="175" t="s">
        <v>635</v>
      </c>
      <c r="AL154" s="1159" t="s">
        <v>250</v>
      </c>
      <c r="AM154" s="175" t="s">
        <v>126</v>
      </c>
      <c r="AN154" s="175">
        <v>0.91100000000000003</v>
      </c>
      <c r="AO154" s="175">
        <v>1.9</v>
      </c>
      <c r="AP154" s="175">
        <v>24</v>
      </c>
      <c r="AQ154" s="175">
        <v>216</v>
      </c>
      <c r="AR154" s="175">
        <v>2.9</v>
      </c>
      <c r="AS154" s="192">
        <v>13695.6096</v>
      </c>
    </row>
    <row r="155" spans="1:45" ht="16.5" customHeight="1">
      <c r="A155" s="174">
        <v>46209</v>
      </c>
      <c r="B155" s="175" t="s">
        <v>216</v>
      </c>
      <c r="C155" s="175" t="s">
        <v>632</v>
      </c>
      <c r="E155" s="175" t="s">
        <v>419</v>
      </c>
      <c r="F155" s="175" t="s">
        <v>419</v>
      </c>
      <c r="G155" s="175" t="s">
        <v>419</v>
      </c>
      <c r="H155" s="175" t="s">
        <v>419</v>
      </c>
      <c r="I155" s="175" t="s">
        <v>419</v>
      </c>
      <c r="L155" s="175" t="s">
        <v>632</v>
      </c>
      <c r="P155" s="175" t="s">
        <v>632</v>
      </c>
      <c r="T155" s="175" t="s">
        <v>632</v>
      </c>
      <c r="X155" s="175" t="s">
        <v>632</v>
      </c>
      <c r="Z155" s="175" t="s">
        <v>419</v>
      </c>
      <c r="AA155" s="175" t="s">
        <v>632</v>
      </c>
      <c r="AB155" s="175" t="s">
        <v>419</v>
      </c>
      <c r="AC155" s="175" t="s">
        <v>419</v>
      </c>
      <c r="AD155" s="175" t="s">
        <v>419</v>
      </c>
      <c r="AE155" s="175" t="s">
        <v>419</v>
      </c>
      <c r="AF155" s="175" t="s">
        <v>213</v>
      </c>
      <c r="AG155" s="175">
        <v>1</v>
      </c>
      <c r="AH155" s="175" t="s">
        <v>640</v>
      </c>
      <c r="AI155" s="175" t="s">
        <v>640</v>
      </c>
      <c r="AJ155" s="175" t="s">
        <v>640</v>
      </c>
      <c r="AK155" s="175" t="s">
        <v>640</v>
      </c>
      <c r="AL155" s="1159" t="s">
        <v>419</v>
      </c>
      <c r="AM155" s="175" t="s">
        <v>419</v>
      </c>
      <c r="AN155" s="175" t="s">
        <v>419</v>
      </c>
      <c r="AO155" s="175" t="s">
        <v>419</v>
      </c>
      <c r="AP155" s="175">
        <v>24</v>
      </c>
      <c r="AQ155" s="175">
        <v>216</v>
      </c>
      <c r="AR155" s="175" t="s">
        <v>419</v>
      </c>
      <c r="AS155" s="192" t="s">
        <v>419</v>
      </c>
    </row>
    <row r="156" spans="1:45" ht="16.5" customHeight="1">
      <c r="A156" s="174">
        <v>46209</v>
      </c>
      <c r="B156" s="175" t="s">
        <v>217</v>
      </c>
      <c r="C156" s="175" t="s">
        <v>632</v>
      </c>
      <c r="E156" s="175" t="s">
        <v>419</v>
      </c>
      <c r="F156" s="175" t="s">
        <v>419</v>
      </c>
      <c r="G156" s="175" t="s">
        <v>419</v>
      </c>
      <c r="H156" s="175" t="s">
        <v>419</v>
      </c>
      <c r="I156" s="175" t="s">
        <v>419</v>
      </c>
      <c r="L156" s="175" t="s">
        <v>632</v>
      </c>
      <c r="P156" s="175" t="s">
        <v>632</v>
      </c>
      <c r="T156" s="175" t="s">
        <v>632</v>
      </c>
      <c r="X156" s="175" t="s">
        <v>632</v>
      </c>
      <c r="Z156" s="175" t="s">
        <v>419</v>
      </c>
      <c r="AA156" s="175" t="s">
        <v>632</v>
      </c>
      <c r="AB156" s="175" t="s">
        <v>419</v>
      </c>
      <c r="AC156" s="175" t="s">
        <v>419</v>
      </c>
      <c r="AD156" s="175" t="s">
        <v>419</v>
      </c>
      <c r="AE156" s="175" t="s">
        <v>419</v>
      </c>
      <c r="AF156" s="175" t="s">
        <v>213</v>
      </c>
      <c r="AG156" s="175">
        <v>1</v>
      </c>
      <c r="AH156" s="175" t="s">
        <v>640</v>
      </c>
      <c r="AI156" s="175" t="s">
        <v>640</v>
      </c>
      <c r="AJ156" s="175" t="s">
        <v>640</v>
      </c>
      <c r="AK156" s="175" t="s">
        <v>640</v>
      </c>
      <c r="AL156" s="1159" t="s">
        <v>419</v>
      </c>
      <c r="AM156" s="175" t="s">
        <v>419</v>
      </c>
      <c r="AN156" s="175" t="s">
        <v>419</v>
      </c>
      <c r="AO156" s="175" t="s">
        <v>419</v>
      </c>
      <c r="AP156" s="175">
        <v>24</v>
      </c>
      <c r="AQ156" s="175">
        <v>216</v>
      </c>
      <c r="AR156" s="175" t="s">
        <v>419</v>
      </c>
      <c r="AS156" s="192" t="s">
        <v>419</v>
      </c>
    </row>
    <row r="157" spans="1:45" ht="16.5" customHeight="1">
      <c r="A157" s="174">
        <v>46209</v>
      </c>
      <c r="B157" s="175" t="s">
        <v>218</v>
      </c>
      <c r="C157" s="175" t="s">
        <v>17221</v>
      </c>
      <c r="E157" s="175" t="s">
        <v>17237</v>
      </c>
      <c r="F157" s="175" t="s">
        <v>17229</v>
      </c>
      <c r="G157" s="175">
        <v>600</v>
      </c>
      <c r="H157" s="175" t="s">
        <v>15893</v>
      </c>
      <c r="I157" s="175">
        <v>5</v>
      </c>
      <c r="J157" s="175">
        <v>24</v>
      </c>
      <c r="K157" s="175">
        <v>0</v>
      </c>
      <c r="L157" s="175">
        <v>8452</v>
      </c>
      <c r="M157" s="175">
        <v>9186</v>
      </c>
      <c r="N157" s="175">
        <v>4</v>
      </c>
      <c r="O157" s="175">
        <v>0</v>
      </c>
      <c r="P157" s="175">
        <v>8704</v>
      </c>
      <c r="Q157" s="175">
        <v>9435</v>
      </c>
      <c r="R157" s="175">
        <v>0</v>
      </c>
      <c r="S157" s="175">
        <v>0</v>
      </c>
      <c r="T157" s="175">
        <v>8805</v>
      </c>
      <c r="U157" s="175">
        <v>9410</v>
      </c>
      <c r="V157" s="175">
        <v>8</v>
      </c>
      <c r="W157" s="175">
        <v>2</v>
      </c>
      <c r="X157" s="175">
        <v>8771</v>
      </c>
      <c r="Y157" s="175">
        <v>9424</v>
      </c>
      <c r="Z157" s="175">
        <v>2.8015564202334629</v>
      </c>
      <c r="AA157" s="175">
        <v>6</v>
      </c>
      <c r="AB157" s="175">
        <v>0.99656784188034186</v>
      </c>
      <c r="AC157" s="175">
        <v>90.233750000000001</v>
      </c>
      <c r="AD157" s="175">
        <v>0.75</v>
      </c>
      <c r="AE157" s="175">
        <v>0.70833333333333337</v>
      </c>
      <c r="AF157" s="175" t="s">
        <v>213</v>
      </c>
      <c r="AG157" s="175">
        <v>0.5</v>
      </c>
      <c r="AH157" s="175" t="s">
        <v>629</v>
      </c>
      <c r="AI157" s="175" t="s">
        <v>629</v>
      </c>
      <c r="AJ157" s="175" t="s">
        <v>635</v>
      </c>
      <c r="AK157" s="175" t="s">
        <v>635</v>
      </c>
      <c r="AL157" s="1159" t="s">
        <v>250</v>
      </c>
      <c r="AM157" s="175" t="s">
        <v>126</v>
      </c>
      <c r="AN157" s="175">
        <v>0.91100000000000003</v>
      </c>
      <c r="AO157" s="175">
        <v>1.7</v>
      </c>
      <c r="AP157" s="175">
        <v>24</v>
      </c>
      <c r="AQ157" s="175">
        <v>216</v>
      </c>
      <c r="AR157" s="175">
        <v>2.7</v>
      </c>
      <c r="AS157" s="192">
        <v>12751.084800000001</v>
      </c>
    </row>
    <row r="158" spans="1:45" ht="16.5" customHeight="1">
      <c r="A158" s="174">
        <v>46209</v>
      </c>
      <c r="B158" s="175" t="s">
        <v>219</v>
      </c>
      <c r="C158" s="175" t="s">
        <v>632</v>
      </c>
      <c r="E158" s="175" t="s">
        <v>419</v>
      </c>
      <c r="F158" s="175" t="s">
        <v>419</v>
      </c>
      <c r="G158" s="175" t="s">
        <v>419</v>
      </c>
      <c r="H158" s="175" t="s">
        <v>419</v>
      </c>
      <c r="I158" s="175" t="s">
        <v>419</v>
      </c>
      <c r="L158" s="175" t="s">
        <v>632</v>
      </c>
      <c r="P158" s="175" t="s">
        <v>632</v>
      </c>
      <c r="T158" s="175" t="s">
        <v>632</v>
      </c>
      <c r="X158" s="175" t="s">
        <v>632</v>
      </c>
      <c r="Z158" s="175" t="s">
        <v>419</v>
      </c>
      <c r="AA158" s="175" t="s">
        <v>632</v>
      </c>
      <c r="AB158" s="175" t="s">
        <v>419</v>
      </c>
      <c r="AC158" s="175" t="s">
        <v>419</v>
      </c>
      <c r="AD158" s="175" t="s">
        <v>419</v>
      </c>
      <c r="AE158" s="175" t="s">
        <v>419</v>
      </c>
      <c r="AF158" s="175" t="s">
        <v>213</v>
      </c>
      <c r="AG158" s="175">
        <v>1</v>
      </c>
      <c r="AH158" s="175" t="s">
        <v>640</v>
      </c>
      <c r="AI158" s="175" t="s">
        <v>640</v>
      </c>
      <c r="AJ158" s="175" t="s">
        <v>640</v>
      </c>
      <c r="AK158" s="175" t="s">
        <v>640</v>
      </c>
      <c r="AL158" s="1159" t="s">
        <v>419</v>
      </c>
      <c r="AM158" s="175" t="s">
        <v>419</v>
      </c>
      <c r="AN158" s="175" t="s">
        <v>419</v>
      </c>
      <c r="AO158" s="175" t="s">
        <v>419</v>
      </c>
      <c r="AP158" s="175">
        <v>24</v>
      </c>
      <c r="AQ158" s="175">
        <v>216</v>
      </c>
      <c r="AR158" s="175" t="s">
        <v>419</v>
      </c>
      <c r="AS158" s="192" t="s">
        <v>419</v>
      </c>
    </row>
    <row r="159" spans="1:45" ht="16.5" customHeight="1">
      <c r="A159" s="174">
        <v>46209</v>
      </c>
      <c r="B159" s="175" t="s">
        <v>220</v>
      </c>
      <c r="C159" s="175" t="s">
        <v>632</v>
      </c>
      <c r="E159" s="175" t="s">
        <v>419</v>
      </c>
      <c r="F159" s="175" t="s">
        <v>419</v>
      </c>
      <c r="G159" s="175" t="s">
        <v>419</v>
      </c>
      <c r="H159" s="175" t="s">
        <v>419</v>
      </c>
      <c r="I159" s="175" t="s">
        <v>419</v>
      </c>
      <c r="L159" s="175" t="s">
        <v>632</v>
      </c>
      <c r="P159" s="175" t="s">
        <v>632</v>
      </c>
      <c r="T159" s="175" t="s">
        <v>632</v>
      </c>
      <c r="X159" s="175" t="s">
        <v>632</v>
      </c>
      <c r="Z159" s="175" t="s">
        <v>419</v>
      </c>
      <c r="AA159" s="175" t="s">
        <v>632</v>
      </c>
      <c r="AB159" s="175" t="s">
        <v>419</v>
      </c>
      <c r="AC159" s="175" t="s">
        <v>419</v>
      </c>
      <c r="AD159" s="175" t="s">
        <v>419</v>
      </c>
      <c r="AE159" s="175" t="s">
        <v>419</v>
      </c>
      <c r="AF159" s="175" t="s">
        <v>213</v>
      </c>
      <c r="AG159" s="175">
        <v>1</v>
      </c>
      <c r="AH159" s="175" t="s">
        <v>640</v>
      </c>
      <c r="AI159" s="175" t="s">
        <v>640</v>
      </c>
      <c r="AJ159" s="175" t="s">
        <v>640</v>
      </c>
      <c r="AK159" s="175" t="s">
        <v>640</v>
      </c>
      <c r="AL159" s="1159" t="s">
        <v>419</v>
      </c>
      <c r="AM159" s="175" t="s">
        <v>419</v>
      </c>
      <c r="AN159" s="175" t="s">
        <v>419</v>
      </c>
      <c r="AO159" s="175" t="s">
        <v>419</v>
      </c>
      <c r="AP159" s="175">
        <v>24</v>
      </c>
      <c r="AQ159" s="175">
        <v>216</v>
      </c>
      <c r="AR159" s="175" t="s">
        <v>419</v>
      </c>
      <c r="AS159" s="192" t="s">
        <v>419</v>
      </c>
    </row>
    <row r="160" spans="1:45" ht="16.5" customHeight="1">
      <c r="A160" s="174">
        <v>46209</v>
      </c>
      <c r="B160" s="175" t="s">
        <v>221</v>
      </c>
      <c r="C160" s="175" t="s">
        <v>632</v>
      </c>
      <c r="E160" s="175" t="s">
        <v>419</v>
      </c>
      <c r="F160" s="175" t="s">
        <v>419</v>
      </c>
      <c r="G160" s="175" t="s">
        <v>419</v>
      </c>
      <c r="H160" s="175" t="s">
        <v>419</v>
      </c>
      <c r="I160" s="175" t="s">
        <v>419</v>
      </c>
      <c r="L160" s="175" t="s">
        <v>632</v>
      </c>
      <c r="P160" s="175" t="s">
        <v>632</v>
      </c>
      <c r="T160" s="175" t="s">
        <v>632</v>
      </c>
      <c r="X160" s="175" t="s">
        <v>632</v>
      </c>
      <c r="Z160" s="175" t="s">
        <v>419</v>
      </c>
      <c r="AA160" s="175" t="s">
        <v>632</v>
      </c>
      <c r="AB160" s="175" t="s">
        <v>419</v>
      </c>
      <c r="AC160" s="175" t="s">
        <v>419</v>
      </c>
      <c r="AD160" s="175" t="s">
        <v>419</v>
      </c>
      <c r="AE160" s="175" t="s">
        <v>419</v>
      </c>
      <c r="AF160" s="175" t="s">
        <v>213</v>
      </c>
      <c r="AG160" s="175">
        <v>1</v>
      </c>
      <c r="AH160" s="175" t="s">
        <v>640</v>
      </c>
      <c r="AI160" s="175" t="s">
        <v>640</v>
      </c>
      <c r="AJ160" s="175" t="s">
        <v>640</v>
      </c>
      <c r="AK160" s="175" t="s">
        <v>640</v>
      </c>
      <c r="AL160" s="1159" t="s">
        <v>419</v>
      </c>
      <c r="AM160" s="175" t="s">
        <v>419</v>
      </c>
      <c r="AN160" s="175" t="s">
        <v>419</v>
      </c>
      <c r="AO160" s="175" t="s">
        <v>419</v>
      </c>
      <c r="AP160" s="175">
        <v>24</v>
      </c>
      <c r="AQ160" s="175">
        <v>216</v>
      </c>
      <c r="AR160" s="175" t="s">
        <v>419</v>
      </c>
      <c r="AS160" s="192" t="s">
        <v>419</v>
      </c>
    </row>
    <row r="161" spans="1:45" ht="16.5" customHeight="1">
      <c r="A161" s="174">
        <v>46209</v>
      </c>
      <c r="B161" s="175" t="s">
        <v>222</v>
      </c>
      <c r="C161" s="175" t="s">
        <v>17261</v>
      </c>
      <c r="D161" s="175" t="s">
        <v>16748</v>
      </c>
      <c r="E161" s="175" t="s">
        <v>17177</v>
      </c>
      <c r="F161" s="175" t="s">
        <v>17262</v>
      </c>
      <c r="G161" s="175">
        <v>550</v>
      </c>
      <c r="H161" s="175" t="s">
        <v>762</v>
      </c>
      <c r="I161" s="175">
        <v>2</v>
      </c>
      <c r="J161" s="175">
        <v>15</v>
      </c>
      <c r="K161" s="175">
        <v>0</v>
      </c>
      <c r="L161" s="175">
        <v>8735</v>
      </c>
      <c r="M161" s="175" t="s">
        <v>632</v>
      </c>
      <c r="N161" s="175">
        <v>15</v>
      </c>
      <c r="O161" s="175">
        <v>0</v>
      </c>
      <c r="P161" s="175">
        <v>8273</v>
      </c>
      <c r="Q161" s="175" t="s">
        <v>632</v>
      </c>
      <c r="R161" s="175">
        <v>7</v>
      </c>
      <c r="S161" s="175">
        <v>0</v>
      </c>
      <c r="T161" s="175">
        <v>8840</v>
      </c>
      <c r="U161" s="175" t="s">
        <v>632</v>
      </c>
      <c r="V161" s="175">
        <v>11</v>
      </c>
      <c r="W161" s="175">
        <v>3</v>
      </c>
      <c r="X161" s="175">
        <v>9344</v>
      </c>
      <c r="Y161" s="175" t="s">
        <v>632</v>
      </c>
      <c r="Z161" s="175">
        <v>2.1492537313432836</v>
      </c>
      <c r="AA161" s="175">
        <v>32</v>
      </c>
      <c r="AB161" s="175">
        <v>0.99328926282051277</v>
      </c>
      <c r="AC161" s="175">
        <v>87.98</v>
      </c>
      <c r="AD161" s="175">
        <v>4</v>
      </c>
      <c r="AE161" s="175">
        <v>3.75</v>
      </c>
      <c r="AF161" s="175" t="s">
        <v>213</v>
      </c>
      <c r="AG161" s="175">
        <v>2</v>
      </c>
      <c r="AH161" s="175" t="s">
        <v>629</v>
      </c>
      <c r="AI161" s="175" t="s">
        <v>629</v>
      </c>
      <c r="AJ161" s="175" t="s">
        <v>635</v>
      </c>
      <c r="AK161" s="175" t="s">
        <v>635</v>
      </c>
      <c r="AL161" s="1159" t="s">
        <v>250</v>
      </c>
      <c r="AM161" s="175" t="s">
        <v>126</v>
      </c>
      <c r="AN161" s="175">
        <v>0.91100000000000003</v>
      </c>
      <c r="AO161" s="175">
        <v>0.7</v>
      </c>
      <c r="AP161" s="175">
        <v>24</v>
      </c>
      <c r="AQ161" s="175">
        <v>216</v>
      </c>
      <c r="AR161" s="175">
        <v>1.7</v>
      </c>
      <c r="AS161" s="192">
        <v>8028.4608000000007</v>
      </c>
    </row>
    <row r="162" spans="1:45" ht="16.5" customHeight="1">
      <c r="A162" s="174">
        <v>46209</v>
      </c>
      <c r="B162" s="175" t="s">
        <v>223</v>
      </c>
      <c r="C162" s="175" t="s">
        <v>17263</v>
      </c>
      <c r="D162" s="175" t="s">
        <v>16748</v>
      </c>
      <c r="E162" s="175" t="s">
        <v>17156</v>
      </c>
      <c r="F162" s="175" t="s">
        <v>17264</v>
      </c>
      <c r="G162" s="175">
        <v>600</v>
      </c>
      <c r="H162" s="175" t="s">
        <v>456</v>
      </c>
      <c r="I162" s="175">
        <v>3</v>
      </c>
      <c r="J162" s="175">
        <v>15</v>
      </c>
      <c r="K162" s="175">
        <v>0</v>
      </c>
      <c r="L162" s="175">
        <v>7580</v>
      </c>
      <c r="M162" s="175" t="s">
        <v>632</v>
      </c>
      <c r="N162" s="175">
        <v>8</v>
      </c>
      <c r="O162" s="175">
        <v>0</v>
      </c>
      <c r="P162" s="175">
        <v>7533</v>
      </c>
      <c r="Q162" s="175" t="s">
        <v>632</v>
      </c>
      <c r="R162" s="175">
        <v>11</v>
      </c>
      <c r="S162" s="175">
        <v>0</v>
      </c>
      <c r="T162" s="175">
        <v>7690</v>
      </c>
      <c r="U162" s="175" t="s">
        <v>632</v>
      </c>
      <c r="V162" s="175">
        <v>6</v>
      </c>
      <c r="W162" s="175">
        <v>0</v>
      </c>
      <c r="X162" s="175">
        <v>7823</v>
      </c>
      <c r="Y162" s="175" t="s">
        <v>632</v>
      </c>
      <c r="Z162" s="175">
        <v>2.4</v>
      </c>
      <c r="AA162" s="175">
        <v>26.666666666666668</v>
      </c>
      <c r="AB162" s="175">
        <v>1</v>
      </c>
      <c r="AC162" s="175">
        <v>76.564999999999998</v>
      </c>
      <c r="AD162" s="175">
        <v>3.3333333333333335</v>
      </c>
      <c r="AE162" s="175">
        <v>3.3333333333333335</v>
      </c>
      <c r="AF162" s="175" t="s">
        <v>213</v>
      </c>
      <c r="AG162" s="175">
        <v>2</v>
      </c>
      <c r="AH162" s="175" t="s">
        <v>629</v>
      </c>
      <c r="AI162" s="175" t="s">
        <v>629</v>
      </c>
      <c r="AJ162" s="175" t="s">
        <v>635</v>
      </c>
      <c r="AK162" s="175" t="s">
        <v>635</v>
      </c>
      <c r="AL162" s="1159" t="s">
        <v>250</v>
      </c>
      <c r="AM162" s="175" t="s">
        <v>126</v>
      </c>
      <c r="AN162" s="175">
        <v>0.91100000000000003</v>
      </c>
      <c r="AO162" s="175">
        <v>0.8</v>
      </c>
      <c r="AP162" s="175">
        <v>24</v>
      </c>
      <c r="AQ162" s="175">
        <v>216</v>
      </c>
      <c r="AR162" s="175">
        <v>1.8</v>
      </c>
      <c r="AS162" s="192">
        <v>8500.7232000000004</v>
      </c>
    </row>
    <row r="163" spans="1:45" ht="16.5" customHeight="1">
      <c r="A163" s="174">
        <v>46209</v>
      </c>
      <c r="B163" s="175" t="s">
        <v>224</v>
      </c>
      <c r="C163" s="175" t="s">
        <v>632</v>
      </c>
      <c r="E163" s="175" t="s">
        <v>419</v>
      </c>
      <c r="F163" s="175" t="s">
        <v>419</v>
      </c>
      <c r="G163" s="175" t="s">
        <v>419</v>
      </c>
      <c r="H163" s="175" t="s">
        <v>419</v>
      </c>
      <c r="I163" s="175" t="s">
        <v>419</v>
      </c>
      <c r="L163" s="175" t="s">
        <v>632</v>
      </c>
      <c r="P163" s="175" t="s">
        <v>632</v>
      </c>
      <c r="T163" s="175" t="s">
        <v>632</v>
      </c>
      <c r="X163" s="175" t="s">
        <v>632</v>
      </c>
      <c r="Z163" s="175" t="s">
        <v>419</v>
      </c>
      <c r="AA163" s="175" t="s">
        <v>632</v>
      </c>
      <c r="AB163" s="175" t="s">
        <v>419</v>
      </c>
      <c r="AC163" s="175" t="s">
        <v>419</v>
      </c>
      <c r="AD163" s="175" t="s">
        <v>419</v>
      </c>
      <c r="AE163" s="175" t="s">
        <v>419</v>
      </c>
      <c r="AF163" s="175" t="s">
        <v>213</v>
      </c>
      <c r="AG163" s="175">
        <v>0.5</v>
      </c>
      <c r="AH163" s="175" t="s">
        <v>640</v>
      </c>
      <c r="AI163" s="175" t="s">
        <v>640</v>
      </c>
      <c r="AJ163" s="175" t="s">
        <v>640</v>
      </c>
      <c r="AK163" s="175" t="s">
        <v>640</v>
      </c>
      <c r="AL163" s="1159" t="s">
        <v>419</v>
      </c>
      <c r="AM163" s="175" t="s">
        <v>419</v>
      </c>
      <c r="AN163" s="175" t="s">
        <v>419</v>
      </c>
      <c r="AO163" s="175" t="s">
        <v>419</v>
      </c>
      <c r="AP163" s="175">
        <v>24</v>
      </c>
      <c r="AQ163" s="175">
        <v>216</v>
      </c>
      <c r="AR163" s="175" t="s">
        <v>419</v>
      </c>
      <c r="AS163" s="192" t="s">
        <v>419</v>
      </c>
    </row>
    <row r="164" spans="1:45" ht="16.5" customHeight="1">
      <c r="A164" s="174">
        <v>46209</v>
      </c>
      <c r="B164" s="175" t="s">
        <v>225</v>
      </c>
      <c r="C164" s="175" t="s">
        <v>632</v>
      </c>
      <c r="E164" s="175" t="s">
        <v>419</v>
      </c>
      <c r="F164" s="175" t="s">
        <v>419</v>
      </c>
      <c r="G164" s="175" t="s">
        <v>419</v>
      </c>
      <c r="H164" s="175" t="s">
        <v>419</v>
      </c>
      <c r="I164" s="175" t="s">
        <v>419</v>
      </c>
      <c r="L164" s="175" t="s">
        <v>632</v>
      </c>
      <c r="P164" s="175" t="s">
        <v>632</v>
      </c>
      <c r="T164" s="175" t="s">
        <v>632</v>
      </c>
      <c r="X164" s="175" t="s">
        <v>632</v>
      </c>
      <c r="Z164" s="175" t="s">
        <v>419</v>
      </c>
      <c r="AA164" s="175" t="s">
        <v>632</v>
      </c>
      <c r="AB164" s="175" t="s">
        <v>419</v>
      </c>
      <c r="AC164" s="175" t="s">
        <v>419</v>
      </c>
      <c r="AD164" s="175" t="s">
        <v>419</v>
      </c>
      <c r="AE164" s="175" t="s">
        <v>419</v>
      </c>
      <c r="AF164" s="175" t="s">
        <v>213</v>
      </c>
      <c r="AG164" s="175">
        <v>1</v>
      </c>
      <c r="AH164" s="175" t="s">
        <v>640</v>
      </c>
      <c r="AI164" s="175" t="s">
        <v>640</v>
      </c>
      <c r="AJ164" s="175" t="s">
        <v>640</v>
      </c>
      <c r="AK164" s="175" t="s">
        <v>640</v>
      </c>
      <c r="AL164" s="1159" t="s">
        <v>419</v>
      </c>
      <c r="AM164" s="175" t="s">
        <v>419</v>
      </c>
      <c r="AN164" s="175" t="s">
        <v>419</v>
      </c>
      <c r="AO164" s="175" t="s">
        <v>419</v>
      </c>
      <c r="AP164" s="175">
        <v>24</v>
      </c>
      <c r="AQ164" s="175">
        <v>216</v>
      </c>
      <c r="AR164" s="175" t="s">
        <v>419</v>
      </c>
      <c r="AS164" s="192" t="s">
        <v>419</v>
      </c>
    </row>
    <row r="165" spans="1:45" ht="16.5" customHeight="1">
      <c r="A165" s="174">
        <v>46209</v>
      </c>
      <c r="B165" s="175" t="s">
        <v>226</v>
      </c>
      <c r="C165" s="175" t="s">
        <v>632</v>
      </c>
      <c r="E165" s="175" t="s">
        <v>419</v>
      </c>
      <c r="F165" s="175" t="s">
        <v>419</v>
      </c>
      <c r="G165" s="175" t="s">
        <v>419</v>
      </c>
      <c r="H165" s="175" t="s">
        <v>419</v>
      </c>
      <c r="I165" s="175" t="s">
        <v>419</v>
      </c>
      <c r="L165" s="175" t="s">
        <v>632</v>
      </c>
      <c r="P165" s="175" t="s">
        <v>632</v>
      </c>
      <c r="T165" s="175" t="s">
        <v>632</v>
      </c>
      <c r="X165" s="175" t="s">
        <v>632</v>
      </c>
      <c r="Z165" s="175" t="s">
        <v>419</v>
      </c>
      <c r="AA165" s="175" t="s">
        <v>632</v>
      </c>
      <c r="AB165" s="175" t="s">
        <v>419</v>
      </c>
      <c r="AC165" s="175" t="s">
        <v>419</v>
      </c>
      <c r="AD165" s="175" t="s">
        <v>419</v>
      </c>
      <c r="AE165" s="175" t="s">
        <v>419</v>
      </c>
      <c r="AF165" s="175" t="s">
        <v>213</v>
      </c>
      <c r="AG165" s="175">
        <v>1</v>
      </c>
      <c r="AH165" s="175" t="s">
        <v>640</v>
      </c>
      <c r="AI165" s="175" t="s">
        <v>640</v>
      </c>
      <c r="AJ165" s="175" t="s">
        <v>640</v>
      </c>
      <c r="AK165" s="175" t="s">
        <v>640</v>
      </c>
      <c r="AL165" s="1159" t="s">
        <v>419</v>
      </c>
      <c r="AM165" s="175" t="s">
        <v>419</v>
      </c>
      <c r="AN165" s="175" t="s">
        <v>419</v>
      </c>
      <c r="AO165" s="175" t="s">
        <v>419</v>
      </c>
      <c r="AP165" s="175">
        <v>24</v>
      </c>
      <c r="AQ165" s="175">
        <v>216</v>
      </c>
      <c r="AR165" s="175" t="s">
        <v>419</v>
      </c>
      <c r="AS165" s="192" t="s">
        <v>419</v>
      </c>
    </row>
    <row r="166" spans="1:45" ht="16.5" customHeight="1">
      <c r="A166" s="174">
        <v>46209</v>
      </c>
      <c r="B166" s="175" t="s">
        <v>227</v>
      </c>
      <c r="C166" s="175" t="s">
        <v>632</v>
      </c>
      <c r="E166" s="175" t="s">
        <v>419</v>
      </c>
      <c r="F166" s="175" t="s">
        <v>419</v>
      </c>
      <c r="G166" s="175" t="s">
        <v>419</v>
      </c>
      <c r="H166" s="175" t="s">
        <v>419</v>
      </c>
      <c r="I166" s="175" t="s">
        <v>419</v>
      </c>
      <c r="L166" s="175" t="s">
        <v>632</v>
      </c>
      <c r="P166" s="175" t="s">
        <v>632</v>
      </c>
      <c r="T166" s="175" t="s">
        <v>632</v>
      </c>
      <c r="X166" s="175" t="s">
        <v>632</v>
      </c>
      <c r="Z166" s="175" t="s">
        <v>419</v>
      </c>
      <c r="AA166" s="175" t="s">
        <v>632</v>
      </c>
      <c r="AB166" s="175" t="s">
        <v>419</v>
      </c>
      <c r="AC166" s="175" t="s">
        <v>419</v>
      </c>
      <c r="AD166" s="175" t="s">
        <v>419</v>
      </c>
      <c r="AE166" s="175" t="s">
        <v>419</v>
      </c>
      <c r="AF166" s="175" t="s">
        <v>213</v>
      </c>
      <c r="AG166" s="175">
        <v>1</v>
      </c>
      <c r="AH166" s="175" t="s">
        <v>640</v>
      </c>
      <c r="AI166" s="175" t="s">
        <v>640</v>
      </c>
      <c r="AJ166" s="175" t="s">
        <v>640</v>
      </c>
      <c r="AK166" s="175" t="s">
        <v>640</v>
      </c>
      <c r="AL166" s="1159" t="s">
        <v>419</v>
      </c>
      <c r="AM166" s="175" t="s">
        <v>419</v>
      </c>
      <c r="AN166" s="175" t="s">
        <v>419</v>
      </c>
      <c r="AO166" s="175" t="s">
        <v>419</v>
      </c>
      <c r="AP166" s="175">
        <v>24</v>
      </c>
      <c r="AQ166" s="175">
        <v>216</v>
      </c>
      <c r="AR166" s="175" t="s">
        <v>419</v>
      </c>
      <c r="AS166" s="192" t="s">
        <v>419</v>
      </c>
    </row>
    <row r="167" spans="1:45" ht="16.5" customHeight="1">
      <c r="A167" s="174">
        <v>46209</v>
      </c>
      <c r="B167" s="175" t="s">
        <v>228</v>
      </c>
      <c r="C167" s="175" t="s">
        <v>17293</v>
      </c>
      <c r="E167" s="175" t="s">
        <v>7055</v>
      </c>
      <c r="F167" s="175" t="s">
        <v>17294</v>
      </c>
      <c r="G167" s="175">
        <v>550</v>
      </c>
      <c r="H167" s="175" t="s">
        <v>889</v>
      </c>
      <c r="I167" s="175">
        <v>5.5</v>
      </c>
      <c r="J167" s="175">
        <v>36</v>
      </c>
      <c r="K167" s="175">
        <v>0</v>
      </c>
      <c r="L167" s="175">
        <v>5641</v>
      </c>
      <c r="M167" s="175">
        <v>5376</v>
      </c>
      <c r="N167" s="175">
        <v>12</v>
      </c>
      <c r="O167" s="175">
        <v>0</v>
      </c>
      <c r="P167" s="175">
        <v>5853</v>
      </c>
      <c r="Q167" s="175">
        <v>5378</v>
      </c>
      <c r="R167" s="175">
        <v>16</v>
      </c>
      <c r="S167" s="175">
        <v>0</v>
      </c>
      <c r="T167" s="175">
        <v>5804</v>
      </c>
      <c r="U167" s="175">
        <v>5343</v>
      </c>
      <c r="V167" s="175">
        <v>30</v>
      </c>
      <c r="W167" s="175">
        <v>6</v>
      </c>
      <c r="X167" s="175">
        <v>5965</v>
      </c>
      <c r="Y167" s="175">
        <v>5824</v>
      </c>
      <c r="Z167" s="175">
        <v>4.7058823529411766</v>
      </c>
      <c r="AA167" s="175">
        <v>15.666666666666666</v>
      </c>
      <c r="AB167" s="175">
        <v>0.99387019230769236</v>
      </c>
      <c r="AC167" s="175">
        <v>56.48</v>
      </c>
      <c r="AD167" s="175">
        <v>1.9583333333333333</v>
      </c>
      <c r="AE167" s="175">
        <v>1.8333333333333333</v>
      </c>
      <c r="AF167" s="175" t="s">
        <v>213</v>
      </c>
      <c r="AG167" s="175">
        <v>0.5</v>
      </c>
      <c r="AH167" s="175" t="s">
        <v>629</v>
      </c>
      <c r="AI167" s="175" t="s">
        <v>629</v>
      </c>
      <c r="AJ167" s="175" t="s">
        <v>635</v>
      </c>
      <c r="AK167" s="175" t="s">
        <v>635</v>
      </c>
      <c r="AL167" s="1159" t="s">
        <v>250</v>
      </c>
      <c r="AM167" s="175" t="s">
        <v>460</v>
      </c>
      <c r="AN167" s="175">
        <v>1.1890000000000001</v>
      </c>
      <c r="AO167" s="175">
        <v>1.9</v>
      </c>
      <c r="AP167" s="175">
        <v>24</v>
      </c>
      <c r="AQ167" s="175">
        <v>216</v>
      </c>
      <c r="AR167" s="175">
        <v>2.9</v>
      </c>
      <c r="AS167" s="192">
        <v>17874.950400000002</v>
      </c>
    </row>
    <row r="168" spans="1:45" ht="16.5" customHeight="1">
      <c r="A168" s="174">
        <v>46209</v>
      </c>
      <c r="B168" s="175" t="s">
        <v>229</v>
      </c>
      <c r="C168" s="175" t="s">
        <v>632</v>
      </c>
      <c r="E168" s="175" t="s">
        <v>419</v>
      </c>
      <c r="F168" s="175" t="s">
        <v>419</v>
      </c>
      <c r="G168" s="175" t="s">
        <v>419</v>
      </c>
      <c r="H168" s="175" t="s">
        <v>419</v>
      </c>
      <c r="I168" s="175" t="s">
        <v>419</v>
      </c>
      <c r="L168" s="175" t="s">
        <v>632</v>
      </c>
      <c r="P168" s="175" t="s">
        <v>632</v>
      </c>
      <c r="T168" s="175" t="s">
        <v>632</v>
      </c>
      <c r="X168" s="175" t="s">
        <v>632</v>
      </c>
      <c r="Z168" s="175" t="s">
        <v>419</v>
      </c>
      <c r="AA168" s="175" t="s">
        <v>632</v>
      </c>
      <c r="AB168" s="175" t="s">
        <v>419</v>
      </c>
      <c r="AC168" s="175" t="s">
        <v>419</v>
      </c>
      <c r="AD168" s="175" t="s">
        <v>419</v>
      </c>
      <c r="AE168" s="175" t="s">
        <v>419</v>
      </c>
      <c r="AF168" s="175" t="s">
        <v>213</v>
      </c>
      <c r="AG168" s="175">
        <v>1</v>
      </c>
      <c r="AH168" s="175" t="s">
        <v>640</v>
      </c>
      <c r="AI168" s="175" t="s">
        <v>640</v>
      </c>
      <c r="AJ168" s="175" t="s">
        <v>640</v>
      </c>
      <c r="AK168" s="175" t="s">
        <v>640</v>
      </c>
      <c r="AL168" s="1159" t="s">
        <v>419</v>
      </c>
      <c r="AM168" s="175" t="s">
        <v>419</v>
      </c>
      <c r="AN168" s="175" t="s">
        <v>419</v>
      </c>
      <c r="AO168" s="175" t="s">
        <v>419</v>
      </c>
      <c r="AP168" s="175">
        <v>24</v>
      </c>
      <c r="AQ168" s="175">
        <v>216</v>
      </c>
      <c r="AR168" s="175" t="s">
        <v>419</v>
      </c>
      <c r="AS168" s="192" t="s">
        <v>419</v>
      </c>
    </row>
    <row r="169" spans="1:45" ht="16.5" customHeight="1">
      <c r="A169" s="174">
        <v>46209</v>
      </c>
      <c r="B169" s="175" t="s">
        <v>230</v>
      </c>
      <c r="C169" s="175" t="s">
        <v>632</v>
      </c>
      <c r="E169" s="175" t="s">
        <v>419</v>
      </c>
      <c r="F169" s="175" t="s">
        <v>419</v>
      </c>
      <c r="G169" s="175" t="s">
        <v>419</v>
      </c>
      <c r="H169" s="175" t="s">
        <v>419</v>
      </c>
      <c r="I169" s="175" t="s">
        <v>419</v>
      </c>
      <c r="L169" s="175" t="s">
        <v>632</v>
      </c>
      <c r="P169" s="175" t="s">
        <v>632</v>
      </c>
      <c r="T169" s="175" t="s">
        <v>632</v>
      </c>
      <c r="X169" s="175" t="s">
        <v>632</v>
      </c>
      <c r="Z169" s="175" t="s">
        <v>419</v>
      </c>
      <c r="AA169" s="175" t="s">
        <v>632</v>
      </c>
      <c r="AB169" s="175" t="s">
        <v>419</v>
      </c>
      <c r="AC169" s="175" t="s">
        <v>419</v>
      </c>
      <c r="AD169" s="175" t="s">
        <v>419</v>
      </c>
      <c r="AE169" s="175" t="s">
        <v>419</v>
      </c>
      <c r="AF169" s="175" t="s">
        <v>213</v>
      </c>
      <c r="AG169" s="175">
        <v>1</v>
      </c>
      <c r="AH169" s="175" t="s">
        <v>640</v>
      </c>
      <c r="AI169" s="175" t="s">
        <v>640</v>
      </c>
      <c r="AJ169" s="175" t="s">
        <v>640</v>
      </c>
      <c r="AK169" s="175" t="s">
        <v>640</v>
      </c>
      <c r="AL169" s="1159" t="s">
        <v>419</v>
      </c>
      <c r="AM169" s="175" t="s">
        <v>419</v>
      </c>
      <c r="AN169" s="175" t="s">
        <v>419</v>
      </c>
      <c r="AO169" s="175" t="s">
        <v>419</v>
      </c>
      <c r="AP169" s="175">
        <v>24</v>
      </c>
      <c r="AQ169" s="175">
        <v>216</v>
      </c>
      <c r="AR169" s="175" t="s">
        <v>419</v>
      </c>
      <c r="AS169" s="192" t="s">
        <v>419</v>
      </c>
    </row>
    <row r="170" spans="1:45" ht="16.5" customHeight="1">
      <c r="A170" s="174">
        <v>46209</v>
      </c>
      <c r="B170" s="175" t="s">
        <v>231</v>
      </c>
      <c r="C170" s="175" t="s">
        <v>632</v>
      </c>
      <c r="E170" s="175" t="s">
        <v>419</v>
      </c>
      <c r="F170" s="175" t="s">
        <v>419</v>
      </c>
      <c r="G170" s="175" t="s">
        <v>419</v>
      </c>
      <c r="H170" s="175" t="s">
        <v>419</v>
      </c>
      <c r="I170" s="175" t="s">
        <v>419</v>
      </c>
      <c r="L170" s="175" t="s">
        <v>632</v>
      </c>
      <c r="P170" s="175" t="s">
        <v>632</v>
      </c>
      <c r="T170" s="175" t="s">
        <v>632</v>
      </c>
      <c r="X170" s="175" t="s">
        <v>632</v>
      </c>
      <c r="Z170" s="175" t="s">
        <v>419</v>
      </c>
      <c r="AA170" s="175" t="s">
        <v>632</v>
      </c>
      <c r="AB170" s="175" t="s">
        <v>419</v>
      </c>
      <c r="AC170" s="175" t="s">
        <v>419</v>
      </c>
      <c r="AD170" s="175" t="s">
        <v>419</v>
      </c>
      <c r="AE170" s="175" t="s">
        <v>419</v>
      </c>
      <c r="AF170" s="175" t="s">
        <v>232</v>
      </c>
      <c r="AG170" s="175">
        <v>1</v>
      </c>
      <c r="AH170" s="175" t="s">
        <v>640</v>
      </c>
      <c r="AI170" s="175" t="s">
        <v>640</v>
      </c>
      <c r="AJ170" s="175" t="s">
        <v>640</v>
      </c>
      <c r="AK170" s="175" t="s">
        <v>640</v>
      </c>
      <c r="AL170" s="1159" t="s">
        <v>419</v>
      </c>
      <c r="AM170" s="175" t="s">
        <v>419</v>
      </c>
      <c r="AN170" s="175" t="s">
        <v>419</v>
      </c>
      <c r="AO170" s="175" t="s">
        <v>419</v>
      </c>
      <c r="AP170" s="175">
        <v>24</v>
      </c>
      <c r="AQ170" s="175">
        <v>216</v>
      </c>
      <c r="AR170" s="175" t="s">
        <v>419</v>
      </c>
      <c r="AS170" s="192" t="s">
        <v>419</v>
      </c>
    </row>
    <row r="171" spans="1:45" ht="16.5" customHeight="1">
      <c r="A171" s="174">
        <v>46209</v>
      </c>
      <c r="B171" s="175" t="s">
        <v>233</v>
      </c>
      <c r="C171" s="175" t="s">
        <v>17268</v>
      </c>
      <c r="D171" s="175" t="s">
        <v>633</v>
      </c>
      <c r="E171" s="175" t="s">
        <v>16719</v>
      </c>
      <c r="F171" s="175" t="s">
        <v>17253</v>
      </c>
      <c r="G171" s="175">
        <v>600</v>
      </c>
      <c r="H171" s="175" t="s">
        <v>723</v>
      </c>
      <c r="I171" s="175">
        <v>5.5</v>
      </c>
      <c r="J171" s="175">
        <v>9</v>
      </c>
      <c r="K171" s="175">
        <v>2</v>
      </c>
      <c r="L171" s="175">
        <v>3230</v>
      </c>
      <c r="M171" s="175" t="s">
        <v>17315</v>
      </c>
      <c r="N171" s="175">
        <v>6</v>
      </c>
      <c r="O171" s="175">
        <v>4</v>
      </c>
      <c r="P171" s="175">
        <v>3160</v>
      </c>
      <c r="R171" s="175">
        <v>3</v>
      </c>
      <c r="S171" s="175">
        <v>2</v>
      </c>
      <c r="T171" s="175">
        <v>3150</v>
      </c>
      <c r="V171" s="175">
        <v>13</v>
      </c>
      <c r="W171" s="175">
        <v>5</v>
      </c>
      <c r="X171" s="175">
        <v>3040</v>
      </c>
      <c r="Z171" s="175">
        <v>5.0526315789473681</v>
      </c>
      <c r="AA171" s="175">
        <v>20.666666666666668</v>
      </c>
      <c r="AB171" s="175">
        <v>0.98763020833333337</v>
      </c>
      <c r="AC171" s="175">
        <v>31.45</v>
      </c>
      <c r="AD171" s="175">
        <v>2.5833333333333335</v>
      </c>
      <c r="AE171" s="175">
        <v>1.5</v>
      </c>
      <c r="AF171" s="175" t="s">
        <v>232</v>
      </c>
      <c r="AG171" s="175">
        <v>2</v>
      </c>
      <c r="AH171" s="175" t="s">
        <v>815</v>
      </c>
      <c r="AI171" s="175" t="s">
        <v>815</v>
      </c>
      <c r="AJ171" s="175" t="s">
        <v>15370</v>
      </c>
      <c r="AK171" s="175" t="s">
        <v>15370</v>
      </c>
      <c r="AL171" s="1159" t="s">
        <v>250</v>
      </c>
      <c r="AM171" s="175" t="s">
        <v>643</v>
      </c>
      <c r="AN171" s="175">
        <v>1.859</v>
      </c>
      <c r="AO171" s="175">
        <v>2.1</v>
      </c>
      <c r="AP171" s="175">
        <v>24</v>
      </c>
      <c r="AQ171" s="175">
        <v>216</v>
      </c>
      <c r="AR171" s="175">
        <v>3.1</v>
      </c>
      <c r="AS171" s="192">
        <v>29874.873599999999</v>
      </c>
    </row>
    <row r="172" spans="1:45" ht="16.5" customHeight="1">
      <c r="A172" s="174">
        <v>46209</v>
      </c>
      <c r="B172" s="175" t="s">
        <v>234</v>
      </c>
      <c r="C172" s="175" t="s">
        <v>632</v>
      </c>
      <c r="E172" s="175" t="s">
        <v>419</v>
      </c>
      <c r="F172" s="175" t="s">
        <v>419</v>
      </c>
      <c r="G172" s="175" t="s">
        <v>419</v>
      </c>
      <c r="H172" s="175" t="s">
        <v>419</v>
      </c>
      <c r="I172" s="175" t="s">
        <v>419</v>
      </c>
      <c r="L172" s="175" t="s">
        <v>632</v>
      </c>
      <c r="P172" s="175" t="s">
        <v>632</v>
      </c>
      <c r="T172" s="175" t="s">
        <v>632</v>
      </c>
      <c r="X172" s="175" t="s">
        <v>632</v>
      </c>
      <c r="Z172" s="175" t="s">
        <v>419</v>
      </c>
      <c r="AA172" s="175" t="s">
        <v>632</v>
      </c>
      <c r="AB172" s="175" t="s">
        <v>419</v>
      </c>
      <c r="AC172" s="175" t="s">
        <v>419</v>
      </c>
      <c r="AD172" s="175" t="s">
        <v>419</v>
      </c>
      <c r="AE172" s="175" t="s">
        <v>419</v>
      </c>
      <c r="AF172" s="175" t="s">
        <v>232</v>
      </c>
      <c r="AG172" s="175">
        <v>1</v>
      </c>
      <c r="AH172" s="175" t="s">
        <v>640</v>
      </c>
      <c r="AI172" s="175" t="s">
        <v>640</v>
      </c>
      <c r="AJ172" s="175" t="s">
        <v>640</v>
      </c>
      <c r="AK172" s="175" t="s">
        <v>640</v>
      </c>
      <c r="AL172" s="1159" t="s">
        <v>419</v>
      </c>
      <c r="AM172" s="175" t="s">
        <v>419</v>
      </c>
      <c r="AN172" s="175" t="s">
        <v>419</v>
      </c>
      <c r="AO172" s="175" t="s">
        <v>419</v>
      </c>
      <c r="AP172" s="175">
        <v>24</v>
      </c>
      <c r="AQ172" s="175">
        <v>216</v>
      </c>
      <c r="AR172" s="175" t="s">
        <v>419</v>
      </c>
      <c r="AS172" s="192" t="s">
        <v>419</v>
      </c>
    </row>
    <row r="173" spans="1:45" ht="16.5" customHeight="1">
      <c r="A173" s="174">
        <v>46209</v>
      </c>
      <c r="B173" s="175" t="s">
        <v>235</v>
      </c>
      <c r="C173" s="175" t="s">
        <v>17289</v>
      </c>
      <c r="D173" s="175" t="s">
        <v>633</v>
      </c>
      <c r="E173" s="175" t="s">
        <v>16719</v>
      </c>
      <c r="F173" s="175" t="s">
        <v>17290</v>
      </c>
      <c r="G173" s="175">
        <v>700</v>
      </c>
      <c r="H173" s="175" t="s">
        <v>776</v>
      </c>
      <c r="I173" s="175">
        <v>5.5</v>
      </c>
      <c r="J173" s="175">
        <v>48</v>
      </c>
      <c r="K173" s="175">
        <v>0</v>
      </c>
      <c r="L173" s="175">
        <v>9170</v>
      </c>
      <c r="M173" s="175">
        <v>9720</v>
      </c>
      <c r="N173" s="175">
        <v>29</v>
      </c>
      <c r="O173" s="175">
        <v>0</v>
      </c>
      <c r="P173" s="175">
        <v>9170</v>
      </c>
      <c r="Q173" s="175">
        <v>9440</v>
      </c>
      <c r="R173" s="175">
        <v>16</v>
      </c>
      <c r="S173" s="175">
        <v>0</v>
      </c>
      <c r="T173" s="175">
        <v>9170</v>
      </c>
      <c r="U173" s="175">
        <v>9260</v>
      </c>
      <c r="V173" s="175">
        <v>31</v>
      </c>
      <c r="W173" s="175">
        <v>4</v>
      </c>
      <c r="X173" s="175">
        <v>9170</v>
      </c>
      <c r="Y173" s="175">
        <v>9350</v>
      </c>
      <c r="Z173" s="175">
        <v>5.8775510204081636</v>
      </c>
      <c r="AA173" s="175">
        <v>41.333333333333336</v>
      </c>
      <c r="AB173" s="175">
        <v>0.99672809829059827</v>
      </c>
      <c r="AC173" s="175">
        <v>93.0625</v>
      </c>
      <c r="AD173" s="175">
        <v>5.166666666666667</v>
      </c>
      <c r="AE173" s="175">
        <v>5</v>
      </c>
      <c r="AF173" s="175" t="s">
        <v>236</v>
      </c>
      <c r="AG173" s="175">
        <v>1</v>
      </c>
      <c r="AH173" s="175" t="s">
        <v>15337</v>
      </c>
      <c r="AI173" s="175" t="s">
        <v>15337</v>
      </c>
      <c r="AJ173" s="175" t="s">
        <v>15876</v>
      </c>
      <c r="AK173" s="175" t="s">
        <v>15876</v>
      </c>
      <c r="AL173" s="1159" t="s">
        <v>251</v>
      </c>
      <c r="AM173" s="175" t="s">
        <v>460</v>
      </c>
      <c r="AN173" s="175">
        <v>1.1890000000000001</v>
      </c>
      <c r="AO173" s="175">
        <v>3</v>
      </c>
      <c r="AP173" s="175">
        <v>24</v>
      </c>
      <c r="AQ173" s="175">
        <v>216</v>
      </c>
      <c r="AR173" s="175">
        <v>4</v>
      </c>
      <c r="AS173" s="192">
        <v>24655.103999999999</v>
      </c>
    </row>
    <row r="174" spans="1:45" ht="16.5" customHeight="1">
      <c r="A174" s="174">
        <v>46209</v>
      </c>
      <c r="B174" s="175" t="s">
        <v>237</v>
      </c>
      <c r="C174" s="175" t="s">
        <v>17251</v>
      </c>
      <c r="D174" s="175" t="s">
        <v>633</v>
      </c>
      <c r="E174" s="175" t="s">
        <v>16719</v>
      </c>
      <c r="F174" s="175" t="s">
        <v>17253</v>
      </c>
      <c r="G174" s="175">
        <v>700</v>
      </c>
      <c r="H174" s="175" t="s">
        <v>646</v>
      </c>
      <c r="I174" s="175">
        <v>5.5</v>
      </c>
      <c r="J174" s="175">
        <v>45</v>
      </c>
      <c r="K174" s="175">
        <v>2</v>
      </c>
      <c r="L174" s="175">
        <v>9260</v>
      </c>
      <c r="M174" s="175">
        <v>9070</v>
      </c>
      <c r="N174" s="175">
        <v>21</v>
      </c>
      <c r="O174" s="175">
        <v>2</v>
      </c>
      <c r="P174" s="175">
        <v>9070</v>
      </c>
      <c r="Q174" s="175">
        <v>7870</v>
      </c>
      <c r="R174" s="175">
        <v>30</v>
      </c>
      <c r="S174" s="175">
        <v>0</v>
      </c>
      <c r="T174" s="175">
        <v>8610</v>
      </c>
      <c r="U174" s="175">
        <v>8700</v>
      </c>
      <c r="V174" s="175">
        <v>43</v>
      </c>
      <c r="W174" s="175">
        <v>0</v>
      </c>
      <c r="X174" s="175">
        <v>8060</v>
      </c>
      <c r="Y174" s="175">
        <v>7690</v>
      </c>
      <c r="Z174" s="175">
        <v>5.8775510204081636</v>
      </c>
      <c r="AA174" s="175">
        <v>46.333333333333336</v>
      </c>
      <c r="AB174" s="175">
        <v>0.99672809829059827</v>
      </c>
      <c r="AC174" s="175">
        <v>85.412499999999994</v>
      </c>
      <c r="AD174" s="175">
        <v>5.791666666666667</v>
      </c>
      <c r="AE174" s="175">
        <v>5.625</v>
      </c>
      <c r="AF174" s="175" t="s">
        <v>236</v>
      </c>
      <c r="AG174" s="175">
        <v>1</v>
      </c>
      <c r="AH174" s="175" t="s">
        <v>638</v>
      </c>
      <c r="AI174" s="175" t="s">
        <v>638</v>
      </c>
      <c r="AJ174" s="175" t="s">
        <v>652</v>
      </c>
      <c r="AK174" s="175" t="s">
        <v>652</v>
      </c>
      <c r="AL174" s="1159" t="s">
        <v>250</v>
      </c>
      <c r="AM174" s="175" t="s">
        <v>460</v>
      </c>
      <c r="AN174" s="175">
        <v>1.1890000000000001</v>
      </c>
      <c r="AO174" s="175">
        <v>2.9</v>
      </c>
      <c r="AP174" s="175">
        <v>24</v>
      </c>
      <c r="AQ174" s="175">
        <v>216</v>
      </c>
      <c r="AR174" s="175">
        <v>3.9</v>
      </c>
      <c r="AS174" s="192">
        <v>24038.7264</v>
      </c>
    </row>
    <row r="175" spans="1:45" ht="16.5" customHeight="1">
      <c r="A175" s="174">
        <v>46209</v>
      </c>
      <c r="B175" s="175" t="s">
        <v>238</v>
      </c>
      <c r="C175" s="175" t="s">
        <v>17248</v>
      </c>
      <c r="D175" s="175" t="s">
        <v>633</v>
      </c>
      <c r="E175" s="175" t="s">
        <v>16719</v>
      </c>
      <c r="F175" s="175" t="s">
        <v>17249</v>
      </c>
      <c r="G175" s="175">
        <v>600</v>
      </c>
      <c r="H175" s="175" t="s">
        <v>877</v>
      </c>
      <c r="I175" s="175">
        <v>5.5</v>
      </c>
      <c r="J175" s="175">
        <v>23</v>
      </c>
      <c r="K175" s="175">
        <v>0</v>
      </c>
      <c r="L175" s="175">
        <v>8700</v>
      </c>
      <c r="M175" s="175">
        <v>9630</v>
      </c>
      <c r="N175" s="175">
        <v>25</v>
      </c>
      <c r="O175" s="175">
        <v>0</v>
      </c>
      <c r="P175" s="175">
        <v>9170</v>
      </c>
      <c r="Q175" s="175">
        <v>9720</v>
      </c>
      <c r="R175" s="175">
        <v>18</v>
      </c>
      <c r="S175" s="175">
        <v>2</v>
      </c>
      <c r="T175" s="175">
        <v>9260</v>
      </c>
      <c r="U175" s="175">
        <v>9720</v>
      </c>
      <c r="X175" s="175" t="s">
        <v>632</v>
      </c>
      <c r="Z175" s="175">
        <v>5.034965034965035</v>
      </c>
      <c r="AA175" s="175">
        <v>22</v>
      </c>
      <c r="AB175" s="175">
        <v>0.99809027777777781</v>
      </c>
      <c r="AC175" s="175">
        <v>93.666666666666657</v>
      </c>
      <c r="AD175" s="175">
        <v>2.75</v>
      </c>
      <c r="AE175" s="175">
        <v>2.6666666666666665</v>
      </c>
      <c r="AF175" s="175" t="s">
        <v>236</v>
      </c>
      <c r="AG175" s="175">
        <v>1</v>
      </c>
      <c r="AH175" s="175" t="s">
        <v>15337</v>
      </c>
      <c r="AI175" s="175" t="s">
        <v>15337</v>
      </c>
      <c r="AJ175" s="175" t="s">
        <v>15876</v>
      </c>
      <c r="AK175" s="175" t="s">
        <v>15876</v>
      </c>
      <c r="AL175" s="1159" t="s">
        <v>251</v>
      </c>
      <c r="AM175" s="175" t="s">
        <v>460</v>
      </c>
      <c r="AN175" s="175">
        <v>1.1890000000000001</v>
      </c>
      <c r="AO175" s="175">
        <v>3</v>
      </c>
      <c r="AP175" s="175">
        <v>24</v>
      </c>
      <c r="AQ175" s="175">
        <v>216</v>
      </c>
      <c r="AR175" s="175">
        <v>4</v>
      </c>
      <c r="AS175" s="192">
        <v>24655.103999999999</v>
      </c>
    </row>
    <row r="176" spans="1:45" ht="16.5" customHeight="1">
      <c r="A176" s="174">
        <v>46209</v>
      </c>
      <c r="B176" s="175" t="s">
        <v>239</v>
      </c>
      <c r="C176" s="175" t="s">
        <v>17266</v>
      </c>
      <c r="E176" s="175" t="s">
        <v>754</v>
      </c>
      <c r="F176" s="175" t="s">
        <v>17267</v>
      </c>
      <c r="G176" s="175">
        <v>600</v>
      </c>
      <c r="H176" s="175" t="s">
        <v>842</v>
      </c>
      <c r="I176" s="175">
        <v>4</v>
      </c>
      <c r="J176" s="175">
        <v>11</v>
      </c>
      <c r="K176" s="175">
        <v>0</v>
      </c>
      <c r="L176" s="175">
        <v>9170</v>
      </c>
      <c r="N176" s="175">
        <v>9</v>
      </c>
      <c r="O176" s="175">
        <v>1</v>
      </c>
      <c r="P176" s="175">
        <v>9440</v>
      </c>
      <c r="R176" s="175">
        <v>7</v>
      </c>
      <c r="S176" s="175">
        <v>0</v>
      </c>
      <c r="T176" s="175">
        <v>9350</v>
      </c>
      <c r="V176" s="175">
        <v>10</v>
      </c>
      <c r="W176" s="175">
        <v>0</v>
      </c>
      <c r="X176" s="175">
        <v>8890</v>
      </c>
      <c r="Z176" s="175">
        <v>3.6</v>
      </c>
      <c r="AA176" s="175">
        <v>24.666666666666668</v>
      </c>
      <c r="AB176" s="175">
        <v>0.99866452991452992</v>
      </c>
      <c r="AC176" s="175">
        <v>92.125</v>
      </c>
      <c r="AD176" s="175">
        <v>3.0833333333333335</v>
      </c>
      <c r="AE176" s="175">
        <v>3</v>
      </c>
      <c r="AF176" s="175" t="s">
        <v>236</v>
      </c>
      <c r="AG176" s="175">
        <v>2</v>
      </c>
      <c r="AH176" s="175" t="s">
        <v>638</v>
      </c>
      <c r="AI176" s="175" t="s">
        <v>638</v>
      </c>
      <c r="AJ176" s="175" t="s">
        <v>652</v>
      </c>
      <c r="AK176" s="175" t="s">
        <v>652</v>
      </c>
      <c r="AL176" s="1159" t="s">
        <v>251</v>
      </c>
      <c r="AM176" s="175" t="s">
        <v>126</v>
      </c>
      <c r="AN176" s="175">
        <v>0.91100000000000003</v>
      </c>
      <c r="AO176" s="175">
        <v>1.5</v>
      </c>
      <c r="AP176" s="175">
        <v>24</v>
      </c>
      <c r="AQ176" s="175">
        <v>216</v>
      </c>
      <c r="AR176" s="175">
        <v>2.5</v>
      </c>
      <c r="AS176" s="192">
        <v>11806.560000000001</v>
      </c>
    </row>
    <row r="177" spans="1:45" ht="16.5" customHeight="1">
      <c r="A177" s="174">
        <v>46209</v>
      </c>
      <c r="B177" s="175" t="s">
        <v>239</v>
      </c>
      <c r="C177" s="175" t="s">
        <v>17241</v>
      </c>
      <c r="E177" s="175" t="s">
        <v>16723</v>
      </c>
      <c r="F177" s="175" t="s">
        <v>17243</v>
      </c>
      <c r="G177" s="175">
        <v>550</v>
      </c>
      <c r="H177" s="175" t="s">
        <v>868</v>
      </c>
      <c r="I177" s="175">
        <v>5.5</v>
      </c>
      <c r="J177" s="175">
        <v>31</v>
      </c>
      <c r="K177" s="175">
        <v>1</v>
      </c>
      <c r="L177" s="175">
        <v>9540</v>
      </c>
      <c r="N177" s="175">
        <v>9</v>
      </c>
      <c r="O177" s="175">
        <v>1</v>
      </c>
      <c r="P177" s="175">
        <v>9700</v>
      </c>
      <c r="R177" s="175">
        <v>4</v>
      </c>
      <c r="S177" s="175">
        <v>0</v>
      </c>
      <c r="U177" s="175">
        <v>9720</v>
      </c>
      <c r="V177" s="175">
        <v>21</v>
      </c>
      <c r="W177" s="175">
        <v>0</v>
      </c>
      <c r="Y177" s="175">
        <v>9350</v>
      </c>
      <c r="Z177" s="175">
        <v>6.6055045871559646</v>
      </c>
      <c r="AA177" s="175">
        <v>43.333333333333336</v>
      </c>
      <c r="AB177" s="175">
        <v>0.99854433760683758</v>
      </c>
      <c r="AC177" s="175">
        <v>95.775000000000006</v>
      </c>
      <c r="AD177" s="175">
        <v>5.416666666666667</v>
      </c>
      <c r="AE177" s="175">
        <v>5.25</v>
      </c>
      <c r="AF177" s="175" t="s">
        <v>236</v>
      </c>
      <c r="AG177" s="175">
        <v>2</v>
      </c>
      <c r="AH177" s="175" t="s">
        <v>638</v>
      </c>
      <c r="AI177" s="175" t="s">
        <v>638</v>
      </c>
      <c r="AJ177" s="175" t="s">
        <v>652</v>
      </c>
      <c r="AK177" s="175" t="s">
        <v>652</v>
      </c>
      <c r="AM177" s="175" t="s">
        <v>643</v>
      </c>
      <c r="AN177" s="175">
        <v>1.859</v>
      </c>
      <c r="AO177" s="175">
        <v>3.3</v>
      </c>
      <c r="AP177" s="175">
        <v>24</v>
      </c>
      <c r="AQ177" s="175">
        <v>216</v>
      </c>
      <c r="AR177" s="175">
        <v>4.3</v>
      </c>
      <c r="AS177" s="192">
        <v>41439.340799999998</v>
      </c>
    </row>
    <row r="178" spans="1:45" ht="16.5" customHeight="1">
      <c r="A178" s="174">
        <v>46209</v>
      </c>
      <c r="B178" s="175" t="s">
        <v>388</v>
      </c>
      <c r="C178" s="175" t="s">
        <v>17296</v>
      </c>
      <c r="D178" s="175" t="s">
        <v>633</v>
      </c>
      <c r="E178" s="175" t="s">
        <v>16719</v>
      </c>
      <c r="F178" s="175" t="s">
        <v>17290</v>
      </c>
      <c r="G178" s="175">
        <v>700</v>
      </c>
      <c r="H178" s="175" t="s">
        <v>15541</v>
      </c>
      <c r="I178" s="175">
        <v>5.5</v>
      </c>
      <c r="J178" s="175">
        <v>12</v>
      </c>
      <c r="K178" s="175">
        <v>0</v>
      </c>
      <c r="L178" s="175" t="s">
        <v>17315</v>
      </c>
      <c r="M178" s="175">
        <v>10000</v>
      </c>
      <c r="N178" s="175">
        <v>7</v>
      </c>
      <c r="O178" s="175">
        <v>0</v>
      </c>
      <c r="P178" s="175" t="s">
        <v>632</v>
      </c>
      <c r="Q178" s="175">
        <v>10000</v>
      </c>
      <c r="R178" s="175">
        <v>5</v>
      </c>
      <c r="S178" s="175">
        <v>0</v>
      </c>
      <c r="T178" s="175" t="s">
        <v>632</v>
      </c>
      <c r="U178" s="175">
        <v>10000</v>
      </c>
      <c r="V178" s="175">
        <v>17</v>
      </c>
      <c r="W178" s="175">
        <v>0</v>
      </c>
      <c r="X178" s="175" t="s">
        <v>632</v>
      </c>
      <c r="Y178" s="175">
        <v>9910</v>
      </c>
      <c r="Z178" s="175">
        <v>5.8299595141700413</v>
      </c>
      <c r="AA178" s="175">
        <v>27.333333333333332</v>
      </c>
      <c r="AB178" s="175">
        <v>1</v>
      </c>
      <c r="AC178" s="175">
        <v>99.775000000000006</v>
      </c>
      <c r="AD178" s="175">
        <v>3.4166666666666665</v>
      </c>
      <c r="AE178" s="175">
        <v>3.4166666666666665</v>
      </c>
      <c r="AF178" s="175" t="s">
        <v>236</v>
      </c>
      <c r="AG178" s="175">
        <v>2</v>
      </c>
      <c r="AH178" s="175" t="s">
        <v>15337</v>
      </c>
      <c r="AI178" s="175" t="s">
        <v>15337</v>
      </c>
      <c r="AJ178" s="175" t="s">
        <v>15876</v>
      </c>
      <c r="AK178" s="175" t="s">
        <v>15876</v>
      </c>
      <c r="AL178" s="1159" t="s">
        <v>251</v>
      </c>
      <c r="AM178" s="175" t="s">
        <v>460</v>
      </c>
      <c r="AN178" s="175">
        <v>1.1890000000000001</v>
      </c>
      <c r="AO178" s="175">
        <v>2.8</v>
      </c>
      <c r="AP178" s="175">
        <v>24</v>
      </c>
      <c r="AQ178" s="175">
        <v>216</v>
      </c>
      <c r="AR178" s="175">
        <v>3.8</v>
      </c>
      <c r="AS178" s="192">
        <v>23422.3488</v>
      </c>
    </row>
    <row r="179" spans="1:45" ht="16.5" customHeight="1">
      <c r="A179" s="174">
        <v>46209</v>
      </c>
      <c r="B179" s="175" t="s">
        <v>417</v>
      </c>
      <c r="C179" s="175" t="s">
        <v>17291</v>
      </c>
      <c r="D179" s="175" t="s">
        <v>633</v>
      </c>
      <c r="E179" s="175" t="s">
        <v>16719</v>
      </c>
      <c r="F179" s="175" t="s">
        <v>17290</v>
      </c>
      <c r="G179" s="175">
        <v>700</v>
      </c>
      <c r="H179" s="175" t="s">
        <v>724</v>
      </c>
      <c r="I179" s="175">
        <v>5.5</v>
      </c>
      <c r="J179" s="175">
        <v>37</v>
      </c>
      <c r="K179" s="175">
        <v>0</v>
      </c>
      <c r="L179" s="175">
        <v>10000</v>
      </c>
      <c r="M179" s="175">
        <v>9540</v>
      </c>
      <c r="N179" s="175">
        <v>12</v>
      </c>
      <c r="O179" s="175">
        <v>0</v>
      </c>
      <c r="P179" s="175">
        <v>10000</v>
      </c>
      <c r="Q179" s="175">
        <v>9540</v>
      </c>
      <c r="R179" s="175">
        <v>7</v>
      </c>
      <c r="S179" s="175">
        <v>0</v>
      </c>
      <c r="T179" s="175">
        <v>10000</v>
      </c>
      <c r="U179" s="175">
        <v>9540</v>
      </c>
      <c r="V179" s="175">
        <v>25</v>
      </c>
      <c r="W179" s="175">
        <v>0</v>
      </c>
      <c r="X179" s="175">
        <v>9540</v>
      </c>
      <c r="Y179" s="175">
        <v>9070</v>
      </c>
      <c r="Z179" s="175">
        <v>5.8299595141700413</v>
      </c>
      <c r="AA179" s="175">
        <v>27</v>
      </c>
      <c r="AB179" s="175">
        <v>1</v>
      </c>
      <c r="AC179" s="175">
        <v>96.537499999999994</v>
      </c>
      <c r="AD179" s="175">
        <v>3.375</v>
      </c>
      <c r="AE179" s="175">
        <v>3.375</v>
      </c>
      <c r="AF179" s="175" t="s">
        <v>236</v>
      </c>
      <c r="AG179" s="175">
        <v>1</v>
      </c>
      <c r="AH179" s="175" t="s">
        <v>638</v>
      </c>
      <c r="AI179" s="175" t="s">
        <v>638</v>
      </c>
      <c r="AJ179" s="175" t="s">
        <v>652</v>
      </c>
      <c r="AK179" s="175" t="s">
        <v>652</v>
      </c>
      <c r="AL179" s="1159" t="s">
        <v>251</v>
      </c>
      <c r="AM179" s="175" t="s">
        <v>460</v>
      </c>
      <c r="AN179" s="175">
        <v>1.1890000000000001</v>
      </c>
      <c r="AO179" s="175">
        <v>2.8</v>
      </c>
      <c r="AP179" s="175">
        <v>24</v>
      </c>
      <c r="AQ179" s="175">
        <v>216</v>
      </c>
      <c r="AR179" s="175">
        <v>3.8</v>
      </c>
      <c r="AS179" s="192">
        <v>23422.3488</v>
      </c>
    </row>
    <row r="180" spans="1:45" ht="16.5" customHeight="1">
      <c r="A180" s="174">
        <v>46209</v>
      </c>
      <c r="B180" s="175" t="s">
        <v>240</v>
      </c>
      <c r="C180" s="175" t="s">
        <v>632</v>
      </c>
      <c r="E180" s="175" t="s">
        <v>419</v>
      </c>
      <c r="F180" s="175" t="s">
        <v>419</v>
      </c>
      <c r="G180" s="175" t="s">
        <v>419</v>
      </c>
      <c r="H180" s="175" t="s">
        <v>419</v>
      </c>
      <c r="I180" s="175" t="s">
        <v>419</v>
      </c>
      <c r="L180" s="175" t="s">
        <v>632</v>
      </c>
      <c r="P180" s="175" t="s">
        <v>632</v>
      </c>
      <c r="T180" s="175" t="s">
        <v>632</v>
      </c>
      <c r="X180" s="175" t="s">
        <v>632</v>
      </c>
      <c r="Z180" s="175" t="s">
        <v>419</v>
      </c>
      <c r="AA180" s="175" t="s">
        <v>632</v>
      </c>
      <c r="AB180" s="175" t="s">
        <v>419</v>
      </c>
      <c r="AC180" s="175" t="s">
        <v>419</v>
      </c>
      <c r="AD180" s="175" t="s">
        <v>419</v>
      </c>
      <c r="AE180" s="175" t="s">
        <v>419</v>
      </c>
      <c r="AF180" s="175" t="s">
        <v>241</v>
      </c>
      <c r="AG180" s="175">
        <v>12</v>
      </c>
      <c r="AH180" s="175" t="s">
        <v>640</v>
      </c>
      <c r="AI180" s="175" t="s">
        <v>640</v>
      </c>
      <c r="AJ180" s="175" t="s">
        <v>640</v>
      </c>
      <c r="AK180" s="175" t="s">
        <v>640</v>
      </c>
      <c r="AL180" s="1159" t="s">
        <v>419</v>
      </c>
      <c r="AM180" s="175" t="s">
        <v>419</v>
      </c>
      <c r="AN180" s="175" t="s">
        <v>419</v>
      </c>
      <c r="AO180" s="175" t="s">
        <v>419</v>
      </c>
      <c r="AP180" s="175">
        <v>24</v>
      </c>
      <c r="AQ180" s="175">
        <v>216</v>
      </c>
      <c r="AR180" s="175" t="s">
        <v>419</v>
      </c>
      <c r="AS180" s="192" t="s">
        <v>419</v>
      </c>
    </row>
    <row r="181" spans="1:45" ht="16.5" customHeight="1">
      <c r="A181" s="174">
        <v>46209</v>
      </c>
      <c r="B181" s="175" t="s">
        <v>242</v>
      </c>
      <c r="C181" s="175" t="s">
        <v>385</v>
      </c>
      <c r="E181" s="175" t="s">
        <v>419</v>
      </c>
      <c r="F181" s="175" t="s">
        <v>419</v>
      </c>
      <c r="G181" s="175" t="s">
        <v>419</v>
      </c>
      <c r="H181" s="175" t="s">
        <v>419</v>
      </c>
      <c r="I181" s="175" t="s">
        <v>419</v>
      </c>
      <c r="L181" s="175" t="s">
        <v>385</v>
      </c>
      <c r="P181" s="175" t="s">
        <v>385</v>
      </c>
      <c r="T181" s="175" t="s">
        <v>385</v>
      </c>
      <c r="X181" s="175" t="s">
        <v>385</v>
      </c>
      <c r="Z181" s="175" t="s">
        <v>419</v>
      </c>
      <c r="AA181" s="175" t="s">
        <v>385</v>
      </c>
      <c r="AB181" s="175" t="s">
        <v>419</v>
      </c>
      <c r="AC181" s="175" t="s">
        <v>419</v>
      </c>
      <c r="AD181" s="175" t="s">
        <v>419</v>
      </c>
      <c r="AE181" s="175" t="s">
        <v>419</v>
      </c>
      <c r="AF181" s="175" t="s">
        <v>241</v>
      </c>
      <c r="AG181" s="175">
        <v>5</v>
      </c>
      <c r="AH181" s="175" t="s">
        <v>815</v>
      </c>
      <c r="AI181" s="175" t="s">
        <v>815</v>
      </c>
      <c r="AJ181" s="175" t="s">
        <v>635</v>
      </c>
      <c r="AK181" s="175" t="s">
        <v>635</v>
      </c>
      <c r="AL181" s="1159" t="s">
        <v>419</v>
      </c>
      <c r="AM181" s="175" t="s">
        <v>419</v>
      </c>
      <c r="AN181" s="175" t="s">
        <v>419</v>
      </c>
      <c r="AO181" s="175" t="s">
        <v>419</v>
      </c>
      <c r="AP181" s="175">
        <v>24</v>
      </c>
      <c r="AQ181" s="175">
        <v>216</v>
      </c>
      <c r="AR181" s="175" t="s">
        <v>419</v>
      </c>
      <c r="AS181" s="192" t="s">
        <v>419</v>
      </c>
    </row>
    <row r="182" spans="1:45" ht="16.5" customHeight="1">
      <c r="A182" s="174">
        <v>46210</v>
      </c>
      <c r="B182" s="175" t="s">
        <v>212</v>
      </c>
      <c r="C182" s="175" t="s">
        <v>632</v>
      </c>
      <c r="E182" s="175" t="s">
        <v>419</v>
      </c>
      <c r="F182" s="175" t="s">
        <v>419</v>
      </c>
      <c r="G182" s="175" t="s">
        <v>419</v>
      </c>
      <c r="H182" s="175" t="s">
        <v>419</v>
      </c>
      <c r="I182" s="175" t="s">
        <v>419</v>
      </c>
      <c r="L182" s="175" t="s">
        <v>632</v>
      </c>
      <c r="P182" s="175" t="s">
        <v>632</v>
      </c>
      <c r="T182" s="175" t="s">
        <v>632</v>
      </c>
      <c r="X182" s="175" t="s">
        <v>632</v>
      </c>
      <c r="Z182" s="175" t="s">
        <v>419</v>
      </c>
      <c r="AA182" s="175" t="s">
        <v>632</v>
      </c>
      <c r="AB182" s="175" t="s">
        <v>419</v>
      </c>
      <c r="AC182" s="175" t="s">
        <v>419</v>
      </c>
      <c r="AD182" s="175" t="s">
        <v>419</v>
      </c>
      <c r="AE182" s="175" t="s">
        <v>419</v>
      </c>
      <c r="AF182" s="175" t="s">
        <v>213</v>
      </c>
      <c r="AG182" s="175">
        <v>1</v>
      </c>
      <c r="AH182" s="175" t="s">
        <v>640</v>
      </c>
      <c r="AI182" s="175" t="s">
        <v>640</v>
      </c>
      <c r="AJ182" s="175" t="s">
        <v>640</v>
      </c>
      <c r="AK182" s="175" t="s">
        <v>640</v>
      </c>
      <c r="AL182" s="1159" t="s">
        <v>419</v>
      </c>
      <c r="AM182" s="175" t="s">
        <v>419</v>
      </c>
      <c r="AN182" s="175" t="s">
        <v>419</v>
      </c>
      <c r="AO182" s="175" t="s">
        <v>419</v>
      </c>
      <c r="AP182" s="175">
        <v>24</v>
      </c>
      <c r="AQ182" s="175">
        <v>216</v>
      </c>
      <c r="AR182" s="175" t="s">
        <v>419</v>
      </c>
      <c r="AS182" s="192" t="s">
        <v>419</v>
      </c>
    </row>
    <row r="183" spans="1:45" ht="16.5" customHeight="1">
      <c r="A183" s="174">
        <v>46210</v>
      </c>
      <c r="B183" s="175" t="s">
        <v>214</v>
      </c>
      <c r="C183" s="175" t="s">
        <v>632</v>
      </c>
      <c r="E183" s="175" t="s">
        <v>419</v>
      </c>
      <c r="F183" s="175" t="s">
        <v>419</v>
      </c>
      <c r="G183" s="175" t="s">
        <v>419</v>
      </c>
      <c r="H183" s="175" t="s">
        <v>419</v>
      </c>
      <c r="I183" s="175" t="s">
        <v>419</v>
      </c>
      <c r="L183" s="175" t="s">
        <v>632</v>
      </c>
      <c r="P183" s="175" t="s">
        <v>632</v>
      </c>
      <c r="T183" s="175" t="s">
        <v>632</v>
      </c>
      <c r="X183" s="175" t="s">
        <v>632</v>
      </c>
      <c r="Z183" s="175" t="s">
        <v>419</v>
      </c>
      <c r="AA183" s="175" t="s">
        <v>632</v>
      </c>
      <c r="AB183" s="175" t="s">
        <v>419</v>
      </c>
      <c r="AC183" s="175" t="s">
        <v>419</v>
      </c>
      <c r="AD183" s="175" t="s">
        <v>419</v>
      </c>
      <c r="AE183" s="175" t="s">
        <v>419</v>
      </c>
      <c r="AF183" s="175" t="s">
        <v>213</v>
      </c>
      <c r="AG183" s="175">
        <v>1</v>
      </c>
      <c r="AH183" s="175" t="s">
        <v>640</v>
      </c>
      <c r="AI183" s="175" t="s">
        <v>640</v>
      </c>
      <c r="AJ183" s="175" t="s">
        <v>640</v>
      </c>
      <c r="AK183" s="175" t="s">
        <v>640</v>
      </c>
      <c r="AL183" s="1159" t="s">
        <v>419</v>
      </c>
      <c r="AM183" s="175" t="s">
        <v>419</v>
      </c>
      <c r="AN183" s="175" t="s">
        <v>419</v>
      </c>
      <c r="AO183" s="175" t="s">
        <v>419</v>
      </c>
      <c r="AP183" s="175">
        <v>24</v>
      </c>
      <c r="AQ183" s="175">
        <v>216</v>
      </c>
      <c r="AR183" s="175" t="s">
        <v>419</v>
      </c>
      <c r="AS183" s="192" t="s">
        <v>419</v>
      </c>
    </row>
    <row r="184" spans="1:45" ht="16.5" customHeight="1">
      <c r="A184" s="174">
        <v>46210</v>
      </c>
      <c r="B184" s="175" t="s">
        <v>215</v>
      </c>
      <c r="C184" s="175" t="s">
        <v>17316</v>
      </c>
      <c r="E184" s="175" t="s">
        <v>5005</v>
      </c>
      <c r="F184" s="175" t="s">
        <v>17317</v>
      </c>
      <c r="G184" s="175">
        <v>500</v>
      </c>
      <c r="H184" s="175" t="s">
        <v>1186</v>
      </c>
      <c r="I184" s="175">
        <v>4</v>
      </c>
      <c r="J184" s="175">
        <v>32</v>
      </c>
      <c r="K184" s="175">
        <v>2</v>
      </c>
      <c r="L184" s="175">
        <v>8730</v>
      </c>
      <c r="M184" s="175">
        <v>7710</v>
      </c>
      <c r="N184" s="175">
        <v>2</v>
      </c>
      <c r="O184" s="175">
        <v>2</v>
      </c>
      <c r="P184" s="175">
        <v>8307</v>
      </c>
      <c r="Q184" s="175">
        <v>6786</v>
      </c>
      <c r="R184" s="175">
        <v>24</v>
      </c>
      <c r="S184" s="175">
        <v>0</v>
      </c>
      <c r="T184" s="175">
        <v>8331</v>
      </c>
      <c r="U184" s="175">
        <v>6912</v>
      </c>
      <c r="V184" s="175">
        <v>34</v>
      </c>
      <c r="W184" s="175">
        <v>0</v>
      </c>
      <c r="X184" s="175">
        <v>8431</v>
      </c>
      <c r="Y184" s="175">
        <v>6732</v>
      </c>
      <c r="Z184" s="175">
        <v>2.9937629937629939</v>
      </c>
      <c r="AA184" s="175">
        <v>30.666666666666668</v>
      </c>
      <c r="AB184" s="175">
        <v>0.99357638888888888</v>
      </c>
      <c r="AC184" s="175">
        <v>77.423749999999998</v>
      </c>
      <c r="AD184" s="175">
        <v>3.8333333333333335</v>
      </c>
      <c r="AE184" s="175">
        <v>3.6666666666666665</v>
      </c>
      <c r="AF184" s="175" t="s">
        <v>213</v>
      </c>
      <c r="AG184" s="175">
        <v>1</v>
      </c>
      <c r="AH184" s="175" t="s">
        <v>634</v>
      </c>
      <c r="AI184" s="175" t="s">
        <v>634</v>
      </c>
      <c r="AJ184" s="175" t="s">
        <v>15368</v>
      </c>
      <c r="AK184" s="175" t="s">
        <v>15368</v>
      </c>
      <c r="AL184" s="1159" t="s">
        <v>250</v>
      </c>
      <c r="AM184" s="175" t="s">
        <v>126</v>
      </c>
      <c r="AN184" s="175">
        <v>0.91100000000000003</v>
      </c>
      <c r="AO184" s="175">
        <v>1.9</v>
      </c>
      <c r="AP184" s="175">
        <v>24</v>
      </c>
      <c r="AQ184" s="175">
        <v>216</v>
      </c>
      <c r="AR184" s="175">
        <v>2.9</v>
      </c>
      <c r="AS184" s="192">
        <v>13695.6096</v>
      </c>
    </row>
    <row r="185" spans="1:45" ht="16.5" customHeight="1">
      <c r="A185" s="174">
        <v>46210</v>
      </c>
      <c r="B185" s="175" t="s">
        <v>216</v>
      </c>
      <c r="C185" s="175" t="s">
        <v>632</v>
      </c>
      <c r="E185" s="175" t="s">
        <v>419</v>
      </c>
      <c r="F185" s="175" t="s">
        <v>419</v>
      </c>
      <c r="G185" s="175" t="s">
        <v>419</v>
      </c>
      <c r="H185" s="175" t="s">
        <v>419</v>
      </c>
      <c r="I185" s="175" t="s">
        <v>419</v>
      </c>
      <c r="L185" s="175" t="s">
        <v>632</v>
      </c>
      <c r="P185" s="175" t="s">
        <v>632</v>
      </c>
      <c r="T185" s="175" t="s">
        <v>632</v>
      </c>
      <c r="X185" s="175" t="s">
        <v>632</v>
      </c>
      <c r="Z185" s="175" t="s">
        <v>419</v>
      </c>
      <c r="AA185" s="175" t="s">
        <v>632</v>
      </c>
      <c r="AB185" s="175" t="s">
        <v>419</v>
      </c>
      <c r="AC185" s="175" t="s">
        <v>419</v>
      </c>
      <c r="AD185" s="175" t="s">
        <v>419</v>
      </c>
      <c r="AE185" s="175" t="s">
        <v>419</v>
      </c>
      <c r="AF185" s="175" t="s">
        <v>213</v>
      </c>
      <c r="AG185" s="175">
        <v>1</v>
      </c>
      <c r="AH185" s="175" t="s">
        <v>640</v>
      </c>
      <c r="AI185" s="175" t="s">
        <v>640</v>
      </c>
      <c r="AJ185" s="175" t="s">
        <v>640</v>
      </c>
      <c r="AK185" s="175" t="s">
        <v>640</v>
      </c>
      <c r="AL185" s="1159" t="s">
        <v>419</v>
      </c>
      <c r="AM185" s="175" t="s">
        <v>419</v>
      </c>
      <c r="AN185" s="175" t="s">
        <v>419</v>
      </c>
      <c r="AO185" s="175" t="s">
        <v>419</v>
      </c>
      <c r="AP185" s="175">
        <v>24</v>
      </c>
      <c r="AQ185" s="175">
        <v>216</v>
      </c>
      <c r="AR185" s="175" t="s">
        <v>419</v>
      </c>
      <c r="AS185" s="192" t="s">
        <v>419</v>
      </c>
    </row>
    <row r="186" spans="1:45" ht="16.5" customHeight="1">
      <c r="A186" s="174">
        <v>46210</v>
      </c>
      <c r="B186" s="175" t="s">
        <v>217</v>
      </c>
      <c r="C186" s="175" t="s">
        <v>17380</v>
      </c>
      <c r="E186" s="175" t="s">
        <v>17381</v>
      </c>
      <c r="F186" s="175" t="s">
        <v>17382</v>
      </c>
      <c r="G186" s="175">
        <v>680</v>
      </c>
      <c r="H186" s="175" t="s">
        <v>16728</v>
      </c>
      <c r="I186" s="175">
        <v>5</v>
      </c>
      <c r="L186" s="175" t="s">
        <v>642</v>
      </c>
      <c r="P186" s="175" t="s">
        <v>642</v>
      </c>
      <c r="T186" s="175" t="s">
        <v>477</v>
      </c>
      <c r="V186" s="175">
        <v>22</v>
      </c>
      <c r="W186" s="175">
        <v>0</v>
      </c>
      <c r="X186" s="175">
        <v>8657</v>
      </c>
      <c r="Y186" s="175">
        <v>8842</v>
      </c>
      <c r="Z186" s="175">
        <v>1.5824175824175823</v>
      </c>
      <c r="AA186" s="175" t="s">
        <v>642</v>
      </c>
      <c r="AB186" s="175" t="s">
        <v>419</v>
      </c>
      <c r="AC186" s="175" t="s">
        <v>419</v>
      </c>
      <c r="AD186" s="175" t="s">
        <v>419</v>
      </c>
      <c r="AE186" s="175" t="s">
        <v>419</v>
      </c>
      <c r="AF186" s="175" t="s">
        <v>213</v>
      </c>
      <c r="AG186" s="175">
        <v>1</v>
      </c>
      <c r="AH186" s="175" t="s">
        <v>634</v>
      </c>
      <c r="AI186" s="175" t="s">
        <v>634</v>
      </c>
      <c r="AJ186" s="175" t="s">
        <v>640</v>
      </c>
      <c r="AK186" s="175" t="s">
        <v>640</v>
      </c>
      <c r="AL186" s="1159" t="s">
        <v>251</v>
      </c>
      <c r="AM186" s="175" t="s">
        <v>126</v>
      </c>
      <c r="AN186" s="175">
        <v>0.91100000000000003</v>
      </c>
      <c r="AO186" s="175">
        <v>1.3</v>
      </c>
      <c r="AP186" s="175">
        <v>24</v>
      </c>
      <c r="AQ186" s="175">
        <v>216</v>
      </c>
      <c r="AR186" s="175">
        <v>2.2999999999999998</v>
      </c>
      <c r="AS186" s="192">
        <v>10862.035199999998</v>
      </c>
    </row>
    <row r="187" spans="1:45" ht="16.5" customHeight="1">
      <c r="A187" s="174">
        <v>46210</v>
      </c>
      <c r="B187" s="175" t="s">
        <v>218</v>
      </c>
      <c r="C187" s="175" t="s">
        <v>17221</v>
      </c>
      <c r="E187" s="175" t="s">
        <v>17237</v>
      </c>
      <c r="F187" s="175" t="s">
        <v>17229</v>
      </c>
      <c r="G187" s="175">
        <v>600</v>
      </c>
      <c r="H187" s="175" t="s">
        <v>15893</v>
      </c>
      <c r="I187" s="175">
        <v>5</v>
      </c>
      <c r="J187" s="175">
        <v>18</v>
      </c>
      <c r="K187" s="175">
        <v>4</v>
      </c>
      <c r="L187" s="175">
        <v>8855</v>
      </c>
      <c r="M187" s="175">
        <v>9437</v>
      </c>
      <c r="N187" s="175">
        <v>4</v>
      </c>
      <c r="O187" s="175">
        <v>0</v>
      </c>
      <c r="P187" s="175">
        <v>8921</v>
      </c>
      <c r="R187" s="175">
        <v>12</v>
      </c>
      <c r="S187" s="175">
        <v>0</v>
      </c>
      <c r="T187" s="175">
        <v>8865</v>
      </c>
      <c r="U187" s="175">
        <v>9572</v>
      </c>
      <c r="V187" s="175">
        <v>38</v>
      </c>
      <c r="W187" s="175">
        <v>0</v>
      </c>
      <c r="X187" s="175">
        <v>9131</v>
      </c>
      <c r="Y187" s="175">
        <v>9016</v>
      </c>
      <c r="Z187" s="175">
        <v>2.8015564202334629</v>
      </c>
      <c r="AA187" s="175">
        <v>12</v>
      </c>
      <c r="AB187" s="175">
        <v>0.99313568376068373</v>
      </c>
      <c r="AC187" s="175">
        <v>91.138571428571424</v>
      </c>
      <c r="AD187" s="175">
        <v>1.5</v>
      </c>
      <c r="AE187" s="175">
        <v>1.4166666666666667</v>
      </c>
      <c r="AF187" s="175" t="s">
        <v>213</v>
      </c>
      <c r="AG187" s="175">
        <v>0.5</v>
      </c>
      <c r="AH187" s="175" t="s">
        <v>634</v>
      </c>
      <c r="AI187" s="175" t="s">
        <v>634</v>
      </c>
      <c r="AJ187" s="175" t="s">
        <v>15368</v>
      </c>
      <c r="AK187" s="175" t="s">
        <v>15368</v>
      </c>
      <c r="AL187" s="1159" t="s">
        <v>250</v>
      </c>
      <c r="AM187" s="175" t="s">
        <v>126</v>
      </c>
      <c r="AN187" s="175">
        <v>0.91100000000000003</v>
      </c>
      <c r="AO187" s="175">
        <v>1.7</v>
      </c>
      <c r="AP187" s="175">
        <v>24</v>
      </c>
      <c r="AQ187" s="175">
        <v>216</v>
      </c>
      <c r="AR187" s="175">
        <v>2.7</v>
      </c>
      <c r="AS187" s="192">
        <v>12751.084800000001</v>
      </c>
    </row>
    <row r="188" spans="1:45" ht="16.5" customHeight="1">
      <c r="A188" s="174">
        <v>46210</v>
      </c>
      <c r="B188" s="175" t="s">
        <v>219</v>
      </c>
      <c r="C188" s="175" t="s">
        <v>632</v>
      </c>
      <c r="E188" s="175" t="s">
        <v>419</v>
      </c>
      <c r="F188" s="175" t="s">
        <v>419</v>
      </c>
      <c r="G188" s="175" t="s">
        <v>419</v>
      </c>
      <c r="H188" s="175" t="s">
        <v>419</v>
      </c>
      <c r="I188" s="175" t="s">
        <v>419</v>
      </c>
      <c r="L188" s="175" t="s">
        <v>632</v>
      </c>
      <c r="P188" s="175" t="s">
        <v>632</v>
      </c>
      <c r="T188" s="175" t="s">
        <v>632</v>
      </c>
      <c r="X188" s="175" t="s">
        <v>632</v>
      </c>
      <c r="Z188" s="175" t="s">
        <v>419</v>
      </c>
      <c r="AA188" s="175" t="s">
        <v>632</v>
      </c>
      <c r="AB188" s="175" t="s">
        <v>419</v>
      </c>
      <c r="AC188" s="175" t="s">
        <v>419</v>
      </c>
      <c r="AD188" s="175" t="s">
        <v>419</v>
      </c>
      <c r="AE188" s="175" t="s">
        <v>419</v>
      </c>
      <c r="AF188" s="175" t="s">
        <v>213</v>
      </c>
      <c r="AG188" s="175">
        <v>1</v>
      </c>
      <c r="AH188" s="175" t="s">
        <v>640</v>
      </c>
      <c r="AI188" s="175" t="s">
        <v>640</v>
      </c>
      <c r="AJ188" s="175" t="s">
        <v>640</v>
      </c>
      <c r="AK188" s="175" t="s">
        <v>640</v>
      </c>
      <c r="AL188" s="1159" t="s">
        <v>419</v>
      </c>
      <c r="AM188" s="175" t="s">
        <v>419</v>
      </c>
      <c r="AN188" s="175" t="s">
        <v>419</v>
      </c>
      <c r="AO188" s="175" t="s">
        <v>419</v>
      </c>
      <c r="AP188" s="175">
        <v>24</v>
      </c>
      <c r="AQ188" s="175">
        <v>216</v>
      </c>
      <c r="AR188" s="175" t="s">
        <v>419</v>
      </c>
      <c r="AS188" s="192" t="s">
        <v>419</v>
      </c>
    </row>
    <row r="189" spans="1:45" ht="16.5" customHeight="1">
      <c r="A189" s="174">
        <v>46210</v>
      </c>
      <c r="B189" s="175" t="s">
        <v>220</v>
      </c>
      <c r="C189" s="175" t="s">
        <v>632</v>
      </c>
      <c r="E189" s="175" t="s">
        <v>419</v>
      </c>
      <c r="F189" s="175" t="s">
        <v>419</v>
      </c>
      <c r="G189" s="175" t="s">
        <v>419</v>
      </c>
      <c r="H189" s="175" t="s">
        <v>419</v>
      </c>
      <c r="I189" s="175" t="s">
        <v>419</v>
      </c>
      <c r="L189" s="175" t="s">
        <v>632</v>
      </c>
      <c r="P189" s="175" t="s">
        <v>632</v>
      </c>
      <c r="T189" s="175" t="s">
        <v>632</v>
      </c>
      <c r="X189" s="175" t="s">
        <v>632</v>
      </c>
      <c r="Z189" s="175" t="s">
        <v>419</v>
      </c>
      <c r="AA189" s="175" t="s">
        <v>632</v>
      </c>
      <c r="AB189" s="175" t="s">
        <v>419</v>
      </c>
      <c r="AC189" s="175" t="s">
        <v>419</v>
      </c>
      <c r="AD189" s="175" t="s">
        <v>419</v>
      </c>
      <c r="AE189" s="175" t="s">
        <v>419</v>
      </c>
      <c r="AF189" s="175" t="s">
        <v>213</v>
      </c>
      <c r="AG189" s="175">
        <v>1</v>
      </c>
      <c r="AH189" s="175" t="s">
        <v>640</v>
      </c>
      <c r="AI189" s="175" t="s">
        <v>640</v>
      </c>
      <c r="AJ189" s="175" t="s">
        <v>640</v>
      </c>
      <c r="AK189" s="175" t="s">
        <v>640</v>
      </c>
      <c r="AL189" s="1159" t="s">
        <v>419</v>
      </c>
      <c r="AM189" s="175" t="s">
        <v>419</v>
      </c>
      <c r="AN189" s="175" t="s">
        <v>419</v>
      </c>
      <c r="AO189" s="175" t="s">
        <v>419</v>
      </c>
      <c r="AP189" s="175">
        <v>24</v>
      </c>
      <c r="AQ189" s="175">
        <v>216</v>
      </c>
      <c r="AR189" s="175" t="s">
        <v>419</v>
      </c>
      <c r="AS189" s="192" t="s">
        <v>419</v>
      </c>
    </row>
    <row r="190" spans="1:45" ht="16.5" customHeight="1">
      <c r="A190" s="174">
        <v>46210</v>
      </c>
      <c r="B190" s="175" t="s">
        <v>221</v>
      </c>
      <c r="C190" s="175" t="s">
        <v>632</v>
      </c>
      <c r="E190" s="175" t="s">
        <v>419</v>
      </c>
      <c r="F190" s="175" t="s">
        <v>419</v>
      </c>
      <c r="G190" s="175" t="s">
        <v>419</v>
      </c>
      <c r="H190" s="175" t="s">
        <v>419</v>
      </c>
      <c r="I190" s="175" t="s">
        <v>419</v>
      </c>
      <c r="L190" s="175" t="s">
        <v>632</v>
      </c>
      <c r="P190" s="175" t="s">
        <v>632</v>
      </c>
      <c r="T190" s="175" t="s">
        <v>632</v>
      </c>
      <c r="X190" s="175" t="s">
        <v>632</v>
      </c>
      <c r="Z190" s="175" t="s">
        <v>419</v>
      </c>
      <c r="AA190" s="175" t="s">
        <v>632</v>
      </c>
      <c r="AB190" s="175" t="s">
        <v>419</v>
      </c>
      <c r="AC190" s="175" t="s">
        <v>419</v>
      </c>
      <c r="AD190" s="175" t="s">
        <v>419</v>
      </c>
      <c r="AE190" s="175" t="s">
        <v>419</v>
      </c>
      <c r="AF190" s="175" t="s">
        <v>213</v>
      </c>
      <c r="AG190" s="175">
        <v>1</v>
      </c>
      <c r="AH190" s="175" t="s">
        <v>640</v>
      </c>
      <c r="AI190" s="175" t="s">
        <v>640</v>
      </c>
      <c r="AJ190" s="175" t="s">
        <v>640</v>
      </c>
      <c r="AK190" s="175" t="s">
        <v>640</v>
      </c>
      <c r="AL190" s="1159" t="s">
        <v>419</v>
      </c>
      <c r="AM190" s="175" t="s">
        <v>419</v>
      </c>
      <c r="AN190" s="175" t="s">
        <v>419</v>
      </c>
      <c r="AO190" s="175" t="s">
        <v>419</v>
      </c>
      <c r="AP190" s="175">
        <v>24</v>
      </c>
      <c r="AQ190" s="175">
        <v>216</v>
      </c>
      <c r="AR190" s="175" t="s">
        <v>419</v>
      </c>
      <c r="AS190" s="192" t="s">
        <v>419</v>
      </c>
    </row>
    <row r="191" spans="1:45" ht="16.5" customHeight="1">
      <c r="A191" s="174">
        <v>46210</v>
      </c>
      <c r="B191" s="175" t="s">
        <v>222</v>
      </c>
      <c r="C191" s="175" t="s">
        <v>17261</v>
      </c>
      <c r="D191" s="175" t="s">
        <v>16748</v>
      </c>
      <c r="E191" s="175" t="s">
        <v>17177</v>
      </c>
      <c r="F191" s="175" t="s">
        <v>17262</v>
      </c>
      <c r="G191" s="175">
        <v>550</v>
      </c>
      <c r="H191" s="175" t="s">
        <v>762</v>
      </c>
      <c r="I191" s="175">
        <v>2</v>
      </c>
      <c r="J191" s="175">
        <v>11</v>
      </c>
      <c r="K191" s="175">
        <v>1</v>
      </c>
      <c r="L191" s="175">
        <v>9349</v>
      </c>
      <c r="M191" s="175" t="s">
        <v>632</v>
      </c>
      <c r="N191" s="175">
        <v>0</v>
      </c>
      <c r="O191" s="175">
        <v>0</v>
      </c>
      <c r="P191" s="175">
        <v>9069</v>
      </c>
      <c r="Q191" s="175" t="s">
        <v>632</v>
      </c>
      <c r="R191" s="175">
        <v>11</v>
      </c>
      <c r="S191" s="175">
        <v>0</v>
      </c>
      <c r="T191" s="175">
        <v>9069</v>
      </c>
      <c r="U191" s="175" t="s">
        <v>632</v>
      </c>
      <c r="V191" s="175">
        <v>16</v>
      </c>
      <c r="W191" s="175">
        <v>0</v>
      </c>
      <c r="X191" s="175">
        <v>9259</v>
      </c>
      <c r="Y191" s="175" t="s">
        <v>632</v>
      </c>
      <c r="Z191" s="175">
        <v>2.1492537313432836</v>
      </c>
      <c r="AA191" s="175">
        <v>25.333333333333332</v>
      </c>
      <c r="AB191" s="175">
        <v>0.99776308760683763</v>
      </c>
      <c r="AC191" s="175">
        <v>91.864999999999995</v>
      </c>
      <c r="AD191" s="175">
        <v>3.1666666666666665</v>
      </c>
      <c r="AE191" s="175">
        <v>3.0833333333333335</v>
      </c>
      <c r="AF191" s="175" t="s">
        <v>213</v>
      </c>
      <c r="AG191" s="175">
        <v>2</v>
      </c>
      <c r="AH191" s="175" t="s">
        <v>634</v>
      </c>
      <c r="AI191" s="175" t="s">
        <v>634</v>
      </c>
      <c r="AJ191" s="175" t="s">
        <v>15368</v>
      </c>
      <c r="AK191" s="175" t="s">
        <v>15368</v>
      </c>
      <c r="AL191" s="1159" t="s">
        <v>250</v>
      </c>
      <c r="AM191" s="175" t="s">
        <v>126</v>
      </c>
      <c r="AN191" s="175">
        <v>0.91100000000000003</v>
      </c>
      <c r="AO191" s="175">
        <v>0.7</v>
      </c>
      <c r="AP191" s="175">
        <v>24</v>
      </c>
      <c r="AQ191" s="175">
        <v>216</v>
      </c>
      <c r="AR191" s="175">
        <v>1.7</v>
      </c>
      <c r="AS191" s="192">
        <v>8028.4608000000007</v>
      </c>
    </row>
    <row r="192" spans="1:45" ht="16.5" customHeight="1">
      <c r="A192" s="174">
        <v>46210</v>
      </c>
      <c r="B192" s="175" t="s">
        <v>223</v>
      </c>
      <c r="C192" s="175" t="s">
        <v>17263</v>
      </c>
      <c r="D192" s="175" t="s">
        <v>16748</v>
      </c>
      <c r="E192" s="175" t="s">
        <v>17156</v>
      </c>
      <c r="F192" s="175" t="s">
        <v>17264</v>
      </c>
      <c r="G192" s="175">
        <v>600</v>
      </c>
      <c r="H192" s="175" t="s">
        <v>456</v>
      </c>
      <c r="I192" s="175">
        <v>3</v>
      </c>
      <c r="J192" s="175">
        <v>10</v>
      </c>
      <c r="K192" s="175">
        <v>0</v>
      </c>
      <c r="L192" s="175">
        <v>7650</v>
      </c>
      <c r="M192" s="175" t="s">
        <v>632</v>
      </c>
      <c r="N192" s="175">
        <v>5</v>
      </c>
      <c r="O192" s="175">
        <v>0</v>
      </c>
      <c r="P192" s="175">
        <v>7585</v>
      </c>
      <c r="Q192" s="175" t="s">
        <v>632</v>
      </c>
      <c r="R192" s="175">
        <v>3</v>
      </c>
      <c r="S192" s="175">
        <v>0</v>
      </c>
      <c r="T192" s="175">
        <v>7800</v>
      </c>
      <c r="U192" s="175" t="s">
        <v>632</v>
      </c>
      <c r="V192" s="175">
        <v>6</v>
      </c>
      <c r="W192" s="175">
        <v>0</v>
      </c>
      <c r="X192" s="175">
        <v>7622</v>
      </c>
      <c r="Y192" s="175" t="s">
        <v>632</v>
      </c>
      <c r="Z192" s="175">
        <v>2.4</v>
      </c>
      <c r="AA192" s="175">
        <v>16</v>
      </c>
      <c r="AB192" s="175">
        <v>1</v>
      </c>
      <c r="AC192" s="175">
        <v>76.642499999999998</v>
      </c>
      <c r="AD192" s="175">
        <v>2</v>
      </c>
      <c r="AE192" s="175">
        <v>2</v>
      </c>
      <c r="AF192" s="175" t="s">
        <v>213</v>
      </c>
      <c r="AG192" s="175">
        <v>2</v>
      </c>
      <c r="AH192" s="175" t="s">
        <v>634</v>
      </c>
      <c r="AI192" s="175" t="s">
        <v>634</v>
      </c>
      <c r="AJ192" s="175" t="s">
        <v>15368</v>
      </c>
      <c r="AK192" s="175" t="s">
        <v>15368</v>
      </c>
      <c r="AL192" s="1159" t="s">
        <v>250</v>
      </c>
      <c r="AM192" s="175" t="s">
        <v>126</v>
      </c>
      <c r="AN192" s="175">
        <v>0.91100000000000003</v>
      </c>
      <c r="AO192" s="175">
        <v>0.8</v>
      </c>
      <c r="AP192" s="175">
        <v>24</v>
      </c>
      <c r="AQ192" s="175">
        <v>216</v>
      </c>
      <c r="AR192" s="175">
        <v>1.8</v>
      </c>
      <c r="AS192" s="192">
        <v>8500.7232000000004</v>
      </c>
    </row>
    <row r="193" spans="1:45" ht="16.5" customHeight="1">
      <c r="A193" s="174">
        <v>46210</v>
      </c>
      <c r="B193" s="175" t="s">
        <v>224</v>
      </c>
      <c r="C193" s="175" t="s">
        <v>632</v>
      </c>
      <c r="E193" s="175" t="s">
        <v>419</v>
      </c>
      <c r="F193" s="175" t="s">
        <v>419</v>
      </c>
      <c r="G193" s="175" t="s">
        <v>419</v>
      </c>
      <c r="H193" s="175" t="s">
        <v>419</v>
      </c>
      <c r="I193" s="175" t="s">
        <v>419</v>
      </c>
      <c r="L193" s="175" t="s">
        <v>632</v>
      </c>
      <c r="P193" s="175" t="s">
        <v>632</v>
      </c>
      <c r="T193" s="175" t="s">
        <v>632</v>
      </c>
      <c r="X193" s="175" t="s">
        <v>632</v>
      </c>
      <c r="Z193" s="175" t="s">
        <v>419</v>
      </c>
      <c r="AA193" s="175" t="s">
        <v>632</v>
      </c>
      <c r="AB193" s="175" t="s">
        <v>419</v>
      </c>
      <c r="AC193" s="175" t="s">
        <v>419</v>
      </c>
      <c r="AD193" s="175" t="s">
        <v>419</v>
      </c>
      <c r="AE193" s="175" t="s">
        <v>419</v>
      </c>
      <c r="AF193" s="175" t="s">
        <v>213</v>
      </c>
      <c r="AG193" s="175">
        <v>0.5</v>
      </c>
      <c r="AH193" s="175" t="s">
        <v>640</v>
      </c>
      <c r="AI193" s="175" t="s">
        <v>640</v>
      </c>
      <c r="AJ193" s="175" t="s">
        <v>640</v>
      </c>
      <c r="AK193" s="175" t="s">
        <v>640</v>
      </c>
      <c r="AL193" s="1159" t="s">
        <v>419</v>
      </c>
      <c r="AM193" s="175" t="s">
        <v>419</v>
      </c>
      <c r="AN193" s="175" t="s">
        <v>419</v>
      </c>
      <c r="AO193" s="175" t="s">
        <v>419</v>
      </c>
      <c r="AP193" s="175">
        <v>24</v>
      </c>
      <c r="AQ193" s="175">
        <v>216</v>
      </c>
      <c r="AR193" s="175" t="s">
        <v>419</v>
      </c>
      <c r="AS193" s="192" t="s">
        <v>419</v>
      </c>
    </row>
    <row r="194" spans="1:45" ht="16.5" customHeight="1">
      <c r="A194" s="174">
        <v>46210</v>
      </c>
      <c r="B194" s="175" t="s">
        <v>225</v>
      </c>
      <c r="C194" s="175" t="s">
        <v>632</v>
      </c>
      <c r="E194" s="175" t="s">
        <v>419</v>
      </c>
      <c r="F194" s="175" t="s">
        <v>419</v>
      </c>
      <c r="G194" s="175" t="s">
        <v>419</v>
      </c>
      <c r="H194" s="175" t="s">
        <v>419</v>
      </c>
      <c r="I194" s="175" t="s">
        <v>419</v>
      </c>
      <c r="L194" s="175" t="s">
        <v>632</v>
      </c>
      <c r="P194" s="175" t="s">
        <v>632</v>
      </c>
      <c r="T194" s="175" t="s">
        <v>632</v>
      </c>
      <c r="X194" s="175" t="s">
        <v>632</v>
      </c>
      <c r="Z194" s="175" t="s">
        <v>419</v>
      </c>
      <c r="AA194" s="175" t="s">
        <v>632</v>
      </c>
      <c r="AB194" s="175" t="s">
        <v>419</v>
      </c>
      <c r="AC194" s="175" t="s">
        <v>419</v>
      </c>
      <c r="AD194" s="175" t="s">
        <v>419</v>
      </c>
      <c r="AE194" s="175" t="s">
        <v>419</v>
      </c>
      <c r="AF194" s="175" t="s">
        <v>213</v>
      </c>
      <c r="AG194" s="175">
        <v>1</v>
      </c>
      <c r="AH194" s="175" t="s">
        <v>640</v>
      </c>
      <c r="AI194" s="175" t="s">
        <v>640</v>
      </c>
      <c r="AJ194" s="175" t="s">
        <v>640</v>
      </c>
      <c r="AK194" s="175" t="s">
        <v>640</v>
      </c>
      <c r="AL194" s="1159" t="s">
        <v>419</v>
      </c>
      <c r="AM194" s="175" t="s">
        <v>419</v>
      </c>
      <c r="AN194" s="175" t="s">
        <v>419</v>
      </c>
      <c r="AO194" s="175" t="s">
        <v>419</v>
      </c>
      <c r="AP194" s="175">
        <v>24</v>
      </c>
      <c r="AQ194" s="175">
        <v>216</v>
      </c>
      <c r="AR194" s="175" t="s">
        <v>419</v>
      </c>
      <c r="AS194" s="192" t="s">
        <v>419</v>
      </c>
    </row>
    <row r="195" spans="1:45" ht="16.5" customHeight="1">
      <c r="A195" s="174">
        <v>46210</v>
      </c>
      <c r="B195" s="175" t="s">
        <v>226</v>
      </c>
      <c r="C195" s="175" t="s">
        <v>632</v>
      </c>
      <c r="E195" s="175" t="s">
        <v>419</v>
      </c>
      <c r="F195" s="175" t="s">
        <v>419</v>
      </c>
      <c r="G195" s="175" t="s">
        <v>419</v>
      </c>
      <c r="H195" s="175" t="s">
        <v>419</v>
      </c>
      <c r="I195" s="175" t="s">
        <v>419</v>
      </c>
      <c r="L195" s="175" t="s">
        <v>632</v>
      </c>
      <c r="P195" s="175" t="s">
        <v>632</v>
      </c>
      <c r="T195" s="175" t="s">
        <v>632</v>
      </c>
      <c r="X195" s="175" t="s">
        <v>632</v>
      </c>
      <c r="Z195" s="175" t="s">
        <v>419</v>
      </c>
      <c r="AA195" s="175" t="s">
        <v>632</v>
      </c>
      <c r="AB195" s="175" t="s">
        <v>419</v>
      </c>
      <c r="AC195" s="175" t="s">
        <v>419</v>
      </c>
      <c r="AD195" s="175" t="s">
        <v>419</v>
      </c>
      <c r="AE195" s="175" t="s">
        <v>419</v>
      </c>
      <c r="AF195" s="175" t="s">
        <v>213</v>
      </c>
      <c r="AG195" s="175">
        <v>1</v>
      </c>
      <c r="AH195" s="175" t="s">
        <v>640</v>
      </c>
      <c r="AI195" s="175" t="s">
        <v>640</v>
      </c>
      <c r="AJ195" s="175" t="s">
        <v>640</v>
      </c>
      <c r="AK195" s="175" t="s">
        <v>640</v>
      </c>
      <c r="AL195" s="1159" t="s">
        <v>419</v>
      </c>
      <c r="AM195" s="175" t="s">
        <v>419</v>
      </c>
      <c r="AN195" s="175" t="s">
        <v>419</v>
      </c>
      <c r="AO195" s="175" t="s">
        <v>419</v>
      </c>
      <c r="AP195" s="175">
        <v>24</v>
      </c>
      <c r="AQ195" s="175">
        <v>216</v>
      </c>
      <c r="AR195" s="175" t="s">
        <v>419</v>
      </c>
      <c r="AS195" s="192" t="s">
        <v>419</v>
      </c>
    </row>
    <row r="196" spans="1:45" ht="16.5" customHeight="1">
      <c r="A196" s="174">
        <v>46210</v>
      </c>
      <c r="B196" s="175" t="s">
        <v>227</v>
      </c>
      <c r="C196" s="175" t="s">
        <v>632</v>
      </c>
      <c r="E196" s="175" t="s">
        <v>419</v>
      </c>
      <c r="F196" s="175" t="s">
        <v>419</v>
      </c>
      <c r="G196" s="175" t="s">
        <v>419</v>
      </c>
      <c r="H196" s="175" t="s">
        <v>419</v>
      </c>
      <c r="I196" s="175" t="s">
        <v>419</v>
      </c>
      <c r="L196" s="175" t="s">
        <v>632</v>
      </c>
      <c r="P196" s="175" t="s">
        <v>632</v>
      </c>
      <c r="T196" s="175" t="s">
        <v>632</v>
      </c>
      <c r="X196" s="175" t="s">
        <v>632</v>
      </c>
      <c r="Z196" s="175" t="s">
        <v>419</v>
      </c>
      <c r="AA196" s="175" t="s">
        <v>632</v>
      </c>
      <c r="AB196" s="175" t="s">
        <v>419</v>
      </c>
      <c r="AC196" s="175" t="s">
        <v>419</v>
      </c>
      <c r="AD196" s="175" t="s">
        <v>419</v>
      </c>
      <c r="AE196" s="175" t="s">
        <v>419</v>
      </c>
      <c r="AF196" s="175" t="s">
        <v>213</v>
      </c>
      <c r="AG196" s="175">
        <v>1</v>
      </c>
      <c r="AH196" s="175" t="s">
        <v>640</v>
      </c>
      <c r="AI196" s="175" t="s">
        <v>640</v>
      </c>
      <c r="AJ196" s="175" t="s">
        <v>640</v>
      </c>
      <c r="AK196" s="175" t="s">
        <v>640</v>
      </c>
      <c r="AL196" s="1159" t="s">
        <v>419</v>
      </c>
      <c r="AM196" s="175" t="s">
        <v>419</v>
      </c>
      <c r="AN196" s="175" t="s">
        <v>419</v>
      </c>
      <c r="AO196" s="175" t="s">
        <v>419</v>
      </c>
      <c r="AP196" s="175">
        <v>24</v>
      </c>
      <c r="AQ196" s="175">
        <v>216</v>
      </c>
      <c r="AR196" s="175" t="s">
        <v>419</v>
      </c>
      <c r="AS196" s="192" t="s">
        <v>419</v>
      </c>
    </row>
    <row r="197" spans="1:45" ht="16.5" customHeight="1">
      <c r="A197" s="174">
        <v>46210</v>
      </c>
      <c r="B197" s="175" t="s">
        <v>228</v>
      </c>
      <c r="C197" s="175" t="s">
        <v>17293</v>
      </c>
      <c r="E197" s="175" t="s">
        <v>7055</v>
      </c>
      <c r="F197" s="175" t="s">
        <v>17294</v>
      </c>
      <c r="G197" s="175">
        <v>550</v>
      </c>
      <c r="H197" s="175" t="s">
        <v>889</v>
      </c>
      <c r="I197" s="175">
        <v>5.5</v>
      </c>
      <c r="J197" s="175">
        <v>28</v>
      </c>
      <c r="K197" s="175">
        <v>7</v>
      </c>
      <c r="L197" s="175">
        <v>5904</v>
      </c>
      <c r="M197" s="175">
        <v>6241</v>
      </c>
      <c r="N197" s="175">
        <v>0</v>
      </c>
      <c r="O197" s="175">
        <v>0</v>
      </c>
      <c r="P197" s="175">
        <v>6111</v>
      </c>
      <c r="Q197" s="175">
        <v>5793</v>
      </c>
      <c r="R197" s="175">
        <v>30</v>
      </c>
      <c r="S197" s="175">
        <v>14</v>
      </c>
      <c r="T197" s="175">
        <v>6290</v>
      </c>
      <c r="U197" s="175">
        <v>5510</v>
      </c>
      <c r="V197" s="175">
        <v>22</v>
      </c>
      <c r="W197" s="175">
        <v>4</v>
      </c>
      <c r="X197" s="175">
        <v>6105</v>
      </c>
      <c r="Y197" s="175">
        <v>6413</v>
      </c>
      <c r="Z197" s="175">
        <v>4.7058823529411766</v>
      </c>
      <c r="AA197" s="175">
        <v>13.333333333333334</v>
      </c>
      <c r="AB197" s="175">
        <v>0.97445913461538458</v>
      </c>
      <c r="AC197" s="175">
        <v>60.458750000000002</v>
      </c>
      <c r="AD197" s="175">
        <v>1.6666666666666667</v>
      </c>
      <c r="AE197" s="175">
        <v>1.1458333333333333</v>
      </c>
      <c r="AF197" s="175" t="s">
        <v>213</v>
      </c>
      <c r="AG197" s="175">
        <v>0.5</v>
      </c>
      <c r="AH197" s="175" t="s">
        <v>634</v>
      </c>
      <c r="AI197" s="175" t="s">
        <v>634</v>
      </c>
      <c r="AJ197" s="175" t="s">
        <v>637</v>
      </c>
      <c r="AK197" s="175" t="s">
        <v>637</v>
      </c>
      <c r="AL197" s="1159" t="s">
        <v>250</v>
      </c>
      <c r="AM197" s="175" t="s">
        <v>460</v>
      </c>
      <c r="AN197" s="175">
        <v>1.1890000000000001</v>
      </c>
      <c r="AO197" s="175">
        <v>1.9</v>
      </c>
      <c r="AP197" s="175">
        <v>24</v>
      </c>
      <c r="AQ197" s="175">
        <v>216</v>
      </c>
      <c r="AR197" s="175">
        <v>2.9</v>
      </c>
      <c r="AS197" s="192">
        <v>17874.950400000002</v>
      </c>
    </row>
    <row r="198" spans="1:45" ht="16.5" customHeight="1">
      <c r="A198" s="174">
        <v>46210</v>
      </c>
      <c r="B198" s="175" t="s">
        <v>229</v>
      </c>
      <c r="C198" s="175" t="s">
        <v>632</v>
      </c>
      <c r="E198" s="175" t="s">
        <v>419</v>
      </c>
      <c r="F198" s="175" t="s">
        <v>419</v>
      </c>
      <c r="G198" s="175" t="s">
        <v>419</v>
      </c>
      <c r="H198" s="175" t="s">
        <v>419</v>
      </c>
      <c r="I198" s="175" t="s">
        <v>419</v>
      </c>
      <c r="L198" s="175" t="s">
        <v>632</v>
      </c>
      <c r="P198" s="175" t="s">
        <v>632</v>
      </c>
      <c r="T198" s="175" t="s">
        <v>632</v>
      </c>
      <c r="X198" s="175" t="s">
        <v>632</v>
      </c>
      <c r="Z198" s="175" t="s">
        <v>419</v>
      </c>
      <c r="AA198" s="175" t="s">
        <v>632</v>
      </c>
      <c r="AB198" s="175" t="s">
        <v>419</v>
      </c>
      <c r="AC198" s="175" t="s">
        <v>419</v>
      </c>
      <c r="AD198" s="175" t="s">
        <v>419</v>
      </c>
      <c r="AE198" s="175" t="s">
        <v>419</v>
      </c>
      <c r="AF198" s="175" t="s">
        <v>213</v>
      </c>
      <c r="AG198" s="175">
        <v>1</v>
      </c>
      <c r="AH198" s="175" t="s">
        <v>640</v>
      </c>
      <c r="AI198" s="175" t="s">
        <v>640</v>
      </c>
      <c r="AJ198" s="175" t="s">
        <v>640</v>
      </c>
      <c r="AK198" s="175" t="s">
        <v>640</v>
      </c>
      <c r="AL198" s="1159" t="s">
        <v>419</v>
      </c>
      <c r="AM198" s="175" t="s">
        <v>419</v>
      </c>
      <c r="AN198" s="175" t="s">
        <v>419</v>
      </c>
      <c r="AO198" s="175" t="s">
        <v>419</v>
      </c>
      <c r="AP198" s="175">
        <v>24</v>
      </c>
      <c r="AQ198" s="175">
        <v>216</v>
      </c>
      <c r="AR198" s="175" t="s">
        <v>419</v>
      </c>
      <c r="AS198" s="192" t="s">
        <v>419</v>
      </c>
    </row>
    <row r="199" spans="1:45" ht="16.5" customHeight="1">
      <c r="A199" s="174">
        <v>46210</v>
      </c>
      <c r="B199" s="175" t="s">
        <v>230</v>
      </c>
      <c r="C199" s="175" t="s">
        <v>632</v>
      </c>
      <c r="E199" s="175" t="s">
        <v>419</v>
      </c>
      <c r="F199" s="175" t="s">
        <v>419</v>
      </c>
      <c r="G199" s="175" t="s">
        <v>419</v>
      </c>
      <c r="H199" s="175" t="s">
        <v>419</v>
      </c>
      <c r="I199" s="175" t="s">
        <v>419</v>
      </c>
      <c r="L199" s="175" t="s">
        <v>632</v>
      </c>
      <c r="P199" s="175" t="s">
        <v>632</v>
      </c>
      <c r="T199" s="175" t="s">
        <v>632</v>
      </c>
      <c r="X199" s="175" t="s">
        <v>632</v>
      </c>
      <c r="Z199" s="175" t="s">
        <v>419</v>
      </c>
      <c r="AA199" s="175" t="s">
        <v>632</v>
      </c>
      <c r="AB199" s="175" t="s">
        <v>419</v>
      </c>
      <c r="AC199" s="175" t="s">
        <v>419</v>
      </c>
      <c r="AD199" s="175" t="s">
        <v>419</v>
      </c>
      <c r="AE199" s="175" t="s">
        <v>419</v>
      </c>
      <c r="AF199" s="175" t="s">
        <v>213</v>
      </c>
      <c r="AG199" s="175">
        <v>1</v>
      </c>
      <c r="AH199" s="175" t="s">
        <v>640</v>
      </c>
      <c r="AI199" s="175" t="s">
        <v>640</v>
      </c>
      <c r="AJ199" s="175" t="s">
        <v>640</v>
      </c>
      <c r="AK199" s="175" t="s">
        <v>640</v>
      </c>
      <c r="AL199" s="1159" t="s">
        <v>419</v>
      </c>
      <c r="AM199" s="175" t="s">
        <v>419</v>
      </c>
      <c r="AN199" s="175" t="s">
        <v>419</v>
      </c>
      <c r="AO199" s="175" t="s">
        <v>419</v>
      </c>
      <c r="AP199" s="175">
        <v>24</v>
      </c>
      <c r="AQ199" s="175">
        <v>216</v>
      </c>
      <c r="AR199" s="175" t="s">
        <v>419</v>
      </c>
      <c r="AS199" s="192" t="s">
        <v>419</v>
      </c>
    </row>
    <row r="200" spans="1:45" ht="16.5" customHeight="1">
      <c r="A200" s="174">
        <v>46210</v>
      </c>
      <c r="B200" s="175" t="s">
        <v>231</v>
      </c>
      <c r="C200" s="175" t="s">
        <v>632</v>
      </c>
      <c r="E200" s="175" t="s">
        <v>419</v>
      </c>
      <c r="F200" s="175" t="s">
        <v>419</v>
      </c>
      <c r="G200" s="175" t="s">
        <v>419</v>
      </c>
      <c r="H200" s="175" t="s">
        <v>419</v>
      </c>
      <c r="I200" s="175" t="s">
        <v>419</v>
      </c>
      <c r="L200" s="175" t="s">
        <v>632</v>
      </c>
      <c r="P200" s="175" t="s">
        <v>632</v>
      </c>
      <c r="T200" s="175" t="s">
        <v>632</v>
      </c>
      <c r="X200" s="175" t="s">
        <v>632</v>
      </c>
      <c r="Z200" s="175" t="s">
        <v>419</v>
      </c>
      <c r="AA200" s="175" t="s">
        <v>632</v>
      </c>
      <c r="AB200" s="175" t="s">
        <v>419</v>
      </c>
      <c r="AC200" s="175" t="s">
        <v>419</v>
      </c>
      <c r="AD200" s="175" t="s">
        <v>419</v>
      </c>
      <c r="AE200" s="175" t="s">
        <v>419</v>
      </c>
      <c r="AF200" s="175" t="s">
        <v>232</v>
      </c>
      <c r="AG200" s="175">
        <v>1</v>
      </c>
      <c r="AH200" s="175" t="s">
        <v>640</v>
      </c>
      <c r="AI200" s="175" t="s">
        <v>640</v>
      </c>
      <c r="AJ200" s="175" t="s">
        <v>640</v>
      </c>
      <c r="AK200" s="175" t="s">
        <v>640</v>
      </c>
      <c r="AL200" s="1159" t="s">
        <v>419</v>
      </c>
      <c r="AM200" s="175" t="s">
        <v>419</v>
      </c>
      <c r="AN200" s="175" t="s">
        <v>419</v>
      </c>
      <c r="AO200" s="175" t="s">
        <v>419</v>
      </c>
      <c r="AP200" s="175">
        <v>24</v>
      </c>
      <c r="AQ200" s="175">
        <v>216</v>
      </c>
      <c r="AR200" s="175" t="s">
        <v>419</v>
      </c>
      <c r="AS200" s="192" t="s">
        <v>419</v>
      </c>
    </row>
    <row r="201" spans="1:45" ht="16.5" customHeight="1">
      <c r="A201" s="174">
        <v>46210</v>
      </c>
      <c r="B201" s="175" t="s">
        <v>233</v>
      </c>
      <c r="C201" s="175" t="s">
        <v>17268</v>
      </c>
      <c r="D201" s="175" t="s">
        <v>633</v>
      </c>
      <c r="E201" s="175" t="s">
        <v>16719</v>
      </c>
      <c r="F201" s="175" t="s">
        <v>17253</v>
      </c>
      <c r="G201" s="175">
        <v>600</v>
      </c>
      <c r="H201" s="175" t="s">
        <v>723</v>
      </c>
      <c r="I201" s="175">
        <v>5.5</v>
      </c>
      <c r="J201" s="175">
        <v>10</v>
      </c>
      <c r="K201" s="175">
        <v>9</v>
      </c>
      <c r="L201" s="175">
        <v>3230</v>
      </c>
      <c r="M201" s="175" t="s">
        <v>17315</v>
      </c>
      <c r="N201" s="175">
        <v>6</v>
      </c>
      <c r="O201" s="175">
        <v>4</v>
      </c>
      <c r="P201" s="175">
        <v>3050</v>
      </c>
      <c r="Q201" s="175" t="s">
        <v>17315</v>
      </c>
      <c r="R201" s="175">
        <v>3</v>
      </c>
      <c r="S201" s="175">
        <v>1</v>
      </c>
      <c r="T201" s="175">
        <v>9120</v>
      </c>
      <c r="U201" s="175" t="s">
        <v>17315</v>
      </c>
      <c r="V201" s="175">
        <v>8</v>
      </c>
      <c r="W201" s="175">
        <v>2</v>
      </c>
      <c r="X201" s="175">
        <v>3060</v>
      </c>
      <c r="Y201" s="175" t="s">
        <v>17315</v>
      </c>
      <c r="Z201" s="175">
        <v>5.0526315789473681</v>
      </c>
      <c r="AA201" s="175">
        <v>18</v>
      </c>
      <c r="AB201" s="175">
        <v>0.98477564102564097</v>
      </c>
      <c r="AC201" s="175">
        <v>46.15</v>
      </c>
      <c r="AD201" s="175">
        <v>2.25</v>
      </c>
      <c r="AE201" s="175">
        <v>0.91666666666666663</v>
      </c>
      <c r="AF201" s="175" t="s">
        <v>232</v>
      </c>
      <c r="AG201" s="175">
        <v>2</v>
      </c>
      <c r="AH201" s="175" t="s">
        <v>815</v>
      </c>
      <c r="AI201" s="175" t="s">
        <v>815</v>
      </c>
      <c r="AJ201" s="175" t="s">
        <v>637</v>
      </c>
      <c r="AK201" s="175" t="s">
        <v>637</v>
      </c>
      <c r="AL201" s="1159" t="s">
        <v>250</v>
      </c>
      <c r="AM201" s="175" t="s">
        <v>643</v>
      </c>
      <c r="AN201" s="175">
        <v>1.859</v>
      </c>
      <c r="AO201" s="175">
        <v>2.1</v>
      </c>
      <c r="AP201" s="175">
        <v>24</v>
      </c>
      <c r="AQ201" s="175">
        <v>216</v>
      </c>
      <c r="AR201" s="175">
        <v>3.1</v>
      </c>
      <c r="AS201" s="192">
        <v>29874.873599999999</v>
      </c>
    </row>
    <row r="202" spans="1:45" ht="16.5" customHeight="1">
      <c r="A202" s="174">
        <v>46210</v>
      </c>
      <c r="B202" s="175" t="s">
        <v>234</v>
      </c>
      <c r="C202" s="175" t="s">
        <v>632</v>
      </c>
      <c r="E202" s="175" t="s">
        <v>419</v>
      </c>
      <c r="F202" s="175" t="s">
        <v>419</v>
      </c>
      <c r="G202" s="175" t="s">
        <v>419</v>
      </c>
      <c r="H202" s="175" t="s">
        <v>419</v>
      </c>
      <c r="I202" s="175" t="s">
        <v>419</v>
      </c>
      <c r="L202" s="175" t="s">
        <v>632</v>
      </c>
      <c r="P202" s="175" t="s">
        <v>632</v>
      </c>
      <c r="T202" s="175" t="s">
        <v>632</v>
      </c>
      <c r="X202" s="175" t="s">
        <v>632</v>
      </c>
      <c r="Z202" s="175" t="s">
        <v>419</v>
      </c>
      <c r="AA202" s="175" t="s">
        <v>632</v>
      </c>
      <c r="AB202" s="175" t="s">
        <v>419</v>
      </c>
      <c r="AC202" s="175" t="s">
        <v>419</v>
      </c>
      <c r="AD202" s="175" t="s">
        <v>419</v>
      </c>
      <c r="AE202" s="175" t="s">
        <v>419</v>
      </c>
      <c r="AF202" s="175" t="s">
        <v>232</v>
      </c>
      <c r="AG202" s="175">
        <v>1</v>
      </c>
      <c r="AH202" s="175" t="s">
        <v>640</v>
      </c>
      <c r="AI202" s="175" t="s">
        <v>640</v>
      </c>
      <c r="AJ202" s="175" t="s">
        <v>640</v>
      </c>
      <c r="AK202" s="175" t="s">
        <v>640</v>
      </c>
      <c r="AL202" s="1159" t="s">
        <v>419</v>
      </c>
      <c r="AM202" s="175" t="s">
        <v>419</v>
      </c>
      <c r="AN202" s="175" t="s">
        <v>419</v>
      </c>
      <c r="AO202" s="175" t="s">
        <v>419</v>
      </c>
      <c r="AP202" s="175">
        <v>24</v>
      </c>
      <c r="AQ202" s="175">
        <v>216</v>
      </c>
      <c r="AR202" s="175" t="s">
        <v>419</v>
      </c>
      <c r="AS202" s="192" t="s">
        <v>419</v>
      </c>
    </row>
    <row r="203" spans="1:45" ht="16.5" customHeight="1">
      <c r="A203" s="174">
        <v>46210</v>
      </c>
      <c r="B203" s="175" t="s">
        <v>235</v>
      </c>
      <c r="C203" s="175" t="s">
        <v>17289</v>
      </c>
      <c r="D203" s="175" t="s">
        <v>633</v>
      </c>
      <c r="E203" s="175" t="s">
        <v>16719</v>
      </c>
      <c r="F203" s="175" t="s">
        <v>17290</v>
      </c>
      <c r="G203" s="175">
        <v>700</v>
      </c>
      <c r="H203" s="175" t="s">
        <v>776</v>
      </c>
      <c r="I203" s="175">
        <v>5.5</v>
      </c>
      <c r="J203" s="175">
        <v>49</v>
      </c>
      <c r="K203" s="175">
        <v>0</v>
      </c>
      <c r="L203" s="175">
        <v>8980</v>
      </c>
      <c r="M203" s="175">
        <v>8800</v>
      </c>
      <c r="N203" s="175">
        <v>23</v>
      </c>
      <c r="O203" s="175">
        <v>0</v>
      </c>
      <c r="P203" s="175">
        <v>8240</v>
      </c>
      <c r="Q203" s="175">
        <v>8890</v>
      </c>
      <c r="R203" s="175">
        <v>37</v>
      </c>
      <c r="S203" s="175">
        <v>1</v>
      </c>
      <c r="T203" s="175">
        <v>9170</v>
      </c>
      <c r="U203" s="175">
        <v>9540</v>
      </c>
      <c r="V203" s="175">
        <v>36</v>
      </c>
      <c r="W203" s="175">
        <v>4</v>
      </c>
      <c r="X203" s="175">
        <v>9170</v>
      </c>
      <c r="Y203" s="175">
        <v>9540</v>
      </c>
      <c r="Z203" s="175">
        <v>5.8775510204081636</v>
      </c>
      <c r="AA203" s="175">
        <v>48.333333333333336</v>
      </c>
      <c r="AB203" s="175">
        <v>0.99591012286324787</v>
      </c>
      <c r="AC203" s="175">
        <v>90.412499999999994</v>
      </c>
      <c r="AD203" s="175">
        <v>6.041666666666667</v>
      </c>
      <c r="AE203" s="175">
        <v>5.833333333333333</v>
      </c>
      <c r="AF203" s="175" t="s">
        <v>236</v>
      </c>
      <c r="AG203" s="175">
        <v>1</v>
      </c>
      <c r="AH203" s="175" t="s">
        <v>15337</v>
      </c>
      <c r="AI203" s="175" t="s">
        <v>15337</v>
      </c>
      <c r="AJ203" s="175" t="s">
        <v>639</v>
      </c>
      <c r="AK203" s="175" t="s">
        <v>639</v>
      </c>
      <c r="AL203" s="1159" t="s">
        <v>251</v>
      </c>
      <c r="AM203" s="175" t="s">
        <v>460</v>
      </c>
      <c r="AN203" s="175">
        <v>1.1890000000000001</v>
      </c>
      <c r="AO203" s="175">
        <v>3</v>
      </c>
      <c r="AP203" s="175">
        <v>24</v>
      </c>
      <c r="AQ203" s="175">
        <v>216</v>
      </c>
      <c r="AR203" s="175">
        <v>4</v>
      </c>
      <c r="AS203" s="192">
        <v>24655.103999999999</v>
      </c>
    </row>
    <row r="204" spans="1:45" ht="16.5" customHeight="1">
      <c r="A204" s="174">
        <v>46210</v>
      </c>
      <c r="B204" s="175" t="s">
        <v>237</v>
      </c>
      <c r="C204" s="175" t="s">
        <v>17251</v>
      </c>
      <c r="D204" s="175" t="s">
        <v>633</v>
      </c>
      <c r="E204" s="175" t="s">
        <v>16719</v>
      </c>
      <c r="F204" s="175" t="s">
        <v>17253</v>
      </c>
      <c r="G204" s="175">
        <v>700</v>
      </c>
      <c r="H204" s="175" t="s">
        <v>646</v>
      </c>
      <c r="I204" s="175">
        <v>5.5</v>
      </c>
      <c r="J204" s="175">
        <v>53</v>
      </c>
      <c r="K204" s="175">
        <v>0</v>
      </c>
      <c r="L204" s="175">
        <v>8240</v>
      </c>
      <c r="M204" s="175">
        <v>6570</v>
      </c>
      <c r="N204" s="175">
        <v>31</v>
      </c>
      <c r="O204" s="175">
        <v>0</v>
      </c>
      <c r="P204" s="175">
        <v>7220</v>
      </c>
      <c r="Q204" s="175">
        <v>7590</v>
      </c>
      <c r="R204" s="175">
        <v>67</v>
      </c>
      <c r="S204" s="175">
        <v>0</v>
      </c>
      <c r="T204" s="175">
        <v>9260</v>
      </c>
      <c r="U204" s="175">
        <v>9070</v>
      </c>
      <c r="V204" s="175">
        <v>70</v>
      </c>
      <c r="W204" s="175">
        <v>0</v>
      </c>
      <c r="X204" s="175">
        <v>9540</v>
      </c>
      <c r="Y204" s="175">
        <v>8980</v>
      </c>
      <c r="Z204" s="175">
        <v>5.8775510204081636</v>
      </c>
      <c r="AA204" s="175">
        <v>73.666666666666671</v>
      </c>
      <c r="AB204" s="175">
        <v>1</v>
      </c>
      <c r="AC204" s="175">
        <v>83.087500000000006</v>
      </c>
      <c r="AD204" s="175">
        <v>9.2083333333333339</v>
      </c>
      <c r="AE204" s="175">
        <v>9.2083333333333339</v>
      </c>
      <c r="AF204" s="175" t="s">
        <v>236</v>
      </c>
      <c r="AG204" s="175">
        <v>1</v>
      </c>
      <c r="AH204" s="175" t="s">
        <v>15337</v>
      </c>
      <c r="AI204" s="175" t="s">
        <v>15337</v>
      </c>
      <c r="AJ204" s="175" t="s">
        <v>652</v>
      </c>
      <c r="AK204" s="175" t="s">
        <v>652</v>
      </c>
      <c r="AL204" s="1159" t="s">
        <v>250</v>
      </c>
      <c r="AM204" s="175" t="s">
        <v>460</v>
      </c>
      <c r="AN204" s="175">
        <v>1.1890000000000001</v>
      </c>
      <c r="AO204" s="175">
        <v>2.9</v>
      </c>
      <c r="AP204" s="175">
        <v>24</v>
      </c>
      <c r="AQ204" s="175">
        <v>216</v>
      </c>
      <c r="AR204" s="175">
        <v>3.9</v>
      </c>
      <c r="AS204" s="192">
        <v>24038.7264</v>
      </c>
    </row>
    <row r="205" spans="1:45" ht="16.5" customHeight="1">
      <c r="A205" s="174">
        <v>46210</v>
      </c>
      <c r="B205" s="175" t="s">
        <v>238</v>
      </c>
      <c r="C205" s="175" t="s">
        <v>17248</v>
      </c>
      <c r="D205" s="175" t="s">
        <v>633</v>
      </c>
      <c r="E205" s="175" t="s">
        <v>16719</v>
      </c>
      <c r="F205" s="175" t="s">
        <v>17249</v>
      </c>
      <c r="G205" s="175">
        <v>600</v>
      </c>
      <c r="H205" s="175" t="s">
        <v>877</v>
      </c>
      <c r="I205" s="175">
        <v>5.5</v>
      </c>
      <c r="L205" s="175" t="s">
        <v>628</v>
      </c>
      <c r="P205" s="175" t="s">
        <v>628</v>
      </c>
      <c r="T205" s="175" t="s">
        <v>628</v>
      </c>
      <c r="X205" s="175" t="s">
        <v>628</v>
      </c>
      <c r="Z205" s="175">
        <v>5.034965034965035</v>
      </c>
      <c r="AA205" s="175" t="s">
        <v>628</v>
      </c>
      <c r="AB205" s="175" t="s">
        <v>419</v>
      </c>
      <c r="AC205" s="175" t="s">
        <v>419</v>
      </c>
      <c r="AD205" s="175" t="s">
        <v>419</v>
      </c>
      <c r="AE205" s="175" t="s">
        <v>419</v>
      </c>
      <c r="AF205" s="175" t="s">
        <v>236</v>
      </c>
      <c r="AG205" s="175">
        <v>1</v>
      </c>
      <c r="AH205" s="175" t="s">
        <v>15337</v>
      </c>
      <c r="AI205" s="175" t="s">
        <v>15337</v>
      </c>
      <c r="AJ205" s="175" t="s">
        <v>639</v>
      </c>
      <c r="AK205" s="175" t="s">
        <v>639</v>
      </c>
      <c r="AL205" s="1159" t="s">
        <v>251</v>
      </c>
      <c r="AM205" s="175" t="s">
        <v>460</v>
      </c>
      <c r="AN205" s="175">
        <v>1.1890000000000001</v>
      </c>
      <c r="AO205" s="175">
        <v>3</v>
      </c>
      <c r="AP205" s="175">
        <v>24</v>
      </c>
      <c r="AQ205" s="175">
        <v>216</v>
      </c>
      <c r="AR205" s="175">
        <v>4</v>
      </c>
      <c r="AS205" s="192">
        <v>24655.103999999999</v>
      </c>
    </row>
    <row r="206" spans="1:45" ht="16.5" customHeight="1">
      <c r="A206" s="174">
        <v>46210</v>
      </c>
      <c r="B206" s="175" t="s">
        <v>239</v>
      </c>
      <c r="C206" s="175" t="s">
        <v>17266</v>
      </c>
      <c r="E206" s="175" t="s">
        <v>754</v>
      </c>
      <c r="F206" s="175" t="s">
        <v>17267</v>
      </c>
      <c r="G206" s="175">
        <v>600</v>
      </c>
      <c r="H206" s="175" t="s">
        <v>842</v>
      </c>
      <c r="I206" s="175">
        <v>4</v>
      </c>
      <c r="J206" s="175">
        <v>22</v>
      </c>
      <c r="K206" s="175">
        <v>8</v>
      </c>
      <c r="L206" s="175">
        <v>9630</v>
      </c>
      <c r="N206" s="175">
        <v>4</v>
      </c>
      <c r="O206" s="175">
        <v>7</v>
      </c>
      <c r="P206" s="175">
        <v>9637</v>
      </c>
      <c r="R206" s="175">
        <v>4</v>
      </c>
      <c r="S206" s="175">
        <v>2</v>
      </c>
      <c r="T206" s="175">
        <v>9630</v>
      </c>
      <c r="V206" s="175">
        <v>21</v>
      </c>
      <c r="W206" s="175">
        <v>6</v>
      </c>
      <c r="X206" s="175">
        <v>9630</v>
      </c>
      <c r="Z206" s="175">
        <v>3.6</v>
      </c>
      <c r="AA206" s="175">
        <v>34</v>
      </c>
      <c r="AB206" s="175">
        <v>0.96928418803418803</v>
      </c>
      <c r="AC206" s="175">
        <v>96.317499999999995</v>
      </c>
      <c r="AD206" s="175">
        <v>4.25</v>
      </c>
      <c r="AE206" s="175">
        <v>2.3333333333333335</v>
      </c>
      <c r="AF206" s="175" t="s">
        <v>236</v>
      </c>
      <c r="AG206" s="175">
        <v>2</v>
      </c>
      <c r="AH206" s="175" t="s">
        <v>15848</v>
      </c>
      <c r="AI206" s="175" t="s">
        <v>15848</v>
      </c>
      <c r="AJ206" s="175" t="s">
        <v>652</v>
      </c>
      <c r="AK206" s="175" t="s">
        <v>652</v>
      </c>
      <c r="AL206" s="1159" t="s">
        <v>251</v>
      </c>
      <c r="AM206" s="175" t="s">
        <v>126</v>
      </c>
      <c r="AN206" s="175">
        <v>0.91100000000000003</v>
      </c>
      <c r="AO206" s="175">
        <v>1.5</v>
      </c>
      <c r="AP206" s="175">
        <v>24</v>
      </c>
      <c r="AQ206" s="175">
        <v>216</v>
      </c>
      <c r="AR206" s="175">
        <v>2.5</v>
      </c>
      <c r="AS206" s="192">
        <v>11806.560000000001</v>
      </c>
    </row>
    <row r="207" spans="1:45" ht="16.5" customHeight="1">
      <c r="A207" s="174">
        <v>46210</v>
      </c>
      <c r="B207" s="175" t="s">
        <v>239</v>
      </c>
      <c r="C207" s="175" t="s">
        <v>17241</v>
      </c>
      <c r="E207" s="175" t="s">
        <v>16723</v>
      </c>
      <c r="F207" s="175" t="s">
        <v>17243</v>
      </c>
      <c r="G207" s="175">
        <v>550</v>
      </c>
      <c r="H207" s="175" t="s">
        <v>868</v>
      </c>
      <c r="I207" s="175">
        <v>5.5</v>
      </c>
      <c r="J207" s="175">
        <v>24</v>
      </c>
      <c r="K207" s="175">
        <v>2</v>
      </c>
      <c r="L207" s="175">
        <v>9540</v>
      </c>
      <c r="N207" s="175">
        <v>8</v>
      </c>
      <c r="O207" s="175">
        <v>3</v>
      </c>
      <c r="P207" s="175">
        <v>9630</v>
      </c>
      <c r="R207" s="175">
        <v>6</v>
      </c>
      <c r="S207" s="175">
        <v>0</v>
      </c>
      <c r="U207" s="175">
        <v>9170</v>
      </c>
      <c r="V207" s="175">
        <v>23</v>
      </c>
      <c r="W207" s="175">
        <v>0</v>
      </c>
      <c r="Y207" s="175">
        <v>9730</v>
      </c>
      <c r="Z207" s="175">
        <v>6.6055045871559646</v>
      </c>
      <c r="AA207" s="175">
        <v>40.666666666666664</v>
      </c>
      <c r="AB207" s="175">
        <v>0.99636084401709402</v>
      </c>
      <c r="AC207" s="175">
        <v>95.174999999999997</v>
      </c>
      <c r="AD207" s="175">
        <v>5.083333333333333</v>
      </c>
      <c r="AE207" s="175">
        <v>4.666666666666667</v>
      </c>
      <c r="AF207" s="175" t="s">
        <v>236</v>
      </c>
      <c r="AG207" s="175">
        <v>2</v>
      </c>
      <c r="AH207" s="175" t="s">
        <v>15848</v>
      </c>
      <c r="AI207" s="175" t="s">
        <v>15848</v>
      </c>
      <c r="AJ207" s="175" t="s">
        <v>652</v>
      </c>
      <c r="AK207" s="175" t="s">
        <v>652</v>
      </c>
      <c r="AM207" s="175" t="s">
        <v>643</v>
      </c>
      <c r="AN207" s="175">
        <v>1.859</v>
      </c>
      <c r="AO207" s="175">
        <v>3.3</v>
      </c>
      <c r="AP207" s="175">
        <v>24</v>
      </c>
      <c r="AQ207" s="175">
        <v>216</v>
      </c>
      <c r="AR207" s="175">
        <v>4.3</v>
      </c>
      <c r="AS207" s="192">
        <v>41439.340799999998</v>
      </c>
    </row>
    <row r="208" spans="1:45" ht="16.5" customHeight="1">
      <c r="A208" s="174">
        <v>46210</v>
      </c>
      <c r="B208" s="175" t="s">
        <v>388</v>
      </c>
      <c r="C208" s="175" t="s">
        <v>17296</v>
      </c>
      <c r="D208" s="175" t="s">
        <v>633</v>
      </c>
      <c r="E208" s="175" t="s">
        <v>16719</v>
      </c>
      <c r="F208" s="175" t="s">
        <v>17290</v>
      </c>
      <c r="G208" s="175">
        <v>700</v>
      </c>
      <c r="H208" s="175" t="s">
        <v>15541</v>
      </c>
      <c r="I208" s="175">
        <v>5.5</v>
      </c>
      <c r="J208" s="175">
        <v>27</v>
      </c>
      <c r="K208" s="175">
        <v>4</v>
      </c>
      <c r="L208" s="175" t="s">
        <v>17315</v>
      </c>
      <c r="M208" s="175">
        <v>9910</v>
      </c>
      <c r="N208" s="175">
        <v>13</v>
      </c>
      <c r="O208" s="175">
        <v>3</v>
      </c>
      <c r="P208" s="175" t="s">
        <v>17315</v>
      </c>
      <c r="Q208" s="175">
        <v>9910</v>
      </c>
      <c r="R208" s="175">
        <v>6</v>
      </c>
      <c r="S208" s="175">
        <v>0</v>
      </c>
      <c r="T208" s="175" t="s">
        <v>17315</v>
      </c>
      <c r="U208" s="175">
        <v>9810</v>
      </c>
      <c r="V208" s="175">
        <v>13</v>
      </c>
      <c r="W208" s="175">
        <v>0</v>
      </c>
      <c r="X208" s="175" t="s">
        <v>17315</v>
      </c>
      <c r="Y208" s="175">
        <v>9720</v>
      </c>
      <c r="Z208" s="175">
        <v>5.8299595141700413</v>
      </c>
      <c r="AA208" s="175">
        <v>39.333333333333336</v>
      </c>
      <c r="AB208" s="175">
        <v>0.99422743055555551</v>
      </c>
      <c r="AC208" s="175">
        <v>98.375</v>
      </c>
      <c r="AD208" s="175">
        <v>4.916666666666667</v>
      </c>
      <c r="AE208" s="175">
        <v>4.333333333333333</v>
      </c>
      <c r="AF208" s="175" t="s">
        <v>236</v>
      </c>
      <c r="AG208" s="175">
        <v>2</v>
      </c>
      <c r="AH208" s="175" t="s">
        <v>15848</v>
      </c>
      <c r="AI208" s="175" t="s">
        <v>15848</v>
      </c>
      <c r="AJ208" s="175" t="s">
        <v>639</v>
      </c>
      <c r="AK208" s="175" t="s">
        <v>639</v>
      </c>
      <c r="AL208" s="1159" t="s">
        <v>251</v>
      </c>
      <c r="AM208" s="175" t="s">
        <v>460</v>
      </c>
      <c r="AN208" s="175">
        <v>1.1890000000000001</v>
      </c>
      <c r="AO208" s="175">
        <v>2.8</v>
      </c>
      <c r="AP208" s="175">
        <v>24</v>
      </c>
      <c r="AQ208" s="175">
        <v>216</v>
      </c>
      <c r="AR208" s="175">
        <v>3.8</v>
      </c>
      <c r="AS208" s="192">
        <v>23422.3488</v>
      </c>
    </row>
    <row r="209" spans="1:45" ht="16.5" customHeight="1">
      <c r="A209" s="174">
        <v>46210</v>
      </c>
      <c r="B209" s="175" t="s">
        <v>417</v>
      </c>
      <c r="C209" s="175" t="s">
        <v>17291</v>
      </c>
      <c r="D209" s="175" t="s">
        <v>633</v>
      </c>
      <c r="E209" s="175" t="s">
        <v>16719</v>
      </c>
      <c r="F209" s="175" t="s">
        <v>17290</v>
      </c>
      <c r="G209" s="175">
        <v>700</v>
      </c>
      <c r="H209" s="175" t="s">
        <v>724</v>
      </c>
      <c r="I209" s="175">
        <v>5.5</v>
      </c>
      <c r="J209" s="175">
        <v>39</v>
      </c>
      <c r="K209" s="175">
        <v>4</v>
      </c>
      <c r="L209" s="175">
        <v>10000</v>
      </c>
      <c r="M209" s="175">
        <v>9440</v>
      </c>
      <c r="N209" s="175">
        <v>17</v>
      </c>
      <c r="O209" s="175">
        <v>0</v>
      </c>
      <c r="P209" s="175">
        <v>9910</v>
      </c>
      <c r="Q209" s="175">
        <v>9540</v>
      </c>
      <c r="R209" s="175">
        <v>6</v>
      </c>
      <c r="S209" s="175">
        <v>0</v>
      </c>
      <c r="T209" s="175">
        <v>9170</v>
      </c>
      <c r="U209" s="175">
        <v>9260</v>
      </c>
      <c r="V209" s="175">
        <v>35</v>
      </c>
      <c r="W209" s="175">
        <v>0</v>
      </c>
      <c r="X209" s="175">
        <v>10000</v>
      </c>
      <c r="Y209" s="175">
        <v>9540</v>
      </c>
      <c r="Z209" s="175">
        <v>5.8299595141700413</v>
      </c>
      <c r="AA209" s="175">
        <v>32.333333333333336</v>
      </c>
      <c r="AB209" s="175">
        <v>0.99670138888888893</v>
      </c>
      <c r="AC209" s="175">
        <v>96.075000000000003</v>
      </c>
      <c r="AD209" s="175">
        <v>4.041666666666667</v>
      </c>
      <c r="AE209" s="175">
        <v>3.875</v>
      </c>
      <c r="AF209" s="175" t="s">
        <v>236</v>
      </c>
      <c r="AG209" s="175">
        <v>1</v>
      </c>
      <c r="AH209" s="175" t="s">
        <v>15848</v>
      </c>
      <c r="AI209" s="175" t="s">
        <v>15848</v>
      </c>
      <c r="AJ209" s="175" t="s">
        <v>652</v>
      </c>
      <c r="AK209" s="175" t="s">
        <v>652</v>
      </c>
      <c r="AL209" s="1159" t="s">
        <v>251</v>
      </c>
      <c r="AM209" s="175" t="s">
        <v>460</v>
      </c>
      <c r="AN209" s="175">
        <v>1.1890000000000001</v>
      </c>
      <c r="AO209" s="175">
        <v>2.8</v>
      </c>
      <c r="AP209" s="175">
        <v>24</v>
      </c>
      <c r="AQ209" s="175">
        <v>216</v>
      </c>
      <c r="AR209" s="175">
        <v>3.8</v>
      </c>
      <c r="AS209" s="192">
        <v>23422.3488</v>
      </c>
    </row>
    <row r="210" spans="1:45" ht="16.5" customHeight="1">
      <c r="A210" s="174">
        <v>46210</v>
      </c>
      <c r="B210" s="175" t="s">
        <v>240</v>
      </c>
      <c r="C210" s="175" t="s">
        <v>632</v>
      </c>
      <c r="E210" s="175" t="s">
        <v>419</v>
      </c>
      <c r="F210" s="175" t="s">
        <v>419</v>
      </c>
      <c r="G210" s="175" t="s">
        <v>419</v>
      </c>
      <c r="H210" s="175" t="s">
        <v>419</v>
      </c>
      <c r="I210" s="175" t="s">
        <v>419</v>
      </c>
      <c r="L210" s="175" t="s">
        <v>632</v>
      </c>
      <c r="P210" s="175" t="s">
        <v>632</v>
      </c>
      <c r="T210" s="175" t="s">
        <v>632</v>
      </c>
      <c r="X210" s="175" t="s">
        <v>632</v>
      </c>
      <c r="Z210" s="175" t="s">
        <v>419</v>
      </c>
      <c r="AA210" s="175" t="s">
        <v>632</v>
      </c>
      <c r="AB210" s="175" t="s">
        <v>419</v>
      </c>
      <c r="AC210" s="175" t="s">
        <v>419</v>
      </c>
      <c r="AD210" s="175" t="s">
        <v>419</v>
      </c>
      <c r="AE210" s="175" t="s">
        <v>419</v>
      </c>
      <c r="AF210" s="175" t="s">
        <v>241</v>
      </c>
      <c r="AG210" s="175">
        <v>12</v>
      </c>
      <c r="AH210" s="175" t="s">
        <v>640</v>
      </c>
      <c r="AI210" s="175" t="s">
        <v>640</v>
      </c>
      <c r="AJ210" s="175" t="s">
        <v>640</v>
      </c>
      <c r="AK210" s="175" t="s">
        <v>640</v>
      </c>
      <c r="AL210" s="1159" t="s">
        <v>419</v>
      </c>
      <c r="AM210" s="175" t="s">
        <v>419</v>
      </c>
      <c r="AN210" s="175" t="s">
        <v>419</v>
      </c>
      <c r="AO210" s="175" t="s">
        <v>419</v>
      </c>
      <c r="AP210" s="175">
        <v>24</v>
      </c>
      <c r="AQ210" s="175">
        <v>216</v>
      </c>
      <c r="AR210" s="175" t="s">
        <v>419</v>
      </c>
      <c r="AS210" s="192" t="s">
        <v>419</v>
      </c>
    </row>
    <row r="211" spans="1:45" ht="16.5" customHeight="1">
      <c r="A211" s="174">
        <v>46210</v>
      </c>
      <c r="B211" s="175" t="s">
        <v>242</v>
      </c>
      <c r="C211" s="175" t="s">
        <v>385</v>
      </c>
      <c r="E211" s="175" t="s">
        <v>419</v>
      </c>
      <c r="F211" s="175" t="s">
        <v>419</v>
      </c>
      <c r="G211" s="175" t="s">
        <v>419</v>
      </c>
      <c r="H211" s="175" t="s">
        <v>419</v>
      </c>
      <c r="I211" s="175" t="s">
        <v>419</v>
      </c>
      <c r="L211" s="175" t="s">
        <v>385</v>
      </c>
      <c r="P211" s="175" t="s">
        <v>385</v>
      </c>
      <c r="T211" s="175" t="s">
        <v>385</v>
      </c>
      <c r="X211" s="175" t="s">
        <v>385</v>
      </c>
      <c r="Z211" s="175" t="s">
        <v>419</v>
      </c>
      <c r="AA211" s="175" t="s">
        <v>385</v>
      </c>
      <c r="AB211" s="175" t="s">
        <v>419</v>
      </c>
      <c r="AC211" s="175" t="s">
        <v>419</v>
      </c>
      <c r="AD211" s="175" t="s">
        <v>419</v>
      </c>
      <c r="AE211" s="175" t="s">
        <v>419</v>
      </c>
      <c r="AF211" s="175" t="s">
        <v>241</v>
      </c>
      <c r="AG211" s="175">
        <v>5</v>
      </c>
      <c r="AH211" s="175" t="s">
        <v>815</v>
      </c>
      <c r="AI211" s="175" t="s">
        <v>815</v>
      </c>
      <c r="AJ211" s="175" t="s">
        <v>636</v>
      </c>
      <c r="AK211" s="175" t="s">
        <v>636</v>
      </c>
      <c r="AL211" s="1159" t="s">
        <v>419</v>
      </c>
      <c r="AM211" s="175" t="s">
        <v>419</v>
      </c>
      <c r="AN211" s="175" t="s">
        <v>419</v>
      </c>
      <c r="AO211" s="175" t="s">
        <v>419</v>
      </c>
      <c r="AP211" s="175">
        <v>24</v>
      </c>
      <c r="AQ211" s="175">
        <v>216</v>
      </c>
      <c r="AR211" s="175" t="s">
        <v>419</v>
      </c>
      <c r="AS211" s="192" t="s">
        <v>419</v>
      </c>
    </row>
    <row r="212" spans="1:45" ht="16.5" customHeight="1">
      <c r="A212" s="174">
        <v>46211</v>
      </c>
      <c r="B212" s="175" t="s">
        <v>212</v>
      </c>
      <c r="C212" s="175" t="s">
        <v>632</v>
      </c>
      <c r="E212" s="175" t="s">
        <v>419</v>
      </c>
      <c r="F212" s="175" t="s">
        <v>419</v>
      </c>
      <c r="G212" s="175" t="s">
        <v>419</v>
      </c>
      <c r="H212" s="175" t="s">
        <v>419</v>
      </c>
      <c r="I212" s="175" t="s">
        <v>419</v>
      </c>
      <c r="L212" s="175" t="s">
        <v>632</v>
      </c>
      <c r="P212" s="175" t="s">
        <v>632</v>
      </c>
      <c r="T212" s="175" t="s">
        <v>632</v>
      </c>
      <c r="X212" s="175" t="s">
        <v>632</v>
      </c>
      <c r="Z212" s="175" t="s">
        <v>419</v>
      </c>
      <c r="AA212" s="175" t="s">
        <v>632</v>
      </c>
      <c r="AB212" s="175" t="s">
        <v>419</v>
      </c>
      <c r="AC212" s="175" t="s">
        <v>419</v>
      </c>
      <c r="AD212" s="175" t="s">
        <v>419</v>
      </c>
      <c r="AE212" s="175" t="s">
        <v>419</v>
      </c>
      <c r="AF212" s="175" t="s">
        <v>213</v>
      </c>
      <c r="AG212" s="175">
        <v>1</v>
      </c>
      <c r="AH212" s="175" t="s">
        <v>640</v>
      </c>
      <c r="AI212" s="175" t="s">
        <v>640</v>
      </c>
      <c r="AJ212" s="175" t="s">
        <v>640</v>
      </c>
      <c r="AK212" s="175" t="s">
        <v>640</v>
      </c>
      <c r="AL212" s="1159" t="s">
        <v>419</v>
      </c>
      <c r="AM212" s="175" t="s">
        <v>419</v>
      </c>
      <c r="AN212" s="175" t="s">
        <v>419</v>
      </c>
      <c r="AO212" s="175" t="s">
        <v>419</v>
      </c>
      <c r="AP212" s="175">
        <v>24</v>
      </c>
      <c r="AQ212" s="175">
        <v>216</v>
      </c>
      <c r="AR212" s="175" t="s">
        <v>419</v>
      </c>
      <c r="AS212" s="192" t="s">
        <v>419</v>
      </c>
    </row>
    <row r="213" spans="1:45" ht="16.5" customHeight="1">
      <c r="A213" s="174">
        <v>46211</v>
      </c>
      <c r="B213" s="175" t="s">
        <v>214</v>
      </c>
      <c r="C213" s="175" t="s">
        <v>632</v>
      </c>
      <c r="E213" s="175" t="s">
        <v>419</v>
      </c>
      <c r="F213" s="175" t="s">
        <v>419</v>
      </c>
      <c r="G213" s="175" t="s">
        <v>419</v>
      </c>
      <c r="H213" s="175" t="s">
        <v>419</v>
      </c>
      <c r="I213" s="175" t="s">
        <v>419</v>
      </c>
      <c r="L213" s="175" t="s">
        <v>632</v>
      </c>
      <c r="P213" s="175" t="s">
        <v>632</v>
      </c>
      <c r="T213" s="175" t="s">
        <v>632</v>
      </c>
      <c r="X213" s="175" t="s">
        <v>632</v>
      </c>
      <c r="Z213" s="175" t="s">
        <v>419</v>
      </c>
      <c r="AA213" s="175" t="s">
        <v>632</v>
      </c>
      <c r="AB213" s="175" t="s">
        <v>419</v>
      </c>
      <c r="AC213" s="175" t="s">
        <v>419</v>
      </c>
      <c r="AD213" s="175" t="s">
        <v>419</v>
      </c>
      <c r="AE213" s="175" t="s">
        <v>419</v>
      </c>
      <c r="AF213" s="175" t="s">
        <v>213</v>
      </c>
      <c r="AG213" s="175">
        <v>1</v>
      </c>
      <c r="AH213" s="175" t="s">
        <v>640</v>
      </c>
      <c r="AI213" s="175" t="s">
        <v>640</v>
      </c>
      <c r="AJ213" s="175" t="s">
        <v>640</v>
      </c>
      <c r="AK213" s="175" t="s">
        <v>640</v>
      </c>
      <c r="AL213" s="1159" t="s">
        <v>419</v>
      </c>
      <c r="AM213" s="175" t="s">
        <v>419</v>
      </c>
      <c r="AN213" s="175" t="s">
        <v>419</v>
      </c>
      <c r="AO213" s="175" t="s">
        <v>419</v>
      </c>
      <c r="AP213" s="175">
        <v>24</v>
      </c>
      <c r="AQ213" s="175">
        <v>216</v>
      </c>
      <c r="AR213" s="175" t="s">
        <v>419</v>
      </c>
      <c r="AS213" s="192" t="s">
        <v>419</v>
      </c>
    </row>
    <row r="214" spans="1:45" ht="16.5" customHeight="1">
      <c r="A214" s="174">
        <v>46211</v>
      </c>
      <c r="B214" s="175" t="s">
        <v>215</v>
      </c>
      <c r="C214" s="175" t="s">
        <v>17316</v>
      </c>
      <c r="E214" s="175" t="s">
        <v>5005</v>
      </c>
      <c r="F214" s="175" t="s">
        <v>17317</v>
      </c>
      <c r="G214" s="175">
        <v>500</v>
      </c>
      <c r="H214" s="175" t="s">
        <v>1186</v>
      </c>
      <c r="I214" s="175">
        <v>4</v>
      </c>
      <c r="J214" s="175">
        <v>20</v>
      </c>
      <c r="K214" s="175">
        <v>0</v>
      </c>
      <c r="L214" s="175">
        <v>8383</v>
      </c>
      <c r="M214" s="175">
        <v>7172</v>
      </c>
      <c r="N214" s="175">
        <v>18</v>
      </c>
      <c r="O214" s="175">
        <v>0</v>
      </c>
      <c r="P214" s="175">
        <v>8723</v>
      </c>
      <c r="Q214" s="175">
        <v>7397</v>
      </c>
      <c r="R214" s="175">
        <v>10</v>
      </c>
      <c r="S214" s="175">
        <v>0</v>
      </c>
      <c r="T214" s="175">
        <v>8529</v>
      </c>
      <c r="U214" s="175">
        <v>7593</v>
      </c>
      <c r="V214" s="175">
        <v>62</v>
      </c>
      <c r="W214" s="175">
        <v>0</v>
      </c>
      <c r="X214" s="175">
        <v>7565</v>
      </c>
      <c r="Y214" s="175">
        <v>6786</v>
      </c>
      <c r="Z214" s="175">
        <v>2.9937629937629939</v>
      </c>
      <c r="AA214" s="175">
        <v>36.666666666666664</v>
      </c>
      <c r="AB214" s="175">
        <v>1</v>
      </c>
      <c r="AC214" s="175">
        <v>77.685000000000002</v>
      </c>
      <c r="AD214" s="175">
        <v>4.583333333333333</v>
      </c>
      <c r="AE214" s="175">
        <v>4.583333333333333</v>
      </c>
      <c r="AF214" s="175" t="s">
        <v>213</v>
      </c>
      <c r="AG214" s="175">
        <v>1</v>
      </c>
      <c r="AH214" s="175" t="s">
        <v>629</v>
      </c>
      <c r="AI214" s="175" t="s">
        <v>629</v>
      </c>
      <c r="AJ214" s="175" t="s">
        <v>15368</v>
      </c>
      <c r="AK214" s="175" t="s">
        <v>15368</v>
      </c>
      <c r="AL214" s="1159" t="s">
        <v>250</v>
      </c>
      <c r="AM214" s="175" t="s">
        <v>126</v>
      </c>
      <c r="AN214" s="175">
        <v>0.91100000000000003</v>
      </c>
      <c r="AO214" s="175">
        <v>1.9</v>
      </c>
      <c r="AP214" s="175">
        <v>24</v>
      </c>
      <c r="AQ214" s="175">
        <v>216</v>
      </c>
      <c r="AR214" s="175">
        <v>2.9</v>
      </c>
      <c r="AS214" s="192">
        <v>13695.6096</v>
      </c>
    </row>
    <row r="215" spans="1:45" ht="16.5" customHeight="1">
      <c r="A215" s="174">
        <v>46211</v>
      </c>
      <c r="B215" s="175" t="s">
        <v>216</v>
      </c>
      <c r="C215" s="175" t="s">
        <v>632</v>
      </c>
      <c r="E215" s="175" t="s">
        <v>419</v>
      </c>
      <c r="F215" s="175" t="s">
        <v>419</v>
      </c>
      <c r="G215" s="175" t="s">
        <v>419</v>
      </c>
      <c r="H215" s="175" t="s">
        <v>419</v>
      </c>
      <c r="I215" s="175" t="s">
        <v>419</v>
      </c>
      <c r="L215" s="175" t="s">
        <v>632</v>
      </c>
      <c r="P215" s="175" t="s">
        <v>632</v>
      </c>
      <c r="T215" s="175" t="s">
        <v>632</v>
      </c>
      <c r="X215" s="175" t="s">
        <v>632</v>
      </c>
      <c r="Z215" s="175" t="s">
        <v>419</v>
      </c>
      <c r="AA215" s="175" t="s">
        <v>632</v>
      </c>
      <c r="AB215" s="175" t="s">
        <v>419</v>
      </c>
      <c r="AC215" s="175" t="s">
        <v>419</v>
      </c>
      <c r="AD215" s="175" t="s">
        <v>419</v>
      </c>
      <c r="AE215" s="175" t="s">
        <v>419</v>
      </c>
      <c r="AF215" s="175" t="s">
        <v>213</v>
      </c>
      <c r="AG215" s="175">
        <v>1</v>
      </c>
      <c r="AH215" s="175" t="s">
        <v>640</v>
      </c>
      <c r="AI215" s="175" t="s">
        <v>640</v>
      </c>
      <c r="AJ215" s="175" t="s">
        <v>640</v>
      </c>
      <c r="AK215" s="175" t="s">
        <v>640</v>
      </c>
      <c r="AL215" s="1159" t="s">
        <v>419</v>
      </c>
      <c r="AM215" s="175" t="s">
        <v>419</v>
      </c>
      <c r="AN215" s="175" t="s">
        <v>419</v>
      </c>
      <c r="AO215" s="175" t="s">
        <v>419</v>
      </c>
      <c r="AP215" s="175">
        <v>24</v>
      </c>
      <c r="AQ215" s="175">
        <v>216</v>
      </c>
      <c r="AR215" s="175" t="s">
        <v>419</v>
      </c>
      <c r="AS215" s="192" t="s">
        <v>419</v>
      </c>
    </row>
    <row r="216" spans="1:45" ht="16.5" customHeight="1">
      <c r="A216" s="174">
        <v>46211</v>
      </c>
      <c r="B216" s="175" t="s">
        <v>217</v>
      </c>
      <c r="C216" s="175" t="s">
        <v>17380</v>
      </c>
      <c r="E216" s="175" t="s">
        <v>17381</v>
      </c>
      <c r="F216" s="175" t="s">
        <v>17382</v>
      </c>
      <c r="G216" s="175">
        <v>680</v>
      </c>
      <c r="H216" s="175" t="s">
        <v>16728</v>
      </c>
      <c r="I216" s="175">
        <v>5</v>
      </c>
      <c r="J216" s="175">
        <v>27</v>
      </c>
      <c r="K216" s="175">
        <v>0</v>
      </c>
      <c r="L216" s="175">
        <v>8814</v>
      </c>
      <c r="M216" s="175">
        <v>9024</v>
      </c>
      <c r="N216" s="175">
        <v>2</v>
      </c>
      <c r="O216" s="175">
        <v>0</v>
      </c>
      <c r="P216" s="175">
        <v>9234</v>
      </c>
      <c r="Q216" s="175">
        <v>8926</v>
      </c>
      <c r="R216" s="175">
        <v>2</v>
      </c>
      <c r="S216" s="175">
        <v>0</v>
      </c>
      <c r="T216" s="175">
        <v>9182</v>
      </c>
      <c r="U216" s="175">
        <v>8886</v>
      </c>
      <c r="V216" s="175">
        <v>9</v>
      </c>
      <c r="W216" s="175">
        <v>0</v>
      </c>
      <c r="X216" s="175">
        <v>9103</v>
      </c>
      <c r="Y216" s="175">
        <v>8756</v>
      </c>
      <c r="Z216" s="175">
        <v>1.5824175824175823</v>
      </c>
      <c r="AA216" s="175">
        <v>13.333333333333334</v>
      </c>
      <c r="AB216" s="175">
        <v>1</v>
      </c>
      <c r="AC216" s="175">
        <v>89.90625</v>
      </c>
      <c r="AD216" s="175">
        <v>1.6666666666666667</v>
      </c>
      <c r="AE216" s="175">
        <v>1.6666666666666667</v>
      </c>
      <c r="AF216" s="175" t="s">
        <v>213</v>
      </c>
      <c r="AG216" s="175">
        <v>1</v>
      </c>
      <c r="AH216" s="175" t="s">
        <v>629</v>
      </c>
      <c r="AI216" s="175" t="s">
        <v>629</v>
      </c>
      <c r="AJ216" s="175" t="s">
        <v>640</v>
      </c>
      <c r="AK216" s="175" t="s">
        <v>640</v>
      </c>
      <c r="AL216" s="1159" t="s">
        <v>251</v>
      </c>
      <c r="AM216" s="175" t="s">
        <v>126</v>
      </c>
      <c r="AN216" s="175">
        <v>0.91100000000000003</v>
      </c>
      <c r="AO216" s="175">
        <v>1.3</v>
      </c>
      <c r="AP216" s="175">
        <v>24</v>
      </c>
      <c r="AQ216" s="175">
        <v>216</v>
      </c>
      <c r="AR216" s="175">
        <v>2.2999999999999998</v>
      </c>
      <c r="AS216" s="192">
        <v>10862.035199999998</v>
      </c>
    </row>
    <row r="217" spans="1:45" ht="16.5" customHeight="1">
      <c r="A217" s="174">
        <v>46211</v>
      </c>
      <c r="B217" s="175" t="s">
        <v>218</v>
      </c>
      <c r="C217" s="175" t="s">
        <v>17221</v>
      </c>
      <c r="E217" s="175" t="s">
        <v>17237</v>
      </c>
      <c r="F217" s="175" t="s">
        <v>17229</v>
      </c>
      <c r="G217" s="175">
        <v>600</v>
      </c>
      <c r="H217" s="175" t="s">
        <v>15893</v>
      </c>
      <c r="I217" s="175">
        <v>5</v>
      </c>
      <c r="J217" s="175">
        <v>26</v>
      </c>
      <c r="K217" s="175">
        <v>0</v>
      </c>
      <c r="L217" s="175">
        <v>9068</v>
      </c>
      <c r="M217" s="175">
        <v>9146</v>
      </c>
      <c r="N217" s="175">
        <v>10</v>
      </c>
      <c r="O217" s="175">
        <v>0</v>
      </c>
      <c r="P217" s="175">
        <v>9244</v>
      </c>
      <c r="Q217" s="175">
        <v>9507</v>
      </c>
      <c r="R217" s="175">
        <v>8</v>
      </c>
      <c r="S217" s="175">
        <v>0</v>
      </c>
      <c r="T217" s="175">
        <v>9268</v>
      </c>
      <c r="U217" s="175">
        <v>9393</v>
      </c>
      <c r="V217" s="175">
        <v>12</v>
      </c>
      <c r="W217" s="175">
        <v>0</v>
      </c>
      <c r="X217" s="175">
        <v>9099</v>
      </c>
      <c r="Y217" s="175">
        <v>9360</v>
      </c>
      <c r="Z217" s="175">
        <v>2.8015564202334629</v>
      </c>
      <c r="AA217" s="175">
        <v>9.3333333333333339</v>
      </c>
      <c r="AB217" s="175">
        <v>1</v>
      </c>
      <c r="AC217" s="175">
        <v>92.606250000000003</v>
      </c>
      <c r="AD217" s="175">
        <v>1.1666666666666667</v>
      </c>
      <c r="AE217" s="175">
        <v>1.1666666666666667</v>
      </c>
      <c r="AF217" s="175" t="s">
        <v>213</v>
      </c>
      <c r="AG217" s="175">
        <v>0.5</v>
      </c>
      <c r="AH217" s="175" t="s">
        <v>629</v>
      </c>
      <c r="AI217" s="175" t="s">
        <v>629</v>
      </c>
      <c r="AJ217" s="175" t="s">
        <v>15368</v>
      </c>
      <c r="AK217" s="175" t="s">
        <v>15368</v>
      </c>
      <c r="AL217" s="1159" t="s">
        <v>250</v>
      </c>
      <c r="AM217" s="175" t="s">
        <v>126</v>
      </c>
      <c r="AN217" s="175">
        <v>0.91100000000000003</v>
      </c>
      <c r="AO217" s="175">
        <v>1.7</v>
      </c>
      <c r="AP217" s="175">
        <v>24</v>
      </c>
      <c r="AQ217" s="175">
        <v>216</v>
      </c>
      <c r="AR217" s="175">
        <v>2.7</v>
      </c>
      <c r="AS217" s="192">
        <v>12751.084800000001</v>
      </c>
    </row>
    <row r="218" spans="1:45" ht="16.5" customHeight="1">
      <c r="A218" s="174">
        <v>46211</v>
      </c>
      <c r="B218" s="175" t="s">
        <v>219</v>
      </c>
      <c r="C218" s="175" t="s">
        <v>632</v>
      </c>
      <c r="E218" s="175" t="s">
        <v>419</v>
      </c>
      <c r="F218" s="175" t="s">
        <v>419</v>
      </c>
      <c r="G218" s="175" t="s">
        <v>419</v>
      </c>
      <c r="H218" s="175" t="s">
        <v>419</v>
      </c>
      <c r="I218" s="175" t="s">
        <v>419</v>
      </c>
      <c r="L218" s="175" t="s">
        <v>632</v>
      </c>
      <c r="P218" s="175" t="s">
        <v>632</v>
      </c>
      <c r="T218" s="175" t="s">
        <v>632</v>
      </c>
      <c r="X218" s="175" t="s">
        <v>632</v>
      </c>
      <c r="Z218" s="175" t="s">
        <v>419</v>
      </c>
      <c r="AA218" s="175" t="s">
        <v>632</v>
      </c>
      <c r="AB218" s="175" t="s">
        <v>419</v>
      </c>
      <c r="AC218" s="175" t="s">
        <v>419</v>
      </c>
      <c r="AD218" s="175" t="s">
        <v>419</v>
      </c>
      <c r="AE218" s="175" t="s">
        <v>419</v>
      </c>
      <c r="AF218" s="175" t="s">
        <v>213</v>
      </c>
      <c r="AG218" s="175">
        <v>1</v>
      </c>
      <c r="AH218" s="175" t="s">
        <v>640</v>
      </c>
      <c r="AI218" s="175" t="s">
        <v>640</v>
      </c>
      <c r="AJ218" s="175" t="s">
        <v>640</v>
      </c>
      <c r="AK218" s="175" t="s">
        <v>640</v>
      </c>
      <c r="AL218" s="1159" t="s">
        <v>419</v>
      </c>
      <c r="AM218" s="175" t="s">
        <v>419</v>
      </c>
      <c r="AN218" s="175" t="s">
        <v>419</v>
      </c>
      <c r="AO218" s="175" t="s">
        <v>419</v>
      </c>
      <c r="AP218" s="175">
        <v>24</v>
      </c>
      <c r="AQ218" s="175">
        <v>216</v>
      </c>
      <c r="AR218" s="175" t="s">
        <v>419</v>
      </c>
      <c r="AS218" s="192" t="s">
        <v>419</v>
      </c>
    </row>
    <row r="219" spans="1:45" ht="16.5" customHeight="1">
      <c r="A219" s="174">
        <v>46211</v>
      </c>
      <c r="B219" s="175" t="s">
        <v>220</v>
      </c>
      <c r="C219" s="175" t="s">
        <v>632</v>
      </c>
      <c r="E219" s="175" t="s">
        <v>419</v>
      </c>
      <c r="F219" s="175" t="s">
        <v>419</v>
      </c>
      <c r="G219" s="175" t="s">
        <v>419</v>
      </c>
      <c r="H219" s="175" t="s">
        <v>419</v>
      </c>
      <c r="I219" s="175" t="s">
        <v>419</v>
      </c>
      <c r="L219" s="175" t="s">
        <v>632</v>
      </c>
      <c r="P219" s="175" t="s">
        <v>632</v>
      </c>
      <c r="T219" s="175" t="s">
        <v>632</v>
      </c>
      <c r="X219" s="175" t="s">
        <v>632</v>
      </c>
      <c r="Z219" s="175" t="s">
        <v>419</v>
      </c>
      <c r="AA219" s="175" t="s">
        <v>632</v>
      </c>
      <c r="AB219" s="175" t="s">
        <v>419</v>
      </c>
      <c r="AC219" s="175" t="s">
        <v>419</v>
      </c>
      <c r="AD219" s="175" t="s">
        <v>419</v>
      </c>
      <c r="AE219" s="175" t="s">
        <v>419</v>
      </c>
      <c r="AF219" s="175" t="s">
        <v>213</v>
      </c>
      <c r="AG219" s="175">
        <v>1</v>
      </c>
      <c r="AH219" s="175" t="s">
        <v>640</v>
      </c>
      <c r="AI219" s="175" t="s">
        <v>640</v>
      </c>
      <c r="AJ219" s="175" t="s">
        <v>640</v>
      </c>
      <c r="AK219" s="175" t="s">
        <v>640</v>
      </c>
      <c r="AL219" s="1159" t="s">
        <v>419</v>
      </c>
      <c r="AM219" s="175" t="s">
        <v>419</v>
      </c>
      <c r="AN219" s="175" t="s">
        <v>419</v>
      </c>
      <c r="AO219" s="175" t="s">
        <v>419</v>
      </c>
      <c r="AP219" s="175">
        <v>24</v>
      </c>
      <c r="AQ219" s="175">
        <v>216</v>
      </c>
      <c r="AR219" s="175" t="s">
        <v>419</v>
      </c>
      <c r="AS219" s="192" t="s">
        <v>419</v>
      </c>
    </row>
    <row r="220" spans="1:45" ht="16.5" customHeight="1">
      <c r="A220" s="174">
        <v>46211</v>
      </c>
      <c r="B220" s="175" t="s">
        <v>221</v>
      </c>
      <c r="C220" s="175" t="s">
        <v>632</v>
      </c>
      <c r="E220" s="175" t="s">
        <v>419</v>
      </c>
      <c r="F220" s="175" t="s">
        <v>419</v>
      </c>
      <c r="G220" s="175" t="s">
        <v>419</v>
      </c>
      <c r="H220" s="175" t="s">
        <v>419</v>
      </c>
      <c r="I220" s="175" t="s">
        <v>419</v>
      </c>
      <c r="L220" s="175" t="s">
        <v>632</v>
      </c>
      <c r="P220" s="175" t="s">
        <v>632</v>
      </c>
      <c r="T220" s="175" t="s">
        <v>632</v>
      </c>
      <c r="X220" s="175" t="s">
        <v>632</v>
      </c>
      <c r="Z220" s="175" t="s">
        <v>419</v>
      </c>
      <c r="AA220" s="175" t="s">
        <v>632</v>
      </c>
      <c r="AB220" s="175" t="s">
        <v>419</v>
      </c>
      <c r="AC220" s="175" t="s">
        <v>419</v>
      </c>
      <c r="AD220" s="175" t="s">
        <v>419</v>
      </c>
      <c r="AE220" s="175" t="s">
        <v>419</v>
      </c>
      <c r="AF220" s="175" t="s">
        <v>213</v>
      </c>
      <c r="AG220" s="175">
        <v>1</v>
      </c>
      <c r="AH220" s="175" t="s">
        <v>640</v>
      </c>
      <c r="AI220" s="175" t="s">
        <v>640</v>
      </c>
      <c r="AJ220" s="175" t="s">
        <v>640</v>
      </c>
      <c r="AK220" s="175" t="s">
        <v>640</v>
      </c>
      <c r="AL220" s="1159" t="s">
        <v>419</v>
      </c>
      <c r="AM220" s="175" t="s">
        <v>419</v>
      </c>
      <c r="AN220" s="175" t="s">
        <v>419</v>
      </c>
      <c r="AO220" s="175" t="s">
        <v>419</v>
      </c>
      <c r="AP220" s="175">
        <v>24</v>
      </c>
      <c r="AQ220" s="175">
        <v>216</v>
      </c>
      <c r="AR220" s="175" t="s">
        <v>419</v>
      </c>
      <c r="AS220" s="192" t="s">
        <v>419</v>
      </c>
    </row>
    <row r="221" spans="1:45" ht="16.5" customHeight="1">
      <c r="A221" s="174">
        <v>46211</v>
      </c>
      <c r="B221" s="175" t="s">
        <v>222</v>
      </c>
      <c r="C221" s="175" t="s">
        <v>17261</v>
      </c>
      <c r="D221" s="175" t="s">
        <v>16748</v>
      </c>
      <c r="E221" s="175" t="s">
        <v>17177</v>
      </c>
      <c r="F221" s="175" t="s">
        <v>17262</v>
      </c>
      <c r="G221" s="175">
        <v>550</v>
      </c>
      <c r="H221" s="175" t="s">
        <v>762</v>
      </c>
      <c r="I221" s="175">
        <v>2</v>
      </c>
      <c r="J221" s="175">
        <v>11</v>
      </c>
      <c r="K221" s="175">
        <v>0</v>
      </c>
      <c r="L221" s="175">
        <v>9142</v>
      </c>
      <c r="M221" s="175" t="s">
        <v>632</v>
      </c>
      <c r="N221" s="175">
        <v>3</v>
      </c>
      <c r="O221" s="175">
        <v>0</v>
      </c>
      <c r="P221" s="175">
        <v>9203</v>
      </c>
      <c r="Q221" s="175" t="s">
        <v>632</v>
      </c>
      <c r="T221" s="175" t="s">
        <v>627</v>
      </c>
      <c r="U221" s="175" t="s">
        <v>632</v>
      </c>
      <c r="X221" s="175" t="s">
        <v>632</v>
      </c>
      <c r="Y221" s="175" t="s">
        <v>632</v>
      </c>
      <c r="Z221" s="175">
        <v>2.1492537313432836</v>
      </c>
      <c r="AA221" s="175">
        <v>9.3333333333333339</v>
      </c>
      <c r="AB221" s="175">
        <v>1</v>
      </c>
      <c r="AC221" s="175">
        <v>91.724999999999994</v>
      </c>
      <c r="AD221" s="175">
        <v>1.1666666666666667</v>
      </c>
      <c r="AE221" s="175">
        <v>1.1666666666666667</v>
      </c>
      <c r="AF221" s="175" t="s">
        <v>213</v>
      </c>
      <c r="AG221" s="175">
        <v>2</v>
      </c>
      <c r="AH221" s="175" t="s">
        <v>629</v>
      </c>
      <c r="AI221" s="175" t="s">
        <v>629</v>
      </c>
      <c r="AJ221" s="175" t="s">
        <v>15368</v>
      </c>
      <c r="AK221" s="175" t="s">
        <v>15368</v>
      </c>
      <c r="AL221" s="1159" t="s">
        <v>250</v>
      </c>
      <c r="AM221" s="175" t="s">
        <v>126</v>
      </c>
      <c r="AN221" s="175">
        <v>0.91100000000000003</v>
      </c>
      <c r="AO221" s="175">
        <v>0.7</v>
      </c>
      <c r="AP221" s="175">
        <v>24</v>
      </c>
      <c r="AQ221" s="175">
        <v>216</v>
      </c>
      <c r="AR221" s="175">
        <v>1.7</v>
      </c>
      <c r="AS221" s="192">
        <v>8028.4608000000007</v>
      </c>
    </row>
    <row r="222" spans="1:45" ht="16.5" customHeight="1">
      <c r="A222" s="174">
        <v>46211</v>
      </c>
      <c r="B222" s="175" t="s">
        <v>223</v>
      </c>
      <c r="C222" s="175" t="s">
        <v>17263</v>
      </c>
      <c r="D222" s="175" t="s">
        <v>16748</v>
      </c>
      <c r="E222" s="175" t="s">
        <v>17156</v>
      </c>
      <c r="F222" s="175" t="s">
        <v>17264</v>
      </c>
      <c r="G222" s="175">
        <v>600</v>
      </c>
      <c r="H222" s="175" t="s">
        <v>456</v>
      </c>
      <c r="I222" s="175">
        <v>3</v>
      </c>
      <c r="J222" s="175">
        <v>15</v>
      </c>
      <c r="K222" s="175">
        <v>0</v>
      </c>
      <c r="L222" s="175">
        <v>7401</v>
      </c>
      <c r="M222" s="175" t="s">
        <v>632</v>
      </c>
      <c r="N222" s="175">
        <v>5</v>
      </c>
      <c r="O222" s="175">
        <v>0</v>
      </c>
      <c r="P222" s="175">
        <v>7600</v>
      </c>
      <c r="Q222" s="175" t="s">
        <v>632</v>
      </c>
      <c r="R222" s="175">
        <v>4</v>
      </c>
      <c r="S222" s="175">
        <v>0</v>
      </c>
      <c r="T222" s="175">
        <v>7599</v>
      </c>
      <c r="U222" s="175" t="s">
        <v>632</v>
      </c>
      <c r="V222" s="175">
        <v>5</v>
      </c>
      <c r="W222" s="175">
        <v>0</v>
      </c>
      <c r="X222" s="175">
        <v>7316</v>
      </c>
      <c r="Y222" s="175" t="s">
        <v>632</v>
      </c>
      <c r="Z222" s="175">
        <v>2.4</v>
      </c>
      <c r="AA222" s="175">
        <v>19.333333333333332</v>
      </c>
      <c r="AB222" s="175">
        <v>1</v>
      </c>
      <c r="AC222" s="175">
        <v>74.790000000000006</v>
      </c>
      <c r="AD222" s="175">
        <v>2.4166666666666665</v>
      </c>
      <c r="AE222" s="175">
        <v>2.4166666666666665</v>
      </c>
      <c r="AF222" s="175" t="s">
        <v>213</v>
      </c>
      <c r="AG222" s="175">
        <v>2</v>
      </c>
      <c r="AH222" s="175" t="s">
        <v>629</v>
      </c>
      <c r="AI222" s="175" t="s">
        <v>629</v>
      </c>
      <c r="AJ222" s="175" t="s">
        <v>15368</v>
      </c>
      <c r="AK222" s="175" t="s">
        <v>15368</v>
      </c>
      <c r="AL222" s="1159" t="s">
        <v>250</v>
      </c>
      <c r="AM222" s="175" t="s">
        <v>126</v>
      </c>
      <c r="AN222" s="175">
        <v>0.91100000000000003</v>
      </c>
      <c r="AO222" s="175">
        <v>0.8</v>
      </c>
      <c r="AP222" s="175">
        <v>24</v>
      </c>
      <c r="AQ222" s="175">
        <v>216</v>
      </c>
      <c r="AR222" s="175">
        <v>1.8</v>
      </c>
      <c r="AS222" s="192">
        <v>8500.7232000000004</v>
      </c>
    </row>
    <row r="223" spans="1:45" ht="16.5" customHeight="1">
      <c r="A223" s="174">
        <v>46211</v>
      </c>
      <c r="B223" s="175" t="s">
        <v>224</v>
      </c>
      <c r="C223" s="175" t="s">
        <v>632</v>
      </c>
      <c r="E223" s="175" t="s">
        <v>419</v>
      </c>
      <c r="F223" s="175" t="s">
        <v>419</v>
      </c>
      <c r="G223" s="175" t="s">
        <v>419</v>
      </c>
      <c r="H223" s="175" t="s">
        <v>419</v>
      </c>
      <c r="I223" s="175" t="s">
        <v>419</v>
      </c>
      <c r="L223" s="175" t="s">
        <v>632</v>
      </c>
      <c r="P223" s="175" t="s">
        <v>632</v>
      </c>
      <c r="T223" s="175" t="s">
        <v>632</v>
      </c>
      <c r="X223" s="175" t="s">
        <v>632</v>
      </c>
      <c r="Z223" s="175" t="s">
        <v>419</v>
      </c>
      <c r="AA223" s="175" t="s">
        <v>632</v>
      </c>
      <c r="AB223" s="175" t="s">
        <v>419</v>
      </c>
      <c r="AC223" s="175" t="s">
        <v>419</v>
      </c>
      <c r="AD223" s="175" t="s">
        <v>419</v>
      </c>
      <c r="AE223" s="175" t="s">
        <v>419</v>
      </c>
      <c r="AF223" s="175" t="s">
        <v>213</v>
      </c>
      <c r="AG223" s="175">
        <v>0.5</v>
      </c>
      <c r="AH223" s="175" t="s">
        <v>640</v>
      </c>
      <c r="AI223" s="175" t="s">
        <v>640</v>
      </c>
      <c r="AJ223" s="175" t="s">
        <v>640</v>
      </c>
      <c r="AK223" s="175" t="s">
        <v>640</v>
      </c>
      <c r="AL223" s="1159" t="s">
        <v>419</v>
      </c>
      <c r="AM223" s="175" t="s">
        <v>419</v>
      </c>
      <c r="AN223" s="175" t="s">
        <v>419</v>
      </c>
      <c r="AO223" s="175" t="s">
        <v>419</v>
      </c>
      <c r="AP223" s="175">
        <v>24</v>
      </c>
      <c r="AQ223" s="175">
        <v>216</v>
      </c>
      <c r="AR223" s="175" t="s">
        <v>419</v>
      </c>
      <c r="AS223" s="192" t="s">
        <v>419</v>
      </c>
    </row>
    <row r="224" spans="1:45" ht="16.5" customHeight="1">
      <c r="A224" s="174">
        <v>46211</v>
      </c>
      <c r="B224" s="175" t="s">
        <v>225</v>
      </c>
      <c r="C224" s="175" t="s">
        <v>632</v>
      </c>
      <c r="E224" s="175" t="s">
        <v>419</v>
      </c>
      <c r="F224" s="175" t="s">
        <v>419</v>
      </c>
      <c r="G224" s="175" t="s">
        <v>419</v>
      </c>
      <c r="H224" s="175" t="s">
        <v>419</v>
      </c>
      <c r="I224" s="175" t="s">
        <v>419</v>
      </c>
      <c r="L224" s="175" t="s">
        <v>632</v>
      </c>
      <c r="P224" s="175" t="s">
        <v>632</v>
      </c>
      <c r="T224" s="175" t="s">
        <v>632</v>
      </c>
      <c r="X224" s="175" t="s">
        <v>632</v>
      </c>
      <c r="Z224" s="175" t="s">
        <v>419</v>
      </c>
      <c r="AA224" s="175" t="s">
        <v>632</v>
      </c>
      <c r="AB224" s="175" t="s">
        <v>419</v>
      </c>
      <c r="AC224" s="175" t="s">
        <v>419</v>
      </c>
      <c r="AD224" s="175" t="s">
        <v>419</v>
      </c>
      <c r="AE224" s="175" t="s">
        <v>419</v>
      </c>
      <c r="AF224" s="175" t="s">
        <v>213</v>
      </c>
      <c r="AG224" s="175">
        <v>1</v>
      </c>
      <c r="AH224" s="175" t="s">
        <v>640</v>
      </c>
      <c r="AI224" s="175" t="s">
        <v>640</v>
      </c>
      <c r="AJ224" s="175" t="s">
        <v>640</v>
      </c>
      <c r="AK224" s="175" t="s">
        <v>640</v>
      </c>
      <c r="AL224" s="1159" t="s">
        <v>419</v>
      </c>
      <c r="AM224" s="175" t="s">
        <v>419</v>
      </c>
      <c r="AN224" s="175" t="s">
        <v>419</v>
      </c>
      <c r="AO224" s="175" t="s">
        <v>419</v>
      </c>
      <c r="AP224" s="175">
        <v>24</v>
      </c>
      <c r="AQ224" s="175">
        <v>216</v>
      </c>
      <c r="AR224" s="175" t="s">
        <v>419</v>
      </c>
      <c r="AS224" s="192" t="s">
        <v>419</v>
      </c>
    </row>
    <row r="225" spans="1:45" ht="16.5" customHeight="1">
      <c r="A225" s="174">
        <v>46211</v>
      </c>
      <c r="B225" s="175" t="s">
        <v>226</v>
      </c>
      <c r="C225" s="175" t="s">
        <v>632</v>
      </c>
      <c r="E225" s="175" t="s">
        <v>419</v>
      </c>
      <c r="F225" s="175" t="s">
        <v>419</v>
      </c>
      <c r="G225" s="175" t="s">
        <v>419</v>
      </c>
      <c r="H225" s="175" t="s">
        <v>419</v>
      </c>
      <c r="I225" s="175" t="s">
        <v>419</v>
      </c>
      <c r="L225" s="175" t="s">
        <v>632</v>
      </c>
      <c r="P225" s="175" t="s">
        <v>632</v>
      </c>
      <c r="T225" s="175" t="s">
        <v>632</v>
      </c>
      <c r="X225" s="175" t="s">
        <v>632</v>
      </c>
      <c r="Z225" s="175" t="s">
        <v>419</v>
      </c>
      <c r="AA225" s="175" t="s">
        <v>632</v>
      </c>
      <c r="AB225" s="175" t="s">
        <v>419</v>
      </c>
      <c r="AC225" s="175" t="s">
        <v>419</v>
      </c>
      <c r="AD225" s="175" t="s">
        <v>419</v>
      </c>
      <c r="AE225" s="175" t="s">
        <v>419</v>
      </c>
      <c r="AF225" s="175" t="s">
        <v>213</v>
      </c>
      <c r="AG225" s="175">
        <v>1</v>
      </c>
      <c r="AH225" s="175" t="s">
        <v>640</v>
      </c>
      <c r="AI225" s="175" t="s">
        <v>640</v>
      </c>
      <c r="AJ225" s="175" t="s">
        <v>640</v>
      </c>
      <c r="AK225" s="175" t="s">
        <v>640</v>
      </c>
      <c r="AL225" s="1159" t="s">
        <v>419</v>
      </c>
      <c r="AM225" s="175" t="s">
        <v>419</v>
      </c>
      <c r="AN225" s="175" t="s">
        <v>419</v>
      </c>
      <c r="AO225" s="175" t="s">
        <v>419</v>
      </c>
      <c r="AP225" s="175">
        <v>24</v>
      </c>
      <c r="AQ225" s="175">
        <v>216</v>
      </c>
      <c r="AR225" s="175" t="s">
        <v>419</v>
      </c>
      <c r="AS225" s="192" t="s">
        <v>419</v>
      </c>
    </row>
    <row r="226" spans="1:45" ht="16.5" customHeight="1">
      <c r="A226" s="174">
        <v>46211</v>
      </c>
      <c r="B226" s="175" t="s">
        <v>227</v>
      </c>
      <c r="C226" s="175" t="s">
        <v>632</v>
      </c>
      <c r="E226" s="175" t="s">
        <v>419</v>
      </c>
      <c r="F226" s="175" t="s">
        <v>419</v>
      </c>
      <c r="G226" s="175" t="s">
        <v>419</v>
      </c>
      <c r="H226" s="175" t="s">
        <v>419</v>
      </c>
      <c r="I226" s="175" t="s">
        <v>419</v>
      </c>
      <c r="L226" s="175" t="s">
        <v>632</v>
      </c>
      <c r="P226" s="175" t="s">
        <v>632</v>
      </c>
      <c r="T226" s="175" t="s">
        <v>632</v>
      </c>
      <c r="X226" s="175" t="s">
        <v>632</v>
      </c>
      <c r="Z226" s="175" t="s">
        <v>419</v>
      </c>
      <c r="AA226" s="175" t="s">
        <v>632</v>
      </c>
      <c r="AB226" s="175" t="s">
        <v>419</v>
      </c>
      <c r="AC226" s="175" t="s">
        <v>419</v>
      </c>
      <c r="AD226" s="175" t="s">
        <v>419</v>
      </c>
      <c r="AE226" s="175" t="s">
        <v>419</v>
      </c>
      <c r="AF226" s="175" t="s">
        <v>213</v>
      </c>
      <c r="AG226" s="175">
        <v>1</v>
      </c>
      <c r="AH226" s="175" t="s">
        <v>640</v>
      </c>
      <c r="AI226" s="175" t="s">
        <v>640</v>
      </c>
      <c r="AJ226" s="175" t="s">
        <v>640</v>
      </c>
      <c r="AK226" s="175" t="s">
        <v>640</v>
      </c>
      <c r="AL226" s="1159" t="s">
        <v>419</v>
      </c>
      <c r="AM226" s="175" t="s">
        <v>419</v>
      </c>
      <c r="AN226" s="175" t="s">
        <v>419</v>
      </c>
      <c r="AO226" s="175" t="s">
        <v>419</v>
      </c>
      <c r="AP226" s="175">
        <v>24</v>
      </c>
      <c r="AQ226" s="175">
        <v>216</v>
      </c>
      <c r="AR226" s="175" t="s">
        <v>419</v>
      </c>
      <c r="AS226" s="192" t="s">
        <v>419</v>
      </c>
    </row>
    <row r="227" spans="1:45" ht="16.5" customHeight="1">
      <c r="A227" s="174">
        <v>46211</v>
      </c>
      <c r="B227" s="175" t="s">
        <v>228</v>
      </c>
      <c r="C227" s="175" t="s">
        <v>17293</v>
      </c>
      <c r="E227" s="175" t="s">
        <v>7055</v>
      </c>
      <c r="F227" s="175" t="s">
        <v>17294</v>
      </c>
      <c r="G227" s="175">
        <v>550</v>
      </c>
      <c r="H227" s="175" t="s">
        <v>889</v>
      </c>
      <c r="I227" s="175">
        <v>5.5</v>
      </c>
      <c r="J227" s="175">
        <v>24</v>
      </c>
      <c r="K227" s="175">
        <v>4</v>
      </c>
      <c r="L227" s="175">
        <v>5819</v>
      </c>
      <c r="M227" s="175">
        <v>6191</v>
      </c>
      <c r="N227" s="175">
        <v>4</v>
      </c>
      <c r="O227" s="175">
        <v>0</v>
      </c>
      <c r="P227" s="175">
        <v>5919</v>
      </c>
      <c r="Q227" s="175">
        <v>6397</v>
      </c>
      <c r="R227" s="175">
        <v>14</v>
      </c>
      <c r="S227" s="175">
        <v>0</v>
      </c>
      <c r="T227" s="175">
        <v>5913</v>
      </c>
      <c r="U227" s="175">
        <v>6404</v>
      </c>
      <c r="V227" s="175">
        <v>22</v>
      </c>
      <c r="W227" s="175">
        <v>0</v>
      </c>
      <c r="X227" s="175">
        <v>8710</v>
      </c>
      <c r="Y227" s="175">
        <v>6415</v>
      </c>
      <c r="Z227" s="175">
        <v>4.7058823529411766</v>
      </c>
      <c r="AA227" s="175">
        <v>10.666666666666666</v>
      </c>
      <c r="AB227" s="175">
        <v>0.9959134615384615</v>
      </c>
      <c r="AC227" s="175">
        <v>64.709999999999994</v>
      </c>
      <c r="AD227" s="175">
        <v>1.3333333333333333</v>
      </c>
      <c r="AE227" s="175">
        <v>1.25</v>
      </c>
      <c r="AF227" s="175" t="s">
        <v>213</v>
      </c>
      <c r="AG227" s="175">
        <v>0.5</v>
      </c>
      <c r="AH227" s="175" t="s">
        <v>635</v>
      </c>
      <c r="AI227" s="175" t="s">
        <v>635</v>
      </c>
      <c r="AJ227" s="175" t="s">
        <v>637</v>
      </c>
      <c r="AK227" s="175" t="s">
        <v>637</v>
      </c>
      <c r="AL227" s="1159" t="s">
        <v>250</v>
      </c>
      <c r="AM227" s="175" t="s">
        <v>460</v>
      </c>
      <c r="AN227" s="175">
        <v>1.1890000000000001</v>
      </c>
      <c r="AO227" s="175">
        <v>1.9</v>
      </c>
      <c r="AP227" s="175">
        <v>24</v>
      </c>
      <c r="AQ227" s="175">
        <v>216</v>
      </c>
      <c r="AR227" s="175">
        <v>2.9</v>
      </c>
      <c r="AS227" s="192">
        <v>17874.950400000002</v>
      </c>
    </row>
    <row r="228" spans="1:45" ht="16.5" customHeight="1">
      <c r="A228" s="174">
        <v>46211</v>
      </c>
      <c r="B228" s="175" t="s">
        <v>229</v>
      </c>
      <c r="C228" s="175" t="s">
        <v>632</v>
      </c>
      <c r="E228" s="175" t="s">
        <v>419</v>
      </c>
      <c r="F228" s="175" t="s">
        <v>419</v>
      </c>
      <c r="G228" s="175" t="s">
        <v>419</v>
      </c>
      <c r="H228" s="175" t="s">
        <v>419</v>
      </c>
      <c r="I228" s="175" t="s">
        <v>419</v>
      </c>
      <c r="L228" s="175" t="s">
        <v>632</v>
      </c>
      <c r="P228" s="175" t="s">
        <v>632</v>
      </c>
      <c r="T228" s="175" t="s">
        <v>632</v>
      </c>
      <c r="X228" s="175" t="s">
        <v>632</v>
      </c>
      <c r="Z228" s="175" t="s">
        <v>419</v>
      </c>
      <c r="AA228" s="175" t="s">
        <v>632</v>
      </c>
      <c r="AB228" s="175" t="s">
        <v>419</v>
      </c>
      <c r="AC228" s="175" t="s">
        <v>419</v>
      </c>
      <c r="AD228" s="175" t="s">
        <v>419</v>
      </c>
      <c r="AE228" s="175" t="s">
        <v>419</v>
      </c>
      <c r="AF228" s="175" t="s">
        <v>213</v>
      </c>
      <c r="AG228" s="175">
        <v>1</v>
      </c>
      <c r="AH228" s="175" t="s">
        <v>640</v>
      </c>
      <c r="AI228" s="175" t="s">
        <v>640</v>
      </c>
      <c r="AJ228" s="175" t="s">
        <v>640</v>
      </c>
      <c r="AK228" s="175" t="s">
        <v>640</v>
      </c>
      <c r="AL228" s="1159" t="s">
        <v>419</v>
      </c>
      <c r="AM228" s="175" t="s">
        <v>419</v>
      </c>
      <c r="AN228" s="175" t="s">
        <v>419</v>
      </c>
      <c r="AO228" s="175" t="s">
        <v>419</v>
      </c>
      <c r="AP228" s="175">
        <v>24</v>
      </c>
      <c r="AQ228" s="175">
        <v>216</v>
      </c>
      <c r="AR228" s="175" t="s">
        <v>419</v>
      </c>
      <c r="AS228" s="192" t="s">
        <v>419</v>
      </c>
    </row>
    <row r="229" spans="1:45" ht="16.5" customHeight="1">
      <c r="A229" s="174">
        <v>46211</v>
      </c>
      <c r="B229" s="175" t="s">
        <v>230</v>
      </c>
      <c r="C229" s="175" t="s">
        <v>632</v>
      </c>
      <c r="E229" s="175" t="s">
        <v>419</v>
      </c>
      <c r="F229" s="175" t="s">
        <v>419</v>
      </c>
      <c r="G229" s="175" t="s">
        <v>419</v>
      </c>
      <c r="H229" s="175" t="s">
        <v>419</v>
      </c>
      <c r="I229" s="175" t="s">
        <v>419</v>
      </c>
      <c r="L229" s="175" t="s">
        <v>632</v>
      </c>
      <c r="P229" s="175" t="s">
        <v>632</v>
      </c>
      <c r="T229" s="175" t="s">
        <v>632</v>
      </c>
      <c r="X229" s="175" t="s">
        <v>632</v>
      </c>
      <c r="Z229" s="175" t="s">
        <v>419</v>
      </c>
      <c r="AA229" s="175" t="s">
        <v>632</v>
      </c>
      <c r="AB229" s="175" t="s">
        <v>419</v>
      </c>
      <c r="AC229" s="175" t="s">
        <v>419</v>
      </c>
      <c r="AD229" s="175" t="s">
        <v>419</v>
      </c>
      <c r="AE229" s="175" t="s">
        <v>419</v>
      </c>
      <c r="AF229" s="175" t="s">
        <v>213</v>
      </c>
      <c r="AG229" s="175">
        <v>1</v>
      </c>
      <c r="AH229" s="175" t="s">
        <v>640</v>
      </c>
      <c r="AI229" s="175" t="s">
        <v>640</v>
      </c>
      <c r="AJ229" s="175" t="s">
        <v>640</v>
      </c>
      <c r="AK229" s="175" t="s">
        <v>640</v>
      </c>
      <c r="AL229" s="1159" t="s">
        <v>419</v>
      </c>
      <c r="AM229" s="175" t="s">
        <v>419</v>
      </c>
      <c r="AN229" s="175" t="s">
        <v>419</v>
      </c>
      <c r="AO229" s="175" t="s">
        <v>419</v>
      </c>
      <c r="AP229" s="175">
        <v>24</v>
      </c>
      <c r="AQ229" s="175">
        <v>216</v>
      </c>
      <c r="AR229" s="175" t="s">
        <v>419</v>
      </c>
      <c r="AS229" s="192" t="s">
        <v>419</v>
      </c>
    </row>
    <row r="230" spans="1:45" ht="16.5" customHeight="1">
      <c r="A230" s="174">
        <v>46211</v>
      </c>
      <c r="B230" s="175" t="s">
        <v>231</v>
      </c>
      <c r="C230" s="175" t="s">
        <v>632</v>
      </c>
      <c r="E230" s="175" t="s">
        <v>419</v>
      </c>
      <c r="F230" s="175" t="s">
        <v>419</v>
      </c>
      <c r="G230" s="175" t="s">
        <v>419</v>
      </c>
      <c r="H230" s="175" t="s">
        <v>419</v>
      </c>
      <c r="I230" s="175" t="s">
        <v>419</v>
      </c>
      <c r="L230" s="175" t="s">
        <v>632</v>
      </c>
      <c r="P230" s="175" t="s">
        <v>632</v>
      </c>
      <c r="T230" s="175" t="s">
        <v>632</v>
      </c>
      <c r="X230" s="175" t="s">
        <v>632</v>
      </c>
      <c r="Z230" s="175" t="s">
        <v>419</v>
      </c>
      <c r="AA230" s="175" t="s">
        <v>632</v>
      </c>
      <c r="AB230" s="175" t="s">
        <v>419</v>
      </c>
      <c r="AC230" s="175" t="s">
        <v>419</v>
      </c>
      <c r="AD230" s="175" t="s">
        <v>419</v>
      </c>
      <c r="AE230" s="175" t="s">
        <v>419</v>
      </c>
      <c r="AF230" s="175" t="s">
        <v>232</v>
      </c>
      <c r="AG230" s="175">
        <v>1</v>
      </c>
      <c r="AH230" s="175" t="s">
        <v>640</v>
      </c>
      <c r="AI230" s="175" t="s">
        <v>640</v>
      </c>
      <c r="AJ230" s="175" t="s">
        <v>640</v>
      </c>
      <c r="AK230" s="175" t="s">
        <v>640</v>
      </c>
      <c r="AL230" s="1159" t="s">
        <v>419</v>
      </c>
      <c r="AM230" s="175" t="s">
        <v>419</v>
      </c>
      <c r="AN230" s="175" t="s">
        <v>419</v>
      </c>
      <c r="AO230" s="175" t="s">
        <v>419</v>
      </c>
      <c r="AP230" s="175">
        <v>24</v>
      </c>
      <c r="AQ230" s="175">
        <v>216</v>
      </c>
      <c r="AR230" s="175" t="s">
        <v>419</v>
      </c>
      <c r="AS230" s="192" t="s">
        <v>419</v>
      </c>
    </row>
    <row r="231" spans="1:45" ht="16.5" customHeight="1">
      <c r="A231" s="174">
        <v>46211</v>
      </c>
      <c r="B231" s="175" t="s">
        <v>233</v>
      </c>
      <c r="C231" s="175" t="s">
        <v>17268</v>
      </c>
      <c r="D231" s="175" t="s">
        <v>633</v>
      </c>
      <c r="E231" s="175" t="s">
        <v>16719</v>
      </c>
      <c r="F231" s="175" t="s">
        <v>17253</v>
      </c>
      <c r="G231" s="175">
        <v>600</v>
      </c>
      <c r="H231" s="175" t="s">
        <v>723</v>
      </c>
      <c r="I231" s="175">
        <v>5.5</v>
      </c>
      <c r="J231" s="175">
        <v>14</v>
      </c>
      <c r="K231" s="175">
        <v>2</v>
      </c>
      <c r="L231" s="175">
        <v>3230</v>
      </c>
      <c r="M231" s="175" t="s">
        <v>17315</v>
      </c>
      <c r="N231" s="175">
        <v>6</v>
      </c>
      <c r="O231" s="175">
        <v>2</v>
      </c>
      <c r="P231" s="175">
        <v>3150</v>
      </c>
      <c r="Q231" s="175" t="s">
        <v>17315</v>
      </c>
      <c r="R231" s="175">
        <v>6</v>
      </c>
      <c r="S231" s="175">
        <v>1</v>
      </c>
      <c r="T231" s="175">
        <v>3110</v>
      </c>
      <c r="U231" s="175" t="s">
        <v>17315</v>
      </c>
      <c r="V231" s="175">
        <v>9</v>
      </c>
      <c r="W231" s="175">
        <v>3</v>
      </c>
      <c r="X231" s="175">
        <v>3090</v>
      </c>
      <c r="Y231" s="175" t="s">
        <v>17315</v>
      </c>
      <c r="Z231" s="175">
        <v>5.0526315789473681</v>
      </c>
      <c r="AA231" s="175">
        <v>23.333333333333332</v>
      </c>
      <c r="AB231" s="175">
        <v>0.99238782051282048</v>
      </c>
      <c r="AC231" s="175">
        <v>31.45</v>
      </c>
      <c r="AD231" s="175">
        <v>2.9166666666666665</v>
      </c>
      <c r="AE231" s="175">
        <v>2.25</v>
      </c>
      <c r="AF231" s="175" t="s">
        <v>232</v>
      </c>
      <c r="AG231" s="175">
        <v>2</v>
      </c>
      <c r="AH231" s="175" t="s">
        <v>815</v>
      </c>
      <c r="AI231" s="175" t="s">
        <v>815</v>
      </c>
      <c r="AJ231" s="175" t="s">
        <v>637</v>
      </c>
      <c r="AK231" s="175" t="s">
        <v>637</v>
      </c>
      <c r="AL231" s="1159" t="s">
        <v>250</v>
      </c>
      <c r="AM231" s="175" t="s">
        <v>643</v>
      </c>
      <c r="AN231" s="175">
        <v>1.859</v>
      </c>
      <c r="AO231" s="175">
        <v>2.1</v>
      </c>
      <c r="AP231" s="175">
        <v>24</v>
      </c>
      <c r="AQ231" s="175">
        <v>216</v>
      </c>
      <c r="AR231" s="175">
        <v>3.1</v>
      </c>
      <c r="AS231" s="192">
        <v>29874.873599999999</v>
      </c>
    </row>
    <row r="232" spans="1:45" ht="16.5" customHeight="1">
      <c r="A232" s="174">
        <v>46211</v>
      </c>
      <c r="B232" s="175" t="s">
        <v>234</v>
      </c>
      <c r="C232" s="175" t="s">
        <v>632</v>
      </c>
      <c r="E232" s="175" t="s">
        <v>419</v>
      </c>
      <c r="F232" s="175" t="s">
        <v>419</v>
      </c>
      <c r="G232" s="175" t="s">
        <v>419</v>
      </c>
      <c r="H232" s="175" t="s">
        <v>419</v>
      </c>
      <c r="I232" s="175" t="s">
        <v>419</v>
      </c>
      <c r="L232" s="175" t="s">
        <v>632</v>
      </c>
      <c r="P232" s="175" t="s">
        <v>632</v>
      </c>
      <c r="T232" s="175" t="s">
        <v>632</v>
      </c>
      <c r="X232" s="175" t="s">
        <v>632</v>
      </c>
      <c r="Z232" s="175" t="s">
        <v>419</v>
      </c>
      <c r="AA232" s="175" t="s">
        <v>632</v>
      </c>
      <c r="AB232" s="175" t="s">
        <v>419</v>
      </c>
      <c r="AC232" s="175" t="s">
        <v>419</v>
      </c>
      <c r="AD232" s="175" t="s">
        <v>419</v>
      </c>
      <c r="AE232" s="175" t="s">
        <v>419</v>
      </c>
      <c r="AF232" s="175" t="s">
        <v>232</v>
      </c>
      <c r="AG232" s="175">
        <v>1</v>
      </c>
      <c r="AH232" s="175" t="s">
        <v>640</v>
      </c>
      <c r="AI232" s="175" t="s">
        <v>640</v>
      </c>
      <c r="AJ232" s="175" t="s">
        <v>640</v>
      </c>
      <c r="AK232" s="175" t="s">
        <v>640</v>
      </c>
      <c r="AL232" s="1159" t="s">
        <v>419</v>
      </c>
      <c r="AM232" s="175" t="s">
        <v>419</v>
      </c>
      <c r="AN232" s="175" t="s">
        <v>419</v>
      </c>
      <c r="AO232" s="175" t="s">
        <v>419</v>
      </c>
      <c r="AP232" s="175">
        <v>24</v>
      </c>
      <c r="AQ232" s="175">
        <v>216</v>
      </c>
      <c r="AR232" s="175" t="s">
        <v>419</v>
      </c>
      <c r="AS232" s="192" t="s">
        <v>419</v>
      </c>
    </row>
    <row r="233" spans="1:45" ht="16.5" customHeight="1">
      <c r="A233" s="174">
        <v>46211</v>
      </c>
      <c r="B233" s="175" t="s">
        <v>235</v>
      </c>
      <c r="C233" s="175" t="s">
        <v>17289</v>
      </c>
      <c r="D233" s="175" t="s">
        <v>633</v>
      </c>
      <c r="E233" s="175" t="s">
        <v>16719</v>
      </c>
      <c r="F233" s="175" t="s">
        <v>17290</v>
      </c>
      <c r="G233" s="175">
        <v>700</v>
      </c>
      <c r="H233" s="175" t="s">
        <v>776</v>
      </c>
      <c r="I233" s="175">
        <v>5.5</v>
      </c>
      <c r="J233" s="175">
        <v>25</v>
      </c>
      <c r="K233" s="175">
        <v>1</v>
      </c>
      <c r="L233" s="175">
        <v>9720</v>
      </c>
      <c r="N233" s="175">
        <v>11</v>
      </c>
      <c r="O233" s="175">
        <v>0</v>
      </c>
      <c r="P233" s="175">
        <v>9810</v>
      </c>
      <c r="R233" s="175">
        <v>0</v>
      </c>
      <c r="S233" s="175">
        <v>0</v>
      </c>
      <c r="U233" s="175">
        <v>9170</v>
      </c>
      <c r="V233" s="175">
        <v>34</v>
      </c>
      <c r="W233" s="175">
        <v>2</v>
      </c>
      <c r="Y233" s="175">
        <v>9810</v>
      </c>
      <c r="Z233" s="175">
        <v>5.8775510204081636</v>
      </c>
      <c r="AA233" s="175">
        <v>23.333333333333332</v>
      </c>
      <c r="AB233" s="175">
        <v>0.99754607371794868</v>
      </c>
      <c r="AC233" s="175">
        <v>96.275000000000006</v>
      </c>
      <c r="AD233" s="175">
        <v>2.9166666666666665</v>
      </c>
      <c r="AE233" s="175">
        <v>2.7916666666666665</v>
      </c>
      <c r="AF233" s="175" t="s">
        <v>236</v>
      </c>
      <c r="AG233" s="175">
        <v>1</v>
      </c>
      <c r="AH233" s="175" t="s">
        <v>638</v>
      </c>
      <c r="AI233" s="175" t="s">
        <v>638</v>
      </c>
      <c r="AJ233" s="175" t="s">
        <v>639</v>
      </c>
      <c r="AK233" s="175" t="s">
        <v>639</v>
      </c>
      <c r="AL233" s="1159" t="s">
        <v>251</v>
      </c>
      <c r="AM233" s="175" t="s">
        <v>460</v>
      </c>
      <c r="AN233" s="175">
        <v>1.1890000000000001</v>
      </c>
      <c r="AO233" s="175">
        <v>3</v>
      </c>
      <c r="AP233" s="175">
        <v>24</v>
      </c>
      <c r="AQ233" s="175">
        <v>216</v>
      </c>
      <c r="AR233" s="175">
        <v>4</v>
      </c>
      <c r="AS233" s="192">
        <v>24655.103999999999</v>
      </c>
    </row>
    <row r="234" spans="1:45" ht="16.5" customHeight="1">
      <c r="A234" s="174">
        <v>46211</v>
      </c>
      <c r="B234" s="175" t="s">
        <v>237</v>
      </c>
      <c r="C234" s="175" t="s">
        <v>17251</v>
      </c>
      <c r="D234" s="175" t="s">
        <v>633</v>
      </c>
      <c r="E234" s="175" t="s">
        <v>16719</v>
      </c>
      <c r="F234" s="175" t="s">
        <v>17253</v>
      </c>
      <c r="G234" s="175">
        <v>700</v>
      </c>
      <c r="H234" s="175" t="s">
        <v>646</v>
      </c>
      <c r="I234" s="175">
        <v>5.5</v>
      </c>
      <c r="J234" s="175">
        <v>68</v>
      </c>
      <c r="K234" s="175">
        <v>0</v>
      </c>
      <c r="L234" s="175">
        <v>9540</v>
      </c>
      <c r="M234" s="175">
        <v>9070</v>
      </c>
      <c r="N234" s="175">
        <v>34</v>
      </c>
      <c r="O234" s="175">
        <v>11</v>
      </c>
      <c r="P234" s="175">
        <v>9540</v>
      </c>
      <c r="Q234" s="175">
        <v>9070</v>
      </c>
      <c r="R234" s="175">
        <v>12</v>
      </c>
      <c r="S234" s="175">
        <v>0</v>
      </c>
      <c r="T234" s="175">
        <v>9260</v>
      </c>
      <c r="U234" s="175">
        <v>7590</v>
      </c>
      <c r="V234" s="175">
        <v>73</v>
      </c>
      <c r="W234" s="175">
        <v>0</v>
      </c>
      <c r="X234" s="175">
        <v>9440</v>
      </c>
      <c r="Y234" s="175">
        <v>9070</v>
      </c>
      <c r="Z234" s="175">
        <v>5.8775510204081636</v>
      </c>
      <c r="AA234" s="175">
        <v>62.333333333333336</v>
      </c>
      <c r="AB234" s="175">
        <v>0.99100227029914534</v>
      </c>
      <c r="AC234" s="175">
        <v>90.724999999999994</v>
      </c>
      <c r="AD234" s="175">
        <v>7.791666666666667</v>
      </c>
      <c r="AE234" s="175">
        <v>7.333333333333333</v>
      </c>
      <c r="AF234" s="175" t="s">
        <v>236</v>
      </c>
      <c r="AG234" s="175">
        <v>1</v>
      </c>
      <c r="AH234" s="175" t="s">
        <v>638</v>
      </c>
      <c r="AI234" s="175" t="s">
        <v>638</v>
      </c>
      <c r="AJ234" s="175" t="s">
        <v>835</v>
      </c>
      <c r="AK234" s="175" t="s">
        <v>835</v>
      </c>
      <c r="AL234" s="1159" t="s">
        <v>250</v>
      </c>
      <c r="AM234" s="175" t="s">
        <v>460</v>
      </c>
      <c r="AN234" s="175">
        <v>1.1890000000000001</v>
      </c>
      <c r="AO234" s="175">
        <v>2.9</v>
      </c>
      <c r="AP234" s="175">
        <v>24</v>
      </c>
      <c r="AQ234" s="175">
        <v>216</v>
      </c>
      <c r="AR234" s="175">
        <v>3.9</v>
      </c>
      <c r="AS234" s="192">
        <v>24038.7264</v>
      </c>
    </row>
    <row r="235" spans="1:45" ht="16.5" customHeight="1">
      <c r="A235" s="174">
        <v>46211</v>
      </c>
      <c r="B235" s="175" t="s">
        <v>238</v>
      </c>
      <c r="C235" s="175" t="s">
        <v>17248</v>
      </c>
      <c r="D235" s="175" t="s">
        <v>633</v>
      </c>
      <c r="E235" s="175" t="s">
        <v>16719</v>
      </c>
      <c r="F235" s="175" t="s">
        <v>17249</v>
      </c>
      <c r="G235" s="175">
        <v>600</v>
      </c>
      <c r="H235" s="175" t="s">
        <v>877</v>
      </c>
      <c r="I235" s="175">
        <v>5.5</v>
      </c>
      <c r="L235" s="175" t="s">
        <v>628</v>
      </c>
      <c r="P235" s="175" t="s">
        <v>628</v>
      </c>
      <c r="T235" s="175" t="s">
        <v>477</v>
      </c>
      <c r="V235" s="175">
        <v>45</v>
      </c>
      <c r="W235" s="175">
        <v>3</v>
      </c>
      <c r="X235" s="175">
        <v>9070</v>
      </c>
      <c r="Y235" s="175">
        <v>9540</v>
      </c>
      <c r="Z235" s="175">
        <v>5.034965034965035</v>
      </c>
      <c r="AA235" s="175" t="s">
        <v>628</v>
      </c>
      <c r="AB235" s="175" t="s">
        <v>419</v>
      </c>
      <c r="AC235" s="175" t="s">
        <v>419</v>
      </c>
      <c r="AD235" s="175" t="s">
        <v>419</v>
      </c>
      <c r="AE235" s="175" t="s">
        <v>419</v>
      </c>
      <c r="AF235" s="175" t="s">
        <v>236</v>
      </c>
      <c r="AG235" s="175">
        <v>1</v>
      </c>
      <c r="AH235" s="175" t="s">
        <v>638</v>
      </c>
      <c r="AI235" s="175" t="s">
        <v>638</v>
      </c>
      <c r="AJ235" s="175" t="s">
        <v>639</v>
      </c>
      <c r="AK235" s="175" t="s">
        <v>639</v>
      </c>
      <c r="AL235" s="1159" t="s">
        <v>251</v>
      </c>
      <c r="AM235" s="175" t="s">
        <v>460</v>
      </c>
      <c r="AN235" s="175">
        <v>1.1890000000000001</v>
      </c>
      <c r="AO235" s="175">
        <v>2.8</v>
      </c>
      <c r="AP235" s="175">
        <v>24</v>
      </c>
      <c r="AQ235" s="175">
        <v>216</v>
      </c>
      <c r="AR235" s="175">
        <v>3.8</v>
      </c>
      <c r="AS235" s="192">
        <v>23422.3488</v>
      </c>
    </row>
    <row r="236" spans="1:45" ht="16.5" customHeight="1">
      <c r="A236" s="174">
        <v>46211</v>
      </c>
      <c r="B236" s="175" t="s">
        <v>239</v>
      </c>
      <c r="C236" s="175" t="s">
        <v>17266</v>
      </c>
      <c r="E236" s="175" t="s">
        <v>754</v>
      </c>
      <c r="F236" s="175" t="s">
        <v>17267</v>
      </c>
      <c r="G236" s="175">
        <v>600</v>
      </c>
      <c r="H236" s="175" t="s">
        <v>842</v>
      </c>
      <c r="I236" s="175">
        <v>4</v>
      </c>
      <c r="J236" s="175">
        <v>25</v>
      </c>
      <c r="K236" s="175">
        <v>1</v>
      </c>
      <c r="L236" s="175">
        <v>9630</v>
      </c>
      <c r="N236" s="175">
        <v>3</v>
      </c>
      <c r="O236" s="175">
        <v>0</v>
      </c>
      <c r="P236" s="175">
        <v>9630</v>
      </c>
      <c r="R236" s="175">
        <v>10</v>
      </c>
      <c r="S236" s="175">
        <v>0</v>
      </c>
      <c r="T236" s="175">
        <v>9260</v>
      </c>
      <c r="V236" s="175">
        <v>18</v>
      </c>
      <c r="W236" s="175">
        <v>0</v>
      </c>
      <c r="X236" s="175">
        <v>9260</v>
      </c>
      <c r="Z236" s="175">
        <v>3.6</v>
      </c>
      <c r="AA236" s="175">
        <v>37.333333333333336</v>
      </c>
      <c r="AB236" s="175">
        <v>0.99866452991452992</v>
      </c>
      <c r="AC236" s="175">
        <v>94.45</v>
      </c>
      <c r="AD236" s="175">
        <v>4.666666666666667</v>
      </c>
      <c r="AE236" s="175">
        <v>4.583333333333333</v>
      </c>
      <c r="AF236" s="175" t="s">
        <v>236</v>
      </c>
      <c r="AG236" s="175">
        <v>2</v>
      </c>
      <c r="AH236" s="175" t="s">
        <v>15337</v>
      </c>
      <c r="AI236" s="175" t="s">
        <v>15337</v>
      </c>
      <c r="AJ236" s="175" t="s">
        <v>835</v>
      </c>
      <c r="AK236" s="175" t="s">
        <v>835</v>
      </c>
      <c r="AL236" s="1159" t="s">
        <v>251</v>
      </c>
      <c r="AM236" s="175" t="s">
        <v>126</v>
      </c>
      <c r="AN236" s="175">
        <v>0.91100000000000003</v>
      </c>
      <c r="AO236" s="175">
        <v>1.5</v>
      </c>
      <c r="AP236" s="175">
        <v>24</v>
      </c>
      <c r="AQ236" s="175">
        <v>216</v>
      </c>
      <c r="AR236" s="175">
        <v>2.5</v>
      </c>
      <c r="AS236" s="192">
        <v>11806.560000000001</v>
      </c>
    </row>
    <row r="237" spans="1:45" ht="16.5" customHeight="1">
      <c r="A237" s="174">
        <v>46211</v>
      </c>
      <c r="B237" s="175" t="s">
        <v>239</v>
      </c>
      <c r="C237" s="175" t="s">
        <v>17241</v>
      </c>
      <c r="E237" s="175" t="s">
        <v>16723</v>
      </c>
      <c r="F237" s="175" t="s">
        <v>17243</v>
      </c>
      <c r="G237" s="175">
        <v>550</v>
      </c>
      <c r="H237" s="175" t="s">
        <v>868</v>
      </c>
      <c r="I237" s="175">
        <v>5.5</v>
      </c>
      <c r="J237" s="175">
        <v>37</v>
      </c>
      <c r="K237" s="175">
        <v>3</v>
      </c>
      <c r="L237" s="175">
        <v>9720</v>
      </c>
      <c r="N237" s="175">
        <v>12</v>
      </c>
      <c r="O237" s="175">
        <v>4</v>
      </c>
      <c r="P237" s="175">
        <v>9630</v>
      </c>
      <c r="R237" s="175">
        <v>10</v>
      </c>
      <c r="S237" s="175">
        <v>0</v>
      </c>
      <c r="U237" s="175">
        <v>8610</v>
      </c>
      <c r="V237" s="175">
        <v>22</v>
      </c>
      <c r="W237" s="175">
        <v>0</v>
      </c>
      <c r="Y237" s="175">
        <v>8800</v>
      </c>
      <c r="Z237" s="175">
        <v>6.6055045871559646</v>
      </c>
      <c r="AA237" s="175">
        <v>54</v>
      </c>
      <c r="AB237" s="175">
        <v>0.9949051816239316</v>
      </c>
      <c r="AC237" s="175">
        <v>91.9</v>
      </c>
      <c r="AD237" s="175">
        <v>6.75</v>
      </c>
      <c r="AE237" s="175">
        <v>6.166666666666667</v>
      </c>
      <c r="AF237" s="175" t="s">
        <v>236</v>
      </c>
      <c r="AG237" s="175">
        <v>2</v>
      </c>
      <c r="AH237" s="175" t="s">
        <v>15337</v>
      </c>
      <c r="AI237" s="175" t="s">
        <v>15337</v>
      </c>
      <c r="AJ237" s="175" t="s">
        <v>835</v>
      </c>
      <c r="AK237" s="175" t="s">
        <v>835</v>
      </c>
      <c r="AM237" s="175" t="s">
        <v>643</v>
      </c>
      <c r="AN237" s="175">
        <v>1.859</v>
      </c>
      <c r="AO237" s="175">
        <v>3.3</v>
      </c>
      <c r="AP237" s="175">
        <v>24</v>
      </c>
      <c r="AQ237" s="175">
        <v>216</v>
      </c>
      <c r="AR237" s="175">
        <v>4.3</v>
      </c>
      <c r="AS237" s="192">
        <v>41439.340799999998</v>
      </c>
    </row>
    <row r="238" spans="1:45" ht="16.5" customHeight="1">
      <c r="A238" s="174">
        <v>46211</v>
      </c>
      <c r="B238" s="175" t="s">
        <v>388</v>
      </c>
      <c r="C238" s="175" t="s">
        <v>17296</v>
      </c>
      <c r="D238" s="175" t="s">
        <v>633</v>
      </c>
      <c r="E238" s="175" t="s">
        <v>16719</v>
      </c>
      <c r="F238" s="175" t="s">
        <v>17290</v>
      </c>
      <c r="G238" s="175">
        <v>700</v>
      </c>
      <c r="H238" s="175" t="s">
        <v>15541</v>
      </c>
      <c r="I238" s="175">
        <v>5.5</v>
      </c>
      <c r="J238" s="175">
        <v>24</v>
      </c>
      <c r="K238" s="175">
        <v>0</v>
      </c>
      <c r="L238" s="175" t="s">
        <v>17315</v>
      </c>
      <c r="M238" s="175">
        <v>10000</v>
      </c>
      <c r="N238" s="175">
        <v>11</v>
      </c>
      <c r="O238" s="175">
        <v>0</v>
      </c>
      <c r="P238" s="175" t="s">
        <v>632</v>
      </c>
      <c r="Q238" s="175">
        <v>10000</v>
      </c>
      <c r="R238" s="175">
        <v>0</v>
      </c>
      <c r="S238" s="175">
        <v>0</v>
      </c>
      <c r="T238" s="175" t="s">
        <v>632</v>
      </c>
      <c r="U238" s="175">
        <v>9810</v>
      </c>
      <c r="V238" s="175">
        <v>18</v>
      </c>
      <c r="W238" s="175">
        <v>1</v>
      </c>
      <c r="X238" s="175" t="s">
        <v>632</v>
      </c>
      <c r="Y238" s="175">
        <v>9810</v>
      </c>
      <c r="Z238" s="175">
        <v>5.8299595141700413</v>
      </c>
      <c r="AA238" s="175">
        <v>35.333333333333336</v>
      </c>
      <c r="AB238" s="175">
        <v>0.99917534722222223</v>
      </c>
      <c r="AC238" s="175">
        <v>99.05</v>
      </c>
      <c r="AD238" s="175">
        <v>4.416666666666667</v>
      </c>
      <c r="AE238" s="175">
        <v>4.333333333333333</v>
      </c>
      <c r="AF238" s="175" t="s">
        <v>236</v>
      </c>
      <c r="AG238" s="175">
        <v>2</v>
      </c>
      <c r="AH238" s="175" t="s">
        <v>15337</v>
      </c>
      <c r="AI238" s="175" t="s">
        <v>15337</v>
      </c>
      <c r="AJ238" s="175" t="s">
        <v>639</v>
      </c>
      <c r="AK238" s="175" t="s">
        <v>639</v>
      </c>
      <c r="AL238" s="1159" t="s">
        <v>251</v>
      </c>
      <c r="AM238" s="175" t="s">
        <v>460</v>
      </c>
      <c r="AN238" s="175">
        <v>1.1890000000000001</v>
      </c>
      <c r="AO238" s="175">
        <v>2.8</v>
      </c>
      <c r="AP238" s="175">
        <v>24</v>
      </c>
      <c r="AQ238" s="175">
        <v>216</v>
      </c>
      <c r="AR238" s="175">
        <v>3.8</v>
      </c>
      <c r="AS238" s="192">
        <v>23422.3488</v>
      </c>
    </row>
    <row r="239" spans="1:45" ht="16.5" customHeight="1">
      <c r="A239" s="174">
        <v>46211</v>
      </c>
      <c r="B239" s="175" t="s">
        <v>417</v>
      </c>
      <c r="C239" s="175" t="s">
        <v>17291</v>
      </c>
      <c r="D239" s="175" t="s">
        <v>633</v>
      </c>
      <c r="E239" s="175" t="s">
        <v>16719</v>
      </c>
      <c r="F239" s="175" t="s">
        <v>17290</v>
      </c>
      <c r="G239" s="175">
        <v>700</v>
      </c>
      <c r="H239" s="175" t="s">
        <v>724</v>
      </c>
      <c r="I239" s="175">
        <v>5.5</v>
      </c>
      <c r="J239" s="175">
        <v>31</v>
      </c>
      <c r="K239" s="175">
        <v>0</v>
      </c>
      <c r="L239" s="175">
        <v>9910</v>
      </c>
      <c r="M239" s="175">
        <v>9430</v>
      </c>
      <c r="N239" s="175">
        <v>18</v>
      </c>
      <c r="O239" s="175">
        <v>0</v>
      </c>
      <c r="P239" s="175">
        <v>9350</v>
      </c>
      <c r="Q239" s="175">
        <v>9540</v>
      </c>
      <c r="R239" s="175">
        <v>14</v>
      </c>
      <c r="S239" s="175">
        <v>0</v>
      </c>
      <c r="T239" s="175">
        <v>9720</v>
      </c>
      <c r="U239" s="175">
        <v>8700</v>
      </c>
      <c r="V239" s="175">
        <v>43</v>
      </c>
      <c r="W239" s="175">
        <v>1</v>
      </c>
      <c r="X239" s="175">
        <v>9810</v>
      </c>
      <c r="Y239" s="175">
        <v>8980</v>
      </c>
      <c r="Z239" s="175">
        <v>5.8299595141700413</v>
      </c>
      <c r="AA239" s="175">
        <v>35.333333333333336</v>
      </c>
      <c r="AB239" s="175">
        <v>0.99917534722222223</v>
      </c>
      <c r="AC239" s="175">
        <v>94.3</v>
      </c>
      <c r="AD239" s="175">
        <v>4.416666666666667</v>
      </c>
      <c r="AE239" s="175">
        <v>4.375</v>
      </c>
      <c r="AF239" s="175" t="s">
        <v>236</v>
      </c>
      <c r="AG239" s="175">
        <v>1</v>
      </c>
      <c r="AH239" s="175" t="s">
        <v>15337</v>
      </c>
      <c r="AI239" s="175" t="s">
        <v>15337</v>
      </c>
      <c r="AJ239" s="175" t="s">
        <v>835</v>
      </c>
      <c r="AK239" s="175" t="s">
        <v>835</v>
      </c>
      <c r="AL239" s="1159" t="s">
        <v>251</v>
      </c>
      <c r="AM239" s="175" t="s">
        <v>460</v>
      </c>
      <c r="AN239" s="175">
        <v>1.1890000000000001</v>
      </c>
      <c r="AO239" s="175">
        <v>2.8</v>
      </c>
      <c r="AP239" s="175">
        <v>24</v>
      </c>
      <c r="AQ239" s="175">
        <v>216</v>
      </c>
      <c r="AR239" s="175">
        <v>3.8</v>
      </c>
      <c r="AS239" s="192">
        <v>23422.3488</v>
      </c>
    </row>
    <row r="240" spans="1:45" ht="16.5" customHeight="1">
      <c r="A240" s="174">
        <v>46211</v>
      </c>
      <c r="B240" s="175" t="s">
        <v>240</v>
      </c>
      <c r="C240" s="175" t="s">
        <v>632</v>
      </c>
      <c r="E240" s="175" t="s">
        <v>419</v>
      </c>
      <c r="F240" s="175" t="s">
        <v>419</v>
      </c>
      <c r="G240" s="175" t="s">
        <v>419</v>
      </c>
      <c r="H240" s="175" t="s">
        <v>419</v>
      </c>
      <c r="I240" s="175" t="s">
        <v>419</v>
      </c>
      <c r="L240" s="175" t="s">
        <v>632</v>
      </c>
      <c r="P240" s="175" t="s">
        <v>632</v>
      </c>
      <c r="T240" s="175" t="s">
        <v>632</v>
      </c>
      <c r="X240" s="175" t="s">
        <v>632</v>
      </c>
      <c r="Z240" s="175" t="s">
        <v>419</v>
      </c>
      <c r="AA240" s="175" t="s">
        <v>632</v>
      </c>
      <c r="AB240" s="175" t="s">
        <v>419</v>
      </c>
      <c r="AC240" s="175" t="s">
        <v>419</v>
      </c>
      <c r="AD240" s="175" t="s">
        <v>419</v>
      </c>
      <c r="AE240" s="175" t="s">
        <v>419</v>
      </c>
      <c r="AF240" s="175" t="s">
        <v>241</v>
      </c>
      <c r="AG240" s="175">
        <v>12</v>
      </c>
      <c r="AH240" s="175" t="s">
        <v>640</v>
      </c>
      <c r="AI240" s="175" t="s">
        <v>640</v>
      </c>
      <c r="AJ240" s="175" t="s">
        <v>640</v>
      </c>
      <c r="AK240" s="175" t="s">
        <v>640</v>
      </c>
      <c r="AL240" s="1159" t="s">
        <v>419</v>
      </c>
      <c r="AM240" s="175" t="s">
        <v>419</v>
      </c>
      <c r="AN240" s="175" t="s">
        <v>419</v>
      </c>
      <c r="AO240" s="175" t="s">
        <v>419</v>
      </c>
      <c r="AP240" s="175">
        <v>24</v>
      </c>
      <c r="AQ240" s="175">
        <v>216</v>
      </c>
      <c r="AR240" s="175" t="s">
        <v>419</v>
      </c>
      <c r="AS240" s="192" t="s">
        <v>419</v>
      </c>
    </row>
    <row r="241" spans="1:45" ht="16.5" customHeight="1">
      <c r="A241" s="174">
        <v>46211</v>
      </c>
      <c r="B241" s="175" t="s">
        <v>242</v>
      </c>
      <c r="C241" s="175" t="s">
        <v>385</v>
      </c>
      <c r="E241" s="175" t="s">
        <v>419</v>
      </c>
      <c r="F241" s="175" t="s">
        <v>419</v>
      </c>
      <c r="G241" s="175" t="s">
        <v>419</v>
      </c>
      <c r="H241" s="175" t="s">
        <v>419</v>
      </c>
      <c r="I241" s="175" t="s">
        <v>419</v>
      </c>
      <c r="L241" s="175" t="s">
        <v>385</v>
      </c>
      <c r="P241" s="175" t="s">
        <v>385</v>
      </c>
      <c r="T241" s="175" t="s">
        <v>385</v>
      </c>
      <c r="X241" s="175" t="s">
        <v>385</v>
      </c>
      <c r="Z241" s="175" t="s">
        <v>419</v>
      </c>
      <c r="AA241" s="175" t="s">
        <v>385</v>
      </c>
      <c r="AB241" s="175" t="s">
        <v>419</v>
      </c>
      <c r="AC241" s="175" t="s">
        <v>419</v>
      </c>
      <c r="AD241" s="175" t="s">
        <v>419</v>
      </c>
      <c r="AE241" s="175" t="s">
        <v>419</v>
      </c>
      <c r="AF241" s="175" t="s">
        <v>241</v>
      </c>
      <c r="AG241" s="175">
        <v>5</v>
      </c>
      <c r="AH241" s="175" t="s">
        <v>635</v>
      </c>
      <c r="AI241" s="175" t="s">
        <v>635</v>
      </c>
      <c r="AJ241" s="175" t="s">
        <v>636</v>
      </c>
      <c r="AK241" s="175" t="s">
        <v>636</v>
      </c>
      <c r="AL241" s="1159" t="s">
        <v>419</v>
      </c>
      <c r="AM241" s="175" t="s">
        <v>419</v>
      </c>
      <c r="AN241" s="175" t="s">
        <v>419</v>
      </c>
      <c r="AO241" s="175" t="s">
        <v>419</v>
      </c>
      <c r="AP241" s="175">
        <v>24</v>
      </c>
      <c r="AQ241" s="175">
        <v>216</v>
      </c>
      <c r="AR241" s="175" t="s">
        <v>419</v>
      </c>
      <c r="AS241" s="192" t="s">
        <v>419</v>
      </c>
    </row>
    <row r="242" spans="1:45" ht="16.5" customHeight="1">
      <c r="A242" s="174">
        <v>46212</v>
      </c>
      <c r="B242" s="175" t="s">
        <v>212</v>
      </c>
      <c r="C242" s="175" t="s">
        <v>632</v>
      </c>
      <c r="E242" s="175" t="s">
        <v>419</v>
      </c>
      <c r="F242" s="175" t="s">
        <v>419</v>
      </c>
      <c r="G242" s="175" t="s">
        <v>419</v>
      </c>
      <c r="H242" s="175" t="s">
        <v>419</v>
      </c>
      <c r="I242" s="175" t="s">
        <v>419</v>
      </c>
      <c r="L242" s="175" t="s">
        <v>632</v>
      </c>
      <c r="P242" s="175" t="s">
        <v>632</v>
      </c>
      <c r="T242" s="175" t="s">
        <v>632</v>
      </c>
      <c r="X242" s="175" t="s">
        <v>632</v>
      </c>
      <c r="Z242" s="175" t="s">
        <v>419</v>
      </c>
      <c r="AA242" s="175" t="s">
        <v>632</v>
      </c>
      <c r="AB242" s="175" t="s">
        <v>419</v>
      </c>
      <c r="AC242" s="175" t="s">
        <v>419</v>
      </c>
      <c r="AD242" s="175" t="s">
        <v>419</v>
      </c>
      <c r="AE242" s="175" t="s">
        <v>419</v>
      </c>
      <c r="AF242" s="175" t="s">
        <v>213</v>
      </c>
      <c r="AG242" s="175">
        <v>1</v>
      </c>
      <c r="AH242" s="175" t="s">
        <v>640</v>
      </c>
      <c r="AI242" s="175" t="s">
        <v>640</v>
      </c>
      <c r="AJ242" s="175" t="s">
        <v>640</v>
      </c>
      <c r="AK242" s="175" t="s">
        <v>640</v>
      </c>
      <c r="AL242" s="1159" t="s">
        <v>419</v>
      </c>
      <c r="AM242" s="175" t="s">
        <v>419</v>
      </c>
      <c r="AN242" s="175" t="s">
        <v>419</v>
      </c>
      <c r="AO242" s="175" t="s">
        <v>419</v>
      </c>
      <c r="AP242" s="175">
        <v>24</v>
      </c>
      <c r="AQ242" s="175">
        <v>216</v>
      </c>
      <c r="AR242" s="175" t="s">
        <v>419</v>
      </c>
      <c r="AS242" s="192" t="s">
        <v>419</v>
      </c>
    </row>
    <row r="243" spans="1:45" ht="16.5" customHeight="1">
      <c r="A243" s="174">
        <v>46212</v>
      </c>
      <c r="B243" s="175" t="s">
        <v>214</v>
      </c>
      <c r="C243" s="175" t="s">
        <v>632</v>
      </c>
      <c r="E243" s="175" t="s">
        <v>419</v>
      </c>
      <c r="F243" s="175" t="s">
        <v>419</v>
      </c>
      <c r="G243" s="175" t="s">
        <v>419</v>
      </c>
      <c r="H243" s="175" t="s">
        <v>419</v>
      </c>
      <c r="I243" s="175" t="s">
        <v>419</v>
      </c>
      <c r="L243" s="175" t="s">
        <v>632</v>
      </c>
      <c r="P243" s="175" t="s">
        <v>632</v>
      </c>
      <c r="T243" s="175" t="s">
        <v>632</v>
      </c>
      <c r="X243" s="175" t="s">
        <v>632</v>
      </c>
      <c r="Z243" s="175" t="s">
        <v>419</v>
      </c>
      <c r="AA243" s="175" t="s">
        <v>632</v>
      </c>
      <c r="AB243" s="175" t="s">
        <v>419</v>
      </c>
      <c r="AC243" s="175" t="s">
        <v>419</v>
      </c>
      <c r="AD243" s="175" t="s">
        <v>419</v>
      </c>
      <c r="AE243" s="175" t="s">
        <v>419</v>
      </c>
      <c r="AF243" s="175" t="s">
        <v>213</v>
      </c>
      <c r="AG243" s="175">
        <v>1</v>
      </c>
      <c r="AH243" s="175" t="s">
        <v>640</v>
      </c>
      <c r="AI243" s="175" t="s">
        <v>640</v>
      </c>
      <c r="AJ243" s="175" t="s">
        <v>640</v>
      </c>
      <c r="AK243" s="175" t="s">
        <v>640</v>
      </c>
      <c r="AL243" s="1159" t="s">
        <v>419</v>
      </c>
      <c r="AM243" s="175" t="s">
        <v>419</v>
      </c>
      <c r="AN243" s="175" t="s">
        <v>419</v>
      </c>
      <c r="AO243" s="175" t="s">
        <v>419</v>
      </c>
      <c r="AP243" s="175">
        <v>24</v>
      </c>
      <c r="AQ243" s="175">
        <v>216</v>
      </c>
      <c r="AR243" s="175" t="s">
        <v>419</v>
      </c>
      <c r="AS243" s="192" t="s">
        <v>419</v>
      </c>
    </row>
    <row r="244" spans="1:45" ht="16.5" customHeight="1">
      <c r="A244" s="174">
        <v>46212</v>
      </c>
      <c r="B244" s="175" t="s">
        <v>215</v>
      </c>
      <c r="C244" s="175" t="s">
        <v>17316</v>
      </c>
      <c r="E244" s="175" t="s">
        <v>5005</v>
      </c>
      <c r="F244" s="175" t="s">
        <v>17317</v>
      </c>
      <c r="G244" s="175">
        <v>500</v>
      </c>
      <c r="H244" s="175" t="s">
        <v>1186</v>
      </c>
      <c r="I244" s="175">
        <v>4</v>
      </c>
      <c r="J244" s="175">
        <v>42</v>
      </c>
      <c r="K244" s="175">
        <v>0</v>
      </c>
      <c r="L244" s="175">
        <v>8305</v>
      </c>
      <c r="M244" s="175">
        <v>7778</v>
      </c>
      <c r="N244" s="175">
        <v>12</v>
      </c>
      <c r="O244" s="175">
        <v>0</v>
      </c>
      <c r="P244" s="175">
        <v>8253</v>
      </c>
      <c r="Q244" s="175">
        <v>8080</v>
      </c>
      <c r="R244" s="175">
        <v>18</v>
      </c>
      <c r="S244" s="175">
        <v>1</v>
      </c>
      <c r="T244" s="175">
        <v>8129</v>
      </c>
      <c r="U244" s="175">
        <v>7984</v>
      </c>
      <c r="V244" s="175">
        <v>44</v>
      </c>
      <c r="W244" s="175">
        <v>0</v>
      </c>
      <c r="X244" s="175">
        <v>8007</v>
      </c>
      <c r="Y244" s="175">
        <v>7464</v>
      </c>
      <c r="Z244" s="175">
        <v>2.9937629937629939</v>
      </c>
      <c r="AA244" s="175">
        <v>38.666666666666664</v>
      </c>
      <c r="AB244" s="175">
        <v>0.99839409722222228</v>
      </c>
      <c r="AC244" s="175">
        <v>80</v>
      </c>
      <c r="AD244" s="175">
        <v>4.833333333333333</v>
      </c>
      <c r="AE244" s="175">
        <v>4.791666666666667</v>
      </c>
      <c r="AF244" s="175" t="s">
        <v>213</v>
      </c>
      <c r="AG244" s="175">
        <v>1</v>
      </c>
      <c r="AH244" s="175" t="s">
        <v>15376</v>
      </c>
      <c r="AI244" s="175" t="s">
        <v>15376</v>
      </c>
      <c r="AJ244" s="175" t="s">
        <v>725</v>
      </c>
      <c r="AK244" s="175" t="s">
        <v>725</v>
      </c>
      <c r="AL244" s="1159" t="s">
        <v>250</v>
      </c>
      <c r="AM244" s="175" t="s">
        <v>126</v>
      </c>
      <c r="AN244" s="175">
        <v>0.91100000000000003</v>
      </c>
      <c r="AO244" s="175">
        <v>1.9</v>
      </c>
      <c r="AP244" s="175">
        <v>24</v>
      </c>
      <c r="AQ244" s="175">
        <v>216</v>
      </c>
      <c r="AR244" s="175">
        <v>2.9</v>
      </c>
      <c r="AS244" s="192">
        <v>13695.6096</v>
      </c>
    </row>
    <row r="245" spans="1:45" ht="16.5" customHeight="1">
      <c r="A245" s="174">
        <v>46212</v>
      </c>
      <c r="B245" s="175" t="s">
        <v>216</v>
      </c>
      <c r="C245" s="175" t="s">
        <v>632</v>
      </c>
      <c r="E245" s="175" t="s">
        <v>419</v>
      </c>
      <c r="F245" s="175" t="s">
        <v>419</v>
      </c>
      <c r="G245" s="175" t="s">
        <v>419</v>
      </c>
      <c r="H245" s="175" t="s">
        <v>419</v>
      </c>
      <c r="I245" s="175" t="s">
        <v>419</v>
      </c>
      <c r="L245" s="175" t="s">
        <v>632</v>
      </c>
      <c r="P245" s="175" t="s">
        <v>632</v>
      </c>
      <c r="T245" s="175" t="s">
        <v>632</v>
      </c>
      <c r="X245" s="175" t="s">
        <v>632</v>
      </c>
      <c r="Z245" s="175" t="s">
        <v>419</v>
      </c>
      <c r="AA245" s="175" t="s">
        <v>632</v>
      </c>
      <c r="AB245" s="175" t="s">
        <v>419</v>
      </c>
      <c r="AC245" s="175" t="s">
        <v>419</v>
      </c>
      <c r="AD245" s="175" t="s">
        <v>419</v>
      </c>
      <c r="AE245" s="175" t="s">
        <v>419</v>
      </c>
      <c r="AF245" s="175" t="s">
        <v>213</v>
      </c>
      <c r="AG245" s="175">
        <v>1</v>
      </c>
      <c r="AH245" s="175" t="s">
        <v>640</v>
      </c>
      <c r="AI245" s="175" t="s">
        <v>640</v>
      </c>
      <c r="AJ245" s="175" t="s">
        <v>640</v>
      </c>
      <c r="AK245" s="175" t="s">
        <v>640</v>
      </c>
      <c r="AL245" s="1159" t="s">
        <v>419</v>
      </c>
      <c r="AM245" s="175" t="s">
        <v>419</v>
      </c>
      <c r="AN245" s="175" t="s">
        <v>419</v>
      </c>
      <c r="AO245" s="175" t="s">
        <v>419</v>
      </c>
      <c r="AP245" s="175">
        <v>24</v>
      </c>
      <c r="AQ245" s="175">
        <v>216</v>
      </c>
      <c r="AR245" s="175" t="s">
        <v>419</v>
      </c>
      <c r="AS245" s="192" t="s">
        <v>419</v>
      </c>
    </row>
    <row r="246" spans="1:45" ht="16.5" customHeight="1">
      <c r="A246" s="174">
        <v>46212</v>
      </c>
      <c r="B246" s="175" t="s">
        <v>217</v>
      </c>
      <c r="C246" s="175" t="s">
        <v>17380</v>
      </c>
      <c r="E246" s="175" t="s">
        <v>17381</v>
      </c>
      <c r="F246" s="175" t="s">
        <v>17382</v>
      </c>
      <c r="G246" s="175">
        <v>680</v>
      </c>
      <c r="H246" s="175" t="s">
        <v>16728</v>
      </c>
      <c r="I246" s="175">
        <v>5</v>
      </c>
      <c r="J246" s="175">
        <v>12</v>
      </c>
      <c r="K246" s="175">
        <v>0</v>
      </c>
      <c r="L246" s="175">
        <v>9100</v>
      </c>
      <c r="M246" s="175">
        <v>9140</v>
      </c>
      <c r="N246" s="175">
        <v>12</v>
      </c>
      <c r="O246" s="175">
        <v>0</v>
      </c>
      <c r="P246" s="175">
        <v>9022</v>
      </c>
      <c r="Q246" s="175">
        <v>8927</v>
      </c>
      <c r="R246" s="175">
        <v>13</v>
      </c>
      <c r="S246" s="175">
        <v>0</v>
      </c>
      <c r="T246" s="175">
        <v>9045</v>
      </c>
      <c r="U246" s="175">
        <v>8828</v>
      </c>
      <c r="V246" s="175">
        <v>12</v>
      </c>
      <c r="W246" s="175">
        <v>0</v>
      </c>
      <c r="X246" s="175">
        <v>8968</v>
      </c>
      <c r="Y246" s="175">
        <v>9318</v>
      </c>
      <c r="Z246" s="175">
        <v>1.5824175824175823</v>
      </c>
      <c r="AA246" s="175">
        <v>16.333333333333332</v>
      </c>
      <c r="AB246" s="175">
        <v>1</v>
      </c>
      <c r="AC246" s="175">
        <v>90.435000000000002</v>
      </c>
      <c r="AD246" s="175">
        <v>2.0416666666666665</v>
      </c>
      <c r="AE246" s="175">
        <v>2.0416666666666665</v>
      </c>
      <c r="AF246" s="175" t="s">
        <v>213</v>
      </c>
      <c r="AG246" s="175">
        <v>1</v>
      </c>
      <c r="AH246" s="175" t="s">
        <v>15376</v>
      </c>
      <c r="AI246" s="175" t="s">
        <v>15376</v>
      </c>
      <c r="AJ246" s="175" t="s">
        <v>640</v>
      </c>
      <c r="AK246" s="175" t="s">
        <v>640</v>
      </c>
      <c r="AL246" s="1159" t="s">
        <v>251</v>
      </c>
      <c r="AM246" s="175" t="s">
        <v>126</v>
      </c>
      <c r="AN246" s="175">
        <v>0.91100000000000003</v>
      </c>
      <c r="AO246" s="175">
        <v>1.3</v>
      </c>
      <c r="AP246" s="175">
        <v>24</v>
      </c>
      <c r="AQ246" s="175">
        <v>216</v>
      </c>
      <c r="AR246" s="175">
        <v>2.2999999999999998</v>
      </c>
      <c r="AS246" s="192">
        <v>10862.035199999998</v>
      </c>
    </row>
    <row r="247" spans="1:45" ht="16.5" customHeight="1">
      <c r="A247" s="174">
        <v>46212</v>
      </c>
      <c r="B247" s="175" t="s">
        <v>218</v>
      </c>
      <c r="C247" s="175" t="s">
        <v>17221</v>
      </c>
      <c r="E247" s="175" t="s">
        <v>17237</v>
      </c>
      <c r="F247" s="175" t="s">
        <v>17229</v>
      </c>
      <c r="G247" s="175">
        <v>600</v>
      </c>
      <c r="H247" s="175" t="s">
        <v>15893</v>
      </c>
      <c r="I247" s="175">
        <v>5</v>
      </c>
      <c r="J247" s="175">
        <v>16</v>
      </c>
      <c r="K247" s="175">
        <v>0</v>
      </c>
      <c r="L247" s="175">
        <v>9272</v>
      </c>
      <c r="M247" s="175">
        <v>9472</v>
      </c>
      <c r="N247" s="175">
        <v>6</v>
      </c>
      <c r="O247" s="175">
        <v>0</v>
      </c>
      <c r="P247" s="175">
        <v>9428</v>
      </c>
      <c r="Q247" s="175">
        <v>9514</v>
      </c>
      <c r="R247" s="175">
        <v>10</v>
      </c>
      <c r="S247" s="175">
        <v>0</v>
      </c>
      <c r="T247" s="175">
        <v>9244</v>
      </c>
      <c r="U247" s="175">
        <v>9454</v>
      </c>
      <c r="V247" s="175">
        <v>16</v>
      </c>
      <c r="W247" s="175">
        <v>0</v>
      </c>
      <c r="X247" s="175">
        <v>9087</v>
      </c>
      <c r="Y247" s="175">
        <v>9584</v>
      </c>
      <c r="Z247" s="175">
        <v>2.8015564202334629</v>
      </c>
      <c r="AA247" s="175">
        <v>8</v>
      </c>
      <c r="AB247" s="175">
        <v>1</v>
      </c>
      <c r="AC247" s="175">
        <v>93.818749999999994</v>
      </c>
      <c r="AD247" s="175">
        <v>1</v>
      </c>
      <c r="AE247" s="175">
        <v>1</v>
      </c>
      <c r="AF247" s="175" t="s">
        <v>213</v>
      </c>
      <c r="AG247" s="175">
        <v>0.5</v>
      </c>
      <c r="AH247" s="175" t="s">
        <v>15376</v>
      </c>
      <c r="AI247" s="175" t="s">
        <v>15376</v>
      </c>
      <c r="AJ247" s="175" t="s">
        <v>725</v>
      </c>
      <c r="AK247" s="175" t="s">
        <v>725</v>
      </c>
      <c r="AL247" s="1159" t="s">
        <v>250</v>
      </c>
      <c r="AM247" s="175" t="s">
        <v>126</v>
      </c>
      <c r="AN247" s="175">
        <v>0.91100000000000003</v>
      </c>
      <c r="AO247" s="175">
        <v>1.7</v>
      </c>
      <c r="AP247" s="175">
        <v>24</v>
      </c>
      <c r="AQ247" s="175">
        <v>216</v>
      </c>
      <c r="AR247" s="175">
        <v>2.7</v>
      </c>
      <c r="AS247" s="192">
        <v>12751.084800000001</v>
      </c>
    </row>
    <row r="248" spans="1:45" ht="16.5" customHeight="1">
      <c r="A248" s="174">
        <v>46212</v>
      </c>
      <c r="B248" s="175" t="s">
        <v>219</v>
      </c>
      <c r="C248" s="175" t="s">
        <v>632</v>
      </c>
      <c r="E248" s="175" t="s">
        <v>419</v>
      </c>
      <c r="F248" s="175" t="s">
        <v>419</v>
      </c>
      <c r="G248" s="175" t="s">
        <v>419</v>
      </c>
      <c r="H248" s="175" t="s">
        <v>419</v>
      </c>
      <c r="I248" s="175" t="s">
        <v>419</v>
      </c>
      <c r="L248" s="175" t="s">
        <v>632</v>
      </c>
      <c r="P248" s="175" t="s">
        <v>632</v>
      </c>
      <c r="T248" s="175" t="s">
        <v>632</v>
      </c>
      <c r="X248" s="175" t="s">
        <v>632</v>
      </c>
      <c r="Z248" s="175" t="s">
        <v>419</v>
      </c>
      <c r="AA248" s="175" t="s">
        <v>632</v>
      </c>
      <c r="AB248" s="175" t="s">
        <v>419</v>
      </c>
      <c r="AC248" s="175" t="s">
        <v>419</v>
      </c>
      <c r="AD248" s="175" t="s">
        <v>419</v>
      </c>
      <c r="AE248" s="175" t="s">
        <v>419</v>
      </c>
      <c r="AF248" s="175" t="s">
        <v>213</v>
      </c>
      <c r="AG248" s="175">
        <v>1</v>
      </c>
      <c r="AH248" s="175" t="s">
        <v>640</v>
      </c>
      <c r="AI248" s="175" t="s">
        <v>640</v>
      </c>
      <c r="AJ248" s="175" t="s">
        <v>640</v>
      </c>
      <c r="AK248" s="175" t="s">
        <v>640</v>
      </c>
      <c r="AL248" s="1159" t="s">
        <v>419</v>
      </c>
      <c r="AM248" s="175" t="s">
        <v>419</v>
      </c>
      <c r="AN248" s="175" t="s">
        <v>419</v>
      </c>
      <c r="AO248" s="175" t="s">
        <v>419</v>
      </c>
      <c r="AP248" s="175">
        <v>24</v>
      </c>
      <c r="AQ248" s="175">
        <v>216</v>
      </c>
      <c r="AR248" s="175" t="s">
        <v>419</v>
      </c>
      <c r="AS248" s="192" t="s">
        <v>419</v>
      </c>
    </row>
    <row r="249" spans="1:45" ht="16.5" customHeight="1">
      <c r="A249" s="174">
        <v>46212</v>
      </c>
      <c r="B249" s="175" t="s">
        <v>220</v>
      </c>
      <c r="C249" s="175" t="s">
        <v>17430</v>
      </c>
      <c r="E249" s="175" t="s">
        <v>1891</v>
      </c>
      <c r="F249" s="175" t="s">
        <v>17433</v>
      </c>
      <c r="G249" s="175">
        <v>600</v>
      </c>
      <c r="H249" s="175" t="s">
        <v>474</v>
      </c>
      <c r="I249" s="175">
        <v>4</v>
      </c>
      <c r="L249" s="175" t="s">
        <v>642</v>
      </c>
      <c r="P249" s="175" t="s">
        <v>642</v>
      </c>
      <c r="T249" s="175" t="s">
        <v>477</v>
      </c>
      <c r="V249" s="175">
        <v>35</v>
      </c>
      <c r="W249" s="175">
        <v>0</v>
      </c>
      <c r="X249" s="175">
        <v>6774</v>
      </c>
      <c r="Y249" s="175">
        <v>7351</v>
      </c>
      <c r="Z249" s="175">
        <v>1.7625458996328029</v>
      </c>
      <c r="AA249" s="175" t="s">
        <v>642</v>
      </c>
      <c r="AB249" s="175" t="s">
        <v>419</v>
      </c>
      <c r="AC249" s="175" t="s">
        <v>419</v>
      </c>
      <c r="AD249" s="175" t="s">
        <v>419</v>
      </c>
      <c r="AE249" s="175" t="s">
        <v>419</v>
      </c>
      <c r="AF249" s="175" t="s">
        <v>213</v>
      </c>
      <c r="AG249" s="175">
        <v>1</v>
      </c>
      <c r="AH249" s="175" t="s">
        <v>640</v>
      </c>
      <c r="AI249" s="175" t="s">
        <v>640</v>
      </c>
      <c r="AJ249" s="175" t="s">
        <v>637</v>
      </c>
      <c r="AK249" s="175" t="s">
        <v>637</v>
      </c>
      <c r="AL249" s="1159" t="s">
        <v>250</v>
      </c>
      <c r="AM249" s="175" t="s">
        <v>126</v>
      </c>
      <c r="AN249" s="175">
        <v>0.91100000000000003</v>
      </c>
      <c r="AO249" s="175">
        <v>0.7</v>
      </c>
      <c r="AP249" s="175">
        <v>24</v>
      </c>
      <c r="AQ249" s="175">
        <v>216</v>
      </c>
      <c r="AR249" s="175">
        <v>1.7</v>
      </c>
      <c r="AS249" s="192">
        <v>8028.4608000000007</v>
      </c>
    </row>
    <row r="250" spans="1:45" ht="16.5" customHeight="1">
      <c r="A250" s="174">
        <v>46212</v>
      </c>
      <c r="B250" s="175" t="s">
        <v>221</v>
      </c>
      <c r="C250" s="175" t="s">
        <v>632</v>
      </c>
      <c r="E250" s="175" t="s">
        <v>419</v>
      </c>
      <c r="F250" s="175" t="s">
        <v>419</v>
      </c>
      <c r="G250" s="175" t="s">
        <v>419</v>
      </c>
      <c r="H250" s="175" t="s">
        <v>419</v>
      </c>
      <c r="I250" s="175" t="s">
        <v>419</v>
      </c>
      <c r="L250" s="175" t="s">
        <v>632</v>
      </c>
      <c r="P250" s="175" t="s">
        <v>632</v>
      </c>
      <c r="T250" s="175" t="s">
        <v>632</v>
      </c>
      <c r="X250" s="175" t="s">
        <v>632</v>
      </c>
      <c r="Z250" s="175" t="s">
        <v>419</v>
      </c>
      <c r="AA250" s="175" t="s">
        <v>632</v>
      </c>
      <c r="AB250" s="175" t="s">
        <v>419</v>
      </c>
      <c r="AC250" s="175" t="s">
        <v>419</v>
      </c>
      <c r="AD250" s="175" t="s">
        <v>419</v>
      </c>
      <c r="AE250" s="175" t="s">
        <v>419</v>
      </c>
      <c r="AF250" s="175" t="s">
        <v>213</v>
      </c>
      <c r="AG250" s="175">
        <v>1</v>
      </c>
      <c r="AH250" s="175" t="s">
        <v>640</v>
      </c>
      <c r="AI250" s="175" t="s">
        <v>640</v>
      </c>
      <c r="AJ250" s="175" t="s">
        <v>640</v>
      </c>
      <c r="AK250" s="175" t="s">
        <v>640</v>
      </c>
      <c r="AL250" s="1159" t="s">
        <v>419</v>
      </c>
      <c r="AM250" s="175" t="s">
        <v>419</v>
      </c>
      <c r="AN250" s="175" t="s">
        <v>419</v>
      </c>
      <c r="AO250" s="175" t="s">
        <v>419</v>
      </c>
      <c r="AP250" s="175">
        <v>24</v>
      </c>
      <c r="AQ250" s="175">
        <v>216</v>
      </c>
      <c r="AR250" s="175" t="s">
        <v>419</v>
      </c>
      <c r="AS250" s="192" t="s">
        <v>419</v>
      </c>
    </row>
    <row r="251" spans="1:45" ht="16.5" customHeight="1">
      <c r="A251" s="174">
        <v>46212</v>
      </c>
      <c r="B251" s="175" t="s">
        <v>222</v>
      </c>
      <c r="C251" s="175" t="s">
        <v>17261</v>
      </c>
      <c r="D251" s="175" t="s">
        <v>16748</v>
      </c>
      <c r="E251" s="175" t="s">
        <v>17177</v>
      </c>
      <c r="F251" s="175" t="s">
        <v>17262</v>
      </c>
      <c r="G251" s="175">
        <v>550</v>
      </c>
      <c r="H251" s="175" t="s">
        <v>762</v>
      </c>
      <c r="I251" s="175">
        <v>2</v>
      </c>
      <c r="L251" s="175" t="s">
        <v>628</v>
      </c>
      <c r="M251" s="175" t="s">
        <v>632</v>
      </c>
      <c r="P251" s="175" t="s">
        <v>628</v>
      </c>
      <c r="Q251" s="175" t="s">
        <v>632</v>
      </c>
      <c r="T251" s="175" t="s">
        <v>477</v>
      </c>
      <c r="U251" s="175" t="s">
        <v>632</v>
      </c>
      <c r="V251" s="175">
        <v>16</v>
      </c>
      <c r="W251" s="175">
        <v>0</v>
      </c>
      <c r="X251" s="175">
        <v>9470</v>
      </c>
      <c r="Y251" s="175" t="s">
        <v>632</v>
      </c>
      <c r="Z251" s="175">
        <v>2.1686746987951806</v>
      </c>
      <c r="AA251" s="175" t="s">
        <v>628</v>
      </c>
      <c r="AB251" s="175" t="s">
        <v>419</v>
      </c>
      <c r="AC251" s="175" t="s">
        <v>419</v>
      </c>
      <c r="AD251" s="175" t="s">
        <v>419</v>
      </c>
      <c r="AE251" s="175" t="s">
        <v>419</v>
      </c>
      <c r="AF251" s="175" t="s">
        <v>213</v>
      </c>
      <c r="AG251" s="175">
        <v>2</v>
      </c>
      <c r="AH251" s="175" t="s">
        <v>15376</v>
      </c>
      <c r="AI251" s="175" t="s">
        <v>15376</v>
      </c>
      <c r="AJ251" s="175" t="s">
        <v>725</v>
      </c>
      <c r="AK251" s="175" t="s">
        <v>637</v>
      </c>
      <c r="AL251" s="1159" t="s">
        <v>250</v>
      </c>
      <c r="AM251" s="175" t="s">
        <v>126</v>
      </c>
      <c r="AN251" s="175">
        <v>0.91100000000000003</v>
      </c>
      <c r="AO251" s="175">
        <v>0.7</v>
      </c>
      <c r="AP251" s="175">
        <v>24</v>
      </c>
      <c r="AQ251" s="175">
        <v>216</v>
      </c>
      <c r="AR251" s="175">
        <v>1.7</v>
      </c>
      <c r="AS251" s="192">
        <v>8028.4608000000007</v>
      </c>
    </row>
    <row r="252" spans="1:45" ht="16.5" customHeight="1">
      <c r="A252" s="174">
        <v>46212</v>
      </c>
      <c r="B252" s="175" t="s">
        <v>223</v>
      </c>
      <c r="C252" s="175" t="s">
        <v>17263</v>
      </c>
      <c r="D252" s="175" t="s">
        <v>16748</v>
      </c>
      <c r="E252" s="175" t="s">
        <v>17156</v>
      </c>
      <c r="F252" s="175" t="s">
        <v>17264</v>
      </c>
      <c r="G252" s="175">
        <v>600</v>
      </c>
      <c r="H252" s="175" t="s">
        <v>456</v>
      </c>
      <c r="I252" s="175">
        <v>3</v>
      </c>
      <c r="J252" s="175">
        <v>5</v>
      </c>
      <c r="K252" s="175">
        <v>0</v>
      </c>
      <c r="L252" s="175">
        <v>7429</v>
      </c>
      <c r="M252" s="175" t="s">
        <v>632</v>
      </c>
      <c r="N252" s="175">
        <v>3</v>
      </c>
      <c r="O252" s="175">
        <v>0</v>
      </c>
      <c r="P252" s="175">
        <v>7208</v>
      </c>
      <c r="Q252" s="175" t="s">
        <v>632</v>
      </c>
      <c r="R252" s="175">
        <v>4</v>
      </c>
      <c r="S252" s="175">
        <v>0</v>
      </c>
      <c r="T252" s="175">
        <v>7261</v>
      </c>
      <c r="U252" s="175" t="s">
        <v>632</v>
      </c>
      <c r="V252" s="175">
        <v>13</v>
      </c>
      <c r="W252" s="175">
        <v>0</v>
      </c>
      <c r="X252" s="175">
        <v>7190</v>
      </c>
      <c r="Y252" s="175" t="s">
        <v>632</v>
      </c>
      <c r="Z252" s="175">
        <v>2.4</v>
      </c>
      <c r="AA252" s="175">
        <v>16.666666666666668</v>
      </c>
      <c r="AB252" s="175">
        <v>1</v>
      </c>
      <c r="AC252" s="175">
        <v>72.72</v>
      </c>
      <c r="AD252" s="175">
        <v>2.0833333333333335</v>
      </c>
      <c r="AE252" s="175">
        <v>2.0833333333333335</v>
      </c>
      <c r="AF252" s="175" t="s">
        <v>213</v>
      </c>
      <c r="AG252" s="175">
        <v>2</v>
      </c>
      <c r="AH252" s="175" t="s">
        <v>15376</v>
      </c>
      <c r="AI252" s="175" t="s">
        <v>15376</v>
      </c>
      <c r="AJ252" s="175" t="s">
        <v>725</v>
      </c>
      <c r="AK252" s="175" t="s">
        <v>725</v>
      </c>
      <c r="AL252" s="1159" t="s">
        <v>250</v>
      </c>
      <c r="AM252" s="175" t="s">
        <v>126</v>
      </c>
      <c r="AN252" s="175">
        <v>0.91100000000000003</v>
      </c>
      <c r="AO252" s="175">
        <v>0.8</v>
      </c>
      <c r="AP252" s="175">
        <v>24</v>
      </c>
      <c r="AQ252" s="175">
        <v>216</v>
      </c>
      <c r="AR252" s="175">
        <v>1.8</v>
      </c>
      <c r="AS252" s="192">
        <v>8500.7232000000004</v>
      </c>
    </row>
    <row r="253" spans="1:45" ht="16.5" customHeight="1">
      <c r="A253" s="174">
        <v>46212</v>
      </c>
      <c r="B253" s="175" t="s">
        <v>224</v>
      </c>
      <c r="C253" s="175" t="s">
        <v>632</v>
      </c>
      <c r="E253" s="175" t="s">
        <v>419</v>
      </c>
      <c r="F253" s="175" t="s">
        <v>419</v>
      </c>
      <c r="G253" s="175" t="s">
        <v>419</v>
      </c>
      <c r="H253" s="175" t="s">
        <v>419</v>
      </c>
      <c r="I253" s="175" t="s">
        <v>419</v>
      </c>
      <c r="L253" s="175" t="s">
        <v>632</v>
      </c>
      <c r="P253" s="175" t="s">
        <v>632</v>
      </c>
      <c r="T253" s="175" t="s">
        <v>632</v>
      </c>
      <c r="X253" s="175" t="s">
        <v>632</v>
      </c>
      <c r="Z253" s="175" t="s">
        <v>419</v>
      </c>
      <c r="AA253" s="175" t="s">
        <v>632</v>
      </c>
      <c r="AB253" s="175" t="s">
        <v>419</v>
      </c>
      <c r="AC253" s="175" t="s">
        <v>419</v>
      </c>
      <c r="AD253" s="175" t="s">
        <v>419</v>
      </c>
      <c r="AE253" s="175" t="s">
        <v>419</v>
      </c>
      <c r="AF253" s="175" t="s">
        <v>213</v>
      </c>
      <c r="AG253" s="175">
        <v>0.5</v>
      </c>
      <c r="AH253" s="175" t="s">
        <v>640</v>
      </c>
      <c r="AI253" s="175" t="s">
        <v>640</v>
      </c>
      <c r="AJ253" s="175" t="s">
        <v>640</v>
      </c>
      <c r="AK253" s="175" t="s">
        <v>640</v>
      </c>
      <c r="AL253" s="1159" t="s">
        <v>419</v>
      </c>
      <c r="AM253" s="175" t="s">
        <v>419</v>
      </c>
      <c r="AN253" s="175" t="s">
        <v>419</v>
      </c>
      <c r="AO253" s="175" t="s">
        <v>419</v>
      </c>
      <c r="AP253" s="175">
        <v>24</v>
      </c>
      <c r="AQ253" s="175">
        <v>216</v>
      </c>
      <c r="AR253" s="175" t="s">
        <v>419</v>
      </c>
      <c r="AS253" s="192" t="s">
        <v>419</v>
      </c>
    </row>
    <row r="254" spans="1:45" ht="16.5" customHeight="1">
      <c r="A254" s="174">
        <v>46212</v>
      </c>
      <c r="B254" s="175" t="s">
        <v>225</v>
      </c>
      <c r="C254" s="175" t="s">
        <v>632</v>
      </c>
      <c r="E254" s="175" t="s">
        <v>419</v>
      </c>
      <c r="F254" s="175" t="s">
        <v>419</v>
      </c>
      <c r="G254" s="175" t="s">
        <v>419</v>
      </c>
      <c r="H254" s="175" t="s">
        <v>419</v>
      </c>
      <c r="I254" s="175" t="s">
        <v>419</v>
      </c>
      <c r="L254" s="175" t="s">
        <v>632</v>
      </c>
      <c r="P254" s="175" t="s">
        <v>632</v>
      </c>
      <c r="T254" s="175" t="s">
        <v>632</v>
      </c>
      <c r="X254" s="175" t="s">
        <v>632</v>
      </c>
      <c r="Z254" s="175" t="s">
        <v>419</v>
      </c>
      <c r="AA254" s="175" t="s">
        <v>632</v>
      </c>
      <c r="AB254" s="175" t="s">
        <v>419</v>
      </c>
      <c r="AC254" s="175" t="s">
        <v>419</v>
      </c>
      <c r="AD254" s="175" t="s">
        <v>419</v>
      </c>
      <c r="AE254" s="175" t="s">
        <v>419</v>
      </c>
      <c r="AF254" s="175" t="s">
        <v>213</v>
      </c>
      <c r="AG254" s="175">
        <v>1</v>
      </c>
      <c r="AH254" s="175" t="s">
        <v>640</v>
      </c>
      <c r="AI254" s="175" t="s">
        <v>640</v>
      </c>
      <c r="AJ254" s="175" t="s">
        <v>640</v>
      </c>
      <c r="AK254" s="175" t="s">
        <v>640</v>
      </c>
      <c r="AL254" s="1159" t="s">
        <v>419</v>
      </c>
      <c r="AM254" s="175" t="s">
        <v>419</v>
      </c>
      <c r="AN254" s="175" t="s">
        <v>419</v>
      </c>
      <c r="AO254" s="175" t="s">
        <v>419</v>
      </c>
      <c r="AP254" s="175">
        <v>24</v>
      </c>
      <c r="AQ254" s="175">
        <v>216</v>
      </c>
      <c r="AR254" s="175" t="s">
        <v>419</v>
      </c>
      <c r="AS254" s="192" t="s">
        <v>419</v>
      </c>
    </row>
    <row r="255" spans="1:45" ht="16.5" customHeight="1">
      <c r="A255" s="174">
        <v>46212</v>
      </c>
      <c r="B255" s="175" t="s">
        <v>226</v>
      </c>
      <c r="C255" s="175" t="s">
        <v>632</v>
      </c>
      <c r="E255" s="175" t="s">
        <v>419</v>
      </c>
      <c r="F255" s="175" t="s">
        <v>419</v>
      </c>
      <c r="G255" s="175" t="s">
        <v>419</v>
      </c>
      <c r="H255" s="175" t="s">
        <v>419</v>
      </c>
      <c r="I255" s="175" t="s">
        <v>419</v>
      </c>
      <c r="L255" s="175" t="s">
        <v>632</v>
      </c>
      <c r="P255" s="175" t="s">
        <v>632</v>
      </c>
      <c r="T255" s="175" t="s">
        <v>632</v>
      </c>
      <c r="X255" s="175" t="s">
        <v>632</v>
      </c>
      <c r="Z255" s="175" t="s">
        <v>419</v>
      </c>
      <c r="AA255" s="175" t="s">
        <v>632</v>
      </c>
      <c r="AB255" s="175" t="s">
        <v>419</v>
      </c>
      <c r="AC255" s="175" t="s">
        <v>419</v>
      </c>
      <c r="AD255" s="175" t="s">
        <v>419</v>
      </c>
      <c r="AE255" s="175" t="s">
        <v>419</v>
      </c>
      <c r="AF255" s="175" t="s">
        <v>213</v>
      </c>
      <c r="AG255" s="175">
        <v>1</v>
      </c>
      <c r="AH255" s="175" t="s">
        <v>640</v>
      </c>
      <c r="AI255" s="175" t="s">
        <v>640</v>
      </c>
      <c r="AJ255" s="175" t="s">
        <v>640</v>
      </c>
      <c r="AK255" s="175" t="s">
        <v>640</v>
      </c>
      <c r="AL255" s="1159" t="s">
        <v>419</v>
      </c>
      <c r="AM255" s="175" t="s">
        <v>419</v>
      </c>
      <c r="AN255" s="175" t="s">
        <v>419</v>
      </c>
      <c r="AO255" s="175" t="s">
        <v>419</v>
      </c>
      <c r="AP255" s="175">
        <v>24</v>
      </c>
      <c r="AQ255" s="175">
        <v>216</v>
      </c>
      <c r="AR255" s="175" t="s">
        <v>419</v>
      </c>
      <c r="AS255" s="192" t="s">
        <v>419</v>
      </c>
    </row>
    <row r="256" spans="1:45" ht="16.5" customHeight="1">
      <c r="A256" s="174">
        <v>46212</v>
      </c>
      <c r="B256" s="175" t="s">
        <v>227</v>
      </c>
      <c r="C256" s="175" t="s">
        <v>632</v>
      </c>
      <c r="E256" s="175" t="s">
        <v>419</v>
      </c>
      <c r="F256" s="175" t="s">
        <v>419</v>
      </c>
      <c r="G256" s="175" t="s">
        <v>419</v>
      </c>
      <c r="H256" s="175" t="s">
        <v>419</v>
      </c>
      <c r="I256" s="175" t="s">
        <v>419</v>
      </c>
      <c r="L256" s="175" t="s">
        <v>632</v>
      </c>
      <c r="P256" s="175" t="s">
        <v>632</v>
      </c>
      <c r="T256" s="175" t="s">
        <v>632</v>
      </c>
      <c r="X256" s="175" t="s">
        <v>632</v>
      </c>
      <c r="Z256" s="175" t="s">
        <v>419</v>
      </c>
      <c r="AA256" s="175" t="s">
        <v>632</v>
      </c>
      <c r="AB256" s="175" t="s">
        <v>419</v>
      </c>
      <c r="AC256" s="175" t="s">
        <v>419</v>
      </c>
      <c r="AD256" s="175" t="s">
        <v>419</v>
      </c>
      <c r="AE256" s="175" t="s">
        <v>419</v>
      </c>
      <c r="AF256" s="175" t="s">
        <v>213</v>
      </c>
      <c r="AG256" s="175">
        <v>1</v>
      </c>
      <c r="AH256" s="175" t="s">
        <v>640</v>
      </c>
      <c r="AI256" s="175" t="s">
        <v>640</v>
      </c>
      <c r="AJ256" s="175" t="s">
        <v>640</v>
      </c>
      <c r="AK256" s="175" t="s">
        <v>640</v>
      </c>
      <c r="AL256" s="1159" t="s">
        <v>419</v>
      </c>
      <c r="AM256" s="175" t="s">
        <v>419</v>
      </c>
      <c r="AN256" s="175" t="s">
        <v>419</v>
      </c>
      <c r="AO256" s="175" t="s">
        <v>419</v>
      </c>
      <c r="AP256" s="175">
        <v>24</v>
      </c>
      <c r="AQ256" s="175">
        <v>216</v>
      </c>
      <c r="AR256" s="175" t="s">
        <v>419</v>
      </c>
      <c r="AS256" s="192" t="s">
        <v>419</v>
      </c>
    </row>
    <row r="257" spans="1:45" ht="16.5" customHeight="1">
      <c r="A257" s="174">
        <v>46212</v>
      </c>
      <c r="B257" s="175" t="s">
        <v>228</v>
      </c>
      <c r="C257" s="175" t="s">
        <v>17293</v>
      </c>
      <c r="E257" s="175" t="s">
        <v>7055</v>
      </c>
      <c r="F257" s="175" t="s">
        <v>17294</v>
      </c>
      <c r="G257" s="175">
        <v>550</v>
      </c>
      <c r="H257" s="175" t="s">
        <v>889</v>
      </c>
      <c r="I257" s="175">
        <v>5.5</v>
      </c>
      <c r="J257" s="175">
        <v>22</v>
      </c>
      <c r="K257" s="175">
        <v>0</v>
      </c>
      <c r="L257" s="175">
        <v>5926</v>
      </c>
      <c r="M257" s="175">
        <v>6286</v>
      </c>
      <c r="N257" s="175">
        <v>22</v>
      </c>
      <c r="O257" s="175">
        <v>0</v>
      </c>
      <c r="P257" s="175">
        <v>5364</v>
      </c>
      <c r="Q257" s="175">
        <v>5554</v>
      </c>
      <c r="R257" s="175">
        <v>12</v>
      </c>
      <c r="S257" s="175">
        <v>0</v>
      </c>
      <c r="T257" s="175">
        <v>5460</v>
      </c>
      <c r="U257" s="175">
        <v>5991</v>
      </c>
      <c r="V257" s="175">
        <v>20</v>
      </c>
      <c r="W257" s="175">
        <v>0</v>
      </c>
      <c r="X257" s="175">
        <v>5453</v>
      </c>
      <c r="Y257" s="175">
        <v>6245</v>
      </c>
      <c r="Z257" s="175">
        <v>4.7058823529411766</v>
      </c>
      <c r="AA257" s="175">
        <v>12.666666666666666</v>
      </c>
      <c r="AB257" s="175">
        <v>1</v>
      </c>
      <c r="AC257" s="175">
        <v>57.848750000000003</v>
      </c>
      <c r="AD257" s="175">
        <v>1.5833333333333333</v>
      </c>
      <c r="AE257" s="175">
        <v>1.5833333333333333</v>
      </c>
      <c r="AF257" s="175" t="s">
        <v>213</v>
      </c>
      <c r="AG257" s="175">
        <v>0.5</v>
      </c>
      <c r="AH257" s="175" t="s">
        <v>15376</v>
      </c>
      <c r="AI257" s="175" t="s">
        <v>15376</v>
      </c>
      <c r="AJ257" s="175" t="s">
        <v>725</v>
      </c>
      <c r="AK257" s="175" t="s">
        <v>725</v>
      </c>
      <c r="AL257" s="1159" t="s">
        <v>250</v>
      </c>
      <c r="AM257" s="175" t="s">
        <v>460</v>
      </c>
      <c r="AN257" s="175">
        <v>1.1890000000000001</v>
      </c>
      <c r="AO257" s="175">
        <v>1.9</v>
      </c>
      <c r="AP257" s="175">
        <v>24</v>
      </c>
      <c r="AQ257" s="175">
        <v>216</v>
      </c>
      <c r="AR257" s="175">
        <v>2.9</v>
      </c>
      <c r="AS257" s="192">
        <v>17874.950400000002</v>
      </c>
    </row>
    <row r="258" spans="1:45" ht="16.5" customHeight="1">
      <c r="A258" s="174">
        <v>46212</v>
      </c>
      <c r="B258" s="175" t="s">
        <v>229</v>
      </c>
      <c r="C258" s="175" t="s">
        <v>632</v>
      </c>
      <c r="E258" s="175" t="s">
        <v>419</v>
      </c>
      <c r="F258" s="175" t="s">
        <v>419</v>
      </c>
      <c r="G258" s="175" t="s">
        <v>419</v>
      </c>
      <c r="H258" s="175" t="s">
        <v>419</v>
      </c>
      <c r="I258" s="175" t="s">
        <v>419</v>
      </c>
      <c r="L258" s="175" t="s">
        <v>632</v>
      </c>
      <c r="P258" s="175" t="s">
        <v>632</v>
      </c>
      <c r="T258" s="175" t="s">
        <v>632</v>
      </c>
      <c r="X258" s="175" t="s">
        <v>632</v>
      </c>
      <c r="Z258" s="175" t="s">
        <v>419</v>
      </c>
      <c r="AA258" s="175" t="s">
        <v>632</v>
      </c>
      <c r="AB258" s="175" t="s">
        <v>419</v>
      </c>
      <c r="AC258" s="175" t="s">
        <v>419</v>
      </c>
      <c r="AD258" s="175" t="s">
        <v>419</v>
      </c>
      <c r="AE258" s="175" t="s">
        <v>419</v>
      </c>
      <c r="AF258" s="175" t="s">
        <v>213</v>
      </c>
      <c r="AG258" s="175">
        <v>1</v>
      </c>
      <c r="AH258" s="175" t="s">
        <v>640</v>
      </c>
      <c r="AI258" s="175" t="s">
        <v>640</v>
      </c>
      <c r="AJ258" s="175" t="s">
        <v>640</v>
      </c>
      <c r="AK258" s="175" t="s">
        <v>640</v>
      </c>
      <c r="AL258" s="1159" t="s">
        <v>419</v>
      </c>
      <c r="AM258" s="175" t="s">
        <v>419</v>
      </c>
      <c r="AN258" s="175" t="s">
        <v>419</v>
      </c>
      <c r="AO258" s="175" t="s">
        <v>419</v>
      </c>
      <c r="AP258" s="175">
        <v>24</v>
      </c>
      <c r="AQ258" s="175">
        <v>216</v>
      </c>
      <c r="AR258" s="175" t="s">
        <v>419</v>
      </c>
      <c r="AS258" s="192" t="s">
        <v>419</v>
      </c>
    </row>
    <row r="259" spans="1:45" ht="16.5" customHeight="1">
      <c r="A259" s="174">
        <v>46212</v>
      </c>
      <c r="B259" s="175" t="s">
        <v>230</v>
      </c>
      <c r="C259" s="175" t="s">
        <v>632</v>
      </c>
      <c r="E259" s="175" t="s">
        <v>419</v>
      </c>
      <c r="F259" s="175" t="s">
        <v>419</v>
      </c>
      <c r="G259" s="175" t="s">
        <v>419</v>
      </c>
      <c r="H259" s="175" t="s">
        <v>419</v>
      </c>
      <c r="I259" s="175" t="s">
        <v>419</v>
      </c>
      <c r="L259" s="175" t="s">
        <v>632</v>
      </c>
      <c r="P259" s="175" t="s">
        <v>632</v>
      </c>
      <c r="T259" s="175" t="s">
        <v>632</v>
      </c>
      <c r="X259" s="175" t="s">
        <v>632</v>
      </c>
      <c r="Z259" s="175" t="s">
        <v>419</v>
      </c>
      <c r="AA259" s="175" t="s">
        <v>632</v>
      </c>
      <c r="AB259" s="175" t="s">
        <v>419</v>
      </c>
      <c r="AC259" s="175" t="s">
        <v>419</v>
      </c>
      <c r="AD259" s="175" t="s">
        <v>419</v>
      </c>
      <c r="AE259" s="175" t="s">
        <v>419</v>
      </c>
      <c r="AF259" s="175" t="s">
        <v>213</v>
      </c>
      <c r="AG259" s="175">
        <v>1</v>
      </c>
      <c r="AH259" s="175" t="s">
        <v>640</v>
      </c>
      <c r="AI259" s="175" t="s">
        <v>640</v>
      </c>
      <c r="AJ259" s="175" t="s">
        <v>640</v>
      </c>
      <c r="AK259" s="175" t="s">
        <v>640</v>
      </c>
      <c r="AL259" s="1159" t="s">
        <v>419</v>
      </c>
      <c r="AM259" s="175" t="s">
        <v>419</v>
      </c>
      <c r="AN259" s="175" t="s">
        <v>419</v>
      </c>
      <c r="AO259" s="175" t="s">
        <v>419</v>
      </c>
      <c r="AP259" s="175">
        <v>24</v>
      </c>
      <c r="AQ259" s="175">
        <v>216</v>
      </c>
      <c r="AR259" s="175" t="s">
        <v>419</v>
      </c>
      <c r="AS259" s="192" t="s">
        <v>419</v>
      </c>
    </row>
    <row r="260" spans="1:45" ht="16.5" customHeight="1">
      <c r="A260" s="174">
        <v>46212</v>
      </c>
      <c r="B260" s="175" t="s">
        <v>231</v>
      </c>
      <c r="C260" s="175" t="s">
        <v>632</v>
      </c>
      <c r="E260" s="175" t="s">
        <v>419</v>
      </c>
      <c r="F260" s="175" t="s">
        <v>419</v>
      </c>
      <c r="G260" s="175" t="s">
        <v>419</v>
      </c>
      <c r="H260" s="175" t="s">
        <v>419</v>
      </c>
      <c r="I260" s="175" t="s">
        <v>419</v>
      </c>
      <c r="L260" s="175" t="s">
        <v>632</v>
      </c>
      <c r="P260" s="175" t="s">
        <v>632</v>
      </c>
      <c r="T260" s="175" t="s">
        <v>632</v>
      </c>
      <c r="X260" s="175" t="s">
        <v>632</v>
      </c>
      <c r="Z260" s="175" t="s">
        <v>419</v>
      </c>
      <c r="AA260" s="175" t="s">
        <v>632</v>
      </c>
      <c r="AB260" s="175" t="s">
        <v>419</v>
      </c>
      <c r="AC260" s="175" t="s">
        <v>419</v>
      </c>
      <c r="AD260" s="175" t="s">
        <v>419</v>
      </c>
      <c r="AE260" s="175" t="s">
        <v>419</v>
      </c>
      <c r="AF260" s="175" t="s">
        <v>232</v>
      </c>
      <c r="AG260" s="175">
        <v>1</v>
      </c>
      <c r="AH260" s="175" t="s">
        <v>640</v>
      </c>
      <c r="AI260" s="175" t="s">
        <v>640</v>
      </c>
      <c r="AJ260" s="175" t="s">
        <v>640</v>
      </c>
      <c r="AK260" s="175" t="s">
        <v>640</v>
      </c>
      <c r="AL260" s="1159" t="s">
        <v>419</v>
      </c>
      <c r="AM260" s="175" t="s">
        <v>419</v>
      </c>
      <c r="AN260" s="175" t="s">
        <v>419</v>
      </c>
      <c r="AO260" s="175" t="s">
        <v>419</v>
      </c>
      <c r="AP260" s="175">
        <v>24</v>
      </c>
      <c r="AQ260" s="175">
        <v>216</v>
      </c>
      <c r="AR260" s="175" t="s">
        <v>419</v>
      </c>
      <c r="AS260" s="192" t="s">
        <v>419</v>
      </c>
    </row>
    <row r="261" spans="1:45" ht="16.5" customHeight="1">
      <c r="A261" s="174">
        <v>46212</v>
      </c>
      <c r="B261" s="175" t="s">
        <v>233</v>
      </c>
      <c r="C261" s="175" t="s">
        <v>17268</v>
      </c>
      <c r="D261" s="175" t="s">
        <v>633</v>
      </c>
      <c r="E261" s="175" t="s">
        <v>16719</v>
      </c>
      <c r="F261" s="175" t="s">
        <v>17253</v>
      </c>
      <c r="G261" s="175">
        <v>600</v>
      </c>
      <c r="H261" s="175" t="s">
        <v>723</v>
      </c>
      <c r="I261" s="175">
        <v>5.5</v>
      </c>
      <c r="J261" s="175">
        <v>11</v>
      </c>
      <c r="K261" s="175">
        <v>2</v>
      </c>
      <c r="L261" s="175">
        <v>3180</v>
      </c>
      <c r="M261" s="175" t="s">
        <v>17315</v>
      </c>
      <c r="N261" s="175">
        <v>6</v>
      </c>
      <c r="O261" s="175">
        <v>0</v>
      </c>
      <c r="P261" s="175">
        <v>3170</v>
      </c>
      <c r="Q261" s="175" t="s">
        <v>17315</v>
      </c>
      <c r="R261" s="175">
        <v>2</v>
      </c>
      <c r="S261" s="175">
        <v>0</v>
      </c>
      <c r="T261" s="175">
        <v>3190</v>
      </c>
      <c r="U261" s="175" t="s">
        <v>17315</v>
      </c>
      <c r="V261" s="175">
        <v>8</v>
      </c>
      <c r="W261" s="175">
        <v>4</v>
      </c>
      <c r="X261" s="175">
        <v>3110</v>
      </c>
      <c r="Y261" s="175" t="s">
        <v>17315</v>
      </c>
      <c r="Z261" s="175">
        <v>5.0526315789473681</v>
      </c>
      <c r="AA261" s="175">
        <v>18</v>
      </c>
      <c r="AB261" s="175">
        <v>0.99429086538461542</v>
      </c>
      <c r="AC261" s="175">
        <v>31.625</v>
      </c>
      <c r="AD261" s="175">
        <v>2.25</v>
      </c>
      <c r="AE261" s="175">
        <v>1.75</v>
      </c>
      <c r="AF261" s="175" t="s">
        <v>232</v>
      </c>
      <c r="AG261" s="175">
        <v>2</v>
      </c>
      <c r="AH261" s="175" t="s">
        <v>815</v>
      </c>
      <c r="AI261" s="175" t="s">
        <v>815</v>
      </c>
      <c r="AJ261" s="175" t="s">
        <v>835</v>
      </c>
      <c r="AK261" s="175" t="s">
        <v>835</v>
      </c>
      <c r="AL261" s="1159" t="s">
        <v>250</v>
      </c>
      <c r="AM261" s="175" t="s">
        <v>643</v>
      </c>
      <c r="AN261" s="175">
        <v>1.859</v>
      </c>
      <c r="AO261" s="175">
        <v>2.1</v>
      </c>
      <c r="AP261" s="175">
        <v>24</v>
      </c>
      <c r="AQ261" s="175">
        <v>216</v>
      </c>
      <c r="AR261" s="175">
        <v>3.1</v>
      </c>
      <c r="AS261" s="192">
        <v>29874.873599999999</v>
      </c>
    </row>
    <row r="262" spans="1:45" ht="16.5" customHeight="1">
      <c r="A262" s="174">
        <v>46212</v>
      </c>
      <c r="B262" s="175" t="s">
        <v>234</v>
      </c>
      <c r="C262" s="175" t="s">
        <v>632</v>
      </c>
      <c r="E262" s="175" t="s">
        <v>419</v>
      </c>
      <c r="F262" s="175" t="s">
        <v>419</v>
      </c>
      <c r="G262" s="175" t="s">
        <v>419</v>
      </c>
      <c r="H262" s="175" t="s">
        <v>419</v>
      </c>
      <c r="I262" s="175" t="s">
        <v>419</v>
      </c>
      <c r="L262" s="175" t="s">
        <v>632</v>
      </c>
      <c r="P262" s="175" t="s">
        <v>632</v>
      </c>
      <c r="T262" s="175" t="s">
        <v>632</v>
      </c>
      <c r="X262" s="175" t="s">
        <v>632</v>
      </c>
      <c r="Z262" s="175" t="s">
        <v>419</v>
      </c>
      <c r="AA262" s="175" t="s">
        <v>632</v>
      </c>
      <c r="AB262" s="175" t="s">
        <v>419</v>
      </c>
      <c r="AC262" s="175" t="s">
        <v>419</v>
      </c>
      <c r="AD262" s="175" t="s">
        <v>419</v>
      </c>
      <c r="AE262" s="175" t="s">
        <v>419</v>
      </c>
      <c r="AF262" s="175" t="s">
        <v>232</v>
      </c>
      <c r="AG262" s="175">
        <v>1</v>
      </c>
      <c r="AH262" s="175" t="s">
        <v>640</v>
      </c>
      <c r="AI262" s="175" t="s">
        <v>640</v>
      </c>
      <c r="AJ262" s="175" t="s">
        <v>640</v>
      </c>
      <c r="AK262" s="175" t="s">
        <v>640</v>
      </c>
      <c r="AL262" s="1159" t="s">
        <v>419</v>
      </c>
      <c r="AM262" s="175" t="s">
        <v>419</v>
      </c>
      <c r="AN262" s="175" t="s">
        <v>419</v>
      </c>
      <c r="AO262" s="175" t="s">
        <v>419</v>
      </c>
      <c r="AP262" s="175">
        <v>24</v>
      </c>
      <c r="AQ262" s="175">
        <v>216</v>
      </c>
      <c r="AR262" s="175" t="s">
        <v>419</v>
      </c>
      <c r="AS262" s="192" t="s">
        <v>419</v>
      </c>
    </row>
    <row r="263" spans="1:45" ht="16.5" customHeight="1">
      <c r="A263" s="174">
        <v>46212</v>
      </c>
      <c r="B263" s="175" t="s">
        <v>235</v>
      </c>
      <c r="C263" s="175" t="s">
        <v>17289</v>
      </c>
      <c r="D263" s="175" t="s">
        <v>633</v>
      </c>
      <c r="E263" s="175" t="s">
        <v>16719</v>
      </c>
      <c r="F263" s="175" t="s">
        <v>17290</v>
      </c>
      <c r="G263" s="175">
        <v>700</v>
      </c>
      <c r="H263" s="175" t="s">
        <v>776</v>
      </c>
      <c r="I263" s="175">
        <v>5.5</v>
      </c>
      <c r="J263" s="175">
        <v>22</v>
      </c>
      <c r="K263" s="175">
        <v>0</v>
      </c>
      <c r="L263" s="175">
        <v>9440</v>
      </c>
      <c r="M263" s="175" t="s">
        <v>17315</v>
      </c>
      <c r="N263" s="175">
        <v>7</v>
      </c>
      <c r="O263" s="175">
        <v>0</v>
      </c>
      <c r="P263" s="175">
        <v>8890</v>
      </c>
      <c r="Q263" s="175" t="s">
        <v>17315</v>
      </c>
      <c r="R263" s="175">
        <v>22</v>
      </c>
      <c r="S263" s="175">
        <v>7</v>
      </c>
      <c r="T263" s="175">
        <v>9070</v>
      </c>
      <c r="U263" s="175" t="s">
        <v>17315</v>
      </c>
      <c r="V263" s="175">
        <v>32</v>
      </c>
      <c r="W263" s="175">
        <v>1</v>
      </c>
      <c r="X263" s="175">
        <v>9720</v>
      </c>
      <c r="Y263" s="175" t="s">
        <v>17315</v>
      </c>
      <c r="Z263" s="175">
        <v>5.8775510204081636</v>
      </c>
      <c r="AA263" s="175">
        <v>27.666666666666668</v>
      </c>
      <c r="AB263" s="175">
        <v>0.99345619658119655</v>
      </c>
      <c r="AC263" s="175">
        <v>92.8</v>
      </c>
      <c r="AD263" s="175">
        <v>3.4583333333333335</v>
      </c>
      <c r="AE263" s="175">
        <v>3.125</v>
      </c>
      <c r="AF263" s="175" t="s">
        <v>236</v>
      </c>
      <c r="AG263" s="175">
        <v>1</v>
      </c>
      <c r="AH263" s="175" t="s">
        <v>15337</v>
      </c>
      <c r="AI263" s="175" t="s">
        <v>15337</v>
      </c>
      <c r="AJ263" s="175" t="s">
        <v>639</v>
      </c>
      <c r="AK263" s="175" t="s">
        <v>639</v>
      </c>
      <c r="AL263" s="1159" t="s">
        <v>251</v>
      </c>
      <c r="AM263" s="175" t="s">
        <v>460</v>
      </c>
      <c r="AN263" s="175">
        <v>1.1890000000000001</v>
      </c>
      <c r="AO263" s="175">
        <v>3</v>
      </c>
      <c r="AP263" s="175">
        <v>24</v>
      </c>
      <c r="AQ263" s="175">
        <v>216</v>
      </c>
      <c r="AR263" s="175">
        <v>4</v>
      </c>
      <c r="AS263" s="192">
        <v>24655.103999999999</v>
      </c>
    </row>
    <row r="264" spans="1:45" ht="16.5" customHeight="1">
      <c r="A264" s="174">
        <v>46212</v>
      </c>
      <c r="B264" s="175" t="s">
        <v>237</v>
      </c>
      <c r="C264" s="175" t="s">
        <v>17251</v>
      </c>
      <c r="D264" s="175" t="s">
        <v>633</v>
      </c>
      <c r="E264" s="175" t="s">
        <v>16719</v>
      </c>
      <c r="F264" s="175" t="s">
        <v>17253</v>
      </c>
      <c r="G264" s="175">
        <v>700</v>
      </c>
      <c r="H264" s="175" t="s">
        <v>646</v>
      </c>
      <c r="I264" s="175">
        <v>5.5</v>
      </c>
      <c r="J264" s="175">
        <v>63</v>
      </c>
      <c r="K264" s="175">
        <v>5</v>
      </c>
      <c r="L264" s="175">
        <v>9170</v>
      </c>
      <c r="M264" s="175">
        <v>8700</v>
      </c>
      <c r="N264" s="175">
        <v>35</v>
      </c>
      <c r="O264" s="175">
        <v>5</v>
      </c>
      <c r="P264" s="175">
        <v>8980</v>
      </c>
      <c r="Q264" s="175">
        <v>8610</v>
      </c>
      <c r="R264" s="175">
        <v>25</v>
      </c>
      <c r="S264" s="175">
        <v>0</v>
      </c>
      <c r="T264" s="175">
        <v>9350</v>
      </c>
      <c r="U264" s="175">
        <v>8520</v>
      </c>
      <c r="V264" s="175">
        <v>37</v>
      </c>
      <c r="W264" s="175">
        <v>0</v>
      </c>
      <c r="X264" s="175">
        <v>9540</v>
      </c>
      <c r="Y264" s="175">
        <v>8520</v>
      </c>
      <c r="Z264" s="175">
        <v>5.8775510204081636</v>
      </c>
      <c r="AA264" s="175">
        <v>53.333333333333336</v>
      </c>
      <c r="AB264" s="175">
        <v>0.99182024572649574</v>
      </c>
      <c r="AC264" s="175">
        <v>89.237499999999997</v>
      </c>
      <c r="AD264" s="175">
        <v>6.666666666666667</v>
      </c>
      <c r="AE264" s="175">
        <v>6.25</v>
      </c>
      <c r="AF264" s="175" t="s">
        <v>236</v>
      </c>
      <c r="AG264" s="175">
        <v>1</v>
      </c>
      <c r="AH264" s="175" t="s">
        <v>15337</v>
      </c>
      <c r="AI264" s="175" t="s">
        <v>15337</v>
      </c>
      <c r="AJ264" s="175" t="s">
        <v>652</v>
      </c>
      <c r="AK264" s="175" t="s">
        <v>652</v>
      </c>
      <c r="AL264" s="1159" t="s">
        <v>250</v>
      </c>
      <c r="AM264" s="175" t="s">
        <v>460</v>
      </c>
      <c r="AN264" s="175">
        <v>1.1890000000000001</v>
      </c>
      <c r="AO264" s="175">
        <v>2.9</v>
      </c>
      <c r="AP264" s="175">
        <v>24</v>
      </c>
      <c r="AQ264" s="175">
        <v>216</v>
      </c>
      <c r="AR264" s="175">
        <v>3.9</v>
      </c>
      <c r="AS264" s="192">
        <v>24038.7264</v>
      </c>
    </row>
    <row r="265" spans="1:45" ht="16.5" customHeight="1">
      <c r="A265" s="174">
        <v>46212</v>
      </c>
      <c r="B265" s="175" t="s">
        <v>238</v>
      </c>
      <c r="C265" s="175" t="s">
        <v>17248</v>
      </c>
      <c r="D265" s="175" t="s">
        <v>633</v>
      </c>
      <c r="E265" s="175" t="s">
        <v>16719</v>
      </c>
      <c r="F265" s="175" t="s">
        <v>17249</v>
      </c>
      <c r="G265" s="175">
        <v>600</v>
      </c>
      <c r="H265" s="175" t="s">
        <v>877</v>
      </c>
      <c r="I265" s="175">
        <v>5.5</v>
      </c>
      <c r="J265" s="175">
        <v>44</v>
      </c>
      <c r="K265" s="175">
        <v>3</v>
      </c>
      <c r="L265" s="175">
        <v>9630</v>
      </c>
      <c r="M265" s="175">
        <v>9630</v>
      </c>
      <c r="N265" s="175">
        <v>21</v>
      </c>
      <c r="O265" s="175">
        <v>2</v>
      </c>
      <c r="P265" s="175">
        <v>9630</v>
      </c>
      <c r="Q265" s="175">
        <v>9170</v>
      </c>
      <c r="R265" s="175">
        <v>25</v>
      </c>
      <c r="S265" s="175">
        <v>5</v>
      </c>
      <c r="T265" s="175">
        <v>9350</v>
      </c>
      <c r="U265" s="175">
        <v>9350</v>
      </c>
      <c r="V265" s="175">
        <v>36</v>
      </c>
      <c r="W265" s="175">
        <v>4</v>
      </c>
      <c r="X265" s="175">
        <v>9540</v>
      </c>
      <c r="Y265" s="175">
        <v>9720</v>
      </c>
      <c r="Z265" s="175">
        <v>5.034965034965035</v>
      </c>
      <c r="AA265" s="175">
        <v>42</v>
      </c>
      <c r="AB265" s="175">
        <v>0.98663194444444446</v>
      </c>
      <c r="AC265" s="175">
        <v>95.025000000000006</v>
      </c>
      <c r="AD265" s="175">
        <v>5.25</v>
      </c>
      <c r="AE265" s="175">
        <v>4.666666666666667</v>
      </c>
      <c r="AF265" s="175" t="s">
        <v>236</v>
      </c>
      <c r="AG265" s="175">
        <v>1</v>
      </c>
      <c r="AH265" s="175" t="s">
        <v>15337</v>
      </c>
      <c r="AI265" s="175" t="s">
        <v>15337</v>
      </c>
      <c r="AJ265" s="175" t="s">
        <v>639</v>
      </c>
      <c r="AK265" s="175" t="s">
        <v>639</v>
      </c>
      <c r="AL265" s="1159" t="s">
        <v>251</v>
      </c>
      <c r="AM265" s="175" t="s">
        <v>460</v>
      </c>
      <c r="AN265" s="175">
        <v>1.1890000000000001</v>
      </c>
      <c r="AO265" s="175">
        <v>2.8</v>
      </c>
      <c r="AP265" s="175">
        <v>24</v>
      </c>
      <c r="AQ265" s="175">
        <v>216</v>
      </c>
      <c r="AR265" s="175">
        <v>3.8</v>
      </c>
      <c r="AS265" s="192">
        <v>23422.3488</v>
      </c>
    </row>
    <row r="266" spans="1:45" ht="16.5" customHeight="1">
      <c r="A266" s="174">
        <v>46212</v>
      </c>
      <c r="B266" s="175" t="s">
        <v>239</v>
      </c>
      <c r="C266" s="175" t="s">
        <v>17266</v>
      </c>
      <c r="E266" s="175" t="s">
        <v>754</v>
      </c>
      <c r="F266" s="175" t="s">
        <v>17267</v>
      </c>
      <c r="G266" s="175">
        <v>600</v>
      </c>
      <c r="H266" s="175" t="s">
        <v>842</v>
      </c>
      <c r="I266" s="175">
        <v>4</v>
      </c>
      <c r="J266" s="175">
        <v>14</v>
      </c>
      <c r="K266" s="175">
        <v>4</v>
      </c>
      <c r="L266" s="175">
        <v>9170</v>
      </c>
      <c r="N266" s="175">
        <v>11</v>
      </c>
      <c r="O266" s="175">
        <v>0</v>
      </c>
      <c r="P266" s="175">
        <v>9630</v>
      </c>
      <c r="R266" s="175">
        <v>10</v>
      </c>
      <c r="S266" s="175">
        <v>0</v>
      </c>
      <c r="T266" s="175">
        <v>9630</v>
      </c>
      <c r="V266" s="175">
        <v>11</v>
      </c>
      <c r="W266" s="175">
        <v>0</v>
      </c>
      <c r="X266" s="175">
        <v>9540</v>
      </c>
      <c r="Z266" s="175">
        <v>3.6</v>
      </c>
      <c r="AA266" s="175">
        <v>30.666666666666668</v>
      </c>
      <c r="AB266" s="175">
        <v>0.99465811965811968</v>
      </c>
      <c r="AC266" s="175">
        <v>94.924999999999997</v>
      </c>
      <c r="AD266" s="175">
        <v>3.8333333333333335</v>
      </c>
      <c r="AE266" s="175">
        <v>3.5</v>
      </c>
      <c r="AF266" s="175" t="s">
        <v>236</v>
      </c>
      <c r="AG266" s="175">
        <v>2</v>
      </c>
      <c r="AH266" s="175" t="s">
        <v>638</v>
      </c>
      <c r="AI266" s="175" t="s">
        <v>638</v>
      </c>
      <c r="AJ266" s="175" t="s">
        <v>652</v>
      </c>
      <c r="AK266" s="175" t="s">
        <v>652</v>
      </c>
      <c r="AL266" s="1159" t="s">
        <v>251</v>
      </c>
      <c r="AM266" s="175" t="s">
        <v>126</v>
      </c>
      <c r="AN266" s="175">
        <v>0.91100000000000003</v>
      </c>
      <c r="AO266" s="175">
        <v>1.5</v>
      </c>
      <c r="AP266" s="175">
        <v>24</v>
      </c>
      <c r="AQ266" s="175">
        <v>216</v>
      </c>
      <c r="AR266" s="175">
        <v>2.5</v>
      </c>
      <c r="AS266" s="192">
        <v>11806.560000000001</v>
      </c>
    </row>
    <row r="267" spans="1:45" ht="16.5" customHeight="1">
      <c r="A267" s="174">
        <v>46212</v>
      </c>
      <c r="B267" s="175" t="s">
        <v>239</v>
      </c>
      <c r="C267" s="175" t="s">
        <v>17241</v>
      </c>
      <c r="E267" s="175" t="s">
        <v>16723</v>
      </c>
      <c r="F267" s="175" t="s">
        <v>17243</v>
      </c>
      <c r="G267" s="175">
        <v>550</v>
      </c>
      <c r="H267" s="175" t="s">
        <v>868</v>
      </c>
      <c r="I267" s="175">
        <v>5.5</v>
      </c>
      <c r="J267" s="175">
        <v>36</v>
      </c>
      <c r="K267" s="175">
        <v>4</v>
      </c>
      <c r="M267" s="175">
        <v>9070</v>
      </c>
      <c r="N267" s="175">
        <v>8</v>
      </c>
      <c r="O267" s="175">
        <v>3</v>
      </c>
      <c r="Q267" s="175">
        <v>9540</v>
      </c>
      <c r="R267" s="175">
        <v>6</v>
      </c>
      <c r="S267" s="175">
        <v>0</v>
      </c>
      <c r="U267" s="175">
        <v>9540</v>
      </c>
      <c r="V267" s="175">
        <v>11</v>
      </c>
      <c r="W267" s="175">
        <v>0</v>
      </c>
      <c r="Y267" s="175">
        <v>9440</v>
      </c>
      <c r="Z267" s="175">
        <v>6.6055045871559646</v>
      </c>
      <c r="AA267" s="175">
        <v>40.666666666666664</v>
      </c>
      <c r="AB267" s="175">
        <v>0.9949051816239316</v>
      </c>
      <c r="AC267" s="175">
        <v>93.974999999999994</v>
      </c>
      <c r="AD267" s="175">
        <v>5.083333333333333</v>
      </c>
      <c r="AE267" s="175">
        <v>4.5</v>
      </c>
      <c r="AF267" s="175" t="s">
        <v>236</v>
      </c>
      <c r="AG267" s="175">
        <v>2</v>
      </c>
      <c r="AH267" s="175" t="s">
        <v>638</v>
      </c>
      <c r="AI267" s="175" t="s">
        <v>638</v>
      </c>
      <c r="AJ267" s="175" t="s">
        <v>652</v>
      </c>
      <c r="AK267" s="175" t="s">
        <v>652</v>
      </c>
      <c r="AM267" s="175" t="s">
        <v>643</v>
      </c>
      <c r="AN267" s="175">
        <v>1.859</v>
      </c>
      <c r="AO267" s="175">
        <v>3.3</v>
      </c>
      <c r="AP267" s="175">
        <v>24</v>
      </c>
      <c r="AQ267" s="175">
        <v>216</v>
      </c>
      <c r="AR267" s="175">
        <v>4.3</v>
      </c>
      <c r="AS267" s="192">
        <v>41439.340799999998</v>
      </c>
    </row>
    <row r="268" spans="1:45" ht="16.5" customHeight="1">
      <c r="A268" s="174">
        <v>46212</v>
      </c>
      <c r="B268" s="175" t="s">
        <v>388</v>
      </c>
      <c r="C268" s="175" t="s">
        <v>17296</v>
      </c>
      <c r="D268" s="175" t="s">
        <v>633</v>
      </c>
      <c r="E268" s="175" t="s">
        <v>16719</v>
      </c>
      <c r="F268" s="175" t="s">
        <v>17290</v>
      </c>
      <c r="G268" s="175">
        <v>700</v>
      </c>
      <c r="H268" s="175" t="s">
        <v>15541</v>
      </c>
      <c r="I268" s="175">
        <v>5.5</v>
      </c>
      <c r="J268" s="175">
        <v>19</v>
      </c>
      <c r="K268" s="175">
        <v>0</v>
      </c>
      <c r="L268" s="175">
        <v>9810</v>
      </c>
      <c r="M268" s="175" t="s">
        <v>17315</v>
      </c>
      <c r="N268" s="175">
        <v>9</v>
      </c>
      <c r="O268" s="175">
        <v>1</v>
      </c>
      <c r="P268" s="175">
        <v>10000</v>
      </c>
      <c r="Q268" s="175" t="s">
        <v>17315</v>
      </c>
      <c r="R268" s="175">
        <v>4</v>
      </c>
      <c r="S268" s="175">
        <v>0</v>
      </c>
      <c r="T268" s="175">
        <v>10000</v>
      </c>
      <c r="U268" s="175" t="s">
        <v>17315</v>
      </c>
      <c r="V268" s="175">
        <v>14</v>
      </c>
      <c r="W268" s="175">
        <v>2</v>
      </c>
      <c r="X268" s="175">
        <v>9910</v>
      </c>
      <c r="Y268" s="175" t="s">
        <v>17315</v>
      </c>
      <c r="Z268" s="175">
        <v>5.8299595141700413</v>
      </c>
      <c r="AA268" s="175">
        <v>30.666666666666668</v>
      </c>
      <c r="AB268" s="175">
        <v>0.9975260416666667</v>
      </c>
      <c r="AC268" s="175">
        <v>99.3</v>
      </c>
      <c r="AD268" s="175">
        <v>3.8333333333333335</v>
      </c>
      <c r="AE268" s="175">
        <v>3.5833333333333335</v>
      </c>
      <c r="AF268" s="175" t="s">
        <v>236</v>
      </c>
      <c r="AG268" s="175">
        <v>2</v>
      </c>
      <c r="AH268" s="175" t="s">
        <v>638</v>
      </c>
      <c r="AI268" s="175" t="s">
        <v>638</v>
      </c>
      <c r="AJ268" s="175" t="s">
        <v>639</v>
      </c>
      <c r="AK268" s="175" t="s">
        <v>639</v>
      </c>
      <c r="AL268" s="1159" t="s">
        <v>251</v>
      </c>
      <c r="AM268" s="175" t="s">
        <v>460</v>
      </c>
      <c r="AN268" s="175">
        <v>1.1890000000000001</v>
      </c>
      <c r="AO268" s="175">
        <v>2.8</v>
      </c>
      <c r="AP268" s="175">
        <v>24</v>
      </c>
      <c r="AQ268" s="175">
        <v>216</v>
      </c>
      <c r="AR268" s="175">
        <v>3.8</v>
      </c>
      <c r="AS268" s="192">
        <v>23422.3488</v>
      </c>
    </row>
    <row r="269" spans="1:45" ht="16.5" customHeight="1">
      <c r="A269" s="174">
        <v>46212</v>
      </c>
      <c r="B269" s="175" t="s">
        <v>417</v>
      </c>
      <c r="C269" s="175" t="s">
        <v>17291</v>
      </c>
      <c r="D269" s="175" t="s">
        <v>633</v>
      </c>
      <c r="E269" s="175" t="s">
        <v>16719</v>
      </c>
      <c r="F269" s="175" t="s">
        <v>17290</v>
      </c>
      <c r="G269" s="175">
        <v>700</v>
      </c>
      <c r="H269" s="175" t="s">
        <v>724</v>
      </c>
      <c r="I269" s="175">
        <v>5.5</v>
      </c>
      <c r="J269" s="175">
        <v>52</v>
      </c>
      <c r="K269" s="175">
        <v>15</v>
      </c>
      <c r="L269" s="175">
        <v>9440</v>
      </c>
      <c r="M269" s="175">
        <v>9630</v>
      </c>
      <c r="N269" s="175">
        <v>14</v>
      </c>
      <c r="O269" s="175">
        <v>0</v>
      </c>
      <c r="P269" s="175">
        <v>9910</v>
      </c>
      <c r="Q269" s="175">
        <v>9630</v>
      </c>
      <c r="R269" s="175">
        <v>5</v>
      </c>
      <c r="S269" s="175">
        <v>0</v>
      </c>
      <c r="T269" s="175">
        <v>9910</v>
      </c>
      <c r="U269" s="175">
        <v>9630</v>
      </c>
      <c r="V269" s="175">
        <v>22</v>
      </c>
      <c r="W269" s="175">
        <v>1</v>
      </c>
      <c r="X269" s="175">
        <v>9910</v>
      </c>
      <c r="Y269" s="175">
        <v>9630</v>
      </c>
      <c r="Z269" s="175">
        <v>5.8299595141700413</v>
      </c>
      <c r="AA269" s="175">
        <v>31</v>
      </c>
      <c r="AB269" s="175">
        <v>0.9868055555555556</v>
      </c>
      <c r="AC269" s="175">
        <v>97.112499999999997</v>
      </c>
      <c r="AD269" s="175">
        <v>3.875</v>
      </c>
      <c r="AE269" s="175">
        <v>3.2083333333333335</v>
      </c>
      <c r="AF269" s="175" t="s">
        <v>236</v>
      </c>
      <c r="AG269" s="175">
        <v>1</v>
      </c>
      <c r="AH269" s="175" t="s">
        <v>638</v>
      </c>
      <c r="AI269" s="175" t="s">
        <v>638</v>
      </c>
      <c r="AJ269" s="175" t="s">
        <v>652</v>
      </c>
      <c r="AK269" s="175" t="s">
        <v>835</v>
      </c>
      <c r="AL269" s="1159" t="s">
        <v>251</v>
      </c>
      <c r="AM269" s="175" t="s">
        <v>460</v>
      </c>
      <c r="AN269" s="175">
        <v>1.1890000000000001</v>
      </c>
      <c r="AO269" s="175">
        <v>2.8</v>
      </c>
      <c r="AP269" s="175">
        <v>24</v>
      </c>
      <c r="AQ269" s="175">
        <v>216</v>
      </c>
      <c r="AR269" s="175">
        <v>3.8</v>
      </c>
      <c r="AS269" s="192">
        <v>23422.3488</v>
      </c>
    </row>
    <row r="270" spans="1:45" ht="16.5" customHeight="1">
      <c r="A270" s="174">
        <v>46212</v>
      </c>
      <c r="B270" s="175" t="s">
        <v>240</v>
      </c>
      <c r="C270" s="175" t="s">
        <v>17429</v>
      </c>
      <c r="E270" s="175" t="s">
        <v>17434</v>
      </c>
      <c r="F270" s="175" t="s">
        <v>17435</v>
      </c>
      <c r="G270" s="175">
        <v>550</v>
      </c>
      <c r="H270" s="175" t="s">
        <v>884</v>
      </c>
      <c r="I270" s="175">
        <v>4</v>
      </c>
      <c r="L270" s="175" t="s">
        <v>642</v>
      </c>
      <c r="P270" s="175" t="s">
        <v>642</v>
      </c>
      <c r="T270" s="175" t="s">
        <v>477</v>
      </c>
      <c r="V270" s="175">
        <v>7</v>
      </c>
      <c r="W270" s="175">
        <v>0</v>
      </c>
      <c r="X270" s="175">
        <v>2868</v>
      </c>
      <c r="Z270" s="175">
        <v>1.6179775280898876</v>
      </c>
      <c r="AA270" s="175" t="s">
        <v>642</v>
      </c>
      <c r="AB270" s="175" t="s">
        <v>419</v>
      </c>
      <c r="AC270" s="175" t="s">
        <v>419</v>
      </c>
      <c r="AD270" s="175" t="s">
        <v>419</v>
      </c>
      <c r="AE270" s="175" t="s">
        <v>419</v>
      </c>
      <c r="AF270" s="175" t="s">
        <v>241</v>
      </c>
      <c r="AG270" s="175">
        <v>12</v>
      </c>
      <c r="AH270" s="175" t="s">
        <v>640</v>
      </c>
      <c r="AI270" s="175" t="s">
        <v>640</v>
      </c>
      <c r="AJ270" s="175" t="s">
        <v>640</v>
      </c>
      <c r="AK270" s="175" t="s">
        <v>640</v>
      </c>
      <c r="AL270" s="1159" t="s">
        <v>251</v>
      </c>
      <c r="AM270" s="175" t="s">
        <v>626</v>
      </c>
      <c r="AN270" s="175">
        <v>0.66900000000000004</v>
      </c>
      <c r="AO270" s="175">
        <v>1.6</v>
      </c>
      <c r="AP270" s="175">
        <v>24</v>
      </c>
      <c r="AQ270" s="175">
        <v>108</v>
      </c>
      <c r="AR270" s="175">
        <v>2.6</v>
      </c>
      <c r="AS270" s="192">
        <v>4508.5248000000011</v>
      </c>
    </row>
    <row r="271" spans="1:45" ht="16.5" customHeight="1">
      <c r="A271" s="174">
        <v>46212</v>
      </c>
      <c r="B271" s="175" t="s">
        <v>242</v>
      </c>
      <c r="C271" s="175" t="s">
        <v>385</v>
      </c>
      <c r="E271" s="175" t="s">
        <v>419</v>
      </c>
      <c r="F271" s="175" t="s">
        <v>419</v>
      </c>
      <c r="G271" s="175" t="s">
        <v>419</v>
      </c>
      <c r="H271" s="175" t="s">
        <v>419</v>
      </c>
      <c r="I271" s="175" t="s">
        <v>419</v>
      </c>
      <c r="L271" s="175" t="s">
        <v>385</v>
      </c>
      <c r="P271" s="175" t="s">
        <v>385</v>
      </c>
      <c r="T271" s="175" t="s">
        <v>385</v>
      </c>
      <c r="X271" s="175" t="s">
        <v>385</v>
      </c>
      <c r="Z271" s="175" t="s">
        <v>419</v>
      </c>
      <c r="AA271" s="175" t="s">
        <v>385</v>
      </c>
      <c r="AB271" s="175" t="s">
        <v>419</v>
      </c>
      <c r="AC271" s="175" t="s">
        <v>419</v>
      </c>
      <c r="AD271" s="175" t="s">
        <v>419</v>
      </c>
      <c r="AE271" s="175" t="s">
        <v>419</v>
      </c>
      <c r="AF271" s="175" t="s">
        <v>241</v>
      </c>
      <c r="AG271" s="175">
        <v>5</v>
      </c>
      <c r="AH271" s="175" t="s">
        <v>815</v>
      </c>
      <c r="AI271" s="175" t="s">
        <v>815</v>
      </c>
      <c r="AJ271" s="175" t="s">
        <v>636</v>
      </c>
      <c r="AK271" s="175" t="s">
        <v>636</v>
      </c>
      <c r="AL271" s="1159" t="s">
        <v>419</v>
      </c>
      <c r="AM271" s="175" t="s">
        <v>419</v>
      </c>
      <c r="AN271" s="175" t="s">
        <v>419</v>
      </c>
      <c r="AO271" s="175" t="s">
        <v>419</v>
      </c>
      <c r="AP271" s="175">
        <v>24</v>
      </c>
      <c r="AQ271" s="175">
        <v>216</v>
      </c>
      <c r="AR271" s="175" t="s">
        <v>419</v>
      </c>
      <c r="AS271" s="192" t="s">
        <v>419</v>
      </c>
    </row>
    <row r="272" spans="1:45" ht="16.5" customHeight="1">
      <c r="A272" s="174">
        <v>46213</v>
      </c>
      <c r="B272" s="175" t="s">
        <v>212</v>
      </c>
      <c r="C272" s="175" t="s">
        <v>632</v>
      </c>
      <c r="E272" s="175" t="s">
        <v>419</v>
      </c>
      <c r="F272" s="175" t="s">
        <v>419</v>
      </c>
      <c r="G272" s="175" t="s">
        <v>419</v>
      </c>
      <c r="H272" s="175" t="s">
        <v>419</v>
      </c>
      <c r="I272" s="175" t="s">
        <v>419</v>
      </c>
      <c r="L272" s="175" t="s">
        <v>632</v>
      </c>
      <c r="P272" s="175" t="s">
        <v>632</v>
      </c>
      <c r="T272" s="175" t="s">
        <v>632</v>
      </c>
      <c r="X272" s="175" t="s">
        <v>632</v>
      </c>
      <c r="Z272" s="175" t="s">
        <v>419</v>
      </c>
      <c r="AA272" s="175" t="s">
        <v>632</v>
      </c>
      <c r="AB272" s="175" t="s">
        <v>419</v>
      </c>
      <c r="AC272" s="175" t="s">
        <v>419</v>
      </c>
      <c r="AD272" s="175" t="s">
        <v>419</v>
      </c>
      <c r="AE272" s="175" t="s">
        <v>419</v>
      </c>
      <c r="AF272" s="175" t="s">
        <v>213</v>
      </c>
      <c r="AG272" s="175">
        <v>1</v>
      </c>
      <c r="AH272" s="175" t="s">
        <v>640</v>
      </c>
      <c r="AI272" s="175" t="s">
        <v>640</v>
      </c>
      <c r="AJ272" s="175" t="s">
        <v>640</v>
      </c>
      <c r="AK272" s="175" t="s">
        <v>640</v>
      </c>
      <c r="AL272" s="1159" t="s">
        <v>419</v>
      </c>
      <c r="AM272" s="175" t="s">
        <v>419</v>
      </c>
      <c r="AN272" s="175" t="s">
        <v>419</v>
      </c>
      <c r="AO272" s="175" t="s">
        <v>419</v>
      </c>
      <c r="AP272" s="175">
        <v>24</v>
      </c>
      <c r="AQ272" s="175">
        <v>216</v>
      </c>
      <c r="AR272" s="175" t="s">
        <v>419</v>
      </c>
      <c r="AS272" s="192" t="s">
        <v>419</v>
      </c>
    </row>
    <row r="273" spans="1:45" ht="16.5" customHeight="1">
      <c r="A273" s="174">
        <v>46213</v>
      </c>
      <c r="B273" s="175" t="s">
        <v>214</v>
      </c>
      <c r="C273" s="175" t="s">
        <v>632</v>
      </c>
      <c r="E273" s="175" t="s">
        <v>419</v>
      </c>
      <c r="F273" s="175" t="s">
        <v>419</v>
      </c>
      <c r="G273" s="175" t="s">
        <v>419</v>
      </c>
      <c r="H273" s="175" t="s">
        <v>419</v>
      </c>
      <c r="I273" s="175" t="s">
        <v>419</v>
      </c>
      <c r="L273" s="175" t="s">
        <v>632</v>
      </c>
      <c r="P273" s="175" t="s">
        <v>632</v>
      </c>
      <c r="T273" s="175" t="s">
        <v>632</v>
      </c>
      <c r="X273" s="175" t="s">
        <v>632</v>
      </c>
      <c r="Z273" s="175" t="s">
        <v>419</v>
      </c>
      <c r="AA273" s="175" t="s">
        <v>632</v>
      </c>
      <c r="AB273" s="175" t="s">
        <v>419</v>
      </c>
      <c r="AC273" s="175" t="s">
        <v>419</v>
      </c>
      <c r="AD273" s="175" t="s">
        <v>419</v>
      </c>
      <c r="AE273" s="175" t="s">
        <v>419</v>
      </c>
      <c r="AF273" s="175" t="s">
        <v>213</v>
      </c>
      <c r="AG273" s="175">
        <v>1</v>
      </c>
      <c r="AH273" s="175" t="s">
        <v>640</v>
      </c>
      <c r="AI273" s="175" t="s">
        <v>640</v>
      </c>
      <c r="AJ273" s="175" t="s">
        <v>640</v>
      </c>
      <c r="AK273" s="175" t="s">
        <v>640</v>
      </c>
      <c r="AL273" s="1159" t="s">
        <v>419</v>
      </c>
      <c r="AM273" s="175" t="s">
        <v>419</v>
      </c>
      <c r="AN273" s="175" t="s">
        <v>419</v>
      </c>
      <c r="AO273" s="175" t="s">
        <v>419</v>
      </c>
      <c r="AP273" s="175">
        <v>24</v>
      </c>
      <c r="AQ273" s="175">
        <v>216</v>
      </c>
      <c r="AR273" s="175" t="s">
        <v>419</v>
      </c>
      <c r="AS273" s="192" t="s">
        <v>419</v>
      </c>
    </row>
    <row r="274" spans="1:45" ht="16.5" customHeight="1">
      <c r="A274" s="174">
        <v>46213</v>
      </c>
      <c r="B274" s="175" t="s">
        <v>215</v>
      </c>
      <c r="C274" s="175" t="s">
        <v>17316</v>
      </c>
      <c r="E274" s="175" t="s">
        <v>5005</v>
      </c>
      <c r="F274" s="175" t="s">
        <v>17317</v>
      </c>
      <c r="G274" s="175">
        <v>500</v>
      </c>
      <c r="H274" s="175" t="s">
        <v>1186</v>
      </c>
      <c r="I274" s="175">
        <v>4</v>
      </c>
      <c r="J274" s="175">
        <v>28</v>
      </c>
      <c r="K274" s="175">
        <v>0</v>
      </c>
      <c r="L274" s="175">
        <v>8095</v>
      </c>
      <c r="M274" s="175">
        <v>7315</v>
      </c>
      <c r="N274" s="175">
        <v>20</v>
      </c>
      <c r="O274" s="175">
        <v>0</v>
      </c>
      <c r="P274" s="175">
        <v>8031</v>
      </c>
      <c r="Q274" s="175">
        <v>7071</v>
      </c>
      <c r="R274" s="175">
        <v>6</v>
      </c>
      <c r="S274" s="175">
        <v>0</v>
      </c>
      <c r="T274" s="175">
        <v>8103</v>
      </c>
      <c r="U274" s="175">
        <v>6991</v>
      </c>
      <c r="V274" s="175">
        <v>26</v>
      </c>
      <c r="W274" s="175">
        <v>4</v>
      </c>
      <c r="X274" s="175">
        <v>7703</v>
      </c>
      <c r="Y274" s="175">
        <v>6912</v>
      </c>
      <c r="Z274" s="175">
        <v>2.9937629937629939</v>
      </c>
      <c r="AA274" s="175">
        <v>26.666666666666668</v>
      </c>
      <c r="AB274" s="175">
        <v>0.99357638888888888</v>
      </c>
      <c r="AC274" s="175">
        <v>75.276250000000005</v>
      </c>
      <c r="AD274" s="175">
        <v>3.3333333333333335</v>
      </c>
      <c r="AE274" s="175">
        <v>3.1666666666666665</v>
      </c>
      <c r="AF274" s="175" t="s">
        <v>213</v>
      </c>
      <c r="AG274" s="175">
        <v>1</v>
      </c>
      <c r="AH274" s="175" t="s">
        <v>629</v>
      </c>
      <c r="AI274" s="175" t="s">
        <v>629</v>
      </c>
      <c r="AJ274" s="175" t="s">
        <v>637</v>
      </c>
      <c r="AK274" s="175" t="s">
        <v>637</v>
      </c>
      <c r="AL274" s="1159" t="s">
        <v>250</v>
      </c>
      <c r="AM274" s="175" t="s">
        <v>126</v>
      </c>
      <c r="AN274" s="175">
        <v>0.91100000000000003</v>
      </c>
      <c r="AO274" s="175">
        <v>1.9</v>
      </c>
      <c r="AP274" s="175">
        <v>24</v>
      </c>
      <c r="AQ274" s="175">
        <v>216</v>
      </c>
      <c r="AR274" s="175">
        <v>2.9</v>
      </c>
      <c r="AS274" s="192">
        <v>13695.6096</v>
      </c>
    </row>
    <row r="275" spans="1:45" ht="16.5" customHeight="1">
      <c r="A275" s="174">
        <v>46213</v>
      </c>
      <c r="B275" s="175" t="s">
        <v>216</v>
      </c>
      <c r="C275" s="175" t="s">
        <v>632</v>
      </c>
      <c r="E275" s="175" t="s">
        <v>419</v>
      </c>
      <c r="F275" s="175" t="s">
        <v>419</v>
      </c>
      <c r="G275" s="175" t="s">
        <v>419</v>
      </c>
      <c r="H275" s="175" t="s">
        <v>419</v>
      </c>
      <c r="I275" s="175" t="s">
        <v>419</v>
      </c>
      <c r="L275" s="175" t="s">
        <v>632</v>
      </c>
      <c r="P275" s="175" t="s">
        <v>632</v>
      </c>
      <c r="T275" s="175" t="s">
        <v>632</v>
      </c>
      <c r="X275" s="175" t="s">
        <v>632</v>
      </c>
      <c r="Z275" s="175" t="s">
        <v>419</v>
      </c>
      <c r="AA275" s="175" t="s">
        <v>632</v>
      </c>
      <c r="AB275" s="175" t="s">
        <v>419</v>
      </c>
      <c r="AC275" s="175" t="s">
        <v>419</v>
      </c>
      <c r="AD275" s="175" t="s">
        <v>419</v>
      </c>
      <c r="AE275" s="175" t="s">
        <v>419</v>
      </c>
      <c r="AF275" s="175" t="s">
        <v>213</v>
      </c>
      <c r="AG275" s="175">
        <v>1</v>
      </c>
      <c r="AH275" s="175" t="s">
        <v>640</v>
      </c>
      <c r="AI275" s="175" t="s">
        <v>640</v>
      </c>
      <c r="AJ275" s="175" t="s">
        <v>640</v>
      </c>
      <c r="AK275" s="175" t="s">
        <v>640</v>
      </c>
      <c r="AL275" s="1159" t="s">
        <v>419</v>
      </c>
      <c r="AM275" s="175" t="s">
        <v>419</v>
      </c>
      <c r="AN275" s="175" t="s">
        <v>419</v>
      </c>
      <c r="AO275" s="175" t="s">
        <v>419</v>
      </c>
      <c r="AP275" s="175">
        <v>24</v>
      </c>
      <c r="AQ275" s="175">
        <v>216</v>
      </c>
      <c r="AR275" s="175" t="s">
        <v>419</v>
      </c>
      <c r="AS275" s="192" t="s">
        <v>419</v>
      </c>
    </row>
    <row r="276" spans="1:45" ht="16.5" customHeight="1">
      <c r="A276" s="174">
        <v>46213</v>
      </c>
      <c r="B276" s="175" t="s">
        <v>217</v>
      </c>
      <c r="C276" s="175" t="s">
        <v>17380</v>
      </c>
      <c r="E276" s="175" t="s">
        <v>17381</v>
      </c>
      <c r="F276" s="175" t="s">
        <v>17382</v>
      </c>
      <c r="G276" s="175">
        <v>680</v>
      </c>
      <c r="H276" s="175" t="s">
        <v>16728</v>
      </c>
      <c r="I276" s="175">
        <v>5</v>
      </c>
      <c r="J276" s="175">
        <v>8</v>
      </c>
      <c r="K276" s="175">
        <v>0</v>
      </c>
      <c r="L276" s="175">
        <v>8923</v>
      </c>
      <c r="M276" s="175">
        <v>9289</v>
      </c>
      <c r="N276" s="175">
        <v>6</v>
      </c>
      <c r="O276" s="175">
        <v>0</v>
      </c>
      <c r="P276" s="175">
        <v>9034</v>
      </c>
      <c r="Q276" s="175">
        <v>9403</v>
      </c>
      <c r="R276" s="175">
        <v>2</v>
      </c>
      <c r="S276" s="175">
        <v>0</v>
      </c>
      <c r="T276" s="175">
        <v>8979</v>
      </c>
      <c r="U276" s="175">
        <v>9428</v>
      </c>
      <c r="V276" s="175">
        <v>13</v>
      </c>
      <c r="W276" s="175">
        <v>0</v>
      </c>
      <c r="X276" s="175">
        <v>8912</v>
      </c>
      <c r="Y276" s="175">
        <v>9226</v>
      </c>
      <c r="Z276" s="175">
        <v>1.5824175824175823</v>
      </c>
      <c r="AA276" s="175">
        <v>9.6666666666666661</v>
      </c>
      <c r="AB276" s="175">
        <v>1</v>
      </c>
      <c r="AC276" s="175">
        <v>91.492500000000007</v>
      </c>
      <c r="AD276" s="175">
        <v>1.2083333333333333</v>
      </c>
      <c r="AE276" s="175">
        <v>1.2083333333333333</v>
      </c>
      <c r="AF276" s="175" t="s">
        <v>213</v>
      </c>
      <c r="AG276" s="175">
        <v>1</v>
      </c>
      <c r="AH276" s="175" t="s">
        <v>629</v>
      </c>
      <c r="AI276" s="175" t="s">
        <v>629</v>
      </c>
      <c r="AJ276" s="175" t="s">
        <v>15368</v>
      </c>
      <c r="AK276" s="175" t="s">
        <v>15368</v>
      </c>
      <c r="AL276" s="1159" t="s">
        <v>251</v>
      </c>
      <c r="AM276" s="175" t="s">
        <v>126</v>
      </c>
      <c r="AN276" s="175">
        <v>0.91100000000000003</v>
      </c>
      <c r="AO276" s="175">
        <v>1.3</v>
      </c>
      <c r="AP276" s="175">
        <v>24</v>
      </c>
      <c r="AQ276" s="175">
        <v>216</v>
      </c>
      <c r="AR276" s="175">
        <v>2.2999999999999998</v>
      </c>
      <c r="AS276" s="192">
        <v>10862.035199999998</v>
      </c>
    </row>
    <row r="277" spans="1:45" ht="16.5" customHeight="1">
      <c r="A277" s="174">
        <v>46213</v>
      </c>
      <c r="B277" s="175" t="s">
        <v>218</v>
      </c>
      <c r="C277" s="175" t="s">
        <v>17221</v>
      </c>
      <c r="E277" s="175" t="s">
        <v>17237</v>
      </c>
      <c r="F277" s="175" t="s">
        <v>17229</v>
      </c>
      <c r="G277" s="175">
        <v>600</v>
      </c>
      <c r="H277" s="175" t="s">
        <v>15893</v>
      </c>
      <c r="I277" s="175">
        <v>5</v>
      </c>
      <c r="J277" s="175">
        <v>14</v>
      </c>
      <c r="K277" s="175">
        <v>0</v>
      </c>
      <c r="L277" s="175">
        <v>9182</v>
      </c>
      <c r="M277" s="175">
        <v>9583</v>
      </c>
      <c r="N277" s="175">
        <v>2</v>
      </c>
      <c r="O277" s="175">
        <v>0</v>
      </c>
      <c r="P277" s="175">
        <v>9209</v>
      </c>
      <c r="Q277" s="175">
        <v>9630</v>
      </c>
      <c r="R277" s="175">
        <v>6</v>
      </c>
      <c r="S277" s="175">
        <v>0</v>
      </c>
      <c r="T277" s="175">
        <v>9197</v>
      </c>
      <c r="U277" s="175">
        <v>9462</v>
      </c>
      <c r="V277" s="175">
        <v>20</v>
      </c>
      <c r="W277" s="175">
        <v>0</v>
      </c>
      <c r="X277" s="175">
        <v>9135</v>
      </c>
      <c r="Y277" s="175">
        <v>9105</v>
      </c>
      <c r="Z277" s="175">
        <v>2.8015564202334629</v>
      </c>
      <c r="AA277" s="175">
        <v>7</v>
      </c>
      <c r="AB277" s="175">
        <v>1</v>
      </c>
      <c r="AC277" s="175">
        <v>93.128749999999997</v>
      </c>
      <c r="AD277" s="175">
        <v>0.875</v>
      </c>
      <c r="AE277" s="175">
        <v>0.875</v>
      </c>
      <c r="AF277" s="175" t="s">
        <v>213</v>
      </c>
      <c r="AG277" s="175">
        <v>0.5</v>
      </c>
      <c r="AH277" s="175" t="s">
        <v>629</v>
      </c>
      <c r="AI277" s="175" t="s">
        <v>629</v>
      </c>
      <c r="AJ277" s="175" t="s">
        <v>15368</v>
      </c>
      <c r="AK277" s="175" t="s">
        <v>15368</v>
      </c>
      <c r="AL277" s="1159" t="s">
        <v>250</v>
      </c>
      <c r="AM277" s="175" t="s">
        <v>126</v>
      </c>
      <c r="AN277" s="175">
        <v>0.91100000000000003</v>
      </c>
      <c r="AO277" s="175">
        <v>1.7</v>
      </c>
      <c r="AP277" s="175">
        <v>24</v>
      </c>
      <c r="AQ277" s="175">
        <v>216</v>
      </c>
      <c r="AR277" s="175">
        <v>2.7</v>
      </c>
      <c r="AS277" s="192">
        <v>12751.084800000001</v>
      </c>
    </row>
    <row r="278" spans="1:45" ht="16.5" customHeight="1">
      <c r="A278" s="174">
        <v>46213</v>
      </c>
      <c r="B278" s="175" t="s">
        <v>219</v>
      </c>
      <c r="C278" s="175" t="s">
        <v>632</v>
      </c>
      <c r="E278" s="175" t="s">
        <v>419</v>
      </c>
      <c r="F278" s="175" t="s">
        <v>419</v>
      </c>
      <c r="G278" s="175" t="s">
        <v>419</v>
      </c>
      <c r="H278" s="175" t="s">
        <v>419</v>
      </c>
      <c r="I278" s="175" t="s">
        <v>419</v>
      </c>
      <c r="L278" s="175" t="s">
        <v>632</v>
      </c>
      <c r="P278" s="175" t="s">
        <v>632</v>
      </c>
      <c r="T278" s="175" t="s">
        <v>632</v>
      </c>
      <c r="X278" s="175" t="s">
        <v>632</v>
      </c>
      <c r="Z278" s="175" t="s">
        <v>419</v>
      </c>
      <c r="AA278" s="175" t="s">
        <v>632</v>
      </c>
      <c r="AB278" s="175" t="s">
        <v>419</v>
      </c>
      <c r="AC278" s="175" t="s">
        <v>419</v>
      </c>
      <c r="AD278" s="175" t="s">
        <v>419</v>
      </c>
      <c r="AE278" s="175" t="s">
        <v>419</v>
      </c>
      <c r="AF278" s="175" t="s">
        <v>213</v>
      </c>
      <c r="AG278" s="175">
        <v>1</v>
      </c>
      <c r="AH278" s="175" t="s">
        <v>640</v>
      </c>
      <c r="AI278" s="175" t="s">
        <v>640</v>
      </c>
      <c r="AJ278" s="175" t="s">
        <v>640</v>
      </c>
      <c r="AK278" s="175" t="s">
        <v>640</v>
      </c>
      <c r="AL278" s="1159" t="s">
        <v>419</v>
      </c>
      <c r="AM278" s="175" t="s">
        <v>419</v>
      </c>
      <c r="AN278" s="175" t="s">
        <v>419</v>
      </c>
      <c r="AO278" s="175" t="s">
        <v>419</v>
      </c>
      <c r="AP278" s="175">
        <v>24</v>
      </c>
      <c r="AQ278" s="175">
        <v>216</v>
      </c>
      <c r="AR278" s="175" t="s">
        <v>419</v>
      </c>
      <c r="AS278" s="192" t="s">
        <v>419</v>
      </c>
    </row>
    <row r="279" spans="1:45" ht="16.5" customHeight="1">
      <c r="A279" s="174">
        <v>46213</v>
      </c>
      <c r="B279" s="175" t="s">
        <v>220</v>
      </c>
      <c r="C279" s="175" t="s">
        <v>17430</v>
      </c>
      <c r="E279" s="175" t="s">
        <v>1891</v>
      </c>
      <c r="F279" s="175" t="s">
        <v>17433</v>
      </c>
      <c r="G279" s="175">
        <v>600</v>
      </c>
      <c r="H279" s="175" t="s">
        <v>474</v>
      </c>
      <c r="I279" s="175">
        <v>4</v>
      </c>
      <c r="J279" s="175">
        <v>50</v>
      </c>
      <c r="K279" s="175">
        <v>6</v>
      </c>
      <c r="L279" s="175">
        <v>7423</v>
      </c>
      <c r="M279" s="175">
        <v>8097</v>
      </c>
      <c r="N279" s="175">
        <v>10</v>
      </c>
      <c r="P279" s="175">
        <v>7670</v>
      </c>
      <c r="Q279" s="175">
        <v>8525</v>
      </c>
      <c r="R279" s="175">
        <v>9</v>
      </c>
      <c r="S279" s="175">
        <v>1</v>
      </c>
      <c r="T279" s="175">
        <v>7840</v>
      </c>
      <c r="U279" s="175">
        <v>8513</v>
      </c>
      <c r="V279" s="175">
        <v>24</v>
      </c>
      <c r="W279" s="175">
        <v>9</v>
      </c>
      <c r="X279" s="175">
        <v>7513</v>
      </c>
      <c r="Y279" s="175">
        <v>8420</v>
      </c>
      <c r="Z279" s="175">
        <v>1.7625458996328029</v>
      </c>
      <c r="AA279" s="175">
        <v>31</v>
      </c>
      <c r="AB279" s="175">
        <v>0.95635683760683765</v>
      </c>
      <c r="AC279" s="175">
        <v>80.001249999999999</v>
      </c>
      <c r="AD279" s="175">
        <v>3.875</v>
      </c>
      <c r="AE279" s="175">
        <v>3.2083333333333335</v>
      </c>
      <c r="AF279" s="175" t="s">
        <v>213</v>
      </c>
      <c r="AG279" s="175">
        <v>1</v>
      </c>
      <c r="AH279" s="175" t="s">
        <v>16113</v>
      </c>
      <c r="AI279" s="175" t="s">
        <v>16113</v>
      </c>
      <c r="AJ279" s="175" t="s">
        <v>637</v>
      </c>
      <c r="AK279" s="175" t="s">
        <v>637</v>
      </c>
      <c r="AL279" s="1159" t="s">
        <v>250</v>
      </c>
      <c r="AM279" s="175" t="s">
        <v>126</v>
      </c>
      <c r="AN279" s="175">
        <v>0.91100000000000003</v>
      </c>
      <c r="AO279" s="175">
        <v>0.7</v>
      </c>
      <c r="AP279" s="175">
        <v>24</v>
      </c>
      <c r="AQ279" s="175">
        <v>216</v>
      </c>
      <c r="AR279" s="175">
        <v>1.7</v>
      </c>
      <c r="AS279" s="192">
        <v>8028.4608000000007</v>
      </c>
    </row>
    <row r="280" spans="1:45" ht="16.5" customHeight="1">
      <c r="A280" s="174">
        <v>46213</v>
      </c>
      <c r="B280" s="175" t="s">
        <v>221</v>
      </c>
      <c r="C280" s="175" t="s">
        <v>632</v>
      </c>
      <c r="E280" s="175" t="s">
        <v>419</v>
      </c>
      <c r="F280" s="175" t="s">
        <v>419</v>
      </c>
      <c r="G280" s="175" t="s">
        <v>419</v>
      </c>
      <c r="H280" s="175" t="s">
        <v>419</v>
      </c>
      <c r="I280" s="175" t="s">
        <v>419</v>
      </c>
      <c r="L280" s="175" t="s">
        <v>632</v>
      </c>
      <c r="P280" s="175" t="s">
        <v>632</v>
      </c>
      <c r="T280" s="175" t="s">
        <v>632</v>
      </c>
      <c r="X280" s="175" t="s">
        <v>632</v>
      </c>
      <c r="Z280" s="175" t="s">
        <v>419</v>
      </c>
      <c r="AA280" s="175" t="s">
        <v>632</v>
      </c>
      <c r="AB280" s="175" t="s">
        <v>419</v>
      </c>
      <c r="AC280" s="175" t="s">
        <v>419</v>
      </c>
      <c r="AD280" s="175" t="s">
        <v>419</v>
      </c>
      <c r="AE280" s="175" t="s">
        <v>419</v>
      </c>
      <c r="AF280" s="175" t="s">
        <v>213</v>
      </c>
      <c r="AG280" s="175">
        <v>1</v>
      </c>
      <c r="AH280" s="175" t="s">
        <v>640</v>
      </c>
      <c r="AI280" s="175" t="s">
        <v>640</v>
      </c>
      <c r="AJ280" s="175" t="s">
        <v>640</v>
      </c>
      <c r="AK280" s="175" t="s">
        <v>640</v>
      </c>
      <c r="AL280" s="1159" t="s">
        <v>419</v>
      </c>
      <c r="AM280" s="175" t="s">
        <v>419</v>
      </c>
      <c r="AN280" s="175" t="s">
        <v>419</v>
      </c>
      <c r="AO280" s="175" t="s">
        <v>419</v>
      </c>
      <c r="AP280" s="175">
        <v>24</v>
      </c>
      <c r="AQ280" s="175">
        <v>216</v>
      </c>
      <c r="AR280" s="175" t="s">
        <v>419</v>
      </c>
      <c r="AS280" s="192" t="s">
        <v>419</v>
      </c>
    </row>
    <row r="281" spans="1:45" ht="16.5" customHeight="1">
      <c r="A281" s="174">
        <v>46213</v>
      </c>
      <c r="B281" s="175" t="s">
        <v>222</v>
      </c>
      <c r="C281" s="175" t="s">
        <v>17261</v>
      </c>
      <c r="D281" s="175" t="s">
        <v>16748</v>
      </c>
      <c r="E281" s="175" t="s">
        <v>17177</v>
      </c>
      <c r="F281" s="175" t="s">
        <v>17262</v>
      </c>
      <c r="G281" s="175">
        <v>550</v>
      </c>
      <c r="H281" s="175" t="s">
        <v>762</v>
      </c>
      <c r="I281" s="175">
        <v>2</v>
      </c>
      <c r="J281" s="175">
        <v>22</v>
      </c>
      <c r="K281" s="175">
        <v>3</v>
      </c>
      <c r="L281" s="175">
        <v>9515</v>
      </c>
      <c r="M281" s="175" t="s">
        <v>632</v>
      </c>
      <c r="N281" s="175">
        <v>11</v>
      </c>
      <c r="O281" s="175">
        <v>1</v>
      </c>
      <c r="P281" s="175">
        <v>9439</v>
      </c>
      <c r="Q281" s="175" t="s">
        <v>632</v>
      </c>
      <c r="T281" s="175" t="s">
        <v>127</v>
      </c>
      <c r="U281" s="175" t="s">
        <v>632</v>
      </c>
      <c r="X281" s="175" t="s">
        <v>127</v>
      </c>
      <c r="Y281" s="175" t="s">
        <v>632</v>
      </c>
      <c r="Z281" s="175">
        <v>2.1686746987951806</v>
      </c>
      <c r="AA281" s="175">
        <v>22</v>
      </c>
      <c r="AB281" s="175">
        <v>0.99113247863247866</v>
      </c>
      <c r="AC281" s="175">
        <v>94.77</v>
      </c>
      <c r="AD281" s="175">
        <v>2.75</v>
      </c>
      <c r="AE281" s="175">
        <v>2.4166666666666665</v>
      </c>
      <c r="AF281" s="175" t="s">
        <v>213</v>
      </c>
      <c r="AG281" s="175">
        <v>2</v>
      </c>
      <c r="AH281" s="175" t="s">
        <v>16113</v>
      </c>
      <c r="AI281" s="175" t="s">
        <v>16113</v>
      </c>
      <c r="AJ281" s="175" t="s">
        <v>15368</v>
      </c>
      <c r="AK281" s="175" t="s">
        <v>15368</v>
      </c>
      <c r="AL281" s="1159" t="s">
        <v>250</v>
      </c>
      <c r="AM281" s="175" t="s">
        <v>126</v>
      </c>
      <c r="AN281" s="175">
        <v>0.91100000000000003</v>
      </c>
      <c r="AO281" s="175">
        <v>0.7</v>
      </c>
      <c r="AP281" s="175">
        <v>24</v>
      </c>
      <c r="AQ281" s="175">
        <v>216</v>
      </c>
      <c r="AR281" s="175">
        <v>1.7</v>
      </c>
      <c r="AS281" s="192">
        <v>8028.4608000000007</v>
      </c>
    </row>
    <row r="282" spans="1:45" ht="16.5" customHeight="1">
      <c r="A282" s="174">
        <v>46213</v>
      </c>
      <c r="B282" s="175" t="s">
        <v>223</v>
      </c>
      <c r="C282" s="175" t="s">
        <v>17263</v>
      </c>
      <c r="D282" s="175" t="s">
        <v>16748</v>
      </c>
      <c r="E282" s="175" t="s">
        <v>17156</v>
      </c>
      <c r="F282" s="175" t="s">
        <v>17264</v>
      </c>
      <c r="G282" s="175">
        <v>600</v>
      </c>
      <c r="H282" s="175" t="s">
        <v>456</v>
      </c>
      <c r="I282" s="175">
        <v>3</v>
      </c>
      <c r="J282" s="175">
        <v>18</v>
      </c>
      <c r="K282" s="175">
        <v>0</v>
      </c>
      <c r="L282" s="175">
        <v>7087</v>
      </c>
      <c r="N282" s="175">
        <v>3</v>
      </c>
      <c r="O282" s="175">
        <v>0</v>
      </c>
      <c r="P282" s="175">
        <v>7270</v>
      </c>
      <c r="R282" s="175">
        <v>2</v>
      </c>
      <c r="S282" s="175">
        <v>0</v>
      </c>
      <c r="T282" s="175">
        <v>7330</v>
      </c>
      <c r="V282" s="175">
        <v>6</v>
      </c>
      <c r="W282" s="175">
        <v>0</v>
      </c>
      <c r="X282" s="175">
        <v>7108</v>
      </c>
      <c r="Z282" s="175">
        <v>2.4</v>
      </c>
      <c r="AA282" s="175">
        <v>19.333333333333332</v>
      </c>
      <c r="AB282" s="175">
        <v>1</v>
      </c>
      <c r="AC282" s="175">
        <v>71.987499999999997</v>
      </c>
      <c r="AD282" s="175">
        <v>2.4166666666666665</v>
      </c>
      <c r="AE282" s="175">
        <v>2.4166666666666665</v>
      </c>
      <c r="AF282" s="175" t="s">
        <v>213</v>
      </c>
      <c r="AG282" s="175">
        <v>2</v>
      </c>
      <c r="AH282" s="175" t="s">
        <v>629</v>
      </c>
      <c r="AI282" s="175" t="s">
        <v>629</v>
      </c>
      <c r="AJ282" s="175" t="s">
        <v>15368</v>
      </c>
      <c r="AK282" s="175" t="s">
        <v>15368</v>
      </c>
      <c r="AL282" s="1159" t="s">
        <v>250</v>
      </c>
      <c r="AM282" s="175" t="s">
        <v>126</v>
      </c>
      <c r="AN282" s="175">
        <v>0.91100000000000003</v>
      </c>
      <c r="AO282" s="175">
        <v>0.8</v>
      </c>
      <c r="AP282" s="175">
        <v>24</v>
      </c>
      <c r="AQ282" s="175">
        <v>216</v>
      </c>
      <c r="AR282" s="175">
        <v>1.8</v>
      </c>
      <c r="AS282" s="192">
        <v>8500.7232000000004</v>
      </c>
    </row>
    <row r="283" spans="1:45" ht="16.5" customHeight="1">
      <c r="A283" s="174">
        <v>46213</v>
      </c>
      <c r="B283" s="175" t="s">
        <v>223</v>
      </c>
      <c r="C283" s="175" t="s">
        <v>17431</v>
      </c>
      <c r="E283" s="175" t="s">
        <v>15035</v>
      </c>
      <c r="F283" s="175" t="s">
        <v>16860</v>
      </c>
      <c r="G283" s="175">
        <v>550</v>
      </c>
      <c r="H283" s="175" t="s">
        <v>622</v>
      </c>
      <c r="I283" s="175">
        <v>5</v>
      </c>
      <c r="M283" s="175" t="s">
        <v>642</v>
      </c>
      <c r="N283" s="175">
        <v>3</v>
      </c>
      <c r="O283" s="175">
        <v>0</v>
      </c>
      <c r="Q283" s="175">
        <v>8020</v>
      </c>
      <c r="R283" s="175">
        <v>1</v>
      </c>
      <c r="S283" s="175">
        <v>0</v>
      </c>
      <c r="U283" s="175">
        <v>8042</v>
      </c>
      <c r="V283" s="175">
        <v>1</v>
      </c>
      <c r="W283" s="175">
        <v>0</v>
      </c>
      <c r="Y283" s="175">
        <v>8023</v>
      </c>
      <c r="Z283" s="175">
        <v>1.3345690454124188</v>
      </c>
      <c r="AA283" s="175">
        <v>3.3333333333333335</v>
      </c>
      <c r="AB283" s="175" t="s">
        <v>419</v>
      </c>
      <c r="AC283" s="175">
        <v>80.283333333333331</v>
      </c>
      <c r="AD283" s="175">
        <v>0.41666666666666669</v>
      </c>
      <c r="AE283" s="175" t="s">
        <v>419</v>
      </c>
      <c r="AF283" s="175" t="s">
        <v>213</v>
      </c>
      <c r="AG283" s="175">
        <v>2</v>
      </c>
      <c r="AH283" s="175" t="s">
        <v>629</v>
      </c>
      <c r="AI283" s="175" t="s">
        <v>629</v>
      </c>
      <c r="AJ283" s="175" t="s">
        <v>15368</v>
      </c>
      <c r="AK283" s="175" t="s">
        <v>15368</v>
      </c>
      <c r="AM283" s="175" t="s">
        <v>126</v>
      </c>
      <c r="AN283" s="175">
        <v>0.91100000000000003</v>
      </c>
      <c r="AO283" s="175">
        <v>0.8</v>
      </c>
      <c r="AP283" s="175">
        <v>24</v>
      </c>
      <c r="AQ283" s="175">
        <v>216</v>
      </c>
      <c r="AR283" s="175">
        <v>1.8</v>
      </c>
      <c r="AS283" s="192">
        <v>8500.7232000000004</v>
      </c>
    </row>
    <row r="284" spans="1:45" ht="16.5" customHeight="1">
      <c r="A284" s="174">
        <v>46213</v>
      </c>
      <c r="B284" s="175" t="s">
        <v>224</v>
      </c>
      <c r="C284" s="175" t="s">
        <v>632</v>
      </c>
      <c r="E284" s="175" t="s">
        <v>419</v>
      </c>
      <c r="F284" s="175" t="s">
        <v>419</v>
      </c>
      <c r="G284" s="175" t="s">
        <v>419</v>
      </c>
      <c r="H284" s="175" t="s">
        <v>419</v>
      </c>
      <c r="I284" s="175" t="s">
        <v>419</v>
      </c>
      <c r="L284" s="175" t="s">
        <v>632</v>
      </c>
      <c r="P284" s="175" t="s">
        <v>632</v>
      </c>
      <c r="T284" s="175" t="s">
        <v>632</v>
      </c>
      <c r="X284" s="175" t="s">
        <v>632</v>
      </c>
      <c r="Z284" s="175" t="s">
        <v>419</v>
      </c>
      <c r="AA284" s="175" t="s">
        <v>632</v>
      </c>
      <c r="AB284" s="175" t="s">
        <v>419</v>
      </c>
      <c r="AC284" s="175" t="s">
        <v>419</v>
      </c>
      <c r="AD284" s="175" t="s">
        <v>419</v>
      </c>
      <c r="AE284" s="175" t="s">
        <v>419</v>
      </c>
      <c r="AF284" s="175" t="s">
        <v>213</v>
      </c>
      <c r="AG284" s="175">
        <v>0.5</v>
      </c>
      <c r="AH284" s="175" t="s">
        <v>640</v>
      </c>
      <c r="AI284" s="175" t="s">
        <v>640</v>
      </c>
      <c r="AJ284" s="175" t="s">
        <v>640</v>
      </c>
      <c r="AK284" s="175" t="s">
        <v>640</v>
      </c>
      <c r="AL284" s="1159" t="s">
        <v>419</v>
      </c>
      <c r="AM284" s="175" t="s">
        <v>419</v>
      </c>
      <c r="AN284" s="175" t="s">
        <v>419</v>
      </c>
      <c r="AO284" s="175" t="s">
        <v>419</v>
      </c>
      <c r="AP284" s="175">
        <v>24</v>
      </c>
      <c r="AQ284" s="175">
        <v>216</v>
      </c>
      <c r="AR284" s="175" t="s">
        <v>419</v>
      </c>
      <c r="AS284" s="192" t="s">
        <v>419</v>
      </c>
    </row>
    <row r="285" spans="1:45" ht="16.5" customHeight="1">
      <c r="A285" s="174">
        <v>46213</v>
      </c>
      <c r="B285" s="175" t="s">
        <v>225</v>
      </c>
      <c r="C285" s="175" t="s">
        <v>632</v>
      </c>
      <c r="E285" s="175" t="s">
        <v>419</v>
      </c>
      <c r="F285" s="175" t="s">
        <v>419</v>
      </c>
      <c r="G285" s="175" t="s">
        <v>419</v>
      </c>
      <c r="H285" s="175" t="s">
        <v>419</v>
      </c>
      <c r="I285" s="175" t="s">
        <v>419</v>
      </c>
      <c r="L285" s="175" t="s">
        <v>632</v>
      </c>
      <c r="P285" s="175" t="s">
        <v>632</v>
      </c>
      <c r="T285" s="175" t="s">
        <v>632</v>
      </c>
      <c r="X285" s="175" t="s">
        <v>632</v>
      </c>
      <c r="Z285" s="175" t="s">
        <v>419</v>
      </c>
      <c r="AA285" s="175" t="s">
        <v>632</v>
      </c>
      <c r="AB285" s="175" t="s">
        <v>419</v>
      </c>
      <c r="AC285" s="175" t="s">
        <v>419</v>
      </c>
      <c r="AD285" s="175" t="s">
        <v>419</v>
      </c>
      <c r="AE285" s="175" t="s">
        <v>419</v>
      </c>
      <c r="AF285" s="175" t="s">
        <v>213</v>
      </c>
      <c r="AG285" s="175">
        <v>1</v>
      </c>
      <c r="AH285" s="175" t="s">
        <v>640</v>
      </c>
      <c r="AI285" s="175" t="s">
        <v>640</v>
      </c>
      <c r="AJ285" s="175" t="s">
        <v>640</v>
      </c>
      <c r="AK285" s="175" t="s">
        <v>640</v>
      </c>
      <c r="AL285" s="1159" t="s">
        <v>419</v>
      </c>
      <c r="AM285" s="175" t="s">
        <v>419</v>
      </c>
      <c r="AN285" s="175" t="s">
        <v>419</v>
      </c>
      <c r="AO285" s="175" t="s">
        <v>419</v>
      </c>
      <c r="AP285" s="175">
        <v>24</v>
      </c>
      <c r="AQ285" s="175">
        <v>216</v>
      </c>
      <c r="AR285" s="175" t="s">
        <v>419</v>
      </c>
      <c r="AS285" s="192" t="s">
        <v>419</v>
      </c>
    </row>
    <row r="286" spans="1:45" ht="16.5" customHeight="1">
      <c r="A286" s="174">
        <v>46213</v>
      </c>
      <c r="B286" s="175" t="s">
        <v>226</v>
      </c>
      <c r="C286" s="175" t="s">
        <v>632</v>
      </c>
      <c r="E286" s="175" t="s">
        <v>419</v>
      </c>
      <c r="F286" s="175" t="s">
        <v>419</v>
      </c>
      <c r="G286" s="175" t="s">
        <v>419</v>
      </c>
      <c r="H286" s="175" t="s">
        <v>419</v>
      </c>
      <c r="I286" s="175" t="s">
        <v>419</v>
      </c>
      <c r="L286" s="175" t="s">
        <v>632</v>
      </c>
      <c r="P286" s="175" t="s">
        <v>632</v>
      </c>
      <c r="T286" s="175" t="s">
        <v>632</v>
      </c>
      <c r="X286" s="175" t="s">
        <v>632</v>
      </c>
      <c r="Z286" s="175" t="s">
        <v>419</v>
      </c>
      <c r="AA286" s="175" t="s">
        <v>632</v>
      </c>
      <c r="AB286" s="175" t="s">
        <v>419</v>
      </c>
      <c r="AC286" s="175" t="s">
        <v>419</v>
      </c>
      <c r="AD286" s="175" t="s">
        <v>419</v>
      </c>
      <c r="AE286" s="175" t="s">
        <v>419</v>
      </c>
      <c r="AF286" s="175" t="s">
        <v>213</v>
      </c>
      <c r="AG286" s="175">
        <v>1</v>
      </c>
      <c r="AH286" s="175" t="s">
        <v>640</v>
      </c>
      <c r="AI286" s="175" t="s">
        <v>640</v>
      </c>
      <c r="AJ286" s="175" t="s">
        <v>640</v>
      </c>
      <c r="AK286" s="175" t="s">
        <v>640</v>
      </c>
      <c r="AL286" s="1159" t="s">
        <v>419</v>
      </c>
      <c r="AM286" s="175" t="s">
        <v>419</v>
      </c>
      <c r="AN286" s="175" t="s">
        <v>419</v>
      </c>
      <c r="AO286" s="175" t="s">
        <v>419</v>
      </c>
      <c r="AP286" s="175">
        <v>24</v>
      </c>
      <c r="AQ286" s="175">
        <v>216</v>
      </c>
      <c r="AR286" s="175" t="s">
        <v>419</v>
      </c>
      <c r="AS286" s="192" t="s">
        <v>419</v>
      </c>
    </row>
    <row r="287" spans="1:45" ht="16.5" customHeight="1">
      <c r="A287" s="174">
        <v>46213</v>
      </c>
      <c r="B287" s="175" t="s">
        <v>227</v>
      </c>
      <c r="C287" s="175" t="s">
        <v>632</v>
      </c>
      <c r="E287" s="175" t="s">
        <v>419</v>
      </c>
      <c r="F287" s="175" t="s">
        <v>419</v>
      </c>
      <c r="G287" s="175" t="s">
        <v>419</v>
      </c>
      <c r="H287" s="175" t="s">
        <v>419</v>
      </c>
      <c r="I287" s="175" t="s">
        <v>419</v>
      </c>
      <c r="L287" s="175" t="s">
        <v>632</v>
      </c>
      <c r="P287" s="175" t="s">
        <v>632</v>
      </c>
      <c r="T287" s="175" t="s">
        <v>632</v>
      </c>
      <c r="X287" s="175" t="s">
        <v>632</v>
      </c>
      <c r="Z287" s="175" t="s">
        <v>419</v>
      </c>
      <c r="AA287" s="175" t="s">
        <v>632</v>
      </c>
      <c r="AB287" s="175" t="s">
        <v>419</v>
      </c>
      <c r="AC287" s="175" t="s">
        <v>419</v>
      </c>
      <c r="AD287" s="175" t="s">
        <v>419</v>
      </c>
      <c r="AE287" s="175" t="s">
        <v>419</v>
      </c>
      <c r="AF287" s="175" t="s">
        <v>213</v>
      </c>
      <c r="AG287" s="175">
        <v>1</v>
      </c>
      <c r="AH287" s="175" t="s">
        <v>640</v>
      </c>
      <c r="AI287" s="175" t="s">
        <v>640</v>
      </c>
      <c r="AJ287" s="175" t="s">
        <v>640</v>
      </c>
      <c r="AK287" s="175" t="s">
        <v>640</v>
      </c>
      <c r="AL287" s="1159" t="s">
        <v>419</v>
      </c>
      <c r="AM287" s="175" t="s">
        <v>419</v>
      </c>
      <c r="AN287" s="175" t="s">
        <v>419</v>
      </c>
      <c r="AO287" s="175" t="s">
        <v>419</v>
      </c>
      <c r="AP287" s="175">
        <v>24</v>
      </c>
      <c r="AQ287" s="175">
        <v>216</v>
      </c>
      <c r="AR287" s="175" t="s">
        <v>419</v>
      </c>
      <c r="AS287" s="192" t="s">
        <v>419</v>
      </c>
    </row>
    <row r="288" spans="1:45" ht="16.5" customHeight="1">
      <c r="A288" s="174">
        <v>46213</v>
      </c>
      <c r="B288" s="175" t="s">
        <v>228</v>
      </c>
      <c r="C288" s="175" t="s">
        <v>17293</v>
      </c>
      <c r="E288" s="175" t="s">
        <v>7055</v>
      </c>
      <c r="F288" s="175" t="s">
        <v>17294</v>
      </c>
      <c r="G288" s="175">
        <v>550</v>
      </c>
      <c r="H288" s="175" t="s">
        <v>889</v>
      </c>
      <c r="I288" s="175">
        <v>5.5</v>
      </c>
      <c r="J288" s="175">
        <v>18</v>
      </c>
      <c r="K288" s="175">
        <v>0</v>
      </c>
      <c r="L288" s="175">
        <v>5499</v>
      </c>
      <c r="M288" s="175">
        <v>6271</v>
      </c>
      <c r="N288" s="175">
        <v>0</v>
      </c>
      <c r="O288" s="175">
        <v>0</v>
      </c>
      <c r="P288" s="175">
        <v>5434</v>
      </c>
      <c r="Q288" s="175">
        <v>6481</v>
      </c>
      <c r="R288" s="175">
        <v>8</v>
      </c>
      <c r="S288" s="175">
        <v>0</v>
      </c>
      <c r="T288" s="175">
        <v>5245</v>
      </c>
      <c r="U288" s="175">
        <v>6586</v>
      </c>
      <c r="V288" s="175">
        <v>26</v>
      </c>
      <c r="W288" s="175">
        <v>0</v>
      </c>
      <c r="X288" s="175">
        <v>4832</v>
      </c>
      <c r="Y288" s="175">
        <v>5661</v>
      </c>
      <c r="Z288" s="175">
        <v>4.7058823529411766</v>
      </c>
      <c r="AA288" s="175">
        <v>8.6666666666666661</v>
      </c>
      <c r="AB288" s="175">
        <v>1</v>
      </c>
      <c r="AC288" s="175">
        <v>57.511249999999997</v>
      </c>
      <c r="AD288" s="175">
        <v>1.0833333333333333</v>
      </c>
      <c r="AE288" s="175">
        <v>1.0833333333333333</v>
      </c>
      <c r="AF288" s="175" t="s">
        <v>213</v>
      </c>
      <c r="AG288" s="175">
        <v>0.5</v>
      </c>
      <c r="AH288" s="175" t="s">
        <v>629</v>
      </c>
      <c r="AI288" s="175" t="s">
        <v>629</v>
      </c>
      <c r="AJ288" s="175" t="s">
        <v>15368</v>
      </c>
      <c r="AK288" s="175" t="s">
        <v>15368</v>
      </c>
      <c r="AL288" s="1159" t="s">
        <v>250</v>
      </c>
      <c r="AM288" s="175" t="s">
        <v>460</v>
      </c>
      <c r="AN288" s="175">
        <v>1.1890000000000001</v>
      </c>
      <c r="AO288" s="175">
        <v>1.9</v>
      </c>
      <c r="AP288" s="175">
        <v>24</v>
      </c>
      <c r="AQ288" s="175">
        <v>216</v>
      </c>
      <c r="AR288" s="175">
        <v>2.9</v>
      </c>
      <c r="AS288" s="192">
        <v>17874.950400000002</v>
      </c>
    </row>
    <row r="289" spans="1:45" ht="16.5" customHeight="1">
      <c r="A289" s="174">
        <v>46213</v>
      </c>
      <c r="B289" s="175" t="s">
        <v>229</v>
      </c>
      <c r="C289" s="175" t="s">
        <v>632</v>
      </c>
      <c r="E289" s="175" t="s">
        <v>419</v>
      </c>
      <c r="F289" s="175" t="s">
        <v>419</v>
      </c>
      <c r="G289" s="175" t="s">
        <v>419</v>
      </c>
      <c r="H289" s="175" t="s">
        <v>419</v>
      </c>
      <c r="I289" s="175" t="s">
        <v>419</v>
      </c>
      <c r="L289" s="175" t="s">
        <v>632</v>
      </c>
      <c r="P289" s="175" t="s">
        <v>632</v>
      </c>
      <c r="T289" s="175" t="s">
        <v>632</v>
      </c>
      <c r="X289" s="175" t="s">
        <v>632</v>
      </c>
      <c r="Z289" s="175" t="s">
        <v>419</v>
      </c>
      <c r="AA289" s="175" t="s">
        <v>632</v>
      </c>
      <c r="AB289" s="175" t="s">
        <v>419</v>
      </c>
      <c r="AC289" s="175" t="s">
        <v>419</v>
      </c>
      <c r="AD289" s="175" t="s">
        <v>419</v>
      </c>
      <c r="AE289" s="175" t="s">
        <v>419</v>
      </c>
      <c r="AF289" s="175" t="s">
        <v>213</v>
      </c>
      <c r="AG289" s="175">
        <v>1</v>
      </c>
      <c r="AH289" s="175" t="s">
        <v>640</v>
      </c>
      <c r="AI289" s="175" t="s">
        <v>640</v>
      </c>
      <c r="AJ289" s="175" t="s">
        <v>640</v>
      </c>
      <c r="AK289" s="175" t="s">
        <v>640</v>
      </c>
      <c r="AL289" s="1159" t="s">
        <v>419</v>
      </c>
      <c r="AM289" s="175" t="s">
        <v>419</v>
      </c>
      <c r="AN289" s="175" t="s">
        <v>419</v>
      </c>
      <c r="AO289" s="175" t="s">
        <v>419</v>
      </c>
      <c r="AP289" s="175">
        <v>24</v>
      </c>
      <c r="AQ289" s="175">
        <v>216</v>
      </c>
      <c r="AR289" s="175" t="s">
        <v>419</v>
      </c>
      <c r="AS289" s="192" t="s">
        <v>419</v>
      </c>
    </row>
    <row r="290" spans="1:45" ht="16.5" customHeight="1">
      <c r="A290" s="174">
        <v>46213</v>
      </c>
      <c r="B290" s="175" t="s">
        <v>230</v>
      </c>
      <c r="C290" s="175" t="s">
        <v>632</v>
      </c>
      <c r="E290" s="175" t="s">
        <v>419</v>
      </c>
      <c r="F290" s="175" t="s">
        <v>419</v>
      </c>
      <c r="G290" s="175" t="s">
        <v>419</v>
      </c>
      <c r="H290" s="175" t="s">
        <v>419</v>
      </c>
      <c r="I290" s="175" t="s">
        <v>419</v>
      </c>
      <c r="L290" s="175" t="s">
        <v>632</v>
      </c>
      <c r="P290" s="175" t="s">
        <v>632</v>
      </c>
      <c r="T290" s="175" t="s">
        <v>632</v>
      </c>
      <c r="X290" s="175" t="s">
        <v>632</v>
      </c>
      <c r="Z290" s="175" t="s">
        <v>419</v>
      </c>
      <c r="AA290" s="175" t="s">
        <v>632</v>
      </c>
      <c r="AB290" s="175" t="s">
        <v>419</v>
      </c>
      <c r="AC290" s="175" t="s">
        <v>419</v>
      </c>
      <c r="AD290" s="175" t="s">
        <v>419</v>
      </c>
      <c r="AE290" s="175" t="s">
        <v>419</v>
      </c>
      <c r="AF290" s="175" t="s">
        <v>213</v>
      </c>
      <c r="AG290" s="175">
        <v>1</v>
      </c>
      <c r="AH290" s="175" t="s">
        <v>640</v>
      </c>
      <c r="AI290" s="175" t="s">
        <v>640</v>
      </c>
      <c r="AJ290" s="175" t="s">
        <v>640</v>
      </c>
      <c r="AK290" s="175" t="s">
        <v>640</v>
      </c>
      <c r="AL290" s="1159" t="s">
        <v>419</v>
      </c>
      <c r="AM290" s="175" t="s">
        <v>419</v>
      </c>
      <c r="AN290" s="175" t="s">
        <v>419</v>
      </c>
      <c r="AO290" s="175" t="s">
        <v>419</v>
      </c>
      <c r="AP290" s="175">
        <v>24</v>
      </c>
      <c r="AQ290" s="175">
        <v>216</v>
      </c>
      <c r="AR290" s="175" t="s">
        <v>419</v>
      </c>
      <c r="AS290" s="192" t="s">
        <v>419</v>
      </c>
    </row>
    <row r="291" spans="1:45" ht="16.5" customHeight="1">
      <c r="A291" s="174">
        <v>46213</v>
      </c>
      <c r="B291" s="175" t="s">
        <v>231</v>
      </c>
      <c r="C291" s="175" t="s">
        <v>632</v>
      </c>
      <c r="E291" s="175" t="s">
        <v>419</v>
      </c>
      <c r="F291" s="175" t="s">
        <v>419</v>
      </c>
      <c r="G291" s="175" t="s">
        <v>419</v>
      </c>
      <c r="H291" s="175" t="s">
        <v>419</v>
      </c>
      <c r="I291" s="175" t="s">
        <v>419</v>
      </c>
      <c r="L291" s="175" t="s">
        <v>632</v>
      </c>
      <c r="P291" s="175" t="s">
        <v>632</v>
      </c>
      <c r="T291" s="175" t="s">
        <v>632</v>
      </c>
      <c r="X291" s="175" t="s">
        <v>632</v>
      </c>
      <c r="Z291" s="175" t="s">
        <v>419</v>
      </c>
      <c r="AA291" s="175" t="s">
        <v>632</v>
      </c>
      <c r="AB291" s="175" t="s">
        <v>419</v>
      </c>
      <c r="AC291" s="175" t="s">
        <v>419</v>
      </c>
      <c r="AD291" s="175" t="s">
        <v>419</v>
      </c>
      <c r="AE291" s="175" t="s">
        <v>419</v>
      </c>
      <c r="AF291" s="175" t="s">
        <v>232</v>
      </c>
      <c r="AG291" s="175">
        <v>1</v>
      </c>
      <c r="AH291" s="175" t="s">
        <v>640</v>
      </c>
      <c r="AI291" s="175" t="s">
        <v>640</v>
      </c>
      <c r="AJ291" s="175" t="s">
        <v>640</v>
      </c>
      <c r="AK291" s="175" t="s">
        <v>640</v>
      </c>
      <c r="AL291" s="1159" t="s">
        <v>419</v>
      </c>
      <c r="AM291" s="175" t="s">
        <v>419</v>
      </c>
      <c r="AN291" s="175" t="s">
        <v>419</v>
      </c>
      <c r="AO291" s="175" t="s">
        <v>419</v>
      </c>
      <c r="AP291" s="175">
        <v>24</v>
      </c>
      <c r="AQ291" s="175">
        <v>216</v>
      </c>
      <c r="AR291" s="175" t="s">
        <v>419</v>
      </c>
      <c r="AS291" s="192" t="s">
        <v>419</v>
      </c>
    </row>
    <row r="292" spans="1:45" ht="16.5" customHeight="1">
      <c r="A292" s="174">
        <v>46213</v>
      </c>
      <c r="B292" s="175" t="s">
        <v>233</v>
      </c>
      <c r="C292" s="175" t="s">
        <v>17268</v>
      </c>
      <c r="D292" s="175" t="s">
        <v>633</v>
      </c>
      <c r="E292" s="175" t="s">
        <v>16719</v>
      </c>
      <c r="F292" s="175" t="s">
        <v>17253</v>
      </c>
      <c r="G292" s="175">
        <v>600</v>
      </c>
      <c r="H292" s="175" t="s">
        <v>723</v>
      </c>
      <c r="I292" s="175">
        <v>5.5</v>
      </c>
      <c r="J292" s="175">
        <v>18</v>
      </c>
      <c r="K292" s="175">
        <v>3</v>
      </c>
      <c r="L292" s="175">
        <v>3190</v>
      </c>
      <c r="M292" s="175" t="s">
        <v>17315</v>
      </c>
      <c r="N292" s="175">
        <v>10</v>
      </c>
      <c r="O292" s="175">
        <v>1</v>
      </c>
      <c r="P292" s="175">
        <v>3160</v>
      </c>
      <c r="Q292" s="175" t="s">
        <v>17315</v>
      </c>
      <c r="R292" s="175">
        <v>6</v>
      </c>
      <c r="S292" s="175">
        <v>2</v>
      </c>
      <c r="T292" s="175">
        <v>3090</v>
      </c>
      <c r="U292" s="175" t="s">
        <v>17315</v>
      </c>
      <c r="V292" s="175">
        <v>8</v>
      </c>
      <c r="W292" s="175">
        <v>5</v>
      </c>
      <c r="X292" s="175">
        <v>3160</v>
      </c>
      <c r="Y292" s="175" t="s">
        <v>17315</v>
      </c>
      <c r="Z292" s="175">
        <v>5.0526315789473681</v>
      </c>
      <c r="AA292" s="175">
        <v>28</v>
      </c>
      <c r="AB292" s="175">
        <v>0.98953325320512819</v>
      </c>
      <c r="AC292" s="175">
        <v>31.5</v>
      </c>
      <c r="AD292" s="175">
        <v>3.5</v>
      </c>
      <c r="AE292" s="175">
        <v>2.5833333333333335</v>
      </c>
      <c r="AF292" s="175" t="s">
        <v>232</v>
      </c>
      <c r="AG292" s="175">
        <v>2</v>
      </c>
      <c r="AH292" s="175" t="s">
        <v>15370</v>
      </c>
      <c r="AI292" s="175" t="s">
        <v>15370</v>
      </c>
      <c r="AJ292" s="175" t="s">
        <v>637</v>
      </c>
      <c r="AK292" s="175" t="s">
        <v>637</v>
      </c>
      <c r="AL292" s="1159" t="s">
        <v>250</v>
      </c>
      <c r="AM292" s="175" t="s">
        <v>643</v>
      </c>
      <c r="AN292" s="175">
        <v>1.859</v>
      </c>
      <c r="AO292" s="175">
        <v>2.1</v>
      </c>
      <c r="AP292" s="175">
        <v>24</v>
      </c>
      <c r="AQ292" s="175">
        <v>216</v>
      </c>
      <c r="AR292" s="175">
        <v>3.1</v>
      </c>
      <c r="AS292" s="192">
        <v>29874.873599999999</v>
      </c>
    </row>
    <row r="293" spans="1:45" ht="16.5" customHeight="1">
      <c r="A293" s="174">
        <v>46213</v>
      </c>
      <c r="B293" s="175" t="s">
        <v>234</v>
      </c>
      <c r="C293" s="175" t="s">
        <v>632</v>
      </c>
      <c r="E293" s="175" t="s">
        <v>419</v>
      </c>
      <c r="F293" s="175" t="s">
        <v>419</v>
      </c>
      <c r="G293" s="175" t="s">
        <v>419</v>
      </c>
      <c r="H293" s="175" t="s">
        <v>419</v>
      </c>
      <c r="I293" s="175" t="s">
        <v>419</v>
      </c>
      <c r="L293" s="175" t="s">
        <v>632</v>
      </c>
      <c r="P293" s="175" t="s">
        <v>632</v>
      </c>
      <c r="T293" s="175" t="s">
        <v>632</v>
      </c>
      <c r="X293" s="175" t="s">
        <v>632</v>
      </c>
      <c r="Z293" s="175" t="s">
        <v>419</v>
      </c>
      <c r="AA293" s="175" t="s">
        <v>632</v>
      </c>
      <c r="AB293" s="175" t="s">
        <v>419</v>
      </c>
      <c r="AC293" s="175" t="s">
        <v>419</v>
      </c>
      <c r="AD293" s="175" t="s">
        <v>419</v>
      </c>
      <c r="AE293" s="175" t="s">
        <v>419</v>
      </c>
      <c r="AF293" s="175" t="s">
        <v>232</v>
      </c>
      <c r="AG293" s="175">
        <v>1</v>
      </c>
      <c r="AH293" s="175" t="s">
        <v>640</v>
      </c>
      <c r="AI293" s="175" t="s">
        <v>640</v>
      </c>
      <c r="AJ293" s="175" t="s">
        <v>640</v>
      </c>
      <c r="AK293" s="175" t="s">
        <v>640</v>
      </c>
      <c r="AL293" s="1159" t="s">
        <v>419</v>
      </c>
      <c r="AM293" s="175" t="s">
        <v>419</v>
      </c>
      <c r="AN293" s="175" t="s">
        <v>419</v>
      </c>
      <c r="AO293" s="175" t="s">
        <v>419</v>
      </c>
      <c r="AP293" s="175">
        <v>24</v>
      </c>
      <c r="AQ293" s="175">
        <v>216</v>
      </c>
      <c r="AR293" s="175" t="s">
        <v>419</v>
      </c>
      <c r="AS293" s="192" t="s">
        <v>419</v>
      </c>
    </row>
    <row r="294" spans="1:45" ht="16.5" customHeight="1">
      <c r="A294" s="174">
        <v>46213</v>
      </c>
      <c r="B294" s="175" t="s">
        <v>235</v>
      </c>
      <c r="C294" s="175" t="s">
        <v>17289</v>
      </c>
      <c r="D294" s="175" t="s">
        <v>633</v>
      </c>
      <c r="E294" s="175" t="s">
        <v>16719</v>
      </c>
      <c r="F294" s="175" t="s">
        <v>17290</v>
      </c>
      <c r="G294" s="175">
        <v>700</v>
      </c>
      <c r="H294" s="175" t="s">
        <v>776</v>
      </c>
      <c r="I294" s="175">
        <v>5.5</v>
      </c>
      <c r="J294" s="175">
        <v>31</v>
      </c>
      <c r="K294" s="175">
        <v>2</v>
      </c>
      <c r="L294" s="175">
        <v>9440</v>
      </c>
      <c r="M294" s="175" t="s">
        <v>17315</v>
      </c>
      <c r="N294" s="175">
        <v>12</v>
      </c>
      <c r="O294" s="175">
        <v>2</v>
      </c>
      <c r="P294" s="175">
        <v>9630</v>
      </c>
      <c r="Q294" s="175" t="s">
        <v>17315</v>
      </c>
      <c r="R294" s="175">
        <v>9</v>
      </c>
      <c r="S294" s="175">
        <v>1</v>
      </c>
      <c r="T294" s="175">
        <v>9440</v>
      </c>
      <c r="U294" s="175" t="s">
        <v>17315</v>
      </c>
      <c r="V294" s="175">
        <v>23</v>
      </c>
      <c r="W294" s="175">
        <v>2</v>
      </c>
      <c r="X294" s="175">
        <v>9630</v>
      </c>
      <c r="Y294" s="175" t="s">
        <v>17315</v>
      </c>
      <c r="Z294" s="175">
        <v>5.8775510204081636</v>
      </c>
      <c r="AA294" s="175">
        <v>25</v>
      </c>
      <c r="AB294" s="175">
        <v>0.99427417200854706</v>
      </c>
      <c r="AC294" s="175">
        <v>95.35</v>
      </c>
      <c r="AD294" s="175">
        <v>3.125</v>
      </c>
      <c r="AE294" s="175">
        <v>2.8333333333333335</v>
      </c>
      <c r="AF294" s="175" t="s">
        <v>236</v>
      </c>
      <c r="AG294" s="175">
        <v>1</v>
      </c>
      <c r="AH294" s="175" t="s">
        <v>15337</v>
      </c>
      <c r="AI294" s="175" t="s">
        <v>15337</v>
      </c>
      <c r="AJ294" s="175" t="s">
        <v>639</v>
      </c>
      <c r="AK294" s="175" t="s">
        <v>639</v>
      </c>
      <c r="AL294" s="1159" t="s">
        <v>251</v>
      </c>
      <c r="AM294" s="175" t="s">
        <v>460</v>
      </c>
      <c r="AN294" s="175">
        <v>1.1890000000000001</v>
      </c>
      <c r="AO294" s="175">
        <v>3</v>
      </c>
      <c r="AP294" s="175">
        <v>24</v>
      </c>
      <c r="AQ294" s="175">
        <v>216</v>
      </c>
      <c r="AR294" s="175">
        <v>4</v>
      </c>
      <c r="AS294" s="192">
        <v>24655.103999999999</v>
      </c>
    </row>
    <row r="295" spans="1:45" ht="16.5" customHeight="1">
      <c r="A295" s="174">
        <v>46213</v>
      </c>
      <c r="B295" s="175" t="s">
        <v>237</v>
      </c>
      <c r="C295" s="175" t="s">
        <v>17251</v>
      </c>
      <c r="D295" s="175" t="s">
        <v>633</v>
      </c>
      <c r="E295" s="175" t="s">
        <v>16719</v>
      </c>
      <c r="F295" s="175" t="s">
        <v>17253</v>
      </c>
      <c r="G295" s="175">
        <v>700</v>
      </c>
      <c r="H295" s="175" t="s">
        <v>646</v>
      </c>
      <c r="I295" s="175">
        <v>5.5</v>
      </c>
      <c r="J295" s="175">
        <v>55</v>
      </c>
      <c r="K295" s="175">
        <v>4</v>
      </c>
      <c r="L295" s="175">
        <v>9170</v>
      </c>
      <c r="M295" s="175">
        <v>8060</v>
      </c>
      <c r="N295" s="175">
        <v>36</v>
      </c>
      <c r="O295" s="175">
        <v>0</v>
      </c>
      <c r="P295" s="175">
        <v>8610</v>
      </c>
      <c r="Q295" s="175">
        <v>8430</v>
      </c>
      <c r="R295" s="175">
        <v>21</v>
      </c>
      <c r="S295" s="175">
        <v>4</v>
      </c>
      <c r="T295" s="175">
        <v>9170</v>
      </c>
      <c r="U295" s="175">
        <v>7130</v>
      </c>
      <c r="V295" s="175">
        <v>79</v>
      </c>
      <c r="W295" s="175">
        <v>0</v>
      </c>
      <c r="X295" s="175">
        <v>9350</v>
      </c>
      <c r="Y295" s="175">
        <v>8430</v>
      </c>
      <c r="Z295" s="175">
        <v>5.8775510204081636</v>
      </c>
      <c r="AA295" s="175">
        <v>63.666666666666664</v>
      </c>
      <c r="AB295" s="175">
        <v>0.99345619658119655</v>
      </c>
      <c r="AC295" s="175">
        <v>85.4375</v>
      </c>
      <c r="AD295" s="175">
        <v>7.958333333333333</v>
      </c>
      <c r="AE295" s="175">
        <v>7.625</v>
      </c>
      <c r="AF295" s="175" t="s">
        <v>236</v>
      </c>
      <c r="AG295" s="175">
        <v>1</v>
      </c>
      <c r="AH295" s="175" t="s">
        <v>15337</v>
      </c>
      <c r="AI295" s="175" t="s">
        <v>15337</v>
      </c>
      <c r="AJ295" s="175" t="s">
        <v>639</v>
      </c>
      <c r="AK295" s="175" t="s">
        <v>639</v>
      </c>
      <c r="AL295" s="1159" t="s">
        <v>250</v>
      </c>
      <c r="AM295" s="175" t="s">
        <v>460</v>
      </c>
      <c r="AN295" s="175">
        <v>1.1890000000000001</v>
      </c>
      <c r="AO295" s="175">
        <v>2.9</v>
      </c>
      <c r="AP295" s="175">
        <v>24</v>
      </c>
      <c r="AQ295" s="175">
        <v>216</v>
      </c>
      <c r="AR295" s="175">
        <v>3.9</v>
      </c>
      <c r="AS295" s="192">
        <v>24038.7264</v>
      </c>
    </row>
    <row r="296" spans="1:45" ht="16.5" customHeight="1">
      <c r="A296" s="174">
        <v>46213</v>
      </c>
      <c r="B296" s="175" t="s">
        <v>238</v>
      </c>
      <c r="C296" s="175" t="s">
        <v>17248</v>
      </c>
      <c r="D296" s="175" t="s">
        <v>633</v>
      </c>
      <c r="E296" s="175" t="s">
        <v>16719</v>
      </c>
      <c r="F296" s="175" t="s">
        <v>17249</v>
      </c>
      <c r="G296" s="175">
        <v>600</v>
      </c>
      <c r="H296" s="175" t="s">
        <v>877</v>
      </c>
      <c r="I296" s="175">
        <v>5.5</v>
      </c>
      <c r="J296" s="175">
        <v>52</v>
      </c>
      <c r="K296" s="175">
        <v>13</v>
      </c>
      <c r="L296" s="175">
        <v>9540</v>
      </c>
      <c r="M296" s="175">
        <v>9630</v>
      </c>
      <c r="N296" s="175">
        <v>14</v>
      </c>
      <c r="O296" s="175">
        <v>2</v>
      </c>
      <c r="P296" s="175">
        <v>8800</v>
      </c>
      <c r="Q296" s="175">
        <v>9630</v>
      </c>
      <c r="R296" s="175">
        <v>16</v>
      </c>
      <c r="S296" s="175">
        <v>0</v>
      </c>
      <c r="T296" s="175">
        <v>8980</v>
      </c>
      <c r="U296" s="175">
        <v>9260</v>
      </c>
      <c r="V296" s="175">
        <v>39</v>
      </c>
      <c r="W296" s="175">
        <v>0</v>
      </c>
      <c r="X296" s="175">
        <v>8700</v>
      </c>
      <c r="Y296" s="175">
        <v>9440</v>
      </c>
      <c r="Z296" s="175">
        <v>5.034965034965035</v>
      </c>
      <c r="AA296" s="175">
        <v>40.333333333333336</v>
      </c>
      <c r="AB296" s="175">
        <v>0.98567708333333337</v>
      </c>
      <c r="AC296" s="175">
        <v>92.474999999999994</v>
      </c>
      <c r="AD296" s="175">
        <v>5.041666666666667</v>
      </c>
      <c r="AE296" s="175">
        <v>4.416666666666667</v>
      </c>
      <c r="AF296" s="175" t="s">
        <v>236</v>
      </c>
      <c r="AG296" s="175">
        <v>1</v>
      </c>
      <c r="AH296" s="175" t="s">
        <v>638</v>
      </c>
      <c r="AI296" s="175" t="s">
        <v>638</v>
      </c>
      <c r="AJ296" s="175" t="s">
        <v>652</v>
      </c>
      <c r="AK296" s="175" t="s">
        <v>652</v>
      </c>
      <c r="AL296" s="1159" t="s">
        <v>251</v>
      </c>
      <c r="AM296" s="175" t="s">
        <v>460</v>
      </c>
      <c r="AN296" s="175">
        <v>1.1890000000000001</v>
      </c>
      <c r="AO296" s="175">
        <v>2.8</v>
      </c>
      <c r="AP296" s="175">
        <v>24</v>
      </c>
      <c r="AQ296" s="175">
        <v>216</v>
      </c>
      <c r="AR296" s="175">
        <v>3.8</v>
      </c>
      <c r="AS296" s="192">
        <v>23422.3488</v>
      </c>
    </row>
    <row r="297" spans="1:45" ht="16.5" customHeight="1">
      <c r="A297" s="174">
        <v>46213</v>
      </c>
      <c r="B297" s="175" t="s">
        <v>239</v>
      </c>
      <c r="C297" s="175" t="s">
        <v>17266</v>
      </c>
      <c r="E297" s="175" t="s">
        <v>754</v>
      </c>
      <c r="F297" s="175" t="s">
        <v>17267</v>
      </c>
      <c r="G297" s="175">
        <v>600</v>
      </c>
      <c r="H297" s="175" t="s">
        <v>842</v>
      </c>
      <c r="I297" s="175">
        <v>4</v>
      </c>
      <c r="J297" s="175">
        <v>17</v>
      </c>
      <c r="K297" s="175">
        <v>3</v>
      </c>
      <c r="L297" s="175">
        <v>9630</v>
      </c>
      <c r="N297" s="175">
        <v>11</v>
      </c>
      <c r="O297" s="175">
        <v>3</v>
      </c>
      <c r="P297" s="175">
        <v>9350</v>
      </c>
      <c r="R297" s="175">
        <v>9</v>
      </c>
      <c r="S297" s="175">
        <v>1</v>
      </c>
      <c r="T297" s="175">
        <v>9540</v>
      </c>
      <c r="V297" s="175">
        <v>8</v>
      </c>
      <c r="W297" s="175">
        <v>1</v>
      </c>
      <c r="X297" s="175">
        <v>9540</v>
      </c>
      <c r="Z297" s="175">
        <v>3.6</v>
      </c>
      <c r="AA297" s="175">
        <v>30</v>
      </c>
      <c r="AB297" s="175">
        <v>0.98931623931623935</v>
      </c>
      <c r="AC297" s="175">
        <v>95.15</v>
      </c>
      <c r="AD297" s="175">
        <v>3.75</v>
      </c>
      <c r="AE297" s="175">
        <v>3.0833333333333335</v>
      </c>
      <c r="AF297" s="175" t="s">
        <v>236</v>
      </c>
      <c r="AG297" s="175">
        <v>2</v>
      </c>
      <c r="AH297" s="175" t="s">
        <v>638</v>
      </c>
      <c r="AI297" s="175" t="s">
        <v>638</v>
      </c>
      <c r="AJ297" s="175" t="s">
        <v>639</v>
      </c>
      <c r="AK297" s="175" t="s">
        <v>639</v>
      </c>
      <c r="AL297" s="1159" t="s">
        <v>251</v>
      </c>
      <c r="AM297" s="175" t="s">
        <v>126</v>
      </c>
      <c r="AN297" s="175">
        <v>0.91100000000000003</v>
      </c>
      <c r="AO297" s="175">
        <v>1.5</v>
      </c>
      <c r="AP297" s="175">
        <v>24</v>
      </c>
      <c r="AQ297" s="175">
        <v>216</v>
      </c>
      <c r="AR297" s="175">
        <v>2.5</v>
      </c>
      <c r="AS297" s="192">
        <v>11806.560000000001</v>
      </c>
    </row>
    <row r="298" spans="1:45" ht="16.5" customHeight="1">
      <c r="A298" s="174">
        <v>46213</v>
      </c>
      <c r="B298" s="175" t="s">
        <v>239</v>
      </c>
      <c r="C298" s="175" t="s">
        <v>17241</v>
      </c>
      <c r="E298" s="175" t="s">
        <v>16723</v>
      </c>
      <c r="F298" s="175" t="s">
        <v>17243</v>
      </c>
      <c r="G298" s="175">
        <v>550</v>
      </c>
      <c r="H298" s="175" t="s">
        <v>868</v>
      </c>
      <c r="I298" s="175">
        <v>5.5</v>
      </c>
      <c r="J298" s="175">
        <v>16</v>
      </c>
      <c r="K298" s="175">
        <v>2</v>
      </c>
      <c r="M298" s="175">
        <v>8520</v>
      </c>
      <c r="N298" s="175">
        <v>18</v>
      </c>
      <c r="O298" s="175">
        <v>6</v>
      </c>
      <c r="Q298" s="175">
        <v>9170</v>
      </c>
      <c r="R298" s="175">
        <v>5</v>
      </c>
      <c r="S298" s="175">
        <v>2</v>
      </c>
      <c r="U298" s="175">
        <v>9350</v>
      </c>
      <c r="V298" s="175">
        <v>22</v>
      </c>
      <c r="W298" s="175">
        <v>6</v>
      </c>
      <c r="Y298" s="175">
        <v>9350</v>
      </c>
      <c r="Z298" s="175">
        <v>6.6055045871559646</v>
      </c>
      <c r="AA298" s="175">
        <v>40.666666666666664</v>
      </c>
      <c r="AB298" s="175">
        <v>0.9883547008547009</v>
      </c>
      <c r="AC298" s="175">
        <v>90.974999999999994</v>
      </c>
      <c r="AD298" s="175">
        <v>5.083333333333333</v>
      </c>
      <c r="AE298" s="175">
        <v>3.75</v>
      </c>
      <c r="AF298" s="175" t="s">
        <v>236</v>
      </c>
      <c r="AG298" s="175">
        <v>2</v>
      </c>
      <c r="AH298" s="175" t="s">
        <v>638</v>
      </c>
      <c r="AI298" s="175" t="s">
        <v>638</v>
      </c>
      <c r="AJ298" s="175" t="s">
        <v>639</v>
      </c>
      <c r="AK298" s="175" t="s">
        <v>639</v>
      </c>
      <c r="AM298" s="175" t="s">
        <v>643</v>
      </c>
      <c r="AN298" s="175">
        <v>1.859</v>
      </c>
      <c r="AO298" s="175">
        <v>3.3</v>
      </c>
      <c r="AP298" s="175">
        <v>24</v>
      </c>
      <c r="AQ298" s="175">
        <v>216</v>
      </c>
      <c r="AR298" s="175">
        <v>4.3</v>
      </c>
      <c r="AS298" s="192">
        <v>41439.340799999998</v>
      </c>
    </row>
    <row r="299" spans="1:45" ht="16.5" customHeight="1">
      <c r="A299" s="174">
        <v>46213</v>
      </c>
      <c r="B299" s="175" t="s">
        <v>388</v>
      </c>
      <c r="C299" s="175" t="s">
        <v>17296</v>
      </c>
      <c r="D299" s="175" t="s">
        <v>633</v>
      </c>
      <c r="E299" s="175" t="s">
        <v>16719</v>
      </c>
      <c r="F299" s="175" t="s">
        <v>17290</v>
      </c>
      <c r="G299" s="175">
        <v>700</v>
      </c>
      <c r="H299" s="175" t="s">
        <v>15541</v>
      </c>
      <c r="I299" s="175">
        <v>5.5</v>
      </c>
      <c r="J299" s="175">
        <v>17</v>
      </c>
      <c r="K299" s="175">
        <v>0</v>
      </c>
      <c r="L299" s="175">
        <v>9440</v>
      </c>
      <c r="M299" s="175" t="s">
        <v>17315</v>
      </c>
      <c r="N299" s="175">
        <v>13</v>
      </c>
      <c r="O299" s="175">
        <v>0</v>
      </c>
      <c r="P299" s="175">
        <v>10000</v>
      </c>
      <c r="Q299" s="175" t="s">
        <v>17315</v>
      </c>
      <c r="R299" s="175">
        <v>11</v>
      </c>
      <c r="S299" s="175">
        <v>0</v>
      </c>
      <c r="T299" s="175">
        <v>10000</v>
      </c>
      <c r="U299" s="175" t="s">
        <v>17315</v>
      </c>
      <c r="V299" s="175">
        <v>7</v>
      </c>
      <c r="W299" s="175">
        <v>0</v>
      </c>
      <c r="X299" s="175">
        <v>9810</v>
      </c>
      <c r="Y299" s="175" t="s">
        <v>17315</v>
      </c>
      <c r="Z299" s="175">
        <v>5.8299595141700413</v>
      </c>
      <c r="AA299" s="175">
        <v>32</v>
      </c>
      <c r="AB299" s="175">
        <v>1</v>
      </c>
      <c r="AC299" s="175">
        <v>98.125</v>
      </c>
      <c r="AD299" s="175">
        <v>4</v>
      </c>
      <c r="AE299" s="175">
        <v>4</v>
      </c>
      <c r="AF299" s="175" t="s">
        <v>236</v>
      </c>
      <c r="AG299" s="175">
        <v>2</v>
      </c>
      <c r="AH299" s="175" t="s">
        <v>15337</v>
      </c>
      <c r="AI299" s="175" t="s">
        <v>15337</v>
      </c>
      <c r="AJ299" s="175" t="s">
        <v>652</v>
      </c>
      <c r="AK299" s="175" t="s">
        <v>652</v>
      </c>
      <c r="AL299" s="1159" t="s">
        <v>251</v>
      </c>
      <c r="AM299" s="175" t="s">
        <v>460</v>
      </c>
      <c r="AN299" s="175">
        <v>1.1890000000000001</v>
      </c>
      <c r="AO299" s="175">
        <v>2.8</v>
      </c>
      <c r="AP299" s="175">
        <v>24</v>
      </c>
      <c r="AQ299" s="175">
        <v>216</v>
      </c>
      <c r="AR299" s="175">
        <v>3.8</v>
      </c>
      <c r="AS299" s="192">
        <v>23422.3488</v>
      </c>
    </row>
    <row r="300" spans="1:45" ht="16.5" customHeight="1">
      <c r="A300" s="174">
        <v>46213</v>
      </c>
      <c r="B300" s="175" t="s">
        <v>417</v>
      </c>
      <c r="C300" s="175" t="s">
        <v>17291</v>
      </c>
      <c r="D300" s="175" t="s">
        <v>633</v>
      </c>
      <c r="E300" s="175" t="s">
        <v>16719</v>
      </c>
      <c r="F300" s="175" t="s">
        <v>17290</v>
      </c>
      <c r="G300" s="175">
        <v>700</v>
      </c>
      <c r="H300" s="175" t="s">
        <v>724</v>
      </c>
      <c r="I300" s="175">
        <v>5.5</v>
      </c>
      <c r="J300" s="175">
        <v>29</v>
      </c>
      <c r="K300" s="175">
        <v>1</v>
      </c>
      <c r="L300" s="175">
        <v>9260</v>
      </c>
      <c r="M300" s="175">
        <v>9440</v>
      </c>
      <c r="N300" s="175">
        <v>14</v>
      </c>
      <c r="O300" s="175">
        <v>3</v>
      </c>
      <c r="P300" s="175">
        <v>9720</v>
      </c>
      <c r="Q300" s="175">
        <v>8890</v>
      </c>
      <c r="R300" s="175">
        <v>15</v>
      </c>
      <c r="S300" s="175">
        <v>0</v>
      </c>
      <c r="T300" s="175">
        <v>9810</v>
      </c>
      <c r="U300" s="175">
        <v>8980</v>
      </c>
      <c r="V300" s="175">
        <v>38</v>
      </c>
      <c r="W300" s="175">
        <v>0</v>
      </c>
      <c r="X300" s="175">
        <v>9720</v>
      </c>
      <c r="Y300" s="175">
        <v>9350</v>
      </c>
      <c r="Z300" s="175">
        <v>5.8299595141700413</v>
      </c>
      <c r="AA300" s="175">
        <v>32</v>
      </c>
      <c r="AB300" s="175">
        <v>0.99670138888888893</v>
      </c>
      <c r="AC300" s="175">
        <v>93.962500000000006</v>
      </c>
      <c r="AD300" s="175">
        <v>4</v>
      </c>
      <c r="AE300" s="175">
        <v>3.8333333333333335</v>
      </c>
      <c r="AF300" s="175" t="s">
        <v>236</v>
      </c>
      <c r="AG300" s="175">
        <v>1</v>
      </c>
      <c r="AH300" s="175" t="s">
        <v>638</v>
      </c>
      <c r="AI300" s="175" t="s">
        <v>638</v>
      </c>
      <c r="AJ300" s="175" t="s">
        <v>652</v>
      </c>
      <c r="AK300" s="175" t="s">
        <v>652</v>
      </c>
      <c r="AL300" s="1159" t="s">
        <v>251</v>
      </c>
      <c r="AM300" s="175" t="s">
        <v>460</v>
      </c>
      <c r="AN300" s="175">
        <v>1.1890000000000001</v>
      </c>
      <c r="AO300" s="175">
        <v>2.8</v>
      </c>
      <c r="AP300" s="175">
        <v>24</v>
      </c>
      <c r="AQ300" s="175">
        <v>216</v>
      </c>
      <c r="AR300" s="175">
        <v>3.8</v>
      </c>
      <c r="AS300" s="192">
        <v>23422.3488</v>
      </c>
    </row>
    <row r="301" spans="1:45" ht="16.5" customHeight="1">
      <c r="A301" s="174">
        <v>46213</v>
      </c>
      <c r="B301" s="175" t="s">
        <v>240</v>
      </c>
      <c r="C301" s="175" t="s">
        <v>17429</v>
      </c>
      <c r="E301" s="175" t="s">
        <v>17434</v>
      </c>
      <c r="F301" s="175" t="s">
        <v>17435</v>
      </c>
      <c r="G301" s="175">
        <v>550</v>
      </c>
      <c r="H301" s="175" t="s">
        <v>884</v>
      </c>
      <c r="I301" s="175">
        <v>4</v>
      </c>
      <c r="J301" s="175">
        <v>20</v>
      </c>
      <c r="K301" s="175">
        <v>0</v>
      </c>
      <c r="L301" s="175">
        <v>2710</v>
      </c>
      <c r="N301" s="175">
        <v>11</v>
      </c>
      <c r="O301" s="175">
        <v>0</v>
      </c>
      <c r="P301" s="175">
        <v>2948</v>
      </c>
      <c r="R301" s="175">
        <v>2</v>
      </c>
      <c r="S301" s="175">
        <v>0</v>
      </c>
      <c r="T301" s="175">
        <v>2989</v>
      </c>
      <c r="V301" s="175">
        <v>23</v>
      </c>
      <c r="W301" s="175">
        <v>0</v>
      </c>
      <c r="X301" s="175">
        <v>3143</v>
      </c>
      <c r="Z301" s="175">
        <v>1.6179775280898876</v>
      </c>
      <c r="AA301" s="175">
        <v>224</v>
      </c>
      <c r="AB301" s="175">
        <v>1</v>
      </c>
      <c r="AC301" s="175">
        <v>29.475000000000001</v>
      </c>
      <c r="AD301" s="175">
        <v>28</v>
      </c>
      <c r="AE301" s="175">
        <v>28</v>
      </c>
      <c r="AF301" s="175" t="s">
        <v>241</v>
      </c>
      <c r="AG301" s="175">
        <v>12</v>
      </c>
      <c r="AH301" s="175" t="s">
        <v>640</v>
      </c>
      <c r="AI301" s="175" t="s">
        <v>640</v>
      </c>
      <c r="AJ301" s="175" t="s">
        <v>640</v>
      </c>
      <c r="AK301" s="175" t="s">
        <v>640</v>
      </c>
      <c r="AL301" s="1159" t="s">
        <v>251</v>
      </c>
      <c r="AM301" s="175" t="s">
        <v>626</v>
      </c>
      <c r="AN301" s="175">
        <v>0.66900000000000004</v>
      </c>
      <c r="AO301" s="175">
        <v>1.6</v>
      </c>
      <c r="AP301" s="175">
        <v>24</v>
      </c>
      <c r="AQ301" s="175">
        <v>108</v>
      </c>
      <c r="AR301" s="175">
        <v>2.6</v>
      </c>
      <c r="AS301" s="192">
        <v>4508.5248000000011</v>
      </c>
    </row>
    <row r="302" spans="1:45" ht="16.5" customHeight="1">
      <c r="A302" s="174">
        <v>46213</v>
      </c>
      <c r="B302" s="175" t="s">
        <v>242</v>
      </c>
      <c r="C302" s="175" t="s">
        <v>385</v>
      </c>
      <c r="E302" s="175" t="s">
        <v>419</v>
      </c>
      <c r="F302" s="175" t="s">
        <v>419</v>
      </c>
      <c r="G302" s="175" t="s">
        <v>419</v>
      </c>
      <c r="H302" s="175" t="s">
        <v>419</v>
      </c>
      <c r="I302" s="175" t="s">
        <v>419</v>
      </c>
      <c r="L302" s="175" t="s">
        <v>385</v>
      </c>
      <c r="P302" s="175" t="s">
        <v>385</v>
      </c>
      <c r="T302" s="175" t="s">
        <v>385</v>
      </c>
      <c r="X302" s="175" t="s">
        <v>385</v>
      </c>
      <c r="Z302" s="175" t="s">
        <v>419</v>
      </c>
      <c r="AA302" s="175" t="s">
        <v>385</v>
      </c>
      <c r="AB302" s="175" t="s">
        <v>419</v>
      </c>
      <c r="AC302" s="175" t="s">
        <v>419</v>
      </c>
      <c r="AD302" s="175" t="s">
        <v>419</v>
      </c>
      <c r="AE302" s="175" t="s">
        <v>419</v>
      </c>
      <c r="AF302" s="175" t="s">
        <v>241</v>
      </c>
      <c r="AG302" s="175">
        <v>5</v>
      </c>
      <c r="AH302" s="175" t="s">
        <v>15370</v>
      </c>
      <c r="AI302" s="175" t="s">
        <v>634</v>
      </c>
      <c r="AJ302" s="175" t="s">
        <v>636</v>
      </c>
      <c r="AK302" s="175" t="s">
        <v>636</v>
      </c>
      <c r="AL302" s="1159" t="s">
        <v>419</v>
      </c>
      <c r="AM302" s="175" t="s">
        <v>419</v>
      </c>
      <c r="AN302" s="175" t="s">
        <v>419</v>
      </c>
      <c r="AO302" s="175" t="s">
        <v>419</v>
      </c>
      <c r="AP302" s="175">
        <v>24</v>
      </c>
      <c r="AQ302" s="175">
        <v>216</v>
      </c>
      <c r="AR302" s="175" t="s">
        <v>419</v>
      </c>
      <c r="AS302" s="192" t="s">
        <v>419</v>
      </c>
    </row>
    <row r="303" spans="1:45" ht="16.5" customHeight="1">
      <c r="A303" s="174">
        <v>46214</v>
      </c>
      <c r="B303" s="175" t="s">
        <v>212</v>
      </c>
      <c r="C303" s="175" t="s">
        <v>632</v>
      </c>
      <c r="E303" s="175" t="s">
        <v>419</v>
      </c>
      <c r="F303" s="175" t="s">
        <v>419</v>
      </c>
      <c r="G303" s="175" t="s">
        <v>419</v>
      </c>
      <c r="H303" s="175" t="s">
        <v>419</v>
      </c>
      <c r="I303" s="175" t="s">
        <v>419</v>
      </c>
      <c r="L303" s="175" t="s">
        <v>632</v>
      </c>
      <c r="P303" s="175" t="s">
        <v>632</v>
      </c>
      <c r="T303" s="175" t="s">
        <v>632</v>
      </c>
      <c r="X303" s="175" t="s">
        <v>632</v>
      </c>
      <c r="Z303" s="175" t="s">
        <v>419</v>
      </c>
      <c r="AA303" s="175" t="s">
        <v>632</v>
      </c>
      <c r="AB303" s="175" t="s">
        <v>419</v>
      </c>
      <c r="AC303" s="175" t="s">
        <v>419</v>
      </c>
      <c r="AD303" s="175" t="s">
        <v>419</v>
      </c>
      <c r="AE303" s="175" t="s">
        <v>419</v>
      </c>
      <c r="AF303" s="175" t="s">
        <v>213</v>
      </c>
      <c r="AG303" s="175">
        <v>1</v>
      </c>
      <c r="AH303" s="175" t="s">
        <v>640</v>
      </c>
      <c r="AI303" s="175" t="s">
        <v>640</v>
      </c>
      <c r="AJ303" s="175" t="s">
        <v>640</v>
      </c>
      <c r="AK303" s="175" t="s">
        <v>640</v>
      </c>
      <c r="AL303" s="1159" t="s">
        <v>419</v>
      </c>
      <c r="AM303" s="175" t="s">
        <v>419</v>
      </c>
      <c r="AN303" s="175" t="s">
        <v>419</v>
      </c>
      <c r="AO303" s="175" t="s">
        <v>419</v>
      </c>
      <c r="AP303" s="175">
        <v>24</v>
      </c>
      <c r="AQ303" s="175">
        <v>216</v>
      </c>
      <c r="AR303" s="175" t="s">
        <v>419</v>
      </c>
      <c r="AS303" s="192" t="s">
        <v>419</v>
      </c>
    </row>
    <row r="304" spans="1:45" ht="16.5" customHeight="1">
      <c r="A304" s="174">
        <v>46214</v>
      </c>
      <c r="B304" s="175" t="s">
        <v>214</v>
      </c>
      <c r="C304" s="175" t="s">
        <v>632</v>
      </c>
      <c r="E304" s="175" t="s">
        <v>419</v>
      </c>
      <c r="F304" s="175" t="s">
        <v>419</v>
      </c>
      <c r="G304" s="175" t="s">
        <v>419</v>
      </c>
      <c r="H304" s="175" t="s">
        <v>419</v>
      </c>
      <c r="I304" s="175" t="s">
        <v>419</v>
      </c>
      <c r="L304" s="175" t="s">
        <v>632</v>
      </c>
      <c r="P304" s="175" t="s">
        <v>632</v>
      </c>
      <c r="T304" s="175" t="s">
        <v>632</v>
      </c>
      <c r="X304" s="175" t="s">
        <v>632</v>
      </c>
      <c r="Z304" s="175" t="s">
        <v>419</v>
      </c>
      <c r="AA304" s="175" t="s">
        <v>632</v>
      </c>
      <c r="AB304" s="175" t="s">
        <v>419</v>
      </c>
      <c r="AC304" s="175" t="s">
        <v>419</v>
      </c>
      <c r="AD304" s="175" t="s">
        <v>419</v>
      </c>
      <c r="AE304" s="175" t="s">
        <v>419</v>
      </c>
      <c r="AF304" s="175" t="s">
        <v>213</v>
      </c>
      <c r="AG304" s="175">
        <v>1</v>
      </c>
      <c r="AH304" s="175" t="s">
        <v>640</v>
      </c>
      <c r="AI304" s="175" t="s">
        <v>640</v>
      </c>
      <c r="AJ304" s="175" t="s">
        <v>640</v>
      </c>
      <c r="AK304" s="175" t="s">
        <v>640</v>
      </c>
      <c r="AL304" s="1159" t="s">
        <v>419</v>
      </c>
      <c r="AM304" s="175" t="s">
        <v>419</v>
      </c>
      <c r="AN304" s="175" t="s">
        <v>419</v>
      </c>
      <c r="AO304" s="175" t="s">
        <v>419</v>
      </c>
      <c r="AP304" s="175">
        <v>24</v>
      </c>
      <c r="AQ304" s="175">
        <v>216</v>
      </c>
      <c r="AR304" s="175" t="s">
        <v>419</v>
      </c>
      <c r="AS304" s="192" t="s">
        <v>419</v>
      </c>
    </row>
    <row r="305" spans="1:45" ht="16.5" customHeight="1">
      <c r="A305" s="174">
        <v>46214</v>
      </c>
      <c r="B305" s="175" t="s">
        <v>215</v>
      </c>
      <c r="C305" s="175" t="s">
        <v>17316</v>
      </c>
      <c r="E305" s="175" t="s">
        <v>5005</v>
      </c>
      <c r="F305" s="175" t="s">
        <v>17317</v>
      </c>
      <c r="G305" s="175">
        <v>500</v>
      </c>
      <c r="H305" s="175" t="s">
        <v>1186</v>
      </c>
      <c r="I305" s="175">
        <v>4</v>
      </c>
      <c r="J305" s="175">
        <v>48</v>
      </c>
      <c r="K305" s="175">
        <v>4</v>
      </c>
      <c r="L305" s="175">
        <v>7931</v>
      </c>
      <c r="M305" s="175">
        <v>7342</v>
      </c>
      <c r="N305" s="175">
        <v>32</v>
      </c>
      <c r="O305" s="175">
        <v>4</v>
      </c>
      <c r="P305" s="175">
        <v>7897</v>
      </c>
      <c r="Q305" s="175">
        <v>7969</v>
      </c>
      <c r="R305" s="175">
        <v>10</v>
      </c>
      <c r="S305" s="175">
        <v>0</v>
      </c>
      <c r="T305" s="175">
        <v>7960</v>
      </c>
      <c r="U305" s="175">
        <v>7847</v>
      </c>
      <c r="V305" s="175">
        <v>50</v>
      </c>
      <c r="W305" s="175">
        <v>0</v>
      </c>
      <c r="X305" s="175">
        <v>7614</v>
      </c>
      <c r="Y305" s="175">
        <v>7773</v>
      </c>
      <c r="Z305" s="175">
        <v>2.9937629937629939</v>
      </c>
      <c r="AA305" s="175">
        <v>46.666666666666664</v>
      </c>
      <c r="AB305" s="175">
        <v>0.98715277777777777</v>
      </c>
      <c r="AC305" s="175">
        <v>77.916250000000005</v>
      </c>
      <c r="AD305" s="175">
        <v>5.833333333333333</v>
      </c>
      <c r="AE305" s="175">
        <v>5.5</v>
      </c>
      <c r="AF305" s="175" t="s">
        <v>213</v>
      </c>
      <c r="AG305" s="175">
        <v>1</v>
      </c>
      <c r="AH305" s="175" t="s">
        <v>16113</v>
      </c>
      <c r="AI305" s="175" t="s">
        <v>16113</v>
      </c>
      <c r="AJ305" s="175" t="s">
        <v>815</v>
      </c>
      <c r="AK305" s="175" t="s">
        <v>815</v>
      </c>
      <c r="AL305" s="1159" t="s">
        <v>250</v>
      </c>
      <c r="AM305" s="175" t="s">
        <v>126</v>
      </c>
      <c r="AN305" s="175">
        <v>0.91100000000000003</v>
      </c>
      <c r="AO305" s="175">
        <v>1.9</v>
      </c>
      <c r="AP305" s="175">
        <v>24</v>
      </c>
      <c r="AQ305" s="175">
        <v>216</v>
      </c>
      <c r="AR305" s="175">
        <v>2.9</v>
      </c>
      <c r="AS305" s="192">
        <v>13695.6096</v>
      </c>
    </row>
    <row r="306" spans="1:45" ht="16.5" customHeight="1">
      <c r="A306" s="174">
        <v>46214</v>
      </c>
      <c r="B306" s="175" t="s">
        <v>216</v>
      </c>
      <c r="C306" s="175" t="s">
        <v>632</v>
      </c>
      <c r="E306" s="175" t="s">
        <v>419</v>
      </c>
      <c r="F306" s="175" t="s">
        <v>419</v>
      </c>
      <c r="G306" s="175" t="s">
        <v>419</v>
      </c>
      <c r="H306" s="175" t="s">
        <v>419</v>
      </c>
      <c r="I306" s="175" t="s">
        <v>419</v>
      </c>
      <c r="L306" s="175" t="s">
        <v>632</v>
      </c>
      <c r="P306" s="175" t="s">
        <v>632</v>
      </c>
      <c r="T306" s="175" t="s">
        <v>632</v>
      </c>
      <c r="X306" s="175" t="s">
        <v>632</v>
      </c>
      <c r="Z306" s="175" t="s">
        <v>419</v>
      </c>
      <c r="AA306" s="175" t="s">
        <v>632</v>
      </c>
      <c r="AB306" s="175" t="s">
        <v>419</v>
      </c>
      <c r="AC306" s="175" t="s">
        <v>419</v>
      </c>
      <c r="AD306" s="175" t="s">
        <v>419</v>
      </c>
      <c r="AE306" s="175" t="s">
        <v>419</v>
      </c>
      <c r="AF306" s="175" t="s">
        <v>213</v>
      </c>
      <c r="AG306" s="175">
        <v>1</v>
      </c>
      <c r="AH306" s="175" t="s">
        <v>640</v>
      </c>
      <c r="AI306" s="175" t="s">
        <v>640</v>
      </c>
      <c r="AJ306" s="175" t="s">
        <v>640</v>
      </c>
      <c r="AK306" s="175" t="s">
        <v>640</v>
      </c>
      <c r="AL306" s="1159" t="s">
        <v>419</v>
      </c>
      <c r="AM306" s="175" t="s">
        <v>419</v>
      </c>
      <c r="AN306" s="175" t="s">
        <v>419</v>
      </c>
      <c r="AO306" s="175" t="s">
        <v>419</v>
      </c>
      <c r="AP306" s="175">
        <v>24</v>
      </c>
      <c r="AQ306" s="175">
        <v>216</v>
      </c>
      <c r="AR306" s="175" t="s">
        <v>419</v>
      </c>
      <c r="AS306" s="192" t="s">
        <v>419</v>
      </c>
    </row>
    <row r="307" spans="1:45" ht="16.5" customHeight="1">
      <c r="A307" s="174">
        <v>46214</v>
      </c>
      <c r="B307" s="175" t="s">
        <v>217</v>
      </c>
      <c r="C307" s="175" t="s">
        <v>17380</v>
      </c>
      <c r="E307" s="175" t="s">
        <v>17381</v>
      </c>
      <c r="F307" s="175" t="s">
        <v>17382</v>
      </c>
      <c r="G307" s="175">
        <v>680</v>
      </c>
      <c r="H307" s="175" t="s">
        <v>16728</v>
      </c>
      <c r="I307" s="175">
        <v>5</v>
      </c>
      <c r="J307" s="175">
        <v>14</v>
      </c>
      <c r="K307" s="175">
        <v>0</v>
      </c>
      <c r="L307" s="175">
        <v>8990</v>
      </c>
      <c r="M307" s="175">
        <v>9081</v>
      </c>
      <c r="N307" s="175">
        <v>20</v>
      </c>
      <c r="O307" s="175">
        <v>1</v>
      </c>
      <c r="P307" s="175">
        <v>8626</v>
      </c>
      <c r="Q307" s="175">
        <v>9121</v>
      </c>
      <c r="R307" s="175">
        <v>9</v>
      </c>
      <c r="S307" s="175">
        <v>0</v>
      </c>
      <c r="T307" s="175">
        <v>8589</v>
      </c>
      <c r="U307" s="175">
        <v>9101</v>
      </c>
      <c r="V307" s="175">
        <v>19</v>
      </c>
      <c r="W307" s="175">
        <v>0</v>
      </c>
      <c r="X307" s="175">
        <v>8200</v>
      </c>
      <c r="Y307" s="175">
        <v>9008</v>
      </c>
      <c r="Z307" s="175">
        <v>1.5824175824175823</v>
      </c>
      <c r="AA307" s="175">
        <v>20.666666666666668</v>
      </c>
      <c r="AB307" s="175">
        <v>0.99696180555555558</v>
      </c>
      <c r="AC307" s="175">
        <v>88.394999999999996</v>
      </c>
      <c r="AD307" s="175">
        <v>2.5833333333333335</v>
      </c>
      <c r="AE307" s="175">
        <v>2.5416666666666665</v>
      </c>
      <c r="AF307" s="175" t="s">
        <v>213</v>
      </c>
      <c r="AG307" s="175">
        <v>1</v>
      </c>
      <c r="AH307" s="175" t="s">
        <v>629</v>
      </c>
      <c r="AI307" s="175" t="s">
        <v>629</v>
      </c>
      <c r="AJ307" s="175" t="s">
        <v>15368</v>
      </c>
      <c r="AK307" s="175" t="s">
        <v>15368</v>
      </c>
      <c r="AL307" s="1159" t="s">
        <v>251</v>
      </c>
      <c r="AM307" s="175" t="s">
        <v>126</v>
      </c>
      <c r="AN307" s="175">
        <v>0.91100000000000003</v>
      </c>
      <c r="AO307" s="175">
        <v>1.3</v>
      </c>
      <c r="AP307" s="175">
        <v>24</v>
      </c>
      <c r="AQ307" s="175">
        <v>216</v>
      </c>
      <c r="AR307" s="175">
        <v>2.2999999999999998</v>
      </c>
      <c r="AS307" s="192">
        <v>10862.035199999998</v>
      </c>
    </row>
    <row r="308" spans="1:45" ht="16.5" customHeight="1">
      <c r="A308" s="174">
        <v>46214</v>
      </c>
      <c r="B308" s="175" t="s">
        <v>218</v>
      </c>
      <c r="C308" s="175" t="s">
        <v>17221</v>
      </c>
      <c r="E308" s="175" t="s">
        <v>17237</v>
      </c>
      <c r="F308" s="175" t="s">
        <v>17229</v>
      </c>
      <c r="G308" s="175">
        <v>600</v>
      </c>
      <c r="H308" s="175" t="s">
        <v>15893</v>
      </c>
      <c r="I308" s="175">
        <v>5</v>
      </c>
      <c r="J308" s="175">
        <v>16</v>
      </c>
      <c r="K308" s="175">
        <v>0</v>
      </c>
      <c r="L308" s="175">
        <v>9222</v>
      </c>
      <c r="M308" s="175">
        <v>9356</v>
      </c>
      <c r="N308" s="175">
        <v>6</v>
      </c>
      <c r="O308" s="175">
        <v>0</v>
      </c>
      <c r="P308" s="175">
        <v>9309</v>
      </c>
      <c r="Q308" s="175">
        <v>9630</v>
      </c>
      <c r="R308" s="175">
        <v>8</v>
      </c>
      <c r="S308" s="175">
        <v>0</v>
      </c>
      <c r="T308" s="175">
        <v>9316</v>
      </c>
      <c r="U308" s="175">
        <v>9588</v>
      </c>
      <c r="V308" s="175">
        <v>10</v>
      </c>
      <c r="W308" s="175">
        <v>0</v>
      </c>
      <c r="X308" s="175">
        <v>9338</v>
      </c>
      <c r="Y308" s="175">
        <v>9513</v>
      </c>
      <c r="Z308" s="175">
        <v>2.8015564202334629</v>
      </c>
      <c r="AA308" s="175">
        <v>6.666666666666667</v>
      </c>
      <c r="AB308" s="175">
        <v>1</v>
      </c>
      <c r="AC308" s="175">
        <v>94.09</v>
      </c>
      <c r="AD308" s="175">
        <v>0.83333333333333337</v>
      </c>
      <c r="AE308" s="175">
        <v>0.83333333333333337</v>
      </c>
      <c r="AF308" s="175" t="s">
        <v>213</v>
      </c>
      <c r="AG308" s="175">
        <v>0.5</v>
      </c>
      <c r="AH308" s="175" t="s">
        <v>629</v>
      </c>
      <c r="AI308" s="175" t="s">
        <v>629</v>
      </c>
      <c r="AJ308" s="175" t="s">
        <v>15368</v>
      </c>
      <c r="AK308" s="175" t="s">
        <v>15368</v>
      </c>
      <c r="AL308" s="1159" t="s">
        <v>250</v>
      </c>
      <c r="AM308" s="175" t="s">
        <v>126</v>
      </c>
      <c r="AN308" s="175">
        <v>0.91100000000000003</v>
      </c>
      <c r="AO308" s="175">
        <v>1.7</v>
      </c>
      <c r="AP308" s="175">
        <v>24</v>
      </c>
      <c r="AQ308" s="175">
        <v>216</v>
      </c>
      <c r="AR308" s="175">
        <v>2.7</v>
      </c>
      <c r="AS308" s="192">
        <v>12751.084800000001</v>
      </c>
    </row>
    <row r="309" spans="1:45" ht="16.5" customHeight="1">
      <c r="A309" s="174">
        <v>46214</v>
      </c>
      <c r="B309" s="175" t="s">
        <v>219</v>
      </c>
      <c r="C309" s="175" t="s">
        <v>632</v>
      </c>
      <c r="E309" s="175" t="s">
        <v>419</v>
      </c>
      <c r="F309" s="175" t="s">
        <v>419</v>
      </c>
      <c r="G309" s="175" t="s">
        <v>419</v>
      </c>
      <c r="H309" s="175" t="s">
        <v>419</v>
      </c>
      <c r="I309" s="175" t="s">
        <v>419</v>
      </c>
      <c r="L309" s="175" t="s">
        <v>632</v>
      </c>
      <c r="P309" s="175" t="s">
        <v>632</v>
      </c>
      <c r="T309" s="175" t="s">
        <v>632</v>
      </c>
      <c r="X309" s="175" t="s">
        <v>632</v>
      </c>
      <c r="Z309" s="175" t="s">
        <v>419</v>
      </c>
      <c r="AA309" s="175" t="s">
        <v>632</v>
      </c>
      <c r="AB309" s="175" t="s">
        <v>419</v>
      </c>
      <c r="AC309" s="175" t="s">
        <v>419</v>
      </c>
      <c r="AD309" s="175" t="s">
        <v>419</v>
      </c>
      <c r="AE309" s="175" t="s">
        <v>419</v>
      </c>
      <c r="AF309" s="175" t="s">
        <v>213</v>
      </c>
      <c r="AG309" s="175">
        <v>1</v>
      </c>
      <c r="AH309" s="175" t="s">
        <v>640</v>
      </c>
      <c r="AI309" s="175" t="s">
        <v>640</v>
      </c>
      <c r="AJ309" s="175" t="s">
        <v>640</v>
      </c>
      <c r="AK309" s="175" t="s">
        <v>640</v>
      </c>
      <c r="AL309" s="1159" t="s">
        <v>419</v>
      </c>
      <c r="AM309" s="175" t="s">
        <v>419</v>
      </c>
      <c r="AN309" s="175" t="s">
        <v>419</v>
      </c>
      <c r="AO309" s="175" t="s">
        <v>419</v>
      </c>
      <c r="AP309" s="175">
        <v>24</v>
      </c>
      <c r="AQ309" s="175">
        <v>216</v>
      </c>
      <c r="AR309" s="175" t="s">
        <v>419</v>
      </c>
      <c r="AS309" s="192" t="s">
        <v>419</v>
      </c>
    </row>
    <row r="310" spans="1:45" ht="16.5" customHeight="1">
      <c r="A310" s="174">
        <v>46214</v>
      </c>
      <c r="B310" s="175" t="s">
        <v>220</v>
      </c>
      <c r="C310" s="175" t="s">
        <v>17430</v>
      </c>
      <c r="E310" s="175" t="s">
        <v>1891</v>
      </c>
      <c r="F310" s="175" t="s">
        <v>17433</v>
      </c>
      <c r="G310" s="175">
        <v>600</v>
      </c>
      <c r="H310" s="175" t="s">
        <v>474</v>
      </c>
      <c r="I310" s="175">
        <v>4</v>
      </c>
      <c r="J310" s="175">
        <v>22</v>
      </c>
      <c r="K310" s="175">
        <v>2</v>
      </c>
      <c r="L310" s="175">
        <v>7771</v>
      </c>
      <c r="M310" s="175">
        <v>8326</v>
      </c>
      <c r="N310" s="175">
        <v>27</v>
      </c>
      <c r="O310" s="175">
        <v>10</v>
      </c>
      <c r="P310" s="175">
        <v>7276</v>
      </c>
      <c r="Q310" s="175">
        <v>8134</v>
      </c>
      <c r="R310" s="175">
        <v>12</v>
      </c>
      <c r="S310" s="175">
        <v>0</v>
      </c>
      <c r="T310" s="175">
        <v>7595</v>
      </c>
      <c r="U310" s="175">
        <v>8200</v>
      </c>
      <c r="V310" s="175">
        <v>37</v>
      </c>
      <c r="W310" s="175">
        <v>0</v>
      </c>
      <c r="X310" s="175">
        <v>7175</v>
      </c>
      <c r="Y310" s="175">
        <v>7970</v>
      </c>
      <c r="Z310" s="175">
        <v>1.7625458996328029</v>
      </c>
      <c r="AA310" s="175">
        <v>32.666666666666664</v>
      </c>
      <c r="AB310" s="175">
        <v>0.96726762820512824</v>
      </c>
      <c r="AC310" s="175">
        <v>78.058750000000003</v>
      </c>
      <c r="AD310" s="175">
        <v>4.083333333333333</v>
      </c>
      <c r="AE310" s="175">
        <v>3.5833333333333335</v>
      </c>
      <c r="AF310" s="175" t="s">
        <v>213</v>
      </c>
      <c r="AG310" s="175">
        <v>1</v>
      </c>
      <c r="AH310" s="175" t="s">
        <v>16113</v>
      </c>
      <c r="AI310" s="175" t="s">
        <v>16113</v>
      </c>
      <c r="AJ310" s="175" t="s">
        <v>815</v>
      </c>
      <c r="AK310" s="175" t="s">
        <v>815</v>
      </c>
      <c r="AL310" s="1159" t="s">
        <v>250</v>
      </c>
      <c r="AM310" s="175" t="s">
        <v>126</v>
      </c>
      <c r="AN310" s="175">
        <v>0.91100000000000003</v>
      </c>
      <c r="AO310" s="175">
        <v>0.7</v>
      </c>
      <c r="AP310" s="175">
        <v>24</v>
      </c>
      <c r="AQ310" s="175">
        <v>216</v>
      </c>
      <c r="AR310" s="175">
        <v>1.7</v>
      </c>
      <c r="AS310" s="192">
        <v>8028.4608000000007</v>
      </c>
    </row>
    <row r="311" spans="1:45" ht="16.5" customHeight="1">
      <c r="A311" s="174">
        <v>46214</v>
      </c>
      <c r="B311" s="175" t="s">
        <v>221</v>
      </c>
      <c r="C311" s="175" t="s">
        <v>632</v>
      </c>
      <c r="E311" s="175" t="s">
        <v>419</v>
      </c>
      <c r="F311" s="175" t="s">
        <v>419</v>
      </c>
      <c r="G311" s="175" t="s">
        <v>419</v>
      </c>
      <c r="H311" s="175" t="s">
        <v>419</v>
      </c>
      <c r="I311" s="175" t="s">
        <v>419</v>
      </c>
      <c r="L311" s="175" t="s">
        <v>632</v>
      </c>
      <c r="P311" s="175" t="s">
        <v>632</v>
      </c>
      <c r="T311" s="175" t="s">
        <v>632</v>
      </c>
      <c r="X311" s="175" t="s">
        <v>632</v>
      </c>
      <c r="Z311" s="175" t="s">
        <v>419</v>
      </c>
      <c r="AA311" s="175" t="s">
        <v>632</v>
      </c>
      <c r="AB311" s="175" t="s">
        <v>419</v>
      </c>
      <c r="AC311" s="175" t="s">
        <v>419</v>
      </c>
      <c r="AD311" s="175" t="s">
        <v>419</v>
      </c>
      <c r="AE311" s="175" t="s">
        <v>419</v>
      </c>
      <c r="AF311" s="175" t="s">
        <v>213</v>
      </c>
      <c r="AG311" s="175">
        <v>1</v>
      </c>
      <c r="AH311" s="175" t="s">
        <v>640</v>
      </c>
      <c r="AI311" s="175" t="s">
        <v>640</v>
      </c>
      <c r="AJ311" s="175" t="s">
        <v>640</v>
      </c>
      <c r="AK311" s="175" t="s">
        <v>640</v>
      </c>
      <c r="AL311" s="1159" t="s">
        <v>419</v>
      </c>
      <c r="AM311" s="175" t="s">
        <v>419</v>
      </c>
      <c r="AN311" s="175" t="s">
        <v>419</v>
      </c>
      <c r="AO311" s="175" t="s">
        <v>419</v>
      </c>
      <c r="AP311" s="175">
        <v>24</v>
      </c>
      <c r="AQ311" s="175">
        <v>216</v>
      </c>
      <c r="AR311" s="175" t="s">
        <v>419</v>
      </c>
      <c r="AS311" s="192" t="s">
        <v>419</v>
      </c>
    </row>
    <row r="312" spans="1:45" ht="16.5" customHeight="1">
      <c r="A312" s="174">
        <v>46214</v>
      </c>
      <c r="B312" s="175" t="s">
        <v>222</v>
      </c>
      <c r="C312" s="175" t="s">
        <v>17261</v>
      </c>
      <c r="D312" s="175" t="s">
        <v>16748</v>
      </c>
      <c r="E312" s="175" t="s">
        <v>17177</v>
      </c>
      <c r="F312" s="175" t="s">
        <v>17262</v>
      </c>
      <c r="G312" s="175">
        <v>550</v>
      </c>
      <c r="H312" s="175" t="s">
        <v>762</v>
      </c>
      <c r="I312" s="175">
        <v>2</v>
      </c>
      <c r="L312" s="175" t="s">
        <v>127</v>
      </c>
      <c r="M312" s="175" t="s">
        <v>632</v>
      </c>
      <c r="P312" s="175" t="s">
        <v>127</v>
      </c>
      <c r="Q312" s="175" t="s">
        <v>632</v>
      </c>
      <c r="T312" s="175" t="s">
        <v>127</v>
      </c>
      <c r="U312" s="175" t="s">
        <v>632</v>
      </c>
      <c r="X312" s="175" t="s">
        <v>127</v>
      </c>
      <c r="Y312" s="175" t="s">
        <v>632</v>
      </c>
      <c r="Z312" s="175">
        <v>2.1686746987951806</v>
      </c>
      <c r="AA312" s="175" t="s">
        <v>127</v>
      </c>
      <c r="AB312" s="175" t="s">
        <v>419</v>
      </c>
      <c r="AC312" s="175" t="s">
        <v>419</v>
      </c>
      <c r="AD312" s="175" t="s">
        <v>419</v>
      </c>
      <c r="AE312" s="175" t="s">
        <v>419</v>
      </c>
      <c r="AF312" s="175" t="s">
        <v>213</v>
      </c>
      <c r="AG312" s="175">
        <v>2</v>
      </c>
      <c r="AH312" s="175" t="s">
        <v>629</v>
      </c>
      <c r="AI312" s="175" t="s">
        <v>629</v>
      </c>
      <c r="AJ312" s="175" t="s">
        <v>15368</v>
      </c>
      <c r="AK312" s="175" t="s">
        <v>15368</v>
      </c>
      <c r="AL312" s="1159" t="s">
        <v>250</v>
      </c>
      <c r="AM312" s="175" t="s">
        <v>126</v>
      </c>
      <c r="AN312" s="175">
        <v>0.91100000000000003</v>
      </c>
      <c r="AO312" s="175">
        <v>0.7</v>
      </c>
      <c r="AP312" s="175">
        <v>24</v>
      </c>
      <c r="AQ312" s="175">
        <v>216</v>
      </c>
      <c r="AR312" s="175">
        <v>1.7</v>
      </c>
      <c r="AS312" s="192">
        <v>8028.4608000000007</v>
      </c>
    </row>
    <row r="313" spans="1:45" ht="16.5" customHeight="1">
      <c r="A313" s="174">
        <v>46214</v>
      </c>
      <c r="B313" s="175" t="s">
        <v>223</v>
      </c>
      <c r="C313" s="175" t="s">
        <v>17263</v>
      </c>
      <c r="D313" s="175" t="s">
        <v>16748</v>
      </c>
      <c r="E313" s="175" t="s">
        <v>17156</v>
      </c>
      <c r="F313" s="175" t="s">
        <v>17264</v>
      </c>
      <c r="G313" s="175">
        <v>600</v>
      </c>
      <c r="H313" s="175" t="s">
        <v>456</v>
      </c>
      <c r="I313" s="175">
        <v>3</v>
      </c>
      <c r="J313" s="175">
        <v>16</v>
      </c>
      <c r="K313" s="175">
        <v>0</v>
      </c>
      <c r="L313" s="175">
        <v>7048</v>
      </c>
      <c r="N313" s="175">
        <v>6</v>
      </c>
      <c r="O313" s="175">
        <v>0</v>
      </c>
      <c r="P313" s="175">
        <v>7169</v>
      </c>
      <c r="R313" s="175">
        <v>2</v>
      </c>
      <c r="S313" s="175">
        <v>0</v>
      </c>
      <c r="T313" s="175">
        <v>7909</v>
      </c>
      <c r="V313" s="175">
        <v>10</v>
      </c>
      <c r="W313" s="175">
        <v>0</v>
      </c>
      <c r="X313" s="175">
        <v>7191</v>
      </c>
      <c r="Z313" s="175">
        <v>2.4</v>
      </c>
      <c r="AA313" s="175">
        <v>22.666666666666668</v>
      </c>
      <c r="AB313" s="175">
        <v>1</v>
      </c>
      <c r="AC313" s="175">
        <v>73.292500000000004</v>
      </c>
      <c r="AD313" s="175">
        <v>2.8333333333333335</v>
      </c>
      <c r="AE313" s="175">
        <v>2.8333333333333335</v>
      </c>
      <c r="AF313" s="175" t="s">
        <v>213</v>
      </c>
      <c r="AG313" s="175">
        <v>2</v>
      </c>
      <c r="AH313" s="175" t="s">
        <v>629</v>
      </c>
      <c r="AI313" s="175" t="s">
        <v>629</v>
      </c>
      <c r="AJ313" s="175" t="s">
        <v>15368</v>
      </c>
      <c r="AK313" s="175" t="s">
        <v>15368</v>
      </c>
      <c r="AL313" s="1159" t="s">
        <v>250</v>
      </c>
      <c r="AM313" s="175" t="s">
        <v>126</v>
      </c>
      <c r="AN313" s="175">
        <v>0.91100000000000003</v>
      </c>
      <c r="AO313" s="175">
        <v>0.8</v>
      </c>
      <c r="AP313" s="175">
        <v>24</v>
      </c>
      <c r="AQ313" s="175">
        <v>216</v>
      </c>
      <c r="AR313" s="175">
        <v>1.8</v>
      </c>
      <c r="AS313" s="192">
        <v>8500.7232000000004</v>
      </c>
    </row>
    <row r="314" spans="1:45" ht="16.5" customHeight="1">
      <c r="A314" s="174">
        <v>46214</v>
      </c>
      <c r="B314" s="175" t="s">
        <v>223</v>
      </c>
      <c r="C314" s="175" t="s">
        <v>17431</v>
      </c>
      <c r="E314" s="175" t="s">
        <v>15035</v>
      </c>
      <c r="F314" s="175" t="s">
        <v>16860</v>
      </c>
      <c r="G314" s="175">
        <v>550</v>
      </c>
      <c r="H314" s="175" t="s">
        <v>622</v>
      </c>
      <c r="I314" s="175">
        <v>5</v>
      </c>
      <c r="J314" s="175">
        <v>12</v>
      </c>
      <c r="K314" s="175">
        <v>0</v>
      </c>
      <c r="M314" s="175">
        <v>7327</v>
      </c>
      <c r="N314" s="175">
        <v>1</v>
      </c>
      <c r="O314" s="175">
        <v>0</v>
      </c>
      <c r="Q314" s="175">
        <v>7833</v>
      </c>
      <c r="R314" s="175">
        <v>2</v>
      </c>
      <c r="S314" s="175">
        <v>0</v>
      </c>
      <c r="T314" s="175">
        <v>7884</v>
      </c>
      <c r="V314" s="175">
        <v>4</v>
      </c>
      <c r="W314" s="175">
        <v>0</v>
      </c>
      <c r="Y314" s="175">
        <v>7573</v>
      </c>
      <c r="Z314" s="175">
        <v>1.3345690454124188</v>
      </c>
      <c r="AA314" s="175">
        <v>12.666666666666666</v>
      </c>
      <c r="AB314" s="175">
        <v>1</v>
      </c>
      <c r="AC314" s="175">
        <v>76.542500000000004</v>
      </c>
      <c r="AD314" s="175">
        <v>1.5833333333333333</v>
      </c>
      <c r="AE314" s="175">
        <v>1.5833333333333333</v>
      </c>
      <c r="AF314" s="175" t="s">
        <v>213</v>
      </c>
      <c r="AG314" s="175">
        <v>2</v>
      </c>
      <c r="AH314" s="175" t="s">
        <v>629</v>
      </c>
      <c r="AI314" s="175" t="s">
        <v>629</v>
      </c>
      <c r="AJ314" s="175" t="s">
        <v>15368</v>
      </c>
      <c r="AK314" s="175" t="s">
        <v>15368</v>
      </c>
      <c r="AM314" s="175" t="s">
        <v>126</v>
      </c>
      <c r="AN314" s="175">
        <v>0.91100000000000003</v>
      </c>
      <c r="AO314" s="175">
        <v>0.8</v>
      </c>
      <c r="AP314" s="175">
        <v>24</v>
      </c>
      <c r="AQ314" s="175">
        <v>216</v>
      </c>
      <c r="AR314" s="175">
        <v>1.8</v>
      </c>
      <c r="AS314" s="192">
        <v>8500.7232000000004</v>
      </c>
    </row>
    <row r="315" spans="1:45" ht="16.5" customHeight="1">
      <c r="A315" s="174">
        <v>46214</v>
      </c>
      <c r="B315" s="175" t="s">
        <v>224</v>
      </c>
      <c r="C315" s="175" t="s">
        <v>632</v>
      </c>
      <c r="E315" s="175" t="s">
        <v>419</v>
      </c>
      <c r="F315" s="175" t="s">
        <v>419</v>
      </c>
      <c r="G315" s="175" t="s">
        <v>419</v>
      </c>
      <c r="H315" s="175" t="s">
        <v>419</v>
      </c>
      <c r="I315" s="175" t="s">
        <v>419</v>
      </c>
      <c r="L315" s="175" t="s">
        <v>632</v>
      </c>
      <c r="P315" s="175" t="s">
        <v>632</v>
      </c>
      <c r="T315" s="175" t="s">
        <v>632</v>
      </c>
      <c r="X315" s="175" t="s">
        <v>632</v>
      </c>
      <c r="Z315" s="175" t="s">
        <v>419</v>
      </c>
      <c r="AA315" s="175" t="s">
        <v>632</v>
      </c>
      <c r="AB315" s="175" t="s">
        <v>419</v>
      </c>
      <c r="AC315" s="175" t="s">
        <v>419</v>
      </c>
      <c r="AD315" s="175" t="s">
        <v>419</v>
      </c>
      <c r="AE315" s="175" t="s">
        <v>419</v>
      </c>
      <c r="AF315" s="175" t="s">
        <v>213</v>
      </c>
      <c r="AG315" s="175">
        <v>0.5</v>
      </c>
      <c r="AH315" s="175" t="s">
        <v>640</v>
      </c>
      <c r="AI315" s="175" t="s">
        <v>640</v>
      </c>
      <c r="AJ315" s="175" t="s">
        <v>640</v>
      </c>
      <c r="AK315" s="175" t="s">
        <v>640</v>
      </c>
      <c r="AL315" s="1159" t="s">
        <v>419</v>
      </c>
      <c r="AM315" s="175" t="s">
        <v>419</v>
      </c>
      <c r="AN315" s="175" t="s">
        <v>419</v>
      </c>
      <c r="AO315" s="175" t="s">
        <v>419</v>
      </c>
      <c r="AP315" s="175">
        <v>24</v>
      </c>
      <c r="AQ315" s="175">
        <v>216</v>
      </c>
      <c r="AR315" s="175" t="s">
        <v>419</v>
      </c>
      <c r="AS315" s="192" t="s">
        <v>419</v>
      </c>
    </row>
    <row r="316" spans="1:45" ht="16.5" customHeight="1">
      <c r="A316" s="174">
        <v>46214</v>
      </c>
      <c r="B316" s="175" t="s">
        <v>225</v>
      </c>
      <c r="C316" s="175" t="s">
        <v>632</v>
      </c>
      <c r="E316" s="175" t="s">
        <v>419</v>
      </c>
      <c r="F316" s="175" t="s">
        <v>419</v>
      </c>
      <c r="G316" s="175" t="s">
        <v>419</v>
      </c>
      <c r="H316" s="175" t="s">
        <v>419</v>
      </c>
      <c r="I316" s="175" t="s">
        <v>419</v>
      </c>
      <c r="L316" s="175" t="s">
        <v>632</v>
      </c>
      <c r="P316" s="175" t="s">
        <v>632</v>
      </c>
      <c r="T316" s="175" t="s">
        <v>632</v>
      </c>
      <c r="X316" s="175" t="s">
        <v>632</v>
      </c>
      <c r="Z316" s="175" t="s">
        <v>419</v>
      </c>
      <c r="AA316" s="175" t="s">
        <v>632</v>
      </c>
      <c r="AB316" s="175" t="s">
        <v>419</v>
      </c>
      <c r="AC316" s="175" t="s">
        <v>419</v>
      </c>
      <c r="AD316" s="175" t="s">
        <v>419</v>
      </c>
      <c r="AE316" s="175" t="s">
        <v>419</v>
      </c>
      <c r="AF316" s="175" t="s">
        <v>213</v>
      </c>
      <c r="AG316" s="175">
        <v>1</v>
      </c>
      <c r="AH316" s="175" t="s">
        <v>640</v>
      </c>
      <c r="AI316" s="175" t="s">
        <v>640</v>
      </c>
      <c r="AJ316" s="175" t="s">
        <v>640</v>
      </c>
      <c r="AK316" s="175" t="s">
        <v>640</v>
      </c>
      <c r="AL316" s="1159" t="s">
        <v>419</v>
      </c>
      <c r="AM316" s="175" t="s">
        <v>419</v>
      </c>
      <c r="AN316" s="175" t="s">
        <v>419</v>
      </c>
      <c r="AO316" s="175" t="s">
        <v>419</v>
      </c>
      <c r="AP316" s="175">
        <v>24</v>
      </c>
      <c r="AQ316" s="175">
        <v>216</v>
      </c>
      <c r="AR316" s="175" t="s">
        <v>419</v>
      </c>
      <c r="AS316" s="192" t="s">
        <v>419</v>
      </c>
    </row>
    <row r="317" spans="1:45" ht="16.5" customHeight="1">
      <c r="A317" s="174">
        <v>46214</v>
      </c>
      <c r="B317" s="175" t="s">
        <v>226</v>
      </c>
      <c r="C317" s="175" t="s">
        <v>632</v>
      </c>
      <c r="E317" s="175" t="s">
        <v>419</v>
      </c>
      <c r="F317" s="175" t="s">
        <v>419</v>
      </c>
      <c r="G317" s="175" t="s">
        <v>419</v>
      </c>
      <c r="H317" s="175" t="s">
        <v>419</v>
      </c>
      <c r="I317" s="175" t="s">
        <v>419</v>
      </c>
      <c r="L317" s="175" t="s">
        <v>632</v>
      </c>
      <c r="P317" s="175" t="s">
        <v>632</v>
      </c>
      <c r="T317" s="175" t="s">
        <v>632</v>
      </c>
      <c r="X317" s="175" t="s">
        <v>632</v>
      </c>
      <c r="Z317" s="175" t="s">
        <v>419</v>
      </c>
      <c r="AA317" s="175" t="s">
        <v>632</v>
      </c>
      <c r="AB317" s="175" t="s">
        <v>419</v>
      </c>
      <c r="AC317" s="175" t="s">
        <v>419</v>
      </c>
      <c r="AD317" s="175" t="s">
        <v>419</v>
      </c>
      <c r="AE317" s="175" t="s">
        <v>419</v>
      </c>
      <c r="AF317" s="175" t="s">
        <v>213</v>
      </c>
      <c r="AG317" s="175">
        <v>1</v>
      </c>
      <c r="AH317" s="175" t="s">
        <v>640</v>
      </c>
      <c r="AI317" s="175" t="s">
        <v>640</v>
      </c>
      <c r="AJ317" s="175" t="s">
        <v>640</v>
      </c>
      <c r="AK317" s="175" t="s">
        <v>640</v>
      </c>
      <c r="AL317" s="1159" t="s">
        <v>419</v>
      </c>
      <c r="AM317" s="175" t="s">
        <v>419</v>
      </c>
      <c r="AN317" s="175" t="s">
        <v>419</v>
      </c>
      <c r="AO317" s="175" t="s">
        <v>419</v>
      </c>
      <c r="AP317" s="175">
        <v>24</v>
      </c>
      <c r="AQ317" s="175">
        <v>216</v>
      </c>
      <c r="AR317" s="175" t="s">
        <v>419</v>
      </c>
      <c r="AS317" s="192" t="s">
        <v>419</v>
      </c>
    </row>
    <row r="318" spans="1:45" ht="16.5" customHeight="1">
      <c r="A318" s="174">
        <v>46214</v>
      </c>
      <c r="B318" s="175" t="s">
        <v>227</v>
      </c>
      <c r="C318" s="175" t="s">
        <v>632</v>
      </c>
      <c r="E318" s="175" t="s">
        <v>419</v>
      </c>
      <c r="F318" s="175" t="s">
        <v>419</v>
      </c>
      <c r="G318" s="175" t="s">
        <v>419</v>
      </c>
      <c r="H318" s="175" t="s">
        <v>419</v>
      </c>
      <c r="I318" s="175" t="s">
        <v>419</v>
      </c>
      <c r="L318" s="175" t="s">
        <v>632</v>
      </c>
      <c r="P318" s="175" t="s">
        <v>632</v>
      </c>
      <c r="T318" s="175" t="s">
        <v>632</v>
      </c>
      <c r="X318" s="175" t="s">
        <v>632</v>
      </c>
      <c r="Z318" s="175" t="s">
        <v>419</v>
      </c>
      <c r="AA318" s="175" t="s">
        <v>632</v>
      </c>
      <c r="AB318" s="175" t="s">
        <v>419</v>
      </c>
      <c r="AC318" s="175" t="s">
        <v>419</v>
      </c>
      <c r="AD318" s="175" t="s">
        <v>419</v>
      </c>
      <c r="AE318" s="175" t="s">
        <v>419</v>
      </c>
      <c r="AF318" s="175" t="s">
        <v>213</v>
      </c>
      <c r="AG318" s="175">
        <v>1</v>
      </c>
      <c r="AH318" s="175" t="s">
        <v>640</v>
      </c>
      <c r="AI318" s="175" t="s">
        <v>640</v>
      </c>
      <c r="AJ318" s="175" t="s">
        <v>640</v>
      </c>
      <c r="AK318" s="175" t="s">
        <v>640</v>
      </c>
      <c r="AL318" s="1159" t="s">
        <v>419</v>
      </c>
      <c r="AM318" s="175" t="s">
        <v>419</v>
      </c>
      <c r="AN318" s="175" t="s">
        <v>419</v>
      </c>
      <c r="AO318" s="175" t="s">
        <v>419</v>
      </c>
      <c r="AP318" s="175">
        <v>24</v>
      </c>
      <c r="AQ318" s="175">
        <v>216</v>
      </c>
      <c r="AR318" s="175" t="s">
        <v>419</v>
      </c>
      <c r="AS318" s="192" t="s">
        <v>419</v>
      </c>
    </row>
    <row r="319" spans="1:45" ht="16.5" customHeight="1">
      <c r="A319" s="174">
        <v>46214</v>
      </c>
      <c r="B319" s="175" t="s">
        <v>228</v>
      </c>
      <c r="C319" s="175" t="s">
        <v>17293</v>
      </c>
      <c r="E319" s="175" t="s">
        <v>7055</v>
      </c>
      <c r="F319" s="175" t="s">
        <v>17294</v>
      </c>
      <c r="G319" s="175">
        <v>550</v>
      </c>
      <c r="H319" s="175" t="s">
        <v>889</v>
      </c>
      <c r="I319" s="175">
        <v>5.5</v>
      </c>
      <c r="J319" s="175">
        <v>22</v>
      </c>
      <c r="K319" s="175">
        <v>0</v>
      </c>
      <c r="L319" s="175">
        <v>5153</v>
      </c>
      <c r="M319" s="175">
        <v>6063</v>
      </c>
      <c r="N319" s="175">
        <v>20</v>
      </c>
      <c r="O319" s="175">
        <v>0</v>
      </c>
      <c r="P319" s="175">
        <v>5525</v>
      </c>
      <c r="Q319" s="175">
        <v>6226</v>
      </c>
      <c r="R319" s="175">
        <v>4</v>
      </c>
      <c r="S319" s="175">
        <v>0</v>
      </c>
      <c r="T319" s="175">
        <v>5542</v>
      </c>
      <c r="U319" s="175">
        <v>6321</v>
      </c>
      <c r="V319" s="175">
        <v>16</v>
      </c>
      <c r="W319" s="175">
        <v>0</v>
      </c>
      <c r="X319" s="175">
        <v>5311</v>
      </c>
      <c r="Y319" s="175">
        <v>5949</v>
      </c>
      <c r="Z319" s="175">
        <v>4.7058823529411766</v>
      </c>
      <c r="AA319" s="175">
        <v>10.333333333333334</v>
      </c>
      <c r="AB319" s="175">
        <v>1</v>
      </c>
      <c r="AC319" s="175">
        <v>57.612499999999997</v>
      </c>
      <c r="AD319" s="175">
        <v>1.2916666666666667</v>
      </c>
      <c r="AE319" s="175">
        <v>1.2916666666666667</v>
      </c>
      <c r="AF319" s="175" t="s">
        <v>213</v>
      </c>
      <c r="AG319" s="175">
        <v>0.5</v>
      </c>
      <c r="AH319" s="175" t="s">
        <v>629</v>
      </c>
      <c r="AI319" s="175" t="s">
        <v>629</v>
      </c>
      <c r="AJ319" s="175" t="s">
        <v>15368</v>
      </c>
      <c r="AK319" s="175" t="s">
        <v>15368</v>
      </c>
      <c r="AL319" s="1159" t="s">
        <v>250</v>
      </c>
      <c r="AM319" s="175" t="s">
        <v>460</v>
      </c>
      <c r="AN319" s="175">
        <v>1.1890000000000001</v>
      </c>
      <c r="AO319" s="175">
        <v>1.9</v>
      </c>
      <c r="AP319" s="175">
        <v>24</v>
      </c>
      <c r="AQ319" s="175">
        <v>216</v>
      </c>
      <c r="AR319" s="175">
        <v>2.9</v>
      </c>
      <c r="AS319" s="192">
        <v>17874.950400000002</v>
      </c>
    </row>
    <row r="320" spans="1:45" ht="16.5" customHeight="1">
      <c r="A320" s="174">
        <v>46214</v>
      </c>
      <c r="B320" s="175" t="s">
        <v>229</v>
      </c>
      <c r="C320" s="175" t="s">
        <v>632</v>
      </c>
      <c r="E320" s="175" t="s">
        <v>419</v>
      </c>
      <c r="F320" s="175" t="s">
        <v>419</v>
      </c>
      <c r="G320" s="175" t="s">
        <v>419</v>
      </c>
      <c r="H320" s="175" t="s">
        <v>419</v>
      </c>
      <c r="I320" s="175" t="s">
        <v>419</v>
      </c>
      <c r="L320" s="175" t="s">
        <v>632</v>
      </c>
      <c r="P320" s="175" t="s">
        <v>632</v>
      </c>
      <c r="T320" s="175" t="s">
        <v>632</v>
      </c>
      <c r="X320" s="175" t="s">
        <v>632</v>
      </c>
      <c r="Z320" s="175" t="s">
        <v>419</v>
      </c>
      <c r="AA320" s="175" t="s">
        <v>632</v>
      </c>
      <c r="AB320" s="175" t="s">
        <v>419</v>
      </c>
      <c r="AC320" s="175" t="s">
        <v>419</v>
      </c>
      <c r="AD320" s="175" t="s">
        <v>419</v>
      </c>
      <c r="AE320" s="175" t="s">
        <v>419</v>
      </c>
      <c r="AF320" s="175" t="s">
        <v>213</v>
      </c>
      <c r="AG320" s="175">
        <v>1</v>
      </c>
      <c r="AH320" s="175" t="s">
        <v>640</v>
      </c>
      <c r="AI320" s="175" t="s">
        <v>640</v>
      </c>
      <c r="AJ320" s="175" t="s">
        <v>640</v>
      </c>
      <c r="AK320" s="175" t="s">
        <v>640</v>
      </c>
      <c r="AL320" s="1159" t="s">
        <v>419</v>
      </c>
      <c r="AM320" s="175" t="s">
        <v>419</v>
      </c>
      <c r="AN320" s="175" t="s">
        <v>419</v>
      </c>
      <c r="AO320" s="175" t="s">
        <v>419</v>
      </c>
      <c r="AP320" s="175">
        <v>24</v>
      </c>
      <c r="AQ320" s="175">
        <v>216</v>
      </c>
      <c r="AR320" s="175" t="s">
        <v>419</v>
      </c>
      <c r="AS320" s="192" t="s">
        <v>419</v>
      </c>
    </row>
    <row r="321" spans="1:45" ht="16.5" customHeight="1">
      <c r="A321" s="174">
        <v>46214</v>
      </c>
      <c r="B321" s="175" t="s">
        <v>230</v>
      </c>
      <c r="C321" s="175" t="s">
        <v>632</v>
      </c>
      <c r="E321" s="175" t="s">
        <v>419</v>
      </c>
      <c r="F321" s="175" t="s">
        <v>419</v>
      </c>
      <c r="G321" s="175" t="s">
        <v>419</v>
      </c>
      <c r="H321" s="175" t="s">
        <v>419</v>
      </c>
      <c r="I321" s="175" t="s">
        <v>419</v>
      </c>
      <c r="L321" s="175" t="s">
        <v>632</v>
      </c>
      <c r="P321" s="175" t="s">
        <v>632</v>
      </c>
      <c r="T321" s="175" t="s">
        <v>632</v>
      </c>
      <c r="X321" s="175" t="s">
        <v>632</v>
      </c>
      <c r="Z321" s="175" t="s">
        <v>419</v>
      </c>
      <c r="AA321" s="175" t="s">
        <v>632</v>
      </c>
      <c r="AB321" s="175" t="s">
        <v>419</v>
      </c>
      <c r="AC321" s="175" t="s">
        <v>419</v>
      </c>
      <c r="AD321" s="175" t="s">
        <v>419</v>
      </c>
      <c r="AE321" s="175" t="s">
        <v>419</v>
      </c>
      <c r="AF321" s="175" t="s">
        <v>213</v>
      </c>
      <c r="AG321" s="175">
        <v>1</v>
      </c>
      <c r="AH321" s="175" t="s">
        <v>640</v>
      </c>
      <c r="AI321" s="175" t="s">
        <v>640</v>
      </c>
      <c r="AJ321" s="175" t="s">
        <v>640</v>
      </c>
      <c r="AK321" s="175" t="s">
        <v>640</v>
      </c>
      <c r="AL321" s="1159" t="s">
        <v>419</v>
      </c>
      <c r="AM321" s="175" t="s">
        <v>419</v>
      </c>
      <c r="AN321" s="175" t="s">
        <v>419</v>
      </c>
      <c r="AO321" s="175" t="s">
        <v>419</v>
      </c>
      <c r="AP321" s="175">
        <v>24</v>
      </c>
      <c r="AQ321" s="175">
        <v>216</v>
      </c>
      <c r="AR321" s="175" t="s">
        <v>419</v>
      </c>
      <c r="AS321" s="192" t="s">
        <v>419</v>
      </c>
    </row>
    <row r="322" spans="1:45" ht="16.5" customHeight="1">
      <c r="A322" s="174">
        <v>46214</v>
      </c>
      <c r="B322" s="175" t="s">
        <v>231</v>
      </c>
      <c r="C322" s="175" t="s">
        <v>632</v>
      </c>
      <c r="E322" s="175" t="s">
        <v>419</v>
      </c>
      <c r="F322" s="175" t="s">
        <v>419</v>
      </c>
      <c r="G322" s="175" t="s">
        <v>419</v>
      </c>
      <c r="H322" s="175" t="s">
        <v>419</v>
      </c>
      <c r="I322" s="175" t="s">
        <v>419</v>
      </c>
      <c r="L322" s="175" t="s">
        <v>632</v>
      </c>
      <c r="P322" s="175" t="s">
        <v>632</v>
      </c>
      <c r="T322" s="175" t="s">
        <v>632</v>
      </c>
      <c r="X322" s="175" t="s">
        <v>632</v>
      </c>
      <c r="Z322" s="175" t="s">
        <v>419</v>
      </c>
      <c r="AA322" s="175" t="s">
        <v>632</v>
      </c>
      <c r="AB322" s="175" t="s">
        <v>419</v>
      </c>
      <c r="AC322" s="175" t="s">
        <v>419</v>
      </c>
      <c r="AD322" s="175" t="s">
        <v>419</v>
      </c>
      <c r="AE322" s="175" t="s">
        <v>419</v>
      </c>
      <c r="AF322" s="175" t="s">
        <v>232</v>
      </c>
      <c r="AG322" s="175">
        <v>1</v>
      </c>
      <c r="AH322" s="175" t="s">
        <v>640</v>
      </c>
      <c r="AI322" s="175" t="s">
        <v>640</v>
      </c>
      <c r="AJ322" s="175" t="s">
        <v>640</v>
      </c>
      <c r="AK322" s="175" t="s">
        <v>640</v>
      </c>
      <c r="AL322" s="1159" t="s">
        <v>419</v>
      </c>
      <c r="AM322" s="175" t="s">
        <v>419</v>
      </c>
      <c r="AN322" s="175" t="s">
        <v>419</v>
      </c>
      <c r="AO322" s="175" t="s">
        <v>419</v>
      </c>
      <c r="AP322" s="175">
        <v>24</v>
      </c>
      <c r="AQ322" s="175">
        <v>216</v>
      </c>
      <c r="AR322" s="175" t="s">
        <v>419</v>
      </c>
      <c r="AS322" s="192" t="s">
        <v>419</v>
      </c>
    </row>
    <row r="323" spans="1:45" ht="16.5" customHeight="1">
      <c r="A323" s="174">
        <v>46214</v>
      </c>
      <c r="B323" s="175" t="s">
        <v>233</v>
      </c>
      <c r="C323" s="175" t="s">
        <v>17268</v>
      </c>
      <c r="D323" s="175" t="s">
        <v>633</v>
      </c>
      <c r="E323" s="175" t="s">
        <v>16719</v>
      </c>
      <c r="F323" s="175" t="s">
        <v>17253</v>
      </c>
      <c r="G323" s="175">
        <v>600</v>
      </c>
      <c r="H323" s="175" t="s">
        <v>723</v>
      </c>
      <c r="I323" s="175">
        <v>5.5</v>
      </c>
      <c r="J323" s="175">
        <v>19</v>
      </c>
      <c r="K323" s="175">
        <v>4</v>
      </c>
      <c r="L323" s="175">
        <v>3200</v>
      </c>
      <c r="M323" s="175" t="s">
        <v>17315</v>
      </c>
      <c r="N323" s="175">
        <v>6</v>
      </c>
      <c r="O323" s="175">
        <v>3</v>
      </c>
      <c r="P323" s="175">
        <v>3170</v>
      </c>
      <c r="Q323" s="175" t="s">
        <v>17315</v>
      </c>
      <c r="R323" s="175">
        <v>4</v>
      </c>
      <c r="S323" s="175">
        <v>0</v>
      </c>
      <c r="T323" s="175">
        <v>3120</v>
      </c>
      <c r="U323" s="175" t="s">
        <v>17315</v>
      </c>
      <c r="V323" s="175">
        <v>18</v>
      </c>
      <c r="W323" s="175">
        <v>4</v>
      </c>
      <c r="X323" s="175">
        <v>3060</v>
      </c>
      <c r="Y323" s="175" t="s">
        <v>17315</v>
      </c>
      <c r="Z323" s="175">
        <v>5.0526315789473681</v>
      </c>
      <c r="AA323" s="175">
        <v>31.333333333333332</v>
      </c>
      <c r="AB323" s="175">
        <v>0.98953325320512819</v>
      </c>
      <c r="AC323" s="175">
        <v>31.375</v>
      </c>
      <c r="AD323" s="175">
        <v>3.9166666666666665</v>
      </c>
      <c r="AE323" s="175">
        <v>3</v>
      </c>
      <c r="AF323" s="175" t="s">
        <v>232</v>
      </c>
      <c r="AG323" s="175">
        <v>2</v>
      </c>
      <c r="AH323" s="175" t="s">
        <v>15370</v>
      </c>
      <c r="AI323" s="175" t="s">
        <v>15370</v>
      </c>
      <c r="AJ323" s="175" t="s">
        <v>815</v>
      </c>
      <c r="AK323" s="175" t="s">
        <v>815</v>
      </c>
      <c r="AL323" s="1159" t="s">
        <v>250</v>
      </c>
      <c r="AM323" s="175" t="s">
        <v>643</v>
      </c>
      <c r="AN323" s="175">
        <v>1.859</v>
      </c>
      <c r="AO323" s="175">
        <v>2.1</v>
      </c>
      <c r="AP323" s="175">
        <v>24</v>
      </c>
      <c r="AQ323" s="175">
        <v>216</v>
      </c>
      <c r="AR323" s="175">
        <v>3.1</v>
      </c>
      <c r="AS323" s="192">
        <v>29874.873599999999</v>
      </c>
    </row>
    <row r="324" spans="1:45" ht="16.5" customHeight="1">
      <c r="A324" s="174">
        <v>46214</v>
      </c>
      <c r="B324" s="175" t="s">
        <v>234</v>
      </c>
      <c r="C324" s="175" t="s">
        <v>632</v>
      </c>
      <c r="E324" s="175" t="s">
        <v>419</v>
      </c>
      <c r="F324" s="175" t="s">
        <v>419</v>
      </c>
      <c r="G324" s="175" t="s">
        <v>419</v>
      </c>
      <c r="H324" s="175" t="s">
        <v>419</v>
      </c>
      <c r="I324" s="175" t="s">
        <v>419</v>
      </c>
      <c r="L324" s="175" t="s">
        <v>632</v>
      </c>
      <c r="P324" s="175" t="s">
        <v>632</v>
      </c>
      <c r="T324" s="175" t="s">
        <v>632</v>
      </c>
      <c r="X324" s="175" t="s">
        <v>632</v>
      </c>
      <c r="Z324" s="175" t="s">
        <v>419</v>
      </c>
      <c r="AA324" s="175" t="s">
        <v>632</v>
      </c>
      <c r="AB324" s="175" t="s">
        <v>419</v>
      </c>
      <c r="AC324" s="175" t="s">
        <v>419</v>
      </c>
      <c r="AD324" s="175" t="s">
        <v>419</v>
      </c>
      <c r="AE324" s="175" t="s">
        <v>419</v>
      </c>
      <c r="AF324" s="175" t="s">
        <v>232</v>
      </c>
      <c r="AG324" s="175">
        <v>1</v>
      </c>
      <c r="AH324" s="175" t="s">
        <v>640</v>
      </c>
      <c r="AI324" s="175" t="s">
        <v>640</v>
      </c>
      <c r="AJ324" s="175" t="s">
        <v>640</v>
      </c>
      <c r="AK324" s="175" t="s">
        <v>640</v>
      </c>
      <c r="AL324" s="1159" t="s">
        <v>419</v>
      </c>
      <c r="AM324" s="175" t="s">
        <v>419</v>
      </c>
      <c r="AN324" s="175" t="s">
        <v>419</v>
      </c>
      <c r="AO324" s="175" t="s">
        <v>419</v>
      </c>
      <c r="AP324" s="175">
        <v>24</v>
      </c>
      <c r="AQ324" s="175">
        <v>216</v>
      </c>
      <c r="AR324" s="175" t="s">
        <v>419</v>
      </c>
      <c r="AS324" s="192" t="s">
        <v>419</v>
      </c>
    </row>
    <row r="325" spans="1:45" ht="16.5" customHeight="1">
      <c r="A325" s="174">
        <v>46214</v>
      </c>
      <c r="B325" s="175" t="s">
        <v>235</v>
      </c>
      <c r="C325" s="175" t="s">
        <v>17289</v>
      </c>
      <c r="D325" s="175" t="s">
        <v>633</v>
      </c>
      <c r="E325" s="175" t="s">
        <v>16719</v>
      </c>
      <c r="F325" s="175" t="s">
        <v>17290</v>
      </c>
      <c r="G325" s="175">
        <v>700</v>
      </c>
      <c r="H325" s="175" t="s">
        <v>776</v>
      </c>
      <c r="I325" s="175">
        <v>5.5</v>
      </c>
      <c r="J325" s="175">
        <v>35</v>
      </c>
      <c r="K325" s="175">
        <v>4</v>
      </c>
      <c r="L325" s="175">
        <v>9540</v>
      </c>
      <c r="M325" s="175" t="s">
        <v>17315</v>
      </c>
      <c r="N325" s="175">
        <v>10</v>
      </c>
      <c r="O325" s="175">
        <v>3</v>
      </c>
      <c r="P325" s="175">
        <v>9630</v>
      </c>
      <c r="Q325" s="175" t="s">
        <v>17315</v>
      </c>
      <c r="R325" s="175">
        <v>5</v>
      </c>
      <c r="S325" s="175">
        <v>0</v>
      </c>
      <c r="T325" s="175">
        <v>9630</v>
      </c>
      <c r="U325" s="175" t="s">
        <v>17315</v>
      </c>
      <c r="V325" s="175">
        <v>21</v>
      </c>
      <c r="W325" s="175">
        <v>2</v>
      </c>
      <c r="X325" s="175">
        <v>9540</v>
      </c>
      <c r="Y325" s="175" t="s">
        <v>17315</v>
      </c>
      <c r="Z325" s="175">
        <v>5.8775510204081636</v>
      </c>
      <c r="AA325" s="175">
        <v>23.666666666666668</v>
      </c>
      <c r="AB325" s="175">
        <v>0.99263822115384615</v>
      </c>
      <c r="AC325" s="175">
        <v>95.85</v>
      </c>
      <c r="AD325" s="175">
        <v>2.9583333333333335</v>
      </c>
      <c r="AE325" s="175">
        <v>2.5833333333333335</v>
      </c>
      <c r="AF325" s="175" t="s">
        <v>236</v>
      </c>
      <c r="AG325" s="175">
        <v>1</v>
      </c>
      <c r="AH325" s="175" t="s">
        <v>15848</v>
      </c>
      <c r="AI325" s="175" t="s">
        <v>15848</v>
      </c>
      <c r="AJ325" s="175" t="s">
        <v>835</v>
      </c>
      <c r="AK325" s="175" t="s">
        <v>835</v>
      </c>
      <c r="AL325" s="1159" t="s">
        <v>251</v>
      </c>
      <c r="AM325" s="175" t="s">
        <v>460</v>
      </c>
      <c r="AN325" s="175">
        <v>1.1890000000000001</v>
      </c>
      <c r="AO325" s="175">
        <v>3</v>
      </c>
      <c r="AP325" s="175">
        <v>24</v>
      </c>
      <c r="AQ325" s="175">
        <v>216</v>
      </c>
      <c r="AR325" s="175">
        <v>4</v>
      </c>
      <c r="AS325" s="192">
        <v>24655.103999999999</v>
      </c>
    </row>
    <row r="326" spans="1:45" ht="16.5" customHeight="1">
      <c r="A326" s="174">
        <v>46214</v>
      </c>
      <c r="B326" s="175" t="s">
        <v>237</v>
      </c>
      <c r="C326" s="175" t="s">
        <v>17251</v>
      </c>
      <c r="D326" s="175" t="s">
        <v>633</v>
      </c>
      <c r="E326" s="175" t="s">
        <v>16719</v>
      </c>
      <c r="F326" s="175" t="s">
        <v>17253</v>
      </c>
      <c r="G326" s="175">
        <v>700</v>
      </c>
      <c r="H326" s="175" t="s">
        <v>646</v>
      </c>
      <c r="I326" s="175">
        <v>5.5</v>
      </c>
      <c r="J326" s="175">
        <v>66</v>
      </c>
      <c r="K326" s="175">
        <v>6</v>
      </c>
      <c r="L326" s="175">
        <v>9540</v>
      </c>
      <c r="M326" s="175">
        <v>8240</v>
      </c>
      <c r="N326" s="175">
        <v>30</v>
      </c>
      <c r="O326" s="175">
        <v>7</v>
      </c>
      <c r="P326" s="175">
        <v>9440</v>
      </c>
      <c r="Q326" s="175">
        <v>8330</v>
      </c>
      <c r="R326" s="175">
        <v>28</v>
      </c>
      <c r="S326" s="175">
        <v>3</v>
      </c>
      <c r="T326" s="175">
        <v>9350</v>
      </c>
      <c r="U326" s="175">
        <v>8890</v>
      </c>
      <c r="V326" s="175">
        <v>87</v>
      </c>
      <c r="W326" s="175">
        <v>4</v>
      </c>
      <c r="X326" s="175">
        <v>9430</v>
      </c>
      <c r="Y326" s="175">
        <v>7960</v>
      </c>
      <c r="Z326" s="175">
        <v>5.8775510204081636</v>
      </c>
      <c r="AA326" s="175">
        <v>70.333333333333329</v>
      </c>
      <c r="AB326" s="175">
        <v>0.98364049145299148</v>
      </c>
      <c r="AC326" s="175">
        <v>88.974999999999994</v>
      </c>
      <c r="AD326" s="175">
        <v>8.7916666666666661</v>
      </c>
      <c r="AE326" s="175">
        <v>7.958333333333333</v>
      </c>
      <c r="AF326" s="175" t="s">
        <v>236</v>
      </c>
      <c r="AG326" s="175">
        <v>1</v>
      </c>
      <c r="AH326" s="175" t="s">
        <v>638</v>
      </c>
      <c r="AI326" s="175" t="s">
        <v>638</v>
      </c>
      <c r="AJ326" s="175" t="s">
        <v>835</v>
      </c>
      <c r="AK326" s="175" t="s">
        <v>835</v>
      </c>
      <c r="AL326" s="1159" t="s">
        <v>250</v>
      </c>
      <c r="AM326" s="175" t="s">
        <v>460</v>
      </c>
      <c r="AN326" s="175">
        <v>1.1890000000000001</v>
      </c>
      <c r="AO326" s="175">
        <v>2.9</v>
      </c>
      <c r="AP326" s="175">
        <v>24</v>
      </c>
      <c r="AQ326" s="175">
        <v>216</v>
      </c>
      <c r="AR326" s="175">
        <v>3.9</v>
      </c>
      <c r="AS326" s="192">
        <v>24038.7264</v>
      </c>
    </row>
    <row r="327" spans="1:45" ht="16.5" customHeight="1">
      <c r="A327" s="174">
        <v>46214</v>
      </c>
      <c r="B327" s="175" t="s">
        <v>238</v>
      </c>
      <c r="C327" s="175" t="s">
        <v>17248</v>
      </c>
      <c r="D327" s="175" t="s">
        <v>633</v>
      </c>
      <c r="E327" s="175" t="s">
        <v>16719</v>
      </c>
      <c r="F327" s="175" t="s">
        <v>17249</v>
      </c>
      <c r="G327" s="175">
        <v>600</v>
      </c>
      <c r="H327" s="175" t="s">
        <v>877</v>
      </c>
      <c r="I327" s="175">
        <v>5.5</v>
      </c>
      <c r="J327" s="175">
        <v>64</v>
      </c>
      <c r="K327" s="175">
        <v>4</v>
      </c>
      <c r="L327" s="175">
        <v>9540</v>
      </c>
      <c r="M327" s="175">
        <v>9540</v>
      </c>
      <c r="N327" s="175">
        <v>26</v>
      </c>
      <c r="O327" s="175">
        <v>4</v>
      </c>
      <c r="P327" s="175">
        <v>9350</v>
      </c>
      <c r="Q327" s="175">
        <v>9630</v>
      </c>
      <c r="R327" s="175">
        <v>13</v>
      </c>
      <c r="S327" s="175">
        <v>0</v>
      </c>
      <c r="T327" s="175">
        <v>9630</v>
      </c>
      <c r="U327" s="175">
        <v>9630</v>
      </c>
      <c r="V327" s="175">
        <v>26</v>
      </c>
      <c r="W327" s="175">
        <v>0</v>
      </c>
      <c r="X327" s="175">
        <v>8980</v>
      </c>
      <c r="Y327" s="175">
        <v>9630</v>
      </c>
      <c r="Z327" s="175">
        <v>5.034965034965035</v>
      </c>
      <c r="AA327" s="175">
        <v>43</v>
      </c>
      <c r="AB327" s="175">
        <v>0.99236111111111114</v>
      </c>
      <c r="AC327" s="175">
        <v>94.912499999999994</v>
      </c>
      <c r="AD327" s="175">
        <v>5.375</v>
      </c>
      <c r="AE327" s="175">
        <v>5.041666666666667</v>
      </c>
      <c r="AF327" s="175" t="s">
        <v>236</v>
      </c>
      <c r="AG327" s="175">
        <v>1</v>
      </c>
      <c r="AH327" s="175" t="s">
        <v>15848</v>
      </c>
      <c r="AI327" s="175" t="s">
        <v>15848</v>
      </c>
      <c r="AJ327" s="175" t="s">
        <v>652</v>
      </c>
      <c r="AK327" s="175" t="s">
        <v>652</v>
      </c>
      <c r="AL327" s="1159" t="s">
        <v>251</v>
      </c>
      <c r="AM327" s="175" t="s">
        <v>460</v>
      </c>
      <c r="AN327" s="175">
        <v>1.1890000000000001</v>
      </c>
      <c r="AO327" s="175">
        <v>2.8</v>
      </c>
      <c r="AP327" s="175">
        <v>24</v>
      </c>
      <c r="AQ327" s="175">
        <v>216</v>
      </c>
      <c r="AR327" s="175">
        <v>3.8</v>
      </c>
      <c r="AS327" s="192">
        <v>23422.3488</v>
      </c>
    </row>
    <row r="328" spans="1:45" ht="16.5" customHeight="1">
      <c r="A328" s="174">
        <v>46214</v>
      </c>
      <c r="B328" s="175" t="s">
        <v>239</v>
      </c>
      <c r="C328" s="175" t="s">
        <v>17266</v>
      </c>
      <c r="E328" s="175" t="s">
        <v>754</v>
      </c>
      <c r="F328" s="175" t="s">
        <v>17267</v>
      </c>
      <c r="G328" s="175">
        <v>600</v>
      </c>
      <c r="H328" s="175" t="s">
        <v>842</v>
      </c>
      <c r="I328" s="175">
        <v>4</v>
      </c>
      <c r="J328" s="175">
        <v>14</v>
      </c>
      <c r="K328" s="175">
        <v>0</v>
      </c>
      <c r="L328" s="175">
        <v>9540</v>
      </c>
      <c r="N328" s="175">
        <v>4</v>
      </c>
      <c r="O328" s="175">
        <v>0</v>
      </c>
      <c r="P328" s="175">
        <v>8980</v>
      </c>
      <c r="R328" s="175">
        <v>11</v>
      </c>
      <c r="S328" s="175">
        <v>1</v>
      </c>
      <c r="T328" s="175">
        <v>9540</v>
      </c>
      <c r="V328" s="175">
        <v>25</v>
      </c>
      <c r="W328" s="175">
        <v>8</v>
      </c>
      <c r="X328" s="175">
        <v>9440</v>
      </c>
      <c r="Z328" s="175">
        <v>3.6</v>
      </c>
      <c r="AA328" s="175">
        <v>36</v>
      </c>
      <c r="AB328" s="175">
        <v>0.98798076923076927</v>
      </c>
      <c r="AC328" s="175">
        <v>93.75</v>
      </c>
      <c r="AD328" s="175">
        <v>4.5</v>
      </c>
      <c r="AE328" s="175">
        <v>3.75</v>
      </c>
      <c r="AF328" s="175" t="s">
        <v>236</v>
      </c>
      <c r="AG328" s="175">
        <v>2</v>
      </c>
      <c r="AH328" s="175" t="s">
        <v>638</v>
      </c>
      <c r="AI328" s="175" t="s">
        <v>638</v>
      </c>
      <c r="AJ328" s="175" t="s">
        <v>835</v>
      </c>
      <c r="AK328" s="175" t="s">
        <v>835</v>
      </c>
      <c r="AL328" s="1159" t="s">
        <v>251</v>
      </c>
      <c r="AM328" s="175" t="s">
        <v>126</v>
      </c>
      <c r="AN328" s="175">
        <v>0.91100000000000003</v>
      </c>
      <c r="AO328" s="175">
        <v>1.5</v>
      </c>
      <c r="AP328" s="175">
        <v>24</v>
      </c>
      <c r="AQ328" s="175">
        <v>216</v>
      </c>
      <c r="AR328" s="175">
        <v>2.5</v>
      </c>
      <c r="AS328" s="192">
        <v>11806.560000000001</v>
      </c>
    </row>
    <row r="329" spans="1:45" ht="16.5" customHeight="1">
      <c r="A329" s="174">
        <v>46214</v>
      </c>
      <c r="B329" s="175" t="s">
        <v>239</v>
      </c>
      <c r="C329" s="175" t="s">
        <v>17241</v>
      </c>
      <c r="E329" s="175" t="s">
        <v>16723</v>
      </c>
      <c r="F329" s="175" t="s">
        <v>17243</v>
      </c>
      <c r="G329" s="175">
        <v>550</v>
      </c>
      <c r="H329" s="175" t="s">
        <v>868</v>
      </c>
      <c r="I329" s="175">
        <v>5.5</v>
      </c>
      <c r="J329" s="175">
        <v>26</v>
      </c>
      <c r="K329" s="175">
        <v>0</v>
      </c>
      <c r="M329" s="175">
        <v>9350</v>
      </c>
      <c r="N329" s="175">
        <v>16</v>
      </c>
      <c r="O329" s="175">
        <v>0</v>
      </c>
      <c r="Q329" s="175">
        <v>8890</v>
      </c>
      <c r="R329" s="175">
        <v>10</v>
      </c>
      <c r="S329" s="175">
        <v>3</v>
      </c>
      <c r="T329" s="175">
        <v>9260</v>
      </c>
      <c r="V329" s="175">
        <v>19</v>
      </c>
      <c r="W329" s="175">
        <v>4</v>
      </c>
      <c r="Y329" s="175">
        <v>9260</v>
      </c>
      <c r="Z329" s="175">
        <v>6.6055045871559646</v>
      </c>
      <c r="AA329" s="175">
        <v>47.333333333333336</v>
      </c>
      <c r="AB329" s="175">
        <v>0.9949051816239316</v>
      </c>
      <c r="AC329" s="175">
        <v>91.9</v>
      </c>
      <c r="AD329" s="175">
        <v>5.916666666666667</v>
      </c>
      <c r="AE329" s="175">
        <v>5.333333333333333</v>
      </c>
      <c r="AF329" s="175" t="s">
        <v>236</v>
      </c>
      <c r="AG329" s="175">
        <v>2</v>
      </c>
      <c r="AH329" s="175" t="s">
        <v>638</v>
      </c>
      <c r="AI329" s="175" t="s">
        <v>638</v>
      </c>
      <c r="AJ329" s="175" t="s">
        <v>835</v>
      </c>
      <c r="AK329" s="175" t="s">
        <v>835</v>
      </c>
      <c r="AM329" s="175" t="s">
        <v>643</v>
      </c>
      <c r="AN329" s="175">
        <v>1.859</v>
      </c>
      <c r="AO329" s="175">
        <v>3.3</v>
      </c>
      <c r="AP329" s="175">
        <v>24</v>
      </c>
      <c r="AQ329" s="175">
        <v>216</v>
      </c>
      <c r="AR329" s="175">
        <v>4.3</v>
      </c>
      <c r="AS329" s="192">
        <v>41439.340799999998</v>
      </c>
    </row>
    <row r="330" spans="1:45" ht="16.5" customHeight="1">
      <c r="A330" s="174">
        <v>46214</v>
      </c>
      <c r="B330" s="175" t="s">
        <v>388</v>
      </c>
      <c r="C330" s="175" t="s">
        <v>17296</v>
      </c>
      <c r="D330" s="175" t="s">
        <v>633</v>
      </c>
      <c r="E330" s="175" t="s">
        <v>16719</v>
      </c>
      <c r="F330" s="175" t="s">
        <v>17290</v>
      </c>
      <c r="G330" s="175">
        <v>700</v>
      </c>
      <c r="H330" s="175" t="s">
        <v>15541</v>
      </c>
      <c r="I330" s="175">
        <v>5.5</v>
      </c>
      <c r="J330" s="175">
        <v>14</v>
      </c>
      <c r="K330" s="175">
        <v>0</v>
      </c>
      <c r="L330" s="175">
        <v>10000</v>
      </c>
      <c r="M330" s="175" t="s">
        <v>17315</v>
      </c>
      <c r="N330" s="175">
        <v>4</v>
      </c>
      <c r="O330" s="175">
        <v>1</v>
      </c>
      <c r="P330" s="175">
        <v>10000</v>
      </c>
      <c r="Q330" s="175" t="s">
        <v>17315</v>
      </c>
      <c r="R330" s="175">
        <v>12</v>
      </c>
      <c r="S330" s="175">
        <v>0</v>
      </c>
      <c r="T330" s="175">
        <v>10000</v>
      </c>
      <c r="U330" s="175" t="s">
        <v>17315</v>
      </c>
      <c r="V330" s="175">
        <v>24</v>
      </c>
      <c r="W330" s="175">
        <v>0</v>
      </c>
      <c r="X330" s="175">
        <v>9910</v>
      </c>
      <c r="Y330" s="175" t="s">
        <v>17315</v>
      </c>
      <c r="Z330" s="175">
        <v>5.8299595141700413</v>
      </c>
      <c r="AA330" s="175">
        <v>36</v>
      </c>
      <c r="AB330" s="175">
        <v>0.99917534722222223</v>
      </c>
      <c r="AC330" s="175">
        <v>99.775000000000006</v>
      </c>
      <c r="AD330" s="175">
        <v>4.5</v>
      </c>
      <c r="AE330" s="175">
        <v>4.416666666666667</v>
      </c>
      <c r="AF330" s="175" t="s">
        <v>236</v>
      </c>
      <c r="AG330" s="175">
        <v>2</v>
      </c>
      <c r="AH330" s="175" t="s">
        <v>15848</v>
      </c>
      <c r="AI330" s="175" t="s">
        <v>15848</v>
      </c>
      <c r="AJ330" s="175" t="s">
        <v>652</v>
      </c>
      <c r="AK330" s="175" t="s">
        <v>652</v>
      </c>
      <c r="AL330" s="1159" t="s">
        <v>251</v>
      </c>
      <c r="AM330" s="175" t="s">
        <v>460</v>
      </c>
      <c r="AN330" s="175">
        <v>1.1890000000000001</v>
      </c>
      <c r="AO330" s="175">
        <v>2.8</v>
      </c>
      <c r="AP330" s="175">
        <v>24</v>
      </c>
      <c r="AQ330" s="175">
        <v>216</v>
      </c>
      <c r="AR330" s="175">
        <v>3.8</v>
      </c>
      <c r="AS330" s="192">
        <v>23422.3488</v>
      </c>
    </row>
    <row r="331" spans="1:45" ht="16.5" customHeight="1">
      <c r="A331" s="174">
        <v>46214</v>
      </c>
      <c r="B331" s="175" t="s">
        <v>417</v>
      </c>
      <c r="C331" s="175" t="s">
        <v>17291</v>
      </c>
      <c r="D331" s="175" t="s">
        <v>633</v>
      </c>
      <c r="E331" s="175" t="s">
        <v>16719</v>
      </c>
      <c r="F331" s="175" t="s">
        <v>17290</v>
      </c>
      <c r="G331" s="175">
        <v>700</v>
      </c>
      <c r="H331" s="175" t="s">
        <v>724</v>
      </c>
      <c r="I331" s="175">
        <v>5.5</v>
      </c>
      <c r="J331" s="175">
        <v>32</v>
      </c>
      <c r="K331" s="175">
        <v>6</v>
      </c>
      <c r="L331" s="175">
        <v>9350</v>
      </c>
      <c r="M331" s="175">
        <v>8520</v>
      </c>
      <c r="N331" s="175">
        <v>29</v>
      </c>
      <c r="O331" s="175">
        <v>0</v>
      </c>
      <c r="P331" s="175">
        <v>9720</v>
      </c>
      <c r="Q331" s="175">
        <v>9350</v>
      </c>
      <c r="R331" s="175">
        <v>13</v>
      </c>
      <c r="S331" s="175">
        <v>0</v>
      </c>
      <c r="T331" s="175">
        <v>10000</v>
      </c>
      <c r="U331" s="175">
        <v>9070</v>
      </c>
      <c r="V331" s="175">
        <v>25</v>
      </c>
      <c r="W331" s="175">
        <v>0</v>
      </c>
      <c r="X331" s="175">
        <v>10000</v>
      </c>
      <c r="Y331" s="175">
        <v>9540</v>
      </c>
      <c r="Z331" s="175">
        <v>5.8299595141700413</v>
      </c>
      <c r="AA331" s="175">
        <v>33</v>
      </c>
      <c r="AB331" s="175">
        <v>0.99505208333333328</v>
      </c>
      <c r="AC331" s="175">
        <v>94.4375</v>
      </c>
      <c r="AD331" s="175">
        <v>4.125</v>
      </c>
      <c r="AE331" s="175">
        <v>3.875</v>
      </c>
      <c r="AF331" s="175" t="s">
        <v>236</v>
      </c>
      <c r="AG331" s="175">
        <v>1</v>
      </c>
      <c r="AH331" s="175" t="s">
        <v>638</v>
      </c>
      <c r="AI331" s="175" t="s">
        <v>638</v>
      </c>
      <c r="AJ331" s="175" t="s">
        <v>652</v>
      </c>
      <c r="AK331" s="175" t="s">
        <v>652</v>
      </c>
      <c r="AL331" s="1159" t="s">
        <v>251</v>
      </c>
      <c r="AM331" s="175" t="s">
        <v>460</v>
      </c>
      <c r="AN331" s="175">
        <v>1.1890000000000001</v>
      </c>
      <c r="AO331" s="175">
        <v>2.8</v>
      </c>
      <c r="AP331" s="175">
        <v>24</v>
      </c>
      <c r="AQ331" s="175">
        <v>216</v>
      </c>
      <c r="AR331" s="175">
        <v>3.8</v>
      </c>
      <c r="AS331" s="192">
        <v>23422.3488</v>
      </c>
    </row>
    <row r="332" spans="1:45" ht="16.5" customHeight="1">
      <c r="A332" s="174">
        <v>46214</v>
      </c>
      <c r="B332" s="175" t="s">
        <v>240</v>
      </c>
      <c r="C332" s="175" t="s">
        <v>17429</v>
      </c>
      <c r="E332" s="175" t="s">
        <v>17434</v>
      </c>
      <c r="F332" s="175" t="s">
        <v>17435</v>
      </c>
      <c r="G332" s="175">
        <v>550</v>
      </c>
      <c r="H332" s="175" t="s">
        <v>884</v>
      </c>
      <c r="I332" s="175">
        <v>4</v>
      </c>
      <c r="J332" s="175">
        <v>19</v>
      </c>
      <c r="K332" s="175">
        <v>0</v>
      </c>
      <c r="L332" s="175">
        <v>3012</v>
      </c>
      <c r="N332" s="175">
        <v>1</v>
      </c>
      <c r="O332" s="175">
        <v>0</v>
      </c>
      <c r="R332" s="175">
        <v>8</v>
      </c>
      <c r="S332" s="175">
        <v>0</v>
      </c>
      <c r="T332" s="175">
        <v>3542</v>
      </c>
      <c r="V332" s="175">
        <v>2</v>
      </c>
      <c r="W332" s="175">
        <v>0</v>
      </c>
      <c r="X332" s="175">
        <v>3523</v>
      </c>
      <c r="Z332" s="175">
        <v>1.6179775280898876</v>
      </c>
      <c r="AA332" s="175">
        <v>120</v>
      </c>
      <c r="AB332" s="175">
        <v>1</v>
      </c>
      <c r="AC332" s="175">
        <v>33.590000000000003</v>
      </c>
      <c r="AD332" s="175">
        <v>15</v>
      </c>
      <c r="AE332" s="175">
        <v>15</v>
      </c>
      <c r="AF332" s="175" t="s">
        <v>241</v>
      </c>
      <c r="AG332" s="175">
        <v>12</v>
      </c>
      <c r="AH332" s="175" t="s">
        <v>634</v>
      </c>
      <c r="AI332" s="175" t="s">
        <v>634</v>
      </c>
      <c r="AJ332" s="175" t="s">
        <v>636</v>
      </c>
      <c r="AK332" s="175" t="s">
        <v>636</v>
      </c>
      <c r="AL332" s="1159" t="s">
        <v>251</v>
      </c>
      <c r="AM332" s="175" t="s">
        <v>626</v>
      </c>
      <c r="AN332" s="175">
        <v>0.66900000000000004</v>
      </c>
      <c r="AO332" s="175">
        <v>1.6</v>
      </c>
      <c r="AP332" s="175">
        <v>24</v>
      </c>
      <c r="AQ332" s="175">
        <v>108</v>
      </c>
      <c r="AR332" s="175">
        <v>2.6</v>
      </c>
      <c r="AS332" s="192">
        <v>4508.5248000000011</v>
      </c>
    </row>
    <row r="333" spans="1:45" ht="16.5" customHeight="1">
      <c r="A333" s="174">
        <v>46214</v>
      </c>
      <c r="B333" s="175" t="s">
        <v>242</v>
      </c>
      <c r="C333" s="175" t="s">
        <v>385</v>
      </c>
      <c r="E333" s="175" t="s">
        <v>419</v>
      </c>
      <c r="F333" s="175" t="s">
        <v>419</v>
      </c>
      <c r="G333" s="175" t="s">
        <v>419</v>
      </c>
      <c r="H333" s="175" t="s">
        <v>419</v>
      </c>
      <c r="I333" s="175" t="s">
        <v>419</v>
      </c>
      <c r="L333" s="175" t="s">
        <v>385</v>
      </c>
      <c r="P333" s="175" t="s">
        <v>385</v>
      </c>
      <c r="T333" s="175" t="s">
        <v>385</v>
      </c>
      <c r="X333" s="175" t="s">
        <v>385</v>
      </c>
      <c r="Z333" s="175" t="s">
        <v>419</v>
      </c>
      <c r="AA333" s="175" t="s">
        <v>385</v>
      </c>
      <c r="AB333" s="175" t="s">
        <v>419</v>
      </c>
      <c r="AC333" s="175" t="s">
        <v>419</v>
      </c>
      <c r="AD333" s="175" t="s">
        <v>419</v>
      </c>
      <c r="AE333" s="175" t="s">
        <v>419</v>
      </c>
      <c r="AF333" s="175" t="s">
        <v>241</v>
      </c>
      <c r="AG333" s="175">
        <v>5</v>
      </c>
      <c r="AH333" s="175" t="s">
        <v>634</v>
      </c>
      <c r="AI333" s="175" t="s">
        <v>634</v>
      </c>
      <c r="AJ333" s="175" t="s">
        <v>636</v>
      </c>
      <c r="AK333" s="175" t="s">
        <v>636</v>
      </c>
      <c r="AL333" s="1159" t="s">
        <v>419</v>
      </c>
      <c r="AM333" s="175" t="s">
        <v>419</v>
      </c>
      <c r="AN333" s="175" t="s">
        <v>419</v>
      </c>
      <c r="AO333" s="175" t="s">
        <v>419</v>
      </c>
      <c r="AP333" s="175">
        <v>24</v>
      </c>
      <c r="AQ333" s="175">
        <v>216</v>
      </c>
      <c r="AR333" s="175" t="s">
        <v>419</v>
      </c>
      <c r="AS333" s="192" t="s">
        <v>419</v>
      </c>
    </row>
    <row r="334" spans="1:45" ht="16.5" customHeight="1">
      <c r="A334" s="174">
        <v>46215</v>
      </c>
      <c r="B334" s="175" t="s">
        <v>212</v>
      </c>
      <c r="C334" s="175" t="s">
        <v>632</v>
      </c>
      <c r="E334" s="175" t="s">
        <v>419</v>
      </c>
      <c r="F334" s="175" t="s">
        <v>419</v>
      </c>
      <c r="G334" s="175" t="s">
        <v>419</v>
      </c>
      <c r="H334" s="175" t="s">
        <v>419</v>
      </c>
      <c r="I334" s="175" t="s">
        <v>419</v>
      </c>
      <c r="L334" s="175" t="s">
        <v>632</v>
      </c>
      <c r="P334" s="175" t="s">
        <v>632</v>
      </c>
      <c r="T334" s="175" t="s">
        <v>632</v>
      </c>
      <c r="X334" s="175" t="s">
        <v>632</v>
      </c>
      <c r="Z334" s="175" t="s">
        <v>419</v>
      </c>
      <c r="AA334" s="175" t="s">
        <v>632</v>
      </c>
      <c r="AB334" s="175" t="s">
        <v>419</v>
      </c>
      <c r="AC334" s="175" t="s">
        <v>419</v>
      </c>
      <c r="AD334" s="175" t="s">
        <v>419</v>
      </c>
      <c r="AE334" s="175" t="s">
        <v>419</v>
      </c>
      <c r="AF334" s="175" t="s">
        <v>213</v>
      </c>
      <c r="AG334" s="175">
        <v>1</v>
      </c>
      <c r="AH334" s="175" t="s">
        <v>640</v>
      </c>
      <c r="AI334" s="175" t="s">
        <v>640</v>
      </c>
      <c r="AJ334" s="175" t="s">
        <v>640</v>
      </c>
      <c r="AK334" s="175" t="s">
        <v>640</v>
      </c>
      <c r="AL334" s="1159" t="s">
        <v>419</v>
      </c>
      <c r="AM334" s="175" t="s">
        <v>419</v>
      </c>
      <c r="AN334" s="175" t="s">
        <v>419</v>
      </c>
      <c r="AO334" s="175" t="s">
        <v>419</v>
      </c>
      <c r="AP334" s="175">
        <v>24</v>
      </c>
      <c r="AQ334" s="175">
        <v>216</v>
      </c>
      <c r="AR334" s="175" t="s">
        <v>419</v>
      </c>
      <c r="AS334" s="192" t="s">
        <v>419</v>
      </c>
    </row>
    <row r="335" spans="1:45" ht="16.5" customHeight="1">
      <c r="A335" s="174">
        <v>46215</v>
      </c>
      <c r="B335" s="175" t="s">
        <v>214</v>
      </c>
      <c r="C335" s="175" t="s">
        <v>632</v>
      </c>
      <c r="E335" s="175" t="s">
        <v>419</v>
      </c>
      <c r="F335" s="175" t="s">
        <v>419</v>
      </c>
      <c r="G335" s="175" t="s">
        <v>419</v>
      </c>
      <c r="H335" s="175" t="s">
        <v>419</v>
      </c>
      <c r="I335" s="175" t="s">
        <v>419</v>
      </c>
      <c r="L335" s="175" t="s">
        <v>632</v>
      </c>
      <c r="P335" s="175" t="s">
        <v>632</v>
      </c>
      <c r="T335" s="175" t="s">
        <v>632</v>
      </c>
      <c r="X335" s="175" t="s">
        <v>632</v>
      </c>
      <c r="Z335" s="175" t="s">
        <v>419</v>
      </c>
      <c r="AA335" s="175" t="s">
        <v>632</v>
      </c>
      <c r="AB335" s="175" t="s">
        <v>419</v>
      </c>
      <c r="AC335" s="175" t="s">
        <v>419</v>
      </c>
      <c r="AD335" s="175" t="s">
        <v>419</v>
      </c>
      <c r="AE335" s="175" t="s">
        <v>419</v>
      </c>
      <c r="AF335" s="175" t="s">
        <v>213</v>
      </c>
      <c r="AG335" s="175">
        <v>1</v>
      </c>
      <c r="AH335" s="175" t="s">
        <v>640</v>
      </c>
      <c r="AI335" s="175" t="s">
        <v>640</v>
      </c>
      <c r="AJ335" s="175" t="s">
        <v>640</v>
      </c>
      <c r="AK335" s="175" t="s">
        <v>640</v>
      </c>
      <c r="AL335" s="1159" t="s">
        <v>419</v>
      </c>
      <c r="AM335" s="175" t="s">
        <v>419</v>
      </c>
      <c r="AN335" s="175" t="s">
        <v>419</v>
      </c>
      <c r="AO335" s="175" t="s">
        <v>419</v>
      </c>
      <c r="AP335" s="175">
        <v>24</v>
      </c>
      <c r="AQ335" s="175">
        <v>216</v>
      </c>
      <c r="AR335" s="175" t="s">
        <v>419</v>
      </c>
      <c r="AS335" s="192" t="s">
        <v>419</v>
      </c>
    </row>
    <row r="336" spans="1:45" ht="16.5" customHeight="1">
      <c r="A336" s="174">
        <v>46215</v>
      </c>
      <c r="B336" s="175" t="s">
        <v>215</v>
      </c>
      <c r="C336" s="175" t="s">
        <v>17316</v>
      </c>
      <c r="E336" s="175" t="s">
        <v>5005</v>
      </c>
      <c r="F336" s="175" t="s">
        <v>17317</v>
      </c>
      <c r="G336" s="175">
        <v>500</v>
      </c>
      <c r="H336" s="175" t="s">
        <v>1186</v>
      </c>
      <c r="I336" s="175">
        <v>4</v>
      </c>
      <c r="J336" s="175">
        <v>14</v>
      </c>
      <c r="K336" s="175">
        <v>0</v>
      </c>
      <c r="L336" s="175">
        <v>7921</v>
      </c>
      <c r="M336" s="175">
        <v>8318</v>
      </c>
      <c r="P336" s="175" t="s">
        <v>127</v>
      </c>
      <c r="T336" s="175" t="s">
        <v>127</v>
      </c>
      <c r="X336" s="175" t="s">
        <v>127</v>
      </c>
      <c r="Z336" s="175">
        <v>2.9937629937629939</v>
      </c>
      <c r="AA336" s="175">
        <v>4.666666666666667</v>
      </c>
      <c r="AB336" s="175">
        <v>1</v>
      </c>
      <c r="AC336" s="175">
        <v>81.194999999999993</v>
      </c>
      <c r="AD336" s="175">
        <v>0.58333333333333337</v>
      </c>
      <c r="AE336" s="175">
        <v>0.58333333333333337</v>
      </c>
      <c r="AF336" s="175" t="s">
        <v>213</v>
      </c>
      <c r="AG336" s="175">
        <v>1</v>
      </c>
      <c r="AH336" s="175" t="s">
        <v>15376</v>
      </c>
      <c r="AI336" s="175" t="s">
        <v>15376</v>
      </c>
      <c r="AJ336" s="175" t="s">
        <v>15876</v>
      </c>
      <c r="AK336" s="175" t="s">
        <v>15876</v>
      </c>
      <c r="AL336" s="1159" t="s">
        <v>250</v>
      </c>
      <c r="AM336" s="175" t="s">
        <v>126</v>
      </c>
      <c r="AN336" s="175">
        <v>0.91100000000000003</v>
      </c>
      <c r="AO336" s="175">
        <v>1.9</v>
      </c>
      <c r="AP336" s="175">
        <v>24</v>
      </c>
      <c r="AQ336" s="175">
        <v>216</v>
      </c>
      <c r="AR336" s="175">
        <v>2.9</v>
      </c>
      <c r="AS336" s="192">
        <v>13695.6096</v>
      </c>
    </row>
    <row r="337" spans="1:45" ht="16.5" customHeight="1">
      <c r="A337" s="174">
        <v>46215</v>
      </c>
      <c r="B337" s="175" t="s">
        <v>216</v>
      </c>
      <c r="C337" s="175" t="s">
        <v>632</v>
      </c>
      <c r="E337" s="175" t="s">
        <v>419</v>
      </c>
      <c r="F337" s="175" t="s">
        <v>419</v>
      </c>
      <c r="G337" s="175" t="s">
        <v>419</v>
      </c>
      <c r="H337" s="175" t="s">
        <v>419</v>
      </c>
      <c r="I337" s="175" t="s">
        <v>419</v>
      </c>
      <c r="L337" s="175" t="s">
        <v>632</v>
      </c>
      <c r="P337" s="175" t="s">
        <v>632</v>
      </c>
      <c r="T337" s="175" t="s">
        <v>632</v>
      </c>
      <c r="X337" s="175" t="s">
        <v>632</v>
      </c>
      <c r="Z337" s="175" t="s">
        <v>419</v>
      </c>
      <c r="AA337" s="175" t="s">
        <v>632</v>
      </c>
      <c r="AB337" s="175" t="s">
        <v>419</v>
      </c>
      <c r="AC337" s="175" t="s">
        <v>419</v>
      </c>
      <c r="AD337" s="175" t="s">
        <v>419</v>
      </c>
      <c r="AE337" s="175" t="s">
        <v>419</v>
      </c>
      <c r="AF337" s="175" t="s">
        <v>213</v>
      </c>
      <c r="AG337" s="175">
        <v>1</v>
      </c>
      <c r="AH337" s="175" t="s">
        <v>640</v>
      </c>
      <c r="AI337" s="175" t="s">
        <v>640</v>
      </c>
      <c r="AJ337" s="175" t="s">
        <v>640</v>
      </c>
      <c r="AK337" s="175" t="s">
        <v>640</v>
      </c>
      <c r="AL337" s="1159" t="s">
        <v>419</v>
      </c>
      <c r="AM337" s="175" t="s">
        <v>419</v>
      </c>
      <c r="AN337" s="175" t="s">
        <v>419</v>
      </c>
      <c r="AO337" s="175" t="s">
        <v>419</v>
      </c>
      <c r="AP337" s="175">
        <v>24</v>
      </c>
      <c r="AQ337" s="175">
        <v>216</v>
      </c>
      <c r="AR337" s="175" t="s">
        <v>419</v>
      </c>
      <c r="AS337" s="192" t="s">
        <v>419</v>
      </c>
    </row>
    <row r="338" spans="1:45" ht="16.5" customHeight="1">
      <c r="A338" s="174">
        <v>46215</v>
      </c>
      <c r="B338" s="175" t="s">
        <v>217</v>
      </c>
      <c r="C338" s="175" t="s">
        <v>17380</v>
      </c>
      <c r="E338" s="175" t="s">
        <v>17381</v>
      </c>
      <c r="F338" s="175" t="s">
        <v>17382</v>
      </c>
      <c r="G338" s="175">
        <v>680</v>
      </c>
      <c r="H338" s="175" t="s">
        <v>16728</v>
      </c>
      <c r="I338" s="175">
        <v>5</v>
      </c>
      <c r="J338" s="175">
        <v>14</v>
      </c>
      <c r="K338" s="175">
        <v>0</v>
      </c>
      <c r="L338" s="175">
        <v>8085</v>
      </c>
      <c r="M338" s="175">
        <v>9064</v>
      </c>
      <c r="N338" s="175">
        <v>4</v>
      </c>
      <c r="O338" s="175">
        <v>0</v>
      </c>
      <c r="P338" s="175">
        <v>8197</v>
      </c>
      <c r="Q338" s="175">
        <v>9251</v>
      </c>
      <c r="R338" s="175">
        <v>4</v>
      </c>
      <c r="S338" s="175">
        <v>0</v>
      </c>
      <c r="T338" s="175">
        <v>8145</v>
      </c>
      <c r="U338" s="175">
        <v>9238</v>
      </c>
      <c r="V338" s="175">
        <v>8</v>
      </c>
      <c r="W338" s="175">
        <v>0</v>
      </c>
      <c r="X338" s="175">
        <v>7947</v>
      </c>
      <c r="Y338" s="175">
        <v>9136</v>
      </c>
      <c r="Z338" s="175">
        <v>1.5824175824175823</v>
      </c>
      <c r="AA338" s="175">
        <v>10</v>
      </c>
      <c r="AB338" s="175">
        <v>1</v>
      </c>
      <c r="AC338" s="175">
        <v>86.328749999999999</v>
      </c>
      <c r="AD338" s="175">
        <v>1.25</v>
      </c>
      <c r="AE338" s="175">
        <v>1.25</v>
      </c>
      <c r="AF338" s="175" t="s">
        <v>213</v>
      </c>
      <c r="AG338" s="175">
        <v>1</v>
      </c>
      <c r="AH338" s="175" t="s">
        <v>629</v>
      </c>
      <c r="AI338" s="175" t="s">
        <v>629</v>
      </c>
      <c r="AJ338" s="175" t="s">
        <v>635</v>
      </c>
      <c r="AK338" s="175" t="s">
        <v>635</v>
      </c>
      <c r="AL338" s="1159" t="s">
        <v>251</v>
      </c>
      <c r="AM338" s="175" t="s">
        <v>126</v>
      </c>
      <c r="AN338" s="175">
        <v>0.91100000000000003</v>
      </c>
      <c r="AO338" s="175">
        <v>1.3</v>
      </c>
      <c r="AP338" s="175">
        <v>24</v>
      </c>
      <c r="AQ338" s="175">
        <v>216</v>
      </c>
      <c r="AR338" s="175">
        <v>2.2999999999999998</v>
      </c>
      <c r="AS338" s="192">
        <v>10862.035199999998</v>
      </c>
    </row>
    <row r="339" spans="1:45" ht="16.5" customHeight="1">
      <c r="A339" s="174">
        <v>46215</v>
      </c>
      <c r="B339" s="175" t="s">
        <v>218</v>
      </c>
      <c r="C339" s="175" t="s">
        <v>17221</v>
      </c>
      <c r="E339" s="175" t="s">
        <v>17237</v>
      </c>
      <c r="F339" s="175" t="s">
        <v>17229</v>
      </c>
      <c r="G339" s="175">
        <v>600</v>
      </c>
      <c r="H339" s="175" t="s">
        <v>15893</v>
      </c>
      <c r="I339" s="175">
        <v>5</v>
      </c>
      <c r="J339" s="175">
        <v>22</v>
      </c>
      <c r="K339" s="175">
        <v>0</v>
      </c>
      <c r="L339" s="175">
        <v>9250</v>
      </c>
      <c r="M339" s="175">
        <v>9571</v>
      </c>
      <c r="N339" s="175">
        <v>6</v>
      </c>
      <c r="O339" s="175">
        <v>0</v>
      </c>
      <c r="P339" s="175">
        <v>9471</v>
      </c>
      <c r="Q339" s="175">
        <v>9609</v>
      </c>
      <c r="R339" s="175">
        <v>72</v>
      </c>
      <c r="S339" s="175">
        <v>6</v>
      </c>
      <c r="T339" s="175">
        <v>9348</v>
      </c>
      <c r="U339" s="175">
        <v>9608</v>
      </c>
      <c r="V339" s="175">
        <v>10</v>
      </c>
      <c r="W339" s="175">
        <v>0</v>
      </c>
      <c r="X339" s="175">
        <v>9372</v>
      </c>
      <c r="Y339" s="175">
        <v>9577</v>
      </c>
      <c r="Z339" s="175">
        <v>2.8015564202334629</v>
      </c>
      <c r="AA339" s="175">
        <v>18.333333333333332</v>
      </c>
      <c r="AB339" s="175">
        <v>0.98970352564102559</v>
      </c>
      <c r="AC339" s="175">
        <v>94.757499999999993</v>
      </c>
      <c r="AD339" s="175">
        <v>2.2916666666666665</v>
      </c>
      <c r="AE339" s="175">
        <v>2.1666666666666665</v>
      </c>
      <c r="AF339" s="175" t="s">
        <v>213</v>
      </c>
      <c r="AG339" s="175">
        <v>0.5</v>
      </c>
      <c r="AH339" s="175" t="s">
        <v>629</v>
      </c>
      <c r="AI339" s="175" t="s">
        <v>629</v>
      </c>
      <c r="AJ339" s="175" t="s">
        <v>635</v>
      </c>
      <c r="AK339" s="175" t="s">
        <v>635</v>
      </c>
      <c r="AL339" s="1159" t="s">
        <v>250</v>
      </c>
      <c r="AM339" s="175" t="s">
        <v>126</v>
      </c>
      <c r="AN339" s="175">
        <v>0.91100000000000003</v>
      </c>
      <c r="AO339" s="175">
        <v>1.7</v>
      </c>
      <c r="AP339" s="175">
        <v>24</v>
      </c>
      <c r="AQ339" s="175">
        <v>216</v>
      </c>
      <c r="AR339" s="175">
        <v>2.7</v>
      </c>
      <c r="AS339" s="192">
        <v>12751.084800000001</v>
      </c>
    </row>
    <row r="340" spans="1:45" ht="16.5" customHeight="1">
      <c r="A340" s="174">
        <v>46215</v>
      </c>
      <c r="B340" s="175" t="s">
        <v>219</v>
      </c>
      <c r="C340" s="175" t="s">
        <v>632</v>
      </c>
      <c r="E340" s="175" t="s">
        <v>419</v>
      </c>
      <c r="F340" s="175" t="s">
        <v>419</v>
      </c>
      <c r="G340" s="175" t="s">
        <v>419</v>
      </c>
      <c r="H340" s="175" t="s">
        <v>419</v>
      </c>
      <c r="I340" s="175" t="s">
        <v>419</v>
      </c>
      <c r="L340" s="175" t="s">
        <v>632</v>
      </c>
      <c r="P340" s="175" t="s">
        <v>632</v>
      </c>
      <c r="T340" s="175" t="s">
        <v>632</v>
      </c>
      <c r="X340" s="175" t="s">
        <v>632</v>
      </c>
      <c r="Z340" s="175" t="s">
        <v>419</v>
      </c>
      <c r="AA340" s="175" t="s">
        <v>632</v>
      </c>
      <c r="AB340" s="175" t="s">
        <v>419</v>
      </c>
      <c r="AC340" s="175" t="s">
        <v>419</v>
      </c>
      <c r="AD340" s="175" t="s">
        <v>419</v>
      </c>
      <c r="AE340" s="175" t="s">
        <v>419</v>
      </c>
      <c r="AF340" s="175" t="s">
        <v>213</v>
      </c>
      <c r="AG340" s="175">
        <v>1</v>
      </c>
      <c r="AH340" s="175" t="s">
        <v>640</v>
      </c>
      <c r="AI340" s="175" t="s">
        <v>640</v>
      </c>
      <c r="AJ340" s="175" t="s">
        <v>640</v>
      </c>
      <c r="AK340" s="175" t="s">
        <v>640</v>
      </c>
      <c r="AL340" s="1159" t="s">
        <v>419</v>
      </c>
      <c r="AM340" s="175" t="s">
        <v>419</v>
      </c>
      <c r="AN340" s="175" t="s">
        <v>419</v>
      </c>
      <c r="AO340" s="175" t="s">
        <v>419</v>
      </c>
      <c r="AP340" s="175">
        <v>24</v>
      </c>
      <c r="AQ340" s="175">
        <v>216</v>
      </c>
      <c r="AR340" s="175" t="s">
        <v>419</v>
      </c>
      <c r="AS340" s="192" t="s">
        <v>419</v>
      </c>
    </row>
    <row r="341" spans="1:45" ht="16.5" customHeight="1">
      <c r="A341" s="174">
        <v>46215</v>
      </c>
      <c r="B341" s="175" t="s">
        <v>220</v>
      </c>
      <c r="C341" s="175" t="s">
        <v>17430</v>
      </c>
      <c r="E341" s="175" t="s">
        <v>1891</v>
      </c>
      <c r="F341" s="175" t="s">
        <v>17433</v>
      </c>
      <c r="G341" s="175">
        <v>600</v>
      </c>
      <c r="H341" s="175" t="s">
        <v>474</v>
      </c>
      <c r="I341" s="175">
        <v>4</v>
      </c>
      <c r="J341" s="175">
        <v>57</v>
      </c>
      <c r="K341" s="175">
        <v>0</v>
      </c>
      <c r="L341" s="175">
        <v>7180</v>
      </c>
      <c r="M341" s="175">
        <v>7848</v>
      </c>
      <c r="N341" s="175">
        <v>8</v>
      </c>
      <c r="O341" s="175">
        <v>0</v>
      </c>
      <c r="P341" s="175">
        <v>7642</v>
      </c>
      <c r="Q341" s="175">
        <v>8056</v>
      </c>
      <c r="R341" s="175">
        <v>2</v>
      </c>
      <c r="S341" s="175">
        <v>0</v>
      </c>
      <c r="T341" s="175">
        <v>7393</v>
      </c>
      <c r="U341" s="175">
        <v>7979</v>
      </c>
      <c r="V341" s="175">
        <v>34</v>
      </c>
      <c r="W341" s="175">
        <v>5</v>
      </c>
      <c r="X341" s="175">
        <v>7359</v>
      </c>
      <c r="Y341" s="175">
        <v>7886</v>
      </c>
      <c r="Z341" s="175">
        <v>1.7625458996328029</v>
      </c>
      <c r="AA341" s="175">
        <v>33.666666666666664</v>
      </c>
      <c r="AB341" s="175">
        <v>0.98636151175213671</v>
      </c>
      <c r="AC341" s="175">
        <v>76.678749999999994</v>
      </c>
      <c r="AD341" s="175">
        <v>4.208333333333333</v>
      </c>
      <c r="AE341" s="175">
        <v>4</v>
      </c>
      <c r="AF341" s="175" t="s">
        <v>213</v>
      </c>
      <c r="AG341" s="175">
        <v>1</v>
      </c>
      <c r="AH341" s="175" t="s">
        <v>15376</v>
      </c>
      <c r="AI341" s="175" t="s">
        <v>15376</v>
      </c>
      <c r="AJ341" s="175" t="s">
        <v>15876</v>
      </c>
      <c r="AK341" s="175" t="s">
        <v>15876</v>
      </c>
      <c r="AL341" s="1159" t="s">
        <v>250</v>
      </c>
      <c r="AM341" s="175" t="s">
        <v>126</v>
      </c>
      <c r="AN341" s="175">
        <v>0.91100000000000003</v>
      </c>
      <c r="AO341" s="175">
        <v>0.7</v>
      </c>
      <c r="AP341" s="175">
        <v>24</v>
      </c>
      <c r="AQ341" s="175">
        <v>216</v>
      </c>
      <c r="AR341" s="175">
        <v>1.7</v>
      </c>
      <c r="AS341" s="192">
        <v>8028.4608000000007</v>
      </c>
    </row>
    <row r="342" spans="1:45" ht="16.5" customHeight="1">
      <c r="A342" s="174">
        <v>46215</v>
      </c>
      <c r="B342" s="175" t="s">
        <v>221</v>
      </c>
      <c r="C342" s="175" t="s">
        <v>632</v>
      </c>
      <c r="E342" s="175" t="s">
        <v>419</v>
      </c>
      <c r="F342" s="175" t="s">
        <v>419</v>
      </c>
      <c r="G342" s="175" t="s">
        <v>419</v>
      </c>
      <c r="H342" s="175" t="s">
        <v>419</v>
      </c>
      <c r="I342" s="175" t="s">
        <v>419</v>
      </c>
      <c r="L342" s="175" t="s">
        <v>632</v>
      </c>
      <c r="P342" s="175" t="s">
        <v>632</v>
      </c>
      <c r="T342" s="175" t="s">
        <v>632</v>
      </c>
      <c r="X342" s="175" t="s">
        <v>632</v>
      </c>
      <c r="Z342" s="175" t="s">
        <v>419</v>
      </c>
      <c r="AA342" s="175" t="s">
        <v>632</v>
      </c>
      <c r="AB342" s="175" t="s">
        <v>419</v>
      </c>
      <c r="AC342" s="175" t="s">
        <v>419</v>
      </c>
      <c r="AD342" s="175" t="s">
        <v>419</v>
      </c>
      <c r="AE342" s="175" t="s">
        <v>419</v>
      </c>
      <c r="AF342" s="175" t="s">
        <v>213</v>
      </c>
      <c r="AG342" s="175">
        <v>1</v>
      </c>
      <c r="AH342" s="175" t="s">
        <v>640</v>
      </c>
      <c r="AI342" s="175" t="s">
        <v>640</v>
      </c>
      <c r="AJ342" s="175" t="s">
        <v>640</v>
      </c>
      <c r="AK342" s="175" t="s">
        <v>640</v>
      </c>
      <c r="AL342" s="1159" t="s">
        <v>419</v>
      </c>
      <c r="AM342" s="175" t="s">
        <v>419</v>
      </c>
      <c r="AN342" s="175" t="s">
        <v>419</v>
      </c>
      <c r="AO342" s="175" t="s">
        <v>419</v>
      </c>
      <c r="AP342" s="175">
        <v>24</v>
      </c>
      <c r="AQ342" s="175">
        <v>216</v>
      </c>
      <c r="AR342" s="175" t="s">
        <v>419</v>
      </c>
      <c r="AS342" s="192" t="s">
        <v>419</v>
      </c>
    </row>
    <row r="343" spans="1:45" ht="16.5" customHeight="1">
      <c r="A343" s="174">
        <v>46215</v>
      </c>
      <c r="B343" s="175" t="s">
        <v>222</v>
      </c>
      <c r="C343" s="175" t="s">
        <v>17261</v>
      </c>
      <c r="D343" s="175" t="s">
        <v>16748</v>
      </c>
      <c r="E343" s="175" t="s">
        <v>17177</v>
      </c>
      <c r="F343" s="175" t="s">
        <v>17262</v>
      </c>
      <c r="G343" s="175">
        <v>550</v>
      </c>
      <c r="H343" s="175" t="s">
        <v>762</v>
      </c>
      <c r="I343" s="175">
        <v>2</v>
      </c>
      <c r="L343" s="175" t="s">
        <v>127</v>
      </c>
      <c r="M343" s="175" t="s">
        <v>632</v>
      </c>
      <c r="P343" s="175" t="s">
        <v>127</v>
      </c>
      <c r="Q343" s="175" t="s">
        <v>632</v>
      </c>
      <c r="T343" s="175" t="s">
        <v>127</v>
      </c>
      <c r="U343" s="175" t="s">
        <v>632</v>
      </c>
      <c r="X343" s="175" t="s">
        <v>127</v>
      </c>
      <c r="Y343" s="175" t="s">
        <v>632</v>
      </c>
      <c r="Z343" s="175">
        <v>2.1686746987951806</v>
      </c>
      <c r="AA343" s="175" t="s">
        <v>127</v>
      </c>
      <c r="AB343" s="175" t="s">
        <v>419</v>
      </c>
      <c r="AC343" s="175" t="s">
        <v>419</v>
      </c>
      <c r="AD343" s="175" t="s">
        <v>419</v>
      </c>
      <c r="AE343" s="175" t="s">
        <v>419</v>
      </c>
      <c r="AF343" s="175" t="s">
        <v>213</v>
      </c>
      <c r="AG343" s="175">
        <v>2</v>
      </c>
      <c r="AH343" s="175" t="s">
        <v>629</v>
      </c>
      <c r="AI343" s="175" t="s">
        <v>629</v>
      </c>
      <c r="AJ343" s="175" t="s">
        <v>635</v>
      </c>
      <c r="AK343" s="175" t="s">
        <v>635</v>
      </c>
      <c r="AL343" s="1159" t="s">
        <v>250</v>
      </c>
      <c r="AM343" s="175" t="s">
        <v>126</v>
      </c>
      <c r="AN343" s="175">
        <v>0.91100000000000003</v>
      </c>
      <c r="AO343" s="175">
        <v>0.7</v>
      </c>
      <c r="AP343" s="175">
        <v>24</v>
      </c>
      <c r="AQ343" s="175">
        <v>216</v>
      </c>
      <c r="AR343" s="175">
        <v>1.7</v>
      </c>
      <c r="AS343" s="192">
        <v>8028.4608000000007</v>
      </c>
    </row>
    <row r="344" spans="1:45" ht="16.5" customHeight="1">
      <c r="A344" s="174">
        <v>46215</v>
      </c>
      <c r="B344" s="175" t="s">
        <v>223</v>
      </c>
      <c r="C344" s="175" t="s">
        <v>17263</v>
      </c>
      <c r="D344" s="175" t="s">
        <v>16748</v>
      </c>
      <c r="E344" s="175" t="s">
        <v>17156</v>
      </c>
      <c r="F344" s="175" t="s">
        <v>17264</v>
      </c>
      <c r="G344" s="175">
        <v>600</v>
      </c>
      <c r="H344" s="175" t="s">
        <v>456</v>
      </c>
      <c r="I344" s="175">
        <v>3</v>
      </c>
      <c r="J344" s="175">
        <v>14</v>
      </c>
      <c r="K344" s="175">
        <v>0</v>
      </c>
      <c r="L344" s="175">
        <v>6860</v>
      </c>
      <c r="N344" s="175">
        <v>1</v>
      </c>
      <c r="O344" s="175">
        <v>0</v>
      </c>
      <c r="P344" s="175">
        <v>6918</v>
      </c>
      <c r="R344" s="175">
        <v>2</v>
      </c>
      <c r="S344" s="175">
        <v>0</v>
      </c>
      <c r="T344" s="175">
        <v>6884</v>
      </c>
      <c r="V344" s="175">
        <v>10</v>
      </c>
      <c r="W344" s="175">
        <v>0</v>
      </c>
      <c r="X344" s="175">
        <v>6785</v>
      </c>
      <c r="Z344" s="175">
        <v>2.4</v>
      </c>
      <c r="AA344" s="175">
        <v>18</v>
      </c>
      <c r="AB344" s="175">
        <v>1</v>
      </c>
      <c r="AC344" s="175">
        <v>68.617500000000007</v>
      </c>
      <c r="AD344" s="175">
        <v>2.25</v>
      </c>
      <c r="AE344" s="175">
        <v>2.25</v>
      </c>
      <c r="AF344" s="175" t="s">
        <v>213</v>
      </c>
      <c r="AG344" s="175">
        <v>2</v>
      </c>
      <c r="AH344" s="175" t="s">
        <v>629</v>
      </c>
      <c r="AI344" s="175" t="s">
        <v>629</v>
      </c>
      <c r="AJ344" s="175" t="s">
        <v>635</v>
      </c>
      <c r="AK344" s="175" t="s">
        <v>635</v>
      </c>
      <c r="AL344" s="1159" t="s">
        <v>250</v>
      </c>
      <c r="AM344" s="175" t="s">
        <v>126</v>
      </c>
      <c r="AN344" s="175">
        <v>0.91100000000000003</v>
      </c>
      <c r="AO344" s="175">
        <v>0.8</v>
      </c>
      <c r="AP344" s="175">
        <v>24</v>
      </c>
      <c r="AQ344" s="175">
        <v>216</v>
      </c>
      <c r="AR344" s="175">
        <v>1.8</v>
      </c>
      <c r="AS344" s="192">
        <v>8500.7232000000004</v>
      </c>
    </row>
    <row r="345" spans="1:45" ht="16.5" customHeight="1">
      <c r="A345" s="174">
        <v>46215</v>
      </c>
      <c r="B345" s="175" t="s">
        <v>223</v>
      </c>
      <c r="C345" s="175" t="s">
        <v>17431</v>
      </c>
      <c r="E345" s="175" t="s">
        <v>15035</v>
      </c>
      <c r="F345" s="175" t="s">
        <v>16860</v>
      </c>
      <c r="G345" s="175">
        <v>550</v>
      </c>
      <c r="H345" s="175" t="s">
        <v>622</v>
      </c>
      <c r="I345" s="175">
        <v>5</v>
      </c>
      <c r="J345" s="175">
        <v>9</v>
      </c>
      <c r="K345" s="175">
        <v>2</v>
      </c>
      <c r="M345" s="175">
        <v>7668</v>
      </c>
      <c r="N345" s="175">
        <v>2</v>
      </c>
      <c r="O345" s="175">
        <v>0</v>
      </c>
      <c r="Q345" s="175">
        <v>7339</v>
      </c>
      <c r="R345" s="175">
        <v>5</v>
      </c>
      <c r="S345" s="175">
        <v>3</v>
      </c>
      <c r="T345" s="175">
        <v>7233</v>
      </c>
      <c r="V345" s="175">
        <v>2</v>
      </c>
      <c r="W345" s="175">
        <v>0</v>
      </c>
      <c r="Y345" s="175">
        <v>7289</v>
      </c>
      <c r="Z345" s="175">
        <v>1.3345690454124188</v>
      </c>
      <c r="AA345" s="175">
        <v>12</v>
      </c>
      <c r="AB345" s="175">
        <v>0.98198784722222221</v>
      </c>
      <c r="AC345" s="175">
        <v>73.822500000000005</v>
      </c>
      <c r="AD345" s="175">
        <v>1.5</v>
      </c>
      <c r="AE345" s="175">
        <v>1.0833333333333333</v>
      </c>
      <c r="AF345" s="175" t="s">
        <v>213</v>
      </c>
      <c r="AG345" s="175">
        <v>2</v>
      </c>
      <c r="AH345" s="175" t="s">
        <v>629</v>
      </c>
      <c r="AI345" s="175" t="s">
        <v>629</v>
      </c>
      <c r="AJ345" s="175" t="s">
        <v>635</v>
      </c>
      <c r="AK345" s="175" t="s">
        <v>635</v>
      </c>
      <c r="AM345" s="175" t="s">
        <v>126</v>
      </c>
      <c r="AN345" s="175">
        <v>0.91100000000000003</v>
      </c>
      <c r="AO345" s="175">
        <v>0.8</v>
      </c>
      <c r="AP345" s="175">
        <v>24</v>
      </c>
      <c r="AQ345" s="175">
        <v>216</v>
      </c>
      <c r="AR345" s="175">
        <v>1.8</v>
      </c>
      <c r="AS345" s="192">
        <v>8500.7232000000004</v>
      </c>
    </row>
    <row r="346" spans="1:45" ht="16.5" customHeight="1">
      <c r="A346" s="174">
        <v>46215</v>
      </c>
      <c r="B346" s="175" t="s">
        <v>224</v>
      </c>
      <c r="C346" s="175" t="s">
        <v>632</v>
      </c>
      <c r="E346" s="175" t="s">
        <v>419</v>
      </c>
      <c r="F346" s="175" t="s">
        <v>419</v>
      </c>
      <c r="G346" s="175" t="s">
        <v>419</v>
      </c>
      <c r="H346" s="175" t="s">
        <v>419</v>
      </c>
      <c r="I346" s="175" t="s">
        <v>419</v>
      </c>
      <c r="L346" s="175" t="s">
        <v>632</v>
      </c>
      <c r="P346" s="175" t="s">
        <v>632</v>
      </c>
      <c r="T346" s="175" t="s">
        <v>632</v>
      </c>
      <c r="X346" s="175" t="s">
        <v>632</v>
      </c>
      <c r="Z346" s="175" t="s">
        <v>419</v>
      </c>
      <c r="AA346" s="175" t="s">
        <v>632</v>
      </c>
      <c r="AB346" s="175" t="s">
        <v>419</v>
      </c>
      <c r="AC346" s="175" t="s">
        <v>419</v>
      </c>
      <c r="AD346" s="175" t="s">
        <v>419</v>
      </c>
      <c r="AE346" s="175" t="s">
        <v>419</v>
      </c>
      <c r="AF346" s="175" t="s">
        <v>213</v>
      </c>
      <c r="AG346" s="175">
        <v>0.5</v>
      </c>
      <c r="AH346" s="175" t="s">
        <v>640</v>
      </c>
      <c r="AI346" s="175" t="s">
        <v>640</v>
      </c>
      <c r="AJ346" s="175" t="s">
        <v>640</v>
      </c>
      <c r="AK346" s="175" t="s">
        <v>640</v>
      </c>
      <c r="AL346" s="1159" t="s">
        <v>419</v>
      </c>
      <c r="AM346" s="175" t="s">
        <v>419</v>
      </c>
      <c r="AN346" s="175" t="s">
        <v>419</v>
      </c>
      <c r="AO346" s="175" t="s">
        <v>419</v>
      </c>
      <c r="AP346" s="175">
        <v>24</v>
      </c>
      <c r="AQ346" s="175">
        <v>216</v>
      </c>
      <c r="AR346" s="175" t="s">
        <v>419</v>
      </c>
      <c r="AS346" s="192" t="s">
        <v>419</v>
      </c>
    </row>
    <row r="347" spans="1:45" ht="16.5" customHeight="1">
      <c r="A347" s="174">
        <v>46215</v>
      </c>
      <c r="B347" s="175" t="s">
        <v>225</v>
      </c>
      <c r="C347" s="175" t="s">
        <v>632</v>
      </c>
      <c r="E347" s="175" t="s">
        <v>419</v>
      </c>
      <c r="F347" s="175" t="s">
        <v>419</v>
      </c>
      <c r="G347" s="175" t="s">
        <v>419</v>
      </c>
      <c r="H347" s="175" t="s">
        <v>419</v>
      </c>
      <c r="I347" s="175" t="s">
        <v>419</v>
      </c>
      <c r="L347" s="175" t="s">
        <v>632</v>
      </c>
      <c r="P347" s="175" t="s">
        <v>632</v>
      </c>
      <c r="T347" s="175" t="s">
        <v>632</v>
      </c>
      <c r="X347" s="175" t="s">
        <v>632</v>
      </c>
      <c r="Z347" s="175" t="s">
        <v>419</v>
      </c>
      <c r="AA347" s="175" t="s">
        <v>632</v>
      </c>
      <c r="AB347" s="175" t="s">
        <v>419</v>
      </c>
      <c r="AC347" s="175" t="s">
        <v>419</v>
      </c>
      <c r="AD347" s="175" t="s">
        <v>419</v>
      </c>
      <c r="AE347" s="175" t="s">
        <v>419</v>
      </c>
      <c r="AF347" s="175" t="s">
        <v>213</v>
      </c>
      <c r="AG347" s="175">
        <v>1</v>
      </c>
      <c r="AH347" s="175" t="s">
        <v>640</v>
      </c>
      <c r="AI347" s="175" t="s">
        <v>640</v>
      </c>
      <c r="AJ347" s="175" t="s">
        <v>640</v>
      </c>
      <c r="AK347" s="175" t="s">
        <v>640</v>
      </c>
      <c r="AL347" s="1159" t="s">
        <v>419</v>
      </c>
      <c r="AM347" s="175" t="s">
        <v>419</v>
      </c>
      <c r="AN347" s="175" t="s">
        <v>419</v>
      </c>
      <c r="AO347" s="175" t="s">
        <v>419</v>
      </c>
      <c r="AP347" s="175">
        <v>24</v>
      </c>
      <c r="AQ347" s="175">
        <v>216</v>
      </c>
      <c r="AR347" s="175" t="s">
        <v>419</v>
      </c>
      <c r="AS347" s="192" t="s">
        <v>419</v>
      </c>
    </row>
    <row r="348" spans="1:45" ht="16.5" customHeight="1">
      <c r="A348" s="174">
        <v>46215</v>
      </c>
      <c r="B348" s="175" t="s">
        <v>226</v>
      </c>
      <c r="C348" s="175" t="s">
        <v>632</v>
      </c>
      <c r="E348" s="175" t="s">
        <v>419</v>
      </c>
      <c r="F348" s="175" t="s">
        <v>419</v>
      </c>
      <c r="G348" s="175" t="s">
        <v>419</v>
      </c>
      <c r="H348" s="175" t="s">
        <v>419</v>
      </c>
      <c r="I348" s="175" t="s">
        <v>419</v>
      </c>
      <c r="L348" s="175" t="s">
        <v>632</v>
      </c>
      <c r="P348" s="175" t="s">
        <v>632</v>
      </c>
      <c r="T348" s="175" t="s">
        <v>632</v>
      </c>
      <c r="X348" s="175" t="s">
        <v>632</v>
      </c>
      <c r="Z348" s="175" t="s">
        <v>419</v>
      </c>
      <c r="AA348" s="175" t="s">
        <v>632</v>
      </c>
      <c r="AB348" s="175" t="s">
        <v>419</v>
      </c>
      <c r="AC348" s="175" t="s">
        <v>419</v>
      </c>
      <c r="AD348" s="175" t="s">
        <v>419</v>
      </c>
      <c r="AE348" s="175" t="s">
        <v>419</v>
      </c>
      <c r="AF348" s="175" t="s">
        <v>213</v>
      </c>
      <c r="AG348" s="175">
        <v>1</v>
      </c>
      <c r="AH348" s="175" t="s">
        <v>640</v>
      </c>
      <c r="AI348" s="175" t="s">
        <v>640</v>
      </c>
      <c r="AJ348" s="175" t="s">
        <v>640</v>
      </c>
      <c r="AK348" s="175" t="s">
        <v>640</v>
      </c>
      <c r="AL348" s="1159" t="s">
        <v>419</v>
      </c>
      <c r="AM348" s="175" t="s">
        <v>419</v>
      </c>
      <c r="AN348" s="175" t="s">
        <v>419</v>
      </c>
      <c r="AO348" s="175" t="s">
        <v>419</v>
      </c>
      <c r="AP348" s="175">
        <v>24</v>
      </c>
      <c r="AQ348" s="175">
        <v>216</v>
      </c>
      <c r="AR348" s="175" t="s">
        <v>419</v>
      </c>
      <c r="AS348" s="192" t="s">
        <v>419</v>
      </c>
    </row>
    <row r="349" spans="1:45" ht="16.5" customHeight="1">
      <c r="A349" s="174">
        <v>46215</v>
      </c>
      <c r="B349" s="175" t="s">
        <v>227</v>
      </c>
      <c r="C349" s="175" t="s">
        <v>632</v>
      </c>
      <c r="E349" s="175" t="s">
        <v>419</v>
      </c>
      <c r="F349" s="175" t="s">
        <v>419</v>
      </c>
      <c r="G349" s="175" t="s">
        <v>419</v>
      </c>
      <c r="H349" s="175" t="s">
        <v>419</v>
      </c>
      <c r="I349" s="175" t="s">
        <v>419</v>
      </c>
      <c r="L349" s="175" t="s">
        <v>632</v>
      </c>
      <c r="P349" s="175" t="s">
        <v>632</v>
      </c>
      <c r="T349" s="175" t="s">
        <v>632</v>
      </c>
      <c r="X349" s="175" t="s">
        <v>632</v>
      </c>
      <c r="Z349" s="175" t="s">
        <v>419</v>
      </c>
      <c r="AA349" s="175" t="s">
        <v>632</v>
      </c>
      <c r="AB349" s="175" t="s">
        <v>419</v>
      </c>
      <c r="AC349" s="175" t="s">
        <v>419</v>
      </c>
      <c r="AD349" s="175" t="s">
        <v>419</v>
      </c>
      <c r="AE349" s="175" t="s">
        <v>419</v>
      </c>
      <c r="AF349" s="175" t="s">
        <v>213</v>
      </c>
      <c r="AG349" s="175">
        <v>1</v>
      </c>
      <c r="AH349" s="175" t="s">
        <v>640</v>
      </c>
      <c r="AI349" s="175" t="s">
        <v>640</v>
      </c>
      <c r="AJ349" s="175" t="s">
        <v>640</v>
      </c>
      <c r="AK349" s="175" t="s">
        <v>640</v>
      </c>
      <c r="AL349" s="1159" t="s">
        <v>419</v>
      </c>
      <c r="AM349" s="175" t="s">
        <v>419</v>
      </c>
      <c r="AN349" s="175" t="s">
        <v>419</v>
      </c>
      <c r="AO349" s="175" t="s">
        <v>419</v>
      </c>
      <c r="AP349" s="175">
        <v>24</v>
      </c>
      <c r="AQ349" s="175">
        <v>216</v>
      </c>
      <c r="AR349" s="175" t="s">
        <v>419</v>
      </c>
      <c r="AS349" s="192" t="s">
        <v>419</v>
      </c>
    </row>
    <row r="350" spans="1:45" ht="16.5" customHeight="1">
      <c r="A350" s="174">
        <v>46215</v>
      </c>
      <c r="B350" s="175" t="s">
        <v>228</v>
      </c>
      <c r="C350" s="175" t="s">
        <v>17293</v>
      </c>
      <c r="E350" s="175" t="s">
        <v>7055</v>
      </c>
      <c r="F350" s="175" t="s">
        <v>17294</v>
      </c>
      <c r="G350" s="175">
        <v>550</v>
      </c>
      <c r="H350" s="175" t="s">
        <v>889</v>
      </c>
      <c r="I350" s="175">
        <v>5.5</v>
      </c>
      <c r="J350" s="175">
        <v>22</v>
      </c>
      <c r="K350" s="175">
        <v>0</v>
      </c>
      <c r="L350" s="175">
        <v>5080</v>
      </c>
      <c r="M350" s="175">
        <v>6176</v>
      </c>
      <c r="N350" s="175">
        <v>16</v>
      </c>
      <c r="O350" s="175">
        <v>0</v>
      </c>
      <c r="P350" s="175">
        <v>5371</v>
      </c>
      <c r="Q350" s="175">
        <v>6010</v>
      </c>
      <c r="R350" s="175">
        <v>16</v>
      </c>
      <c r="S350" s="175">
        <v>0</v>
      </c>
      <c r="T350" s="175">
        <v>5320</v>
      </c>
      <c r="U350" s="175">
        <v>5952</v>
      </c>
      <c r="V350" s="175">
        <v>14</v>
      </c>
      <c r="W350" s="175">
        <v>2</v>
      </c>
      <c r="X350" s="175">
        <v>5369</v>
      </c>
      <c r="Y350" s="175">
        <v>5881</v>
      </c>
      <c r="Z350" s="175">
        <v>4.7058823529411766</v>
      </c>
      <c r="AA350" s="175">
        <v>11.333333333333334</v>
      </c>
      <c r="AB350" s="175">
        <v>0.99795673076923075</v>
      </c>
      <c r="AC350" s="175">
        <v>56.448749999999997</v>
      </c>
      <c r="AD350" s="175">
        <v>1.4166666666666667</v>
      </c>
      <c r="AE350" s="175">
        <v>1.375</v>
      </c>
      <c r="AF350" s="175" t="s">
        <v>213</v>
      </c>
      <c r="AG350" s="175">
        <v>0.5</v>
      </c>
      <c r="AH350" s="175" t="s">
        <v>629</v>
      </c>
      <c r="AI350" s="175" t="s">
        <v>629</v>
      </c>
      <c r="AJ350" s="175" t="s">
        <v>635</v>
      </c>
      <c r="AK350" s="175" t="s">
        <v>635</v>
      </c>
      <c r="AL350" s="1159" t="s">
        <v>250</v>
      </c>
      <c r="AM350" s="175" t="s">
        <v>460</v>
      </c>
      <c r="AN350" s="175">
        <v>1.1890000000000001</v>
      </c>
      <c r="AO350" s="175">
        <v>1.9</v>
      </c>
      <c r="AP350" s="175">
        <v>24</v>
      </c>
      <c r="AQ350" s="175">
        <v>216</v>
      </c>
      <c r="AR350" s="175">
        <v>2.9</v>
      </c>
      <c r="AS350" s="192">
        <v>17874.950400000002</v>
      </c>
    </row>
    <row r="351" spans="1:45" ht="16.5" customHeight="1">
      <c r="A351" s="174">
        <v>46215</v>
      </c>
      <c r="B351" s="175" t="s">
        <v>229</v>
      </c>
      <c r="C351" s="175" t="s">
        <v>632</v>
      </c>
      <c r="E351" s="175" t="s">
        <v>419</v>
      </c>
      <c r="F351" s="175" t="s">
        <v>419</v>
      </c>
      <c r="G351" s="175" t="s">
        <v>419</v>
      </c>
      <c r="H351" s="175" t="s">
        <v>419</v>
      </c>
      <c r="I351" s="175" t="s">
        <v>419</v>
      </c>
      <c r="L351" s="175" t="s">
        <v>632</v>
      </c>
      <c r="P351" s="175" t="s">
        <v>632</v>
      </c>
      <c r="T351" s="175" t="s">
        <v>632</v>
      </c>
      <c r="X351" s="175" t="s">
        <v>632</v>
      </c>
      <c r="Z351" s="175" t="s">
        <v>419</v>
      </c>
      <c r="AA351" s="175" t="s">
        <v>632</v>
      </c>
      <c r="AB351" s="175" t="s">
        <v>419</v>
      </c>
      <c r="AC351" s="175" t="s">
        <v>419</v>
      </c>
      <c r="AD351" s="175" t="s">
        <v>419</v>
      </c>
      <c r="AE351" s="175" t="s">
        <v>419</v>
      </c>
      <c r="AF351" s="175" t="s">
        <v>213</v>
      </c>
      <c r="AG351" s="175">
        <v>1</v>
      </c>
      <c r="AH351" s="175" t="s">
        <v>640</v>
      </c>
      <c r="AI351" s="175" t="s">
        <v>640</v>
      </c>
      <c r="AJ351" s="175" t="s">
        <v>640</v>
      </c>
      <c r="AK351" s="175" t="s">
        <v>640</v>
      </c>
      <c r="AL351" s="1159" t="s">
        <v>419</v>
      </c>
      <c r="AM351" s="175" t="s">
        <v>419</v>
      </c>
      <c r="AN351" s="175" t="s">
        <v>419</v>
      </c>
      <c r="AO351" s="175" t="s">
        <v>419</v>
      </c>
      <c r="AP351" s="175">
        <v>24</v>
      </c>
      <c r="AQ351" s="175">
        <v>216</v>
      </c>
      <c r="AR351" s="175" t="s">
        <v>419</v>
      </c>
      <c r="AS351" s="192" t="s">
        <v>419</v>
      </c>
    </row>
    <row r="352" spans="1:45" ht="16.5" customHeight="1">
      <c r="A352" s="174">
        <v>46215</v>
      </c>
      <c r="B352" s="175" t="s">
        <v>230</v>
      </c>
      <c r="C352" s="175" t="s">
        <v>632</v>
      </c>
      <c r="E352" s="175" t="s">
        <v>419</v>
      </c>
      <c r="F352" s="175" t="s">
        <v>419</v>
      </c>
      <c r="G352" s="175" t="s">
        <v>419</v>
      </c>
      <c r="H352" s="175" t="s">
        <v>419</v>
      </c>
      <c r="I352" s="175" t="s">
        <v>419</v>
      </c>
      <c r="L352" s="175" t="s">
        <v>632</v>
      </c>
      <c r="P352" s="175" t="s">
        <v>632</v>
      </c>
      <c r="T352" s="175" t="s">
        <v>632</v>
      </c>
      <c r="X352" s="175" t="s">
        <v>632</v>
      </c>
      <c r="Z352" s="175" t="s">
        <v>419</v>
      </c>
      <c r="AA352" s="175" t="s">
        <v>632</v>
      </c>
      <c r="AB352" s="175" t="s">
        <v>419</v>
      </c>
      <c r="AC352" s="175" t="s">
        <v>419</v>
      </c>
      <c r="AD352" s="175" t="s">
        <v>419</v>
      </c>
      <c r="AE352" s="175" t="s">
        <v>419</v>
      </c>
      <c r="AF352" s="175" t="s">
        <v>213</v>
      </c>
      <c r="AG352" s="175">
        <v>1</v>
      </c>
      <c r="AH352" s="175" t="s">
        <v>640</v>
      </c>
      <c r="AI352" s="175" t="s">
        <v>640</v>
      </c>
      <c r="AJ352" s="175" t="s">
        <v>640</v>
      </c>
      <c r="AK352" s="175" t="s">
        <v>640</v>
      </c>
      <c r="AL352" s="1159" t="s">
        <v>419</v>
      </c>
      <c r="AM352" s="175" t="s">
        <v>419</v>
      </c>
      <c r="AN352" s="175" t="s">
        <v>419</v>
      </c>
      <c r="AO352" s="175" t="s">
        <v>419</v>
      </c>
      <c r="AP352" s="175">
        <v>24</v>
      </c>
      <c r="AQ352" s="175">
        <v>216</v>
      </c>
      <c r="AR352" s="175" t="s">
        <v>419</v>
      </c>
      <c r="AS352" s="192" t="s">
        <v>419</v>
      </c>
    </row>
    <row r="353" spans="1:45" ht="16.5" customHeight="1">
      <c r="A353" s="174">
        <v>46215</v>
      </c>
      <c r="B353" s="175" t="s">
        <v>231</v>
      </c>
      <c r="C353" s="175" t="s">
        <v>632</v>
      </c>
      <c r="E353" s="175" t="s">
        <v>419</v>
      </c>
      <c r="F353" s="175" t="s">
        <v>419</v>
      </c>
      <c r="G353" s="175" t="s">
        <v>419</v>
      </c>
      <c r="H353" s="175" t="s">
        <v>419</v>
      </c>
      <c r="I353" s="175" t="s">
        <v>419</v>
      </c>
      <c r="L353" s="175" t="s">
        <v>632</v>
      </c>
      <c r="P353" s="175" t="s">
        <v>632</v>
      </c>
      <c r="T353" s="175" t="s">
        <v>632</v>
      </c>
      <c r="X353" s="175" t="s">
        <v>632</v>
      </c>
      <c r="Z353" s="175" t="s">
        <v>419</v>
      </c>
      <c r="AA353" s="175" t="s">
        <v>632</v>
      </c>
      <c r="AB353" s="175" t="s">
        <v>419</v>
      </c>
      <c r="AC353" s="175" t="s">
        <v>419</v>
      </c>
      <c r="AD353" s="175" t="s">
        <v>419</v>
      </c>
      <c r="AE353" s="175" t="s">
        <v>419</v>
      </c>
      <c r="AF353" s="175" t="s">
        <v>232</v>
      </c>
      <c r="AG353" s="175">
        <v>1</v>
      </c>
      <c r="AH353" s="175" t="s">
        <v>640</v>
      </c>
      <c r="AI353" s="175" t="s">
        <v>640</v>
      </c>
      <c r="AJ353" s="175" t="s">
        <v>640</v>
      </c>
      <c r="AK353" s="175" t="s">
        <v>640</v>
      </c>
      <c r="AL353" s="1159" t="s">
        <v>419</v>
      </c>
      <c r="AM353" s="175" t="s">
        <v>419</v>
      </c>
      <c r="AN353" s="175" t="s">
        <v>419</v>
      </c>
      <c r="AO353" s="175" t="s">
        <v>419</v>
      </c>
      <c r="AP353" s="175">
        <v>24</v>
      </c>
      <c r="AQ353" s="175">
        <v>216</v>
      </c>
      <c r="AR353" s="175" t="s">
        <v>419</v>
      </c>
      <c r="AS353" s="192" t="s">
        <v>419</v>
      </c>
    </row>
    <row r="354" spans="1:45" ht="16.5" customHeight="1">
      <c r="A354" s="174">
        <v>46215</v>
      </c>
      <c r="B354" s="175" t="s">
        <v>233</v>
      </c>
      <c r="C354" s="175" t="s">
        <v>17268</v>
      </c>
      <c r="D354" s="175" t="s">
        <v>633</v>
      </c>
      <c r="E354" s="175" t="s">
        <v>16719</v>
      </c>
      <c r="F354" s="175" t="s">
        <v>17253</v>
      </c>
      <c r="G354" s="175">
        <v>600</v>
      </c>
      <c r="H354" s="175" t="s">
        <v>723</v>
      </c>
      <c r="I354" s="175">
        <v>5.5</v>
      </c>
      <c r="J354" s="175">
        <v>22</v>
      </c>
      <c r="K354" s="175">
        <v>6</v>
      </c>
      <c r="M354" s="175" t="s">
        <v>17315</v>
      </c>
      <c r="N354" s="175">
        <v>12</v>
      </c>
      <c r="O354" s="175">
        <v>0</v>
      </c>
      <c r="P354" s="175">
        <v>3190</v>
      </c>
      <c r="Q354" s="175" t="s">
        <v>17315</v>
      </c>
      <c r="R354" s="175">
        <v>7</v>
      </c>
      <c r="S354" s="175">
        <v>2</v>
      </c>
      <c r="T354" s="175">
        <v>3200</v>
      </c>
      <c r="U354" s="175" t="s">
        <v>17315</v>
      </c>
      <c r="V354" s="175">
        <v>10</v>
      </c>
      <c r="W354" s="175">
        <v>3</v>
      </c>
      <c r="X354" s="175">
        <v>3040</v>
      </c>
      <c r="Y354" s="175" t="s">
        <v>17315</v>
      </c>
      <c r="Z354" s="175">
        <v>5.0526315789473681</v>
      </c>
      <c r="AA354" s="175">
        <v>34</v>
      </c>
      <c r="AB354" s="175">
        <v>0.98953325320512819</v>
      </c>
      <c r="AC354" s="175">
        <v>31.433333333333334</v>
      </c>
      <c r="AD354" s="175">
        <v>4.25</v>
      </c>
      <c r="AE354" s="175">
        <v>3.3333333333333335</v>
      </c>
      <c r="AF354" s="175" t="s">
        <v>232</v>
      </c>
      <c r="AG354" s="175">
        <v>2</v>
      </c>
      <c r="AH354" s="175" t="s">
        <v>15370</v>
      </c>
      <c r="AI354" s="175" t="s">
        <v>15370</v>
      </c>
      <c r="AJ354" s="175" t="s">
        <v>815</v>
      </c>
      <c r="AK354" s="175" t="s">
        <v>815</v>
      </c>
      <c r="AL354" s="1159" t="s">
        <v>250</v>
      </c>
      <c r="AM354" s="175" t="s">
        <v>643</v>
      </c>
      <c r="AN354" s="175">
        <v>1.859</v>
      </c>
      <c r="AO354" s="175">
        <v>2.1</v>
      </c>
      <c r="AP354" s="175">
        <v>24</v>
      </c>
      <c r="AQ354" s="175">
        <v>216</v>
      </c>
      <c r="AR354" s="175">
        <v>3.1</v>
      </c>
      <c r="AS354" s="192">
        <v>29874.873599999999</v>
      </c>
    </row>
    <row r="355" spans="1:45" ht="16.5" customHeight="1">
      <c r="A355" s="174">
        <v>46215</v>
      </c>
      <c r="B355" s="175" t="s">
        <v>234</v>
      </c>
      <c r="C355" s="175" t="s">
        <v>632</v>
      </c>
      <c r="E355" s="175" t="s">
        <v>419</v>
      </c>
      <c r="F355" s="175" t="s">
        <v>419</v>
      </c>
      <c r="G355" s="175" t="s">
        <v>419</v>
      </c>
      <c r="H355" s="175" t="s">
        <v>419</v>
      </c>
      <c r="I355" s="175" t="s">
        <v>419</v>
      </c>
      <c r="L355" s="175" t="s">
        <v>632</v>
      </c>
      <c r="P355" s="175" t="s">
        <v>632</v>
      </c>
      <c r="T355" s="175" t="s">
        <v>632</v>
      </c>
      <c r="X355" s="175" t="s">
        <v>632</v>
      </c>
      <c r="Z355" s="175" t="s">
        <v>419</v>
      </c>
      <c r="AA355" s="175" t="s">
        <v>632</v>
      </c>
      <c r="AB355" s="175" t="s">
        <v>419</v>
      </c>
      <c r="AC355" s="175" t="s">
        <v>419</v>
      </c>
      <c r="AD355" s="175" t="s">
        <v>419</v>
      </c>
      <c r="AE355" s="175" t="s">
        <v>419</v>
      </c>
      <c r="AF355" s="175" t="s">
        <v>232</v>
      </c>
      <c r="AG355" s="175">
        <v>1</v>
      </c>
      <c r="AH355" s="175" t="s">
        <v>640</v>
      </c>
      <c r="AI355" s="175" t="s">
        <v>640</v>
      </c>
      <c r="AJ355" s="175" t="s">
        <v>640</v>
      </c>
      <c r="AK355" s="175" t="s">
        <v>640</v>
      </c>
      <c r="AL355" s="1159" t="s">
        <v>419</v>
      </c>
      <c r="AM355" s="175" t="s">
        <v>419</v>
      </c>
      <c r="AN355" s="175" t="s">
        <v>419</v>
      </c>
      <c r="AO355" s="175" t="s">
        <v>419</v>
      </c>
      <c r="AP355" s="175">
        <v>24</v>
      </c>
      <c r="AQ355" s="175">
        <v>216</v>
      </c>
      <c r="AR355" s="175" t="s">
        <v>419</v>
      </c>
      <c r="AS355" s="192" t="s">
        <v>419</v>
      </c>
    </row>
    <row r="356" spans="1:45" ht="16.5" customHeight="1">
      <c r="A356" s="174">
        <v>46215</v>
      </c>
      <c r="B356" s="175" t="s">
        <v>235</v>
      </c>
      <c r="C356" s="175" t="s">
        <v>17289</v>
      </c>
      <c r="D356" s="175" t="s">
        <v>633</v>
      </c>
      <c r="E356" s="175" t="s">
        <v>16719</v>
      </c>
      <c r="F356" s="175" t="s">
        <v>17290</v>
      </c>
      <c r="G356" s="175">
        <v>700</v>
      </c>
      <c r="H356" s="175" t="s">
        <v>776</v>
      </c>
      <c r="I356" s="175">
        <v>5.5</v>
      </c>
      <c r="J356" s="175">
        <v>24</v>
      </c>
      <c r="K356" s="175">
        <v>0</v>
      </c>
      <c r="L356" s="175">
        <v>9550</v>
      </c>
      <c r="M356" s="175" t="s">
        <v>17315</v>
      </c>
      <c r="N356" s="175">
        <v>9</v>
      </c>
      <c r="O356" s="175">
        <v>0</v>
      </c>
      <c r="P356" s="175">
        <v>9440</v>
      </c>
      <c r="Q356" s="175" t="s">
        <v>17315</v>
      </c>
      <c r="R356" s="175">
        <v>8</v>
      </c>
      <c r="S356" s="175">
        <v>1</v>
      </c>
      <c r="T356" s="175">
        <v>9260</v>
      </c>
      <c r="U356" s="175" t="s">
        <v>17315</v>
      </c>
      <c r="V356" s="175">
        <v>21</v>
      </c>
      <c r="W356" s="175">
        <v>1</v>
      </c>
      <c r="X356" s="175">
        <v>8240</v>
      </c>
      <c r="Y356" s="175" t="s">
        <v>17315</v>
      </c>
      <c r="Z356" s="175">
        <v>5.8775510204081636</v>
      </c>
      <c r="AA356" s="175">
        <v>20.666666666666668</v>
      </c>
      <c r="AB356" s="175">
        <v>0.99836404914529919</v>
      </c>
      <c r="AC356" s="175">
        <v>91.224999999999994</v>
      </c>
      <c r="AD356" s="175">
        <v>2.5833333333333335</v>
      </c>
      <c r="AE356" s="175">
        <v>2.5</v>
      </c>
      <c r="AF356" s="175" t="s">
        <v>236</v>
      </c>
      <c r="AG356" s="175">
        <v>1</v>
      </c>
      <c r="AH356" s="175" t="s">
        <v>15892</v>
      </c>
      <c r="AI356" s="175" t="s">
        <v>15848</v>
      </c>
      <c r="AJ356" s="175" t="s">
        <v>835</v>
      </c>
      <c r="AK356" s="175" t="s">
        <v>835</v>
      </c>
      <c r="AL356" s="1159" t="s">
        <v>251</v>
      </c>
      <c r="AM356" s="175" t="s">
        <v>460</v>
      </c>
      <c r="AN356" s="175">
        <v>1.1890000000000001</v>
      </c>
      <c r="AO356" s="175">
        <v>3</v>
      </c>
      <c r="AP356" s="175">
        <v>24</v>
      </c>
      <c r="AQ356" s="175">
        <v>216</v>
      </c>
      <c r="AR356" s="175">
        <v>4</v>
      </c>
      <c r="AS356" s="192">
        <v>24655.103999999999</v>
      </c>
    </row>
    <row r="357" spans="1:45" ht="16.5" customHeight="1">
      <c r="A357" s="174">
        <v>46215</v>
      </c>
      <c r="B357" s="175" t="s">
        <v>237</v>
      </c>
      <c r="C357" s="175" t="s">
        <v>17251</v>
      </c>
      <c r="D357" s="175" t="s">
        <v>633</v>
      </c>
      <c r="E357" s="175" t="s">
        <v>16719</v>
      </c>
      <c r="F357" s="175" t="s">
        <v>17253</v>
      </c>
      <c r="G357" s="175">
        <v>700</v>
      </c>
      <c r="H357" s="175" t="s">
        <v>646</v>
      </c>
      <c r="I357" s="175">
        <v>5.5</v>
      </c>
      <c r="J357" s="175">
        <v>82</v>
      </c>
      <c r="K357" s="175">
        <v>15</v>
      </c>
      <c r="L357" s="175">
        <v>8800</v>
      </c>
      <c r="M357" s="175">
        <v>8800</v>
      </c>
      <c r="N357" s="175">
        <v>42</v>
      </c>
      <c r="O357" s="175">
        <v>13</v>
      </c>
      <c r="P357" s="175">
        <v>9170</v>
      </c>
      <c r="Q357" s="175">
        <v>7780</v>
      </c>
      <c r="R357" s="175">
        <v>56</v>
      </c>
      <c r="S357" s="175">
        <v>1</v>
      </c>
      <c r="T357" s="175">
        <v>9260</v>
      </c>
      <c r="U357" s="175">
        <v>8700</v>
      </c>
      <c r="V357" s="175">
        <v>42</v>
      </c>
      <c r="W357" s="175">
        <v>0</v>
      </c>
      <c r="X357" s="175">
        <v>8610</v>
      </c>
      <c r="Y357" s="175">
        <v>5090</v>
      </c>
      <c r="Z357" s="175">
        <v>5.8775510204081636</v>
      </c>
      <c r="AA357" s="175">
        <v>74</v>
      </c>
      <c r="AB357" s="175">
        <v>0.97627871260683763</v>
      </c>
      <c r="AC357" s="175">
        <v>82.762500000000003</v>
      </c>
      <c r="AD357" s="175">
        <v>9.25</v>
      </c>
      <c r="AE357" s="175">
        <v>8.0416666666666661</v>
      </c>
      <c r="AF357" s="175" t="s">
        <v>236</v>
      </c>
      <c r="AG357" s="175">
        <v>1</v>
      </c>
      <c r="AH357" s="175" t="s">
        <v>15892</v>
      </c>
      <c r="AI357" s="175" t="s">
        <v>15848</v>
      </c>
      <c r="AJ357" s="175" t="s">
        <v>835</v>
      </c>
      <c r="AK357" s="175" t="s">
        <v>835</v>
      </c>
      <c r="AL357" s="1159" t="s">
        <v>250</v>
      </c>
      <c r="AM357" s="175" t="s">
        <v>460</v>
      </c>
      <c r="AN357" s="175">
        <v>1.1890000000000001</v>
      </c>
      <c r="AO357" s="175">
        <v>2.9</v>
      </c>
      <c r="AP357" s="175">
        <v>24</v>
      </c>
      <c r="AQ357" s="175">
        <v>216</v>
      </c>
      <c r="AR357" s="175">
        <v>3.9</v>
      </c>
      <c r="AS357" s="192">
        <v>24038.7264</v>
      </c>
    </row>
    <row r="358" spans="1:45" ht="16.5" customHeight="1">
      <c r="A358" s="174">
        <v>46215</v>
      </c>
      <c r="B358" s="175" t="s">
        <v>238</v>
      </c>
      <c r="C358" s="175" t="s">
        <v>17248</v>
      </c>
      <c r="D358" s="175" t="s">
        <v>633</v>
      </c>
      <c r="E358" s="175" t="s">
        <v>16719</v>
      </c>
      <c r="F358" s="175" t="s">
        <v>17249</v>
      </c>
      <c r="G358" s="175">
        <v>600</v>
      </c>
      <c r="H358" s="175" t="s">
        <v>877</v>
      </c>
      <c r="I358" s="175">
        <v>5.5</v>
      </c>
      <c r="J358" s="175">
        <v>40</v>
      </c>
      <c r="K358" s="175">
        <v>12</v>
      </c>
      <c r="L358" s="175">
        <v>9720</v>
      </c>
      <c r="M358" s="175">
        <v>9720</v>
      </c>
      <c r="N358" s="175">
        <v>15</v>
      </c>
      <c r="O358" s="175">
        <v>0</v>
      </c>
      <c r="P358" s="175">
        <v>9630</v>
      </c>
      <c r="Q358" s="175">
        <v>9720</v>
      </c>
      <c r="R358" s="175">
        <v>9</v>
      </c>
      <c r="S358" s="175">
        <v>0</v>
      </c>
      <c r="T358" s="175">
        <v>9170</v>
      </c>
      <c r="U358" s="175">
        <v>9720</v>
      </c>
      <c r="V358" s="175">
        <v>35</v>
      </c>
      <c r="W358" s="175">
        <v>0</v>
      </c>
      <c r="X358" s="175">
        <v>9260</v>
      </c>
      <c r="Y358" s="175">
        <v>9260</v>
      </c>
      <c r="Z358" s="175">
        <v>5.034965034965035</v>
      </c>
      <c r="AA358" s="175">
        <v>33</v>
      </c>
      <c r="AB358" s="175">
        <v>0.98854166666666665</v>
      </c>
      <c r="AC358" s="175">
        <v>95.25</v>
      </c>
      <c r="AD358" s="175">
        <v>4.125</v>
      </c>
      <c r="AE358" s="175">
        <v>3.625</v>
      </c>
      <c r="AF358" s="175" t="s">
        <v>236</v>
      </c>
      <c r="AG358" s="175">
        <v>1</v>
      </c>
      <c r="AH358" s="175" t="s">
        <v>638</v>
      </c>
      <c r="AI358" s="175" t="s">
        <v>638</v>
      </c>
      <c r="AJ358" s="175" t="s">
        <v>652</v>
      </c>
      <c r="AK358" s="175" t="s">
        <v>652</v>
      </c>
      <c r="AL358" s="1159" t="s">
        <v>251</v>
      </c>
      <c r="AM358" s="175" t="s">
        <v>460</v>
      </c>
      <c r="AN358" s="175">
        <v>1.1890000000000001</v>
      </c>
      <c r="AO358" s="175">
        <v>2.8</v>
      </c>
      <c r="AP358" s="175">
        <v>24</v>
      </c>
      <c r="AQ358" s="175">
        <v>216</v>
      </c>
      <c r="AR358" s="175">
        <v>3.8</v>
      </c>
      <c r="AS358" s="192">
        <v>23422.3488</v>
      </c>
    </row>
    <row r="359" spans="1:45" ht="16.5" customHeight="1">
      <c r="A359" s="174">
        <v>46215</v>
      </c>
      <c r="B359" s="175" t="s">
        <v>239</v>
      </c>
      <c r="C359" s="175" t="s">
        <v>17266</v>
      </c>
      <c r="E359" s="175" t="s">
        <v>754</v>
      </c>
      <c r="F359" s="175" t="s">
        <v>17267</v>
      </c>
      <c r="G359" s="175">
        <v>600</v>
      </c>
      <c r="H359" s="175" t="s">
        <v>842</v>
      </c>
      <c r="I359" s="175">
        <v>4</v>
      </c>
      <c r="J359" s="175">
        <v>17</v>
      </c>
      <c r="K359" s="175">
        <v>4</v>
      </c>
      <c r="L359" s="175">
        <v>9540</v>
      </c>
      <c r="N359" s="175">
        <v>5</v>
      </c>
      <c r="O359" s="175">
        <v>3</v>
      </c>
      <c r="P359" s="175">
        <v>9440</v>
      </c>
      <c r="R359" s="175">
        <v>6</v>
      </c>
      <c r="S359" s="175">
        <v>4</v>
      </c>
      <c r="T359" s="175">
        <v>9440</v>
      </c>
      <c r="V359" s="175">
        <v>7</v>
      </c>
      <c r="W359" s="175">
        <v>0</v>
      </c>
      <c r="X359" s="175">
        <v>8520</v>
      </c>
      <c r="Z359" s="175">
        <v>3.6</v>
      </c>
      <c r="AA359" s="175">
        <v>23.333333333333332</v>
      </c>
      <c r="AB359" s="175">
        <v>0.98530982905982911</v>
      </c>
      <c r="AC359" s="175">
        <v>92.35</v>
      </c>
      <c r="AD359" s="175">
        <v>2.9166666666666665</v>
      </c>
      <c r="AE359" s="175">
        <v>2</v>
      </c>
      <c r="AF359" s="175" t="s">
        <v>236</v>
      </c>
      <c r="AG359" s="175">
        <v>2</v>
      </c>
      <c r="AH359" s="175" t="s">
        <v>638</v>
      </c>
      <c r="AI359" s="175" t="s">
        <v>638</v>
      </c>
      <c r="AJ359" s="175" t="s">
        <v>835</v>
      </c>
      <c r="AK359" s="175" t="s">
        <v>835</v>
      </c>
      <c r="AL359" s="1159" t="s">
        <v>251</v>
      </c>
      <c r="AM359" s="175" t="s">
        <v>126</v>
      </c>
      <c r="AN359" s="175">
        <v>0.91100000000000003</v>
      </c>
      <c r="AO359" s="175">
        <v>1.5</v>
      </c>
      <c r="AP359" s="175">
        <v>24</v>
      </c>
      <c r="AQ359" s="175">
        <v>216</v>
      </c>
      <c r="AR359" s="175">
        <v>2.5</v>
      </c>
      <c r="AS359" s="192">
        <v>11806.560000000001</v>
      </c>
    </row>
    <row r="360" spans="1:45" ht="16.5" customHeight="1">
      <c r="A360" s="174">
        <v>46215</v>
      </c>
      <c r="B360" s="175" t="s">
        <v>239</v>
      </c>
      <c r="C360" s="175" t="s">
        <v>17241</v>
      </c>
      <c r="E360" s="175" t="s">
        <v>16723</v>
      </c>
      <c r="F360" s="175" t="s">
        <v>17243</v>
      </c>
      <c r="G360" s="175">
        <v>550</v>
      </c>
      <c r="H360" s="175" t="s">
        <v>868</v>
      </c>
      <c r="I360" s="175">
        <v>5.5</v>
      </c>
      <c r="J360" s="175">
        <v>25</v>
      </c>
      <c r="K360" s="175">
        <v>1</v>
      </c>
      <c r="M360" s="175">
        <v>9720</v>
      </c>
      <c r="N360" s="175">
        <v>8</v>
      </c>
      <c r="O360" s="175">
        <v>4</v>
      </c>
      <c r="Q360" s="175">
        <v>9630</v>
      </c>
      <c r="R360" s="175">
        <v>5</v>
      </c>
      <c r="S360" s="175">
        <v>1</v>
      </c>
      <c r="T360" s="175">
        <v>9540</v>
      </c>
      <c r="V360" s="175">
        <v>23</v>
      </c>
      <c r="W360" s="175">
        <v>0</v>
      </c>
      <c r="X360" s="175">
        <v>8800</v>
      </c>
      <c r="Z360" s="175">
        <v>6.6055045871559646</v>
      </c>
      <c r="AA360" s="175">
        <v>40.666666666666664</v>
      </c>
      <c r="AB360" s="175">
        <v>0.99563301282051286</v>
      </c>
      <c r="AC360" s="175">
        <v>94.224999999999994</v>
      </c>
      <c r="AD360" s="175">
        <v>5.083333333333333</v>
      </c>
      <c r="AE360" s="175">
        <v>4.583333333333333</v>
      </c>
      <c r="AF360" s="175" t="s">
        <v>236</v>
      </c>
      <c r="AG360" s="175">
        <v>2</v>
      </c>
      <c r="AH360" s="175" t="s">
        <v>638</v>
      </c>
      <c r="AI360" s="175" t="s">
        <v>638</v>
      </c>
      <c r="AJ360" s="175" t="s">
        <v>835</v>
      </c>
      <c r="AK360" s="175" t="s">
        <v>835</v>
      </c>
      <c r="AM360" s="175" t="s">
        <v>643</v>
      </c>
      <c r="AN360" s="175">
        <v>1.859</v>
      </c>
      <c r="AO360" s="175">
        <v>3.3</v>
      </c>
      <c r="AP360" s="175">
        <v>24</v>
      </c>
      <c r="AQ360" s="175">
        <v>216</v>
      </c>
      <c r="AR360" s="175">
        <v>4.3</v>
      </c>
      <c r="AS360" s="192">
        <v>41439.340799999998</v>
      </c>
    </row>
    <row r="361" spans="1:45" ht="16.5" customHeight="1">
      <c r="A361" s="174">
        <v>46215</v>
      </c>
      <c r="B361" s="175" t="s">
        <v>388</v>
      </c>
      <c r="C361" s="175" t="s">
        <v>17296</v>
      </c>
      <c r="D361" s="175" t="s">
        <v>633</v>
      </c>
      <c r="E361" s="175" t="s">
        <v>16719</v>
      </c>
      <c r="F361" s="175" t="s">
        <v>17290</v>
      </c>
      <c r="G361" s="175">
        <v>700</v>
      </c>
      <c r="H361" s="175" t="s">
        <v>15541</v>
      </c>
      <c r="I361" s="175">
        <v>5.5</v>
      </c>
      <c r="J361" s="175">
        <v>23</v>
      </c>
      <c r="K361" s="175">
        <v>0</v>
      </c>
      <c r="L361" s="175">
        <v>9170</v>
      </c>
      <c r="M361" s="175" t="s">
        <v>17315</v>
      </c>
      <c r="N361" s="175">
        <v>15</v>
      </c>
      <c r="O361" s="175">
        <v>0</v>
      </c>
      <c r="P361" s="175">
        <v>9720</v>
      </c>
      <c r="Q361" s="175" t="s">
        <v>17315</v>
      </c>
      <c r="R361" s="175">
        <v>13</v>
      </c>
      <c r="S361" s="175">
        <v>0</v>
      </c>
      <c r="T361" s="175">
        <v>9910</v>
      </c>
      <c r="U361" s="175" t="s">
        <v>17315</v>
      </c>
      <c r="V361" s="175">
        <v>10</v>
      </c>
      <c r="W361" s="175">
        <v>0</v>
      </c>
      <c r="X361" s="175">
        <v>9910</v>
      </c>
      <c r="Y361" s="175" t="s">
        <v>17315</v>
      </c>
      <c r="Z361" s="175">
        <v>5.8299595141700413</v>
      </c>
      <c r="AA361" s="175">
        <v>40.666666666666664</v>
      </c>
      <c r="AB361" s="175">
        <v>1</v>
      </c>
      <c r="AC361" s="175">
        <v>96.775000000000006</v>
      </c>
      <c r="AD361" s="175">
        <v>5.083333333333333</v>
      </c>
      <c r="AE361" s="175">
        <v>5.083333333333333</v>
      </c>
      <c r="AF361" s="175" t="s">
        <v>236</v>
      </c>
      <c r="AG361" s="175">
        <v>2</v>
      </c>
      <c r="AH361" s="175" t="s">
        <v>15892</v>
      </c>
      <c r="AI361" s="175" t="s">
        <v>15848</v>
      </c>
      <c r="AJ361" s="175" t="s">
        <v>652</v>
      </c>
      <c r="AK361" s="175" t="s">
        <v>652</v>
      </c>
      <c r="AL361" s="1159" t="s">
        <v>251</v>
      </c>
      <c r="AM361" s="175" t="s">
        <v>460</v>
      </c>
      <c r="AN361" s="175">
        <v>1.1890000000000001</v>
      </c>
      <c r="AO361" s="175">
        <v>2.8</v>
      </c>
      <c r="AP361" s="175">
        <v>24</v>
      </c>
      <c r="AQ361" s="175">
        <v>216</v>
      </c>
      <c r="AR361" s="175">
        <v>3.8</v>
      </c>
      <c r="AS361" s="192">
        <v>23422.3488</v>
      </c>
    </row>
    <row r="362" spans="1:45" ht="16.5" customHeight="1">
      <c r="A362" s="174">
        <v>46215</v>
      </c>
      <c r="B362" s="175" t="s">
        <v>417</v>
      </c>
      <c r="C362" s="175" t="s">
        <v>17291</v>
      </c>
      <c r="D362" s="175" t="s">
        <v>633</v>
      </c>
      <c r="E362" s="175" t="s">
        <v>16719</v>
      </c>
      <c r="F362" s="175" t="s">
        <v>17290</v>
      </c>
      <c r="G362" s="175">
        <v>700</v>
      </c>
      <c r="H362" s="175" t="s">
        <v>724</v>
      </c>
      <c r="I362" s="175">
        <v>5.5</v>
      </c>
      <c r="J362" s="175">
        <v>24</v>
      </c>
      <c r="K362" s="175">
        <v>2</v>
      </c>
      <c r="L362" s="175">
        <v>10000</v>
      </c>
      <c r="M362" s="175">
        <v>9630</v>
      </c>
      <c r="N362" s="175">
        <v>7</v>
      </c>
      <c r="O362" s="175">
        <v>1</v>
      </c>
      <c r="P362" s="175">
        <v>10000</v>
      </c>
      <c r="Q362" s="175">
        <v>9630</v>
      </c>
      <c r="R362" s="175">
        <v>12</v>
      </c>
      <c r="S362" s="175">
        <v>0</v>
      </c>
      <c r="T362" s="175">
        <v>10000</v>
      </c>
      <c r="U362" s="175">
        <v>9640</v>
      </c>
      <c r="V362" s="175">
        <v>27</v>
      </c>
      <c r="W362" s="175">
        <v>0</v>
      </c>
      <c r="X362" s="175">
        <v>10000</v>
      </c>
      <c r="Y362" s="175">
        <v>9720</v>
      </c>
      <c r="Z362" s="175">
        <v>5.8299595141700413</v>
      </c>
      <c r="AA362" s="175">
        <v>23.333333333333332</v>
      </c>
      <c r="AB362" s="175">
        <v>0.9975260416666667</v>
      </c>
      <c r="AC362" s="175">
        <v>98.275000000000006</v>
      </c>
      <c r="AD362" s="175">
        <v>2.9166666666666665</v>
      </c>
      <c r="AE362" s="175">
        <v>2.7916666666666665</v>
      </c>
      <c r="AF362" s="175" t="s">
        <v>236</v>
      </c>
      <c r="AG362" s="175">
        <v>1</v>
      </c>
      <c r="AH362" s="175" t="s">
        <v>638</v>
      </c>
      <c r="AI362" s="175" t="s">
        <v>638</v>
      </c>
      <c r="AJ362" s="175" t="s">
        <v>652</v>
      </c>
      <c r="AK362" s="175" t="s">
        <v>652</v>
      </c>
      <c r="AL362" s="1159" t="s">
        <v>251</v>
      </c>
      <c r="AM362" s="175" t="s">
        <v>460</v>
      </c>
      <c r="AN362" s="175">
        <v>1.1890000000000001</v>
      </c>
      <c r="AO362" s="175">
        <v>2.8</v>
      </c>
      <c r="AP362" s="175">
        <v>24</v>
      </c>
      <c r="AQ362" s="175">
        <v>216</v>
      </c>
      <c r="AR362" s="175">
        <v>3.8</v>
      </c>
      <c r="AS362" s="192">
        <v>23422.3488</v>
      </c>
    </row>
    <row r="363" spans="1:45" ht="16.5" customHeight="1">
      <c r="A363" s="174">
        <v>46215</v>
      </c>
      <c r="B363" s="175" t="s">
        <v>240</v>
      </c>
      <c r="C363" s="175" t="s">
        <v>17429</v>
      </c>
      <c r="E363" s="175" t="s">
        <v>17434</v>
      </c>
      <c r="F363" s="175" t="s">
        <v>17435</v>
      </c>
      <c r="G363" s="175">
        <v>550</v>
      </c>
      <c r="H363" s="175" t="s">
        <v>884</v>
      </c>
      <c r="I363" s="175">
        <v>4</v>
      </c>
      <c r="J363" s="175">
        <v>21</v>
      </c>
      <c r="K363" s="175">
        <v>0</v>
      </c>
      <c r="L363" s="175">
        <v>3525</v>
      </c>
      <c r="N363" s="175">
        <v>5</v>
      </c>
      <c r="O363" s="175">
        <v>0</v>
      </c>
      <c r="P363" s="175">
        <v>3285</v>
      </c>
      <c r="R363" s="175">
        <v>5</v>
      </c>
      <c r="S363" s="175">
        <v>3</v>
      </c>
      <c r="T363" s="175">
        <v>3321</v>
      </c>
      <c r="V363" s="175">
        <v>7</v>
      </c>
      <c r="W363" s="175">
        <v>3</v>
      </c>
      <c r="X363" s="175">
        <v>3136</v>
      </c>
      <c r="Z363" s="175">
        <v>1.6179775280898876</v>
      </c>
      <c r="AA363" s="175">
        <v>152</v>
      </c>
      <c r="AB363" s="175">
        <v>0.98217147435897434</v>
      </c>
      <c r="AC363" s="175">
        <v>33.167499999999997</v>
      </c>
      <c r="AD363" s="175">
        <v>19</v>
      </c>
      <c r="AE363" s="175">
        <v>16</v>
      </c>
      <c r="AF363" s="175" t="s">
        <v>241</v>
      </c>
      <c r="AG363" s="175">
        <v>12</v>
      </c>
      <c r="AH363" s="175" t="s">
        <v>15370</v>
      </c>
      <c r="AI363" s="175" t="s">
        <v>15370</v>
      </c>
      <c r="AJ363" s="175" t="s">
        <v>815</v>
      </c>
      <c r="AK363" s="175" t="s">
        <v>815</v>
      </c>
      <c r="AL363" s="1159" t="s">
        <v>251</v>
      </c>
      <c r="AM363" s="175" t="s">
        <v>626</v>
      </c>
      <c r="AN363" s="175">
        <v>0.66900000000000004</v>
      </c>
      <c r="AO363" s="175">
        <v>1.6</v>
      </c>
      <c r="AP363" s="175">
        <v>24</v>
      </c>
      <c r="AQ363" s="175">
        <v>108</v>
      </c>
      <c r="AR363" s="175">
        <v>2.6</v>
      </c>
      <c r="AS363" s="192">
        <v>4508.5248000000011</v>
      </c>
    </row>
    <row r="364" spans="1:45" ht="16.5" customHeight="1">
      <c r="A364" s="174">
        <v>46215</v>
      </c>
      <c r="B364" s="175" t="s">
        <v>242</v>
      </c>
      <c r="C364" s="175" t="s">
        <v>385</v>
      </c>
      <c r="E364" s="175" t="s">
        <v>419</v>
      </c>
      <c r="F364" s="175" t="s">
        <v>419</v>
      </c>
      <c r="G364" s="175" t="s">
        <v>419</v>
      </c>
      <c r="H364" s="175" t="s">
        <v>419</v>
      </c>
      <c r="I364" s="175" t="s">
        <v>419</v>
      </c>
      <c r="L364" s="175" t="s">
        <v>385</v>
      </c>
      <c r="P364" s="175" t="s">
        <v>385</v>
      </c>
      <c r="T364" s="175" t="s">
        <v>385</v>
      </c>
      <c r="X364" s="175" t="s">
        <v>385</v>
      </c>
      <c r="Z364" s="175" t="s">
        <v>419</v>
      </c>
      <c r="AA364" s="175" t="s">
        <v>385</v>
      </c>
      <c r="AB364" s="175" t="s">
        <v>419</v>
      </c>
      <c r="AC364" s="175" t="s">
        <v>419</v>
      </c>
      <c r="AD364" s="175" t="s">
        <v>419</v>
      </c>
      <c r="AE364" s="175" t="s">
        <v>419</v>
      </c>
      <c r="AF364" s="175" t="s">
        <v>241</v>
      </c>
      <c r="AG364" s="175">
        <v>5</v>
      </c>
      <c r="AH364" s="175" t="s">
        <v>15370</v>
      </c>
      <c r="AI364" s="175" t="s">
        <v>15370</v>
      </c>
      <c r="AJ364" s="175" t="s">
        <v>815</v>
      </c>
      <c r="AK364" s="175" t="s">
        <v>815</v>
      </c>
      <c r="AL364" s="1159" t="s">
        <v>419</v>
      </c>
      <c r="AM364" s="175" t="s">
        <v>419</v>
      </c>
      <c r="AN364" s="175" t="s">
        <v>419</v>
      </c>
      <c r="AO364" s="175" t="s">
        <v>419</v>
      </c>
      <c r="AP364" s="175">
        <v>24</v>
      </c>
      <c r="AQ364" s="175">
        <v>216</v>
      </c>
      <c r="AR364" s="175" t="s">
        <v>419</v>
      </c>
      <c r="AS364" s="192" t="s">
        <v>419</v>
      </c>
    </row>
    <row r="365" spans="1:45" ht="16.5" customHeight="1">
      <c r="A365" s="174">
        <v>46216</v>
      </c>
      <c r="B365" s="175" t="s">
        <v>212</v>
      </c>
      <c r="C365" s="175" t="s">
        <v>632</v>
      </c>
      <c r="E365" s="175" t="s">
        <v>419</v>
      </c>
      <c r="F365" s="175" t="s">
        <v>419</v>
      </c>
      <c r="G365" s="175" t="s">
        <v>419</v>
      </c>
      <c r="H365" s="175" t="s">
        <v>419</v>
      </c>
      <c r="I365" s="175" t="s">
        <v>419</v>
      </c>
      <c r="L365" s="175" t="s">
        <v>632</v>
      </c>
      <c r="P365" s="175" t="s">
        <v>632</v>
      </c>
      <c r="T365" s="175" t="s">
        <v>632</v>
      </c>
      <c r="X365" s="175" t="s">
        <v>632</v>
      </c>
      <c r="Z365" s="175" t="s">
        <v>419</v>
      </c>
      <c r="AA365" s="175" t="s">
        <v>632</v>
      </c>
      <c r="AB365" s="175" t="s">
        <v>419</v>
      </c>
      <c r="AC365" s="175" t="s">
        <v>419</v>
      </c>
      <c r="AD365" s="175" t="s">
        <v>419</v>
      </c>
      <c r="AE365" s="175" t="s">
        <v>419</v>
      </c>
      <c r="AF365" s="175" t="s">
        <v>213</v>
      </c>
      <c r="AG365" s="175">
        <v>1</v>
      </c>
      <c r="AH365" s="175" t="s">
        <v>640</v>
      </c>
      <c r="AI365" s="175" t="s">
        <v>640</v>
      </c>
      <c r="AJ365" s="175" t="s">
        <v>640</v>
      </c>
      <c r="AK365" s="175" t="s">
        <v>640</v>
      </c>
      <c r="AL365" s="1159" t="s">
        <v>419</v>
      </c>
      <c r="AM365" s="175" t="s">
        <v>419</v>
      </c>
      <c r="AN365" s="175" t="s">
        <v>419</v>
      </c>
      <c r="AO365" s="175" t="s">
        <v>419</v>
      </c>
      <c r="AP365" s="175">
        <v>24</v>
      </c>
      <c r="AQ365" s="175">
        <v>216</v>
      </c>
      <c r="AR365" s="175" t="s">
        <v>419</v>
      </c>
      <c r="AS365" s="192" t="s">
        <v>419</v>
      </c>
    </row>
    <row r="366" spans="1:45" ht="16.5" customHeight="1">
      <c r="A366" s="174">
        <v>46216</v>
      </c>
      <c r="B366" s="175" t="s">
        <v>214</v>
      </c>
      <c r="C366" s="175" t="s">
        <v>632</v>
      </c>
      <c r="E366" s="175" t="s">
        <v>419</v>
      </c>
      <c r="F366" s="175" t="s">
        <v>419</v>
      </c>
      <c r="G366" s="175" t="s">
        <v>419</v>
      </c>
      <c r="H366" s="175" t="s">
        <v>419</v>
      </c>
      <c r="I366" s="175" t="s">
        <v>419</v>
      </c>
      <c r="L366" s="175" t="s">
        <v>632</v>
      </c>
      <c r="P366" s="175" t="s">
        <v>632</v>
      </c>
      <c r="T366" s="175" t="s">
        <v>632</v>
      </c>
      <c r="X366" s="175" t="s">
        <v>632</v>
      </c>
      <c r="Z366" s="175" t="s">
        <v>419</v>
      </c>
      <c r="AA366" s="175" t="s">
        <v>632</v>
      </c>
      <c r="AB366" s="175" t="s">
        <v>419</v>
      </c>
      <c r="AC366" s="175" t="s">
        <v>419</v>
      </c>
      <c r="AD366" s="175" t="s">
        <v>419</v>
      </c>
      <c r="AE366" s="175" t="s">
        <v>419</v>
      </c>
      <c r="AF366" s="175" t="s">
        <v>213</v>
      </c>
      <c r="AG366" s="175">
        <v>1</v>
      </c>
      <c r="AH366" s="175" t="s">
        <v>640</v>
      </c>
      <c r="AI366" s="175" t="s">
        <v>640</v>
      </c>
      <c r="AJ366" s="175" t="s">
        <v>640</v>
      </c>
      <c r="AK366" s="175" t="s">
        <v>640</v>
      </c>
      <c r="AL366" s="1159" t="s">
        <v>419</v>
      </c>
      <c r="AM366" s="175" t="s">
        <v>419</v>
      </c>
      <c r="AN366" s="175" t="s">
        <v>419</v>
      </c>
      <c r="AO366" s="175" t="s">
        <v>419</v>
      </c>
      <c r="AP366" s="175">
        <v>24</v>
      </c>
      <c r="AQ366" s="175">
        <v>216</v>
      </c>
      <c r="AR366" s="175" t="s">
        <v>419</v>
      </c>
      <c r="AS366" s="192" t="s">
        <v>419</v>
      </c>
    </row>
    <row r="367" spans="1:45" ht="16.5" customHeight="1">
      <c r="A367" s="174">
        <v>46216</v>
      </c>
      <c r="B367" s="175" t="s">
        <v>215</v>
      </c>
      <c r="C367" s="175" t="s">
        <v>17316</v>
      </c>
      <c r="E367" s="175" t="s">
        <v>5005</v>
      </c>
      <c r="F367" s="175" t="s">
        <v>17317</v>
      </c>
      <c r="G367" s="175">
        <v>500</v>
      </c>
      <c r="H367" s="175" t="s">
        <v>1186</v>
      </c>
      <c r="I367" s="175">
        <v>4</v>
      </c>
      <c r="L367" s="175" t="s">
        <v>127</v>
      </c>
      <c r="P367" s="175" t="s">
        <v>127</v>
      </c>
      <c r="T367" s="175" t="s">
        <v>127</v>
      </c>
      <c r="X367" s="175" t="s">
        <v>127</v>
      </c>
      <c r="Z367" s="175">
        <v>2.9937629937629939</v>
      </c>
      <c r="AA367" s="175" t="s">
        <v>127</v>
      </c>
      <c r="AB367" s="175" t="s">
        <v>419</v>
      </c>
      <c r="AC367" s="175" t="s">
        <v>419</v>
      </c>
      <c r="AD367" s="175" t="s">
        <v>419</v>
      </c>
      <c r="AE367" s="175" t="s">
        <v>419</v>
      </c>
      <c r="AF367" s="175" t="s">
        <v>213</v>
      </c>
      <c r="AG367" s="175">
        <v>1</v>
      </c>
      <c r="AH367" s="175" t="s">
        <v>15376</v>
      </c>
      <c r="AI367" s="175" t="s">
        <v>15376</v>
      </c>
      <c r="AJ367" s="175" t="s">
        <v>815</v>
      </c>
      <c r="AK367" s="175" t="s">
        <v>815</v>
      </c>
      <c r="AL367" s="1159" t="s">
        <v>250</v>
      </c>
      <c r="AM367" s="175" t="s">
        <v>126</v>
      </c>
      <c r="AN367" s="175">
        <v>0.91100000000000003</v>
      </c>
      <c r="AO367" s="175">
        <v>1.9</v>
      </c>
      <c r="AP367" s="175">
        <v>24</v>
      </c>
      <c r="AQ367" s="175">
        <v>216</v>
      </c>
      <c r="AR367" s="175">
        <v>2.9</v>
      </c>
      <c r="AS367" s="192">
        <v>13695.6096</v>
      </c>
    </row>
    <row r="368" spans="1:45" ht="16.5" customHeight="1">
      <c r="A368" s="174">
        <v>46216</v>
      </c>
      <c r="B368" s="175" t="s">
        <v>216</v>
      </c>
      <c r="C368" s="175" t="s">
        <v>632</v>
      </c>
      <c r="E368" s="175" t="s">
        <v>419</v>
      </c>
      <c r="F368" s="175" t="s">
        <v>419</v>
      </c>
      <c r="G368" s="175" t="s">
        <v>419</v>
      </c>
      <c r="H368" s="175" t="s">
        <v>419</v>
      </c>
      <c r="I368" s="175" t="s">
        <v>419</v>
      </c>
      <c r="L368" s="175" t="s">
        <v>632</v>
      </c>
      <c r="P368" s="175" t="s">
        <v>632</v>
      </c>
      <c r="T368" s="175" t="s">
        <v>632</v>
      </c>
      <c r="X368" s="175" t="s">
        <v>632</v>
      </c>
      <c r="Z368" s="175" t="s">
        <v>419</v>
      </c>
      <c r="AA368" s="175" t="s">
        <v>632</v>
      </c>
      <c r="AB368" s="175" t="s">
        <v>419</v>
      </c>
      <c r="AC368" s="175" t="s">
        <v>419</v>
      </c>
      <c r="AD368" s="175" t="s">
        <v>419</v>
      </c>
      <c r="AE368" s="175" t="s">
        <v>419</v>
      </c>
      <c r="AF368" s="175" t="s">
        <v>213</v>
      </c>
      <c r="AG368" s="175">
        <v>1</v>
      </c>
      <c r="AH368" s="175" t="s">
        <v>640</v>
      </c>
      <c r="AI368" s="175" t="s">
        <v>640</v>
      </c>
      <c r="AJ368" s="175" t="s">
        <v>640</v>
      </c>
      <c r="AK368" s="175" t="s">
        <v>640</v>
      </c>
      <c r="AL368" s="1159" t="s">
        <v>419</v>
      </c>
      <c r="AM368" s="175" t="s">
        <v>419</v>
      </c>
      <c r="AN368" s="175" t="s">
        <v>419</v>
      </c>
      <c r="AO368" s="175" t="s">
        <v>419</v>
      </c>
      <c r="AP368" s="175">
        <v>24</v>
      </c>
      <c r="AQ368" s="175">
        <v>216</v>
      </c>
      <c r="AR368" s="175" t="s">
        <v>419</v>
      </c>
      <c r="AS368" s="192" t="s">
        <v>419</v>
      </c>
    </row>
    <row r="369" spans="1:45" ht="16.5" customHeight="1">
      <c r="A369" s="174">
        <v>46216</v>
      </c>
      <c r="B369" s="175" t="s">
        <v>217</v>
      </c>
      <c r="C369" s="175" t="s">
        <v>17380</v>
      </c>
      <c r="E369" s="175" t="s">
        <v>17381</v>
      </c>
      <c r="F369" s="175" t="s">
        <v>17382</v>
      </c>
      <c r="G369" s="175">
        <v>680</v>
      </c>
      <c r="H369" s="175" t="s">
        <v>16728</v>
      </c>
      <c r="I369" s="175">
        <v>5</v>
      </c>
      <c r="J369" s="175">
        <v>10</v>
      </c>
      <c r="K369" s="175">
        <v>0</v>
      </c>
      <c r="L369" s="175">
        <v>7961</v>
      </c>
      <c r="M369" s="175">
        <v>9203</v>
      </c>
      <c r="N369" s="175">
        <v>21</v>
      </c>
      <c r="O369" s="175">
        <v>0</v>
      </c>
      <c r="P369" s="175">
        <v>8023</v>
      </c>
      <c r="Q369" s="175">
        <v>9273</v>
      </c>
      <c r="R369" s="175">
        <v>9</v>
      </c>
      <c r="S369" s="175">
        <v>0</v>
      </c>
      <c r="T369" s="175">
        <v>8088</v>
      </c>
      <c r="U369" s="175">
        <v>9131</v>
      </c>
      <c r="V369" s="175">
        <v>10</v>
      </c>
      <c r="W369" s="175">
        <v>0</v>
      </c>
      <c r="X369" s="175">
        <v>8106</v>
      </c>
      <c r="Y369" s="175">
        <v>9060</v>
      </c>
      <c r="Z369" s="175">
        <v>1.5824175824175823</v>
      </c>
      <c r="AA369" s="175">
        <v>16.666666666666668</v>
      </c>
      <c r="AB369" s="175">
        <v>1</v>
      </c>
      <c r="AC369" s="175">
        <v>86.056250000000006</v>
      </c>
      <c r="AD369" s="175">
        <v>2.0833333333333335</v>
      </c>
      <c r="AE369" s="175">
        <v>2.0833333333333335</v>
      </c>
      <c r="AF369" s="175" t="s">
        <v>213</v>
      </c>
      <c r="AG369" s="175">
        <v>1</v>
      </c>
      <c r="AH369" s="175" t="s">
        <v>629</v>
      </c>
      <c r="AI369" s="175" t="s">
        <v>629</v>
      </c>
      <c r="AJ369" s="175" t="s">
        <v>635</v>
      </c>
      <c r="AK369" s="175" t="s">
        <v>635</v>
      </c>
      <c r="AL369" s="1159" t="s">
        <v>251</v>
      </c>
      <c r="AM369" s="175" t="s">
        <v>126</v>
      </c>
      <c r="AN369" s="175">
        <v>0.91100000000000003</v>
      </c>
      <c r="AO369" s="175">
        <v>1.3</v>
      </c>
      <c r="AP369" s="175">
        <v>24</v>
      </c>
      <c r="AQ369" s="175">
        <v>216</v>
      </c>
      <c r="AR369" s="175">
        <v>2.2999999999999998</v>
      </c>
      <c r="AS369" s="192">
        <v>10862.035199999998</v>
      </c>
    </row>
    <row r="370" spans="1:45" ht="16.5" customHeight="1">
      <c r="A370" s="174">
        <v>46216</v>
      </c>
      <c r="B370" s="175" t="s">
        <v>218</v>
      </c>
      <c r="C370" s="175" t="s">
        <v>17221</v>
      </c>
      <c r="E370" s="175" t="s">
        <v>17237</v>
      </c>
      <c r="F370" s="175" t="s">
        <v>17229</v>
      </c>
      <c r="G370" s="175">
        <v>600</v>
      </c>
      <c r="H370" s="175" t="s">
        <v>15893</v>
      </c>
      <c r="I370" s="175">
        <v>5</v>
      </c>
      <c r="J370" s="175">
        <v>8</v>
      </c>
      <c r="K370" s="175">
        <v>0</v>
      </c>
      <c r="L370" s="175">
        <v>9385</v>
      </c>
      <c r="M370" s="175">
        <v>9572</v>
      </c>
      <c r="N370" s="175">
        <v>8</v>
      </c>
      <c r="O370" s="175">
        <v>0</v>
      </c>
      <c r="P370" s="175">
        <v>9293</v>
      </c>
      <c r="Q370" s="175">
        <v>9616</v>
      </c>
      <c r="R370" s="175">
        <v>2</v>
      </c>
      <c r="S370" s="175">
        <v>0</v>
      </c>
      <c r="T370" s="175">
        <v>9340</v>
      </c>
      <c r="U370" s="175">
        <v>9624</v>
      </c>
      <c r="V370" s="175">
        <v>8</v>
      </c>
      <c r="W370" s="175">
        <v>2</v>
      </c>
      <c r="X370" s="175">
        <v>9423</v>
      </c>
      <c r="Y370" s="175">
        <v>9547</v>
      </c>
      <c r="Z370" s="175">
        <v>2.8015564202334629</v>
      </c>
      <c r="AA370" s="175">
        <v>4.333333333333333</v>
      </c>
      <c r="AB370" s="175">
        <v>0.99656784188034186</v>
      </c>
      <c r="AC370" s="175">
        <v>94.75</v>
      </c>
      <c r="AD370" s="175">
        <v>0.54166666666666663</v>
      </c>
      <c r="AE370" s="175">
        <v>0.5</v>
      </c>
      <c r="AF370" s="175" t="s">
        <v>213</v>
      </c>
      <c r="AG370" s="175">
        <v>0.5</v>
      </c>
      <c r="AH370" s="175" t="s">
        <v>629</v>
      </c>
      <c r="AI370" s="175" t="s">
        <v>629</v>
      </c>
      <c r="AJ370" s="175" t="s">
        <v>635</v>
      </c>
      <c r="AK370" s="175" t="s">
        <v>635</v>
      </c>
      <c r="AL370" s="1159" t="s">
        <v>250</v>
      </c>
      <c r="AM370" s="175" t="s">
        <v>126</v>
      </c>
      <c r="AN370" s="175">
        <v>0.91100000000000003</v>
      </c>
      <c r="AO370" s="175">
        <v>1.7</v>
      </c>
      <c r="AP370" s="175">
        <v>24</v>
      </c>
      <c r="AQ370" s="175">
        <v>216</v>
      </c>
      <c r="AR370" s="175">
        <v>2.7</v>
      </c>
      <c r="AS370" s="192">
        <v>12751.084800000001</v>
      </c>
    </row>
    <row r="371" spans="1:45" ht="16.5" customHeight="1">
      <c r="A371" s="174">
        <v>46216</v>
      </c>
      <c r="B371" s="175" t="s">
        <v>219</v>
      </c>
      <c r="C371" s="175" t="s">
        <v>632</v>
      </c>
      <c r="E371" s="175" t="s">
        <v>419</v>
      </c>
      <c r="F371" s="175" t="s">
        <v>419</v>
      </c>
      <c r="G371" s="175" t="s">
        <v>419</v>
      </c>
      <c r="H371" s="175" t="s">
        <v>419</v>
      </c>
      <c r="I371" s="175" t="s">
        <v>419</v>
      </c>
      <c r="L371" s="175" t="s">
        <v>632</v>
      </c>
      <c r="P371" s="175" t="s">
        <v>632</v>
      </c>
      <c r="T371" s="175" t="s">
        <v>632</v>
      </c>
      <c r="X371" s="175" t="s">
        <v>632</v>
      </c>
      <c r="Z371" s="175" t="s">
        <v>419</v>
      </c>
      <c r="AA371" s="175" t="s">
        <v>632</v>
      </c>
      <c r="AB371" s="175" t="s">
        <v>419</v>
      </c>
      <c r="AC371" s="175" t="s">
        <v>419</v>
      </c>
      <c r="AD371" s="175" t="s">
        <v>419</v>
      </c>
      <c r="AE371" s="175" t="s">
        <v>419</v>
      </c>
      <c r="AF371" s="175" t="s">
        <v>213</v>
      </c>
      <c r="AG371" s="175">
        <v>1</v>
      </c>
      <c r="AH371" s="175" t="s">
        <v>640</v>
      </c>
      <c r="AI371" s="175" t="s">
        <v>640</v>
      </c>
      <c r="AJ371" s="175" t="s">
        <v>640</v>
      </c>
      <c r="AK371" s="175" t="s">
        <v>640</v>
      </c>
      <c r="AL371" s="1159" t="s">
        <v>419</v>
      </c>
      <c r="AM371" s="175" t="s">
        <v>419</v>
      </c>
      <c r="AN371" s="175" t="s">
        <v>419</v>
      </c>
      <c r="AO371" s="175" t="s">
        <v>419</v>
      </c>
      <c r="AP371" s="175">
        <v>24</v>
      </c>
      <c r="AQ371" s="175">
        <v>216</v>
      </c>
      <c r="AR371" s="175" t="s">
        <v>419</v>
      </c>
      <c r="AS371" s="192" t="s">
        <v>419</v>
      </c>
    </row>
    <row r="372" spans="1:45" ht="16.5" customHeight="1">
      <c r="A372" s="174">
        <v>46216</v>
      </c>
      <c r="B372" s="175" t="s">
        <v>220</v>
      </c>
      <c r="C372" s="175" t="s">
        <v>17430</v>
      </c>
      <c r="E372" s="175" t="s">
        <v>1891</v>
      </c>
      <c r="F372" s="175" t="s">
        <v>17433</v>
      </c>
      <c r="G372" s="175">
        <v>600</v>
      </c>
      <c r="H372" s="175" t="s">
        <v>474</v>
      </c>
      <c r="I372" s="175">
        <v>4</v>
      </c>
      <c r="J372" s="175">
        <v>50</v>
      </c>
      <c r="K372" s="175">
        <v>0</v>
      </c>
      <c r="L372" s="175">
        <v>8289</v>
      </c>
      <c r="M372" s="175">
        <v>8689</v>
      </c>
      <c r="N372" s="175">
        <v>20</v>
      </c>
      <c r="O372" s="175">
        <v>0</v>
      </c>
      <c r="P372" s="175">
        <v>8646</v>
      </c>
      <c r="Q372" s="175">
        <v>8920</v>
      </c>
      <c r="R372" s="175">
        <v>17</v>
      </c>
      <c r="S372" s="175">
        <v>1</v>
      </c>
      <c r="T372" s="175">
        <v>8822</v>
      </c>
      <c r="U372" s="175">
        <v>9110</v>
      </c>
      <c r="V372" s="175">
        <v>18</v>
      </c>
      <c r="W372" s="175">
        <v>1</v>
      </c>
      <c r="X372" s="175">
        <v>8877</v>
      </c>
      <c r="Y372" s="175">
        <v>9306</v>
      </c>
      <c r="Z372" s="175">
        <v>1.7625458996328029</v>
      </c>
      <c r="AA372" s="175">
        <v>35</v>
      </c>
      <c r="AB372" s="175">
        <v>0.99454460470085471</v>
      </c>
      <c r="AC372" s="175">
        <v>88.323750000000004</v>
      </c>
      <c r="AD372" s="175">
        <v>4.375</v>
      </c>
      <c r="AE372" s="175">
        <v>4.291666666666667</v>
      </c>
      <c r="AF372" s="175" t="s">
        <v>213</v>
      </c>
      <c r="AG372" s="175">
        <v>1</v>
      </c>
      <c r="AH372" s="175" t="s">
        <v>15376</v>
      </c>
      <c r="AI372" s="175" t="s">
        <v>15376</v>
      </c>
      <c r="AJ372" s="175" t="s">
        <v>815</v>
      </c>
      <c r="AK372" s="175" t="s">
        <v>815</v>
      </c>
      <c r="AL372" s="1159" t="s">
        <v>250</v>
      </c>
      <c r="AM372" s="175" t="s">
        <v>126</v>
      </c>
      <c r="AN372" s="175">
        <v>0.91100000000000003</v>
      </c>
      <c r="AO372" s="175">
        <v>0.7</v>
      </c>
      <c r="AP372" s="175">
        <v>24</v>
      </c>
      <c r="AQ372" s="175">
        <v>216</v>
      </c>
      <c r="AR372" s="175">
        <v>1.7</v>
      </c>
      <c r="AS372" s="192">
        <v>8028.4608000000007</v>
      </c>
    </row>
    <row r="373" spans="1:45" ht="16.5" customHeight="1">
      <c r="A373" s="174">
        <v>46216</v>
      </c>
      <c r="B373" s="175" t="s">
        <v>221</v>
      </c>
      <c r="C373" s="175" t="s">
        <v>632</v>
      </c>
      <c r="E373" s="175" t="s">
        <v>419</v>
      </c>
      <c r="F373" s="175" t="s">
        <v>419</v>
      </c>
      <c r="G373" s="175" t="s">
        <v>419</v>
      </c>
      <c r="H373" s="175" t="s">
        <v>419</v>
      </c>
      <c r="I373" s="175" t="s">
        <v>419</v>
      </c>
      <c r="L373" s="175" t="s">
        <v>632</v>
      </c>
      <c r="P373" s="175" t="s">
        <v>632</v>
      </c>
      <c r="T373" s="175" t="s">
        <v>632</v>
      </c>
      <c r="X373" s="175" t="s">
        <v>632</v>
      </c>
      <c r="Z373" s="175" t="s">
        <v>419</v>
      </c>
      <c r="AA373" s="175" t="s">
        <v>632</v>
      </c>
      <c r="AB373" s="175" t="s">
        <v>419</v>
      </c>
      <c r="AC373" s="175" t="s">
        <v>419</v>
      </c>
      <c r="AD373" s="175" t="s">
        <v>419</v>
      </c>
      <c r="AE373" s="175" t="s">
        <v>419</v>
      </c>
      <c r="AF373" s="175" t="s">
        <v>213</v>
      </c>
      <c r="AG373" s="175">
        <v>1</v>
      </c>
      <c r="AH373" s="175" t="s">
        <v>640</v>
      </c>
      <c r="AI373" s="175" t="s">
        <v>640</v>
      </c>
      <c r="AJ373" s="175" t="s">
        <v>640</v>
      </c>
      <c r="AK373" s="175" t="s">
        <v>640</v>
      </c>
      <c r="AL373" s="1159" t="s">
        <v>419</v>
      </c>
      <c r="AM373" s="175" t="s">
        <v>419</v>
      </c>
      <c r="AN373" s="175" t="s">
        <v>419</v>
      </c>
      <c r="AO373" s="175" t="s">
        <v>419</v>
      </c>
      <c r="AP373" s="175">
        <v>24</v>
      </c>
      <c r="AQ373" s="175">
        <v>216</v>
      </c>
      <c r="AR373" s="175" t="s">
        <v>419</v>
      </c>
      <c r="AS373" s="192" t="s">
        <v>419</v>
      </c>
    </row>
    <row r="374" spans="1:45" ht="16.5" customHeight="1">
      <c r="A374" s="174">
        <v>46216</v>
      </c>
      <c r="B374" s="175" t="s">
        <v>222</v>
      </c>
      <c r="C374" s="175" t="s">
        <v>17261</v>
      </c>
      <c r="D374" s="175" t="s">
        <v>16748</v>
      </c>
      <c r="E374" s="175" t="s">
        <v>17177</v>
      </c>
      <c r="F374" s="175" t="s">
        <v>17262</v>
      </c>
      <c r="G374" s="175">
        <v>550</v>
      </c>
      <c r="H374" s="175" t="s">
        <v>762</v>
      </c>
      <c r="I374" s="175">
        <v>2</v>
      </c>
      <c r="L374" s="175" t="s">
        <v>127</v>
      </c>
      <c r="M374" s="175" t="s">
        <v>632</v>
      </c>
      <c r="P374" s="175" t="s">
        <v>127</v>
      </c>
      <c r="Q374" s="175" t="s">
        <v>632</v>
      </c>
      <c r="T374" s="175" t="s">
        <v>127</v>
      </c>
      <c r="U374" s="175" t="s">
        <v>632</v>
      </c>
      <c r="X374" s="175" t="s">
        <v>127</v>
      </c>
      <c r="Y374" s="175" t="s">
        <v>632</v>
      </c>
      <c r="Z374" s="175">
        <v>2.1686746987951806</v>
      </c>
      <c r="AA374" s="175" t="s">
        <v>127</v>
      </c>
      <c r="AB374" s="175" t="s">
        <v>419</v>
      </c>
      <c r="AC374" s="175" t="s">
        <v>419</v>
      </c>
      <c r="AD374" s="175" t="s">
        <v>419</v>
      </c>
      <c r="AE374" s="175" t="s">
        <v>419</v>
      </c>
      <c r="AF374" s="175" t="s">
        <v>213</v>
      </c>
      <c r="AG374" s="175">
        <v>2</v>
      </c>
      <c r="AH374" s="175" t="s">
        <v>629</v>
      </c>
      <c r="AI374" s="175" t="s">
        <v>629</v>
      </c>
      <c r="AJ374" s="175" t="s">
        <v>635</v>
      </c>
      <c r="AK374" s="175" t="s">
        <v>635</v>
      </c>
      <c r="AL374" s="1159" t="s">
        <v>250</v>
      </c>
      <c r="AM374" s="175" t="s">
        <v>126</v>
      </c>
      <c r="AN374" s="175">
        <v>0.91100000000000003</v>
      </c>
      <c r="AO374" s="175">
        <v>0.7</v>
      </c>
      <c r="AP374" s="175">
        <v>24</v>
      </c>
      <c r="AQ374" s="175">
        <v>216</v>
      </c>
      <c r="AR374" s="175">
        <v>1.7</v>
      </c>
      <c r="AS374" s="192">
        <v>8028.4608000000007</v>
      </c>
    </row>
    <row r="375" spans="1:45" ht="16.5" customHeight="1">
      <c r="A375" s="174">
        <v>46216</v>
      </c>
      <c r="B375" s="175" t="s">
        <v>223</v>
      </c>
      <c r="C375" s="175" t="s">
        <v>17263</v>
      </c>
      <c r="D375" s="175" t="s">
        <v>16748</v>
      </c>
      <c r="E375" s="175" t="s">
        <v>17156</v>
      </c>
      <c r="F375" s="175" t="s">
        <v>17264</v>
      </c>
      <c r="G375" s="175">
        <v>600</v>
      </c>
      <c r="H375" s="175" t="s">
        <v>456</v>
      </c>
      <c r="I375" s="175">
        <v>3</v>
      </c>
      <c r="J375" s="175">
        <v>5</v>
      </c>
      <c r="K375" s="175">
        <v>0</v>
      </c>
      <c r="L375" s="175">
        <v>6976</v>
      </c>
      <c r="N375" s="175">
        <v>3</v>
      </c>
      <c r="O375" s="175">
        <v>0</v>
      </c>
      <c r="P375" s="175">
        <v>6957</v>
      </c>
      <c r="R375" s="175">
        <v>0</v>
      </c>
      <c r="S375" s="175">
        <v>0</v>
      </c>
      <c r="T375" s="175">
        <v>6850</v>
      </c>
      <c r="V375" s="175">
        <v>4</v>
      </c>
      <c r="W375" s="175">
        <v>0</v>
      </c>
      <c r="X375" s="175">
        <v>6747</v>
      </c>
      <c r="Z375" s="175">
        <v>2.4</v>
      </c>
      <c r="AA375" s="175">
        <v>8</v>
      </c>
      <c r="AB375" s="175">
        <v>1</v>
      </c>
      <c r="AC375" s="175">
        <v>68.825000000000003</v>
      </c>
      <c r="AD375" s="175">
        <v>1</v>
      </c>
      <c r="AE375" s="175">
        <v>1</v>
      </c>
      <c r="AF375" s="175" t="s">
        <v>213</v>
      </c>
      <c r="AG375" s="175">
        <v>2</v>
      </c>
      <c r="AH375" s="175" t="s">
        <v>629</v>
      </c>
      <c r="AI375" s="175" t="s">
        <v>629</v>
      </c>
      <c r="AJ375" s="175" t="s">
        <v>635</v>
      </c>
      <c r="AK375" s="175" t="s">
        <v>635</v>
      </c>
      <c r="AL375" s="1159" t="s">
        <v>250</v>
      </c>
      <c r="AM375" s="175" t="s">
        <v>126</v>
      </c>
      <c r="AN375" s="175">
        <v>0.91100000000000003</v>
      </c>
      <c r="AO375" s="175">
        <v>0.8</v>
      </c>
      <c r="AP375" s="175">
        <v>24</v>
      </c>
      <c r="AQ375" s="175">
        <v>216</v>
      </c>
      <c r="AR375" s="175">
        <v>1.8</v>
      </c>
      <c r="AS375" s="192">
        <v>8500.7232000000004</v>
      </c>
    </row>
    <row r="376" spans="1:45" ht="16.5" customHeight="1">
      <c r="A376" s="174">
        <v>46216</v>
      </c>
      <c r="B376" s="175" t="s">
        <v>223</v>
      </c>
      <c r="C376" s="175" t="s">
        <v>17431</v>
      </c>
      <c r="E376" s="175" t="s">
        <v>15035</v>
      </c>
      <c r="F376" s="175" t="s">
        <v>16860</v>
      </c>
      <c r="G376" s="175">
        <v>550</v>
      </c>
      <c r="H376" s="175" t="s">
        <v>622</v>
      </c>
      <c r="I376" s="175">
        <v>5</v>
      </c>
      <c r="J376" s="175">
        <v>8</v>
      </c>
      <c r="K376" s="175">
        <v>0</v>
      </c>
      <c r="M376" s="175">
        <v>7202</v>
      </c>
      <c r="N376" s="175">
        <v>4</v>
      </c>
      <c r="O376" s="175">
        <v>0</v>
      </c>
      <c r="Q376" s="175">
        <v>7011</v>
      </c>
      <c r="R376" s="175">
        <v>3</v>
      </c>
      <c r="S376" s="175">
        <v>0</v>
      </c>
      <c r="T376" s="175">
        <v>7009</v>
      </c>
      <c r="V376" s="175">
        <v>16</v>
      </c>
      <c r="W376" s="175">
        <v>0</v>
      </c>
      <c r="Y376" s="175">
        <v>7085</v>
      </c>
      <c r="Z376" s="175">
        <v>1.3345690454124188</v>
      </c>
      <c r="AA376" s="175">
        <v>20.666666666666668</v>
      </c>
      <c r="AB376" s="175">
        <v>1</v>
      </c>
      <c r="AC376" s="175">
        <v>70.767499999999998</v>
      </c>
      <c r="AD376" s="175">
        <v>2.5833333333333335</v>
      </c>
      <c r="AE376" s="175">
        <v>2.5833333333333335</v>
      </c>
      <c r="AF376" s="175" t="s">
        <v>213</v>
      </c>
      <c r="AG376" s="175">
        <v>2</v>
      </c>
      <c r="AH376" s="175" t="s">
        <v>629</v>
      </c>
      <c r="AI376" s="175" t="s">
        <v>629</v>
      </c>
      <c r="AJ376" s="175" t="s">
        <v>635</v>
      </c>
      <c r="AK376" s="175" t="s">
        <v>635</v>
      </c>
      <c r="AM376" s="175" t="s">
        <v>126</v>
      </c>
      <c r="AN376" s="175">
        <v>0.91100000000000003</v>
      </c>
      <c r="AO376" s="175">
        <v>0.8</v>
      </c>
      <c r="AP376" s="175">
        <v>24</v>
      </c>
      <c r="AQ376" s="175">
        <v>216</v>
      </c>
      <c r="AR376" s="175">
        <v>1.8</v>
      </c>
      <c r="AS376" s="192">
        <v>8500.7232000000004</v>
      </c>
    </row>
    <row r="377" spans="1:45" ht="16.5" customHeight="1">
      <c r="A377" s="174">
        <v>46216</v>
      </c>
      <c r="B377" s="175" t="s">
        <v>224</v>
      </c>
      <c r="C377" s="175" t="s">
        <v>632</v>
      </c>
      <c r="E377" s="175" t="s">
        <v>419</v>
      </c>
      <c r="F377" s="175" t="s">
        <v>419</v>
      </c>
      <c r="G377" s="175" t="s">
        <v>419</v>
      </c>
      <c r="H377" s="175" t="s">
        <v>419</v>
      </c>
      <c r="I377" s="175" t="s">
        <v>419</v>
      </c>
      <c r="L377" s="175" t="s">
        <v>632</v>
      </c>
      <c r="P377" s="175" t="s">
        <v>632</v>
      </c>
      <c r="T377" s="175" t="s">
        <v>632</v>
      </c>
      <c r="X377" s="175" t="s">
        <v>632</v>
      </c>
      <c r="Z377" s="175" t="s">
        <v>419</v>
      </c>
      <c r="AA377" s="175" t="s">
        <v>632</v>
      </c>
      <c r="AB377" s="175" t="s">
        <v>419</v>
      </c>
      <c r="AC377" s="175" t="s">
        <v>419</v>
      </c>
      <c r="AD377" s="175" t="s">
        <v>419</v>
      </c>
      <c r="AE377" s="175" t="s">
        <v>419</v>
      </c>
      <c r="AF377" s="175" t="s">
        <v>213</v>
      </c>
      <c r="AG377" s="175">
        <v>0.5</v>
      </c>
      <c r="AH377" s="175" t="s">
        <v>640</v>
      </c>
      <c r="AI377" s="175" t="s">
        <v>640</v>
      </c>
      <c r="AJ377" s="175" t="s">
        <v>640</v>
      </c>
      <c r="AK377" s="175" t="s">
        <v>640</v>
      </c>
      <c r="AL377" s="1159" t="s">
        <v>419</v>
      </c>
      <c r="AM377" s="175" t="s">
        <v>419</v>
      </c>
      <c r="AN377" s="175" t="s">
        <v>419</v>
      </c>
      <c r="AO377" s="175" t="s">
        <v>419</v>
      </c>
      <c r="AP377" s="175">
        <v>24</v>
      </c>
      <c r="AQ377" s="175">
        <v>216</v>
      </c>
      <c r="AR377" s="175" t="s">
        <v>419</v>
      </c>
      <c r="AS377" s="192" t="s">
        <v>419</v>
      </c>
    </row>
    <row r="378" spans="1:45" ht="16.5" customHeight="1">
      <c r="A378" s="174">
        <v>46216</v>
      </c>
      <c r="B378" s="175" t="s">
        <v>225</v>
      </c>
      <c r="C378" s="175" t="s">
        <v>632</v>
      </c>
      <c r="E378" s="175" t="s">
        <v>419</v>
      </c>
      <c r="F378" s="175" t="s">
        <v>419</v>
      </c>
      <c r="G378" s="175" t="s">
        <v>419</v>
      </c>
      <c r="H378" s="175" t="s">
        <v>419</v>
      </c>
      <c r="I378" s="175" t="s">
        <v>419</v>
      </c>
      <c r="L378" s="175" t="s">
        <v>632</v>
      </c>
      <c r="P378" s="175" t="s">
        <v>632</v>
      </c>
      <c r="T378" s="175" t="s">
        <v>632</v>
      </c>
      <c r="X378" s="175" t="s">
        <v>632</v>
      </c>
      <c r="Z378" s="175" t="s">
        <v>419</v>
      </c>
      <c r="AA378" s="175" t="s">
        <v>632</v>
      </c>
      <c r="AB378" s="175" t="s">
        <v>419</v>
      </c>
      <c r="AC378" s="175" t="s">
        <v>419</v>
      </c>
      <c r="AD378" s="175" t="s">
        <v>419</v>
      </c>
      <c r="AE378" s="175" t="s">
        <v>419</v>
      </c>
      <c r="AF378" s="175" t="s">
        <v>213</v>
      </c>
      <c r="AG378" s="175">
        <v>1</v>
      </c>
      <c r="AH378" s="175" t="s">
        <v>640</v>
      </c>
      <c r="AI378" s="175" t="s">
        <v>640</v>
      </c>
      <c r="AJ378" s="175" t="s">
        <v>640</v>
      </c>
      <c r="AK378" s="175" t="s">
        <v>640</v>
      </c>
      <c r="AL378" s="1159" t="s">
        <v>419</v>
      </c>
      <c r="AM378" s="175" t="s">
        <v>419</v>
      </c>
      <c r="AN378" s="175" t="s">
        <v>419</v>
      </c>
      <c r="AO378" s="175" t="s">
        <v>419</v>
      </c>
      <c r="AP378" s="175">
        <v>24</v>
      </c>
      <c r="AQ378" s="175">
        <v>216</v>
      </c>
      <c r="AR378" s="175" t="s">
        <v>419</v>
      </c>
      <c r="AS378" s="192" t="s">
        <v>419</v>
      </c>
    </row>
    <row r="379" spans="1:45" ht="16.5" customHeight="1">
      <c r="A379" s="174">
        <v>46216</v>
      </c>
      <c r="B379" s="175" t="s">
        <v>226</v>
      </c>
      <c r="C379" s="175" t="s">
        <v>632</v>
      </c>
      <c r="E379" s="175" t="s">
        <v>419</v>
      </c>
      <c r="F379" s="175" t="s">
        <v>419</v>
      </c>
      <c r="G379" s="175" t="s">
        <v>419</v>
      </c>
      <c r="H379" s="175" t="s">
        <v>419</v>
      </c>
      <c r="I379" s="175" t="s">
        <v>419</v>
      </c>
      <c r="L379" s="175" t="s">
        <v>632</v>
      </c>
      <c r="P379" s="175" t="s">
        <v>632</v>
      </c>
      <c r="T379" s="175" t="s">
        <v>632</v>
      </c>
      <c r="X379" s="175" t="s">
        <v>632</v>
      </c>
      <c r="Z379" s="175" t="s">
        <v>419</v>
      </c>
      <c r="AA379" s="175" t="s">
        <v>632</v>
      </c>
      <c r="AB379" s="175" t="s">
        <v>419</v>
      </c>
      <c r="AC379" s="175" t="s">
        <v>419</v>
      </c>
      <c r="AD379" s="175" t="s">
        <v>419</v>
      </c>
      <c r="AE379" s="175" t="s">
        <v>419</v>
      </c>
      <c r="AF379" s="175" t="s">
        <v>213</v>
      </c>
      <c r="AG379" s="175">
        <v>1</v>
      </c>
      <c r="AH379" s="175" t="s">
        <v>640</v>
      </c>
      <c r="AI379" s="175" t="s">
        <v>640</v>
      </c>
      <c r="AJ379" s="175" t="s">
        <v>640</v>
      </c>
      <c r="AK379" s="175" t="s">
        <v>640</v>
      </c>
      <c r="AL379" s="1159" t="s">
        <v>419</v>
      </c>
      <c r="AM379" s="175" t="s">
        <v>419</v>
      </c>
      <c r="AN379" s="175" t="s">
        <v>419</v>
      </c>
      <c r="AO379" s="175" t="s">
        <v>419</v>
      </c>
      <c r="AP379" s="175">
        <v>24</v>
      </c>
      <c r="AQ379" s="175">
        <v>216</v>
      </c>
      <c r="AR379" s="175" t="s">
        <v>419</v>
      </c>
      <c r="AS379" s="192" t="s">
        <v>419</v>
      </c>
    </row>
    <row r="380" spans="1:45" ht="16.5" customHeight="1">
      <c r="A380" s="174">
        <v>46216</v>
      </c>
      <c r="B380" s="175" t="s">
        <v>227</v>
      </c>
      <c r="C380" s="175" t="s">
        <v>632</v>
      </c>
      <c r="E380" s="175" t="s">
        <v>419</v>
      </c>
      <c r="F380" s="175" t="s">
        <v>419</v>
      </c>
      <c r="G380" s="175" t="s">
        <v>419</v>
      </c>
      <c r="H380" s="175" t="s">
        <v>419</v>
      </c>
      <c r="I380" s="175" t="s">
        <v>419</v>
      </c>
      <c r="L380" s="175" t="s">
        <v>632</v>
      </c>
      <c r="P380" s="175" t="s">
        <v>632</v>
      </c>
      <c r="T380" s="175" t="s">
        <v>632</v>
      </c>
      <c r="X380" s="175" t="s">
        <v>632</v>
      </c>
      <c r="Z380" s="175" t="s">
        <v>419</v>
      </c>
      <c r="AA380" s="175" t="s">
        <v>632</v>
      </c>
      <c r="AB380" s="175" t="s">
        <v>419</v>
      </c>
      <c r="AC380" s="175" t="s">
        <v>419</v>
      </c>
      <c r="AD380" s="175" t="s">
        <v>419</v>
      </c>
      <c r="AE380" s="175" t="s">
        <v>419</v>
      </c>
      <c r="AF380" s="175" t="s">
        <v>213</v>
      </c>
      <c r="AG380" s="175">
        <v>1</v>
      </c>
      <c r="AH380" s="175" t="s">
        <v>640</v>
      </c>
      <c r="AI380" s="175" t="s">
        <v>640</v>
      </c>
      <c r="AJ380" s="175" t="s">
        <v>640</v>
      </c>
      <c r="AK380" s="175" t="s">
        <v>640</v>
      </c>
      <c r="AL380" s="1159" t="s">
        <v>419</v>
      </c>
      <c r="AM380" s="175" t="s">
        <v>419</v>
      </c>
      <c r="AN380" s="175" t="s">
        <v>419</v>
      </c>
      <c r="AO380" s="175" t="s">
        <v>419</v>
      </c>
      <c r="AP380" s="175">
        <v>24</v>
      </c>
      <c r="AQ380" s="175">
        <v>216</v>
      </c>
      <c r="AR380" s="175" t="s">
        <v>419</v>
      </c>
      <c r="AS380" s="192" t="s">
        <v>419</v>
      </c>
    </row>
    <row r="381" spans="1:45" ht="16.5" customHeight="1">
      <c r="A381" s="174">
        <v>46216</v>
      </c>
      <c r="B381" s="175" t="s">
        <v>228</v>
      </c>
      <c r="C381" s="175" t="s">
        <v>17293</v>
      </c>
      <c r="E381" s="175" t="s">
        <v>7055</v>
      </c>
      <c r="F381" s="175" t="s">
        <v>17294</v>
      </c>
      <c r="G381" s="175">
        <v>550</v>
      </c>
      <c r="H381" s="175" t="s">
        <v>889</v>
      </c>
      <c r="I381" s="175">
        <v>5.5</v>
      </c>
      <c r="J381" s="175">
        <v>16</v>
      </c>
      <c r="K381" s="175">
        <v>0</v>
      </c>
      <c r="L381" s="175">
        <v>5256</v>
      </c>
      <c r="M381" s="175">
        <v>5871</v>
      </c>
      <c r="N381" s="175">
        <v>14</v>
      </c>
      <c r="O381" s="175">
        <v>0</v>
      </c>
      <c r="P381" s="175">
        <v>5506</v>
      </c>
      <c r="Q381" s="175">
        <v>5606</v>
      </c>
      <c r="T381" s="175" t="s">
        <v>627</v>
      </c>
      <c r="X381" s="175" t="s">
        <v>632</v>
      </c>
      <c r="Z381" s="175">
        <v>4.7058823529411766</v>
      </c>
      <c r="AA381" s="175">
        <v>5</v>
      </c>
      <c r="AB381" s="175">
        <v>1</v>
      </c>
      <c r="AC381" s="175">
        <v>55.597499999999997</v>
      </c>
      <c r="AD381" s="175">
        <v>0.625</v>
      </c>
      <c r="AE381" s="175">
        <v>0.625</v>
      </c>
      <c r="AF381" s="175" t="s">
        <v>213</v>
      </c>
      <c r="AG381" s="175">
        <v>0.5</v>
      </c>
      <c r="AH381" s="175" t="s">
        <v>629</v>
      </c>
      <c r="AI381" s="175" t="s">
        <v>629</v>
      </c>
      <c r="AJ381" s="175" t="s">
        <v>635</v>
      </c>
      <c r="AK381" s="175" t="s">
        <v>635</v>
      </c>
      <c r="AL381" s="1159" t="s">
        <v>250</v>
      </c>
      <c r="AM381" s="175" t="s">
        <v>460</v>
      </c>
      <c r="AN381" s="175">
        <v>1.1890000000000001</v>
      </c>
      <c r="AO381" s="175">
        <v>1.9</v>
      </c>
      <c r="AP381" s="175">
        <v>24</v>
      </c>
      <c r="AQ381" s="175">
        <v>216</v>
      </c>
      <c r="AR381" s="175">
        <v>2.9</v>
      </c>
      <c r="AS381" s="192">
        <v>17874.950400000002</v>
      </c>
    </row>
    <row r="382" spans="1:45" ht="16.5" customHeight="1">
      <c r="A382" s="174">
        <v>46216</v>
      </c>
      <c r="B382" s="175" t="s">
        <v>229</v>
      </c>
      <c r="C382" s="175" t="s">
        <v>632</v>
      </c>
      <c r="E382" s="175" t="s">
        <v>419</v>
      </c>
      <c r="F382" s="175" t="s">
        <v>419</v>
      </c>
      <c r="G382" s="175" t="s">
        <v>419</v>
      </c>
      <c r="H382" s="175" t="s">
        <v>419</v>
      </c>
      <c r="I382" s="175" t="s">
        <v>419</v>
      </c>
      <c r="L382" s="175" t="s">
        <v>632</v>
      </c>
      <c r="P382" s="175" t="s">
        <v>632</v>
      </c>
      <c r="T382" s="175" t="s">
        <v>632</v>
      </c>
      <c r="X382" s="175" t="s">
        <v>632</v>
      </c>
      <c r="Z382" s="175" t="s">
        <v>419</v>
      </c>
      <c r="AA382" s="175" t="s">
        <v>632</v>
      </c>
      <c r="AB382" s="175" t="s">
        <v>419</v>
      </c>
      <c r="AC382" s="175" t="s">
        <v>419</v>
      </c>
      <c r="AD382" s="175" t="s">
        <v>419</v>
      </c>
      <c r="AE382" s="175" t="s">
        <v>419</v>
      </c>
      <c r="AF382" s="175" t="s">
        <v>213</v>
      </c>
      <c r="AG382" s="175">
        <v>1</v>
      </c>
      <c r="AH382" s="175" t="s">
        <v>640</v>
      </c>
      <c r="AI382" s="175" t="s">
        <v>640</v>
      </c>
      <c r="AJ382" s="175" t="s">
        <v>640</v>
      </c>
      <c r="AK382" s="175" t="s">
        <v>640</v>
      </c>
      <c r="AL382" s="1159" t="s">
        <v>419</v>
      </c>
      <c r="AM382" s="175" t="s">
        <v>419</v>
      </c>
      <c r="AN382" s="175" t="s">
        <v>419</v>
      </c>
      <c r="AO382" s="175" t="s">
        <v>419</v>
      </c>
      <c r="AP382" s="175">
        <v>24</v>
      </c>
      <c r="AQ382" s="175">
        <v>216</v>
      </c>
      <c r="AR382" s="175" t="s">
        <v>419</v>
      </c>
      <c r="AS382" s="192" t="s">
        <v>419</v>
      </c>
    </row>
    <row r="383" spans="1:45" ht="16.5" customHeight="1">
      <c r="A383" s="174">
        <v>46216</v>
      </c>
      <c r="B383" s="175" t="s">
        <v>230</v>
      </c>
      <c r="C383" s="175" t="s">
        <v>632</v>
      </c>
      <c r="E383" s="175" t="s">
        <v>419</v>
      </c>
      <c r="F383" s="175" t="s">
        <v>419</v>
      </c>
      <c r="G383" s="175" t="s">
        <v>419</v>
      </c>
      <c r="H383" s="175" t="s">
        <v>419</v>
      </c>
      <c r="I383" s="175" t="s">
        <v>419</v>
      </c>
      <c r="L383" s="175" t="s">
        <v>632</v>
      </c>
      <c r="P383" s="175" t="s">
        <v>632</v>
      </c>
      <c r="T383" s="175" t="s">
        <v>632</v>
      </c>
      <c r="X383" s="175" t="s">
        <v>632</v>
      </c>
      <c r="Z383" s="175" t="s">
        <v>419</v>
      </c>
      <c r="AA383" s="175" t="s">
        <v>632</v>
      </c>
      <c r="AB383" s="175" t="s">
        <v>419</v>
      </c>
      <c r="AC383" s="175" t="s">
        <v>419</v>
      </c>
      <c r="AD383" s="175" t="s">
        <v>419</v>
      </c>
      <c r="AE383" s="175" t="s">
        <v>419</v>
      </c>
      <c r="AF383" s="175" t="s">
        <v>213</v>
      </c>
      <c r="AG383" s="175">
        <v>1</v>
      </c>
      <c r="AH383" s="175" t="s">
        <v>640</v>
      </c>
      <c r="AI383" s="175" t="s">
        <v>640</v>
      </c>
      <c r="AJ383" s="175" t="s">
        <v>640</v>
      </c>
      <c r="AK383" s="175" t="s">
        <v>640</v>
      </c>
      <c r="AL383" s="1159" t="s">
        <v>419</v>
      </c>
      <c r="AM383" s="175" t="s">
        <v>419</v>
      </c>
      <c r="AN383" s="175" t="s">
        <v>419</v>
      </c>
      <c r="AO383" s="175" t="s">
        <v>419</v>
      </c>
      <c r="AP383" s="175">
        <v>24</v>
      </c>
      <c r="AQ383" s="175">
        <v>216</v>
      </c>
      <c r="AR383" s="175" t="s">
        <v>419</v>
      </c>
      <c r="AS383" s="192" t="s">
        <v>419</v>
      </c>
    </row>
    <row r="384" spans="1:45" ht="16.5" customHeight="1">
      <c r="A384" s="174">
        <v>46216</v>
      </c>
      <c r="B384" s="175" t="s">
        <v>231</v>
      </c>
      <c r="C384" s="175" t="s">
        <v>632</v>
      </c>
      <c r="E384" s="175" t="s">
        <v>419</v>
      </c>
      <c r="F384" s="175" t="s">
        <v>419</v>
      </c>
      <c r="G384" s="175" t="s">
        <v>419</v>
      </c>
      <c r="H384" s="175" t="s">
        <v>419</v>
      </c>
      <c r="I384" s="175" t="s">
        <v>419</v>
      </c>
      <c r="L384" s="175" t="s">
        <v>632</v>
      </c>
      <c r="P384" s="175" t="s">
        <v>632</v>
      </c>
      <c r="T384" s="175" t="s">
        <v>632</v>
      </c>
      <c r="X384" s="175" t="s">
        <v>632</v>
      </c>
      <c r="Z384" s="175" t="s">
        <v>419</v>
      </c>
      <c r="AA384" s="175" t="s">
        <v>632</v>
      </c>
      <c r="AB384" s="175" t="s">
        <v>419</v>
      </c>
      <c r="AC384" s="175" t="s">
        <v>419</v>
      </c>
      <c r="AD384" s="175" t="s">
        <v>419</v>
      </c>
      <c r="AE384" s="175" t="s">
        <v>419</v>
      </c>
      <c r="AF384" s="175" t="s">
        <v>232</v>
      </c>
      <c r="AG384" s="175">
        <v>1</v>
      </c>
      <c r="AH384" s="175" t="s">
        <v>640</v>
      </c>
      <c r="AI384" s="175" t="s">
        <v>640</v>
      </c>
      <c r="AJ384" s="175" t="s">
        <v>640</v>
      </c>
      <c r="AK384" s="175" t="s">
        <v>640</v>
      </c>
      <c r="AL384" s="1159" t="s">
        <v>419</v>
      </c>
      <c r="AM384" s="175" t="s">
        <v>419</v>
      </c>
      <c r="AN384" s="175" t="s">
        <v>419</v>
      </c>
      <c r="AO384" s="175" t="s">
        <v>419</v>
      </c>
      <c r="AP384" s="175">
        <v>24</v>
      </c>
      <c r="AQ384" s="175">
        <v>216</v>
      </c>
      <c r="AR384" s="175" t="s">
        <v>419</v>
      </c>
      <c r="AS384" s="192" t="s">
        <v>419</v>
      </c>
    </row>
    <row r="385" spans="1:45" ht="16.5" customHeight="1">
      <c r="A385" s="174">
        <v>46216</v>
      </c>
      <c r="B385" s="175" t="s">
        <v>233</v>
      </c>
      <c r="C385" s="175" t="s">
        <v>17268</v>
      </c>
      <c r="D385" s="175" t="s">
        <v>633</v>
      </c>
      <c r="E385" s="175" t="s">
        <v>16719</v>
      </c>
      <c r="F385" s="175" t="s">
        <v>17253</v>
      </c>
      <c r="G385" s="175">
        <v>600</v>
      </c>
      <c r="H385" s="175" t="s">
        <v>723</v>
      </c>
      <c r="I385" s="175">
        <v>5.5</v>
      </c>
      <c r="J385" s="175">
        <v>22</v>
      </c>
      <c r="K385" s="175">
        <v>0</v>
      </c>
      <c r="L385" s="175">
        <v>3140</v>
      </c>
      <c r="M385" s="175" t="s">
        <v>17315</v>
      </c>
      <c r="P385" s="175" t="s">
        <v>127</v>
      </c>
      <c r="T385" s="175" t="s">
        <v>627</v>
      </c>
      <c r="X385" s="175" t="s">
        <v>632</v>
      </c>
      <c r="Z385" s="175">
        <v>5.0526315789473681</v>
      </c>
      <c r="AA385" s="175">
        <v>14.666666666666666</v>
      </c>
      <c r="AB385" s="175">
        <v>1</v>
      </c>
      <c r="AC385" s="175">
        <v>31.4</v>
      </c>
      <c r="AD385" s="175">
        <v>1.8333333333333333</v>
      </c>
      <c r="AE385" s="175">
        <v>1.8333333333333333</v>
      </c>
      <c r="AF385" s="175" t="s">
        <v>232</v>
      </c>
      <c r="AG385" s="175">
        <v>2</v>
      </c>
      <c r="AH385" s="175" t="s">
        <v>15370</v>
      </c>
      <c r="AI385" s="175" t="s">
        <v>15370</v>
      </c>
      <c r="AJ385" s="175" t="s">
        <v>815</v>
      </c>
      <c r="AK385" s="175" t="s">
        <v>815</v>
      </c>
      <c r="AL385" s="1159" t="s">
        <v>250</v>
      </c>
      <c r="AM385" s="175" t="s">
        <v>643</v>
      </c>
      <c r="AN385" s="175">
        <v>1.859</v>
      </c>
      <c r="AO385" s="175">
        <v>2.1</v>
      </c>
      <c r="AP385" s="175">
        <v>24</v>
      </c>
      <c r="AQ385" s="175">
        <v>216</v>
      </c>
      <c r="AR385" s="175">
        <v>3.1</v>
      </c>
      <c r="AS385" s="192">
        <v>29874.873599999999</v>
      </c>
    </row>
    <row r="386" spans="1:45" ht="16.5" customHeight="1">
      <c r="A386" s="174">
        <v>46216</v>
      </c>
      <c r="B386" s="175" t="s">
        <v>234</v>
      </c>
      <c r="C386" s="175" t="s">
        <v>632</v>
      </c>
      <c r="E386" s="175" t="s">
        <v>419</v>
      </c>
      <c r="F386" s="175" t="s">
        <v>419</v>
      </c>
      <c r="G386" s="175" t="s">
        <v>419</v>
      </c>
      <c r="H386" s="175" t="s">
        <v>419</v>
      </c>
      <c r="I386" s="175" t="s">
        <v>419</v>
      </c>
      <c r="L386" s="175" t="s">
        <v>632</v>
      </c>
      <c r="P386" s="175" t="s">
        <v>632</v>
      </c>
      <c r="T386" s="175" t="s">
        <v>632</v>
      </c>
      <c r="X386" s="175" t="s">
        <v>632</v>
      </c>
      <c r="Z386" s="175" t="s">
        <v>419</v>
      </c>
      <c r="AA386" s="175" t="s">
        <v>632</v>
      </c>
      <c r="AB386" s="175" t="s">
        <v>419</v>
      </c>
      <c r="AC386" s="175" t="s">
        <v>419</v>
      </c>
      <c r="AD386" s="175" t="s">
        <v>419</v>
      </c>
      <c r="AE386" s="175" t="s">
        <v>419</v>
      </c>
      <c r="AF386" s="175" t="s">
        <v>232</v>
      </c>
      <c r="AG386" s="175">
        <v>1</v>
      </c>
      <c r="AH386" s="175" t="s">
        <v>640</v>
      </c>
      <c r="AI386" s="175" t="s">
        <v>640</v>
      </c>
      <c r="AJ386" s="175" t="s">
        <v>640</v>
      </c>
      <c r="AK386" s="175" t="s">
        <v>640</v>
      </c>
      <c r="AL386" s="1159" t="s">
        <v>419</v>
      </c>
      <c r="AM386" s="175" t="s">
        <v>419</v>
      </c>
      <c r="AN386" s="175" t="s">
        <v>419</v>
      </c>
      <c r="AO386" s="175" t="s">
        <v>419</v>
      </c>
      <c r="AP386" s="175">
        <v>24</v>
      </c>
      <c r="AQ386" s="175">
        <v>216</v>
      </c>
      <c r="AR386" s="175" t="s">
        <v>419</v>
      </c>
      <c r="AS386" s="192" t="s">
        <v>419</v>
      </c>
    </row>
    <row r="387" spans="1:45" ht="16.5" customHeight="1">
      <c r="A387" s="174">
        <v>46216</v>
      </c>
      <c r="B387" s="175" t="s">
        <v>235</v>
      </c>
      <c r="C387" s="175" t="s">
        <v>17289</v>
      </c>
      <c r="D387" s="175" t="s">
        <v>633</v>
      </c>
      <c r="E387" s="175" t="s">
        <v>16719</v>
      </c>
      <c r="F387" s="175" t="s">
        <v>17290</v>
      </c>
      <c r="G387" s="175">
        <v>700</v>
      </c>
      <c r="H387" s="175" t="s">
        <v>776</v>
      </c>
      <c r="I387" s="175">
        <v>5.5</v>
      </c>
      <c r="J387" s="175">
        <v>21</v>
      </c>
      <c r="K387" s="175">
        <v>0</v>
      </c>
      <c r="L387" s="175">
        <v>8800</v>
      </c>
      <c r="M387" s="175" t="s">
        <v>17315</v>
      </c>
      <c r="N387" s="175">
        <v>12</v>
      </c>
      <c r="O387" s="175">
        <v>0</v>
      </c>
      <c r="P387" s="175">
        <v>9260</v>
      </c>
      <c r="Q387" s="175" t="s">
        <v>17315</v>
      </c>
      <c r="R387" s="175">
        <v>6</v>
      </c>
      <c r="S387" s="175">
        <v>0</v>
      </c>
      <c r="T387" s="175">
        <v>9540</v>
      </c>
      <c r="U387" s="175" t="s">
        <v>17315</v>
      </c>
      <c r="V387" s="175">
        <v>19</v>
      </c>
      <c r="W387" s="175">
        <v>2</v>
      </c>
      <c r="X387" s="175">
        <v>9540</v>
      </c>
      <c r="Y387" s="175" t="s">
        <v>17315</v>
      </c>
      <c r="Z387" s="175">
        <v>5.8775510204081636</v>
      </c>
      <c r="AA387" s="175">
        <v>19.333333333333332</v>
      </c>
      <c r="AB387" s="175">
        <v>0.99836404914529919</v>
      </c>
      <c r="AC387" s="175">
        <v>92.85</v>
      </c>
      <c r="AD387" s="175">
        <v>2.4166666666666665</v>
      </c>
      <c r="AE387" s="175">
        <v>2.3333333333333335</v>
      </c>
      <c r="AF387" s="175" t="s">
        <v>236</v>
      </c>
      <c r="AG387" s="175">
        <v>1</v>
      </c>
      <c r="AH387" s="175" t="s">
        <v>15892</v>
      </c>
      <c r="AI387" s="175" t="s">
        <v>15892</v>
      </c>
      <c r="AJ387" s="175" t="s">
        <v>639</v>
      </c>
      <c r="AK387" s="175" t="s">
        <v>639</v>
      </c>
      <c r="AL387" s="1159" t="s">
        <v>251</v>
      </c>
      <c r="AM387" s="175" t="s">
        <v>460</v>
      </c>
      <c r="AN387" s="175">
        <v>1.1890000000000001</v>
      </c>
      <c r="AO387" s="175">
        <v>3</v>
      </c>
      <c r="AP387" s="175">
        <v>24</v>
      </c>
      <c r="AQ387" s="175">
        <v>216</v>
      </c>
      <c r="AR387" s="175">
        <v>4</v>
      </c>
      <c r="AS387" s="192">
        <v>24655.103999999999</v>
      </c>
    </row>
    <row r="388" spans="1:45" ht="16.5" customHeight="1">
      <c r="A388" s="174">
        <v>46216</v>
      </c>
      <c r="B388" s="175" t="s">
        <v>237</v>
      </c>
      <c r="C388" s="175" t="s">
        <v>17251</v>
      </c>
      <c r="D388" s="175" t="s">
        <v>633</v>
      </c>
      <c r="E388" s="175" t="s">
        <v>16719</v>
      </c>
      <c r="F388" s="175" t="s">
        <v>17253</v>
      </c>
      <c r="G388" s="175">
        <v>700</v>
      </c>
      <c r="H388" s="175" t="s">
        <v>646</v>
      </c>
      <c r="I388" s="175">
        <v>5.5</v>
      </c>
      <c r="J388" s="175">
        <v>91</v>
      </c>
      <c r="K388" s="175">
        <v>10</v>
      </c>
      <c r="L388" s="175">
        <v>7220</v>
      </c>
      <c r="M388" s="175">
        <v>8380</v>
      </c>
      <c r="N388" s="175">
        <v>44</v>
      </c>
      <c r="O388" s="175">
        <v>0</v>
      </c>
      <c r="P388" s="175">
        <v>8150</v>
      </c>
      <c r="Q388" s="175">
        <v>6110</v>
      </c>
      <c r="R388" s="175">
        <v>63</v>
      </c>
      <c r="S388" s="175">
        <v>3</v>
      </c>
      <c r="T388" s="175">
        <v>8520</v>
      </c>
      <c r="U388" s="175">
        <v>8150</v>
      </c>
      <c r="V388" s="175">
        <v>85</v>
      </c>
      <c r="W388" s="175">
        <v>6</v>
      </c>
      <c r="X388" s="175">
        <v>8060</v>
      </c>
      <c r="Y388" s="175">
        <v>8520</v>
      </c>
      <c r="Z388" s="175">
        <v>5.8775510204081636</v>
      </c>
      <c r="AA388" s="175">
        <v>94.333333333333329</v>
      </c>
      <c r="AB388" s="175">
        <v>0.98445846688034189</v>
      </c>
      <c r="AC388" s="175">
        <v>78.887500000000003</v>
      </c>
      <c r="AD388" s="175">
        <v>11.791666666666666</v>
      </c>
      <c r="AE388" s="175">
        <v>11</v>
      </c>
      <c r="AF388" s="175" t="s">
        <v>236</v>
      </c>
      <c r="AG388" s="175">
        <v>1</v>
      </c>
      <c r="AH388" s="175" t="s">
        <v>15892</v>
      </c>
      <c r="AI388" s="175" t="s">
        <v>15892</v>
      </c>
      <c r="AJ388" s="175" t="s">
        <v>639</v>
      </c>
      <c r="AK388" s="175" t="s">
        <v>639</v>
      </c>
      <c r="AL388" s="1159" t="s">
        <v>250</v>
      </c>
      <c r="AM388" s="175" t="s">
        <v>460</v>
      </c>
      <c r="AN388" s="175">
        <v>1.1890000000000001</v>
      </c>
      <c r="AO388" s="175">
        <v>2.9</v>
      </c>
      <c r="AP388" s="175">
        <v>24</v>
      </c>
      <c r="AQ388" s="175">
        <v>216</v>
      </c>
      <c r="AR388" s="175">
        <v>3.9</v>
      </c>
      <c r="AS388" s="192">
        <v>24038.7264</v>
      </c>
    </row>
    <row r="389" spans="1:45" ht="16.5" customHeight="1">
      <c r="A389" s="174">
        <v>46216</v>
      </c>
      <c r="B389" s="175" t="s">
        <v>238</v>
      </c>
      <c r="C389" s="175" t="s">
        <v>17248</v>
      </c>
      <c r="D389" s="175" t="s">
        <v>633</v>
      </c>
      <c r="E389" s="175" t="s">
        <v>16719</v>
      </c>
      <c r="F389" s="175" t="s">
        <v>17249</v>
      </c>
      <c r="G389" s="175">
        <v>600</v>
      </c>
      <c r="H389" s="175" t="s">
        <v>877</v>
      </c>
      <c r="I389" s="175">
        <v>5.5</v>
      </c>
      <c r="J389" s="175">
        <v>49</v>
      </c>
      <c r="K389" s="175">
        <v>3</v>
      </c>
      <c r="L389" s="175">
        <v>9350</v>
      </c>
      <c r="M389" s="175">
        <v>9720</v>
      </c>
      <c r="N389" s="175">
        <v>16</v>
      </c>
      <c r="O389" s="175">
        <v>0</v>
      </c>
      <c r="P389" s="175">
        <v>9440</v>
      </c>
      <c r="Q389" s="175">
        <v>9440</v>
      </c>
      <c r="R389" s="175">
        <v>20</v>
      </c>
      <c r="S389" s="175">
        <v>1</v>
      </c>
      <c r="T389" s="175">
        <v>9540</v>
      </c>
      <c r="U389" s="175">
        <v>9810</v>
      </c>
      <c r="V389" s="175">
        <v>13</v>
      </c>
      <c r="W389" s="175">
        <v>2</v>
      </c>
      <c r="X389" s="175">
        <v>9440</v>
      </c>
      <c r="Y389" s="175">
        <v>9810</v>
      </c>
      <c r="Z389" s="175">
        <v>5.034965034965035</v>
      </c>
      <c r="AA389" s="175">
        <v>32.666666666666664</v>
      </c>
      <c r="AB389" s="175">
        <v>0.99427083333333333</v>
      </c>
      <c r="AC389" s="175">
        <v>95.6875</v>
      </c>
      <c r="AD389" s="175">
        <v>4.083333333333333</v>
      </c>
      <c r="AE389" s="175">
        <v>3.8333333333333335</v>
      </c>
      <c r="AF389" s="175" t="s">
        <v>236</v>
      </c>
      <c r="AG389" s="175">
        <v>1</v>
      </c>
      <c r="AH389" s="175" t="s">
        <v>638</v>
      </c>
      <c r="AI389" s="175" t="s">
        <v>638</v>
      </c>
      <c r="AJ389" s="175" t="s">
        <v>835</v>
      </c>
      <c r="AK389" s="175" t="s">
        <v>835</v>
      </c>
      <c r="AL389" s="1159" t="s">
        <v>251</v>
      </c>
      <c r="AM389" s="175" t="s">
        <v>460</v>
      </c>
      <c r="AN389" s="175">
        <v>1.1890000000000001</v>
      </c>
      <c r="AO389" s="175">
        <v>2.8</v>
      </c>
      <c r="AP389" s="175">
        <v>24</v>
      </c>
      <c r="AQ389" s="175">
        <v>216</v>
      </c>
      <c r="AR389" s="175">
        <v>3.8</v>
      </c>
      <c r="AS389" s="192">
        <v>23422.3488</v>
      </c>
    </row>
    <row r="390" spans="1:45" ht="16.5" customHeight="1">
      <c r="A390" s="174">
        <v>46216</v>
      </c>
      <c r="B390" s="175" t="s">
        <v>239</v>
      </c>
      <c r="C390" s="175" t="s">
        <v>17266</v>
      </c>
      <c r="E390" s="175" t="s">
        <v>754</v>
      </c>
      <c r="F390" s="175" t="s">
        <v>17267</v>
      </c>
      <c r="G390" s="175">
        <v>600</v>
      </c>
      <c r="H390" s="175" t="s">
        <v>842</v>
      </c>
      <c r="I390" s="175">
        <v>4</v>
      </c>
      <c r="J390" s="175">
        <v>27</v>
      </c>
      <c r="K390" s="175">
        <v>12</v>
      </c>
      <c r="L390" s="175">
        <v>9260</v>
      </c>
      <c r="N390" s="175">
        <v>10</v>
      </c>
      <c r="O390" s="175">
        <v>0</v>
      </c>
      <c r="P390" s="175">
        <v>9840</v>
      </c>
      <c r="R390" s="175">
        <v>4</v>
      </c>
      <c r="S390" s="175">
        <v>1</v>
      </c>
      <c r="T390" s="175">
        <v>9630</v>
      </c>
      <c r="V390" s="175">
        <v>13</v>
      </c>
      <c r="W390" s="175">
        <v>4</v>
      </c>
      <c r="X390" s="175">
        <v>9630</v>
      </c>
      <c r="Z390" s="175">
        <v>3.6</v>
      </c>
      <c r="AA390" s="175">
        <v>36</v>
      </c>
      <c r="AB390" s="175">
        <v>0.97729700854700852</v>
      </c>
      <c r="AC390" s="175">
        <v>95.9</v>
      </c>
      <c r="AD390" s="175">
        <v>4.5</v>
      </c>
      <c r="AE390" s="175">
        <v>3.0833333333333335</v>
      </c>
      <c r="AF390" s="175" t="s">
        <v>236</v>
      </c>
      <c r="AG390" s="175">
        <v>2</v>
      </c>
      <c r="AH390" s="175" t="s">
        <v>638</v>
      </c>
      <c r="AI390" s="175" t="s">
        <v>638</v>
      </c>
      <c r="AJ390" s="175" t="s">
        <v>639</v>
      </c>
      <c r="AK390" s="175" t="s">
        <v>639</v>
      </c>
      <c r="AL390" s="1159" t="s">
        <v>251</v>
      </c>
      <c r="AM390" s="175" t="s">
        <v>126</v>
      </c>
      <c r="AN390" s="175">
        <v>0.91100000000000003</v>
      </c>
      <c r="AO390" s="175">
        <v>1.5</v>
      </c>
      <c r="AP390" s="175">
        <v>24</v>
      </c>
      <c r="AQ390" s="175">
        <v>216</v>
      </c>
      <c r="AR390" s="175">
        <v>2.5</v>
      </c>
      <c r="AS390" s="192">
        <v>11806.560000000001</v>
      </c>
    </row>
    <row r="391" spans="1:45" ht="16.5" customHeight="1">
      <c r="A391" s="174">
        <v>46216</v>
      </c>
      <c r="B391" s="175" t="s">
        <v>239</v>
      </c>
      <c r="C391" s="175" t="s">
        <v>17241</v>
      </c>
      <c r="E391" s="175" t="s">
        <v>16723</v>
      </c>
      <c r="F391" s="175" t="s">
        <v>17243</v>
      </c>
      <c r="G391" s="175">
        <v>550</v>
      </c>
      <c r="H391" s="175" t="s">
        <v>868</v>
      </c>
      <c r="I391" s="175">
        <v>5.5</v>
      </c>
      <c r="J391" s="175">
        <v>24</v>
      </c>
      <c r="K391" s="175">
        <v>5</v>
      </c>
      <c r="M391" s="175">
        <v>9540</v>
      </c>
      <c r="N391" s="175">
        <v>6</v>
      </c>
      <c r="O391" s="175">
        <v>3</v>
      </c>
      <c r="Q391" s="175">
        <v>8610</v>
      </c>
      <c r="R391" s="175">
        <v>9</v>
      </c>
      <c r="S391" s="175">
        <v>8</v>
      </c>
      <c r="U391" s="175">
        <v>9440</v>
      </c>
      <c r="V391" s="175">
        <v>15</v>
      </c>
      <c r="W391" s="175">
        <v>6</v>
      </c>
      <c r="Y391" s="175">
        <v>9350</v>
      </c>
      <c r="Z391" s="175">
        <v>6.6055045871559646</v>
      </c>
      <c r="AA391" s="175">
        <v>36</v>
      </c>
      <c r="AB391" s="175">
        <v>0.98398771367521365</v>
      </c>
      <c r="AC391" s="175">
        <v>92.35</v>
      </c>
      <c r="AD391" s="175">
        <v>4.5</v>
      </c>
      <c r="AE391" s="175">
        <v>2.6666666666666665</v>
      </c>
      <c r="AF391" s="175" t="s">
        <v>236</v>
      </c>
      <c r="AG391" s="175">
        <v>2</v>
      </c>
      <c r="AH391" s="175" t="s">
        <v>638</v>
      </c>
      <c r="AI391" s="175" t="s">
        <v>638</v>
      </c>
      <c r="AJ391" s="175" t="s">
        <v>639</v>
      </c>
      <c r="AK391" s="175" t="s">
        <v>639</v>
      </c>
      <c r="AM391" s="175" t="s">
        <v>643</v>
      </c>
      <c r="AN391" s="175">
        <v>1.859</v>
      </c>
      <c r="AO391" s="175">
        <v>3.3</v>
      </c>
      <c r="AP391" s="175">
        <v>24</v>
      </c>
      <c r="AQ391" s="175">
        <v>216</v>
      </c>
      <c r="AR391" s="175">
        <v>4.3</v>
      </c>
      <c r="AS391" s="192">
        <v>41439.340799999998</v>
      </c>
    </row>
    <row r="392" spans="1:45" ht="16.5" customHeight="1">
      <c r="A392" s="174">
        <v>46216</v>
      </c>
      <c r="B392" s="175" t="s">
        <v>388</v>
      </c>
      <c r="C392" s="175" t="s">
        <v>17296</v>
      </c>
      <c r="D392" s="175" t="s">
        <v>633</v>
      </c>
      <c r="E392" s="175" t="s">
        <v>16719</v>
      </c>
      <c r="F392" s="175" t="s">
        <v>17290</v>
      </c>
      <c r="G392" s="175">
        <v>700</v>
      </c>
      <c r="H392" s="175" t="s">
        <v>15541</v>
      </c>
      <c r="I392" s="175">
        <v>5.5</v>
      </c>
      <c r="J392" s="175">
        <v>14</v>
      </c>
      <c r="K392" s="175">
        <v>0</v>
      </c>
      <c r="L392" s="175">
        <v>10000</v>
      </c>
      <c r="M392" s="175" t="s">
        <v>17315</v>
      </c>
      <c r="N392" s="175">
        <v>38</v>
      </c>
      <c r="O392" s="175">
        <v>0</v>
      </c>
      <c r="P392" s="175">
        <v>8520</v>
      </c>
      <c r="Q392" s="175" t="s">
        <v>17315</v>
      </c>
      <c r="R392" s="175">
        <v>22</v>
      </c>
      <c r="S392" s="175">
        <v>1</v>
      </c>
      <c r="T392" s="175">
        <v>9720</v>
      </c>
      <c r="U392" s="175" t="s">
        <v>17315</v>
      </c>
      <c r="V392" s="175">
        <v>12</v>
      </c>
      <c r="W392" s="175">
        <v>1</v>
      </c>
      <c r="X392" s="175">
        <v>9910</v>
      </c>
      <c r="Y392" s="175" t="s">
        <v>17315</v>
      </c>
      <c r="Z392" s="175">
        <v>5.8299595141700413</v>
      </c>
      <c r="AA392" s="175">
        <v>57.333333333333336</v>
      </c>
      <c r="AB392" s="175">
        <v>0.99835069444444446</v>
      </c>
      <c r="AC392" s="175">
        <v>95.375</v>
      </c>
      <c r="AD392" s="175">
        <v>7.166666666666667</v>
      </c>
      <c r="AE392" s="175">
        <v>7</v>
      </c>
      <c r="AF392" s="175" t="s">
        <v>236</v>
      </c>
      <c r="AG392" s="175">
        <v>2</v>
      </c>
      <c r="AH392" s="175" t="s">
        <v>15892</v>
      </c>
      <c r="AI392" s="175" t="s">
        <v>15892</v>
      </c>
      <c r="AJ392" s="175" t="s">
        <v>835</v>
      </c>
      <c r="AK392" s="175" t="s">
        <v>835</v>
      </c>
      <c r="AL392" s="1159" t="s">
        <v>251</v>
      </c>
      <c r="AM392" s="175" t="s">
        <v>460</v>
      </c>
      <c r="AN392" s="175">
        <v>1.1890000000000001</v>
      </c>
      <c r="AO392" s="175">
        <v>2.8</v>
      </c>
      <c r="AP392" s="175">
        <v>24</v>
      </c>
      <c r="AQ392" s="175">
        <v>216</v>
      </c>
      <c r="AR392" s="175">
        <v>3.8</v>
      </c>
      <c r="AS392" s="192">
        <v>23422.3488</v>
      </c>
    </row>
    <row r="393" spans="1:45" ht="16.5" customHeight="1">
      <c r="A393" s="174">
        <v>46216</v>
      </c>
      <c r="B393" s="175" t="s">
        <v>417</v>
      </c>
      <c r="C393" s="175" t="s">
        <v>17291</v>
      </c>
      <c r="D393" s="175" t="s">
        <v>633</v>
      </c>
      <c r="E393" s="175" t="s">
        <v>16719</v>
      </c>
      <c r="F393" s="175" t="s">
        <v>17290</v>
      </c>
      <c r="G393" s="175">
        <v>700</v>
      </c>
      <c r="H393" s="175" t="s">
        <v>724</v>
      </c>
      <c r="I393" s="175">
        <v>5.5</v>
      </c>
      <c r="J393" s="175">
        <v>39</v>
      </c>
      <c r="K393" s="175">
        <v>3</v>
      </c>
      <c r="L393" s="175">
        <v>10000</v>
      </c>
      <c r="M393" s="175">
        <v>9540</v>
      </c>
      <c r="N393" s="175">
        <v>20</v>
      </c>
      <c r="O393" s="175">
        <v>0</v>
      </c>
      <c r="P393" s="175">
        <v>10000</v>
      </c>
      <c r="Q393" s="175">
        <v>9540</v>
      </c>
      <c r="R393" s="175">
        <v>0</v>
      </c>
      <c r="S393" s="175">
        <v>0</v>
      </c>
      <c r="T393" s="175">
        <v>9630</v>
      </c>
      <c r="U393" s="175">
        <v>9540</v>
      </c>
      <c r="V393" s="175">
        <v>29</v>
      </c>
      <c r="W393" s="175">
        <v>5</v>
      </c>
      <c r="X393" s="175">
        <v>9910</v>
      </c>
      <c r="Y393" s="175">
        <v>9440</v>
      </c>
      <c r="Z393" s="175">
        <v>5.8299595141700413</v>
      </c>
      <c r="AA393" s="175">
        <v>29.333333333333332</v>
      </c>
      <c r="AB393" s="175">
        <v>0.99340277777777775</v>
      </c>
      <c r="AC393" s="175">
        <v>97</v>
      </c>
      <c r="AD393" s="175">
        <v>3.6666666666666665</v>
      </c>
      <c r="AE393" s="175">
        <v>3.3333333333333335</v>
      </c>
      <c r="AF393" s="175" t="s">
        <v>236</v>
      </c>
      <c r="AG393" s="175">
        <v>1</v>
      </c>
      <c r="AH393" s="175" t="s">
        <v>638</v>
      </c>
      <c r="AI393" s="175" t="s">
        <v>638</v>
      </c>
      <c r="AJ393" s="175" t="s">
        <v>835</v>
      </c>
      <c r="AK393" s="175" t="s">
        <v>835</v>
      </c>
      <c r="AL393" s="1159" t="s">
        <v>251</v>
      </c>
      <c r="AM393" s="175" t="s">
        <v>460</v>
      </c>
      <c r="AN393" s="175">
        <v>1.1890000000000001</v>
      </c>
      <c r="AO393" s="175">
        <v>2.8</v>
      </c>
      <c r="AP393" s="175">
        <v>24</v>
      </c>
      <c r="AQ393" s="175">
        <v>216</v>
      </c>
      <c r="AR393" s="175">
        <v>3.8</v>
      </c>
      <c r="AS393" s="192">
        <v>23422.3488</v>
      </c>
    </row>
    <row r="394" spans="1:45" ht="16.5" customHeight="1">
      <c r="A394" s="174">
        <v>46216</v>
      </c>
      <c r="B394" s="175" t="s">
        <v>240</v>
      </c>
      <c r="C394" s="175" t="s">
        <v>17429</v>
      </c>
      <c r="E394" s="175" t="s">
        <v>17434</v>
      </c>
      <c r="F394" s="175" t="s">
        <v>17435</v>
      </c>
      <c r="G394" s="175">
        <v>550</v>
      </c>
      <c r="H394" s="175" t="s">
        <v>884</v>
      </c>
      <c r="I394" s="175">
        <v>4</v>
      </c>
      <c r="J394" s="175">
        <v>13</v>
      </c>
      <c r="K394" s="175">
        <v>0</v>
      </c>
      <c r="L394" s="175">
        <v>3076</v>
      </c>
      <c r="N394" s="175">
        <v>3</v>
      </c>
      <c r="O394" s="175">
        <v>0</v>
      </c>
      <c r="P394" s="175">
        <v>3298</v>
      </c>
      <c r="R394" s="175">
        <v>7</v>
      </c>
      <c r="S394" s="175">
        <v>0</v>
      </c>
      <c r="T394" s="175">
        <v>3262</v>
      </c>
      <c r="V394" s="175">
        <v>7</v>
      </c>
      <c r="W394" s="175">
        <v>0</v>
      </c>
      <c r="X394" s="175">
        <v>3161</v>
      </c>
      <c r="Z394" s="175">
        <v>1.6179775280898876</v>
      </c>
      <c r="AA394" s="175">
        <v>90</v>
      </c>
      <c r="AB394" s="175">
        <v>1</v>
      </c>
      <c r="AC394" s="175">
        <v>31.9925</v>
      </c>
      <c r="AD394" s="175">
        <v>11.25</v>
      </c>
      <c r="AE394" s="175">
        <v>11.25</v>
      </c>
      <c r="AF394" s="175" t="s">
        <v>241</v>
      </c>
      <c r="AG394" s="175">
        <v>9</v>
      </c>
      <c r="AH394" s="175" t="s">
        <v>15370</v>
      </c>
      <c r="AI394" s="175" t="s">
        <v>15370</v>
      </c>
      <c r="AJ394" s="175" t="s">
        <v>636</v>
      </c>
      <c r="AK394" s="175" t="s">
        <v>636</v>
      </c>
      <c r="AL394" s="1159" t="s">
        <v>251</v>
      </c>
      <c r="AM394" s="175" t="s">
        <v>626</v>
      </c>
      <c r="AN394" s="175">
        <v>0.66900000000000004</v>
      </c>
      <c r="AO394" s="175">
        <v>1.6</v>
      </c>
      <c r="AP394" s="175">
        <v>24</v>
      </c>
      <c r="AQ394" s="175">
        <v>108</v>
      </c>
      <c r="AR394" s="175">
        <v>2.6</v>
      </c>
      <c r="AS394" s="192">
        <v>4508.5248000000011</v>
      </c>
    </row>
    <row r="395" spans="1:45" ht="16.5" customHeight="1">
      <c r="A395" s="174">
        <v>46216</v>
      </c>
      <c r="B395" s="175" t="s">
        <v>242</v>
      </c>
      <c r="C395" s="175" t="s">
        <v>385</v>
      </c>
      <c r="E395" s="175" t="s">
        <v>419</v>
      </c>
      <c r="F395" s="175" t="s">
        <v>419</v>
      </c>
      <c r="G395" s="175" t="s">
        <v>419</v>
      </c>
      <c r="H395" s="175" t="s">
        <v>419</v>
      </c>
      <c r="I395" s="175" t="s">
        <v>419</v>
      </c>
      <c r="L395" s="175" t="s">
        <v>385</v>
      </c>
      <c r="P395" s="175" t="s">
        <v>385</v>
      </c>
      <c r="T395" s="175" t="s">
        <v>385</v>
      </c>
      <c r="X395" s="175" t="s">
        <v>385</v>
      </c>
      <c r="Z395" s="175" t="s">
        <v>419</v>
      </c>
      <c r="AA395" s="175" t="s">
        <v>385</v>
      </c>
      <c r="AB395" s="175" t="s">
        <v>419</v>
      </c>
      <c r="AC395" s="175" t="s">
        <v>419</v>
      </c>
      <c r="AD395" s="175" t="s">
        <v>419</v>
      </c>
      <c r="AE395" s="175" t="s">
        <v>419</v>
      </c>
      <c r="AF395" s="175" t="s">
        <v>241</v>
      </c>
      <c r="AG395" s="175">
        <v>5</v>
      </c>
      <c r="AH395" s="175" t="s">
        <v>15370</v>
      </c>
      <c r="AI395" s="175" t="s">
        <v>15370</v>
      </c>
      <c r="AJ395" s="175" t="s">
        <v>636</v>
      </c>
      <c r="AK395" s="175" t="s">
        <v>636</v>
      </c>
      <c r="AL395" s="1159" t="s">
        <v>419</v>
      </c>
      <c r="AM395" s="175" t="s">
        <v>419</v>
      </c>
      <c r="AN395" s="175" t="s">
        <v>419</v>
      </c>
      <c r="AO395" s="175" t="s">
        <v>419</v>
      </c>
      <c r="AP395" s="175">
        <v>24</v>
      </c>
      <c r="AQ395" s="175">
        <v>216</v>
      </c>
      <c r="AR395" s="175" t="s">
        <v>419</v>
      </c>
      <c r="AS395" s="192" t="s">
        <v>419</v>
      </c>
    </row>
    <row r="396" spans="1:45" ht="16.5" customHeight="1">
      <c r="A396" s="174">
        <v>46217</v>
      </c>
      <c r="B396" s="175" t="s">
        <v>212</v>
      </c>
      <c r="C396" s="175" t="s">
        <v>632</v>
      </c>
      <c r="E396" s="175" t="s">
        <v>419</v>
      </c>
      <c r="F396" s="175" t="s">
        <v>419</v>
      </c>
      <c r="G396" s="175" t="s">
        <v>419</v>
      </c>
      <c r="H396" s="175" t="s">
        <v>419</v>
      </c>
      <c r="I396" s="175" t="s">
        <v>419</v>
      </c>
      <c r="L396" s="175" t="s">
        <v>632</v>
      </c>
      <c r="P396" s="175" t="s">
        <v>632</v>
      </c>
      <c r="T396" s="175" t="s">
        <v>632</v>
      </c>
      <c r="X396" s="175" t="s">
        <v>632</v>
      </c>
      <c r="Z396" s="175" t="s">
        <v>419</v>
      </c>
      <c r="AA396" s="175" t="s">
        <v>632</v>
      </c>
      <c r="AB396" s="175" t="s">
        <v>419</v>
      </c>
      <c r="AC396" s="175" t="s">
        <v>419</v>
      </c>
      <c r="AD396" s="175" t="s">
        <v>419</v>
      </c>
      <c r="AE396" s="175" t="s">
        <v>419</v>
      </c>
      <c r="AF396" s="175" t="s">
        <v>213</v>
      </c>
      <c r="AG396" s="175">
        <v>1</v>
      </c>
      <c r="AH396" s="175" t="s">
        <v>640</v>
      </c>
      <c r="AI396" s="175" t="s">
        <v>640</v>
      </c>
      <c r="AJ396" s="175" t="s">
        <v>640</v>
      </c>
      <c r="AK396" s="175" t="s">
        <v>640</v>
      </c>
      <c r="AL396" s="1159" t="s">
        <v>419</v>
      </c>
      <c r="AM396" s="175" t="s">
        <v>419</v>
      </c>
      <c r="AN396" s="175" t="s">
        <v>419</v>
      </c>
      <c r="AO396" s="175" t="s">
        <v>419</v>
      </c>
      <c r="AP396" s="175">
        <v>24</v>
      </c>
      <c r="AQ396" s="175">
        <v>216</v>
      </c>
      <c r="AR396" s="175" t="s">
        <v>419</v>
      </c>
      <c r="AS396" s="192" t="s">
        <v>419</v>
      </c>
    </row>
    <row r="397" spans="1:45" ht="16.5" customHeight="1">
      <c r="A397" s="174">
        <v>46217</v>
      </c>
      <c r="B397" s="175" t="s">
        <v>214</v>
      </c>
      <c r="C397" s="175" t="s">
        <v>632</v>
      </c>
      <c r="E397" s="175" t="s">
        <v>419</v>
      </c>
      <c r="F397" s="175" t="s">
        <v>419</v>
      </c>
      <c r="G397" s="175" t="s">
        <v>419</v>
      </c>
      <c r="H397" s="175" t="s">
        <v>419</v>
      </c>
      <c r="I397" s="175" t="s">
        <v>419</v>
      </c>
      <c r="L397" s="175" t="s">
        <v>632</v>
      </c>
      <c r="P397" s="175" t="s">
        <v>632</v>
      </c>
      <c r="T397" s="175" t="s">
        <v>632</v>
      </c>
      <c r="X397" s="175" t="s">
        <v>632</v>
      </c>
      <c r="Z397" s="175" t="s">
        <v>419</v>
      </c>
      <c r="AA397" s="175" t="s">
        <v>632</v>
      </c>
      <c r="AB397" s="175" t="s">
        <v>419</v>
      </c>
      <c r="AC397" s="175" t="s">
        <v>419</v>
      </c>
      <c r="AD397" s="175" t="s">
        <v>419</v>
      </c>
      <c r="AE397" s="175" t="s">
        <v>419</v>
      </c>
      <c r="AF397" s="175" t="s">
        <v>213</v>
      </c>
      <c r="AG397" s="175">
        <v>1</v>
      </c>
      <c r="AH397" s="175" t="s">
        <v>640</v>
      </c>
      <c r="AI397" s="175" t="s">
        <v>640</v>
      </c>
      <c r="AJ397" s="175" t="s">
        <v>640</v>
      </c>
      <c r="AK397" s="175" t="s">
        <v>640</v>
      </c>
      <c r="AL397" s="1159" t="s">
        <v>419</v>
      </c>
      <c r="AM397" s="175" t="s">
        <v>419</v>
      </c>
      <c r="AN397" s="175" t="s">
        <v>419</v>
      </c>
      <c r="AO397" s="175" t="s">
        <v>419</v>
      </c>
      <c r="AP397" s="175">
        <v>24</v>
      </c>
      <c r="AQ397" s="175">
        <v>216</v>
      </c>
      <c r="AR397" s="175" t="s">
        <v>419</v>
      </c>
      <c r="AS397" s="192" t="s">
        <v>419</v>
      </c>
    </row>
    <row r="398" spans="1:45" ht="16.5" customHeight="1">
      <c r="A398" s="174">
        <v>46217</v>
      </c>
      <c r="B398" s="175" t="s">
        <v>215</v>
      </c>
      <c r="C398" s="175" t="s">
        <v>17316</v>
      </c>
      <c r="E398" s="175" t="s">
        <v>5005</v>
      </c>
      <c r="F398" s="175" t="s">
        <v>17317</v>
      </c>
      <c r="G398" s="175">
        <v>500</v>
      </c>
      <c r="H398" s="175" t="s">
        <v>1186</v>
      </c>
      <c r="I398" s="175">
        <v>4</v>
      </c>
      <c r="L398" s="175" t="s">
        <v>127</v>
      </c>
      <c r="P398" s="175" t="s">
        <v>127</v>
      </c>
      <c r="T398" s="175" t="s">
        <v>127</v>
      </c>
      <c r="X398" s="175" t="s">
        <v>127</v>
      </c>
      <c r="Z398" s="175">
        <v>2.9937629937629939</v>
      </c>
      <c r="AA398" s="175" t="s">
        <v>127</v>
      </c>
      <c r="AB398" s="175" t="s">
        <v>419</v>
      </c>
      <c r="AC398" s="175" t="s">
        <v>419</v>
      </c>
      <c r="AD398" s="175" t="s">
        <v>419</v>
      </c>
      <c r="AE398" s="175" t="s">
        <v>419</v>
      </c>
      <c r="AF398" s="175" t="s">
        <v>213</v>
      </c>
      <c r="AG398" s="175">
        <v>1</v>
      </c>
      <c r="AH398" s="175" t="s">
        <v>637</v>
      </c>
      <c r="AI398" s="175" t="s">
        <v>637</v>
      </c>
      <c r="AJ398" s="175" t="s">
        <v>15876</v>
      </c>
      <c r="AK398" s="175" t="s">
        <v>15876</v>
      </c>
      <c r="AL398" s="1159" t="s">
        <v>250</v>
      </c>
      <c r="AM398" s="175" t="s">
        <v>126</v>
      </c>
      <c r="AN398" s="175">
        <v>0.91100000000000003</v>
      </c>
      <c r="AO398" s="175">
        <v>1.9</v>
      </c>
      <c r="AP398" s="175">
        <v>24</v>
      </c>
      <c r="AQ398" s="175">
        <v>216</v>
      </c>
      <c r="AR398" s="175">
        <v>2.9</v>
      </c>
      <c r="AS398" s="192">
        <v>13695.6096</v>
      </c>
    </row>
    <row r="399" spans="1:45" ht="16.5" customHeight="1">
      <c r="A399" s="174">
        <v>46217</v>
      </c>
      <c r="B399" s="175" t="s">
        <v>216</v>
      </c>
      <c r="C399" s="175" t="s">
        <v>632</v>
      </c>
      <c r="E399" s="175" t="s">
        <v>419</v>
      </c>
      <c r="F399" s="175" t="s">
        <v>419</v>
      </c>
      <c r="G399" s="175" t="s">
        <v>419</v>
      </c>
      <c r="H399" s="175" t="s">
        <v>419</v>
      </c>
      <c r="I399" s="175" t="s">
        <v>419</v>
      </c>
      <c r="L399" s="175" t="s">
        <v>632</v>
      </c>
      <c r="P399" s="175" t="s">
        <v>632</v>
      </c>
      <c r="T399" s="175" t="s">
        <v>632</v>
      </c>
      <c r="X399" s="175" t="s">
        <v>632</v>
      </c>
      <c r="Z399" s="175" t="s">
        <v>419</v>
      </c>
      <c r="AA399" s="175" t="s">
        <v>632</v>
      </c>
      <c r="AB399" s="175" t="s">
        <v>419</v>
      </c>
      <c r="AC399" s="175" t="s">
        <v>419</v>
      </c>
      <c r="AD399" s="175" t="s">
        <v>419</v>
      </c>
      <c r="AE399" s="175" t="s">
        <v>419</v>
      </c>
      <c r="AF399" s="175" t="s">
        <v>213</v>
      </c>
      <c r="AG399" s="175">
        <v>1</v>
      </c>
      <c r="AH399" s="175" t="s">
        <v>640</v>
      </c>
      <c r="AI399" s="175" t="s">
        <v>640</v>
      </c>
      <c r="AJ399" s="175" t="s">
        <v>640</v>
      </c>
      <c r="AK399" s="175" t="s">
        <v>640</v>
      </c>
      <c r="AL399" s="1159" t="s">
        <v>419</v>
      </c>
      <c r="AM399" s="175" t="s">
        <v>419</v>
      </c>
      <c r="AN399" s="175" t="s">
        <v>419</v>
      </c>
      <c r="AO399" s="175" t="s">
        <v>419</v>
      </c>
      <c r="AP399" s="175">
        <v>24</v>
      </c>
      <c r="AQ399" s="175">
        <v>216</v>
      </c>
      <c r="AR399" s="175" t="s">
        <v>419</v>
      </c>
      <c r="AS399" s="192" t="s">
        <v>419</v>
      </c>
    </row>
    <row r="400" spans="1:45" ht="16.5" customHeight="1">
      <c r="A400" s="174">
        <v>46217</v>
      </c>
      <c r="B400" s="175" t="s">
        <v>217</v>
      </c>
      <c r="C400" s="175" t="s">
        <v>17380</v>
      </c>
      <c r="E400" s="175" t="s">
        <v>17381</v>
      </c>
      <c r="F400" s="175" t="s">
        <v>17382</v>
      </c>
      <c r="G400" s="175">
        <v>680</v>
      </c>
      <c r="H400" s="175" t="s">
        <v>16728</v>
      </c>
      <c r="I400" s="175">
        <v>5</v>
      </c>
      <c r="J400" s="175">
        <v>16</v>
      </c>
      <c r="K400" s="175">
        <v>0</v>
      </c>
      <c r="L400" s="175" t="s">
        <v>127</v>
      </c>
      <c r="M400" s="175">
        <v>9080</v>
      </c>
      <c r="P400" s="175" t="s">
        <v>127</v>
      </c>
      <c r="T400" s="175" t="s">
        <v>127</v>
      </c>
      <c r="V400" s="175">
        <v>10</v>
      </c>
      <c r="W400" s="175">
        <v>4</v>
      </c>
      <c r="X400" s="175">
        <v>8021</v>
      </c>
      <c r="Y400" s="175">
        <v>9039</v>
      </c>
      <c r="Z400" s="175">
        <v>1.5824175824175823</v>
      </c>
      <c r="AA400" s="175" t="s">
        <v>127</v>
      </c>
      <c r="AB400" s="175">
        <v>0.98784722222222221</v>
      </c>
      <c r="AC400" s="175" t="s">
        <v>419</v>
      </c>
      <c r="AD400" s="175" t="s">
        <v>419</v>
      </c>
      <c r="AE400" s="175" t="s">
        <v>419</v>
      </c>
      <c r="AF400" s="175" t="s">
        <v>213</v>
      </c>
      <c r="AG400" s="175">
        <v>1</v>
      </c>
      <c r="AH400" s="175" t="s">
        <v>629</v>
      </c>
      <c r="AI400" s="175" t="s">
        <v>629</v>
      </c>
      <c r="AJ400" s="175" t="s">
        <v>725</v>
      </c>
      <c r="AK400" s="175" t="s">
        <v>725</v>
      </c>
      <c r="AL400" s="1159" t="s">
        <v>251</v>
      </c>
      <c r="AM400" s="175" t="s">
        <v>126</v>
      </c>
      <c r="AN400" s="175">
        <v>0.91100000000000003</v>
      </c>
      <c r="AO400" s="175">
        <v>1.3</v>
      </c>
      <c r="AP400" s="175">
        <v>24</v>
      </c>
      <c r="AQ400" s="175">
        <v>216</v>
      </c>
      <c r="AR400" s="175">
        <v>2.2999999999999998</v>
      </c>
      <c r="AS400" s="192">
        <v>10862.035199999998</v>
      </c>
    </row>
    <row r="401" spans="1:45" ht="16.5" customHeight="1">
      <c r="A401" s="174">
        <v>46217</v>
      </c>
      <c r="B401" s="175" t="s">
        <v>218</v>
      </c>
      <c r="C401" s="175" t="s">
        <v>17221</v>
      </c>
      <c r="E401" s="175" t="s">
        <v>17237</v>
      </c>
      <c r="F401" s="175" t="s">
        <v>17229</v>
      </c>
      <c r="G401" s="175">
        <v>600</v>
      </c>
      <c r="H401" s="175" t="s">
        <v>15893</v>
      </c>
      <c r="I401" s="175">
        <v>5</v>
      </c>
      <c r="J401" s="175">
        <v>22</v>
      </c>
      <c r="K401" s="175">
        <v>0</v>
      </c>
      <c r="L401" s="175">
        <v>9329</v>
      </c>
      <c r="M401" s="175">
        <v>9523</v>
      </c>
      <c r="N401" s="175">
        <v>2</v>
      </c>
      <c r="O401" s="175">
        <v>0</v>
      </c>
      <c r="P401" s="175">
        <v>9334</v>
      </c>
      <c r="Q401" s="175">
        <v>9630</v>
      </c>
      <c r="R401" s="175">
        <v>20</v>
      </c>
      <c r="S401" s="175">
        <v>0</v>
      </c>
      <c r="T401" s="175">
        <v>9421</v>
      </c>
      <c r="U401" s="175">
        <v>9569</v>
      </c>
      <c r="V401" s="175">
        <v>26</v>
      </c>
      <c r="W401" s="175">
        <v>1</v>
      </c>
      <c r="X401" s="175">
        <v>9332</v>
      </c>
      <c r="Y401" s="175">
        <v>9558</v>
      </c>
      <c r="Z401" s="175">
        <v>2.8015564202334629</v>
      </c>
      <c r="AA401" s="175">
        <v>11.666666666666666</v>
      </c>
      <c r="AB401" s="175">
        <v>0.99828392094017093</v>
      </c>
      <c r="AC401" s="175">
        <v>94.62</v>
      </c>
      <c r="AD401" s="175">
        <v>1.4583333333333333</v>
      </c>
      <c r="AE401" s="175">
        <v>1.4375</v>
      </c>
      <c r="AF401" s="175" t="s">
        <v>213</v>
      </c>
      <c r="AG401" s="175">
        <v>0.5</v>
      </c>
      <c r="AH401" s="175" t="s">
        <v>629</v>
      </c>
      <c r="AI401" s="175" t="s">
        <v>629</v>
      </c>
      <c r="AJ401" s="175" t="s">
        <v>725</v>
      </c>
      <c r="AK401" s="175" t="s">
        <v>725</v>
      </c>
      <c r="AL401" s="1159" t="s">
        <v>250</v>
      </c>
      <c r="AM401" s="175" t="s">
        <v>126</v>
      </c>
      <c r="AN401" s="175">
        <v>0.91100000000000003</v>
      </c>
      <c r="AO401" s="175">
        <v>1.7</v>
      </c>
      <c r="AP401" s="175">
        <v>24</v>
      </c>
      <c r="AQ401" s="175">
        <v>216</v>
      </c>
      <c r="AR401" s="175">
        <v>2.7</v>
      </c>
      <c r="AS401" s="192">
        <v>12751.084800000001</v>
      </c>
    </row>
    <row r="402" spans="1:45" ht="16.5" customHeight="1">
      <c r="A402" s="174">
        <v>46217</v>
      </c>
      <c r="B402" s="175" t="s">
        <v>219</v>
      </c>
      <c r="C402" s="175" t="s">
        <v>632</v>
      </c>
      <c r="E402" s="175" t="s">
        <v>419</v>
      </c>
      <c r="F402" s="175" t="s">
        <v>419</v>
      </c>
      <c r="G402" s="175" t="s">
        <v>419</v>
      </c>
      <c r="H402" s="175" t="s">
        <v>419</v>
      </c>
      <c r="I402" s="175" t="s">
        <v>419</v>
      </c>
      <c r="L402" s="175" t="s">
        <v>632</v>
      </c>
      <c r="P402" s="175" t="s">
        <v>632</v>
      </c>
      <c r="T402" s="175" t="s">
        <v>632</v>
      </c>
      <c r="X402" s="175" t="s">
        <v>632</v>
      </c>
      <c r="Z402" s="175" t="s">
        <v>419</v>
      </c>
      <c r="AA402" s="175" t="s">
        <v>632</v>
      </c>
      <c r="AB402" s="175" t="s">
        <v>419</v>
      </c>
      <c r="AC402" s="175" t="s">
        <v>419</v>
      </c>
      <c r="AD402" s="175" t="s">
        <v>419</v>
      </c>
      <c r="AE402" s="175" t="s">
        <v>419</v>
      </c>
      <c r="AF402" s="175" t="s">
        <v>213</v>
      </c>
      <c r="AG402" s="175">
        <v>1</v>
      </c>
      <c r="AH402" s="175" t="s">
        <v>640</v>
      </c>
      <c r="AI402" s="175" t="s">
        <v>640</v>
      </c>
      <c r="AJ402" s="175" t="s">
        <v>640</v>
      </c>
      <c r="AK402" s="175" t="s">
        <v>640</v>
      </c>
      <c r="AL402" s="1159" t="s">
        <v>419</v>
      </c>
      <c r="AM402" s="175" t="s">
        <v>419</v>
      </c>
      <c r="AN402" s="175" t="s">
        <v>419</v>
      </c>
      <c r="AO402" s="175" t="s">
        <v>419</v>
      </c>
      <c r="AP402" s="175">
        <v>24</v>
      </c>
      <c r="AQ402" s="175">
        <v>216</v>
      </c>
      <c r="AR402" s="175" t="s">
        <v>419</v>
      </c>
      <c r="AS402" s="192" t="s">
        <v>419</v>
      </c>
    </row>
    <row r="403" spans="1:45" ht="16.5" customHeight="1">
      <c r="A403" s="174">
        <v>46217</v>
      </c>
      <c r="B403" s="175" t="s">
        <v>220</v>
      </c>
      <c r="C403" s="175" t="s">
        <v>17430</v>
      </c>
      <c r="E403" s="175" t="s">
        <v>1891</v>
      </c>
      <c r="F403" s="175" t="s">
        <v>17433</v>
      </c>
      <c r="G403" s="175">
        <v>600</v>
      </c>
      <c r="H403" s="175" t="s">
        <v>474</v>
      </c>
      <c r="I403" s="175">
        <v>4</v>
      </c>
      <c r="J403" s="175">
        <v>39</v>
      </c>
      <c r="K403" s="175">
        <v>6</v>
      </c>
      <c r="L403" s="175">
        <v>8458</v>
      </c>
      <c r="M403" s="175">
        <v>9151</v>
      </c>
      <c r="N403" s="175">
        <v>20</v>
      </c>
      <c r="O403" s="175">
        <v>2</v>
      </c>
      <c r="P403" s="175">
        <v>8643</v>
      </c>
      <c r="Q403" s="175">
        <v>9484</v>
      </c>
      <c r="R403" s="175">
        <v>5</v>
      </c>
      <c r="S403" s="175">
        <v>0</v>
      </c>
      <c r="T403" s="175">
        <v>8840</v>
      </c>
      <c r="U403" s="175">
        <v>9526</v>
      </c>
      <c r="V403" s="175">
        <v>31</v>
      </c>
      <c r="W403" s="175">
        <v>1</v>
      </c>
      <c r="X403" s="175">
        <v>9019</v>
      </c>
      <c r="Y403" s="175">
        <v>9464</v>
      </c>
      <c r="Z403" s="175">
        <v>1.7625458996328029</v>
      </c>
      <c r="AA403" s="175">
        <v>31.666666666666668</v>
      </c>
      <c r="AB403" s="175">
        <v>0.97545072115384612</v>
      </c>
      <c r="AC403" s="175">
        <v>90.731250000000003</v>
      </c>
      <c r="AD403" s="175">
        <v>3.9583333333333335</v>
      </c>
      <c r="AE403" s="175">
        <v>3.5833333333333335</v>
      </c>
      <c r="AF403" s="175" t="s">
        <v>213</v>
      </c>
      <c r="AG403" s="175">
        <v>1</v>
      </c>
      <c r="AH403" s="175" t="s">
        <v>637</v>
      </c>
      <c r="AI403" s="175" t="s">
        <v>637</v>
      </c>
      <c r="AJ403" s="175" t="s">
        <v>725</v>
      </c>
      <c r="AK403" s="175" t="s">
        <v>725</v>
      </c>
      <c r="AL403" s="1159" t="s">
        <v>250</v>
      </c>
      <c r="AM403" s="175" t="s">
        <v>126</v>
      </c>
      <c r="AN403" s="175">
        <v>0.91100000000000003</v>
      </c>
      <c r="AO403" s="175">
        <v>0.7</v>
      </c>
      <c r="AP403" s="175">
        <v>24</v>
      </c>
      <c r="AQ403" s="175">
        <v>216</v>
      </c>
      <c r="AR403" s="175">
        <v>1.7</v>
      </c>
      <c r="AS403" s="192">
        <v>8028.4608000000007</v>
      </c>
    </row>
    <row r="404" spans="1:45" ht="16.5" customHeight="1">
      <c r="A404" s="174">
        <v>46217</v>
      </c>
      <c r="B404" s="175" t="s">
        <v>221</v>
      </c>
      <c r="C404" s="175" t="s">
        <v>632</v>
      </c>
      <c r="E404" s="175" t="s">
        <v>419</v>
      </c>
      <c r="F404" s="175" t="s">
        <v>419</v>
      </c>
      <c r="G404" s="175" t="s">
        <v>419</v>
      </c>
      <c r="H404" s="175" t="s">
        <v>419</v>
      </c>
      <c r="I404" s="175" t="s">
        <v>419</v>
      </c>
      <c r="L404" s="175" t="s">
        <v>632</v>
      </c>
      <c r="P404" s="175" t="s">
        <v>632</v>
      </c>
      <c r="T404" s="175" t="s">
        <v>632</v>
      </c>
      <c r="X404" s="175" t="s">
        <v>632</v>
      </c>
      <c r="Z404" s="175" t="s">
        <v>419</v>
      </c>
      <c r="AA404" s="175" t="s">
        <v>632</v>
      </c>
      <c r="AB404" s="175" t="s">
        <v>419</v>
      </c>
      <c r="AC404" s="175" t="s">
        <v>419</v>
      </c>
      <c r="AD404" s="175" t="s">
        <v>419</v>
      </c>
      <c r="AE404" s="175" t="s">
        <v>419</v>
      </c>
      <c r="AF404" s="175" t="s">
        <v>213</v>
      </c>
      <c r="AG404" s="175">
        <v>1</v>
      </c>
      <c r="AH404" s="175" t="s">
        <v>640</v>
      </c>
      <c r="AI404" s="175" t="s">
        <v>640</v>
      </c>
      <c r="AJ404" s="175" t="s">
        <v>640</v>
      </c>
      <c r="AK404" s="175" t="s">
        <v>640</v>
      </c>
      <c r="AL404" s="1159" t="s">
        <v>419</v>
      </c>
      <c r="AM404" s="175" t="s">
        <v>419</v>
      </c>
      <c r="AN404" s="175" t="s">
        <v>419</v>
      </c>
      <c r="AO404" s="175" t="s">
        <v>419</v>
      </c>
      <c r="AP404" s="175">
        <v>24</v>
      </c>
      <c r="AQ404" s="175">
        <v>216</v>
      </c>
      <c r="AR404" s="175" t="s">
        <v>419</v>
      </c>
      <c r="AS404" s="192" t="s">
        <v>419</v>
      </c>
    </row>
    <row r="405" spans="1:45" ht="16.5" customHeight="1">
      <c r="A405" s="174">
        <v>46217</v>
      </c>
      <c r="B405" s="175" t="s">
        <v>222</v>
      </c>
      <c r="C405" s="175" t="s">
        <v>17261</v>
      </c>
      <c r="D405" s="175" t="s">
        <v>16748</v>
      </c>
      <c r="E405" s="175" t="s">
        <v>17177</v>
      </c>
      <c r="F405" s="175" t="s">
        <v>17262</v>
      </c>
      <c r="G405" s="175">
        <v>550</v>
      </c>
      <c r="H405" s="175" t="s">
        <v>762</v>
      </c>
      <c r="I405" s="175">
        <v>2</v>
      </c>
      <c r="L405" s="175" t="s">
        <v>127</v>
      </c>
      <c r="M405" s="175" t="s">
        <v>632</v>
      </c>
      <c r="P405" s="175" t="s">
        <v>127</v>
      </c>
      <c r="Q405" s="175" t="s">
        <v>632</v>
      </c>
      <c r="T405" s="175" t="s">
        <v>127</v>
      </c>
      <c r="U405" s="175" t="s">
        <v>632</v>
      </c>
      <c r="X405" s="175" t="s">
        <v>127</v>
      </c>
      <c r="Y405" s="175" t="s">
        <v>632</v>
      </c>
      <c r="Z405" s="175">
        <v>2.1686746987951806</v>
      </c>
      <c r="AA405" s="175" t="s">
        <v>127</v>
      </c>
      <c r="AB405" s="175" t="s">
        <v>419</v>
      </c>
      <c r="AC405" s="175" t="s">
        <v>419</v>
      </c>
      <c r="AD405" s="175" t="s">
        <v>419</v>
      </c>
      <c r="AE405" s="175" t="s">
        <v>419</v>
      </c>
      <c r="AF405" s="175" t="s">
        <v>213</v>
      </c>
      <c r="AG405" s="175">
        <v>2</v>
      </c>
      <c r="AH405" s="175" t="s">
        <v>629</v>
      </c>
      <c r="AI405" s="175" t="s">
        <v>629</v>
      </c>
      <c r="AJ405" s="175" t="s">
        <v>725</v>
      </c>
      <c r="AK405" s="175" t="s">
        <v>725</v>
      </c>
      <c r="AL405" s="1159" t="s">
        <v>250</v>
      </c>
      <c r="AM405" s="175" t="s">
        <v>126</v>
      </c>
      <c r="AN405" s="175">
        <v>0.91100000000000003</v>
      </c>
      <c r="AO405" s="175">
        <v>0.7</v>
      </c>
      <c r="AP405" s="175">
        <v>24</v>
      </c>
      <c r="AQ405" s="175">
        <v>216</v>
      </c>
      <c r="AR405" s="175">
        <v>1.7</v>
      </c>
      <c r="AS405" s="192">
        <v>8028.4608000000007</v>
      </c>
    </row>
    <row r="406" spans="1:45" ht="16.5" customHeight="1">
      <c r="A406" s="174">
        <v>46217</v>
      </c>
      <c r="B406" s="175" t="s">
        <v>223</v>
      </c>
      <c r="C406" s="175" t="s">
        <v>17263</v>
      </c>
      <c r="D406" s="175" t="s">
        <v>16748</v>
      </c>
      <c r="E406" s="175" t="s">
        <v>17156</v>
      </c>
      <c r="F406" s="175" t="s">
        <v>17264</v>
      </c>
      <c r="G406" s="175">
        <v>600</v>
      </c>
      <c r="H406" s="175" t="s">
        <v>456</v>
      </c>
      <c r="I406" s="175">
        <v>3</v>
      </c>
      <c r="J406" s="175">
        <v>11</v>
      </c>
      <c r="K406" s="175">
        <v>0</v>
      </c>
      <c r="L406" s="175">
        <v>7503</v>
      </c>
      <c r="N406" s="175">
        <v>10</v>
      </c>
      <c r="O406" s="175">
        <v>0</v>
      </c>
      <c r="P406" s="175">
        <v>7323</v>
      </c>
      <c r="R406" s="175">
        <v>8</v>
      </c>
      <c r="S406" s="175">
        <v>1</v>
      </c>
      <c r="T406" s="175">
        <v>7361</v>
      </c>
      <c r="V406" s="175">
        <v>9</v>
      </c>
      <c r="W406" s="175">
        <v>0</v>
      </c>
      <c r="X406" s="175">
        <v>7193</v>
      </c>
      <c r="Z406" s="175">
        <v>2.4</v>
      </c>
      <c r="AA406" s="175">
        <v>25.333333333333332</v>
      </c>
      <c r="AB406" s="175">
        <v>0.99799679487179482</v>
      </c>
      <c r="AC406" s="175">
        <v>73.45</v>
      </c>
      <c r="AD406" s="175">
        <v>3.1666666666666665</v>
      </c>
      <c r="AE406" s="175">
        <v>3.0833333333333335</v>
      </c>
      <c r="AF406" s="175" t="s">
        <v>213</v>
      </c>
      <c r="AG406" s="175">
        <v>2</v>
      </c>
      <c r="AH406" s="175" t="s">
        <v>629</v>
      </c>
      <c r="AI406" s="175" t="s">
        <v>629</v>
      </c>
      <c r="AJ406" s="175" t="s">
        <v>725</v>
      </c>
      <c r="AK406" s="175" t="s">
        <v>725</v>
      </c>
      <c r="AL406" s="1159" t="s">
        <v>250</v>
      </c>
      <c r="AM406" s="175" t="s">
        <v>126</v>
      </c>
      <c r="AN406" s="175">
        <v>0.91100000000000003</v>
      </c>
      <c r="AO406" s="175">
        <v>0.8</v>
      </c>
      <c r="AP406" s="175">
        <v>24</v>
      </c>
      <c r="AQ406" s="175">
        <v>216</v>
      </c>
      <c r="AR406" s="175">
        <v>1.8</v>
      </c>
      <c r="AS406" s="192">
        <v>8500.7232000000004</v>
      </c>
    </row>
    <row r="407" spans="1:45" ht="16.5" customHeight="1">
      <c r="A407" s="174">
        <v>46217</v>
      </c>
      <c r="B407" s="175" t="s">
        <v>223</v>
      </c>
      <c r="C407" s="175" t="s">
        <v>17431</v>
      </c>
      <c r="E407" s="175" t="s">
        <v>15035</v>
      </c>
      <c r="F407" s="175" t="s">
        <v>16860</v>
      </c>
      <c r="G407" s="175">
        <v>550</v>
      </c>
      <c r="H407" s="175" t="s">
        <v>622</v>
      </c>
      <c r="I407" s="175">
        <v>5</v>
      </c>
      <c r="J407" s="175">
        <v>6</v>
      </c>
      <c r="K407" s="175">
        <v>0</v>
      </c>
      <c r="M407" s="175">
        <v>7875</v>
      </c>
      <c r="N407" s="175">
        <v>1</v>
      </c>
      <c r="O407" s="175">
        <v>0</v>
      </c>
      <c r="Q407" s="175">
        <v>7776</v>
      </c>
      <c r="R407" s="175">
        <v>0</v>
      </c>
      <c r="S407" s="175">
        <v>0</v>
      </c>
      <c r="T407" s="175">
        <v>7777</v>
      </c>
      <c r="V407" s="175">
        <v>5</v>
      </c>
      <c r="W407" s="175">
        <v>0</v>
      </c>
      <c r="X407" s="175">
        <v>7845</v>
      </c>
      <c r="Z407" s="175">
        <v>1.3345690454124188</v>
      </c>
      <c r="AA407" s="175">
        <v>8</v>
      </c>
      <c r="AB407" s="175">
        <v>1</v>
      </c>
      <c r="AC407" s="175">
        <v>78.182500000000005</v>
      </c>
      <c r="AD407" s="175">
        <v>1</v>
      </c>
      <c r="AE407" s="175">
        <v>1</v>
      </c>
      <c r="AF407" s="175" t="s">
        <v>213</v>
      </c>
      <c r="AG407" s="175">
        <v>2</v>
      </c>
      <c r="AH407" s="175" t="s">
        <v>629</v>
      </c>
      <c r="AI407" s="175" t="s">
        <v>629</v>
      </c>
      <c r="AJ407" s="175" t="s">
        <v>725</v>
      </c>
      <c r="AK407" s="175" t="s">
        <v>725</v>
      </c>
      <c r="AM407" s="175" t="s">
        <v>126</v>
      </c>
      <c r="AN407" s="175">
        <v>0.91100000000000003</v>
      </c>
      <c r="AO407" s="175">
        <v>0.8</v>
      </c>
      <c r="AP407" s="175">
        <v>24</v>
      </c>
      <c r="AQ407" s="175">
        <v>216</v>
      </c>
      <c r="AR407" s="175">
        <v>1.8</v>
      </c>
      <c r="AS407" s="192">
        <v>8500.7232000000004</v>
      </c>
    </row>
    <row r="408" spans="1:45" ht="16.5" customHeight="1">
      <c r="A408" s="174">
        <v>46217</v>
      </c>
      <c r="B408" s="175" t="s">
        <v>224</v>
      </c>
      <c r="C408" s="175" t="s">
        <v>632</v>
      </c>
      <c r="E408" s="175" t="s">
        <v>419</v>
      </c>
      <c r="F408" s="175" t="s">
        <v>419</v>
      </c>
      <c r="G408" s="175" t="s">
        <v>419</v>
      </c>
      <c r="H408" s="175" t="s">
        <v>419</v>
      </c>
      <c r="I408" s="175" t="s">
        <v>419</v>
      </c>
      <c r="L408" s="175" t="s">
        <v>632</v>
      </c>
      <c r="P408" s="175" t="s">
        <v>632</v>
      </c>
      <c r="T408" s="175" t="s">
        <v>632</v>
      </c>
      <c r="X408" s="175" t="s">
        <v>632</v>
      </c>
      <c r="Z408" s="175" t="s">
        <v>419</v>
      </c>
      <c r="AA408" s="175" t="s">
        <v>632</v>
      </c>
      <c r="AB408" s="175" t="s">
        <v>419</v>
      </c>
      <c r="AC408" s="175" t="s">
        <v>419</v>
      </c>
      <c r="AD408" s="175" t="s">
        <v>419</v>
      </c>
      <c r="AE408" s="175" t="s">
        <v>419</v>
      </c>
      <c r="AF408" s="175" t="s">
        <v>213</v>
      </c>
      <c r="AG408" s="175">
        <v>0.5</v>
      </c>
      <c r="AH408" s="175" t="s">
        <v>640</v>
      </c>
      <c r="AI408" s="175" t="s">
        <v>640</v>
      </c>
      <c r="AJ408" s="175" t="s">
        <v>640</v>
      </c>
      <c r="AK408" s="175" t="s">
        <v>640</v>
      </c>
      <c r="AL408" s="1159" t="s">
        <v>419</v>
      </c>
      <c r="AM408" s="175" t="s">
        <v>419</v>
      </c>
      <c r="AN408" s="175" t="s">
        <v>419</v>
      </c>
      <c r="AO408" s="175" t="s">
        <v>419</v>
      </c>
      <c r="AP408" s="175">
        <v>24</v>
      </c>
      <c r="AQ408" s="175">
        <v>216</v>
      </c>
      <c r="AR408" s="175" t="s">
        <v>419</v>
      </c>
      <c r="AS408" s="192" t="s">
        <v>419</v>
      </c>
    </row>
    <row r="409" spans="1:45" ht="16.5" customHeight="1">
      <c r="A409" s="174">
        <v>46217</v>
      </c>
      <c r="B409" s="175" t="s">
        <v>225</v>
      </c>
      <c r="C409" s="175" t="s">
        <v>632</v>
      </c>
      <c r="E409" s="175" t="s">
        <v>419</v>
      </c>
      <c r="F409" s="175" t="s">
        <v>419</v>
      </c>
      <c r="G409" s="175" t="s">
        <v>419</v>
      </c>
      <c r="H409" s="175" t="s">
        <v>419</v>
      </c>
      <c r="I409" s="175" t="s">
        <v>419</v>
      </c>
      <c r="L409" s="175" t="s">
        <v>632</v>
      </c>
      <c r="P409" s="175" t="s">
        <v>632</v>
      </c>
      <c r="T409" s="175" t="s">
        <v>632</v>
      </c>
      <c r="X409" s="175" t="s">
        <v>632</v>
      </c>
      <c r="Z409" s="175" t="s">
        <v>419</v>
      </c>
      <c r="AA409" s="175" t="s">
        <v>632</v>
      </c>
      <c r="AB409" s="175" t="s">
        <v>419</v>
      </c>
      <c r="AC409" s="175" t="s">
        <v>419</v>
      </c>
      <c r="AD409" s="175" t="s">
        <v>419</v>
      </c>
      <c r="AE409" s="175" t="s">
        <v>419</v>
      </c>
      <c r="AF409" s="175" t="s">
        <v>213</v>
      </c>
      <c r="AG409" s="175">
        <v>1</v>
      </c>
      <c r="AH409" s="175" t="s">
        <v>640</v>
      </c>
      <c r="AI409" s="175" t="s">
        <v>640</v>
      </c>
      <c r="AJ409" s="175" t="s">
        <v>640</v>
      </c>
      <c r="AK409" s="175" t="s">
        <v>640</v>
      </c>
      <c r="AL409" s="1159" t="s">
        <v>419</v>
      </c>
      <c r="AM409" s="175" t="s">
        <v>419</v>
      </c>
      <c r="AN409" s="175" t="s">
        <v>419</v>
      </c>
      <c r="AO409" s="175" t="s">
        <v>419</v>
      </c>
      <c r="AP409" s="175">
        <v>24</v>
      </c>
      <c r="AQ409" s="175">
        <v>216</v>
      </c>
      <c r="AR409" s="175" t="s">
        <v>419</v>
      </c>
      <c r="AS409" s="192" t="s">
        <v>419</v>
      </c>
    </row>
    <row r="410" spans="1:45" ht="16.5" customHeight="1">
      <c r="A410" s="174">
        <v>46217</v>
      </c>
      <c r="B410" s="175" t="s">
        <v>226</v>
      </c>
      <c r="C410" s="175" t="s">
        <v>632</v>
      </c>
      <c r="E410" s="175" t="s">
        <v>419</v>
      </c>
      <c r="F410" s="175" t="s">
        <v>419</v>
      </c>
      <c r="G410" s="175" t="s">
        <v>419</v>
      </c>
      <c r="H410" s="175" t="s">
        <v>419</v>
      </c>
      <c r="I410" s="175" t="s">
        <v>419</v>
      </c>
      <c r="L410" s="175" t="s">
        <v>632</v>
      </c>
      <c r="P410" s="175" t="s">
        <v>632</v>
      </c>
      <c r="T410" s="175" t="s">
        <v>632</v>
      </c>
      <c r="X410" s="175" t="s">
        <v>632</v>
      </c>
      <c r="Z410" s="175" t="s">
        <v>419</v>
      </c>
      <c r="AA410" s="175" t="s">
        <v>632</v>
      </c>
      <c r="AB410" s="175" t="s">
        <v>419</v>
      </c>
      <c r="AC410" s="175" t="s">
        <v>419</v>
      </c>
      <c r="AD410" s="175" t="s">
        <v>419</v>
      </c>
      <c r="AE410" s="175" t="s">
        <v>419</v>
      </c>
      <c r="AF410" s="175" t="s">
        <v>213</v>
      </c>
      <c r="AG410" s="175">
        <v>1</v>
      </c>
      <c r="AH410" s="175" t="s">
        <v>640</v>
      </c>
      <c r="AI410" s="175" t="s">
        <v>640</v>
      </c>
      <c r="AJ410" s="175" t="s">
        <v>640</v>
      </c>
      <c r="AK410" s="175" t="s">
        <v>640</v>
      </c>
      <c r="AL410" s="1159" t="s">
        <v>419</v>
      </c>
      <c r="AM410" s="175" t="s">
        <v>419</v>
      </c>
      <c r="AN410" s="175" t="s">
        <v>419</v>
      </c>
      <c r="AO410" s="175" t="s">
        <v>419</v>
      </c>
      <c r="AP410" s="175">
        <v>24</v>
      </c>
      <c r="AQ410" s="175">
        <v>216</v>
      </c>
      <c r="AR410" s="175" t="s">
        <v>419</v>
      </c>
      <c r="AS410" s="192" t="s">
        <v>419</v>
      </c>
    </row>
    <row r="411" spans="1:45" ht="16.5" customHeight="1">
      <c r="A411" s="174">
        <v>46217</v>
      </c>
      <c r="B411" s="175" t="s">
        <v>227</v>
      </c>
      <c r="C411" s="175" t="s">
        <v>632</v>
      </c>
      <c r="E411" s="175" t="s">
        <v>419</v>
      </c>
      <c r="F411" s="175" t="s">
        <v>419</v>
      </c>
      <c r="G411" s="175" t="s">
        <v>419</v>
      </c>
      <c r="H411" s="175" t="s">
        <v>419</v>
      </c>
      <c r="I411" s="175" t="s">
        <v>419</v>
      </c>
      <c r="L411" s="175" t="s">
        <v>632</v>
      </c>
      <c r="P411" s="175" t="s">
        <v>632</v>
      </c>
      <c r="T411" s="175" t="s">
        <v>632</v>
      </c>
      <c r="X411" s="175" t="s">
        <v>632</v>
      </c>
      <c r="Z411" s="175" t="s">
        <v>419</v>
      </c>
      <c r="AA411" s="175" t="s">
        <v>632</v>
      </c>
      <c r="AB411" s="175" t="s">
        <v>419</v>
      </c>
      <c r="AC411" s="175" t="s">
        <v>419</v>
      </c>
      <c r="AD411" s="175" t="s">
        <v>419</v>
      </c>
      <c r="AE411" s="175" t="s">
        <v>419</v>
      </c>
      <c r="AF411" s="175" t="s">
        <v>213</v>
      </c>
      <c r="AG411" s="175">
        <v>1</v>
      </c>
      <c r="AH411" s="175" t="s">
        <v>640</v>
      </c>
      <c r="AI411" s="175" t="s">
        <v>640</v>
      </c>
      <c r="AJ411" s="175" t="s">
        <v>640</v>
      </c>
      <c r="AK411" s="175" t="s">
        <v>640</v>
      </c>
      <c r="AL411" s="1159" t="s">
        <v>419</v>
      </c>
      <c r="AM411" s="175" t="s">
        <v>419</v>
      </c>
      <c r="AN411" s="175" t="s">
        <v>419</v>
      </c>
      <c r="AO411" s="175" t="s">
        <v>419</v>
      </c>
      <c r="AP411" s="175">
        <v>24</v>
      </c>
      <c r="AQ411" s="175">
        <v>216</v>
      </c>
      <c r="AR411" s="175" t="s">
        <v>419</v>
      </c>
      <c r="AS411" s="192" t="s">
        <v>419</v>
      </c>
    </row>
    <row r="412" spans="1:45" ht="16.5" customHeight="1">
      <c r="A412" s="174">
        <v>46217</v>
      </c>
      <c r="B412" s="175" t="s">
        <v>228</v>
      </c>
      <c r="C412" s="175" t="s">
        <v>17293</v>
      </c>
      <c r="E412" s="175" t="s">
        <v>7055</v>
      </c>
      <c r="F412" s="175" t="s">
        <v>17294</v>
      </c>
      <c r="G412" s="175">
        <v>550</v>
      </c>
      <c r="H412" s="175" t="s">
        <v>889</v>
      </c>
      <c r="I412" s="175">
        <v>5.5</v>
      </c>
      <c r="L412" s="175" t="s">
        <v>628</v>
      </c>
      <c r="P412" s="175" t="s">
        <v>628</v>
      </c>
      <c r="T412" s="175" t="s">
        <v>628</v>
      </c>
      <c r="X412" s="175" t="s">
        <v>628</v>
      </c>
      <c r="Z412" s="175">
        <v>4.6905537459283391</v>
      </c>
      <c r="AA412" s="175" t="s">
        <v>628</v>
      </c>
      <c r="AB412" s="175" t="s">
        <v>419</v>
      </c>
      <c r="AC412" s="175" t="s">
        <v>419</v>
      </c>
      <c r="AD412" s="175" t="s">
        <v>419</v>
      </c>
      <c r="AE412" s="175" t="s">
        <v>419</v>
      </c>
      <c r="AF412" s="175" t="s">
        <v>213</v>
      </c>
      <c r="AG412" s="175">
        <v>0.5</v>
      </c>
      <c r="AH412" s="175" t="s">
        <v>629</v>
      </c>
      <c r="AI412" s="175" t="s">
        <v>629</v>
      </c>
      <c r="AJ412" s="175" t="s">
        <v>725</v>
      </c>
      <c r="AK412" s="175" t="s">
        <v>725</v>
      </c>
      <c r="AL412" s="1159" t="s">
        <v>250</v>
      </c>
      <c r="AM412" s="175" t="s">
        <v>460</v>
      </c>
      <c r="AN412" s="175">
        <v>1.1890000000000001</v>
      </c>
      <c r="AO412" s="175">
        <v>1.9</v>
      </c>
      <c r="AP412" s="175">
        <v>24</v>
      </c>
      <c r="AQ412" s="175">
        <v>216</v>
      </c>
      <c r="AR412" s="175">
        <v>2.9</v>
      </c>
      <c r="AS412" s="192">
        <v>17874.950400000002</v>
      </c>
    </row>
    <row r="413" spans="1:45" ht="16.5" customHeight="1">
      <c r="A413" s="174">
        <v>46217</v>
      </c>
      <c r="B413" s="175" t="s">
        <v>229</v>
      </c>
      <c r="C413" s="175" t="s">
        <v>632</v>
      </c>
      <c r="E413" s="175" t="s">
        <v>419</v>
      </c>
      <c r="F413" s="175" t="s">
        <v>419</v>
      </c>
      <c r="G413" s="175" t="s">
        <v>419</v>
      </c>
      <c r="H413" s="175" t="s">
        <v>419</v>
      </c>
      <c r="I413" s="175" t="s">
        <v>419</v>
      </c>
      <c r="L413" s="175" t="s">
        <v>632</v>
      </c>
      <c r="P413" s="175" t="s">
        <v>632</v>
      </c>
      <c r="T413" s="175" t="s">
        <v>632</v>
      </c>
      <c r="X413" s="175" t="s">
        <v>632</v>
      </c>
      <c r="Z413" s="175" t="s">
        <v>419</v>
      </c>
      <c r="AA413" s="175" t="s">
        <v>632</v>
      </c>
      <c r="AB413" s="175" t="s">
        <v>419</v>
      </c>
      <c r="AC413" s="175" t="s">
        <v>419</v>
      </c>
      <c r="AD413" s="175" t="s">
        <v>419</v>
      </c>
      <c r="AE413" s="175" t="s">
        <v>419</v>
      </c>
      <c r="AF413" s="175" t="s">
        <v>213</v>
      </c>
      <c r="AG413" s="175">
        <v>1</v>
      </c>
      <c r="AH413" s="175" t="s">
        <v>640</v>
      </c>
      <c r="AI413" s="175" t="s">
        <v>640</v>
      </c>
      <c r="AJ413" s="175" t="s">
        <v>640</v>
      </c>
      <c r="AK413" s="175" t="s">
        <v>640</v>
      </c>
      <c r="AL413" s="1159" t="s">
        <v>419</v>
      </c>
      <c r="AM413" s="175" t="s">
        <v>419</v>
      </c>
      <c r="AN413" s="175" t="s">
        <v>419</v>
      </c>
      <c r="AO413" s="175" t="s">
        <v>419</v>
      </c>
      <c r="AP413" s="175">
        <v>24</v>
      </c>
      <c r="AQ413" s="175">
        <v>216</v>
      </c>
      <c r="AR413" s="175" t="s">
        <v>419</v>
      </c>
      <c r="AS413" s="192" t="s">
        <v>419</v>
      </c>
    </row>
    <row r="414" spans="1:45" ht="16.5" customHeight="1">
      <c r="A414" s="174">
        <v>46217</v>
      </c>
      <c r="B414" s="175" t="s">
        <v>230</v>
      </c>
      <c r="C414" s="175" t="s">
        <v>632</v>
      </c>
      <c r="E414" s="175" t="s">
        <v>419</v>
      </c>
      <c r="F414" s="175" t="s">
        <v>419</v>
      </c>
      <c r="G414" s="175" t="s">
        <v>419</v>
      </c>
      <c r="H414" s="175" t="s">
        <v>419</v>
      </c>
      <c r="I414" s="175" t="s">
        <v>419</v>
      </c>
      <c r="L414" s="175" t="s">
        <v>632</v>
      </c>
      <c r="P414" s="175" t="s">
        <v>632</v>
      </c>
      <c r="T414" s="175" t="s">
        <v>632</v>
      </c>
      <c r="X414" s="175" t="s">
        <v>632</v>
      </c>
      <c r="Z414" s="175" t="s">
        <v>419</v>
      </c>
      <c r="AA414" s="175" t="s">
        <v>632</v>
      </c>
      <c r="AB414" s="175" t="s">
        <v>419</v>
      </c>
      <c r="AC414" s="175" t="s">
        <v>419</v>
      </c>
      <c r="AD414" s="175" t="s">
        <v>419</v>
      </c>
      <c r="AE414" s="175" t="s">
        <v>419</v>
      </c>
      <c r="AF414" s="175" t="s">
        <v>213</v>
      </c>
      <c r="AG414" s="175">
        <v>1</v>
      </c>
      <c r="AH414" s="175" t="s">
        <v>640</v>
      </c>
      <c r="AI414" s="175" t="s">
        <v>640</v>
      </c>
      <c r="AJ414" s="175" t="s">
        <v>640</v>
      </c>
      <c r="AK414" s="175" t="s">
        <v>640</v>
      </c>
      <c r="AL414" s="1159" t="s">
        <v>419</v>
      </c>
      <c r="AM414" s="175" t="s">
        <v>419</v>
      </c>
      <c r="AN414" s="175" t="s">
        <v>419</v>
      </c>
      <c r="AO414" s="175" t="s">
        <v>419</v>
      </c>
      <c r="AP414" s="175">
        <v>24</v>
      </c>
      <c r="AQ414" s="175">
        <v>216</v>
      </c>
      <c r="AR414" s="175" t="s">
        <v>419</v>
      </c>
      <c r="AS414" s="192" t="s">
        <v>419</v>
      </c>
    </row>
    <row r="415" spans="1:45" ht="16.5" customHeight="1">
      <c r="A415" s="174">
        <v>46217</v>
      </c>
      <c r="B415" s="175" t="s">
        <v>231</v>
      </c>
      <c r="C415" s="175" t="s">
        <v>632</v>
      </c>
      <c r="E415" s="175" t="s">
        <v>419</v>
      </c>
      <c r="F415" s="175" t="s">
        <v>419</v>
      </c>
      <c r="G415" s="175" t="s">
        <v>419</v>
      </c>
      <c r="H415" s="175" t="s">
        <v>419</v>
      </c>
      <c r="I415" s="175" t="s">
        <v>419</v>
      </c>
      <c r="L415" s="175" t="s">
        <v>632</v>
      </c>
      <c r="P415" s="175" t="s">
        <v>632</v>
      </c>
      <c r="T415" s="175" t="s">
        <v>632</v>
      </c>
      <c r="X415" s="175" t="s">
        <v>632</v>
      </c>
      <c r="Z415" s="175" t="s">
        <v>419</v>
      </c>
      <c r="AA415" s="175" t="s">
        <v>632</v>
      </c>
      <c r="AB415" s="175" t="s">
        <v>419</v>
      </c>
      <c r="AC415" s="175" t="s">
        <v>419</v>
      </c>
      <c r="AD415" s="175" t="s">
        <v>419</v>
      </c>
      <c r="AE415" s="175" t="s">
        <v>419</v>
      </c>
      <c r="AF415" s="175" t="s">
        <v>232</v>
      </c>
      <c r="AG415" s="175">
        <v>1</v>
      </c>
      <c r="AH415" s="175" t="s">
        <v>640</v>
      </c>
      <c r="AI415" s="175" t="s">
        <v>640</v>
      </c>
      <c r="AJ415" s="175" t="s">
        <v>640</v>
      </c>
      <c r="AK415" s="175" t="s">
        <v>640</v>
      </c>
      <c r="AL415" s="1159" t="s">
        <v>419</v>
      </c>
      <c r="AM415" s="175" t="s">
        <v>419</v>
      </c>
      <c r="AN415" s="175" t="s">
        <v>419</v>
      </c>
      <c r="AO415" s="175" t="s">
        <v>419</v>
      </c>
      <c r="AP415" s="175">
        <v>24</v>
      </c>
      <c r="AQ415" s="175">
        <v>216</v>
      </c>
      <c r="AR415" s="175" t="s">
        <v>419</v>
      </c>
      <c r="AS415" s="192" t="s">
        <v>419</v>
      </c>
    </row>
    <row r="416" spans="1:45" ht="16.5" customHeight="1">
      <c r="A416" s="174">
        <v>46217</v>
      </c>
      <c r="B416" s="175" t="s">
        <v>233</v>
      </c>
      <c r="C416" s="175" t="s">
        <v>632</v>
      </c>
      <c r="E416" s="175" t="s">
        <v>419</v>
      </c>
      <c r="F416" s="175" t="s">
        <v>419</v>
      </c>
      <c r="G416" s="175" t="s">
        <v>419</v>
      </c>
      <c r="H416" s="175" t="s">
        <v>419</v>
      </c>
      <c r="I416" s="175" t="s">
        <v>419</v>
      </c>
      <c r="L416" s="175" t="s">
        <v>632</v>
      </c>
      <c r="P416" s="175" t="s">
        <v>632</v>
      </c>
      <c r="T416" s="175" t="s">
        <v>632</v>
      </c>
      <c r="X416" s="175" t="s">
        <v>632</v>
      </c>
      <c r="Z416" s="175" t="s">
        <v>419</v>
      </c>
      <c r="AA416" s="175" t="s">
        <v>632</v>
      </c>
      <c r="AB416" s="175" t="s">
        <v>419</v>
      </c>
      <c r="AC416" s="175" t="s">
        <v>419</v>
      </c>
      <c r="AD416" s="175" t="s">
        <v>419</v>
      </c>
      <c r="AE416" s="175" t="s">
        <v>419</v>
      </c>
      <c r="AF416" s="175" t="s">
        <v>232</v>
      </c>
      <c r="AG416" s="175">
        <v>1</v>
      </c>
      <c r="AH416" s="175" t="s">
        <v>640</v>
      </c>
      <c r="AI416" s="175" t="s">
        <v>640</v>
      </c>
      <c r="AJ416" s="175" t="s">
        <v>640</v>
      </c>
      <c r="AK416" s="175" t="s">
        <v>640</v>
      </c>
      <c r="AL416" s="1159" t="s">
        <v>419</v>
      </c>
      <c r="AM416" s="175" t="s">
        <v>419</v>
      </c>
      <c r="AN416" s="175" t="s">
        <v>419</v>
      </c>
      <c r="AO416" s="175" t="s">
        <v>419</v>
      </c>
      <c r="AP416" s="175">
        <v>24</v>
      </c>
      <c r="AQ416" s="175">
        <v>216</v>
      </c>
      <c r="AR416" s="175" t="s">
        <v>419</v>
      </c>
      <c r="AS416" s="192" t="s">
        <v>419</v>
      </c>
    </row>
    <row r="417" spans="1:45" ht="16.5" customHeight="1">
      <c r="A417" s="174">
        <v>46217</v>
      </c>
      <c r="B417" s="175" t="s">
        <v>234</v>
      </c>
      <c r="C417" s="175" t="s">
        <v>632</v>
      </c>
      <c r="E417" s="175" t="s">
        <v>419</v>
      </c>
      <c r="F417" s="175" t="s">
        <v>419</v>
      </c>
      <c r="G417" s="175" t="s">
        <v>419</v>
      </c>
      <c r="H417" s="175" t="s">
        <v>419</v>
      </c>
      <c r="I417" s="175" t="s">
        <v>419</v>
      </c>
      <c r="L417" s="175" t="s">
        <v>632</v>
      </c>
      <c r="P417" s="175" t="s">
        <v>632</v>
      </c>
      <c r="T417" s="175" t="s">
        <v>632</v>
      </c>
      <c r="X417" s="175" t="s">
        <v>632</v>
      </c>
      <c r="Z417" s="175" t="s">
        <v>419</v>
      </c>
      <c r="AA417" s="175" t="s">
        <v>632</v>
      </c>
      <c r="AB417" s="175" t="s">
        <v>419</v>
      </c>
      <c r="AC417" s="175" t="s">
        <v>419</v>
      </c>
      <c r="AD417" s="175" t="s">
        <v>419</v>
      </c>
      <c r="AE417" s="175" t="s">
        <v>419</v>
      </c>
      <c r="AF417" s="175" t="s">
        <v>232</v>
      </c>
      <c r="AG417" s="175">
        <v>1</v>
      </c>
      <c r="AH417" s="175" t="s">
        <v>640</v>
      </c>
      <c r="AI417" s="175" t="s">
        <v>640</v>
      </c>
      <c r="AJ417" s="175" t="s">
        <v>640</v>
      </c>
      <c r="AK417" s="175" t="s">
        <v>640</v>
      </c>
      <c r="AL417" s="1159" t="s">
        <v>419</v>
      </c>
      <c r="AM417" s="175" t="s">
        <v>419</v>
      </c>
      <c r="AN417" s="175" t="s">
        <v>419</v>
      </c>
      <c r="AO417" s="175" t="s">
        <v>419</v>
      </c>
      <c r="AP417" s="175">
        <v>24</v>
      </c>
      <c r="AQ417" s="175">
        <v>216</v>
      </c>
      <c r="AR417" s="175" t="s">
        <v>419</v>
      </c>
      <c r="AS417" s="192" t="s">
        <v>419</v>
      </c>
    </row>
    <row r="418" spans="1:45" ht="16.5" customHeight="1">
      <c r="A418" s="174">
        <v>46217</v>
      </c>
      <c r="B418" s="175" t="s">
        <v>235</v>
      </c>
      <c r="C418" s="175" t="s">
        <v>17289</v>
      </c>
      <c r="D418" s="175" t="s">
        <v>633</v>
      </c>
      <c r="E418" s="175" t="s">
        <v>16719</v>
      </c>
      <c r="F418" s="175" t="s">
        <v>17290</v>
      </c>
      <c r="G418" s="175">
        <v>700</v>
      </c>
      <c r="H418" s="175" t="s">
        <v>776</v>
      </c>
      <c r="I418" s="175">
        <v>5.5</v>
      </c>
      <c r="J418" s="175">
        <v>8</v>
      </c>
      <c r="K418" s="175">
        <v>0</v>
      </c>
      <c r="L418" s="175">
        <v>9440</v>
      </c>
      <c r="M418" s="175" t="s">
        <v>17315</v>
      </c>
      <c r="N418" s="175">
        <v>14</v>
      </c>
      <c r="O418" s="175">
        <v>0</v>
      </c>
      <c r="P418" s="175">
        <v>9450</v>
      </c>
      <c r="Q418" s="175" t="s">
        <v>17315</v>
      </c>
      <c r="R418" s="175">
        <v>7</v>
      </c>
      <c r="S418" s="175">
        <v>0</v>
      </c>
      <c r="T418" s="175">
        <v>9350</v>
      </c>
      <c r="U418" s="175" t="s">
        <v>17315</v>
      </c>
      <c r="V418" s="175">
        <v>18</v>
      </c>
      <c r="W418" s="175">
        <v>1</v>
      </c>
      <c r="X418" s="175">
        <v>9170</v>
      </c>
      <c r="Y418" s="175" t="s">
        <v>17315</v>
      </c>
      <c r="Z418" s="175">
        <v>5.8775510204081636</v>
      </c>
      <c r="AA418" s="175">
        <v>15.666666666666666</v>
      </c>
      <c r="AB418" s="175">
        <v>0.9991820245726496</v>
      </c>
      <c r="AC418" s="175">
        <v>93.525000000000006</v>
      </c>
      <c r="AD418" s="175">
        <v>1.9583333333333333</v>
      </c>
      <c r="AE418" s="175">
        <v>1.9166666666666667</v>
      </c>
      <c r="AF418" s="175" t="s">
        <v>236</v>
      </c>
      <c r="AG418" s="175">
        <v>1</v>
      </c>
      <c r="AH418" s="175" t="s">
        <v>15337</v>
      </c>
      <c r="AI418" s="175" t="s">
        <v>15337</v>
      </c>
      <c r="AJ418" s="175" t="s">
        <v>835</v>
      </c>
      <c r="AK418" s="175" t="s">
        <v>835</v>
      </c>
      <c r="AL418" s="1159" t="s">
        <v>251</v>
      </c>
      <c r="AM418" s="175" t="s">
        <v>460</v>
      </c>
      <c r="AN418" s="175">
        <v>1.1890000000000001</v>
      </c>
      <c r="AO418" s="175">
        <v>3</v>
      </c>
      <c r="AP418" s="175">
        <v>24</v>
      </c>
      <c r="AQ418" s="175">
        <v>216</v>
      </c>
      <c r="AR418" s="175">
        <v>4</v>
      </c>
      <c r="AS418" s="192">
        <v>24655.103999999999</v>
      </c>
    </row>
    <row r="419" spans="1:45" ht="16.5" customHeight="1">
      <c r="A419" s="174">
        <v>46217</v>
      </c>
      <c r="B419" s="175" t="s">
        <v>237</v>
      </c>
      <c r="C419" s="175" t="s">
        <v>17251</v>
      </c>
      <c r="D419" s="175" t="s">
        <v>633</v>
      </c>
      <c r="E419" s="175" t="s">
        <v>16719</v>
      </c>
      <c r="F419" s="175" t="s">
        <v>17253</v>
      </c>
      <c r="G419" s="175">
        <v>700</v>
      </c>
      <c r="H419" s="175" t="s">
        <v>646</v>
      </c>
      <c r="I419" s="175">
        <v>5.5</v>
      </c>
      <c r="J419" s="175">
        <v>84</v>
      </c>
      <c r="K419" s="175">
        <v>7</v>
      </c>
      <c r="L419" s="175">
        <v>6300</v>
      </c>
      <c r="M419" s="175">
        <v>7220</v>
      </c>
      <c r="P419" s="175" t="s">
        <v>127</v>
      </c>
      <c r="T419" s="175" t="s">
        <v>127</v>
      </c>
      <c r="V419" s="175">
        <v>54</v>
      </c>
      <c r="W419" s="175">
        <v>0</v>
      </c>
      <c r="X419" s="175" t="s">
        <v>127</v>
      </c>
      <c r="Z419" s="175">
        <v>5.8775510204081636</v>
      </c>
      <c r="AA419" s="175">
        <v>46</v>
      </c>
      <c r="AB419" s="175">
        <v>0.99427417200854706</v>
      </c>
      <c r="AC419" s="175">
        <v>67.599999999999994</v>
      </c>
      <c r="AD419" s="175">
        <v>5.75</v>
      </c>
      <c r="AE419" s="175">
        <v>5.458333333333333</v>
      </c>
      <c r="AF419" s="175" t="s">
        <v>236</v>
      </c>
      <c r="AG419" s="175">
        <v>1</v>
      </c>
      <c r="AH419" s="175" t="s">
        <v>15337</v>
      </c>
      <c r="AI419" s="175" t="s">
        <v>15337</v>
      </c>
      <c r="AJ419" s="175" t="s">
        <v>815</v>
      </c>
      <c r="AK419" s="175" t="s">
        <v>815</v>
      </c>
      <c r="AL419" s="1159" t="s">
        <v>250</v>
      </c>
      <c r="AM419" s="175" t="s">
        <v>460</v>
      </c>
      <c r="AN419" s="175">
        <v>1.1890000000000001</v>
      </c>
      <c r="AO419" s="175">
        <v>2.9</v>
      </c>
      <c r="AP419" s="175">
        <v>24</v>
      </c>
      <c r="AQ419" s="175">
        <v>216</v>
      </c>
      <c r="AR419" s="175">
        <v>3.9</v>
      </c>
      <c r="AS419" s="192">
        <v>24038.7264</v>
      </c>
    </row>
    <row r="420" spans="1:45" ht="16.5" customHeight="1">
      <c r="A420" s="174">
        <v>46217</v>
      </c>
      <c r="B420" s="175" t="s">
        <v>238</v>
      </c>
      <c r="C420" s="175" t="s">
        <v>17248</v>
      </c>
      <c r="D420" s="175" t="s">
        <v>633</v>
      </c>
      <c r="E420" s="175" t="s">
        <v>16719</v>
      </c>
      <c r="F420" s="175" t="s">
        <v>17249</v>
      </c>
      <c r="G420" s="175">
        <v>600</v>
      </c>
      <c r="H420" s="175" t="s">
        <v>877</v>
      </c>
      <c r="I420" s="175">
        <v>5.5</v>
      </c>
      <c r="J420" s="175">
        <v>36</v>
      </c>
      <c r="K420" s="175">
        <v>0</v>
      </c>
      <c r="L420" s="175">
        <v>9540</v>
      </c>
      <c r="M420" s="175">
        <v>9720</v>
      </c>
      <c r="N420" s="175">
        <v>11</v>
      </c>
      <c r="O420" s="175">
        <v>0</v>
      </c>
      <c r="P420" s="175">
        <v>9540</v>
      </c>
      <c r="Q420" s="175">
        <v>9720</v>
      </c>
      <c r="R420" s="175">
        <v>8</v>
      </c>
      <c r="S420" s="175">
        <v>1</v>
      </c>
      <c r="T420" s="175">
        <v>9540</v>
      </c>
      <c r="U420" s="175">
        <v>9720</v>
      </c>
      <c r="V420" s="175">
        <v>31</v>
      </c>
      <c r="W420" s="175">
        <v>0</v>
      </c>
      <c r="X420" s="175">
        <v>9540</v>
      </c>
      <c r="Y420" s="175">
        <v>9720</v>
      </c>
      <c r="Z420" s="175">
        <v>5.034965034965035</v>
      </c>
      <c r="AA420" s="175">
        <v>28.666666666666668</v>
      </c>
      <c r="AB420" s="175">
        <v>0.99904513888888891</v>
      </c>
      <c r="AC420" s="175">
        <v>96.3</v>
      </c>
      <c r="AD420" s="175">
        <v>3.5833333333333335</v>
      </c>
      <c r="AE420" s="175">
        <v>3.5416666666666665</v>
      </c>
      <c r="AF420" s="175" t="s">
        <v>236</v>
      </c>
      <c r="AG420" s="175">
        <v>1</v>
      </c>
      <c r="AH420" s="175" t="s">
        <v>638</v>
      </c>
      <c r="AI420" s="175" t="s">
        <v>638</v>
      </c>
      <c r="AJ420" s="175" t="s">
        <v>835</v>
      </c>
      <c r="AK420" s="175" t="s">
        <v>835</v>
      </c>
      <c r="AL420" s="1159" t="s">
        <v>251</v>
      </c>
      <c r="AM420" s="175" t="s">
        <v>460</v>
      </c>
      <c r="AN420" s="175">
        <v>1.1890000000000001</v>
      </c>
      <c r="AO420" s="175">
        <v>2.8</v>
      </c>
      <c r="AP420" s="175">
        <v>24</v>
      </c>
      <c r="AQ420" s="175">
        <v>216</v>
      </c>
      <c r="AR420" s="175">
        <v>3.8</v>
      </c>
      <c r="AS420" s="192">
        <v>23422.3488</v>
      </c>
    </row>
    <row r="421" spans="1:45" ht="16.5" customHeight="1">
      <c r="A421" s="174">
        <v>46217</v>
      </c>
      <c r="B421" s="175" t="s">
        <v>239</v>
      </c>
      <c r="C421" s="175" t="s">
        <v>17266</v>
      </c>
      <c r="E421" s="175" t="s">
        <v>754</v>
      </c>
      <c r="F421" s="175" t="s">
        <v>17267</v>
      </c>
      <c r="G421" s="175">
        <v>600</v>
      </c>
      <c r="H421" s="175" t="s">
        <v>842</v>
      </c>
      <c r="I421" s="175">
        <v>4</v>
      </c>
      <c r="J421" s="175">
        <v>12</v>
      </c>
      <c r="K421" s="175">
        <v>7</v>
      </c>
      <c r="L421" s="175">
        <v>9690</v>
      </c>
      <c r="N421" s="175">
        <v>8</v>
      </c>
      <c r="O421" s="175">
        <v>3</v>
      </c>
      <c r="P421" s="175">
        <v>9540</v>
      </c>
      <c r="R421" s="175">
        <v>5</v>
      </c>
      <c r="S421" s="175">
        <v>2</v>
      </c>
      <c r="T421" s="175">
        <v>9630</v>
      </c>
      <c r="V421" s="175">
        <v>14</v>
      </c>
      <c r="W421" s="175">
        <v>7</v>
      </c>
      <c r="X421" s="175">
        <v>9630</v>
      </c>
      <c r="Z421" s="175">
        <v>3.6</v>
      </c>
      <c r="AA421" s="175">
        <v>26</v>
      </c>
      <c r="AB421" s="175">
        <v>0.97462606837606836</v>
      </c>
      <c r="AC421" s="175">
        <v>96.224999999999994</v>
      </c>
      <c r="AD421" s="175">
        <v>3.25</v>
      </c>
      <c r="AE421" s="175">
        <v>1.6666666666666667</v>
      </c>
      <c r="AF421" s="175" t="s">
        <v>236</v>
      </c>
      <c r="AG421" s="175">
        <v>2</v>
      </c>
      <c r="AH421" s="175" t="s">
        <v>638</v>
      </c>
      <c r="AI421" s="175" t="s">
        <v>638</v>
      </c>
      <c r="AJ421" s="175" t="s">
        <v>639</v>
      </c>
      <c r="AK421" s="175" t="s">
        <v>639</v>
      </c>
      <c r="AL421" s="1159" t="s">
        <v>251</v>
      </c>
      <c r="AM421" s="175" t="s">
        <v>126</v>
      </c>
      <c r="AN421" s="175">
        <v>0.91100000000000003</v>
      </c>
      <c r="AO421" s="175">
        <v>1.5</v>
      </c>
      <c r="AP421" s="175">
        <v>24</v>
      </c>
      <c r="AQ421" s="175">
        <v>216</v>
      </c>
      <c r="AR421" s="175">
        <v>2.5</v>
      </c>
      <c r="AS421" s="192">
        <v>11806.560000000001</v>
      </c>
    </row>
    <row r="422" spans="1:45" ht="16.5" customHeight="1">
      <c r="A422" s="174">
        <v>46217</v>
      </c>
      <c r="B422" s="175" t="s">
        <v>239</v>
      </c>
      <c r="C422" s="175" t="s">
        <v>17241</v>
      </c>
      <c r="E422" s="175" t="s">
        <v>16723</v>
      </c>
      <c r="F422" s="175" t="s">
        <v>17243</v>
      </c>
      <c r="G422" s="175">
        <v>550</v>
      </c>
      <c r="H422" s="175" t="s">
        <v>868</v>
      </c>
      <c r="I422" s="175">
        <v>5.5</v>
      </c>
      <c r="J422" s="175">
        <v>20</v>
      </c>
      <c r="K422" s="175">
        <v>7</v>
      </c>
      <c r="L422" s="175" t="s">
        <v>127</v>
      </c>
      <c r="M422" s="175">
        <v>9540</v>
      </c>
      <c r="N422" s="175">
        <v>6</v>
      </c>
      <c r="O422" s="175">
        <v>1</v>
      </c>
      <c r="P422" s="175" t="s">
        <v>127</v>
      </c>
      <c r="Q422" s="175">
        <v>9630</v>
      </c>
      <c r="R422" s="175">
        <v>4</v>
      </c>
      <c r="S422" s="175">
        <v>2</v>
      </c>
      <c r="T422" s="175" t="s">
        <v>127</v>
      </c>
      <c r="U422" s="175">
        <v>9540</v>
      </c>
      <c r="V422" s="175">
        <v>16</v>
      </c>
      <c r="W422" s="175">
        <v>5</v>
      </c>
      <c r="X422" s="175" t="s">
        <v>127</v>
      </c>
      <c r="Y422" s="175">
        <v>9350</v>
      </c>
      <c r="Z422" s="175">
        <v>6.6055045871559646</v>
      </c>
      <c r="AA422" s="175" t="s">
        <v>127</v>
      </c>
      <c r="AB422" s="175">
        <v>0.98908253205128205</v>
      </c>
      <c r="AC422" s="175" t="s">
        <v>419</v>
      </c>
      <c r="AD422" s="175" t="s">
        <v>419</v>
      </c>
      <c r="AE422" s="175" t="s">
        <v>419</v>
      </c>
      <c r="AF422" s="175" t="s">
        <v>236</v>
      </c>
      <c r="AG422" s="175">
        <v>2</v>
      </c>
      <c r="AH422" s="175" t="s">
        <v>638</v>
      </c>
      <c r="AI422" s="175" t="s">
        <v>638</v>
      </c>
      <c r="AJ422" s="175" t="s">
        <v>639</v>
      </c>
      <c r="AK422" s="175" t="s">
        <v>639</v>
      </c>
      <c r="AM422" s="175" t="s">
        <v>643</v>
      </c>
      <c r="AN422" s="175">
        <v>1.859</v>
      </c>
      <c r="AO422" s="175">
        <v>3.3</v>
      </c>
      <c r="AP422" s="175">
        <v>24</v>
      </c>
      <c r="AQ422" s="175">
        <v>216</v>
      </c>
      <c r="AR422" s="175">
        <v>4.3</v>
      </c>
      <c r="AS422" s="192">
        <v>41439.340799999998</v>
      </c>
    </row>
    <row r="423" spans="1:45" ht="16.5" customHeight="1">
      <c r="A423" s="174">
        <v>46217</v>
      </c>
      <c r="B423" s="175" t="s">
        <v>388</v>
      </c>
      <c r="C423" s="175" t="s">
        <v>17296</v>
      </c>
      <c r="D423" s="175" t="s">
        <v>633</v>
      </c>
      <c r="E423" s="175" t="s">
        <v>16719</v>
      </c>
      <c r="F423" s="175" t="s">
        <v>17290</v>
      </c>
      <c r="G423" s="175">
        <v>700</v>
      </c>
      <c r="H423" s="175" t="s">
        <v>15541</v>
      </c>
      <c r="I423" s="175">
        <v>5.5</v>
      </c>
      <c r="J423" s="175">
        <v>15</v>
      </c>
      <c r="K423" s="175">
        <v>0</v>
      </c>
      <c r="L423" s="175">
        <v>10000</v>
      </c>
      <c r="M423" s="175" t="s">
        <v>17315</v>
      </c>
      <c r="N423" s="175">
        <v>4</v>
      </c>
      <c r="O423" s="175">
        <v>0</v>
      </c>
      <c r="P423" s="175">
        <v>10000</v>
      </c>
      <c r="Q423" s="175" t="s">
        <v>17315</v>
      </c>
      <c r="R423" s="175">
        <v>5</v>
      </c>
      <c r="S423" s="175">
        <v>1</v>
      </c>
      <c r="T423" s="175">
        <v>9810</v>
      </c>
      <c r="U423" s="175" t="s">
        <v>17315</v>
      </c>
      <c r="V423" s="175">
        <v>11</v>
      </c>
      <c r="W423" s="175">
        <v>4</v>
      </c>
      <c r="X423" s="175">
        <v>9720</v>
      </c>
      <c r="Y423" s="175" t="s">
        <v>17315</v>
      </c>
      <c r="Z423" s="175">
        <v>5.8299595141700413</v>
      </c>
      <c r="AA423" s="175">
        <v>23.333333333333332</v>
      </c>
      <c r="AB423" s="175">
        <v>0.99587673611111116</v>
      </c>
      <c r="AC423" s="175">
        <v>98.825000000000003</v>
      </c>
      <c r="AD423" s="175">
        <v>2.9166666666666665</v>
      </c>
      <c r="AE423" s="175">
        <v>2.5</v>
      </c>
      <c r="AF423" s="175" t="s">
        <v>236</v>
      </c>
      <c r="AG423" s="175">
        <v>2</v>
      </c>
      <c r="AH423" s="175" t="s">
        <v>15848</v>
      </c>
      <c r="AI423" s="175" t="s">
        <v>15848</v>
      </c>
      <c r="AJ423" s="175" t="s">
        <v>835</v>
      </c>
      <c r="AK423" s="175" t="s">
        <v>835</v>
      </c>
      <c r="AL423" s="1159" t="s">
        <v>251</v>
      </c>
      <c r="AM423" s="175" t="s">
        <v>460</v>
      </c>
      <c r="AN423" s="175">
        <v>1.1890000000000001</v>
      </c>
      <c r="AO423" s="175">
        <v>2.8</v>
      </c>
      <c r="AP423" s="175">
        <v>24</v>
      </c>
      <c r="AQ423" s="175">
        <v>216</v>
      </c>
      <c r="AR423" s="175">
        <v>3.8</v>
      </c>
      <c r="AS423" s="192">
        <v>23422.3488</v>
      </c>
    </row>
    <row r="424" spans="1:45" ht="16.5" customHeight="1">
      <c r="A424" s="174">
        <v>46217</v>
      </c>
      <c r="B424" s="175" t="s">
        <v>417</v>
      </c>
      <c r="C424" s="175" t="s">
        <v>17291</v>
      </c>
      <c r="D424" s="175" t="s">
        <v>633</v>
      </c>
      <c r="E424" s="175" t="s">
        <v>16719</v>
      </c>
      <c r="F424" s="175" t="s">
        <v>17290</v>
      </c>
      <c r="G424" s="175">
        <v>700</v>
      </c>
      <c r="H424" s="175" t="s">
        <v>724</v>
      </c>
      <c r="I424" s="175">
        <v>5.5</v>
      </c>
      <c r="J424" s="175">
        <v>25</v>
      </c>
      <c r="K424" s="175">
        <v>2</v>
      </c>
      <c r="L424" s="175">
        <v>10000</v>
      </c>
      <c r="M424" s="175">
        <v>9630</v>
      </c>
      <c r="N424" s="175">
        <v>15</v>
      </c>
      <c r="O424" s="175">
        <v>0</v>
      </c>
      <c r="P424" s="175">
        <v>10000</v>
      </c>
      <c r="Q424" s="175">
        <v>9630</v>
      </c>
      <c r="R424" s="175">
        <v>15</v>
      </c>
      <c r="S424" s="175">
        <v>3</v>
      </c>
      <c r="T424" s="175">
        <v>10000</v>
      </c>
      <c r="U424" s="175">
        <v>9650</v>
      </c>
      <c r="V424" s="175">
        <v>21</v>
      </c>
      <c r="W424" s="175">
        <v>2</v>
      </c>
      <c r="X424" s="175">
        <v>10000</v>
      </c>
      <c r="Y424" s="175">
        <v>9630</v>
      </c>
      <c r="Z424" s="175">
        <v>5.8299595141700413</v>
      </c>
      <c r="AA424" s="175">
        <v>25.333333333333332</v>
      </c>
      <c r="AB424" s="175">
        <v>0.99422743055555551</v>
      </c>
      <c r="AC424" s="175">
        <v>98.174999999999997</v>
      </c>
      <c r="AD424" s="175">
        <v>3.1666666666666665</v>
      </c>
      <c r="AE424" s="175">
        <v>2.875</v>
      </c>
      <c r="AF424" s="175" t="s">
        <v>236</v>
      </c>
      <c r="AG424" s="175">
        <v>1</v>
      </c>
      <c r="AH424" s="175" t="s">
        <v>15848</v>
      </c>
      <c r="AI424" s="175" t="s">
        <v>15848</v>
      </c>
      <c r="AJ424" s="175" t="s">
        <v>639</v>
      </c>
      <c r="AK424" s="175" t="s">
        <v>639</v>
      </c>
      <c r="AL424" s="1159" t="s">
        <v>251</v>
      </c>
      <c r="AM424" s="175" t="s">
        <v>460</v>
      </c>
      <c r="AN424" s="175">
        <v>1.1890000000000001</v>
      </c>
      <c r="AO424" s="175">
        <v>2.8</v>
      </c>
      <c r="AP424" s="175">
        <v>24</v>
      </c>
      <c r="AQ424" s="175">
        <v>216</v>
      </c>
      <c r="AR424" s="175">
        <v>3.8</v>
      </c>
      <c r="AS424" s="192">
        <v>23422.3488</v>
      </c>
    </row>
    <row r="425" spans="1:45" ht="16.5" customHeight="1">
      <c r="A425" s="174">
        <v>46217</v>
      </c>
      <c r="B425" s="175" t="s">
        <v>240</v>
      </c>
      <c r="C425" s="175" t="s">
        <v>17429</v>
      </c>
      <c r="E425" s="175" t="s">
        <v>17434</v>
      </c>
      <c r="F425" s="175" t="s">
        <v>17435</v>
      </c>
      <c r="G425" s="175">
        <v>550</v>
      </c>
      <c r="H425" s="175" t="s">
        <v>884</v>
      </c>
      <c r="I425" s="175">
        <v>4</v>
      </c>
      <c r="J425" s="175">
        <v>20</v>
      </c>
      <c r="K425" s="175">
        <v>0</v>
      </c>
      <c r="L425" s="175">
        <v>3219</v>
      </c>
      <c r="N425" s="175">
        <v>5</v>
      </c>
      <c r="O425" s="175">
        <v>0</v>
      </c>
      <c r="P425" s="175">
        <v>3980</v>
      </c>
      <c r="R425" s="175">
        <v>13</v>
      </c>
      <c r="S425" s="175">
        <v>0</v>
      </c>
      <c r="T425" s="175">
        <v>3726</v>
      </c>
      <c r="V425" s="175">
        <v>12</v>
      </c>
      <c r="W425" s="175">
        <v>0</v>
      </c>
      <c r="X425" s="175">
        <v>3675</v>
      </c>
      <c r="Z425" s="175">
        <v>1.6179775280898876</v>
      </c>
      <c r="AA425" s="175">
        <v>150</v>
      </c>
      <c r="AB425" s="175">
        <v>1</v>
      </c>
      <c r="AC425" s="175">
        <v>36.5</v>
      </c>
      <c r="AD425" s="175">
        <v>18.75</v>
      </c>
      <c r="AE425" s="175">
        <v>18.75</v>
      </c>
      <c r="AF425" s="175" t="s">
        <v>241</v>
      </c>
      <c r="AG425" s="175">
        <v>9</v>
      </c>
      <c r="AH425" s="175" t="s">
        <v>634</v>
      </c>
      <c r="AI425" s="175" t="s">
        <v>634</v>
      </c>
      <c r="AJ425" s="175" t="s">
        <v>636</v>
      </c>
      <c r="AK425" s="175" t="s">
        <v>636</v>
      </c>
      <c r="AL425" s="1159" t="s">
        <v>251</v>
      </c>
      <c r="AM425" s="175" t="s">
        <v>626</v>
      </c>
      <c r="AN425" s="175">
        <v>0.66900000000000004</v>
      </c>
      <c r="AO425" s="175">
        <v>1.6</v>
      </c>
      <c r="AP425" s="175">
        <v>24</v>
      </c>
      <c r="AQ425" s="175">
        <v>108</v>
      </c>
      <c r="AR425" s="175">
        <v>2.6</v>
      </c>
      <c r="AS425" s="192">
        <v>4508.5248000000011</v>
      </c>
    </row>
    <row r="426" spans="1:45" ht="16.5" customHeight="1">
      <c r="A426" s="174">
        <v>46217</v>
      </c>
      <c r="B426" s="175" t="s">
        <v>242</v>
      </c>
      <c r="C426" s="175" t="s">
        <v>385</v>
      </c>
      <c r="E426" s="175" t="s">
        <v>419</v>
      </c>
      <c r="F426" s="175" t="s">
        <v>419</v>
      </c>
      <c r="G426" s="175" t="s">
        <v>419</v>
      </c>
      <c r="H426" s="175" t="s">
        <v>419</v>
      </c>
      <c r="I426" s="175" t="s">
        <v>419</v>
      </c>
      <c r="L426" s="175" t="s">
        <v>385</v>
      </c>
      <c r="P426" s="175" t="s">
        <v>385</v>
      </c>
      <c r="T426" s="175" t="s">
        <v>385</v>
      </c>
      <c r="X426" s="175" t="s">
        <v>385</v>
      </c>
      <c r="Z426" s="175" t="s">
        <v>419</v>
      </c>
      <c r="AA426" s="175" t="s">
        <v>385</v>
      </c>
      <c r="AB426" s="175" t="s">
        <v>419</v>
      </c>
      <c r="AC426" s="175" t="s">
        <v>419</v>
      </c>
      <c r="AD426" s="175" t="s">
        <v>419</v>
      </c>
      <c r="AE426" s="175" t="s">
        <v>419</v>
      </c>
      <c r="AF426" s="175" t="s">
        <v>241</v>
      </c>
      <c r="AG426" s="175">
        <v>5</v>
      </c>
      <c r="AH426" s="175" t="s">
        <v>634</v>
      </c>
      <c r="AI426" s="175" t="s">
        <v>634</v>
      </c>
      <c r="AJ426" s="175" t="s">
        <v>636</v>
      </c>
      <c r="AK426" s="175" t="s">
        <v>636</v>
      </c>
      <c r="AL426" s="1159" t="s">
        <v>419</v>
      </c>
      <c r="AM426" s="175" t="s">
        <v>419</v>
      </c>
      <c r="AN426" s="175" t="s">
        <v>419</v>
      </c>
      <c r="AO426" s="175" t="s">
        <v>419</v>
      </c>
      <c r="AP426" s="175">
        <v>24</v>
      </c>
      <c r="AQ426" s="175">
        <v>216</v>
      </c>
      <c r="AR426" s="175" t="s">
        <v>419</v>
      </c>
      <c r="AS426" s="192" t="s">
        <v>419</v>
      </c>
    </row>
    <row r="427" spans="1:45" ht="16.5" customHeight="1">
      <c r="A427" s="174">
        <v>46218</v>
      </c>
      <c r="B427" s="175" t="s">
        <v>212</v>
      </c>
      <c r="C427" s="175" t="s">
        <v>632</v>
      </c>
      <c r="E427" s="175" t="s">
        <v>419</v>
      </c>
      <c r="F427" s="175" t="s">
        <v>419</v>
      </c>
      <c r="G427" s="175" t="s">
        <v>419</v>
      </c>
      <c r="H427" s="175" t="s">
        <v>419</v>
      </c>
      <c r="I427" s="175" t="s">
        <v>419</v>
      </c>
      <c r="L427" s="175" t="s">
        <v>632</v>
      </c>
      <c r="P427" s="175" t="s">
        <v>632</v>
      </c>
      <c r="T427" s="175" t="s">
        <v>632</v>
      </c>
      <c r="X427" s="175" t="s">
        <v>632</v>
      </c>
      <c r="Z427" s="175" t="s">
        <v>419</v>
      </c>
      <c r="AA427" s="175" t="s">
        <v>632</v>
      </c>
      <c r="AB427" s="175" t="s">
        <v>419</v>
      </c>
      <c r="AC427" s="175" t="s">
        <v>419</v>
      </c>
      <c r="AD427" s="175" t="s">
        <v>419</v>
      </c>
      <c r="AE427" s="175" t="s">
        <v>419</v>
      </c>
      <c r="AF427" s="175" t="s">
        <v>213</v>
      </c>
      <c r="AG427" s="175">
        <v>1</v>
      </c>
      <c r="AH427" s="175" t="s">
        <v>640</v>
      </c>
      <c r="AI427" s="175" t="s">
        <v>640</v>
      </c>
      <c r="AJ427" s="175" t="s">
        <v>640</v>
      </c>
      <c r="AK427" s="175" t="s">
        <v>640</v>
      </c>
      <c r="AL427" s="1159" t="s">
        <v>419</v>
      </c>
      <c r="AM427" s="175" t="s">
        <v>419</v>
      </c>
      <c r="AN427" s="175" t="s">
        <v>419</v>
      </c>
      <c r="AO427" s="175" t="s">
        <v>419</v>
      </c>
      <c r="AP427" s="175">
        <v>24</v>
      </c>
      <c r="AQ427" s="175">
        <v>216</v>
      </c>
      <c r="AR427" s="175" t="s">
        <v>419</v>
      </c>
      <c r="AS427" s="192" t="s">
        <v>419</v>
      </c>
    </row>
    <row r="428" spans="1:45" ht="16.5" customHeight="1">
      <c r="A428" s="174">
        <v>46218</v>
      </c>
      <c r="B428" s="175" t="s">
        <v>214</v>
      </c>
      <c r="C428" s="175" t="s">
        <v>632</v>
      </c>
      <c r="E428" s="175" t="s">
        <v>419</v>
      </c>
      <c r="F428" s="175" t="s">
        <v>419</v>
      </c>
      <c r="G428" s="175" t="s">
        <v>419</v>
      </c>
      <c r="H428" s="175" t="s">
        <v>419</v>
      </c>
      <c r="I428" s="175" t="s">
        <v>419</v>
      </c>
      <c r="L428" s="175" t="s">
        <v>632</v>
      </c>
      <c r="P428" s="175" t="s">
        <v>632</v>
      </c>
      <c r="T428" s="175" t="s">
        <v>632</v>
      </c>
      <c r="X428" s="175" t="s">
        <v>632</v>
      </c>
      <c r="Z428" s="175" t="s">
        <v>419</v>
      </c>
      <c r="AA428" s="175" t="s">
        <v>632</v>
      </c>
      <c r="AB428" s="175" t="s">
        <v>419</v>
      </c>
      <c r="AC428" s="175" t="s">
        <v>419</v>
      </c>
      <c r="AD428" s="175" t="s">
        <v>419</v>
      </c>
      <c r="AE428" s="175" t="s">
        <v>419</v>
      </c>
      <c r="AF428" s="175" t="s">
        <v>213</v>
      </c>
      <c r="AG428" s="175">
        <v>1</v>
      </c>
      <c r="AH428" s="175" t="s">
        <v>640</v>
      </c>
      <c r="AI428" s="175" t="s">
        <v>640</v>
      </c>
      <c r="AJ428" s="175" t="s">
        <v>640</v>
      </c>
      <c r="AK428" s="175" t="s">
        <v>640</v>
      </c>
      <c r="AL428" s="1159" t="s">
        <v>419</v>
      </c>
      <c r="AM428" s="175" t="s">
        <v>419</v>
      </c>
      <c r="AN428" s="175" t="s">
        <v>419</v>
      </c>
      <c r="AO428" s="175" t="s">
        <v>419</v>
      </c>
      <c r="AP428" s="175">
        <v>24</v>
      </c>
      <c r="AQ428" s="175">
        <v>216</v>
      </c>
      <c r="AR428" s="175" t="s">
        <v>419</v>
      </c>
      <c r="AS428" s="192" t="s">
        <v>419</v>
      </c>
    </row>
    <row r="429" spans="1:45" ht="16.5" customHeight="1">
      <c r="A429" s="174">
        <v>46218</v>
      </c>
      <c r="B429" s="175" t="s">
        <v>215</v>
      </c>
      <c r="C429" s="175" t="s">
        <v>17316</v>
      </c>
      <c r="E429" s="175" t="s">
        <v>5005</v>
      </c>
      <c r="F429" s="175" t="s">
        <v>17317</v>
      </c>
      <c r="G429" s="175">
        <v>500</v>
      </c>
      <c r="H429" s="175" t="s">
        <v>1186</v>
      </c>
      <c r="I429" s="175">
        <v>4</v>
      </c>
      <c r="L429" s="175" t="s">
        <v>127</v>
      </c>
      <c r="P429" s="175" t="s">
        <v>127</v>
      </c>
      <c r="T429" s="175" t="s">
        <v>127</v>
      </c>
      <c r="V429" s="175">
        <v>46</v>
      </c>
      <c r="W429" s="175">
        <v>0</v>
      </c>
      <c r="X429" s="175" t="s">
        <v>127</v>
      </c>
      <c r="Z429" s="175">
        <v>2.9937629937629939</v>
      </c>
      <c r="AA429" s="175" t="s">
        <v>127</v>
      </c>
      <c r="AB429" s="175" t="s">
        <v>419</v>
      </c>
      <c r="AC429" s="175" t="s">
        <v>419</v>
      </c>
      <c r="AD429" s="175" t="s">
        <v>419</v>
      </c>
      <c r="AE429" s="175" t="s">
        <v>419</v>
      </c>
      <c r="AF429" s="175" t="s">
        <v>213</v>
      </c>
      <c r="AG429" s="175">
        <v>1</v>
      </c>
      <c r="AH429" s="175" t="s">
        <v>637</v>
      </c>
      <c r="AI429" s="175" t="s">
        <v>15376</v>
      </c>
      <c r="AJ429" s="175" t="s">
        <v>725</v>
      </c>
      <c r="AK429" s="175" t="s">
        <v>725</v>
      </c>
      <c r="AL429" s="1159" t="s">
        <v>250</v>
      </c>
      <c r="AM429" s="175" t="s">
        <v>126</v>
      </c>
      <c r="AN429" s="175">
        <v>0.91100000000000003</v>
      </c>
      <c r="AO429" s="175">
        <v>1.9</v>
      </c>
      <c r="AP429" s="175">
        <v>24</v>
      </c>
      <c r="AQ429" s="175">
        <v>216</v>
      </c>
      <c r="AR429" s="175">
        <v>2.9</v>
      </c>
      <c r="AS429" s="192">
        <v>13695.6096</v>
      </c>
    </row>
    <row r="430" spans="1:45" ht="16.5" customHeight="1">
      <c r="A430" s="174">
        <v>46218</v>
      </c>
      <c r="B430" s="175" t="s">
        <v>216</v>
      </c>
      <c r="C430" s="175" t="s">
        <v>632</v>
      </c>
      <c r="E430" s="175" t="s">
        <v>419</v>
      </c>
      <c r="F430" s="175" t="s">
        <v>419</v>
      </c>
      <c r="G430" s="175" t="s">
        <v>419</v>
      </c>
      <c r="H430" s="175" t="s">
        <v>419</v>
      </c>
      <c r="I430" s="175" t="s">
        <v>419</v>
      </c>
      <c r="L430" s="175" t="s">
        <v>632</v>
      </c>
      <c r="P430" s="175" t="s">
        <v>632</v>
      </c>
      <c r="T430" s="175" t="s">
        <v>632</v>
      </c>
      <c r="X430" s="175" t="s">
        <v>632</v>
      </c>
      <c r="Z430" s="175" t="s">
        <v>419</v>
      </c>
      <c r="AA430" s="175" t="s">
        <v>632</v>
      </c>
      <c r="AB430" s="175" t="s">
        <v>419</v>
      </c>
      <c r="AC430" s="175" t="s">
        <v>419</v>
      </c>
      <c r="AD430" s="175" t="s">
        <v>419</v>
      </c>
      <c r="AE430" s="175" t="s">
        <v>419</v>
      </c>
      <c r="AF430" s="175" t="s">
        <v>213</v>
      </c>
      <c r="AG430" s="175">
        <v>1</v>
      </c>
      <c r="AH430" s="175" t="s">
        <v>640</v>
      </c>
      <c r="AI430" s="175" t="s">
        <v>640</v>
      </c>
      <c r="AJ430" s="175" t="s">
        <v>640</v>
      </c>
      <c r="AK430" s="175" t="s">
        <v>640</v>
      </c>
      <c r="AL430" s="1159" t="s">
        <v>419</v>
      </c>
      <c r="AM430" s="175" t="s">
        <v>419</v>
      </c>
      <c r="AN430" s="175" t="s">
        <v>419</v>
      </c>
      <c r="AO430" s="175" t="s">
        <v>419</v>
      </c>
      <c r="AP430" s="175">
        <v>24</v>
      </c>
      <c r="AQ430" s="175">
        <v>216</v>
      </c>
      <c r="AR430" s="175" t="s">
        <v>419</v>
      </c>
      <c r="AS430" s="192" t="s">
        <v>419</v>
      </c>
    </row>
    <row r="431" spans="1:45" ht="16.5" customHeight="1">
      <c r="A431" s="174">
        <v>46218</v>
      </c>
      <c r="B431" s="175" t="s">
        <v>217</v>
      </c>
      <c r="C431" s="175" t="s">
        <v>17380</v>
      </c>
      <c r="E431" s="175" t="s">
        <v>17381</v>
      </c>
      <c r="F431" s="175" t="s">
        <v>17382</v>
      </c>
      <c r="G431" s="175">
        <v>680</v>
      </c>
      <c r="H431" s="175" t="s">
        <v>16728</v>
      </c>
      <c r="I431" s="175">
        <v>5</v>
      </c>
      <c r="L431" s="175" t="s">
        <v>127</v>
      </c>
      <c r="P431" s="175" t="s">
        <v>127</v>
      </c>
      <c r="T431" s="175" t="s">
        <v>127</v>
      </c>
      <c r="V431" s="175">
        <v>4</v>
      </c>
      <c r="W431" s="175">
        <v>0</v>
      </c>
      <c r="X431" s="175" t="s">
        <v>127</v>
      </c>
      <c r="Z431" s="175">
        <v>1.5824175824175823</v>
      </c>
      <c r="AA431" s="175" t="s">
        <v>127</v>
      </c>
      <c r="AB431" s="175" t="s">
        <v>419</v>
      </c>
      <c r="AC431" s="175" t="s">
        <v>419</v>
      </c>
      <c r="AD431" s="175" t="s">
        <v>419</v>
      </c>
      <c r="AE431" s="175" t="s">
        <v>419</v>
      </c>
      <c r="AF431" s="175" t="s">
        <v>213</v>
      </c>
      <c r="AG431" s="175">
        <v>1</v>
      </c>
      <c r="AH431" s="175" t="s">
        <v>15376</v>
      </c>
      <c r="AI431" s="175" t="s">
        <v>15376</v>
      </c>
      <c r="AJ431" s="175" t="s">
        <v>725</v>
      </c>
      <c r="AK431" s="175" t="s">
        <v>725</v>
      </c>
      <c r="AL431" s="1159" t="s">
        <v>251</v>
      </c>
      <c r="AM431" s="175" t="s">
        <v>126</v>
      </c>
      <c r="AN431" s="175">
        <v>0.91100000000000003</v>
      </c>
      <c r="AO431" s="175">
        <v>1.3</v>
      </c>
      <c r="AP431" s="175">
        <v>24</v>
      </c>
      <c r="AQ431" s="175">
        <v>216</v>
      </c>
      <c r="AR431" s="175">
        <v>2.2999999999999998</v>
      </c>
      <c r="AS431" s="192">
        <v>10862.035199999998</v>
      </c>
    </row>
    <row r="432" spans="1:45" ht="16.5" customHeight="1">
      <c r="A432" s="174">
        <v>46218</v>
      </c>
      <c r="B432" s="175" t="s">
        <v>218</v>
      </c>
      <c r="C432" s="175" t="s">
        <v>17221</v>
      </c>
      <c r="E432" s="175" t="s">
        <v>17237</v>
      </c>
      <c r="F432" s="175" t="s">
        <v>17229</v>
      </c>
      <c r="G432" s="175">
        <v>600</v>
      </c>
      <c r="H432" s="175" t="s">
        <v>15893</v>
      </c>
      <c r="I432" s="175">
        <v>5</v>
      </c>
      <c r="J432" s="175">
        <v>14</v>
      </c>
      <c r="K432" s="175">
        <v>0</v>
      </c>
      <c r="L432" s="175">
        <v>9444</v>
      </c>
      <c r="M432" s="175">
        <v>9584</v>
      </c>
      <c r="N432" s="175">
        <v>2</v>
      </c>
      <c r="O432" s="175">
        <v>0</v>
      </c>
      <c r="P432" s="175">
        <v>9444</v>
      </c>
      <c r="Q432" s="175">
        <v>9598</v>
      </c>
      <c r="R432" s="175">
        <v>8</v>
      </c>
      <c r="S432" s="175">
        <v>0</v>
      </c>
      <c r="T432" s="175">
        <v>9396</v>
      </c>
      <c r="U432" s="175">
        <v>9512</v>
      </c>
      <c r="V432" s="175">
        <v>12</v>
      </c>
      <c r="W432" s="175">
        <v>0</v>
      </c>
      <c r="X432" s="175">
        <v>9403</v>
      </c>
      <c r="Y432" s="175">
        <v>9571</v>
      </c>
      <c r="Z432" s="175">
        <v>2.8015564202334629</v>
      </c>
      <c r="AA432" s="175">
        <v>6</v>
      </c>
      <c r="AB432" s="175">
        <v>1</v>
      </c>
      <c r="AC432" s="175">
        <v>94.94</v>
      </c>
      <c r="AD432" s="175">
        <v>0.75</v>
      </c>
      <c r="AE432" s="175">
        <v>0.75</v>
      </c>
      <c r="AF432" s="175" t="s">
        <v>213</v>
      </c>
      <c r="AG432" s="175">
        <v>0.5</v>
      </c>
      <c r="AH432" s="175" t="s">
        <v>15376</v>
      </c>
      <c r="AI432" s="175" t="s">
        <v>15376</v>
      </c>
      <c r="AJ432" s="175" t="s">
        <v>725</v>
      </c>
      <c r="AK432" s="175" t="s">
        <v>725</v>
      </c>
      <c r="AL432" s="1159" t="s">
        <v>250</v>
      </c>
      <c r="AM432" s="175" t="s">
        <v>126</v>
      </c>
      <c r="AN432" s="175">
        <v>0.91100000000000003</v>
      </c>
      <c r="AO432" s="175">
        <v>1.7</v>
      </c>
      <c r="AP432" s="175">
        <v>24</v>
      </c>
      <c r="AQ432" s="175">
        <v>216</v>
      </c>
      <c r="AR432" s="175">
        <v>2.7</v>
      </c>
      <c r="AS432" s="192">
        <v>12751.084800000001</v>
      </c>
    </row>
    <row r="433" spans="1:45" ht="16.5" customHeight="1">
      <c r="A433" s="174">
        <v>46218</v>
      </c>
      <c r="B433" s="175" t="s">
        <v>219</v>
      </c>
      <c r="C433" s="175" t="s">
        <v>632</v>
      </c>
      <c r="E433" s="175" t="s">
        <v>419</v>
      </c>
      <c r="F433" s="175" t="s">
        <v>419</v>
      </c>
      <c r="G433" s="175" t="s">
        <v>419</v>
      </c>
      <c r="H433" s="175" t="s">
        <v>419</v>
      </c>
      <c r="I433" s="175" t="s">
        <v>419</v>
      </c>
      <c r="L433" s="175" t="s">
        <v>632</v>
      </c>
      <c r="P433" s="175" t="s">
        <v>632</v>
      </c>
      <c r="T433" s="175" t="s">
        <v>632</v>
      </c>
      <c r="X433" s="175" t="s">
        <v>632</v>
      </c>
      <c r="Z433" s="175" t="s">
        <v>419</v>
      </c>
      <c r="AA433" s="175" t="s">
        <v>632</v>
      </c>
      <c r="AB433" s="175" t="s">
        <v>419</v>
      </c>
      <c r="AC433" s="175" t="s">
        <v>419</v>
      </c>
      <c r="AD433" s="175" t="s">
        <v>419</v>
      </c>
      <c r="AE433" s="175" t="s">
        <v>419</v>
      </c>
      <c r="AF433" s="175" t="s">
        <v>213</v>
      </c>
      <c r="AG433" s="175">
        <v>1</v>
      </c>
      <c r="AH433" s="175" t="s">
        <v>640</v>
      </c>
      <c r="AI433" s="175" t="s">
        <v>640</v>
      </c>
      <c r="AJ433" s="175" t="s">
        <v>640</v>
      </c>
      <c r="AK433" s="175" t="s">
        <v>640</v>
      </c>
      <c r="AL433" s="1159" t="s">
        <v>419</v>
      </c>
      <c r="AM433" s="175" t="s">
        <v>419</v>
      </c>
      <c r="AN433" s="175" t="s">
        <v>419</v>
      </c>
      <c r="AO433" s="175" t="s">
        <v>419</v>
      </c>
      <c r="AP433" s="175">
        <v>24</v>
      </c>
      <c r="AQ433" s="175">
        <v>216</v>
      </c>
      <c r="AR433" s="175" t="s">
        <v>419</v>
      </c>
      <c r="AS433" s="192" t="s">
        <v>419</v>
      </c>
    </row>
    <row r="434" spans="1:45" ht="16.5" customHeight="1">
      <c r="A434" s="174">
        <v>46218</v>
      </c>
      <c r="B434" s="175" t="s">
        <v>220</v>
      </c>
      <c r="C434" s="175" t="s">
        <v>17430</v>
      </c>
      <c r="E434" s="175" t="s">
        <v>1891</v>
      </c>
      <c r="F434" s="175" t="s">
        <v>17433</v>
      </c>
      <c r="G434" s="175">
        <v>600</v>
      </c>
      <c r="H434" s="175" t="s">
        <v>474</v>
      </c>
      <c r="I434" s="175">
        <v>4</v>
      </c>
      <c r="J434" s="175">
        <v>24</v>
      </c>
      <c r="K434" s="175">
        <v>6</v>
      </c>
      <c r="L434" s="175">
        <v>8846</v>
      </c>
      <c r="M434" s="175">
        <v>9462</v>
      </c>
      <c r="N434" s="175">
        <v>12</v>
      </c>
      <c r="O434" s="175">
        <v>0</v>
      </c>
      <c r="P434" s="175">
        <v>8842</v>
      </c>
      <c r="Q434" s="175">
        <v>9411</v>
      </c>
      <c r="R434" s="175">
        <v>0</v>
      </c>
      <c r="S434" s="175">
        <v>0</v>
      </c>
      <c r="T434" s="175">
        <v>8877</v>
      </c>
      <c r="U434" s="175">
        <v>9393</v>
      </c>
      <c r="V434" s="175">
        <v>25</v>
      </c>
      <c r="W434" s="175">
        <v>0</v>
      </c>
      <c r="X434" s="175">
        <v>8590</v>
      </c>
      <c r="Y434" s="175">
        <v>8309</v>
      </c>
      <c r="Z434" s="175">
        <v>1.7625458996328029</v>
      </c>
      <c r="AA434" s="175">
        <v>20.333333333333332</v>
      </c>
      <c r="AB434" s="175">
        <v>0.98363381410256412</v>
      </c>
      <c r="AC434" s="175">
        <v>89.662499999999994</v>
      </c>
      <c r="AD434" s="175">
        <v>2.5416666666666665</v>
      </c>
      <c r="AE434" s="175">
        <v>2.2916666666666665</v>
      </c>
      <c r="AF434" s="175" t="s">
        <v>213</v>
      </c>
      <c r="AG434" s="175">
        <v>1</v>
      </c>
      <c r="AH434" s="175" t="s">
        <v>637</v>
      </c>
      <c r="AI434" s="175" t="s">
        <v>637</v>
      </c>
      <c r="AJ434" s="175" t="s">
        <v>15368</v>
      </c>
      <c r="AK434" s="175" t="s">
        <v>15368</v>
      </c>
      <c r="AL434" s="1159" t="s">
        <v>250</v>
      </c>
      <c r="AM434" s="175" t="s">
        <v>126</v>
      </c>
      <c r="AN434" s="175">
        <v>0.91100000000000003</v>
      </c>
      <c r="AO434" s="175">
        <v>0.7</v>
      </c>
      <c r="AP434" s="175">
        <v>24</v>
      </c>
      <c r="AQ434" s="175">
        <v>216</v>
      </c>
      <c r="AR434" s="175">
        <v>1.7</v>
      </c>
      <c r="AS434" s="192">
        <v>8028.4608000000007</v>
      </c>
    </row>
    <row r="435" spans="1:45" ht="16.5" customHeight="1">
      <c r="A435" s="174">
        <v>46218</v>
      </c>
      <c r="B435" s="175" t="s">
        <v>221</v>
      </c>
      <c r="C435" s="175" t="s">
        <v>632</v>
      </c>
      <c r="E435" s="175" t="s">
        <v>419</v>
      </c>
      <c r="F435" s="175" t="s">
        <v>419</v>
      </c>
      <c r="G435" s="175" t="s">
        <v>419</v>
      </c>
      <c r="H435" s="175" t="s">
        <v>419</v>
      </c>
      <c r="I435" s="175" t="s">
        <v>419</v>
      </c>
      <c r="L435" s="175" t="s">
        <v>632</v>
      </c>
      <c r="P435" s="175" t="s">
        <v>632</v>
      </c>
      <c r="T435" s="175" t="s">
        <v>632</v>
      </c>
      <c r="X435" s="175" t="s">
        <v>632</v>
      </c>
      <c r="Z435" s="175" t="s">
        <v>419</v>
      </c>
      <c r="AA435" s="175" t="s">
        <v>632</v>
      </c>
      <c r="AB435" s="175" t="s">
        <v>419</v>
      </c>
      <c r="AC435" s="175" t="s">
        <v>419</v>
      </c>
      <c r="AD435" s="175" t="s">
        <v>419</v>
      </c>
      <c r="AE435" s="175" t="s">
        <v>419</v>
      </c>
      <c r="AF435" s="175" t="s">
        <v>213</v>
      </c>
      <c r="AG435" s="175">
        <v>1</v>
      </c>
      <c r="AH435" s="175" t="s">
        <v>640</v>
      </c>
      <c r="AI435" s="175" t="s">
        <v>640</v>
      </c>
      <c r="AJ435" s="175" t="s">
        <v>640</v>
      </c>
      <c r="AK435" s="175" t="s">
        <v>640</v>
      </c>
      <c r="AL435" s="1159" t="s">
        <v>419</v>
      </c>
      <c r="AM435" s="175" t="s">
        <v>419</v>
      </c>
      <c r="AN435" s="175" t="s">
        <v>419</v>
      </c>
      <c r="AO435" s="175" t="s">
        <v>419</v>
      </c>
      <c r="AP435" s="175">
        <v>24</v>
      </c>
      <c r="AQ435" s="175">
        <v>216</v>
      </c>
      <c r="AR435" s="175" t="s">
        <v>419</v>
      </c>
      <c r="AS435" s="192" t="s">
        <v>419</v>
      </c>
    </row>
    <row r="436" spans="1:45" ht="16.5" customHeight="1">
      <c r="A436" s="174">
        <v>46218</v>
      </c>
      <c r="B436" s="175" t="s">
        <v>222</v>
      </c>
      <c r="C436" s="175" t="s">
        <v>632</v>
      </c>
      <c r="E436" s="175" t="s">
        <v>419</v>
      </c>
      <c r="F436" s="175" t="s">
        <v>419</v>
      </c>
      <c r="G436" s="175" t="s">
        <v>419</v>
      </c>
      <c r="H436" s="175" t="s">
        <v>419</v>
      </c>
      <c r="I436" s="175" t="s">
        <v>419</v>
      </c>
      <c r="L436" s="175" t="s">
        <v>632</v>
      </c>
      <c r="P436" s="175" t="s">
        <v>632</v>
      </c>
      <c r="T436" s="175" t="s">
        <v>632</v>
      </c>
      <c r="X436" s="175" t="s">
        <v>632</v>
      </c>
      <c r="Z436" s="175" t="s">
        <v>419</v>
      </c>
      <c r="AA436" s="175" t="s">
        <v>632</v>
      </c>
      <c r="AB436" s="175" t="s">
        <v>419</v>
      </c>
      <c r="AC436" s="175" t="s">
        <v>419</v>
      </c>
      <c r="AD436" s="175" t="s">
        <v>419</v>
      </c>
      <c r="AE436" s="175" t="s">
        <v>419</v>
      </c>
      <c r="AF436" s="175" t="s">
        <v>213</v>
      </c>
      <c r="AG436" s="175">
        <v>2</v>
      </c>
      <c r="AH436" s="175" t="s">
        <v>15376</v>
      </c>
      <c r="AI436" s="175" t="s">
        <v>640</v>
      </c>
      <c r="AJ436" s="175" t="s">
        <v>640</v>
      </c>
      <c r="AK436" s="175" t="s">
        <v>640</v>
      </c>
      <c r="AL436" s="1159" t="s">
        <v>419</v>
      </c>
      <c r="AM436" s="175" t="s">
        <v>419</v>
      </c>
      <c r="AN436" s="175" t="s">
        <v>419</v>
      </c>
      <c r="AO436" s="175" t="s">
        <v>419</v>
      </c>
      <c r="AP436" s="175">
        <v>24</v>
      </c>
      <c r="AQ436" s="175">
        <v>216</v>
      </c>
      <c r="AR436" s="175" t="s">
        <v>419</v>
      </c>
      <c r="AS436" s="192" t="s">
        <v>419</v>
      </c>
    </row>
    <row r="437" spans="1:45" ht="16.5" customHeight="1">
      <c r="A437" s="174">
        <v>46218</v>
      </c>
      <c r="B437" s="175" t="s">
        <v>223</v>
      </c>
      <c r="C437" s="175" t="s">
        <v>17263</v>
      </c>
      <c r="D437" s="175" t="s">
        <v>16748</v>
      </c>
      <c r="E437" s="175" t="s">
        <v>17156</v>
      </c>
      <c r="F437" s="175" t="s">
        <v>17264</v>
      </c>
      <c r="G437" s="175">
        <v>600</v>
      </c>
      <c r="H437" s="175" t="s">
        <v>456</v>
      </c>
      <c r="I437" s="175">
        <v>3</v>
      </c>
      <c r="J437" s="175">
        <v>6</v>
      </c>
      <c r="K437" s="175">
        <v>0</v>
      </c>
      <c r="L437" s="175" t="s">
        <v>627</v>
      </c>
      <c r="M437" s="175">
        <v>7170</v>
      </c>
      <c r="P437" s="175" t="s">
        <v>627</v>
      </c>
      <c r="T437" s="175" t="s">
        <v>627</v>
      </c>
      <c r="X437" s="175" t="s">
        <v>632</v>
      </c>
      <c r="Z437" s="175">
        <v>2.4</v>
      </c>
      <c r="AA437" s="175" t="s">
        <v>627</v>
      </c>
      <c r="AB437" s="175">
        <v>1</v>
      </c>
      <c r="AC437" s="175" t="s">
        <v>419</v>
      </c>
      <c r="AD437" s="175" t="s">
        <v>419</v>
      </c>
      <c r="AE437" s="175">
        <v>0.5</v>
      </c>
      <c r="AF437" s="175" t="s">
        <v>213</v>
      </c>
      <c r="AG437" s="175">
        <v>2</v>
      </c>
      <c r="AH437" s="175" t="s">
        <v>15376</v>
      </c>
      <c r="AI437" s="175" t="s">
        <v>15376</v>
      </c>
      <c r="AJ437" s="175" t="s">
        <v>725</v>
      </c>
      <c r="AK437" s="175" t="s">
        <v>725</v>
      </c>
      <c r="AL437" s="1159" t="s">
        <v>250</v>
      </c>
      <c r="AM437" s="175" t="s">
        <v>126</v>
      </c>
      <c r="AN437" s="175">
        <v>0.91100000000000003</v>
      </c>
      <c r="AO437" s="175">
        <v>0.8</v>
      </c>
      <c r="AP437" s="175">
        <v>24</v>
      </c>
      <c r="AQ437" s="175">
        <v>216</v>
      </c>
      <c r="AR437" s="175">
        <v>1.8</v>
      </c>
      <c r="AS437" s="192">
        <v>8500.7232000000004</v>
      </c>
    </row>
    <row r="438" spans="1:45" ht="16.5" customHeight="1">
      <c r="A438" s="174">
        <v>46218</v>
      </c>
      <c r="B438" s="175" t="s">
        <v>223</v>
      </c>
      <c r="C438" s="175" t="s">
        <v>17431</v>
      </c>
      <c r="E438" s="175" t="s">
        <v>15035</v>
      </c>
      <c r="F438" s="175" t="s">
        <v>16860</v>
      </c>
      <c r="G438" s="175">
        <v>550</v>
      </c>
      <c r="H438" s="175" t="s">
        <v>622</v>
      </c>
      <c r="I438" s="175">
        <v>5</v>
      </c>
      <c r="L438" s="175" t="s">
        <v>627</v>
      </c>
      <c r="P438" s="175" t="s">
        <v>627</v>
      </c>
      <c r="T438" s="175" t="s">
        <v>627</v>
      </c>
      <c r="X438" s="175" t="s">
        <v>632</v>
      </c>
      <c r="Z438" s="175">
        <v>1.3345690454124188</v>
      </c>
      <c r="AA438" s="175" t="s">
        <v>627</v>
      </c>
      <c r="AB438" s="175" t="s">
        <v>419</v>
      </c>
      <c r="AC438" s="175" t="s">
        <v>419</v>
      </c>
      <c r="AD438" s="175" t="s">
        <v>419</v>
      </c>
      <c r="AE438" s="175" t="s">
        <v>419</v>
      </c>
      <c r="AF438" s="175" t="s">
        <v>213</v>
      </c>
      <c r="AG438" s="175">
        <v>2</v>
      </c>
      <c r="AH438" s="175" t="s">
        <v>15376</v>
      </c>
      <c r="AI438" s="175" t="s">
        <v>15376</v>
      </c>
      <c r="AJ438" s="175" t="s">
        <v>725</v>
      </c>
      <c r="AK438" s="175" t="s">
        <v>725</v>
      </c>
      <c r="AM438" s="175" t="s">
        <v>126</v>
      </c>
      <c r="AN438" s="175">
        <v>0.91100000000000003</v>
      </c>
      <c r="AO438" s="175">
        <v>0.8</v>
      </c>
      <c r="AP438" s="175">
        <v>24</v>
      </c>
      <c r="AQ438" s="175">
        <v>216</v>
      </c>
      <c r="AR438" s="175">
        <v>1.8</v>
      </c>
      <c r="AS438" s="192">
        <v>8500.7232000000004</v>
      </c>
    </row>
    <row r="439" spans="1:45" ht="16.5" customHeight="1">
      <c r="A439" s="174">
        <v>46218</v>
      </c>
      <c r="B439" s="175" t="s">
        <v>224</v>
      </c>
      <c r="C439" s="175" t="s">
        <v>632</v>
      </c>
      <c r="E439" s="175" t="s">
        <v>419</v>
      </c>
      <c r="F439" s="175" t="s">
        <v>419</v>
      </c>
      <c r="G439" s="175" t="s">
        <v>419</v>
      </c>
      <c r="H439" s="175" t="s">
        <v>419</v>
      </c>
      <c r="I439" s="175" t="s">
        <v>419</v>
      </c>
      <c r="L439" s="175" t="s">
        <v>632</v>
      </c>
      <c r="P439" s="175" t="s">
        <v>632</v>
      </c>
      <c r="T439" s="175" t="s">
        <v>632</v>
      </c>
      <c r="X439" s="175" t="s">
        <v>632</v>
      </c>
      <c r="Z439" s="175" t="s">
        <v>419</v>
      </c>
      <c r="AA439" s="175" t="s">
        <v>632</v>
      </c>
      <c r="AB439" s="175" t="s">
        <v>419</v>
      </c>
      <c r="AC439" s="175" t="s">
        <v>419</v>
      </c>
      <c r="AD439" s="175" t="s">
        <v>419</v>
      </c>
      <c r="AE439" s="175" t="s">
        <v>419</v>
      </c>
      <c r="AF439" s="175" t="s">
        <v>213</v>
      </c>
      <c r="AG439" s="175">
        <v>0.5</v>
      </c>
      <c r="AH439" s="175" t="s">
        <v>640</v>
      </c>
      <c r="AI439" s="175" t="s">
        <v>640</v>
      </c>
      <c r="AJ439" s="175" t="s">
        <v>640</v>
      </c>
      <c r="AK439" s="175" t="s">
        <v>640</v>
      </c>
      <c r="AL439" s="1159" t="s">
        <v>419</v>
      </c>
      <c r="AM439" s="175" t="s">
        <v>419</v>
      </c>
      <c r="AN439" s="175" t="s">
        <v>419</v>
      </c>
      <c r="AO439" s="175" t="s">
        <v>419</v>
      </c>
      <c r="AP439" s="175">
        <v>24</v>
      </c>
      <c r="AQ439" s="175">
        <v>216</v>
      </c>
      <c r="AR439" s="175" t="s">
        <v>419</v>
      </c>
      <c r="AS439" s="192" t="s">
        <v>419</v>
      </c>
    </row>
    <row r="440" spans="1:45" ht="16.5" customHeight="1">
      <c r="A440" s="174">
        <v>46218</v>
      </c>
      <c r="B440" s="175" t="s">
        <v>225</v>
      </c>
      <c r="C440" s="175" t="s">
        <v>632</v>
      </c>
      <c r="E440" s="175" t="s">
        <v>419</v>
      </c>
      <c r="F440" s="175" t="s">
        <v>419</v>
      </c>
      <c r="G440" s="175" t="s">
        <v>419</v>
      </c>
      <c r="H440" s="175" t="s">
        <v>419</v>
      </c>
      <c r="I440" s="175" t="s">
        <v>419</v>
      </c>
      <c r="L440" s="175" t="s">
        <v>632</v>
      </c>
      <c r="P440" s="175" t="s">
        <v>632</v>
      </c>
      <c r="T440" s="175" t="s">
        <v>632</v>
      </c>
      <c r="X440" s="175" t="s">
        <v>632</v>
      </c>
      <c r="Z440" s="175" t="s">
        <v>419</v>
      </c>
      <c r="AA440" s="175" t="s">
        <v>632</v>
      </c>
      <c r="AB440" s="175" t="s">
        <v>419</v>
      </c>
      <c r="AC440" s="175" t="s">
        <v>419</v>
      </c>
      <c r="AD440" s="175" t="s">
        <v>419</v>
      </c>
      <c r="AE440" s="175" t="s">
        <v>419</v>
      </c>
      <c r="AF440" s="175" t="s">
        <v>213</v>
      </c>
      <c r="AG440" s="175">
        <v>1</v>
      </c>
      <c r="AH440" s="175" t="s">
        <v>640</v>
      </c>
      <c r="AI440" s="175" t="s">
        <v>640</v>
      </c>
      <c r="AJ440" s="175" t="s">
        <v>640</v>
      </c>
      <c r="AK440" s="175" t="s">
        <v>640</v>
      </c>
      <c r="AL440" s="1159" t="s">
        <v>419</v>
      </c>
      <c r="AM440" s="175" t="s">
        <v>419</v>
      </c>
      <c r="AN440" s="175" t="s">
        <v>419</v>
      </c>
      <c r="AO440" s="175" t="s">
        <v>419</v>
      </c>
      <c r="AP440" s="175">
        <v>24</v>
      </c>
      <c r="AQ440" s="175">
        <v>216</v>
      </c>
      <c r="AR440" s="175" t="s">
        <v>419</v>
      </c>
      <c r="AS440" s="192" t="s">
        <v>419</v>
      </c>
    </row>
    <row r="441" spans="1:45" ht="16.5" customHeight="1">
      <c r="A441" s="174">
        <v>46218</v>
      </c>
      <c r="B441" s="175" t="s">
        <v>226</v>
      </c>
      <c r="C441" s="175" t="s">
        <v>632</v>
      </c>
      <c r="E441" s="175" t="s">
        <v>419</v>
      </c>
      <c r="F441" s="175" t="s">
        <v>419</v>
      </c>
      <c r="G441" s="175" t="s">
        <v>419</v>
      </c>
      <c r="H441" s="175" t="s">
        <v>419</v>
      </c>
      <c r="I441" s="175" t="s">
        <v>419</v>
      </c>
      <c r="L441" s="175" t="s">
        <v>632</v>
      </c>
      <c r="P441" s="175" t="s">
        <v>632</v>
      </c>
      <c r="T441" s="175" t="s">
        <v>632</v>
      </c>
      <c r="X441" s="175" t="s">
        <v>632</v>
      </c>
      <c r="Z441" s="175" t="s">
        <v>419</v>
      </c>
      <c r="AA441" s="175" t="s">
        <v>632</v>
      </c>
      <c r="AB441" s="175" t="s">
        <v>419</v>
      </c>
      <c r="AC441" s="175" t="s">
        <v>419</v>
      </c>
      <c r="AD441" s="175" t="s">
        <v>419</v>
      </c>
      <c r="AE441" s="175" t="s">
        <v>419</v>
      </c>
      <c r="AF441" s="175" t="s">
        <v>213</v>
      </c>
      <c r="AG441" s="175">
        <v>1</v>
      </c>
      <c r="AH441" s="175" t="s">
        <v>640</v>
      </c>
      <c r="AI441" s="175" t="s">
        <v>640</v>
      </c>
      <c r="AJ441" s="175" t="s">
        <v>640</v>
      </c>
      <c r="AK441" s="175" t="s">
        <v>640</v>
      </c>
      <c r="AL441" s="1159" t="s">
        <v>419</v>
      </c>
      <c r="AM441" s="175" t="s">
        <v>419</v>
      </c>
      <c r="AN441" s="175" t="s">
        <v>419</v>
      </c>
      <c r="AO441" s="175" t="s">
        <v>419</v>
      </c>
      <c r="AP441" s="175">
        <v>24</v>
      </c>
      <c r="AQ441" s="175">
        <v>216</v>
      </c>
      <c r="AR441" s="175" t="s">
        <v>419</v>
      </c>
      <c r="AS441" s="192" t="s">
        <v>419</v>
      </c>
    </row>
    <row r="442" spans="1:45" ht="16.5" customHeight="1">
      <c r="A442" s="174">
        <v>46218</v>
      </c>
      <c r="B442" s="175" t="s">
        <v>227</v>
      </c>
      <c r="C442" s="175" t="s">
        <v>632</v>
      </c>
      <c r="E442" s="175" t="s">
        <v>419</v>
      </c>
      <c r="F442" s="175" t="s">
        <v>419</v>
      </c>
      <c r="G442" s="175" t="s">
        <v>419</v>
      </c>
      <c r="H442" s="175" t="s">
        <v>419</v>
      </c>
      <c r="I442" s="175" t="s">
        <v>419</v>
      </c>
      <c r="L442" s="175" t="s">
        <v>632</v>
      </c>
      <c r="P442" s="175" t="s">
        <v>632</v>
      </c>
      <c r="T442" s="175" t="s">
        <v>632</v>
      </c>
      <c r="X442" s="175" t="s">
        <v>632</v>
      </c>
      <c r="Z442" s="175" t="s">
        <v>419</v>
      </c>
      <c r="AA442" s="175" t="s">
        <v>632</v>
      </c>
      <c r="AB442" s="175" t="s">
        <v>419</v>
      </c>
      <c r="AC442" s="175" t="s">
        <v>419</v>
      </c>
      <c r="AD442" s="175" t="s">
        <v>419</v>
      </c>
      <c r="AE442" s="175" t="s">
        <v>419</v>
      </c>
      <c r="AF442" s="175" t="s">
        <v>213</v>
      </c>
      <c r="AG442" s="175">
        <v>1</v>
      </c>
      <c r="AH442" s="175" t="s">
        <v>640</v>
      </c>
      <c r="AI442" s="175" t="s">
        <v>640</v>
      </c>
      <c r="AJ442" s="175" t="s">
        <v>640</v>
      </c>
      <c r="AK442" s="175" t="s">
        <v>640</v>
      </c>
      <c r="AL442" s="1159" t="s">
        <v>419</v>
      </c>
      <c r="AM442" s="175" t="s">
        <v>419</v>
      </c>
      <c r="AN442" s="175" t="s">
        <v>419</v>
      </c>
      <c r="AO442" s="175" t="s">
        <v>419</v>
      </c>
      <c r="AP442" s="175">
        <v>24</v>
      </c>
      <c r="AQ442" s="175">
        <v>216</v>
      </c>
      <c r="AR442" s="175" t="s">
        <v>419</v>
      </c>
      <c r="AS442" s="192" t="s">
        <v>419</v>
      </c>
    </row>
    <row r="443" spans="1:45" ht="16.5" customHeight="1">
      <c r="A443" s="174">
        <v>46218</v>
      </c>
      <c r="B443" s="175" t="s">
        <v>228</v>
      </c>
      <c r="C443" s="175" t="s">
        <v>17293</v>
      </c>
      <c r="E443" s="175" t="s">
        <v>7055</v>
      </c>
      <c r="F443" s="175" t="s">
        <v>17294</v>
      </c>
      <c r="G443" s="175">
        <v>550</v>
      </c>
      <c r="H443" s="175" t="s">
        <v>889</v>
      </c>
      <c r="I443" s="175">
        <v>5.5</v>
      </c>
      <c r="L443" s="175" t="s">
        <v>628</v>
      </c>
      <c r="P443" s="175" t="s">
        <v>628</v>
      </c>
      <c r="T443" s="175" t="s">
        <v>477</v>
      </c>
      <c r="V443" s="175">
        <v>73</v>
      </c>
      <c r="W443" s="175">
        <v>0</v>
      </c>
      <c r="X443" s="175">
        <v>6328</v>
      </c>
      <c r="Y443" s="175">
        <v>5282</v>
      </c>
      <c r="Z443" s="175">
        <v>4.6905537459283391</v>
      </c>
      <c r="AA443" s="175" t="s">
        <v>628</v>
      </c>
      <c r="AB443" s="175" t="s">
        <v>419</v>
      </c>
      <c r="AC443" s="175" t="s">
        <v>419</v>
      </c>
      <c r="AD443" s="175" t="s">
        <v>419</v>
      </c>
      <c r="AE443" s="175" t="s">
        <v>419</v>
      </c>
      <c r="AF443" s="175" t="s">
        <v>213</v>
      </c>
      <c r="AG443" s="175">
        <v>0.5</v>
      </c>
      <c r="AH443" s="175" t="s">
        <v>15376</v>
      </c>
      <c r="AI443" s="175" t="s">
        <v>15376</v>
      </c>
      <c r="AJ443" s="175" t="s">
        <v>725</v>
      </c>
      <c r="AK443" s="175" t="s">
        <v>725</v>
      </c>
      <c r="AL443" s="1159" t="s">
        <v>250</v>
      </c>
      <c r="AM443" s="175" t="s">
        <v>460</v>
      </c>
      <c r="AN443" s="175">
        <v>1.1890000000000001</v>
      </c>
      <c r="AO443" s="175">
        <v>1.9</v>
      </c>
      <c r="AP443" s="175">
        <v>24</v>
      </c>
      <c r="AQ443" s="175">
        <v>216</v>
      </c>
      <c r="AR443" s="175">
        <v>2.9</v>
      </c>
      <c r="AS443" s="192">
        <v>17874.950400000002</v>
      </c>
    </row>
    <row r="444" spans="1:45" ht="16.5" customHeight="1">
      <c r="A444" s="174">
        <v>46218</v>
      </c>
      <c r="B444" s="175" t="s">
        <v>229</v>
      </c>
      <c r="C444" s="175" t="s">
        <v>632</v>
      </c>
      <c r="E444" s="175" t="s">
        <v>419</v>
      </c>
      <c r="F444" s="175" t="s">
        <v>419</v>
      </c>
      <c r="G444" s="175" t="s">
        <v>419</v>
      </c>
      <c r="H444" s="175" t="s">
        <v>419</v>
      </c>
      <c r="I444" s="175" t="s">
        <v>419</v>
      </c>
      <c r="L444" s="175" t="s">
        <v>632</v>
      </c>
      <c r="P444" s="175" t="s">
        <v>632</v>
      </c>
      <c r="T444" s="175" t="s">
        <v>632</v>
      </c>
      <c r="X444" s="175" t="s">
        <v>632</v>
      </c>
      <c r="Z444" s="175" t="s">
        <v>419</v>
      </c>
      <c r="AA444" s="175" t="s">
        <v>632</v>
      </c>
      <c r="AB444" s="175" t="s">
        <v>419</v>
      </c>
      <c r="AC444" s="175" t="s">
        <v>419</v>
      </c>
      <c r="AD444" s="175" t="s">
        <v>419</v>
      </c>
      <c r="AE444" s="175" t="s">
        <v>419</v>
      </c>
      <c r="AF444" s="175" t="s">
        <v>213</v>
      </c>
      <c r="AG444" s="175">
        <v>1</v>
      </c>
      <c r="AH444" s="175" t="s">
        <v>640</v>
      </c>
      <c r="AI444" s="175" t="s">
        <v>640</v>
      </c>
      <c r="AJ444" s="175" t="s">
        <v>640</v>
      </c>
      <c r="AK444" s="175" t="s">
        <v>640</v>
      </c>
      <c r="AL444" s="1159" t="s">
        <v>419</v>
      </c>
      <c r="AM444" s="175" t="s">
        <v>419</v>
      </c>
      <c r="AN444" s="175" t="s">
        <v>419</v>
      </c>
      <c r="AO444" s="175" t="s">
        <v>419</v>
      </c>
      <c r="AP444" s="175">
        <v>24</v>
      </c>
      <c r="AQ444" s="175">
        <v>216</v>
      </c>
      <c r="AR444" s="175" t="s">
        <v>419</v>
      </c>
      <c r="AS444" s="192" t="s">
        <v>419</v>
      </c>
    </row>
    <row r="445" spans="1:45" ht="16.5" customHeight="1">
      <c r="A445" s="174">
        <v>46218</v>
      </c>
      <c r="B445" s="175" t="s">
        <v>230</v>
      </c>
      <c r="C445" s="175" t="s">
        <v>632</v>
      </c>
      <c r="E445" s="175" t="s">
        <v>419</v>
      </c>
      <c r="F445" s="175" t="s">
        <v>419</v>
      </c>
      <c r="G445" s="175" t="s">
        <v>419</v>
      </c>
      <c r="H445" s="175" t="s">
        <v>419</v>
      </c>
      <c r="I445" s="175" t="s">
        <v>419</v>
      </c>
      <c r="L445" s="175" t="s">
        <v>632</v>
      </c>
      <c r="P445" s="175" t="s">
        <v>632</v>
      </c>
      <c r="T445" s="175" t="s">
        <v>632</v>
      </c>
      <c r="X445" s="175" t="s">
        <v>632</v>
      </c>
      <c r="Z445" s="175" t="s">
        <v>419</v>
      </c>
      <c r="AA445" s="175" t="s">
        <v>632</v>
      </c>
      <c r="AB445" s="175" t="s">
        <v>419</v>
      </c>
      <c r="AC445" s="175" t="s">
        <v>419</v>
      </c>
      <c r="AD445" s="175" t="s">
        <v>419</v>
      </c>
      <c r="AE445" s="175" t="s">
        <v>419</v>
      </c>
      <c r="AF445" s="175" t="s">
        <v>213</v>
      </c>
      <c r="AG445" s="175">
        <v>1</v>
      </c>
      <c r="AH445" s="175" t="s">
        <v>640</v>
      </c>
      <c r="AI445" s="175" t="s">
        <v>640</v>
      </c>
      <c r="AJ445" s="175" t="s">
        <v>640</v>
      </c>
      <c r="AK445" s="175" t="s">
        <v>640</v>
      </c>
      <c r="AL445" s="1159" t="s">
        <v>419</v>
      </c>
      <c r="AM445" s="175" t="s">
        <v>419</v>
      </c>
      <c r="AN445" s="175" t="s">
        <v>419</v>
      </c>
      <c r="AO445" s="175" t="s">
        <v>419</v>
      </c>
      <c r="AP445" s="175">
        <v>24</v>
      </c>
      <c r="AQ445" s="175">
        <v>216</v>
      </c>
      <c r="AR445" s="175" t="s">
        <v>419</v>
      </c>
      <c r="AS445" s="192" t="s">
        <v>419</v>
      </c>
    </row>
    <row r="446" spans="1:45" ht="16.5" customHeight="1">
      <c r="A446" s="174">
        <v>46218</v>
      </c>
      <c r="B446" s="175" t="s">
        <v>231</v>
      </c>
      <c r="C446" s="175" t="s">
        <v>632</v>
      </c>
      <c r="E446" s="175" t="s">
        <v>419</v>
      </c>
      <c r="F446" s="175" t="s">
        <v>419</v>
      </c>
      <c r="G446" s="175" t="s">
        <v>419</v>
      </c>
      <c r="H446" s="175" t="s">
        <v>419</v>
      </c>
      <c r="I446" s="175" t="s">
        <v>419</v>
      </c>
      <c r="L446" s="175" t="s">
        <v>632</v>
      </c>
      <c r="P446" s="175" t="s">
        <v>632</v>
      </c>
      <c r="T446" s="175" t="s">
        <v>632</v>
      </c>
      <c r="X446" s="175" t="s">
        <v>632</v>
      </c>
      <c r="Z446" s="175" t="s">
        <v>419</v>
      </c>
      <c r="AA446" s="175" t="s">
        <v>632</v>
      </c>
      <c r="AB446" s="175" t="s">
        <v>419</v>
      </c>
      <c r="AC446" s="175" t="s">
        <v>419</v>
      </c>
      <c r="AD446" s="175" t="s">
        <v>419</v>
      </c>
      <c r="AE446" s="175" t="s">
        <v>419</v>
      </c>
      <c r="AF446" s="175" t="s">
        <v>232</v>
      </c>
      <c r="AG446" s="175">
        <v>1</v>
      </c>
      <c r="AH446" s="175" t="s">
        <v>640</v>
      </c>
      <c r="AI446" s="175" t="s">
        <v>640</v>
      </c>
      <c r="AJ446" s="175" t="s">
        <v>640</v>
      </c>
      <c r="AK446" s="175" t="s">
        <v>640</v>
      </c>
      <c r="AL446" s="1159" t="s">
        <v>419</v>
      </c>
      <c r="AM446" s="175" t="s">
        <v>419</v>
      </c>
      <c r="AN446" s="175" t="s">
        <v>419</v>
      </c>
      <c r="AO446" s="175" t="s">
        <v>419</v>
      </c>
      <c r="AP446" s="175">
        <v>24</v>
      </c>
      <c r="AQ446" s="175">
        <v>216</v>
      </c>
      <c r="AR446" s="175" t="s">
        <v>419</v>
      </c>
      <c r="AS446" s="192" t="s">
        <v>419</v>
      </c>
    </row>
    <row r="447" spans="1:45" ht="16.5" customHeight="1">
      <c r="A447" s="174">
        <v>46218</v>
      </c>
      <c r="B447" s="175" t="s">
        <v>233</v>
      </c>
      <c r="C447" s="175" t="s">
        <v>632</v>
      </c>
      <c r="E447" s="175" t="s">
        <v>419</v>
      </c>
      <c r="F447" s="175" t="s">
        <v>419</v>
      </c>
      <c r="G447" s="175" t="s">
        <v>419</v>
      </c>
      <c r="H447" s="175" t="s">
        <v>419</v>
      </c>
      <c r="I447" s="175" t="s">
        <v>419</v>
      </c>
      <c r="L447" s="175" t="s">
        <v>632</v>
      </c>
      <c r="P447" s="175" t="s">
        <v>632</v>
      </c>
      <c r="T447" s="175" t="s">
        <v>632</v>
      </c>
      <c r="X447" s="175" t="s">
        <v>632</v>
      </c>
      <c r="Z447" s="175" t="s">
        <v>419</v>
      </c>
      <c r="AA447" s="175" t="s">
        <v>632</v>
      </c>
      <c r="AB447" s="175" t="s">
        <v>419</v>
      </c>
      <c r="AC447" s="175" t="s">
        <v>419</v>
      </c>
      <c r="AD447" s="175" t="s">
        <v>419</v>
      </c>
      <c r="AE447" s="175" t="s">
        <v>419</v>
      </c>
      <c r="AF447" s="175" t="s">
        <v>232</v>
      </c>
      <c r="AG447" s="175">
        <v>1</v>
      </c>
      <c r="AH447" s="175" t="s">
        <v>640</v>
      </c>
      <c r="AI447" s="175" t="s">
        <v>640</v>
      </c>
      <c r="AJ447" s="175" t="s">
        <v>640</v>
      </c>
      <c r="AK447" s="175" t="s">
        <v>640</v>
      </c>
      <c r="AL447" s="1159" t="s">
        <v>419</v>
      </c>
      <c r="AM447" s="175" t="s">
        <v>419</v>
      </c>
      <c r="AN447" s="175" t="s">
        <v>419</v>
      </c>
      <c r="AO447" s="175" t="s">
        <v>419</v>
      </c>
      <c r="AP447" s="175">
        <v>24</v>
      </c>
      <c r="AQ447" s="175">
        <v>216</v>
      </c>
      <c r="AR447" s="175" t="s">
        <v>419</v>
      </c>
      <c r="AS447" s="192" t="s">
        <v>419</v>
      </c>
    </row>
    <row r="448" spans="1:45" ht="16.5" customHeight="1">
      <c r="A448" s="174">
        <v>46218</v>
      </c>
      <c r="B448" s="175" t="s">
        <v>234</v>
      </c>
      <c r="C448" s="175" t="s">
        <v>632</v>
      </c>
      <c r="E448" s="175" t="s">
        <v>419</v>
      </c>
      <c r="F448" s="175" t="s">
        <v>419</v>
      </c>
      <c r="G448" s="175" t="s">
        <v>419</v>
      </c>
      <c r="H448" s="175" t="s">
        <v>419</v>
      </c>
      <c r="I448" s="175" t="s">
        <v>419</v>
      </c>
      <c r="L448" s="175" t="s">
        <v>632</v>
      </c>
      <c r="P448" s="175" t="s">
        <v>632</v>
      </c>
      <c r="T448" s="175" t="s">
        <v>632</v>
      </c>
      <c r="X448" s="175" t="s">
        <v>632</v>
      </c>
      <c r="Z448" s="175" t="s">
        <v>419</v>
      </c>
      <c r="AA448" s="175" t="s">
        <v>632</v>
      </c>
      <c r="AB448" s="175" t="s">
        <v>419</v>
      </c>
      <c r="AC448" s="175" t="s">
        <v>419</v>
      </c>
      <c r="AD448" s="175" t="s">
        <v>419</v>
      </c>
      <c r="AE448" s="175" t="s">
        <v>419</v>
      </c>
      <c r="AF448" s="175" t="s">
        <v>232</v>
      </c>
      <c r="AG448" s="175">
        <v>1</v>
      </c>
      <c r="AH448" s="175" t="s">
        <v>640</v>
      </c>
      <c r="AI448" s="175" t="s">
        <v>640</v>
      </c>
      <c r="AJ448" s="175" t="s">
        <v>640</v>
      </c>
      <c r="AK448" s="175" t="s">
        <v>640</v>
      </c>
      <c r="AL448" s="1159" t="s">
        <v>419</v>
      </c>
      <c r="AM448" s="175" t="s">
        <v>419</v>
      </c>
      <c r="AN448" s="175" t="s">
        <v>419</v>
      </c>
      <c r="AO448" s="175" t="s">
        <v>419</v>
      </c>
      <c r="AP448" s="175">
        <v>24</v>
      </c>
      <c r="AQ448" s="175">
        <v>216</v>
      </c>
      <c r="AR448" s="175" t="s">
        <v>419</v>
      </c>
      <c r="AS448" s="192" t="s">
        <v>419</v>
      </c>
    </row>
    <row r="449" spans="1:45" ht="16.5" customHeight="1">
      <c r="A449" s="174">
        <v>46218</v>
      </c>
      <c r="B449" s="175" t="s">
        <v>235</v>
      </c>
      <c r="C449" s="175" t="s">
        <v>17289</v>
      </c>
      <c r="D449" s="175" t="s">
        <v>633</v>
      </c>
      <c r="E449" s="175" t="s">
        <v>16719</v>
      </c>
      <c r="F449" s="175" t="s">
        <v>17290</v>
      </c>
      <c r="G449" s="175">
        <v>700</v>
      </c>
      <c r="H449" s="175" t="s">
        <v>776</v>
      </c>
      <c r="I449" s="175">
        <v>5.5</v>
      </c>
      <c r="J449" s="175">
        <v>10</v>
      </c>
      <c r="K449" s="175">
        <v>0</v>
      </c>
      <c r="L449" s="175">
        <v>9440</v>
      </c>
      <c r="M449" s="175" t="s">
        <v>17315</v>
      </c>
      <c r="N449" s="175">
        <v>8</v>
      </c>
      <c r="O449" s="175">
        <v>0</v>
      </c>
      <c r="P449" s="175">
        <v>9440</v>
      </c>
      <c r="Q449" s="175" t="s">
        <v>17315</v>
      </c>
      <c r="R449" s="175">
        <v>3</v>
      </c>
      <c r="S449" s="175">
        <v>0</v>
      </c>
      <c r="T449" s="175">
        <v>9350</v>
      </c>
      <c r="U449" s="175" t="s">
        <v>17315</v>
      </c>
      <c r="V449" s="175">
        <v>16</v>
      </c>
      <c r="W449" s="175">
        <v>1</v>
      </c>
      <c r="X449" s="175">
        <v>9170</v>
      </c>
      <c r="Y449" s="175" t="s">
        <v>17315</v>
      </c>
      <c r="Z449" s="175">
        <v>5.8775510204081636</v>
      </c>
      <c r="AA449" s="175">
        <v>12.333333333333334</v>
      </c>
      <c r="AB449" s="175">
        <v>0.9991820245726496</v>
      </c>
      <c r="AC449" s="175">
        <v>93.5</v>
      </c>
      <c r="AD449" s="175">
        <v>1.5416666666666667</v>
      </c>
      <c r="AE449" s="175">
        <v>1.5</v>
      </c>
      <c r="AF449" s="175" t="s">
        <v>236</v>
      </c>
      <c r="AG449" s="175">
        <v>1</v>
      </c>
      <c r="AH449" s="175" t="s">
        <v>15337</v>
      </c>
      <c r="AI449" s="175" t="s">
        <v>15337</v>
      </c>
      <c r="AJ449" s="175" t="s">
        <v>639</v>
      </c>
      <c r="AK449" s="175" t="s">
        <v>639</v>
      </c>
      <c r="AL449" s="1159" t="s">
        <v>251</v>
      </c>
      <c r="AM449" s="175" t="s">
        <v>460</v>
      </c>
      <c r="AN449" s="175">
        <v>1.1890000000000001</v>
      </c>
      <c r="AO449" s="175">
        <v>3</v>
      </c>
      <c r="AP449" s="175">
        <v>24</v>
      </c>
      <c r="AQ449" s="175">
        <v>216</v>
      </c>
      <c r="AR449" s="175">
        <v>4</v>
      </c>
      <c r="AS449" s="192">
        <v>24655.103999999999</v>
      </c>
    </row>
    <row r="450" spans="1:45" ht="16.5" customHeight="1">
      <c r="A450" s="174">
        <v>46218</v>
      </c>
      <c r="B450" s="175" t="s">
        <v>237</v>
      </c>
      <c r="C450" s="175" t="s">
        <v>17251</v>
      </c>
      <c r="D450" s="175" t="s">
        <v>633</v>
      </c>
      <c r="E450" s="175" t="s">
        <v>16719</v>
      </c>
      <c r="F450" s="175" t="s">
        <v>17253</v>
      </c>
      <c r="G450" s="175">
        <v>700</v>
      </c>
      <c r="H450" s="175" t="s">
        <v>646</v>
      </c>
      <c r="I450" s="175">
        <v>5.5</v>
      </c>
      <c r="L450" s="175" t="s">
        <v>127</v>
      </c>
      <c r="P450" s="175" t="s">
        <v>127</v>
      </c>
      <c r="T450" s="175" t="s">
        <v>127</v>
      </c>
      <c r="V450" s="175">
        <v>63</v>
      </c>
      <c r="W450" s="175">
        <v>0</v>
      </c>
      <c r="X450" s="175" t="s">
        <v>127</v>
      </c>
      <c r="Z450" s="175">
        <v>5.8775510204081636</v>
      </c>
      <c r="AA450" s="175" t="s">
        <v>127</v>
      </c>
      <c r="AB450" s="175" t="s">
        <v>419</v>
      </c>
      <c r="AC450" s="175" t="s">
        <v>419</v>
      </c>
      <c r="AD450" s="175" t="s">
        <v>419</v>
      </c>
      <c r="AE450" s="175" t="s">
        <v>419</v>
      </c>
      <c r="AF450" s="175" t="s">
        <v>236</v>
      </c>
      <c r="AG450" s="175">
        <v>1</v>
      </c>
      <c r="AH450" s="175" t="s">
        <v>15337</v>
      </c>
      <c r="AI450" s="175" t="s">
        <v>15337</v>
      </c>
      <c r="AJ450" s="175" t="s">
        <v>639</v>
      </c>
      <c r="AK450" s="175" t="s">
        <v>639</v>
      </c>
      <c r="AL450" s="1159" t="s">
        <v>250</v>
      </c>
      <c r="AM450" s="175" t="s">
        <v>460</v>
      </c>
      <c r="AN450" s="175">
        <v>1.1890000000000001</v>
      </c>
      <c r="AO450" s="175">
        <v>2.9</v>
      </c>
      <c r="AP450" s="175">
        <v>24</v>
      </c>
      <c r="AQ450" s="175">
        <v>216</v>
      </c>
      <c r="AR450" s="175">
        <v>3.9</v>
      </c>
      <c r="AS450" s="192">
        <v>24038.7264</v>
      </c>
    </row>
    <row r="451" spans="1:45" ht="16.5" customHeight="1">
      <c r="A451" s="174">
        <v>46218</v>
      </c>
      <c r="B451" s="175" t="s">
        <v>238</v>
      </c>
      <c r="C451" s="175" t="s">
        <v>17248</v>
      </c>
      <c r="D451" s="175" t="s">
        <v>633</v>
      </c>
      <c r="E451" s="175" t="s">
        <v>16719</v>
      </c>
      <c r="F451" s="175" t="s">
        <v>17249</v>
      </c>
      <c r="G451" s="175">
        <v>600</v>
      </c>
      <c r="H451" s="175" t="s">
        <v>877</v>
      </c>
      <c r="I451" s="175">
        <v>5.5</v>
      </c>
      <c r="J451" s="175">
        <v>34</v>
      </c>
      <c r="K451" s="175">
        <v>2</v>
      </c>
      <c r="L451" s="175">
        <v>9440</v>
      </c>
      <c r="M451" s="175">
        <v>9810</v>
      </c>
      <c r="N451" s="175">
        <v>11</v>
      </c>
      <c r="O451" s="175">
        <v>1</v>
      </c>
      <c r="P451" s="175">
        <v>9440</v>
      </c>
      <c r="Q451" s="175">
        <v>9810</v>
      </c>
      <c r="R451" s="175">
        <v>13</v>
      </c>
      <c r="S451" s="175">
        <v>0</v>
      </c>
      <c r="T451" s="175">
        <v>9440</v>
      </c>
      <c r="U451" s="175">
        <v>9810</v>
      </c>
      <c r="V451" s="175">
        <v>28</v>
      </c>
      <c r="W451" s="175">
        <v>0</v>
      </c>
      <c r="X451" s="175">
        <v>9350</v>
      </c>
      <c r="Y451" s="175">
        <v>9810</v>
      </c>
      <c r="Z451" s="175">
        <v>5.034965034965035</v>
      </c>
      <c r="AA451" s="175">
        <v>28.666666666666668</v>
      </c>
      <c r="AB451" s="175">
        <v>0.99713541666666672</v>
      </c>
      <c r="AC451" s="175">
        <v>96.137500000000003</v>
      </c>
      <c r="AD451" s="175">
        <v>3.5833333333333335</v>
      </c>
      <c r="AE451" s="175">
        <v>3.4583333333333335</v>
      </c>
      <c r="AF451" s="175" t="s">
        <v>236</v>
      </c>
      <c r="AG451" s="175">
        <v>1</v>
      </c>
      <c r="AH451" s="175" t="s">
        <v>15337</v>
      </c>
      <c r="AI451" s="175" t="s">
        <v>16113</v>
      </c>
      <c r="AJ451" s="175" t="s">
        <v>652</v>
      </c>
      <c r="AK451" s="175" t="s">
        <v>652</v>
      </c>
      <c r="AL451" s="1159" t="s">
        <v>251</v>
      </c>
      <c r="AM451" s="175" t="s">
        <v>460</v>
      </c>
      <c r="AN451" s="175">
        <v>1.1890000000000001</v>
      </c>
      <c r="AO451" s="175">
        <v>2.8</v>
      </c>
      <c r="AP451" s="175">
        <v>24</v>
      </c>
      <c r="AQ451" s="175">
        <v>216</v>
      </c>
      <c r="AR451" s="175">
        <v>3.8</v>
      </c>
      <c r="AS451" s="192">
        <v>23422.3488</v>
      </c>
    </row>
    <row r="452" spans="1:45" ht="16.5" customHeight="1">
      <c r="A452" s="174">
        <v>46218</v>
      </c>
      <c r="B452" s="175" t="s">
        <v>239</v>
      </c>
      <c r="C452" s="175" t="s">
        <v>17266</v>
      </c>
      <c r="E452" s="175" t="s">
        <v>754</v>
      </c>
      <c r="F452" s="175" t="s">
        <v>17267</v>
      </c>
      <c r="G452" s="175">
        <v>600</v>
      </c>
      <c r="H452" s="175" t="s">
        <v>842</v>
      </c>
      <c r="I452" s="175">
        <v>4</v>
      </c>
      <c r="J452" s="175">
        <v>7</v>
      </c>
      <c r="K452" s="175">
        <v>3</v>
      </c>
      <c r="L452" s="175">
        <v>9540</v>
      </c>
      <c r="N452" s="175">
        <v>4</v>
      </c>
      <c r="O452" s="175">
        <v>0</v>
      </c>
      <c r="P452" s="175">
        <v>9540</v>
      </c>
      <c r="R452" s="175">
        <v>1</v>
      </c>
      <c r="S452" s="175">
        <v>0</v>
      </c>
      <c r="T452" s="175">
        <v>9540</v>
      </c>
      <c r="V452" s="175">
        <v>13</v>
      </c>
      <c r="W452" s="175">
        <v>5</v>
      </c>
      <c r="X452" s="175">
        <v>9350</v>
      </c>
      <c r="Z452" s="175">
        <v>3.6</v>
      </c>
      <c r="AA452" s="175">
        <v>16.666666666666668</v>
      </c>
      <c r="AB452" s="175">
        <v>0.98931623931623935</v>
      </c>
      <c r="AC452" s="175">
        <v>94.924999999999997</v>
      </c>
      <c r="AD452" s="175">
        <v>2.0833333333333335</v>
      </c>
      <c r="AE452" s="175">
        <v>1.4166666666666667</v>
      </c>
      <c r="AF452" s="175" t="s">
        <v>236</v>
      </c>
      <c r="AG452" s="175">
        <v>2</v>
      </c>
      <c r="AH452" s="175" t="s">
        <v>638</v>
      </c>
      <c r="AI452" s="175" t="s">
        <v>16113</v>
      </c>
      <c r="AJ452" s="175" t="s">
        <v>639</v>
      </c>
      <c r="AK452" s="175" t="s">
        <v>639</v>
      </c>
      <c r="AL452" s="1159" t="s">
        <v>251</v>
      </c>
      <c r="AM452" s="175" t="s">
        <v>126</v>
      </c>
      <c r="AN452" s="175">
        <v>0.91100000000000003</v>
      </c>
      <c r="AO452" s="175">
        <v>1.5</v>
      </c>
      <c r="AP452" s="175">
        <v>24</v>
      </c>
      <c r="AQ452" s="175">
        <v>216</v>
      </c>
      <c r="AR452" s="175">
        <v>2.5</v>
      </c>
      <c r="AS452" s="192">
        <v>11806.560000000001</v>
      </c>
    </row>
    <row r="453" spans="1:45" ht="16.5" customHeight="1">
      <c r="A453" s="174">
        <v>46218</v>
      </c>
      <c r="B453" s="175" t="s">
        <v>239</v>
      </c>
      <c r="C453" s="175" t="s">
        <v>17241</v>
      </c>
      <c r="E453" s="175" t="s">
        <v>16723</v>
      </c>
      <c r="F453" s="175" t="s">
        <v>17243</v>
      </c>
      <c r="G453" s="175">
        <v>550</v>
      </c>
      <c r="H453" s="175" t="s">
        <v>868</v>
      </c>
      <c r="I453" s="175">
        <v>5.5</v>
      </c>
      <c r="L453" s="175" t="s">
        <v>127</v>
      </c>
      <c r="M453" s="175" t="s">
        <v>127</v>
      </c>
      <c r="Q453" s="175" t="s">
        <v>127</v>
      </c>
      <c r="U453" s="175" t="s">
        <v>127</v>
      </c>
      <c r="V453" s="175">
        <v>3</v>
      </c>
      <c r="W453" s="175">
        <v>1</v>
      </c>
      <c r="Y453" s="175" t="s">
        <v>127</v>
      </c>
      <c r="Z453" s="175">
        <v>6.6055045871559646</v>
      </c>
      <c r="AA453" s="175" t="s">
        <v>127</v>
      </c>
      <c r="AB453" s="175" t="s">
        <v>419</v>
      </c>
      <c r="AC453" s="175" t="s">
        <v>419</v>
      </c>
      <c r="AD453" s="175" t="s">
        <v>419</v>
      </c>
      <c r="AE453" s="175" t="s">
        <v>419</v>
      </c>
      <c r="AF453" s="175" t="s">
        <v>236</v>
      </c>
      <c r="AG453" s="175">
        <v>2</v>
      </c>
      <c r="AH453" s="175" t="s">
        <v>638</v>
      </c>
      <c r="AI453" s="175" t="s">
        <v>16113</v>
      </c>
      <c r="AJ453" s="175" t="s">
        <v>639</v>
      </c>
      <c r="AK453" s="175" t="s">
        <v>639</v>
      </c>
      <c r="AM453" s="175" t="s">
        <v>643</v>
      </c>
      <c r="AN453" s="175">
        <v>1.859</v>
      </c>
      <c r="AO453" s="175">
        <v>3.3</v>
      </c>
      <c r="AP453" s="175">
        <v>24</v>
      </c>
      <c r="AQ453" s="175">
        <v>216</v>
      </c>
      <c r="AR453" s="175">
        <v>4.3</v>
      </c>
      <c r="AS453" s="192">
        <v>41439.340799999998</v>
      </c>
    </row>
    <row r="454" spans="1:45" ht="16.5" customHeight="1">
      <c r="A454" s="174">
        <v>46218</v>
      </c>
      <c r="B454" s="175" t="s">
        <v>388</v>
      </c>
      <c r="C454" s="175" t="s">
        <v>17296</v>
      </c>
      <c r="D454" s="175" t="s">
        <v>633</v>
      </c>
      <c r="E454" s="175" t="s">
        <v>16719</v>
      </c>
      <c r="F454" s="175" t="s">
        <v>17290</v>
      </c>
      <c r="G454" s="175">
        <v>700</v>
      </c>
      <c r="H454" s="175" t="s">
        <v>15541</v>
      </c>
      <c r="I454" s="175">
        <v>5.5</v>
      </c>
      <c r="J454" s="175">
        <v>14</v>
      </c>
      <c r="K454" s="175">
        <v>2</v>
      </c>
      <c r="L454" s="175">
        <v>10000</v>
      </c>
      <c r="M454" s="175" t="s">
        <v>17315</v>
      </c>
      <c r="N454" s="175">
        <v>6</v>
      </c>
      <c r="O454" s="175">
        <v>1</v>
      </c>
      <c r="P454" s="175">
        <v>9910</v>
      </c>
      <c r="Q454" s="175" t="s">
        <v>17315</v>
      </c>
      <c r="R454" s="175">
        <v>4</v>
      </c>
      <c r="S454" s="175">
        <v>0</v>
      </c>
      <c r="T454" s="175">
        <v>9910</v>
      </c>
      <c r="U454" s="175" t="s">
        <v>17315</v>
      </c>
      <c r="V454" s="175">
        <v>10</v>
      </c>
      <c r="W454" s="175">
        <v>0</v>
      </c>
      <c r="X454" s="175">
        <v>9810</v>
      </c>
      <c r="Y454" s="175" t="s">
        <v>17315</v>
      </c>
      <c r="Z454" s="175">
        <v>5.8299595141700413</v>
      </c>
      <c r="AA454" s="175">
        <v>22.666666666666668</v>
      </c>
      <c r="AB454" s="175">
        <v>0.9975260416666667</v>
      </c>
      <c r="AC454" s="175">
        <v>99.075000000000003</v>
      </c>
      <c r="AD454" s="175">
        <v>2.8333333333333335</v>
      </c>
      <c r="AE454" s="175">
        <v>2.5833333333333335</v>
      </c>
      <c r="AF454" s="175" t="s">
        <v>236</v>
      </c>
      <c r="AG454" s="175">
        <v>2</v>
      </c>
      <c r="AH454" s="175" t="s">
        <v>638</v>
      </c>
      <c r="AI454" s="175" t="s">
        <v>638</v>
      </c>
      <c r="AJ454" s="175" t="s">
        <v>652</v>
      </c>
      <c r="AK454" s="175" t="s">
        <v>652</v>
      </c>
      <c r="AL454" s="1159" t="s">
        <v>251</v>
      </c>
      <c r="AM454" s="175" t="s">
        <v>460</v>
      </c>
      <c r="AN454" s="175">
        <v>1.1890000000000001</v>
      </c>
      <c r="AO454" s="175">
        <v>2.8</v>
      </c>
      <c r="AP454" s="175">
        <v>24</v>
      </c>
      <c r="AQ454" s="175">
        <v>216</v>
      </c>
      <c r="AR454" s="175">
        <v>3.8</v>
      </c>
      <c r="AS454" s="192">
        <v>23422.3488</v>
      </c>
    </row>
    <row r="455" spans="1:45" ht="16.5" customHeight="1">
      <c r="A455" s="174">
        <v>46218</v>
      </c>
      <c r="B455" s="175" t="s">
        <v>417</v>
      </c>
      <c r="C455" s="175" t="s">
        <v>17291</v>
      </c>
      <c r="D455" s="175" t="s">
        <v>633</v>
      </c>
      <c r="E455" s="175" t="s">
        <v>16719</v>
      </c>
      <c r="F455" s="175" t="s">
        <v>17290</v>
      </c>
      <c r="G455" s="175">
        <v>700</v>
      </c>
      <c r="H455" s="175" t="s">
        <v>724</v>
      </c>
      <c r="I455" s="175">
        <v>5.5</v>
      </c>
      <c r="J455" s="175">
        <v>24</v>
      </c>
      <c r="K455" s="175">
        <v>6</v>
      </c>
      <c r="L455" s="175">
        <v>10000</v>
      </c>
      <c r="M455" s="175">
        <v>6540</v>
      </c>
      <c r="N455" s="175">
        <v>3</v>
      </c>
      <c r="O455" s="175">
        <v>0</v>
      </c>
      <c r="P455" s="175">
        <v>10000</v>
      </c>
      <c r="Q455" s="175">
        <v>9540</v>
      </c>
      <c r="R455" s="175">
        <v>8</v>
      </c>
      <c r="S455" s="175">
        <v>0</v>
      </c>
      <c r="T455" s="175">
        <v>10000</v>
      </c>
      <c r="U455" s="175">
        <v>9540</v>
      </c>
      <c r="V455" s="175">
        <v>14</v>
      </c>
      <c r="W455" s="175">
        <v>0</v>
      </c>
      <c r="X455" s="175">
        <v>100</v>
      </c>
      <c r="Y455" s="175">
        <v>9540</v>
      </c>
      <c r="Z455" s="175">
        <v>5.8299595141700413</v>
      </c>
      <c r="AA455" s="175">
        <v>16.333333333333332</v>
      </c>
      <c r="AB455" s="175">
        <v>0.99505208333333328</v>
      </c>
      <c r="AC455" s="175">
        <v>81.575000000000003</v>
      </c>
      <c r="AD455" s="175">
        <v>2.0416666666666665</v>
      </c>
      <c r="AE455" s="175">
        <v>1.7916666666666667</v>
      </c>
      <c r="AF455" s="175" t="s">
        <v>236</v>
      </c>
      <c r="AG455" s="175">
        <v>1</v>
      </c>
      <c r="AH455" s="175" t="s">
        <v>638</v>
      </c>
      <c r="AI455" s="175" t="s">
        <v>638</v>
      </c>
      <c r="AJ455" s="175" t="s">
        <v>652</v>
      </c>
      <c r="AK455" s="175" t="s">
        <v>652</v>
      </c>
      <c r="AL455" s="1159" t="s">
        <v>251</v>
      </c>
      <c r="AM455" s="175" t="s">
        <v>460</v>
      </c>
      <c r="AN455" s="175">
        <v>1.1890000000000001</v>
      </c>
      <c r="AO455" s="175">
        <v>2.8</v>
      </c>
      <c r="AP455" s="175">
        <v>24</v>
      </c>
      <c r="AQ455" s="175">
        <v>216</v>
      </c>
      <c r="AR455" s="175">
        <v>3.8</v>
      </c>
      <c r="AS455" s="192">
        <v>23422.3488</v>
      </c>
    </row>
    <row r="456" spans="1:45" ht="16.5" customHeight="1">
      <c r="A456" s="174">
        <v>46218</v>
      </c>
      <c r="B456" s="175" t="s">
        <v>240</v>
      </c>
      <c r="C456" s="175" t="s">
        <v>17429</v>
      </c>
      <c r="E456" s="175" t="s">
        <v>17434</v>
      </c>
      <c r="F456" s="175" t="s">
        <v>17435</v>
      </c>
      <c r="G456" s="175">
        <v>550</v>
      </c>
      <c r="H456" s="175" t="s">
        <v>884</v>
      </c>
      <c r="I456" s="175">
        <v>4</v>
      </c>
      <c r="J456" s="175">
        <v>17</v>
      </c>
      <c r="K456" s="175">
        <v>0</v>
      </c>
      <c r="L456" s="175">
        <v>4064</v>
      </c>
      <c r="N456" s="175">
        <v>2</v>
      </c>
      <c r="O456" s="175">
        <v>0</v>
      </c>
      <c r="P456" s="175">
        <v>3962</v>
      </c>
      <c r="R456" s="175">
        <v>4</v>
      </c>
      <c r="S456" s="175">
        <v>0</v>
      </c>
      <c r="T456" s="175">
        <v>3909</v>
      </c>
      <c r="V456" s="175">
        <v>10</v>
      </c>
      <c r="W456" s="175">
        <v>0</v>
      </c>
      <c r="X456" s="175">
        <v>3457</v>
      </c>
      <c r="Z456" s="175">
        <v>1.6179775280898876</v>
      </c>
      <c r="AA456" s="175">
        <v>99</v>
      </c>
      <c r="AB456" s="175">
        <v>1</v>
      </c>
      <c r="AC456" s="175">
        <v>38.479999999999997</v>
      </c>
      <c r="AD456" s="175">
        <v>12.375</v>
      </c>
      <c r="AE456" s="175">
        <v>12.375</v>
      </c>
      <c r="AF456" s="175" t="s">
        <v>241</v>
      </c>
      <c r="AG456" s="175">
        <v>9</v>
      </c>
      <c r="AH456" s="175" t="s">
        <v>634</v>
      </c>
      <c r="AI456" s="175" t="s">
        <v>634</v>
      </c>
      <c r="AJ456" s="175" t="s">
        <v>636</v>
      </c>
      <c r="AK456" s="175" t="s">
        <v>636</v>
      </c>
      <c r="AL456" s="1159" t="s">
        <v>251</v>
      </c>
      <c r="AM456" s="175" t="s">
        <v>626</v>
      </c>
      <c r="AN456" s="175">
        <v>0.66900000000000004</v>
      </c>
      <c r="AO456" s="175">
        <v>1.6</v>
      </c>
      <c r="AP456" s="175">
        <v>24</v>
      </c>
      <c r="AQ456" s="175">
        <v>108</v>
      </c>
      <c r="AR456" s="175">
        <v>2.6</v>
      </c>
      <c r="AS456" s="192">
        <v>4508.5248000000011</v>
      </c>
    </row>
    <row r="457" spans="1:45" ht="16.5" customHeight="1">
      <c r="A457" s="174">
        <v>46218</v>
      </c>
      <c r="B457" s="175" t="s">
        <v>242</v>
      </c>
      <c r="C457" s="175" t="s">
        <v>385</v>
      </c>
      <c r="E457" s="175" t="s">
        <v>419</v>
      </c>
      <c r="F457" s="175" t="s">
        <v>419</v>
      </c>
      <c r="G457" s="175" t="s">
        <v>419</v>
      </c>
      <c r="H457" s="175" t="s">
        <v>419</v>
      </c>
      <c r="I457" s="175" t="s">
        <v>419</v>
      </c>
      <c r="L457" s="175" t="s">
        <v>385</v>
      </c>
      <c r="P457" s="175" t="s">
        <v>385</v>
      </c>
      <c r="T457" s="175" t="s">
        <v>385</v>
      </c>
      <c r="X457" s="175" t="s">
        <v>385</v>
      </c>
      <c r="Z457" s="175" t="s">
        <v>419</v>
      </c>
      <c r="AA457" s="175" t="s">
        <v>385</v>
      </c>
      <c r="AB457" s="175" t="s">
        <v>419</v>
      </c>
      <c r="AC457" s="175" t="s">
        <v>419</v>
      </c>
      <c r="AD457" s="175" t="s">
        <v>419</v>
      </c>
      <c r="AE457" s="175" t="s">
        <v>419</v>
      </c>
      <c r="AF457" s="175" t="s">
        <v>241</v>
      </c>
      <c r="AG457" s="175">
        <v>5</v>
      </c>
      <c r="AH457" s="175" t="s">
        <v>634</v>
      </c>
      <c r="AI457" s="175" t="s">
        <v>634</v>
      </c>
      <c r="AJ457" s="175" t="s">
        <v>636</v>
      </c>
      <c r="AK457" s="175" t="s">
        <v>636</v>
      </c>
      <c r="AL457" s="1159" t="s">
        <v>419</v>
      </c>
      <c r="AM457" s="175" t="s">
        <v>419</v>
      </c>
      <c r="AN457" s="175" t="s">
        <v>419</v>
      </c>
      <c r="AO457" s="175" t="s">
        <v>419</v>
      </c>
      <c r="AP457" s="175">
        <v>24</v>
      </c>
      <c r="AQ457" s="175">
        <v>216</v>
      </c>
      <c r="AR457" s="175" t="s">
        <v>419</v>
      </c>
      <c r="AS457" s="192" t="s">
        <v>419</v>
      </c>
    </row>
    <row r="458" spans="1:45" ht="16.5" customHeight="1">
      <c r="A458" s="174">
        <v>46219</v>
      </c>
      <c r="B458" s="175" t="s">
        <v>212</v>
      </c>
      <c r="C458" s="175" t="s">
        <v>632</v>
      </c>
      <c r="E458" s="175" t="s">
        <v>419</v>
      </c>
      <c r="F458" s="175" t="s">
        <v>419</v>
      </c>
      <c r="G458" s="175" t="s">
        <v>419</v>
      </c>
      <c r="H458" s="175" t="s">
        <v>419</v>
      </c>
      <c r="I458" s="175" t="s">
        <v>419</v>
      </c>
      <c r="L458" s="175" t="s">
        <v>632</v>
      </c>
      <c r="P458" s="175" t="s">
        <v>632</v>
      </c>
      <c r="T458" s="175" t="s">
        <v>632</v>
      </c>
      <c r="X458" s="175" t="s">
        <v>632</v>
      </c>
      <c r="Z458" s="175" t="s">
        <v>419</v>
      </c>
      <c r="AA458" s="175" t="s">
        <v>632</v>
      </c>
      <c r="AB458" s="175" t="s">
        <v>419</v>
      </c>
      <c r="AC458" s="175" t="s">
        <v>419</v>
      </c>
      <c r="AD458" s="175" t="s">
        <v>419</v>
      </c>
      <c r="AE458" s="175" t="s">
        <v>419</v>
      </c>
      <c r="AF458" s="175" t="s">
        <v>213</v>
      </c>
      <c r="AG458" s="175">
        <v>1</v>
      </c>
      <c r="AH458" s="175" t="s">
        <v>640</v>
      </c>
      <c r="AI458" s="175" t="s">
        <v>640</v>
      </c>
      <c r="AJ458" s="175" t="s">
        <v>640</v>
      </c>
      <c r="AK458" s="175" t="s">
        <v>640</v>
      </c>
      <c r="AL458" s="1159" t="s">
        <v>419</v>
      </c>
      <c r="AM458" s="175" t="s">
        <v>419</v>
      </c>
      <c r="AN458" s="175" t="s">
        <v>419</v>
      </c>
      <c r="AO458" s="175" t="s">
        <v>419</v>
      </c>
      <c r="AP458" s="175">
        <v>24</v>
      </c>
      <c r="AQ458" s="175">
        <v>216</v>
      </c>
      <c r="AR458" s="175" t="s">
        <v>419</v>
      </c>
      <c r="AS458" s="192" t="s">
        <v>419</v>
      </c>
    </row>
    <row r="459" spans="1:45" ht="16.5" customHeight="1">
      <c r="A459" s="174">
        <v>46219</v>
      </c>
      <c r="B459" s="175" t="s">
        <v>214</v>
      </c>
      <c r="C459" s="175" t="s">
        <v>632</v>
      </c>
      <c r="E459" s="175" t="s">
        <v>419</v>
      </c>
      <c r="F459" s="175" t="s">
        <v>419</v>
      </c>
      <c r="G459" s="175" t="s">
        <v>419</v>
      </c>
      <c r="H459" s="175" t="s">
        <v>419</v>
      </c>
      <c r="I459" s="175" t="s">
        <v>419</v>
      </c>
      <c r="L459" s="175" t="s">
        <v>632</v>
      </c>
      <c r="P459" s="175" t="s">
        <v>632</v>
      </c>
      <c r="T459" s="175" t="s">
        <v>632</v>
      </c>
      <c r="X459" s="175" t="s">
        <v>632</v>
      </c>
      <c r="Z459" s="175" t="s">
        <v>419</v>
      </c>
      <c r="AA459" s="175" t="s">
        <v>632</v>
      </c>
      <c r="AB459" s="175" t="s">
        <v>419</v>
      </c>
      <c r="AC459" s="175" t="s">
        <v>419</v>
      </c>
      <c r="AD459" s="175" t="s">
        <v>419</v>
      </c>
      <c r="AE459" s="175" t="s">
        <v>419</v>
      </c>
      <c r="AF459" s="175" t="s">
        <v>213</v>
      </c>
      <c r="AG459" s="175">
        <v>1</v>
      </c>
      <c r="AH459" s="175" t="s">
        <v>640</v>
      </c>
      <c r="AI459" s="175" t="s">
        <v>640</v>
      </c>
      <c r="AJ459" s="175" t="s">
        <v>640</v>
      </c>
      <c r="AK459" s="175" t="s">
        <v>640</v>
      </c>
      <c r="AL459" s="1159" t="s">
        <v>419</v>
      </c>
      <c r="AM459" s="175" t="s">
        <v>419</v>
      </c>
      <c r="AN459" s="175" t="s">
        <v>419</v>
      </c>
      <c r="AO459" s="175" t="s">
        <v>419</v>
      </c>
      <c r="AP459" s="175">
        <v>24</v>
      </c>
      <c r="AQ459" s="175">
        <v>216</v>
      </c>
      <c r="AR459" s="175" t="s">
        <v>419</v>
      </c>
      <c r="AS459" s="192" t="s">
        <v>419</v>
      </c>
    </row>
    <row r="460" spans="1:45" ht="16.5" customHeight="1">
      <c r="A460" s="174">
        <v>46219</v>
      </c>
      <c r="B460" s="175" t="s">
        <v>215</v>
      </c>
      <c r="C460" s="175" t="s">
        <v>17316</v>
      </c>
      <c r="E460" s="175" t="s">
        <v>5005</v>
      </c>
      <c r="F460" s="175" t="s">
        <v>17317</v>
      </c>
      <c r="G460" s="175">
        <v>500</v>
      </c>
      <c r="H460" s="175" t="s">
        <v>1186</v>
      </c>
      <c r="I460" s="175">
        <v>4</v>
      </c>
      <c r="L460" s="175" t="s">
        <v>127</v>
      </c>
      <c r="P460" s="175" t="s">
        <v>127</v>
      </c>
      <c r="T460" s="175" t="s">
        <v>127</v>
      </c>
      <c r="X460" s="175" t="s">
        <v>127</v>
      </c>
      <c r="Z460" s="175">
        <v>2.9937629937629939</v>
      </c>
      <c r="AA460" s="175" t="s">
        <v>127</v>
      </c>
      <c r="AB460" s="175" t="s">
        <v>419</v>
      </c>
      <c r="AC460" s="175" t="s">
        <v>419</v>
      </c>
      <c r="AD460" s="175" t="s">
        <v>419</v>
      </c>
      <c r="AE460" s="175" t="s">
        <v>419</v>
      </c>
      <c r="AF460" s="175" t="s">
        <v>213</v>
      </c>
      <c r="AG460" s="175">
        <v>1</v>
      </c>
      <c r="AH460" s="175" t="s">
        <v>15376</v>
      </c>
      <c r="AI460" s="175" t="s">
        <v>15376</v>
      </c>
      <c r="AJ460" s="175" t="s">
        <v>725</v>
      </c>
      <c r="AK460" s="175" t="s">
        <v>725</v>
      </c>
      <c r="AL460" s="1159" t="s">
        <v>250</v>
      </c>
      <c r="AM460" s="175" t="s">
        <v>126</v>
      </c>
      <c r="AN460" s="175">
        <v>0.91100000000000003</v>
      </c>
      <c r="AO460" s="175">
        <v>1.9</v>
      </c>
      <c r="AP460" s="175">
        <v>24</v>
      </c>
      <c r="AQ460" s="175">
        <v>216</v>
      </c>
      <c r="AR460" s="175">
        <v>2.9</v>
      </c>
      <c r="AS460" s="192">
        <v>13695.6096</v>
      </c>
    </row>
    <row r="461" spans="1:45" ht="16.5" customHeight="1">
      <c r="A461" s="174">
        <v>46219</v>
      </c>
      <c r="B461" s="175" t="s">
        <v>216</v>
      </c>
      <c r="C461" s="175" t="s">
        <v>632</v>
      </c>
      <c r="E461" s="175" t="s">
        <v>419</v>
      </c>
      <c r="F461" s="175" t="s">
        <v>419</v>
      </c>
      <c r="G461" s="175" t="s">
        <v>419</v>
      </c>
      <c r="H461" s="175" t="s">
        <v>419</v>
      </c>
      <c r="I461" s="175" t="s">
        <v>419</v>
      </c>
      <c r="L461" s="175" t="s">
        <v>632</v>
      </c>
      <c r="P461" s="175" t="s">
        <v>632</v>
      </c>
      <c r="T461" s="175" t="s">
        <v>632</v>
      </c>
      <c r="X461" s="175" t="s">
        <v>632</v>
      </c>
      <c r="Z461" s="175" t="s">
        <v>419</v>
      </c>
      <c r="AA461" s="175" t="s">
        <v>632</v>
      </c>
      <c r="AB461" s="175" t="s">
        <v>419</v>
      </c>
      <c r="AC461" s="175" t="s">
        <v>419</v>
      </c>
      <c r="AD461" s="175" t="s">
        <v>419</v>
      </c>
      <c r="AE461" s="175" t="s">
        <v>419</v>
      </c>
      <c r="AF461" s="175" t="s">
        <v>213</v>
      </c>
      <c r="AG461" s="175">
        <v>1</v>
      </c>
      <c r="AH461" s="175" t="s">
        <v>640</v>
      </c>
      <c r="AI461" s="175" t="s">
        <v>640</v>
      </c>
      <c r="AJ461" s="175" t="s">
        <v>640</v>
      </c>
      <c r="AK461" s="175" t="s">
        <v>640</v>
      </c>
      <c r="AL461" s="1159" t="s">
        <v>419</v>
      </c>
      <c r="AM461" s="175" t="s">
        <v>419</v>
      </c>
      <c r="AN461" s="175" t="s">
        <v>419</v>
      </c>
      <c r="AO461" s="175" t="s">
        <v>419</v>
      </c>
      <c r="AP461" s="175">
        <v>24</v>
      </c>
      <c r="AQ461" s="175">
        <v>216</v>
      </c>
      <c r="AR461" s="175" t="s">
        <v>419</v>
      </c>
      <c r="AS461" s="192" t="s">
        <v>419</v>
      </c>
    </row>
    <row r="462" spans="1:45" ht="16.5" customHeight="1">
      <c r="A462" s="174">
        <v>46219</v>
      </c>
      <c r="B462" s="175" t="s">
        <v>217</v>
      </c>
      <c r="C462" s="175" t="s">
        <v>17380</v>
      </c>
      <c r="E462" s="175" t="s">
        <v>17381</v>
      </c>
      <c r="F462" s="175" t="s">
        <v>17382</v>
      </c>
      <c r="G462" s="175">
        <v>680</v>
      </c>
      <c r="H462" s="175" t="s">
        <v>16728</v>
      </c>
      <c r="I462" s="175">
        <v>5</v>
      </c>
      <c r="L462" s="175" t="s">
        <v>127</v>
      </c>
      <c r="P462" s="175" t="s">
        <v>127</v>
      </c>
      <c r="T462" s="175" t="s">
        <v>127</v>
      </c>
      <c r="X462" s="175" t="s">
        <v>127</v>
      </c>
      <c r="Z462" s="175">
        <v>1.5824175824175823</v>
      </c>
      <c r="AA462" s="175" t="s">
        <v>127</v>
      </c>
      <c r="AB462" s="175" t="s">
        <v>419</v>
      </c>
      <c r="AC462" s="175" t="s">
        <v>419</v>
      </c>
      <c r="AD462" s="175" t="s">
        <v>419</v>
      </c>
      <c r="AE462" s="175" t="s">
        <v>419</v>
      </c>
      <c r="AF462" s="175" t="s">
        <v>213</v>
      </c>
      <c r="AG462" s="175">
        <v>1</v>
      </c>
      <c r="AH462" s="175" t="s">
        <v>15376</v>
      </c>
      <c r="AI462" s="175" t="s">
        <v>15376</v>
      </c>
      <c r="AJ462" s="175" t="s">
        <v>725</v>
      </c>
      <c r="AK462" s="175" t="s">
        <v>725</v>
      </c>
      <c r="AL462" s="1159" t="s">
        <v>251</v>
      </c>
      <c r="AM462" s="175" t="s">
        <v>126</v>
      </c>
      <c r="AN462" s="175">
        <v>0.91100000000000003</v>
      </c>
      <c r="AO462" s="175">
        <v>1.3</v>
      </c>
      <c r="AP462" s="175">
        <v>24</v>
      </c>
      <c r="AQ462" s="175">
        <v>216</v>
      </c>
      <c r="AR462" s="175">
        <v>2.2999999999999998</v>
      </c>
      <c r="AS462" s="192">
        <v>10862.035199999998</v>
      </c>
    </row>
    <row r="463" spans="1:45" ht="16.5" customHeight="1">
      <c r="A463" s="174">
        <v>46219</v>
      </c>
      <c r="B463" s="175" t="s">
        <v>218</v>
      </c>
      <c r="C463" s="175" t="s">
        <v>17221</v>
      </c>
      <c r="E463" s="175" t="s">
        <v>17237</v>
      </c>
      <c r="F463" s="175" t="s">
        <v>17229</v>
      </c>
      <c r="G463" s="175">
        <v>600</v>
      </c>
      <c r="H463" s="175" t="s">
        <v>15893</v>
      </c>
      <c r="I463" s="175">
        <v>5</v>
      </c>
      <c r="J463" s="175">
        <v>12</v>
      </c>
      <c r="K463" s="175">
        <v>0</v>
      </c>
      <c r="L463" s="175">
        <v>9336</v>
      </c>
      <c r="M463" s="175">
        <v>9463</v>
      </c>
      <c r="N463" s="175">
        <v>0</v>
      </c>
      <c r="O463" s="175">
        <v>0</v>
      </c>
      <c r="P463" s="175">
        <v>9112</v>
      </c>
      <c r="Q463" s="175">
        <v>9185</v>
      </c>
      <c r="R463" s="175">
        <v>16</v>
      </c>
      <c r="S463" s="175">
        <v>0</v>
      </c>
      <c r="T463" s="175">
        <v>9270</v>
      </c>
      <c r="U463" s="175">
        <v>9019</v>
      </c>
      <c r="V463" s="175">
        <v>14</v>
      </c>
      <c r="W463" s="175">
        <v>0</v>
      </c>
      <c r="X463" s="175">
        <v>8743</v>
      </c>
      <c r="Y463" s="175">
        <v>9259</v>
      </c>
      <c r="Z463" s="175">
        <v>2.8015564202334629</v>
      </c>
      <c r="AA463" s="175">
        <v>7</v>
      </c>
      <c r="AB463" s="175">
        <v>1</v>
      </c>
      <c r="AC463" s="175">
        <v>91.733750000000001</v>
      </c>
      <c r="AD463" s="175">
        <v>0.875</v>
      </c>
      <c r="AE463" s="175">
        <v>0.875</v>
      </c>
      <c r="AF463" s="175" t="s">
        <v>213</v>
      </c>
      <c r="AG463" s="175">
        <v>0.5</v>
      </c>
      <c r="AH463" s="175" t="s">
        <v>15376</v>
      </c>
      <c r="AI463" s="175" t="s">
        <v>15376</v>
      </c>
      <c r="AJ463" s="175" t="s">
        <v>725</v>
      </c>
      <c r="AK463" s="175" t="s">
        <v>725</v>
      </c>
      <c r="AL463" s="1159" t="s">
        <v>250</v>
      </c>
      <c r="AM463" s="175" t="s">
        <v>126</v>
      </c>
      <c r="AN463" s="175">
        <v>0.91100000000000003</v>
      </c>
      <c r="AO463" s="175">
        <v>1.7</v>
      </c>
      <c r="AP463" s="175">
        <v>24</v>
      </c>
      <c r="AQ463" s="175">
        <v>216</v>
      </c>
      <c r="AR463" s="175">
        <v>2.7</v>
      </c>
      <c r="AS463" s="192">
        <v>12751.084800000001</v>
      </c>
    </row>
    <row r="464" spans="1:45" ht="16.5" customHeight="1">
      <c r="A464" s="174">
        <v>46219</v>
      </c>
      <c r="B464" s="175" t="s">
        <v>219</v>
      </c>
      <c r="C464" s="175" t="s">
        <v>632</v>
      </c>
      <c r="E464" s="175" t="s">
        <v>419</v>
      </c>
      <c r="F464" s="175" t="s">
        <v>419</v>
      </c>
      <c r="G464" s="175" t="s">
        <v>419</v>
      </c>
      <c r="H464" s="175" t="s">
        <v>419</v>
      </c>
      <c r="I464" s="175" t="s">
        <v>419</v>
      </c>
      <c r="L464" s="175" t="s">
        <v>632</v>
      </c>
      <c r="P464" s="175" t="s">
        <v>632</v>
      </c>
      <c r="T464" s="175" t="s">
        <v>632</v>
      </c>
      <c r="X464" s="175" t="s">
        <v>632</v>
      </c>
      <c r="Z464" s="175" t="s">
        <v>419</v>
      </c>
      <c r="AA464" s="175" t="s">
        <v>632</v>
      </c>
      <c r="AB464" s="175" t="s">
        <v>419</v>
      </c>
      <c r="AC464" s="175" t="s">
        <v>419</v>
      </c>
      <c r="AD464" s="175" t="s">
        <v>419</v>
      </c>
      <c r="AE464" s="175" t="s">
        <v>419</v>
      </c>
      <c r="AF464" s="175" t="s">
        <v>213</v>
      </c>
      <c r="AG464" s="175">
        <v>1</v>
      </c>
      <c r="AH464" s="175" t="s">
        <v>640</v>
      </c>
      <c r="AI464" s="175" t="s">
        <v>640</v>
      </c>
      <c r="AJ464" s="175" t="s">
        <v>640</v>
      </c>
      <c r="AK464" s="175" t="s">
        <v>640</v>
      </c>
      <c r="AL464" s="1159" t="s">
        <v>419</v>
      </c>
      <c r="AM464" s="175" t="s">
        <v>419</v>
      </c>
      <c r="AN464" s="175" t="s">
        <v>419</v>
      </c>
      <c r="AO464" s="175" t="s">
        <v>419</v>
      </c>
      <c r="AP464" s="175">
        <v>24</v>
      </c>
      <c r="AQ464" s="175">
        <v>216</v>
      </c>
      <c r="AR464" s="175" t="s">
        <v>419</v>
      </c>
      <c r="AS464" s="192" t="s">
        <v>419</v>
      </c>
    </row>
    <row r="465" spans="1:45" ht="16.5" customHeight="1">
      <c r="A465" s="174">
        <v>46219</v>
      </c>
      <c r="B465" s="175" t="s">
        <v>220</v>
      </c>
      <c r="C465" s="175" t="s">
        <v>17430</v>
      </c>
      <c r="E465" s="175" t="s">
        <v>1891</v>
      </c>
      <c r="F465" s="175" t="s">
        <v>17433</v>
      </c>
      <c r="G465" s="175">
        <v>600</v>
      </c>
      <c r="H465" s="175" t="s">
        <v>474</v>
      </c>
      <c r="I465" s="175">
        <v>4</v>
      </c>
      <c r="J465" s="175">
        <v>25</v>
      </c>
      <c r="K465" s="175">
        <v>0</v>
      </c>
      <c r="L465" s="175">
        <v>9058</v>
      </c>
      <c r="M465" s="175">
        <v>9485</v>
      </c>
      <c r="N465" s="175">
        <v>11</v>
      </c>
      <c r="O465" s="175">
        <v>0</v>
      </c>
      <c r="P465" s="175">
        <v>8441</v>
      </c>
      <c r="Q465" s="175">
        <v>9503</v>
      </c>
      <c r="R465" s="175">
        <v>17</v>
      </c>
      <c r="S465" s="175">
        <v>0</v>
      </c>
      <c r="T465" s="175">
        <v>8906</v>
      </c>
      <c r="U465" s="175">
        <v>9457</v>
      </c>
      <c r="V465" s="175">
        <v>28</v>
      </c>
      <c r="W465" s="175">
        <v>0</v>
      </c>
      <c r="X465" s="175">
        <v>8769</v>
      </c>
      <c r="Y465" s="175">
        <v>9465</v>
      </c>
      <c r="Z465" s="175">
        <v>1.7625458996328029</v>
      </c>
      <c r="AA465" s="175">
        <v>27</v>
      </c>
      <c r="AB465" s="175">
        <v>1</v>
      </c>
      <c r="AC465" s="175">
        <v>91.355000000000004</v>
      </c>
      <c r="AD465" s="175">
        <v>3.375</v>
      </c>
      <c r="AE465" s="175">
        <v>3.375</v>
      </c>
      <c r="AF465" s="175" t="s">
        <v>213</v>
      </c>
      <c r="AG465" s="175">
        <v>1</v>
      </c>
      <c r="AH465" s="175" t="s">
        <v>15376</v>
      </c>
      <c r="AI465" s="175" t="s">
        <v>15376</v>
      </c>
      <c r="AJ465" s="175" t="s">
        <v>725</v>
      </c>
      <c r="AK465" s="175" t="s">
        <v>725</v>
      </c>
      <c r="AL465" s="1159" t="s">
        <v>250</v>
      </c>
      <c r="AM465" s="175" t="s">
        <v>126</v>
      </c>
      <c r="AN465" s="175">
        <v>0.91100000000000003</v>
      </c>
      <c r="AO465" s="175">
        <v>0.7</v>
      </c>
      <c r="AP465" s="175">
        <v>24</v>
      </c>
      <c r="AQ465" s="175">
        <v>216</v>
      </c>
      <c r="AR465" s="175">
        <v>1.7</v>
      </c>
      <c r="AS465" s="192">
        <v>8028.4608000000007</v>
      </c>
    </row>
    <row r="466" spans="1:45" ht="16.5" customHeight="1">
      <c r="A466" s="174">
        <v>46219</v>
      </c>
      <c r="B466" s="175" t="s">
        <v>221</v>
      </c>
      <c r="C466" s="175" t="s">
        <v>632</v>
      </c>
      <c r="E466" s="175" t="s">
        <v>419</v>
      </c>
      <c r="F466" s="175" t="s">
        <v>419</v>
      </c>
      <c r="G466" s="175" t="s">
        <v>419</v>
      </c>
      <c r="H466" s="175" t="s">
        <v>419</v>
      </c>
      <c r="I466" s="175" t="s">
        <v>419</v>
      </c>
      <c r="L466" s="175" t="s">
        <v>632</v>
      </c>
      <c r="P466" s="175" t="s">
        <v>632</v>
      </c>
      <c r="T466" s="175" t="s">
        <v>632</v>
      </c>
      <c r="X466" s="175" t="s">
        <v>632</v>
      </c>
      <c r="Z466" s="175" t="s">
        <v>419</v>
      </c>
      <c r="AA466" s="175" t="s">
        <v>632</v>
      </c>
      <c r="AB466" s="175" t="s">
        <v>419</v>
      </c>
      <c r="AC466" s="175" t="s">
        <v>419</v>
      </c>
      <c r="AD466" s="175" t="s">
        <v>419</v>
      </c>
      <c r="AE466" s="175" t="s">
        <v>419</v>
      </c>
      <c r="AF466" s="175" t="s">
        <v>213</v>
      </c>
      <c r="AG466" s="175">
        <v>1</v>
      </c>
      <c r="AH466" s="175" t="s">
        <v>640</v>
      </c>
      <c r="AI466" s="175" t="s">
        <v>640</v>
      </c>
      <c r="AJ466" s="175" t="s">
        <v>640</v>
      </c>
      <c r="AK466" s="175" t="s">
        <v>640</v>
      </c>
      <c r="AL466" s="1159" t="s">
        <v>419</v>
      </c>
      <c r="AM466" s="175" t="s">
        <v>419</v>
      </c>
      <c r="AN466" s="175" t="s">
        <v>419</v>
      </c>
      <c r="AO466" s="175" t="s">
        <v>419</v>
      </c>
      <c r="AP466" s="175">
        <v>24</v>
      </c>
      <c r="AQ466" s="175">
        <v>216</v>
      </c>
      <c r="AR466" s="175" t="s">
        <v>419</v>
      </c>
      <c r="AS466" s="192" t="s">
        <v>419</v>
      </c>
    </row>
    <row r="467" spans="1:45" ht="16.5" customHeight="1">
      <c r="A467" s="174">
        <v>46219</v>
      </c>
      <c r="B467" s="175" t="s">
        <v>222</v>
      </c>
      <c r="C467" s="175" t="s">
        <v>632</v>
      </c>
      <c r="E467" s="175" t="s">
        <v>419</v>
      </c>
      <c r="F467" s="175" t="s">
        <v>419</v>
      </c>
      <c r="G467" s="175" t="s">
        <v>419</v>
      </c>
      <c r="H467" s="175" t="s">
        <v>419</v>
      </c>
      <c r="I467" s="175" t="s">
        <v>419</v>
      </c>
      <c r="L467" s="175" t="s">
        <v>632</v>
      </c>
      <c r="P467" s="175" t="s">
        <v>632</v>
      </c>
      <c r="T467" s="175" t="s">
        <v>632</v>
      </c>
      <c r="X467" s="175" t="s">
        <v>632</v>
      </c>
      <c r="Z467" s="175" t="s">
        <v>419</v>
      </c>
      <c r="AA467" s="175" t="s">
        <v>632</v>
      </c>
      <c r="AB467" s="175" t="s">
        <v>419</v>
      </c>
      <c r="AC467" s="175" t="s">
        <v>419</v>
      </c>
      <c r="AD467" s="175" t="s">
        <v>419</v>
      </c>
      <c r="AE467" s="175" t="s">
        <v>419</v>
      </c>
      <c r="AF467" s="175" t="s">
        <v>213</v>
      </c>
      <c r="AG467" s="175">
        <v>1</v>
      </c>
      <c r="AH467" s="175" t="s">
        <v>15376</v>
      </c>
      <c r="AI467" s="175" t="s">
        <v>640</v>
      </c>
      <c r="AJ467" s="175" t="s">
        <v>640</v>
      </c>
      <c r="AK467" s="175" t="s">
        <v>640</v>
      </c>
      <c r="AL467" s="1159" t="s">
        <v>419</v>
      </c>
      <c r="AM467" s="175" t="s">
        <v>419</v>
      </c>
      <c r="AN467" s="175" t="s">
        <v>419</v>
      </c>
      <c r="AO467" s="175" t="s">
        <v>419</v>
      </c>
      <c r="AP467" s="175">
        <v>24</v>
      </c>
      <c r="AQ467" s="175">
        <v>216</v>
      </c>
      <c r="AR467" s="175" t="s">
        <v>419</v>
      </c>
      <c r="AS467" s="192" t="s">
        <v>419</v>
      </c>
    </row>
    <row r="468" spans="1:45" ht="16.5" customHeight="1">
      <c r="A468" s="174">
        <v>46219</v>
      </c>
      <c r="B468" s="175" t="s">
        <v>223</v>
      </c>
      <c r="C468" s="175" t="s">
        <v>17263</v>
      </c>
      <c r="D468" s="175" t="s">
        <v>16748</v>
      </c>
      <c r="E468" s="175" t="s">
        <v>17156</v>
      </c>
      <c r="F468" s="175" t="s">
        <v>17264</v>
      </c>
      <c r="G468" s="175">
        <v>600</v>
      </c>
      <c r="H468" s="175" t="s">
        <v>456</v>
      </c>
      <c r="I468" s="175">
        <v>3</v>
      </c>
      <c r="L468" s="175" t="s">
        <v>628</v>
      </c>
      <c r="P468" s="175" t="s">
        <v>628</v>
      </c>
      <c r="T468" s="175" t="s">
        <v>477</v>
      </c>
      <c r="V468" s="175">
        <v>21</v>
      </c>
      <c r="W468" s="175">
        <v>5</v>
      </c>
      <c r="X468" s="175">
        <v>8899</v>
      </c>
      <c r="Z468" s="175">
        <v>2.4161073825503356</v>
      </c>
      <c r="AA468" s="175" t="s">
        <v>628</v>
      </c>
      <c r="AB468" s="175" t="s">
        <v>419</v>
      </c>
      <c r="AC468" s="175" t="s">
        <v>419</v>
      </c>
      <c r="AD468" s="175" t="s">
        <v>419</v>
      </c>
      <c r="AE468" s="175" t="s">
        <v>419</v>
      </c>
      <c r="AF468" s="175" t="s">
        <v>213</v>
      </c>
      <c r="AG468" s="175">
        <v>2</v>
      </c>
      <c r="AH468" s="175" t="s">
        <v>16113</v>
      </c>
      <c r="AI468" s="175" t="s">
        <v>637</v>
      </c>
      <c r="AJ468" s="175" t="s">
        <v>630</v>
      </c>
      <c r="AK468" s="175" t="s">
        <v>630</v>
      </c>
      <c r="AL468" s="1159" t="s">
        <v>250</v>
      </c>
      <c r="AM468" s="175" t="s">
        <v>126</v>
      </c>
      <c r="AN468" s="175">
        <v>0.91100000000000003</v>
      </c>
      <c r="AO468" s="175">
        <v>0.8</v>
      </c>
      <c r="AP468" s="175">
        <v>24</v>
      </c>
      <c r="AQ468" s="175">
        <v>216</v>
      </c>
      <c r="AR468" s="175">
        <v>1.8</v>
      </c>
      <c r="AS468" s="192">
        <v>8500.7232000000004</v>
      </c>
    </row>
    <row r="469" spans="1:45" ht="16.5" customHeight="1">
      <c r="A469" s="174">
        <v>46219</v>
      </c>
      <c r="B469" s="175" t="s">
        <v>223</v>
      </c>
      <c r="C469" s="175" t="s">
        <v>17431</v>
      </c>
      <c r="E469" s="175" t="s">
        <v>15035</v>
      </c>
      <c r="F469" s="175" t="s">
        <v>16860</v>
      </c>
      <c r="G469" s="175">
        <v>550</v>
      </c>
      <c r="H469" s="175" t="s">
        <v>622</v>
      </c>
      <c r="I469" s="175">
        <v>5</v>
      </c>
      <c r="L469" s="175" t="s">
        <v>628</v>
      </c>
      <c r="P469" s="175" t="s">
        <v>628</v>
      </c>
      <c r="T469" s="175" t="s">
        <v>477</v>
      </c>
      <c r="V469" s="175">
        <v>10</v>
      </c>
      <c r="W469" s="175">
        <v>0</v>
      </c>
      <c r="Y469" s="175">
        <v>8546</v>
      </c>
      <c r="Z469" s="175">
        <v>1.3345690454124188</v>
      </c>
      <c r="AA469" s="175" t="s">
        <v>628</v>
      </c>
      <c r="AB469" s="175" t="s">
        <v>419</v>
      </c>
      <c r="AC469" s="175" t="s">
        <v>419</v>
      </c>
      <c r="AD469" s="175" t="s">
        <v>419</v>
      </c>
      <c r="AE469" s="175" t="s">
        <v>419</v>
      </c>
      <c r="AF469" s="175" t="s">
        <v>213</v>
      </c>
      <c r="AG469" s="175">
        <v>2</v>
      </c>
      <c r="AH469" s="175" t="s">
        <v>15376</v>
      </c>
      <c r="AI469" s="175" t="s">
        <v>637</v>
      </c>
      <c r="AJ469" s="175" t="s">
        <v>630</v>
      </c>
      <c r="AK469" s="175" t="s">
        <v>630</v>
      </c>
      <c r="AM469" s="175" t="s">
        <v>126</v>
      </c>
      <c r="AN469" s="175">
        <v>0.91100000000000003</v>
      </c>
      <c r="AO469" s="175">
        <v>0.8</v>
      </c>
      <c r="AP469" s="175">
        <v>24</v>
      </c>
      <c r="AQ469" s="175">
        <v>216</v>
      </c>
      <c r="AR469" s="175">
        <v>1.8</v>
      </c>
      <c r="AS469" s="192">
        <v>8500.7232000000004</v>
      </c>
    </row>
    <row r="470" spans="1:45" ht="16.5" customHeight="1">
      <c r="A470" s="174">
        <v>46219</v>
      </c>
      <c r="B470" s="175" t="s">
        <v>224</v>
      </c>
      <c r="C470" s="175" t="s">
        <v>632</v>
      </c>
      <c r="E470" s="175" t="s">
        <v>419</v>
      </c>
      <c r="F470" s="175" t="s">
        <v>419</v>
      </c>
      <c r="G470" s="175" t="s">
        <v>419</v>
      </c>
      <c r="H470" s="175" t="s">
        <v>419</v>
      </c>
      <c r="I470" s="175" t="s">
        <v>419</v>
      </c>
      <c r="L470" s="175" t="s">
        <v>632</v>
      </c>
      <c r="P470" s="175" t="s">
        <v>632</v>
      </c>
      <c r="T470" s="175" t="s">
        <v>632</v>
      </c>
      <c r="X470" s="175" t="s">
        <v>632</v>
      </c>
      <c r="Z470" s="175" t="s">
        <v>419</v>
      </c>
      <c r="AA470" s="175" t="s">
        <v>632</v>
      </c>
      <c r="AB470" s="175" t="s">
        <v>419</v>
      </c>
      <c r="AC470" s="175" t="s">
        <v>419</v>
      </c>
      <c r="AD470" s="175" t="s">
        <v>419</v>
      </c>
      <c r="AE470" s="175" t="s">
        <v>419</v>
      </c>
      <c r="AF470" s="175" t="s">
        <v>213</v>
      </c>
      <c r="AG470" s="175">
        <v>1</v>
      </c>
      <c r="AH470" s="175" t="s">
        <v>640</v>
      </c>
      <c r="AI470" s="175" t="s">
        <v>640</v>
      </c>
      <c r="AJ470" s="175" t="s">
        <v>640</v>
      </c>
      <c r="AK470" s="175" t="s">
        <v>640</v>
      </c>
      <c r="AL470" s="1159" t="s">
        <v>419</v>
      </c>
      <c r="AM470" s="175" t="s">
        <v>419</v>
      </c>
      <c r="AN470" s="175" t="s">
        <v>419</v>
      </c>
      <c r="AO470" s="175" t="s">
        <v>419</v>
      </c>
      <c r="AP470" s="175">
        <v>24</v>
      </c>
      <c r="AQ470" s="175">
        <v>216</v>
      </c>
      <c r="AR470" s="175" t="s">
        <v>419</v>
      </c>
      <c r="AS470" s="192" t="s">
        <v>419</v>
      </c>
    </row>
    <row r="471" spans="1:45" ht="16.5" customHeight="1">
      <c r="A471" s="174">
        <v>46219</v>
      </c>
      <c r="B471" s="175" t="s">
        <v>225</v>
      </c>
      <c r="C471" s="175" t="s">
        <v>632</v>
      </c>
      <c r="E471" s="175" t="s">
        <v>419</v>
      </c>
      <c r="F471" s="175" t="s">
        <v>419</v>
      </c>
      <c r="G471" s="175" t="s">
        <v>419</v>
      </c>
      <c r="H471" s="175" t="s">
        <v>419</v>
      </c>
      <c r="I471" s="175" t="s">
        <v>419</v>
      </c>
      <c r="L471" s="175" t="s">
        <v>632</v>
      </c>
      <c r="P471" s="175" t="s">
        <v>632</v>
      </c>
      <c r="T471" s="175" t="s">
        <v>632</v>
      </c>
      <c r="X471" s="175" t="s">
        <v>632</v>
      </c>
      <c r="Z471" s="175" t="s">
        <v>419</v>
      </c>
      <c r="AA471" s="175" t="s">
        <v>632</v>
      </c>
      <c r="AB471" s="175" t="s">
        <v>419</v>
      </c>
      <c r="AC471" s="175" t="s">
        <v>419</v>
      </c>
      <c r="AD471" s="175" t="s">
        <v>419</v>
      </c>
      <c r="AE471" s="175" t="s">
        <v>419</v>
      </c>
      <c r="AF471" s="175" t="s">
        <v>213</v>
      </c>
      <c r="AG471" s="175">
        <v>1</v>
      </c>
      <c r="AH471" s="175" t="s">
        <v>640</v>
      </c>
      <c r="AI471" s="175" t="s">
        <v>640</v>
      </c>
      <c r="AJ471" s="175" t="s">
        <v>640</v>
      </c>
      <c r="AK471" s="175" t="s">
        <v>640</v>
      </c>
      <c r="AL471" s="1159" t="s">
        <v>419</v>
      </c>
      <c r="AM471" s="175" t="s">
        <v>419</v>
      </c>
      <c r="AN471" s="175" t="s">
        <v>419</v>
      </c>
      <c r="AO471" s="175" t="s">
        <v>419</v>
      </c>
      <c r="AP471" s="175">
        <v>24</v>
      </c>
      <c r="AQ471" s="175">
        <v>216</v>
      </c>
      <c r="AR471" s="175" t="s">
        <v>419</v>
      </c>
      <c r="AS471" s="192" t="s">
        <v>419</v>
      </c>
    </row>
    <row r="472" spans="1:45" ht="16.5" customHeight="1">
      <c r="A472" s="174">
        <v>46219</v>
      </c>
      <c r="B472" s="175" t="s">
        <v>226</v>
      </c>
      <c r="C472" s="175" t="s">
        <v>632</v>
      </c>
      <c r="E472" s="175" t="s">
        <v>419</v>
      </c>
      <c r="F472" s="175" t="s">
        <v>419</v>
      </c>
      <c r="G472" s="175" t="s">
        <v>419</v>
      </c>
      <c r="H472" s="175" t="s">
        <v>419</v>
      </c>
      <c r="I472" s="175" t="s">
        <v>419</v>
      </c>
      <c r="L472" s="175" t="s">
        <v>632</v>
      </c>
      <c r="P472" s="175" t="s">
        <v>632</v>
      </c>
      <c r="T472" s="175" t="s">
        <v>632</v>
      </c>
      <c r="X472" s="175" t="s">
        <v>632</v>
      </c>
      <c r="Z472" s="175" t="s">
        <v>419</v>
      </c>
      <c r="AA472" s="175" t="s">
        <v>632</v>
      </c>
      <c r="AB472" s="175" t="s">
        <v>419</v>
      </c>
      <c r="AC472" s="175" t="s">
        <v>419</v>
      </c>
      <c r="AD472" s="175" t="s">
        <v>419</v>
      </c>
      <c r="AE472" s="175" t="s">
        <v>419</v>
      </c>
      <c r="AF472" s="175" t="s">
        <v>213</v>
      </c>
      <c r="AG472" s="175">
        <v>1</v>
      </c>
      <c r="AH472" s="175" t="s">
        <v>640</v>
      </c>
      <c r="AI472" s="175" t="s">
        <v>640</v>
      </c>
      <c r="AJ472" s="175" t="s">
        <v>640</v>
      </c>
      <c r="AK472" s="175" t="s">
        <v>640</v>
      </c>
      <c r="AL472" s="1159" t="s">
        <v>419</v>
      </c>
      <c r="AM472" s="175" t="s">
        <v>419</v>
      </c>
      <c r="AN472" s="175" t="s">
        <v>419</v>
      </c>
      <c r="AO472" s="175" t="s">
        <v>419</v>
      </c>
      <c r="AP472" s="175">
        <v>24</v>
      </c>
      <c r="AQ472" s="175">
        <v>216</v>
      </c>
      <c r="AR472" s="175" t="s">
        <v>419</v>
      </c>
      <c r="AS472" s="192" t="s">
        <v>419</v>
      </c>
    </row>
    <row r="473" spans="1:45" ht="16.5" customHeight="1">
      <c r="A473" s="174">
        <v>46219</v>
      </c>
      <c r="B473" s="175" t="s">
        <v>227</v>
      </c>
      <c r="C473" s="175" t="s">
        <v>632</v>
      </c>
      <c r="E473" s="175" t="s">
        <v>419</v>
      </c>
      <c r="F473" s="175" t="s">
        <v>419</v>
      </c>
      <c r="G473" s="175" t="s">
        <v>419</v>
      </c>
      <c r="H473" s="175" t="s">
        <v>419</v>
      </c>
      <c r="I473" s="175" t="s">
        <v>419</v>
      </c>
      <c r="L473" s="175" t="s">
        <v>632</v>
      </c>
      <c r="P473" s="175" t="s">
        <v>632</v>
      </c>
      <c r="T473" s="175" t="s">
        <v>632</v>
      </c>
      <c r="X473" s="175" t="s">
        <v>632</v>
      </c>
      <c r="Z473" s="175" t="s">
        <v>419</v>
      </c>
      <c r="AA473" s="175" t="s">
        <v>632</v>
      </c>
      <c r="AB473" s="175" t="s">
        <v>419</v>
      </c>
      <c r="AC473" s="175" t="s">
        <v>419</v>
      </c>
      <c r="AD473" s="175" t="s">
        <v>419</v>
      </c>
      <c r="AE473" s="175" t="s">
        <v>419</v>
      </c>
      <c r="AF473" s="175" t="s">
        <v>213</v>
      </c>
      <c r="AG473" s="175">
        <v>1</v>
      </c>
      <c r="AH473" s="175" t="s">
        <v>640</v>
      </c>
      <c r="AI473" s="175" t="s">
        <v>640</v>
      </c>
      <c r="AJ473" s="175" t="s">
        <v>640</v>
      </c>
      <c r="AK473" s="175" t="s">
        <v>640</v>
      </c>
      <c r="AL473" s="1159" t="s">
        <v>419</v>
      </c>
      <c r="AM473" s="175" t="s">
        <v>419</v>
      </c>
      <c r="AN473" s="175" t="s">
        <v>419</v>
      </c>
      <c r="AO473" s="175" t="s">
        <v>419</v>
      </c>
      <c r="AP473" s="175">
        <v>24</v>
      </c>
      <c r="AQ473" s="175">
        <v>216</v>
      </c>
      <c r="AR473" s="175" t="s">
        <v>419</v>
      </c>
      <c r="AS473" s="192" t="s">
        <v>419</v>
      </c>
    </row>
    <row r="474" spans="1:45" ht="16.5" customHeight="1">
      <c r="A474" s="174">
        <v>46219</v>
      </c>
      <c r="B474" s="175" t="s">
        <v>228</v>
      </c>
      <c r="C474" s="175" t="s">
        <v>17293</v>
      </c>
      <c r="E474" s="175" t="s">
        <v>7055</v>
      </c>
      <c r="F474" s="175" t="s">
        <v>17294</v>
      </c>
      <c r="G474" s="175">
        <v>550</v>
      </c>
      <c r="H474" s="175" t="s">
        <v>889</v>
      </c>
      <c r="I474" s="175">
        <v>5.5</v>
      </c>
      <c r="J474" s="175">
        <v>18</v>
      </c>
      <c r="K474" s="175">
        <v>0</v>
      </c>
      <c r="L474" s="175">
        <v>6362</v>
      </c>
      <c r="M474" s="175">
        <v>4950</v>
      </c>
      <c r="N474" s="175">
        <v>0</v>
      </c>
      <c r="O474" s="175">
        <v>0</v>
      </c>
      <c r="P474" s="175">
        <v>5819</v>
      </c>
      <c r="Q474" s="175">
        <v>4130</v>
      </c>
      <c r="T474" s="175" t="s">
        <v>127</v>
      </c>
      <c r="X474" s="175" t="s">
        <v>127</v>
      </c>
      <c r="Z474" s="175">
        <v>4.6905537459283391</v>
      </c>
      <c r="AA474" s="175">
        <v>3</v>
      </c>
      <c r="AB474" s="175">
        <v>1</v>
      </c>
      <c r="AC474" s="175">
        <v>53.152500000000003</v>
      </c>
      <c r="AD474" s="175">
        <v>0.375</v>
      </c>
      <c r="AE474" s="175">
        <v>0.375</v>
      </c>
      <c r="AF474" s="175" t="s">
        <v>213</v>
      </c>
      <c r="AG474" s="175">
        <v>0.5</v>
      </c>
      <c r="AH474" s="175" t="s">
        <v>15376</v>
      </c>
      <c r="AI474" s="175" t="s">
        <v>15376</v>
      </c>
      <c r="AJ474" s="175" t="s">
        <v>725</v>
      </c>
      <c r="AK474" s="175" t="s">
        <v>725</v>
      </c>
      <c r="AL474" s="1159" t="s">
        <v>250</v>
      </c>
      <c r="AM474" s="175" t="s">
        <v>460</v>
      </c>
      <c r="AN474" s="175">
        <v>1.1890000000000001</v>
      </c>
      <c r="AO474" s="175">
        <v>1.9</v>
      </c>
      <c r="AP474" s="175">
        <v>24</v>
      </c>
      <c r="AQ474" s="175">
        <v>216</v>
      </c>
      <c r="AR474" s="175">
        <v>2.9</v>
      </c>
      <c r="AS474" s="192">
        <v>17874.950400000002</v>
      </c>
    </row>
    <row r="475" spans="1:45" ht="16.5" customHeight="1">
      <c r="A475" s="174">
        <v>46219</v>
      </c>
      <c r="B475" s="175" t="s">
        <v>229</v>
      </c>
      <c r="C475" s="175" t="s">
        <v>17503</v>
      </c>
      <c r="E475" s="175" t="s">
        <v>467</v>
      </c>
      <c r="F475" s="175" t="s">
        <v>17552</v>
      </c>
      <c r="G475" s="175">
        <v>650</v>
      </c>
      <c r="H475" s="175" t="s">
        <v>618</v>
      </c>
      <c r="I475" s="175">
        <v>5</v>
      </c>
      <c r="L475" s="175" t="s">
        <v>642</v>
      </c>
      <c r="P475" s="175" t="s">
        <v>642</v>
      </c>
      <c r="T475" s="175" t="s">
        <v>477</v>
      </c>
      <c r="V475" s="175">
        <v>46</v>
      </c>
      <c r="W475" s="175">
        <v>4</v>
      </c>
      <c r="X475" s="175">
        <v>7752</v>
      </c>
      <c r="Y475" s="175">
        <v>7172</v>
      </c>
      <c r="Z475" s="175">
        <v>5.9259259259259256</v>
      </c>
      <c r="AA475" s="175" t="s">
        <v>642</v>
      </c>
      <c r="AB475" s="175" t="s">
        <v>419</v>
      </c>
      <c r="AC475" s="175" t="s">
        <v>419</v>
      </c>
      <c r="AD475" s="175" t="s">
        <v>419</v>
      </c>
      <c r="AE475" s="175" t="s">
        <v>419</v>
      </c>
      <c r="AF475" s="175" t="s">
        <v>213</v>
      </c>
      <c r="AG475" s="175">
        <v>0.5</v>
      </c>
      <c r="AH475" s="175" t="s">
        <v>640</v>
      </c>
      <c r="AI475" s="175" t="s">
        <v>637</v>
      </c>
      <c r="AJ475" s="175" t="s">
        <v>630</v>
      </c>
      <c r="AK475" s="175" t="s">
        <v>630</v>
      </c>
      <c r="AL475" s="1159" t="s">
        <v>251</v>
      </c>
      <c r="AM475" s="175" t="s">
        <v>460</v>
      </c>
      <c r="AN475" s="175">
        <v>1.1890000000000001</v>
      </c>
      <c r="AO475" s="175">
        <v>2.6</v>
      </c>
      <c r="AP475" s="175">
        <v>24</v>
      </c>
      <c r="AQ475" s="175">
        <v>216</v>
      </c>
      <c r="AR475" s="175">
        <v>3.6</v>
      </c>
      <c r="AS475" s="192">
        <v>22189.5936</v>
      </c>
    </row>
    <row r="476" spans="1:45" ht="16.5" customHeight="1">
      <c r="A476" s="174">
        <v>46219</v>
      </c>
      <c r="B476" s="175" t="s">
        <v>230</v>
      </c>
      <c r="C476" s="175" t="s">
        <v>632</v>
      </c>
      <c r="E476" s="175" t="s">
        <v>419</v>
      </c>
      <c r="F476" s="175" t="s">
        <v>419</v>
      </c>
      <c r="G476" s="175" t="s">
        <v>419</v>
      </c>
      <c r="H476" s="175" t="s">
        <v>419</v>
      </c>
      <c r="I476" s="175" t="s">
        <v>419</v>
      </c>
      <c r="L476" s="175" t="s">
        <v>632</v>
      </c>
      <c r="P476" s="175" t="s">
        <v>632</v>
      </c>
      <c r="T476" s="175" t="s">
        <v>632</v>
      </c>
      <c r="X476" s="175" t="s">
        <v>632</v>
      </c>
      <c r="Z476" s="175" t="s">
        <v>419</v>
      </c>
      <c r="AA476" s="175" t="s">
        <v>632</v>
      </c>
      <c r="AB476" s="175" t="s">
        <v>419</v>
      </c>
      <c r="AC476" s="175" t="s">
        <v>419</v>
      </c>
      <c r="AD476" s="175" t="s">
        <v>419</v>
      </c>
      <c r="AE476" s="175" t="s">
        <v>419</v>
      </c>
      <c r="AF476" s="175" t="s">
        <v>213</v>
      </c>
      <c r="AG476" s="175">
        <v>1</v>
      </c>
      <c r="AH476" s="175" t="s">
        <v>640</v>
      </c>
      <c r="AI476" s="175" t="s">
        <v>640</v>
      </c>
      <c r="AJ476" s="175" t="s">
        <v>640</v>
      </c>
      <c r="AK476" s="175" t="s">
        <v>640</v>
      </c>
      <c r="AL476" s="1159" t="s">
        <v>419</v>
      </c>
      <c r="AM476" s="175" t="s">
        <v>419</v>
      </c>
      <c r="AN476" s="175" t="s">
        <v>419</v>
      </c>
      <c r="AO476" s="175" t="s">
        <v>419</v>
      </c>
      <c r="AP476" s="175">
        <v>24</v>
      </c>
      <c r="AQ476" s="175">
        <v>216</v>
      </c>
      <c r="AR476" s="175" t="s">
        <v>419</v>
      </c>
      <c r="AS476" s="192" t="s">
        <v>419</v>
      </c>
    </row>
    <row r="477" spans="1:45" ht="16.5" customHeight="1">
      <c r="A477" s="174">
        <v>46219</v>
      </c>
      <c r="B477" s="175" t="s">
        <v>231</v>
      </c>
      <c r="C477" s="175" t="s">
        <v>632</v>
      </c>
      <c r="E477" s="175" t="s">
        <v>419</v>
      </c>
      <c r="F477" s="175" t="s">
        <v>419</v>
      </c>
      <c r="G477" s="175" t="s">
        <v>419</v>
      </c>
      <c r="H477" s="175" t="s">
        <v>419</v>
      </c>
      <c r="I477" s="175" t="s">
        <v>419</v>
      </c>
      <c r="L477" s="175" t="s">
        <v>632</v>
      </c>
      <c r="P477" s="175" t="s">
        <v>632</v>
      </c>
      <c r="T477" s="175" t="s">
        <v>632</v>
      </c>
      <c r="X477" s="175" t="s">
        <v>632</v>
      </c>
      <c r="Z477" s="175" t="s">
        <v>419</v>
      </c>
      <c r="AA477" s="175" t="s">
        <v>632</v>
      </c>
      <c r="AB477" s="175" t="s">
        <v>419</v>
      </c>
      <c r="AC477" s="175" t="s">
        <v>419</v>
      </c>
      <c r="AD477" s="175" t="s">
        <v>419</v>
      </c>
      <c r="AE477" s="175" t="s">
        <v>419</v>
      </c>
      <c r="AF477" s="175" t="s">
        <v>232</v>
      </c>
      <c r="AG477" s="175">
        <v>1</v>
      </c>
      <c r="AH477" s="175" t="s">
        <v>640</v>
      </c>
      <c r="AI477" s="175" t="s">
        <v>640</v>
      </c>
      <c r="AJ477" s="175" t="s">
        <v>640</v>
      </c>
      <c r="AK477" s="175" t="s">
        <v>640</v>
      </c>
      <c r="AL477" s="1159" t="s">
        <v>419</v>
      </c>
      <c r="AM477" s="175" t="s">
        <v>419</v>
      </c>
      <c r="AN477" s="175" t="s">
        <v>419</v>
      </c>
      <c r="AO477" s="175" t="s">
        <v>419</v>
      </c>
      <c r="AP477" s="175">
        <v>24</v>
      </c>
      <c r="AQ477" s="175">
        <v>216</v>
      </c>
      <c r="AR477" s="175" t="s">
        <v>419</v>
      </c>
      <c r="AS477" s="192" t="s">
        <v>419</v>
      </c>
    </row>
    <row r="478" spans="1:45" ht="16.5" customHeight="1">
      <c r="A478" s="174">
        <v>46219</v>
      </c>
      <c r="B478" s="175" t="s">
        <v>233</v>
      </c>
      <c r="C478" s="175" t="s">
        <v>632</v>
      </c>
      <c r="E478" s="175" t="s">
        <v>419</v>
      </c>
      <c r="F478" s="175" t="s">
        <v>419</v>
      </c>
      <c r="G478" s="175" t="s">
        <v>419</v>
      </c>
      <c r="H478" s="175" t="s">
        <v>419</v>
      </c>
      <c r="I478" s="175" t="s">
        <v>419</v>
      </c>
      <c r="L478" s="175" t="s">
        <v>632</v>
      </c>
      <c r="P478" s="175" t="s">
        <v>632</v>
      </c>
      <c r="T478" s="175" t="s">
        <v>632</v>
      </c>
      <c r="X478" s="175" t="s">
        <v>632</v>
      </c>
      <c r="Z478" s="175" t="s">
        <v>419</v>
      </c>
      <c r="AA478" s="175" t="s">
        <v>632</v>
      </c>
      <c r="AB478" s="175" t="s">
        <v>419</v>
      </c>
      <c r="AC478" s="175" t="s">
        <v>419</v>
      </c>
      <c r="AD478" s="175" t="s">
        <v>419</v>
      </c>
      <c r="AE478" s="175" t="s">
        <v>419</v>
      </c>
      <c r="AF478" s="175" t="s">
        <v>232</v>
      </c>
      <c r="AG478" s="175">
        <v>1</v>
      </c>
      <c r="AH478" s="175" t="s">
        <v>640</v>
      </c>
      <c r="AI478" s="175" t="s">
        <v>640</v>
      </c>
      <c r="AJ478" s="175" t="s">
        <v>640</v>
      </c>
      <c r="AK478" s="175" t="s">
        <v>640</v>
      </c>
      <c r="AL478" s="1159" t="s">
        <v>419</v>
      </c>
      <c r="AM478" s="175" t="s">
        <v>419</v>
      </c>
      <c r="AN478" s="175" t="s">
        <v>419</v>
      </c>
      <c r="AO478" s="175" t="s">
        <v>419</v>
      </c>
      <c r="AP478" s="175">
        <v>24</v>
      </c>
      <c r="AQ478" s="175">
        <v>216</v>
      </c>
      <c r="AR478" s="175" t="s">
        <v>419</v>
      </c>
      <c r="AS478" s="192" t="s">
        <v>419</v>
      </c>
    </row>
    <row r="479" spans="1:45" ht="16.5" customHeight="1">
      <c r="A479" s="174">
        <v>46219</v>
      </c>
      <c r="B479" s="175" t="s">
        <v>234</v>
      </c>
      <c r="C479" s="175" t="s">
        <v>632</v>
      </c>
      <c r="E479" s="175" t="s">
        <v>419</v>
      </c>
      <c r="F479" s="175" t="s">
        <v>419</v>
      </c>
      <c r="G479" s="175" t="s">
        <v>419</v>
      </c>
      <c r="H479" s="175" t="s">
        <v>419</v>
      </c>
      <c r="I479" s="175" t="s">
        <v>419</v>
      </c>
      <c r="L479" s="175" t="s">
        <v>632</v>
      </c>
      <c r="P479" s="175" t="s">
        <v>632</v>
      </c>
      <c r="T479" s="175" t="s">
        <v>632</v>
      </c>
      <c r="X479" s="175" t="s">
        <v>632</v>
      </c>
      <c r="Z479" s="175" t="s">
        <v>419</v>
      </c>
      <c r="AA479" s="175" t="s">
        <v>632</v>
      </c>
      <c r="AB479" s="175" t="s">
        <v>419</v>
      </c>
      <c r="AC479" s="175" t="s">
        <v>419</v>
      </c>
      <c r="AD479" s="175" t="s">
        <v>419</v>
      </c>
      <c r="AE479" s="175" t="s">
        <v>419</v>
      </c>
      <c r="AF479" s="175" t="s">
        <v>232</v>
      </c>
      <c r="AG479" s="175">
        <v>1</v>
      </c>
      <c r="AH479" s="175" t="s">
        <v>640</v>
      </c>
      <c r="AI479" s="175" t="s">
        <v>640</v>
      </c>
      <c r="AJ479" s="175" t="s">
        <v>640</v>
      </c>
      <c r="AK479" s="175" t="s">
        <v>640</v>
      </c>
      <c r="AL479" s="1159" t="s">
        <v>419</v>
      </c>
      <c r="AM479" s="175" t="s">
        <v>419</v>
      </c>
      <c r="AN479" s="175" t="s">
        <v>419</v>
      </c>
      <c r="AO479" s="175" t="s">
        <v>419</v>
      </c>
      <c r="AP479" s="175">
        <v>24</v>
      </c>
      <c r="AQ479" s="175">
        <v>216</v>
      </c>
      <c r="AR479" s="175" t="s">
        <v>419</v>
      </c>
      <c r="AS479" s="192" t="s">
        <v>419</v>
      </c>
    </row>
    <row r="480" spans="1:45" ht="16.5" customHeight="1">
      <c r="A480" s="174">
        <v>46219</v>
      </c>
      <c r="B480" s="175" t="s">
        <v>235</v>
      </c>
      <c r="C480" s="175" t="s">
        <v>17289</v>
      </c>
      <c r="D480" s="175" t="s">
        <v>633</v>
      </c>
      <c r="E480" s="175" t="s">
        <v>16719</v>
      </c>
      <c r="F480" s="175" t="s">
        <v>17290</v>
      </c>
      <c r="G480" s="175">
        <v>700</v>
      </c>
      <c r="H480" s="175" t="s">
        <v>776</v>
      </c>
      <c r="I480" s="175">
        <v>5.5</v>
      </c>
      <c r="J480" s="175">
        <v>26</v>
      </c>
      <c r="K480" s="175">
        <v>0</v>
      </c>
      <c r="L480" s="175">
        <v>9350</v>
      </c>
      <c r="M480" s="175" t="s">
        <v>17315</v>
      </c>
      <c r="N480" s="175">
        <v>7</v>
      </c>
      <c r="O480" s="175">
        <v>0</v>
      </c>
      <c r="P480" s="175">
        <v>9170</v>
      </c>
      <c r="Q480" s="175" t="s">
        <v>17315</v>
      </c>
      <c r="R480" s="175">
        <v>9</v>
      </c>
      <c r="S480" s="175">
        <v>0</v>
      </c>
      <c r="T480" s="175">
        <v>9620</v>
      </c>
      <c r="U480" s="175" t="s">
        <v>17315</v>
      </c>
      <c r="V480" s="175">
        <v>18</v>
      </c>
      <c r="W480" s="175">
        <v>0</v>
      </c>
      <c r="X480" s="175">
        <v>9260</v>
      </c>
      <c r="Y480" s="175" t="s">
        <v>17315</v>
      </c>
      <c r="Z480" s="175">
        <v>5.8775510204081636</v>
      </c>
      <c r="AA480" s="175">
        <v>40</v>
      </c>
      <c r="AB480" s="175">
        <v>1</v>
      </c>
      <c r="AC480" s="175">
        <v>93.5</v>
      </c>
      <c r="AD480" s="175">
        <v>5</v>
      </c>
      <c r="AE480" s="175">
        <v>5</v>
      </c>
      <c r="AF480" s="175" t="s">
        <v>236</v>
      </c>
      <c r="AG480" s="175">
        <v>2</v>
      </c>
      <c r="AH480" s="175" t="s">
        <v>15337</v>
      </c>
      <c r="AI480" s="175" t="s">
        <v>641</v>
      </c>
      <c r="AJ480" s="175" t="s">
        <v>652</v>
      </c>
      <c r="AK480" s="175" t="s">
        <v>652</v>
      </c>
      <c r="AL480" s="1159" t="s">
        <v>251</v>
      </c>
      <c r="AM480" s="175" t="s">
        <v>460</v>
      </c>
      <c r="AN480" s="175">
        <v>1.1890000000000001</v>
      </c>
      <c r="AO480" s="175">
        <v>3</v>
      </c>
      <c r="AP480" s="175">
        <v>24</v>
      </c>
      <c r="AQ480" s="175">
        <v>216</v>
      </c>
      <c r="AR480" s="175">
        <v>4</v>
      </c>
      <c r="AS480" s="192">
        <v>24655.103999999999</v>
      </c>
    </row>
    <row r="481" spans="1:45" ht="16.5" customHeight="1">
      <c r="A481" s="174">
        <v>46219</v>
      </c>
      <c r="B481" s="175" t="s">
        <v>237</v>
      </c>
      <c r="C481" s="175" t="s">
        <v>17547</v>
      </c>
      <c r="D481" s="175" t="s">
        <v>633</v>
      </c>
      <c r="E481" s="175" t="s">
        <v>17548</v>
      </c>
      <c r="F481" s="175" t="s">
        <v>17549</v>
      </c>
      <c r="G481" s="175">
        <v>700</v>
      </c>
      <c r="H481" s="175" t="s">
        <v>803</v>
      </c>
      <c r="I481" s="175">
        <v>5.5</v>
      </c>
      <c r="L481" s="175" t="s">
        <v>642</v>
      </c>
      <c r="P481" s="175" t="s">
        <v>477</v>
      </c>
      <c r="R481" s="175">
        <v>11</v>
      </c>
      <c r="S481" s="175">
        <v>0</v>
      </c>
      <c r="T481" s="175">
        <v>8430</v>
      </c>
      <c r="V481" s="175">
        <v>14</v>
      </c>
      <c r="W481" s="175">
        <v>0</v>
      </c>
      <c r="X481" s="175">
        <v>9260</v>
      </c>
      <c r="Z481" s="175">
        <v>5.8299595141700413</v>
      </c>
      <c r="AA481" s="175" t="s">
        <v>642</v>
      </c>
      <c r="AB481" s="175" t="s">
        <v>419</v>
      </c>
      <c r="AC481" s="175" t="s">
        <v>419</v>
      </c>
      <c r="AD481" s="175" t="s">
        <v>419</v>
      </c>
      <c r="AE481" s="175" t="s">
        <v>419</v>
      </c>
      <c r="AF481" s="175" t="s">
        <v>236</v>
      </c>
      <c r="AG481" s="175">
        <v>2</v>
      </c>
      <c r="AJ481" s="175" t="s">
        <v>652</v>
      </c>
      <c r="AK481" s="175" t="s">
        <v>652</v>
      </c>
      <c r="AL481" s="1159" t="s">
        <v>250</v>
      </c>
      <c r="AM481" s="175" t="s">
        <v>460</v>
      </c>
      <c r="AN481" s="175">
        <v>1.1890000000000001</v>
      </c>
      <c r="AO481" s="175">
        <v>2.9</v>
      </c>
      <c r="AP481" s="175">
        <v>24</v>
      </c>
      <c r="AQ481" s="175">
        <v>216</v>
      </c>
      <c r="AR481" s="175">
        <v>3.9</v>
      </c>
      <c r="AS481" s="192">
        <v>24038.7264</v>
      </c>
    </row>
    <row r="482" spans="1:45" ht="16.5" customHeight="1">
      <c r="A482" s="174">
        <v>46219</v>
      </c>
      <c r="B482" s="175" t="s">
        <v>237</v>
      </c>
      <c r="C482" s="175" t="s">
        <v>17251</v>
      </c>
      <c r="D482" s="175" t="s">
        <v>633</v>
      </c>
      <c r="E482" s="175" t="s">
        <v>16719</v>
      </c>
      <c r="F482" s="175" t="s">
        <v>17253</v>
      </c>
      <c r="G482" s="175">
        <v>700</v>
      </c>
      <c r="H482" s="175" t="s">
        <v>646</v>
      </c>
      <c r="I482" s="175">
        <v>5.5</v>
      </c>
      <c r="L482" s="175" t="s">
        <v>127</v>
      </c>
      <c r="M482" s="175" t="s">
        <v>17556</v>
      </c>
      <c r="Q482" s="175" t="s">
        <v>127</v>
      </c>
      <c r="U482" s="175" t="s">
        <v>127</v>
      </c>
      <c r="Y482" s="175" t="s">
        <v>627</v>
      </c>
      <c r="Z482" s="175">
        <v>5.8775510204081636</v>
      </c>
      <c r="AA482" s="175" t="s">
        <v>127</v>
      </c>
      <c r="AB482" s="175" t="s">
        <v>419</v>
      </c>
      <c r="AC482" s="175" t="s">
        <v>419</v>
      </c>
      <c r="AD482" s="175" t="s">
        <v>419</v>
      </c>
      <c r="AE482" s="175" t="s">
        <v>419</v>
      </c>
      <c r="AF482" s="175" t="s">
        <v>236</v>
      </c>
      <c r="AG482" s="175">
        <v>2</v>
      </c>
      <c r="AH482" s="175" t="s">
        <v>15337</v>
      </c>
      <c r="AI482" s="175" t="s">
        <v>16113</v>
      </c>
      <c r="AJ482" s="175" t="s">
        <v>652</v>
      </c>
      <c r="AK482" s="175" t="s">
        <v>652</v>
      </c>
      <c r="AM482" s="175" t="s">
        <v>460</v>
      </c>
      <c r="AN482" s="175">
        <v>1.1890000000000001</v>
      </c>
      <c r="AO482" s="175">
        <v>2.9</v>
      </c>
      <c r="AP482" s="175">
        <v>24</v>
      </c>
      <c r="AQ482" s="175">
        <v>216</v>
      </c>
      <c r="AR482" s="175">
        <v>3.9</v>
      </c>
      <c r="AS482" s="192">
        <v>24038.7264</v>
      </c>
    </row>
    <row r="483" spans="1:45" ht="16.5" customHeight="1">
      <c r="A483" s="174">
        <v>46219</v>
      </c>
      <c r="B483" s="175" t="s">
        <v>238</v>
      </c>
      <c r="C483" s="175" t="s">
        <v>17248</v>
      </c>
      <c r="D483" s="175" t="s">
        <v>633</v>
      </c>
      <c r="E483" s="175" t="s">
        <v>16719</v>
      </c>
      <c r="F483" s="175" t="s">
        <v>17249</v>
      </c>
      <c r="G483" s="175">
        <v>600</v>
      </c>
      <c r="H483" s="175" t="s">
        <v>877</v>
      </c>
      <c r="I483" s="175">
        <v>5.5</v>
      </c>
      <c r="J483" s="175">
        <v>23</v>
      </c>
      <c r="K483" s="175">
        <v>0</v>
      </c>
      <c r="L483" s="175">
        <v>9540</v>
      </c>
      <c r="M483" s="175">
        <v>9810</v>
      </c>
      <c r="N483" s="175">
        <v>13</v>
      </c>
      <c r="O483" s="175">
        <v>0</v>
      </c>
      <c r="P483" s="175">
        <v>9540</v>
      </c>
      <c r="Q483" s="175">
        <v>9810</v>
      </c>
      <c r="R483" s="175">
        <v>12</v>
      </c>
      <c r="S483" s="175">
        <v>0</v>
      </c>
      <c r="T483" s="175">
        <v>9540</v>
      </c>
      <c r="U483" s="175">
        <v>9810</v>
      </c>
      <c r="V483" s="175">
        <v>29</v>
      </c>
      <c r="W483" s="175">
        <v>0</v>
      </c>
      <c r="X483" s="175">
        <v>9540</v>
      </c>
      <c r="Y483" s="175">
        <v>9810</v>
      </c>
      <c r="Z483" s="175">
        <v>5.034965034965035</v>
      </c>
      <c r="AA483" s="175">
        <v>25.666666666666668</v>
      </c>
      <c r="AB483" s="175">
        <v>1</v>
      </c>
      <c r="AC483" s="175">
        <v>96.75</v>
      </c>
      <c r="AD483" s="175">
        <v>3.2083333333333335</v>
      </c>
      <c r="AE483" s="175">
        <v>3.2083333333333335</v>
      </c>
      <c r="AF483" s="175" t="s">
        <v>236</v>
      </c>
      <c r="AG483" s="175">
        <v>1</v>
      </c>
      <c r="AH483" s="175" t="s">
        <v>15337</v>
      </c>
      <c r="AI483" s="175" t="s">
        <v>15337</v>
      </c>
      <c r="AJ483" s="175" t="s">
        <v>652</v>
      </c>
      <c r="AK483" s="175" t="s">
        <v>652</v>
      </c>
      <c r="AL483" s="1159" t="s">
        <v>251</v>
      </c>
      <c r="AM483" s="175" t="s">
        <v>460</v>
      </c>
      <c r="AN483" s="175">
        <v>1.1890000000000001</v>
      </c>
      <c r="AO483" s="175">
        <v>2.8</v>
      </c>
      <c r="AP483" s="175">
        <v>24</v>
      </c>
      <c r="AQ483" s="175">
        <v>216</v>
      </c>
      <c r="AR483" s="175">
        <v>3.8</v>
      </c>
      <c r="AS483" s="192">
        <v>23422.3488</v>
      </c>
    </row>
    <row r="484" spans="1:45" ht="16.5" customHeight="1">
      <c r="A484" s="174">
        <v>46219</v>
      </c>
      <c r="B484" s="175" t="s">
        <v>239</v>
      </c>
      <c r="C484" s="175" t="s">
        <v>17266</v>
      </c>
      <c r="E484" s="175" t="s">
        <v>754</v>
      </c>
      <c r="F484" s="175" t="s">
        <v>17267</v>
      </c>
      <c r="G484" s="175">
        <v>600</v>
      </c>
      <c r="H484" s="175" t="s">
        <v>842</v>
      </c>
      <c r="I484" s="175">
        <v>4</v>
      </c>
      <c r="J484" s="175">
        <v>7</v>
      </c>
      <c r="K484" s="175">
        <v>4</v>
      </c>
      <c r="L484" s="175">
        <v>9540</v>
      </c>
      <c r="N484" s="175">
        <v>2</v>
      </c>
      <c r="O484" s="175">
        <v>0</v>
      </c>
      <c r="P484" s="175">
        <v>9540</v>
      </c>
      <c r="R484" s="175">
        <v>5</v>
      </c>
      <c r="S484" s="175">
        <v>3</v>
      </c>
      <c r="T484" s="175">
        <v>9540</v>
      </c>
      <c r="V484" s="175">
        <v>6</v>
      </c>
      <c r="W484" s="175">
        <v>0</v>
      </c>
      <c r="X484" s="175">
        <v>9440</v>
      </c>
      <c r="Z484" s="175">
        <v>3.6</v>
      </c>
      <c r="AA484" s="175">
        <v>13.333333333333334</v>
      </c>
      <c r="AB484" s="175">
        <v>0.99065170940170943</v>
      </c>
      <c r="AC484" s="175">
        <v>95.15</v>
      </c>
      <c r="AD484" s="175">
        <v>1.6666666666666667</v>
      </c>
      <c r="AE484" s="175">
        <v>1.0833333333333333</v>
      </c>
      <c r="AF484" s="175" t="s">
        <v>236</v>
      </c>
      <c r="AG484" s="175">
        <v>2</v>
      </c>
      <c r="AH484" s="175" t="s">
        <v>638</v>
      </c>
      <c r="AI484" s="175" t="s">
        <v>15337</v>
      </c>
      <c r="AJ484" s="175" t="s">
        <v>639</v>
      </c>
      <c r="AK484" s="175" t="s">
        <v>639</v>
      </c>
      <c r="AL484" s="1159" t="s">
        <v>251</v>
      </c>
      <c r="AM484" s="175" t="s">
        <v>126</v>
      </c>
      <c r="AN484" s="175">
        <v>0.91100000000000003</v>
      </c>
      <c r="AO484" s="175">
        <v>1.5</v>
      </c>
      <c r="AP484" s="175">
        <v>24</v>
      </c>
      <c r="AQ484" s="175">
        <v>216</v>
      </c>
      <c r="AR484" s="175">
        <v>2.5</v>
      </c>
      <c r="AS484" s="192">
        <v>11806.560000000001</v>
      </c>
    </row>
    <row r="485" spans="1:45" ht="16.5" customHeight="1">
      <c r="A485" s="174">
        <v>46219</v>
      </c>
      <c r="B485" s="175" t="s">
        <v>239</v>
      </c>
      <c r="C485" s="175" t="s">
        <v>17241</v>
      </c>
      <c r="E485" s="175" t="s">
        <v>16723</v>
      </c>
      <c r="F485" s="175" t="s">
        <v>17243</v>
      </c>
      <c r="G485" s="175">
        <v>550</v>
      </c>
      <c r="H485" s="175" t="s">
        <v>868</v>
      </c>
      <c r="I485" s="175">
        <v>5.5</v>
      </c>
      <c r="L485" s="175" t="s">
        <v>127</v>
      </c>
      <c r="M485" s="175" t="s">
        <v>127</v>
      </c>
      <c r="Q485" s="175" t="s">
        <v>127</v>
      </c>
      <c r="U485" s="175" t="s">
        <v>127</v>
      </c>
      <c r="Y485" s="175" t="s">
        <v>627</v>
      </c>
      <c r="Z485" s="175">
        <v>6.6055045871559646</v>
      </c>
      <c r="AA485" s="175" t="s">
        <v>127</v>
      </c>
      <c r="AB485" s="175" t="s">
        <v>419</v>
      </c>
      <c r="AC485" s="175" t="s">
        <v>419</v>
      </c>
      <c r="AD485" s="175" t="s">
        <v>419</v>
      </c>
      <c r="AE485" s="175" t="s">
        <v>419</v>
      </c>
      <c r="AF485" s="175" t="s">
        <v>236</v>
      </c>
      <c r="AG485" s="175">
        <v>2</v>
      </c>
      <c r="AH485" s="175" t="s">
        <v>638</v>
      </c>
      <c r="AI485" s="175" t="s">
        <v>15337</v>
      </c>
      <c r="AJ485" s="175" t="s">
        <v>639</v>
      </c>
      <c r="AK485" s="175" t="s">
        <v>639</v>
      </c>
      <c r="AM485" s="175" t="s">
        <v>643</v>
      </c>
      <c r="AN485" s="175">
        <v>1.859</v>
      </c>
      <c r="AO485" s="175">
        <v>3.3</v>
      </c>
      <c r="AP485" s="175">
        <v>24</v>
      </c>
      <c r="AQ485" s="175">
        <v>216</v>
      </c>
      <c r="AR485" s="175">
        <v>4.3</v>
      </c>
      <c r="AS485" s="192">
        <v>41439.340799999998</v>
      </c>
    </row>
    <row r="486" spans="1:45" ht="16.5" customHeight="1">
      <c r="A486" s="174">
        <v>46219</v>
      </c>
      <c r="B486" s="175" t="s">
        <v>388</v>
      </c>
      <c r="C486" s="175" t="s">
        <v>17296</v>
      </c>
      <c r="D486" s="175" t="s">
        <v>633</v>
      </c>
      <c r="E486" s="175" t="s">
        <v>16719</v>
      </c>
      <c r="F486" s="175" t="s">
        <v>17290</v>
      </c>
      <c r="G486" s="175">
        <v>700</v>
      </c>
      <c r="H486" s="175" t="s">
        <v>15541</v>
      </c>
      <c r="I486" s="175">
        <v>5.5</v>
      </c>
      <c r="J486" s="175">
        <v>20</v>
      </c>
      <c r="K486" s="175">
        <v>2</v>
      </c>
      <c r="L486" s="175">
        <v>10000</v>
      </c>
      <c r="M486" s="175" t="s">
        <v>17315</v>
      </c>
      <c r="N486" s="175">
        <v>8</v>
      </c>
      <c r="O486" s="175">
        <v>0</v>
      </c>
      <c r="P486" s="175">
        <v>10000</v>
      </c>
      <c r="Q486" s="175" t="s">
        <v>17315</v>
      </c>
      <c r="R486" s="175">
        <v>9</v>
      </c>
      <c r="S486" s="175">
        <v>0</v>
      </c>
      <c r="T486" s="175">
        <v>10000</v>
      </c>
      <c r="U486" s="175" t="s">
        <v>17315</v>
      </c>
      <c r="V486" s="175">
        <v>11</v>
      </c>
      <c r="W486" s="175">
        <v>2</v>
      </c>
      <c r="X486" s="175">
        <v>10000</v>
      </c>
      <c r="Y486" s="175" t="s">
        <v>17315</v>
      </c>
      <c r="Z486" s="175">
        <v>5.8299595141700413</v>
      </c>
      <c r="AA486" s="175">
        <v>32</v>
      </c>
      <c r="AB486" s="175">
        <v>0.99670138888888893</v>
      </c>
      <c r="AC486" s="175">
        <v>100</v>
      </c>
      <c r="AD486" s="175">
        <v>4</v>
      </c>
      <c r="AE486" s="175">
        <v>3.6666666666666665</v>
      </c>
      <c r="AF486" s="175" t="s">
        <v>236</v>
      </c>
      <c r="AG486" s="175">
        <v>2</v>
      </c>
      <c r="AH486" s="175" t="s">
        <v>638</v>
      </c>
      <c r="AI486" s="175" t="s">
        <v>641</v>
      </c>
      <c r="AJ486" s="175" t="s">
        <v>639</v>
      </c>
      <c r="AK486" s="175" t="s">
        <v>639</v>
      </c>
      <c r="AL486" s="1159" t="s">
        <v>251</v>
      </c>
      <c r="AM486" s="175" t="s">
        <v>460</v>
      </c>
      <c r="AN486" s="175">
        <v>1.1890000000000001</v>
      </c>
      <c r="AO486" s="175">
        <v>2.8</v>
      </c>
      <c r="AP486" s="175">
        <v>24</v>
      </c>
      <c r="AQ486" s="175">
        <v>216</v>
      </c>
      <c r="AR486" s="175">
        <v>3.8</v>
      </c>
      <c r="AS486" s="192">
        <v>23422.3488</v>
      </c>
    </row>
    <row r="487" spans="1:45" ht="16.5" customHeight="1">
      <c r="A487" s="174">
        <v>46219</v>
      </c>
      <c r="B487" s="175" t="s">
        <v>417</v>
      </c>
      <c r="C487" s="175" t="s">
        <v>17291</v>
      </c>
      <c r="D487" s="175" t="s">
        <v>633</v>
      </c>
      <c r="E487" s="175" t="s">
        <v>16719</v>
      </c>
      <c r="F487" s="175" t="s">
        <v>17290</v>
      </c>
      <c r="G487" s="175">
        <v>700</v>
      </c>
      <c r="H487" s="175" t="s">
        <v>724</v>
      </c>
      <c r="I487" s="175">
        <v>5.5</v>
      </c>
      <c r="J487" s="175">
        <v>29</v>
      </c>
      <c r="K487" s="175">
        <v>2</v>
      </c>
      <c r="L487" s="175">
        <v>9910</v>
      </c>
      <c r="M487" s="175">
        <v>9630</v>
      </c>
      <c r="N487" s="175">
        <v>11</v>
      </c>
      <c r="O487" s="175">
        <v>0</v>
      </c>
      <c r="P487" s="175">
        <v>9910</v>
      </c>
      <c r="Q487" s="175">
        <v>9630</v>
      </c>
      <c r="R487" s="175">
        <v>9</v>
      </c>
      <c r="S487" s="175">
        <v>0</v>
      </c>
      <c r="T487" s="175">
        <v>9910</v>
      </c>
      <c r="U487" s="175">
        <v>9630</v>
      </c>
      <c r="V487" s="175">
        <v>27</v>
      </c>
      <c r="W487" s="175">
        <v>8</v>
      </c>
      <c r="X487" s="175">
        <v>9910</v>
      </c>
      <c r="Y487" s="175">
        <v>9630</v>
      </c>
      <c r="Z487" s="175">
        <v>5.8299595141700413</v>
      </c>
      <c r="AA487" s="175">
        <v>25.333333333333332</v>
      </c>
      <c r="AB487" s="175">
        <v>0.99175347222222221</v>
      </c>
      <c r="AC487" s="175">
        <v>97.7</v>
      </c>
      <c r="AD487" s="175">
        <v>3.1666666666666665</v>
      </c>
      <c r="AE487" s="175">
        <v>2.75</v>
      </c>
      <c r="AF487" s="175" t="s">
        <v>236</v>
      </c>
      <c r="AG487" s="175">
        <v>1</v>
      </c>
      <c r="AH487" s="175" t="s">
        <v>638</v>
      </c>
      <c r="AI487" s="175" t="s">
        <v>15337</v>
      </c>
      <c r="AJ487" s="175" t="s">
        <v>639</v>
      </c>
      <c r="AK487" s="175" t="s">
        <v>639</v>
      </c>
      <c r="AL487" s="1159" t="s">
        <v>251</v>
      </c>
      <c r="AM487" s="175" t="s">
        <v>460</v>
      </c>
      <c r="AN487" s="175">
        <v>1.1890000000000001</v>
      </c>
      <c r="AO487" s="175">
        <v>2.8</v>
      </c>
      <c r="AP487" s="175">
        <v>24</v>
      </c>
      <c r="AQ487" s="175">
        <v>216</v>
      </c>
      <c r="AR487" s="175">
        <v>3.8</v>
      </c>
      <c r="AS487" s="192">
        <v>23422.3488</v>
      </c>
    </row>
    <row r="488" spans="1:45" ht="16.5" customHeight="1">
      <c r="A488" s="174">
        <v>46219</v>
      </c>
      <c r="B488" s="175" t="s">
        <v>240</v>
      </c>
      <c r="C488" s="175" t="s">
        <v>17429</v>
      </c>
      <c r="E488" s="175" t="s">
        <v>17434</v>
      </c>
      <c r="F488" s="175" t="s">
        <v>17435</v>
      </c>
      <c r="G488" s="175">
        <v>550</v>
      </c>
      <c r="H488" s="175" t="s">
        <v>884</v>
      </c>
      <c r="I488" s="175">
        <v>4</v>
      </c>
      <c r="J488" s="175">
        <v>14</v>
      </c>
      <c r="K488" s="175">
        <v>0</v>
      </c>
      <c r="L488" s="175">
        <v>3639</v>
      </c>
      <c r="N488" s="175">
        <v>5</v>
      </c>
      <c r="O488" s="175">
        <v>0</v>
      </c>
      <c r="P488" s="175">
        <v>3829</v>
      </c>
      <c r="R488" s="175">
        <v>0</v>
      </c>
      <c r="S488" s="175">
        <v>0</v>
      </c>
      <c r="T488" s="175">
        <v>3642</v>
      </c>
      <c r="V488" s="175">
        <v>8</v>
      </c>
      <c r="W488" s="175">
        <v>0</v>
      </c>
      <c r="X488" s="175">
        <v>3718</v>
      </c>
      <c r="Z488" s="175">
        <v>1.6179775280898876</v>
      </c>
      <c r="AA488" s="175">
        <v>81</v>
      </c>
      <c r="AB488" s="175">
        <v>1</v>
      </c>
      <c r="AC488" s="175">
        <v>37.07</v>
      </c>
      <c r="AD488" s="175">
        <v>10.125</v>
      </c>
      <c r="AE488" s="175">
        <v>10.125</v>
      </c>
      <c r="AF488" s="175" t="s">
        <v>241</v>
      </c>
      <c r="AG488" s="175">
        <v>9</v>
      </c>
      <c r="AH488" s="175" t="s">
        <v>634</v>
      </c>
      <c r="AI488" s="175" t="s">
        <v>634</v>
      </c>
      <c r="AJ488" s="175" t="s">
        <v>15370</v>
      </c>
      <c r="AK488" s="175" t="s">
        <v>15370</v>
      </c>
      <c r="AL488" s="1159" t="s">
        <v>251</v>
      </c>
      <c r="AM488" s="175" t="s">
        <v>626</v>
      </c>
      <c r="AN488" s="175">
        <v>0.66900000000000004</v>
      </c>
      <c r="AO488" s="175">
        <v>1.6</v>
      </c>
      <c r="AP488" s="175">
        <v>24</v>
      </c>
      <c r="AQ488" s="175">
        <v>216</v>
      </c>
      <c r="AR488" s="175">
        <v>2.6</v>
      </c>
      <c r="AS488" s="192">
        <v>9017.0496000000021</v>
      </c>
    </row>
    <row r="489" spans="1:45" ht="16.5" customHeight="1">
      <c r="A489" s="174">
        <v>46219</v>
      </c>
      <c r="B489" s="175" t="s">
        <v>242</v>
      </c>
      <c r="C489" s="175" t="s">
        <v>385</v>
      </c>
      <c r="E489" s="175" t="s">
        <v>419</v>
      </c>
      <c r="F489" s="175" t="s">
        <v>419</v>
      </c>
      <c r="G489" s="175" t="s">
        <v>419</v>
      </c>
      <c r="H489" s="175" t="s">
        <v>419</v>
      </c>
      <c r="I489" s="175" t="s">
        <v>419</v>
      </c>
      <c r="L489" s="175" t="s">
        <v>385</v>
      </c>
      <c r="P489" s="175" t="s">
        <v>385</v>
      </c>
      <c r="T489" s="175" t="s">
        <v>385</v>
      </c>
      <c r="X489" s="175" t="s">
        <v>385</v>
      </c>
      <c r="Z489" s="175" t="s">
        <v>419</v>
      </c>
      <c r="AA489" s="175" t="s">
        <v>385</v>
      </c>
      <c r="AB489" s="175" t="s">
        <v>419</v>
      </c>
      <c r="AC489" s="175" t="s">
        <v>419</v>
      </c>
      <c r="AD489" s="175" t="s">
        <v>419</v>
      </c>
      <c r="AE489" s="175" t="s">
        <v>419</v>
      </c>
      <c r="AF489" s="175" t="s">
        <v>241</v>
      </c>
      <c r="AG489" s="175">
        <v>5</v>
      </c>
      <c r="AH489" s="175" t="s">
        <v>634</v>
      </c>
      <c r="AI489" s="175" t="s">
        <v>634</v>
      </c>
      <c r="AJ489" s="175" t="s">
        <v>15370</v>
      </c>
      <c r="AK489" s="175" t="s">
        <v>15370</v>
      </c>
      <c r="AL489" s="1159" t="s">
        <v>419</v>
      </c>
      <c r="AM489" s="175" t="s">
        <v>419</v>
      </c>
      <c r="AN489" s="175" t="s">
        <v>419</v>
      </c>
      <c r="AO489" s="175" t="s">
        <v>419</v>
      </c>
      <c r="AP489" s="175">
        <v>24</v>
      </c>
      <c r="AQ489" s="175">
        <v>216</v>
      </c>
      <c r="AR489" s="175" t="s">
        <v>419</v>
      </c>
      <c r="AS489" s="192" t="s">
        <v>419</v>
      </c>
    </row>
    <row r="490" spans="1:45" ht="16.5" customHeight="1">
      <c r="A490" s="174">
        <v>46220</v>
      </c>
      <c r="B490" s="175" t="s">
        <v>212</v>
      </c>
      <c r="C490" s="175" t="s">
        <v>632</v>
      </c>
      <c r="E490" s="175" t="s">
        <v>419</v>
      </c>
      <c r="F490" s="175" t="s">
        <v>419</v>
      </c>
      <c r="G490" s="175" t="s">
        <v>419</v>
      </c>
      <c r="H490" s="175" t="s">
        <v>419</v>
      </c>
      <c r="I490" s="175" t="s">
        <v>419</v>
      </c>
      <c r="L490" s="175" t="s">
        <v>632</v>
      </c>
      <c r="P490" s="175" t="s">
        <v>632</v>
      </c>
      <c r="T490" s="175" t="s">
        <v>632</v>
      </c>
      <c r="X490" s="175" t="s">
        <v>632</v>
      </c>
      <c r="Z490" s="175" t="s">
        <v>419</v>
      </c>
      <c r="AA490" s="175" t="s">
        <v>632</v>
      </c>
      <c r="AB490" s="175" t="s">
        <v>419</v>
      </c>
      <c r="AC490" s="175" t="s">
        <v>419</v>
      </c>
      <c r="AD490" s="175" t="s">
        <v>419</v>
      </c>
      <c r="AE490" s="175" t="s">
        <v>419</v>
      </c>
      <c r="AF490" s="175" t="s">
        <v>213</v>
      </c>
      <c r="AG490" s="175">
        <v>1</v>
      </c>
      <c r="AH490" s="175" t="s">
        <v>640</v>
      </c>
      <c r="AI490" s="175" t="s">
        <v>640</v>
      </c>
      <c r="AJ490" s="175" t="s">
        <v>640</v>
      </c>
      <c r="AK490" s="175" t="s">
        <v>640</v>
      </c>
      <c r="AL490" s="1159" t="s">
        <v>419</v>
      </c>
      <c r="AM490" s="175" t="s">
        <v>419</v>
      </c>
      <c r="AN490" s="175" t="s">
        <v>419</v>
      </c>
      <c r="AO490" s="175" t="s">
        <v>419</v>
      </c>
      <c r="AP490" s="175">
        <v>24</v>
      </c>
      <c r="AQ490" s="175">
        <v>216</v>
      </c>
      <c r="AR490" s="175" t="s">
        <v>419</v>
      </c>
      <c r="AS490" s="192" t="s">
        <v>419</v>
      </c>
    </row>
    <row r="491" spans="1:45" ht="16.5" customHeight="1">
      <c r="A491" s="174">
        <v>46220</v>
      </c>
      <c r="B491" s="175" t="s">
        <v>214</v>
      </c>
      <c r="C491" s="175" t="s">
        <v>632</v>
      </c>
      <c r="E491" s="175" t="s">
        <v>419</v>
      </c>
      <c r="F491" s="175" t="s">
        <v>419</v>
      </c>
      <c r="G491" s="175" t="s">
        <v>419</v>
      </c>
      <c r="H491" s="175" t="s">
        <v>419</v>
      </c>
      <c r="I491" s="175" t="s">
        <v>419</v>
      </c>
      <c r="L491" s="175" t="s">
        <v>632</v>
      </c>
      <c r="P491" s="175" t="s">
        <v>632</v>
      </c>
      <c r="T491" s="175" t="s">
        <v>632</v>
      </c>
      <c r="X491" s="175" t="s">
        <v>632</v>
      </c>
      <c r="Z491" s="175" t="s">
        <v>419</v>
      </c>
      <c r="AA491" s="175" t="s">
        <v>632</v>
      </c>
      <c r="AB491" s="175" t="s">
        <v>419</v>
      </c>
      <c r="AC491" s="175" t="s">
        <v>419</v>
      </c>
      <c r="AD491" s="175" t="s">
        <v>419</v>
      </c>
      <c r="AE491" s="175" t="s">
        <v>419</v>
      </c>
      <c r="AF491" s="175" t="s">
        <v>213</v>
      </c>
      <c r="AG491" s="175">
        <v>1</v>
      </c>
      <c r="AH491" s="175" t="s">
        <v>640</v>
      </c>
      <c r="AI491" s="175" t="s">
        <v>640</v>
      </c>
      <c r="AJ491" s="175" t="s">
        <v>640</v>
      </c>
      <c r="AK491" s="175" t="s">
        <v>640</v>
      </c>
      <c r="AL491" s="1159" t="s">
        <v>419</v>
      </c>
      <c r="AM491" s="175" t="s">
        <v>419</v>
      </c>
      <c r="AN491" s="175" t="s">
        <v>419</v>
      </c>
      <c r="AO491" s="175" t="s">
        <v>419</v>
      </c>
      <c r="AP491" s="175">
        <v>24</v>
      </c>
      <c r="AQ491" s="175">
        <v>216</v>
      </c>
      <c r="AR491" s="175" t="s">
        <v>419</v>
      </c>
      <c r="AS491" s="192" t="s">
        <v>419</v>
      </c>
    </row>
    <row r="492" spans="1:45" ht="16.5" customHeight="1">
      <c r="A492" s="174">
        <v>46220</v>
      </c>
      <c r="B492" s="175" t="s">
        <v>215</v>
      </c>
      <c r="C492" s="175" t="s">
        <v>17316</v>
      </c>
      <c r="E492" s="175" t="s">
        <v>5005</v>
      </c>
      <c r="F492" s="175" t="s">
        <v>17317</v>
      </c>
      <c r="G492" s="175">
        <v>500</v>
      </c>
      <c r="H492" s="175" t="s">
        <v>1186</v>
      </c>
      <c r="I492" s="175">
        <v>4</v>
      </c>
      <c r="L492" s="175" t="s">
        <v>127</v>
      </c>
      <c r="P492" s="175" t="s">
        <v>127</v>
      </c>
      <c r="Q492" s="175" t="s">
        <v>627</v>
      </c>
      <c r="T492" s="175" t="s">
        <v>127</v>
      </c>
      <c r="U492" s="175" t="s">
        <v>627</v>
      </c>
      <c r="X492" s="175" t="s">
        <v>127</v>
      </c>
      <c r="Y492" s="175" t="s">
        <v>632</v>
      </c>
      <c r="Z492" s="175">
        <v>2.9937629937629939</v>
      </c>
      <c r="AA492" s="175" t="s">
        <v>127</v>
      </c>
      <c r="AB492" s="175" t="s">
        <v>419</v>
      </c>
      <c r="AC492" s="175" t="s">
        <v>419</v>
      </c>
      <c r="AD492" s="175" t="s">
        <v>419</v>
      </c>
      <c r="AE492" s="175" t="s">
        <v>419</v>
      </c>
      <c r="AF492" s="175" t="s">
        <v>213</v>
      </c>
      <c r="AG492" s="175">
        <v>1</v>
      </c>
      <c r="AH492" s="175" t="s">
        <v>629</v>
      </c>
      <c r="AI492" s="175" t="s">
        <v>629</v>
      </c>
      <c r="AJ492" s="175" t="s">
        <v>630</v>
      </c>
      <c r="AK492" s="175" t="s">
        <v>630</v>
      </c>
      <c r="AL492" s="1159" t="s">
        <v>250</v>
      </c>
      <c r="AM492" s="175" t="s">
        <v>126</v>
      </c>
      <c r="AN492" s="175">
        <v>0.91100000000000003</v>
      </c>
      <c r="AO492" s="175">
        <v>1.9</v>
      </c>
      <c r="AP492" s="175">
        <v>24</v>
      </c>
      <c r="AQ492" s="175">
        <v>216</v>
      </c>
      <c r="AR492" s="175">
        <v>2.9</v>
      </c>
      <c r="AS492" s="192">
        <v>13695.6096</v>
      </c>
    </row>
    <row r="493" spans="1:45" ht="16.5" customHeight="1">
      <c r="A493" s="174">
        <v>46220</v>
      </c>
      <c r="B493" s="175" t="s">
        <v>216</v>
      </c>
      <c r="C493" s="175" t="s">
        <v>632</v>
      </c>
      <c r="E493" s="175" t="s">
        <v>419</v>
      </c>
      <c r="F493" s="175" t="s">
        <v>419</v>
      </c>
      <c r="G493" s="175" t="s">
        <v>419</v>
      </c>
      <c r="H493" s="175" t="s">
        <v>419</v>
      </c>
      <c r="I493" s="175" t="s">
        <v>419</v>
      </c>
      <c r="L493" s="175" t="s">
        <v>632</v>
      </c>
      <c r="P493" s="175" t="s">
        <v>632</v>
      </c>
      <c r="T493" s="175" t="s">
        <v>632</v>
      </c>
      <c r="X493" s="175" t="s">
        <v>632</v>
      </c>
      <c r="Z493" s="175" t="s">
        <v>419</v>
      </c>
      <c r="AA493" s="175" t="s">
        <v>632</v>
      </c>
      <c r="AB493" s="175" t="s">
        <v>419</v>
      </c>
      <c r="AC493" s="175" t="s">
        <v>419</v>
      </c>
      <c r="AD493" s="175" t="s">
        <v>419</v>
      </c>
      <c r="AE493" s="175" t="s">
        <v>419</v>
      </c>
      <c r="AF493" s="175" t="s">
        <v>213</v>
      </c>
      <c r="AG493" s="175">
        <v>1</v>
      </c>
      <c r="AH493" s="175" t="s">
        <v>640</v>
      </c>
      <c r="AI493" s="175" t="s">
        <v>640</v>
      </c>
      <c r="AJ493" s="175" t="s">
        <v>640</v>
      </c>
      <c r="AK493" s="175" t="s">
        <v>640</v>
      </c>
      <c r="AL493" s="1159" t="s">
        <v>419</v>
      </c>
      <c r="AM493" s="175" t="s">
        <v>419</v>
      </c>
      <c r="AN493" s="175" t="s">
        <v>419</v>
      </c>
      <c r="AO493" s="175" t="s">
        <v>419</v>
      </c>
      <c r="AP493" s="175">
        <v>24</v>
      </c>
      <c r="AQ493" s="175">
        <v>216</v>
      </c>
      <c r="AR493" s="175" t="s">
        <v>419</v>
      </c>
      <c r="AS493" s="192" t="s">
        <v>419</v>
      </c>
    </row>
    <row r="494" spans="1:45" ht="16.5" customHeight="1">
      <c r="A494" s="174">
        <v>46220</v>
      </c>
      <c r="B494" s="175" t="s">
        <v>217</v>
      </c>
      <c r="C494" s="175" t="s">
        <v>17380</v>
      </c>
      <c r="E494" s="175" t="s">
        <v>17381</v>
      </c>
      <c r="F494" s="175" t="s">
        <v>17382</v>
      </c>
      <c r="G494" s="175">
        <v>680</v>
      </c>
      <c r="H494" s="175" t="s">
        <v>16728</v>
      </c>
      <c r="I494" s="175">
        <v>5</v>
      </c>
      <c r="L494" s="175" t="s">
        <v>127</v>
      </c>
      <c r="P494" s="175" t="s">
        <v>127</v>
      </c>
      <c r="T494" s="175" t="s">
        <v>632</v>
      </c>
      <c r="X494" s="175" t="s">
        <v>632</v>
      </c>
      <c r="Z494" s="175">
        <v>1.5824175824175823</v>
      </c>
      <c r="AA494" s="175" t="s">
        <v>127</v>
      </c>
      <c r="AB494" s="175" t="s">
        <v>419</v>
      </c>
      <c r="AC494" s="175" t="s">
        <v>419</v>
      </c>
      <c r="AD494" s="175" t="s">
        <v>419</v>
      </c>
      <c r="AE494" s="175" t="s">
        <v>419</v>
      </c>
      <c r="AF494" s="175" t="s">
        <v>213</v>
      </c>
      <c r="AG494" s="175">
        <v>1</v>
      </c>
      <c r="AH494" s="175" t="s">
        <v>629</v>
      </c>
      <c r="AI494" s="175" t="s">
        <v>629</v>
      </c>
      <c r="AJ494" s="175" t="s">
        <v>640</v>
      </c>
      <c r="AK494" s="175" t="s">
        <v>640</v>
      </c>
      <c r="AL494" s="1159" t="s">
        <v>251</v>
      </c>
      <c r="AM494" s="175" t="s">
        <v>126</v>
      </c>
      <c r="AN494" s="175">
        <v>0.91100000000000003</v>
      </c>
      <c r="AO494" s="175">
        <v>1.3</v>
      </c>
      <c r="AP494" s="175">
        <v>24</v>
      </c>
      <c r="AQ494" s="175">
        <v>216</v>
      </c>
      <c r="AR494" s="175">
        <v>2.2999999999999998</v>
      </c>
      <c r="AS494" s="192">
        <v>10862.035199999998</v>
      </c>
    </row>
    <row r="495" spans="1:45" ht="16.5" customHeight="1">
      <c r="A495" s="174">
        <v>46220</v>
      </c>
      <c r="B495" s="175" t="s">
        <v>218</v>
      </c>
      <c r="C495" s="175" t="s">
        <v>17221</v>
      </c>
      <c r="E495" s="175" t="s">
        <v>17237</v>
      </c>
      <c r="F495" s="175" t="s">
        <v>17229</v>
      </c>
      <c r="G495" s="175">
        <v>600</v>
      </c>
      <c r="H495" s="175" t="s">
        <v>15893</v>
      </c>
      <c r="I495" s="175">
        <v>5</v>
      </c>
      <c r="J495" s="175">
        <v>18</v>
      </c>
      <c r="K495" s="175">
        <v>0</v>
      </c>
      <c r="L495" s="175">
        <v>8938</v>
      </c>
      <c r="M495" s="175">
        <v>9196</v>
      </c>
      <c r="N495" s="175">
        <v>8</v>
      </c>
      <c r="O495" s="175">
        <v>0</v>
      </c>
      <c r="P495" s="175">
        <v>8889</v>
      </c>
      <c r="Q495" s="175">
        <v>9152</v>
      </c>
      <c r="R495" s="175">
        <v>8</v>
      </c>
      <c r="S495" s="175">
        <v>4</v>
      </c>
      <c r="T495" s="175">
        <v>8755</v>
      </c>
      <c r="U495" s="175">
        <v>9017</v>
      </c>
      <c r="V495" s="175">
        <v>14</v>
      </c>
      <c r="W495" s="175">
        <v>0</v>
      </c>
      <c r="X495" s="175">
        <v>8835</v>
      </c>
      <c r="Y495" s="175">
        <v>9001</v>
      </c>
      <c r="Z495" s="175">
        <v>2.8015564202334629</v>
      </c>
      <c r="AA495" s="175">
        <v>8</v>
      </c>
      <c r="AB495" s="175">
        <v>0.99313568376068373</v>
      </c>
      <c r="AC495" s="175">
        <v>89.728750000000005</v>
      </c>
      <c r="AD495" s="175">
        <v>1</v>
      </c>
      <c r="AE495" s="175">
        <v>0.91666666666666663</v>
      </c>
      <c r="AF495" s="175" t="s">
        <v>213</v>
      </c>
      <c r="AG495" s="175">
        <v>0.5</v>
      </c>
      <c r="AH495" s="175" t="s">
        <v>629</v>
      </c>
      <c r="AI495" s="175" t="s">
        <v>629</v>
      </c>
      <c r="AJ495" s="175" t="s">
        <v>630</v>
      </c>
      <c r="AK495" s="175" t="s">
        <v>630</v>
      </c>
      <c r="AL495" s="1159" t="s">
        <v>250</v>
      </c>
      <c r="AM495" s="175" t="s">
        <v>126</v>
      </c>
      <c r="AN495" s="175">
        <v>0.91100000000000003</v>
      </c>
      <c r="AO495" s="175">
        <v>1.7</v>
      </c>
      <c r="AP495" s="175">
        <v>24</v>
      </c>
      <c r="AQ495" s="175">
        <v>216</v>
      </c>
      <c r="AR495" s="175">
        <v>2.7</v>
      </c>
      <c r="AS495" s="192">
        <v>12751.084800000001</v>
      </c>
    </row>
    <row r="496" spans="1:45" ht="16.5" customHeight="1">
      <c r="A496" s="174">
        <v>46220</v>
      </c>
      <c r="B496" s="175" t="s">
        <v>219</v>
      </c>
      <c r="C496" s="175" t="s">
        <v>632</v>
      </c>
      <c r="E496" s="175" t="s">
        <v>419</v>
      </c>
      <c r="F496" s="175" t="s">
        <v>419</v>
      </c>
      <c r="G496" s="175" t="s">
        <v>419</v>
      </c>
      <c r="H496" s="175" t="s">
        <v>419</v>
      </c>
      <c r="I496" s="175" t="s">
        <v>419</v>
      </c>
      <c r="L496" s="175" t="s">
        <v>632</v>
      </c>
      <c r="P496" s="175" t="s">
        <v>632</v>
      </c>
      <c r="T496" s="175" t="s">
        <v>632</v>
      </c>
      <c r="X496" s="175" t="s">
        <v>632</v>
      </c>
      <c r="Z496" s="175" t="s">
        <v>419</v>
      </c>
      <c r="AA496" s="175" t="s">
        <v>632</v>
      </c>
      <c r="AB496" s="175" t="s">
        <v>419</v>
      </c>
      <c r="AC496" s="175" t="s">
        <v>419</v>
      </c>
      <c r="AD496" s="175" t="s">
        <v>419</v>
      </c>
      <c r="AE496" s="175" t="s">
        <v>419</v>
      </c>
      <c r="AF496" s="175" t="s">
        <v>213</v>
      </c>
      <c r="AG496" s="175">
        <v>1</v>
      </c>
      <c r="AH496" s="175" t="s">
        <v>640</v>
      </c>
      <c r="AI496" s="175" t="s">
        <v>640</v>
      </c>
      <c r="AJ496" s="175" t="s">
        <v>640</v>
      </c>
      <c r="AK496" s="175" t="s">
        <v>640</v>
      </c>
      <c r="AL496" s="1159" t="s">
        <v>419</v>
      </c>
      <c r="AM496" s="175" t="s">
        <v>419</v>
      </c>
      <c r="AN496" s="175" t="s">
        <v>419</v>
      </c>
      <c r="AO496" s="175" t="s">
        <v>419</v>
      </c>
      <c r="AP496" s="175">
        <v>24</v>
      </c>
      <c r="AQ496" s="175">
        <v>216</v>
      </c>
      <c r="AR496" s="175" t="s">
        <v>419</v>
      </c>
      <c r="AS496" s="192" t="s">
        <v>419</v>
      </c>
    </row>
    <row r="497" spans="1:45" ht="16.5" customHeight="1">
      <c r="A497" s="174">
        <v>46220</v>
      </c>
      <c r="B497" s="175" t="s">
        <v>220</v>
      </c>
      <c r="C497" s="175" t="s">
        <v>17430</v>
      </c>
      <c r="E497" s="175" t="s">
        <v>1891</v>
      </c>
      <c r="F497" s="175" t="s">
        <v>17433</v>
      </c>
      <c r="G497" s="175">
        <v>600</v>
      </c>
      <c r="H497" s="175" t="s">
        <v>474</v>
      </c>
      <c r="I497" s="175">
        <v>4</v>
      </c>
      <c r="J497" s="175">
        <v>13</v>
      </c>
      <c r="K497" s="175">
        <v>0</v>
      </c>
      <c r="L497" s="175">
        <v>8900</v>
      </c>
      <c r="M497" s="175">
        <v>9486</v>
      </c>
      <c r="N497" s="175">
        <v>6</v>
      </c>
      <c r="O497" s="175">
        <v>0</v>
      </c>
      <c r="P497" s="175">
        <v>8936</v>
      </c>
      <c r="Q497" s="175">
        <v>9335</v>
      </c>
      <c r="R497" s="175">
        <v>11</v>
      </c>
      <c r="S497" s="175">
        <v>1</v>
      </c>
      <c r="T497" s="175">
        <v>9001</v>
      </c>
      <c r="U497" s="175">
        <v>9160</v>
      </c>
      <c r="V497" s="175">
        <v>30</v>
      </c>
      <c r="W497" s="175">
        <v>0</v>
      </c>
      <c r="X497" s="175">
        <v>8835</v>
      </c>
      <c r="Y497" s="175">
        <v>9263</v>
      </c>
      <c r="Z497" s="175">
        <v>1.7625458996328029</v>
      </c>
      <c r="AA497" s="175">
        <v>20</v>
      </c>
      <c r="AB497" s="175">
        <v>0.9972723023504273</v>
      </c>
      <c r="AC497" s="175">
        <v>91.144999999999996</v>
      </c>
      <c r="AD497" s="175">
        <v>2.5</v>
      </c>
      <c r="AE497" s="175">
        <v>2.4583333333333335</v>
      </c>
      <c r="AF497" s="175" t="s">
        <v>213</v>
      </c>
      <c r="AG497" s="175">
        <v>1</v>
      </c>
      <c r="AH497" s="175" t="s">
        <v>629</v>
      </c>
      <c r="AI497" s="175" t="s">
        <v>629</v>
      </c>
      <c r="AJ497" s="175" t="s">
        <v>630</v>
      </c>
      <c r="AK497" s="175" t="s">
        <v>814</v>
      </c>
      <c r="AL497" s="1159" t="s">
        <v>250</v>
      </c>
      <c r="AM497" s="175" t="s">
        <v>126</v>
      </c>
      <c r="AN497" s="175">
        <v>0.91100000000000003</v>
      </c>
      <c r="AO497" s="175">
        <v>0.7</v>
      </c>
      <c r="AP497" s="175">
        <v>24</v>
      </c>
      <c r="AQ497" s="175">
        <v>216</v>
      </c>
      <c r="AR497" s="175">
        <v>1.7</v>
      </c>
      <c r="AS497" s="192">
        <v>8028.4608000000007</v>
      </c>
    </row>
    <row r="498" spans="1:45" ht="16.5" customHeight="1">
      <c r="A498" s="174">
        <v>46220</v>
      </c>
      <c r="B498" s="175" t="s">
        <v>221</v>
      </c>
      <c r="C498" s="175" t="s">
        <v>632</v>
      </c>
      <c r="E498" s="175" t="s">
        <v>419</v>
      </c>
      <c r="F498" s="175" t="s">
        <v>419</v>
      </c>
      <c r="G498" s="175" t="s">
        <v>419</v>
      </c>
      <c r="H498" s="175" t="s">
        <v>419</v>
      </c>
      <c r="I498" s="175" t="s">
        <v>419</v>
      </c>
      <c r="L498" s="175" t="s">
        <v>632</v>
      </c>
      <c r="P498" s="175" t="s">
        <v>632</v>
      </c>
      <c r="T498" s="175" t="s">
        <v>632</v>
      </c>
      <c r="X498" s="175" t="s">
        <v>632</v>
      </c>
      <c r="Z498" s="175" t="s">
        <v>419</v>
      </c>
      <c r="AA498" s="175" t="s">
        <v>632</v>
      </c>
      <c r="AB498" s="175" t="s">
        <v>419</v>
      </c>
      <c r="AC498" s="175" t="s">
        <v>419</v>
      </c>
      <c r="AD498" s="175" t="s">
        <v>419</v>
      </c>
      <c r="AE498" s="175" t="s">
        <v>419</v>
      </c>
      <c r="AF498" s="175" t="s">
        <v>213</v>
      </c>
      <c r="AG498" s="175">
        <v>1</v>
      </c>
      <c r="AH498" s="175" t="s">
        <v>640</v>
      </c>
      <c r="AI498" s="175" t="s">
        <v>640</v>
      </c>
      <c r="AJ498" s="175" t="s">
        <v>640</v>
      </c>
      <c r="AK498" s="175" t="s">
        <v>640</v>
      </c>
      <c r="AL498" s="1159" t="s">
        <v>419</v>
      </c>
      <c r="AM498" s="175" t="s">
        <v>419</v>
      </c>
      <c r="AN498" s="175" t="s">
        <v>419</v>
      </c>
      <c r="AO498" s="175" t="s">
        <v>419</v>
      </c>
      <c r="AP498" s="175">
        <v>24</v>
      </c>
      <c r="AQ498" s="175">
        <v>216</v>
      </c>
      <c r="AR498" s="175" t="s">
        <v>419</v>
      </c>
      <c r="AS498" s="192" t="s">
        <v>419</v>
      </c>
    </row>
    <row r="499" spans="1:45" ht="16.5" customHeight="1">
      <c r="A499" s="174">
        <v>46220</v>
      </c>
      <c r="B499" s="175" t="s">
        <v>222</v>
      </c>
      <c r="C499" s="175" t="s">
        <v>632</v>
      </c>
      <c r="E499" s="175" t="s">
        <v>419</v>
      </c>
      <c r="F499" s="175" t="s">
        <v>419</v>
      </c>
      <c r="G499" s="175" t="s">
        <v>419</v>
      </c>
      <c r="H499" s="175" t="s">
        <v>419</v>
      </c>
      <c r="I499" s="175" t="s">
        <v>419</v>
      </c>
      <c r="L499" s="175" t="s">
        <v>632</v>
      </c>
      <c r="P499" s="175" t="s">
        <v>632</v>
      </c>
      <c r="T499" s="175" t="s">
        <v>632</v>
      </c>
      <c r="X499" s="175" t="s">
        <v>632</v>
      </c>
      <c r="Z499" s="175" t="s">
        <v>419</v>
      </c>
      <c r="AA499" s="175" t="s">
        <v>632</v>
      </c>
      <c r="AB499" s="175" t="s">
        <v>419</v>
      </c>
      <c r="AC499" s="175" t="s">
        <v>419</v>
      </c>
      <c r="AD499" s="175" t="s">
        <v>419</v>
      </c>
      <c r="AE499" s="175" t="s">
        <v>419</v>
      </c>
      <c r="AF499" s="175" t="s">
        <v>213</v>
      </c>
      <c r="AG499" s="175">
        <v>1</v>
      </c>
      <c r="AH499" s="175" t="s">
        <v>15376</v>
      </c>
      <c r="AI499" s="175" t="s">
        <v>15376</v>
      </c>
      <c r="AJ499" s="175" t="s">
        <v>640</v>
      </c>
      <c r="AK499" s="175" t="s">
        <v>640</v>
      </c>
      <c r="AL499" s="1159" t="s">
        <v>419</v>
      </c>
      <c r="AM499" s="175" t="s">
        <v>419</v>
      </c>
      <c r="AN499" s="175" t="s">
        <v>419</v>
      </c>
      <c r="AO499" s="175" t="s">
        <v>419</v>
      </c>
      <c r="AP499" s="175">
        <v>24</v>
      </c>
      <c r="AQ499" s="175">
        <v>216</v>
      </c>
      <c r="AR499" s="175" t="s">
        <v>419</v>
      </c>
      <c r="AS499" s="192" t="s">
        <v>419</v>
      </c>
    </row>
    <row r="500" spans="1:45" ht="16.5" customHeight="1">
      <c r="A500" s="174">
        <v>46220</v>
      </c>
      <c r="B500" s="175" t="s">
        <v>223</v>
      </c>
      <c r="C500" s="175" t="s">
        <v>17263</v>
      </c>
      <c r="D500" s="175" t="s">
        <v>16748</v>
      </c>
      <c r="E500" s="175" t="s">
        <v>17156</v>
      </c>
      <c r="F500" s="175" t="s">
        <v>17264</v>
      </c>
      <c r="G500" s="175">
        <v>600</v>
      </c>
      <c r="H500" s="175" t="s">
        <v>456</v>
      </c>
      <c r="I500" s="175">
        <v>3</v>
      </c>
      <c r="J500" s="175">
        <v>10</v>
      </c>
      <c r="K500" s="175">
        <v>0</v>
      </c>
      <c r="L500" s="175">
        <v>8821</v>
      </c>
      <c r="N500" s="175">
        <v>7</v>
      </c>
      <c r="O500" s="175">
        <v>0</v>
      </c>
      <c r="P500" s="175">
        <v>8786</v>
      </c>
      <c r="R500" s="175">
        <v>11</v>
      </c>
      <c r="S500" s="175">
        <v>0</v>
      </c>
      <c r="T500" s="175">
        <v>8794</v>
      </c>
      <c r="V500" s="175">
        <v>15</v>
      </c>
      <c r="W500" s="175">
        <v>0</v>
      </c>
      <c r="X500" s="175">
        <v>8598</v>
      </c>
      <c r="Z500" s="175">
        <v>2.4161073825503356</v>
      </c>
      <c r="AA500" s="175">
        <v>28.666666666666668</v>
      </c>
      <c r="AB500" s="175">
        <v>1</v>
      </c>
      <c r="AC500" s="175">
        <v>87.497500000000002</v>
      </c>
      <c r="AD500" s="175">
        <v>3.5833333333333335</v>
      </c>
      <c r="AE500" s="175">
        <v>3.5833333333333335</v>
      </c>
      <c r="AF500" s="175" t="s">
        <v>213</v>
      </c>
      <c r="AG500" s="175">
        <v>2</v>
      </c>
      <c r="AH500" s="175" t="s">
        <v>15376</v>
      </c>
      <c r="AI500" s="175" t="s">
        <v>15376</v>
      </c>
      <c r="AJ500" s="175" t="s">
        <v>630</v>
      </c>
      <c r="AK500" s="175" t="s">
        <v>630</v>
      </c>
      <c r="AL500" s="1159" t="s">
        <v>250</v>
      </c>
      <c r="AM500" s="175" t="s">
        <v>126</v>
      </c>
      <c r="AN500" s="175">
        <v>0.91100000000000003</v>
      </c>
      <c r="AO500" s="175">
        <v>0.8</v>
      </c>
      <c r="AP500" s="175">
        <v>24</v>
      </c>
      <c r="AQ500" s="175">
        <v>216</v>
      </c>
      <c r="AR500" s="175">
        <v>1.8</v>
      </c>
      <c r="AS500" s="192">
        <v>8500.7232000000004</v>
      </c>
    </row>
    <row r="501" spans="1:45" ht="16.5" customHeight="1">
      <c r="A501" s="174">
        <v>46220</v>
      </c>
      <c r="B501" s="175" t="s">
        <v>223</v>
      </c>
      <c r="C501" s="175" t="s">
        <v>17431</v>
      </c>
      <c r="E501" s="175" t="s">
        <v>15035</v>
      </c>
      <c r="F501" s="175" t="s">
        <v>16860</v>
      </c>
      <c r="G501" s="175">
        <v>550</v>
      </c>
      <c r="H501" s="175" t="s">
        <v>622</v>
      </c>
      <c r="I501" s="175">
        <v>5</v>
      </c>
      <c r="J501" s="175">
        <v>7</v>
      </c>
      <c r="K501" s="175">
        <v>0</v>
      </c>
      <c r="M501" s="175">
        <v>8527</v>
      </c>
      <c r="N501" s="175">
        <v>6</v>
      </c>
      <c r="O501" s="175">
        <v>0</v>
      </c>
      <c r="Q501" s="175">
        <v>8090</v>
      </c>
      <c r="R501" s="175">
        <v>3</v>
      </c>
      <c r="S501" s="175">
        <v>0</v>
      </c>
      <c r="U501" s="175">
        <v>8270</v>
      </c>
      <c r="V501" s="175">
        <v>3</v>
      </c>
      <c r="W501" s="175">
        <v>0</v>
      </c>
      <c r="Y501" s="175">
        <v>8219</v>
      </c>
      <c r="Z501" s="175">
        <v>1.3345690454124188</v>
      </c>
      <c r="AA501" s="175">
        <v>12.666666666666666</v>
      </c>
      <c r="AB501" s="175">
        <v>1</v>
      </c>
      <c r="AC501" s="175">
        <v>82.765000000000001</v>
      </c>
      <c r="AD501" s="175">
        <v>1.5833333333333333</v>
      </c>
      <c r="AE501" s="175">
        <v>1.5833333333333333</v>
      </c>
      <c r="AF501" s="175" t="s">
        <v>213</v>
      </c>
      <c r="AG501" s="175">
        <v>2</v>
      </c>
      <c r="AH501" s="175" t="s">
        <v>15376</v>
      </c>
      <c r="AI501" s="175" t="s">
        <v>15376</v>
      </c>
      <c r="AJ501" s="175" t="s">
        <v>630</v>
      </c>
      <c r="AK501" s="175" t="s">
        <v>630</v>
      </c>
      <c r="AM501" s="175" t="s">
        <v>126</v>
      </c>
      <c r="AN501" s="175">
        <v>0.91100000000000003</v>
      </c>
      <c r="AO501" s="175">
        <v>0.8</v>
      </c>
      <c r="AP501" s="175">
        <v>24</v>
      </c>
      <c r="AQ501" s="175">
        <v>216</v>
      </c>
      <c r="AR501" s="175">
        <v>1.8</v>
      </c>
      <c r="AS501" s="192">
        <v>8500.7232000000004</v>
      </c>
    </row>
    <row r="502" spans="1:45" ht="16.5" customHeight="1">
      <c r="A502" s="174">
        <v>46220</v>
      </c>
      <c r="B502" s="175" t="s">
        <v>224</v>
      </c>
      <c r="C502" s="175" t="s">
        <v>632</v>
      </c>
      <c r="E502" s="175" t="s">
        <v>419</v>
      </c>
      <c r="F502" s="175" t="s">
        <v>419</v>
      </c>
      <c r="G502" s="175" t="s">
        <v>419</v>
      </c>
      <c r="H502" s="175" t="s">
        <v>419</v>
      </c>
      <c r="I502" s="175" t="s">
        <v>419</v>
      </c>
      <c r="L502" s="175" t="s">
        <v>632</v>
      </c>
      <c r="P502" s="175" t="s">
        <v>632</v>
      </c>
      <c r="T502" s="175" t="s">
        <v>632</v>
      </c>
      <c r="X502" s="175" t="s">
        <v>632</v>
      </c>
      <c r="Z502" s="175" t="s">
        <v>419</v>
      </c>
      <c r="AA502" s="175" t="s">
        <v>632</v>
      </c>
      <c r="AB502" s="175" t="s">
        <v>419</v>
      </c>
      <c r="AC502" s="175" t="s">
        <v>419</v>
      </c>
      <c r="AD502" s="175" t="s">
        <v>419</v>
      </c>
      <c r="AE502" s="175" t="s">
        <v>419</v>
      </c>
      <c r="AF502" s="175" t="s">
        <v>213</v>
      </c>
      <c r="AG502" s="175">
        <v>1</v>
      </c>
      <c r="AH502" s="175" t="s">
        <v>640</v>
      </c>
      <c r="AI502" s="175" t="s">
        <v>640</v>
      </c>
      <c r="AJ502" s="175" t="s">
        <v>640</v>
      </c>
      <c r="AK502" s="175" t="s">
        <v>640</v>
      </c>
      <c r="AL502" s="1159" t="s">
        <v>419</v>
      </c>
      <c r="AM502" s="175" t="s">
        <v>419</v>
      </c>
      <c r="AN502" s="175" t="s">
        <v>419</v>
      </c>
      <c r="AO502" s="175" t="s">
        <v>419</v>
      </c>
      <c r="AP502" s="175">
        <v>24</v>
      </c>
      <c r="AQ502" s="175">
        <v>216</v>
      </c>
      <c r="AR502" s="175" t="s">
        <v>419</v>
      </c>
      <c r="AS502" s="192" t="s">
        <v>419</v>
      </c>
    </row>
    <row r="503" spans="1:45" ht="16.5" customHeight="1">
      <c r="A503" s="174">
        <v>46220</v>
      </c>
      <c r="B503" s="175" t="s">
        <v>225</v>
      </c>
      <c r="C503" s="175" t="s">
        <v>632</v>
      </c>
      <c r="E503" s="175" t="s">
        <v>419</v>
      </c>
      <c r="F503" s="175" t="s">
        <v>419</v>
      </c>
      <c r="G503" s="175" t="s">
        <v>419</v>
      </c>
      <c r="H503" s="175" t="s">
        <v>419</v>
      </c>
      <c r="I503" s="175" t="s">
        <v>419</v>
      </c>
      <c r="L503" s="175" t="s">
        <v>632</v>
      </c>
      <c r="P503" s="175" t="s">
        <v>632</v>
      </c>
      <c r="T503" s="175" t="s">
        <v>632</v>
      </c>
      <c r="X503" s="175" t="s">
        <v>632</v>
      </c>
      <c r="Z503" s="175" t="s">
        <v>419</v>
      </c>
      <c r="AA503" s="175" t="s">
        <v>632</v>
      </c>
      <c r="AB503" s="175" t="s">
        <v>419</v>
      </c>
      <c r="AC503" s="175" t="s">
        <v>419</v>
      </c>
      <c r="AD503" s="175" t="s">
        <v>419</v>
      </c>
      <c r="AE503" s="175" t="s">
        <v>419</v>
      </c>
      <c r="AF503" s="175" t="s">
        <v>213</v>
      </c>
      <c r="AG503" s="175">
        <v>1</v>
      </c>
      <c r="AH503" s="175" t="s">
        <v>640</v>
      </c>
      <c r="AI503" s="175" t="s">
        <v>640</v>
      </c>
      <c r="AJ503" s="175" t="s">
        <v>640</v>
      </c>
      <c r="AK503" s="175" t="s">
        <v>640</v>
      </c>
      <c r="AL503" s="1159" t="s">
        <v>419</v>
      </c>
      <c r="AM503" s="175" t="s">
        <v>419</v>
      </c>
      <c r="AN503" s="175" t="s">
        <v>419</v>
      </c>
      <c r="AO503" s="175" t="s">
        <v>419</v>
      </c>
      <c r="AP503" s="175">
        <v>24</v>
      </c>
      <c r="AQ503" s="175">
        <v>216</v>
      </c>
      <c r="AR503" s="175" t="s">
        <v>419</v>
      </c>
      <c r="AS503" s="192" t="s">
        <v>419</v>
      </c>
    </row>
    <row r="504" spans="1:45" ht="16.5" customHeight="1">
      <c r="A504" s="174">
        <v>46220</v>
      </c>
      <c r="B504" s="175" t="s">
        <v>226</v>
      </c>
      <c r="C504" s="175" t="s">
        <v>632</v>
      </c>
      <c r="E504" s="175" t="s">
        <v>419</v>
      </c>
      <c r="F504" s="175" t="s">
        <v>419</v>
      </c>
      <c r="G504" s="175" t="s">
        <v>419</v>
      </c>
      <c r="H504" s="175" t="s">
        <v>419</v>
      </c>
      <c r="I504" s="175" t="s">
        <v>419</v>
      </c>
      <c r="L504" s="175" t="s">
        <v>632</v>
      </c>
      <c r="P504" s="175" t="s">
        <v>632</v>
      </c>
      <c r="T504" s="175" t="s">
        <v>632</v>
      </c>
      <c r="X504" s="175" t="s">
        <v>632</v>
      </c>
      <c r="Z504" s="175" t="s">
        <v>419</v>
      </c>
      <c r="AA504" s="175" t="s">
        <v>632</v>
      </c>
      <c r="AB504" s="175" t="s">
        <v>419</v>
      </c>
      <c r="AC504" s="175" t="s">
        <v>419</v>
      </c>
      <c r="AD504" s="175" t="s">
        <v>419</v>
      </c>
      <c r="AE504" s="175" t="s">
        <v>419</v>
      </c>
      <c r="AF504" s="175" t="s">
        <v>213</v>
      </c>
      <c r="AG504" s="175">
        <v>1</v>
      </c>
      <c r="AH504" s="175" t="s">
        <v>640</v>
      </c>
      <c r="AI504" s="175" t="s">
        <v>640</v>
      </c>
      <c r="AJ504" s="175" t="s">
        <v>640</v>
      </c>
      <c r="AK504" s="175" t="s">
        <v>640</v>
      </c>
      <c r="AL504" s="1159" t="s">
        <v>419</v>
      </c>
      <c r="AM504" s="175" t="s">
        <v>419</v>
      </c>
      <c r="AN504" s="175" t="s">
        <v>419</v>
      </c>
      <c r="AO504" s="175" t="s">
        <v>419</v>
      </c>
      <c r="AP504" s="175">
        <v>24</v>
      </c>
      <c r="AQ504" s="175">
        <v>216</v>
      </c>
      <c r="AR504" s="175" t="s">
        <v>419</v>
      </c>
      <c r="AS504" s="192" t="s">
        <v>419</v>
      </c>
    </row>
    <row r="505" spans="1:45" ht="16.5" customHeight="1">
      <c r="A505" s="174">
        <v>46220</v>
      </c>
      <c r="B505" s="175" t="s">
        <v>227</v>
      </c>
      <c r="C505" s="175" t="s">
        <v>632</v>
      </c>
      <c r="E505" s="175" t="s">
        <v>419</v>
      </c>
      <c r="F505" s="175" t="s">
        <v>419</v>
      </c>
      <c r="G505" s="175" t="s">
        <v>419</v>
      </c>
      <c r="H505" s="175" t="s">
        <v>419</v>
      </c>
      <c r="I505" s="175" t="s">
        <v>419</v>
      </c>
      <c r="L505" s="175" t="s">
        <v>632</v>
      </c>
      <c r="P505" s="175" t="s">
        <v>632</v>
      </c>
      <c r="T505" s="175" t="s">
        <v>632</v>
      </c>
      <c r="X505" s="175" t="s">
        <v>632</v>
      </c>
      <c r="Z505" s="175" t="s">
        <v>419</v>
      </c>
      <c r="AA505" s="175" t="s">
        <v>632</v>
      </c>
      <c r="AB505" s="175" t="s">
        <v>419</v>
      </c>
      <c r="AC505" s="175" t="s">
        <v>419</v>
      </c>
      <c r="AD505" s="175" t="s">
        <v>419</v>
      </c>
      <c r="AE505" s="175" t="s">
        <v>419</v>
      </c>
      <c r="AF505" s="175" t="s">
        <v>213</v>
      </c>
      <c r="AG505" s="175">
        <v>1</v>
      </c>
      <c r="AH505" s="175" t="s">
        <v>640</v>
      </c>
      <c r="AI505" s="175" t="s">
        <v>640</v>
      </c>
      <c r="AJ505" s="175" t="s">
        <v>640</v>
      </c>
      <c r="AK505" s="175" t="s">
        <v>640</v>
      </c>
      <c r="AL505" s="1159" t="s">
        <v>419</v>
      </c>
      <c r="AM505" s="175" t="s">
        <v>419</v>
      </c>
      <c r="AN505" s="175" t="s">
        <v>419</v>
      </c>
      <c r="AO505" s="175" t="s">
        <v>419</v>
      </c>
      <c r="AP505" s="175">
        <v>24</v>
      </c>
      <c r="AQ505" s="175">
        <v>216</v>
      </c>
      <c r="AR505" s="175" t="s">
        <v>419</v>
      </c>
      <c r="AS505" s="192" t="s">
        <v>419</v>
      </c>
    </row>
    <row r="506" spans="1:45" ht="16.5" customHeight="1">
      <c r="A506" s="174">
        <v>46220</v>
      </c>
      <c r="B506" s="175" t="s">
        <v>228</v>
      </c>
      <c r="C506" s="175" t="s">
        <v>17293</v>
      </c>
      <c r="E506" s="175" t="s">
        <v>7055</v>
      </c>
      <c r="F506" s="175" t="s">
        <v>17294</v>
      </c>
      <c r="G506" s="175">
        <v>550</v>
      </c>
      <c r="H506" s="175" t="s">
        <v>889</v>
      </c>
      <c r="I506" s="175">
        <v>5.5</v>
      </c>
      <c r="L506" s="175" t="s">
        <v>127</v>
      </c>
      <c r="P506" s="175" t="s">
        <v>127</v>
      </c>
      <c r="T506" s="175" t="s">
        <v>127</v>
      </c>
      <c r="X506" s="175" t="s">
        <v>127</v>
      </c>
      <c r="Z506" s="175">
        <v>4.6905537459283391</v>
      </c>
      <c r="AA506" s="175" t="s">
        <v>127</v>
      </c>
      <c r="AB506" s="175" t="s">
        <v>419</v>
      </c>
      <c r="AC506" s="175" t="s">
        <v>419</v>
      </c>
      <c r="AD506" s="175" t="s">
        <v>419</v>
      </c>
      <c r="AE506" s="175" t="s">
        <v>419</v>
      </c>
      <c r="AF506" s="175" t="s">
        <v>213</v>
      </c>
      <c r="AG506" s="175">
        <v>0.5</v>
      </c>
      <c r="AH506" s="175" t="s">
        <v>629</v>
      </c>
      <c r="AI506" s="175" t="s">
        <v>629</v>
      </c>
      <c r="AJ506" s="175" t="s">
        <v>814</v>
      </c>
      <c r="AK506" s="175" t="s">
        <v>630</v>
      </c>
      <c r="AL506" s="1159" t="s">
        <v>250</v>
      </c>
      <c r="AM506" s="175" t="s">
        <v>460</v>
      </c>
      <c r="AN506" s="175">
        <v>1.1890000000000001</v>
      </c>
      <c r="AO506" s="175">
        <v>1.9</v>
      </c>
      <c r="AP506" s="175">
        <v>24</v>
      </c>
      <c r="AQ506" s="175">
        <v>216</v>
      </c>
      <c r="AR506" s="175">
        <v>2.9</v>
      </c>
      <c r="AS506" s="192">
        <v>17874.950400000002</v>
      </c>
    </row>
    <row r="507" spans="1:45" ht="16.5" customHeight="1">
      <c r="A507" s="174">
        <v>46220</v>
      </c>
      <c r="B507" s="175" t="s">
        <v>229</v>
      </c>
      <c r="C507" s="175" t="s">
        <v>17503</v>
      </c>
      <c r="E507" s="175" t="s">
        <v>467</v>
      </c>
      <c r="F507" s="175" t="s">
        <v>17552</v>
      </c>
      <c r="G507" s="175">
        <v>650</v>
      </c>
      <c r="H507" s="175" t="s">
        <v>618</v>
      </c>
      <c r="I507" s="175">
        <v>5</v>
      </c>
      <c r="J507" s="175">
        <v>48</v>
      </c>
      <c r="K507" s="175">
        <v>0</v>
      </c>
      <c r="L507" s="175">
        <v>7741</v>
      </c>
      <c r="M507" s="175">
        <v>7097</v>
      </c>
      <c r="N507" s="175">
        <v>24</v>
      </c>
      <c r="O507" s="175">
        <v>0</v>
      </c>
      <c r="P507" s="175">
        <v>7880</v>
      </c>
      <c r="Q507" s="175">
        <v>8599</v>
      </c>
      <c r="R507" s="175">
        <v>36</v>
      </c>
      <c r="S507" s="175">
        <v>4</v>
      </c>
      <c r="T507" s="175">
        <v>7382</v>
      </c>
      <c r="U507" s="175">
        <v>8471</v>
      </c>
      <c r="V507" s="175">
        <v>32</v>
      </c>
      <c r="W507" s="175">
        <v>2</v>
      </c>
      <c r="X507" s="175">
        <v>6797</v>
      </c>
      <c r="Y507" s="175">
        <v>8527</v>
      </c>
      <c r="Z507" s="175">
        <v>5.9259259259259256</v>
      </c>
      <c r="AA507" s="175">
        <v>23.333333333333332</v>
      </c>
      <c r="AB507" s="175">
        <v>0.99513221153846154</v>
      </c>
      <c r="AC507" s="175">
        <v>78.117500000000007</v>
      </c>
      <c r="AD507" s="175">
        <v>2.9166666666666665</v>
      </c>
      <c r="AE507" s="175">
        <v>2.7916666666666665</v>
      </c>
      <c r="AF507" s="175" t="s">
        <v>213</v>
      </c>
      <c r="AG507" s="175">
        <v>0.5</v>
      </c>
      <c r="AH507" s="175" t="s">
        <v>15376</v>
      </c>
      <c r="AI507" s="175" t="s">
        <v>15376</v>
      </c>
      <c r="AJ507" s="175" t="s">
        <v>630</v>
      </c>
      <c r="AK507" s="175" t="s">
        <v>630</v>
      </c>
      <c r="AL507" s="1159" t="s">
        <v>251</v>
      </c>
      <c r="AM507" s="175" t="s">
        <v>460</v>
      </c>
      <c r="AN507" s="175">
        <v>1.1890000000000001</v>
      </c>
      <c r="AO507" s="175">
        <v>2.6</v>
      </c>
      <c r="AP507" s="175">
        <v>24</v>
      </c>
      <c r="AQ507" s="175">
        <v>216</v>
      </c>
      <c r="AR507" s="175">
        <v>3.6</v>
      </c>
      <c r="AS507" s="192">
        <v>22189.5936</v>
      </c>
    </row>
    <row r="508" spans="1:45" ht="16.5" customHeight="1">
      <c r="A508" s="174">
        <v>46220</v>
      </c>
      <c r="B508" s="175" t="s">
        <v>230</v>
      </c>
      <c r="C508" s="175" t="s">
        <v>632</v>
      </c>
      <c r="E508" s="175" t="s">
        <v>419</v>
      </c>
      <c r="F508" s="175" t="s">
        <v>419</v>
      </c>
      <c r="G508" s="175" t="s">
        <v>419</v>
      </c>
      <c r="H508" s="175" t="s">
        <v>419</v>
      </c>
      <c r="I508" s="175" t="s">
        <v>419</v>
      </c>
      <c r="L508" s="175" t="s">
        <v>632</v>
      </c>
      <c r="P508" s="175" t="s">
        <v>632</v>
      </c>
      <c r="T508" s="175" t="s">
        <v>632</v>
      </c>
      <c r="X508" s="175" t="s">
        <v>632</v>
      </c>
      <c r="Z508" s="175" t="s">
        <v>419</v>
      </c>
      <c r="AA508" s="175" t="s">
        <v>632</v>
      </c>
      <c r="AB508" s="175" t="s">
        <v>419</v>
      </c>
      <c r="AC508" s="175" t="s">
        <v>419</v>
      </c>
      <c r="AD508" s="175" t="s">
        <v>419</v>
      </c>
      <c r="AE508" s="175" t="s">
        <v>419</v>
      </c>
      <c r="AF508" s="175" t="s">
        <v>213</v>
      </c>
      <c r="AG508" s="175">
        <v>1</v>
      </c>
      <c r="AH508" s="175" t="s">
        <v>640</v>
      </c>
      <c r="AI508" s="175" t="s">
        <v>640</v>
      </c>
      <c r="AJ508" s="175" t="s">
        <v>640</v>
      </c>
      <c r="AK508" s="175" t="s">
        <v>640</v>
      </c>
      <c r="AL508" s="1159" t="s">
        <v>419</v>
      </c>
      <c r="AM508" s="175" t="s">
        <v>419</v>
      </c>
      <c r="AN508" s="175" t="s">
        <v>419</v>
      </c>
      <c r="AO508" s="175" t="s">
        <v>419</v>
      </c>
      <c r="AP508" s="175">
        <v>24</v>
      </c>
      <c r="AQ508" s="175">
        <v>216</v>
      </c>
      <c r="AR508" s="175" t="s">
        <v>419</v>
      </c>
      <c r="AS508" s="192" t="s">
        <v>419</v>
      </c>
    </row>
    <row r="509" spans="1:45" ht="16.5" customHeight="1">
      <c r="A509" s="174">
        <v>46220</v>
      </c>
      <c r="B509" s="175" t="s">
        <v>231</v>
      </c>
      <c r="C509" s="175" t="s">
        <v>632</v>
      </c>
      <c r="E509" s="175" t="s">
        <v>419</v>
      </c>
      <c r="F509" s="175" t="s">
        <v>419</v>
      </c>
      <c r="G509" s="175" t="s">
        <v>419</v>
      </c>
      <c r="H509" s="175" t="s">
        <v>419</v>
      </c>
      <c r="I509" s="175" t="s">
        <v>419</v>
      </c>
      <c r="L509" s="175" t="s">
        <v>632</v>
      </c>
      <c r="P509" s="175" t="s">
        <v>632</v>
      </c>
      <c r="T509" s="175" t="s">
        <v>632</v>
      </c>
      <c r="X509" s="175" t="s">
        <v>632</v>
      </c>
      <c r="Z509" s="175" t="s">
        <v>419</v>
      </c>
      <c r="AA509" s="175" t="s">
        <v>632</v>
      </c>
      <c r="AB509" s="175" t="s">
        <v>419</v>
      </c>
      <c r="AC509" s="175" t="s">
        <v>419</v>
      </c>
      <c r="AD509" s="175" t="s">
        <v>419</v>
      </c>
      <c r="AE509" s="175" t="s">
        <v>419</v>
      </c>
      <c r="AF509" s="175" t="s">
        <v>232</v>
      </c>
      <c r="AG509" s="175">
        <v>1</v>
      </c>
      <c r="AH509" s="175" t="s">
        <v>640</v>
      </c>
      <c r="AI509" s="175" t="s">
        <v>640</v>
      </c>
      <c r="AJ509" s="175" t="s">
        <v>640</v>
      </c>
      <c r="AK509" s="175" t="s">
        <v>640</v>
      </c>
      <c r="AL509" s="1159" t="s">
        <v>419</v>
      </c>
      <c r="AM509" s="175" t="s">
        <v>419</v>
      </c>
      <c r="AN509" s="175" t="s">
        <v>419</v>
      </c>
      <c r="AO509" s="175" t="s">
        <v>419</v>
      </c>
      <c r="AP509" s="175">
        <v>24</v>
      </c>
      <c r="AQ509" s="175">
        <v>216</v>
      </c>
      <c r="AR509" s="175" t="s">
        <v>419</v>
      </c>
      <c r="AS509" s="192" t="s">
        <v>419</v>
      </c>
    </row>
    <row r="510" spans="1:45" ht="16.5" customHeight="1">
      <c r="A510" s="174">
        <v>46220</v>
      </c>
      <c r="B510" s="175" t="s">
        <v>233</v>
      </c>
      <c r="C510" s="175" t="s">
        <v>632</v>
      </c>
      <c r="E510" s="175" t="s">
        <v>419</v>
      </c>
      <c r="F510" s="175" t="s">
        <v>419</v>
      </c>
      <c r="G510" s="175" t="s">
        <v>419</v>
      </c>
      <c r="H510" s="175" t="s">
        <v>419</v>
      </c>
      <c r="I510" s="175" t="s">
        <v>419</v>
      </c>
      <c r="L510" s="175" t="s">
        <v>632</v>
      </c>
      <c r="P510" s="175" t="s">
        <v>632</v>
      </c>
      <c r="T510" s="175" t="s">
        <v>632</v>
      </c>
      <c r="X510" s="175" t="s">
        <v>632</v>
      </c>
      <c r="Z510" s="175" t="s">
        <v>419</v>
      </c>
      <c r="AA510" s="175" t="s">
        <v>632</v>
      </c>
      <c r="AB510" s="175" t="s">
        <v>419</v>
      </c>
      <c r="AC510" s="175" t="s">
        <v>419</v>
      </c>
      <c r="AD510" s="175" t="s">
        <v>419</v>
      </c>
      <c r="AE510" s="175" t="s">
        <v>419</v>
      </c>
      <c r="AF510" s="175" t="s">
        <v>232</v>
      </c>
      <c r="AG510" s="175">
        <v>1</v>
      </c>
      <c r="AH510" s="175" t="s">
        <v>640</v>
      </c>
      <c r="AI510" s="175" t="s">
        <v>640</v>
      </c>
      <c r="AJ510" s="175" t="s">
        <v>640</v>
      </c>
      <c r="AK510" s="175" t="s">
        <v>640</v>
      </c>
      <c r="AL510" s="1159" t="s">
        <v>419</v>
      </c>
      <c r="AM510" s="175" t="s">
        <v>419</v>
      </c>
      <c r="AN510" s="175" t="s">
        <v>419</v>
      </c>
      <c r="AO510" s="175" t="s">
        <v>419</v>
      </c>
      <c r="AP510" s="175">
        <v>24</v>
      </c>
      <c r="AQ510" s="175">
        <v>216</v>
      </c>
      <c r="AR510" s="175" t="s">
        <v>419</v>
      </c>
      <c r="AS510" s="192" t="s">
        <v>419</v>
      </c>
    </row>
    <row r="511" spans="1:45" ht="16.5" customHeight="1">
      <c r="A511" s="174">
        <v>46220</v>
      </c>
      <c r="B511" s="175" t="s">
        <v>234</v>
      </c>
      <c r="C511" s="175" t="s">
        <v>632</v>
      </c>
      <c r="E511" s="175" t="s">
        <v>419</v>
      </c>
      <c r="F511" s="175" t="s">
        <v>419</v>
      </c>
      <c r="G511" s="175" t="s">
        <v>419</v>
      </c>
      <c r="H511" s="175" t="s">
        <v>419</v>
      </c>
      <c r="I511" s="175" t="s">
        <v>419</v>
      </c>
      <c r="L511" s="175" t="s">
        <v>632</v>
      </c>
      <c r="P511" s="175" t="s">
        <v>632</v>
      </c>
      <c r="T511" s="175" t="s">
        <v>632</v>
      </c>
      <c r="X511" s="175" t="s">
        <v>632</v>
      </c>
      <c r="Z511" s="175" t="s">
        <v>419</v>
      </c>
      <c r="AA511" s="175" t="s">
        <v>632</v>
      </c>
      <c r="AB511" s="175" t="s">
        <v>419</v>
      </c>
      <c r="AC511" s="175" t="s">
        <v>419</v>
      </c>
      <c r="AD511" s="175" t="s">
        <v>419</v>
      </c>
      <c r="AE511" s="175" t="s">
        <v>419</v>
      </c>
      <c r="AF511" s="175" t="s">
        <v>232</v>
      </c>
      <c r="AG511" s="175">
        <v>1</v>
      </c>
      <c r="AH511" s="175" t="s">
        <v>640</v>
      </c>
      <c r="AI511" s="175" t="s">
        <v>640</v>
      </c>
      <c r="AJ511" s="175" t="s">
        <v>640</v>
      </c>
      <c r="AK511" s="175" t="s">
        <v>640</v>
      </c>
      <c r="AL511" s="1159" t="s">
        <v>419</v>
      </c>
      <c r="AM511" s="175" t="s">
        <v>419</v>
      </c>
      <c r="AN511" s="175" t="s">
        <v>419</v>
      </c>
      <c r="AO511" s="175" t="s">
        <v>419</v>
      </c>
      <c r="AP511" s="175">
        <v>24</v>
      </c>
      <c r="AQ511" s="175">
        <v>216</v>
      </c>
      <c r="AR511" s="175" t="s">
        <v>419</v>
      </c>
      <c r="AS511" s="192" t="s">
        <v>419</v>
      </c>
    </row>
    <row r="512" spans="1:45" ht="16.5" customHeight="1">
      <c r="A512" s="174">
        <v>46220</v>
      </c>
      <c r="B512" s="175" t="s">
        <v>235</v>
      </c>
      <c r="C512" s="175" t="s">
        <v>17550</v>
      </c>
      <c r="D512" s="175" t="s">
        <v>633</v>
      </c>
      <c r="E512" s="175" t="s">
        <v>16719</v>
      </c>
      <c r="F512" s="175" t="s">
        <v>17249</v>
      </c>
      <c r="G512" s="175">
        <v>600</v>
      </c>
      <c r="H512" s="175" t="s">
        <v>712</v>
      </c>
      <c r="I512" s="175">
        <v>5.5</v>
      </c>
      <c r="L512" s="175" t="s">
        <v>642</v>
      </c>
      <c r="P512" s="175" t="s">
        <v>642</v>
      </c>
      <c r="T512" s="175" t="s">
        <v>477</v>
      </c>
      <c r="V512" s="175">
        <v>20</v>
      </c>
      <c r="W512" s="175">
        <v>0</v>
      </c>
      <c r="X512" s="175">
        <v>8980</v>
      </c>
      <c r="Z512" s="175">
        <v>5.034965034965035</v>
      </c>
      <c r="AA512" s="175" t="s">
        <v>642</v>
      </c>
      <c r="AB512" s="175" t="s">
        <v>419</v>
      </c>
      <c r="AC512" s="175" t="s">
        <v>419</v>
      </c>
      <c r="AD512" s="175" t="s">
        <v>419</v>
      </c>
      <c r="AE512" s="175" t="s">
        <v>419</v>
      </c>
      <c r="AF512" s="175" t="s">
        <v>236</v>
      </c>
      <c r="AG512" s="175">
        <v>2</v>
      </c>
      <c r="AH512" s="175" t="s">
        <v>641</v>
      </c>
      <c r="AI512" s="175" t="s">
        <v>641</v>
      </c>
      <c r="AJ512" s="175" t="s">
        <v>652</v>
      </c>
      <c r="AK512" s="175" t="s">
        <v>652</v>
      </c>
      <c r="AL512" s="1159" t="s">
        <v>251</v>
      </c>
      <c r="AM512" s="175" t="s">
        <v>460</v>
      </c>
      <c r="AN512" s="175">
        <v>1.1890000000000001</v>
      </c>
      <c r="AO512" s="175">
        <v>2.7</v>
      </c>
      <c r="AP512" s="175">
        <v>24</v>
      </c>
      <c r="AQ512" s="175">
        <v>216</v>
      </c>
      <c r="AR512" s="175">
        <v>3.7</v>
      </c>
      <c r="AS512" s="192">
        <v>22805.9712</v>
      </c>
    </row>
    <row r="513" spans="1:45" ht="16.5" customHeight="1">
      <c r="A513" s="174">
        <v>46220</v>
      </c>
      <c r="B513" s="175" t="s">
        <v>235</v>
      </c>
      <c r="C513" s="175" t="s">
        <v>17289</v>
      </c>
      <c r="D513" s="175" t="s">
        <v>633</v>
      </c>
      <c r="E513" s="175" t="s">
        <v>16719</v>
      </c>
      <c r="F513" s="175" t="s">
        <v>17290</v>
      </c>
      <c r="G513" s="175">
        <v>700</v>
      </c>
      <c r="H513" s="175" t="s">
        <v>776</v>
      </c>
      <c r="I513" s="175">
        <v>5.5</v>
      </c>
      <c r="J513" s="175">
        <v>20</v>
      </c>
      <c r="K513" s="175">
        <v>5</v>
      </c>
      <c r="M513" s="175">
        <v>9170</v>
      </c>
      <c r="N513" s="175">
        <v>7</v>
      </c>
      <c r="O513" s="175">
        <v>0</v>
      </c>
      <c r="Q513" s="175">
        <v>8700</v>
      </c>
      <c r="R513" s="175">
        <v>0</v>
      </c>
      <c r="S513" s="175">
        <v>0</v>
      </c>
      <c r="U513" s="175">
        <v>8430</v>
      </c>
      <c r="V513" s="175">
        <v>28</v>
      </c>
      <c r="W513" s="175">
        <v>0</v>
      </c>
      <c r="Y513" s="175">
        <v>9170</v>
      </c>
      <c r="Z513" s="175">
        <v>5.8775510204081636</v>
      </c>
      <c r="AA513" s="175">
        <v>36.666666666666664</v>
      </c>
      <c r="AB513" s="175">
        <v>0.99591012286324787</v>
      </c>
      <c r="AC513" s="175">
        <v>88.674999999999997</v>
      </c>
      <c r="AD513" s="175">
        <v>4.583333333333333</v>
      </c>
      <c r="AE513" s="175">
        <v>4.166666666666667</v>
      </c>
      <c r="AF513" s="175" t="s">
        <v>236</v>
      </c>
      <c r="AG513" s="175">
        <v>2</v>
      </c>
      <c r="AH513" s="175" t="s">
        <v>641</v>
      </c>
      <c r="AI513" s="175" t="s">
        <v>641</v>
      </c>
      <c r="AJ513" s="175" t="s">
        <v>652</v>
      </c>
      <c r="AK513" s="175" t="s">
        <v>652</v>
      </c>
      <c r="AM513" s="175" t="s">
        <v>460</v>
      </c>
      <c r="AN513" s="175">
        <v>1.1890000000000001</v>
      </c>
      <c r="AO513" s="175">
        <v>3</v>
      </c>
      <c r="AP513" s="175">
        <v>24</v>
      </c>
      <c r="AQ513" s="175">
        <v>216</v>
      </c>
      <c r="AR513" s="175">
        <v>4</v>
      </c>
      <c r="AS513" s="192">
        <v>24655.103999999999</v>
      </c>
    </row>
    <row r="514" spans="1:45" ht="16.5" customHeight="1">
      <c r="A514" s="174">
        <v>46220</v>
      </c>
      <c r="B514" s="175" t="s">
        <v>237</v>
      </c>
      <c r="C514" s="175" t="s">
        <v>17547</v>
      </c>
      <c r="D514" s="175" t="s">
        <v>633</v>
      </c>
      <c r="E514" s="175" t="s">
        <v>17548</v>
      </c>
      <c r="F514" s="175" t="s">
        <v>17549</v>
      </c>
      <c r="G514" s="175">
        <v>700</v>
      </c>
      <c r="H514" s="175" t="s">
        <v>803</v>
      </c>
      <c r="I514" s="175">
        <v>5.5</v>
      </c>
      <c r="J514" s="175">
        <v>18</v>
      </c>
      <c r="K514" s="175">
        <v>9</v>
      </c>
      <c r="L514" s="175">
        <v>9440</v>
      </c>
      <c r="M514" s="175" t="s">
        <v>642</v>
      </c>
      <c r="N514" s="175">
        <v>19</v>
      </c>
      <c r="O514" s="175">
        <v>1</v>
      </c>
      <c r="P514" s="175">
        <v>9440</v>
      </c>
      <c r="Q514" s="175" t="s">
        <v>642</v>
      </c>
      <c r="R514" s="175">
        <v>0</v>
      </c>
      <c r="S514" s="175">
        <v>0</v>
      </c>
      <c r="T514" s="175">
        <v>7870</v>
      </c>
      <c r="U514" s="175" t="s">
        <v>477</v>
      </c>
      <c r="V514" s="175">
        <v>47</v>
      </c>
      <c r="W514" s="175">
        <v>0</v>
      </c>
      <c r="X514" s="175">
        <v>9260</v>
      </c>
      <c r="Y514" s="175">
        <v>8890</v>
      </c>
      <c r="Z514" s="175">
        <v>5.8299595141700413</v>
      </c>
      <c r="AA514" s="175">
        <v>56</v>
      </c>
      <c r="AB514" s="175">
        <v>0.99175347222222221</v>
      </c>
      <c r="AC514" s="175">
        <v>89.8</v>
      </c>
      <c r="AD514" s="175">
        <v>7</v>
      </c>
      <c r="AE514" s="175">
        <v>6.166666666666667</v>
      </c>
      <c r="AF514" s="175" t="s">
        <v>236</v>
      </c>
      <c r="AG514" s="175">
        <v>2</v>
      </c>
      <c r="AH514" s="175" t="s">
        <v>641</v>
      </c>
      <c r="AI514" s="175" t="s">
        <v>641</v>
      </c>
      <c r="AJ514" s="175" t="s">
        <v>652</v>
      </c>
      <c r="AK514" s="175" t="s">
        <v>652</v>
      </c>
      <c r="AL514" s="1159" t="s">
        <v>250</v>
      </c>
      <c r="AM514" s="175" t="s">
        <v>460</v>
      </c>
      <c r="AN514" s="175">
        <v>1.1890000000000001</v>
      </c>
      <c r="AO514" s="175">
        <v>2.9</v>
      </c>
      <c r="AP514" s="175">
        <v>24</v>
      </c>
      <c r="AQ514" s="175">
        <v>216</v>
      </c>
      <c r="AR514" s="175">
        <v>3.9</v>
      </c>
      <c r="AS514" s="192">
        <v>24038.7264</v>
      </c>
    </row>
    <row r="515" spans="1:45" ht="16.5" customHeight="1">
      <c r="A515" s="174">
        <v>46220</v>
      </c>
      <c r="B515" s="175" t="s">
        <v>238</v>
      </c>
      <c r="C515" s="175" t="s">
        <v>17248</v>
      </c>
      <c r="D515" s="175" t="s">
        <v>633</v>
      </c>
      <c r="E515" s="175" t="s">
        <v>16719</v>
      </c>
      <c r="F515" s="175" t="s">
        <v>17249</v>
      </c>
      <c r="G515" s="175">
        <v>600</v>
      </c>
      <c r="H515" s="175" t="s">
        <v>877</v>
      </c>
      <c r="I515" s="175">
        <v>5.5</v>
      </c>
      <c r="J515" s="175">
        <v>26</v>
      </c>
      <c r="K515" s="175">
        <v>0</v>
      </c>
      <c r="L515" s="175">
        <v>9540</v>
      </c>
      <c r="M515" s="175">
        <v>9810</v>
      </c>
      <c r="N515" s="175">
        <v>17</v>
      </c>
      <c r="O515" s="175">
        <v>0</v>
      </c>
      <c r="P515" s="175">
        <v>9440</v>
      </c>
      <c r="Q515" s="175">
        <v>9630</v>
      </c>
      <c r="R515" s="175">
        <v>0</v>
      </c>
      <c r="S515" s="175">
        <v>0</v>
      </c>
      <c r="T515" s="175">
        <v>9070</v>
      </c>
      <c r="U515" s="175">
        <v>8700</v>
      </c>
      <c r="V515" s="175">
        <v>42</v>
      </c>
      <c r="W515" s="175">
        <v>0</v>
      </c>
      <c r="X515" s="175">
        <v>9170</v>
      </c>
      <c r="Y515" s="175">
        <v>9440</v>
      </c>
      <c r="Z515" s="175">
        <v>5.034965034965035</v>
      </c>
      <c r="AA515" s="175">
        <v>28.333333333333332</v>
      </c>
      <c r="AB515" s="175">
        <v>1</v>
      </c>
      <c r="AC515" s="175">
        <v>93.5</v>
      </c>
      <c r="AD515" s="175">
        <v>3.5416666666666665</v>
      </c>
      <c r="AE515" s="175">
        <v>3.5416666666666665</v>
      </c>
      <c r="AF515" s="175" t="s">
        <v>236</v>
      </c>
      <c r="AG515" s="175">
        <v>1</v>
      </c>
      <c r="AH515" s="175" t="s">
        <v>15337</v>
      </c>
      <c r="AI515" s="175" t="s">
        <v>15337</v>
      </c>
      <c r="AJ515" s="175" t="s">
        <v>835</v>
      </c>
      <c r="AK515" s="175" t="s">
        <v>835</v>
      </c>
      <c r="AL515" s="1159" t="s">
        <v>251</v>
      </c>
      <c r="AM515" s="175" t="s">
        <v>460</v>
      </c>
      <c r="AN515" s="175">
        <v>1.1890000000000001</v>
      </c>
      <c r="AO515" s="175">
        <v>2.8</v>
      </c>
      <c r="AP515" s="175">
        <v>24</v>
      </c>
      <c r="AQ515" s="175">
        <v>216</v>
      </c>
      <c r="AR515" s="175">
        <v>3.8</v>
      </c>
      <c r="AS515" s="192">
        <v>23422.3488</v>
      </c>
    </row>
    <row r="516" spans="1:45" ht="16.5" customHeight="1">
      <c r="A516" s="174">
        <v>46220</v>
      </c>
      <c r="B516" s="175" t="s">
        <v>239</v>
      </c>
      <c r="C516" s="175" t="s">
        <v>17266</v>
      </c>
      <c r="E516" s="175" t="s">
        <v>754</v>
      </c>
      <c r="F516" s="175" t="s">
        <v>17267</v>
      </c>
      <c r="G516" s="175">
        <v>600</v>
      </c>
      <c r="H516" s="175" t="s">
        <v>842</v>
      </c>
      <c r="I516" s="175">
        <v>4</v>
      </c>
      <c r="J516" s="175">
        <v>16</v>
      </c>
      <c r="K516" s="175">
        <v>4</v>
      </c>
      <c r="L516" s="175">
        <v>9440</v>
      </c>
      <c r="N516" s="175">
        <v>2</v>
      </c>
      <c r="O516" s="175">
        <v>2</v>
      </c>
      <c r="P516" s="175">
        <v>9440</v>
      </c>
      <c r="R516" s="175">
        <v>0</v>
      </c>
      <c r="S516" s="175">
        <v>0</v>
      </c>
      <c r="T516" s="175">
        <v>8980</v>
      </c>
      <c r="V516" s="175">
        <v>11</v>
      </c>
      <c r="W516" s="175">
        <v>0</v>
      </c>
      <c r="X516" s="175">
        <v>8980</v>
      </c>
      <c r="Z516" s="175">
        <v>3.6</v>
      </c>
      <c r="AA516" s="175">
        <v>19.333333333333332</v>
      </c>
      <c r="AB516" s="175">
        <v>0.99198717948717952</v>
      </c>
      <c r="AC516" s="175">
        <v>92.1</v>
      </c>
      <c r="AD516" s="175">
        <v>2.4166666666666665</v>
      </c>
      <c r="AE516" s="175">
        <v>1.9166666666666667</v>
      </c>
      <c r="AF516" s="175" t="s">
        <v>236</v>
      </c>
      <c r="AG516" s="175">
        <v>2</v>
      </c>
      <c r="AH516" s="175" t="s">
        <v>641</v>
      </c>
      <c r="AI516" s="175" t="s">
        <v>641</v>
      </c>
      <c r="AJ516" s="175" t="s">
        <v>652</v>
      </c>
      <c r="AK516" s="175" t="s">
        <v>652</v>
      </c>
      <c r="AL516" s="1159" t="s">
        <v>251</v>
      </c>
      <c r="AM516" s="175" t="s">
        <v>126</v>
      </c>
      <c r="AN516" s="175">
        <v>0.91100000000000003</v>
      </c>
      <c r="AO516" s="175">
        <v>1.5</v>
      </c>
      <c r="AP516" s="175">
        <v>24</v>
      </c>
      <c r="AQ516" s="175">
        <v>216</v>
      </c>
      <c r="AR516" s="175">
        <v>2.5</v>
      </c>
      <c r="AS516" s="192">
        <v>11806.560000000001</v>
      </c>
    </row>
    <row r="517" spans="1:45" ht="16.5" customHeight="1">
      <c r="A517" s="174">
        <v>46220</v>
      </c>
      <c r="B517" s="175" t="s">
        <v>239</v>
      </c>
      <c r="C517" s="175" t="s">
        <v>17557</v>
      </c>
      <c r="D517" s="175" t="s">
        <v>633</v>
      </c>
      <c r="E517" s="175" t="s">
        <v>8958</v>
      </c>
      <c r="F517" s="175" t="s">
        <v>17558</v>
      </c>
      <c r="G517" s="175">
        <v>550</v>
      </c>
      <c r="H517" s="175" t="s">
        <v>1023</v>
      </c>
      <c r="I517" s="175">
        <v>5.5</v>
      </c>
      <c r="L517" s="175" t="s">
        <v>642</v>
      </c>
      <c r="M517" s="175" t="s">
        <v>16755</v>
      </c>
      <c r="Q517" s="175" t="s">
        <v>17559</v>
      </c>
      <c r="U517" s="175" t="s">
        <v>17559</v>
      </c>
      <c r="Y517" s="175" t="s">
        <v>17559</v>
      </c>
      <c r="Z517" s="175">
        <v>6.6055045871559646</v>
      </c>
      <c r="AA517" s="175" t="s">
        <v>642</v>
      </c>
      <c r="AB517" s="175" t="s">
        <v>419</v>
      </c>
      <c r="AC517" s="175" t="s">
        <v>419</v>
      </c>
      <c r="AD517" s="175" t="s">
        <v>419</v>
      </c>
      <c r="AE517" s="175" t="s">
        <v>419</v>
      </c>
      <c r="AF517" s="175" t="s">
        <v>236</v>
      </c>
      <c r="AG517" s="175">
        <v>2</v>
      </c>
      <c r="AH517" s="175" t="s">
        <v>641</v>
      </c>
      <c r="AI517" s="175" t="s">
        <v>641</v>
      </c>
      <c r="AJ517" s="175" t="s">
        <v>652</v>
      </c>
      <c r="AK517" s="175" t="s">
        <v>652</v>
      </c>
      <c r="AM517" s="175" t="s">
        <v>643</v>
      </c>
      <c r="AN517" s="175">
        <v>1.859</v>
      </c>
      <c r="AO517" s="175">
        <v>3.3</v>
      </c>
      <c r="AP517" s="175">
        <v>24</v>
      </c>
      <c r="AQ517" s="175">
        <v>216</v>
      </c>
      <c r="AR517" s="175">
        <v>4.3</v>
      </c>
      <c r="AS517" s="192">
        <v>41439.340799999998</v>
      </c>
    </row>
    <row r="518" spans="1:45" ht="16.5" customHeight="1">
      <c r="A518" s="174">
        <v>46220</v>
      </c>
      <c r="B518" s="175" t="s">
        <v>388</v>
      </c>
      <c r="C518" s="175" t="s">
        <v>17296</v>
      </c>
      <c r="D518" s="175" t="s">
        <v>633</v>
      </c>
      <c r="E518" s="175" t="s">
        <v>16719</v>
      </c>
      <c r="F518" s="175" t="s">
        <v>17290</v>
      </c>
      <c r="G518" s="175">
        <v>700</v>
      </c>
      <c r="H518" s="175" t="s">
        <v>15541</v>
      </c>
      <c r="I518" s="175">
        <v>5.5</v>
      </c>
      <c r="J518" s="175">
        <v>16</v>
      </c>
      <c r="K518" s="175">
        <v>0</v>
      </c>
      <c r="L518" s="175" t="s">
        <v>642</v>
      </c>
      <c r="M518" s="175">
        <v>10000</v>
      </c>
      <c r="N518" s="175">
        <v>16</v>
      </c>
      <c r="O518" s="175">
        <v>0</v>
      </c>
      <c r="P518" s="175" t="s">
        <v>642</v>
      </c>
      <c r="Q518" s="175">
        <v>9630</v>
      </c>
      <c r="R518" s="175">
        <v>10</v>
      </c>
      <c r="S518" s="175">
        <v>0</v>
      </c>
      <c r="T518" s="175" t="s">
        <v>477</v>
      </c>
      <c r="U518" s="175">
        <v>9810</v>
      </c>
      <c r="V518" s="175">
        <v>15</v>
      </c>
      <c r="W518" s="175">
        <v>0</v>
      </c>
      <c r="X518" s="175">
        <v>4170</v>
      </c>
      <c r="Y518" s="175">
        <v>9810</v>
      </c>
      <c r="Z518" s="175">
        <v>5.8299595141700413</v>
      </c>
      <c r="AA518" s="175" t="s">
        <v>642</v>
      </c>
      <c r="AB518" s="175">
        <v>1</v>
      </c>
      <c r="AC518" s="175" t="s">
        <v>419</v>
      </c>
      <c r="AD518" s="175" t="s">
        <v>419</v>
      </c>
      <c r="AE518" s="175" t="s">
        <v>419</v>
      </c>
      <c r="AF518" s="175" t="s">
        <v>236</v>
      </c>
      <c r="AG518" s="175">
        <v>2</v>
      </c>
      <c r="AH518" s="175" t="s">
        <v>15337</v>
      </c>
      <c r="AI518" s="175" t="s">
        <v>15337</v>
      </c>
      <c r="AJ518" s="175" t="s">
        <v>835</v>
      </c>
      <c r="AK518" s="175" t="s">
        <v>835</v>
      </c>
      <c r="AL518" s="1159" t="s">
        <v>251</v>
      </c>
      <c r="AM518" s="175" t="s">
        <v>460</v>
      </c>
      <c r="AN518" s="175">
        <v>1.1890000000000001</v>
      </c>
      <c r="AO518" s="175">
        <v>2.8</v>
      </c>
      <c r="AP518" s="175">
        <v>24</v>
      </c>
      <c r="AQ518" s="175">
        <v>216</v>
      </c>
      <c r="AR518" s="175">
        <v>3.8</v>
      </c>
      <c r="AS518" s="192">
        <v>23422.3488</v>
      </c>
    </row>
    <row r="519" spans="1:45" ht="16.5" customHeight="1">
      <c r="A519" s="174">
        <v>46220</v>
      </c>
      <c r="B519" s="175" t="s">
        <v>417</v>
      </c>
      <c r="C519" s="175" t="s">
        <v>17291</v>
      </c>
      <c r="D519" s="175" t="s">
        <v>633</v>
      </c>
      <c r="E519" s="175" t="s">
        <v>16719</v>
      </c>
      <c r="F519" s="175" t="s">
        <v>17290</v>
      </c>
      <c r="G519" s="175">
        <v>700</v>
      </c>
      <c r="H519" s="175" t="s">
        <v>724</v>
      </c>
      <c r="I519" s="175">
        <v>5.5</v>
      </c>
      <c r="J519" s="175">
        <v>28</v>
      </c>
      <c r="K519" s="175">
        <v>2</v>
      </c>
      <c r="L519" s="175">
        <v>9910</v>
      </c>
      <c r="M519" s="175">
        <v>9630</v>
      </c>
      <c r="N519" s="175">
        <v>15</v>
      </c>
      <c r="O519" s="175">
        <v>0</v>
      </c>
      <c r="P519" s="175">
        <v>9630</v>
      </c>
      <c r="Q519" s="175">
        <v>9630</v>
      </c>
      <c r="R519" s="175">
        <v>0</v>
      </c>
      <c r="S519" s="175">
        <v>0</v>
      </c>
      <c r="T519" s="175">
        <v>8890</v>
      </c>
      <c r="U519" s="175">
        <v>9260</v>
      </c>
      <c r="V519" s="175">
        <v>28</v>
      </c>
      <c r="W519" s="175">
        <v>0</v>
      </c>
      <c r="X519" s="175">
        <v>9910</v>
      </c>
      <c r="Y519" s="175">
        <v>9510</v>
      </c>
      <c r="Z519" s="175">
        <v>5.8299595141700413</v>
      </c>
      <c r="AA519" s="175">
        <v>23.666666666666668</v>
      </c>
      <c r="AB519" s="175">
        <v>0.99835069444444446</v>
      </c>
      <c r="AC519" s="175">
        <v>95.462500000000006</v>
      </c>
      <c r="AD519" s="175">
        <v>2.9583333333333335</v>
      </c>
      <c r="AE519" s="175">
        <v>2.875</v>
      </c>
      <c r="AF519" s="175" t="s">
        <v>236</v>
      </c>
      <c r="AG519" s="175">
        <v>1</v>
      </c>
      <c r="AH519" s="175" t="s">
        <v>15337</v>
      </c>
      <c r="AI519" s="175" t="s">
        <v>15337</v>
      </c>
      <c r="AJ519" s="175" t="s">
        <v>835</v>
      </c>
      <c r="AK519" s="175" t="s">
        <v>835</v>
      </c>
      <c r="AL519" s="1159" t="s">
        <v>251</v>
      </c>
      <c r="AM519" s="175" t="s">
        <v>460</v>
      </c>
      <c r="AN519" s="175">
        <v>1.1890000000000001</v>
      </c>
      <c r="AO519" s="175">
        <v>2.8</v>
      </c>
      <c r="AP519" s="175">
        <v>24</v>
      </c>
      <c r="AQ519" s="175">
        <v>216</v>
      </c>
      <c r="AR519" s="175">
        <v>3.8</v>
      </c>
      <c r="AS519" s="192">
        <v>23422.3488</v>
      </c>
    </row>
    <row r="520" spans="1:45" ht="16.5" customHeight="1">
      <c r="A520" s="174">
        <v>46220</v>
      </c>
      <c r="B520" s="175" t="s">
        <v>240</v>
      </c>
      <c r="C520" s="175" t="s">
        <v>17429</v>
      </c>
      <c r="E520" s="175" t="s">
        <v>17434</v>
      </c>
      <c r="F520" s="175" t="s">
        <v>17435</v>
      </c>
      <c r="G520" s="175">
        <v>550</v>
      </c>
      <c r="H520" s="175" t="s">
        <v>884</v>
      </c>
      <c r="I520" s="175">
        <v>4</v>
      </c>
      <c r="J520" s="175">
        <v>11</v>
      </c>
      <c r="K520" s="175">
        <v>0</v>
      </c>
      <c r="L520" s="175">
        <v>3533</v>
      </c>
      <c r="N520" s="175">
        <v>5</v>
      </c>
      <c r="O520" s="175">
        <v>0</v>
      </c>
      <c r="P520" s="175">
        <v>3706</v>
      </c>
      <c r="R520" s="175">
        <v>4</v>
      </c>
      <c r="S520" s="175">
        <v>0</v>
      </c>
      <c r="T520" s="175">
        <v>3542</v>
      </c>
      <c r="V520" s="175">
        <v>23</v>
      </c>
      <c r="W520" s="175">
        <v>0</v>
      </c>
      <c r="X520" s="175">
        <v>3630</v>
      </c>
      <c r="Z520" s="175">
        <v>1.6179775280898876</v>
      </c>
      <c r="AA520" s="175">
        <v>86</v>
      </c>
      <c r="AB520" s="175">
        <v>1</v>
      </c>
      <c r="AC520" s="175">
        <v>36.027500000000003</v>
      </c>
      <c r="AD520" s="175">
        <v>10.75</v>
      </c>
      <c r="AE520" s="175">
        <v>10.75</v>
      </c>
      <c r="AF520" s="175" t="s">
        <v>241</v>
      </c>
      <c r="AG520" s="175">
        <v>6</v>
      </c>
      <c r="AH520" s="175" t="s">
        <v>634</v>
      </c>
      <c r="AI520" s="175" t="s">
        <v>634</v>
      </c>
      <c r="AJ520" s="175" t="s">
        <v>814</v>
      </c>
      <c r="AK520" s="175" t="s">
        <v>814</v>
      </c>
      <c r="AL520" s="1159" t="s">
        <v>251</v>
      </c>
      <c r="AM520" s="175" t="s">
        <v>626</v>
      </c>
      <c r="AN520" s="175">
        <v>0.66900000000000004</v>
      </c>
      <c r="AO520" s="175">
        <v>1.6</v>
      </c>
      <c r="AP520" s="175">
        <v>24</v>
      </c>
      <c r="AQ520" s="175">
        <v>216</v>
      </c>
      <c r="AR520" s="175">
        <v>2.6</v>
      </c>
      <c r="AS520" s="192">
        <v>9017.0496000000021</v>
      </c>
    </row>
    <row r="521" spans="1:45" ht="16.5" customHeight="1">
      <c r="A521" s="174">
        <v>46220</v>
      </c>
      <c r="B521" s="175" t="s">
        <v>242</v>
      </c>
      <c r="C521" s="175" t="s">
        <v>385</v>
      </c>
      <c r="E521" s="175" t="s">
        <v>419</v>
      </c>
      <c r="F521" s="175" t="s">
        <v>419</v>
      </c>
      <c r="G521" s="175" t="s">
        <v>419</v>
      </c>
      <c r="H521" s="175" t="s">
        <v>419</v>
      </c>
      <c r="I521" s="175" t="s">
        <v>419</v>
      </c>
      <c r="L521" s="175" t="s">
        <v>385</v>
      </c>
      <c r="P521" s="175" t="s">
        <v>385</v>
      </c>
      <c r="T521" s="175" t="s">
        <v>385</v>
      </c>
      <c r="X521" s="175" t="s">
        <v>385</v>
      </c>
      <c r="Z521" s="175" t="s">
        <v>419</v>
      </c>
      <c r="AA521" s="175" t="s">
        <v>385</v>
      </c>
      <c r="AB521" s="175" t="s">
        <v>419</v>
      </c>
      <c r="AC521" s="175" t="s">
        <v>419</v>
      </c>
      <c r="AD521" s="175" t="s">
        <v>419</v>
      </c>
      <c r="AE521" s="175" t="s">
        <v>419</v>
      </c>
      <c r="AF521" s="175" t="s">
        <v>241</v>
      </c>
      <c r="AG521" s="175">
        <v>5</v>
      </c>
      <c r="AH521" s="175" t="s">
        <v>634</v>
      </c>
      <c r="AI521" s="175" t="s">
        <v>634</v>
      </c>
      <c r="AJ521" s="175" t="s">
        <v>814</v>
      </c>
      <c r="AK521" s="175" t="s">
        <v>814</v>
      </c>
      <c r="AL521" s="1159" t="s">
        <v>419</v>
      </c>
      <c r="AM521" s="175" t="s">
        <v>419</v>
      </c>
      <c r="AN521" s="175" t="s">
        <v>419</v>
      </c>
      <c r="AO521" s="175" t="s">
        <v>419</v>
      </c>
      <c r="AP521" s="175">
        <v>24</v>
      </c>
      <c r="AQ521" s="175">
        <v>216</v>
      </c>
      <c r="AR521" s="175" t="s">
        <v>419</v>
      </c>
      <c r="AS521" s="192" t="s">
        <v>419</v>
      </c>
    </row>
    <row r="522" spans="1:45" ht="16.5" customHeight="1">
      <c r="A522" s="174">
        <v>46221</v>
      </c>
      <c r="B522" s="175" t="s">
        <v>212</v>
      </c>
      <c r="C522" s="175" t="s">
        <v>632</v>
      </c>
      <c r="E522" s="175" t="s">
        <v>419</v>
      </c>
      <c r="F522" s="175" t="s">
        <v>419</v>
      </c>
      <c r="G522" s="175" t="s">
        <v>419</v>
      </c>
      <c r="H522" s="175" t="s">
        <v>419</v>
      </c>
      <c r="I522" s="175" t="s">
        <v>419</v>
      </c>
      <c r="L522" s="175" t="s">
        <v>632</v>
      </c>
      <c r="P522" s="175" t="s">
        <v>632</v>
      </c>
      <c r="T522" s="175" t="s">
        <v>632</v>
      </c>
      <c r="X522" s="175" t="s">
        <v>632</v>
      </c>
      <c r="Z522" s="175" t="s">
        <v>419</v>
      </c>
      <c r="AA522" s="175" t="s">
        <v>632</v>
      </c>
      <c r="AB522" s="175" t="s">
        <v>419</v>
      </c>
      <c r="AC522" s="175" t="s">
        <v>419</v>
      </c>
      <c r="AD522" s="175" t="s">
        <v>419</v>
      </c>
      <c r="AE522" s="175" t="s">
        <v>419</v>
      </c>
      <c r="AF522" s="175" t="s">
        <v>213</v>
      </c>
      <c r="AG522" s="175">
        <v>1</v>
      </c>
      <c r="AH522" s="175" t="s">
        <v>640</v>
      </c>
      <c r="AI522" s="175" t="s">
        <v>640</v>
      </c>
      <c r="AJ522" s="175" t="s">
        <v>640</v>
      </c>
      <c r="AK522" s="175" t="s">
        <v>640</v>
      </c>
      <c r="AL522" s="1159" t="s">
        <v>419</v>
      </c>
      <c r="AM522" s="175" t="s">
        <v>419</v>
      </c>
      <c r="AN522" s="175" t="s">
        <v>419</v>
      </c>
      <c r="AO522" s="175" t="s">
        <v>419</v>
      </c>
      <c r="AP522" s="175">
        <v>24</v>
      </c>
      <c r="AQ522" s="175">
        <v>216</v>
      </c>
      <c r="AR522" s="175" t="s">
        <v>419</v>
      </c>
      <c r="AS522" s="192" t="s">
        <v>419</v>
      </c>
    </row>
    <row r="523" spans="1:45" ht="16.5" customHeight="1">
      <c r="A523" s="174">
        <v>46221</v>
      </c>
      <c r="B523" s="175" t="s">
        <v>214</v>
      </c>
      <c r="C523" s="175" t="s">
        <v>632</v>
      </c>
      <c r="E523" s="175" t="s">
        <v>419</v>
      </c>
      <c r="F523" s="175" t="s">
        <v>419</v>
      </c>
      <c r="G523" s="175" t="s">
        <v>419</v>
      </c>
      <c r="H523" s="175" t="s">
        <v>419</v>
      </c>
      <c r="I523" s="175" t="s">
        <v>419</v>
      </c>
      <c r="L523" s="175" t="s">
        <v>632</v>
      </c>
      <c r="P523" s="175" t="s">
        <v>632</v>
      </c>
      <c r="T523" s="175" t="s">
        <v>632</v>
      </c>
      <c r="X523" s="175" t="s">
        <v>632</v>
      </c>
      <c r="Z523" s="175" t="s">
        <v>419</v>
      </c>
      <c r="AA523" s="175" t="s">
        <v>632</v>
      </c>
      <c r="AB523" s="175" t="s">
        <v>419</v>
      </c>
      <c r="AC523" s="175" t="s">
        <v>419</v>
      </c>
      <c r="AD523" s="175" t="s">
        <v>419</v>
      </c>
      <c r="AE523" s="175" t="s">
        <v>419</v>
      </c>
      <c r="AF523" s="175" t="s">
        <v>213</v>
      </c>
      <c r="AG523" s="175">
        <v>1</v>
      </c>
      <c r="AH523" s="175" t="s">
        <v>640</v>
      </c>
      <c r="AI523" s="175" t="s">
        <v>640</v>
      </c>
      <c r="AJ523" s="175" t="s">
        <v>640</v>
      </c>
      <c r="AK523" s="175" t="s">
        <v>640</v>
      </c>
      <c r="AL523" s="1159" t="s">
        <v>419</v>
      </c>
      <c r="AM523" s="175" t="s">
        <v>419</v>
      </c>
      <c r="AN523" s="175" t="s">
        <v>419</v>
      </c>
      <c r="AO523" s="175" t="s">
        <v>419</v>
      </c>
      <c r="AP523" s="175">
        <v>24</v>
      </c>
      <c r="AQ523" s="175">
        <v>216</v>
      </c>
      <c r="AR523" s="175" t="s">
        <v>419</v>
      </c>
      <c r="AS523" s="192" t="s">
        <v>419</v>
      </c>
    </row>
    <row r="524" spans="1:45" ht="16.5" customHeight="1">
      <c r="A524" s="174">
        <v>46221</v>
      </c>
      <c r="B524" s="175" t="s">
        <v>215</v>
      </c>
      <c r="C524" s="175" t="s">
        <v>17316</v>
      </c>
      <c r="E524" s="175" t="s">
        <v>5005</v>
      </c>
      <c r="F524" s="175" t="s">
        <v>17317</v>
      </c>
      <c r="G524" s="175">
        <v>500</v>
      </c>
      <c r="H524" s="175" t="s">
        <v>1186</v>
      </c>
      <c r="I524" s="175">
        <v>4</v>
      </c>
      <c r="L524" s="175" t="s">
        <v>127</v>
      </c>
      <c r="M524" s="175" t="s">
        <v>632</v>
      </c>
      <c r="P524" s="175" t="s">
        <v>127</v>
      </c>
      <c r="Q524" s="175" t="s">
        <v>632</v>
      </c>
      <c r="T524" s="175" t="s">
        <v>127</v>
      </c>
      <c r="U524" s="175" t="s">
        <v>632</v>
      </c>
      <c r="X524" s="175" t="s">
        <v>127</v>
      </c>
      <c r="Y524" s="175" t="s">
        <v>632</v>
      </c>
      <c r="Z524" s="175">
        <v>2.9937629937629939</v>
      </c>
      <c r="AA524" s="175" t="s">
        <v>127</v>
      </c>
      <c r="AB524" s="175" t="s">
        <v>419</v>
      </c>
      <c r="AC524" s="175" t="s">
        <v>419</v>
      </c>
      <c r="AD524" s="175" t="s">
        <v>419</v>
      </c>
      <c r="AE524" s="175" t="s">
        <v>419</v>
      </c>
      <c r="AF524" s="175" t="s">
        <v>213</v>
      </c>
      <c r="AG524" s="175">
        <v>1</v>
      </c>
      <c r="AH524" s="175" t="s">
        <v>637</v>
      </c>
      <c r="AI524" s="175" t="s">
        <v>637</v>
      </c>
      <c r="AJ524" s="175" t="s">
        <v>15368</v>
      </c>
      <c r="AK524" s="175" t="s">
        <v>15368</v>
      </c>
      <c r="AL524" s="1159" t="s">
        <v>250</v>
      </c>
      <c r="AM524" s="175" t="s">
        <v>126</v>
      </c>
      <c r="AN524" s="175">
        <v>0.91100000000000003</v>
      </c>
      <c r="AO524" s="175">
        <v>1.9</v>
      </c>
      <c r="AP524" s="175">
        <v>24</v>
      </c>
      <c r="AQ524" s="175">
        <v>216</v>
      </c>
      <c r="AR524" s="175">
        <v>2.9</v>
      </c>
      <c r="AS524" s="192">
        <v>13695.6096</v>
      </c>
    </row>
    <row r="525" spans="1:45" ht="16.5" customHeight="1">
      <c r="A525" s="174">
        <v>46221</v>
      </c>
      <c r="B525" s="175" t="s">
        <v>216</v>
      </c>
      <c r="C525" s="175" t="s">
        <v>632</v>
      </c>
      <c r="E525" s="175" t="s">
        <v>419</v>
      </c>
      <c r="F525" s="175" t="s">
        <v>419</v>
      </c>
      <c r="G525" s="175" t="s">
        <v>419</v>
      </c>
      <c r="H525" s="175" t="s">
        <v>419</v>
      </c>
      <c r="I525" s="175" t="s">
        <v>419</v>
      </c>
      <c r="L525" s="175" t="s">
        <v>632</v>
      </c>
      <c r="P525" s="175" t="s">
        <v>632</v>
      </c>
      <c r="T525" s="175" t="s">
        <v>632</v>
      </c>
      <c r="X525" s="175" t="s">
        <v>632</v>
      </c>
      <c r="Z525" s="175" t="s">
        <v>419</v>
      </c>
      <c r="AA525" s="175" t="s">
        <v>632</v>
      </c>
      <c r="AB525" s="175" t="s">
        <v>419</v>
      </c>
      <c r="AC525" s="175" t="s">
        <v>419</v>
      </c>
      <c r="AD525" s="175" t="s">
        <v>419</v>
      </c>
      <c r="AE525" s="175" t="s">
        <v>419</v>
      </c>
      <c r="AF525" s="175" t="s">
        <v>213</v>
      </c>
      <c r="AG525" s="175">
        <v>1</v>
      </c>
      <c r="AH525" s="175" t="s">
        <v>640</v>
      </c>
      <c r="AI525" s="175" t="s">
        <v>640</v>
      </c>
      <c r="AJ525" s="175" t="s">
        <v>640</v>
      </c>
      <c r="AK525" s="175" t="s">
        <v>640</v>
      </c>
      <c r="AL525" s="1159" t="s">
        <v>419</v>
      </c>
      <c r="AM525" s="175" t="s">
        <v>419</v>
      </c>
      <c r="AN525" s="175" t="s">
        <v>419</v>
      </c>
      <c r="AO525" s="175" t="s">
        <v>419</v>
      </c>
      <c r="AP525" s="175">
        <v>24</v>
      </c>
      <c r="AQ525" s="175">
        <v>216</v>
      </c>
      <c r="AR525" s="175" t="s">
        <v>419</v>
      </c>
      <c r="AS525" s="192" t="s">
        <v>419</v>
      </c>
    </row>
    <row r="526" spans="1:45" ht="16.5" customHeight="1">
      <c r="A526" s="174">
        <v>46221</v>
      </c>
      <c r="B526" s="175" t="s">
        <v>217</v>
      </c>
      <c r="C526" s="175" t="s">
        <v>632</v>
      </c>
      <c r="E526" s="175" t="s">
        <v>419</v>
      </c>
      <c r="F526" s="175" t="s">
        <v>419</v>
      </c>
      <c r="G526" s="175" t="s">
        <v>419</v>
      </c>
      <c r="H526" s="175" t="s">
        <v>419</v>
      </c>
      <c r="I526" s="175" t="s">
        <v>419</v>
      </c>
      <c r="L526" s="175" t="s">
        <v>632</v>
      </c>
      <c r="P526" s="175" t="s">
        <v>632</v>
      </c>
      <c r="T526" s="175" t="s">
        <v>632</v>
      </c>
      <c r="X526" s="175" t="s">
        <v>632</v>
      </c>
      <c r="Z526" s="175" t="s">
        <v>419</v>
      </c>
      <c r="AA526" s="175" t="s">
        <v>632</v>
      </c>
      <c r="AB526" s="175" t="s">
        <v>419</v>
      </c>
      <c r="AC526" s="175" t="s">
        <v>419</v>
      </c>
      <c r="AD526" s="175" t="s">
        <v>419</v>
      </c>
      <c r="AE526" s="175" t="s">
        <v>419</v>
      </c>
      <c r="AF526" s="175" t="s">
        <v>213</v>
      </c>
      <c r="AG526" s="175">
        <v>1</v>
      </c>
      <c r="AH526" s="175" t="s">
        <v>640</v>
      </c>
      <c r="AI526" s="175" t="s">
        <v>640</v>
      </c>
      <c r="AJ526" s="175" t="s">
        <v>640</v>
      </c>
      <c r="AK526" s="175" t="s">
        <v>640</v>
      </c>
      <c r="AL526" s="1159" t="s">
        <v>419</v>
      </c>
      <c r="AM526" s="175" t="s">
        <v>419</v>
      </c>
      <c r="AN526" s="175" t="s">
        <v>419</v>
      </c>
      <c r="AO526" s="175" t="s">
        <v>419</v>
      </c>
      <c r="AP526" s="175">
        <v>24</v>
      </c>
      <c r="AQ526" s="175">
        <v>216</v>
      </c>
      <c r="AR526" s="175" t="s">
        <v>419</v>
      </c>
      <c r="AS526" s="192" t="s">
        <v>419</v>
      </c>
    </row>
    <row r="527" spans="1:45" ht="16.5" customHeight="1">
      <c r="A527" s="174">
        <v>46221</v>
      </c>
      <c r="B527" s="175" t="s">
        <v>218</v>
      </c>
      <c r="C527" s="175" t="s">
        <v>17221</v>
      </c>
      <c r="E527" s="175" t="s">
        <v>17237</v>
      </c>
      <c r="F527" s="175" t="s">
        <v>17229</v>
      </c>
      <c r="G527" s="175">
        <v>600</v>
      </c>
      <c r="H527" s="175" t="s">
        <v>15893</v>
      </c>
      <c r="I527" s="175">
        <v>5</v>
      </c>
      <c r="J527" s="175">
        <v>28</v>
      </c>
      <c r="K527" s="175">
        <v>0</v>
      </c>
      <c r="L527" s="175">
        <v>8852</v>
      </c>
      <c r="M527" s="175">
        <v>9117</v>
      </c>
      <c r="N527" s="175">
        <v>8</v>
      </c>
      <c r="O527" s="175">
        <v>0</v>
      </c>
      <c r="P527" s="175">
        <v>9121</v>
      </c>
      <c r="Q527" s="175">
        <v>9313</v>
      </c>
      <c r="R527" s="175">
        <v>10</v>
      </c>
      <c r="S527" s="175">
        <v>0</v>
      </c>
      <c r="T527" s="175">
        <v>9132</v>
      </c>
      <c r="U527" s="175">
        <v>9263</v>
      </c>
      <c r="V527" s="175">
        <v>40</v>
      </c>
      <c r="W527" s="175">
        <v>0</v>
      </c>
      <c r="X527" s="175">
        <v>9105</v>
      </c>
      <c r="Y527" s="175">
        <v>8811</v>
      </c>
      <c r="Z527" s="175">
        <v>2.8015564202334629</v>
      </c>
      <c r="AA527" s="175">
        <v>14.333333333333334</v>
      </c>
      <c r="AB527" s="175">
        <v>1</v>
      </c>
      <c r="AC527" s="175">
        <v>90.892499999999998</v>
      </c>
      <c r="AD527" s="175">
        <v>1.7916666666666667</v>
      </c>
      <c r="AE527" s="175">
        <v>1.7916666666666667</v>
      </c>
      <c r="AF527" s="175" t="s">
        <v>213</v>
      </c>
      <c r="AG527" s="175">
        <v>0.5</v>
      </c>
      <c r="AH527" s="175" t="s">
        <v>15376</v>
      </c>
      <c r="AI527" s="175" t="s">
        <v>15376</v>
      </c>
      <c r="AJ527" s="175" t="s">
        <v>15368</v>
      </c>
      <c r="AK527" s="175" t="s">
        <v>15368</v>
      </c>
      <c r="AL527" s="1159" t="s">
        <v>250</v>
      </c>
      <c r="AM527" s="175" t="s">
        <v>126</v>
      </c>
      <c r="AN527" s="175">
        <v>0.91100000000000003</v>
      </c>
      <c r="AO527" s="175">
        <v>1.7</v>
      </c>
      <c r="AP527" s="175">
        <v>24</v>
      </c>
      <c r="AQ527" s="175">
        <v>216</v>
      </c>
      <c r="AR527" s="175">
        <v>2.7</v>
      </c>
      <c r="AS527" s="192">
        <v>12751.084800000001</v>
      </c>
    </row>
    <row r="528" spans="1:45" ht="16.5" customHeight="1">
      <c r="A528" s="174">
        <v>46221</v>
      </c>
      <c r="B528" s="175" t="s">
        <v>219</v>
      </c>
      <c r="C528" s="175" t="s">
        <v>632</v>
      </c>
      <c r="E528" s="175" t="s">
        <v>419</v>
      </c>
      <c r="F528" s="175" t="s">
        <v>419</v>
      </c>
      <c r="G528" s="175" t="s">
        <v>419</v>
      </c>
      <c r="H528" s="175" t="s">
        <v>419</v>
      </c>
      <c r="I528" s="175" t="s">
        <v>419</v>
      </c>
      <c r="L528" s="175" t="s">
        <v>632</v>
      </c>
      <c r="P528" s="175" t="s">
        <v>632</v>
      </c>
      <c r="T528" s="175" t="s">
        <v>632</v>
      </c>
      <c r="X528" s="175" t="s">
        <v>632</v>
      </c>
      <c r="Z528" s="175" t="s">
        <v>419</v>
      </c>
      <c r="AA528" s="175" t="s">
        <v>632</v>
      </c>
      <c r="AB528" s="175" t="s">
        <v>419</v>
      </c>
      <c r="AC528" s="175" t="s">
        <v>419</v>
      </c>
      <c r="AD528" s="175" t="s">
        <v>419</v>
      </c>
      <c r="AE528" s="175" t="s">
        <v>419</v>
      </c>
      <c r="AF528" s="175" t="s">
        <v>213</v>
      </c>
      <c r="AG528" s="175">
        <v>1</v>
      </c>
      <c r="AH528" s="175" t="s">
        <v>640</v>
      </c>
      <c r="AI528" s="175" t="s">
        <v>640</v>
      </c>
      <c r="AJ528" s="175" t="s">
        <v>640</v>
      </c>
      <c r="AK528" s="175" t="s">
        <v>640</v>
      </c>
      <c r="AL528" s="1159" t="s">
        <v>419</v>
      </c>
      <c r="AM528" s="175" t="s">
        <v>419</v>
      </c>
      <c r="AN528" s="175" t="s">
        <v>419</v>
      </c>
      <c r="AO528" s="175" t="s">
        <v>419</v>
      </c>
      <c r="AP528" s="175">
        <v>24</v>
      </c>
      <c r="AQ528" s="175">
        <v>216</v>
      </c>
      <c r="AR528" s="175" t="s">
        <v>419</v>
      </c>
      <c r="AS528" s="192" t="s">
        <v>419</v>
      </c>
    </row>
    <row r="529" spans="1:45" ht="16.5" customHeight="1">
      <c r="A529" s="174">
        <v>46221</v>
      </c>
      <c r="B529" s="175" t="s">
        <v>220</v>
      </c>
      <c r="C529" s="175" t="s">
        <v>17430</v>
      </c>
      <c r="E529" s="175" t="s">
        <v>1891</v>
      </c>
      <c r="F529" s="175" t="s">
        <v>17433</v>
      </c>
      <c r="G529" s="175">
        <v>600</v>
      </c>
      <c r="H529" s="175" t="s">
        <v>474</v>
      </c>
      <c r="I529" s="175">
        <v>4</v>
      </c>
      <c r="J529" s="175">
        <v>21</v>
      </c>
      <c r="K529" s="175">
        <v>4</v>
      </c>
      <c r="L529" s="175">
        <v>9013</v>
      </c>
      <c r="M529" s="175">
        <v>9705</v>
      </c>
      <c r="N529" s="175">
        <v>11</v>
      </c>
      <c r="O529" s="175">
        <v>5</v>
      </c>
      <c r="P529" s="175">
        <v>9001</v>
      </c>
      <c r="Q529" s="175">
        <v>9720</v>
      </c>
      <c r="R529" s="175">
        <v>5</v>
      </c>
      <c r="S529" s="175">
        <v>0</v>
      </c>
      <c r="T529" s="175">
        <v>9011</v>
      </c>
      <c r="U529" s="175">
        <v>9640</v>
      </c>
      <c r="V529" s="175">
        <v>29</v>
      </c>
      <c r="W529" s="175">
        <v>0</v>
      </c>
      <c r="X529" s="175">
        <v>8846</v>
      </c>
      <c r="Y529" s="175">
        <v>9551</v>
      </c>
      <c r="Z529" s="175">
        <v>1.7625458996328029</v>
      </c>
      <c r="AA529" s="175">
        <v>22</v>
      </c>
      <c r="AB529" s="175">
        <v>0.97545072115384612</v>
      </c>
      <c r="AC529" s="175">
        <v>93.108750000000001</v>
      </c>
      <c r="AD529" s="175">
        <v>2.75</v>
      </c>
      <c r="AE529" s="175">
        <v>2.375</v>
      </c>
      <c r="AF529" s="175" t="s">
        <v>213</v>
      </c>
      <c r="AG529" s="175">
        <v>1</v>
      </c>
      <c r="AH529" s="175" t="s">
        <v>637</v>
      </c>
      <c r="AI529" s="175" t="s">
        <v>637</v>
      </c>
      <c r="AJ529" s="175" t="s">
        <v>814</v>
      </c>
      <c r="AK529" s="175" t="s">
        <v>814</v>
      </c>
      <c r="AL529" s="1159" t="s">
        <v>250</v>
      </c>
      <c r="AM529" s="175" t="s">
        <v>126</v>
      </c>
      <c r="AN529" s="175">
        <v>0.91100000000000003</v>
      </c>
      <c r="AO529" s="175">
        <v>0.7</v>
      </c>
      <c r="AP529" s="175">
        <v>24</v>
      </c>
      <c r="AQ529" s="175">
        <v>216</v>
      </c>
      <c r="AR529" s="175">
        <v>1.7</v>
      </c>
      <c r="AS529" s="192">
        <v>8028.4608000000007</v>
      </c>
    </row>
    <row r="530" spans="1:45" ht="16.5" customHeight="1">
      <c r="A530" s="174">
        <v>46221</v>
      </c>
      <c r="B530" s="175" t="s">
        <v>221</v>
      </c>
      <c r="C530" s="175" t="s">
        <v>632</v>
      </c>
      <c r="E530" s="175" t="s">
        <v>419</v>
      </c>
      <c r="F530" s="175" t="s">
        <v>419</v>
      </c>
      <c r="G530" s="175" t="s">
        <v>419</v>
      </c>
      <c r="H530" s="175" t="s">
        <v>419</v>
      </c>
      <c r="I530" s="175" t="s">
        <v>419</v>
      </c>
      <c r="L530" s="175" t="s">
        <v>632</v>
      </c>
      <c r="P530" s="175" t="s">
        <v>632</v>
      </c>
      <c r="T530" s="175" t="s">
        <v>632</v>
      </c>
      <c r="X530" s="175" t="s">
        <v>632</v>
      </c>
      <c r="Z530" s="175" t="s">
        <v>419</v>
      </c>
      <c r="AA530" s="175" t="s">
        <v>632</v>
      </c>
      <c r="AB530" s="175" t="s">
        <v>419</v>
      </c>
      <c r="AC530" s="175" t="s">
        <v>419</v>
      </c>
      <c r="AD530" s="175" t="s">
        <v>419</v>
      </c>
      <c r="AE530" s="175" t="s">
        <v>419</v>
      </c>
      <c r="AF530" s="175" t="s">
        <v>213</v>
      </c>
      <c r="AG530" s="175">
        <v>1</v>
      </c>
      <c r="AH530" s="175" t="s">
        <v>640</v>
      </c>
      <c r="AI530" s="175" t="s">
        <v>640</v>
      </c>
      <c r="AJ530" s="175" t="s">
        <v>640</v>
      </c>
      <c r="AK530" s="175" t="s">
        <v>640</v>
      </c>
      <c r="AL530" s="1159" t="s">
        <v>419</v>
      </c>
      <c r="AM530" s="175" t="s">
        <v>419</v>
      </c>
      <c r="AN530" s="175" t="s">
        <v>419</v>
      </c>
      <c r="AO530" s="175" t="s">
        <v>419</v>
      </c>
      <c r="AP530" s="175">
        <v>24</v>
      </c>
      <c r="AQ530" s="175">
        <v>216</v>
      </c>
      <c r="AR530" s="175" t="s">
        <v>419</v>
      </c>
      <c r="AS530" s="192" t="s">
        <v>419</v>
      </c>
    </row>
    <row r="531" spans="1:45" ht="16.5" customHeight="1">
      <c r="A531" s="174">
        <v>46221</v>
      </c>
      <c r="B531" s="175" t="s">
        <v>222</v>
      </c>
      <c r="C531" s="175" t="s">
        <v>632</v>
      </c>
      <c r="E531" s="175" t="s">
        <v>419</v>
      </c>
      <c r="F531" s="175" t="s">
        <v>419</v>
      </c>
      <c r="G531" s="175" t="s">
        <v>419</v>
      </c>
      <c r="H531" s="175" t="s">
        <v>419</v>
      </c>
      <c r="I531" s="175" t="s">
        <v>419</v>
      </c>
      <c r="L531" s="175" t="s">
        <v>632</v>
      </c>
      <c r="P531" s="175" t="s">
        <v>632</v>
      </c>
      <c r="T531" s="175" t="s">
        <v>632</v>
      </c>
      <c r="X531" s="175" t="s">
        <v>632</v>
      </c>
      <c r="Z531" s="175" t="s">
        <v>419</v>
      </c>
      <c r="AA531" s="175" t="s">
        <v>632</v>
      </c>
      <c r="AB531" s="175" t="s">
        <v>419</v>
      </c>
      <c r="AC531" s="175" t="s">
        <v>419</v>
      </c>
      <c r="AD531" s="175" t="s">
        <v>419</v>
      </c>
      <c r="AE531" s="175" t="s">
        <v>419</v>
      </c>
      <c r="AF531" s="175" t="s">
        <v>213</v>
      </c>
      <c r="AG531" s="175">
        <v>1</v>
      </c>
      <c r="AH531" s="175" t="s">
        <v>640</v>
      </c>
      <c r="AI531" s="175" t="s">
        <v>640</v>
      </c>
      <c r="AJ531" s="175" t="s">
        <v>640</v>
      </c>
      <c r="AK531" s="175" t="s">
        <v>640</v>
      </c>
      <c r="AL531" s="1159" t="s">
        <v>419</v>
      </c>
      <c r="AM531" s="175" t="s">
        <v>419</v>
      </c>
      <c r="AN531" s="175" t="s">
        <v>419</v>
      </c>
      <c r="AO531" s="175" t="s">
        <v>419</v>
      </c>
      <c r="AP531" s="175">
        <v>24</v>
      </c>
      <c r="AQ531" s="175">
        <v>216</v>
      </c>
      <c r="AR531" s="175" t="s">
        <v>419</v>
      </c>
      <c r="AS531" s="192" t="s">
        <v>419</v>
      </c>
    </row>
    <row r="532" spans="1:45" ht="16.5" customHeight="1">
      <c r="A532" s="174">
        <v>46221</v>
      </c>
      <c r="B532" s="175" t="s">
        <v>223</v>
      </c>
      <c r="C532" s="175" t="s">
        <v>17263</v>
      </c>
      <c r="D532" s="175" t="s">
        <v>16748</v>
      </c>
      <c r="E532" s="175" t="s">
        <v>17156</v>
      </c>
      <c r="F532" s="175" t="s">
        <v>17264</v>
      </c>
      <c r="G532" s="175">
        <v>600</v>
      </c>
      <c r="H532" s="175" t="s">
        <v>456</v>
      </c>
      <c r="I532" s="175">
        <v>3</v>
      </c>
      <c r="J532" s="175">
        <v>13</v>
      </c>
      <c r="K532" s="175">
        <v>0</v>
      </c>
      <c r="L532" s="175">
        <v>8461</v>
      </c>
      <c r="N532" s="175">
        <v>9</v>
      </c>
      <c r="O532" s="175">
        <v>0</v>
      </c>
      <c r="P532" s="175">
        <v>8243</v>
      </c>
      <c r="R532" s="175">
        <v>5</v>
      </c>
      <c r="S532" s="175">
        <v>0</v>
      </c>
      <c r="T532" s="175">
        <v>8321</v>
      </c>
      <c r="V532" s="175">
        <v>11</v>
      </c>
      <c r="W532" s="175">
        <v>0</v>
      </c>
      <c r="X532" s="175">
        <v>7809</v>
      </c>
      <c r="Z532" s="175">
        <v>2.4161073825503356</v>
      </c>
      <c r="AA532" s="175">
        <v>25.333333333333332</v>
      </c>
      <c r="AB532" s="175">
        <v>1</v>
      </c>
      <c r="AC532" s="175">
        <v>82.084999999999994</v>
      </c>
      <c r="AD532" s="175">
        <v>3.1666666666666665</v>
      </c>
      <c r="AE532" s="175">
        <v>3.1666666666666665</v>
      </c>
      <c r="AF532" s="175" t="s">
        <v>213</v>
      </c>
      <c r="AG532" s="175">
        <v>2</v>
      </c>
      <c r="AH532" s="175" t="s">
        <v>15376</v>
      </c>
      <c r="AI532" s="175" t="s">
        <v>15376</v>
      </c>
      <c r="AJ532" s="175" t="s">
        <v>15368</v>
      </c>
      <c r="AK532" s="175" t="s">
        <v>15368</v>
      </c>
      <c r="AL532" s="1159" t="s">
        <v>250</v>
      </c>
      <c r="AM532" s="175" t="s">
        <v>126</v>
      </c>
      <c r="AN532" s="175">
        <v>0.91100000000000003</v>
      </c>
      <c r="AO532" s="175">
        <v>0.8</v>
      </c>
      <c r="AP532" s="175">
        <v>24</v>
      </c>
      <c r="AQ532" s="175">
        <v>216</v>
      </c>
      <c r="AR532" s="175">
        <v>1.8</v>
      </c>
      <c r="AS532" s="192">
        <v>8500.7232000000004</v>
      </c>
    </row>
    <row r="533" spans="1:45" ht="16.5" customHeight="1">
      <c r="A533" s="174">
        <v>46221</v>
      </c>
      <c r="B533" s="175" t="s">
        <v>223</v>
      </c>
      <c r="C533" s="175" t="s">
        <v>17431</v>
      </c>
      <c r="E533" s="175" t="s">
        <v>15035</v>
      </c>
      <c r="F533" s="175" t="s">
        <v>16860</v>
      </c>
      <c r="G533" s="175">
        <v>550</v>
      </c>
      <c r="H533" s="175" t="s">
        <v>622</v>
      </c>
      <c r="I533" s="175">
        <v>5</v>
      </c>
      <c r="J533" s="175">
        <v>7</v>
      </c>
      <c r="K533" s="175">
        <v>0</v>
      </c>
      <c r="M533" s="175">
        <v>8069</v>
      </c>
      <c r="N533" s="175">
        <v>5</v>
      </c>
      <c r="O533" s="175">
        <v>0</v>
      </c>
      <c r="Q533" s="175">
        <v>8006</v>
      </c>
      <c r="R533" s="175">
        <v>5</v>
      </c>
      <c r="S533" s="175">
        <v>0</v>
      </c>
      <c r="U533" s="175">
        <v>7909</v>
      </c>
      <c r="V533" s="175">
        <v>3</v>
      </c>
      <c r="W533" s="175">
        <v>0</v>
      </c>
      <c r="Y533" s="175">
        <v>7736</v>
      </c>
      <c r="Z533" s="175">
        <v>1.3345690454124188</v>
      </c>
      <c r="AA533" s="175">
        <v>13.333333333333334</v>
      </c>
      <c r="AB533" s="175">
        <v>1</v>
      </c>
      <c r="AC533" s="175">
        <v>79.3</v>
      </c>
      <c r="AD533" s="175">
        <v>1.6666666666666667</v>
      </c>
      <c r="AE533" s="175">
        <v>1.6666666666666667</v>
      </c>
      <c r="AF533" s="175" t="s">
        <v>213</v>
      </c>
      <c r="AG533" s="175">
        <v>2</v>
      </c>
      <c r="AH533" s="175" t="s">
        <v>15376</v>
      </c>
      <c r="AI533" s="175" t="s">
        <v>15376</v>
      </c>
      <c r="AJ533" s="175" t="s">
        <v>15368</v>
      </c>
      <c r="AK533" s="175" t="s">
        <v>15368</v>
      </c>
      <c r="AM533" s="175" t="s">
        <v>126</v>
      </c>
      <c r="AN533" s="175">
        <v>0.91100000000000003</v>
      </c>
      <c r="AO533" s="175">
        <v>0.8</v>
      </c>
      <c r="AP533" s="175">
        <v>24</v>
      </c>
      <c r="AQ533" s="175">
        <v>216</v>
      </c>
      <c r="AR533" s="175">
        <v>1.8</v>
      </c>
      <c r="AS533" s="192">
        <v>8500.7232000000004</v>
      </c>
    </row>
    <row r="534" spans="1:45" ht="16.5" customHeight="1">
      <c r="A534" s="174">
        <v>46221</v>
      </c>
      <c r="B534" s="175" t="s">
        <v>224</v>
      </c>
      <c r="C534" s="175" t="s">
        <v>632</v>
      </c>
      <c r="E534" s="175" t="s">
        <v>419</v>
      </c>
      <c r="F534" s="175" t="s">
        <v>419</v>
      </c>
      <c r="G534" s="175" t="s">
        <v>419</v>
      </c>
      <c r="H534" s="175" t="s">
        <v>419</v>
      </c>
      <c r="I534" s="175" t="s">
        <v>419</v>
      </c>
      <c r="L534" s="175" t="s">
        <v>632</v>
      </c>
      <c r="P534" s="175" t="s">
        <v>632</v>
      </c>
      <c r="T534" s="175" t="s">
        <v>632</v>
      </c>
      <c r="X534" s="175" t="s">
        <v>632</v>
      </c>
      <c r="Z534" s="175" t="s">
        <v>419</v>
      </c>
      <c r="AA534" s="175" t="s">
        <v>632</v>
      </c>
      <c r="AB534" s="175" t="s">
        <v>419</v>
      </c>
      <c r="AC534" s="175" t="s">
        <v>419</v>
      </c>
      <c r="AD534" s="175" t="s">
        <v>419</v>
      </c>
      <c r="AE534" s="175" t="s">
        <v>419</v>
      </c>
      <c r="AF534" s="175" t="s">
        <v>213</v>
      </c>
      <c r="AG534" s="175">
        <v>1</v>
      </c>
      <c r="AH534" s="175" t="s">
        <v>640</v>
      </c>
      <c r="AI534" s="175" t="s">
        <v>640</v>
      </c>
      <c r="AJ534" s="175" t="s">
        <v>640</v>
      </c>
      <c r="AK534" s="175" t="s">
        <v>640</v>
      </c>
      <c r="AL534" s="1159" t="s">
        <v>419</v>
      </c>
      <c r="AM534" s="175" t="s">
        <v>419</v>
      </c>
      <c r="AN534" s="175" t="s">
        <v>419</v>
      </c>
      <c r="AO534" s="175" t="s">
        <v>419</v>
      </c>
      <c r="AP534" s="175">
        <v>24</v>
      </c>
      <c r="AQ534" s="175">
        <v>216</v>
      </c>
      <c r="AR534" s="175" t="s">
        <v>419</v>
      </c>
      <c r="AS534" s="192" t="s">
        <v>419</v>
      </c>
    </row>
    <row r="535" spans="1:45" ht="16.5" customHeight="1">
      <c r="A535" s="174">
        <v>46221</v>
      </c>
      <c r="B535" s="175" t="s">
        <v>225</v>
      </c>
      <c r="C535" s="175" t="s">
        <v>632</v>
      </c>
      <c r="E535" s="175" t="s">
        <v>419</v>
      </c>
      <c r="F535" s="175" t="s">
        <v>419</v>
      </c>
      <c r="G535" s="175" t="s">
        <v>419</v>
      </c>
      <c r="H535" s="175" t="s">
        <v>419</v>
      </c>
      <c r="I535" s="175" t="s">
        <v>419</v>
      </c>
      <c r="L535" s="175" t="s">
        <v>632</v>
      </c>
      <c r="P535" s="175" t="s">
        <v>632</v>
      </c>
      <c r="T535" s="175" t="s">
        <v>632</v>
      </c>
      <c r="X535" s="175" t="s">
        <v>632</v>
      </c>
      <c r="Z535" s="175" t="s">
        <v>419</v>
      </c>
      <c r="AA535" s="175" t="s">
        <v>632</v>
      </c>
      <c r="AB535" s="175" t="s">
        <v>419</v>
      </c>
      <c r="AC535" s="175" t="s">
        <v>419</v>
      </c>
      <c r="AD535" s="175" t="s">
        <v>419</v>
      </c>
      <c r="AE535" s="175" t="s">
        <v>419</v>
      </c>
      <c r="AF535" s="175" t="s">
        <v>213</v>
      </c>
      <c r="AG535" s="175">
        <v>1</v>
      </c>
      <c r="AH535" s="175" t="s">
        <v>640</v>
      </c>
      <c r="AI535" s="175" t="s">
        <v>640</v>
      </c>
      <c r="AJ535" s="175" t="s">
        <v>640</v>
      </c>
      <c r="AK535" s="175" t="s">
        <v>640</v>
      </c>
      <c r="AL535" s="1159" t="s">
        <v>419</v>
      </c>
      <c r="AM535" s="175" t="s">
        <v>419</v>
      </c>
      <c r="AN535" s="175" t="s">
        <v>419</v>
      </c>
      <c r="AO535" s="175" t="s">
        <v>419</v>
      </c>
      <c r="AP535" s="175">
        <v>24</v>
      </c>
      <c r="AQ535" s="175">
        <v>216</v>
      </c>
      <c r="AR535" s="175" t="s">
        <v>419</v>
      </c>
      <c r="AS535" s="192" t="s">
        <v>419</v>
      </c>
    </row>
    <row r="536" spans="1:45" ht="16.5" customHeight="1">
      <c r="A536" s="174">
        <v>46221</v>
      </c>
      <c r="B536" s="175" t="s">
        <v>226</v>
      </c>
      <c r="C536" s="175" t="s">
        <v>632</v>
      </c>
      <c r="E536" s="175" t="s">
        <v>419</v>
      </c>
      <c r="F536" s="175" t="s">
        <v>419</v>
      </c>
      <c r="G536" s="175" t="s">
        <v>419</v>
      </c>
      <c r="H536" s="175" t="s">
        <v>419</v>
      </c>
      <c r="I536" s="175" t="s">
        <v>419</v>
      </c>
      <c r="L536" s="175" t="s">
        <v>632</v>
      </c>
      <c r="P536" s="175" t="s">
        <v>632</v>
      </c>
      <c r="T536" s="175" t="s">
        <v>632</v>
      </c>
      <c r="X536" s="175" t="s">
        <v>632</v>
      </c>
      <c r="Z536" s="175" t="s">
        <v>419</v>
      </c>
      <c r="AA536" s="175" t="s">
        <v>632</v>
      </c>
      <c r="AB536" s="175" t="s">
        <v>419</v>
      </c>
      <c r="AC536" s="175" t="s">
        <v>419</v>
      </c>
      <c r="AD536" s="175" t="s">
        <v>419</v>
      </c>
      <c r="AE536" s="175" t="s">
        <v>419</v>
      </c>
      <c r="AF536" s="175" t="s">
        <v>213</v>
      </c>
      <c r="AG536" s="175">
        <v>1</v>
      </c>
      <c r="AH536" s="175" t="s">
        <v>640</v>
      </c>
      <c r="AI536" s="175" t="s">
        <v>640</v>
      </c>
      <c r="AJ536" s="175" t="s">
        <v>640</v>
      </c>
      <c r="AK536" s="175" t="s">
        <v>640</v>
      </c>
      <c r="AL536" s="1159" t="s">
        <v>419</v>
      </c>
      <c r="AM536" s="175" t="s">
        <v>419</v>
      </c>
      <c r="AN536" s="175" t="s">
        <v>419</v>
      </c>
      <c r="AO536" s="175" t="s">
        <v>419</v>
      </c>
      <c r="AP536" s="175">
        <v>24</v>
      </c>
      <c r="AQ536" s="175">
        <v>216</v>
      </c>
      <c r="AR536" s="175" t="s">
        <v>419</v>
      </c>
      <c r="AS536" s="192" t="s">
        <v>419</v>
      </c>
    </row>
    <row r="537" spans="1:45" ht="16.5" customHeight="1">
      <c r="A537" s="174">
        <v>46221</v>
      </c>
      <c r="B537" s="175" t="s">
        <v>227</v>
      </c>
      <c r="C537" s="175" t="s">
        <v>632</v>
      </c>
      <c r="E537" s="175" t="s">
        <v>419</v>
      </c>
      <c r="F537" s="175" t="s">
        <v>419</v>
      </c>
      <c r="G537" s="175" t="s">
        <v>419</v>
      </c>
      <c r="H537" s="175" t="s">
        <v>419</v>
      </c>
      <c r="I537" s="175" t="s">
        <v>419</v>
      </c>
      <c r="L537" s="175" t="s">
        <v>632</v>
      </c>
      <c r="P537" s="175" t="s">
        <v>632</v>
      </c>
      <c r="T537" s="175" t="s">
        <v>632</v>
      </c>
      <c r="X537" s="175" t="s">
        <v>632</v>
      </c>
      <c r="Z537" s="175" t="s">
        <v>419</v>
      </c>
      <c r="AA537" s="175" t="s">
        <v>632</v>
      </c>
      <c r="AB537" s="175" t="s">
        <v>419</v>
      </c>
      <c r="AC537" s="175" t="s">
        <v>419</v>
      </c>
      <c r="AD537" s="175" t="s">
        <v>419</v>
      </c>
      <c r="AE537" s="175" t="s">
        <v>419</v>
      </c>
      <c r="AF537" s="175" t="s">
        <v>213</v>
      </c>
      <c r="AG537" s="175">
        <v>1</v>
      </c>
      <c r="AH537" s="175" t="s">
        <v>640</v>
      </c>
      <c r="AI537" s="175" t="s">
        <v>640</v>
      </c>
      <c r="AJ537" s="175" t="s">
        <v>640</v>
      </c>
      <c r="AK537" s="175" t="s">
        <v>640</v>
      </c>
      <c r="AL537" s="1159" t="s">
        <v>419</v>
      </c>
      <c r="AM537" s="175" t="s">
        <v>419</v>
      </c>
      <c r="AN537" s="175" t="s">
        <v>419</v>
      </c>
      <c r="AO537" s="175" t="s">
        <v>419</v>
      </c>
      <c r="AP537" s="175">
        <v>24</v>
      </c>
      <c r="AQ537" s="175">
        <v>216</v>
      </c>
      <c r="AR537" s="175" t="s">
        <v>419</v>
      </c>
      <c r="AS537" s="192" t="s">
        <v>419</v>
      </c>
    </row>
    <row r="538" spans="1:45" ht="16.5" customHeight="1">
      <c r="A538" s="174">
        <v>46221</v>
      </c>
      <c r="B538" s="175" t="s">
        <v>228</v>
      </c>
      <c r="C538" s="175" t="s">
        <v>17293</v>
      </c>
      <c r="E538" s="175" t="s">
        <v>7055</v>
      </c>
      <c r="F538" s="175" t="s">
        <v>17294</v>
      </c>
      <c r="G538" s="175">
        <v>550</v>
      </c>
      <c r="H538" s="175" t="s">
        <v>889</v>
      </c>
      <c r="I538" s="175">
        <v>5.5</v>
      </c>
      <c r="L538" s="175" t="s">
        <v>127</v>
      </c>
      <c r="P538" s="175" t="s">
        <v>127</v>
      </c>
      <c r="T538" s="175" t="s">
        <v>127</v>
      </c>
      <c r="U538" s="175" t="s">
        <v>627</v>
      </c>
      <c r="X538" s="175" t="s">
        <v>127</v>
      </c>
      <c r="Y538" s="175" t="s">
        <v>17560</v>
      </c>
      <c r="Z538" s="175">
        <v>4.6905537459283391</v>
      </c>
      <c r="AA538" s="175" t="s">
        <v>127</v>
      </c>
      <c r="AB538" s="175" t="s">
        <v>419</v>
      </c>
      <c r="AC538" s="175" t="s">
        <v>419</v>
      </c>
      <c r="AD538" s="175" t="s">
        <v>419</v>
      </c>
      <c r="AE538" s="175" t="s">
        <v>419</v>
      </c>
      <c r="AF538" s="175" t="s">
        <v>213</v>
      </c>
      <c r="AG538" s="175">
        <v>0.5</v>
      </c>
      <c r="AH538" s="175" t="s">
        <v>15376</v>
      </c>
      <c r="AI538" s="175" t="s">
        <v>15376</v>
      </c>
      <c r="AJ538" s="175" t="s">
        <v>15368</v>
      </c>
      <c r="AK538" s="175" t="s">
        <v>15368</v>
      </c>
      <c r="AL538" s="1159" t="s">
        <v>250</v>
      </c>
      <c r="AM538" s="175" t="s">
        <v>460</v>
      </c>
      <c r="AN538" s="175">
        <v>1.1890000000000001</v>
      </c>
      <c r="AO538" s="175">
        <v>1.9</v>
      </c>
      <c r="AP538" s="175">
        <v>24</v>
      </c>
      <c r="AQ538" s="175">
        <v>216</v>
      </c>
      <c r="AR538" s="175">
        <v>2.9</v>
      </c>
      <c r="AS538" s="192">
        <v>17874.950400000002</v>
      </c>
    </row>
    <row r="539" spans="1:45" ht="16.5" customHeight="1">
      <c r="A539" s="174">
        <v>46221</v>
      </c>
      <c r="B539" s="175" t="s">
        <v>229</v>
      </c>
      <c r="C539" s="175" t="s">
        <v>17503</v>
      </c>
      <c r="E539" s="175" t="s">
        <v>467</v>
      </c>
      <c r="F539" s="175" t="s">
        <v>17552</v>
      </c>
      <c r="G539" s="175">
        <v>650</v>
      </c>
      <c r="H539" s="175" t="s">
        <v>618</v>
      </c>
      <c r="I539" s="175">
        <v>5</v>
      </c>
      <c r="J539" s="175">
        <v>20</v>
      </c>
      <c r="K539" s="175">
        <v>0</v>
      </c>
      <c r="L539" s="175">
        <v>7144</v>
      </c>
      <c r="M539" s="175">
        <v>8642</v>
      </c>
      <c r="N539" s="175">
        <v>8</v>
      </c>
      <c r="O539" s="175">
        <v>0</v>
      </c>
      <c r="P539" s="175">
        <v>7265</v>
      </c>
      <c r="Q539" s="175">
        <v>8871</v>
      </c>
      <c r="R539" s="175">
        <v>10</v>
      </c>
      <c r="S539" s="175">
        <v>0</v>
      </c>
      <c r="T539" s="175">
        <v>6987</v>
      </c>
      <c r="U539" s="175">
        <v>8878</v>
      </c>
      <c r="V539" s="175">
        <v>28</v>
      </c>
      <c r="W539" s="175">
        <v>0</v>
      </c>
      <c r="X539" s="175">
        <v>6602</v>
      </c>
      <c r="Y539" s="175">
        <v>7937</v>
      </c>
      <c r="Z539" s="175">
        <v>5.9259259259259256</v>
      </c>
      <c r="AA539" s="175">
        <v>11</v>
      </c>
      <c r="AB539" s="175">
        <v>1</v>
      </c>
      <c r="AC539" s="175">
        <v>77.907499999999999</v>
      </c>
      <c r="AD539" s="175">
        <v>1.375</v>
      </c>
      <c r="AE539" s="175">
        <v>1.375</v>
      </c>
      <c r="AF539" s="175" t="s">
        <v>213</v>
      </c>
      <c r="AG539" s="175">
        <v>0.5</v>
      </c>
      <c r="AH539" s="175" t="s">
        <v>15376</v>
      </c>
      <c r="AI539" s="175" t="s">
        <v>15376</v>
      </c>
      <c r="AJ539" s="175" t="s">
        <v>15368</v>
      </c>
      <c r="AK539" s="175" t="s">
        <v>15368</v>
      </c>
      <c r="AL539" s="1159" t="s">
        <v>251</v>
      </c>
      <c r="AM539" s="175" t="s">
        <v>460</v>
      </c>
      <c r="AN539" s="175">
        <v>1.1890000000000001</v>
      </c>
      <c r="AO539" s="175">
        <v>2.6</v>
      </c>
      <c r="AP539" s="175">
        <v>24</v>
      </c>
      <c r="AQ539" s="175">
        <v>216</v>
      </c>
      <c r="AR539" s="175">
        <v>3.6</v>
      </c>
      <c r="AS539" s="192">
        <v>22189.5936</v>
      </c>
    </row>
    <row r="540" spans="1:45" ht="16.5" customHeight="1">
      <c r="A540" s="174">
        <v>46221</v>
      </c>
      <c r="B540" s="175" t="s">
        <v>230</v>
      </c>
      <c r="C540" s="175" t="s">
        <v>632</v>
      </c>
      <c r="E540" s="175" t="s">
        <v>419</v>
      </c>
      <c r="F540" s="175" t="s">
        <v>419</v>
      </c>
      <c r="G540" s="175" t="s">
        <v>419</v>
      </c>
      <c r="H540" s="175" t="s">
        <v>419</v>
      </c>
      <c r="I540" s="175" t="s">
        <v>419</v>
      </c>
      <c r="L540" s="175" t="s">
        <v>632</v>
      </c>
      <c r="P540" s="175" t="s">
        <v>632</v>
      </c>
      <c r="T540" s="175" t="s">
        <v>632</v>
      </c>
      <c r="X540" s="175" t="s">
        <v>632</v>
      </c>
      <c r="Z540" s="175" t="s">
        <v>419</v>
      </c>
      <c r="AA540" s="175" t="s">
        <v>632</v>
      </c>
      <c r="AB540" s="175" t="s">
        <v>419</v>
      </c>
      <c r="AC540" s="175" t="s">
        <v>419</v>
      </c>
      <c r="AD540" s="175" t="s">
        <v>419</v>
      </c>
      <c r="AE540" s="175" t="s">
        <v>419</v>
      </c>
      <c r="AF540" s="175" t="s">
        <v>213</v>
      </c>
      <c r="AG540" s="175">
        <v>1</v>
      </c>
      <c r="AH540" s="175" t="s">
        <v>640</v>
      </c>
      <c r="AI540" s="175" t="s">
        <v>640</v>
      </c>
      <c r="AJ540" s="175" t="s">
        <v>640</v>
      </c>
      <c r="AK540" s="175" t="s">
        <v>640</v>
      </c>
      <c r="AL540" s="1159" t="s">
        <v>419</v>
      </c>
      <c r="AM540" s="175" t="s">
        <v>419</v>
      </c>
      <c r="AN540" s="175" t="s">
        <v>419</v>
      </c>
      <c r="AO540" s="175" t="s">
        <v>419</v>
      </c>
      <c r="AP540" s="175">
        <v>24</v>
      </c>
      <c r="AQ540" s="175">
        <v>216</v>
      </c>
      <c r="AR540" s="175" t="s">
        <v>419</v>
      </c>
      <c r="AS540" s="192" t="s">
        <v>419</v>
      </c>
    </row>
    <row r="541" spans="1:45" ht="16.5" customHeight="1">
      <c r="A541" s="174">
        <v>46221</v>
      </c>
      <c r="B541" s="175" t="s">
        <v>231</v>
      </c>
      <c r="C541" s="175" t="s">
        <v>632</v>
      </c>
      <c r="E541" s="175" t="s">
        <v>419</v>
      </c>
      <c r="F541" s="175" t="s">
        <v>419</v>
      </c>
      <c r="G541" s="175" t="s">
        <v>419</v>
      </c>
      <c r="H541" s="175" t="s">
        <v>419</v>
      </c>
      <c r="I541" s="175" t="s">
        <v>419</v>
      </c>
      <c r="L541" s="175" t="s">
        <v>632</v>
      </c>
      <c r="P541" s="175" t="s">
        <v>632</v>
      </c>
      <c r="T541" s="175" t="s">
        <v>632</v>
      </c>
      <c r="X541" s="175" t="s">
        <v>632</v>
      </c>
      <c r="Z541" s="175" t="s">
        <v>419</v>
      </c>
      <c r="AA541" s="175" t="s">
        <v>632</v>
      </c>
      <c r="AB541" s="175" t="s">
        <v>419</v>
      </c>
      <c r="AC541" s="175" t="s">
        <v>419</v>
      </c>
      <c r="AD541" s="175" t="s">
        <v>419</v>
      </c>
      <c r="AE541" s="175" t="s">
        <v>419</v>
      </c>
      <c r="AF541" s="175" t="s">
        <v>232</v>
      </c>
      <c r="AG541" s="175">
        <v>1</v>
      </c>
      <c r="AH541" s="175" t="s">
        <v>640</v>
      </c>
      <c r="AI541" s="175" t="s">
        <v>640</v>
      </c>
      <c r="AJ541" s="175" t="s">
        <v>640</v>
      </c>
      <c r="AK541" s="175" t="s">
        <v>640</v>
      </c>
      <c r="AL541" s="1159" t="s">
        <v>419</v>
      </c>
      <c r="AM541" s="175" t="s">
        <v>419</v>
      </c>
      <c r="AN541" s="175" t="s">
        <v>419</v>
      </c>
      <c r="AO541" s="175" t="s">
        <v>419</v>
      </c>
      <c r="AP541" s="175">
        <v>24</v>
      </c>
      <c r="AQ541" s="175">
        <v>216</v>
      </c>
      <c r="AR541" s="175" t="s">
        <v>419</v>
      </c>
      <c r="AS541" s="192" t="s">
        <v>419</v>
      </c>
    </row>
    <row r="542" spans="1:45" ht="16.5" customHeight="1">
      <c r="A542" s="174">
        <v>46221</v>
      </c>
      <c r="B542" s="175" t="s">
        <v>233</v>
      </c>
      <c r="C542" s="175" t="s">
        <v>632</v>
      </c>
      <c r="E542" s="175" t="s">
        <v>419</v>
      </c>
      <c r="F542" s="175" t="s">
        <v>419</v>
      </c>
      <c r="G542" s="175" t="s">
        <v>419</v>
      </c>
      <c r="H542" s="175" t="s">
        <v>419</v>
      </c>
      <c r="I542" s="175" t="s">
        <v>419</v>
      </c>
      <c r="L542" s="175" t="s">
        <v>632</v>
      </c>
      <c r="P542" s="175" t="s">
        <v>632</v>
      </c>
      <c r="T542" s="175" t="s">
        <v>632</v>
      </c>
      <c r="X542" s="175" t="s">
        <v>632</v>
      </c>
      <c r="Z542" s="175" t="s">
        <v>419</v>
      </c>
      <c r="AA542" s="175" t="s">
        <v>632</v>
      </c>
      <c r="AB542" s="175" t="s">
        <v>419</v>
      </c>
      <c r="AC542" s="175" t="s">
        <v>419</v>
      </c>
      <c r="AD542" s="175" t="s">
        <v>419</v>
      </c>
      <c r="AE542" s="175" t="s">
        <v>419</v>
      </c>
      <c r="AF542" s="175" t="s">
        <v>232</v>
      </c>
      <c r="AG542" s="175">
        <v>1</v>
      </c>
      <c r="AH542" s="175" t="s">
        <v>640</v>
      </c>
      <c r="AI542" s="175" t="s">
        <v>640</v>
      </c>
      <c r="AJ542" s="175" t="s">
        <v>640</v>
      </c>
      <c r="AK542" s="175" t="s">
        <v>640</v>
      </c>
      <c r="AL542" s="1159" t="s">
        <v>419</v>
      </c>
      <c r="AM542" s="175" t="s">
        <v>419</v>
      </c>
      <c r="AN542" s="175" t="s">
        <v>419</v>
      </c>
      <c r="AO542" s="175" t="s">
        <v>419</v>
      </c>
      <c r="AP542" s="175">
        <v>24</v>
      </c>
      <c r="AQ542" s="175">
        <v>216</v>
      </c>
      <c r="AR542" s="175" t="s">
        <v>419</v>
      </c>
      <c r="AS542" s="192" t="s">
        <v>419</v>
      </c>
    </row>
    <row r="543" spans="1:45" ht="16.5" customHeight="1">
      <c r="A543" s="174">
        <v>46221</v>
      </c>
      <c r="B543" s="175" t="s">
        <v>234</v>
      </c>
      <c r="C543" s="175" t="s">
        <v>632</v>
      </c>
      <c r="E543" s="175" t="s">
        <v>419</v>
      </c>
      <c r="F543" s="175" t="s">
        <v>419</v>
      </c>
      <c r="G543" s="175" t="s">
        <v>419</v>
      </c>
      <c r="H543" s="175" t="s">
        <v>419</v>
      </c>
      <c r="I543" s="175" t="s">
        <v>419</v>
      </c>
      <c r="L543" s="175" t="s">
        <v>632</v>
      </c>
      <c r="P543" s="175" t="s">
        <v>632</v>
      </c>
      <c r="T543" s="175" t="s">
        <v>632</v>
      </c>
      <c r="X543" s="175" t="s">
        <v>632</v>
      </c>
      <c r="Z543" s="175" t="s">
        <v>419</v>
      </c>
      <c r="AA543" s="175" t="s">
        <v>632</v>
      </c>
      <c r="AB543" s="175" t="s">
        <v>419</v>
      </c>
      <c r="AC543" s="175" t="s">
        <v>419</v>
      </c>
      <c r="AD543" s="175" t="s">
        <v>419</v>
      </c>
      <c r="AE543" s="175" t="s">
        <v>419</v>
      </c>
      <c r="AF543" s="175" t="s">
        <v>232</v>
      </c>
      <c r="AG543" s="175">
        <v>1</v>
      </c>
      <c r="AH543" s="175" t="s">
        <v>640</v>
      </c>
      <c r="AI543" s="175" t="s">
        <v>640</v>
      </c>
      <c r="AJ543" s="175" t="s">
        <v>640</v>
      </c>
      <c r="AK543" s="175" t="s">
        <v>640</v>
      </c>
      <c r="AL543" s="1159" t="s">
        <v>419</v>
      </c>
      <c r="AM543" s="175" t="s">
        <v>419</v>
      </c>
      <c r="AN543" s="175" t="s">
        <v>419</v>
      </c>
      <c r="AO543" s="175" t="s">
        <v>419</v>
      </c>
      <c r="AP543" s="175">
        <v>24</v>
      </c>
      <c r="AQ543" s="175">
        <v>216</v>
      </c>
      <c r="AR543" s="175" t="s">
        <v>419</v>
      </c>
      <c r="AS543" s="192" t="s">
        <v>419</v>
      </c>
    </row>
    <row r="544" spans="1:45" ht="16.5" customHeight="1">
      <c r="A544" s="174">
        <v>46221</v>
      </c>
      <c r="B544" s="175" t="s">
        <v>235</v>
      </c>
      <c r="C544" s="175" t="s">
        <v>17550</v>
      </c>
      <c r="D544" s="175" t="s">
        <v>633</v>
      </c>
      <c r="E544" s="175" t="s">
        <v>16719</v>
      </c>
      <c r="F544" s="175" t="s">
        <v>17249</v>
      </c>
      <c r="G544" s="175">
        <v>600</v>
      </c>
      <c r="H544" s="175" t="s">
        <v>712</v>
      </c>
      <c r="I544" s="175">
        <v>5.5</v>
      </c>
      <c r="J544" s="175">
        <v>16</v>
      </c>
      <c r="K544" s="175">
        <v>0</v>
      </c>
      <c r="L544" s="175">
        <v>9350</v>
      </c>
      <c r="N544" s="175">
        <v>6</v>
      </c>
      <c r="O544" s="175">
        <v>1</v>
      </c>
      <c r="P544" s="175">
        <v>9350</v>
      </c>
      <c r="R544" s="175">
        <v>3</v>
      </c>
      <c r="S544" s="175">
        <v>0</v>
      </c>
      <c r="T544" s="175">
        <v>9350</v>
      </c>
      <c r="V544" s="175">
        <v>29</v>
      </c>
      <c r="W544" s="175">
        <v>0</v>
      </c>
      <c r="X544" s="175">
        <v>9070</v>
      </c>
      <c r="Z544" s="175">
        <v>5.034965034965035</v>
      </c>
      <c r="AA544" s="175">
        <v>36</v>
      </c>
      <c r="AB544" s="175">
        <v>0.99904513888888891</v>
      </c>
      <c r="AC544" s="175">
        <v>92.8</v>
      </c>
      <c r="AD544" s="175">
        <v>4.5</v>
      </c>
      <c r="AE544" s="175">
        <v>4.416666666666667</v>
      </c>
      <c r="AF544" s="175" t="s">
        <v>236</v>
      </c>
      <c r="AG544" s="175">
        <v>2</v>
      </c>
      <c r="AH544" s="175" t="s">
        <v>638</v>
      </c>
      <c r="AI544" s="175" t="s">
        <v>638</v>
      </c>
      <c r="AJ544" s="175" t="s">
        <v>639</v>
      </c>
      <c r="AK544" s="175" t="s">
        <v>639</v>
      </c>
      <c r="AL544" s="1159" t="s">
        <v>251</v>
      </c>
      <c r="AM544" s="175" t="s">
        <v>460</v>
      </c>
      <c r="AN544" s="175">
        <v>1.1890000000000001</v>
      </c>
      <c r="AO544" s="175">
        <v>2.7</v>
      </c>
      <c r="AP544" s="175">
        <v>24</v>
      </c>
      <c r="AQ544" s="175">
        <v>216</v>
      </c>
      <c r="AR544" s="175">
        <v>3.7</v>
      </c>
      <c r="AS544" s="192">
        <v>22805.9712</v>
      </c>
    </row>
    <row r="545" spans="1:45" ht="16.5" customHeight="1">
      <c r="A545" s="174">
        <v>46221</v>
      </c>
      <c r="B545" s="175" t="s">
        <v>235</v>
      </c>
      <c r="C545" s="175" t="s">
        <v>17289</v>
      </c>
      <c r="D545" s="175" t="s">
        <v>633</v>
      </c>
      <c r="E545" s="175" t="s">
        <v>16719</v>
      </c>
      <c r="F545" s="175" t="s">
        <v>17290</v>
      </c>
      <c r="G545" s="175">
        <v>700</v>
      </c>
      <c r="H545" s="175" t="s">
        <v>776</v>
      </c>
      <c r="I545" s="175">
        <v>5.5</v>
      </c>
      <c r="J545" s="175">
        <v>29</v>
      </c>
      <c r="K545" s="175">
        <v>6</v>
      </c>
      <c r="L545" s="175" t="s">
        <v>127</v>
      </c>
      <c r="M545" s="175">
        <v>9350</v>
      </c>
      <c r="Q545" s="175" t="s">
        <v>127</v>
      </c>
      <c r="U545" s="175" t="s">
        <v>127</v>
      </c>
      <c r="Y545" s="175" t="s">
        <v>127</v>
      </c>
      <c r="Z545" s="175">
        <v>5.8775510204081636</v>
      </c>
      <c r="AA545" s="175" t="s">
        <v>127</v>
      </c>
      <c r="AB545" s="175">
        <v>0.99509214743589747</v>
      </c>
      <c r="AC545" s="175" t="s">
        <v>419</v>
      </c>
      <c r="AD545" s="175" t="s">
        <v>419</v>
      </c>
      <c r="AE545" s="175" t="s">
        <v>419</v>
      </c>
      <c r="AF545" s="175" t="s">
        <v>236</v>
      </c>
      <c r="AG545" s="175">
        <v>2</v>
      </c>
      <c r="AH545" s="175" t="s">
        <v>638</v>
      </c>
      <c r="AI545" s="175" t="s">
        <v>638</v>
      </c>
      <c r="AJ545" s="175" t="s">
        <v>639</v>
      </c>
      <c r="AK545" s="175" t="s">
        <v>639</v>
      </c>
      <c r="AM545" s="175" t="s">
        <v>460</v>
      </c>
      <c r="AN545" s="175">
        <v>1.1890000000000001</v>
      </c>
      <c r="AO545" s="175">
        <v>3</v>
      </c>
      <c r="AP545" s="175">
        <v>24</v>
      </c>
      <c r="AQ545" s="175">
        <v>216</v>
      </c>
      <c r="AR545" s="175">
        <v>4</v>
      </c>
      <c r="AS545" s="192">
        <v>24655.103999999999</v>
      </c>
    </row>
    <row r="546" spans="1:45" ht="16.5" customHeight="1">
      <c r="A546" s="174">
        <v>46221</v>
      </c>
      <c r="B546" s="175" t="s">
        <v>237</v>
      </c>
      <c r="C546" s="175" t="s">
        <v>17547</v>
      </c>
      <c r="D546" s="175" t="s">
        <v>633</v>
      </c>
      <c r="E546" s="175" t="s">
        <v>17548</v>
      </c>
      <c r="F546" s="175" t="s">
        <v>17549</v>
      </c>
      <c r="G546" s="175">
        <v>700</v>
      </c>
      <c r="H546" s="175" t="s">
        <v>803</v>
      </c>
      <c r="I546" s="175">
        <v>5.5</v>
      </c>
      <c r="J546" s="175">
        <v>4</v>
      </c>
      <c r="K546" s="175">
        <v>0</v>
      </c>
      <c r="L546" s="175">
        <v>9540</v>
      </c>
      <c r="M546" s="175">
        <v>9630</v>
      </c>
      <c r="N546" s="175">
        <v>33</v>
      </c>
      <c r="O546" s="175">
        <v>1</v>
      </c>
      <c r="P546" s="175">
        <v>9350</v>
      </c>
      <c r="Q546" s="175">
        <v>8890</v>
      </c>
      <c r="R546" s="175">
        <v>33</v>
      </c>
      <c r="S546" s="175">
        <v>3</v>
      </c>
      <c r="T546" s="175">
        <v>8520</v>
      </c>
      <c r="U546" s="175">
        <v>8800</v>
      </c>
      <c r="V546" s="175">
        <v>48</v>
      </c>
      <c r="W546" s="175">
        <v>0</v>
      </c>
      <c r="X546" s="175">
        <v>9350</v>
      </c>
      <c r="Y546" s="175">
        <v>9170</v>
      </c>
      <c r="Z546" s="175">
        <v>5.8299595141700413</v>
      </c>
      <c r="AA546" s="175">
        <v>39.333333333333336</v>
      </c>
      <c r="AB546" s="175">
        <v>0.99670138888888893</v>
      </c>
      <c r="AC546" s="175">
        <v>91.5625</v>
      </c>
      <c r="AD546" s="175">
        <v>4.916666666666667</v>
      </c>
      <c r="AE546" s="175">
        <v>4.75</v>
      </c>
      <c r="AF546" s="175" t="s">
        <v>236</v>
      </c>
      <c r="AG546" s="175">
        <v>1</v>
      </c>
      <c r="AH546" s="175" t="s">
        <v>638</v>
      </c>
      <c r="AI546" s="175" t="s">
        <v>638</v>
      </c>
      <c r="AJ546" s="175" t="s">
        <v>639</v>
      </c>
      <c r="AK546" s="175" t="s">
        <v>639</v>
      </c>
      <c r="AL546" s="1159" t="s">
        <v>250</v>
      </c>
      <c r="AM546" s="175" t="s">
        <v>460</v>
      </c>
      <c r="AN546" s="175">
        <v>1.1890000000000001</v>
      </c>
      <c r="AO546" s="175">
        <v>2.9</v>
      </c>
      <c r="AP546" s="175">
        <v>24</v>
      </c>
      <c r="AQ546" s="175">
        <v>216</v>
      </c>
      <c r="AR546" s="175">
        <v>3.9</v>
      </c>
      <c r="AS546" s="192">
        <v>24038.7264</v>
      </c>
    </row>
    <row r="547" spans="1:45" ht="16.5" customHeight="1">
      <c r="A547" s="174">
        <v>46221</v>
      </c>
      <c r="B547" s="175" t="s">
        <v>238</v>
      </c>
      <c r="C547" s="175" t="s">
        <v>17248</v>
      </c>
      <c r="D547" s="175" t="s">
        <v>633</v>
      </c>
      <c r="E547" s="175" t="s">
        <v>16719</v>
      </c>
      <c r="F547" s="175" t="s">
        <v>17249</v>
      </c>
      <c r="G547" s="175">
        <v>600</v>
      </c>
      <c r="H547" s="175" t="s">
        <v>877</v>
      </c>
      <c r="I547" s="175">
        <v>5.5</v>
      </c>
      <c r="J547" s="175">
        <v>43</v>
      </c>
      <c r="K547" s="175">
        <v>0</v>
      </c>
      <c r="L547" s="175">
        <v>9550</v>
      </c>
      <c r="M547" s="175">
        <v>9810</v>
      </c>
      <c r="N547" s="175">
        <v>26</v>
      </c>
      <c r="O547" s="175">
        <v>0</v>
      </c>
      <c r="P547" s="175">
        <v>9550</v>
      </c>
      <c r="Q547" s="175">
        <v>9810</v>
      </c>
      <c r="R547" s="175">
        <v>21</v>
      </c>
      <c r="S547" s="175">
        <v>0</v>
      </c>
      <c r="T547" s="175">
        <v>9070</v>
      </c>
      <c r="U547" s="175">
        <v>9350</v>
      </c>
      <c r="V547" s="175">
        <v>38</v>
      </c>
      <c r="W547" s="175">
        <v>0</v>
      </c>
      <c r="X547" s="175">
        <v>8610</v>
      </c>
      <c r="Y547" s="175">
        <v>9310</v>
      </c>
      <c r="Z547" s="175">
        <v>5.034965034965035</v>
      </c>
      <c r="AA547" s="175">
        <v>42.666666666666664</v>
      </c>
      <c r="AB547" s="175">
        <v>1</v>
      </c>
      <c r="AC547" s="175">
        <v>93.825000000000003</v>
      </c>
      <c r="AD547" s="175">
        <v>5.333333333333333</v>
      </c>
      <c r="AE547" s="175">
        <v>5.333333333333333</v>
      </c>
      <c r="AF547" s="175" t="s">
        <v>236</v>
      </c>
      <c r="AG547" s="175">
        <v>1</v>
      </c>
      <c r="AH547" s="175" t="s">
        <v>15892</v>
      </c>
      <c r="AI547" s="175" t="s">
        <v>15892</v>
      </c>
      <c r="AJ547" s="175" t="s">
        <v>835</v>
      </c>
      <c r="AK547" s="175" t="s">
        <v>835</v>
      </c>
      <c r="AL547" s="1159" t="s">
        <v>251</v>
      </c>
      <c r="AM547" s="175" t="s">
        <v>460</v>
      </c>
      <c r="AN547" s="175">
        <v>1.1890000000000001</v>
      </c>
      <c r="AO547" s="175">
        <v>2.8</v>
      </c>
      <c r="AP547" s="175">
        <v>24</v>
      </c>
      <c r="AQ547" s="175">
        <v>216</v>
      </c>
      <c r="AR547" s="175">
        <v>3.8</v>
      </c>
      <c r="AS547" s="192">
        <v>23422.3488</v>
      </c>
    </row>
    <row r="548" spans="1:45" ht="16.5" customHeight="1">
      <c r="A548" s="174">
        <v>46221</v>
      </c>
      <c r="B548" s="175" t="s">
        <v>239</v>
      </c>
      <c r="C548" s="175" t="s">
        <v>17266</v>
      </c>
      <c r="E548" s="175" t="s">
        <v>754</v>
      </c>
      <c r="F548" s="175" t="s">
        <v>17267</v>
      </c>
      <c r="G548" s="175">
        <v>600</v>
      </c>
      <c r="H548" s="175" t="s">
        <v>842</v>
      </c>
      <c r="I548" s="175">
        <v>4</v>
      </c>
      <c r="J548" s="175">
        <v>11</v>
      </c>
      <c r="K548" s="175">
        <v>2</v>
      </c>
      <c r="L548" s="175">
        <v>9350</v>
      </c>
      <c r="N548" s="175">
        <v>10</v>
      </c>
      <c r="O548" s="175">
        <v>1</v>
      </c>
      <c r="P548" s="175">
        <v>9350</v>
      </c>
      <c r="R548" s="175">
        <v>3</v>
      </c>
      <c r="S548" s="175">
        <v>0</v>
      </c>
      <c r="T548" s="175">
        <v>9350</v>
      </c>
      <c r="V548" s="175">
        <v>6</v>
      </c>
      <c r="W548" s="175">
        <v>0</v>
      </c>
      <c r="X548" s="175">
        <v>9350</v>
      </c>
      <c r="Z548" s="175">
        <v>3.6</v>
      </c>
      <c r="AA548" s="175">
        <v>20</v>
      </c>
      <c r="AB548" s="175">
        <v>0.99599358974358976</v>
      </c>
      <c r="AC548" s="175">
        <v>93.5</v>
      </c>
      <c r="AD548" s="175">
        <v>2.5</v>
      </c>
      <c r="AE548" s="175">
        <v>2.25</v>
      </c>
      <c r="AF548" s="175" t="s">
        <v>236</v>
      </c>
      <c r="AG548" s="175">
        <v>2</v>
      </c>
      <c r="AH548" s="175" t="s">
        <v>638</v>
      </c>
      <c r="AI548" s="175" t="s">
        <v>638</v>
      </c>
      <c r="AJ548" s="175" t="s">
        <v>639</v>
      </c>
      <c r="AK548" s="175" t="s">
        <v>639</v>
      </c>
      <c r="AL548" s="1159" t="s">
        <v>251</v>
      </c>
      <c r="AM548" s="175" t="s">
        <v>126</v>
      </c>
      <c r="AN548" s="175">
        <v>0.91100000000000003</v>
      </c>
      <c r="AO548" s="175">
        <v>1.5</v>
      </c>
      <c r="AP548" s="175">
        <v>24</v>
      </c>
      <c r="AQ548" s="175">
        <v>216</v>
      </c>
      <c r="AR548" s="175">
        <v>2.5</v>
      </c>
      <c r="AS548" s="192">
        <v>11806.560000000001</v>
      </c>
    </row>
    <row r="549" spans="1:45" ht="16.5" customHeight="1">
      <c r="A549" s="174">
        <v>46221</v>
      </c>
      <c r="B549" s="175" t="s">
        <v>239</v>
      </c>
      <c r="C549" s="175" t="s">
        <v>17557</v>
      </c>
      <c r="D549" s="175" t="s">
        <v>633</v>
      </c>
      <c r="E549" s="175" t="s">
        <v>8958</v>
      </c>
      <c r="F549" s="175" t="s">
        <v>17558</v>
      </c>
      <c r="G549" s="175">
        <v>550</v>
      </c>
      <c r="H549" s="175" t="s">
        <v>1023</v>
      </c>
      <c r="I549" s="175">
        <v>5.5</v>
      </c>
      <c r="L549" s="175" t="s">
        <v>642</v>
      </c>
      <c r="M549" s="175" t="s">
        <v>16755</v>
      </c>
      <c r="Q549" s="175" t="s">
        <v>17559</v>
      </c>
      <c r="U549" s="175" t="s">
        <v>17559</v>
      </c>
      <c r="Y549" s="175" t="s">
        <v>17559</v>
      </c>
      <c r="Z549" s="175">
        <v>6.6055045871559646</v>
      </c>
      <c r="AA549" s="175" t="s">
        <v>642</v>
      </c>
      <c r="AB549" s="175" t="s">
        <v>419</v>
      </c>
      <c r="AC549" s="175" t="s">
        <v>419</v>
      </c>
      <c r="AD549" s="175" t="s">
        <v>419</v>
      </c>
      <c r="AE549" s="175" t="s">
        <v>419</v>
      </c>
      <c r="AF549" s="175" t="s">
        <v>236</v>
      </c>
      <c r="AG549" s="175">
        <v>2</v>
      </c>
      <c r="AH549" s="175" t="s">
        <v>638</v>
      </c>
      <c r="AI549" s="175" t="s">
        <v>638</v>
      </c>
      <c r="AJ549" s="175" t="s">
        <v>639</v>
      </c>
      <c r="AK549" s="175" t="s">
        <v>639</v>
      </c>
      <c r="AM549" s="175" t="s">
        <v>643</v>
      </c>
      <c r="AN549" s="175">
        <v>1.859</v>
      </c>
      <c r="AO549" s="175">
        <v>3.3</v>
      </c>
      <c r="AP549" s="175">
        <v>24</v>
      </c>
      <c r="AQ549" s="175">
        <v>216</v>
      </c>
      <c r="AR549" s="175">
        <v>4.3</v>
      </c>
      <c r="AS549" s="192">
        <v>41439.340799999998</v>
      </c>
    </row>
    <row r="550" spans="1:45" ht="16.5" customHeight="1">
      <c r="A550" s="174">
        <v>46221</v>
      </c>
      <c r="B550" s="175" t="s">
        <v>388</v>
      </c>
      <c r="C550" s="175" t="s">
        <v>17296</v>
      </c>
      <c r="D550" s="175" t="s">
        <v>633</v>
      </c>
      <c r="E550" s="175" t="s">
        <v>16719</v>
      </c>
      <c r="F550" s="175" t="s">
        <v>17290</v>
      </c>
      <c r="G550" s="175">
        <v>700</v>
      </c>
      <c r="H550" s="175" t="s">
        <v>15541</v>
      </c>
      <c r="I550" s="175">
        <v>5.5</v>
      </c>
      <c r="J550" s="175">
        <v>17</v>
      </c>
      <c r="K550" s="175">
        <v>0</v>
      </c>
      <c r="L550" s="175">
        <v>4530</v>
      </c>
      <c r="M550" s="175">
        <v>10000</v>
      </c>
      <c r="N550" s="175">
        <v>16</v>
      </c>
      <c r="O550" s="175">
        <v>0</v>
      </c>
      <c r="P550" s="175">
        <v>4170</v>
      </c>
      <c r="Q550" s="175">
        <v>10000</v>
      </c>
      <c r="R550" s="175">
        <v>23</v>
      </c>
      <c r="S550" s="175">
        <v>0</v>
      </c>
      <c r="T550" s="175">
        <v>4070</v>
      </c>
      <c r="U550" s="175">
        <v>10000</v>
      </c>
      <c r="V550" s="175">
        <v>20</v>
      </c>
      <c r="W550" s="175">
        <v>0</v>
      </c>
      <c r="X550" s="175">
        <v>3700</v>
      </c>
      <c r="Y550" s="175">
        <v>9440</v>
      </c>
      <c r="Z550" s="175">
        <v>5.8299595141700413</v>
      </c>
      <c r="AA550" s="175">
        <v>25.333333333333332</v>
      </c>
      <c r="AB550" s="175">
        <v>1</v>
      </c>
      <c r="AC550" s="175">
        <v>69.887500000000003</v>
      </c>
      <c r="AD550" s="175">
        <v>3.1666666666666665</v>
      </c>
      <c r="AE550" s="175">
        <v>3.1666666666666665</v>
      </c>
      <c r="AF550" s="175" t="s">
        <v>236</v>
      </c>
      <c r="AG550" s="175">
        <v>1</v>
      </c>
      <c r="AH550" s="175" t="s">
        <v>15892</v>
      </c>
      <c r="AI550" s="175" t="s">
        <v>15892</v>
      </c>
      <c r="AJ550" s="175" t="s">
        <v>835</v>
      </c>
      <c r="AK550" s="175" t="s">
        <v>835</v>
      </c>
      <c r="AL550" s="1159" t="s">
        <v>251</v>
      </c>
      <c r="AM550" s="175" t="s">
        <v>460</v>
      </c>
      <c r="AN550" s="175">
        <v>1.1890000000000001</v>
      </c>
      <c r="AO550" s="175">
        <v>2.8</v>
      </c>
      <c r="AP550" s="175">
        <v>24</v>
      </c>
      <c r="AQ550" s="175">
        <v>216</v>
      </c>
      <c r="AR550" s="175">
        <v>3.8</v>
      </c>
      <c r="AS550" s="192">
        <v>23422.3488</v>
      </c>
    </row>
    <row r="551" spans="1:45" ht="16.5" customHeight="1">
      <c r="A551" s="174">
        <v>46221</v>
      </c>
      <c r="B551" s="175" t="s">
        <v>417</v>
      </c>
      <c r="C551" s="175" t="s">
        <v>17291</v>
      </c>
      <c r="D551" s="175" t="s">
        <v>633</v>
      </c>
      <c r="E551" s="175" t="s">
        <v>16719</v>
      </c>
      <c r="F551" s="175" t="s">
        <v>17290</v>
      </c>
      <c r="G551" s="175">
        <v>700</v>
      </c>
      <c r="H551" s="175" t="s">
        <v>724</v>
      </c>
      <c r="I551" s="175">
        <v>5.5</v>
      </c>
      <c r="J551" s="175">
        <v>29</v>
      </c>
      <c r="K551" s="175">
        <v>0</v>
      </c>
      <c r="L551" s="175">
        <v>9910</v>
      </c>
      <c r="M551" s="175">
        <v>9640</v>
      </c>
      <c r="N551" s="175">
        <v>15</v>
      </c>
      <c r="O551" s="175">
        <v>0</v>
      </c>
      <c r="P551" s="175">
        <v>9910</v>
      </c>
      <c r="Q551" s="175">
        <v>9640</v>
      </c>
      <c r="R551" s="175">
        <v>7</v>
      </c>
      <c r="S551" s="175">
        <v>0</v>
      </c>
      <c r="T551" s="175">
        <v>9910</v>
      </c>
      <c r="U551" s="175">
        <v>9350</v>
      </c>
      <c r="V551" s="175">
        <v>22</v>
      </c>
      <c r="W551" s="175">
        <v>0</v>
      </c>
      <c r="X551" s="175">
        <v>9720</v>
      </c>
      <c r="Y551" s="175">
        <v>8800</v>
      </c>
      <c r="Z551" s="175">
        <v>5.8299595141700413</v>
      </c>
      <c r="AA551" s="175">
        <v>24.333333333333332</v>
      </c>
      <c r="AB551" s="175">
        <v>1</v>
      </c>
      <c r="AC551" s="175">
        <v>96.1</v>
      </c>
      <c r="AD551" s="175">
        <v>3.0416666666666665</v>
      </c>
      <c r="AE551" s="175">
        <v>3.0416666666666665</v>
      </c>
      <c r="AF551" s="175" t="s">
        <v>236</v>
      </c>
      <c r="AG551" s="175">
        <v>1</v>
      </c>
      <c r="AH551" s="175" t="s">
        <v>15892</v>
      </c>
      <c r="AI551" s="175" t="s">
        <v>15892</v>
      </c>
      <c r="AJ551" s="175" t="s">
        <v>835</v>
      </c>
      <c r="AK551" s="175" t="s">
        <v>835</v>
      </c>
      <c r="AL551" s="1159" t="s">
        <v>251</v>
      </c>
      <c r="AM551" s="175" t="s">
        <v>460</v>
      </c>
      <c r="AN551" s="175">
        <v>1.1890000000000001</v>
      </c>
      <c r="AO551" s="175">
        <v>2.8</v>
      </c>
      <c r="AP551" s="175">
        <v>24</v>
      </c>
      <c r="AQ551" s="175">
        <v>216</v>
      </c>
      <c r="AR551" s="175">
        <v>3.8</v>
      </c>
      <c r="AS551" s="192">
        <v>23422.3488</v>
      </c>
    </row>
    <row r="552" spans="1:45" ht="16.5" customHeight="1">
      <c r="A552" s="174">
        <v>46221</v>
      </c>
      <c r="B552" s="175" t="s">
        <v>240</v>
      </c>
      <c r="C552" s="175" t="s">
        <v>17429</v>
      </c>
      <c r="E552" s="175" t="s">
        <v>17434</v>
      </c>
      <c r="F552" s="175" t="s">
        <v>17435</v>
      </c>
      <c r="G552" s="175">
        <v>550</v>
      </c>
      <c r="H552" s="175" t="s">
        <v>884</v>
      </c>
      <c r="I552" s="175">
        <v>4</v>
      </c>
      <c r="J552" s="175">
        <v>6</v>
      </c>
      <c r="K552" s="175">
        <v>0</v>
      </c>
      <c r="L552" s="175">
        <v>3668</v>
      </c>
      <c r="N552" s="175">
        <v>4</v>
      </c>
      <c r="O552" s="175">
        <v>0</v>
      </c>
      <c r="P552" s="175">
        <v>3649</v>
      </c>
      <c r="R552" s="175">
        <v>4</v>
      </c>
      <c r="S552" s="175">
        <v>0</v>
      </c>
      <c r="T552" s="175">
        <v>3666</v>
      </c>
      <c r="V552" s="175">
        <v>7</v>
      </c>
      <c r="W552" s="175">
        <v>0</v>
      </c>
      <c r="X552" s="175">
        <v>3612</v>
      </c>
      <c r="Z552" s="175">
        <v>1.6179775280898876</v>
      </c>
      <c r="AA552" s="175">
        <v>42</v>
      </c>
      <c r="AB552" s="175">
        <v>1</v>
      </c>
      <c r="AC552" s="175">
        <v>36.487499999999997</v>
      </c>
      <c r="AD552" s="175">
        <v>5.25</v>
      </c>
      <c r="AE552" s="175">
        <v>5.25</v>
      </c>
      <c r="AF552" s="175" t="s">
        <v>241</v>
      </c>
      <c r="AG552" s="175">
        <v>6</v>
      </c>
      <c r="AH552" s="175" t="s">
        <v>634</v>
      </c>
      <c r="AI552" s="175" t="s">
        <v>634</v>
      </c>
      <c r="AJ552" s="175" t="s">
        <v>814</v>
      </c>
      <c r="AK552" s="175" t="s">
        <v>814</v>
      </c>
      <c r="AL552" s="1159" t="s">
        <v>251</v>
      </c>
      <c r="AM552" s="175" t="s">
        <v>626</v>
      </c>
      <c r="AN552" s="175">
        <v>0.66900000000000004</v>
      </c>
      <c r="AO552" s="175">
        <v>1.6</v>
      </c>
      <c r="AP552" s="175">
        <v>24</v>
      </c>
      <c r="AQ552" s="175">
        <v>216</v>
      </c>
      <c r="AR552" s="175">
        <v>2.6</v>
      </c>
      <c r="AS552" s="192">
        <v>9017.0496000000021</v>
      </c>
    </row>
    <row r="553" spans="1:45" ht="16.5" customHeight="1">
      <c r="A553" s="174">
        <v>46221</v>
      </c>
      <c r="B553" s="175" t="s">
        <v>242</v>
      </c>
      <c r="C553" s="175" t="s">
        <v>385</v>
      </c>
      <c r="E553" s="175" t="s">
        <v>419</v>
      </c>
      <c r="F553" s="175" t="s">
        <v>419</v>
      </c>
      <c r="G553" s="175" t="s">
        <v>419</v>
      </c>
      <c r="H553" s="175" t="s">
        <v>419</v>
      </c>
      <c r="I553" s="175" t="s">
        <v>419</v>
      </c>
      <c r="L553" s="175" t="s">
        <v>385</v>
      </c>
      <c r="P553" s="175" t="s">
        <v>385</v>
      </c>
      <c r="T553" s="175" t="s">
        <v>385</v>
      </c>
      <c r="X553" s="175" t="s">
        <v>385</v>
      </c>
      <c r="Z553" s="175" t="s">
        <v>419</v>
      </c>
      <c r="AA553" s="175" t="s">
        <v>385</v>
      </c>
      <c r="AB553" s="175" t="s">
        <v>419</v>
      </c>
      <c r="AC553" s="175" t="s">
        <v>419</v>
      </c>
      <c r="AD553" s="175" t="s">
        <v>419</v>
      </c>
      <c r="AE553" s="175" t="s">
        <v>419</v>
      </c>
      <c r="AF553" s="175" t="s">
        <v>241</v>
      </c>
      <c r="AG553" s="175">
        <v>5</v>
      </c>
      <c r="AH553" s="175" t="s">
        <v>634</v>
      </c>
      <c r="AI553" s="175" t="s">
        <v>634</v>
      </c>
      <c r="AJ553" s="175" t="s">
        <v>814</v>
      </c>
      <c r="AK553" s="175" t="s">
        <v>814</v>
      </c>
      <c r="AL553" s="1159" t="s">
        <v>419</v>
      </c>
      <c r="AM553" s="175" t="s">
        <v>419</v>
      </c>
      <c r="AN553" s="175" t="s">
        <v>419</v>
      </c>
      <c r="AO553" s="175" t="s">
        <v>419</v>
      </c>
      <c r="AP553" s="175">
        <v>24</v>
      </c>
      <c r="AQ553" s="175">
        <v>216</v>
      </c>
      <c r="AR553" s="175" t="s">
        <v>419</v>
      </c>
      <c r="AS553" s="192" t="s">
        <v>419</v>
      </c>
    </row>
    <row r="554" spans="1:45" ht="16.5" customHeight="1">
      <c r="A554" s="174">
        <v>46222</v>
      </c>
      <c r="B554" s="175" t="s">
        <v>212</v>
      </c>
      <c r="C554" s="175" t="s">
        <v>632</v>
      </c>
      <c r="E554" s="175" t="s">
        <v>419</v>
      </c>
      <c r="F554" s="175" t="s">
        <v>419</v>
      </c>
      <c r="G554" s="175" t="s">
        <v>419</v>
      </c>
      <c r="H554" s="175" t="s">
        <v>419</v>
      </c>
      <c r="I554" s="175" t="s">
        <v>419</v>
      </c>
      <c r="L554" s="175" t="s">
        <v>632</v>
      </c>
      <c r="P554" s="175" t="s">
        <v>632</v>
      </c>
      <c r="T554" s="175" t="s">
        <v>632</v>
      </c>
      <c r="X554" s="175" t="s">
        <v>632</v>
      </c>
      <c r="Z554" s="175" t="s">
        <v>419</v>
      </c>
      <c r="AA554" s="175" t="s">
        <v>632</v>
      </c>
      <c r="AB554" s="175" t="s">
        <v>419</v>
      </c>
      <c r="AC554" s="175" t="s">
        <v>419</v>
      </c>
      <c r="AD554" s="175" t="s">
        <v>419</v>
      </c>
      <c r="AE554" s="175" t="s">
        <v>419</v>
      </c>
      <c r="AF554" s="175" t="s">
        <v>213</v>
      </c>
      <c r="AG554" s="175">
        <v>1</v>
      </c>
      <c r="AH554" s="175" t="s">
        <v>640</v>
      </c>
      <c r="AI554" s="175" t="s">
        <v>640</v>
      </c>
      <c r="AJ554" s="175" t="s">
        <v>640</v>
      </c>
      <c r="AK554" s="175" t="s">
        <v>640</v>
      </c>
      <c r="AL554" s="1159" t="s">
        <v>419</v>
      </c>
      <c r="AM554" s="175" t="s">
        <v>419</v>
      </c>
      <c r="AN554" s="175" t="s">
        <v>419</v>
      </c>
      <c r="AO554" s="175" t="s">
        <v>419</v>
      </c>
      <c r="AP554" s="175">
        <v>24</v>
      </c>
      <c r="AQ554" s="175">
        <v>216</v>
      </c>
      <c r="AR554" s="175" t="s">
        <v>419</v>
      </c>
      <c r="AS554" s="192" t="s">
        <v>419</v>
      </c>
    </row>
    <row r="555" spans="1:45" ht="16.5" customHeight="1">
      <c r="A555" s="174">
        <v>46222</v>
      </c>
      <c r="B555" s="175" t="s">
        <v>214</v>
      </c>
      <c r="C555" s="175" t="s">
        <v>632</v>
      </c>
      <c r="E555" s="175" t="s">
        <v>419</v>
      </c>
      <c r="F555" s="175" t="s">
        <v>419</v>
      </c>
      <c r="G555" s="175" t="s">
        <v>419</v>
      </c>
      <c r="H555" s="175" t="s">
        <v>419</v>
      </c>
      <c r="I555" s="175" t="s">
        <v>419</v>
      </c>
      <c r="L555" s="175" t="s">
        <v>632</v>
      </c>
      <c r="P555" s="175" t="s">
        <v>632</v>
      </c>
      <c r="T555" s="175" t="s">
        <v>632</v>
      </c>
      <c r="X555" s="175" t="s">
        <v>632</v>
      </c>
      <c r="Z555" s="175" t="s">
        <v>419</v>
      </c>
      <c r="AA555" s="175" t="s">
        <v>632</v>
      </c>
      <c r="AB555" s="175" t="s">
        <v>419</v>
      </c>
      <c r="AC555" s="175" t="s">
        <v>419</v>
      </c>
      <c r="AD555" s="175" t="s">
        <v>419</v>
      </c>
      <c r="AE555" s="175" t="s">
        <v>419</v>
      </c>
      <c r="AF555" s="175" t="s">
        <v>213</v>
      </c>
      <c r="AG555" s="175">
        <v>1</v>
      </c>
      <c r="AH555" s="175" t="s">
        <v>640</v>
      </c>
      <c r="AI555" s="175" t="s">
        <v>640</v>
      </c>
      <c r="AJ555" s="175" t="s">
        <v>640</v>
      </c>
      <c r="AK555" s="175" t="s">
        <v>640</v>
      </c>
      <c r="AL555" s="1159" t="s">
        <v>419</v>
      </c>
      <c r="AM555" s="175" t="s">
        <v>419</v>
      </c>
      <c r="AN555" s="175" t="s">
        <v>419</v>
      </c>
      <c r="AO555" s="175" t="s">
        <v>419</v>
      </c>
      <c r="AP555" s="175">
        <v>24</v>
      </c>
      <c r="AQ555" s="175">
        <v>216</v>
      </c>
      <c r="AR555" s="175" t="s">
        <v>419</v>
      </c>
      <c r="AS555" s="192" t="s">
        <v>419</v>
      </c>
    </row>
    <row r="556" spans="1:45" ht="16.5" customHeight="1">
      <c r="A556" s="174">
        <v>46222</v>
      </c>
      <c r="B556" s="175" t="s">
        <v>215</v>
      </c>
      <c r="C556" s="175" t="s">
        <v>17316</v>
      </c>
      <c r="E556" s="175" t="s">
        <v>5005</v>
      </c>
      <c r="F556" s="175" t="s">
        <v>17317</v>
      </c>
      <c r="G556" s="175">
        <v>500</v>
      </c>
      <c r="H556" s="175" t="s">
        <v>1186</v>
      </c>
      <c r="I556" s="175">
        <v>4</v>
      </c>
      <c r="L556" s="175" t="s">
        <v>127</v>
      </c>
      <c r="M556" s="175" t="s">
        <v>632</v>
      </c>
      <c r="P556" s="175" t="s">
        <v>127</v>
      </c>
      <c r="Q556" s="175" t="s">
        <v>632</v>
      </c>
      <c r="T556" s="175" t="s">
        <v>127</v>
      </c>
      <c r="U556" s="175" t="s">
        <v>632</v>
      </c>
      <c r="X556" s="175" t="s">
        <v>127</v>
      </c>
      <c r="Y556" s="175" t="s">
        <v>632</v>
      </c>
      <c r="Z556" s="175">
        <v>2.9937629937629939</v>
      </c>
      <c r="AA556" s="175" t="s">
        <v>127</v>
      </c>
      <c r="AB556" s="175" t="s">
        <v>419</v>
      </c>
      <c r="AC556" s="175" t="s">
        <v>419</v>
      </c>
      <c r="AD556" s="175" t="s">
        <v>419</v>
      </c>
      <c r="AE556" s="175" t="s">
        <v>419</v>
      </c>
      <c r="AF556" s="175" t="s">
        <v>213</v>
      </c>
      <c r="AG556" s="175">
        <v>1</v>
      </c>
      <c r="AH556" s="175" t="s">
        <v>815</v>
      </c>
      <c r="AI556" s="175" t="s">
        <v>815</v>
      </c>
      <c r="AJ556" s="175" t="s">
        <v>814</v>
      </c>
      <c r="AK556" s="175" t="s">
        <v>814</v>
      </c>
      <c r="AL556" s="1159" t="s">
        <v>250</v>
      </c>
      <c r="AM556" s="175" t="s">
        <v>126</v>
      </c>
      <c r="AN556" s="175">
        <v>0.91100000000000003</v>
      </c>
      <c r="AO556" s="175">
        <v>1.9</v>
      </c>
      <c r="AP556" s="175">
        <v>24</v>
      </c>
      <c r="AQ556" s="175">
        <v>216</v>
      </c>
      <c r="AR556" s="175">
        <v>2.9</v>
      </c>
      <c r="AS556" s="192">
        <v>13695.6096</v>
      </c>
    </row>
    <row r="557" spans="1:45" ht="16.5" customHeight="1">
      <c r="A557" s="174">
        <v>46222</v>
      </c>
      <c r="B557" s="175" t="s">
        <v>216</v>
      </c>
      <c r="C557" s="175" t="s">
        <v>632</v>
      </c>
      <c r="E557" s="175" t="s">
        <v>419</v>
      </c>
      <c r="F557" s="175" t="s">
        <v>419</v>
      </c>
      <c r="G557" s="175" t="s">
        <v>419</v>
      </c>
      <c r="H557" s="175" t="s">
        <v>419</v>
      </c>
      <c r="I557" s="175" t="s">
        <v>419</v>
      </c>
      <c r="L557" s="175" t="s">
        <v>632</v>
      </c>
      <c r="P557" s="175" t="s">
        <v>632</v>
      </c>
      <c r="T557" s="175" t="s">
        <v>632</v>
      </c>
      <c r="X557" s="175" t="s">
        <v>632</v>
      </c>
      <c r="Z557" s="175" t="s">
        <v>419</v>
      </c>
      <c r="AA557" s="175" t="s">
        <v>632</v>
      </c>
      <c r="AB557" s="175" t="s">
        <v>419</v>
      </c>
      <c r="AC557" s="175" t="s">
        <v>419</v>
      </c>
      <c r="AD557" s="175" t="s">
        <v>419</v>
      </c>
      <c r="AE557" s="175" t="s">
        <v>419</v>
      </c>
      <c r="AF557" s="175" t="s">
        <v>213</v>
      </c>
      <c r="AG557" s="175">
        <v>1</v>
      </c>
      <c r="AH557" s="175" t="s">
        <v>640</v>
      </c>
      <c r="AI557" s="175" t="s">
        <v>640</v>
      </c>
      <c r="AJ557" s="175" t="s">
        <v>640</v>
      </c>
      <c r="AK557" s="175" t="s">
        <v>640</v>
      </c>
      <c r="AL557" s="1159" t="s">
        <v>419</v>
      </c>
      <c r="AM557" s="175" t="s">
        <v>419</v>
      </c>
      <c r="AN557" s="175" t="s">
        <v>419</v>
      </c>
      <c r="AO557" s="175" t="s">
        <v>419</v>
      </c>
      <c r="AP557" s="175">
        <v>24</v>
      </c>
      <c r="AQ557" s="175">
        <v>216</v>
      </c>
      <c r="AR557" s="175" t="s">
        <v>419</v>
      </c>
      <c r="AS557" s="192" t="s">
        <v>419</v>
      </c>
    </row>
    <row r="558" spans="1:45" ht="16.5" customHeight="1">
      <c r="A558" s="174">
        <v>46222</v>
      </c>
      <c r="B558" s="175" t="s">
        <v>217</v>
      </c>
      <c r="C558" s="175" t="s">
        <v>632</v>
      </c>
      <c r="E558" s="175" t="s">
        <v>419</v>
      </c>
      <c r="F558" s="175" t="s">
        <v>419</v>
      </c>
      <c r="G558" s="175" t="s">
        <v>419</v>
      </c>
      <c r="H558" s="175" t="s">
        <v>419</v>
      </c>
      <c r="I558" s="175" t="s">
        <v>419</v>
      </c>
      <c r="L558" s="175" t="s">
        <v>632</v>
      </c>
      <c r="P558" s="175" t="s">
        <v>632</v>
      </c>
      <c r="T558" s="175" t="s">
        <v>632</v>
      </c>
      <c r="X558" s="175" t="s">
        <v>632</v>
      </c>
      <c r="Z558" s="175" t="s">
        <v>419</v>
      </c>
      <c r="AA558" s="175" t="s">
        <v>632</v>
      </c>
      <c r="AB558" s="175" t="s">
        <v>419</v>
      </c>
      <c r="AC558" s="175" t="s">
        <v>419</v>
      </c>
      <c r="AD558" s="175" t="s">
        <v>419</v>
      </c>
      <c r="AE558" s="175" t="s">
        <v>419</v>
      </c>
      <c r="AF558" s="175" t="s">
        <v>213</v>
      </c>
      <c r="AG558" s="175">
        <v>1</v>
      </c>
      <c r="AH558" s="175" t="s">
        <v>640</v>
      </c>
      <c r="AI558" s="175" t="s">
        <v>640</v>
      </c>
      <c r="AJ558" s="175" t="s">
        <v>640</v>
      </c>
      <c r="AK558" s="175" t="s">
        <v>640</v>
      </c>
      <c r="AL558" s="1159" t="s">
        <v>419</v>
      </c>
      <c r="AM558" s="175" t="s">
        <v>419</v>
      </c>
      <c r="AN558" s="175" t="s">
        <v>419</v>
      </c>
      <c r="AO558" s="175" t="s">
        <v>419</v>
      </c>
      <c r="AP558" s="175">
        <v>24</v>
      </c>
      <c r="AQ558" s="175">
        <v>216</v>
      </c>
      <c r="AR558" s="175" t="s">
        <v>419</v>
      </c>
      <c r="AS558" s="192" t="s">
        <v>419</v>
      </c>
    </row>
    <row r="559" spans="1:45" ht="16.5" customHeight="1">
      <c r="A559" s="174">
        <v>46222</v>
      </c>
      <c r="B559" s="175" t="s">
        <v>218</v>
      </c>
      <c r="C559" s="175" t="s">
        <v>17221</v>
      </c>
      <c r="E559" s="175" t="s">
        <v>17237</v>
      </c>
      <c r="F559" s="175" t="s">
        <v>17229</v>
      </c>
      <c r="G559" s="175">
        <v>600</v>
      </c>
      <c r="H559" s="175" t="s">
        <v>15893</v>
      </c>
      <c r="I559" s="175">
        <v>5</v>
      </c>
      <c r="J559" s="175">
        <v>26</v>
      </c>
      <c r="K559" s="175">
        <v>6</v>
      </c>
      <c r="L559" s="175">
        <v>8903</v>
      </c>
      <c r="M559" s="175">
        <v>9210</v>
      </c>
      <c r="N559" s="175">
        <v>8</v>
      </c>
      <c r="O559" s="175">
        <v>0</v>
      </c>
      <c r="P559" s="175">
        <v>9040</v>
      </c>
      <c r="Q559" s="175">
        <v>9164</v>
      </c>
      <c r="R559" s="175">
        <v>10</v>
      </c>
      <c r="S559" s="175">
        <v>0</v>
      </c>
      <c r="T559" s="175">
        <v>8945</v>
      </c>
      <c r="U559" s="175">
        <v>9132</v>
      </c>
      <c r="V559" s="175">
        <v>10</v>
      </c>
      <c r="W559" s="175">
        <v>0</v>
      </c>
      <c r="X559" s="175">
        <v>9117</v>
      </c>
      <c r="Y559" s="175">
        <v>9011</v>
      </c>
      <c r="Z559" s="175">
        <v>2.8015564202334629</v>
      </c>
      <c r="AA559" s="175">
        <v>9</v>
      </c>
      <c r="AB559" s="175">
        <v>0.98970352564102559</v>
      </c>
      <c r="AC559" s="175">
        <v>90.652500000000003</v>
      </c>
      <c r="AD559" s="175">
        <v>1.125</v>
      </c>
      <c r="AE559" s="175">
        <v>1</v>
      </c>
      <c r="AF559" s="175" t="s">
        <v>213</v>
      </c>
      <c r="AG559" s="175">
        <v>0.5</v>
      </c>
      <c r="AH559" s="175" t="s">
        <v>637</v>
      </c>
      <c r="AI559" s="175" t="s">
        <v>637</v>
      </c>
      <c r="AJ559" s="175" t="s">
        <v>15368</v>
      </c>
      <c r="AK559" s="175" t="s">
        <v>15368</v>
      </c>
      <c r="AL559" s="1159" t="s">
        <v>250</v>
      </c>
      <c r="AM559" s="175" t="s">
        <v>126</v>
      </c>
      <c r="AN559" s="175">
        <v>0.91100000000000003</v>
      </c>
      <c r="AO559" s="175">
        <v>1.7</v>
      </c>
      <c r="AP559" s="175">
        <v>24</v>
      </c>
      <c r="AQ559" s="175">
        <v>216</v>
      </c>
      <c r="AR559" s="175">
        <v>2.7</v>
      </c>
      <c r="AS559" s="192">
        <v>12751.084800000001</v>
      </c>
    </row>
    <row r="560" spans="1:45" ht="16.5" customHeight="1">
      <c r="A560" s="174">
        <v>46222</v>
      </c>
      <c r="B560" s="175" t="s">
        <v>219</v>
      </c>
      <c r="C560" s="175" t="s">
        <v>632</v>
      </c>
      <c r="E560" s="175" t="s">
        <v>419</v>
      </c>
      <c r="F560" s="175" t="s">
        <v>419</v>
      </c>
      <c r="G560" s="175" t="s">
        <v>419</v>
      </c>
      <c r="H560" s="175" t="s">
        <v>419</v>
      </c>
      <c r="I560" s="175" t="s">
        <v>419</v>
      </c>
      <c r="L560" s="175" t="s">
        <v>632</v>
      </c>
      <c r="P560" s="175" t="s">
        <v>632</v>
      </c>
      <c r="T560" s="175" t="s">
        <v>632</v>
      </c>
      <c r="X560" s="175" t="s">
        <v>632</v>
      </c>
      <c r="Z560" s="175" t="s">
        <v>419</v>
      </c>
      <c r="AA560" s="175" t="s">
        <v>632</v>
      </c>
      <c r="AB560" s="175" t="s">
        <v>419</v>
      </c>
      <c r="AC560" s="175" t="s">
        <v>419</v>
      </c>
      <c r="AD560" s="175" t="s">
        <v>419</v>
      </c>
      <c r="AE560" s="175" t="s">
        <v>419</v>
      </c>
      <c r="AF560" s="175" t="s">
        <v>213</v>
      </c>
      <c r="AG560" s="175">
        <v>1</v>
      </c>
      <c r="AH560" s="175" t="s">
        <v>640</v>
      </c>
      <c r="AI560" s="175" t="s">
        <v>640</v>
      </c>
      <c r="AJ560" s="175" t="s">
        <v>640</v>
      </c>
      <c r="AK560" s="175" t="s">
        <v>640</v>
      </c>
      <c r="AL560" s="1159" t="s">
        <v>419</v>
      </c>
      <c r="AM560" s="175" t="s">
        <v>419</v>
      </c>
      <c r="AN560" s="175" t="s">
        <v>419</v>
      </c>
      <c r="AO560" s="175" t="s">
        <v>419</v>
      </c>
      <c r="AP560" s="175">
        <v>24</v>
      </c>
      <c r="AQ560" s="175">
        <v>216</v>
      </c>
      <c r="AR560" s="175" t="s">
        <v>419</v>
      </c>
      <c r="AS560" s="192" t="s">
        <v>419</v>
      </c>
    </row>
    <row r="561" spans="1:45" ht="16.5" customHeight="1">
      <c r="A561" s="174">
        <v>46222</v>
      </c>
      <c r="B561" s="175" t="s">
        <v>220</v>
      </c>
      <c r="C561" s="175" t="s">
        <v>17430</v>
      </c>
      <c r="E561" s="175" t="s">
        <v>1891</v>
      </c>
      <c r="F561" s="175" t="s">
        <v>17433</v>
      </c>
      <c r="G561" s="175">
        <v>600</v>
      </c>
      <c r="H561" s="175" t="s">
        <v>474</v>
      </c>
      <c r="I561" s="175">
        <v>4</v>
      </c>
      <c r="J561" s="175">
        <v>18</v>
      </c>
      <c r="K561" s="175">
        <v>3</v>
      </c>
      <c r="L561" s="175">
        <v>8828</v>
      </c>
      <c r="M561" s="175">
        <v>9550</v>
      </c>
      <c r="N561" s="175">
        <v>11</v>
      </c>
      <c r="O561" s="175">
        <v>1</v>
      </c>
      <c r="P561" s="175">
        <v>8743</v>
      </c>
      <c r="Q561" s="175">
        <v>9392</v>
      </c>
      <c r="R561" s="175">
        <v>10</v>
      </c>
      <c r="S561" s="175">
        <v>0</v>
      </c>
      <c r="T561" s="175">
        <v>8924</v>
      </c>
      <c r="U561" s="175">
        <v>9430</v>
      </c>
      <c r="V561" s="175">
        <v>33</v>
      </c>
      <c r="W561" s="175">
        <v>0</v>
      </c>
      <c r="X561" s="175">
        <v>8804</v>
      </c>
      <c r="Y561" s="175">
        <v>9338</v>
      </c>
      <c r="Z561" s="175">
        <v>1.7625458996328029</v>
      </c>
      <c r="AA561" s="175">
        <v>24</v>
      </c>
      <c r="AB561" s="175">
        <v>0.98908920940170941</v>
      </c>
      <c r="AC561" s="175">
        <v>91.261250000000004</v>
      </c>
      <c r="AD561" s="175">
        <v>3</v>
      </c>
      <c r="AE561" s="175">
        <v>2.8333333333333335</v>
      </c>
      <c r="AF561" s="175" t="s">
        <v>213</v>
      </c>
      <c r="AG561" s="175">
        <v>1</v>
      </c>
      <c r="AH561" s="175" t="s">
        <v>815</v>
      </c>
      <c r="AI561" s="175" t="s">
        <v>815</v>
      </c>
      <c r="AJ561" s="175" t="s">
        <v>814</v>
      </c>
      <c r="AK561" s="175" t="s">
        <v>814</v>
      </c>
      <c r="AL561" s="1159" t="s">
        <v>250</v>
      </c>
      <c r="AM561" s="175" t="s">
        <v>126</v>
      </c>
      <c r="AN561" s="175">
        <v>0.91100000000000003</v>
      </c>
      <c r="AO561" s="175">
        <v>0.7</v>
      </c>
      <c r="AP561" s="175">
        <v>24</v>
      </c>
      <c r="AQ561" s="175">
        <v>216</v>
      </c>
      <c r="AR561" s="175">
        <v>1.7</v>
      </c>
      <c r="AS561" s="192">
        <v>8028.4608000000007</v>
      </c>
    </row>
    <row r="562" spans="1:45" ht="16.5" customHeight="1">
      <c r="A562" s="174">
        <v>46222</v>
      </c>
      <c r="B562" s="175" t="s">
        <v>221</v>
      </c>
      <c r="C562" s="175" t="s">
        <v>632</v>
      </c>
      <c r="E562" s="175" t="s">
        <v>419</v>
      </c>
      <c r="F562" s="175" t="s">
        <v>419</v>
      </c>
      <c r="G562" s="175" t="s">
        <v>419</v>
      </c>
      <c r="H562" s="175" t="s">
        <v>419</v>
      </c>
      <c r="I562" s="175" t="s">
        <v>419</v>
      </c>
      <c r="L562" s="175" t="s">
        <v>632</v>
      </c>
      <c r="P562" s="175" t="s">
        <v>632</v>
      </c>
      <c r="T562" s="175" t="s">
        <v>632</v>
      </c>
      <c r="X562" s="175" t="s">
        <v>632</v>
      </c>
      <c r="Z562" s="175" t="s">
        <v>419</v>
      </c>
      <c r="AA562" s="175" t="s">
        <v>632</v>
      </c>
      <c r="AB562" s="175" t="s">
        <v>419</v>
      </c>
      <c r="AC562" s="175" t="s">
        <v>419</v>
      </c>
      <c r="AD562" s="175" t="s">
        <v>419</v>
      </c>
      <c r="AE562" s="175" t="s">
        <v>419</v>
      </c>
      <c r="AF562" s="175" t="s">
        <v>213</v>
      </c>
      <c r="AG562" s="175">
        <v>1</v>
      </c>
      <c r="AH562" s="175" t="s">
        <v>640</v>
      </c>
      <c r="AI562" s="175" t="s">
        <v>640</v>
      </c>
      <c r="AJ562" s="175" t="s">
        <v>640</v>
      </c>
      <c r="AK562" s="175" t="s">
        <v>640</v>
      </c>
      <c r="AL562" s="1159" t="s">
        <v>419</v>
      </c>
      <c r="AM562" s="175" t="s">
        <v>419</v>
      </c>
      <c r="AN562" s="175" t="s">
        <v>419</v>
      </c>
      <c r="AO562" s="175" t="s">
        <v>419</v>
      </c>
      <c r="AP562" s="175">
        <v>24</v>
      </c>
      <c r="AQ562" s="175">
        <v>216</v>
      </c>
      <c r="AR562" s="175" t="s">
        <v>419</v>
      </c>
      <c r="AS562" s="192" t="s">
        <v>419</v>
      </c>
    </row>
    <row r="563" spans="1:45" ht="16.5" customHeight="1">
      <c r="A563" s="174">
        <v>46222</v>
      </c>
      <c r="B563" s="175" t="s">
        <v>222</v>
      </c>
      <c r="C563" s="175" t="s">
        <v>632</v>
      </c>
      <c r="E563" s="175" t="s">
        <v>419</v>
      </c>
      <c r="F563" s="175" t="s">
        <v>419</v>
      </c>
      <c r="G563" s="175" t="s">
        <v>419</v>
      </c>
      <c r="H563" s="175" t="s">
        <v>419</v>
      </c>
      <c r="I563" s="175" t="s">
        <v>419</v>
      </c>
      <c r="L563" s="175" t="s">
        <v>632</v>
      </c>
      <c r="P563" s="175" t="s">
        <v>632</v>
      </c>
      <c r="T563" s="175" t="s">
        <v>632</v>
      </c>
      <c r="X563" s="175" t="s">
        <v>632</v>
      </c>
      <c r="Z563" s="175" t="s">
        <v>419</v>
      </c>
      <c r="AA563" s="175" t="s">
        <v>632</v>
      </c>
      <c r="AB563" s="175" t="s">
        <v>419</v>
      </c>
      <c r="AC563" s="175" t="s">
        <v>419</v>
      </c>
      <c r="AD563" s="175" t="s">
        <v>419</v>
      </c>
      <c r="AE563" s="175" t="s">
        <v>419</v>
      </c>
      <c r="AF563" s="175" t="s">
        <v>213</v>
      </c>
      <c r="AG563" s="175">
        <v>1</v>
      </c>
      <c r="AH563" s="175" t="s">
        <v>640</v>
      </c>
      <c r="AI563" s="175" t="s">
        <v>640</v>
      </c>
      <c r="AJ563" s="175" t="s">
        <v>640</v>
      </c>
      <c r="AK563" s="175" t="s">
        <v>640</v>
      </c>
      <c r="AL563" s="1159" t="s">
        <v>419</v>
      </c>
      <c r="AM563" s="175" t="s">
        <v>419</v>
      </c>
      <c r="AN563" s="175" t="s">
        <v>419</v>
      </c>
      <c r="AO563" s="175" t="s">
        <v>419</v>
      </c>
      <c r="AP563" s="175">
        <v>24</v>
      </c>
      <c r="AQ563" s="175">
        <v>216</v>
      </c>
      <c r="AR563" s="175" t="s">
        <v>419</v>
      </c>
      <c r="AS563" s="192" t="s">
        <v>419</v>
      </c>
    </row>
    <row r="564" spans="1:45" ht="16.5" customHeight="1">
      <c r="A564" s="174">
        <v>46222</v>
      </c>
      <c r="B564" s="175" t="s">
        <v>223</v>
      </c>
      <c r="C564" s="175" t="s">
        <v>17263</v>
      </c>
      <c r="D564" s="175" t="s">
        <v>16748</v>
      </c>
      <c r="E564" s="175" t="s">
        <v>17156</v>
      </c>
      <c r="F564" s="175" t="s">
        <v>17264</v>
      </c>
      <c r="G564" s="175">
        <v>600</v>
      </c>
      <c r="H564" s="175" t="s">
        <v>456</v>
      </c>
      <c r="I564" s="175">
        <v>3</v>
      </c>
      <c r="J564" s="175">
        <v>21</v>
      </c>
      <c r="K564" s="175">
        <v>7</v>
      </c>
      <c r="L564" s="175">
        <v>7710</v>
      </c>
      <c r="N564" s="175">
        <v>4</v>
      </c>
      <c r="O564" s="175">
        <v>0</v>
      </c>
      <c r="P564" s="175">
        <v>8005</v>
      </c>
      <c r="R564" s="175">
        <v>10</v>
      </c>
      <c r="S564" s="175">
        <v>0</v>
      </c>
      <c r="T564" s="175">
        <v>7893</v>
      </c>
      <c r="V564" s="175">
        <v>12</v>
      </c>
      <c r="W564" s="175">
        <v>0</v>
      </c>
      <c r="X564" s="175">
        <v>7309</v>
      </c>
      <c r="Z564" s="175">
        <v>2.4161073825503356</v>
      </c>
      <c r="AA564" s="175">
        <v>31.333333333333332</v>
      </c>
      <c r="AB564" s="175">
        <v>0.98607104700854697</v>
      </c>
      <c r="AC564" s="175">
        <v>77.292500000000004</v>
      </c>
      <c r="AD564" s="175">
        <v>3.9166666666666665</v>
      </c>
      <c r="AE564" s="175">
        <v>3.3333333333333335</v>
      </c>
      <c r="AF564" s="175" t="s">
        <v>213</v>
      </c>
      <c r="AG564" s="175">
        <v>2</v>
      </c>
      <c r="AH564" s="175" t="s">
        <v>637</v>
      </c>
      <c r="AI564" s="175" t="s">
        <v>637</v>
      </c>
      <c r="AJ564" s="175" t="s">
        <v>15368</v>
      </c>
      <c r="AK564" s="175" t="s">
        <v>15368</v>
      </c>
      <c r="AL564" s="1159" t="s">
        <v>250</v>
      </c>
      <c r="AM564" s="175" t="s">
        <v>126</v>
      </c>
      <c r="AN564" s="175">
        <v>0.91100000000000003</v>
      </c>
      <c r="AO564" s="175">
        <v>0.8</v>
      </c>
      <c r="AP564" s="175">
        <v>24</v>
      </c>
      <c r="AQ564" s="175">
        <v>216</v>
      </c>
      <c r="AR564" s="175">
        <v>1.8</v>
      </c>
      <c r="AS564" s="192">
        <v>8500.7232000000004</v>
      </c>
    </row>
    <row r="565" spans="1:45" ht="16.5" customHeight="1">
      <c r="A565" s="174">
        <v>46222</v>
      </c>
      <c r="B565" s="175" t="s">
        <v>223</v>
      </c>
      <c r="C565" s="175" t="s">
        <v>17431</v>
      </c>
      <c r="E565" s="175" t="s">
        <v>15035</v>
      </c>
      <c r="F565" s="175" t="s">
        <v>16860</v>
      </c>
      <c r="G565" s="175">
        <v>550</v>
      </c>
      <c r="H565" s="175" t="s">
        <v>622</v>
      </c>
      <c r="I565" s="175">
        <v>5</v>
      </c>
      <c r="J565" s="175">
        <v>13</v>
      </c>
      <c r="K565" s="175">
        <v>1</v>
      </c>
      <c r="M565" s="175">
        <v>7780</v>
      </c>
      <c r="N565" s="175">
        <v>2</v>
      </c>
      <c r="O565" s="175">
        <v>0</v>
      </c>
      <c r="Q565" s="175">
        <v>8050</v>
      </c>
      <c r="R565" s="175">
        <v>2</v>
      </c>
      <c r="S565" s="175">
        <v>0</v>
      </c>
      <c r="U565" s="175">
        <v>7973</v>
      </c>
      <c r="Y565" s="175" t="s">
        <v>127</v>
      </c>
      <c r="Z565" s="175">
        <v>1.3345690454124188</v>
      </c>
      <c r="AA565" s="175">
        <v>11.333333333333334</v>
      </c>
      <c r="AB565" s="175">
        <v>0.99639756944444446</v>
      </c>
      <c r="AC565" s="175">
        <v>79.343333333333334</v>
      </c>
      <c r="AD565" s="175">
        <v>1.4166666666666667</v>
      </c>
      <c r="AE565" s="175">
        <v>1.3333333333333333</v>
      </c>
      <c r="AF565" s="175" t="s">
        <v>213</v>
      </c>
      <c r="AG565" s="175">
        <v>2</v>
      </c>
      <c r="AH565" s="175" t="s">
        <v>637</v>
      </c>
      <c r="AI565" s="175" t="s">
        <v>637</v>
      </c>
      <c r="AJ565" s="175" t="s">
        <v>15368</v>
      </c>
      <c r="AK565" s="175" t="s">
        <v>15368</v>
      </c>
      <c r="AM565" s="175" t="s">
        <v>126</v>
      </c>
      <c r="AN565" s="175">
        <v>0.91100000000000003</v>
      </c>
      <c r="AO565" s="175">
        <v>0.8</v>
      </c>
      <c r="AP565" s="175">
        <v>24</v>
      </c>
      <c r="AQ565" s="175">
        <v>216</v>
      </c>
      <c r="AR565" s="175">
        <v>1.8</v>
      </c>
      <c r="AS565" s="192">
        <v>8500.7232000000004</v>
      </c>
    </row>
    <row r="566" spans="1:45" ht="16.5" customHeight="1">
      <c r="A566" s="174">
        <v>46222</v>
      </c>
      <c r="B566" s="175" t="s">
        <v>224</v>
      </c>
      <c r="C566" s="175" t="s">
        <v>632</v>
      </c>
      <c r="E566" s="175" t="s">
        <v>419</v>
      </c>
      <c r="F566" s="175" t="s">
        <v>419</v>
      </c>
      <c r="G566" s="175" t="s">
        <v>419</v>
      </c>
      <c r="H566" s="175" t="s">
        <v>419</v>
      </c>
      <c r="I566" s="175" t="s">
        <v>419</v>
      </c>
      <c r="L566" s="175" t="s">
        <v>632</v>
      </c>
      <c r="P566" s="175" t="s">
        <v>632</v>
      </c>
      <c r="T566" s="175" t="s">
        <v>632</v>
      </c>
      <c r="X566" s="175" t="s">
        <v>632</v>
      </c>
      <c r="Z566" s="175" t="s">
        <v>419</v>
      </c>
      <c r="AA566" s="175" t="s">
        <v>632</v>
      </c>
      <c r="AB566" s="175" t="s">
        <v>419</v>
      </c>
      <c r="AC566" s="175" t="s">
        <v>419</v>
      </c>
      <c r="AD566" s="175" t="s">
        <v>419</v>
      </c>
      <c r="AE566" s="175" t="s">
        <v>419</v>
      </c>
      <c r="AF566" s="175" t="s">
        <v>213</v>
      </c>
      <c r="AG566" s="175">
        <v>1</v>
      </c>
      <c r="AH566" s="175" t="s">
        <v>640</v>
      </c>
      <c r="AI566" s="175" t="s">
        <v>640</v>
      </c>
      <c r="AJ566" s="175" t="s">
        <v>640</v>
      </c>
      <c r="AK566" s="175" t="s">
        <v>640</v>
      </c>
      <c r="AL566" s="1159" t="s">
        <v>419</v>
      </c>
      <c r="AM566" s="175" t="s">
        <v>419</v>
      </c>
      <c r="AN566" s="175" t="s">
        <v>419</v>
      </c>
      <c r="AO566" s="175" t="s">
        <v>419</v>
      </c>
      <c r="AP566" s="175">
        <v>24</v>
      </c>
      <c r="AQ566" s="175">
        <v>216</v>
      </c>
      <c r="AR566" s="175" t="s">
        <v>419</v>
      </c>
      <c r="AS566" s="192" t="s">
        <v>419</v>
      </c>
    </row>
    <row r="567" spans="1:45" ht="16.5" customHeight="1">
      <c r="A567" s="174">
        <v>46222</v>
      </c>
      <c r="B567" s="175" t="s">
        <v>225</v>
      </c>
      <c r="C567" s="175" t="s">
        <v>632</v>
      </c>
      <c r="E567" s="175" t="s">
        <v>419</v>
      </c>
      <c r="F567" s="175" t="s">
        <v>419</v>
      </c>
      <c r="G567" s="175" t="s">
        <v>419</v>
      </c>
      <c r="H567" s="175" t="s">
        <v>419</v>
      </c>
      <c r="I567" s="175" t="s">
        <v>419</v>
      </c>
      <c r="L567" s="175" t="s">
        <v>632</v>
      </c>
      <c r="P567" s="175" t="s">
        <v>632</v>
      </c>
      <c r="T567" s="175" t="s">
        <v>632</v>
      </c>
      <c r="X567" s="175" t="s">
        <v>632</v>
      </c>
      <c r="Z567" s="175" t="s">
        <v>419</v>
      </c>
      <c r="AA567" s="175" t="s">
        <v>632</v>
      </c>
      <c r="AB567" s="175" t="s">
        <v>419</v>
      </c>
      <c r="AC567" s="175" t="s">
        <v>419</v>
      </c>
      <c r="AD567" s="175" t="s">
        <v>419</v>
      </c>
      <c r="AE567" s="175" t="s">
        <v>419</v>
      </c>
      <c r="AF567" s="175" t="s">
        <v>213</v>
      </c>
      <c r="AG567" s="175">
        <v>1</v>
      </c>
      <c r="AH567" s="175" t="s">
        <v>640</v>
      </c>
      <c r="AI567" s="175" t="s">
        <v>640</v>
      </c>
      <c r="AJ567" s="175" t="s">
        <v>640</v>
      </c>
      <c r="AK567" s="175" t="s">
        <v>640</v>
      </c>
      <c r="AL567" s="1159" t="s">
        <v>419</v>
      </c>
      <c r="AM567" s="175" t="s">
        <v>419</v>
      </c>
      <c r="AN567" s="175" t="s">
        <v>419</v>
      </c>
      <c r="AO567" s="175" t="s">
        <v>419</v>
      </c>
      <c r="AP567" s="175">
        <v>24</v>
      </c>
      <c r="AQ567" s="175">
        <v>216</v>
      </c>
      <c r="AR567" s="175" t="s">
        <v>419</v>
      </c>
      <c r="AS567" s="192" t="s">
        <v>419</v>
      </c>
    </row>
    <row r="568" spans="1:45" ht="16.5" customHeight="1">
      <c r="A568" s="174">
        <v>46222</v>
      </c>
      <c r="B568" s="175" t="s">
        <v>226</v>
      </c>
      <c r="C568" s="175" t="s">
        <v>632</v>
      </c>
      <c r="E568" s="175" t="s">
        <v>419</v>
      </c>
      <c r="F568" s="175" t="s">
        <v>419</v>
      </c>
      <c r="G568" s="175" t="s">
        <v>419</v>
      </c>
      <c r="H568" s="175" t="s">
        <v>419</v>
      </c>
      <c r="I568" s="175" t="s">
        <v>419</v>
      </c>
      <c r="L568" s="175" t="s">
        <v>632</v>
      </c>
      <c r="P568" s="175" t="s">
        <v>632</v>
      </c>
      <c r="T568" s="175" t="s">
        <v>632</v>
      </c>
      <c r="X568" s="175" t="s">
        <v>632</v>
      </c>
      <c r="Z568" s="175" t="s">
        <v>419</v>
      </c>
      <c r="AA568" s="175" t="s">
        <v>632</v>
      </c>
      <c r="AB568" s="175" t="s">
        <v>419</v>
      </c>
      <c r="AC568" s="175" t="s">
        <v>419</v>
      </c>
      <c r="AD568" s="175" t="s">
        <v>419</v>
      </c>
      <c r="AE568" s="175" t="s">
        <v>419</v>
      </c>
      <c r="AF568" s="175" t="s">
        <v>213</v>
      </c>
      <c r="AG568" s="175">
        <v>1</v>
      </c>
      <c r="AH568" s="175" t="s">
        <v>640</v>
      </c>
      <c r="AI568" s="175" t="s">
        <v>640</v>
      </c>
      <c r="AJ568" s="175" t="s">
        <v>640</v>
      </c>
      <c r="AK568" s="175" t="s">
        <v>640</v>
      </c>
      <c r="AL568" s="1159" t="s">
        <v>419</v>
      </c>
      <c r="AM568" s="175" t="s">
        <v>419</v>
      </c>
      <c r="AN568" s="175" t="s">
        <v>419</v>
      </c>
      <c r="AO568" s="175" t="s">
        <v>419</v>
      </c>
      <c r="AP568" s="175">
        <v>24</v>
      </c>
      <c r="AQ568" s="175">
        <v>216</v>
      </c>
      <c r="AR568" s="175" t="s">
        <v>419</v>
      </c>
      <c r="AS568" s="192" t="s">
        <v>419</v>
      </c>
    </row>
    <row r="569" spans="1:45" ht="16.5" customHeight="1">
      <c r="A569" s="174">
        <v>46222</v>
      </c>
      <c r="B569" s="175" t="s">
        <v>227</v>
      </c>
      <c r="C569" s="175" t="s">
        <v>632</v>
      </c>
      <c r="E569" s="175" t="s">
        <v>419</v>
      </c>
      <c r="F569" s="175" t="s">
        <v>419</v>
      </c>
      <c r="G569" s="175" t="s">
        <v>419</v>
      </c>
      <c r="H569" s="175" t="s">
        <v>419</v>
      </c>
      <c r="I569" s="175" t="s">
        <v>419</v>
      </c>
      <c r="L569" s="175" t="s">
        <v>632</v>
      </c>
      <c r="P569" s="175" t="s">
        <v>632</v>
      </c>
      <c r="T569" s="175" t="s">
        <v>632</v>
      </c>
      <c r="X569" s="175" t="s">
        <v>632</v>
      </c>
      <c r="Z569" s="175" t="s">
        <v>419</v>
      </c>
      <c r="AA569" s="175" t="s">
        <v>632</v>
      </c>
      <c r="AB569" s="175" t="s">
        <v>419</v>
      </c>
      <c r="AC569" s="175" t="s">
        <v>419</v>
      </c>
      <c r="AD569" s="175" t="s">
        <v>419</v>
      </c>
      <c r="AE569" s="175" t="s">
        <v>419</v>
      </c>
      <c r="AF569" s="175" t="s">
        <v>213</v>
      </c>
      <c r="AG569" s="175">
        <v>1</v>
      </c>
      <c r="AH569" s="175" t="s">
        <v>640</v>
      </c>
      <c r="AI569" s="175" t="s">
        <v>640</v>
      </c>
      <c r="AJ569" s="175" t="s">
        <v>640</v>
      </c>
      <c r="AK569" s="175" t="s">
        <v>640</v>
      </c>
      <c r="AL569" s="1159" t="s">
        <v>419</v>
      </c>
      <c r="AM569" s="175" t="s">
        <v>419</v>
      </c>
      <c r="AN569" s="175" t="s">
        <v>419</v>
      </c>
      <c r="AO569" s="175" t="s">
        <v>419</v>
      </c>
      <c r="AP569" s="175">
        <v>24</v>
      </c>
      <c r="AQ569" s="175">
        <v>216</v>
      </c>
      <c r="AR569" s="175" t="s">
        <v>419</v>
      </c>
      <c r="AS569" s="192" t="s">
        <v>419</v>
      </c>
    </row>
    <row r="570" spans="1:45" ht="16.5" customHeight="1">
      <c r="A570" s="174">
        <v>46222</v>
      </c>
      <c r="B570" s="175" t="s">
        <v>228</v>
      </c>
      <c r="C570" s="175" t="s">
        <v>17293</v>
      </c>
      <c r="E570" s="175" t="s">
        <v>7055</v>
      </c>
      <c r="F570" s="175" t="s">
        <v>17294</v>
      </c>
      <c r="G570" s="175">
        <v>550</v>
      </c>
      <c r="H570" s="175" t="s">
        <v>889</v>
      </c>
      <c r="I570" s="175">
        <v>5.5</v>
      </c>
      <c r="L570" s="175" t="s">
        <v>127</v>
      </c>
      <c r="M570" s="175" t="s">
        <v>632</v>
      </c>
      <c r="P570" s="175" t="s">
        <v>127</v>
      </c>
      <c r="Q570" s="175" t="s">
        <v>632</v>
      </c>
      <c r="T570" s="175" t="s">
        <v>127</v>
      </c>
      <c r="U570" s="175" t="s">
        <v>632</v>
      </c>
      <c r="X570" s="175" t="s">
        <v>127</v>
      </c>
      <c r="Y570" s="175" t="s">
        <v>17560</v>
      </c>
      <c r="Z570" s="175">
        <v>4.6905537459283391</v>
      </c>
      <c r="AA570" s="175" t="s">
        <v>127</v>
      </c>
      <c r="AB570" s="175" t="s">
        <v>419</v>
      </c>
      <c r="AC570" s="175" t="s">
        <v>419</v>
      </c>
      <c r="AD570" s="175" t="s">
        <v>419</v>
      </c>
      <c r="AE570" s="175" t="s">
        <v>419</v>
      </c>
      <c r="AF570" s="175" t="s">
        <v>213</v>
      </c>
      <c r="AG570" s="175">
        <v>1</v>
      </c>
      <c r="AH570" s="175" t="s">
        <v>637</v>
      </c>
      <c r="AI570" s="175" t="s">
        <v>637</v>
      </c>
      <c r="AJ570" s="175" t="s">
        <v>15368</v>
      </c>
      <c r="AK570" s="175" t="s">
        <v>15368</v>
      </c>
      <c r="AL570" s="1159" t="s">
        <v>250</v>
      </c>
      <c r="AM570" s="175" t="s">
        <v>460</v>
      </c>
      <c r="AN570" s="175">
        <v>1.1890000000000001</v>
      </c>
      <c r="AO570" s="175">
        <v>1.9</v>
      </c>
      <c r="AP570" s="175">
        <v>24</v>
      </c>
      <c r="AQ570" s="175">
        <v>216</v>
      </c>
      <c r="AR570" s="175">
        <v>2.9</v>
      </c>
      <c r="AS570" s="192">
        <v>17874.950400000002</v>
      </c>
    </row>
    <row r="571" spans="1:45" ht="16.5" customHeight="1">
      <c r="A571" s="174">
        <v>46222</v>
      </c>
      <c r="B571" s="175" t="s">
        <v>229</v>
      </c>
      <c r="C571" s="175" t="s">
        <v>17503</v>
      </c>
      <c r="E571" s="175" t="s">
        <v>467</v>
      </c>
      <c r="F571" s="175" t="s">
        <v>17552</v>
      </c>
      <c r="G571" s="175">
        <v>650</v>
      </c>
      <c r="H571" s="175" t="s">
        <v>618</v>
      </c>
      <c r="I571" s="175">
        <v>5</v>
      </c>
      <c r="J571" s="175">
        <v>28</v>
      </c>
      <c r="K571" s="175">
        <v>4</v>
      </c>
      <c r="L571" s="175">
        <v>7001</v>
      </c>
      <c r="M571" s="175">
        <v>8110</v>
      </c>
      <c r="N571" s="175">
        <v>12</v>
      </c>
      <c r="O571" s="175">
        <v>6</v>
      </c>
      <c r="P571" s="175">
        <v>7410</v>
      </c>
      <c r="Q571" s="175">
        <v>8204</v>
      </c>
      <c r="R571" s="175">
        <v>4</v>
      </c>
      <c r="S571" s="175">
        <v>0</v>
      </c>
      <c r="T571" s="175">
        <v>7483</v>
      </c>
      <c r="U571" s="175">
        <v>8253</v>
      </c>
      <c r="V571" s="175">
        <v>26</v>
      </c>
      <c r="W571" s="175">
        <v>0</v>
      </c>
      <c r="X571" s="175">
        <v>6888</v>
      </c>
      <c r="Y571" s="175">
        <v>6944</v>
      </c>
      <c r="Z571" s="175">
        <v>5.9259259259259256</v>
      </c>
      <c r="AA571" s="175">
        <v>11.666666666666666</v>
      </c>
      <c r="AB571" s="175">
        <v>0.99188701923076927</v>
      </c>
      <c r="AC571" s="175">
        <v>75.366249999999994</v>
      </c>
      <c r="AD571" s="175">
        <v>1.4583333333333333</v>
      </c>
      <c r="AE571" s="175">
        <v>1.25</v>
      </c>
      <c r="AF571" s="175" t="s">
        <v>213</v>
      </c>
      <c r="AG571" s="175">
        <v>0.5</v>
      </c>
      <c r="AH571" s="175" t="s">
        <v>637</v>
      </c>
      <c r="AI571" s="175" t="s">
        <v>637</v>
      </c>
      <c r="AJ571" s="175" t="s">
        <v>15368</v>
      </c>
      <c r="AK571" s="175" t="s">
        <v>15368</v>
      </c>
      <c r="AL571" s="1159" t="s">
        <v>251</v>
      </c>
      <c r="AM571" s="175" t="s">
        <v>460</v>
      </c>
      <c r="AN571" s="175">
        <v>1.1890000000000001</v>
      </c>
      <c r="AO571" s="175">
        <v>2.6</v>
      </c>
      <c r="AP571" s="175">
        <v>24</v>
      </c>
      <c r="AQ571" s="175">
        <v>216</v>
      </c>
      <c r="AR571" s="175">
        <v>3.6</v>
      </c>
      <c r="AS571" s="192">
        <v>22189.5936</v>
      </c>
    </row>
    <row r="572" spans="1:45" ht="16.5" customHeight="1">
      <c r="A572" s="174">
        <v>46222</v>
      </c>
      <c r="B572" s="175" t="s">
        <v>230</v>
      </c>
      <c r="C572" s="175" t="s">
        <v>632</v>
      </c>
      <c r="E572" s="175" t="s">
        <v>419</v>
      </c>
      <c r="F572" s="175" t="s">
        <v>419</v>
      </c>
      <c r="G572" s="175" t="s">
        <v>419</v>
      </c>
      <c r="H572" s="175" t="s">
        <v>419</v>
      </c>
      <c r="I572" s="175" t="s">
        <v>419</v>
      </c>
      <c r="L572" s="175" t="s">
        <v>632</v>
      </c>
      <c r="P572" s="175" t="s">
        <v>632</v>
      </c>
      <c r="T572" s="175" t="s">
        <v>632</v>
      </c>
      <c r="X572" s="175" t="s">
        <v>632</v>
      </c>
      <c r="Z572" s="175" t="s">
        <v>419</v>
      </c>
      <c r="AA572" s="175" t="s">
        <v>632</v>
      </c>
      <c r="AB572" s="175" t="s">
        <v>419</v>
      </c>
      <c r="AC572" s="175" t="s">
        <v>419</v>
      </c>
      <c r="AD572" s="175" t="s">
        <v>419</v>
      </c>
      <c r="AE572" s="175" t="s">
        <v>419</v>
      </c>
      <c r="AF572" s="175" t="s">
        <v>213</v>
      </c>
      <c r="AG572" s="175">
        <v>1</v>
      </c>
      <c r="AH572" s="175" t="s">
        <v>640</v>
      </c>
      <c r="AI572" s="175" t="s">
        <v>640</v>
      </c>
      <c r="AJ572" s="175" t="s">
        <v>640</v>
      </c>
      <c r="AK572" s="175" t="s">
        <v>640</v>
      </c>
      <c r="AL572" s="1159" t="s">
        <v>419</v>
      </c>
      <c r="AM572" s="175" t="s">
        <v>419</v>
      </c>
      <c r="AN572" s="175" t="s">
        <v>419</v>
      </c>
      <c r="AO572" s="175" t="s">
        <v>419</v>
      </c>
      <c r="AP572" s="175">
        <v>24</v>
      </c>
      <c r="AQ572" s="175">
        <v>216</v>
      </c>
      <c r="AR572" s="175" t="s">
        <v>419</v>
      </c>
      <c r="AS572" s="192" t="s">
        <v>419</v>
      </c>
    </row>
    <row r="573" spans="1:45" ht="16.5" customHeight="1">
      <c r="A573" s="174">
        <v>46222</v>
      </c>
      <c r="B573" s="175" t="s">
        <v>231</v>
      </c>
      <c r="C573" s="175" t="s">
        <v>632</v>
      </c>
      <c r="E573" s="175" t="s">
        <v>419</v>
      </c>
      <c r="F573" s="175" t="s">
        <v>419</v>
      </c>
      <c r="G573" s="175" t="s">
        <v>419</v>
      </c>
      <c r="H573" s="175" t="s">
        <v>419</v>
      </c>
      <c r="I573" s="175" t="s">
        <v>419</v>
      </c>
      <c r="L573" s="175" t="s">
        <v>632</v>
      </c>
      <c r="P573" s="175" t="s">
        <v>632</v>
      </c>
      <c r="T573" s="175" t="s">
        <v>632</v>
      </c>
      <c r="X573" s="175" t="s">
        <v>632</v>
      </c>
      <c r="Z573" s="175" t="s">
        <v>419</v>
      </c>
      <c r="AA573" s="175" t="s">
        <v>632</v>
      </c>
      <c r="AB573" s="175" t="s">
        <v>419</v>
      </c>
      <c r="AC573" s="175" t="s">
        <v>419</v>
      </c>
      <c r="AD573" s="175" t="s">
        <v>419</v>
      </c>
      <c r="AE573" s="175" t="s">
        <v>419</v>
      </c>
      <c r="AF573" s="175" t="s">
        <v>232</v>
      </c>
      <c r="AG573" s="175">
        <v>1</v>
      </c>
      <c r="AH573" s="175" t="s">
        <v>640</v>
      </c>
      <c r="AI573" s="175" t="s">
        <v>640</v>
      </c>
      <c r="AJ573" s="175" t="s">
        <v>640</v>
      </c>
      <c r="AK573" s="175" t="s">
        <v>640</v>
      </c>
      <c r="AL573" s="1159" t="s">
        <v>419</v>
      </c>
      <c r="AM573" s="175" t="s">
        <v>419</v>
      </c>
      <c r="AN573" s="175" t="s">
        <v>419</v>
      </c>
      <c r="AO573" s="175" t="s">
        <v>419</v>
      </c>
      <c r="AP573" s="175">
        <v>24</v>
      </c>
      <c r="AQ573" s="175">
        <v>216</v>
      </c>
      <c r="AR573" s="175" t="s">
        <v>419</v>
      </c>
      <c r="AS573" s="192" t="s">
        <v>419</v>
      </c>
    </row>
    <row r="574" spans="1:45" ht="16.5" customHeight="1">
      <c r="A574" s="174">
        <v>46222</v>
      </c>
      <c r="B574" s="175" t="s">
        <v>233</v>
      </c>
      <c r="C574" s="175" t="s">
        <v>632</v>
      </c>
      <c r="E574" s="175" t="s">
        <v>419</v>
      </c>
      <c r="F574" s="175" t="s">
        <v>419</v>
      </c>
      <c r="G574" s="175" t="s">
        <v>419</v>
      </c>
      <c r="H574" s="175" t="s">
        <v>419</v>
      </c>
      <c r="I574" s="175" t="s">
        <v>419</v>
      </c>
      <c r="L574" s="175" t="s">
        <v>632</v>
      </c>
      <c r="P574" s="175" t="s">
        <v>632</v>
      </c>
      <c r="T574" s="175" t="s">
        <v>632</v>
      </c>
      <c r="X574" s="175" t="s">
        <v>632</v>
      </c>
      <c r="Z574" s="175" t="s">
        <v>419</v>
      </c>
      <c r="AA574" s="175" t="s">
        <v>632</v>
      </c>
      <c r="AB574" s="175" t="s">
        <v>419</v>
      </c>
      <c r="AC574" s="175" t="s">
        <v>419</v>
      </c>
      <c r="AD574" s="175" t="s">
        <v>419</v>
      </c>
      <c r="AE574" s="175" t="s">
        <v>419</v>
      </c>
      <c r="AF574" s="175" t="s">
        <v>232</v>
      </c>
      <c r="AG574" s="175">
        <v>1</v>
      </c>
      <c r="AH574" s="175" t="s">
        <v>640</v>
      </c>
      <c r="AI574" s="175" t="s">
        <v>640</v>
      </c>
      <c r="AJ574" s="175" t="s">
        <v>640</v>
      </c>
      <c r="AK574" s="175" t="s">
        <v>640</v>
      </c>
      <c r="AL574" s="1159" t="s">
        <v>419</v>
      </c>
      <c r="AM574" s="175" t="s">
        <v>419</v>
      </c>
      <c r="AN574" s="175" t="s">
        <v>419</v>
      </c>
      <c r="AO574" s="175" t="s">
        <v>419</v>
      </c>
      <c r="AP574" s="175">
        <v>24</v>
      </c>
      <c r="AQ574" s="175">
        <v>216</v>
      </c>
      <c r="AR574" s="175" t="s">
        <v>419</v>
      </c>
      <c r="AS574" s="192" t="s">
        <v>419</v>
      </c>
    </row>
    <row r="575" spans="1:45" ht="16.5" customHeight="1">
      <c r="A575" s="174">
        <v>46222</v>
      </c>
      <c r="B575" s="175" t="s">
        <v>234</v>
      </c>
      <c r="C575" s="175" t="s">
        <v>632</v>
      </c>
      <c r="E575" s="175" t="s">
        <v>419</v>
      </c>
      <c r="F575" s="175" t="s">
        <v>419</v>
      </c>
      <c r="G575" s="175" t="s">
        <v>419</v>
      </c>
      <c r="H575" s="175" t="s">
        <v>419</v>
      </c>
      <c r="I575" s="175" t="s">
        <v>419</v>
      </c>
      <c r="L575" s="175" t="s">
        <v>632</v>
      </c>
      <c r="P575" s="175" t="s">
        <v>632</v>
      </c>
      <c r="T575" s="175" t="s">
        <v>632</v>
      </c>
      <c r="X575" s="175" t="s">
        <v>632</v>
      </c>
      <c r="Z575" s="175" t="s">
        <v>419</v>
      </c>
      <c r="AA575" s="175" t="s">
        <v>632</v>
      </c>
      <c r="AB575" s="175" t="s">
        <v>419</v>
      </c>
      <c r="AC575" s="175" t="s">
        <v>419</v>
      </c>
      <c r="AD575" s="175" t="s">
        <v>419</v>
      </c>
      <c r="AE575" s="175" t="s">
        <v>419</v>
      </c>
      <c r="AF575" s="175" t="s">
        <v>232</v>
      </c>
      <c r="AG575" s="175">
        <v>1</v>
      </c>
      <c r="AH575" s="175" t="s">
        <v>640</v>
      </c>
      <c r="AI575" s="175" t="s">
        <v>640</v>
      </c>
      <c r="AJ575" s="175" t="s">
        <v>640</v>
      </c>
      <c r="AK575" s="175" t="s">
        <v>640</v>
      </c>
      <c r="AL575" s="1159" t="s">
        <v>419</v>
      </c>
      <c r="AM575" s="175" t="s">
        <v>419</v>
      </c>
      <c r="AN575" s="175" t="s">
        <v>419</v>
      </c>
      <c r="AO575" s="175" t="s">
        <v>419</v>
      </c>
      <c r="AP575" s="175">
        <v>24</v>
      </c>
      <c r="AQ575" s="175">
        <v>216</v>
      </c>
      <c r="AR575" s="175" t="s">
        <v>419</v>
      </c>
      <c r="AS575" s="192" t="s">
        <v>419</v>
      </c>
    </row>
    <row r="576" spans="1:45" ht="16.5" customHeight="1">
      <c r="A576" s="174">
        <v>46222</v>
      </c>
      <c r="B576" s="175" t="s">
        <v>235</v>
      </c>
      <c r="C576" s="175" t="s">
        <v>17550</v>
      </c>
      <c r="D576" s="175" t="s">
        <v>633</v>
      </c>
      <c r="E576" s="175" t="s">
        <v>16719</v>
      </c>
      <c r="F576" s="175" t="s">
        <v>17249</v>
      </c>
      <c r="G576" s="175">
        <v>600</v>
      </c>
      <c r="H576" s="175" t="s">
        <v>712</v>
      </c>
      <c r="I576" s="175">
        <v>5.5</v>
      </c>
      <c r="J576" s="175">
        <v>12</v>
      </c>
      <c r="K576" s="175">
        <v>0</v>
      </c>
      <c r="L576" s="175">
        <v>9350</v>
      </c>
      <c r="N576" s="175">
        <v>11</v>
      </c>
      <c r="O576" s="175">
        <v>0</v>
      </c>
      <c r="P576" s="175">
        <v>9350</v>
      </c>
      <c r="R576" s="175">
        <v>5</v>
      </c>
      <c r="S576" s="175">
        <v>0</v>
      </c>
      <c r="T576" s="175">
        <v>9260</v>
      </c>
      <c r="V576" s="175">
        <v>24</v>
      </c>
      <c r="W576" s="175">
        <v>0</v>
      </c>
      <c r="X576" s="175">
        <v>9260</v>
      </c>
      <c r="Z576" s="175">
        <v>5.034965034965035</v>
      </c>
      <c r="AA576" s="175">
        <v>34.666666666666664</v>
      </c>
      <c r="AB576" s="175">
        <v>1</v>
      </c>
      <c r="AC576" s="175">
        <v>93.05</v>
      </c>
      <c r="AD576" s="175">
        <v>4.333333333333333</v>
      </c>
      <c r="AE576" s="175">
        <v>4.333333333333333</v>
      </c>
      <c r="AF576" s="175" t="s">
        <v>236</v>
      </c>
      <c r="AG576" s="175">
        <v>2</v>
      </c>
      <c r="AH576" s="175" t="s">
        <v>15337</v>
      </c>
      <c r="AI576" s="175" t="s">
        <v>15337</v>
      </c>
      <c r="AJ576" s="175" t="s">
        <v>652</v>
      </c>
      <c r="AK576" s="175" t="s">
        <v>652</v>
      </c>
      <c r="AL576" s="1159" t="s">
        <v>251</v>
      </c>
      <c r="AM576" s="175" t="s">
        <v>460</v>
      </c>
      <c r="AN576" s="175">
        <v>1.1890000000000001</v>
      </c>
      <c r="AO576" s="175">
        <v>2.7</v>
      </c>
      <c r="AP576" s="175">
        <v>24</v>
      </c>
      <c r="AQ576" s="175">
        <v>216</v>
      </c>
      <c r="AR576" s="175">
        <v>3.7</v>
      </c>
      <c r="AS576" s="192">
        <v>22805.9712</v>
      </c>
    </row>
    <row r="577" spans="1:45" ht="16.5" customHeight="1">
      <c r="A577" s="174">
        <v>46222</v>
      </c>
      <c r="B577" s="175" t="s">
        <v>235</v>
      </c>
      <c r="C577" s="175" t="s">
        <v>17289</v>
      </c>
      <c r="D577" s="175" t="s">
        <v>633</v>
      </c>
      <c r="E577" s="175" t="s">
        <v>16719</v>
      </c>
      <c r="F577" s="175" t="s">
        <v>17290</v>
      </c>
      <c r="G577" s="175">
        <v>700</v>
      </c>
      <c r="H577" s="175" t="s">
        <v>776</v>
      </c>
      <c r="I577" s="175">
        <v>5.5</v>
      </c>
      <c r="L577" s="175" t="s">
        <v>127</v>
      </c>
      <c r="M577" s="175" t="s">
        <v>127</v>
      </c>
      <c r="Q577" s="175" t="s">
        <v>127</v>
      </c>
      <c r="U577" s="175" t="s">
        <v>627</v>
      </c>
      <c r="Y577" s="175" t="s">
        <v>632</v>
      </c>
      <c r="Z577" s="175">
        <v>5.8775510204081636</v>
      </c>
      <c r="AA577" s="175" t="s">
        <v>127</v>
      </c>
      <c r="AB577" s="175" t="s">
        <v>419</v>
      </c>
      <c r="AC577" s="175" t="s">
        <v>419</v>
      </c>
      <c r="AD577" s="175" t="s">
        <v>419</v>
      </c>
      <c r="AE577" s="175" t="s">
        <v>419</v>
      </c>
      <c r="AF577" s="175" t="s">
        <v>236</v>
      </c>
      <c r="AG577" s="175">
        <v>2</v>
      </c>
      <c r="AH577" s="175" t="s">
        <v>15337</v>
      </c>
      <c r="AI577" s="175" t="s">
        <v>15337</v>
      </c>
      <c r="AJ577" s="175" t="s">
        <v>652</v>
      </c>
      <c r="AK577" s="175" t="s">
        <v>652</v>
      </c>
      <c r="AM577" s="175" t="s">
        <v>460</v>
      </c>
      <c r="AN577" s="175">
        <v>1.1890000000000001</v>
      </c>
      <c r="AO577" s="175">
        <v>3</v>
      </c>
      <c r="AP577" s="175">
        <v>24</v>
      </c>
      <c r="AQ577" s="175">
        <v>216</v>
      </c>
      <c r="AR577" s="175">
        <v>4</v>
      </c>
      <c r="AS577" s="192">
        <v>24655.103999999999</v>
      </c>
    </row>
    <row r="578" spans="1:45" ht="16.5" customHeight="1">
      <c r="A578" s="174">
        <v>46222</v>
      </c>
      <c r="B578" s="175" t="s">
        <v>237</v>
      </c>
      <c r="C578" s="175" t="s">
        <v>17547</v>
      </c>
      <c r="D578" s="175" t="s">
        <v>633</v>
      </c>
      <c r="E578" s="175" t="s">
        <v>17548</v>
      </c>
      <c r="F578" s="175" t="s">
        <v>17549</v>
      </c>
      <c r="G578" s="175">
        <v>700</v>
      </c>
      <c r="H578" s="175" t="s">
        <v>803</v>
      </c>
      <c r="I578" s="175">
        <v>5.5</v>
      </c>
      <c r="J578" s="175">
        <v>38</v>
      </c>
      <c r="K578" s="175">
        <v>8</v>
      </c>
      <c r="L578" s="175">
        <v>9630</v>
      </c>
      <c r="M578" s="175">
        <v>9540</v>
      </c>
      <c r="N578" s="175">
        <v>19</v>
      </c>
      <c r="O578" s="175">
        <v>0</v>
      </c>
      <c r="P578" s="175">
        <v>8800</v>
      </c>
      <c r="Q578" s="175">
        <v>9540</v>
      </c>
      <c r="R578" s="175">
        <v>43</v>
      </c>
      <c r="S578" s="175">
        <v>0</v>
      </c>
      <c r="T578" s="175">
        <v>8980</v>
      </c>
      <c r="U578" s="175">
        <v>8700</v>
      </c>
      <c r="V578" s="175">
        <v>37</v>
      </c>
      <c r="W578" s="175">
        <v>0</v>
      </c>
      <c r="X578" s="175">
        <v>9260</v>
      </c>
      <c r="Y578" s="175">
        <v>9350</v>
      </c>
      <c r="Z578" s="175">
        <v>5.8299595141700413</v>
      </c>
      <c r="AA578" s="175">
        <v>45.666666666666664</v>
      </c>
      <c r="AB578" s="175">
        <v>0.99340277777777775</v>
      </c>
      <c r="AC578" s="175">
        <v>92.25</v>
      </c>
      <c r="AD578" s="175">
        <v>5.708333333333333</v>
      </c>
      <c r="AE578" s="175">
        <v>5.375</v>
      </c>
      <c r="AF578" s="175" t="s">
        <v>236</v>
      </c>
      <c r="AG578" s="175">
        <v>1</v>
      </c>
      <c r="AH578" s="175" t="s">
        <v>15337</v>
      </c>
      <c r="AI578" s="175" t="s">
        <v>15337</v>
      </c>
      <c r="AJ578" s="175" t="s">
        <v>652</v>
      </c>
      <c r="AK578" s="175" t="s">
        <v>652</v>
      </c>
      <c r="AL578" s="1159" t="s">
        <v>250</v>
      </c>
      <c r="AM578" s="175" t="s">
        <v>460</v>
      </c>
      <c r="AN578" s="175">
        <v>1.1890000000000001</v>
      </c>
      <c r="AO578" s="175">
        <v>2.9</v>
      </c>
      <c r="AP578" s="175">
        <v>24</v>
      </c>
      <c r="AQ578" s="175">
        <v>216</v>
      </c>
      <c r="AR578" s="175">
        <v>3.9</v>
      </c>
      <c r="AS578" s="192">
        <v>24038.7264</v>
      </c>
    </row>
    <row r="579" spans="1:45" ht="16.5" customHeight="1">
      <c r="A579" s="174">
        <v>46222</v>
      </c>
      <c r="B579" s="175" t="s">
        <v>238</v>
      </c>
      <c r="C579" s="175" t="s">
        <v>17248</v>
      </c>
      <c r="D579" s="175" t="s">
        <v>633</v>
      </c>
      <c r="E579" s="175" t="s">
        <v>16719</v>
      </c>
      <c r="F579" s="175" t="s">
        <v>17249</v>
      </c>
      <c r="G579" s="175">
        <v>600</v>
      </c>
      <c r="H579" s="175" t="s">
        <v>877</v>
      </c>
      <c r="I579" s="175">
        <v>5.5</v>
      </c>
      <c r="J579" s="175">
        <v>38</v>
      </c>
      <c r="K579" s="175">
        <v>0</v>
      </c>
      <c r="L579" s="175">
        <v>8800</v>
      </c>
      <c r="M579" s="175">
        <v>9260</v>
      </c>
      <c r="N579" s="175">
        <v>29</v>
      </c>
      <c r="O579" s="175">
        <v>0</v>
      </c>
      <c r="P579" s="175">
        <v>9070</v>
      </c>
      <c r="Q579" s="175">
        <v>9260</v>
      </c>
      <c r="R579" s="175">
        <v>8</v>
      </c>
      <c r="S579" s="175">
        <v>0</v>
      </c>
      <c r="T579" s="175">
        <v>9070</v>
      </c>
      <c r="U579" s="175">
        <v>9260</v>
      </c>
      <c r="V579" s="175">
        <v>46</v>
      </c>
      <c r="W579" s="175">
        <v>3</v>
      </c>
      <c r="X579" s="175">
        <v>9350</v>
      </c>
      <c r="Y579" s="175">
        <v>9350</v>
      </c>
      <c r="Z579" s="175">
        <v>5.034965034965035</v>
      </c>
      <c r="AA579" s="175">
        <v>40.333333333333336</v>
      </c>
      <c r="AB579" s="175">
        <v>0.99713541666666672</v>
      </c>
      <c r="AC579" s="175">
        <v>91.775000000000006</v>
      </c>
      <c r="AD579" s="175">
        <v>5.041666666666667</v>
      </c>
      <c r="AE579" s="175">
        <v>4.916666666666667</v>
      </c>
      <c r="AF579" s="175" t="s">
        <v>236</v>
      </c>
      <c r="AG579" s="175">
        <v>1</v>
      </c>
      <c r="AH579" s="175" t="s">
        <v>15892</v>
      </c>
      <c r="AI579" s="175" t="s">
        <v>15892</v>
      </c>
      <c r="AJ579" s="175" t="s">
        <v>639</v>
      </c>
      <c r="AK579" s="175" t="s">
        <v>639</v>
      </c>
      <c r="AL579" s="1159" t="s">
        <v>251</v>
      </c>
      <c r="AM579" s="175" t="s">
        <v>460</v>
      </c>
      <c r="AN579" s="175">
        <v>1.1890000000000001</v>
      </c>
      <c r="AO579" s="175">
        <v>2.8</v>
      </c>
      <c r="AP579" s="175">
        <v>24</v>
      </c>
      <c r="AQ579" s="175">
        <v>216</v>
      </c>
      <c r="AR579" s="175">
        <v>3.8</v>
      </c>
      <c r="AS579" s="192">
        <v>23422.3488</v>
      </c>
    </row>
    <row r="580" spans="1:45" ht="16.5" customHeight="1">
      <c r="A580" s="174">
        <v>46222</v>
      </c>
      <c r="B580" s="175" t="s">
        <v>239</v>
      </c>
      <c r="C580" s="175" t="s">
        <v>17266</v>
      </c>
      <c r="E580" s="175" t="s">
        <v>754</v>
      </c>
      <c r="F580" s="175" t="s">
        <v>17267</v>
      </c>
      <c r="G580" s="175">
        <v>600</v>
      </c>
      <c r="H580" s="175" t="s">
        <v>842</v>
      </c>
      <c r="I580" s="175">
        <v>4</v>
      </c>
      <c r="J580" s="175">
        <v>16</v>
      </c>
      <c r="K580" s="175">
        <v>0</v>
      </c>
      <c r="L580" s="175">
        <v>9350</v>
      </c>
      <c r="N580" s="175">
        <v>5</v>
      </c>
      <c r="O580" s="175">
        <v>0</v>
      </c>
      <c r="P580" s="175">
        <v>9350</v>
      </c>
      <c r="R580" s="175">
        <v>7</v>
      </c>
      <c r="S580" s="175">
        <v>0</v>
      </c>
      <c r="T580" s="175">
        <v>8980</v>
      </c>
      <c r="V580" s="175">
        <v>17</v>
      </c>
      <c r="W580" s="175">
        <v>0</v>
      </c>
      <c r="X580" s="175">
        <v>8800</v>
      </c>
      <c r="Z580" s="175">
        <v>3.6</v>
      </c>
      <c r="AA580" s="175">
        <v>30</v>
      </c>
      <c r="AB580" s="175">
        <v>1</v>
      </c>
      <c r="AC580" s="175">
        <v>91.2</v>
      </c>
      <c r="AD580" s="175">
        <v>3.75</v>
      </c>
      <c r="AE580" s="175">
        <v>3.75</v>
      </c>
      <c r="AF580" s="175" t="s">
        <v>236</v>
      </c>
      <c r="AG580" s="175">
        <v>2</v>
      </c>
      <c r="AH580" s="175" t="s">
        <v>15337</v>
      </c>
      <c r="AI580" s="175" t="s">
        <v>15337</v>
      </c>
      <c r="AJ580" s="175" t="s">
        <v>652</v>
      </c>
      <c r="AK580" s="175" t="s">
        <v>652</v>
      </c>
      <c r="AL580" s="1159" t="s">
        <v>251</v>
      </c>
      <c r="AM580" s="175" t="s">
        <v>126</v>
      </c>
      <c r="AN580" s="175">
        <v>0.91100000000000003</v>
      </c>
      <c r="AO580" s="175">
        <v>1.5</v>
      </c>
      <c r="AP580" s="175">
        <v>24</v>
      </c>
      <c r="AQ580" s="175">
        <v>216</v>
      </c>
      <c r="AR580" s="175">
        <v>2.5</v>
      </c>
      <c r="AS580" s="192">
        <v>11806.560000000001</v>
      </c>
    </row>
    <row r="581" spans="1:45" ht="16.5" customHeight="1">
      <c r="A581" s="174">
        <v>46222</v>
      </c>
      <c r="B581" s="175" t="s">
        <v>239</v>
      </c>
      <c r="C581" s="175" t="s">
        <v>17557</v>
      </c>
      <c r="D581" s="175" t="s">
        <v>633</v>
      </c>
      <c r="E581" s="175" t="s">
        <v>8958</v>
      </c>
      <c r="F581" s="175" t="s">
        <v>17558</v>
      </c>
      <c r="G581" s="175">
        <v>550</v>
      </c>
      <c r="H581" s="175" t="s">
        <v>1023</v>
      </c>
      <c r="I581" s="175">
        <v>5.5</v>
      </c>
      <c r="L581" s="175" t="s">
        <v>642</v>
      </c>
      <c r="N581" s="175">
        <v>0</v>
      </c>
      <c r="O581" s="175">
        <v>0</v>
      </c>
      <c r="Q581" s="175">
        <v>8240</v>
      </c>
      <c r="R581" s="175">
        <v>8</v>
      </c>
      <c r="S581" s="175">
        <v>0</v>
      </c>
      <c r="U581" s="175">
        <v>8240</v>
      </c>
      <c r="V581" s="175">
        <v>10</v>
      </c>
      <c r="W581" s="175">
        <v>0</v>
      </c>
      <c r="Y581" s="175">
        <v>8700</v>
      </c>
      <c r="Z581" s="175">
        <v>6.6055045871559646</v>
      </c>
      <c r="AA581" s="175" t="s">
        <v>642</v>
      </c>
      <c r="AB581" s="175" t="s">
        <v>419</v>
      </c>
      <c r="AC581" s="175" t="s">
        <v>419</v>
      </c>
      <c r="AD581" s="175" t="s">
        <v>419</v>
      </c>
      <c r="AE581" s="175" t="s">
        <v>419</v>
      </c>
      <c r="AF581" s="175" t="s">
        <v>236</v>
      </c>
      <c r="AG581" s="175">
        <v>2</v>
      </c>
      <c r="AH581" s="175" t="s">
        <v>15337</v>
      </c>
      <c r="AI581" s="175" t="s">
        <v>15337</v>
      </c>
      <c r="AJ581" s="175" t="s">
        <v>652</v>
      </c>
      <c r="AK581" s="175" t="s">
        <v>652</v>
      </c>
      <c r="AM581" s="175" t="s">
        <v>643</v>
      </c>
      <c r="AN581" s="175">
        <v>1.859</v>
      </c>
      <c r="AO581" s="175">
        <v>3.3</v>
      </c>
      <c r="AP581" s="175">
        <v>24</v>
      </c>
      <c r="AQ581" s="175">
        <v>216</v>
      </c>
      <c r="AR581" s="175">
        <v>4.3</v>
      </c>
      <c r="AS581" s="192">
        <v>41439.340799999998</v>
      </c>
    </row>
    <row r="582" spans="1:45" ht="16.5" customHeight="1">
      <c r="A582" s="174">
        <v>46222</v>
      </c>
      <c r="B582" s="175" t="s">
        <v>388</v>
      </c>
      <c r="C582" s="175" t="s">
        <v>17296</v>
      </c>
      <c r="D582" s="175" t="s">
        <v>633</v>
      </c>
      <c r="E582" s="175" t="s">
        <v>16719</v>
      </c>
      <c r="F582" s="175" t="s">
        <v>17290</v>
      </c>
      <c r="G582" s="175">
        <v>700</v>
      </c>
      <c r="H582" s="175" t="s">
        <v>15541</v>
      </c>
      <c r="I582" s="175">
        <v>5.5</v>
      </c>
      <c r="J582" s="175">
        <v>18</v>
      </c>
      <c r="K582" s="175">
        <v>0</v>
      </c>
      <c r="L582" s="175">
        <v>4170</v>
      </c>
      <c r="M582" s="175">
        <v>8800</v>
      </c>
      <c r="N582" s="175">
        <v>19</v>
      </c>
      <c r="O582" s="175">
        <v>0</v>
      </c>
      <c r="P582" s="175">
        <v>3540</v>
      </c>
      <c r="Q582" s="175">
        <v>9720</v>
      </c>
      <c r="R582" s="175">
        <v>24</v>
      </c>
      <c r="S582" s="175">
        <v>1</v>
      </c>
      <c r="T582" s="175">
        <v>3330</v>
      </c>
      <c r="U582" s="175">
        <v>9720</v>
      </c>
      <c r="V582" s="175">
        <v>24</v>
      </c>
      <c r="W582" s="175">
        <v>1</v>
      </c>
      <c r="X582" s="175">
        <v>3890</v>
      </c>
      <c r="Y582" s="175">
        <v>9810</v>
      </c>
      <c r="Z582" s="175">
        <v>5.8299595141700413</v>
      </c>
      <c r="AA582" s="175">
        <v>28.333333333333332</v>
      </c>
      <c r="AB582" s="175">
        <v>0.99835069444444446</v>
      </c>
      <c r="AC582" s="175">
        <v>66.224999999999994</v>
      </c>
      <c r="AD582" s="175">
        <v>3.5416666666666665</v>
      </c>
      <c r="AE582" s="175">
        <v>3.4583333333333335</v>
      </c>
      <c r="AF582" s="175" t="s">
        <v>236</v>
      </c>
      <c r="AG582" s="175">
        <v>1</v>
      </c>
      <c r="AH582" s="175" t="s">
        <v>15892</v>
      </c>
      <c r="AI582" s="175" t="s">
        <v>15892</v>
      </c>
      <c r="AJ582" s="175" t="s">
        <v>639</v>
      </c>
      <c r="AK582" s="175" t="s">
        <v>639</v>
      </c>
      <c r="AL582" s="1159" t="s">
        <v>251</v>
      </c>
      <c r="AM582" s="175" t="s">
        <v>460</v>
      </c>
      <c r="AN582" s="175">
        <v>1.1890000000000001</v>
      </c>
      <c r="AO582" s="175">
        <v>2.8</v>
      </c>
      <c r="AP582" s="175">
        <v>24</v>
      </c>
      <c r="AQ582" s="175">
        <v>216</v>
      </c>
      <c r="AR582" s="175">
        <v>3.8</v>
      </c>
      <c r="AS582" s="192">
        <v>23422.3488</v>
      </c>
    </row>
    <row r="583" spans="1:45" ht="16.5" customHeight="1">
      <c r="A583" s="174">
        <v>46222</v>
      </c>
      <c r="B583" s="175" t="s">
        <v>417</v>
      </c>
      <c r="C583" s="175" t="s">
        <v>17291</v>
      </c>
      <c r="D583" s="175" t="s">
        <v>633</v>
      </c>
      <c r="E583" s="175" t="s">
        <v>16719</v>
      </c>
      <c r="F583" s="175" t="s">
        <v>17290</v>
      </c>
      <c r="G583" s="175">
        <v>700</v>
      </c>
      <c r="H583" s="175" t="s">
        <v>724</v>
      </c>
      <c r="I583" s="175">
        <v>5.5</v>
      </c>
      <c r="J583" s="175">
        <v>41</v>
      </c>
      <c r="K583" s="175">
        <v>0</v>
      </c>
      <c r="L583" s="175">
        <v>9910</v>
      </c>
      <c r="M583" s="175">
        <v>9630</v>
      </c>
      <c r="N583" s="175">
        <v>11</v>
      </c>
      <c r="O583" s="175">
        <v>0</v>
      </c>
      <c r="P583" s="175">
        <v>8980</v>
      </c>
      <c r="Q583" s="175">
        <v>8540</v>
      </c>
      <c r="R583" s="175">
        <v>29</v>
      </c>
      <c r="S583" s="175">
        <v>4</v>
      </c>
      <c r="T583" s="175">
        <v>9540</v>
      </c>
      <c r="U583" s="175">
        <v>8890</v>
      </c>
      <c r="V583" s="175">
        <v>39</v>
      </c>
      <c r="W583" s="175">
        <v>4</v>
      </c>
      <c r="X583" s="175">
        <v>9630</v>
      </c>
      <c r="Y583" s="175">
        <v>9070</v>
      </c>
      <c r="Z583" s="175">
        <v>5.8299595141700413</v>
      </c>
      <c r="AA583" s="175">
        <v>40</v>
      </c>
      <c r="AB583" s="175">
        <v>0.99340277777777775</v>
      </c>
      <c r="AC583" s="175">
        <v>92.737499999999997</v>
      </c>
      <c r="AD583" s="175">
        <v>5</v>
      </c>
      <c r="AE583" s="175">
        <v>4.666666666666667</v>
      </c>
      <c r="AF583" s="175" t="s">
        <v>236</v>
      </c>
      <c r="AG583" s="175">
        <v>1</v>
      </c>
      <c r="AH583" s="175" t="s">
        <v>15892</v>
      </c>
      <c r="AI583" s="175" t="s">
        <v>15892</v>
      </c>
      <c r="AJ583" s="175" t="s">
        <v>639</v>
      </c>
      <c r="AK583" s="175" t="s">
        <v>639</v>
      </c>
      <c r="AL583" s="1159" t="s">
        <v>251</v>
      </c>
      <c r="AM583" s="175" t="s">
        <v>460</v>
      </c>
      <c r="AN583" s="175">
        <v>1.1890000000000001</v>
      </c>
      <c r="AO583" s="175">
        <v>2.8</v>
      </c>
      <c r="AP583" s="175">
        <v>24</v>
      </c>
      <c r="AQ583" s="175">
        <v>216</v>
      </c>
      <c r="AR583" s="175">
        <v>3.8</v>
      </c>
      <c r="AS583" s="192">
        <v>23422.3488</v>
      </c>
    </row>
    <row r="584" spans="1:45" ht="16.5" customHeight="1">
      <c r="A584" s="174">
        <v>46222</v>
      </c>
      <c r="B584" s="175" t="s">
        <v>240</v>
      </c>
      <c r="C584" s="175" t="s">
        <v>17429</v>
      </c>
      <c r="E584" s="175" t="s">
        <v>17434</v>
      </c>
      <c r="F584" s="175" t="s">
        <v>17435</v>
      </c>
      <c r="G584" s="175">
        <v>550</v>
      </c>
      <c r="H584" s="175" t="s">
        <v>884</v>
      </c>
      <c r="I584" s="175">
        <v>4</v>
      </c>
      <c r="J584" s="175">
        <v>10</v>
      </c>
      <c r="K584" s="175">
        <v>0</v>
      </c>
      <c r="L584" s="175">
        <v>3491</v>
      </c>
      <c r="N584" s="175">
        <v>4</v>
      </c>
      <c r="O584" s="175">
        <v>0</v>
      </c>
      <c r="P584" s="175">
        <v>3571</v>
      </c>
      <c r="R584" s="175">
        <v>10</v>
      </c>
      <c r="S584" s="175">
        <v>0</v>
      </c>
      <c r="T584" s="175">
        <v>3495</v>
      </c>
      <c r="V584" s="175">
        <v>8</v>
      </c>
      <c r="W584" s="175">
        <v>0</v>
      </c>
      <c r="X584" s="175">
        <v>3438</v>
      </c>
      <c r="Z584" s="175">
        <v>1.6179775280898876</v>
      </c>
      <c r="AA584" s="175">
        <v>64</v>
      </c>
      <c r="AB584" s="175">
        <v>1</v>
      </c>
      <c r="AC584" s="175">
        <v>34.987499999999997</v>
      </c>
      <c r="AD584" s="175">
        <v>8</v>
      </c>
      <c r="AE584" s="175">
        <v>8</v>
      </c>
      <c r="AF584" s="175" t="s">
        <v>241</v>
      </c>
      <c r="AG584" s="175">
        <v>6</v>
      </c>
      <c r="AH584" s="175" t="s">
        <v>636</v>
      </c>
      <c r="AI584" s="175" t="s">
        <v>636</v>
      </c>
      <c r="AJ584" s="175" t="s">
        <v>814</v>
      </c>
      <c r="AK584" s="175" t="s">
        <v>814</v>
      </c>
      <c r="AL584" s="1159" t="s">
        <v>251</v>
      </c>
      <c r="AM584" s="175" t="s">
        <v>626</v>
      </c>
      <c r="AN584" s="175">
        <v>0.66900000000000004</v>
      </c>
      <c r="AO584" s="175">
        <v>1.6</v>
      </c>
      <c r="AP584" s="175">
        <v>24</v>
      </c>
      <c r="AQ584" s="175">
        <v>216</v>
      </c>
      <c r="AR584" s="175">
        <v>2.6</v>
      </c>
      <c r="AS584" s="192">
        <v>9017.0496000000021</v>
      </c>
    </row>
    <row r="585" spans="1:45" ht="16.5" customHeight="1">
      <c r="A585" s="174">
        <v>46222</v>
      </c>
      <c r="B585" s="175" t="s">
        <v>242</v>
      </c>
      <c r="C585" s="175" t="s">
        <v>385</v>
      </c>
      <c r="E585" s="175" t="s">
        <v>419</v>
      </c>
      <c r="F585" s="175" t="s">
        <v>419</v>
      </c>
      <c r="G585" s="175" t="s">
        <v>419</v>
      </c>
      <c r="H585" s="175" t="s">
        <v>419</v>
      </c>
      <c r="I585" s="175" t="s">
        <v>419</v>
      </c>
      <c r="L585" s="175" t="s">
        <v>385</v>
      </c>
      <c r="P585" s="175" t="s">
        <v>385</v>
      </c>
      <c r="T585" s="175" t="s">
        <v>385</v>
      </c>
      <c r="X585" s="175" t="s">
        <v>385</v>
      </c>
      <c r="Z585" s="175" t="s">
        <v>419</v>
      </c>
      <c r="AA585" s="175" t="s">
        <v>385</v>
      </c>
      <c r="AB585" s="175" t="s">
        <v>419</v>
      </c>
      <c r="AC585" s="175" t="s">
        <v>419</v>
      </c>
      <c r="AD585" s="175" t="s">
        <v>419</v>
      </c>
      <c r="AE585" s="175" t="s">
        <v>419</v>
      </c>
      <c r="AF585" s="175" t="s">
        <v>241</v>
      </c>
      <c r="AG585" s="175">
        <v>5</v>
      </c>
      <c r="AH585" s="175" t="s">
        <v>636</v>
      </c>
      <c r="AI585" s="175" t="s">
        <v>636</v>
      </c>
      <c r="AJ585" s="175" t="s">
        <v>814</v>
      </c>
      <c r="AK585" s="175" t="s">
        <v>814</v>
      </c>
      <c r="AL585" s="1159" t="s">
        <v>419</v>
      </c>
      <c r="AM585" s="175" t="s">
        <v>419</v>
      </c>
      <c r="AN585" s="175" t="s">
        <v>419</v>
      </c>
      <c r="AO585" s="175" t="s">
        <v>419</v>
      </c>
      <c r="AP585" s="175">
        <v>24</v>
      </c>
      <c r="AQ585" s="175">
        <v>216</v>
      </c>
      <c r="AR585" s="175" t="s">
        <v>419</v>
      </c>
      <c r="AS585" s="192" t="s">
        <v>419</v>
      </c>
    </row>
    <row r="586" spans="1:45" ht="16.5" customHeight="1">
      <c r="A586" s="174">
        <v>46223</v>
      </c>
      <c r="B586" s="175" t="s">
        <v>212</v>
      </c>
      <c r="C586" s="175" t="s">
        <v>632</v>
      </c>
      <c r="E586" s="175" t="s">
        <v>419</v>
      </c>
      <c r="F586" s="175" t="s">
        <v>419</v>
      </c>
      <c r="G586" s="175" t="s">
        <v>419</v>
      </c>
      <c r="H586" s="175" t="s">
        <v>419</v>
      </c>
      <c r="I586" s="175" t="s">
        <v>419</v>
      </c>
      <c r="L586" s="175" t="s">
        <v>632</v>
      </c>
      <c r="P586" s="175" t="s">
        <v>632</v>
      </c>
      <c r="T586" s="175" t="s">
        <v>632</v>
      </c>
      <c r="X586" s="175" t="s">
        <v>632</v>
      </c>
      <c r="Z586" s="175" t="s">
        <v>419</v>
      </c>
      <c r="AA586" s="175" t="s">
        <v>632</v>
      </c>
      <c r="AB586" s="175" t="s">
        <v>419</v>
      </c>
      <c r="AC586" s="175" t="s">
        <v>419</v>
      </c>
      <c r="AD586" s="175" t="s">
        <v>419</v>
      </c>
      <c r="AE586" s="175" t="s">
        <v>419</v>
      </c>
      <c r="AF586" s="175" t="s">
        <v>213</v>
      </c>
      <c r="AG586" s="175">
        <v>1</v>
      </c>
      <c r="AH586" s="175" t="s">
        <v>640</v>
      </c>
      <c r="AI586" s="175" t="s">
        <v>640</v>
      </c>
      <c r="AJ586" s="175" t="s">
        <v>640</v>
      </c>
      <c r="AK586" s="175" t="s">
        <v>640</v>
      </c>
      <c r="AL586" s="1159" t="s">
        <v>419</v>
      </c>
      <c r="AM586" s="175" t="s">
        <v>419</v>
      </c>
      <c r="AN586" s="175" t="s">
        <v>419</v>
      </c>
      <c r="AO586" s="175" t="s">
        <v>419</v>
      </c>
      <c r="AP586" s="175">
        <v>24</v>
      </c>
      <c r="AQ586" s="175">
        <v>216</v>
      </c>
      <c r="AR586" s="175" t="s">
        <v>419</v>
      </c>
      <c r="AS586" s="192" t="s">
        <v>419</v>
      </c>
    </row>
    <row r="587" spans="1:45" ht="16.5" customHeight="1">
      <c r="A587" s="174">
        <v>46223</v>
      </c>
      <c r="B587" s="175" t="s">
        <v>214</v>
      </c>
      <c r="C587" s="175" t="s">
        <v>632</v>
      </c>
      <c r="E587" s="175" t="s">
        <v>419</v>
      </c>
      <c r="F587" s="175" t="s">
        <v>419</v>
      </c>
      <c r="G587" s="175" t="s">
        <v>419</v>
      </c>
      <c r="H587" s="175" t="s">
        <v>419</v>
      </c>
      <c r="I587" s="175" t="s">
        <v>419</v>
      </c>
      <c r="L587" s="175" t="s">
        <v>632</v>
      </c>
      <c r="P587" s="175" t="s">
        <v>632</v>
      </c>
      <c r="T587" s="175" t="s">
        <v>632</v>
      </c>
      <c r="X587" s="175" t="s">
        <v>632</v>
      </c>
      <c r="Z587" s="175" t="s">
        <v>419</v>
      </c>
      <c r="AA587" s="175" t="s">
        <v>632</v>
      </c>
      <c r="AB587" s="175" t="s">
        <v>419</v>
      </c>
      <c r="AC587" s="175" t="s">
        <v>419</v>
      </c>
      <c r="AD587" s="175" t="s">
        <v>419</v>
      </c>
      <c r="AE587" s="175" t="s">
        <v>419</v>
      </c>
      <c r="AF587" s="175" t="s">
        <v>213</v>
      </c>
      <c r="AG587" s="175">
        <v>1</v>
      </c>
      <c r="AH587" s="175" t="s">
        <v>640</v>
      </c>
      <c r="AI587" s="175" t="s">
        <v>640</v>
      </c>
      <c r="AJ587" s="175" t="s">
        <v>640</v>
      </c>
      <c r="AK587" s="175" t="s">
        <v>640</v>
      </c>
      <c r="AL587" s="1159" t="s">
        <v>419</v>
      </c>
      <c r="AM587" s="175" t="s">
        <v>419</v>
      </c>
      <c r="AN587" s="175" t="s">
        <v>419</v>
      </c>
      <c r="AO587" s="175" t="s">
        <v>419</v>
      </c>
      <c r="AP587" s="175">
        <v>24</v>
      </c>
      <c r="AQ587" s="175">
        <v>216</v>
      </c>
      <c r="AR587" s="175" t="s">
        <v>419</v>
      </c>
      <c r="AS587" s="192" t="s">
        <v>419</v>
      </c>
    </row>
    <row r="588" spans="1:45" ht="16.5" customHeight="1">
      <c r="A588" s="174">
        <v>46223</v>
      </c>
      <c r="B588" s="175" t="s">
        <v>215</v>
      </c>
      <c r="C588" s="175" t="s">
        <v>17316</v>
      </c>
      <c r="E588" s="175" t="s">
        <v>5005</v>
      </c>
      <c r="F588" s="175" t="s">
        <v>17317</v>
      </c>
      <c r="G588" s="175">
        <v>500</v>
      </c>
      <c r="H588" s="175" t="s">
        <v>1186</v>
      </c>
      <c r="I588" s="175">
        <v>4</v>
      </c>
      <c r="L588" s="175" t="s">
        <v>127</v>
      </c>
      <c r="M588" s="175" t="s">
        <v>632</v>
      </c>
      <c r="P588" s="175" t="s">
        <v>127</v>
      </c>
      <c r="Q588" s="175" t="s">
        <v>632</v>
      </c>
      <c r="T588" s="175" t="s">
        <v>627</v>
      </c>
      <c r="U588" s="175" t="s">
        <v>632</v>
      </c>
      <c r="X588" s="175" t="s">
        <v>632</v>
      </c>
      <c r="Z588" s="175">
        <v>2.9937629937629939</v>
      </c>
      <c r="AA588" s="175" t="s">
        <v>127</v>
      </c>
      <c r="AB588" s="175" t="s">
        <v>419</v>
      </c>
      <c r="AC588" s="175" t="s">
        <v>419</v>
      </c>
      <c r="AD588" s="175" t="s">
        <v>419</v>
      </c>
      <c r="AE588" s="175" t="s">
        <v>419</v>
      </c>
      <c r="AF588" s="175" t="s">
        <v>213</v>
      </c>
      <c r="AG588" s="175">
        <v>1</v>
      </c>
      <c r="AH588" s="175" t="s">
        <v>629</v>
      </c>
      <c r="AI588" s="175" t="s">
        <v>629</v>
      </c>
      <c r="AJ588" s="175" t="s">
        <v>725</v>
      </c>
      <c r="AK588" s="175" t="s">
        <v>725</v>
      </c>
      <c r="AL588" s="1159" t="s">
        <v>250</v>
      </c>
      <c r="AM588" s="175" t="s">
        <v>126</v>
      </c>
      <c r="AN588" s="175">
        <v>0.91100000000000003</v>
      </c>
      <c r="AO588" s="175">
        <v>1.9</v>
      </c>
      <c r="AP588" s="175">
        <v>24</v>
      </c>
      <c r="AQ588" s="175">
        <v>216</v>
      </c>
      <c r="AR588" s="175">
        <v>2.9</v>
      </c>
      <c r="AS588" s="192">
        <v>13695.6096</v>
      </c>
    </row>
    <row r="589" spans="1:45" ht="16.5" customHeight="1">
      <c r="A589" s="174">
        <v>46223</v>
      </c>
      <c r="B589" s="175" t="s">
        <v>216</v>
      </c>
      <c r="C589" s="175" t="s">
        <v>17595</v>
      </c>
      <c r="E589" s="175" t="s">
        <v>419</v>
      </c>
      <c r="F589" s="175" t="s">
        <v>419</v>
      </c>
      <c r="G589" s="175" t="s">
        <v>419</v>
      </c>
      <c r="H589" s="175" t="s">
        <v>419</v>
      </c>
      <c r="I589" s="175" t="s">
        <v>419</v>
      </c>
      <c r="L589" s="175" t="s">
        <v>17595</v>
      </c>
      <c r="P589" s="175" t="s">
        <v>17595</v>
      </c>
      <c r="T589" s="175" t="s">
        <v>17595</v>
      </c>
      <c r="X589" s="175" t="s">
        <v>632</v>
      </c>
      <c r="Z589" s="175" t="s">
        <v>419</v>
      </c>
      <c r="AA589" s="175" t="s">
        <v>17595</v>
      </c>
      <c r="AB589" s="175" t="s">
        <v>419</v>
      </c>
      <c r="AC589" s="175" t="s">
        <v>419</v>
      </c>
      <c r="AD589" s="175" t="s">
        <v>419</v>
      </c>
      <c r="AE589" s="175" t="s">
        <v>419</v>
      </c>
      <c r="AF589" s="175" t="s">
        <v>213</v>
      </c>
      <c r="AG589" s="175">
        <v>1</v>
      </c>
      <c r="AH589" s="175" t="s">
        <v>640</v>
      </c>
      <c r="AI589" s="175" t="s">
        <v>640</v>
      </c>
      <c r="AJ589" s="175" t="s">
        <v>725</v>
      </c>
      <c r="AK589" s="175" t="s">
        <v>725</v>
      </c>
      <c r="AL589" s="1159" t="s">
        <v>419</v>
      </c>
      <c r="AM589" s="175" t="s">
        <v>419</v>
      </c>
      <c r="AN589" s="175" t="s">
        <v>419</v>
      </c>
      <c r="AO589" s="175" t="s">
        <v>419</v>
      </c>
      <c r="AP589" s="175">
        <v>24</v>
      </c>
      <c r="AQ589" s="175">
        <v>216</v>
      </c>
      <c r="AR589" s="175" t="s">
        <v>419</v>
      </c>
      <c r="AS589" s="192" t="s">
        <v>419</v>
      </c>
    </row>
    <row r="590" spans="1:45" ht="16.5" customHeight="1">
      <c r="A590" s="174">
        <v>46223</v>
      </c>
      <c r="B590" s="175" t="s">
        <v>216</v>
      </c>
      <c r="C590" s="175" t="s">
        <v>17571</v>
      </c>
      <c r="E590" s="175" t="s">
        <v>7068</v>
      </c>
      <c r="F590" s="175" t="s">
        <v>17574</v>
      </c>
      <c r="G590" s="175">
        <v>500</v>
      </c>
      <c r="H590" s="175" t="s">
        <v>621</v>
      </c>
      <c r="I590" s="175">
        <v>5</v>
      </c>
      <c r="L590" s="175" t="s">
        <v>642</v>
      </c>
      <c r="Q590" s="175" t="s">
        <v>642</v>
      </c>
      <c r="R590" s="175">
        <v>30</v>
      </c>
      <c r="S590" s="175">
        <v>0</v>
      </c>
      <c r="T590" s="175">
        <v>3352</v>
      </c>
      <c r="U590" s="175" t="s">
        <v>477</v>
      </c>
      <c r="V590" s="175">
        <v>48</v>
      </c>
      <c r="W590" s="175">
        <v>0</v>
      </c>
      <c r="X590" s="175">
        <v>6493</v>
      </c>
      <c r="Z590" s="175">
        <v>4.556962025316456</v>
      </c>
      <c r="AA590" s="175" t="s">
        <v>642</v>
      </c>
      <c r="AB590" s="175" t="s">
        <v>419</v>
      </c>
      <c r="AC590" s="175" t="s">
        <v>419</v>
      </c>
      <c r="AD590" s="175" t="s">
        <v>419</v>
      </c>
      <c r="AE590" s="175" t="s">
        <v>419</v>
      </c>
      <c r="AF590" s="175" t="s">
        <v>213</v>
      </c>
      <c r="AG590" s="175">
        <v>1</v>
      </c>
      <c r="AH590" s="175" t="s">
        <v>640</v>
      </c>
      <c r="AI590" s="175" t="s">
        <v>640</v>
      </c>
      <c r="AJ590" s="175" t="s">
        <v>640</v>
      </c>
      <c r="AK590" s="175" t="s">
        <v>640</v>
      </c>
      <c r="AL590" s="1159" t="s">
        <v>251</v>
      </c>
      <c r="AM590" s="175" t="s">
        <v>643</v>
      </c>
      <c r="AN590" s="175">
        <v>1.859</v>
      </c>
      <c r="AO590" s="175">
        <v>3.4</v>
      </c>
      <c r="AP590" s="175">
        <v>24</v>
      </c>
      <c r="AQ590" s="175">
        <v>216</v>
      </c>
      <c r="AR590" s="175">
        <v>4.4000000000000004</v>
      </c>
      <c r="AS590" s="192">
        <v>42403.046399999999</v>
      </c>
    </row>
    <row r="591" spans="1:45" ht="16.5" customHeight="1">
      <c r="A591" s="174">
        <v>46223</v>
      </c>
      <c r="B591" s="175" t="s">
        <v>217</v>
      </c>
      <c r="C591" s="175" t="s">
        <v>632</v>
      </c>
      <c r="E591" s="175" t="s">
        <v>419</v>
      </c>
      <c r="F591" s="175" t="s">
        <v>419</v>
      </c>
      <c r="G591" s="175" t="s">
        <v>419</v>
      </c>
      <c r="H591" s="175" t="s">
        <v>419</v>
      </c>
      <c r="I591" s="175" t="s">
        <v>419</v>
      </c>
      <c r="L591" s="175" t="s">
        <v>632</v>
      </c>
      <c r="P591" s="175" t="s">
        <v>632</v>
      </c>
      <c r="T591" s="175" t="s">
        <v>632</v>
      </c>
      <c r="X591" s="175" t="s">
        <v>632</v>
      </c>
      <c r="Z591" s="175" t="s">
        <v>419</v>
      </c>
      <c r="AA591" s="175" t="s">
        <v>632</v>
      </c>
      <c r="AB591" s="175" t="s">
        <v>419</v>
      </c>
      <c r="AC591" s="175" t="s">
        <v>419</v>
      </c>
      <c r="AD591" s="175" t="s">
        <v>419</v>
      </c>
      <c r="AE591" s="175" t="s">
        <v>419</v>
      </c>
      <c r="AF591" s="175" t="s">
        <v>213</v>
      </c>
      <c r="AG591" s="175">
        <v>1</v>
      </c>
      <c r="AH591" s="175" t="s">
        <v>640</v>
      </c>
      <c r="AI591" s="175" t="s">
        <v>640</v>
      </c>
      <c r="AJ591" s="175" t="s">
        <v>640</v>
      </c>
      <c r="AK591" s="175" t="s">
        <v>640</v>
      </c>
      <c r="AL591" s="1159" t="s">
        <v>419</v>
      </c>
      <c r="AM591" s="175" t="s">
        <v>419</v>
      </c>
      <c r="AN591" s="175" t="s">
        <v>419</v>
      </c>
      <c r="AO591" s="175" t="s">
        <v>419</v>
      </c>
      <c r="AP591" s="175">
        <v>24</v>
      </c>
      <c r="AQ591" s="175">
        <v>216</v>
      </c>
      <c r="AR591" s="175" t="s">
        <v>419</v>
      </c>
      <c r="AS591" s="192" t="s">
        <v>419</v>
      </c>
    </row>
    <row r="592" spans="1:45" ht="16.5" customHeight="1">
      <c r="A592" s="174">
        <v>46223</v>
      </c>
      <c r="B592" s="175" t="s">
        <v>218</v>
      </c>
      <c r="C592" s="175" t="s">
        <v>17221</v>
      </c>
      <c r="E592" s="175" t="s">
        <v>17237</v>
      </c>
      <c r="F592" s="175" t="s">
        <v>17229</v>
      </c>
      <c r="G592" s="175">
        <v>600</v>
      </c>
      <c r="H592" s="175" t="s">
        <v>15893</v>
      </c>
      <c r="I592" s="175">
        <v>5</v>
      </c>
      <c r="J592" s="175">
        <v>30</v>
      </c>
      <c r="K592" s="175">
        <v>0</v>
      </c>
      <c r="L592" s="175">
        <v>8855</v>
      </c>
      <c r="M592" s="175">
        <v>8803</v>
      </c>
      <c r="N592" s="175">
        <v>4</v>
      </c>
      <c r="O592" s="175">
        <v>0</v>
      </c>
      <c r="P592" s="175">
        <v>9030</v>
      </c>
      <c r="Q592" s="175">
        <v>9423</v>
      </c>
      <c r="R592" s="175">
        <v>6</v>
      </c>
      <c r="S592" s="175">
        <v>0</v>
      </c>
      <c r="T592" s="175">
        <v>9039</v>
      </c>
      <c r="U592" s="175">
        <v>9284</v>
      </c>
      <c r="V592" s="175">
        <v>14</v>
      </c>
      <c r="W592" s="175">
        <v>0</v>
      </c>
      <c r="X592" s="175">
        <v>8994</v>
      </c>
      <c r="Y592" s="175">
        <v>9350</v>
      </c>
      <c r="Z592" s="175">
        <v>2.8015564202334629</v>
      </c>
      <c r="AA592" s="175">
        <v>9</v>
      </c>
      <c r="AB592" s="175">
        <v>1</v>
      </c>
      <c r="AC592" s="175">
        <v>90.972499999999997</v>
      </c>
      <c r="AD592" s="175">
        <v>1.125</v>
      </c>
      <c r="AE592" s="175">
        <v>1.125</v>
      </c>
      <c r="AF592" s="175" t="s">
        <v>213</v>
      </c>
      <c r="AG592" s="175">
        <v>0.5</v>
      </c>
      <c r="AH592" s="175" t="s">
        <v>629</v>
      </c>
      <c r="AI592" s="175" t="s">
        <v>629</v>
      </c>
      <c r="AJ592" s="175" t="s">
        <v>725</v>
      </c>
      <c r="AK592" s="175" t="s">
        <v>725</v>
      </c>
      <c r="AL592" s="1159" t="s">
        <v>250</v>
      </c>
      <c r="AM592" s="175" t="s">
        <v>126</v>
      </c>
      <c r="AN592" s="175">
        <v>0.91100000000000003</v>
      </c>
      <c r="AO592" s="175">
        <v>1.7</v>
      </c>
      <c r="AP592" s="175">
        <v>24</v>
      </c>
      <c r="AQ592" s="175">
        <v>216</v>
      </c>
      <c r="AR592" s="175">
        <v>2.7</v>
      </c>
      <c r="AS592" s="192">
        <v>12751.084800000001</v>
      </c>
    </row>
    <row r="593" spans="1:45" ht="16.5" customHeight="1">
      <c r="A593" s="174">
        <v>46223</v>
      </c>
      <c r="B593" s="175" t="s">
        <v>219</v>
      </c>
      <c r="C593" s="175" t="s">
        <v>632</v>
      </c>
      <c r="E593" s="175" t="s">
        <v>419</v>
      </c>
      <c r="F593" s="175" t="s">
        <v>419</v>
      </c>
      <c r="G593" s="175" t="s">
        <v>419</v>
      </c>
      <c r="H593" s="175" t="s">
        <v>419</v>
      </c>
      <c r="I593" s="175" t="s">
        <v>419</v>
      </c>
      <c r="L593" s="175" t="s">
        <v>632</v>
      </c>
      <c r="P593" s="175" t="s">
        <v>632</v>
      </c>
      <c r="T593" s="175" t="s">
        <v>632</v>
      </c>
      <c r="X593" s="175" t="s">
        <v>632</v>
      </c>
      <c r="Z593" s="175" t="s">
        <v>419</v>
      </c>
      <c r="AA593" s="175" t="s">
        <v>632</v>
      </c>
      <c r="AB593" s="175" t="s">
        <v>419</v>
      </c>
      <c r="AC593" s="175" t="s">
        <v>419</v>
      </c>
      <c r="AD593" s="175" t="s">
        <v>419</v>
      </c>
      <c r="AE593" s="175" t="s">
        <v>419</v>
      </c>
      <c r="AF593" s="175" t="s">
        <v>213</v>
      </c>
      <c r="AG593" s="175">
        <v>1</v>
      </c>
      <c r="AH593" s="175" t="s">
        <v>640</v>
      </c>
      <c r="AI593" s="175" t="s">
        <v>640</v>
      </c>
      <c r="AJ593" s="175" t="s">
        <v>640</v>
      </c>
      <c r="AK593" s="175" t="s">
        <v>640</v>
      </c>
      <c r="AL593" s="1159" t="s">
        <v>419</v>
      </c>
      <c r="AM593" s="175" t="s">
        <v>419</v>
      </c>
      <c r="AN593" s="175" t="s">
        <v>419</v>
      </c>
      <c r="AO593" s="175" t="s">
        <v>419</v>
      </c>
      <c r="AP593" s="175">
        <v>24</v>
      </c>
      <c r="AQ593" s="175">
        <v>216</v>
      </c>
      <c r="AR593" s="175" t="s">
        <v>419</v>
      </c>
      <c r="AS593" s="192" t="s">
        <v>419</v>
      </c>
    </row>
    <row r="594" spans="1:45" ht="16.5" customHeight="1">
      <c r="A594" s="174">
        <v>46223</v>
      </c>
      <c r="B594" s="175" t="s">
        <v>220</v>
      </c>
      <c r="C594" s="175" t="s">
        <v>17430</v>
      </c>
      <c r="E594" s="175" t="s">
        <v>1891</v>
      </c>
      <c r="F594" s="175" t="s">
        <v>17433</v>
      </c>
      <c r="G594" s="175">
        <v>600</v>
      </c>
      <c r="H594" s="175" t="s">
        <v>474</v>
      </c>
      <c r="I594" s="175">
        <v>4</v>
      </c>
      <c r="J594" s="175">
        <v>30</v>
      </c>
      <c r="K594" s="175">
        <v>5</v>
      </c>
      <c r="L594" s="175">
        <v>8882</v>
      </c>
      <c r="M594" s="175">
        <v>9503</v>
      </c>
      <c r="N594" s="175">
        <v>3</v>
      </c>
      <c r="O594" s="175">
        <v>0</v>
      </c>
      <c r="P594" s="175">
        <v>8741</v>
      </c>
      <c r="Q594" s="175">
        <v>9560</v>
      </c>
      <c r="R594" s="175">
        <v>12</v>
      </c>
      <c r="S594" s="175">
        <v>0</v>
      </c>
      <c r="T594" s="175">
        <v>8655</v>
      </c>
      <c r="U594" s="175">
        <v>9358</v>
      </c>
      <c r="V594" s="175">
        <v>40</v>
      </c>
      <c r="W594" s="175">
        <v>0</v>
      </c>
      <c r="X594" s="175">
        <v>8719</v>
      </c>
      <c r="Y594" s="175">
        <v>9309</v>
      </c>
      <c r="Z594" s="175">
        <v>1.7625458996328029</v>
      </c>
      <c r="AA594" s="175">
        <v>28.333333333333332</v>
      </c>
      <c r="AB594" s="175">
        <v>0.98636151175213671</v>
      </c>
      <c r="AC594" s="175">
        <v>90.908749999999998</v>
      </c>
      <c r="AD594" s="175">
        <v>3.5416666666666665</v>
      </c>
      <c r="AE594" s="175">
        <v>3.3333333333333335</v>
      </c>
      <c r="AF594" s="175" t="s">
        <v>213</v>
      </c>
      <c r="AG594" s="175">
        <v>1</v>
      </c>
      <c r="AH594" s="175" t="s">
        <v>815</v>
      </c>
      <c r="AI594" s="175" t="s">
        <v>815</v>
      </c>
      <c r="AJ594" s="175" t="s">
        <v>814</v>
      </c>
      <c r="AK594" s="175" t="s">
        <v>814</v>
      </c>
      <c r="AL594" s="1159" t="s">
        <v>250</v>
      </c>
      <c r="AM594" s="175" t="s">
        <v>126</v>
      </c>
      <c r="AN594" s="175">
        <v>0.91100000000000003</v>
      </c>
      <c r="AO594" s="175">
        <v>0.7</v>
      </c>
      <c r="AP594" s="175">
        <v>24</v>
      </c>
      <c r="AQ594" s="175">
        <v>216</v>
      </c>
      <c r="AR594" s="175">
        <v>1.7</v>
      </c>
      <c r="AS594" s="192">
        <v>8028.4608000000007</v>
      </c>
    </row>
    <row r="595" spans="1:45" ht="16.5" customHeight="1">
      <c r="A595" s="174">
        <v>46223</v>
      </c>
      <c r="B595" s="175" t="s">
        <v>221</v>
      </c>
      <c r="C595" s="175" t="s">
        <v>632</v>
      </c>
      <c r="E595" s="175" t="s">
        <v>419</v>
      </c>
      <c r="F595" s="175" t="s">
        <v>419</v>
      </c>
      <c r="G595" s="175" t="s">
        <v>419</v>
      </c>
      <c r="H595" s="175" t="s">
        <v>419</v>
      </c>
      <c r="I595" s="175" t="s">
        <v>419</v>
      </c>
      <c r="L595" s="175" t="s">
        <v>632</v>
      </c>
      <c r="P595" s="175" t="s">
        <v>632</v>
      </c>
      <c r="T595" s="175" t="s">
        <v>632</v>
      </c>
      <c r="X595" s="175" t="s">
        <v>632</v>
      </c>
      <c r="Z595" s="175" t="s">
        <v>419</v>
      </c>
      <c r="AA595" s="175" t="s">
        <v>632</v>
      </c>
      <c r="AB595" s="175" t="s">
        <v>419</v>
      </c>
      <c r="AC595" s="175" t="s">
        <v>419</v>
      </c>
      <c r="AD595" s="175" t="s">
        <v>419</v>
      </c>
      <c r="AE595" s="175" t="s">
        <v>419</v>
      </c>
      <c r="AF595" s="175" t="s">
        <v>213</v>
      </c>
      <c r="AG595" s="175">
        <v>1</v>
      </c>
      <c r="AH595" s="175" t="s">
        <v>640</v>
      </c>
      <c r="AI595" s="175" t="s">
        <v>640</v>
      </c>
      <c r="AJ595" s="175" t="s">
        <v>640</v>
      </c>
      <c r="AK595" s="175" t="s">
        <v>640</v>
      </c>
      <c r="AL595" s="1159" t="s">
        <v>419</v>
      </c>
      <c r="AM595" s="175" t="s">
        <v>419</v>
      </c>
      <c r="AN595" s="175" t="s">
        <v>419</v>
      </c>
      <c r="AO595" s="175" t="s">
        <v>419</v>
      </c>
      <c r="AP595" s="175">
        <v>24</v>
      </c>
      <c r="AQ595" s="175">
        <v>216</v>
      </c>
      <c r="AR595" s="175" t="s">
        <v>419</v>
      </c>
      <c r="AS595" s="192" t="s">
        <v>419</v>
      </c>
    </row>
    <row r="596" spans="1:45" ht="16.5" customHeight="1">
      <c r="A596" s="174">
        <v>46223</v>
      </c>
      <c r="B596" s="175" t="s">
        <v>222</v>
      </c>
      <c r="C596" s="175" t="s">
        <v>632</v>
      </c>
      <c r="E596" s="175" t="s">
        <v>419</v>
      </c>
      <c r="F596" s="175" t="s">
        <v>419</v>
      </c>
      <c r="G596" s="175" t="s">
        <v>419</v>
      </c>
      <c r="H596" s="175" t="s">
        <v>419</v>
      </c>
      <c r="I596" s="175" t="s">
        <v>419</v>
      </c>
      <c r="L596" s="175" t="s">
        <v>632</v>
      </c>
      <c r="P596" s="175" t="s">
        <v>632</v>
      </c>
      <c r="T596" s="175" t="s">
        <v>632</v>
      </c>
      <c r="X596" s="175" t="s">
        <v>632</v>
      </c>
      <c r="Z596" s="175" t="s">
        <v>419</v>
      </c>
      <c r="AA596" s="175" t="s">
        <v>632</v>
      </c>
      <c r="AB596" s="175" t="s">
        <v>419</v>
      </c>
      <c r="AC596" s="175" t="s">
        <v>419</v>
      </c>
      <c r="AD596" s="175" t="s">
        <v>419</v>
      </c>
      <c r="AE596" s="175" t="s">
        <v>419</v>
      </c>
      <c r="AF596" s="175" t="s">
        <v>213</v>
      </c>
      <c r="AG596" s="175">
        <v>1</v>
      </c>
      <c r="AH596" s="175" t="s">
        <v>640</v>
      </c>
      <c r="AI596" s="175" t="s">
        <v>640</v>
      </c>
      <c r="AJ596" s="175" t="s">
        <v>640</v>
      </c>
      <c r="AK596" s="175" t="s">
        <v>640</v>
      </c>
      <c r="AL596" s="1159" t="s">
        <v>419</v>
      </c>
      <c r="AM596" s="175" t="s">
        <v>419</v>
      </c>
      <c r="AN596" s="175" t="s">
        <v>419</v>
      </c>
      <c r="AO596" s="175" t="s">
        <v>419</v>
      </c>
      <c r="AP596" s="175">
        <v>24</v>
      </c>
      <c r="AQ596" s="175">
        <v>216</v>
      </c>
      <c r="AR596" s="175" t="s">
        <v>419</v>
      </c>
      <c r="AS596" s="192" t="s">
        <v>419</v>
      </c>
    </row>
    <row r="597" spans="1:45" ht="16.5" customHeight="1">
      <c r="A597" s="174">
        <v>46223</v>
      </c>
      <c r="B597" s="175" t="s">
        <v>223</v>
      </c>
      <c r="C597" s="175" t="s">
        <v>17263</v>
      </c>
      <c r="D597" s="175" t="s">
        <v>16748</v>
      </c>
      <c r="E597" s="175" t="s">
        <v>17156</v>
      </c>
      <c r="F597" s="175" t="s">
        <v>17264</v>
      </c>
      <c r="G597" s="175">
        <v>600</v>
      </c>
      <c r="H597" s="175" t="s">
        <v>456</v>
      </c>
      <c r="I597" s="175">
        <v>3</v>
      </c>
      <c r="J597" s="175">
        <v>22</v>
      </c>
      <c r="K597" s="175">
        <v>0</v>
      </c>
      <c r="L597" s="175">
        <v>6696</v>
      </c>
      <c r="N597" s="175">
        <v>13</v>
      </c>
      <c r="O597" s="175">
        <v>0</v>
      </c>
      <c r="P597" s="175">
        <v>7711</v>
      </c>
      <c r="V597" s="175">
        <v>18</v>
      </c>
      <c r="W597" s="175">
        <v>0</v>
      </c>
      <c r="X597" s="175">
        <v>7716</v>
      </c>
      <c r="Z597" s="175">
        <v>2.4161073825503356</v>
      </c>
      <c r="AA597" s="175">
        <v>35.333333333333336</v>
      </c>
      <c r="AB597" s="175">
        <v>1</v>
      </c>
      <c r="AC597" s="175">
        <v>73.743333333333325</v>
      </c>
      <c r="AD597" s="175">
        <v>4.416666666666667</v>
      </c>
      <c r="AE597" s="175">
        <v>4.416666666666667</v>
      </c>
      <c r="AF597" s="175" t="s">
        <v>213</v>
      </c>
      <c r="AG597" s="175">
        <v>2</v>
      </c>
      <c r="AH597" s="175" t="s">
        <v>629</v>
      </c>
      <c r="AI597" s="175" t="s">
        <v>629</v>
      </c>
      <c r="AJ597" s="175" t="s">
        <v>725</v>
      </c>
      <c r="AK597" s="175" t="s">
        <v>725</v>
      </c>
      <c r="AL597" s="1159" t="s">
        <v>250</v>
      </c>
      <c r="AM597" s="175" t="s">
        <v>126</v>
      </c>
      <c r="AN597" s="175">
        <v>0.91100000000000003</v>
      </c>
      <c r="AO597" s="175">
        <v>0.8</v>
      </c>
      <c r="AP597" s="175">
        <v>24</v>
      </c>
      <c r="AQ597" s="175">
        <v>216</v>
      </c>
      <c r="AR597" s="175">
        <v>1.8</v>
      </c>
      <c r="AS597" s="192">
        <v>8500.7232000000004</v>
      </c>
    </row>
    <row r="598" spans="1:45" ht="16.5" customHeight="1">
      <c r="A598" s="174">
        <v>46223</v>
      </c>
      <c r="B598" s="175" t="s">
        <v>223</v>
      </c>
      <c r="C598" s="175" t="s">
        <v>17431</v>
      </c>
      <c r="E598" s="175" t="s">
        <v>15035</v>
      </c>
      <c r="F598" s="175" t="s">
        <v>16860</v>
      </c>
      <c r="G598" s="175">
        <v>550</v>
      </c>
      <c r="H598" s="175" t="s">
        <v>622</v>
      </c>
      <c r="I598" s="175">
        <v>5</v>
      </c>
      <c r="L598" s="175" t="s">
        <v>127</v>
      </c>
      <c r="Q598" s="175" t="s">
        <v>127</v>
      </c>
      <c r="U598" s="175" t="s">
        <v>127</v>
      </c>
      <c r="Y598" s="175" t="s">
        <v>127</v>
      </c>
      <c r="Z598" s="175">
        <v>1.3345690454124188</v>
      </c>
      <c r="AA598" s="175" t="s">
        <v>127</v>
      </c>
      <c r="AB598" s="175" t="s">
        <v>419</v>
      </c>
      <c r="AC598" s="175" t="s">
        <v>419</v>
      </c>
      <c r="AD598" s="175" t="s">
        <v>419</v>
      </c>
      <c r="AE598" s="175" t="s">
        <v>419</v>
      </c>
      <c r="AF598" s="175" t="s">
        <v>213</v>
      </c>
      <c r="AG598" s="175">
        <v>2</v>
      </c>
      <c r="AH598" s="175" t="s">
        <v>629</v>
      </c>
      <c r="AI598" s="175" t="s">
        <v>629</v>
      </c>
      <c r="AJ598" s="175" t="s">
        <v>725</v>
      </c>
      <c r="AK598" s="175" t="s">
        <v>725</v>
      </c>
      <c r="AM598" s="175" t="s">
        <v>126</v>
      </c>
      <c r="AN598" s="175">
        <v>0.91100000000000003</v>
      </c>
      <c r="AO598" s="175">
        <v>0.8</v>
      </c>
      <c r="AP598" s="175">
        <v>24</v>
      </c>
      <c r="AQ598" s="175">
        <v>216</v>
      </c>
      <c r="AR598" s="175">
        <v>1.8</v>
      </c>
      <c r="AS598" s="192">
        <v>8500.7232000000004</v>
      </c>
    </row>
    <row r="599" spans="1:45" ht="16.5" customHeight="1">
      <c r="A599" s="174">
        <v>46223</v>
      </c>
      <c r="B599" s="175" t="s">
        <v>224</v>
      </c>
      <c r="C599" s="175" t="s">
        <v>632</v>
      </c>
      <c r="E599" s="175" t="s">
        <v>419</v>
      </c>
      <c r="F599" s="175" t="s">
        <v>419</v>
      </c>
      <c r="G599" s="175" t="s">
        <v>419</v>
      </c>
      <c r="H599" s="175" t="s">
        <v>419</v>
      </c>
      <c r="I599" s="175" t="s">
        <v>419</v>
      </c>
      <c r="L599" s="175" t="s">
        <v>632</v>
      </c>
      <c r="P599" s="175" t="s">
        <v>632</v>
      </c>
      <c r="T599" s="175" t="s">
        <v>632</v>
      </c>
      <c r="X599" s="175" t="s">
        <v>632</v>
      </c>
      <c r="Z599" s="175" t="s">
        <v>419</v>
      </c>
      <c r="AA599" s="175" t="s">
        <v>632</v>
      </c>
      <c r="AB599" s="175" t="s">
        <v>419</v>
      </c>
      <c r="AC599" s="175" t="s">
        <v>419</v>
      </c>
      <c r="AD599" s="175" t="s">
        <v>419</v>
      </c>
      <c r="AE599" s="175" t="s">
        <v>419</v>
      </c>
      <c r="AF599" s="175" t="s">
        <v>213</v>
      </c>
      <c r="AG599" s="175">
        <v>1</v>
      </c>
      <c r="AH599" s="175" t="s">
        <v>640</v>
      </c>
      <c r="AI599" s="175" t="s">
        <v>640</v>
      </c>
      <c r="AJ599" s="175" t="s">
        <v>640</v>
      </c>
      <c r="AK599" s="175" t="s">
        <v>640</v>
      </c>
      <c r="AL599" s="1159" t="s">
        <v>419</v>
      </c>
      <c r="AM599" s="175" t="s">
        <v>419</v>
      </c>
      <c r="AN599" s="175" t="s">
        <v>419</v>
      </c>
      <c r="AO599" s="175" t="s">
        <v>419</v>
      </c>
      <c r="AP599" s="175">
        <v>24</v>
      </c>
      <c r="AQ599" s="175">
        <v>216</v>
      </c>
      <c r="AR599" s="175" t="s">
        <v>419</v>
      </c>
      <c r="AS599" s="192" t="s">
        <v>419</v>
      </c>
    </row>
    <row r="600" spans="1:45" ht="16.5" customHeight="1">
      <c r="A600" s="174">
        <v>46223</v>
      </c>
      <c r="B600" s="175" t="s">
        <v>225</v>
      </c>
      <c r="C600" s="175" t="s">
        <v>17577</v>
      </c>
      <c r="E600" s="175" t="s">
        <v>17578</v>
      </c>
      <c r="F600" s="175" t="s">
        <v>17579</v>
      </c>
      <c r="G600" s="175">
        <v>670</v>
      </c>
      <c r="H600" s="175" t="s">
        <v>878</v>
      </c>
      <c r="I600" s="175">
        <v>5</v>
      </c>
      <c r="L600" s="175" t="s">
        <v>642</v>
      </c>
      <c r="P600" s="175" t="s">
        <v>642</v>
      </c>
      <c r="R600" s="175">
        <v>5</v>
      </c>
      <c r="S600" s="175">
        <v>0</v>
      </c>
      <c r="T600" s="175">
        <v>3324</v>
      </c>
      <c r="U600" s="175">
        <v>3804</v>
      </c>
      <c r="V600" s="175">
        <v>38</v>
      </c>
      <c r="W600" s="175">
        <v>0</v>
      </c>
      <c r="X600" s="175">
        <v>8610</v>
      </c>
      <c r="Y600" s="175">
        <v>8620</v>
      </c>
      <c r="Z600" s="175">
        <v>3.1101511879049677</v>
      </c>
      <c r="AA600" s="175" t="s">
        <v>642</v>
      </c>
      <c r="AB600" s="175" t="s">
        <v>419</v>
      </c>
      <c r="AC600" s="175" t="s">
        <v>419</v>
      </c>
      <c r="AD600" s="175" t="s">
        <v>419</v>
      </c>
      <c r="AE600" s="175" t="s">
        <v>419</v>
      </c>
      <c r="AF600" s="175" t="s">
        <v>213</v>
      </c>
      <c r="AG600" s="175">
        <v>1</v>
      </c>
      <c r="AH600" s="175" t="s">
        <v>640</v>
      </c>
      <c r="AI600" s="175" t="s">
        <v>640</v>
      </c>
      <c r="AJ600" s="175" t="s">
        <v>630</v>
      </c>
      <c r="AK600" s="175" t="s">
        <v>630</v>
      </c>
      <c r="AL600" s="1159" t="s">
        <v>250</v>
      </c>
      <c r="AM600" s="175" t="s">
        <v>126</v>
      </c>
      <c r="AN600" s="175">
        <v>0.91100000000000003</v>
      </c>
      <c r="AO600" s="175">
        <v>0.7</v>
      </c>
      <c r="AP600" s="175">
        <v>24</v>
      </c>
      <c r="AQ600" s="175">
        <v>216</v>
      </c>
      <c r="AR600" s="175">
        <v>1.7</v>
      </c>
      <c r="AS600" s="192">
        <v>8028.4608000000007</v>
      </c>
    </row>
    <row r="601" spans="1:45" ht="16.5" customHeight="1">
      <c r="A601" s="174">
        <v>46223</v>
      </c>
      <c r="B601" s="175" t="s">
        <v>226</v>
      </c>
      <c r="C601" s="175" t="s">
        <v>632</v>
      </c>
      <c r="E601" s="175" t="s">
        <v>419</v>
      </c>
      <c r="F601" s="175" t="s">
        <v>419</v>
      </c>
      <c r="G601" s="175" t="s">
        <v>419</v>
      </c>
      <c r="H601" s="175" t="s">
        <v>419</v>
      </c>
      <c r="I601" s="175" t="s">
        <v>419</v>
      </c>
      <c r="L601" s="175" t="s">
        <v>632</v>
      </c>
      <c r="P601" s="175" t="s">
        <v>632</v>
      </c>
      <c r="T601" s="175" t="s">
        <v>632</v>
      </c>
      <c r="X601" s="175" t="s">
        <v>632</v>
      </c>
      <c r="Z601" s="175" t="s">
        <v>419</v>
      </c>
      <c r="AA601" s="175" t="s">
        <v>632</v>
      </c>
      <c r="AB601" s="175" t="s">
        <v>419</v>
      </c>
      <c r="AC601" s="175" t="s">
        <v>419</v>
      </c>
      <c r="AD601" s="175" t="s">
        <v>419</v>
      </c>
      <c r="AE601" s="175" t="s">
        <v>419</v>
      </c>
      <c r="AF601" s="175" t="s">
        <v>213</v>
      </c>
      <c r="AG601" s="175">
        <v>1</v>
      </c>
      <c r="AH601" s="175" t="s">
        <v>640</v>
      </c>
      <c r="AI601" s="175" t="s">
        <v>640</v>
      </c>
      <c r="AJ601" s="175" t="s">
        <v>640</v>
      </c>
      <c r="AK601" s="175" t="s">
        <v>640</v>
      </c>
      <c r="AL601" s="1159" t="s">
        <v>419</v>
      </c>
      <c r="AM601" s="175" t="s">
        <v>419</v>
      </c>
      <c r="AN601" s="175" t="s">
        <v>419</v>
      </c>
      <c r="AO601" s="175" t="s">
        <v>419</v>
      </c>
      <c r="AP601" s="175">
        <v>24</v>
      </c>
      <c r="AQ601" s="175">
        <v>216</v>
      </c>
      <c r="AR601" s="175" t="s">
        <v>419</v>
      </c>
      <c r="AS601" s="192" t="s">
        <v>419</v>
      </c>
    </row>
    <row r="602" spans="1:45" ht="16.5" customHeight="1">
      <c r="A602" s="174">
        <v>46223</v>
      </c>
      <c r="B602" s="175" t="s">
        <v>227</v>
      </c>
      <c r="C602" s="175" t="s">
        <v>17575</v>
      </c>
      <c r="E602" s="175" t="s">
        <v>17576</v>
      </c>
      <c r="F602" s="175" t="s">
        <v>16707</v>
      </c>
      <c r="G602" s="175">
        <v>700</v>
      </c>
      <c r="H602" s="175" t="s">
        <v>813</v>
      </c>
      <c r="I602" s="175">
        <v>5</v>
      </c>
      <c r="L602" s="175" t="s">
        <v>642</v>
      </c>
      <c r="P602" s="175" t="s">
        <v>642</v>
      </c>
      <c r="R602" s="175">
        <v>14</v>
      </c>
      <c r="S602" s="175">
        <v>0</v>
      </c>
      <c r="T602" s="175">
        <v>4312</v>
      </c>
      <c r="U602" s="175">
        <v>3316</v>
      </c>
      <c r="V602" s="175">
        <v>26</v>
      </c>
      <c r="W602" s="175">
        <v>0</v>
      </c>
      <c r="X602" s="175">
        <v>8650</v>
      </c>
      <c r="Y602" s="175">
        <v>8708</v>
      </c>
      <c r="Z602" s="175">
        <v>2.2187981510015407</v>
      </c>
      <c r="AA602" s="175" t="s">
        <v>642</v>
      </c>
      <c r="AB602" s="175" t="s">
        <v>419</v>
      </c>
      <c r="AC602" s="175" t="s">
        <v>419</v>
      </c>
      <c r="AD602" s="175" t="s">
        <v>419</v>
      </c>
      <c r="AE602" s="175" t="s">
        <v>419</v>
      </c>
      <c r="AF602" s="175" t="s">
        <v>213</v>
      </c>
      <c r="AG602" s="175">
        <v>1</v>
      </c>
      <c r="AH602" s="175" t="s">
        <v>640</v>
      </c>
      <c r="AI602" s="175" t="s">
        <v>640</v>
      </c>
      <c r="AJ602" s="175" t="s">
        <v>630</v>
      </c>
      <c r="AK602" s="175" t="s">
        <v>630</v>
      </c>
      <c r="AL602" s="1159" t="s">
        <v>250</v>
      </c>
      <c r="AM602" s="175" t="s">
        <v>626</v>
      </c>
      <c r="AN602" s="175">
        <v>0.66900000000000004</v>
      </c>
      <c r="AO602" s="175">
        <v>2.4</v>
      </c>
      <c r="AP602" s="175">
        <v>24</v>
      </c>
      <c r="AQ602" s="175">
        <v>216</v>
      </c>
      <c r="AR602" s="175">
        <v>3.4</v>
      </c>
      <c r="AS602" s="192">
        <v>11791.526400000002</v>
      </c>
    </row>
    <row r="603" spans="1:45" ht="16.5" customHeight="1">
      <c r="A603" s="174">
        <v>46223</v>
      </c>
      <c r="B603" s="175" t="s">
        <v>228</v>
      </c>
      <c r="C603" s="175" t="s">
        <v>17293</v>
      </c>
      <c r="E603" s="175" t="s">
        <v>7055</v>
      </c>
      <c r="F603" s="175" t="s">
        <v>17294</v>
      </c>
      <c r="G603" s="175">
        <v>550</v>
      </c>
      <c r="H603" s="175" t="s">
        <v>889</v>
      </c>
      <c r="I603" s="175">
        <v>5.5</v>
      </c>
      <c r="L603" s="175" t="s">
        <v>127</v>
      </c>
      <c r="M603" s="175" t="s">
        <v>632</v>
      </c>
      <c r="P603" s="175" t="s">
        <v>627</v>
      </c>
      <c r="Q603" s="175" t="s">
        <v>632</v>
      </c>
      <c r="T603" s="175" t="s">
        <v>632</v>
      </c>
      <c r="X603" s="175" t="s">
        <v>632</v>
      </c>
      <c r="Z603" s="175">
        <v>4.6905537459283391</v>
      </c>
      <c r="AA603" s="175" t="s">
        <v>127</v>
      </c>
      <c r="AB603" s="175" t="s">
        <v>419</v>
      </c>
      <c r="AC603" s="175" t="s">
        <v>419</v>
      </c>
      <c r="AD603" s="175" t="s">
        <v>419</v>
      </c>
      <c r="AE603" s="175" t="s">
        <v>419</v>
      </c>
      <c r="AF603" s="175" t="s">
        <v>213</v>
      </c>
      <c r="AG603" s="175">
        <v>1</v>
      </c>
      <c r="AH603" s="175" t="s">
        <v>629</v>
      </c>
      <c r="AI603" s="175" t="s">
        <v>629</v>
      </c>
      <c r="AJ603" s="175" t="s">
        <v>725</v>
      </c>
      <c r="AK603" s="175" t="s">
        <v>640</v>
      </c>
      <c r="AL603" s="1159" t="s">
        <v>250</v>
      </c>
      <c r="AM603" s="175" t="s">
        <v>460</v>
      </c>
      <c r="AN603" s="175">
        <v>1.1890000000000001</v>
      </c>
      <c r="AO603" s="175">
        <v>1.9</v>
      </c>
      <c r="AP603" s="175">
        <v>24</v>
      </c>
      <c r="AQ603" s="175">
        <v>216</v>
      </c>
      <c r="AR603" s="175">
        <v>2.9</v>
      </c>
      <c r="AS603" s="192">
        <v>17874.950400000002</v>
      </c>
    </row>
    <row r="604" spans="1:45" ht="16.5" customHeight="1">
      <c r="A604" s="174">
        <v>46223</v>
      </c>
      <c r="B604" s="175" t="s">
        <v>229</v>
      </c>
      <c r="C604" s="175" t="s">
        <v>17503</v>
      </c>
      <c r="E604" s="175" t="s">
        <v>467</v>
      </c>
      <c r="F604" s="175" t="s">
        <v>17552</v>
      </c>
      <c r="G604" s="175">
        <v>650</v>
      </c>
      <c r="H604" s="175" t="s">
        <v>618</v>
      </c>
      <c r="I604" s="175">
        <v>5</v>
      </c>
      <c r="J604" s="175">
        <v>40</v>
      </c>
      <c r="K604" s="175">
        <v>0</v>
      </c>
      <c r="L604" s="175">
        <v>6882</v>
      </c>
      <c r="M604" s="175">
        <v>7781</v>
      </c>
      <c r="N604" s="175">
        <v>14</v>
      </c>
      <c r="O604" s="175">
        <v>0</v>
      </c>
      <c r="P604" s="175">
        <v>7449</v>
      </c>
      <c r="Q604" s="175">
        <v>8474</v>
      </c>
      <c r="R604" s="175">
        <v>14</v>
      </c>
      <c r="S604" s="175">
        <v>0</v>
      </c>
      <c r="T604" s="175">
        <v>7321</v>
      </c>
      <c r="U604" s="175">
        <v>8447</v>
      </c>
      <c r="V604" s="175">
        <v>46</v>
      </c>
      <c r="W604" s="175">
        <v>1</v>
      </c>
      <c r="X604" s="175">
        <v>7089</v>
      </c>
      <c r="Y604" s="175">
        <v>8655</v>
      </c>
      <c r="Z604" s="175">
        <v>5.9259259259259256</v>
      </c>
      <c r="AA604" s="175">
        <v>19</v>
      </c>
      <c r="AB604" s="175">
        <v>0.99918870192307696</v>
      </c>
      <c r="AC604" s="175">
        <v>77.622500000000002</v>
      </c>
      <c r="AD604" s="175">
        <v>2.375</v>
      </c>
      <c r="AE604" s="175">
        <v>2.3541666666666665</v>
      </c>
      <c r="AF604" s="175" t="s">
        <v>213</v>
      </c>
      <c r="AG604" s="175">
        <v>0.5</v>
      </c>
      <c r="AH604" s="175" t="s">
        <v>629</v>
      </c>
      <c r="AI604" s="175" t="s">
        <v>629</v>
      </c>
      <c r="AJ604" s="175" t="s">
        <v>725</v>
      </c>
      <c r="AK604" s="175" t="s">
        <v>725</v>
      </c>
      <c r="AL604" s="1159" t="s">
        <v>251</v>
      </c>
      <c r="AM604" s="175" t="s">
        <v>460</v>
      </c>
      <c r="AN604" s="175">
        <v>1.1890000000000001</v>
      </c>
      <c r="AO604" s="175">
        <v>2.6</v>
      </c>
      <c r="AP604" s="175">
        <v>24</v>
      </c>
      <c r="AQ604" s="175">
        <v>216</v>
      </c>
      <c r="AR604" s="175">
        <v>3.6</v>
      </c>
      <c r="AS604" s="192">
        <v>22189.5936</v>
      </c>
    </row>
    <row r="605" spans="1:45" ht="16.5" customHeight="1">
      <c r="A605" s="174">
        <v>46223</v>
      </c>
      <c r="B605" s="175" t="s">
        <v>230</v>
      </c>
      <c r="C605" s="175" t="s">
        <v>632</v>
      </c>
      <c r="E605" s="175" t="s">
        <v>419</v>
      </c>
      <c r="F605" s="175" t="s">
        <v>419</v>
      </c>
      <c r="G605" s="175" t="s">
        <v>419</v>
      </c>
      <c r="H605" s="175" t="s">
        <v>419</v>
      </c>
      <c r="I605" s="175" t="s">
        <v>419</v>
      </c>
      <c r="L605" s="175" t="s">
        <v>632</v>
      </c>
      <c r="P605" s="175" t="s">
        <v>632</v>
      </c>
      <c r="T605" s="175" t="s">
        <v>632</v>
      </c>
      <c r="X605" s="175" t="s">
        <v>632</v>
      </c>
      <c r="Z605" s="175" t="s">
        <v>419</v>
      </c>
      <c r="AA605" s="175" t="s">
        <v>632</v>
      </c>
      <c r="AB605" s="175" t="s">
        <v>419</v>
      </c>
      <c r="AC605" s="175" t="s">
        <v>419</v>
      </c>
      <c r="AD605" s="175" t="s">
        <v>419</v>
      </c>
      <c r="AE605" s="175" t="s">
        <v>419</v>
      </c>
      <c r="AF605" s="175" t="s">
        <v>213</v>
      </c>
      <c r="AG605" s="175">
        <v>1</v>
      </c>
      <c r="AH605" s="175" t="s">
        <v>640</v>
      </c>
      <c r="AI605" s="175" t="s">
        <v>640</v>
      </c>
      <c r="AJ605" s="175" t="s">
        <v>640</v>
      </c>
      <c r="AK605" s="175" t="s">
        <v>640</v>
      </c>
      <c r="AL605" s="1159" t="s">
        <v>419</v>
      </c>
      <c r="AM605" s="175" t="s">
        <v>419</v>
      </c>
      <c r="AN605" s="175" t="s">
        <v>419</v>
      </c>
      <c r="AO605" s="175" t="s">
        <v>419</v>
      </c>
      <c r="AP605" s="175">
        <v>24</v>
      </c>
      <c r="AQ605" s="175">
        <v>216</v>
      </c>
      <c r="AR605" s="175" t="s">
        <v>419</v>
      </c>
      <c r="AS605" s="192" t="s">
        <v>419</v>
      </c>
    </row>
    <row r="606" spans="1:45" ht="16.5" customHeight="1">
      <c r="A606" s="174">
        <v>46223</v>
      </c>
      <c r="B606" s="175" t="s">
        <v>231</v>
      </c>
      <c r="C606" s="175" t="s">
        <v>632</v>
      </c>
      <c r="E606" s="175" t="s">
        <v>419</v>
      </c>
      <c r="F606" s="175" t="s">
        <v>419</v>
      </c>
      <c r="G606" s="175" t="s">
        <v>419</v>
      </c>
      <c r="H606" s="175" t="s">
        <v>419</v>
      </c>
      <c r="I606" s="175" t="s">
        <v>419</v>
      </c>
      <c r="L606" s="175" t="s">
        <v>632</v>
      </c>
      <c r="P606" s="175" t="s">
        <v>632</v>
      </c>
      <c r="T606" s="175" t="s">
        <v>632</v>
      </c>
      <c r="X606" s="175" t="s">
        <v>632</v>
      </c>
      <c r="Z606" s="175" t="s">
        <v>419</v>
      </c>
      <c r="AA606" s="175" t="s">
        <v>632</v>
      </c>
      <c r="AB606" s="175" t="s">
        <v>419</v>
      </c>
      <c r="AC606" s="175" t="s">
        <v>419</v>
      </c>
      <c r="AD606" s="175" t="s">
        <v>419</v>
      </c>
      <c r="AE606" s="175" t="s">
        <v>419</v>
      </c>
      <c r="AF606" s="175" t="s">
        <v>232</v>
      </c>
      <c r="AG606" s="175">
        <v>1</v>
      </c>
      <c r="AH606" s="175" t="s">
        <v>640</v>
      </c>
      <c r="AI606" s="175" t="s">
        <v>640</v>
      </c>
      <c r="AJ606" s="175" t="s">
        <v>640</v>
      </c>
      <c r="AK606" s="175" t="s">
        <v>640</v>
      </c>
      <c r="AL606" s="1159" t="s">
        <v>419</v>
      </c>
      <c r="AM606" s="175" t="s">
        <v>419</v>
      </c>
      <c r="AN606" s="175" t="s">
        <v>419</v>
      </c>
      <c r="AO606" s="175" t="s">
        <v>419</v>
      </c>
      <c r="AP606" s="175">
        <v>24</v>
      </c>
      <c r="AQ606" s="175">
        <v>216</v>
      </c>
      <c r="AR606" s="175" t="s">
        <v>419</v>
      </c>
      <c r="AS606" s="192" t="s">
        <v>419</v>
      </c>
    </row>
    <row r="607" spans="1:45" ht="16.5" customHeight="1">
      <c r="A607" s="174">
        <v>46223</v>
      </c>
      <c r="B607" s="175" t="s">
        <v>233</v>
      </c>
      <c r="C607" s="175" t="s">
        <v>632</v>
      </c>
      <c r="E607" s="175" t="s">
        <v>419</v>
      </c>
      <c r="F607" s="175" t="s">
        <v>419</v>
      </c>
      <c r="G607" s="175" t="s">
        <v>419</v>
      </c>
      <c r="H607" s="175" t="s">
        <v>419</v>
      </c>
      <c r="I607" s="175" t="s">
        <v>419</v>
      </c>
      <c r="L607" s="175" t="s">
        <v>632</v>
      </c>
      <c r="P607" s="175" t="s">
        <v>632</v>
      </c>
      <c r="T607" s="175" t="s">
        <v>632</v>
      </c>
      <c r="X607" s="175" t="s">
        <v>632</v>
      </c>
      <c r="Z607" s="175" t="s">
        <v>419</v>
      </c>
      <c r="AA607" s="175" t="s">
        <v>632</v>
      </c>
      <c r="AB607" s="175" t="s">
        <v>419</v>
      </c>
      <c r="AC607" s="175" t="s">
        <v>419</v>
      </c>
      <c r="AD607" s="175" t="s">
        <v>419</v>
      </c>
      <c r="AE607" s="175" t="s">
        <v>419</v>
      </c>
      <c r="AF607" s="175" t="s">
        <v>232</v>
      </c>
      <c r="AG607" s="175">
        <v>1</v>
      </c>
      <c r="AH607" s="175" t="s">
        <v>640</v>
      </c>
      <c r="AI607" s="175" t="s">
        <v>640</v>
      </c>
      <c r="AJ607" s="175" t="s">
        <v>640</v>
      </c>
      <c r="AK607" s="175" t="s">
        <v>640</v>
      </c>
      <c r="AL607" s="1159" t="s">
        <v>419</v>
      </c>
      <c r="AM607" s="175" t="s">
        <v>419</v>
      </c>
      <c r="AN607" s="175" t="s">
        <v>419</v>
      </c>
      <c r="AO607" s="175" t="s">
        <v>419</v>
      </c>
      <c r="AP607" s="175">
        <v>24</v>
      </c>
      <c r="AQ607" s="175">
        <v>216</v>
      </c>
      <c r="AR607" s="175" t="s">
        <v>419</v>
      </c>
      <c r="AS607" s="192" t="s">
        <v>419</v>
      </c>
    </row>
    <row r="608" spans="1:45" ht="16.5" customHeight="1">
      <c r="A608" s="174">
        <v>46223</v>
      </c>
      <c r="B608" s="175" t="s">
        <v>234</v>
      </c>
      <c r="C608" s="175" t="s">
        <v>632</v>
      </c>
      <c r="E608" s="175" t="s">
        <v>419</v>
      </c>
      <c r="F608" s="175" t="s">
        <v>419</v>
      </c>
      <c r="G608" s="175" t="s">
        <v>419</v>
      </c>
      <c r="H608" s="175" t="s">
        <v>419</v>
      </c>
      <c r="I608" s="175" t="s">
        <v>419</v>
      </c>
      <c r="L608" s="175" t="s">
        <v>632</v>
      </c>
      <c r="P608" s="175" t="s">
        <v>632</v>
      </c>
      <c r="T608" s="175" t="s">
        <v>632</v>
      </c>
      <c r="X608" s="175" t="s">
        <v>632</v>
      </c>
      <c r="Z608" s="175" t="s">
        <v>419</v>
      </c>
      <c r="AA608" s="175" t="s">
        <v>632</v>
      </c>
      <c r="AB608" s="175" t="s">
        <v>419</v>
      </c>
      <c r="AC608" s="175" t="s">
        <v>419</v>
      </c>
      <c r="AD608" s="175" t="s">
        <v>419</v>
      </c>
      <c r="AE608" s="175" t="s">
        <v>419</v>
      </c>
      <c r="AF608" s="175" t="s">
        <v>232</v>
      </c>
      <c r="AG608" s="175">
        <v>1</v>
      </c>
      <c r="AH608" s="175" t="s">
        <v>640</v>
      </c>
      <c r="AI608" s="175" t="s">
        <v>640</v>
      </c>
      <c r="AJ608" s="175" t="s">
        <v>640</v>
      </c>
      <c r="AK608" s="175" t="s">
        <v>640</v>
      </c>
      <c r="AL608" s="1159" t="s">
        <v>419</v>
      </c>
      <c r="AM608" s="175" t="s">
        <v>419</v>
      </c>
      <c r="AN608" s="175" t="s">
        <v>419</v>
      </c>
      <c r="AO608" s="175" t="s">
        <v>419</v>
      </c>
      <c r="AP608" s="175">
        <v>24</v>
      </c>
      <c r="AQ608" s="175">
        <v>216</v>
      </c>
      <c r="AR608" s="175" t="s">
        <v>419</v>
      </c>
      <c r="AS608" s="192" t="s">
        <v>419</v>
      </c>
    </row>
    <row r="609" spans="1:45" ht="16.5" customHeight="1">
      <c r="A609" s="174">
        <v>46223</v>
      </c>
      <c r="B609" s="175" t="s">
        <v>235</v>
      </c>
      <c r="C609" s="175" t="s">
        <v>17550</v>
      </c>
      <c r="D609" s="175" t="s">
        <v>633</v>
      </c>
      <c r="E609" s="175" t="s">
        <v>16719</v>
      </c>
      <c r="F609" s="175" t="s">
        <v>17249</v>
      </c>
      <c r="G609" s="175">
        <v>600</v>
      </c>
      <c r="H609" s="175" t="s">
        <v>712</v>
      </c>
      <c r="I609" s="175">
        <v>5.5</v>
      </c>
      <c r="J609" s="175">
        <v>33</v>
      </c>
      <c r="K609" s="175">
        <v>1</v>
      </c>
      <c r="L609" s="175">
        <v>8800</v>
      </c>
      <c r="M609" s="175" t="s">
        <v>642</v>
      </c>
      <c r="N609" s="175">
        <v>11</v>
      </c>
      <c r="O609" s="175">
        <v>0</v>
      </c>
      <c r="P609" s="175">
        <v>8330</v>
      </c>
      <c r="Q609" s="175" t="s">
        <v>642</v>
      </c>
      <c r="R609" s="175">
        <v>0</v>
      </c>
      <c r="S609" s="175">
        <v>0</v>
      </c>
      <c r="T609" s="175">
        <v>7500</v>
      </c>
      <c r="U609" s="175">
        <v>9440</v>
      </c>
      <c r="V609" s="175">
        <v>50</v>
      </c>
      <c r="W609" s="175">
        <v>0</v>
      </c>
      <c r="X609" s="175">
        <v>8700</v>
      </c>
      <c r="Y609" s="175">
        <v>9170</v>
      </c>
      <c r="Z609" s="175">
        <v>5.034965034965035</v>
      </c>
      <c r="AA609" s="175">
        <v>31.333333333333332</v>
      </c>
      <c r="AB609" s="175">
        <v>0.99904513888888891</v>
      </c>
      <c r="AC609" s="175">
        <v>86.566666666666663</v>
      </c>
      <c r="AD609" s="175">
        <v>3.9166666666666665</v>
      </c>
      <c r="AE609" s="175">
        <v>3.875</v>
      </c>
      <c r="AF609" s="175" t="s">
        <v>236</v>
      </c>
      <c r="AG609" s="175">
        <v>1</v>
      </c>
      <c r="AH609" s="175" t="s">
        <v>15892</v>
      </c>
      <c r="AI609" s="175" t="s">
        <v>15892</v>
      </c>
      <c r="AJ609" s="175" t="s">
        <v>639</v>
      </c>
      <c r="AK609" s="175" t="s">
        <v>639</v>
      </c>
      <c r="AL609" s="1159" t="s">
        <v>251</v>
      </c>
      <c r="AM609" s="175" t="s">
        <v>460</v>
      </c>
      <c r="AN609" s="175">
        <v>1.1890000000000001</v>
      </c>
      <c r="AO609" s="175">
        <v>2.7</v>
      </c>
      <c r="AP609" s="175">
        <v>24</v>
      </c>
      <c r="AQ609" s="175">
        <v>216</v>
      </c>
      <c r="AR609" s="175">
        <v>3.7</v>
      </c>
      <c r="AS609" s="192">
        <v>22805.9712</v>
      </c>
    </row>
    <row r="610" spans="1:45" ht="16.5" customHeight="1">
      <c r="A610" s="174">
        <v>46223</v>
      </c>
      <c r="B610" s="175" t="s">
        <v>237</v>
      </c>
      <c r="C610" s="175" t="s">
        <v>17547</v>
      </c>
      <c r="D610" s="175" t="s">
        <v>633</v>
      </c>
      <c r="E610" s="175" t="s">
        <v>17548</v>
      </c>
      <c r="F610" s="175" t="s">
        <v>17549</v>
      </c>
      <c r="G610" s="175">
        <v>700</v>
      </c>
      <c r="H610" s="175" t="s">
        <v>803</v>
      </c>
      <c r="I610" s="175">
        <v>5.5</v>
      </c>
      <c r="J610" s="175">
        <v>31</v>
      </c>
      <c r="K610" s="175">
        <v>0</v>
      </c>
      <c r="L610" s="175">
        <v>8800</v>
      </c>
      <c r="M610" s="175">
        <v>8980</v>
      </c>
      <c r="N610" s="175">
        <v>30</v>
      </c>
      <c r="O610" s="175">
        <v>0</v>
      </c>
      <c r="P610" s="175">
        <v>8060</v>
      </c>
      <c r="Q610" s="175">
        <v>9260</v>
      </c>
      <c r="R610" s="175">
        <v>0</v>
      </c>
      <c r="S610" s="175">
        <v>0</v>
      </c>
      <c r="T610" s="175">
        <v>7220</v>
      </c>
      <c r="U610" s="175">
        <v>6940</v>
      </c>
      <c r="V610" s="175">
        <v>40</v>
      </c>
      <c r="W610" s="175">
        <v>3</v>
      </c>
      <c r="X610" s="175">
        <v>8520</v>
      </c>
      <c r="Y610" s="175">
        <v>9220</v>
      </c>
      <c r="Z610" s="175">
        <v>5.8299595141700413</v>
      </c>
      <c r="AA610" s="175">
        <v>33.666666666666664</v>
      </c>
      <c r="AB610" s="175">
        <v>0.9975260416666667</v>
      </c>
      <c r="AC610" s="175">
        <v>83.75</v>
      </c>
      <c r="AD610" s="175">
        <v>4.208333333333333</v>
      </c>
      <c r="AE610" s="175">
        <v>4.083333333333333</v>
      </c>
      <c r="AF610" s="175" t="s">
        <v>236</v>
      </c>
      <c r="AG610" s="175">
        <v>1</v>
      </c>
      <c r="AH610" s="175" t="s">
        <v>15892</v>
      </c>
      <c r="AI610" s="175" t="s">
        <v>15892</v>
      </c>
      <c r="AJ610" s="175" t="s">
        <v>639</v>
      </c>
      <c r="AK610" s="175" t="s">
        <v>639</v>
      </c>
      <c r="AL610" s="1159" t="s">
        <v>250</v>
      </c>
      <c r="AM610" s="175" t="s">
        <v>460</v>
      </c>
      <c r="AN610" s="175">
        <v>1.1890000000000001</v>
      </c>
      <c r="AO610" s="175">
        <v>2.9</v>
      </c>
      <c r="AP610" s="175">
        <v>24</v>
      </c>
      <c r="AQ610" s="175">
        <v>216</v>
      </c>
      <c r="AR610" s="175">
        <v>3.9</v>
      </c>
      <c r="AS610" s="192">
        <v>24038.7264</v>
      </c>
    </row>
    <row r="611" spans="1:45" ht="16.5" customHeight="1">
      <c r="A611" s="174">
        <v>46223</v>
      </c>
      <c r="B611" s="175" t="s">
        <v>238</v>
      </c>
      <c r="C611" s="175" t="s">
        <v>17248</v>
      </c>
      <c r="D611" s="175" t="s">
        <v>633</v>
      </c>
      <c r="E611" s="175" t="s">
        <v>16719</v>
      </c>
      <c r="F611" s="175" t="s">
        <v>17249</v>
      </c>
      <c r="G611" s="175">
        <v>600</v>
      </c>
      <c r="H611" s="175" t="s">
        <v>877</v>
      </c>
      <c r="I611" s="175">
        <v>5.5</v>
      </c>
      <c r="J611" s="175">
        <v>39</v>
      </c>
      <c r="K611" s="175">
        <v>1</v>
      </c>
      <c r="L611" s="175">
        <v>8800</v>
      </c>
      <c r="M611" s="175">
        <v>9070</v>
      </c>
      <c r="N611" s="175">
        <v>20</v>
      </c>
      <c r="O611" s="175">
        <v>0</v>
      </c>
      <c r="P611" s="175">
        <v>8800</v>
      </c>
      <c r="Q611" s="175">
        <v>8800</v>
      </c>
      <c r="R611" s="175">
        <v>26</v>
      </c>
      <c r="S611" s="175">
        <v>0</v>
      </c>
      <c r="T611" s="175">
        <v>9070</v>
      </c>
      <c r="U611" s="175">
        <v>9350</v>
      </c>
      <c r="V611" s="175">
        <v>40</v>
      </c>
      <c r="W611" s="175">
        <v>0</v>
      </c>
      <c r="X611" s="175">
        <v>8980</v>
      </c>
      <c r="Y611" s="175">
        <v>9350</v>
      </c>
      <c r="Z611" s="175">
        <v>5.034965034965035</v>
      </c>
      <c r="AA611" s="175">
        <v>41.666666666666664</v>
      </c>
      <c r="AB611" s="175">
        <v>0.99904513888888891</v>
      </c>
      <c r="AC611" s="175">
        <v>90.275000000000006</v>
      </c>
      <c r="AD611" s="175">
        <v>5.208333333333333</v>
      </c>
      <c r="AE611" s="175">
        <v>5.166666666666667</v>
      </c>
      <c r="AF611" s="175" t="s">
        <v>236</v>
      </c>
      <c r="AG611" s="175">
        <v>1</v>
      </c>
      <c r="AH611" s="175" t="s">
        <v>15892</v>
      </c>
      <c r="AI611" s="175" t="s">
        <v>15892</v>
      </c>
      <c r="AJ611" s="175" t="s">
        <v>652</v>
      </c>
      <c r="AK611" s="175" t="s">
        <v>652</v>
      </c>
      <c r="AL611" s="1159" t="s">
        <v>251</v>
      </c>
      <c r="AM611" s="175" t="s">
        <v>460</v>
      </c>
      <c r="AN611" s="175">
        <v>1.1890000000000001</v>
      </c>
      <c r="AO611" s="175">
        <v>2.8</v>
      </c>
      <c r="AP611" s="175">
        <v>24</v>
      </c>
      <c r="AQ611" s="175">
        <v>216</v>
      </c>
      <c r="AR611" s="175">
        <v>3.8</v>
      </c>
      <c r="AS611" s="192">
        <v>23422.3488</v>
      </c>
    </row>
    <row r="612" spans="1:45" ht="16.5" customHeight="1">
      <c r="A612" s="174">
        <v>46223</v>
      </c>
      <c r="B612" s="175" t="s">
        <v>239</v>
      </c>
      <c r="C612" s="175" t="s">
        <v>17266</v>
      </c>
      <c r="E612" s="175" t="s">
        <v>754</v>
      </c>
      <c r="F612" s="175" t="s">
        <v>17267</v>
      </c>
      <c r="G612" s="175">
        <v>600</v>
      </c>
      <c r="H612" s="175" t="s">
        <v>842</v>
      </c>
      <c r="I612" s="175">
        <v>4</v>
      </c>
      <c r="J612" s="175">
        <v>17</v>
      </c>
      <c r="K612" s="175">
        <v>0</v>
      </c>
      <c r="L612" s="175">
        <v>9350</v>
      </c>
      <c r="N612" s="175">
        <v>1</v>
      </c>
      <c r="O612" s="175">
        <v>0</v>
      </c>
      <c r="P612" s="175">
        <v>9350</v>
      </c>
      <c r="R612" s="175">
        <v>0</v>
      </c>
      <c r="S612" s="175">
        <v>0</v>
      </c>
      <c r="T612" s="175">
        <v>8800</v>
      </c>
      <c r="V612" s="175">
        <v>11</v>
      </c>
      <c r="W612" s="175">
        <v>1</v>
      </c>
      <c r="X612" s="175">
        <v>8240</v>
      </c>
      <c r="Z612" s="175">
        <v>3.6</v>
      </c>
      <c r="AA612" s="175">
        <v>19.333333333333332</v>
      </c>
      <c r="AB612" s="175">
        <v>0.99866452991452992</v>
      </c>
      <c r="AC612" s="175">
        <v>89.35</v>
      </c>
      <c r="AD612" s="175">
        <v>2.4166666666666665</v>
      </c>
      <c r="AE612" s="175">
        <v>2.3333333333333335</v>
      </c>
      <c r="AF612" s="175" t="s">
        <v>236</v>
      </c>
      <c r="AG612" s="175">
        <v>2</v>
      </c>
      <c r="AH612" s="175" t="s">
        <v>638</v>
      </c>
      <c r="AI612" s="175" t="s">
        <v>638</v>
      </c>
      <c r="AJ612" s="175" t="s">
        <v>639</v>
      </c>
      <c r="AK612" s="175" t="s">
        <v>639</v>
      </c>
      <c r="AL612" s="1159" t="s">
        <v>251</v>
      </c>
      <c r="AM612" s="175" t="s">
        <v>126</v>
      </c>
      <c r="AN612" s="175">
        <v>0.91100000000000003</v>
      </c>
      <c r="AO612" s="175">
        <v>1.5</v>
      </c>
      <c r="AP612" s="175">
        <v>24</v>
      </c>
      <c r="AQ612" s="175">
        <v>216</v>
      </c>
      <c r="AR612" s="175">
        <v>2.5</v>
      </c>
      <c r="AS612" s="192">
        <v>11806.560000000001</v>
      </c>
    </row>
    <row r="613" spans="1:45" ht="16.5" customHeight="1">
      <c r="A613" s="174">
        <v>46223</v>
      </c>
      <c r="B613" s="175" t="s">
        <v>239</v>
      </c>
      <c r="C613" s="175" t="s">
        <v>17557</v>
      </c>
      <c r="D613" s="175" t="s">
        <v>633</v>
      </c>
      <c r="E613" s="175" t="s">
        <v>8958</v>
      </c>
      <c r="F613" s="175" t="s">
        <v>17558</v>
      </c>
      <c r="G613" s="175">
        <v>550</v>
      </c>
      <c r="H613" s="175" t="s">
        <v>1023</v>
      </c>
      <c r="I613" s="175">
        <v>5.5</v>
      </c>
      <c r="J613" s="175">
        <v>13</v>
      </c>
      <c r="K613" s="175">
        <v>3</v>
      </c>
      <c r="M613" s="175">
        <v>8610</v>
      </c>
      <c r="N613" s="175">
        <v>9</v>
      </c>
      <c r="O613" s="175">
        <v>4</v>
      </c>
      <c r="Q613" s="175">
        <v>8610</v>
      </c>
      <c r="R613" s="175">
        <v>0</v>
      </c>
      <c r="S613" s="175">
        <v>0</v>
      </c>
      <c r="T613" s="175">
        <v>8150</v>
      </c>
      <c r="V613" s="175">
        <v>17</v>
      </c>
      <c r="W613" s="175">
        <v>8</v>
      </c>
      <c r="Y613" s="175">
        <v>9960</v>
      </c>
      <c r="Z613" s="175">
        <v>6.6055045871559646</v>
      </c>
      <c r="AA613" s="175">
        <v>26</v>
      </c>
      <c r="AB613" s="175">
        <v>0.98908253205128205</v>
      </c>
      <c r="AC613" s="175">
        <v>88.325000000000003</v>
      </c>
      <c r="AD613" s="175">
        <v>3.25</v>
      </c>
      <c r="AE613" s="175">
        <v>2</v>
      </c>
      <c r="AF613" s="175" t="s">
        <v>236</v>
      </c>
      <c r="AG613" s="175">
        <v>2</v>
      </c>
      <c r="AH613" s="175" t="s">
        <v>638</v>
      </c>
      <c r="AI613" s="175" t="s">
        <v>638</v>
      </c>
      <c r="AJ613" s="175" t="s">
        <v>639</v>
      </c>
      <c r="AK613" s="175" t="s">
        <v>639</v>
      </c>
      <c r="AM613" s="175" t="s">
        <v>643</v>
      </c>
      <c r="AN613" s="175">
        <v>1.859</v>
      </c>
      <c r="AO613" s="175">
        <v>3.3</v>
      </c>
      <c r="AP613" s="175">
        <v>24</v>
      </c>
      <c r="AQ613" s="175">
        <v>216</v>
      </c>
      <c r="AR613" s="175">
        <v>4.3</v>
      </c>
      <c r="AS613" s="192">
        <v>41439.340799999998</v>
      </c>
    </row>
    <row r="614" spans="1:45" ht="16.5" customHeight="1">
      <c r="A614" s="174">
        <v>46223</v>
      </c>
      <c r="B614" s="175" t="s">
        <v>388</v>
      </c>
      <c r="C614" s="175" t="s">
        <v>17296</v>
      </c>
      <c r="D614" s="175" t="s">
        <v>633</v>
      </c>
      <c r="E614" s="175" t="s">
        <v>16719</v>
      </c>
      <c r="F614" s="175" t="s">
        <v>17290</v>
      </c>
      <c r="G614" s="175">
        <v>700</v>
      </c>
      <c r="H614" s="175" t="s">
        <v>15541</v>
      </c>
      <c r="I614" s="175">
        <v>5.5</v>
      </c>
      <c r="J614" s="175">
        <v>26</v>
      </c>
      <c r="K614" s="175">
        <v>1</v>
      </c>
      <c r="L614" s="175">
        <v>4260</v>
      </c>
      <c r="M614" s="175">
        <v>9720</v>
      </c>
      <c r="N614" s="175">
        <v>10</v>
      </c>
      <c r="O614" s="175">
        <v>0</v>
      </c>
      <c r="P614" s="175">
        <v>4260</v>
      </c>
      <c r="Q614" s="175">
        <v>9910</v>
      </c>
      <c r="R614" s="175">
        <v>6</v>
      </c>
      <c r="S614" s="175">
        <v>0</v>
      </c>
      <c r="T614" s="175">
        <v>3330</v>
      </c>
      <c r="U614" s="175">
        <v>9630</v>
      </c>
      <c r="X614" s="175" t="s">
        <v>627</v>
      </c>
      <c r="Y614" s="175" t="s">
        <v>627</v>
      </c>
      <c r="Z614" s="175">
        <v>5.8299595141700413</v>
      </c>
      <c r="AA614" s="175">
        <v>14</v>
      </c>
      <c r="AB614" s="175">
        <v>0.99917534722222223</v>
      </c>
      <c r="AC614" s="175">
        <v>68.516666666666666</v>
      </c>
      <c r="AD614" s="175">
        <v>1.75</v>
      </c>
      <c r="AE614" s="175">
        <v>1.7083333333333333</v>
      </c>
      <c r="AF614" s="175" t="s">
        <v>236</v>
      </c>
      <c r="AG614" s="175">
        <v>1</v>
      </c>
      <c r="AH614" s="175" t="s">
        <v>638</v>
      </c>
      <c r="AI614" s="175" t="s">
        <v>638</v>
      </c>
      <c r="AJ614" s="175" t="s">
        <v>652</v>
      </c>
      <c r="AK614" s="175" t="s">
        <v>652</v>
      </c>
      <c r="AL614" s="1159" t="s">
        <v>251</v>
      </c>
      <c r="AM614" s="175" t="s">
        <v>460</v>
      </c>
      <c r="AN614" s="175">
        <v>1.1890000000000001</v>
      </c>
      <c r="AO614" s="175">
        <v>2.8</v>
      </c>
      <c r="AP614" s="175">
        <v>24</v>
      </c>
      <c r="AQ614" s="175">
        <v>216</v>
      </c>
      <c r="AR614" s="175">
        <v>3.8</v>
      </c>
      <c r="AS614" s="192">
        <v>23422.3488</v>
      </c>
    </row>
    <row r="615" spans="1:45" ht="16.5" customHeight="1">
      <c r="A615" s="174">
        <v>46223</v>
      </c>
      <c r="B615" s="175" t="s">
        <v>417</v>
      </c>
      <c r="C615" s="175" t="s">
        <v>17291</v>
      </c>
      <c r="D615" s="175" t="s">
        <v>633</v>
      </c>
      <c r="E615" s="175" t="s">
        <v>16719</v>
      </c>
      <c r="F615" s="175" t="s">
        <v>17290</v>
      </c>
      <c r="G615" s="175">
        <v>700</v>
      </c>
      <c r="H615" s="175" t="s">
        <v>724</v>
      </c>
      <c r="I615" s="175">
        <v>5.5</v>
      </c>
      <c r="J615" s="175">
        <v>49</v>
      </c>
      <c r="K615" s="175">
        <v>10</v>
      </c>
      <c r="L615" s="175">
        <v>9630</v>
      </c>
      <c r="M615" s="175">
        <v>9630</v>
      </c>
      <c r="N615" s="175">
        <v>18</v>
      </c>
      <c r="O615" s="175">
        <v>7</v>
      </c>
      <c r="P615" s="175">
        <v>10000</v>
      </c>
      <c r="Q615" s="175">
        <v>9630</v>
      </c>
      <c r="R615" s="175">
        <v>14</v>
      </c>
      <c r="S615" s="175">
        <v>0</v>
      </c>
      <c r="T615" s="175">
        <v>9810</v>
      </c>
      <c r="U615" s="175">
        <v>9350</v>
      </c>
      <c r="V615" s="175">
        <v>43</v>
      </c>
      <c r="W615" s="175">
        <v>0</v>
      </c>
      <c r="X615" s="175">
        <v>9720</v>
      </c>
      <c r="Y615" s="175">
        <v>8890</v>
      </c>
      <c r="Z615" s="175">
        <v>5.8299595141700413</v>
      </c>
      <c r="AA615" s="175">
        <v>41.333333333333336</v>
      </c>
      <c r="AB615" s="175">
        <v>0.98598090277777772</v>
      </c>
      <c r="AC615" s="175">
        <v>95.825000000000003</v>
      </c>
      <c r="AD615" s="175">
        <v>5.166666666666667</v>
      </c>
      <c r="AE615" s="175">
        <v>4.458333333333333</v>
      </c>
      <c r="AF615" s="175" t="s">
        <v>236</v>
      </c>
      <c r="AG615" s="175">
        <v>1</v>
      </c>
      <c r="AH615" s="175" t="s">
        <v>638</v>
      </c>
      <c r="AI615" s="175" t="s">
        <v>638</v>
      </c>
      <c r="AJ615" s="175" t="s">
        <v>652</v>
      </c>
      <c r="AK615" s="175" t="s">
        <v>652</v>
      </c>
      <c r="AL615" s="1159" t="s">
        <v>251</v>
      </c>
      <c r="AM615" s="175" t="s">
        <v>460</v>
      </c>
      <c r="AN615" s="175">
        <v>1.1890000000000001</v>
      </c>
      <c r="AO615" s="175">
        <v>2.8</v>
      </c>
      <c r="AP615" s="175">
        <v>24</v>
      </c>
      <c r="AQ615" s="175">
        <v>216</v>
      </c>
      <c r="AR615" s="175">
        <v>3.8</v>
      </c>
      <c r="AS615" s="192">
        <v>23422.3488</v>
      </c>
    </row>
    <row r="616" spans="1:45" ht="16.5" customHeight="1">
      <c r="A616" s="174">
        <v>46223</v>
      </c>
      <c r="B616" s="175" t="s">
        <v>240</v>
      </c>
      <c r="C616" s="175" t="s">
        <v>17429</v>
      </c>
      <c r="E616" s="175" t="s">
        <v>17434</v>
      </c>
      <c r="F616" s="175" t="s">
        <v>17435</v>
      </c>
      <c r="G616" s="175">
        <v>550</v>
      </c>
      <c r="H616" s="175" t="s">
        <v>884</v>
      </c>
      <c r="I616" s="175">
        <v>4</v>
      </c>
      <c r="J616" s="175">
        <v>8</v>
      </c>
      <c r="K616" s="175">
        <v>0</v>
      </c>
      <c r="L616" s="175">
        <v>3328</v>
      </c>
      <c r="N616" s="175">
        <v>5</v>
      </c>
      <c r="O616" s="175">
        <v>0</v>
      </c>
      <c r="P616" s="175">
        <v>3445</v>
      </c>
      <c r="R616" s="175">
        <v>2</v>
      </c>
      <c r="S616" s="175">
        <v>0</v>
      </c>
      <c r="T616" s="175">
        <v>3339</v>
      </c>
      <c r="V616" s="175">
        <v>7</v>
      </c>
      <c r="W616" s="175">
        <v>0</v>
      </c>
      <c r="X616" s="175">
        <v>3440</v>
      </c>
      <c r="Z616" s="175">
        <v>1.6179775280898876</v>
      </c>
      <c r="AA616" s="175">
        <v>44</v>
      </c>
      <c r="AB616" s="175">
        <v>1</v>
      </c>
      <c r="AC616" s="175">
        <v>33.880000000000003</v>
      </c>
      <c r="AD616" s="175">
        <v>5.5</v>
      </c>
      <c r="AE616" s="175">
        <v>5.5</v>
      </c>
      <c r="AF616" s="175" t="s">
        <v>241</v>
      </c>
      <c r="AG616" s="175">
        <v>6</v>
      </c>
      <c r="AH616" s="175" t="s">
        <v>634</v>
      </c>
      <c r="AI616" s="175" t="s">
        <v>634</v>
      </c>
      <c r="AJ616" s="175" t="s">
        <v>814</v>
      </c>
      <c r="AK616" s="175" t="s">
        <v>814</v>
      </c>
      <c r="AL616" s="1159" t="s">
        <v>251</v>
      </c>
      <c r="AM616" s="175" t="s">
        <v>626</v>
      </c>
      <c r="AN616" s="175">
        <v>0.66900000000000004</v>
      </c>
      <c r="AO616" s="175">
        <v>1.6</v>
      </c>
      <c r="AP616" s="175">
        <v>24</v>
      </c>
      <c r="AQ616" s="175">
        <v>216</v>
      </c>
      <c r="AR616" s="175">
        <v>2.6</v>
      </c>
      <c r="AS616" s="192">
        <v>9017.0496000000021</v>
      </c>
    </row>
    <row r="617" spans="1:45" ht="16.5" customHeight="1">
      <c r="A617" s="174">
        <v>46223</v>
      </c>
      <c r="B617" s="175" t="s">
        <v>242</v>
      </c>
      <c r="C617" s="175" t="s">
        <v>385</v>
      </c>
      <c r="E617" s="175" t="s">
        <v>419</v>
      </c>
      <c r="F617" s="175" t="s">
        <v>419</v>
      </c>
      <c r="G617" s="175" t="s">
        <v>419</v>
      </c>
      <c r="H617" s="175" t="s">
        <v>419</v>
      </c>
      <c r="I617" s="175" t="s">
        <v>419</v>
      </c>
      <c r="L617" s="175" t="s">
        <v>385</v>
      </c>
      <c r="P617" s="175" t="s">
        <v>385</v>
      </c>
      <c r="T617" s="175" t="s">
        <v>385</v>
      </c>
      <c r="X617" s="175" t="s">
        <v>385</v>
      </c>
      <c r="Z617" s="175" t="s">
        <v>419</v>
      </c>
      <c r="AA617" s="175" t="s">
        <v>385</v>
      </c>
      <c r="AB617" s="175" t="s">
        <v>419</v>
      </c>
      <c r="AC617" s="175" t="s">
        <v>419</v>
      </c>
      <c r="AD617" s="175" t="s">
        <v>419</v>
      </c>
      <c r="AE617" s="175" t="s">
        <v>419</v>
      </c>
      <c r="AF617" s="175" t="s">
        <v>241</v>
      </c>
      <c r="AG617" s="175">
        <v>5</v>
      </c>
      <c r="AH617" s="175" t="s">
        <v>634</v>
      </c>
      <c r="AI617" s="175" t="s">
        <v>634</v>
      </c>
      <c r="AJ617" s="175" t="s">
        <v>814</v>
      </c>
      <c r="AK617" s="175" t="s">
        <v>814</v>
      </c>
      <c r="AL617" s="1159" t="s">
        <v>419</v>
      </c>
      <c r="AM617" s="175" t="s">
        <v>419</v>
      </c>
      <c r="AN617" s="175" t="s">
        <v>419</v>
      </c>
      <c r="AO617" s="175" t="s">
        <v>419</v>
      </c>
      <c r="AP617" s="175">
        <v>24</v>
      </c>
      <c r="AQ617" s="175">
        <v>216</v>
      </c>
      <c r="AR617" s="175" t="s">
        <v>419</v>
      </c>
      <c r="AS617" s="192" t="s">
        <v>419</v>
      </c>
    </row>
    <row r="618" spans="1:45" ht="16.5" customHeight="1"/>
    <row r="619" spans="1:45" ht="16.5" customHeight="1"/>
    <row r="620" spans="1:45" ht="16.5" customHeight="1"/>
    <row r="621" spans="1:45" ht="16.5" customHeight="1"/>
    <row r="622" spans="1:45" ht="16.5" customHeight="1"/>
    <row r="623" spans="1:45" ht="16.5" customHeight="1"/>
    <row r="624" spans="1:45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spans="28:28" ht="16.5" customHeight="1">
      <c r="AB961" s="1345"/>
    </row>
    <row r="962" spans="28:28" ht="16.5" customHeight="1">
      <c r="AB962" s="1345"/>
    </row>
    <row r="963" spans="28:28" ht="16.5" customHeight="1">
      <c r="AB963" s="1345"/>
    </row>
    <row r="964" spans="28:28" ht="16.5" customHeight="1">
      <c r="AB964" s="1345"/>
    </row>
    <row r="965" spans="28:28" ht="16.5" customHeight="1"/>
    <row r="966" spans="28:28" ht="16.5" customHeight="1">
      <c r="AB966" s="1345"/>
    </row>
    <row r="967" spans="28:28" ht="16.5" customHeight="1">
      <c r="AB967" s="1345"/>
    </row>
    <row r="968" spans="28:28" ht="16.5" customHeight="1"/>
    <row r="969" spans="28:28" ht="16.5" customHeight="1"/>
    <row r="970" spans="28:28" ht="16.5" customHeight="1">
      <c r="AB970" s="1345"/>
    </row>
    <row r="971" spans="28:28" ht="16.5" customHeight="1">
      <c r="AB971" s="1345"/>
    </row>
    <row r="972" spans="28:28" ht="16.5" customHeight="1">
      <c r="AB972" s="1345"/>
    </row>
    <row r="973" spans="28:28" ht="16.5" customHeight="1">
      <c r="AB973" s="1345"/>
    </row>
    <row r="974" spans="28:28" ht="16.5" customHeight="1">
      <c r="AB974" s="1345"/>
    </row>
    <row r="975" spans="28:28" ht="16.5" customHeight="1">
      <c r="AB975" s="1345"/>
    </row>
    <row r="976" spans="28:28" ht="16.5" customHeight="1">
      <c r="AB976" s="1345"/>
    </row>
    <row r="977" spans="28:28" ht="16.5" customHeight="1">
      <c r="AB977" s="1345"/>
    </row>
    <row r="978" spans="28:28" ht="16.5" customHeight="1">
      <c r="AB978" s="1345"/>
    </row>
    <row r="979" spans="28:28" ht="16.5" customHeight="1">
      <c r="AB979" s="1345"/>
    </row>
    <row r="980" spans="28:28" ht="16.5" customHeight="1">
      <c r="AB980" s="1345"/>
    </row>
    <row r="981" spans="28:28" ht="16.5" customHeight="1">
      <c r="AB981" s="1345"/>
    </row>
    <row r="982" spans="28:28" ht="16.5" customHeight="1"/>
    <row r="983" spans="28:28" ht="16.5" customHeight="1">
      <c r="AB983" s="1345"/>
    </row>
    <row r="984" spans="28:28" ht="16.5" customHeight="1"/>
    <row r="985" spans="28:28" ht="16.5" customHeight="1"/>
    <row r="986" spans="28:28" ht="16.5" customHeight="1"/>
    <row r="987" spans="28:28" ht="16.5" customHeight="1">
      <c r="AB987" s="1345"/>
    </row>
    <row r="988" spans="28:28" ht="16.5" customHeight="1"/>
    <row r="989" spans="28:28" ht="16.5" customHeight="1">
      <c r="AB989" s="1345"/>
    </row>
    <row r="990" spans="28:28" ht="16.5" customHeight="1"/>
    <row r="991" spans="28:28" ht="16.5" customHeight="1">
      <c r="AB991" s="1345"/>
    </row>
    <row r="992" spans="28:28" ht="16.5" customHeight="1">
      <c r="AB992" s="1345"/>
    </row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</sheetData>
  <phoneticPr fontId="12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156D-3E98-4099-B5F4-09216A601459}">
  <sheetPr codeName="工作表20">
    <pageSetUpPr fitToPage="1"/>
  </sheetPr>
  <dimension ref="A1:D26"/>
  <sheetViews>
    <sheetView showGridLines="0" topLeftCell="A16" zoomScale="80" zoomScaleNormal="80" workbookViewId="0">
      <selection activeCell="A17" sqref="A17:A26"/>
    </sheetView>
  </sheetViews>
  <sheetFormatPr defaultRowHeight="33"/>
  <cols>
    <col min="1" max="1" width="18.5" style="1478" customWidth="1"/>
    <col min="2" max="2" width="143.125" style="1462" customWidth="1"/>
    <col min="3" max="3" width="20.75" style="1461" customWidth="1"/>
    <col min="4" max="4" width="21.875" style="1466" bestFit="1" customWidth="1"/>
    <col min="5" max="16384" width="9" style="1461"/>
  </cols>
  <sheetData>
    <row r="1" spans="1:4" s="1464" customFormat="1" ht="39" customHeight="1" thickBot="1">
      <c r="A1" s="1471" t="s">
        <v>17281</v>
      </c>
      <c r="B1" s="1463"/>
      <c r="D1" s="1466"/>
    </row>
    <row r="2" spans="1:4" s="1463" customFormat="1" ht="39" customHeight="1" thickBot="1">
      <c r="A2" s="1472" t="s">
        <v>17275</v>
      </c>
      <c r="B2" s="1465" t="s">
        <v>602</v>
      </c>
      <c r="D2" s="1467"/>
    </row>
    <row r="3" spans="1:4" s="1464" customFormat="1" ht="39" customHeight="1">
      <c r="A3" s="1473" t="s">
        <v>17276</v>
      </c>
      <c r="B3" s="1468" t="s">
        <v>17279</v>
      </c>
      <c r="C3" s="1463"/>
    </row>
    <row r="4" spans="1:4" s="1464" customFormat="1" ht="39" customHeight="1">
      <c r="A4" s="1473"/>
      <c r="B4" s="1468" t="s">
        <v>17282</v>
      </c>
    </row>
    <row r="5" spans="1:4" s="1464" customFormat="1" ht="39" customHeight="1">
      <c r="A5" s="1473"/>
      <c r="B5" s="1468" t="s">
        <v>600</v>
      </c>
    </row>
    <row r="6" spans="1:4" s="1464" customFormat="1" ht="39" customHeight="1" thickBot="1">
      <c r="A6" s="1473"/>
      <c r="B6" s="1468"/>
    </row>
    <row r="7" spans="1:4" s="1464" customFormat="1" ht="39" customHeight="1">
      <c r="A7" s="1474" t="s">
        <v>17277</v>
      </c>
      <c r="B7" s="1469" t="s">
        <v>17280</v>
      </c>
    </row>
    <row r="8" spans="1:4" s="1464" customFormat="1" ht="39" customHeight="1">
      <c r="A8" s="1473"/>
      <c r="B8" s="1468" t="s">
        <v>17283</v>
      </c>
    </row>
    <row r="9" spans="1:4" s="1464" customFormat="1" ht="39" customHeight="1">
      <c r="A9" s="1473"/>
      <c r="B9" s="1468" t="s">
        <v>15052</v>
      </c>
    </row>
    <row r="10" spans="1:4" s="1464" customFormat="1" ht="39" customHeight="1" thickBot="1">
      <c r="A10" s="1475"/>
      <c r="B10" s="1470"/>
    </row>
    <row r="11" spans="1:4" s="1464" customFormat="1" ht="39" customHeight="1">
      <c r="A11" s="1473" t="s">
        <v>17278</v>
      </c>
      <c r="B11" s="1468" t="s">
        <v>17287</v>
      </c>
    </row>
    <row r="12" spans="1:4" s="1464" customFormat="1" ht="39" customHeight="1">
      <c r="A12" s="1473"/>
      <c r="B12" s="1468" t="s">
        <v>17284</v>
      </c>
    </row>
    <row r="13" spans="1:4" s="1464" customFormat="1" ht="39" customHeight="1">
      <c r="A13" s="1476"/>
      <c r="B13" s="1468" t="s">
        <v>17285</v>
      </c>
      <c r="D13" s="1466"/>
    </row>
    <row r="14" spans="1:4" s="1464" customFormat="1" ht="39" customHeight="1" thickBot="1">
      <c r="A14" s="1477"/>
      <c r="B14" s="1470" t="s">
        <v>17286</v>
      </c>
      <c r="D14" s="1466"/>
    </row>
    <row r="17" spans="1:4" s="1480" customFormat="1" ht="51" customHeight="1">
      <c r="A17" s="1482" t="s">
        <v>17284</v>
      </c>
      <c r="B17" s="1479"/>
      <c r="D17" s="1481"/>
    </row>
    <row r="18" spans="1:4" s="1480" customFormat="1" ht="51" customHeight="1">
      <c r="A18" s="1482" t="s">
        <v>17284</v>
      </c>
      <c r="B18" s="1479"/>
      <c r="D18" s="1481"/>
    </row>
    <row r="19" spans="1:4" s="1480" customFormat="1" ht="51" customHeight="1">
      <c r="A19" s="1482" t="s">
        <v>17284</v>
      </c>
      <c r="B19" s="1479"/>
      <c r="D19" s="1481"/>
    </row>
    <row r="20" spans="1:4" s="1480" customFormat="1" ht="51" customHeight="1">
      <c r="A20" s="1482" t="s">
        <v>17288</v>
      </c>
      <c r="B20" s="1479"/>
      <c r="D20" s="1481"/>
    </row>
    <row r="21" spans="1:4" s="1480" customFormat="1" ht="51" customHeight="1">
      <c r="A21" s="1482" t="s">
        <v>484</v>
      </c>
      <c r="B21" s="1479"/>
      <c r="D21" s="1481"/>
    </row>
    <row r="22" spans="1:4" s="1480" customFormat="1" ht="51" customHeight="1">
      <c r="A22" s="1482" t="s">
        <v>17234</v>
      </c>
      <c r="B22" s="1479"/>
      <c r="D22" s="1481"/>
    </row>
    <row r="23" spans="1:4" s="1480" customFormat="1" ht="51" customHeight="1">
      <c r="A23" s="1482" t="s">
        <v>17255</v>
      </c>
      <c r="B23" s="1479"/>
      <c r="D23" s="1481"/>
    </row>
    <row r="24" spans="1:4" s="1480" customFormat="1" ht="51" customHeight="1">
      <c r="A24" s="1482" t="s">
        <v>16786</v>
      </c>
      <c r="B24" s="1479"/>
      <c r="D24" s="1481"/>
    </row>
    <row r="25" spans="1:4" s="1480" customFormat="1" ht="51" customHeight="1">
      <c r="A25" s="1482" t="s">
        <v>16782</v>
      </c>
      <c r="B25" s="1479"/>
      <c r="D25" s="1481"/>
    </row>
    <row r="26" spans="1:4" s="1480" customFormat="1" ht="51" customHeight="1">
      <c r="A26" s="1482" t="s">
        <v>16709</v>
      </c>
      <c r="B26" s="1479"/>
      <c r="D26" s="1481"/>
    </row>
  </sheetData>
  <phoneticPr fontId="12" type="noConversion"/>
  <pageMargins left="0.26" right="0.23" top="0.75" bottom="0.75" header="0.3" footer="0.3"/>
  <pageSetup paperSize="9" scale="88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6">
    <pageSetUpPr fitToPage="1"/>
  </sheetPr>
  <dimension ref="A1:M19"/>
  <sheetViews>
    <sheetView zoomScale="60" zoomScaleNormal="60" workbookViewId="0">
      <selection activeCell="E9" sqref="E9"/>
    </sheetView>
  </sheetViews>
  <sheetFormatPr defaultRowHeight="24.75"/>
  <cols>
    <col min="1" max="1" width="28.625" style="378" customWidth="1"/>
    <col min="2" max="2" width="35.375" style="378" customWidth="1"/>
    <col min="3" max="3" width="34" style="378" customWidth="1"/>
    <col min="4" max="4" width="16.5" style="378" customWidth="1"/>
    <col min="5" max="6" width="9" style="378"/>
    <col min="7" max="7" width="21.5" style="671" customWidth="1"/>
    <col min="8" max="8" width="16.25" style="671" customWidth="1"/>
    <col min="9" max="9" width="9" style="378"/>
    <col min="10" max="13" width="13.125" style="378" customWidth="1"/>
    <col min="14" max="16384" width="9" style="378"/>
  </cols>
  <sheetData>
    <row r="1" spans="1:13" ht="66.75" customHeight="1">
      <c r="A1" s="1633" t="s">
        <v>151</v>
      </c>
      <c r="B1" s="1634"/>
      <c r="C1" s="1634"/>
    </row>
    <row r="2" spans="1:13" ht="66.75" customHeight="1" thickBot="1">
      <c r="A2" s="1121"/>
      <c r="B2" s="1122" t="s">
        <v>16169</v>
      </c>
      <c r="C2" s="1123"/>
      <c r="D2" s="1294" t="s">
        <v>16054</v>
      </c>
      <c r="E2" s="1292"/>
      <c r="F2" s="1293"/>
      <c r="G2" s="1293"/>
      <c r="H2" s="1293"/>
      <c r="I2" s="1293"/>
      <c r="J2" s="1293"/>
      <c r="K2" s="1293"/>
      <c r="L2" s="1293"/>
      <c r="M2" s="1293"/>
    </row>
    <row r="3" spans="1:13" s="379" customFormat="1" ht="140.25" customHeight="1" thickTop="1" thickBot="1">
      <c r="A3" s="1126" t="s">
        <v>198</v>
      </c>
      <c r="B3" s="382" t="s">
        <v>199</v>
      </c>
      <c r="C3" s="381" t="s">
        <v>17220</v>
      </c>
      <c r="G3" s="672"/>
      <c r="H3" s="672"/>
      <c r="J3" s="638" t="s">
        <v>442</v>
      </c>
      <c r="K3" s="637" t="s">
        <v>439</v>
      </c>
      <c r="L3" s="637" t="s">
        <v>440</v>
      </c>
      <c r="M3" s="637" t="s">
        <v>441</v>
      </c>
    </row>
    <row r="4" spans="1:13" s="379" customFormat="1" ht="98.25" customHeight="1" thickTop="1" thickBot="1">
      <c r="A4" s="1127" t="s">
        <v>150</v>
      </c>
      <c r="B4" s="1124">
        <v>0.97199999999999998</v>
      </c>
      <c r="C4" s="380">
        <v>0.98440000000000005</v>
      </c>
      <c r="D4" s="632" t="s">
        <v>423</v>
      </c>
      <c r="G4" s="1113" t="s">
        <v>15360</v>
      </c>
      <c r="H4" s="673">
        <f>日報表!M184</f>
        <v>3.6678535931325174</v>
      </c>
      <c r="K4" s="635">
        <f>日報表!D184</f>
        <v>11.6</v>
      </c>
      <c r="L4" s="636">
        <f>日報表!F183</f>
        <v>614.56896551724139</v>
      </c>
      <c r="M4" s="636">
        <f>日報表!E183</f>
        <v>162.9969827586207</v>
      </c>
    </row>
    <row r="5" spans="1:13" s="379" customFormat="1" ht="98.25" customHeight="1" thickTop="1" thickBot="1">
      <c r="A5" s="1127" t="s">
        <v>200</v>
      </c>
      <c r="B5" s="1124">
        <v>0.97199999999999998</v>
      </c>
      <c r="C5" s="380">
        <f>日報表!K184</f>
        <v>0.97910687678636621</v>
      </c>
      <c r="D5" s="1450">
        <f>C5*100</f>
        <v>97.91068767863662</v>
      </c>
      <c r="G5" s="1114" t="s">
        <v>274</v>
      </c>
      <c r="H5" s="674">
        <f>日報表!D184</f>
        <v>11.6</v>
      </c>
    </row>
    <row r="6" spans="1:13" s="379" customFormat="1" ht="98.25" customHeight="1" thickTop="1" thickBot="1">
      <c r="A6" s="1126" t="s">
        <v>149</v>
      </c>
      <c r="B6" s="1124">
        <v>0.90500000000000003</v>
      </c>
      <c r="C6" s="380">
        <f>日報表!N184</f>
        <v>0.95480249464226263</v>
      </c>
      <c r="D6" s="1450">
        <f>C6*100</f>
        <v>95.480249464226262</v>
      </c>
      <c r="G6" s="1115" t="s">
        <v>275</v>
      </c>
      <c r="H6" s="675">
        <f>日報表!E183</f>
        <v>162.9969827586207</v>
      </c>
    </row>
    <row r="7" spans="1:13" s="379" customFormat="1" ht="98.25" customHeight="1" thickTop="1" thickBot="1">
      <c r="A7" s="1126" t="s">
        <v>201</v>
      </c>
      <c r="B7" s="1124">
        <v>2.5000000000000001E-2</v>
      </c>
      <c r="C7" s="380"/>
      <c r="D7" s="633">
        <f>C7*100</f>
        <v>0</v>
      </c>
      <c r="G7" s="1116" t="s">
        <v>15351</v>
      </c>
      <c r="H7" s="1035">
        <f>日報表!F183</f>
        <v>614.56896551724139</v>
      </c>
    </row>
    <row r="8" spans="1:13" s="379" customFormat="1" ht="98.25" customHeight="1" thickTop="1" thickBot="1">
      <c r="A8" s="1128" t="s">
        <v>378</v>
      </c>
      <c r="B8" s="1125" t="s">
        <v>379</v>
      </c>
      <c r="C8" s="521"/>
      <c r="G8" s="1113" t="s">
        <v>276</v>
      </c>
      <c r="H8" s="676">
        <f>月報!F12</f>
        <v>425203</v>
      </c>
    </row>
    <row r="9" spans="1:13" s="379" customFormat="1" ht="98.25" customHeight="1" thickTop="1" thickBot="1">
      <c r="A9" s="1128" t="s">
        <v>380</v>
      </c>
      <c r="B9" s="1125" t="s">
        <v>381</v>
      </c>
      <c r="C9" s="521"/>
      <c r="G9" s="672"/>
      <c r="H9" s="672"/>
    </row>
    <row r="10" spans="1:13" ht="25.5" thickTop="1">
      <c r="G10" s="672"/>
      <c r="H10" s="672"/>
    </row>
    <row r="12" spans="1:13" s="826" customFormat="1" ht="27">
      <c r="A12" s="825" t="s">
        <v>664</v>
      </c>
      <c r="B12" s="825" t="s">
        <v>665</v>
      </c>
      <c r="C12" s="825" t="s">
        <v>666</v>
      </c>
      <c r="D12" s="825" t="s">
        <v>667</v>
      </c>
      <c r="G12" s="671"/>
      <c r="H12" s="671"/>
    </row>
    <row r="13" spans="1:13" s="826" customFormat="1" ht="27">
      <c r="A13" s="825" t="s">
        <v>668</v>
      </c>
      <c r="B13" s="825" t="s">
        <v>669</v>
      </c>
      <c r="C13" s="825" t="s">
        <v>670</v>
      </c>
      <c r="D13" s="825" t="s">
        <v>671</v>
      </c>
    </row>
    <row r="14" spans="1:13" s="826" customFormat="1" ht="27">
      <c r="A14" s="825" t="s">
        <v>668</v>
      </c>
      <c r="B14" s="825" t="s">
        <v>672</v>
      </c>
      <c r="C14" s="825" t="s">
        <v>673</v>
      </c>
      <c r="D14" s="825" t="s">
        <v>671</v>
      </c>
    </row>
    <row r="15" spans="1:13" s="826" customFormat="1" ht="27">
      <c r="A15" s="825" t="s">
        <v>668</v>
      </c>
      <c r="B15" s="825" t="s">
        <v>674</v>
      </c>
      <c r="C15" s="825" t="s">
        <v>675</v>
      </c>
      <c r="D15" s="825" t="s">
        <v>671</v>
      </c>
    </row>
    <row r="16" spans="1:13" s="826" customFormat="1" ht="27">
      <c r="A16" s="825" t="s">
        <v>668</v>
      </c>
      <c r="B16" s="825" t="s">
        <v>676</v>
      </c>
      <c r="C16" s="825" t="s">
        <v>676</v>
      </c>
      <c r="D16" s="825" t="s">
        <v>677</v>
      </c>
    </row>
    <row r="17" spans="1:8" s="826" customFormat="1" ht="27">
      <c r="A17" s="825" t="s">
        <v>668</v>
      </c>
      <c r="B17" s="825" t="s">
        <v>678</v>
      </c>
      <c r="C17" s="825" t="s">
        <v>678</v>
      </c>
      <c r="D17" s="825" t="s">
        <v>677</v>
      </c>
    </row>
    <row r="18" spans="1:8" s="826" customFormat="1" ht="27">
      <c r="A18" s="825" t="s">
        <v>668</v>
      </c>
      <c r="B18" s="825" t="s">
        <v>679</v>
      </c>
      <c r="C18" s="825" t="s">
        <v>679</v>
      </c>
      <c r="D18" s="825" t="s">
        <v>677</v>
      </c>
    </row>
    <row r="19" spans="1:8" ht="27">
      <c r="G19" s="826"/>
      <c r="H19" s="826"/>
    </row>
  </sheetData>
  <mergeCells count="1">
    <mergeCell ref="A1:C1"/>
  </mergeCells>
  <phoneticPr fontId="12" type="noConversion"/>
  <conditionalFormatting sqref="C4">
    <cfRule type="cellIs" dxfId="572" priority="3" stopIfTrue="1" operator="lessThan">
      <formula>$B$4</formula>
    </cfRule>
  </conditionalFormatting>
  <conditionalFormatting sqref="C5">
    <cfRule type="cellIs" dxfId="571" priority="7" stopIfTrue="1" operator="lessThan">
      <formula>$B$5</formula>
    </cfRule>
  </conditionalFormatting>
  <conditionalFormatting sqref="C6">
    <cfRule type="cellIs" dxfId="570" priority="6" stopIfTrue="1" operator="lessThan">
      <formula>$B$6</formula>
    </cfRule>
  </conditionalFormatting>
  <conditionalFormatting sqref="C7">
    <cfRule type="cellIs" dxfId="569" priority="4" stopIfTrue="1" operator="greaterThan">
      <formula>$B$7</formula>
    </cfRule>
  </conditionalFormatting>
  <conditionalFormatting sqref="C8">
    <cfRule type="cellIs" dxfId="568" priority="2" stopIfTrue="1" operator="lessThan">
      <formula>$B$8</formula>
    </cfRule>
  </conditionalFormatting>
  <pageMargins left="0.44" right="0.3" top="0.31" bottom="0.45" header="0.3" footer="0.3"/>
  <pageSetup paperSize="9" scale="96" orientation="portrait" horizont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7">
    <tabColor rgb="FF0000CC"/>
  </sheetPr>
  <dimension ref="A1:T93"/>
  <sheetViews>
    <sheetView showGridLines="0" workbookViewId="0">
      <selection activeCell="F27" sqref="F27"/>
    </sheetView>
  </sheetViews>
  <sheetFormatPr defaultRowHeight="16.5" customHeight="1"/>
  <cols>
    <col min="1" max="1" width="3.25" style="74" bestFit="1" customWidth="1"/>
    <col min="2" max="2" width="14.125" style="74" bestFit="1" customWidth="1"/>
    <col min="3" max="3" width="12.375" customWidth="1"/>
    <col min="5" max="5" width="33.875" style="854" customWidth="1"/>
    <col min="6" max="6" width="12.75" style="854" customWidth="1"/>
    <col min="7" max="7" width="14.875" style="854" customWidth="1"/>
    <col min="8" max="11" width="14" customWidth="1"/>
    <col min="12" max="12" width="12.125" customWidth="1"/>
    <col min="13" max="13" width="12.5" customWidth="1"/>
    <col min="14" max="14" width="13.25" customWidth="1"/>
    <col min="15" max="15" width="8" customWidth="1"/>
  </cols>
  <sheetData>
    <row r="1" spans="1:20" ht="16.5" customHeight="1">
      <c r="A1" s="415"/>
      <c r="B1" s="416" t="s">
        <v>264</v>
      </c>
      <c r="C1" s="422">
        <f>ISO品質目標!C4*100</f>
        <v>98.440000000000012</v>
      </c>
      <c r="E1" s="1028" t="s">
        <v>15053</v>
      </c>
      <c r="H1" s="828" t="s">
        <v>250</v>
      </c>
      <c r="I1" s="828"/>
      <c r="J1" s="829" t="s">
        <v>251</v>
      </c>
      <c r="K1" s="829"/>
      <c r="M1" s="1099" t="s">
        <v>15352</v>
      </c>
      <c r="N1" s="1099" t="s">
        <v>15353</v>
      </c>
      <c r="O1" t="s">
        <v>15354</v>
      </c>
    </row>
    <row r="2" spans="1:20" ht="16.5" customHeight="1">
      <c r="A2" s="1636" t="s">
        <v>184</v>
      </c>
      <c r="B2" s="417" t="s">
        <v>185</v>
      </c>
      <c r="C2" s="424">
        <f>日報表!K68*100</f>
        <v>98.428724037803022</v>
      </c>
      <c r="E2" s="1051" t="s">
        <v>16049</v>
      </c>
      <c r="F2" s="1029">
        <f>F22</f>
        <v>97.91068767863662</v>
      </c>
      <c r="H2" s="828" t="s">
        <v>81</v>
      </c>
      <c r="I2" s="828" t="s">
        <v>155</v>
      </c>
      <c r="J2" s="829" t="s">
        <v>81</v>
      </c>
      <c r="K2" s="829" t="s">
        <v>155</v>
      </c>
      <c r="M2" s="1099">
        <v>1997375</v>
      </c>
      <c r="N2" s="1099">
        <v>1656623.5</v>
      </c>
    </row>
    <row r="3" spans="1:20" ht="16.5" customHeight="1">
      <c r="A3" s="1636"/>
      <c r="B3" s="417" t="s">
        <v>186</v>
      </c>
      <c r="C3" s="424">
        <f>日報表!K91*100</f>
        <v>96.034747404812506</v>
      </c>
      <c r="E3" s="1051" t="s">
        <v>16048</v>
      </c>
      <c r="F3" s="1029">
        <f>F24</f>
        <v>95.480249464226262</v>
      </c>
      <c r="H3" s="1159">
        <f>GETPIVOTDATA("計數 - 高低壓",高低壓!$A$3,"高低壓","低壓")</f>
        <v>142</v>
      </c>
      <c r="I3" s="1160">
        <f>GETPIVOTDATA("加總 - 耗氣量(立方/日)",高低壓!$A$3,"高低壓","低壓")</f>
        <v>2169267.609600001</v>
      </c>
      <c r="J3" s="1161">
        <f>GETPIVOTDATA("計數 - 高低壓",高低壓!$A$3,"高低壓","高壓")</f>
        <v>129</v>
      </c>
      <c r="K3" s="1162">
        <f>GETPIVOTDATA("加總 - 耗氣量(立方/日)",高低壓!$A$3,"高低壓","高壓")</f>
        <v>2485285.286400001</v>
      </c>
    </row>
    <row r="4" spans="1:20" ht="16.5" customHeight="1">
      <c r="A4" s="1636"/>
      <c r="B4" s="417" t="s">
        <v>187</v>
      </c>
      <c r="C4" s="424">
        <f>日報表!K110*100</f>
        <v>99.657333123590789</v>
      </c>
      <c r="E4" s="1051" t="s">
        <v>16047</v>
      </c>
      <c r="F4" s="1356">
        <f>(F9/F15)*100</f>
        <v>1.7759992467082442</v>
      </c>
      <c r="H4" s="504" t="s">
        <v>473</v>
      </c>
      <c r="I4" s="693"/>
      <c r="J4" s="685"/>
      <c r="K4" s="504" t="s">
        <v>15839</v>
      </c>
      <c r="L4" s="693"/>
    </row>
    <row r="5" spans="1:20" ht="16.5" customHeight="1">
      <c r="A5" s="1636"/>
      <c r="B5" s="417" t="s">
        <v>188</v>
      </c>
      <c r="C5" s="424">
        <f>日報表!K146*100</f>
        <v>0</v>
      </c>
      <c r="E5" s="1030" t="s">
        <v>15054</v>
      </c>
      <c r="F5" s="1031">
        <f>日報表!M184</f>
        <v>3.6678535931325174</v>
      </c>
      <c r="G5" s="1097" t="s">
        <v>16170</v>
      </c>
      <c r="H5" s="692" t="s">
        <v>439</v>
      </c>
      <c r="I5" s="692" t="s">
        <v>440</v>
      </c>
      <c r="J5" s="692" t="s">
        <v>441</v>
      </c>
      <c r="K5" s="1206" t="s">
        <v>15840</v>
      </c>
      <c r="L5" s="1209">
        <f>F6</f>
        <v>11.6</v>
      </c>
      <c r="M5" s="685"/>
    </row>
    <row r="6" spans="1:20" ht="16.5" customHeight="1">
      <c r="A6" s="1636"/>
      <c r="B6" s="418" t="s">
        <v>159</v>
      </c>
      <c r="C6" s="424">
        <f>日報表!K182*100</f>
        <v>97.938726255471465</v>
      </c>
      <c r="E6" s="1032" t="s">
        <v>15055</v>
      </c>
      <c r="F6" s="1033">
        <f>日報表!D184</f>
        <v>11.6</v>
      </c>
      <c r="G6" s="1098">
        <f>F6/28</f>
        <v>0.41428571428571426</v>
      </c>
      <c r="H6" s="925">
        <f>F6</f>
        <v>11.6</v>
      </c>
      <c r="I6" s="926">
        <f>日報表!F183</f>
        <v>614.56896551724139</v>
      </c>
      <c r="J6" s="927">
        <f>F7</f>
        <v>162.9969827586207</v>
      </c>
      <c r="K6" s="1206" t="s">
        <v>15841</v>
      </c>
      <c r="L6" s="1206">
        <f>F13</f>
        <v>1560361</v>
      </c>
      <c r="M6" s="1208"/>
    </row>
    <row r="7" spans="1:20" ht="16.5" customHeight="1">
      <c r="A7" s="1636"/>
      <c r="B7" s="419" t="s">
        <v>189</v>
      </c>
      <c r="C7" s="424">
        <f>日報表!K184*100</f>
        <v>97.91068767863662</v>
      </c>
      <c r="E7" s="1034" t="s">
        <v>15056</v>
      </c>
      <c r="F7" s="1035">
        <f>日報表!E183</f>
        <v>162.9969827586207</v>
      </c>
      <c r="L7" s="1206"/>
      <c r="M7" s="1208"/>
    </row>
    <row r="8" spans="1:20" ht="16.5" customHeight="1">
      <c r="A8" s="1636" t="s">
        <v>190</v>
      </c>
      <c r="B8" s="417" t="s">
        <v>185</v>
      </c>
      <c r="C8" s="424">
        <f>日報表!N68*100</f>
        <v>91.862627036983341</v>
      </c>
      <c r="E8" s="1095" t="s">
        <v>15351</v>
      </c>
      <c r="F8" s="1035">
        <f>日報表!F183</f>
        <v>614.56896551724139</v>
      </c>
    </row>
    <row r="9" spans="1:20" ht="16.5" customHeight="1">
      <c r="A9" s="1636"/>
      <c r="B9" s="417" t="s">
        <v>186</v>
      </c>
      <c r="C9" s="424">
        <f>日報表!N91*100</f>
        <v>88.279627362227899</v>
      </c>
      <c r="E9" s="1210" t="s">
        <v>15842</v>
      </c>
      <c r="F9" s="1210">
        <f>'(示眾台)'!S35</f>
        <v>21200</v>
      </c>
      <c r="H9" s="1137" t="s">
        <v>15586</v>
      </c>
      <c r="I9" s="621" t="s">
        <v>15515</v>
      </c>
      <c r="J9" s="621" t="s">
        <v>15516</v>
      </c>
      <c r="K9" s="621" t="s">
        <v>15517</v>
      </c>
      <c r="L9" s="621" t="s">
        <v>15518</v>
      </c>
      <c r="M9" s="621" t="s">
        <v>15519</v>
      </c>
      <c r="N9" s="621" t="s">
        <v>15520</v>
      </c>
      <c r="O9" s="621" t="s">
        <v>15521</v>
      </c>
      <c r="P9" s="621" t="s">
        <v>15522</v>
      </c>
      <c r="Q9" s="621" t="s">
        <v>15523</v>
      </c>
      <c r="R9" s="621" t="s">
        <v>15524</v>
      </c>
      <c r="S9" s="621" t="s">
        <v>15525</v>
      </c>
      <c r="T9" s="621" t="s">
        <v>15526</v>
      </c>
    </row>
    <row r="10" spans="1:20" ht="16.5" customHeight="1">
      <c r="A10" s="1636"/>
      <c r="B10" s="417" t="s">
        <v>187</v>
      </c>
      <c r="C10" s="424">
        <f>日報表!N110*100</f>
        <v>99.657333123590789</v>
      </c>
      <c r="E10" s="1211" t="s">
        <v>15843</v>
      </c>
      <c r="F10" s="1211">
        <f>'(示眾台)'!AM37</f>
        <v>425203</v>
      </c>
      <c r="H10" s="1138" t="s">
        <v>30</v>
      </c>
      <c r="I10" s="1139">
        <v>99.625998371588096</v>
      </c>
      <c r="J10" s="1139">
        <v>99.748228849327248</v>
      </c>
      <c r="K10" s="1139">
        <v>99.722614153660345</v>
      </c>
      <c r="L10" s="1139">
        <v>99.645430232878439</v>
      </c>
      <c r="M10" s="1139">
        <v>99.664693685335124</v>
      </c>
      <c r="N10" s="1139">
        <v>99.54982525305094</v>
      </c>
      <c r="O10" s="1139">
        <v>99.575816842662562</v>
      </c>
      <c r="P10" s="1139">
        <v>99.536329812287477</v>
      </c>
      <c r="Q10" s="1139">
        <v>99.685926237621729</v>
      </c>
      <c r="R10" s="1139"/>
      <c r="S10" s="1139"/>
      <c r="T10" s="1139">
        <v>99.66762835028797</v>
      </c>
    </row>
    <row r="11" spans="1:20" ht="16.5" customHeight="1">
      <c r="A11" s="1636"/>
      <c r="B11" s="417" t="s">
        <v>188</v>
      </c>
      <c r="C11" s="424">
        <f>日報表!N146*100</f>
        <v>0</v>
      </c>
      <c r="H11" s="1138" t="s">
        <v>31</v>
      </c>
      <c r="I11" s="1139">
        <v>99.398725460737197</v>
      </c>
      <c r="J11" s="1139">
        <v>99.470928848476419</v>
      </c>
      <c r="K11" s="1139">
        <v>99.471074008268303</v>
      </c>
      <c r="L11" s="1139">
        <v>99.251143710278328</v>
      </c>
      <c r="M11" s="1139">
        <v>99.297097578347575</v>
      </c>
      <c r="N11" s="1139">
        <v>99.321496673158052</v>
      </c>
      <c r="O11" s="1139">
        <v>99.169469686296623</v>
      </c>
      <c r="P11" s="1139">
        <v>99.308749420759938</v>
      </c>
      <c r="Q11" s="1139">
        <v>99.168586404914549</v>
      </c>
      <c r="R11" s="1139"/>
      <c r="S11" s="1139"/>
      <c r="T11" s="1139">
        <v>99.266371167412842</v>
      </c>
    </row>
    <row r="12" spans="1:20" ht="16.5" customHeight="1">
      <c r="A12" s="1636"/>
      <c r="B12" s="418" t="s">
        <v>159</v>
      </c>
      <c r="C12" s="424">
        <f>日報表!N182*100</f>
        <v>93.080272742798272</v>
      </c>
      <c r="E12" s="1036" t="s">
        <v>15057</v>
      </c>
      <c r="F12" s="1037">
        <f>F20</f>
        <v>425203</v>
      </c>
      <c r="H12" s="1138" t="s">
        <v>32</v>
      </c>
      <c r="I12" s="1139">
        <v>99.807265635012172</v>
      </c>
      <c r="J12" s="1139">
        <v>99.61064286825841</v>
      </c>
      <c r="K12" s="1139">
        <v>99.840624381065552</v>
      </c>
      <c r="L12" s="1139">
        <v>99.322102949914367</v>
      </c>
      <c r="M12" s="1139">
        <v>99.293536774050594</v>
      </c>
      <c r="N12" s="1139">
        <v>99.504731086334303</v>
      </c>
      <c r="O12" s="1139">
        <v>99.326609728858855</v>
      </c>
      <c r="P12" s="1139">
        <v>99.785930167273889</v>
      </c>
      <c r="Q12" s="1139">
        <v>0</v>
      </c>
      <c r="R12" s="1139"/>
      <c r="S12" s="1139"/>
      <c r="T12" s="1139">
        <v>100</v>
      </c>
    </row>
    <row r="13" spans="1:20" ht="16.5" customHeight="1">
      <c r="A13" s="1636"/>
      <c r="B13" s="419" t="s">
        <v>189</v>
      </c>
      <c r="C13" s="424">
        <f>日報表!N184*100</f>
        <v>95.480249464226262</v>
      </c>
      <c r="E13" s="1278" t="s">
        <v>16046</v>
      </c>
      <c r="F13" s="1165">
        <f>G16</f>
        <v>1560361</v>
      </c>
      <c r="H13" s="1138" t="s">
        <v>143</v>
      </c>
      <c r="I13" s="1139">
        <v>99.871546412244072</v>
      </c>
      <c r="J13" s="1139">
        <v>99.578381941320558</v>
      </c>
      <c r="K13" s="1139">
        <v>99.806807170542626</v>
      </c>
      <c r="L13" s="1139">
        <v>99.805608244023773</v>
      </c>
      <c r="M13" s="1139">
        <v>99.725397370486647</v>
      </c>
      <c r="N13" s="1139">
        <v>99.746052577996238</v>
      </c>
      <c r="O13" s="1139">
        <v>99.8013629499507</v>
      </c>
      <c r="P13" s="1139">
        <v>99.607725481013162</v>
      </c>
      <c r="Q13" s="1139">
        <v>99.753881039595328</v>
      </c>
      <c r="R13" s="1139"/>
      <c r="S13" s="1139"/>
      <c r="T13" s="1139">
        <v>99.71866524901381</v>
      </c>
    </row>
    <row r="14" spans="1:20" ht="16.5" customHeight="1" thickBot="1">
      <c r="A14" s="1636" t="s">
        <v>191</v>
      </c>
      <c r="B14" s="417" t="s">
        <v>185</v>
      </c>
      <c r="C14" s="423">
        <f>日報表!M68</f>
        <v>2.3330175438596483</v>
      </c>
    </row>
    <row r="15" spans="1:20" ht="16.5" customHeight="1" thickBot="1">
      <c r="A15" s="1636"/>
      <c r="B15" s="417" t="s">
        <v>186</v>
      </c>
      <c r="C15" s="423">
        <f>日報表!M91</f>
        <v>2.9933333333333336</v>
      </c>
      <c r="E15" s="1231" t="s">
        <v>16034</v>
      </c>
      <c r="F15" s="1205">
        <f>日報表!P185</f>
        <v>1193694.2</v>
      </c>
      <c r="G15" s="1320" t="s">
        <v>16155</v>
      </c>
    </row>
    <row r="16" spans="1:20" ht="16.5" customHeight="1">
      <c r="A16" s="1636"/>
      <c r="B16" s="417" t="s">
        <v>187</v>
      </c>
      <c r="C16" s="423">
        <f>日報表!M110</f>
        <v>11.681818181818182</v>
      </c>
      <c r="E16" s="1204" t="s">
        <v>15501</v>
      </c>
      <c r="F16" s="1205">
        <f>G16</f>
        <v>1560361</v>
      </c>
      <c r="G16" s="1319">
        <v>1560361</v>
      </c>
    </row>
    <row r="17" spans="1:17" ht="16.5" customHeight="1" thickBot="1">
      <c r="A17" s="1636"/>
      <c r="B17" s="417" t="s">
        <v>188</v>
      </c>
      <c r="C17" s="423">
        <f>日報表!M146</f>
        <v>0</v>
      </c>
      <c r="E17" s="1028" t="s">
        <v>15063</v>
      </c>
    </row>
    <row r="18" spans="1:17" ht="16.5" customHeight="1" thickBot="1">
      <c r="A18" s="1636"/>
      <c r="B18" s="418" t="s">
        <v>159</v>
      </c>
      <c r="C18" s="423">
        <f>日報表!M182</f>
        <v>4.5297619047619042</v>
      </c>
      <c r="E18" s="1041" t="s">
        <v>15064</v>
      </c>
      <c r="F18" s="1042" t="s">
        <v>17297</v>
      </c>
      <c r="L18" s="1178" t="s">
        <v>15588</v>
      </c>
      <c r="M18" s="1645" t="s">
        <v>796</v>
      </c>
      <c r="N18" s="1646"/>
      <c r="O18" s="1647"/>
      <c r="P18" s="1645" t="s">
        <v>15589</v>
      </c>
      <c r="Q18" s="1647"/>
    </row>
    <row r="19" spans="1:17" ht="16.5" customHeight="1">
      <c r="A19" s="1636"/>
      <c r="B19" s="419" t="s">
        <v>189</v>
      </c>
      <c r="C19" s="423">
        <f>日報表!M184</f>
        <v>3.6678535931325174</v>
      </c>
      <c r="E19" s="1057" t="s">
        <v>15065</v>
      </c>
      <c r="F19" s="1054">
        <f>'(示眾台)'!Z36</f>
        <v>1193694.2</v>
      </c>
      <c r="L19" s="1648" t="s">
        <v>15590</v>
      </c>
      <c r="M19" s="1181" t="s">
        <v>15591</v>
      </c>
      <c r="N19" s="1182">
        <v>97.2</v>
      </c>
      <c r="O19" s="1183" t="s">
        <v>15595</v>
      </c>
      <c r="P19" s="1184"/>
      <c r="Q19" s="1185" t="s">
        <v>15595</v>
      </c>
    </row>
    <row r="20" spans="1:17" ht="16.5" customHeight="1">
      <c r="A20" s="1635" t="s">
        <v>192</v>
      </c>
      <c r="B20" s="1635"/>
      <c r="C20" s="462">
        <f>(日報表!B184/日報表!G184)*100</f>
        <v>0.21898405806110144</v>
      </c>
      <c r="E20" s="1058" t="s">
        <v>15066</v>
      </c>
      <c r="F20" s="1055">
        <f>'(示眾台)'!AM37</f>
        <v>425203</v>
      </c>
      <c r="L20" s="1649"/>
      <c r="M20" s="1181" t="s">
        <v>15592</v>
      </c>
      <c r="N20" s="1182">
        <v>97.6</v>
      </c>
      <c r="O20" s="1183" t="s">
        <v>15595</v>
      </c>
      <c r="P20" s="1184"/>
      <c r="Q20" s="1185" t="s">
        <v>15595</v>
      </c>
    </row>
    <row r="21" spans="1:17" ht="16.5" customHeight="1" thickBot="1">
      <c r="A21" s="1635" t="s">
        <v>193</v>
      </c>
      <c r="B21" s="1635"/>
      <c r="C21" s="422"/>
      <c r="E21" s="1059" t="s">
        <v>15067</v>
      </c>
      <c r="F21" s="1056">
        <f>F19-F20</f>
        <v>768491.2</v>
      </c>
      <c r="L21" s="1649"/>
      <c r="M21" s="1181" t="s">
        <v>15593</v>
      </c>
      <c r="N21" s="1182">
        <v>91.6</v>
      </c>
      <c r="O21" s="1183" t="s">
        <v>15595</v>
      </c>
      <c r="P21" s="1184"/>
      <c r="Q21" s="1185" t="s">
        <v>15595</v>
      </c>
    </row>
    <row r="22" spans="1:17" ht="16.5" customHeight="1" thickBot="1">
      <c r="A22" s="1635" t="s">
        <v>194</v>
      </c>
      <c r="B22" s="1635"/>
      <c r="C22" s="497">
        <f>日報表!B185*100</f>
        <v>2120000</v>
      </c>
      <c r="E22" s="1060" t="s">
        <v>15068</v>
      </c>
      <c r="F22" s="1117">
        <f>日報表!K184*100</f>
        <v>97.91068767863662</v>
      </c>
      <c r="L22" s="1650"/>
      <c r="M22" s="1186" t="s">
        <v>15594</v>
      </c>
      <c r="N22" s="1187">
        <v>1.2</v>
      </c>
      <c r="O22" s="1188" t="s">
        <v>15595</v>
      </c>
      <c r="P22" s="1189"/>
      <c r="Q22" s="1190" t="s">
        <v>15595</v>
      </c>
    </row>
    <row r="23" spans="1:17" ht="16.5" customHeight="1" thickBot="1">
      <c r="A23" s="1635" t="s">
        <v>195</v>
      </c>
      <c r="B23" s="1635"/>
      <c r="C23" s="422">
        <f>日報表!G184</f>
        <v>1193694.2</v>
      </c>
      <c r="E23" s="1061" t="s">
        <v>15069</v>
      </c>
      <c r="F23" s="1118">
        <f>'(示眾台)'!AQ35*100</f>
        <v>96.754679819365535</v>
      </c>
      <c r="L23" s="1179" t="s">
        <v>15596</v>
      </c>
      <c r="M23" s="1191" t="s">
        <v>15597</v>
      </c>
      <c r="N23" s="1192">
        <v>0</v>
      </c>
      <c r="O23" s="1193" t="s">
        <v>15598</v>
      </c>
      <c r="P23" s="1194">
        <v>0</v>
      </c>
      <c r="Q23" s="1195" t="s">
        <v>15598</v>
      </c>
    </row>
    <row r="24" spans="1:17" ht="16.5" customHeight="1" thickBot="1">
      <c r="E24" s="1062" t="s">
        <v>15070</v>
      </c>
      <c r="F24" s="1119">
        <f>日報表!N184*100</f>
        <v>95.480249464226262</v>
      </c>
      <c r="L24" s="1179" t="s">
        <v>15599</v>
      </c>
      <c r="M24" s="1191" t="s">
        <v>15600</v>
      </c>
      <c r="N24" s="1192">
        <v>0</v>
      </c>
      <c r="O24" s="1193" t="s">
        <v>15598</v>
      </c>
      <c r="P24" s="1194">
        <v>0</v>
      </c>
      <c r="Q24" s="1196" t="s">
        <v>15598</v>
      </c>
    </row>
    <row r="25" spans="1:17" ht="16.5" customHeight="1" thickBot="1">
      <c r="A25" s="1637" t="s">
        <v>160</v>
      </c>
      <c r="B25" s="417" t="s">
        <v>185</v>
      </c>
      <c r="C25" s="423">
        <f>GETPIVOTDATA("效率平均",效率!$A$3,"機型","A")</f>
        <v>81.300023448773459</v>
      </c>
      <c r="E25" s="1059" t="s">
        <v>15071</v>
      </c>
      <c r="F25" s="1120">
        <f>'(示眾台)'!AR35*100</f>
        <v>94.502604584151385</v>
      </c>
      <c r="L25" s="1651" t="s">
        <v>15601</v>
      </c>
      <c r="M25" s="1197" t="s">
        <v>15602</v>
      </c>
      <c r="N25" s="1198" t="s">
        <v>15611</v>
      </c>
      <c r="O25" s="1199" t="s">
        <v>15595</v>
      </c>
      <c r="P25" s="1184"/>
      <c r="Q25" s="1200" t="s">
        <v>15595</v>
      </c>
    </row>
    <row r="26" spans="1:17" ht="16.5" customHeight="1" thickBot="1">
      <c r="A26" s="1636"/>
      <c r="B26" s="417" t="s">
        <v>186</v>
      </c>
      <c r="C26" s="423">
        <f>GETPIVOTDATA("效率平均",效率!$A$3,"機型","J")</f>
        <v>40.700641025641026</v>
      </c>
      <c r="E26" s="1060" t="s">
        <v>15072</v>
      </c>
      <c r="F26" s="1117">
        <f>F4</f>
        <v>1.7759992467082442</v>
      </c>
      <c r="L26" s="1652"/>
      <c r="M26" s="1191" t="s">
        <v>15603</v>
      </c>
      <c r="N26" s="1201" t="s">
        <v>15610</v>
      </c>
      <c r="O26" s="1202" t="s">
        <v>15595</v>
      </c>
      <c r="P26" s="1189"/>
      <c r="Q26" s="1203" t="s">
        <v>15595</v>
      </c>
    </row>
    <row r="27" spans="1:17" ht="16.5" customHeight="1" thickBot="1">
      <c r="A27" s="1636"/>
      <c r="B27" s="417" t="s">
        <v>187</v>
      </c>
      <c r="C27" s="423">
        <f>GETPIVOTDATA("效率平均",效率!$A$3,"機型","S")</f>
        <v>34.696136363636363</v>
      </c>
      <c r="E27" s="1061" t="s">
        <v>15073</v>
      </c>
      <c r="F27" s="1118">
        <f>('(示眾台)'!S35/(F13-F12))*100</f>
        <v>1.8675814291931165</v>
      </c>
      <c r="G27" s="1111" t="s">
        <v>15359</v>
      </c>
      <c r="H27" s="1112"/>
      <c r="I27" s="1112"/>
      <c r="J27" s="1112"/>
      <c r="K27" s="1112"/>
      <c r="L27" s="1180" t="s">
        <v>605</v>
      </c>
      <c r="M27" s="1639" t="s">
        <v>15604</v>
      </c>
      <c r="N27" s="1640"/>
      <c r="O27" s="1641"/>
      <c r="P27" s="1189"/>
      <c r="Q27" s="1203"/>
    </row>
    <row r="28" spans="1:17" ht="16.5" customHeight="1" thickBot="1">
      <c r="A28" s="1636"/>
      <c r="B28" s="418" t="s">
        <v>159</v>
      </c>
      <c r="C28" s="423">
        <f>GETPIVOTDATA("效率平均",效率!$A$3,"機型","T")</f>
        <v>92.893158914728673</v>
      </c>
      <c r="E28" s="1063" t="s">
        <v>15074</v>
      </c>
      <c r="F28" s="1043"/>
      <c r="L28" s="1180" t="s">
        <v>15605</v>
      </c>
      <c r="M28" s="1639" t="s">
        <v>15606</v>
      </c>
      <c r="N28" s="1640"/>
      <c r="O28" s="1641"/>
      <c r="P28" s="1189"/>
      <c r="Q28" s="1203"/>
    </row>
    <row r="29" spans="1:17" ht="16.5" customHeight="1" thickBot="1">
      <c r="A29" s="1636"/>
      <c r="B29" s="419" t="s">
        <v>189</v>
      </c>
      <c r="C29" s="423">
        <f>GETPIVOTDATA("效率平均",效率!$A$3)</f>
        <v>83.105895455404394</v>
      </c>
      <c r="E29" s="1059" t="s">
        <v>15075</v>
      </c>
      <c r="F29" s="1044"/>
      <c r="L29" s="1180" t="s">
        <v>15607</v>
      </c>
      <c r="M29" s="1642" t="s">
        <v>15608</v>
      </c>
      <c r="N29" s="1643"/>
      <c r="O29" s="1643"/>
      <c r="P29" s="1643"/>
      <c r="Q29" s="1644"/>
    </row>
    <row r="30" spans="1:17" ht="16.5" customHeight="1">
      <c r="E30" s="1045" t="s">
        <v>15076</v>
      </c>
      <c r="F30" s="1046"/>
      <c r="L30" s="1107" t="s">
        <v>15609</v>
      </c>
    </row>
    <row r="31" spans="1:17" ht="16.5" customHeight="1" thickBot="1">
      <c r="A31" s="1637" t="s">
        <v>161</v>
      </c>
      <c r="B31" s="417" t="s">
        <v>185</v>
      </c>
      <c r="C31" s="487">
        <f>'(示眾台)'!L33</f>
        <v>68.400000000000006</v>
      </c>
      <c r="E31" s="1047" t="s">
        <v>15077</v>
      </c>
      <c r="F31" s="1048"/>
      <c r="H31" s="1"/>
      <c r="I31" s="1"/>
      <c r="J31" s="1"/>
      <c r="K31" s="1"/>
      <c r="L31" s="1"/>
      <c r="M31" s="1"/>
    </row>
    <row r="32" spans="1:17" ht="16.5" customHeight="1">
      <c r="A32" s="1636"/>
      <c r="B32" s="417" t="s">
        <v>186</v>
      </c>
      <c r="C32" s="487">
        <f>'(示眾台)'!M33</f>
        <v>35</v>
      </c>
      <c r="E32" s="1326" t="s">
        <v>544</v>
      </c>
      <c r="F32" s="854">
        <f>'(示眾台)'!AG36</f>
        <v>3001778</v>
      </c>
      <c r="G32" s="1049"/>
      <c r="H32" s="489"/>
      <c r="I32" s="489"/>
      <c r="J32" s="489"/>
      <c r="K32" s="489"/>
      <c r="L32" s="489"/>
      <c r="M32" s="489"/>
    </row>
    <row r="33" spans="1:10" ht="16.5" customHeight="1">
      <c r="A33" s="1636"/>
      <c r="B33" s="417" t="s">
        <v>187</v>
      </c>
      <c r="C33" s="487">
        <f>'(示眾台)'!O33</f>
        <v>5.8</v>
      </c>
      <c r="E33" s="1163" t="s">
        <v>15078</v>
      </c>
      <c r="F33" s="854">
        <v>729360</v>
      </c>
      <c r="G33" s="1050"/>
      <c r="H33" s="1164" t="s">
        <v>82</v>
      </c>
      <c r="I33" s="854">
        <f>日報表!G68</f>
        <v>130269</v>
      </c>
      <c r="J33" s="1053">
        <f>日報表!D68</f>
        <v>5.4749999999999996</v>
      </c>
    </row>
    <row r="34" spans="1:10" ht="16.5" customHeight="1">
      <c r="A34" s="1636"/>
      <c r="B34" s="417" t="s">
        <v>188</v>
      </c>
      <c r="C34" s="487" t="e">
        <f>'(示眾台)'!P33</f>
        <v>#DIV/0!</v>
      </c>
      <c r="E34" s="1163" t="s">
        <v>15079</v>
      </c>
      <c r="F34" s="854">
        <v>798893</v>
      </c>
      <c r="H34" s="1163" t="s">
        <v>479</v>
      </c>
      <c r="I34" s="854">
        <f>日報表!G91</f>
        <v>35763</v>
      </c>
      <c r="J34" s="1053">
        <f>日報表!D91</f>
        <v>0.42499999999999999</v>
      </c>
    </row>
    <row r="35" spans="1:10" ht="16.5" customHeight="1">
      <c r="A35" s="1636"/>
      <c r="B35" s="418" t="s">
        <v>159</v>
      </c>
      <c r="C35" s="487">
        <f>'(示眾台)'!N33</f>
        <v>34.200000000000003</v>
      </c>
      <c r="E35" s="1163" t="s">
        <v>15080</v>
      </c>
      <c r="F35" s="854">
        <v>75455</v>
      </c>
      <c r="H35" s="1163" t="s">
        <v>644</v>
      </c>
      <c r="I35" s="854">
        <f>日報表!G110</f>
        <v>1680</v>
      </c>
      <c r="J35" s="1053">
        <f>日報表!D110</f>
        <v>0.375</v>
      </c>
    </row>
    <row r="36" spans="1:10" ht="16.5" customHeight="1">
      <c r="A36" s="1636"/>
      <c r="B36" s="419" t="s">
        <v>189</v>
      </c>
      <c r="C36" s="487" t="e">
        <f>AVERAGE(C31:C35)</f>
        <v>#DIV/0!</v>
      </c>
      <c r="E36" s="1163"/>
      <c r="F36" s="1049"/>
      <c r="H36" s="1163" t="s">
        <v>480</v>
      </c>
      <c r="I36" s="854"/>
      <c r="J36" s="854"/>
    </row>
    <row r="37" spans="1:10" ht="16.5" customHeight="1">
      <c r="E37" s="854" t="s">
        <v>15059</v>
      </c>
      <c r="F37" s="1038">
        <f>J3/$F$41</f>
        <v>4.3</v>
      </c>
      <c r="H37" s="1163" t="s">
        <v>481</v>
      </c>
      <c r="I37" s="854">
        <f>日報表!G182</f>
        <v>592514</v>
      </c>
      <c r="J37" s="1053">
        <f>日報表!D182</f>
        <v>5.3250000000000002</v>
      </c>
    </row>
    <row r="38" spans="1:10" ht="16.5" customHeight="1" thickBot="1">
      <c r="A38" s="1637" t="s">
        <v>162</v>
      </c>
      <c r="B38" s="417" t="s">
        <v>185</v>
      </c>
      <c r="C38" s="423">
        <f>GETPIVOTDATA("IAD",IAD!$A$3,"機型","A")*100</f>
        <v>99.560029380341888</v>
      </c>
      <c r="E38" s="854" t="s">
        <v>15060</v>
      </c>
      <c r="F38" s="1039">
        <f>H3/$F$41</f>
        <v>4.7333333333333334</v>
      </c>
    </row>
    <row r="39" spans="1:10" ht="16.5" customHeight="1">
      <c r="A39" s="1636"/>
      <c r="B39" s="417" t="s">
        <v>186</v>
      </c>
      <c r="C39" s="423">
        <f>GETPIVOTDATA("IAD",IAD!$A$3,"機型","J")*100</f>
        <v>99.01188054733727</v>
      </c>
      <c r="E39" s="854" t="s">
        <v>15061</v>
      </c>
      <c r="F39" s="1040">
        <f>K3/$F$41</f>
        <v>82842.84288000004</v>
      </c>
    </row>
    <row r="40" spans="1:10" ht="16.5" customHeight="1">
      <c r="A40" s="1636"/>
      <c r="B40" s="417" t="s">
        <v>187</v>
      </c>
      <c r="C40" s="423">
        <f>GETPIVOTDATA("IAD",IAD!$A$3,"機型","S")*100</f>
        <v>99.837922494172489</v>
      </c>
      <c r="E40" s="854" t="s">
        <v>15062</v>
      </c>
      <c r="F40" s="1038">
        <f>I3/$F$41</f>
        <v>72308.920320000034</v>
      </c>
    </row>
    <row r="41" spans="1:10" ht="16.5" customHeight="1">
      <c r="A41" s="1636"/>
      <c r="B41" s="418" t="s">
        <v>159</v>
      </c>
      <c r="C41" s="423">
        <f>GETPIVOTDATA("IAD",IAD!$A$3,"機型","T")*100</f>
        <v>99.447692064879561</v>
      </c>
      <c r="E41" s="1355" t="s">
        <v>15058</v>
      </c>
      <c r="F41" s="1355">
        <v>30</v>
      </c>
    </row>
    <row r="42" spans="1:10" ht="16.5" customHeight="1">
      <c r="A42" s="1636"/>
      <c r="B42" s="419" t="s">
        <v>189</v>
      </c>
      <c r="C42" s="423"/>
    </row>
    <row r="44" spans="1:10" ht="16.5" customHeight="1">
      <c r="B44" s="420" t="s">
        <v>163</v>
      </c>
      <c r="E44" s="1296" t="s">
        <v>16066</v>
      </c>
      <c r="F44" s="81"/>
    </row>
    <row r="45" spans="1:10" ht="16.5" customHeight="1" thickBot="1">
      <c r="B45" s="420" t="s">
        <v>164</v>
      </c>
      <c r="E45" s="1299" t="s">
        <v>16067</v>
      </c>
      <c r="F45" s="81"/>
    </row>
    <row r="46" spans="1:10" ht="16.5" customHeight="1">
      <c r="B46" s="420" t="s">
        <v>165</v>
      </c>
      <c r="E46" s="1057" t="s">
        <v>16068</v>
      </c>
      <c r="F46" s="81"/>
    </row>
    <row r="47" spans="1:10" ht="16.5" customHeight="1">
      <c r="B47" s="420" t="s">
        <v>166</v>
      </c>
      <c r="E47" s="1300" t="s">
        <v>16069</v>
      </c>
      <c r="F47" s="81">
        <f>F16-F12</f>
        <v>1135158</v>
      </c>
    </row>
    <row r="48" spans="1:10" ht="16.5" customHeight="1">
      <c r="B48" s="420" t="s">
        <v>167</v>
      </c>
      <c r="E48" s="1300" t="s">
        <v>16070</v>
      </c>
      <c r="F48" s="1297">
        <f>F23</f>
        <v>96.754679819365535</v>
      </c>
    </row>
    <row r="49" spans="2:6" ht="16.5" customHeight="1">
      <c r="B49" s="420" t="s">
        <v>168</v>
      </c>
      <c r="E49" s="1300" t="s">
        <v>16071</v>
      </c>
      <c r="F49" s="1297">
        <f>F25</f>
        <v>94.502604584151385</v>
      </c>
    </row>
    <row r="50" spans="2:6" ht="16.5" customHeight="1">
      <c r="B50" s="420" t="s">
        <v>169</v>
      </c>
      <c r="E50" s="1300" t="s">
        <v>16072</v>
      </c>
      <c r="F50" s="1297">
        <f>F27</f>
        <v>1.8675814291931165</v>
      </c>
    </row>
    <row r="51" spans="2:6" ht="16.5" customHeight="1" thickBot="1">
      <c r="B51" s="420" t="s">
        <v>170</v>
      </c>
      <c r="E51" s="1301" t="s">
        <v>16073</v>
      </c>
      <c r="F51" s="1298">
        <f>F29</f>
        <v>0</v>
      </c>
    </row>
    <row r="52" spans="2:6" ht="16.5" customHeight="1">
      <c r="B52" s="420" t="s">
        <v>171</v>
      </c>
      <c r="E52" s="1302" t="s">
        <v>16063</v>
      </c>
      <c r="F52" s="81"/>
    </row>
    <row r="53" spans="2:6" ht="16.5" customHeight="1">
      <c r="B53" s="420" t="s">
        <v>172</v>
      </c>
      <c r="E53" s="1303"/>
      <c r="F53" s="81"/>
    </row>
    <row r="54" spans="2:6" ht="16.5" customHeight="1">
      <c r="B54" s="420" t="s">
        <v>173</v>
      </c>
      <c r="E54" s="1304"/>
      <c r="F54" s="81"/>
    </row>
    <row r="55" spans="2:6" ht="16.5" customHeight="1" thickBot="1">
      <c r="B55" s="420" t="s">
        <v>174</v>
      </c>
      <c r="E55" s="1305" t="s">
        <v>16064</v>
      </c>
      <c r="F55" s="81"/>
    </row>
    <row r="56" spans="2:6" ht="16.5" customHeight="1">
      <c r="B56" s="420" t="s">
        <v>175</v>
      </c>
      <c r="E56" s="1057" t="s">
        <v>16068</v>
      </c>
      <c r="F56" s="81"/>
    </row>
    <row r="57" spans="2:6" ht="16.5" customHeight="1">
      <c r="B57" s="420" t="s">
        <v>176</v>
      </c>
      <c r="E57" s="1300" t="s">
        <v>16069</v>
      </c>
      <c r="F57" s="81">
        <f>F15</f>
        <v>1193694.2</v>
      </c>
    </row>
    <row r="58" spans="2:6" ht="16.5" customHeight="1">
      <c r="B58" s="420" t="s">
        <v>177</v>
      </c>
      <c r="E58" s="1300" t="s">
        <v>16070</v>
      </c>
      <c r="F58" s="1297">
        <f>F22</f>
        <v>97.91068767863662</v>
      </c>
    </row>
    <row r="59" spans="2:6" ht="16.5" customHeight="1">
      <c r="B59" s="420" t="s">
        <v>178</v>
      </c>
      <c r="E59" s="1300" t="s">
        <v>16071</v>
      </c>
      <c r="F59" s="1297">
        <f>F24</f>
        <v>95.480249464226262</v>
      </c>
    </row>
    <row r="60" spans="2:6" ht="16.5" customHeight="1">
      <c r="B60" s="420"/>
      <c r="E60" s="1300" t="s">
        <v>16072</v>
      </c>
      <c r="F60" s="1297">
        <f>F26</f>
        <v>1.7759992467082442</v>
      </c>
    </row>
    <row r="61" spans="2:6" ht="16.5" customHeight="1" thickBot="1">
      <c r="B61" s="420"/>
      <c r="E61" s="1301" t="s">
        <v>16073</v>
      </c>
      <c r="F61" s="1298">
        <f>F28</f>
        <v>0</v>
      </c>
    </row>
    <row r="62" spans="2:6" ht="16.5" customHeight="1">
      <c r="B62" s="420"/>
      <c r="E62" s="1306" t="s">
        <v>16065</v>
      </c>
      <c r="F62" s="81"/>
    </row>
    <row r="63" spans="2:6" ht="16.5" customHeight="1">
      <c r="B63" s="420"/>
      <c r="E63" s="81"/>
      <c r="F63" s="81"/>
    </row>
    <row r="64" spans="2:6" ht="16.5" customHeight="1">
      <c r="B64" s="420"/>
      <c r="E64" s="81"/>
      <c r="F64" s="81"/>
    </row>
    <row r="65" spans="1:3" ht="16.5" customHeight="1">
      <c r="B65" s="420"/>
    </row>
    <row r="66" spans="1:3" ht="16.5" customHeight="1">
      <c r="B66" s="420"/>
    </row>
    <row r="67" spans="1:3" ht="16.5" customHeight="1">
      <c r="B67" s="420"/>
    </row>
    <row r="68" spans="1:3" ht="16.5" customHeight="1">
      <c r="B68" s="420" t="s">
        <v>179</v>
      </c>
    </row>
    <row r="69" spans="1:3" ht="16.5" customHeight="1">
      <c r="B69" s="421" t="s">
        <v>180</v>
      </c>
    </row>
    <row r="70" spans="1:3" ht="16.5" customHeight="1">
      <c r="B70" s="421" t="s">
        <v>181</v>
      </c>
    </row>
    <row r="71" spans="1:3" ht="16.5" customHeight="1">
      <c r="B71" s="421" t="s">
        <v>182</v>
      </c>
    </row>
    <row r="72" spans="1:3" ht="16.5" customHeight="1">
      <c r="B72" s="421" t="s">
        <v>183</v>
      </c>
    </row>
    <row r="73" spans="1:3" ht="16.5" customHeight="1" thickBot="1">
      <c r="B73" s="420"/>
    </row>
    <row r="74" spans="1:3" ht="16.5" customHeight="1">
      <c r="A74" s="1638" t="s">
        <v>196</v>
      </c>
      <c r="B74" s="507" t="s">
        <v>279</v>
      </c>
      <c r="C74" s="508">
        <f>C2</f>
        <v>98.428724037803022</v>
      </c>
    </row>
    <row r="75" spans="1:3" ht="16.5" customHeight="1">
      <c r="A75" s="1638"/>
      <c r="B75" s="509" t="s">
        <v>280</v>
      </c>
      <c r="C75" s="510">
        <f>C3</f>
        <v>96.034747404812506</v>
      </c>
    </row>
    <row r="76" spans="1:3" ht="16.5" customHeight="1">
      <c r="A76" s="1638"/>
      <c r="B76" s="509" t="s">
        <v>281</v>
      </c>
      <c r="C76" s="510">
        <f>C4</f>
        <v>99.657333123590789</v>
      </c>
    </row>
    <row r="77" spans="1:3" ht="16.5" customHeight="1">
      <c r="A77" s="1638"/>
      <c r="B77" s="509" t="s">
        <v>282</v>
      </c>
      <c r="C77" s="510">
        <f>C5</f>
        <v>0</v>
      </c>
    </row>
    <row r="78" spans="1:3" ht="16.5" customHeight="1" thickBot="1">
      <c r="A78" s="1638"/>
      <c r="B78" s="511" t="s">
        <v>283</v>
      </c>
      <c r="C78" s="512">
        <f>C6</f>
        <v>97.938726255471465</v>
      </c>
    </row>
    <row r="79" spans="1:3" ht="16.5" customHeight="1">
      <c r="A79" s="1638"/>
      <c r="B79" s="507" t="s">
        <v>284</v>
      </c>
      <c r="C79" s="508">
        <f>C8</f>
        <v>91.862627036983341</v>
      </c>
    </row>
    <row r="80" spans="1:3" ht="16.5" customHeight="1">
      <c r="A80" s="1638"/>
      <c r="B80" s="509" t="s">
        <v>285</v>
      </c>
      <c r="C80" s="510">
        <f>C9</f>
        <v>88.279627362227899</v>
      </c>
    </row>
    <row r="81" spans="1:3" ht="16.5" customHeight="1">
      <c r="A81" s="1638"/>
      <c r="B81" s="509" t="s">
        <v>286</v>
      </c>
      <c r="C81" s="510">
        <f>C10</f>
        <v>99.657333123590789</v>
      </c>
    </row>
    <row r="82" spans="1:3" ht="16.5" customHeight="1">
      <c r="A82" s="1638"/>
      <c r="B82" s="509" t="s">
        <v>287</v>
      </c>
      <c r="C82" s="510">
        <f>C11</f>
        <v>0</v>
      </c>
    </row>
    <row r="83" spans="1:3" ht="16.5" customHeight="1" thickBot="1">
      <c r="A83" s="1638"/>
      <c r="B83" s="511" t="s">
        <v>288</v>
      </c>
      <c r="C83" s="512">
        <f>C12</f>
        <v>93.080272742798272</v>
      </c>
    </row>
    <row r="84" spans="1:3" ht="16.5" customHeight="1">
      <c r="A84" s="1638"/>
      <c r="B84" s="507" t="s">
        <v>289</v>
      </c>
      <c r="C84" s="513">
        <f>C31</f>
        <v>68.400000000000006</v>
      </c>
    </row>
    <row r="85" spans="1:3" ht="16.5" customHeight="1">
      <c r="A85" s="1638"/>
      <c r="B85" s="509" t="s">
        <v>290</v>
      </c>
      <c r="C85" s="514">
        <f>C32</f>
        <v>35</v>
      </c>
    </row>
    <row r="86" spans="1:3" ht="16.5" customHeight="1">
      <c r="A86" s="1638"/>
      <c r="B86" s="509" t="s">
        <v>291</v>
      </c>
      <c r="C86" s="514">
        <f>C33</f>
        <v>5.8</v>
      </c>
    </row>
    <row r="87" spans="1:3" ht="16.5" customHeight="1">
      <c r="A87" s="1638"/>
      <c r="B87" s="509" t="s">
        <v>292</v>
      </c>
      <c r="C87" s="514" t="e">
        <f>C34</f>
        <v>#DIV/0!</v>
      </c>
    </row>
    <row r="88" spans="1:3" ht="16.5" customHeight="1" thickBot="1">
      <c r="A88" s="1638"/>
      <c r="B88" s="511" t="s">
        <v>293</v>
      </c>
      <c r="C88" s="515">
        <f>C35</f>
        <v>34.200000000000003</v>
      </c>
    </row>
    <row r="89" spans="1:3" ht="16.5" customHeight="1">
      <c r="A89" s="1638"/>
      <c r="B89" s="507" t="s">
        <v>294</v>
      </c>
      <c r="C89" s="513">
        <f>C38</f>
        <v>99.560029380341888</v>
      </c>
    </row>
    <row r="90" spans="1:3" ht="16.5" customHeight="1">
      <c r="A90" s="1638"/>
      <c r="B90" s="509" t="s">
        <v>295</v>
      </c>
      <c r="C90" s="514">
        <f>C39</f>
        <v>99.01188054733727</v>
      </c>
    </row>
    <row r="91" spans="1:3" ht="16.5" customHeight="1">
      <c r="A91" s="1638"/>
      <c r="B91" s="509" t="s">
        <v>296</v>
      </c>
      <c r="C91" s="514">
        <f>C40</f>
        <v>99.837922494172489</v>
      </c>
    </row>
    <row r="92" spans="1:3" ht="16.5" customHeight="1" thickBot="1">
      <c r="A92" s="1638"/>
      <c r="B92" s="511" t="s">
        <v>297</v>
      </c>
      <c r="C92" s="515">
        <f>C41</f>
        <v>99.447692064879561</v>
      </c>
    </row>
    <row r="93" spans="1:3" ht="16.5" customHeight="1">
      <c r="A93" s="1638"/>
      <c r="B93" s="417" t="s">
        <v>197</v>
      </c>
      <c r="C93" s="1134">
        <f>F19</f>
        <v>1193694.2</v>
      </c>
    </row>
  </sheetData>
  <mergeCells count="18">
    <mergeCell ref="M28:O28"/>
    <mergeCell ref="M29:Q29"/>
    <mergeCell ref="M18:O18"/>
    <mergeCell ref="P18:Q18"/>
    <mergeCell ref="L19:L22"/>
    <mergeCell ref="L25:L26"/>
    <mergeCell ref="M27:O27"/>
    <mergeCell ref="A23:B23"/>
    <mergeCell ref="A25:A29"/>
    <mergeCell ref="A31:A36"/>
    <mergeCell ref="A38:A42"/>
    <mergeCell ref="A74:A93"/>
    <mergeCell ref="A22:B22"/>
    <mergeCell ref="A2:A7"/>
    <mergeCell ref="A8:A13"/>
    <mergeCell ref="A14:A19"/>
    <mergeCell ref="A20:B20"/>
    <mergeCell ref="A21:B21"/>
  </mergeCells>
  <phoneticPr fontId="12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0">
    <tabColor rgb="FFCCFFCC"/>
  </sheetPr>
  <dimension ref="A1:B117"/>
  <sheetViews>
    <sheetView workbookViewId="0">
      <pane ySplit="12" topLeftCell="A100" activePane="bottomLeft" state="frozen"/>
      <selection activeCell="G1" sqref="G1"/>
      <selection pane="bottomLeft" activeCell="B110" sqref="B110"/>
    </sheetView>
  </sheetViews>
  <sheetFormatPr defaultRowHeight="16.5"/>
  <cols>
    <col min="1" max="1" width="12" customWidth="1"/>
    <col min="2" max="2" width="26.375" style="516" customWidth="1"/>
  </cols>
  <sheetData>
    <row r="1" spans="1:2">
      <c r="A1" t="s">
        <v>299</v>
      </c>
      <c r="B1" s="516" t="s">
        <v>300</v>
      </c>
    </row>
    <row r="2" spans="1:2">
      <c r="A2" s="517" t="s">
        <v>301</v>
      </c>
      <c r="B2" s="516">
        <v>91440</v>
      </c>
    </row>
    <row r="3" spans="1:2">
      <c r="A3" s="517" t="s">
        <v>302</v>
      </c>
      <c r="B3" s="516">
        <v>111249</v>
      </c>
    </row>
    <row r="4" spans="1:2">
      <c r="A4" s="517" t="s">
        <v>303</v>
      </c>
      <c r="B4" s="516">
        <v>78140</v>
      </c>
    </row>
    <row r="5" spans="1:2">
      <c r="A5" s="517" t="s">
        <v>304</v>
      </c>
      <c r="B5" s="516">
        <v>153210</v>
      </c>
    </row>
    <row r="6" spans="1:2">
      <c r="A6" s="517" t="s">
        <v>305</v>
      </c>
      <c r="B6" s="516">
        <v>379418.7</v>
      </c>
    </row>
    <row r="7" spans="1:2">
      <c r="A7" s="517" t="s">
        <v>306</v>
      </c>
      <c r="B7" s="516">
        <v>490769.5</v>
      </c>
    </row>
    <row r="8" spans="1:2">
      <c r="A8" s="517" t="s">
        <v>307</v>
      </c>
      <c r="B8" s="516">
        <v>351786.1</v>
      </c>
    </row>
    <row r="9" spans="1:2">
      <c r="A9" s="517" t="s">
        <v>308</v>
      </c>
      <c r="B9" s="516">
        <v>205253.7</v>
      </c>
    </row>
    <row r="10" spans="1:2">
      <c r="A10" s="517" t="s">
        <v>309</v>
      </c>
      <c r="B10" s="516">
        <v>157987.9</v>
      </c>
    </row>
    <row r="11" spans="1:2">
      <c r="A11" s="517" t="s">
        <v>310</v>
      </c>
      <c r="B11" s="516">
        <v>403553.6</v>
      </c>
    </row>
    <row r="12" spans="1:2">
      <c r="A12" s="517" t="s">
        <v>311</v>
      </c>
      <c r="B12" s="516">
        <v>324987</v>
      </c>
    </row>
    <row r="13" spans="1:2">
      <c r="A13" s="518" t="s">
        <v>312</v>
      </c>
      <c r="B13" s="519">
        <f>AVERAGE(B2:B12)</f>
        <v>249799.59090909085</v>
      </c>
    </row>
    <row r="14" spans="1:2">
      <c r="A14" s="520" t="s">
        <v>313</v>
      </c>
      <c r="B14" s="516">
        <v>611517</v>
      </c>
    </row>
    <row r="15" spans="1:2">
      <c r="A15" s="520" t="s">
        <v>314</v>
      </c>
      <c r="B15" s="516">
        <v>514143</v>
      </c>
    </row>
    <row r="16" spans="1:2">
      <c r="A16" s="520" t="s">
        <v>315</v>
      </c>
      <c r="B16" s="516">
        <v>643964.69999999995</v>
      </c>
    </row>
    <row r="17" spans="1:2">
      <c r="A17" s="520" t="s">
        <v>316</v>
      </c>
      <c r="B17" s="516">
        <v>547782</v>
      </c>
    </row>
    <row r="18" spans="1:2">
      <c r="A18" s="520" t="s">
        <v>317</v>
      </c>
      <c r="B18" s="516">
        <v>550557</v>
      </c>
    </row>
    <row r="19" spans="1:2">
      <c r="A19" s="520" t="s">
        <v>318</v>
      </c>
      <c r="B19" s="516">
        <v>316218</v>
      </c>
    </row>
    <row r="20" spans="1:2">
      <c r="A20" s="520" t="s">
        <v>319</v>
      </c>
      <c r="B20" s="516">
        <v>449167</v>
      </c>
    </row>
    <row r="21" spans="1:2">
      <c r="A21" s="520" t="s">
        <v>320</v>
      </c>
      <c r="B21" s="516">
        <v>437404</v>
      </c>
    </row>
    <row r="22" spans="1:2">
      <c r="A22" s="520" t="s">
        <v>321</v>
      </c>
      <c r="B22" s="516">
        <v>419384</v>
      </c>
    </row>
    <row r="23" spans="1:2">
      <c r="A23" s="520" t="s">
        <v>322</v>
      </c>
      <c r="B23" s="516">
        <v>444430</v>
      </c>
    </row>
    <row r="24" spans="1:2">
      <c r="A24" s="520" t="s">
        <v>323</v>
      </c>
      <c r="B24" s="516">
        <v>395691</v>
      </c>
    </row>
    <row r="25" spans="1:2">
      <c r="A25" s="520" t="s">
        <v>324</v>
      </c>
      <c r="B25" s="516">
        <v>408176</v>
      </c>
    </row>
    <row r="26" spans="1:2">
      <c r="A26" s="518" t="s">
        <v>325</v>
      </c>
      <c r="B26" s="519">
        <f>AVERAGE(B14:B25)</f>
        <v>478202.80833333335</v>
      </c>
    </row>
    <row r="27" spans="1:2">
      <c r="A27" s="520" t="s">
        <v>326</v>
      </c>
      <c r="B27" s="516">
        <v>469221</v>
      </c>
    </row>
    <row r="28" spans="1:2">
      <c r="A28" s="520" t="s">
        <v>327</v>
      </c>
      <c r="B28" s="516">
        <v>730921</v>
      </c>
    </row>
    <row r="29" spans="1:2">
      <c r="A29" s="520" t="s">
        <v>328</v>
      </c>
      <c r="B29" s="516">
        <v>908514</v>
      </c>
    </row>
    <row r="30" spans="1:2">
      <c r="A30" s="520" t="s">
        <v>329</v>
      </c>
      <c r="B30" s="516">
        <v>416616</v>
      </c>
    </row>
    <row r="31" spans="1:2">
      <c r="A31" s="520" t="s">
        <v>330</v>
      </c>
      <c r="B31" s="516">
        <v>128389</v>
      </c>
    </row>
    <row r="32" spans="1:2">
      <c r="A32" s="520" t="s">
        <v>331</v>
      </c>
      <c r="B32" s="516">
        <v>14406</v>
      </c>
    </row>
    <row r="33" spans="1:2">
      <c r="A33" s="520" t="s">
        <v>332</v>
      </c>
      <c r="B33" s="516">
        <v>41023</v>
      </c>
    </row>
    <row r="34" spans="1:2">
      <c r="A34" s="520" t="s">
        <v>333</v>
      </c>
      <c r="B34" s="516">
        <v>216243</v>
      </c>
    </row>
    <row r="35" spans="1:2">
      <c r="A35" s="520" t="s">
        <v>334</v>
      </c>
      <c r="B35" s="516">
        <v>577191</v>
      </c>
    </row>
    <row r="36" spans="1:2">
      <c r="A36" s="520" t="s">
        <v>335</v>
      </c>
      <c r="B36" s="516">
        <v>704575</v>
      </c>
    </row>
    <row r="37" spans="1:2">
      <c r="A37" s="520" t="s">
        <v>336</v>
      </c>
      <c r="B37" s="516">
        <v>1078429</v>
      </c>
    </row>
    <row r="38" spans="1:2">
      <c r="A38" s="520" t="s">
        <v>337</v>
      </c>
      <c r="B38" s="516">
        <v>1350927</v>
      </c>
    </row>
    <row r="39" spans="1:2">
      <c r="A39" s="518" t="s">
        <v>338</v>
      </c>
      <c r="B39" s="519">
        <f>AVERAGE(B27:B38)</f>
        <v>553037.91666666663</v>
      </c>
    </row>
    <row r="40" spans="1:2">
      <c r="A40" s="520" t="s">
        <v>339</v>
      </c>
      <c r="B40" s="516">
        <v>1142356</v>
      </c>
    </row>
    <row r="41" spans="1:2">
      <c r="A41" s="520" t="s">
        <v>340</v>
      </c>
      <c r="B41" s="516">
        <v>1198901</v>
      </c>
    </row>
    <row r="42" spans="1:2">
      <c r="A42" s="520" t="s">
        <v>341</v>
      </c>
      <c r="B42" s="516">
        <v>1398943</v>
      </c>
    </row>
    <row r="43" spans="1:2">
      <c r="A43" s="520" t="s">
        <v>342</v>
      </c>
      <c r="B43" s="516">
        <v>1317454</v>
      </c>
    </row>
    <row r="44" spans="1:2">
      <c r="A44" s="520" t="s">
        <v>343</v>
      </c>
      <c r="B44" s="516">
        <v>1150280</v>
      </c>
    </row>
    <row r="45" spans="1:2">
      <c r="A45" s="520" t="s">
        <v>344</v>
      </c>
      <c r="B45" s="516">
        <v>1025186</v>
      </c>
    </row>
    <row r="46" spans="1:2">
      <c r="A46" s="520" t="s">
        <v>345</v>
      </c>
      <c r="B46" s="516">
        <v>1082573</v>
      </c>
    </row>
    <row r="47" spans="1:2">
      <c r="A47" s="520" t="s">
        <v>346</v>
      </c>
      <c r="B47" s="516">
        <v>1119791</v>
      </c>
    </row>
    <row r="48" spans="1:2">
      <c r="A48" s="520" t="s">
        <v>347</v>
      </c>
      <c r="B48" s="516">
        <v>862145</v>
      </c>
    </row>
    <row r="49" spans="1:2">
      <c r="A49" s="520" t="s">
        <v>348</v>
      </c>
      <c r="B49" s="516">
        <v>749819</v>
      </c>
    </row>
    <row r="50" spans="1:2">
      <c r="A50" s="520" t="s">
        <v>349</v>
      </c>
      <c r="B50" s="516">
        <v>1262350</v>
      </c>
    </row>
    <row r="51" spans="1:2">
      <c r="A51" s="520" t="s">
        <v>350</v>
      </c>
      <c r="B51" s="516">
        <v>1136055</v>
      </c>
    </row>
    <row r="52" spans="1:2">
      <c r="A52" s="518" t="s">
        <v>351</v>
      </c>
      <c r="B52" s="519">
        <f>AVERAGE(B40:B51)</f>
        <v>1120487.75</v>
      </c>
    </row>
    <row r="53" spans="1:2">
      <c r="A53" s="520" t="s">
        <v>352</v>
      </c>
      <c r="B53" s="516">
        <v>1235314</v>
      </c>
    </row>
    <row r="54" spans="1:2">
      <c r="A54" s="520" t="s">
        <v>353</v>
      </c>
      <c r="B54" s="516">
        <v>987499</v>
      </c>
    </row>
    <row r="55" spans="1:2">
      <c r="A55" s="520" t="s">
        <v>354</v>
      </c>
      <c r="B55" s="516">
        <v>1692768</v>
      </c>
    </row>
    <row r="56" spans="1:2">
      <c r="A56" s="520" t="s">
        <v>355</v>
      </c>
      <c r="B56" s="516">
        <v>1514161</v>
      </c>
    </row>
    <row r="57" spans="1:2">
      <c r="A57" s="520" t="s">
        <v>356</v>
      </c>
      <c r="B57" s="516">
        <v>1540707</v>
      </c>
    </row>
    <row r="58" spans="1:2">
      <c r="A58" s="520" t="s">
        <v>357</v>
      </c>
      <c r="B58" s="516">
        <v>1475712</v>
      </c>
    </row>
    <row r="59" spans="1:2">
      <c r="A59" s="520" t="s">
        <v>358</v>
      </c>
      <c r="B59" s="516">
        <v>1527153</v>
      </c>
    </row>
    <row r="60" spans="1:2">
      <c r="A60" s="520" t="s">
        <v>359</v>
      </c>
      <c r="B60" s="516">
        <v>1724153</v>
      </c>
    </row>
    <row r="61" spans="1:2">
      <c r="A61" s="520" t="s">
        <v>360</v>
      </c>
      <c r="B61" s="516">
        <v>1139315</v>
      </c>
    </row>
    <row r="62" spans="1:2">
      <c r="A62" s="520" t="s">
        <v>361</v>
      </c>
      <c r="B62" s="516">
        <v>1015824</v>
      </c>
    </row>
    <row r="63" spans="1:2">
      <c r="A63" s="520" t="s">
        <v>362</v>
      </c>
      <c r="B63" s="516">
        <v>961521</v>
      </c>
    </row>
    <row r="64" spans="1:2">
      <c r="A64" s="520" t="s">
        <v>363</v>
      </c>
      <c r="B64" s="516">
        <v>1211431</v>
      </c>
    </row>
    <row r="65" spans="1:2">
      <c r="A65" s="518" t="s">
        <v>364</v>
      </c>
      <c r="B65" s="519">
        <f>AVERAGE(B53:B64)</f>
        <v>1335463.1666666667</v>
      </c>
    </row>
    <row r="66" spans="1:2">
      <c r="A66" s="520" t="s">
        <v>365</v>
      </c>
      <c r="B66" s="516">
        <v>692284</v>
      </c>
    </row>
    <row r="67" spans="1:2">
      <c r="A67" s="520" t="s">
        <v>366</v>
      </c>
      <c r="B67" s="516">
        <v>642508</v>
      </c>
    </row>
    <row r="68" spans="1:2">
      <c r="A68" s="520" t="s">
        <v>367</v>
      </c>
      <c r="B68" s="516">
        <v>314015</v>
      </c>
    </row>
    <row r="69" spans="1:2">
      <c r="A69" s="520" t="s">
        <v>368</v>
      </c>
      <c r="B69" s="516">
        <v>188925</v>
      </c>
    </row>
    <row r="70" spans="1:2">
      <c r="A70" s="520" t="s">
        <v>369</v>
      </c>
      <c r="B70" s="516">
        <v>184863</v>
      </c>
    </row>
    <row r="71" spans="1:2">
      <c r="A71" s="520" t="s">
        <v>370</v>
      </c>
      <c r="B71" s="516">
        <v>382529</v>
      </c>
    </row>
    <row r="72" spans="1:2">
      <c r="A72" s="520" t="s">
        <v>371</v>
      </c>
      <c r="B72" s="516">
        <v>382072</v>
      </c>
    </row>
    <row r="73" spans="1:2">
      <c r="A73" s="520" t="s">
        <v>372</v>
      </c>
      <c r="B73" s="516">
        <v>449915</v>
      </c>
    </row>
    <row r="74" spans="1:2">
      <c r="A74" s="520" t="s">
        <v>373</v>
      </c>
      <c r="B74" s="516">
        <v>323337</v>
      </c>
    </row>
    <row r="75" spans="1:2">
      <c r="A75" s="520" t="s">
        <v>374</v>
      </c>
      <c r="B75" s="516">
        <v>747956</v>
      </c>
    </row>
    <row r="76" spans="1:2">
      <c r="A76" s="520" t="s">
        <v>375</v>
      </c>
      <c r="B76" s="516">
        <v>1017112</v>
      </c>
    </row>
    <row r="77" spans="1:2">
      <c r="A77" s="520" t="s">
        <v>376</v>
      </c>
      <c r="B77" s="516">
        <v>942000</v>
      </c>
    </row>
    <row r="78" spans="1:2">
      <c r="A78" s="518" t="s">
        <v>425</v>
      </c>
      <c r="B78" s="519">
        <f>AVERAGE(B66:B77)</f>
        <v>522293</v>
      </c>
    </row>
    <row r="79" spans="1:2">
      <c r="A79" s="520" t="s">
        <v>426</v>
      </c>
      <c r="B79" s="516">
        <v>1099400</v>
      </c>
    </row>
    <row r="80" spans="1:2">
      <c r="A80" s="520" t="s">
        <v>427</v>
      </c>
      <c r="B80" s="516">
        <v>951619</v>
      </c>
    </row>
    <row r="81" spans="1:2">
      <c r="A81" s="520" t="s">
        <v>428</v>
      </c>
      <c r="B81" s="516">
        <v>1013585</v>
      </c>
    </row>
    <row r="82" spans="1:2">
      <c r="A82" s="520" t="s">
        <v>429</v>
      </c>
      <c r="B82" s="516">
        <v>552632</v>
      </c>
    </row>
    <row r="83" spans="1:2">
      <c r="A83" s="520" t="s">
        <v>430</v>
      </c>
      <c r="B83" s="516">
        <v>760552</v>
      </c>
    </row>
    <row r="84" spans="1:2">
      <c r="A84" s="520" t="s">
        <v>431</v>
      </c>
      <c r="B84" s="516">
        <v>757753</v>
      </c>
    </row>
    <row r="85" spans="1:2">
      <c r="A85" s="520" t="s">
        <v>432</v>
      </c>
      <c r="B85" s="516">
        <v>822406</v>
      </c>
    </row>
    <row r="86" spans="1:2">
      <c r="A86" s="520" t="s">
        <v>433</v>
      </c>
      <c r="B86" s="516">
        <v>1007255</v>
      </c>
    </row>
    <row r="87" spans="1:2">
      <c r="A87" s="520" t="s">
        <v>434</v>
      </c>
      <c r="B87" s="516">
        <v>1219572</v>
      </c>
    </row>
    <row r="88" spans="1:2">
      <c r="A88" s="520" t="s">
        <v>435</v>
      </c>
      <c r="B88" s="516">
        <v>686061</v>
      </c>
    </row>
    <row r="89" spans="1:2">
      <c r="A89" s="520" t="s">
        <v>436</v>
      </c>
      <c r="B89" s="516">
        <v>859952</v>
      </c>
    </row>
    <row r="90" spans="1:2">
      <c r="A90" s="520" t="s">
        <v>437</v>
      </c>
      <c r="B90" s="516">
        <v>1099704</v>
      </c>
    </row>
    <row r="91" spans="1:2">
      <c r="A91" s="518" t="s">
        <v>438</v>
      </c>
      <c r="B91" s="519">
        <f>AVERAGE(B79:B90)</f>
        <v>902540.91666666663</v>
      </c>
    </row>
    <row r="92" spans="1:2">
      <c r="A92" s="520" t="s">
        <v>689</v>
      </c>
      <c r="B92" s="516">
        <v>739024</v>
      </c>
    </row>
    <row r="93" spans="1:2">
      <c r="A93" s="520" t="s">
        <v>690</v>
      </c>
      <c r="B93" s="516">
        <v>815900</v>
      </c>
    </row>
    <row r="94" spans="1:2">
      <c r="A94" s="520" t="s">
        <v>691</v>
      </c>
      <c r="B94" s="516">
        <v>576603</v>
      </c>
    </row>
    <row r="95" spans="1:2">
      <c r="A95" s="520" t="s">
        <v>692</v>
      </c>
      <c r="B95" s="516">
        <v>412012</v>
      </c>
    </row>
    <row r="96" spans="1:2">
      <c r="A96" s="520" t="s">
        <v>693</v>
      </c>
      <c r="B96" s="516">
        <v>290445</v>
      </c>
    </row>
    <row r="97" spans="1:2">
      <c r="A97" s="520" t="s">
        <v>694</v>
      </c>
      <c r="B97" s="516">
        <v>275000</v>
      </c>
    </row>
    <row r="98" spans="1:2">
      <c r="A98" s="520" t="s">
        <v>695</v>
      </c>
      <c r="B98" s="516">
        <v>373847</v>
      </c>
    </row>
    <row r="99" spans="1:2">
      <c r="A99" s="520" t="s">
        <v>696</v>
      </c>
      <c r="B99" s="516">
        <v>380460</v>
      </c>
    </row>
    <row r="100" spans="1:2">
      <c r="A100" s="520" t="s">
        <v>697</v>
      </c>
      <c r="B100" s="516">
        <v>363939</v>
      </c>
    </row>
    <row r="101" spans="1:2">
      <c r="A101" s="520" t="s">
        <v>698</v>
      </c>
      <c r="B101" s="516">
        <v>278661</v>
      </c>
    </row>
    <row r="102" spans="1:2">
      <c r="A102" s="520" t="s">
        <v>699</v>
      </c>
      <c r="B102" s="516">
        <v>258488</v>
      </c>
    </row>
    <row r="103" spans="1:2">
      <c r="A103" s="520" t="s">
        <v>700</v>
      </c>
      <c r="B103" s="516">
        <v>160948</v>
      </c>
    </row>
    <row r="104" spans="1:2">
      <c r="A104" s="518" t="s">
        <v>701</v>
      </c>
      <c r="B104" s="519">
        <f>AVERAGE(B92:B103)</f>
        <v>410443.91666666669</v>
      </c>
    </row>
    <row r="105" spans="1:2">
      <c r="A105" s="520" t="s">
        <v>16156</v>
      </c>
      <c r="B105" s="516">
        <v>230388</v>
      </c>
    </row>
    <row r="106" spans="1:2">
      <c r="A106" s="520" t="s">
        <v>16157</v>
      </c>
      <c r="B106" s="516">
        <v>252484</v>
      </c>
    </row>
    <row r="107" spans="1:2">
      <c r="A107" s="520" t="s">
        <v>16158</v>
      </c>
      <c r="B107" s="516">
        <v>631672</v>
      </c>
    </row>
    <row r="108" spans="1:2">
      <c r="A108" s="520" t="s">
        <v>16159</v>
      </c>
      <c r="B108" s="516">
        <v>174083</v>
      </c>
    </row>
    <row r="109" spans="1:2">
      <c r="A109" s="520" t="s">
        <v>16160</v>
      </c>
      <c r="B109" s="516">
        <v>340113</v>
      </c>
    </row>
    <row r="110" spans="1:2">
      <c r="A110" s="520" t="s">
        <v>16161</v>
      </c>
      <c r="B110" s="516">
        <v>354092</v>
      </c>
    </row>
    <row r="111" spans="1:2">
      <c r="A111" s="520" t="s">
        <v>16162</v>
      </c>
    </row>
    <row r="112" spans="1:2">
      <c r="A112" s="520" t="s">
        <v>16163</v>
      </c>
    </row>
    <row r="113" spans="1:2">
      <c r="A113" s="520" t="s">
        <v>16164</v>
      </c>
    </row>
    <row r="114" spans="1:2">
      <c r="A114" s="520" t="s">
        <v>16165</v>
      </c>
    </row>
    <row r="115" spans="1:2">
      <c r="A115" s="520" t="s">
        <v>16166</v>
      </c>
    </row>
    <row r="116" spans="1:2">
      <c r="A116" s="520" t="s">
        <v>16167</v>
      </c>
    </row>
    <row r="117" spans="1:2">
      <c r="A117" s="518" t="s">
        <v>16168</v>
      </c>
      <c r="B117" s="519">
        <f>AVERAGE(B105:B116)</f>
        <v>330472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pageSetUpPr fitToPage="1"/>
  </sheetPr>
  <dimension ref="A1:HY183"/>
  <sheetViews>
    <sheetView showGridLines="0" zoomScaleNormal="100" workbookViewId="0">
      <pane ySplit="5" topLeftCell="A6" activePane="bottomLeft" state="frozen"/>
      <selection activeCell="G1" sqref="G1"/>
      <selection pane="bottomLeft" activeCell="J36" sqref="J36"/>
    </sheetView>
  </sheetViews>
  <sheetFormatPr defaultRowHeight="16.5"/>
  <cols>
    <col min="1" max="1" width="12.5" style="191" customWidth="1"/>
    <col min="2" max="2" width="17.125" style="193" customWidth="1"/>
    <col min="3" max="3" width="19" style="194" customWidth="1"/>
    <col min="4" max="4" width="9.5" style="194" customWidth="1"/>
    <col min="5" max="5" width="10.375" style="194" customWidth="1"/>
    <col min="6" max="6" width="11.25" style="194" customWidth="1"/>
    <col min="7" max="7" width="8.25" style="194" customWidth="1"/>
    <col min="8" max="8" width="11.75" style="194" customWidth="1"/>
    <col min="9" max="9" width="7.25" style="194" customWidth="1"/>
    <col min="10" max="10" width="11.875" style="194" bestFit="1" customWidth="1"/>
    <col min="11" max="11" width="6.75" style="470" bestFit="1" customWidth="1"/>
    <col min="12" max="15" width="10.5" style="191" customWidth="1"/>
    <col min="16" max="17" width="25.375" style="191" customWidth="1"/>
    <col min="18" max="16384" width="9" style="191"/>
  </cols>
  <sheetData>
    <row r="1" spans="1:17" s="194" customFormat="1">
      <c r="A1" s="194">
        <v>1</v>
      </c>
      <c r="B1" s="194">
        <v>2</v>
      </c>
      <c r="C1" s="194">
        <v>3</v>
      </c>
      <c r="D1" s="194">
        <v>4</v>
      </c>
      <c r="E1" s="194">
        <v>5</v>
      </c>
      <c r="F1" s="194">
        <v>6</v>
      </c>
      <c r="G1" s="194">
        <v>7</v>
      </c>
      <c r="H1" s="194">
        <v>8</v>
      </c>
      <c r="I1" s="194">
        <v>9</v>
      </c>
      <c r="J1" s="194">
        <v>10</v>
      </c>
      <c r="K1" s="194">
        <v>11</v>
      </c>
      <c r="L1" s="194">
        <v>12</v>
      </c>
      <c r="M1" s="194">
        <v>13</v>
      </c>
      <c r="N1" s="194">
        <v>14</v>
      </c>
      <c r="O1" s="194">
        <v>15</v>
      </c>
      <c r="P1" s="194">
        <v>16</v>
      </c>
      <c r="Q1" s="194">
        <v>17</v>
      </c>
    </row>
    <row r="2" spans="1:17">
      <c r="A2" s="191" t="str">
        <f>日報表!A2</f>
        <v>AFK機台</v>
      </c>
    </row>
    <row r="3" spans="1:17" s="194" customFormat="1">
      <c r="A3" s="200" t="str">
        <f>日報表!A3</f>
        <v>DTY批號</v>
      </c>
      <c r="B3" s="201" t="str">
        <f>日報表!B3</f>
        <v>規格</v>
      </c>
      <c r="C3" s="201" t="str">
        <f>日報表!C3</f>
        <v>POY批號</v>
      </c>
      <c r="D3" s="202" t="s">
        <v>73</v>
      </c>
      <c r="E3" s="201" t="s">
        <v>21</v>
      </c>
      <c r="F3" s="201" t="s">
        <v>22</v>
      </c>
      <c r="G3" s="201" t="s">
        <v>78</v>
      </c>
      <c r="H3" s="226" t="s">
        <v>76</v>
      </c>
      <c r="I3" s="227" t="s">
        <v>77</v>
      </c>
      <c r="J3" s="227" t="s">
        <v>206</v>
      </c>
      <c r="K3" s="471" t="str">
        <f>日報表!O3</f>
        <v>紗重</v>
      </c>
      <c r="L3" s="471" t="s">
        <v>443</v>
      </c>
      <c r="M3" s="471" t="s">
        <v>444</v>
      </c>
      <c r="N3" s="471" t="s">
        <v>445</v>
      </c>
      <c r="O3" s="471" t="s">
        <v>446</v>
      </c>
    </row>
    <row r="4" spans="1:17">
      <c r="A4" s="204" t="str">
        <f>日報表!A4</f>
        <v>2F08T2</v>
      </c>
      <c r="B4" s="205" t="str">
        <f>日報表!B4</f>
        <v>50/72F2FC</v>
      </c>
      <c r="C4" s="206" t="str">
        <f>日報表!C4</f>
        <v>FP00413</v>
      </c>
      <c r="D4" s="206">
        <f>日報表!G4</f>
        <v>5400</v>
      </c>
      <c r="E4" s="207">
        <f>日報表!K4</f>
        <v>1</v>
      </c>
      <c r="F4" s="207">
        <f>日報表!N4</f>
        <v>1</v>
      </c>
      <c r="G4" s="208">
        <f>日報表!M4</f>
        <v>3.4062500000000004</v>
      </c>
      <c r="H4" s="238" t="str">
        <f>日報表!S4</f>
        <v>P203</v>
      </c>
      <c r="I4" s="239" t="str">
        <f>日報表!T4</f>
        <v>0.7</v>
      </c>
      <c r="J4" s="241" t="str">
        <f>IF(ISNA(HLOOKUP(A4,IAD!$6:$10,5,0)),"",(HLOOKUP(A4,IAD!$6:$10,5,0)))</f>
        <v>白綠方塊</v>
      </c>
      <c r="K4" s="677">
        <f>日報表!O4</f>
        <v>2</v>
      </c>
      <c r="L4" s="680">
        <f>日報表!V4</f>
        <v>0</v>
      </c>
      <c r="M4" s="680">
        <f>日報表!W4</f>
        <v>0</v>
      </c>
      <c r="N4" s="680">
        <f>日報表!X4</f>
        <v>0</v>
      </c>
      <c r="O4" s="680">
        <f>日報表!Y4</f>
        <v>0</v>
      </c>
    </row>
    <row r="5" spans="1:17">
      <c r="A5" s="204">
        <f>日報表!A5</f>
        <v>0</v>
      </c>
      <c r="B5" s="205">
        <f>日報表!B5</f>
        <v>0</v>
      </c>
      <c r="C5" s="206">
        <f>日報表!C5</f>
        <v>0</v>
      </c>
      <c r="D5" s="206">
        <f>日報表!G5</f>
        <v>0</v>
      </c>
      <c r="E5" s="207">
        <f>日報表!K5</f>
        <v>0</v>
      </c>
      <c r="F5" s="207">
        <f>日報表!N5</f>
        <v>0</v>
      </c>
      <c r="G5" s="208" t="str">
        <f>日報表!M5</f>
        <v/>
      </c>
      <c r="H5" s="238">
        <f>日報表!S5</f>
        <v>0</v>
      </c>
      <c r="I5" s="239">
        <f>日報表!T5</f>
        <v>0</v>
      </c>
      <c r="J5" s="241" t="str">
        <f>IF(ISNA(HLOOKUP(A5,IAD!$6:$10,5,0)),"",(HLOOKUP(A5,IAD!$6:$10,5,0)))</f>
        <v/>
      </c>
      <c r="K5" s="677">
        <f>日報表!O5</f>
        <v>0</v>
      </c>
      <c r="L5" s="680">
        <f>日報表!V5</f>
        <v>0</v>
      </c>
      <c r="M5" s="680">
        <f>日報表!W5</f>
        <v>0</v>
      </c>
      <c r="N5" s="680">
        <f>日報表!X5</f>
        <v>0</v>
      </c>
      <c r="O5" s="680">
        <f>日報表!Y5</f>
        <v>0</v>
      </c>
    </row>
    <row r="6" spans="1:17">
      <c r="A6" s="204" t="str">
        <f>日報表!A6</f>
        <v>2F29K1</v>
      </c>
      <c r="B6" s="205" t="str">
        <f>日報表!B6</f>
        <v>100/36SDR2</v>
      </c>
      <c r="C6" s="206" t="str">
        <f>日報表!C6</f>
        <v>FP81384R</v>
      </c>
      <c r="D6" s="206">
        <f>日報表!G6</f>
        <v>0</v>
      </c>
      <c r="E6" s="207">
        <f>日報表!K6</f>
        <v>0</v>
      </c>
      <c r="F6" s="207">
        <f>日報表!N6</f>
        <v>0</v>
      </c>
      <c r="G6" s="208">
        <f>日報表!M6</f>
        <v>0</v>
      </c>
      <c r="H6" s="238" t="str">
        <f>日報表!S6</f>
        <v>P123</v>
      </c>
      <c r="I6" s="239" t="str">
        <f>日報表!T6</f>
        <v>2.4</v>
      </c>
      <c r="J6" s="241" t="str">
        <f>IF(ISNA(HLOOKUP(A6,IAD!$6:$10,5,0)),"",(HLOOKUP(A6,IAD!$6:$10,5,0)))</f>
        <v>黃黑條紋</v>
      </c>
      <c r="K6" s="677">
        <f>日報表!O6</f>
        <v>5</v>
      </c>
      <c r="L6" s="680">
        <f>日報表!V6</f>
        <v>0</v>
      </c>
      <c r="M6" s="680">
        <f>日報表!W6</f>
        <v>0</v>
      </c>
      <c r="N6" s="680">
        <f>日報表!X6</f>
        <v>0</v>
      </c>
      <c r="O6" s="680">
        <f>日報表!Y6</f>
        <v>0</v>
      </c>
    </row>
    <row r="7" spans="1:17">
      <c r="A7" s="204" t="str">
        <f>日報表!A7</f>
        <v>2F43R2</v>
      </c>
      <c r="B7" s="205" t="str">
        <f>日報表!B7</f>
        <v>75/72/2SDr</v>
      </c>
      <c r="C7" s="206" t="str">
        <f>日報表!C7</f>
        <v>FP81390R×2</v>
      </c>
      <c r="D7" s="206">
        <f>日報表!G7</f>
        <v>26864</v>
      </c>
      <c r="E7" s="207">
        <f>日報表!K7</f>
        <v>0.97446396664681356</v>
      </c>
      <c r="F7" s="207">
        <f>日報表!N7</f>
        <v>0.92354079809410361</v>
      </c>
      <c r="G7" s="208">
        <f>日報表!M7</f>
        <v>1.1065833333333335</v>
      </c>
      <c r="H7" s="238" t="str">
        <f>日報表!S7</f>
        <v>P203</v>
      </c>
      <c r="I7" s="239" t="str">
        <f>日報表!T7</f>
        <v>1.7</v>
      </c>
      <c r="J7" s="241" t="str">
        <f>IF(ISNA(HLOOKUP(A7,IAD!$6:$10,5,0)),"",(HLOOKUP(A7,IAD!$6:$10,5,0)))</f>
        <v>白底藍三角</v>
      </c>
      <c r="K7" s="677">
        <f>日報表!O7</f>
        <v>5</v>
      </c>
      <c r="L7" s="680">
        <f>日報表!V7</f>
        <v>0</v>
      </c>
      <c r="M7" s="680">
        <f>日報表!W7</f>
        <v>0</v>
      </c>
      <c r="N7" s="680">
        <f>日報表!X7</f>
        <v>0</v>
      </c>
      <c r="O7" s="680">
        <f>日報表!Y7</f>
        <v>0</v>
      </c>
    </row>
    <row r="8" spans="1:17">
      <c r="A8" s="204" t="str">
        <f>日報表!A8</f>
        <v>2F43U3</v>
      </c>
      <c r="B8" s="205" t="str">
        <f>日報表!B8</f>
        <v>150/144FCT</v>
      </c>
      <c r="C8" s="206" t="str">
        <f>日報表!C8</f>
        <v>FP81360R+FP81858</v>
      </c>
      <c r="D8" s="206">
        <f>日報表!G8</f>
        <v>15236</v>
      </c>
      <c r="E8" s="207">
        <f>日報表!K8</f>
        <v>1</v>
      </c>
      <c r="F8" s="207">
        <f>日報表!N8</f>
        <v>0.92150170648464169</v>
      </c>
      <c r="G8" s="208">
        <f>日報表!M8</f>
        <v>4.364583333333333</v>
      </c>
      <c r="H8" s="238" t="str">
        <f>日報表!S8</f>
        <v>P203</v>
      </c>
      <c r="I8" s="239" t="str">
        <f>日報表!T8</f>
        <v>1.9</v>
      </c>
      <c r="J8" s="241" t="str">
        <f>IF(ISNA(HLOOKUP(A8,IAD!$6:$10,5,0)),"",(HLOOKUP(A8,IAD!$6:$10,5,0)))</f>
        <v>白黑方塊</v>
      </c>
      <c r="K8" s="677">
        <f>日報表!O8</f>
        <v>4</v>
      </c>
      <c r="L8" s="680">
        <f>日報表!V8</f>
        <v>0</v>
      </c>
      <c r="M8" s="680">
        <f>日報表!W8</f>
        <v>0</v>
      </c>
      <c r="N8" s="680">
        <f>日報表!X8</f>
        <v>0</v>
      </c>
      <c r="O8" s="680">
        <f>日報表!Y8</f>
        <v>0</v>
      </c>
    </row>
    <row r="9" spans="1:17">
      <c r="A9" s="204" t="str">
        <f>日報表!A9</f>
        <v>2F43V1</v>
      </c>
      <c r="B9" s="205" t="str">
        <f>日報表!B9</f>
        <v>150/48KR5</v>
      </c>
      <c r="C9" s="206" t="str">
        <f>日報表!C9</f>
        <v>FP82661</v>
      </c>
      <c r="D9" s="206">
        <f>日報表!G9</f>
        <v>0</v>
      </c>
      <c r="E9" s="207">
        <f>日報表!K9</f>
        <v>0</v>
      </c>
      <c r="F9" s="207">
        <f>日報表!N9</f>
        <v>0</v>
      </c>
      <c r="G9" s="208">
        <f>日報表!M9</f>
        <v>0</v>
      </c>
      <c r="H9" s="238">
        <f>日報表!S9</f>
        <v>0</v>
      </c>
      <c r="I9" s="239">
        <f>日報表!T9</f>
        <v>0</v>
      </c>
      <c r="J9" s="241" t="str">
        <f>IF(ISNA(HLOOKUP(A9,IAD!$6:$10,5,0)),"",(HLOOKUP(A9,IAD!$6:$10,5,0)))</f>
        <v/>
      </c>
      <c r="K9" s="677">
        <f>日報表!O9</f>
        <v>5</v>
      </c>
      <c r="L9" s="680">
        <f>日報表!V9</f>
        <v>0</v>
      </c>
      <c r="M9" s="680">
        <f>日報表!W9</f>
        <v>0</v>
      </c>
      <c r="N9" s="680">
        <f>日報表!X9</f>
        <v>0</v>
      </c>
      <c r="O9" s="680">
        <f>日報表!Y9</f>
        <v>0</v>
      </c>
    </row>
    <row r="10" spans="1:17">
      <c r="A10" s="204" t="str">
        <f>日報表!A10</f>
        <v>2F43W1</v>
      </c>
      <c r="B10" s="205" t="str">
        <f>日報表!B10</f>
        <v>150/48SDR4</v>
      </c>
      <c r="C10" s="206" t="str">
        <f>日報表!C10</f>
        <v>FP82179R</v>
      </c>
      <c r="D10" s="206">
        <f>日報表!G10</f>
        <v>0</v>
      </c>
      <c r="E10" s="207">
        <f>日報表!K10</f>
        <v>0</v>
      </c>
      <c r="F10" s="207">
        <f>日報表!N10</f>
        <v>0</v>
      </c>
      <c r="G10" s="208">
        <f>日報表!M10</f>
        <v>0</v>
      </c>
      <c r="H10" s="238" t="str">
        <f>日報表!S10</f>
        <v>P203</v>
      </c>
      <c r="I10" s="239" t="str">
        <f>日報表!T10</f>
        <v>0.7</v>
      </c>
      <c r="J10" s="241" t="str">
        <f>IF(ISNA(HLOOKUP(A10,IAD!$6:$10,5,0)),"",(HLOOKUP(A10,IAD!$6:$10,5,0)))</f>
        <v>白綠條紋</v>
      </c>
      <c r="K10" s="677">
        <f>日報表!O10</f>
        <v>5</v>
      </c>
      <c r="L10" s="680">
        <f>日報表!V10</f>
        <v>0</v>
      </c>
      <c r="M10" s="680">
        <f>日報表!W10</f>
        <v>0</v>
      </c>
      <c r="N10" s="680">
        <f>日報表!X10</f>
        <v>0</v>
      </c>
      <c r="O10" s="680">
        <f>日報表!Y10</f>
        <v>0</v>
      </c>
    </row>
    <row r="11" spans="1:17">
      <c r="A11" s="204">
        <f>日報表!A11</f>
        <v>0</v>
      </c>
      <c r="B11" s="205">
        <f>日報表!B11</f>
        <v>0</v>
      </c>
      <c r="C11" s="206">
        <f>日報表!C11</f>
        <v>0</v>
      </c>
      <c r="D11" s="206">
        <f>日報表!G11</f>
        <v>0</v>
      </c>
      <c r="E11" s="207">
        <f>日報表!K11</f>
        <v>0</v>
      </c>
      <c r="F11" s="207">
        <f>日報表!N11</f>
        <v>0</v>
      </c>
      <c r="G11" s="208" t="str">
        <f>日報表!M11</f>
        <v/>
      </c>
      <c r="H11" s="238">
        <f>日報表!S11</f>
        <v>0</v>
      </c>
      <c r="I11" s="239">
        <f>日報表!T11</f>
        <v>0</v>
      </c>
      <c r="J11" s="241" t="str">
        <f>IF(ISNA(HLOOKUP(A11,IAD!$6:$10,5,0)),"",(HLOOKUP(A11,IAD!$6:$10,5,0)))</f>
        <v/>
      </c>
      <c r="K11" s="677">
        <f>日報表!O11</f>
        <v>0</v>
      </c>
      <c r="L11" s="680">
        <f>日報表!V11</f>
        <v>0</v>
      </c>
      <c r="M11" s="680">
        <f>日報表!W11</f>
        <v>0</v>
      </c>
      <c r="N11" s="680">
        <f>日報表!X11</f>
        <v>0</v>
      </c>
      <c r="O11" s="680">
        <f>日報表!Y11</f>
        <v>0</v>
      </c>
    </row>
    <row r="12" spans="1:17">
      <c r="A12" s="204" t="str">
        <f>日報表!A12</f>
        <v>2F6IX1</v>
      </c>
      <c r="B12" s="205" t="str">
        <f>日報表!B12</f>
        <v>150/48/2HC</v>
      </c>
      <c r="C12" s="206" t="str">
        <f>日報表!C12</f>
        <v>FP82781×2</v>
      </c>
      <c r="D12" s="206">
        <f>日報表!G12</f>
        <v>29943</v>
      </c>
      <c r="E12" s="207">
        <f>日報表!K12</f>
        <v>1</v>
      </c>
      <c r="F12" s="207">
        <f>日報表!N12</f>
        <v>0.92575894198978059</v>
      </c>
      <c r="G12" s="208">
        <f>日報表!M12</f>
        <v>1.5972222222222225</v>
      </c>
      <c r="H12" s="238" t="str">
        <f>日報表!S12</f>
        <v>P204</v>
      </c>
      <c r="I12" s="239" t="str">
        <f>日報表!T12</f>
        <v>1.9</v>
      </c>
      <c r="J12" s="241" t="str">
        <f>IF(ISNA(HLOOKUP(A12,IAD!$6:$10,5,0)),"",(HLOOKUP(A12,IAD!$6:$10,5,0)))</f>
        <v>黃底白點</v>
      </c>
      <c r="K12" s="677">
        <f>日報表!O12</f>
        <v>5.5</v>
      </c>
      <c r="L12" s="680">
        <f>日報表!V12</f>
        <v>0</v>
      </c>
      <c r="M12" s="680">
        <f>日報表!W12</f>
        <v>0</v>
      </c>
      <c r="N12" s="680">
        <f>日報表!X12</f>
        <v>0</v>
      </c>
      <c r="O12" s="680">
        <f>日報表!Y12</f>
        <v>0</v>
      </c>
    </row>
    <row r="13" spans="1:17">
      <c r="A13" s="204" t="str">
        <f>日報表!A13</f>
        <v>2F6IZ3</v>
      </c>
      <c r="B13" s="205" t="str">
        <f>日報表!B13</f>
        <v>150/48/2FBKR</v>
      </c>
      <c r="C13" s="206" t="str">
        <f>日報表!C13</f>
        <v>FP02423R×2</v>
      </c>
      <c r="D13" s="206">
        <f>日報表!G13</f>
        <v>0</v>
      </c>
      <c r="E13" s="207">
        <f>日報表!K13</f>
        <v>0</v>
      </c>
      <c r="F13" s="207">
        <f>日報表!N13</f>
        <v>0</v>
      </c>
      <c r="G13" s="208">
        <f>日報表!M13</f>
        <v>0</v>
      </c>
      <c r="H13" s="238" t="str">
        <f>日報表!S13</f>
        <v>P227</v>
      </c>
      <c r="I13" s="239" t="str">
        <f>日報表!T13</f>
        <v>3.4</v>
      </c>
      <c r="J13" s="241" t="str">
        <f>IF(ISNA(HLOOKUP(A13,IAD!$6:$10,5,0)),"",(HLOOKUP(A13,IAD!$6:$10,5,0)))</f>
        <v>黃色</v>
      </c>
      <c r="K13" s="677">
        <f>日報表!O13</f>
        <v>5</v>
      </c>
      <c r="L13" s="680">
        <f>日報表!V13</f>
        <v>0</v>
      </c>
      <c r="M13" s="680">
        <f>日報表!W13</f>
        <v>0</v>
      </c>
      <c r="N13" s="680">
        <f>日報表!X13</f>
        <v>0</v>
      </c>
      <c r="O13" s="680">
        <f>日報表!Y13</f>
        <v>0</v>
      </c>
    </row>
    <row r="14" spans="1:17">
      <c r="A14" s="204" t="str">
        <f>日報表!A14</f>
        <v>2F6JA2</v>
      </c>
      <c r="B14" s="205" t="str">
        <f>日報表!B14</f>
        <v>150/48/2SDR2</v>
      </c>
      <c r="C14" s="206" t="str">
        <f>日報表!C14</f>
        <v>FP82179R×2</v>
      </c>
      <c r="D14" s="206">
        <f>日報表!G14</f>
        <v>7950</v>
      </c>
      <c r="E14" s="207">
        <f>日報表!K14</f>
        <v>1</v>
      </c>
      <c r="F14" s="207">
        <f>日報表!N14</f>
        <v>1</v>
      </c>
      <c r="G14" s="208">
        <f>日報表!M14</f>
        <v>2.0324999999999998</v>
      </c>
      <c r="H14" s="238" t="str">
        <f>日報表!S14</f>
        <v>P204</v>
      </c>
      <c r="I14" s="239" t="str">
        <f>日報表!T14</f>
        <v>2.6</v>
      </c>
      <c r="J14" s="241" t="str">
        <f>IF(ISNA(HLOOKUP(A14,IAD!$6:$10,5,0)),"",(HLOOKUP(A14,IAD!$6:$10,5,0)))</f>
        <v>紫色</v>
      </c>
      <c r="K14" s="677">
        <f>日報表!O14</f>
        <v>5</v>
      </c>
      <c r="L14" s="680">
        <f>日報表!V14</f>
        <v>0</v>
      </c>
      <c r="M14" s="680">
        <f>日報表!W14</f>
        <v>0</v>
      </c>
      <c r="N14" s="680">
        <f>日報表!X14</f>
        <v>0</v>
      </c>
      <c r="O14" s="680">
        <f>日報表!Y14</f>
        <v>0</v>
      </c>
    </row>
    <row r="15" spans="1:17">
      <c r="A15" s="204" t="str">
        <f>日報表!A15</f>
        <v>2F7E31</v>
      </c>
      <c r="B15" s="205" t="str">
        <f>日報表!B15</f>
        <v>165/48/2SR6</v>
      </c>
      <c r="C15" s="206" t="str">
        <f>日報表!C15</f>
        <v>FP82659×2</v>
      </c>
      <c r="D15" s="206">
        <f>日報表!G15</f>
        <v>3059</v>
      </c>
      <c r="E15" s="207">
        <f>日報表!K15</f>
        <v>0.8937561294540699</v>
      </c>
      <c r="F15" s="207">
        <f>日報表!N15</f>
        <v>0.65707747629944424</v>
      </c>
      <c r="G15" s="208">
        <f>日報表!M15</f>
        <v>0</v>
      </c>
      <c r="H15" s="238" t="str">
        <f>日報表!S15</f>
        <v>P203</v>
      </c>
      <c r="I15" s="239" t="str">
        <f>日報表!T15</f>
        <v>2.0</v>
      </c>
      <c r="J15" s="241" t="str">
        <f>IF(ISNA(HLOOKUP(A15,IAD!$6:$10,5,0)),"",(HLOOKUP(A15,IAD!$6:$10,5,0)))</f>
        <v>黃色</v>
      </c>
      <c r="K15" s="677">
        <f>日報表!O15</f>
        <v>5</v>
      </c>
      <c r="L15" s="680">
        <f>日報表!V15</f>
        <v>0</v>
      </c>
      <c r="M15" s="680">
        <f>日報表!W15</f>
        <v>0</v>
      </c>
      <c r="N15" s="680">
        <f>日報表!X15</f>
        <v>0</v>
      </c>
      <c r="O15" s="680">
        <f>日報表!Y15</f>
        <v>0</v>
      </c>
    </row>
    <row r="16" spans="1:17">
      <c r="A16" s="204" t="str">
        <f>日報表!A16</f>
        <v>2FA092</v>
      </c>
      <c r="B16" s="205" t="str">
        <f>日報表!B16</f>
        <v>75/72F2FC</v>
      </c>
      <c r="C16" s="206" t="str">
        <f>日報表!C16</f>
        <v>FP01436</v>
      </c>
      <c r="D16" s="206">
        <f>日報表!G16</f>
        <v>14002</v>
      </c>
      <c r="E16" s="207">
        <f>日報表!K16</f>
        <v>0.9575060705613484</v>
      </c>
      <c r="F16" s="207">
        <f>日報表!N16</f>
        <v>0.8655906299100129</v>
      </c>
      <c r="G16" s="208">
        <f>日報表!M16</f>
        <v>2.7359259259259257</v>
      </c>
      <c r="H16" s="238" t="str">
        <f>日報表!S16</f>
        <v>P203</v>
      </c>
      <c r="I16" s="239" t="str">
        <f>日報表!T16</f>
        <v>0.8</v>
      </c>
      <c r="J16" s="241" t="str">
        <f>IF(ISNA(HLOOKUP(A16,IAD!$6:$10,5,0)),"",(HLOOKUP(A16,IAD!$6:$10,5,0)))</f>
        <v>白底紅星</v>
      </c>
      <c r="K16" s="677">
        <f>日報表!O16</f>
        <v>3</v>
      </c>
      <c r="L16" s="680">
        <f>日報表!V16</f>
        <v>0</v>
      </c>
      <c r="M16" s="680">
        <f>日報表!W16</f>
        <v>0</v>
      </c>
      <c r="N16" s="680">
        <f>日報表!X16</f>
        <v>0</v>
      </c>
      <c r="O16" s="680">
        <f>日報表!Y16</f>
        <v>0</v>
      </c>
    </row>
    <row r="17" spans="1:15">
      <c r="A17" s="204" t="str">
        <f>日報表!A17</f>
        <v>2FA102</v>
      </c>
      <c r="B17" s="205" t="str">
        <f>日報表!B17</f>
        <v>75/48SDr</v>
      </c>
      <c r="C17" s="206" t="str">
        <f>日報表!C17</f>
        <v>FP81388R</v>
      </c>
      <c r="D17" s="206">
        <f>日報表!G17</f>
        <v>12119</v>
      </c>
      <c r="E17" s="207">
        <f>日報表!K17</f>
        <v>1</v>
      </c>
      <c r="F17" s="207">
        <f>日報表!N17</f>
        <v>0.94067167258024587</v>
      </c>
      <c r="G17" s="208">
        <f>日報表!M17</f>
        <v>1.8055555555555556</v>
      </c>
      <c r="H17" s="238" t="str">
        <f>日報表!S17</f>
        <v>P203</v>
      </c>
      <c r="I17" s="239" t="str">
        <f>日報表!T17</f>
        <v>1.3</v>
      </c>
      <c r="J17" s="241" t="str">
        <f>IF(ISNA(HLOOKUP(A17,IAD!$6:$10,5,0)),"",(HLOOKUP(A17,IAD!$6:$10,5,0)))</f>
        <v>藍底白十字</v>
      </c>
      <c r="K17" s="677">
        <f>日報表!O17</f>
        <v>5</v>
      </c>
      <c r="L17" s="680">
        <f>日報表!V17</f>
        <v>0</v>
      </c>
      <c r="M17" s="680">
        <f>日報表!W17</f>
        <v>0</v>
      </c>
      <c r="N17" s="680">
        <f>日報表!X17</f>
        <v>0</v>
      </c>
      <c r="O17" s="680">
        <f>日報表!Y17</f>
        <v>0</v>
      </c>
    </row>
    <row r="18" spans="1:15">
      <c r="A18" s="204" t="str">
        <f>日報表!A18</f>
        <v>2FA112</v>
      </c>
      <c r="B18" s="205" t="str">
        <f>日報表!B18</f>
        <v>75/72SRR5</v>
      </c>
      <c r="C18" s="206" t="str">
        <f>日報表!C18</f>
        <v>FP81630</v>
      </c>
      <c r="D18" s="206">
        <f>日報表!G18</f>
        <v>11946</v>
      </c>
      <c r="E18" s="207">
        <f>日報表!K18</f>
        <v>1</v>
      </c>
      <c r="F18" s="207">
        <f>日報表!N18</f>
        <v>0.91076510966013724</v>
      </c>
      <c r="G18" s="208">
        <f>日報表!M18</f>
        <v>3.4737878787878786</v>
      </c>
      <c r="H18" s="238" t="str">
        <f>日報表!S18</f>
        <v>P203</v>
      </c>
      <c r="I18" s="239" t="str">
        <f>日報表!T18</f>
        <v>0.7</v>
      </c>
      <c r="J18" s="241" t="str">
        <f>IF(ISNA(HLOOKUP(A18,IAD!$6:$10,5,0)),"",(HLOOKUP(A18,IAD!$6:$10,5,0)))</f>
        <v>綠藍雙色</v>
      </c>
      <c r="K18" s="677">
        <f>日報表!O18</f>
        <v>4</v>
      </c>
      <c r="L18" s="680">
        <f>日報表!V18</f>
        <v>0</v>
      </c>
      <c r="M18" s="680">
        <f>日報表!W18</f>
        <v>0</v>
      </c>
      <c r="N18" s="680">
        <f>日報表!X18</f>
        <v>0</v>
      </c>
      <c r="O18" s="680">
        <f>日報表!Y18</f>
        <v>0</v>
      </c>
    </row>
    <row r="19" spans="1:15">
      <c r="A19" s="204" t="str">
        <f>日報表!A19</f>
        <v>2FA122</v>
      </c>
      <c r="B19" s="205" t="str">
        <f>日報表!B19</f>
        <v>75/72PDR</v>
      </c>
      <c r="C19" s="206" t="str">
        <f>日報表!C19</f>
        <v>FP81365R</v>
      </c>
      <c r="D19" s="206">
        <f>日報表!G19</f>
        <v>3750</v>
      </c>
      <c r="E19" s="207">
        <f>日報表!K19</f>
        <v>1</v>
      </c>
      <c r="F19" s="207">
        <f>日報表!N19</f>
        <v>1</v>
      </c>
      <c r="G19" s="208">
        <f>日報表!M19</f>
        <v>1.46875</v>
      </c>
      <c r="H19" s="238" t="str">
        <f>日報表!S19</f>
        <v>P203</v>
      </c>
      <c r="I19" s="239" t="str">
        <f>日報表!T19</f>
        <v>0.8</v>
      </c>
      <c r="J19" s="241" t="str">
        <f>IF(ISNA(HLOOKUP(A19,IAD!$6:$10,5,0)),"",(HLOOKUP(A19,IAD!$6:$10,5,0)))</f>
        <v>洋綠色</v>
      </c>
      <c r="K19" s="677">
        <f>日報表!O19</f>
        <v>5</v>
      </c>
      <c r="L19" s="680">
        <f>日報表!V19</f>
        <v>0</v>
      </c>
      <c r="M19" s="680">
        <f>日報表!W19</f>
        <v>0</v>
      </c>
      <c r="N19" s="680">
        <f>日報表!X19</f>
        <v>0</v>
      </c>
      <c r="O19" s="680">
        <f>日報表!Y19</f>
        <v>0</v>
      </c>
    </row>
    <row r="20" spans="1:15">
      <c r="A20" s="204">
        <f>日報表!A20</f>
        <v>0</v>
      </c>
      <c r="B20" s="205">
        <f>日報表!B20</f>
        <v>0</v>
      </c>
      <c r="C20" s="206">
        <f>日報表!C20</f>
        <v>0</v>
      </c>
      <c r="D20" s="206">
        <f>日報表!G20</f>
        <v>0</v>
      </c>
      <c r="E20" s="207">
        <f>日報表!K20</f>
        <v>0</v>
      </c>
      <c r="F20" s="207">
        <f>日報表!N20</f>
        <v>0</v>
      </c>
      <c r="G20" s="208" t="str">
        <f>日報表!M20</f>
        <v/>
      </c>
      <c r="H20" s="238">
        <f>日報表!S20</f>
        <v>0</v>
      </c>
      <c r="I20" s="239">
        <f>日報表!T20</f>
        <v>0</v>
      </c>
      <c r="J20" s="241" t="str">
        <f>IF(ISNA(HLOOKUP(A20,IAD!$6:$10,5,0)),"",(HLOOKUP(A20,IAD!$6:$10,5,0)))</f>
        <v/>
      </c>
      <c r="K20" s="677">
        <f>日報表!O20</f>
        <v>0</v>
      </c>
      <c r="L20" s="680">
        <f>日報表!V20</f>
        <v>0</v>
      </c>
      <c r="M20" s="680">
        <f>日報表!W20</f>
        <v>0</v>
      </c>
      <c r="N20" s="680">
        <f>日報表!X20</f>
        <v>0</v>
      </c>
      <c r="O20" s="680">
        <f>日報表!Y20</f>
        <v>0</v>
      </c>
    </row>
    <row r="21" spans="1:15">
      <c r="A21" s="204">
        <f>日報表!A21</f>
        <v>0</v>
      </c>
      <c r="B21" s="205">
        <f>日報表!B21</f>
        <v>0</v>
      </c>
      <c r="C21" s="206">
        <f>日報表!C21</f>
        <v>0</v>
      </c>
      <c r="D21" s="206">
        <f>日報表!G21</f>
        <v>0</v>
      </c>
      <c r="E21" s="207">
        <f>日報表!K21</f>
        <v>0</v>
      </c>
      <c r="F21" s="207">
        <f>日報表!N21</f>
        <v>0</v>
      </c>
      <c r="G21" s="208" t="str">
        <f>日報表!M21</f>
        <v/>
      </c>
      <c r="H21" s="238">
        <f>日報表!S21</f>
        <v>0</v>
      </c>
      <c r="I21" s="239">
        <f>日報表!T21</f>
        <v>0</v>
      </c>
      <c r="J21" s="241" t="str">
        <f>IF(ISNA(HLOOKUP(A21,IAD!$6:$10,5,0)),"",(HLOOKUP(A21,IAD!$6:$10,5,0)))</f>
        <v/>
      </c>
      <c r="K21" s="677">
        <f>日報表!O21</f>
        <v>0</v>
      </c>
      <c r="L21" s="680">
        <f>日報表!V21</f>
        <v>0</v>
      </c>
      <c r="M21" s="680">
        <f>日報表!W21</f>
        <v>0</v>
      </c>
      <c r="N21" s="680">
        <f>日報表!X21</f>
        <v>0</v>
      </c>
      <c r="O21" s="680">
        <f>日報表!Y21</f>
        <v>0</v>
      </c>
    </row>
    <row r="22" spans="1:15">
      <c r="A22" s="204">
        <f>日報表!A22</f>
        <v>0</v>
      </c>
      <c r="B22" s="205">
        <f>日報表!B22</f>
        <v>0</v>
      </c>
      <c r="C22" s="206">
        <f>日報表!C22</f>
        <v>0</v>
      </c>
      <c r="D22" s="206">
        <f>日報表!G22</f>
        <v>0</v>
      </c>
      <c r="E22" s="207">
        <f>日報表!K22</f>
        <v>0</v>
      </c>
      <c r="F22" s="207">
        <f>日報表!N22</f>
        <v>0</v>
      </c>
      <c r="G22" s="208" t="str">
        <f>日報表!M22</f>
        <v/>
      </c>
      <c r="H22" s="238">
        <f>日報表!S22</f>
        <v>0</v>
      </c>
      <c r="I22" s="239">
        <f>日報表!T22</f>
        <v>0</v>
      </c>
      <c r="J22" s="241" t="str">
        <f>IF(ISNA(HLOOKUP(A22,IAD!$6:$10,5,0)),"",(HLOOKUP(A22,IAD!$6:$10,5,0)))</f>
        <v/>
      </c>
      <c r="K22" s="677">
        <f>日報表!O22</f>
        <v>0</v>
      </c>
      <c r="L22" s="680">
        <f>日報表!V22</f>
        <v>0</v>
      </c>
      <c r="M22" s="680">
        <f>日報表!W22</f>
        <v>0</v>
      </c>
      <c r="N22" s="680">
        <f>日報表!X22</f>
        <v>0</v>
      </c>
      <c r="O22" s="680">
        <f>日報表!Y22</f>
        <v>0</v>
      </c>
    </row>
    <row r="23" spans="1:15">
      <c r="A23" s="204">
        <f>日報表!A23</f>
        <v>0</v>
      </c>
      <c r="B23" s="205">
        <f>日報表!B23</f>
        <v>0</v>
      </c>
      <c r="C23" s="206">
        <f>日報表!C23</f>
        <v>0</v>
      </c>
      <c r="D23" s="206">
        <f>日報表!G23</f>
        <v>0</v>
      </c>
      <c r="E23" s="207">
        <f>日報表!K23</f>
        <v>0</v>
      </c>
      <c r="F23" s="207">
        <f>日報表!N23</f>
        <v>0</v>
      </c>
      <c r="G23" s="208" t="str">
        <f>日報表!M23</f>
        <v/>
      </c>
      <c r="H23" s="238">
        <f>日報表!S23</f>
        <v>0</v>
      </c>
      <c r="I23" s="239">
        <f>日報表!T23</f>
        <v>0</v>
      </c>
      <c r="J23" s="241" t="str">
        <f>IF(ISNA(HLOOKUP(A23,IAD!$6:$10,5,0)),"",(HLOOKUP(A23,IAD!$6:$10,5,0)))</f>
        <v/>
      </c>
      <c r="K23" s="677">
        <f>日報表!O23</f>
        <v>0</v>
      </c>
      <c r="L23" s="680">
        <f>日報表!V23</f>
        <v>0</v>
      </c>
      <c r="M23" s="680">
        <f>日報表!W23</f>
        <v>0</v>
      </c>
      <c r="N23" s="680">
        <f>日報表!X23</f>
        <v>0</v>
      </c>
      <c r="O23" s="680">
        <f>日報表!Y23</f>
        <v>0</v>
      </c>
    </row>
    <row r="24" spans="1:15">
      <c r="A24" s="204">
        <f>日報表!A24</f>
        <v>0</v>
      </c>
      <c r="B24" s="205">
        <f>日報表!B24</f>
        <v>0</v>
      </c>
      <c r="C24" s="206">
        <f>日報表!C24</f>
        <v>0</v>
      </c>
      <c r="D24" s="206">
        <f>日報表!G24</f>
        <v>0</v>
      </c>
      <c r="E24" s="207">
        <f>日報表!K24</f>
        <v>0</v>
      </c>
      <c r="F24" s="207">
        <f>日報表!N24</f>
        <v>0</v>
      </c>
      <c r="G24" s="208" t="str">
        <f>日報表!M24</f>
        <v/>
      </c>
      <c r="H24" s="238">
        <f>日報表!S24</f>
        <v>0</v>
      </c>
      <c r="I24" s="239">
        <f>日報表!T24</f>
        <v>0</v>
      </c>
      <c r="J24" s="241" t="str">
        <f>IF(ISNA(HLOOKUP(A24,IAD!$6:$10,5,0)),"",(HLOOKUP(A24,IAD!$6:$10,5,0)))</f>
        <v/>
      </c>
      <c r="K24" s="677">
        <f>日報表!O24</f>
        <v>0</v>
      </c>
      <c r="L24" s="680">
        <f>日報表!V24</f>
        <v>0</v>
      </c>
      <c r="M24" s="680">
        <f>日報表!W24</f>
        <v>0</v>
      </c>
      <c r="N24" s="680">
        <f>日報表!X24</f>
        <v>0</v>
      </c>
      <c r="O24" s="680">
        <f>日報表!Y24</f>
        <v>0</v>
      </c>
    </row>
    <row r="25" spans="1:15">
      <c r="A25" s="204">
        <f>日報表!A25</f>
        <v>0</v>
      </c>
      <c r="B25" s="205">
        <f>日報表!B25</f>
        <v>0</v>
      </c>
      <c r="C25" s="206">
        <f>日報表!C25</f>
        <v>0</v>
      </c>
      <c r="D25" s="206">
        <f>日報表!G25</f>
        <v>0</v>
      </c>
      <c r="E25" s="207">
        <f>日報表!K25</f>
        <v>0</v>
      </c>
      <c r="F25" s="207">
        <f>日報表!N25</f>
        <v>0</v>
      </c>
      <c r="G25" s="208" t="str">
        <f>日報表!M25</f>
        <v/>
      </c>
      <c r="H25" s="238">
        <f>日報表!S25</f>
        <v>0</v>
      </c>
      <c r="I25" s="239">
        <f>日報表!T25</f>
        <v>0</v>
      </c>
      <c r="J25" s="241" t="str">
        <f>IF(ISNA(HLOOKUP(A25,IAD!$6:$10,5,0)),"",(HLOOKUP(A25,IAD!$6:$10,5,0)))</f>
        <v/>
      </c>
      <c r="K25" s="677">
        <f>日報表!O25</f>
        <v>0</v>
      </c>
      <c r="L25" s="680">
        <f>日報表!V25</f>
        <v>0</v>
      </c>
      <c r="M25" s="680">
        <f>日報表!W25</f>
        <v>0</v>
      </c>
      <c r="N25" s="680">
        <f>日報表!X25</f>
        <v>0</v>
      </c>
      <c r="O25" s="680">
        <f>日報表!Y25</f>
        <v>0</v>
      </c>
    </row>
    <row r="26" spans="1:15">
      <c r="A26" s="204">
        <f>日報表!A26</f>
        <v>0</v>
      </c>
      <c r="B26" s="205">
        <f>日報表!B26</f>
        <v>0</v>
      </c>
      <c r="C26" s="206">
        <f>日報表!C26</f>
        <v>0</v>
      </c>
      <c r="D26" s="206">
        <f>日報表!G26</f>
        <v>0</v>
      </c>
      <c r="E26" s="207">
        <f>日報表!K26</f>
        <v>0</v>
      </c>
      <c r="F26" s="207">
        <f>日報表!N26</f>
        <v>0</v>
      </c>
      <c r="G26" s="208" t="str">
        <f>日報表!M26</f>
        <v/>
      </c>
      <c r="H26" s="238">
        <f>日報表!S26</f>
        <v>0</v>
      </c>
      <c r="I26" s="239">
        <f>日報表!T26</f>
        <v>0</v>
      </c>
      <c r="J26" s="241" t="str">
        <f>IF(ISNA(HLOOKUP(A26,IAD!$6:$10,5,0)),"",(HLOOKUP(A26,IAD!$6:$10,5,0)))</f>
        <v/>
      </c>
      <c r="K26" s="677">
        <f>日報表!O26</f>
        <v>0</v>
      </c>
      <c r="L26" s="680">
        <f>日報表!V26</f>
        <v>0</v>
      </c>
      <c r="M26" s="680">
        <f>日報表!W26</f>
        <v>0</v>
      </c>
      <c r="N26" s="680">
        <f>日報表!X26</f>
        <v>0</v>
      </c>
      <c r="O26" s="680">
        <f>日報表!Y26</f>
        <v>0</v>
      </c>
    </row>
    <row r="27" spans="1:15">
      <c r="A27" s="204">
        <f>日報表!A27</f>
        <v>0</v>
      </c>
      <c r="B27" s="205">
        <f>日報表!B27</f>
        <v>0</v>
      </c>
      <c r="C27" s="206">
        <f>日報表!C27</f>
        <v>0</v>
      </c>
      <c r="D27" s="206">
        <f>日報表!G27</f>
        <v>0</v>
      </c>
      <c r="E27" s="207">
        <f>日報表!K27</f>
        <v>0</v>
      </c>
      <c r="F27" s="207">
        <f>日報表!N27</f>
        <v>0</v>
      </c>
      <c r="G27" s="208" t="str">
        <f>日報表!M27</f>
        <v/>
      </c>
      <c r="H27" s="238">
        <f>日報表!S27</f>
        <v>0</v>
      </c>
      <c r="I27" s="239">
        <f>日報表!T27</f>
        <v>0</v>
      </c>
      <c r="J27" s="241" t="str">
        <f>IF(ISNA(HLOOKUP(A27,IAD!$6:$10,5,0)),"",(HLOOKUP(A27,IAD!$6:$10,5,0)))</f>
        <v/>
      </c>
      <c r="K27" s="677">
        <f>日報表!O27</f>
        <v>0</v>
      </c>
      <c r="L27" s="680">
        <f>日報表!V27</f>
        <v>0</v>
      </c>
      <c r="M27" s="680">
        <f>日報表!W27</f>
        <v>0</v>
      </c>
      <c r="N27" s="680">
        <f>日報表!X27</f>
        <v>0</v>
      </c>
      <c r="O27" s="680">
        <f>日報表!Y27</f>
        <v>0</v>
      </c>
    </row>
    <row r="28" spans="1:15">
      <c r="A28" s="204">
        <f>日報表!A28</f>
        <v>0</v>
      </c>
      <c r="B28" s="205">
        <f>日報表!B28</f>
        <v>0</v>
      </c>
      <c r="C28" s="206">
        <f>日報表!C28</f>
        <v>0</v>
      </c>
      <c r="D28" s="206">
        <f>日報表!G28</f>
        <v>0</v>
      </c>
      <c r="E28" s="207">
        <f>日報表!K28</f>
        <v>0</v>
      </c>
      <c r="F28" s="207">
        <f>日報表!N28</f>
        <v>0</v>
      </c>
      <c r="G28" s="208" t="str">
        <f>日報表!M28</f>
        <v/>
      </c>
      <c r="H28" s="238">
        <f>日報表!S28</f>
        <v>0</v>
      </c>
      <c r="I28" s="239">
        <f>日報表!T28</f>
        <v>0</v>
      </c>
      <c r="J28" s="241" t="str">
        <f>IF(ISNA(HLOOKUP(A28,IAD!$6:$10,5,0)),"",(HLOOKUP(A28,IAD!$6:$10,5,0)))</f>
        <v/>
      </c>
      <c r="K28" s="677">
        <f>日報表!O28</f>
        <v>0</v>
      </c>
      <c r="L28" s="680">
        <f>日報表!V28</f>
        <v>0</v>
      </c>
      <c r="M28" s="680">
        <f>日報表!W28</f>
        <v>0</v>
      </c>
      <c r="N28" s="680">
        <f>日報表!X28</f>
        <v>0</v>
      </c>
      <c r="O28" s="680">
        <f>日報表!Y28</f>
        <v>0</v>
      </c>
    </row>
    <row r="29" spans="1:15">
      <c r="A29" s="204">
        <f>日報表!A29</f>
        <v>0</v>
      </c>
      <c r="B29" s="205">
        <f>日報表!B29</f>
        <v>0</v>
      </c>
      <c r="C29" s="206">
        <f>日報表!C29</f>
        <v>0</v>
      </c>
      <c r="D29" s="206">
        <f>日報表!G29</f>
        <v>0</v>
      </c>
      <c r="E29" s="207">
        <f>日報表!K29</f>
        <v>0</v>
      </c>
      <c r="F29" s="207">
        <f>日報表!N29</f>
        <v>0</v>
      </c>
      <c r="G29" s="208" t="str">
        <f>日報表!M29</f>
        <v/>
      </c>
      <c r="H29" s="238">
        <f>日報表!S29</f>
        <v>0</v>
      </c>
      <c r="I29" s="239">
        <f>日報表!T29</f>
        <v>0</v>
      </c>
      <c r="J29" s="241" t="str">
        <f>IF(ISNA(HLOOKUP(A29,IAD!$6:$10,5,0)),"",(HLOOKUP(A29,IAD!$6:$10,5,0)))</f>
        <v/>
      </c>
      <c r="K29" s="677">
        <f>日報表!O29</f>
        <v>0</v>
      </c>
      <c r="L29" s="680">
        <f>日報表!V29</f>
        <v>0</v>
      </c>
      <c r="M29" s="680">
        <f>日報表!W29</f>
        <v>0</v>
      </c>
      <c r="N29" s="680">
        <f>日報表!X29</f>
        <v>0</v>
      </c>
      <c r="O29" s="680">
        <f>日報表!Y29</f>
        <v>0</v>
      </c>
    </row>
    <row r="30" spans="1:15">
      <c r="A30" s="204">
        <f>日報表!A30</f>
        <v>0</v>
      </c>
      <c r="B30" s="205">
        <f>日報表!B30</f>
        <v>0</v>
      </c>
      <c r="C30" s="206">
        <f>日報表!C30</f>
        <v>0</v>
      </c>
      <c r="D30" s="206">
        <f>日報表!G30</f>
        <v>0</v>
      </c>
      <c r="E30" s="207">
        <f>日報表!K30</f>
        <v>0</v>
      </c>
      <c r="F30" s="207">
        <f>日報表!N30</f>
        <v>0</v>
      </c>
      <c r="G30" s="208" t="str">
        <f>日報表!M30</f>
        <v/>
      </c>
      <c r="H30" s="238">
        <f>日報表!S30</f>
        <v>0</v>
      </c>
      <c r="I30" s="239">
        <f>日報表!T30</f>
        <v>0</v>
      </c>
      <c r="J30" s="241" t="str">
        <f>IF(ISNA(HLOOKUP(A30,IAD!$6:$10,5,0)),"",(HLOOKUP(A30,IAD!$6:$10,5,0)))</f>
        <v/>
      </c>
      <c r="K30" s="677">
        <f>日報表!O30</f>
        <v>0</v>
      </c>
      <c r="L30" s="680">
        <f>日報表!V30</f>
        <v>0</v>
      </c>
      <c r="M30" s="680">
        <f>日報表!W30</f>
        <v>0</v>
      </c>
      <c r="N30" s="680">
        <f>日報表!X30</f>
        <v>0</v>
      </c>
      <c r="O30" s="680">
        <f>日報表!Y30</f>
        <v>0</v>
      </c>
    </row>
    <row r="31" spans="1:15">
      <c r="A31" s="204">
        <f>日報表!A31</f>
        <v>0</v>
      </c>
      <c r="B31" s="205">
        <f>日報表!B31</f>
        <v>0</v>
      </c>
      <c r="C31" s="206">
        <f>日報表!C31</f>
        <v>0</v>
      </c>
      <c r="D31" s="206">
        <f>日報表!G31</f>
        <v>0</v>
      </c>
      <c r="E31" s="207">
        <f>日報表!K31</f>
        <v>0</v>
      </c>
      <c r="F31" s="207">
        <f>日報表!N31</f>
        <v>0</v>
      </c>
      <c r="G31" s="208" t="str">
        <f>日報表!M31</f>
        <v/>
      </c>
      <c r="H31" s="238">
        <f>日報表!S31</f>
        <v>0</v>
      </c>
      <c r="I31" s="239">
        <f>日報表!T31</f>
        <v>0</v>
      </c>
      <c r="J31" s="241" t="str">
        <f>IF(ISNA(HLOOKUP(A31,IAD!$6:$10,5,0)),"",(HLOOKUP(A31,IAD!$6:$10,5,0)))</f>
        <v/>
      </c>
      <c r="K31" s="677">
        <f>日報表!O31</f>
        <v>0</v>
      </c>
      <c r="L31" s="680">
        <f>日報表!V31</f>
        <v>0</v>
      </c>
      <c r="M31" s="680">
        <f>日報表!W31</f>
        <v>0</v>
      </c>
      <c r="N31" s="680">
        <f>日報表!X31</f>
        <v>0</v>
      </c>
      <c r="O31" s="680">
        <f>日報表!Y31</f>
        <v>0</v>
      </c>
    </row>
    <row r="32" spans="1:15">
      <c r="A32" s="204">
        <f>日報表!A32</f>
        <v>0</v>
      </c>
      <c r="B32" s="205">
        <f>日報表!B32</f>
        <v>0</v>
      </c>
      <c r="C32" s="206">
        <f>日報表!C32</f>
        <v>0</v>
      </c>
      <c r="D32" s="206">
        <f>日報表!G32</f>
        <v>0</v>
      </c>
      <c r="E32" s="207">
        <f>日報表!K32</f>
        <v>0</v>
      </c>
      <c r="F32" s="207">
        <f>日報表!N32</f>
        <v>0</v>
      </c>
      <c r="G32" s="208" t="str">
        <f>日報表!M32</f>
        <v/>
      </c>
      <c r="H32" s="238">
        <f>日報表!S32</f>
        <v>0</v>
      </c>
      <c r="I32" s="239">
        <f>日報表!T32</f>
        <v>0</v>
      </c>
      <c r="J32" s="241" t="str">
        <f>IF(ISNA(HLOOKUP(A32,IAD!$6:$10,5,0)),"",(HLOOKUP(A32,IAD!$6:$10,5,0)))</f>
        <v/>
      </c>
      <c r="K32" s="677">
        <f>日報表!O32</f>
        <v>0</v>
      </c>
      <c r="L32" s="680">
        <f>日報表!V32</f>
        <v>0</v>
      </c>
      <c r="M32" s="680">
        <f>日報表!W32</f>
        <v>0</v>
      </c>
      <c r="N32" s="680">
        <f>日報表!X32</f>
        <v>0</v>
      </c>
      <c r="O32" s="680">
        <f>日報表!Y32</f>
        <v>0</v>
      </c>
    </row>
    <row r="33" spans="1:15">
      <c r="A33" s="204">
        <f>日報表!A33</f>
        <v>0</v>
      </c>
      <c r="B33" s="205">
        <f>日報表!B33</f>
        <v>0</v>
      </c>
      <c r="C33" s="206">
        <f>日報表!C33</f>
        <v>0</v>
      </c>
      <c r="D33" s="206">
        <f>日報表!G33</f>
        <v>0</v>
      </c>
      <c r="E33" s="207">
        <f>日報表!K33</f>
        <v>0</v>
      </c>
      <c r="F33" s="207">
        <f>日報表!N33</f>
        <v>0</v>
      </c>
      <c r="G33" s="208" t="str">
        <f>日報表!M33</f>
        <v/>
      </c>
      <c r="H33" s="238">
        <f>日報表!S33</f>
        <v>0</v>
      </c>
      <c r="I33" s="239">
        <f>日報表!T33</f>
        <v>0</v>
      </c>
      <c r="J33" s="241" t="str">
        <f>IF(ISNA(HLOOKUP(A33,IAD!$6:$10,5,0)),"",(HLOOKUP(A33,IAD!$6:$10,5,0)))</f>
        <v/>
      </c>
      <c r="K33" s="677">
        <f>日報表!O33</f>
        <v>0</v>
      </c>
      <c r="L33" s="680">
        <f>日報表!V33</f>
        <v>0</v>
      </c>
      <c r="M33" s="680">
        <f>日報表!W33</f>
        <v>0</v>
      </c>
      <c r="N33" s="680">
        <f>日報表!X33</f>
        <v>0</v>
      </c>
      <c r="O33" s="680">
        <f>日報表!Y33</f>
        <v>0</v>
      </c>
    </row>
    <row r="34" spans="1:15">
      <c r="A34" s="204">
        <f>日報表!A34</f>
        <v>0</v>
      </c>
      <c r="B34" s="205">
        <f>日報表!B34</f>
        <v>0</v>
      </c>
      <c r="C34" s="206">
        <f>日報表!C34</f>
        <v>0</v>
      </c>
      <c r="D34" s="206">
        <f>日報表!G34</f>
        <v>0</v>
      </c>
      <c r="E34" s="207">
        <f>日報表!K34</f>
        <v>0</v>
      </c>
      <c r="F34" s="207">
        <f>日報表!N34</f>
        <v>0</v>
      </c>
      <c r="G34" s="208" t="str">
        <f>日報表!M34</f>
        <v/>
      </c>
      <c r="H34" s="238">
        <f>日報表!S34</f>
        <v>0</v>
      </c>
      <c r="I34" s="239">
        <f>日報表!T34</f>
        <v>0</v>
      </c>
      <c r="J34" s="241" t="str">
        <f>IF(ISNA(HLOOKUP(A34,IAD!$6:$10,5,0)),"",(HLOOKUP(A34,IAD!$6:$10,5,0)))</f>
        <v/>
      </c>
      <c r="K34" s="677">
        <f>日報表!O34</f>
        <v>0</v>
      </c>
      <c r="L34" s="680">
        <f>日報表!V34</f>
        <v>0</v>
      </c>
      <c r="M34" s="680">
        <f>日報表!W34</f>
        <v>0</v>
      </c>
      <c r="N34" s="680">
        <f>日報表!X34</f>
        <v>0</v>
      </c>
      <c r="O34" s="680">
        <f>日報表!Y34</f>
        <v>0</v>
      </c>
    </row>
    <row r="35" spans="1:15">
      <c r="A35" s="204">
        <f>日報表!A35</f>
        <v>0</v>
      </c>
      <c r="B35" s="205">
        <f>日報表!B35</f>
        <v>0</v>
      </c>
      <c r="C35" s="206">
        <f>日報表!C35</f>
        <v>0</v>
      </c>
      <c r="D35" s="206">
        <f>日報表!G35</f>
        <v>0</v>
      </c>
      <c r="E35" s="207">
        <f>日報表!K35</f>
        <v>0</v>
      </c>
      <c r="F35" s="207">
        <f>日報表!N35</f>
        <v>0</v>
      </c>
      <c r="G35" s="208" t="str">
        <f>日報表!M35</f>
        <v/>
      </c>
      <c r="H35" s="238">
        <f>日報表!S35</f>
        <v>0</v>
      </c>
      <c r="I35" s="239">
        <f>日報表!T35</f>
        <v>0</v>
      </c>
      <c r="J35" s="241" t="str">
        <f>IF(ISNA(HLOOKUP(A35,IAD!$6:$10,5,0)),"",(HLOOKUP(A35,IAD!$6:$10,5,0)))</f>
        <v/>
      </c>
      <c r="K35" s="677">
        <f>日報表!O35</f>
        <v>0</v>
      </c>
      <c r="L35" s="680">
        <f>日報表!V35</f>
        <v>0</v>
      </c>
      <c r="M35" s="680">
        <f>日報表!W35</f>
        <v>0</v>
      </c>
      <c r="N35" s="680">
        <f>日報表!X35</f>
        <v>0</v>
      </c>
      <c r="O35" s="680">
        <f>日報表!Y35</f>
        <v>0</v>
      </c>
    </row>
    <row r="36" spans="1:15">
      <c r="A36" s="204">
        <f>日報表!A36</f>
        <v>0</v>
      </c>
      <c r="B36" s="205">
        <f>日報表!B36</f>
        <v>0</v>
      </c>
      <c r="C36" s="206">
        <f>日報表!C36</f>
        <v>0</v>
      </c>
      <c r="D36" s="206">
        <f>日報表!G36</f>
        <v>0</v>
      </c>
      <c r="E36" s="207">
        <f>日報表!K36</f>
        <v>0</v>
      </c>
      <c r="F36" s="207">
        <f>日報表!N36</f>
        <v>0</v>
      </c>
      <c r="G36" s="208" t="str">
        <f>日報表!M36</f>
        <v/>
      </c>
      <c r="H36" s="238">
        <f>日報表!S36</f>
        <v>0</v>
      </c>
      <c r="I36" s="239">
        <f>日報表!T36</f>
        <v>0</v>
      </c>
      <c r="J36" s="241" t="str">
        <f>IF(ISNA(HLOOKUP(A36,IAD!$6:$10,5,0)),"",(HLOOKUP(A36,IAD!$6:$10,5,0)))</f>
        <v/>
      </c>
      <c r="K36" s="677">
        <f>日報表!O36</f>
        <v>0</v>
      </c>
      <c r="L36" s="680">
        <f>日報表!V36</f>
        <v>0</v>
      </c>
      <c r="M36" s="680">
        <f>日報表!W36</f>
        <v>0</v>
      </c>
      <c r="N36" s="680">
        <f>日報表!X36</f>
        <v>0</v>
      </c>
      <c r="O36" s="680">
        <f>日報表!Y36</f>
        <v>0</v>
      </c>
    </row>
    <row r="37" spans="1:15">
      <c r="A37" s="204">
        <f>日報表!A37</f>
        <v>0</v>
      </c>
      <c r="B37" s="205">
        <f>日報表!B37</f>
        <v>0</v>
      </c>
      <c r="C37" s="206">
        <f>日報表!C37</f>
        <v>0</v>
      </c>
      <c r="D37" s="206">
        <f>日報表!G37</f>
        <v>0</v>
      </c>
      <c r="E37" s="207">
        <f>日報表!K37</f>
        <v>0</v>
      </c>
      <c r="F37" s="207">
        <f>日報表!N37</f>
        <v>0</v>
      </c>
      <c r="G37" s="208" t="str">
        <f>日報表!M37</f>
        <v/>
      </c>
      <c r="H37" s="238">
        <f>日報表!S37</f>
        <v>0</v>
      </c>
      <c r="I37" s="239">
        <f>日報表!T37</f>
        <v>0</v>
      </c>
      <c r="J37" s="241" t="str">
        <f>IF(ISNA(HLOOKUP(A37,IAD!$6:$10,5,0)),"",(HLOOKUP(A37,IAD!$6:$10,5,0)))</f>
        <v/>
      </c>
      <c r="K37" s="677">
        <f>日報表!O37</f>
        <v>0</v>
      </c>
      <c r="L37" s="680">
        <f>日報表!V37</f>
        <v>0</v>
      </c>
      <c r="M37" s="680">
        <f>日報表!W37</f>
        <v>0</v>
      </c>
      <c r="N37" s="680">
        <f>日報表!X37</f>
        <v>0</v>
      </c>
      <c r="O37" s="680">
        <f>日報表!Y37</f>
        <v>0</v>
      </c>
    </row>
    <row r="38" spans="1:15">
      <c r="A38" s="204">
        <f>日報表!A38</f>
        <v>0</v>
      </c>
      <c r="B38" s="205">
        <f>日報表!B38</f>
        <v>0</v>
      </c>
      <c r="C38" s="206">
        <f>日報表!C38</f>
        <v>0</v>
      </c>
      <c r="D38" s="206">
        <f>日報表!G38</f>
        <v>0</v>
      </c>
      <c r="E38" s="207">
        <f>日報表!K38</f>
        <v>0</v>
      </c>
      <c r="F38" s="207">
        <f>日報表!N38</f>
        <v>0</v>
      </c>
      <c r="G38" s="208" t="str">
        <f>日報表!M38</f>
        <v/>
      </c>
      <c r="H38" s="238">
        <f>日報表!S38</f>
        <v>0</v>
      </c>
      <c r="I38" s="239">
        <f>日報表!T38</f>
        <v>0</v>
      </c>
      <c r="J38" s="241" t="str">
        <f>IF(ISNA(HLOOKUP(A38,IAD!$6:$10,5,0)),"",(HLOOKUP(A38,IAD!$6:$10,5,0)))</f>
        <v/>
      </c>
      <c r="K38" s="677">
        <f>日報表!O38</f>
        <v>0</v>
      </c>
      <c r="L38" s="680">
        <f>日報表!V38</f>
        <v>0</v>
      </c>
      <c r="M38" s="680">
        <f>日報表!W38</f>
        <v>0</v>
      </c>
      <c r="N38" s="680">
        <f>日報表!X38</f>
        <v>0</v>
      </c>
      <c r="O38" s="680">
        <f>日報表!Y38</f>
        <v>0</v>
      </c>
    </row>
    <row r="39" spans="1:15">
      <c r="A39" s="204">
        <f>日報表!A39</f>
        <v>0</v>
      </c>
      <c r="B39" s="205">
        <f>日報表!B39</f>
        <v>0</v>
      </c>
      <c r="C39" s="206">
        <f>日報表!C39</f>
        <v>0</v>
      </c>
      <c r="D39" s="206">
        <f>日報表!G39</f>
        <v>0</v>
      </c>
      <c r="E39" s="207">
        <f>日報表!K39</f>
        <v>0</v>
      </c>
      <c r="F39" s="207">
        <f>日報表!N39</f>
        <v>0</v>
      </c>
      <c r="G39" s="208" t="str">
        <f>日報表!M39</f>
        <v/>
      </c>
      <c r="H39" s="238">
        <f>日報表!S39</f>
        <v>0</v>
      </c>
      <c r="I39" s="239">
        <f>日報表!T39</f>
        <v>0</v>
      </c>
      <c r="J39" s="241" t="str">
        <f>IF(ISNA(HLOOKUP(A39,IAD!$6:$10,5,0)),"",(HLOOKUP(A39,IAD!$6:$10,5,0)))</f>
        <v/>
      </c>
      <c r="K39" s="677">
        <f>日報表!O39</f>
        <v>0</v>
      </c>
      <c r="L39" s="680">
        <f>日報表!V39</f>
        <v>0</v>
      </c>
      <c r="M39" s="680">
        <f>日報表!W39</f>
        <v>0</v>
      </c>
      <c r="N39" s="680">
        <f>日報表!X39</f>
        <v>0</v>
      </c>
      <c r="O39" s="680">
        <f>日報表!Y39</f>
        <v>0</v>
      </c>
    </row>
    <row r="40" spans="1:15">
      <c r="A40" s="204">
        <f>日報表!A40</f>
        <v>0</v>
      </c>
      <c r="B40" s="205">
        <f>日報表!B40</f>
        <v>0</v>
      </c>
      <c r="C40" s="206">
        <f>日報表!C40</f>
        <v>0</v>
      </c>
      <c r="D40" s="206">
        <f>日報表!G40</f>
        <v>0</v>
      </c>
      <c r="E40" s="207">
        <f>日報表!K40</f>
        <v>0</v>
      </c>
      <c r="F40" s="207">
        <f>日報表!N40</f>
        <v>0</v>
      </c>
      <c r="G40" s="208" t="str">
        <f>日報表!M40</f>
        <v/>
      </c>
      <c r="H40" s="238">
        <f>日報表!S40</f>
        <v>0</v>
      </c>
      <c r="I40" s="239">
        <f>日報表!T40</f>
        <v>0</v>
      </c>
      <c r="J40" s="241" t="str">
        <f>IF(ISNA(HLOOKUP(A40,IAD!$6:$10,5,0)),"",(HLOOKUP(A40,IAD!$6:$10,5,0)))</f>
        <v/>
      </c>
      <c r="K40" s="677">
        <f>日報表!O40</f>
        <v>0</v>
      </c>
      <c r="L40" s="680">
        <f>日報表!V40</f>
        <v>0</v>
      </c>
      <c r="M40" s="680">
        <f>日報表!W40</f>
        <v>0</v>
      </c>
      <c r="N40" s="680">
        <f>日報表!X40</f>
        <v>0</v>
      </c>
      <c r="O40" s="680">
        <f>日報表!Y40</f>
        <v>0</v>
      </c>
    </row>
    <row r="41" spans="1:15">
      <c r="A41" s="204">
        <f>日報表!A41</f>
        <v>0</v>
      </c>
      <c r="B41" s="205">
        <f>日報表!B41</f>
        <v>0</v>
      </c>
      <c r="C41" s="206">
        <f>日報表!C41</f>
        <v>0</v>
      </c>
      <c r="D41" s="206">
        <f>日報表!G41</f>
        <v>0</v>
      </c>
      <c r="E41" s="207">
        <f>日報表!K41</f>
        <v>0</v>
      </c>
      <c r="F41" s="207">
        <f>日報表!N41</f>
        <v>0</v>
      </c>
      <c r="G41" s="208" t="str">
        <f>日報表!M41</f>
        <v/>
      </c>
      <c r="H41" s="238">
        <f>日報表!S41</f>
        <v>0</v>
      </c>
      <c r="I41" s="239">
        <f>日報表!T41</f>
        <v>0</v>
      </c>
      <c r="J41" s="241" t="str">
        <f>IF(ISNA(HLOOKUP(A41,IAD!$6:$10,5,0)),"",(HLOOKUP(A41,IAD!$6:$10,5,0)))</f>
        <v/>
      </c>
      <c r="K41" s="677">
        <f>日報表!O41</f>
        <v>0</v>
      </c>
      <c r="L41" s="680">
        <f>日報表!V41</f>
        <v>0</v>
      </c>
      <c r="M41" s="680">
        <f>日報表!W41</f>
        <v>0</v>
      </c>
      <c r="N41" s="680">
        <f>日報表!X41</f>
        <v>0</v>
      </c>
      <c r="O41" s="680">
        <f>日報表!Y41</f>
        <v>0</v>
      </c>
    </row>
    <row r="42" spans="1:15">
      <c r="A42" s="204">
        <f>日報表!A42</f>
        <v>0</v>
      </c>
      <c r="B42" s="205">
        <f>日報表!B42</f>
        <v>0</v>
      </c>
      <c r="C42" s="206">
        <f>日報表!C42</f>
        <v>0</v>
      </c>
      <c r="D42" s="206">
        <f>日報表!G42</f>
        <v>0</v>
      </c>
      <c r="E42" s="207">
        <f>日報表!K42</f>
        <v>0</v>
      </c>
      <c r="F42" s="207">
        <f>日報表!N42</f>
        <v>0</v>
      </c>
      <c r="G42" s="208" t="str">
        <f>日報表!M42</f>
        <v/>
      </c>
      <c r="H42" s="238">
        <f>日報表!S42</f>
        <v>0</v>
      </c>
      <c r="I42" s="239">
        <f>日報表!T42</f>
        <v>0</v>
      </c>
      <c r="J42" s="241" t="str">
        <f>IF(ISNA(HLOOKUP(A42,IAD!$6:$10,5,0)),"",(HLOOKUP(A42,IAD!$6:$10,5,0)))</f>
        <v/>
      </c>
      <c r="K42" s="677">
        <f>日報表!O42</f>
        <v>0</v>
      </c>
      <c r="L42" s="680">
        <f>日報表!V42</f>
        <v>0</v>
      </c>
      <c r="M42" s="680">
        <f>日報表!W42</f>
        <v>0</v>
      </c>
      <c r="N42" s="680">
        <f>日報表!X42</f>
        <v>0</v>
      </c>
      <c r="O42" s="680">
        <f>日報表!Y42</f>
        <v>0</v>
      </c>
    </row>
    <row r="43" spans="1:15">
      <c r="A43" s="204">
        <f>日報表!A43</f>
        <v>0</v>
      </c>
      <c r="B43" s="205">
        <f>日報表!B43</f>
        <v>0</v>
      </c>
      <c r="C43" s="206">
        <f>日報表!C43</f>
        <v>0</v>
      </c>
      <c r="D43" s="206">
        <f>日報表!G43</f>
        <v>0</v>
      </c>
      <c r="E43" s="207">
        <f>日報表!K43</f>
        <v>0</v>
      </c>
      <c r="F43" s="207">
        <f>日報表!N43</f>
        <v>0</v>
      </c>
      <c r="G43" s="208" t="str">
        <f>日報表!M43</f>
        <v/>
      </c>
      <c r="H43" s="238">
        <f>日報表!S43</f>
        <v>0</v>
      </c>
      <c r="I43" s="239">
        <f>日報表!T43</f>
        <v>0</v>
      </c>
      <c r="J43" s="241" t="str">
        <f>IF(ISNA(HLOOKUP(A43,IAD!$6:$10,5,0)),"",(HLOOKUP(A43,IAD!$6:$10,5,0)))</f>
        <v/>
      </c>
      <c r="K43" s="677">
        <f>日報表!O43</f>
        <v>0</v>
      </c>
      <c r="L43" s="680">
        <f>日報表!V43</f>
        <v>0</v>
      </c>
      <c r="M43" s="680">
        <f>日報表!W43</f>
        <v>0</v>
      </c>
      <c r="N43" s="680">
        <f>日報表!X43</f>
        <v>0</v>
      </c>
      <c r="O43" s="680">
        <f>日報表!Y43</f>
        <v>0</v>
      </c>
    </row>
    <row r="44" spans="1:15">
      <c r="A44" s="204">
        <f>日報表!A44</f>
        <v>0</v>
      </c>
      <c r="B44" s="205">
        <f>日報表!B44</f>
        <v>0</v>
      </c>
      <c r="C44" s="206">
        <f>日報表!C44</f>
        <v>0</v>
      </c>
      <c r="D44" s="206">
        <f>日報表!G44</f>
        <v>0</v>
      </c>
      <c r="E44" s="207">
        <f>日報表!K44</f>
        <v>0</v>
      </c>
      <c r="F44" s="207">
        <f>日報表!N44</f>
        <v>0</v>
      </c>
      <c r="G44" s="208" t="str">
        <f>日報表!M44</f>
        <v/>
      </c>
      <c r="H44" s="238">
        <f>日報表!S44</f>
        <v>0</v>
      </c>
      <c r="I44" s="239">
        <f>日報表!T44</f>
        <v>0</v>
      </c>
      <c r="J44" s="241" t="str">
        <f>IF(ISNA(HLOOKUP(A44,IAD!$6:$10,5,0)),"",(HLOOKUP(A44,IAD!$6:$10,5,0)))</f>
        <v/>
      </c>
      <c r="K44" s="677">
        <f>日報表!O44</f>
        <v>0</v>
      </c>
      <c r="L44" s="680">
        <f>日報表!V44</f>
        <v>0</v>
      </c>
      <c r="M44" s="680">
        <f>日報表!W44</f>
        <v>0</v>
      </c>
      <c r="N44" s="680">
        <f>日報表!X44</f>
        <v>0</v>
      </c>
      <c r="O44" s="680">
        <f>日報表!Y44</f>
        <v>0</v>
      </c>
    </row>
    <row r="45" spans="1:15">
      <c r="A45" s="204">
        <f>日報表!A45</f>
        <v>0</v>
      </c>
      <c r="B45" s="205">
        <f>日報表!B45</f>
        <v>0</v>
      </c>
      <c r="C45" s="206">
        <f>日報表!C45</f>
        <v>0</v>
      </c>
      <c r="D45" s="206">
        <f>日報表!G45</f>
        <v>0</v>
      </c>
      <c r="E45" s="207">
        <f>日報表!K45</f>
        <v>0</v>
      </c>
      <c r="F45" s="207">
        <f>日報表!N45</f>
        <v>0</v>
      </c>
      <c r="G45" s="208" t="str">
        <f>日報表!M45</f>
        <v/>
      </c>
      <c r="H45" s="238">
        <f>日報表!S45</f>
        <v>0</v>
      </c>
      <c r="I45" s="239">
        <f>日報表!T45</f>
        <v>0</v>
      </c>
      <c r="J45" s="241" t="str">
        <f>IF(ISNA(HLOOKUP(A45,IAD!$6:$10,5,0)),"",(HLOOKUP(A45,IAD!$6:$10,5,0)))</f>
        <v/>
      </c>
      <c r="K45" s="677">
        <f>日報表!O45</f>
        <v>0</v>
      </c>
      <c r="L45" s="680">
        <f>日報表!V45</f>
        <v>0</v>
      </c>
      <c r="M45" s="680">
        <f>日報表!W45</f>
        <v>0</v>
      </c>
      <c r="N45" s="680">
        <f>日報表!X45</f>
        <v>0</v>
      </c>
      <c r="O45" s="680">
        <f>日報表!Y45</f>
        <v>0</v>
      </c>
    </row>
    <row r="46" spans="1:15">
      <c r="A46" s="204">
        <f>日報表!A46</f>
        <v>0</v>
      </c>
      <c r="B46" s="205">
        <f>日報表!B46</f>
        <v>0</v>
      </c>
      <c r="C46" s="206">
        <f>日報表!C46</f>
        <v>0</v>
      </c>
      <c r="D46" s="206">
        <f>日報表!G46</f>
        <v>0</v>
      </c>
      <c r="E46" s="207">
        <f>日報表!K46</f>
        <v>0</v>
      </c>
      <c r="F46" s="207">
        <f>日報表!N46</f>
        <v>0</v>
      </c>
      <c r="G46" s="208" t="str">
        <f>日報表!M46</f>
        <v/>
      </c>
      <c r="H46" s="238">
        <f>日報表!S46</f>
        <v>0</v>
      </c>
      <c r="I46" s="239">
        <f>日報表!T46</f>
        <v>0</v>
      </c>
      <c r="J46" s="241" t="str">
        <f>IF(ISNA(HLOOKUP(A46,IAD!$6:$10,5,0)),"",(HLOOKUP(A46,IAD!$6:$10,5,0)))</f>
        <v/>
      </c>
      <c r="K46" s="677">
        <f>日報表!O46</f>
        <v>0</v>
      </c>
      <c r="L46" s="680">
        <f>日報表!V46</f>
        <v>0</v>
      </c>
      <c r="M46" s="680">
        <f>日報表!W46</f>
        <v>0</v>
      </c>
      <c r="N46" s="680">
        <f>日報表!X46</f>
        <v>0</v>
      </c>
      <c r="O46" s="680">
        <f>日報表!Y46</f>
        <v>0</v>
      </c>
    </row>
    <row r="47" spans="1:15">
      <c r="A47" s="204">
        <f>日報表!A47</f>
        <v>0</v>
      </c>
      <c r="B47" s="205">
        <f>日報表!B47</f>
        <v>0</v>
      </c>
      <c r="C47" s="206">
        <f>日報表!C47</f>
        <v>0</v>
      </c>
      <c r="D47" s="206">
        <f>日報表!G47</f>
        <v>0</v>
      </c>
      <c r="E47" s="207">
        <f>日報表!K47</f>
        <v>0</v>
      </c>
      <c r="F47" s="207">
        <f>日報表!N47</f>
        <v>0</v>
      </c>
      <c r="G47" s="208" t="str">
        <f>日報表!M47</f>
        <v/>
      </c>
      <c r="H47" s="238">
        <f>日報表!S47</f>
        <v>0</v>
      </c>
      <c r="I47" s="239">
        <f>日報表!T47</f>
        <v>0</v>
      </c>
      <c r="J47" s="241" t="str">
        <f>IF(ISNA(HLOOKUP(A47,IAD!$6:$10,5,0)),"",(HLOOKUP(A47,IAD!$6:$10,5,0)))</f>
        <v/>
      </c>
      <c r="K47" s="677">
        <f>日報表!O47</f>
        <v>0</v>
      </c>
      <c r="L47" s="680">
        <f>日報表!V47</f>
        <v>0</v>
      </c>
      <c r="M47" s="680">
        <f>日報表!W47</f>
        <v>0</v>
      </c>
      <c r="N47" s="680">
        <f>日報表!X47</f>
        <v>0</v>
      </c>
      <c r="O47" s="680">
        <f>日報表!Y47</f>
        <v>0</v>
      </c>
    </row>
    <row r="48" spans="1:15">
      <c r="A48" s="204">
        <f>日報表!A48</f>
        <v>0</v>
      </c>
      <c r="B48" s="205">
        <f>日報表!B48</f>
        <v>0</v>
      </c>
      <c r="C48" s="206">
        <f>日報表!C48</f>
        <v>0</v>
      </c>
      <c r="D48" s="206">
        <f>日報表!G48</f>
        <v>0</v>
      </c>
      <c r="E48" s="207">
        <f>日報表!K48</f>
        <v>0</v>
      </c>
      <c r="F48" s="207">
        <f>日報表!N48</f>
        <v>0</v>
      </c>
      <c r="G48" s="208" t="str">
        <f>日報表!M48</f>
        <v/>
      </c>
      <c r="H48" s="238">
        <f>日報表!S48</f>
        <v>0</v>
      </c>
      <c r="I48" s="239">
        <f>日報表!T48</f>
        <v>0</v>
      </c>
      <c r="J48" s="241" t="str">
        <f>IF(ISNA(HLOOKUP(A48,IAD!$6:$10,5,0)),"",(HLOOKUP(A48,IAD!$6:$10,5,0)))</f>
        <v/>
      </c>
      <c r="K48" s="677">
        <f>日報表!O48</f>
        <v>0</v>
      </c>
      <c r="L48" s="680">
        <f>日報表!V48</f>
        <v>0</v>
      </c>
      <c r="M48" s="680">
        <f>日報表!W48</f>
        <v>0</v>
      </c>
      <c r="N48" s="680">
        <f>日報表!X48</f>
        <v>0</v>
      </c>
      <c r="O48" s="680">
        <f>日報表!Y48</f>
        <v>0</v>
      </c>
    </row>
    <row r="49" spans="1:15">
      <c r="A49" s="204">
        <f>日報表!A49</f>
        <v>0</v>
      </c>
      <c r="B49" s="205">
        <f>日報表!B49</f>
        <v>0</v>
      </c>
      <c r="C49" s="206">
        <f>日報表!C49</f>
        <v>0</v>
      </c>
      <c r="D49" s="206">
        <f>日報表!G49</f>
        <v>0</v>
      </c>
      <c r="E49" s="207">
        <f>日報表!K49</f>
        <v>0</v>
      </c>
      <c r="F49" s="207">
        <f>日報表!N49</f>
        <v>0</v>
      </c>
      <c r="G49" s="208" t="str">
        <f>日報表!M49</f>
        <v/>
      </c>
      <c r="H49" s="238">
        <f>日報表!S49</f>
        <v>0</v>
      </c>
      <c r="I49" s="239">
        <f>日報表!T49</f>
        <v>0</v>
      </c>
      <c r="J49" s="241" t="str">
        <f>IF(ISNA(HLOOKUP(A49,IAD!$6:$10,5,0)),"",(HLOOKUP(A49,IAD!$6:$10,5,0)))</f>
        <v/>
      </c>
      <c r="K49" s="677">
        <f>日報表!O49</f>
        <v>0</v>
      </c>
      <c r="L49" s="680">
        <f>日報表!V49</f>
        <v>0</v>
      </c>
      <c r="M49" s="680">
        <f>日報表!W49</f>
        <v>0</v>
      </c>
      <c r="N49" s="680">
        <f>日報表!X49</f>
        <v>0</v>
      </c>
      <c r="O49" s="680">
        <f>日報表!Y49</f>
        <v>0</v>
      </c>
    </row>
    <row r="50" spans="1:15">
      <c r="A50" s="204">
        <f>日報表!A50</f>
        <v>0</v>
      </c>
      <c r="B50" s="205">
        <f>日報表!B50</f>
        <v>0</v>
      </c>
      <c r="C50" s="206">
        <f>日報表!C50</f>
        <v>0</v>
      </c>
      <c r="D50" s="206">
        <f>日報表!G50</f>
        <v>0</v>
      </c>
      <c r="E50" s="207">
        <f>日報表!K50</f>
        <v>0</v>
      </c>
      <c r="F50" s="207">
        <f>日報表!N50</f>
        <v>0</v>
      </c>
      <c r="G50" s="208" t="str">
        <f>日報表!M50</f>
        <v/>
      </c>
      <c r="H50" s="238">
        <f>日報表!S50</f>
        <v>0</v>
      </c>
      <c r="I50" s="239">
        <f>日報表!T50</f>
        <v>0</v>
      </c>
      <c r="J50" s="241" t="str">
        <f>IF(ISNA(HLOOKUP(A50,IAD!$6:$10,5,0)),"",(HLOOKUP(A50,IAD!$6:$10,5,0)))</f>
        <v/>
      </c>
      <c r="K50" s="677">
        <f>日報表!O50</f>
        <v>0</v>
      </c>
      <c r="L50" s="680">
        <f>日報表!V50</f>
        <v>0</v>
      </c>
      <c r="M50" s="680">
        <f>日報表!W50</f>
        <v>0</v>
      </c>
      <c r="N50" s="680">
        <f>日報表!X50</f>
        <v>0</v>
      </c>
      <c r="O50" s="680">
        <f>日報表!Y50</f>
        <v>0</v>
      </c>
    </row>
    <row r="51" spans="1:15">
      <c r="A51" s="204">
        <f>日報表!A51</f>
        <v>0</v>
      </c>
      <c r="B51" s="205">
        <f>日報表!B51</f>
        <v>0</v>
      </c>
      <c r="C51" s="206">
        <f>日報表!C51</f>
        <v>0</v>
      </c>
      <c r="D51" s="206">
        <f>日報表!G51</f>
        <v>0</v>
      </c>
      <c r="E51" s="207">
        <f>日報表!K51</f>
        <v>0</v>
      </c>
      <c r="F51" s="207">
        <f>日報表!N51</f>
        <v>0</v>
      </c>
      <c r="G51" s="208" t="str">
        <f>日報表!M51</f>
        <v/>
      </c>
      <c r="H51" s="238">
        <f>日報表!S51</f>
        <v>0</v>
      </c>
      <c r="I51" s="239">
        <f>日報表!T51</f>
        <v>0</v>
      </c>
      <c r="J51" s="241" t="str">
        <f>IF(ISNA(HLOOKUP(A51,IAD!$6:$10,5,0)),"",(HLOOKUP(A51,IAD!$6:$10,5,0)))</f>
        <v/>
      </c>
      <c r="K51" s="677">
        <f>日報表!O51</f>
        <v>0</v>
      </c>
      <c r="L51" s="680">
        <f>日報表!V51</f>
        <v>0</v>
      </c>
      <c r="M51" s="680">
        <f>日報表!W51</f>
        <v>0</v>
      </c>
      <c r="N51" s="680">
        <f>日報表!X51</f>
        <v>0</v>
      </c>
      <c r="O51" s="680">
        <f>日報表!Y51</f>
        <v>0</v>
      </c>
    </row>
    <row r="52" spans="1:15">
      <c r="A52" s="204">
        <f>日報表!A52</f>
        <v>0</v>
      </c>
      <c r="B52" s="205">
        <f>日報表!B52</f>
        <v>0</v>
      </c>
      <c r="C52" s="206">
        <f>日報表!C52</f>
        <v>0</v>
      </c>
      <c r="D52" s="206">
        <f>日報表!G52</f>
        <v>0</v>
      </c>
      <c r="E52" s="207">
        <f>日報表!K52</f>
        <v>0</v>
      </c>
      <c r="F52" s="207">
        <f>日報表!N52</f>
        <v>0</v>
      </c>
      <c r="G52" s="208" t="str">
        <f>日報表!M52</f>
        <v/>
      </c>
      <c r="H52" s="238">
        <f>日報表!S52</f>
        <v>0</v>
      </c>
      <c r="I52" s="239">
        <f>日報表!T52</f>
        <v>0</v>
      </c>
      <c r="J52" s="241" t="str">
        <f>IF(ISNA(HLOOKUP(A52,IAD!$6:$10,5,0)),"",(HLOOKUP(A52,IAD!$6:$10,5,0)))</f>
        <v/>
      </c>
      <c r="K52" s="677">
        <f>日報表!O52</f>
        <v>0</v>
      </c>
      <c r="L52" s="680">
        <f>日報表!V52</f>
        <v>0</v>
      </c>
      <c r="M52" s="680">
        <f>日報表!W52</f>
        <v>0</v>
      </c>
      <c r="N52" s="680">
        <f>日報表!X52</f>
        <v>0</v>
      </c>
      <c r="O52" s="680">
        <f>日報表!Y52</f>
        <v>0</v>
      </c>
    </row>
    <row r="53" spans="1:15">
      <c r="A53" s="204">
        <f>日報表!A53</f>
        <v>0</v>
      </c>
      <c r="B53" s="205">
        <f>日報表!B53</f>
        <v>0</v>
      </c>
      <c r="C53" s="206">
        <f>日報表!C53</f>
        <v>0</v>
      </c>
      <c r="D53" s="206">
        <f>日報表!G53</f>
        <v>0</v>
      </c>
      <c r="E53" s="207">
        <f>日報表!K53</f>
        <v>0</v>
      </c>
      <c r="F53" s="207">
        <f>日報表!N53</f>
        <v>0</v>
      </c>
      <c r="G53" s="208" t="str">
        <f>日報表!M53</f>
        <v/>
      </c>
      <c r="H53" s="238">
        <f>日報表!S53</f>
        <v>0</v>
      </c>
      <c r="I53" s="239">
        <f>日報表!T53</f>
        <v>0</v>
      </c>
      <c r="J53" s="241" t="str">
        <f>IF(ISNA(HLOOKUP(A53,IAD!$6:$10,5,0)),"",(HLOOKUP(A53,IAD!$6:$10,5,0)))</f>
        <v/>
      </c>
      <c r="K53" s="677">
        <f>日報表!O53</f>
        <v>0</v>
      </c>
      <c r="L53" s="680">
        <f>日報表!V53</f>
        <v>0</v>
      </c>
      <c r="M53" s="680">
        <f>日報表!W53</f>
        <v>0</v>
      </c>
      <c r="N53" s="680">
        <f>日報表!X53</f>
        <v>0</v>
      </c>
      <c r="O53" s="680">
        <f>日報表!Y53</f>
        <v>0</v>
      </c>
    </row>
    <row r="54" spans="1:15">
      <c r="A54" s="204">
        <f>日報表!A54</f>
        <v>0</v>
      </c>
      <c r="B54" s="205">
        <f>日報表!B54</f>
        <v>0</v>
      </c>
      <c r="C54" s="206">
        <f>日報表!C54</f>
        <v>0</v>
      </c>
      <c r="D54" s="206">
        <f>日報表!G54</f>
        <v>0</v>
      </c>
      <c r="E54" s="207">
        <f>日報表!K54</f>
        <v>0</v>
      </c>
      <c r="F54" s="207">
        <f>日報表!N54</f>
        <v>0</v>
      </c>
      <c r="G54" s="208" t="str">
        <f>日報表!M54</f>
        <v/>
      </c>
      <c r="H54" s="238">
        <f>日報表!S54</f>
        <v>0</v>
      </c>
      <c r="I54" s="239">
        <f>日報表!T54</f>
        <v>0</v>
      </c>
      <c r="J54" s="241" t="str">
        <f>IF(ISNA(HLOOKUP(A54,IAD!$6:$10,5,0)),"",(HLOOKUP(A54,IAD!$6:$10,5,0)))</f>
        <v/>
      </c>
      <c r="K54" s="677">
        <f>日報表!O54</f>
        <v>0</v>
      </c>
      <c r="L54" s="680">
        <f>日報表!V54</f>
        <v>0</v>
      </c>
      <c r="M54" s="680">
        <f>日報表!W54</f>
        <v>0</v>
      </c>
      <c r="N54" s="680">
        <f>日報表!X54</f>
        <v>0</v>
      </c>
      <c r="O54" s="680">
        <f>日報表!Y54</f>
        <v>0</v>
      </c>
    </row>
    <row r="55" spans="1:15">
      <c r="A55" s="204">
        <f>日報表!A55</f>
        <v>0</v>
      </c>
      <c r="B55" s="205">
        <f>日報表!B55</f>
        <v>0</v>
      </c>
      <c r="C55" s="206">
        <f>日報表!C55</f>
        <v>0</v>
      </c>
      <c r="D55" s="206">
        <f>日報表!G55</f>
        <v>0</v>
      </c>
      <c r="E55" s="207">
        <f>日報表!K55</f>
        <v>0</v>
      </c>
      <c r="F55" s="207">
        <f>日報表!N55</f>
        <v>0</v>
      </c>
      <c r="G55" s="208" t="str">
        <f>日報表!M55</f>
        <v/>
      </c>
      <c r="H55" s="238">
        <f>日報表!S55</f>
        <v>0</v>
      </c>
      <c r="I55" s="239">
        <f>日報表!T55</f>
        <v>0</v>
      </c>
      <c r="J55" s="241" t="str">
        <f>IF(ISNA(HLOOKUP(A55,IAD!$6:$10,5,0)),"",(HLOOKUP(A55,IAD!$6:$10,5,0)))</f>
        <v/>
      </c>
      <c r="K55" s="677">
        <f>日報表!O55</f>
        <v>0</v>
      </c>
      <c r="L55" s="680">
        <f>日報表!V55</f>
        <v>0</v>
      </c>
      <c r="M55" s="680">
        <f>日報表!W55</f>
        <v>0</v>
      </c>
      <c r="N55" s="680">
        <f>日報表!X55</f>
        <v>0</v>
      </c>
      <c r="O55" s="680">
        <f>日報表!Y55</f>
        <v>0</v>
      </c>
    </row>
    <row r="56" spans="1:15">
      <c r="A56" s="204">
        <f>日報表!A56</f>
        <v>0</v>
      </c>
      <c r="B56" s="205">
        <f>日報表!B56</f>
        <v>0</v>
      </c>
      <c r="C56" s="206">
        <f>日報表!C56</f>
        <v>0</v>
      </c>
      <c r="D56" s="206">
        <f>日報表!G56</f>
        <v>0</v>
      </c>
      <c r="E56" s="207">
        <f>日報表!K56</f>
        <v>0</v>
      </c>
      <c r="F56" s="207">
        <f>日報表!N56</f>
        <v>0</v>
      </c>
      <c r="G56" s="208" t="str">
        <f>日報表!M56</f>
        <v/>
      </c>
      <c r="H56" s="238">
        <f>日報表!S56</f>
        <v>0</v>
      </c>
      <c r="I56" s="239">
        <f>日報表!T56</f>
        <v>0</v>
      </c>
      <c r="J56" s="241" t="str">
        <f>IF(ISNA(HLOOKUP(A56,IAD!$6:$10,5,0)),"",(HLOOKUP(A56,IAD!$6:$10,5,0)))</f>
        <v/>
      </c>
      <c r="K56" s="677">
        <f>日報表!O56</f>
        <v>0</v>
      </c>
      <c r="L56" s="680">
        <f>日報表!V56</f>
        <v>0</v>
      </c>
      <c r="M56" s="680">
        <f>日報表!W56</f>
        <v>0</v>
      </c>
      <c r="N56" s="680">
        <f>日報表!X56</f>
        <v>0</v>
      </c>
      <c r="O56" s="680">
        <f>日報表!Y56</f>
        <v>0</v>
      </c>
    </row>
    <row r="57" spans="1:15">
      <c r="A57" s="204">
        <f>日報表!A57</f>
        <v>0</v>
      </c>
      <c r="B57" s="205">
        <f>日報表!B57</f>
        <v>0</v>
      </c>
      <c r="C57" s="206">
        <f>日報表!C57</f>
        <v>0</v>
      </c>
      <c r="D57" s="206">
        <f>日報表!G57</f>
        <v>0</v>
      </c>
      <c r="E57" s="207">
        <f>日報表!K57</f>
        <v>0</v>
      </c>
      <c r="F57" s="207">
        <f>日報表!N57</f>
        <v>0</v>
      </c>
      <c r="G57" s="208" t="str">
        <f>日報表!M57</f>
        <v/>
      </c>
      <c r="H57" s="238">
        <f>日報表!S57</f>
        <v>0</v>
      </c>
      <c r="I57" s="239">
        <f>日報表!T57</f>
        <v>0</v>
      </c>
      <c r="J57" s="241" t="str">
        <f>IF(ISNA(HLOOKUP(A57,IAD!$6:$10,5,0)),"",(HLOOKUP(A57,IAD!$6:$10,5,0)))</f>
        <v/>
      </c>
      <c r="K57" s="677">
        <f>日報表!O57</f>
        <v>0</v>
      </c>
      <c r="L57" s="680">
        <f>日報表!V57</f>
        <v>0</v>
      </c>
      <c r="M57" s="680">
        <f>日報表!W57</f>
        <v>0</v>
      </c>
      <c r="N57" s="680">
        <f>日報表!X57</f>
        <v>0</v>
      </c>
      <c r="O57" s="680">
        <f>日報表!Y57</f>
        <v>0</v>
      </c>
    </row>
    <row r="58" spans="1:15">
      <c r="A58" s="204">
        <f>日報表!A58</f>
        <v>0</v>
      </c>
      <c r="B58" s="205">
        <f>日報表!B58</f>
        <v>0</v>
      </c>
      <c r="C58" s="206">
        <f>日報表!C58</f>
        <v>0</v>
      </c>
      <c r="D58" s="206">
        <f>日報表!G58</f>
        <v>0</v>
      </c>
      <c r="E58" s="207">
        <f>日報表!K58</f>
        <v>0</v>
      </c>
      <c r="F58" s="207">
        <f>日報表!N58</f>
        <v>0</v>
      </c>
      <c r="G58" s="208" t="str">
        <f>日報表!M58</f>
        <v/>
      </c>
      <c r="H58" s="238">
        <f>日報表!S58</f>
        <v>0</v>
      </c>
      <c r="I58" s="239">
        <f>日報表!T58</f>
        <v>0</v>
      </c>
      <c r="J58" s="241" t="str">
        <f>IF(ISNA(HLOOKUP(A58,IAD!$6:$10,5,0)),"",(HLOOKUP(A58,IAD!$6:$10,5,0)))</f>
        <v/>
      </c>
      <c r="K58" s="677">
        <f>日報表!O58</f>
        <v>0</v>
      </c>
      <c r="L58" s="680">
        <f>日報表!V58</f>
        <v>0</v>
      </c>
      <c r="M58" s="680">
        <f>日報表!W58</f>
        <v>0</v>
      </c>
      <c r="N58" s="680">
        <f>日報表!X58</f>
        <v>0</v>
      </c>
      <c r="O58" s="680">
        <f>日報表!Y58</f>
        <v>0</v>
      </c>
    </row>
    <row r="59" spans="1:15">
      <c r="A59" s="204">
        <f>日報表!A59</f>
        <v>0</v>
      </c>
      <c r="B59" s="205">
        <f>日報表!B59</f>
        <v>0</v>
      </c>
      <c r="C59" s="206">
        <f>日報表!C59</f>
        <v>0</v>
      </c>
      <c r="D59" s="206">
        <f>日報表!G59</f>
        <v>0</v>
      </c>
      <c r="E59" s="207">
        <f>日報表!K59</f>
        <v>0</v>
      </c>
      <c r="F59" s="207">
        <f>日報表!N59</f>
        <v>0</v>
      </c>
      <c r="G59" s="208" t="str">
        <f>日報表!M59</f>
        <v/>
      </c>
      <c r="H59" s="238">
        <f>日報表!S59</f>
        <v>0</v>
      </c>
      <c r="I59" s="239">
        <f>日報表!T59</f>
        <v>0</v>
      </c>
      <c r="J59" s="241" t="str">
        <f>IF(ISNA(HLOOKUP(A59,IAD!$6:$10,5,0)),"",(HLOOKUP(A59,IAD!$6:$10,5,0)))</f>
        <v/>
      </c>
      <c r="K59" s="677">
        <f>日報表!O59</f>
        <v>0</v>
      </c>
      <c r="L59" s="680">
        <f>日報表!V59</f>
        <v>0</v>
      </c>
      <c r="M59" s="680">
        <f>日報表!W59</f>
        <v>0</v>
      </c>
      <c r="N59" s="680">
        <f>日報表!X59</f>
        <v>0</v>
      </c>
      <c r="O59" s="680">
        <f>日報表!Y59</f>
        <v>0</v>
      </c>
    </row>
    <row r="60" spans="1:15">
      <c r="A60" s="204">
        <f>日報表!A60</f>
        <v>0</v>
      </c>
      <c r="B60" s="205">
        <f>日報表!B60</f>
        <v>0</v>
      </c>
      <c r="C60" s="206">
        <f>日報表!C60</f>
        <v>0</v>
      </c>
      <c r="D60" s="206">
        <f>日報表!G60</f>
        <v>0</v>
      </c>
      <c r="E60" s="207">
        <f>日報表!K60</f>
        <v>0</v>
      </c>
      <c r="F60" s="207">
        <f>日報表!N60</f>
        <v>0</v>
      </c>
      <c r="G60" s="208" t="str">
        <f>日報表!M60</f>
        <v/>
      </c>
      <c r="H60" s="238">
        <f>日報表!S60</f>
        <v>0</v>
      </c>
      <c r="I60" s="239">
        <f>日報表!T60</f>
        <v>0</v>
      </c>
      <c r="J60" s="241" t="str">
        <f>IF(ISNA(HLOOKUP(A60,IAD!$6:$10,5,0)),"",(HLOOKUP(A60,IAD!$6:$10,5,0)))</f>
        <v/>
      </c>
      <c r="K60" s="677">
        <f>日報表!O60</f>
        <v>0</v>
      </c>
      <c r="L60" s="680">
        <f>日報表!V60</f>
        <v>0</v>
      </c>
      <c r="M60" s="680">
        <f>日報表!W60</f>
        <v>0</v>
      </c>
      <c r="N60" s="680">
        <f>日報表!X60</f>
        <v>0</v>
      </c>
      <c r="O60" s="680">
        <f>日報表!Y60</f>
        <v>0</v>
      </c>
    </row>
    <row r="61" spans="1:15">
      <c r="A61" s="204">
        <f>日報表!A61</f>
        <v>0</v>
      </c>
      <c r="B61" s="205">
        <f>日報表!B61</f>
        <v>0</v>
      </c>
      <c r="C61" s="206">
        <f>日報表!C61</f>
        <v>0</v>
      </c>
      <c r="D61" s="206">
        <f>日報表!G61</f>
        <v>0</v>
      </c>
      <c r="E61" s="207">
        <f>日報表!K61</f>
        <v>0</v>
      </c>
      <c r="F61" s="207">
        <f>日報表!N61</f>
        <v>0</v>
      </c>
      <c r="G61" s="208" t="str">
        <f>日報表!M61</f>
        <v/>
      </c>
      <c r="H61" s="238">
        <f>日報表!S61</f>
        <v>0</v>
      </c>
      <c r="I61" s="239">
        <f>日報表!T61</f>
        <v>0</v>
      </c>
      <c r="J61" s="241" t="str">
        <f>IF(ISNA(HLOOKUP(A61,IAD!$6:$10,5,0)),"",(HLOOKUP(A61,IAD!$6:$10,5,0)))</f>
        <v/>
      </c>
      <c r="K61" s="677">
        <f>日報表!O61</f>
        <v>0</v>
      </c>
      <c r="L61" s="680">
        <f>日報表!V61</f>
        <v>0</v>
      </c>
      <c r="M61" s="680">
        <f>日報表!W61</f>
        <v>0</v>
      </c>
      <c r="N61" s="680">
        <f>日報表!X61</f>
        <v>0</v>
      </c>
      <c r="O61" s="680">
        <f>日報表!Y61</f>
        <v>0</v>
      </c>
    </row>
    <row r="62" spans="1:15">
      <c r="A62" s="204">
        <f>日報表!A62</f>
        <v>0</v>
      </c>
      <c r="B62" s="205">
        <f>日報表!B62</f>
        <v>0</v>
      </c>
      <c r="C62" s="206">
        <f>日報表!C62</f>
        <v>0</v>
      </c>
      <c r="D62" s="206">
        <f>日報表!G62</f>
        <v>0</v>
      </c>
      <c r="E62" s="207">
        <f>日報表!K62</f>
        <v>0</v>
      </c>
      <c r="F62" s="207">
        <f>日報表!N62</f>
        <v>0</v>
      </c>
      <c r="G62" s="208" t="str">
        <f>日報表!M62</f>
        <v/>
      </c>
      <c r="H62" s="238">
        <f>日報表!S62</f>
        <v>0</v>
      </c>
      <c r="I62" s="239">
        <f>日報表!T62</f>
        <v>0</v>
      </c>
      <c r="J62" s="241" t="str">
        <f>IF(ISNA(HLOOKUP(A62,IAD!$6:$10,5,0)),"",(HLOOKUP(A62,IAD!$6:$10,5,0)))</f>
        <v/>
      </c>
      <c r="K62" s="677">
        <f>日報表!O62</f>
        <v>0</v>
      </c>
      <c r="L62" s="680">
        <f>日報表!V62</f>
        <v>0</v>
      </c>
      <c r="M62" s="680">
        <f>日報表!W62</f>
        <v>0</v>
      </c>
      <c r="N62" s="680">
        <f>日報表!X62</f>
        <v>0</v>
      </c>
      <c r="O62" s="680">
        <f>日報表!Y62</f>
        <v>0</v>
      </c>
    </row>
    <row r="63" spans="1:15">
      <c r="A63" s="204">
        <f>日報表!A63</f>
        <v>0</v>
      </c>
      <c r="B63" s="205">
        <f>日報表!B63</f>
        <v>0</v>
      </c>
      <c r="C63" s="206">
        <f>日報表!C63</f>
        <v>0</v>
      </c>
      <c r="D63" s="206">
        <f>日報表!G63</f>
        <v>0</v>
      </c>
      <c r="E63" s="207">
        <f>日報表!K63</f>
        <v>0</v>
      </c>
      <c r="F63" s="207">
        <f>日報表!N63</f>
        <v>0</v>
      </c>
      <c r="G63" s="208" t="str">
        <f>日報表!M63</f>
        <v/>
      </c>
      <c r="H63" s="238">
        <f>日報表!S63</f>
        <v>0</v>
      </c>
      <c r="I63" s="239">
        <f>日報表!T63</f>
        <v>0</v>
      </c>
      <c r="J63" s="241" t="str">
        <f>IF(ISNA(HLOOKUP(A63,IAD!$6:$10,5,0)),"",(HLOOKUP(A63,IAD!$6:$10,5,0)))</f>
        <v/>
      </c>
      <c r="K63" s="677">
        <f>日報表!O63</f>
        <v>0</v>
      </c>
      <c r="L63" s="680">
        <f>日報表!V63</f>
        <v>0</v>
      </c>
      <c r="M63" s="680">
        <f>日報表!W63</f>
        <v>0</v>
      </c>
      <c r="N63" s="680">
        <f>日報表!X63</f>
        <v>0</v>
      </c>
      <c r="O63" s="680">
        <f>日報表!Y63</f>
        <v>0</v>
      </c>
    </row>
    <row r="64" spans="1:15">
      <c r="A64" s="204">
        <f>日報表!A64</f>
        <v>0</v>
      </c>
      <c r="B64" s="205">
        <f>日報表!B64</f>
        <v>0</v>
      </c>
      <c r="C64" s="206">
        <f>日報表!C64</f>
        <v>0</v>
      </c>
      <c r="D64" s="206">
        <f>日報表!G64</f>
        <v>0</v>
      </c>
      <c r="E64" s="207">
        <f>日報表!K64</f>
        <v>0</v>
      </c>
      <c r="F64" s="207">
        <f>日報表!N64</f>
        <v>0</v>
      </c>
      <c r="G64" s="208" t="str">
        <f>日報表!M64</f>
        <v/>
      </c>
      <c r="H64" s="238">
        <f>日報表!S64</f>
        <v>0</v>
      </c>
      <c r="I64" s="239">
        <f>日報表!T64</f>
        <v>0</v>
      </c>
      <c r="J64" s="241" t="str">
        <f>IF(ISNA(HLOOKUP(A64,IAD!$6:$10,5,0)),"",(HLOOKUP(A64,IAD!$6:$10,5,0)))</f>
        <v/>
      </c>
      <c r="K64" s="677">
        <f>日報表!O64</f>
        <v>0</v>
      </c>
      <c r="L64" s="680">
        <f>日報表!V64</f>
        <v>0</v>
      </c>
      <c r="M64" s="680">
        <f>日報表!W64</f>
        <v>0</v>
      </c>
      <c r="N64" s="680">
        <f>日報表!X64</f>
        <v>0</v>
      </c>
      <c r="O64" s="680">
        <f>日報表!Y64</f>
        <v>0</v>
      </c>
    </row>
    <row r="65" spans="1:15">
      <c r="A65" s="204">
        <f>日報表!A65</f>
        <v>0</v>
      </c>
      <c r="B65" s="205">
        <f>日報表!B65</f>
        <v>0</v>
      </c>
      <c r="C65" s="206">
        <f>日報表!C65</f>
        <v>0</v>
      </c>
      <c r="D65" s="206">
        <f>日報表!G65</f>
        <v>0</v>
      </c>
      <c r="E65" s="207">
        <f>日報表!K65</f>
        <v>0</v>
      </c>
      <c r="F65" s="207">
        <f>日報表!N65</f>
        <v>0</v>
      </c>
      <c r="G65" s="208" t="str">
        <f>日報表!M65</f>
        <v/>
      </c>
      <c r="H65" s="238">
        <f>日報表!S65</f>
        <v>0</v>
      </c>
      <c r="I65" s="239">
        <f>日報表!T65</f>
        <v>0</v>
      </c>
      <c r="J65" s="241" t="str">
        <f>IF(ISNA(HLOOKUP(A65,IAD!$6:$10,5,0)),"",(HLOOKUP(A65,IAD!$6:$10,5,0)))</f>
        <v/>
      </c>
      <c r="K65" s="677">
        <f>日報表!O65</f>
        <v>0</v>
      </c>
      <c r="L65" s="680">
        <f>日報表!V65</f>
        <v>0</v>
      </c>
      <c r="M65" s="680">
        <f>日報表!W65</f>
        <v>0</v>
      </c>
      <c r="N65" s="680">
        <f>日報表!X65</f>
        <v>0</v>
      </c>
      <c r="O65" s="680">
        <f>日報表!Y65</f>
        <v>0</v>
      </c>
    </row>
    <row r="66" spans="1:15">
      <c r="A66" s="204">
        <f>日報表!A66</f>
        <v>0</v>
      </c>
      <c r="B66" s="205">
        <f>日報表!B66</f>
        <v>0</v>
      </c>
      <c r="C66" s="206">
        <f>日報表!C66</f>
        <v>0</v>
      </c>
      <c r="D66" s="206">
        <f>日報表!G66</f>
        <v>0</v>
      </c>
      <c r="E66" s="207">
        <f>日報表!K66</f>
        <v>0</v>
      </c>
      <c r="F66" s="207">
        <f>日報表!N66</f>
        <v>0</v>
      </c>
      <c r="G66" s="208" t="str">
        <f>日報表!M66</f>
        <v/>
      </c>
      <c r="H66" s="238">
        <f>日報表!S66</f>
        <v>0</v>
      </c>
      <c r="I66" s="239">
        <f>日報表!T66</f>
        <v>0</v>
      </c>
      <c r="J66" s="241" t="str">
        <f>IF(ISNA(HLOOKUP(A66,IAD!$6:$10,5,0)),"",(HLOOKUP(A66,IAD!$6:$10,5,0)))</f>
        <v/>
      </c>
      <c r="K66" s="677">
        <f>日報表!O66</f>
        <v>0</v>
      </c>
      <c r="L66" s="680">
        <f>日報表!V66</f>
        <v>0</v>
      </c>
      <c r="M66" s="680">
        <f>日報表!W66</f>
        <v>0</v>
      </c>
      <c r="N66" s="680">
        <f>日報表!X66</f>
        <v>0</v>
      </c>
      <c r="O66" s="680">
        <f>日報表!Y66</f>
        <v>0</v>
      </c>
    </row>
    <row r="67" spans="1:15">
      <c r="A67" s="204">
        <f>日報表!A67</f>
        <v>0</v>
      </c>
      <c r="B67" s="205">
        <f>日報表!B67</f>
        <v>0</v>
      </c>
      <c r="C67" s="206">
        <f>日報表!C67</f>
        <v>0</v>
      </c>
      <c r="D67" s="206">
        <f>日報表!G67</f>
        <v>0</v>
      </c>
      <c r="E67" s="207">
        <f>日報表!K67</f>
        <v>0</v>
      </c>
      <c r="F67" s="207">
        <f>日報表!N67</f>
        <v>0</v>
      </c>
      <c r="G67" s="208" t="str">
        <f>日報表!M67</f>
        <v/>
      </c>
      <c r="H67" s="238">
        <f>日報表!S67</f>
        <v>0</v>
      </c>
      <c r="I67" s="239">
        <f>日報表!T67</f>
        <v>0</v>
      </c>
      <c r="J67" s="241" t="str">
        <f>IF(ISNA(HLOOKUP(A67,IAD!$6:$10,5,0)),"",(HLOOKUP(A67,IAD!$6:$10,5,0)))</f>
        <v/>
      </c>
      <c r="K67" s="677">
        <f>日報表!O67</f>
        <v>0</v>
      </c>
      <c r="L67" s="680">
        <f>日報表!V67</f>
        <v>0</v>
      </c>
      <c r="M67" s="680">
        <f>日報表!W67</f>
        <v>0</v>
      </c>
      <c r="N67" s="680">
        <f>日報表!X67</f>
        <v>0</v>
      </c>
      <c r="O67" s="680">
        <f>日報表!Y67</f>
        <v>0</v>
      </c>
    </row>
    <row r="68" spans="1:15">
      <c r="A68" s="229"/>
      <c r="B68" s="230"/>
      <c r="C68" s="231"/>
      <c r="D68" s="231"/>
      <c r="E68" s="232"/>
      <c r="F68" s="232"/>
      <c r="G68" s="233"/>
      <c r="H68" s="234"/>
      <c r="I68" s="234"/>
      <c r="J68" s="234"/>
      <c r="K68" s="234"/>
      <c r="L68" s="234"/>
      <c r="M68" s="234"/>
      <c r="N68" s="234"/>
      <c r="O68" s="234"/>
    </row>
    <row r="69" spans="1:15">
      <c r="A69" s="191" t="str">
        <f>日報表!A69</f>
        <v>33J機台</v>
      </c>
      <c r="H69" s="228"/>
      <c r="I69" s="228"/>
      <c r="J69" s="228"/>
      <c r="K69" s="228"/>
      <c r="L69" s="228"/>
      <c r="M69" s="228"/>
      <c r="N69" s="228"/>
      <c r="O69" s="228"/>
    </row>
    <row r="70" spans="1:15" s="194" customFormat="1">
      <c r="A70" s="200" t="str">
        <f>日報表!A70</f>
        <v>DTY批號</v>
      </c>
      <c r="B70" s="200" t="str">
        <f>日報表!B70</f>
        <v>規格</v>
      </c>
      <c r="C70" s="200" t="str">
        <f>日報表!C70</f>
        <v>POY批號</v>
      </c>
      <c r="D70" s="202" t="s">
        <v>73</v>
      </c>
      <c r="E70" s="201" t="s">
        <v>21</v>
      </c>
      <c r="F70" s="201" t="s">
        <v>22</v>
      </c>
      <c r="G70" s="201" t="s">
        <v>78</v>
      </c>
      <c r="H70" s="226" t="s">
        <v>76</v>
      </c>
      <c r="I70" s="227" t="s">
        <v>77</v>
      </c>
      <c r="J70" s="227" t="s">
        <v>206</v>
      </c>
      <c r="K70" s="678" t="str">
        <f>日報表!O70</f>
        <v>紗重</v>
      </c>
      <c r="L70" s="471" t="s">
        <v>443</v>
      </c>
      <c r="M70" s="471" t="s">
        <v>444</v>
      </c>
      <c r="N70" s="471" t="s">
        <v>445</v>
      </c>
      <c r="O70" s="471" t="s">
        <v>446</v>
      </c>
    </row>
    <row r="71" spans="1:15">
      <c r="A71" s="209" t="str">
        <f>日報表!A71</f>
        <v>2F6IV2</v>
      </c>
      <c r="B71" s="210" t="str">
        <f>日報表!B71</f>
        <v>150/48/2SDr</v>
      </c>
      <c r="C71" s="211" t="str">
        <f>日報表!C71</f>
        <v>FP82180R×2</v>
      </c>
      <c r="D71" s="211">
        <f>日報表!G71</f>
        <v>35763</v>
      </c>
      <c r="E71" s="212">
        <f>日報表!K71</f>
        <v>0.96364958197019268</v>
      </c>
      <c r="F71" s="212">
        <f>日報表!N71</f>
        <v>0.88583172552638201</v>
      </c>
      <c r="G71" s="213">
        <f>日報表!M71</f>
        <v>2.9933333333333336</v>
      </c>
      <c r="H71" s="240" t="str">
        <f>日報表!S71</f>
        <v>P227</v>
      </c>
      <c r="I71" s="241" t="str">
        <f>日報表!T71</f>
        <v>2.1</v>
      </c>
      <c r="J71" s="241" t="str">
        <f>IF(ISNA(HLOOKUP(A71,IAD!$6:$10,5,0)),"",(HLOOKUP(A71,IAD!$6:$10,5,0)))</f>
        <v>藍黑直條</v>
      </c>
      <c r="K71" s="677">
        <f>日報表!O71</f>
        <v>5.5</v>
      </c>
      <c r="L71" s="680">
        <f>日報表!V71</f>
        <v>0</v>
      </c>
      <c r="M71" s="680">
        <f>日報表!W71</f>
        <v>0</v>
      </c>
      <c r="N71" s="680">
        <f>日報表!X71</f>
        <v>0</v>
      </c>
      <c r="O71" s="680">
        <f>日報表!Y71</f>
        <v>0</v>
      </c>
    </row>
    <row r="72" spans="1:15">
      <c r="A72" s="209">
        <f>日報表!A72</f>
        <v>0</v>
      </c>
      <c r="B72" s="210">
        <f>日報表!B72</f>
        <v>0</v>
      </c>
      <c r="C72" s="211">
        <f>日報表!C72</f>
        <v>0</v>
      </c>
      <c r="D72" s="211">
        <f>日報表!G72</f>
        <v>0</v>
      </c>
      <c r="E72" s="212">
        <f>日報表!K72</f>
        <v>0</v>
      </c>
      <c r="F72" s="212">
        <f>日報表!N72</f>
        <v>0</v>
      </c>
      <c r="G72" s="213" t="str">
        <f>日報表!M72</f>
        <v/>
      </c>
      <c r="H72" s="240">
        <f>日報表!S72</f>
        <v>0</v>
      </c>
      <c r="I72" s="241">
        <f>日報表!T72</f>
        <v>0</v>
      </c>
      <c r="J72" s="241" t="str">
        <f>IF(ISNA(HLOOKUP(A72,IAD!$6:$10,5,0)),"",(HLOOKUP(A72,IAD!$6:$10,5,0)))</f>
        <v/>
      </c>
      <c r="K72" s="677">
        <f>日報表!O72</f>
        <v>0</v>
      </c>
      <c r="L72" s="680">
        <f>日報表!V72</f>
        <v>0</v>
      </c>
      <c r="M72" s="680">
        <f>日報表!W72</f>
        <v>0</v>
      </c>
      <c r="N72" s="680">
        <f>日報表!X72</f>
        <v>0</v>
      </c>
      <c r="O72" s="680">
        <f>日報表!Y72</f>
        <v>0</v>
      </c>
    </row>
    <row r="73" spans="1:15">
      <c r="A73" s="209">
        <f>日報表!A73</f>
        <v>0</v>
      </c>
      <c r="B73" s="210">
        <f>日報表!B73</f>
        <v>0</v>
      </c>
      <c r="C73" s="211">
        <f>日報表!C73</f>
        <v>0</v>
      </c>
      <c r="D73" s="211">
        <f>日報表!G73</f>
        <v>0</v>
      </c>
      <c r="E73" s="212">
        <f>日報表!K73</f>
        <v>0</v>
      </c>
      <c r="F73" s="212">
        <f>日報表!N73</f>
        <v>0</v>
      </c>
      <c r="G73" s="213" t="str">
        <f>日報表!M73</f>
        <v/>
      </c>
      <c r="H73" s="240">
        <f>日報表!S73</f>
        <v>0</v>
      </c>
      <c r="I73" s="241">
        <f>日報表!T73</f>
        <v>0</v>
      </c>
      <c r="J73" s="241" t="str">
        <f>IF(ISNA(HLOOKUP(A73,IAD!$6:$10,5,0)),"",(HLOOKUP(A73,IAD!$6:$10,5,0)))</f>
        <v/>
      </c>
      <c r="K73" s="677">
        <f>日報表!O73</f>
        <v>0</v>
      </c>
      <c r="L73" s="680">
        <f>日報表!V73</f>
        <v>0</v>
      </c>
      <c r="M73" s="680">
        <f>日報表!W73</f>
        <v>0</v>
      </c>
      <c r="N73" s="680">
        <f>日報表!X73</f>
        <v>0</v>
      </c>
      <c r="O73" s="680">
        <f>日報表!Y73</f>
        <v>0</v>
      </c>
    </row>
    <row r="74" spans="1:15">
      <c r="A74" s="209">
        <f>日報表!A74</f>
        <v>0</v>
      </c>
      <c r="B74" s="210">
        <f>日報表!B74</f>
        <v>0</v>
      </c>
      <c r="C74" s="211">
        <f>日報表!C74</f>
        <v>0</v>
      </c>
      <c r="D74" s="211">
        <f>日報表!G74</f>
        <v>0</v>
      </c>
      <c r="E74" s="212">
        <f>日報表!K74</f>
        <v>0</v>
      </c>
      <c r="F74" s="212">
        <f>日報表!N74</f>
        <v>0</v>
      </c>
      <c r="G74" s="213" t="str">
        <f>日報表!M74</f>
        <v/>
      </c>
      <c r="H74" s="240">
        <f>日報表!S74</f>
        <v>0</v>
      </c>
      <c r="I74" s="241">
        <f>日報表!T74</f>
        <v>0</v>
      </c>
      <c r="J74" s="241" t="str">
        <f>IF(ISNA(HLOOKUP(A74,IAD!$6:$10,5,0)),"",(HLOOKUP(A74,IAD!$6:$10,5,0)))</f>
        <v/>
      </c>
      <c r="K74" s="677">
        <f>日報表!O74</f>
        <v>0</v>
      </c>
      <c r="L74" s="680">
        <f>日報表!V74</f>
        <v>0</v>
      </c>
      <c r="M74" s="680">
        <f>日報表!W74</f>
        <v>0</v>
      </c>
      <c r="N74" s="680">
        <f>日報表!X74</f>
        <v>0</v>
      </c>
      <c r="O74" s="680">
        <f>日報表!Y74</f>
        <v>0</v>
      </c>
    </row>
    <row r="75" spans="1:15">
      <c r="A75" s="209">
        <f>日報表!A75</f>
        <v>0</v>
      </c>
      <c r="B75" s="210">
        <f>日報表!B75</f>
        <v>0</v>
      </c>
      <c r="C75" s="211">
        <f>日報表!C75</f>
        <v>0</v>
      </c>
      <c r="D75" s="211">
        <f>日報表!G75</f>
        <v>0</v>
      </c>
      <c r="E75" s="212">
        <f>日報表!K75</f>
        <v>0</v>
      </c>
      <c r="F75" s="212">
        <f>日報表!N75</f>
        <v>0</v>
      </c>
      <c r="G75" s="213" t="str">
        <f>日報表!M75</f>
        <v/>
      </c>
      <c r="H75" s="240">
        <f>日報表!S75</f>
        <v>0</v>
      </c>
      <c r="I75" s="241">
        <f>日報表!T75</f>
        <v>0</v>
      </c>
      <c r="J75" s="241" t="str">
        <f>IF(ISNA(HLOOKUP(A75,IAD!$6:$10,5,0)),"",(HLOOKUP(A75,IAD!$6:$10,5,0)))</f>
        <v/>
      </c>
      <c r="K75" s="677">
        <f>日報表!O75</f>
        <v>0</v>
      </c>
      <c r="L75" s="680">
        <f>日報表!V75</f>
        <v>0</v>
      </c>
      <c r="M75" s="680">
        <f>日報表!W75</f>
        <v>0</v>
      </c>
      <c r="N75" s="680">
        <f>日報表!X75</f>
        <v>0</v>
      </c>
      <c r="O75" s="680">
        <f>日報表!Y75</f>
        <v>0</v>
      </c>
    </row>
    <row r="76" spans="1:15">
      <c r="A76" s="209">
        <f>日報表!A76</f>
        <v>0</v>
      </c>
      <c r="B76" s="210">
        <f>日報表!B76</f>
        <v>0</v>
      </c>
      <c r="C76" s="211">
        <f>日報表!C76</f>
        <v>0</v>
      </c>
      <c r="D76" s="211">
        <f>日報表!G76</f>
        <v>0</v>
      </c>
      <c r="E76" s="212">
        <f>日報表!K76</f>
        <v>0</v>
      </c>
      <c r="F76" s="212">
        <f>日報表!N76</f>
        <v>0</v>
      </c>
      <c r="G76" s="213" t="str">
        <f>日報表!M76</f>
        <v/>
      </c>
      <c r="H76" s="240">
        <f>日報表!S76</f>
        <v>0</v>
      </c>
      <c r="I76" s="241">
        <f>日報表!T76</f>
        <v>0</v>
      </c>
      <c r="J76" s="241" t="str">
        <f>IF(ISNA(HLOOKUP(A76,IAD!$6:$10,5,0)),"",(HLOOKUP(A76,IAD!$6:$10,5,0)))</f>
        <v/>
      </c>
      <c r="K76" s="677">
        <f>日報表!O76</f>
        <v>0</v>
      </c>
      <c r="L76" s="680">
        <f>日報表!V76</f>
        <v>0</v>
      </c>
      <c r="M76" s="680">
        <f>日報表!W76</f>
        <v>0</v>
      </c>
      <c r="N76" s="680">
        <f>日報表!X76</f>
        <v>0</v>
      </c>
      <c r="O76" s="680">
        <f>日報表!Y76</f>
        <v>0</v>
      </c>
    </row>
    <row r="77" spans="1:15">
      <c r="A77" s="209">
        <f>日報表!A77</f>
        <v>0</v>
      </c>
      <c r="B77" s="210">
        <f>日報表!B77</f>
        <v>0</v>
      </c>
      <c r="C77" s="211">
        <f>日報表!C77</f>
        <v>0</v>
      </c>
      <c r="D77" s="211">
        <f>日報表!G77</f>
        <v>0</v>
      </c>
      <c r="E77" s="212">
        <f>日報表!K77</f>
        <v>0</v>
      </c>
      <c r="F77" s="212">
        <f>日報表!N77</f>
        <v>0</v>
      </c>
      <c r="G77" s="213" t="str">
        <f>日報表!M77</f>
        <v/>
      </c>
      <c r="H77" s="240">
        <f>日報表!S77</f>
        <v>0</v>
      </c>
      <c r="I77" s="241">
        <f>日報表!T77</f>
        <v>0</v>
      </c>
      <c r="J77" s="241" t="str">
        <f>IF(ISNA(HLOOKUP(A77,IAD!$6:$10,5,0)),"",(HLOOKUP(A77,IAD!$6:$10,5,0)))</f>
        <v/>
      </c>
      <c r="K77" s="677">
        <f>日報表!O77</f>
        <v>0</v>
      </c>
      <c r="L77" s="680">
        <f>日報表!V77</f>
        <v>0</v>
      </c>
      <c r="M77" s="680">
        <f>日報表!W77</f>
        <v>0</v>
      </c>
      <c r="N77" s="680">
        <f>日報表!X77</f>
        <v>0</v>
      </c>
      <c r="O77" s="680">
        <f>日報表!Y77</f>
        <v>0</v>
      </c>
    </row>
    <row r="78" spans="1:15">
      <c r="A78" s="209">
        <f>日報表!A78</f>
        <v>0</v>
      </c>
      <c r="B78" s="210">
        <f>日報表!B78</f>
        <v>0</v>
      </c>
      <c r="C78" s="211">
        <f>日報表!C78</f>
        <v>0</v>
      </c>
      <c r="D78" s="211">
        <f>日報表!G78</f>
        <v>0</v>
      </c>
      <c r="E78" s="212">
        <f>日報表!K78</f>
        <v>0</v>
      </c>
      <c r="F78" s="212">
        <f>日報表!N78</f>
        <v>0</v>
      </c>
      <c r="G78" s="213" t="str">
        <f>日報表!M78</f>
        <v/>
      </c>
      <c r="H78" s="240">
        <f>日報表!S78</f>
        <v>0</v>
      </c>
      <c r="I78" s="241">
        <f>日報表!T78</f>
        <v>0</v>
      </c>
      <c r="J78" s="241" t="str">
        <f>IF(ISNA(HLOOKUP(A78,IAD!$6:$10,5,0)),"",(HLOOKUP(A78,IAD!$6:$10,5,0)))</f>
        <v/>
      </c>
      <c r="K78" s="677">
        <f>日報表!O78</f>
        <v>0</v>
      </c>
      <c r="L78" s="680">
        <f>日報表!V78</f>
        <v>0</v>
      </c>
      <c r="M78" s="680">
        <f>日報表!W78</f>
        <v>0</v>
      </c>
      <c r="N78" s="680">
        <f>日報表!X78</f>
        <v>0</v>
      </c>
      <c r="O78" s="680">
        <f>日報表!Y78</f>
        <v>0</v>
      </c>
    </row>
    <row r="79" spans="1:15">
      <c r="A79" s="209">
        <f>日報表!A79</f>
        <v>0</v>
      </c>
      <c r="B79" s="210">
        <f>日報表!B79</f>
        <v>0</v>
      </c>
      <c r="C79" s="211">
        <f>日報表!C79</f>
        <v>0</v>
      </c>
      <c r="D79" s="211">
        <f>日報表!G79</f>
        <v>0</v>
      </c>
      <c r="E79" s="212">
        <f>日報表!K79</f>
        <v>0</v>
      </c>
      <c r="F79" s="212">
        <f>日報表!N79</f>
        <v>0</v>
      </c>
      <c r="G79" s="213" t="str">
        <f>日報表!M79</f>
        <v/>
      </c>
      <c r="H79" s="240">
        <f>日報表!S79</f>
        <v>0</v>
      </c>
      <c r="I79" s="241">
        <f>日報表!T79</f>
        <v>0</v>
      </c>
      <c r="J79" s="241" t="str">
        <f>IF(ISNA(HLOOKUP(A79,IAD!$6:$10,5,0)),"",(HLOOKUP(A79,IAD!$6:$10,5,0)))</f>
        <v/>
      </c>
      <c r="K79" s="677">
        <f>日報表!O79</f>
        <v>0</v>
      </c>
      <c r="L79" s="680">
        <f>日報表!V79</f>
        <v>0</v>
      </c>
      <c r="M79" s="680">
        <f>日報表!W79</f>
        <v>0</v>
      </c>
      <c r="N79" s="680">
        <f>日報表!X79</f>
        <v>0</v>
      </c>
      <c r="O79" s="680">
        <f>日報表!Y79</f>
        <v>0</v>
      </c>
    </row>
    <row r="80" spans="1:15">
      <c r="A80" s="209">
        <f>日報表!A80</f>
        <v>0</v>
      </c>
      <c r="B80" s="210">
        <f>日報表!B80</f>
        <v>0</v>
      </c>
      <c r="C80" s="211">
        <f>日報表!C80</f>
        <v>0</v>
      </c>
      <c r="D80" s="211">
        <f>日報表!G80</f>
        <v>0</v>
      </c>
      <c r="E80" s="212">
        <f>日報表!K80</f>
        <v>0</v>
      </c>
      <c r="F80" s="212">
        <f>日報表!N80</f>
        <v>0</v>
      </c>
      <c r="G80" s="213" t="str">
        <f>日報表!M80</f>
        <v/>
      </c>
      <c r="H80" s="240">
        <f>日報表!S80</f>
        <v>0</v>
      </c>
      <c r="I80" s="241">
        <f>日報表!T80</f>
        <v>0</v>
      </c>
      <c r="J80" s="241" t="str">
        <f>IF(ISNA(HLOOKUP(A80,IAD!$6:$10,5,0)),"",(HLOOKUP(A80,IAD!$6:$10,5,0)))</f>
        <v/>
      </c>
      <c r="K80" s="677">
        <f>日報表!O80</f>
        <v>0</v>
      </c>
      <c r="L80" s="680">
        <f>日報表!V80</f>
        <v>0</v>
      </c>
      <c r="M80" s="680">
        <f>日報表!W80</f>
        <v>0</v>
      </c>
      <c r="N80" s="680">
        <f>日報表!X80</f>
        <v>0</v>
      </c>
      <c r="O80" s="680">
        <f>日報表!Y80</f>
        <v>0</v>
      </c>
    </row>
    <row r="81" spans="1:233">
      <c r="A81" s="209">
        <f>日報表!A81</f>
        <v>0</v>
      </c>
      <c r="B81" s="210">
        <f>日報表!B81</f>
        <v>0</v>
      </c>
      <c r="C81" s="211">
        <f>日報表!C81</f>
        <v>0</v>
      </c>
      <c r="D81" s="211">
        <f>日報表!G81</f>
        <v>0</v>
      </c>
      <c r="E81" s="212">
        <f>日報表!K81</f>
        <v>0</v>
      </c>
      <c r="F81" s="212">
        <f>日報表!N81</f>
        <v>0</v>
      </c>
      <c r="G81" s="213" t="str">
        <f>日報表!M81</f>
        <v/>
      </c>
      <c r="H81" s="240">
        <f>日報表!S81</f>
        <v>0</v>
      </c>
      <c r="I81" s="241">
        <f>日報表!T81</f>
        <v>0</v>
      </c>
      <c r="J81" s="241" t="str">
        <f>IF(ISNA(HLOOKUP(A81,IAD!$6:$10,5,0)),"",(HLOOKUP(A81,IAD!$6:$10,5,0)))</f>
        <v/>
      </c>
      <c r="K81" s="677">
        <f>日報表!O81</f>
        <v>0</v>
      </c>
      <c r="L81" s="680">
        <f>日報表!V81</f>
        <v>0</v>
      </c>
      <c r="M81" s="680">
        <f>日報表!W81</f>
        <v>0</v>
      </c>
      <c r="N81" s="680">
        <f>日報表!X81</f>
        <v>0</v>
      </c>
      <c r="O81" s="680">
        <f>日報表!Y81</f>
        <v>0</v>
      </c>
    </row>
    <row r="82" spans="1:233">
      <c r="A82" s="209">
        <f>日報表!A82</f>
        <v>0</v>
      </c>
      <c r="B82" s="210">
        <f>日報表!B82</f>
        <v>0</v>
      </c>
      <c r="C82" s="211">
        <f>日報表!C82</f>
        <v>0</v>
      </c>
      <c r="D82" s="211">
        <f>日報表!G82</f>
        <v>0</v>
      </c>
      <c r="E82" s="212">
        <f>日報表!K82</f>
        <v>0</v>
      </c>
      <c r="F82" s="212">
        <f>日報表!N82</f>
        <v>0</v>
      </c>
      <c r="G82" s="213" t="str">
        <f>日報表!M82</f>
        <v/>
      </c>
      <c r="H82" s="240">
        <f>日報表!S82</f>
        <v>0</v>
      </c>
      <c r="I82" s="241">
        <f>日報表!T82</f>
        <v>0</v>
      </c>
      <c r="J82" s="241" t="str">
        <f>IF(ISNA(HLOOKUP(A82,IAD!$6:$10,5,0)),"",(HLOOKUP(A82,IAD!$6:$10,5,0)))</f>
        <v/>
      </c>
      <c r="K82" s="677">
        <f>日報表!O82</f>
        <v>0</v>
      </c>
      <c r="L82" s="680">
        <f>日報表!V82</f>
        <v>0</v>
      </c>
      <c r="M82" s="680">
        <f>日報表!W82</f>
        <v>0</v>
      </c>
      <c r="N82" s="680">
        <f>日報表!X82</f>
        <v>0</v>
      </c>
      <c r="O82" s="680">
        <f>日報表!Y82</f>
        <v>0</v>
      </c>
    </row>
    <row r="83" spans="1:233">
      <c r="A83" s="209">
        <f>日報表!A83</f>
        <v>0</v>
      </c>
      <c r="B83" s="210">
        <f>日報表!B83</f>
        <v>0</v>
      </c>
      <c r="C83" s="211">
        <f>日報表!C83</f>
        <v>0</v>
      </c>
      <c r="D83" s="211">
        <f>日報表!G83</f>
        <v>0</v>
      </c>
      <c r="E83" s="212">
        <f>日報表!K83</f>
        <v>0</v>
      </c>
      <c r="F83" s="212">
        <f>日報表!N83</f>
        <v>0</v>
      </c>
      <c r="G83" s="213" t="str">
        <f>日報表!M83</f>
        <v/>
      </c>
      <c r="H83" s="240">
        <f>日報表!S83</f>
        <v>0</v>
      </c>
      <c r="I83" s="241">
        <f>日報表!T83</f>
        <v>0</v>
      </c>
      <c r="J83" s="241" t="str">
        <f>IF(ISNA(HLOOKUP(A83,IAD!$6:$10,5,0)),"",(HLOOKUP(A83,IAD!$6:$10,5,0)))</f>
        <v/>
      </c>
      <c r="K83" s="677">
        <f>日報表!O83</f>
        <v>0</v>
      </c>
      <c r="L83" s="680">
        <f>日報表!V83</f>
        <v>0</v>
      </c>
      <c r="M83" s="680">
        <f>日報表!W83</f>
        <v>0</v>
      </c>
      <c r="N83" s="680">
        <f>日報表!X83</f>
        <v>0</v>
      </c>
      <c r="O83" s="680">
        <f>日報表!Y83</f>
        <v>0</v>
      </c>
    </row>
    <row r="84" spans="1:233">
      <c r="A84" s="209">
        <f>日報表!A84</f>
        <v>0</v>
      </c>
      <c r="B84" s="210">
        <f>日報表!B84</f>
        <v>0</v>
      </c>
      <c r="C84" s="211">
        <f>日報表!C84</f>
        <v>0</v>
      </c>
      <c r="D84" s="211">
        <f>日報表!G84</f>
        <v>0</v>
      </c>
      <c r="E84" s="212">
        <f>日報表!K84</f>
        <v>0</v>
      </c>
      <c r="F84" s="212">
        <f>日報表!N84</f>
        <v>0</v>
      </c>
      <c r="G84" s="213" t="str">
        <f>日報表!M84</f>
        <v/>
      </c>
      <c r="H84" s="240">
        <f>日報表!S84</f>
        <v>0</v>
      </c>
      <c r="I84" s="241">
        <f>日報表!T84</f>
        <v>0</v>
      </c>
      <c r="J84" s="241" t="str">
        <f>IF(ISNA(HLOOKUP(A84,IAD!$6:$10,5,0)),"",(HLOOKUP(A84,IAD!$6:$10,5,0)))</f>
        <v/>
      </c>
      <c r="K84" s="677">
        <f>日報表!O84</f>
        <v>0</v>
      </c>
      <c r="L84" s="680">
        <f>日報表!V84</f>
        <v>0</v>
      </c>
      <c r="M84" s="680">
        <f>日報表!W84</f>
        <v>0</v>
      </c>
      <c r="N84" s="680">
        <f>日報表!X84</f>
        <v>0</v>
      </c>
      <c r="O84" s="680">
        <f>日報表!Y84</f>
        <v>0</v>
      </c>
    </row>
    <row r="85" spans="1:233">
      <c r="A85" s="209">
        <f>日報表!A85</f>
        <v>0</v>
      </c>
      <c r="B85" s="210">
        <f>日報表!B85</f>
        <v>0</v>
      </c>
      <c r="C85" s="211">
        <f>日報表!C85</f>
        <v>0</v>
      </c>
      <c r="D85" s="211">
        <f>日報表!G85</f>
        <v>0</v>
      </c>
      <c r="E85" s="212">
        <f>日報表!K85</f>
        <v>0</v>
      </c>
      <c r="F85" s="212">
        <f>日報表!N85</f>
        <v>0</v>
      </c>
      <c r="G85" s="213" t="str">
        <f>日報表!M85</f>
        <v/>
      </c>
      <c r="H85" s="240">
        <f>日報表!S85</f>
        <v>0</v>
      </c>
      <c r="I85" s="241">
        <f>日報表!T85</f>
        <v>0</v>
      </c>
      <c r="J85" s="241" t="str">
        <f>IF(ISNA(HLOOKUP(A85,IAD!$6:$10,5,0)),"",(HLOOKUP(A85,IAD!$6:$10,5,0)))</f>
        <v/>
      </c>
      <c r="K85" s="677">
        <f>日報表!O85</f>
        <v>0</v>
      </c>
      <c r="L85" s="680">
        <f>日報表!V85</f>
        <v>0</v>
      </c>
      <c r="M85" s="680">
        <f>日報表!W85</f>
        <v>0</v>
      </c>
      <c r="N85" s="680">
        <f>日報表!X85</f>
        <v>0</v>
      </c>
      <c r="O85" s="680">
        <f>日報表!Y85</f>
        <v>0</v>
      </c>
      <c r="HY85" s="195"/>
    </row>
    <row r="86" spans="1:233">
      <c r="A86" s="209">
        <f>日報表!A86</f>
        <v>0</v>
      </c>
      <c r="B86" s="210">
        <f>日報表!B86</f>
        <v>0</v>
      </c>
      <c r="C86" s="211">
        <f>日報表!C86</f>
        <v>0</v>
      </c>
      <c r="D86" s="211">
        <f>日報表!G86</f>
        <v>0</v>
      </c>
      <c r="E86" s="212">
        <f>日報表!K86</f>
        <v>0</v>
      </c>
      <c r="F86" s="212">
        <f>日報表!N86</f>
        <v>0</v>
      </c>
      <c r="G86" s="213" t="str">
        <f>日報表!M86</f>
        <v/>
      </c>
      <c r="H86" s="240">
        <f>日報表!S86</f>
        <v>0</v>
      </c>
      <c r="I86" s="241">
        <f>日報表!T86</f>
        <v>0</v>
      </c>
      <c r="J86" s="241" t="str">
        <f>IF(ISNA(HLOOKUP(A86,IAD!$6:$10,5,0)),"",(HLOOKUP(A86,IAD!$6:$10,5,0)))</f>
        <v/>
      </c>
      <c r="K86" s="677">
        <f>日報表!O86</f>
        <v>0</v>
      </c>
      <c r="L86" s="680">
        <f>日報表!V86</f>
        <v>0</v>
      </c>
      <c r="M86" s="680">
        <f>日報表!W86</f>
        <v>0</v>
      </c>
      <c r="N86" s="680">
        <f>日報表!X86</f>
        <v>0</v>
      </c>
      <c r="O86" s="680">
        <f>日報表!Y86</f>
        <v>0</v>
      </c>
    </row>
    <row r="87" spans="1:233">
      <c r="A87" s="209">
        <f>日報表!A87</f>
        <v>0</v>
      </c>
      <c r="B87" s="210">
        <f>日報表!B87</f>
        <v>0</v>
      </c>
      <c r="C87" s="211">
        <f>日報表!C87</f>
        <v>0</v>
      </c>
      <c r="D87" s="211">
        <f>日報表!G87</f>
        <v>0</v>
      </c>
      <c r="E87" s="212">
        <f>日報表!K87</f>
        <v>0</v>
      </c>
      <c r="F87" s="212">
        <f>日報表!N87</f>
        <v>0</v>
      </c>
      <c r="G87" s="213" t="str">
        <f>日報表!M87</f>
        <v/>
      </c>
      <c r="H87" s="240">
        <f>日報表!S87</f>
        <v>0</v>
      </c>
      <c r="I87" s="241">
        <f>日報表!T87</f>
        <v>0</v>
      </c>
      <c r="J87" s="241" t="str">
        <f>IF(ISNA(HLOOKUP(A87,IAD!$6:$10,5,0)),"",(HLOOKUP(A87,IAD!$6:$10,5,0)))</f>
        <v/>
      </c>
      <c r="K87" s="677">
        <f>日報表!O87</f>
        <v>0</v>
      </c>
      <c r="L87" s="680">
        <f>日報表!V87</f>
        <v>0</v>
      </c>
      <c r="M87" s="680">
        <f>日報表!W87</f>
        <v>0</v>
      </c>
      <c r="N87" s="680">
        <f>日報表!X87</f>
        <v>0</v>
      </c>
      <c r="O87" s="680">
        <f>日報表!Y87</f>
        <v>0</v>
      </c>
    </row>
    <row r="88" spans="1:233">
      <c r="A88" s="209">
        <f>日報表!A88</f>
        <v>0</v>
      </c>
      <c r="B88" s="210">
        <f>日報表!B88</f>
        <v>0</v>
      </c>
      <c r="C88" s="211">
        <f>日報表!C88</f>
        <v>0</v>
      </c>
      <c r="D88" s="211">
        <f>日報表!G88</f>
        <v>0</v>
      </c>
      <c r="E88" s="212">
        <f>日報表!K88</f>
        <v>0</v>
      </c>
      <c r="F88" s="212">
        <f>日報表!N88</f>
        <v>0</v>
      </c>
      <c r="G88" s="213" t="str">
        <f>日報表!M88</f>
        <v/>
      </c>
      <c r="H88" s="240">
        <f>日報表!S88</f>
        <v>0</v>
      </c>
      <c r="I88" s="241">
        <f>日報表!T88</f>
        <v>0</v>
      </c>
      <c r="J88" s="241" t="str">
        <f>IF(ISNA(HLOOKUP(A88,IAD!$6:$10,5,0)),"",(HLOOKUP(A88,IAD!$6:$10,5,0)))</f>
        <v/>
      </c>
      <c r="K88" s="677">
        <f>日報表!O88</f>
        <v>0</v>
      </c>
      <c r="L88" s="680">
        <f>日報表!V88</f>
        <v>0</v>
      </c>
      <c r="M88" s="680">
        <f>日報表!W88</f>
        <v>0</v>
      </c>
      <c r="N88" s="680">
        <f>日報表!X88</f>
        <v>0</v>
      </c>
      <c r="O88" s="680">
        <f>日報表!Y88</f>
        <v>0</v>
      </c>
    </row>
    <row r="89" spans="1:233">
      <c r="A89" s="209">
        <f>日報表!A89</f>
        <v>0</v>
      </c>
      <c r="B89" s="210">
        <f>日報表!B89</f>
        <v>0</v>
      </c>
      <c r="C89" s="211">
        <f>日報表!C89</f>
        <v>0</v>
      </c>
      <c r="D89" s="211">
        <f>日報表!G89</f>
        <v>0</v>
      </c>
      <c r="E89" s="212">
        <f>日報表!K89</f>
        <v>0</v>
      </c>
      <c r="F89" s="212">
        <f>日報表!N89</f>
        <v>0</v>
      </c>
      <c r="G89" s="213" t="str">
        <f>日報表!M89</f>
        <v/>
      </c>
      <c r="H89" s="240">
        <f>日報表!S89</f>
        <v>0</v>
      </c>
      <c r="I89" s="241">
        <f>日報表!T89</f>
        <v>0</v>
      </c>
      <c r="J89" s="241" t="str">
        <f>IF(ISNA(HLOOKUP(A89,IAD!$6:$10,5,0)),"",(HLOOKUP(A89,IAD!$6:$10,5,0)))</f>
        <v/>
      </c>
      <c r="K89" s="677">
        <f>日報表!O89</f>
        <v>0</v>
      </c>
      <c r="L89" s="680">
        <f>日報表!V89</f>
        <v>0</v>
      </c>
      <c r="M89" s="680">
        <f>日報表!W89</f>
        <v>0</v>
      </c>
      <c r="N89" s="680">
        <f>日報表!X89</f>
        <v>0</v>
      </c>
      <c r="O89" s="680">
        <f>日報表!Y89</f>
        <v>0</v>
      </c>
    </row>
    <row r="90" spans="1:233">
      <c r="A90" s="209">
        <f>日報表!A90</f>
        <v>0</v>
      </c>
      <c r="B90" s="210">
        <f>日報表!B90</f>
        <v>0</v>
      </c>
      <c r="C90" s="211">
        <f>日報表!C90</f>
        <v>0</v>
      </c>
      <c r="D90" s="211">
        <f>日報表!G90</f>
        <v>0</v>
      </c>
      <c r="E90" s="212">
        <f>日報表!K90</f>
        <v>0</v>
      </c>
      <c r="F90" s="212">
        <f>日報表!N90</f>
        <v>0</v>
      </c>
      <c r="G90" s="213" t="str">
        <f>日報表!M90</f>
        <v/>
      </c>
      <c r="H90" s="240">
        <f>日報表!S90</f>
        <v>0</v>
      </c>
      <c r="I90" s="241">
        <f>日報表!T90</f>
        <v>0</v>
      </c>
      <c r="J90" s="241" t="str">
        <f>IF(ISNA(HLOOKUP(A90,IAD!$6:$10,5,0)),"",(HLOOKUP(A90,IAD!$6:$10,5,0)))</f>
        <v/>
      </c>
      <c r="K90" s="677">
        <f>日報表!O90</f>
        <v>0</v>
      </c>
      <c r="L90" s="680">
        <f>日報表!V90</f>
        <v>0</v>
      </c>
      <c r="M90" s="680">
        <f>日報表!W90</f>
        <v>0</v>
      </c>
      <c r="N90" s="680">
        <f>日報表!X90</f>
        <v>0</v>
      </c>
      <c r="O90" s="680">
        <f>日報表!Y90</f>
        <v>0</v>
      </c>
    </row>
    <row r="91" spans="1:233">
      <c r="K91" s="194"/>
      <c r="L91" s="194"/>
      <c r="M91" s="194"/>
      <c r="N91" s="194"/>
      <c r="O91" s="194"/>
    </row>
    <row r="92" spans="1:233">
      <c r="A92" s="191" t="str">
        <f>日報表!A92</f>
        <v>MPS機台</v>
      </c>
      <c r="B92" s="193" t="str">
        <f>日報表!B92</f>
        <v>S02-2023/5/2起拆節</v>
      </c>
      <c r="H92" s="228"/>
      <c r="I92" s="228"/>
      <c r="J92" s="228"/>
      <c r="K92" s="228"/>
      <c r="L92" s="228"/>
      <c r="M92" s="228"/>
      <c r="N92" s="228"/>
      <c r="O92" s="228"/>
    </row>
    <row r="93" spans="1:233" s="194" customFormat="1">
      <c r="A93" s="200" t="str">
        <f>日報表!A93</f>
        <v>DTY批號</v>
      </c>
      <c r="B93" s="200" t="str">
        <f>日報表!B93</f>
        <v>規格</v>
      </c>
      <c r="C93" s="200" t="str">
        <f>日報表!C93</f>
        <v>POY批號</v>
      </c>
      <c r="D93" s="201" t="str">
        <f>日報表!G93</f>
        <v>實際產量kg</v>
      </c>
      <c r="E93" s="201" t="str">
        <f>日報表!K93</f>
        <v xml:space="preserve"> Ａ級率</v>
      </c>
      <c r="F93" s="201" t="str">
        <f>日報表!N93</f>
        <v>滿管率</v>
      </c>
      <c r="G93" s="201" t="str">
        <f>日報表!M93</f>
        <v>累計斷絲率</v>
      </c>
      <c r="H93" s="226" t="str">
        <f>日報表!S93</f>
        <v>JET</v>
      </c>
      <c r="I93" s="227" t="str">
        <f>日報表!T93</f>
        <v>壓力</v>
      </c>
      <c r="J93" s="227" t="s">
        <v>206</v>
      </c>
      <c r="K93" s="678" t="str">
        <f>日報表!O93</f>
        <v>紗重</v>
      </c>
      <c r="L93" s="471" t="s">
        <v>443</v>
      </c>
      <c r="M93" s="471" t="s">
        <v>444</v>
      </c>
      <c r="N93" s="471" t="s">
        <v>445</v>
      </c>
      <c r="O93" s="471" t="s">
        <v>446</v>
      </c>
    </row>
    <row r="94" spans="1:233">
      <c r="A94" s="209" t="str">
        <f>日報表!A94</f>
        <v>2FA132</v>
      </c>
      <c r="B94" s="210" t="str">
        <f>日報表!B94</f>
        <v>75/72SDM</v>
      </c>
      <c r="C94" s="211" t="str">
        <f>日報表!C94</f>
        <v>FP81390R</v>
      </c>
      <c r="D94" s="211">
        <f>日報表!G94</f>
        <v>1680</v>
      </c>
      <c r="E94" s="212">
        <f>日報表!K94</f>
        <v>1</v>
      </c>
      <c r="F94" s="212">
        <f>日報表!N94</f>
        <v>1</v>
      </c>
      <c r="G94" s="213">
        <f>日報表!M94</f>
        <v>11.681818181818182</v>
      </c>
      <c r="H94" s="240" t="str">
        <f>日報表!S94</f>
        <v>P123</v>
      </c>
      <c r="I94" s="241" t="str">
        <f>日報表!T94</f>
        <v>1.6</v>
      </c>
      <c r="J94" s="241" t="str">
        <f>IF(ISNA(HLOOKUP(A94,IAD!$6:$10,5,0)),"",(HLOOKUP(A94,IAD!$6:$10,5,0)))</f>
        <v>白藍方塊</v>
      </c>
      <c r="K94" s="677">
        <f>日報表!O94</f>
        <v>4</v>
      </c>
      <c r="L94" s="680">
        <f>日報表!V94</f>
        <v>0</v>
      </c>
      <c r="M94" s="680">
        <f>日報表!W94</f>
        <v>0</v>
      </c>
      <c r="N94" s="680">
        <f>日報表!X94</f>
        <v>0</v>
      </c>
      <c r="O94" s="680">
        <f>日報表!Y94</f>
        <v>0</v>
      </c>
    </row>
    <row r="95" spans="1:233">
      <c r="A95" s="209">
        <f>日報表!A95</f>
        <v>0</v>
      </c>
      <c r="B95" s="210">
        <f>日報表!B95</f>
        <v>0</v>
      </c>
      <c r="C95" s="211">
        <f>日報表!C95</f>
        <v>0</v>
      </c>
      <c r="D95" s="211">
        <f>日報表!G95</f>
        <v>0</v>
      </c>
      <c r="E95" s="212">
        <f>日報表!K95</f>
        <v>0</v>
      </c>
      <c r="F95" s="212">
        <f>日報表!N95</f>
        <v>0</v>
      </c>
      <c r="G95" s="213" t="str">
        <f>日報表!M95</f>
        <v/>
      </c>
      <c r="H95" s="240">
        <f>日報表!S95</f>
        <v>0</v>
      </c>
      <c r="I95" s="241">
        <f>日報表!T95</f>
        <v>0</v>
      </c>
      <c r="J95" s="241" t="str">
        <f>IF(ISNA(HLOOKUP(A95,IAD!$6:$10,5,0)),"",(HLOOKUP(A95,IAD!$6:$10,5,0)))</f>
        <v/>
      </c>
      <c r="K95" s="677">
        <f>日報表!O95</f>
        <v>0</v>
      </c>
      <c r="L95" s="680">
        <f>日報表!V95</f>
        <v>0</v>
      </c>
      <c r="M95" s="680">
        <f>日報表!W95</f>
        <v>0</v>
      </c>
      <c r="N95" s="680">
        <f>日報表!X95</f>
        <v>0</v>
      </c>
      <c r="O95" s="680">
        <f>日報表!Y95</f>
        <v>0</v>
      </c>
    </row>
    <row r="96" spans="1:233">
      <c r="A96" s="209">
        <f>日報表!A96</f>
        <v>0</v>
      </c>
      <c r="B96" s="210">
        <f>日報表!B96</f>
        <v>0</v>
      </c>
      <c r="C96" s="211">
        <f>日報表!C96</f>
        <v>0</v>
      </c>
      <c r="D96" s="211">
        <f>日報表!G96</f>
        <v>0</v>
      </c>
      <c r="E96" s="212">
        <f>日報表!K96</f>
        <v>0</v>
      </c>
      <c r="F96" s="212">
        <f>日報表!N96</f>
        <v>0</v>
      </c>
      <c r="G96" s="213" t="str">
        <f>日報表!M96</f>
        <v/>
      </c>
      <c r="H96" s="240">
        <f>日報表!S96</f>
        <v>0</v>
      </c>
      <c r="I96" s="241">
        <f>日報表!T96</f>
        <v>0</v>
      </c>
      <c r="J96" s="241" t="str">
        <f>IF(ISNA(HLOOKUP(A96,IAD!$6:$10,5,0)),"",(HLOOKUP(A96,IAD!$6:$10,5,0)))</f>
        <v/>
      </c>
      <c r="K96" s="677">
        <f>日報表!O96</f>
        <v>0</v>
      </c>
      <c r="L96" s="680">
        <f>日報表!V96</f>
        <v>0</v>
      </c>
      <c r="M96" s="680">
        <f>日報表!W96</f>
        <v>0</v>
      </c>
      <c r="N96" s="680">
        <f>日報表!X96</f>
        <v>0</v>
      </c>
      <c r="O96" s="680">
        <f>日報表!Y96</f>
        <v>0</v>
      </c>
    </row>
    <row r="97" spans="1:15">
      <c r="A97" s="209">
        <f>日報表!A97</f>
        <v>0</v>
      </c>
      <c r="B97" s="210">
        <f>日報表!B97</f>
        <v>0</v>
      </c>
      <c r="C97" s="211">
        <f>日報表!C97</f>
        <v>0</v>
      </c>
      <c r="D97" s="211">
        <f>日報表!G97</f>
        <v>0</v>
      </c>
      <c r="E97" s="212">
        <f>日報表!K97</f>
        <v>0</v>
      </c>
      <c r="F97" s="212">
        <f>日報表!N97</f>
        <v>0</v>
      </c>
      <c r="G97" s="213" t="str">
        <f>日報表!M97</f>
        <v/>
      </c>
      <c r="H97" s="240">
        <f>日報表!S97</f>
        <v>0</v>
      </c>
      <c r="I97" s="241">
        <f>日報表!T97</f>
        <v>0</v>
      </c>
      <c r="J97" s="241" t="str">
        <f>IF(ISNA(HLOOKUP(A97,IAD!$6:$10,5,0)),"",(HLOOKUP(A97,IAD!$6:$10,5,0)))</f>
        <v/>
      </c>
      <c r="K97" s="677">
        <f>日報表!O97</f>
        <v>0</v>
      </c>
      <c r="L97" s="680">
        <f>日報表!V97</f>
        <v>0</v>
      </c>
      <c r="M97" s="680">
        <f>日報表!W97</f>
        <v>0</v>
      </c>
      <c r="N97" s="680">
        <f>日報表!X97</f>
        <v>0</v>
      </c>
      <c r="O97" s="680">
        <f>日報表!Y97</f>
        <v>0</v>
      </c>
    </row>
    <row r="98" spans="1:15" s="194" customFormat="1">
      <c r="A98" s="209">
        <f>日報表!A98</f>
        <v>0</v>
      </c>
      <c r="B98" s="210">
        <f>日報表!B98</f>
        <v>0</v>
      </c>
      <c r="C98" s="211">
        <f>日報表!C98</f>
        <v>0</v>
      </c>
      <c r="D98" s="211">
        <f>日報表!G98</f>
        <v>0</v>
      </c>
      <c r="E98" s="212">
        <f>日報表!K98</f>
        <v>0</v>
      </c>
      <c r="F98" s="212">
        <f>日報表!N98</f>
        <v>0</v>
      </c>
      <c r="G98" s="213" t="str">
        <f>日報表!M98</f>
        <v/>
      </c>
      <c r="H98" s="240">
        <f>日報表!S98</f>
        <v>0</v>
      </c>
      <c r="I98" s="241">
        <f>日報表!T98</f>
        <v>0</v>
      </c>
      <c r="J98" s="241" t="str">
        <f>IF(ISNA(HLOOKUP(A98,IAD!$6:$10,5,0)),"",(HLOOKUP(A98,IAD!$6:$10,5,0)))</f>
        <v/>
      </c>
      <c r="K98" s="677">
        <f>日報表!O98</f>
        <v>0</v>
      </c>
      <c r="L98" s="680">
        <f>日報表!V98</f>
        <v>0</v>
      </c>
      <c r="M98" s="680">
        <f>日報表!W98</f>
        <v>0</v>
      </c>
      <c r="N98" s="680">
        <f>日報表!X98</f>
        <v>0</v>
      </c>
      <c r="O98" s="680">
        <f>日報表!Y98</f>
        <v>0</v>
      </c>
    </row>
    <row r="99" spans="1:15">
      <c r="A99" s="209">
        <f>日報表!A99</f>
        <v>0</v>
      </c>
      <c r="B99" s="210">
        <f>日報表!B99</f>
        <v>0</v>
      </c>
      <c r="C99" s="211">
        <f>日報表!C99</f>
        <v>0</v>
      </c>
      <c r="D99" s="211">
        <f>日報表!G99</f>
        <v>0</v>
      </c>
      <c r="E99" s="212">
        <f>日報表!K99</f>
        <v>0</v>
      </c>
      <c r="F99" s="212">
        <f>日報表!N99</f>
        <v>0</v>
      </c>
      <c r="G99" s="213" t="str">
        <f>日報表!M99</f>
        <v/>
      </c>
      <c r="H99" s="240">
        <f>日報表!S99</f>
        <v>0</v>
      </c>
      <c r="I99" s="241">
        <f>日報表!T99</f>
        <v>0</v>
      </c>
      <c r="J99" s="241" t="str">
        <f>IF(ISNA(HLOOKUP(A99,IAD!$6:$10,5,0)),"",(HLOOKUP(A99,IAD!$6:$10,5,0)))</f>
        <v/>
      </c>
      <c r="K99" s="677">
        <f>日報表!O99</f>
        <v>0</v>
      </c>
      <c r="L99" s="680">
        <f>日報表!V99</f>
        <v>0</v>
      </c>
      <c r="M99" s="680">
        <f>日報表!W99</f>
        <v>0</v>
      </c>
      <c r="N99" s="680">
        <f>日報表!X99</f>
        <v>0</v>
      </c>
      <c r="O99" s="680">
        <f>日報表!Y99</f>
        <v>0</v>
      </c>
    </row>
    <row r="100" spans="1:15">
      <c r="A100" s="209">
        <f>日報表!A100</f>
        <v>0</v>
      </c>
      <c r="B100" s="210">
        <f>日報表!B100</f>
        <v>0</v>
      </c>
      <c r="C100" s="211">
        <f>日報表!C100</f>
        <v>0</v>
      </c>
      <c r="D100" s="211">
        <f>日報表!G100</f>
        <v>0</v>
      </c>
      <c r="E100" s="212">
        <f>日報表!K100</f>
        <v>0</v>
      </c>
      <c r="F100" s="212">
        <f>日報表!N100</f>
        <v>0</v>
      </c>
      <c r="G100" s="213" t="str">
        <f>日報表!M100</f>
        <v/>
      </c>
      <c r="H100" s="240">
        <f>日報表!S100</f>
        <v>0</v>
      </c>
      <c r="I100" s="241">
        <f>日報表!T100</f>
        <v>0</v>
      </c>
      <c r="J100" s="241" t="str">
        <f>IF(ISNA(HLOOKUP(A100,IAD!$6:$10,5,0)),"",(HLOOKUP(A100,IAD!$6:$10,5,0)))</f>
        <v/>
      </c>
      <c r="K100" s="677">
        <f>日報表!O100</f>
        <v>0</v>
      </c>
      <c r="L100" s="680">
        <f>日報表!V100</f>
        <v>0</v>
      </c>
      <c r="M100" s="680">
        <f>日報表!W100</f>
        <v>0</v>
      </c>
      <c r="N100" s="680">
        <f>日報表!X100</f>
        <v>0</v>
      </c>
      <c r="O100" s="680">
        <f>日報表!Y100</f>
        <v>0</v>
      </c>
    </row>
    <row r="101" spans="1:15">
      <c r="A101" s="209">
        <f>日報表!A101</f>
        <v>0</v>
      </c>
      <c r="B101" s="210">
        <f>日報表!B101</f>
        <v>0</v>
      </c>
      <c r="C101" s="211">
        <f>日報表!C101</f>
        <v>0</v>
      </c>
      <c r="D101" s="211">
        <f>日報表!G101</f>
        <v>0</v>
      </c>
      <c r="E101" s="212">
        <f>日報表!K101</f>
        <v>0</v>
      </c>
      <c r="F101" s="212">
        <f>日報表!N101</f>
        <v>0</v>
      </c>
      <c r="G101" s="213" t="str">
        <f>日報表!M101</f>
        <v/>
      </c>
      <c r="H101" s="240">
        <f>日報表!S101</f>
        <v>0</v>
      </c>
      <c r="I101" s="241">
        <f>日報表!T101</f>
        <v>0</v>
      </c>
      <c r="J101" s="241" t="str">
        <f>IF(ISNA(HLOOKUP(A101,IAD!$6:$10,5,0)),"",(HLOOKUP(A101,IAD!$6:$10,5,0)))</f>
        <v/>
      </c>
      <c r="K101" s="677">
        <f>日報表!O101</f>
        <v>0</v>
      </c>
      <c r="L101" s="680">
        <f>日報表!V101</f>
        <v>0</v>
      </c>
      <c r="M101" s="680">
        <f>日報表!W101</f>
        <v>0</v>
      </c>
      <c r="N101" s="680">
        <f>日報表!X101</f>
        <v>0</v>
      </c>
      <c r="O101" s="680">
        <f>日報表!Y101</f>
        <v>0</v>
      </c>
    </row>
    <row r="102" spans="1:15">
      <c r="A102" s="209">
        <f>日報表!A102</f>
        <v>0</v>
      </c>
      <c r="B102" s="210">
        <f>日報表!B102</f>
        <v>0</v>
      </c>
      <c r="C102" s="211">
        <f>日報表!C102</f>
        <v>0</v>
      </c>
      <c r="D102" s="211">
        <f>日報表!G102</f>
        <v>0</v>
      </c>
      <c r="E102" s="212">
        <f>日報表!K102</f>
        <v>0</v>
      </c>
      <c r="F102" s="212">
        <f>日報表!N102</f>
        <v>0</v>
      </c>
      <c r="G102" s="213" t="str">
        <f>日報表!M102</f>
        <v/>
      </c>
      <c r="H102" s="240">
        <f>日報表!S102</f>
        <v>0</v>
      </c>
      <c r="I102" s="241">
        <f>日報表!T102</f>
        <v>0</v>
      </c>
      <c r="J102" s="241" t="str">
        <f>IF(ISNA(HLOOKUP(A102,IAD!$6:$10,5,0)),"",(HLOOKUP(A102,IAD!$6:$10,5,0)))</f>
        <v/>
      </c>
      <c r="K102" s="677">
        <f>日報表!O102</f>
        <v>0</v>
      </c>
      <c r="L102" s="680">
        <f>日報表!V102</f>
        <v>0</v>
      </c>
      <c r="M102" s="680">
        <f>日報表!W102</f>
        <v>0</v>
      </c>
      <c r="N102" s="680">
        <f>日報表!X102</f>
        <v>0</v>
      </c>
      <c r="O102" s="680">
        <f>日報表!Y102</f>
        <v>0</v>
      </c>
    </row>
    <row r="103" spans="1:15">
      <c r="A103" s="209">
        <f>日報表!A103</f>
        <v>0</v>
      </c>
      <c r="B103" s="210">
        <f>日報表!B103</f>
        <v>0</v>
      </c>
      <c r="C103" s="211">
        <f>日報表!C103</f>
        <v>0</v>
      </c>
      <c r="D103" s="211">
        <f>日報表!G103</f>
        <v>0</v>
      </c>
      <c r="E103" s="212">
        <f>日報表!K103</f>
        <v>0</v>
      </c>
      <c r="F103" s="212">
        <f>日報表!N103</f>
        <v>0</v>
      </c>
      <c r="G103" s="213" t="str">
        <f>日報表!M103</f>
        <v/>
      </c>
      <c r="H103" s="240">
        <f>日報表!S103</f>
        <v>0</v>
      </c>
      <c r="I103" s="241">
        <f>日報表!T103</f>
        <v>0</v>
      </c>
      <c r="J103" s="241" t="str">
        <f>IF(ISNA(HLOOKUP(A103,IAD!$6:$10,5,0)),"",(HLOOKUP(A103,IAD!$6:$10,5,0)))</f>
        <v/>
      </c>
      <c r="K103" s="677">
        <f>日報表!O103</f>
        <v>0</v>
      </c>
      <c r="L103" s="680">
        <f>日報表!V103</f>
        <v>0</v>
      </c>
      <c r="M103" s="680">
        <f>日報表!W103</f>
        <v>0</v>
      </c>
      <c r="N103" s="680">
        <f>日報表!X103</f>
        <v>0</v>
      </c>
      <c r="O103" s="680">
        <f>日報表!Y103</f>
        <v>0</v>
      </c>
    </row>
    <row r="104" spans="1:15">
      <c r="A104" s="209">
        <f>日報表!A104</f>
        <v>0</v>
      </c>
      <c r="B104" s="210">
        <f>日報表!B104</f>
        <v>0</v>
      </c>
      <c r="C104" s="211">
        <f>日報表!C104</f>
        <v>0</v>
      </c>
      <c r="D104" s="211">
        <f>日報表!G104</f>
        <v>0</v>
      </c>
      <c r="E104" s="212">
        <f>日報表!K104</f>
        <v>0</v>
      </c>
      <c r="F104" s="212">
        <f>日報表!N104</f>
        <v>0</v>
      </c>
      <c r="G104" s="213" t="str">
        <f>日報表!M104</f>
        <v/>
      </c>
      <c r="H104" s="240">
        <f>日報表!S104</f>
        <v>0</v>
      </c>
      <c r="I104" s="241">
        <f>日報表!T104</f>
        <v>0</v>
      </c>
      <c r="J104" s="241" t="str">
        <f>IF(ISNA(HLOOKUP(A104,IAD!$6:$10,5,0)),"",(HLOOKUP(A104,IAD!$6:$10,5,0)))</f>
        <v/>
      </c>
      <c r="K104" s="677">
        <f>日報表!O104</f>
        <v>0</v>
      </c>
      <c r="L104" s="680">
        <f>日報表!V104</f>
        <v>0</v>
      </c>
      <c r="M104" s="680">
        <f>日報表!W104</f>
        <v>0</v>
      </c>
      <c r="N104" s="680">
        <f>日報表!X104</f>
        <v>0</v>
      </c>
      <c r="O104" s="680">
        <f>日報表!Y104</f>
        <v>0</v>
      </c>
    </row>
    <row r="105" spans="1:15">
      <c r="A105" s="209">
        <f>日報表!A105</f>
        <v>0</v>
      </c>
      <c r="B105" s="210">
        <f>日報表!B105</f>
        <v>0</v>
      </c>
      <c r="C105" s="211">
        <f>日報表!C105</f>
        <v>0</v>
      </c>
      <c r="D105" s="211">
        <f>日報表!G105</f>
        <v>0</v>
      </c>
      <c r="E105" s="212">
        <f>日報表!K105</f>
        <v>0</v>
      </c>
      <c r="F105" s="212">
        <f>日報表!N105</f>
        <v>0</v>
      </c>
      <c r="G105" s="213" t="str">
        <f>日報表!M105</f>
        <v/>
      </c>
      <c r="H105" s="240">
        <f>日報表!S105</f>
        <v>0</v>
      </c>
      <c r="I105" s="241">
        <f>日報表!T105</f>
        <v>0</v>
      </c>
      <c r="J105" s="241" t="str">
        <f>IF(ISNA(HLOOKUP(A105,IAD!$6:$10,5,0)),"",(HLOOKUP(A105,IAD!$6:$10,5,0)))</f>
        <v/>
      </c>
      <c r="K105" s="677">
        <f>日報表!O105</f>
        <v>0</v>
      </c>
      <c r="L105" s="680">
        <f>日報表!V105</f>
        <v>0</v>
      </c>
      <c r="M105" s="680">
        <f>日報表!W105</f>
        <v>0</v>
      </c>
      <c r="N105" s="680">
        <f>日報表!X105</f>
        <v>0</v>
      </c>
      <c r="O105" s="680">
        <f>日報表!Y105</f>
        <v>0</v>
      </c>
    </row>
    <row r="106" spans="1:15">
      <c r="A106" s="209">
        <f>日報表!A106</f>
        <v>0</v>
      </c>
      <c r="B106" s="210">
        <f>日報表!B106</f>
        <v>0</v>
      </c>
      <c r="C106" s="211">
        <f>日報表!C106</f>
        <v>0</v>
      </c>
      <c r="D106" s="211">
        <f>日報表!G106</f>
        <v>0</v>
      </c>
      <c r="E106" s="212">
        <f>日報表!K106</f>
        <v>0</v>
      </c>
      <c r="F106" s="212">
        <f>日報表!N106</f>
        <v>0</v>
      </c>
      <c r="G106" s="213" t="str">
        <f>日報表!M106</f>
        <v/>
      </c>
      <c r="H106" s="240">
        <f>日報表!S106</f>
        <v>0</v>
      </c>
      <c r="I106" s="241">
        <f>日報表!T106</f>
        <v>0</v>
      </c>
      <c r="J106" s="241" t="str">
        <f>IF(ISNA(HLOOKUP(A106,IAD!$6:$10,5,0)),"",(HLOOKUP(A106,IAD!$6:$10,5,0)))</f>
        <v/>
      </c>
      <c r="K106" s="677">
        <f>日報表!O106</f>
        <v>0</v>
      </c>
      <c r="L106" s="680">
        <f>日報表!V106</f>
        <v>0</v>
      </c>
      <c r="M106" s="680">
        <f>日報表!W106</f>
        <v>0</v>
      </c>
      <c r="N106" s="680">
        <f>日報表!X106</f>
        <v>0</v>
      </c>
      <c r="O106" s="680">
        <f>日報表!Y106</f>
        <v>0</v>
      </c>
    </row>
    <row r="107" spans="1:15">
      <c r="A107" s="209">
        <f>日報表!A107</f>
        <v>0</v>
      </c>
      <c r="B107" s="210">
        <f>日報表!B107</f>
        <v>0</v>
      </c>
      <c r="C107" s="211">
        <f>日報表!C107</f>
        <v>0</v>
      </c>
      <c r="D107" s="211">
        <f>日報表!G107</f>
        <v>0</v>
      </c>
      <c r="E107" s="212">
        <f>日報表!K107</f>
        <v>0</v>
      </c>
      <c r="F107" s="212">
        <f>日報表!N107</f>
        <v>0</v>
      </c>
      <c r="G107" s="213" t="str">
        <f>日報表!M107</f>
        <v/>
      </c>
      <c r="H107" s="240">
        <f>日報表!S107</f>
        <v>0</v>
      </c>
      <c r="I107" s="241">
        <f>日報表!T107</f>
        <v>0</v>
      </c>
      <c r="J107" s="241" t="str">
        <f>IF(ISNA(HLOOKUP(A107,IAD!$6:$10,5,0)),"",(HLOOKUP(A107,IAD!$6:$10,5,0)))</f>
        <v/>
      </c>
      <c r="K107" s="677">
        <f>日報表!O107</f>
        <v>0</v>
      </c>
      <c r="L107" s="680">
        <f>日報表!V107</f>
        <v>0</v>
      </c>
      <c r="M107" s="680">
        <f>日報表!W107</f>
        <v>0</v>
      </c>
      <c r="N107" s="680">
        <f>日報表!X107</f>
        <v>0</v>
      </c>
      <c r="O107" s="680">
        <f>日報表!Y107</f>
        <v>0</v>
      </c>
    </row>
    <row r="108" spans="1:15">
      <c r="A108" s="209">
        <f>日報表!A108</f>
        <v>0</v>
      </c>
      <c r="B108" s="210">
        <f>日報表!B108</f>
        <v>0</v>
      </c>
      <c r="C108" s="211">
        <f>日報表!C108</f>
        <v>0</v>
      </c>
      <c r="D108" s="211">
        <f>日報表!G108</f>
        <v>0</v>
      </c>
      <c r="E108" s="212">
        <f>日報表!K108</f>
        <v>0</v>
      </c>
      <c r="F108" s="212">
        <f>日報表!N108</f>
        <v>0</v>
      </c>
      <c r="G108" s="213" t="str">
        <f>日報表!M108</f>
        <v/>
      </c>
      <c r="H108" s="240">
        <f>日報表!S108</f>
        <v>0</v>
      </c>
      <c r="I108" s="241">
        <f>日報表!T108</f>
        <v>0</v>
      </c>
      <c r="J108" s="241" t="str">
        <f>IF(ISNA(HLOOKUP(A108,IAD!$6:$10,5,0)),"",(HLOOKUP(A108,IAD!$6:$10,5,0)))</f>
        <v/>
      </c>
      <c r="K108" s="677">
        <f>日報表!O108</f>
        <v>0</v>
      </c>
      <c r="L108" s="680">
        <f>日報表!V108</f>
        <v>0</v>
      </c>
      <c r="M108" s="680">
        <f>日報表!W108</f>
        <v>0</v>
      </c>
      <c r="N108" s="680">
        <f>日報表!X108</f>
        <v>0</v>
      </c>
      <c r="O108" s="680">
        <f>日報表!Y108</f>
        <v>0</v>
      </c>
    </row>
    <row r="109" spans="1:15">
      <c r="A109" s="209">
        <f>日報表!A109</f>
        <v>0</v>
      </c>
      <c r="B109" s="210">
        <f>日報表!B109</f>
        <v>0</v>
      </c>
      <c r="C109" s="211">
        <f>日報表!C109</f>
        <v>0</v>
      </c>
      <c r="D109" s="211">
        <f>日報表!G109</f>
        <v>0</v>
      </c>
      <c r="E109" s="212">
        <f>日報表!K109</f>
        <v>0</v>
      </c>
      <c r="F109" s="212">
        <f>日報表!N109</f>
        <v>0</v>
      </c>
      <c r="G109" s="213" t="str">
        <f>日報表!M109</f>
        <v/>
      </c>
      <c r="H109" s="240">
        <f>日報表!S109</f>
        <v>0</v>
      </c>
      <c r="I109" s="241">
        <f>日報表!T109</f>
        <v>0</v>
      </c>
      <c r="J109" s="241" t="str">
        <f>IF(ISNA(HLOOKUP(A109,IAD!$6:$10,5,0)),"",(HLOOKUP(A109,IAD!$6:$10,5,0)))</f>
        <v/>
      </c>
      <c r="K109" s="677">
        <f>日報表!O109</f>
        <v>0</v>
      </c>
      <c r="L109" s="680">
        <f>日報表!V109</f>
        <v>0</v>
      </c>
      <c r="M109" s="680">
        <f>日報表!W109</f>
        <v>0</v>
      </c>
      <c r="N109" s="680">
        <f>日報表!X109</f>
        <v>0</v>
      </c>
      <c r="O109" s="680">
        <f>日報表!Y109</f>
        <v>0</v>
      </c>
    </row>
    <row r="110" spans="1:15">
      <c r="A110" s="214"/>
      <c r="E110" s="215"/>
      <c r="F110" s="215"/>
      <c r="G110" s="215"/>
      <c r="K110" s="194"/>
      <c r="L110" s="194"/>
      <c r="M110" s="194"/>
      <c r="N110" s="194"/>
      <c r="O110" s="194"/>
    </row>
    <row r="111" spans="1:15">
      <c r="A111" s="191" t="str">
        <f>日報表!A111</f>
        <v>M80機台</v>
      </c>
      <c r="E111" s="215"/>
      <c r="F111" s="215"/>
      <c r="G111" s="215"/>
      <c r="K111" s="194"/>
      <c r="L111" s="194"/>
      <c r="M111" s="194"/>
      <c r="N111" s="194"/>
      <c r="O111" s="194"/>
    </row>
    <row r="112" spans="1:15">
      <c r="A112" s="196" t="str">
        <f>日報表!A112</f>
        <v>DTY批號</v>
      </c>
      <c r="B112" s="197" t="str">
        <f>日報表!B112</f>
        <v>規格</v>
      </c>
      <c r="C112" s="198" t="str">
        <f>日報表!C112</f>
        <v>POY批號</v>
      </c>
      <c r="D112" s="203" t="s">
        <v>73</v>
      </c>
      <c r="E112" s="199" t="str">
        <f>日報表!K112</f>
        <v xml:space="preserve"> Ａ級率</v>
      </c>
      <c r="F112" s="199" t="str">
        <f>日報表!N112</f>
        <v>滿管率</v>
      </c>
      <c r="G112" s="201" t="s">
        <v>78</v>
      </c>
      <c r="H112" s="226" t="s">
        <v>76</v>
      </c>
      <c r="I112" s="227" t="s">
        <v>77</v>
      </c>
      <c r="J112" s="227" t="s">
        <v>206</v>
      </c>
      <c r="K112" s="678" t="str">
        <f>日報表!O112</f>
        <v>紗重</v>
      </c>
      <c r="L112" s="471" t="s">
        <v>443</v>
      </c>
      <c r="M112" s="471" t="s">
        <v>444</v>
      </c>
      <c r="N112" s="471" t="s">
        <v>445</v>
      </c>
      <c r="O112" s="471" t="s">
        <v>446</v>
      </c>
    </row>
    <row r="113" spans="1:15">
      <c r="A113" s="209">
        <f>日報表!A113</f>
        <v>0</v>
      </c>
      <c r="B113" s="210">
        <f>日報表!B113</f>
        <v>0</v>
      </c>
      <c r="C113" s="211">
        <f>日報表!C113</f>
        <v>0</v>
      </c>
      <c r="D113" s="211">
        <f>日報表!G113</f>
        <v>0</v>
      </c>
      <c r="E113" s="212">
        <f>日報表!K113</f>
        <v>0</v>
      </c>
      <c r="F113" s="212">
        <f>日報表!N113</f>
        <v>0</v>
      </c>
      <c r="G113" s="213" t="str">
        <f>日報表!M113</f>
        <v/>
      </c>
      <c r="H113" s="240">
        <f>日報表!S113</f>
        <v>0</v>
      </c>
      <c r="I113" s="241">
        <f>日報表!T113</f>
        <v>0</v>
      </c>
      <c r="J113" s="241" t="str">
        <f>IF(ISNA(HLOOKUP(A113,IAD!$6:$10,5,0)),"",(HLOOKUP(A113,IAD!$6:$10,5,0)))</f>
        <v/>
      </c>
      <c r="K113" s="677">
        <f>日報表!O113</f>
        <v>0</v>
      </c>
      <c r="L113" s="680">
        <f>日報表!V113</f>
        <v>0</v>
      </c>
      <c r="M113" s="680">
        <f>日報表!W113</f>
        <v>0</v>
      </c>
      <c r="N113" s="680">
        <f>日報表!X113</f>
        <v>0</v>
      </c>
      <c r="O113" s="680">
        <f>日報表!Y113</f>
        <v>0</v>
      </c>
    </row>
    <row r="114" spans="1:15">
      <c r="A114" s="209">
        <f>日報表!A114</f>
        <v>0</v>
      </c>
      <c r="B114" s="210">
        <f>日報表!B114</f>
        <v>0</v>
      </c>
      <c r="C114" s="211">
        <f>日報表!C114</f>
        <v>0</v>
      </c>
      <c r="D114" s="211">
        <f>日報表!G114</f>
        <v>0</v>
      </c>
      <c r="E114" s="212">
        <f>日報表!K114</f>
        <v>0</v>
      </c>
      <c r="F114" s="212">
        <f>日報表!N114</f>
        <v>0</v>
      </c>
      <c r="G114" s="213" t="str">
        <f>日報表!M114</f>
        <v/>
      </c>
      <c r="H114" s="240">
        <f>日報表!S114</f>
        <v>0</v>
      </c>
      <c r="I114" s="241">
        <f>日報表!T114</f>
        <v>0</v>
      </c>
      <c r="J114" s="241" t="str">
        <f>IF(ISNA(HLOOKUP(A114,IAD!$6:$10,5,0)),"",(HLOOKUP(A114,IAD!$6:$10,5,0)))</f>
        <v/>
      </c>
      <c r="K114" s="677">
        <f>日報表!O114</f>
        <v>0</v>
      </c>
      <c r="L114" s="680">
        <f>日報表!V114</f>
        <v>0</v>
      </c>
      <c r="M114" s="680">
        <f>日報表!W114</f>
        <v>0</v>
      </c>
      <c r="N114" s="680">
        <f>日報表!X114</f>
        <v>0</v>
      </c>
      <c r="O114" s="680">
        <f>日報表!Y114</f>
        <v>0</v>
      </c>
    </row>
    <row r="115" spans="1:15">
      <c r="A115" s="209">
        <f>日報表!A115</f>
        <v>0</v>
      </c>
      <c r="B115" s="210">
        <f>日報表!B115</f>
        <v>0</v>
      </c>
      <c r="C115" s="211">
        <f>日報表!C115</f>
        <v>0</v>
      </c>
      <c r="D115" s="211">
        <f>日報表!G115</f>
        <v>0</v>
      </c>
      <c r="E115" s="212">
        <f>日報表!K115</f>
        <v>0</v>
      </c>
      <c r="F115" s="212">
        <f>日報表!N115</f>
        <v>0</v>
      </c>
      <c r="G115" s="213" t="str">
        <f>日報表!M115</f>
        <v/>
      </c>
      <c r="H115" s="240">
        <f>日報表!S115</f>
        <v>0</v>
      </c>
      <c r="I115" s="241">
        <f>日報表!T115</f>
        <v>0</v>
      </c>
      <c r="J115" s="241" t="str">
        <f>IF(ISNA(HLOOKUP(A115,IAD!$6:$10,5,0)),"",(HLOOKUP(A115,IAD!$6:$10,5,0)))</f>
        <v/>
      </c>
      <c r="K115" s="677">
        <f>日報表!O115</f>
        <v>0</v>
      </c>
      <c r="L115" s="680">
        <f>日報表!V115</f>
        <v>0</v>
      </c>
      <c r="M115" s="680">
        <f>日報表!W115</f>
        <v>0</v>
      </c>
      <c r="N115" s="680">
        <f>日報表!X115</f>
        <v>0</v>
      </c>
      <c r="O115" s="680">
        <f>日報表!Y115</f>
        <v>0</v>
      </c>
    </row>
    <row r="116" spans="1:15">
      <c r="A116" s="209">
        <f>日報表!A116</f>
        <v>0</v>
      </c>
      <c r="B116" s="210">
        <f>日報表!B116</f>
        <v>0</v>
      </c>
      <c r="C116" s="211">
        <f>日報表!C116</f>
        <v>0</v>
      </c>
      <c r="D116" s="211">
        <f>日報表!G116</f>
        <v>0</v>
      </c>
      <c r="E116" s="212">
        <f>日報表!K116</f>
        <v>0</v>
      </c>
      <c r="F116" s="212">
        <f>日報表!N116</f>
        <v>0</v>
      </c>
      <c r="G116" s="213" t="str">
        <f>日報表!M116</f>
        <v/>
      </c>
      <c r="H116" s="240">
        <f>日報表!S116</f>
        <v>0</v>
      </c>
      <c r="I116" s="241">
        <f>日報表!T116</f>
        <v>0</v>
      </c>
      <c r="J116" s="241" t="str">
        <f>IF(ISNA(HLOOKUP(A116,IAD!$6:$10,5,0)),"",(HLOOKUP(A116,IAD!$6:$10,5,0)))</f>
        <v/>
      </c>
      <c r="K116" s="677">
        <f>日報表!O116</f>
        <v>0</v>
      </c>
      <c r="L116" s="680">
        <f>日報表!V116</f>
        <v>0</v>
      </c>
      <c r="M116" s="680">
        <f>日報表!W116</f>
        <v>0</v>
      </c>
      <c r="N116" s="680">
        <f>日報表!X116</f>
        <v>0</v>
      </c>
      <c r="O116" s="680">
        <f>日報表!Y116</f>
        <v>0</v>
      </c>
    </row>
    <row r="117" spans="1:15">
      <c r="A117" s="209">
        <f>日報表!A117</f>
        <v>0</v>
      </c>
      <c r="B117" s="210">
        <f>日報表!B117</f>
        <v>0</v>
      </c>
      <c r="C117" s="211">
        <f>日報表!C117</f>
        <v>0</v>
      </c>
      <c r="D117" s="211">
        <f>日報表!G117</f>
        <v>0</v>
      </c>
      <c r="E117" s="212">
        <f>日報表!K117</f>
        <v>0</v>
      </c>
      <c r="F117" s="212">
        <f>日報表!N117</f>
        <v>0</v>
      </c>
      <c r="G117" s="213" t="str">
        <f>日報表!M117</f>
        <v/>
      </c>
      <c r="H117" s="240">
        <f>日報表!S117</f>
        <v>0</v>
      </c>
      <c r="I117" s="241">
        <f>日報表!T117</f>
        <v>0</v>
      </c>
      <c r="J117" s="241" t="str">
        <f>IF(ISNA(HLOOKUP(A117,IAD!$6:$10,5,0)),"",(HLOOKUP(A117,IAD!$6:$10,5,0)))</f>
        <v/>
      </c>
      <c r="K117" s="677">
        <f>日報表!O117</f>
        <v>0</v>
      </c>
      <c r="L117" s="680">
        <f>日報表!V117</f>
        <v>0</v>
      </c>
      <c r="M117" s="680">
        <f>日報表!W117</f>
        <v>0</v>
      </c>
      <c r="N117" s="680">
        <f>日報表!X117</f>
        <v>0</v>
      </c>
      <c r="O117" s="680">
        <f>日報表!Y117</f>
        <v>0</v>
      </c>
    </row>
    <row r="118" spans="1:15">
      <c r="A118" s="209">
        <f>日報表!A118</f>
        <v>0</v>
      </c>
      <c r="B118" s="210">
        <f>日報表!B118</f>
        <v>0</v>
      </c>
      <c r="C118" s="211">
        <f>日報表!C118</f>
        <v>0</v>
      </c>
      <c r="D118" s="211">
        <f>日報表!G118</f>
        <v>0</v>
      </c>
      <c r="E118" s="212">
        <f>日報表!K118</f>
        <v>0</v>
      </c>
      <c r="F118" s="212">
        <f>日報表!N118</f>
        <v>0</v>
      </c>
      <c r="G118" s="213" t="str">
        <f>日報表!M118</f>
        <v/>
      </c>
      <c r="H118" s="240">
        <f>日報表!S118</f>
        <v>0</v>
      </c>
      <c r="I118" s="241">
        <f>日報表!T118</f>
        <v>0</v>
      </c>
      <c r="J118" s="241" t="str">
        <f>IF(ISNA(HLOOKUP(A118,IAD!$6:$10,5,0)),"",(HLOOKUP(A118,IAD!$6:$10,5,0)))</f>
        <v/>
      </c>
      <c r="K118" s="677">
        <f>日報表!O118</f>
        <v>0</v>
      </c>
      <c r="L118" s="680">
        <f>日報表!V118</f>
        <v>0</v>
      </c>
      <c r="M118" s="680">
        <f>日報表!W118</f>
        <v>0</v>
      </c>
      <c r="N118" s="680">
        <f>日報表!X118</f>
        <v>0</v>
      </c>
      <c r="O118" s="680">
        <f>日報表!Y118</f>
        <v>0</v>
      </c>
    </row>
    <row r="119" spans="1:15">
      <c r="A119" s="209">
        <f>日報表!A119</f>
        <v>0</v>
      </c>
      <c r="B119" s="210">
        <f>日報表!B119</f>
        <v>0</v>
      </c>
      <c r="C119" s="211">
        <f>日報表!C119</f>
        <v>0</v>
      </c>
      <c r="D119" s="211">
        <f>日報表!G119</f>
        <v>0</v>
      </c>
      <c r="E119" s="212">
        <f>日報表!K119</f>
        <v>0</v>
      </c>
      <c r="F119" s="212">
        <f>日報表!N119</f>
        <v>0</v>
      </c>
      <c r="G119" s="213" t="str">
        <f>日報表!M119</f>
        <v/>
      </c>
      <c r="H119" s="240">
        <f>日報表!S119</f>
        <v>0</v>
      </c>
      <c r="I119" s="241">
        <f>日報表!T119</f>
        <v>0</v>
      </c>
      <c r="J119" s="241" t="str">
        <f>IF(ISNA(HLOOKUP(A119,IAD!$6:$10,5,0)),"",(HLOOKUP(A119,IAD!$6:$10,5,0)))</f>
        <v/>
      </c>
      <c r="K119" s="677">
        <f>日報表!O119</f>
        <v>0</v>
      </c>
      <c r="L119" s="680">
        <f>日報表!V119</f>
        <v>0</v>
      </c>
      <c r="M119" s="680">
        <f>日報表!W119</f>
        <v>0</v>
      </c>
      <c r="N119" s="680">
        <f>日報表!X119</f>
        <v>0</v>
      </c>
      <c r="O119" s="680">
        <f>日報表!Y119</f>
        <v>0</v>
      </c>
    </row>
    <row r="120" spans="1:15">
      <c r="A120" s="209">
        <f>日報表!A120</f>
        <v>0</v>
      </c>
      <c r="B120" s="210">
        <f>日報表!B120</f>
        <v>0</v>
      </c>
      <c r="C120" s="211">
        <f>日報表!C120</f>
        <v>0</v>
      </c>
      <c r="D120" s="211">
        <f>日報表!G120</f>
        <v>0</v>
      </c>
      <c r="E120" s="212">
        <f>日報表!K120</f>
        <v>0</v>
      </c>
      <c r="F120" s="212">
        <f>日報表!N120</f>
        <v>0</v>
      </c>
      <c r="G120" s="213" t="str">
        <f>日報表!M120</f>
        <v/>
      </c>
      <c r="H120" s="240">
        <f>日報表!S120</f>
        <v>0</v>
      </c>
      <c r="I120" s="241">
        <f>日報表!T120</f>
        <v>0</v>
      </c>
      <c r="J120" s="241" t="str">
        <f>IF(ISNA(HLOOKUP(A120,IAD!$6:$10,5,0)),"",(HLOOKUP(A120,IAD!$6:$10,5,0)))</f>
        <v/>
      </c>
      <c r="K120" s="677">
        <f>日報表!O120</f>
        <v>0</v>
      </c>
      <c r="L120" s="680">
        <f>日報表!V120</f>
        <v>0</v>
      </c>
      <c r="M120" s="680">
        <f>日報表!W120</f>
        <v>0</v>
      </c>
      <c r="N120" s="680">
        <f>日報表!X120</f>
        <v>0</v>
      </c>
      <c r="O120" s="680">
        <f>日報表!Y120</f>
        <v>0</v>
      </c>
    </row>
    <row r="121" spans="1:15">
      <c r="A121" s="209">
        <f>日報表!A121</f>
        <v>0</v>
      </c>
      <c r="B121" s="210">
        <f>日報表!B121</f>
        <v>0</v>
      </c>
      <c r="C121" s="211">
        <f>日報表!C121</f>
        <v>0</v>
      </c>
      <c r="D121" s="211">
        <f>日報表!G121</f>
        <v>0</v>
      </c>
      <c r="E121" s="212">
        <f>日報表!K121</f>
        <v>0</v>
      </c>
      <c r="F121" s="212">
        <f>日報表!N121</f>
        <v>0</v>
      </c>
      <c r="G121" s="213" t="str">
        <f>日報表!M121</f>
        <v/>
      </c>
      <c r="H121" s="240">
        <f>日報表!S121</f>
        <v>0</v>
      </c>
      <c r="I121" s="241">
        <f>日報表!T121</f>
        <v>0</v>
      </c>
      <c r="J121" s="241" t="str">
        <f>IF(ISNA(HLOOKUP(A121,IAD!$6:$10,5,0)),"",(HLOOKUP(A121,IAD!$6:$10,5,0)))</f>
        <v/>
      </c>
      <c r="K121" s="677">
        <f>日報表!O121</f>
        <v>0</v>
      </c>
      <c r="L121" s="680">
        <f>日報表!V121</f>
        <v>0</v>
      </c>
      <c r="M121" s="680">
        <f>日報表!W121</f>
        <v>0</v>
      </c>
      <c r="N121" s="680">
        <f>日報表!X121</f>
        <v>0</v>
      </c>
      <c r="O121" s="680">
        <f>日報表!Y121</f>
        <v>0</v>
      </c>
    </row>
    <row r="122" spans="1:15">
      <c r="A122" s="209">
        <f>日報表!A122</f>
        <v>0</v>
      </c>
      <c r="B122" s="210">
        <f>日報表!B122</f>
        <v>0</v>
      </c>
      <c r="C122" s="211">
        <f>日報表!C122</f>
        <v>0</v>
      </c>
      <c r="D122" s="211">
        <f>日報表!G122</f>
        <v>0</v>
      </c>
      <c r="E122" s="212">
        <f>日報表!K122</f>
        <v>0</v>
      </c>
      <c r="F122" s="212">
        <f>日報表!N122</f>
        <v>0</v>
      </c>
      <c r="G122" s="213" t="str">
        <f>日報表!M122</f>
        <v/>
      </c>
      <c r="H122" s="240">
        <f>日報表!S122</f>
        <v>0</v>
      </c>
      <c r="I122" s="241">
        <f>日報表!T122</f>
        <v>0</v>
      </c>
      <c r="J122" s="241" t="str">
        <f>IF(ISNA(HLOOKUP(A122,IAD!$6:$10,5,0)),"",(HLOOKUP(A122,IAD!$6:$10,5,0)))</f>
        <v/>
      </c>
      <c r="K122" s="677">
        <f>日報表!O122</f>
        <v>0</v>
      </c>
      <c r="L122" s="680">
        <f>日報表!V122</f>
        <v>0</v>
      </c>
      <c r="M122" s="680">
        <f>日報表!W122</f>
        <v>0</v>
      </c>
      <c r="N122" s="680">
        <f>日報表!X122</f>
        <v>0</v>
      </c>
      <c r="O122" s="680">
        <f>日報表!Y122</f>
        <v>0</v>
      </c>
    </row>
    <row r="123" spans="1:15">
      <c r="A123" s="209">
        <f>日報表!A123</f>
        <v>0</v>
      </c>
      <c r="B123" s="210">
        <f>日報表!B123</f>
        <v>0</v>
      </c>
      <c r="C123" s="211">
        <f>日報表!C123</f>
        <v>0</v>
      </c>
      <c r="D123" s="211">
        <f>日報表!G123</f>
        <v>0</v>
      </c>
      <c r="E123" s="212">
        <f>日報表!K123</f>
        <v>0</v>
      </c>
      <c r="F123" s="212">
        <f>日報表!N123</f>
        <v>0</v>
      </c>
      <c r="G123" s="213" t="str">
        <f>日報表!M123</f>
        <v/>
      </c>
      <c r="H123" s="240">
        <f>日報表!S123</f>
        <v>0</v>
      </c>
      <c r="I123" s="241">
        <f>日報表!T123</f>
        <v>0</v>
      </c>
      <c r="J123" s="241" t="str">
        <f>IF(ISNA(HLOOKUP(A123,IAD!$6:$10,5,0)),"",(HLOOKUP(A123,IAD!$6:$10,5,0)))</f>
        <v/>
      </c>
      <c r="K123" s="677">
        <f>日報表!O123</f>
        <v>0</v>
      </c>
      <c r="L123" s="680">
        <f>日報表!V123</f>
        <v>0</v>
      </c>
      <c r="M123" s="680">
        <f>日報表!W123</f>
        <v>0</v>
      </c>
      <c r="N123" s="680">
        <f>日報表!X123</f>
        <v>0</v>
      </c>
      <c r="O123" s="680">
        <f>日報表!Y123</f>
        <v>0</v>
      </c>
    </row>
    <row r="124" spans="1:15">
      <c r="A124" s="209">
        <f>日報表!A124</f>
        <v>0</v>
      </c>
      <c r="B124" s="210">
        <f>日報表!B124</f>
        <v>0</v>
      </c>
      <c r="C124" s="211">
        <f>日報表!C124</f>
        <v>0</v>
      </c>
      <c r="D124" s="211">
        <f>日報表!G124</f>
        <v>0</v>
      </c>
      <c r="E124" s="212">
        <f>日報表!K124</f>
        <v>0</v>
      </c>
      <c r="F124" s="212">
        <f>日報表!N124</f>
        <v>0</v>
      </c>
      <c r="G124" s="213" t="str">
        <f>日報表!M124</f>
        <v/>
      </c>
      <c r="H124" s="240">
        <f>日報表!S124</f>
        <v>0</v>
      </c>
      <c r="I124" s="241">
        <f>日報表!T124</f>
        <v>0</v>
      </c>
      <c r="J124" s="241" t="str">
        <f>IF(ISNA(HLOOKUP(A124,IAD!$6:$10,5,0)),"",(HLOOKUP(A124,IAD!$6:$10,5,0)))</f>
        <v/>
      </c>
      <c r="K124" s="677">
        <f>日報表!O124</f>
        <v>0</v>
      </c>
      <c r="L124" s="680">
        <f>日報表!V124</f>
        <v>0</v>
      </c>
      <c r="M124" s="680">
        <f>日報表!W124</f>
        <v>0</v>
      </c>
      <c r="N124" s="680">
        <f>日報表!X124</f>
        <v>0</v>
      </c>
      <c r="O124" s="680">
        <f>日報表!Y124</f>
        <v>0</v>
      </c>
    </row>
    <row r="125" spans="1:15">
      <c r="A125" s="209">
        <f>日報表!A125</f>
        <v>0</v>
      </c>
      <c r="B125" s="210">
        <f>日報表!B125</f>
        <v>0</v>
      </c>
      <c r="C125" s="211">
        <f>日報表!C125</f>
        <v>0</v>
      </c>
      <c r="D125" s="211">
        <f>日報表!G125</f>
        <v>0</v>
      </c>
      <c r="E125" s="212">
        <f>日報表!K125</f>
        <v>0</v>
      </c>
      <c r="F125" s="212">
        <f>日報表!N125</f>
        <v>0</v>
      </c>
      <c r="G125" s="213" t="str">
        <f>日報表!M125</f>
        <v/>
      </c>
      <c r="H125" s="240">
        <f>日報表!S125</f>
        <v>0</v>
      </c>
      <c r="I125" s="241">
        <f>日報表!T125</f>
        <v>0</v>
      </c>
      <c r="J125" s="241" t="str">
        <f>IF(ISNA(HLOOKUP(A125,IAD!$6:$10,5,0)),"",(HLOOKUP(A125,IAD!$6:$10,5,0)))</f>
        <v/>
      </c>
      <c r="K125" s="677">
        <f>日報表!O125</f>
        <v>0</v>
      </c>
      <c r="L125" s="680">
        <f>日報表!V125</f>
        <v>0</v>
      </c>
      <c r="M125" s="680">
        <f>日報表!W125</f>
        <v>0</v>
      </c>
      <c r="N125" s="680">
        <f>日報表!X125</f>
        <v>0</v>
      </c>
      <c r="O125" s="680">
        <f>日報表!Y125</f>
        <v>0</v>
      </c>
    </row>
    <row r="126" spans="1:15">
      <c r="A126" s="209">
        <f>日報表!A126</f>
        <v>0</v>
      </c>
      <c r="B126" s="210">
        <f>日報表!B126</f>
        <v>0</v>
      </c>
      <c r="C126" s="211">
        <f>日報表!C126</f>
        <v>0</v>
      </c>
      <c r="D126" s="211">
        <f>日報表!G126</f>
        <v>0</v>
      </c>
      <c r="E126" s="212">
        <f>日報表!K126</f>
        <v>0</v>
      </c>
      <c r="F126" s="212">
        <f>日報表!N126</f>
        <v>0</v>
      </c>
      <c r="G126" s="213" t="str">
        <f>日報表!M126</f>
        <v/>
      </c>
      <c r="H126" s="240">
        <f>日報表!S126</f>
        <v>0</v>
      </c>
      <c r="I126" s="241">
        <f>日報表!T126</f>
        <v>0</v>
      </c>
      <c r="J126" s="241" t="str">
        <f>IF(ISNA(HLOOKUP(A126,IAD!$6:$10,5,0)),"",(HLOOKUP(A126,IAD!$6:$10,5,0)))</f>
        <v/>
      </c>
      <c r="K126" s="677">
        <f>日報表!O126</f>
        <v>0</v>
      </c>
      <c r="L126" s="680">
        <f>日報表!V126</f>
        <v>0</v>
      </c>
      <c r="M126" s="680">
        <f>日報表!W126</f>
        <v>0</v>
      </c>
      <c r="N126" s="680">
        <f>日報表!X126</f>
        <v>0</v>
      </c>
      <c r="O126" s="680">
        <f>日報表!Y126</f>
        <v>0</v>
      </c>
    </row>
    <row r="127" spans="1:15">
      <c r="A127" s="209">
        <f>日報表!A127</f>
        <v>0</v>
      </c>
      <c r="B127" s="210">
        <f>日報表!B127</f>
        <v>0</v>
      </c>
      <c r="C127" s="211">
        <f>日報表!C127</f>
        <v>0</v>
      </c>
      <c r="D127" s="211">
        <f>日報表!G127</f>
        <v>0</v>
      </c>
      <c r="E127" s="212">
        <f>日報表!K127</f>
        <v>0</v>
      </c>
      <c r="F127" s="212">
        <f>日報表!N127</f>
        <v>0</v>
      </c>
      <c r="G127" s="213" t="str">
        <f>日報表!M127</f>
        <v/>
      </c>
      <c r="H127" s="240">
        <f>日報表!S127</f>
        <v>0</v>
      </c>
      <c r="I127" s="241">
        <f>日報表!T127</f>
        <v>0</v>
      </c>
      <c r="J127" s="241" t="str">
        <f>IF(ISNA(HLOOKUP(A127,IAD!$6:$10,5,0)),"",(HLOOKUP(A127,IAD!$6:$10,5,0)))</f>
        <v/>
      </c>
      <c r="K127" s="677">
        <f>日報表!O127</f>
        <v>0</v>
      </c>
      <c r="L127" s="680">
        <f>日報表!V127</f>
        <v>0</v>
      </c>
      <c r="M127" s="680">
        <f>日報表!W127</f>
        <v>0</v>
      </c>
      <c r="N127" s="680">
        <f>日報表!X127</f>
        <v>0</v>
      </c>
      <c r="O127" s="680">
        <f>日報表!Y127</f>
        <v>0</v>
      </c>
    </row>
    <row r="128" spans="1:15">
      <c r="A128" s="209">
        <f>日報表!A128</f>
        <v>0</v>
      </c>
      <c r="B128" s="210">
        <f>日報表!B128</f>
        <v>0</v>
      </c>
      <c r="C128" s="211">
        <f>日報表!C128</f>
        <v>0</v>
      </c>
      <c r="D128" s="211">
        <f>日報表!G128</f>
        <v>0</v>
      </c>
      <c r="E128" s="212">
        <f>日報表!K128</f>
        <v>0</v>
      </c>
      <c r="F128" s="212">
        <f>日報表!N128</f>
        <v>0</v>
      </c>
      <c r="G128" s="213" t="str">
        <f>日報表!M128</f>
        <v/>
      </c>
      <c r="H128" s="240">
        <f>日報表!S128</f>
        <v>0</v>
      </c>
      <c r="I128" s="241">
        <f>日報表!T128</f>
        <v>0</v>
      </c>
      <c r="J128" s="241" t="str">
        <f>IF(ISNA(HLOOKUP(A128,IAD!$6:$10,5,0)),"",(HLOOKUP(A128,IAD!$6:$10,5,0)))</f>
        <v/>
      </c>
      <c r="K128" s="677">
        <f>日報表!O128</f>
        <v>0</v>
      </c>
      <c r="L128" s="680">
        <f>日報表!V128</f>
        <v>0</v>
      </c>
      <c r="M128" s="680">
        <f>日報表!W128</f>
        <v>0</v>
      </c>
      <c r="N128" s="680">
        <f>日報表!X128</f>
        <v>0</v>
      </c>
      <c r="O128" s="680">
        <f>日報表!Y128</f>
        <v>0</v>
      </c>
    </row>
    <row r="129" spans="1:15">
      <c r="A129" s="209">
        <f>日報表!A129</f>
        <v>0</v>
      </c>
      <c r="B129" s="210">
        <f>日報表!B129</f>
        <v>0</v>
      </c>
      <c r="C129" s="211">
        <f>日報表!C129</f>
        <v>0</v>
      </c>
      <c r="D129" s="211">
        <f>日報表!G129</f>
        <v>0</v>
      </c>
      <c r="E129" s="212">
        <f>日報表!K129</f>
        <v>0</v>
      </c>
      <c r="F129" s="212">
        <f>日報表!N129</f>
        <v>0</v>
      </c>
      <c r="G129" s="213" t="str">
        <f>日報表!M129</f>
        <v/>
      </c>
      <c r="H129" s="240">
        <f>日報表!S129</f>
        <v>0</v>
      </c>
      <c r="I129" s="241">
        <f>日報表!T129</f>
        <v>0</v>
      </c>
      <c r="J129" s="241" t="str">
        <f>IF(ISNA(HLOOKUP(A129,IAD!$6:$10,5,0)),"",(HLOOKUP(A129,IAD!$6:$10,5,0)))</f>
        <v/>
      </c>
      <c r="K129" s="677">
        <f>日報表!O129</f>
        <v>0</v>
      </c>
      <c r="L129" s="680">
        <f>日報表!V129</f>
        <v>0</v>
      </c>
      <c r="M129" s="680">
        <f>日報表!W129</f>
        <v>0</v>
      </c>
      <c r="N129" s="680">
        <f>日報表!X129</f>
        <v>0</v>
      </c>
      <c r="O129" s="680">
        <f>日報表!Y129</f>
        <v>0</v>
      </c>
    </row>
    <row r="130" spans="1:15">
      <c r="A130" s="209">
        <f>日報表!A130</f>
        <v>0</v>
      </c>
      <c r="B130" s="210">
        <f>日報表!B130</f>
        <v>0</v>
      </c>
      <c r="C130" s="211">
        <f>日報表!C130</f>
        <v>0</v>
      </c>
      <c r="D130" s="211">
        <f>日報表!G130</f>
        <v>0</v>
      </c>
      <c r="E130" s="212">
        <f>日報表!K130</f>
        <v>0</v>
      </c>
      <c r="F130" s="212">
        <f>日報表!N130</f>
        <v>0</v>
      </c>
      <c r="G130" s="213" t="str">
        <f>日報表!M130</f>
        <v/>
      </c>
      <c r="H130" s="240">
        <f>日報表!S130</f>
        <v>0</v>
      </c>
      <c r="I130" s="241">
        <f>日報表!T130</f>
        <v>0</v>
      </c>
      <c r="J130" s="241" t="str">
        <f>IF(ISNA(HLOOKUP(A130,IAD!$6:$10,5,0)),"",(HLOOKUP(A130,IAD!$6:$10,5,0)))</f>
        <v/>
      </c>
      <c r="K130" s="677">
        <f>日報表!O130</f>
        <v>0</v>
      </c>
      <c r="L130" s="680">
        <f>日報表!V130</f>
        <v>0</v>
      </c>
      <c r="M130" s="680">
        <f>日報表!W130</f>
        <v>0</v>
      </c>
      <c r="N130" s="680">
        <f>日報表!X130</f>
        <v>0</v>
      </c>
      <c r="O130" s="680">
        <f>日報表!Y130</f>
        <v>0</v>
      </c>
    </row>
    <row r="131" spans="1:15">
      <c r="A131" s="209">
        <f>日報表!A131</f>
        <v>0</v>
      </c>
      <c r="B131" s="210">
        <f>日報表!B131</f>
        <v>0</v>
      </c>
      <c r="C131" s="211">
        <f>日報表!C131</f>
        <v>0</v>
      </c>
      <c r="D131" s="211">
        <f>日報表!G131</f>
        <v>0</v>
      </c>
      <c r="E131" s="212">
        <f>日報表!K131</f>
        <v>0</v>
      </c>
      <c r="F131" s="212">
        <f>日報表!N131</f>
        <v>0</v>
      </c>
      <c r="G131" s="213" t="str">
        <f>日報表!M131</f>
        <v/>
      </c>
      <c r="H131" s="240">
        <f>日報表!S131</f>
        <v>0</v>
      </c>
      <c r="I131" s="241">
        <f>日報表!T131</f>
        <v>0</v>
      </c>
      <c r="J131" s="241" t="str">
        <f>IF(ISNA(HLOOKUP(A131,IAD!$6:$10,5,0)),"",(HLOOKUP(A131,IAD!$6:$10,5,0)))</f>
        <v/>
      </c>
      <c r="K131" s="677">
        <f>日報表!O131</f>
        <v>0</v>
      </c>
      <c r="L131" s="680">
        <f>日報表!V131</f>
        <v>0</v>
      </c>
      <c r="M131" s="680">
        <f>日報表!W131</f>
        <v>0</v>
      </c>
      <c r="N131" s="680">
        <f>日報表!X131</f>
        <v>0</v>
      </c>
      <c r="O131" s="680">
        <f>日報表!Y131</f>
        <v>0</v>
      </c>
    </row>
    <row r="132" spans="1:15">
      <c r="A132" s="209">
        <f>日報表!A132</f>
        <v>0</v>
      </c>
      <c r="B132" s="210">
        <f>日報表!B132</f>
        <v>0</v>
      </c>
      <c r="C132" s="211">
        <f>日報表!C132</f>
        <v>0</v>
      </c>
      <c r="D132" s="211">
        <f>日報表!G132</f>
        <v>0</v>
      </c>
      <c r="E132" s="212">
        <f>日報表!K132</f>
        <v>0</v>
      </c>
      <c r="F132" s="212">
        <f>日報表!N132</f>
        <v>0</v>
      </c>
      <c r="G132" s="213" t="str">
        <f>日報表!M132</f>
        <v/>
      </c>
      <c r="H132" s="240">
        <f>日報表!S132</f>
        <v>0</v>
      </c>
      <c r="I132" s="241">
        <f>日報表!T132</f>
        <v>0</v>
      </c>
      <c r="J132" s="241" t="str">
        <f>IF(ISNA(HLOOKUP(A132,IAD!$6:$10,5,0)),"",(HLOOKUP(A132,IAD!$6:$10,5,0)))</f>
        <v/>
      </c>
      <c r="K132" s="677">
        <f>日報表!O132</f>
        <v>0</v>
      </c>
      <c r="L132" s="680">
        <f>日報表!V132</f>
        <v>0</v>
      </c>
      <c r="M132" s="680">
        <f>日報表!W132</f>
        <v>0</v>
      </c>
      <c r="N132" s="680">
        <f>日報表!X132</f>
        <v>0</v>
      </c>
      <c r="O132" s="680">
        <f>日報表!Y132</f>
        <v>0</v>
      </c>
    </row>
    <row r="133" spans="1:15">
      <c r="A133" s="209">
        <f>日報表!A133</f>
        <v>0</v>
      </c>
      <c r="B133" s="210">
        <f>日報表!B133</f>
        <v>0</v>
      </c>
      <c r="C133" s="211">
        <f>日報表!C133</f>
        <v>0</v>
      </c>
      <c r="D133" s="211">
        <f>日報表!G133</f>
        <v>0</v>
      </c>
      <c r="E133" s="212">
        <f>日報表!K133</f>
        <v>0</v>
      </c>
      <c r="F133" s="212">
        <f>日報表!N133</f>
        <v>0</v>
      </c>
      <c r="G133" s="213" t="str">
        <f>日報表!M133</f>
        <v/>
      </c>
      <c r="H133" s="240">
        <f>日報表!S133</f>
        <v>0</v>
      </c>
      <c r="I133" s="241">
        <f>日報表!T133</f>
        <v>0</v>
      </c>
      <c r="J133" s="241" t="str">
        <f>IF(ISNA(HLOOKUP(A133,IAD!$6:$10,5,0)),"",(HLOOKUP(A133,IAD!$6:$10,5,0)))</f>
        <v/>
      </c>
      <c r="K133" s="677">
        <f>日報表!O133</f>
        <v>0</v>
      </c>
      <c r="L133" s="680">
        <f>日報表!V133</f>
        <v>0</v>
      </c>
      <c r="M133" s="680">
        <f>日報表!W133</f>
        <v>0</v>
      </c>
      <c r="N133" s="680">
        <f>日報表!X133</f>
        <v>0</v>
      </c>
      <c r="O133" s="680">
        <f>日報表!Y133</f>
        <v>0</v>
      </c>
    </row>
    <row r="134" spans="1:15">
      <c r="A134" s="209">
        <f>日報表!A134</f>
        <v>0</v>
      </c>
      <c r="B134" s="210">
        <f>日報表!B134</f>
        <v>0</v>
      </c>
      <c r="C134" s="211">
        <f>日報表!C134</f>
        <v>0</v>
      </c>
      <c r="D134" s="211">
        <f>日報表!G134</f>
        <v>0</v>
      </c>
      <c r="E134" s="212">
        <f>日報表!K134</f>
        <v>0</v>
      </c>
      <c r="F134" s="212">
        <f>日報表!N134</f>
        <v>0</v>
      </c>
      <c r="G134" s="213" t="str">
        <f>日報表!M134</f>
        <v/>
      </c>
      <c r="H134" s="240">
        <f>日報表!S134</f>
        <v>0</v>
      </c>
      <c r="I134" s="241">
        <f>日報表!T134</f>
        <v>0</v>
      </c>
      <c r="J134" s="241" t="str">
        <f>IF(ISNA(HLOOKUP(A134,IAD!$6:$10,5,0)),"",(HLOOKUP(A134,IAD!$6:$10,5,0)))</f>
        <v/>
      </c>
      <c r="K134" s="677">
        <f>日報表!O134</f>
        <v>0</v>
      </c>
      <c r="L134" s="680">
        <f>日報表!V134</f>
        <v>0</v>
      </c>
      <c r="M134" s="680">
        <f>日報表!W134</f>
        <v>0</v>
      </c>
      <c r="N134" s="680">
        <f>日報表!X134</f>
        <v>0</v>
      </c>
      <c r="O134" s="680">
        <f>日報表!Y134</f>
        <v>0</v>
      </c>
    </row>
    <row r="135" spans="1:15">
      <c r="A135" s="209">
        <f>日報表!A135</f>
        <v>0</v>
      </c>
      <c r="B135" s="210">
        <f>日報表!B135</f>
        <v>0</v>
      </c>
      <c r="C135" s="211">
        <f>日報表!C135</f>
        <v>0</v>
      </c>
      <c r="D135" s="211">
        <f>日報表!G135</f>
        <v>0</v>
      </c>
      <c r="E135" s="212">
        <f>日報表!K135</f>
        <v>0</v>
      </c>
      <c r="F135" s="212">
        <f>日報表!N135</f>
        <v>0</v>
      </c>
      <c r="G135" s="213" t="str">
        <f>日報表!M135</f>
        <v/>
      </c>
      <c r="H135" s="240">
        <f>日報表!S135</f>
        <v>0</v>
      </c>
      <c r="I135" s="241">
        <f>日報表!T135</f>
        <v>0</v>
      </c>
      <c r="J135" s="241" t="str">
        <f>IF(ISNA(HLOOKUP(A135,IAD!$6:$10,5,0)),"",(HLOOKUP(A135,IAD!$6:$10,5,0)))</f>
        <v/>
      </c>
      <c r="K135" s="677">
        <f>日報表!O135</f>
        <v>0</v>
      </c>
      <c r="L135" s="680">
        <f>日報表!V135</f>
        <v>0</v>
      </c>
      <c r="M135" s="680">
        <f>日報表!W135</f>
        <v>0</v>
      </c>
      <c r="N135" s="680">
        <f>日報表!X135</f>
        <v>0</v>
      </c>
      <c r="O135" s="680">
        <f>日報表!Y135</f>
        <v>0</v>
      </c>
    </row>
    <row r="136" spans="1:15">
      <c r="A136" s="209">
        <f>日報表!A136</f>
        <v>0</v>
      </c>
      <c r="B136" s="210">
        <f>日報表!B136</f>
        <v>0</v>
      </c>
      <c r="C136" s="211">
        <f>日報表!C136</f>
        <v>0</v>
      </c>
      <c r="D136" s="211">
        <f>日報表!G136</f>
        <v>0</v>
      </c>
      <c r="E136" s="212">
        <f>日報表!K136</f>
        <v>0</v>
      </c>
      <c r="F136" s="212">
        <f>日報表!N136</f>
        <v>0</v>
      </c>
      <c r="G136" s="213" t="str">
        <f>日報表!M136</f>
        <v/>
      </c>
      <c r="H136" s="240">
        <f>日報表!S136</f>
        <v>0</v>
      </c>
      <c r="I136" s="241">
        <f>日報表!T136</f>
        <v>0</v>
      </c>
      <c r="J136" s="241" t="str">
        <f>IF(ISNA(HLOOKUP(A136,IAD!$6:$10,5,0)),"",(HLOOKUP(A136,IAD!$6:$10,5,0)))</f>
        <v/>
      </c>
      <c r="K136" s="677">
        <f>日報表!O136</f>
        <v>0</v>
      </c>
      <c r="L136" s="680">
        <f>日報表!V136</f>
        <v>0</v>
      </c>
      <c r="M136" s="680">
        <f>日報表!W136</f>
        <v>0</v>
      </c>
      <c r="N136" s="680">
        <f>日報表!X136</f>
        <v>0</v>
      </c>
      <c r="O136" s="680">
        <f>日報表!Y136</f>
        <v>0</v>
      </c>
    </row>
    <row r="137" spans="1:15">
      <c r="A137" s="209">
        <f>日報表!A137</f>
        <v>0</v>
      </c>
      <c r="B137" s="210">
        <f>日報表!B137</f>
        <v>0</v>
      </c>
      <c r="C137" s="211">
        <f>日報表!C137</f>
        <v>0</v>
      </c>
      <c r="D137" s="211">
        <f>日報表!G137</f>
        <v>0</v>
      </c>
      <c r="E137" s="212">
        <f>日報表!K137</f>
        <v>0</v>
      </c>
      <c r="F137" s="212">
        <f>日報表!N137</f>
        <v>0</v>
      </c>
      <c r="G137" s="213" t="str">
        <f>日報表!M137</f>
        <v/>
      </c>
      <c r="H137" s="240">
        <f>日報表!S137</f>
        <v>0</v>
      </c>
      <c r="I137" s="241">
        <f>日報表!T137</f>
        <v>0</v>
      </c>
      <c r="J137" s="241" t="str">
        <f>IF(ISNA(HLOOKUP(A137,IAD!$6:$10,5,0)),"",(HLOOKUP(A137,IAD!$6:$10,5,0)))</f>
        <v/>
      </c>
      <c r="K137" s="677">
        <f>日報表!O137</f>
        <v>0</v>
      </c>
      <c r="L137" s="680">
        <f>日報表!V137</f>
        <v>0</v>
      </c>
      <c r="M137" s="680">
        <f>日報表!W137</f>
        <v>0</v>
      </c>
      <c r="N137" s="680">
        <f>日報表!X137</f>
        <v>0</v>
      </c>
      <c r="O137" s="680">
        <f>日報表!Y137</f>
        <v>0</v>
      </c>
    </row>
    <row r="138" spans="1:15">
      <c r="A138" s="209">
        <f>日報表!A138</f>
        <v>0</v>
      </c>
      <c r="B138" s="210">
        <f>日報表!B138</f>
        <v>0</v>
      </c>
      <c r="C138" s="211">
        <f>日報表!C138</f>
        <v>0</v>
      </c>
      <c r="D138" s="211">
        <f>日報表!G138</f>
        <v>0</v>
      </c>
      <c r="E138" s="212">
        <f>日報表!K138</f>
        <v>0</v>
      </c>
      <c r="F138" s="212">
        <f>日報表!N138</f>
        <v>0</v>
      </c>
      <c r="G138" s="213" t="str">
        <f>日報表!M138</f>
        <v/>
      </c>
      <c r="H138" s="240">
        <f>日報表!S138</f>
        <v>0</v>
      </c>
      <c r="I138" s="241">
        <f>日報表!T138</f>
        <v>0</v>
      </c>
      <c r="J138" s="241" t="str">
        <f>IF(ISNA(HLOOKUP(A138,IAD!$6:$10,5,0)),"",(HLOOKUP(A138,IAD!$6:$10,5,0)))</f>
        <v/>
      </c>
      <c r="K138" s="677">
        <f>日報表!O138</f>
        <v>0</v>
      </c>
      <c r="L138" s="680">
        <f>日報表!V138</f>
        <v>0</v>
      </c>
      <c r="M138" s="680">
        <f>日報表!W138</f>
        <v>0</v>
      </c>
      <c r="N138" s="680">
        <f>日報表!X138</f>
        <v>0</v>
      </c>
      <c r="O138" s="680">
        <f>日報表!Y138</f>
        <v>0</v>
      </c>
    </row>
    <row r="139" spans="1:15">
      <c r="A139" s="209">
        <f>日報表!A139</f>
        <v>0</v>
      </c>
      <c r="B139" s="210">
        <f>日報表!B139</f>
        <v>0</v>
      </c>
      <c r="C139" s="211">
        <f>日報表!C139</f>
        <v>0</v>
      </c>
      <c r="D139" s="211">
        <f>日報表!G139</f>
        <v>0</v>
      </c>
      <c r="E139" s="212">
        <f>日報表!K139</f>
        <v>0</v>
      </c>
      <c r="F139" s="212">
        <f>日報表!N139</f>
        <v>0</v>
      </c>
      <c r="G139" s="213" t="str">
        <f>日報表!M139</f>
        <v/>
      </c>
      <c r="H139" s="240">
        <f>日報表!S139</f>
        <v>0</v>
      </c>
      <c r="I139" s="241">
        <f>日報表!T139</f>
        <v>0</v>
      </c>
      <c r="J139" s="241" t="str">
        <f>IF(ISNA(HLOOKUP(A139,IAD!$6:$10,5,0)),"",(HLOOKUP(A139,IAD!$6:$10,5,0)))</f>
        <v/>
      </c>
      <c r="K139" s="677">
        <f>日報表!O139</f>
        <v>0</v>
      </c>
      <c r="L139" s="680">
        <f>日報表!V139</f>
        <v>0</v>
      </c>
      <c r="M139" s="680">
        <f>日報表!W139</f>
        <v>0</v>
      </c>
      <c r="N139" s="680">
        <f>日報表!X139</f>
        <v>0</v>
      </c>
      <c r="O139" s="680">
        <f>日報表!Y139</f>
        <v>0</v>
      </c>
    </row>
    <row r="140" spans="1:15">
      <c r="A140" s="209">
        <f>日報表!A140</f>
        <v>0</v>
      </c>
      <c r="B140" s="210">
        <f>日報表!B140</f>
        <v>0</v>
      </c>
      <c r="C140" s="211">
        <f>日報表!C140</f>
        <v>0</v>
      </c>
      <c r="D140" s="211">
        <f>日報表!G140</f>
        <v>0</v>
      </c>
      <c r="E140" s="212">
        <f>日報表!K140</f>
        <v>0</v>
      </c>
      <c r="F140" s="212">
        <f>日報表!N140</f>
        <v>0</v>
      </c>
      <c r="G140" s="213" t="str">
        <f>日報表!M140</f>
        <v/>
      </c>
      <c r="H140" s="240">
        <f>日報表!S140</f>
        <v>0</v>
      </c>
      <c r="I140" s="241">
        <f>日報表!T140</f>
        <v>0</v>
      </c>
      <c r="J140" s="241" t="str">
        <f>IF(ISNA(HLOOKUP(A140,IAD!$6:$10,5,0)),"",(HLOOKUP(A140,IAD!$6:$10,5,0)))</f>
        <v/>
      </c>
      <c r="K140" s="677">
        <f>日報表!O140</f>
        <v>0</v>
      </c>
      <c r="L140" s="680">
        <f>日報表!V140</f>
        <v>0</v>
      </c>
      <c r="M140" s="680">
        <f>日報表!W140</f>
        <v>0</v>
      </c>
      <c r="N140" s="680">
        <f>日報表!X140</f>
        <v>0</v>
      </c>
      <c r="O140" s="680">
        <f>日報表!Y140</f>
        <v>0</v>
      </c>
    </row>
    <row r="141" spans="1:15">
      <c r="A141" s="209">
        <f>日報表!A141</f>
        <v>0</v>
      </c>
      <c r="B141" s="210">
        <f>日報表!B141</f>
        <v>0</v>
      </c>
      <c r="C141" s="211">
        <f>日報表!C141</f>
        <v>0</v>
      </c>
      <c r="D141" s="211">
        <f>日報表!G141</f>
        <v>0</v>
      </c>
      <c r="E141" s="212">
        <f>日報表!K141</f>
        <v>0</v>
      </c>
      <c r="F141" s="212">
        <f>日報表!N141</f>
        <v>0</v>
      </c>
      <c r="G141" s="213" t="str">
        <f>日報表!M141</f>
        <v/>
      </c>
      <c r="H141" s="240">
        <f>日報表!S141</f>
        <v>0</v>
      </c>
      <c r="I141" s="241">
        <f>日報表!T141</f>
        <v>0</v>
      </c>
      <c r="J141" s="241" t="str">
        <f>IF(ISNA(HLOOKUP(A141,IAD!$6:$10,5,0)),"",(HLOOKUP(A141,IAD!$6:$10,5,0)))</f>
        <v/>
      </c>
      <c r="K141" s="677">
        <f>日報表!O141</f>
        <v>0</v>
      </c>
      <c r="L141" s="680">
        <f>日報表!V141</f>
        <v>0</v>
      </c>
      <c r="M141" s="680">
        <f>日報表!W141</f>
        <v>0</v>
      </c>
      <c r="N141" s="680">
        <f>日報表!X141</f>
        <v>0</v>
      </c>
      <c r="O141" s="680">
        <f>日報表!Y141</f>
        <v>0</v>
      </c>
    </row>
    <row r="142" spans="1:15">
      <c r="A142" s="209">
        <f>日報表!A142</f>
        <v>0</v>
      </c>
      <c r="B142" s="210">
        <f>日報表!B142</f>
        <v>0</v>
      </c>
      <c r="C142" s="211">
        <f>日報表!C142</f>
        <v>0</v>
      </c>
      <c r="D142" s="211">
        <f>日報表!G142</f>
        <v>0</v>
      </c>
      <c r="E142" s="212">
        <f>日報表!K142</f>
        <v>0</v>
      </c>
      <c r="F142" s="212">
        <f>日報表!N142</f>
        <v>0</v>
      </c>
      <c r="G142" s="213" t="str">
        <f>日報表!M142</f>
        <v/>
      </c>
      <c r="H142" s="240">
        <f>日報表!S142</f>
        <v>0</v>
      </c>
      <c r="I142" s="241">
        <f>日報表!T142</f>
        <v>0</v>
      </c>
      <c r="J142" s="241" t="str">
        <f>IF(ISNA(HLOOKUP(A142,IAD!$6:$10,5,0)),"",(HLOOKUP(A142,IAD!$6:$10,5,0)))</f>
        <v/>
      </c>
      <c r="K142" s="677">
        <f>日報表!O142</f>
        <v>0</v>
      </c>
      <c r="L142" s="680">
        <f>日報表!V142</f>
        <v>0</v>
      </c>
      <c r="M142" s="680">
        <f>日報表!W142</f>
        <v>0</v>
      </c>
      <c r="N142" s="680">
        <f>日報表!X142</f>
        <v>0</v>
      </c>
      <c r="O142" s="680">
        <f>日報表!Y142</f>
        <v>0</v>
      </c>
    </row>
    <row r="143" spans="1:15">
      <c r="A143" s="209">
        <f>日報表!A143</f>
        <v>0</v>
      </c>
      <c r="B143" s="210">
        <f>日報表!B143</f>
        <v>0</v>
      </c>
      <c r="C143" s="211">
        <f>日報表!C143</f>
        <v>0</v>
      </c>
      <c r="D143" s="211">
        <f>日報表!G143</f>
        <v>0</v>
      </c>
      <c r="E143" s="212">
        <f>日報表!K143</f>
        <v>0</v>
      </c>
      <c r="F143" s="212">
        <f>日報表!N143</f>
        <v>0</v>
      </c>
      <c r="G143" s="213" t="str">
        <f>日報表!M143</f>
        <v/>
      </c>
      <c r="H143" s="240">
        <f>日報表!S143</f>
        <v>0</v>
      </c>
      <c r="I143" s="241">
        <f>日報表!T143</f>
        <v>0</v>
      </c>
      <c r="J143" s="241" t="str">
        <f>IF(ISNA(HLOOKUP(A143,IAD!$6:$10,5,0)),"",(HLOOKUP(A143,IAD!$6:$10,5,0)))</f>
        <v/>
      </c>
      <c r="K143" s="677">
        <f>日報表!O143</f>
        <v>0</v>
      </c>
      <c r="L143" s="680">
        <f>日報表!V143</f>
        <v>0</v>
      </c>
      <c r="M143" s="680">
        <f>日報表!W143</f>
        <v>0</v>
      </c>
      <c r="N143" s="680">
        <f>日報表!X143</f>
        <v>0</v>
      </c>
      <c r="O143" s="680">
        <f>日報表!Y143</f>
        <v>0</v>
      </c>
    </row>
    <row r="144" spans="1:15">
      <c r="A144" s="209">
        <f>日報表!A144</f>
        <v>0</v>
      </c>
      <c r="B144" s="210">
        <f>日報表!B144</f>
        <v>0</v>
      </c>
      <c r="C144" s="211">
        <f>日報表!C144</f>
        <v>0</v>
      </c>
      <c r="D144" s="211">
        <f>日報表!G144</f>
        <v>0</v>
      </c>
      <c r="E144" s="212">
        <f>日報表!K144</f>
        <v>0</v>
      </c>
      <c r="F144" s="212">
        <f>日報表!N144</f>
        <v>0</v>
      </c>
      <c r="G144" s="213" t="str">
        <f>日報表!M144</f>
        <v/>
      </c>
      <c r="H144" s="240">
        <f>日報表!S144</f>
        <v>0</v>
      </c>
      <c r="I144" s="241">
        <f>日報表!T144</f>
        <v>0</v>
      </c>
      <c r="J144" s="241" t="str">
        <f>IF(ISNA(HLOOKUP(A144,IAD!$6:$10,5,0)),"",(HLOOKUP(A144,IAD!$6:$10,5,0)))</f>
        <v/>
      </c>
      <c r="K144" s="677">
        <f>日報表!O144</f>
        <v>0</v>
      </c>
      <c r="L144" s="680">
        <f>日報表!V144</f>
        <v>0</v>
      </c>
      <c r="M144" s="680">
        <f>日報表!W144</f>
        <v>0</v>
      </c>
      <c r="N144" s="680">
        <f>日報表!X144</f>
        <v>0</v>
      </c>
      <c r="O144" s="680">
        <f>日報表!Y144</f>
        <v>0</v>
      </c>
    </row>
    <row r="145" spans="1:15">
      <c r="A145" s="209">
        <f>日報表!A145</f>
        <v>0</v>
      </c>
      <c r="B145" s="210">
        <f>日報表!B145</f>
        <v>0</v>
      </c>
      <c r="C145" s="211">
        <f>日報表!C145</f>
        <v>0</v>
      </c>
      <c r="D145" s="211">
        <f>日報表!G145</f>
        <v>0</v>
      </c>
      <c r="E145" s="212">
        <f>日報表!K145</f>
        <v>0</v>
      </c>
      <c r="F145" s="212">
        <f>日報表!N145</f>
        <v>0</v>
      </c>
      <c r="G145" s="213" t="str">
        <f>日報表!M145</f>
        <v/>
      </c>
      <c r="H145" s="240">
        <f>日報表!S145</f>
        <v>0</v>
      </c>
      <c r="I145" s="241">
        <f>日報表!T145</f>
        <v>0</v>
      </c>
      <c r="J145" s="241" t="str">
        <f>IF(ISNA(HLOOKUP(A145,IAD!$6:$10,5,0)),"",(HLOOKUP(A145,IAD!$6:$10,5,0)))</f>
        <v/>
      </c>
      <c r="K145" s="677">
        <f>日報表!O145</f>
        <v>0</v>
      </c>
      <c r="L145" s="680">
        <f>日報表!V145</f>
        <v>0</v>
      </c>
      <c r="M145" s="680">
        <f>日報表!W145</f>
        <v>0</v>
      </c>
      <c r="N145" s="680">
        <f>日報表!X145</f>
        <v>0</v>
      </c>
      <c r="O145" s="680">
        <f>日報表!Y145</f>
        <v>0</v>
      </c>
    </row>
    <row r="146" spans="1:15">
      <c r="A146" s="229"/>
      <c r="B146" s="230"/>
      <c r="C146" s="231"/>
      <c r="D146" s="231"/>
      <c r="E146" s="232"/>
      <c r="F146" s="232"/>
      <c r="G146" s="233"/>
      <c r="H146" s="231"/>
      <c r="I146" s="231"/>
      <c r="J146" s="231"/>
      <c r="K146" s="231"/>
      <c r="L146" s="231"/>
      <c r="M146" s="231"/>
      <c r="N146" s="231"/>
      <c r="O146" s="231"/>
    </row>
    <row r="147" spans="1:15">
      <c r="A147" s="469" t="str">
        <f>日報表!A147</f>
        <v>TMT機台</v>
      </c>
      <c r="B147" s="311"/>
      <c r="C147" s="228"/>
      <c r="D147" s="228"/>
      <c r="E147" s="312"/>
      <c r="F147" s="312"/>
      <c r="G147" s="313"/>
      <c r="H147" s="228"/>
      <c r="I147" s="228"/>
      <c r="J147" s="228"/>
      <c r="K147" s="228"/>
      <c r="L147" s="228"/>
      <c r="M147" s="228"/>
      <c r="N147" s="228"/>
      <c r="O147" s="228"/>
    </row>
    <row r="148" spans="1:15">
      <c r="A148" s="196" t="str">
        <f>日報表!A148</f>
        <v>DTY批號</v>
      </c>
      <c r="B148" s="197" t="str">
        <f>日報表!B148</f>
        <v>規格</v>
      </c>
      <c r="C148" s="198" t="str">
        <f>日報表!C148</f>
        <v>POY批號</v>
      </c>
      <c r="D148" s="198" t="str">
        <f>日報表!G148</f>
        <v>實際產量kg</v>
      </c>
      <c r="E148" s="199" t="str">
        <f>日報表!K148</f>
        <v xml:space="preserve"> Ａ級率</v>
      </c>
      <c r="F148" s="199" t="str">
        <f>日報表!N148</f>
        <v>滿管率</v>
      </c>
      <c r="G148" s="473" t="str">
        <f>日報表!M148</f>
        <v>累計斷絲率</v>
      </c>
      <c r="H148" s="198" t="str">
        <f>日報表!S148</f>
        <v>JET</v>
      </c>
      <c r="I148" s="474" t="str">
        <f>日報表!T148</f>
        <v>壓力</v>
      </c>
      <c r="J148" s="227" t="s">
        <v>206</v>
      </c>
      <c r="K148" s="679" t="str">
        <f>日報表!O148</f>
        <v>紗重</v>
      </c>
      <c r="L148" s="471" t="s">
        <v>443</v>
      </c>
      <c r="M148" s="471" t="s">
        <v>444</v>
      </c>
      <c r="N148" s="471" t="s">
        <v>445</v>
      </c>
      <c r="O148" s="471" t="s">
        <v>446</v>
      </c>
    </row>
    <row r="149" spans="1:15">
      <c r="A149" s="209" t="str">
        <f>日報表!A149</f>
        <v>2F43T2</v>
      </c>
      <c r="B149" s="210" t="str">
        <f>日報表!B149</f>
        <v>75/72/2PDR</v>
      </c>
      <c r="C149" s="211" t="str">
        <f>日報表!C149</f>
        <v>FP81392R×2</v>
      </c>
      <c r="D149" s="211">
        <f>日報表!G149</f>
        <v>28959</v>
      </c>
      <c r="E149" s="212">
        <f>日報表!K149</f>
        <v>1</v>
      </c>
      <c r="F149" s="212">
        <f>日報表!N149</f>
        <v>0.9572153734590283</v>
      </c>
      <c r="G149" s="213">
        <f>日報表!M149</f>
        <v>3.3791666666666664</v>
      </c>
      <c r="H149" s="240" t="str">
        <f>日報表!S149</f>
        <v>P203</v>
      </c>
      <c r="I149" s="241" t="str">
        <f>日報表!T149</f>
        <v>1.5</v>
      </c>
      <c r="J149" s="241" t="str">
        <f>IF(ISNA(HLOOKUP(A149,IAD!$6:$10,5,0)),"",(HLOOKUP(A149,IAD!$6:$10,5,0)))</f>
        <v>紅底黃星</v>
      </c>
      <c r="K149" s="677">
        <f>日報表!O149</f>
        <v>4</v>
      </c>
      <c r="L149" s="680">
        <f>日報表!V149</f>
        <v>0</v>
      </c>
      <c r="M149" s="680">
        <f>日報表!W149</f>
        <v>0</v>
      </c>
      <c r="N149" s="680">
        <f>日報表!X149</f>
        <v>0</v>
      </c>
      <c r="O149" s="680">
        <f>日報表!Y149</f>
        <v>0</v>
      </c>
    </row>
    <row r="150" spans="1:15">
      <c r="A150" s="209" t="str">
        <f>日報表!A150</f>
        <v>2F6IS2</v>
      </c>
      <c r="B150" s="210" t="str">
        <f>日報表!B150</f>
        <v>150/48/2SDr</v>
      </c>
      <c r="C150" s="211" t="str">
        <f>日報表!C150</f>
        <v>FP82184R×2</v>
      </c>
      <c r="D150" s="211">
        <f>日報表!G150</f>
        <v>128465</v>
      </c>
      <c r="E150" s="212">
        <f>日報表!K150</f>
        <v>0.98809792550500142</v>
      </c>
      <c r="F150" s="212">
        <f>日報表!N150</f>
        <v>0.95944420659323548</v>
      </c>
      <c r="G150" s="213">
        <f>日報表!M150</f>
        <v>3.7312500000000002</v>
      </c>
      <c r="H150" s="240" t="str">
        <f>日報表!S150</f>
        <v>P204</v>
      </c>
      <c r="I150" s="241" t="str">
        <f>日報表!T150</f>
        <v>2.8</v>
      </c>
      <c r="J150" s="241" t="str">
        <f>IF(ISNA(HLOOKUP(A150,IAD!$6:$10,5,0)),"",(HLOOKUP(A150,IAD!$6:$10,5,0)))</f>
        <v>藍色</v>
      </c>
      <c r="K150" s="677">
        <f>日報表!O150</f>
        <v>5.5</v>
      </c>
      <c r="L150" s="680">
        <f>日報表!V150</f>
        <v>0</v>
      </c>
      <c r="M150" s="680">
        <f>日報表!W150</f>
        <v>0</v>
      </c>
      <c r="N150" s="680">
        <f>日報表!X150</f>
        <v>0</v>
      </c>
      <c r="O150" s="680">
        <f>日報表!Y150</f>
        <v>0</v>
      </c>
    </row>
    <row r="151" spans="1:15">
      <c r="A151" s="209" t="str">
        <f>日報表!A151</f>
        <v>2F6IT2</v>
      </c>
      <c r="B151" s="210" t="str">
        <f>日報表!B151</f>
        <v>150/48/2SDr</v>
      </c>
      <c r="C151" s="211" t="str">
        <f>日報表!C151</f>
        <v>FP12902R×2</v>
      </c>
      <c r="D151" s="211">
        <f>日報表!G151</f>
        <v>102059</v>
      </c>
      <c r="E151" s="212">
        <f>日報表!K151</f>
        <v>0.98524382954957423</v>
      </c>
      <c r="F151" s="212">
        <f>日報表!N151</f>
        <v>0.94254303883048041</v>
      </c>
      <c r="G151" s="213">
        <f>日報表!M151</f>
        <v>4.2132352941176476</v>
      </c>
      <c r="H151" s="240" t="str">
        <f>日報表!S151</f>
        <v>P204</v>
      </c>
      <c r="I151" s="241" t="str">
        <f>日報表!T151</f>
        <v>3.0</v>
      </c>
      <c r="J151" s="241" t="str">
        <f>IF(ISNA(HLOOKUP(A151,IAD!$6:$10,5,0)),"",(HLOOKUP(A151,IAD!$6:$10,5,0)))</f>
        <v>棕色</v>
      </c>
      <c r="K151" s="677">
        <f>日報表!O151</f>
        <v>5.5</v>
      </c>
      <c r="L151" s="680">
        <f>日報表!V151</f>
        <v>0</v>
      </c>
      <c r="M151" s="680">
        <f>日報表!W151</f>
        <v>0</v>
      </c>
      <c r="N151" s="680">
        <f>日報表!X151</f>
        <v>0</v>
      </c>
      <c r="O151" s="680">
        <f>日報表!Y151</f>
        <v>0</v>
      </c>
    </row>
    <row r="152" spans="1:15">
      <c r="A152" s="209" t="str">
        <f>日報表!A152</f>
        <v>2F6IU2</v>
      </c>
      <c r="B152" s="210" t="str">
        <f>日報表!B152</f>
        <v>150/48/2SDr</v>
      </c>
      <c r="C152" s="211" t="str">
        <f>日報表!C152</f>
        <v>FP82180R×2</v>
      </c>
      <c r="D152" s="211">
        <f>日報表!G152</f>
        <v>89379</v>
      </c>
      <c r="E152" s="212">
        <f>日報表!K152</f>
        <v>0.96849371776368054</v>
      </c>
      <c r="F152" s="212">
        <f>日報表!N152</f>
        <v>0.85916154801463429</v>
      </c>
      <c r="G152" s="213">
        <f>日報表!M152</f>
        <v>7.8397435897435903</v>
      </c>
      <c r="H152" s="240" t="str">
        <f>日報表!S152</f>
        <v>P204</v>
      </c>
      <c r="I152" s="241" t="str">
        <f>日報表!T152</f>
        <v>2.9</v>
      </c>
      <c r="J152" s="241" t="str">
        <f>IF(ISNA(HLOOKUP(A152,IAD!$6:$10,5,0)),"",(HLOOKUP(A152,IAD!$6:$10,5,0)))</f>
        <v>白桔方塊</v>
      </c>
      <c r="K152" s="677">
        <f>日報表!O152</f>
        <v>5.5</v>
      </c>
      <c r="L152" s="680">
        <f>日報表!V152</f>
        <v>0</v>
      </c>
      <c r="M152" s="680">
        <f>日報表!W152</f>
        <v>0</v>
      </c>
      <c r="N152" s="680">
        <f>日報表!X152</f>
        <v>0</v>
      </c>
      <c r="O152" s="680">
        <f>日報表!Y152</f>
        <v>0</v>
      </c>
    </row>
    <row r="153" spans="1:15">
      <c r="A153" s="209" t="str">
        <f>日報表!A153</f>
        <v>2F6IW2</v>
      </c>
      <c r="B153" s="210" t="str">
        <f>日報表!B153</f>
        <v>150/48/2SDr</v>
      </c>
      <c r="C153" s="211" t="str">
        <f>日報表!C153</f>
        <v>FP82184R×2</v>
      </c>
      <c r="D153" s="211">
        <f>日報表!G153</f>
        <v>87579</v>
      </c>
      <c r="E153" s="212">
        <f>日報表!K153</f>
        <v>0.97293871818586652</v>
      </c>
      <c r="F153" s="212">
        <f>日報表!N153</f>
        <v>0.9212824992292673</v>
      </c>
      <c r="G153" s="213">
        <f>日報表!M153</f>
        <v>4.7720588235294112</v>
      </c>
      <c r="H153" s="240" t="str">
        <f>日報表!S153</f>
        <v>P204</v>
      </c>
      <c r="I153" s="241" t="str">
        <f>日報表!T153</f>
        <v>3.0</v>
      </c>
      <c r="J153" s="241" t="str">
        <f>IF(ISNA(HLOOKUP(A153,IAD!$6:$10,5,0)),"",(HLOOKUP(A153,IAD!$6:$10,5,0)))</f>
        <v>黃紅雙色</v>
      </c>
      <c r="K153" s="677">
        <f>日報表!O153</f>
        <v>5.5</v>
      </c>
      <c r="L153" s="680">
        <f>日報表!V153</f>
        <v>0</v>
      </c>
      <c r="M153" s="680">
        <f>日報表!W153</f>
        <v>0</v>
      </c>
      <c r="N153" s="680">
        <f>日報表!X153</f>
        <v>0</v>
      </c>
      <c r="O153" s="680">
        <f>日報表!Y153</f>
        <v>0</v>
      </c>
    </row>
    <row r="154" spans="1:15">
      <c r="A154" s="209" t="str">
        <f>日報表!A154</f>
        <v>2F6IY2</v>
      </c>
      <c r="B154" s="210" t="str">
        <f>日報表!B154</f>
        <v>150/48/2SDr</v>
      </c>
      <c r="C154" s="211" t="str">
        <f>日報表!C154</f>
        <v>FP82184R×2</v>
      </c>
      <c r="D154" s="211">
        <f>日報表!G154</f>
        <v>71167</v>
      </c>
      <c r="E154" s="212">
        <f>日報表!K154</f>
        <v>0.98923658437197015</v>
      </c>
      <c r="F154" s="212">
        <f>日報表!N154</f>
        <v>0.95753649865808588</v>
      </c>
      <c r="G154" s="213">
        <f>日報表!M154</f>
        <v>3.8837719298245625</v>
      </c>
      <c r="H154" s="240" t="str">
        <f>日報表!S154</f>
        <v>P204</v>
      </c>
      <c r="I154" s="241" t="str">
        <f>日報表!T154</f>
        <v>2.8</v>
      </c>
      <c r="J154" s="241" t="str">
        <f>IF(ISNA(HLOOKUP(A154,IAD!$6:$10,5,0)),"",(HLOOKUP(A154,IAD!$6:$10,5,0)))</f>
        <v>白桔雙色</v>
      </c>
      <c r="K154" s="677">
        <f>日報表!O154</f>
        <v>5.5</v>
      </c>
      <c r="L154" s="680">
        <f>日報表!V154</f>
        <v>0</v>
      </c>
      <c r="M154" s="680">
        <f>日報表!W154</f>
        <v>0</v>
      </c>
      <c r="N154" s="680">
        <f>日報表!X154</f>
        <v>0</v>
      </c>
      <c r="O154" s="680">
        <f>日報表!Y154</f>
        <v>0</v>
      </c>
    </row>
    <row r="155" spans="1:15">
      <c r="A155" s="209" t="str">
        <f>日報表!A155</f>
        <v>2F6JB2</v>
      </c>
      <c r="B155" s="210" t="str">
        <f>日報表!B155</f>
        <v>150/48/2SDR4</v>
      </c>
      <c r="C155" s="211" t="str">
        <f>日報表!C155</f>
        <v>FP82186R×2</v>
      </c>
      <c r="D155" s="211">
        <f>日報表!G155</f>
        <v>19552</v>
      </c>
      <c r="E155" s="212">
        <f>日報表!K155</f>
        <v>1</v>
      </c>
      <c r="F155" s="212">
        <f>日報表!N155</f>
        <v>0.96204991816693941</v>
      </c>
      <c r="G155" s="213">
        <f>日報表!M155</f>
        <v>4.9444444444444438</v>
      </c>
      <c r="H155" s="240" t="str">
        <f>日報表!S155</f>
        <v>P204</v>
      </c>
      <c r="I155" s="241" t="str">
        <f>日報表!T155</f>
        <v>2.9</v>
      </c>
      <c r="J155" s="241" t="str">
        <f>IF(ISNA(HLOOKUP(A155,IAD!$6:$10,5,0)),"",(HLOOKUP(A155,IAD!$6:$10,5,0)))</f>
        <v>黃綠條紋</v>
      </c>
      <c r="K155" s="677">
        <f>日報表!O155</f>
        <v>5.5</v>
      </c>
      <c r="L155" s="680">
        <f>日報表!V155</f>
        <v>0</v>
      </c>
      <c r="M155" s="680">
        <f>日報表!W155</f>
        <v>0</v>
      </c>
      <c r="N155" s="680">
        <f>日報表!X155</f>
        <v>0</v>
      </c>
      <c r="O155" s="680">
        <f>日報表!Y155</f>
        <v>0</v>
      </c>
    </row>
    <row r="156" spans="1:15">
      <c r="A156" s="209" t="str">
        <f>日報表!A156</f>
        <v>2F6JE2</v>
      </c>
      <c r="B156" s="210" t="str">
        <f>日報表!B156</f>
        <v>150/48/2SDr</v>
      </c>
      <c r="C156" s="211" t="str">
        <f>日報表!C156</f>
        <v>FP12902R×2</v>
      </c>
      <c r="D156" s="211">
        <f>日報表!G156</f>
        <v>6930</v>
      </c>
      <c r="E156" s="212">
        <f>日報表!K156</f>
        <v>1</v>
      </c>
      <c r="F156" s="212">
        <f>日報表!N156</f>
        <v>1</v>
      </c>
      <c r="G156" s="213">
        <f>日報表!M156</f>
        <v>4.4166666666666661</v>
      </c>
      <c r="H156" s="240" t="str">
        <f>日報表!S156</f>
        <v>P204</v>
      </c>
      <c r="I156" s="241" t="str">
        <f>日報表!T156</f>
        <v>2.7</v>
      </c>
      <c r="J156" s="241" t="str">
        <f>IF(ISNA(HLOOKUP(A156,IAD!$6:$10,5,0)),"",(HLOOKUP(A156,IAD!$6:$10,5,0)))</f>
        <v>黃底紅點</v>
      </c>
      <c r="K156" s="677">
        <f>日報表!O156</f>
        <v>5.5</v>
      </c>
      <c r="L156" s="680">
        <f>日報表!V156</f>
        <v>0</v>
      </c>
      <c r="M156" s="680">
        <f>日報表!W156</f>
        <v>0</v>
      </c>
      <c r="N156" s="680">
        <f>日報表!X156</f>
        <v>0</v>
      </c>
      <c r="O156" s="680">
        <f>日報表!Y156</f>
        <v>0</v>
      </c>
    </row>
    <row r="157" spans="1:15">
      <c r="A157" s="209">
        <f>日報表!A157</f>
        <v>0</v>
      </c>
      <c r="B157" s="210">
        <f>日報表!B157</f>
        <v>0</v>
      </c>
      <c r="C157" s="211">
        <f>日報表!C157</f>
        <v>0</v>
      </c>
      <c r="D157" s="211">
        <f>日報表!G157</f>
        <v>0</v>
      </c>
      <c r="E157" s="212">
        <f>日報表!K157</f>
        <v>0</v>
      </c>
      <c r="F157" s="212">
        <f>日報表!N157</f>
        <v>0</v>
      </c>
      <c r="G157" s="213" t="str">
        <f>日報表!M157</f>
        <v/>
      </c>
      <c r="H157" s="240">
        <f>日報表!S157</f>
        <v>0</v>
      </c>
      <c r="I157" s="241">
        <f>日報表!T157</f>
        <v>0</v>
      </c>
      <c r="J157" s="241" t="str">
        <f>IF(ISNA(HLOOKUP(A157,IAD!$6:$10,5,0)),"",(HLOOKUP(A157,IAD!$6:$10,5,0)))</f>
        <v/>
      </c>
      <c r="K157" s="677">
        <f>日報表!O157</f>
        <v>0</v>
      </c>
      <c r="L157" s="680">
        <f>日報表!V157</f>
        <v>0</v>
      </c>
      <c r="M157" s="680">
        <f>日報表!W157</f>
        <v>0</v>
      </c>
      <c r="N157" s="680">
        <f>日報表!X157</f>
        <v>0</v>
      </c>
      <c r="O157" s="680">
        <f>日報表!Y157</f>
        <v>0</v>
      </c>
    </row>
    <row r="158" spans="1:15">
      <c r="A158" s="209" t="str">
        <f>日報表!A158</f>
        <v>2F7E13</v>
      </c>
      <c r="B158" s="210" t="str">
        <f>日報表!B158</f>
        <v>225/72/2SDr</v>
      </c>
      <c r="C158" s="211" t="str">
        <f>日報表!C158</f>
        <v>FP83025R×2</v>
      </c>
      <c r="D158" s="211">
        <f>日報表!G158</f>
        <v>55949</v>
      </c>
      <c r="E158" s="212">
        <f>日報表!K158</f>
        <v>0.97799781944270681</v>
      </c>
      <c r="F158" s="212">
        <f>日報表!N158</f>
        <v>0.93663872455271768</v>
      </c>
      <c r="G158" s="213">
        <f>日報表!M158</f>
        <v>5.2261904761904763</v>
      </c>
      <c r="H158" s="240" t="str">
        <f>日報表!S158</f>
        <v>P227</v>
      </c>
      <c r="I158" s="241" t="str">
        <f>日報表!T158</f>
        <v>3.3</v>
      </c>
      <c r="J158" s="241" t="str">
        <f>IF(ISNA(HLOOKUP(A158,IAD!$6:$10,5,0)),"",(HLOOKUP(A158,IAD!$6:$10,5,0)))</f>
        <v>白紅條紋</v>
      </c>
      <c r="K158" s="677">
        <f>日報表!O158</f>
        <v>5.5</v>
      </c>
      <c r="L158" s="680">
        <f>日報表!V158</f>
        <v>0</v>
      </c>
      <c r="M158" s="680">
        <f>日報表!W158</f>
        <v>0</v>
      </c>
      <c r="N158" s="680">
        <f>日報表!X158</f>
        <v>0</v>
      </c>
      <c r="O158" s="680">
        <f>日報表!Y158</f>
        <v>0</v>
      </c>
    </row>
    <row r="159" spans="1:15">
      <c r="A159" s="209" t="str">
        <f>日報表!A159</f>
        <v>2F7E43</v>
      </c>
      <c r="B159" s="210" t="str">
        <f>日報表!B159</f>
        <v>225/72/2SDR2</v>
      </c>
      <c r="C159" s="211" t="str">
        <f>日報表!C159</f>
        <v>FP83026R×2</v>
      </c>
      <c r="D159" s="211">
        <f>日報表!G159</f>
        <v>2475</v>
      </c>
      <c r="E159" s="212">
        <f>日報表!K159</f>
        <v>1</v>
      </c>
      <c r="F159" s="212">
        <f>日報表!N159</f>
        <v>1</v>
      </c>
      <c r="G159" s="213">
        <f>日報表!M159</f>
        <v>3.25</v>
      </c>
      <c r="H159" s="240" t="str">
        <f>日報表!S159</f>
        <v>P227</v>
      </c>
      <c r="I159" s="241" t="str">
        <f>日報表!T159</f>
        <v>3.3</v>
      </c>
      <c r="J159" s="241" t="str">
        <f>IF(ISNA(HLOOKUP(A159,IAD!$6:$10,5,0)),"",(HLOOKUP(A159,IAD!$6:$10,5,0)))</f>
        <v>白底綠星</v>
      </c>
      <c r="K159" s="677">
        <f>日報表!O159</f>
        <v>5.5</v>
      </c>
      <c r="L159" s="680">
        <f>日報表!V159</f>
        <v>0</v>
      </c>
      <c r="M159" s="680">
        <f>日報表!W159</f>
        <v>0</v>
      </c>
      <c r="N159" s="680">
        <f>日報表!X159</f>
        <v>0</v>
      </c>
      <c r="O159" s="680">
        <f>日報表!Y159</f>
        <v>0</v>
      </c>
    </row>
    <row r="160" spans="1:15">
      <c r="A160" s="209">
        <f>日報表!A160</f>
        <v>0</v>
      </c>
      <c r="B160" s="210">
        <f>日報表!B160</f>
        <v>0</v>
      </c>
      <c r="C160" s="211">
        <f>日報表!C160</f>
        <v>0</v>
      </c>
      <c r="D160" s="211">
        <f>日報表!G160</f>
        <v>0</v>
      </c>
      <c r="E160" s="212">
        <f>日報表!K160</f>
        <v>0</v>
      </c>
      <c r="F160" s="212">
        <f>日報表!N160</f>
        <v>0</v>
      </c>
      <c r="G160" s="213" t="str">
        <f>日報表!M160</f>
        <v/>
      </c>
      <c r="H160" s="240">
        <f>日報表!S160</f>
        <v>0</v>
      </c>
      <c r="I160" s="241">
        <f>日報表!T160</f>
        <v>0</v>
      </c>
      <c r="J160" s="241" t="str">
        <f>IF(ISNA(HLOOKUP(A160,IAD!$6:$10,5,0)),"",(HLOOKUP(A160,IAD!$6:$10,5,0)))</f>
        <v/>
      </c>
      <c r="K160" s="677">
        <f>日報表!O160</f>
        <v>0</v>
      </c>
      <c r="L160" s="680">
        <f>日報表!V160</f>
        <v>0</v>
      </c>
      <c r="M160" s="680">
        <f>日報表!W160</f>
        <v>0</v>
      </c>
      <c r="N160" s="680">
        <f>日報表!X160</f>
        <v>0</v>
      </c>
      <c r="O160" s="680">
        <f>日報表!Y160</f>
        <v>0</v>
      </c>
    </row>
    <row r="161" spans="1:15">
      <c r="A161" s="209">
        <f>日報表!A161</f>
        <v>0</v>
      </c>
      <c r="B161" s="210">
        <f>日報表!B161</f>
        <v>0</v>
      </c>
      <c r="C161" s="211">
        <f>日報表!C161</f>
        <v>0</v>
      </c>
      <c r="D161" s="211">
        <f>日報表!G161</f>
        <v>0</v>
      </c>
      <c r="E161" s="212">
        <f>日報表!K161</f>
        <v>0</v>
      </c>
      <c r="F161" s="212">
        <f>日報表!N161</f>
        <v>0</v>
      </c>
      <c r="G161" s="213" t="str">
        <f>日報表!M161</f>
        <v/>
      </c>
      <c r="H161" s="240">
        <f>日報表!S161</f>
        <v>0</v>
      </c>
      <c r="I161" s="241">
        <f>日報表!T161</f>
        <v>0</v>
      </c>
      <c r="J161" s="241" t="str">
        <f>IF(ISNA(HLOOKUP(A161,IAD!$6:$10,5,0)),"",(HLOOKUP(A161,IAD!$6:$10,5,0)))</f>
        <v/>
      </c>
      <c r="K161" s="677">
        <f>日報表!O161</f>
        <v>0</v>
      </c>
      <c r="L161" s="680">
        <f>日報表!V161</f>
        <v>0</v>
      </c>
      <c r="M161" s="680">
        <f>日報表!W161</f>
        <v>0</v>
      </c>
      <c r="N161" s="680">
        <f>日報表!X161</f>
        <v>0</v>
      </c>
      <c r="O161" s="680">
        <f>日報表!Y161</f>
        <v>0</v>
      </c>
    </row>
    <row r="162" spans="1:15">
      <c r="A162" s="209">
        <f>日報表!A162</f>
        <v>0</v>
      </c>
      <c r="B162" s="210">
        <f>日報表!B162</f>
        <v>0</v>
      </c>
      <c r="C162" s="211">
        <f>日報表!C162</f>
        <v>0</v>
      </c>
      <c r="D162" s="211">
        <f>日報表!G162</f>
        <v>0</v>
      </c>
      <c r="E162" s="212">
        <f>日報表!K162</f>
        <v>0</v>
      </c>
      <c r="F162" s="212">
        <f>日報表!N162</f>
        <v>0</v>
      </c>
      <c r="G162" s="213" t="str">
        <f>日報表!M162</f>
        <v/>
      </c>
      <c r="H162" s="240">
        <f>日報表!S162</f>
        <v>0</v>
      </c>
      <c r="I162" s="241">
        <f>日報表!T162</f>
        <v>0</v>
      </c>
      <c r="J162" s="241" t="str">
        <f>IF(ISNA(HLOOKUP(A162,IAD!$6:$10,5,0)),"",(HLOOKUP(A162,IAD!$6:$10,5,0)))</f>
        <v/>
      </c>
      <c r="K162" s="677">
        <f>日報表!O162</f>
        <v>0</v>
      </c>
      <c r="L162" s="680">
        <f>日報表!V162</f>
        <v>0</v>
      </c>
      <c r="M162" s="680">
        <f>日報表!W162</f>
        <v>0</v>
      </c>
      <c r="N162" s="680">
        <f>日報表!X162</f>
        <v>0</v>
      </c>
      <c r="O162" s="680">
        <f>日報表!Y162</f>
        <v>0</v>
      </c>
    </row>
    <row r="163" spans="1:15">
      <c r="A163" s="209">
        <f>日報表!A163</f>
        <v>0</v>
      </c>
      <c r="B163" s="210">
        <f>日報表!B163</f>
        <v>0</v>
      </c>
      <c r="C163" s="211">
        <f>日報表!C163</f>
        <v>0</v>
      </c>
      <c r="D163" s="211">
        <f>日報表!G163</f>
        <v>0</v>
      </c>
      <c r="E163" s="212">
        <f>日報表!K163</f>
        <v>0</v>
      </c>
      <c r="F163" s="212">
        <f>日報表!N163</f>
        <v>0</v>
      </c>
      <c r="G163" s="213" t="str">
        <f>日報表!M163</f>
        <v/>
      </c>
      <c r="H163" s="240">
        <f>日報表!S163</f>
        <v>0</v>
      </c>
      <c r="I163" s="241">
        <f>日報表!T163</f>
        <v>0</v>
      </c>
      <c r="J163" s="241" t="str">
        <f>IF(ISNA(HLOOKUP(A163,IAD!$6:$10,5,0)),"",(HLOOKUP(A163,IAD!$6:$10,5,0)))</f>
        <v/>
      </c>
      <c r="K163" s="677">
        <f>日報表!O163</f>
        <v>0</v>
      </c>
      <c r="L163" s="680">
        <f>日報表!V163</f>
        <v>0</v>
      </c>
      <c r="M163" s="680">
        <f>日報表!W163</f>
        <v>0</v>
      </c>
      <c r="N163" s="680">
        <f>日報表!X163</f>
        <v>0</v>
      </c>
      <c r="O163" s="680">
        <f>日報表!Y163</f>
        <v>0</v>
      </c>
    </row>
    <row r="164" spans="1:15">
      <c r="A164" s="209">
        <f>日報表!A164</f>
        <v>0</v>
      </c>
      <c r="B164" s="210">
        <f>日報表!B164</f>
        <v>0</v>
      </c>
      <c r="C164" s="211">
        <f>日報表!C164</f>
        <v>0</v>
      </c>
      <c r="D164" s="211">
        <f>日報表!G164</f>
        <v>0</v>
      </c>
      <c r="E164" s="212">
        <f>日報表!K164</f>
        <v>0</v>
      </c>
      <c r="F164" s="212">
        <f>日報表!N164</f>
        <v>0</v>
      </c>
      <c r="G164" s="213" t="str">
        <f>日報表!M164</f>
        <v/>
      </c>
      <c r="H164" s="240">
        <f>日報表!S164</f>
        <v>0</v>
      </c>
      <c r="I164" s="241">
        <f>日報表!T164</f>
        <v>0</v>
      </c>
      <c r="J164" s="241" t="str">
        <f>IF(ISNA(HLOOKUP(A164,IAD!$6:$10,5,0)),"",(HLOOKUP(A164,IAD!$6:$10,5,0)))</f>
        <v/>
      </c>
      <c r="K164" s="677">
        <f>日報表!O164</f>
        <v>0</v>
      </c>
      <c r="L164" s="680">
        <f>日報表!V164</f>
        <v>0</v>
      </c>
      <c r="M164" s="680">
        <f>日報表!W164</f>
        <v>0</v>
      </c>
      <c r="N164" s="680">
        <f>日報表!X164</f>
        <v>0</v>
      </c>
      <c r="O164" s="680">
        <f>日報表!Y164</f>
        <v>0</v>
      </c>
    </row>
    <row r="165" spans="1:15">
      <c r="A165" s="209">
        <f>日報表!A165</f>
        <v>0</v>
      </c>
      <c r="B165" s="210">
        <f>日報表!B165</f>
        <v>0</v>
      </c>
      <c r="C165" s="211">
        <f>日報表!C165</f>
        <v>0</v>
      </c>
      <c r="D165" s="211">
        <f>日報表!G165</f>
        <v>0</v>
      </c>
      <c r="E165" s="212">
        <f>日報表!K165</f>
        <v>0</v>
      </c>
      <c r="F165" s="212">
        <f>日報表!N165</f>
        <v>0</v>
      </c>
      <c r="G165" s="213" t="str">
        <f>日報表!M165</f>
        <v/>
      </c>
      <c r="H165" s="240">
        <f>日報表!S165</f>
        <v>0</v>
      </c>
      <c r="I165" s="241">
        <f>日報表!T165</f>
        <v>0</v>
      </c>
      <c r="J165" s="241" t="str">
        <f>IF(ISNA(HLOOKUP(A165,IAD!$6:$10,5,0)),"",(HLOOKUP(A165,IAD!$6:$10,5,0)))</f>
        <v/>
      </c>
      <c r="K165" s="677">
        <f>日報表!O165</f>
        <v>0</v>
      </c>
      <c r="L165" s="680">
        <f>日報表!V165</f>
        <v>0</v>
      </c>
      <c r="M165" s="680">
        <f>日報表!W165</f>
        <v>0</v>
      </c>
      <c r="N165" s="680">
        <f>日報表!X165</f>
        <v>0</v>
      </c>
      <c r="O165" s="680">
        <f>日報表!Y165</f>
        <v>0</v>
      </c>
    </row>
    <row r="166" spans="1:15">
      <c r="A166" s="209">
        <f>日報表!A166</f>
        <v>0</v>
      </c>
      <c r="B166" s="210">
        <f>日報表!B166</f>
        <v>0</v>
      </c>
      <c r="C166" s="211">
        <f>日報表!C166</f>
        <v>0</v>
      </c>
      <c r="D166" s="211">
        <f>日報表!G166</f>
        <v>0</v>
      </c>
      <c r="E166" s="212">
        <f>日報表!K166</f>
        <v>0</v>
      </c>
      <c r="F166" s="212">
        <f>日報表!N166</f>
        <v>0</v>
      </c>
      <c r="G166" s="213" t="str">
        <f>日報表!M166</f>
        <v/>
      </c>
      <c r="H166" s="240">
        <f>日報表!S166</f>
        <v>0</v>
      </c>
      <c r="I166" s="241">
        <f>日報表!T166</f>
        <v>0</v>
      </c>
      <c r="J166" s="241" t="str">
        <f>IF(ISNA(HLOOKUP(A166,IAD!$6:$10,5,0)),"",(HLOOKUP(A166,IAD!$6:$10,5,0)))</f>
        <v/>
      </c>
      <c r="K166" s="677">
        <f>日報表!O166</f>
        <v>0</v>
      </c>
      <c r="L166" s="680">
        <f>日報表!V166</f>
        <v>0</v>
      </c>
      <c r="M166" s="680">
        <f>日報表!W166</f>
        <v>0</v>
      </c>
      <c r="N166" s="680">
        <f>日報表!X166</f>
        <v>0</v>
      </c>
      <c r="O166" s="680">
        <f>日報表!Y166</f>
        <v>0</v>
      </c>
    </row>
    <row r="167" spans="1:15">
      <c r="A167" s="209">
        <f>日報表!A167</f>
        <v>0</v>
      </c>
      <c r="B167" s="210">
        <f>日報表!B167</f>
        <v>0</v>
      </c>
      <c r="C167" s="211">
        <f>日報表!C167</f>
        <v>0</v>
      </c>
      <c r="D167" s="211">
        <f>日報表!G167</f>
        <v>0</v>
      </c>
      <c r="E167" s="212">
        <f>日報表!K167</f>
        <v>0</v>
      </c>
      <c r="F167" s="212">
        <f>日報表!N167</f>
        <v>0</v>
      </c>
      <c r="G167" s="213" t="str">
        <f>日報表!M167</f>
        <v/>
      </c>
      <c r="H167" s="240">
        <f>日報表!S167</f>
        <v>0</v>
      </c>
      <c r="I167" s="241">
        <f>日報表!T167</f>
        <v>0</v>
      </c>
      <c r="J167" s="241" t="str">
        <f>IF(ISNA(HLOOKUP(A167,IAD!$6:$10,5,0)),"",(HLOOKUP(A167,IAD!$6:$10,5,0)))</f>
        <v/>
      </c>
      <c r="K167" s="677">
        <f>日報表!O167</f>
        <v>0</v>
      </c>
      <c r="L167" s="680">
        <f>日報表!V167</f>
        <v>0</v>
      </c>
      <c r="M167" s="680">
        <f>日報表!W167</f>
        <v>0</v>
      </c>
      <c r="N167" s="680">
        <f>日報表!X167</f>
        <v>0</v>
      </c>
      <c r="O167" s="680">
        <f>日報表!Y167</f>
        <v>0</v>
      </c>
    </row>
    <row r="168" spans="1:15">
      <c r="A168" s="209">
        <f>日報表!A168</f>
        <v>0</v>
      </c>
      <c r="B168" s="210">
        <f>日報表!B168</f>
        <v>0</v>
      </c>
      <c r="C168" s="211">
        <f>日報表!C168</f>
        <v>0</v>
      </c>
      <c r="D168" s="211">
        <f>日報表!G168</f>
        <v>0</v>
      </c>
      <c r="E168" s="212">
        <f>日報表!K168</f>
        <v>0</v>
      </c>
      <c r="F168" s="212">
        <f>日報表!N168</f>
        <v>0</v>
      </c>
      <c r="G168" s="213" t="str">
        <f>日報表!M168</f>
        <v/>
      </c>
      <c r="H168" s="240">
        <f>日報表!S168</f>
        <v>0</v>
      </c>
      <c r="I168" s="241">
        <f>日報表!T168</f>
        <v>0</v>
      </c>
      <c r="J168" s="241" t="str">
        <f>IF(ISNA(HLOOKUP(A168,IAD!$6:$10,5,0)),"",(HLOOKUP(A168,IAD!$6:$10,5,0)))</f>
        <v/>
      </c>
      <c r="K168" s="677">
        <f>日報表!O168</f>
        <v>0</v>
      </c>
      <c r="L168" s="680">
        <f>日報表!V168</f>
        <v>0</v>
      </c>
      <c r="M168" s="680">
        <f>日報表!W168</f>
        <v>0</v>
      </c>
      <c r="N168" s="680">
        <f>日報表!X168</f>
        <v>0</v>
      </c>
      <c r="O168" s="680">
        <f>日報表!Y168</f>
        <v>0</v>
      </c>
    </row>
    <row r="169" spans="1:15">
      <c r="A169" s="209">
        <f>日報表!A169</f>
        <v>0</v>
      </c>
      <c r="B169" s="210">
        <f>日報表!B169</f>
        <v>0</v>
      </c>
      <c r="C169" s="211">
        <f>日報表!C169</f>
        <v>0</v>
      </c>
      <c r="D169" s="211">
        <f>日報表!G169</f>
        <v>0</v>
      </c>
      <c r="E169" s="212">
        <f>日報表!K169</f>
        <v>0</v>
      </c>
      <c r="F169" s="212">
        <f>日報表!N169</f>
        <v>0</v>
      </c>
      <c r="G169" s="213" t="str">
        <f>日報表!M169</f>
        <v/>
      </c>
      <c r="H169" s="240">
        <f>日報表!S169</f>
        <v>0</v>
      </c>
      <c r="I169" s="241">
        <f>日報表!T169</f>
        <v>0</v>
      </c>
      <c r="J169" s="241" t="str">
        <f>IF(ISNA(HLOOKUP(A169,IAD!$6:$10,5,0)),"",(HLOOKUP(A169,IAD!$6:$10,5,0)))</f>
        <v/>
      </c>
      <c r="K169" s="677">
        <f>日報表!O169</f>
        <v>0</v>
      </c>
      <c r="L169" s="680">
        <f>日報表!V169</f>
        <v>0</v>
      </c>
      <c r="M169" s="680">
        <f>日報表!W169</f>
        <v>0</v>
      </c>
      <c r="N169" s="680">
        <f>日報表!X169</f>
        <v>0</v>
      </c>
      <c r="O169" s="680">
        <f>日報表!Y169</f>
        <v>0</v>
      </c>
    </row>
    <row r="170" spans="1:15">
      <c r="A170" s="209">
        <f>日報表!A170</f>
        <v>0</v>
      </c>
      <c r="B170" s="210">
        <f>日報表!B170</f>
        <v>0</v>
      </c>
      <c r="C170" s="211">
        <f>日報表!C170</f>
        <v>0</v>
      </c>
      <c r="D170" s="211">
        <f>日報表!G170</f>
        <v>0</v>
      </c>
      <c r="E170" s="212">
        <f>日報表!K170</f>
        <v>0</v>
      </c>
      <c r="F170" s="212">
        <f>日報表!N170</f>
        <v>0</v>
      </c>
      <c r="G170" s="213" t="str">
        <f>日報表!M170</f>
        <v/>
      </c>
      <c r="H170" s="240">
        <f>日報表!S170</f>
        <v>0</v>
      </c>
      <c r="I170" s="241">
        <f>日報表!T170</f>
        <v>0</v>
      </c>
      <c r="J170" s="241" t="str">
        <f>IF(ISNA(HLOOKUP(A170,IAD!$6:$10,5,0)),"",(HLOOKUP(A170,IAD!$6:$10,5,0)))</f>
        <v/>
      </c>
      <c r="K170" s="677">
        <f>日報表!O170</f>
        <v>0</v>
      </c>
      <c r="L170" s="680">
        <f>日報表!V170</f>
        <v>0</v>
      </c>
      <c r="M170" s="680">
        <f>日報表!W170</f>
        <v>0</v>
      </c>
      <c r="N170" s="680">
        <f>日報表!X170</f>
        <v>0</v>
      </c>
      <c r="O170" s="680">
        <f>日報表!Y170</f>
        <v>0</v>
      </c>
    </row>
    <row r="171" spans="1:15">
      <c r="A171" s="209">
        <f>日報表!A171</f>
        <v>0</v>
      </c>
      <c r="B171" s="210">
        <f>日報表!B171</f>
        <v>0</v>
      </c>
      <c r="C171" s="211">
        <f>日報表!C171</f>
        <v>0</v>
      </c>
      <c r="D171" s="211">
        <f>日報表!G171</f>
        <v>0</v>
      </c>
      <c r="E171" s="212">
        <f>日報表!K171</f>
        <v>0</v>
      </c>
      <c r="F171" s="212">
        <f>日報表!N171</f>
        <v>0</v>
      </c>
      <c r="G171" s="213" t="str">
        <f>日報表!M171</f>
        <v/>
      </c>
      <c r="H171" s="240">
        <f>日報表!S171</f>
        <v>0</v>
      </c>
      <c r="I171" s="241">
        <f>日報表!T171</f>
        <v>0</v>
      </c>
      <c r="J171" s="241" t="str">
        <f>IF(ISNA(HLOOKUP(A171,IAD!$6:$10,5,0)),"",(HLOOKUP(A171,IAD!$6:$10,5,0)))</f>
        <v/>
      </c>
      <c r="K171" s="677">
        <f>日報表!O171</f>
        <v>0</v>
      </c>
      <c r="L171" s="680">
        <f>日報表!V171</f>
        <v>0</v>
      </c>
      <c r="M171" s="680">
        <f>日報表!W171</f>
        <v>0</v>
      </c>
      <c r="N171" s="680">
        <f>日報表!X171</f>
        <v>0</v>
      </c>
      <c r="O171" s="680">
        <f>日報表!Y171</f>
        <v>0</v>
      </c>
    </row>
    <row r="172" spans="1:15">
      <c r="A172" s="209">
        <f>日報表!A172</f>
        <v>0</v>
      </c>
      <c r="B172" s="210">
        <f>日報表!B172</f>
        <v>0</v>
      </c>
      <c r="C172" s="211">
        <f>日報表!C172</f>
        <v>0</v>
      </c>
      <c r="D172" s="211">
        <f>日報表!G172</f>
        <v>0</v>
      </c>
      <c r="E172" s="212">
        <f>日報表!K172</f>
        <v>0</v>
      </c>
      <c r="F172" s="212">
        <f>日報表!N172</f>
        <v>0</v>
      </c>
      <c r="G172" s="213" t="str">
        <f>日報表!M172</f>
        <v/>
      </c>
      <c r="H172" s="240">
        <f>日報表!S172</f>
        <v>0</v>
      </c>
      <c r="I172" s="241">
        <f>日報表!T172</f>
        <v>0</v>
      </c>
      <c r="J172" s="241" t="str">
        <f>IF(ISNA(HLOOKUP(A172,IAD!$6:$10,5,0)),"",(HLOOKUP(A172,IAD!$6:$10,5,0)))</f>
        <v/>
      </c>
      <c r="K172" s="677">
        <f>日報表!O172</f>
        <v>0</v>
      </c>
      <c r="L172" s="680">
        <f>日報表!V172</f>
        <v>0</v>
      </c>
      <c r="M172" s="680">
        <f>日報表!W172</f>
        <v>0</v>
      </c>
      <c r="N172" s="680">
        <f>日報表!X172</f>
        <v>0</v>
      </c>
      <c r="O172" s="680">
        <f>日報表!Y172</f>
        <v>0</v>
      </c>
    </row>
    <row r="173" spans="1:15">
      <c r="A173" s="209">
        <f>日報表!A173</f>
        <v>0</v>
      </c>
      <c r="B173" s="210">
        <f>日報表!B173</f>
        <v>0</v>
      </c>
      <c r="C173" s="211">
        <f>日報表!C173</f>
        <v>0</v>
      </c>
      <c r="D173" s="211">
        <f>日報表!G173</f>
        <v>0</v>
      </c>
      <c r="E173" s="212">
        <f>日報表!K173</f>
        <v>0</v>
      </c>
      <c r="F173" s="212">
        <f>日報表!N173</f>
        <v>0</v>
      </c>
      <c r="G173" s="213" t="str">
        <f>日報表!M173</f>
        <v/>
      </c>
      <c r="H173" s="240">
        <f>日報表!S173</f>
        <v>0</v>
      </c>
      <c r="I173" s="241">
        <f>日報表!T173</f>
        <v>0</v>
      </c>
      <c r="J173" s="241" t="str">
        <f>IF(ISNA(HLOOKUP(A173,IAD!$6:$10,5,0)),"",(HLOOKUP(A173,IAD!$6:$10,5,0)))</f>
        <v/>
      </c>
      <c r="K173" s="677">
        <f>日報表!O173</f>
        <v>0</v>
      </c>
      <c r="L173" s="680">
        <f>日報表!V173</f>
        <v>0</v>
      </c>
      <c r="M173" s="680">
        <f>日報表!W173</f>
        <v>0</v>
      </c>
      <c r="N173" s="680">
        <f>日報表!X173</f>
        <v>0</v>
      </c>
      <c r="O173" s="680">
        <f>日報表!Y173</f>
        <v>0</v>
      </c>
    </row>
    <row r="174" spans="1:15">
      <c r="A174" s="209">
        <f>日報表!A174</f>
        <v>0</v>
      </c>
      <c r="B174" s="210">
        <f>日報表!B174</f>
        <v>0</v>
      </c>
      <c r="C174" s="211">
        <f>日報表!C174</f>
        <v>0</v>
      </c>
      <c r="D174" s="211">
        <f>日報表!G174</f>
        <v>0</v>
      </c>
      <c r="E174" s="212">
        <f>日報表!K174</f>
        <v>0</v>
      </c>
      <c r="F174" s="212">
        <f>日報表!N174</f>
        <v>0</v>
      </c>
      <c r="G174" s="213" t="str">
        <f>日報表!M174</f>
        <v/>
      </c>
      <c r="H174" s="240">
        <f>日報表!S174</f>
        <v>0</v>
      </c>
      <c r="I174" s="241">
        <f>日報表!T174</f>
        <v>0</v>
      </c>
      <c r="J174" s="241" t="str">
        <f>IF(ISNA(HLOOKUP(A174,IAD!$6:$10,5,0)),"",(HLOOKUP(A174,IAD!$6:$10,5,0)))</f>
        <v/>
      </c>
      <c r="K174" s="677">
        <f>日報表!O174</f>
        <v>0</v>
      </c>
      <c r="L174" s="680">
        <f>日報表!V174</f>
        <v>0</v>
      </c>
      <c r="M174" s="680">
        <f>日報表!W174</f>
        <v>0</v>
      </c>
      <c r="N174" s="680">
        <f>日報表!X174</f>
        <v>0</v>
      </c>
      <c r="O174" s="680">
        <f>日報表!Y174</f>
        <v>0</v>
      </c>
    </row>
    <row r="175" spans="1:15">
      <c r="A175" s="209">
        <f>日報表!A175</f>
        <v>0</v>
      </c>
      <c r="B175" s="210">
        <f>日報表!B175</f>
        <v>0</v>
      </c>
      <c r="C175" s="211">
        <f>日報表!C175</f>
        <v>0</v>
      </c>
      <c r="D175" s="211">
        <f>日報表!G175</f>
        <v>0</v>
      </c>
      <c r="E175" s="212">
        <f>日報表!K175</f>
        <v>0</v>
      </c>
      <c r="F175" s="212">
        <f>日報表!N175</f>
        <v>0</v>
      </c>
      <c r="G175" s="213" t="str">
        <f>日報表!M175</f>
        <v/>
      </c>
      <c r="H175" s="240">
        <f>日報表!S175</f>
        <v>0</v>
      </c>
      <c r="I175" s="241">
        <f>日報表!T175</f>
        <v>0</v>
      </c>
      <c r="J175" s="241" t="str">
        <f>IF(ISNA(HLOOKUP(A175,IAD!$6:$10,5,0)),"",(HLOOKUP(A175,IAD!$6:$10,5,0)))</f>
        <v/>
      </c>
      <c r="K175" s="677">
        <f>日報表!O175</f>
        <v>0</v>
      </c>
      <c r="L175" s="680">
        <f>日報表!V175</f>
        <v>0</v>
      </c>
      <c r="M175" s="680">
        <f>日報表!W175</f>
        <v>0</v>
      </c>
      <c r="N175" s="680">
        <f>日報表!X175</f>
        <v>0</v>
      </c>
      <c r="O175" s="680">
        <f>日報表!Y175</f>
        <v>0</v>
      </c>
    </row>
    <row r="176" spans="1:15">
      <c r="A176" s="209">
        <f>日報表!A176</f>
        <v>0</v>
      </c>
      <c r="B176" s="210">
        <f>日報表!B176</f>
        <v>0</v>
      </c>
      <c r="C176" s="211">
        <f>日報表!C176</f>
        <v>0</v>
      </c>
      <c r="D176" s="211">
        <f>日報表!G176</f>
        <v>0</v>
      </c>
      <c r="E176" s="212">
        <f>日報表!K176</f>
        <v>0</v>
      </c>
      <c r="F176" s="212">
        <f>日報表!N176</f>
        <v>0</v>
      </c>
      <c r="G176" s="213" t="str">
        <f>日報表!M176</f>
        <v/>
      </c>
      <c r="H176" s="240">
        <f>日報表!S176</f>
        <v>0</v>
      </c>
      <c r="I176" s="241">
        <f>日報表!T176</f>
        <v>0</v>
      </c>
      <c r="J176" s="241" t="str">
        <f>IF(ISNA(HLOOKUP(A176,IAD!$6:$10,5,0)),"",(HLOOKUP(A176,IAD!$6:$10,5,0)))</f>
        <v/>
      </c>
      <c r="K176" s="677">
        <f>日報表!O176</f>
        <v>0</v>
      </c>
      <c r="L176" s="680">
        <f>日報表!V176</f>
        <v>0</v>
      </c>
      <c r="M176" s="680">
        <f>日報表!W176</f>
        <v>0</v>
      </c>
      <c r="N176" s="680">
        <f>日報表!X176</f>
        <v>0</v>
      </c>
      <c r="O176" s="680">
        <f>日報表!Y176</f>
        <v>0</v>
      </c>
    </row>
    <row r="177" spans="1:15">
      <c r="A177" s="209">
        <f>日報表!A177</f>
        <v>0</v>
      </c>
      <c r="B177" s="210">
        <f>日報表!B177</f>
        <v>0</v>
      </c>
      <c r="C177" s="211">
        <f>日報表!C177</f>
        <v>0</v>
      </c>
      <c r="D177" s="211">
        <f>日報表!G177</f>
        <v>0</v>
      </c>
      <c r="E177" s="212">
        <f>日報表!K177</f>
        <v>0</v>
      </c>
      <c r="F177" s="212">
        <f>日報表!N177</f>
        <v>0</v>
      </c>
      <c r="G177" s="213" t="str">
        <f>日報表!M177</f>
        <v/>
      </c>
      <c r="H177" s="240">
        <f>日報表!S177</f>
        <v>0</v>
      </c>
      <c r="I177" s="241">
        <f>日報表!T177</f>
        <v>0</v>
      </c>
      <c r="J177" s="241" t="str">
        <f>IF(ISNA(HLOOKUP(A177,IAD!$6:$10,5,0)),"",(HLOOKUP(A177,IAD!$6:$10,5,0)))</f>
        <v/>
      </c>
      <c r="K177" s="677">
        <f>日報表!O177</f>
        <v>0</v>
      </c>
      <c r="L177" s="680">
        <f>日報表!V177</f>
        <v>0</v>
      </c>
      <c r="M177" s="680">
        <f>日報表!W177</f>
        <v>0</v>
      </c>
      <c r="N177" s="680">
        <f>日報表!X177</f>
        <v>0</v>
      </c>
      <c r="O177" s="680">
        <f>日報表!Y177</f>
        <v>0</v>
      </c>
    </row>
    <row r="178" spans="1:15">
      <c r="A178" s="209">
        <f>日報表!A178</f>
        <v>0</v>
      </c>
      <c r="B178" s="210">
        <f>日報表!B178</f>
        <v>0</v>
      </c>
      <c r="C178" s="211">
        <f>日報表!C178</f>
        <v>0</v>
      </c>
      <c r="D178" s="211">
        <f>日報表!G178</f>
        <v>0</v>
      </c>
      <c r="E178" s="212">
        <f>日報表!K178</f>
        <v>0</v>
      </c>
      <c r="F178" s="212">
        <f>日報表!N178</f>
        <v>0</v>
      </c>
      <c r="G178" s="213" t="str">
        <f>日報表!M178</f>
        <v/>
      </c>
      <c r="H178" s="240">
        <f>日報表!S178</f>
        <v>0</v>
      </c>
      <c r="I178" s="241">
        <f>日報表!T178</f>
        <v>0</v>
      </c>
      <c r="J178" s="241" t="str">
        <f>IF(ISNA(HLOOKUP(A178,IAD!$6:$10,5,0)),"",(HLOOKUP(A178,IAD!$6:$10,5,0)))</f>
        <v/>
      </c>
      <c r="K178" s="677">
        <f>日報表!O178</f>
        <v>0</v>
      </c>
      <c r="L178" s="680">
        <f>日報表!V178</f>
        <v>0</v>
      </c>
      <c r="M178" s="680">
        <f>日報表!W178</f>
        <v>0</v>
      </c>
      <c r="N178" s="680">
        <f>日報表!X178</f>
        <v>0</v>
      </c>
      <c r="O178" s="680">
        <f>日報表!Y178</f>
        <v>0</v>
      </c>
    </row>
    <row r="179" spans="1:15">
      <c r="A179" s="209">
        <f>日報表!A179</f>
        <v>0</v>
      </c>
      <c r="B179" s="210">
        <f>日報表!B179</f>
        <v>0</v>
      </c>
      <c r="C179" s="211">
        <f>日報表!C179</f>
        <v>0</v>
      </c>
      <c r="D179" s="211">
        <f>日報表!G179</f>
        <v>0</v>
      </c>
      <c r="E179" s="212">
        <f>日報表!K179</f>
        <v>0</v>
      </c>
      <c r="F179" s="212">
        <f>日報表!N179</f>
        <v>0</v>
      </c>
      <c r="G179" s="213" t="str">
        <f>日報表!M179</f>
        <v/>
      </c>
      <c r="H179" s="240">
        <f>日報表!S179</f>
        <v>0</v>
      </c>
      <c r="I179" s="241">
        <f>日報表!T179</f>
        <v>0</v>
      </c>
      <c r="J179" s="241" t="str">
        <f>IF(ISNA(HLOOKUP(A179,IAD!$6:$10,5,0)),"",(HLOOKUP(A179,IAD!$6:$10,5,0)))</f>
        <v/>
      </c>
      <c r="K179" s="677">
        <f>日報表!O179</f>
        <v>0</v>
      </c>
      <c r="L179" s="680">
        <f>日報表!V179</f>
        <v>0</v>
      </c>
      <c r="M179" s="680">
        <f>日報表!W179</f>
        <v>0</v>
      </c>
      <c r="N179" s="680">
        <f>日報表!X179</f>
        <v>0</v>
      </c>
      <c r="O179" s="680">
        <f>日報表!Y179</f>
        <v>0</v>
      </c>
    </row>
    <row r="180" spans="1:15">
      <c r="A180" s="209">
        <f>日報表!A180</f>
        <v>0</v>
      </c>
      <c r="B180" s="210">
        <f>日報表!B180</f>
        <v>0</v>
      </c>
      <c r="C180" s="211">
        <f>日報表!C180</f>
        <v>0</v>
      </c>
      <c r="D180" s="211">
        <f>日報表!G180</f>
        <v>0</v>
      </c>
      <c r="E180" s="212">
        <f>日報表!K180</f>
        <v>0</v>
      </c>
      <c r="F180" s="212">
        <f>日報表!N180</f>
        <v>0</v>
      </c>
      <c r="G180" s="213" t="str">
        <f>日報表!M180</f>
        <v/>
      </c>
      <c r="H180" s="240">
        <f>日報表!S180</f>
        <v>0</v>
      </c>
      <c r="I180" s="241">
        <f>日報表!T180</f>
        <v>0</v>
      </c>
      <c r="J180" s="241" t="str">
        <f>IF(ISNA(HLOOKUP(A180,IAD!$6:$10,5,0)),"",(HLOOKUP(A180,IAD!$6:$10,5,0)))</f>
        <v/>
      </c>
      <c r="K180" s="677">
        <f>日報表!O180</f>
        <v>0</v>
      </c>
      <c r="L180" s="680">
        <f>日報表!V180</f>
        <v>0</v>
      </c>
      <c r="M180" s="680">
        <f>日報表!W180</f>
        <v>0</v>
      </c>
      <c r="N180" s="680">
        <f>日報表!X180</f>
        <v>0</v>
      </c>
      <c r="O180" s="680">
        <f>日報表!Y180</f>
        <v>0</v>
      </c>
    </row>
    <row r="181" spans="1:15">
      <c r="A181" s="209">
        <f>日報表!A181</f>
        <v>0</v>
      </c>
      <c r="B181" s="210">
        <f>日報表!B181</f>
        <v>0</v>
      </c>
      <c r="C181" s="211">
        <f>日報表!C181</f>
        <v>0</v>
      </c>
      <c r="D181" s="211">
        <f>日報表!G181</f>
        <v>0</v>
      </c>
      <c r="E181" s="212">
        <f>日報表!K181</f>
        <v>0</v>
      </c>
      <c r="F181" s="212">
        <f>日報表!N181</f>
        <v>0</v>
      </c>
      <c r="G181" s="213" t="str">
        <f>日報表!M181</f>
        <v/>
      </c>
      <c r="H181" s="240">
        <f>日報表!S181</f>
        <v>0</v>
      </c>
      <c r="I181" s="241">
        <f>日報表!T181</f>
        <v>0</v>
      </c>
      <c r="J181" s="241" t="str">
        <f>IF(ISNA(HLOOKUP(A181,IAD!$6:$10,5,0)),"",(HLOOKUP(A181,IAD!$6:$10,5,0)))</f>
        <v/>
      </c>
      <c r="K181" s="677">
        <f>日報表!O181</f>
        <v>0</v>
      </c>
      <c r="L181" s="680">
        <f>日報表!V181</f>
        <v>0</v>
      </c>
      <c r="M181" s="680">
        <f>日報表!W181</f>
        <v>0</v>
      </c>
      <c r="N181" s="680">
        <f>日報表!X181</f>
        <v>0</v>
      </c>
      <c r="O181" s="680">
        <f>日報表!Y181</f>
        <v>0</v>
      </c>
    </row>
    <row r="182" spans="1:15">
      <c r="A182" s="229"/>
      <c r="B182" s="230"/>
      <c r="C182" s="231"/>
      <c r="D182" s="231"/>
      <c r="E182" s="232"/>
      <c r="F182" s="232"/>
      <c r="G182" s="233"/>
      <c r="H182" s="231"/>
      <c r="I182" s="231"/>
      <c r="J182" s="231"/>
      <c r="K182" s="472"/>
    </row>
    <row r="183" spans="1:15">
      <c r="A183" s="214"/>
      <c r="E183" s="215"/>
      <c r="F183" s="215"/>
      <c r="G183" s="314"/>
    </row>
  </sheetData>
  <customSheetViews>
    <customSheetView guid="{40FADD7F-233D-11D9-A2E0-00055D0D7FDA}" scale="85" showGridLines="0" hiddenRows="1" hiddenColumns="1" showRuler="0">
      <pane xSplit="1" ySplit="2" topLeftCell="E3" activePane="bottomRight" state="frozen"/>
      <selection pane="bottomRight" activeCell="H42" sqref="H42"/>
      <pageMargins left="0.2" right="0.15" top="0.91" bottom="0.42" header="0.5" footer="0.2"/>
      <pageSetup paperSize="9" scale="85" orientation="landscape" horizontalDpi="400" verticalDpi="400" r:id="rId1"/>
      <headerFooter alignWithMargins="0">
        <oddFooter>&amp;C&amp;"Times New Roman,標準"&amp;A</oddFooter>
      </headerFooter>
    </customSheetView>
    <customSheetView guid="{40FADD80-233D-11D9-A2E0-00055D0D7FDA}" scale="85" showGridLines="0" showRuler="0">
      <pane xSplit="1" ySplit="2" topLeftCell="E3" activePane="bottomRight" state="frozen"/>
      <selection pane="bottomRight" activeCell="H42" sqref="H42"/>
    </customSheetView>
    <customSheetView guid="{B499F86B-5A3B-11D9-A2E0-00055D0D7FDA}" scale="95" showGridLines="0" hiddenRows="1" hiddenColumns="1" showRuler="0">
      <pane xSplit="1" ySplit="2" topLeftCell="E21" activePane="bottomRight" state="frozen"/>
      <selection pane="bottomRight" activeCell="J44" sqref="J44"/>
      <pageMargins left="0.2" right="0.15" top="0.91" bottom="0.42" header="0.5" footer="0.2"/>
      <pageSetup paperSize="9" scale="85" orientation="landscape" horizontalDpi="400" verticalDpi="400" r:id="rId2"/>
      <headerFooter alignWithMargins="0">
        <oddFooter>&amp;C&amp;"Times New Roman,標準"&amp;A</oddFooter>
      </headerFooter>
    </customSheetView>
  </customSheetViews>
  <phoneticPr fontId="17" type="noConversion"/>
  <pageMargins left="0.19685039370078741" right="0.15748031496062992" top="0.9055118110236221" bottom="0.43307086614173229" header="0.51181102362204722" footer="0.19685039370078741"/>
  <pageSetup paperSize="8" scale="25" orientation="landscape" horizontalDpi="400" verticalDpi="400" r:id="rId3"/>
  <headerFooter alignWithMargins="0">
    <oddFooter>&amp;C&amp;"Times New Roman,標準"&amp;A</oddFooter>
  </headerFooter>
  <legacyDrawing r:id="rId4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1773-22D7-46CC-853A-1FE2D6ABEE8C}">
  <sheetPr codeName="工作表19">
    <pageSetUpPr fitToPage="1"/>
  </sheetPr>
  <dimension ref="A1:N13"/>
  <sheetViews>
    <sheetView showGridLines="0" workbookViewId="0">
      <selection activeCell="N13" sqref="N13"/>
    </sheetView>
  </sheetViews>
  <sheetFormatPr defaultRowHeight="16.5"/>
  <cols>
    <col min="1" max="1" width="12.625" style="774" customWidth="1"/>
    <col min="2" max="14" width="12.625" style="775" customWidth="1"/>
    <col min="15" max="16384" width="9" style="775"/>
  </cols>
  <sheetData>
    <row r="1" spans="1:14" s="774" customFormat="1">
      <c r="A1" s="1307" t="s">
        <v>543</v>
      </c>
      <c r="B1" s="1308" t="s">
        <v>689</v>
      </c>
      <c r="C1" s="1308" t="s">
        <v>690</v>
      </c>
      <c r="D1" s="1308" t="s">
        <v>691</v>
      </c>
      <c r="E1" s="1308" t="s">
        <v>692</v>
      </c>
      <c r="F1" s="1308" t="s">
        <v>693</v>
      </c>
      <c r="G1" s="1308" t="s">
        <v>694</v>
      </c>
      <c r="H1" s="1308" t="s">
        <v>695</v>
      </c>
      <c r="I1" s="1308" t="s">
        <v>696</v>
      </c>
      <c r="J1" s="1308" t="s">
        <v>697</v>
      </c>
      <c r="K1" s="1308" t="s">
        <v>698</v>
      </c>
      <c r="L1" s="1308" t="s">
        <v>699</v>
      </c>
      <c r="M1" s="1308" t="s">
        <v>700</v>
      </c>
      <c r="N1" s="1308" t="s">
        <v>701</v>
      </c>
    </row>
    <row r="2" spans="1:14">
      <c r="A2" s="1309" t="s">
        <v>82</v>
      </c>
      <c r="B2" s="1310">
        <v>831307</v>
      </c>
      <c r="C2" s="1310">
        <v>914380</v>
      </c>
      <c r="D2" s="1310">
        <v>933598</v>
      </c>
      <c r="E2" s="1310">
        <v>947301</v>
      </c>
      <c r="F2" s="1310">
        <v>745540</v>
      </c>
      <c r="G2" s="1310">
        <v>543672</v>
      </c>
      <c r="H2" s="1310">
        <v>659186</v>
      </c>
      <c r="I2" s="1310">
        <v>633414</v>
      </c>
      <c r="J2" s="1310">
        <v>689762</v>
      </c>
      <c r="K2" s="1310">
        <v>726883</v>
      </c>
      <c r="L2" s="1310">
        <v>748458</v>
      </c>
      <c r="M2" s="1310">
        <v>702686</v>
      </c>
      <c r="N2" s="1313">
        <f>AVERAGEIF(B2:M2,"&lt;&gt;0")</f>
        <v>756348.91666666663</v>
      </c>
    </row>
    <row r="3" spans="1:14">
      <c r="A3" s="1311" t="s">
        <v>479</v>
      </c>
      <c r="B3" s="1310">
        <v>235401</v>
      </c>
      <c r="C3" s="1310">
        <v>202763</v>
      </c>
      <c r="D3" s="1310">
        <v>165857</v>
      </c>
      <c r="E3" s="1310">
        <v>312349</v>
      </c>
      <c r="F3" s="1310">
        <v>377974</v>
      </c>
      <c r="G3" s="1310">
        <v>322745</v>
      </c>
      <c r="H3" s="1310">
        <v>335251</v>
      </c>
      <c r="I3" s="1310">
        <v>356255</v>
      </c>
      <c r="J3" s="1310">
        <v>349739</v>
      </c>
      <c r="K3" s="1310">
        <v>329811</v>
      </c>
      <c r="L3" s="1310">
        <v>294260</v>
      </c>
      <c r="M3" s="1310">
        <v>269930</v>
      </c>
      <c r="N3" s="1313">
        <f t="shared" ref="N3:N6" si="0">AVERAGEIF(B3:M3,"&lt;&gt;0")</f>
        <v>296027.91666666669</v>
      </c>
    </row>
    <row r="4" spans="1:14">
      <c r="A4" s="1311" t="s">
        <v>644</v>
      </c>
      <c r="B4" s="1310">
        <v>7086</v>
      </c>
      <c r="C4" s="1310">
        <v>19959</v>
      </c>
      <c r="D4" s="1310">
        <v>13196</v>
      </c>
      <c r="E4" s="1310">
        <v>18922</v>
      </c>
      <c r="F4" s="1310">
        <v>19126</v>
      </c>
      <c r="G4" s="1310">
        <v>4876</v>
      </c>
      <c r="H4" s="1310">
        <v>5280</v>
      </c>
      <c r="I4" s="1310">
        <v>18283</v>
      </c>
      <c r="J4" s="1310">
        <v>0</v>
      </c>
      <c r="K4" s="1310">
        <v>6264</v>
      </c>
      <c r="L4" s="1310">
        <v>10100</v>
      </c>
      <c r="M4" s="1310">
        <v>9392</v>
      </c>
      <c r="N4" s="1313">
        <f t="shared" si="0"/>
        <v>12044</v>
      </c>
    </row>
    <row r="5" spans="1:14">
      <c r="A5" s="1311" t="s">
        <v>480</v>
      </c>
      <c r="B5" s="1310">
        <v>107241</v>
      </c>
      <c r="C5" s="1310">
        <v>0</v>
      </c>
      <c r="D5" s="1310">
        <v>0</v>
      </c>
      <c r="E5" s="1310"/>
      <c r="F5" s="1310"/>
      <c r="G5" s="1310"/>
      <c r="H5" s="1310"/>
      <c r="I5" s="1310"/>
      <c r="J5" s="1310"/>
      <c r="K5" s="1310"/>
      <c r="L5" s="1310"/>
      <c r="M5" s="1310"/>
      <c r="N5" s="1313">
        <f t="shared" si="0"/>
        <v>107241</v>
      </c>
    </row>
    <row r="6" spans="1:14">
      <c r="A6" s="1311" t="s">
        <v>481</v>
      </c>
      <c r="B6" s="1310">
        <v>575110</v>
      </c>
      <c r="C6" s="1310">
        <v>638454</v>
      </c>
      <c r="D6" s="1310">
        <v>677051</v>
      </c>
      <c r="E6" s="1310">
        <v>726020</v>
      </c>
      <c r="F6" s="1310">
        <v>596078</v>
      </c>
      <c r="G6" s="1310">
        <v>625635</v>
      </c>
      <c r="H6" s="1310">
        <v>767003</v>
      </c>
      <c r="I6" s="1310">
        <v>721378</v>
      </c>
      <c r="J6" s="1310">
        <v>657789</v>
      </c>
      <c r="K6" s="1310">
        <v>719937</v>
      </c>
      <c r="L6" s="1310">
        <v>717442</v>
      </c>
      <c r="M6" s="1310">
        <v>772288</v>
      </c>
      <c r="N6" s="1313">
        <f t="shared" si="0"/>
        <v>682848.75</v>
      </c>
    </row>
    <row r="8" spans="1:14">
      <c r="A8" s="1307" t="s">
        <v>274</v>
      </c>
      <c r="B8" s="1308" t="s">
        <v>689</v>
      </c>
      <c r="C8" s="1308" t="s">
        <v>690</v>
      </c>
      <c r="D8" s="1308" t="s">
        <v>691</v>
      </c>
      <c r="E8" s="1308" t="s">
        <v>692</v>
      </c>
      <c r="F8" s="1308" t="s">
        <v>693</v>
      </c>
      <c r="G8" s="1308" t="s">
        <v>694</v>
      </c>
      <c r="H8" s="1308" t="s">
        <v>695</v>
      </c>
      <c r="I8" s="1308" t="s">
        <v>696</v>
      </c>
      <c r="J8" s="1308" t="s">
        <v>697</v>
      </c>
      <c r="K8" s="1308" t="s">
        <v>698</v>
      </c>
      <c r="L8" s="1308" t="s">
        <v>699</v>
      </c>
      <c r="M8" s="1308" t="s">
        <v>700</v>
      </c>
      <c r="N8" s="1308" t="s">
        <v>701</v>
      </c>
    </row>
    <row r="9" spans="1:14">
      <c r="A9" s="1309" t="s">
        <v>82</v>
      </c>
      <c r="B9" s="1312">
        <v>14.08064516129032</v>
      </c>
      <c r="C9" s="1312">
        <v>16.178571428571431</v>
      </c>
      <c r="D9" s="1312">
        <v>15.741935483870964</v>
      </c>
      <c r="E9" s="1312">
        <v>15.933333333333335</v>
      </c>
      <c r="F9" s="1312">
        <v>12.161290322580644</v>
      </c>
      <c r="G9" s="1312">
        <v>10.008333333333335</v>
      </c>
      <c r="H9" s="1312">
        <v>12.088709677419359</v>
      </c>
      <c r="I9" s="1312">
        <v>13.532258064516132</v>
      </c>
      <c r="J9" s="1312">
        <v>15.2</v>
      </c>
      <c r="K9" s="1312">
        <v>14.596774193548391</v>
      </c>
      <c r="L9" s="1312">
        <v>13.231666666666666</v>
      </c>
      <c r="M9" s="1312">
        <v>14.774193548387096</v>
      </c>
      <c r="N9" s="1312">
        <f t="shared" ref="N9:N13" si="1">AVERAGEIF(B9:M9,"&lt;&gt;0")</f>
        <v>13.960642601126473</v>
      </c>
    </row>
    <row r="10" spans="1:14">
      <c r="A10" s="1311" t="s">
        <v>479</v>
      </c>
      <c r="B10" s="1312">
        <v>2.4193548387096775</v>
      </c>
      <c r="C10" s="1312">
        <v>1.9821428571428572</v>
      </c>
      <c r="D10" s="1312">
        <v>1.6451612903225805</v>
      </c>
      <c r="E10" s="1312">
        <v>3</v>
      </c>
      <c r="F10" s="1312">
        <v>3</v>
      </c>
      <c r="G10" s="1312">
        <v>3</v>
      </c>
      <c r="H10" s="1312">
        <v>3</v>
      </c>
      <c r="I10" s="1312">
        <v>3</v>
      </c>
      <c r="J10" s="1312">
        <v>2.9333333333333336</v>
      </c>
      <c r="K10" s="1312">
        <v>3</v>
      </c>
      <c r="L10" s="1312">
        <v>2.8</v>
      </c>
      <c r="M10" s="1312">
        <v>2.5806451612903225</v>
      </c>
      <c r="N10" s="1312">
        <f t="shared" si="1"/>
        <v>2.6967197900665645</v>
      </c>
    </row>
    <row r="11" spans="1:14">
      <c r="A11" s="1311" t="s">
        <v>644</v>
      </c>
      <c r="B11" s="1312">
        <v>0.62903225806451613</v>
      </c>
      <c r="C11" s="1312">
        <v>0.60119047619047616</v>
      </c>
      <c r="D11" s="1312">
        <v>0.4838709677419355</v>
      </c>
      <c r="E11" s="1312">
        <v>0.52361111111111103</v>
      </c>
      <c r="F11" s="1312">
        <v>0.52284946236559138</v>
      </c>
      <c r="G11" s="1312">
        <v>0.41388888888888892</v>
      </c>
      <c r="H11" s="1312">
        <v>0.11290322580645161</v>
      </c>
      <c r="I11" s="1312">
        <v>0.49731182795698925</v>
      </c>
      <c r="J11" s="1312">
        <v>0</v>
      </c>
      <c r="K11" s="1312">
        <v>0.16397849462365593</v>
      </c>
      <c r="L11" s="1312">
        <v>0.57916666666666672</v>
      </c>
      <c r="M11" s="1312">
        <v>0.5</v>
      </c>
      <c r="N11" s="1312">
        <f t="shared" si="1"/>
        <v>0.45707303449238929</v>
      </c>
    </row>
    <row r="12" spans="1:14">
      <c r="A12" s="1311" t="s">
        <v>480</v>
      </c>
      <c r="B12" s="1312">
        <v>1.7741935483870968</v>
      </c>
      <c r="C12" s="1312">
        <v>0</v>
      </c>
      <c r="D12" s="1312">
        <v>0</v>
      </c>
      <c r="E12" s="1312"/>
      <c r="F12" s="1312"/>
      <c r="G12" s="1312"/>
      <c r="H12" s="1312"/>
      <c r="I12" s="1312"/>
      <c r="J12" s="1312"/>
      <c r="K12" s="1312"/>
      <c r="L12" s="1312"/>
      <c r="M12" s="1312"/>
      <c r="N12" s="1312">
        <f t="shared" si="1"/>
        <v>1.7741935483870968</v>
      </c>
    </row>
    <row r="13" spans="1:14">
      <c r="A13" s="1311" t="s">
        <v>481</v>
      </c>
      <c r="B13" s="1312">
        <v>4.8870967741935489</v>
      </c>
      <c r="C13" s="1312">
        <v>5.7678571428571423</v>
      </c>
      <c r="D13" s="1312">
        <v>5.7193548387096786</v>
      </c>
      <c r="E13" s="1312">
        <v>5.9833333333333334</v>
      </c>
      <c r="F13" s="1312">
        <v>5.8064516129032251</v>
      </c>
      <c r="G13" s="1312">
        <v>5.8499999999999988</v>
      </c>
      <c r="H13" s="1312">
        <v>5.9193548387096779</v>
      </c>
      <c r="I13" s="1312">
        <v>5.903225806451613</v>
      </c>
      <c r="J13" s="1312">
        <v>5.916666666666667</v>
      </c>
      <c r="K13" s="1312">
        <v>5.9516129032258069</v>
      </c>
      <c r="L13" s="1312">
        <v>5.9999999999999991</v>
      </c>
      <c r="M13" s="1312">
        <v>5.6419354838709692</v>
      </c>
      <c r="N13" s="1312">
        <f t="shared" si="1"/>
        <v>5.7789074500768054</v>
      </c>
    </row>
  </sheetData>
  <phoneticPr fontId="12" type="noConversion"/>
  <pageMargins left="0.7" right="0.7" top="0.75" bottom="0.75" header="0.3" footer="0.3"/>
  <pageSetup paperSize="9" scale="74" orientation="landscape" horizontalDpi="4294967293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380F-F20D-4044-98CC-43A385505C21}">
  <sheetPr codeName="工作表11"/>
  <dimension ref="A1:C16"/>
  <sheetViews>
    <sheetView workbookViewId="0">
      <selection activeCell="G1" sqref="G1"/>
    </sheetView>
  </sheetViews>
  <sheetFormatPr defaultRowHeight="18.75" customHeight="1"/>
  <cols>
    <col min="1" max="1" width="9" style="621"/>
    <col min="2" max="2" width="14.25" style="621" customWidth="1"/>
    <col min="3" max="3" width="62.5" style="618" bestFit="1" customWidth="1"/>
    <col min="4" max="16384" width="9" style="618"/>
  </cols>
  <sheetData>
    <row r="1" spans="1:3" ht="18.75" customHeight="1">
      <c r="A1" s="622" t="s">
        <v>393</v>
      </c>
      <c r="B1" s="622" t="s">
        <v>394</v>
      </c>
      <c r="C1" s="622" t="s">
        <v>396</v>
      </c>
    </row>
    <row r="2" spans="1:3" ht="18.75" customHeight="1">
      <c r="A2" s="617">
        <v>2022</v>
      </c>
      <c r="B2" s="617" t="s">
        <v>395</v>
      </c>
      <c r="C2" s="619" t="s">
        <v>414</v>
      </c>
    </row>
    <row r="3" spans="1:3" ht="18.75" customHeight="1">
      <c r="A3" s="617">
        <v>2022</v>
      </c>
      <c r="B3" s="617" t="s">
        <v>402</v>
      </c>
      <c r="C3" s="619" t="s">
        <v>403</v>
      </c>
    </row>
    <row r="4" spans="1:3" ht="18.75" customHeight="1">
      <c r="A4" s="617">
        <v>2022</v>
      </c>
      <c r="B4" s="617" t="s">
        <v>398</v>
      </c>
      <c r="C4" s="619" t="s">
        <v>399</v>
      </c>
    </row>
    <row r="5" spans="1:3" ht="18.75" customHeight="1">
      <c r="A5" s="617">
        <v>2022</v>
      </c>
      <c r="B5" s="617" t="s">
        <v>400</v>
      </c>
      <c r="C5" s="619" t="s">
        <v>397</v>
      </c>
    </row>
    <row r="6" spans="1:3" ht="18.75" customHeight="1">
      <c r="A6" s="617">
        <v>2022</v>
      </c>
      <c r="B6" s="620" t="s">
        <v>401</v>
      </c>
      <c r="C6" s="619" t="s">
        <v>414</v>
      </c>
    </row>
    <row r="7" spans="1:3" ht="18.75" customHeight="1">
      <c r="A7" s="622" t="s">
        <v>393</v>
      </c>
      <c r="B7" s="622" t="s">
        <v>394</v>
      </c>
      <c r="C7" s="622" t="s">
        <v>396</v>
      </c>
    </row>
    <row r="8" spans="1:3" ht="18.75" customHeight="1">
      <c r="A8" s="617">
        <v>2023</v>
      </c>
      <c r="B8" s="617" t="s">
        <v>407</v>
      </c>
      <c r="C8" s="619" t="s">
        <v>408</v>
      </c>
    </row>
    <row r="9" spans="1:3" ht="18.75" customHeight="1">
      <c r="A9" s="617">
        <v>2023</v>
      </c>
      <c r="B9" s="617" t="s">
        <v>410</v>
      </c>
      <c r="C9" s="619" t="s">
        <v>409</v>
      </c>
    </row>
    <row r="10" spans="1:3" ht="18.75" customHeight="1">
      <c r="A10" s="617">
        <v>2023</v>
      </c>
      <c r="B10" s="617" t="s">
        <v>411</v>
      </c>
      <c r="C10" s="619" t="s">
        <v>409</v>
      </c>
    </row>
    <row r="11" spans="1:3" ht="18.75" customHeight="1">
      <c r="A11" s="617">
        <v>2023</v>
      </c>
      <c r="B11" s="617" t="s">
        <v>412</v>
      </c>
      <c r="C11" s="619" t="s">
        <v>409</v>
      </c>
    </row>
    <row r="12" spans="1:3" ht="18.75" customHeight="1">
      <c r="A12" s="617">
        <v>2023</v>
      </c>
      <c r="B12" s="617" t="s">
        <v>413</v>
      </c>
      <c r="C12" s="619" t="s">
        <v>414</v>
      </c>
    </row>
    <row r="13" spans="1:3" ht="18.75" customHeight="1">
      <c r="A13" s="617">
        <v>2023</v>
      </c>
      <c r="B13" s="617"/>
      <c r="C13" s="619"/>
    </row>
    <row r="14" spans="1:3" ht="18.75" customHeight="1">
      <c r="A14" s="617">
        <v>2024</v>
      </c>
      <c r="B14" s="617" t="s">
        <v>454</v>
      </c>
      <c r="C14" s="619" t="s">
        <v>408</v>
      </c>
    </row>
    <row r="15" spans="1:3" ht="18.75" customHeight="1">
      <c r="A15" s="617">
        <v>2025</v>
      </c>
      <c r="B15" s="617" t="s">
        <v>702</v>
      </c>
      <c r="C15" s="619" t="s">
        <v>414</v>
      </c>
    </row>
    <row r="16" spans="1:3" ht="18.75" customHeight="1">
      <c r="A16" s="617">
        <v>2025</v>
      </c>
      <c r="B16" s="617" t="s">
        <v>749</v>
      </c>
      <c r="C16" s="619" t="s">
        <v>750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0A67-6A81-49AF-9DCC-367CC873DC8A}">
  <sheetPr codeName="工作表9">
    <tabColor rgb="FF7030A0"/>
  </sheetPr>
  <dimension ref="A1:S34"/>
  <sheetViews>
    <sheetView showGridLines="0" zoomScale="90" zoomScaleNormal="90" workbookViewId="0">
      <pane ySplit="12" topLeftCell="A13" activePane="bottomLeft" state="frozen"/>
      <selection activeCell="G1" sqref="G1"/>
      <selection pane="bottomLeft" activeCell="O3" sqref="O3"/>
    </sheetView>
  </sheetViews>
  <sheetFormatPr defaultColWidth="9.625" defaultRowHeight="16.5"/>
  <cols>
    <col min="1" max="6" width="11.125" style="194" customWidth="1"/>
    <col min="7" max="7" width="14.625" style="775" bestFit="1" customWidth="1"/>
    <col min="8" max="9" width="14.625" style="775" customWidth="1"/>
    <col min="10" max="10" width="14.625" style="774" customWidth="1"/>
    <col min="11" max="11" width="12.625" style="775" customWidth="1"/>
    <col min="12" max="15" width="12.625" style="774" customWidth="1"/>
    <col min="16" max="18" width="12.875" style="774" customWidth="1"/>
    <col min="19" max="16384" width="9.625" style="775"/>
  </cols>
  <sheetData>
    <row r="1" spans="1:19" ht="17.25" thickBot="1">
      <c r="A1" s="194" t="s">
        <v>602</v>
      </c>
      <c r="B1" s="194" t="s">
        <v>604</v>
      </c>
      <c r="C1" s="194" t="s">
        <v>608</v>
      </c>
      <c r="D1" s="194" t="s">
        <v>610</v>
      </c>
      <c r="E1" s="194" t="s">
        <v>34</v>
      </c>
      <c r="F1" s="194" t="s">
        <v>35</v>
      </c>
      <c r="G1" s="774" t="s">
        <v>605</v>
      </c>
      <c r="H1" s="774"/>
      <c r="I1" s="774"/>
      <c r="J1" s="801"/>
      <c r="K1" s="801" t="s">
        <v>603</v>
      </c>
      <c r="L1" s="801" t="s">
        <v>82</v>
      </c>
      <c r="M1" s="801" t="s">
        <v>479</v>
      </c>
      <c r="N1" s="801" t="s">
        <v>480</v>
      </c>
      <c r="O1" s="801" t="s">
        <v>481</v>
      </c>
      <c r="P1" s="804" t="s">
        <v>611</v>
      </c>
      <c r="Q1" s="804" t="s">
        <v>607</v>
      </c>
      <c r="R1" s="804" t="s">
        <v>609</v>
      </c>
      <c r="S1" s="788" t="s">
        <v>612</v>
      </c>
    </row>
    <row r="2" spans="1:19">
      <c r="A2" s="776" t="s">
        <v>598</v>
      </c>
      <c r="B2" s="776" t="s">
        <v>595</v>
      </c>
      <c r="C2" s="785">
        <v>0.98099999999999998</v>
      </c>
      <c r="D2" s="785">
        <v>0.91600000000000004</v>
      </c>
      <c r="E2" s="777" t="e">
        <f ca="1">AVERAGEIF(斷絲!$44:$46,ABC區!A2,斷絲!$45:$45)</f>
        <v>#DIV/0!</v>
      </c>
      <c r="F2" s="777" t="e">
        <f ca="1">AVERAGEIF(斷絲!$44:$46,ABC區!A2,斷絲!$46:$46)</f>
        <v>#DIV/0!</v>
      </c>
      <c r="G2" s="778">
        <f ca="1">SUMIF(斷絲!$44:$47,ABC區!A2,斷絲!$47:$47)</f>
        <v>0</v>
      </c>
      <c r="H2" s="778"/>
      <c r="I2" s="778"/>
      <c r="J2" s="799"/>
      <c r="K2" s="792" t="str">
        <f>B2</f>
        <v>A區</v>
      </c>
      <c r="L2" s="800" t="e">
        <f ca="1">AVERAGE(E2:E7)</f>
        <v>#DIV/0!</v>
      </c>
      <c r="M2" s="800" t="e">
        <f ca="1">AVERAGE(E8)</f>
        <v>#DIV/0!</v>
      </c>
      <c r="N2" s="800" t="e">
        <f ca="1">AVERAGE(E9:E10)</f>
        <v>#DIV/0!</v>
      </c>
      <c r="O2" s="800">
        <f ca="1">AVERAGE(E11:E12)</f>
        <v>0.98866725493848584</v>
      </c>
      <c r="P2" s="804" t="s">
        <v>30</v>
      </c>
      <c r="Q2" s="805">
        <v>0.98099999999999998</v>
      </c>
      <c r="R2" s="805">
        <v>0.91600000000000004</v>
      </c>
      <c r="S2" s="775">
        <f>6/11</f>
        <v>0.54545454545454541</v>
      </c>
    </row>
    <row r="3" spans="1:19">
      <c r="A3" s="776" t="s">
        <v>599</v>
      </c>
      <c r="B3" s="776" t="s">
        <v>595</v>
      </c>
      <c r="C3" s="785">
        <v>0.98099999999999998</v>
      </c>
      <c r="D3" s="785">
        <v>0.91600000000000004</v>
      </c>
      <c r="E3" s="777" t="e">
        <f ca="1">AVERAGEIF(斷絲!$44:$46,ABC區!A3,斷絲!$45:$45)</f>
        <v>#DIV/0!</v>
      </c>
      <c r="F3" s="777" t="e">
        <f ca="1">AVERAGEIF(斷絲!$44:$46,ABC區!A3,斷絲!$46:$46)</f>
        <v>#DIV/0!</v>
      </c>
      <c r="G3" s="778">
        <f ca="1">SUMIF(斷絲!$44:$47,ABC區!A3,斷絲!$47:$47)</f>
        <v>0</v>
      </c>
      <c r="H3" s="778"/>
      <c r="I3" s="778"/>
      <c r="J3" s="794" t="s">
        <v>591</v>
      </c>
      <c r="K3" s="794" t="str">
        <f>B13</f>
        <v>B區</v>
      </c>
      <c r="L3" s="795" t="e">
        <f ca="1">AVERAGE(E13:E18)</f>
        <v>#DIV/0!</v>
      </c>
      <c r="M3" s="795">
        <f ca="1">AVERAGE(E19)</f>
        <v>0.96364958197019268</v>
      </c>
      <c r="N3" s="795" t="e">
        <f ca="1">AVERAGE(E20:E21)</f>
        <v>#DIV/0!</v>
      </c>
      <c r="O3" s="795">
        <f ca="1">AVERAGE(E22:E23)</f>
        <v>0.98895488468190496</v>
      </c>
      <c r="P3" s="804" t="s">
        <v>31</v>
      </c>
      <c r="Q3" s="805">
        <v>0.97599999999999998</v>
      </c>
      <c r="R3" s="805">
        <v>0.92600000000000005</v>
      </c>
      <c r="S3" s="775">
        <f>1/11</f>
        <v>9.0909090909090912E-2</v>
      </c>
    </row>
    <row r="4" spans="1:19" ht="17.25" thickBot="1">
      <c r="A4" s="776" t="s">
        <v>219</v>
      </c>
      <c r="B4" s="776" t="s">
        <v>595</v>
      </c>
      <c r="C4" s="785">
        <v>0.98099999999999998</v>
      </c>
      <c r="D4" s="785">
        <v>0.91600000000000004</v>
      </c>
      <c r="E4" s="777" t="e">
        <f ca="1">AVERAGEIF(斷絲!$44:$46,ABC區!A4,斷絲!$45:$45)</f>
        <v>#DIV/0!</v>
      </c>
      <c r="F4" s="777" t="e">
        <f ca="1">AVERAGEIF(斷絲!$44:$46,ABC區!A4,斷絲!$46:$46)</f>
        <v>#DIV/0!</v>
      </c>
      <c r="G4" s="778">
        <f ca="1">SUMIF(斷絲!$44:$47,ABC區!A4,斷絲!$47:$47)</f>
        <v>0</v>
      </c>
      <c r="H4" s="778"/>
      <c r="I4" s="778"/>
      <c r="J4" s="796"/>
      <c r="K4" s="797" t="str">
        <f>B24</f>
        <v>C區</v>
      </c>
      <c r="L4" s="798" t="e">
        <f ca="1">AVERAGE(E24:E29)</f>
        <v>#DIV/0!</v>
      </c>
      <c r="M4" s="798" t="e">
        <f ca="1">AVERAGE(E30)</f>
        <v>#DIV/0!</v>
      </c>
      <c r="N4" s="798" t="e">
        <f ca="1">AVERAGE(E31:E32)</f>
        <v>#DIV/0!</v>
      </c>
      <c r="O4" s="798">
        <f ca="1">AVERAGE(E33:E34)</f>
        <v>0.98535810898738674</v>
      </c>
      <c r="P4" s="804" t="s">
        <v>33</v>
      </c>
      <c r="Q4" s="805">
        <v>0.97099999999999997</v>
      </c>
      <c r="R4" s="805">
        <v>0.86599999999999999</v>
      </c>
      <c r="S4" s="775">
        <f>2/11</f>
        <v>0.18181818181818182</v>
      </c>
    </row>
    <row r="5" spans="1:19" ht="17.25" thickBot="1">
      <c r="A5" s="776" t="s">
        <v>220</v>
      </c>
      <c r="B5" s="776" t="s">
        <v>595</v>
      </c>
      <c r="C5" s="785">
        <v>0.98099999999999998</v>
      </c>
      <c r="D5" s="785">
        <v>0.91600000000000004</v>
      </c>
      <c r="E5" s="777">
        <f ca="1">AVERAGEIF(斷絲!$44:$46,ABC區!A5,斷絲!$45:$45)</f>
        <v>1</v>
      </c>
      <c r="F5" s="777">
        <f ca="1">AVERAGEIF(斷絲!$44:$46,ABC區!A5,斷絲!$46:$46)</f>
        <v>0.91076510966013724</v>
      </c>
      <c r="G5" s="778">
        <f ca="1">SUMIF(斷絲!$44:$47,ABC區!A5,斷絲!$47:$47)</f>
        <v>11946</v>
      </c>
      <c r="H5" s="778"/>
      <c r="I5" s="778"/>
      <c r="J5" s="802"/>
      <c r="K5" s="803" t="s">
        <v>603</v>
      </c>
      <c r="L5" s="803" t="s">
        <v>82</v>
      </c>
      <c r="M5" s="803" t="s">
        <v>479</v>
      </c>
      <c r="N5" s="803" t="s">
        <v>480</v>
      </c>
      <c r="O5" s="803" t="s">
        <v>481</v>
      </c>
      <c r="P5" s="804" t="s">
        <v>143</v>
      </c>
      <c r="Q5" s="805">
        <v>0.98599999999999999</v>
      </c>
      <c r="R5" s="805">
        <v>0.95099999999999996</v>
      </c>
      <c r="S5" s="775">
        <f>2/11</f>
        <v>0.18181818181818182</v>
      </c>
    </row>
    <row r="6" spans="1:19">
      <c r="A6" s="776" t="s">
        <v>225</v>
      </c>
      <c r="B6" s="776" t="s">
        <v>595</v>
      </c>
      <c r="C6" s="785">
        <v>0.98099999999999998</v>
      </c>
      <c r="D6" s="785">
        <v>0.91600000000000004</v>
      </c>
      <c r="E6" s="777">
        <f ca="1">AVERAGEIF(斷絲!$44:$46,ABC區!A6,斷絲!$45:$45)</f>
        <v>0</v>
      </c>
      <c r="F6" s="777">
        <f ca="1">AVERAGEIF(斷絲!$44:$46,ABC區!A6,斷絲!$46:$46)</f>
        <v>0</v>
      </c>
      <c r="G6" s="778">
        <f ca="1">SUMIF(斷絲!$44:$47,ABC區!A6,斷絲!$47:$47)</f>
        <v>0</v>
      </c>
      <c r="H6" s="778"/>
      <c r="I6" s="778"/>
      <c r="J6" s="793"/>
      <c r="K6" s="794" t="str">
        <f>B6</f>
        <v>A區</v>
      </c>
      <c r="L6" s="795" t="e">
        <f ca="1">AVERAGE(F2:F7)</f>
        <v>#DIV/0!</v>
      </c>
      <c r="M6" s="795" t="e">
        <f ca="1">AVERAGE(F8)</f>
        <v>#DIV/0!</v>
      </c>
      <c r="N6" s="795" t="e">
        <f ca="1">AVERAGE(F9:F10)</f>
        <v>#DIV/0!</v>
      </c>
      <c r="O6" s="795">
        <f ca="1">AVERAGE(F11:F12)</f>
        <v>0.95849035262566074</v>
      </c>
      <c r="P6" s="804" t="s">
        <v>32</v>
      </c>
      <c r="Q6" s="805">
        <v>0.95599999999999996</v>
      </c>
      <c r="R6" s="805">
        <v>0.92600000000000005</v>
      </c>
      <c r="S6" s="789" t="s">
        <v>613</v>
      </c>
    </row>
    <row r="7" spans="1:19">
      <c r="A7" s="776" t="s">
        <v>226</v>
      </c>
      <c r="B7" s="776" t="s">
        <v>595</v>
      </c>
      <c r="C7" s="785">
        <v>0.98099999999999998</v>
      </c>
      <c r="D7" s="785">
        <v>0.91600000000000004</v>
      </c>
      <c r="E7" s="777" t="e">
        <f ca="1">AVERAGEIF(斷絲!$44:$46,ABC區!A7,斷絲!$45:$45)</f>
        <v>#DIV/0!</v>
      </c>
      <c r="F7" s="777" t="e">
        <f ca="1">AVERAGEIF(斷絲!$44:$46,ABC區!A7,斷絲!$46:$46)</f>
        <v>#DIV/0!</v>
      </c>
      <c r="G7" s="778">
        <f ca="1">SUMIF(斷絲!$44:$47,ABC區!A7,斷絲!$47:$47)</f>
        <v>0</v>
      </c>
      <c r="H7" s="778"/>
      <c r="I7" s="778"/>
      <c r="J7" s="794" t="s">
        <v>593</v>
      </c>
      <c r="K7" s="794" t="str">
        <f>B17</f>
        <v>B區</v>
      </c>
      <c r="L7" s="795" t="e">
        <f ca="1">AVERAGE(F13:F18)</f>
        <v>#DIV/0!</v>
      </c>
      <c r="M7" s="795">
        <f ca="1">AVERAGE(F19)</f>
        <v>0.88583172552638201</v>
      </c>
      <c r="N7" s="795" t="e">
        <f ca="1">AVERAGE(F20:F21)</f>
        <v>#DIV/0!</v>
      </c>
      <c r="O7" s="795">
        <f ca="1">AVERAGE(F22:F23)</f>
        <v>0.95358053575053114</v>
      </c>
    </row>
    <row r="8" spans="1:19" ht="17.25" thickBot="1">
      <c r="A8" s="776" t="s">
        <v>600</v>
      </c>
      <c r="B8" s="776" t="s">
        <v>595</v>
      </c>
      <c r="C8" s="785">
        <v>0.97599999999999998</v>
      </c>
      <c r="D8" s="785">
        <v>0.92600000000000005</v>
      </c>
      <c r="E8" s="777" t="e">
        <f ca="1">AVERAGEIF(斷絲!$44:$46,ABC區!A8,斷絲!$45:$45)</f>
        <v>#DIV/0!</v>
      </c>
      <c r="F8" s="777" t="e">
        <f ca="1">AVERAGEIF(斷絲!$44:$46,ABC區!A8,斷絲!$46:$46)</f>
        <v>#DIV/0!</v>
      </c>
      <c r="G8" s="778">
        <f ca="1">SUMIF(斷絲!$44:$47,ABC區!A8,斷絲!$47:$47)</f>
        <v>0</v>
      </c>
      <c r="H8" s="778"/>
      <c r="I8" s="778"/>
      <c r="J8" s="796"/>
      <c r="K8" s="797" t="str">
        <f>B28</f>
        <v>C區</v>
      </c>
      <c r="L8" s="798" t="e">
        <f ca="1">AVERAGE(F24:F29)</f>
        <v>#DIV/0!</v>
      </c>
      <c r="M8" s="798" t="e">
        <f ca="1">AVERAGE(F30)</f>
        <v>#DIV/0!</v>
      </c>
      <c r="N8" s="798" t="e">
        <f ca="1">AVERAGE(F31:F32)</f>
        <v>#DIV/0!</v>
      </c>
      <c r="O8" s="798">
        <f ca="1">AVERAGE(F33:F34)</f>
        <v>0.93562349135271028</v>
      </c>
    </row>
    <row r="9" spans="1:19">
      <c r="A9" s="776" t="s">
        <v>458</v>
      </c>
      <c r="B9" s="776" t="s">
        <v>595</v>
      </c>
      <c r="C9" s="785">
        <v>0.97099999999999997</v>
      </c>
      <c r="D9" s="785">
        <v>0.86599999999999999</v>
      </c>
      <c r="E9" s="777" t="e">
        <f ca="1">AVERAGEIF(斷絲!$44:$46,ABC區!A9,斷絲!$45:$45)</f>
        <v>#DIV/0!</v>
      </c>
      <c r="F9" s="777" t="e">
        <f ca="1">AVERAGEIF(斷絲!$44:$46,ABC區!A9,斷絲!$46:$46)</f>
        <v>#DIV/0!</v>
      </c>
      <c r="G9" s="778">
        <f ca="1">SUMIF(斷絲!$44:$47,ABC區!A9,斷絲!$47:$47)</f>
        <v>0</v>
      </c>
      <c r="H9" s="778"/>
      <c r="I9" s="778"/>
      <c r="J9" s="790"/>
    </row>
    <row r="10" spans="1:19">
      <c r="A10" s="776" t="s">
        <v>243</v>
      </c>
      <c r="B10" s="776" t="s">
        <v>595</v>
      </c>
      <c r="C10" s="785">
        <v>0.97099999999999997</v>
      </c>
      <c r="D10" s="785">
        <v>0.86599999999999999</v>
      </c>
      <c r="E10" s="777" t="e">
        <f ca="1">AVERAGEIF(斷絲!$44:$46,ABC區!A10,斷絲!$45:$45)</f>
        <v>#DIV/0!</v>
      </c>
      <c r="F10" s="777" t="e">
        <f ca="1">AVERAGEIF(斷絲!$44:$46,ABC區!A10,斷絲!$46:$46)</f>
        <v>#DIV/0!</v>
      </c>
      <c r="G10" s="778">
        <f ca="1">SUMIF(斷絲!$44:$47,ABC區!A10,斷絲!$47:$47)</f>
        <v>0</v>
      </c>
      <c r="H10" s="778"/>
      <c r="I10" s="778"/>
      <c r="J10" s="790"/>
    </row>
    <row r="11" spans="1:19">
      <c r="A11" s="776" t="s">
        <v>388</v>
      </c>
      <c r="B11" s="776" t="s">
        <v>595</v>
      </c>
      <c r="C11" s="785">
        <v>0.98599999999999999</v>
      </c>
      <c r="D11" s="785">
        <v>0.95099999999999996</v>
      </c>
      <c r="E11" s="777">
        <f ca="1">AVERAGEIF(斷絲!$44:$46,ABC區!A11,斷絲!$45:$45)</f>
        <v>0.98923658437197015</v>
      </c>
      <c r="F11" s="777">
        <f ca="1">AVERAGEIF(斷絲!$44:$46,ABC區!A11,斷絲!$46:$46)</f>
        <v>0.95753649865808588</v>
      </c>
      <c r="G11" s="778">
        <f ca="1">SUMIF(斷絲!$44:$47,ABC區!A11,斷絲!$47:$47)</f>
        <v>71167</v>
      </c>
      <c r="H11" s="778"/>
      <c r="I11" s="778"/>
      <c r="J11" s="790"/>
    </row>
    <row r="12" spans="1:19">
      <c r="A12" s="776" t="s">
        <v>417</v>
      </c>
      <c r="B12" s="776" t="s">
        <v>595</v>
      </c>
      <c r="C12" s="785">
        <v>0.98599999999999999</v>
      </c>
      <c r="D12" s="785">
        <v>0.95099999999999996</v>
      </c>
      <c r="E12" s="777">
        <f ca="1">AVERAGEIF(斷絲!$44:$46,ABC區!A12,斷絲!$45:$45)</f>
        <v>0.98809792550500142</v>
      </c>
      <c r="F12" s="777">
        <f ca="1">AVERAGEIF(斷絲!$44:$46,ABC區!A12,斷絲!$46:$46)</f>
        <v>0.95944420659323548</v>
      </c>
      <c r="G12" s="778">
        <f ca="1">SUMIF(斷絲!$44:$47,ABC區!A12,斷絲!$47:$47)</f>
        <v>128465</v>
      </c>
      <c r="H12" s="778"/>
      <c r="I12" s="778"/>
      <c r="J12" s="790"/>
    </row>
    <row r="13" spans="1:19">
      <c r="A13" s="779" t="s">
        <v>215</v>
      </c>
      <c r="B13" s="779" t="s">
        <v>596</v>
      </c>
      <c r="C13" s="786">
        <v>0.98099999999999998</v>
      </c>
      <c r="D13" s="786">
        <v>0.91600000000000004</v>
      </c>
      <c r="E13" s="780">
        <f ca="1">AVERAGEIF(斷絲!$44:$46,ABC區!A13,斷絲!$45:$45)</f>
        <v>1</v>
      </c>
      <c r="F13" s="780">
        <f ca="1">AVERAGEIF(斷絲!$44:$46,ABC區!A13,斷絲!$46:$46)</f>
        <v>0.92150170648464169</v>
      </c>
      <c r="G13" s="781">
        <f ca="1">SUMIF(斷絲!$44:$47,ABC區!A13,斷絲!$47:$47)</f>
        <v>15236</v>
      </c>
      <c r="H13" s="781"/>
      <c r="I13" s="781"/>
      <c r="J13" s="791"/>
    </row>
    <row r="14" spans="1:19">
      <c r="A14" s="779" t="s">
        <v>216</v>
      </c>
      <c r="B14" s="779" t="s">
        <v>596</v>
      </c>
      <c r="C14" s="786">
        <v>0.98099999999999998</v>
      </c>
      <c r="D14" s="786">
        <v>0.91600000000000004</v>
      </c>
      <c r="E14" s="780">
        <f ca="1">AVERAGEIF(斷絲!$44:$46,ABC區!A14,斷絲!$45:$45)</f>
        <v>0</v>
      </c>
      <c r="F14" s="780">
        <f ca="1">AVERAGEIF(斷絲!$44:$46,ABC區!A14,斷絲!$46:$46)</f>
        <v>0</v>
      </c>
      <c r="G14" s="781">
        <f ca="1">SUMIF(斷絲!$44:$47,ABC區!A14,斷絲!$47:$47)</f>
        <v>0</v>
      </c>
      <c r="H14" s="781"/>
      <c r="I14" s="781"/>
      <c r="J14" s="791"/>
    </row>
    <row r="15" spans="1:19">
      <c r="A15" s="779" t="s">
        <v>221</v>
      </c>
      <c r="B15" s="779" t="s">
        <v>596</v>
      </c>
      <c r="C15" s="786">
        <v>0.98099999999999998</v>
      </c>
      <c r="D15" s="786">
        <v>0.91600000000000004</v>
      </c>
      <c r="E15" s="780" t="e">
        <f ca="1">AVERAGEIF(斷絲!$44:$46,ABC區!A15,斷絲!$45:$45)</f>
        <v>#DIV/0!</v>
      </c>
      <c r="F15" s="780" t="e">
        <f ca="1">AVERAGEIF(斷絲!$44:$46,ABC區!A15,斷絲!$46:$46)</f>
        <v>#DIV/0!</v>
      </c>
      <c r="G15" s="781">
        <f ca="1">SUMIF(斷絲!$44:$47,ABC區!A15,斷絲!$47:$47)</f>
        <v>0</v>
      </c>
      <c r="H15" s="781"/>
      <c r="I15" s="781"/>
      <c r="J15" s="791"/>
    </row>
    <row r="16" spans="1:19">
      <c r="A16" s="779" t="s">
        <v>222</v>
      </c>
      <c r="B16" s="779" t="s">
        <v>596</v>
      </c>
      <c r="C16" s="786">
        <v>0.98099999999999998</v>
      </c>
      <c r="D16" s="786">
        <v>0.91600000000000004</v>
      </c>
      <c r="E16" s="780">
        <f ca="1">AVERAGEIF(斷絲!$44:$46,ABC區!A16,斷絲!$45:$45)</f>
        <v>1</v>
      </c>
      <c r="F16" s="780">
        <f ca="1">AVERAGEIF(斷絲!$44:$46,ABC區!A16,斷絲!$46:$46)</f>
        <v>1</v>
      </c>
      <c r="G16" s="781">
        <f ca="1">SUMIF(斷絲!$44:$47,ABC區!A16,斷絲!$47:$47)</f>
        <v>5400</v>
      </c>
      <c r="H16" s="781"/>
      <c r="I16" s="781"/>
      <c r="J16" s="791"/>
    </row>
    <row r="17" spans="1:10">
      <c r="A17" s="779" t="s">
        <v>227</v>
      </c>
      <c r="B17" s="779" t="s">
        <v>596</v>
      </c>
      <c r="C17" s="786">
        <v>0.98099999999999998</v>
      </c>
      <c r="D17" s="786">
        <v>0.91600000000000004</v>
      </c>
      <c r="E17" s="780">
        <f ca="1">AVERAGEIF(斷絲!$44:$46,ABC區!A17,斷絲!$45:$45)</f>
        <v>0</v>
      </c>
      <c r="F17" s="780">
        <f ca="1">AVERAGEIF(斷絲!$44:$46,ABC區!A17,斷絲!$46:$46)</f>
        <v>0</v>
      </c>
      <c r="G17" s="781">
        <f ca="1">SUMIF(斷絲!$44:$47,ABC區!A17,斷絲!$47:$47)</f>
        <v>0</v>
      </c>
      <c r="H17" s="781"/>
      <c r="I17" s="781"/>
      <c r="J17" s="791"/>
    </row>
    <row r="18" spans="1:10">
      <c r="A18" s="779" t="s">
        <v>228</v>
      </c>
      <c r="B18" s="779" t="s">
        <v>596</v>
      </c>
      <c r="C18" s="786">
        <v>0.98099999999999998</v>
      </c>
      <c r="D18" s="786">
        <v>0.91600000000000004</v>
      </c>
      <c r="E18" s="780">
        <f ca="1">AVERAGEIF(斷絲!$44:$46,ABC區!A18,斷絲!$45:$45)</f>
        <v>1</v>
      </c>
      <c r="F18" s="780">
        <f ca="1">AVERAGEIF(斷絲!$44:$46,ABC區!A18,斷絲!$46:$46)</f>
        <v>0.92575894198978059</v>
      </c>
      <c r="G18" s="781">
        <f ca="1">SUMIF(斷絲!$44:$47,ABC區!A18,斷絲!$47:$47)</f>
        <v>29943</v>
      </c>
      <c r="H18" s="781"/>
      <c r="I18" s="781"/>
      <c r="J18" s="791"/>
    </row>
    <row r="19" spans="1:10">
      <c r="A19" s="779" t="s">
        <v>233</v>
      </c>
      <c r="B19" s="779" t="s">
        <v>596</v>
      </c>
      <c r="C19" s="786">
        <v>0.97599999999999998</v>
      </c>
      <c r="D19" s="786">
        <v>0.92600000000000005</v>
      </c>
      <c r="E19" s="780">
        <f ca="1">AVERAGEIF(斷絲!$44:$46,ABC區!A19,斷絲!$45:$45)</f>
        <v>0.96364958197019268</v>
      </c>
      <c r="F19" s="780">
        <f ca="1">AVERAGEIF(斷絲!$44:$46,ABC區!A19,斷絲!$46:$46)</f>
        <v>0.88583172552638201</v>
      </c>
      <c r="G19" s="781">
        <f ca="1">SUMIF(斷絲!$44:$47,ABC區!A19,斷絲!$47:$47)</f>
        <v>35763</v>
      </c>
      <c r="H19" s="781"/>
      <c r="I19" s="781"/>
      <c r="J19" s="791"/>
    </row>
    <row r="20" spans="1:10">
      <c r="A20" s="779" t="s">
        <v>244</v>
      </c>
      <c r="B20" s="779" t="s">
        <v>596</v>
      </c>
      <c r="C20" s="786">
        <v>0.97099999999999997</v>
      </c>
      <c r="D20" s="786">
        <v>0.86599999999999999</v>
      </c>
      <c r="E20" s="780" t="e">
        <f ca="1">AVERAGEIF(斷絲!$44:$46,ABC區!A20,斷絲!$45:$45)</f>
        <v>#DIV/0!</v>
      </c>
      <c r="F20" s="780" t="e">
        <f ca="1">AVERAGEIF(斷絲!$44:$46,ABC區!A20,斷絲!$46:$46)</f>
        <v>#DIV/0!</v>
      </c>
      <c r="G20" s="781">
        <f ca="1">SUMIF(斷絲!$44:$47,ABC區!A20,斷絲!$47:$47)</f>
        <v>0</v>
      </c>
      <c r="H20" s="781"/>
      <c r="I20" s="781"/>
      <c r="J20" s="791"/>
    </row>
    <row r="21" spans="1:10">
      <c r="A21" s="779" t="s">
        <v>245</v>
      </c>
      <c r="B21" s="779" t="s">
        <v>596</v>
      </c>
      <c r="C21" s="786">
        <v>0.97099999999999997</v>
      </c>
      <c r="D21" s="786">
        <v>0.86599999999999999</v>
      </c>
      <c r="E21" s="780" t="e">
        <f ca="1">AVERAGEIF(斷絲!$44:$46,ABC區!A21,斷絲!$45:$45)</f>
        <v>#DIV/0!</v>
      </c>
      <c r="F21" s="780" t="e">
        <f ca="1">AVERAGEIF(斷絲!$44:$46,ABC區!A21,斷絲!$46:$46)</f>
        <v>#DIV/0!</v>
      </c>
      <c r="G21" s="781">
        <f ca="1">SUMIF(斷絲!$44:$47,ABC區!A21,斷絲!$47:$47)</f>
        <v>0</v>
      </c>
      <c r="H21" s="781"/>
      <c r="I21" s="781"/>
      <c r="J21" s="791"/>
    </row>
    <row r="22" spans="1:10">
      <c r="A22" s="779" t="s">
        <v>238</v>
      </c>
      <c r="B22" s="779" t="s">
        <v>596</v>
      </c>
      <c r="C22" s="786">
        <v>0.98599999999999999</v>
      </c>
      <c r="D22" s="786">
        <v>0.95099999999999996</v>
      </c>
      <c r="E22" s="780">
        <f ca="1">AVERAGEIF(斷絲!$44:$46,ABC區!A22,斷絲!$45:$45)</f>
        <v>0.98524382954957423</v>
      </c>
      <c r="F22" s="780">
        <f ca="1">AVERAGEIF(斷絲!$44:$46,ABC區!A22,斷絲!$46:$46)</f>
        <v>0.94254303883048041</v>
      </c>
      <c r="G22" s="781">
        <f ca="1">SUMIF(斷絲!$44:$47,ABC區!A22,斷絲!$47:$47)</f>
        <v>102059</v>
      </c>
      <c r="H22" s="781"/>
      <c r="I22" s="781"/>
      <c r="J22" s="791"/>
    </row>
    <row r="23" spans="1:10">
      <c r="A23" s="779" t="s">
        <v>239</v>
      </c>
      <c r="B23" s="779" t="s">
        <v>596</v>
      </c>
      <c r="C23" s="786">
        <v>0.98599999999999999</v>
      </c>
      <c r="D23" s="786">
        <v>0.95099999999999996</v>
      </c>
      <c r="E23" s="780">
        <f ca="1">AVERAGEIF(斷絲!$44:$46,ABC區!A23,斷絲!$45:$45)</f>
        <v>0.99266593981423557</v>
      </c>
      <c r="F23" s="780">
        <f ca="1">AVERAGEIF(斷絲!$44:$46,ABC區!A23,斷絲!$46:$46)</f>
        <v>0.96461803267058199</v>
      </c>
      <c r="G23" s="781">
        <f ca="1">SUMIF(斷絲!$44:$47,ABC區!A23,斷絲!$47:$47)</f>
        <v>87383</v>
      </c>
      <c r="H23" s="781"/>
      <c r="I23" s="781"/>
      <c r="J23" s="791"/>
    </row>
    <row r="24" spans="1:10">
      <c r="A24" s="782" t="s">
        <v>217</v>
      </c>
      <c r="B24" s="782" t="s">
        <v>597</v>
      </c>
      <c r="C24" s="787">
        <v>0.98099999999999998</v>
      </c>
      <c r="D24" s="787">
        <v>0.91600000000000004</v>
      </c>
      <c r="E24" s="783">
        <f ca="1">AVERAGEIF(斷絲!$44:$46,ABC區!A24,斷絲!$45:$45)</f>
        <v>1</v>
      </c>
      <c r="F24" s="783">
        <f ca="1">AVERAGEIF(斷絲!$44:$46,ABC區!A24,斷絲!$46:$46)</f>
        <v>0.94067167258024587</v>
      </c>
      <c r="G24" s="784">
        <f ca="1">SUMIF(斷絲!$44:$47,ABC區!A24,斷絲!$47:$47)</f>
        <v>12119</v>
      </c>
      <c r="H24" s="784"/>
      <c r="I24" s="784"/>
      <c r="J24" s="791"/>
    </row>
    <row r="25" spans="1:10">
      <c r="A25" s="782" t="s">
        <v>218</v>
      </c>
      <c r="B25" s="782" t="s">
        <v>597</v>
      </c>
      <c r="C25" s="787">
        <v>0.98099999999999998</v>
      </c>
      <c r="D25" s="787">
        <v>0.91600000000000004</v>
      </c>
      <c r="E25" s="783">
        <f ca="1">AVERAGEIF(斷絲!$44:$46,ABC區!A25,斷絲!$45:$45)</f>
        <v>0.97446396664681356</v>
      </c>
      <c r="F25" s="783">
        <f ca="1">AVERAGEIF(斷絲!$44:$46,ABC區!A25,斷絲!$46:$46)</f>
        <v>0.92354079809410361</v>
      </c>
      <c r="G25" s="784">
        <f ca="1">SUMIF(斷絲!$44:$47,ABC區!A25,斷絲!$47:$47)</f>
        <v>26864</v>
      </c>
      <c r="H25" s="784"/>
      <c r="I25" s="784"/>
      <c r="J25" s="791"/>
    </row>
    <row r="26" spans="1:10">
      <c r="A26" s="782" t="s">
        <v>223</v>
      </c>
      <c r="B26" s="782" t="s">
        <v>597</v>
      </c>
      <c r="C26" s="787">
        <v>0.98099999999999998</v>
      </c>
      <c r="D26" s="787">
        <v>0.91600000000000004</v>
      </c>
      <c r="E26" s="783">
        <f ca="1">AVERAGEIF(斷絲!$44:$46,ABC區!A26,斷絲!$45:$45)</f>
        <v>0.97875303528067414</v>
      </c>
      <c r="F26" s="783">
        <f ca="1">AVERAGEIF(斷絲!$44:$46,ABC區!A26,斷絲!$46:$46)</f>
        <v>0.93279531495500645</v>
      </c>
      <c r="G26" s="784">
        <f ca="1">SUMIF(斷絲!$44:$47,ABC區!A26,斷絲!$47:$47)</f>
        <v>17752</v>
      </c>
      <c r="H26" s="784"/>
      <c r="I26" s="784"/>
      <c r="J26" s="791"/>
    </row>
    <row r="27" spans="1:10">
      <c r="A27" s="782" t="s">
        <v>224</v>
      </c>
      <c r="B27" s="782" t="s">
        <v>597</v>
      </c>
      <c r="C27" s="787">
        <v>0.98099999999999998</v>
      </c>
      <c r="D27" s="787">
        <v>0.91600000000000004</v>
      </c>
      <c r="E27" s="783">
        <f ca="1">AVERAGEIF(斷絲!$44:$46,ABC區!A27,斷絲!$45:$45)</f>
        <v>0.8937561294540699</v>
      </c>
      <c r="F27" s="783">
        <f ca="1">AVERAGEIF(斷絲!$44:$46,ABC區!A27,斷絲!$46:$46)</f>
        <v>0.65707747629944424</v>
      </c>
      <c r="G27" s="784">
        <f ca="1">SUMIF(斷絲!$44:$47,ABC區!A27,斷絲!$47:$47)</f>
        <v>3059</v>
      </c>
      <c r="H27" s="784"/>
      <c r="I27" s="784"/>
      <c r="J27" s="791"/>
    </row>
    <row r="28" spans="1:10">
      <c r="A28" s="782" t="s">
        <v>229</v>
      </c>
      <c r="B28" s="782" t="s">
        <v>597</v>
      </c>
      <c r="C28" s="787">
        <v>0.98099999999999998</v>
      </c>
      <c r="D28" s="787">
        <v>0.91600000000000004</v>
      </c>
      <c r="E28" s="783">
        <f ca="1">AVERAGEIF(斷絲!$44:$46,ABC區!A28,斷絲!$45:$45)</f>
        <v>1</v>
      </c>
      <c r="F28" s="783">
        <f ca="1">AVERAGEIF(斷絲!$44:$46,ABC區!A28,斷絲!$46:$46)</f>
        <v>1</v>
      </c>
      <c r="G28" s="784">
        <f ca="1">SUMIF(斷絲!$44:$47,ABC區!A28,斷絲!$47:$47)</f>
        <v>7950</v>
      </c>
      <c r="H28" s="784"/>
      <c r="I28" s="784"/>
      <c r="J28" s="791"/>
    </row>
    <row r="29" spans="1:10">
      <c r="A29" s="782" t="s">
        <v>230</v>
      </c>
      <c r="B29" s="782" t="s">
        <v>597</v>
      </c>
      <c r="C29" s="787">
        <v>0.98099999999999998</v>
      </c>
      <c r="D29" s="787">
        <v>0.91600000000000004</v>
      </c>
      <c r="E29" s="783" t="e">
        <f ca="1">AVERAGEIF(斷絲!$44:$46,ABC區!A29,斷絲!$45:$45)</f>
        <v>#DIV/0!</v>
      </c>
      <c r="F29" s="783" t="e">
        <f ca="1">AVERAGEIF(斷絲!$44:$46,ABC區!A29,斷絲!$46:$46)</f>
        <v>#DIV/0!</v>
      </c>
      <c r="G29" s="784">
        <f ca="1">SUMIF(斷絲!$44:$47,ABC區!A29,斷絲!$47:$47)</f>
        <v>0</v>
      </c>
      <c r="H29" s="784"/>
      <c r="I29" s="784"/>
      <c r="J29" s="791"/>
    </row>
    <row r="30" spans="1:10">
      <c r="A30" s="782" t="s">
        <v>234</v>
      </c>
      <c r="B30" s="782" t="s">
        <v>597</v>
      </c>
      <c r="C30" s="787">
        <v>0.97599999999999998</v>
      </c>
      <c r="D30" s="787">
        <v>0.92600000000000005</v>
      </c>
      <c r="E30" s="783" t="e">
        <f ca="1">AVERAGEIF(斷絲!$44:$46,ABC區!A30,斷絲!$45:$45)</f>
        <v>#DIV/0!</v>
      </c>
      <c r="F30" s="783" t="e">
        <f ca="1">AVERAGEIF(斷絲!$44:$46,ABC區!A30,斷絲!$46:$46)</f>
        <v>#DIV/0!</v>
      </c>
      <c r="G30" s="784">
        <f ca="1">SUMIF(斷絲!$44:$47,ABC區!A30,斷絲!$47:$47)</f>
        <v>0</v>
      </c>
      <c r="H30" s="784"/>
      <c r="I30" s="784"/>
      <c r="J30" s="791"/>
    </row>
    <row r="31" spans="1:10">
      <c r="A31" s="782" t="s">
        <v>246</v>
      </c>
      <c r="B31" s="782" t="s">
        <v>597</v>
      </c>
      <c r="C31" s="787">
        <v>0.97099999999999997</v>
      </c>
      <c r="D31" s="787">
        <v>0.86599999999999999</v>
      </c>
      <c r="E31" s="783" t="e">
        <f ca="1">AVERAGEIF(斷絲!$44:$46,ABC區!A31,斷絲!$45:$45)</f>
        <v>#DIV/0!</v>
      </c>
      <c r="F31" s="783" t="e">
        <f ca="1">AVERAGEIF(斷絲!$44:$46,ABC區!A31,斷絲!$46:$46)</f>
        <v>#DIV/0!</v>
      </c>
      <c r="G31" s="784">
        <f ca="1">SUMIF(斷絲!$44:$47,ABC區!A31,斷絲!$47:$47)</f>
        <v>0</v>
      </c>
      <c r="H31" s="784"/>
      <c r="I31" s="784"/>
      <c r="J31" s="791"/>
    </row>
    <row r="32" spans="1:10">
      <c r="A32" s="782" t="s">
        <v>247</v>
      </c>
      <c r="B32" s="782" t="s">
        <v>597</v>
      </c>
      <c r="C32" s="787">
        <v>0.97099999999999997</v>
      </c>
      <c r="D32" s="787">
        <v>0.86599999999999999</v>
      </c>
      <c r="E32" s="783" t="e">
        <f ca="1">AVERAGEIF(斷絲!$44:$46,ABC區!A32,斷絲!$45:$45)</f>
        <v>#DIV/0!</v>
      </c>
      <c r="F32" s="783" t="e">
        <f ca="1">AVERAGEIF(斷絲!$44:$46,ABC區!A32,斷絲!$46:$46)</f>
        <v>#DIV/0!</v>
      </c>
      <c r="G32" s="784">
        <f ca="1">SUMIF(斷絲!$44:$47,ABC區!A32,斷絲!$47:$47)</f>
        <v>0</v>
      </c>
      <c r="H32" s="784"/>
      <c r="I32" s="784"/>
      <c r="J32" s="791"/>
    </row>
    <row r="33" spans="1:10">
      <c r="A33" s="782" t="s">
        <v>484</v>
      </c>
      <c r="B33" s="782" t="s">
        <v>597</v>
      </c>
      <c r="C33" s="787">
        <v>0.98599999999999999</v>
      </c>
      <c r="D33" s="787">
        <v>0.95099999999999996</v>
      </c>
      <c r="E33" s="783">
        <f ca="1">AVERAGEIF(斷絲!$44:$46,ABC區!A33,斷絲!$45:$45)</f>
        <v>0.98646935909293321</v>
      </c>
      <c r="F33" s="783">
        <f ca="1">AVERAGEIF(斷絲!$44:$46,ABC區!A33,斷絲!$46:$46)</f>
        <v>0.96064124961463371</v>
      </c>
      <c r="G33" s="784">
        <f ca="1">SUMIF(斷絲!$44:$47,ABC區!A33,斷絲!$47:$47)</f>
        <v>94509</v>
      </c>
      <c r="H33" s="784"/>
      <c r="I33" s="784"/>
      <c r="J33" s="791"/>
    </row>
    <row r="34" spans="1:10">
      <c r="A34" s="782" t="s">
        <v>237</v>
      </c>
      <c r="B34" s="782" t="s">
        <v>597</v>
      </c>
      <c r="C34" s="787">
        <v>0.98599999999999999</v>
      </c>
      <c r="D34" s="787">
        <v>0.95099999999999996</v>
      </c>
      <c r="E34" s="783">
        <f ca="1">AVERAGEIF(斷絲!$44:$46,ABC區!A34,斷絲!$45:$45)</f>
        <v>0.98424685888184027</v>
      </c>
      <c r="F34" s="783">
        <f ca="1">AVERAGEIF(斷絲!$44:$46,ABC區!A34,斷絲!$46:$46)</f>
        <v>0.91060573309078685</v>
      </c>
      <c r="G34" s="784">
        <f ca="1">SUMIF(斷絲!$44:$47,ABC區!A34,斷絲!$47:$47)</f>
        <v>108931</v>
      </c>
      <c r="H34" s="784"/>
      <c r="I34" s="784"/>
      <c r="J34" s="791"/>
    </row>
  </sheetData>
  <sortState xmlns:xlrd2="http://schemas.microsoft.com/office/spreadsheetml/2017/richdata2" ref="A2:F34">
    <sortCondition ref="B2:B34"/>
  </sortState>
  <phoneticPr fontId="12" type="noConversion"/>
  <conditionalFormatting sqref="B2:D34">
    <cfRule type="cellIs" dxfId="567" priority="1" operator="equal">
      <formula>"""C區"""</formula>
    </cfRule>
    <cfRule type="cellIs" dxfId="566" priority="2" operator="equal">
      <formula>"""B區"""</formula>
    </cfRule>
    <cfRule type="cellIs" dxfId="565" priority="3" operator="equal">
      <formula>"""A區"""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6E03-73CE-4C60-B8C8-64AAC8A41660}">
  <sheetPr codeName="工作表13">
    <tabColor rgb="FF7030A0"/>
  </sheetPr>
  <dimension ref="A1:AX3352"/>
  <sheetViews>
    <sheetView workbookViewId="0">
      <pane xSplit="12" ySplit="10" topLeftCell="AJ3339" activePane="bottomRight" state="frozen"/>
      <selection activeCell="A3108" sqref="A3108"/>
      <selection pane="topRight" activeCell="A3108" sqref="A3108"/>
      <selection pane="bottomLeft" activeCell="A3108" sqref="A3108"/>
      <selection pane="bottomRight" activeCell="A3353" sqref="A3353"/>
    </sheetView>
  </sheetViews>
  <sheetFormatPr defaultRowHeight="16.5"/>
  <cols>
    <col min="1" max="2" width="9" style="1077"/>
    <col min="3" max="3" width="5.75" style="1077" customWidth="1"/>
    <col min="4" max="4" width="7.125" style="1077" customWidth="1"/>
    <col min="5" max="6" width="9" style="1077"/>
    <col min="7" max="7" width="5.75" style="1077" customWidth="1"/>
    <col min="8" max="9" width="9" style="1077"/>
    <col min="10" max="10" width="6.125" style="1077" customWidth="1"/>
    <col min="11" max="12" width="9" style="1077"/>
    <col min="13" max="26" width="2" style="1077" customWidth="1"/>
    <col min="27" max="27" width="9" style="1077"/>
    <col min="28" max="33" width="2.125" style="1077" customWidth="1"/>
    <col min="34" max="34" width="9" style="1077"/>
    <col min="35" max="38" width="3.75" style="1077" customWidth="1"/>
    <col min="39" max="40" width="9" style="1078"/>
    <col min="41" max="41" width="6" style="1078" customWidth="1"/>
    <col min="42" max="42" width="7" style="1078" customWidth="1"/>
    <col min="43" max="43" width="15.375" style="1078" customWidth="1"/>
    <col min="44" max="44" width="6.5" style="1078" customWidth="1"/>
    <col min="45" max="45" width="12.125" style="1078" bestFit="1" customWidth="1"/>
    <col min="46" max="46" width="10.125" style="1078" customWidth="1"/>
    <col min="47" max="47" width="8.75" style="1078" customWidth="1"/>
    <col min="48" max="48" width="12.125" style="1078" customWidth="1"/>
    <col min="49" max="49" width="17.5" style="1344" customWidth="1"/>
    <col min="50" max="50" width="19.5" style="1077" customWidth="1"/>
    <col min="51" max="16384" width="9" style="1077"/>
  </cols>
  <sheetData>
    <row r="1" spans="1:50" ht="20.25">
      <c r="A1" s="1076" t="s">
        <v>39</v>
      </c>
      <c r="B1" s="1076" t="s">
        <v>41</v>
      </c>
      <c r="C1" s="1076" t="s">
        <v>910</v>
      </c>
      <c r="D1" s="1076" t="s">
        <v>911</v>
      </c>
      <c r="E1" s="1076" t="s">
        <v>15542</v>
      </c>
      <c r="F1" s="1076" t="s">
        <v>912</v>
      </c>
      <c r="G1" s="1077" t="s">
        <v>913</v>
      </c>
      <c r="H1" s="1076" t="s">
        <v>914</v>
      </c>
      <c r="I1" s="1076" t="s">
        <v>88</v>
      </c>
      <c r="J1" s="1076" t="s">
        <v>915</v>
      </c>
      <c r="K1" s="1076" t="s">
        <v>916</v>
      </c>
      <c r="L1" s="1076" t="s">
        <v>744</v>
      </c>
      <c r="M1" s="1077" t="s">
        <v>917</v>
      </c>
      <c r="O1" s="1077" t="s">
        <v>918</v>
      </c>
      <c r="P1" s="1077" t="s">
        <v>797</v>
      </c>
      <c r="Q1" s="1077" t="s">
        <v>919</v>
      </c>
      <c r="R1" s="1077" t="s">
        <v>920</v>
      </c>
      <c r="S1" s="1077" t="s">
        <v>921</v>
      </c>
      <c r="T1" s="1077" t="s">
        <v>922</v>
      </c>
      <c r="U1" s="1077" t="s">
        <v>923</v>
      </c>
      <c r="V1" s="1077" t="s">
        <v>924</v>
      </c>
      <c r="W1" s="1077" t="s">
        <v>925</v>
      </c>
      <c r="X1" s="1077" t="s">
        <v>926</v>
      </c>
      <c r="Y1" s="1077" t="s">
        <v>927</v>
      </c>
      <c r="Z1" s="1077" t="s">
        <v>928</v>
      </c>
      <c r="AA1" s="1076" t="s">
        <v>489</v>
      </c>
      <c r="AB1" s="1077" t="s">
        <v>929</v>
      </c>
      <c r="AC1" s="1077" t="s">
        <v>930</v>
      </c>
      <c r="AD1" s="1077" t="s">
        <v>931</v>
      </c>
      <c r="AE1" s="1077" t="s">
        <v>932</v>
      </c>
      <c r="AF1" s="1077" t="s">
        <v>933</v>
      </c>
      <c r="AG1" s="1077" t="s">
        <v>934</v>
      </c>
      <c r="AH1" s="1076" t="s">
        <v>9057</v>
      </c>
      <c r="AJ1" s="1077" t="s">
        <v>935</v>
      </c>
      <c r="AK1" s="1077" t="s">
        <v>936</v>
      </c>
      <c r="AL1" s="1077" t="s">
        <v>937</v>
      </c>
      <c r="AM1" s="1078" t="str">
        <f>A1&amp;"(剖析)"</f>
        <v>批號(剖析)</v>
      </c>
      <c r="AN1" s="1078" t="s">
        <v>15012</v>
      </c>
      <c r="AO1" s="1078" t="str">
        <f>C1&amp;"(剖析)"</f>
        <v>YS(剖析)</v>
      </c>
      <c r="AP1" s="1078" t="str">
        <f>D1&amp;"(剖析)"</f>
        <v>DR(剖析)</v>
      </c>
      <c r="AQ1" s="1078" t="str">
        <f>E1&amp;"(剖析)"</f>
        <v>DiscType/TwistAngle(剖析)</v>
      </c>
      <c r="AR1" s="1078" t="str">
        <f>F1&amp;"(剖析)"</f>
        <v>Crssing Angle(剖析)</v>
      </c>
      <c r="AS1" s="1078" t="str">
        <f>H1&amp;"(剖析)"</f>
        <v>溫度(剖析)</v>
      </c>
      <c r="AT1" s="1078" t="s">
        <v>15543</v>
      </c>
      <c r="AU1" s="1078" t="s">
        <v>15544</v>
      </c>
      <c r="AV1" s="1078" t="str">
        <f>AA1</f>
        <v>生產日期</v>
      </c>
      <c r="AW1" s="1078" t="str">
        <f>AV1&amp;"改/公式"</f>
        <v>生產日期改/公式</v>
      </c>
      <c r="AX1" s="1343" t="s">
        <v>16680</v>
      </c>
    </row>
    <row r="2" spans="1:50" ht="20.25">
      <c r="A2" s="1077" t="s">
        <v>970</v>
      </c>
      <c r="B2" s="1077" t="s">
        <v>872</v>
      </c>
      <c r="C2" s="1077">
        <v>700</v>
      </c>
      <c r="D2" s="1077">
        <v>1.67</v>
      </c>
      <c r="E2" s="1077" t="s">
        <v>15088</v>
      </c>
      <c r="F2" s="1077" t="s">
        <v>648</v>
      </c>
      <c r="G2" s="1077" t="s">
        <v>940</v>
      </c>
      <c r="H2" s="1077" t="s">
        <v>941</v>
      </c>
      <c r="I2" s="1077" t="s">
        <v>626</v>
      </c>
      <c r="J2" s="1077">
        <v>2.2000000000000002</v>
      </c>
      <c r="K2" s="1077" t="s">
        <v>971</v>
      </c>
      <c r="L2" s="1077" t="s">
        <v>972</v>
      </c>
      <c r="M2" s="1077">
        <v>50.4</v>
      </c>
      <c r="N2" s="1077" t="s">
        <v>945</v>
      </c>
      <c r="O2" s="1077">
        <v>1.26</v>
      </c>
      <c r="P2" s="1077">
        <v>1.008</v>
      </c>
      <c r="Q2" s="1077" t="s">
        <v>961</v>
      </c>
      <c r="R2" s="1077">
        <v>21.2</v>
      </c>
      <c r="T2" s="1077">
        <v>29</v>
      </c>
      <c r="U2" s="1077">
        <v>3.4</v>
      </c>
      <c r="V2" s="1077" t="s">
        <v>648</v>
      </c>
      <c r="W2" s="1077">
        <v>155</v>
      </c>
      <c r="X2" s="1077">
        <v>90</v>
      </c>
      <c r="Y2" s="1077">
        <v>1.6</v>
      </c>
      <c r="Z2" s="1077">
        <v>4.5</v>
      </c>
      <c r="AA2" s="1077" t="s">
        <v>973</v>
      </c>
      <c r="AH2" s="1077" t="s">
        <v>785</v>
      </c>
      <c r="AM2" s="1078" t="s">
        <v>9058</v>
      </c>
      <c r="AN2" s="1078" t="s">
        <v>9059</v>
      </c>
      <c r="AO2" s="1078">
        <f>C2</f>
        <v>700</v>
      </c>
      <c r="AP2" s="1078">
        <f t="shared" ref="AP2:AR10" si="0">D2</f>
        <v>1.67</v>
      </c>
      <c r="AQ2" s="1078" t="str">
        <f t="shared" si="0"/>
        <v>1-4-1S85°</v>
      </c>
      <c r="AR2" s="1078" t="str">
        <f t="shared" si="0"/>
        <v>NA</v>
      </c>
      <c r="AS2" s="1078" t="str">
        <f>H2</f>
        <v>185/OFF</v>
      </c>
      <c r="AT2" s="1078" t="str">
        <f>E2</f>
        <v>1-4-1S85°</v>
      </c>
      <c r="AV2" s="1078" t="str">
        <f t="shared" ref="AV2:AV65" si="1">AA2</f>
        <v>108.1.10</v>
      </c>
      <c r="AW2" s="1344">
        <f>DATE(VALUE(LEFT(AV2,FIND(".",AV2)-1))+1911,
       VALUE(MID(AV2,FIND(".",AV2)+1,FIND(".",AV2,FIND(".",AV2)+1)-FIND(".",AV2)-1)),
       VALUE(RIGHT(AV2,LEN(AV2)-FIND("~",SUBSTITUTE(AV2,".","~",2)))))</f>
        <v>43475</v>
      </c>
      <c r="AX2" s="1075" t="s">
        <v>16705</v>
      </c>
    </row>
    <row r="3" spans="1:50">
      <c r="A3" s="1077" t="s">
        <v>974</v>
      </c>
      <c r="B3" s="1077" t="s">
        <v>872</v>
      </c>
      <c r="C3" s="1077">
        <v>550</v>
      </c>
      <c r="D3" s="1077">
        <v>1.71</v>
      </c>
      <c r="E3" s="1077" t="s">
        <v>15089</v>
      </c>
      <c r="F3" s="1077" t="s">
        <v>975</v>
      </c>
      <c r="G3" s="1077" t="s">
        <v>940</v>
      </c>
      <c r="H3" s="1077" t="s">
        <v>976</v>
      </c>
      <c r="I3" s="1077" t="s">
        <v>126</v>
      </c>
      <c r="J3" s="1077">
        <v>0.3</v>
      </c>
      <c r="K3" s="1077" t="s">
        <v>977</v>
      </c>
      <c r="L3" s="1077" t="s">
        <v>978</v>
      </c>
      <c r="M3" s="1077">
        <v>49.7</v>
      </c>
      <c r="N3" s="1077" t="s">
        <v>945</v>
      </c>
      <c r="O3" s="1077">
        <v>1.2425000000000002</v>
      </c>
      <c r="P3" s="1077">
        <v>0.99400000000000011</v>
      </c>
      <c r="Q3" s="1077" t="s">
        <v>979</v>
      </c>
      <c r="R3" s="1077">
        <v>25</v>
      </c>
      <c r="T3" s="1077">
        <v>19.5</v>
      </c>
      <c r="U3" s="1077">
        <v>1.9</v>
      </c>
      <c r="V3" s="1077" t="s">
        <v>648</v>
      </c>
      <c r="W3" s="1077">
        <v>50</v>
      </c>
      <c r="X3" s="1077" t="s">
        <v>980</v>
      </c>
      <c r="Y3" s="1077">
        <v>2</v>
      </c>
      <c r="Z3" s="1077">
        <v>2.5</v>
      </c>
      <c r="AA3" s="1077" t="s">
        <v>947</v>
      </c>
      <c r="AH3" s="1077" t="s">
        <v>758</v>
      </c>
      <c r="AI3" s="1077" t="s">
        <v>981</v>
      </c>
      <c r="AM3" s="1078" t="s">
        <v>9060</v>
      </c>
      <c r="AN3" s="1078" t="s">
        <v>9061</v>
      </c>
      <c r="AO3" s="1078">
        <f t="shared" ref="AO3:AO10" si="2">C3</f>
        <v>550</v>
      </c>
      <c r="AP3" s="1078">
        <f t="shared" si="0"/>
        <v>1.71</v>
      </c>
      <c r="AQ3" s="1078" t="str">
        <f t="shared" si="0"/>
        <v>1-4-1S83°</v>
      </c>
      <c r="AR3" s="1078" t="str">
        <f t="shared" si="0"/>
        <v>31.5</v>
      </c>
      <c r="AS3" s="1078" t="str">
        <f t="shared" ref="AS3:AS10" si="3">H3</f>
        <v>230/230/140</v>
      </c>
      <c r="AT3" s="1078" t="str">
        <f t="shared" ref="AT3:AT10" si="4">E3</f>
        <v>1-4-1S83°</v>
      </c>
      <c r="AV3" s="1078" t="str">
        <f t="shared" si="1"/>
        <v>108.12.27</v>
      </c>
      <c r="AW3" s="1344">
        <f t="shared" ref="AW3:AW66" si="5">DATE(VALUE(LEFT(AV3,FIND(".",AV3)-1))+1911,
       VALUE(MID(AV3,FIND(".",AV3)+1,FIND(".",AV3,FIND(".",AV3)+1)-FIND(".",AV3)-1)),
       VALUE(RIGHT(AV3,LEN(AV3)-FIND("~",SUBSTITUTE(AV3,".","~",2)))))</f>
        <v>43826</v>
      </c>
    </row>
    <row r="4" spans="1:50">
      <c r="A4" s="1077" t="s">
        <v>982</v>
      </c>
      <c r="B4" s="1077" t="s">
        <v>983</v>
      </c>
      <c r="C4" s="1077">
        <v>650</v>
      </c>
      <c r="D4" s="1077">
        <v>1.75</v>
      </c>
      <c r="E4" s="1077" t="s">
        <v>15089</v>
      </c>
      <c r="F4" s="1077" t="s">
        <v>984</v>
      </c>
      <c r="G4" s="1077" t="s">
        <v>940</v>
      </c>
      <c r="H4" s="1077" t="s">
        <v>985</v>
      </c>
      <c r="I4" s="1077" t="s">
        <v>126</v>
      </c>
      <c r="J4" s="1077">
        <v>1</v>
      </c>
      <c r="K4" s="1077" t="s">
        <v>986</v>
      </c>
      <c r="L4" s="1077" t="s">
        <v>987</v>
      </c>
      <c r="M4" s="1077">
        <v>51</v>
      </c>
      <c r="N4" s="1077" t="s">
        <v>945</v>
      </c>
      <c r="O4" s="1077">
        <v>1.2750000000000001</v>
      </c>
      <c r="P4" s="1077">
        <v>1.02</v>
      </c>
      <c r="Q4" s="1077" t="s">
        <v>988</v>
      </c>
      <c r="R4" s="1077">
        <v>24</v>
      </c>
      <c r="T4" s="1077">
        <v>7.4</v>
      </c>
      <c r="U4" s="1077">
        <v>2</v>
      </c>
      <c r="V4" s="1077" t="s">
        <v>648</v>
      </c>
      <c r="W4" s="1077">
        <v>125</v>
      </c>
      <c r="X4" s="1077">
        <v>92</v>
      </c>
      <c r="Y4" s="1077">
        <v>2</v>
      </c>
      <c r="Z4" s="1077">
        <v>2</v>
      </c>
      <c r="AA4" s="1077" t="s">
        <v>989</v>
      </c>
      <c r="AH4" s="1077" t="s">
        <v>990</v>
      </c>
      <c r="AM4" s="1078" t="s">
        <v>9062</v>
      </c>
      <c r="AN4" s="1078" t="s">
        <v>9063</v>
      </c>
      <c r="AO4" s="1078">
        <f t="shared" si="2"/>
        <v>650</v>
      </c>
      <c r="AP4" s="1078">
        <f t="shared" si="0"/>
        <v>1.75</v>
      </c>
      <c r="AQ4" s="1078" t="str">
        <f t="shared" si="0"/>
        <v>1-4-1S83°</v>
      </c>
      <c r="AR4" s="1078" t="str">
        <f t="shared" si="0"/>
        <v>30</v>
      </c>
      <c r="AS4" s="1078" t="str">
        <f t="shared" si="3"/>
        <v>230/230/155</v>
      </c>
      <c r="AT4" s="1078" t="str">
        <f t="shared" si="4"/>
        <v>1-4-1S83°</v>
      </c>
      <c r="AV4" s="1078" t="str">
        <f t="shared" si="1"/>
        <v>108.1.4</v>
      </c>
      <c r="AW4" s="1344">
        <f t="shared" si="5"/>
        <v>43469</v>
      </c>
    </row>
    <row r="5" spans="1:50">
      <c r="A5" s="1077" t="s">
        <v>991</v>
      </c>
      <c r="B5" s="1077" t="s">
        <v>939</v>
      </c>
      <c r="C5" s="1077">
        <v>650</v>
      </c>
      <c r="D5" s="1077">
        <v>1.625</v>
      </c>
      <c r="E5" s="1077" t="s">
        <v>15089</v>
      </c>
      <c r="F5" s="1077" t="s">
        <v>954</v>
      </c>
      <c r="G5" s="1077" t="s">
        <v>940</v>
      </c>
      <c r="H5" s="1077" t="s">
        <v>992</v>
      </c>
      <c r="I5" s="1077" t="s">
        <v>126</v>
      </c>
      <c r="J5" s="1077">
        <v>0.7</v>
      </c>
      <c r="K5" s="1077" t="s">
        <v>950</v>
      </c>
      <c r="L5" s="1077" t="s">
        <v>944</v>
      </c>
      <c r="M5" s="1077">
        <v>51.5</v>
      </c>
      <c r="N5" s="1077" t="s">
        <v>945</v>
      </c>
      <c r="O5" s="1077">
        <v>1.2875000000000001</v>
      </c>
      <c r="P5" s="1077">
        <v>1.03</v>
      </c>
      <c r="Q5" s="1077" t="s">
        <v>946</v>
      </c>
      <c r="R5" s="1077">
        <v>22.5</v>
      </c>
      <c r="T5" s="1077">
        <v>24.5</v>
      </c>
      <c r="U5" s="1077">
        <v>3.3</v>
      </c>
      <c r="V5" s="1077" t="s">
        <v>648</v>
      </c>
      <c r="W5" s="1077">
        <v>120</v>
      </c>
      <c r="X5" s="1077">
        <v>80</v>
      </c>
      <c r="Y5" s="1077">
        <v>2</v>
      </c>
      <c r="Z5" s="1077">
        <v>4</v>
      </c>
      <c r="AA5" s="1077" t="s">
        <v>993</v>
      </c>
      <c r="AH5" s="1077" t="s">
        <v>994</v>
      </c>
      <c r="AM5" s="1078" t="s">
        <v>9064</v>
      </c>
      <c r="AN5" s="1078" t="s">
        <v>9065</v>
      </c>
      <c r="AO5" s="1078">
        <f t="shared" si="2"/>
        <v>650</v>
      </c>
      <c r="AP5" s="1078">
        <f t="shared" si="0"/>
        <v>1.625</v>
      </c>
      <c r="AQ5" s="1078" t="str">
        <f t="shared" si="0"/>
        <v>1-4-1S83°</v>
      </c>
      <c r="AR5" s="1078" t="str">
        <f t="shared" si="0"/>
        <v>31</v>
      </c>
      <c r="AS5" s="1078" t="str">
        <f t="shared" si="3"/>
        <v>262/262/OFF</v>
      </c>
      <c r="AT5" s="1078" t="str">
        <f t="shared" si="4"/>
        <v>1-4-1S83°</v>
      </c>
      <c r="AV5" s="1078" t="str">
        <f t="shared" si="1"/>
        <v>108.1.26</v>
      </c>
      <c r="AW5" s="1344">
        <f t="shared" si="5"/>
        <v>43491</v>
      </c>
    </row>
    <row r="6" spans="1:50">
      <c r="A6" s="1077" t="s">
        <v>995</v>
      </c>
      <c r="B6" s="1077" t="s">
        <v>939</v>
      </c>
      <c r="C6" s="1077">
        <v>650</v>
      </c>
      <c r="D6" s="1077">
        <v>1.625</v>
      </c>
      <c r="E6" s="1077" t="s">
        <v>15089</v>
      </c>
      <c r="F6" s="1077" t="s">
        <v>954</v>
      </c>
      <c r="G6" s="1077" t="s">
        <v>940</v>
      </c>
      <c r="H6" s="1077" t="s">
        <v>996</v>
      </c>
      <c r="I6" s="1077" t="s">
        <v>126</v>
      </c>
      <c r="J6" s="1077">
        <v>0.7</v>
      </c>
      <c r="K6" s="1077" t="s">
        <v>950</v>
      </c>
      <c r="L6" s="1077" t="s">
        <v>944</v>
      </c>
      <c r="M6" s="1077">
        <v>51.5</v>
      </c>
      <c r="N6" s="1077" t="s">
        <v>945</v>
      </c>
      <c r="O6" s="1077">
        <v>1.2875000000000001</v>
      </c>
      <c r="P6" s="1077">
        <v>1.03</v>
      </c>
      <c r="Q6" s="1077" t="s">
        <v>946</v>
      </c>
      <c r="R6" s="1077">
        <v>22.5</v>
      </c>
      <c r="T6" s="1077">
        <v>24.5</v>
      </c>
      <c r="U6" s="1077">
        <v>3.3</v>
      </c>
      <c r="V6" s="1077" t="s">
        <v>648</v>
      </c>
      <c r="W6" s="1077">
        <v>120</v>
      </c>
      <c r="X6" s="1077">
        <v>80</v>
      </c>
      <c r="Y6" s="1077">
        <v>2</v>
      </c>
      <c r="Z6" s="1077">
        <v>4</v>
      </c>
      <c r="AA6" s="1077" t="s">
        <v>997</v>
      </c>
      <c r="AH6" s="1077" t="s">
        <v>998</v>
      </c>
      <c r="AM6" s="1078" t="s">
        <v>9066</v>
      </c>
      <c r="AN6" s="1078" t="s">
        <v>9067</v>
      </c>
      <c r="AO6" s="1078">
        <f t="shared" si="2"/>
        <v>650</v>
      </c>
      <c r="AP6" s="1078">
        <f t="shared" si="0"/>
        <v>1.625</v>
      </c>
      <c r="AQ6" s="1078" t="str">
        <f t="shared" si="0"/>
        <v>1-4-1S83°</v>
      </c>
      <c r="AR6" s="1078" t="str">
        <f t="shared" si="0"/>
        <v>31</v>
      </c>
      <c r="AS6" s="1078" t="str">
        <f t="shared" si="3"/>
        <v>256/256/OFF</v>
      </c>
      <c r="AT6" s="1078" t="str">
        <f t="shared" si="4"/>
        <v>1-4-1S83°</v>
      </c>
      <c r="AV6" s="1078" t="str">
        <f t="shared" si="1"/>
        <v>108.1.27</v>
      </c>
      <c r="AW6" s="1344">
        <f t="shared" si="5"/>
        <v>43492</v>
      </c>
    </row>
    <row r="7" spans="1:50">
      <c r="A7" s="1077" t="s">
        <v>999</v>
      </c>
      <c r="B7" s="1077" t="s">
        <v>1000</v>
      </c>
      <c r="C7" s="1077">
        <v>600</v>
      </c>
      <c r="D7" s="1077">
        <v>1.7250000000000001</v>
      </c>
      <c r="E7" s="1077" t="s">
        <v>15089</v>
      </c>
      <c r="F7" s="1077" t="s">
        <v>984</v>
      </c>
      <c r="G7" s="1077" t="s">
        <v>1001</v>
      </c>
      <c r="H7" s="1077" t="s">
        <v>1002</v>
      </c>
      <c r="I7" s="1077" t="s">
        <v>942</v>
      </c>
      <c r="J7" s="1077">
        <v>1.5</v>
      </c>
      <c r="K7" s="1077" t="s">
        <v>1003</v>
      </c>
      <c r="L7" s="1077" t="s">
        <v>1004</v>
      </c>
      <c r="M7" s="1077">
        <v>50</v>
      </c>
      <c r="N7" s="1077" t="s">
        <v>945</v>
      </c>
      <c r="O7" s="1077">
        <v>1.25</v>
      </c>
      <c r="P7" s="1077">
        <v>1</v>
      </c>
      <c r="Q7" s="1077" t="s">
        <v>1005</v>
      </c>
      <c r="R7" s="1077">
        <v>22.5</v>
      </c>
      <c r="T7" s="1077">
        <v>13</v>
      </c>
      <c r="U7" s="1077">
        <v>3.9</v>
      </c>
      <c r="V7" s="1077" t="s">
        <v>648</v>
      </c>
      <c r="W7" s="1077">
        <v>150</v>
      </c>
      <c r="X7" s="1077">
        <v>75</v>
      </c>
      <c r="Y7" s="1077">
        <v>1.8</v>
      </c>
      <c r="Z7" s="1077">
        <v>2</v>
      </c>
      <c r="AA7" s="1077" t="s">
        <v>1006</v>
      </c>
      <c r="AH7" s="1077" t="s">
        <v>622</v>
      </c>
      <c r="AM7" s="1078" t="s">
        <v>9068</v>
      </c>
      <c r="AN7" s="1078" t="s">
        <v>9069</v>
      </c>
      <c r="AO7" s="1078">
        <f t="shared" si="2"/>
        <v>600</v>
      </c>
      <c r="AP7" s="1078">
        <f t="shared" si="0"/>
        <v>1.7250000000000001</v>
      </c>
      <c r="AQ7" s="1078" t="str">
        <f t="shared" si="0"/>
        <v>1-4-1S83°</v>
      </c>
      <c r="AR7" s="1078" t="str">
        <f t="shared" si="0"/>
        <v>30</v>
      </c>
      <c r="AS7" s="1078" t="str">
        <f t="shared" si="3"/>
        <v>212/212/133</v>
      </c>
      <c r="AT7" s="1078" t="str">
        <f t="shared" si="4"/>
        <v>1-4-1S83°</v>
      </c>
      <c r="AV7" s="1078" t="str">
        <f t="shared" si="1"/>
        <v>108.1.31</v>
      </c>
      <c r="AW7" s="1344">
        <f t="shared" si="5"/>
        <v>43496</v>
      </c>
    </row>
    <row r="8" spans="1:50">
      <c r="A8" s="1077" t="s">
        <v>1007</v>
      </c>
      <c r="B8" s="1077" t="s">
        <v>1008</v>
      </c>
      <c r="C8" s="1077">
        <v>600</v>
      </c>
      <c r="D8" s="1077">
        <v>1.66</v>
      </c>
      <c r="E8" s="1077" t="s">
        <v>15089</v>
      </c>
      <c r="F8" s="1077" t="s">
        <v>984</v>
      </c>
      <c r="G8" s="1077">
        <v>3</v>
      </c>
      <c r="H8" s="1077" t="s">
        <v>1009</v>
      </c>
      <c r="I8" s="1077" t="s">
        <v>126</v>
      </c>
      <c r="J8" s="1077">
        <v>1.4</v>
      </c>
      <c r="K8" s="1077" t="s">
        <v>1010</v>
      </c>
      <c r="L8" s="1077" t="s">
        <v>1011</v>
      </c>
      <c r="M8" s="1077">
        <v>51.8</v>
      </c>
      <c r="N8" s="1077" t="s">
        <v>945</v>
      </c>
      <c r="O8" s="1077">
        <v>1.2949999999999999</v>
      </c>
      <c r="P8" s="1077">
        <v>1.036</v>
      </c>
      <c r="Q8" s="1077" t="s">
        <v>1012</v>
      </c>
      <c r="R8" s="1077">
        <v>25</v>
      </c>
      <c r="T8" s="1077">
        <v>41.8</v>
      </c>
      <c r="U8" s="1077">
        <v>6</v>
      </c>
      <c r="V8" s="1077" t="s">
        <v>648</v>
      </c>
      <c r="W8" s="1077">
        <v>95</v>
      </c>
      <c r="X8" s="1077">
        <v>40</v>
      </c>
      <c r="Y8" s="1077">
        <v>2.2000000000000002</v>
      </c>
      <c r="Z8" s="1077">
        <v>4</v>
      </c>
      <c r="AA8" s="1077" t="s">
        <v>1013</v>
      </c>
      <c r="AH8" s="1077" t="s">
        <v>483</v>
      </c>
      <c r="AM8" s="1078" t="s">
        <v>9070</v>
      </c>
      <c r="AN8" s="1078" t="s">
        <v>9071</v>
      </c>
      <c r="AO8" s="1078">
        <f t="shared" si="2"/>
        <v>600</v>
      </c>
      <c r="AP8" s="1078">
        <f t="shared" si="0"/>
        <v>1.66</v>
      </c>
      <c r="AQ8" s="1078" t="str">
        <f t="shared" si="0"/>
        <v>1-4-1S83°</v>
      </c>
      <c r="AR8" s="1078" t="str">
        <f t="shared" si="0"/>
        <v>30</v>
      </c>
      <c r="AS8" s="1078" t="str">
        <f t="shared" si="3"/>
        <v>195/195/OFF</v>
      </c>
      <c r="AT8" s="1078" t="str">
        <f t="shared" si="4"/>
        <v>1-4-1S83°</v>
      </c>
      <c r="AV8" s="1078" t="str">
        <f t="shared" si="1"/>
        <v>108.1.30</v>
      </c>
      <c r="AW8" s="1344">
        <f t="shared" si="5"/>
        <v>43495</v>
      </c>
    </row>
    <row r="9" spans="1:50">
      <c r="A9" s="1077" t="s">
        <v>1014</v>
      </c>
      <c r="B9" s="1077" t="s">
        <v>1015</v>
      </c>
      <c r="C9" s="1077">
        <v>500</v>
      </c>
      <c r="D9" s="1077">
        <v>1.7</v>
      </c>
      <c r="E9" s="1077" t="s">
        <v>15089</v>
      </c>
      <c r="F9" s="1077" t="s">
        <v>954</v>
      </c>
      <c r="G9" s="1077" t="s">
        <v>1016</v>
      </c>
      <c r="H9" s="1077" t="s">
        <v>1017</v>
      </c>
      <c r="I9" s="1077" t="s">
        <v>126</v>
      </c>
      <c r="J9" s="1077">
        <v>0.9</v>
      </c>
      <c r="K9" s="1077" t="s">
        <v>1018</v>
      </c>
      <c r="L9" s="1077" t="s">
        <v>1019</v>
      </c>
      <c r="M9" s="1077">
        <v>49</v>
      </c>
      <c r="N9" s="1077" t="s">
        <v>945</v>
      </c>
      <c r="O9" s="1077">
        <v>1.2250000000000001</v>
      </c>
      <c r="P9" s="1077">
        <v>0.98</v>
      </c>
      <c r="Q9" s="1077" t="s">
        <v>1020</v>
      </c>
      <c r="R9" s="1077">
        <v>27</v>
      </c>
      <c r="T9" s="1077">
        <v>29</v>
      </c>
      <c r="U9" s="1077">
        <v>3.3</v>
      </c>
      <c r="V9" s="1077" t="s">
        <v>648</v>
      </c>
      <c r="W9" s="1077">
        <v>130</v>
      </c>
      <c r="X9" s="1077">
        <v>75</v>
      </c>
      <c r="Y9" s="1077">
        <v>2.4</v>
      </c>
      <c r="Z9" s="1077" t="s">
        <v>1021</v>
      </c>
      <c r="AA9" s="1077" t="s">
        <v>1022</v>
      </c>
      <c r="AH9" s="1077" t="s">
        <v>1023</v>
      </c>
      <c r="AM9" s="1078" t="s">
        <v>9072</v>
      </c>
      <c r="AN9" s="1078" t="s">
        <v>9073</v>
      </c>
      <c r="AO9" s="1078">
        <f t="shared" si="2"/>
        <v>500</v>
      </c>
      <c r="AP9" s="1078">
        <f t="shared" si="0"/>
        <v>1.7</v>
      </c>
      <c r="AQ9" s="1078" t="str">
        <f t="shared" si="0"/>
        <v>1-4-1S83°</v>
      </c>
      <c r="AR9" s="1078" t="str">
        <f t="shared" si="0"/>
        <v>31</v>
      </c>
      <c r="AS9" s="1078" t="str">
        <f t="shared" si="3"/>
        <v>200/200/OFF</v>
      </c>
      <c r="AT9" s="1078" t="str">
        <f t="shared" si="4"/>
        <v>1-4-1S83°</v>
      </c>
      <c r="AV9" s="1078" t="str">
        <f t="shared" si="1"/>
        <v>108.3.11</v>
      </c>
      <c r="AW9" s="1344">
        <f t="shared" si="5"/>
        <v>43535</v>
      </c>
    </row>
    <row r="10" spans="1:50">
      <c r="A10" s="1077" t="s">
        <v>1024</v>
      </c>
      <c r="B10" s="1077" t="s">
        <v>939</v>
      </c>
      <c r="C10" s="1077">
        <v>650</v>
      </c>
      <c r="D10" s="1077">
        <v>1.625</v>
      </c>
      <c r="E10" s="1077" t="s">
        <v>15089</v>
      </c>
      <c r="F10" s="1077" t="s">
        <v>954</v>
      </c>
      <c r="G10" s="1077" t="s">
        <v>940</v>
      </c>
      <c r="H10" s="1077" t="s">
        <v>1025</v>
      </c>
      <c r="I10" s="1077" t="s">
        <v>126</v>
      </c>
      <c r="J10" s="1077">
        <v>0.6</v>
      </c>
      <c r="K10" s="1077" t="s">
        <v>1026</v>
      </c>
      <c r="L10" s="1077" t="s">
        <v>944</v>
      </c>
      <c r="M10" s="1077">
        <v>51.5</v>
      </c>
      <c r="N10" s="1077" t="s">
        <v>945</v>
      </c>
      <c r="O10" s="1077">
        <v>1.2875000000000001</v>
      </c>
      <c r="P10" s="1077">
        <v>1.03</v>
      </c>
      <c r="Q10" s="1077" t="s">
        <v>946</v>
      </c>
      <c r="R10" s="1077">
        <v>22.5</v>
      </c>
      <c r="T10" s="1077">
        <v>24.5</v>
      </c>
      <c r="U10" s="1077">
        <v>3.3</v>
      </c>
      <c r="V10" s="1077" t="s">
        <v>648</v>
      </c>
      <c r="W10" s="1077">
        <v>120</v>
      </c>
      <c r="X10" s="1077">
        <v>80</v>
      </c>
      <c r="Y10" s="1077">
        <v>2</v>
      </c>
      <c r="Z10" s="1077">
        <v>4</v>
      </c>
      <c r="AA10" s="1077" t="s">
        <v>1027</v>
      </c>
      <c r="AH10" s="1077" t="s">
        <v>762</v>
      </c>
      <c r="AM10" s="1078" t="s">
        <v>9074</v>
      </c>
      <c r="AN10" s="1078" t="s">
        <v>9075</v>
      </c>
      <c r="AO10" s="1078">
        <f t="shared" si="2"/>
        <v>650</v>
      </c>
      <c r="AP10" s="1078">
        <f t="shared" si="0"/>
        <v>1.625</v>
      </c>
      <c r="AQ10" s="1078" t="str">
        <f t="shared" si="0"/>
        <v>1-4-1S83°</v>
      </c>
      <c r="AR10" s="1078" t="str">
        <f t="shared" si="0"/>
        <v>31</v>
      </c>
      <c r="AS10" s="1078" t="str">
        <f t="shared" si="3"/>
        <v>261/261/OFF</v>
      </c>
      <c r="AT10" s="1078" t="str">
        <f t="shared" si="4"/>
        <v>1-4-1S83°</v>
      </c>
      <c r="AV10" s="1078" t="str">
        <f t="shared" si="1"/>
        <v>108.3.15</v>
      </c>
      <c r="AW10" s="1344">
        <f t="shared" si="5"/>
        <v>43539</v>
      </c>
    </row>
    <row r="11" spans="1:50">
      <c r="A11" s="1077" t="s">
        <v>1028</v>
      </c>
      <c r="B11" s="1077" t="s">
        <v>872</v>
      </c>
      <c r="C11" s="1077">
        <v>650</v>
      </c>
      <c r="D11" s="1077">
        <v>1.68</v>
      </c>
      <c r="E11" s="1077" t="s">
        <v>15089</v>
      </c>
      <c r="F11" s="1077" t="s">
        <v>975</v>
      </c>
      <c r="G11" s="1077" t="s">
        <v>940</v>
      </c>
      <c r="H11" s="1077" t="s">
        <v>1029</v>
      </c>
      <c r="I11" s="1077" t="s">
        <v>626</v>
      </c>
      <c r="J11" s="1077">
        <v>2.2999999999999998</v>
      </c>
      <c r="K11" s="1077" t="s">
        <v>1030</v>
      </c>
      <c r="L11" s="1077" t="s">
        <v>972</v>
      </c>
      <c r="M11" s="1077">
        <v>50.4</v>
      </c>
      <c r="N11" s="1077" t="s">
        <v>945</v>
      </c>
      <c r="O11" s="1077">
        <v>1.26</v>
      </c>
      <c r="P11" s="1077">
        <v>1.008</v>
      </c>
      <c r="Q11" s="1077" t="s">
        <v>961</v>
      </c>
      <c r="R11" s="1077">
        <v>21.2</v>
      </c>
      <c r="T11" s="1077">
        <v>29</v>
      </c>
      <c r="U11" s="1077">
        <v>3.4</v>
      </c>
      <c r="V11" s="1077" t="s">
        <v>648</v>
      </c>
      <c r="W11" s="1077">
        <v>155</v>
      </c>
      <c r="X11" s="1077">
        <v>90</v>
      </c>
      <c r="Y11" s="1077">
        <v>1.6</v>
      </c>
      <c r="Z11" s="1077">
        <v>4.5</v>
      </c>
      <c r="AA11" s="1077" t="s">
        <v>1031</v>
      </c>
      <c r="AH11" s="1077" t="s">
        <v>878</v>
      </c>
      <c r="AM11" s="1078" t="s">
        <v>9076</v>
      </c>
      <c r="AN11" s="1078" t="s">
        <v>9077</v>
      </c>
      <c r="AO11" s="1078">
        <f t="shared" ref="AO11:AO74" si="6">C11</f>
        <v>650</v>
      </c>
      <c r="AP11" s="1078">
        <f t="shared" ref="AP11:AP74" si="7">D11</f>
        <v>1.68</v>
      </c>
      <c r="AQ11" s="1078" t="str">
        <f t="shared" ref="AQ11:AQ74" si="8">E11</f>
        <v>1-4-1S83°</v>
      </c>
      <c r="AR11" s="1078" t="str">
        <f t="shared" ref="AR11:AR74" si="9">F11</f>
        <v>31.5</v>
      </c>
      <c r="AS11" s="1078" t="str">
        <f t="shared" ref="AS11:AS74" si="10">H11</f>
        <v>250/250/OFF</v>
      </c>
      <c r="AT11" s="1078" t="str">
        <f t="shared" ref="AT11:AT74" si="11">E11</f>
        <v>1-4-1S83°</v>
      </c>
      <c r="AV11" s="1078" t="str">
        <f t="shared" si="1"/>
        <v>108.4.25</v>
      </c>
      <c r="AW11" s="1344">
        <f t="shared" si="5"/>
        <v>43580</v>
      </c>
    </row>
    <row r="12" spans="1:50">
      <c r="A12" s="1077" t="s">
        <v>1032</v>
      </c>
      <c r="B12" s="1077" t="s">
        <v>1033</v>
      </c>
      <c r="C12" s="1077">
        <v>550</v>
      </c>
      <c r="D12" s="1077">
        <v>1.635</v>
      </c>
      <c r="E12" s="1077" t="s">
        <v>15089</v>
      </c>
      <c r="F12" s="1077" t="s">
        <v>954</v>
      </c>
      <c r="G12" s="1077" t="s">
        <v>940</v>
      </c>
      <c r="H12" s="1077" t="s">
        <v>1034</v>
      </c>
      <c r="I12" s="1077" t="s">
        <v>126</v>
      </c>
      <c r="J12" s="1077">
        <v>0.5</v>
      </c>
      <c r="K12" s="1077" t="s">
        <v>1035</v>
      </c>
      <c r="L12" s="1077" t="s">
        <v>1036</v>
      </c>
      <c r="M12" s="1077">
        <v>51.5</v>
      </c>
      <c r="N12" s="1077" t="s">
        <v>945</v>
      </c>
      <c r="O12" s="1077">
        <v>1.2875000000000001</v>
      </c>
      <c r="P12" s="1077">
        <v>1.03</v>
      </c>
      <c r="Q12" s="1077" t="s">
        <v>1037</v>
      </c>
      <c r="R12" s="1077">
        <v>23</v>
      </c>
      <c r="T12" s="1077">
        <v>21</v>
      </c>
      <c r="U12" s="1077">
        <v>3.3</v>
      </c>
      <c r="V12" s="1077" t="s">
        <v>648</v>
      </c>
      <c r="W12" s="1077">
        <v>125</v>
      </c>
      <c r="X12" s="1077">
        <v>85</v>
      </c>
      <c r="Y12" s="1077">
        <v>1.8</v>
      </c>
      <c r="Z12" s="1077">
        <v>4</v>
      </c>
      <c r="AA12" s="1077" t="s">
        <v>1038</v>
      </c>
      <c r="AH12" s="1077" t="s">
        <v>813</v>
      </c>
      <c r="AM12" s="1078" t="s">
        <v>9078</v>
      </c>
      <c r="AN12" s="1078" t="s">
        <v>9079</v>
      </c>
      <c r="AO12" s="1078">
        <f t="shared" si="6"/>
        <v>550</v>
      </c>
      <c r="AP12" s="1078">
        <f t="shared" si="7"/>
        <v>1.635</v>
      </c>
      <c r="AQ12" s="1078" t="str">
        <f t="shared" si="8"/>
        <v>1-4-1S83°</v>
      </c>
      <c r="AR12" s="1078" t="str">
        <f t="shared" si="9"/>
        <v>31</v>
      </c>
      <c r="AS12" s="1078" t="str">
        <f t="shared" si="10"/>
        <v>237/237/OFF</v>
      </c>
      <c r="AT12" s="1078" t="str">
        <f t="shared" si="11"/>
        <v>1-4-1S83°</v>
      </c>
      <c r="AV12" s="1078" t="str">
        <f t="shared" si="1"/>
        <v>108.5.3</v>
      </c>
      <c r="AW12" s="1344">
        <f t="shared" si="5"/>
        <v>43588</v>
      </c>
    </row>
    <row r="13" spans="1:50">
      <c r="A13" s="1077" t="s">
        <v>1039</v>
      </c>
      <c r="B13" s="1077" t="s">
        <v>1033</v>
      </c>
      <c r="C13" s="1077">
        <v>550</v>
      </c>
      <c r="D13" s="1077">
        <v>1.635</v>
      </c>
      <c r="E13" s="1077" t="s">
        <v>15089</v>
      </c>
      <c r="F13" s="1077" t="s">
        <v>954</v>
      </c>
      <c r="G13" s="1077" t="s">
        <v>940</v>
      </c>
      <c r="H13" s="1077" t="s">
        <v>1040</v>
      </c>
      <c r="I13" s="1077" t="s">
        <v>126</v>
      </c>
      <c r="J13" s="1077">
        <v>0.5</v>
      </c>
      <c r="K13" s="1077" t="s">
        <v>1035</v>
      </c>
      <c r="L13" s="1077" t="s">
        <v>1036</v>
      </c>
      <c r="M13" s="1077">
        <v>51.5</v>
      </c>
      <c r="N13" s="1077" t="s">
        <v>945</v>
      </c>
      <c r="O13" s="1077">
        <v>1.2875000000000001</v>
      </c>
      <c r="P13" s="1077">
        <v>1.03</v>
      </c>
      <c r="Q13" s="1077" t="s">
        <v>1037</v>
      </c>
      <c r="R13" s="1077">
        <v>23</v>
      </c>
      <c r="T13" s="1077">
        <v>21</v>
      </c>
      <c r="U13" s="1077">
        <v>3.3</v>
      </c>
      <c r="V13" s="1077" t="s">
        <v>648</v>
      </c>
      <c r="W13" s="1077">
        <v>125</v>
      </c>
      <c r="X13" s="1077">
        <v>85</v>
      </c>
      <c r="Y13" s="1077">
        <v>1.8</v>
      </c>
      <c r="Z13" s="1077">
        <v>4</v>
      </c>
      <c r="AA13" s="1077" t="s">
        <v>1041</v>
      </c>
      <c r="AH13" s="1077" t="s">
        <v>482</v>
      </c>
      <c r="AM13" s="1078" t="s">
        <v>9080</v>
      </c>
      <c r="AN13" s="1078" t="s">
        <v>9081</v>
      </c>
      <c r="AO13" s="1078">
        <f t="shared" si="6"/>
        <v>550</v>
      </c>
      <c r="AP13" s="1078">
        <f t="shared" si="7"/>
        <v>1.635</v>
      </c>
      <c r="AQ13" s="1078" t="str">
        <f t="shared" si="8"/>
        <v>1-4-1S83°</v>
      </c>
      <c r="AR13" s="1078" t="str">
        <f t="shared" si="9"/>
        <v>31</v>
      </c>
      <c r="AS13" s="1078" t="str">
        <f t="shared" si="10"/>
        <v>240/240/OFF</v>
      </c>
      <c r="AT13" s="1078" t="str">
        <f t="shared" si="11"/>
        <v>1-4-1S83°</v>
      </c>
      <c r="AV13" s="1078" t="str">
        <f t="shared" si="1"/>
        <v>108.4.30</v>
      </c>
      <c r="AW13" s="1344">
        <f t="shared" si="5"/>
        <v>43585</v>
      </c>
    </row>
    <row r="14" spans="1:50">
      <c r="A14" s="1077" t="s">
        <v>1042</v>
      </c>
      <c r="B14" s="1077" t="s">
        <v>1000</v>
      </c>
      <c r="C14" s="1077">
        <v>600</v>
      </c>
      <c r="D14" s="1077">
        <v>1.7250000000000001</v>
      </c>
      <c r="E14" s="1077" t="s">
        <v>15089</v>
      </c>
      <c r="F14" s="1077" t="s">
        <v>984</v>
      </c>
      <c r="G14" s="1077" t="s">
        <v>1001</v>
      </c>
      <c r="H14" s="1077" t="s">
        <v>1043</v>
      </c>
      <c r="I14" s="1077" t="s">
        <v>942</v>
      </c>
      <c r="J14" s="1077">
        <v>1.1000000000000001</v>
      </c>
      <c r="K14" s="1077" t="s">
        <v>1044</v>
      </c>
      <c r="L14" s="1077" t="s">
        <v>1004</v>
      </c>
      <c r="M14" s="1077">
        <v>50</v>
      </c>
      <c r="N14" s="1077" t="s">
        <v>945</v>
      </c>
      <c r="O14" s="1077">
        <v>1.25</v>
      </c>
      <c r="P14" s="1077">
        <v>1</v>
      </c>
      <c r="Q14" s="1077" t="s">
        <v>1005</v>
      </c>
      <c r="R14" s="1077">
        <v>28.3</v>
      </c>
      <c r="T14" s="1077">
        <v>13</v>
      </c>
      <c r="U14" s="1077">
        <v>3.9</v>
      </c>
      <c r="V14" s="1077" t="s">
        <v>648</v>
      </c>
      <c r="W14" s="1077">
        <v>150</v>
      </c>
      <c r="X14" s="1077">
        <v>75</v>
      </c>
      <c r="Y14" s="1077">
        <v>1.8</v>
      </c>
      <c r="Z14" s="1077">
        <v>2</v>
      </c>
      <c r="AA14" s="1077" t="s">
        <v>1045</v>
      </c>
      <c r="AH14" s="1077" t="s">
        <v>1046</v>
      </c>
      <c r="AM14" s="1078" t="s">
        <v>9082</v>
      </c>
      <c r="AN14" s="1078" t="s">
        <v>9083</v>
      </c>
      <c r="AO14" s="1078">
        <f t="shared" si="6"/>
        <v>600</v>
      </c>
      <c r="AP14" s="1078">
        <f t="shared" si="7"/>
        <v>1.7250000000000001</v>
      </c>
      <c r="AQ14" s="1078" t="str">
        <f t="shared" si="8"/>
        <v>1-4-1S83°</v>
      </c>
      <c r="AR14" s="1078" t="str">
        <f t="shared" si="9"/>
        <v>30</v>
      </c>
      <c r="AS14" s="1078" t="str">
        <f t="shared" si="10"/>
        <v>212/212/132</v>
      </c>
      <c r="AT14" s="1078" t="str">
        <f t="shared" si="11"/>
        <v>1-4-1S83°</v>
      </c>
      <c r="AV14" s="1078" t="str">
        <f t="shared" si="1"/>
        <v>108.5.6</v>
      </c>
      <c r="AW14" s="1344">
        <f t="shared" si="5"/>
        <v>43591</v>
      </c>
    </row>
    <row r="15" spans="1:50">
      <c r="A15" s="1077" t="s">
        <v>1047</v>
      </c>
      <c r="B15" s="1077" t="s">
        <v>939</v>
      </c>
      <c r="C15" s="1077">
        <v>650</v>
      </c>
      <c r="D15" s="1077">
        <v>1.64</v>
      </c>
      <c r="E15" s="1077" t="s">
        <v>15088</v>
      </c>
      <c r="F15" s="1077" t="s">
        <v>648</v>
      </c>
      <c r="G15" s="1077" t="s">
        <v>940</v>
      </c>
      <c r="H15" s="1077" t="s">
        <v>1048</v>
      </c>
      <c r="I15" s="1077" t="s">
        <v>126</v>
      </c>
      <c r="J15" s="1077">
        <v>0.7</v>
      </c>
      <c r="K15" s="1077" t="s">
        <v>1049</v>
      </c>
      <c r="L15" s="1077" t="s">
        <v>944</v>
      </c>
      <c r="M15" s="1077">
        <v>51.5</v>
      </c>
      <c r="N15" s="1077" t="s">
        <v>945</v>
      </c>
      <c r="O15" s="1077">
        <v>1.2875000000000001</v>
      </c>
      <c r="P15" s="1077">
        <v>1.03</v>
      </c>
      <c r="Q15" s="1077" t="s">
        <v>956</v>
      </c>
      <c r="R15" s="1077">
        <v>22.5</v>
      </c>
      <c r="T15" s="1077">
        <v>24.5</v>
      </c>
      <c r="U15" s="1077">
        <v>3.3</v>
      </c>
      <c r="V15" s="1077" t="s">
        <v>648</v>
      </c>
      <c r="W15" s="1077">
        <v>120</v>
      </c>
      <c r="X15" s="1077">
        <v>80</v>
      </c>
      <c r="Y15" s="1077">
        <v>2</v>
      </c>
      <c r="Z15" s="1077">
        <v>4</v>
      </c>
      <c r="AA15" s="1077" t="s">
        <v>1050</v>
      </c>
      <c r="AH15" s="1077" t="s">
        <v>614</v>
      </c>
      <c r="AM15" s="1078" t="s">
        <v>9084</v>
      </c>
      <c r="AN15" s="1078" t="s">
        <v>9085</v>
      </c>
      <c r="AO15" s="1078">
        <f t="shared" si="6"/>
        <v>650</v>
      </c>
      <c r="AP15" s="1078">
        <f t="shared" si="7"/>
        <v>1.64</v>
      </c>
      <c r="AQ15" s="1078" t="str">
        <f t="shared" si="8"/>
        <v>1-4-1S85°</v>
      </c>
      <c r="AR15" s="1078" t="str">
        <f t="shared" si="9"/>
        <v>NA</v>
      </c>
      <c r="AS15" s="1078" t="str">
        <f t="shared" si="10"/>
        <v>188/OFF</v>
      </c>
      <c r="AT15" s="1078" t="str">
        <f t="shared" si="11"/>
        <v>1-4-1S85°</v>
      </c>
      <c r="AV15" s="1078" t="str">
        <f t="shared" si="1"/>
        <v>108.5.13</v>
      </c>
      <c r="AW15" s="1344">
        <f t="shared" si="5"/>
        <v>43598</v>
      </c>
    </row>
    <row r="16" spans="1:50">
      <c r="A16" s="1077" t="s">
        <v>1051</v>
      </c>
      <c r="B16" s="1077" t="s">
        <v>939</v>
      </c>
      <c r="C16" s="1077">
        <v>650</v>
      </c>
      <c r="D16" s="1077">
        <v>1.64</v>
      </c>
      <c r="E16" s="1077" t="s">
        <v>15090</v>
      </c>
      <c r="F16" s="1077" t="s">
        <v>648</v>
      </c>
      <c r="G16" s="1077" t="s">
        <v>940</v>
      </c>
      <c r="H16" s="1077" t="s">
        <v>1048</v>
      </c>
      <c r="I16" s="1077" t="s">
        <v>126</v>
      </c>
      <c r="J16" s="1077">
        <v>0.7</v>
      </c>
      <c r="K16" s="1077" t="s">
        <v>1049</v>
      </c>
      <c r="L16" s="1077" t="s">
        <v>944</v>
      </c>
      <c r="M16" s="1077">
        <v>51.5</v>
      </c>
      <c r="N16" s="1077" t="s">
        <v>945</v>
      </c>
      <c r="O16" s="1077">
        <v>1.2875000000000001</v>
      </c>
      <c r="P16" s="1077">
        <v>1.03</v>
      </c>
      <c r="Q16" s="1077" t="s">
        <v>956</v>
      </c>
      <c r="R16" s="1077">
        <v>22.5</v>
      </c>
      <c r="T16" s="1077">
        <v>24.5</v>
      </c>
      <c r="U16" s="1077">
        <v>3.3</v>
      </c>
      <c r="V16" s="1077" t="s">
        <v>648</v>
      </c>
      <c r="W16" s="1077">
        <v>120</v>
      </c>
      <c r="X16" s="1077">
        <v>80</v>
      </c>
      <c r="Y16" s="1077">
        <v>2</v>
      </c>
      <c r="Z16" s="1077">
        <v>4</v>
      </c>
      <c r="AA16" s="1077" t="s">
        <v>1052</v>
      </c>
      <c r="AH16" s="1077" t="s">
        <v>1053</v>
      </c>
      <c r="AM16" s="1078" t="s">
        <v>9086</v>
      </c>
      <c r="AN16" s="1078" t="s">
        <v>9087</v>
      </c>
      <c r="AO16" s="1078">
        <f t="shared" si="6"/>
        <v>650</v>
      </c>
      <c r="AP16" s="1078">
        <f t="shared" si="7"/>
        <v>1.64</v>
      </c>
      <c r="AQ16" s="1078" t="str">
        <f t="shared" si="8"/>
        <v>1-5-1S85°</v>
      </c>
      <c r="AR16" s="1078" t="str">
        <f t="shared" si="9"/>
        <v>NA</v>
      </c>
      <c r="AS16" s="1078" t="str">
        <f t="shared" si="10"/>
        <v>188/OFF</v>
      </c>
      <c r="AT16" s="1078" t="str">
        <f t="shared" si="11"/>
        <v>1-5-1S85°</v>
      </c>
      <c r="AV16" s="1078" t="str">
        <f t="shared" si="1"/>
        <v>108.5.20</v>
      </c>
      <c r="AW16" s="1344">
        <f t="shared" si="5"/>
        <v>43605</v>
      </c>
    </row>
    <row r="17" spans="1:49">
      <c r="A17" s="1077" t="s">
        <v>1054</v>
      </c>
      <c r="B17" s="1077" t="s">
        <v>1015</v>
      </c>
      <c r="C17" s="1077">
        <v>500</v>
      </c>
      <c r="D17" s="1077">
        <v>1.7</v>
      </c>
      <c r="E17" s="1077" t="s">
        <v>15089</v>
      </c>
      <c r="F17" s="1077" t="s">
        <v>954</v>
      </c>
      <c r="G17" s="1077" t="s">
        <v>1016</v>
      </c>
      <c r="H17" s="1077" t="s">
        <v>1017</v>
      </c>
      <c r="I17" s="1077" t="s">
        <v>126</v>
      </c>
      <c r="J17" s="1077">
        <v>0.9</v>
      </c>
      <c r="K17" s="1077" t="s">
        <v>1055</v>
      </c>
      <c r="L17" s="1077" t="s">
        <v>1019</v>
      </c>
      <c r="M17" s="1077">
        <v>49</v>
      </c>
      <c r="N17" s="1077" t="s">
        <v>945</v>
      </c>
      <c r="O17" s="1077">
        <v>1.2250000000000001</v>
      </c>
      <c r="P17" s="1077">
        <v>0.98</v>
      </c>
      <c r="Q17" s="1077" t="s">
        <v>1020</v>
      </c>
      <c r="R17" s="1077">
        <v>27</v>
      </c>
      <c r="T17" s="1077">
        <v>29</v>
      </c>
      <c r="U17" s="1077">
        <v>3.3</v>
      </c>
      <c r="V17" s="1077" t="s">
        <v>648</v>
      </c>
      <c r="W17" s="1077">
        <v>130</v>
      </c>
      <c r="X17" s="1077">
        <v>75</v>
      </c>
      <c r="Y17" s="1077">
        <v>2.4</v>
      </c>
      <c r="Z17" s="1077">
        <v>4.5</v>
      </c>
      <c r="AA17" s="1077" t="s">
        <v>1056</v>
      </c>
      <c r="AH17" s="1077" t="s">
        <v>963</v>
      </c>
      <c r="AM17" s="1078" t="s">
        <v>9088</v>
      </c>
      <c r="AN17" s="1078" t="s">
        <v>9089</v>
      </c>
      <c r="AO17" s="1078">
        <f t="shared" si="6"/>
        <v>500</v>
      </c>
      <c r="AP17" s="1078">
        <f t="shared" si="7"/>
        <v>1.7</v>
      </c>
      <c r="AQ17" s="1078" t="str">
        <f t="shared" si="8"/>
        <v>1-4-1S83°</v>
      </c>
      <c r="AR17" s="1078" t="str">
        <f t="shared" si="9"/>
        <v>31</v>
      </c>
      <c r="AS17" s="1078" t="str">
        <f t="shared" si="10"/>
        <v>200/200/OFF</v>
      </c>
      <c r="AT17" s="1078" t="str">
        <f t="shared" si="11"/>
        <v>1-4-1S83°</v>
      </c>
      <c r="AV17" s="1078" t="str">
        <f t="shared" si="1"/>
        <v>108.5.21</v>
      </c>
      <c r="AW17" s="1344">
        <f t="shared" si="5"/>
        <v>43606</v>
      </c>
    </row>
    <row r="18" spans="1:49">
      <c r="A18" s="1077" t="s">
        <v>1057</v>
      </c>
      <c r="B18" s="1077" t="s">
        <v>1008</v>
      </c>
      <c r="C18" s="1077">
        <v>600</v>
      </c>
      <c r="D18" s="1077">
        <v>1.66</v>
      </c>
      <c r="E18" s="1077" t="s">
        <v>15089</v>
      </c>
      <c r="F18" s="1077" t="s">
        <v>954</v>
      </c>
      <c r="G18" s="1077">
        <v>3</v>
      </c>
      <c r="H18" s="1077" t="s">
        <v>1009</v>
      </c>
      <c r="I18" s="1077" t="s">
        <v>126</v>
      </c>
      <c r="J18" s="1077">
        <v>1.4</v>
      </c>
      <c r="K18" s="1077" t="s">
        <v>1058</v>
      </c>
      <c r="L18" s="1077" t="s">
        <v>1011</v>
      </c>
      <c r="M18" s="1077">
        <v>51.8</v>
      </c>
      <c r="N18" s="1077" t="s">
        <v>945</v>
      </c>
      <c r="O18" s="1077">
        <v>1.2949999999999999</v>
      </c>
      <c r="P18" s="1077">
        <v>1.036</v>
      </c>
      <c r="Q18" s="1077" t="s">
        <v>1059</v>
      </c>
      <c r="R18" s="1077">
        <v>25</v>
      </c>
      <c r="T18" s="1077">
        <v>41.8</v>
      </c>
      <c r="U18" s="1077">
        <v>6</v>
      </c>
      <c r="V18" s="1077" t="s">
        <v>648</v>
      </c>
      <c r="W18" s="1077">
        <v>95</v>
      </c>
      <c r="X18" s="1077">
        <v>40</v>
      </c>
      <c r="Y18" s="1077">
        <v>2.2000000000000002</v>
      </c>
      <c r="Z18" s="1077">
        <v>4</v>
      </c>
      <c r="AA18" s="1077" t="s">
        <v>1056</v>
      </c>
      <c r="AH18" s="1077" t="s">
        <v>877</v>
      </c>
      <c r="AM18" s="1078" t="s">
        <v>9090</v>
      </c>
      <c r="AN18" s="1078" t="s">
        <v>9091</v>
      </c>
      <c r="AO18" s="1078">
        <f t="shared" si="6"/>
        <v>600</v>
      </c>
      <c r="AP18" s="1078">
        <f t="shared" si="7"/>
        <v>1.66</v>
      </c>
      <c r="AQ18" s="1078" t="str">
        <f t="shared" si="8"/>
        <v>1-4-1S83°</v>
      </c>
      <c r="AR18" s="1078" t="str">
        <f t="shared" si="9"/>
        <v>31</v>
      </c>
      <c r="AS18" s="1078" t="str">
        <f t="shared" si="10"/>
        <v>195/195/OFF</v>
      </c>
      <c r="AT18" s="1078" t="str">
        <f t="shared" si="11"/>
        <v>1-4-1S83°</v>
      </c>
      <c r="AV18" s="1078" t="str">
        <f t="shared" si="1"/>
        <v>108.5.21</v>
      </c>
      <c r="AW18" s="1344">
        <f t="shared" si="5"/>
        <v>43606</v>
      </c>
    </row>
    <row r="19" spans="1:49">
      <c r="A19" s="1077" t="s">
        <v>1060</v>
      </c>
      <c r="B19" s="1077" t="s">
        <v>983</v>
      </c>
      <c r="C19" s="1077">
        <v>700</v>
      </c>
      <c r="D19" s="1077">
        <v>1.7</v>
      </c>
      <c r="E19" s="1077" t="s">
        <v>15089</v>
      </c>
      <c r="F19" s="1077" t="s">
        <v>984</v>
      </c>
      <c r="G19" s="1077" t="s">
        <v>940</v>
      </c>
      <c r="H19" s="1077" t="s">
        <v>1061</v>
      </c>
      <c r="I19" s="1077" t="s">
        <v>126</v>
      </c>
      <c r="J19" s="1077">
        <v>0.7</v>
      </c>
      <c r="K19" s="1077" t="s">
        <v>1062</v>
      </c>
      <c r="L19" s="1077" t="s">
        <v>987</v>
      </c>
      <c r="M19" s="1077">
        <v>51.5</v>
      </c>
      <c r="N19" s="1077" t="s">
        <v>945</v>
      </c>
      <c r="O19" s="1077">
        <v>1.2875000000000001</v>
      </c>
      <c r="P19" s="1077">
        <v>1.03</v>
      </c>
      <c r="Q19" s="1077" t="s">
        <v>961</v>
      </c>
      <c r="R19" s="1077">
        <v>24.5</v>
      </c>
      <c r="T19" s="1077">
        <v>20</v>
      </c>
      <c r="U19" s="1077">
        <v>3.4</v>
      </c>
      <c r="V19" s="1077" t="s">
        <v>648</v>
      </c>
      <c r="W19" s="1077">
        <v>125</v>
      </c>
      <c r="X19" s="1077" t="s">
        <v>1063</v>
      </c>
      <c r="Y19" s="1077">
        <v>2.2000000000000002</v>
      </c>
      <c r="Z19" s="1077">
        <v>4</v>
      </c>
      <c r="AA19" s="1077" t="s">
        <v>1064</v>
      </c>
      <c r="AH19" s="1077" t="s">
        <v>622</v>
      </c>
      <c r="AI19" s="1077" t="s">
        <v>981</v>
      </c>
      <c r="AM19" s="1078" t="s">
        <v>9092</v>
      </c>
      <c r="AN19" s="1078" t="s">
        <v>9093</v>
      </c>
      <c r="AO19" s="1078">
        <f t="shared" si="6"/>
        <v>700</v>
      </c>
      <c r="AP19" s="1078">
        <f t="shared" si="7"/>
        <v>1.7</v>
      </c>
      <c r="AQ19" s="1078" t="str">
        <f t="shared" si="8"/>
        <v>1-4-1S83°</v>
      </c>
      <c r="AR19" s="1078" t="str">
        <f t="shared" si="9"/>
        <v>30</v>
      </c>
      <c r="AS19" s="1078" t="str">
        <f t="shared" si="10"/>
        <v>255/255/OFF</v>
      </c>
      <c r="AT19" s="1078" t="str">
        <f t="shared" si="11"/>
        <v>1-4-1S83°</v>
      </c>
      <c r="AV19" s="1078" t="str">
        <f t="shared" si="1"/>
        <v>109.1.13</v>
      </c>
      <c r="AW19" s="1344">
        <f t="shared" si="5"/>
        <v>43843</v>
      </c>
    </row>
    <row r="20" spans="1:49">
      <c r="A20" s="1077" t="s">
        <v>1065</v>
      </c>
      <c r="B20" s="1077" t="s">
        <v>983</v>
      </c>
      <c r="C20" s="1077">
        <v>700</v>
      </c>
      <c r="D20" s="1077">
        <v>1.7</v>
      </c>
      <c r="E20" s="1077" t="s">
        <v>15089</v>
      </c>
      <c r="F20" s="1077" t="s">
        <v>984</v>
      </c>
      <c r="G20" s="1077" t="s">
        <v>940</v>
      </c>
      <c r="H20" s="1077" t="s">
        <v>1061</v>
      </c>
      <c r="I20" s="1077" t="s">
        <v>126</v>
      </c>
      <c r="J20" s="1077">
        <v>0.7</v>
      </c>
      <c r="K20" s="1077" t="s">
        <v>1062</v>
      </c>
      <c r="L20" s="1077" t="s">
        <v>987</v>
      </c>
      <c r="M20" s="1077">
        <v>51.5</v>
      </c>
      <c r="N20" s="1077" t="s">
        <v>945</v>
      </c>
      <c r="O20" s="1077">
        <v>1.2875000000000001</v>
      </c>
      <c r="P20" s="1077">
        <v>1.03</v>
      </c>
      <c r="Q20" s="1077" t="s">
        <v>961</v>
      </c>
      <c r="R20" s="1077">
        <v>24.5</v>
      </c>
      <c r="T20" s="1077">
        <v>20</v>
      </c>
      <c r="U20" s="1077">
        <v>3.4</v>
      </c>
      <c r="V20" s="1077" t="s">
        <v>648</v>
      </c>
      <c r="W20" s="1077">
        <v>125</v>
      </c>
      <c r="X20" s="1077" t="s">
        <v>1063</v>
      </c>
      <c r="Y20" s="1077">
        <v>2.2000000000000002</v>
      </c>
      <c r="Z20" s="1077">
        <v>4</v>
      </c>
      <c r="AA20" s="1077" t="s">
        <v>1066</v>
      </c>
      <c r="AH20" s="1077" t="s">
        <v>758</v>
      </c>
      <c r="AI20" s="1077" t="s">
        <v>981</v>
      </c>
      <c r="AM20" s="1078" t="s">
        <v>9094</v>
      </c>
      <c r="AN20" s="1078" t="s">
        <v>9095</v>
      </c>
      <c r="AO20" s="1078">
        <f t="shared" si="6"/>
        <v>700</v>
      </c>
      <c r="AP20" s="1078">
        <f t="shared" si="7"/>
        <v>1.7</v>
      </c>
      <c r="AQ20" s="1078" t="str">
        <f t="shared" si="8"/>
        <v>1-4-1S83°</v>
      </c>
      <c r="AR20" s="1078" t="str">
        <f t="shared" si="9"/>
        <v>30</v>
      </c>
      <c r="AS20" s="1078" t="str">
        <f t="shared" si="10"/>
        <v>255/255/OFF</v>
      </c>
      <c r="AT20" s="1078" t="str">
        <f t="shared" si="11"/>
        <v>1-4-1S83°</v>
      </c>
      <c r="AV20" s="1078" t="str">
        <f t="shared" si="1"/>
        <v>109.2.12</v>
      </c>
      <c r="AW20" s="1344">
        <f t="shared" si="5"/>
        <v>43873</v>
      </c>
    </row>
    <row r="21" spans="1:49">
      <c r="A21" s="1077" t="s">
        <v>1067</v>
      </c>
      <c r="B21" s="1077" t="s">
        <v>983</v>
      </c>
      <c r="C21" s="1077">
        <v>700</v>
      </c>
      <c r="D21" s="1077">
        <v>1.7</v>
      </c>
      <c r="E21" s="1077" t="s">
        <v>15089</v>
      </c>
      <c r="F21" s="1077" t="s">
        <v>984</v>
      </c>
      <c r="G21" s="1077" t="s">
        <v>940</v>
      </c>
      <c r="H21" s="1077" t="s">
        <v>1061</v>
      </c>
      <c r="I21" s="1077" t="s">
        <v>942</v>
      </c>
      <c r="J21" s="1077" t="s">
        <v>1068</v>
      </c>
      <c r="K21" s="1077" t="s">
        <v>1069</v>
      </c>
      <c r="L21" s="1077" t="s">
        <v>987</v>
      </c>
      <c r="M21" s="1077">
        <v>51.5</v>
      </c>
      <c r="N21" s="1077" t="s">
        <v>945</v>
      </c>
      <c r="O21" s="1077">
        <v>1.2875000000000001</v>
      </c>
      <c r="P21" s="1077">
        <v>1.03</v>
      </c>
      <c r="Q21" s="1077" t="s">
        <v>961</v>
      </c>
      <c r="R21" s="1077">
        <v>24.5</v>
      </c>
      <c r="T21" s="1077">
        <v>20</v>
      </c>
      <c r="U21" s="1077">
        <v>3.4</v>
      </c>
      <c r="V21" s="1077" t="s">
        <v>648</v>
      </c>
      <c r="W21" s="1077">
        <v>145</v>
      </c>
      <c r="X21" s="1077">
        <v>75</v>
      </c>
      <c r="Y21" s="1077">
        <v>2.2000000000000002</v>
      </c>
      <c r="Z21" s="1077">
        <v>4</v>
      </c>
      <c r="AA21" s="1077" t="s">
        <v>1070</v>
      </c>
      <c r="AH21" s="1077" t="s">
        <v>482</v>
      </c>
      <c r="AM21" s="1078" t="s">
        <v>9096</v>
      </c>
      <c r="AN21" s="1078" t="s">
        <v>9097</v>
      </c>
      <c r="AO21" s="1078">
        <f t="shared" si="6"/>
        <v>700</v>
      </c>
      <c r="AP21" s="1078">
        <f t="shared" si="7"/>
        <v>1.7</v>
      </c>
      <c r="AQ21" s="1078" t="str">
        <f t="shared" si="8"/>
        <v>1-4-1S83°</v>
      </c>
      <c r="AR21" s="1078" t="str">
        <f t="shared" si="9"/>
        <v>30</v>
      </c>
      <c r="AS21" s="1078" t="str">
        <f t="shared" si="10"/>
        <v>255/255/OFF</v>
      </c>
      <c r="AT21" s="1078" t="str">
        <f t="shared" si="11"/>
        <v>1-4-1S83°</v>
      </c>
      <c r="AV21" s="1078" t="str">
        <f t="shared" si="1"/>
        <v>109.5.18</v>
      </c>
      <c r="AW21" s="1344">
        <f t="shared" si="5"/>
        <v>43969</v>
      </c>
    </row>
    <row r="22" spans="1:49">
      <c r="A22" s="1077" t="s">
        <v>1071</v>
      </c>
      <c r="B22" s="1077" t="s">
        <v>983</v>
      </c>
      <c r="C22" s="1077">
        <v>600</v>
      </c>
      <c r="D22" s="1077">
        <v>1.6850000000000001</v>
      </c>
      <c r="E22" s="1077" t="s">
        <v>15091</v>
      </c>
      <c r="F22" s="1077" t="s">
        <v>954</v>
      </c>
      <c r="G22" s="1077" t="s">
        <v>940</v>
      </c>
      <c r="H22" s="1077" t="s">
        <v>1072</v>
      </c>
      <c r="I22" s="1077" t="s">
        <v>1073</v>
      </c>
      <c r="J22" s="1077">
        <v>0.9</v>
      </c>
      <c r="K22" s="1077" t="s">
        <v>1069</v>
      </c>
      <c r="L22" s="1077" t="s">
        <v>987</v>
      </c>
      <c r="M22" s="1077">
        <v>51.5</v>
      </c>
      <c r="N22" s="1077" t="s">
        <v>945</v>
      </c>
      <c r="O22" s="1077">
        <v>1.2875000000000001</v>
      </c>
      <c r="P22" s="1077">
        <v>1.03</v>
      </c>
      <c r="Q22" s="1077" t="s">
        <v>988</v>
      </c>
      <c r="R22" s="1077">
        <v>24.5</v>
      </c>
      <c r="T22" s="1077">
        <v>18</v>
      </c>
      <c r="U22" s="1077">
        <v>3.6</v>
      </c>
      <c r="V22" s="1077" t="s">
        <v>648</v>
      </c>
      <c r="W22" s="1077">
        <v>160</v>
      </c>
      <c r="X22" s="1077">
        <v>85</v>
      </c>
      <c r="Y22" s="1077">
        <v>2.2000000000000002</v>
      </c>
      <c r="Z22" s="1077" t="s">
        <v>1074</v>
      </c>
      <c r="AA22" s="1077" t="s">
        <v>1075</v>
      </c>
      <c r="AH22" s="1077" t="s">
        <v>1053</v>
      </c>
      <c r="AM22" s="1078" t="s">
        <v>9098</v>
      </c>
      <c r="AN22" s="1078" t="s">
        <v>9099</v>
      </c>
      <c r="AO22" s="1078">
        <f t="shared" si="6"/>
        <v>600</v>
      </c>
      <c r="AP22" s="1078">
        <f t="shared" si="7"/>
        <v>1.6850000000000001</v>
      </c>
      <c r="AQ22" s="1078" t="str">
        <f t="shared" si="8"/>
        <v>2-5-1S83°</v>
      </c>
      <c r="AR22" s="1078" t="str">
        <f t="shared" si="9"/>
        <v>31</v>
      </c>
      <c r="AS22" s="1078" t="str">
        <f t="shared" si="10"/>
        <v>168/OFF</v>
      </c>
      <c r="AT22" s="1078" t="str">
        <f t="shared" si="11"/>
        <v>2-5-1S83°</v>
      </c>
      <c r="AV22" s="1078" t="str">
        <f t="shared" si="1"/>
        <v>109.6.10</v>
      </c>
      <c r="AW22" s="1344">
        <f t="shared" si="5"/>
        <v>43992</v>
      </c>
    </row>
    <row r="23" spans="1:49">
      <c r="A23" s="1077" t="s">
        <v>1076</v>
      </c>
      <c r="B23" s="1077" t="s">
        <v>983</v>
      </c>
      <c r="C23" s="1077">
        <v>650</v>
      </c>
      <c r="D23" s="1077">
        <v>1.67</v>
      </c>
      <c r="E23" s="1077" t="s">
        <v>15089</v>
      </c>
      <c r="F23" s="1077" t="s">
        <v>984</v>
      </c>
      <c r="G23" s="1077" t="s">
        <v>940</v>
      </c>
      <c r="H23" s="1077" t="s">
        <v>1077</v>
      </c>
      <c r="I23" s="1077" t="s">
        <v>942</v>
      </c>
      <c r="J23" s="1077">
        <v>0.9</v>
      </c>
      <c r="K23" s="1077" t="s">
        <v>1078</v>
      </c>
      <c r="L23" s="1077" t="s">
        <v>1079</v>
      </c>
      <c r="M23" s="1077">
        <v>50.1</v>
      </c>
      <c r="N23" s="1077" t="s">
        <v>945</v>
      </c>
      <c r="O23" s="1077">
        <v>1.2525000000000002</v>
      </c>
      <c r="P23" s="1077">
        <v>1.002</v>
      </c>
      <c r="Q23" s="1077" t="s">
        <v>961</v>
      </c>
      <c r="R23" s="1077">
        <v>21.1</v>
      </c>
      <c r="T23" s="1077">
        <v>20</v>
      </c>
      <c r="U23" s="1077">
        <v>3.4</v>
      </c>
      <c r="V23" s="1077" t="s">
        <v>648</v>
      </c>
      <c r="W23" s="1077">
        <v>150</v>
      </c>
      <c r="X23" s="1077">
        <v>85</v>
      </c>
      <c r="Y23" s="1077">
        <v>2.2000000000000002</v>
      </c>
      <c r="Z23" s="1077" t="s">
        <v>1080</v>
      </c>
      <c r="AA23" s="1077" t="s">
        <v>1081</v>
      </c>
      <c r="AH23" s="1077" t="s">
        <v>456</v>
      </c>
      <c r="AM23" s="1078" t="s">
        <v>9100</v>
      </c>
      <c r="AN23" s="1078" t="s">
        <v>9101</v>
      </c>
      <c r="AO23" s="1078">
        <f t="shared" si="6"/>
        <v>650</v>
      </c>
      <c r="AP23" s="1078">
        <f t="shared" si="7"/>
        <v>1.67</v>
      </c>
      <c r="AQ23" s="1078" t="str">
        <f t="shared" si="8"/>
        <v>1-4-1S83°</v>
      </c>
      <c r="AR23" s="1078" t="str">
        <f t="shared" si="9"/>
        <v>30</v>
      </c>
      <c r="AS23" s="1078" t="str">
        <f t="shared" si="10"/>
        <v>245/245/OFF</v>
      </c>
      <c r="AT23" s="1078" t="str">
        <f t="shared" si="11"/>
        <v>1-4-1S83°</v>
      </c>
      <c r="AV23" s="1078" t="str">
        <f t="shared" si="1"/>
        <v>109.7.18</v>
      </c>
      <c r="AW23" s="1344">
        <f t="shared" si="5"/>
        <v>44030</v>
      </c>
    </row>
    <row r="24" spans="1:49">
      <c r="A24" s="1077" t="s">
        <v>1082</v>
      </c>
      <c r="B24" s="1077" t="s">
        <v>983</v>
      </c>
      <c r="C24" s="1077">
        <v>700</v>
      </c>
      <c r="D24" s="1077">
        <v>1.7</v>
      </c>
      <c r="E24" s="1077" t="s">
        <v>15089</v>
      </c>
      <c r="F24" s="1077" t="s">
        <v>984</v>
      </c>
      <c r="G24" s="1077" t="s">
        <v>940</v>
      </c>
      <c r="H24" s="1077" t="s">
        <v>1061</v>
      </c>
      <c r="I24" s="1077" t="s">
        <v>126</v>
      </c>
      <c r="J24" s="1077">
        <v>0.7</v>
      </c>
      <c r="K24" s="1077" t="s">
        <v>1083</v>
      </c>
      <c r="L24" s="1077" t="s">
        <v>987</v>
      </c>
      <c r="M24" s="1077">
        <v>51.5</v>
      </c>
      <c r="N24" s="1077" t="s">
        <v>945</v>
      </c>
      <c r="O24" s="1077">
        <v>1.2875000000000001</v>
      </c>
      <c r="P24" s="1077">
        <v>1.03</v>
      </c>
      <c r="Q24" s="1077" t="s">
        <v>961</v>
      </c>
      <c r="R24" s="1077">
        <v>24.5</v>
      </c>
      <c r="T24" s="1077">
        <v>20</v>
      </c>
      <c r="U24" s="1077">
        <v>3.4</v>
      </c>
      <c r="V24" s="1077" t="s">
        <v>648</v>
      </c>
      <c r="W24" s="1077">
        <v>125</v>
      </c>
      <c r="X24" s="1077" t="s">
        <v>1063</v>
      </c>
      <c r="Y24" s="1077">
        <v>2.2000000000000002</v>
      </c>
      <c r="Z24" s="1077">
        <v>4</v>
      </c>
      <c r="AA24" s="1077" t="s">
        <v>1084</v>
      </c>
      <c r="AH24" s="1077" t="s">
        <v>813</v>
      </c>
      <c r="AI24" s="1077" t="s">
        <v>981</v>
      </c>
      <c r="AM24" s="1078" t="s">
        <v>9102</v>
      </c>
      <c r="AN24" s="1078" t="s">
        <v>9103</v>
      </c>
      <c r="AO24" s="1078">
        <f t="shared" si="6"/>
        <v>700</v>
      </c>
      <c r="AP24" s="1078">
        <f t="shared" si="7"/>
        <v>1.7</v>
      </c>
      <c r="AQ24" s="1078" t="str">
        <f t="shared" si="8"/>
        <v>1-4-1S83°</v>
      </c>
      <c r="AR24" s="1078" t="str">
        <f t="shared" si="9"/>
        <v>30</v>
      </c>
      <c r="AS24" s="1078" t="str">
        <f t="shared" si="10"/>
        <v>255/255/OFF</v>
      </c>
      <c r="AT24" s="1078" t="str">
        <f t="shared" si="11"/>
        <v>1-4-1S83°</v>
      </c>
      <c r="AV24" s="1078" t="str">
        <f t="shared" si="1"/>
        <v>109.8.3</v>
      </c>
      <c r="AW24" s="1344">
        <f t="shared" si="5"/>
        <v>44046</v>
      </c>
    </row>
    <row r="25" spans="1:49">
      <c r="A25" s="1077" t="s">
        <v>1085</v>
      </c>
      <c r="B25" s="1077" t="s">
        <v>983</v>
      </c>
      <c r="C25" s="1077">
        <v>700</v>
      </c>
      <c r="D25" s="1077">
        <v>1.7</v>
      </c>
      <c r="E25" s="1077" t="s">
        <v>15089</v>
      </c>
      <c r="F25" s="1077" t="s">
        <v>984</v>
      </c>
      <c r="G25" s="1077" t="s">
        <v>940</v>
      </c>
      <c r="H25" s="1077" t="s">
        <v>1061</v>
      </c>
      <c r="I25" s="1077" t="s">
        <v>126</v>
      </c>
      <c r="J25" s="1077">
        <v>0.7</v>
      </c>
      <c r="K25" s="1077" t="s">
        <v>1086</v>
      </c>
      <c r="L25" s="1077" t="s">
        <v>987</v>
      </c>
      <c r="M25" s="1077">
        <v>51.5</v>
      </c>
      <c r="N25" s="1077" t="s">
        <v>945</v>
      </c>
      <c r="O25" s="1077">
        <v>1.2875000000000001</v>
      </c>
      <c r="P25" s="1077">
        <v>1.03</v>
      </c>
      <c r="Q25" s="1077" t="s">
        <v>961</v>
      </c>
      <c r="R25" s="1077">
        <v>24.5</v>
      </c>
      <c r="T25" s="1077">
        <v>20</v>
      </c>
      <c r="U25" s="1077">
        <v>3.4</v>
      </c>
      <c r="V25" s="1077" t="s">
        <v>648</v>
      </c>
      <c r="W25" s="1077">
        <v>125</v>
      </c>
      <c r="X25" s="1077" t="s">
        <v>1063</v>
      </c>
      <c r="Y25" s="1077">
        <v>2.2000000000000002</v>
      </c>
      <c r="Z25" s="1077" t="s">
        <v>1087</v>
      </c>
      <c r="AA25" s="1077" t="s">
        <v>1088</v>
      </c>
      <c r="AH25" s="1077" t="s">
        <v>966</v>
      </c>
      <c r="AI25" s="1077" t="s">
        <v>981</v>
      </c>
      <c r="AM25" s="1078" t="s">
        <v>9104</v>
      </c>
      <c r="AN25" s="1078" t="s">
        <v>9105</v>
      </c>
      <c r="AO25" s="1078">
        <f t="shared" si="6"/>
        <v>700</v>
      </c>
      <c r="AP25" s="1078">
        <f t="shared" si="7"/>
        <v>1.7</v>
      </c>
      <c r="AQ25" s="1078" t="str">
        <f t="shared" si="8"/>
        <v>1-4-1S83°</v>
      </c>
      <c r="AR25" s="1078" t="str">
        <f t="shared" si="9"/>
        <v>30</v>
      </c>
      <c r="AS25" s="1078" t="str">
        <f t="shared" si="10"/>
        <v>255/255/OFF</v>
      </c>
      <c r="AT25" s="1078" t="str">
        <f t="shared" si="11"/>
        <v>1-4-1S83°</v>
      </c>
      <c r="AV25" s="1078" t="str">
        <f t="shared" si="1"/>
        <v>109.8.20</v>
      </c>
      <c r="AW25" s="1344">
        <f t="shared" si="5"/>
        <v>44063</v>
      </c>
    </row>
    <row r="26" spans="1:49">
      <c r="A26" s="1077" t="s">
        <v>1089</v>
      </c>
      <c r="B26" s="1077" t="s">
        <v>983</v>
      </c>
      <c r="C26" s="1077">
        <v>700</v>
      </c>
      <c r="D26" s="1077">
        <v>1.7</v>
      </c>
      <c r="E26" s="1077" t="s">
        <v>15089</v>
      </c>
      <c r="F26" s="1077" t="s">
        <v>984</v>
      </c>
      <c r="G26" s="1077" t="s">
        <v>940</v>
      </c>
      <c r="H26" s="1077" t="s">
        <v>1061</v>
      </c>
      <c r="I26" s="1077" t="s">
        <v>126</v>
      </c>
      <c r="J26" s="1077">
        <v>0.7</v>
      </c>
      <c r="K26" s="1077" t="s">
        <v>1062</v>
      </c>
      <c r="L26" s="1077" t="s">
        <v>987</v>
      </c>
      <c r="M26" s="1077">
        <v>51.5</v>
      </c>
      <c r="N26" s="1077" t="s">
        <v>945</v>
      </c>
      <c r="O26" s="1077">
        <v>1.2875000000000001</v>
      </c>
      <c r="P26" s="1077">
        <v>1.03</v>
      </c>
      <c r="Q26" s="1077" t="s">
        <v>961</v>
      </c>
      <c r="R26" s="1077">
        <v>24.5</v>
      </c>
      <c r="T26" s="1077">
        <v>20</v>
      </c>
      <c r="U26" s="1077">
        <v>3.4</v>
      </c>
      <c r="V26" s="1077" t="s">
        <v>648</v>
      </c>
      <c r="W26" s="1077">
        <v>125</v>
      </c>
      <c r="X26" s="1077" t="s">
        <v>1063</v>
      </c>
      <c r="Y26" s="1077" t="s">
        <v>1090</v>
      </c>
      <c r="Z26" s="1077">
        <v>4</v>
      </c>
      <c r="AA26" s="1077" t="s">
        <v>1091</v>
      </c>
      <c r="AH26" s="1077" t="s">
        <v>619</v>
      </c>
      <c r="AI26" s="1077" t="s">
        <v>981</v>
      </c>
      <c r="AM26" s="1078" t="s">
        <v>9106</v>
      </c>
      <c r="AN26" s="1078" t="s">
        <v>9107</v>
      </c>
      <c r="AO26" s="1078">
        <f t="shared" si="6"/>
        <v>700</v>
      </c>
      <c r="AP26" s="1078">
        <f t="shared" si="7"/>
        <v>1.7</v>
      </c>
      <c r="AQ26" s="1078" t="str">
        <f t="shared" si="8"/>
        <v>1-4-1S83°</v>
      </c>
      <c r="AR26" s="1078" t="str">
        <f t="shared" si="9"/>
        <v>30</v>
      </c>
      <c r="AS26" s="1078" t="str">
        <f t="shared" si="10"/>
        <v>255/255/OFF</v>
      </c>
      <c r="AT26" s="1078" t="str">
        <f t="shared" si="11"/>
        <v>1-4-1S83°</v>
      </c>
      <c r="AV26" s="1078" t="str">
        <f t="shared" si="1"/>
        <v>109.9.10</v>
      </c>
      <c r="AW26" s="1344">
        <f t="shared" si="5"/>
        <v>44084</v>
      </c>
    </row>
    <row r="27" spans="1:49">
      <c r="A27" s="1077" t="s">
        <v>1092</v>
      </c>
      <c r="B27" s="1077" t="s">
        <v>983</v>
      </c>
      <c r="C27" s="1077">
        <v>700</v>
      </c>
      <c r="D27" s="1077">
        <v>1.7</v>
      </c>
      <c r="E27" s="1077" t="s">
        <v>15089</v>
      </c>
      <c r="F27" s="1077" t="s">
        <v>984</v>
      </c>
      <c r="G27" s="1077" t="s">
        <v>940</v>
      </c>
      <c r="H27" s="1077" t="s">
        <v>1061</v>
      </c>
      <c r="I27" s="1077" t="s">
        <v>126</v>
      </c>
      <c r="J27" s="1077">
        <v>0.7</v>
      </c>
      <c r="K27" s="1077" t="s">
        <v>1093</v>
      </c>
      <c r="L27" s="1077" t="s">
        <v>987</v>
      </c>
      <c r="M27" s="1077">
        <v>51.5</v>
      </c>
      <c r="N27" s="1077" t="s">
        <v>945</v>
      </c>
      <c r="O27" s="1077">
        <v>1.2875000000000001</v>
      </c>
      <c r="P27" s="1077">
        <v>1.03</v>
      </c>
      <c r="Q27" s="1077" t="s">
        <v>956</v>
      </c>
      <c r="R27" s="1077">
        <v>24.5</v>
      </c>
      <c r="T27" s="1077">
        <v>20</v>
      </c>
      <c r="U27" s="1077">
        <v>3.4</v>
      </c>
      <c r="V27" s="1077" t="s">
        <v>648</v>
      </c>
      <c r="W27" s="1077">
        <v>125</v>
      </c>
      <c r="X27" s="1077" t="s">
        <v>1063</v>
      </c>
      <c r="Y27" s="1077">
        <v>2.2000000000000002</v>
      </c>
      <c r="Z27" s="1077">
        <v>4</v>
      </c>
      <c r="AA27" s="1077" t="s">
        <v>1094</v>
      </c>
      <c r="AH27" s="1077" t="s">
        <v>813</v>
      </c>
      <c r="AI27" s="1077" t="s">
        <v>981</v>
      </c>
      <c r="AM27" s="1078" t="s">
        <v>9108</v>
      </c>
      <c r="AN27" s="1078" t="s">
        <v>9109</v>
      </c>
      <c r="AO27" s="1078">
        <f t="shared" si="6"/>
        <v>700</v>
      </c>
      <c r="AP27" s="1078">
        <f t="shared" si="7"/>
        <v>1.7</v>
      </c>
      <c r="AQ27" s="1078" t="str">
        <f t="shared" si="8"/>
        <v>1-4-1S83°</v>
      </c>
      <c r="AR27" s="1078" t="str">
        <f t="shared" si="9"/>
        <v>30</v>
      </c>
      <c r="AS27" s="1078" t="str">
        <f t="shared" si="10"/>
        <v>255/255/OFF</v>
      </c>
      <c r="AT27" s="1078" t="str">
        <f t="shared" si="11"/>
        <v>1-4-1S83°</v>
      </c>
      <c r="AV27" s="1078" t="str">
        <f t="shared" si="1"/>
        <v>109.10.12</v>
      </c>
      <c r="AW27" s="1344">
        <f t="shared" si="5"/>
        <v>44116</v>
      </c>
    </row>
    <row r="28" spans="1:49">
      <c r="A28" s="1077" t="s">
        <v>1095</v>
      </c>
      <c r="B28" s="1077" t="s">
        <v>939</v>
      </c>
      <c r="C28" s="1077">
        <v>650</v>
      </c>
      <c r="D28" s="1077">
        <v>1.625</v>
      </c>
      <c r="E28" s="1077" t="s">
        <v>15089</v>
      </c>
      <c r="F28" s="1077" t="s">
        <v>954</v>
      </c>
      <c r="G28" s="1077" t="s">
        <v>940</v>
      </c>
      <c r="H28" s="1077" t="s">
        <v>1025</v>
      </c>
      <c r="I28" s="1077" t="s">
        <v>126</v>
      </c>
      <c r="J28" s="1077">
        <v>0.6</v>
      </c>
      <c r="K28" s="1077" t="s">
        <v>1049</v>
      </c>
      <c r="L28" s="1077" t="s">
        <v>944</v>
      </c>
      <c r="M28" s="1077">
        <v>51.5</v>
      </c>
      <c r="N28" s="1077" t="s">
        <v>945</v>
      </c>
      <c r="O28" s="1077">
        <v>1.2875000000000001</v>
      </c>
      <c r="P28" s="1077">
        <v>1.03</v>
      </c>
      <c r="Q28" s="1077" t="s">
        <v>946</v>
      </c>
      <c r="R28" s="1077">
        <v>22.5</v>
      </c>
      <c r="T28" s="1077">
        <v>24.5</v>
      </c>
      <c r="U28" s="1077">
        <v>3.3</v>
      </c>
      <c r="V28" s="1077" t="s">
        <v>648</v>
      </c>
      <c r="W28" s="1077">
        <v>120</v>
      </c>
      <c r="X28" s="1077">
        <v>80</v>
      </c>
      <c r="Y28" s="1077">
        <v>2</v>
      </c>
      <c r="Z28" s="1077">
        <v>4</v>
      </c>
      <c r="AA28" s="1077" t="s">
        <v>1096</v>
      </c>
      <c r="AH28" s="1077" t="s">
        <v>456</v>
      </c>
      <c r="AM28" s="1078" t="s">
        <v>9110</v>
      </c>
      <c r="AN28" s="1078" t="s">
        <v>9111</v>
      </c>
      <c r="AO28" s="1078">
        <f t="shared" si="6"/>
        <v>650</v>
      </c>
      <c r="AP28" s="1078">
        <f t="shared" si="7"/>
        <v>1.625</v>
      </c>
      <c r="AQ28" s="1078" t="str">
        <f t="shared" si="8"/>
        <v>1-4-1S83°</v>
      </c>
      <c r="AR28" s="1078" t="str">
        <f t="shared" si="9"/>
        <v>31</v>
      </c>
      <c r="AS28" s="1078" t="str">
        <f t="shared" si="10"/>
        <v>261/261/OFF</v>
      </c>
      <c r="AT28" s="1078" t="str">
        <f t="shared" si="11"/>
        <v>1-4-1S83°</v>
      </c>
      <c r="AV28" s="1078" t="str">
        <f t="shared" si="1"/>
        <v>108.5.31</v>
      </c>
      <c r="AW28" s="1344">
        <f t="shared" si="5"/>
        <v>43616</v>
      </c>
    </row>
    <row r="29" spans="1:49">
      <c r="A29" s="1077" t="s">
        <v>1097</v>
      </c>
      <c r="B29" s="1077" t="s">
        <v>983</v>
      </c>
      <c r="C29" s="1077">
        <v>650</v>
      </c>
      <c r="D29" s="1077">
        <v>1.7</v>
      </c>
      <c r="E29" s="1077" t="s">
        <v>15089</v>
      </c>
      <c r="F29" s="1077" t="s">
        <v>984</v>
      </c>
      <c r="G29" s="1077" t="s">
        <v>940</v>
      </c>
      <c r="H29" s="1077" t="s">
        <v>1077</v>
      </c>
      <c r="I29" s="1077" t="s">
        <v>126</v>
      </c>
      <c r="J29" s="1077">
        <v>0.7</v>
      </c>
      <c r="K29" s="1077" t="s">
        <v>1098</v>
      </c>
      <c r="L29" s="1077" t="s">
        <v>987</v>
      </c>
      <c r="M29" s="1077">
        <v>51.5</v>
      </c>
      <c r="N29" s="1077" t="s">
        <v>945</v>
      </c>
      <c r="O29" s="1077">
        <v>1.2875000000000001</v>
      </c>
      <c r="P29" s="1077">
        <v>1.03</v>
      </c>
      <c r="Q29" s="1077" t="s">
        <v>946</v>
      </c>
      <c r="R29" s="1077">
        <v>24.5</v>
      </c>
      <c r="T29" s="1077">
        <v>20</v>
      </c>
      <c r="U29" s="1077">
        <v>3.4</v>
      </c>
      <c r="V29" s="1077" t="s">
        <v>648</v>
      </c>
      <c r="W29" s="1077">
        <v>125</v>
      </c>
      <c r="X29" s="1077" t="s">
        <v>1063</v>
      </c>
      <c r="Y29" s="1077">
        <v>2.2000000000000002</v>
      </c>
      <c r="Z29" s="1077">
        <v>4</v>
      </c>
      <c r="AA29" s="1077" t="s">
        <v>1099</v>
      </c>
      <c r="AH29" s="1077" t="s">
        <v>482</v>
      </c>
      <c r="AI29" s="1077" t="s">
        <v>981</v>
      </c>
      <c r="AM29" s="1078" t="s">
        <v>9112</v>
      </c>
      <c r="AN29" s="1078" t="s">
        <v>9113</v>
      </c>
      <c r="AO29" s="1078">
        <f t="shared" si="6"/>
        <v>650</v>
      </c>
      <c r="AP29" s="1078">
        <f t="shared" si="7"/>
        <v>1.7</v>
      </c>
      <c r="AQ29" s="1078" t="str">
        <f t="shared" si="8"/>
        <v>1-4-1S83°</v>
      </c>
      <c r="AR29" s="1078" t="str">
        <f t="shared" si="9"/>
        <v>30</v>
      </c>
      <c r="AS29" s="1078" t="str">
        <f t="shared" si="10"/>
        <v>245/245/OFF</v>
      </c>
      <c r="AT29" s="1078" t="str">
        <f t="shared" si="11"/>
        <v>1-4-1S83°</v>
      </c>
      <c r="AV29" s="1078" t="str">
        <f t="shared" si="1"/>
        <v>108.7.15</v>
      </c>
      <c r="AW29" s="1344">
        <f t="shared" si="5"/>
        <v>43661</v>
      </c>
    </row>
    <row r="30" spans="1:49">
      <c r="A30" s="1077" t="s">
        <v>1100</v>
      </c>
      <c r="B30" s="1077" t="s">
        <v>983</v>
      </c>
      <c r="C30" s="1077">
        <v>650</v>
      </c>
      <c r="D30" s="1077">
        <v>1.75</v>
      </c>
      <c r="E30" s="1077" t="s">
        <v>15089</v>
      </c>
      <c r="F30" s="1077" t="s">
        <v>984</v>
      </c>
      <c r="G30" s="1077" t="s">
        <v>940</v>
      </c>
      <c r="H30" s="1077" t="s">
        <v>985</v>
      </c>
      <c r="I30" s="1077" t="s">
        <v>126</v>
      </c>
      <c r="J30" s="1077">
        <v>1</v>
      </c>
      <c r="K30" s="1077" t="s">
        <v>1062</v>
      </c>
      <c r="L30" s="1077" t="s">
        <v>987</v>
      </c>
      <c r="M30" s="1077">
        <v>51</v>
      </c>
      <c r="N30" s="1077" t="s">
        <v>945</v>
      </c>
      <c r="O30" s="1077">
        <v>1.2750000000000001</v>
      </c>
      <c r="P30" s="1077">
        <v>1.02</v>
      </c>
      <c r="Q30" s="1077" t="s">
        <v>988</v>
      </c>
      <c r="R30" s="1077">
        <v>24</v>
      </c>
      <c r="T30" s="1077">
        <v>7.4</v>
      </c>
      <c r="U30" s="1077">
        <v>2</v>
      </c>
      <c r="V30" s="1077" t="s">
        <v>648</v>
      </c>
      <c r="W30" s="1077">
        <v>125</v>
      </c>
      <c r="X30" s="1077">
        <v>92</v>
      </c>
      <c r="Y30" s="1077">
        <v>2</v>
      </c>
      <c r="Z30" s="1077">
        <v>2</v>
      </c>
      <c r="AA30" s="1077" t="s">
        <v>1101</v>
      </c>
      <c r="AH30" s="1077" t="s">
        <v>966</v>
      </c>
      <c r="AM30" s="1078" t="s">
        <v>9114</v>
      </c>
      <c r="AN30" s="1078" t="s">
        <v>9115</v>
      </c>
      <c r="AO30" s="1078">
        <f t="shared" si="6"/>
        <v>650</v>
      </c>
      <c r="AP30" s="1078">
        <f t="shared" si="7"/>
        <v>1.75</v>
      </c>
      <c r="AQ30" s="1078" t="str">
        <f t="shared" si="8"/>
        <v>1-4-1S83°</v>
      </c>
      <c r="AR30" s="1078" t="str">
        <f t="shared" si="9"/>
        <v>30</v>
      </c>
      <c r="AS30" s="1078" t="str">
        <f t="shared" si="10"/>
        <v>230/230/155</v>
      </c>
      <c r="AT30" s="1078" t="str">
        <f t="shared" si="11"/>
        <v>1-4-1S83°</v>
      </c>
      <c r="AV30" s="1078" t="str">
        <f t="shared" si="1"/>
        <v>108.6.4</v>
      </c>
      <c r="AW30" s="1344">
        <f t="shared" si="5"/>
        <v>43620</v>
      </c>
    </row>
    <row r="31" spans="1:49">
      <c r="A31" s="1077" t="s">
        <v>1102</v>
      </c>
      <c r="B31" s="1077" t="s">
        <v>983</v>
      </c>
      <c r="C31" s="1077">
        <v>600</v>
      </c>
      <c r="D31" s="1077">
        <v>1.75</v>
      </c>
      <c r="E31" s="1077" t="s">
        <v>15089</v>
      </c>
      <c r="F31" s="1077" t="s">
        <v>984</v>
      </c>
      <c r="G31" s="1077" t="s">
        <v>940</v>
      </c>
      <c r="H31" s="1077" t="s">
        <v>1103</v>
      </c>
      <c r="I31" s="1077" t="s">
        <v>126</v>
      </c>
      <c r="J31" s="1077">
        <v>0.9</v>
      </c>
      <c r="K31" s="1077" t="s">
        <v>1104</v>
      </c>
      <c r="L31" s="1077" t="s">
        <v>987</v>
      </c>
      <c r="M31" s="1077">
        <v>51</v>
      </c>
      <c r="N31" s="1077" t="s">
        <v>945</v>
      </c>
      <c r="O31" s="1077">
        <v>1.2750000000000001</v>
      </c>
      <c r="P31" s="1077">
        <v>1.02</v>
      </c>
      <c r="Q31" s="1077" t="s">
        <v>988</v>
      </c>
      <c r="R31" s="1077">
        <v>24</v>
      </c>
      <c r="T31" s="1077">
        <v>7.4</v>
      </c>
      <c r="U31" s="1077">
        <v>2</v>
      </c>
      <c r="V31" s="1077" t="s">
        <v>648</v>
      </c>
      <c r="W31" s="1077">
        <v>125</v>
      </c>
      <c r="X31" s="1077" t="s">
        <v>1105</v>
      </c>
      <c r="Y31" s="1077">
        <v>2</v>
      </c>
      <c r="Z31" s="1077">
        <v>2</v>
      </c>
      <c r="AA31" s="1077" t="s">
        <v>1106</v>
      </c>
      <c r="AH31" s="1077" t="s">
        <v>622</v>
      </c>
      <c r="AI31" s="1077" t="s">
        <v>981</v>
      </c>
      <c r="AM31" s="1078" t="s">
        <v>9116</v>
      </c>
      <c r="AN31" s="1078" t="s">
        <v>9117</v>
      </c>
      <c r="AO31" s="1078">
        <f t="shared" si="6"/>
        <v>600</v>
      </c>
      <c r="AP31" s="1078">
        <f t="shared" si="7"/>
        <v>1.75</v>
      </c>
      <c r="AQ31" s="1078" t="str">
        <f t="shared" si="8"/>
        <v>1-4-1S83°</v>
      </c>
      <c r="AR31" s="1078" t="str">
        <f t="shared" si="9"/>
        <v>30</v>
      </c>
      <c r="AS31" s="1078" t="str">
        <f t="shared" si="10"/>
        <v>220/220/154</v>
      </c>
      <c r="AT31" s="1078" t="str">
        <f t="shared" si="11"/>
        <v>1-4-1S83°</v>
      </c>
      <c r="AV31" s="1078" t="str">
        <f t="shared" si="1"/>
        <v>108.6.14</v>
      </c>
      <c r="AW31" s="1344">
        <f t="shared" si="5"/>
        <v>43630</v>
      </c>
    </row>
    <row r="32" spans="1:49">
      <c r="A32" s="1077" t="s">
        <v>1107</v>
      </c>
      <c r="B32" s="1077" t="s">
        <v>939</v>
      </c>
      <c r="C32" s="1077">
        <v>650</v>
      </c>
      <c r="D32" s="1077">
        <v>1.625</v>
      </c>
      <c r="E32" s="1077" t="s">
        <v>15089</v>
      </c>
      <c r="F32" s="1077" t="s">
        <v>954</v>
      </c>
      <c r="G32" s="1077" t="s">
        <v>940</v>
      </c>
      <c r="H32" s="1077" t="s">
        <v>955</v>
      </c>
      <c r="I32" s="1077" t="s">
        <v>126</v>
      </c>
      <c r="J32" s="1077">
        <v>0.6</v>
      </c>
      <c r="K32" s="1077" t="s">
        <v>950</v>
      </c>
      <c r="L32" s="1077" t="s">
        <v>944</v>
      </c>
      <c r="M32" s="1077">
        <v>51.5</v>
      </c>
      <c r="N32" s="1077" t="s">
        <v>945</v>
      </c>
      <c r="O32" s="1077">
        <v>1.2875000000000001</v>
      </c>
      <c r="P32" s="1077">
        <v>1.03</v>
      </c>
      <c r="Q32" s="1077" t="s">
        <v>946</v>
      </c>
      <c r="R32" s="1077">
        <v>22.5</v>
      </c>
      <c r="T32" s="1077">
        <v>24.5</v>
      </c>
      <c r="U32" s="1077">
        <v>3.3</v>
      </c>
      <c r="V32" s="1077" t="s">
        <v>648</v>
      </c>
      <c r="W32" s="1077">
        <v>120</v>
      </c>
      <c r="X32" s="1077">
        <v>80</v>
      </c>
      <c r="Y32" s="1077">
        <v>2</v>
      </c>
      <c r="Z32" s="1077">
        <v>4</v>
      </c>
      <c r="AA32" s="1077" t="s">
        <v>1108</v>
      </c>
      <c r="AH32" s="1077" t="s">
        <v>889</v>
      </c>
      <c r="AM32" s="1078" t="s">
        <v>9118</v>
      </c>
      <c r="AN32" s="1078" t="s">
        <v>9119</v>
      </c>
      <c r="AO32" s="1078">
        <f t="shared" si="6"/>
        <v>650</v>
      </c>
      <c r="AP32" s="1078">
        <f t="shared" si="7"/>
        <v>1.625</v>
      </c>
      <c r="AQ32" s="1078" t="str">
        <f t="shared" si="8"/>
        <v>1-4-1S83°</v>
      </c>
      <c r="AR32" s="1078" t="str">
        <f t="shared" si="9"/>
        <v>31</v>
      </c>
      <c r="AS32" s="1078" t="str">
        <f t="shared" si="10"/>
        <v>260/260/OFF</v>
      </c>
      <c r="AT32" s="1078" t="str">
        <f t="shared" si="11"/>
        <v>1-4-1S83°</v>
      </c>
      <c r="AV32" s="1078" t="str">
        <f t="shared" si="1"/>
        <v>108.6.13</v>
      </c>
      <c r="AW32" s="1344">
        <f t="shared" si="5"/>
        <v>43629</v>
      </c>
    </row>
    <row r="33" spans="1:49">
      <c r="A33" s="1077" t="s">
        <v>1109</v>
      </c>
      <c r="B33" s="1077" t="s">
        <v>1110</v>
      </c>
      <c r="C33" s="1077">
        <v>600</v>
      </c>
      <c r="D33" s="1077">
        <v>1.42</v>
      </c>
      <c r="E33" s="1077" t="s">
        <v>648</v>
      </c>
      <c r="F33" s="1077" t="s">
        <v>984</v>
      </c>
      <c r="G33" s="1077">
        <v>1.96</v>
      </c>
      <c r="H33" s="1077" t="s">
        <v>1111</v>
      </c>
      <c r="I33" s="1077" t="s">
        <v>1112</v>
      </c>
      <c r="J33" s="1077">
        <v>1.5</v>
      </c>
      <c r="K33" s="1077" t="s">
        <v>1113</v>
      </c>
      <c r="L33" s="1077" t="s">
        <v>1114</v>
      </c>
      <c r="M33" s="1077">
        <v>56.8</v>
      </c>
      <c r="N33" s="1077" t="s">
        <v>945</v>
      </c>
      <c r="O33" s="1077">
        <v>1.42</v>
      </c>
      <c r="P33" s="1077">
        <v>1.1359999999999999</v>
      </c>
      <c r="Q33" s="1077" t="s">
        <v>1115</v>
      </c>
      <c r="R33" s="1077">
        <v>59</v>
      </c>
      <c r="T33" s="1077" t="s">
        <v>648</v>
      </c>
      <c r="U33" s="1077">
        <v>36.5</v>
      </c>
      <c r="V33" s="1077" t="s">
        <v>648</v>
      </c>
      <c r="W33" s="1077" t="s">
        <v>648</v>
      </c>
      <c r="X33" s="1077" t="s">
        <v>648</v>
      </c>
      <c r="Y33" s="1077" t="s">
        <v>648</v>
      </c>
      <c r="Z33" s="1077" t="s">
        <v>648</v>
      </c>
      <c r="AA33" s="1077" t="s">
        <v>1116</v>
      </c>
      <c r="AH33" s="1077" t="s">
        <v>680</v>
      </c>
      <c r="AM33" s="1078" t="s">
        <v>9120</v>
      </c>
      <c r="AN33" s="1078" t="s">
        <v>9121</v>
      </c>
      <c r="AO33" s="1078">
        <f t="shared" si="6"/>
        <v>600</v>
      </c>
      <c r="AP33" s="1078">
        <f t="shared" si="7"/>
        <v>1.42</v>
      </c>
      <c r="AQ33" s="1078" t="str">
        <f t="shared" si="8"/>
        <v>NA</v>
      </c>
      <c r="AR33" s="1078" t="str">
        <f t="shared" si="9"/>
        <v>30</v>
      </c>
      <c r="AS33" s="1078" t="str">
        <f t="shared" si="10"/>
        <v>OFF/120</v>
      </c>
      <c r="AT33" s="1078" t="str">
        <f t="shared" si="11"/>
        <v>NA</v>
      </c>
      <c r="AV33" s="1078" t="str">
        <f t="shared" si="1"/>
        <v>108.6.21</v>
      </c>
      <c r="AW33" s="1344">
        <f t="shared" si="5"/>
        <v>43637</v>
      </c>
    </row>
    <row r="34" spans="1:49">
      <c r="A34" s="1077" t="s">
        <v>1117</v>
      </c>
      <c r="B34" s="1077" t="s">
        <v>1118</v>
      </c>
      <c r="C34" s="1077">
        <v>400</v>
      </c>
      <c r="D34" s="1077">
        <v>1.6</v>
      </c>
      <c r="E34" s="1077" t="s">
        <v>15091</v>
      </c>
      <c r="F34" s="1077" t="s">
        <v>1119</v>
      </c>
      <c r="G34" s="1077">
        <v>2</v>
      </c>
      <c r="H34" s="1077" t="s">
        <v>1120</v>
      </c>
      <c r="I34" s="1077" t="s">
        <v>1112</v>
      </c>
      <c r="J34" s="1077">
        <v>1.1000000000000001</v>
      </c>
      <c r="K34" s="1077" t="s">
        <v>1121</v>
      </c>
      <c r="L34" s="1077" t="s">
        <v>1122</v>
      </c>
      <c r="M34" s="1077">
        <v>55.6</v>
      </c>
      <c r="N34" s="1077" t="s">
        <v>945</v>
      </c>
      <c r="O34" s="1077">
        <v>1.3900000000000001</v>
      </c>
      <c r="P34" s="1077">
        <v>1.1120000000000001</v>
      </c>
      <c r="Q34" s="1077" t="s">
        <v>1123</v>
      </c>
      <c r="R34" s="1077">
        <v>33</v>
      </c>
      <c r="T34" s="1077">
        <v>46.5</v>
      </c>
      <c r="U34" s="1077">
        <v>5.5</v>
      </c>
      <c r="V34" s="1077" t="s">
        <v>648</v>
      </c>
      <c r="W34" s="1077">
        <v>95</v>
      </c>
      <c r="X34" s="1077">
        <v>35</v>
      </c>
      <c r="Y34" s="1077">
        <v>2</v>
      </c>
      <c r="Z34" s="1077" t="s">
        <v>1124</v>
      </c>
      <c r="AA34" s="1077" t="s">
        <v>1125</v>
      </c>
      <c r="AH34" s="1077" t="s">
        <v>812</v>
      </c>
      <c r="AM34" s="1078" t="s">
        <v>9122</v>
      </c>
      <c r="AN34" s="1078" t="s">
        <v>9123</v>
      </c>
      <c r="AO34" s="1078">
        <f t="shared" si="6"/>
        <v>400</v>
      </c>
      <c r="AP34" s="1078">
        <f t="shared" si="7"/>
        <v>1.6</v>
      </c>
      <c r="AQ34" s="1078" t="str">
        <f t="shared" si="8"/>
        <v>2-5-1S83°</v>
      </c>
      <c r="AR34" s="1078" t="str">
        <f t="shared" si="9"/>
        <v>29</v>
      </c>
      <c r="AS34" s="1078" t="str">
        <f t="shared" si="10"/>
        <v>138/OFF</v>
      </c>
      <c r="AT34" s="1078" t="str">
        <f t="shared" si="11"/>
        <v>2-5-1S83°</v>
      </c>
      <c r="AV34" s="1078" t="str">
        <f t="shared" si="1"/>
        <v>108.7.6</v>
      </c>
      <c r="AW34" s="1344">
        <f t="shared" si="5"/>
        <v>43652</v>
      </c>
    </row>
    <row r="35" spans="1:49">
      <c r="A35" s="1077" t="s">
        <v>1126</v>
      </c>
      <c r="B35" s="1077" t="s">
        <v>983</v>
      </c>
      <c r="C35" s="1077">
        <v>600</v>
      </c>
      <c r="D35" s="1077">
        <v>1.75</v>
      </c>
      <c r="E35" s="1077" t="s">
        <v>15089</v>
      </c>
      <c r="F35" s="1077" t="s">
        <v>984</v>
      </c>
      <c r="G35" s="1077" t="s">
        <v>940</v>
      </c>
      <c r="H35" s="1077" t="s">
        <v>1103</v>
      </c>
      <c r="I35" s="1077" t="s">
        <v>126</v>
      </c>
      <c r="J35" s="1077">
        <v>0.9</v>
      </c>
      <c r="K35" s="1077" t="s">
        <v>1098</v>
      </c>
      <c r="L35" s="1077" t="s">
        <v>987</v>
      </c>
      <c r="M35" s="1077">
        <v>51</v>
      </c>
      <c r="N35" s="1077" t="s">
        <v>945</v>
      </c>
      <c r="O35" s="1077">
        <v>1.2750000000000001</v>
      </c>
      <c r="P35" s="1077">
        <v>1.02</v>
      </c>
      <c r="Q35" s="1077" t="s">
        <v>988</v>
      </c>
      <c r="R35" s="1077">
        <v>24</v>
      </c>
      <c r="T35" s="1077">
        <v>7.4</v>
      </c>
      <c r="U35" s="1077">
        <v>2</v>
      </c>
      <c r="V35" s="1077" t="s">
        <v>648</v>
      </c>
      <c r="W35" s="1077">
        <v>125</v>
      </c>
      <c r="X35" s="1077" t="s">
        <v>1105</v>
      </c>
      <c r="Y35" s="1077">
        <v>2</v>
      </c>
      <c r="Z35" s="1077">
        <v>2</v>
      </c>
      <c r="AA35" s="1077" t="s">
        <v>1127</v>
      </c>
      <c r="AH35" s="1077" t="s">
        <v>966</v>
      </c>
      <c r="AI35" s="1077" t="s">
        <v>981</v>
      </c>
      <c r="AM35" s="1078" t="s">
        <v>9124</v>
      </c>
      <c r="AN35" s="1078" t="s">
        <v>9125</v>
      </c>
      <c r="AO35" s="1078">
        <f t="shared" si="6"/>
        <v>600</v>
      </c>
      <c r="AP35" s="1078">
        <f t="shared" si="7"/>
        <v>1.75</v>
      </c>
      <c r="AQ35" s="1078" t="str">
        <f t="shared" si="8"/>
        <v>1-4-1S83°</v>
      </c>
      <c r="AR35" s="1078" t="str">
        <f t="shared" si="9"/>
        <v>30</v>
      </c>
      <c r="AS35" s="1078" t="str">
        <f t="shared" si="10"/>
        <v>220/220/154</v>
      </c>
      <c r="AT35" s="1078" t="str">
        <f t="shared" si="11"/>
        <v>1-4-1S83°</v>
      </c>
      <c r="AV35" s="1078" t="str">
        <f t="shared" si="1"/>
        <v>108.7.8</v>
      </c>
      <c r="AW35" s="1344">
        <f t="shared" si="5"/>
        <v>43654</v>
      </c>
    </row>
    <row r="36" spans="1:49">
      <c r="A36" s="1077" t="s">
        <v>1128</v>
      </c>
      <c r="B36" s="1077" t="s">
        <v>1033</v>
      </c>
      <c r="C36" s="1077">
        <v>550</v>
      </c>
      <c r="D36" s="1077">
        <v>1.645</v>
      </c>
      <c r="E36" s="1077" t="s">
        <v>15089</v>
      </c>
      <c r="F36" s="1077" t="s">
        <v>954</v>
      </c>
      <c r="G36" s="1077" t="s">
        <v>940</v>
      </c>
      <c r="H36" s="1077" t="s">
        <v>1034</v>
      </c>
      <c r="I36" s="1077" t="s">
        <v>126</v>
      </c>
      <c r="J36" s="1077">
        <v>0.5</v>
      </c>
      <c r="K36" s="1077" t="s">
        <v>1129</v>
      </c>
      <c r="L36" s="1077" t="s">
        <v>1036</v>
      </c>
      <c r="M36" s="1077">
        <v>51.5</v>
      </c>
      <c r="N36" s="1077" t="s">
        <v>945</v>
      </c>
      <c r="O36" s="1077">
        <v>1.2875000000000001</v>
      </c>
      <c r="P36" s="1077">
        <v>1.03</v>
      </c>
      <c r="Q36" s="1077" t="s">
        <v>1037</v>
      </c>
      <c r="R36" s="1077">
        <v>23</v>
      </c>
      <c r="T36" s="1077">
        <v>21</v>
      </c>
      <c r="U36" s="1077">
        <v>3.3</v>
      </c>
      <c r="V36" s="1077" t="s">
        <v>648</v>
      </c>
      <c r="W36" s="1077">
        <v>125</v>
      </c>
      <c r="X36" s="1077" t="s">
        <v>1130</v>
      </c>
      <c r="Y36" s="1077">
        <v>1.8</v>
      </c>
      <c r="Z36" s="1077">
        <v>4</v>
      </c>
      <c r="AA36" s="1077" t="s">
        <v>1131</v>
      </c>
      <c r="AH36" s="1077" t="s">
        <v>990</v>
      </c>
      <c r="AI36" s="1077" t="s">
        <v>981</v>
      </c>
      <c r="AM36" s="1078" t="s">
        <v>9126</v>
      </c>
      <c r="AN36" s="1078" t="s">
        <v>9127</v>
      </c>
      <c r="AO36" s="1078">
        <f t="shared" si="6"/>
        <v>550</v>
      </c>
      <c r="AP36" s="1078">
        <f t="shared" si="7"/>
        <v>1.645</v>
      </c>
      <c r="AQ36" s="1078" t="str">
        <f t="shared" si="8"/>
        <v>1-4-1S83°</v>
      </c>
      <c r="AR36" s="1078" t="str">
        <f t="shared" si="9"/>
        <v>31</v>
      </c>
      <c r="AS36" s="1078" t="str">
        <f t="shared" si="10"/>
        <v>237/237/OFF</v>
      </c>
      <c r="AT36" s="1078" t="str">
        <f t="shared" si="11"/>
        <v>1-4-1S83°</v>
      </c>
      <c r="AV36" s="1078" t="str">
        <f t="shared" si="1"/>
        <v>108.7.9</v>
      </c>
      <c r="AW36" s="1344">
        <f t="shared" si="5"/>
        <v>43655</v>
      </c>
    </row>
    <row r="37" spans="1:49">
      <c r="A37" s="1077" t="s">
        <v>1132</v>
      </c>
      <c r="B37" s="1077" t="s">
        <v>1133</v>
      </c>
      <c r="C37" s="1077">
        <v>600</v>
      </c>
      <c r="D37" s="1077">
        <v>1.72</v>
      </c>
      <c r="E37" s="1077" t="s">
        <v>15092</v>
      </c>
      <c r="F37" s="1077" t="s">
        <v>984</v>
      </c>
      <c r="G37" s="1077" t="s">
        <v>1001</v>
      </c>
      <c r="H37" s="1077" t="s">
        <v>1077</v>
      </c>
      <c r="I37" s="1077" t="s">
        <v>126</v>
      </c>
      <c r="J37" s="1077">
        <v>0.4</v>
      </c>
      <c r="K37" s="1077" t="s">
        <v>1134</v>
      </c>
      <c r="L37" s="1077" t="s">
        <v>1135</v>
      </c>
      <c r="M37" s="1077">
        <v>49.3</v>
      </c>
      <c r="N37" s="1077" t="s">
        <v>945</v>
      </c>
      <c r="O37" s="1077">
        <v>1.2324999999999999</v>
      </c>
      <c r="P37" s="1077">
        <v>0.98599999999999999</v>
      </c>
      <c r="Q37" s="1077" t="s">
        <v>946</v>
      </c>
      <c r="R37" s="1077">
        <v>24</v>
      </c>
      <c r="T37" s="1077">
        <v>31</v>
      </c>
      <c r="U37" s="1077">
        <v>3.4</v>
      </c>
      <c r="V37" s="1077" t="s">
        <v>648</v>
      </c>
      <c r="W37" s="1077">
        <v>30</v>
      </c>
      <c r="X37" s="1077">
        <v>10</v>
      </c>
      <c r="Y37" s="1077">
        <v>2.2999999999999998</v>
      </c>
      <c r="Z37" s="1077">
        <v>4.5</v>
      </c>
      <c r="AA37" s="1077" t="s">
        <v>1136</v>
      </c>
      <c r="AH37" s="1077" t="s">
        <v>1137</v>
      </c>
      <c r="AM37" s="1078" t="s">
        <v>9128</v>
      </c>
      <c r="AN37" s="1078" t="s">
        <v>9129</v>
      </c>
      <c r="AO37" s="1078">
        <f t="shared" si="6"/>
        <v>600</v>
      </c>
      <c r="AP37" s="1078">
        <f t="shared" si="7"/>
        <v>1.72</v>
      </c>
      <c r="AQ37" s="1078" t="str">
        <f t="shared" si="8"/>
        <v>1-4-1S83°S撚</v>
      </c>
      <c r="AR37" s="1078" t="str">
        <f t="shared" si="9"/>
        <v>30</v>
      </c>
      <c r="AS37" s="1078" t="str">
        <f t="shared" si="10"/>
        <v>245/245/OFF</v>
      </c>
      <c r="AT37" s="1078" t="str">
        <f t="shared" si="11"/>
        <v>1-4-1S83°S撚</v>
      </c>
      <c r="AU37" s="1078" t="s">
        <v>15545</v>
      </c>
      <c r="AV37" s="1078" t="str">
        <f t="shared" si="1"/>
        <v>108.7.17</v>
      </c>
      <c r="AW37" s="1344">
        <f t="shared" si="5"/>
        <v>43663</v>
      </c>
    </row>
    <row r="38" spans="1:49">
      <c r="A38" s="1077" t="s">
        <v>1138</v>
      </c>
      <c r="B38" s="1077" t="s">
        <v>983</v>
      </c>
      <c r="C38" s="1077">
        <v>600</v>
      </c>
      <c r="D38" s="1077">
        <v>1.75</v>
      </c>
      <c r="E38" s="1077" t="s">
        <v>15089</v>
      </c>
      <c r="F38" s="1077" t="s">
        <v>984</v>
      </c>
      <c r="G38" s="1077" t="s">
        <v>940</v>
      </c>
      <c r="H38" s="1077" t="s">
        <v>1103</v>
      </c>
      <c r="I38" s="1077" t="s">
        <v>126</v>
      </c>
      <c r="J38" s="1077">
        <v>0.9</v>
      </c>
      <c r="K38" s="1077" t="s">
        <v>1139</v>
      </c>
      <c r="L38" s="1077" t="s">
        <v>987</v>
      </c>
      <c r="M38" s="1077">
        <v>51</v>
      </c>
      <c r="N38" s="1077" t="s">
        <v>945</v>
      </c>
      <c r="O38" s="1077">
        <v>1.2750000000000001</v>
      </c>
      <c r="P38" s="1077">
        <v>1.02</v>
      </c>
      <c r="Q38" s="1077" t="s">
        <v>988</v>
      </c>
      <c r="R38" s="1077">
        <v>24</v>
      </c>
      <c r="T38" s="1077">
        <v>7.4</v>
      </c>
      <c r="U38" s="1077">
        <v>2</v>
      </c>
      <c r="V38" s="1077" t="s">
        <v>648</v>
      </c>
      <c r="W38" s="1077">
        <v>125</v>
      </c>
      <c r="X38" s="1077" t="s">
        <v>1140</v>
      </c>
      <c r="Y38" s="1077">
        <v>2</v>
      </c>
      <c r="Z38" s="1077" t="s">
        <v>1141</v>
      </c>
      <c r="AA38" s="1077" t="s">
        <v>1142</v>
      </c>
      <c r="AH38" s="1077" t="s">
        <v>1143</v>
      </c>
      <c r="AI38" s="1077" t="s">
        <v>981</v>
      </c>
      <c r="AM38" s="1078" t="s">
        <v>9130</v>
      </c>
      <c r="AN38" s="1078" t="s">
        <v>9131</v>
      </c>
      <c r="AO38" s="1078">
        <f t="shared" si="6"/>
        <v>600</v>
      </c>
      <c r="AP38" s="1078">
        <f t="shared" si="7"/>
        <v>1.75</v>
      </c>
      <c r="AQ38" s="1078" t="str">
        <f t="shared" si="8"/>
        <v>1-4-1S83°</v>
      </c>
      <c r="AR38" s="1078" t="str">
        <f t="shared" si="9"/>
        <v>30</v>
      </c>
      <c r="AS38" s="1078" t="str">
        <f t="shared" si="10"/>
        <v>220/220/154</v>
      </c>
      <c r="AT38" s="1078" t="str">
        <f t="shared" si="11"/>
        <v>1-4-1S83°</v>
      </c>
      <c r="AV38" s="1078" t="str">
        <f t="shared" si="1"/>
        <v>108.7.22</v>
      </c>
      <c r="AW38" s="1344">
        <f t="shared" si="5"/>
        <v>43668</v>
      </c>
    </row>
    <row r="39" spans="1:49">
      <c r="A39" s="1077" t="s">
        <v>1144</v>
      </c>
      <c r="B39" s="1077" t="s">
        <v>983</v>
      </c>
      <c r="C39" s="1077">
        <v>650</v>
      </c>
      <c r="D39" s="1077">
        <v>1.7</v>
      </c>
      <c r="E39" s="1077" t="s">
        <v>15089</v>
      </c>
      <c r="F39" s="1077" t="s">
        <v>984</v>
      </c>
      <c r="G39" s="1077" t="s">
        <v>940</v>
      </c>
      <c r="H39" s="1077" t="s">
        <v>1145</v>
      </c>
      <c r="I39" s="1077" t="s">
        <v>126</v>
      </c>
      <c r="J39" s="1077">
        <v>0.7</v>
      </c>
      <c r="K39" s="1077" t="s">
        <v>1139</v>
      </c>
      <c r="L39" s="1077" t="s">
        <v>987</v>
      </c>
      <c r="M39" s="1077">
        <v>51.5</v>
      </c>
      <c r="N39" s="1077" t="s">
        <v>945</v>
      </c>
      <c r="O39" s="1077">
        <v>1.2875000000000001</v>
      </c>
      <c r="P39" s="1077">
        <v>1.03</v>
      </c>
      <c r="Q39" s="1077" t="s">
        <v>961</v>
      </c>
      <c r="R39" s="1077">
        <v>24.5</v>
      </c>
      <c r="T39" s="1077">
        <v>20</v>
      </c>
      <c r="U39" s="1077">
        <v>3.4</v>
      </c>
      <c r="V39" s="1077" t="s">
        <v>648</v>
      </c>
      <c r="W39" s="1077">
        <v>125</v>
      </c>
      <c r="X39" s="1077" t="s">
        <v>1063</v>
      </c>
      <c r="Y39" s="1077">
        <v>2.2000000000000002</v>
      </c>
      <c r="Z39" s="1077" t="s">
        <v>1146</v>
      </c>
      <c r="AA39" s="1077" t="s">
        <v>1147</v>
      </c>
      <c r="AH39" s="1077" t="s">
        <v>758</v>
      </c>
      <c r="AI39" s="1077" t="s">
        <v>981</v>
      </c>
      <c r="AM39" s="1078" t="s">
        <v>9132</v>
      </c>
      <c r="AN39" s="1078" t="s">
        <v>9133</v>
      </c>
      <c r="AO39" s="1078">
        <f t="shared" si="6"/>
        <v>650</v>
      </c>
      <c r="AP39" s="1078">
        <f t="shared" si="7"/>
        <v>1.7</v>
      </c>
      <c r="AQ39" s="1078" t="str">
        <f t="shared" si="8"/>
        <v>1-4-1S83°</v>
      </c>
      <c r="AR39" s="1078" t="str">
        <f t="shared" si="9"/>
        <v>30</v>
      </c>
      <c r="AS39" s="1078" t="str">
        <f t="shared" si="10"/>
        <v>235/235/OFF</v>
      </c>
      <c r="AT39" s="1078" t="str">
        <f t="shared" si="11"/>
        <v>1-4-1S83°</v>
      </c>
      <c r="AV39" s="1078" t="str">
        <f t="shared" si="1"/>
        <v>108.7.20</v>
      </c>
      <c r="AW39" s="1344">
        <f t="shared" si="5"/>
        <v>43666</v>
      </c>
    </row>
    <row r="40" spans="1:49">
      <c r="A40" s="1077" t="s">
        <v>1148</v>
      </c>
      <c r="B40" s="1077" t="s">
        <v>983</v>
      </c>
      <c r="C40" s="1077">
        <v>650</v>
      </c>
      <c r="D40" s="1077">
        <v>1.7</v>
      </c>
      <c r="E40" s="1077" t="s">
        <v>15089</v>
      </c>
      <c r="F40" s="1077" t="s">
        <v>984</v>
      </c>
      <c r="G40" s="1077" t="s">
        <v>940</v>
      </c>
      <c r="H40" s="1077" t="s">
        <v>1077</v>
      </c>
      <c r="I40" s="1077" t="s">
        <v>126</v>
      </c>
      <c r="J40" s="1077">
        <v>0.7</v>
      </c>
      <c r="K40" s="1077" t="s">
        <v>1062</v>
      </c>
      <c r="L40" s="1077" t="s">
        <v>987</v>
      </c>
      <c r="M40" s="1077">
        <v>51.5</v>
      </c>
      <c r="N40" s="1077" t="s">
        <v>945</v>
      </c>
      <c r="O40" s="1077">
        <v>1.2875000000000001</v>
      </c>
      <c r="P40" s="1077">
        <v>1.03</v>
      </c>
      <c r="Q40" s="1077" t="s">
        <v>946</v>
      </c>
      <c r="R40" s="1077">
        <v>24.5</v>
      </c>
      <c r="T40" s="1077">
        <v>20</v>
      </c>
      <c r="U40" s="1077">
        <v>3.4</v>
      </c>
      <c r="V40" s="1077" t="s">
        <v>648</v>
      </c>
      <c r="W40" s="1077">
        <v>125</v>
      </c>
      <c r="X40" s="1077" t="s">
        <v>1063</v>
      </c>
      <c r="Y40" s="1077">
        <v>2.2000000000000002</v>
      </c>
      <c r="Z40" s="1077" t="s">
        <v>1146</v>
      </c>
      <c r="AA40" s="1077" t="s">
        <v>1149</v>
      </c>
      <c r="AH40" s="1077" t="s">
        <v>621</v>
      </c>
      <c r="AI40" s="1077" t="s">
        <v>981</v>
      </c>
      <c r="AM40" s="1078" t="s">
        <v>9134</v>
      </c>
      <c r="AN40" s="1078" t="s">
        <v>9135</v>
      </c>
      <c r="AO40" s="1078">
        <f t="shared" si="6"/>
        <v>650</v>
      </c>
      <c r="AP40" s="1078">
        <f t="shared" si="7"/>
        <v>1.7</v>
      </c>
      <c r="AQ40" s="1078" t="str">
        <f t="shared" si="8"/>
        <v>1-4-1S83°</v>
      </c>
      <c r="AR40" s="1078" t="str">
        <f t="shared" si="9"/>
        <v>30</v>
      </c>
      <c r="AS40" s="1078" t="str">
        <f t="shared" si="10"/>
        <v>245/245/OFF</v>
      </c>
      <c r="AT40" s="1078" t="str">
        <f t="shared" si="11"/>
        <v>1-4-1S83°</v>
      </c>
      <c r="AV40" s="1078" t="str">
        <f t="shared" si="1"/>
        <v>108.7.31</v>
      </c>
      <c r="AW40" s="1344">
        <f t="shared" si="5"/>
        <v>43677</v>
      </c>
    </row>
    <row r="41" spans="1:49">
      <c r="A41" s="1077" t="s">
        <v>1150</v>
      </c>
      <c r="B41" s="1077" t="s">
        <v>872</v>
      </c>
      <c r="C41" s="1077">
        <v>650</v>
      </c>
      <c r="D41" s="1077">
        <v>1.67</v>
      </c>
      <c r="E41" s="1077" t="s">
        <v>15088</v>
      </c>
      <c r="F41" s="1077" t="s">
        <v>648</v>
      </c>
      <c r="G41" s="1077" t="s">
        <v>940</v>
      </c>
      <c r="H41" s="1077" t="s">
        <v>941</v>
      </c>
      <c r="I41" s="1077" t="s">
        <v>626</v>
      </c>
      <c r="J41" s="1077">
        <v>2.2000000000000002</v>
      </c>
      <c r="K41" s="1077" t="s">
        <v>1151</v>
      </c>
      <c r="L41" s="1077" t="s">
        <v>978</v>
      </c>
      <c r="M41" s="1077">
        <v>50.4</v>
      </c>
      <c r="N41" s="1077" t="s">
        <v>945</v>
      </c>
      <c r="O41" s="1077">
        <v>1.26</v>
      </c>
      <c r="P41" s="1077">
        <v>1.008</v>
      </c>
      <c r="Q41" s="1077" t="s">
        <v>961</v>
      </c>
      <c r="R41" s="1077">
        <v>21.2</v>
      </c>
      <c r="T41" s="1077">
        <v>29</v>
      </c>
      <c r="U41" s="1077">
        <v>3.4</v>
      </c>
      <c r="V41" s="1077" t="s">
        <v>648</v>
      </c>
      <c r="W41" s="1077">
        <v>155</v>
      </c>
      <c r="X41" s="1077">
        <v>90</v>
      </c>
      <c r="Y41" s="1077">
        <v>1.6</v>
      </c>
      <c r="Z41" s="1077">
        <v>4.5</v>
      </c>
      <c r="AA41" s="1077" t="s">
        <v>1152</v>
      </c>
      <c r="AH41" s="1077" t="s">
        <v>868</v>
      </c>
      <c r="AM41" s="1078" t="s">
        <v>9136</v>
      </c>
      <c r="AN41" s="1078" t="s">
        <v>9137</v>
      </c>
      <c r="AO41" s="1078">
        <f t="shared" si="6"/>
        <v>650</v>
      </c>
      <c r="AP41" s="1078">
        <f t="shared" si="7"/>
        <v>1.67</v>
      </c>
      <c r="AQ41" s="1078" t="str">
        <f t="shared" si="8"/>
        <v>1-4-1S85°</v>
      </c>
      <c r="AR41" s="1078" t="str">
        <f t="shared" si="9"/>
        <v>NA</v>
      </c>
      <c r="AS41" s="1078" t="str">
        <f t="shared" si="10"/>
        <v>185/OFF</v>
      </c>
      <c r="AT41" s="1078" t="str">
        <f t="shared" si="11"/>
        <v>1-4-1S85°</v>
      </c>
      <c r="AV41" s="1078" t="str">
        <f t="shared" si="1"/>
        <v>108.8.5</v>
      </c>
      <c r="AW41" s="1344">
        <f t="shared" si="5"/>
        <v>43682</v>
      </c>
    </row>
    <row r="42" spans="1:49">
      <c r="A42" s="1077" t="s">
        <v>1153</v>
      </c>
      <c r="B42" s="1077" t="s">
        <v>1154</v>
      </c>
      <c r="C42" s="1077">
        <v>550</v>
      </c>
      <c r="D42" s="1077">
        <v>1.74</v>
      </c>
      <c r="E42" s="1077" t="s">
        <v>15089</v>
      </c>
      <c r="F42" s="1077" t="s">
        <v>954</v>
      </c>
      <c r="G42" s="1077" t="s">
        <v>940</v>
      </c>
      <c r="H42" s="1077" t="s">
        <v>1155</v>
      </c>
      <c r="I42" s="1077" t="s">
        <v>126</v>
      </c>
      <c r="J42" s="1077">
        <v>1</v>
      </c>
      <c r="K42" s="1077" t="s">
        <v>1156</v>
      </c>
      <c r="L42" s="1077" t="s">
        <v>1157</v>
      </c>
      <c r="M42" s="1077">
        <v>49.5</v>
      </c>
      <c r="N42" s="1077" t="s">
        <v>945</v>
      </c>
      <c r="O42" s="1077">
        <v>1.2375</v>
      </c>
      <c r="P42" s="1077">
        <v>0.99</v>
      </c>
      <c r="Q42" s="1077" t="s">
        <v>961</v>
      </c>
      <c r="R42" s="1077">
        <v>23</v>
      </c>
      <c r="T42" s="1077">
        <v>31</v>
      </c>
      <c r="U42" s="1077">
        <v>3.3</v>
      </c>
      <c r="V42" s="1077" t="s">
        <v>648</v>
      </c>
      <c r="W42" s="1077">
        <v>110</v>
      </c>
      <c r="X42" s="1077">
        <v>70</v>
      </c>
      <c r="Y42" s="1077">
        <v>2.7</v>
      </c>
      <c r="Z42" s="1077">
        <v>4.5</v>
      </c>
      <c r="AA42" s="1077" t="s">
        <v>1158</v>
      </c>
      <c r="AH42" s="1077" t="s">
        <v>466</v>
      </c>
      <c r="AM42" s="1078" t="s">
        <v>9138</v>
      </c>
      <c r="AN42" s="1078" t="s">
        <v>9139</v>
      </c>
      <c r="AO42" s="1078">
        <f t="shared" si="6"/>
        <v>550</v>
      </c>
      <c r="AP42" s="1078">
        <f t="shared" si="7"/>
        <v>1.74</v>
      </c>
      <c r="AQ42" s="1078" t="str">
        <f t="shared" si="8"/>
        <v>1-4-1S83°</v>
      </c>
      <c r="AR42" s="1078" t="str">
        <f t="shared" si="9"/>
        <v>31</v>
      </c>
      <c r="AS42" s="1078" t="str">
        <f t="shared" si="10"/>
        <v>215/215/OFF</v>
      </c>
      <c r="AT42" s="1078" t="str">
        <f t="shared" si="11"/>
        <v>1-4-1S83°</v>
      </c>
      <c r="AV42" s="1078" t="str">
        <f t="shared" si="1"/>
        <v>108.8.6</v>
      </c>
      <c r="AW42" s="1344">
        <f t="shared" si="5"/>
        <v>43683</v>
      </c>
    </row>
    <row r="43" spans="1:49">
      <c r="A43" s="1077" t="s">
        <v>1159</v>
      </c>
      <c r="B43" s="1077" t="s">
        <v>939</v>
      </c>
      <c r="C43" s="1077">
        <v>650</v>
      </c>
      <c r="D43" s="1077">
        <v>1.64</v>
      </c>
      <c r="E43" s="1077" t="s">
        <v>15088</v>
      </c>
      <c r="F43" s="1077" t="s">
        <v>648</v>
      </c>
      <c r="G43" s="1077" t="s">
        <v>940</v>
      </c>
      <c r="H43" s="1077" t="s">
        <v>1048</v>
      </c>
      <c r="I43" s="1077" t="s">
        <v>126</v>
      </c>
      <c r="J43" s="1077">
        <v>0.7</v>
      </c>
      <c r="K43" s="1077" t="s">
        <v>1160</v>
      </c>
      <c r="L43" s="1077" t="s">
        <v>944</v>
      </c>
      <c r="M43" s="1077">
        <v>51.5</v>
      </c>
      <c r="N43" s="1077" t="s">
        <v>945</v>
      </c>
      <c r="O43" s="1077">
        <v>1.2875000000000001</v>
      </c>
      <c r="P43" s="1077">
        <v>1.03</v>
      </c>
      <c r="Q43" s="1077" t="s">
        <v>956</v>
      </c>
      <c r="R43" s="1077">
        <v>22.5</v>
      </c>
      <c r="T43" s="1077">
        <v>24.5</v>
      </c>
      <c r="U43" s="1077">
        <v>3.3</v>
      </c>
      <c r="V43" s="1077" t="s">
        <v>648</v>
      </c>
      <c r="W43" s="1077">
        <v>120</v>
      </c>
      <c r="X43" s="1077">
        <v>80</v>
      </c>
      <c r="Y43" s="1077">
        <v>2</v>
      </c>
      <c r="Z43" s="1077">
        <v>4</v>
      </c>
      <c r="AA43" s="1077" t="s">
        <v>1161</v>
      </c>
      <c r="AH43" s="1077" t="s">
        <v>1053</v>
      </c>
      <c r="AM43" s="1078" t="s">
        <v>9140</v>
      </c>
      <c r="AN43" s="1078" t="s">
        <v>9141</v>
      </c>
      <c r="AO43" s="1078">
        <f t="shared" si="6"/>
        <v>650</v>
      </c>
      <c r="AP43" s="1078">
        <f t="shared" si="7"/>
        <v>1.64</v>
      </c>
      <c r="AQ43" s="1078" t="str">
        <f t="shared" si="8"/>
        <v>1-4-1S85°</v>
      </c>
      <c r="AR43" s="1078" t="str">
        <f t="shared" si="9"/>
        <v>NA</v>
      </c>
      <c r="AS43" s="1078" t="str">
        <f t="shared" si="10"/>
        <v>188/OFF</v>
      </c>
      <c r="AT43" s="1078" t="str">
        <f t="shared" si="11"/>
        <v>1-4-1S85°</v>
      </c>
      <c r="AV43" s="1078" t="str">
        <f t="shared" si="1"/>
        <v>108.8.8</v>
      </c>
      <c r="AW43" s="1344">
        <f t="shared" si="5"/>
        <v>43685</v>
      </c>
    </row>
    <row r="44" spans="1:49">
      <c r="A44" s="1077" t="s">
        <v>1162</v>
      </c>
      <c r="B44" s="1077" t="s">
        <v>983</v>
      </c>
      <c r="C44" s="1077">
        <v>650</v>
      </c>
      <c r="D44" s="1077">
        <v>1.7</v>
      </c>
      <c r="E44" s="1077" t="s">
        <v>15089</v>
      </c>
      <c r="F44" s="1077" t="s">
        <v>984</v>
      </c>
      <c r="G44" s="1077" t="s">
        <v>940</v>
      </c>
      <c r="H44" s="1077" t="s">
        <v>1077</v>
      </c>
      <c r="I44" s="1077" t="s">
        <v>126</v>
      </c>
      <c r="J44" s="1077">
        <v>0.7</v>
      </c>
      <c r="K44" s="1077" t="s">
        <v>1163</v>
      </c>
      <c r="L44" s="1077" t="s">
        <v>987</v>
      </c>
      <c r="M44" s="1077">
        <v>51.5</v>
      </c>
      <c r="N44" s="1077" t="s">
        <v>945</v>
      </c>
      <c r="O44" s="1077">
        <v>1.2875000000000001</v>
      </c>
      <c r="P44" s="1077">
        <v>1.03</v>
      </c>
      <c r="Q44" s="1077" t="s">
        <v>946</v>
      </c>
      <c r="R44" s="1077">
        <v>24.5</v>
      </c>
      <c r="T44" s="1077">
        <v>20</v>
      </c>
      <c r="U44" s="1077">
        <v>3.4</v>
      </c>
      <c r="V44" s="1077" t="s">
        <v>648</v>
      </c>
      <c r="W44" s="1077">
        <v>125</v>
      </c>
      <c r="X44" s="1077" t="s">
        <v>1063</v>
      </c>
      <c r="Y44" s="1077">
        <v>2.2000000000000002</v>
      </c>
      <c r="Z44" s="1077">
        <v>4</v>
      </c>
      <c r="AA44" s="1077" t="s">
        <v>1164</v>
      </c>
      <c r="AH44" s="1077" t="s">
        <v>724</v>
      </c>
      <c r="AI44" s="1077" t="s">
        <v>981</v>
      </c>
      <c r="AM44" s="1078" t="s">
        <v>9142</v>
      </c>
      <c r="AN44" s="1078" t="s">
        <v>9143</v>
      </c>
      <c r="AO44" s="1078">
        <f t="shared" si="6"/>
        <v>650</v>
      </c>
      <c r="AP44" s="1078">
        <f t="shared" si="7"/>
        <v>1.7</v>
      </c>
      <c r="AQ44" s="1078" t="str">
        <f t="shared" si="8"/>
        <v>1-4-1S83°</v>
      </c>
      <c r="AR44" s="1078" t="str">
        <f t="shared" si="9"/>
        <v>30</v>
      </c>
      <c r="AS44" s="1078" t="str">
        <f t="shared" si="10"/>
        <v>245/245/OFF</v>
      </c>
      <c r="AT44" s="1078" t="str">
        <f t="shared" si="11"/>
        <v>1-4-1S83°</v>
      </c>
      <c r="AV44" s="1078" t="str">
        <f t="shared" si="1"/>
        <v>108.8.7</v>
      </c>
      <c r="AW44" s="1344">
        <f t="shared" si="5"/>
        <v>43684</v>
      </c>
    </row>
    <row r="45" spans="1:49">
      <c r="A45" s="1077" t="s">
        <v>1165</v>
      </c>
      <c r="B45" s="1077" t="s">
        <v>939</v>
      </c>
      <c r="C45" s="1077">
        <v>600</v>
      </c>
      <c r="D45" s="1077">
        <v>1.625</v>
      </c>
      <c r="E45" s="1077" t="s">
        <v>15091</v>
      </c>
      <c r="F45" s="1077" t="s">
        <v>1119</v>
      </c>
      <c r="G45" s="1077" t="s">
        <v>940</v>
      </c>
      <c r="H45" s="1077" t="s">
        <v>1166</v>
      </c>
      <c r="I45" s="1077" t="s">
        <v>1167</v>
      </c>
      <c r="J45" s="1077">
        <v>0.7</v>
      </c>
      <c r="K45" s="1077" t="s">
        <v>1160</v>
      </c>
      <c r="L45" s="1077" t="s">
        <v>944</v>
      </c>
      <c r="M45" s="1077">
        <v>51.5</v>
      </c>
      <c r="N45" s="1077" t="s">
        <v>945</v>
      </c>
      <c r="O45" s="1077">
        <v>1.2875000000000001</v>
      </c>
      <c r="P45" s="1077">
        <v>1.03</v>
      </c>
      <c r="Q45" s="1077" t="s">
        <v>1037</v>
      </c>
      <c r="R45" s="1077">
        <v>22.5</v>
      </c>
      <c r="T45" s="1077">
        <v>24.5</v>
      </c>
      <c r="U45" s="1077">
        <v>3.3</v>
      </c>
      <c r="V45" s="1077" t="s">
        <v>648</v>
      </c>
      <c r="W45" s="1077">
        <v>120</v>
      </c>
      <c r="X45" s="1077">
        <v>80</v>
      </c>
      <c r="Y45" s="1077">
        <v>2</v>
      </c>
      <c r="Z45" s="1077" t="s">
        <v>1168</v>
      </c>
      <c r="AA45" s="1077" t="s">
        <v>1169</v>
      </c>
      <c r="AH45" s="1077" t="s">
        <v>1170</v>
      </c>
      <c r="AM45" s="1078" t="s">
        <v>9144</v>
      </c>
      <c r="AN45" s="1078" t="s">
        <v>9145</v>
      </c>
      <c r="AO45" s="1078">
        <f t="shared" si="6"/>
        <v>600</v>
      </c>
      <c r="AP45" s="1078">
        <f t="shared" si="7"/>
        <v>1.625</v>
      </c>
      <c r="AQ45" s="1078" t="str">
        <f t="shared" si="8"/>
        <v>2-5-1S83°</v>
      </c>
      <c r="AR45" s="1078" t="str">
        <f t="shared" si="9"/>
        <v>29</v>
      </c>
      <c r="AS45" s="1078" t="str">
        <f t="shared" si="10"/>
        <v>170/OFF</v>
      </c>
      <c r="AT45" s="1078" t="str">
        <f t="shared" si="11"/>
        <v>2-5-1S83°</v>
      </c>
      <c r="AV45" s="1078" t="str">
        <f t="shared" si="1"/>
        <v>108.8.12</v>
      </c>
      <c r="AW45" s="1344">
        <f t="shared" si="5"/>
        <v>43689</v>
      </c>
    </row>
    <row r="46" spans="1:49">
      <c r="A46" s="1077" t="s">
        <v>1171</v>
      </c>
      <c r="B46" s="1077" t="s">
        <v>983</v>
      </c>
      <c r="C46" s="1077">
        <v>650</v>
      </c>
      <c r="D46" s="1077">
        <v>1.75</v>
      </c>
      <c r="E46" s="1077" t="s">
        <v>15089</v>
      </c>
      <c r="F46" s="1077" t="s">
        <v>984</v>
      </c>
      <c r="G46" s="1077" t="s">
        <v>940</v>
      </c>
      <c r="H46" s="1077" t="s">
        <v>985</v>
      </c>
      <c r="I46" s="1077" t="s">
        <v>126</v>
      </c>
      <c r="J46" s="1077">
        <v>1</v>
      </c>
      <c r="K46" s="1077" t="s">
        <v>1163</v>
      </c>
      <c r="L46" s="1077" t="s">
        <v>987</v>
      </c>
      <c r="M46" s="1077">
        <v>51</v>
      </c>
      <c r="N46" s="1077" t="s">
        <v>945</v>
      </c>
      <c r="O46" s="1077">
        <v>1.2750000000000001</v>
      </c>
      <c r="P46" s="1077">
        <v>1.02</v>
      </c>
      <c r="Q46" s="1077" t="s">
        <v>1037</v>
      </c>
      <c r="R46" s="1077">
        <v>24</v>
      </c>
      <c r="T46" s="1077">
        <v>7.4</v>
      </c>
      <c r="U46" s="1077">
        <v>2</v>
      </c>
      <c r="V46" s="1077" t="s">
        <v>648</v>
      </c>
      <c r="W46" s="1077">
        <v>125</v>
      </c>
      <c r="X46" s="1077" t="s">
        <v>1105</v>
      </c>
      <c r="Y46" s="1077">
        <v>2</v>
      </c>
      <c r="Z46" s="1077">
        <v>2</v>
      </c>
      <c r="AA46" s="1077" t="s">
        <v>1169</v>
      </c>
      <c r="AH46" s="1077" t="s">
        <v>762</v>
      </c>
      <c r="AI46" s="1077" t="s">
        <v>981</v>
      </c>
      <c r="AM46" s="1078" t="s">
        <v>9146</v>
      </c>
      <c r="AN46" s="1078" t="s">
        <v>9147</v>
      </c>
      <c r="AO46" s="1078">
        <f t="shared" si="6"/>
        <v>650</v>
      </c>
      <c r="AP46" s="1078">
        <f t="shared" si="7"/>
        <v>1.75</v>
      </c>
      <c r="AQ46" s="1078" t="str">
        <f t="shared" si="8"/>
        <v>1-4-1S83°</v>
      </c>
      <c r="AR46" s="1078" t="str">
        <f t="shared" si="9"/>
        <v>30</v>
      </c>
      <c r="AS46" s="1078" t="str">
        <f t="shared" si="10"/>
        <v>230/230/155</v>
      </c>
      <c r="AT46" s="1078" t="str">
        <f t="shared" si="11"/>
        <v>1-4-1S83°</v>
      </c>
      <c r="AV46" s="1078" t="str">
        <f t="shared" si="1"/>
        <v>108.8.12</v>
      </c>
      <c r="AW46" s="1344">
        <f t="shared" si="5"/>
        <v>43689</v>
      </c>
    </row>
    <row r="47" spans="1:49">
      <c r="A47" s="1077" t="s">
        <v>1172</v>
      </c>
      <c r="B47" s="1077" t="s">
        <v>874</v>
      </c>
      <c r="C47" s="1077">
        <v>500</v>
      </c>
      <c r="D47" s="1077">
        <v>1.7769999999999999</v>
      </c>
      <c r="E47" s="1077" t="s">
        <v>15091</v>
      </c>
      <c r="F47" s="1077" t="s">
        <v>1173</v>
      </c>
      <c r="G47" s="1077" t="s">
        <v>1174</v>
      </c>
      <c r="H47" s="1077" t="s">
        <v>1166</v>
      </c>
      <c r="I47" s="1077" t="s">
        <v>1112</v>
      </c>
      <c r="J47" s="1077">
        <v>1</v>
      </c>
      <c r="K47" s="1077" t="s">
        <v>1175</v>
      </c>
      <c r="L47" s="1077" t="s">
        <v>1176</v>
      </c>
      <c r="M47" s="1077">
        <v>51.8</v>
      </c>
      <c r="N47" s="1077" t="s">
        <v>945</v>
      </c>
      <c r="O47" s="1077">
        <v>1.2949999999999999</v>
      </c>
      <c r="P47" s="1077">
        <v>1.036</v>
      </c>
      <c r="Q47" s="1077" t="s">
        <v>1037</v>
      </c>
      <c r="R47" s="1077">
        <v>20.100000000000001</v>
      </c>
      <c r="T47" s="1077">
        <v>30</v>
      </c>
      <c r="U47" s="1077">
        <v>3.8</v>
      </c>
      <c r="V47" s="1077" t="s">
        <v>648</v>
      </c>
      <c r="W47" s="1077">
        <v>120</v>
      </c>
      <c r="X47" s="1077">
        <v>75</v>
      </c>
      <c r="Y47" s="1077">
        <v>2.1</v>
      </c>
      <c r="Z47" s="1077">
        <v>3.4</v>
      </c>
      <c r="AA47" s="1077" t="s">
        <v>1177</v>
      </c>
      <c r="AH47" s="1077" t="s">
        <v>1178</v>
      </c>
      <c r="AM47" s="1078" t="s">
        <v>9148</v>
      </c>
      <c r="AN47" s="1078" t="s">
        <v>9149</v>
      </c>
      <c r="AO47" s="1078">
        <f t="shared" si="6"/>
        <v>500</v>
      </c>
      <c r="AP47" s="1078">
        <f t="shared" si="7"/>
        <v>1.7769999999999999</v>
      </c>
      <c r="AQ47" s="1078" t="str">
        <f t="shared" si="8"/>
        <v>2-5-1S83°</v>
      </c>
      <c r="AR47" s="1078" t="str">
        <f t="shared" si="9"/>
        <v>28.5</v>
      </c>
      <c r="AS47" s="1078" t="str">
        <f t="shared" si="10"/>
        <v>170/OFF</v>
      </c>
      <c r="AT47" s="1078" t="str">
        <f t="shared" si="11"/>
        <v>2-5-1S83°</v>
      </c>
      <c r="AV47" s="1078" t="str">
        <f t="shared" si="1"/>
        <v>108.8.15</v>
      </c>
      <c r="AW47" s="1344">
        <f t="shared" si="5"/>
        <v>43692</v>
      </c>
    </row>
    <row r="48" spans="1:49">
      <c r="A48" s="1077" t="s">
        <v>1179</v>
      </c>
      <c r="B48" s="1077" t="s">
        <v>983</v>
      </c>
      <c r="C48" s="1077">
        <v>650</v>
      </c>
      <c r="D48" s="1077">
        <v>1.7</v>
      </c>
      <c r="E48" s="1077" t="s">
        <v>15089</v>
      </c>
      <c r="F48" s="1077" t="s">
        <v>984</v>
      </c>
      <c r="G48" s="1077" t="s">
        <v>940</v>
      </c>
      <c r="H48" s="1077" t="s">
        <v>1077</v>
      </c>
      <c r="I48" s="1077" t="s">
        <v>126</v>
      </c>
      <c r="J48" s="1077">
        <v>0.7</v>
      </c>
      <c r="K48" s="1077" t="s">
        <v>1180</v>
      </c>
      <c r="L48" s="1077" t="s">
        <v>987</v>
      </c>
      <c r="M48" s="1077">
        <v>51.5</v>
      </c>
      <c r="N48" s="1077" t="s">
        <v>945</v>
      </c>
      <c r="O48" s="1077">
        <v>1.2875000000000001</v>
      </c>
      <c r="P48" s="1077">
        <v>1.03</v>
      </c>
      <c r="Q48" s="1077" t="s">
        <v>961</v>
      </c>
      <c r="R48" s="1077">
        <v>24.5</v>
      </c>
      <c r="T48" s="1077">
        <v>20</v>
      </c>
      <c r="U48" s="1077">
        <v>3.4</v>
      </c>
      <c r="V48" s="1077" t="s">
        <v>648</v>
      </c>
      <c r="W48" s="1077">
        <v>125</v>
      </c>
      <c r="X48" s="1077">
        <v>80</v>
      </c>
      <c r="Y48" s="1077">
        <v>2.2000000000000002</v>
      </c>
      <c r="Z48" s="1077">
        <v>4</v>
      </c>
      <c r="AA48" s="1077" t="s">
        <v>1181</v>
      </c>
      <c r="AH48" s="1077" t="s">
        <v>877</v>
      </c>
      <c r="AM48" s="1078" t="s">
        <v>9150</v>
      </c>
      <c r="AN48" s="1078" t="s">
        <v>9151</v>
      </c>
      <c r="AO48" s="1078">
        <f t="shared" si="6"/>
        <v>650</v>
      </c>
      <c r="AP48" s="1078">
        <f t="shared" si="7"/>
        <v>1.7</v>
      </c>
      <c r="AQ48" s="1078" t="str">
        <f t="shared" si="8"/>
        <v>1-4-1S83°</v>
      </c>
      <c r="AR48" s="1078" t="str">
        <f t="shared" si="9"/>
        <v>30</v>
      </c>
      <c r="AS48" s="1078" t="str">
        <f t="shared" si="10"/>
        <v>245/245/OFF</v>
      </c>
      <c r="AT48" s="1078" t="str">
        <f t="shared" si="11"/>
        <v>1-4-1S83°</v>
      </c>
      <c r="AV48" s="1078" t="str">
        <f t="shared" si="1"/>
        <v>108.8.17</v>
      </c>
      <c r="AW48" s="1344">
        <f t="shared" si="5"/>
        <v>43694</v>
      </c>
    </row>
    <row r="49" spans="1:49">
      <c r="A49" s="1077" t="s">
        <v>1182</v>
      </c>
      <c r="B49" s="1077" t="s">
        <v>983</v>
      </c>
      <c r="C49" s="1077">
        <v>600</v>
      </c>
      <c r="D49" s="1077">
        <v>1.75</v>
      </c>
      <c r="E49" s="1077" t="s">
        <v>15089</v>
      </c>
      <c r="F49" s="1077" t="s">
        <v>984</v>
      </c>
      <c r="G49" s="1077" t="s">
        <v>940</v>
      </c>
      <c r="H49" s="1077" t="s">
        <v>1103</v>
      </c>
      <c r="I49" s="1077" t="s">
        <v>126</v>
      </c>
      <c r="J49" s="1077">
        <v>0.9</v>
      </c>
      <c r="K49" s="1077" t="s">
        <v>1139</v>
      </c>
      <c r="L49" s="1077" t="s">
        <v>987</v>
      </c>
      <c r="M49" s="1077">
        <v>51</v>
      </c>
      <c r="N49" s="1077" t="s">
        <v>945</v>
      </c>
      <c r="O49" s="1077">
        <v>1.2750000000000001</v>
      </c>
      <c r="P49" s="1077">
        <v>1.02</v>
      </c>
      <c r="Q49" s="1077" t="s">
        <v>988</v>
      </c>
      <c r="R49" s="1077">
        <v>24</v>
      </c>
      <c r="T49" s="1077">
        <v>7.4</v>
      </c>
      <c r="U49" s="1077">
        <v>2</v>
      </c>
      <c r="V49" s="1077" t="s">
        <v>648</v>
      </c>
      <c r="W49" s="1077">
        <v>125</v>
      </c>
      <c r="X49" s="1077" t="s">
        <v>1105</v>
      </c>
      <c r="Y49" s="1077">
        <v>2</v>
      </c>
      <c r="Z49" s="1077">
        <v>2</v>
      </c>
      <c r="AA49" s="1077" t="s">
        <v>1177</v>
      </c>
      <c r="AH49" s="1077" t="s">
        <v>724</v>
      </c>
      <c r="AI49" s="1077" t="s">
        <v>981</v>
      </c>
      <c r="AM49" s="1078" t="s">
        <v>9152</v>
      </c>
      <c r="AN49" s="1078" t="s">
        <v>9153</v>
      </c>
      <c r="AO49" s="1078">
        <f t="shared" si="6"/>
        <v>600</v>
      </c>
      <c r="AP49" s="1078">
        <f t="shared" si="7"/>
        <v>1.75</v>
      </c>
      <c r="AQ49" s="1078" t="str">
        <f t="shared" si="8"/>
        <v>1-4-1S83°</v>
      </c>
      <c r="AR49" s="1078" t="str">
        <f t="shared" si="9"/>
        <v>30</v>
      </c>
      <c r="AS49" s="1078" t="str">
        <f t="shared" si="10"/>
        <v>220/220/154</v>
      </c>
      <c r="AT49" s="1078" t="str">
        <f t="shared" si="11"/>
        <v>1-4-1S83°</v>
      </c>
      <c r="AV49" s="1078" t="str">
        <f t="shared" si="1"/>
        <v>108.8.15</v>
      </c>
      <c r="AW49" s="1344">
        <f t="shared" si="5"/>
        <v>43692</v>
      </c>
    </row>
    <row r="50" spans="1:49">
      <c r="A50" s="1077" t="s">
        <v>1183</v>
      </c>
      <c r="B50" s="1077" t="s">
        <v>983</v>
      </c>
      <c r="C50" s="1077">
        <v>650</v>
      </c>
      <c r="D50" s="1077">
        <v>1.7</v>
      </c>
      <c r="E50" s="1077" t="s">
        <v>15089</v>
      </c>
      <c r="F50" s="1077" t="s">
        <v>984</v>
      </c>
      <c r="G50" s="1077" t="s">
        <v>940</v>
      </c>
      <c r="H50" s="1077" t="s">
        <v>1077</v>
      </c>
      <c r="I50" s="1077" t="s">
        <v>126</v>
      </c>
      <c r="J50" s="1077">
        <v>0.7</v>
      </c>
      <c r="K50" s="1077" t="s">
        <v>1184</v>
      </c>
      <c r="L50" s="1077" t="s">
        <v>987</v>
      </c>
      <c r="M50" s="1077">
        <v>51.5</v>
      </c>
      <c r="N50" s="1077" t="s">
        <v>945</v>
      </c>
      <c r="O50" s="1077">
        <v>1.2875000000000001</v>
      </c>
      <c r="P50" s="1077">
        <v>1.03</v>
      </c>
      <c r="Q50" s="1077" t="s">
        <v>961</v>
      </c>
      <c r="R50" s="1077">
        <v>24.5</v>
      </c>
      <c r="T50" s="1077">
        <v>20</v>
      </c>
      <c r="U50" s="1077">
        <v>3.4</v>
      </c>
      <c r="V50" s="1077" t="s">
        <v>648</v>
      </c>
      <c r="W50" s="1077">
        <v>125</v>
      </c>
      <c r="X50" s="1077" t="s">
        <v>1063</v>
      </c>
      <c r="Y50" s="1077">
        <v>2.2000000000000002</v>
      </c>
      <c r="Z50" s="1077">
        <v>4</v>
      </c>
      <c r="AA50" s="1077" t="s">
        <v>1185</v>
      </c>
      <c r="AH50" s="1077" t="s">
        <v>1186</v>
      </c>
      <c r="AI50" s="1077" t="s">
        <v>981</v>
      </c>
      <c r="AM50" s="1078" t="s">
        <v>9154</v>
      </c>
      <c r="AN50" s="1078" t="s">
        <v>9155</v>
      </c>
      <c r="AO50" s="1078">
        <f t="shared" si="6"/>
        <v>650</v>
      </c>
      <c r="AP50" s="1078">
        <f t="shared" si="7"/>
        <v>1.7</v>
      </c>
      <c r="AQ50" s="1078" t="str">
        <f t="shared" si="8"/>
        <v>1-4-1S83°</v>
      </c>
      <c r="AR50" s="1078" t="str">
        <f t="shared" si="9"/>
        <v>30</v>
      </c>
      <c r="AS50" s="1078" t="str">
        <f t="shared" si="10"/>
        <v>245/245/OFF</v>
      </c>
      <c r="AT50" s="1078" t="str">
        <f t="shared" si="11"/>
        <v>1-4-1S83°</v>
      </c>
      <c r="AV50" s="1078" t="str">
        <f t="shared" si="1"/>
        <v>108.9.9</v>
      </c>
      <c r="AW50" s="1344">
        <f t="shared" si="5"/>
        <v>43717</v>
      </c>
    </row>
    <row r="51" spans="1:49">
      <c r="A51" s="1077" t="s">
        <v>1187</v>
      </c>
      <c r="B51" s="1077" t="s">
        <v>983</v>
      </c>
      <c r="C51" s="1077">
        <v>600</v>
      </c>
      <c r="D51" s="1077">
        <v>1.718</v>
      </c>
      <c r="E51" s="1077" t="s">
        <v>15088</v>
      </c>
      <c r="F51" s="1077" t="s">
        <v>648</v>
      </c>
      <c r="G51" s="1077" t="s">
        <v>940</v>
      </c>
      <c r="H51" s="1077" t="s">
        <v>1188</v>
      </c>
      <c r="I51" s="1077" t="s">
        <v>126</v>
      </c>
      <c r="J51" s="1077">
        <v>0.6</v>
      </c>
      <c r="K51" s="1077" t="s">
        <v>1139</v>
      </c>
      <c r="L51" s="1077" t="s">
        <v>987</v>
      </c>
      <c r="M51" s="1077">
        <v>51.5</v>
      </c>
      <c r="N51" s="1077" t="s">
        <v>945</v>
      </c>
      <c r="O51" s="1077">
        <v>1.2875000000000001</v>
      </c>
      <c r="P51" s="1077">
        <v>1.03</v>
      </c>
      <c r="Q51" s="1077" t="s">
        <v>988</v>
      </c>
      <c r="R51" s="1077">
        <v>24.5</v>
      </c>
      <c r="T51" s="1077">
        <v>20</v>
      </c>
      <c r="U51" s="1077">
        <v>3.4</v>
      </c>
      <c r="V51" s="1077" t="s">
        <v>648</v>
      </c>
      <c r="W51" s="1077">
        <v>125</v>
      </c>
      <c r="X51" s="1077" t="s">
        <v>1063</v>
      </c>
      <c r="Y51" s="1077">
        <v>2.2000000000000002</v>
      </c>
      <c r="Z51" s="1077" t="s">
        <v>1189</v>
      </c>
      <c r="AA51" s="1077" t="s">
        <v>1190</v>
      </c>
      <c r="AH51" s="1077" t="s">
        <v>712</v>
      </c>
      <c r="AI51" s="1077" t="s">
        <v>981</v>
      </c>
      <c r="AM51" s="1078" t="s">
        <v>9156</v>
      </c>
      <c r="AN51" s="1078" t="s">
        <v>9157</v>
      </c>
      <c r="AO51" s="1078">
        <f t="shared" si="6"/>
        <v>600</v>
      </c>
      <c r="AP51" s="1078">
        <f t="shared" si="7"/>
        <v>1.718</v>
      </c>
      <c r="AQ51" s="1078" t="str">
        <f t="shared" si="8"/>
        <v>1-4-1S85°</v>
      </c>
      <c r="AR51" s="1078" t="str">
        <f t="shared" si="9"/>
        <v>NA</v>
      </c>
      <c r="AS51" s="1078" t="str">
        <f t="shared" si="10"/>
        <v>177/OFF</v>
      </c>
      <c r="AT51" s="1078" t="str">
        <f t="shared" si="11"/>
        <v>1-4-1S85°</v>
      </c>
      <c r="AV51" s="1078" t="str">
        <f t="shared" si="1"/>
        <v>108.9.2</v>
      </c>
      <c r="AW51" s="1344">
        <f t="shared" si="5"/>
        <v>43710</v>
      </c>
    </row>
    <row r="52" spans="1:49">
      <c r="A52" s="1077" t="s">
        <v>1191</v>
      </c>
      <c r="B52" s="1077" t="s">
        <v>983</v>
      </c>
      <c r="C52" s="1077">
        <v>650</v>
      </c>
      <c r="D52" s="1077">
        <v>1.7</v>
      </c>
      <c r="E52" s="1077" t="s">
        <v>15089</v>
      </c>
      <c r="F52" s="1077" t="s">
        <v>984</v>
      </c>
      <c r="G52" s="1077" t="s">
        <v>940</v>
      </c>
      <c r="H52" s="1077" t="s">
        <v>1077</v>
      </c>
      <c r="I52" s="1077" t="s">
        <v>126</v>
      </c>
      <c r="J52" s="1077">
        <v>0.7</v>
      </c>
      <c r="K52" s="1077" t="s">
        <v>1062</v>
      </c>
      <c r="L52" s="1077" t="s">
        <v>987</v>
      </c>
      <c r="M52" s="1077">
        <v>51.5</v>
      </c>
      <c r="N52" s="1077" t="s">
        <v>945</v>
      </c>
      <c r="O52" s="1077">
        <v>1.2875000000000001</v>
      </c>
      <c r="P52" s="1077">
        <v>1.03</v>
      </c>
      <c r="Q52" s="1077" t="s">
        <v>961</v>
      </c>
      <c r="R52" s="1077">
        <v>24.5</v>
      </c>
      <c r="T52" s="1077">
        <v>20</v>
      </c>
      <c r="U52" s="1077">
        <v>3.4</v>
      </c>
      <c r="V52" s="1077" t="s">
        <v>648</v>
      </c>
      <c r="W52" s="1077">
        <v>125</v>
      </c>
      <c r="X52" s="1077" t="s">
        <v>1063</v>
      </c>
      <c r="Y52" s="1077">
        <v>2.2000000000000002</v>
      </c>
      <c r="Z52" s="1077" t="s">
        <v>1192</v>
      </c>
      <c r="AA52" s="1077" t="s">
        <v>1193</v>
      </c>
      <c r="AH52" s="1077" t="s">
        <v>456</v>
      </c>
      <c r="AI52" s="1077" t="s">
        <v>981</v>
      </c>
      <c r="AM52" s="1078" t="s">
        <v>9158</v>
      </c>
      <c r="AN52" s="1078" t="s">
        <v>9159</v>
      </c>
      <c r="AO52" s="1078">
        <f t="shared" si="6"/>
        <v>650</v>
      </c>
      <c r="AP52" s="1078">
        <f t="shared" si="7"/>
        <v>1.7</v>
      </c>
      <c r="AQ52" s="1078" t="str">
        <f t="shared" si="8"/>
        <v>1-4-1S83°</v>
      </c>
      <c r="AR52" s="1078" t="str">
        <f t="shared" si="9"/>
        <v>30</v>
      </c>
      <c r="AS52" s="1078" t="str">
        <f t="shared" si="10"/>
        <v>245/245/OFF</v>
      </c>
      <c r="AT52" s="1078" t="str">
        <f t="shared" si="11"/>
        <v>1-4-1S83°</v>
      </c>
      <c r="AV52" s="1078" t="str">
        <f t="shared" si="1"/>
        <v>109.11.2</v>
      </c>
      <c r="AW52" s="1344">
        <f t="shared" si="5"/>
        <v>44137</v>
      </c>
    </row>
    <row r="53" spans="1:49">
      <c r="A53" s="1077" t="s">
        <v>1194</v>
      </c>
      <c r="B53" s="1077" t="s">
        <v>983</v>
      </c>
      <c r="C53" s="1077">
        <v>650</v>
      </c>
      <c r="D53" s="1077">
        <v>1.7</v>
      </c>
      <c r="E53" s="1077" t="s">
        <v>15089</v>
      </c>
      <c r="F53" s="1077" t="s">
        <v>984</v>
      </c>
      <c r="G53" s="1077" t="s">
        <v>940</v>
      </c>
      <c r="H53" s="1077" t="s">
        <v>1077</v>
      </c>
      <c r="I53" s="1077" t="s">
        <v>126</v>
      </c>
      <c r="J53" s="1077">
        <v>0.7</v>
      </c>
      <c r="K53" s="1077" t="s">
        <v>1062</v>
      </c>
      <c r="L53" s="1077" t="s">
        <v>987</v>
      </c>
      <c r="M53" s="1077">
        <v>51.5</v>
      </c>
      <c r="N53" s="1077" t="s">
        <v>945</v>
      </c>
      <c r="O53" s="1077">
        <v>1.2875000000000001</v>
      </c>
      <c r="P53" s="1077">
        <v>1.03</v>
      </c>
      <c r="Q53" s="1077" t="s">
        <v>946</v>
      </c>
      <c r="R53" s="1077">
        <v>24.5</v>
      </c>
      <c r="T53" s="1077">
        <v>20</v>
      </c>
      <c r="U53" s="1077">
        <v>3.4</v>
      </c>
      <c r="V53" s="1077" t="s">
        <v>648</v>
      </c>
      <c r="W53" s="1077">
        <v>125</v>
      </c>
      <c r="X53" s="1077" t="s">
        <v>1063</v>
      </c>
      <c r="Y53" s="1077">
        <v>2.2000000000000002</v>
      </c>
      <c r="Z53" s="1077" t="s">
        <v>1195</v>
      </c>
      <c r="AA53" s="1077" t="s">
        <v>1196</v>
      </c>
      <c r="AH53" s="1077" t="s">
        <v>466</v>
      </c>
      <c r="AI53" s="1077" t="s">
        <v>981</v>
      </c>
      <c r="AM53" s="1078" t="s">
        <v>9160</v>
      </c>
      <c r="AN53" s="1078" t="s">
        <v>9161</v>
      </c>
      <c r="AO53" s="1078">
        <f t="shared" si="6"/>
        <v>650</v>
      </c>
      <c r="AP53" s="1078">
        <f t="shared" si="7"/>
        <v>1.7</v>
      </c>
      <c r="AQ53" s="1078" t="str">
        <f t="shared" si="8"/>
        <v>1-4-1S83°</v>
      </c>
      <c r="AR53" s="1078" t="str">
        <f t="shared" si="9"/>
        <v>30</v>
      </c>
      <c r="AS53" s="1078" t="str">
        <f t="shared" si="10"/>
        <v>245/245/OFF</v>
      </c>
      <c r="AT53" s="1078" t="str">
        <f t="shared" si="11"/>
        <v>1-4-1S83°</v>
      </c>
      <c r="AV53" s="1078" t="str">
        <f t="shared" si="1"/>
        <v>109.11.6</v>
      </c>
      <c r="AW53" s="1344">
        <f t="shared" si="5"/>
        <v>44141</v>
      </c>
    </row>
    <row r="54" spans="1:49">
      <c r="A54" s="1077" t="s">
        <v>1197</v>
      </c>
      <c r="B54" s="1077" t="s">
        <v>983</v>
      </c>
      <c r="C54" s="1077">
        <v>650</v>
      </c>
      <c r="D54" s="1077">
        <v>1.7</v>
      </c>
      <c r="E54" s="1077" t="s">
        <v>15089</v>
      </c>
      <c r="F54" s="1077" t="s">
        <v>984</v>
      </c>
      <c r="G54" s="1077" t="s">
        <v>940</v>
      </c>
      <c r="H54" s="1077" t="s">
        <v>1077</v>
      </c>
      <c r="I54" s="1077" t="s">
        <v>126</v>
      </c>
      <c r="J54" s="1077">
        <v>0.7</v>
      </c>
      <c r="K54" s="1077" t="s">
        <v>986</v>
      </c>
      <c r="L54" s="1077" t="s">
        <v>987</v>
      </c>
      <c r="M54" s="1077">
        <v>51.5</v>
      </c>
      <c r="N54" s="1077" t="s">
        <v>945</v>
      </c>
      <c r="O54" s="1077">
        <v>1.2875000000000001</v>
      </c>
      <c r="P54" s="1077">
        <v>1.03</v>
      </c>
      <c r="Q54" s="1077" t="s">
        <v>961</v>
      </c>
      <c r="R54" s="1077">
        <v>24.5</v>
      </c>
      <c r="T54" s="1077">
        <v>20</v>
      </c>
      <c r="U54" s="1077">
        <v>3.4</v>
      </c>
      <c r="V54" s="1077" t="s">
        <v>648</v>
      </c>
      <c r="W54" s="1077">
        <v>125</v>
      </c>
      <c r="X54" s="1077" t="s">
        <v>1063</v>
      </c>
      <c r="Y54" s="1077">
        <v>2.2000000000000002</v>
      </c>
      <c r="Z54" s="1077" t="s">
        <v>1087</v>
      </c>
      <c r="AA54" s="1077" t="s">
        <v>1198</v>
      </c>
      <c r="AH54" s="1077" t="s">
        <v>680</v>
      </c>
      <c r="AI54" s="1077" t="s">
        <v>981</v>
      </c>
      <c r="AM54" s="1078" t="s">
        <v>9162</v>
      </c>
      <c r="AN54" s="1078" t="s">
        <v>9163</v>
      </c>
      <c r="AO54" s="1078">
        <f t="shared" si="6"/>
        <v>650</v>
      </c>
      <c r="AP54" s="1078">
        <f t="shared" si="7"/>
        <v>1.7</v>
      </c>
      <c r="AQ54" s="1078" t="str">
        <f t="shared" si="8"/>
        <v>1-4-1S83°</v>
      </c>
      <c r="AR54" s="1078" t="str">
        <f t="shared" si="9"/>
        <v>30</v>
      </c>
      <c r="AS54" s="1078" t="str">
        <f t="shared" si="10"/>
        <v>245/245/OFF</v>
      </c>
      <c r="AT54" s="1078" t="str">
        <f t="shared" si="11"/>
        <v>1-4-1S83°</v>
      </c>
      <c r="AV54" s="1078" t="str">
        <f t="shared" si="1"/>
        <v>109.11.30</v>
      </c>
      <c r="AW54" s="1344">
        <f t="shared" si="5"/>
        <v>44165</v>
      </c>
    </row>
    <row r="55" spans="1:49">
      <c r="A55" s="1077" t="s">
        <v>1199</v>
      </c>
      <c r="B55" s="1077" t="s">
        <v>983</v>
      </c>
      <c r="C55" s="1077">
        <v>650</v>
      </c>
      <c r="D55" s="1077">
        <v>1.7</v>
      </c>
      <c r="E55" s="1077" t="s">
        <v>15089</v>
      </c>
      <c r="F55" s="1077" t="s">
        <v>984</v>
      </c>
      <c r="G55" s="1077" t="s">
        <v>940</v>
      </c>
      <c r="H55" s="1077" t="s">
        <v>1077</v>
      </c>
      <c r="I55" s="1077" t="s">
        <v>126</v>
      </c>
      <c r="J55" s="1077">
        <v>0.7</v>
      </c>
      <c r="K55" s="1077" t="s">
        <v>986</v>
      </c>
      <c r="L55" s="1077" t="s">
        <v>987</v>
      </c>
      <c r="M55" s="1077">
        <v>51.5</v>
      </c>
      <c r="N55" s="1077" t="s">
        <v>945</v>
      </c>
      <c r="O55" s="1077">
        <v>1.2875000000000001</v>
      </c>
      <c r="P55" s="1077">
        <v>1.03</v>
      </c>
      <c r="Q55" s="1077" t="s">
        <v>961</v>
      </c>
      <c r="R55" s="1077">
        <v>24.5</v>
      </c>
      <c r="T55" s="1077">
        <v>20</v>
      </c>
      <c r="U55" s="1077">
        <v>3.4</v>
      </c>
      <c r="V55" s="1077" t="s">
        <v>648</v>
      </c>
      <c r="W55" s="1077">
        <v>125</v>
      </c>
      <c r="X55" s="1077" t="s">
        <v>1063</v>
      </c>
      <c r="Y55" s="1077">
        <v>2.2000000000000002</v>
      </c>
      <c r="Z55" s="1077" t="s">
        <v>1200</v>
      </c>
      <c r="AA55" s="1077" t="s">
        <v>1201</v>
      </c>
      <c r="AH55" s="1077" t="s">
        <v>998</v>
      </c>
      <c r="AI55" s="1077" t="s">
        <v>981</v>
      </c>
      <c r="AM55" s="1078" t="s">
        <v>9164</v>
      </c>
      <c r="AN55" s="1078" t="s">
        <v>9165</v>
      </c>
      <c r="AO55" s="1078">
        <f t="shared" si="6"/>
        <v>650</v>
      </c>
      <c r="AP55" s="1078">
        <f t="shared" si="7"/>
        <v>1.7</v>
      </c>
      <c r="AQ55" s="1078" t="str">
        <f t="shared" si="8"/>
        <v>1-4-1S83°</v>
      </c>
      <c r="AR55" s="1078" t="str">
        <f t="shared" si="9"/>
        <v>30</v>
      </c>
      <c r="AS55" s="1078" t="str">
        <f t="shared" si="10"/>
        <v>245/245/OFF</v>
      </c>
      <c r="AT55" s="1078" t="str">
        <f t="shared" si="11"/>
        <v>1-4-1S83°</v>
      </c>
      <c r="AV55" s="1078" t="str">
        <f t="shared" si="1"/>
        <v>109.12.12</v>
      </c>
      <c r="AW55" s="1344">
        <f t="shared" si="5"/>
        <v>44177</v>
      </c>
    </row>
    <row r="56" spans="1:49">
      <c r="A56" s="1077" t="s">
        <v>1202</v>
      </c>
      <c r="B56" s="1077" t="s">
        <v>983</v>
      </c>
      <c r="C56" s="1077">
        <v>650</v>
      </c>
      <c r="D56" s="1077">
        <v>1.7</v>
      </c>
      <c r="E56" s="1077" t="s">
        <v>15089</v>
      </c>
      <c r="F56" s="1077" t="s">
        <v>984</v>
      </c>
      <c r="G56" s="1077" t="s">
        <v>940</v>
      </c>
      <c r="H56" s="1077" t="s">
        <v>1077</v>
      </c>
      <c r="I56" s="1077" t="s">
        <v>126</v>
      </c>
      <c r="J56" s="1077">
        <v>0.7</v>
      </c>
      <c r="K56" s="1077" t="s">
        <v>1203</v>
      </c>
      <c r="L56" s="1077" t="s">
        <v>987</v>
      </c>
      <c r="M56" s="1077">
        <v>51.5</v>
      </c>
      <c r="N56" s="1077" t="s">
        <v>945</v>
      </c>
      <c r="O56" s="1077">
        <v>1.2875000000000001</v>
      </c>
      <c r="P56" s="1077">
        <v>1.03</v>
      </c>
      <c r="Q56" s="1077">
        <v>4</v>
      </c>
      <c r="R56" s="1077">
        <v>24.5</v>
      </c>
      <c r="T56" s="1077">
        <v>20</v>
      </c>
      <c r="U56" s="1077">
        <v>3.4</v>
      </c>
      <c r="V56" s="1077" t="s">
        <v>648</v>
      </c>
      <c r="W56" s="1077">
        <v>125</v>
      </c>
      <c r="X56" s="1077" t="s">
        <v>1063</v>
      </c>
      <c r="Y56" s="1077">
        <v>2.2000000000000002</v>
      </c>
      <c r="Z56" s="1077">
        <v>4</v>
      </c>
      <c r="AA56" s="1077" t="s">
        <v>1204</v>
      </c>
      <c r="AH56" s="1077" t="s">
        <v>963</v>
      </c>
      <c r="AI56" s="1077" t="s">
        <v>981</v>
      </c>
      <c r="AM56" s="1078" t="s">
        <v>9166</v>
      </c>
      <c r="AN56" s="1078" t="s">
        <v>9167</v>
      </c>
      <c r="AO56" s="1078">
        <f t="shared" si="6"/>
        <v>650</v>
      </c>
      <c r="AP56" s="1078">
        <f t="shared" si="7"/>
        <v>1.7</v>
      </c>
      <c r="AQ56" s="1078" t="str">
        <f t="shared" si="8"/>
        <v>1-4-1S83°</v>
      </c>
      <c r="AR56" s="1078" t="str">
        <f t="shared" si="9"/>
        <v>30</v>
      </c>
      <c r="AS56" s="1078" t="str">
        <f t="shared" si="10"/>
        <v>245/245/OFF</v>
      </c>
      <c r="AT56" s="1078" t="str">
        <f t="shared" si="11"/>
        <v>1-4-1S83°</v>
      </c>
      <c r="AV56" s="1078" t="str">
        <f t="shared" si="1"/>
        <v>109.12.21</v>
      </c>
      <c r="AW56" s="1344">
        <f t="shared" si="5"/>
        <v>44186</v>
      </c>
    </row>
    <row r="57" spans="1:49">
      <c r="A57" s="1077" t="s">
        <v>1205</v>
      </c>
      <c r="B57" s="1077" t="s">
        <v>983</v>
      </c>
      <c r="C57" s="1077">
        <v>650</v>
      </c>
      <c r="D57" s="1077">
        <v>1.7</v>
      </c>
      <c r="E57" s="1077" t="s">
        <v>15089</v>
      </c>
      <c r="F57" s="1077" t="s">
        <v>984</v>
      </c>
      <c r="G57" s="1077" t="s">
        <v>940</v>
      </c>
      <c r="H57" s="1077" t="s">
        <v>1077</v>
      </c>
      <c r="I57" s="1077" t="s">
        <v>126</v>
      </c>
      <c r="J57" s="1077">
        <v>0.7</v>
      </c>
      <c r="K57" s="1077" t="s">
        <v>1203</v>
      </c>
      <c r="L57" s="1077" t="s">
        <v>987</v>
      </c>
      <c r="M57" s="1077">
        <v>51.5</v>
      </c>
      <c r="N57" s="1077" t="s">
        <v>945</v>
      </c>
      <c r="O57" s="1077">
        <v>1.2875000000000001</v>
      </c>
      <c r="P57" s="1077">
        <v>1.03</v>
      </c>
      <c r="Q57" s="1077">
        <v>4</v>
      </c>
      <c r="R57" s="1077">
        <v>24.5</v>
      </c>
      <c r="T57" s="1077">
        <v>20</v>
      </c>
      <c r="U57" s="1077">
        <v>3.4</v>
      </c>
      <c r="V57" s="1077" t="s">
        <v>648</v>
      </c>
      <c r="W57" s="1077">
        <v>125</v>
      </c>
      <c r="X57" s="1077" t="s">
        <v>1063</v>
      </c>
      <c r="Y57" s="1077">
        <v>2.2000000000000002</v>
      </c>
      <c r="Z57" s="1077">
        <v>4</v>
      </c>
      <c r="AA57" s="1077" t="s">
        <v>1206</v>
      </c>
      <c r="AH57" s="1077" t="s">
        <v>468</v>
      </c>
      <c r="AI57" s="1077" t="s">
        <v>981</v>
      </c>
      <c r="AM57" s="1078" t="s">
        <v>9168</v>
      </c>
      <c r="AN57" s="1078" t="s">
        <v>9169</v>
      </c>
      <c r="AO57" s="1078">
        <f t="shared" si="6"/>
        <v>650</v>
      </c>
      <c r="AP57" s="1078">
        <f t="shared" si="7"/>
        <v>1.7</v>
      </c>
      <c r="AQ57" s="1078" t="str">
        <f t="shared" si="8"/>
        <v>1-4-1S83°</v>
      </c>
      <c r="AR57" s="1078" t="str">
        <f t="shared" si="9"/>
        <v>30</v>
      </c>
      <c r="AS57" s="1078" t="str">
        <f t="shared" si="10"/>
        <v>245/245/OFF</v>
      </c>
      <c r="AT57" s="1078" t="str">
        <f t="shared" si="11"/>
        <v>1-4-1S83°</v>
      </c>
      <c r="AV57" s="1078" t="str">
        <f t="shared" si="1"/>
        <v>109.12.22</v>
      </c>
      <c r="AW57" s="1344">
        <f t="shared" si="5"/>
        <v>44187</v>
      </c>
    </row>
    <row r="58" spans="1:49">
      <c r="A58" s="1077" t="s">
        <v>1207</v>
      </c>
      <c r="B58" s="1077" t="s">
        <v>983</v>
      </c>
      <c r="C58" s="1077">
        <v>650</v>
      </c>
      <c r="D58" s="1077">
        <v>1.7</v>
      </c>
      <c r="E58" s="1077" t="s">
        <v>15089</v>
      </c>
      <c r="F58" s="1077" t="s">
        <v>984</v>
      </c>
      <c r="G58" s="1077" t="s">
        <v>940</v>
      </c>
      <c r="H58" s="1077" t="s">
        <v>1077</v>
      </c>
      <c r="I58" s="1077" t="s">
        <v>126</v>
      </c>
      <c r="J58" s="1077">
        <v>0.7</v>
      </c>
      <c r="K58" s="1077" t="s">
        <v>1203</v>
      </c>
      <c r="L58" s="1077" t="s">
        <v>987</v>
      </c>
      <c r="M58" s="1077">
        <v>51.5</v>
      </c>
      <c r="N58" s="1077" t="s">
        <v>945</v>
      </c>
      <c r="O58" s="1077">
        <v>1.2875000000000001</v>
      </c>
      <c r="P58" s="1077">
        <v>1.03</v>
      </c>
      <c r="Q58" s="1077">
        <v>4</v>
      </c>
      <c r="R58" s="1077">
        <v>24.5</v>
      </c>
      <c r="T58" s="1077">
        <v>20</v>
      </c>
      <c r="U58" s="1077">
        <v>3.4</v>
      </c>
      <c r="V58" s="1077" t="s">
        <v>648</v>
      </c>
      <c r="W58" s="1077">
        <v>125</v>
      </c>
      <c r="X58" s="1077" t="s">
        <v>1063</v>
      </c>
      <c r="Y58" s="1077">
        <v>2.2000000000000002</v>
      </c>
      <c r="Z58" s="1077">
        <v>4</v>
      </c>
      <c r="AA58" s="1077" t="s">
        <v>1208</v>
      </c>
      <c r="AH58" s="1077" t="s">
        <v>618</v>
      </c>
      <c r="AI58" s="1077" t="s">
        <v>981</v>
      </c>
      <c r="AM58" s="1078" t="s">
        <v>9170</v>
      </c>
      <c r="AN58" s="1078" t="s">
        <v>9171</v>
      </c>
      <c r="AO58" s="1078">
        <f t="shared" si="6"/>
        <v>650</v>
      </c>
      <c r="AP58" s="1078">
        <f t="shared" si="7"/>
        <v>1.7</v>
      </c>
      <c r="AQ58" s="1078" t="str">
        <f t="shared" si="8"/>
        <v>1-4-1S83°</v>
      </c>
      <c r="AR58" s="1078" t="str">
        <f t="shared" si="9"/>
        <v>30</v>
      </c>
      <c r="AS58" s="1078" t="str">
        <f t="shared" si="10"/>
        <v>245/245/OFF</v>
      </c>
      <c r="AT58" s="1078" t="str">
        <f t="shared" si="11"/>
        <v>1-4-1S83°</v>
      </c>
      <c r="AV58" s="1078" t="str">
        <f t="shared" si="1"/>
        <v>109.12.28</v>
      </c>
      <c r="AW58" s="1344">
        <f t="shared" si="5"/>
        <v>44193</v>
      </c>
    </row>
    <row r="59" spans="1:49">
      <c r="A59" s="1077" t="s">
        <v>1209</v>
      </c>
      <c r="B59" s="1077" t="s">
        <v>983</v>
      </c>
      <c r="C59" s="1077">
        <v>650</v>
      </c>
      <c r="D59" s="1077">
        <v>1.7</v>
      </c>
      <c r="E59" s="1077" t="s">
        <v>15089</v>
      </c>
      <c r="F59" s="1077" t="s">
        <v>984</v>
      </c>
      <c r="G59" s="1077" t="s">
        <v>940</v>
      </c>
      <c r="H59" s="1077" t="s">
        <v>1077</v>
      </c>
      <c r="I59" s="1077" t="s">
        <v>126</v>
      </c>
      <c r="J59" s="1077">
        <v>0.7</v>
      </c>
      <c r="K59" s="1077" t="s">
        <v>1210</v>
      </c>
      <c r="L59" s="1077" t="s">
        <v>987</v>
      </c>
      <c r="M59" s="1077">
        <v>51.5</v>
      </c>
      <c r="N59" s="1077" t="s">
        <v>945</v>
      </c>
      <c r="O59" s="1077">
        <v>1.2875000000000001</v>
      </c>
      <c r="P59" s="1077">
        <v>1.03</v>
      </c>
      <c r="Q59" s="1077">
        <v>4</v>
      </c>
      <c r="R59" s="1077">
        <v>24.5</v>
      </c>
      <c r="T59" s="1077">
        <v>20</v>
      </c>
      <c r="U59" s="1077">
        <v>3.4</v>
      </c>
      <c r="V59" s="1077" t="s">
        <v>648</v>
      </c>
      <c r="W59" s="1077">
        <v>125</v>
      </c>
      <c r="X59" s="1077" t="s">
        <v>1063</v>
      </c>
      <c r="Y59" s="1077">
        <v>2.2000000000000002</v>
      </c>
      <c r="Z59" s="1077">
        <v>4</v>
      </c>
      <c r="AA59" s="1077" t="s">
        <v>1211</v>
      </c>
      <c r="AH59" s="1077" t="s">
        <v>622</v>
      </c>
      <c r="AI59" s="1077" t="s">
        <v>981</v>
      </c>
      <c r="AM59" s="1078" t="s">
        <v>9172</v>
      </c>
      <c r="AN59" s="1078" t="s">
        <v>9173</v>
      </c>
      <c r="AO59" s="1078">
        <f t="shared" si="6"/>
        <v>650</v>
      </c>
      <c r="AP59" s="1078">
        <f t="shared" si="7"/>
        <v>1.7</v>
      </c>
      <c r="AQ59" s="1078" t="str">
        <f t="shared" si="8"/>
        <v>1-4-1S83°</v>
      </c>
      <c r="AR59" s="1078" t="str">
        <f t="shared" si="9"/>
        <v>30</v>
      </c>
      <c r="AS59" s="1078" t="str">
        <f t="shared" si="10"/>
        <v>245/245/OFF</v>
      </c>
      <c r="AT59" s="1078" t="str">
        <f t="shared" si="11"/>
        <v>1-4-1S83°</v>
      </c>
      <c r="AV59" s="1078" t="str">
        <f t="shared" si="1"/>
        <v>110.1.4</v>
      </c>
      <c r="AW59" s="1344">
        <f t="shared" si="5"/>
        <v>44200</v>
      </c>
    </row>
    <row r="60" spans="1:49">
      <c r="A60" s="1077" t="s">
        <v>1212</v>
      </c>
      <c r="B60" s="1077" t="s">
        <v>983</v>
      </c>
      <c r="C60" s="1077">
        <v>650</v>
      </c>
      <c r="D60" s="1077">
        <v>1.7</v>
      </c>
      <c r="E60" s="1077" t="s">
        <v>15089</v>
      </c>
      <c r="F60" s="1077" t="s">
        <v>984</v>
      </c>
      <c r="G60" s="1077" t="s">
        <v>940</v>
      </c>
      <c r="H60" s="1077" t="s">
        <v>1077</v>
      </c>
      <c r="I60" s="1077" t="s">
        <v>126</v>
      </c>
      <c r="J60" s="1077">
        <v>0.7</v>
      </c>
      <c r="K60" s="1077" t="s">
        <v>1210</v>
      </c>
      <c r="L60" s="1077" t="s">
        <v>987</v>
      </c>
      <c r="M60" s="1077">
        <v>51.5</v>
      </c>
      <c r="N60" s="1077" t="s">
        <v>945</v>
      </c>
      <c r="O60" s="1077">
        <v>1.2875000000000001</v>
      </c>
      <c r="P60" s="1077">
        <v>1.03</v>
      </c>
      <c r="Q60" s="1077">
        <v>4</v>
      </c>
      <c r="R60" s="1077">
        <v>24.5</v>
      </c>
      <c r="T60" s="1077">
        <v>20</v>
      </c>
      <c r="U60" s="1077">
        <v>3.4</v>
      </c>
      <c r="V60" s="1077" t="s">
        <v>648</v>
      </c>
      <c r="W60" s="1077">
        <v>125</v>
      </c>
      <c r="X60" s="1077" t="s">
        <v>1063</v>
      </c>
      <c r="Y60" s="1077">
        <v>2.2000000000000002</v>
      </c>
      <c r="Z60" s="1077">
        <v>4</v>
      </c>
      <c r="AA60" s="1077" t="s">
        <v>1213</v>
      </c>
      <c r="AH60" s="1077" t="s">
        <v>466</v>
      </c>
      <c r="AI60" s="1077" t="s">
        <v>981</v>
      </c>
      <c r="AM60" s="1078" t="s">
        <v>9174</v>
      </c>
      <c r="AN60" s="1078" t="s">
        <v>9175</v>
      </c>
      <c r="AO60" s="1078">
        <f t="shared" si="6"/>
        <v>650</v>
      </c>
      <c r="AP60" s="1078">
        <f t="shared" si="7"/>
        <v>1.7</v>
      </c>
      <c r="AQ60" s="1078" t="str">
        <f t="shared" si="8"/>
        <v>1-4-1S83°</v>
      </c>
      <c r="AR60" s="1078" t="str">
        <f t="shared" si="9"/>
        <v>30</v>
      </c>
      <c r="AS60" s="1078" t="str">
        <f t="shared" si="10"/>
        <v>245/245/OFF</v>
      </c>
      <c r="AT60" s="1078" t="str">
        <f t="shared" si="11"/>
        <v>1-4-1S83°</v>
      </c>
      <c r="AV60" s="1078" t="str">
        <f t="shared" si="1"/>
        <v>110.1.7</v>
      </c>
      <c r="AW60" s="1344">
        <f t="shared" si="5"/>
        <v>44203</v>
      </c>
    </row>
    <row r="61" spans="1:49">
      <c r="A61" s="1077" t="s">
        <v>1214</v>
      </c>
      <c r="B61" s="1077" t="s">
        <v>939</v>
      </c>
      <c r="C61" s="1077">
        <v>650</v>
      </c>
      <c r="D61" s="1077">
        <v>1.625</v>
      </c>
      <c r="E61" s="1077" t="s">
        <v>15089</v>
      </c>
      <c r="F61" s="1077" t="s">
        <v>954</v>
      </c>
      <c r="G61" s="1077" t="s">
        <v>940</v>
      </c>
      <c r="H61" s="1077" t="s">
        <v>955</v>
      </c>
      <c r="I61" s="1077" t="s">
        <v>126</v>
      </c>
      <c r="J61" s="1077">
        <v>0.6</v>
      </c>
      <c r="K61" s="1077" t="s">
        <v>1215</v>
      </c>
      <c r="L61" s="1077" t="s">
        <v>944</v>
      </c>
      <c r="M61" s="1077">
        <v>51.5</v>
      </c>
      <c r="N61" s="1077" t="s">
        <v>945</v>
      </c>
      <c r="O61" s="1077">
        <v>1.2875000000000001</v>
      </c>
      <c r="P61" s="1077">
        <v>1.03</v>
      </c>
      <c r="Q61" s="1077" t="s">
        <v>946</v>
      </c>
      <c r="R61" s="1077">
        <v>22.5</v>
      </c>
      <c r="T61" s="1077">
        <v>24.5</v>
      </c>
      <c r="U61" s="1077">
        <v>3.3</v>
      </c>
      <c r="V61" s="1077" t="s">
        <v>648</v>
      </c>
      <c r="W61" s="1077">
        <v>120</v>
      </c>
      <c r="X61" s="1077">
        <v>80</v>
      </c>
      <c r="Y61" s="1077">
        <v>2</v>
      </c>
      <c r="Z61" s="1077">
        <v>4</v>
      </c>
      <c r="AA61" s="1077" t="s">
        <v>1216</v>
      </c>
      <c r="AH61" s="1077" t="s">
        <v>813</v>
      </c>
      <c r="AM61" s="1078" t="s">
        <v>9176</v>
      </c>
      <c r="AN61" s="1078" t="s">
        <v>9177</v>
      </c>
      <c r="AO61" s="1078">
        <f t="shared" si="6"/>
        <v>650</v>
      </c>
      <c r="AP61" s="1078">
        <f t="shared" si="7"/>
        <v>1.625</v>
      </c>
      <c r="AQ61" s="1078" t="str">
        <f t="shared" si="8"/>
        <v>1-4-1S83°</v>
      </c>
      <c r="AR61" s="1078" t="str">
        <f t="shared" si="9"/>
        <v>31</v>
      </c>
      <c r="AS61" s="1078" t="str">
        <f t="shared" si="10"/>
        <v>260/260/OFF</v>
      </c>
      <c r="AT61" s="1078" t="str">
        <f t="shared" si="11"/>
        <v>1-4-1S83°</v>
      </c>
      <c r="AV61" s="1078" t="str">
        <f t="shared" si="1"/>
        <v>108.10.21</v>
      </c>
      <c r="AW61" s="1344">
        <f t="shared" si="5"/>
        <v>43759</v>
      </c>
    </row>
    <row r="62" spans="1:49">
      <c r="A62" s="1077" t="s">
        <v>1217</v>
      </c>
      <c r="B62" s="1077" t="s">
        <v>872</v>
      </c>
      <c r="C62" s="1077">
        <v>650</v>
      </c>
      <c r="D62" s="1077">
        <v>1.68</v>
      </c>
      <c r="E62" s="1077" t="s">
        <v>15089</v>
      </c>
      <c r="F62" s="1077" t="s">
        <v>975</v>
      </c>
      <c r="G62" s="1077" t="s">
        <v>940</v>
      </c>
      <c r="H62" s="1077" t="s">
        <v>1029</v>
      </c>
      <c r="I62" s="1077" t="s">
        <v>626</v>
      </c>
      <c r="J62" s="1077">
        <v>2.2999999999999998</v>
      </c>
      <c r="K62" s="1077" t="s">
        <v>1151</v>
      </c>
      <c r="L62" s="1077" t="s">
        <v>978</v>
      </c>
      <c r="M62" s="1077">
        <v>50.4</v>
      </c>
      <c r="N62" s="1077" t="s">
        <v>945</v>
      </c>
      <c r="O62" s="1077">
        <v>1.26</v>
      </c>
      <c r="P62" s="1077">
        <v>1.008</v>
      </c>
      <c r="Q62" s="1077" t="s">
        <v>961</v>
      </c>
      <c r="R62" s="1077">
        <v>21.2</v>
      </c>
      <c r="T62" s="1077">
        <v>29</v>
      </c>
      <c r="U62" s="1077">
        <v>3.4</v>
      </c>
      <c r="V62" s="1077" t="s">
        <v>648</v>
      </c>
      <c r="W62" s="1077">
        <v>155</v>
      </c>
      <c r="X62" s="1077">
        <v>90</v>
      </c>
      <c r="Y62" s="1077">
        <v>1.6</v>
      </c>
      <c r="Z62" s="1077">
        <v>4.5</v>
      </c>
      <c r="AA62" s="1077" t="s">
        <v>1218</v>
      </c>
      <c r="AH62" s="1077" t="s">
        <v>762</v>
      </c>
      <c r="AM62" s="1078" t="s">
        <v>9178</v>
      </c>
      <c r="AN62" s="1078" t="s">
        <v>9179</v>
      </c>
      <c r="AO62" s="1078">
        <f t="shared" si="6"/>
        <v>650</v>
      </c>
      <c r="AP62" s="1078">
        <f t="shared" si="7"/>
        <v>1.68</v>
      </c>
      <c r="AQ62" s="1078" t="str">
        <f t="shared" si="8"/>
        <v>1-4-1S83°</v>
      </c>
      <c r="AR62" s="1078" t="str">
        <f t="shared" si="9"/>
        <v>31.5</v>
      </c>
      <c r="AS62" s="1078" t="str">
        <f t="shared" si="10"/>
        <v>250/250/OFF</v>
      </c>
      <c r="AT62" s="1078" t="str">
        <f t="shared" si="11"/>
        <v>1-4-1S83°</v>
      </c>
      <c r="AV62" s="1078" t="str">
        <f t="shared" si="1"/>
        <v>108.11.1</v>
      </c>
      <c r="AW62" s="1344">
        <f t="shared" si="5"/>
        <v>43770</v>
      </c>
    </row>
    <row r="63" spans="1:49">
      <c r="A63" s="1077" t="s">
        <v>1219</v>
      </c>
      <c r="B63" s="1077" t="s">
        <v>872</v>
      </c>
      <c r="C63" s="1077">
        <v>600</v>
      </c>
      <c r="D63" s="1077">
        <v>1.68</v>
      </c>
      <c r="E63" s="1077" t="s">
        <v>15093</v>
      </c>
      <c r="F63" s="1077" t="s">
        <v>984</v>
      </c>
      <c r="G63" s="1077" t="s">
        <v>940</v>
      </c>
      <c r="H63" s="1077" t="s">
        <v>1040</v>
      </c>
      <c r="I63" s="1077" t="s">
        <v>126</v>
      </c>
      <c r="J63" s="1077">
        <v>0.3</v>
      </c>
      <c r="K63" s="1077" t="s">
        <v>1151</v>
      </c>
      <c r="L63" s="1077" t="s">
        <v>978</v>
      </c>
      <c r="M63" s="1077">
        <v>50</v>
      </c>
      <c r="N63" s="1077" t="s">
        <v>945</v>
      </c>
      <c r="O63" s="1077">
        <v>1.25</v>
      </c>
      <c r="P63" s="1077">
        <v>1</v>
      </c>
      <c r="Q63" s="1077" t="s">
        <v>956</v>
      </c>
      <c r="R63" s="1077">
        <v>23</v>
      </c>
      <c r="T63" s="1077">
        <v>35.700000000000003</v>
      </c>
      <c r="U63" s="1077">
        <v>3.7</v>
      </c>
      <c r="V63" s="1077" t="s">
        <v>648</v>
      </c>
      <c r="W63" s="1077">
        <v>30</v>
      </c>
      <c r="X63" s="1077">
        <v>10</v>
      </c>
      <c r="Y63" s="1077">
        <v>2</v>
      </c>
      <c r="Z63" s="1077">
        <v>5</v>
      </c>
      <c r="AA63" s="1077" t="s">
        <v>1220</v>
      </c>
      <c r="AH63" s="1077" t="s">
        <v>1221</v>
      </c>
      <c r="AM63" s="1078" t="s">
        <v>9180</v>
      </c>
      <c r="AN63" s="1078" t="s">
        <v>9181</v>
      </c>
      <c r="AO63" s="1078">
        <f t="shared" si="6"/>
        <v>600</v>
      </c>
      <c r="AP63" s="1078">
        <f t="shared" si="7"/>
        <v>1.68</v>
      </c>
      <c r="AQ63" s="1078" t="str">
        <f t="shared" si="8"/>
        <v>1-4-1S撚S83°</v>
      </c>
      <c r="AR63" s="1078" t="str">
        <f t="shared" si="9"/>
        <v>30</v>
      </c>
      <c r="AS63" s="1078" t="str">
        <f t="shared" si="10"/>
        <v>240/240/OFF</v>
      </c>
      <c r="AT63" s="1078" t="str">
        <f t="shared" si="11"/>
        <v>1-4-1S撚S83°</v>
      </c>
      <c r="AV63" s="1078" t="str">
        <f t="shared" si="1"/>
        <v>108.11.6</v>
      </c>
      <c r="AW63" s="1344">
        <f t="shared" si="5"/>
        <v>43775</v>
      </c>
    </row>
    <row r="64" spans="1:49">
      <c r="A64" s="1077" t="s">
        <v>1222</v>
      </c>
      <c r="B64" s="1077" t="s">
        <v>872</v>
      </c>
      <c r="C64" s="1077">
        <v>600</v>
      </c>
      <c r="D64" s="1077">
        <v>1.68</v>
      </c>
      <c r="E64" s="1077" t="s">
        <v>15093</v>
      </c>
      <c r="F64" s="1077" t="s">
        <v>984</v>
      </c>
      <c r="G64" s="1077" t="s">
        <v>940</v>
      </c>
      <c r="H64" s="1077" t="s">
        <v>1040</v>
      </c>
      <c r="I64" s="1077" t="s">
        <v>126</v>
      </c>
      <c r="J64" s="1077">
        <v>0.3</v>
      </c>
      <c r="K64" s="1077" t="s">
        <v>1223</v>
      </c>
      <c r="L64" s="1077" t="s">
        <v>1157</v>
      </c>
      <c r="M64" s="1077">
        <v>50</v>
      </c>
      <c r="N64" s="1077" t="s">
        <v>945</v>
      </c>
      <c r="O64" s="1077">
        <v>1.25</v>
      </c>
      <c r="P64" s="1077">
        <v>1</v>
      </c>
      <c r="Q64" s="1077" t="s">
        <v>961</v>
      </c>
      <c r="R64" s="1077">
        <v>23</v>
      </c>
      <c r="T64" s="1077">
        <v>35.700000000000003</v>
      </c>
      <c r="U64" s="1077">
        <v>3.7</v>
      </c>
      <c r="V64" s="1077" t="s">
        <v>648</v>
      </c>
      <c r="W64" s="1077">
        <v>30</v>
      </c>
      <c r="X64" s="1077">
        <v>10</v>
      </c>
      <c r="Y64" s="1077">
        <v>2</v>
      </c>
      <c r="Z64" s="1077">
        <v>5</v>
      </c>
      <c r="AA64" s="1077" t="s">
        <v>1224</v>
      </c>
      <c r="AH64" s="1077" t="s">
        <v>466</v>
      </c>
      <c r="AM64" s="1078" t="s">
        <v>9182</v>
      </c>
      <c r="AN64" s="1078" t="s">
        <v>9183</v>
      </c>
      <c r="AO64" s="1078">
        <f t="shared" si="6"/>
        <v>600</v>
      </c>
      <c r="AP64" s="1078">
        <f t="shared" si="7"/>
        <v>1.68</v>
      </c>
      <c r="AQ64" s="1078" t="str">
        <f t="shared" si="8"/>
        <v>1-4-1S撚S83°</v>
      </c>
      <c r="AR64" s="1078" t="str">
        <f t="shared" si="9"/>
        <v>30</v>
      </c>
      <c r="AS64" s="1078" t="str">
        <f t="shared" si="10"/>
        <v>240/240/OFF</v>
      </c>
      <c r="AT64" s="1078" t="str">
        <f t="shared" si="11"/>
        <v>1-4-1S撚S83°</v>
      </c>
      <c r="AV64" s="1078" t="str">
        <f t="shared" si="1"/>
        <v>108.11.8</v>
      </c>
      <c r="AW64" s="1344">
        <f t="shared" si="5"/>
        <v>43777</v>
      </c>
    </row>
    <row r="65" spans="1:49">
      <c r="A65" s="1077" t="s">
        <v>1225</v>
      </c>
      <c r="B65" s="1077" t="s">
        <v>1154</v>
      </c>
      <c r="C65" s="1077">
        <v>550</v>
      </c>
      <c r="D65" s="1077">
        <v>1.72</v>
      </c>
      <c r="E65" s="1077" t="s">
        <v>15089</v>
      </c>
      <c r="F65" s="1077" t="s">
        <v>984</v>
      </c>
      <c r="G65" s="1077" t="s">
        <v>940</v>
      </c>
      <c r="H65" s="1077" t="s">
        <v>1226</v>
      </c>
      <c r="I65" s="1077" t="s">
        <v>126</v>
      </c>
      <c r="J65" s="1077">
        <v>1</v>
      </c>
      <c r="K65" s="1077" t="s">
        <v>1223</v>
      </c>
      <c r="L65" s="1077" t="s">
        <v>1157</v>
      </c>
      <c r="M65" s="1077">
        <v>49.5</v>
      </c>
      <c r="N65" s="1077" t="s">
        <v>945</v>
      </c>
      <c r="O65" s="1077">
        <v>1.2375</v>
      </c>
      <c r="P65" s="1077">
        <v>0.99</v>
      </c>
      <c r="Q65" s="1077" t="s">
        <v>961</v>
      </c>
      <c r="R65" s="1077">
        <v>23</v>
      </c>
      <c r="T65" s="1077">
        <v>31</v>
      </c>
      <c r="U65" s="1077">
        <v>3.3</v>
      </c>
      <c r="V65" s="1077" t="s">
        <v>648</v>
      </c>
      <c r="W65" s="1077">
        <v>110</v>
      </c>
      <c r="X65" s="1077">
        <v>70</v>
      </c>
      <c r="Y65" s="1077">
        <v>2.7</v>
      </c>
      <c r="Z65" s="1077">
        <v>4.5</v>
      </c>
      <c r="AA65" s="1077" t="s">
        <v>1227</v>
      </c>
      <c r="AH65" s="1077" t="s">
        <v>994</v>
      </c>
      <c r="AM65" s="1078" t="s">
        <v>9184</v>
      </c>
      <c r="AN65" s="1078" t="s">
        <v>9185</v>
      </c>
      <c r="AO65" s="1078">
        <f t="shared" si="6"/>
        <v>550</v>
      </c>
      <c r="AP65" s="1078">
        <f t="shared" si="7"/>
        <v>1.72</v>
      </c>
      <c r="AQ65" s="1078" t="str">
        <f t="shared" si="8"/>
        <v>1-4-1S83°</v>
      </c>
      <c r="AR65" s="1078" t="str">
        <f t="shared" si="9"/>
        <v>30</v>
      </c>
      <c r="AS65" s="1078" t="str">
        <f t="shared" si="10"/>
        <v>230/230/OFF</v>
      </c>
      <c r="AT65" s="1078" t="str">
        <f t="shared" si="11"/>
        <v>1-4-1S83°</v>
      </c>
      <c r="AV65" s="1078" t="str">
        <f t="shared" si="1"/>
        <v>108.11.11</v>
      </c>
      <c r="AW65" s="1344">
        <f t="shared" si="5"/>
        <v>43780</v>
      </c>
    </row>
    <row r="66" spans="1:49">
      <c r="A66" s="1077" t="s">
        <v>1228</v>
      </c>
      <c r="B66" s="1077" t="s">
        <v>983</v>
      </c>
      <c r="C66" s="1077">
        <v>650</v>
      </c>
      <c r="D66" s="1077">
        <v>1.7</v>
      </c>
      <c r="E66" s="1077" t="s">
        <v>15089</v>
      </c>
      <c r="F66" s="1077" t="s">
        <v>984</v>
      </c>
      <c r="G66" s="1077" t="s">
        <v>940</v>
      </c>
      <c r="H66" s="1077" t="s">
        <v>1077</v>
      </c>
      <c r="I66" s="1077" t="s">
        <v>126</v>
      </c>
      <c r="J66" s="1077">
        <v>0.7</v>
      </c>
      <c r="K66" s="1077" t="s">
        <v>1184</v>
      </c>
      <c r="L66" s="1077" t="s">
        <v>987</v>
      </c>
      <c r="M66" s="1077">
        <v>51.5</v>
      </c>
      <c r="N66" s="1077" t="s">
        <v>945</v>
      </c>
      <c r="O66" s="1077">
        <v>1.2875000000000001</v>
      </c>
      <c r="P66" s="1077">
        <v>1.03</v>
      </c>
      <c r="Q66" s="1077" t="s">
        <v>961</v>
      </c>
      <c r="R66" s="1077">
        <v>24.5</v>
      </c>
      <c r="T66" s="1077">
        <v>20</v>
      </c>
      <c r="U66" s="1077">
        <v>3.4</v>
      </c>
      <c r="V66" s="1077" t="s">
        <v>648</v>
      </c>
      <c r="W66" s="1077">
        <v>125</v>
      </c>
      <c r="X66" s="1077" t="s">
        <v>1063</v>
      </c>
      <c r="Y66" s="1077">
        <v>2.2000000000000002</v>
      </c>
      <c r="Z66" s="1077" t="s">
        <v>1192</v>
      </c>
      <c r="AA66" s="1077" t="s">
        <v>1229</v>
      </c>
      <c r="AH66" s="1077" t="s">
        <v>762</v>
      </c>
      <c r="AI66" s="1077" t="s">
        <v>981</v>
      </c>
      <c r="AM66" s="1078" t="s">
        <v>9186</v>
      </c>
      <c r="AN66" s="1078" t="s">
        <v>9187</v>
      </c>
      <c r="AO66" s="1078">
        <f t="shared" si="6"/>
        <v>650</v>
      </c>
      <c r="AP66" s="1078">
        <f t="shared" si="7"/>
        <v>1.7</v>
      </c>
      <c r="AQ66" s="1078" t="str">
        <f t="shared" si="8"/>
        <v>1-4-1S83°</v>
      </c>
      <c r="AR66" s="1078" t="str">
        <f t="shared" si="9"/>
        <v>30</v>
      </c>
      <c r="AS66" s="1078" t="str">
        <f t="shared" si="10"/>
        <v>245/245/OFF</v>
      </c>
      <c r="AT66" s="1078" t="str">
        <f t="shared" si="11"/>
        <v>1-4-1S83°</v>
      </c>
      <c r="AV66" s="1078" t="str">
        <f t="shared" ref="AV66:AV129" si="12">AA66</f>
        <v>108.11.25</v>
      </c>
      <c r="AW66" s="1344">
        <f t="shared" si="5"/>
        <v>43794</v>
      </c>
    </row>
    <row r="67" spans="1:49">
      <c r="A67" s="1077" t="s">
        <v>1230</v>
      </c>
      <c r="B67" s="1077" t="s">
        <v>1110</v>
      </c>
      <c r="C67" s="1077">
        <v>600</v>
      </c>
      <c r="D67" s="1077">
        <v>1.42</v>
      </c>
      <c r="E67" s="1077" t="s">
        <v>648</v>
      </c>
      <c r="F67" s="1077" t="s">
        <v>984</v>
      </c>
      <c r="G67" s="1077">
        <v>1.96</v>
      </c>
      <c r="H67" s="1077" t="s">
        <v>1111</v>
      </c>
      <c r="I67" s="1077" t="s">
        <v>1167</v>
      </c>
      <c r="J67" s="1077">
        <v>1.5</v>
      </c>
      <c r="K67" s="1077" t="s">
        <v>1231</v>
      </c>
      <c r="L67" s="1077" t="s">
        <v>453</v>
      </c>
      <c r="M67" s="1077">
        <v>56.8</v>
      </c>
      <c r="N67" s="1077" t="s">
        <v>945</v>
      </c>
      <c r="O67" s="1077">
        <v>1.42</v>
      </c>
      <c r="P67" s="1077">
        <v>1.1359999999999999</v>
      </c>
      <c r="Q67" s="1077" t="s">
        <v>1115</v>
      </c>
      <c r="R67" s="1077">
        <v>59</v>
      </c>
      <c r="T67" s="1077" t="s">
        <v>648</v>
      </c>
      <c r="U67" s="1077">
        <v>34</v>
      </c>
      <c r="V67" s="1077" t="s">
        <v>648</v>
      </c>
      <c r="W67" s="1077" t="s">
        <v>648</v>
      </c>
      <c r="X67" s="1077" t="s">
        <v>648</v>
      </c>
      <c r="Y67" s="1077" t="s">
        <v>648</v>
      </c>
      <c r="Z67" s="1077" t="s">
        <v>648</v>
      </c>
      <c r="AA67" s="1077" t="s">
        <v>1232</v>
      </c>
      <c r="AH67" s="1077" t="s">
        <v>889</v>
      </c>
      <c r="AM67" s="1078" t="s">
        <v>9188</v>
      </c>
      <c r="AN67" s="1078" t="s">
        <v>9189</v>
      </c>
      <c r="AO67" s="1078">
        <f t="shared" si="6"/>
        <v>600</v>
      </c>
      <c r="AP67" s="1078">
        <f t="shared" si="7"/>
        <v>1.42</v>
      </c>
      <c r="AQ67" s="1078" t="str">
        <f t="shared" si="8"/>
        <v>NA</v>
      </c>
      <c r="AR67" s="1078" t="str">
        <f t="shared" si="9"/>
        <v>30</v>
      </c>
      <c r="AS67" s="1078" t="str">
        <f t="shared" si="10"/>
        <v>OFF/120</v>
      </c>
      <c r="AT67" s="1078" t="str">
        <f t="shared" si="11"/>
        <v>NA</v>
      </c>
      <c r="AV67" s="1078" t="str">
        <f t="shared" si="12"/>
        <v>108.11.21</v>
      </c>
      <c r="AW67" s="1344">
        <f t="shared" ref="AW67:AW130" si="13">DATE(VALUE(LEFT(AV67,FIND(".",AV67)-1))+1911,
       VALUE(MID(AV67,FIND(".",AV67)+1,FIND(".",AV67,FIND(".",AV67)+1)-FIND(".",AV67)-1)),
       VALUE(RIGHT(AV67,LEN(AV67)-FIND("~",SUBSTITUTE(AV67,".","~",2)))))</f>
        <v>43790</v>
      </c>
    </row>
    <row r="68" spans="1:49">
      <c r="A68" s="1077" t="s">
        <v>1233</v>
      </c>
      <c r="B68" s="1077" t="s">
        <v>1110</v>
      </c>
      <c r="C68" s="1077">
        <v>600</v>
      </c>
      <c r="D68" s="1077">
        <v>1.42</v>
      </c>
      <c r="E68" s="1077" t="s">
        <v>648</v>
      </c>
      <c r="F68" s="1077" t="s">
        <v>954</v>
      </c>
      <c r="G68" s="1077">
        <v>1.96</v>
      </c>
      <c r="H68" s="1077" t="s">
        <v>1234</v>
      </c>
      <c r="I68" s="1077" t="s">
        <v>1167</v>
      </c>
      <c r="J68" s="1077">
        <v>1.5</v>
      </c>
      <c r="K68" s="1077" t="s">
        <v>1235</v>
      </c>
      <c r="L68" s="1077" t="s">
        <v>1114</v>
      </c>
      <c r="M68" s="1077">
        <v>56.8</v>
      </c>
      <c r="N68" s="1077" t="s">
        <v>945</v>
      </c>
      <c r="O68" s="1077">
        <v>1.42</v>
      </c>
      <c r="P68" s="1077">
        <v>1.1359999999999999</v>
      </c>
      <c r="Q68" s="1077" t="s">
        <v>1236</v>
      </c>
      <c r="R68" s="1077">
        <v>59</v>
      </c>
      <c r="T68" s="1077" t="s">
        <v>648</v>
      </c>
      <c r="U68" s="1077">
        <v>39.5</v>
      </c>
      <c r="V68" s="1077" t="s">
        <v>648</v>
      </c>
      <c r="W68" s="1077" t="s">
        <v>648</v>
      </c>
      <c r="X68" s="1077" t="s">
        <v>648</v>
      </c>
      <c r="Y68" s="1077" t="s">
        <v>648</v>
      </c>
      <c r="Z68" s="1077" t="s">
        <v>648</v>
      </c>
      <c r="AA68" s="1077" t="s">
        <v>1237</v>
      </c>
      <c r="AH68" s="1077" t="s">
        <v>1238</v>
      </c>
      <c r="AM68" s="1078" t="s">
        <v>9190</v>
      </c>
      <c r="AN68" s="1078" t="s">
        <v>9191</v>
      </c>
      <c r="AO68" s="1078">
        <f t="shared" si="6"/>
        <v>600</v>
      </c>
      <c r="AP68" s="1078">
        <f t="shared" si="7"/>
        <v>1.42</v>
      </c>
      <c r="AQ68" s="1078" t="str">
        <f t="shared" si="8"/>
        <v>NA</v>
      </c>
      <c r="AR68" s="1078" t="str">
        <f t="shared" si="9"/>
        <v>31</v>
      </c>
      <c r="AS68" s="1078" t="str">
        <f t="shared" si="10"/>
        <v>OFF/123</v>
      </c>
      <c r="AT68" s="1078" t="str">
        <f t="shared" si="11"/>
        <v>NA</v>
      </c>
      <c r="AV68" s="1078" t="str">
        <f t="shared" si="12"/>
        <v>108.12.6</v>
      </c>
      <c r="AW68" s="1344">
        <f t="shared" si="13"/>
        <v>43805</v>
      </c>
    </row>
    <row r="69" spans="1:49">
      <c r="A69" s="1077" t="s">
        <v>1239</v>
      </c>
      <c r="B69" s="1077" t="s">
        <v>983</v>
      </c>
      <c r="C69" s="1077">
        <v>650</v>
      </c>
      <c r="D69" s="1077">
        <v>1.7</v>
      </c>
      <c r="E69" s="1077" t="s">
        <v>15089</v>
      </c>
      <c r="F69" s="1077" t="s">
        <v>984</v>
      </c>
      <c r="G69" s="1077" t="s">
        <v>940</v>
      </c>
      <c r="H69" s="1077" t="s">
        <v>1077</v>
      </c>
      <c r="I69" s="1077" t="s">
        <v>126</v>
      </c>
      <c r="J69" s="1077">
        <v>0.7</v>
      </c>
      <c r="K69" s="1077" t="s">
        <v>1062</v>
      </c>
      <c r="L69" s="1077" t="s">
        <v>987</v>
      </c>
      <c r="M69" s="1077">
        <v>51.5</v>
      </c>
      <c r="N69" s="1077" t="s">
        <v>945</v>
      </c>
      <c r="O69" s="1077">
        <v>1.2875000000000001</v>
      </c>
      <c r="P69" s="1077">
        <v>1.03</v>
      </c>
      <c r="Q69" s="1077" t="s">
        <v>961</v>
      </c>
      <c r="R69" s="1077">
        <v>24.5</v>
      </c>
      <c r="T69" s="1077">
        <v>20</v>
      </c>
      <c r="U69" s="1077">
        <v>3.4</v>
      </c>
      <c r="V69" s="1077" t="s">
        <v>648</v>
      </c>
      <c r="W69" s="1077">
        <v>125</v>
      </c>
      <c r="X69" s="1077" t="s">
        <v>1063</v>
      </c>
      <c r="Y69" s="1077">
        <v>2.2000000000000002</v>
      </c>
      <c r="Z69" s="1077" t="s">
        <v>1192</v>
      </c>
      <c r="AA69" s="1077" t="s">
        <v>1240</v>
      </c>
      <c r="AH69" s="1077" t="s">
        <v>468</v>
      </c>
      <c r="AI69" s="1077" t="s">
        <v>981</v>
      </c>
      <c r="AM69" s="1078" t="s">
        <v>9192</v>
      </c>
      <c r="AN69" s="1078" t="s">
        <v>9193</v>
      </c>
      <c r="AO69" s="1078">
        <f t="shared" si="6"/>
        <v>650</v>
      </c>
      <c r="AP69" s="1078">
        <f t="shared" si="7"/>
        <v>1.7</v>
      </c>
      <c r="AQ69" s="1078" t="str">
        <f t="shared" si="8"/>
        <v>1-4-1S83°</v>
      </c>
      <c r="AR69" s="1078" t="str">
        <f t="shared" si="9"/>
        <v>30</v>
      </c>
      <c r="AS69" s="1078" t="str">
        <f t="shared" si="10"/>
        <v>245/245/OFF</v>
      </c>
      <c r="AT69" s="1078" t="str">
        <f t="shared" si="11"/>
        <v>1-4-1S83°</v>
      </c>
      <c r="AV69" s="1078" t="str">
        <f t="shared" si="12"/>
        <v>108.12.11</v>
      </c>
      <c r="AW69" s="1344">
        <f t="shared" si="13"/>
        <v>43810</v>
      </c>
    </row>
    <row r="70" spans="1:49">
      <c r="A70" s="1077" t="s">
        <v>1241</v>
      </c>
      <c r="B70" s="1077" t="s">
        <v>1154</v>
      </c>
      <c r="C70" s="1077">
        <v>550</v>
      </c>
      <c r="D70" s="1077">
        <v>1.72</v>
      </c>
      <c r="E70" s="1077" t="s">
        <v>15089</v>
      </c>
      <c r="F70" s="1077" t="s">
        <v>984</v>
      </c>
      <c r="G70" s="1077" t="s">
        <v>940</v>
      </c>
      <c r="H70" s="1077" t="s">
        <v>1226</v>
      </c>
      <c r="I70" s="1077" t="s">
        <v>126</v>
      </c>
      <c r="J70" s="1077">
        <v>1</v>
      </c>
      <c r="K70" s="1077" t="s">
        <v>1242</v>
      </c>
      <c r="L70" s="1077" t="s">
        <v>1157</v>
      </c>
      <c r="M70" s="1077">
        <v>49.5</v>
      </c>
      <c r="N70" s="1077" t="s">
        <v>945</v>
      </c>
      <c r="O70" s="1077">
        <v>1.2375</v>
      </c>
      <c r="P70" s="1077">
        <v>0.99</v>
      </c>
      <c r="Q70" s="1077" t="s">
        <v>946</v>
      </c>
      <c r="R70" s="1077">
        <v>23</v>
      </c>
      <c r="T70" s="1077">
        <v>31</v>
      </c>
      <c r="U70" s="1077">
        <v>3.3</v>
      </c>
      <c r="V70" s="1077" t="s">
        <v>648</v>
      </c>
      <c r="W70" s="1077">
        <v>110</v>
      </c>
      <c r="X70" s="1077">
        <v>70</v>
      </c>
      <c r="Y70" s="1077">
        <v>2.7</v>
      </c>
      <c r="Z70" s="1077">
        <v>4.5</v>
      </c>
      <c r="AA70" s="1077" t="s">
        <v>1243</v>
      </c>
      <c r="AH70" s="1077" t="s">
        <v>1244</v>
      </c>
      <c r="AM70" s="1078" t="s">
        <v>9194</v>
      </c>
      <c r="AN70" s="1078" t="s">
        <v>9195</v>
      </c>
      <c r="AO70" s="1078">
        <f t="shared" si="6"/>
        <v>550</v>
      </c>
      <c r="AP70" s="1078">
        <f t="shared" si="7"/>
        <v>1.72</v>
      </c>
      <c r="AQ70" s="1078" t="str">
        <f t="shared" si="8"/>
        <v>1-4-1S83°</v>
      </c>
      <c r="AR70" s="1078" t="str">
        <f t="shared" si="9"/>
        <v>30</v>
      </c>
      <c r="AS70" s="1078" t="str">
        <f t="shared" si="10"/>
        <v>230/230/OFF</v>
      </c>
      <c r="AT70" s="1078" t="str">
        <f t="shared" si="11"/>
        <v>1-4-1S83°</v>
      </c>
      <c r="AV70" s="1078" t="str">
        <f t="shared" si="12"/>
        <v>108.12.23</v>
      </c>
      <c r="AW70" s="1344">
        <f t="shared" si="13"/>
        <v>43822</v>
      </c>
    </row>
    <row r="71" spans="1:49">
      <c r="A71" s="1077" t="s">
        <v>1245</v>
      </c>
      <c r="B71" s="1077" t="s">
        <v>1246</v>
      </c>
      <c r="C71" s="1077">
        <v>550</v>
      </c>
      <c r="D71" s="1077">
        <v>1.76</v>
      </c>
      <c r="E71" s="1077" t="s">
        <v>15089</v>
      </c>
      <c r="F71" s="1077" t="s">
        <v>954</v>
      </c>
      <c r="G71" s="1077" t="s">
        <v>1016</v>
      </c>
      <c r="H71" s="1077" t="s">
        <v>1040</v>
      </c>
      <c r="I71" s="1077" t="s">
        <v>126</v>
      </c>
      <c r="J71" s="1077">
        <v>1.1000000000000001</v>
      </c>
      <c r="K71" s="1077" t="s">
        <v>1247</v>
      </c>
      <c r="L71" s="1077" t="s">
        <v>1248</v>
      </c>
      <c r="M71" s="1077">
        <v>51.2</v>
      </c>
      <c r="N71" s="1077" t="s">
        <v>945</v>
      </c>
      <c r="O71" s="1077">
        <v>1.2800000000000002</v>
      </c>
      <c r="P71" s="1077">
        <v>1.024</v>
      </c>
      <c r="Q71" s="1077" t="s">
        <v>1249</v>
      </c>
      <c r="R71" s="1077">
        <v>23.5</v>
      </c>
      <c r="T71" s="1077">
        <v>30.5</v>
      </c>
      <c r="U71" s="1077">
        <v>3.8</v>
      </c>
      <c r="V71" s="1077" t="s">
        <v>648</v>
      </c>
      <c r="W71" s="1077">
        <v>115</v>
      </c>
      <c r="X71" s="1077">
        <v>80</v>
      </c>
      <c r="Y71" s="1077">
        <v>2.5</v>
      </c>
      <c r="Z71" s="1077" t="s">
        <v>1250</v>
      </c>
      <c r="AA71" s="1077" t="s">
        <v>1251</v>
      </c>
      <c r="AH71" s="1077" t="s">
        <v>684</v>
      </c>
      <c r="AM71" s="1078" t="s">
        <v>9196</v>
      </c>
      <c r="AN71" s="1078" t="s">
        <v>9197</v>
      </c>
      <c r="AO71" s="1078">
        <f t="shared" si="6"/>
        <v>550</v>
      </c>
      <c r="AP71" s="1078">
        <f t="shared" si="7"/>
        <v>1.76</v>
      </c>
      <c r="AQ71" s="1078" t="str">
        <f t="shared" si="8"/>
        <v>1-4-1S83°</v>
      </c>
      <c r="AR71" s="1078" t="str">
        <f t="shared" si="9"/>
        <v>31</v>
      </c>
      <c r="AS71" s="1078" t="str">
        <f t="shared" si="10"/>
        <v>240/240/OFF</v>
      </c>
      <c r="AT71" s="1078" t="str">
        <f t="shared" si="11"/>
        <v>1-4-1S83°</v>
      </c>
      <c r="AV71" s="1078" t="str">
        <f t="shared" si="12"/>
        <v>108.12.24</v>
      </c>
      <c r="AW71" s="1344">
        <f t="shared" si="13"/>
        <v>43823</v>
      </c>
    </row>
    <row r="72" spans="1:49">
      <c r="A72" s="1077" t="s">
        <v>1252</v>
      </c>
      <c r="B72" s="1077" t="s">
        <v>1133</v>
      </c>
      <c r="C72" s="1077">
        <v>600</v>
      </c>
      <c r="D72" s="1077">
        <v>1.718</v>
      </c>
      <c r="E72" s="1077" t="s">
        <v>15092</v>
      </c>
      <c r="F72" s="1077" t="s">
        <v>984</v>
      </c>
      <c r="G72" s="1077" t="s">
        <v>1001</v>
      </c>
      <c r="H72" s="1077" t="s">
        <v>1077</v>
      </c>
      <c r="I72" s="1077" t="s">
        <v>126</v>
      </c>
      <c r="J72" s="1077">
        <v>0.4</v>
      </c>
      <c r="K72" s="1077" t="s">
        <v>1253</v>
      </c>
      <c r="L72" s="1077" t="s">
        <v>1135</v>
      </c>
      <c r="M72" s="1077">
        <v>49.3</v>
      </c>
      <c r="N72" s="1077" t="s">
        <v>945</v>
      </c>
      <c r="O72" s="1077">
        <v>1.2324999999999999</v>
      </c>
      <c r="P72" s="1077">
        <v>0.98599999999999999</v>
      </c>
      <c r="Q72" s="1077" t="s">
        <v>979</v>
      </c>
      <c r="R72" s="1077">
        <v>24</v>
      </c>
      <c r="T72" s="1077">
        <v>31</v>
      </c>
      <c r="U72" s="1077">
        <v>3.4</v>
      </c>
      <c r="V72" s="1077" t="s">
        <v>648</v>
      </c>
      <c r="W72" s="1077">
        <v>30</v>
      </c>
      <c r="X72" s="1077">
        <v>10</v>
      </c>
      <c r="Y72" s="1077">
        <v>2.2999999999999998</v>
      </c>
      <c r="Z72" s="1077">
        <v>4.5</v>
      </c>
      <c r="AA72" s="1077" t="s">
        <v>1251</v>
      </c>
      <c r="AH72" s="1077" t="s">
        <v>1254</v>
      </c>
      <c r="AM72" s="1078" t="s">
        <v>9198</v>
      </c>
      <c r="AN72" s="1078" t="s">
        <v>9199</v>
      </c>
      <c r="AO72" s="1078">
        <f t="shared" si="6"/>
        <v>600</v>
      </c>
      <c r="AP72" s="1078">
        <f t="shared" si="7"/>
        <v>1.718</v>
      </c>
      <c r="AQ72" s="1078" t="str">
        <f t="shared" si="8"/>
        <v>1-4-1S83°S撚</v>
      </c>
      <c r="AR72" s="1078" t="str">
        <f t="shared" si="9"/>
        <v>30</v>
      </c>
      <c r="AS72" s="1078" t="str">
        <f t="shared" si="10"/>
        <v>245/245/OFF</v>
      </c>
      <c r="AT72" s="1078" t="str">
        <f t="shared" si="11"/>
        <v>1-4-1S83°S撚</v>
      </c>
      <c r="AU72" s="1078" t="s">
        <v>15545</v>
      </c>
      <c r="AV72" s="1078" t="str">
        <f t="shared" si="12"/>
        <v>108.12.24</v>
      </c>
      <c r="AW72" s="1344">
        <f t="shared" si="13"/>
        <v>43823</v>
      </c>
    </row>
    <row r="73" spans="1:49">
      <c r="A73" s="1077" t="s">
        <v>1255</v>
      </c>
      <c r="B73" s="1077" t="s">
        <v>1256</v>
      </c>
      <c r="C73" s="1077">
        <v>600</v>
      </c>
      <c r="D73" s="1077">
        <v>1.78</v>
      </c>
      <c r="E73" s="1077" t="s">
        <v>15089</v>
      </c>
      <c r="F73" s="1077" t="s">
        <v>954</v>
      </c>
      <c r="G73" s="1077" t="s">
        <v>1016</v>
      </c>
      <c r="H73" s="1077" t="s">
        <v>1040</v>
      </c>
      <c r="I73" s="1077" t="s">
        <v>126</v>
      </c>
      <c r="J73" s="1077">
        <v>1.1000000000000001</v>
      </c>
      <c r="K73" s="1077" t="s">
        <v>1257</v>
      </c>
      <c r="L73" s="1077" t="s">
        <v>1258</v>
      </c>
      <c r="M73" s="1077">
        <v>51.2</v>
      </c>
      <c r="N73" s="1077" t="s">
        <v>945</v>
      </c>
      <c r="O73" s="1077">
        <v>1.2800000000000002</v>
      </c>
      <c r="P73" s="1077">
        <v>1.024</v>
      </c>
      <c r="Q73" s="1077" t="s">
        <v>1259</v>
      </c>
      <c r="R73" s="1077">
        <v>22.5</v>
      </c>
      <c r="T73" s="1077">
        <v>31.5</v>
      </c>
      <c r="U73" s="1077">
        <v>3.8</v>
      </c>
      <c r="V73" s="1077" t="s">
        <v>648</v>
      </c>
      <c r="W73" s="1077">
        <v>115</v>
      </c>
      <c r="X73" s="1077">
        <v>80</v>
      </c>
      <c r="Y73" s="1077">
        <v>2.5</v>
      </c>
      <c r="Z73" s="1077" t="s">
        <v>1260</v>
      </c>
      <c r="AA73" s="1077" t="s">
        <v>1261</v>
      </c>
      <c r="AH73" s="1077" t="s">
        <v>684</v>
      </c>
      <c r="AM73" s="1078" t="s">
        <v>9200</v>
      </c>
      <c r="AN73" s="1078" t="s">
        <v>9197</v>
      </c>
      <c r="AO73" s="1078">
        <f t="shared" si="6"/>
        <v>600</v>
      </c>
      <c r="AP73" s="1078">
        <f t="shared" si="7"/>
        <v>1.78</v>
      </c>
      <c r="AQ73" s="1078" t="str">
        <f t="shared" si="8"/>
        <v>1-4-1S83°</v>
      </c>
      <c r="AR73" s="1078" t="str">
        <f t="shared" si="9"/>
        <v>31</v>
      </c>
      <c r="AS73" s="1078" t="str">
        <f t="shared" si="10"/>
        <v>240/240/OFF</v>
      </c>
      <c r="AT73" s="1078" t="str">
        <f t="shared" si="11"/>
        <v>1-4-1S83°</v>
      </c>
      <c r="AV73" s="1078" t="str">
        <f t="shared" si="12"/>
        <v>108.12.31</v>
      </c>
      <c r="AW73" s="1344">
        <f t="shared" si="13"/>
        <v>43830</v>
      </c>
    </row>
    <row r="74" spans="1:49">
      <c r="A74" s="1077" t="s">
        <v>1262</v>
      </c>
      <c r="B74" s="1077" t="s">
        <v>1246</v>
      </c>
      <c r="C74" s="1077">
        <v>600</v>
      </c>
      <c r="D74" s="1077">
        <v>1.74</v>
      </c>
      <c r="E74" s="1077" t="s">
        <v>15091</v>
      </c>
      <c r="F74" s="1077" t="s">
        <v>984</v>
      </c>
      <c r="G74" s="1077" t="s">
        <v>1016</v>
      </c>
      <c r="H74" s="1077" t="s">
        <v>1263</v>
      </c>
      <c r="I74" s="1077" t="s">
        <v>1112</v>
      </c>
      <c r="J74" s="1077">
        <v>1.3</v>
      </c>
      <c r="K74" s="1077" t="s">
        <v>1247</v>
      </c>
      <c r="L74" s="1077" t="s">
        <v>1248</v>
      </c>
      <c r="M74" s="1077">
        <v>51.2</v>
      </c>
      <c r="N74" s="1077" t="s">
        <v>945</v>
      </c>
      <c r="O74" s="1077">
        <v>1.2800000000000002</v>
      </c>
      <c r="P74" s="1077">
        <v>1.024</v>
      </c>
      <c r="Q74" s="1077" t="s">
        <v>1264</v>
      </c>
      <c r="R74" s="1077">
        <v>23.5</v>
      </c>
      <c r="T74" s="1077">
        <v>30.5</v>
      </c>
      <c r="U74" s="1077">
        <v>3.8</v>
      </c>
      <c r="V74" s="1077" t="s">
        <v>648</v>
      </c>
      <c r="W74" s="1077">
        <v>115</v>
      </c>
      <c r="X74" s="1077">
        <v>80</v>
      </c>
      <c r="Y74" s="1077">
        <v>2.5</v>
      </c>
      <c r="Z74" s="1077" t="s">
        <v>1265</v>
      </c>
      <c r="AA74" s="1077" t="s">
        <v>1266</v>
      </c>
      <c r="AH74" s="1077" t="s">
        <v>1267</v>
      </c>
      <c r="AM74" s="1078" t="s">
        <v>9201</v>
      </c>
      <c r="AN74" s="1078" t="s">
        <v>9202</v>
      </c>
      <c r="AO74" s="1078">
        <f t="shared" si="6"/>
        <v>600</v>
      </c>
      <c r="AP74" s="1078">
        <f t="shared" si="7"/>
        <v>1.74</v>
      </c>
      <c r="AQ74" s="1078" t="str">
        <f t="shared" si="8"/>
        <v>2-5-1S83°</v>
      </c>
      <c r="AR74" s="1078" t="str">
        <f t="shared" si="9"/>
        <v>30</v>
      </c>
      <c r="AS74" s="1078" t="str">
        <f t="shared" si="10"/>
        <v>163/OFF</v>
      </c>
      <c r="AT74" s="1078" t="str">
        <f t="shared" si="11"/>
        <v>2-5-1S83°</v>
      </c>
      <c r="AV74" s="1078" t="str">
        <f t="shared" si="12"/>
        <v>109.1.20</v>
      </c>
      <c r="AW74" s="1344">
        <f t="shared" si="13"/>
        <v>43850</v>
      </c>
    </row>
    <row r="75" spans="1:49">
      <c r="A75" s="1077" t="s">
        <v>1268</v>
      </c>
      <c r="B75" s="1077" t="s">
        <v>1110</v>
      </c>
      <c r="C75" s="1077">
        <v>600</v>
      </c>
      <c r="D75" s="1077">
        <v>1.42</v>
      </c>
      <c r="E75" s="1077" t="s">
        <v>648</v>
      </c>
      <c r="F75" s="1077" t="s">
        <v>975</v>
      </c>
      <c r="G75" s="1077">
        <v>1.96</v>
      </c>
      <c r="H75" s="1077" t="s">
        <v>1234</v>
      </c>
      <c r="I75" s="1077" t="s">
        <v>1167</v>
      </c>
      <c r="J75" s="1077">
        <v>1.5</v>
      </c>
      <c r="K75" s="1077" t="s">
        <v>1235</v>
      </c>
      <c r="L75" s="1077" t="s">
        <v>1114</v>
      </c>
      <c r="M75" s="1077">
        <v>56.8</v>
      </c>
      <c r="N75" s="1077" t="s">
        <v>945</v>
      </c>
      <c r="O75" s="1077">
        <v>1.42</v>
      </c>
      <c r="P75" s="1077">
        <v>1.1359999999999999</v>
      </c>
      <c r="Q75" s="1077" t="s">
        <v>1236</v>
      </c>
      <c r="R75" s="1077">
        <v>59</v>
      </c>
      <c r="T75" s="1077" t="s">
        <v>648</v>
      </c>
      <c r="U75" s="1077">
        <v>38</v>
      </c>
      <c r="V75" s="1077" t="s">
        <v>648</v>
      </c>
      <c r="W75" s="1077" t="s">
        <v>648</v>
      </c>
      <c r="X75" s="1077" t="s">
        <v>648</v>
      </c>
      <c r="Y75" s="1077" t="s">
        <v>648</v>
      </c>
      <c r="Z75" s="1077" t="s">
        <v>648</v>
      </c>
      <c r="AA75" s="1077" t="s">
        <v>1066</v>
      </c>
      <c r="AH75" s="1077" t="s">
        <v>878</v>
      </c>
      <c r="AM75" s="1078" t="s">
        <v>9203</v>
      </c>
      <c r="AN75" s="1078" t="s">
        <v>9204</v>
      </c>
      <c r="AO75" s="1078">
        <f t="shared" ref="AO75:AO138" si="14">C75</f>
        <v>600</v>
      </c>
      <c r="AP75" s="1078">
        <f t="shared" ref="AP75:AP138" si="15">D75</f>
        <v>1.42</v>
      </c>
      <c r="AQ75" s="1078" t="str">
        <f t="shared" ref="AQ75:AQ138" si="16">E75</f>
        <v>NA</v>
      </c>
      <c r="AR75" s="1078" t="str">
        <f t="shared" ref="AR75:AR138" si="17">F75</f>
        <v>31.5</v>
      </c>
      <c r="AS75" s="1078" t="str">
        <f t="shared" ref="AS75:AS138" si="18">H75</f>
        <v>OFF/123</v>
      </c>
      <c r="AT75" s="1078" t="str">
        <f t="shared" ref="AT75:AT138" si="19">E75</f>
        <v>NA</v>
      </c>
      <c r="AV75" s="1078" t="str">
        <f t="shared" si="12"/>
        <v>109.2.12</v>
      </c>
      <c r="AW75" s="1344">
        <f t="shared" si="13"/>
        <v>43873</v>
      </c>
    </row>
    <row r="76" spans="1:49">
      <c r="A76" s="1077" t="s">
        <v>1269</v>
      </c>
      <c r="B76" s="1077" t="s">
        <v>1154</v>
      </c>
      <c r="C76" s="1077">
        <v>550</v>
      </c>
      <c r="D76" s="1077">
        <v>1.72</v>
      </c>
      <c r="E76" s="1077" t="s">
        <v>15089</v>
      </c>
      <c r="F76" s="1077" t="s">
        <v>984</v>
      </c>
      <c r="G76" s="1077" t="s">
        <v>940</v>
      </c>
      <c r="H76" s="1077" t="s">
        <v>1226</v>
      </c>
      <c r="I76" s="1077" t="s">
        <v>126</v>
      </c>
      <c r="J76" s="1077">
        <v>1</v>
      </c>
      <c r="K76" s="1077" t="s">
        <v>1270</v>
      </c>
      <c r="L76" s="1077" t="s">
        <v>1157</v>
      </c>
      <c r="M76" s="1077">
        <v>49.5</v>
      </c>
      <c r="N76" s="1077" t="s">
        <v>945</v>
      </c>
      <c r="O76" s="1077">
        <v>1.2375</v>
      </c>
      <c r="P76" s="1077">
        <v>0.99</v>
      </c>
      <c r="Q76" s="1077" t="s">
        <v>946</v>
      </c>
      <c r="R76" s="1077">
        <v>23</v>
      </c>
      <c r="T76" s="1077">
        <v>31</v>
      </c>
      <c r="U76" s="1077">
        <v>3.3</v>
      </c>
      <c r="V76" s="1077" t="s">
        <v>648</v>
      </c>
      <c r="W76" s="1077">
        <v>110</v>
      </c>
      <c r="X76" s="1077">
        <v>70</v>
      </c>
      <c r="Y76" s="1077">
        <v>2.7</v>
      </c>
      <c r="Z76" s="1077">
        <v>4.5</v>
      </c>
      <c r="AA76" s="1077" t="s">
        <v>1271</v>
      </c>
      <c r="AH76" s="1077" t="s">
        <v>877</v>
      </c>
      <c r="AM76" s="1078" t="s">
        <v>9205</v>
      </c>
      <c r="AN76" s="1078" t="s">
        <v>9206</v>
      </c>
      <c r="AO76" s="1078">
        <f t="shared" si="14"/>
        <v>550</v>
      </c>
      <c r="AP76" s="1078">
        <f t="shared" si="15"/>
        <v>1.72</v>
      </c>
      <c r="AQ76" s="1078" t="str">
        <f t="shared" si="16"/>
        <v>1-4-1S83°</v>
      </c>
      <c r="AR76" s="1078" t="str">
        <f t="shared" si="17"/>
        <v>30</v>
      </c>
      <c r="AS76" s="1078" t="str">
        <f t="shared" si="18"/>
        <v>230/230/OFF</v>
      </c>
      <c r="AT76" s="1078" t="str">
        <f t="shared" si="19"/>
        <v>1-4-1S83°</v>
      </c>
      <c r="AV76" s="1078" t="str">
        <f t="shared" si="12"/>
        <v>109.2.27</v>
      </c>
      <c r="AW76" s="1344">
        <f t="shared" si="13"/>
        <v>43888</v>
      </c>
    </row>
    <row r="77" spans="1:49">
      <c r="A77" s="1077" t="s">
        <v>1272</v>
      </c>
      <c r="B77" s="1077" t="s">
        <v>1273</v>
      </c>
      <c r="C77" s="1077">
        <v>550</v>
      </c>
      <c r="D77" s="1077">
        <v>1.74</v>
      </c>
      <c r="E77" s="1077" t="s">
        <v>15089</v>
      </c>
      <c r="F77" s="1077" t="s">
        <v>984</v>
      </c>
      <c r="G77" s="1077" t="s">
        <v>1016</v>
      </c>
      <c r="H77" s="1077" t="s">
        <v>1274</v>
      </c>
      <c r="I77" s="1077" t="s">
        <v>126</v>
      </c>
      <c r="J77" s="1077">
        <v>0.6</v>
      </c>
      <c r="K77" s="1077" t="s">
        <v>1275</v>
      </c>
      <c r="L77" s="1077" t="s">
        <v>1276</v>
      </c>
      <c r="M77" s="1077">
        <v>50.8</v>
      </c>
      <c r="N77" s="1077" t="s">
        <v>945</v>
      </c>
      <c r="O77" s="1077">
        <v>1.27</v>
      </c>
      <c r="P77" s="1077">
        <v>1.016</v>
      </c>
      <c r="Q77" s="1077" t="s">
        <v>1277</v>
      </c>
      <c r="R77" s="1077">
        <v>19.100000000000001</v>
      </c>
      <c r="T77" s="1077">
        <v>18.3</v>
      </c>
      <c r="U77" s="1077">
        <v>4.0999999999999996</v>
      </c>
      <c r="V77" s="1077" t="s">
        <v>648</v>
      </c>
      <c r="W77" s="1077">
        <v>125</v>
      </c>
      <c r="X77" s="1077">
        <v>85</v>
      </c>
      <c r="Y77" s="1077">
        <v>2</v>
      </c>
      <c r="Z77" s="1077">
        <v>3</v>
      </c>
      <c r="AA77" s="1077" t="s">
        <v>1278</v>
      </c>
      <c r="AH77" s="1077" t="s">
        <v>813</v>
      </c>
      <c r="AM77" s="1078" t="s">
        <v>9207</v>
      </c>
      <c r="AN77" s="1078" t="s">
        <v>9208</v>
      </c>
      <c r="AO77" s="1078">
        <f t="shared" si="14"/>
        <v>550</v>
      </c>
      <c r="AP77" s="1078">
        <f t="shared" si="15"/>
        <v>1.74</v>
      </c>
      <c r="AQ77" s="1078" t="str">
        <f t="shared" si="16"/>
        <v>1-4-1S83°</v>
      </c>
      <c r="AR77" s="1078" t="str">
        <f t="shared" si="17"/>
        <v>30</v>
      </c>
      <c r="AS77" s="1078" t="str">
        <f t="shared" si="18"/>
        <v>210/210/OFF</v>
      </c>
      <c r="AT77" s="1078" t="str">
        <f t="shared" si="19"/>
        <v>1-4-1S83°</v>
      </c>
      <c r="AV77" s="1078" t="str">
        <f t="shared" si="12"/>
        <v>109.3.4</v>
      </c>
      <c r="AW77" s="1344">
        <f t="shared" si="13"/>
        <v>43894</v>
      </c>
    </row>
    <row r="78" spans="1:49">
      <c r="A78" s="1077" t="s">
        <v>1279</v>
      </c>
      <c r="B78" s="1077" t="s">
        <v>1133</v>
      </c>
      <c r="C78" s="1077">
        <v>600</v>
      </c>
      <c r="D78" s="1077">
        <v>1.71</v>
      </c>
      <c r="E78" s="1077" t="s">
        <v>15092</v>
      </c>
      <c r="F78" s="1077" t="s">
        <v>984</v>
      </c>
      <c r="G78" s="1077" t="s">
        <v>1001</v>
      </c>
      <c r="H78" s="1077" t="s">
        <v>1077</v>
      </c>
      <c r="I78" s="1077" t="s">
        <v>126</v>
      </c>
      <c r="J78" s="1077">
        <v>0.4</v>
      </c>
      <c r="K78" s="1077" t="s">
        <v>1253</v>
      </c>
      <c r="L78" s="1077" t="s">
        <v>1135</v>
      </c>
      <c r="M78" s="1077">
        <v>49.3</v>
      </c>
      <c r="N78" s="1077" t="s">
        <v>945</v>
      </c>
      <c r="O78" s="1077">
        <v>1.2324999999999999</v>
      </c>
      <c r="P78" s="1077">
        <v>0.98599999999999999</v>
      </c>
      <c r="Q78" s="1077" t="s">
        <v>956</v>
      </c>
      <c r="R78" s="1077">
        <v>24</v>
      </c>
      <c r="T78" s="1077">
        <v>31</v>
      </c>
      <c r="U78" s="1077">
        <v>3.4</v>
      </c>
      <c r="V78" s="1077" t="s">
        <v>648</v>
      </c>
      <c r="W78" s="1077">
        <v>30</v>
      </c>
      <c r="X78" s="1077">
        <v>10</v>
      </c>
      <c r="Y78" s="1077">
        <v>2.2999999999999998</v>
      </c>
      <c r="Z78" s="1077">
        <v>4.5</v>
      </c>
      <c r="AA78" s="1077" t="s">
        <v>1278</v>
      </c>
      <c r="AH78" s="1077" t="s">
        <v>621</v>
      </c>
      <c r="AM78" s="1078" t="s">
        <v>9209</v>
      </c>
      <c r="AN78" s="1078" t="s">
        <v>9210</v>
      </c>
      <c r="AO78" s="1078">
        <f t="shared" si="14"/>
        <v>600</v>
      </c>
      <c r="AP78" s="1078">
        <f t="shared" si="15"/>
        <v>1.71</v>
      </c>
      <c r="AQ78" s="1078" t="str">
        <f t="shared" si="16"/>
        <v>1-4-1S83°S撚</v>
      </c>
      <c r="AR78" s="1078" t="str">
        <f t="shared" si="17"/>
        <v>30</v>
      </c>
      <c r="AS78" s="1078" t="str">
        <f t="shared" si="18"/>
        <v>245/245/OFF</v>
      </c>
      <c r="AT78" s="1078" t="str">
        <f t="shared" si="19"/>
        <v>1-4-1S83°S撚</v>
      </c>
      <c r="AU78" s="1078" t="s">
        <v>15545</v>
      </c>
      <c r="AV78" s="1078" t="str">
        <f t="shared" si="12"/>
        <v>109.3.4</v>
      </c>
      <c r="AW78" s="1344">
        <f t="shared" si="13"/>
        <v>43894</v>
      </c>
    </row>
    <row r="79" spans="1:49">
      <c r="A79" s="1077" t="s">
        <v>1280</v>
      </c>
      <c r="B79" s="1077" t="s">
        <v>1110</v>
      </c>
      <c r="C79" s="1077">
        <v>600</v>
      </c>
      <c r="D79" s="1077">
        <v>1.42</v>
      </c>
      <c r="E79" s="1077" t="s">
        <v>648</v>
      </c>
      <c r="F79" s="1077" t="s">
        <v>1281</v>
      </c>
      <c r="G79" s="1077">
        <v>1.96</v>
      </c>
      <c r="H79" s="1077" t="s">
        <v>1234</v>
      </c>
      <c r="I79" s="1077" t="s">
        <v>1167</v>
      </c>
      <c r="J79" s="1077">
        <v>1.5</v>
      </c>
      <c r="K79" s="1077" t="s">
        <v>1231</v>
      </c>
      <c r="L79" s="1077" t="s">
        <v>453</v>
      </c>
      <c r="M79" s="1077">
        <v>55.7</v>
      </c>
      <c r="N79" s="1077" t="s">
        <v>945</v>
      </c>
      <c r="O79" s="1077">
        <v>1.3925000000000001</v>
      </c>
      <c r="P79" s="1077">
        <v>1.1140000000000001</v>
      </c>
      <c r="Q79" s="1077" t="s">
        <v>1282</v>
      </c>
      <c r="R79" s="1077">
        <v>61</v>
      </c>
      <c r="T79" s="1077" t="s">
        <v>648</v>
      </c>
      <c r="U79" s="1077">
        <v>36.5</v>
      </c>
      <c r="V79" s="1077" t="s">
        <v>648</v>
      </c>
      <c r="W79" s="1077" t="s">
        <v>648</v>
      </c>
      <c r="X79" s="1077" t="s">
        <v>648</v>
      </c>
      <c r="Y79" s="1077" t="s">
        <v>648</v>
      </c>
      <c r="Z79" s="1077" t="s">
        <v>648</v>
      </c>
      <c r="AA79" s="1077" t="s">
        <v>1283</v>
      </c>
      <c r="AH79" s="1077" t="s">
        <v>724</v>
      </c>
      <c r="AM79" s="1078" t="s">
        <v>9211</v>
      </c>
      <c r="AN79" s="1078" t="s">
        <v>9212</v>
      </c>
      <c r="AO79" s="1078">
        <f t="shared" si="14"/>
        <v>600</v>
      </c>
      <c r="AP79" s="1078">
        <f t="shared" si="15"/>
        <v>1.42</v>
      </c>
      <c r="AQ79" s="1078" t="str">
        <f t="shared" si="16"/>
        <v>NA</v>
      </c>
      <c r="AR79" s="1078" t="str">
        <f t="shared" si="17"/>
        <v>31.8</v>
      </c>
      <c r="AS79" s="1078" t="str">
        <f t="shared" si="18"/>
        <v>OFF/123</v>
      </c>
      <c r="AT79" s="1078" t="str">
        <f t="shared" si="19"/>
        <v>NA</v>
      </c>
      <c r="AV79" s="1078" t="str">
        <f t="shared" si="12"/>
        <v>109.3.20</v>
      </c>
      <c r="AW79" s="1344">
        <f t="shared" si="13"/>
        <v>43910</v>
      </c>
    </row>
    <row r="80" spans="1:49">
      <c r="A80" s="1077" t="s">
        <v>1284</v>
      </c>
      <c r="B80" s="1077" t="s">
        <v>1133</v>
      </c>
      <c r="C80" s="1077">
        <v>650</v>
      </c>
      <c r="D80" s="1077">
        <v>1.71</v>
      </c>
      <c r="E80" s="1077" t="s">
        <v>15092</v>
      </c>
      <c r="F80" s="1077" t="s">
        <v>984</v>
      </c>
      <c r="G80" s="1077" t="s">
        <v>1001</v>
      </c>
      <c r="H80" s="1077" t="s">
        <v>1061</v>
      </c>
      <c r="I80" s="1077" t="s">
        <v>126</v>
      </c>
      <c r="J80" s="1077">
        <v>0.4</v>
      </c>
      <c r="K80" s="1077" t="s">
        <v>1253</v>
      </c>
      <c r="L80" s="1077" t="s">
        <v>1135</v>
      </c>
      <c r="M80" s="1077">
        <v>49.3</v>
      </c>
      <c r="N80" s="1077" t="s">
        <v>945</v>
      </c>
      <c r="O80" s="1077">
        <v>1.2324999999999999</v>
      </c>
      <c r="P80" s="1077">
        <v>0.98599999999999999</v>
      </c>
      <c r="Q80" s="1077" t="s">
        <v>979</v>
      </c>
      <c r="R80" s="1077">
        <v>24</v>
      </c>
      <c r="T80" s="1077">
        <v>31</v>
      </c>
      <c r="U80" s="1077">
        <v>3.4</v>
      </c>
      <c r="V80" s="1077" t="s">
        <v>648</v>
      </c>
      <c r="W80" s="1077">
        <v>30</v>
      </c>
      <c r="X80" s="1077">
        <v>10</v>
      </c>
      <c r="Y80" s="1077">
        <v>2</v>
      </c>
      <c r="Z80" s="1077">
        <v>4.5</v>
      </c>
      <c r="AA80" s="1077" t="s">
        <v>1283</v>
      </c>
      <c r="AH80" s="1077" t="s">
        <v>963</v>
      </c>
      <c r="AM80" s="1078" t="s">
        <v>9213</v>
      </c>
      <c r="AN80" s="1078" t="s">
        <v>9214</v>
      </c>
      <c r="AO80" s="1078">
        <f t="shared" si="14"/>
        <v>650</v>
      </c>
      <c r="AP80" s="1078">
        <f t="shared" si="15"/>
        <v>1.71</v>
      </c>
      <c r="AQ80" s="1078" t="str">
        <f t="shared" si="16"/>
        <v>1-4-1S83°S撚</v>
      </c>
      <c r="AR80" s="1078" t="str">
        <f t="shared" si="17"/>
        <v>30</v>
      </c>
      <c r="AS80" s="1078" t="str">
        <f t="shared" si="18"/>
        <v>255/255/OFF</v>
      </c>
      <c r="AT80" s="1078" t="str">
        <f t="shared" si="19"/>
        <v>1-4-1S83°S撚</v>
      </c>
      <c r="AU80" s="1078" t="s">
        <v>15545</v>
      </c>
      <c r="AV80" s="1078" t="str">
        <f t="shared" si="12"/>
        <v>109.3.20</v>
      </c>
      <c r="AW80" s="1344">
        <f t="shared" si="13"/>
        <v>43910</v>
      </c>
    </row>
    <row r="81" spans="1:49">
      <c r="A81" s="1077" t="s">
        <v>1285</v>
      </c>
      <c r="B81" s="1077" t="s">
        <v>1008</v>
      </c>
      <c r="C81" s="1077">
        <v>600</v>
      </c>
      <c r="D81" s="1077">
        <v>1.6439999999999999</v>
      </c>
      <c r="E81" s="1077" t="s">
        <v>15089</v>
      </c>
      <c r="F81" s="1077" t="s">
        <v>954</v>
      </c>
      <c r="G81" s="1077">
        <v>3</v>
      </c>
      <c r="H81" s="1077" t="s">
        <v>1009</v>
      </c>
      <c r="I81" s="1077" t="s">
        <v>126</v>
      </c>
      <c r="J81" s="1077">
        <v>1.4</v>
      </c>
      <c r="K81" s="1077" t="s">
        <v>1286</v>
      </c>
      <c r="L81" s="1077" t="s">
        <v>1011</v>
      </c>
      <c r="M81" s="1077">
        <v>51.8</v>
      </c>
      <c r="N81" s="1077" t="s">
        <v>945</v>
      </c>
      <c r="O81" s="1077">
        <v>1.2949999999999999</v>
      </c>
      <c r="P81" s="1077">
        <v>1.036</v>
      </c>
      <c r="Q81" s="1077" t="s">
        <v>1012</v>
      </c>
      <c r="R81" s="1077">
        <v>25</v>
      </c>
      <c r="T81" s="1077">
        <v>41.8</v>
      </c>
      <c r="U81" s="1077">
        <v>6</v>
      </c>
      <c r="V81" s="1077" t="s">
        <v>648</v>
      </c>
      <c r="W81" s="1077">
        <v>95</v>
      </c>
      <c r="X81" s="1077">
        <v>40</v>
      </c>
      <c r="Y81" s="1077">
        <v>2.2000000000000002</v>
      </c>
      <c r="Z81" s="1077">
        <v>4</v>
      </c>
      <c r="AA81" s="1077" t="s">
        <v>1287</v>
      </c>
      <c r="AH81" s="1077" t="s">
        <v>1053</v>
      </c>
      <c r="AM81" s="1078" t="s">
        <v>9215</v>
      </c>
      <c r="AN81" s="1078" t="s">
        <v>9216</v>
      </c>
      <c r="AO81" s="1078">
        <f t="shared" si="14"/>
        <v>600</v>
      </c>
      <c r="AP81" s="1078">
        <f t="shared" si="15"/>
        <v>1.6439999999999999</v>
      </c>
      <c r="AQ81" s="1078" t="str">
        <f t="shared" si="16"/>
        <v>1-4-1S83°</v>
      </c>
      <c r="AR81" s="1078" t="str">
        <f t="shared" si="17"/>
        <v>31</v>
      </c>
      <c r="AS81" s="1078" t="str">
        <f t="shared" si="18"/>
        <v>195/195/OFF</v>
      </c>
      <c r="AT81" s="1078" t="str">
        <f t="shared" si="19"/>
        <v>1-4-1S83°</v>
      </c>
      <c r="AV81" s="1078" t="str">
        <f t="shared" si="12"/>
        <v>109.4.6</v>
      </c>
      <c r="AW81" s="1344">
        <f t="shared" si="13"/>
        <v>43927</v>
      </c>
    </row>
    <row r="82" spans="1:49">
      <c r="A82" s="1077" t="s">
        <v>1288</v>
      </c>
      <c r="B82" s="1077" t="s">
        <v>1289</v>
      </c>
      <c r="C82" s="1077">
        <v>550</v>
      </c>
      <c r="D82" s="1077">
        <v>1.645</v>
      </c>
      <c r="E82" s="1077" t="s">
        <v>15089</v>
      </c>
      <c r="F82" s="1077" t="s">
        <v>954</v>
      </c>
      <c r="G82" s="1077" t="s">
        <v>940</v>
      </c>
      <c r="H82" s="1077" t="s">
        <v>1290</v>
      </c>
      <c r="I82" s="1077" t="s">
        <v>126</v>
      </c>
      <c r="J82" s="1077">
        <v>0.6</v>
      </c>
      <c r="K82" s="1077" t="s">
        <v>1291</v>
      </c>
      <c r="L82" s="1077" t="s">
        <v>1036</v>
      </c>
      <c r="M82" s="1077">
        <v>51.5</v>
      </c>
      <c r="N82" s="1077" t="s">
        <v>945</v>
      </c>
      <c r="O82" s="1077">
        <v>1.2875000000000001</v>
      </c>
      <c r="P82" s="1077">
        <v>1.03</v>
      </c>
      <c r="Q82" s="1077" t="s">
        <v>1037</v>
      </c>
      <c r="R82" s="1077">
        <v>23</v>
      </c>
      <c r="T82" s="1077">
        <v>21</v>
      </c>
      <c r="U82" s="1077">
        <v>3.3</v>
      </c>
      <c r="V82" s="1077" t="s">
        <v>648</v>
      </c>
      <c r="W82" s="1077">
        <v>125</v>
      </c>
      <c r="X82" s="1077">
        <v>85</v>
      </c>
      <c r="Y82" s="1077">
        <v>1.8</v>
      </c>
      <c r="Z82" s="1077">
        <v>4</v>
      </c>
      <c r="AA82" s="1077" t="s">
        <v>1292</v>
      </c>
      <c r="AH82" s="1077" t="s">
        <v>813</v>
      </c>
      <c r="AM82" s="1078" t="s">
        <v>9217</v>
      </c>
      <c r="AN82" s="1078" t="s">
        <v>9218</v>
      </c>
      <c r="AO82" s="1078">
        <f t="shared" si="14"/>
        <v>550</v>
      </c>
      <c r="AP82" s="1078">
        <f t="shared" si="15"/>
        <v>1.645</v>
      </c>
      <c r="AQ82" s="1078" t="str">
        <f t="shared" si="16"/>
        <v>1-4-1S83°</v>
      </c>
      <c r="AR82" s="1078" t="str">
        <f t="shared" si="17"/>
        <v>31</v>
      </c>
      <c r="AS82" s="1078" t="str">
        <f t="shared" si="18"/>
        <v>220/220/OFF</v>
      </c>
      <c r="AT82" s="1078" t="str">
        <f t="shared" si="19"/>
        <v>1-4-1S83°</v>
      </c>
      <c r="AV82" s="1078" t="str">
        <f t="shared" si="12"/>
        <v>109.6.3</v>
      </c>
      <c r="AW82" s="1344">
        <f t="shared" si="13"/>
        <v>43985</v>
      </c>
    </row>
    <row r="83" spans="1:49">
      <c r="A83" s="1077" t="s">
        <v>1293</v>
      </c>
      <c r="B83" s="1077" t="s">
        <v>1289</v>
      </c>
      <c r="C83" s="1077">
        <v>550</v>
      </c>
      <c r="D83" s="1077">
        <v>1.645</v>
      </c>
      <c r="E83" s="1077" t="s">
        <v>15089</v>
      </c>
      <c r="F83" s="1077" t="s">
        <v>954</v>
      </c>
      <c r="G83" s="1077" t="s">
        <v>940</v>
      </c>
      <c r="H83" s="1077" t="s">
        <v>1290</v>
      </c>
      <c r="I83" s="1077" t="s">
        <v>126</v>
      </c>
      <c r="J83" s="1077">
        <v>0.6</v>
      </c>
      <c r="K83" s="1077" t="s">
        <v>1291</v>
      </c>
      <c r="L83" s="1077" t="s">
        <v>1036</v>
      </c>
      <c r="M83" s="1077">
        <v>51.5</v>
      </c>
      <c r="N83" s="1077" t="s">
        <v>945</v>
      </c>
      <c r="O83" s="1077">
        <v>1.2875000000000001</v>
      </c>
      <c r="P83" s="1077">
        <v>1.03</v>
      </c>
      <c r="Q83" s="1077" t="s">
        <v>1277</v>
      </c>
      <c r="R83" s="1077">
        <v>23</v>
      </c>
      <c r="T83" s="1077">
        <v>21</v>
      </c>
      <c r="U83" s="1077">
        <v>3.3</v>
      </c>
      <c r="V83" s="1077" t="s">
        <v>648</v>
      </c>
      <c r="W83" s="1077">
        <v>125</v>
      </c>
      <c r="X83" s="1077">
        <v>85</v>
      </c>
      <c r="Y83" s="1077">
        <v>1.8</v>
      </c>
      <c r="Z83" s="1077">
        <v>4</v>
      </c>
      <c r="AA83" s="1077" t="s">
        <v>1294</v>
      </c>
      <c r="AH83" s="1077" t="s">
        <v>878</v>
      </c>
      <c r="AM83" s="1078" t="s">
        <v>9219</v>
      </c>
      <c r="AN83" s="1078" t="s">
        <v>9220</v>
      </c>
      <c r="AO83" s="1078">
        <f t="shared" si="14"/>
        <v>550</v>
      </c>
      <c r="AP83" s="1078">
        <f t="shared" si="15"/>
        <v>1.645</v>
      </c>
      <c r="AQ83" s="1078" t="str">
        <f t="shared" si="16"/>
        <v>1-4-1S83°</v>
      </c>
      <c r="AR83" s="1078" t="str">
        <f t="shared" si="17"/>
        <v>31</v>
      </c>
      <c r="AS83" s="1078" t="str">
        <f t="shared" si="18"/>
        <v>220/220/OFF</v>
      </c>
      <c r="AT83" s="1078" t="str">
        <f t="shared" si="19"/>
        <v>1-4-1S83°</v>
      </c>
      <c r="AV83" s="1078" t="str">
        <f t="shared" si="12"/>
        <v>109.6.30</v>
      </c>
      <c r="AW83" s="1344">
        <f t="shared" si="13"/>
        <v>44012</v>
      </c>
    </row>
    <row r="84" spans="1:49">
      <c r="A84" s="1077" t="s">
        <v>1295</v>
      </c>
      <c r="B84" s="1077" t="s">
        <v>1154</v>
      </c>
      <c r="C84" s="1077">
        <v>550</v>
      </c>
      <c r="D84" s="1077">
        <v>1.74</v>
      </c>
      <c r="E84" s="1077" t="s">
        <v>15091</v>
      </c>
      <c r="F84" s="1077" t="s">
        <v>984</v>
      </c>
      <c r="G84" s="1077" t="s">
        <v>940</v>
      </c>
      <c r="H84" s="1077" t="s">
        <v>1072</v>
      </c>
      <c r="I84" s="1077" t="s">
        <v>1167</v>
      </c>
      <c r="J84" s="1077">
        <v>1</v>
      </c>
      <c r="K84" s="1077" t="s">
        <v>1296</v>
      </c>
      <c r="L84" s="1077" t="s">
        <v>1157</v>
      </c>
      <c r="M84" s="1077">
        <v>49.5</v>
      </c>
      <c r="N84" s="1077" t="s">
        <v>945</v>
      </c>
      <c r="O84" s="1077">
        <v>1.2375</v>
      </c>
      <c r="P84" s="1077">
        <v>0.99</v>
      </c>
      <c r="Q84" s="1077" t="s">
        <v>988</v>
      </c>
      <c r="R84" s="1077">
        <v>23</v>
      </c>
      <c r="T84" s="1077">
        <v>31</v>
      </c>
      <c r="U84" s="1077">
        <v>3.3</v>
      </c>
      <c r="V84" s="1077" t="s">
        <v>648</v>
      </c>
      <c r="W84" s="1077">
        <v>110</v>
      </c>
      <c r="X84" s="1077">
        <v>70</v>
      </c>
      <c r="Y84" s="1077">
        <v>2.7</v>
      </c>
      <c r="Z84" s="1077" t="s">
        <v>1297</v>
      </c>
      <c r="AA84" s="1077" t="s">
        <v>1298</v>
      </c>
      <c r="AH84" s="1077" t="s">
        <v>1299</v>
      </c>
      <c r="AM84" s="1078" t="s">
        <v>9221</v>
      </c>
      <c r="AN84" s="1078" t="s">
        <v>9222</v>
      </c>
      <c r="AO84" s="1078">
        <f t="shared" si="14"/>
        <v>550</v>
      </c>
      <c r="AP84" s="1078">
        <f t="shared" si="15"/>
        <v>1.74</v>
      </c>
      <c r="AQ84" s="1078" t="str">
        <f t="shared" si="16"/>
        <v>2-5-1S83°</v>
      </c>
      <c r="AR84" s="1078" t="str">
        <f t="shared" si="17"/>
        <v>30</v>
      </c>
      <c r="AS84" s="1078" t="str">
        <f t="shared" si="18"/>
        <v>168/OFF</v>
      </c>
      <c r="AT84" s="1078" t="str">
        <f t="shared" si="19"/>
        <v>2-5-1S83°</v>
      </c>
      <c r="AV84" s="1078" t="str">
        <f t="shared" si="12"/>
        <v>109.7.27</v>
      </c>
      <c r="AW84" s="1344">
        <f t="shared" si="13"/>
        <v>44039</v>
      </c>
    </row>
    <row r="85" spans="1:49">
      <c r="A85" s="1077" t="s">
        <v>1300</v>
      </c>
      <c r="B85" s="1077" t="s">
        <v>983</v>
      </c>
      <c r="C85" s="1077">
        <v>650</v>
      </c>
      <c r="D85" s="1077">
        <v>1.7</v>
      </c>
      <c r="E85" s="1077" t="s">
        <v>15089</v>
      </c>
      <c r="F85" s="1077" t="s">
        <v>984</v>
      </c>
      <c r="G85" s="1077" t="s">
        <v>940</v>
      </c>
      <c r="H85" s="1077" t="s">
        <v>1301</v>
      </c>
      <c r="I85" s="1077" t="s">
        <v>126</v>
      </c>
      <c r="J85" s="1077">
        <v>0.7</v>
      </c>
      <c r="K85" s="1077" t="s">
        <v>1302</v>
      </c>
      <c r="L85" s="1077" t="s">
        <v>987</v>
      </c>
      <c r="M85" s="1077">
        <v>51.5</v>
      </c>
      <c r="N85" s="1077" t="s">
        <v>945</v>
      </c>
      <c r="O85" s="1077">
        <v>1.2875000000000001</v>
      </c>
      <c r="P85" s="1077">
        <v>1.03</v>
      </c>
      <c r="Q85" s="1077">
        <v>4</v>
      </c>
      <c r="R85" s="1077">
        <v>24.5</v>
      </c>
      <c r="T85" s="1077">
        <v>20</v>
      </c>
      <c r="U85" s="1077">
        <v>3.4</v>
      </c>
      <c r="V85" s="1077" t="s">
        <v>648</v>
      </c>
      <c r="W85" s="1077">
        <v>125</v>
      </c>
      <c r="X85" s="1077" t="s">
        <v>1063</v>
      </c>
      <c r="Y85" s="1077">
        <v>2.2000000000000002</v>
      </c>
      <c r="Z85" s="1077">
        <v>4</v>
      </c>
      <c r="AA85" s="1077" t="s">
        <v>1303</v>
      </c>
      <c r="AH85" s="1077" t="s">
        <v>468</v>
      </c>
      <c r="AI85" s="1077" t="s">
        <v>981</v>
      </c>
      <c r="AM85" s="1078" t="s">
        <v>9223</v>
      </c>
      <c r="AN85" s="1078" t="s">
        <v>9224</v>
      </c>
      <c r="AO85" s="1078">
        <f t="shared" si="14"/>
        <v>650</v>
      </c>
      <c r="AP85" s="1078">
        <f t="shared" si="15"/>
        <v>1.7</v>
      </c>
      <c r="AQ85" s="1078" t="str">
        <f t="shared" si="16"/>
        <v>1-4-1S83°</v>
      </c>
      <c r="AR85" s="1078" t="str">
        <f t="shared" si="17"/>
        <v>30</v>
      </c>
      <c r="AS85" s="1078" t="str">
        <f t="shared" si="18"/>
        <v>242/242/OFF</v>
      </c>
      <c r="AT85" s="1078" t="str">
        <f t="shared" si="19"/>
        <v>1-4-1S83°</v>
      </c>
      <c r="AV85" s="1078" t="str">
        <f t="shared" si="12"/>
        <v>110.1.18</v>
      </c>
      <c r="AW85" s="1344">
        <f t="shared" si="13"/>
        <v>44214</v>
      </c>
    </row>
    <row r="86" spans="1:49">
      <c r="A86" s="1077" t="s">
        <v>1304</v>
      </c>
      <c r="B86" s="1077" t="s">
        <v>983</v>
      </c>
      <c r="C86" s="1077">
        <v>650</v>
      </c>
      <c r="D86" s="1077">
        <v>1.7</v>
      </c>
      <c r="E86" s="1077" t="s">
        <v>15089</v>
      </c>
      <c r="F86" s="1077" t="s">
        <v>984</v>
      </c>
      <c r="G86" s="1077" t="s">
        <v>940</v>
      </c>
      <c r="H86" s="1077" t="s">
        <v>1301</v>
      </c>
      <c r="I86" s="1077" t="s">
        <v>126</v>
      </c>
      <c r="J86" s="1077">
        <v>0.7</v>
      </c>
      <c r="K86" s="1077" t="s">
        <v>1210</v>
      </c>
      <c r="L86" s="1077" t="s">
        <v>987</v>
      </c>
      <c r="M86" s="1077">
        <v>51.5</v>
      </c>
      <c r="N86" s="1077" t="s">
        <v>945</v>
      </c>
      <c r="O86" s="1077">
        <v>1.2875000000000001</v>
      </c>
      <c r="P86" s="1077">
        <v>1.03</v>
      </c>
      <c r="Q86" s="1077">
        <v>4</v>
      </c>
      <c r="R86" s="1077">
        <v>24.5</v>
      </c>
      <c r="T86" s="1077">
        <v>20</v>
      </c>
      <c r="U86" s="1077">
        <v>3.4</v>
      </c>
      <c r="V86" s="1077" t="s">
        <v>648</v>
      </c>
      <c r="W86" s="1077">
        <v>125</v>
      </c>
      <c r="X86" s="1077" t="s">
        <v>1063</v>
      </c>
      <c r="Y86" s="1077">
        <v>2.2000000000000002</v>
      </c>
      <c r="Z86" s="1077">
        <v>4</v>
      </c>
      <c r="AA86" s="1077" t="s">
        <v>1305</v>
      </c>
      <c r="AH86" s="1077" t="s">
        <v>998</v>
      </c>
      <c r="AM86" s="1078" t="s">
        <v>9225</v>
      </c>
      <c r="AN86" s="1078" t="s">
        <v>9226</v>
      </c>
      <c r="AO86" s="1078">
        <f t="shared" si="14"/>
        <v>650</v>
      </c>
      <c r="AP86" s="1078">
        <f t="shared" si="15"/>
        <v>1.7</v>
      </c>
      <c r="AQ86" s="1078" t="str">
        <f t="shared" si="16"/>
        <v>1-4-1S83°</v>
      </c>
      <c r="AR86" s="1078" t="str">
        <f t="shared" si="17"/>
        <v>30</v>
      </c>
      <c r="AS86" s="1078" t="str">
        <f t="shared" si="18"/>
        <v>242/242/OFF</v>
      </c>
      <c r="AT86" s="1078" t="str">
        <f t="shared" si="19"/>
        <v>1-4-1S83°</v>
      </c>
      <c r="AV86" s="1078" t="str">
        <f t="shared" si="12"/>
        <v>110.2.1</v>
      </c>
      <c r="AW86" s="1344">
        <f t="shared" si="13"/>
        <v>44228</v>
      </c>
    </row>
    <row r="87" spans="1:49">
      <c r="A87" s="1077" t="s">
        <v>1306</v>
      </c>
      <c r="B87" s="1077" t="s">
        <v>983</v>
      </c>
      <c r="C87" s="1077">
        <v>650</v>
      </c>
      <c r="D87" s="1077">
        <v>1.7</v>
      </c>
      <c r="E87" s="1077" t="s">
        <v>15089</v>
      </c>
      <c r="F87" s="1077" t="s">
        <v>984</v>
      </c>
      <c r="G87" s="1077" t="s">
        <v>940</v>
      </c>
      <c r="H87" s="1077" t="s">
        <v>1301</v>
      </c>
      <c r="I87" s="1077" t="s">
        <v>126</v>
      </c>
      <c r="J87" s="1077">
        <v>0.7</v>
      </c>
      <c r="K87" s="1077" t="s">
        <v>1210</v>
      </c>
      <c r="L87" s="1077" t="s">
        <v>987</v>
      </c>
      <c r="M87" s="1077">
        <v>51.5</v>
      </c>
      <c r="N87" s="1077" t="s">
        <v>945</v>
      </c>
      <c r="O87" s="1077">
        <v>1.2875000000000001</v>
      </c>
      <c r="P87" s="1077">
        <v>1.03</v>
      </c>
      <c r="Q87" s="1077">
        <v>4</v>
      </c>
      <c r="R87" s="1077">
        <v>24.5</v>
      </c>
      <c r="T87" s="1077">
        <v>20</v>
      </c>
      <c r="U87" s="1077">
        <v>3.4</v>
      </c>
      <c r="V87" s="1077" t="s">
        <v>648</v>
      </c>
      <c r="W87" s="1077">
        <v>125</v>
      </c>
      <c r="X87" s="1077" t="s">
        <v>1063</v>
      </c>
      <c r="Y87" s="1077">
        <v>2.2000000000000002</v>
      </c>
      <c r="Z87" s="1077">
        <v>4</v>
      </c>
      <c r="AA87" s="1077" t="s">
        <v>1307</v>
      </c>
      <c r="AH87" s="1077" t="s">
        <v>1244</v>
      </c>
      <c r="AM87" s="1078" t="s">
        <v>9227</v>
      </c>
      <c r="AN87" s="1078" t="s">
        <v>9228</v>
      </c>
      <c r="AO87" s="1078">
        <f t="shared" si="14"/>
        <v>650</v>
      </c>
      <c r="AP87" s="1078">
        <f t="shared" si="15"/>
        <v>1.7</v>
      </c>
      <c r="AQ87" s="1078" t="str">
        <f t="shared" si="16"/>
        <v>1-4-1S83°</v>
      </c>
      <c r="AR87" s="1078" t="str">
        <f t="shared" si="17"/>
        <v>30</v>
      </c>
      <c r="AS87" s="1078" t="str">
        <f t="shared" si="18"/>
        <v>242/242/OFF</v>
      </c>
      <c r="AT87" s="1078" t="str">
        <f t="shared" si="19"/>
        <v>1-4-1S83°</v>
      </c>
      <c r="AV87" s="1078" t="str">
        <f t="shared" si="12"/>
        <v>110.4.14</v>
      </c>
      <c r="AW87" s="1344">
        <f t="shared" si="13"/>
        <v>44300</v>
      </c>
    </row>
    <row r="88" spans="1:49">
      <c r="A88" s="1077" t="s">
        <v>1308</v>
      </c>
      <c r="B88" s="1077" t="s">
        <v>983</v>
      </c>
      <c r="C88" s="1077">
        <v>650</v>
      </c>
      <c r="D88" s="1077">
        <v>1.7</v>
      </c>
      <c r="E88" s="1077" t="s">
        <v>15089</v>
      </c>
      <c r="F88" s="1077" t="s">
        <v>984</v>
      </c>
      <c r="G88" s="1077" t="s">
        <v>940</v>
      </c>
      <c r="H88" s="1077" t="s">
        <v>1301</v>
      </c>
      <c r="I88" s="1077" t="s">
        <v>126</v>
      </c>
      <c r="J88" s="1077">
        <v>0.7</v>
      </c>
      <c r="K88" s="1077" t="s">
        <v>1309</v>
      </c>
      <c r="L88" s="1077" t="s">
        <v>987</v>
      </c>
      <c r="M88" s="1077">
        <v>51.5</v>
      </c>
      <c r="N88" s="1077" t="s">
        <v>945</v>
      </c>
      <c r="O88" s="1077">
        <v>1.2875000000000001</v>
      </c>
      <c r="P88" s="1077">
        <v>1.03</v>
      </c>
      <c r="Q88" s="1077">
        <v>4</v>
      </c>
      <c r="R88" s="1077">
        <v>24.5</v>
      </c>
      <c r="T88" s="1077">
        <v>20</v>
      </c>
      <c r="U88" s="1077">
        <v>3.4</v>
      </c>
      <c r="V88" s="1077" t="s">
        <v>648</v>
      </c>
      <c r="W88" s="1077">
        <v>125</v>
      </c>
      <c r="X88" s="1077" t="s">
        <v>1063</v>
      </c>
      <c r="Y88" s="1077">
        <v>2.2000000000000002</v>
      </c>
      <c r="Z88" s="1077">
        <v>4</v>
      </c>
      <c r="AA88" s="1077" t="s">
        <v>1310</v>
      </c>
      <c r="AH88" s="1077" t="s">
        <v>884</v>
      </c>
      <c r="AI88" s="1077" t="s">
        <v>981</v>
      </c>
      <c r="AM88" s="1078" t="s">
        <v>9229</v>
      </c>
      <c r="AN88" s="1078" t="s">
        <v>9230</v>
      </c>
      <c r="AO88" s="1078">
        <f t="shared" si="14"/>
        <v>650</v>
      </c>
      <c r="AP88" s="1078">
        <f t="shared" si="15"/>
        <v>1.7</v>
      </c>
      <c r="AQ88" s="1078" t="str">
        <f t="shared" si="16"/>
        <v>1-4-1S83°</v>
      </c>
      <c r="AR88" s="1078" t="str">
        <f t="shared" si="17"/>
        <v>30</v>
      </c>
      <c r="AS88" s="1078" t="str">
        <f t="shared" si="18"/>
        <v>242/242/OFF</v>
      </c>
      <c r="AT88" s="1078" t="str">
        <f t="shared" si="19"/>
        <v>1-4-1S83°</v>
      </c>
      <c r="AV88" s="1078" t="str">
        <f t="shared" si="12"/>
        <v>110.6.21</v>
      </c>
      <c r="AW88" s="1344">
        <f t="shared" si="13"/>
        <v>44368</v>
      </c>
    </row>
    <row r="89" spans="1:49">
      <c r="A89" s="1077" t="s">
        <v>1311</v>
      </c>
      <c r="B89" s="1077" t="s">
        <v>983</v>
      </c>
      <c r="C89" s="1077">
        <v>650</v>
      </c>
      <c r="D89" s="1077">
        <v>1.7</v>
      </c>
      <c r="E89" s="1077" t="s">
        <v>15089</v>
      </c>
      <c r="F89" s="1077" t="s">
        <v>984</v>
      </c>
      <c r="G89" s="1077" t="s">
        <v>940</v>
      </c>
      <c r="H89" s="1077" t="s">
        <v>1301</v>
      </c>
      <c r="I89" s="1077" t="s">
        <v>126</v>
      </c>
      <c r="J89" s="1077">
        <v>0.7</v>
      </c>
      <c r="K89" s="1077" t="s">
        <v>1210</v>
      </c>
      <c r="L89" s="1077" t="s">
        <v>987</v>
      </c>
      <c r="M89" s="1077">
        <v>51.5</v>
      </c>
      <c r="N89" s="1077" t="s">
        <v>945</v>
      </c>
      <c r="O89" s="1077">
        <v>1.2875000000000001</v>
      </c>
      <c r="P89" s="1077">
        <v>1.03</v>
      </c>
      <c r="Q89" s="1077">
        <v>4</v>
      </c>
      <c r="R89" s="1077">
        <v>24.5</v>
      </c>
      <c r="T89" s="1077">
        <v>20</v>
      </c>
      <c r="U89" s="1077">
        <v>3.4</v>
      </c>
      <c r="V89" s="1077" t="s">
        <v>648</v>
      </c>
      <c r="W89" s="1077">
        <v>125</v>
      </c>
      <c r="X89" s="1077" t="s">
        <v>1063</v>
      </c>
      <c r="Y89" s="1077">
        <v>2.2000000000000002</v>
      </c>
      <c r="Z89" s="1077">
        <v>4</v>
      </c>
      <c r="AA89" s="1077" t="s">
        <v>1312</v>
      </c>
      <c r="AH89" s="1077" t="s">
        <v>680</v>
      </c>
      <c r="AI89" s="1077" t="s">
        <v>981</v>
      </c>
      <c r="AM89" s="1078" t="s">
        <v>9231</v>
      </c>
      <c r="AN89" s="1078" t="s">
        <v>9232</v>
      </c>
      <c r="AO89" s="1078">
        <f t="shared" si="14"/>
        <v>650</v>
      </c>
      <c r="AP89" s="1078">
        <f t="shared" si="15"/>
        <v>1.7</v>
      </c>
      <c r="AQ89" s="1078" t="str">
        <f t="shared" si="16"/>
        <v>1-4-1S83°</v>
      </c>
      <c r="AR89" s="1078" t="str">
        <f t="shared" si="17"/>
        <v>30</v>
      </c>
      <c r="AS89" s="1078" t="str">
        <f t="shared" si="18"/>
        <v>242/242/OFF</v>
      </c>
      <c r="AT89" s="1078" t="str">
        <f t="shared" si="19"/>
        <v>1-4-1S83°</v>
      </c>
      <c r="AV89" s="1078" t="str">
        <f t="shared" si="12"/>
        <v>110.7.1</v>
      </c>
      <c r="AW89" s="1344">
        <f t="shared" si="13"/>
        <v>44378</v>
      </c>
    </row>
    <row r="90" spans="1:49">
      <c r="A90" s="1077" t="s">
        <v>1313</v>
      </c>
      <c r="B90" s="1077" t="s">
        <v>983</v>
      </c>
      <c r="M90" s="1077">
        <v>51.5</v>
      </c>
      <c r="N90" s="1077" t="s">
        <v>945</v>
      </c>
      <c r="O90" s="1077">
        <v>1.2875000000000001</v>
      </c>
      <c r="P90" s="1077">
        <v>1.03</v>
      </c>
      <c r="Q90" s="1077">
        <v>4</v>
      </c>
      <c r="R90" s="1077">
        <v>24.5</v>
      </c>
      <c r="T90" s="1077">
        <v>20</v>
      </c>
      <c r="U90" s="1077">
        <v>3.4</v>
      </c>
      <c r="V90" s="1077" t="s">
        <v>648</v>
      </c>
      <c r="W90" s="1077">
        <v>125</v>
      </c>
      <c r="X90" s="1077" t="s">
        <v>1063</v>
      </c>
      <c r="Y90" s="1077">
        <v>2.2000000000000002</v>
      </c>
      <c r="Z90" s="1077">
        <v>4</v>
      </c>
      <c r="AA90" s="1077" t="s">
        <v>1314</v>
      </c>
      <c r="AI90" s="1077" t="s">
        <v>981</v>
      </c>
      <c r="AM90" s="1078" t="s">
        <v>9233</v>
      </c>
      <c r="AN90" s="1078" t="s">
        <v>9234</v>
      </c>
      <c r="AO90" s="1078">
        <f t="shared" si="14"/>
        <v>0</v>
      </c>
      <c r="AP90" s="1078">
        <f t="shared" si="15"/>
        <v>0</v>
      </c>
      <c r="AQ90" s="1078">
        <f t="shared" si="16"/>
        <v>0</v>
      </c>
      <c r="AR90" s="1078">
        <f t="shared" si="17"/>
        <v>0</v>
      </c>
      <c r="AS90" s="1078">
        <f t="shared" si="18"/>
        <v>0</v>
      </c>
      <c r="AT90" s="1078">
        <f t="shared" si="19"/>
        <v>0</v>
      </c>
      <c r="AV90" s="1078" t="str">
        <f t="shared" si="12"/>
        <v>110.9.10</v>
      </c>
      <c r="AW90" s="1344">
        <f t="shared" si="13"/>
        <v>44449</v>
      </c>
    </row>
    <row r="91" spans="1:49">
      <c r="A91" s="1077" t="s">
        <v>1315</v>
      </c>
      <c r="B91" s="1077" t="s">
        <v>983</v>
      </c>
      <c r="C91" s="1077">
        <v>650</v>
      </c>
      <c r="D91" s="1077">
        <v>1.71</v>
      </c>
      <c r="E91" s="1077" t="s">
        <v>15089</v>
      </c>
      <c r="F91" s="1077" t="s">
        <v>984</v>
      </c>
      <c r="G91" s="1077" t="s">
        <v>940</v>
      </c>
      <c r="H91" s="1077" t="s">
        <v>1301</v>
      </c>
      <c r="I91" s="1077" t="s">
        <v>126</v>
      </c>
      <c r="J91" s="1077">
        <v>0.7</v>
      </c>
      <c r="K91" s="1077" t="s">
        <v>1210</v>
      </c>
      <c r="L91" s="1077" t="s">
        <v>987</v>
      </c>
      <c r="M91" s="1077">
        <v>51.5</v>
      </c>
      <c r="N91" s="1077" t="s">
        <v>945</v>
      </c>
      <c r="O91" s="1077">
        <v>1.2875000000000001</v>
      </c>
      <c r="P91" s="1077">
        <v>1.03</v>
      </c>
      <c r="Q91" s="1077">
        <v>4</v>
      </c>
      <c r="R91" s="1077">
        <v>24.5</v>
      </c>
      <c r="T91" s="1077">
        <v>20</v>
      </c>
      <c r="U91" s="1077">
        <v>3.4</v>
      </c>
      <c r="V91" s="1077" t="s">
        <v>648</v>
      </c>
      <c r="W91" s="1077">
        <v>125</v>
      </c>
      <c r="X91" s="1077" t="s">
        <v>1063</v>
      </c>
      <c r="Y91" s="1077">
        <v>2.2000000000000002</v>
      </c>
      <c r="Z91" s="1077">
        <v>4</v>
      </c>
      <c r="AA91" s="1077" t="s">
        <v>1316</v>
      </c>
      <c r="AH91" s="1077" t="s">
        <v>1186</v>
      </c>
      <c r="AI91" s="1077" t="s">
        <v>981</v>
      </c>
      <c r="AM91" s="1078" t="s">
        <v>9235</v>
      </c>
      <c r="AN91" s="1078" t="s">
        <v>9236</v>
      </c>
      <c r="AO91" s="1078">
        <f t="shared" si="14"/>
        <v>650</v>
      </c>
      <c r="AP91" s="1078">
        <f t="shared" si="15"/>
        <v>1.71</v>
      </c>
      <c r="AQ91" s="1078" t="str">
        <f t="shared" si="16"/>
        <v>1-4-1S83°</v>
      </c>
      <c r="AR91" s="1078" t="str">
        <f t="shared" si="17"/>
        <v>30</v>
      </c>
      <c r="AS91" s="1078" t="str">
        <f t="shared" si="18"/>
        <v>242/242/OFF</v>
      </c>
      <c r="AT91" s="1078" t="str">
        <f t="shared" si="19"/>
        <v>1-4-1S83°</v>
      </c>
      <c r="AV91" s="1078" t="str">
        <f t="shared" si="12"/>
        <v>110.8.11</v>
      </c>
      <c r="AW91" s="1344">
        <f t="shared" si="13"/>
        <v>44419</v>
      </c>
    </row>
    <row r="92" spans="1:49">
      <c r="A92" s="1077" t="s">
        <v>1317</v>
      </c>
      <c r="B92" s="1077" t="s">
        <v>1289</v>
      </c>
      <c r="C92" s="1077">
        <v>550</v>
      </c>
      <c r="D92" s="1077">
        <v>1.645</v>
      </c>
      <c r="E92" s="1077" t="s">
        <v>15089</v>
      </c>
      <c r="F92" s="1077" t="s">
        <v>1318</v>
      </c>
      <c r="G92" s="1077" t="s">
        <v>1319</v>
      </c>
      <c r="H92" s="1077" t="s">
        <v>1034</v>
      </c>
      <c r="I92" s="1077" t="s">
        <v>126</v>
      </c>
      <c r="J92" s="1077">
        <v>0.6</v>
      </c>
      <c r="K92" s="1077" t="s">
        <v>1320</v>
      </c>
      <c r="L92" s="1077" t="s">
        <v>1036</v>
      </c>
      <c r="M92" s="1077">
        <v>51.5</v>
      </c>
      <c r="N92" s="1077" t="s">
        <v>945</v>
      </c>
      <c r="O92" s="1077">
        <v>1.2875000000000001</v>
      </c>
      <c r="P92" s="1077">
        <v>1.03</v>
      </c>
      <c r="Q92" s="1077" t="s">
        <v>1321</v>
      </c>
      <c r="R92" s="1077">
        <v>23</v>
      </c>
      <c r="T92" s="1077">
        <v>21</v>
      </c>
      <c r="U92" s="1077">
        <v>3.3</v>
      </c>
      <c r="V92" s="1077" t="s">
        <v>648</v>
      </c>
      <c r="W92" s="1077">
        <v>125</v>
      </c>
      <c r="X92" s="1077">
        <v>85</v>
      </c>
      <c r="Y92" s="1077">
        <v>1.8</v>
      </c>
      <c r="Z92" s="1077">
        <v>4</v>
      </c>
      <c r="AA92" s="1077" t="s">
        <v>1322</v>
      </c>
      <c r="AH92" s="1077" t="s">
        <v>884</v>
      </c>
      <c r="AM92" s="1078" t="s">
        <v>9237</v>
      </c>
      <c r="AN92" s="1078" t="s">
        <v>9238</v>
      </c>
      <c r="AO92" s="1078">
        <f t="shared" si="14"/>
        <v>550</v>
      </c>
      <c r="AP92" s="1078">
        <f t="shared" si="15"/>
        <v>1.645</v>
      </c>
      <c r="AQ92" s="1078" t="str">
        <f t="shared" si="16"/>
        <v>1-4-1S83°</v>
      </c>
      <c r="AR92" s="1078" t="str">
        <f t="shared" si="17"/>
        <v>30.7</v>
      </c>
      <c r="AS92" s="1078" t="str">
        <f t="shared" si="18"/>
        <v>237/237/OFF</v>
      </c>
      <c r="AT92" s="1078" t="str">
        <f t="shared" si="19"/>
        <v>1-4-1S83°</v>
      </c>
      <c r="AV92" s="1078" t="str">
        <f t="shared" si="12"/>
        <v>109.8.9</v>
      </c>
      <c r="AW92" s="1344">
        <f t="shared" si="13"/>
        <v>44052</v>
      </c>
    </row>
    <row r="93" spans="1:49">
      <c r="A93" s="1077" t="s">
        <v>1323</v>
      </c>
      <c r="B93" s="1077" t="s">
        <v>1289</v>
      </c>
      <c r="C93" s="1077">
        <v>550</v>
      </c>
      <c r="D93" s="1077">
        <v>1.645</v>
      </c>
      <c r="E93" s="1077" t="s">
        <v>15089</v>
      </c>
      <c r="F93" s="1077" t="s">
        <v>1318</v>
      </c>
      <c r="G93" s="1077" t="s">
        <v>940</v>
      </c>
      <c r="H93" s="1077" t="s">
        <v>1034</v>
      </c>
      <c r="I93" s="1077" t="s">
        <v>126</v>
      </c>
      <c r="J93" s="1077">
        <v>0.7</v>
      </c>
      <c r="K93" s="1077" t="s">
        <v>1324</v>
      </c>
      <c r="L93" s="1077" t="s">
        <v>1036</v>
      </c>
      <c r="M93" s="1077">
        <v>51.5</v>
      </c>
      <c r="N93" s="1077" t="s">
        <v>945</v>
      </c>
      <c r="O93" s="1077">
        <v>1.2875000000000001</v>
      </c>
      <c r="P93" s="1077">
        <v>1.03</v>
      </c>
      <c r="Q93" s="1077" t="s">
        <v>1321</v>
      </c>
      <c r="R93" s="1077">
        <v>23</v>
      </c>
      <c r="T93" s="1077">
        <v>21</v>
      </c>
      <c r="U93" s="1077">
        <v>3.3</v>
      </c>
      <c r="V93" s="1077" t="s">
        <v>648</v>
      </c>
      <c r="W93" s="1077">
        <v>125</v>
      </c>
      <c r="X93" s="1077">
        <v>85</v>
      </c>
      <c r="Y93" s="1077">
        <v>1.8</v>
      </c>
      <c r="Z93" s="1077" t="s">
        <v>1146</v>
      </c>
      <c r="AA93" s="1077" t="s">
        <v>1325</v>
      </c>
      <c r="AH93" s="1077" t="s">
        <v>680</v>
      </c>
      <c r="AM93" s="1078" t="s">
        <v>9239</v>
      </c>
      <c r="AN93" s="1078" t="s">
        <v>9240</v>
      </c>
      <c r="AO93" s="1078">
        <f t="shared" si="14"/>
        <v>550</v>
      </c>
      <c r="AP93" s="1078">
        <f t="shared" si="15"/>
        <v>1.645</v>
      </c>
      <c r="AQ93" s="1078" t="str">
        <f t="shared" si="16"/>
        <v>1-4-1S83°</v>
      </c>
      <c r="AR93" s="1078" t="str">
        <f t="shared" si="17"/>
        <v>30.7</v>
      </c>
      <c r="AS93" s="1078" t="str">
        <f t="shared" si="18"/>
        <v>237/237/OFF</v>
      </c>
      <c r="AT93" s="1078" t="str">
        <f t="shared" si="19"/>
        <v>1-4-1S83°</v>
      </c>
      <c r="AV93" s="1078" t="str">
        <f t="shared" si="12"/>
        <v>109.8.17</v>
      </c>
      <c r="AW93" s="1344">
        <f t="shared" si="13"/>
        <v>44060</v>
      </c>
    </row>
    <row r="94" spans="1:49">
      <c r="A94" s="1077" t="s">
        <v>1326</v>
      </c>
      <c r="B94" s="1077" t="s">
        <v>1289</v>
      </c>
      <c r="C94" s="1077">
        <v>550</v>
      </c>
      <c r="D94" s="1077">
        <v>1.645</v>
      </c>
      <c r="E94" s="1077" t="s">
        <v>15089</v>
      </c>
      <c r="F94" s="1077" t="s">
        <v>1318</v>
      </c>
      <c r="G94" s="1077" t="s">
        <v>940</v>
      </c>
      <c r="H94" s="1077" t="s">
        <v>1327</v>
      </c>
      <c r="I94" s="1077" t="s">
        <v>126</v>
      </c>
      <c r="J94" s="1077">
        <v>0.7</v>
      </c>
      <c r="K94" s="1077" t="s">
        <v>1328</v>
      </c>
      <c r="L94" s="1077" t="s">
        <v>1036</v>
      </c>
      <c r="M94" s="1077">
        <v>51.5</v>
      </c>
      <c r="N94" s="1077" t="s">
        <v>945</v>
      </c>
      <c r="O94" s="1077">
        <v>1.2875000000000001</v>
      </c>
      <c r="P94" s="1077">
        <v>1.03</v>
      </c>
      <c r="Q94" s="1077" t="s">
        <v>1321</v>
      </c>
      <c r="R94" s="1077">
        <v>23</v>
      </c>
      <c r="T94" s="1077">
        <v>21</v>
      </c>
      <c r="U94" s="1077">
        <v>3.3</v>
      </c>
      <c r="V94" s="1077" t="s">
        <v>648</v>
      </c>
      <c r="W94" s="1077">
        <v>125</v>
      </c>
      <c r="X94" s="1077">
        <v>85</v>
      </c>
      <c r="Y94" s="1077">
        <v>1.8</v>
      </c>
      <c r="Z94" s="1077" t="s">
        <v>1329</v>
      </c>
      <c r="AA94" s="1077" t="s">
        <v>1330</v>
      </c>
      <c r="AH94" s="1077" t="s">
        <v>878</v>
      </c>
      <c r="AM94" s="1078" t="s">
        <v>9241</v>
      </c>
      <c r="AN94" s="1078" t="s">
        <v>9242</v>
      </c>
      <c r="AO94" s="1078">
        <f t="shared" si="14"/>
        <v>550</v>
      </c>
      <c r="AP94" s="1078">
        <f t="shared" si="15"/>
        <v>1.645</v>
      </c>
      <c r="AQ94" s="1078" t="str">
        <f t="shared" si="16"/>
        <v>1-4-1S83°</v>
      </c>
      <c r="AR94" s="1078" t="str">
        <f t="shared" si="17"/>
        <v>30.7</v>
      </c>
      <c r="AS94" s="1078" t="str">
        <f t="shared" si="18"/>
        <v>232/232/OFF</v>
      </c>
      <c r="AT94" s="1078" t="str">
        <f t="shared" si="19"/>
        <v>1-4-1S83°</v>
      </c>
      <c r="AV94" s="1078" t="str">
        <f t="shared" si="12"/>
        <v>109.8.27</v>
      </c>
      <c r="AW94" s="1344">
        <f t="shared" si="13"/>
        <v>44070</v>
      </c>
    </row>
    <row r="95" spans="1:49">
      <c r="A95" s="1077" t="s">
        <v>1331</v>
      </c>
      <c r="B95" s="1077" t="s">
        <v>1332</v>
      </c>
      <c r="C95" s="1077">
        <v>550</v>
      </c>
      <c r="D95" s="1077">
        <v>1.78</v>
      </c>
      <c r="E95" s="1077" t="s">
        <v>15089</v>
      </c>
      <c r="F95" s="1077" t="s">
        <v>984</v>
      </c>
      <c r="G95" s="1077" t="s">
        <v>1016</v>
      </c>
      <c r="H95" s="1077" t="s">
        <v>1029</v>
      </c>
      <c r="I95" s="1077" t="s">
        <v>126</v>
      </c>
      <c r="J95" s="1077">
        <v>1.1000000000000001</v>
      </c>
      <c r="K95" s="1077" t="s">
        <v>1333</v>
      </c>
      <c r="L95" s="1077" t="s">
        <v>1334</v>
      </c>
      <c r="M95" s="1077">
        <v>51.2</v>
      </c>
      <c r="N95" s="1077" t="s">
        <v>945</v>
      </c>
      <c r="O95" s="1077">
        <v>1.2800000000000002</v>
      </c>
      <c r="P95" s="1077">
        <v>1.024</v>
      </c>
      <c r="Q95" s="1077" t="s">
        <v>1264</v>
      </c>
      <c r="R95" s="1077">
        <v>23.5</v>
      </c>
      <c r="T95" s="1077">
        <v>30.5</v>
      </c>
      <c r="U95" s="1077">
        <v>3.8</v>
      </c>
      <c r="V95" s="1077" t="s">
        <v>648</v>
      </c>
      <c r="W95" s="1077">
        <v>115</v>
      </c>
      <c r="X95" s="1077">
        <v>80</v>
      </c>
      <c r="Y95" s="1077" t="s">
        <v>1335</v>
      </c>
      <c r="Z95" s="1077" t="s">
        <v>1336</v>
      </c>
      <c r="AA95" s="1077" t="s">
        <v>1337</v>
      </c>
      <c r="AH95" s="1077" t="s">
        <v>803</v>
      </c>
      <c r="AM95" s="1078" t="s">
        <v>9243</v>
      </c>
      <c r="AN95" s="1078" t="s">
        <v>9244</v>
      </c>
      <c r="AO95" s="1078">
        <f t="shared" si="14"/>
        <v>550</v>
      </c>
      <c r="AP95" s="1078">
        <f t="shared" si="15"/>
        <v>1.78</v>
      </c>
      <c r="AQ95" s="1078" t="str">
        <f t="shared" si="16"/>
        <v>1-4-1S83°</v>
      </c>
      <c r="AR95" s="1078" t="str">
        <f t="shared" si="17"/>
        <v>30</v>
      </c>
      <c r="AS95" s="1078" t="str">
        <f t="shared" si="18"/>
        <v>250/250/OFF</v>
      </c>
      <c r="AT95" s="1078" t="str">
        <f t="shared" si="19"/>
        <v>1-4-1S83°</v>
      </c>
      <c r="AV95" s="1078" t="str">
        <f t="shared" si="12"/>
        <v>109.9.1</v>
      </c>
      <c r="AW95" s="1344">
        <f t="shared" si="13"/>
        <v>44075</v>
      </c>
    </row>
    <row r="96" spans="1:49">
      <c r="A96" s="1077" t="s">
        <v>1338</v>
      </c>
      <c r="B96" s="1077" t="s">
        <v>1154</v>
      </c>
      <c r="C96" s="1077">
        <v>550</v>
      </c>
      <c r="D96" s="1077">
        <v>1.72</v>
      </c>
      <c r="E96" s="1077" t="s">
        <v>15089</v>
      </c>
      <c r="F96" s="1077" t="s">
        <v>984</v>
      </c>
      <c r="G96" s="1077" t="s">
        <v>940</v>
      </c>
      <c r="H96" s="1077" t="s">
        <v>1226</v>
      </c>
      <c r="I96" s="1077" t="s">
        <v>126</v>
      </c>
      <c r="J96" s="1077">
        <v>1</v>
      </c>
      <c r="K96" s="1077" t="s">
        <v>1296</v>
      </c>
      <c r="L96" s="1077" t="s">
        <v>1157</v>
      </c>
      <c r="M96" s="1077">
        <v>49.5</v>
      </c>
      <c r="N96" s="1077" t="s">
        <v>945</v>
      </c>
      <c r="O96" s="1077">
        <v>1.2375</v>
      </c>
      <c r="P96" s="1077">
        <v>0.99</v>
      </c>
      <c r="Q96" s="1077" t="s">
        <v>961</v>
      </c>
      <c r="R96" s="1077">
        <v>23</v>
      </c>
      <c r="T96" s="1077">
        <v>31</v>
      </c>
      <c r="U96" s="1077">
        <v>3.3</v>
      </c>
      <c r="V96" s="1077" t="s">
        <v>648</v>
      </c>
      <c r="W96" s="1077">
        <v>110</v>
      </c>
      <c r="X96" s="1077">
        <v>70</v>
      </c>
      <c r="Y96" s="1077" t="s">
        <v>1339</v>
      </c>
      <c r="Z96" s="1077">
        <v>4.5</v>
      </c>
      <c r="AA96" s="1077" t="s">
        <v>1340</v>
      </c>
      <c r="AH96" s="1077" t="s">
        <v>878</v>
      </c>
      <c r="AM96" s="1078" t="s">
        <v>9245</v>
      </c>
      <c r="AN96" s="1078" t="s">
        <v>9246</v>
      </c>
      <c r="AO96" s="1078">
        <f t="shared" si="14"/>
        <v>550</v>
      </c>
      <c r="AP96" s="1078">
        <f t="shared" si="15"/>
        <v>1.72</v>
      </c>
      <c r="AQ96" s="1078" t="str">
        <f t="shared" si="16"/>
        <v>1-4-1S83°</v>
      </c>
      <c r="AR96" s="1078" t="str">
        <f t="shared" si="17"/>
        <v>30</v>
      </c>
      <c r="AS96" s="1078" t="str">
        <f t="shared" si="18"/>
        <v>230/230/OFF</v>
      </c>
      <c r="AT96" s="1078" t="str">
        <f t="shared" si="19"/>
        <v>1-4-1S83°</v>
      </c>
      <c r="AV96" s="1078" t="str">
        <f t="shared" si="12"/>
        <v>109.9.30</v>
      </c>
      <c r="AW96" s="1344">
        <f t="shared" si="13"/>
        <v>44104</v>
      </c>
    </row>
    <row r="97" spans="1:49">
      <c r="A97" s="1077" t="s">
        <v>1341</v>
      </c>
      <c r="B97" s="1077" t="s">
        <v>1110</v>
      </c>
      <c r="C97" s="1077">
        <v>600</v>
      </c>
      <c r="D97" s="1077">
        <v>1.42</v>
      </c>
      <c r="E97" s="1077" t="s">
        <v>648</v>
      </c>
      <c r="F97" s="1077" t="s">
        <v>1281</v>
      </c>
      <c r="G97" s="1077">
        <v>1.96</v>
      </c>
      <c r="H97" s="1077" t="s">
        <v>1234</v>
      </c>
      <c r="I97" s="1077" t="s">
        <v>1112</v>
      </c>
      <c r="J97" s="1077">
        <v>1.5</v>
      </c>
      <c r="K97" s="1077" t="s">
        <v>1342</v>
      </c>
      <c r="L97" s="1077" t="s">
        <v>453</v>
      </c>
      <c r="M97" s="1077">
        <v>55.7</v>
      </c>
      <c r="N97" s="1077" t="s">
        <v>945</v>
      </c>
      <c r="O97" s="1077">
        <v>1.3925000000000001</v>
      </c>
      <c r="P97" s="1077">
        <v>1.1140000000000001</v>
      </c>
      <c r="Q97" s="1077" t="s">
        <v>1343</v>
      </c>
      <c r="R97" s="1077">
        <v>61</v>
      </c>
      <c r="T97" s="1077" t="s">
        <v>648</v>
      </c>
      <c r="U97" s="1077">
        <v>37</v>
      </c>
      <c r="V97" s="1077" t="s">
        <v>648</v>
      </c>
      <c r="W97" s="1077" t="s">
        <v>648</v>
      </c>
      <c r="X97" s="1077" t="s">
        <v>648</v>
      </c>
      <c r="Y97" s="1077" t="s">
        <v>648</v>
      </c>
      <c r="Z97" s="1077" t="s">
        <v>648</v>
      </c>
      <c r="AA97" s="1077" t="s">
        <v>1344</v>
      </c>
      <c r="AH97" s="1077" t="s">
        <v>1244</v>
      </c>
      <c r="AM97" s="1078" t="s">
        <v>9247</v>
      </c>
      <c r="AN97" s="1078" t="s">
        <v>9248</v>
      </c>
      <c r="AO97" s="1078">
        <f t="shared" si="14"/>
        <v>600</v>
      </c>
      <c r="AP97" s="1078">
        <f t="shared" si="15"/>
        <v>1.42</v>
      </c>
      <c r="AQ97" s="1078" t="str">
        <f t="shared" si="16"/>
        <v>NA</v>
      </c>
      <c r="AR97" s="1078" t="str">
        <f t="shared" si="17"/>
        <v>31.8</v>
      </c>
      <c r="AS97" s="1078" t="str">
        <f t="shared" si="18"/>
        <v>OFF/123</v>
      </c>
      <c r="AT97" s="1078" t="str">
        <f t="shared" si="19"/>
        <v>NA</v>
      </c>
      <c r="AV97" s="1078" t="str">
        <f t="shared" si="12"/>
        <v>109.10.7</v>
      </c>
      <c r="AW97" s="1344">
        <f t="shared" si="13"/>
        <v>44111</v>
      </c>
    </row>
    <row r="98" spans="1:49">
      <c r="A98" s="1077" t="s">
        <v>1345</v>
      </c>
      <c r="B98" s="1077" t="s">
        <v>1289</v>
      </c>
      <c r="C98" s="1077">
        <v>550</v>
      </c>
      <c r="D98" s="1077">
        <v>1.645</v>
      </c>
      <c r="E98" s="1077" t="s">
        <v>15089</v>
      </c>
      <c r="F98" s="1077" t="s">
        <v>1318</v>
      </c>
      <c r="G98" s="1077" t="s">
        <v>940</v>
      </c>
      <c r="H98" s="1077" t="s">
        <v>1226</v>
      </c>
      <c r="I98" s="1077" t="s">
        <v>126</v>
      </c>
      <c r="J98" s="1077">
        <v>0.7</v>
      </c>
      <c r="K98" s="1077" t="s">
        <v>1346</v>
      </c>
      <c r="L98" s="1077" t="s">
        <v>1036</v>
      </c>
      <c r="M98" s="1077">
        <v>51.5</v>
      </c>
      <c r="N98" s="1077" t="s">
        <v>945</v>
      </c>
      <c r="O98" s="1077">
        <v>1.2875000000000001</v>
      </c>
      <c r="P98" s="1077">
        <v>1.03</v>
      </c>
      <c r="Q98" s="1077" t="s">
        <v>1277</v>
      </c>
      <c r="R98" s="1077">
        <v>23</v>
      </c>
      <c r="T98" s="1077">
        <v>21</v>
      </c>
      <c r="U98" s="1077">
        <v>3.3</v>
      </c>
      <c r="V98" s="1077" t="s">
        <v>648</v>
      </c>
      <c r="W98" s="1077">
        <v>125</v>
      </c>
      <c r="X98" s="1077">
        <v>85</v>
      </c>
      <c r="Y98" s="1077">
        <v>1.8</v>
      </c>
      <c r="Z98" s="1077">
        <v>4</v>
      </c>
      <c r="AA98" s="1077" t="s">
        <v>1347</v>
      </c>
      <c r="AH98" s="1077" t="s">
        <v>966</v>
      </c>
      <c r="AM98" s="1078" t="s">
        <v>9249</v>
      </c>
      <c r="AN98" s="1078" t="s">
        <v>9250</v>
      </c>
      <c r="AO98" s="1078">
        <f t="shared" si="14"/>
        <v>550</v>
      </c>
      <c r="AP98" s="1078">
        <f t="shared" si="15"/>
        <v>1.645</v>
      </c>
      <c r="AQ98" s="1078" t="str">
        <f t="shared" si="16"/>
        <v>1-4-1S83°</v>
      </c>
      <c r="AR98" s="1078" t="str">
        <f t="shared" si="17"/>
        <v>30.7</v>
      </c>
      <c r="AS98" s="1078" t="str">
        <f t="shared" si="18"/>
        <v>230/230/OFF</v>
      </c>
      <c r="AT98" s="1078" t="str">
        <f t="shared" si="19"/>
        <v>1-4-1S83°</v>
      </c>
      <c r="AV98" s="1078" t="str">
        <f t="shared" si="12"/>
        <v>109.10.19</v>
      </c>
      <c r="AW98" s="1344">
        <f t="shared" si="13"/>
        <v>44123</v>
      </c>
    </row>
    <row r="99" spans="1:49">
      <c r="A99" s="1077" t="s">
        <v>1348</v>
      </c>
      <c r="B99" s="1077" t="s">
        <v>1110</v>
      </c>
      <c r="C99" s="1077">
        <v>600</v>
      </c>
      <c r="D99" s="1077">
        <v>1.42</v>
      </c>
      <c r="E99" s="1077" t="s">
        <v>648</v>
      </c>
      <c r="F99" s="1077" t="s">
        <v>1349</v>
      </c>
      <c r="G99" s="1077">
        <v>1.96</v>
      </c>
      <c r="H99" s="1077" t="s">
        <v>1234</v>
      </c>
      <c r="I99" s="1077" t="s">
        <v>1112</v>
      </c>
      <c r="J99" s="1077">
        <v>1.5</v>
      </c>
      <c r="K99" s="1077" t="s">
        <v>1350</v>
      </c>
      <c r="L99" s="1077" t="s">
        <v>453</v>
      </c>
      <c r="M99" s="1077">
        <v>56</v>
      </c>
      <c r="N99" s="1077" t="s">
        <v>945</v>
      </c>
      <c r="O99" s="1077">
        <v>1.4000000000000001</v>
      </c>
      <c r="P99" s="1077">
        <v>1.1200000000000001</v>
      </c>
      <c r="Q99" s="1077" t="s">
        <v>1343</v>
      </c>
      <c r="R99" s="1077">
        <v>61</v>
      </c>
      <c r="T99" s="1077" t="s">
        <v>648</v>
      </c>
      <c r="U99" s="1077">
        <v>34</v>
      </c>
      <c r="V99" s="1077" t="s">
        <v>648</v>
      </c>
      <c r="W99" s="1077" t="s">
        <v>648</v>
      </c>
      <c r="X99" s="1077" t="s">
        <v>648</v>
      </c>
      <c r="Y99" s="1077" t="s">
        <v>648</v>
      </c>
      <c r="Z99" s="1077" t="s">
        <v>648</v>
      </c>
      <c r="AA99" s="1077" t="s">
        <v>1351</v>
      </c>
      <c r="AH99" s="1077" t="s">
        <v>963</v>
      </c>
      <c r="AM99" s="1078" t="s">
        <v>9251</v>
      </c>
      <c r="AN99" s="1078" t="s">
        <v>9252</v>
      </c>
      <c r="AO99" s="1078">
        <f t="shared" si="14"/>
        <v>600</v>
      </c>
      <c r="AP99" s="1078">
        <f t="shared" si="15"/>
        <v>1.42</v>
      </c>
      <c r="AQ99" s="1078" t="str">
        <f t="shared" si="16"/>
        <v>NA</v>
      </c>
      <c r="AR99" s="1078" t="str">
        <f t="shared" si="17"/>
        <v>31.2</v>
      </c>
      <c r="AS99" s="1078" t="str">
        <f t="shared" si="18"/>
        <v>OFF/123</v>
      </c>
      <c r="AT99" s="1078" t="str">
        <f t="shared" si="19"/>
        <v>NA</v>
      </c>
      <c r="AV99" s="1078" t="str">
        <f t="shared" si="12"/>
        <v>109.10.21</v>
      </c>
      <c r="AW99" s="1344">
        <f t="shared" si="13"/>
        <v>44125</v>
      </c>
    </row>
    <row r="100" spans="1:49">
      <c r="A100" s="1077" t="s">
        <v>1352</v>
      </c>
      <c r="B100" s="1077" t="s">
        <v>1353</v>
      </c>
      <c r="C100" s="1077">
        <v>500</v>
      </c>
      <c r="D100" s="1077">
        <v>1.71</v>
      </c>
      <c r="E100" s="1077" t="s">
        <v>15091</v>
      </c>
      <c r="F100" s="1077" t="s">
        <v>984</v>
      </c>
      <c r="G100" s="1077" t="s">
        <v>940</v>
      </c>
      <c r="H100" s="1077" t="s">
        <v>1354</v>
      </c>
      <c r="I100" s="1077" t="s">
        <v>1073</v>
      </c>
      <c r="J100" s="1077">
        <v>0.9</v>
      </c>
      <c r="K100" s="1077" t="s">
        <v>1355</v>
      </c>
      <c r="L100" s="1077" t="s">
        <v>1356</v>
      </c>
      <c r="M100" s="1077">
        <v>50.5</v>
      </c>
      <c r="N100" s="1077" t="s">
        <v>945</v>
      </c>
      <c r="O100" s="1077">
        <v>1.2625000000000002</v>
      </c>
      <c r="P100" s="1077">
        <v>1.01</v>
      </c>
      <c r="Q100" s="1077" t="s">
        <v>1357</v>
      </c>
      <c r="R100" s="1077">
        <v>26</v>
      </c>
      <c r="T100" s="1077">
        <v>4.7</v>
      </c>
      <c r="U100" s="1077">
        <v>6.5</v>
      </c>
      <c r="V100" s="1077" t="s">
        <v>648</v>
      </c>
      <c r="W100" s="1077">
        <v>165</v>
      </c>
      <c r="X100" s="1077">
        <v>85</v>
      </c>
      <c r="Y100" s="1077">
        <v>2.2000000000000002</v>
      </c>
      <c r="Z100" s="1077" t="s">
        <v>1358</v>
      </c>
      <c r="AA100" s="1077" t="s">
        <v>1359</v>
      </c>
      <c r="AH100" s="1077" t="s">
        <v>1360</v>
      </c>
      <c r="AM100" s="1078" t="s">
        <v>9253</v>
      </c>
      <c r="AN100" s="1078" t="s">
        <v>9254</v>
      </c>
      <c r="AO100" s="1078">
        <f t="shared" si="14"/>
        <v>500</v>
      </c>
      <c r="AP100" s="1078">
        <f t="shared" si="15"/>
        <v>1.71</v>
      </c>
      <c r="AQ100" s="1078" t="str">
        <f t="shared" si="16"/>
        <v>2-5-1S83°</v>
      </c>
      <c r="AR100" s="1078" t="str">
        <f t="shared" si="17"/>
        <v>30</v>
      </c>
      <c r="AS100" s="1078" t="str">
        <f t="shared" si="18"/>
        <v>140/120</v>
      </c>
      <c r="AT100" s="1078" t="str">
        <f t="shared" si="19"/>
        <v>2-5-1S83°</v>
      </c>
      <c r="AV100" s="1078" t="str">
        <f t="shared" si="12"/>
        <v>109.10.29</v>
      </c>
      <c r="AW100" s="1344">
        <f t="shared" si="13"/>
        <v>44133</v>
      </c>
    </row>
    <row r="101" spans="1:49">
      <c r="A101" s="1077" t="s">
        <v>1361</v>
      </c>
      <c r="B101" s="1077" t="s">
        <v>1353</v>
      </c>
      <c r="C101" s="1077">
        <v>500</v>
      </c>
      <c r="D101" s="1077">
        <v>1.71</v>
      </c>
      <c r="E101" s="1077" t="s">
        <v>15094</v>
      </c>
      <c r="F101" s="1077" t="s">
        <v>984</v>
      </c>
      <c r="G101" s="1077" t="s">
        <v>1016</v>
      </c>
      <c r="H101" s="1077" t="s">
        <v>1362</v>
      </c>
      <c r="I101" s="1077" t="s">
        <v>942</v>
      </c>
      <c r="J101" s="1077">
        <v>1.1000000000000001</v>
      </c>
      <c r="K101" s="1077" t="s">
        <v>1355</v>
      </c>
      <c r="L101" s="1077" t="s">
        <v>1356</v>
      </c>
      <c r="M101" s="1077">
        <v>50.5</v>
      </c>
      <c r="N101" s="1077" t="s">
        <v>945</v>
      </c>
      <c r="O101" s="1077">
        <v>1.2625000000000002</v>
      </c>
      <c r="P101" s="1077">
        <v>1.01</v>
      </c>
      <c r="Q101" s="1077" t="s">
        <v>1363</v>
      </c>
      <c r="R101" s="1077">
        <v>24</v>
      </c>
      <c r="T101" s="1077">
        <v>4.7</v>
      </c>
      <c r="U101" s="1077">
        <v>6.5</v>
      </c>
      <c r="V101" s="1077" t="s">
        <v>648</v>
      </c>
      <c r="W101" s="1077">
        <v>165</v>
      </c>
      <c r="X101" s="1077">
        <v>85</v>
      </c>
      <c r="Y101" s="1077">
        <v>2.2000000000000002</v>
      </c>
      <c r="Z101" s="1077" t="s">
        <v>1364</v>
      </c>
      <c r="AA101" s="1077" t="s">
        <v>1365</v>
      </c>
      <c r="AH101" s="1077" t="s">
        <v>998</v>
      </c>
      <c r="AM101" s="1078" t="s">
        <v>9255</v>
      </c>
      <c r="AN101" s="1078" t="s">
        <v>9256</v>
      </c>
      <c r="AO101" s="1078">
        <f t="shared" si="14"/>
        <v>500</v>
      </c>
      <c r="AP101" s="1078">
        <f t="shared" si="15"/>
        <v>1.71</v>
      </c>
      <c r="AQ101" s="1078" t="str">
        <f t="shared" si="16"/>
        <v>1-5-1S91°</v>
      </c>
      <c r="AR101" s="1078" t="str">
        <f t="shared" si="17"/>
        <v>30</v>
      </c>
      <c r="AS101" s="1078" t="str">
        <f t="shared" si="18"/>
        <v>170/170/130</v>
      </c>
      <c r="AT101" s="1078" t="str">
        <f t="shared" si="19"/>
        <v>1-5-1S91°</v>
      </c>
      <c r="AV101" s="1078" t="str">
        <f t="shared" si="12"/>
        <v>109.11.4</v>
      </c>
      <c r="AW101" s="1344">
        <f t="shared" si="13"/>
        <v>44139</v>
      </c>
    </row>
    <row r="102" spans="1:49">
      <c r="A102" s="1077" t="s">
        <v>1366</v>
      </c>
      <c r="B102" s="1077" t="s">
        <v>1353</v>
      </c>
      <c r="C102" s="1077">
        <v>500</v>
      </c>
      <c r="D102" s="1077">
        <v>1.71</v>
      </c>
      <c r="E102" s="1077" t="s">
        <v>15094</v>
      </c>
      <c r="F102" s="1077" t="s">
        <v>984</v>
      </c>
      <c r="G102" s="1077" t="s">
        <v>1016</v>
      </c>
      <c r="H102" s="1077" t="s">
        <v>1367</v>
      </c>
      <c r="I102" s="1077" t="s">
        <v>942</v>
      </c>
      <c r="J102" s="1077">
        <v>1.1000000000000001</v>
      </c>
      <c r="K102" s="1077" t="s">
        <v>1368</v>
      </c>
      <c r="L102" s="1077" t="s">
        <v>1356</v>
      </c>
      <c r="M102" s="1077">
        <v>50.5</v>
      </c>
      <c r="N102" s="1077" t="s">
        <v>945</v>
      </c>
      <c r="O102" s="1077">
        <v>1.2625000000000002</v>
      </c>
      <c r="P102" s="1077">
        <v>1.01</v>
      </c>
      <c r="Q102" s="1077" t="s">
        <v>1369</v>
      </c>
      <c r="R102" s="1077">
        <v>24</v>
      </c>
      <c r="T102" s="1077">
        <v>4.7</v>
      </c>
      <c r="U102" s="1077">
        <v>6.5</v>
      </c>
      <c r="V102" s="1077" t="s">
        <v>648</v>
      </c>
      <c r="W102" s="1077">
        <v>165</v>
      </c>
      <c r="X102" s="1077">
        <v>85</v>
      </c>
      <c r="Y102" s="1077">
        <v>2.2000000000000002</v>
      </c>
      <c r="Z102" s="1077" t="s">
        <v>1364</v>
      </c>
      <c r="AA102" s="1077" t="s">
        <v>1196</v>
      </c>
      <c r="AH102" s="1077" t="s">
        <v>875</v>
      </c>
      <c r="AM102" s="1078" t="s">
        <v>9257</v>
      </c>
      <c r="AN102" s="1078" t="s">
        <v>9258</v>
      </c>
      <c r="AO102" s="1078">
        <f t="shared" si="14"/>
        <v>500</v>
      </c>
      <c r="AP102" s="1078">
        <f t="shared" si="15"/>
        <v>1.71</v>
      </c>
      <c r="AQ102" s="1078" t="str">
        <f t="shared" si="16"/>
        <v>1-5-1S91°</v>
      </c>
      <c r="AR102" s="1078" t="str">
        <f t="shared" si="17"/>
        <v>30</v>
      </c>
      <c r="AS102" s="1078" t="str">
        <f t="shared" si="18"/>
        <v>160/160/130</v>
      </c>
      <c r="AT102" s="1078" t="str">
        <f t="shared" si="19"/>
        <v>1-5-1S91°</v>
      </c>
      <c r="AV102" s="1078" t="str">
        <f t="shared" si="12"/>
        <v>109.11.6</v>
      </c>
      <c r="AW102" s="1344">
        <f t="shared" si="13"/>
        <v>44141</v>
      </c>
    </row>
    <row r="103" spans="1:49">
      <c r="A103" s="1077" t="s">
        <v>1370</v>
      </c>
      <c r="B103" s="1077" t="s">
        <v>1008</v>
      </c>
      <c r="C103" s="1077">
        <v>600</v>
      </c>
      <c r="D103" s="1077">
        <v>1.6439999999999999</v>
      </c>
      <c r="E103" s="1077" t="s">
        <v>15089</v>
      </c>
      <c r="F103" s="1077" t="s">
        <v>954</v>
      </c>
      <c r="G103" s="1077">
        <v>3</v>
      </c>
      <c r="H103" s="1077" t="s">
        <v>1009</v>
      </c>
      <c r="I103" s="1077" t="s">
        <v>126</v>
      </c>
      <c r="J103" s="1077">
        <v>1.4</v>
      </c>
      <c r="K103" s="1077" t="s">
        <v>1371</v>
      </c>
      <c r="L103" s="1077" t="s">
        <v>1011</v>
      </c>
      <c r="M103" s="1077">
        <v>51.8</v>
      </c>
      <c r="N103" s="1077" t="s">
        <v>945</v>
      </c>
      <c r="O103" s="1077">
        <v>1.2949999999999999</v>
      </c>
      <c r="P103" s="1077">
        <v>1.036</v>
      </c>
      <c r="Q103" s="1077">
        <v>3</v>
      </c>
      <c r="R103" s="1077">
        <v>25</v>
      </c>
      <c r="T103" s="1077">
        <v>41.8</v>
      </c>
      <c r="U103" s="1077">
        <v>6</v>
      </c>
      <c r="V103" s="1077" t="s">
        <v>648</v>
      </c>
      <c r="W103" s="1077">
        <v>95</v>
      </c>
      <c r="X103" s="1077">
        <v>40</v>
      </c>
      <c r="Y103" s="1077">
        <v>2.2000000000000002</v>
      </c>
      <c r="Z103" s="1077">
        <v>4</v>
      </c>
      <c r="AA103" s="1077" t="s">
        <v>1372</v>
      </c>
      <c r="AH103" s="1077" t="s">
        <v>966</v>
      </c>
      <c r="AM103" s="1078" t="s">
        <v>9259</v>
      </c>
      <c r="AN103" s="1078" t="s">
        <v>9260</v>
      </c>
      <c r="AO103" s="1078">
        <f t="shared" si="14"/>
        <v>600</v>
      </c>
      <c r="AP103" s="1078">
        <f t="shared" si="15"/>
        <v>1.6439999999999999</v>
      </c>
      <c r="AQ103" s="1078" t="str">
        <f t="shared" si="16"/>
        <v>1-4-1S83°</v>
      </c>
      <c r="AR103" s="1078" t="str">
        <f t="shared" si="17"/>
        <v>31</v>
      </c>
      <c r="AS103" s="1078" t="str">
        <f t="shared" si="18"/>
        <v>195/195/OFF</v>
      </c>
      <c r="AT103" s="1078" t="str">
        <f t="shared" si="19"/>
        <v>1-4-1S83°</v>
      </c>
      <c r="AV103" s="1078" t="str">
        <f t="shared" si="12"/>
        <v>109.12.18</v>
      </c>
      <c r="AW103" s="1344">
        <f t="shared" si="13"/>
        <v>44183</v>
      </c>
    </row>
    <row r="104" spans="1:49">
      <c r="A104" s="1077" t="s">
        <v>1373</v>
      </c>
      <c r="B104" s="1077" t="s">
        <v>1133</v>
      </c>
      <c r="C104" s="1077">
        <v>650</v>
      </c>
      <c r="D104" s="1077">
        <v>1.71</v>
      </c>
      <c r="E104" s="1077" t="s">
        <v>15092</v>
      </c>
      <c r="F104" s="1077" t="s">
        <v>984</v>
      </c>
      <c r="G104" s="1077" t="s">
        <v>1001</v>
      </c>
      <c r="H104" s="1077" t="s">
        <v>1061</v>
      </c>
      <c r="I104" s="1077" t="s">
        <v>126</v>
      </c>
      <c r="J104" s="1077">
        <v>0.4</v>
      </c>
      <c r="K104" s="1077" t="s">
        <v>1374</v>
      </c>
      <c r="L104" s="1077" t="s">
        <v>1135</v>
      </c>
      <c r="M104" s="1077">
        <v>49.3</v>
      </c>
      <c r="N104" s="1077" t="s">
        <v>945</v>
      </c>
      <c r="O104" s="1077">
        <v>1.2324999999999999</v>
      </c>
      <c r="P104" s="1077">
        <v>0.98599999999999999</v>
      </c>
      <c r="Q104" s="1077">
        <v>4</v>
      </c>
      <c r="R104" s="1077">
        <v>24</v>
      </c>
      <c r="T104" s="1077">
        <v>31</v>
      </c>
      <c r="U104" s="1077">
        <v>3.4</v>
      </c>
      <c r="V104" s="1077" t="s">
        <v>648</v>
      </c>
      <c r="W104" s="1077">
        <v>30</v>
      </c>
      <c r="X104" s="1077">
        <v>10</v>
      </c>
      <c r="Y104" s="1077">
        <v>2</v>
      </c>
      <c r="Z104" s="1077">
        <v>4.5</v>
      </c>
      <c r="AA104" s="1077" t="s">
        <v>1375</v>
      </c>
      <c r="AH104" s="1077" t="s">
        <v>1376</v>
      </c>
      <c r="AM104" s="1078" t="s">
        <v>9261</v>
      </c>
      <c r="AN104" s="1078" t="s">
        <v>9262</v>
      </c>
      <c r="AO104" s="1078">
        <f t="shared" si="14"/>
        <v>650</v>
      </c>
      <c r="AP104" s="1078">
        <f t="shared" si="15"/>
        <v>1.71</v>
      </c>
      <c r="AQ104" s="1078" t="str">
        <f t="shared" si="16"/>
        <v>1-4-1S83°S撚</v>
      </c>
      <c r="AR104" s="1078" t="str">
        <f t="shared" si="17"/>
        <v>30</v>
      </c>
      <c r="AS104" s="1078" t="str">
        <f t="shared" si="18"/>
        <v>255/255/OFF</v>
      </c>
      <c r="AT104" s="1078" t="str">
        <f t="shared" si="19"/>
        <v>1-4-1S83°S撚</v>
      </c>
      <c r="AU104" s="1078" t="s">
        <v>15545</v>
      </c>
      <c r="AV104" s="1078" t="str">
        <f t="shared" si="12"/>
        <v>109.12.24</v>
      </c>
      <c r="AW104" s="1344">
        <f t="shared" si="13"/>
        <v>44189</v>
      </c>
    </row>
    <row r="105" spans="1:49">
      <c r="A105" s="1077" t="s">
        <v>1377</v>
      </c>
      <c r="B105" s="1077" t="s">
        <v>1154</v>
      </c>
      <c r="C105" s="1077">
        <v>550</v>
      </c>
      <c r="D105" s="1077">
        <v>1.74</v>
      </c>
      <c r="E105" s="1077" t="s">
        <v>15091</v>
      </c>
      <c r="F105" s="1077" t="s">
        <v>1378</v>
      </c>
      <c r="G105" s="1077" t="s">
        <v>940</v>
      </c>
      <c r="H105" s="1077" t="s">
        <v>1379</v>
      </c>
      <c r="I105" s="1077" t="s">
        <v>1112</v>
      </c>
      <c r="J105" s="1077">
        <v>0.9</v>
      </c>
      <c r="K105" s="1077" t="s">
        <v>1296</v>
      </c>
      <c r="L105" s="1077" t="s">
        <v>1157</v>
      </c>
      <c r="M105" s="1077">
        <v>49.5</v>
      </c>
      <c r="N105" s="1077" t="s">
        <v>945</v>
      </c>
      <c r="O105" s="1077">
        <v>1.2375</v>
      </c>
      <c r="P105" s="1077">
        <v>0.99</v>
      </c>
      <c r="Q105" s="1077">
        <v>4</v>
      </c>
      <c r="R105" s="1077">
        <v>23</v>
      </c>
      <c r="T105" s="1077">
        <v>31</v>
      </c>
      <c r="U105" s="1077">
        <v>3.3</v>
      </c>
      <c r="V105" s="1077" t="s">
        <v>648</v>
      </c>
      <c r="W105" s="1077">
        <v>110</v>
      </c>
      <c r="X105" s="1077">
        <v>70</v>
      </c>
      <c r="Y105" s="1077">
        <v>2.7</v>
      </c>
      <c r="Z105" s="1077">
        <v>4.5</v>
      </c>
      <c r="AA105" s="1077" t="s">
        <v>1380</v>
      </c>
      <c r="AH105" s="1077" t="s">
        <v>782</v>
      </c>
      <c r="AM105" s="1078" t="s">
        <v>9263</v>
      </c>
      <c r="AN105" s="1078" t="s">
        <v>9264</v>
      </c>
      <c r="AO105" s="1078">
        <f t="shared" si="14"/>
        <v>550</v>
      </c>
      <c r="AP105" s="1078">
        <f t="shared" si="15"/>
        <v>1.74</v>
      </c>
      <c r="AQ105" s="1078" t="str">
        <f t="shared" si="16"/>
        <v>2-5-1S83°</v>
      </c>
      <c r="AR105" s="1078" t="str">
        <f t="shared" si="17"/>
        <v>31.1</v>
      </c>
      <c r="AS105" s="1078" t="str">
        <f t="shared" si="18"/>
        <v>167/OFF</v>
      </c>
      <c r="AT105" s="1078" t="str">
        <f t="shared" si="19"/>
        <v>2-5-1S83°</v>
      </c>
      <c r="AV105" s="1078" t="str">
        <f t="shared" si="12"/>
        <v>110.2.2</v>
      </c>
      <c r="AW105" s="1344">
        <f t="shared" si="13"/>
        <v>44229</v>
      </c>
    </row>
    <row r="106" spans="1:49">
      <c r="A106" s="1077" t="s">
        <v>1381</v>
      </c>
      <c r="B106" s="1077" t="s">
        <v>1154</v>
      </c>
      <c r="C106" s="1077">
        <v>550</v>
      </c>
      <c r="D106" s="1077">
        <v>1.74</v>
      </c>
      <c r="E106" s="1077" t="s">
        <v>15091</v>
      </c>
      <c r="F106" s="1077" t="s">
        <v>1378</v>
      </c>
      <c r="G106" s="1077" t="s">
        <v>940</v>
      </c>
      <c r="H106" s="1077" t="s">
        <v>1379</v>
      </c>
      <c r="I106" s="1077" t="s">
        <v>1112</v>
      </c>
      <c r="J106" s="1077">
        <v>0.9</v>
      </c>
      <c r="K106" s="1077" t="s">
        <v>1382</v>
      </c>
      <c r="L106" s="1077" t="s">
        <v>1157</v>
      </c>
      <c r="M106" s="1077">
        <v>49.5</v>
      </c>
      <c r="N106" s="1077" t="s">
        <v>945</v>
      </c>
      <c r="O106" s="1077">
        <v>1.2375</v>
      </c>
      <c r="P106" s="1077">
        <v>0.99</v>
      </c>
      <c r="Q106" s="1077">
        <v>4</v>
      </c>
      <c r="R106" s="1077">
        <v>23</v>
      </c>
      <c r="T106" s="1077">
        <v>31</v>
      </c>
      <c r="U106" s="1077">
        <v>3.3</v>
      </c>
      <c r="V106" s="1077" t="s">
        <v>648</v>
      </c>
      <c r="W106" s="1077">
        <v>110</v>
      </c>
      <c r="X106" s="1077">
        <v>70</v>
      </c>
      <c r="Y106" s="1077" t="s">
        <v>1383</v>
      </c>
      <c r="Z106" s="1077">
        <v>4.5</v>
      </c>
      <c r="AA106" s="1077" t="s">
        <v>1384</v>
      </c>
      <c r="AH106" s="1077" t="s">
        <v>812</v>
      </c>
      <c r="AM106" s="1078" t="s">
        <v>9265</v>
      </c>
      <c r="AN106" s="1078" t="s">
        <v>9266</v>
      </c>
      <c r="AO106" s="1078">
        <f t="shared" si="14"/>
        <v>550</v>
      </c>
      <c r="AP106" s="1078">
        <f t="shared" si="15"/>
        <v>1.74</v>
      </c>
      <c r="AQ106" s="1078" t="str">
        <f t="shared" si="16"/>
        <v>2-5-1S83°</v>
      </c>
      <c r="AR106" s="1078" t="str">
        <f t="shared" si="17"/>
        <v>31.1</v>
      </c>
      <c r="AS106" s="1078" t="str">
        <f t="shared" si="18"/>
        <v>167/OFF</v>
      </c>
      <c r="AT106" s="1078" t="str">
        <f t="shared" si="19"/>
        <v>2-5-1S83°</v>
      </c>
      <c r="AV106" s="1078" t="str">
        <f t="shared" si="12"/>
        <v>110.2.17</v>
      </c>
      <c r="AW106" s="1344">
        <f t="shared" si="13"/>
        <v>44244</v>
      </c>
    </row>
    <row r="107" spans="1:49">
      <c r="A107" s="1077" t="s">
        <v>1385</v>
      </c>
      <c r="B107" s="1077" t="s">
        <v>1110</v>
      </c>
      <c r="C107" s="1077">
        <v>600</v>
      </c>
      <c r="D107" s="1077">
        <v>1.42</v>
      </c>
      <c r="E107" s="1077" t="s">
        <v>648</v>
      </c>
      <c r="F107" s="1077" t="s">
        <v>1349</v>
      </c>
      <c r="G107" s="1077">
        <v>1.96</v>
      </c>
      <c r="H107" s="1077" t="s">
        <v>1234</v>
      </c>
      <c r="I107" s="1077" t="s">
        <v>1112</v>
      </c>
      <c r="J107" s="1077">
        <v>1.5</v>
      </c>
      <c r="K107" s="1077" t="s">
        <v>1350</v>
      </c>
      <c r="L107" s="1077" t="s">
        <v>453</v>
      </c>
      <c r="M107" s="1077">
        <v>56</v>
      </c>
      <c r="N107" s="1077" t="s">
        <v>945</v>
      </c>
      <c r="O107" s="1077">
        <v>1.4000000000000001</v>
      </c>
      <c r="P107" s="1077">
        <v>1.1200000000000001</v>
      </c>
      <c r="Q107" s="1077">
        <v>2</v>
      </c>
      <c r="R107" s="1077">
        <v>61</v>
      </c>
      <c r="T107" s="1077" t="s">
        <v>648</v>
      </c>
      <c r="U107" s="1077">
        <v>34</v>
      </c>
      <c r="V107" s="1077" t="s">
        <v>648</v>
      </c>
      <c r="W107" s="1077" t="s">
        <v>648</v>
      </c>
      <c r="X107" s="1077" t="s">
        <v>648</v>
      </c>
      <c r="Y107" s="1077" t="s">
        <v>648</v>
      </c>
      <c r="Z107" s="1077" t="s">
        <v>648</v>
      </c>
      <c r="AA107" s="1077" t="s">
        <v>1386</v>
      </c>
      <c r="AH107" s="1077" t="s">
        <v>762</v>
      </c>
      <c r="AM107" s="1078" t="s">
        <v>9267</v>
      </c>
      <c r="AN107" s="1078" t="s">
        <v>9268</v>
      </c>
      <c r="AO107" s="1078">
        <f t="shared" si="14"/>
        <v>600</v>
      </c>
      <c r="AP107" s="1078">
        <f t="shared" si="15"/>
        <v>1.42</v>
      </c>
      <c r="AQ107" s="1078" t="str">
        <f t="shared" si="16"/>
        <v>NA</v>
      </c>
      <c r="AR107" s="1078" t="str">
        <f t="shared" si="17"/>
        <v>31.2</v>
      </c>
      <c r="AS107" s="1078" t="str">
        <f t="shared" si="18"/>
        <v>OFF/123</v>
      </c>
      <c r="AT107" s="1078" t="str">
        <f t="shared" si="19"/>
        <v>NA</v>
      </c>
      <c r="AV107" s="1078" t="str">
        <f t="shared" si="12"/>
        <v>110.2.24</v>
      </c>
      <c r="AW107" s="1344">
        <f t="shared" si="13"/>
        <v>44251</v>
      </c>
    </row>
    <row r="108" spans="1:49">
      <c r="A108" s="1077" t="s">
        <v>1387</v>
      </c>
      <c r="B108" s="1077" t="s">
        <v>1008</v>
      </c>
      <c r="C108" s="1077">
        <v>600</v>
      </c>
      <c r="D108" s="1077">
        <v>1.65</v>
      </c>
      <c r="E108" s="1077" t="s">
        <v>15089</v>
      </c>
      <c r="F108" s="1077" t="s">
        <v>954</v>
      </c>
      <c r="G108" s="1077">
        <v>3</v>
      </c>
      <c r="H108" s="1077" t="s">
        <v>1009</v>
      </c>
      <c r="I108" s="1077" t="s">
        <v>126</v>
      </c>
      <c r="J108" s="1077">
        <v>1.4</v>
      </c>
      <c r="K108" s="1077" t="s">
        <v>1388</v>
      </c>
      <c r="L108" s="1077" t="s">
        <v>1011</v>
      </c>
      <c r="M108" s="1077">
        <v>51.8</v>
      </c>
      <c r="N108" s="1077" t="s">
        <v>945</v>
      </c>
      <c r="O108" s="1077">
        <v>1.2949999999999999</v>
      </c>
      <c r="P108" s="1077">
        <v>1.036</v>
      </c>
      <c r="Q108" s="1077">
        <v>3</v>
      </c>
      <c r="R108" s="1077">
        <v>25</v>
      </c>
      <c r="T108" s="1077">
        <v>41.8</v>
      </c>
      <c r="U108" s="1077">
        <v>6</v>
      </c>
      <c r="V108" s="1077" t="s">
        <v>648</v>
      </c>
      <c r="W108" s="1077">
        <v>95</v>
      </c>
      <c r="X108" s="1077">
        <v>40</v>
      </c>
      <c r="Y108" s="1077">
        <v>2.2000000000000002</v>
      </c>
      <c r="Z108" s="1077">
        <v>4</v>
      </c>
      <c r="AA108" s="1077" t="s">
        <v>1389</v>
      </c>
      <c r="AH108" s="1077" t="s">
        <v>726</v>
      </c>
      <c r="AM108" s="1078" t="s">
        <v>9269</v>
      </c>
      <c r="AN108" s="1078" t="s">
        <v>9270</v>
      </c>
      <c r="AO108" s="1078">
        <f t="shared" si="14"/>
        <v>600</v>
      </c>
      <c r="AP108" s="1078">
        <f t="shared" si="15"/>
        <v>1.65</v>
      </c>
      <c r="AQ108" s="1078" t="str">
        <f t="shared" si="16"/>
        <v>1-4-1S83°</v>
      </c>
      <c r="AR108" s="1078" t="str">
        <f t="shared" si="17"/>
        <v>31</v>
      </c>
      <c r="AS108" s="1078" t="str">
        <f t="shared" si="18"/>
        <v>195/195/OFF</v>
      </c>
      <c r="AT108" s="1078" t="str">
        <f t="shared" si="19"/>
        <v>1-4-1S83°</v>
      </c>
      <c r="AV108" s="1078" t="str">
        <f t="shared" si="12"/>
        <v>110.3.4</v>
      </c>
      <c r="AW108" s="1344">
        <f t="shared" si="13"/>
        <v>44259</v>
      </c>
    </row>
    <row r="109" spans="1:49">
      <c r="A109" s="1077" t="s">
        <v>1390</v>
      </c>
      <c r="B109" s="1077" t="s">
        <v>1008</v>
      </c>
      <c r="C109" s="1077">
        <v>600</v>
      </c>
      <c r="D109" s="1077">
        <v>1.655</v>
      </c>
      <c r="E109" s="1077" t="s">
        <v>15089</v>
      </c>
      <c r="F109" s="1077" t="s">
        <v>954</v>
      </c>
      <c r="G109" s="1077">
        <v>3</v>
      </c>
      <c r="H109" s="1077" t="s">
        <v>1009</v>
      </c>
      <c r="I109" s="1077" t="s">
        <v>126</v>
      </c>
      <c r="J109" s="1077">
        <v>1.4</v>
      </c>
      <c r="K109" s="1077" t="s">
        <v>1391</v>
      </c>
      <c r="L109" s="1077" t="s">
        <v>1011</v>
      </c>
      <c r="M109" s="1077">
        <v>51.8</v>
      </c>
      <c r="N109" s="1077" t="s">
        <v>945</v>
      </c>
      <c r="O109" s="1077">
        <v>1.2949999999999999</v>
      </c>
      <c r="P109" s="1077">
        <v>1.036</v>
      </c>
      <c r="Q109" s="1077">
        <v>3</v>
      </c>
      <c r="R109" s="1077">
        <v>25</v>
      </c>
      <c r="T109" s="1077">
        <v>41.8</v>
      </c>
      <c r="U109" s="1077">
        <v>6</v>
      </c>
      <c r="V109" s="1077" t="s">
        <v>648</v>
      </c>
      <c r="W109" s="1077">
        <v>95</v>
      </c>
      <c r="X109" s="1077">
        <v>40</v>
      </c>
      <c r="Y109" s="1077">
        <v>2.2000000000000002</v>
      </c>
      <c r="Z109" s="1077">
        <v>4</v>
      </c>
      <c r="AA109" s="1077" t="s">
        <v>1392</v>
      </c>
      <c r="AH109" s="1077" t="s">
        <v>1267</v>
      </c>
      <c r="AM109" s="1078" t="s">
        <v>9271</v>
      </c>
      <c r="AN109" s="1078" t="s">
        <v>9272</v>
      </c>
      <c r="AO109" s="1078">
        <f t="shared" si="14"/>
        <v>600</v>
      </c>
      <c r="AP109" s="1078">
        <f t="shared" si="15"/>
        <v>1.655</v>
      </c>
      <c r="AQ109" s="1078" t="str">
        <f t="shared" si="16"/>
        <v>1-4-1S83°</v>
      </c>
      <c r="AR109" s="1078" t="str">
        <f t="shared" si="17"/>
        <v>31</v>
      </c>
      <c r="AS109" s="1078" t="str">
        <f t="shared" si="18"/>
        <v>195/195/OFF</v>
      </c>
      <c r="AT109" s="1078" t="str">
        <f t="shared" si="19"/>
        <v>1-4-1S83°</v>
      </c>
      <c r="AV109" s="1078" t="str">
        <f t="shared" si="12"/>
        <v>110.4.6</v>
      </c>
      <c r="AW109" s="1344">
        <f t="shared" si="13"/>
        <v>44292</v>
      </c>
    </row>
    <row r="110" spans="1:49">
      <c r="A110" s="1077" t="s">
        <v>1393</v>
      </c>
      <c r="B110" s="1077" t="s">
        <v>1394</v>
      </c>
      <c r="C110" s="1077">
        <v>650</v>
      </c>
      <c r="D110" s="1077">
        <v>1.7</v>
      </c>
      <c r="E110" s="1077" t="s">
        <v>15089</v>
      </c>
      <c r="F110" s="1077" t="s">
        <v>984</v>
      </c>
      <c r="G110" s="1077" t="s">
        <v>940</v>
      </c>
      <c r="H110" s="1077" t="s">
        <v>1395</v>
      </c>
      <c r="I110" s="1077" t="s">
        <v>126</v>
      </c>
      <c r="J110" s="1077">
        <v>0.3</v>
      </c>
      <c r="K110" s="1077" t="s">
        <v>1210</v>
      </c>
      <c r="L110" s="1077" t="s">
        <v>987</v>
      </c>
      <c r="M110" s="1077">
        <v>50.5</v>
      </c>
      <c r="N110" s="1077" t="s">
        <v>945</v>
      </c>
      <c r="O110" s="1077">
        <v>1.2625000000000002</v>
      </c>
      <c r="P110" s="1077">
        <v>1.01</v>
      </c>
      <c r="Q110" s="1077">
        <v>4</v>
      </c>
      <c r="R110" s="1077">
        <v>24.5</v>
      </c>
      <c r="T110" s="1077">
        <v>27.9</v>
      </c>
      <c r="U110" s="1077">
        <v>3.6</v>
      </c>
      <c r="V110" s="1077" t="s">
        <v>648</v>
      </c>
      <c r="W110" s="1077">
        <v>40</v>
      </c>
      <c r="X110" s="1077">
        <v>10</v>
      </c>
      <c r="Y110" s="1077">
        <v>2.2000000000000002</v>
      </c>
      <c r="Z110" s="1077">
        <v>3.5</v>
      </c>
      <c r="AA110" s="1077" t="s">
        <v>1396</v>
      </c>
      <c r="AH110" s="1077" t="s">
        <v>1186</v>
      </c>
      <c r="AM110" s="1078" t="s">
        <v>9273</v>
      </c>
      <c r="AN110" s="1078" t="s">
        <v>9274</v>
      </c>
      <c r="AO110" s="1078">
        <f t="shared" si="14"/>
        <v>650</v>
      </c>
      <c r="AP110" s="1078">
        <f t="shared" si="15"/>
        <v>1.7</v>
      </c>
      <c r="AQ110" s="1078" t="str">
        <f t="shared" si="16"/>
        <v>1-4-1S83°</v>
      </c>
      <c r="AR110" s="1078" t="str">
        <f t="shared" si="17"/>
        <v>30</v>
      </c>
      <c r="AS110" s="1078" t="str">
        <f t="shared" si="18"/>
        <v>252/252/OFF</v>
      </c>
      <c r="AT110" s="1078" t="str">
        <f t="shared" si="19"/>
        <v>1-4-1S83°</v>
      </c>
      <c r="AV110" s="1078" t="str">
        <f t="shared" si="12"/>
        <v>110.4.12</v>
      </c>
      <c r="AW110" s="1344">
        <f t="shared" si="13"/>
        <v>44298</v>
      </c>
    </row>
    <row r="111" spans="1:49">
      <c r="A111" s="1077" t="s">
        <v>1397</v>
      </c>
      <c r="B111" s="1077" t="s">
        <v>1154</v>
      </c>
      <c r="C111" s="1077">
        <v>550</v>
      </c>
      <c r="D111" s="1077">
        <v>1.74</v>
      </c>
      <c r="E111" s="1077" t="s">
        <v>15091</v>
      </c>
      <c r="F111" s="1077" t="s">
        <v>1398</v>
      </c>
      <c r="G111" s="1077" t="s">
        <v>940</v>
      </c>
      <c r="H111" s="1077" t="s">
        <v>1379</v>
      </c>
      <c r="I111" s="1077" t="s">
        <v>1112</v>
      </c>
      <c r="J111" s="1077">
        <v>1</v>
      </c>
      <c r="K111" s="1077" t="s">
        <v>1382</v>
      </c>
      <c r="L111" s="1077" t="s">
        <v>1157</v>
      </c>
      <c r="M111" s="1077">
        <v>49.5</v>
      </c>
      <c r="N111" s="1077" t="s">
        <v>945</v>
      </c>
      <c r="O111" s="1077">
        <v>1.2375</v>
      </c>
      <c r="P111" s="1077">
        <v>0.99</v>
      </c>
      <c r="Q111" s="1077">
        <v>4</v>
      </c>
      <c r="R111" s="1077">
        <v>23</v>
      </c>
      <c r="T111" s="1077">
        <v>31</v>
      </c>
      <c r="U111" s="1077">
        <v>3.3</v>
      </c>
      <c r="V111" s="1077" t="s">
        <v>648</v>
      </c>
      <c r="W111" s="1077">
        <v>110</v>
      </c>
      <c r="X111" s="1077">
        <v>70</v>
      </c>
      <c r="Y111" s="1077">
        <v>2.7</v>
      </c>
      <c r="Z111" s="1077">
        <v>4.5</v>
      </c>
      <c r="AA111" s="1077" t="s">
        <v>1399</v>
      </c>
      <c r="AH111" s="1077" t="s">
        <v>1053</v>
      </c>
      <c r="AM111" s="1078" t="s">
        <v>9275</v>
      </c>
      <c r="AN111" s="1078" t="s">
        <v>9276</v>
      </c>
      <c r="AO111" s="1078">
        <f t="shared" si="14"/>
        <v>550</v>
      </c>
      <c r="AP111" s="1078">
        <f t="shared" si="15"/>
        <v>1.74</v>
      </c>
      <c r="AQ111" s="1078" t="str">
        <f t="shared" si="16"/>
        <v>2-5-1S83°</v>
      </c>
      <c r="AR111" s="1078" t="str">
        <f t="shared" si="17"/>
        <v>32.5</v>
      </c>
      <c r="AS111" s="1078" t="str">
        <f t="shared" si="18"/>
        <v>167/OFF</v>
      </c>
      <c r="AT111" s="1078" t="str">
        <f t="shared" si="19"/>
        <v>2-5-1S83°</v>
      </c>
      <c r="AV111" s="1078" t="str">
        <f t="shared" si="12"/>
        <v>110.5.6</v>
      </c>
      <c r="AW111" s="1344">
        <f t="shared" si="13"/>
        <v>44322</v>
      </c>
    </row>
    <row r="112" spans="1:49">
      <c r="A112" s="1077" t="s">
        <v>1400</v>
      </c>
      <c r="B112" s="1077" t="s">
        <v>872</v>
      </c>
      <c r="C112" s="1077">
        <v>550</v>
      </c>
      <c r="D112" s="1077">
        <v>1.71</v>
      </c>
      <c r="E112" s="1077" t="s">
        <v>15089</v>
      </c>
      <c r="F112" s="1077" t="s">
        <v>975</v>
      </c>
      <c r="G112" s="1077" t="s">
        <v>940</v>
      </c>
      <c r="H112" s="1077" t="s">
        <v>1401</v>
      </c>
      <c r="I112" s="1077" t="s">
        <v>126</v>
      </c>
      <c r="J112" s="1077">
        <v>0.3</v>
      </c>
      <c r="K112" s="1077" t="s">
        <v>1402</v>
      </c>
      <c r="L112" s="1077" t="s">
        <v>978</v>
      </c>
      <c r="M112" s="1077">
        <v>49.7</v>
      </c>
      <c r="N112" s="1077" t="s">
        <v>945</v>
      </c>
      <c r="O112" s="1077">
        <v>1.2425000000000002</v>
      </c>
      <c r="P112" s="1077">
        <v>0.99400000000000011</v>
      </c>
      <c r="Q112" s="1077">
        <v>4</v>
      </c>
      <c r="R112" s="1077">
        <v>25</v>
      </c>
      <c r="T112" s="1077">
        <v>19.5</v>
      </c>
      <c r="U112" s="1077">
        <v>1.9</v>
      </c>
      <c r="V112" s="1077" t="s">
        <v>648</v>
      </c>
      <c r="W112" s="1077">
        <v>50</v>
      </c>
      <c r="X112" s="1077" t="s">
        <v>1403</v>
      </c>
      <c r="Y112" s="1077">
        <v>2</v>
      </c>
      <c r="Z112" s="1077">
        <v>2.5</v>
      </c>
      <c r="AA112" s="1077" t="s">
        <v>1404</v>
      </c>
      <c r="AH112" s="1077" t="s">
        <v>619</v>
      </c>
      <c r="AI112" s="1077" t="s">
        <v>981</v>
      </c>
      <c r="AM112" s="1078" t="s">
        <v>9277</v>
      </c>
      <c r="AN112" s="1078" t="s">
        <v>9278</v>
      </c>
      <c r="AO112" s="1078">
        <f t="shared" si="14"/>
        <v>550</v>
      </c>
      <c r="AP112" s="1078">
        <f t="shared" si="15"/>
        <v>1.71</v>
      </c>
      <c r="AQ112" s="1078" t="str">
        <f t="shared" si="16"/>
        <v>1-4-1S83°</v>
      </c>
      <c r="AR112" s="1078" t="str">
        <f t="shared" si="17"/>
        <v>31.5</v>
      </c>
      <c r="AS112" s="1078" t="str">
        <f t="shared" si="18"/>
        <v>235/235/140</v>
      </c>
      <c r="AT112" s="1078" t="str">
        <f t="shared" si="19"/>
        <v>1-4-1S83°</v>
      </c>
      <c r="AV112" s="1078" t="str">
        <f t="shared" si="12"/>
        <v>110.5.31</v>
      </c>
      <c r="AW112" s="1344">
        <f t="shared" si="13"/>
        <v>44347</v>
      </c>
    </row>
    <row r="113" spans="1:49">
      <c r="A113" s="1077" t="s">
        <v>1405</v>
      </c>
      <c r="B113" s="1077" t="s">
        <v>872</v>
      </c>
      <c r="C113" s="1077">
        <v>600</v>
      </c>
      <c r="D113" s="1077">
        <v>1.68</v>
      </c>
      <c r="E113" s="1077" t="s">
        <v>15093</v>
      </c>
      <c r="F113" s="1077" t="s">
        <v>984</v>
      </c>
      <c r="G113" s="1077" t="s">
        <v>940</v>
      </c>
      <c r="H113" s="1077" t="s">
        <v>1040</v>
      </c>
      <c r="I113" s="1077" t="s">
        <v>126</v>
      </c>
      <c r="J113" s="1077">
        <v>0.3</v>
      </c>
      <c r="K113" s="1077" t="s">
        <v>1402</v>
      </c>
      <c r="L113" s="1077" t="s">
        <v>978</v>
      </c>
      <c r="M113" s="1077">
        <v>50</v>
      </c>
      <c r="N113" s="1077" t="s">
        <v>945</v>
      </c>
      <c r="O113" s="1077">
        <v>1.25</v>
      </c>
      <c r="P113" s="1077">
        <v>1</v>
      </c>
      <c r="Q113" s="1077">
        <v>4</v>
      </c>
      <c r="R113" s="1077">
        <v>23</v>
      </c>
      <c r="T113" s="1077">
        <v>35.700000000000003</v>
      </c>
      <c r="U113" s="1077">
        <v>3.7</v>
      </c>
      <c r="V113" s="1077" t="s">
        <v>648</v>
      </c>
      <c r="W113" s="1077">
        <v>30</v>
      </c>
      <c r="X113" s="1077">
        <v>10</v>
      </c>
      <c r="Y113" s="1077">
        <v>2</v>
      </c>
      <c r="Z113" s="1077">
        <v>5</v>
      </c>
      <c r="AA113" s="1077" t="s">
        <v>1406</v>
      </c>
      <c r="AH113" s="1077" t="s">
        <v>990</v>
      </c>
      <c r="AM113" s="1078" t="s">
        <v>9279</v>
      </c>
      <c r="AN113" s="1078" t="s">
        <v>9280</v>
      </c>
      <c r="AO113" s="1078">
        <f t="shared" si="14"/>
        <v>600</v>
      </c>
      <c r="AP113" s="1078">
        <f t="shared" si="15"/>
        <v>1.68</v>
      </c>
      <c r="AQ113" s="1078" t="str">
        <f t="shared" si="16"/>
        <v>1-4-1S撚S83°</v>
      </c>
      <c r="AR113" s="1078" t="str">
        <f t="shared" si="17"/>
        <v>30</v>
      </c>
      <c r="AS113" s="1078" t="str">
        <f t="shared" si="18"/>
        <v>240/240/OFF</v>
      </c>
      <c r="AT113" s="1078" t="str">
        <f t="shared" si="19"/>
        <v>1-4-1S撚S83°</v>
      </c>
      <c r="AV113" s="1078" t="str">
        <f t="shared" si="12"/>
        <v>110.6.3</v>
      </c>
      <c r="AW113" s="1344">
        <f t="shared" si="13"/>
        <v>44350</v>
      </c>
    </row>
    <row r="114" spans="1:49">
      <c r="A114" s="1077" t="s">
        <v>1407</v>
      </c>
      <c r="B114" s="1077" t="s">
        <v>1015</v>
      </c>
      <c r="C114" s="1077">
        <v>500</v>
      </c>
      <c r="D114" s="1077">
        <v>1.7</v>
      </c>
      <c r="E114" s="1077" t="s">
        <v>15089</v>
      </c>
      <c r="F114" s="1077" t="s">
        <v>954</v>
      </c>
      <c r="G114" s="1077" t="s">
        <v>1016</v>
      </c>
      <c r="H114" s="1077" t="s">
        <v>1017</v>
      </c>
      <c r="I114" s="1077" t="s">
        <v>126</v>
      </c>
      <c r="J114" s="1077">
        <v>1</v>
      </c>
      <c r="K114" s="1077" t="s">
        <v>1408</v>
      </c>
      <c r="L114" s="1077" t="s">
        <v>1019</v>
      </c>
      <c r="M114" s="1077">
        <v>50.5</v>
      </c>
      <c r="N114" s="1077" t="s">
        <v>945</v>
      </c>
      <c r="O114" s="1077">
        <v>1.2625000000000002</v>
      </c>
      <c r="P114" s="1077">
        <v>1.01</v>
      </c>
      <c r="Q114" s="1077" t="s">
        <v>1059</v>
      </c>
      <c r="R114" s="1077">
        <v>23</v>
      </c>
      <c r="T114" s="1077">
        <v>29</v>
      </c>
      <c r="U114" s="1077">
        <v>3.3</v>
      </c>
      <c r="V114" s="1077" t="s">
        <v>648</v>
      </c>
      <c r="W114" s="1077">
        <v>130</v>
      </c>
      <c r="X114" s="1077">
        <v>75</v>
      </c>
      <c r="Y114" s="1077">
        <v>2.4</v>
      </c>
      <c r="Z114" s="1077">
        <v>4.5</v>
      </c>
      <c r="AA114" s="1077" t="s">
        <v>1409</v>
      </c>
      <c r="AH114" s="1077" t="s">
        <v>1267</v>
      </c>
      <c r="AM114" s="1078" t="s">
        <v>9281</v>
      </c>
      <c r="AN114" s="1078" t="s">
        <v>9282</v>
      </c>
      <c r="AO114" s="1078">
        <f t="shared" si="14"/>
        <v>500</v>
      </c>
      <c r="AP114" s="1078">
        <f t="shared" si="15"/>
        <v>1.7</v>
      </c>
      <c r="AQ114" s="1078" t="str">
        <f t="shared" si="16"/>
        <v>1-4-1S83°</v>
      </c>
      <c r="AR114" s="1078" t="str">
        <f t="shared" si="17"/>
        <v>31</v>
      </c>
      <c r="AS114" s="1078" t="str">
        <f t="shared" si="18"/>
        <v>200/200/OFF</v>
      </c>
      <c r="AT114" s="1078" t="str">
        <f t="shared" si="19"/>
        <v>1-4-1S83°</v>
      </c>
      <c r="AV114" s="1078" t="str">
        <f t="shared" si="12"/>
        <v>110.7.2</v>
      </c>
      <c r="AW114" s="1344">
        <f t="shared" si="13"/>
        <v>44379</v>
      </c>
    </row>
    <row r="115" spans="1:49">
      <c r="A115" s="1077" t="s">
        <v>1410</v>
      </c>
      <c r="B115" s="1077" t="s">
        <v>1154</v>
      </c>
      <c r="C115" s="1077">
        <v>550</v>
      </c>
      <c r="D115" s="1077">
        <v>1.74</v>
      </c>
      <c r="E115" s="1077" t="s">
        <v>15091</v>
      </c>
      <c r="F115" s="1077" t="s">
        <v>1398</v>
      </c>
      <c r="G115" s="1077" t="s">
        <v>940</v>
      </c>
      <c r="H115" s="1077" t="s">
        <v>1379</v>
      </c>
      <c r="I115" s="1077" t="s">
        <v>1112</v>
      </c>
      <c r="J115" s="1077">
        <v>1</v>
      </c>
      <c r="K115" s="1077" t="s">
        <v>1411</v>
      </c>
      <c r="L115" s="1077" t="s">
        <v>1157</v>
      </c>
      <c r="M115" s="1077">
        <v>49.5</v>
      </c>
      <c r="N115" s="1077" t="s">
        <v>945</v>
      </c>
      <c r="O115" s="1077">
        <v>1.2375</v>
      </c>
      <c r="P115" s="1077">
        <v>0.99</v>
      </c>
      <c r="Q115" s="1077">
        <v>4</v>
      </c>
      <c r="R115" s="1077">
        <v>23</v>
      </c>
      <c r="T115" s="1077">
        <v>31</v>
      </c>
      <c r="U115" s="1077">
        <v>3.3</v>
      </c>
      <c r="V115" s="1077" t="s">
        <v>648</v>
      </c>
      <c r="W115" s="1077">
        <v>110</v>
      </c>
      <c r="X115" s="1077">
        <v>70</v>
      </c>
      <c r="Y115" s="1077">
        <v>2.7</v>
      </c>
      <c r="Z115" s="1077">
        <v>4.5</v>
      </c>
      <c r="AA115" s="1077" t="s">
        <v>1412</v>
      </c>
      <c r="AH115" s="1077" t="s">
        <v>726</v>
      </c>
      <c r="AM115" s="1078" t="s">
        <v>9283</v>
      </c>
      <c r="AN115" s="1078" t="s">
        <v>9284</v>
      </c>
      <c r="AO115" s="1078">
        <f t="shared" si="14"/>
        <v>550</v>
      </c>
      <c r="AP115" s="1078">
        <f t="shared" si="15"/>
        <v>1.74</v>
      </c>
      <c r="AQ115" s="1078" t="str">
        <f t="shared" si="16"/>
        <v>2-5-1S83°</v>
      </c>
      <c r="AR115" s="1078" t="str">
        <f t="shared" si="17"/>
        <v>32.5</v>
      </c>
      <c r="AS115" s="1078" t="str">
        <f t="shared" si="18"/>
        <v>167/OFF</v>
      </c>
      <c r="AT115" s="1078" t="str">
        <f t="shared" si="19"/>
        <v>2-5-1S83°</v>
      </c>
      <c r="AV115" s="1078" t="str">
        <f t="shared" si="12"/>
        <v>110.7.6</v>
      </c>
      <c r="AW115" s="1344">
        <f t="shared" si="13"/>
        <v>44383</v>
      </c>
    </row>
    <row r="116" spans="1:49">
      <c r="A116" s="1077" t="s">
        <v>1413</v>
      </c>
      <c r="B116" s="1077" t="s">
        <v>1008</v>
      </c>
      <c r="C116" s="1077">
        <v>600</v>
      </c>
      <c r="D116" s="1077">
        <v>1.655</v>
      </c>
      <c r="E116" s="1077" t="s">
        <v>15089</v>
      </c>
      <c r="F116" s="1077" t="s">
        <v>954</v>
      </c>
      <c r="G116" s="1077">
        <v>3</v>
      </c>
      <c r="H116" s="1077" t="s">
        <v>1414</v>
      </c>
      <c r="I116" s="1077" t="s">
        <v>126</v>
      </c>
      <c r="J116" s="1077">
        <v>1.5</v>
      </c>
      <c r="K116" s="1077" t="s">
        <v>1415</v>
      </c>
      <c r="L116" s="1077" t="s">
        <v>1011</v>
      </c>
      <c r="M116" s="1077">
        <v>51.8</v>
      </c>
      <c r="N116" s="1077" t="s">
        <v>945</v>
      </c>
      <c r="O116" s="1077">
        <v>1.2949999999999999</v>
      </c>
      <c r="P116" s="1077">
        <v>1.036</v>
      </c>
      <c r="Q116" s="1077">
        <v>3</v>
      </c>
      <c r="R116" s="1077">
        <v>25</v>
      </c>
      <c r="T116" s="1077">
        <v>41.8</v>
      </c>
      <c r="U116" s="1077">
        <v>6</v>
      </c>
      <c r="V116" s="1077" t="s">
        <v>648</v>
      </c>
      <c r="W116" s="1077">
        <v>95</v>
      </c>
      <c r="X116" s="1077">
        <v>40</v>
      </c>
      <c r="Y116" s="1077">
        <v>2.2000000000000002</v>
      </c>
      <c r="Z116" s="1077">
        <v>4</v>
      </c>
      <c r="AA116" s="1077" t="s">
        <v>1416</v>
      </c>
      <c r="AH116" s="1077" t="s">
        <v>1417</v>
      </c>
      <c r="AM116" s="1078" t="s">
        <v>9285</v>
      </c>
      <c r="AN116" s="1078" t="s">
        <v>9286</v>
      </c>
      <c r="AO116" s="1078">
        <f t="shared" si="14"/>
        <v>600</v>
      </c>
      <c r="AP116" s="1078">
        <f t="shared" si="15"/>
        <v>1.655</v>
      </c>
      <c r="AQ116" s="1078" t="str">
        <f t="shared" si="16"/>
        <v>1-4-1S83°</v>
      </c>
      <c r="AR116" s="1078" t="str">
        <f t="shared" si="17"/>
        <v>31</v>
      </c>
      <c r="AS116" s="1078" t="str">
        <f t="shared" si="18"/>
        <v>193/193/OFF</v>
      </c>
      <c r="AT116" s="1078" t="str">
        <f t="shared" si="19"/>
        <v>1-4-1S83°</v>
      </c>
      <c r="AV116" s="1078" t="str">
        <f t="shared" si="12"/>
        <v>110.7.15</v>
      </c>
      <c r="AW116" s="1344">
        <f t="shared" si="13"/>
        <v>44392</v>
      </c>
    </row>
    <row r="117" spans="1:49">
      <c r="A117" s="1077" t="s">
        <v>1418</v>
      </c>
      <c r="B117" s="1077" t="s">
        <v>1110</v>
      </c>
      <c r="C117" s="1077">
        <v>600</v>
      </c>
      <c r="D117" s="1077">
        <v>1.42</v>
      </c>
      <c r="E117" s="1077" t="s">
        <v>648</v>
      </c>
      <c r="F117" s="1077" t="s">
        <v>1281</v>
      </c>
      <c r="G117" s="1077">
        <v>1.96</v>
      </c>
      <c r="H117" s="1077" t="s">
        <v>1234</v>
      </c>
      <c r="I117" s="1077" t="s">
        <v>1112</v>
      </c>
      <c r="J117" s="1077">
        <v>1.5</v>
      </c>
      <c r="K117" s="1077" t="s">
        <v>1419</v>
      </c>
      <c r="L117" s="1077" t="s">
        <v>453</v>
      </c>
      <c r="M117" s="1077">
        <v>56</v>
      </c>
      <c r="N117" s="1077" t="s">
        <v>945</v>
      </c>
      <c r="O117" s="1077">
        <v>1.4000000000000001</v>
      </c>
      <c r="P117" s="1077">
        <v>1.1200000000000001</v>
      </c>
      <c r="Q117" s="1077">
        <v>2</v>
      </c>
      <c r="R117" s="1077">
        <v>61</v>
      </c>
      <c r="T117" s="1077" t="s">
        <v>648</v>
      </c>
      <c r="U117" s="1077">
        <v>34</v>
      </c>
      <c r="V117" s="1077" t="s">
        <v>648</v>
      </c>
      <c r="W117" s="1077" t="s">
        <v>648</v>
      </c>
      <c r="X117" s="1077" t="s">
        <v>648</v>
      </c>
      <c r="Y117" s="1077" t="s">
        <v>648</v>
      </c>
      <c r="Z117" s="1077" t="s">
        <v>648</v>
      </c>
      <c r="AA117" s="1077" t="s">
        <v>1420</v>
      </c>
      <c r="AH117" s="1077" t="s">
        <v>1421</v>
      </c>
      <c r="AM117" s="1078" t="s">
        <v>9287</v>
      </c>
      <c r="AN117" s="1078" t="s">
        <v>9288</v>
      </c>
      <c r="AO117" s="1078">
        <f t="shared" si="14"/>
        <v>600</v>
      </c>
      <c r="AP117" s="1078">
        <f t="shared" si="15"/>
        <v>1.42</v>
      </c>
      <c r="AQ117" s="1078" t="str">
        <f t="shared" si="16"/>
        <v>NA</v>
      </c>
      <c r="AR117" s="1078" t="str">
        <f t="shared" si="17"/>
        <v>31.8</v>
      </c>
      <c r="AS117" s="1078" t="str">
        <f t="shared" si="18"/>
        <v>OFF/123</v>
      </c>
      <c r="AT117" s="1078" t="str">
        <f t="shared" si="19"/>
        <v>NA</v>
      </c>
      <c r="AV117" s="1078" t="str">
        <f t="shared" si="12"/>
        <v>110.8.3</v>
      </c>
      <c r="AW117" s="1344">
        <f t="shared" si="13"/>
        <v>44411</v>
      </c>
    </row>
    <row r="118" spans="1:49">
      <c r="A118" s="1077" t="s">
        <v>1422</v>
      </c>
      <c r="B118" s="1077" t="s">
        <v>1423</v>
      </c>
      <c r="C118" s="1077">
        <v>500</v>
      </c>
      <c r="D118" s="1077">
        <v>1.71</v>
      </c>
      <c r="E118" s="1077" t="s">
        <v>15089</v>
      </c>
      <c r="F118" s="1077" t="s">
        <v>954</v>
      </c>
      <c r="G118" s="1077" t="s">
        <v>1016</v>
      </c>
      <c r="H118" s="1077" t="s">
        <v>1017</v>
      </c>
      <c r="I118" s="1077" t="s">
        <v>126</v>
      </c>
      <c r="J118" s="1077">
        <v>1</v>
      </c>
      <c r="K118" s="1077" t="s">
        <v>1424</v>
      </c>
      <c r="L118" s="1077" t="s">
        <v>1425</v>
      </c>
      <c r="M118" s="1077">
        <v>52</v>
      </c>
      <c r="N118" s="1077" t="s">
        <v>945</v>
      </c>
      <c r="O118" s="1077">
        <v>1.3</v>
      </c>
      <c r="P118" s="1077">
        <v>1.04</v>
      </c>
      <c r="Q118" s="1077" t="s">
        <v>1059</v>
      </c>
      <c r="R118" s="1077">
        <v>23</v>
      </c>
      <c r="T118" s="1077">
        <v>29</v>
      </c>
      <c r="U118" s="1077">
        <v>3.3</v>
      </c>
      <c r="V118" s="1077" t="s">
        <v>648</v>
      </c>
      <c r="W118" s="1077">
        <v>130</v>
      </c>
      <c r="X118" s="1077">
        <v>75</v>
      </c>
      <c r="Y118" s="1077">
        <v>2.4</v>
      </c>
      <c r="Z118" s="1077">
        <v>4.5</v>
      </c>
      <c r="AA118" s="1077" t="s">
        <v>1426</v>
      </c>
      <c r="AH118" s="1077" t="s">
        <v>1417</v>
      </c>
      <c r="AM118" s="1078" t="s">
        <v>9289</v>
      </c>
      <c r="AN118" s="1078" t="s">
        <v>9290</v>
      </c>
      <c r="AO118" s="1078">
        <f t="shared" si="14"/>
        <v>500</v>
      </c>
      <c r="AP118" s="1078">
        <f t="shared" si="15"/>
        <v>1.71</v>
      </c>
      <c r="AQ118" s="1078" t="str">
        <f t="shared" si="16"/>
        <v>1-4-1S83°</v>
      </c>
      <c r="AR118" s="1078" t="str">
        <f t="shared" si="17"/>
        <v>31</v>
      </c>
      <c r="AS118" s="1078" t="str">
        <f t="shared" si="18"/>
        <v>200/200/OFF</v>
      </c>
      <c r="AT118" s="1078" t="str">
        <f t="shared" si="19"/>
        <v>1-4-1S83°</v>
      </c>
      <c r="AV118" s="1078" t="str">
        <f t="shared" si="12"/>
        <v>110.8.27</v>
      </c>
      <c r="AW118" s="1344">
        <f t="shared" si="13"/>
        <v>44435</v>
      </c>
    </row>
    <row r="119" spans="1:49">
      <c r="A119" s="1077" t="s">
        <v>1427</v>
      </c>
      <c r="B119" s="1077" t="s">
        <v>1289</v>
      </c>
      <c r="C119" s="1077">
        <v>550</v>
      </c>
      <c r="D119" s="1077">
        <v>1.67</v>
      </c>
      <c r="E119" s="1077" t="s">
        <v>15089</v>
      </c>
      <c r="F119" s="1077" t="s">
        <v>1318</v>
      </c>
      <c r="G119" s="1077" t="s">
        <v>940</v>
      </c>
      <c r="H119" s="1077" t="s">
        <v>1226</v>
      </c>
      <c r="I119" s="1077" t="s">
        <v>126</v>
      </c>
      <c r="J119" s="1077">
        <v>0.7</v>
      </c>
      <c r="K119" s="1077" t="s">
        <v>1428</v>
      </c>
      <c r="L119" s="1077" t="s">
        <v>1429</v>
      </c>
      <c r="M119" s="1077">
        <v>51</v>
      </c>
      <c r="N119" s="1077" t="s">
        <v>945</v>
      </c>
      <c r="O119" s="1077">
        <v>1.2750000000000001</v>
      </c>
      <c r="P119" s="1077">
        <v>1.02</v>
      </c>
      <c r="Q119" s="1077">
        <v>3.5</v>
      </c>
      <c r="R119" s="1077">
        <v>25</v>
      </c>
      <c r="T119" s="1077">
        <v>21</v>
      </c>
      <c r="U119" s="1077">
        <v>3.3</v>
      </c>
      <c r="V119" s="1077" t="s">
        <v>648</v>
      </c>
      <c r="W119" s="1077">
        <v>125</v>
      </c>
      <c r="X119" s="1077">
        <v>85</v>
      </c>
      <c r="Y119" s="1077">
        <v>1.8</v>
      </c>
      <c r="Z119" s="1077">
        <v>4</v>
      </c>
      <c r="AA119" s="1077" t="s">
        <v>1426</v>
      </c>
      <c r="AH119" s="1077" t="s">
        <v>813</v>
      </c>
      <c r="AM119" s="1078" t="s">
        <v>9291</v>
      </c>
      <c r="AN119" s="1078" t="s">
        <v>9292</v>
      </c>
      <c r="AO119" s="1078">
        <f t="shared" si="14"/>
        <v>550</v>
      </c>
      <c r="AP119" s="1078">
        <f t="shared" si="15"/>
        <v>1.67</v>
      </c>
      <c r="AQ119" s="1078" t="str">
        <f t="shared" si="16"/>
        <v>1-4-1S83°</v>
      </c>
      <c r="AR119" s="1078" t="str">
        <f t="shared" si="17"/>
        <v>30.7</v>
      </c>
      <c r="AS119" s="1078" t="str">
        <f t="shared" si="18"/>
        <v>230/230/OFF</v>
      </c>
      <c r="AT119" s="1078" t="str">
        <f t="shared" si="19"/>
        <v>1-4-1S83°</v>
      </c>
      <c r="AV119" s="1078" t="str">
        <f t="shared" si="12"/>
        <v>110.8.27</v>
      </c>
      <c r="AW119" s="1344">
        <f t="shared" si="13"/>
        <v>44435</v>
      </c>
    </row>
    <row r="120" spans="1:49">
      <c r="A120" s="1077" t="s">
        <v>1430</v>
      </c>
      <c r="B120" s="1077" t="s">
        <v>1133</v>
      </c>
      <c r="C120" s="1077">
        <v>650</v>
      </c>
      <c r="D120" s="1077">
        <v>1.71</v>
      </c>
      <c r="E120" s="1077" t="s">
        <v>15089</v>
      </c>
      <c r="F120" s="1077" t="s">
        <v>954</v>
      </c>
      <c r="G120" s="1077" t="s">
        <v>1001</v>
      </c>
      <c r="H120" s="1077" t="s">
        <v>1029</v>
      </c>
      <c r="I120" s="1077" t="s">
        <v>126</v>
      </c>
      <c r="J120" s="1077">
        <v>1.2</v>
      </c>
      <c r="K120" s="1077" t="s">
        <v>1431</v>
      </c>
      <c r="L120" s="1077" t="s">
        <v>1135</v>
      </c>
      <c r="M120" s="1077">
        <v>49.5</v>
      </c>
      <c r="N120" s="1077" t="s">
        <v>945</v>
      </c>
      <c r="O120" s="1077">
        <v>1.2375</v>
      </c>
      <c r="P120" s="1077">
        <v>0.99</v>
      </c>
      <c r="Q120" s="1077">
        <v>4</v>
      </c>
      <c r="R120" s="1077">
        <v>24</v>
      </c>
      <c r="T120" s="1077">
        <v>28</v>
      </c>
      <c r="U120" s="1077">
        <v>3.4</v>
      </c>
      <c r="V120" s="1077" t="s">
        <v>648</v>
      </c>
      <c r="W120" s="1077">
        <v>115</v>
      </c>
      <c r="X120" s="1077">
        <v>85</v>
      </c>
      <c r="Y120" s="1077">
        <v>2.5</v>
      </c>
      <c r="Z120" s="1077">
        <v>4.5</v>
      </c>
      <c r="AA120" s="1077" t="s">
        <v>1432</v>
      </c>
      <c r="AH120" s="1077" t="s">
        <v>646</v>
      </c>
      <c r="AM120" s="1078" t="s">
        <v>9293</v>
      </c>
      <c r="AN120" s="1078" t="s">
        <v>9294</v>
      </c>
      <c r="AO120" s="1078">
        <f t="shared" si="14"/>
        <v>650</v>
      </c>
      <c r="AP120" s="1078">
        <f t="shared" si="15"/>
        <v>1.71</v>
      </c>
      <c r="AQ120" s="1078" t="str">
        <f t="shared" si="16"/>
        <v>1-4-1S83°</v>
      </c>
      <c r="AR120" s="1078" t="str">
        <f t="shared" si="17"/>
        <v>31</v>
      </c>
      <c r="AS120" s="1078" t="str">
        <f t="shared" si="18"/>
        <v>250/250/OFF</v>
      </c>
      <c r="AT120" s="1078" t="str">
        <f t="shared" si="19"/>
        <v>1-4-1S83°</v>
      </c>
      <c r="AV120" s="1078" t="str">
        <f t="shared" si="12"/>
        <v>110.8.30</v>
      </c>
      <c r="AW120" s="1344">
        <f t="shared" si="13"/>
        <v>44438</v>
      </c>
    </row>
    <row r="121" spans="1:49">
      <c r="A121" s="1077" t="s">
        <v>1433</v>
      </c>
      <c r="B121" s="1077" t="s">
        <v>1434</v>
      </c>
      <c r="C121" s="1077">
        <v>550</v>
      </c>
      <c r="D121" s="1077">
        <v>1.74</v>
      </c>
      <c r="E121" s="1077" t="s">
        <v>15089</v>
      </c>
      <c r="F121" s="1077" t="s">
        <v>984</v>
      </c>
      <c r="G121" s="1077" t="s">
        <v>1016</v>
      </c>
      <c r="H121" s="1077" t="s">
        <v>1274</v>
      </c>
      <c r="I121" s="1077" t="s">
        <v>126</v>
      </c>
      <c r="J121" s="1077">
        <v>0.6</v>
      </c>
      <c r="K121" s="1077" t="s">
        <v>1435</v>
      </c>
      <c r="L121" s="1077" t="s">
        <v>1276</v>
      </c>
      <c r="M121" s="1077">
        <v>50.8</v>
      </c>
      <c r="N121" s="1077" t="s">
        <v>945</v>
      </c>
      <c r="O121" s="1077">
        <v>1.27</v>
      </c>
      <c r="P121" s="1077">
        <v>1.016</v>
      </c>
      <c r="Q121" s="1077">
        <v>4</v>
      </c>
      <c r="R121" s="1077">
        <v>19.100000000000001</v>
      </c>
      <c r="T121" s="1077">
        <v>18.3</v>
      </c>
      <c r="U121" s="1077">
        <v>4.0999999999999996</v>
      </c>
      <c r="V121" s="1077" t="s">
        <v>648</v>
      </c>
      <c r="W121" s="1077">
        <v>125</v>
      </c>
      <c r="X121" s="1077">
        <v>85</v>
      </c>
      <c r="Y121" s="1077">
        <v>2</v>
      </c>
      <c r="Z121" s="1077">
        <v>3</v>
      </c>
      <c r="AA121" s="1077" t="s">
        <v>1436</v>
      </c>
      <c r="AH121" s="1077" t="s">
        <v>785</v>
      </c>
      <c r="AM121" s="1078" t="s">
        <v>9295</v>
      </c>
      <c r="AN121" s="1078" t="s">
        <v>9296</v>
      </c>
      <c r="AO121" s="1078">
        <f t="shared" si="14"/>
        <v>550</v>
      </c>
      <c r="AP121" s="1078">
        <f t="shared" si="15"/>
        <v>1.74</v>
      </c>
      <c r="AQ121" s="1078" t="str">
        <f t="shared" si="16"/>
        <v>1-4-1S83°</v>
      </c>
      <c r="AR121" s="1078" t="str">
        <f t="shared" si="17"/>
        <v>30</v>
      </c>
      <c r="AS121" s="1078" t="str">
        <f t="shared" si="18"/>
        <v>210/210/OFF</v>
      </c>
      <c r="AT121" s="1078" t="str">
        <f t="shared" si="19"/>
        <v>1-4-1S83°</v>
      </c>
      <c r="AV121" s="1078" t="str">
        <f t="shared" si="12"/>
        <v>110.9.13</v>
      </c>
      <c r="AW121" s="1344">
        <f t="shared" si="13"/>
        <v>44452</v>
      </c>
    </row>
    <row r="122" spans="1:49">
      <c r="A122" s="1077" t="s">
        <v>1437</v>
      </c>
      <c r="B122" s="1077" t="s">
        <v>1110</v>
      </c>
      <c r="C122" s="1077">
        <v>600</v>
      </c>
      <c r="D122" s="1077">
        <v>1.42</v>
      </c>
      <c r="E122" s="1077" t="s">
        <v>648</v>
      </c>
      <c r="F122" s="1077" t="s">
        <v>1438</v>
      </c>
      <c r="G122" s="1077">
        <v>1.96</v>
      </c>
      <c r="H122" s="1077" t="s">
        <v>1234</v>
      </c>
      <c r="I122" s="1077" t="s">
        <v>1112</v>
      </c>
      <c r="J122" s="1077">
        <v>1.5</v>
      </c>
      <c r="K122" s="1077" t="s">
        <v>1439</v>
      </c>
      <c r="L122" s="1077" t="s">
        <v>453</v>
      </c>
      <c r="M122" s="1077">
        <v>56</v>
      </c>
      <c r="N122" s="1077" t="s">
        <v>945</v>
      </c>
      <c r="O122" s="1077">
        <v>1.4000000000000001</v>
      </c>
      <c r="P122" s="1077">
        <v>1.1200000000000001</v>
      </c>
      <c r="Q122" s="1077">
        <v>2</v>
      </c>
      <c r="R122" s="1077">
        <v>61</v>
      </c>
      <c r="T122" s="1077" t="s">
        <v>648</v>
      </c>
      <c r="U122" s="1077">
        <v>34</v>
      </c>
      <c r="V122" s="1077" t="s">
        <v>648</v>
      </c>
      <c r="W122" s="1077" t="s">
        <v>648</v>
      </c>
      <c r="X122" s="1077" t="s">
        <v>648</v>
      </c>
      <c r="Y122" s="1077" t="s">
        <v>648</v>
      </c>
      <c r="Z122" s="1077" t="s">
        <v>648</v>
      </c>
      <c r="AA122" s="1077" t="s">
        <v>1440</v>
      </c>
      <c r="AH122" s="1077" t="s">
        <v>878</v>
      </c>
      <c r="AM122" s="1078" t="s">
        <v>9297</v>
      </c>
      <c r="AN122" s="1078" t="s">
        <v>9298</v>
      </c>
      <c r="AO122" s="1078">
        <f t="shared" si="14"/>
        <v>600</v>
      </c>
      <c r="AP122" s="1078">
        <f t="shared" si="15"/>
        <v>1.42</v>
      </c>
      <c r="AQ122" s="1078" t="str">
        <f t="shared" si="16"/>
        <v>NA</v>
      </c>
      <c r="AR122" s="1078" t="str">
        <f t="shared" si="17"/>
        <v>32.1</v>
      </c>
      <c r="AS122" s="1078" t="str">
        <f t="shared" si="18"/>
        <v>OFF/123</v>
      </c>
      <c r="AT122" s="1078" t="str">
        <f t="shared" si="19"/>
        <v>NA</v>
      </c>
      <c r="AV122" s="1078" t="str">
        <f t="shared" si="12"/>
        <v>110.10.6</v>
      </c>
      <c r="AW122" s="1344">
        <f t="shared" si="13"/>
        <v>44475</v>
      </c>
    </row>
    <row r="123" spans="1:49">
      <c r="A123" s="1077" t="s">
        <v>1441</v>
      </c>
      <c r="B123" s="1077" t="s">
        <v>1423</v>
      </c>
      <c r="C123" s="1077">
        <v>500</v>
      </c>
      <c r="D123" s="1077">
        <v>1.71</v>
      </c>
      <c r="E123" s="1077" t="s">
        <v>15089</v>
      </c>
      <c r="F123" s="1077" t="s">
        <v>954</v>
      </c>
      <c r="G123" s="1077" t="s">
        <v>1016</v>
      </c>
      <c r="H123" s="1077" t="s">
        <v>1017</v>
      </c>
      <c r="I123" s="1077" t="s">
        <v>126</v>
      </c>
      <c r="J123" s="1077">
        <v>1.2</v>
      </c>
      <c r="K123" s="1077" t="s">
        <v>1442</v>
      </c>
      <c r="L123" s="1077" t="s">
        <v>1425</v>
      </c>
      <c r="M123" s="1077">
        <v>52</v>
      </c>
      <c r="N123" s="1077" t="s">
        <v>945</v>
      </c>
      <c r="O123" s="1077">
        <v>1.3</v>
      </c>
      <c r="P123" s="1077">
        <v>1.04</v>
      </c>
      <c r="Q123" s="1077">
        <v>3</v>
      </c>
      <c r="R123" s="1077">
        <v>23</v>
      </c>
      <c r="T123" s="1077">
        <v>29</v>
      </c>
      <c r="U123" s="1077">
        <v>3.3</v>
      </c>
      <c r="V123" s="1077" t="s">
        <v>648</v>
      </c>
      <c r="W123" s="1077">
        <v>130</v>
      </c>
      <c r="X123" s="1077">
        <v>75</v>
      </c>
      <c r="Y123" s="1077">
        <v>2.4</v>
      </c>
      <c r="Z123" s="1077">
        <v>4.5</v>
      </c>
      <c r="AA123" s="1077" t="s">
        <v>1443</v>
      </c>
      <c r="AH123" s="1077" t="s">
        <v>812</v>
      </c>
      <c r="AM123" s="1078" t="s">
        <v>9299</v>
      </c>
      <c r="AN123" s="1078" t="s">
        <v>9300</v>
      </c>
      <c r="AO123" s="1078">
        <f t="shared" si="14"/>
        <v>500</v>
      </c>
      <c r="AP123" s="1078">
        <f t="shared" si="15"/>
        <v>1.71</v>
      </c>
      <c r="AQ123" s="1078" t="str">
        <f t="shared" si="16"/>
        <v>1-4-1S83°</v>
      </c>
      <c r="AR123" s="1078" t="str">
        <f t="shared" si="17"/>
        <v>31</v>
      </c>
      <c r="AS123" s="1078" t="str">
        <f t="shared" si="18"/>
        <v>200/200/OFF</v>
      </c>
      <c r="AT123" s="1078" t="str">
        <f t="shared" si="19"/>
        <v>1-4-1S83°</v>
      </c>
      <c r="AV123" s="1078" t="str">
        <f t="shared" si="12"/>
        <v>110.11.8</v>
      </c>
      <c r="AW123" s="1344">
        <f t="shared" si="13"/>
        <v>44508</v>
      </c>
    </row>
    <row r="124" spans="1:49">
      <c r="A124" s="1077" t="s">
        <v>1444</v>
      </c>
      <c r="B124" s="1077" t="s">
        <v>1008</v>
      </c>
      <c r="C124" s="1077">
        <v>550</v>
      </c>
      <c r="D124" s="1077">
        <v>1.655</v>
      </c>
      <c r="E124" s="1077" t="s">
        <v>15095</v>
      </c>
      <c r="F124" s="1077" t="s">
        <v>975</v>
      </c>
      <c r="G124" s="1077">
        <v>3</v>
      </c>
      <c r="H124" s="1077" t="s">
        <v>1445</v>
      </c>
      <c r="I124" s="1077" t="s">
        <v>126</v>
      </c>
      <c r="J124" s="1077">
        <v>1.7</v>
      </c>
      <c r="K124" s="1077" t="s">
        <v>1446</v>
      </c>
      <c r="L124" s="1077" t="s">
        <v>1011</v>
      </c>
      <c r="M124" s="1077">
        <v>51.8</v>
      </c>
      <c r="N124" s="1077" t="s">
        <v>945</v>
      </c>
      <c r="O124" s="1077">
        <v>1.2949999999999999</v>
      </c>
      <c r="P124" s="1077">
        <v>1.036</v>
      </c>
      <c r="Q124" s="1077">
        <v>3</v>
      </c>
      <c r="R124" s="1077">
        <v>25</v>
      </c>
      <c r="T124" s="1077">
        <v>41.8</v>
      </c>
      <c r="U124" s="1077">
        <v>6</v>
      </c>
      <c r="V124" s="1077" t="s">
        <v>648</v>
      </c>
      <c r="W124" s="1077">
        <v>95</v>
      </c>
      <c r="X124" s="1077">
        <v>80</v>
      </c>
      <c r="Y124" s="1077">
        <v>2.2000000000000002</v>
      </c>
      <c r="Z124" s="1077">
        <v>4</v>
      </c>
      <c r="AA124" s="1077" t="s">
        <v>1447</v>
      </c>
      <c r="AH124" s="1077" t="s">
        <v>1448</v>
      </c>
      <c r="AM124" s="1078" t="s">
        <v>9301</v>
      </c>
      <c r="AN124" s="1078" t="s">
        <v>9302</v>
      </c>
      <c r="AO124" s="1078">
        <f t="shared" si="14"/>
        <v>550</v>
      </c>
      <c r="AP124" s="1078">
        <f t="shared" si="15"/>
        <v>1.655</v>
      </c>
      <c r="AQ124" s="1078" t="str">
        <f t="shared" si="16"/>
        <v>1-5-1S83°</v>
      </c>
      <c r="AR124" s="1078" t="str">
        <f t="shared" si="17"/>
        <v>31.5</v>
      </c>
      <c r="AS124" s="1078" t="str">
        <f t="shared" si="18"/>
        <v>207/207/OFF</v>
      </c>
      <c r="AT124" s="1078" t="str">
        <f t="shared" si="19"/>
        <v>1-5-1S83°</v>
      </c>
      <c r="AV124" s="1078" t="str">
        <f t="shared" si="12"/>
        <v>110.11.26</v>
      </c>
      <c r="AW124" s="1344">
        <f t="shared" si="13"/>
        <v>44526</v>
      </c>
    </row>
    <row r="125" spans="1:49">
      <c r="A125" s="1077" t="s">
        <v>1449</v>
      </c>
      <c r="B125" s="1077" t="s">
        <v>1423</v>
      </c>
      <c r="C125" s="1077">
        <v>500</v>
      </c>
      <c r="D125" s="1077">
        <v>1.7</v>
      </c>
      <c r="E125" s="1077" t="s">
        <v>15089</v>
      </c>
      <c r="F125" s="1077" t="s">
        <v>954</v>
      </c>
      <c r="G125" s="1077" t="s">
        <v>1016</v>
      </c>
      <c r="H125" s="1077" t="s">
        <v>1274</v>
      </c>
      <c r="I125" s="1077" t="s">
        <v>126</v>
      </c>
      <c r="J125" s="1077">
        <v>1.2</v>
      </c>
      <c r="K125" s="1077" t="s">
        <v>1442</v>
      </c>
      <c r="L125" s="1077" t="s">
        <v>1425</v>
      </c>
      <c r="M125" s="1077">
        <v>52</v>
      </c>
      <c r="N125" s="1077" t="s">
        <v>945</v>
      </c>
      <c r="O125" s="1077">
        <v>1.3</v>
      </c>
      <c r="P125" s="1077">
        <v>1.04</v>
      </c>
      <c r="Q125" s="1077">
        <v>3</v>
      </c>
      <c r="R125" s="1077">
        <v>23</v>
      </c>
      <c r="T125" s="1077">
        <v>29</v>
      </c>
      <c r="U125" s="1077">
        <v>3.3</v>
      </c>
      <c r="V125" s="1077" t="s">
        <v>648</v>
      </c>
      <c r="W125" s="1077">
        <v>130</v>
      </c>
      <c r="X125" s="1077">
        <v>75</v>
      </c>
      <c r="Y125" s="1077">
        <v>2.4</v>
      </c>
      <c r="Z125" s="1077">
        <v>4.5</v>
      </c>
      <c r="AA125" s="1077" t="s">
        <v>1450</v>
      </c>
      <c r="AH125" s="1077" t="s">
        <v>1170</v>
      </c>
      <c r="AM125" s="1078" t="s">
        <v>9303</v>
      </c>
      <c r="AN125" s="1078" t="s">
        <v>9304</v>
      </c>
      <c r="AO125" s="1078">
        <f t="shared" si="14"/>
        <v>500</v>
      </c>
      <c r="AP125" s="1078">
        <f t="shared" si="15"/>
        <v>1.7</v>
      </c>
      <c r="AQ125" s="1078" t="str">
        <f t="shared" si="16"/>
        <v>1-4-1S83°</v>
      </c>
      <c r="AR125" s="1078" t="str">
        <f t="shared" si="17"/>
        <v>31</v>
      </c>
      <c r="AS125" s="1078" t="str">
        <f t="shared" si="18"/>
        <v>210/210/OFF</v>
      </c>
      <c r="AT125" s="1078" t="str">
        <f t="shared" si="19"/>
        <v>1-4-1S83°</v>
      </c>
      <c r="AV125" s="1078" t="str">
        <f t="shared" si="12"/>
        <v>110.12.20</v>
      </c>
      <c r="AW125" s="1344">
        <f t="shared" si="13"/>
        <v>44550</v>
      </c>
    </row>
    <row r="126" spans="1:49">
      <c r="A126" s="1077" t="s">
        <v>1451</v>
      </c>
      <c r="B126" s="1077" t="s">
        <v>1289</v>
      </c>
      <c r="C126" s="1077">
        <v>550</v>
      </c>
      <c r="D126" s="1077">
        <v>1.6850000000000001</v>
      </c>
      <c r="E126" s="1077" t="s">
        <v>15089</v>
      </c>
      <c r="F126" s="1077" t="s">
        <v>1318</v>
      </c>
      <c r="G126" s="1077" t="s">
        <v>940</v>
      </c>
      <c r="H126" s="1077" t="s">
        <v>1226</v>
      </c>
      <c r="I126" s="1077" t="s">
        <v>126</v>
      </c>
      <c r="J126" s="1077">
        <v>0.7</v>
      </c>
      <c r="K126" s="1077" t="s">
        <v>1428</v>
      </c>
      <c r="L126" s="1077" t="s">
        <v>1429</v>
      </c>
      <c r="M126" s="1077">
        <v>51</v>
      </c>
      <c r="N126" s="1077" t="s">
        <v>945</v>
      </c>
      <c r="O126" s="1077">
        <v>1.2750000000000001</v>
      </c>
      <c r="P126" s="1077">
        <v>1.02</v>
      </c>
      <c r="Q126" s="1077">
        <v>3.5</v>
      </c>
      <c r="R126" s="1077">
        <v>25</v>
      </c>
      <c r="T126" s="1077">
        <v>21</v>
      </c>
      <c r="U126" s="1077">
        <v>3.3</v>
      </c>
      <c r="V126" s="1077" t="s">
        <v>648</v>
      </c>
      <c r="W126" s="1077">
        <v>125</v>
      </c>
      <c r="X126" s="1077">
        <v>85</v>
      </c>
      <c r="Y126" s="1077">
        <v>1.8</v>
      </c>
      <c r="Z126" s="1077">
        <v>4</v>
      </c>
      <c r="AA126" s="1077" t="s">
        <v>1450</v>
      </c>
      <c r="AH126" s="1077" t="s">
        <v>1452</v>
      </c>
      <c r="AM126" s="1078" t="s">
        <v>9305</v>
      </c>
      <c r="AN126" s="1078" t="s">
        <v>9306</v>
      </c>
      <c r="AO126" s="1078">
        <f t="shared" si="14"/>
        <v>550</v>
      </c>
      <c r="AP126" s="1078">
        <f t="shared" si="15"/>
        <v>1.6850000000000001</v>
      </c>
      <c r="AQ126" s="1078" t="str">
        <f t="shared" si="16"/>
        <v>1-4-1S83°</v>
      </c>
      <c r="AR126" s="1078" t="str">
        <f t="shared" si="17"/>
        <v>30.7</v>
      </c>
      <c r="AS126" s="1078" t="str">
        <f t="shared" si="18"/>
        <v>230/230/OFF</v>
      </c>
      <c r="AT126" s="1078" t="str">
        <f t="shared" si="19"/>
        <v>1-4-1S83°</v>
      </c>
      <c r="AV126" s="1078" t="str">
        <f t="shared" si="12"/>
        <v>110.12.20</v>
      </c>
      <c r="AW126" s="1344">
        <f t="shared" si="13"/>
        <v>44550</v>
      </c>
    </row>
    <row r="127" spans="1:49">
      <c r="A127" s="1077" t="s">
        <v>1453</v>
      </c>
      <c r="B127" s="1077" t="s">
        <v>1394</v>
      </c>
      <c r="C127" s="1077">
        <v>600</v>
      </c>
      <c r="D127" s="1077">
        <v>1.7</v>
      </c>
      <c r="E127" s="1077" t="s">
        <v>15091</v>
      </c>
      <c r="F127" s="1077" t="s">
        <v>1454</v>
      </c>
      <c r="G127" s="1077" t="s">
        <v>940</v>
      </c>
      <c r="H127" s="1077" t="s">
        <v>1166</v>
      </c>
      <c r="I127" s="1077" t="s">
        <v>1455</v>
      </c>
      <c r="J127" s="1077">
        <v>0.2</v>
      </c>
      <c r="K127" s="1077" t="s">
        <v>1309</v>
      </c>
      <c r="L127" s="1077" t="s">
        <v>987</v>
      </c>
      <c r="M127" s="1077">
        <v>50.5</v>
      </c>
      <c r="N127" s="1077" t="s">
        <v>945</v>
      </c>
      <c r="O127" s="1077">
        <v>1.2625000000000002</v>
      </c>
      <c r="P127" s="1077">
        <v>1.01</v>
      </c>
      <c r="Q127" s="1077">
        <v>4</v>
      </c>
      <c r="R127" s="1077">
        <v>24.5</v>
      </c>
      <c r="T127" s="1077">
        <v>27.9</v>
      </c>
      <c r="U127" s="1077">
        <v>3.6</v>
      </c>
      <c r="V127" s="1077" t="s">
        <v>648</v>
      </c>
      <c r="W127" s="1077">
        <v>40</v>
      </c>
      <c r="X127" s="1077">
        <v>10</v>
      </c>
      <c r="Y127" s="1077">
        <v>2.2000000000000002</v>
      </c>
      <c r="Z127" s="1077">
        <v>3.5</v>
      </c>
      <c r="AA127" s="1077" t="s">
        <v>1456</v>
      </c>
      <c r="AH127" s="1077" t="s">
        <v>783</v>
      </c>
      <c r="AM127" s="1078" t="s">
        <v>9307</v>
      </c>
      <c r="AN127" s="1078" t="s">
        <v>9308</v>
      </c>
      <c r="AO127" s="1078">
        <f t="shared" si="14"/>
        <v>600</v>
      </c>
      <c r="AP127" s="1078">
        <f t="shared" si="15"/>
        <v>1.7</v>
      </c>
      <c r="AQ127" s="1078" t="str">
        <f t="shared" si="16"/>
        <v>2-5-1S83°</v>
      </c>
      <c r="AR127" s="1078" t="str">
        <f t="shared" si="17"/>
        <v>32.2</v>
      </c>
      <c r="AS127" s="1078" t="str">
        <f t="shared" si="18"/>
        <v>170/OFF</v>
      </c>
      <c r="AT127" s="1078" t="str">
        <f t="shared" si="19"/>
        <v>2-5-1S83°</v>
      </c>
      <c r="AV127" s="1078" t="str">
        <f t="shared" si="12"/>
        <v>111.1.20</v>
      </c>
      <c r="AW127" s="1344">
        <f t="shared" si="13"/>
        <v>44581</v>
      </c>
    </row>
    <row r="128" spans="1:49">
      <c r="A128" s="1077" t="s">
        <v>1457</v>
      </c>
      <c r="B128" s="1077" t="s">
        <v>1289</v>
      </c>
      <c r="C128" s="1077">
        <v>550</v>
      </c>
      <c r="D128" s="1077">
        <v>1.6850000000000001</v>
      </c>
      <c r="E128" s="1077" t="s">
        <v>15089</v>
      </c>
      <c r="F128" s="1077" t="s">
        <v>1318</v>
      </c>
      <c r="G128" s="1077" t="s">
        <v>940</v>
      </c>
      <c r="H128" s="1077" t="s">
        <v>1226</v>
      </c>
      <c r="I128" s="1077" t="s">
        <v>126</v>
      </c>
      <c r="J128" s="1077">
        <v>0.7</v>
      </c>
      <c r="K128" s="1077" t="s">
        <v>1428</v>
      </c>
      <c r="L128" s="1077" t="s">
        <v>1429</v>
      </c>
      <c r="M128" s="1077">
        <v>51</v>
      </c>
      <c r="N128" s="1077" t="s">
        <v>945</v>
      </c>
      <c r="O128" s="1077">
        <v>1.2750000000000001</v>
      </c>
      <c r="P128" s="1077">
        <v>1.02</v>
      </c>
      <c r="Q128" s="1077">
        <v>3.5</v>
      </c>
      <c r="R128" s="1077">
        <v>25</v>
      </c>
      <c r="T128" s="1077">
        <v>21</v>
      </c>
      <c r="U128" s="1077">
        <v>3.3</v>
      </c>
      <c r="V128" s="1077" t="s">
        <v>648</v>
      </c>
      <c r="W128" s="1077">
        <v>125</v>
      </c>
      <c r="X128" s="1077">
        <v>85</v>
      </c>
      <c r="Y128" s="1077">
        <v>1.8</v>
      </c>
      <c r="Z128" s="1077">
        <v>4</v>
      </c>
      <c r="AA128" s="1077" t="s">
        <v>1458</v>
      </c>
      <c r="AH128" s="1077" t="s">
        <v>680</v>
      </c>
      <c r="AM128" s="1078" t="s">
        <v>9309</v>
      </c>
      <c r="AN128" s="1078" t="s">
        <v>9310</v>
      </c>
      <c r="AO128" s="1078">
        <f t="shared" si="14"/>
        <v>550</v>
      </c>
      <c r="AP128" s="1078">
        <f t="shared" si="15"/>
        <v>1.6850000000000001</v>
      </c>
      <c r="AQ128" s="1078" t="str">
        <f t="shared" si="16"/>
        <v>1-4-1S83°</v>
      </c>
      <c r="AR128" s="1078" t="str">
        <f t="shared" si="17"/>
        <v>30.7</v>
      </c>
      <c r="AS128" s="1078" t="str">
        <f t="shared" si="18"/>
        <v>230/230/OFF</v>
      </c>
      <c r="AT128" s="1078" t="str">
        <f t="shared" si="19"/>
        <v>1-4-1S83°</v>
      </c>
      <c r="AV128" s="1078" t="str">
        <f t="shared" si="12"/>
        <v>111.1.22</v>
      </c>
      <c r="AW128" s="1344">
        <f t="shared" si="13"/>
        <v>44583</v>
      </c>
    </row>
    <row r="129" spans="1:49">
      <c r="A129" s="1077" t="s">
        <v>1459</v>
      </c>
      <c r="B129" s="1077" t="s">
        <v>1008</v>
      </c>
      <c r="C129" s="1077">
        <v>550</v>
      </c>
      <c r="D129" s="1077">
        <v>1.655</v>
      </c>
      <c r="E129" s="1077" t="s">
        <v>15095</v>
      </c>
      <c r="F129" s="1077" t="s">
        <v>975</v>
      </c>
      <c r="G129" s="1077">
        <v>3</v>
      </c>
      <c r="H129" s="1077" t="s">
        <v>1017</v>
      </c>
      <c r="I129" s="1077" t="s">
        <v>126</v>
      </c>
      <c r="J129" s="1077">
        <v>1.7</v>
      </c>
      <c r="K129" s="1077" t="s">
        <v>1460</v>
      </c>
      <c r="L129" s="1077" t="s">
        <v>1011</v>
      </c>
      <c r="M129" s="1077">
        <v>51.8</v>
      </c>
      <c r="N129" s="1077" t="s">
        <v>945</v>
      </c>
      <c r="O129" s="1077">
        <v>1.2949999999999999</v>
      </c>
      <c r="P129" s="1077">
        <v>1.036</v>
      </c>
      <c r="Q129" s="1077">
        <v>3</v>
      </c>
      <c r="R129" s="1077">
        <v>25</v>
      </c>
      <c r="T129" s="1077">
        <v>41.8</v>
      </c>
      <c r="U129" s="1077">
        <v>6</v>
      </c>
      <c r="V129" s="1077" t="s">
        <v>648</v>
      </c>
      <c r="W129" s="1077">
        <v>95</v>
      </c>
      <c r="X129" s="1077">
        <v>80</v>
      </c>
      <c r="Y129" s="1077">
        <v>2.2000000000000002</v>
      </c>
      <c r="Z129" s="1077">
        <v>4</v>
      </c>
      <c r="AA129" s="1077" t="s">
        <v>1461</v>
      </c>
      <c r="AH129" s="1077" t="s">
        <v>618</v>
      </c>
      <c r="AM129" s="1078" t="s">
        <v>9311</v>
      </c>
      <c r="AN129" s="1078" t="s">
        <v>9312</v>
      </c>
      <c r="AO129" s="1078">
        <f t="shared" si="14"/>
        <v>550</v>
      </c>
      <c r="AP129" s="1078">
        <f t="shared" si="15"/>
        <v>1.655</v>
      </c>
      <c r="AQ129" s="1078" t="str">
        <f t="shared" si="16"/>
        <v>1-5-1S83°</v>
      </c>
      <c r="AR129" s="1078" t="str">
        <f t="shared" si="17"/>
        <v>31.5</v>
      </c>
      <c r="AS129" s="1078" t="str">
        <f t="shared" si="18"/>
        <v>200/200/OFF</v>
      </c>
      <c r="AT129" s="1078" t="str">
        <f t="shared" si="19"/>
        <v>1-5-1S83°</v>
      </c>
      <c r="AV129" s="1078" t="str">
        <f t="shared" si="12"/>
        <v>111.2.14</v>
      </c>
      <c r="AW129" s="1344">
        <f t="shared" si="13"/>
        <v>44606</v>
      </c>
    </row>
    <row r="130" spans="1:49">
      <c r="A130" s="1077" t="s">
        <v>1462</v>
      </c>
      <c r="B130" s="1077" t="s">
        <v>1463</v>
      </c>
      <c r="C130" s="1077">
        <v>650</v>
      </c>
      <c r="D130" s="1077">
        <v>1.66</v>
      </c>
      <c r="E130" s="1077" t="s">
        <v>15091</v>
      </c>
      <c r="F130" s="1077" t="s">
        <v>1119</v>
      </c>
      <c r="G130" s="1077">
        <v>2</v>
      </c>
      <c r="H130" s="1077" t="s">
        <v>1464</v>
      </c>
      <c r="I130" s="1077" t="s">
        <v>942</v>
      </c>
      <c r="J130" s="1077">
        <v>1</v>
      </c>
      <c r="K130" s="1077" t="s">
        <v>1465</v>
      </c>
      <c r="L130" s="1077" t="s">
        <v>1466</v>
      </c>
      <c r="M130" s="1077">
        <v>51.5</v>
      </c>
      <c r="N130" s="1077" t="s">
        <v>945</v>
      </c>
      <c r="O130" s="1077">
        <v>1.2875000000000001</v>
      </c>
      <c r="P130" s="1077">
        <v>1.03</v>
      </c>
      <c r="Q130" s="1077">
        <v>4</v>
      </c>
      <c r="R130" s="1077">
        <v>24</v>
      </c>
      <c r="T130" s="1077">
        <v>21.2</v>
      </c>
      <c r="U130" s="1077">
        <v>3.6</v>
      </c>
      <c r="V130" s="1077" t="s">
        <v>648</v>
      </c>
      <c r="W130" s="1077">
        <v>150</v>
      </c>
      <c r="X130" s="1077">
        <v>80</v>
      </c>
      <c r="Y130" s="1077">
        <v>2</v>
      </c>
      <c r="Z130" s="1077">
        <v>4</v>
      </c>
      <c r="AA130" s="1077" t="s">
        <v>1467</v>
      </c>
      <c r="AH130" s="1077" t="s">
        <v>783</v>
      </c>
      <c r="AM130" s="1078" t="s">
        <v>9313</v>
      </c>
      <c r="AN130" s="1078" t="s">
        <v>9314</v>
      </c>
      <c r="AO130" s="1078">
        <f t="shared" si="14"/>
        <v>650</v>
      </c>
      <c r="AP130" s="1078">
        <f t="shared" si="15"/>
        <v>1.66</v>
      </c>
      <c r="AQ130" s="1078" t="str">
        <f t="shared" si="16"/>
        <v>2-5-1S83°</v>
      </c>
      <c r="AR130" s="1078" t="str">
        <f t="shared" si="17"/>
        <v>29</v>
      </c>
      <c r="AS130" s="1078" t="str">
        <f t="shared" si="18"/>
        <v>158/OFF</v>
      </c>
      <c r="AT130" s="1078" t="str">
        <f t="shared" si="19"/>
        <v>2-5-1S83°</v>
      </c>
      <c r="AV130" s="1078" t="str">
        <f t="shared" ref="AV130:AV193" si="20">AA130</f>
        <v>111.3.1</v>
      </c>
      <c r="AW130" s="1344">
        <f t="shared" si="13"/>
        <v>44621</v>
      </c>
    </row>
    <row r="131" spans="1:49">
      <c r="A131" s="1077" t="s">
        <v>1468</v>
      </c>
      <c r="B131" s="1077" t="s">
        <v>1463</v>
      </c>
      <c r="C131" s="1077">
        <v>650</v>
      </c>
      <c r="D131" s="1077">
        <v>1.65</v>
      </c>
      <c r="E131" s="1077" t="s">
        <v>15091</v>
      </c>
      <c r="F131" s="1077" t="s">
        <v>1469</v>
      </c>
      <c r="G131" s="1077">
        <v>2</v>
      </c>
      <c r="H131" s="1077" t="s">
        <v>1470</v>
      </c>
      <c r="I131" s="1077" t="s">
        <v>942</v>
      </c>
      <c r="J131" s="1077">
        <v>1</v>
      </c>
      <c r="K131" s="1077" t="s">
        <v>1471</v>
      </c>
      <c r="L131" s="1077" t="s">
        <v>1466</v>
      </c>
      <c r="M131" s="1077">
        <v>51.5</v>
      </c>
      <c r="N131" s="1077" t="s">
        <v>945</v>
      </c>
      <c r="O131" s="1077">
        <v>1.2875000000000001</v>
      </c>
      <c r="P131" s="1077">
        <v>1.03</v>
      </c>
      <c r="Q131" s="1077">
        <v>4</v>
      </c>
      <c r="R131" s="1077">
        <v>24</v>
      </c>
      <c r="T131" s="1077">
        <v>21.2</v>
      </c>
      <c r="U131" s="1077">
        <v>3.6</v>
      </c>
      <c r="V131" s="1077" t="s">
        <v>648</v>
      </c>
      <c r="W131" s="1077">
        <v>150</v>
      </c>
      <c r="X131" s="1077">
        <v>80</v>
      </c>
      <c r="Y131" s="1077">
        <v>2</v>
      </c>
      <c r="Z131" s="1077">
        <v>4</v>
      </c>
      <c r="AA131" s="1077" t="s">
        <v>1472</v>
      </c>
      <c r="AH131" s="1077" t="s">
        <v>853</v>
      </c>
      <c r="AM131" s="1078" t="s">
        <v>9315</v>
      </c>
      <c r="AN131" s="1078" t="s">
        <v>9316</v>
      </c>
      <c r="AO131" s="1078">
        <f t="shared" si="14"/>
        <v>650</v>
      </c>
      <c r="AP131" s="1078">
        <f t="shared" si="15"/>
        <v>1.65</v>
      </c>
      <c r="AQ131" s="1078" t="str">
        <f t="shared" si="16"/>
        <v>2-5-1S83°</v>
      </c>
      <c r="AR131" s="1078" t="str">
        <f t="shared" si="17"/>
        <v>30.5</v>
      </c>
      <c r="AS131" s="1078" t="str">
        <f t="shared" si="18"/>
        <v>160/OFF</v>
      </c>
      <c r="AT131" s="1078" t="str">
        <f t="shared" si="19"/>
        <v>2-5-1S83°</v>
      </c>
      <c r="AV131" s="1078" t="str">
        <f t="shared" si="20"/>
        <v>111.3.17</v>
      </c>
      <c r="AW131" s="1344">
        <f t="shared" ref="AW131:AW194" si="21">DATE(VALUE(LEFT(AV131,FIND(".",AV131)-1))+1911,
       VALUE(MID(AV131,FIND(".",AV131)+1,FIND(".",AV131,FIND(".",AV131)+1)-FIND(".",AV131)-1)),
       VALUE(RIGHT(AV131,LEN(AV131)-FIND("~",SUBSTITUTE(AV131,".","~",2)))))</f>
        <v>44637</v>
      </c>
    </row>
    <row r="132" spans="1:49">
      <c r="A132" s="1077" t="s">
        <v>1473</v>
      </c>
      <c r="B132" s="1077" t="s">
        <v>1133</v>
      </c>
      <c r="C132" s="1077">
        <v>650</v>
      </c>
      <c r="D132" s="1077">
        <v>1.71</v>
      </c>
      <c r="E132" s="1077" t="s">
        <v>15089</v>
      </c>
      <c r="F132" s="1077" t="s">
        <v>954</v>
      </c>
      <c r="G132" s="1077" t="s">
        <v>1001</v>
      </c>
      <c r="H132" s="1077" t="s">
        <v>1077</v>
      </c>
      <c r="I132" s="1077" t="s">
        <v>126</v>
      </c>
      <c r="J132" s="1077">
        <v>1.2</v>
      </c>
      <c r="K132" s="1077" t="s">
        <v>1431</v>
      </c>
      <c r="L132" s="1077" t="s">
        <v>1135</v>
      </c>
      <c r="M132" s="1077">
        <v>49.5</v>
      </c>
      <c r="N132" s="1077" t="s">
        <v>945</v>
      </c>
      <c r="O132" s="1077">
        <v>1.2375</v>
      </c>
      <c r="P132" s="1077">
        <v>0.99</v>
      </c>
      <c r="Q132" s="1077">
        <v>4</v>
      </c>
      <c r="R132" s="1077">
        <v>24</v>
      </c>
      <c r="T132" s="1077">
        <v>28</v>
      </c>
      <c r="U132" s="1077">
        <v>3.4</v>
      </c>
      <c r="V132" s="1077" t="s">
        <v>648</v>
      </c>
      <c r="W132" s="1077">
        <v>115</v>
      </c>
      <c r="X132" s="1077">
        <v>85</v>
      </c>
      <c r="Y132" s="1077">
        <v>2.5</v>
      </c>
      <c r="Z132" s="1077">
        <v>4.5</v>
      </c>
      <c r="AA132" s="1077" t="s">
        <v>1474</v>
      </c>
      <c r="AH132" s="1077" t="s">
        <v>803</v>
      </c>
      <c r="AM132" s="1078" t="s">
        <v>9317</v>
      </c>
      <c r="AN132" s="1078" t="s">
        <v>9318</v>
      </c>
      <c r="AO132" s="1078">
        <f t="shared" si="14"/>
        <v>650</v>
      </c>
      <c r="AP132" s="1078">
        <f t="shared" si="15"/>
        <v>1.71</v>
      </c>
      <c r="AQ132" s="1078" t="str">
        <f t="shared" si="16"/>
        <v>1-4-1S83°</v>
      </c>
      <c r="AR132" s="1078" t="str">
        <f t="shared" si="17"/>
        <v>31</v>
      </c>
      <c r="AS132" s="1078" t="str">
        <f t="shared" si="18"/>
        <v>245/245/OFF</v>
      </c>
      <c r="AT132" s="1078" t="str">
        <f t="shared" si="19"/>
        <v>1-4-1S83°</v>
      </c>
      <c r="AV132" s="1078" t="str">
        <f t="shared" si="20"/>
        <v>111.4.1</v>
      </c>
      <c r="AW132" s="1344">
        <f t="shared" si="21"/>
        <v>44652</v>
      </c>
    </row>
    <row r="133" spans="1:49">
      <c r="A133" s="1077" t="s">
        <v>1475</v>
      </c>
      <c r="B133" s="1077" t="s">
        <v>1289</v>
      </c>
      <c r="C133" s="1077">
        <v>550</v>
      </c>
      <c r="D133" s="1077">
        <v>1.65</v>
      </c>
      <c r="E133" s="1077" t="s">
        <v>15089</v>
      </c>
      <c r="F133" s="1077" t="s">
        <v>1318</v>
      </c>
      <c r="G133" s="1077" t="s">
        <v>940</v>
      </c>
      <c r="H133" s="1077" t="s">
        <v>1226</v>
      </c>
      <c r="I133" s="1077" t="s">
        <v>126</v>
      </c>
      <c r="J133" s="1077">
        <v>0.7</v>
      </c>
      <c r="K133" s="1077" t="s">
        <v>1476</v>
      </c>
      <c r="L133" s="1077" t="s">
        <v>1036</v>
      </c>
      <c r="M133" s="1077">
        <v>51</v>
      </c>
      <c r="N133" s="1077" t="s">
        <v>945</v>
      </c>
      <c r="O133" s="1077">
        <v>1.2750000000000001</v>
      </c>
      <c r="P133" s="1077">
        <v>1.02</v>
      </c>
      <c r="Q133" s="1077">
        <v>3.5</v>
      </c>
      <c r="R133" s="1077">
        <v>25</v>
      </c>
      <c r="T133" s="1077">
        <v>21</v>
      </c>
      <c r="U133" s="1077">
        <v>3.3</v>
      </c>
      <c r="V133" s="1077" t="s">
        <v>648</v>
      </c>
      <c r="W133" s="1077">
        <v>125</v>
      </c>
      <c r="X133" s="1077">
        <v>85</v>
      </c>
      <c r="Y133" s="1077">
        <v>1.8</v>
      </c>
      <c r="Z133" s="1077">
        <v>4</v>
      </c>
      <c r="AA133" s="1077" t="s">
        <v>1477</v>
      </c>
      <c r="AH133" s="1077" t="s">
        <v>762</v>
      </c>
      <c r="AM133" s="1078" t="s">
        <v>9319</v>
      </c>
      <c r="AN133" s="1078" t="s">
        <v>9320</v>
      </c>
      <c r="AO133" s="1078">
        <f t="shared" si="14"/>
        <v>550</v>
      </c>
      <c r="AP133" s="1078">
        <f t="shared" si="15"/>
        <v>1.65</v>
      </c>
      <c r="AQ133" s="1078" t="str">
        <f t="shared" si="16"/>
        <v>1-4-1S83°</v>
      </c>
      <c r="AR133" s="1078" t="str">
        <f t="shared" si="17"/>
        <v>30.7</v>
      </c>
      <c r="AS133" s="1078" t="str">
        <f t="shared" si="18"/>
        <v>230/230/OFF</v>
      </c>
      <c r="AT133" s="1078" t="str">
        <f t="shared" si="19"/>
        <v>1-4-1S83°</v>
      </c>
      <c r="AV133" s="1078" t="str">
        <f t="shared" si="20"/>
        <v>111.4.8</v>
      </c>
      <c r="AW133" s="1344">
        <f t="shared" si="21"/>
        <v>44659</v>
      </c>
    </row>
    <row r="134" spans="1:49">
      <c r="A134" s="1077" t="s">
        <v>1478</v>
      </c>
      <c r="B134" s="1077" t="s">
        <v>1353</v>
      </c>
      <c r="C134" s="1077">
        <v>500</v>
      </c>
      <c r="D134" s="1077">
        <v>1.61</v>
      </c>
      <c r="E134" s="1077" t="s">
        <v>15095</v>
      </c>
      <c r="F134" s="1077" t="s">
        <v>984</v>
      </c>
      <c r="G134" s="1077" t="s">
        <v>1016</v>
      </c>
      <c r="H134" s="1077" t="s">
        <v>1479</v>
      </c>
      <c r="I134" s="1077" t="s">
        <v>942</v>
      </c>
      <c r="J134" s="1077">
        <v>1</v>
      </c>
      <c r="K134" s="1077" t="s">
        <v>1480</v>
      </c>
      <c r="L134" s="1077" t="s">
        <v>850</v>
      </c>
      <c r="M134" s="1077">
        <v>51.5</v>
      </c>
      <c r="N134" s="1077" t="s">
        <v>945</v>
      </c>
      <c r="O134" s="1077">
        <v>1.2875000000000001</v>
      </c>
      <c r="P134" s="1077">
        <v>1.03</v>
      </c>
      <c r="Q134" s="1077">
        <v>3</v>
      </c>
      <c r="R134" s="1077">
        <v>26.5</v>
      </c>
      <c r="T134" s="1077">
        <v>4.7</v>
      </c>
      <c r="U134" s="1077">
        <v>6.5</v>
      </c>
      <c r="V134" s="1077" t="s">
        <v>648</v>
      </c>
      <c r="W134" s="1077">
        <v>165</v>
      </c>
      <c r="X134" s="1077">
        <v>85</v>
      </c>
      <c r="Y134" s="1077">
        <v>2.2000000000000002</v>
      </c>
      <c r="Z134" s="1077">
        <v>1</v>
      </c>
      <c r="AA134" s="1077" t="s">
        <v>1481</v>
      </c>
      <c r="AH134" s="1077" t="s">
        <v>1482</v>
      </c>
      <c r="AM134" s="1078" t="s">
        <v>9321</v>
      </c>
      <c r="AN134" s="1078" t="s">
        <v>9322</v>
      </c>
      <c r="AO134" s="1078">
        <f t="shared" si="14"/>
        <v>500</v>
      </c>
      <c r="AP134" s="1078">
        <f t="shared" si="15"/>
        <v>1.61</v>
      </c>
      <c r="AQ134" s="1078" t="str">
        <f t="shared" si="16"/>
        <v>1-5-1S83°</v>
      </c>
      <c r="AR134" s="1078" t="str">
        <f t="shared" si="17"/>
        <v>30</v>
      </c>
      <c r="AS134" s="1078" t="str">
        <f t="shared" si="18"/>
        <v>165/165/130</v>
      </c>
      <c r="AT134" s="1078" t="str">
        <f t="shared" si="19"/>
        <v>1-5-1S83°</v>
      </c>
      <c r="AV134" s="1078" t="str">
        <f t="shared" si="20"/>
        <v>111.4.22</v>
      </c>
      <c r="AW134" s="1344">
        <f t="shared" si="21"/>
        <v>44673</v>
      </c>
    </row>
    <row r="135" spans="1:49">
      <c r="A135" s="1077" t="s">
        <v>1483</v>
      </c>
      <c r="B135" s="1077" t="s">
        <v>1154</v>
      </c>
      <c r="C135" s="1077">
        <v>550</v>
      </c>
      <c r="D135" s="1077">
        <v>1.74</v>
      </c>
      <c r="E135" s="1077" t="s">
        <v>15091</v>
      </c>
      <c r="F135" s="1077" t="s">
        <v>1469</v>
      </c>
      <c r="G135" s="1077" t="s">
        <v>940</v>
      </c>
      <c r="H135" s="1077" t="s">
        <v>1484</v>
      </c>
      <c r="I135" s="1077" t="s">
        <v>1112</v>
      </c>
      <c r="J135" s="1077">
        <v>0.9</v>
      </c>
      <c r="K135" s="1077" t="s">
        <v>1411</v>
      </c>
      <c r="L135" s="1077" t="s">
        <v>1157</v>
      </c>
      <c r="M135" s="1077">
        <v>49.5</v>
      </c>
      <c r="N135" s="1077" t="s">
        <v>945</v>
      </c>
      <c r="O135" s="1077">
        <v>1.2375</v>
      </c>
      <c r="P135" s="1077">
        <v>0.99</v>
      </c>
      <c r="Q135" s="1077">
        <v>4</v>
      </c>
      <c r="R135" s="1077">
        <v>23</v>
      </c>
      <c r="T135" s="1077">
        <v>31</v>
      </c>
      <c r="U135" s="1077">
        <v>3.3</v>
      </c>
      <c r="V135" s="1077" t="s">
        <v>648</v>
      </c>
      <c r="W135" s="1077">
        <v>110</v>
      </c>
      <c r="X135" s="1077">
        <v>70</v>
      </c>
      <c r="Y135" s="1077">
        <v>2.7</v>
      </c>
      <c r="Z135" s="1077">
        <v>4.5</v>
      </c>
      <c r="AA135" s="1077" t="s">
        <v>1485</v>
      </c>
      <c r="AH135" s="1077" t="s">
        <v>1486</v>
      </c>
      <c r="AM135" s="1078" t="s">
        <v>9323</v>
      </c>
      <c r="AN135" s="1078" t="s">
        <v>9324</v>
      </c>
      <c r="AO135" s="1078">
        <f t="shared" si="14"/>
        <v>550</v>
      </c>
      <c r="AP135" s="1078">
        <f t="shared" si="15"/>
        <v>1.74</v>
      </c>
      <c r="AQ135" s="1078" t="str">
        <f t="shared" si="16"/>
        <v>2-5-1S83°</v>
      </c>
      <c r="AR135" s="1078" t="str">
        <f t="shared" si="17"/>
        <v>30.5</v>
      </c>
      <c r="AS135" s="1078" t="str">
        <f t="shared" si="18"/>
        <v>165/OFF</v>
      </c>
      <c r="AT135" s="1078" t="str">
        <f t="shared" si="19"/>
        <v>2-5-1S83°</v>
      </c>
      <c r="AV135" s="1078" t="str">
        <f t="shared" si="20"/>
        <v>111.4.20</v>
      </c>
      <c r="AW135" s="1344">
        <f t="shared" si="21"/>
        <v>44671</v>
      </c>
    </row>
    <row r="136" spans="1:49">
      <c r="A136" s="1077" t="s">
        <v>1487</v>
      </c>
      <c r="B136" s="1077" t="s">
        <v>983</v>
      </c>
      <c r="C136" s="1077">
        <v>600</v>
      </c>
      <c r="D136" s="1077">
        <v>1.7</v>
      </c>
      <c r="E136" s="1077" t="s">
        <v>15091</v>
      </c>
      <c r="F136" s="1077" t="s">
        <v>954</v>
      </c>
      <c r="G136" s="1077" t="s">
        <v>940</v>
      </c>
      <c r="H136" s="1077" t="s">
        <v>1072</v>
      </c>
      <c r="I136" s="1077" t="s">
        <v>1073</v>
      </c>
      <c r="J136" s="1077">
        <v>1</v>
      </c>
      <c r="K136" s="1077" t="s">
        <v>1488</v>
      </c>
      <c r="L136" s="1077" t="s">
        <v>987</v>
      </c>
      <c r="M136" s="1077">
        <v>51.5</v>
      </c>
      <c r="N136" s="1077" t="s">
        <v>945</v>
      </c>
      <c r="O136" s="1077">
        <v>1.2875000000000001</v>
      </c>
      <c r="P136" s="1077">
        <v>1.03</v>
      </c>
      <c r="Q136" s="1077">
        <v>4</v>
      </c>
      <c r="R136" s="1077">
        <v>24.5</v>
      </c>
      <c r="T136" s="1077">
        <v>18</v>
      </c>
      <c r="U136" s="1077">
        <v>3.6</v>
      </c>
      <c r="V136" s="1077" t="s">
        <v>648</v>
      </c>
      <c r="W136" s="1077">
        <v>160</v>
      </c>
      <c r="X136" s="1077">
        <v>85</v>
      </c>
      <c r="Y136" s="1077">
        <v>2.2000000000000002</v>
      </c>
      <c r="Z136" s="1077">
        <v>4</v>
      </c>
      <c r="AA136" s="1077" t="s">
        <v>1489</v>
      </c>
      <c r="AH136" s="1077" t="s">
        <v>783</v>
      </c>
      <c r="AM136" s="1078" t="s">
        <v>9325</v>
      </c>
      <c r="AN136" s="1078" t="s">
        <v>9326</v>
      </c>
      <c r="AO136" s="1078">
        <f t="shared" si="14"/>
        <v>600</v>
      </c>
      <c r="AP136" s="1078">
        <f t="shared" si="15"/>
        <v>1.7</v>
      </c>
      <c r="AQ136" s="1078" t="str">
        <f t="shared" si="16"/>
        <v>2-5-1S83°</v>
      </c>
      <c r="AR136" s="1078" t="str">
        <f t="shared" si="17"/>
        <v>31</v>
      </c>
      <c r="AS136" s="1078" t="str">
        <f t="shared" si="18"/>
        <v>168/OFF</v>
      </c>
      <c r="AT136" s="1078" t="str">
        <f t="shared" si="19"/>
        <v>2-5-1S83°</v>
      </c>
      <c r="AV136" s="1078" t="str">
        <f t="shared" si="20"/>
        <v>111.5.4</v>
      </c>
      <c r="AW136" s="1344">
        <f t="shared" si="21"/>
        <v>44685</v>
      </c>
    </row>
    <row r="137" spans="1:49">
      <c r="A137" s="1077" t="s">
        <v>1490</v>
      </c>
      <c r="B137" s="1077" t="s">
        <v>1008</v>
      </c>
      <c r="C137" s="1077">
        <v>550</v>
      </c>
      <c r="D137" s="1077">
        <v>1.655</v>
      </c>
      <c r="E137" s="1077" t="s">
        <v>15095</v>
      </c>
      <c r="F137" s="1077" t="s">
        <v>975</v>
      </c>
      <c r="G137" s="1077">
        <v>3</v>
      </c>
      <c r="H137" s="1077" t="s">
        <v>1017</v>
      </c>
      <c r="I137" s="1077" t="s">
        <v>126</v>
      </c>
      <c r="J137" s="1077">
        <v>1.7</v>
      </c>
      <c r="K137" s="1077" t="s">
        <v>1491</v>
      </c>
      <c r="L137" s="1077" t="s">
        <v>1011</v>
      </c>
      <c r="M137" s="1077">
        <v>51.8</v>
      </c>
      <c r="N137" s="1077" t="s">
        <v>945</v>
      </c>
      <c r="O137" s="1077">
        <v>1.2949999999999999</v>
      </c>
      <c r="P137" s="1077">
        <v>1.036</v>
      </c>
      <c r="Q137" s="1077">
        <v>3</v>
      </c>
      <c r="R137" s="1077">
        <v>25</v>
      </c>
      <c r="T137" s="1077">
        <v>41.8</v>
      </c>
      <c r="U137" s="1077">
        <v>6</v>
      </c>
      <c r="V137" s="1077" t="s">
        <v>648</v>
      </c>
      <c r="W137" s="1077">
        <v>95</v>
      </c>
      <c r="X137" s="1077">
        <v>80</v>
      </c>
      <c r="Y137" s="1077">
        <v>2.2000000000000002</v>
      </c>
      <c r="Z137" s="1077">
        <v>4</v>
      </c>
      <c r="AA137" s="1077" t="s">
        <v>1492</v>
      </c>
      <c r="AH137" s="1077" t="s">
        <v>994</v>
      </c>
      <c r="AM137" s="1078" t="s">
        <v>9327</v>
      </c>
      <c r="AN137" s="1078" t="s">
        <v>9328</v>
      </c>
      <c r="AO137" s="1078">
        <f t="shared" si="14"/>
        <v>550</v>
      </c>
      <c r="AP137" s="1078">
        <f t="shared" si="15"/>
        <v>1.655</v>
      </c>
      <c r="AQ137" s="1078" t="str">
        <f t="shared" si="16"/>
        <v>1-5-1S83°</v>
      </c>
      <c r="AR137" s="1078" t="str">
        <f t="shared" si="17"/>
        <v>31.5</v>
      </c>
      <c r="AS137" s="1078" t="str">
        <f t="shared" si="18"/>
        <v>200/200/OFF</v>
      </c>
      <c r="AT137" s="1078" t="str">
        <f t="shared" si="19"/>
        <v>1-5-1S83°</v>
      </c>
      <c r="AV137" s="1078" t="str">
        <f t="shared" si="20"/>
        <v>111.5.3</v>
      </c>
      <c r="AW137" s="1344">
        <f t="shared" si="21"/>
        <v>44684</v>
      </c>
    </row>
    <row r="138" spans="1:49">
      <c r="A138" s="1077" t="s">
        <v>1493</v>
      </c>
      <c r="B138" s="1077" t="s">
        <v>1394</v>
      </c>
      <c r="C138" s="1077">
        <v>650</v>
      </c>
      <c r="D138" s="1077">
        <v>1.7</v>
      </c>
      <c r="E138" s="1077" t="s">
        <v>15089</v>
      </c>
      <c r="F138" s="1077" t="s">
        <v>984</v>
      </c>
      <c r="G138" s="1077" t="s">
        <v>940</v>
      </c>
      <c r="H138" s="1077" t="s">
        <v>1395</v>
      </c>
      <c r="I138" s="1077" t="s">
        <v>126</v>
      </c>
      <c r="J138" s="1077">
        <v>0.3</v>
      </c>
      <c r="K138" s="1077" t="s">
        <v>1488</v>
      </c>
      <c r="L138" s="1077" t="s">
        <v>987</v>
      </c>
      <c r="M138" s="1077">
        <v>50.5</v>
      </c>
      <c r="N138" s="1077" t="s">
        <v>945</v>
      </c>
      <c r="O138" s="1077">
        <v>1.2625000000000002</v>
      </c>
      <c r="P138" s="1077">
        <v>1.01</v>
      </c>
      <c r="Q138" s="1077">
        <v>4</v>
      </c>
      <c r="R138" s="1077">
        <v>24.5</v>
      </c>
      <c r="T138" s="1077">
        <v>27.9</v>
      </c>
      <c r="U138" s="1077">
        <v>3.6</v>
      </c>
      <c r="V138" s="1077" t="s">
        <v>648</v>
      </c>
      <c r="W138" s="1077">
        <v>40</v>
      </c>
      <c r="X138" s="1077">
        <v>10</v>
      </c>
      <c r="Y138" s="1077">
        <v>2.2000000000000002</v>
      </c>
      <c r="Z138" s="1077">
        <v>3.5</v>
      </c>
      <c r="AA138" s="1077" t="s">
        <v>1494</v>
      </c>
      <c r="AH138" s="1077" t="s">
        <v>619</v>
      </c>
      <c r="AM138" s="1078" t="s">
        <v>9329</v>
      </c>
      <c r="AN138" s="1078" t="s">
        <v>9330</v>
      </c>
      <c r="AO138" s="1078">
        <f t="shared" si="14"/>
        <v>650</v>
      </c>
      <c r="AP138" s="1078">
        <f t="shared" si="15"/>
        <v>1.7</v>
      </c>
      <c r="AQ138" s="1078" t="str">
        <f t="shared" si="16"/>
        <v>1-4-1S83°</v>
      </c>
      <c r="AR138" s="1078" t="str">
        <f t="shared" si="17"/>
        <v>30</v>
      </c>
      <c r="AS138" s="1078" t="str">
        <f t="shared" si="18"/>
        <v>252/252/OFF</v>
      </c>
      <c r="AT138" s="1078" t="str">
        <f t="shared" si="19"/>
        <v>1-4-1S83°</v>
      </c>
      <c r="AV138" s="1078" t="str">
        <f t="shared" si="20"/>
        <v>111.5.13</v>
      </c>
      <c r="AW138" s="1344">
        <f t="shared" si="21"/>
        <v>44694</v>
      </c>
    </row>
    <row r="139" spans="1:49">
      <c r="A139" s="1077" t="s">
        <v>1495</v>
      </c>
      <c r="B139" s="1077" t="s">
        <v>1463</v>
      </c>
      <c r="C139" s="1077">
        <v>650</v>
      </c>
      <c r="D139" s="1077">
        <v>1.65</v>
      </c>
      <c r="E139" s="1077" t="s">
        <v>15091</v>
      </c>
      <c r="F139" s="1077" t="s">
        <v>1469</v>
      </c>
      <c r="G139" s="1077">
        <v>2</v>
      </c>
      <c r="H139" s="1077" t="s">
        <v>1263</v>
      </c>
      <c r="I139" s="1077" t="s">
        <v>942</v>
      </c>
      <c r="J139" s="1077">
        <v>1</v>
      </c>
      <c r="K139" s="1077" t="s">
        <v>1496</v>
      </c>
      <c r="L139" s="1077" t="s">
        <v>1466</v>
      </c>
      <c r="M139" s="1077">
        <v>51.5</v>
      </c>
      <c r="N139" s="1077" t="s">
        <v>945</v>
      </c>
      <c r="O139" s="1077">
        <v>1.2875000000000001</v>
      </c>
      <c r="P139" s="1077">
        <v>1.03</v>
      </c>
      <c r="Q139" s="1077">
        <v>4</v>
      </c>
      <c r="R139" s="1077">
        <v>24</v>
      </c>
      <c r="T139" s="1077">
        <v>21.2</v>
      </c>
      <c r="U139" s="1077">
        <v>3.6</v>
      </c>
      <c r="V139" s="1077" t="s">
        <v>648</v>
      </c>
      <c r="W139" s="1077">
        <v>150</v>
      </c>
      <c r="X139" s="1077">
        <v>80</v>
      </c>
      <c r="Y139" s="1077">
        <v>2</v>
      </c>
      <c r="Z139" s="1077">
        <v>4</v>
      </c>
      <c r="AA139" s="1077" t="s">
        <v>1497</v>
      </c>
      <c r="AH139" s="1077" t="s">
        <v>1178</v>
      </c>
      <c r="AM139" s="1078" t="s">
        <v>9331</v>
      </c>
      <c r="AN139" s="1078" t="s">
        <v>9332</v>
      </c>
      <c r="AO139" s="1078">
        <f t="shared" ref="AO139:AO202" si="22">C139</f>
        <v>650</v>
      </c>
      <c r="AP139" s="1078">
        <f t="shared" ref="AP139:AP202" si="23">D139</f>
        <v>1.65</v>
      </c>
      <c r="AQ139" s="1078" t="str">
        <f t="shared" ref="AQ139:AQ202" si="24">E139</f>
        <v>2-5-1S83°</v>
      </c>
      <c r="AR139" s="1078" t="str">
        <f t="shared" ref="AR139:AR202" si="25">F139</f>
        <v>30.5</v>
      </c>
      <c r="AS139" s="1078" t="str">
        <f t="shared" ref="AS139:AS202" si="26">H139</f>
        <v>163/OFF</v>
      </c>
      <c r="AT139" s="1078" t="str">
        <f t="shared" ref="AT139:AT202" si="27">E139</f>
        <v>2-5-1S83°</v>
      </c>
      <c r="AV139" s="1078" t="str">
        <f t="shared" si="20"/>
        <v>111.5.31</v>
      </c>
      <c r="AW139" s="1344">
        <f t="shared" si="21"/>
        <v>44712</v>
      </c>
    </row>
    <row r="140" spans="1:49">
      <c r="A140" s="1077" t="s">
        <v>1498</v>
      </c>
      <c r="B140" s="1077" t="s">
        <v>1008</v>
      </c>
      <c r="C140" s="1077">
        <v>550</v>
      </c>
      <c r="D140" s="1077">
        <v>1.655</v>
      </c>
      <c r="E140" s="1077" t="s">
        <v>15095</v>
      </c>
      <c r="F140" s="1077" t="s">
        <v>975</v>
      </c>
      <c r="G140" s="1077">
        <v>3</v>
      </c>
      <c r="H140" s="1077" t="s">
        <v>1017</v>
      </c>
      <c r="I140" s="1077" t="s">
        <v>126</v>
      </c>
      <c r="J140" s="1077">
        <v>1.7</v>
      </c>
      <c r="K140" s="1077" t="s">
        <v>1460</v>
      </c>
      <c r="L140" s="1077" t="s">
        <v>1011</v>
      </c>
      <c r="M140" s="1077">
        <v>51.8</v>
      </c>
      <c r="N140" s="1077" t="s">
        <v>945</v>
      </c>
      <c r="O140" s="1077">
        <v>1.2949999999999999</v>
      </c>
      <c r="P140" s="1077">
        <v>1.036</v>
      </c>
      <c r="Q140" s="1077">
        <v>3</v>
      </c>
      <c r="R140" s="1077">
        <v>25</v>
      </c>
      <c r="T140" s="1077">
        <v>41.8</v>
      </c>
      <c r="U140" s="1077">
        <v>6</v>
      </c>
      <c r="V140" s="1077" t="s">
        <v>648</v>
      </c>
      <c r="W140" s="1077">
        <v>95</v>
      </c>
      <c r="X140" s="1077">
        <v>80</v>
      </c>
      <c r="Y140" s="1077">
        <v>2.2000000000000002</v>
      </c>
      <c r="Z140" s="1077">
        <v>4</v>
      </c>
      <c r="AA140" s="1077" t="s">
        <v>1499</v>
      </c>
      <c r="AH140" s="1077" t="s">
        <v>878</v>
      </c>
      <c r="AM140" s="1078" t="s">
        <v>9333</v>
      </c>
      <c r="AN140" s="1078" t="s">
        <v>9334</v>
      </c>
      <c r="AO140" s="1078">
        <f t="shared" si="22"/>
        <v>550</v>
      </c>
      <c r="AP140" s="1078">
        <f t="shared" si="23"/>
        <v>1.655</v>
      </c>
      <c r="AQ140" s="1078" t="str">
        <f t="shared" si="24"/>
        <v>1-5-1S83°</v>
      </c>
      <c r="AR140" s="1078" t="str">
        <f t="shared" si="25"/>
        <v>31.5</v>
      </c>
      <c r="AS140" s="1078" t="str">
        <f t="shared" si="26"/>
        <v>200/200/OFF</v>
      </c>
      <c r="AT140" s="1078" t="str">
        <f t="shared" si="27"/>
        <v>1-5-1S83°</v>
      </c>
      <c r="AV140" s="1078" t="str">
        <f t="shared" si="20"/>
        <v>111.5.25</v>
      </c>
      <c r="AW140" s="1344">
        <f t="shared" si="21"/>
        <v>44706</v>
      </c>
    </row>
    <row r="141" spans="1:49">
      <c r="A141" s="1077" t="s">
        <v>1500</v>
      </c>
      <c r="B141" s="1077" t="s">
        <v>1463</v>
      </c>
      <c r="C141" s="1077">
        <v>650</v>
      </c>
      <c r="D141" s="1077">
        <v>1.65</v>
      </c>
      <c r="E141" s="1077" t="s">
        <v>15091</v>
      </c>
      <c r="F141" s="1077" t="s">
        <v>1501</v>
      </c>
      <c r="G141" s="1077">
        <v>2</v>
      </c>
      <c r="H141" s="1077" t="s">
        <v>1502</v>
      </c>
      <c r="I141" s="1077" t="s">
        <v>1167</v>
      </c>
      <c r="J141" s="1077">
        <v>1.6</v>
      </c>
      <c r="K141" s="1077" t="s">
        <v>1496</v>
      </c>
      <c r="L141" s="1077" t="s">
        <v>1466</v>
      </c>
      <c r="M141" s="1077">
        <v>50.5</v>
      </c>
      <c r="N141" s="1077" t="s">
        <v>945</v>
      </c>
      <c r="O141" s="1077">
        <v>1.2625000000000002</v>
      </c>
      <c r="P141" s="1077">
        <v>1.01</v>
      </c>
      <c r="Q141" s="1077">
        <v>4</v>
      </c>
      <c r="R141" s="1077">
        <v>24</v>
      </c>
      <c r="T141" s="1077">
        <v>15</v>
      </c>
      <c r="U141" s="1077">
        <v>3.4</v>
      </c>
      <c r="V141" s="1077" t="s">
        <v>648</v>
      </c>
      <c r="W141" s="1077">
        <v>120</v>
      </c>
      <c r="X141" s="1077">
        <v>90</v>
      </c>
      <c r="Y141" s="1077">
        <v>1.2</v>
      </c>
      <c r="Z141" s="1077">
        <v>2</v>
      </c>
      <c r="AA141" s="1077" t="s">
        <v>1503</v>
      </c>
      <c r="AH141" s="1077" t="s">
        <v>1504</v>
      </c>
      <c r="AM141" s="1078" t="s">
        <v>9335</v>
      </c>
      <c r="AN141" s="1078" t="s">
        <v>9336</v>
      </c>
      <c r="AO141" s="1078">
        <f t="shared" si="22"/>
        <v>650</v>
      </c>
      <c r="AP141" s="1078">
        <f t="shared" si="23"/>
        <v>1.65</v>
      </c>
      <c r="AQ141" s="1078" t="str">
        <f t="shared" si="24"/>
        <v>2-5-1S83°</v>
      </c>
      <c r="AR141" s="1078" t="str">
        <f t="shared" si="25"/>
        <v>28</v>
      </c>
      <c r="AS141" s="1078" t="str">
        <f t="shared" si="26"/>
        <v>170/135</v>
      </c>
      <c r="AT141" s="1078" t="str">
        <f t="shared" si="27"/>
        <v>2-5-1S83°</v>
      </c>
      <c r="AV141" s="1078" t="str">
        <f t="shared" si="20"/>
        <v>111.6.10</v>
      </c>
      <c r="AW141" s="1344">
        <f t="shared" si="21"/>
        <v>44722</v>
      </c>
    </row>
    <row r="142" spans="1:49">
      <c r="A142" s="1077" t="s">
        <v>1505</v>
      </c>
      <c r="B142" s="1077" t="s">
        <v>1008</v>
      </c>
      <c r="C142" s="1077">
        <v>550</v>
      </c>
      <c r="D142" s="1077">
        <v>1.655</v>
      </c>
      <c r="E142" s="1077" t="s">
        <v>15095</v>
      </c>
      <c r="F142" s="1077" t="s">
        <v>975</v>
      </c>
      <c r="G142" s="1077">
        <v>3</v>
      </c>
      <c r="H142" s="1077" t="s">
        <v>1017</v>
      </c>
      <c r="I142" s="1077" t="s">
        <v>126</v>
      </c>
      <c r="J142" s="1077">
        <v>1.7</v>
      </c>
      <c r="K142" s="1077" t="s">
        <v>1491</v>
      </c>
      <c r="L142" s="1077" t="s">
        <v>1011</v>
      </c>
      <c r="M142" s="1077">
        <v>51.8</v>
      </c>
      <c r="N142" s="1077" t="s">
        <v>945</v>
      </c>
      <c r="O142" s="1077">
        <v>1.2949999999999999</v>
      </c>
      <c r="P142" s="1077">
        <v>1.036</v>
      </c>
      <c r="Q142" s="1077">
        <v>3</v>
      </c>
      <c r="R142" s="1077">
        <v>25</v>
      </c>
      <c r="T142" s="1077">
        <v>41.8</v>
      </c>
      <c r="U142" s="1077">
        <v>6</v>
      </c>
      <c r="V142" s="1077" t="s">
        <v>648</v>
      </c>
      <c r="W142" s="1077">
        <v>95</v>
      </c>
      <c r="X142" s="1077">
        <v>80</v>
      </c>
      <c r="Y142" s="1077">
        <v>2.2000000000000002</v>
      </c>
      <c r="Z142" s="1077">
        <v>4</v>
      </c>
      <c r="AA142" s="1077" t="s">
        <v>1506</v>
      </c>
      <c r="AH142" s="1077" t="s">
        <v>619</v>
      </c>
      <c r="AM142" s="1078" t="s">
        <v>9337</v>
      </c>
      <c r="AN142" s="1078" t="s">
        <v>9338</v>
      </c>
      <c r="AO142" s="1078">
        <f t="shared" si="22"/>
        <v>550</v>
      </c>
      <c r="AP142" s="1078">
        <f t="shared" si="23"/>
        <v>1.655</v>
      </c>
      <c r="AQ142" s="1078" t="str">
        <f t="shared" si="24"/>
        <v>1-5-1S83°</v>
      </c>
      <c r="AR142" s="1078" t="str">
        <f t="shared" si="25"/>
        <v>31.5</v>
      </c>
      <c r="AS142" s="1078" t="str">
        <f t="shared" si="26"/>
        <v>200/200/OFF</v>
      </c>
      <c r="AT142" s="1078" t="str">
        <f t="shared" si="27"/>
        <v>1-5-1S83°</v>
      </c>
      <c r="AV142" s="1078" t="str">
        <f t="shared" si="20"/>
        <v>111.6.16</v>
      </c>
      <c r="AW142" s="1344">
        <f t="shared" si="21"/>
        <v>44728</v>
      </c>
    </row>
    <row r="143" spans="1:49">
      <c r="A143" s="1077" t="s">
        <v>1507</v>
      </c>
      <c r="B143" s="1077" t="s">
        <v>1463</v>
      </c>
      <c r="C143" s="1077">
        <v>600</v>
      </c>
      <c r="D143" s="1077">
        <v>1.6850000000000001</v>
      </c>
      <c r="E143" s="1077" t="s">
        <v>15091</v>
      </c>
      <c r="F143" s="1077" t="s">
        <v>1508</v>
      </c>
      <c r="G143" s="1077">
        <v>2</v>
      </c>
      <c r="H143" s="1077" t="s">
        <v>1166</v>
      </c>
      <c r="I143" s="1077" t="s">
        <v>1455</v>
      </c>
      <c r="J143" s="1077">
        <v>0.2</v>
      </c>
      <c r="K143" s="1077" t="s">
        <v>1509</v>
      </c>
      <c r="L143" s="1077" t="s">
        <v>1510</v>
      </c>
      <c r="M143" s="1077">
        <v>50.5</v>
      </c>
      <c r="N143" s="1077" t="s">
        <v>945</v>
      </c>
      <c r="O143" s="1077">
        <v>1.2625000000000002</v>
      </c>
      <c r="P143" s="1077">
        <v>1.01</v>
      </c>
      <c r="Q143" s="1077">
        <v>4</v>
      </c>
      <c r="R143" s="1077">
        <v>20.5</v>
      </c>
      <c r="T143" s="1077">
        <v>24</v>
      </c>
      <c r="U143" s="1077">
        <v>4</v>
      </c>
      <c r="V143" s="1077" t="s">
        <v>648</v>
      </c>
      <c r="W143" s="1077">
        <v>30</v>
      </c>
      <c r="X143" s="1077">
        <v>10</v>
      </c>
      <c r="Y143" s="1077">
        <v>1.8</v>
      </c>
      <c r="Z143" s="1077">
        <v>3.5</v>
      </c>
      <c r="AA143" s="1077" t="s">
        <v>1511</v>
      </c>
      <c r="AH143" s="1077" t="s">
        <v>1221</v>
      </c>
      <c r="AM143" s="1078" t="s">
        <v>9339</v>
      </c>
      <c r="AN143" s="1078" t="s">
        <v>9340</v>
      </c>
      <c r="AO143" s="1078">
        <f t="shared" si="22"/>
        <v>600</v>
      </c>
      <c r="AP143" s="1078">
        <f t="shared" si="23"/>
        <v>1.6850000000000001</v>
      </c>
      <c r="AQ143" s="1078" t="str">
        <f t="shared" si="24"/>
        <v>2-5-1S83°</v>
      </c>
      <c r="AR143" s="1078" t="str">
        <f t="shared" si="25"/>
        <v>31.6</v>
      </c>
      <c r="AS143" s="1078" t="str">
        <f t="shared" si="26"/>
        <v>170/OFF</v>
      </c>
      <c r="AT143" s="1078" t="str">
        <f t="shared" si="27"/>
        <v>2-5-1S83°</v>
      </c>
      <c r="AV143" s="1078" t="str">
        <f t="shared" si="20"/>
        <v>111.7.1</v>
      </c>
      <c r="AW143" s="1344">
        <f t="shared" si="21"/>
        <v>44743</v>
      </c>
    </row>
    <row r="144" spans="1:49">
      <c r="A144" s="1077" t="s">
        <v>1512</v>
      </c>
      <c r="B144" s="1077" t="s">
        <v>1513</v>
      </c>
      <c r="C144" s="1077">
        <v>600</v>
      </c>
      <c r="D144" s="1077">
        <v>1.42</v>
      </c>
      <c r="E144" s="1077" t="s">
        <v>648</v>
      </c>
      <c r="F144" s="1077" t="s">
        <v>1514</v>
      </c>
      <c r="G144" s="1077">
        <v>1.96</v>
      </c>
      <c r="H144" s="1077" t="s">
        <v>1234</v>
      </c>
      <c r="I144" s="1077" t="s">
        <v>1112</v>
      </c>
      <c r="J144" s="1077">
        <v>1.5</v>
      </c>
      <c r="K144" s="1077" t="s">
        <v>1515</v>
      </c>
      <c r="L144" s="1077" t="s">
        <v>453</v>
      </c>
      <c r="M144" s="1077">
        <v>56</v>
      </c>
      <c r="N144" s="1077" t="s">
        <v>945</v>
      </c>
      <c r="O144" s="1077">
        <v>1.4000000000000001</v>
      </c>
      <c r="P144" s="1077">
        <v>1.1200000000000001</v>
      </c>
      <c r="Q144" s="1077">
        <v>2</v>
      </c>
      <c r="R144" s="1077">
        <v>61</v>
      </c>
      <c r="T144" s="1077" t="s">
        <v>648</v>
      </c>
      <c r="U144" s="1077">
        <v>34</v>
      </c>
      <c r="V144" s="1077" t="s">
        <v>648</v>
      </c>
      <c r="W144" s="1077" t="s">
        <v>648</v>
      </c>
      <c r="X144" s="1077" t="s">
        <v>648</v>
      </c>
      <c r="Y144" s="1077" t="s">
        <v>648</v>
      </c>
      <c r="Z144" s="1077" t="s">
        <v>648</v>
      </c>
      <c r="AA144" s="1077" t="s">
        <v>1516</v>
      </c>
      <c r="AH144" s="1077" t="s">
        <v>466</v>
      </c>
      <c r="AM144" s="1078" t="s">
        <v>9341</v>
      </c>
      <c r="AN144" s="1078" t="s">
        <v>9342</v>
      </c>
      <c r="AO144" s="1078">
        <f t="shared" si="22"/>
        <v>600</v>
      </c>
      <c r="AP144" s="1078">
        <f t="shared" si="23"/>
        <v>1.42</v>
      </c>
      <c r="AQ144" s="1078" t="str">
        <f t="shared" si="24"/>
        <v>NA</v>
      </c>
      <c r="AR144" s="1078" t="str">
        <f t="shared" si="25"/>
        <v>32</v>
      </c>
      <c r="AS144" s="1078" t="str">
        <f t="shared" si="26"/>
        <v>OFF/123</v>
      </c>
      <c r="AT144" s="1078" t="str">
        <f t="shared" si="27"/>
        <v>NA</v>
      </c>
      <c r="AV144" s="1078" t="str">
        <f t="shared" si="20"/>
        <v>111.9.1</v>
      </c>
      <c r="AW144" s="1344">
        <f t="shared" si="21"/>
        <v>44805</v>
      </c>
    </row>
    <row r="145" spans="1:49">
      <c r="A145" s="1077" t="s">
        <v>1517</v>
      </c>
      <c r="B145" s="1077" t="s">
        <v>939</v>
      </c>
      <c r="C145" s="1077">
        <v>650</v>
      </c>
      <c r="D145" s="1077">
        <v>1.65</v>
      </c>
      <c r="E145" s="1077" t="s">
        <v>15088</v>
      </c>
      <c r="F145" s="1077" t="s">
        <v>648</v>
      </c>
      <c r="G145" s="1077" t="s">
        <v>940</v>
      </c>
      <c r="H145" s="1077" t="s">
        <v>941</v>
      </c>
      <c r="I145" s="1077" t="s">
        <v>942</v>
      </c>
      <c r="J145" s="1077">
        <v>0.8</v>
      </c>
      <c r="K145" s="1077" t="s">
        <v>1518</v>
      </c>
      <c r="L145" s="1077" t="s">
        <v>944</v>
      </c>
      <c r="M145" s="1077">
        <v>51.5</v>
      </c>
      <c r="N145" s="1077" t="s">
        <v>945</v>
      </c>
      <c r="O145" s="1077">
        <v>1.2875000000000001</v>
      </c>
      <c r="P145" s="1077">
        <v>1.03</v>
      </c>
      <c r="Q145" s="1077">
        <v>4</v>
      </c>
      <c r="R145" s="1077">
        <v>20.5</v>
      </c>
      <c r="T145" s="1077">
        <v>21.2</v>
      </c>
      <c r="U145" s="1077">
        <v>3.6</v>
      </c>
      <c r="V145" s="1077" t="s">
        <v>648</v>
      </c>
      <c r="W145" s="1077">
        <v>150</v>
      </c>
      <c r="X145" s="1077">
        <v>75</v>
      </c>
      <c r="Y145" s="1077">
        <v>2</v>
      </c>
      <c r="Z145" s="1077">
        <v>4</v>
      </c>
      <c r="AA145" s="1077" t="s">
        <v>1519</v>
      </c>
      <c r="AH145" s="1077" t="s">
        <v>948</v>
      </c>
      <c r="AI145" s="1077" t="s">
        <v>1520</v>
      </c>
      <c r="AM145" s="1078" t="s">
        <v>9343</v>
      </c>
      <c r="AN145" s="1078" t="s">
        <v>9344</v>
      </c>
      <c r="AO145" s="1078">
        <f t="shared" si="22"/>
        <v>650</v>
      </c>
      <c r="AP145" s="1078">
        <f t="shared" si="23"/>
        <v>1.65</v>
      </c>
      <c r="AQ145" s="1078" t="str">
        <f t="shared" si="24"/>
        <v>1-4-1S85°</v>
      </c>
      <c r="AR145" s="1078" t="str">
        <f t="shared" si="25"/>
        <v>NA</v>
      </c>
      <c r="AS145" s="1078" t="str">
        <f t="shared" si="26"/>
        <v>185/OFF</v>
      </c>
      <c r="AT145" s="1078" t="str">
        <f t="shared" si="27"/>
        <v>1-4-1S85°</v>
      </c>
      <c r="AV145" s="1078" t="str">
        <f t="shared" si="20"/>
        <v>111.9.5</v>
      </c>
      <c r="AW145" s="1344">
        <f t="shared" si="21"/>
        <v>44809</v>
      </c>
    </row>
    <row r="146" spans="1:49">
      <c r="A146" s="1077" t="s">
        <v>1521</v>
      </c>
      <c r="B146" s="1077" t="s">
        <v>1008</v>
      </c>
      <c r="C146" s="1077">
        <v>550</v>
      </c>
      <c r="D146" s="1077">
        <v>1.655</v>
      </c>
      <c r="E146" s="1077" t="s">
        <v>15095</v>
      </c>
      <c r="F146" s="1077" t="s">
        <v>975</v>
      </c>
      <c r="G146" s="1077">
        <v>3</v>
      </c>
      <c r="H146" s="1077" t="s">
        <v>1017</v>
      </c>
      <c r="I146" s="1077" t="s">
        <v>126</v>
      </c>
      <c r="J146" s="1077">
        <v>1.7</v>
      </c>
      <c r="K146" s="1077" t="s">
        <v>1522</v>
      </c>
      <c r="L146" s="1077" t="s">
        <v>1011</v>
      </c>
      <c r="M146" s="1077">
        <v>51.8</v>
      </c>
      <c r="N146" s="1077" t="s">
        <v>945</v>
      </c>
      <c r="O146" s="1077">
        <v>1.2949999999999999</v>
      </c>
      <c r="P146" s="1077">
        <v>1.036</v>
      </c>
      <c r="Q146" s="1077">
        <v>3</v>
      </c>
      <c r="R146" s="1077">
        <v>25</v>
      </c>
      <c r="T146" s="1077">
        <v>41.8</v>
      </c>
      <c r="U146" s="1077">
        <v>6</v>
      </c>
      <c r="V146" s="1077" t="s">
        <v>648</v>
      </c>
      <c r="W146" s="1077">
        <v>95</v>
      </c>
      <c r="X146" s="1077">
        <v>80</v>
      </c>
      <c r="Y146" s="1077">
        <v>2.2000000000000002</v>
      </c>
      <c r="Z146" s="1077">
        <v>4</v>
      </c>
      <c r="AA146" s="1077" t="s">
        <v>1523</v>
      </c>
      <c r="AH146" s="1077" t="s">
        <v>618</v>
      </c>
      <c r="AM146" s="1078" t="s">
        <v>9345</v>
      </c>
      <c r="AN146" s="1078" t="s">
        <v>9346</v>
      </c>
      <c r="AO146" s="1078">
        <f t="shared" si="22"/>
        <v>550</v>
      </c>
      <c r="AP146" s="1078">
        <f t="shared" si="23"/>
        <v>1.655</v>
      </c>
      <c r="AQ146" s="1078" t="str">
        <f t="shared" si="24"/>
        <v>1-5-1S83°</v>
      </c>
      <c r="AR146" s="1078" t="str">
        <f t="shared" si="25"/>
        <v>31.5</v>
      </c>
      <c r="AS146" s="1078" t="str">
        <f t="shared" si="26"/>
        <v>200/200/OFF</v>
      </c>
      <c r="AT146" s="1078" t="str">
        <f t="shared" si="27"/>
        <v>1-5-1S83°</v>
      </c>
      <c r="AV146" s="1078" t="str">
        <f t="shared" si="20"/>
        <v>111.9.7</v>
      </c>
      <c r="AW146" s="1344">
        <f t="shared" si="21"/>
        <v>44811</v>
      </c>
    </row>
    <row r="147" spans="1:49">
      <c r="A147" s="1077" t="s">
        <v>1524</v>
      </c>
      <c r="B147" s="1077" t="s">
        <v>1394</v>
      </c>
      <c r="C147" s="1077">
        <v>650</v>
      </c>
      <c r="D147" s="1077">
        <v>1.7</v>
      </c>
      <c r="E147" s="1077" t="s">
        <v>15089</v>
      </c>
      <c r="F147" s="1077" t="s">
        <v>984</v>
      </c>
      <c r="G147" s="1077" t="s">
        <v>940</v>
      </c>
      <c r="H147" s="1077" t="s">
        <v>1395</v>
      </c>
      <c r="I147" s="1077" t="s">
        <v>126</v>
      </c>
      <c r="J147" s="1077">
        <v>0.3</v>
      </c>
      <c r="K147" s="1077" t="s">
        <v>1488</v>
      </c>
      <c r="L147" s="1077" t="s">
        <v>987</v>
      </c>
      <c r="M147" s="1077">
        <v>50.5</v>
      </c>
      <c r="N147" s="1077" t="s">
        <v>945</v>
      </c>
      <c r="O147" s="1077">
        <v>1.2625000000000002</v>
      </c>
      <c r="P147" s="1077">
        <v>1.01</v>
      </c>
      <c r="Q147" s="1077">
        <v>4</v>
      </c>
      <c r="R147" s="1077">
        <v>24.5</v>
      </c>
      <c r="T147" s="1077">
        <v>27.9</v>
      </c>
      <c r="U147" s="1077">
        <v>3.6</v>
      </c>
      <c r="V147" s="1077" t="s">
        <v>648</v>
      </c>
      <c r="W147" s="1077">
        <v>40</v>
      </c>
      <c r="X147" s="1077">
        <v>10</v>
      </c>
      <c r="Y147" s="1077">
        <v>2.2000000000000002</v>
      </c>
      <c r="Z147" s="1077">
        <v>3.5</v>
      </c>
      <c r="AA147" s="1077" t="s">
        <v>1525</v>
      </c>
      <c r="AH147" s="1077" t="s">
        <v>994</v>
      </c>
      <c r="AM147" s="1078" t="s">
        <v>9347</v>
      </c>
      <c r="AN147" s="1078" t="s">
        <v>9348</v>
      </c>
      <c r="AO147" s="1078">
        <f t="shared" si="22"/>
        <v>650</v>
      </c>
      <c r="AP147" s="1078">
        <f t="shared" si="23"/>
        <v>1.7</v>
      </c>
      <c r="AQ147" s="1078" t="str">
        <f t="shared" si="24"/>
        <v>1-4-1S83°</v>
      </c>
      <c r="AR147" s="1078" t="str">
        <f t="shared" si="25"/>
        <v>30</v>
      </c>
      <c r="AS147" s="1078" t="str">
        <f t="shared" si="26"/>
        <v>252/252/OFF</v>
      </c>
      <c r="AT147" s="1078" t="str">
        <f t="shared" si="27"/>
        <v>1-4-1S83°</v>
      </c>
      <c r="AV147" s="1078" t="str">
        <f t="shared" si="20"/>
        <v>111.10.3</v>
      </c>
      <c r="AW147" s="1344">
        <f t="shared" si="21"/>
        <v>44837</v>
      </c>
    </row>
    <row r="148" spans="1:49">
      <c r="A148" s="1077" t="s">
        <v>1526</v>
      </c>
      <c r="B148" s="1077" t="s">
        <v>1527</v>
      </c>
      <c r="C148" s="1077">
        <v>500</v>
      </c>
      <c r="D148" s="1077">
        <v>1.67</v>
      </c>
      <c r="E148" s="1077" t="s">
        <v>15095</v>
      </c>
      <c r="F148" s="1077" t="s">
        <v>984</v>
      </c>
      <c r="G148" s="1077" t="s">
        <v>1001</v>
      </c>
      <c r="H148" s="1077" t="s">
        <v>1017</v>
      </c>
      <c r="I148" s="1077" t="s">
        <v>126</v>
      </c>
      <c r="J148" s="1077">
        <v>1</v>
      </c>
      <c r="K148" s="1077" t="s">
        <v>1528</v>
      </c>
      <c r="L148" s="1077" t="s">
        <v>1529</v>
      </c>
      <c r="M148" s="1077">
        <v>51</v>
      </c>
      <c r="N148" s="1077" t="s">
        <v>945</v>
      </c>
      <c r="O148" s="1077">
        <v>1.2750000000000001</v>
      </c>
      <c r="P148" s="1077">
        <v>1.02</v>
      </c>
      <c r="Q148" s="1077">
        <v>3</v>
      </c>
      <c r="R148" s="1077">
        <v>29</v>
      </c>
      <c r="T148" s="1077">
        <v>23</v>
      </c>
      <c r="U148" s="1077">
        <v>6</v>
      </c>
      <c r="V148" s="1077" t="s">
        <v>648</v>
      </c>
      <c r="W148" s="1077">
        <v>115</v>
      </c>
      <c r="X148" s="1077">
        <v>70</v>
      </c>
      <c r="Y148" s="1077">
        <v>1.5</v>
      </c>
      <c r="Z148" s="1077">
        <v>4</v>
      </c>
      <c r="AA148" s="1077" t="s">
        <v>1530</v>
      </c>
      <c r="AH148" s="1077" t="s">
        <v>782</v>
      </c>
      <c r="AM148" s="1078" t="s">
        <v>9349</v>
      </c>
      <c r="AN148" s="1078" t="s">
        <v>9350</v>
      </c>
      <c r="AO148" s="1078">
        <f t="shared" si="22"/>
        <v>500</v>
      </c>
      <c r="AP148" s="1078">
        <f t="shared" si="23"/>
        <v>1.67</v>
      </c>
      <c r="AQ148" s="1078" t="str">
        <f t="shared" si="24"/>
        <v>1-5-1S83°</v>
      </c>
      <c r="AR148" s="1078" t="str">
        <f t="shared" si="25"/>
        <v>30</v>
      </c>
      <c r="AS148" s="1078" t="str">
        <f t="shared" si="26"/>
        <v>200/200/OFF</v>
      </c>
      <c r="AT148" s="1078" t="str">
        <f t="shared" si="27"/>
        <v>1-5-1S83°</v>
      </c>
      <c r="AV148" s="1078" t="str">
        <f t="shared" si="20"/>
        <v>111.10.17</v>
      </c>
      <c r="AW148" s="1344">
        <f t="shared" si="21"/>
        <v>44851</v>
      </c>
    </row>
    <row r="149" spans="1:49">
      <c r="A149" s="1077" t="s">
        <v>1531</v>
      </c>
      <c r="B149" s="1077" t="s">
        <v>1463</v>
      </c>
      <c r="C149" s="1077" t="s">
        <v>1532</v>
      </c>
      <c r="D149" s="1077">
        <v>1.64</v>
      </c>
      <c r="E149" s="1077" t="s">
        <v>15089</v>
      </c>
      <c r="F149" s="1077" t="s">
        <v>984</v>
      </c>
      <c r="G149" s="1077">
        <v>2</v>
      </c>
      <c r="H149" s="1077" t="s">
        <v>1533</v>
      </c>
      <c r="I149" s="1077" t="s">
        <v>942</v>
      </c>
      <c r="J149" s="1077">
        <v>1.1000000000000001</v>
      </c>
      <c r="K149" s="1077" t="s">
        <v>1534</v>
      </c>
      <c r="L149" s="1077" t="s">
        <v>1466</v>
      </c>
      <c r="M149" s="1077">
        <v>51.5</v>
      </c>
      <c r="N149" s="1077" t="s">
        <v>945</v>
      </c>
      <c r="O149" s="1077">
        <v>1.2875000000000001</v>
      </c>
      <c r="P149" s="1077">
        <v>1.03</v>
      </c>
      <c r="Q149" s="1077">
        <v>4</v>
      </c>
      <c r="R149" s="1077">
        <v>24</v>
      </c>
      <c r="T149" s="1077">
        <v>21.2</v>
      </c>
      <c r="U149" s="1077">
        <v>3.6</v>
      </c>
      <c r="V149" s="1077" t="s">
        <v>648</v>
      </c>
      <c r="W149" s="1077">
        <v>150</v>
      </c>
      <c r="X149" s="1077">
        <v>80</v>
      </c>
      <c r="Y149" s="1077">
        <v>2</v>
      </c>
      <c r="Z149" s="1077">
        <v>4</v>
      </c>
      <c r="AA149" s="1077" t="s">
        <v>1535</v>
      </c>
      <c r="AH149" s="1077" t="s">
        <v>681</v>
      </c>
      <c r="AM149" s="1078" t="s">
        <v>9351</v>
      </c>
      <c r="AN149" s="1078" t="s">
        <v>9352</v>
      </c>
      <c r="AO149" s="1078" t="str">
        <f t="shared" si="22"/>
        <v>650↓600-11/15</v>
      </c>
      <c r="AP149" s="1078">
        <f t="shared" si="23"/>
        <v>1.64</v>
      </c>
      <c r="AQ149" s="1078" t="str">
        <f t="shared" si="24"/>
        <v>1-4-1S83°</v>
      </c>
      <c r="AR149" s="1078" t="str">
        <f t="shared" si="25"/>
        <v>30</v>
      </c>
      <c r="AS149" s="1078" t="str">
        <f t="shared" si="26"/>
        <v>223/223/OFF</v>
      </c>
      <c r="AT149" s="1078" t="str">
        <f t="shared" si="27"/>
        <v>1-4-1S83°</v>
      </c>
      <c r="AV149" s="1078" t="str">
        <f t="shared" si="20"/>
        <v>111.11.3</v>
      </c>
      <c r="AW149" s="1344">
        <f t="shared" si="21"/>
        <v>44868</v>
      </c>
    </row>
    <row r="150" spans="1:49">
      <c r="A150" s="1077" t="s">
        <v>1536</v>
      </c>
      <c r="B150" s="1077" t="s">
        <v>1423</v>
      </c>
      <c r="C150" s="1077">
        <v>500</v>
      </c>
      <c r="D150" s="1077">
        <v>1.7</v>
      </c>
      <c r="E150" s="1077" t="s">
        <v>15089</v>
      </c>
      <c r="F150" s="1077" t="s">
        <v>954</v>
      </c>
      <c r="G150" s="1077" t="s">
        <v>1016</v>
      </c>
      <c r="H150" s="1077" t="s">
        <v>1274</v>
      </c>
      <c r="I150" s="1077" t="s">
        <v>126</v>
      </c>
      <c r="J150" s="1077">
        <v>1.3</v>
      </c>
      <c r="K150" s="1077" t="s">
        <v>1442</v>
      </c>
      <c r="L150" s="1077" t="s">
        <v>1425</v>
      </c>
      <c r="M150" s="1077">
        <v>52</v>
      </c>
      <c r="N150" s="1077" t="s">
        <v>945</v>
      </c>
      <c r="O150" s="1077">
        <v>1.3</v>
      </c>
      <c r="P150" s="1077">
        <v>1.04</v>
      </c>
      <c r="Q150" s="1077">
        <v>3</v>
      </c>
      <c r="R150" s="1077">
        <v>23</v>
      </c>
      <c r="T150" s="1077">
        <v>29</v>
      </c>
      <c r="U150" s="1077">
        <v>3.3</v>
      </c>
      <c r="V150" s="1077" t="s">
        <v>648</v>
      </c>
      <c r="W150" s="1077">
        <v>130</v>
      </c>
      <c r="X150" s="1077">
        <v>75</v>
      </c>
      <c r="Y150" s="1077">
        <v>2.4</v>
      </c>
      <c r="Z150" s="1077">
        <v>4.5</v>
      </c>
      <c r="AA150" s="1077" t="s">
        <v>1537</v>
      </c>
      <c r="AH150" s="1077" t="s">
        <v>1486</v>
      </c>
      <c r="AM150" s="1078" t="s">
        <v>9353</v>
      </c>
      <c r="AN150" s="1078" t="s">
        <v>9354</v>
      </c>
      <c r="AO150" s="1078">
        <f t="shared" si="22"/>
        <v>500</v>
      </c>
      <c r="AP150" s="1078">
        <f t="shared" si="23"/>
        <v>1.7</v>
      </c>
      <c r="AQ150" s="1078" t="str">
        <f t="shared" si="24"/>
        <v>1-4-1S83°</v>
      </c>
      <c r="AR150" s="1078" t="str">
        <f t="shared" si="25"/>
        <v>31</v>
      </c>
      <c r="AS150" s="1078" t="str">
        <f t="shared" si="26"/>
        <v>210/210/OFF</v>
      </c>
      <c r="AT150" s="1078" t="str">
        <f t="shared" si="27"/>
        <v>1-4-1S83°</v>
      </c>
      <c r="AV150" s="1078" t="str">
        <f t="shared" si="20"/>
        <v>111.11.4</v>
      </c>
      <c r="AW150" s="1344">
        <f t="shared" si="21"/>
        <v>44869</v>
      </c>
    </row>
    <row r="151" spans="1:49">
      <c r="A151" s="1077" t="s">
        <v>1538</v>
      </c>
      <c r="B151" s="1077" t="s">
        <v>1154</v>
      </c>
      <c r="C151" s="1077">
        <v>550</v>
      </c>
      <c r="D151" s="1077">
        <v>1.72</v>
      </c>
      <c r="E151" s="1077" t="s">
        <v>15089</v>
      </c>
      <c r="F151" s="1077" t="s">
        <v>984</v>
      </c>
      <c r="G151" s="1077" t="s">
        <v>940</v>
      </c>
      <c r="H151" s="1077" t="s">
        <v>1226</v>
      </c>
      <c r="I151" s="1077" t="s">
        <v>126</v>
      </c>
      <c r="J151" s="1077">
        <v>1</v>
      </c>
      <c r="K151" s="1077" t="s">
        <v>1539</v>
      </c>
      <c r="L151" s="1077" t="s">
        <v>1157</v>
      </c>
      <c r="M151" s="1077">
        <v>49.5</v>
      </c>
      <c r="N151" s="1077" t="s">
        <v>945</v>
      </c>
      <c r="O151" s="1077">
        <v>1.2375</v>
      </c>
      <c r="P151" s="1077">
        <v>0.99</v>
      </c>
      <c r="Q151" s="1077">
        <v>4</v>
      </c>
      <c r="R151" s="1077">
        <v>23</v>
      </c>
      <c r="T151" s="1077">
        <v>31</v>
      </c>
      <c r="U151" s="1077">
        <v>3.3</v>
      </c>
      <c r="V151" s="1077" t="s">
        <v>648</v>
      </c>
      <c r="W151" s="1077">
        <v>110</v>
      </c>
      <c r="X151" s="1077">
        <v>70</v>
      </c>
      <c r="Y151" s="1077" t="s">
        <v>1540</v>
      </c>
      <c r="Z151" s="1077">
        <v>4.5</v>
      </c>
      <c r="AA151" s="1077" t="s">
        <v>1541</v>
      </c>
      <c r="AH151" s="1077" t="s">
        <v>724</v>
      </c>
      <c r="AM151" s="1078" t="s">
        <v>9355</v>
      </c>
      <c r="AN151" s="1078" t="s">
        <v>9356</v>
      </c>
      <c r="AO151" s="1078">
        <f t="shared" si="22"/>
        <v>550</v>
      </c>
      <c r="AP151" s="1078">
        <f t="shared" si="23"/>
        <v>1.72</v>
      </c>
      <c r="AQ151" s="1078" t="str">
        <f t="shared" si="24"/>
        <v>1-4-1S83°</v>
      </c>
      <c r="AR151" s="1078" t="str">
        <f t="shared" si="25"/>
        <v>30</v>
      </c>
      <c r="AS151" s="1078" t="str">
        <f t="shared" si="26"/>
        <v>230/230/OFF</v>
      </c>
      <c r="AT151" s="1078" t="str">
        <f t="shared" si="27"/>
        <v>1-4-1S83°</v>
      </c>
      <c r="AV151" s="1078" t="str">
        <f t="shared" si="20"/>
        <v>111.11.11</v>
      </c>
      <c r="AW151" s="1344">
        <f t="shared" si="21"/>
        <v>44876</v>
      </c>
    </row>
    <row r="152" spans="1:49">
      <c r="A152" s="1077" t="s">
        <v>1542</v>
      </c>
      <c r="B152" s="1077" t="s">
        <v>1463</v>
      </c>
      <c r="C152" s="1077">
        <v>600</v>
      </c>
      <c r="D152" s="1077">
        <v>1.66</v>
      </c>
      <c r="E152" s="1077" t="s">
        <v>15089</v>
      </c>
      <c r="F152" s="1077" t="s">
        <v>984</v>
      </c>
      <c r="G152" s="1077">
        <v>2</v>
      </c>
      <c r="H152" s="1077" t="s">
        <v>1543</v>
      </c>
      <c r="I152" s="1077" t="s">
        <v>126</v>
      </c>
      <c r="J152" s="1077">
        <v>1</v>
      </c>
      <c r="K152" s="1077" t="s">
        <v>1534</v>
      </c>
      <c r="L152" s="1077" t="s">
        <v>1466</v>
      </c>
      <c r="M152" s="1077">
        <v>50.5</v>
      </c>
      <c r="N152" s="1077" t="s">
        <v>945</v>
      </c>
      <c r="O152" s="1077">
        <v>1.2625000000000002</v>
      </c>
      <c r="P152" s="1077">
        <v>1.01</v>
      </c>
      <c r="Q152" s="1077">
        <v>4</v>
      </c>
      <c r="R152" s="1077">
        <v>24</v>
      </c>
      <c r="T152" s="1077">
        <v>15</v>
      </c>
      <c r="U152" s="1077">
        <v>3.4</v>
      </c>
      <c r="V152" s="1077" t="s">
        <v>648</v>
      </c>
      <c r="W152" s="1077">
        <v>120</v>
      </c>
      <c r="X152" s="1077">
        <v>90</v>
      </c>
      <c r="Y152" s="1077">
        <v>1.2</v>
      </c>
      <c r="Z152" s="1077">
        <v>2</v>
      </c>
      <c r="AA152" s="1077" t="s">
        <v>1544</v>
      </c>
      <c r="AH152" s="1077" t="s">
        <v>726</v>
      </c>
      <c r="AM152" s="1078" t="s">
        <v>9357</v>
      </c>
      <c r="AN152" s="1078" t="s">
        <v>9358</v>
      </c>
      <c r="AO152" s="1078">
        <f t="shared" si="22"/>
        <v>600</v>
      </c>
      <c r="AP152" s="1078">
        <f t="shared" si="23"/>
        <v>1.66</v>
      </c>
      <c r="AQ152" s="1078" t="str">
        <f t="shared" si="24"/>
        <v>1-4-1S83°</v>
      </c>
      <c r="AR152" s="1078" t="str">
        <f t="shared" si="25"/>
        <v>30</v>
      </c>
      <c r="AS152" s="1078" t="str">
        <f t="shared" si="26"/>
        <v>225/225/130</v>
      </c>
      <c r="AT152" s="1078" t="str">
        <f t="shared" si="27"/>
        <v>1-4-1S83°</v>
      </c>
      <c r="AV152" s="1078" t="str">
        <f t="shared" si="20"/>
        <v>111.12.7</v>
      </c>
      <c r="AW152" s="1344">
        <f t="shared" si="21"/>
        <v>44902</v>
      </c>
    </row>
    <row r="153" spans="1:49">
      <c r="A153" s="1077" t="s">
        <v>1545</v>
      </c>
      <c r="B153" s="1077" t="s">
        <v>1008</v>
      </c>
      <c r="C153" s="1077">
        <v>550</v>
      </c>
      <c r="D153" s="1077">
        <v>1.655</v>
      </c>
      <c r="E153" s="1077" t="s">
        <v>15095</v>
      </c>
      <c r="F153" s="1077" t="s">
        <v>975</v>
      </c>
      <c r="G153" s="1077">
        <v>3</v>
      </c>
      <c r="H153" s="1077" t="s">
        <v>1017</v>
      </c>
      <c r="I153" s="1077" t="s">
        <v>126</v>
      </c>
      <c r="J153" s="1077">
        <v>1.7</v>
      </c>
      <c r="K153" s="1077" t="s">
        <v>1522</v>
      </c>
      <c r="L153" s="1077" t="s">
        <v>1011</v>
      </c>
      <c r="M153" s="1077">
        <v>51.8</v>
      </c>
      <c r="N153" s="1077" t="s">
        <v>945</v>
      </c>
      <c r="O153" s="1077">
        <v>1.2949999999999999</v>
      </c>
      <c r="P153" s="1077">
        <v>1.036</v>
      </c>
      <c r="Q153" s="1077">
        <v>3</v>
      </c>
      <c r="R153" s="1077">
        <v>25</v>
      </c>
      <c r="T153" s="1077">
        <v>41.8</v>
      </c>
      <c r="U153" s="1077">
        <v>6</v>
      </c>
      <c r="V153" s="1077" t="s">
        <v>648</v>
      </c>
      <c r="W153" s="1077">
        <v>95</v>
      </c>
      <c r="X153" s="1077">
        <v>80</v>
      </c>
      <c r="Y153" s="1077">
        <v>2.2000000000000002</v>
      </c>
      <c r="Z153" s="1077">
        <v>4</v>
      </c>
      <c r="AA153" s="1077" t="s">
        <v>1546</v>
      </c>
      <c r="AH153" s="1077" t="s">
        <v>483</v>
      </c>
      <c r="AM153" s="1078" t="s">
        <v>9359</v>
      </c>
      <c r="AN153" s="1078" t="s">
        <v>9360</v>
      </c>
      <c r="AO153" s="1078">
        <f t="shared" si="22"/>
        <v>550</v>
      </c>
      <c r="AP153" s="1078">
        <f t="shared" si="23"/>
        <v>1.655</v>
      </c>
      <c r="AQ153" s="1078" t="str">
        <f t="shared" si="24"/>
        <v>1-5-1S83°</v>
      </c>
      <c r="AR153" s="1078" t="str">
        <f t="shared" si="25"/>
        <v>31.5</v>
      </c>
      <c r="AS153" s="1078" t="str">
        <f t="shared" si="26"/>
        <v>200/200/OFF</v>
      </c>
      <c r="AT153" s="1078" t="str">
        <f t="shared" si="27"/>
        <v>1-5-1S83°</v>
      </c>
      <c r="AV153" s="1078" t="str">
        <f t="shared" si="20"/>
        <v>111.12.8</v>
      </c>
      <c r="AW153" s="1344">
        <f t="shared" si="21"/>
        <v>44903</v>
      </c>
    </row>
    <row r="154" spans="1:49">
      <c r="A154" s="1077" t="s">
        <v>1547</v>
      </c>
      <c r="B154" s="1077" t="s">
        <v>1154</v>
      </c>
      <c r="C154" s="1077">
        <v>550</v>
      </c>
      <c r="D154" s="1077">
        <v>1.72</v>
      </c>
      <c r="E154" s="1077" t="s">
        <v>15089</v>
      </c>
      <c r="F154" s="1077" t="s">
        <v>984</v>
      </c>
      <c r="G154" s="1077" t="s">
        <v>940</v>
      </c>
      <c r="H154" s="1077" t="s">
        <v>1226</v>
      </c>
      <c r="I154" s="1077" t="s">
        <v>126</v>
      </c>
      <c r="J154" s="1077">
        <v>1</v>
      </c>
      <c r="K154" s="1077" t="s">
        <v>1539</v>
      </c>
      <c r="L154" s="1077" t="s">
        <v>1157</v>
      </c>
      <c r="M154" s="1077">
        <v>49.5</v>
      </c>
      <c r="N154" s="1077" t="s">
        <v>945</v>
      </c>
      <c r="O154" s="1077">
        <v>1.2375</v>
      </c>
      <c r="P154" s="1077">
        <v>0.99</v>
      </c>
      <c r="Q154" s="1077">
        <v>4</v>
      </c>
      <c r="R154" s="1077" t="s">
        <v>1548</v>
      </c>
      <c r="T154" s="1077">
        <v>31</v>
      </c>
      <c r="U154" s="1077">
        <v>3.3</v>
      </c>
      <c r="V154" s="1077" t="s">
        <v>648</v>
      </c>
      <c r="W154" s="1077" t="s">
        <v>1549</v>
      </c>
      <c r="X154" s="1077">
        <v>70</v>
      </c>
      <c r="Y154" s="1077">
        <v>2.7</v>
      </c>
      <c r="Z154" s="1077">
        <v>4.5</v>
      </c>
      <c r="AA154" s="1077" t="s">
        <v>1550</v>
      </c>
      <c r="AH154" s="1077" t="s">
        <v>1186</v>
      </c>
      <c r="AM154" s="1078" t="s">
        <v>9361</v>
      </c>
      <c r="AN154" s="1078" t="s">
        <v>9362</v>
      </c>
      <c r="AO154" s="1078">
        <f t="shared" si="22"/>
        <v>550</v>
      </c>
      <c r="AP154" s="1078">
        <f t="shared" si="23"/>
        <v>1.72</v>
      </c>
      <c r="AQ154" s="1078" t="str">
        <f t="shared" si="24"/>
        <v>1-4-1S83°</v>
      </c>
      <c r="AR154" s="1078" t="str">
        <f t="shared" si="25"/>
        <v>30</v>
      </c>
      <c r="AS154" s="1078" t="str">
        <f t="shared" si="26"/>
        <v>230/230/OFF</v>
      </c>
      <c r="AT154" s="1078" t="str">
        <f t="shared" si="27"/>
        <v>1-4-1S83°</v>
      </c>
      <c r="AV154" s="1078" t="str">
        <f t="shared" si="20"/>
        <v>111.12.19</v>
      </c>
      <c r="AW154" s="1344">
        <f t="shared" si="21"/>
        <v>44914</v>
      </c>
    </row>
    <row r="155" spans="1:49">
      <c r="A155" s="1077" t="s">
        <v>1551</v>
      </c>
      <c r="B155" s="1077" t="s">
        <v>1423</v>
      </c>
      <c r="C155" s="1077">
        <v>500</v>
      </c>
      <c r="D155" s="1077">
        <v>1.72</v>
      </c>
      <c r="E155" s="1077" t="s">
        <v>15089</v>
      </c>
      <c r="F155" s="1077" t="s">
        <v>954</v>
      </c>
      <c r="G155" s="1077" t="s">
        <v>1016</v>
      </c>
      <c r="H155" s="1077" t="s">
        <v>1274</v>
      </c>
      <c r="I155" s="1077" t="s">
        <v>126</v>
      </c>
      <c r="J155" s="1077">
        <v>1.3</v>
      </c>
      <c r="K155" s="1077" t="s">
        <v>1552</v>
      </c>
      <c r="L155" s="1077" t="s">
        <v>1425</v>
      </c>
      <c r="M155" s="1077">
        <v>52</v>
      </c>
      <c r="N155" s="1077" t="s">
        <v>945</v>
      </c>
      <c r="O155" s="1077">
        <v>1.3</v>
      </c>
      <c r="P155" s="1077">
        <v>1.04</v>
      </c>
      <c r="Q155" s="1077">
        <v>3</v>
      </c>
      <c r="R155" s="1077">
        <v>23</v>
      </c>
      <c r="T155" s="1077">
        <v>29</v>
      </c>
      <c r="U155" s="1077">
        <v>3.3</v>
      </c>
      <c r="V155" s="1077" t="s">
        <v>648</v>
      </c>
      <c r="W155" s="1077">
        <v>130</v>
      </c>
      <c r="X155" s="1077">
        <v>75</v>
      </c>
      <c r="Y155" s="1077">
        <v>2.4</v>
      </c>
      <c r="Z155" s="1077">
        <v>4.5</v>
      </c>
      <c r="AA155" s="1077" t="s">
        <v>1553</v>
      </c>
      <c r="AH155" s="1077" t="s">
        <v>868</v>
      </c>
      <c r="AM155" s="1078" t="s">
        <v>9363</v>
      </c>
      <c r="AN155" s="1078" t="s">
        <v>9364</v>
      </c>
      <c r="AO155" s="1078">
        <f t="shared" si="22"/>
        <v>500</v>
      </c>
      <c r="AP155" s="1078">
        <f t="shared" si="23"/>
        <v>1.72</v>
      </c>
      <c r="AQ155" s="1078" t="str">
        <f t="shared" si="24"/>
        <v>1-4-1S83°</v>
      </c>
      <c r="AR155" s="1078" t="str">
        <f t="shared" si="25"/>
        <v>31</v>
      </c>
      <c r="AS155" s="1078" t="str">
        <f t="shared" si="26"/>
        <v>210/210/OFF</v>
      </c>
      <c r="AT155" s="1078" t="str">
        <f t="shared" si="27"/>
        <v>1-4-1S83°</v>
      </c>
      <c r="AV155" s="1078" t="str">
        <f t="shared" si="20"/>
        <v>112.1.9</v>
      </c>
      <c r="AW155" s="1344">
        <f t="shared" si="21"/>
        <v>44935</v>
      </c>
    </row>
    <row r="156" spans="1:49">
      <c r="A156" s="1077" t="s">
        <v>1554</v>
      </c>
      <c r="B156" s="1077" t="s">
        <v>1463</v>
      </c>
      <c r="C156" s="1077">
        <v>600</v>
      </c>
      <c r="D156" s="1077">
        <v>1.77</v>
      </c>
      <c r="E156" s="1077" t="s">
        <v>15089</v>
      </c>
      <c r="F156" s="1077" t="s">
        <v>984</v>
      </c>
      <c r="G156" s="1077">
        <v>2</v>
      </c>
      <c r="H156" s="1077" t="s">
        <v>1555</v>
      </c>
      <c r="I156" s="1077" t="s">
        <v>126</v>
      </c>
      <c r="J156" s="1077">
        <v>1</v>
      </c>
      <c r="K156" s="1077" t="s">
        <v>1556</v>
      </c>
      <c r="L156" s="1077" t="s">
        <v>1557</v>
      </c>
      <c r="M156" s="1077">
        <v>50.5</v>
      </c>
      <c r="N156" s="1077" t="s">
        <v>945</v>
      </c>
      <c r="O156" s="1077">
        <v>1.2625000000000002</v>
      </c>
      <c r="P156" s="1077">
        <v>1.01</v>
      </c>
      <c r="Q156" s="1077">
        <v>4</v>
      </c>
      <c r="R156" s="1077">
        <v>24</v>
      </c>
      <c r="T156" s="1077">
        <v>15</v>
      </c>
      <c r="U156" s="1077">
        <v>3.4</v>
      </c>
      <c r="V156" s="1077" t="s">
        <v>648</v>
      </c>
      <c r="W156" s="1077">
        <v>120</v>
      </c>
      <c r="X156" s="1077">
        <v>90</v>
      </c>
      <c r="Y156" s="1077">
        <v>1.2</v>
      </c>
      <c r="Z156" s="1077">
        <v>2</v>
      </c>
      <c r="AA156" s="1077" t="s">
        <v>1558</v>
      </c>
      <c r="AH156" s="1077" t="s">
        <v>783</v>
      </c>
      <c r="AM156" s="1078" t="s">
        <v>9365</v>
      </c>
      <c r="AN156" s="1078" t="s">
        <v>9366</v>
      </c>
      <c r="AO156" s="1078">
        <f t="shared" si="22"/>
        <v>600</v>
      </c>
      <c r="AP156" s="1078">
        <f t="shared" si="23"/>
        <v>1.77</v>
      </c>
      <c r="AQ156" s="1078" t="str">
        <f t="shared" si="24"/>
        <v>1-4-1S83°</v>
      </c>
      <c r="AR156" s="1078" t="str">
        <f t="shared" si="25"/>
        <v>30</v>
      </c>
      <c r="AS156" s="1078" t="str">
        <f t="shared" si="26"/>
        <v>220/220/130</v>
      </c>
      <c r="AT156" s="1078" t="str">
        <f t="shared" si="27"/>
        <v>1-4-1S83°</v>
      </c>
      <c r="AV156" s="1078" t="str">
        <f t="shared" si="20"/>
        <v>112.1.13</v>
      </c>
      <c r="AW156" s="1344">
        <f t="shared" si="21"/>
        <v>44939</v>
      </c>
    </row>
    <row r="157" spans="1:49">
      <c r="A157" s="1077" t="s">
        <v>1559</v>
      </c>
      <c r="B157" s="1077" t="s">
        <v>983</v>
      </c>
      <c r="C157" s="1077">
        <v>650</v>
      </c>
      <c r="D157" s="1077">
        <v>1.74</v>
      </c>
      <c r="E157" s="1077" t="s">
        <v>15089</v>
      </c>
      <c r="F157" s="1077" t="s">
        <v>984</v>
      </c>
      <c r="G157" s="1077" t="s">
        <v>940</v>
      </c>
      <c r="H157" s="1077" t="s">
        <v>1040</v>
      </c>
      <c r="I157" s="1077" t="s">
        <v>942</v>
      </c>
      <c r="J157" s="1077">
        <v>0.9</v>
      </c>
      <c r="K157" s="1077" t="s">
        <v>1203</v>
      </c>
      <c r="L157" s="1077" t="s">
        <v>987</v>
      </c>
      <c r="M157" s="1077">
        <v>50.6</v>
      </c>
      <c r="N157" s="1077" t="s">
        <v>945</v>
      </c>
      <c r="O157" s="1077">
        <v>1.2650000000000001</v>
      </c>
      <c r="P157" s="1077">
        <v>1.012</v>
      </c>
      <c r="Q157" s="1077">
        <v>4</v>
      </c>
      <c r="R157" s="1077">
        <v>24</v>
      </c>
      <c r="T157" s="1077">
        <v>19.399999999999999</v>
      </c>
      <c r="U157" s="1077">
        <v>3.7</v>
      </c>
      <c r="V157" s="1077" t="s">
        <v>648</v>
      </c>
      <c r="W157" s="1077">
        <v>150</v>
      </c>
      <c r="X157" s="1077">
        <v>80</v>
      </c>
      <c r="Y157" s="1077">
        <v>2</v>
      </c>
      <c r="Z157" s="1077">
        <v>3</v>
      </c>
      <c r="AA157" s="1077" t="s">
        <v>1560</v>
      </c>
      <c r="AH157" s="1077" t="s">
        <v>468</v>
      </c>
      <c r="AM157" s="1078" t="s">
        <v>9367</v>
      </c>
      <c r="AN157" s="1078" t="s">
        <v>9368</v>
      </c>
      <c r="AO157" s="1078">
        <f t="shared" si="22"/>
        <v>650</v>
      </c>
      <c r="AP157" s="1078">
        <f t="shared" si="23"/>
        <v>1.74</v>
      </c>
      <c r="AQ157" s="1078" t="str">
        <f t="shared" si="24"/>
        <v>1-4-1S83°</v>
      </c>
      <c r="AR157" s="1078" t="str">
        <f t="shared" si="25"/>
        <v>30</v>
      </c>
      <c r="AS157" s="1078" t="str">
        <f t="shared" si="26"/>
        <v>240/240/OFF</v>
      </c>
      <c r="AT157" s="1078" t="str">
        <f t="shared" si="27"/>
        <v>1-4-1S83°</v>
      </c>
      <c r="AV157" s="1078" t="str">
        <f t="shared" si="20"/>
        <v>112.2.6</v>
      </c>
      <c r="AW157" s="1344">
        <f t="shared" si="21"/>
        <v>44963</v>
      </c>
    </row>
    <row r="158" spans="1:49">
      <c r="A158" s="1077" t="s">
        <v>1561</v>
      </c>
      <c r="B158" s="1077" t="s">
        <v>983</v>
      </c>
      <c r="C158" s="1077">
        <v>650</v>
      </c>
      <c r="D158" s="1077">
        <v>1.74</v>
      </c>
      <c r="E158" s="1077" t="s">
        <v>15089</v>
      </c>
      <c r="F158" s="1077" t="s">
        <v>984</v>
      </c>
      <c r="G158" s="1077" t="s">
        <v>940</v>
      </c>
      <c r="H158" s="1077" t="s">
        <v>1040</v>
      </c>
      <c r="I158" s="1077" t="s">
        <v>942</v>
      </c>
      <c r="J158" s="1077">
        <v>0.9</v>
      </c>
      <c r="K158" s="1077" t="s">
        <v>1562</v>
      </c>
      <c r="L158" s="1077" t="s">
        <v>987</v>
      </c>
      <c r="M158" s="1077">
        <v>50.6</v>
      </c>
      <c r="N158" s="1077" t="s">
        <v>945</v>
      </c>
      <c r="O158" s="1077">
        <v>1.2650000000000001</v>
      </c>
      <c r="P158" s="1077">
        <v>1.012</v>
      </c>
      <c r="Q158" s="1077">
        <v>4</v>
      </c>
      <c r="R158" s="1077">
        <v>24</v>
      </c>
      <c r="T158" s="1077">
        <v>19.399999999999999</v>
      </c>
      <c r="U158" s="1077">
        <v>3.7</v>
      </c>
      <c r="V158" s="1077" t="s">
        <v>648</v>
      </c>
      <c r="W158" s="1077">
        <v>150</v>
      </c>
      <c r="X158" s="1077">
        <v>80</v>
      </c>
      <c r="Y158" s="1077">
        <v>2</v>
      </c>
      <c r="Z158" s="1077">
        <v>3</v>
      </c>
      <c r="AA158" s="1077" t="s">
        <v>1563</v>
      </c>
      <c r="AH158" s="1077" t="s">
        <v>994</v>
      </c>
      <c r="AM158" s="1078" t="s">
        <v>9369</v>
      </c>
      <c r="AN158" s="1078" t="s">
        <v>9370</v>
      </c>
      <c r="AO158" s="1078">
        <f t="shared" si="22"/>
        <v>650</v>
      </c>
      <c r="AP158" s="1078">
        <f t="shared" si="23"/>
        <v>1.74</v>
      </c>
      <c r="AQ158" s="1078" t="str">
        <f t="shared" si="24"/>
        <v>1-4-1S83°</v>
      </c>
      <c r="AR158" s="1078" t="str">
        <f t="shared" si="25"/>
        <v>30</v>
      </c>
      <c r="AS158" s="1078" t="str">
        <f t="shared" si="26"/>
        <v>240/240/OFF</v>
      </c>
      <c r="AT158" s="1078" t="str">
        <f t="shared" si="27"/>
        <v>1-4-1S83°</v>
      </c>
      <c r="AV158" s="1078" t="str">
        <f t="shared" si="20"/>
        <v>112.2.22</v>
      </c>
      <c r="AW158" s="1344">
        <f t="shared" si="21"/>
        <v>44979</v>
      </c>
    </row>
    <row r="159" spans="1:49">
      <c r="A159" s="1077" t="s">
        <v>1564</v>
      </c>
      <c r="B159" s="1077" t="s">
        <v>1008</v>
      </c>
      <c r="C159" s="1077">
        <v>550</v>
      </c>
      <c r="D159" s="1077">
        <v>1.675</v>
      </c>
      <c r="E159" s="1077" t="s">
        <v>15095</v>
      </c>
      <c r="F159" s="1077" t="s">
        <v>975</v>
      </c>
      <c r="G159" s="1077">
        <v>3</v>
      </c>
      <c r="H159" s="1077" t="s">
        <v>1017</v>
      </c>
      <c r="I159" s="1077" t="s">
        <v>126</v>
      </c>
      <c r="J159" s="1077">
        <v>1.7</v>
      </c>
      <c r="K159" s="1077" t="s">
        <v>1522</v>
      </c>
      <c r="L159" s="1077" t="s">
        <v>1011</v>
      </c>
      <c r="M159" s="1077">
        <v>51.8</v>
      </c>
      <c r="N159" s="1077" t="s">
        <v>945</v>
      </c>
      <c r="O159" s="1077">
        <v>1.2949999999999999</v>
      </c>
      <c r="P159" s="1077">
        <v>1.036</v>
      </c>
      <c r="Q159" s="1077">
        <v>3</v>
      </c>
      <c r="R159" s="1077">
        <v>25</v>
      </c>
      <c r="T159" s="1077">
        <v>41.8</v>
      </c>
      <c r="U159" s="1077">
        <v>6</v>
      </c>
      <c r="V159" s="1077" t="s">
        <v>648</v>
      </c>
      <c r="W159" s="1077">
        <v>95</v>
      </c>
      <c r="X159" s="1077">
        <v>80</v>
      </c>
      <c r="Y159" s="1077">
        <v>2.2000000000000002</v>
      </c>
      <c r="Z159" s="1077">
        <v>4</v>
      </c>
      <c r="AA159" s="1077" t="s">
        <v>1565</v>
      </c>
      <c r="AH159" s="1077" t="s">
        <v>622</v>
      </c>
      <c r="AM159" s="1078" t="s">
        <v>9371</v>
      </c>
      <c r="AN159" s="1078" t="s">
        <v>9372</v>
      </c>
      <c r="AO159" s="1078">
        <f t="shared" si="22"/>
        <v>550</v>
      </c>
      <c r="AP159" s="1078">
        <f t="shared" si="23"/>
        <v>1.675</v>
      </c>
      <c r="AQ159" s="1078" t="str">
        <f t="shared" si="24"/>
        <v>1-5-1S83°</v>
      </c>
      <c r="AR159" s="1078" t="str">
        <f t="shared" si="25"/>
        <v>31.5</v>
      </c>
      <c r="AS159" s="1078" t="str">
        <f t="shared" si="26"/>
        <v>200/200/OFF</v>
      </c>
      <c r="AT159" s="1078" t="str">
        <f t="shared" si="27"/>
        <v>1-5-1S83°</v>
      </c>
      <c r="AV159" s="1078" t="str">
        <f t="shared" si="20"/>
        <v>112.3.20</v>
      </c>
      <c r="AW159" s="1344">
        <f t="shared" si="21"/>
        <v>45005</v>
      </c>
    </row>
    <row r="160" spans="1:49">
      <c r="A160" s="1077" t="s">
        <v>1566</v>
      </c>
      <c r="B160" s="1077" t="s">
        <v>1567</v>
      </c>
      <c r="C160" s="1077">
        <v>550</v>
      </c>
      <c r="D160" s="1077">
        <v>1.76</v>
      </c>
      <c r="E160" s="1077" t="s">
        <v>15089</v>
      </c>
      <c r="F160" s="1077" t="s">
        <v>984</v>
      </c>
      <c r="G160" s="1077" t="s">
        <v>1016</v>
      </c>
      <c r="H160" s="1077" t="s">
        <v>1029</v>
      </c>
      <c r="I160" s="1077" t="s">
        <v>126</v>
      </c>
      <c r="J160" s="1077">
        <v>0.7</v>
      </c>
      <c r="K160" s="1077" t="s">
        <v>1568</v>
      </c>
      <c r="L160" s="1077" t="s">
        <v>1569</v>
      </c>
      <c r="M160" s="1077">
        <v>51.2</v>
      </c>
      <c r="N160" s="1077" t="s">
        <v>945</v>
      </c>
      <c r="O160" s="1077">
        <v>1.2800000000000002</v>
      </c>
      <c r="P160" s="1077">
        <v>1.024</v>
      </c>
      <c r="Q160" s="1077">
        <v>4</v>
      </c>
      <c r="R160" s="1077">
        <v>23.5</v>
      </c>
      <c r="T160" s="1077">
        <v>24.5</v>
      </c>
      <c r="U160" s="1077">
        <v>3.5</v>
      </c>
      <c r="V160" s="1077" t="s">
        <v>648</v>
      </c>
      <c r="W160" s="1077">
        <v>125</v>
      </c>
      <c r="X160" s="1077">
        <v>80</v>
      </c>
      <c r="Y160" s="1077">
        <v>2</v>
      </c>
      <c r="Z160" s="1077">
        <v>4</v>
      </c>
      <c r="AA160" s="1077" t="s">
        <v>1570</v>
      </c>
      <c r="AH160" s="1077" t="s">
        <v>966</v>
      </c>
      <c r="AM160" s="1078" t="s">
        <v>9373</v>
      </c>
      <c r="AN160" s="1078" t="s">
        <v>9374</v>
      </c>
      <c r="AO160" s="1078">
        <f t="shared" si="22"/>
        <v>550</v>
      </c>
      <c r="AP160" s="1078">
        <f t="shared" si="23"/>
        <v>1.76</v>
      </c>
      <c r="AQ160" s="1078" t="str">
        <f t="shared" si="24"/>
        <v>1-4-1S83°</v>
      </c>
      <c r="AR160" s="1078" t="str">
        <f t="shared" si="25"/>
        <v>30</v>
      </c>
      <c r="AS160" s="1078" t="str">
        <f t="shared" si="26"/>
        <v>250/250/OFF</v>
      </c>
      <c r="AT160" s="1078" t="str">
        <f t="shared" si="27"/>
        <v>1-4-1S83°</v>
      </c>
      <c r="AV160" s="1078" t="str">
        <f t="shared" si="20"/>
        <v>112.4.24</v>
      </c>
      <c r="AW160" s="1344">
        <f t="shared" si="21"/>
        <v>45040</v>
      </c>
    </row>
    <row r="161" spans="1:49">
      <c r="A161" s="1077" t="s">
        <v>1571</v>
      </c>
      <c r="B161" s="1077" t="s">
        <v>872</v>
      </c>
      <c r="C161" s="1077">
        <v>550</v>
      </c>
      <c r="D161" s="1077">
        <v>1.73</v>
      </c>
      <c r="E161" s="1077" t="s">
        <v>15089</v>
      </c>
      <c r="F161" s="1077" t="s">
        <v>975</v>
      </c>
      <c r="G161" s="1077" t="s">
        <v>940</v>
      </c>
      <c r="H161" s="1077" t="s">
        <v>1572</v>
      </c>
      <c r="I161" s="1077" t="s">
        <v>126</v>
      </c>
      <c r="J161" s="1077">
        <v>0.3</v>
      </c>
      <c r="K161" s="1077" t="s">
        <v>1539</v>
      </c>
      <c r="L161" s="1077" t="s">
        <v>978</v>
      </c>
      <c r="M161" s="1077">
        <v>49.7</v>
      </c>
      <c r="N161" s="1077" t="s">
        <v>945</v>
      </c>
      <c r="O161" s="1077">
        <v>1.2425000000000002</v>
      </c>
      <c r="P161" s="1077">
        <v>0.99400000000000011</v>
      </c>
      <c r="Q161" s="1077">
        <v>4</v>
      </c>
      <c r="R161" s="1077">
        <v>25</v>
      </c>
      <c r="T161" s="1077">
        <v>19.5</v>
      </c>
      <c r="U161" s="1077">
        <v>1.9</v>
      </c>
      <c r="V161" s="1077" t="s">
        <v>648</v>
      </c>
      <c r="W161" s="1077">
        <v>50</v>
      </c>
      <c r="X161" s="1077" t="s">
        <v>1403</v>
      </c>
      <c r="Y161" s="1077">
        <v>2</v>
      </c>
      <c r="Z161" s="1077">
        <v>2.5</v>
      </c>
      <c r="AA161" s="1077" t="s">
        <v>1573</v>
      </c>
      <c r="AH161" s="1077" t="s">
        <v>482</v>
      </c>
      <c r="AI161" s="1077" t="s">
        <v>981</v>
      </c>
      <c r="AJ161" s="1077">
        <v>91.09</v>
      </c>
      <c r="AK161" s="1077">
        <v>-0.4</v>
      </c>
      <c r="AL161" s="1077">
        <v>0.88</v>
      </c>
      <c r="AM161" s="1078" t="s">
        <v>9375</v>
      </c>
      <c r="AN161" s="1078" t="s">
        <v>9376</v>
      </c>
      <c r="AO161" s="1078">
        <f t="shared" si="22"/>
        <v>550</v>
      </c>
      <c r="AP161" s="1078">
        <f t="shared" si="23"/>
        <v>1.73</v>
      </c>
      <c r="AQ161" s="1078" t="str">
        <f t="shared" si="24"/>
        <v>1-4-1S83°</v>
      </c>
      <c r="AR161" s="1078" t="str">
        <f t="shared" si="25"/>
        <v>31.5</v>
      </c>
      <c r="AS161" s="1078" t="str">
        <f t="shared" si="26"/>
        <v>240/240/140</v>
      </c>
      <c r="AT161" s="1078" t="str">
        <f t="shared" si="27"/>
        <v>1-4-1S83°</v>
      </c>
      <c r="AV161" s="1078" t="str">
        <f t="shared" si="20"/>
        <v>112.5.8</v>
      </c>
      <c r="AW161" s="1344">
        <f t="shared" si="21"/>
        <v>45054</v>
      </c>
    </row>
    <row r="162" spans="1:49">
      <c r="A162" s="1077" t="s">
        <v>1574</v>
      </c>
      <c r="B162" s="1077" t="s">
        <v>983</v>
      </c>
      <c r="C162" s="1077">
        <v>600</v>
      </c>
      <c r="D162" s="1077">
        <v>1.7</v>
      </c>
      <c r="E162" s="1077" t="s">
        <v>15091</v>
      </c>
      <c r="F162" s="1077" t="s">
        <v>954</v>
      </c>
      <c r="G162" s="1077" t="s">
        <v>940</v>
      </c>
      <c r="H162" s="1077" t="s">
        <v>1072</v>
      </c>
      <c r="I162" s="1077" t="s">
        <v>126</v>
      </c>
      <c r="J162" s="1077">
        <v>0.7</v>
      </c>
      <c r="K162" s="1077" t="s">
        <v>1575</v>
      </c>
      <c r="L162" s="1077" t="s">
        <v>987</v>
      </c>
      <c r="M162" s="1077">
        <v>51.5</v>
      </c>
      <c r="N162" s="1077" t="s">
        <v>945</v>
      </c>
      <c r="O162" s="1077">
        <v>1.2875000000000001</v>
      </c>
      <c r="P162" s="1077">
        <v>1.03</v>
      </c>
      <c r="Q162" s="1077">
        <v>4</v>
      </c>
      <c r="R162" s="1077">
        <v>24.5</v>
      </c>
      <c r="T162" s="1077">
        <v>20</v>
      </c>
      <c r="U162" s="1077">
        <v>3.4</v>
      </c>
      <c r="V162" s="1077" t="s">
        <v>648</v>
      </c>
      <c r="W162" s="1077">
        <v>125</v>
      </c>
      <c r="X162" s="1077" t="s">
        <v>1130</v>
      </c>
      <c r="Y162" s="1077">
        <v>2.2000000000000002</v>
      </c>
      <c r="Z162" s="1077">
        <v>4</v>
      </c>
      <c r="AA162" s="1077" t="s">
        <v>1576</v>
      </c>
      <c r="AH162" s="1077" t="s">
        <v>1577</v>
      </c>
      <c r="AI162" s="1077" t="s">
        <v>981</v>
      </c>
      <c r="AJ162" s="1077">
        <v>91.45</v>
      </c>
      <c r="AK162" s="1077">
        <v>-0.76</v>
      </c>
      <c r="AL162" s="1077">
        <v>1.25</v>
      </c>
      <c r="AM162" s="1078" t="s">
        <v>9377</v>
      </c>
      <c r="AN162" s="1078" t="s">
        <v>9378</v>
      </c>
      <c r="AO162" s="1078">
        <f t="shared" si="22"/>
        <v>600</v>
      </c>
      <c r="AP162" s="1078">
        <f t="shared" si="23"/>
        <v>1.7</v>
      </c>
      <c r="AQ162" s="1078" t="str">
        <f t="shared" si="24"/>
        <v>2-5-1S83°</v>
      </c>
      <c r="AR162" s="1078" t="str">
        <f t="shared" si="25"/>
        <v>31</v>
      </c>
      <c r="AS162" s="1078" t="str">
        <f t="shared" si="26"/>
        <v>168/OFF</v>
      </c>
      <c r="AT162" s="1078" t="str">
        <f t="shared" si="27"/>
        <v>2-5-1S83°</v>
      </c>
      <c r="AV162" s="1078" t="str">
        <f t="shared" si="20"/>
        <v>112.5.1</v>
      </c>
      <c r="AW162" s="1344">
        <f t="shared" si="21"/>
        <v>45047</v>
      </c>
    </row>
    <row r="163" spans="1:49">
      <c r="A163" s="1077" t="s">
        <v>1578</v>
      </c>
      <c r="B163" s="1077" t="s">
        <v>1463</v>
      </c>
      <c r="C163" s="1077">
        <v>600</v>
      </c>
      <c r="D163" s="1077">
        <v>1.66</v>
      </c>
      <c r="E163" s="1077" t="s">
        <v>15090</v>
      </c>
      <c r="F163" s="1077" t="s">
        <v>648</v>
      </c>
      <c r="G163" s="1077">
        <v>2</v>
      </c>
      <c r="H163" s="1077" t="s">
        <v>1188</v>
      </c>
      <c r="I163" s="1077" t="s">
        <v>942</v>
      </c>
      <c r="J163" s="1077">
        <v>1</v>
      </c>
      <c r="K163" s="1077" t="s">
        <v>1579</v>
      </c>
      <c r="L163" s="1077" t="s">
        <v>1466</v>
      </c>
      <c r="M163" s="1077">
        <v>51.5</v>
      </c>
      <c r="N163" s="1077" t="s">
        <v>945</v>
      </c>
      <c r="O163" s="1077">
        <v>1.2875000000000001</v>
      </c>
      <c r="P163" s="1077">
        <v>1.03</v>
      </c>
      <c r="Q163" s="1077">
        <v>4</v>
      </c>
      <c r="R163" s="1077">
        <v>24</v>
      </c>
      <c r="T163" s="1077">
        <v>21.2</v>
      </c>
      <c r="U163" s="1077">
        <v>3.6</v>
      </c>
      <c r="V163" s="1077" t="s">
        <v>648</v>
      </c>
      <c r="W163" s="1077">
        <v>150</v>
      </c>
      <c r="X163" s="1077">
        <v>80</v>
      </c>
      <c r="Y163" s="1077">
        <v>2</v>
      </c>
      <c r="Z163" s="1077">
        <v>4</v>
      </c>
      <c r="AA163" s="1077" t="s">
        <v>1580</v>
      </c>
      <c r="AH163" s="1077" t="s">
        <v>783</v>
      </c>
      <c r="AJ163" s="1077">
        <v>92.72</v>
      </c>
      <c r="AK163" s="1077">
        <v>0.26</v>
      </c>
      <c r="AL163" s="1077">
        <v>0.82</v>
      </c>
      <c r="AM163" s="1078" t="s">
        <v>9379</v>
      </c>
      <c r="AN163" s="1078" t="s">
        <v>9380</v>
      </c>
      <c r="AO163" s="1078">
        <f t="shared" si="22"/>
        <v>600</v>
      </c>
      <c r="AP163" s="1078">
        <f t="shared" si="23"/>
        <v>1.66</v>
      </c>
      <c r="AQ163" s="1078" t="str">
        <f t="shared" si="24"/>
        <v>1-5-1S85°</v>
      </c>
      <c r="AR163" s="1078" t="str">
        <f t="shared" si="25"/>
        <v>NA</v>
      </c>
      <c r="AS163" s="1078" t="str">
        <f t="shared" si="26"/>
        <v>177/OFF</v>
      </c>
      <c r="AT163" s="1078" t="str">
        <f t="shared" si="27"/>
        <v>1-5-1S85°</v>
      </c>
      <c r="AV163" s="1078" t="str">
        <f t="shared" si="20"/>
        <v>112.6.1</v>
      </c>
      <c r="AW163" s="1344">
        <f t="shared" si="21"/>
        <v>45078</v>
      </c>
    </row>
    <row r="164" spans="1:49">
      <c r="A164" s="1077" t="s">
        <v>1581</v>
      </c>
      <c r="B164" s="1077" t="s">
        <v>983</v>
      </c>
      <c r="C164" s="1077">
        <v>650</v>
      </c>
      <c r="D164" s="1077">
        <v>1.74</v>
      </c>
      <c r="E164" s="1077" t="s">
        <v>15089</v>
      </c>
      <c r="F164" s="1077" t="s">
        <v>984</v>
      </c>
      <c r="G164" s="1077" t="s">
        <v>940</v>
      </c>
      <c r="H164" s="1077" t="s">
        <v>1040</v>
      </c>
      <c r="I164" s="1077" t="s">
        <v>942</v>
      </c>
      <c r="J164" s="1077">
        <v>0.9</v>
      </c>
      <c r="K164" s="1077" t="s">
        <v>1582</v>
      </c>
      <c r="L164" s="1077" t="s">
        <v>987</v>
      </c>
      <c r="M164" s="1077">
        <v>50.6</v>
      </c>
      <c r="N164" s="1077" t="s">
        <v>945</v>
      </c>
      <c r="O164" s="1077">
        <v>1.2650000000000001</v>
      </c>
      <c r="P164" s="1077">
        <v>1.012</v>
      </c>
      <c r="Q164" s="1077">
        <v>4</v>
      </c>
      <c r="R164" s="1077">
        <v>24</v>
      </c>
      <c r="T164" s="1077">
        <v>19.399999999999999</v>
      </c>
      <c r="U164" s="1077">
        <v>3.7</v>
      </c>
      <c r="V164" s="1077" t="s">
        <v>648</v>
      </c>
      <c r="W164" s="1077">
        <v>150</v>
      </c>
      <c r="X164" s="1077" t="s">
        <v>1063</v>
      </c>
      <c r="Y164" s="1077">
        <v>2</v>
      </c>
      <c r="Z164" s="1077">
        <v>3</v>
      </c>
      <c r="AA164" s="1077" t="s">
        <v>1580</v>
      </c>
      <c r="AH164" s="1077" t="s">
        <v>619</v>
      </c>
      <c r="AI164" s="1077" t="s">
        <v>981</v>
      </c>
      <c r="AJ164" s="1077">
        <v>91.42</v>
      </c>
      <c r="AK164" s="1077">
        <v>-0.5</v>
      </c>
      <c r="AL164" s="1077">
        <v>0.37</v>
      </c>
      <c r="AM164" s="1078" t="s">
        <v>9381</v>
      </c>
      <c r="AN164" s="1078" t="s">
        <v>9382</v>
      </c>
      <c r="AO164" s="1078">
        <f t="shared" si="22"/>
        <v>650</v>
      </c>
      <c r="AP164" s="1078">
        <f t="shared" si="23"/>
        <v>1.74</v>
      </c>
      <c r="AQ164" s="1078" t="str">
        <f t="shared" si="24"/>
        <v>1-4-1S83°</v>
      </c>
      <c r="AR164" s="1078" t="str">
        <f t="shared" si="25"/>
        <v>30</v>
      </c>
      <c r="AS164" s="1078" t="str">
        <f t="shared" si="26"/>
        <v>240/240/OFF</v>
      </c>
      <c r="AT164" s="1078" t="str">
        <f t="shared" si="27"/>
        <v>1-4-1S83°</v>
      </c>
      <c r="AV164" s="1078" t="str">
        <f t="shared" si="20"/>
        <v>112.6.1</v>
      </c>
      <c r="AW164" s="1344">
        <f t="shared" si="21"/>
        <v>45078</v>
      </c>
    </row>
    <row r="165" spans="1:49">
      <c r="A165" s="1077" t="s">
        <v>1583</v>
      </c>
      <c r="B165" s="1077" t="s">
        <v>983</v>
      </c>
      <c r="C165" s="1077">
        <v>650</v>
      </c>
      <c r="D165" s="1077">
        <v>1.71</v>
      </c>
      <c r="E165" s="1077" t="s">
        <v>15089</v>
      </c>
      <c r="F165" s="1077" t="s">
        <v>984</v>
      </c>
      <c r="G165" s="1077" t="s">
        <v>940</v>
      </c>
      <c r="H165" s="1077" t="s">
        <v>1301</v>
      </c>
      <c r="I165" s="1077" t="s">
        <v>126</v>
      </c>
      <c r="J165" s="1077">
        <v>0.7</v>
      </c>
      <c r="K165" s="1077" t="s">
        <v>1210</v>
      </c>
      <c r="L165" s="1077" t="s">
        <v>987</v>
      </c>
      <c r="M165" s="1077">
        <v>51.5</v>
      </c>
      <c r="N165" s="1077" t="s">
        <v>945</v>
      </c>
      <c r="O165" s="1077">
        <v>1.2875000000000001</v>
      </c>
      <c r="P165" s="1077">
        <v>1.03</v>
      </c>
      <c r="Q165" s="1077">
        <v>4</v>
      </c>
      <c r="R165" s="1077">
        <v>24.5</v>
      </c>
      <c r="T165" s="1077">
        <v>20</v>
      </c>
      <c r="U165" s="1077">
        <v>3.4</v>
      </c>
      <c r="V165" s="1077" t="s">
        <v>648</v>
      </c>
      <c r="W165" s="1077">
        <v>125</v>
      </c>
      <c r="X165" s="1077" t="s">
        <v>1063</v>
      </c>
      <c r="Y165" s="1077">
        <v>2.2000000000000002</v>
      </c>
      <c r="Z165" s="1077">
        <v>4</v>
      </c>
      <c r="AA165" s="1077" t="s">
        <v>1316</v>
      </c>
      <c r="AH165" s="1077" t="s">
        <v>1186</v>
      </c>
      <c r="AI165" s="1077" t="s">
        <v>981</v>
      </c>
      <c r="AM165" s="1078" t="s">
        <v>9235</v>
      </c>
      <c r="AN165" s="1078" t="s">
        <v>9383</v>
      </c>
      <c r="AO165" s="1078">
        <f t="shared" si="22"/>
        <v>650</v>
      </c>
      <c r="AP165" s="1078">
        <f t="shared" si="23"/>
        <v>1.71</v>
      </c>
      <c r="AQ165" s="1078" t="str">
        <f t="shared" si="24"/>
        <v>1-4-1S83°</v>
      </c>
      <c r="AR165" s="1078" t="str">
        <f t="shared" si="25"/>
        <v>30</v>
      </c>
      <c r="AS165" s="1078" t="str">
        <f t="shared" si="26"/>
        <v>242/242/OFF</v>
      </c>
      <c r="AT165" s="1078" t="str">
        <f t="shared" si="27"/>
        <v>1-4-1S83°</v>
      </c>
      <c r="AV165" s="1078" t="str">
        <f t="shared" si="20"/>
        <v>110.8.11</v>
      </c>
      <c r="AW165" s="1344">
        <f t="shared" si="21"/>
        <v>44419</v>
      </c>
    </row>
    <row r="166" spans="1:49">
      <c r="A166" s="1077" t="s">
        <v>1584</v>
      </c>
      <c r="B166" s="1077" t="s">
        <v>983</v>
      </c>
      <c r="C166" s="1077">
        <v>650</v>
      </c>
      <c r="D166" s="1077">
        <v>1.74</v>
      </c>
      <c r="E166" s="1077" t="s">
        <v>15089</v>
      </c>
      <c r="F166" s="1077" t="s">
        <v>984</v>
      </c>
      <c r="G166" s="1077" t="s">
        <v>940</v>
      </c>
      <c r="H166" s="1077" t="s">
        <v>1040</v>
      </c>
      <c r="I166" s="1077" t="s">
        <v>942</v>
      </c>
      <c r="J166" s="1077">
        <v>1</v>
      </c>
      <c r="K166" s="1077" t="s">
        <v>1582</v>
      </c>
      <c r="L166" s="1077" t="s">
        <v>987</v>
      </c>
      <c r="M166" s="1077">
        <v>50.6</v>
      </c>
      <c r="N166" s="1077" t="s">
        <v>945</v>
      </c>
      <c r="O166" s="1077">
        <v>1.2650000000000001</v>
      </c>
      <c r="P166" s="1077">
        <v>1.012</v>
      </c>
      <c r="Q166" s="1077">
        <v>4</v>
      </c>
      <c r="R166" s="1077">
        <v>24</v>
      </c>
      <c r="T166" s="1077">
        <v>19.399999999999999</v>
      </c>
      <c r="U166" s="1077">
        <v>3.7</v>
      </c>
      <c r="V166" s="1077" t="s">
        <v>648</v>
      </c>
      <c r="W166" s="1077">
        <v>150</v>
      </c>
      <c r="X166" s="1077" t="s">
        <v>1063</v>
      </c>
      <c r="Y166" s="1077">
        <v>2</v>
      </c>
      <c r="Z166" s="1077">
        <v>3</v>
      </c>
      <c r="AA166" s="1077" t="s">
        <v>1580</v>
      </c>
      <c r="AH166" s="1077" t="s">
        <v>680</v>
      </c>
      <c r="AI166" s="1077" t="s">
        <v>981</v>
      </c>
      <c r="AJ166" s="1077">
        <v>91.44</v>
      </c>
      <c r="AK166" s="1077">
        <v>-0.78</v>
      </c>
      <c r="AL166" s="1077">
        <v>1.27</v>
      </c>
      <c r="AM166" s="1078" t="s">
        <v>9384</v>
      </c>
      <c r="AN166" s="1078" t="s">
        <v>9385</v>
      </c>
      <c r="AO166" s="1078">
        <f t="shared" si="22"/>
        <v>650</v>
      </c>
      <c r="AP166" s="1078">
        <f t="shared" si="23"/>
        <v>1.74</v>
      </c>
      <c r="AQ166" s="1078" t="str">
        <f t="shared" si="24"/>
        <v>1-4-1S83°</v>
      </c>
      <c r="AR166" s="1078" t="str">
        <f t="shared" si="25"/>
        <v>30</v>
      </c>
      <c r="AS166" s="1078" t="str">
        <f t="shared" si="26"/>
        <v>240/240/OFF</v>
      </c>
      <c r="AT166" s="1078" t="str">
        <f t="shared" si="27"/>
        <v>1-4-1S83°</v>
      </c>
      <c r="AV166" s="1078" t="str">
        <f t="shared" si="20"/>
        <v>112.6.1</v>
      </c>
      <c r="AW166" s="1344">
        <f t="shared" si="21"/>
        <v>45078</v>
      </c>
    </row>
    <row r="167" spans="1:49">
      <c r="A167" s="1077" t="s">
        <v>1583</v>
      </c>
      <c r="B167" s="1077" t="s">
        <v>983</v>
      </c>
      <c r="C167" s="1077">
        <v>650</v>
      </c>
      <c r="D167" s="1077">
        <v>1.71</v>
      </c>
      <c r="E167" s="1077" t="s">
        <v>15089</v>
      </c>
      <c r="F167" s="1077" t="s">
        <v>984</v>
      </c>
      <c r="G167" s="1077" t="s">
        <v>940</v>
      </c>
      <c r="H167" s="1077" t="s">
        <v>1301</v>
      </c>
      <c r="I167" s="1077" t="s">
        <v>126</v>
      </c>
      <c r="J167" s="1077">
        <v>0.7</v>
      </c>
      <c r="K167" s="1077" t="s">
        <v>1210</v>
      </c>
      <c r="L167" s="1077" t="s">
        <v>987</v>
      </c>
      <c r="M167" s="1077">
        <v>51.5</v>
      </c>
      <c r="N167" s="1077" t="s">
        <v>945</v>
      </c>
      <c r="O167" s="1077">
        <v>1.2875000000000001</v>
      </c>
      <c r="P167" s="1077">
        <v>1.03</v>
      </c>
      <c r="Q167" s="1077">
        <v>4</v>
      </c>
      <c r="R167" s="1077">
        <v>24.5</v>
      </c>
      <c r="T167" s="1077">
        <v>20</v>
      </c>
      <c r="U167" s="1077">
        <v>3.4</v>
      </c>
      <c r="V167" s="1077" t="s">
        <v>648</v>
      </c>
      <c r="W167" s="1077">
        <v>125</v>
      </c>
      <c r="X167" s="1077" t="s">
        <v>1063</v>
      </c>
      <c r="Y167" s="1077">
        <v>2.2000000000000002</v>
      </c>
      <c r="Z167" s="1077">
        <v>4</v>
      </c>
      <c r="AA167" s="1077" t="s">
        <v>1316</v>
      </c>
      <c r="AH167" s="1077" t="s">
        <v>1186</v>
      </c>
      <c r="AI167" s="1077" t="s">
        <v>981</v>
      </c>
      <c r="AM167" s="1078" t="s">
        <v>9235</v>
      </c>
      <c r="AN167" s="1078" t="s">
        <v>9383</v>
      </c>
      <c r="AO167" s="1078">
        <f t="shared" si="22"/>
        <v>650</v>
      </c>
      <c r="AP167" s="1078">
        <f t="shared" si="23"/>
        <v>1.71</v>
      </c>
      <c r="AQ167" s="1078" t="str">
        <f t="shared" si="24"/>
        <v>1-4-1S83°</v>
      </c>
      <c r="AR167" s="1078" t="str">
        <f t="shared" si="25"/>
        <v>30</v>
      </c>
      <c r="AS167" s="1078" t="str">
        <f t="shared" si="26"/>
        <v>242/242/OFF</v>
      </c>
      <c r="AT167" s="1078" t="str">
        <f t="shared" si="27"/>
        <v>1-4-1S83°</v>
      </c>
      <c r="AV167" s="1078" t="str">
        <f t="shared" si="20"/>
        <v>110.8.11</v>
      </c>
      <c r="AW167" s="1344">
        <f t="shared" si="21"/>
        <v>44419</v>
      </c>
    </row>
    <row r="168" spans="1:49">
      <c r="A168" s="1077" t="s">
        <v>1585</v>
      </c>
      <c r="B168" s="1077" t="s">
        <v>874</v>
      </c>
      <c r="C168" s="1077">
        <v>500</v>
      </c>
      <c r="D168" s="1077">
        <v>1.78</v>
      </c>
      <c r="E168" s="1077" t="s">
        <v>15096</v>
      </c>
      <c r="F168" s="1077" t="s">
        <v>984</v>
      </c>
      <c r="G168" s="1077" t="s">
        <v>1001</v>
      </c>
      <c r="H168" s="1077" t="s">
        <v>1290</v>
      </c>
      <c r="I168" s="1077" t="s">
        <v>126</v>
      </c>
      <c r="J168" s="1077">
        <v>1.1000000000000001</v>
      </c>
      <c r="K168" s="1077" t="s">
        <v>1586</v>
      </c>
      <c r="L168" s="1077" t="s">
        <v>1176</v>
      </c>
      <c r="M168" s="1077">
        <v>51.8</v>
      </c>
      <c r="N168" s="1077" t="s">
        <v>945</v>
      </c>
      <c r="O168" s="1077">
        <v>1.2949999999999999</v>
      </c>
      <c r="P168" s="1077">
        <v>1.036</v>
      </c>
      <c r="Q168" s="1077">
        <v>4</v>
      </c>
      <c r="R168" s="1077">
        <v>20.100000000000001</v>
      </c>
      <c r="T168" s="1077">
        <v>30</v>
      </c>
      <c r="U168" s="1077">
        <v>3.8</v>
      </c>
      <c r="V168" s="1077" t="s">
        <v>648</v>
      </c>
      <c r="W168" s="1077">
        <v>120</v>
      </c>
      <c r="X168" s="1077">
        <v>75</v>
      </c>
      <c r="Y168" s="1077">
        <v>2</v>
      </c>
      <c r="Z168" s="1077">
        <v>4</v>
      </c>
      <c r="AA168" s="1077" t="s">
        <v>1587</v>
      </c>
      <c r="AH168" s="1077" t="s">
        <v>1588</v>
      </c>
      <c r="AJ168" s="1077">
        <v>16.16</v>
      </c>
      <c r="AK168" s="1077">
        <v>0.46</v>
      </c>
      <c r="AL168" s="1077">
        <v>1.88</v>
      </c>
      <c r="AM168" s="1078" t="s">
        <v>9386</v>
      </c>
      <c r="AN168" s="1078" t="s">
        <v>9387</v>
      </c>
      <c r="AO168" s="1078">
        <f t="shared" si="22"/>
        <v>500</v>
      </c>
      <c r="AP168" s="1078">
        <f t="shared" si="23"/>
        <v>1.78</v>
      </c>
      <c r="AQ168" s="1078" t="str">
        <f t="shared" si="24"/>
        <v>1-4-1S87°</v>
      </c>
      <c r="AR168" s="1078" t="str">
        <f t="shared" si="25"/>
        <v>30</v>
      </c>
      <c r="AS168" s="1078" t="str">
        <f t="shared" si="26"/>
        <v>220/220/OFF</v>
      </c>
      <c r="AT168" s="1078" t="str">
        <f t="shared" si="27"/>
        <v>1-4-1S87°</v>
      </c>
      <c r="AV168" s="1078" t="str">
        <f t="shared" si="20"/>
        <v>112.6.2</v>
      </c>
      <c r="AW168" s="1344">
        <f t="shared" si="21"/>
        <v>45079</v>
      </c>
    </row>
    <row r="169" spans="1:49">
      <c r="A169" s="1077" t="s">
        <v>1589</v>
      </c>
      <c r="B169" s="1077" t="s">
        <v>1463</v>
      </c>
      <c r="C169" s="1077">
        <v>600</v>
      </c>
      <c r="D169" s="1077">
        <v>1.66</v>
      </c>
      <c r="E169" s="1077" t="s">
        <v>15090</v>
      </c>
      <c r="F169" s="1077" t="s">
        <v>648</v>
      </c>
      <c r="G169" s="1077">
        <v>2</v>
      </c>
      <c r="H169" s="1077" t="s">
        <v>1188</v>
      </c>
      <c r="I169" s="1077" t="s">
        <v>942</v>
      </c>
      <c r="J169" s="1077">
        <v>1</v>
      </c>
      <c r="K169" s="1077" t="s">
        <v>1590</v>
      </c>
      <c r="L169" s="1077" t="s">
        <v>1510</v>
      </c>
      <c r="M169" s="1077">
        <v>51.5</v>
      </c>
      <c r="N169" s="1077" t="s">
        <v>945</v>
      </c>
      <c r="O169" s="1077">
        <v>1.2875000000000001</v>
      </c>
      <c r="P169" s="1077">
        <v>1.03</v>
      </c>
      <c r="Q169" s="1077">
        <v>4</v>
      </c>
      <c r="R169" s="1077">
        <v>24</v>
      </c>
      <c r="T169" s="1077">
        <v>21.2</v>
      </c>
      <c r="U169" s="1077">
        <v>3.6</v>
      </c>
      <c r="V169" s="1077" t="s">
        <v>648</v>
      </c>
      <c r="W169" s="1077">
        <v>150</v>
      </c>
      <c r="X169" s="1077">
        <v>80</v>
      </c>
      <c r="Y169" s="1077">
        <v>2</v>
      </c>
      <c r="Z169" s="1077">
        <v>4</v>
      </c>
      <c r="AA169" s="1077" t="s">
        <v>1591</v>
      </c>
      <c r="AH169" s="1077" t="s">
        <v>1486</v>
      </c>
      <c r="AJ169" s="1077">
        <v>94.9</v>
      </c>
      <c r="AK169" s="1077">
        <v>-7.0000000000000007E-2</v>
      </c>
      <c r="AL169" s="1077">
        <v>0.1</v>
      </c>
      <c r="AM169" s="1078" t="s">
        <v>9388</v>
      </c>
      <c r="AN169" s="1078" t="s">
        <v>9389</v>
      </c>
      <c r="AO169" s="1078">
        <f t="shared" si="22"/>
        <v>600</v>
      </c>
      <c r="AP169" s="1078">
        <f t="shared" si="23"/>
        <v>1.66</v>
      </c>
      <c r="AQ169" s="1078" t="str">
        <f t="shared" si="24"/>
        <v>1-5-1S85°</v>
      </c>
      <c r="AR169" s="1078" t="str">
        <f t="shared" si="25"/>
        <v>NA</v>
      </c>
      <c r="AS169" s="1078" t="str">
        <f t="shared" si="26"/>
        <v>177/OFF</v>
      </c>
      <c r="AT169" s="1078" t="str">
        <f t="shared" si="27"/>
        <v>1-5-1S85°</v>
      </c>
      <c r="AV169" s="1078" t="str">
        <f t="shared" si="20"/>
        <v>112.6.16</v>
      </c>
      <c r="AW169" s="1344">
        <f t="shared" si="21"/>
        <v>45093</v>
      </c>
    </row>
    <row r="170" spans="1:49">
      <c r="A170" s="1077" t="s">
        <v>1592</v>
      </c>
      <c r="B170" s="1077" t="s">
        <v>1154</v>
      </c>
      <c r="C170" s="1077">
        <v>550</v>
      </c>
      <c r="D170" s="1077">
        <v>1.74</v>
      </c>
      <c r="E170" s="1077" t="s">
        <v>15091</v>
      </c>
      <c r="F170" s="1077" t="s">
        <v>1469</v>
      </c>
      <c r="G170" s="1077" t="s">
        <v>940</v>
      </c>
      <c r="H170" s="1077" t="s">
        <v>1484</v>
      </c>
      <c r="I170" s="1077" t="s">
        <v>1112</v>
      </c>
      <c r="J170" s="1077">
        <v>0.8</v>
      </c>
      <c r="K170" s="1077" t="s">
        <v>1539</v>
      </c>
      <c r="L170" s="1077" t="s">
        <v>1157</v>
      </c>
      <c r="M170" s="1077">
        <v>49.5</v>
      </c>
      <c r="N170" s="1077" t="s">
        <v>945</v>
      </c>
      <c r="O170" s="1077">
        <v>1.2375</v>
      </c>
      <c r="P170" s="1077">
        <v>0.99</v>
      </c>
      <c r="Q170" s="1077">
        <v>4</v>
      </c>
      <c r="R170" s="1077">
        <v>24</v>
      </c>
      <c r="T170" s="1077">
        <v>31</v>
      </c>
      <c r="U170" s="1077">
        <v>3.3</v>
      </c>
      <c r="V170" s="1077" t="s">
        <v>648</v>
      </c>
      <c r="W170" s="1077">
        <v>110</v>
      </c>
      <c r="X170" s="1077">
        <v>70</v>
      </c>
      <c r="Y170" s="1077">
        <v>2.7</v>
      </c>
      <c r="Z170" s="1077">
        <v>4.5</v>
      </c>
      <c r="AA170" s="1077" t="s">
        <v>1593</v>
      </c>
      <c r="AH170" s="1077" t="s">
        <v>812</v>
      </c>
      <c r="AJ170" s="1077">
        <v>92.12</v>
      </c>
      <c r="AK170" s="1077">
        <v>-1.26</v>
      </c>
      <c r="AL170" s="1077">
        <v>3.65</v>
      </c>
      <c r="AM170" s="1078" t="s">
        <v>9390</v>
      </c>
      <c r="AN170" s="1078" t="s">
        <v>9391</v>
      </c>
      <c r="AO170" s="1078">
        <f t="shared" si="22"/>
        <v>550</v>
      </c>
      <c r="AP170" s="1078">
        <f t="shared" si="23"/>
        <v>1.74</v>
      </c>
      <c r="AQ170" s="1078" t="str">
        <f t="shared" si="24"/>
        <v>2-5-1S83°</v>
      </c>
      <c r="AR170" s="1078" t="str">
        <f t="shared" si="25"/>
        <v>30.5</v>
      </c>
      <c r="AS170" s="1078" t="str">
        <f t="shared" si="26"/>
        <v>165/OFF</v>
      </c>
      <c r="AT170" s="1078" t="str">
        <f t="shared" si="27"/>
        <v>2-5-1S83°</v>
      </c>
      <c r="AV170" s="1078" t="str">
        <f t="shared" si="20"/>
        <v>112.6.17</v>
      </c>
      <c r="AW170" s="1344">
        <f t="shared" si="21"/>
        <v>45094</v>
      </c>
    </row>
    <row r="171" spans="1:49">
      <c r="A171" s="1077" t="s">
        <v>1594</v>
      </c>
      <c r="B171" s="1077" t="s">
        <v>983</v>
      </c>
      <c r="C171" s="1077">
        <v>650</v>
      </c>
      <c r="D171" s="1077">
        <v>1.71</v>
      </c>
      <c r="E171" s="1077" t="s">
        <v>15089</v>
      </c>
      <c r="F171" s="1077" t="s">
        <v>984</v>
      </c>
      <c r="G171" s="1077" t="s">
        <v>940</v>
      </c>
      <c r="H171" s="1077" t="s">
        <v>1040</v>
      </c>
      <c r="I171" s="1077" t="s">
        <v>126</v>
      </c>
      <c r="J171" s="1077">
        <v>0.8</v>
      </c>
      <c r="K171" s="1077" t="s">
        <v>1595</v>
      </c>
      <c r="L171" s="1077" t="s">
        <v>987</v>
      </c>
      <c r="M171" s="1077">
        <v>51.5</v>
      </c>
      <c r="N171" s="1077" t="s">
        <v>945</v>
      </c>
      <c r="O171" s="1077">
        <v>1.2875000000000001</v>
      </c>
      <c r="P171" s="1077">
        <v>1.03</v>
      </c>
      <c r="Q171" s="1077">
        <v>4</v>
      </c>
      <c r="R171" s="1077">
        <v>24.5</v>
      </c>
      <c r="T171" s="1077">
        <v>20</v>
      </c>
      <c r="U171" s="1077">
        <v>3.4</v>
      </c>
      <c r="V171" s="1077" t="s">
        <v>648</v>
      </c>
      <c r="W171" s="1077">
        <v>125</v>
      </c>
      <c r="X171" s="1077" t="s">
        <v>1063</v>
      </c>
      <c r="Y171" s="1077">
        <v>2.2000000000000002</v>
      </c>
      <c r="Z171" s="1077">
        <v>4</v>
      </c>
      <c r="AA171" s="1077" t="s">
        <v>1596</v>
      </c>
      <c r="AH171" s="1077" t="s">
        <v>994</v>
      </c>
      <c r="AI171" s="1077" t="s">
        <v>981</v>
      </c>
      <c r="AJ171" s="1077" t="s">
        <v>1597</v>
      </c>
      <c r="AK171" s="1077" t="s">
        <v>1597</v>
      </c>
      <c r="AL171" s="1077" t="s">
        <v>1597</v>
      </c>
      <c r="AM171" s="1078" t="s">
        <v>9392</v>
      </c>
      <c r="AN171" s="1078" t="s">
        <v>9393</v>
      </c>
      <c r="AO171" s="1078">
        <f t="shared" si="22"/>
        <v>650</v>
      </c>
      <c r="AP171" s="1078">
        <f t="shared" si="23"/>
        <v>1.71</v>
      </c>
      <c r="AQ171" s="1078" t="str">
        <f t="shared" si="24"/>
        <v>1-4-1S83°</v>
      </c>
      <c r="AR171" s="1078" t="str">
        <f t="shared" si="25"/>
        <v>30</v>
      </c>
      <c r="AS171" s="1078" t="str">
        <f t="shared" si="26"/>
        <v>240/240/OFF</v>
      </c>
      <c r="AT171" s="1078" t="str">
        <f t="shared" si="27"/>
        <v>1-4-1S83°</v>
      </c>
      <c r="AV171" s="1078" t="str">
        <f t="shared" si="20"/>
        <v>112.7.10</v>
      </c>
      <c r="AW171" s="1344">
        <f t="shared" si="21"/>
        <v>45117</v>
      </c>
    </row>
    <row r="172" spans="1:49">
      <c r="A172" s="1077" t="s">
        <v>1598</v>
      </c>
      <c r="B172" s="1077" t="s">
        <v>983</v>
      </c>
      <c r="C172" s="1077">
        <v>650</v>
      </c>
      <c r="D172" s="1077">
        <v>1.71</v>
      </c>
      <c r="E172" s="1077" t="s">
        <v>15089</v>
      </c>
      <c r="F172" s="1077" t="s">
        <v>984</v>
      </c>
      <c r="G172" s="1077" t="s">
        <v>940</v>
      </c>
      <c r="H172" s="1077" t="s">
        <v>1040</v>
      </c>
      <c r="I172" s="1077" t="s">
        <v>126</v>
      </c>
      <c r="J172" s="1077">
        <v>0.8</v>
      </c>
      <c r="K172" s="1077" t="s">
        <v>1595</v>
      </c>
      <c r="L172" s="1077" t="s">
        <v>987</v>
      </c>
      <c r="M172" s="1077">
        <v>51.5</v>
      </c>
      <c r="N172" s="1077" t="s">
        <v>945</v>
      </c>
      <c r="O172" s="1077">
        <v>1.2875000000000001</v>
      </c>
      <c r="P172" s="1077">
        <v>1.03</v>
      </c>
      <c r="Q172" s="1077">
        <v>4</v>
      </c>
      <c r="R172" s="1077">
        <v>24.5</v>
      </c>
      <c r="T172" s="1077">
        <v>20</v>
      </c>
      <c r="U172" s="1077">
        <v>3.4</v>
      </c>
      <c r="V172" s="1077" t="s">
        <v>648</v>
      </c>
      <c r="W172" s="1077">
        <v>125</v>
      </c>
      <c r="X172" s="1077" t="s">
        <v>1063</v>
      </c>
      <c r="Y172" s="1077">
        <v>2.2000000000000002</v>
      </c>
      <c r="Z172" s="1077">
        <v>4</v>
      </c>
      <c r="AA172" s="1077" t="s">
        <v>1599</v>
      </c>
      <c r="AH172" s="1077" t="s">
        <v>1600</v>
      </c>
      <c r="AI172" s="1077" t="s">
        <v>981</v>
      </c>
      <c r="AJ172" s="1077">
        <v>93.39</v>
      </c>
      <c r="AK172" s="1077">
        <v>0.83</v>
      </c>
      <c r="AL172" s="1077">
        <v>0.2</v>
      </c>
      <c r="AM172" s="1078" t="s">
        <v>9394</v>
      </c>
      <c r="AN172" s="1078" t="s">
        <v>9395</v>
      </c>
      <c r="AO172" s="1078">
        <f t="shared" si="22"/>
        <v>650</v>
      </c>
      <c r="AP172" s="1078">
        <f t="shared" si="23"/>
        <v>1.71</v>
      </c>
      <c r="AQ172" s="1078" t="str">
        <f t="shared" si="24"/>
        <v>1-4-1S83°</v>
      </c>
      <c r="AR172" s="1078" t="str">
        <f t="shared" si="25"/>
        <v>30</v>
      </c>
      <c r="AS172" s="1078" t="str">
        <f t="shared" si="26"/>
        <v>240/240/OFF</v>
      </c>
      <c r="AT172" s="1078" t="str">
        <f t="shared" si="27"/>
        <v>1-4-1S83°</v>
      </c>
      <c r="AV172" s="1078" t="str">
        <f t="shared" si="20"/>
        <v>112.7.11</v>
      </c>
      <c r="AW172" s="1344">
        <f t="shared" si="21"/>
        <v>45118</v>
      </c>
    </row>
    <row r="173" spans="1:49">
      <c r="A173" s="1077" t="s">
        <v>1601</v>
      </c>
      <c r="B173" s="1077" t="s">
        <v>1033</v>
      </c>
      <c r="C173" s="1077">
        <v>550</v>
      </c>
      <c r="D173" s="1077">
        <v>1.6850000000000001</v>
      </c>
      <c r="E173" s="1077" t="s">
        <v>15089</v>
      </c>
      <c r="F173" s="1077" t="s">
        <v>1318</v>
      </c>
      <c r="G173" s="1077" t="s">
        <v>940</v>
      </c>
      <c r="H173" s="1077" t="s">
        <v>1040</v>
      </c>
      <c r="I173" s="1077" t="s">
        <v>126</v>
      </c>
      <c r="J173" s="1077">
        <v>0.7</v>
      </c>
      <c r="K173" s="1077" t="s">
        <v>1602</v>
      </c>
      <c r="L173" s="1077" t="s">
        <v>1036</v>
      </c>
      <c r="M173" s="1077">
        <v>50.7</v>
      </c>
      <c r="N173" s="1077" t="s">
        <v>945</v>
      </c>
      <c r="O173" s="1077">
        <v>1.2675000000000001</v>
      </c>
      <c r="P173" s="1077">
        <v>1.014</v>
      </c>
      <c r="Q173" s="1077" t="s">
        <v>1603</v>
      </c>
      <c r="R173" s="1077" t="s">
        <v>1604</v>
      </c>
      <c r="T173" s="1077">
        <v>21</v>
      </c>
      <c r="U173" s="1077">
        <v>3.3</v>
      </c>
      <c r="V173" s="1077" t="s">
        <v>648</v>
      </c>
      <c r="W173" s="1077" t="s">
        <v>1605</v>
      </c>
      <c r="X173" s="1077" t="s">
        <v>1130</v>
      </c>
      <c r="Y173" s="1077" t="s">
        <v>1606</v>
      </c>
      <c r="Z173" s="1077">
        <v>4</v>
      </c>
      <c r="AA173" s="1077" t="s">
        <v>1607</v>
      </c>
      <c r="AH173" s="1077" t="s">
        <v>456</v>
      </c>
      <c r="AI173" s="1077" t="s">
        <v>981</v>
      </c>
      <c r="AJ173" s="1077">
        <v>95.25</v>
      </c>
      <c r="AK173" s="1077">
        <v>-0.42</v>
      </c>
      <c r="AL173" s="1077">
        <v>1.41</v>
      </c>
      <c r="AM173" s="1078" t="s">
        <v>9396</v>
      </c>
      <c r="AN173" s="1078" t="s">
        <v>9397</v>
      </c>
      <c r="AO173" s="1078">
        <f t="shared" si="22"/>
        <v>550</v>
      </c>
      <c r="AP173" s="1078">
        <f t="shared" si="23"/>
        <v>1.6850000000000001</v>
      </c>
      <c r="AQ173" s="1078" t="str">
        <f t="shared" si="24"/>
        <v>1-4-1S83°</v>
      </c>
      <c r="AR173" s="1078" t="str">
        <f t="shared" si="25"/>
        <v>30.7</v>
      </c>
      <c r="AS173" s="1078" t="str">
        <f t="shared" si="26"/>
        <v>240/240/OFF</v>
      </c>
      <c r="AT173" s="1078" t="str">
        <f t="shared" si="27"/>
        <v>1-4-1S83°</v>
      </c>
      <c r="AV173" s="1078" t="str">
        <f t="shared" si="20"/>
        <v>112.7.21</v>
      </c>
      <c r="AW173" s="1344">
        <f t="shared" si="21"/>
        <v>45128</v>
      </c>
    </row>
    <row r="174" spans="1:49">
      <c r="A174" s="1077" t="s">
        <v>1608</v>
      </c>
      <c r="B174" s="1077" t="s">
        <v>1033</v>
      </c>
      <c r="C174" s="1077">
        <v>550</v>
      </c>
      <c r="D174" s="1077">
        <v>1.6850000000000001</v>
      </c>
      <c r="E174" s="1077" t="s">
        <v>15089</v>
      </c>
      <c r="F174" s="1077" t="s">
        <v>1318</v>
      </c>
      <c r="G174" s="1077" t="s">
        <v>940</v>
      </c>
      <c r="H174" s="1077" t="s">
        <v>1040</v>
      </c>
      <c r="I174" s="1077" t="s">
        <v>126</v>
      </c>
      <c r="J174" s="1077">
        <v>0.7</v>
      </c>
      <c r="K174" s="1077" t="s">
        <v>1602</v>
      </c>
      <c r="L174" s="1077" t="s">
        <v>1036</v>
      </c>
      <c r="M174" s="1077">
        <v>51.5</v>
      </c>
      <c r="N174" s="1077" t="s">
        <v>945</v>
      </c>
      <c r="O174" s="1077">
        <v>1.2875000000000001</v>
      </c>
      <c r="P174" s="1077">
        <v>1.03</v>
      </c>
      <c r="Q174" s="1077" t="s">
        <v>1037</v>
      </c>
      <c r="R174" s="1077">
        <v>23</v>
      </c>
      <c r="T174" s="1077">
        <v>21</v>
      </c>
      <c r="U174" s="1077">
        <v>3.3</v>
      </c>
      <c r="V174" s="1077" t="s">
        <v>648</v>
      </c>
      <c r="W174" s="1077">
        <v>125</v>
      </c>
      <c r="X174" s="1077" t="s">
        <v>1130</v>
      </c>
      <c r="Y174" s="1077">
        <v>1.8</v>
      </c>
      <c r="Z174" s="1077">
        <v>4</v>
      </c>
      <c r="AA174" s="1077" t="s">
        <v>1607</v>
      </c>
      <c r="AH174" s="1077" t="s">
        <v>456</v>
      </c>
      <c r="AI174" s="1077" t="s">
        <v>981</v>
      </c>
      <c r="AM174" s="1078" t="s">
        <v>9396</v>
      </c>
      <c r="AN174" s="1078" t="s">
        <v>9398</v>
      </c>
      <c r="AO174" s="1078">
        <f t="shared" si="22"/>
        <v>550</v>
      </c>
      <c r="AP174" s="1078">
        <f t="shared" si="23"/>
        <v>1.6850000000000001</v>
      </c>
      <c r="AQ174" s="1078" t="str">
        <f t="shared" si="24"/>
        <v>1-4-1S83°</v>
      </c>
      <c r="AR174" s="1078" t="str">
        <f t="shared" si="25"/>
        <v>30.7</v>
      </c>
      <c r="AS174" s="1078" t="str">
        <f t="shared" si="26"/>
        <v>240/240/OFF</v>
      </c>
      <c r="AT174" s="1078" t="str">
        <f t="shared" si="27"/>
        <v>1-4-1S83°</v>
      </c>
      <c r="AV174" s="1078" t="str">
        <f t="shared" si="20"/>
        <v>112.7.21</v>
      </c>
      <c r="AW174" s="1344">
        <f t="shared" si="21"/>
        <v>45128</v>
      </c>
    </row>
    <row r="175" spans="1:49">
      <c r="A175" s="1077" t="s">
        <v>1609</v>
      </c>
      <c r="B175" s="1077" t="s">
        <v>983</v>
      </c>
      <c r="C175" s="1077">
        <v>700</v>
      </c>
      <c r="D175" s="1077">
        <v>1.71</v>
      </c>
      <c r="E175" s="1077" t="s">
        <v>15089</v>
      </c>
      <c r="F175" s="1077" t="s">
        <v>984</v>
      </c>
      <c r="G175" s="1077" t="s">
        <v>940</v>
      </c>
      <c r="H175" s="1077" t="s">
        <v>1029</v>
      </c>
      <c r="I175" s="1077" t="s">
        <v>126</v>
      </c>
      <c r="J175" s="1077">
        <v>0.9</v>
      </c>
      <c r="K175" s="1077" t="s">
        <v>1610</v>
      </c>
      <c r="L175" s="1077" t="s">
        <v>987</v>
      </c>
      <c r="M175" s="1077">
        <v>51.5</v>
      </c>
      <c r="N175" s="1077" t="s">
        <v>945</v>
      </c>
      <c r="O175" s="1077">
        <v>1.2875000000000001</v>
      </c>
      <c r="P175" s="1077">
        <v>1.03</v>
      </c>
      <c r="Q175" s="1077">
        <v>4</v>
      </c>
      <c r="R175" s="1077">
        <v>24.5</v>
      </c>
      <c r="T175" s="1077">
        <v>20</v>
      </c>
      <c r="U175" s="1077">
        <v>3.4</v>
      </c>
      <c r="V175" s="1077" t="s">
        <v>648</v>
      </c>
      <c r="W175" s="1077">
        <v>125</v>
      </c>
      <c r="X175" s="1077" t="s">
        <v>1063</v>
      </c>
      <c r="Y175" s="1077">
        <v>2.2000000000000002</v>
      </c>
      <c r="Z175" s="1077">
        <v>4</v>
      </c>
      <c r="AA175" s="1077" t="s">
        <v>1611</v>
      </c>
      <c r="AH175" s="1077" t="s">
        <v>1238</v>
      </c>
      <c r="AI175" s="1077" t="s">
        <v>981</v>
      </c>
      <c r="AJ175" s="1077">
        <v>98.07</v>
      </c>
      <c r="AK175" s="1077">
        <v>-0.36</v>
      </c>
      <c r="AL175" s="1077">
        <v>0.2</v>
      </c>
      <c r="AM175" s="1078" t="s">
        <v>9399</v>
      </c>
      <c r="AN175" s="1078" t="s">
        <v>9400</v>
      </c>
      <c r="AO175" s="1078">
        <f t="shared" si="22"/>
        <v>700</v>
      </c>
      <c r="AP175" s="1078">
        <f t="shared" si="23"/>
        <v>1.71</v>
      </c>
      <c r="AQ175" s="1078" t="str">
        <f t="shared" si="24"/>
        <v>1-4-1S83°</v>
      </c>
      <c r="AR175" s="1078" t="str">
        <f t="shared" si="25"/>
        <v>30</v>
      </c>
      <c r="AS175" s="1078" t="str">
        <f t="shared" si="26"/>
        <v>250/250/OFF</v>
      </c>
      <c r="AT175" s="1078" t="str">
        <f t="shared" si="27"/>
        <v>1-4-1S83°</v>
      </c>
      <c r="AV175" s="1078" t="str">
        <f t="shared" si="20"/>
        <v>112.8.1</v>
      </c>
      <c r="AW175" s="1344">
        <f t="shared" si="21"/>
        <v>45139</v>
      </c>
    </row>
    <row r="176" spans="1:49">
      <c r="A176" s="1077" t="s">
        <v>1612</v>
      </c>
      <c r="B176" s="1077" t="s">
        <v>874</v>
      </c>
      <c r="C176" s="1077">
        <v>500</v>
      </c>
      <c r="D176" s="1077">
        <v>1.78</v>
      </c>
      <c r="E176" s="1077" t="s">
        <v>15096</v>
      </c>
      <c r="F176" s="1077" t="s">
        <v>984</v>
      </c>
      <c r="G176" s="1077" t="s">
        <v>1001</v>
      </c>
      <c r="H176" s="1077" t="s">
        <v>1290</v>
      </c>
      <c r="I176" s="1077" t="s">
        <v>126</v>
      </c>
      <c r="J176" s="1077">
        <v>1.1000000000000001</v>
      </c>
      <c r="K176" s="1077" t="s">
        <v>1586</v>
      </c>
      <c r="L176" s="1077" t="s">
        <v>1176</v>
      </c>
      <c r="M176" s="1077">
        <v>51.8</v>
      </c>
      <c r="N176" s="1077" t="s">
        <v>945</v>
      </c>
      <c r="O176" s="1077">
        <v>1.2949999999999999</v>
      </c>
      <c r="P176" s="1077">
        <v>1.036</v>
      </c>
      <c r="Q176" s="1077">
        <v>4</v>
      </c>
      <c r="R176" s="1077">
        <v>20.100000000000001</v>
      </c>
      <c r="T176" s="1077">
        <v>30</v>
      </c>
      <c r="U176" s="1077">
        <v>3.8</v>
      </c>
      <c r="V176" s="1077" t="s">
        <v>648</v>
      </c>
      <c r="W176" s="1077">
        <v>120</v>
      </c>
      <c r="X176" s="1077">
        <v>75</v>
      </c>
      <c r="Y176" s="1077">
        <v>2</v>
      </c>
      <c r="Z176" s="1077">
        <v>4</v>
      </c>
      <c r="AA176" s="1077" t="s">
        <v>1613</v>
      </c>
      <c r="AH176" s="1077" t="s">
        <v>680</v>
      </c>
      <c r="AJ176" s="1077">
        <v>16.75</v>
      </c>
      <c r="AK176" s="1077">
        <v>0.71</v>
      </c>
      <c r="AL176" s="1077">
        <v>1.83</v>
      </c>
      <c r="AM176" s="1078" t="s">
        <v>9401</v>
      </c>
      <c r="AN176" s="1078" t="s">
        <v>9402</v>
      </c>
      <c r="AO176" s="1078">
        <f t="shared" si="22"/>
        <v>500</v>
      </c>
      <c r="AP176" s="1078">
        <f t="shared" si="23"/>
        <v>1.78</v>
      </c>
      <c r="AQ176" s="1078" t="str">
        <f t="shared" si="24"/>
        <v>1-4-1S87°</v>
      </c>
      <c r="AR176" s="1078" t="str">
        <f t="shared" si="25"/>
        <v>30</v>
      </c>
      <c r="AS176" s="1078" t="str">
        <f t="shared" si="26"/>
        <v>220/220/OFF</v>
      </c>
      <c r="AT176" s="1078" t="str">
        <f t="shared" si="27"/>
        <v>1-4-1S87°</v>
      </c>
      <c r="AV176" s="1078" t="str">
        <f t="shared" si="20"/>
        <v>112.8.23</v>
      </c>
      <c r="AW176" s="1344">
        <f t="shared" si="21"/>
        <v>45161</v>
      </c>
    </row>
    <row r="177" spans="1:49">
      <c r="A177" s="1077" t="s">
        <v>1614</v>
      </c>
      <c r="B177" s="1077" t="s">
        <v>983</v>
      </c>
      <c r="C177" s="1077">
        <v>700</v>
      </c>
      <c r="D177" s="1077">
        <v>1.71</v>
      </c>
      <c r="E177" s="1077" t="s">
        <v>15089</v>
      </c>
      <c r="F177" s="1077" t="s">
        <v>984</v>
      </c>
      <c r="G177" s="1077" t="s">
        <v>940</v>
      </c>
      <c r="H177" s="1077" t="s">
        <v>1029</v>
      </c>
      <c r="I177" s="1077" t="s">
        <v>126</v>
      </c>
      <c r="J177" s="1077">
        <v>0.9</v>
      </c>
      <c r="K177" s="1077" t="s">
        <v>1615</v>
      </c>
      <c r="L177" s="1077" t="s">
        <v>987</v>
      </c>
      <c r="M177" s="1077">
        <v>51.5</v>
      </c>
      <c r="N177" s="1077" t="s">
        <v>945</v>
      </c>
      <c r="O177" s="1077">
        <v>1.2875000000000001</v>
      </c>
      <c r="P177" s="1077">
        <v>1.03</v>
      </c>
      <c r="Q177" s="1077">
        <v>4</v>
      </c>
      <c r="R177" s="1077">
        <v>24.5</v>
      </c>
      <c r="T177" s="1077">
        <v>20</v>
      </c>
      <c r="U177" s="1077">
        <v>3.4</v>
      </c>
      <c r="V177" s="1077" t="s">
        <v>648</v>
      </c>
      <c r="W177" s="1077">
        <v>125</v>
      </c>
      <c r="X177" s="1077" t="s">
        <v>1063</v>
      </c>
      <c r="Y177" s="1077">
        <v>2.2000000000000002</v>
      </c>
      <c r="Z177" s="1077">
        <v>4</v>
      </c>
      <c r="AA177" s="1077" t="s">
        <v>1616</v>
      </c>
      <c r="AH177" s="1077" t="s">
        <v>966</v>
      </c>
      <c r="AI177" s="1077" t="s">
        <v>981</v>
      </c>
      <c r="AJ177" s="1077">
        <v>93.39</v>
      </c>
      <c r="AK177" s="1077">
        <v>-0.57999999999999996</v>
      </c>
      <c r="AL177" s="1077">
        <v>1.1499999999999999</v>
      </c>
      <c r="AM177" s="1078" t="s">
        <v>9403</v>
      </c>
      <c r="AN177" s="1078" t="s">
        <v>9404</v>
      </c>
      <c r="AO177" s="1078">
        <f t="shared" si="22"/>
        <v>700</v>
      </c>
      <c r="AP177" s="1078">
        <f t="shared" si="23"/>
        <v>1.71</v>
      </c>
      <c r="AQ177" s="1078" t="str">
        <f t="shared" si="24"/>
        <v>1-4-1S83°</v>
      </c>
      <c r="AR177" s="1078" t="str">
        <f t="shared" si="25"/>
        <v>30</v>
      </c>
      <c r="AS177" s="1078" t="str">
        <f t="shared" si="26"/>
        <v>250/250/OFF</v>
      </c>
      <c r="AT177" s="1078" t="str">
        <f t="shared" si="27"/>
        <v>1-4-1S83°</v>
      </c>
      <c r="AV177" s="1078" t="str">
        <f t="shared" si="20"/>
        <v>112.8.28</v>
      </c>
      <c r="AW177" s="1344">
        <f t="shared" si="21"/>
        <v>45166</v>
      </c>
    </row>
    <row r="178" spans="1:49">
      <c r="A178" s="1077" t="s">
        <v>1617</v>
      </c>
      <c r="B178" s="1077" t="s">
        <v>1463</v>
      </c>
      <c r="C178" s="1077" t="s">
        <v>1618</v>
      </c>
      <c r="D178" s="1077">
        <v>1.65</v>
      </c>
      <c r="E178" s="1077" t="s">
        <v>15091</v>
      </c>
      <c r="F178" s="1077" t="s">
        <v>1469</v>
      </c>
      <c r="G178" s="1077">
        <v>2</v>
      </c>
      <c r="H178" s="1077" t="s">
        <v>1464</v>
      </c>
      <c r="I178" s="1077" t="s">
        <v>942</v>
      </c>
      <c r="J178" s="1077">
        <v>0.9</v>
      </c>
      <c r="K178" s="1077" t="s">
        <v>1619</v>
      </c>
      <c r="L178" s="1077" t="s">
        <v>1466</v>
      </c>
      <c r="M178" s="1077">
        <v>51.5</v>
      </c>
      <c r="N178" s="1077" t="s">
        <v>945</v>
      </c>
      <c r="O178" s="1077">
        <v>1.2875000000000001</v>
      </c>
      <c r="P178" s="1077">
        <v>1.03</v>
      </c>
      <c r="Q178" s="1077">
        <v>4</v>
      </c>
      <c r="R178" s="1077">
        <v>24</v>
      </c>
      <c r="T178" s="1077">
        <v>21.2</v>
      </c>
      <c r="U178" s="1077">
        <v>3.6</v>
      </c>
      <c r="V178" s="1077" t="s">
        <v>648</v>
      </c>
      <c r="W178" s="1077">
        <v>150</v>
      </c>
      <c r="X178" s="1077">
        <v>80</v>
      </c>
      <c r="Y178" s="1077">
        <v>2</v>
      </c>
      <c r="Z178" s="1077">
        <v>4</v>
      </c>
      <c r="AA178" s="1077" t="s">
        <v>1620</v>
      </c>
      <c r="AH178" s="1077" t="s">
        <v>853</v>
      </c>
      <c r="AJ178" s="1077">
        <v>94.45</v>
      </c>
      <c r="AK178" s="1077">
        <v>-0.8</v>
      </c>
      <c r="AL178" s="1077">
        <v>1.25</v>
      </c>
      <c r="AM178" s="1078" t="s">
        <v>9405</v>
      </c>
      <c r="AN178" s="1078" t="s">
        <v>9406</v>
      </c>
      <c r="AO178" s="1078" t="str">
        <f t="shared" si="22"/>
        <v>650↓550-10/3</v>
      </c>
      <c r="AP178" s="1078">
        <f t="shared" si="23"/>
        <v>1.65</v>
      </c>
      <c r="AQ178" s="1078" t="str">
        <f t="shared" si="24"/>
        <v>2-5-1S83°</v>
      </c>
      <c r="AR178" s="1078" t="str">
        <f t="shared" si="25"/>
        <v>30.5</v>
      </c>
      <c r="AS178" s="1078" t="str">
        <f t="shared" si="26"/>
        <v>158/OFF</v>
      </c>
      <c r="AT178" s="1078" t="str">
        <f t="shared" si="27"/>
        <v>2-5-1S83°</v>
      </c>
      <c r="AV178" s="1078" t="str">
        <f t="shared" si="20"/>
        <v>112.9.29</v>
      </c>
      <c r="AW178" s="1344">
        <f t="shared" si="21"/>
        <v>45198</v>
      </c>
    </row>
    <row r="179" spans="1:49">
      <c r="A179" s="1077" t="s">
        <v>1621</v>
      </c>
      <c r="B179" s="1077" t="s">
        <v>874</v>
      </c>
      <c r="C179" s="1077">
        <v>500</v>
      </c>
      <c r="D179" s="1077">
        <v>1.78</v>
      </c>
      <c r="E179" s="1077" t="s">
        <v>15096</v>
      </c>
      <c r="F179" s="1077" t="s">
        <v>984</v>
      </c>
      <c r="G179" s="1077" t="s">
        <v>1001</v>
      </c>
      <c r="H179" s="1077" t="s">
        <v>1290</v>
      </c>
      <c r="I179" s="1077" t="s">
        <v>126</v>
      </c>
      <c r="J179" s="1077">
        <v>1.1000000000000001</v>
      </c>
      <c r="K179" s="1077" t="s">
        <v>1586</v>
      </c>
      <c r="L179" s="1077" t="s">
        <v>1176</v>
      </c>
      <c r="M179" s="1077">
        <v>51.8</v>
      </c>
      <c r="N179" s="1077" t="s">
        <v>945</v>
      </c>
      <c r="O179" s="1077">
        <v>1.2949999999999999</v>
      </c>
      <c r="P179" s="1077">
        <v>1.036</v>
      </c>
      <c r="Q179" s="1077">
        <v>4</v>
      </c>
      <c r="R179" s="1077">
        <v>20.100000000000001</v>
      </c>
      <c r="T179" s="1077">
        <v>30</v>
      </c>
      <c r="U179" s="1077">
        <v>3.8</v>
      </c>
      <c r="V179" s="1077" t="s">
        <v>648</v>
      </c>
      <c r="W179" s="1077">
        <v>120</v>
      </c>
      <c r="X179" s="1077">
        <v>75</v>
      </c>
      <c r="Y179" s="1077">
        <v>2</v>
      </c>
      <c r="Z179" s="1077">
        <v>4</v>
      </c>
      <c r="AA179" s="1077" t="s">
        <v>1622</v>
      </c>
      <c r="AH179" s="1077" t="s">
        <v>1186</v>
      </c>
      <c r="AJ179" s="1077">
        <v>16.5</v>
      </c>
      <c r="AK179" s="1077">
        <v>0.48</v>
      </c>
      <c r="AL179" s="1077">
        <v>1.86</v>
      </c>
      <c r="AM179" s="1078" t="s">
        <v>9407</v>
      </c>
      <c r="AN179" s="1078" t="s">
        <v>9408</v>
      </c>
      <c r="AO179" s="1078">
        <f t="shared" si="22"/>
        <v>500</v>
      </c>
      <c r="AP179" s="1078">
        <f t="shared" si="23"/>
        <v>1.78</v>
      </c>
      <c r="AQ179" s="1078" t="str">
        <f t="shared" si="24"/>
        <v>1-4-1S87°</v>
      </c>
      <c r="AR179" s="1078" t="str">
        <f t="shared" si="25"/>
        <v>30</v>
      </c>
      <c r="AS179" s="1078" t="str">
        <f t="shared" si="26"/>
        <v>220/220/OFF</v>
      </c>
      <c r="AT179" s="1078" t="str">
        <f t="shared" si="27"/>
        <v>1-4-1S87°</v>
      </c>
      <c r="AV179" s="1078" t="str">
        <f t="shared" si="20"/>
        <v>112.10.16</v>
      </c>
      <c r="AW179" s="1344">
        <f t="shared" si="21"/>
        <v>45215</v>
      </c>
    </row>
    <row r="180" spans="1:49">
      <c r="A180" s="1077" t="s">
        <v>1623</v>
      </c>
      <c r="B180" s="1077" t="s">
        <v>1463</v>
      </c>
      <c r="C180" s="1077">
        <v>500</v>
      </c>
      <c r="D180" s="1077">
        <v>1.65</v>
      </c>
      <c r="E180" s="1077" t="s">
        <v>15091</v>
      </c>
      <c r="F180" s="1077" t="s">
        <v>1469</v>
      </c>
      <c r="G180" s="1077">
        <v>2</v>
      </c>
      <c r="H180" s="1077" t="s">
        <v>1624</v>
      </c>
      <c r="I180" s="1077" t="s">
        <v>942</v>
      </c>
      <c r="J180" s="1077">
        <v>0.8</v>
      </c>
      <c r="K180" s="1077" t="s">
        <v>1619</v>
      </c>
      <c r="L180" s="1077" t="s">
        <v>1466</v>
      </c>
      <c r="M180" s="1077">
        <v>51.5</v>
      </c>
      <c r="N180" s="1077" t="s">
        <v>945</v>
      </c>
      <c r="O180" s="1077">
        <v>1.2875000000000001</v>
      </c>
      <c r="P180" s="1077">
        <v>1.03</v>
      </c>
      <c r="Q180" s="1077">
        <v>4</v>
      </c>
      <c r="R180" s="1077">
        <v>24</v>
      </c>
      <c r="T180" s="1077">
        <v>21.2</v>
      </c>
      <c r="U180" s="1077">
        <v>3.6</v>
      </c>
      <c r="V180" s="1077" t="s">
        <v>648</v>
      </c>
      <c r="W180" s="1077">
        <v>150</v>
      </c>
      <c r="X180" s="1077">
        <v>80</v>
      </c>
      <c r="Y180" s="1077">
        <v>2</v>
      </c>
      <c r="Z180" s="1077">
        <v>4</v>
      </c>
      <c r="AA180" s="1077" t="s">
        <v>1625</v>
      </c>
      <c r="AH180" s="1077" t="s">
        <v>1417</v>
      </c>
      <c r="AJ180" s="1077">
        <v>94.9</v>
      </c>
      <c r="AK180" s="1077">
        <v>-7.0000000000000007E-2</v>
      </c>
      <c r="AL180" s="1077">
        <v>1.01</v>
      </c>
      <c r="AM180" s="1078" t="s">
        <v>9409</v>
      </c>
      <c r="AN180" s="1078" t="s">
        <v>9410</v>
      </c>
      <c r="AO180" s="1078">
        <f t="shared" si="22"/>
        <v>500</v>
      </c>
      <c r="AP180" s="1078">
        <f t="shared" si="23"/>
        <v>1.65</v>
      </c>
      <c r="AQ180" s="1078" t="str">
        <f t="shared" si="24"/>
        <v>2-5-1S83°</v>
      </c>
      <c r="AR180" s="1078" t="str">
        <f t="shared" si="25"/>
        <v>30.5</v>
      </c>
      <c r="AS180" s="1078" t="str">
        <f t="shared" si="26"/>
        <v>155/OFF</v>
      </c>
      <c r="AT180" s="1078" t="str">
        <f t="shared" si="27"/>
        <v>2-5-1S83°</v>
      </c>
      <c r="AV180" s="1078" t="str">
        <f t="shared" si="20"/>
        <v>112.10.19</v>
      </c>
      <c r="AW180" s="1344">
        <f t="shared" si="21"/>
        <v>45218</v>
      </c>
    </row>
    <row r="181" spans="1:49">
      <c r="A181" s="1077" t="s">
        <v>1626</v>
      </c>
      <c r="B181" s="1077" t="s">
        <v>1154</v>
      </c>
      <c r="C181" s="1077">
        <v>550</v>
      </c>
      <c r="D181" s="1077">
        <v>1.74</v>
      </c>
      <c r="E181" s="1077" t="s">
        <v>15091</v>
      </c>
      <c r="F181" s="1077" t="s">
        <v>954</v>
      </c>
      <c r="G181" s="1077" t="s">
        <v>940</v>
      </c>
      <c r="H181" s="1077" t="s">
        <v>1484</v>
      </c>
      <c r="I181" s="1077" t="s">
        <v>1112</v>
      </c>
      <c r="J181" s="1077">
        <v>0.8</v>
      </c>
      <c r="K181" s="1077" t="s">
        <v>1539</v>
      </c>
      <c r="L181" s="1077" t="s">
        <v>1157</v>
      </c>
      <c r="M181" s="1077">
        <v>49.5</v>
      </c>
      <c r="N181" s="1077" t="s">
        <v>945</v>
      </c>
      <c r="O181" s="1077">
        <v>1.2375</v>
      </c>
      <c r="P181" s="1077">
        <v>0.99</v>
      </c>
      <c r="Q181" s="1077">
        <v>4</v>
      </c>
      <c r="R181" s="1077">
        <v>24</v>
      </c>
      <c r="T181" s="1077">
        <v>31</v>
      </c>
      <c r="U181" s="1077">
        <v>3.3</v>
      </c>
      <c r="V181" s="1077" t="s">
        <v>648</v>
      </c>
      <c r="W181" s="1077">
        <v>110</v>
      </c>
      <c r="X181" s="1077">
        <v>70</v>
      </c>
      <c r="Y181" s="1077">
        <v>2.7</v>
      </c>
      <c r="Z181" s="1077">
        <v>4.5</v>
      </c>
      <c r="AA181" s="1077" t="s">
        <v>1627</v>
      </c>
      <c r="AH181" s="1077" t="s">
        <v>887</v>
      </c>
      <c r="AJ181" s="1077">
        <v>92.19</v>
      </c>
      <c r="AK181" s="1077">
        <v>-0.48</v>
      </c>
      <c r="AL181" s="1077">
        <v>3.43</v>
      </c>
      <c r="AM181" s="1078" t="s">
        <v>9411</v>
      </c>
      <c r="AN181" s="1078" t="s">
        <v>9412</v>
      </c>
      <c r="AO181" s="1078">
        <f t="shared" si="22"/>
        <v>550</v>
      </c>
      <c r="AP181" s="1078">
        <f t="shared" si="23"/>
        <v>1.74</v>
      </c>
      <c r="AQ181" s="1078" t="str">
        <f t="shared" si="24"/>
        <v>2-5-1S83°</v>
      </c>
      <c r="AR181" s="1078" t="str">
        <f t="shared" si="25"/>
        <v>31</v>
      </c>
      <c r="AS181" s="1078" t="str">
        <f t="shared" si="26"/>
        <v>165/OFF</v>
      </c>
      <c r="AT181" s="1078" t="str">
        <f t="shared" si="27"/>
        <v>2-5-1S83°</v>
      </c>
      <c r="AV181" s="1078" t="str">
        <f t="shared" si="20"/>
        <v>112.11.20</v>
      </c>
      <c r="AW181" s="1344">
        <f t="shared" si="21"/>
        <v>45250</v>
      </c>
    </row>
    <row r="182" spans="1:49">
      <c r="A182" s="1077" t="s">
        <v>1628</v>
      </c>
      <c r="B182" s="1077" t="s">
        <v>1110</v>
      </c>
      <c r="C182" s="1077">
        <v>600</v>
      </c>
      <c r="D182" s="1077">
        <v>1.42</v>
      </c>
      <c r="E182" s="1077" t="s">
        <v>648</v>
      </c>
      <c r="F182" s="1077" t="s">
        <v>1514</v>
      </c>
      <c r="G182" s="1077">
        <v>1.96</v>
      </c>
      <c r="H182" s="1077" t="s">
        <v>1234</v>
      </c>
      <c r="I182" s="1077" t="s">
        <v>1112</v>
      </c>
      <c r="J182" s="1077">
        <v>1.5</v>
      </c>
      <c r="K182" s="1077" t="s">
        <v>1515</v>
      </c>
      <c r="L182" s="1077" t="s">
        <v>453</v>
      </c>
      <c r="M182" s="1077">
        <v>56</v>
      </c>
      <c r="N182" s="1077" t="s">
        <v>945</v>
      </c>
      <c r="O182" s="1077">
        <v>1.4000000000000001</v>
      </c>
      <c r="P182" s="1077">
        <v>1.1200000000000001</v>
      </c>
      <c r="Q182" s="1077">
        <v>2</v>
      </c>
      <c r="R182" s="1077">
        <v>61</v>
      </c>
      <c r="T182" s="1077" t="s">
        <v>648</v>
      </c>
      <c r="U182" s="1077">
        <v>34</v>
      </c>
      <c r="V182" s="1077" t="s">
        <v>648</v>
      </c>
      <c r="W182" s="1077" t="s">
        <v>648</v>
      </c>
      <c r="X182" s="1077" t="s">
        <v>648</v>
      </c>
      <c r="Y182" s="1077" t="s">
        <v>648</v>
      </c>
      <c r="Z182" s="1077" t="s">
        <v>648</v>
      </c>
      <c r="AA182" s="1077" t="s">
        <v>1629</v>
      </c>
      <c r="AH182" s="1077" t="s">
        <v>958</v>
      </c>
      <c r="AJ182" s="1077">
        <v>87.3</v>
      </c>
      <c r="AK182" s="1077">
        <v>-0.64</v>
      </c>
      <c r="AL182" s="1077">
        <v>1.25</v>
      </c>
      <c r="AM182" s="1078" t="s">
        <v>9413</v>
      </c>
      <c r="AN182" s="1078" t="s">
        <v>9414</v>
      </c>
      <c r="AO182" s="1078">
        <f t="shared" si="22"/>
        <v>600</v>
      </c>
      <c r="AP182" s="1078">
        <f t="shared" si="23"/>
        <v>1.42</v>
      </c>
      <c r="AQ182" s="1078" t="str">
        <f t="shared" si="24"/>
        <v>NA</v>
      </c>
      <c r="AR182" s="1078" t="str">
        <f t="shared" si="25"/>
        <v>32</v>
      </c>
      <c r="AS182" s="1078" t="str">
        <f t="shared" si="26"/>
        <v>OFF/123</v>
      </c>
      <c r="AT182" s="1078" t="str">
        <f t="shared" si="27"/>
        <v>NA</v>
      </c>
      <c r="AV182" s="1078" t="str">
        <f t="shared" si="20"/>
        <v>112.12.4</v>
      </c>
      <c r="AW182" s="1344">
        <f t="shared" si="21"/>
        <v>45264</v>
      </c>
    </row>
    <row r="183" spans="1:49">
      <c r="A183" s="1077" t="s">
        <v>1630</v>
      </c>
      <c r="B183" s="1077" t="s">
        <v>1513</v>
      </c>
      <c r="C183" s="1077">
        <v>600</v>
      </c>
      <c r="D183" s="1077">
        <v>1.42</v>
      </c>
      <c r="E183" s="1077" t="s">
        <v>648</v>
      </c>
      <c r="F183" s="1077" t="s">
        <v>954</v>
      </c>
      <c r="G183" s="1077">
        <v>1.96</v>
      </c>
      <c r="H183" s="1077" t="s">
        <v>1234</v>
      </c>
      <c r="I183" s="1077" t="s">
        <v>1112</v>
      </c>
      <c r="J183" s="1077">
        <v>1.5</v>
      </c>
      <c r="K183" s="1077" t="s">
        <v>1515</v>
      </c>
      <c r="L183" s="1077" t="s">
        <v>453</v>
      </c>
      <c r="M183" s="1077">
        <v>56</v>
      </c>
      <c r="N183" s="1077" t="s">
        <v>945</v>
      </c>
      <c r="O183" s="1077">
        <v>1.4000000000000001</v>
      </c>
      <c r="P183" s="1077">
        <v>1.1200000000000001</v>
      </c>
      <c r="Q183" s="1077">
        <v>2</v>
      </c>
      <c r="R183" s="1077">
        <v>61</v>
      </c>
      <c r="T183" s="1077" t="s">
        <v>648</v>
      </c>
      <c r="U183" s="1077">
        <v>34</v>
      </c>
      <c r="V183" s="1077" t="s">
        <v>648</v>
      </c>
      <c r="W183" s="1077" t="s">
        <v>648</v>
      </c>
      <c r="X183" s="1077" t="s">
        <v>648</v>
      </c>
      <c r="Y183" s="1077" t="s">
        <v>648</v>
      </c>
      <c r="Z183" s="1077" t="s">
        <v>648</v>
      </c>
      <c r="AA183" s="1077" t="s">
        <v>1631</v>
      </c>
      <c r="AH183" s="1077" t="s">
        <v>963</v>
      </c>
      <c r="AJ183" s="1077">
        <v>86.88</v>
      </c>
      <c r="AK183" s="1077">
        <v>-0.28999999999999998</v>
      </c>
      <c r="AL183" s="1077">
        <v>0.75</v>
      </c>
      <c r="AM183" s="1078" t="s">
        <v>9415</v>
      </c>
      <c r="AN183" s="1078" t="s">
        <v>9416</v>
      </c>
      <c r="AO183" s="1078">
        <f t="shared" si="22"/>
        <v>600</v>
      </c>
      <c r="AP183" s="1078">
        <f t="shared" si="23"/>
        <v>1.42</v>
      </c>
      <c r="AQ183" s="1078" t="str">
        <f t="shared" si="24"/>
        <v>NA</v>
      </c>
      <c r="AR183" s="1078" t="str">
        <f t="shared" si="25"/>
        <v>31</v>
      </c>
      <c r="AS183" s="1078" t="str">
        <f t="shared" si="26"/>
        <v>OFF/123</v>
      </c>
      <c r="AT183" s="1078" t="str">
        <f t="shared" si="27"/>
        <v>NA</v>
      </c>
      <c r="AV183" s="1078" t="str">
        <f t="shared" si="20"/>
        <v>112.12.11</v>
      </c>
      <c r="AW183" s="1344">
        <f t="shared" si="21"/>
        <v>45271</v>
      </c>
    </row>
    <row r="184" spans="1:49">
      <c r="A184" s="1077" t="s">
        <v>1632</v>
      </c>
      <c r="B184" s="1077" t="s">
        <v>983</v>
      </c>
      <c r="C184" s="1077">
        <v>600</v>
      </c>
      <c r="D184" s="1077">
        <v>1.66</v>
      </c>
      <c r="E184" s="1077" t="s">
        <v>15090</v>
      </c>
      <c r="F184" s="1077" t="s">
        <v>648</v>
      </c>
      <c r="G184" s="1077" t="s">
        <v>940</v>
      </c>
      <c r="H184" s="1077" t="s">
        <v>1188</v>
      </c>
      <c r="I184" s="1077" t="s">
        <v>126</v>
      </c>
      <c r="J184" s="1077">
        <v>0.7</v>
      </c>
      <c r="K184" s="1077" t="s">
        <v>1518</v>
      </c>
      <c r="L184" s="1077" t="s">
        <v>944</v>
      </c>
      <c r="M184" s="1077">
        <v>51.5</v>
      </c>
      <c r="N184" s="1077" t="s">
        <v>945</v>
      </c>
      <c r="O184" s="1077">
        <v>1.2875000000000001</v>
      </c>
      <c r="P184" s="1077">
        <v>1.03</v>
      </c>
      <c r="Q184" s="1077">
        <v>4</v>
      </c>
      <c r="R184" s="1077">
        <v>24.5</v>
      </c>
      <c r="T184" s="1077">
        <v>20</v>
      </c>
      <c r="U184" s="1077">
        <v>3.4</v>
      </c>
      <c r="V184" s="1077" t="s">
        <v>648</v>
      </c>
      <c r="W184" s="1077">
        <v>125</v>
      </c>
      <c r="X184" s="1077" t="s">
        <v>1063</v>
      </c>
      <c r="Y184" s="1077">
        <v>2.2000000000000002</v>
      </c>
      <c r="Z184" s="1077">
        <v>4</v>
      </c>
      <c r="AA184" s="1077" t="s">
        <v>1633</v>
      </c>
      <c r="AH184" s="1077" t="s">
        <v>948</v>
      </c>
      <c r="AI184" s="1077" t="s">
        <v>981</v>
      </c>
      <c r="AJ184" s="1077">
        <v>93.87</v>
      </c>
      <c r="AK184" s="1077">
        <v>-0.15</v>
      </c>
      <c r="AL184" s="1077">
        <v>3.38</v>
      </c>
      <c r="AM184" s="1078" t="s">
        <v>9417</v>
      </c>
      <c r="AN184" s="1078" t="s">
        <v>9418</v>
      </c>
      <c r="AO184" s="1078">
        <f t="shared" si="22"/>
        <v>600</v>
      </c>
      <c r="AP184" s="1078">
        <f t="shared" si="23"/>
        <v>1.66</v>
      </c>
      <c r="AQ184" s="1078" t="str">
        <f t="shared" si="24"/>
        <v>1-5-1S85°</v>
      </c>
      <c r="AR184" s="1078" t="str">
        <f t="shared" si="25"/>
        <v>NA</v>
      </c>
      <c r="AS184" s="1078" t="str">
        <f t="shared" si="26"/>
        <v>177/OFF</v>
      </c>
      <c r="AT184" s="1078" t="str">
        <f t="shared" si="27"/>
        <v>1-5-1S85°</v>
      </c>
      <c r="AV184" s="1078" t="str">
        <f t="shared" si="20"/>
        <v>112.12.25</v>
      </c>
      <c r="AW184" s="1344">
        <f t="shared" si="21"/>
        <v>45285</v>
      </c>
    </row>
    <row r="185" spans="1:49">
      <c r="A185" s="1077" t="s">
        <v>1634</v>
      </c>
      <c r="B185" s="1077" t="s">
        <v>939</v>
      </c>
      <c r="C185" s="1077">
        <v>550</v>
      </c>
      <c r="D185" s="1077">
        <v>1.64</v>
      </c>
      <c r="E185" s="1077" t="s">
        <v>15097</v>
      </c>
      <c r="F185" s="1077" t="s">
        <v>984</v>
      </c>
      <c r="G185" s="1077" t="s">
        <v>940</v>
      </c>
      <c r="H185" s="1077" t="s">
        <v>1379</v>
      </c>
      <c r="I185" s="1077" t="s">
        <v>1073</v>
      </c>
      <c r="J185" s="1077">
        <v>0.7</v>
      </c>
      <c r="K185" s="1077" t="s">
        <v>1518</v>
      </c>
      <c r="L185" s="1077" t="s">
        <v>944</v>
      </c>
      <c r="M185" s="1077">
        <v>51.5</v>
      </c>
      <c r="N185" s="1077" t="s">
        <v>945</v>
      </c>
      <c r="O185" s="1077">
        <v>1.2875000000000001</v>
      </c>
      <c r="P185" s="1077">
        <v>1.03</v>
      </c>
      <c r="Q185" s="1077">
        <v>4</v>
      </c>
      <c r="R185" s="1077">
        <v>20.5</v>
      </c>
      <c r="T185" s="1077">
        <v>21.2</v>
      </c>
      <c r="U185" s="1077">
        <v>3.6</v>
      </c>
      <c r="V185" s="1077" t="s">
        <v>648</v>
      </c>
      <c r="W185" s="1077">
        <v>150</v>
      </c>
      <c r="X185" s="1077">
        <v>75</v>
      </c>
      <c r="Y185" s="1077">
        <v>2</v>
      </c>
      <c r="Z185" s="1077">
        <v>4</v>
      </c>
      <c r="AA185" s="1077" t="s">
        <v>1635</v>
      </c>
      <c r="AH185" s="1077" t="s">
        <v>681</v>
      </c>
      <c r="AJ185" s="1077">
        <v>93.97</v>
      </c>
      <c r="AK185" s="1077">
        <v>-0.81</v>
      </c>
      <c r="AL185" s="1077">
        <v>3.72</v>
      </c>
      <c r="AM185" s="1078" t="s">
        <v>9419</v>
      </c>
      <c r="AN185" s="1078" t="s">
        <v>9420</v>
      </c>
      <c r="AO185" s="1078">
        <f t="shared" si="22"/>
        <v>550</v>
      </c>
      <c r="AP185" s="1078">
        <f t="shared" si="23"/>
        <v>1.64</v>
      </c>
      <c r="AQ185" s="1078" t="str">
        <f t="shared" si="24"/>
        <v>2-5-1S85°</v>
      </c>
      <c r="AR185" s="1078" t="str">
        <f t="shared" si="25"/>
        <v>30</v>
      </c>
      <c r="AS185" s="1078" t="str">
        <f t="shared" si="26"/>
        <v>167/OFF</v>
      </c>
      <c r="AT185" s="1078" t="str">
        <f t="shared" si="27"/>
        <v>2-5-1S85°</v>
      </c>
      <c r="AV185" s="1078" t="str">
        <f t="shared" si="20"/>
        <v>113.1.10</v>
      </c>
      <c r="AW185" s="1344">
        <f t="shared" si="21"/>
        <v>45301</v>
      </c>
    </row>
    <row r="186" spans="1:49">
      <c r="A186" s="1077" t="s">
        <v>1636</v>
      </c>
      <c r="B186" s="1077" t="s">
        <v>1463</v>
      </c>
      <c r="C186" s="1077">
        <v>500</v>
      </c>
      <c r="D186" s="1077">
        <v>1.65</v>
      </c>
      <c r="E186" s="1077" t="s">
        <v>15091</v>
      </c>
      <c r="F186" s="1077" t="s">
        <v>954</v>
      </c>
      <c r="G186" s="1077">
        <v>2</v>
      </c>
      <c r="H186" s="1077" t="s">
        <v>1624</v>
      </c>
      <c r="I186" s="1077" t="s">
        <v>942</v>
      </c>
      <c r="J186" s="1077">
        <v>0.9</v>
      </c>
      <c r="K186" s="1077" t="s">
        <v>1619</v>
      </c>
      <c r="L186" s="1077" t="s">
        <v>1466</v>
      </c>
      <c r="M186" s="1077">
        <v>51.5</v>
      </c>
      <c r="N186" s="1077" t="s">
        <v>945</v>
      </c>
      <c r="O186" s="1077">
        <v>1.2875000000000001</v>
      </c>
      <c r="P186" s="1077">
        <v>1.03</v>
      </c>
      <c r="Q186" s="1077">
        <v>4</v>
      </c>
      <c r="R186" s="1077">
        <v>24</v>
      </c>
      <c r="T186" s="1077">
        <v>21.2</v>
      </c>
      <c r="U186" s="1077">
        <v>3.6</v>
      </c>
      <c r="V186" s="1077" t="s">
        <v>648</v>
      </c>
      <c r="W186" s="1077">
        <v>150</v>
      </c>
      <c r="X186" s="1077">
        <v>80</v>
      </c>
      <c r="Y186" s="1077">
        <v>2</v>
      </c>
      <c r="Z186" s="1077">
        <v>4</v>
      </c>
      <c r="AA186" s="1077" t="s">
        <v>1637</v>
      </c>
      <c r="AH186" s="1077" t="s">
        <v>853</v>
      </c>
      <c r="AJ186" s="1077">
        <v>94.85</v>
      </c>
      <c r="AK186" s="1077">
        <v>-0.33</v>
      </c>
      <c r="AL186" s="1077">
        <v>1.1599999999999999</v>
      </c>
      <c r="AM186" s="1078" t="s">
        <v>9421</v>
      </c>
      <c r="AN186" s="1078" t="s">
        <v>9422</v>
      </c>
      <c r="AO186" s="1078">
        <f t="shared" si="22"/>
        <v>500</v>
      </c>
      <c r="AP186" s="1078">
        <f t="shared" si="23"/>
        <v>1.65</v>
      </c>
      <c r="AQ186" s="1078" t="str">
        <f t="shared" si="24"/>
        <v>2-5-1S83°</v>
      </c>
      <c r="AR186" s="1078" t="str">
        <f t="shared" si="25"/>
        <v>31</v>
      </c>
      <c r="AS186" s="1078" t="str">
        <f t="shared" si="26"/>
        <v>155/OFF</v>
      </c>
      <c r="AT186" s="1078" t="str">
        <f t="shared" si="27"/>
        <v>2-5-1S83°</v>
      </c>
      <c r="AV186" s="1078" t="str">
        <f t="shared" si="20"/>
        <v>113.1.16</v>
      </c>
      <c r="AW186" s="1344">
        <f t="shared" si="21"/>
        <v>45307</v>
      </c>
    </row>
    <row r="187" spans="1:49">
      <c r="A187" s="1077" t="s">
        <v>1638</v>
      </c>
      <c r="B187" s="1077" t="s">
        <v>1639</v>
      </c>
      <c r="C187" s="1077">
        <v>550</v>
      </c>
      <c r="D187" s="1077">
        <v>1.76</v>
      </c>
      <c r="E187" s="1077" t="s">
        <v>15089</v>
      </c>
      <c r="F187" s="1077" t="s">
        <v>954</v>
      </c>
      <c r="G187" s="1077">
        <v>2</v>
      </c>
      <c r="H187" s="1077" t="s">
        <v>1226</v>
      </c>
      <c r="I187" s="1077" t="s">
        <v>126</v>
      </c>
      <c r="J187" s="1077">
        <v>1.1000000000000001</v>
      </c>
      <c r="K187" s="1077" t="s">
        <v>1640</v>
      </c>
      <c r="L187" s="1077" t="s">
        <v>1641</v>
      </c>
      <c r="M187" s="1077">
        <v>49.3</v>
      </c>
      <c r="N187" s="1077" t="s">
        <v>945</v>
      </c>
      <c r="O187" s="1077">
        <v>1.2324999999999999</v>
      </c>
      <c r="P187" s="1077">
        <v>0.98599999999999999</v>
      </c>
      <c r="Q187" s="1077">
        <v>3</v>
      </c>
      <c r="R187" s="1077">
        <v>23</v>
      </c>
      <c r="T187" s="1077">
        <v>38.4</v>
      </c>
      <c r="U187" s="1077">
        <v>3.4</v>
      </c>
      <c r="V187" s="1077" t="s">
        <v>648</v>
      </c>
      <c r="W187" s="1077">
        <v>100</v>
      </c>
      <c r="X187" s="1077">
        <v>60</v>
      </c>
      <c r="Y187" s="1077">
        <v>1.6</v>
      </c>
      <c r="Z187" s="1077">
        <v>6</v>
      </c>
      <c r="AA187" s="1077" t="s">
        <v>1642</v>
      </c>
      <c r="AH187" s="1077" t="s">
        <v>1643</v>
      </c>
      <c r="AJ187" s="1077">
        <v>92.88</v>
      </c>
      <c r="AK187" s="1077">
        <v>-0.24</v>
      </c>
      <c r="AL187" s="1077">
        <v>0.34</v>
      </c>
      <c r="AM187" s="1078" t="s">
        <v>9423</v>
      </c>
      <c r="AN187" s="1078" t="s">
        <v>9424</v>
      </c>
      <c r="AO187" s="1078">
        <f t="shared" si="22"/>
        <v>550</v>
      </c>
      <c r="AP187" s="1078">
        <f t="shared" si="23"/>
        <v>1.76</v>
      </c>
      <c r="AQ187" s="1078" t="str">
        <f t="shared" si="24"/>
        <v>1-4-1S83°</v>
      </c>
      <c r="AR187" s="1078" t="str">
        <f t="shared" si="25"/>
        <v>31</v>
      </c>
      <c r="AS187" s="1078" t="str">
        <f t="shared" si="26"/>
        <v>230/230/OFF</v>
      </c>
      <c r="AT187" s="1078" t="str">
        <f t="shared" si="27"/>
        <v>1-4-1S83°</v>
      </c>
      <c r="AV187" s="1078" t="str">
        <f t="shared" si="20"/>
        <v>113.2.2</v>
      </c>
      <c r="AW187" s="1344">
        <f t="shared" si="21"/>
        <v>45324</v>
      </c>
    </row>
    <row r="188" spans="1:49">
      <c r="A188" s="1077" t="s">
        <v>1644</v>
      </c>
      <c r="B188" s="1077" t="s">
        <v>1645</v>
      </c>
      <c r="C188" s="1077">
        <v>600</v>
      </c>
      <c r="D188" s="1077">
        <v>1.7</v>
      </c>
      <c r="E188" s="1077" t="s">
        <v>15089</v>
      </c>
      <c r="F188" s="1077" t="s">
        <v>954</v>
      </c>
      <c r="G188" s="1077">
        <v>4</v>
      </c>
      <c r="H188" s="1077" t="s">
        <v>1533</v>
      </c>
      <c r="I188" s="1077" t="s">
        <v>942</v>
      </c>
      <c r="J188" s="1077">
        <v>0.9</v>
      </c>
      <c r="K188" s="1077" t="s">
        <v>1646</v>
      </c>
      <c r="L188" s="1077" t="s">
        <v>1647</v>
      </c>
      <c r="M188" s="1077">
        <v>54.3</v>
      </c>
      <c r="N188" s="1077" t="s">
        <v>945</v>
      </c>
      <c r="O188" s="1077">
        <v>1.3574999999999999</v>
      </c>
      <c r="P188" s="1077">
        <v>1.0860000000000001</v>
      </c>
      <c r="Q188" s="1077">
        <v>4</v>
      </c>
      <c r="R188" s="1077">
        <v>24</v>
      </c>
      <c r="T188" s="1077">
        <v>21.2</v>
      </c>
      <c r="U188" s="1077">
        <v>3.8</v>
      </c>
      <c r="V188" s="1077" t="s">
        <v>648</v>
      </c>
      <c r="W188" s="1077">
        <v>150</v>
      </c>
      <c r="X188" s="1077">
        <v>80</v>
      </c>
      <c r="Y188" s="1077">
        <v>3</v>
      </c>
      <c r="Z188" s="1077">
        <v>5</v>
      </c>
      <c r="AA188" s="1077" t="s">
        <v>1642</v>
      </c>
      <c r="AH188" s="1077" t="s">
        <v>1376</v>
      </c>
      <c r="AJ188" s="1077">
        <v>94.56</v>
      </c>
      <c r="AK188" s="1077">
        <v>-0.11</v>
      </c>
      <c r="AL188" s="1077">
        <v>0.34</v>
      </c>
      <c r="AM188" s="1078" t="s">
        <v>9425</v>
      </c>
      <c r="AN188" s="1078" t="s">
        <v>9426</v>
      </c>
      <c r="AO188" s="1078">
        <f t="shared" si="22"/>
        <v>600</v>
      </c>
      <c r="AP188" s="1078">
        <f t="shared" si="23"/>
        <v>1.7</v>
      </c>
      <c r="AQ188" s="1078" t="str">
        <f t="shared" si="24"/>
        <v>1-4-1S83°</v>
      </c>
      <c r="AR188" s="1078" t="str">
        <f t="shared" si="25"/>
        <v>31</v>
      </c>
      <c r="AS188" s="1078" t="str">
        <f t="shared" si="26"/>
        <v>223/223/OFF</v>
      </c>
      <c r="AT188" s="1078" t="str">
        <f t="shared" si="27"/>
        <v>1-4-1S83°</v>
      </c>
      <c r="AV188" s="1078" t="str">
        <f t="shared" si="20"/>
        <v>113.2.2</v>
      </c>
      <c r="AW188" s="1344">
        <f t="shared" si="21"/>
        <v>45324</v>
      </c>
    </row>
    <row r="189" spans="1:49">
      <c r="A189" s="1077" t="s">
        <v>1648</v>
      </c>
      <c r="B189" s="1077" t="s">
        <v>1463</v>
      </c>
      <c r="C189" s="1077">
        <v>600</v>
      </c>
      <c r="D189" s="1077">
        <v>1.64</v>
      </c>
      <c r="E189" s="1077" t="s">
        <v>15089</v>
      </c>
      <c r="F189" s="1077" t="s">
        <v>984</v>
      </c>
      <c r="G189" s="1077">
        <v>2</v>
      </c>
      <c r="H189" s="1077" t="s">
        <v>1649</v>
      </c>
      <c r="I189" s="1077" t="s">
        <v>942</v>
      </c>
      <c r="J189" s="1077">
        <v>0.9</v>
      </c>
      <c r="K189" s="1077" t="s">
        <v>1650</v>
      </c>
      <c r="L189" s="1077" t="s">
        <v>1466</v>
      </c>
      <c r="M189" s="1077">
        <v>51.5</v>
      </c>
      <c r="N189" s="1077" t="s">
        <v>945</v>
      </c>
      <c r="O189" s="1077">
        <v>1.2875000000000001</v>
      </c>
      <c r="P189" s="1077">
        <v>1.03</v>
      </c>
      <c r="Q189" s="1077">
        <v>4</v>
      </c>
      <c r="R189" s="1077">
        <v>24</v>
      </c>
      <c r="T189" s="1077">
        <v>21.2</v>
      </c>
      <c r="U189" s="1077">
        <v>3.6</v>
      </c>
      <c r="V189" s="1077" t="s">
        <v>648</v>
      </c>
      <c r="W189" s="1077">
        <v>150</v>
      </c>
      <c r="X189" s="1077">
        <v>80</v>
      </c>
      <c r="Y189" s="1077">
        <v>2</v>
      </c>
      <c r="Z189" s="1077">
        <v>4</v>
      </c>
      <c r="AA189" s="1077" t="s">
        <v>1651</v>
      </c>
      <c r="AH189" s="1077" t="s">
        <v>853</v>
      </c>
      <c r="AJ189" s="1077">
        <v>94.15</v>
      </c>
      <c r="AK189" s="1077">
        <v>-0.3</v>
      </c>
      <c r="AL189" s="1077">
        <v>1.07</v>
      </c>
      <c r="AM189" s="1078" t="s">
        <v>9427</v>
      </c>
      <c r="AN189" s="1078" t="s">
        <v>9428</v>
      </c>
      <c r="AO189" s="1078">
        <f t="shared" si="22"/>
        <v>600</v>
      </c>
      <c r="AP189" s="1078">
        <f t="shared" si="23"/>
        <v>1.64</v>
      </c>
      <c r="AQ189" s="1078" t="str">
        <f t="shared" si="24"/>
        <v>1-4-1S83°</v>
      </c>
      <c r="AR189" s="1078" t="str">
        <f t="shared" si="25"/>
        <v>30</v>
      </c>
      <c r="AS189" s="1078" t="str">
        <f t="shared" si="26"/>
        <v>225/225/OFF</v>
      </c>
      <c r="AT189" s="1078" t="str">
        <f t="shared" si="27"/>
        <v>1-4-1S83°</v>
      </c>
      <c r="AV189" s="1078" t="str">
        <f t="shared" si="20"/>
        <v>113.2.20</v>
      </c>
      <c r="AW189" s="1344">
        <f t="shared" si="21"/>
        <v>45342</v>
      </c>
    </row>
    <row r="190" spans="1:49">
      <c r="A190" s="1077" t="s">
        <v>1652</v>
      </c>
      <c r="B190" s="1077" t="s">
        <v>874</v>
      </c>
      <c r="C190" s="1077">
        <v>500</v>
      </c>
      <c r="D190" s="1077">
        <v>1.77</v>
      </c>
      <c r="E190" s="1077" t="s">
        <v>15096</v>
      </c>
      <c r="F190" s="1077" t="s">
        <v>984</v>
      </c>
      <c r="G190" s="1077" t="s">
        <v>1001</v>
      </c>
      <c r="H190" s="1077" t="s">
        <v>1155</v>
      </c>
      <c r="I190" s="1077" t="s">
        <v>126</v>
      </c>
      <c r="J190" s="1077">
        <v>1.2</v>
      </c>
      <c r="K190" s="1077" t="s">
        <v>1586</v>
      </c>
      <c r="L190" s="1077" t="s">
        <v>1176</v>
      </c>
      <c r="M190" s="1077">
        <v>51.8</v>
      </c>
      <c r="N190" s="1077" t="s">
        <v>945</v>
      </c>
      <c r="O190" s="1077">
        <v>1.2949999999999999</v>
      </c>
      <c r="P190" s="1077">
        <v>1.036</v>
      </c>
      <c r="Q190" s="1077">
        <v>4</v>
      </c>
      <c r="R190" s="1077">
        <v>20.100000000000001</v>
      </c>
      <c r="T190" s="1077">
        <v>30</v>
      </c>
      <c r="U190" s="1077">
        <v>3.8</v>
      </c>
      <c r="V190" s="1077" t="s">
        <v>648</v>
      </c>
      <c r="W190" s="1077">
        <v>120</v>
      </c>
      <c r="X190" s="1077">
        <v>75</v>
      </c>
      <c r="Y190" s="1077">
        <v>2</v>
      </c>
      <c r="Z190" s="1077">
        <v>4</v>
      </c>
      <c r="AA190" s="1077" t="s">
        <v>1653</v>
      </c>
      <c r="AH190" s="1077" t="s">
        <v>958</v>
      </c>
      <c r="AJ190" s="1077">
        <v>16.5</v>
      </c>
      <c r="AK190" s="1077">
        <v>0.7</v>
      </c>
      <c r="AL190" s="1077">
        <v>1.78</v>
      </c>
      <c r="AM190" s="1078" t="s">
        <v>9429</v>
      </c>
      <c r="AN190" s="1078" t="s">
        <v>9430</v>
      </c>
      <c r="AO190" s="1078">
        <f t="shared" si="22"/>
        <v>500</v>
      </c>
      <c r="AP190" s="1078">
        <f t="shared" si="23"/>
        <v>1.77</v>
      </c>
      <c r="AQ190" s="1078" t="str">
        <f t="shared" si="24"/>
        <v>1-4-1S87°</v>
      </c>
      <c r="AR190" s="1078" t="str">
        <f t="shared" si="25"/>
        <v>30</v>
      </c>
      <c r="AS190" s="1078" t="str">
        <f t="shared" si="26"/>
        <v>215/215/OFF</v>
      </c>
      <c r="AT190" s="1078" t="str">
        <f t="shared" si="27"/>
        <v>1-4-1S87°</v>
      </c>
      <c r="AV190" s="1078" t="str">
        <f t="shared" si="20"/>
        <v>113.3.1</v>
      </c>
      <c r="AW190" s="1344">
        <f t="shared" si="21"/>
        <v>45352</v>
      </c>
    </row>
    <row r="191" spans="1:49">
      <c r="A191" s="1077" t="s">
        <v>1654</v>
      </c>
      <c r="B191" s="1077" t="s">
        <v>983</v>
      </c>
      <c r="C191" s="1077">
        <v>700</v>
      </c>
      <c r="D191" s="1077">
        <v>1.7</v>
      </c>
      <c r="E191" s="1077" t="s">
        <v>15089</v>
      </c>
      <c r="F191" s="1077" t="s">
        <v>984</v>
      </c>
      <c r="G191" s="1077" t="s">
        <v>940</v>
      </c>
      <c r="H191" s="1077" t="s">
        <v>1077</v>
      </c>
      <c r="I191" s="1077" t="s">
        <v>126</v>
      </c>
      <c r="J191" s="1077">
        <v>0.9</v>
      </c>
      <c r="K191" s="1077" t="s">
        <v>1655</v>
      </c>
      <c r="L191" s="1077" t="s">
        <v>1656</v>
      </c>
      <c r="M191" s="1077">
        <v>51.5</v>
      </c>
      <c r="N191" s="1077" t="s">
        <v>945</v>
      </c>
      <c r="O191" s="1077">
        <v>1.2875000000000001</v>
      </c>
      <c r="P191" s="1077">
        <v>1.03</v>
      </c>
      <c r="Q191" s="1077">
        <v>4</v>
      </c>
      <c r="R191" s="1077">
        <v>24.5</v>
      </c>
      <c r="T191" s="1077">
        <v>20</v>
      </c>
      <c r="U191" s="1077">
        <v>3.4</v>
      </c>
      <c r="V191" s="1077" t="s">
        <v>648</v>
      </c>
      <c r="W191" s="1077">
        <v>125</v>
      </c>
      <c r="X191" s="1077">
        <v>80</v>
      </c>
      <c r="Y191" s="1077">
        <v>2.2000000000000002</v>
      </c>
      <c r="Z191" s="1077">
        <v>4</v>
      </c>
      <c r="AA191" s="1077" t="s">
        <v>1657</v>
      </c>
      <c r="AH191" s="1077" t="s">
        <v>963</v>
      </c>
      <c r="AJ191" s="1077">
        <v>93.33</v>
      </c>
      <c r="AK191" s="1077">
        <v>-0.05</v>
      </c>
      <c r="AL191" s="1077">
        <v>0.57999999999999996</v>
      </c>
      <c r="AM191" s="1078" t="s">
        <v>9431</v>
      </c>
      <c r="AN191" s="1078" t="s">
        <v>9432</v>
      </c>
      <c r="AO191" s="1078">
        <f t="shared" si="22"/>
        <v>700</v>
      </c>
      <c r="AP191" s="1078">
        <f t="shared" si="23"/>
        <v>1.7</v>
      </c>
      <c r="AQ191" s="1078" t="str">
        <f t="shared" si="24"/>
        <v>1-4-1S83°</v>
      </c>
      <c r="AR191" s="1078" t="str">
        <f t="shared" si="25"/>
        <v>30</v>
      </c>
      <c r="AS191" s="1078" t="str">
        <f t="shared" si="26"/>
        <v>245/245/OFF</v>
      </c>
      <c r="AT191" s="1078" t="str">
        <f t="shared" si="27"/>
        <v>1-4-1S83°</v>
      </c>
      <c r="AV191" s="1078" t="str">
        <f t="shared" si="20"/>
        <v>113.3.5</v>
      </c>
      <c r="AW191" s="1344">
        <f t="shared" si="21"/>
        <v>45356</v>
      </c>
    </row>
    <row r="192" spans="1:49">
      <c r="A192" s="1077" t="s">
        <v>1658</v>
      </c>
      <c r="B192" s="1077" t="s">
        <v>1659</v>
      </c>
      <c r="C192" s="1077">
        <v>500</v>
      </c>
      <c r="D192" s="1077">
        <v>1.72</v>
      </c>
      <c r="E192" s="1077" t="s">
        <v>15095</v>
      </c>
      <c r="F192" s="1077" t="s">
        <v>984</v>
      </c>
      <c r="G192" s="1077" t="s">
        <v>1016</v>
      </c>
      <c r="H192" s="1077" t="s">
        <v>1660</v>
      </c>
      <c r="I192" s="1077" t="s">
        <v>626</v>
      </c>
      <c r="J192" s="1077">
        <v>1.2</v>
      </c>
      <c r="K192" s="1077" t="s">
        <v>1661</v>
      </c>
      <c r="L192" s="1077" t="s">
        <v>1356</v>
      </c>
      <c r="M192" s="1077">
        <v>49.5</v>
      </c>
      <c r="N192" s="1077" t="s">
        <v>945</v>
      </c>
      <c r="O192" s="1077">
        <v>1.2375</v>
      </c>
      <c r="P192" s="1077">
        <v>0.99</v>
      </c>
      <c r="Q192" s="1077">
        <v>3</v>
      </c>
      <c r="R192" s="1077">
        <v>31</v>
      </c>
      <c r="T192" s="1077">
        <v>11</v>
      </c>
      <c r="U192" s="1077">
        <v>6.5</v>
      </c>
      <c r="V192" s="1077" t="s">
        <v>648</v>
      </c>
      <c r="W192" s="1077">
        <v>165</v>
      </c>
      <c r="X192" s="1077">
        <v>90</v>
      </c>
      <c r="Y192" s="1077">
        <v>2</v>
      </c>
      <c r="Z192" s="1077">
        <v>3</v>
      </c>
      <c r="AA192" s="1077" t="s">
        <v>1662</v>
      </c>
      <c r="AH192" s="1077" t="s">
        <v>994</v>
      </c>
      <c r="AJ192" s="1077">
        <v>93.8</v>
      </c>
      <c r="AK192" s="1077">
        <v>-0.83</v>
      </c>
      <c r="AL192" s="1077">
        <v>2.52</v>
      </c>
      <c r="AM192" s="1078" t="s">
        <v>9433</v>
      </c>
      <c r="AN192" s="1078" t="s">
        <v>9434</v>
      </c>
      <c r="AO192" s="1078">
        <f t="shared" si="22"/>
        <v>500</v>
      </c>
      <c r="AP192" s="1078">
        <f t="shared" si="23"/>
        <v>1.72</v>
      </c>
      <c r="AQ192" s="1078" t="str">
        <f t="shared" si="24"/>
        <v>1-5-1S83°</v>
      </c>
      <c r="AR192" s="1078" t="str">
        <f t="shared" si="25"/>
        <v>30</v>
      </c>
      <c r="AS192" s="1078" t="str">
        <f t="shared" si="26"/>
        <v>180/180/OFF</v>
      </c>
      <c r="AT192" s="1078" t="str">
        <f t="shared" si="27"/>
        <v>1-5-1S83°</v>
      </c>
      <c r="AV192" s="1078" t="str">
        <f t="shared" si="20"/>
        <v>113.3.18</v>
      </c>
      <c r="AW192" s="1344">
        <f t="shared" si="21"/>
        <v>45369</v>
      </c>
    </row>
    <row r="193" spans="1:49">
      <c r="A193" s="1077" t="s">
        <v>1663</v>
      </c>
      <c r="B193" s="1077" t="s">
        <v>1527</v>
      </c>
      <c r="C193" s="1077">
        <v>500</v>
      </c>
      <c r="D193" s="1077">
        <v>1.66</v>
      </c>
      <c r="E193" s="1077" t="s">
        <v>15095</v>
      </c>
      <c r="F193" s="1077" t="s">
        <v>984</v>
      </c>
      <c r="G193" s="1077" t="s">
        <v>1001</v>
      </c>
      <c r="H193" s="1077" t="s">
        <v>1664</v>
      </c>
      <c r="I193" s="1077" t="s">
        <v>126</v>
      </c>
      <c r="J193" s="1077">
        <v>1.1000000000000001</v>
      </c>
      <c r="K193" s="1077" t="s">
        <v>1665</v>
      </c>
      <c r="L193" s="1077" t="s">
        <v>1529</v>
      </c>
      <c r="M193" s="1077">
        <v>51</v>
      </c>
      <c r="N193" s="1077" t="s">
        <v>945</v>
      </c>
      <c r="O193" s="1077">
        <v>1.2750000000000001</v>
      </c>
      <c r="P193" s="1077">
        <v>1.02</v>
      </c>
      <c r="Q193" s="1077">
        <v>3</v>
      </c>
      <c r="R193" s="1077">
        <v>28</v>
      </c>
      <c r="T193" s="1077">
        <v>12</v>
      </c>
      <c r="U193" s="1077">
        <v>4.2</v>
      </c>
      <c r="V193" s="1077" t="s">
        <v>648</v>
      </c>
      <c r="W193" s="1077">
        <v>100</v>
      </c>
      <c r="X193" s="1077">
        <v>40</v>
      </c>
      <c r="Y193" s="1077">
        <v>2.2000000000000002</v>
      </c>
      <c r="Z193" s="1077">
        <v>2.5</v>
      </c>
      <c r="AA193" s="1077" t="s">
        <v>1666</v>
      </c>
      <c r="AH193" s="1077" t="s">
        <v>1588</v>
      </c>
      <c r="AJ193" s="1077">
        <v>90.9</v>
      </c>
      <c r="AK193" s="1077">
        <v>-0.27</v>
      </c>
      <c r="AL193" s="1077">
        <v>2.39</v>
      </c>
      <c r="AM193" s="1078" t="s">
        <v>9435</v>
      </c>
      <c r="AN193" s="1078" t="s">
        <v>9436</v>
      </c>
      <c r="AO193" s="1078">
        <f t="shared" si="22"/>
        <v>500</v>
      </c>
      <c r="AP193" s="1078">
        <f t="shared" si="23"/>
        <v>1.66</v>
      </c>
      <c r="AQ193" s="1078" t="str">
        <f t="shared" si="24"/>
        <v>1-5-1S83°</v>
      </c>
      <c r="AR193" s="1078" t="str">
        <f t="shared" si="25"/>
        <v>30</v>
      </c>
      <c r="AS193" s="1078" t="str">
        <f t="shared" si="26"/>
        <v>200/200/130</v>
      </c>
      <c r="AT193" s="1078" t="str">
        <f t="shared" si="27"/>
        <v>1-5-1S83°</v>
      </c>
      <c r="AV193" s="1078" t="str">
        <f t="shared" si="20"/>
        <v>113.3.27</v>
      </c>
      <c r="AW193" s="1344">
        <f t="shared" si="21"/>
        <v>45378</v>
      </c>
    </row>
    <row r="194" spans="1:49">
      <c r="A194" s="1077" t="s">
        <v>1667</v>
      </c>
      <c r="B194" s="1077" t="s">
        <v>983</v>
      </c>
      <c r="C194" s="1077">
        <v>700</v>
      </c>
      <c r="D194" s="1077">
        <v>1.7</v>
      </c>
      <c r="E194" s="1077" t="s">
        <v>15089</v>
      </c>
      <c r="F194" s="1077" t="s">
        <v>984</v>
      </c>
      <c r="G194" s="1077" t="s">
        <v>940</v>
      </c>
      <c r="H194" s="1077" t="s">
        <v>1077</v>
      </c>
      <c r="I194" s="1077" t="s">
        <v>126</v>
      </c>
      <c r="J194" s="1077">
        <v>0.8</v>
      </c>
      <c r="K194" s="1077" t="s">
        <v>1668</v>
      </c>
      <c r="L194" s="1077" t="s">
        <v>987</v>
      </c>
      <c r="M194" s="1077">
        <v>51.5</v>
      </c>
      <c r="N194" s="1077" t="s">
        <v>945</v>
      </c>
      <c r="O194" s="1077">
        <v>1.2875000000000001</v>
      </c>
      <c r="P194" s="1077">
        <v>1.03</v>
      </c>
      <c r="Q194" s="1077">
        <v>4</v>
      </c>
      <c r="R194" s="1077">
        <v>24.5</v>
      </c>
      <c r="T194" s="1077">
        <v>20</v>
      </c>
      <c r="U194" s="1077">
        <v>3.4</v>
      </c>
      <c r="V194" s="1077" t="s">
        <v>648</v>
      </c>
      <c r="W194" s="1077">
        <v>125</v>
      </c>
      <c r="X194" s="1077">
        <v>80</v>
      </c>
      <c r="Y194" s="1077">
        <v>2.2000000000000002</v>
      </c>
      <c r="Z194" s="1077">
        <v>4</v>
      </c>
      <c r="AA194" s="1077" t="s">
        <v>1669</v>
      </c>
      <c r="AH194" s="1077" t="s">
        <v>884</v>
      </c>
      <c r="AJ194" s="1077">
        <v>93.54</v>
      </c>
      <c r="AK194" s="1077">
        <v>-0.24</v>
      </c>
      <c r="AL194" s="1077">
        <v>2.68</v>
      </c>
      <c r="AM194" s="1078" t="s">
        <v>9437</v>
      </c>
      <c r="AN194" s="1078" t="s">
        <v>9438</v>
      </c>
      <c r="AO194" s="1078">
        <f t="shared" si="22"/>
        <v>700</v>
      </c>
      <c r="AP194" s="1078">
        <f t="shared" si="23"/>
        <v>1.7</v>
      </c>
      <c r="AQ194" s="1078" t="str">
        <f t="shared" si="24"/>
        <v>1-4-1S83°</v>
      </c>
      <c r="AR194" s="1078" t="str">
        <f t="shared" si="25"/>
        <v>30</v>
      </c>
      <c r="AS194" s="1078" t="str">
        <f t="shared" si="26"/>
        <v>245/245/OFF</v>
      </c>
      <c r="AT194" s="1078" t="str">
        <f t="shared" si="27"/>
        <v>1-4-1S83°</v>
      </c>
      <c r="AV194" s="1078" t="str">
        <f t="shared" ref="AV194:AV257" si="28">AA194</f>
        <v>113.4.1</v>
      </c>
      <c r="AW194" s="1344">
        <f t="shared" si="21"/>
        <v>45383</v>
      </c>
    </row>
    <row r="195" spans="1:49">
      <c r="A195" s="1077" t="s">
        <v>1670</v>
      </c>
      <c r="B195" s="1077" t="s">
        <v>983</v>
      </c>
      <c r="C195" s="1077">
        <v>650</v>
      </c>
      <c r="D195" s="1077">
        <v>1.7</v>
      </c>
      <c r="E195" s="1077" t="s">
        <v>15091</v>
      </c>
      <c r="F195" s="1077" t="s">
        <v>954</v>
      </c>
      <c r="G195" s="1077" t="s">
        <v>940</v>
      </c>
      <c r="H195" s="1077" t="s">
        <v>1671</v>
      </c>
      <c r="I195" s="1077" t="s">
        <v>1112</v>
      </c>
      <c r="J195" s="1077">
        <v>0.8</v>
      </c>
      <c r="K195" s="1077" t="s">
        <v>1672</v>
      </c>
      <c r="L195" s="1077" t="s">
        <v>987</v>
      </c>
      <c r="M195" s="1077">
        <v>51.5</v>
      </c>
      <c r="N195" s="1077" t="s">
        <v>945</v>
      </c>
      <c r="O195" s="1077">
        <v>1.2875000000000001</v>
      </c>
      <c r="P195" s="1077">
        <v>1.03</v>
      </c>
      <c r="Q195" s="1077">
        <v>4</v>
      </c>
      <c r="R195" s="1077" t="s">
        <v>1673</v>
      </c>
      <c r="T195" s="1077">
        <v>20</v>
      </c>
      <c r="U195" s="1077">
        <v>3.4</v>
      </c>
      <c r="V195" s="1077" t="s">
        <v>648</v>
      </c>
      <c r="W195" s="1077">
        <v>125</v>
      </c>
      <c r="X195" s="1077">
        <v>80</v>
      </c>
      <c r="Y195" s="1077">
        <v>2.2000000000000002</v>
      </c>
      <c r="Z195" s="1077">
        <v>4</v>
      </c>
      <c r="AA195" s="1077" t="s">
        <v>1674</v>
      </c>
      <c r="AH195" s="1077" t="s">
        <v>948</v>
      </c>
      <c r="AJ195" s="1077">
        <v>93.76</v>
      </c>
      <c r="AK195" s="1077">
        <v>-0.53</v>
      </c>
      <c r="AL195" s="1077">
        <v>1.4</v>
      </c>
      <c r="AM195" s="1078" t="s">
        <v>9439</v>
      </c>
      <c r="AN195" s="1078" t="s">
        <v>9440</v>
      </c>
      <c r="AO195" s="1078">
        <f t="shared" si="22"/>
        <v>650</v>
      </c>
      <c r="AP195" s="1078">
        <f t="shared" si="23"/>
        <v>1.7</v>
      </c>
      <c r="AQ195" s="1078" t="str">
        <f t="shared" si="24"/>
        <v>2-5-1S83°</v>
      </c>
      <c r="AR195" s="1078" t="str">
        <f t="shared" si="25"/>
        <v>31</v>
      </c>
      <c r="AS195" s="1078" t="str">
        <f t="shared" si="26"/>
        <v>172/OFF</v>
      </c>
      <c r="AT195" s="1078" t="str">
        <f t="shared" si="27"/>
        <v>2-5-1S83°</v>
      </c>
      <c r="AV195" s="1078" t="str">
        <f t="shared" si="28"/>
        <v>113.4.8</v>
      </c>
      <c r="AW195" s="1344">
        <f t="shared" ref="AW195:AW258" si="29">DATE(VALUE(LEFT(AV195,FIND(".",AV195)-1))+1911,
       VALUE(MID(AV195,FIND(".",AV195)+1,FIND(".",AV195,FIND(".",AV195)+1)-FIND(".",AV195)-1)),
       VALUE(RIGHT(AV195,LEN(AV195)-FIND("~",SUBSTITUTE(AV195,".","~",2)))))</f>
        <v>45390</v>
      </c>
    </row>
    <row r="196" spans="1:49">
      <c r="A196" s="1077" t="s">
        <v>1675</v>
      </c>
      <c r="B196" s="1077" t="s">
        <v>1423</v>
      </c>
      <c r="C196" s="1077">
        <v>500</v>
      </c>
      <c r="D196" s="1077">
        <v>1.7050000000000001</v>
      </c>
      <c r="E196" s="1077" t="s">
        <v>15089</v>
      </c>
      <c r="F196" s="1077" t="s">
        <v>954</v>
      </c>
      <c r="G196" s="1077" t="s">
        <v>1016</v>
      </c>
      <c r="H196" s="1077" t="s">
        <v>1274</v>
      </c>
      <c r="I196" s="1077" t="s">
        <v>126</v>
      </c>
      <c r="J196" s="1077">
        <v>1.3</v>
      </c>
      <c r="K196" s="1077" t="s">
        <v>1676</v>
      </c>
      <c r="L196" s="1077" t="s">
        <v>1425</v>
      </c>
      <c r="M196" s="1077">
        <v>52</v>
      </c>
      <c r="N196" s="1077" t="s">
        <v>945</v>
      </c>
      <c r="O196" s="1077">
        <v>1.3</v>
      </c>
      <c r="P196" s="1077">
        <v>1.04</v>
      </c>
      <c r="Q196" s="1077">
        <v>3</v>
      </c>
      <c r="R196" s="1077">
        <v>23</v>
      </c>
      <c r="T196" s="1077">
        <v>29</v>
      </c>
      <c r="U196" s="1077">
        <v>3.3</v>
      </c>
      <c r="V196" s="1077" t="s">
        <v>648</v>
      </c>
      <c r="W196" s="1077">
        <v>130</v>
      </c>
      <c r="X196" s="1077">
        <v>75</v>
      </c>
      <c r="Y196" s="1077">
        <v>2.4</v>
      </c>
      <c r="Z196" s="1077">
        <v>4.5</v>
      </c>
      <c r="AA196" s="1077" t="s">
        <v>1677</v>
      </c>
      <c r="AH196" s="1077" t="s">
        <v>1267</v>
      </c>
      <c r="AJ196" s="1077">
        <v>86.38</v>
      </c>
      <c r="AK196" s="1077">
        <v>0.9</v>
      </c>
      <c r="AL196" s="1077">
        <v>6.8</v>
      </c>
      <c r="AM196" s="1078" t="s">
        <v>9441</v>
      </c>
      <c r="AN196" s="1078" t="s">
        <v>9442</v>
      </c>
      <c r="AO196" s="1078">
        <f t="shared" si="22"/>
        <v>500</v>
      </c>
      <c r="AP196" s="1078">
        <f t="shared" si="23"/>
        <v>1.7050000000000001</v>
      </c>
      <c r="AQ196" s="1078" t="str">
        <f t="shared" si="24"/>
        <v>1-4-1S83°</v>
      </c>
      <c r="AR196" s="1078" t="str">
        <f t="shared" si="25"/>
        <v>31</v>
      </c>
      <c r="AS196" s="1078" t="str">
        <f t="shared" si="26"/>
        <v>210/210/OFF</v>
      </c>
      <c r="AT196" s="1078" t="str">
        <f t="shared" si="27"/>
        <v>1-4-1S83°</v>
      </c>
      <c r="AV196" s="1078" t="str">
        <f t="shared" si="28"/>
        <v>113.4.10</v>
      </c>
      <c r="AW196" s="1344">
        <f t="shared" si="29"/>
        <v>45392</v>
      </c>
    </row>
    <row r="197" spans="1:49">
      <c r="A197" s="1077" t="s">
        <v>1678</v>
      </c>
      <c r="B197" s="1077" t="s">
        <v>983</v>
      </c>
      <c r="C197" s="1077" t="s">
        <v>1679</v>
      </c>
      <c r="D197" s="1077">
        <v>1.7</v>
      </c>
      <c r="E197" s="1077" t="s">
        <v>15091</v>
      </c>
      <c r="F197" s="1077" t="s">
        <v>954</v>
      </c>
      <c r="G197" s="1077" t="s">
        <v>940</v>
      </c>
      <c r="H197" s="1077" t="s">
        <v>1680</v>
      </c>
      <c r="I197" s="1077" t="s">
        <v>1112</v>
      </c>
      <c r="J197" s="1077">
        <v>0.8</v>
      </c>
      <c r="K197" s="1077" t="s">
        <v>1655</v>
      </c>
      <c r="L197" s="1077" t="s">
        <v>1656</v>
      </c>
      <c r="M197" s="1077">
        <v>51.5</v>
      </c>
      <c r="N197" s="1077" t="s">
        <v>945</v>
      </c>
      <c r="O197" s="1077">
        <v>1.2875000000000001</v>
      </c>
      <c r="P197" s="1077">
        <v>1.03</v>
      </c>
      <c r="Q197" s="1077">
        <v>4</v>
      </c>
      <c r="R197" s="1077">
        <v>23.5</v>
      </c>
      <c r="T197" s="1077">
        <v>20</v>
      </c>
      <c r="U197" s="1077">
        <v>3.4</v>
      </c>
      <c r="V197" s="1077" t="s">
        <v>648</v>
      </c>
      <c r="W197" s="1077">
        <v>125</v>
      </c>
      <c r="X197" s="1077">
        <v>80</v>
      </c>
      <c r="Y197" s="1077">
        <v>2.2000000000000002</v>
      </c>
      <c r="Z197" s="1077">
        <v>4</v>
      </c>
      <c r="AA197" s="1077" t="s">
        <v>1681</v>
      </c>
      <c r="AH197" s="1077" t="s">
        <v>723</v>
      </c>
      <c r="AJ197" s="1077">
        <v>93.3</v>
      </c>
      <c r="AK197" s="1077">
        <v>0.02</v>
      </c>
      <c r="AL197" s="1077">
        <v>0.77</v>
      </c>
      <c r="AM197" s="1078" t="s">
        <v>9443</v>
      </c>
      <c r="AN197" s="1078" t="s">
        <v>9444</v>
      </c>
      <c r="AO197" s="1078" t="str">
        <f t="shared" si="22"/>
        <v>650↓600-5/13</v>
      </c>
      <c r="AP197" s="1078">
        <f t="shared" si="23"/>
        <v>1.7</v>
      </c>
      <c r="AQ197" s="1078" t="str">
        <f t="shared" si="24"/>
        <v>2-5-1S83°</v>
      </c>
      <c r="AR197" s="1078" t="str">
        <f t="shared" si="25"/>
        <v>31</v>
      </c>
      <c r="AS197" s="1078" t="str">
        <f t="shared" si="26"/>
        <v>171/OFF</v>
      </c>
      <c r="AT197" s="1078" t="str">
        <f t="shared" si="27"/>
        <v>2-5-1S83°</v>
      </c>
      <c r="AV197" s="1078" t="str">
        <f t="shared" si="28"/>
        <v>113.5.7</v>
      </c>
      <c r="AW197" s="1344">
        <f t="shared" si="29"/>
        <v>45419</v>
      </c>
    </row>
    <row r="198" spans="1:49">
      <c r="A198" s="1077" t="s">
        <v>1682</v>
      </c>
      <c r="B198" s="1077" t="s">
        <v>1033</v>
      </c>
      <c r="C198" s="1077">
        <v>550</v>
      </c>
      <c r="D198" s="1077">
        <v>1.6850000000000001</v>
      </c>
      <c r="E198" s="1077" t="s">
        <v>15089</v>
      </c>
      <c r="F198" s="1077" t="s">
        <v>1318</v>
      </c>
      <c r="G198" s="1077" t="s">
        <v>940</v>
      </c>
      <c r="H198" s="1077" t="s">
        <v>1040</v>
      </c>
      <c r="I198" s="1077" t="s">
        <v>126</v>
      </c>
      <c r="J198" s="1077">
        <v>0.7</v>
      </c>
      <c r="K198" s="1077" t="s">
        <v>1602</v>
      </c>
      <c r="L198" s="1077" t="s">
        <v>1036</v>
      </c>
      <c r="M198" s="1077">
        <v>50.7</v>
      </c>
      <c r="N198" s="1077" t="s">
        <v>945</v>
      </c>
      <c r="O198" s="1077">
        <v>1.2675000000000001</v>
      </c>
      <c r="P198" s="1077">
        <v>1.014</v>
      </c>
      <c r="Q198" s="1077">
        <v>3.5</v>
      </c>
      <c r="R198" s="1077">
        <v>25</v>
      </c>
      <c r="T198" s="1077">
        <v>21</v>
      </c>
      <c r="U198" s="1077">
        <v>3.3</v>
      </c>
      <c r="V198" s="1077" t="s">
        <v>648</v>
      </c>
      <c r="W198" s="1077">
        <v>120</v>
      </c>
      <c r="X198" s="1077" t="s">
        <v>1130</v>
      </c>
      <c r="Y198" s="1077">
        <v>2.2000000000000002</v>
      </c>
      <c r="Z198" s="1077">
        <v>4</v>
      </c>
      <c r="AA198" s="1077" t="s">
        <v>1683</v>
      </c>
      <c r="AH198" s="1077" t="s">
        <v>1684</v>
      </c>
      <c r="AI198" s="1077" t="s">
        <v>981</v>
      </c>
      <c r="AJ198" s="1077">
        <v>95.34</v>
      </c>
      <c r="AK198" s="1077">
        <v>-0.43</v>
      </c>
      <c r="AL198" s="1077">
        <v>1.35</v>
      </c>
      <c r="AM198" s="1078" t="s">
        <v>9445</v>
      </c>
      <c r="AN198" s="1078" t="s">
        <v>9446</v>
      </c>
      <c r="AO198" s="1078">
        <f t="shared" si="22"/>
        <v>550</v>
      </c>
      <c r="AP198" s="1078">
        <f t="shared" si="23"/>
        <v>1.6850000000000001</v>
      </c>
      <c r="AQ198" s="1078" t="str">
        <f t="shared" si="24"/>
        <v>1-4-1S83°</v>
      </c>
      <c r="AR198" s="1078" t="str">
        <f t="shared" si="25"/>
        <v>30.7</v>
      </c>
      <c r="AS198" s="1078" t="str">
        <f t="shared" si="26"/>
        <v>240/240/OFF</v>
      </c>
      <c r="AT198" s="1078" t="str">
        <f t="shared" si="27"/>
        <v>1-4-1S83°</v>
      </c>
      <c r="AV198" s="1078" t="str">
        <f t="shared" si="28"/>
        <v>113.5.8</v>
      </c>
      <c r="AW198" s="1344">
        <f t="shared" si="29"/>
        <v>45420</v>
      </c>
    </row>
    <row r="199" spans="1:49">
      <c r="A199" s="1077" t="s">
        <v>1685</v>
      </c>
      <c r="B199" s="1077" t="s">
        <v>872</v>
      </c>
      <c r="C199" s="1077">
        <v>550</v>
      </c>
      <c r="D199" s="1077">
        <v>1.8</v>
      </c>
      <c r="E199" s="1077" t="s">
        <v>15089</v>
      </c>
      <c r="F199" s="1077" t="s">
        <v>954</v>
      </c>
      <c r="G199" s="1077" t="s">
        <v>940</v>
      </c>
      <c r="H199" s="1077" t="s">
        <v>1686</v>
      </c>
      <c r="I199" s="1077" t="s">
        <v>126</v>
      </c>
      <c r="J199" s="1077">
        <v>0.4</v>
      </c>
      <c r="K199" s="1077" t="s">
        <v>1539</v>
      </c>
      <c r="L199" s="1077" t="s">
        <v>1157</v>
      </c>
      <c r="M199" s="1077">
        <v>49.7</v>
      </c>
      <c r="N199" s="1077" t="s">
        <v>945</v>
      </c>
      <c r="O199" s="1077">
        <v>1.2425000000000002</v>
      </c>
      <c r="P199" s="1077">
        <v>0.99400000000000011</v>
      </c>
      <c r="Q199" s="1077">
        <v>4</v>
      </c>
      <c r="R199" s="1077">
        <v>25</v>
      </c>
      <c r="T199" s="1077">
        <v>19.5</v>
      </c>
      <c r="U199" s="1077">
        <v>1.9</v>
      </c>
      <c r="V199" s="1077" t="s">
        <v>648</v>
      </c>
      <c r="W199" s="1077">
        <v>50</v>
      </c>
      <c r="X199" s="1077" t="s">
        <v>1403</v>
      </c>
      <c r="Y199" s="1077">
        <v>2</v>
      </c>
      <c r="Z199" s="1077">
        <v>2.5</v>
      </c>
      <c r="AA199" s="1077" t="s">
        <v>1687</v>
      </c>
      <c r="AH199" s="1077" t="s">
        <v>1588</v>
      </c>
      <c r="AJ199" s="1077">
        <v>90.63</v>
      </c>
      <c r="AK199" s="1077">
        <v>-0.65</v>
      </c>
      <c r="AL199" s="1077">
        <v>3.45</v>
      </c>
      <c r="AM199" s="1078" t="s">
        <v>9447</v>
      </c>
      <c r="AN199" s="1078" t="s">
        <v>9448</v>
      </c>
      <c r="AO199" s="1078">
        <f t="shared" si="22"/>
        <v>550</v>
      </c>
      <c r="AP199" s="1078">
        <f t="shared" si="23"/>
        <v>1.8</v>
      </c>
      <c r="AQ199" s="1078" t="str">
        <f t="shared" si="24"/>
        <v>1-4-1S83°</v>
      </c>
      <c r="AR199" s="1078" t="str">
        <f t="shared" si="25"/>
        <v>31</v>
      </c>
      <c r="AS199" s="1078" t="str">
        <f t="shared" si="26"/>
        <v>225/225/140</v>
      </c>
      <c r="AT199" s="1078" t="str">
        <f t="shared" si="27"/>
        <v>1-4-1S83°</v>
      </c>
      <c r="AV199" s="1078" t="str">
        <f t="shared" si="28"/>
        <v>113.5.17</v>
      </c>
      <c r="AW199" s="1344">
        <f t="shared" si="29"/>
        <v>45429</v>
      </c>
    </row>
    <row r="200" spans="1:49">
      <c r="A200" s="1077" t="s">
        <v>1688</v>
      </c>
      <c r="B200" s="1077" t="s">
        <v>983</v>
      </c>
      <c r="C200" s="1077">
        <v>550</v>
      </c>
      <c r="D200" s="1077">
        <v>1.68</v>
      </c>
      <c r="E200" s="1077" t="s">
        <v>15091</v>
      </c>
      <c r="F200" s="1077" t="s">
        <v>1689</v>
      </c>
      <c r="G200" s="1077" t="s">
        <v>940</v>
      </c>
      <c r="H200" s="1077" t="s">
        <v>1484</v>
      </c>
      <c r="I200" s="1077" t="s">
        <v>1112</v>
      </c>
      <c r="J200" s="1077">
        <v>0.8</v>
      </c>
      <c r="K200" s="1077" t="s">
        <v>1655</v>
      </c>
      <c r="L200" s="1077" t="s">
        <v>1656</v>
      </c>
      <c r="M200" s="1077">
        <v>52.8</v>
      </c>
      <c r="N200" s="1077" t="s">
        <v>945</v>
      </c>
      <c r="O200" s="1077">
        <v>1.32</v>
      </c>
      <c r="P200" s="1077">
        <v>1.056</v>
      </c>
      <c r="Q200" s="1077">
        <v>4</v>
      </c>
      <c r="R200" s="1077">
        <v>26.7</v>
      </c>
      <c r="T200" s="1077">
        <v>20</v>
      </c>
      <c r="U200" s="1077">
        <v>4.0999999999999996</v>
      </c>
      <c r="V200" s="1077" t="s">
        <v>648</v>
      </c>
      <c r="W200" s="1077">
        <v>125</v>
      </c>
      <c r="X200" s="1077">
        <v>80</v>
      </c>
      <c r="Y200" s="1077">
        <v>2.2000000000000002</v>
      </c>
      <c r="Z200" s="1077">
        <v>4</v>
      </c>
      <c r="AA200" s="1077" t="s">
        <v>1690</v>
      </c>
      <c r="AH200" s="1077" t="s">
        <v>647</v>
      </c>
      <c r="AJ200" s="1077">
        <v>92.86</v>
      </c>
      <c r="AK200" s="1077">
        <v>-0.28000000000000003</v>
      </c>
      <c r="AL200" s="1077">
        <v>0.81</v>
      </c>
      <c r="AM200" s="1078" t="s">
        <v>9449</v>
      </c>
      <c r="AN200" s="1078" t="s">
        <v>9450</v>
      </c>
      <c r="AO200" s="1078">
        <f t="shared" si="22"/>
        <v>550</v>
      </c>
      <c r="AP200" s="1078">
        <f t="shared" si="23"/>
        <v>1.68</v>
      </c>
      <c r="AQ200" s="1078" t="str">
        <f t="shared" si="24"/>
        <v>2-5-1S83°</v>
      </c>
      <c r="AR200" s="1078" t="str">
        <f t="shared" si="25"/>
        <v>29.5</v>
      </c>
      <c r="AS200" s="1078" t="str">
        <f t="shared" si="26"/>
        <v>165/OFF</v>
      </c>
      <c r="AT200" s="1078" t="str">
        <f t="shared" si="27"/>
        <v>2-5-1S83°</v>
      </c>
      <c r="AV200" s="1078" t="str">
        <f t="shared" si="28"/>
        <v>113.5.21</v>
      </c>
      <c r="AW200" s="1344">
        <f t="shared" si="29"/>
        <v>45433</v>
      </c>
    </row>
    <row r="201" spans="1:49">
      <c r="A201" s="1077" t="s">
        <v>1691</v>
      </c>
      <c r="B201" s="1077" t="s">
        <v>1463</v>
      </c>
      <c r="C201" s="1077">
        <v>600</v>
      </c>
      <c r="D201" s="1077">
        <v>1.7</v>
      </c>
      <c r="E201" s="1077" t="s">
        <v>15089</v>
      </c>
      <c r="F201" s="1077" t="s">
        <v>984</v>
      </c>
      <c r="G201" s="1077">
        <v>2</v>
      </c>
      <c r="H201" s="1077" t="s">
        <v>1533</v>
      </c>
      <c r="I201" s="1077" t="s">
        <v>942</v>
      </c>
      <c r="J201" s="1077">
        <v>0.9</v>
      </c>
      <c r="K201" s="1077" t="s">
        <v>1692</v>
      </c>
      <c r="L201" s="1077" t="s">
        <v>1466</v>
      </c>
      <c r="M201" s="1077">
        <v>51.5</v>
      </c>
      <c r="N201" s="1077" t="s">
        <v>945</v>
      </c>
      <c r="O201" s="1077">
        <v>1.2875000000000001</v>
      </c>
      <c r="P201" s="1077">
        <v>1.03</v>
      </c>
      <c r="Q201" s="1077">
        <v>4</v>
      </c>
      <c r="R201" s="1077">
        <v>24</v>
      </c>
      <c r="T201" s="1077">
        <v>21.2</v>
      </c>
      <c r="U201" s="1077">
        <v>3.6</v>
      </c>
      <c r="V201" s="1077" t="s">
        <v>648</v>
      </c>
      <c r="W201" s="1077">
        <v>150</v>
      </c>
      <c r="X201" s="1077">
        <v>80</v>
      </c>
      <c r="Y201" s="1077">
        <v>2</v>
      </c>
      <c r="Z201" s="1077">
        <v>4</v>
      </c>
      <c r="AA201" s="1077" t="s">
        <v>1693</v>
      </c>
      <c r="AH201" s="1077" t="s">
        <v>1417</v>
      </c>
      <c r="AJ201" s="1077">
        <v>95.06</v>
      </c>
      <c r="AK201" s="1077">
        <v>0.17</v>
      </c>
      <c r="AL201" s="1077">
        <v>0.76</v>
      </c>
      <c r="AM201" s="1078" t="s">
        <v>9451</v>
      </c>
      <c r="AN201" s="1078" t="s">
        <v>9452</v>
      </c>
      <c r="AO201" s="1078">
        <f t="shared" si="22"/>
        <v>600</v>
      </c>
      <c r="AP201" s="1078">
        <f t="shared" si="23"/>
        <v>1.7</v>
      </c>
      <c r="AQ201" s="1078" t="str">
        <f t="shared" si="24"/>
        <v>1-4-1S83°</v>
      </c>
      <c r="AR201" s="1078" t="str">
        <f t="shared" si="25"/>
        <v>30</v>
      </c>
      <c r="AS201" s="1078" t="str">
        <f t="shared" si="26"/>
        <v>223/223/OFF</v>
      </c>
      <c r="AT201" s="1078" t="str">
        <f t="shared" si="27"/>
        <v>1-4-1S83°</v>
      </c>
      <c r="AV201" s="1078" t="str">
        <f t="shared" si="28"/>
        <v>113.5.24</v>
      </c>
      <c r="AW201" s="1344">
        <f t="shared" si="29"/>
        <v>45436</v>
      </c>
    </row>
    <row r="202" spans="1:49">
      <c r="A202" s="1077" t="s">
        <v>1694</v>
      </c>
      <c r="B202" s="1077" t="s">
        <v>1463</v>
      </c>
      <c r="C202" s="1077">
        <v>500</v>
      </c>
      <c r="D202" s="1077">
        <v>1.65</v>
      </c>
      <c r="E202" s="1077" t="s">
        <v>15091</v>
      </c>
      <c r="F202" s="1077" t="s">
        <v>954</v>
      </c>
      <c r="G202" s="1077">
        <v>2</v>
      </c>
      <c r="H202" s="1077" t="s">
        <v>1624</v>
      </c>
      <c r="I202" s="1077" t="s">
        <v>942</v>
      </c>
      <c r="J202" s="1077">
        <v>0.9</v>
      </c>
      <c r="K202" s="1077" t="s">
        <v>1695</v>
      </c>
      <c r="L202" s="1077" t="s">
        <v>1466</v>
      </c>
      <c r="M202" s="1077">
        <v>51.5</v>
      </c>
      <c r="N202" s="1077" t="s">
        <v>945</v>
      </c>
      <c r="O202" s="1077">
        <v>1.2875000000000001</v>
      </c>
      <c r="P202" s="1077">
        <v>1.03</v>
      </c>
      <c r="Q202" s="1077">
        <v>4</v>
      </c>
      <c r="R202" s="1077" t="s">
        <v>1696</v>
      </c>
      <c r="T202" s="1077">
        <v>21.2</v>
      </c>
      <c r="U202" s="1077">
        <v>3.6</v>
      </c>
      <c r="V202" s="1077" t="s">
        <v>648</v>
      </c>
      <c r="W202" s="1077">
        <v>150</v>
      </c>
      <c r="X202" s="1077">
        <v>80</v>
      </c>
      <c r="Y202" s="1077">
        <v>2</v>
      </c>
      <c r="Z202" s="1077">
        <v>4</v>
      </c>
      <c r="AA202" s="1077" t="s">
        <v>1697</v>
      </c>
      <c r="AH202" s="1077" t="s">
        <v>803</v>
      </c>
      <c r="AJ202" s="1077">
        <v>94.55</v>
      </c>
      <c r="AK202" s="1077">
        <v>-0.11</v>
      </c>
      <c r="AL202" s="1077">
        <v>0.91</v>
      </c>
      <c r="AM202" s="1078" t="s">
        <v>9453</v>
      </c>
      <c r="AN202" s="1078" t="s">
        <v>9454</v>
      </c>
      <c r="AO202" s="1078">
        <f t="shared" si="22"/>
        <v>500</v>
      </c>
      <c r="AP202" s="1078">
        <f t="shared" si="23"/>
        <v>1.65</v>
      </c>
      <c r="AQ202" s="1078" t="str">
        <f t="shared" si="24"/>
        <v>2-5-1S83°</v>
      </c>
      <c r="AR202" s="1078" t="str">
        <f t="shared" si="25"/>
        <v>31</v>
      </c>
      <c r="AS202" s="1078" t="str">
        <f t="shared" si="26"/>
        <v>155/OFF</v>
      </c>
      <c r="AT202" s="1078" t="str">
        <f t="shared" si="27"/>
        <v>2-5-1S83°</v>
      </c>
      <c r="AV202" s="1078" t="str">
        <f t="shared" si="28"/>
        <v>113.5.30</v>
      </c>
      <c r="AW202" s="1344">
        <f t="shared" si="29"/>
        <v>45442</v>
      </c>
    </row>
    <row r="203" spans="1:49">
      <c r="A203" s="1077" t="s">
        <v>1698</v>
      </c>
      <c r="B203" s="1077" t="s">
        <v>1463</v>
      </c>
      <c r="C203" s="1077">
        <v>600</v>
      </c>
      <c r="D203" s="1077">
        <v>1.66</v>
      </c>
      <c r="E203" s="1077" t="s">
        <v>15089</v>
      </c>
      <c r="F203" s="1077" t="s">
        <v>984</v>
      </c>
      <c r="G203" s="1077">
        <v>2</v>
      </c>
      <c r="H203" s="1077" t="s">
        <v>1649</v>
      </c>
      <c r="I203" s="1077" t="s">
        <v>942</v>
      </c>
      <c r="J203" s="1077">
        <v>0.9</v>
      </c>
      <c r="K203" s="1077" t="s">
        <v>1650</v>
      </c>
      <c r="L203" s="1077" t="s">
        <v>1466</v>
      </c>
      <c r="M203" s="1077">
        <v>51.5</v>
      </c>
      <c r="N203" s="1077" t="s">
        <v>945</v>
      </c>
      <c r="O203" s="1077">
        <v>1.2875000000000001</v>
      </c>
      <c r="P203" s="1077">
        <v>1.03</v>
      </c>
      <c r="Q203" s="1077">
        <v>4</v>
      </c>
      <c r="R203" s="1077">
        <v>24</v>
      </c>
      <c r="T203" s="1077">
        <v>21.2</v>
      </c>
      <c r="U203" s="1077">
        <v>3.6</v>
      </c>
      <c r="V203" s="1077" t="s">
        <v>648</v>
      </c>
      <c r="W203" s="1077">
        <v>150</v>
      </c>
      <c r="X203" s="1077">
        <v>80</v>
      </c>
      <c r="Y203" s="1077">
        <v>2</v>
      </c>
      <c r="Z203" s="1077">
        <v>4</v>
      </c>
      <c r="AA203" s="1077" t="s">
        <v>1699</v>
      </c>
      <c r="AH203" s="1077" t="s">
        <v>831</v>
      </c>
      <c r="AJ203" s="1077">
        <v>94.62</v>
      </c>
      <c r="AK203" s="1077">
        <v>-0.24</v>
      </c>
      <c r="AL203" s="1077">
        <v>0.96</v>
      </c>
      <c r="AM203" s="1078" t="s">
        <v>9455</v>
      </c>
      <c r="AN203" s="1078" t="s">
        <v>9456</v>
      </c>
      <c r="AO203" s="1078">
        <f t="shared" ref="AO203:AO266" si="30">C203</f>
        <v>600</v>
      </c>
      <c r="AP203" s="1078">
        <f t="shared" ref="AP203:AP266" si="31">D203</f>
        <v>1.66</v>
      </c>
      <c r="AQ203" s="1078" t="str">
        <f t="shared" ref="AQ203:AQ266" si="32">E203</f>
        <v>1-4-1S83°</v>
      </c>
      <c r="AR203" s="1078" t="str">
        <f t="shared" ref="AR203:AR266" si="33">F203</f>
        <v>30</v>
      </c>
      <c r="AS203" s="1078" t="str">
        <f t="shared" ref="AS203:AS266" si="34">H203</f>
        <v>225/225/OFF</v>
      </c>
      <c r="AT203" s="1078" t="str">
        <f t="shared" ref="AT203:AT266" si="35">E203</f>
        <v>1-4-1S83°</v>
      </c>
      <c r="AV203" s="1078" t="str">
        <f t="shared" si="28"/>
        <v>113.6.24</v>
      </c>
      <c r="AW203" s="1344">
        <f t="shared" si="29"/>
        <v>45467</v>
      </c>
    </row>
    <row r="204" spans="1:49">
      <c r="A204" s="1077" t="s">
        <v>1700</v>
      </c>
      <c r="B204" s="1077" t="s">
        <v>874</v>
      </c>
      <c r="C204" s="1077">
        <v>500</v>
      </c>
      <c r="D204" s="1077">
        <v>1.7769999999999999</v>
      </c>
      <c r="E204" s="1077" t="s">
        <v>15091</v>
      </c>
      <c r="F204" s="1077" t="s">
        <v>1501</v>
      </c>
      <c r="G204" s="1077" t="s">
        <v>1001</v>
      </c>
      <c r="H204" s="1077" t="s">
        <v>1379</v>
      </c>
      <c r="I204" s="1077" t="s">
        <v>1112</v>
      </c>
      <c r="J204" s="1077">
        <v>1</v>
      </c>
      <c r="K204" s="1077" t="s">
        <v>1586</v>
      </c>
      <c r="L204" s="1077" t="s">
        <v>1176</v>
      </c>
      <c r="M204" s="1077">
        <v>51.8</v>
      </c>
      <c r="N204" s="1077" t="s">
        <v>945</v>
      </c>
      <c r="O204" s="1077">
        <v>1.2949999999999999</v>
      </c>
      <c r="P204" s="1077">
        <v>1.036</v>
      </c>
      <c r="Q204" s="1077">
        <v>4</v>
      </c>
      <c r="R204" s="1077">
        <v>20.100000000000001</v>
      </c>
      <c r="T204" s="1077">
        <v>30</v>
      </c>
      <c r="U204" s="1077">
        <v>3.8</v>
      </c>
      <c r="V204" s="1077" t="s">
        <v>648</v>
      </c>
      <c r="W204" s="1077">
        <v>120</v>
      </c>
      <c r="X204" s="1077">
        <v>75</v>
      </c>
      <c r="Y204" s="1077">
        <v>2</v>
      </c>
      <c r="Z204" s="1077">
        <v>4</v>
      </c>
      <c r="AA204" s="1077" t="s">
        <v>1701</v>
      </c>
      <c r="AH204" s="1077" t="s">
        <v>869</v>
      </c>
      <c r="AJ204" s="1077">
        <v>16.5</v>
      </c>
      <c r="AK204" s="1077">
        <v>0.48</v>
      </c>
      <c r="AL204" s="1077">
        <v>2.1</v>
      </c>
      <c r="AM204" s="1078" t="s">
        <v>9457</v>
      </c>
      <c r="AN204" s="1078" t="s">
        <v>9458</v>
      </c>
      <c r="AO204" s="1078">
        <f t="shared" si="30"/>
        <v>500</v>
      </c>
      <c r="AP204" s="1078">
        <f t="shared" si="31"/>
        <v>1.7769999999999999</v>
      </c>
      <c r="AQ204" s="1078" t="str">
        <f t="shared" si="32"/>
        <v>2-5-1S83°</v>
      </c>
      <c r="AR204" s="1078" t="str">
        <f t="shared" si="33"/>
        <v>28</v>
      </c>
      <c r="AS204" s="1078" t="str">
        <f t="shared" si="34"/>
        <v>167/OFF</v>
      </c>
      <c r="AT204" s="1078" t="str">
        <f t="shared" si="35"/>
        <v>2-5-1S83°</v>
      </c>
      <c r="AV204" s="1078" t="str">
        <f t="shared" si="28"/>
        <v>113.6.7</v>
      </c>
      <c r="AW204" s="1344">
        <f t="shared" si="29"/>
        <v>45450</v>
      </c>
    </row>
    <row r="205" spans="1:49">
      <c r="A205" s="1077" t="s">
        <v>1702</v>
      </c>
      <c r="B205" s="1077" t="s">
        <v>1463</v>
      </c>
      <c r="C205" s="1077">
        <v>500</v>
      </c>
      <c r="D205" s="1077">
        <v>1.72</v>
      </c>
      <c r="E205" s="1077" t="s">
        <v>15089</v>
      </c>
      <c r="F205" s="1077" t="s">
        <v>984</v>
      </c>
      <c r="G205" s="1077">
        <v>2</v>
      </c>
      <c r="H205" s="1077" t="s">
        <v>1703</v>
      </c>
      <c r="I205" s="1077" t="s">
        <v>626</v>
      </c>
      <c r="J205" s="1077">
        <v>0.8</v>
      </c>
      <c r="K205" s="1077" t="s">
        <v>1704</v>
      </c>
      <c r="L205" s="1077" t="s">
        <v>1466</v>
      </c>
      <c r="M205" s="1077">
        <v>49.5</v>
      </c>
      <c r="N205" s="1077" t="s">
        <v>945</v>
      </c>
      <c r="O205" s="1077">
        <v>1.2375</v>
      </c>
      <c r="P205" s="1077">
        <v>0.99</v>
      </c>
      <c r="Q205" s="1077">
        <v>4</v>
      </c>
      <c r="R205" s="1077">
        <v>21</v>
      </c>
      <c r="T205" s="1077">
        <v>17</v>
      </c>
      <c r="U205" s="1077">
        <v>2</v>
      </c>
      <c r="V205" s="1077" t="s">
        <v>648</v>
      </c>
      <c r="W205" s="1077">
        <v>155</v>
      </c>
      <c r="X205" s="1077">
        <v>90</v>
      </c>
      <c r="Y205" s="1077">
        <v>1.5</v>
      </c>
      <c r="Z205" s="1077">
        <v>4</v>
      </c>
      <c r="AA205" s="1077" t="s">
        <v>1705</v>
      </c>
      <c r="AH205" s="1077" t="s">
        <v>782</v>
      </c>
      <c r="AJ205" s="1077">
        <v>93.44</v>
      </c>
      <c r="AK205" s="1077">
        <v>-0.38</v>
      </c>
      <c r="AL205" s="1077">
        <v>0.97</v>
      </c>
      <c r="AM205" s="1078" t="s">
        <v>9459</v>
      </c>
      <c r="AN205" s="1078" t="s">
        <v>9460</v>
      </c>
      <c r="AO205" s="1078">
        <f t="shared" si="30"/>
        <v>500</v>
      </c>
      <c r="AP205" s="1078">
        <f t="shared" si="31"/>
        <v>1.72</v>
      </c>
      <c r="AQ205" s="1078" t="str">
        <f t="shared" si="32"/>
        <v>1-4-1S83°</v>
      </c>
      <c r="AR205" s="1078" t="str">
        <f t="shared" si="33"/>
        <v>30</v>
      </c>
      <c r="AS205" s="1078" t="str">
        <f t="shared" si="34"/>
        <v>245/245/130</v>
      </c>
      <c r="AT205" s="1078" t="str">
        <f t="shared" si="35"/>
        <v>1-4-1S83°</v>
      </c>
      <c r="AV205" s="1078" t="str">
        <f t="shared" si="28"/>
        <v>113.6.18</v>
      </c>
      <c r="AW205" s="1344">
        <f t="shared" si="29"/>
        <v>45461</v>
      </c>
    </row>
    <row r="206" spans="1:49">
      <c r="A206" s="1077" t="s">
        <v>1706</v>
      </c>
      <c r="B206" s="1077" t="s">
        <v>872</v>
      </c>
      <c r="C206" s="1077">
        <v>600</v>
      </c>
      <c r="D206" s="1077">
        <v>1.7</v>
      </c>
      <c r="E206" s="1077" t="s">
        <v>15090</v>
      </c>
      <c r="F206" s="1077" t="s">
        <v>648</v>
      </c>
      <c r="G206" s="1077" t="s">
        <v>940</v>
      </c>
      <c r="H206" s="1077" t="s">
        <v>1188</v>
      </c>
      <c r="I206" s="1077" t="s">
        <v>126</v>
      </c>
      <c r="J206" s="1077">
        <v>1.4</v>
      </c>
      <c r="K206" s="1077" t="s">
        <v>1539</v>
      </c>
      <c r="L206" s="1077" t="s">
        <v>1157</v>
      </c>
      <c r="M206" s="1077">
        <v>49.5</v>
      </c>
      <c r="N206" s="1077" t="s">
        <v>945</v>
      </c>
      <c r="O206" s="1077">
        <v>1.2375</v>
      </c>
      <c r="P206" s="1077">
        <v>0.99</v>
      </c>
      <c r="Q206" s="1077">
        <v>4</v>
      </c>
      <c r="R206" s="1077">
        <v>28</v>
      </c>
      <c r="T206" s="1077">
        <v>31</v>
      </c>
      <c r="U206" s="1077">
        <v>3.3</v>
      </c>
      <c r="V206" s="1077" t="s">
        <v>648</v>
      </c>
      <c r="W206" s="1077">
        <v>110</v>
      </c>
      <c r="X206" s="1077">
        <v>70</v>
      </c>
      <c r="Y206" s="1077">
        <v>2.7</v>
      </c>
      <c r="Z206" s="1077">
        <v>4.5</v>
      </c>
      <c r="AA206" s="1077" t="s">
        <v>1707</v>
      </c>
      <c r="AH206" s="1077" t="s">
        <v>812</v>
      </c>
      <c r="AJ206" s="1077">
        <v>92.34</v>
      </c>
      <c r="AK206" s="1077">
        <v>-0.06</v>
      </c>
      <c r="AL206" s="1077">
        <v>3.48</v>
      </c>
      <c r="AM206" s="1078" t="s">
        <v>9461</v>
      </c>
      <c r="AN206" s="1078" t="s">
        <v>9462</v>
      </c>
      <c r="AO206" s="1078">
        <f t="shared" si="30"/>
        <v>600</v>
      </c>
      <c r="AP206" s="1078">
        <f t="shared" si="31"/>
        <v>1.7</v>
      </c>
      <c r="AQ206" s="1078" t="str">
        <f t="shared" si="32"/>
        <v>1-5-1S85°</v>
      </c>
      <c r="AR206" s="1078" t="str">
        <f t="shared" si="33"/>
        <v>NA</v>
      </c>
      <c r="AS206" s="1078" t="str">
        <f t="shared" si="34"/>
        <v>177/OFF</v>
      </c>
      <c r="AT206" s="1078" t="str">
        <f t="shared" si="35"/>
        <v>1-5-1S85°</v>
      </c>
      <c r="AV206" s="1078" t="str">
        <f t="shared" si="28"/>
        <v>113.6.21</v>
      </c>
      <c r="AW206" s="1344">
        <f t="shared" si="29"/>
        <v>45464</v>
      </c>
    </row>
    <row r="207" spans="1:49">
      <c r="A207" s="1077" t="s">
        <v>1708</v>
      </c>
      <c r="B207" s="1077" t="s">
        <v>1527</v>
      </c>
      <c r="C207" s="1077">
        <v>500</v>
      </c>
      <c r="D207" s="1077">
        <v>1.67</v>
      </c>
      <c r="E207" s="1077" t="s">
        <v>15095</v>
      </c>
      <c r="F207" s="1077" t="s">
        <v>984</v>
      </c>
      <c r="G207" s="1077" t="s">
        <v>1001</v>
      </c>
      <c r="H207" s="1077" t="s">
        <v>1664</v>
      </c>
      <c r="I207" s="1077" t="s">
        <v>126</v>
      </c>
      <c r="J207" s="1077">
        <v>1.1000000000000001</v>
      </c>
      <c r="K207" s="1077" t="s">
        <v>1709</v>
      </c>
      <c r="L207" s="1077" t="s">
        <v>1529</v>
      </c>
      <c r="M207" s="1077">
        <v>51</v>
      </c>
      <c r="N207" s="1077" t="s">
        <v>945</v>
      </c>
      <c r="O207" s="1077">
        <v>1.2750000000000001</v>
      </c>
      <c r="P207" s="1077">
        <v>1.02</v>
      </c>
      <c r="Q207" s="1077" t="s">
        <v>1710</v>
      </c>
      <c r="R207" s="1077">
        <v>28</v>
      </c>
      <c r="T207" s="1077">
        <v>12</v>
      </c>
      <c r="U207" s="1077">
        <v>4.2</v>
      </c>
      <c r="V207" s="1077" t="s">
        <v>648</v>
      </c>
      <c r="W207" s="1077">
        <v>100</v>
      </c>
      <c r="X207" s="1077">
        <v>40</v>
      </c>
      <c r="Y207" s="1077">
        <v>2.2000000000000002</v>
      </c>
      <c r="Z207" s="1077">
        <v>2.5</v>
      </c>
      <c r="AA207" s="1077" t="s">
        <v>1711</v>
      </c>
      <c r="AH207" s="1077" t="s">
        <v>622</v>
      </c>
      <c r="AJ207" s="1077">
        <v>91.5</v>
      </c>
      <c r="AK207" s="1077">
        <v>-0.72</v>
      </c>
      <c r="AL207" s="1077">
        <v>2.3199999999999998</v>
      </c>
      <c r="AM207" s="1078" t="s">
        <v>9463</v>
      </c>
      <c r="AN207" s="1078" t="s">
        <v>9464</v>
      </c>
      <c r="AO207" s="1078">
        <f t="shared" si="30"/>
        <v>500</v>
      </c>
      <c r="AP207" s="1078">
        <f t="shared" si="31"/>
        <v>1.67</v>
      </c>
      <c r="AQ207" s="1078" t="str">
        <f t="shared" si="32"/>
        <v>1-5-1S83°</v>
      </c>
      <c r="AR207" s="1078" t="str">
        <f t="shared" si="33"/>
        <v>30</v>
      </c>
      <c r="AS207" s="1078" t="str">
        <f t="shared" si="34"/>
        <v>200/200/130</v>
      </c>
      <c r="AT207" s="1078" t="str">
        <f t="shared" si="35"/>
        <v>1-5-1S83°</v>
      </c>
      <c r="AV207" s="1078" t="str">
        <f t="shared" si="28"/>
        <v>113.7.1</v>
      </c>
      <c r="AW207" s="1344">
        <f t="shared" si="29"/>
        <v>45474</v>
      </c>
    </row>
    <row r="208" spans="1:49">
      <c r="A208" s="1077" t="s">
        <v>1712</v>
      </c>
      <c r="B208" s="1077" t="s">
        <v>1423</v>
      </c>
      <c r="C208" s="1077">
        <v>500</v>
      </c>
      <c r="D208" s="1077">
        <v>1.71</v>
      </c>
      <c r="E208" s="1077" t="s">
        <v>15089</v>
      </c>
      <c r="F208" s="1077" t="s">
        <v>954</v>
      </c>
      <c r="G208" s="1077" t="s">
        <v>1016</v>
      </c>
      <c r="H208" s="1077" t="s">
        <v>1274</v>
      </c>
      <c r="I208" s="1077" t="s">
        <v>126</v>
      </c>
      <c r="J208" s="1077">
        <v>1.4</v>
      </c>
      <c r="K208" s="1077" t="s">
        <v>1713</v>
      </c>
      <c r="L208" s="1077" t="s">
        <v>1425</v>
      </c>
      <c r="M208" s="1077">
        <v>52</v>
      </c>
      <c r="N208" s="1077" t="s">
        <v>945</v>
      </c>
      <c r="O208" s="1077">
        <v>1.3</v>
      </c>
      <c r="P208" s="1077">
        <v>1.04</v>
      </c>
      <c r="Q208" s="1077">
        <v>3</v>
      </c>
      <c r="R208" s="1077">
        <v>23</v>
      </c>
      <c r="T208" s="1077">
        <v>29</v>
      </c>
      <c r="U208" s="1077">
        <v>3.3</v>
      </c>
      <c r="V208" s="1077" t="s">
        <v>648</v>
      </c>
      <c r="W208" s="1077">
        <v>130</v>
      </c>
      <c r="X208" s="1077">
        <v>75</v>
      </c>
      <c r="Y208" s="1077">
        <v>2.4</v>
      </c>
      <c r="Z208" s="1077">
        <v>4.5</v>
      </c>
      <c r="AA208" s="1077" t="s">
        <v>1714</v>
      </c>
      <c r="AH208" s="1077" t="s">
        <v>482</v>
      </c>
      <c r="AJ208" s="1077">
        <v>93.08</v>
      </c>
      <c r="AK208" s="1077">
        <v>-0.3</v>
      </c>
      <c r="AL208" s="1077">
        <v>0.7</v>
      </c>
      <c r="AM208" s="1078" t="s">
        <v>9465</v>
      </c>
      <c r="AN208" s="1078" t="s">
        <v>9466</v>
      </c>
      <c r="AO208" s="1078">
        <f t="shared" si="30"/>
        <v>500</v>
      </c>
      <c r="AP208" s="1078">
        <f t="shared" si="31"/>
        <v>1.71</v>
      </c>
      <c r="AQ208" s="1078" t="str">
        <f t="shared" si="32"/>
        <v>1-4-1S83°</v>
      </c>
      <c r="AR208" s="1078" t="str">
        <f t="shared" si="33"/>
        <v>31</v>
      </c>
      <c r="AS208" s="1078" t="str">
        <f t="shared" si="34"/>
        <v>210/210/OFF</v>
      </c>
      <c r="AT208" s="1078" t="str">
        <f t="shared" si="35"/>
        <v>1-4-1S83°</v>
      </c>
      <c r="AV208" s="1078" t="str">
        <f t="shared" si="28"/>
        <v>113.7.15</v>
      </c>
      <c r="AW208" s="1344">
        <f t="shared" si="29"/>
        <v>45488</v>
      </c>
    </row>
    <row r="209" spans="1:49">
      <c r="A209" s="1077" t="s">
        <v>1715</v>
      </c>
      <c r="B209" s="1077" t="s">
        <v>1645</v>
      </c>
      <c r="C209" s="1077">
        <v>600</v>
      </c>
      <c r="D209" s="1077">
        <v>1.67</v>
      </c>
      <c r="E209" s="1077" t="s">
        <v>15089</v>
      </c>
      <c r="F209" s="1077" t="s">
        <v>954</v>
      </c>
      <c r="G209" s="1077">
        <v>1.5</v>
      </c>
      <c r="H209" s="1077" t="s">
        <v>1649</v>
      </c>
      <c r="I209" s="1077" t="s">
        <v>942</v>
      </c>
      <c r="J209" s="1077">
        <v>0.9</v>
      </c>
      <c r="K209" s="1077" t="s">
        <v>1716</v>
      </c>
      <c r="L209" s="1077" t="s">
        <v>1647</v>
      </c>
      <c r="M209" s="1077">
        <v>54.3</v>
      </c>
      <c r="N209" s="1077" t="s">
        <v>945</v>
      </c>
      <c r="O209" s="1077">
        <v>1.3574999999999999</v>
      </c>
      <c r="P209" s="1077">
        <v>1.0860000000000001</v>
      </c>
      <c r="Q209" s="1077">
        <v>4</v>
      </c>
      <c r="R209" s="1077" t="s">
        <v>1717</v>
      </c>
      <c r="T209" s="1077">
        <v>21.2</v>
      </c>
      <c r="U209" s="1077">
        <v>3.8</v>
      </c>
      <c r="V209" s="1077" t="s">
        <v>648</v>
      </c>
      <c r="W209" s="1077">
        <v>150</v>
      </c>
      <c r="X209" s="1077">
        <v>80</v>
      </c>
      <c r="Y209" s="1077">
        <v>3</v>
      </c>
      <c r="Z209" s="1077">
        <v>5</v>
      </c>
      <c r="AA209" s="1077" t="s">
        <v>1718</v>
      </c>
      <c r="AH209" s="1077" t="s">
        <v>646</v>
      </c>
      <c r="AJ209" s="1077">
        <v>94.55</v>
      </c>
      <c r="AK209" s="1077">
        <v>-0.21</v>
      </c>
      <c r="AL209" s="1077">
        <v>0.45</v>
      </c>
      <c r="AM209" s="1078" t="s">
        <v>9467</v>
      </c>
      <c r="AN209" s="1078" t="s">
        <v>9468</v>
      </c>
      <c r="AO209" s="1078">
        <f t="shared" si="30"/>
        <v>600</v>
      </c>
      <c r="AP209" s="1078">
        <f t="shared" si="31"/>
        <v>1.67</v>
      </c>
      <c r="AQ209" s="1078" t="str">
        <f t="shared" si="32"/>
        <v>1-4-1S83°</v>
      </c>
      <c r="AR209" s="1078" t="str">
        <f t="shared" si="33"/>
        <v>31</v>
      </c>
      <c r="AS209" s="1078" t="str">
        <f t="shared" si="34"/>
        <v>225/225/OFF</v>
      </c>
      <c r="AT209" s="1078" t="str">
        <f t="shared" si="35"/>
        <v>1-4-1S83°</v>
      </c>
      <c r="AV209" s="1078" t="str">
        <f t="shared" si="28"/>
        <v>113.8.15</v>
      </c>
      <c r="AW209" s="1344">
        <f t="shared" si="29"/>
        <v>45519</v>
      </c>
    </row>
    <row r="210" spans="1:49">
      <c r="A210" s="1077" t="s">
        <v>1719</v>
      </c>
      <c r="B210" s="1077" t="s">
        <v>1463</v>
      </c>
      <c r="C210" s="1077">
        <v>600</v>
      </c>
      <c r="D210" s="1077">
        <v>1.68</v>
      </c>
      <c r="E210" s="1077" t="s">
        <v>15089</v>
      </c>
      <c r="F210" s="1077" t="s">
        <v>984</v>
      </c>
      <c r="G210" s="1077">
        <v>2</v>
      </c>
      <c r="H210" s="1077" t="s">
        <v>1649</v>
      </c>
      <c r="I210" s="1077" t="s">
        <v>942</v>
      </c>
      <c r="J210" s="1077">
        <v>0.9</v>
      </c>
      <c r="K210" s="1077" t="s">
        <v>1720</v>
      </c>
      <c r="L210" s="1077" t="s">
        <v>1466</v>
      </c>
      <c r="M210" s="1077">
        <v>51.5</v>
      </c>
      <c r="N210" s="1077" t="s">
        <v>945</v>
      </c>
      <c r="O210" s="1077">
        <v>1.2875000000000001</v>
      </c>
      <c r="P210" s="1077">
        <v>1.03</v>
      </c>
      <c r="Q210" s="1077">
        <v>4</v>
      </c>
      <c r="R210" s="1077" t="s">
        <v>1717</v>
      </c>
      <c r="T210" s="1077">
        <v>21.2</v>
      </c>
      <c r="U210" s="1077">
        <v>3.6</v>
      </c>
      <c r="V210" s="1077" t="s">
        <v>648</v>
      </c>
      <c r="W210" s="1077">
        <v>150</v>
      </c>
      <c r="X210" s="1077">
        <v>80</v>
      </c>
      <c r="Y210" s="1077">
        <v>2</v>
      </c>
      <c r="Z210" s="1077">
        <v>4</v>
      </c>
      <c r="AA210" s="1077" t="s">
        <v>1721</v>
      </c>
      <c r="AH210" s="1077" t="s">
        <v>1053</v>
      </c>
      <c r="AJ210" s="1077">
        <v>95.05</v>
      </c>
      <c r="AK210" s="1077">
        <v>-0.54</v>
      </c>
      <c r="AL210" s="1077">
        <v>0.56000000000000005</v>
      </c>
      <c r="AM210" s="1078" t="s">
        <v>9469</v>
      </c>
      <c r="AN210" s="1078" t="s">
        <v>9470</v>
      </c>
      <c r="AO210" s="1078">
        <f t="shared" si="30"/>
        <v>600</v>
      </c>
      <c r="AP210" s="1078">
        <f t="shared" si="31"/>
        <v>1.68</v>
      </c>
      <c r="AQ210" s="1078" t="str">
        <f t="shared" si="32"/>
        <v>1-4-1S83°</v>
      </c>
      <c r="AR210" s="1078" t="str">
        <f t="shared" si="33"/>
        <v>30</v>
      </c>
      <c r="AS210" s="1078" t="str">
        <f t="shared" si="34"/>
        <v>225/225/OFF</v>
      </c>
      <c r="AT210" s="1078" t="str">
        <f t="shared" si="35"/>
        <v>1-4-1S83°</v>
      </c>
      <c r="AV210" s="1078" t="str">
        <f t="shared" si="28"/>
        <v>113.8.19</v>
      </c>
      <c r="AW210" s="1344">
        <f t="shared" si="29"/>
        <v>45523</v>
      </c>
    </row>
    <row r="211" spans="1:49">
      <c r="A211" s="1077" t="s">
        <v>1722</v>
      </c>
      <c r="B211" s="1077" t="s">
        <v>1463</v>
      </c>
      <c r="C211" s="1077">
        <v>600</v>
      </c>
      <c r="D211" s="1077">
        <v>1.68</v>
      </c>
      <c r="E211" s="1077" t="s">
        <v>15089</v>
      </c>
      <c r="F211" s="1077" t="s">
        <v>984</v>
      </c>
      <c r="G211" s="1077">
        <v>2</v>
      </c>
      <c r="H211" s="1077" t="s">
        <v>1649</v>
      </c>
      <c r="I211" s="1077" t="s">
        <v>942</v>
      </c>
      <c r="J211" s="1077">
        <v>0.9</v>
      </c>
      <c r="K211" s="1077" t="s">
        <v>1720</v>
      </c>
      <c r="L211" s="1077" t="s">
        <v>1466</v>
      </c>
      <c r="M211" s="1077">
        <v>51.5</v>
      </c>
      <c r="N211" s="1077" t="s">
        <v>945</v>
      </c>
      <c r="O211" s="1077">
        <v>1.2875000000000001</v>
      </c>
      <c r="P211" s="1077">
        <v>1.03</v>
      </c>
      <c r="Q211" s="1077">
        <v>4</v>
      </c>
      <c r="R211" s="1077">
        <v>28</v>
      </c>
      <c r="T211" s="1077">
        <v>21.2</v>
      </c>
      <c r="U211" s="1077">
        <v>3.6</v>
      </c>
      <c r="V211" s="1077" t="s">
        <v>648</v>
      </c>
      <c r="W211" s="1077">
        <v>150</v>
      </c>
      <c r="X211" s="1077">
        <v>80</v>
      </c>
      <c r="Y211" s="1077">
        <v>2</v>
      </c>
      <c r="Z211" s="1077">
        <v>4</v>
      </c>
      <c r="AA211" s="1077" t="s">
        <v>1723</v>
      </c>
      <c r="AH211" s="1077" t="s">
        <v>646</v>
      </c>
      <c r="AJ211" s="1077">
        <v>94.12</v>
      </c>
      <c r="AK211" s="1077">
        <v>0.79</v>
      </c>
      <c r="AL211" s="1077">
        <v>-0.04</v>
      </c>
      <c r="AM211" s="1078" t="s">
        <v>9471</v>
      </c>
      <c r="AN211" s="1078" t="s">
        <v>9472</v>
      </c>
      <c r="AO211" s="1078">
        <f t="shared" si="30"/>
        <v>600</v>
      </c>
      <c r="AP211" s="1078">
        <f t="shared" si="31"/>
        <v>1.68</v>
      </c>
      <c r="AQ211" s="1078" t="str">
        <f t="shared" si="32"/>
        <v>1-4-1S83°</v>
      </c>
      <c r="AR211" s="1078" t="str">
        <f t="shared" si="33"/>
        <v>30</v>
      </c>
      <c r="AS211" s="1078" t="str">
        <f t="shared" si="34"/>
        <v>225/225/OFF</v>
      </c>
      <c r="AT211" s="1078" t="str">
        <f t="shared" si="35"/>
        <v>1-4-1S83°</v>
      </c>
      <c r="AV211" s="1078" t="str">
        <f t="shared" si="28"/>
        <v>113.9.9</v>
      </c>
      <c r="AW211" s="1344">
        <f t="shared" si="29"/>
        <v>45544</v>
      </c>
    </row>
    <row r="212" spans="1:49">
      <c r="A212" s="1077" t="s">
        <v>1724</v>
      </c>
      <c r="B212" s="1077" t="s">
        <v>1463</v>
      </c>
      <c r="C212" s="1077">
        <v>600</v>
      </c>
      <c r="D212" s="1077">
        <v>1.66</v>
      </c>
      <c r="E212" s="1077" t="s">
        <v>15089</v>
      </c>
      <c r="F212" s="1077" t="s">
        <v>984</v>
      </c>
      <c r="G212" s="1077">
        <v>2</v>
      </c>
      <c r="H212" s="1077" t="s">
        <v>1649</v>
      </c>
      <c r="I212" s="1077" t="s">
        <v>942</v>
      </c>
      <c r="J212" s="1077">
        <v>1</v>
      </c>
      <c r="K212" s="1077" t="s">
        <v>1725</v>
      </c>
      <c r="L212" s="1077" t="s">
        <v>1466</v>
      </c>
      <c r="M212" s="1077">
        <v>51.5</v>
      </c>
      <c r="N212" s="1077" t="s">
        <v>945</v>
      </c>
      <c r="O212" s="1077">
        <v>1.2875000000000001</v>
      </c>
      <c r="P212" s="1077">
        <v>1.03</v>
      </c>
      <c r="Q212" s="1077">
        <v>4</v>
      </c>
      <c r="R212" s="1077">
        <v>28</v>
      </c>
      <c r="T212" s="1077">
        <v>21.2</v>
      </c>
      <c r="U212" s="1077">
        <v>3.6</v>
      </c>
      <c r="V212" s="1077" t="s">
        <v>648</v>
      </c>
      <c r="W212" s="1077">
        <v>150</v>
      </c>
      <c r="X212" s="1077">
        <v>80</v>
      </c>
      <c r="Y212" s="1077">
        <v>2</v>
      </c>
      <c r="Z212" s="1077">
        <v>4</v>
      </c>
      <c r="AA212" s="1077" t="s">
        <v>1726</v>
      </c>
      <c r="AH212" s="1077" t="s">
        <v>948</v>
      </c>
      <c r="AJ212" s="1077">
        <v>94.4</v>
      </c>
      <c r="AK212" s="1077">
        <v>-0.37</v>
      </c>
      <c r="AL212" s="1077">
        <v>0.83</v>
      </c>
      <c r="AM212" s="1078" t="s">
        <v>9473</v>
      </c>
      <c r="AN212" s="1078" t="s">
        <v>9474</v>
      </c>
      <c r="AO212" s="1078">
        <f t="shared" si="30"/>
        <v>600</v>
      </c>
      <c r="AP212" s="1078">
        <f t="shared" si="31"/>
        <v>1.66</v>
      </c>
      <c r="AQ212" s="1078" t="str">
        <f t="shared" si="32"/>
        <v>1-4-1S83°</v>
      </c>
      <c r="AR212" s="1078" t="str">
        <f t="shared" si="33"/>
        <v>30</v>
      </c>
      <c r="AS212" s="1078" t="str">
        <f t="shared" si="34"/>
        <v>225/225/OFF</v>
      </c>
      <c r="AT212" s="1078" t="str">
        <f t="shared" si="35"/>
        <v>1-4-1S83°</v>
      </c>
      <c r="AV212" s="1078" t="str">
        <f t="shared" si="28"/>
        <v>113.9.27</v>
      </c>
      <c r="AW212" s="1344">
        <f t="shared" si="29"/>
        <v>45562</v>
      </c>
    </row>
    <row r="213" spans="1:49">
      <c r="A213" s="1077" t="s">
        <v>1727</v>
      </c>
      <c r="B213" s="1077" t="s">
        <v>1110</v>
      </c>
      <c r="C213" s="1077">
        <v>600</v>
      </c>
      <c r="D213" s="1077">
        <v>1.42</v>
      </c>
      <c r="E213" s="1077" t="s">
        <v>648</v>
      </c>
      <c r="F213" s="1077" t="s">
        <v>1514</v>
      </c>
      <c r="G213" s="1077">
        <v>1.96</v>
      </c>
      <c r="H213" s="1077" t="s">
        <v>1234</v>
      </c>
      <c r="I213" s="1077" t="s">
        <v>1112</v>
      </c>
      <c r="J213" s="1077">
        <v>1.5</v>
      </c>
      <c r="K213" s="1077" t="s">
        <v>1728</v>
      </c>
      <c r="L213" s="1077" t="s">
        <v>1729</v>
      </c>
      <c r="M213" s="1077">
        <v>56</v>
      </c>
      <c r="N213" s="1077" t="s">
        <v>945</v>
      </c>
      <c r="O213" s="1077">
        <v>1.4000000000000001</v>
      </c>
      <c r="P213" s="1077">
        <v>1.1200000000000001</v>
      </c>
      <c r="Q213" s="1077">
        <v>2</v>
      </c>
      <c r="R213" s="1077" t="s">
        <v>1730</v>
      </c>
      <c r="T213" s="1077" t="s">
        <v>648</v>
      </c>
      <c r="U213" s="1077">
        <v>34</v>
      </c>
      <c r="V213" s="1077" t="s">
        <v>648</v>
      </c>
      <c r="W213" s="1077" t="s">
        <v>648</v>
      </c>
      <c r="X213" s="1077" t="s">
        <v>648</v>
      </c>
      <c r="Y213" s="1077" t="s">
        <v>648</v>
      </c>
      <c r="Z213" s="1077" t="s">
        <v>648</v>
      </c>
      <c r="AA213" s="1077" t="s">
        <v>1731</v>
      </c>
      <c r="AH213" s="1077" t="s">
        <v>621</v>
      </c>
      <c r="AJ213" s="1077">
        <v>85.92</v>
      </c>
      <c r="AK213" s="1077">
        <v>-0.8</v>
      </c>
      <c r="AL213" s="1077">
        <v>1.32</v>
      </c>
      <c r="AM213" s="1078" t="s">
        <v>9475</v>
      </c>
      <c r="AN213" s="1078" t="s">
        <v>9476</v>
      </c>
      <c r="AO213" s="1078">
        <f t="shared" si="30"/>
        <v>600</v>
      </c>
      <c r="AP213" s="1078">
        <f t="shared" si="31"/>
        <v>1.42</v>
      </c>
      <c r="AQ213" s="1078" t="str">
        <f t="shared" si="32"/>
        <v>NA</v>
      </c>
      <c r="AR213" s="1078" t="str">
        <f t="shared" si="33"/>
        <v>32</v>
      </c>
      <c r="AS213" s="1078" t="str">
        <f t="shared" si="34"/>
        <v>OFF/123</v>
      </c>
      <c r="AT213" s="1078" t="str">
        <f t="shared" si="35"/>
        <v>NA</v>
      </c>
      <c r="AV213" s="1078" t="str">
        <f t="shared" si="28"/>
        <v>113.10.16</v>
      </c>
      <c r="AW213" s="1344">
        <f t="shared" si="29"/>
        <v>45581</v>
      </c>
    </row>
    <row r="214" spans="1:49">
      <c r="A214" s="1077" t="s">
        <v>1732</v>
      </c>
      <c r="B214" s="1077" t="s">
        <v>1659</v>
      </c>
      <c r="C214" s="1077">
        <v>500</v>
      </c>
      <c r="D214" s="1077">
        <v>1.7</v>
      </c>
      <c r="E214" s="1077" t="s">
        <v>15095</v>
      </c>
      <c r="F214" s="1077" t="s">
        <v>984</v>
      </c>
      <c r="G214" s="1077" t="s">
        <v>1016</v>
      </c>
      <c r="H214" s="1077" t="s">
        <v>1660</v>
      </c>
      <c r="I214" s="1077" t="s">
        <v>626</v>
      </c>
      <c r="J214" s="1077">
        <v>1.2</v>
      </c>
      <c r="K214" s="1077" t="s">
        <v>1733</v>
      </c>
      <c r="L214" s="1077" t="s">
        <v>1734</v>
      </c>
      <c r="M214" s="1077">
        <v>49.5</v>
      </c>
      <c r="N214" s="1077" t="s">
        <v>945</v>
      </c>
      <c r="O214" s="1077">
        <v>1.2375</v>
      </c>
      <c r="P214" s="1077">
        <v>0.99</v>
      </c>
      <c r="Q214" s="1077">
        <v>3</v>
      </c>
      <c r="R214" s="1077">
        <v>31</v>
      </c>
      <c r="T214" s="1077">
        <v>11</v>
      </c>
      <c r="U214" s="1077">
        <v>6.5</v>
      </c>
      <c r="V214" s="1077" t="s">
        <v>648</v>
      </c>
      <c r="W214" s="1077">
        <v>165</v>
      </c>
      <c r="X214" s="1077">
        <v>90</v>
      </c>
      <c r="Y214" s="1077">
        <v>2</v>
      </c>
      <c r="Z214" s="1077">
        <v>3</v>
      </c>
      <c r="AA214" s="1077" t="s">
        <v>1735</v>
      </c>
      <c r="AH214" s="1077" t="s">
        <v>1143</v>
      </c>
      <c r="AJ214" s="1077">
        <v>94.08</v>
      </c>
      <c r="AK214" s="1077">
        <v>-0.44</v>
      </c>
      <c r="AL214" s="1077">
        <v>2.46</v>
      </c>
      <c r="AM214" s="1078" t="s">
        <v>9477</v>
      </c>
      <c r="AN214" s="1078" t="s">
        <v>9478</v>
      </c>
      <c r="AO214" s="1078">
        <f t="shared" si="30"/>
        <v>500</v>
      </c>
      <c r="AP214" s="1078">
        <f t="shared" si="31"/>
        <v>1.7</v>
      </c>
      <c r="AQ214" s="1078" t="str">
        <f t="shared" si="32"/>
        <v>1-5-1S83°</v>
      </c>
      <c r="AR214" s="1078" t="str">
        <f t="shared" si="33"/>
        <v>30</v>
      </c>
      <c r="AS214" s="1078" t="str">
        <f t="shared" si="34"/>
        <v>180/180/OFF</v>
      </c>
      <c r="AT214" s="1078" t="str">
        <f t="shared" si="35"/>
        <v>1-5-1S83°</v>
      </c>
      <c r="AV214" s="1078" t="str">
        <f t="shared" si="28"/>
        <v>113.10.31</v>
      </c>
      <c r="AW214" s="1344">
        <f t="shared" si="29"/>
        <v>45596</v>
      </c>
    </row>
    <row r="215" spans="1:49">
      <c r="A215" s="1077" t="s">
        <v>1736</v>
      </c>
      <c r="B215" s="1077" t="s">
        <v>872</v>
      </c>
      <c r="C215" s="1077">
        <v>550</v>
      </c>
      <c r="D215" s="1077">
        <v>1.72</v>
      </c>
      <c r="E215" s="1077" t="s">
        <v>15089</v>
      </c>
      <c r="F215" s="1077" t="s">
        <v>984</v>
      </c>
      <c r="G215" s="1077" t="s">
        <v>940</v>
      </c>
      <c r="H215" s="1077" t="s">
        <v>1226</v>
      </c>
      <c r="I215" s="1077" t="s">
        <v>126</v>
      </c>
      <c r="J215" s="1077">
        <v>1</v>
      </c>
      <c r="K215" s="1077" t="s">
        <v>1737</v>
      </c>
      <c r="L215" s="1077" t="s">
        <v>978</v>
      </c>
      <c r="M215" s="1077">
        <v>49.5</v>
      </c>
      <c r="N215" s="1077" t="s">
        <v>945</v>
      </c>
      <c r="O215" s="1077">
        <v>1.2375</v>
      </c>
      <c r="P215" s="1077">
        <v>0.99</v>
      </c>
      <c r="Q215" s="1077">
        <v>4</v>
      </c>
      <c r="R215" s="1077">
        <v>28</v>
      </c>
      <c r="T215" s="1077">
        <v>31</v>
      </c>
      <c r="U215" s="1077">
        <v>3.3</v>
      </c>
      <c r="V215" s="1077" t="s">
        <v>648</v>
      </c>
      <c r="W215" s="1077">
        <v>110</v>
      </c>
      <c r="X215" s="1077">
        <v>70</v>
      </c>
      <c r="Y215" s="1077">
        <v>2.7</v>
      </c>
      <c r="Z215" s="1077">
        <v>4.5</v>
      </c>
      <c r="AA215" s="1077" t="s">
        <v>1738</v>
      </c>
      <c r="AH215" s="1077" t="s">
        <v>803</v>
      </c>
      <c r="AJ215" s="1077">
        <v>92.96</v>
      </c>
      <c r="AK215" s="1077">
        <v>-0.16</v>
      </c>
      <c r="AL215" s="1077">
        <v>0.27</v>
      </c>
      <c r="AM215" s="1078" t="s">
        <v>9479</v>
      </c>
      <c r="AN215" s="1078" t="s">
        <v>9480</v>
      </c>
      <c r="AO215" s="1078">
        <f t="shared" si="30"/>
        <v>550</v>
      </c>
      <c r="AP215" s="1078">
        <f t="shared" si="31"/>
        <v>1.72</v>
      </c>
      <c r="AQ215" s="1078" t="str">
        <f t="shared" si="32"/>
        <v>1-4-1S83°</v>
      </c>
      <c r="AR215" s="1078" t="str">
        <f t="shared" si="33"/>
        <v>30</v>
      </c>
      <c r="AS215" s="1078" t="str">
        <f t="shared" si="34"/>
        <v>230/230/OFF</v>
      </c>
      <c r="AT215" s="1078" t="str">
        <f t="shared" si="35"/>
        <v>1-4-1S83°</v>
      </c>
      <c r="AV215" s="1078" t="str">
        <f t="shared" si="28"/>
        <v>113.11.15</v>
      </c>
      <c r="AW215" s="1344">
        <f t="shared" si="29"/>
        <v>45611</v>
      </c>
    </row>
    <row r="216" spans="1:49">
      <c r="A216" s="1077" t="s">
        <v>1739</v>
      </c>
      <c r="B216" s="1077" t="s">
        <v>872</v>
      </c>
      <c r="C216" s="1077">
        <v>600</v>
      </c>
      <c r="D216" s="1077">
        <v>1.73</v>
      </c>
      <c r="E216" s="1077" t="s">
        <v>15089</v>
      </c>
      <c r="F216" s="1077" t="s">
        <v>975</v>
      </c>
      <c r="G216" s="1077" t="s">
        <v>940</v>
      </c>
      <c r="H216" s="1077" t="s">
        <v>1740</v>
      </c>
      <c r="I216" s="1077" t="s">
        <v>126</v>
      </c>
      <c r="J216" s="1077">
        <v>0.7</v>
      </c>
      <c r="K216" s="1077" t="s">
        <v>1737</v>
      </c>
      <c r="L216" s="1077" t="s">
        <v>978</v>
      </c>
      <c r="M216" s="1077">
        <v>49.7</v>
      </c>
      <c r="N216" s="1077" t="s">
        <v>945</v>
      </c>
      <c r="O216" s="1077">
        <v>1.2425000000000002</v>
      </c>
      <c r="P216" s="1077">
        <v>0.99400000000000011</v>
      </c>
      <c r="Q216" s="1077">
        <v>4</v>
      </c>
      <c r="R216" s="1077">
        <v>25</v>
      </c>
      <c r="T216" s="1077">
        <v>19.5</v>
      </c>
      <c r="U216" s="1077">
        <v>1.9</v>
      </c>
      <c r="V216" s="1077" t="s">
        <v>648</v>
      </c>
      <c r="W216" s="1077">
        <v>50</v>
      </c>
      <c r="X216" s="1077" t="s">
        <v>1403</v>
      </c>
      <c r="Y216" s="1077">
        <v>2</v>
      </c>
      <c r="Z216" s="1077">
        <v>2.5</v>
      </c>
      <c r="AA216" s="1077" t="s">
        <v>1741</v>
      </c>
      <c r="AH216" s="1077" t="s">
        <v>877</v>
      </c>
      <c r="AJ216" s="1077">
        <v>92.54</v>
      </c>
      <c r="AK216" s="1077">
        <v>-0.43</v>
      </c>
      <c r="AL216" s="1077">
        <v>0.25</v>
      </c>
      <c r="AM216" s="1078" t="s">
        <v>9481</v>
      </c>
      <c r="AN216" s="1078" t="s">
        <v>9482</v>
      </c>
      <c r="AO216" s="1078">
        <f t="shared" si="30"/>
        <v>600</v>
      </c>
      <c r="AP216" s="1078">
        <f t="shared" si="31"/>
        <v>1.73</v>
      </c>
      <c r="AQ216" s="1078" t="str">
        <f t="shared" si="32"/>
        <v>1-4-1S83°</v>
      </c>
      <c r="AR216" s="1078" t="str">
        <f t="shared" si="33"/>
        <v>31.5</v>
      </c>
      <c r="AS216" s="1078" t="str">
        <f t="shared" si="34"/>
        <v>245/245/140</v>
      </c>
      <c r="AT216" s="1078" t="str">
        <f t="shared" si="35"/>
        <v>1-4-1S83°</v>
      </c>
      <c r="AV216" s="1078" t="str">
        <f t="shared" si="28"/>
        <v>112.12.13</v>
      </c>
      <c r="AW216" s="1344">
        <f t="shared" si="29"/>
        <v>45273</v>
      </c>
    </row>
    <row r="217" spans="1:49">
      <c r="A217" s="1077" t="s">
        <v>1742</v>
      </c>
      <c r="B217" s="1077" t="s">
        <v>1527</v>
      </c>
      <c r="C217" s="1077">
        <v>500</v>
      </c>
      <c r="D217" s="1077">
        <v>1.69</v>
      </c>
      <c r="E217" s="1077" t="s">
        <v>15095</v>
      </c>
      <c r="F217" s="1077" t="s">
        <v>984</v>
      </c>
      <c r="G217" s="1077" t="s">
        <v>1001</v>
      </c>
      <c r="H217" s="1077" t="s">
        <v>1664</v>
      </c>
      <c r="I217" s="1077" t="s">
        <v>126</v>
      </c>
      <c r="J217" s="1077">
        <v>1</v>
      </c>
      <c r="K217" s="1077" t="s">
        <v>1743</v>
      </c>
      <c r="L217" s="1077" t="s">
        <v>1529</v>
      </c>
      <c r="M217" s="1077">
        <v>51</v>
      </c>
      <c r="N217" s="1077" t="s">
        <v>945</v>
      </c>
      <c r="O217" s="1077">
        <v>1.2750000000000001</v>
      </c>
      <c r="P217" s="1077">
        <v>1.02</v>
      </c>
      <c r="Q217" s="1077">
        <v>2.8</v>
      </c>
      <c r="R217" s="1077">
        <v>28</v>
      </c>
      <c r="T217" s="1077">
        <v>12</v>
      </c>
      <c r="U217" s="1077">
        <v>4.2</v>
      </c>
      <c r="V217" s="1077" t="s">
        <v>648</v>
      </c>
      <c r="W217" s="1077">
        <v>100</v>
      </c>
      <c r="X217" s="1077">
        <v>40</v>
      </c>
      <c r="Y217" s="1077">
        <v>2.2000000000000002</v>
      </c>
      <c r="Z217" s="1077">
        <v>2.5</v>
      </c>
      <c r="AA217" s="1077" t="s">
        <v>1744</v>
      </c>
      <c r="AH217" s="1077" t="s">
        <v>1238</v>
      </c>
      <c r="AJ217" s="1077">
        <v>98.07</v>
      </c>
      <c r="AK217" s="1077">
        <v>-0.35</v>
      </c>
      <c r="AL217" s="1077">
        <v>0.2</v>
      </c>
      <c r="AM217" s="1078" t="s">
        <v>9483</v>
      </c>
      <c r="AN217" s="1078" t="s">
        <v>9484</v>
      </c>
      <c r="AO217" s="1078">
        <f t="shared" si="30"/>
        <v>500</v>
      </c>
      <c r="AP217" s="1078">
        <f t="shared" si="31"/>
        <v>1.69</v>
      </c>
      <c r="AQ217" s="1078" t="str">
        <f t="shared" si="32"/>
        <v>1-5-1S83°</v>
      </c>
      <c r="AR217" s="1078" t="str">
        <f t="shared" si="33"/>
        <v>30</v>
      </c>
      <c r="AS217" s="1078" t="str">
        <f t="shared" si="34"/>
        <v>200/200/130</v>
      </c>
      <c r="AT217" s="1078" t="str">
        <f t="shared" si="35"/>
        <v>1-5-1S83°</v>
      </c>
      <c r="AV217" s="1078" t="str">
        <f t="shared" si="28"/>
        <v>113.12.2</v>
      </c>
      <c r="AW217" s="1344">
        <f t="shared" si="29"/>
        <v>45628</v>
      </c>
    </row>
    <row r="218" spans="1:49">
      <c r="A218" s="1077" t="s">
        <v>1745</v>
      </c>
      <c r="B218" s="1077" t="s">
        <v>1645</v>
      </c>
      <c r="C218" s="1077">
        <v>600</v>
      </c>
      <c r="D218" s="1077">
        <v>1.67</v>
      </c>
      <c r="E218" s="1077" t="s">
        <v>15089</v>
      </c>
      <c r="F218" s="1077" t="s">
        <v>954</v>
      </c>
      <c r="G218" s="1077">
        <v>4</v>
      </c>
      <c r="H218" s="1077" t="s">
        <v>1649</v>
      </c>
      <c r="I218" s="1077" t="s">
        <v>942</v>
      </c>
      <c r="J218" s="1077">
        <v>0.8</v>
      </c>
      <c r="K218" s="1077" t="s">
        <v>1746</v>
      </c>
      <c r="L218" s="1077" t="s">
        <v>1647</v>
      </c>
      <c r="M218" s="1077">
        <v>54.3</v>
      </c>
      <c r="N218" s="1077" t="s">
        <v>945</v>
      </c>
      <c r="O218" s="1077">
        <v>1.3574999999999999</v>
      </c>
      <c r="P218" s="1077">
        <v>1.0860000000000001</v>
      </c>
      <c r="Q218" s="1077">
        <v>4</v>
      </c>
      <c r="R218" s="1077">
        <v>28</v>
      </c>
      <c r="T218" s="1077">
        <v>21.2</v>
      </c>
      <c r="U218" s="1077">
        <v>3.8</v>
      </c>
      <c r="V218" s="1077" t="s">
        <v>648</v>
      </c>
      <c r="W218" s="1077">
        <v>150</v>
      </c>
      <c r="X218" s="1077">
        <v>80</v>
      </c>
      <c r="Y218" s="1077">
        <v>3</v>
      </c>
      <c r="Z218" s="1077">
        <v>5</v>
      </c>
      <c r="AA218" s="1077" t="s">
        <v>1747</v>
      </c>
      <c r="AH218" s="1077" t="s">
        <v>990</v>
      </c>
      <c r="AJ218" s="1077">
        <v>93.3</v>
      </c>
      <c r="AK218" s="1077">
        <v>-7.0000000000000007E-2</v>
      </c>
      <c r="AL218" s="1077">
        <v>0.45</v>
      </c>
      <c r="AM218" s="1078" t="s">
        <v>9485</v>
      </c>
      <c r="AN218" s="1078" t="s">
        <v>9486</v>
      </c>
      <c r="AO218" s="1078">
        <f t="shared" si="30"/>
        <v>600</v>
      </c>
      <c r="AP218" s="1078">
        <f t="shared" si="31"/>
        <v>1.67</v>
      </c>
      <c r="AQ218" s="1078" t="str">
        <f t="shared" si="32"/>
        <v>1-4-1S83°</v>
      </c>
      <c r="AR218" s="1078" t="str">
        <f t="shared" si="33"/>
        <v>31</v>
      </c>
      <c r="AS218" s="1078" t="str">
        <f t="shared" si="34"/>
        <v>225/225/OFF</v>
      </c>
      <c r="AT218" s="1078" t="str">
        <f t="shared" si="35"/>
        <v>1-4-1S83°</v>
      </c>
      <c r="AV218" s="1078" t="str">
        <f t="shared" si="28"/>
        <v>113.12.19</v>
      </c>
      <c r="AW218" s="1344">
        <f t="shared" si="29"/>
        <v>45645</v>
      </c>
    </row>
    <row r="219" spans="1:49">
      <c r="A219" s="1077" t="s">
        <v>1748</v>
      </c>
      <c r="B219" s="1077" t="s">
        <v>1659</v>
      </c>
      <c r="C219" s="1077">
        <v>500</v>
      </c>
      <c r="D219" s="1077">
        <v>1.7</v>
      </c>
      <c r="E219" s="1077" t="s">
        <v>15095</v>
      </c>
      <c r="F219" s="1077" t="s">
        <v>984</v>
      </c>
      <c r="G219" s="1077" t="s">
        <v>1016</v>
      </c>
      <c r="H219" s="1077" t="s">
        <v>1660</v>
      </c>
      <c r="I219" s="1077" t="s">
        <v>626</v>
      </c>
      <c r="J219" s="1077">
        <v>1.2</v>
      </c>
      <c r="K219" s="1077" t="s">
        <v>1749</v>
      </c>
      <c r="L219" s="1077" t="s">
        <v>1356</v>
      </c>
      <c r="M219" s="1077">
        <v>49.5</v>
      </c>
      <c r="N219" s="1077" t="s">
        <v>945</v>
      </c>
      <c r="O219" s="1077">
        <v>1.2375</v>
      </c>
      <c r="P219" s="1077">
        <v>0.99</v>
      </c>
      <c r="Q219" s="1077">
        <v>3</v>
      </c>
      <c r="R219" s="1077">
        <v>31</v>
      </c>
      <c r="T219" s="1077">
        <v>11</v>
      </c>
      <c r="U219" s="1077">
        <v>6.5</v>
      </c>
      <c r="V219" s="1077" t="s">
        <v>648</v>
      </c>
      <c r="W219" s="1077">
        <v>165</v>
      </c>
      <c r="X219" s="1077">
        <v>90</v>
      </c>
      <c r="Y219" s="1077">
        <v>2</v>
      </c>
      <c r="Z219" s="1077">
        <v>3</v>
      </c>
      <c r="AA219" s="1077" t="s">
        <v>1750</v>
      </c>
      <c r="AH219" s="1077" t="s">
        <v>877</v>
      </c>
      <c r="AJ219" s="1077">
        <v>93.03</v>
      </c>
      <c r="AK219" s="1077">
        <v>-0.54</v>
      </c>
      <c r="AL219" s="1077">
        <v>2.65</v>
      </c>
      <c r="AM219" s="1078" t="s">
        <v>9487</v>
      </c>
      <c r="AN219" s="1078" t="s">
        <v>9488</v>
      </c>
      <c r="AO219" s="1078">
        <f t="shared" si="30"/>
        <v>500</v>
      </c>
      <c r="AP219" s="1078">
        <f t="shared" si="31"/>
        <v>1.7</v>
      </c>
      <c r="AQ219" s="1078" t="str">
        <f t="shared" si="32"/>
        <v>1-5-1S83°</v>
      </c>
      <c r="AR219" s="1078" t="str">
        <f t="shared" si="33"/>
        <v>30</v>
      </c>
      <c r="AS219" s="1078" t="str">
        <f t="shared" si="34"/>
        <v>180/180/OFF</v>
      </c>
      <c r="AT219" s="1078" t="str">
        <f t="shared" si="35"/>
        <v>1-5-1S83°</v>
      </c>
      <c r="AV219" s="1078" t="str">
        <f t="shared" si="28"/>
        <v>114.1.6</v>
      </c>
      <c r="AW219" s="1344">
        <f t="shared" si="29"/>
        <v>45663</v>
      </c>
    </row>
    <row r="220" spans="1:49">
      <c r="A220" s="1077" t="s">
        <v>1751</v>
      </c>
      <c r="B220" s="1077" t="s">
        <v>872</v>
      </c>
      <c r="C220" s="1077">
        <v>600</v>
      </c>
      <c r="D220" s="1077">
        <v>1.73</v>
      </c>
      <c r="E220" s="1077" t="s">
        <v>15089</v>
      </c>
      <c r="F220" s="1077" t="s">
        <v>975</v>
      </c>
      <c r="G220" s="1077" t="s">
        <v>940</v>
      </c>
      <c r="H220" s="1077" t="s">
        <v>1740</v>
      </c>
      <c r="I220" s="1077" t="s">
        <v>126</v>
      </c>
      <c r="J220" s="1077">
        <v>0.7</v>
      </c>
      <c r="K220" s="1077" t="s">
        <v>1752</v>
      </c>
      <c r="L220" s="1077" t="s">
        <v>978</v>
      </c>
      <c r="M220" s="1077">
        <v>49.7</v>
      </c>
      <c r="N220" s="1077" t="s">
        <v>945</v>
      </c>
      <c r="O220" s="1077">
        <v>1.2425000000000002</v>
      </c>
      <c r="P220" s="1077">
        <v>0.99400000000000011</v>
      </c>
      <c r="Q220" s="1077">
        <v>4</v>
      </c>
      <c r="R220" s="1077">
        <v>25</v>
      </c>
      <c r="T220" s="1077">
        <v>19.5</v>
      </c>
      <c r="U220" s="1077">
        <v>1.9</v>
      </c>
      <c r="V220" s="1077" t="s">
        <v>648</v>
      </c>
      <c r="W220" s="1077">
        <v>50</v>
      </c>
      <c r="X220" s="1077" t="s">
        <v>1403</v>
      </c>
      <c r="Y220" s="1077">
        <v>2</v>
      </c>
      <c r="Z220" s="1077">
        <v>2.5</v>
      </c>
      <c r="AA220" s="1077" t="s">
        <v>1753</v>
      </c>
      <c r="AH220" s="1077" t="s">
        <v>466</v>
      </c>
      <c r="AJ220" s="1077">
        <v>91.11</v>
      </c>
      <c r="AK220" s="1077">
        <v>-0.08</v>
      </c>
      <c r="AL220" s="1077">
        <v>0.54</v>
      </c>
      <c r="AM220" s="1078" t="s">
        <v>871</v>
      </c>
      <c r="AN220" s="1078" t="s">
        <v>9489</v>
      </c>
      <c r="AO220" s="1078">
        <f t="shared" si="30"/>
        <v>600</v>
      </c>
      <c r="AP220" s="1078">
        <f t="shared" si="31"/>
        <v>1.73</v>
      </c>
      <c r="AQ220" s="1078" t="str">
        <f t="shared" si="32"/>
        <v>1-4-1S83°</v>
      </c>
      <c r="AR220" s="1078" t="str">
        <f t="shared" si="33"/>
        <v>31.5</v>
      </c>
      <c r="AS220" s="1078" t="str">
        <f t="shared" si="34"/>
        <v>245/245/140</v>
      </c>
      <c r="AT220" s="1078" t="str">
        <f t="shared" si="35"/>
        <v>1-4-1S83°</v>
      </c>
      <c r="AV220" s="1078" t="str">
        <f t="shared" si="28"/>
        <v>114.1.27</v>
      </c>
      <c r="AW220" s="1344">
        <f t="shared" si="29"/>
        <v>45684</v>
      </c>
    </row>
    <row r="221" spans="1:49">
      <c r="A221" s="1077" t="s">
        <v>1754</v>
      </c>
      <c r="B221" s="1077" t="s">
        <v>874</v>
      </c>
      <c r="C221" s="1077">
        <v>500</v>
      </c>
      <c r="D221" s="1077">
        <v>1.7949999999999999</v>
      </c>
      <c r="E221" s="1077" t="s">
        <v>15089</v>
      </c>
      <c r="F221" s="1077" t="s">
        <v>984</v>
      </c>
      <c r="G221" s="1077" t="s">
        <v>1001</v>
      </c>
      <c r="H221" s="1077" t="s">
        <v>1155</v>
      </c>
      <c r="I221" s="1077" t="s">
        <v>126</v>
      </c>
      <c r="J221" s="1077">
        <v>1</v>
      </c>
      <c r="K221" s="1077" t="s">
        <v>1586</v>
      </c>
      <c r="L221" s="1077" t="s">
        <v>1176</v>
      </c>
      <c r="M221" s="1077">
        <v>51.8</v>
      </c>
      <c r="N221" s="1077" t="s">
        <v>945</v>
      </c>
      <c r="O221" s="1077">
        <v>1.2949999999999999</v>
      </c>
      <c r="P221" s="1077">
        <v>1.036</v>
      </c>
      <c r="Q221" s="1077">
        <v>4</v>
      </c>
      <c r="R221" s="1077">
        <v>20.100000000000001</v>
      </c>
      <c r="T221" s="1077">
        <v>30</v>
      </c>
      <c r="U221" s="1077">
        <v>3.8</v>
      </c>
      <c r="V221" s="1077" t="s">
        <v>648</v>
      </c>
      <c r="W221" s="1077">
        <v>120</v>
      </c>
      <c r="X221" s="1077">
        <v>75</v>
      </c>
      <c r="Y221" s="1077">
        <v>2</v>
      </c>
      <c r="Z221" s="1077">
        <v>4</v>
      </c>
      <c r="AA221" s="1077" t="s">
        <v>1753</v>
      </c>
      <c r="AH221" s="1077" t="s">
        <v>1755</v>
      </c>
      <c r="AJ221" s="1077">
        <v>16.649999999999999</v>
      </c>
      <c r="AK221" s="1077">
        <v>0.7</v>
      </c>
      <c r="AL221" s="1077">
        <v>1.89</v>
      </c>
      <c r="AM221" s="1078" t="s">
        <v>873</v>
      </c>
      <c r="AN221" s="1078" t="s">
        <v>9490</v>
      </c>
      <c r="AO221" s="1078">
        <f t="shared" si="30"/>
        <v>500</v>
      </c>
      <c r="AP221" s="1078">
        <f t="shared" si="31"/>
        <v>1.7949999999999999</v>
      </c>
      <c r="AQ221" s="1078" t="str">
        <f t="shared" si="32"/>
        <v>1-4-1S83°</v>
      </c>
      <c r="AR221" s="1078" t="str">
        <f t="shared" si="33"/>
        <v>30</v>
      </c>
      <c r="AS221" s="1078" t="str">
        <f t="shared" si="34"/>
        <v>215/215/OFF</v>
      </c>
      <c r="AT221" s="1078" t="str">
        <f t="shared" si="35"/>
        <v>1-4-1S83°</v>
      </c>
      <c r="AV221" s="1078" t="str">
        <f t="shared" si="28"/>
        <v>114.1.27</v>
      </c>
      <c r="AW221" s="1344">
        <f t="shared" si="29"/>
        <v>45684</v>
      </c>
    </row>
    <row r="222" spans="1:49">
      <c r="A222" s="1077" t="s">
        <v>1756</v>
      </c>
      <c r="B222" s="1077" t="s">
        <v>1033</v>
      </c>
      <c r="C222" s="1077">
        <v>550</v>
      </c>
      <c r="D222" s="1077">
        <v>1.645</v>
      </c>
      <c r="E222" s="1077" t="s">
        <v>15089</v>
      </c>
      <c r="F222" s="1077" t="s">
        <v>954</v>
      </c>
      <c r="G222" s="1077" t="s">
        <v>940</v>
      </c>
      <c r="H222" s="1077" t="s">
        <v>1034</v>
      </c>
      <c r="I222" s="1077" t="s">
        <v>126</v>
      </c>
      <c r="J222" s="1077">
        <v>0.5</v>
      </c>
      <c r="K222" s="1077" t="s">
        <v>1320</v>
      </c>
      <c r="L222" s="1077" t="s">
        <v>1036</v>
      </c>
      <c r="M222" s="1077">
        <v>51.5</v>
      </c>
      <c r="N222" s="1077" t="s">
        <v>945</v>
      </c>
      <c r="O222" s="1077">
        <v>1.2875000000000001</v>
      </c>
      <c r="P222" s="1077">
        <v>1.03</v>
      </c>
      <c r="Q222" s="1077" t="s">
        <v>1321</v>
      </c>
      <c r="R222" s="1077">
        <v>23</v>
      </c>
      <c r="T222" s="1077">
        <v>21</v>
      </c>
      <c r="U222" s="1077">
        <v>3.3</v>
      </c>
      <c r="V222" s="1077" t="s">
        <v>648</v>
      </c>
      <c r="W222" s="1077">
        <v>125</v>
      </c>
      <c r="X222" s="1077" t="s">
        <v>1130</v>
      </c>
      <c r="Y222" s="1077">
        <v>1.8</v>
      </c>
      <c r="Z222" s="1077">
        <v>4</v>
      </c>
      <c r="AA222" s="1077" t="s">
        <v>1757</v>
      </c>
      <c r="AH222" s="1077" t="s">
        <v>878</v>
      </c>
      <c r="AM222" s="1078" t="s">
        <v>9491</v>
      </c>
      <c r="AN222" s="1078" t="s">
        <v>9492</v>
      </c>
      <c r="AO222" s="1078">
        <f t="shared" si="30"/>
        <v>550</v>
      </c>
      <c r="AP222" s="1078">
        <f t="shared" si="31"/>
        <v>1.645</v>
      </c>
      <c r="AQ222" s="1078" t="str">
        <f t="shared" si="32"/>
        <v>1-4-1S83°</v>
      </c>
      <c r="AR222" s="1078" t="str">
        <f t="shared" si="33"/>
        <v>31</v>
      </c>
      <c r="AS222" s="1078" t="str">
        <f t="shared" si="34"/>
        <v>237/237/OFF</v>
      </c>
      <c r="AT222" s="1078" t="str">
        <f t="shared" si="35"/>
        <v>1-4-1S83°</v>
      </c>
      <c r="AV222" s="1078" t="str">
        <f t="shared" si="28"/>
        <v>109.1.21</v>
      </c>
      <c r="AW222" s="1344">
        <f t="shared" si="29"/>
        <v>43851</v>
      </c>
    </row>
    <row r="223" spans="1:49">
      <c r="A223" s="1077" t="s">
        <v>1758</v>
      </c>
      <c r="B223" s="1077" t="s">
        <v>1033</v>
      </c>
      <c r="C223" s="1077">
        <v>550</v>
      </c>
      <c r="D223" s="1077">
        <v>1.645</v>
      </c>
      <c r="E223" s="1077" t="s">
        <v>15089</v>
      </c>
      <c r="F223" s="1077" t="s">
        <v>1318</v>
      </c>
      <c r="G223" s="1077" t="s">
        <v>940</v>
      </c>
      <c r="H223" s="1077" t="s">
        <v>1034</v>
      </c>
      <c r="I223" s="1077" t="s">
        <v>126</v>
      </c>
      <c r="J223" s="1077">
        <v>0.6</v>
      </c>
      <c r="K223" s="1077" t="s">
        <v>1320</v>
      </c>
      <c r="L223" s="1077" t="s">
        <v>1036</v>
      </c>
      <c r="M223" s="1077">
        <v>51.5</v>
      </c>
      <c r="N223" s="1077" t="s">
        <v>945</v>
      </c>
      <c r="O223" s="1077">
        <v>1.2875000000000001</v>
      </c>
      <c r="P223" s="1077">
        <v>1.03</v>
      </c>
      <c r="Q223" s="1077" t="s">
        <v>1321</v>
      </c>
      <c r="R223" s="1077">
        <v>23</v>
      </c>
      <c r="T223" s="1077">
        <v>21</v>
      </c>
      <c r="U223" s="1077">
        <v>3.3</v>
      </c>
      <c r="V223" s="1077" t="s">
        <v>648</v>
      </c>
      <c r="W223" s="1077">
        <v>125</v>
      </c>
      <c r="X223" s="1077">
        <v>85</v>
      </c>
      <c r="Y223" s="1077">
        <v>1.8</v>
      </c>
      <c r="Z223" s="1077">
        <v>4</v>
      </c>
      <c r="AA223" s="1077" t="s">
        <v>1759</v>
      </c>
      <c r="AH223" s="1077" t="s">
        <v>884</v>
      </c>
      <c r="AM223" s="1078" t="s">
        <v>9493</v>
      </c>
      <c r="AN223" s="1078" t="s">
        <v>9494</v>
      </c>
      <c r="AO223" s="1078">
        <f t="shared" si="30"/>
        <v>550</v>
      </c>
      <c r="AP223" s="1078">
        <f t="shared" si="31"/>
        <v>1.645</v>
      </c>
      <c r="AQ223" s="1078" t="str">
        <f t="shared" si="32"/>
        <v>1-4-1S83°</v>
      </c>
      <c r="AR223" s="1078" t="str">
        <f t="shared" si="33"/>
        <v>30.7</v>
      </c>
      <c r="AS223" s="1078" t="str">
        <f t="shared" si="34"/>
        <v>237/237/OFF</v>
      </c>
      <c r="AT223" s="1078" t="str">
        <f t="shared" si="35"/>
        <v>1-4-1S83°</v>
      </c>
      <c r="AV223" s="1078" t="str">
        <f t="shared" si="28"/>
        <v>109.7.28</v>
      </c>
      <c r="AW223" s="1344">
        <f t="shared" si="29"/>
        <v>44040</v>
      </c>
    </row>
    <row r="224" spans="1:49">
      <c r="A224" s="1077" t="s">
        <v>938</v>
      </c>
      <c r="B224" s="1077" t="s">
        <v>939</v>
      </c>
      <c r="C224" s="1077">
        <v>650</v>
      </c>
      <c r="D224" s="1077">
        <v>1.64</v>
      </c>
      <c r="E224" s="1077" t="s">
        <v>15088</v>
      </c>
      <c r="F224" s="1077" t="s">
        <v>648</v>
      </c>
      <c r="G224" s="1077" t="s">
        <v>940</v>
      </c>
      <c r="H224" s="1077" t="s">
        <v>941</v>
      </c>
      <c r="I224" s="1077" t="s">
        <v>942</v>
      </c>
      <c r="J224" s="1077">
        <v>0.7</v>
      </c>
      <c r="K224" s="1077" t="s">
        <v>943</v>
      </c>
      <c r="L224" s="1077" t="s">
        <v>944</v>
      </c>
      <c r="M224" s="1077">
        <v>51.5</v>
      </c>
      <c r="N224" s="1077" t="s">
        <v>945</v>
      </c>
      <c r="O224" s="1077">
        <v>1.2875000000000001</v>
      </c>
      <c r="P224" s="1077">
        <v>1.03</v>
      </c>
      <c r="Q224" s="1077" t="s">
        <v>946</v>
      </c>
      <c r="R224" s="1077">
        <v>20.5</v>
      </c>
      <c r="T224" s="1077">
        <v>21.2</v>
      </c>
      <c r="U224" s="1077">
        <v>3.6</v>
      </c>
      <c r="V224" s="1077" t="s">
        <v>648</v>
      </c>
      <c r="W224" s="1077">
        <v>150</v>
      </c>
      <c r="X224" s="1077">
        <v>75</v>
      </c>
      <c r="Y224" s="1077">
        <v>2</v>
      </c>
      <c r="Z224" s="1077">
        <v>4</v>
      </c>
      <c r="AA224" s="1077" t="s">
        <v>947</v>
      </c>
      <c r="AH224" s="1077" t="s">
        <v>948</v>
      </c>
      <c r="AM224" s="1078" t="s">
        <v>9495</v>
      </c>
      <c r="AN224" s="1078" t="s">
        <v>9496</v>
      </c>
      <c r="AO224" s="1078">
        <f t="shared" si="30"/>
        <v>650</v>
      </c>
      <c r="AP224" s="1078">
        <f t="shared" si="31"/>
        <v>1.64</v>
      </c>
      <c r="AQ224" s="1078" t="str">
        <f t="shared" si="32"/>
        <v>1-4-1S85°</v>
      </c>
      <c r="AR224" s="1078" t="str">
        <f t="shared" si="33"/>
        <v>NA</v>
      </c>
      <c r="AS224" s="1078" t="str">
        <f t="shared" si="34"/>
        <v>185/OFF</v>
      </c>
      <c r="AT224" s="1078" t="str">
        <f t="shared" si="35"/>
        <v>1-4-1S85°</v>
      </c>
      <c r="AV224" s="1078" t="str">
        <f t="shared" si="28"/>
        <v>108.12.27</v>
      </c>
      <c r="AW224" s="1344">
        <f t="shared" si="29"/>
        <v>43826</v>
      </c>
    </row>
    <row r="225" spans="1:49">
      <c r="A225" s="1077" t="s">
        <v>949</v>
      </c>
      <c r="B225" s="1077" t="s">
        <v>939</v>
      </c>
      <c r="C225" s="1077">
        <v>650</v>
      </c>
      <c r="D225" s="1077">
        <v>1.64</v>
      </c>
      <c r="E225" s="1077" t="s">
        <v>15088</v>
      </c>
      <c r="F225" s="1077" t="s">
        <v>648</v>
      </c>
      <c r="G225" s="1077" t="s">
        <v>940</v>
      </c>
      <c r="H225" s="1077" t="s">
        <v>941</v>
      </c>
      <c r="I225" s="1077" t="s">
        <v>942</v>
      </c>
      <c r="J225" s="1077">
        <v>0.8</v>
      </c>
      <c r="K225" s="1077" t="s">
        <v>950</v>
      </c>
      <c r="L225" s="1077" t="s">
        <v>944</v>
      </c>
      <c r="M225" s="1077">
        <v>51.5</v>
      </c>
      <c r="N225" s="1077" t="s">
        <v>945</v>
      </c>
      <c r="O225" s="1077">
        <v>1.2875000000000001</v>
      </c>
      <c r="P225" s="1077">
        <v>1.03</v>
      </c>
      <c r="Q225" s="1077" t="s">
        <v>946</v>
      </c>
      <c r="R225" s="1077">
        <v>20.5</v>
      </c>
      <c r="T225" s="1077">
        <v>21.2</v>
      </c>
      <c r="U225" s="1077">
        <v>3.6</v>
      </c>
      <c r="V225" s="1077" t="s">
        <v>648</v>
      </c>
      <c r="W225" s="1077">
        <v>150</v>
      </c>
      <c r="X225" s="1077">
        <v>75</v>
      </c>
      <c r="Y225" s="1077">
        <v>2</v>
      </c>
      <c r="Z225" s="1077">
        <v>4</v>
      </c>
      <c r="AA225" s="1077" t="s">
        <v>951</v>
      </c>
      <c r="AH225" s="1077" t="s">
        <v>952</v>
      </c>
      <c r="AM225" s="1078" t="s">
        <v>9497</v>
      </c>
      <c r="AN225" s="1078" t="s">
        <v>9498</v>
      </c>
      <c r="AO225" s="1078">
        <f t="shared" si="30"/>
        <v>650</v>
      </c>
      <c r="AP225" s="1078">
        <f t="shared" si="31"/>
        <v>1.64</v>
      </c>
      <c r="AQ225" s="1078" t="str">
        <f t="shared" si="32"/>
        <v>1-4-1S85°</v>
      </c>
      <c r="AR225" s="1078" t="str">
        <f t="shared" si="33"/>
        <v>NA</v>
      </c>
      <c r="AS225" s="1078" t="str">
        <f t="shared" si="34"/>
        <v>185/OFF</v>
      </c>
      <c r="AT225" s="1078" t="str">
        <f t="shared" si="35"/>
        <v>1-4-1S85°</v>
      </c>
      <c r="AV225" s="1078" t="str">
        <f t="shared" si="28"/>
        <v>109.5.13</v>
      </c>
      <c r="AW225" s="1344">
        <f t="shared" si="29"/>
        <v>43964</v>
      </c>
    </row>
    <row r="226" spans="1:49">
      <c r="A226" s="1077" t="s">
        <v>953</v>
      </c>
      <c r="B226" s="1077" t="s">
        <v>939</v>
      </c>
      <c r="C226" s="1077">
        <v>650</v>
      </c>
      <c r="D226" s="1077">
        <v>1.625</v>
      </c>
      <c r="E226" s="1077" t="s">
        <v>15089</v>
      </c>
      <c r="F226" s="1077" t="s">
        <v>954</v>
      </c>
      <c r="G226" s="1077" t="s">
        <v>940</v>
      </c>
      <c r="H226" s="1077" t="s">
        <v>955</v>
      </c>
      <c r="I226" s="1077" t="s">
        <v>942</v>
      </c>
      <c r="J226" s="1077">
        <v>0.7</v>
      </c>
      <c r="K226" s="1077" t="s">
        <v>950</v>
      </c>
      <c r="L226" s="1077" t="s">
        <v>944</v>
      </c>
      <c r="M226" s="1077">
        <v>51.5</v>
      </c>
      <c r="N226" s="1077" t="s">
        <v>945</v>
      </c>
      <c r="O226" s="1077">
        <v>1.2875000000000001</v>
      </c>
      <c r="P226" s="1077">
        <v>1.03</v>
      </c>
      <c r="Q226" s="1077" t="s">
        <v>956</v>
      </c>
      <c r="R226" s="1077">
        <v>22.5</v>
      </c>
      <c r="T226" s="1077">
        <v>24.5</v>
      </c>
      <c r="U226" s="1077">
        <v>3.3</v>
      </c>
      <c r="V226" s="1077" t="s">
        <v>648</v>
      </c>
      <c r="W226" s="1077">
        <v>150</v>
      </c>
      <c r="X226" s="1077">
        <v>75</v>
      </c>
      <c r="Y226" s="1077">
        <v>2</v>
      </c>
      <c r="Z226" s="1077">
        <v>4</v>
      </c>
      <c r="AA226" s="1077" t="s">
        <v>957</v>
      </c>
      <c r="AH226" s="1077" t="s">
        <v>958</v>
      </c>
      <c r="AI226" s="1077" t="s">
        <v>959</v>
      </c>
      <c r="AM226" s="1078" t="s">
        <v>9499</v>
      </c>
      <c r="AN226" s="1078" t="s">
        <v>9500</v>
      </c>
      <c r="AO226" s="1078">
        <f t="shared" si="30"/>
        <v>650</v>
      </c>
      <c r="AP226" s="1078">
        <f t="shared" si="31"/>
        <v>1.625</v>
      </c>
      <c r="AQ226" s="1078" t="str">
        <f t="shared" si="32"/>
        <v>1-4-1S83°</v>
      </c>
      <c r="AR226" s="1078" t="str">
        <f t="shared" si="33"/>
        <v>31</v>
      </c>
      <c r="AS226" s="1078" t="str">
        <f t="shared" si="34"/>
        <v>260/260/OFF</v>
      </c>
      <c r="AT226" s="1078" t="str">
        <f t="shared" si="35"/>
        <v>1-4-1S83°</v>
      </c>
      <c r="AV226" s="1078" t="str">
        <f t="shared" si="28"/>
        <v>109.6.1</v>
      </c>
      <c r="AW226" s="1344">
        <f t="shared" si="29"/>
        <v>43983</v>
      </c>
    </row>
    <row r="227" spans="1:49">
      <c r="A227" s="1077" t="s">
        <v>960</v>
      </c>
      <c r="B227" s="1077" t="s">
        <v>939</v>
      </c>
      <c r="C227" s="1077">
        <v>650</v>
      </c>
      <c r="D227" s="1077">
        <v>1.625</v>
      </c>
      <c r="E227" s="1077" t="s">
        <v>15089</v>
      </c>
      <c r="F227" s="1077" t="s">
        <v>954</v>
      </c>
      <c r="G227" s="1077" t="s">
        <v>940</v>
      </c>
      <c r="H227" s="1077" t="s">
        <v>955</v>
      </c>
      <c r="I227" s="1077" t="s">
        <v>942</v>
      </c>
      <c r="J227" s="1077">
        <v>0.7</v>
      </c>
      <c r="K227" s="1077" t="s">
        <v>950</v>
      </c>
      <c r="L227" s="1077" t="s">
        <v>944</v>
      </c>
      <c r="M227" s="1077">
        <v>51.5</v>
      </c>
      <c r="N227" s="1077" t="s">
        <v>945</v>
      </c>
      <c r="O227" s="1077">
        <v>1.2875000000000001</v>
      </c>
      <c r="P227" s="1077">
        <v>1.03</v>
      </c>
      <c r="Q227" s="1077" t="s">
        <v>961</v>
      </c>
      <c r="R227" s="1077">
        <v>22.5</v>
      </c>
      <c r="T227" s="1077">
        <v>24.5</v>
      </c>
      <c r="U227" s="1077">
        <v>3.3</v>
      </c>
      <c r="V227" s="1077" t="s">
        <v>648</v>
      </c>
      <c r="W227" s="1077">
        <v>150</v>
      </c>
      <c r="X227" s="1077">
        <v>75</v>
      </c>
      <c r="Y227" s="1077">
        <v>2</v>
      </c>
      <c r="Z227" s="1077">
        <v>4</v>
      </c>
      <c r="AA227" s="1077" t="s">
        <v>962</v>
      </c>
      <c r="AH227" s="1077" t="s">
        <v>963</v>
      </c>
      <c r="AI227" s="1077" t="s">
        <v>959</v>
      </c>
      <c r="AM227" s="1078" t="s">
        <v>9501</v>
      </c>
      <c r="AN227" s="1078" t="s">
        <v>9502</v>
      </c>
      <c r="AO227" s="1078">
        <f t="shared" si="30"/>
        <v>650</v>
      </c>
      <c r="AP227" s="1078">
        <f t="shared" si="31"/>
        <v>1.625</v>
      </c>
      <c r="AQ227" s="1078" t="str">
        <f t="shared" si="32"/>
        <v>1-4-1S83°</v>
      </c>
      <c r="AR227" s="1078" t="str">
        <f t="shared" si="33"/>
        <v>31</v>
      </c>
      <c r="AS227" s="1078" t="str">
        <f t="shared" si="34"/>
        <v>260/260/OFF</v>
      </c>
      <c r="AT227" s="1078" t="str">
        <f t="shared" si="35"/>
        <v>1-4-1S83°</v>
      </c>
      <c r="AV227" s="1078" t="str">
        <f t="shared" si="28"/>
        <v>109.6.2</v>
      </c>
      <c r="AW227" s="1344">
        <f t="shared" si="29"/>
        <v>43984</v>
      </c>
    </row>
    <row r="228" spans="1:49">
      <c r="A228" s="1077" t="s">
        <v>964</v>
      </c>
      <c r="B228" s="1077" t="s">
        <v>939</v>
      </c>
      <c r="C228" s="1077">
        <v>650</v>
      </c>
      <c r="D228" s="1077">
        <v>1.625</v>
      </c>
      <c r="E228" s="1077" t="s">
        <v>15089</v>
      </c>
      <c r="F228" s="1077" t="s">
        <v>954</v>
      </c>
      <c r="G228" s="1077" t="s">
        <v>940</v>
      </c>
      <c r="H228" s="1077" t="s">
        <v>955</v>
      </c>
      <c r="I228" s="1077" t="s">
        <v>942</v>
      </c>
      <c r="J228" s="1077">
        <v>0.7</v>
      </c>
      <c r="K228" s="1077" t="s">
        <v>950</v>
      </c>
      <c r="L228" s="1077" t="s">
        <v>944</v>
      </c>
      <c r="M228" s="1077">
        <v>51.5</v>
      </c>
      <c r="N228" s="1077" t="s">
        <v>945</v>
      </c>
      <c r="O228" s="1077">
        <v>1.2875000000000001</v>
      </c>
      <c r="P228" s="1077">
        <v>1.03</v>
      </c>
      <c r="Q228" s="1077" t="s">
        <v>961</v>
      </c>
      <c r="R228" s="1077">
        <v>22.5</v>
      </c>
      <c r="T228" s="1077">
        <v>24.5</v>
      </c>
      <c r="U228" s="1077">
        <v>3.3</v>
      </c>
      <c r="V228" s="1077" t="s">
        <v>648</v>
      </c>
      <c r="W228" s="1077">
        <v>150</v>
      </c>
      <c r="X228" s="1077">
        <v>75</v>
      </c>
      <c r="Y228" s="1077">
        <v>2</v>
      </c>
      <c r="Z228" s="1077">
        <v>4</v>
      </c>
      <c r="AA228" s="1077" t="s">
        <v>965</v>
      </c>
      <c r="AH228" s="1077" t="s">
        <v>966</v>
      </c>
      <c r="AI228" s="1077" t="s">
        <v>959</v>
      </c>
      <c r="AM228" s="1078" t="s">
        <v>9503</v>
      </c>
      <c r="AN228" s="1078" t="s">
        <v>9504</v>
      </c>
      <c r="AO228" s="1078">
        <f t="shared" si="30"/>
        <v>650</v>
      </c>
      <c r="AP228" s="1078">
        <f t="shared" si="31"/>
        <v>1.625</v>
      </c>
      <c r="AQ228" s="1078" t="str">
        <f t="shared" si="32"/>
        <v>1-4-1S83°</v>
      </c>
      <c r="AR228" s="1078" t="str">
        <f t="shared" si="33"/>
        <v>31</v>
      </c>
      <c r="AS228" s="1078" t="str">
        <f t="shared" si="34"/>
        <v>260/260/OFF</v>
      </c>
      <c r="AT228" s="1078" t="str">
        <f t="shared" si="35"/>
        <v>1-4-1S83°</v>
      </c>
      <c r="AV228" s="1078" t="str">
        <f t="shared" si="28"/>
        <v>109.6.29</v>
      </c>
      <c r="AW228" s="1344">
        <f t="shared" si="29"/>
        <v>44011</v>
      </c>
    </row>
    <row r="229" spans="1:49">
      <c r="A229" s="1077" t="s">
        <v>967</v>
      </c>
      <c r="B229" s="1077" t="s">
        <v>939</v>
      </c>
      <c r="C229" s="1077">
        <v>650</v>
      </c>
      <c r="D229" s="1077">
        <v>1.625</v>
      </c>
      <c r="E229" s="1077" t="s">
        <v>15089</v>
      </c>
      <c r="F229" s="1077" t="s">
        <v>954</v>
      </c>
      <c r="G229" s="1077" t="s">
        <v>940</v>
      </c>
      <c r="H229" s="1077" t="s">
        <v>955</v>
      </c>
      <c r="I229" s="1077" t="s">
        <v>126</v>
      </c>
      <c r="J229" s="1077">
        <v>0.6</v>
      </c>
      <c r="K229" s="1077" t="s">
        <v>968</v>
      </c>
      <c r="L229" s="1077" t="s">
        <v>944</v>
      </c>
      <c r="M229" s="1077">
        <v>51.5</v>
      </c>
      <c r="N229" s="1077" t="s">
        <v>945</v>
      </c>
      <c r="O229" s="1077">
        <v>1.2875000000000001</v>
      </c>
      <c r="P229" s="1077">
        <v>1.03</v>
      </c>
      <c r="Q229" s="1077">
        <v>4</v>
      </c>
      <c r="R229" s="1077">
        <v>22.5</v>
      </c>
      <c r="T229" s="1077">
        <v>24.5</v>
      </c>
      <c r="U229" s="1077">
        <v>3.3</v>
      </c>
      <c r="V229" s="1077" t="s">
        <v>648</v>
      </c>
      <c r="W229" s="1077">
        <v>120</v>
      </c>
      <c r="X229" s="1077">
        <v>80</v>
      </c>
      <c r="Y229" s="1077">
        <v>2</v>
      </c>
      <c r="Z229" s="1077">
        <v>4</v>
      </c>
      <c r="AA229" s="1077" t="s">
        <v>969</v>
      </c>
      <c r="AH229" s="1077" t="s">
        <v>838</v>
      </c>
      <c r="AM229" s="1078" t="s">
        <v>9505</v>
      </c>
      <c r="AN229" s="1078" t="s">
        <v>9506</v>
      </c>
      <c r="AO229" s="1078">
        <f t="shared" si="30"/>
        <v>650</v>
      </c>
      <c r="AP229" s="1078">
        <f t="shared" si="31"/>
        <v>1.625</v>
      </c>
      <c r="AQ229" s="1078" t="str">
        <f t="shared" si="32"/>
        <v>1-4-1S83°</v>
      </c>
      <c r="AR229" s="1078" t="str">
        <f t="shared" si="33"/>
        <v>31</v>
      </c>
      <c r="AS229" s="1078" t="str">
        <f t="shared" si="34"/>
        <v>260/260/OFF</v>
      </c>
      <c r="AT229" s="1078" t="str">
        <f t="shared" si="35"/>
        <v>1-4-1S83°</v>
      </c>
      <c r="AV229" s="1078" t="str">
        <f t="shared" si="28"/>
        <v>110.5.12</v>
      </c>
      <c r="AW229" s="1344">
        <f t="shared" si="29"/>
        <v>44328</v>
      </c>
    </row>
    <row r="230" spans="1:49">
      <c r="A230" s="1077" t="s">
        <v>2387</v>
      </c>
      <c r="B230" s="1077" t="s">
        <v>424</v>
      </c>
      <c r="C230" s="1077">
        <v>800</v>
      </c>
      <c r="D230" s="1077">
        <v>1.77</v>
      </c>
      <c r="E230" s="1077" t="s">
        <v>15089</v>
      </c>
      <c r="F230" s="1077" t="s">
        <v>1897</v>
      </c>
      <c r="G230" s="1077" t="s">
        <v>1767</v>
      </c>
      <c r="H230" s="1077" t="s">
        <v>2388</v>
      </c>
      <c r="I230" s="1077" t="s">
        <v>648</v>
      </c>
      <c r="J230" s="1077">
        <v>0</v>
      </c>
      <c r="K230" s="1077" t="s">
        <v>2389</v>
      </c>
      <c r="L230" s="1077" t="s">
        <v>2390</v>
      </c>
      <c r="M230" s="1077">
        <v>75</v>
      </c>
      <c r="N230" s="1077" t="s">
        <v>945</v>
      </c>
      <c r="O230" s="1077">
        <v>1.875</v>
      </c>
      <c r="P230" s="1077">
        <v>1.5</v>
      </c>
      <c r="Q230" s="1077" t="s">
        <v>956</v>
      </c>
      <c r="R230" s="1077">
        <v>23.5</v>
      </c>
      <c r="T230" s="1077">
        <v>20.5</v>
      </c>
      <c r="U230" s="1077">
        <v>1.5</v>
      </c>
      <c r="V230" s="1077" t="s">
        <v>648</v>
      </c>
      <c r="W230" s="1077" t="s">
        <v>648</v>
      </c>
      <c r="X230" s="1077" t="s">
        <v>648</v>
      </c>
      <c r="Y230" s="1077">
        <v>1.5</v>
      </c>
      <c r="Z230" s="1077">
        <v>3.5</v>
      </c>
      <c r="AA230" s="1077" t="s">
        <v>2391</v>
      </c>
      <c r="AH230" s="1077" t="s">
        <v>813</v>
      </c>
      <c r="AM230" s="1078" t="s">
        <v>9507</v>
      </c>
      <c r="AN230" s="1078" t="s">
        <v>9508</v>
      </c>
      <c r="AO230" s="1078">
        <f t="shared" si="30"/>
        <v>800</v>
      </c>
      <c r="AP230" s="1078">
        <f t="shared" si="31"/>
        <v>1.77</v>
      </c>
      <c r="AQ230" s="1078" t="str">
        <f t="shared" si="32"/>
        <v>1-4-1S83°</v>
      </c>
      <c r="AR230" s="1078" t="str">
        <f t="shared" si="33"/>
        <v>30.8</v>
      </c>
      <c r="AS230" s="1078" t="str">
        <f t="shared" si="34"/>
        <v>310/310/162</v>
      </c>
      <c r="AT230" s="1078" t="str">
        <f t="shared" si="35"/>
        <v>1-4-1S83°</v>
      </c>
      <c r="AV230" s="1078" t="str">
        <f t="shared" si="28"/>
        <v>108.1.17</v>
      </c>
      <c r="AW230" s="1344">
        <f t="shared" si="29"/>
        <v>43482</v>
      </c>
    </row>
    <row r="231" spans="1:49">
      <c r="A231" s="1077" t="s">
        <v>2392</v>
      </c>
      <c r="B231" s="1077" t="s">
        <v>424</v>
      </c>
      <c r="C231" s="1077">
        <v>800</v>
      </c>
      <c r="D231" s="1077">
        <v>1.77</v>
      </c>
      <c r="E231" s="1077" t="s">
        <v>15089</v>
      </c>
      <c r="F231" s="1077" t="s">
        <v>954</v>
      </c>
      <c r="G231" s="1077" t="s">
        <v>1767</v>
      </c>
      <c r="H231" s="1077" t="s">
        <v>2393</v>
      </c>
      <c r="I231" s="1077" t="s">
        <v>126</v>
      </c>
      <c r="J231" s="1077">
        <v>1.6</v>
      </c>
      <c r="K231" s="1077" t="s">
        <v>2394</v>
      </c>
      <c r="L231" s="1077" t="s">
        <v>1938</v>
      </c>
      <c r="M231" s="1077">
        <v>73</v>
      </c>
      <c r="N231" s="1077" t="s">
        <v>945</v>
      </c>
      <c r="O231" s="1077">
        <v>1.8250000000000002</v>
      </c>
      <c r="P231" s="1077">
        <v>1.46</v>
      </c>
      <c r="Q231" s="1077" t="s">
        <v>956</v>
      </c>
      <c r="R231" s="1077">
        <v>21.6</v>
      </c>
      <c r="T231" s="1077">
        <v>32</v>
      </c>
      <c r="U231" s="1077">
        <v>3.5</v>
      </c>
      <c r="V231" s="1077" t="s">
        <v>648</v>
      </c>
      <c r="W231" s="1077">
        <v>110</v>
      </c>
      <c r="X231" s="1077" t="s">
        <v>2395</v>
      </c>
      <c r="Y231" s="1077">
        <v>1.5</v>
      </c>
      <c r="Z231" s="1077" t="s">
        <v>2396</v>
      </c>
      <c r="AA231" s="1077" t="s">
        <v>2397</v>
      </c>
      <c r="AB231" s="1077" t="s">
        <v>981</v>
      </c>
      <c r="AH231" s="1077" t="s">
        <v>2398</v>
      </c>
      <c r="AM231" s="1078" t="s">
        <v>9509</v>
      </c>
      <c r="AN231" s="1078" t="s">
        <v>9510</v>
      </c>
      <c r="AO231" s="1078">
        <f t="shared" si="30"/>
        <v>800</v>
      </c>
      <c r="AP231" s="1078">
        <f t="shared" si="31"/>
        <v>1.77</v>
      </c>
      <c r="AQ231" s="1078" t="str">
        <f t="shared" si="32"/>
        <v>1-4-1S83°</v>
      </c>
      <c r="AR231" s="1078" t="str">
        <f t="shared" si="33"/>
        <v>31</v>
      </c>
      <c r="AS231" s="1078" t="str">
        <f t="shared" si="34"/>
        <v>310/310/OFF</v>
      </c>
      <c r="AT231" s="1078" t="str">
        <f t="shared" si="35"/>
        <v>1-4-1S83°</v>
      </c>
      <c r="AV231" s="1078" t="str">
        <f t="shared" si="28"/>
        <v>109.1.22</v>
      </c>
      <c r="AW231" s="1344">
        <f t="shared" si="29"/>
        <v>43852</v>
      </c>
    </row>
    <row r="232" spans="1:49">
      <c r="A232" s="1077" t="s">
        <v>2399</v>
      </c>
      <c r="B232" s="1077" t="s">
        <v>424</v>
      </c>
      <c r="C232" s="1077">
        <v>700</v>
      </c>
      <c r="D232" s="1077">
        <v>1.7749999999999999</v>
      </c>
      <c r="E232" s="1077" t="s">
        <v>15089</v>
      </c>
      <c r="F232" s="1077" t="s">
        <v>1897</v>
      </c>
      <c r="G232" s="1077" t="s">
        <v>1767</v>
      </c>
      <c r="H232" s="1077" t="s">
        <v>2400</v>
      </c>
      <c r="I232" s="1077" t="s">
        <v>626</v>
      </c>
      <c r="J232" s="1077">
        <v>4</v>
      </c>
      <c r="K232" s="1077" t="s">
        <v>2394</v>
      </c>
      <c r="L232" s="1077" t="s">
        <v>1938</v>
      </c>
      <c r="M232" s="1077">
        <v>75.599999999999994</v>
      </c>
      <c r="N232" s="1077" t="s">
        <v>945</v>
      </c>
      <c r="O232" s="1077">
        <v>1.89</v>
      </c>
      <c r="P232" s="1077">
        <v>1.512</v>
      </c>
      <c r="Q232" s="1077" t="s">
        <v>2401</v>
      </c>
      <c r="R232" s="1077">
        <v>18.600000000000001</v>
      </c>
      <c r="T232" s="1077">
        <v>18.8</v>
      </c>
      <c r="U232" s="1077">
        <v>2.9</v>
      </c>
      <c r="V232" s="1077" t="s">
        <v>648</v>
      </c>
      <c r="W232" s="1077">
        <v>150</v>
      </c>
      <c r="X232" s="1077" t="s">
        <v>2402</v>
      </c>
      <c r="Y232" s="1077">
        <v>2.1</v>
      </c>
      <c r="Z232" s="1077">
        <v>4</v>
      </c>
      <c r="AA232" s="1077" t="s">
        <v>2403</v>
      </c>
      <c r="AB232" s="1077" t="s">
        <v>981</v>
      </c>
      <c r="AH232" s="1077" t="s">
        <v>482</v>
      </c>
      <c r="AM232" s="1078" t="s">
        <v>9511</v>
      </c>
      <c r="AN232" s="1078" t="s">
        <v>9512</v>
      </c>
      <c r="AO232" s="1078">
        <f t="shared" si="30"/>
        <v>700</v>
      </c>
      <c r="AP232" s="1078">
        <f t="shared" si="31"/>
        <v>1.7749999999999999</v>
      </c>
      <c r="AQ232" s="1078" t="str">
        <f t="shared" si="32"/>
        <v>1-4-1S83°</v>
      </c>
      <c r="AR232" s="1078" t="str">
        <f t="shared" si="33"/>
        <v>30.8</v>
      </c>
      <c r="AS232" s="1078" t="str">
        <f t="shared" si="34"/>
        <v>290/290/149</v>
      </c>
      <c r="AT232" s="1078" t="str">
        <f t="shared" si="35"/>
        <v>1-4-1S83°</v>
      </c>
      <c r="AV232" s="1078" t="str">
        <f t="shared" si="28"/>
        <v>109.2.3</v>
      </c>
      <c r="AW232" s="1344">
        <f t="shared" si="29"/>
        <v>43864</v>
      </c>
    </row>
    <row r="233" spans="1:49">
      <c r="A233" s="1077" t="s">
        <v>2404</v>
      </c>
      <c r="B233" s="1077" t="s">
        <v>424</v>
      </c>
      <c r="C233" s="1077">
        <v>750</v>
      </c>
      <c r="D233" s="1077">
        <v>1.73</v>
      </c>
      <c r="E233" s="1077" t="s">
        <v>15089</v>
      </c>
      <c r="F233" s="1077" t="s">
        <v>1897</v>
      </c>
      <c r="G233" s="1077" t="s">
        <v>1767</v>
      </c>
      <c r="H233" s="1077" t="s">
        <v>2405</v>
      </c>
      <c r="I233" s="1077" t="s">
        <v>126</v>
      </c>
      <c r="J233" s="1077">
        <v>1.4</v>
      </c>
      <c r="K233" s="1077" t="s">
        <v>2406</v>
      </c>
      <c r="L233" s="1077" t="s">
        <v>1938</v>
      </c>
      <c r="M233" s="1077">
        <v>77</v>
      </c>
      <c r="N233" s="1077" t="s">
        <v>945</v>
      </c>
      <c r="O233" s="1077">
        <v>1.925</v>
      </c>
      <c r="P233" s="1077">
        <v>1.54</v>
      </c>
      <c r="Q233" s="1077" t="s">
        <v>2407</v>
      </c>
      <c r="R233" s="1077">
        <v>24</v>
      </c>
      <c r="T233" s="1077">
        <v>19</v>
      </c>
      <c r="U233" s="1077">
        <v>1.8</v>
      </c>
      <c r="V233" s="1077" t="s">
        <v>648</v>
      </c>
      <c r="W233" s="1077">
        <v>110</v>
      </c>
      <c r="X233" s="1077">
        <v>60</v>
      </c>
      <c r="Y233" s="1077">
        <v>1.7</v>
      </c>
      <c r="Z233" s="1077">
        <v>3.5</v>
      </c>
      <c r="AA233" s="1077" t="s">
        <v>2408</v>
      </c>
      <c r="AB233" s="1077" t="s">
        <v>981</v>
      </c>
      <c r="AH233" s="1077" t="s">
        <v>994</v>
      </c>
      <c r="AM233" s="1078" t="s">
        <v>9513</v>
      </c>
      <c r="AN233" s="1078" t="s">
        <v>9514</v>
      </c>
      <c r="AO233" s="1078">
        <f t="shared" si="30"/>
        <v>750</v>
      </c>
      <c r="AP233" s="1078">
        <f t="shared" si="31"/>
        <v>1.73</v>
      </c>
      <c r="AQ233" s="1078" t="str">
        <f t="shared" si="32"/>
        <v>1-4-1S83°</v>
      </c>
      <c r="AR233" s="1078" t="str">
        <f t="shared" si="33"/>
        <v>30.8</v>
      </c>
      <c r="AS233" s="1078" t="str">
        <f t="shared" si="34"/>
        <v>300/300/170</v>
      </c>
      <c r="AT233" s="1078" t="str">
        <f t="shared" si="35"/>
        <v>1-4-1S83°</v>
      </c>
      <c r="AV233" s="1078" t="str">
        <f t="shared" si="28"/>
        <v>109.2.17</v>
      </c>
      <c r="AW233" s="1344">
        <f t="shared" si="29"/>
        <v>43878</v>
      </c>
    </row>
    <row r="234" spans="1:49">
      <c r="A234" s="1077" t="s">
        <v>2409</v>
      </c>
      <c r="B234" s="1077" t="s">
        <v>424</v>
      </c>
      <c r="C234" s="1077">
        <v>750</v>
      </c>
      <c r="D234" s="1077">
        <v>1.73</v>
      </c>
      <c r="E234" s="1077" t="s">
        <v>15089</v>
      </c>
      <c r="F234" s="1077" t="s">
        <v>1897</v>
      </c>
      <c r="G234" s="1077" t="s">
        <v>1767</v>
      </c>
      <c r="H234" s="1077" t="s">
        <v>2405</v>
      </c>
      <c r="I234" s="1077" t="s">
        <v>126</v>
      </c>
      <c r="J234" s="1077">
        <v>1.4</v>
      </c>
      <c r="K234" s="1077" t="s">
        <v>2410</v>
      </c>
      <c r="L234" s="1077" t="s">
        <v>1938</v>
      </c>
      <c r="M234" s="1077">
        <v>77</v>
      </c>
      <c r="N234" s="1077" t="s">
        <v>945</v>
      </c>
      <c r="O234" s="1077">
        <v>1.925</v>
      </c>
      <c r="P234" s="1077">
        <v>1.54</v>
      </c>
      <c r="Q234" s="1077" t="s">
        <v>2407</v>
      </c>
      <c r="R234" s="1077">
        <v>24</v>
      </c>
      <c r="T234" s="1077">
        <v>19</v>
      </c>
      <c r="U234" s="1077">
        <v>1.8</v>
      </c>
      <c r="V234" s="1077" t="s">
        <v>648</v>
      </c>
      <c r="W234" s="1077">
        <v>110</v>
      </c>
      <c r="X234" s="1077">
        <v>60</v>
      </c>
      <c r="Y234" s="1077">
        <v>1.7</v>
      </c>
      <c r="Z234" s="1077">
        <v>3.5</v>
      </c>
      <c r="AA234" s="1077" t="s">
        <v>2411</v>
      </c>
      <c r="AB234" s="1077" t="s">
        <v>981</v>
      </c>
      <c r="AH234" s="1077" t="s">
        <v>762</v>
      </c>
      <c r="AM234" s="1078" t="s">
        <v>9515</v>
      </c>
      <c r="AN234" s="1078" t="s">
        <v>9516</v>
      </c>
      <c r="AO234" s="1078">
        <f t="shared" si="30"/>
        <v>750</v>
      </c>
      <c r="AP234" s="1078">
        <f t="shared" si="31"/>
        <v>1.73</v>
      </c>
      <c r="AQ234" s="1078" t="str">
        <f t="shared" si="32"/>
        <v>1-4-1S83°</v>
      </c>
      <c r="AR234" s="1078" t="str">
        <f t="shared" si="33"/>
        <v>30.8</v>
      </c>
      <c r="AS234" s="1078" t="str">
        <f t="shared" si="34"/>
        <v>300/300/170</v>
      </c>
      <c r="AT234" s="1078" t="str">
        <f t="shared" si="35"/>
        <v>1-4-1S83°</v>
      </c>
      <c r="AV234" s="1078" t="str">
        <f t="shared" si="28"/>
        <v>109.5.20</v>
      </c>
      <c r="AW234" s="1344">
        <f t="shared" si="29"/>
        <v>43971</v>
      </c>
    </row>
    <row r="235" spans="1:49">
      <c r="A235" s="1077" t="s">
        <v>2412</v>
      </c>
      <c r="B235" s="1077" t="s">
        <v>424</v>
      </c>
      <c r="C235" s="1077">
        <v>750</v>
      </c>
      <c r="D235" s="1077">
        <v>1.78</v>
      </c>
      <c r="E235" s="1077" t="s">
        <v>15089</v>
      </c>
      <c r="F235" s="1077" t="s">
        <v>1469</v>
      </c>
      <c r="G235" s="1077" t="s">
        <v>1767</v>
      </c>
      <c r="H235" s="1077" t="s">
        <v>2192</v>
      </c>
      <c r="I235" s="1077" t="s">
        <v>1112</v>
      </c>
      <c r="J235" s="1077">
        <v>1.5</v>
      </c>
      <c r="K235" s="1077" t="s">
        <v>2389</v>
      </c>
      <c r="L235" s="1077" t="s">
        <v>1938</v>
      </c>
      <c r="M235" s="1077">
        <v>73</v>
      </c>
      <c r="N235" s="1077" t="s">
        <v>945</v>
      </c>
      <c r="O235" s="1077">
        <v>1.8250000000000002</v>
      </c>
      <c r="P235" s="1077">
        <v>1.46</v>
      </c>
      <c r="Q235" s="1077" t="s">
        <v>1037</v>
      </c>
      <c r="R235" s="1077">
        <v>21.6</v>
      </c>
      <c r="T235" s="1077">
        <v>32</v>
      </c>
      <c r="U235" s="1077">
        <v>3.5</v>
      </c>
      <c r="V235" s="1077" t="s">
        <v>648</v>
      </c>
      <c r="W235" s="1077">
        <v>110</v>
      </c>
      <c r="X235" s="1077">
        <v>60</v>
      </c>
      <c r="Y235" s="1077">
        <v>1.5</v>
      </c>
      <c r="Z235" s="1077" t="s">
        <v>2413</v>
      </c>
      <c r="AA235" s="1077" t="s">
        <v>957</v>
      </c>
      <c r="AH235" s="1077" t="s">
        <v>803</v>
      </c>
      <c r="AM235" s="1078" t="s">
        <v>9517</v>
      </c>
      <c r="AN235" s="1078" t="s">
        <v>9518</v>
      </c>
      <c r="AO235" s="1078">
        <f t="shared" si="30"/>
        <v>750</v>
      </c>
      <c r="AP235" s="1078">
        <f t="shared" si="31"/>
        <v>1.78</v>
      </c>
      <c r="AQ235" s="1078" t="str">
        <f t="shared" si="32"/>
        <v>1-4-1S83°</v>
      </c>
      <c r="AR235" s="1078" t="str">
        <f t="shared" si="33"/>
        <v>30.5</v>
      </c>
      <c r="AS235" s="1078" t="str">
        <f t="shared" si="34"/>
        <v>180/OFF</v>
      </c>
      <c r="AT235" s="1078" t="str">
        <f t="shared" si="35"/>
        <v>1-4-1S83°</v>
      </c>
      <c r="AV235" s="1078" t="str">
        <f t="shared" si="28"/>
        <v>109.6.1</v>
      </c>
      <c r="AW235" s="1344">
        <f t="shared" si="29"/>
        <v>43983</v>
      </c>
    </row>
    <row r="236" spans="1:49">
      <c r="A236" s="1077" t="s">
        <v>2414</v>
      </c>
      <c r="B236" s="1077" t="s">
        <v>424</v>
      </c>
      <c r="C236" s="1077">
        <v>650</v>
      </c>
      <c r="D236" s="1077">
        <v>1.73</v>
      </c>
      <c r="E236" s="1077" t="s">
        <v>15089</v>
      </c>
      <c r="F236" s="1077" t="s">
        <v>1897</v>
      </c>
      <c r="G236" s="1077" t="s">
        <v>1767</v>
      </c>
      <c r="H236" s="1077" t="s">
        <v>2415</v>
      </c>
      <c r="I236" s="1077" t="s">
        <v>126</v>
      </c>
      <c r="J236" s="1077">
        <v>1.4</v>
      </c>
      <c r="K236" s="1077" t="s">
        <v>2410</v>
      </c>
      <c r="L236" s="1077" t="s">
        <v>1938</v>
      </c>
      <c r="M236" s="1077">
        <v>77</v>
      </c>
      <c r="N236" s="1077" t="s">
        <v>945</v>
      </c>
      <c r="O236" s="1077">
        <v>1.925</v>
      </c>
      <c r="P236" s="1077">
        <v>1.54</v>
      </c>
      <c r="Q236" s="1077" t="s">
        <v>2416</v>
      </c>
      <c r="R236" s="1077">
        <v>24</v>
      </c>
      <c r="T236" s="1077">
        <v>19</v>
      </c>
      <c r="U236" s="1077">
        <v>1.8</v>
      </c>
      <c r="V236" s="1077" t="s">
        <v>648</v>
      </c>
      <c r="W236" s="1077">
        <v>110</v>
      </c>
      <c r="X236" s="1077">
        <v>60</v>
      </c>
      <c r="Y236" s="1077">
        <v>1.7</v>
      </c>
      <c r="Z236" s="1077">
        <v>3.5</v>
      </c>
      <c r="AA236" s="1077" t="s">
        <v>2417</v>
      </c>
      <c r="AB236" s="1077" t="s">
        <v>981</v>
      </c>
      <c r="AH236" s="1077" t="s">
        <v>1448</v>
      </c>
      <c r="AM236" s="1078" t="s">
        <v>9519</v>
      </c>
      <c r="AN236" s="1078" t="s">
        <v>9520</v>
      </c>
      <c r="AO236" s="1078">
        <f t="shared" si="30"/>
        <v>650</v>
      </c>
      <c r="AP236" s="1078">
        <f t="shared" si="31"/>
        <v>1.73</v>
      </c>
      <c r="AQ236" s="1078" t="str">
        <f t="shared" si="32"/>
        <v>1-4-1S83°</v>
      </c>
      <c r="AR236" s="1078" t="str">
        <f t="shared" si="33"/>
        <v>30.8</v>
      </c>
      <c r="AS236" s="1078" t="str">
        <f t="shared" si="34"/>
        <v>280/280/170</v>
      </c>
      <c r="AT236" s="1078" t="str">
        <f t="shared" si="35"/>
        <v>1-4-1S83°</v>
      </c>
      <c r="AV236" s="1078" t="str">
        <f t="shared" si="28"/>
        <v>109.7.20</v>
      </c>
      <c r="AW236" s="1344">
        <f t="shared" si="29"/>
        <v>44032</v>
      </c>
    </row>
    <row r="237" spans="1:49">
      <c r="A237" s="1077" t="s">
        <v>2418</v>
      </c>
      <c r="B237" s="1077" t="s">
        <v>424</v>
      </c>
      <c r="C237" s="1077">
        <v>700</v>
      </c>
      <c r="D237" s="1077">
        <v>1.73</v>
      </c>
      <c r="E237" s="1077" t="s">
        <v>15089</v>
      </c>
      <c r="F237" s="1077" t="s">
        <v>1897</v>
      </c>
      <c r="G237" s="1077" t="s">
        <v>1767</v>
      </c>
      <c r="H237" s="1077" t="s">
        <v>2419</v>
      </c>
      <c r="I237" s="1077" t="s">
        <v>126</v>
      </c>
      <c r="J237" s="1077">
        <v>1.4</v>
      </c>
      <c r="K237" s="1077" t="s">
        <v>2410</v>
      </c>
      <c r="L237" s="1077" t="s">
        <v>1938</v>
      </c>
      <c r="M237" s="1077">
        <v>77</v>
      </c>
      <c r="N237" s="1077" t="s">
        <v>945</v>
      </c>
      <c r="O237" s="1077">
        <v>1.925</v>
      </c>
      <c r="P237" s="1077">
        <v>1.54</v>
      </c>
      <c r="Q237" s="1077" t="s">
        <v>2416</v>
      </c>
      <c r="R237" s="1077">
        <v>24</v>
      </c>
      <c r="T237" s="1077">
        <v>19</v>
      </c>
      <c r="U237" s="1077">
        <v>1.8</v>
      </c>
      <c r="V237" s="1077" t="s">
        <v>648</v>
      </c>
      <c r="W237" s="1077">
        <v>110</v>
      </c>
      <c r="X237" s="1077">
        <v>60</v>
      </c>
      <c r="Y237" s="1077">
        <v>1.7</v>
      </c>
      <c r="Z237" s="1077">
        <v>3.5</v>
      </c>
      <c r="AA237" s="1077" t="s">
        <v>1294</v>
      </c>
      <c r="AB237" s="1077" t="s">
        <v>981</v>
      </c>
      <c r="AH237" s="1077" t="s">
        <v>680</v>
      </c>
      <c r="AM237" s="1078" t="s">
        <v>9521</v>
      </c>
      <c r="AN237" s="1078" t="s">
        <v>9522</v>
      </c>
      <c r="AO237" s="1078">
        <f t="shared" si="30"/>
        <v>700</v>
      </c>
      <c r="AP237" s="1078">
        <f t="shared" si="31"/>
        <v>1.73</v>
      </c>
      <c r="AQ237" s="1078" t="str">
        <f t="shared" si="32"/>
        <v>1-4-1S83°</v>
      </c>
      <c r="AR237" s="1078" t="str">
        <f t="shared" si="33"/>
        <v>30.8</v>
      </c>
      <c r="AS237" s="1078" t="str">
        <f t="shared" si="34"/>
        <v>290/290/170</v>
      </c>
      <c r="AT237" s="1078" t="str">
        <f t="shared" si="35"/>
        <v>1-4-1S83°</v>
      </c>
      <c r="AV237" s="1078" t="str">
        <f t="shared" si="28"/>
        <v>109.6.30</v>
      </c>
      <c r="AW237" s="1344">
        <f t="shared" si="29"/>
        <v>44012</v>
      </c>
    </row>
    <row r="238" spans="1:49">
      <c r="A238" s="1077" t="s">
        <v>2420</v>
      </c>
      <c r="B238" s="1077" t="s">
        <v>424</v>
      </c>
      <c r="C238" s="1077">
        <v>700</v>
      </c>
      <c r="D238" s="1077">
        <v>1.7749999999999999</v>
      </c>
      <c r="E238" s="1077" t="s">
        <v>15089</v>
      </c>
      <c r="F238" s="1077" t="s">
        <v>1897</v>
      </c>
      <c r="G238" s="1077" t="s">
        <v>1767</v>
      </c>
      <c r="H238" s="1077" t="s">
        <v>2400</v>
      </c>
      <c r="I238" s="1077" t="s">
        <v>626</v>
      </c>
      <c r="J238" s="1077">
        <v>4</v>
      </c>
      <c r="K238" s="1077" t="s">
        <v>2421</v>
      </c>
      <c r="L238" s="1077" t="s">
        <v>1938</v>
      </c>
      <c r="M238" s="1077">
        <v>75.599999999999994</v>
      </c>
      <c r="N238" s="1077" t="s">
        <v>945</v>
      </c>
      <c r="O238" s="1077">
        <v>1.89</v>
      </c>
      <c r="P238" s="1077">
        <v>1.512</v>
      </c>
      <c r="Q238" s="1077" t="s">
        <v>2422</v>
      </c>
      <c r="R238" s="1077">
        <v>18.600000000000001</v>
      </c>
      <c r="T238" s="1077">
        <v>18.8</v>
      </c>
      <c r="U238" s="1077">
        <v>2.9</v>
      </c>
      <c r="V238" s="1077" t="s">
        <v>648</v>
      </c>
      <c r="W238" s="1077">
        <v>150</v>
      </c>
      <c r="X238" s="1077" t="s">
        <v>2402</v>
      </c>
      <c r="Y238" s="1077">
        <v>2.1</v>
      </c>
      <c r="Z238" s="1077">
        <v>4</v>
      </c>
      <c r="AA238" s="1077" t="s">
        <v>2423</v>
      </c>
      <c r="AB238" s="1077" t="s">
        <v>981</v>
      </c>
      <c r="AH238" s="1077" t="s">
        <v>762</v>
      </c>
      <c r="AM238" s="1078" t="s">
        <v>9523</v>
      </c>
      <c r="AN238" s="1078" t="s">
        <v>9524</v>
      </c>
      <c r="AO238" s="1078">
        <f t="shared" si="30"/>
        <v>700</v>
      </c>
      <c r="AP238" s="1078">
        <f t="shared" si="31"/>
        <v>1.7749999999999999</v>
      </c>
      <c r="AQ238" s="1078" t="str">
        <f t="shared" si="32"/>
        <v>1-4-1S83°</v>
      </c>
      <c r="AR238" s="1078" t="str">
        <f t="shared" si="33"/>
        <v>30.8</v>
      </c>
      <c r="AS238" s="1078" t="str">
        <f t="shared" si="34"/>
        <v>290/290/149</v>
      </c>
      <c r="AT238" s="1078" t="str">
        <f t="shared" si="35"/>
        <v>1-4-1S83°</v>
      </c>
      <c r="AV238" s="1078" t="str">
        <f t="shared" si="28"/>
        <v>109.7.29</v>
      </c>
      <c r="AW238" s="1344">
        <f t="shared" si="29"/>
        <v>44041</v>
      </c>
    </row>
    <row r="239" spans="1:49">
      <c r="A239" s="1077" t="s">
        <v>2424</v>
      </c>
      <c r="B239" s="1077" t="s">
        <v>453</v>
      </c>
      <c r="C239" s="1077">
        <v>650</v>
      </c>
      <c r="D239" s="1077">
        <v>1.7</v>
      </c>
      <c r="E239" s="1077" t="s">
        <v>15089</v>
      </c>
      <c r="F239" s="1077" t="s">
        <v>984</v>
      </c>
      <c r="G239" s="1077" t="s">
        <v>1767</v>
      </c>
      <c r="H239" s="1077" t="s">
        <v>1831</v>
      </c>
      <c r="I239" s="1077" t="s">
        <v>126</v>
      </c>
      <c r="J239" s="1077">
        <v>1</v>
      </c>
      <c r="K239" s="1077" t="s">
        <v>2425</v>
      </c>
      <c r="L239" s="1077" t="s">
        <v>1776</v>
      </c>
      <c r="M239" s="1077">
        <v>77</v>
      </c>
      <c r="N239" s="1077" t="s">
        <v>945</v>
      </c>
      <c r="O239" s="1077">
        <v>1.925</v>
      </c>
      <c r="P239" s="1077">
        <v>1.54</v>
      </c>
      <c r="Q239" s="1077" t="s">
        <v>2407</v>
      </c>
      <c r="R239" s="1077">
        <v>24</v>
      </c>
      <c r="T239" s="1077">
        <v>9</v>
      </c>
      <c r="U239" s="1077">
        <v>2.2000000000000002</v>
      </c>
      <c r="V239" s="1077" t="s">
        <v>648</v>
      </c>
      <c r="W239" s="1077">
        <v>110</v>
      </c>
      <c r="X239" s="1077" t="s">
        <v>1130</v>
      </c>
      <c r="Y239" s="1077">
        <v>2.1</v>
      </c>
      <c r="Z239" s="1077">
        <v>2.5</v>
      </c>
      <c r="AA239" s="1077" t="s">
        <v>2426</v>
      </c>
      <c r="AB239" s="1077" t="s">
        <v>981</v>
      </c>
      <c r="AH239" s="1077" t="s">
        <v>2427</v>
      </c>
      <c r="AM239" s="1078" t="s">
        <v>9525</v>
      </c>
      <c r="AN239" s="1078" t="s">
        <v>9526</v>
      </c>
      <c r="AO239" s="1078">
        <f t="shared" si="30"/>
        <v>650</v>
      </c>
      <c r="AP239" s="1078">
        <f t="shared" si="31"/>
        <v>1.7</v>
      </c>
      <c r="AQ239" s="1078" t="str">
        <f t="shared" si="32"/>
        <v>1-4-1S83°</v>
      </c>
      <c r="AR239" s="1078" t="str">
        <f t="shared" si="33"/>
        <v>30</v>
      </c>
      <c r="AS239" s="1078" t="str">
        <f t="shared" si="34"/>
        <v>260/260/165</v>
      </c>
      <c r="AT239" s="1078" t="str">
        <f t="shared" si="35"/>
        <v>1-4-1S83°</v>
      </c>
      <c r="AV239" s="1078" t="str">
        <f t="shared" si="28"/>
        <v>109.7.14</v>
      </c>
      <c r="AW239" s="1344">
        <f t="shared" si="29"/>
        <v>44026</v>
      </c>
    </row>
    <row r="240" spans="1:49">
      <c r="A240" s="1077" t="s">
        <v>2428</v>
      </c>
      <c r="B240" s="1077" t="s">
        <v>453</v>
      </c>
      <c r="C240" s="1077">
        <v>600</v>
      </c>
      <c r="D240" s="1077">
        <v>1.704</v>
      </c>
      <c r="E240" s="1077" t="s">
        <v>15091</v>
      </c>
      <c r="F240" s="1077" t="s">
        <v>975</v>
      </c>
      <c r="G240" s="1077" t="s">
        <v>1767</v>
      </c>
      <c r="H240" s="1077" t="s">
        <v>2359</v>
      </c>
      <c r="I240" s="1077" t="s">
        <v>1167</v>
      </c>
      <c r="J240" s="1077">
        <v>0.9</v>
      </c>
      <c r="K240" s="1077" t="s">
        <v>2429</v>
      </c>
      <c r="L240" s="1077" t="s">
        <v>2430</v>
      </c>
      <c r="M240" s="1077">
        <v>75</v>
      </c>
      <c r="N240" s="1077" t="s">
        <v>945</v>
      </c>
      <c r="O240" s="1077">
        <v>1.875</v>
      </c>
      <c r="P240" s="1077">
        <v>1.5</v>
      </c>
      <c r="Q240" s="1077" t="s">
        <v>961</v>
      </c>
      <c r="R240" s="1077">
        <v>23</v>
      </c>
      <c r="T240" s="1077">
        <v>19</v>
      </c>
      <c r="U240" s="1077">
        <v>3.8</v>
      </c>
      <c r="V240" s="1077" t="s">
        <v>648</v>
      </c>
      <c r="W240" s="1077">
        <v>110</v>
      </c>
      <c r="X240" s="1077">
        <v>70</v>
      </c>
      <c r="Y240" s="1077">
        <v>2</v>
      </c>
      <c r="Z240" s="1077" t="s">
        <v>2431</v>
      </c>
      <c r="AA240" s="1077" t="s">
        <v>2417</v>
      </c>
      <c r="AH240" s="1077" t="s">
        <v>1771</v>
      </c>
      <c r="AM240" s="1078" t="s">
        <v>9527</v>
      </c>
      <c r="AN240" s="1078" t="s">
        <v>9528</v>
      </c>
      <c r="AO240" s="1078">
        <f t="shared" si="30"/>
        <v>600</v>
      </c>
      <c r="AP240" s="1078">
        <f t="shared" si="31"/>
        <v>1.704</v>
      </c>
      <c r="AQ240" s="1078" t="str">
        <f t="shared" si="32"/>
        <v>2-5-1S83°</v>
      </c>
      <c r="AR240" s="1078" t="str">
        <f t="shared" si="33"/>
        <v>31.5</v>
      </c>
      <c r="AS240" s="1078" t="str">
        <f t="shared" si="34"/>
        <v>174/OFF</v>
      </c>
      <c r="AT240" s="1078" t="str">
        <f t="shared" si="35"/>
        <v>2-5-1S83°</v>
      </c>
      <c r="AV240" s="1078" t="str">
        <f t="shared" si="28"/>
        <v>109.7.20</v>
      </c>
      <c r="AW240" s="1344">
        <f t="shared" si="29"/>
        <v>44032</v>
      </c>
    </row>
    <row r="241" spans="1:49">
      <c r="A241" s="1077" t="s">
        <v>2432</v>
      </c>
      <c r="B241" s="1077" t="s">
        <v>453</v>
      </c>
      <c r="C241" s="1077">
        <v>650</v>
      </c>
      <c r="D241" s="1077">
        <v>1.7</v>
      </c>
      <c r="E241" s="1077" t="s">
        <v>15089</v>
      </c>
      <c r="F241" s="1077" t="s">
        <v>984</v>
      </c>
      <c r="G241" s="1077" t="s">
        <v>1767</v>
      </c>
      <c r="H241" s="1077" t="s">
        <v>1831</v>
      </c>
      <c r="I241" s="1077" t="s">
        <v>126</v>
      </c>
      <c r="J241" s="1077">
        <v>1</v>
      </c>
      <c r="K241" s="1077" t="s">
        <v>2433</v>
      </c>
      <c r="L241" s="1077" t="s">
        <v>1776</v>
      </c>
      <c r="M241" s="1077">
        <v>77</v>
      </c>
      <c r="N241" s="1077" t="s">
        <v>945</v>
      </c>
      <c r="O241" s="1077">
        <v>1.925</v>
      </c>
      <c r="P241" s="1077">
        <v>1.54</v>
      </c>
      <c r="Q241" s="1077" t="s">
        <v>2434</v>
      </c>
      <c r="R241" s="1077">
        <v>24</v>
      </c>
      <c r="T241" s="1077">
        <v>9</v>
      </c>
      <c r="U241" s="1077">
        <v>2.2000000000000002</v>
      </c>
      <c r="V241" s="1077" t="s">
        <v>648</v>
      </c>
      <c r="W241" s="1077">
        <v>110</v>
      </c>
      <c r="X241" s="1077" t="s">
        <v>1130</v>
      </c>
      <c r="Y241" s="1077">
        <v>2.1</v>
      </c>
      <c r="Z241" s="1077">
        <v>2.5</v>
      </c>
      <c r="AA241" s="1077" t="s">
        <v>2435</v>
      </c>
      <c r="AB241" s="1077" t="s">
        <v>981</v>
      </c>
      <c r="AH241" s="1077" t="s">
        <v>619</v>
      </c>
      <c r="AM241" s="1078" t="s">
        <v>9529</v>
      </c>
      <c r="AN241" s="1078" t="s">
        <v>9530</v>
      </c>
      <c r="AO241" s="1078">
        <f t="shared" si="30"/>
        <v>650</v>
      </c>
      <c r="AP241" s="1078">
        <f t="shared" si="31"/>
        <v>1.7</v>
      </c>
      <c r="AQ241" s="1078" t="str">
        <f t="shared" si="32"/>
        <v>1-4-1S83°</v>
      </c>
      <c r="AR241" s="1078" t="str">
        <f t="shared" si="33"/>
        <v>30</v>
      </c>
      <c r="AS241" s="1078" t="str">
        <f t="shared" si="34"/>
        <v>260/260/165</v>
      </c>
      <c r="AT241" s="1078" t="str">
        <f t="shared" si="35"/>
        <v>1-4-1S83°</v>
      </c>
      <c r="AV241" s="1078" t="str">
        <f t="shared" si="28"/>
        <v>109.7.31</v>
      </c>
      <c r="AW241" s="1344">
        <f t="shared" si="29"/>
        <v>44043</v>
      </c>
    </row>
    <row r="242" spans="1:49">
      <c r="A242" s="1077" t="s">
        <v>2436</v>
      </c>
      <c r="B242" s="1077" t="s">
        <v>453</v>
      </c>
      <c r="C242" s="1077">
        <v>650</v>
      </c>
      <c r="D242" s="1077">
        <v>1.7</v>
      </c>
      <c r="E242" s="1077" t="s">
        <v>15089</v>
      </c>
      <c r="F242" s="1077" t="s">
        <v>984</v>
      </c>
      <c r="G242" s="1077" t="s">
        <v>1767</v>
      </c>
      <c r="H242" s="1077" t="s">
        <v>1831</v>
      </c>
      <c r="I242" s="1077" t="s">
        <v>126</v>
      </c>
      <c r="J242" s="1077">
        <v>1</v>
      </c>
      <c r="K242" s="1077" t="s">
        <v>2433</v>
      </c>
      <c r="L242" s="1077" t="s">
        <v>1776</v>
      </c>
      <c r="M242" s="1077">
        <v>77</v>
      </c>
      <c r="N242" s="1077" t="s">
        <v>945</v>
      </c>
      <c r="O242" s="1077">
        <v>1.925</v>
      </c>
      <c r="P242" s="1077">
        <v>1.54</v>
      </c>
      <c r="Q242" s="1077" t="s">
        <v>2437</v>
      </c>
      <c r="R242" s="1077">
        <v>24</v>
      </c>
      <c r="T242" s="1077">
        <v>9</v>
      </c>
      <c r="U242" s="1077">
        <v>2.2000000000000002</v>
      </c>
      <c r="V242" s="1077" t="s">
        <v>648</v>
      </c>
      <c r="W242" s="1077">
        <v>110</v>
      </c>
      <c r="X242" s="1077" t="s">
        <v>1130</v>
      </c>
      <c r="Y242" s="1077">
        <v>2.1</v>
      </c>
      <c r="Z242" s="1077">
        <v>2.5</v>
      </c>
      <c r="AA242" s="1077" t="s">
        <v>2438</v>
      </c>
      <c r="AB242" s="1077" t="s">
        <v>981</v>
      </c>
      <c r="AH242" s="1077" t="s">
        <v>1452</v>
      </c>
      <c r="AM242" s="1078" t="s">
        <v>9531</v>
      </c>
      <c r="AN242" s="1078" t="s">
        <v>9532</v>
      </c>
      <c r="AO242" s="1078">
        <f t="shared" si="30"/>
        <v>650</v>
      </c>
      <c r="AP242" s="1078">
        <f t="shared" si="31"/>
        <v>1.7</v>
      </c>
      <c r="AQ242" s="1078" t="str">
        <f t="shared" si="32"/>
        <v>1-4-1S83°</v>
      </c>
      <c r="AR242" s="1078" t="str">
        <f t="shared" si="33"/>
        <v>30</v>
      </c>
      <c r="AS242" s="1078" t="str">
        <f t="shared" si="34"/>
        <v>260/260/165</v>
      </c>
      <c r="AT242" s="1078" t="str">
        <f t="shared" si="35"/>
        <v>1-4-1S83°</v>
      </c>
      <c r="AV242" s="1078" t="str">
        <f t="shared" si="28"/>
        <v>109.8.7</v>
      </c>
      <c r="AW242" s="1344">
        <f t="shared" si="29"/>
        <v>44050</v>
      </c>
    </row>
    <row r="243" spans="1:49">
      <c r="A243" s="1077" t="s">
        <v>2439</v>
      </c>
      <c r="B243" s="1077" t="s">
        <v>453</v>
      </c>
      <c r="C243" s="1077">
        <v>650</v>
      </c>
      <c r="D243" s="1077">
        <v>1.7</v>
      </c>
      <c r="E243" s="1077" t="s">
        <v>15089</v>
      </c>
      <c r="F243" s="1077" t="s">
        <v>984</v>
      </c>
      <c r="G243" s="1077" t="s">
        <v>1767</v>
      </c>
      <c r="H243" s="1077" t="s">
        <v>1831</v>
      </c>
      <c r="I243" s="1077" t="s">
        <v>126</v>
      </c>
      <c r="J243" s="1077">
        <v>1</v>
      </c>
      <c r="K243" s="1077" t="s">
        <v>2440</v>
      </c>
      <c r="L243" s="1077" t="s">
        <v>1776</v>
      </c>
      <c r="M243" s="1077">
        <v>77</v>
      </c>
      <c r="N243" s="1077" t="s">
        <v>945</v>
      </c>
      <c r="O243" s="1077">
        <v>1.925</v>
      </c>
      <c r="P243" s="1077">
        <v>1.54</v>
      </c>
      <c r="Q243" s="1077" t="s">
        <v>2441</v>
      </c>
      <c r="R243" s="1077">
        <v>24</v>
      </c>
      <c r="T243" s="1077">
        <v>9</v>
      </c>
      <c r="U243" s="1077">
        <v>2.2000000000000002</v>
      </c>
      <c r="V243" s="1077" t="s">
        <v>648</v>
      </c>
      <c r="W243" s="1077">
        <v>110</v>
      </c>
      <c r="X243" s="1077" t="s">
        <v>1130</v>
      </c>
      <c r="Y243" s="1077">
        <v>2.1</v>
      </c>
      <c r="Z243" s="1077" t="s">
        <v>2442</v>
      </c>
      <c r="AA243" s="1077" t="s">
        <v>2443</v>
      </c>
      <c r="AB243" s="1077" t="s">
        <v>981</v>
      </c>
      <c r="AH243" s="1077" t="s">
        <v>621</v>
      </c>
      <c r="AM243" s="1078" t="s">
        <v>9533</v>
      </c>
      <c r="AN243" s="1078" t="s">
        <v>9534</v>
      </c>
      <c r="AO243" s="1078">
        <f t="shared" si="30"/>
        <v>650</v>
      </c>
      <c r="AP243" s="1078">
        <f t="shared" si="31"/>
        <v>1.7</v>
      </c>
      <c r="AQ243" s="1078" t="str">
        <f t="shared" si="32"/>
        <v>1-4-1S83°</v>
      </c>
      <c r="AR243" s="1078" t="str">
        <f t="shared" si="33"/>
        <v>30</v>
      </c>
      <c r="AS243" s="1078" t="str">
        <f t="shared" si="34"/>
        <v>260/260/165</v>
      </c>
      <c r="AT243" s="1078" t="str">
        <f t="shared" si="35"/>
        <v>1-4-1S83°</v>
      </c>
      <c r="AV243" s="1078" t="str">
        <f t="shared" si="28"/>
        <v>109.8.28</v>
      </c>
      <c r="AW243" s="1344">
        <f t="shared" si="29"/>
        <v>44071</v>
      </c>
    </row>
    <row r="244" spans="1:49">
      <c r="A244" s="1077" t="s">
        <v>2444</v>
      </c>
      <c r="B244" s="1077" t="s">
        <v>453</v>
      </c>
      <c r="C244" s="1077">
        <v>650</v>
      </c>
      <c r="D244" s="1077">
        <v>1.7</v>
      </c>
      <c r="E244" s="1077" t="s">
        <v>15089</v>
      </c>
      <c r="F244" s="1077" t="s">
        <v>984</v>
      </c>
      <c r="G244" s="1077" t="s">
        <v>1767</v>
      </c>
      <c r="H244" s="1077" t="s">
        <v>1831</v>
      </c>
      <c r="I244" s="1077" t="s">
        <v>126</v>
      </c>
      <c r="J244" s="1077">
        <v>1</v>
      </c>
      <c r="K244" s="1077" t="s">
        <v>2440</v>
      </c>
      <c r="L244" s="1077" t="s">
        <v>1776</v>
      </c>
      <c r="M244" s="1077">
        <v>77</v>
      </c>
      <c r="N244" s="1077" t="s">
        <v>945</v>
      </c>
      <c r="O244" s="1077">
        <v>1.925</v>
      </c>
      <c r="P244" s="1077">
        <v>1.54</v>
      </c>
      <c r="Q244" s="1077" t="s">
        <v>2407</v>
      </c>
      <c r="R244" s="1077">
        <v>24</v>
      </c>
      <c r="T244" s="1077">
        <v>9</v>
      </c>
      <c r="U244" s="1077">
        <v>2.2000000000000002</v>
      </c>
      <c r="V244" s="1077" t="s">
        <v>648</v>
      </c>
      <c r="W244" s="1077">
        <v>110</v>
      </c>
      <c r="X244" s="1077" t="s">
        <v>1130</v>
      </c>
      <c r="Y244" s="1077" t="s">
        <v>2445</v>
      </c>
      <c r="Z244" s="1077">
        <v>2.5</v>
      </c>
      <c r="AA244" s="1077" t="s">
        <v>1340</v>
      </c>
      <c r="AB244" s="1077" t="s">
        <v>981</v>
      </c>
      <c r="AH244" s="1077" t="s">
        <v>994</v>
      </c>
      <c r="AM244" s="1078" t="s">
        <v>9535</v>
      </c>
      <c r="AN244" s="1078" t="s">
        <v>9536</v>
      </c>
      <c r="AO244" s="1078">
        <f t="shared" si="30"/>
        <v>650</v>
      </c>
      <c r="AP244" s="1078">
        <f t="shared" si="31"/>
        <v>1.7</v>
      </c>
      <c r="AQ244" s="1078" t="str">
        <f t="shared" si="32"/>
        <v>1-4-1S83°</v>
      </c>
      <c r="AR244" s="1078" t="str">
        <f t="shared" si="33"/>
        <v>30</v>
      </c>
      <c r="AS244" s="1078" t="str">
        <f t="shared" si="34"/>
        <v>260/260/165</v>
      </c>
      <c r="AT244" s="1078" t="str">
        <f t="shared" si="35"/>
        <v>1-4-1S83°</v>
      </c>
      <c r="AV244" s="1078" t="str">
        <f t="shared" si="28"/>
        <v>109.9.30</v>
      </c>
      <c r="AW244" s="1344">
        <f t="shared" si="29"/>
        <v>44104</v>
      </c>
    </row>
    <row r="245" spans="1:49">
      <c r="A245" s="1077" t="s">
        <v>2446</v>
      </c>
      <c r="B245" s="1077" t="s">
        <v>453</v>
      </c>
      <c r="C245" s="1077">
        <v>700</v>
      </c>
      <c r="D245" s="1077">
        <v>1.66</v>
      </c>
      <c r="E245" s="1077" t="s">
        <v>15088</v>
      </c>
      <c r="F245" s="1077" t="s">
        <v>648</v>
      </c>
      <c r="G245" s="1077" t="s">
        <v>1767</v>
      </c>
      <c r="H245" s="1077" t="s">
        <v>2447</v>
      </c>
      <c r="I245" s="1077" t="s">
        <v>126</v>
      </c>
      <c r="J245" s="1077">
        <v>1.5</v>
      </c>
      <c r="K245" s="1077" t="s">
        <v>2448</v>
      </c>
      <c r="L245" s="1077" t="s">
        <v>1776</v>
      </c>
      <c r="M245" s="1077">
        <v>77</v>
      </c>
      <c r="N245" s="1077" t="s">
        <v>945</v>
      </c>
      <c r="O245" s="1077">
        <v>1.925</v>
      </c>
      <c r="P245" s="1077">
        <v>1.54</v>
      </c>
      <c r="Q245" s="1077" t="s">
        <v>2441</v>
      </c>
      <c r="R245" s="1077">
        <v>24</v>
      </c>
      <c r="T245" s="1077">
        <v>9</v>
      </c>
      <c r="U245" s="1077">
        <v>2.2000000000000002</v>
      </c>
      <c r="V245" s="1077" t="s">
        <v>648</v>
      </c>
      <c r="W245" s="1077">
        <v>110</v>
      </c>
      <c r="X245" s="1077" t="s">
        <v>1130</v>
      </c>
      <c r="Y245" s="1077">
        <v>2.1</v>
      </c>
      <c r="Z245" s="1077" t="s">
        <v>2449</v>
      </c>
      <c r="AA245" s="1077" t="s">
        <v>1193</v>
      </c>
      <c r="AB245" s="1077" t="s">
        <v>981</v>
      </c>
      <c r="AH245" s="1077" t="s">
        <v>1827</v>
      </c>
      <c r="AM245" s="1078" t="s">
        <v>9537</v>
      </c>
      <c r="AN245" s="1078" t="s">
        <v>9538</v>
      </c>
      <c r="AO245" s="1078">
        <f t="shared" si="30"/>
        <v>700</v>
      </c>
      <c r="AP245" s="1078">
        <f t="shared" si="31"/>
        <v>1.66</v>
      </c>
      <c r="AQ245" s="1078" t="str">
        <f t="shared" si="32"/>
        <v>1-4-1S85°</v>
      </c>
      <c r="AR245" s="1078" t="str">
        <f t="shared" si="33"/>
        <v>NA</v>
      </c>
      <c r="AS245" s="1078" t="str">
        <f t="shared" si="34"/>
        <v>180/165</v>
      </c>
      <c r="AT245" s="1078" t="str">
        <f t="shared" si="35"/>
        <v>1-4-1S85°</v>
      </c>
      <c r="AV245" s="1078" t="str">
        <f t="shared" si="28"/>
        <v>109.11.2</v>
      </c>
      <c r="AW245" s="1344">
        <f t="shared" si="29"/>
        <v>44137</v>
      </c>
    </row>
    <row r="246" spans="1:49">
      <c r="A246" s="1077" t="s">
        <v>2450</v>
      </c>
      <c r="B246" s="1077" t="s">
        <v>453</v>
      </c>
      <c r="C246" s="1077">
        <v>650</v>
      </c>
      <c r="D246" s="1077">
        <v>1.7</v>
      </c>
      <c r="E246" s="1077" t="s">
        <v>15089</v>
      </c>
      <c r="F246" s="1077" t="s">
        <v>984</v>
      </c>
      <c r="G246" s="1077" t="s">
        <v>1767</v>
      </c>
      <c r="H246" s="1077" t="s">
        <v>1831</v>
      </c>
      <c r="I246" s="1077" t="s">
        <v>126</v>
      </c>
      <c r="J246" s="1077">
        <v>1</v>
      </c>
      <c r="K246" s="1077" t="s">
        <v>2451</v>
      </c>
      <c r="L246" s="1077" t="s">
        <v>1776</v>
      </c>
      <c r="M246" s="1077">
        <v>77</v>
      </c>
      <c r="N246" s="1077" t="s">
        <v>945</v>
      </c>
      <c r="O246" s="1077">
        <v>1.925</v>
      </c>
      <c r="P246" s="1077">
        <v>1.54</v>
      </c>
      <c r="Q246" s="1077" t="s">
        <v>2407</v>
      </c>
      <c r="R246" s="1077">
        <v>24</v>
      </c>
      <c r="T246" s="1077">
        <v>9</v>
      </c>
      <c r="U246" s="1077">
        <v>2.2000000000000002</v>
      </c>
      <c r="V246" s="1077" t="s">
        <v>648</v>
      </c>
      <c r="W246" s="1077">
        <v>110</v>
      </c>
      <c r="X246" s="1077" t="s">
        <v>1130</v>
      </c>
      <c r="Y246" s="1077">
        <v>2.1</v>
      </c>
      <c r="Z246" s="1077">
        <v>2.5</v>
      </c>
      <c r="AA246" s="1077" t="s">
        <v>2452</v>
      </c>
      <c r="AB246" s="1077" t="s">
        <v>981</v>
      </c>
      <c r="AH246" s="1077" t="s">
        <v>1186</v>
      </c>
      <c r="AM246" s="1078" t="s">
        <v>9539</v>
      </c>
      <c r="AN246" s="1078" t="s">
        <v>9540</v>
      </c>
      <c r="AO246" s="1078">
        <f t="shared" si="30"/>
        <v>650</v>
      </c>
      <c r="AP246" s="1078">
        <f t="shared" si="31"/>
        <v>1.7</v>
      </c>
      <c r="AQ246" s="1078" t="str">
        <f t="shared" si="32"/>
        <v>1-4-1S83°</v>
      </c>
      <c r="AR246" s="1078" t="str">
        <f t="shared" si="33"/>
        <v>30</v>
      </c>
      <c r="AS246" s="1078" t="str">
        <f t="shared" si="34"/>
        <v>260/260/165</v>
      </c>
      <c r="AT246" s="1078" t="str">
        <f t="shared" si="35"/>
        <v>1-4-1S83°</v>
      </c>
      <c r="AV246" s="1078" t="str">
        <f t="shared" si="28"/>
        <v>109.11.9</v>
      </c>
      <c r="AW246" s="1344">
        <f t="shared" si="29"/>
        <v>44144</v>
      </c>
    </row>
    <row r="247" spans="1:49">
      <c r="A247" s="1077" t="s">
        <v>2453</v>
      </c>
      <c r="B247" s="1077" t="s">
        <v>453</v>
      </c>
      <c r="C247" s="1077">
        <v>650</v>
      </c>
      <c r="D247" s="1077">
        <v>1.7</v>
      </c>
      <c r="E247" s="1077" t="s">
        <v>15089</v>
      </c>
      <c r="F247" s="1077" t="s">
        <v>984</v>
      </c>
      <c r="G247" s="1077" t="s">
        <v>1767</v>
      </c>
      <c r="H247" s="1077" t="s">
        <v>1831</v>
      </c>
      <c r="I247" s="1077" t="s">
        <v>126</v>
      </c>
      <c r="J247" s="1077">
        <v>1</v>
      </c>
      <c r="K247" s="1077" t="s">
        <v>2454</v>
      </c>
      <c r="L247" s="1077" t="s">
        <v>1776</v>
      </c>
      <c r="M247" s="1077">
        <v>77</v>
      </c>
      <c r="N247" s="1077" t="s">
        <v>945</v>
      </c>
      <c r="O247" s="1077">
        <v>1.925</v>
      </c>
      <c r="P247" s="1077">
        <v>1.54</v>
      </c>
      <c r="Q247" s="1077" t="s">
        <v>2407</v>
      </c>
      <c r="R247" s="1077">
        <v>24</v>
      </c>
      <c r="T247" s="1077">
        <v>9</v>
      </c>
      <c r="U247" s="1077">
        <v>2.2000000000000002</v>
      </c>
      <c r="V247" s="1077" t="s">
        <v>648</v>
      </c>
      <c r="W247" s="1077">
        <v>110</v>
      </c>
      <c r="X247" s="1077" t="s">
        <v>1130</v>
      </c>
      <c r="Y247" s="1077">
        <v>2.1</v>
      </c>
      <c r="Z247" s="1077">
        <v>2.5</v>
      </c>
      <c r="AA247" s="1077" t="s">
        <v>2455</v>
      </c>
      <c r="AB247" s="1077" t="s">
        <v>981</v>
      </c>
      <c r="AH247" s="1077" t="s">
        <v>990</v>
      </c>
      <c r="AM247" s="1078" t="s">
        <v>9541</v>
      </c>
      <c r="AN247" s="1078" t="s">
        <v>9542</v>
      </c>
      <c r="AO247" s="1078">
        <f t="shared" si="30"/>
        <v>650</v>
      </c>
      <c r="AP247" s="1078">
        <f t="shared" si="31"/>
        <v>1.7</v>
      </c>
      <c r="AQ247" s="1078" t="str">
        <f t="shared" si="32"/>
        <v>1-4-1S83°</v>
      </c>
      <c r="AR247" s="1078" t="str">
        <f t="shared" si="33"/>
        <v>30</v>
      </c>
      <c r="AS247" s="1078" t="str">
        <f t="shared" si="34"/>
        <v>260/260/165</v>
      </c>
      <c r="AT247" s="1078" t="str">
        <f t="shared" si="35"/>
        <v>1-4-1S83°</v>
      </c>
      <c r="AV247" s="1078" t="str">
        <f t="shared" si="28"/>
        <v>109.11.13</v>
      </c>
      <c r="AW247" s="1344">
        <f t="shared" si="29"/>
        <v>44148</v>
      </c>
    </row>
    <row r="248" spans="1:49">
      <c r="A248" s="1077" t="s">
        <v>2456</v>
      </c>
      <c r="B248" s="1077" t="s">
        <v>453</v>
      </c>
      <c r="C248" s="1077">
        <v>650</v>
      </c>
      <c r="D248" s="1077">
        <v>1.69</v>
      </c>
      <c r="E248" s="1077" t="s">
        <v>15093</v>
      </c>
      <c r="F248" s="1077" t="s">
        <v>984</v>
      </c>
      <c r="G248" s="1077" t="s">
        <v>1767</v>
      </c>
      <c r="H248" s="1077" t="s">
        <v>1889</v>
      </c>
      <c r="I248" s="1077" t="s">
        <v>126</v>
      </c>
      <c r="J248" s="1077">
        <v>1</v>
      </c>
      <c r="K248" s="1077" t="s">
        <v>2457</v>
      </c>
      <c r="L248" s="1077" t="s">
        <v>1776</v>
      </c>
      <c r="M248" s="1077">
        <v>77</v>
      </c>
      <c r="N248" s="1077" t="s">
        <v>945</v>
      </c>
      <c r="O248" s="1077">
        <v>1.925</v>
      </c>
      <c r="P248" s="1077">
        <v>1.54</v>
      </c>
      <c r="Q248" s="1077" t="s">
        <v>2434</v>
      </c>
      <c r="R248" s="1077">
        <v>24</v>
      </c>
      <c r="T248" s="1077">
        <v>9</v>
      </c>
      <c r="U248" s="1077">
        <v>2.2000000000000002</v>
      </c>
      <c r="V248" s="1077" t="s">
        <v>648</v>
      </c>
      <c r="W248" s="1077">
        <v>110</v>
      </c>
      <c r="X248" s="1077" t="s">
        <v>1130</v>
      </c>
      <c r="Y248" s="1077">
        <v>2.1</v>
      </c>
      <c r="Z248" s="1077" t="s">
        <v>2458</v>
      </c>
      <c r="AA248" s="1077" t="s">
        <v>2459</v>
      </c>
      <c r="AB248" s="1077" t="s">
        <v>981</v>
      </c>
      <c r="AH248" s="1077" t="s">
        <v>813</v>
      </c>
      <c r="AM248" s="1078" t="s">
        <v>9543</v>
      </c>
      <c r="AN248" s="1078" t="s">
        <v>9544</v>
      </c>
      <c r="AO248" s="1078">
        <f t="shared" si="30"/>
        <v>650</v>
      </c>
      <c r="AP248" s="1078">
        <f t="shared" si="31"/>
        <v>1.69</v>
      </c>
      <c r="AQ248" s="1078" t="str">
        <f t="shared" si="32"/>
        <v>1-4-1S撚S83°</v>
      </c>
      <c r="AR248" s="1078" t="str">
        <f t="shared" si="33"/>
        <v>30</v>
      </c>
      <c r="AS248" s="1078" t="str">
        <f t="shared" si="34"/>
        <v>265/265/165</v>
      </c>
      <c r="AT248" s="1078" t="str">
        <f t="shared" si="35"/>
        <v>1-4-1S撚S83°</v>
      </c>
      <c r="AV248" s="1078" t="str">
        <f t="shared" si="28"/>
        <v>109.11.17</v>
      </c>
      <c r="AW248" s="1344">
        <f t="shared" si="29"/>
        <v>44152</v>
      </c>
    </row>
    <row r="249" spans="1:49">
      <c r="A249" s="1077" t="s">
        <v>2460</v>
      </c>
      <c r="B249" s="1077" t="s">
        <v>453</v>
      </c>
      <c r="C249" s="1077">
        <v>650</v>
      </c>
      <c r="D249" s="1077">
        <v>1.7</v>
      </c>
      <c r="E249" s="1077" t="s">
        <v>15089</v>
      </c>
      <c r="F249" s="1077" t="s">
        <v>984</v>
      </c>
      <c r="G249" s="1077" t="s">
        <v>1767</v>
      </c>
      <c r="H249" s="1077" t="s">
        <v>1831</v>
      </c>
      <c r="I249" s="1077" t="s">
        <v>126</v>
      </c>
      <c r="J249" s="1077">
        <v>1</v>
      </c>
      <c r="K249" s="1077" t="s">
        <v>2457</v>
      </c>
      <c r="L249" s="1077" t="s">
        <v>1776</v>
      </c>
      <c r="M249" s="1077">
        <v>77</v>
      </c>
      <c r="N249" s="1077" t="s">
        <v>945</v>
      </c>
      <c r="O249" s="1077">
        <v>1.925</v>
      </c>
      <c r="P249" s="1077">
        <v>1.54</v>
      </c>
      <c r="Q249" s="1077" t="s">
        <v>2434</v>
      </c>
      <c r="R249" s="1077">
        <v>24</v>
      </c>
      <c r="T249" s="1077">
        <v>9</v>
      </c>
      <c r="U249" s="1077">
        <v>2.2000000000000002</v>
      </c>
      <c r="V249" s="1077" t="s">
        <v>648</v>
      </c>
      <c r="W249" s="1077">
        <v>110</v>
      </c>
      <c r="X249" s="1077" t="s">
        <v>1130</v>
      </c>
      <c r="Y249" s="1077">
        <v>2.1</v>
      </c>
      <c r="Z249" s="1077" t="s">
        <v>2461</v>
      </c>
      <c r="AA249" s="1077" t="s">
        <v>2462</v>
      </c>
      <c r="AB249" s="1077" t="s">
        <v>981</v>
      </c>
      <c r="AH249" s="1077" t="s">
        <v>958</v>
      </c>
      <c r="AM249" s="1078" t="s">
        <v>9545</v>
      </c>
      <c r="AN249" s="1078" t="s">
        <v>9546</v>
      </c>
      <c r="AO249" s="1078">
        <f t="shared" si="30"/>
        <v>650</v>
      </c>
      <c r="AP249" s="1078">
        <f t="shared" si="31"/>
        <v>1.7</v>
      </c>
      <c r="AQ249" s="1078" t="str">
        <f t="shared" si="32"/>
        <v>1-4-1S83°</v>
      </c>
      <c r="AR249" s="1078" t="str">
        <f t="shared" si="33"/>
        <v>30</v>
      </c>
      <c r="AS249" s="1078" t="str">
        <f t="shared" si="34"/>
        <v>260/260/165</v>
      </c>
      <c r="AT249" s="1078" t="str">
        <f t="shared" si="35"/>
        <v>1-4-1S83°</v>
      </c>
      <c r="AV249" s="1078" t="str">
        <f t="shared" si="28"/>
        <v>109.11.18</v>
      </c>
      <c r="AW249" s="1344">
        <f t="shared" si="29"/>
        <v>44153</v>
      </c>
    </row>
    <row r="250" spans="1:49">
      <c r="A250" s="1077" t="s">
        <v>2463</v>
      </c>
      <c r="B250" s="1077" t="s">
        <v>453</v>
      </c>
      <c r="C250" s="1077">
        <v>600</v>
      </c>
      <c r="D250" s="1077">
        <v>1.7070000000000001</v>
      </c>
      <c r="E250" s="1077" t="s">
        <v>15091</v>
      </c>
      <c r="F250" s="1077" t="s">
        <v>1514</v>
      </c>
      <c r="G250" s="1077" t="s">
        <v>1767</v>
      </c>
      <c r="H250" s="1077" t="s">
        <v>1671</v>
      </c>
      <c r="I250" s="1077" t="s">
        <v>1167</v>
      </c>
      <c r="J250" s="1077">
        <v>0.9</v>
      </c>
      <c r="K250" s="1077" t="s">
        <v>2464</v>
      </c>
      <c r="L250" s="1077" t="s">
        <v>2465</v>
      </c>
      <c r="M250" s="1077">
        <v>75</v>
      </c>
      <c r="N250" s="1077" t="s">
        <v>945</v>
      </c>
      <c r="O250" s="1077">
        <v>1.875</v>
      </c>
      <c r="P250" s="1077">
        <v>1.5</v>
      </c>
      <c r="Q250" s="1077" t="s">
        <v>1321</v>
      </c>
      <c r="R250" s="1077">
        <v>23</v>
      </c>
      <c r="T250" s="1077">
        <v>19</v>
      </c>
      <c r="U250" s="1077">
        <v>3.8</v>
      </c>
      <c r="V250" s="1077" t="s">
        <v>648</v>
      </c>
      <c r="W250" s="1077">
        <v>110</v>
      </c>
      <c r="X250" s="1077">
        <v>70</v>
      </c>
      <c r="Y250" s="1077">
        <v>2</v>
      </c>
      <c r="Z250" s="1077" t="s">
        <v>2466</v>
      </c>
      <c r="AA250" s="1077" t="s">
        <v>2467</v>
      </c>
      <c r="AH250" s="1077" t="s">
        <v>1827</v>
      </c>
      <c r="AM250" s="1078" t="s">
        <v>9547</v>
      </c>
      <c r="AN250" s="1078" t="s">
        <v>9548</v>
      </c>
      <c r="AO250" s="1078">
        <f t="shared" si="30"/>
        <v>600</v>
      </c>
      <c r="AP250" s="1078">
        <f t="shared" si="31"/>
        <v>1.7070000000000001</v>
      </c>
      <c r="AQ250" s="1078" t="str">
        <f t="shared" si="32"/>
        <v>2-5-1S83°</v>
      </c>
      <c r="AR250" s="1078" t="str">
        <f t="shared" si="33"/>
        <v>32</v>
      </c>
      <c r="AS250" s="1078" t="str">
        <f t="shared" si="34"/>
        <v>172/OFF</v>
      </c>
      <c r="AT250" s="1078" t="str">
        <f t="shared" si="35"/>
        <v>2-5-1S83°</v>
      </c>
      <c r="AV250" s="1078" t="str">
        <f t="shared" si="28"/>
        <v>109.11.24</v>
      </c>
      <c r="AW250" s="1344">
        <f t="shared" si="29"/>
        <v>44159</v>
      </c>
    </row>
    <row r="251" spans="1:49">
      <c r="A251" s="1077" t="s">
        <v>2468</v>
      </c>
      <c r="B251" s="1077" t="s">
        <v>453</v>
      </c>
      <c r="C251" s="1077">
        <v>650</v>
      </c>
      <c r="D251" s="1077">
        <v>1.7</v>
      </c>
      <c r="E251" s="1077" t="s">
        <v>15089</v>
      </c>
      <c r="F251" s="1077" t="s">
        <v>984</v>
      </c>
      <c r="G251" s="1077" t="s">
        <v>1767</v>
      </c>
      <c r="H251" s="1077" t="s">
        <v>1831</v>
      </c>
      <c r="I251" s="1077" t="s">
        <v>126</v>
      </c>
      <c r="J251" s="1077">
        <v>1</v>
      </c>
      <c r="K251" s="1077" t="s">
        <v>2469</v>
      </c>
      <c r="L251" s="1077" t="s">
        <v>1776</v>
      </c>
      <c r="M251" s="1077">
        <v>77</v>
      </c>
      <c r="N251" s="1077" t="s">
        <v>945</v>
      </c>
      <c r="O251" s="1077">
        <v>1.925</v>
      </c>
      <c r="P251" s="1077">
        <v>1.54</v>
      </c>
      <c r="Q251" s="1077" t="s">
        <v>2407</v>
      </c>
      <c r="R251" s="1077">
        <v>24</v>
      </c>
      <c r="T251" s="1077">
        <v>9</v>
      </c>
      <c r="U251" s="1077">
        <v>2.2000000000000002</v>
      </c>
      <c r="V251" s="1077" t="s">
        <v>648</v>
      </c>
      <c r="W251" s="1077">
        <v>110</v>
      </c>
      <c r="X251" s="1077" t="s">
        <v>1130</v>
      </c>
      <c r="Y251" s="1077">
        <v>2.1</v>
      </c>
      <c r="Z251" s="1077" t="s">
        <v>2461</v>
      </c>
      <c r="AA251" s="1077" t="s">
        <v>2467</v>
      </c>
      <c r="AB251" s="1077" t="s">
        <v>981</v>
      </c>
      <c r="AH251" s="1077" t="s">
        <v>621</v>
      </c>
      <c r="AM251" s="1078" t="s">
        <v>9549</v>
      </c>
      <c r="AN251" s="1078" t="s">
        <v>9550</v>
      </c>
      <c r="AO251" s="1078">
        <f t="shared" si="30"/>
        <v>650</v>
      </c>
      <c r="AP251" s="1078">
        <f t="shared" si="31"/>
        <v>1.7</v>
      </c>
      <c r="AQ251" s="1078" t="str">
        <f t="shared" si="32"/>
        <v>1-4-1S83°</v>
      </c>
      <c r="AR251" s="1078" t="str">
        <f t="shared" si="33"/>
        <v>30</v>
      </c>
      <c r="AS251" s="1078" t="str">
        <f t="shared" si="34"/>
        <v>260/260/165</v>
      </c>
      <c r="AT251" s="1078" t="str">
        <f t="shared" si="35"/>
        <v>1-4-1S83°</v>
      </c>
      <c r="AV251" s="1078" t="str">
        <f t="shared" si="28"/>
        <v>109.11.24</v>
      </c>
      <c r="AW251" s="1344">
        <f t="shared" si="29"/>
        <v>44159</v>
      </c>
    </row>
    <row r="252" spans="1:49">
      <c r="A252" s="1077" t="s">
        <v>2470</v>
      </c>
      <c r="B252" s="1077" t="s">
        <v>453</v>
      </c>
      <c r="C252" s="1077">
        <v>650</v>
      </c>
      <c r="D252" s="1077">
        <v>1.7</v>
      </c>
      <c r="E252" s="1077" t="s">
        <v>15089</v>
      </c>
      <c r="F252" s="1077" t="s">
        <v>984</v>
      </c>
      <c r="G252" s="1077" t="s">
        <v>1767</v>
      </c>
      <c r="H252" s="1077" t="s">
        <v>1831</v>
      </c>
      <c r="I252" s="1077" t="s">
        <v>126</v>
      </c>
      <c r="J252" s="1077">
        <v>1</v>
      </c>
      <c r="K252" s="1077" t="s">
        <v>2457</v>
      </c>
      <c r="L252" s="1077" t="s">
        <v>1776</v>
      </c>
      <c r="M252" s="1077">
        <v>77</v>
      </c>
      <c r="N252" s="1077" t="s">
        <v>945</v>
      </c>
      <c r="O252" s="1077">
        <v>1.925</v>
      </c>
      <c r="P252" s="1077">
        <v>1.54</v>
      </c>
      <c r="Q252" s="1077" t="s">
        <v>2407</v>
      </c>
      <c r="R252" s="1077">
        <v>24</v>
      </c>
      <c r="T252" s="1077">
        <v>9</v>
      </c>
      <c r="U252" s="1077">
        <v>2.2000000000000002</v>
      </c>
      <c r="V252" s="1077" t="s">
        <v>648</v>
      </c>
      <c r="W252" s="1077">
        <v>110</v>
      </c>
      <c r="X252" s="1077" t="s">
        <v>1130</v>
      </c>
      <c r="Y252" s="1077">
        <v>2.1</v>
      </c>
      <c r="Z252" s="1077" t="s">
        <v>2471</v>
      </c>
      <c r="AA252" s="1077" t="s">
        <v>2472</v>
      </c>
      <c r="AB252" s="1077" t="s">
        <v>981</v>
      </c>
      <c r="AH252" s="1077" t="s">
        <v>877</v>
      </c>
      <c r="AM252" s="1078" t="s">
        <v>9551</v>
      </c>
      <c r="AN252" s="1078" t="s">
        <v>9552</v>
      </c>
      <c r="AO252" s="1078">
        <f t="shared" si="30"/>
        <v>650</v>
      </c>
      <c r="AP252" s="1078">
        <f t="shared" si="31"/>
        <v>1.7</v>
      </c>
      <c r="AQ252" s="1078" t="str">
        <f t="shared" si="32"/>
        <v>1-4-1S83°</v>
      </c>
      <c r="AR252" s="1078" t="str">
        <f t="shared" si="33"/>
        <v>30</v>
      </c>
      <c r="AS252" s="1078" t="str">
        <f t="shared" si="34"/>
        <v>260/260/165</v>
      </c>
      <c r="AT252" s="1078" t="str">
        <f t="shared" si="35"/>
        <v>1-4-1S83°</v>
      </c>
      <c r="AV252" s="1078" t="str">
        <f t="shared" si="28"/>
        <v>109.11.27</v>
      </c>
      <c r="AW252" s="1344">
        <f t="shared" si="29"/>
        <v>44162</v>
      </c>
    </row>
    <row r="253" spans="1:49">
      <c r="A253" s="1077" t="s">
        <v>2473</v>
      </c>
      <c r="B253" s="1077" t="s">
        <v>453</v>
      </c>
      <c r="C253" s="1077">
        <v>600</v>
      </c>
      <c r="D253" s="1077">
        <v>1.7070000000000001</v>
      </c>
      <c r="E253" s="1077" t="s">
        <v>15091</v>
      </c>
      <c r="F253" s="1077" t="s">
        <v>1398</v>
      </c>
      <c r="G253" s="1077" t="s">
        <v>1767</v>
      </c>
      <c r="H253" s="1077" t="s">
        <v>1671</v>
      </c>
      <c r="I253" s="1077" t="s">
        <v>1167</v>
      </c>
      <c r="J253" s="1077">
        <v>0.9</v>
      </c>
      <c r="K253" s="1077" t="s">
        <v>2474</v>
      </c>
      <c r="L253" s="1077" t="s">
        <v>1776</v>
      </c>
      <c r="M253" s="1077">
        <v>75</v>
      </c>
      <c r="N253" s="1077" t="s">
        <v>945</v>
      </c>
      <c r="O253" s="1077">
        <v>1.875</v>
      </c>
      <c r="P253" s="1077">
        <v>1.5</v>
      </c>
      <c r="Q253" s="1077">
        <v>4</v>
      </c>
      <c r="R253" s="1077">
        <v>23</v>
      </c>
      <c r="T253" s="1077">
        <v>19</v>
      </c>
      <c r="U253" s="1077">
        <v>3.8</v>
      </c>
      <c r="V253" s="1077" t="s">
        <v>648</v>
      </c>
      <c r="W253" s="1077">
        <v>110</v>
      </c>
      <c r="X253" s="1077">
        <v>70</v>
      </c>
      <c r="Y253" s="1077">
        <v>2</v>
      </c>
      <c r="Z253" s="1077">
        <v>4.5</v>
      </c>
      <c r="AA253" s="1077" t="s">
        <v>1372</v>
      </c>
      <c r="AH253" s="1077" t="s">
        <v>783</v>
      </c>
      <c r="AM253" s="1078" t="s">
        <v>9553</v>
      </c>
      <c r="AN253" s="1078" t="s">
        <v>9554</v>
      </c>
      <c r="AO253" s="1078">
        <f t="shared" si="30"/>
        <v>600</v>
      </c>
      <c r="AP253" s="1078">
        <f t="shared" si="31"/>
        <v>1.7070000000000001</v>
      </c>
      <c r="AQ253" s="1078" t="str">
        <f t="shared" si="32"/>
        <v>2-5-1S83°</v>
      </c>
      <c r="AR253" s="1078" t="str">
        <f t="shared" si="33"/>
        <v>32.5</v>
      </c>
      <c r="AS253" s="1078" t="str">
        <f t="shared" si="34"/>
        <v>172/OFF</v>
      </c>
      <c r="AT253" s="1078" t="str">
        <f t="shared" si="35"/>
        <v>2-5-1S83°</v>
      </c>
      <c r="AV253" s="1078" t="str">
        <f t="shared" si="28"/>
        <v>109.12.18</v>
      </c>
      <c r="AW253" s="1344">
        <f t="shared" si="29"/>
        <v>44183</v>
      </c>
    </row>
    <row r="254" spans="1:49">
      <c r="A254" s="1077" t="s">
        <v>2475</v>
      </c>
      <c r="B254" s="1077" t="s">
        <v>453</v>
      </c>
      <c r="C254" s="1077">
        <v>650</v>
      </c>
      <c r="D254" s="1077">
        <v>1.7</v>
      </c>
      <c r="E254" s="1077" t="s">
        <v>15089</v>
      </c>
      <c r="F254" s="1077" t="s">
        <v>984</v>
      </c>
      <c r="G254" s="1077" t="s">
        <v>1767</v>
      </c>
      <c r="H254" s="1077" t="s">
        <v>1831</v>
      </c>
      <c r="I254" s="1077" t="s">
        <v>126</v>
      </c>
      <c r="J254" s="1077">
        <v>1</v>
      </c>
      <c r="K254" s="1077" t="s">
        <v>2476</v>
      </c>
      <c r="L254" s="1077" t="s">
        <v>1776</v>
      </c>
      <c r="M254" s="1077">
        <v>77</v>
      </c>
      <c r="N254" s="1077" t="s">
        <v>945</v>
      </c>
      <c r="O254" s="1077">
        <v>1.925</v>
      </c>
      <c r="P254" s="1077">
        <v>1.54</v>
      </c>
      <c r="Q254" s="1077">
        <v>4.2</v>
      </c>
      <c r="R254" s="1077">
        <v>24</v>
      </c>
      <c r="T254" s="1077">
        <v>9</v>
      </c>
      <c r="U254" s="1077">
        <v>2.2000000000000002</v>
      </c>
      <c r="V254" s="1077" t="s">
        <v>648</v>
      </c>
      <c r="W254" s="1077">
        <v>110</v>
      </c>
      <c r="X254" s="1077" t="s">
        <v>1130</v>
      </c>
      <c r="Y254" s="1077">
        <v>2.1</v>
      </c>
      <c r="Z254" s="1077">
        <v>2.5</v>
      </c>
      <c r="AA254" s="1077" t="s">
        <v>1375</v>
      </c>
      <c r="AB254" s="1077" t="s">
        <v>981</v>
      </c>
      <c r="AH254" s="1077" t="s">
        <v>724</v>
      </c>
      <c r="AM254" s="1078" t="s">
        <v>9555</v>
      </c>
      <c r="AN254" s="1078" t="s">
        <v>9556</v>
      </c>
      <c r="AO254" s="1078">
        <f t="shared" si="30"/>
        <v>650</v>
      </c>
      <c r="AP254" s="1078">
        <f t="shared" si="31"/>
        <v>1.7</v>
      </c>
      <c r="AQ254" s="1078" t="str">
        <f t="shared" si="32"/>
        <v>1-4-1S83°</v>
      </c>
      <c r="AR254" s="1078" t="str">
        <f t="shared" si="33"/>
        <v>30</v>
      </c>
      <c r="AS254" s="1078" t="str">
        <f t="shared" si="34"/>
        <v>260/260/165</v>
      </c>
      <c r="AT254" s="1078" t="str">
        <f t="shared" si="35"/>
        <v>1-4-1S83°</v>
      </c>
      <c r="AV254" s="1078" t="str">
        <f t="shared" si="28"/>
        <v>109.12.24</v>
      </c>
      <c r="AW254" s="1344">
        <f t="shared" si="29"/>
        <v>44189</v>
      </c>
    </row>
    <row r="255" spans="1:49">
      <c r="A255" s="1077" t="s">
        <v>2477</v>
      </c>
      <c r="B255" s="1077" t="s">
        <v>453</v>
      </c>
      <c r="C255" s="1077">
        <v>650</v>
      </c>
      <c r="D255" s="1077">
        <v>1.7</v>
      </c>
      <c r="E255" s="1077" t="s">
        <v>15089</v>
      </c>
      <c r="F255" s="1077" t="s">
        <v>984</v>
      </c>
      <c r="G255" s="1077" t="s">
        <v>1767</v>
      </c>
      <c r="H255" s="1077" t="s">
        <v>1831</v>
      </c>
      <c r="I255" s="1077" t="s">
        <v>126</v>
      </c>
      <c r="J255" s="1077">
        <v>1</v>
      </c>
      <c r="K255" s="1077" t="s">
        <v>2476</v>
      </c>
      <c r="L255" s="1077" t="s">
        <v>1776</v>
      </c>
      <c r="M255" s="1077">
        <v>77</v>
      </c>
      <c r="N255" s="1077" t="s">
        <v>945</v>
      </c>
      <c r="O255" s="1077">
        <v>1.925</v>
      </c>
      <c r="P255" s="1077">
        <v>1.54</v>
      </c>
      <c r="Q255" s="1077">
        <v>4.2</v>
      </c>
      <c r="R255" s="1077">
        <v>24</v>
      </c>
      <c r="T255" s="1077">
        <v>9</v>
      </c>
      <c r="U255" s="1077">
        <v>2.2000000000000002</v>
      </c>
      <c r="V255" s="1077" t="s">
        <v>648</v>
      </c>
      <c r="W255" s="1077">
        <v>110</v>
      </c>
      <c r="X255" s="1077" t="s">
        <v>1130</v>
      </c>
      <c r="Y255" s="1077">
        <v>2.1</v>
      </c>
      <c r="Z255" s="1077">
        <v>2.5</v>
      </c>
      <c r="AA255" s="1077" t="s">
        <v>2478</v>
      </c>
      <c r="AB255" s="1077" t="s">
        <v>981</v>
      </c>
      <c r="AH255" s="1077" t="s">
        <v>619</v>
      </c>
      <c r="AM255" s="1078" t="s">
        <v>9557</v>
      </c>
      <c r="AN255" s="1078" t="s">
        <v>9558</v>
      </c>
      <c r="AO255" s="1078">
        <f t="shared" si="30"/>
        <v>650</v>
      </c>
      <c r="AP255" s="1078">
        <f t="shared" si="31"/>
        <v>1.7</v>
      </c>
      <c r="AQ255" s="1078" t="str">
        <f t="shared" si="32"/>
        <v>1-4-1S83°</v>
      </c>
      <c r="AR255" s="1078" t="str">
        <f t="shared" si="33"/>
        <v>30</v>
      </c>
      <c r="AS255" s="1078" t="str">
        <f t="shared" si="34"/>
        <v>260/260/165</v>
      </c>
      <c r="AT255" s="1078" t="str">
        <f t="shared" si="35"/>
        <v>1-4-1S83°</v>
      </c>
      <c r="AV255" s="1078" t="str">
        <f t="shared" si="28"/>
        <v>109.12.25</v>
      </c>
      <c r="AW255" s="1344">
        <f t="shared" si="29"/>
        <v>44190</v>
      </c>
    </row>
    <row r="256" spans="1:49">
      <c r="A256" s="1077" t="s">
        <v>2479</v>
      </c>
      <c r="B256" s="1077" t="s">
        <v>453</v>
      </c>
      <c r="C256" s="1077">
        <v>700</v>
      </c>
      <c r="D256" s="1077">
        <v>1.6850000000000001</v>
      </c>
      <c r="E256" s="1077" t="s">
        <v>15089</v>
      </c>
      <c r="F256" s="1077" t="s">
        <v>1773</v>
      </c>
      <c r="G256" s="1077" t="s">
        <v>1767</v>
      </c>
      <c r="H256" s="1077" t="s">
        <v>2480</v>
      </c>
      <c r="I256" s="1077" t="s">
        <v>126</v>
      </c>
      <c r="J256" s="1077">
        <v>0.9</v>
      </c>
      <c r="K256" s="1077" t="s">
        <v>2474</v>
      </c>
      <c r="L256" s="1077" t="s">
        <v>1776</v>
      </c>
      <c r="M256" s="1077">
        <v>75</v>
      </c>
      <c r="N256" s="1077" t="s">
        <v>945</v>
      </c>
      <c r="O256" s="1077">
        <v>1.875</v>
      </c>
      <c r="P256" s="1077">
        <v>1.5</v>
      </c>
      <c r="Q256" s="1077">
        <v>4</v>
      </c>
      <c r="R256" s="1077">
        <v>23</v>
      </c>
      <c r="T256" s="1077">
        <v>19</v>
      </c>
      <c r="U256" s="1077">
        <v>3.8</v>
      </c>
      <c r="V256" s="1077" t="s">
        <v>648</v>
      </c>
      <c r="W256" s="1077">
        <v>110</v>
      </c>
      <c r="X256" s="1077">
        <v>70</v>
      </c>
      <c r="Y256" s="1077">
        <v>2</v>
      </c>
      <c r="Z256" s="1077">
        <v>4.5</v>
      </c>
      <c r="AA256" s="1077" t="s">
        <v>2481</v>
      </c>
      <c r="AH256" s="1077" t="s">
        <v>2482</v>
      </c>
      <c r="AM256" s="1078" t="s">
        <v>9559</v>
      </c>
      <c r="AN256" s="1078" t="s">
        <v>9560</v>
      </c>
      <c r="AO256" s="1078">
        <f t="shared" si="30"/>
        <v>700</v>
      </c>
      <c r="AP256" s="1078">
        <f t="shared" si="31"/>
        <v>1.6850000000000001</v>
      </c>
      <c r="AQ256" s="1078" t="str">
        <f t="shared" si="32"/>
        <v>1-4-1S83°</v>
      </c>
      <c r="AR256" s="1078" t="str">
        <f t="shared" si="33"/>
        <v>30.2</v>
      </c>
      <c r="AS256" s="1078" t="str">
        <f t="shared" si="34"/>
        <v>251/251/OFF</v>
      </c>
      <c r="AT256" s="1078" t="str">
        <f t="shared" si="35"/>
        <v>1-4-1S83°</v>
      </c>
      <c r="AV256" s="1078" t="str">
        <f t="shared" si="28"/>
        <v>109.12.31</v>
      </c>
      <c r="AW256" s="1344">
        <f t="shared" si="29"/>
        <v>44196</v>
      </c>
    </row>
    <row r="257" spans="1:49">
      <c r="A257" s="1077" t="s">
        <v>2483</v>
      </c>
      <c r="B257" s="1077" t="s">
        <v>453</v>
      </c>
      <c r="C257" s="1077">
        <v>650</v>
      </c>
      <c r="D257" s="1077">
        <v>1.69</v>
      </c>
      <c r="E257" s="1077" t="s">
        <v>15093</v>
      </c>
      <c r="F257" s="1077" t="s">
        <v>984</v>
      </c>
      <c r="G257" s="1077" t="s">
        <v>1767</v>
      </c>
      <c r="H257" s="1077" t="s">
        <v>1889</v>
      </c>
      <c r="I257" s="1077" t="s">
        <v>126</v>
      </c>
      <c r="J257" s="1077">
        <v>1</v>
      </c>
      <c r="K257" s="1077" t="s">
        <v>2484</v>
      </c>
      <c r="L257" s="1077" t="s">
        <v>1776</v>
      </c>
      <c r="M257" s="1077">
        <v>77</v>
      </c>
      <c r="N257" s="1077" t="s">
        <v>945</v>
      </c>
      <c r="O257" s="1077">
        <v>1.925</v>
      </c>
      <c r="P257" s="1077">
        <v>1.54</v>
      </c>
      <c r="Q257" s="1077">
        <v>4.2</v>
      </c>
      <c r="R257" s="1077">
        <v>24</v>
      </c>
      <c r="T257" s="1077">
        <v>9</v>
      </c>
      <c r="U257" s="1077">
        <v>2.2000000000000002</v>
      </c>
      <c r="V257" s="1077" t="s">
        <v>648</v>
      </c>
      <c r="W257" s="1077">
        <v>110</v>
      </c>
      <c r="X257" s="1077" t="s">
        <v>1130</v>
      </c>
      <c r="Y257" s="1077">
        <v>2.1</v>
      </c>
      <c r="Z257" s="1077">
        <v>2.5</v>
      </c>
      <c r="AA257" s="1077" t="s">
        <v>2485</v>
      </c>
      <c r="AB257" s="1077" t="s">
        <v>981</v>
      </c>
      <c r="AH257" s="1077" t="s">
        <v>990</v>
      </c>
      <c r="AM257" s="1078" t="s">
        <v>9561</v>
      </c>
      <c r="AN257" s="1078" t="s">
        <v>9562</v>
      </c>
      <c r="AO257" s="1078">
        <f t="shared" si="30"/>
        <v>650</v>
      </c>
      <c r="AP257" s="1078">
        <f t="shared" si="31"/>
        <v>1.69</v>
      </c>
      <c r="AQ257" s="1078" t="str">
        <f t="shared" si="32"/>
        <v>1-4-1S撚S83°</v>
      </c>
      <c r="AR257" s="1078" t="str">
        <f t="shared" si="33"/>
        <v>30</v>
      </c>
      <c r="AS257" s="1078" t="str">
        <f t="shared" si="34"/>
        <v>265/265/165</v>
      </c>
      <c r="AT257" s="1078" t="str">
        <f t="shared" si="35"/>
        <v>1-4-1S撚S83°</v>
      </c>
      <c r="AV257" s="1078" t="str">
        <f t="shared" si="28"/>
        <v>110.1.15</v>
      </c>
      <c r="AW257" s="1344">
        <f t="shared" si="29"/>
        <v>44211</v>
      </c>
    </row>
    <row r="258" spans="1:49">
      <c r="A258" s="1077" t="s">
        <v>2486</v>
      </c>
      <c r="B258" s="1077" t="s">
        <v>453</v>
      </c>
      <c r="C258" s="1077">
        <v>650</v>
      </c>
      <c r="D258" s="1077">
        <v>1.7050000000000001</v>
      </c>
      <c r="E258" s="1077" t="s">
        <v>15089</v>
      </c>
      <c r="F258" s="1077" t="s">
        <v>1773</v>
      </c>
      <c r="G258" s="1077" t="s">
        <v>1767</v>
      </c>
      <c r="H258" s="1077" t="s">
        <v>1029</v>
      </c>
      <c r="I258" s="1077" t="s">
        <v>126</v>
      </c>
      <c r="J258" s="1077">
        <v>0.8</v>
      </c>
      <c r="K258" s="1077" t="s">
        <v>2487</v>
      </c>
      <c r="L258" s="1077" t="s">
        <v>1776</v>
      </c>
      <c r="M258" s="1077">
        <v>75</v>
      </c>
      <c r="N258" s="1077" t="s">
        <v>945</v>
      </c>
      <c r="O258" s="1077">
        <v>1.875</v>
      </c>
      <c r="P258" s="1077">
        <v>1.5</v>
      </c>
      <c r="Q258" s="1077" t="s">
        <v>961</v>
      </c>
      <c r="R258" s="1077">
        <v>23</v>
      </c>
      <c r="T258" s="1077">
        <v>19</v>
      </c>
      <c r="U258" s="1077">
        <v>3.8</v>
      </c>
      <c r="V258" s="1077" t="s">
        <v>648</v>
      </c>
      <c r="W258" s="1077">
        <v>110</v>
      </c>
      <c r="X258" s="1077">
        <v>70</v>
      </c>
      <c r="Y258" s="1077">
        <v>2</v>
      </c>
      <c r="Z258" s="1077" t="s">
        <v>2488</v>
      </c>
      <c r="AA258" s="1077" t="s">
        <v>2489</v>
      </c>
      <c r="AH258" s="1077" t="s">
        <v>482</v>
      </c>
      <c r="AM258" s="1078" t="s">
        <v>9563</v>
      </c>
      <c r="AN258" s="1078" t="s">
        <v>9564</v>
      </c>
      <c r="AO258" s="1078">
        <f t="shared" si="30"/>
        <v>650</v>
      </c>
      <c r="AP258" s="1078">
        <f t="shared" si="31"/>
        <v>1.7050000000000001</v>
      </c>
      <c r="AQ258" s="1078" t="str">
        <f t="shared" si="32"/>
        <v>1-4-1S83°</v>
      </c>
      <c r="AR258" s="1078" t="str">
        <f t="shared" si="33"/>
        <v>30.2</v>
      </c>
      <c r="AS258" s="1078" t="str">
        <f t="shared" si="34"/>
        <v>250/250/OFF</v>
      </c>
      <c r="AT258" s="1078" t="str">
        <f t="shared" si="35"/>
        <v>1-4-1S83°</v>
      </c>
      <c r="AV258" s="1078" t="str">
        <f t="shared" ref="AV258:AV321" si="36">AA258</f>
        <v>108.2.25</v>
      </c>
      <c r="AW258" s="1344">
        <f t="shared" si="29"/>
        <v>43521</v>
      </c>
    </row>
    <row r="259" spans="1:49">
      <c r="A259" s="1077" t="s">
        <v>2490</v>
      </c>
      <c r="B259" s="1077" t="s">
        <v>453</v>
      </c>
      <c r="C259" s="1077">
        <v>750</v>
      </c>
      <c r="D259" s="1077">
        <v>1.7</v>
      </c>
      <c r="E259" s="1077" t="s">
        <v>15089</v>
      </c>
      <c r="F259" s="1077" t="s">
        <v>1773</v>
      </c>
      <c r="G259" s="1077" t="s">
        <v>1767</v>
      </c>
      <c r="H259" s="1077" t="s">
        <v>1875</v>
      </c>
      <c r="I259" s="1077" t="s">
        <v>126</v>
      </c>
      <c r="J259" s="1077">
        <v>0.9</v>
      </c>
      <c r="K259" s="1077" t="s">
        <v>2491</v>
      </c>
      <c r="L259" s="1077" t="s">
        <v>2430</v>
      </c>
      <c r="M259" s="1077">
        <v>75</v>
      </c>
      <c r="N259" s="1077" t="s">
        <v>945</v>
      </c>
      <c r="O259" s="1077">
        <v>1.875</v>
      </c>
      <c r="P259" s="1077">
        <v>1.5</v>
      </c>
      <c r="Q259" s="1077" t="s">
        <v>956</v>
      </c>
      <c r="R259" s="1077">
        <v>23</v>
      </c>
      <c r="T259" s="1077">
        <v>19</v>
      </c>
      <c r="U259" s="1077">
        <v>3.8</v>
      </c>
      <c r="V259" s="1077" t="s">
        <v>648</v>
      </c>
      <c r="W259" s="1077">
        <v>110</v>
      </c>
      <c r="X259" s="1077">
        <v>70</v>
      </c>
      <c r="Y259" s="1077">
        <v>2</v>
      </c>
      <c r="Z259" s="1077">
        <v>4.5</v>
      </c>
      <c r="AA259" s="1077" t="s">
        <v>2492</v>
      </c>
      <c r="AH259" s="1077" t="s">
        <v>1452</v>
      </c>
      <c r="AM259" s="1078" t="s">
        <v>9565</v>
      </c>
      <c r="AN259" s="1078" t="s">
        <v>9566</v>
      </c>
      <c r="AO259" s="1078">
        <f t="shared" si="30"/>
        <v>750</v>
      </c>
      <c r="AP259" s="1078">
        <f t="shared" si="31"/>
        <v>1.7</v>
      </c>
      <c r="AQ259" s="1078" t="str">
        <f t="shared" si="32"/>
        <v>1-4-1S83°</v>
      </c>
      <c r="AR259" s="1078" t="str">
        <f t="shared" si="33"/>
        <v>30.2</v>
      </c>
      <c r="AS259" s="1078" t="str">
        <f t="shared" si="34"/>
        <v>267/267/OFF</v>
      </c>
      <c r="AT259" s="1078" t="str">
        <f t="shared" si="35"/>
        <v>1-4-1S83°</v>
      </c>
      <c r="AV259" s="1078" t="str">
        <f t="shared" si="36"/>
        <v>108.3.8</v>
      </c>
      <c r="AW259" s="1344">
        <f t="shared" ref="AW259:AW322" si="37">DATE(VALUE(LEFT(AV259,FIND(".",AV259)-1))+1911,
       VALUE(MID(AV259,FIND(".",AV259)+1,FIND(".",AV259,FIND(".",AV259)+1)-FIND(".",AV259)-1)),
       VALUE(RIGHT(AV259,LEN(AV259)-FIND("~",SUBSTITUTE(AV259,".","~",2)))))</f>
        <v>43532</v>
      </c>
    </row>
    <row r="260" spans="1:49">
      <c r="A260" s="1077" t="s">
        <v>2493</v>
      </c>
      <c r="B260" s="1077" t="s">
        <v>453</v>
      </c>
      <c r="C260" s="1077">
        <v>650</v>
      </c>
      <c r="D260" s="1077">
        <v>1.7</v>
      </c>
      <c r="E260" s="1077" t="s">
        <v>15089</v>
      </c>
      <c r="F260" s="1077" t="s">
        <v>984</v>
      </c>
      <c r="G260" s="1077" t="s">
        <v>1767</v>
      </c>
      <c r="H260" s="1077" t="s">
        <v>2494</v>
      </c>
      <c r="I260" s="1077" t="s">
        <v>126</v>
      </c>
      <c r="J260" s="1077">
        <v>1</v>
      </c>
      <c r="K260" s="1077" t="s">
        <v>2495</v>
      </c>
      <c r="L260" s="1077" t="s">
        <v>1776</v>
      </c>
      <c r="M260" s="1077">
        <v>77</v>
      </c>
      <c r="N260" s="1077" t="s">
        <v>945</v>
      </c>
      <c r="O260" s="1077">
        <v>1.925</v>
      </c>
      <c r="P260" s="1077">
        <v>1.54</v>
      </c>
      <c r="Q260" s="1077" t="s">
        <v>2407</v>
      </c>
      <c r="R260" s="1077">
        <v>24</v>
      </c>
      <c r="T260" s="1077">
        <v>9</v>
      </c>
      <c r="U260" s="1077">
        <v>2.2000000000000002</v>
      </c>
      <c r="V260" s="1077" t="s">
        <v>648</v>
      </c>
      <c r="W260" s="1077">
        <v>110</v>
      </c>
      <c r="X260" s="1077" t="s">
        <v>1130</v>
      </c>
      <c r="Y260" s="1077">
        <v>2.1</v>
      </c>
      <c r="Z260" s="1077">
        <v>2.5</v>
      </c>
      <c r="AA260" s="1077" t="s">
        <v>1064</v>
      </c>
      <c r="AB260" s="1077" t="s">
        <v>981</v>
      </c>
      <c r="AH260" s="1077" t="s">
        <v>884</v>
      </c>
      <c r="AM260" s="1078" t="s">
        <v>9567</v>
      </c>
      <c r="AN260" s="1078" t="s">
        <v>9568</v>
      </c>
      <c r="AO260" s="1078">
        <f t="shared" si="30"/>
        <v>650</v>
      </c>
      <c r="AP260" s="1078">
        <f t="shared" si="31"/>
        <v>1.7</v>
      </c>
      <c r="AQ260" s="1078" t="str">
        <f t="shared" si="32"/>
        <v>1-4-1S83°</v>
      </c>
      <c r="AR260" s="1078" t="str">
        <f t="shared" si="33"/>
        <v>30</v>
      </c>
      <c r="AS260" s="1078" t="str">
        <f t="shared" si="34"/>
        <v>257/257/165</v>
      </c>
      <c r="AT260" s="1078" t="str">
        <f t="shared" si="35"/>
        <v>1-4-1S83°</v>
      </c>
      <c r="AV260" s="1078" t="str">
        <f t="shared" si="36"/>
        <v>109.1.13</v>
      </c>
      <c r="AW260" s="1344">
        <f t="shared" si="37"/>
        <v>43843</v>
      </c>
    </row>
    <row r="261" spans="1:49">
      <c r="A261" s="1077" t="s">
        <v>2496</v>
      </c>
      <c r="B261" s="1077" t="s">
        <v>453</v>
      </c>
      <c r="C261" s="1077">
        <v>650</v>
      </c>
      <c r="D261" s="1077">
        <v>1.7</v>
      </c>
      <c r="E261" s="1077" t="s">
        <v>15089</v>
      </c>
      <c r="F261" s="1077" t="s">
        <v>984</v>
      </c>
      <c r="G261" s="1077" t="s">
        <v>1767</v>
      </c>
      <c r="H261" s="1077" t="s">
        <v>2494</v>
      </c>
      <c r="I261" s="1077" t="s">
        <v>126</v>
      </c>
      <c r="J261" s="1077">
        <v>1</v>
      </c>
      <c r="K261" s="1077" t="s">
        <v>2495</v>
      </c>
      <c r="L261" s="1077" t="s">
        <v>1776</v>
      </c>
      <c r="M261" s="1077">
        <v>77</v>
      </c>
      <c r="N261" s="1077" t="s">
        <v>945</v>
      </c>
      <c r="O261" s="1077">
        <v>1.925</v>
      </c>
      <c r="P261" s="1077">
        <v>1.54</v>
      </c>
      <c r="Q261" s="1077" t="s">
        <v>2416</v>
      </c>
      <c r="R261" s="1077">
        <v>24</v>
      </c>
      <c r="T261" s="1077">
        <v>9</v>
      </c>
      <c r="U261" s="1077">
        <v>2.2000000000000002</v>
      </c>
      <c r="V261" s="1077" t="s">
        <v>648</v>
      </c>
      <c r="W261" s="1077">
        <v>110</v>
      </c>
      <c r="X261" s="1077" t="s">
        <v>1130</v>
      </c>
      <c r="Y261" s="1077">
        <v>2.1</v>
      </c>
      <c r="Z261" s="1077">
        <v>2.5</v>
      </c>
      <c r="AA261" s="1077" t="s">
        <v>1064</v>
      </c>
      <c r="AB261" s="1077" t="s">
        <v>981</v>
      </c>
      <c r="AH261" s="1077" t="s">
        <v>483</v>
      </c>
      <c r="AM261" s="1078" t="s">
        <v>9569</v>
      </c>
      <c r="AN261" s="1078" t="s">
        <v>9570</v>
      </c>
      <c r="AO261" s="1078">
        <f t="shared" si="30"/>
        <v>650</v>
      </c>
      <c r="AP261" s="1078">
        <f t="shared" si="31"/>
        <v>1.7</v>
      </c>
      <c r="AQ261" s="1078" t="str">
        <f t="shared" si="32"/>
        <v>1-4-1S83°</v>
      </c>
      <c r="AR261" s="1078" t="str">
        <f t="shared" si="33"/>
        <v>30</v>
      </c>
      <c r="AS261" s="1078" t="str">
        <f t="shared" si="34"/>
        <v>257/257/165</v>
      </c>
      <c r="AT261" s="1078" t="str">
        <f t="shared" si="35"/>
        <v>1-4-1S83°</v>
      </c>
      <c r="AV261" s="1078" t="str">
        <f t="shared" si="36"/>
        <v>109.1.13</v>
      </c>
      <c r="AW261" s="1344">
        <f t="shared" si="37"/>
        <v>43843</v>
      </c>
    </row>
    <row r="262" spans="1:49">
      <c r="A262" s="1077" t="s">
        <v>2497</v>
      </c>
      <c r="B262" s="1077" t="s">
        <v>453</v>
      </c>
      <c r="C262" s="1077">
        <v>700</v>
      </c>
      <c r="D262" s="1077">
        <v>1.7050000000000001</v>
      </c>
      <c r="E262" s="1077" t="s">
        <v>15089</v>
      </c>
      <c r="F262" s="1077" t="s">
        <v>1773</v>
      </c>
      <c r="G262" s="1077" t="s">
        <v>1767</v>
      </c>
      <c r="H262" s="1077" t="s">
        <v>1025</v>
      </c>
      <c r="I262" s="1077" t="s">
        <v>126</v>
      </c>
      <c r="J262" s="1077">
        <v>0.9</v>
      </c>
      <c r="K262" s="1077" t="s">
        <v>2498</v>
      </c>
      <c r="L262" s="1077" t="s">
        <v>1776</v>
      </c>
      <c r="M262" s="1077">
        <v>75</v>
      </c>
      <c r="N262" s="1077" t="s">
        <v>945</v>
      </c>
      <c r="O262" s="1077">
        <v>1.875</v>
      </c>
      <c r="P262" s="1077">
        <v>1.5</v>
      </c>
      <c r="Q262" s="1077" t="s">
        <v>946</v>
      </c>
      <c r="R262" s="1077">
        <v>23</v>
      </c>
      <c r="T262" s="1077">
        <v>19</v>
      </c>
      <c r="U262" s="1077">
        <v>3.8</v>
      </c>
      <c r="V262" s="1077" t="s">
        <v>648</v>
      </c>
      <c r="W262" s="1077">
        <v>110</v>
      </c>
      <c r="X262" s="1077">
        <v>70</v>
      </c>
      <c r="Y262" s="1077">
        <v>2</v>
      </c>
      <c r="Z262" s="1077">
        <v>4.5</v>
      </c>
      <c r="AA262" s="1077" t="s">
        <v>2499</v>
      </c>
      <c r="AH262" s="1077" t="s">
        <v>618</v>
      </c>
      <c r="AM262" s="1078" t="s">
        <v>9571</v>
      </c>
      <c r="AN262" s="1078" t="s">
        <v>9572</v>
      </c>
      <c r="AO262" s="1078">
        <f t="shared" si="30"/>
        <v>700</v>
      </c>
      <c r="AP262" s="1078">
        <f t="shared" si="31"/>
        <v>1.7050000000000001</v>
      </c>
      <c r="AQ262" s="1078" t="str">
        <f t="shared" si="32"/>
        <v>1-4-1S83°</v>
      </c>
      <c r="AR262" s="1078" t="str">
        <f t="shared" si="33"/>
        <v>30.2</v>
      </c>
      <c r="AS262" s="1078" t="str">
        <f t="shared" si="34"/>
        <v>261/261/OFF</v>
      </c>
      <c r="AT262" s="1078" t="str">
        <f t="shared" si="35"/>
        <v>1-4-1S83°</v>
      </c>
      <c r="AV262" s="1078" t="str">
        <f t="shared" si="36"/>
        <v>109.1.15</v>
      </c>
      <c r="AW262" s="1344">
        <f t="shared" si="37"/>
        <v>43845</v>
      </c>
    </row>
    <row r="263" spans="1:49">
      <c r="A263" s="1077" t="s">
        <v>2500</v>
      </c>
      <c r="B263" s="1077" t="s">
        <v>453</v>
      </c>
      <c r="C263" s="1077">
        <v>650</v>
      </c>
      <c r="D263" s="1077">
        <v>1.69</v>
      </c>
      <c r="E263" s="1077" t="s">
        <v>15093</v>
      </c>
      <c r="F263" s="1077" t="s">
        <v>984</v>
      </c>
      <c r="G263" s="1077" t="s">
        <v>1767</v>
      </c>
      <c r="H263" s="1077" t="s">
        <v>1889</v>
      </c>
      <c r="I263" s="1077" t="s">
        <v>126</v>
      </c>
      <c r="J263" s="1077">
        <v>1</v>
      </c>
      <c r="K263" s="1077" t="s">
        <v>2501</v>
      </c>
      <c r="L263" s="1077" t="s">
        <v>1776</v>
      </c>
      <c r="M263" s="1077">
        <v>77</v>
      </c>
      <c r="N263" s="1077" t="s">
        <v>945</v>
      </c>
      <c r="O263" s="1077">
        <v>1.925</v>
      </c>
      <c r="P263" s="1077">
        <v>1.54</v>
      </c>
      <c r="Q263" s="1077" t="s">
        <v>2416</v>
      </c>
      <c r="R263" s="1077">
        <v>24</v>
      </c>
      <c r="T263" s="1077">
        <v>9</v>
      </c>
      <c r="U263" s="1077">
        <v>2.2000000000000002</v>
      </c>
      <c r="V263" s="1077" t="s">
        <v>648</v>
      </c>
      <c r="W263" s="1077">
        <v>110</v>
      </c>
      <c r="X263" s="1077" t="s">
        <v>1130</v>
      </c>
      <c r="Y263" s="1077">
        <v>2.1</v>
      </c>
      <c r="Z263" s="1077">
        <v>2.5</v>
      </c>
      <c r="AA263" s="1077" t="s">
        <v>2502</v>
      </c>
      <c r="AB263" s="1077" t="s">
        <v>981</v>
      </c>
      <c r="AH263" s="1077" t="s">
        <v>1796</v>
      </c>
      <c r="AM263" s="1078" t="s">
        <v>9573</v>
      </c>
      <c r="AN263" s="1078" t="s">
        <v>9574</v>
      </c>
      <c r="AO263" s="1078">
        <f t="shared" si="30"/>
        <v>650</v>
      </c>
      <c r="AP263" s="1078">
        <f t="shared" si="31"/>
        <v>1.69</v>
      </c>
      <c r="AQ263" s="1078" t="str">
        <f t="shared" si="32"/>
        <v>1-4-1S撚S83°</v>
      </c>
      <c r="AR263" s="1078" t="str">
        <f t="shared" si="33"/>
        <v>30</v>
      </c>
      <c r="AS263" s="1078" t="str">
        <f t="shared" si="34"/>
        <v>265/265/165</v>
      </c>
      <c r="AT263" s="1078" t="str">
        <f t="shared" si="35"/>
        <v>1-4-1S撚S83°</v>
      </c>
      <c r="AV263" s="1078" t="str">
        <f t="shared" si="36"/>
        <v>109.3.18</v>
      </c>
      <c r="AW263" s="1344">
        <f t="shared" si="37"/>
        <v>43908</v>
      </c>
    </row>
    <row r="264" spans="1:49">
      <c r="A264" s="1077" t="s">
        <v>2503</v>
      </c>
      <c r="B264" s="1077" t="s">
        <v>453</v>
      </c>
      <c r="C264" s="1077">
        <v>700</v>
      </c>
      <c r="D264" s="1077">
        <v>1.6850000000000001</v>
      </c>
      <c r="E264" s="1077" t="s">
        <v>15089</v>
      </c>
      <c r="F264" s="1077" t="s">
        <v>1773</v>
      </c>
      <c r="G264" s="1077" t="s">
        <v>1767</v>
      </c>
      <c r="H264" s="1077" t="s">
        <v>2480</v>
      </c>
      <c r="I264" s="1077" t="s">
        <v>126</v>
      </c>
      <c r="J264" s="1077">
        <v>0.9</v>
      </c>
      <c r="K264" s="1077" t="s">
        <v>2504</v>
      </c>
      <c r="L264" s="1077" t="s">
        <v>1776</v>
      </c>
      <c r="M264" s="1077">
        <v>75</v>
      </c>
      <c r="N264" s="1077" t="s">
        <v>945</v>
      </c>
      <c r="O264" s="1077">
        <v>1.875</v>
      </c>
      <c r="P264" s="1077">
        <v>1.5</v>
      </c>
      <c r="Q264" s="1077" t="s">
        <v>961</v>
      </c>
      <c r="R264" s="1077">
        <v>23</v>
      </c>
      <c r="T264" s="1077">
        <v>19</v>
      </c>
      <c r="U264" s="1077">
        <v>3.8</v>
      </c>
      <c r="V264" s="1077" t="s">
        <v>648</v>
      </c>
      <c r="W264" s="1077">
        <v>110</v>
      </c>
      <c r="X264" s="1077">
        <v>70</v>
      </c>
      <c r="Y264" s="1077">
        <v>2</v>
      </c>
      <c r="Z264" s="1077">
        <v>4.5</v>
      </c>
      <c r="AA264" s="1077" t="s">
        <v>2505</v>
      </c>
      <c r="AH264" s="1077" t="s">
        <v>990</v>
      </c>
      <c r="AM264" s="1078" t="s">
        <v>9575</v>
      </c>
      <c r="AN264" s="1078" t="s">
        <v>9576</v>
      </c>
      <c r="AO264" s="1078">
        <f t="shared" si="30"/>
        <v>700</v>
      </c>
      <c r="AP264" s="1078">
        <f t="shared" si="31"/>
        <v>1.6850000000000001</v>
      </c>
      <c r="AQ264" s="1078" t="str">
        <f t="shared" si="32"/>
        <v>1-4-1S83°</v>
      </c>
      <c r="AR264" s="1078" t="str">
        <f t="shared" si="33"/>
        <v>30.2</v>
      </c>
      <c r="AS264" s="1078" t="str">
        <f t="shared" si="34"/>
        <v>251/251/OFF</v>
      </c>
      <c r="AT264" s="1078" t="str">
        <f t="shared" si="35"/>
        <v>1-4-1S83°</v>
      </c>
      <c r="AV264" s="1078" t="str">
        <f t="shared" si="36"/>
        <v>109.6.19</v>
      </c>
      <c r="AW264" s="1344">
        <f t="shared" si="37"/>
        <v>44001</v>
      </c>
    </row>
    <row r="265" spans="1:49">
      <c r="A265" s="1077" t="s">
        <v>2506</v>
      </c>
      <c r="B265" s="1077" t="s">
        <v>453</v>
      </c>
      <c r="C265" s="1077">
        <v>600</v>
      </c>
      <c r="D265" s="1077">
        <v>1.704</v>
      </c>
      <c r="E265" s="1077" t="s">
        <v>15091</v>
      </c>
      <c r="F265" s="1077" t="s">
        <v>954</v>
      </c>
      <c r="G265" s="1077" t="s">
        <v>1767</v>
      </c>
      <c r="H265" s="1077" t="s">
        <v>2359</v>
      </c>
      <c r="I265" s="1077" t="s">
        <v>1112</v>
      </c>
      <c r="J265" s="1077">
        <v>0.9</v>
      </c>
      <c r="K265" s="1077" t="s">
        <v>2507</v>
      </c>
      <c r="L265" s="1077" t="s">
        <v>2430</v>
      </c>
      <c r="M265" s="1077">
        <v>75</v>
      </c>
      <c r="N265" s="1077" t="s">
        <v>945</v>
      </c>
      <c r="O265" s="1077">
        <v>1.875</v>
      </c>
      <c r="P265" s="1077">
        <v>1.5</v>
      </c>
      <c r="Q265" s="1077" t="s">
        <v>1037</v>
      </c>
      <c r="R265" s="1077">
        <v>23</v>
      </c>
      <c r="T265" s="1077">
        <v>19</v>
      </c>
      <c r="U265" s="1077">
        <v>3.8</v>
      </c>
      <c r="V265" s="1077" t="s">
        <v>648</v>
      </c>
      <c r="W265" s="1077">
        <v>110</v>
      </c>
      <c r="X265" s="1077">
        <v>70</v>
      </c>
      <c r="Y265" s="1077">
        <v>2</v>
      </c>
      <c r="Z265" s="1077" t="s">
        <v>2466</v>
      </c>
      <c r="AA265" s="1077" t="s">
        <v>2508</v>
      </c>
      <c r="AH265" s="1077" t="s">
        <v>831</v>
      </c>
      <c r="AM265" s="1078" t="s">
        <v>9577</v>
      </c>
      <c r="AN265" s="1078" t="s">
        <v>9578</v>
      </c>
      <c r="AO265" s="1078">
        <f t="shared" si="30"/>
        <v>600</v>
      </c>
      <c r="AP265" s="1078">
        <f t="shared" si="31"/>
        <v>1.704</v>
      </c>
      <c r="AQ265" s="1078" t="str">
        <f t="shared" si="32"/>
        <v>2-5-1S83°</v>
      </c>
      <c r="AR265" s="1078" t="str">
        <f t="shared" si="33"/>
        <v>31</v>
      </c>
      <c r="AS265" s="1078" t="str">
        <f t="shared" si="34"/>
        <v>174/OFF</v>
      </c>
      <c r="AT265" s="1078" t="str">
        <f t="shared" si="35"/>
        <v>2-5-1S83°</v>
      </c>
      <c r="AV265" s="1078" t="str">
        <f t="shared" si="36"/>
        <v>109.6.22</v>
      </c>
      <c r="AW265" s="1344">
        <f t="shared" si="37"/>
        <v>44004</v>
      </c>
    </row>
    <row r="266" spans="1:49">
      <c r="A266" s="1077" t="s">
        <v>2509</v>
      </c>
      <c r="B266" s="1077" t="s">
        <v>453</v>
      </c>
      <c r="C266" s="1077">
        <v>600</v>
      </c>
      <c r="D266" s="1077">
        <v>1.704</v>
      </c>
      <c r="E266" s="1077" t="s">
        <v>15091</v>
      </c>
      <c r="F266" s="1077" t="s">
        <v>1514</v>
      </c>
      <c r="G266" s="1077" t="s">
        <v>1767</v>
      </c>
      <c r="H266" s="1077" t="s">
        <v>2359</v>
      </c>
      <c r="I266" s="1077" t="s">
        <v>1112</v>
      </c>
      <c r="J266" s="1077">
        <v>0.9</v>
      </c>
      <c r="K266" s="1077" t="s">
        <v>2510</v>
      </c>
      <c r="L266" s="1077" t="s">
        <v>1776</v>
      </c>
      <c r="M266" s="1077">
        <v>75</v>
      </c>
      <c r="N266" s="1077" t="s">
        <v>945</v>
      </c>
      <c r="O266" s="1077">
        <v>1.875</v>
      </c>
      <c r="P266" s="1077">
        <v>1.5</v>
      </c>
      <c r="Q266" s="1077" t="s">
        <v>988</v>
      </c>
      <c r="R266" s="1077">
        <v>23</v>
      </c>
      <c r="T266" s="1077">
        <v>19</v>
      </c>
      <c r="U266" s="1077">
        <v>3.8</v>
      </c>
      <c r="V266" s="1077" t="s">
        <v>648</v>
      </c>
      <c r="W266" s="1077">
        <v>110</v>
      </c>
      <c r="X266" s="1077">
        <v>70</v>
      </c>
      <c r="Y266" s="1077">
        <v>2</v>
      </c>
      <c r="Z266" s="1077" t="s">
        <v>1297</v>
      </c>
      <c r="AA266" s="1077" t="s">
        <v>2511</v>
      </c>
      <c r="AH266" s="1077" t="s">
        <v>812</v>
      </c>
      <c r="AM266" s="1078" t="s">
        <v>9579</v>
      </c>
      <c r="AN266" s="1078" t="s">
        <v>9580</v>
      </c>
      <c r="AO266" s="1078">
        <f t="shared" si="30"/>
        <v>600</v>
      </c>
      <c r="AP266" s="1078">
        <f t="shared" si="31"/>
        <v>1.704</v>
      </c>
      <c r="AQ266" s="1078" t="str">
        <f t="shared" si="32"/>
        <v>2-5-1S83°</v>
      </c>
      <c r="AR266" s="1078" t="str">
        <f t="shared" si="33"/>
        <v>32</v>
      </c>
      <c r="AS266" s="1078" t="str">
        <f t="shared" si="34"/>
        <v>174/OFF</v>
      </c>
      <c r="AT266" s="1078" t="str">
        <f t="shared" si="35"/>
        <v>2-5-1S83°</v>
      </c>
      <c r="AV266" s="1078" t="str">
        <f t="shared" si="36"/>
        <v>109.7.3</v>
      </c>
      <c r="AW266" s="1344">
        <f t="shared" si="37"/>
        <v>44015</v>
      </c>
    </row>
    <row r="267" spans="1:49">
      <c r="A267" s="1077" t="s">
        <v>2512</v>
      </c>
      <c r="B267" s="1077" t="s">
        <v>2513</v>
      </c>
      <c r="C267" s="1077">
        <v>500</v>
      </c>
      <c r="D267" s="1077">
        <v>1.78</v>
      </c>
      <c r="E267" s="1077" t="s">
        <v>15091</v>
      </c>
      <c r="F267" s="1077" t="s">
        <v>984</v>
      </c>
      <c r="G267" s="1077" t="s">
        <v>940</v>
      </c>
      <c r="H267" s="1077" t="s">
        <v>1799</v>
      </c>
      <c r="I267" s="1077" t="s">
        <v>1112</v>
      </c>
      <c r="J267" s="1077">
        <v>0.5</v>
      </c>
      <c r="K267" s="1077" t="s">
        <v>1986</v>
      </c>
      <c r="L267" s="1077" t="s">
        <v>2514</v>
      </c>
      <c r="M267" s="1077">
        <v>75.5</v>
      </c>
      <c r="N267" s="1077" t="s">
        <v>945</v>
      </c>
      <c r="O267" s="1077">
        <v>1.8875000000000002</v>
      </c>
      <c r="P267" s="1077">
        <v>1.51</v>
      </c>
      <c r="Q267" s="1077" t="s">
        <v>1369</v>
      </c>
      <c r="R267" s="1077">
        <v>23</v>
      </c>
      <c r="T267" s="1077">
        <v>9</v>
      </c>
      <c r="U267" s="1077">
        <v>5.5</v>
      </c>
      <c r="V267" s="1077" t="s">
        <v>648</v>
      </c>
      <c r="W267" s="1077">
        <v>100</v>
      </c>
      <c r="X267" s="1077">
        <v>75</v>
      </c>
      <c r="Y267" s="1077">
        <v>2</v>
      </c>
      <c r="Z267" s="1077">
        <v>4</v>
      </c>
      <c r="AA267" s="1077" t="s">
        <v>2515</v>
      </c>
      <c r="AH267" s="1077" t="s">
        <v>785</v>
      </c>
      <c r="AM267" s="1078" t="s">
        <v>9581</v>
      </c>
      <c r="AN267" s="1078" t="s">
        <v>9582</v>
      </c>
      <c r="AO267" s="1078">
        <f t="shared" ref="AO267:AO330" si="38">C267</f>
        <v>500</v>
      </c>
      <c r="AP267" s="1078">
        <f t="shared" ref="AP267:AP330" si="39">D267</f>
        <v>1.78</v>
      </c>
      <c r="AQ267" s="1078" t="str">
        <f t="shared" ref="AQ267:AQ330" si="40">E267</f>
        <v>2-5-1S83°</v>
      </c>
      <c r="AR267" s="1078" t="str">
        <f t="shared" ref="AR267:AR330" si="41">F267</f>
        <v>30</v>
      </c>
      <c r="AS267" s="1078" t="str">
        <f t="shared" ref="AS267:AS330" si="42">H267</f>
        <v>153/OFF</v>
      </c>
      <c r="AT267" s="1078" t="str">
        <f t="shared" ref="AT267:AT330" si="43">E267</f>
        <v>2-5-1S83°</v>
      </c>
      <c r="AV267" s="1078" t="str">
        <f t="shared" si="36"/>
        <v>108.1.12</v>
      </c>
      <c r="AW267" s="1344">
        <f t="shared" si="37"/>
        <v>43477</v>
      </c>
    </row>
    <row r="268" spans="1:49">
      <c r="A268" s="1077" t="s">
        <v>2516</v>
      </c>
      <c r="B268" s="1077" t="s">
        <v>2517</v>
      </c>
      <c r="C268" s="1077">
        <v>650</v>
      </c>
      <c r="D268" s="1077">
        <v>1.778</v>
      </c>
      <c r="E268" s="1077" t="s">
        <v>15089</v>
      </c>
      <c r="F268" s="1077" t="s">
        <v>954</v>
      </c>
      <c r="G268" s="1077" t="s">
        <v>940</v>
      </c>
      <c r="H268" s="1077" t="s">
        <v>1806</v>
      </c>
      <c r="I268" s="1077" t="s">
        <v>126</v>
      </c>
      <c r="J268" s="1077">
        <v>0.8</v>
      </c>
      <c r="K268" s="1077" t="s">
        <v>2236</v>
      </c>
      <c r="L268" s="1077" t="s">
        <v>2518</v>
      </c>
      <c r="M268" s="1077">
        <v>76.900000000000006</v>
      </c>
      <c r="N268" s="1077" t="s">
        <v>945</v>
      </c>
      <c r="O268" s="1077">
        <v>1.9225000000000003</v>
      </c>
      <c r="P268" s="1077">
        <v>1.5380000000000003</v>
      </c>
      <c r="Q268" s="1077" t="s">
        <v>2519</v>
      </c>
      <c r="R268" s="1077">
        <v>21.4</v>
      </c>
      <c r="T268" s="1077">
        <v>21.8</v>
      </c>
      <c r="U268" s="1077">
        <v>3.3</v>
      </c>
      <c r="V268" s="1077" t="s">
        <v>2520</v>
      </c>
      <c r="W268" s="1077">
        <v>95</v>
      </c>
      <c r="X268" s="1077">
        <v>55</v>
      </c>
      <c r="Y268" s="1077">
        <v>1.4</v>
      </c>
      <c r="Z268" s="1077">
        <v>6</v>
      </c>
      <c r="AA268" s="1077" t="s">
        <v>2521</v>
      </c>
      <c r="AH268" s="1077" t="s">
        <v>1482</v>
      </c>
      <c r="AM268" s="1078" t="s">
        <v>9583</v>
      </c>
      <c r="AN268" s="1078" t="s">
        <v>9584</v>
      </c>
      <c r="AO268" s="1078">
        <f t="shared" si="38"/>
        <v>650</v>
      </c>
      <c r="AP268" s="1078">
        <f t="shared" si="39"/>
        <v>1.778</v>
      </c>
      <c r="AQ268" s="1078" t="str">
        <f t="shared" si="40"/>
        <v>1-4-1S83°</v>
      </c>
      <c r="AR268" s="1078" t="str">
        <f t="shared" si="41"/>
        <v>31</v>
      </c>
      <c r="AS268" s="1078" t="str">
        <f t="shared" si="42"/>
        <v>280/280/OFF</v>
      </c>
      <c r="AT268" s="1078" t="str">
        <f t="shared" si="43"/>
        <v>1-4-1S83°</v>
      </c>
      <c r="AV268" s="1078" t="str">
        <f t="shared" si="36"/>
        <v>108.1.11</v>
      </c>
      <c r="AW268" s="1344">
        <f t="shared" si="37"/>
        <v>43476</v>
      </c>
    </row>
    <row r="269" spans="1:49">
      <c r="A269" s="1077" t="s">
        <v>2522</v>
      </c>
      <c r="B269" s="1077" t="s">
        <v>850</v>
      </c>
      <c r="C269" s="1077">
        <v>550</v>
      </c>
      <c r="D269" s="1077">
        <v>1.74</v>
      </c>
      <c r="E269" s="1077" t="s">
        <v>15095</v>
      </c>
      <c r="F269" s="1077" t="s">
        <v>984</v>
      </c>
      <c r="G269" s="1077" t="s">
        <v>940</v>
      </c>
      <c r="H269" s="1077" t="s">
        <v>1017</v>
      </c>
      <c r="I269" s="1077" t="s">
        <v>626</v>
      </c>
      <c r="J269" s="1077">
        <v>1</v>
      </c>
      <c r="K269" s="1077" t="s">
        <v>2523</v>
      </c>
      <c r="L269" s="1077" t="s">
        <v>2524</v>
      </c>
      <c r="M269" s="1077">
        <v>79</v>
      </c>
      <c r="N269" s="1077" t="s">
        <v>945</v>
      </c>
      <c r="O269" s="1077">
        <v>1.9750000000000001</v>
      </c>
      <c r="P269" s="1077">
        <v>1.58</v>
      </c>
      <c r="Q269" s="1077" t="s">
        <v>1012</v>
      </c>
      <c r="R269" s="1077">
        <v>25</v>
      </c>
      <c r="T269" s="1077">
        <v>9.6</v>
      </c>
      <c r="U269" s="1077">
        <v>6.8</v>
      </c>
      <c r="V269" s="1077" t="s">
        <v>648</v>
      </c>
      <c r="W269" s="1077">
        <v>135</v>
      </c>
      <c r="X269" s="1077">
        <v>65</v>
      </c>
      <c r="Y269" s="1077">
        <v>1.4</v>
      </c>
      <c r="Z269" s="1077">
        <v>4</v>
      </c>
      <c r="AA269" s="1077" t="s">
        <v>2525</v>
      </c>
      <c r="AH269" s="1077" t="s">
        <v>619</v>
      </c>
      <c r="AM269" s="1078" t="s">
        <v>9585</v>
      </c>
      <c r="AN269" s="1078" t="s">
        <v>9586</v>
      </c>
      <c r="AO269" s="1078">
        <f t="shared" si="38"/>
        <v>550</v>
      </c>
      <c r="AP269" s="1078">
        <f t="shared" si="39"/>
        <v>1.74</v>
      </c>
      <c r="AQ269" s="1078" t="str">
        <f t="shared" si="40"/>
        <v>1-5-1S83°</v>
      </c>
      <c r="AR269" s="1078" t="str">
        <f t="shared" si="41"/>
        <v>30</v>
      </c>
      <c r="AS269" s="1078" t="str">
        <f t="shared" si="42"/>
        <v>200/200/OFF</v>
      </c>
      <c r="AT269" s="1078" t="str">
        <f t="shared" si="43"/>
        <v>1-5-1S83°</v>
      </c>
      <c r="AV269" s="1078" t="str">
        <f t="shared" si="36"/>
        <v>108.1.14</v>
      </c>
      <c r="AW269" s="1344">
        <f t="shared" si="37"/>
        <v>43479</v>
      </c>
    </row>
    <row r="270" spans="1:49">
      <c r="A270" s="1077" t="s">
        <v>2526</v>
      </c>
      <c r="B270" s="1077" t="s">
        <v>2527</v>
      </c>
      <c r="C270" s="1077">
        <v>750</v>
      </c>
      <c r="D270" s="1077">
        <v>1.7050000000000001</v>
      </c>
      <c r="E270" s="1077" t="s">
        <v>15089</v>
      </c>
      <c r="F270" s="1077" t="s">
        <v>1773</v>
      </c>
      <c r="G270" s="1077" t="s">
        <v>1767</v>
      </c>
      <c r="H270" s="1077" t="s">
        <v>1875</v>
      </c>
      <c r="I270" s="1077" t="s">
        <v>126</v>
      </c>
      <c r="J270" s="1077">
        <v>0.9</v>
      </c>
      <c r="K270" s="1077" t="s">
        <v>2528</v>
      </c>
      <c r="L270" s="1077" t="s">
        <v>2430</v>
      </c>
      <c r="M270" s="1077">
        <v>75</v>
      </c>
      <c r="N270" s="1077" t="s">
        <v>945</v>
      </c>
      <c r="O270" s="1077">
        <v>1.875</v>
      </c>
      <c r="P270" s="1077">
        <v>1.5</v>
      </c>
      <c r="Q270" s="1077" t="s">
        <v>956</v>
      </c>
      <c r="R270" s="1077">
        <v>23</v>
      </c>
      <c r="T270" s="1077">
        <v>19</v>
      </c>
      <c r="U270" s="1077">
        <v>3.8</v>
      </c>
      <c r="V270" s="1077" t="s">
        <v>648</v>
      </c>
      <c r="W270" s="1077">
        <v>110</v>
      </c>
      <c r="X270" s="1077">
        <v>70</v>
      </c>
      <c r="Y270" s="1077">
        <v>2</v>
      </c>
      <c r="Z270" s="1077">
        <v>4.5</v>
      </c>
      <c r="AA270" s="1077" t="s">
        <v>2529</v>
      </c>
      <c r="AH270" s="1077" t="s">
        <v>990</v>
      </c>
      <c r="AM270" s="1078" t="s">
        <v>9587</v>
      </c>
      <c r="AN270" s="1078" t="s">
        <v>9588</v>
      </c>
      <c r="AO270" s="1078">
        <f t="shared" si="38"/>
        <v>750</v>
      </c>
      <c r="AP270" s="1078">
        <f t="shared" si="39"/>
        <v>1.7050000000000001</v>
      </c>
      <c r="AQ270" s="1078" t="str">
        <f t="shared" si="40"/>
        <v>1-4-1S83°</v>
      </c>
      <c r="AR270" s="1078" t="str">
        <f t="shared" si="41"/>
        <v>30.2</v>
      </c>
      <c r="AS270" s="1078" t="str">
        <f t="shared" si="42"/>
        <v>267/267/OFF</v>
      </c>
      <c r="AT270" s="1078" t="str">
        <f t="shared" si="43"/>
        <v>1-4-1S83°</v>
      </c>
      <c r="AV270" s="1078" t="str">
        <f t="shared" si="36"/>
        <v>108.1.23</v>
      </c>
      <c r="AW270" s="1344">
        <f t="shared" si="37"/>
        <v>43488</v>
      </c>
    </row>
    <row r="271" spans="1:49">
      <c r="A271" s="1077" t="s">
        <v>2530</v>
      </c>
      <c r="B271" s="1077" t="s">
        <v>472</v>
      </c>
      <c r="C271" s="1077">
        <v>550</v>
      </c>
      <c r="D271" s="1077">
        <v>1.68</v>
      </c>
      <c r="E271" s="1077" t="s">
        <v>15089</v>
      </c>
      <c r="F271" s="1077" t="s">
        <v>984</v>
      </c>
      <c r="G271" s="1077" t="s">
        <v>1767</v>
      </c>
      <c r="H271" s="1077" t="s">
        <v>1327</v>
      </c>
      <c r="I271" s="1077" t="s">
        <v>126</v>
      </c>
      <c r="J271" s="1077">
        <v>0.6</v>
      </c>
      <c r="K271" s="1077" t="s">
        <v>2531</v>
      </c>
      <c r="L271" s="1077" t="s">
        <v>1811</v>
      </c>
      <c r="M271" s="1077">
        <v>74.599999999999994</v>
      </c>
      <c r="N271" s="1077" t="s">
        <v>945</v>
      </c>
      <c r="O271" s="1077">
        <v>1.865</v>
      </c>
      <c r="P271" s="1077">
        <v>1.492</v>
      </c>
      <c r="Q271" s="1077" t="s">
        <v>2401</v>
      </c>
      <c r="R271" s="1077">
        <v>23.5</v>
      </c>
      <c r="T271" s="1077">
        <v>12.5</v>
      </c>
      <c r="U271" s="1077">
        <v>5.0999999999999996</v>
      </c>
      <c r="V271" s="1077" t="s">
        <v>648</v>
      </c>
      <c r="W271" s="1077" t="s">
        <v>2532</v>
      </c>
      <c r="X271" s="1077">
        <v>60</v>
      </c>
      <c r="Y271" s="1077">
        <v>1.8</v>
      </c>
      <c r="Z271" s="1077">
        <v>4.5</v>
      </c>
      <c r="AA271" s="1077" t="s">
        <v>2533</v>
      </c>
      <c r="AH271" s="1077" t="s">
        <v>456</v>
      </c>
      <c r="AM271" s="1078" t="s">
        <v>9589</v>
      </c>
      <c r="AN271" s="1078" t="s">
        <v>9590</v>
      </c>
      <c r="AO271" s="1078">
        <f t="shared" si="38"/>
        <v>550</v>
      </c>
      <c r="AP271" s="1078">
        <f t="shared" si="39"/>
        <v>1.68</v>
      </c>
      <c r="AQ271" s="1078" t="str">
        <f t="shared" si="40"/>
        <v>1-4-1S83°</v>
      </c>
      <c r="AR271" s="1078" t="str">
        <f t="shared" si="41"/>
        <v>30</v>
      </c>
      <c r="AS271" s="1078" t="str">
        <f t="shared" si="42"/>
        <v>232/232/OFF</v>
      </c>
      <c r="AT271" s="1078" t="str">
        <f t="shared" si="43"/>
        <v>1-4-1S83°</v>
      </c>
      <c r="AV271" s="1078" t="str">
        <f t="shared" si="36"/>
        <v>108.1.18</v>
      </c>
      <c r="AW271" s="1344">
        <f t="shared" si="37"/>
        <v>43483</v>
      </c>
    </row>
    <row r="272" spans="1:49">
      <c r="A272" s="1077" t="s">
        <v>2534</v>
      </c>
      <c r="B272" s="1077" t="s">
        <v>1903</v>
      </c>
      <c r="C272" s="1077">
        <v>620</v>
      </c>
      <c r="D272" s="1077">
        <v>1.68</v>
      </c>
      <c r="E272" s="1077" t="s">
        <v>15089</v>
      </c>
      <c r="F272" s="1077" t="s">
        <v>975</v>
      </c>
      <c r="G272" s="1077" t="s">
        <v>1867</v>
      </c>
      <c r="H272" s="1077" t="s">
        <v>1145</v>
      </c>
      <c r="I272" s="1077" t="s">
        <v>126</v>
      </c>
      <c r="J272" s="1077">
        <v>0.7</v>
      </c>
      <c r="K272" s="1077" t="s">
        <v>2535</v>
      </c>
      <c r="L272" s="1077" t="s">
        <v>1905</v>
      </c>
      <c r="M272" s="1077">
        <v>74</v>
      </c>
      <c r="N272" s="1077" t="s">
        <v>945</v>
      </c>
      <c r="O272" s="1077">
        <v>1.85</v>
      </c>
      <c r="P272" s="1077">
        <v>1.48</v>
      </c>
      <c r="Q272" s="1077" t="s">
        <v>2536</v>
      </c>
      <c r="R272" s="1077">
        <v>25.8</v>
      </c>
      <c r="T272" s="1077">
        <v>13.8</v>
      </c>
      <c r="U272" s="1077">
        <v>5.0999999999999996</v>
      </c>
      <c r="V272" s="1077" t="s">
        <v>648</v>
      </c>
      <c r="W272" s="1077">
        <v>105</v>
      </c>
      <c r="X272" s="1077">
        <v>60</v>
      </c>
      <c r="Y272" s="1077">
        <v>1.8</v>
      </c>
      <c r="Z272" s="1077">
        <v>4</v>
      </c>
      <c r="AA272" s="1077" t="s">
        <v>2533</v>
      </c>
      <c r="AH272" s="1077" t="s">
        <v>1421</v>
      </c>
      <c r="AM272" s="1078" t="s">
        <v>9591</v>
      </c>
      <c r="AN272" s="1078" t="s">
        <v>9592</v>
      </c>
      <c r="AO272" s="1078">
        <f t="shared" si="38"/>
        <v>620</v>
      </c>
      <c r="AP272" s="1078">
        <f t="shared" si="39"/>
        <v>1.68</v>
      </c>
      <c r="AQ272" s="1078" t="str">
        <f t="shared" si="40"/>
        <v>1-4-1S83°</v>
      </c>
      <c r="AR272" s="1078" t="str">
        <f t="shared" si="41"/>
        <v>31.5</v>
      </c>
      <c r="AS272" s="1078" t="str">
        <f t="shared" si="42"/>
        <v>235/235/OFF</v>
      </c>
      <c r="AT272" s="1078" t="str">
        <f t="shared" si="43"/>
        <v>1-4-1S83°</v>
      </c>
      <c r="AV272" s="1078" t="str">
        <f t="shared" si="36"/>
        <v>108.1.18</v>
      </c>
      <c r="AW272" s="1344">
        <f t="shared" si="37"/>
        <v>43483</v>
      </c>
    </row>
    <row r="273" spans="1:49">
      <c r="A273" s="1077" t="s">
        <v>2537</v>
      </c>
      <c r="B273" s="1077" t="s">
        <v>1823</v>
      </c>
      <c r="C273" s="1077">
        <v>500</v>
      </c>
      <c r="D273" s="1077">
        <v>1.756</v>
      </c>
      <c r="E273" s="1077" t="s">
        <v>15095</v>
      </c>
      <c r="F273" s="1077" t="s">
        <v>984</v>
      </c>
      <c r="G273" s="1077" t="s">
        <v>1016</v>
      </c>
      <c r="H273" s="1077" t="s">
        <v>1226</v>
      </c>
      <c r="I273" s="1077" t="s">
        <v>126</v>
      </c>
      <c r="J273" s="1077">
        <v>0.6</v>
      </c>
      <c r="K273" s="1077" t="s">
        <v>2538</v>
      </c>
      <c r="L273" s="1077" t="s">
        <v>1825</v>
      </c>
      <c r="M273" s="1077">
        <v>73.8</v>
      </c>
      <c r="N273" s="1077" t="s">
        <v>945</v>
      </c>
      <c r="O273" s="1077">
        <v>1.845</v>
      </c>
      <c r="P273" s="1077">
        <v>1.476</v>
      </c>
      <c r="Q273" s="1077" t="s">
        <v>1264</v>
      </c>
      <c r="R273" s="1077">
        <v>18.5</v>
      </c>
      <c r="T273" s="1077">
        <v>21</v>
      </c>
      <c r="U273" s="1077">
        <v>3.8</v>
      </c>
      <c r="V273" s="1077" t="s">
        <v>648</v>
      </c>
      <c r="W273" s="1077">
        <v>110</v>
      </c>
      <c r="X273" s="1077">
        <v>85</v>
      </c>
      <c r="Y273" s="1077">
        <v>1.9</v>
      </c>
      <c r="Z273" s="1077">
        <v>4</v>
      </c>
      <c r="AA273" s="1077" t="s">
        <v>1006</v>
      </c>
      <c r="AH273" s="1077" t="s">
        <v>1137</v>
      </c>
      <c r="AM273" s="1078" t="s">
        <v>9593</v>
      </c>
      <c r="AN273" s="1078" t="s">
        <v>9594</v>
      </c>
      <c r="AO273" s="1078">
        <f t="shared" si="38"/>
        <v>500</v>
      </c>
      <c r="AP273" s="1078">
        <f t="shared" si="39"/>
        <v>1.756</v>
      </c>
      <c r="AQ273" s="1078" t="str">
        <f t="shared" si="40"/>
        <v>1-5-1S83°</v>
      </c>
      <c r="AR273" s="1078" t="str">
        <f t="shared" si="41"/>
        <v>30</v>
      </c>
      <c r="AS273" s="1078" t="str">
        <f t="shared" si="42"/>
        <v>230/230/OFF</v>
      </c>
      <c r="AT273" s="1078" t="str">
        <f t="shared" si="43"/>
        <v>1-5-1S83°</v>
      </c>
      <c r="AV273" s="1078" t="str">
        <f t="shared" si="36"/>
        <v>108.1.31</v>
      </c>
      <c r="AW273" s="1344">
        <f t="shared" si="37"/>
        <v>43496</v>
      </c>
    </row>
    <row r="274" spans="1:49">
      <c r="A274" s="1077" t="s">
        <v>2539</v>
      </c>
      <c r="B274" s="1077" t="s">
        <v>1792</v>
      </c>
      <c r="C274" s="1077">
        <v>750</v>
      </c>
      <c r="D274" s="1077">
        <v>1.78</v>
      </c>
      <c r="E274" s="1077" t="s">
        <v>15089</v>
      </c>
      <c r="F274" s="1077" t="s">
        <v>954</v>
      </c>
      <c r="G274" s="1077" t="s">
        <v>1767</v>
      </c>
      <c r="H274" s="1077" t="s">
        <v>2540</v>
      </c>
      <c r="I274" s="1077" t="s">
        <v>126</v>
      </c>
      <c r="J274" s="1077">
        <v>1.5</v>
      </c>
      <c r="K274" s="1077" t="s">
        <v>2541</v>
      </c>
      <c r="L274" s="1077" t="s">
        <v>1795</v>
      </c>
      <c r="M274" s="1077">
        <v>73</v>
      </c>
      <c r="N274" s="1077" t="s">
        <v>945</v>
      </c>
      <c r="O274" s="1077">
        <v>1.8250000000000002</v>
      </c>
      <c r="P274" s="1077">
        <v>1.46</v>
      </c>
      <c r="Q274" s="1077" t="s">
        <v>979</v>
      </c>
      <c r="R274" s="1077">
        <v>21.6</v>
      </c>
      <c r="T274" s="1077">
        <v>32</v>
      </c>
      <c r="U274" s="1077">
        <v>3.5</v>
      </c>
      <c r="V274" s="1077" t="s">
        <v>648</v>
      </c>
      <c r="W274" s="1077">
        <v>100</v>
      </c>
      <c r="X274" s="1077">
        <v>60</v>
      </c>
      <c r="Y274" s="1077">
        <v>1.5</v>
      </c>
      <c r="Z274" s="1077">
        <v>5.5</v>
      </c>
      <c r="AA274" s="1077" t="s">
        <v>2542</v>
      </c>
      <c r="AH274" s="1077" t="s">
        <v>1452</v>
      </c>
      <c r="AM274" s="1078" t="s">
        <v>9595</v>
      </c>
      <c r="AN274" s="1078" t="s">
        <v>9596</v>
      </c>
      <c r="AO274" s="1078">
        <f t="shared" si="38"/>
        <v>750</v>
      </c>
      <c r="AP274" s="1078">
        <f t="shared" si="39"/>
        <v>1.78</v>
      </c>
      <c r="AQ274" s="1078" t="str">
        <f t="shared" si="40"/>
        <v>1-4-1S83°</v>
      </c>
      <c r="AR274" s="1078" t="str">
        <f t="shared" si="41"/>
        <v>31</v>
      </c>
      <c r="AS274" s="1078" t="str">
        <f t="shared" si="42"/>
        <v>300/300/OFF</v>
      </c>
      <c r="AT274" s="1078" t="str">
        <f t="shared" si="43"/>
        <v>1-4-1S83°</v>
      </c>
      <c r="AV274" s="1078" t="str">
        <f t="shared" si="36"/>
        <v>108.2.15</v>
      </c>
      <c r="AW274" s="1344">
        <f t="shared" si="37"/>
        <v>43511</v>
      </c>
    </row>
    <row r="275" spans="1:49">
      <c r="A275" s="1077" t="s">
        <v>2543</v>
      </c>
      <c r="B275" s="1077" t="s">
        <v>2544</v>
      </c>
      <c r="C275" s="1077">
        <v>500</v>
      </c>
      <c r="D275" s="1077">
        <v>1.68</v>
      </c>
      <c r="E275" s="1077" t="s">
        <v>15089</v>
      </c>
      <c r="F275" s="1077" t="s">
        <v>984</v>
      </c>
      <c r="G275" s="1077" t="s">
        <v>940</v>
      </c>
      <c r="H275" s="1077" t="s">
        <v>2545</v>
      </c>
      <c r="I275" s="1077" t="s">
        <v>626</v>
      </c>
      <c r="J275" s="1077">
        <v>1.2</v>
      </c>
      <c r="K275" s="1077" t="s">
        <v>2546</v>
      </c>
      <c r="L275" s="1077" t="s">
        <v>2547</v>
      </c>
      <c r="M275" s="1077">
        <v>77.599999999999994</v>
      </c>
      <c r="N275" s="1077" t="s">
        <v>945</v>
      </c>
      <c r="O275" s="1077">
        <v>1.94</v>
      </c>
      <c r="P275" s="1077">
        <v>1.5519999999999998</v>
      </c>
      <c r="Q275" s="1077" t="s">
        <v>1059</v>
      </c>
      <c r="R275" s="1077">
        <v>25.1</v>
      </c>
      <c r="T275" s="1077">
        <v>49.4</v>
      </c>
      <c r="U275" s="1077">
        <v>3.8</v>
      </c>
      <c r="V275" s="1077" t="s">
        <v>648</v>
      </c>
      <c r="W275" s="1077">
        <v>100</v>
      </c>
      <c r="X275" s="1077">
        <v>10</v>
      </c>
      <c r="Y275" s="1077">
        <v>1.3</v>
      </c>
      <c r="Z275" s="1077">
        <v>6</v>
      </c>
      <c r="AA275" s="1077" t="s">
        <v>2548</v>
      </c>
      <c r="AH275" s="1077" t="s">
        <v>990</v>
      </c>
      <c r="AM275" s="1078" t="s">
        <v>9597</v>
      </c>
      <c r="AN275" s="1078" t="s">
        <v>9598</v>
      </c>
      <c r="AO275" s="1078">
        <f t="shared" si="38"/>
        <v>500</v>
      </c>
      <c r="AP275" s="1078">
        <f t="shared" si="39"/>
        <v>1.68</v>
      </c>
      <c r="AQ275" s="1078" t="str">
        <f t="shared" si="40"/>
        <v>1-4-1S83°</v>
      </c>
      <c r="AR275" s="1078" t="str">
        <f t="shared" si="41"/>
        <v>30</v>
      </c>
      <c r="AS275" s="1078" t="str">
        <f t="shared" si="42"/>
        <v>260/270/OFF</v>
      </c>
      <c r="AT275" s="1078" t="str">
        <f t="shared" si="43"/>
        <v>1-4-1S83°</v>
      </c>
      <c r="AV275" s="1078" t="str">
        <f t="shared" si="36"/>
        <v>108.2.13</v>
      </c>
      <c r="AW275" s="1344">
        <f t="shared" si="37"/>
        <v>43509</v>
      </c>
    </row>
    <row r="276" spans="1:49">
      <c r="A276" s="1077" t="s">
        <v>2549</v>
      </c>
      <c r="B276" s="1077" t="s">
        <v>2550</v>
      </c>
      <c r="C276" s="1077">
        <v>550</v>
      </c>
      <c r="D276" s="1077">
        <v>1.7549999999999999</v>
      </c>
      <c r="E276" s="1077" t="s">
        <v>15089</v>
      </c>
      <c r="F276" s="1077" t="s">
        <v>984</v>
      </c>
      <c r="G276" s="1077" t="s">
        <v>940</v>
      </c>
      <c r="H276" s="1077" t="s">
        <v>1793</v>
      </c>
      <c r="I276" s="1077" t="s">
        <v>126</v>
      </c>
      <c r="J276" s="1077">
        <v>0.9</v>
      </c>
      <c r="K276" s="1077" t="s">
        <v>2551</v>
      </c>
      <c r="L276" s="1077" t="s">
        <v>2552</v>
      </c>
      <c r="M276" s="1077">
        <v>74</v>
      </c>
      <c r="N276" s="1077" t="s">
        <v>945</v>
      </c>
      <c r="O276" s="1077">
        <v>1.85</v>
      </c>
      <c r="P276" s="1077">
        <v>1.48</v>
      </c>
      <c r="Q276" s="1077" t="s">
        <v>2553</v>
      </c>
      <c r="R276" s="1077">
        <v>23</v>
      </c>
      <c r="T276" s="1077">
        <v>24.5</v>
      </c>
      <c r="U276" s="1077">
        <v>3.1</v>
      </c>
      <c r="V276" s="1077" t="s">
        <v>648</v>
      </c>
      <c r="W276" s="1077">
        <v>115</v>
      </c>
      <c r="X276" s="1077">
        <v>80</v>
      </c>
      <c r="Y276" s="1077">
        <v>1.5</v>
      </c>
      <c r="Z276" s="1077">
        <v>4.5</v>
      </c>
      <c r="AA276" s="1077" t="s">
        <v>2542</v>
      </c>
      <c r="AH276" s="1077" t="s">
        <v>878</v>
      </c>
      <c r="AM276" s="1078" t="s">
        <v>9599</v>
      </c>
      <c r="AN276" s="1078" t="s">
        <v>9600</v>
      </c>
      <c r="AO276" s="1078">
        <f t="shared" si="38"/>
        <v>550</v>
      </c>
      <c r="AP276" s="1078">
        <f t="shared" si="39"/>
        <v>1.7549999999999999</v>
      </c>
      <c r="AQ276" s="1078" t="str">
        <f t="shared" si="40"/>
        <v>1-4-1S83°</v>
      </c>
      <c r="AR276" s="1078" t="str">
        <f t="shared" si="41"/>
        <v>30</v>
      </c>
      <c r="AS276" s="1078" t="str">
        <f t="shared" si="42"/>
        <v>270/270/OFF</v>
      </c>
      <c r="AT276" s="1078" t="str">
        <f t="shared" si="43"/>
        <v>1-4-1S83°</v>
      </c>
      <c r="AV276" s="1078" t="str">
        <f t="shared" si="36"/>
        <v>108.2.15</v>
      </c>
      <c r="AW276" s="1344">
        <f t="shared" si="37"/>
        <v>43511</v>
      </c>
    </row>
    <row r="277" spans="1:49">
      <c r="A277" s="1077" t="s">
        <v>2554</v>
      </c>
      <c r="B277" s="1077" t="s">
        <v>472</v>
      </c>
      <c r="C277" s="1077">
        <v>550</v>
      </c>
      <c r="D277" s="1077">
        <v>1.68</v>
      </c>
      <c r="E277" s="1077" t="s">
        <v>15089</v>
      </c>
      <c r="F277" s="1077" t="s">
        <v>984</v>
      </c>
      <c r="G277" s="1077" t="s">
        <v>1767</v>
      </c>
      <c r="H277" s="1077" t="s">
        <v>1327</v>
      </c>
      <c r="I277" s="1077" t="s">
        <v>126</v>
      </c>
      <c r="J277" s="1077">
        <v>0.6</v>
      </c>
      <c r="K277" s="1077" t="s">
        <v>2555</v>
      </c>
      <c r="L277" s="1077" t="s">
        <v>1811</v>
      </c>
      <c r="M277" s="1077">
        <v>74.599999999999994</v>
      </c>
      <c r="N277" s="1077" t="s">
        <v>945</v>
      </c>
      <c r="O277" s="1077">
        <v>1.865</v>
      </c>
      <c r="P277" s="1077">
        <v>1.492</v>
      </c>
      <c r="Q277" s="1077" t="s">
        <v>2401</v>
      </c>
      <c r="R277" s="1077">
        <v>23.5</v>
      </c>
      <c r="T277" s="1077">
        <v>12.5</v>
      </c>
      <c r="U277" s="1077">
        <v>5.0999999999999996</v>
      </c>
      <c r="V277" s="1077" t="s">
        <v>648</v>
      </c>
      <c r="W277" s="1077" t="s">
        <v>2532</v>
      </c>
      <c r="X277" s="1077">
        <v>60</v>
      </c>
      <c r="Y277" s="1077">
        <v>1.8</v>
      </c>
      <c r="Z277" s="1077">
        <v>4.5</v>
      </c>
      <c r="AA277" s="1077" t="s">
        <v>2556</v>
      </c>
      <c r="AH277" s="1077" t="s">
        <v>1186</v>
      </c>
      <c r="AM277" s="1078" t="s">
        <v>9601</v>
      </c>
      <c r="AN277" s="1078" t="s">
        <v>9602</v>
      </c>
      <c r="AO277" s="1078">
        <f t="shared" si="38"/>
        <v>550</v>
      </c>
      <c r="AP277" s="1078">
        <f t="shared" si="39"/>
        <v>1.68</v>
      </c>
      <c r="AQ277" s="1078" t="str">
        <f t="shared" si="40"/>
        <v>1-4-1S83°</v>
      </c>
      <c r="AR277" s="1078" t="str">
        <f t="shared" si="41"/>
        <v>30</v>
      </c>
      <c r="AS277" s="1078" t="str">
        <f t="shared" si="42"/>
        <v>232/232/OFF</v>
      </c>
      <c r="AT277" s="1078" t="str">
        <f t="shared" si="43"/>
        <v>1-4-1S83°</v>
      </c>
      <c r="AV277" s="1078" t="str">
        <f t="shared" si="36"/>
        <v>108.2.21</v>
      </c>
      <c r="AW277" s="1344">
        <f t="shared" si="37"/>
        <v>43517</v>
      </c>
    </row>
    <row r="278" spans="1:49">
      <c r="A278" s="1077" t="s">
        <v>2557</v>
      </c>
      <c r="B278" s="1077" t="s">
        <v>840</v>
      </c>
      <c r="C278" s="1077">
        <v>650</v>
      </c>
      <c r="D278" s="1077">
        <v>1.72</v>
      </c>
      <c r="E278" s="1077" t="s">
        <v>15089</v>
      </c>
      <c r="F278" s="1077" t="s">
        <v>954</v>
      </c>
      <c r="G278" s="1077" t="s">
        <v>940</v>
      </c>
      <c r="H278" s="1077" t="s">
        <v>2558</v>
      </c>
      <c r="I278" s="1077" t="s">
        <v>126</v>
      </c>
      <c r="J278" s="1077">
        <v>1.2</v>
      </c>
      <c r="K278" s="1077" t="s">
        <v>2559</v>
      </c>
      <c r="L278" s="1077" t="s">
        <v>2560</v>
      </c>
      <c r="M278" s="1077">
        <v>74.900000000000006</v>
      </c>
      <c r="N278" s="1077" t="s">
        <v>945</v>
      </c>
      <c r="O278" s="1077">
        <v>1.8725000000000003</v>
      </c>
      <c r="P278" s="1077">
        <v>1.4980000000000002</v>
      </c>
      <c r="Q278" s="1077" t="s">
        <v>1012</v>
      </c>
      <c r="R278" s="1077">
        <v>28.5</v>
      </c>
      <c r="T278" s="1077">
        <v>17</v>
      </c>
      <c r="U278" s="1077">
        <v>6</v>
      </c>
      <c r="V278" s="1077" t="s">
        <v>648</v>
      </c>
      <c r="W278" s="1077">
        <v>110</v>
      </c>
      <c r="X278" s="1077">
        <v>75</v>
      </c>
      <c r="Y278" s="1077">
        <v>1.7</v>
      </c>
      <c r="Z278" s="1077" t="s">
        <v>2561</v>
      </c>
      <c r="AA278" s="1077" t="s">
        <v>2562</v>
      </c>
      <c r="AH278" s="1077" t="s">
        <v>621</v>
      </c>
      <c r="AM278" s="1078" t="s">
        <v>9603</v>
      </c>
      <c r="AN278" s="1078" t="s">
        <v>9604</v>
      </c>
      <c r="AO278" s="1078">
        <f t="shared" si="38"/>
        <v>650</v>
      </c>
      <c r="AP278" s="1078">
        <f t="shared" si="39"/>
        <v>1.72</v>
      </c>
      <c r="AQ278" s="1078" t="str">
        <f t="shared" si="40"/>
        <v>1-4-1S83°</v>
      </c>
      <c r="AR278" s="1078" t="str">
        <f t="shared" si="41"/>
        <v>31</v>
      </c>
      <c r="AS278" s="1078" t="str">
        <f t="shared" si="42"/>
        <v>222/222/OFF</v>
      </c>
      <c r="AT278" s="1078" t="str">
        <f t="shared" si="43"/>
        <v>1-4-1S83°</v>
      </c>
      <c r="AV278" s="1078" t="str">
        <f t="shared" si="36"/>
        <v>108.2.27</v>
      </c>
      <c r="AW278" s="1344">
        <f t="shared" si="37"/>
        <v>43523</v>
      </c>
    </row>
    <row r="279" spans="1:49">
      <c r="A279" s="1077" t="s">
        <v>2563</v>
      </c>
      <c r="B279" s="1077" t="s">
        <v>2299</v>
      </c>
      <c r="C279" s="1077">
        <v>600</v>
      </c>
      <c r="D279" s="1077">
        <v>1.7350000000000001</v>
      </c>
      <c r="E279" s="1077" t="s">
        <v>15089</v>
      </c>
      <c r="F279" s="1077" t="s">
        <v>984</v>
      </c>
      <c r="G279" s="1077" t="s">
        <v>940</v>
      </c>
      <c r="H279" s="1077" t="s">
        <v>1226</v>
      </c>
      <c r="I279" s="1077" t="s">
        <v>942</v>
      </c>
      <c r="J279" s="1077">
        <v>1.2</v>
      </c>
      <c r="K279" s="1077" t="s">
        <v>2564</v>
      </c>
      <c r="L279" s="1077" t="s">
        <v>2565</v>
      </c>
      <c r="M279" s="1077">
        <v>77.5</v>
      </c>
      <c r="N279" s="1077" t="s">
        <v>945</v>
      </c>
      <c r="O279" s="1077">
        <v>1.9375</v>
      </c>
      <c r="P279" s="1077">
        <v>1.55</v>
      </c>
      <c r="Q279" s="1077" t="s">
        <v>1249</v>
      </c>
      <c r="R279" s="1077">
        <v>20</v>
      </c>
      <c r="T279" s="1077">
        <v>16.899999999999999</v>
      </c>
      <c r="U279" s="1077">
        <v>4.2</v>
      </c>
      <c r="V279" s="1077" t="s">
        <v>648</v>
      </c>
      <c r="W279" s="1077">
        <v>150</v>
      </c>
      <c r="X279" s="1077">
        <v>70</v>
      </c>
      <c r="Y279" s="1077">
        <v>1.5</v>
      </c>
      <c r="Z279" s="1077">
        <v>4.5</v>
      </c>
      <c r="AA279" s="1077" t="s">
        <v>2492</v>
      </c>
      <c r="AH279" s="1077" t="s">
        <v>622</v>
      </c>
      <c r="AM279" s="1078" t="s">
        <v>9605</v>
      </c>
      <c r="AN279" s="1078" t="s">
        <v>9606</v>
      </c>
      <c r="AO279" s="1078">
        <f t="shared" si="38"/>
        <v>600</v>
      </c>
      <c r="AP279" s="1078">
        <f t="shared" si="39"/>
        <v>1.7350000000000001</v>
      </c>
      <c r="AQ279" s="1078" t="str">
        <f t="shared" si="40"/>
        <v>1-4-1S83°</v>
      </c>
      <c r="AR279" s="1078" t="str">
        <f t="shared" si="41"/>
        <v>30</v>
      </c>
      <c r="AS279" s="1078" t="str">
        <f t="shared" si="42"/>
        <v>230/230/OFF</v>
      </c>
      <c r="AT279" s="1078" t="str">
        <f t="shared" si="43"/>
        <v>1-4-1S83°</v>
      </c>
      <c r="AV279" s="1078" t="str">
        <f t="shared" si="36"/>
        <v>108.3.8</v>
      </c>
      <c r="AW279" s="1344">
        <f t="shared" si="37"/>
        <v>43532</v>
      </c>
    </row>
    <row r="280" spans="1:49">
      <c r="A280" s="1077" t="s">
        <v>2566</v>
      </c>
      <c r="B280" s="1077" t="s">
        <v>2567</v>
      </c>
      <c r="C280" s="1077">
        <v>500</v>
      </c>
      <c r="D280" s="1077">
        <v>1.69</v>
      </c>
      <c r="E280" s="1077" t="s">
        <v>2568</v>
      </c>
      <c r="F280" s="1077" t="s">
        <v>2569</v>
      </c>
      <c r="G280" s="1077">
        <v>4.5</v>
      </c>
      <c r="H280" s="1077" t="s">
        <v>2570</v>
      </c>
      <c r="I280" s="1077" t="s">
        <v>126</v>
      </c>
      <c r="J280" s="1077">
        <v>0.7</v>
      </c>
      <c r="K280" s="1077" t="s">
        <v>2571</v>
      </c>
      <c r="L280" s="1077" t="s">
        <v>2104</v>
      </c>
      <c r="M280" s="1077">
        <v>76.400000000000006</v>
      </c>
      <c r="N280" s="1077" t="s">
        <v>945</v>
      </c>
      <c r="O280" s="1077">
        <v>1.9100000000000001</v>
      </c>
      <c r="P280" s="1077">
        <v>1.5280000000000002</v>
      </c>
      <c r="Q280" s="1077" t="s">
        <v>1264</v>
      </c>
      <c r="R280" s="1077">
        <v>18.8</v>
      </c>
      <c r="T280" s="1077">
        <v>29.5</v>
      </c>
      <c r="U280" s="1077">
        <v>3</v>
      </c>
      <c r="V280" s="1077" t="s">
        <v>648</v>
      </c>
      <c r="W280" s="1077">
        <v>120</v>
      </c>
      <c r="X280" s="1077">
        <v>80</v>
      </c>
      <c r="Y280" s="1077">
        <v>2.4</v>
      </c>
      <c r="Z280" s="1077">
        <v>4.5</v>
      </c>
      <c r="AA280" s="1077" t="s">
        <v>2572</v>
      </c>
      <c r="AH280" s="1077" t="s">
        <v>1376</v>
      </c>
      <c r="AM280" s="1078" t="s">
        <v>9607</v>
      </c>
      <c r="AN280" s="1078" t="s">
        <v>9608</v>
      </c>
      <c r="AO280" s="1078">
        <f t="shared" si="38"/>
        <v>500</v>
      </c>
      <c r="AP280" s="1078">
        <f t="shared" si="39"/>
        <v>1.69</v>
      </c>
      <c r="AQ280" s="1078" t="str">
        <f t="shared" si="40"/>
        <v>120°</v>
      </c>
      <c r="AR280" s="1078" t="str">
        <f t="shared" si="41"/>
        <v>14.8</v>
      </c>
      <c r="AS280" s="1078" t="str">
        <f t="shared" si="42"/>
        <v>330/330/OFF</v>
      </c>
      <c r="AT280" s="1078" t="str">
        <f t="shared" si="43"/>
        <v>120°</v>
      </c>
      <c r="AV280" s="1078" t="str">
        <f t="shared" si="36"/>
        <v>108.3.18</v>
      </c>
      <c r="AW280" s="1344">
        <f t="shared" si="37"/>
        <v>43542</v>
      </c>
    </row>
    <row r="281" spans="1:49">
      <c r="A281" s="1077" t="s">
        <v>2573</v>
      </c>
      <c r="B281" s="1077" t="s">
        <v>850</v>
      </c>
      <c r="C281" s="1077">
        <v>550</v>
      </c>
      <c r="D281" s="1077">
        <v>1.7350000000000001</v>
      </c>
      <c r="E281" s="1077" t="s">
        <v>15095</v>
      </c>
      <c r="F281" s="1077" t="s">
        <v>984</v>
      </c>
      <c r="G281" s="1077" t="s">
        <v>940</v>
      </c>
      <c r="H281" s="1077" t="s">
        <v>1017</v>
      </c>
      <c r="I281" s="1077" t="s">
        <v>626</v>
      </c>
      <c r="J281" s="1077">
        <v>1</v>
      </c>
      <c r="K281" s="1077" t="s">
        <v>2523</v>
      </c>
      <c r="L281" s="1077" t="s">
        <v>2524</v>
      </c>
      <c r="M281" s="1077">
        <v>79</v>
      </c>
      <c r="N281" s="1077" t="s">
        <v>945</v>
      </c>
      <c r="O281" s="1077">
        <v>1.9750000000000001</v>
      </c>
      <c r="P281" s="1077">
        <v>1.58</v>
      </c>
      <c r="Q281" s="1077" t="s">
        <v>1012</v>
      </c>
      <c r="R281" s="1077">
        <v>25</v>
      </c>
      <c r="T281" s="1077">
        <v>9.6</v>
      </c>
      <c r="U281" s="1077">
        <v>6.8</v>
      </c>
      <c r="V281" s="1077" t="s">
        <v>648</v>
      </c>
      <c r="W281" s="1077">
        <v>135</v>
      </c>
      <c r="X281" s="1077">
        <v>65</v>
      </c>
      <c r="Y281" s="1077">
        <v>1.4</v>
      </c>
      <c r="Z281" s="1077" t="s">
        <v>2574</v>
      </c>
      <c r="AA281" s="1077" t="s">
        <v>2575</v>
      </c>
      <c r="AH281" s="1077" t="s">
        <v>2398</v>
      </c>
      <c r="AM281" s="1078" t="s">
        <v>9609</v>
      </c>
      <c r="AN281" s="1078" t="s">
        <v>9610</v>
      </c>
      <c r="AO281" s="1078">
        <f t="shared" si="38"/>
        <v>550</v>
      </c>
      <c r="AP281" s="1078">
        <f t="shared" si="39"/>
        <v>1.7350000000000001</v>
      </c>
      <c r="AQ281" s="1078" t="str">
        <f t="shared" si="40"/>
        <v>1-5-1S83°</v>
      </c>
      <c r="AR281" s="1078" t="str">
        <f t="shared" si="41"/>
        <v>30</v>
      </c>
      <c r="AS281" s="1078" t="str">
        <f t="shared" si="42"/>
        <v>200/200/OFF</v>
      </c>
      <c r="AT281" s="1078" t="str">
        <f t="shared" si="43"/>
        <v>1-5-1S83°</v>
      </c>
      <c r="AV281" s="1078" t="str">
        <f t="shared" si="36"/>
        <v>108.3.22</v>
      </c>
      <c r="AW281" s="1344">
        <f t="shared" si="37"/>
        <v>43546</v>
      </c>
    </row>
    <row r="282" spans="1:49">
      <c r="A282" s="1077" t="s">
        <v>2576</v>
      </c>
      <c r="B282" s="1077" t="s">
        <v>453</v>
      </c>
      <c r="C282" s="1077">
        <v>750</v>
      </c>
      <c r="D282" s="1077">
        <v>1.7</v>
      </c>
      <c r="E282" s="1077" t="s">
        <v>15089</v>
      </c>
      <c r="F282" s="1077" t="s">
        <v>1773</v>
      </c>
      <c r="G282" s="1077" t="s">
        <v>1767</v>
      </c>
      <c r="H282" s="1077" t="s">
        <v>1875</v>
      </c>
      <c r="I282" s="1077" t="s">
        <v>126</v>
      </c>
      <c r="J282" s="1077">
        <v>0.9</v>
      </c>
      <c r="K282" s="1077" t="s">
        <v>2491</v>
      </c>
      <c r="L282" s="1077" t="s">
        <v>2430</v>
      </c>
      <c r="M282" s="1077">
        <v>75</v>
      </c>
      <c r="N282" s="1077" t="s">
        <v>945</v>
      </c>
      <c r="O282" s="1077">
        <v>1.875</v>
      </c>
      <c r="P282" s="1077">
        <v>1.5</v>
      </c>
      <c r="Q282" s="1077" t="s">
        <v>956</v>
      </c>
      <c r="R282" s="1077">
        <v>23</v>
      </c>
      <c r="T282" s="1077">
        <v>19</v>
      </c>
      <c r="U282" s="1077">
        <v>3.8</v>
      </c>
      <c r="V282" s="1077" t="s">
        <v>648</v>
      </c>
      <c r="W282" s="1077">
        <v>110</v>
      </c>
      <c r="X282" s="1077">
        <v>70</v>
      </c>
      <c r="Y282" s="1077">
        <v>2</v>
      </c>
      <c r="Z282" s="1077">
        <v>4.5</v>
      </c>
      <c r="AA282" s="1077" t="s">
        <v>2577</v>
      </c>
      <c r="AH282" s="1077" t="s">
        <v>466</v>
      </c>
      <c r="AM282" s="1078" t="s">
        <v>9611</v>
      </c>
      <c r="AN282" s="1078" t="s">
        <v>9612</v>
      </c>
      <c r="AO282" s="1078">
        <f t="shared" si="38"/>
        <v>750</v>
      </c>
      <c r="AP282" s="1078">
        <f t="shared" si="39"/>
        <v>1.7</v>
      </c>
      <c r="AQ282" s="1078" t="str">
        <f t="shared" si="40"/>
        <v>1-4-1S83°</v>
      </c>
      <c r="AR282" s="1078" t="str">
        <f t="shared" si="41"/>
        <v>30.2</v>
      </c>
      <c r="AS282" s="1078" t="str">
        <f t="shared" si="42"/>
        <v>267/267/OFF</v>
      </c>
      <c r="AT282" s="1078" t="str">
        <f t="shared" si="43"/>
        <v>1-4-1S83°</v>
      </c>
      <c r="AV282" s="1078" t="str">
        <f t="shared" si="36"/>
        <v>108.4.3</v>
      </c>
      <c r="AW282" s="1344">
        <f t="shared" si="37"/>
        <v>43558</v>
      </c>
    </row>
    <row r="283" spans="1:49">
      <c r="A283" s="1077" t="s">
        <v>2578</v>
      </c>
      <c r="B283" s="1077" t="s">
        <v>2579</v>
      </c>
      <c r="C283" s="1077">
        <v>650</v>
      </c>
      <c r="D283" s="1077">
        <v>1.7050000000000001</v>
      </c>
      <c r="E283" s="1077" t="s">
        <v>15089</v>
      </c>
      <c r="F283" s="1077" t="s">
        <v>984</v>
      </c>
      <c r="G283" s="1077" t="s">
        <v>940</v>
      </c>
      <c r="H283" s="1077" t="s">
        <v>1040</v>
      </c>
      <c r="I283" s="1077" t="s">
        <v>126</v>
      </c>
      <c r="J283" s="1077">
        <v>0.3</v>
      </c>
      <c r="K283" s="1077" t="s">
        <v>2580</v>
      </c>
      <c r="L283" s="1077" t="s">
        <v>2581</v>
      </c>
      <c r="M283" s="1077">
        <v>73.8</v>
      </c>
      <c r="N283" s="1077" t="s">
        <v>945</v>
      </c>
      <c r="O283" s="1077">
        <v>1.845</v>
      </c>
      <c r="P283" s="1077">
        <v>1.476</v>
      </c>
      <c r="Q283" s="1077" t="s">
        <v>2422</v>
      </c>
      <c r="R283" s="1077">
        <v>30.3</v>
      </c>
      <c r="T283" s="1077">
        <v>19.899999999999999</v>
      </c>
      <c r="U283" s="1077">
        <v>4.8</v>
      </c>
      <c r="V283" s="1077" t="s">
        <v>648</v>
      </c>
      <c r="W283" s="1077">
        <v>40</v>
      </c>
      <c r="X283" s="1077">
        <v>10</v>
      </c>
      <c r="Y283" s="1077">
        <v>1.6</v>
      </c>
      <c r="Z283" s="1077" t="s">
        <v>2582</v>
      </c>
      <c r="AA283" s="1077" t="s">
        <v>2583</v>
      </c>
      <c r="AH283" s="1077" t="s">
        <v>2398</v>
      </c>
      <c r="AM283" s="1078" t="s">
        <v>9613</v>
      </c>
      <c r="AN283" s="1078" t="s">
        <v>9614</v>
      </c>
      <c r="AO283" s="1078">
        <f t="shared" si="38"/>
        <v>650</v>
      </c>
      <c r="AP283" s="1078">
        <f t="shared" si="39"/>
        <v>1.7050000000000001</v>
      </c>
      <c r="AQ283" s="1078" t="str">
        <f t="shared" si="40"/>
        <v>1-4-1S83°</v>
      </c>
      <c r="AR283" s="1078" t="str">
        <f t="shared" si="41"/>
        <v>30</v>
      </c>
      <c r="AS283" s="1078" t="str">
        <f t="shared" si="42"/>
        <v>240/240/OFF</v>
      </c>
      <c r="AT283" s="1078" t="str">
        <f t="shared" si="43"/>
        <v>1-4-1S83°</v>
      </c>
      <c r="AV283" s="1078" t="str">
        <f t="shared" si="36"/>
        <v>108.4.1</v>
      </c>
      <c r="AW283" s="1344">
        <f t="shared" si="37"/>
        <v>43556</v>
      </c>
    </row>
    <row r="284" spans="1:49">
      <c r="A284" s="1077" t="s">
        <v>2584</v>
      </c>
      <c r="B284" s="1077" t="s">
        <v>1783</v>
      </c>
      <c r="C284" s="1077">
        <v>620</v>
      </c>
      <c r="D284" s="1077">
        <v>1.7</v>
      </c>
      <c r="E284" s="1077" t="s">
        <v>15095</v>
      </c>
      <c r="F284" s="1077" t="s">
        <v>1119</v>
      </c>
      <c r="G284" s="1077" t="s">
        <v>1767</v>
      </c>
      <c r="H284" s="1077" t="s">
        <v>2480</v>
      </c>
      <c r="I284" s="1077" t="s">
        <v>126</v>
      </c>
      <c r="J284" s="1077">
        <v>0.6</v>
      </c>
      <c r="K284" s="1077" t="s">
        <v>2585</v>
      </c>
      <c r="L284" s="1077" t="s">
        <v>2586</v>
      </c>
      <c r="M284" s="1077">
        <v>76.599999999999994</v>
      </c>
      <c r="N284" s="1077" t="s">
        <v>945</v>
      </c>
      <c r="O284" s="1077">
        <v>1.915</v>
      </c>
      <c r="P284" s="1077">
        <v>1.532</v>
      </c>
      <c r="Q284" s="1077" t="s">
        <v>961</v>
      </c>
      <c r="R284" s="1077">
        <v>21</v>
      </c>
      <c r="T284" s="1077">
        <v>11.5</v>
      </c>
      <c r="U284" s="1077">
        <v>3.9</v>
      </c>
      <c r="V284" s="1077" t="s">
        <v>648</v>
      </c>
      <c r="W284" s="1077">
        <v>120</v>
      </c>
      <c r="X284" s="1077">
        <v>80</v>
      </c>
      <c r="Y284" s="1077">
        <v>1.8</v>
      </c>
      <c r="Z284" s="1077">
        <v>2.5</v>
      </c>
      <c r="AA284" s="1077" t="s">
        <v>2587</v>
      </c>
      <c r="AH284" s="1077" t="s">
        <v>762</v>
      </c>
      <c r="AM284" s="1078" t="s">
        <v>9615</v>
      </c>
      <c r="AN284" s="1078" t="s">
        <v>9616</v>
      </c>
      <c r="AO284" s="1078">
        <f t="shared" si="38"/>
        <v>620</v>
      </c>
      <c r="AP284" s="1078">
        <f t="shared" si="39"/>
        <v>1.7</v>
      </c>
      <c r="AQ284" s="1078" t="str">
        <f t="shared" si="40"/>
        <v>1-5-1S83°</v>
      </c>
      <c r="AR284" s="1078" t="str">
        <f t="shared" si="41"/>
        <v>29</v>
      </c>
      <c r="AS284" s="1078" t="str">
        <f t="shared" si="42"/>
        <v>251/251/OFF</v>
      </c>
      <c r="AT284" s="1078" t="str">
        <f t="shared" si="43"/>
        <v>1-5-1S83°</v>
      </c>
      <c r="AV284" s="1078" t="str">
        <f t="shared" si="36"/>
        <v>108.2.2</v>
      </c>
      <c r="AW284" s="1344">
        <f t="shared" si="37"/>
        <v>43498</v>
      </c>
    </row>
    <row r="285" spans="1:49">
      <c r="A285" s="1077" t="s">
        <v>2588</v>
      </c>
      <c r="B285" s="1077" t="s">
        <v>1783</v>
      </c>
      <c r="C285" s="1077">
        <v>650</v>
      </c>
      <c r="D285" s="1077">
        <v>1.7</v>
      </c>
      <c r="E285" s="1077" t="s">
        <v>15095</v>
      </c>
      <c r="F285" s="1077" t="s">
        <v>1173</v>
      </c>
      <c r="G285" s="1077" t="s">
        <v>1767</v>
      </c>
      <c r="H285" s="1077" t="s">
        <v>955</v>
      </c>
      <c r="I285" s="1077" t="s">
        <v>126</v>
      </c>
      <c r="J285" s="1077">
        <v>0.7</v>
      </c>
      <c r="K285" s="1077" t="s">
        <v>2589</v>
      </c>
      <c r="L285" s="1077" t="s">
        <v>2590</v>
      </c>
      <c r="M285" s="1077">
        <v>77.2</v>
      </c>
      <c r="N285" s="1077" t="s">
        <v>945</v>
      </c>
      <c r="O285" s="1077">
        <v>1.9300000000000002</v>
      </c>
      <c r="P285" s="1077">
        <v>1.544</v>
      </c>
      <c r="Q285" s="1077" t="s">
        <v>961</v>
      </c>
      <c r="R285" s="1077">
        <v>20.8</v>
      </c>
      <c r="T285" s="1077">
        <v>11.5</v>
      </c>
      <c r="U285" s="1077">
        <v>3.9</v>
      </c>
      <c r="V285" s="1077" t="s">
        <v>648</v>
      </c>
      <c r="W285" s="1077">
        <v>120</v>
      </c>
      <c r="X285" s="1077">
        <v>85</v>
      </c>
      <c r="Y285" s="1077">
        <v>2</v>
      </c>
      <c r="Z285" s="1077">
        <v>2.5</v>
      </c>
      <c r="AA285" s="1077" t="s">
        <v>2499</v>
      </c>
      <c r="AH285" s="1077" t="s">
        <v>1588</v>
      </c>
      <c r="AM285" s="1078" t="s">
        <v>9617</v>
      </c>
      <c r="AN285" s="1078" t="s">
        <v>9618</v>
      </c>
      <c r="AO285" s="1078">
        <f t="shared" si="38"/>
        <v>650</v>
      </c>
      <c r="AP285" s="1078">
        <f t="shared" si="39"/>
        <v>1.7</v>
      </c>
      <c r="AQ285" s="1078" t="str">
        <f t="shared" si="40"/>
        <v>1-5-1S83°</v>
      </c>
      <c r="AR285" s="1078" t="str">
        <f t="shared" si="41"/>
        <v>28.5</v>
      </c>
      <c r="AS285" s="1078" t="str">
        <f t="shared" si="42"/>
        <v>260/260/OFF</v>
      </c>
      <c r="AT285" s="1078" t="str">
        <f t="shared" si="43"/>
        <v>1-5-1S83°</v>
      </c>
      <c r="AV285" s="1078" t="str">
        <f t="shared" si="36"/>
        <v>109.1.15</v>
      </c>
      <c r="AW285" s="1344">
        <f t="shared" si="37"/>
        <v>43845</v>
      </c>
    </row>
    <row r="286" spans="1:49">
      <c r="A286" s="1077" t="s">
        <v>2591</v>
      </c>
      <c r="B286" s="1077" t="s">
        <v>1783</v>
      </c>
      <c r="C286" s="1077">
        <v>620</v>
      </c>
      <c r="D286" s="1077">
        <v>1.7</v>
      </c>
      <c r="E286" s="1077" t="s">
        <v>15095</v>
      </c>
      <c r="F286" s="1077" t="s">
        <v>984</v>
      </c>
      <c r="G286" s="1077" t="s">
        <v>2592</v>
      </c>
      <c r="H286" s="1077" t="s">
        <v>1029</v>
      </c>
      <c r="I286" s="1077" t="s">
        <v>126</v>
      </c>
      <c r="J286" s="1077">
        <v>0.25</v>
      </c>
      <c r="K286" s="1077" t="s">
        <v>2589</v>
      </c>
      <c r="L286" s="1077" t="s">
        <v>2590</v>
      </c>
      <c r="M286" s="1077">
        <v>76.099999999999994</v>
      </c>
      <c r="N286" s="1077" t="s">
        <v>945</v>
      </c>
      <c r="O286" s="1077">
        <v>1.9024999999999999</v>
      </c>
      <c r="P286" s="1077">
        <v>1.522</v>
      </c>
      <c r="Q286" s="1077" t="s">
        <v>2593</v>
      </c>
      <c r="R286" s="1077">
        <v>19</v>
      </c>
      <c r="T286" s="1077">
        <v>13</v>
      </c>
      <c r="U286" s="1077">
        <v>4</v>
      </c>
      <c r="V286" s="1077" t="s">
        <v>648</v>
      </c>
      <c r="W286" s="1077" t="s">
        <v>2594</v>
      </c>
      <c r="X286" s="1077">
        <v>10</v>
      </c>
      <c r="Y286" s="1077">
        <v>2.5</v>
      </c>
      <c r="Z286" s="1077">
        <v>2</v>
      </c>
      <c r="AA286" s="1077" t="s">
        <v>2595</v>
      </c>
      <c r="AH286" s="1077" t="s">
        <v>958</v>
      </c>
      <c r="AM286" s="1078" t="s">
        <v>9619</v>
      </c>
      <c r="AN286" s="1078" t="s">
        <v>9620</v>
      </c>
      <c r="AO286" s="1078">
        <f t="shared" si="38"/>
        <v>620</v>
      </c>
      <c r="AP286" s="1078">
        <f t="shared" si="39"/>
        <v>1.7</v>
      </c>
      <c r="AQ286" s="1078" t="str">
        <f t="shared" si="40"/>
        <v>1-5-1S83°</v>
      </c>
      <c r="AR286" s="1078" t="str">
        <f t="shared" si="41"/>
        <v>30</v>
      </c>
      <c r="AS286" s="1078" t="str">
        <f t="shared" si="42"/>
        <v>250/250/OFF</v>
      </c>
      <c r="AT286" s="1078" t="str">
        <f t="shared" si="43"/>
        <v>1-5-1S83°</v>
      </c>
      <c r="AV286" s="1078" t="str">
        <f t="shared" si="36"/>
        <v>109.7.2</v>
      </c>
      <c r="AW286" s="1344">
        <f t="shared" si="37"/>
        <v>44014</v>
      </c>
    </row>
    <row r="287" spans="1:49">
      <c r="A287" s="1077" t="s">
        <v>2596</v>
      </c>
      <c r="B287" s="1077" t="s">
        <v>1783</v>
      </c>
      <c r="C287" s="1077">
        <v>620</v>
      </c>
      <c r="D287" s="1077">
        <v>1.7</v>
      </c>
      <c r="E287" s="1077" t="s">
        <v>15095</v>
      </c>
      <c r="F287" s="1077" t="s">
        <v>984</v>
      </c>
      <c r="G287" s="1077" t="s">
        <v>2592</v>
      </c>
      <c r="H287" s="1077" t="s">
        <v>1029</v>
      </c>
      <c r="I287" s="1077" t="s">
        <v>126</v>
      </c>
      <c r="J287" s="1077">
        <v>0.25</v>
      </c>
      <c r="K287" s="1077" t="s">
        <v>2589</v>
      </c>
      <c r="L287" s="1077" t="s">
        <v>2590</v>
      </c>
      <c r="M287" s="1077">
        <v>76.099999999999994</v>
      </c>
      <c r="N287" s="1077" t="s">
        <v>945</v>
      </c>
      <c r="O287" s="1077">
        <v>1.9024999999999999</v>
      </c>
      <c r="P287" s="1077">
        <v>1.522</v>
      </c>
      <c r="Q287" s="1077" t="s">
        <v>2593</v>
      </c>
      <c r="R287" s="1077">
        <v>19</v>
      </c>
      <c r="T287" s="1077">
        <v>13</v>
      </c>
      <c r="U287" s="1077">
        <v>4</v>
      </c>
      <c r="V287" s="1077" t="s">
        <v>648</v>
      </c>
      <c r="W287" s="1077" t="s">
        <v>2594</v>
      </c>
      <c r="X287" s="1077">
        <v>10</v>
      </c>
      <c r="Y287" s="1077">
        <v>2.5</v>
      </c>
      <c r="Z287" s="1077">
        <v>2</v>
      </c>
      <c r="AA287" s="1077" t="s">
        <v>2597</v>
      </c>
      <c r="AH287" s="1077" t="s">
        <v>963</v>
      </c>
      <c r="AM287" s="1078" t="s">
        <v>9621</v>
      </c>
      <c r="AN287" s="1078" t="s">
        <v>9622</v>
      </c>
      <c r="AO287" s="1078">
        <f t="shared" si="38"/>
        <v>620</v>
      </c>
      <c r="AP287" s="1078">
        <f t="shared" si="39"/>
        <v>1.7</v>
      </c>
      <c r="AQ287" s="1078" t="str">
        <f t="shared" si="40"/>
        <v>1-5-1S83°</v>
      </c>
      <c r="AR287" s="1078" t="str">
        <f t="shared" si="41"/>
        <v>30</v>
      </c>
      <c r="AS287" s="1078" t="str">
        <f t="shared" si="42"/>
        <v>250/250/OFF</v>
      </c>
      <c r="AT287" s="1078" t="str">
        <f t="shared" si="43"/>
        <v>1-5-1S83°</v>
      </c>
      <c r="AV287" s="1078" t="str">
        <f t="shared" si="36"/>
        <v>109.7.24</v>
      </c>
      <c r="AW287" s="1344">
        <f t="shared" si="37"/>
        <v>44036</v>
      </c>
    </row>
    <row r="288" spans="1:49">
      <c r="A288" s="1077" t="s">
        <v>2598</v>
      </c>
      <c r="B288" s="1077" t="s">
        <v>1783</v>
      </c>
      <c r="C288" s="1077">
        <v>620</v>
      </c>
      <c r="D288" s="1077">
        <v>1.7</v>
      </c>
      <c r="E288" s="1077" t="s">
        <v>15095</v>
      </c>
      <c r="F288" s="1077" t="s">
        <v>984</v>
      </c>
      <c r="G288" s="1077" t="s">
        <v>2592</v>
      </c>
      <c r="H288" s="1077" t="s">
        <v>1029</v>
      </c>
      <c r="I288" s="1077" t="s">
        <v>126</v>
      </c>
      <c r="J288" s="1077">
        <v>0.25</v>
      </c>
      <c r="K288" s="1077" t="s">
        <v>2599</v>
      </c>
      <c r="L288" s="1077" t="s">
        <v>2590</v>
      </c>
      <c r="M288" s="1077">
        <v>76.099999999999994</v>
      </c>
      <c r="N288" s="1077" t="s">
        <v>945</v>
      </c>
      <c r="O288" s="1077">
        <v>1.9024999999999999</v>
      </c>
      <c r="P288" s="1077">
        <v>1.522</v>
      </c>
      <c r="Q288" s="1077">
        <v>4</v>
      </c>
      <c r="R288" s="1077">
        <v>19</v>
      </c>
      <c r="T288" s="1077">
        <v>13</v>
      </c>
      <c r="U288" s="1077">
        <v>4</v>
      </c>
      <c r="V288" s="1077" t="s">
        <v>648</v>
      </c>
      <c r="W288" s="1077" t="s">
        <v>2594</v>
      </c>
      <c r="X288" s="1077">
        <v>10</v>
      </c>
      <c r="Y288" s="1077">
        <v>2.5</v>
      </c>
      <c r="Z288" s="1077">
        <v>2</v>
      </c>
      <c r="AA288" s="1077" t="s">
        <v>1204</v>
      </c>
      <c r="AH288" s="1077" t="s">
        <v>483</v>
      </c>
      <c r="AM288" s="1078" t="s">
        <v>9623</v>
      </c>
      <c r="AN288" s="1078" t="s">
        <v>9624</v>
      </c>
      <c r="AO288" s="1078">
        <f t="shared" si="38"/>
        <v>620</v>
      </c>
      <c r="AP288" s="1078">
        <f t="shared" si="39"/>
        <v>1.7</v>
      </c>
      <c r="AQ288" s="1078" t="str">
        <f t="shared" si="40"/>
        <v>1-5-1S83°</v>
      </c>
      <c r="AR288" s="1078" t="str">
        <f t="shared" si="41"/>
        <v>30</v>
      </c>
      <c r="AS288" s="1078" t="str">
        <f t="shared" si="42"/>
        <v>250/250/OFF</v>
      </c>
      <c r="AT288" s="1078" t="str">
        <f t="shared" si="43"/>
        <v>1-5-1S83°</v>
      </c>
      <c r="AV288" s="1078" t="str">
        <f t="shared" si="36"/>
        <v>109.12.21</v>
      </c>
      <c r="AW288" s="1344">
        <f t="shared" si="37"/>
        <v>44186</v>
      </c>
    </row>
    <row r="289" spans="1:49">
      <c r="A289" s="1077" t="s">
        <v>2600</v>
      </c>
      <c r="B289" s="1077" t="s">
        <v>2129</v>
      </c>
      <c r="C289" s="1077">
        <v>600</v>
      </c>
      <c r="D289" s="1077">
        <v>1.72</v>
      </c>
      <c r="E289" s="1077" t="s">
        <v>15091</v>
      </c>
      <c r="F289" s="1077" t="s">
        <v>1119</v>
      </c>
      <c r="G289" s="1077" t="s">
        <v>1767</v>
      </c>
      <c r="H289" s="1077" t="s">
        <v>2601</v>
      </c>
      <c r="I289" s="1077" t="s">
        <v>1112</v>
      </c>
      <c r="J289" s="1077">
        <v>1.1000000000000001</v>
      </c>
      <c r="K289" s="1077" t="s">
        <v>2602</v>
      </c>
      <c r="L289" s="1077" t="s">
        <v>2132</v>
      </c>
      <c r="M289" s="1077">
        <v>77</v>
      </c>
      <c r="N289" s="1077" t="s">
        <v>945</v>
      </c>
      <c r="O289" s="1077">
        <v>1.925</v>
      </c>
      <c r="P289" s="1077">
        <v>1.54</v>
      </c>
      <c r="Q289" s="1077" t="s">
        <v>1264</v>
      </c>
      <c r="R289" s="1077">
        <v>22</v>
      </c>
      <c r="T289" s="1077">
        <v>15.5</v>
      </c>
      <c r="U289" s="1077">
        <v>2.9</v>
      </c>
      <c r="V289" s="1077" t="s">
        <v>648</v>
      </c>
      <c r="W289" s="1077">
        <v>105</v>
      </c>
      <c r="X289" s="1077">
        <v>85</v>
      </c>
      <c r="Y289" s="1077">
        <v>2.2000000000000002</v>
      </c>
      <c r="Z289" s="1077">
        <v>3</v>
      </c>
      <c r="AA289" s="1077" t="s">
        <v>2603</v>
      </c>
      <c r="AH289" s="1077" t="s">
        <v>1023</v>
      </c>
      <c r="AM289" s="1078" t="s">
        <v>9625</v>
      </c>
      <c r="AN289" s="1078" t="s">
        <v>9626</v>
      </c>
      <c r="AO289" s="1078">
        <f t="shared" si="38"/>
        <v>600</v>
      </c>
      <c r="AP289" s="1078">
        <f t="shared" si="39"/>
        <v>1.72</v>
      </c>
      <c r="AQ289" s="1078" t="str">
        <f t="shared" si="40"/>
        <v>2-5-1S83°</v>
      </c>
      <c r="AR289" s="1078" t="str">
        <f t="shared" si="41"/>
        <v>29</v>
      </c>
      <c r="AS289" s="1078" t="str">
        <f t="shared" si="42"/>
        <v>178/145</v>
      </c>
      <c r="AT289" s="1078" t="str">
        <f t="shared" si="43"/>
        <v>2-5-1S83°</v>
      </c>
      <c r="AV289" s="1078" t="str">
        <f t="shared" si="36"/>
        <v>108.4.9</v>
      </c>
      <c r="AW289" s="1344">
        <f t="shared" si="37"/>
        <v>43564</v>
      </c>
    </row>
    <row r="290" spans="1:49">
      <c r="A290" s="1077" t="s">
        <v>2604</v>
      </c>
      <c r="B290" s="1077" t="s">
        <v>1792</v>
      </c>
      <c r="C290" s="1077">
        <v>750</v>
      </c>
      <c r="D290" s="1077">
        <v>1.78</v>
      </c>
      <c r="E290" s="1077" t="s">
        <v>15089</v>
      </c>
      <c r="F290" s="1077" t="s">
        <v>954</v>
      </c>
      <c r="G290" s="1077" t="s">
        <v>1001</v>
      </c>
      <c r="H290" s="1077" t="s">
        <v>2540</v>
      </c>
      <c r="I290" s="1077" t="s">
        <v>126</v>
      </c>
      <c r="J290" s="1077">
        <v>1.5</v>
      </c>
      <c r="K290" s="1077" t="s">
        <v>2541</v>
      </c>
      <c r="L290" s="1077" t="s">
        <v>1795</v>
      </c>
      <c r="M290" s="1077">
        <v>73</v>
      </c>
      <c r="N290" s="1077" t="s">
        <v>945</v>
      </c>
      <c r="O290" s="1077">
        <v>1.8250000000000002</v>
      </c>
      <c r="P290" s="1077">
        <v>1.46</v>
      </c>
      <c r="Q290" s="1077" t="s">
        <v>979</v>
      </c>
      <c r="R290" s="1077">
        <v>21.6</v>
      </c>
      <c r="T290" s="1077">
        <v>32</v>
      </c>
      <c r="U290" s="1077">
        <v>3.7</v>
      </c>
      <c r="V290" s="1077" t="s">
        <v>648</v>
      </c>
      <c r="W290" s="1077">
        <v>110</v>
      </c>
      <c r="X290" s="1077">
        <v>60</v>
      </c>
      <c r="Y290" s="1077">
        <v>1.5</v>
      </c>
      <c r="Z290" s="1077">
        <v>5.5</v>
      </c>
      <c r="AA290" s="1077" t="s">
        <v>2605</v>
      </c>
      <c r="AH290" s="1077" t="s">
        <v>483</v>
      </c>
      <c r="AM290" s="1078" t="s">
        <v>9627</v>
      </c>
      <c r="AN290" s="1078" t="s">
        <v>9628</v>
      </c>
      <c r="AO290" s="1078">
        <f t="shared" si="38"/>
        <v>750</v>
      </c>
      <c r="AP290" s="1078">
        <f t="shared" si="39"/>
        <v>1.78</v>
      </c>
      <c r="AQ290" s="1078" t="str">
        <f t="shared" si="40"/>
        <v>1-4-1S83°</v>
      </c>
      <c r="AR290" s="1078" t="str">
        <f t="shared" si="41"/>
        <v>31</v>
      </c>
      <c r="AS290" s="1078" t="str">
        <f t="shared" si="42"/>
        <v>300/300/OFF</v>
      </c>
      <c r="AT290" s="1078" t="str">
        <f t="shared" si="43"/>
        <v>1-4-1S83°</v>
      </c>
      <c r="AV290" s="1078" t="str">
        <f t="shared" si="36"/>
        <v>108.4.10</v>
      </c>
      <c r="AW290" s="1344">
        <f t="shared" si="37"/>
        <v>43565</v>
      </c>
    </row>
    <row r="291" spans="1:49">
      <c r="A291" s="1077" t="s">
        <v>2606</v>
      </c>
      <c r="B291" s="1077" t="s">
        <v>453</v>
      </c>
      <c r="C291" s="1077">
        <v>650</v>
      </c>
      <c r="D291" s="1077">
        <v>1.7050000000000001</v>
      </c>
      <c r="E291" s="1077" t="s">
        <v>15089</v>
      </c>
      <c r="F291" s="1077" t="s">
        <v>1773</v>
      </c>
      <c r="G291" s="1077" t="s">
        <v>1767</v>
      </c>
      <c r="H291" s="1077" t="s">
        <v>1029</v>
      </c>
      <c r="I291" s="1077" t="s">
        <v>126</v>
      </c>
      <c r="J291" s="1077">
        <v>0.8</v>
      </c>
      <c r="K291" s="1077" t="s">
        <v>2607</v>
      </c>
      <c r="L291" s="1077" t="s">
        <v>1776</v>
      </c>
      <c r="M291" s="1077">
        <v>75</v>
      </c>
      <c r="N291" s="1077" t="s">
        <v>945</v>
      </c>
      <c r="O291" s="1077">
        <v>1.875</v>
      </c>
      <c r="P291" s="1077">
        <v>1.5</v>
      </c>
      <c r="Q291" s="1077" t="s">
        <v>956</v>
      </c>
      <c r="R291" s="1077">
        <v>23</v>
      </c>
      <c r="T291" s="1077">
        <v>19</v>
      </c>
      <c r="U291" s="1077">
        <v>3.8</v>
      </c>
      <c r="V291" s="1077" t="s">
        <v>648</v>
      </c>
      <c r="W291" s="1077">
        <v>110</v>
      </c>
      <c r="X291" s="1077">
        <v>70</v>
      </c>
      <c r="Y291" s="1077">
        <v>2</v>
      </c>
      <c r="Z291" s="1077">
        <v>4.5</v>
      </c>
      <c r="AA291" s="1077" t="s">
        <v>2608</v>
      </c>
      <c r="AH291" s="1077" t="s">
        <v>2609</v>
      </c>
      <c r="AM291" s="1078" t="s">
        <v>9629</v>
      </c>
      <c r="AN291" s="1078" t="s">
        <v>9630</v>
      </c>
      <c r="AO291" s="1078">
        <f t="shared" si="38"/>
        <v>650</v>
      </c>
      <c r="AP291" s="1078">
        <f t="shared" si="39"/>
        <v>1.7050000000000001</v>
      </c>
      <c r="AQ291" s="1078" t="str">
        <f t="shared" si="40"/>
        <v>1-4-1S83°</v>
      </c>
      <c r="AR291" s="1078" t="str">
        <f t="shared" si="41"/>
        <v>30.2</v>
      </c>
      <c r="AS291" s="1078" t="str">
        <f t="shared" si="42"/>
        <v>250/250/OFF</v>
      </c>
      <c r="AT291" s="1078" t="str">
        <f t="shared" si="43"/>
        <v>1-4-1S83°</v>
      </c>
      <c r="AV291" s="1078" t="str">
        <f t="shared" si="36"/>
        <v>108.4.15</v>
      </c>
      <c r="AW291" s="1344">
        <f t="shared" si="37"/>
        <v>43570</v>
      </c>
    </row>
    <row r="292" spans="1:49">
      <c r="A292" s="1077" t="s">
        <v>2610</v>
      </c>
      <c r="B292" s="1077" t="s">
        <v>1903</v>
      </c>
      <c r="C292" s="1077">
        <v>620</v>
      </c>
      <c r="D292" s="1077">
        <v>1.68</v>
      </c>
      <c r="E292" s="1077" t="s">
        <v>15089</v>
      </c>
      <c r="F292" s="1077" t="s">
        <v>975</v>
      </c>
      <c r="G292" s="1077" t="s">
        <v>1867</v>
      </c>
      <c r="H292" s="1077" t="s">
        <v>1145</v>
      </c>
      <c r="I292" s="1077" t="s">
        <v>126</v>
      </c>
      <c r="J292" s="1077">
        <v>0.7</v>
      </c>
      <c r="K292" s="1077" t="s">
        <v>2611</v>
      </c>
      <c r="L292" s="1077" t="s">
        <v>1905</v>
      </c>
      <c r="M292" s="1077">
        <v>74</v>
      </c>
      <c r="N292" s="1077" t="s">
        <v>945</v>
      </c>
      <c r="O292" s="1077">
        <v>1.85</v>
      </c>
      <c r="P292" s="1077">
        <v>1.48</v>
      </c>
      <c r="Q292" s="1077" t="s">
        <v>2612</v>
      </c>
      <c r="R292" s="1077">
        <v>25.8</v>
      </c>
      <c r="T292" s="1077">
        <v>13.8</v>
      </c>
      <c r="U292" s="1077">
        <v>5.0999999999999996</v>
      </c>
      <c r="V292" s="1077" t="s">
        <v>648</v>
      </c>
      <c r="W292" s="1077">
        <v>105</v>
      </c>
      <c r="X292" s="1077">
        <v>60</v>
      </c>
      <c r="Y292" s="1077">
        <v>1.8</v>
      </c>
      <c r="Z292" s="1077" t="s">
        <v>2613</v>
      </c>
      <c r="AA292" s="1077" t="s">
        <v>2614</v>
      </c>
      <c r="AH292" s="1077" t="s">
        <v>2398</v>
      </c>
      <c r="AM292" s="1078" t="s">
        <v>9631</v>
      </c>
      <c r="AN292" s="1078" t="s">
        <v>9632</v>
      </c>
      <c r="AO292" s="1078">
        <f t="shared" si="38"/>
        <v>620</v>
      </c>
      <c r="AP292" s="1078">
        <f t="shared" si="39"/>
        <v>1.68</v>
      </c>
      <c r="AQ292" s="1078" t="str">
        <f t="shared" si="40"/>
        <v>1-4-1S83°</v>
      </c>
      <c r="AR292" s="1078" t="str">
        <f t="shared" si="41"/>
        <v>31.5</v>
      </c>
      <c r="AS292" s="1078" t="str">
        <f t="shared" si="42"/>
        <v>235/235/OFF</v>
      </c>
      <c r="AT292" s="1078" t="str">
        <f t="shared" si="43"/>
        <v>1-4-1S83°</v>
      </c>
      <c r="AV292" s="1078" t="str">
        <f t="shared" si="36"/>
        <v>108.4.17</v>
      </c>
      <c r="AW292" s="1344">
        <f t="shared" si="37"/>
        <v>43572</v>
      </c>
    </row>
    <row r="293" spans="1:49">
      <c r="A293" s="1077" t="s">
        <v>2615</v>
      </c>
      <c r="B293" s="1077" t="s">
        <v>1815</v>
      </c>
      <c r="C293" s="1077">
        <v>650</v>
      </c>
      <c r="D293" s="1077">
        <v>1.69</v>
      </c>
      <c r="E293" s="1077" t="s">
        <v>15098</v>
      </c>
      <c r="F293" s="1077" t="s">
        <v>954</v>
      </c>
      <c r="G293" s="1077" t="s">
        <v>1767</v>
      </c>
      <c r="H293" s="1077" t="s">
        <v>2009</v>
      </c>
      <c r="I293" s="1077" t="s">
        <v>126</v>
      </c>
      <c r="J293" s="1077">
        <v>0.8</v>
      </c>
      <c r="K293" s="1077" t="s">
        <v>2616</v>
      </c>
      <c r="L293" s="1077" t="s">
        <v>2209</v>
      </c>
      <c r="M293" s="1077">
        <v>75.099999999999994</v>
      </c>
      <c r="N293" s="1077" t="s">
        <v>945</v>
      </c>
      <c r="O293" s="1077">
        <v>1.8774999999999999</v>
      </c>
      <c r="P293" s="1077">
        <v>1.502</v>
      </c>
      <c r="Q293" s="1077" t="s">
        <v>1277</v>
      </c>
      <c r="R293" s="1077">
        <v>19</v>
      </c>
      <c r="T293" s="1077">
        <v>21</v>
      </c>
      <c r="U293" s="1077">
        <v>3.5</v>
      </c>
      <c r="V293" s="1077" t="s">
        <v>648</v>
      </c>
      <c r="W293" s="1077">
        <v>110</v>
      </c>
      <c r="X293" s="1077">
        <v>65</v>
      </c>
      <c r="Y293" s="1077">
        <v>1.6</v>
      </c>
      <c r="Z293" s="1077">
        <v>4</v>
      </c>
      <c r="AA293" s="1077" t="s">
        <v>2617</v>
      </c>
      <c r="AH293" s="1077" t="s">
        <v>1448</v>
      </c>
      <c r="AM293" s="1078" t="s">
        <v>9633</v>
      </c>
      <c r="AN293" s="1078" t="s">
        <v>9634</v>
      </c>
      <c r="AO293" s="1078">
        <f t="shared" si="38"/>
        <v>650</v>
      </c>
      <c r="AP293" s="1078">
        <f t="shared" si="39"/>
        <v>1.69</v>
      </c>
      <c r="AQ293" s="1078" t="str">
        <f t="shared" si="40"/>
        <v>1-4-1S91°</v>
      </c>
      <c r="AR293" s="1078" t="str">
        <f t="shared" si="41"/>
        <v>31</v>
      </c>
      <c r="AS293" s="1078" t="str">
        <f t="shared" si="42"/>
        <v>265/265/OFF</v>
      </c>
      <c r="AT293" s="1078" t="str">
        <f t="shared" si="43"/>
        <v>1-4-1S91°</v>
      </c>
      <c r="AV293" s="1078" t="str">
        <f t="shared" si="36"/>
        <v>108.4.22</v>
      </c>
      <c r="AW293" s="1344">
        <f t="shared" si="37"/>
        <v>43577</v>
      </c>
    </row>
    <row r="294" spans="1:49">
      <c r="A294" s="1077" t="s">
        <v>2618</v>
      </c>
      <c r="B294" s="1077" t="s">
        <v>771</v>
      </c>
      <c r="C294" s="1077">
        <v>750</v>
      </c>
      <c r="D294" s="1077">
        <v>1.748</v>
      </c>
      <c r="E294" s="1077" t="s">
        <v>15095</v>
      </c>
      <c r="F294" s="1077" t="s">
        <v>2520</v>
      </c>
      <c r="G294" s="1077">
        <v>5</v>
      </c>
      <c r="H294" s="1077" t="s">
        <v>2192</v>
      </c>
      <c r="I294" s="1077" t="s">
        <v>126</v>
      </c>
      <c r="J294" s="1077">
        <v>1.3</v>
      </c>
      <c r="K294" s="1077" t="s">
        <v>2619</v>
      </c>
      <c r="L294" s="1077" t="s">
        <v>2620</v>
      </c>
      <c r="M294" s="1077">
        <v>75</v>
      </c>
      <c r="N294" s="1077" t="s">
        <v>945</v>
      </c>
      <c r="O294" s="1077">
        <v>1.875</v>
      </c>
      <c r="P294" s="1077">
        <v>1.5</v>
      </c>
      <c r="Q294" s="1077" t="s">
        <v>946</v>
      </c>
      <c r="R294" s="1077">
        <v>22</v>
      </c>
      <c r="T294" s="1077">
        <v>27.2</v>
      </c>
      <c r="U294" s="1077">
        <v>3.8</v>
      </c>
      <c r="V294" s="1077" t="s">
        <v>648</v>
      </c>
      <c r="W294" s="1077">
        <v>100</v>
      </c>
      <c r="X294" s="1077">
        <v>45</v>
      </c>
      <c r="Y294" s="1077">
        <v>1.6</v>
      </c>
      <c r="Z294" s="1077">
        <v>5.5</v>
      </c>
      <c r="AA294" s="1077" t="s">
        <v>2617</v>
      </c>
      <c r="AH294" s="1077" t="s">
        <v>868</v>
      </c>
      <c r="AM294" s="1078" t="s">
        <v>9635</v>
      </c>
      <c r="AN294" s="1078" t="s">
        <v>9636</v>
      </c>
      <c r="AO294" s="1078">
        <f t="shared" si="38"/>
        <v>750</v>
      </c>
      <c r="AP294" s="1078">
        <f t="shared" si="39"/>
        <v>1.748</v>
      </c>
      <c r="AQ294" s="1078" t="str">
        <f t="shared" si="40"/>
        <v>1-5-1S83°</v>
      </c>
      <c r="AR294" s="1078" t="str">
        <f t="shared" si="41"/>
        <v>*</v>
      </c>
      <c r="AS294" s="1078" t="str">
        <f t="shared" si="42"/>
        <v>180/OFF</v>
      </c>
      <c r="AT294" s="1078" t="str">
        <f t="shared" si="43"/>
        <v>1-5-1S83°</v>
      </c>
      <c r="AV294" s="1078" t="str">
        <f t="shared" si="36"/>
        <v>108.4.22</v>
      </c>
      <c r="AW294" s="1344">
        <f t="shared" si="37"/>
        <v>43577</v>
      </c>
    </row>
    <row r="295" spans="1:49">
      <c r="A295" s="1077" t="s">
        <v>2621</v>
      </c>
      <c r="B295" s="1077" t="s">
        <v>1891</v>
      </c>
      <c r="C295" s="1077">
        <v>600</v>
      </c>
      <c r="D295" s="1077">
        <v>1.68</v>
      </c>
      <c r="E295" s="1077" t="s">
        <v>15089</v>
      </c>
      <c r="F295" s="1077" t="s">
        <v>984</v>
      </c>
      <c r="G295" s="1077" t="s">
        <v>2622</v>
      </c>
      <c r="H295" s="1077" t="s">
        <v>1040</v>
      </c>
      <c r="I295" s="1077" t="s">
        <v>126</v>
      </c>
      <c r="J295" s="1077">
        <v>0.6</v>
      </c>
      <c r="K295" s="1077" t="s">
        <v>2623</v>
      </c>
      <c r="L295" s="1077" t="s">
        <v>1893</v>
      </c>
      <c r="M295" s="1077">
        <v>74.599999999999994</v>
      </c>
      <c r="N295" s="1077" t="s">
        <v>945</v>
      </c>
      <c r="O295" s="1077">
        <v>1.865</v>
      </c>
      <c r="P295" s="1077">
        <v>1.492</v>
      </c>
      <c r="Q295" s="1077" t="s">
        <v>2401</v>
      </c>
      <c r="R295" s="1077">
        <v>23.5</v>
      </c>
      <c r="T295" s="1077">
        <v>12.5</v>
      </c>
      <c r="U295" s="1077">
        <v>5.0999999999999996</v>
      </c>
      <c r="V295" s="1077" t="s">
        <v>648</v>
      </c>
      <c r="W295" s="1077" t="s">
        <v>2532</v>
      </c>
      <c r="X295" s="1077">
        <v>60</v>
      </c>
      <c r="Y295" s="1077">
        <v>1.8</v>
      </c>
      <c r="Z295" s="1077">
        <v>4.5</v>
      </c>
      <c r="AA295" s="1077" t="s">
        <v>2624</v>
      </c>
      <c r="AH295" s="1077" t="s">
        <v>762</v>
      </c>
      <c r="AM295" s="1078" t="s">
        <v>9637</v>
      </c>
      <c r="AN295" s="1078" t="s">
        <v>9638</v>
      </c>
      <c r="AO295" s="1078">
        <f t="shared" si="38"/>
        <v>600</v>
      </c>
      <c r="AP295" s="1078">
        <f t="shared" si="39"/>
        <v>1.68</v>
      </c>
      <c r="AQ295" s="1078" t="str">
        <f t="shared" si="40"/>
        <v>1-4-1S83°</v>
      </c>
      <c r="AR295" s="1078" t="str">
        <f t="shared" si="41"/>
        <v>30</v>
      </c>
      <c r="AS295" s="1078" t="str">
        <f t="shared" si="42"/>
        <v>240/240/OFF</v>
      </c>
      <c r="AT295" s="1078" t="str">
        <f t="shared" si="43"/>
        <v>1-4-1S83°</v>
      </c>
      <c r="AV295" s="1078" t="str">
        <f t="shared" si="36"/>
        <v>108.5.27</v>
      </c>
      <c r="AW295" s="1344">
        <f t="shared" si="37"/>
        <v>43612</v>
      </c>
    </row>
    <row r="296" spans="1:49">
      <c r="A296" s="1077" t="s">
        <v>2625</v>
      </c>
      <c r="B296" s="1077" t="s">
        <v>453</v>
      </c>
      <c r="C296" s="1077">
        <v>650</v>
      </c>
      <c r="D296" s="1077">
        <v>1.7</v>
      </c>
      <c r="E296" s="1077" t="s">
        <v>15089</v>
      </c>
      <c r="F296" s="1077" t="s">
        <v>984</v>
      </c>
      <c r="G296" s="1077" t="s">
        <v>1767</v>
      </c>
      <c r="H296" s="1077" t="s">
        <v>2626</v>
      </c>
      <c r="I296" s="1077" t="s">
        <v>126</v>
      </c>
      <c r="J296" s="1077">
        <v>1</v>
      </c>
      <c r="K296" s="1077" t="s">
        <v>2627</v>
      </c>
      <c r="L296" s="1077" t="s">
        <v>1776</v>
      </c>
      <c r="M296" s="1077">
        <v>77</v>
      </c>
      <c r="N296" s="1077" t="s">
        <v>945</v>
      </c>
      <c r="O296" s="1077">
        <v>1.925</v>
      </c>
      <c r="P296" s="1077">
        <v>1.54</v>
      </c>
      <c r="Q296" s="1077" t="s">
        <v>2407</v>
      </c>
      <c r="R296" s="1077">
        <v>24</v>
      </c>
      <c r="T296" s="1077">
        <v>9</v>
      </c>
      <c r="U296" s="1077">
        <v>2.2000000000000002</v>
      </c>
      <c r="V296" s="1077" t="s">
        <v>648</v>
      </c>
      <c r="W296" s="1077">
        <v>110</v>
      </c>
      <c r="X296" s="1077">
        <v>85</v>
      </c>
      <c r="Y296" s="1077">
        <v>2.1</v>
      </c>
      <c r="Z296" s="1077">
        <v>2.5</v>
      </c>
      <c r="AA296" s="1077" t="s">
        <v>2628</v>
      </c>
      <c r="AB296" s="1077" t="s">
        <v>981</v>
      </c>
      <c r="AH296" s="1077" t="s">
        <v>1796</v>
      </c>
      <c r="AM296" s="1078" t="s">
        <v>9639</v>
      </c>
      <c r="AN296" s="1078" t="s">
        <v>9640</v>
      </c>
      <c r="AO296" s="1078">
        <f t="shared" si="38"/>
        <v>650</v>
      </c>
      <c r="AP296" s="1078">
        <f t="shared" si="39"/>
        <v>1.7</v>
      </c>
      <c r="AQ296" s="1078" t="str">
        <f t="shared" si="40"/>
        <v>1-4-1S83°</v>
      </c>
      <c r="AR296" s="1078" t="str">
        <f t="shared" si="41"/>
        <v>30</v>
      </c>
      <c r="AS296" s="1078" t="str">
        <f t="shared" si="42"/>
        <v>257/257/166</v>
      </c>
      <c r="AT296" s="1078" t="str">
        <f t="shared" si="43"/>
        <v>1-4-1S83°</v>
      </c>
      <c r="AV296" s="1078" t="str">
        <f t="shared" si="36"/>
        <v>108.4.26</v>
      </c>
      <c r="AW296" s="1344">
        <f t="shared" si="37"/>
        <v>43581</v>
      </c>
    </row>
    <row r="297" spans="1:49">
      <c r="A297" s="1077" t="s">
        <v>2629</v>
      </c>
      <c r="B297" s="1077" t="s">
        <v>850</v>
      </c>
      <c r="C297" s="1077">
        <v>550</v>
      </c>
      <c r="D297" s="1077">
        <v>1.7350000000000001</v>
      </c>
      <c r="E297" s="1077" t="s">
        <v>15095</v>
      </c>
      <c r="F297" s="1077" t="s">
        <v>984</v>
      </c>
      <c r="G297" s="1077" t="s">
        <v>940</v>
      </c>
      <c r="H297" s="1077" t="s">
        <v>1017</v>
      </c>
      <c r="I297" s="1077" t="s">
        <v>626</v>
      </c>
      <c r="J297" s="1077">
        <v>1</v>
      </c>
      <c r="K297" s="1077" t="s">
        <v>2523</v>
      </c>
      <c r="L297" s="1077" t="s">
        <v>2524</v>
      </c>
      <c r="M297" s="1077">
        <v>79</v>
      </c>
      <c r="N297" s="1077" t="s">
        <v>945</v>
      </c>
      <c r="O297" s="1077">
        <v>1.9750000000000001</v>
      </c>
      <c r="P297" s="1077">
        <v>1.58</v>
      </c>
      <c r="Q297" s="1077" t="s">
        <v>1012</v>
      </c>
      <c r="R297" s="1077">
        <v>25</v>
      </c>
      <c r="T297" s="1077">
        <v>9.6</v>
      </c>
      <c r="U297" s="1077">
        <v>6.8</v>
      </c>
      <c r="V297" s="1077" t="s">
        <v>648</v>
      </c>
      <c r="W297" s="1077">
        <v>135</v>
      </c>
      <c r="X297" s="1077">
        <v>65</v>
      </c>
      <c r="Y297" s="1077">
        <v>1.4</v>
      </c>
      <c r="Z297" s="1077">
        <v>4</v>
      </c>
      <c r="AA297" s="1077" t="s">
        <v>2630</v>
      </c>
      <c r="AH297" s="1077" t="s">
        <v>990</v>
      </c>
      <c r="AM297" s="1078" t="s">
        <v>9641</v>
      </c>
      <c r="AN297" s="1078" t="s">
        <v>9642</v>
      </c>
      <c r="AO297" s="1078">
        <f t="shared" si="38"/>
        <v>550</v>
      </c>
      <c r="AP297" s="1078">
        <f t="shared" si="39"/>
        <v>1.7350000000000001</v>
      </c>
      <c r="AQ297" s="1078" t="str">
        <f t="shared" si="40"/>
        <v>1-5-1S83°</v>
      </c>
      <c r="AR297" s="1078" t="str">
        <f t="shared" si="41"/>
        <v>30</v>
      </c>
      <c r="AS297" s="1078" t="str">
        <f t="shared" si="42"/>
        <v>200/200/OFF</v>
      </c>
      <c r="AT297" s="1078" t="str">
        <f t="shared" si="43"/>
        <v>1-5-1S83°</v>
      </c>
      <c r="AV297" s="1078" t="str">
        <f t="shared" si="36"/>
        <v>108.5.10</v>
      </c>
      <c r="AW297" s="1344">
        <f t="shared" si="37"/>
        <v>43595</v>
      </c>
    </row>
    <row r="298" spans="1:49">
      <c r="A298" s="1077" t="s">
        <v>2631</v>
      </c>
      <c r="B298" s="1077" t="s">
        <v>453</v>
      </c>
      <c r="C298" s="1077">
        <v>750</v>
      </c>
      <c r="D298" s="1077">
        <v>1.7050000000000001</v>
      </c>
      <c r="E298" s="1077" t="s">
        <v>15089</v>
      </c>
      <c r="F298" s="1077" t="s">
        <v>1773</v>
      </c>
      <c r="G298" s="1077" t="s">
        <v>1767</v>
      </c>
      <c r="H298" s="1077" t="s">
        <v>1875</v>
      </c>
      <c r="I298" s="1077" t="s">
        <v>126</v>
      </c>
      <c r="J298" s="1077">
        <v>0.9</v>
      </c>
      <c r="K298" s="1077" t="s">
        <v>2632</v>
      </c>
      <c r="L298" s="1077" t="s">
        <v>2430</v>
      </c>
      <c r="M298" s="1077">
        <v>75</v>
      </c>
      <c r="N298" s="1077" t="s">
        <v>945</v>
      </c>
      <c r="O298" s="1077">
        <v>1.875</v>
      </c>
      <c r="P298" s="1077">
        <v>1.5</v>
      </c>
      <c r="Q298" s="1077" t="s">
        <v>956</v>
      </c>
      <c r="R298" s="1077">
        <v>23</v>
      </c>
      <c r="T298" s="1077">
        <v>19</v>
      </c>
      <c r="U298" s="1077">
        <v>3.8</v>
      </c>
      <c r="V298" s="1077" t="s">
        <v>648</v>
      </c>
      <c r="W298" s="1077">
        <v>110</v>
      </c>
      <c r="X298" s="1077">
        <v>70</v>
      </c>
      <c r="Y298" s="1077">
        <v>2</v>
      </c>
      <c r="Z298" s="1077">
        <v>4.5</v>
      </c>
      <c r="AA298" s="1077" t="s">
        <v>1041</v>
      </c>
      <c r="AH298" s="1077" t="s">
        <v>483</v>
      </c>
      <c r="AM298" s="1078" t="s">
        <v>9643</v>
      </c>
      <c r="AN298" s="1078" t="s">
        <v>9644</v>
      </c>
      <c r="AO298" s="1078">
        <f t="shared" si="38"/>
        <v>750</v>
      </c>
      <c r="AP298" s="1078">
        <f t="shared" si="39"/>
        <v>1.7050000000000001</v>
      </c>
      <c r="AQ298" s="1078" t="str">
        <f t="shared" si="40"/>
        <v>1-4-1S83°</v>
      </c>
      <c r="AR298" s="1078" t="str">
        <f t="shared" si="41"/>
        <v>30.2</v>
      </c>
      <c r="AS298" s="1078" t="str">
        <f t="shared" si="42"/>
        <v>267/267/OFF</v>
      </c>
      <c r="AT298" s="1078" t="str">
        <f t="shared" si="43"/>
        <v>1-4-1S83°</v>
      </c>
      <c r="AV298" s="1078" t="str">
        <f t="shared" si="36"/>
        <v>108.4.30</v>
      </c>
      <c r="AW298" s="1344">
        <f t="shared" si="37"/>
        <v>43585</v>
      </c>
    </row>
    <row r="299" spans="1:49">
      <c r="A299" s="1077" t="s">
        <v>2633</v>
      </c>
      <c r="B299" s="1077" t="s">
        <v>2544</v>
      </c>
      <c r="C299" s="1077">
        <v>500</v>
      </c>
      <c r="D299" s="1077">
        <v>1.68</v>
      </c>
      <c r="E299" s="1077" t="s">
        <v>15089</v>
      </c>
      <c r="F299" s="1077" t="s">
        <v>984</v>
      </c>
      <c r="G299" s="1077" t="s">
        <v>940</v>
      </c>
      <c r="H299" s="1077" t="s">
        <v>2545</v>
      </c>
      <c r="I299" s="1077" t="s">
        <v>626</v>
      </c>
      <c r="J299" s="1077">
        <v>1.1000000000000001</v>
      </c>
      <c r="K299" s="1077" t="s">
        <v>2634</v>
      </c>
      <c r="L299" s="1077" t="s">
        <v>2547</v>
      </c>
      <c r="M299" s="1077">
        <v>77.599999999999994</v>
      </c>
      <c r="N299" s="1077" t="s">
        <v>945</v>
      </c>
      <c r="O299" s="1077">
        <v>1.94</v>
      </c>
      <c r="P299" s="1077">
        <v>1.5519999999999998</v>
      </c>
      <c r="Q299" s="1077" t="s">
        <v>1059</v>
      </c>
      <c r="R299" s="1077">
        <v>25.1</v>
      </c>
      <c r="T299" s="1077">
        <v>49.4</v>
      </c>
      <c r="U299" s="1077">
        <v>3.8</v>
      </c>
      <c r="V299" s="1077" t="s">
        <v>648</v>
      </c>
      <c r="W299" s="1077">
        <v>100</v>
      </c>
      <c r="X299" s="1077">
        <v>10</v>
      </c>
      <c r="Y299" s="1077">
        <v>1.3</v>
      </c>
      <c r="Z299" s="1077">
        <v>6</v>
      </c>
      <c r="AA299" s="1077" t="s">
        <v>2635</v>
      </c>
      <c r="AH299" s="1077" t="s">
        <v>456</v>
      </c>
      <c r="AM299" s="1078" t="s">
        <v>9645</v>
      </c>
      <c r="AN299" s="1078" t="s">
        <v>9646</v>
      </c>
      <c r="AO299" s="1078">
        <f t="shared" si="38"/>
        <v>500</v>
      </c>
      <c r="AP299" s="1078">
        <f t="shared" si="39"/>
        <v>1.68</v>
      </c>
      <c r="AQ299" s="1078" t="str">
        <f t="shared" si="40"/>
        <v>1-4-1S83°</v>
      </c>
      <c r="AR299" s="1078" t="str">
        <f t="shared" si="41"/>
        <v>30</v>
      </c>
      <c r="AS299" s="1078" t="str">
        <f t="shared" si="42"/>
        <v>260/270/OFF</v>
      </c>
      <c r="AT299" s="1078" t="str">
        <f t="shared" si="43"/>
        <v>1-4-1S83°</v>
      </c>
      <c r="AV299" s="1078" t="str">
        <f t="shared" si="36"/>
        <v>108.5.2</v>
      </c>
      <c r="AW299" s="1344">
        <f t="shared" si="37"/>
        <v>43587</v>
      </c>
    </row>
    <row r="300" spans="1:49">
      <c r="A300" s="1077" t="s">
        <v>2636</v>
      </c>
      <c r="B300" s="1077" t="s">
        <v>840</v>
      </c>
      <c r="C300" s="1077">
        <v>650</v>
      </c>
      <c r="D300" s="1077">
        <v>1.72</v>
      </c>
      <c r="E300" s="1077" t="s">
        <v>15089</v>
      </c>
      <c r="F300" s="1077" t="s">
        <v>984</v>
      </c>
      <c r="G300" s="1077" t="s">
        <v>940</v>
      </c>
      <c r="H300" s="1077" t="s">
        <v>2637</v>
      </c>
      <c r="I300" s="1077" t="s">
        <v>126</v>
      </c>
      <c r="J300" s="1077">
        <v>0.4</v>
      </c>
      <c r="K300" s="1077" t="s">
        <v>2559</v>
      </c>
      <c r="L300" s="1077" t="s">
        <v>2560</v>
      </c>
      <c r="M300" s="1077">
        <v>73.5</v>
      </c>
      <c r="N300" s="1077" t="s">
        <v>945</v>
      </c>
      <c r="O300" s="1077">
        <v>1.8375000000000001</v>
      </c>
      <c r="P300" s="1077">
        <v>1.47</v>
      </c>
      <c r="Q300" s="1077" t="s">
        <v>1012</v>
      </c>
      <c r="R300" s="1077">
        <v>28</v>
      </c>
      <c r="T300" s="1077">
        <v>20.5</v>
      </c>
      <c r="U300" s="1077">
        <v>5.5</v>
      </c>
      <c r="V300" s="1077" t="s">
        <v>648</v>
      </c>
      <c r="W300" s="1077">
        <v>50</v>
      </c>
      <c r="X300" s="1077">
        <v>10</v>
      </c>
      <c r="Y300" s="1077">
        <v>1.5</v>
      </c>
      <c r="Z300" s="1077">
        <v>5</v>
      </c>
      <c r="AA300" s="1077" t="s">
        <v>2638</v>
      </c>
      <c r="AH300" s="1077" t="s">
        <v>1221</v>
      </c>
      <c r="AM300" s="1078" t="s">
        <v>9647</v>
      </c>
      <c r="AN300" s="1078" t="s">
        <v>9648</v>
      </c>
      <c r="AO300" s="1078">
        <f t="shared" si="38"/>
        <v>650</v>
      </c>
      <c r="AP300" s="1078">
        <f t="shared" si="39"/>
        <v>1.72</v>
      </c>
      <c r="AQ300" s="1078" t="str">
        <f t="shared" si="40"/>
        <v>1-4-1S83°</v>
      </c>
      <c r="AR300" s="1078" t="str">
        <f t="shared" si="41"/>
        <v>30</v>
      </c>
      <c r="AS300" s="1078" t="str">
        <f t="shared" si="42"/>
        <v>228/228/OFF</v>
      </c>
      <c r="AT300" s="1078" t="str">
        <f t="shared" si="43"/>
        <v>1-4-1S83°</v>
      </c>
      <c r="AV300" s="1078" t="str">
        <f t="shared" si="36"/>
        <v>108.5.17</v>
      </c>
      <c r="AW300" s="1344">
        <f t="shared" si="37"/>
        <v>43602</v>
      </c>
    </row>
    <row r="301" spans="1:49">
      <c r="A301" s="1077" t="s">
        <v>2639</v>
      </c>
      <c r="B301" s="1077" t="s">
        <v>1858</v>
      </c>
      <c r="C301" s="1077">
        <v>620</v>
      </c>
      <c r="D301" s="1077">
        <v>1.69</v>
      </c>
      <c r="E301" s="1077" t="s">
        <v>15089</v>
      </c>
      <c r="F301" s="1077" t="s">
        <v>975</v>
      </c>
      <c r="G301" s="1077" t="s">
        <v>1867</v>
      </c>
      <c r="H301" s="1077" t="s">
        <v>1040</v>
      </c>
      <c r="I301" s="1077" t="s">
        <v>126</v>
      </c>
      <c r="J301" s="1077">
        <v>0.9</v>
      </c>
      <c r="K301" s="1077" t="s">
        <v>2640</v>
      </c>
      <c r="L301" s="1077" t="s">
        <v>1860</v>
      </c>
      <c r="M301" s="1077">
        <v>75.099999999999994</v>
      </c>
      <c r="N301" s="1077" t="s">
        <v>945</v>
      </c>
      <c r="O301" s="1077">
        <v>1.8774999999999999</v>
      </c>
      <c r="P301" s="1077">
        <v>1.502</v>
      </c>
      <c r="Q301" s="1077" t="s">
        <v>1059</v>
      </c>
      <c r="R301" s="1077">
        <v>26</v>
      </c>
      <c r="T301" s="1077">
        <v>13</v>
      </c>
      <c r="U301" s="1077">
        <v>5.2</v>
      </c>
      <c r="V301" s="1077" t="s">
        <v>648</v>
      </c>
      <c r="W301" s="1077">
        <v>110</v>
      </c>
      <c r="X301" s="1077">
        <v>85</v>
      </c>
      <c r="Y301" s="1077">
        <v>1.6</v>
      </c>
      <c r="Z301" s="1077">
        <v>4</v>
      </c>
      <c r="AA301" s="1077" t="s">
        <v>1056</v>
      </c>
      <c r="AH301" s="1077" t="s">
        <v>622</v>
      </c>
      <c r="AM301" s="1078" t="s">
        <v>9649</v>
      </c>
      <c r="AN301" s="1078" t="s">
        <v>9650</v>
      </c>
      <c r="AO301" s="1078">
        <f t="shared" si="38"/>
        <v>620</v>
      </c>
      <c r="AP301" s="1078">
        <f t="shared" si="39"/>
        <v>1.69</v>
      </c>
      <c r="AQ301" s="1078" t="str">
        <f t="shared" si="40"/>
        <v>1-4-1S83°</v>
      </c>
      <c r="AR301" s="1078" t="str">
        <f t="shared" si="41"/>
        <v>31.5</v>
      </c>
      <c r="AS301" s="1078" t="str">
        <f t="shared" si="42"/>
        <v>240/240/OFF</v>
      </c>
      <c r="AT301" s="1078" t="str">
        <f t="shared" si="43"/>
        <v>1-4-1S83°</v>
      </c>
      <c r="AV301" s="1078" t="str">
        <f t="shared" si="36"/>
        <v>108.5.21</v>
      </c>
      <c r="AW301" s="1344">
        <f t="shared" si="37"/>
        <v>43606</v>
      </c>
    </row>
    <row r="302" spans="1:49">
      <c r="A302" s="1077" t="s">
        <v>2641</v>
      </c>
      <c r="B302" s="1077" t="s">
        <v>2129</v>
      </c>
      <c r="C302" s="1077">
        <v>600</v>
      </c>
      <c r="D302" s="1077">
        <v>1.72</v>
      </c>
      <c r="E302" s="1077" t="s">
        <v>15099</v>
      </c>
      <c r="F302" s="1077" t="s">
        <v>984</v>
      </c>
      <c r="G302" s="1077" t="s">
        <v>1767</v>
      </c>
      <c r="H302" s="1077" t="s">
        <v>2642</v>
      </c>
      <c r="I302" s="1077" t="s">
        <v>126</v>
      </c>
      <c r="J302" s="1077">
        <v>0.9</v>
      </c>
      <c r="K302" s="1077" t="s">
        <v>2643</v>
      </c>
      <c r="L302" s="1077" t="s">
        <v>2132</v>
      </c>
      <c r="M302" s="1077">
        <v>77</v>
      </c>
      <c r="N302" s="1077" t="s">
        <v>945</v>
      </c>
      <c r="O302" s="1077">
        <v>1.925</v>
      </c>
      <c r="P302" s="1077">
        <v>1.54</v>
      </c>
      <c r="Q302" s="1077" t="s">
        <v>1264</v>
      </c>
      <c r="R302" s="1077">
        <v>22</v>
      </c>
      <c r="T302" s="1077">
        <v>15.5</v>
      </c>
      <c r="U302" s="1077">
        <v>2.9</v>
      </c>
      <c r="V302" s="1077" t="s">
        <v>648</v>
      </c>
      <c r="W302" s="1077">
        <v>105</v>
      </c>
      <c r="X302" s="1077">
        <v>85</v>
      </c>
      <c r="Y302" s="1077">
        <v>2.2000000000000002</v>
      </c>
      <c r="Z302" s="1077">
        <v>3</v>
      </c>
      <c r="AA302" s="1077" t="s">
        <v>2644</v>
      </c>
      <c r="AH302" s="1077" t="s">
        <v>680</v>
      </c>
      <c r="AM302" s="1078" t="s">
        <v>9651</v>
      </c>
      <c r="AN302" s="1078" t="s">
        <v>9652</v>
      </c>
      <c r="AO302" s="1078">
        <f t="shared" si="38"/>
        <v>600</v>
      </c>
      <c r="AP302" s="1078">
        <f t="shared" si="39"/>
        <v>1.72</v>
      </c>
      <c r="AQ302" s="1078" t="str">
        <f t="shared" si="40"/>
        <v>1-5-1S87°</v>
      </c>
      <c r="AR302" s="1078" t="str">
        <f t="shared" si="41"/>
        <v>30</v>
      </c>
      <c r="AS302" s="1078" t="str">
        <f t="shared" si="42"/>
        <v>280/280/155</v>
      </c>
      <c r="AT302" s="1078" t="str">
        <f t="shared" si="43"/>
        <v>1-5-1S87°</v>
      </c>
      <c r="AV302" s="1078" t="str">
        <f t="shared" si="36"/>
        <v>108.5.23</v>
      </c>
      <c r="AW302" s="1344">
        <f t="shared" si="37"/>
        <v>43608</v>
      </c>
    </row>
    <row r="303" spans="1:49">
      <c r="A303" s="1077" t="s">
        <v>2645</v>
      </c>
      <c r="B303" s="1077" t="s">
        <v>453</v>
      </c>
      <c r="C303" s="1077">
        <v>650</v>
      </c>
      <c r="D303" s="1077">
        <v>1.7</v>
      </c>
      <c r="E303" s="1077" t="s">
        <v>15089</v>
      </c>
      <c r="F303" s="1077" t="s">
        <v>984</v>
      </c>
      <c r="G303" s="1077" t="s">
        <v>1767</v>
      </c>
      <c r="H303" s="1077" t="s">
        <v>2494</v>
      </c>
      <c r="I303" s="1077" t="s">
        <v>126</v>
      </c>
      <c r="J303" s="1077">
        <v>1</v>
      </c>
      <c r="K303" s="1077" t="s">
        <v>2451</v>
      </c>
      <c r="L303" s="1077" t="s">
        <v>1776</v>
      </c>
      <c r="M303" s="1077">
        <v>77</v>
      </c>
      <c r="N303" s="1077" t="s">
        <v>945</v>
      </c>
      <c r="O303" s="1077">
        <v>1.925</v>
      </c>
      <c r="P303" s="1077">
        <v>1.54</v>
      </c>
      <c r="Q303" s="1077" t="s">
        <v>2407</v>
      </c>
      <c r="R303" s="1077">
        <v>24</v>
      </c>
      <c r="T303" s="1077">
        <v>9</v>
      </c>
      <c r="U303" s="1077">
        <v>2.2000000000000002</v>
      </c>
      <c r="V303" s="1077" t="s">
        <v>648</v>
      </c>
      <c r="W303" s="1077">
        <v>110</v>
      </c>
      <c r="X303" s="1077">
        <v>85</v>
      </c>
      <c r="Y303" s="1077">
        <v>2.1</v>
      </c>
      <c r="Z303" s="1077">
        <v>2.5</v>
      </c>
      <c r="AA303" s="1077" t="s">
        <v>1096</v>
      </c>
      <c r="AB303" s="1077" t="s">
        <v>981</v>
      </c>
      <c r="AH303" s="1077" t="s">
        <v>619</v>
      </c>
      <c r="AM303" s="1078" t="s">
        <v>9653</v>
      </c>
      <c r="AN303" s="1078" t="s">
        <v>9654</v>
      </c>
      <c r="AO303" s="1078">
        <f t="shared" si="38"/>
        <v>650</v>
      </c>
      <c r="AP303" s="1078">
        <f t="shared" si="39"/>
        <v>1.7</v>
      </c>
      <c r="AQ303" s="1078" t="str">
        <f t="shared" si="40"/>
        <v>1-4-1S83°</v>
      </c>
      <c r="AR303" s="1078" t="str">
        <f t="shared" si="41"/>
        <v>30</v>
      </c>
      <c r="AS303" s="1078" t="str">
        <f t="shared" si="42"/>
        <v>257/257/165</v>
      </c>
      <c r="AT303" s="1078" t="str">
        <f t="shared" si="43"/>
        <v>1-4-1S83°</v>
      </c>
      <c r="AV303" s="1078" t="str">
        <f t="shared" si="36"/>
        <v>108.5.31</v>
      </c>
      <c r="AW303" s="1344">
        <f t="shared" si="37"/>
        <v>43616</v>
      </c>
    </row>
    <row r="304" spans="1:49">
      <c r="A304" s="1077" t="s">
        <v>2646</v>
      </c>
      <c r="B304" s="1077" t="s">
        <v>453</v>
      </c>
      <c r="C304" s="1077">
        <v>750</v>
      </c>
      <c r="D304" s="1077">
        <v>1.7050000000000001</v>
      </c>
      <c r="E304" s="1077" t="s">
        <v>15089</v>
      </c>
      <c r="F304" s="1077" t="s">
        <v>1773</v>
      </c>
      <c r="G304" s="1077" t="s">
        <v>1767</v>
      </c>
      <c r="H304" s="1077" t="s">
        <v>1875</v>
      </c>
      <c r="I304" s="1077" t="s">
        <v>126</v>
      </c>
      <c r="J304" s="1077">
        <v>0.9</v>
      </c>
      <c r="K304" s="1077" t="s">
        <v>2647</v>
      </c>
      <c r="L304" s="1077" t="s">
        <v>1776</v>
      </c>
      <c r="M304" s="1077">
        <v>75</v>
      </c>
      <c r="N304" s="1077" t="s">
        <v>945</v>
      </c>
      <c r="O304" s="1077">
        <v>1.875</v>
      </c>
      <c r="P304" s="1077">
        <v>1.5</v>
      </c>
      <c r="Q304" s="1077" t="s">
        <v>956</v>
      </c>
      <c r="R304" s="1077">
        <v>23</v>
      </c>
      <c r="T304" s="1077">
        <v>19</v>
      </c>
      <c r="U304" s="1077">
        <v>3.8</v>
      </c>
      <c r="V304" s="1077" t="s">
        <v>648</v>
      </c>
      <c r="W304" s="1077">
        <v>110</v>
      </c>
      <c r="X304" s="1077">
        <v>70</v>
      </c>
      <c r="Y304" s="1077">
        <v>2</v>
      </c>
      <c r="Z304" s="1077">
        <v>4.5</v>
      </c>
      <c r="AA304" s="1077" t="s">
        <v>1096</v>
      </c>
      <c r="AH304" s="1077" t="s">
        <v>884</v>
      </c>
      <c r="AM304" s="1078" t="s">
        <v>9655</v>
      </c>
      <c r="AN304" s="1078" t="s">
        <v>9656</v>
      </c>
      <c r="AO304" s="1078">
        <f t="shared" si="38"/>
        <v>750</v>
      </c>
      <c r="AP304" s="1078">
        <f t="shared" si="39"/>
        <v>1.7050000000000001</v>
      </c>
      <c r="AQ304" s="1078" t="str">
        <f t="shared" si="40"/>
        <v>1-4-1S83°</v>
      </c>
      <c r="AR304" s="1078" t="str">
        <f t="shared" si="41"/>
        <v>30.2</v>
      </c>
      <c r="AS304" s="1078" t="str">
        <f t="shared" si="42"/>
        <v>267/267/OFF</v>
      </c>
      <c r="AT304" s="1078" t="str">
        <f t="shared" si="43"/>
        <v>1-4-1S83°</v>
      </c>
      <c r="AV304" s="1078" t="str">
        <f t="shared" si="36"/>
        <v>108.5.31</v>
      </c>
      <c r="AW304" s="1344">
        <f t="shared" si="37"/>
        <v>43616</v>
      </c>
    </row>
    <row r="305" spans="1:49">
      <c r="A305" s="1077" t="s">
        <v>2648</v>
      </c>
      <c r="B305" s="1077" t="s">
        <v>1815</v>
      </c>
      <c r="C305" s="1077">
        <v>650</v>
      </c>
      <c r="D305" s="1077">
        <v>1.69</v>
      </c>
      <c r="E305" s="1077" t="s">
        <v>15098</v>
      </c>
      <c r="F305" s="1077" t="s">
        <v>954</v>
      </c>
      <c r="G305" s="1077" t="s">
        <v>1767</v>
      </c>
      <c r="H305" s="1077" t="s">
        <v>2009</v>
      </c>
      <c r="I305" s="1077" t="s">
        <v>126</v>
      </c>
      <c r="J305" s="1077">
        <v>0.8</v>
      </c>
      <c r="K305" s="1077" t="s">
        <v>2649</v>
      </c>
      <c r="L305" s="1077" t="s">
        <v>2209</v>
      </c>
      <c r="M305" s="1077">
        <v>75.099999999999994</v>
      </c>
      <c r="N305" s="1077" t="s">
        <v>945</v>
      </c>
      <c r="O305" s="1077">
        <v>1.8774999999999999</v>
      </c>
      <c r="P305" s="1077">
        <v>1.502</v>
      </c>
      <c r="Q305" s="1077" t="s">
        <v>1277</v>
      </c>
      <c r="R305" s="1077">
        <v>19</v>
      </c>
      <c r="T305" s="1077">
        <v>21</v>
      </c>
      <c r="U305" s="1077">
        <v>3.5</v>
      </c>
      <c r="V305" s="1077" t="s">
        <v>648</v>
      </c>
      <c r="W305" s="1077">
        <v>110</v>
      </c>
      <c r="X305" s="1077" t="s">
        <v>2650</v>
      </c>
      <c r="Y305" s="1077">
        <v>1.6</v>
      </c>
      <c r="Z305" s="1077">
        <v>4</v>
      </c>
      <c r="AA305" s="1077" t="s">
        <v>2651</v>
      </c>
      <c r="AB305" s="1077" t="s">
        <v>981</v>
      </c>
      <c r="AH305" s="1077" t="s">
        <v>994</v>
      </c>
      <c r="AM305" s="1078" t="s">
        <v>9657</v>
      </c>
      <c r="AN305" s="1078" t="s">
        <v>9658</v>
      </c>
      <c r="AO305" s="1078">
        <f t="shared" si="38"/>
        <v>650</v>
      </c>
      <c r="AP305" s="1078">
        <f t="shared" si="39"/>
        <v>1.69</v>
      </c>
      <c r="AQ305" s="1078" t="str">
        <f t="shared" si="40"/>
        <v>1-4-1S91°</v>
      </c>
      <c r="AR305" s="1078" t="str">
        <f t="shared" si="41"/>
        <v>31</v>
      </c>
      <c r="AS305" s="1078" t="str">
        <f t="shared" si="42"/>
        <v>265/265/OFF</v>
      </c>
      <c r="AT305" s="1078" t="str">
        <f t="shared" si="43"/>
        <v>1-4-1S91°</v>
      </c>
      <c r="AV305" s="1078" t="str">
        <f t="shared" si="36"/>
        <v>108.6.3</v>
      </c>
      <c r="AW305" s="1344">
        <f t="shared" si="37"/>
        <v>43619</v>
      </c>
    </row>
    <row r="306" spans="1:49">
      <c r="A306" s="1077" t="s">
        <v>2652</v>
      </c>
      <c r="B306" s="1077" t="s">
        <v>424</v>
      </c>
      <c r="C306" s="1077">
        <v>700</v>
      </c>
      <c r="D306" s="1077">
        <v>1.7749999999999999</v>
      </c>
      <c r="E306" s="1077" t="s">
        <v>15089</v>
      </c>
      <c r="F306" s="1077" t="s">
        <v>1897</v>
      </c>
      <c r="G306" s="1077" t="s">
        <v>1767</v>
      </c>
      <c r="H306" s="1077" t="s">
        <v>2400</v>
      </c>
      <c r="I306" s="1077" t="s">
        <v>626</v>
      </c>
      <c r="J306" s="1077">
        <v>4</v>
      </c>
      <c r="K306" s="1077" t="s">
        <v>2653</v>
      </c>
      <c r="L306" s="1077" t="s">
        <v>1938</v>
      </c>
      <c r="M306" s="1077">
        <v>75.599999999999994</v>
      </c>
      <c r="N306" s="1077" t="s">
        <v>945</v>
      </c>
      <c r="O306" s="1077">
        <v>1.89</v>
      </c>
      <c r="P306" s="1077">
        <v>1.512</v>
      </c>
      <c r="Q306" s="1077" t="s">
        <v>1264</v>
      </c>
      <c r="R306" s="1077">
        <v>18.600000000000001</v>
      </c>
      <c r="T306" s="1077">
        <v>18.8</v>
      </c>
      <c r="U306" s="1077">
        <v>2.9</v>
      </c>
      <c r="V306" s="1077" t="s">
        <v>648</v>
      </c>
      <c r="W306" s="1077">
        <v>150</v>
      </c>
      <c r="X306" s="1077">
        <v>90</v>
      </c>
      <c r="Y306" s="1077">
        <v>2.1</v>
      </c>
      <c r="Z306" s="1077" t="s">
        <v>2654</v>
      </c>
      <c r="AA306" s="1077" t="s">
        <v>2655</v>
      </c>
      <c r="AB306" s="1077" t="s">
        <v>981</v>
      </c>
      <c r="AH306" s="1077" t="s">
        <v>482</v>
      </c>
      <c r="AM306" s="1078" t="s">
        <v>9659</v>
      </c>
      <c r="AN306" s="1078" t="s">
        <v>9660</v>
      </c>
      <c r="AO306" s="1078">
        <f t="shared" si="38"/>
        <v>700</v>
      </c>
      <c r="AP306" s="1078">
        <f t="shared" si="39"/>
        <v>1.7749999999999999</v>
      </c>
      <c r="AQ306" s="1078" t="str">
        <f t="shared" si="40"/>
        <v>1-4-1S83°</v>
      </c>
      <c r="AR306" s="1078" t="str">
        <f t="shared" si="41"/>
        <v>30.8</v>
      </c>
      <c r="AS306" s="1078" t="str">
        <f t="shared" si="42"/>
        <v>290/290/149</v>
      </c>
      <c r="AT306" s="1078" t="str">
        <f t="shared" si="43"/>
        <v>1-4-1S83°</v>
      </c>
      <c r="AV306" s="1078" t="str">
        <f t="shared" si="36"/>
        <v>108.6.5</v>
      </c>
      <c r="AW306" s="1344">
        <f t="shared" si="37"/>
        <v>43621</v>
      </c>
    </row>
    <row r="307" spans="1:49">
      <c r="A307" s="1077" t="s">
        <v>2656</v>
      </c>
      <c r="B307" s="1077" t="s">
        <v>840</v>
      </c>
      <c r="C307" s="1077">
        <v>650</v>
      </c>
      <c r="D307" s="1077">
        <v>1.72</v>
      </c>
      <c r="E307" s="1077" t="s">
        <v>15089</v>
      </c>
      <c r="F307" s="1077" t="s">
        <v>954</v>
      </c>
      <c r="G307" s="1077" t="s">
        <v>940</v>
      </c>
      <c r="H307" s="1077" t="s">
        <v>2558</v>
      </c>
      <c r="I307" s="1077" t="s">
        <v>126</v>
      </c>
      <c r="J307" s="1077">
        <v>1.2</v>
      </c>
      <c r="K307" s="1077" t="s">
        <v>2657</v>
      </c>
      <c r="L307" s="1077" t="s">
        <v>1780</v>
      </c>
      <c r="M307" s="1077">
        <v>78.2</v>
      </c>
      <c r="N307" s="1077" t="s">
        <v>945</v>
      </c>
      <c r="O307" s="1077">
        <v>1.9550000000000001</v>
      </c>
      <c r="P307" s="1077">
        <v>1.5640000000000001</v>
      </c>
      <c r="Q307" s="1077" t="s">
        <v>1012</v>
      </c>
      <c r="R307" s="1077">
        <v>28.5</v>
      </c>
      <c r="T307" s="1077">
        <v>17</v>
      </c>
      <c r="U307" s="1077">
        <v>6</v>
      </c>
      <c r="V307" s="1077" t="s">
        <v>648</v>
      </c>
      <c r="W307" s="1077">
        <v>110</v>
      </c>
      <c r="X307" s="1077">
        <v>75</v>
      </c>
      <c r="Y307" s="1077">
        <v>1.7</v>
      </c>
      <c r="Z307" s="1077">
        <v>5</v>
      </c>
      <c r="AA307" s="1077" t="s">
        <v>2658</v>
      </c>
      <c r="AH307" s="1077" t="s">
        <v>2659</v>
      </c>
      <c r="AM307" s="1078" t="s">
        <v>9661</v>
      </c>
      <c r="AN307" s="1078" t="s">
        <v>9662</v>
      </c>
      <c r="AO307" s="1078">
        <f t="shared" si="38"/>
        <v>650</v>
      </c>
      <c r="AP307" s="1078">
        <f t="shared" si="39"/>
        <v>1.72</v>
      </c>
      <c r="AQ307" s="1078" t="str">
        <f t="shared" si="40"/>
        <v>1-4-1S83°</v>
      </c>
      <c r="AR307" s="1078" t="str">
        <f t="shared" si="41"/>
        <v>31</v>
      </c>
      <c r="AS307" s="1078" t="str">
        <f t="shared" si="42"/>
        <v>222/222/OFF</v>
      </c>
      <c r="AT307" s="1078" t="str">
        <f t="shared" si="43"/>
        <v>1-4-1S83°</v>
      </c>
      <c r="AV307" s="1078" t="str">
        <f t="shared" si="36"/>
        <v>108.6.7</v>
      </c>
      <c r="AW307" s="1344">
        <f t="shared" si="37"/>
        <v>43623</v>
      </c>
    </row>
    <row r="308" spans="1:49">
      <c r="A308" s="1077" t="s">
        <v>2660</v>
      </c>
      <c r="B308" s="1077" t="s">
        <v>2544</v>
      </c>
      <c r="C308" s="1077">
        <v>500</v>
      </c>
      <c r="D308" s="1077">
        <v>1.68</v>
      </c>
      <c r="E308" s="1077" t="s">
        <v>15089</v>
      </c>
      <c r="F308" s="1077" t="s">
        <v>984</v>
      </c>
      <c r="G308" s="1077" t="s">
        <v>940</v>
      </c>
      <c r="H308" s="1077" t="s">
        <v>2545</v>
      </c>
      <c r="I308" s="1077" t="s">
        <v>626</v>
      </c>
      <c r="J308" s="1077">
        <v>1.1000000000000001</v>
      </c>
      <c r="K308" s="1077" t="s">
        <v>2661</v>
      </c>
      <c r="L308" s="1077" t="s">
        <v>2547</v>
      </c>
      <c r="M308" s="1077">
        <v>77.599999999999994</v>
      </c>
      <c r="N308" s="1077" t="s">
        <v>945</v>
      </c>
      <c r="O308" s="1077">
        <v>1.94</v>
      </c>
      <c r="P308" s="1077">
        <v>1.5519999999999998</v>
      </c>
      <c r="Q308" s="1077" t="s">
        <v>1059</v>
      </c>
      <c r="R308" s="1077">
        <v>25.1</v>
      </c>
      <c r="T308" s="1077">
        <v>49.4</v>
      </c>
      <c r="U308" s="1077">
        <v>3.8</v>
      </c>
      <c r="V308" s="1077" t="s">
        <v>648</v>
      </c>
      <c r="W308" s="1077">
        <v>100</v>
      </c>
      <c r="X308" s="1077">
        <v>10</v>
      </c>
      <c r="Y308" s="1077">
        <v>1.3</v>
      </c>
      <c r="Z308" s="1077">
        <v>6</v>
      </c>
      <c r="AA308" s="1077" t="s">
        <v>2662</v>
      </c>
      <c r="AH308" s="1077" t="s">
        <v>762</v>
      </c>
      <c r="AM308" s="1078" t="s">
        <v>9663</v>
      </c>
      <c r="AN308" s="1078" t="s">
        <v>9664</v>
      </c>
      <c r="AO308" s="1078">
        <f t="shared" si="38"/>
        <v>500</v>
      </c>
      <c r="AP308" s="1078">
        <f t="shared" si="39"/>
        <v>1.68</v>
      </c>
      <c r="AQ308" s="1078" t="str">
        <f t="shared" si="40"/>
        <v>1-4-1S83°</v>
      </c>
      <c r="AR308" s="1078" t="str">
        <f t="shared" si="41"/>
        <v>30</v>
      </c>
      <c r="AS308" s="1078" t="str">
        <f t="shared" si="42"/>
        <v>260/270/OFF</v>
      </c>
      <c r="AT308" s="1078" t="str">
        <f t="shared" si="43"/>
        <v>1-4-1S83°</v>
      </c>
      <c r="AV308" s="1078" t="str">
        <f t="shared" si="36"/>
        <v>108.6.6</v>
      </c>
      <c r="AW308" s="1344">
        <f t="shared" si="37"/>
        <v>43622</v>
      </c>
    </row>
    <row r="309" spans="1:49">
      <c r="A309" s="1077" t="s">
        <v>2663</v>
      </c>
      <c r="B309" s="1077" t="s">
        <v>424</v>
      </c>
      <c r="K309" s="1077" t="s">
        <v>2664</v>
      </c>
      <c r="M309" s="1077">
        <v>73</v>
      </c>
      <c r="N309" s="1077" t="s">
        <v>945</v>
      </c>
      <c r="O309" s="1077">
        <v>1.8250000000000002</v>
      </c>
      <c r="P309" s="1077">
        <v>1.46</v>
      </c>
      <c r="Q309" s="1077" t="s">
        <v>946</v>
      </c>
      <c r="R309" s="1077">
        <v>21.6</v>
      </c>
      <c r="T309" s="1077">
        <v>32</v>
      </c>
      <c r="U309" s="1077">
        <v>3.5</v>
      </c>
      <c r="V309" s="1077" t="s">
        <v>648</v>
      </c>
      <c r="W309" s="1077">
        <v>110</v>
      </c>
      <c r="X309" s="1077">
        <v>60</v>
      </c>
      <c r="Y309" s="1077">
        <v>1.5</v>
      </c>
      <c r="Z309" s="1077" t="s">
        <v>2665</v>
      </c>
      <c r="AA309" s="1077" t="s">
        <v>2666</v>
      </c>
      <c r="AB309" s="1077" t="s">
        <v>981</v>
      </c>
      <c r="AM309" s="1078" t="s">
        <v>9665</v>
      </c>
      <c r="AN309" s="1078" t="s">
        <v>9666</v>
      </c>
      <c r="AO309" s="1078">
        <f t="shared" si="38"/>
        <v>0</v>
      </c>
      <c r="AP309" s="1078">
        <f t="shared" si="39"/>
        <v>0</v>
      </c>
      <c r="AQ309" s="1078">
        <f t="shared" si="40"/>
        <v>0</v>
      </c>
      <c r="AR309" s="1078">
        <f t="shared" si="41"/>
        <v>0</v>
      </c>
      <c r="AS309" s="1078">
        <f t="shared" si="42"/>
        <v>0</v>
      </c>
      <c r="AT309" s="1078">
        <f t="shared" si="43"/>
        <v>0</v>
      </c>
      <c r="AV309" s="1078" t="str">
        <f t="shared" si="36"/>
        <v>108.6.</v>
      </c>
      <c r="AW309" s="1344" t="e">
        <f t="shared" si="37"/>
        <v>#VALUE!</v>
      </c>
    </row>
    <row r="310" spans="1:49">
      <c r="A310" s="1077" t="s">
        <v>2667</v>
      </c>
      <c r="B310" s="1077" t="s">
        <v>453</v>
      </c>
      <c r="C310" s="1077">
        <v>750</v>
      </c>
      <c r="D310" s="1077">
        <v>1.7050000000000001</v>
      </c>
      <c r="E310" s="1077" t="s">
        <v>15093</v>
      </c>
      <c r="F310" s="1077" t="s">
        <v>1773</v>
      </c>
      <c r="G310" s="1077" t="s">
        <v>1767</v>
      </c>
      <c r="H310" s="1077" t="s">
        <v>2668</v>
      </c>
      <c r="I310" s="1077" t="s">
        <v>126</v>
      </c>
      <c r="J310" s="1077">
        <v>0.9</v>
      </c>
      <c r="K310" s="1077" t="s">
        <v>2632</v>
      </c>
      <c r="L310" s="1077" t="s">
        <v>2430</v>
      </c>
      <c r="M310" s="1077">
        <v>75</v>
      </c>
      <c r="N310" s="1077" t="s">
        <v>945</v>
      </c>
      <c r="O310" s="1077">
        <v>1.875</v>
      </c>
      <c r="P310" s="1077">
        <v>1.5</v>
      </c>
      <c r="Q310" s="1077" t="s">
        <v>956</v>
      </c>
      <c r="R310" s="1077">
        <v>23</v>
      </c>
      <c r="T310" s="1077">
        <v>19</v>
      </c>
      <c r="U310" s="1077">
        <v>3.8</v>
      </c>
      <c r="V310" s="1077" t="s">
        <v>648</v>
      </c>
      <c r="W310" s="1077">
        <v>110</v>
      </c>
      <c r="X310" s="1077">
        <v>70</v>
      </c>
      <c r="Y310" s="1077">
        <v>2</v>
      </c>
      <c r="Z310" s="1077">
        <v>4.5</v>
      </c>
      <c r="AA310" s="1077" t="s">
        <v>1106</v>
      </c>
      <c r="AH310" s="1077" t="s">
        <v>1186</v>
      </c>
      <c r="AM310" s="1078" t="s">
        <v>9667</v>
      </c>
      <c r="AN310" s="1078" t="s">
        <v>9668</v>
      </c>
      <c r="AO310" s="1078">
        <f t="shared" si="38"/>
        <v>750</v>
      </c>
      <c r="AP310" s="1078">
        <f t="shared" si="39"/>
        <v>1.7050000000000001</v>
      </c>
      <c r="AQ310" s="1078" t="str">
        <f t="shared" si="40"/>
        <v>1-4-1S撚S83°</v>
      </c>
      <c r="AR310" s="1078" t="str">
        <f t="shared" si="41"/>
        <v>30.2</v>
      </c>
      <c r="AS310" s="1078" t="str">
        <f t="shared" si="42"/>
        <v>268/268/OFF</v>
      </c>
      <c r="AT310" s="1078" t="str">
        <f t="shared" si="43"/>
        <v>1-4-1S撚S83°</v>
      </c>
      <c r="AV310" s="1078" t="str">
        <f t="shared" si="36"/>
        <v>108.6.14</v>
      </c>
      <c r="AW310" s="1344">
        <f t="shared" si="37"/>
        <v>43630</v>
      </c>
    </row>
    <row r="311" spans="1:49">
      <c r="A311" s="1077" t="s">
        <v>2669</v>
      </c>
      <c r="B311" s="1077" t="s">
        <v>472</v>
      </c>
      <c r="C311" s="1077">
        <v>550</v>
      </c>
      <c r="D311" s="1077">
        <v>1.69</v>
      </c>
      <c r="E311" s="1077" t="s">
        <v>15089</v>
      </c>
      <c r="F311" s="1077" t="s">
        <v>984</v>
      </c>
      <c r="G311" s="1077" t="s">
        <v>1767</v>
      </c>
      <c r="H311" s="1077" t="s">
        <v>2637</v>
      </c>
      <c r="I311" s="1077" t="s">
        <v>126</v>
      </c>
      <c r="J311" s="1077">
        <v>0.6</v>
      </c>
      <c r="K311" s="1077" t="s">
        <v>2670</v>
      </c>
      <c r="L311" s="1077" t="s">
        <v>1811</v>
      </c>
      <c r="M311" s="1077">
        <v>74.599999999999994</v>
      </c>
      <c r="N311" s="1077" t="s">
        <v>945</v>
      </c>
      <c r="O311" s="1077">
        <v>1.865</v>
      </c>
      <c r="P311" s="1077">
        <v>1.492</v>
      </c>
      <c r="Q311" s="1077" t="s">
        <v>2401</v>
      </c>
      <c r="R311" s="1077">
        <v>23.5</v>
      </c>
      <c r="T311" s="1077">
        <v>12.5</v>
      </c>
      <c r="U311" s="1077">
        <v>5.0999999999999996</v>
      </c>
      <c r="V311" s="1077" t="s">
        <v>648</v>
      </c>
      <c r="W311" s="1077" t="s">
        <v>2532</v>
      </c>
      <c r="X311" s="1077">
        <v>60</v>
      </c>
      <c r="Y311" s="1077">
        <v>1.8</v>
      </c>
      <c r="Z311" s="1077">
        <v>4.5</v>
      </c>
      <c r="AA311" s="1077" t="s">
        <v>1108</v>
      </c>
      <c r="AH311" s="1077" t="s">
        <v>1421</v>
      </c>
      <c r="AM311" s="1078" t="s">
        <v>9669</v>
      </c>
      <c r="AN311" s="1078" t="s">
        <v>9670</v>
      </c>
      <c r="AO311" s="1078">
        <f t="shared" si="38"/>
        <v>550</v>
      </c>
      <c r="AP311" s="1078">
        <f t="shared" si="39"/>
        <v>1.69</v>
      </c>
      <c r="AQ311" s="1078" t="str">
        <f t="shared" si="40"/>
        <v>1-4-1S83°</v>
      </c>
      <c r="AR311" s="1078" t="str">
        <f t="shared" si="41"/>
        <v>30</v>
      </c>
      <c r="AS311" s="1078" t="str">
        <f t="shared" si="42"/>
        <v>228/228/OFF</v>
      </c>
      <c r="AT311" s="1078" t="str">
        <f t="shared" si="43"/>
        <v>1-4-1S83°</v>
      </c>
      <c r="AV311" s="1078" t="str">
        <f t="shared" si="36"/>
        <v>108.6.13</v>
      </c>
      <c r="AW311" s="1344">
        <f t="shared" si="37"/>
        <v>43629</v>
      </c>
    </row>
    <row r="312" spans="1:49">
      <c r="A312" s="1077" t="s">
        <v>2671</v>
      </c>
      <c r="B312" s="1077" t="s">
        <v>424</v>
      </c>
      <c r="C312" s="1077">
        <v>800</v>
      </c>
      <c r="D312" s="1077">
        <v>1.77</v>
      </c>
      <c r="E312" s="1077" t="s">
        <v>15089</v>
      </c>
      <c r="F312" s="1077" t="s">
        <v>954</v>
      </c>
      <c r="G312" s="1077" t="s">
        <v>1767</v>
      </c>
      <c r="H312" s="1077" t="s">
        <v>2393</v>
      </c>
      <c r="I312" s="1077" t="s">
        <v>126</v>
      </c>
      <c r="J312" s="1077">
        <v>1.6</v>
      </c>
      <c r="K312" s="1077" t="s">
        <v>2389</v>
      </c>
      <c r="L312" s="1077" t="s">
        <v>2390</v>
      </c>
      <c r="M312" s="1077">
        <v>73</v>
      </c>
      <c r="N312" s="1077" t="s">
        <v>945</v>
      </c>
      <c r="O312" s="1077">
        <v>1.8250000000000002</v>
      </c>
      <c r="P312" s="1077">
        <v>1.46</v>
      </c>
      <c r="Q312" s="1077" t="s">
        <v>946</v>
      </c>
      <c r="R312" s="1077">
        <v>21.6</v>
      </c>
      <c r="T312" s="1077">
        <v>32</v>
      </c>
      <c r="U312" s="1077">
        <v>3.5</v>
      </c>
      <c r="V312" s="1077" t="s">
        <v>648</v>
      </c>
      <c r="W312" s="1077">
        <v>110</v>
      </c>
      <c r="X312" s="1077">
        <v>60</v>
      </c>
      <c r="Y312" s="1077">
        <v>1.5</v>
      </c>
      <c r="Z312" s="1077">
        <v>5.5</v>
      </c>
      <c r="AA312" s="1077" t="s">
        <v>2672</v>
      </c>
      <c r="AB312" s="1077" t="s">
        <v>981</v>
      </c>
      <c r="AH312" s="1077" t="s">
        <v>878</v>
      </c>
      <c r="AM312" s="1078" t="s">
        <v>9671</v>
      </c>
      <c r="AN312" s="1078" t="s">
        <v>9672</v>
      </c>
      <c r="AO312" s="1078">
        <f t="shared" si="38"/>
        <v>800</v>
      </c>
      <c r="AP312" s="1078">
        <f t="shared" si="39"/>
        <v>1.77</v>
      </c>
      <c r="AQ312" s="1078" t="str">
        <f t="shared" si="40"/>
        <v>1-4-1S83°</v>
      </c>
      <c r="AR312" s="1078" t="str">
        <f t="shared" si="41"/>
        <v>31</v>
      </c>
      <c r="AS312" s="1078" t="str">
        <f t="shared" si="42"/>
        <v>310/310/OFF</v>
      </c>
      <c r="AT312" s="1078" t="str">
        <f t="shared" si="43"/>
        <v>1-4-1S83°</v>
      </c>
      <c r="AV312" s="1078" t="str">
        <f t="shared" si="36"/>
        <v>108.6.24</v>
      </c>
      <c r="AW312" s="1344">
        <f t="shared" si="37"/>
        <v>43640</v>
      </c>
    </row>
    <row r="313" spans="1:49">
      <c r="A313" s="1077" t="s">
        <v>2673</v>
      </c>
      <c r="B313" s="1077" t="s">
        <v>2129</v>
      </c>
      <c r="C313" s="1077">
        <v>600</v>
      </c>
      <c r="D313" s="1077">
        <v>1.72</v>
      </c>
      <c r="E313" s="1077" t="s">
        <v>15091</v>
      </c>
      <c r="F313" s="1077" t="s">
        <v>984</v>
      </c>
      <c r="G313" s="1077" t="s">
        <v>1767</v>
      </c>
      <c r="H313" s="1077" t="s">
        <v>2601</v>
      </c>
      <c r="I313" s="1077" t="s">
        <v>1167</v>
      </c>
      <c r="J313" s="1077">
        <v>1.1000000000000001</v>
      </c>
      <c r="K313" s="1077" t="s">
        <v>2674</v>
      </c>
      <c r="L313" s="1077" t="s">
        <v>2132</v>
      </c>
      <c r="M313" s="1077">
        <v>77</v>
      </c>
      <c r="N313" s="1077" t="s">
        <v>945</v>
      </c>
      <c r="O313" s="1077">
        <v>1.925</v>
      </c>
      <c r="P313" s="1077">
        <v>1.54</v>
      </c>
      <c r="Q313" s="1077" t="s">
        <v>1264</v>
      </c>
      <c r="R313" s="1077">
        <v>22</v>
      </c>
      <c r="T313" s="1077">
        <v>15.5</v>
      </c>
      <c r="U313" s="1077">
        <v>2.9</v>
      </c>
      <c r="V313" s="1077" t="s">
        <v>648</v>
      </c>
      <c r="W313" s="1077">
        <v>105</v>
      </c>
      <c r="X313" s="1077">
        <v>85</v>
      </c>
      <c r="Y313" s="1077">
        <v>2.2000000000000002</v>
      </c>
      <c r="Z313" s="1077">
        <v>3</v>
      </c>
      <c r="AA313" s="1077" t="s">
        <v>2675</v>
      </c>
      <c r="AH313" s="1077" t="s">
        <v>1486</v>
      </c>
      <c r="AM313" s="1078" t="s">
        <v>9673</v>
      </c>
      <c r="AN313" s="1078" t="s">
        <v>9674</v>
      </c>
      <c r="AO313" s="1078">
        <f t="shared" si="38"/>
        <v>600</v>
      </c>
      <c r="AP313" s="1078">
        <f t="shared" si="39"/>
        <v>1.72</v>
      </c>
      <c r="AQ313" s="1078" t="str">
        <f t="shared" si="40"/>
        <v>2-5-1S83°</v>
      </c>
      <c r="AR313" s="1078" t="str">
        <f t="shared" si="41"/>
        <v>30</v>
      </c>
      <c r="AS313" s="1078" t="str">
        <f t="shared" si="42"/>
        <v>178/145</v>
      </c>
      <c r="AT313" s="1078" t="str">
        <f t="shared" si="43"/>
        <v>2-5-1S83°</v>
      </c>
      <c r="AV313" s="1078" t="str">
        <f t="shared" si="36"/>
        <v>108.6.28</v>
      </c>
      <c r="AW313" s="1344">
        <f t="shared" si="37"/>
        <v>43644</v>
      </c>
    </row>
    <row r="314" spans="1:49">
      <c r="A314" s="1077" t="s">
        <v>2676</v>
      </c>
      <c r="B314" s="1077" t="s">
        <v>2677</v>
      </c>
      <c r="C314" s="1077">
        <v>600</v>
      </c>
      <c r="D314" s="1077">
        <v>1.75</v>
      </c>
      <c r="E314" s="1077" t="s">
        <v>15089</v>
      </c>
      <c r="F314" s="1077" t="s">
        <v>1514</v>
      </c>
      <c r="G314" s="1077" t="s">
        <v>940</v>
      </c>
      <c r="H314" s="1077" t="s">
        <v>1017</v>
      </c>
      <c r="I314" s="1077" t="s">
        <v>626</v>
      </c>
      <c r="J314" s="1077">
        <v>1</v>
      </c>
      <c r="K314" s="1077" t="s">
        <v>2678</v>
      </c>
      <c r="L314" s="1077" t="s">
        <v>2288</v>
      </c>
      <c r="M314" s="1077">
        <v>77</v>
      </c>
      <c r="N314" s="1077" t="s">
        <v>945</v>
      </c>
      <c r="O314" s="1077">
        <v>1.925</v>
      </c>
      <c r="P314" s="1077">
        <v>1.54</v>
      </c>
      <c r="Q314" s="1077" t="s">
        <v>1369</v>
      </c>
      <c r="R314" s="1077">
        <v>29</v>
      </c>
      <c r="T314" s="1077">
        <v>9</v>
      </c>
      <c r="U314" s="1077">
        <v>6.6</v>
      </c>
      <c r="V314" s="1077" t="s">
        <v>648</v>
      </c>
      <c r="W314" s="1077">
        <v>125</v>
      </c>
      <c r="X314" s="1077">
        <v>50</v>
      </c>
      <c r="Y314" s="1077">
        <v>2</v>
      </c>
      <c r="Z314" s="1077">
        <v>3.1</v>
      </c>
      <c r="AA314" s="1077" t="s">
        <v>2679</v>
      </c>
      <c r="AC314" s="1077" t="s">
        <v>2680</v>
      </c>
      <c r="AH314" s="1077" t="s">
        <v>456</v>
      </c>
      <c r="AM314" s="1078" t="s">
        <v>9675</v>
      </c>
      <c r="AN314" s="1078" t="s">
        <v>9676</v>
      </c>
      <c r="AO314" s="1078">
        <f t="shared" si="38"/>
        <v>600</v>
      </c>
      <c r="AP314" s="1078">
        <f t="shared" si="39"/>
        <v>1.75</v>
      </c>
      <c r="AQ314" s="1078" t="str">
        <f t="shared" si="40"/>
        <v>1-4-1S83°</v>
      </c>
      <c r="AR314" s="1078" t="str">
        <f t="shared" si="41"/>
        <v>32</v>
      </c>
      <c r="AS314" s="1078" t="str">
        <f t="shared" si="42"/>
        <v>200/200/OFF</v>
      </c>
      <c r="AT314" s="1078" t="str">
        <f t="shared" si="43"/>
        <v>1-4-1S83°</v>
      </c>
      <c r="AV314" s="1078" t="str">
        <f t="shared" si="36"/>
        <v>108.7.1</v>
      </c>
      <c r="AW314" s="1344">
        <f t="shared" si="37"/>
        <v>43647</v>
      </c>
    </row>
    <row r="315" spans="1:49">
      <c r="A315" s="1077" t="s">
        <v>2681</v>
      </c>
      <c r="B315" s="1077" t="s">
        <v>424</v>
      </c>
      <c r="C315" s="1077">
        <v>750</v>
      </c>
      <c r="D315" s="1077">
        <v>1.77</v>
      </c>
      <c r="E315" s="1077" t="s">
        <v>15089</v>
      </c>
      <c r="F315" s="1077" t="s">
        <v>954</v>
      </c>
      <c r="G315" s="1077" t="s">
        <v>1767</v>
      </c>
      <c r="H315" s="1077" t="s">
        <v>2192</v>
      </c>
      <c r="I315" s="1077" t="s">
        <v>1167</v>
      </c>
      <c r="J315" s="1077">
        <v>1.5</v>
      </c>
      <c r="K315" s="1077" t="s">
        <v>2389</v>
      </c>
      <c r="L315" s="1077" t="s">
        <v>2390</v>
      </c>
      <c r="M315" s="1077">
        <v>73</v>
      </c>
      <c r="N315" s="1077" t="s">
        <v>945</v>
      </c>
      <c r="O315" s="1077">
        <v>1.8250000000000002</v>
      </c>
      <c r="P315" s="1077">
        <v>1.46</v>
      </c>
      <c r="Q315" s="1077" t="s">
        <v>961</v>
      </c>
      <c r="R315" s="1077">
        <v>21.6</v>
      </c>
      <c r="T315" s="1077">
        <v>32</v>
      </c>
      <c r="U315" s="1077">
        <v>3.5</v>
      </c>
      <c r="V315" s="1077" t="s">
        <v>648</v>
      </c>
      <c r="W315" s="1077">
        <v>110</v>
      </c>
      <c r="X315" s="1077">
        <v>60</v>
      </c>
      <c r="Y315" s="1077">
        <v>1.5</v>
      </c>
      <c r="Z315" s="1077">
        <v>5.5</v>
      </c>
      <c r="AA315" s="1077" t="s">
        <v>2682</v>
      </c>
      <c r="AH315" s="1077" t="s">
        <v>803</v>
      </c>
      <c r="AM315" s="1078" t="s">
        <v>9677</v>
      </c>
      <c r="AN315" s="1078" t="s">
        <v>9678</v>
      </c>
      <c r="AO315" s="1078">
        <f t="shared" si="38"/>
        <v>750</v>
      </c>
      <c r="AP315" s="1078">
        <f t="shared" si="39"/>
        <v>1.77</v>
      </c>
      <c r="AQ315" s="1078" t="str">
        <f t="shared" si="40"/>
        <v>1-4-1S83°</v>
      </c>
      <c r="AR315" s="1078" t="str">
        <f t="shared" si="41"/>
        <v>31</v>
      </c>
      <c r="AS315" s="1078" t="str">
        <f t="shared" si="42"/>
        <v>180/OFF</v>
      </c>
      <c r="AT315" s="1078" t="str">
        <f t="shared" si="43"/>
        <v>1-4-1S83°</v>
      </c>
      <c r="AV315" s="1078" t="str">
        <f t="shared" si="36"/>
        <v>108.7.3</v>
      </c>
      <c r="AW315" s="1344">
        <f t="shared" si="37"/>
        <v>43649</v>
      </c>
    </row>
    <row r="316" spans="1:49">
      <c r="A316" s="1077" t="s">
        <v>2683</v>
      </c>
      <c r="B316" s="1077" t="s">
        <v>1792</v>
      </c>
      <c r="C316" s="1077">
        <v>750</v>
      </c>
      <c r="D316" s="1077">
        <v>1.78</v>
      </c>
      <c r="E316" s="1077" t="s">
        <v>15089</v>
      </c>
      <c r="F316" s="1077" t="s">
        <v>1514</v>
      </c>
      <c r="G316" s="1077" t="s">
        <v>1767</v>
      </c>
      <c r="H316" s="1077" t="s">
        <v>2540</v>
      </c>
      <c r="I316" s="1077" t="s">
        <v>126</v>
      </c>
      <c r="J316" s="1077">
        <v>1.6</v>
      </c>
      <c r="K316" s="1077" t="s">
        <v>2684</v>
      </c>
      <c r="L316" s="1077" t="s">
        <v>1795</v>
      </c>
      <c r="M316" s="1077">
        <v>73</v>
      </c>
      <c r="N316" s="1077" t="s">
        <v>945</v>
      </c>
      <c r="O316" s="1077">
        <v>1.8250000000000002</v>
      </c>
      <c r="P316" s="1077">
        <v>1.46</v>
      </c>
      <c r="Q316" s="1077" t="s">
        <v>2685</v>
      </c>
      <c r="R316" s="1077">
        <v>21.6</v>
      </c>
      <c r="T316" s="1077">
        <v>32</v>
      </c>
      <c r="U316" s="1077">
        <v>3.7</v>
      </c>
      <c r="V316" s="1077" t="s">
        <v>648</v>
      </c>
      <c r="W316" s="1077">
        <v>110</v>
      </c>
      <c r="X316" s="1077">
        <v>60</v>
      </c>
      <c r="Y316" s="1077">
        <v>1.5</v>
      </c>
      <c r="Z316" s="1077">
        <v>5.5</v>
      </c>
      <c r="AA316" s="1077" t="s">
        <v>2686</v>
      </c>
      <c r="AH316" s="1077" t="s">
        <v>468</v>
      </c>
      <c r="AM316" s="1078" t="s">
        <v>9679</v>
      </c>
      <c r="AN316" s="1078" t="s">
        <v>9680</v>
      </c>
      <c r="AO316" s="1078">
        <f t="shared" si="38"/>
        <v>750</v>
      </c>
      <c r="AP316" s="1078">
        <f t="shared" si="39"/>
        <v>1.78</v>
      </c>
      <c r="AQ316" s="1078" t="str">
        <f t="shared" si="40"/>
        <v>1-4-1S83°</v>
      </c>
      <c r="AR316" s="1078" t="str">
        <f t="shared" si="41"/>
        <v>32</v>
      </c>
      <c r="AS316" s="1078" t="str">
        <f t="shared" si="42"/>
        <v>300/300/OFF</v>
      </c>
      <c r="AT316" s="1078" t="str">
        <f t="shared" si="43"/>
        <v>1-4-1S83°</v>
      </c>
      <c r="AV316" s="1078" t="str">
        <f t="shared" si="36"/>
        <v>108.7.5</v>
      </c>
      <c r="AW316" s="1344">
        <f t="shared" si="37"/>
        <v>43651</v>
      </c>
    </row>
    <row r="317" spans="1:49">
      <c r="A317" s="1077" t="s">
        <v>2687</v>
      </c>
      <c r="B317" s="1077" t="s">
        <v>424</v>
      </c>
      <c r="C317" s="1077">
        <v>700</v>
      </c>
      <c r="D317" s="1077">
        <v>1.7749999999999999</v>
      </c>
      <c r="E317" s="1077" t="s">
        <v>15089</v>
      </c>
      <c r="F317" s="1077" t="s">
        <v>1897</v>
      </c>
      <c r="G317" s="1077" t="s">
        <v>1767</v>
      </c>
      <c r="H317" s="1077" t="s">
        <v>2400</v>
      </c>
      <c r="I317" s="1077" t="s">
        <v>626</v>
      </c>
      <c r="J317" s="1077">
        <v>4</v>
      </c>
      <c r="K317" s="1077" t="s">
        <v>2421</v>
      </c>
      <c r="L317" s="1077" t="s">
        <v>1938</v>
      </c>
      <c r="M317" s="1077">
        <v>75.599999999999994</v>
      </c>
      <c r="N317" s="1077" t="s">
        <v>945</v>
      </c>
      <c r="O317" s="1077">
        <v>1.89</v>
      </c>
      <c r="P317" s="1077">
        <v>1.512</v>
      </c>
      <c r="Q317" s="1077" t="s">
        <v>1264</v>
      </c>
      <c r="R317" s="1077">
        <v>18.600000000000001</v>
      </c>
      <c r="T317" s="1077">
        <v>18.8</v>
      </c>
      <c r="U317" s="1077">
        <v>2.9</v>
      </c>
      <c r="V317" s="1077" t="s">
        <v>648</v>
      </c>
      <c r="W317" s="1077">
        <v>150</v>
      </c>
      <c r="X317" s="1077">
        <v>90</v>
      </c>
      <c r="Y317" s="1077">
        <v>2.1</v>
      </c>
      <c r="Z317" s="1077">
        <v>4</v>
      </c>
      <c r="AA317" s="1077" t="s">
        <v>1127</v>
      </c>
      <c r="AB317" s="1077" t="s">
        <v>981</v>
      </c>
      <c r="AH317" s="1077" t="s">
        <v>456</v>
      </c>
      <c r="AM317" s="1078" t="s">
        <v>9681</v>
      </c>
      <c r="AN317" s="1078" t="s">
        <v>9682</v>
      </c>
      <c r="AO317" s="1078">
        <f t="shared" si="38"/>
        <v>700</v>
      </c>
      <c r="AP317" s="1078">
        <f t="shared" si="39"/>
        <v>1.7749999999999999</v>
      </c>
      <c r="AQ317" s="1078" t="str">
        <f t="shared" si="40"/>
        <v>1-4-1S83°</v>
      </c>
      <c r="AR317" s="1078" t="str">
        <f t="shared" si="41"/>
        <v>30.8</v>
      </c>
      <c r="AS317" s="1078" t="str">
        <f t="shared" si="42"/>
        <v>290/290/149</v>
      </c>
      <c r="AT317" s="1078" t="str">
        <f t="shared" si="43"/>
        <v>1-4-1S83°</v>
      </c>
      <c r="AV317" s="1078" t="str">
        <f t="shared" si="36"/>
        <v>108.7.8</v>
      </c>
      <c r="AW317" s="1344">
        <f t="shared" si="37"/>
        <v>43654</v>
      </c>
    </row>
    <row r="318" spans="1:49">
      <c r="A318" s="1077" t="s">
        <v>2688</v>
      </c>
      <c r="B318" s="1077" t="s">
        <v>1815</v>
      </c>
      <c r="C318" s="1077">
        <v>650</v>
      </c>
      <c r="D318" s="1077">
        <v>1.73</v>
      </c>
      <c r="E318" s="1077" t="s">
        <v>15098</v>
      </c>
      <c r="F318" s="1077" t="s">
        <v>954</v>
      </c>
      <c r="G318" s="1077" t="s">
        <v>1767</v>
      </c>
      <c r="H318" s="1077" t="s">
        <v>2009</v>
      </c>
      <c r="I318" s="1077" t="s">
        <v>126</v>
      </c>
      <c r="J318" s="1077">
        <v>0.8</v>
      </c>
      <c r="K318" s="1077" t="s">
        <v>2689</v>
      </c>
      <c r="L318" s="1077" t="s">
        <v>2209</v>
      </c>
      <c r="M318" s="1077">
        <v>75.099999999999994</v>
      </c>
      <c r="N318" s="1077" t="s">
        <v>945</v>
      </c>
      <c r="O318" s="1077">
        <v>1.8774999999999999</v>
      </c>
      <c r="P318" s="1077">
        <v>1.502</v>
      </c>
      <c r="Q318" s="1077" t="s">
        <v>1277</v>
      </c>
      <c r="R318" s="1077">
        <v>19</v>
      </c>
      <c r="T318" s="1077">
        <v>21</v>
      </c>
      <c r="U318" s="1077">
        <v>3.5</v>
      </c>
      <c r="V318" s="1077" t="s">
        <v>648</v>
      </c>
      <c r="W318" s="1077">
        <v>110</v>
      </c>
      <c r="X318" s="1077" t="s">
        <v>2650</v>
      </c>
      <c r="Y318" s="1077">
        <v>1.6</v>
      </c>
      <c r="Z318" s="1077">
        <v>4</v>
      </c>
      <c r="AA318" s="1077" t="s">
        <v>1131</v>
      </c>
      <c r="AB318" s="1077" t="s">
        <v>981</v>
      </c>
      <c r="AH318" s="1077" t="s">
        <v>622</v>
      </c>
      <c r="AM318" s="1078" t="s">
        <v>9683</v>
      </c>
      <c r="AN318" s="1078" t="s">
        <v>9684</v>
      </c>
      <c r="AO318" s="1078">
        <f t="shared" si="38"/>
        <v>650</v>
      </c>
      <c r="AP318" s="1078">
        <f t="shared" si="39"/>
        <v>1.73</v>
      </c>
      <c r="AQ318" s="1078" t="str">
        <f t="shared" si="40"/>
        <v>1-4-1S91°</v>
      </c>
      <c r="AR318" s="1078" t="str">
        <f t="shared" si="41"/>
        <v>31</v>
      </c>
      <c r="AS318" s="1078" t="str">
        <f t="shared" si="42"/>
        <v>265/265/OFF</v>
      </c>
      <c r="AT318" s="1078" t="str">
        <f t="shared" si="43"/>
        <v>1-4-1S91°</v>
      </c>
      <c r="AV318" s="1078" t="str">
        <f t="shared" si="36"/>
        <v>108.7.9</v>
      </c>
      <c r="AW318" s="1344">
        <f t="shared" si="37"/>
        <v>43655</v>
      </c>
    </row>
    <row r="319" spans="1:49">
      <c r="A319" s="1077" t="s">
        <v>2690</v>
      </c>
      <c r="B319" s="1077" t="s">
        <v>1815</v>
      </c>
      <c r="C319" s="1077">
        <v>650</v>
      </c>
      <c r="D319" s="1077">
        <v>1.73</v>
      </c>
      <c r="E319" s="1077" t="s">
        <v>15098</v>
      </c>
      <c r="F319" s="1077" t="s">
        <v>954</v>
      </c>
      <c r="G319" s="1077" t="s">
        <v>1767</v>
      </c>
      <c r="H319" s="1077" t="s">
        <v>2009</v>
      </c>
      <c r="I319" s="1077" t="s">
        <v>126</v>
      </c>
      <c r="J319" s="1077">
        <v>0.8</v>
      </c>
      <c r="K319" s="1077" t="s">
        <v>2689</v>
      </c>
      <c r="L319" s="1077" t="s">
        <v>2209</v>
      </c>
      <c r="M319" s="1077">
        <v>75.099999999999994</v>
      </c>
      <c r="N319" s="1077" t="s">
        <v>945</v>
      </c>
      <c r="O319" s="1077">
        <v>1.8774999999999999</v>
      </c>
      <c r="P319" s="1077">
        <v>1.502</v>
      </c>
      <c r="Q319" s="1077" t="s">
        <v>1277</v>
      </c>
      <c r="R319" s="1077">
        <v>19</v>
      </c>
      <c r="T319" s="1077">
        <v>21</v>
      </c>
      <c r="U319" s="1077">
        <v>3.5</v>
      </c>
      <c r="V319" s="1077" t="s">
        <v>648</v>
      </c>
      <c r="W319" s="1077">
        <v>110</v>
      </c>
      <c r="X319" s="1077" t="s">
        <v>2650</v>
      </c>
      <c r="Y319" s="1077">
        <v>1.6</v>
      </c>
      <c r="Z319" s="1077">
        <v>4</v>
      </c>
      <c r="AA319" s="1077" t="s">
        <v>1131</v>
      </c>
      <c r="AB319" s="1077" t="s">
        <v>981</v>
      </c>
      <c r="AH319" s="1077" t="s">
        <v>1186</v>
      </c>
      <c r="AM319" s="1078" t="s">
        <v>9685</v>
      </c>
      <c r="AN319" s="1078" t="s">
        <v>9686</v>
      </c>
      <c r="AO319" s="1078">
        <f t="shared" si="38"/>
        <v>650</v>
      </c>
      <c r="AP319" s="1078">
        <f t="shared" si="39"/>
        <v>1.73</v>
      </c>
      <c r="AQ319" s="1078" t="str">
        <f t="shared" si="40"/>
        <v>1-4-1S91°</v>
      </c>
      <c r="AR319" s="1078" t="str">
        <f t="shared" si="41"/>
        <v>31</v>
      </c>
      <c r="AS319" s="1078" t="str">
        <f t="shared" si="42"/>
        <v>265/265/OFF</v>
      </c>
      <c r="AT319" s="1078" t="str">
        <f t="shared" si="43"/>
        <v>1-4-1S91°</v>
      </c>
      <c r="AV319" s="1078" t="str">
        <f t="shared" si="36"/>
        <v>108.7.9</v>
      </c>
      <c r="AW319" s="1344">
        <f t="shared" si="37"/>
        <v>43655</v>
      </c>
    </row>
    <row r="320" spans="1:49">
      <c r="A320" s="1077" t="s">
        <v>2691</v>
      </c>
      <c r="B320" s="1077" t="s">
        <v>453</v>
      </c>
      <c r="C320" s="1077">
        <v>750</v>
      </c>
      <c r="D320" s="1077">
        <v>1.7050000000000001</v>
      </c>
      <c r="E320" s="1077" t="s">
        <v>15089</v>
      </c>
      <c r="F320" s="1077" t="s">
        <v>1773</v>
      </c>
      <c r="G320" s="1077" t="s">
        <v>1767</v>
      </c>
      <c r="H320" s="1077" t="s">
        <v>2692</v>
      </c>
      <c r="I320" s="1077" t="s">
        <v>126</v>
      </c>
      <c r="J320" s="1077">
        <v>0.9</v>
      </c>
      <c r="K320" s="1077" t="s">
        <v>2693</v>
      </c>
      <c r="L320" s="1077" t="s">
        <v>2430</v>
      </c>
      <c r="M320" s="1077">
        <v>75</v>
      </c>
      <c r="N320" s="1077" t="s">
        <v>945</v>
      </c>
      <c r="O320" s="1077">
        <v>1.875</v>
      </c>
      <c r="P320" s="1077">
        <v>1.5</v>
      </c>
      <c r="Q320" s="1077" t="s">
        <v>956</v>
      </c>
      <c r="R320" s="1077">
        <v>23</v>
      </c>
      <c r="T320" s="1077">
        <v>19</v>
      </c>
      <c r="U320" s="1077">
        <v>3.8</v>
      </c>
      <c r="V320" s="1077" t="s">
        <v>648</v>
      </c>
      <c r="W320" s="1077">
        <v>110</v>
      </c>
      <c r="X320" s="1077">
        <v>70</v>
      </c>
      <c r="Y320" s="1077">
        <v>2</v>
      </c>
      <c r="Z320" s="1077">
        <v>4.5</v>
      </c>
      <c r="AA320" s="1077" t="s">
        <v>1131</v>
      </c>
      <c r="AH320" s="1077" t="s">
        <v>762</v>
      </c>
      <c r="AM320" s="1078" t="s">
        <v>9687</v>
      </c>
      <c r="AN320" s="1078" t="s">
        <v>9688</v>
      </c>
      <c r="AO320" s="1078">
        <f t="shared" si="38"/>
        <v>750</v>
      </c>
      <c r="AP320" s="1078">
        <f t="shared" si="39"/>
        <v>1.7050000000000001</v>
      </c>
      <c r="AQ320" s="1078" t="str">
        <f t="shared" si="40"/>
        <v>1-4-1S83°</v>
      </c>
      <c r="AR320" s="1078" t="str">
        <f t="shared" si="41"/>
        <v>30.2</v>
      </c>
      <c r="AS320" s="1078" t="str">
        <f t="shared" si="42"/>
        <v>271/271/OFF</v>
      </c>
      <c r="AT320" s="1078" t="str">
        <f t="shared" si="43"/>
        <v>1-4-1S83°</v>
      </c>
      <c r="AV320" s="1078" t="str">
        <f t="shared" si="36"/>
        <v>108.7.9</v>
      </c>
      <c r="AW320" s="1344">
        <f t="shared" si="37"/>
        <v>43655</v>
      </c>
    </row>
    <row r="321" spans="1:49">
      <c r="A321" s="1077" t="s">
        <v>2694</v>
      </c>
      <c r="B321" s="1077" t="s">
        <v>424</v>
      </c>
      <c r="C321" s="1077">
        <v>750</v>
      </c>
      <c r="D321" s="1077">
        <v>1.7809999999999999</v>
      </c>
      <c r="E321" s="1077" t="s">
        <v>15089</v>
      </c>
      <c r="F321" s="1077" t="s">
        <v>954</v>
      </c>
      <c r="G321" s="1077" t="s">
        <v>1767</v>
      </c>
      <c r="H321" s="1077" t="s">
        <v>2192</v>
      </c>
      <c r="I321" s="1077" t="s">
        <v>1167</v>
      </c>
      <c r="J321" s="1077">
        <v>1.5</v>
      </c>
      <c r="K321" s="1077" t="s">
        <v>2653</v>
      </c>
      <c r="L321" s="1077" t="s">
        <v>2390</v>
      </c>
      <c r="M321" s="1077">
        <v>73</v>
      </c>
      <c r="N321" s="1077" t="s">
        <v>945</v>
      </c>
      <c r="O321" s="1077">
        <v>1.8250000000000002</v>
      </c>
      <c r="P321" s="1077">
        <v>1.46</v>
      </c>
      <c r="Q321" s="1077" t="s">
        <v>961</v>
      </c>
      <c r="R321" s="1077">
        <v>21.6</v>
      </c>
      <c r="T321" s="1077">
        <v>32</v>
      </c>
      <c r="U321" s="1077">
        <v>3.5</v>
      </c>
      <c r="V321" s="1077" t="s">
        <v>648</v>
      </c>
      <c r="W321" s="1077">
        <v>110</v>
      </c>
      <c r="X321" s="1077">
        <v>60</v>
      </c>
      <c r="Y321" s="1077">
        <v>1.5</v>
      </c>
      <c r="Z321" s="1077">
        <v>5.5</v>
      </c>
      <c r="AA321" s="1077" t="s">
        <v>2695</v>
      </c>
      <c r="AH321" s="1077" t="s">
        <v>1267</v>
      </c>
      <c r="AM321" s="1078" t="s">
        <v>9689</v>
      </c>
      <c r="AN321" s="1078" t="s">
        <v>9690</v>
      </c>
      <c r="AO321" s="1078">
        <f t="shared" si="38"/>
        <v>750</v>
      </c>
      <c r="AP321" s="1078">
        <f t="shared" si="39"/>
        <v>1.7809999999999999</v>
      </c>
      <c r="AQ321" s="1078" t="str">
        <f t="shared" si="40"/>
        <v>1-4-1S83°</v>
      </c>
      <c r="AR321" s="1078" t="str">
        <f t="shared" si="41"/>
        <v>31</v>
      </c>
      <c r="AS321" s="1078" t="str">
        <f t="shared" si="42"/>
        <v>180/OFF</v>
      </c>
      <c r="AT321" s="1078" t="str">
        <f t="shared" si="43"/>
        <v>1-4-1S83°</v>
      </c>
      <c r="AV321" s="1078" t="str">
        <f t="shared" si="36"/>
        <v>108.7.13</v>
      </c>
      <c r="AW321" s="1344">
        <f t="shared" si="37"/>
        <v>43659</v>
      </c>
    </row>
    <row r="322" spans="1:49">
      <c r="A322" s="1077" t="s">
        <v>2696</v>
      </c>
      <c r="B322" s="1077" t="s">
        <v>2567</v>
      </c>
      <c r="C322" s="1077">
        <v>500</v>
      </c>
      <c r="D322" s="1077">
        <v>1.69</v>
      </c>
      <c r="E322" s="1077" t="s">
        <v>2568</v>
      </c>
      <c r="F322" s="1077" t="s">
        <v>2569</v>
      </c>
      <c r="G322" s="1077">
        <v>4.5</v>
      </c>
      <c r="H322" s="1077" t="s">
        <v>2570</v>
      </c>
      <c r="I322" s="1077" t="s">
        <v>126</v>
      </c>
      <c r="J322" s="1077">
        <v>0.7</v>
      </c>
      <c r="K322" s="1077" t="s">
        <v>2697</v>
      </c>
      <c r="L322" s="1077" t="s">
        <v>2104</v>
      </c>
      <c r="M322" s="1077">
        <v>76.400000000000006</v>
      </c>
      <c r="N322" s="1077" t="s">
        <v>945</v>
      </c>
      <c r="O322" s="1077">
        <v>1.9100000000000001</v>
      </c>
      <c r="P322" s="1077">
        <v>1.5280000000000002</v>
      </c>
      <c r="Q322" s="1077" t="s">
        <v>2698</v>
      </c>
      <c r="R322" s="1077">
        <v>18.8</v>
      </c>
      <c r="T322" s="1077">
        <v>29.5</v>
      </c>
      <c r="U322" s="1077">
        <v>3</v>
      </c>
      <c r="V322" s="1077" t="s">
        <v>648</v>
      </c>
      <c r="W322" s="1077">
        <v>120</v>
      </c>
      <c r="X322" s="1077">
        <v>80</v>
      </c>
      <c r="Y322" s="1077">
        <v>2.4</v>
      </c>
      <c r="Z322" s="1077">
        <v>4.5</v>
      </c>
      <c r="AA322" s="1077" t="s">
        <v>2699</v>
      </c>
      <c r="AH322" s="1077" t="s">
        <v>723</v>
      </c>
      <c r="AM322" s="1078" t="s">
        <v>9691</v>
      </c>
      <c r="AN322" s="1078" t="s">
        <v>9692</v>
      </c>
      <c r="AO322" s="1078">
        <f t="shared" si="38"/>
        <v>500</v>
      </c>
      <c r="AP322" s="1078">
        <f t="shared" si="39"/>
        <v>1.69</v>
      </c>
      <c r="AQ322" s="1078" t="str">
        <f t="shared" si="40"/>
        <v>120°</v>
      </c>
      <c r="AR322" s="1078" t="str">
        <f t="shared" si="41"/>
        <v>14.8</v>
      </c>
      <c r="AS322" s="1078" t="str">
        <f t="shared" si="42"/>
        <v>330/330/OFF</v>
      </c>
      <c r="AT322" s="1078" t="str">
        <f t="shared" si="43"/>
        <v>120°</v>
      </c>
      <c r="AV322" s="1078" t="str">
        <f t="shared" ref="AV322:AV385" si="44">AA322</f>
        <v>108.7.16</v>
      </c>
      <c r="AW322" s="1344">
        <f t="shared" si="37"/>
        <v>43662</v>
      </c>
    </row>
    <row r="323" spans="1:49">
      <c r="A323" s="1077" t="s">
        <v>2700</v>
      </c>
      <c r="B323" s="1077" t="s">
        <v>424</v>
      </c>
      <c r="C323" s="1077">
        <v>700</v>
      </c>
      <c r="D323" s="1077">
        <v>1.7749999999999999</v>
      </c>
      <c r="E323" s="1077" t="s">
        <v>15089</v>
      </c>
      <c r="F323" s="1077" t="s">
        <v>1897</v>
      </c>
      <c r="G323" s="1077" t="s">
        <v>1767</v>
      </c>
      <c r="H323" s="1077" t="s">
        <v>2400</v>
      </c>
      <c r="I323" s="1077" t="s">
        <v>626</v>
      </c>
      <c r="J323" s="1077">
        <v>4</v>
      </c>
      <c r="K323" s="1077" t="s">
        <v>2421</v>
      </c>
      <c r="L323" s="1077" t="s">
        <v>1938</v>
      </c>
      <c r="M323" s="1077">
        <v>75.599999999999994</v>
      </c>
      <c r="N323" s="1077" t="s">
        <v>945</v>
      </c>
      <c r="O323" s="1077">
        <v>1.89</v>
      </c>
      <c r="P323" s="1077">
        <v>1.512</v>
      </c>
      <c r="Q323" s="1077" t="s">
        <v>1264</v>
      </c>
      <c r="R323" s="1077">
        <v>18.600000000000001</v>
      </c>
      <c r="T323" s="1077">
        <v>18.8</v>
      </c>
      <c r="U323" s="1077">
        <v>2.9</v>
      </c>
      <c r="V323" s="1077" t="s">
        <v>648</v>
      </c>
      <c r="W323" s="1077">
        <v>150</v>
      </c>
      <c r="X323" s="1077">
        <v>90</v>
      </c>
      <c r="Y323" s="1077">
        <v>2.1</v>
      </c>
      <c r="Z323" s="1077">
        <v>4</v>
      </c>
      <c r="AA323" s="1077" t="s">
        <v>1136</v>
      </c>
      <c r="AB323" s="1077" t="s">
        <v>981</v>
      </c>
      <c r="AH323" s="1077" t="s">
        <v>456</v>
      </c>
      <c r="AM323" s="1078" t="s">
        <v>9693</v>
      </c>
      <c r="AN323" s="1078" t="s">
        <v>9694</v>
      </c>
      <c r="AO323" s="1078">
        <f t="shared" si="38"/>
        <v>700</v>
      </c>
      <c r="AP323" s="1078">
        <f t="shared" si="39"/>
        <v>1.7749999999999999</v>
      </c>
      <c r="AQ323" s="1078" t="str">
        <f t="shared" si="40"/>
        <v>1-4-1S83°</v>
      </c>
      <c r="AR323" s="1078" t="str">
        <f t="shared" si="41"/>
        <v>30.8</v>
      </c>
      <c r="AS323" s="1078" t="str">
        <f t="shared" si="42"/>
        <v>290/290/149</v>
      </c>
      <c r="AT323" s="1078" t="str">
        <f t="shared" si="43"/>
        <v>1-4-1S83°</v>
      </c>
      <c r="AV323" s="1078" t="str">
        <f t="shared" si="44"/>
        <v>108.7.17</v>
      </c>
      <c r="AW323" s="1344">
        <f t="shared" ref="AW323:AW386" si="45">DATE(VALUE(LEFT(AV323,FIND(".",AV323)-1))+1911,
       VALUE(MID(AV323,FIND(".",AV323)+1,FIND(".",AV323,FIND(".",AV323)+1)-FIND(".",AV323)-1)),
       VALUE(RIGHT(AV323,LEN(AV323)-FIND("~",SUBSTITUTE(AV323,".","~",2)))))</f>
        <v>43663</v>
      </c>
    </row>
    <row r="324" spans="1:49">
      <c r="A324" s="1077" t="s">
        <v>2701</v>
      </c>
      <c r="B324" s="1077" t="s">
        <v>472</v>
      </c>
      <c r="C324" s="1077">
        <v>550</v>
      </c>
      <c r="D324" s="1077">
        <v>1.69</v>
      </c>
      <c r="E324" s="1077" t="s">
        <v>15089</v>
      </c>
      <c r="F324" s="1077" t="s">
        <v>984</v>
      </c>
      <c r="G324" s="1077" t="s">
        <v>1767</v>
      </c>
      <c r="H324" s="1077" t="s">
        <v>2637</v>
      </c>
      <c r="I324" s="1077" t="s">
        <v>126</v>
      </c>
      <c r="J324" s="1077">
        <v>0.6</v>
      </c>
      <c r="K324" s="1077" t="s">
        <v>2702</v>
      </c>
      <c r="L324" s="1077" t="s">
        <v>1811</v>
      </c>
      <c r="M324" s="1077">
        <v>74.599999999999994</v>
      </c>
      <c r="N324" s="1077" t="s">
        <v>945</v>
      </c>
      <c r="O324" s="1077">
        <v>1.865</v>
      </c>
      <c r="P324" s="1077">
        <v>1.492</v>
      </c>
      <c r="Q324" s="1077" t="s">
        <v>2401</v>
      </c>
      <c r="R324" s="1077">
        <v>23.5</v>
      </c>
      <c r="T324" s="1077">
        <v>12.5</v>
      </c>
      <c r="U324" s="1077">
        <v>5.0999999999999996</v>
      </c>
      <c r="V324" s="1077" t="s">
        <v>648</v>
      </c>
      <c r="W324" s="1077" t="s">
        <v>2532</v>
      </c>
      <c r="X324" s="1077">
        <v>60</v>
      </c>
      <c r="Y324" s="1077">
        <v>1.8</v>
      </c>
      <c r="Z324" s="1077">
        <v>4.5</v>
      </c>
      <c r="AA324" s="1077" t="s">
        <v>2703</v>
      </c>
      <c r="AH324" s="1077" t="s">
        <v>877</v>
      </c>
      <c r="AM324" s="1078" t="s">
        <v>9695</v>
      </c>
      <c r="AN324" s="1078" t="s">
        <v>9696</v>
      </c>
      <c r="AO324" s="1078">
        <f t="shared" si="38"/>
        <v>550</v>
      </c>
      <c r="AP324" s="1078">
        <f t="shared" si="39"/>
        <v>1.69</v>
      </c>
      <c r="AQ324" s="1078" t="str">
        <f t="shared" si="40"/>
        <v>1-4-1S83°</v>
      </c>
      <c r="AR324" s="1078" t="str">
        <f t="shared" si="41"/>
        <v>30</v>
      </c>
      <c r="AS324" s="1078" t="str">
        <f t="shared" si="42"/>
        <v>228/228/OFF</v>
      </c>
      <c r="AT324" s="1078" t="str">
        <f t="shared" si="43"/>
        <v>1-4-1S83°</v>
      </c>
      <c r="AV324" s="1078" t="str">
        <f t="shared" si="44"/>
        <v>108.7.18</v>
      </c>
      <c r="AW324" s="1344">
        <f t="shared" si="45"/>
        <v>43664</v>
      </c>
    </row>
    <row r="325" spans="1:49">
      <c r="A325" s="1077" t="s">
        <v>2704</v>
      </c>
      <c r="B325" s="1077" t="s">
        <v>424</v>
      </c>
      <c r="C325" s="1077">
        <v>800</v>
      </c>
      <c r="D325" s="1077">
        <v>1.77</v>
      </c>
      <c r="E325" s="1077" t="s">
        <v>15093</v>
      </c>
      <c r="F325" s="1077" t="s">
        <v>954</v>
      </c>
      <c r="G325" s="1077" t="s">
        <v>1767</v>
      </c>
      <c r="H325" s="1077" t="s">
        <v>2393</v>
      </c>
      <c r="I325" s="1077" t="s">
        <v>126</v>
      </c>
      <c r="J325" s="1077">
        <v>1.2</v>
      </c>
      <c r="K325" s="1077" t="s">
        <v>2705</v>
      </c>
      <c r="L325" s="1077" t="s">
        <v>1938</v>
      </c>
      <c r="M325" s="1077">
        <v>73</v>
      </c>
      <c r="N325" s="1077" t="s">
        <v>945</v>
      </c>
      <c r="O325" s="1077">
        <v>1.8250000000000002</v>
      </c>
      <c r="P325" s="1077">
        <v>1.46</v>
      </c>
      <c r="Q325" s="1077" t="s">
        <v>956</v>
      </c>
      <c r="R325" s="1077">
        <v>23</v>
      </c>
      <c r="T325" s="1077">
        <v>33.4</v>
      </c>
      <c r="U325" s="1077">
        <v>3.3</v>
      </c>
      <c r="V325" s="1077" t="s">
        <v>648</v>
      </c>
      <c r="W325" s="1077">
        <v>110</v>
      </c>
      <c r="X325" s="1077">
        <v>30</v>
      </c>
      <c r="Y325" s="1077">
        <v>1.6</v>
      </c>
      <c r="Z325" s="1077">
        <v>6</v>
      </c>
      <c r="AA325" s="1077" t="s">
        <v>2706</v>
      </c>
      <c r="AH325" s="1077" t="s">
        <v>958</v>
      </c>
      <c r="AM325" s="1078" t="s">
        <v>9697</v>
      </c>
      <c r="AN325" s="1078" t="s">
        <v>9698</v>
      </c>
      <c r="AO325" s="1078">
        <f t="shared" si="38"/>
        <v>800</v>
      </c>
      <c r="AP325" s="1078">
        <f t="shared" si="39"/>
        <v>1.77</v>
      </c>
      <c r="AQ325" s="1078" t="str">
        <f t="shared" si="40"/>
        <v>1-4-1S撚S83°</v>
      </c>
      <c r="AR325" s="1078" t="str">
        <f t="shared" si="41"/>
        <v>31</v>
      </c>
      <c r="AS325" s="1078" t="str">
        <f t="shared" si="42"/>
        <v>310/310/OFF</v>
      </c>
      <c r="AT325" s="1078" t="str">
        <f t="shared" si="43"/>
        <v>1-4-1S撚S83°</v>
      </c>
      <c r="AV325" s="1078" t="str">
        <f t="shared" si="44"/>
        <v>108.7.24</v>
      </c>
      <c r="AW325" s="1344">
        <f t="shared" si="45"/>
        <v>43670</v>
      </c>
    </row>
    <row r="326" spans="1:49">
      <c r="A326" s="1077" t="s">
        <v>2707</v>
      </c>
      <c r="B326" s="1077" t="s">
        <v>424</v>
      </c>
      <c r="C326" s="1077">
        <v>800</v>
      </c>
      <c r="D326" s="1077">
        <v>1.78</v>
      </c>
      <c r="E326" s="1077" t="s">
        <v>15092</v>
      </c>
      <c r="F326" s="1077" t="s">
        <v>1897</v>
      </c>
      <c r="G326" s="1077" t="s">
        <v>1767</v>
      </c>
      <c r="H326" s="1077" t="s">
        <v>2708</v>
      </c>
      <c r="I326" s="1077" t="s">
        <v>126</v>
      </c>
      <c r="J326" s="1077">
        <v>0.4</v>
      </c>
      <c r="K326" s="1077" t="s">
        <v>2705</v>
      </c>
      <c r="L326" s="1077" t="s">
        <v>1938</v>
      </c>
      <c r="M326" s="1077">
        <v>72.400000000000006</v>
      </c>
      <c r="N326" s="1077" t="s">
        <v>945</v>
      </c>
      <c r="O326" s="1077">
        <v>1.8100000000000003</v>
      </c>
      <c r="P326" s="1077">
        <v>1.4480000000000002</v>
      </c>
      <c r="Q326" s="1077" t="s">
        <v>979</v>
      </c>
      <c r="R326" s="1077">
        <v>23</v>
      </c>
      <c r="T326" s="1077">
        <v>36</v>
      </c>
      <c r="U326" s="1077">
        <v>3.3</v>
      </c>
      <c r="V326" s="1077" t="s">
        <v>648</v>
      </c>
      <c r="W326" s="1077" t="s">
        <v>2709</v>
      </c>
      <c r="X326" s="1077">
        <v>10</v>
      </c>
      <c r="Y326" s="1077">
        <v>1.2</v>
      </c>
      <c r="Z326" s="1077">
        <v>5.5</v>
      </c>
      <c r="AA326" s="1077" t="s">
        <v>2710</v>
      </c>
      <c r="AH326" s="1077" t="s">
        <v>456</v>
      </c>
      <c r="AM326" s="1078" t="s">
        <v>9699</v>
      </c>
      <c r="AN326" s="1078" t="s">
        <v>9700</v>
      </c>
      <c r="AO326" s="1078">
        <f t="shared" si="38"/>
        <v>800</v>
      </c>
      <c r="AP326" s="1078">
        <f t="shared" si="39"/>
        <v>1.78</v>
      </c>
      <c r="AQ326" s="1078" t="str">
        <f t="shared" si="40"/>
        <v>1-4-1S83°S撚</v>
      </c>
      <c r="AR326" s="1078" t="str">
        <f t="shared" si="41"/>
        <v>30.8</v>
      </c>
      <c r="AS326" s="1078" t="str">
        <f t="shared" si="42"/>
        <v>295/295/OFF</v>
      </c>
      <c r="AT326" s="1078" t="str">
        <f t="shared" si="43"/>
        <v>1-4-1S83°S撚</v>
      </c>
      <c r="AU326" s="1078" t="s">
        <v>15545</v>
      </c>
      <c r="AV326" s="1078" t="str">
        <f t="shared" si="44"/>
        <v>108.7.25</v>
      </c>
      <c r="AW326" s="1344">
        <f t="shared" si="45"/>
        <v>43671</v>
      </c>
    </row>
    <row r="327" spans="1:49">
      <c r="A327" s="1077" t="s">
        <v>2711</v>
      </c>
      <c r="B327" s="1077" t="s">
        <v>1823</v>
      </c>
      <c r="C327" s="1077">
        <v>500</v>
      </c>
      <c r="D327" s="1077">
        <v>1.756</v>
      </c>
      <c r="E327" s="1077" t="s">
        <v>15095</v>
      </c>
      <c r="F327" s="1077" t="s">
        <v>984</v>
      </c>
      <c r="G327" s="1077" t="s">
        <v>1016</v>
      </c>
      <c r="H327" s="1077" t="s">
        <v>2712</v>
      </c>
      <c r="I327" s="1077" t="s">
        <v>126</v>
      </c>
      <c r="J327" s="1077">
        <v>0.6</v>
      </c>
      <c r="K327" s="1077" t="s">
        <v>2538</v>
      </c>
      <c r="L327" s="1077" t="s">
        <v>1825</v>
      </c>
      <c r="M327" s="1077">
        <v>73.8</v>
      </c>
      <c r="N327" s="1077" t="s">
        <v>945</v>
      </c>
      <c r="O327" s="1077">
        <v>1.845</v>
      </c>
      <c r="P327" s="1077">
        <v>1.476</v>
      </c>
      <c r="Q327" s="1077" t="s">
        <v>1264</v>
      </c>
      <c r="R327" s="1077">
        <v>18.5</v>
      </c>
      <c r="T327" s="1077">
        <v>21</v>
      </c>
      <c r="U327" s="1077">
        <v>3.8</v>
      </c>
      <c r="V327" s="1077" t="s">
        <v>648</v>
      </c>
      <c r="W327" s="1077">
        <v>110</v>
      </c>
      <c r="X327" s="1077">
        <v>85</v>
      </c>
      <c r="Y327" s="1077">
        <v>1.9</v>
      </c>
      <c r="Z327" s="1077">
        <v>4</v>
      </c>
      <c r="AA327" s="1077" t="s">
        <v>2713</v>
      </c>
      <c r="AH327" s="1077" t="s">
        <v>1221</v>
      </c>
      <c r="AM327" s="1078" t="s">
        <v>9701</v>
      </c>
      <c r="AN327" s="1078" t="s">
        <v>9702</v>
      </c>
      <c r="AO327" s="1078">
        <f t="shared" si="38"/>
        <v>500</v>
      </c>
      <c r="AP327" s="1078">
        <f t="shared" si="39"/>
        <v>1.756</v>
      </c>
      <c r="AQ327" s="1078" t="str">
        <f t="shared" si="40"/>
        <v>1-5-1S83°</v>
      </c>
      <c r="AR327" s="1078" t="str">
        <f t="shared" si="41"/>
        <v>30</v>
      </c>
      <c r="AS327" s="1078" t="str">
        <f t="shared" si="42"/>
        <v>234/234/OFF</v>
      </c>
      <c r="AT327" s="1078" t="str">
        <f t="shared" si="43"/>
        <v>1-5-1S83°</v>
      </c>
      <c r="AV327" s="1078" t="str">
        <f t="shared" si="44"/>
        <v>108.7.26</v>
      </c>
      <c r="AW327" s="1344">
        <f t="shared" si="45"/>
        <v>43672</v>
      </c>
    </row>
    <row r="328" spans="1:49">
      <c r="A328" s="1077" t="s">
        <v>2714</v>
      </c>
      <c r="B328" s="1077" t="s">
        <v>453</v>
      </c>
      <c r="C328" s="1077">
        <v>650</v>
      </c>
      <c r="D328" s="1077">
        <v>1.7</v>
      </c>
      <c r="E328" s="1077" t="s">
        <v>15089</v>
      </c>
      <c r="F328" s="1077" t="s">
        <v>984</v>
      </c>
      <c r="G328" s="1077" t="s">
        <v>1767</v>
      </c>
      <c r="H328" s="1077" t="s">
        <v>2494</v>
      </c>
      <c r="I328" s="1077" t="s">
        <v>126</v>
      </c>
      <c r="J328" s="1077">
        <v>1</v>
      </c>
      <c r="K328" s="1077" t="s">
        <v>2715</v>
      </c>
      <c r="L328" s="1077" t="s">
        <v>1776</v>
      </c>
      <c r="M328" s="1077">
        <v>77</v>
      </c>
      <c r="N328" s="1077" t="s">
        <v>945</v>
      </c>
      <c r="O328" s="1077">
        <v>1.925</v>
      </c>
      <c r="P328" s="1077">
        <v>1.54</v>
      </c>
      <c r="Q328" s="1077" t="s">
        <v>2407</v>
      </c>
      <c r="R328" s="1077">
        <v>24</v>
      </c>
      <c r="T328" s="1077">
        <v>9</v>
      </c>
      <c r="U328" s="1077">
        <v>2.2000000000000002</v>
      </c>
      <c r="V328" s="1077" t="s">
        <v>648</v>
      </c>
      <c r="W328" s="1077">
        <v>110</v>
      </c>
      <c r="X328" s="1077" t="s">
        <v>1130</v>
      </c>
      <c r="Y328" s="1077">
        <v>2.1</v>
      </c>
      <c r="Z328" s="1077">
        <v>2.5</v>
      </c>
      <c r="AA328" s="1077" t="s">
        <v>2716</v>
      </c>
      <c r="AB328" s="1077" t="s">
        <v>981</v>
      </c>
      <c r="AH328" s="1077" t="s">
        <v>1221</v>
      </c>
      <c r="AM328" s="1078" t="s">
        <v>9703</v>
      </c>
      <c r="AN328" s="1078" t="s">
        <v>9704</v>
      </c>
      <c r="AO328" s="1078">
        <f t="shared" si="38"/>
        <v>650</v>
      </c>
      <c r="AP328" s="1078">
        <f t="shared" si="39"/>
        <v>1.7</v>
      </c>
      <c r="AQ328" s="1078" t="str">
        <f t="shared" si="40"/>
        <v>1-4-1S83°</v>
      </c>
      <c r="AR328" s="1078" t="str">
        <f t="shared" si="41"/>
        <v>30</v>
      </c>
      <c r="AS328" s="1078" t="str">
        <f t="shared" si="42"/>
        <v>257/257/165</v>
      </c>
      <c r="AT328" s="1078" t="str">
        <f t="shared" si="43"/>
        <v>1-4-1S83°</v>
      </c>
      <c r="AV328" s="1078" t="str">
        <f t="shared" si="44"/>
        <v>108.7.29</v>
      </c>
      <c r="AW328" s="1344">
        <f t="shared" si="45"/>
        <v>43675</v>
      </c>
    </row>
    <row r="329" spans="1:49">
      <c r="A329" s="1077" t="s">
        <v>2717</v>
      </c>
      <c r="B329" s="1077" t="s">
        <v>850</v>
      </c>
      <c r="C329" s="1077">
        <v>550</v>
      </c>
      <c r="D329" s="1077">
        <v>1.77</v>
      </c>
      <c r="E329" s="1077" t="s">
        <v>15095</v>
      </c>
      <c r="F329" s="1077" t="s">
        <v>954</v>
      </c>
      <c r="G329" s="1077" t="s">
        <v>940</v>
      </c>
      <c r="H329" s="1077" t="s">
        <v>1017</v>
      </c>
      <c r="I329" s="1077" t="s">
        <v>626</v>
      </c>
      <c r="J329" s="1077">
        <v>1</v>
      </c>
      <c r="K329" s="1077" t="s">
        <v>2718</v>
      </c>
      <c r="L329" s="1077" t="s">
        <v>2524</v>
      </c>
      <c r="M329" s="1077">
        <v>79</v>
      </c>
      <c r="N329" s="1077" t="s">
        <v>945</v>
      </c>
      <c r="O329" s="1077">
        <v>1.9750000000000001</v>
      </c>
      <c r="P329" s="1077">
        <v>1.58</v>
      </c>
      <c r="Q329" s="1077" t="s">
        <v>1012</v>
      </c>
      <c r="R329" s="1077">
        <v>25</v>
      </c>
      <c r="T329" s="1077">
        <v>9.6</v>
      </c>
      <c r="U329" s="1077">
        <v>6.8</v>
      </c>
      <c r="V329" s="1077" t="s">
        <v>648</v>
      </c>
      <c r="W329" s="1077">
        <v>135</v>
      </c>
      <c r="X329" s="1077">
        <v>65</v>
      </c>
      <c r="Y329" s="1077">
        <v>1.4</v>
      </c>
      <c r="Z329" s="1077">
        <v>4</v>
      </c>
      <c r="AA329" s="1077" t="s">
        <v>1164</v>
      </c>
      <c r="AH329" s="1077" t="s">
        <v>1448</v>
      </c>
      <c r="AM329" s="1078" t="s">
        <v>9705</v>
      </c>
      <c r="AN329" s="1078" t="s">
        <v>9706</v>
      </c>
      <c r="AO329" s="1078">
        <f t="shared" si="38"/>
        <v>550</v>
      </c>
      <c r="AP329" s="1078">
        <f t="shared" si="39"/>
        <v>1.77</v>
      </c>
      <c r="AQ329" s="1078" t="str">
        <f t="shared" si="40"/>
        <v>1-5-1S83°</v>
      </c>
      <c r="AR329" s="1078" t="str">
        <f t="shared" si="41"/>
        <v>31</v>
      </c>
      <c r="AS329" s="1078" t="str">
        <f t="shared" si="42"/>
        <v>200/200/OFF</v>
      </c>
      <c r="AT329" s="1078" t="str">
        <f t="shared" si="43"/>
        <v>1-5-1S83°</v>
      </c>
      <c r="AV329" s="1078" t="str">
        <f t="shared" si="44"/>
        <v>108.8.7</v>
      </c>
      <c r="AW329" s="1344">
        <f t="shared" si="45"/>
        <v>43684</v>
      </c>
    </row>
    <row r="330" spans="1:49">
      <c r="A330" s="1077" t="s">
        <v>2719</v>
      </c>
      <c r="B330" s="1077" t="s">
        <v>453</v>
      </c>
      <c r="C330" s="1077">
        <v>750</v>
      </c>
      <c r="D330" s="1077">
        <v>1.7050000000000001</v>
      </c>
      <c r="E330" s="1077" t="s">
        <v>15089</v>
      </c>
      <c r="F330" s="1077" t="s">
        <v>1773</v>
      </c>
      <c r="G330" s="1077" t="s">
        <v>1767</v>
      </c>
      <c r="H330" s="1077" t="s">
        <v>2692</v>
      </c>
      <c r="I330" s="1077" t="s">
        <v>126</v>
      </c>
      <c r="J330" s="1077">
        <v>0.9</v>
      </c>
      <c r="K330" s="1077" t="s">
        <v>2528</v>
      </c>
      <c r="L330" s="1077" t="s">
        <v>2430</v>
      </c>
      <c r="M330" s="1077">
        <v>75</v>
      </c>
      <c r="N330" s="1077" t="s">
        <v>945</v>
      </c>
      <c r="O330" s="1077">
        <v>1.875</v>
      </c>
      <c r="P330" s="1077">
        <v>1.5</v>
      </c>
      <c r="Q330" s="1077" t="s">
        <v>956</v>
      </c>
      <c r="R330" s="1077">
        <v>23</v>
      </c>
      <c r="T330" s="1077">
        <v>19</v>
      </c>
      <c r="U330" s="1077">
        <v>3.8</v>
      </c>
      <c r="V330" s="1077" t="s">
        <v>648</v>
      </c>
      <c r="W330" s="1077">
        <v>110</v>
      </c>
      <c r="X330" s="1077">
        <v>70</v>
      </c>
      <c r="Y330" s="1077">
        <v>2</v>
      </c>
      <c r="Z330" s="1077">
        <v>4.5</v>
      </c>
      <c r="AA330" s="1077" t="s">
        <v>2716</v>
      </c>
      <c r="AH330" s="1077" t="s">
        <v>2720</v>
      </c>
      <c r="AM330" s="1078" t="s">
        <v>9707</v>
      </c>
      <c r="AN330" s="1078" t="s">
        <v>9708</v>
      </c>
      <c r="AO330" s="1078">
        <f t="shared" si="38"/>
        <v>750</v>
      </c>
      <c r="AP330" s="1078">
        <f t="shared" si="39"/>
        <v>1.7050000000000001</v>
      </c>
      <c r="AQ330" s="1078" t="str">
        <f t="shared" si="40"/>
        <v>1-4-1S83°</v>
      </c>
      <c r="AR330" s="1078" t="str">
        <f t="shared" si="41"/>
        <v>30.2</v>
      </c>
      <c r="AS330" s="1078" t="str">
        <f t="shared" si="42"/>
        <v>271/271/OFF</v>
      </c>
      <c r="AT330" s="1078" t="str">
        <f t="shared" si="43"/>
        <v>1-4-1S83°</v>
      </c>
      <c r="AV330" s="1078" t="str">
        <f t="shared" si="44"/>
        <v>108.7.29</v>
      </c>
      <c r="AW330" s="1344">
        <f t="shared" si="45"/>
        <v>43675</v>
      </c>
    </row>
    <row r="331" spans="1:49">
      <c r="A331" s="1077" t="s">
        <v>2721</v>
      </c>
      <c r="B331" s="1077" t="s">
        <v>453</v>
      </c>
      <c r="C331" s="1077">
        <v>750</v>
      </c>
      <c r="D331" s="1077">
        <v>1.7050000000000001</v>
      </c>
      <c r="E331" s="1077" t="s">
        <v>15089</v>
      </c>
      <c r="F331" s="1077" t="s">
        <v>1773</v>
      </c>
      <c r="G331" s="1077" t="s">
        <v>1767</v>
      </c>
      <c r="H331" s="1077" t="s">
        <v>1875</v>
      </c>
      <c r="I331" s="1077" t="s">
        <v>126</v>
      </c>
      <c r="J331" s="1077">
        <v>0.9</v>
      </c>
      <c r="K331" s="1077" t="s">
        <v>2722</v>
      </c>
      <c r="L331" s="1077" t="s">
        <v>2430</v>
      </c>
      <c r="M331" s="1077">
        <v>75</v>
      </c>
      <c r="N331" s="1077" t="s">
        <v>945</v>
      </c>
      <c r="O331" s="1077">
        <v>1.875</v>
      </c>
      <c r="P331" s="1077">
        <v>1.5</v>
      </c>
      <c r="Q331" s="1077" t="s">
        <v>946</v>
      </c>
      <c r="R331" s="1077">
        <v>23</v>
      </c>
      <c r="T331" s="1077">
        <v>19</v>
      </c>
      <c r="U331" s="1077">
        <v>3.8</v>
      </c>
      <c r="V331" s="1077" t="s">
        <v>648</v>
      </c>
      <c r="W331" s="1077">
        <v>110</v>
      </c>
      <c r="X331" s="1077">
        <v>70</v>
      </c>
      <c r="Y331" s="1077">
        <v>2</v>
      </c>
      <c r="Z331" s="1077">
        <v>4.5</v>
      </c>
      <c r="AA331" s="1077" t="s">
        <v>2723</v>
      </c>
      <c r="AH331" s="1077" t="s">
        <v>884</v>
      </c>
      <c r="AM331" s="1078" t="s">
        <v>9709</v>
      </c>
      <c r="AN331" s="1078" t="s">
        <v>9710</v>
      </c>
      <c r="AO331" s="1078">
        <f t="shared" ref="AO331:AO394" si="46">C331</f>
        <v>750</v>
      </c>
      <c r="AP331" s="1078">
        <f t="shared" ref="AP331:AP394" si="47">D331</f>
        <v>1.7050000000000001</v>
      </c>
      <c r="AQ331" s="1078" t="str">
        <f t="shared" ref="AQ331:AQ394" si="48">E331</f>
        <v>1-4-1S83°</v>
      </c>
      <c r="AR331" s="1078" t="str">
        <f t="shared" ref="AR331:AR394" si="49">F331</f>
        <v>30.2</v>
      </c>
      <c r="AS331" s="1078" t="str">
        <f t="shared" ref="AS331:AS394" si="50">H331</f>
        <v>267/267/OFF</v>
      </c>
      <c r="AT331" s="1078" t="str">
        <f t="shared" ref="AT331:AT394" si="51">E331</f>
        <v>1-4-1S83°</v>
      </c>
      <c r="AV331" s="1078" t="str">
        <f t="shared" si="44"/>
        <v>108.8.10</v>
      </c>
      <c r="AW331" s="1344">
        <f t="shared" si="45"/>
        <v>43687</v>
      </c>
    </row>
    <row r="332" spans="1:49">
      <c r="A332" s="1077" t="s">
        <v>2724</v>
      </c>
      <c r="B332" s="1077" t="s">
        <v>1815</v>
      </c>
      <c r="C332" s="1077">
        <v>650</v>
      </c>
      <c r="D332" s="1077">
        <v>1.73</v>
      </c>
      <c r="E332" s="1077" t="s">
        <v>15098</v>
      </c>
      <c r="F332" s="1077" t="s">
        <v>954</v>
      </c>
      <c r="G332" s="1077" t="s">
        <v>1767</v>
      </c>
      <c r="H332" s="1077" t="s">
        <v>2009</v>
      </c>
      <c r="I332" s="1077" t="s">
        <v>126</v>
      </c>
      <c r="J332" s="1077">
        <v>0.8</v>
      </c>
      <c r="K332" s="1077" t="s">
        <v>2689</v>
      </c>
      <c r="L332" s="1077" t="s">
        <v>2209</v>
      </c>
      <c r="M332" s="1077">
        <v>75.099999999999994</v>
      </c>
      <c r="N332" s="1077" t="s">
        <v>945</v>
      </c>
      <c r="O332" s="1077">
        <v>1.8774999999999999</v>
      </c>
      <c r="P332" s="1077">
        <v>1.502</v>
      </c>
      <c r="Q332" s="1077" t="s">
        <v>1277</v>
      </c>
      <c r="R332" s="1077">
        <v>19</v>
      </c>
      <c r="T332" s="1077">
        <v>21</v>
      </c>
      <c r="U332" s="1077">
        <v>3.5</v>
      </c>
      <c r="V332" s="1077" t="s">
        <v>648</v>
      </c>
      <c r="W332" s="1077">
        <v>110</v>
      </c>
      <c r="X332" s="1077">
        <v>65</v>
      </c>
      <c r="Y332" s="1077">
        <v>1.6</v>
      </c>
      <c r="Z332" s="1077">
        <v>4</v>
      </c>
      <c r="AA332" s="1077" t="s">
        <v>2725</v>
      </c>
      <c r="AH332" s="1077" t="s">
        <v>813</v>
      </c>
      <c r="AM332" s="1078" t="s">
        <v>9711</v>
      </c>
      <c r="AN332" s="1078" t="s">
        <v>9712</v>
      </c>
      <c r="AO332" s="1078">
        <f t="shared" si="46"/>
        <v>650</v>
      </c>
      <c r="AP332" s="1078">
        <f t="shared" si="47"/>
        <v>1.73</v>
      </c>
      <c r="AQ332" s="1078" t="str">
        <f t="shared" si="48"/>
        <v>1-4-1S91°</v>
      </c>
      <c r="AR332" s="1078" t="str">
        <f t="shared" si="49"/>
        <v>31</v>
      </c>
      <c r="AS332" s="1078" t="str">
        <f t="shared" si="50"/>
        <v>265/265/OFF</v>
      </c>
      <c r="AT332" s="1078" t="str">
        <f t="shared" si="51"/>
        <v>1-4-1S91°</v>
      </c>
      <c r="AV332" s="1078" t="str">
        <f t="shared" si="44"/>
        <v>108.8.9</v>
      </c>
      <c r="AW332" s="1344">
        <f t="shared" si="45"/>
        <v>43686</v>
      </c>
    </row>
    <row r="333" spans="1:49">
      <c r="A333" s="1077" t="s">
        <v>2726</v>
      </c>
      <c r="B333" s="1077" t="s">
        <v>453</v>
      </c>
      <c r="C333" s="1077">
        <v>650</v>
      </c>
      <c r="D333" s="1077">
        <v>1.7</v>
      </c>
      <c r="E333" s="1077" t="s">
        <v>15089</v>
      </c>
      <c r="F333" s="1077" t="s">
        <v>984</v>
      </c>
      <c r="G333" s="1077" t="s">
        <v>1767</v>
      </c>
      <c r="H333" s="1077" t="s">
        <v>2494</v>
      </c>
      <c r="I333" s="1077" t="s">
        <v>126</v>
      </c>
      <c r="J333" s="1077">
        <v>1</v>
      </c>
      <c r="K333" s="1077" t="s">
        <v>2440</v>
      </c>
      <c r="L333" s="1077" t="s">
        <v>1776</v>
      </c>
      <c r="M333" s="1077">
        <v>77</v>
      </c>
      <c r="N333" s="1077" t="s">
        <v>945</v>
      </c>
      <c r="O333" s="1077">
        <v>1.925</v>
      </c>
      <c r="P333" s="1077">
        <v>1.54</v>
      </c>
      <c r="Q333" s="1077" t="s">
        <v>2407</v>
      </c>
      <c r="R333" s="1077">
        <v>24</v>
      </c>
      <c r="T333" s="1077">
        <v>9</v>
      </c>
      <c r="U333" s="1077">
        <v>2.2000000000000002</v>
      </c>
      <c r="V333" s="1077" t="s">
        <v>648</v>
      </c>
      <c r="W333" s="1077">
        <v>110</v>
      </c>
      <c r="X333" s="1077" t="s">
        <v>1130</v>
      </c>
      <c r="Y333" s="1077">
        <v>2.1</v>
      </c>
      <c r="Z333" s="1077">
        <v>2.5</v>
      </c>
      <c r="AA333" s="1077" t="s">
        <v>2725</v>
      </c>
      <c r="AB333" s="1077" t="s">
        <v>981</v>
      </c>
      <c r="AH333" s="1077" t="s">
        <v>1452</v>
      </c>
      <c r="AM333" s="1078" t="s">
        <v>9713</v>
      </c>
      <c r="AN333" s="1078" t="s">
        <v>9714</v>
      </c>
      <c r="AO333" s="1078">
        <f t="shared" si="46"/>
        <v>650</v>
      </c>
      <c r="AP333" s="1078">
        <f t="shared" si="47"/>
        <v>1.7</v>
      </c>
      <c r="AQ333" s="1078" t="str">
        <f t="shared" si="48"/>
        <v>1-4-1S83°</v>
      </c>
      <c r="AR333" s="1078" t="str">
        <f t="shared" si="49"/>
        <v>30</v>
      </c>
      <c r="AS333" s="1078" t="str">
        <f t="shared" si="50"/>
        <v>257/257/165</v>
      </c>
      <c r="AT333" s="1078" t="str">
        <f t="shared" si="51"/>
        <v>1-4-1S83°</v>
      </c>
      <c r="AV333" s="1078" t="str">
        <f t="shared" si="44"/>
        <v>108.8.9</v>
      </c>
      <c r="AW333" s="1344">
        <f t="shared" si="45"/>
        <v>43686</v>
      </c>
    </row>
    <row r="334" spans="1:49">
      <c r="A334" s="1077" t="s">
        <v>2727</v>
      </c>
      <c r="B334" s="1077" t="s">
        <v>1903</v>
      </c>
      <c r="C334" s="1077">
        <v>620</v>
      </c>
      <c r="D334" s="1077">
        <v>1.68</v>
      </c>
      <c r="E334" s="1077" t="s">
        <v>15089</v>
      </c>
      <c r="F334" s="1077" t="s">
        <v>975</v>
      </c>
      <c r="G334" s="1077" t="s">
        <v>1867</v>
      </c>
      <c r="H334" s="1077" t="s">
        <v>1145</v>
      </c>
      <c r="I334" s="1077" t="s">
        <v>126</v>
      </c>
      <c r="J334" s="1077">
        <v>0.7</v>
      </c>
      <c r="K334" s="1077" t="s">
        <v>2611</v>
      </c>
      <c r="L334" s="1077" t="s">
        <v>1905</v>
      </c>
      <c r="M334" s="1077">
        <v>74</v>
      </c>
      <c r="N334" s="1077" t="s">
        <v>945</v>
      </c>
      <c r="O334" s="1077">
        <v>1.85</v>
      </c>
      <c r="P334" s="1077">
        <v>1.48</v>
      </c>
      <c r="Q334" s="1077" t="s">
        <v>2612</v>
      </c>
      <c r="R334" s="1077">
        <v>26</v>
      </c>
      <c r="T334" s="1077">
        <v>13.8</v>
      </c>
      <c r="U334" s="1077">
        <v>5.0999999999999996</v>
      </c>
      <c r="V334" s="1077" t="s">
        <v>648</v>
      </c>
      <c r="W334" s="1077">
        <v>100</v>
      </c>
      <c r="X334" s="1077">
        <v>60</v>
      </c>
      <c r="Y334" s="1077">
        <v>1.8</v>
      </c>
      <c r="Z334" s="1077" t="s">
        <v>2613</v>
      </c>
      <c r="AA334" s="1077" t="s">
        <v>2725</v>
      </c>
      <c r="AH334" s="1077" t="s">
        <v>994</v>
      </c>
      <c r="AM334" s="1078" t="s">
        <v>9715</v>
      </c>
      <c r="AN334" s="1078" t="s">
        <v>9716</v>
      </c>
      <c r="AO334" s="1078">
        <f t="shared" si="46"/>
        <v>620</v>
      </c>
      <c r="AP334" s="1078">
        <f t="shared" si="47"/>
        <v>1.68</v>
      </c>
      <c r="AQ334" s="1078" t="str">
        <f t="shared" si="48"/>
        <v>1-4-1S83°</v>
      </c>
      <c r="AR334" s="1078" t="str">
        <f t="shared" si="49"/>
        <v>31.5</v>
      </c>
      <c r="AS334" s="1078" t="str">
        <f t="shared" si="50"/>
        <v>235/235/OFF</v>
      </c>
      <c r="AT334" s="1078" t="str">
        <f t="shared" si="51"/>
        <v>1-4-1S83°</v>
      </c>
      <c r="AV334" s="1078" t="str">
        <f t="shared" si="44"/>
        <v>108.8.9</v>
      </c>
      <c r="AW334" s="1344">
        <f t="shared" si="45"/>
        <v>43686</v>
      </c>
    </row>
    <row r="335" spans="1:49">
      <c r="A335" s="1077" t="s">
        <v>2728</v>
      </c>
      <c r="B335" s="1077" t="s">
        <v>424</v>
      </c>
      <c r="C335" s="1077">
        <v>700</v>
      </c>
      <c r="D335" s="1077">
        <v>1.7749999999999999</v>
      </c>
      <c r="E335" s="1077" t="s">
        <v>15089</v>
      </c>
      <c r="F335" s="1077" t="s">
        <v>1897</v>
      </c>
      <c r="G335" s="1077" t="s">
        <v>1767</v>
      </c>
      <c r="H335" s="1077" t="s">
        <v>2400</v>
      </c>
      <c r="I335" s="1077" t="s">
        <v>626</v>
      </c>
      <c r="J335" s="1077">
        <v>4</v>
      </c>
      <c r="K335" s="1077" t="s">
        <v>2729</v>
      </c>
      <c r="L335" s="1077" t="s">
        <v>1938</v>
      </c>
      <c r="M335" s="1077">
        <v>75.599999999999994</v>
      </c>
      <c r="N335" s="1077" t="s">
        <v>945</v>
      </c>
      <c r="O335" s="1077">
        <v>1.89</v>
      </c>
      <c r="P335" s="1077">
        <v>1.512</v>
      </c>
      <c r="Q335" s="1077" t="s">
        <v>2401</v>
      </c>
      <c r="R335" s="1077">
        <v>18.600000000000001</v>
      </c>
      <c r="T335" s="1077">
        <v>18.8</v>
      </c>
      <c r="U335" s="1077">
        <v>2.9</v>
      </c>
      <c r="V335" s="1077" t="s">
        <v>648</v>
      </c>
      <c r="W335" s="1077">
        <v>150</v>
      </c>
      <c r="X335" s="1077" t="s">
        <v>2402</v>
      </c>
      <c r="Y335" s="1077">
        <v>2.1</v>
      </c>
      <c r="Z335" s="1077">
        <v>4</v>
      </c>
      <c r="AA335" s="1077" t="s">
        <v>1169</v>
      </c>
      <c r="AB335" s="1077" t="s">
        <v>981</v>
      </c>
      <c r="AH335" s="1077" t="s">
        <v>482</v>
      </c>
      <c r="AM335" s="1078" t="s">
        <v>9717</v>
      </c>
      <c r="AN335" s="1078" t="s">
        <v>9718</v>
      </c>
      <c r="AO335" s="1078">
        <f t="shared" si="46"/>
        <v>700</v>
      </c>
      <c r="AP335" s="1078">
        <f t="shared" si="47"/>
        <v>1.7749999999999999</v>
      </c>
      <c r="AQ335" s="1078" t="str">
        <f t="shared" si="48"/>
        <v>1-4-1S83°</v>
      </c>
      <c r="AR335" s="1078" t="str">
        <f t="shared" si="49"/>
        <v>30.8</v>
      </c>
      <c r="AS335" s="1078" t="str">
        <f t="shared" si="50"/>
        <v>290/290/149</v>
      </c>
      <c r="AT335" s="1078" t="str">
        <f t="shared" si="51"/>
        <v>1-4-1S83°</v>
      </c>
      <c r="AV335" s="1078" t="str">
        <f t="shared" si="44"/>
        <v>108.8.12</v>
      </c>
      <c r="AW335" s="1344">
        <f t="shared" si="45"/>
        <v>43689</v>
      </c>
    </row>
    <row r="336" spans="1:49">
      <c r="A336" s="1077" t="s">
        <v>2730</v>
      </c>
      <c r="B336" s="1077" t="s">
        <v>2731</v>
      </c>
      <c r="C336" s="1077">
        <v>800</v>
      </c>
      <c r="D336" s="1077">
        <v>1.78</v>
      </c>
      <c r="E336" s="1077" t="s">
        <v>15092</v>
      </c>
      <c r="F336" s="1077" t="s">
        <v>954</v>
      </c>
      <c r="G336" s="1077" t="s">
        <v>1767</v>
      </c>
      <c r="H336" s="1077" t="s">
        <v>2732</v>
      </c>
      <c r="I336" s="1077" t="s">
        <v>126</v>
      </c>
      <c r="J336" s="1077">
        <v>1.9</v>
      </c>
      <c r="K336" s="1077" t="s">
        <v>2733</v>
      </c>
      <c r="L336" s="1077" t="s">
        <v>2734</v>
      </c>
      <c r="M336" s="1077">
        <v>76</v>
      </c>
      <c r="N336" s="1077" t="s">
        <v>945</v>
      </c>
      <c r="O336" s="1077">
        <v>1.9000000000000001</v>
      </c>
      <c r="P336" s="1077">
        <v>1.52</v>
      </c>
      <c r="Q336" s="1077" t="s">
        <v>988</v>
      </c>
      <c r="R336" s="1077">
        <v>22.3</v>
      </c>
      <c r="T336" s="1077">
        <v>20</v>
      </c>
      <c r="U336" s="1077">
        <v>2.2999999999999998</v>
      </c>
      <c r="V336" s="1077" t="s">
        <v>648</v>
      </c>
      <c r="W336" s="1077">
        <v>80</v>
      </c>
      <c r="X336" s="1077">
        <v>20</v>
      </c>
      <c r="Y336" s="1077">
        <v>1</v>
      </c>
      <c r="Z336" s="1077">
        <v>3.5</v>
      </c>
      <c r="AA336" s="1077" t="s">
        <v>2735</v>
      </c>
      <c r="AH336" s="1077" t="s">
        <v>838</v>
      </c>
      <c r="AM336" s="1078" t="s">
        <v>9719</v>
      </c>
      <c r="AN336" s="1078" t="s">
        <v>9720</v>
      </c>
      <c r="AO336" s="1078">
        <f t="shared" si="46"/>
        <v>800</v>
      </c>
      <c r="AP336" s="1078">
        <f t="shared" si="47"/>
        <v>1.78</v>
      </c>
      <c r="AQ336" s="1078" t="str">
        <f t="shared" si="48"/>
        <v>1-4-1S83°S撚</v>
      </c>
      <c r="AR336" s="1078" t="str">
        <f t="shared" si="49"/>
        <v>31</v>
      </c>
      <c r="AS336" s="1078" t="str">
        <f t="shared" si="50"/>
        <v>280/280/165</v>
      </c>
      <c r="AT336" s="1078" t="str">
        <f t="shared" si="51"/>
        <v>1-4-1S83°S撚</v>
      </c>
      <c r="AU336" s="1078" t="s">
        <v>15545</v>
      </c>
      <c r="AV336" s="1078" t="str">
        <f t="shared" si="44"/>
        <v>108.8.13</v>
      </c>
      <c r="AW336" s="1344">
        <f t="shared" si="45"/>
        <v>43690</v>
      </c>
    </row>
    <row r="337" spans="1:49">
      <c r="A337" s="1077" t="s">
        <v>2736</v>
      </c>
      <c r="B337" s="1077" t="s">
        <v>424</v>
      </c>
      <c r="C337" s="1077" t="s">
        <v>2737</v>
      </c>
      <c r="D337" s="1077">
        <v>1.76</v>
      </c>
      <c r="E337" s="1077" t="s">
        <v>15091</v>
      </c>
      <c r="F337" s="1077" t="s">
        <v>984</v>
      </c>
      <c r="G337" s="1077" t="s">
        <v>1767</v>
      </c>
      <c r="H337" s="1077" t="s">
        <v>2738</v>
      </c>
      <c r="I337" s="1077" t="s">
        <v>648</v>
      </c>
      <c r="J337" s="1077">
        <v>0</v>
      </c>
      <c r="K337" s="1077" t="s">
        <v>2705</v>
      </c>
      <c r="L337" s="1077" t="s">
        <v>1938</v>
      </c>
      <c r="M337" s="1077">
        <v>75</v>
      </c>
      <c r="N337" s="1077" t="s">
        <v>945</v>
      </c>
      <c r="O337" s="1077">
        <v>1.875</v>
      </c>
      <c r="P337" s="1077">
        <v>1.5</v>
      </c>
      <c r="Q337" s="1077" t="s">
        <v>961</v>
      </c>
      <c r="R337" s="1077">
        <v>23.5</v>
      </c>
      <c r="T337" s="1077">
        <v>20.5</v>
      </c>
      <c r="U337" s="1077">
        <v>1.5</v>
      </c>
      <c r="V337" s="1077" t="s">
        <v>648</v>
      </c>
      <c r="W337" s="1077" t="s">
        <v>648</v>
      </c>
      <c r="X337" s="1077" t="s">
        <v>648</v>
      </c>
      <c r="Y337" s="1077">
        <v>1.5</v>
      </c>
      <c r="Z337" s="1077" t="s">
        <v>1369</v>
      </c>
      <c r="AA337" s="1077" t="s">
        <v>2739</v>
      </c>
      <c r="AH337" s="1077" t="s">
        <v>948</v>
      </c>
      <c r="AM337" s="1078" t="s">
        <v>9721</v>
      </c>
      <c r="AN337" s="1078" t="s">
        <v>9722</v>
      </c>
      <c r="AO337" s="1078" t="str">
        <f t="shared" si="46"/>
        <v>750↓680</v>
      </c>
      <c r="AP337" s="1078">
        <f t="shared" si="47"/>
        <v>1.76</v>
      </c>
      <c r="AQ337" s="1078" t="str">
        <f t="shared" si="48"/>
        <v>2-5-1S83°</v>
      </c>
      <c r="AR337" s="1078" t="str">
        <f t="shared" si="49"/>
        <v>30</v>
      </c>
      <c r="AS337" s="1078" t="str">
        <f t="shared" si="50"/>
        <v>185/161</v>
      </c>
      <c r="AT337" s="1078" t="str">
        <f t="shared" si="51"/>
        <v>2-5-1S83°</v>
      </c>
      <c r="AV337" s="1078" t="str">
        <f t="shared" si="44"/>
        <v>108.8.26</v>
      </c>
      <c r="AW337" s="1344">
        <f t="shared" si="45"/>
        <v>43703</v>
      </c>
    </row>
    <row r="338" spans="1:49">
      <c r="A338" s="1077" t="s">
        <v>2740</v>
      </c>
      <c r="B338" s="1077" t="s">
        <v>2731</v>
      </c>
      <c r="C338" s="1077">
        <v>800</v>
      </c>
      <c r="D338" s="1077">
        <v>1.78</v>
      </c>
      <c r="E338" s="1077" t="s">
        <v>15092</v>
      </c>
      <c r="F338" s="1077" t="s">
        <v>954</v>
      </c>
      <c r="G338" s="1077" t="s">
        <v>1767</v>
      </c>
      <c r="H338" s="1077" t="s">
        <v>2732</v>
      </c>
      <c r="I338" s="1077" t="s">
        <v>126</v>
      </c>
      <c r="J338" s="1077">
        <v>1.9</v>
      </c>
      <c r="K338" s="1077" t="s">
        <v>2741</v>
      </c>
      <c r="L338" s="1077" t="s">
        <v>2734</v>
      </c>
      <c r="M338" s="1077">
        <v>76</v>
      </c>
      <c r="N338" s="1077" t="s">
        <v>945</v>
      </c>
      <c r="O338" s="1077">
        <v>1.9000000000000001</v>
      </c>
      <c r="P338" s="1077">
        <v>1.52</v>
      </c>
      <c r="Q338" s="1077" t="s">
        <v>961</v>
      </c>
      <c r="R338" s="1077">
        <v>22.3</v>
      </c>
      <c r="T338" s="1077">
        <v>20</v>
      </c>
      <c r="U338" s="1077">
        <v>2.2999999999999998</v>
      </c>
      <c r="V338" s="1077" t="s">
        <v>648</v>
      </c>
      <c r="W338" s="1077">
        <v>80</v>
      </c>
      <c r="X338" s="1077">
        <v>20</v>
      </c>
      <c r="Y338" s="1077">
        <v>1</v>
      </c>
      <c r="Z338" s="1077">
        <v>3.5</v>
      </c>
      <c r="AA338" s="1077" t="s">
        <v>2742</v>
      </c>
      <c r="AH338" s="1077" t="s">
        <v>1186</v>
      </c>
      <c r="AM338" s="1078" t="s">
        <v>9723</v>
      </c>
      <c r="AN338" s="1078" t="s">
        <v>9724</v>
      </c>
      <c r="AO338" s="1078">
        <f t="shared" si="46"/>
        <v>800</v>
      </c>
      <c r="AP338" s="1078">
        <f t="shared" si="47"/>
        <v>1.78</v>
      </c>
      <c r="AQ338" s="1078" t="str">
        <f t="shared" si="48"/>
        <v>1-4-1S83°S撚</v>
      </c>
      <c r="AR338" s="1078" t="str">
        <f t="shared" si="49"/>
        <v>31</v>
      </c>
      <c r="AS338" s="1078" t="str">
        <f t="shared" si="50"/>
        <v>280/280/165</v>
      </c>
      <c r="AT338" s="1078" t="str">
        <f t="shared" si="51"/>
        <v>1-4-1S83°S撚</v>
      </c>
      <c r="AU338" s="1078" t="s">
        <v>15545</v>
      </c>
      <c r="AV338" s="1078" t="str">
        <f t="shared" si="44"/>
        <v>108.8.21</v>
      </c>
      <c r="AW338" s="1344">
        <f t="shared" si="45"/>
        <v>43698</v>
      </c>
    </row>
    <row r="339" spans="1:49">
      <c r="A339" s="1077" t="s">
        <v>2743</v>
      </c>
      <c r="B339" s="1077" t="s">
        <v>453</v>
      </c>
      <c r="C339" s="1077">
        <v>750</v>
      </c>
      <c r="D339" s="1077">
        <v>1.6950000000000001</v>
      </c>
      <c r="E339" s="1077" t="s">
        <v>15089</v>
      </c>
      <c r="F339" s="1077" t="s">
        <v>1773</v>
      </c>
      <c r="G339" s="1077" t="s">
        <v>1767</v>
      </c>
      <c r="H339" s="1077" t="s">
        <v>1875</v>
      </c>
      <c r="I339" s="1077" t="s">
        <v>126</v>
      </c>
      <c r="J339" s="1077">
        <v>0.9</v>
      </c>
      <c r="K339" s="1077" t="s">
        <v>2744</v>
      </c>
      <c r="L339" s="1077" t="s">
        <v>2465</v>
      </c>
      <c r="M339" s="1077">
        <v>75</v>
      </c>
      <c r="N339" s="1077" t="s">
        <v>945</v>
      </c>
      <c r="O339" s="1077">
        <v>1.875</v>
      </c>
      <c r="P339" s="1077">
        <v>1.5</v>
      </c>
      <c r="Q339" s="1077" t="s">
        <v>961</v>
      </c>
      <c r="R339" s="1077">
        <v>23</v>
      </c>
      <c r="T339" s="1077">
        <v>19</v>
      </c>
      <c r="U339" s="1077">
        <v>3.8</v>
      </c>
      <c r="V339" s="1077" t="s">
        <v>648</v>
      </c>
      <c r="W339" s="1077">
        <v>110</v>
      </c>
      <c r="X339" s="1077">
        <v>70</v>
      </c>
      <c r="Y339" s="1077">
        <v>2</v>
      </c>
      <c r="Z339" s="1077">
        <v>4.5</v>
      </c>
      <c r="AA339" s="1077" t="s">
        <v>2745</v>
      </c>
      <c r="AH339" s="1077" t="s">
        <v>619</v>
      </c>
      <c r="AM339" s="1078" t="s">
        <v>9725</v>
      </c>
      <c r="AN339" s="1078" t="s">
        <v>9726</v>
      </c>
      <c r="AO339" s="1078">
        <f t="shared" si="46"/>
        <v>750</v>
      </c>
      <c r="AP339" s="1078">
        <f t="shared" si="47"/>
        <v>1.6950000000000001</v>
      </c>
      <c r="AQ339" s="1078" t="str">
        <f t="shared" si="48"/>
        <v>1-4-1S83°</v>
      </c>
      <c r="AR339" s="1078" t="str">
        <f t="shared" si="49"/>
        <v>30.2</v>
      </c>
      <c r="AS339" s="1078" t="str">
        <f t="shared" si="50"/>
        <v>267/267/OFF</v>
      </c>
      <c r="AT339" s="1078" t="str">
        <f t="shared" si="51"/>
        <v>1-4-1S83°</v>
      </c>
      <c r="AV339" s="1078" t="str">
        <f t="shared" si="44"/>
        <v>108.8.29</v>
      </c>
      <c r="AW339" s="1344">
        <f t="shared" si="45"/>
        <v>43706</v>
      </c>
    </row>
    <row r="340" spans="1:49">
      <c r="A340" s="1077" t="s">
        <v>2746</v>
      </c>
      <c r="B340" s="1077" t="s">
        <v>771</v>
      </c>
      <c r="C340" s="1077">
        <v>700</v>
      </c>
      <c r="D340" s="1077">
        <v>1.748</v>
      </c>
      <c r="E340" s="1077" t="s">
        <v>15089</v>
      </c>
      <c r="F340" s="1077" t="s">
        <v>984</v>
      </c>
      <c r="G340" s="1077">
        <v>5</v>
      </c>
      <c r="H340" s="1077" t="s">
        <v>1793</v>
      </c>
      <c r="I340" s="1077" t="s">
        <v>126</v>
      </c>
      <c r="J340" s="1077">
        <v>1.3</v>
      </c>
      <c r="K340" s="1077" t="s">
        <v>2747</v>
      </c>
      <c r="L340" s="1077" t="s">
        <v>1943</v>
      </c>
      <c r="M340" s="1077">
        <v>75</v>
      </c>
      <c r="N340" s="1077" t="s">
        <v>945</v>
      </c>
      <c r="O340" s="1077">
        <v>1.875</v>
      </c>
      <c r="P340" s="1077">
        <v>1.5</v>
      </c>
      <c r="Q340" s="1077" t="s">
        <v>946</v>
      </c>
      <c r="R340" s="1077">
        <v>22</v>
      </c>
      <c r="T340" s="1077">
        <v>24</v>
      </c>
      <c r="U340" s="1077">
        <v>4</v>
      </c>
      <c r="V340" s="1077" t="s">
        <v>648</v>
      </c>
      <c r="W340" s="1077">
        <v>100</v>
      </c>
      <c r="X340" s="1077">
        <v>45</v>
      </c>
      <c r="Y340" s="1077">
        <v>1.6</v>
      </c>
      <c r="Z340" s="1077">
        <v>5.5</v>
      </c>
      <c r="AA340" s="1077" t="s">
        <v>2748</v>
      </c>
      <c r="AH340" s="1077" t="s">
        <v>838</v>
      </c>
      <c r="AM340" s="1078" t="s">
        <v>9727</v>
      </c>
      <c r="AN340" s="1078" t="s">
        <v>9728</v>
      </c>
      <c r="AO340" s="1078">
        <f t="shared" si="46"/>
        <v>700</v>
      </c>
      <c r="AP340" s="1078">
        <f t="shared" si="47"/>
        <v>1.748</v>
      </c>
      <c r="AQ340" s="1078" t="str">
        <f t="shared" si="48"/>
        <v>1-4-1S83°</v>
      </c>
      <c r="AR340" s="1078" t="str">
        <f t="shared" si="49"/>
        <v>30</v>
      </c>
      <c r="AS340" s="1078" t="str">
        <f t="shared" si="50"/>
        <v>270/270/OFF</v>
      </c>
      <c r="AT340" s="1078" t="str">
        <f t="shared" si="51"/>
        <v>1-4-1S83°</v>
      </c>
      <c r="AV340" s="1078" t="str">
        <f t="shared" si="44"/>
        <v>108.8.30</v>
      </c>
      <c r="AW340" s="1344">
        <f t="shared" si="45"/>
        <v>43707</v>
      </c>
    </row>
    <row r="341" spans="1:49">
      <c r="A341" s="1077" t="s">
        <v>2749</v>
      </c>
      <c r="B341" s="1077" t="s">
        <v>1792</v>
      </c>
      <c r="C341" s="1077">
        <v>750</v>
      </c>
      <c r="D341" s="1077">
        <v>1.78</v>
      </c>
      <c r="E341" s="1077" t="s">
        <v>15089</v>
      </c>
      <c r="F341" s="1077" t="s">
        <v>954</v>
      </c>
      <c r="G341" s="1077" t="s">
        <v>1767</v>
      </c>
      <c r="H341" s="1077" t="s">
        <v>2540</v>
      </c>
      <c r="I341" s="1077" t="s">
        <v>126</v>
      </c>
      <c r="J341" s="1077">
        <v>1.6</v>
      </c>
      <c r="K341" s="1077" t="s">
        <v>2750</v>
      </c>
      <c r="L341" s="1077" t="s">
        <v>2390</v>
      </c>
      <c r="M341" s="1077">
        <v>73</v>
      </c>
      <c r="N341" s="1077" t="s">
        <v>945</v>
      </c>
      <c r="O341" s="1077">
        <v>1.8250000000000002</v>
      </c>
      <c r="P341" s="1077">
        <v>1.46</v>
      </c>
      <c r="Q341" s="1077" t="s">
        <v>956</v>
      </c>
      <c r="R341" s="1077">
        <v>21.6</v>
      </c>
      <c r="T341" s="1077">
        <v>32</v>
      </c>
      <c r="U341" s="1077">
        <v>3.7</v>
      </c>
      <c r="V341" s="1077" t="s">
        <v>648</v>
      </c>
      <c r="W341" s="1077">
        <v>110</v>
      </c>
      <c r="X341" s="1077">
        <v>60</v>
      </c>
      <c r="Y341" s="1077">
        <v>1.5</v>
      </c>
      <c r="Z341" s="1077">
        <v>5.5</v>
      </c>
      <c r="AA341" s="1077" t="s">
        <v>2748</v>
      </c>
      <c r="AH341" s="1077" t="s">
        <v>990</v>
      </c>
      <c r="AM341" s="1078" t="s">
        <v>9729</v>
      </c>
      <c r="AN341" s="1078" t="s">
        <v>9730</v>
      </c>
      <c r="AO341" s="1078">
        <f t="shared" si="46"/>
        <v>750</v>
      </c>
      <c r="AP341" s="1078">
        <f t="shared" si="47"/>
        <v>1.78</v>
      </c>
      <c r="AQ341" s="1078" t="str">
        <f t="shared" si="48"/>
        <v>1-4-1S83°</v>
      </c>
      <c r="AR341" s="1078" t="str">
        <f t="shared" si="49"/>
        <v>31</v>
      </c>
      <c r="AS341" s="1078" t="str">
        <f t="shared" si="50"/>
        <v>300/300/OFF</v>
      </c>
      <c r="AT341" s="1078" t="str">
        <f t="shared" si="51"/>
        <v>1-4-1S83°</v>
      </c>
      <c r="AV341" s="1078" t="str">
        <f t="shared" si="44"/>
        <v>108.8.30</v>
      </c>
      <c r="AW341" s="1344">
        <f t="shared" si="45"/>
        <v>43707</v>
      </c>
    </row>
    <row r="342" spans="1:49">
      <c r="A342" s="1077" t="s">
        <v>2751</v>
      </c>
      <c r="B342" s="1077" t="s">
        <v>453</v>
      </c>
      <c r="C342" s="1077">
        <v>650</v>
      </c>
      <c r="D342" s="1077">
        <v>1.7</v>
      </c>
      <c r="E342" s="1077" t="s">
        <v>15089</v>
      </c>
      <c r="F342" s="1077" t="s">
        <v>984</v>
      </c>
      <c r="G342" s="1077" t="s">
        <v>1767</v>
      </c>
      <c r="H342" s="1077" t="s">
        <v>2494</v>
      </c>
      <c r="I342" s="1077" t="s">
        <v>126</v>
      </c>
      <c r="J342" s="1077">
        <v>1</v>
      </c>
      <c r="K342" s="1077" t="s">
        <v>2752</v>
      </c>
      <c r="L342" s="1077" t="s">
        <v>1776</v>
      </c>
      <c r="M342" s="1077">
        <v>77</v>
      </c>
      <c r="N342" s="1077" t="s">
        <v>945</v>
      </c>
      <c r="O342" s="1077">
        <v>1.925</v>
      </c>
      <c r="P342" s="1077">
        <v>1.54</v>
      </c>
      <c r="Q342" s="1077" t="s">
        <v>2407</v>
      </c>
      <c r="R342" s="1077">
        <v>24</v>
      </c>
      <c r="T342" s="1077">
        <v>9</v>
      </c>
      <c r="U342" s="1077">
        <v>2.2000000000000002</v>
      </c>
      <c r="V342" s="1077" t="s">
        <v>648</v>
      </c>
      <c r="W342" s="1077">
        <v>110</v>
      </c>
      <c r="X342" s="1077" t="s">
        <v>1130</v>
      </c>
      <c r="Y342" s="1077">
        <v>2.1</v>
      </c>
      <c r="Z342" s="1077">
        <v>2.5</v>
      </c>
      <c r="AA342" s="1077" t="s">
        <v>2753</v>
      </c>
      <c r="AB342" s="1077" t="s">
        <v>981</v>
      </c>
      <c r="AH342" s="1077" t="s">
        <v>884</v>
      </c>
      <c r="AM342" s="1078" t="s">
        <v>9731</v>
      </c>
      <c r="AN342" s="1078" t="s">
        <v>9732</v>
      </c>
      <c r="AO342" s="1078">
        <f t="shared" si="46"/>
        <v>650</v>
      </c>
      <c r="AP342" s="1078">
        <f t="shared" si="47"/>
        <v>1.7</v>
      </c>
      <c r="AQ342" s="1078" t="str">
        <f t="shared" si="48"/>
        <v>1-4-1S83°</v>
      </c>
      <c r="AR342" s="1078" t="str">
        <f t="shared" si="49"/>
        <v>30</v>
      </c>
      <c r="AS342" s="1078" t="str">
        <f t="shared" si="50"/>
        <v>257/257/165</v>
      </c>
      <c r="AT342" s="1078" t="str">
        <f t="shared" si="51"/>
        <v>1-4-1S83°</v>
      </c>
      <c r="AV342" s="1078" t="str">
        <f t="shared" si="44"/>
        <v>108.9.6</v>
      </c>
      <c r="AW342" s="1344">
        <f t="shared" si="45"/>
        <v>43714</v>
      </c>
    </row>
    <row r="343" spans="1:49">
      <c r="A343" s="1077" t="s">
        <v>2754</v>
      </c>
      <c r="B343" s="1077" t="s">
        <v>2129</v>
      </c>
      <c r="C343" s="1077">
        <v>600</v>
      </c>
      <c r="D343" s="1077">
        <v>1.74</v>
      </c>
      <c r="E343" s="1077" t="s">
        <v>15091</v>
      </c>
      <c r="F343" s="1077" t="s">
        <v>954</v>
      </c>
      <c r="G343" s="1077" t="s">
        <v>1767</v>
      </c>
      <c r="H343" s="1077" t="s">
        <v>2601</v>
      </c>
      <c r="I343" s="1077" t="s">
        <v>1112</v>
      </c>
      <c r="J343" s="1077">
        <v>1.1000000000000001</v>
      </c>
      <c r="K343" s="1077" t="s">
        <v>2755</v>
      </c>
      <c r="L343" s="1077" t="s">
        <v>2756</v>
      </c>
      <c r="M343" s="1077">
        <v>76</v>
      </c>
      <c r="N343" s="1077" t="s">
        <v>945</v>
      </c>
      <c r="O343" s="1077">
        <v>1.9000000000000001</v>
      </c>
      <c r="P343" s="1077">
        <v>1.52</v>
      </c>
      <c r="Q343" s="1077" t="s">
        <v>1264</v>
      </c>
      <c r="R343" s="1077">
        <v>22</v>
      </c>
      <c r="T343" s="1077">
        <v>15.5</v>
      </c>
      <c r="U343" s="1077">
        <v>2.9</v>
      </c>
      <c r="V343" s="1077" t="s">
        <v>648</v>
      </c>
      <c r="W343" s="1077">
        <v>105</v>
      </c>
      <c r="X343" s="1077">
        <v>85</v>
      </c>
      <c r="Y343" s="1077">
        <v>2.2000000000000002</v>
      </c>
      <c r="Z343" s="1077" t="s">
        <v>2757</v>
      </c>
      <c r="AA343" s="1077" t="s">
        <v>2758</v>
      </c>
      <c r="AH343" s="1077" t="s">
        <v>1486</v>
      </c>
      <c r="AM343" s="1078" t="s">
        <v>9733</v>
      </c>
      <c r="AN343" s="1078" t="s">
        <v>9734</v>
      </c>
      <c r="AO343" s="1078">
        <f t="shared" si="46"/>
        <v>600</v>
      </c>
      <c r="AP343" s="1078">
        <f t="shared" si="47"/>
        <v>1.74</v>
      </c>
      <c r="AQ343" s="1078" t="str">
        <f t="shared" si="48"/>
        <v>2-5-1S83°</v>
      </c>
      <c r="AR343" s="1078" t="str">
        <f t="shared" si="49"/>
        <v>31</v>
      </c>
      <c r="AS343" s="1078" t="str">
        <f t="shared" si="50"/>
        <v>178/145</v>
      </c>
      <c r="AT343" s="1078" t="str">
        <f t="shared" si="51"/>
        <v>2-5-1S83°</v>
      </c>
      <c r="AV343" s="1078" t="str">
        <f t="shared" si="44"/>
        <v>108.9.7</v>
      </c>
      <c r="AW343" s="1344">
        <f t="shared" si="45"/>
        <v>43715</v>
      </c>
    </row>
    <row r="344" spans="1:49">
      <c r="A344" s="1077" t="s">
        <v>2759</v>
      </c>
      <c r="B344" s="1077" t="s">
        <v>453</v>
      </c>
      <c r="C344" s="1077">
        <v>750</v>
      </c>
      <c r="D344" s="1077">
        <v>1.6950000000000001</v>
      </c>
      <c r="E344" s="1077" t="s">
        <v>15089</v>
      </c>
      <c r="F344" s="1077" t="s">
        <v>1773</v>
      </c>
      <c r="G344" s="1077" t="s">
        <v>1767</v>
      </c>
      <c r="H344" s="1077" t="s">
        <v>1875</v>
      </c>
      <c r="I344" s="1077" t="s">
        <v>126</v>
      </c>
      <c r="J344" s="1077">
        <v>0.9</v>
      </c>
      <c r="K344" s="1077" t="s">
        <v>2760</v>
      </c>
      <c r="L344" s="1077" t="s">
        <v>2465</v>
      </c>
      <c r="M344" s="1077">
        <v>75</v>
      </c>
      <c r="N344" s="1077" t="s">
        <v>945</v>
      </c>
      <c r="O344" s="1077">
        <v>1.875</v>
      </c>
      <c r="P344" s="1077">
        <v>1.5</v>
      </c>
      <c r="Q344" s="1077" t="s">
        <v>961</v>
      </c>
      <c r="R344" s="1077">
        <v>23</v>
      </c>
      <c r="T344" s="1077">
        <v>19</v>
      </c>
      <c r="U344" s="1077">
        <v>3.8</v>
      </c>
      <c r="V344" s="1077" t="s">
        <v>648</v>
      </c>
      <c r="W344" s="1077">
        <v>110</v>
      </c>
      <c r="X344" s="1077">
        <v>70</v>
      </c>
      <c r="Y344" s="1077">
        <v>2</v>
      </c>
      <c r="Z344" s="1077">
        <v>4.5</v>
      </c>
      <c r="AA344" s="1077" t="s">
        <v>2761</v>
      </c>
      <c r="AH344" s="1077" t="s">
        <v>963</v>
      </c>
      <c r="AM344" s="1078" t="s">
        <v>9735</v>
      </c>
      <c r="AN344" s="1078" t="s">
        <v>9736</v>
      </c>
      <c r="AO344" s="1078">
        <f t="shared" si="46"/>
        <v>750</v>
      </c>
      <c r="AP344" s="1078">
        <f t="shared" si="47"/>
        <v>1.6950000000000001</v>
      </c>
      <c r="AQ344" s="1078" t="str">
        <f t="shared" si="48"/>
        <v>1-4-1S83°</v>
      </c>
      <c r="AR344" s="1078" t="str">
        <f t="shared" si="49"/>
        <v>30.2</v>
      </c>
      <c r="AS344" s="1078" t="str">
        <f t="shared" si="50"/>
        <v>267/267/OFF</v>
      </c>
      <c r="AT344" s="1078" t="str">
        <f t="shared" si="51"/>
        <v>1-4-1S83°</v>
      </c>
      <c r="AV344" s="1078" t="str">
        <f t="shared" si="44"/>
        <v>108.9.11</v>
      </c>
      <c r="AW344" s="1344">
        <f t="shared" si="45"/>
        <v>43719</v>
      </c>
    </row>
    <row r="345" spans="1:49">
      <c r="A345" s="1077" t="s">
        <v>2762</v>
      </c>
      <c r="B345" s="1077" t="s">
        <v>424</v>
      </c>
      <c r="C345" s="1077">
        <v>680</v>
      </c>
      <c r="D345" s="1077">
        <v>1.7649999999999999</v>
      </c>
      <c r="E345" s="1077" t="s">
        <v>15091</v>
      </c>
      <c r="F345" s="1077" t="s">
        <v>1349</v>
      </c>
      <c r="G345" s="1077" t="s">
        <v>1767</v>
      </c>
      <c r="H345" s="1077" t="s">
        <v>2763</v>
      </c>
      <c r="I345" s="1077" t="s">
        <v>648</v>
      </c>
      <c r="J345" s="1077">
        <v>0</v>
      </c>
      <c r="K345" s="1077" t="s">
        <v>2705</v>
      </c>
      <c r="L345" s="1077" t="s">
        <v>1938</v>
      </c>
      <c r="M345" s="1077">
        <v>75</v>
      </c>
      <c r="N345" s="1077" t="s">
        <v>945</v>
      </c>
      <c r="O345" s="1077">
        <v>1.875</v>
      </c>
      <c r="P345" s="1077">
        <v>1.5</v>
      </c>
      <c r="Q345" s="1077" t="s">
        <v>961</v>
      </c>
      <c r="R345" s="1077">
        <v>23.5</v>
      </c>
      <c r="T345" s="1077">
        <v>20.5</v>
      </c>
      <c r="U345" s="1077">
        <v>1.5</v>
      </c>
      <c r="V345" s="1077" t="s">
        <v>648</v>
      </c>
      <c r="W345" s="1077" t="s">
        <v>648</v>
      </c>
      <c r="X345" s="1077" t="s">
        <v>648</v>
      </c>
      <c r="Y345" s="1077">
        <v>1.5</v>
      </c>
      <c r="Z345" s="1077" t="s">
        <v>2764</v>
      </c>
      <c r="AA345" s="1077" t="s">
        <v>2765</v>
      </c>
      <c r="AH345" s="1077" t="s">
        <v>726</v>
      </c>
      <c r="AM345" s="1078" t="s">
        <v>9737</v>
      </c>
      <c r="AN345" s="1078" t="s">
        <v>9738</v>
      </c>
      <c r="AO345" s="1078">
        <f t="shared" si="46"/>
        <v>680</v>
      </c>
      <c r="AP345" s="1078">
        <f t="shared" si="47"/>
        <v>1.7649999999999999</v>
      </c>
      <c r="AQ345" s="1078" t="str">
        <f t="shared" si="48"/>
        <v>2-5-1S83°</v>
      </c>
      <c r="AR345" s="1078" t="str">
        <f t="shared" si="49"/>
        <v>31.2</v>
      </c>
      <c r="AS345" s="1078" t="str">
        <f t="shared" si="50"/>
        <v>182/161</v>
      </c>
      <c r="AT345" s="1078" t="str">
        <f t="shared" si="51"/>
        <v>2-5-1S83°</v>
      </c>
      <c r="AV345" s="1078" t="str">
        <f t="shared" si="44"/>
        <v>108.9.12</v>
      </c>
      <c r="AW345" s="1344">
        <f t="shared" si="45"/>
        <v>43720</v>
      </c>
    </row>
    <row r="346" spans="1:49">
      <c r="A346" s="1077" t="s">
        <v>2766</v>
      </c>
      <c r="B346" s="1077" t="s">
        <v>1815</v>
      </c>
      <c r="C346" s="1077">
        <v>650</v>
      </c>
      <c r="D346" s="1077">
        <v>1.73</v>
      </c>
      <c r="E346" s="1077" t="s">
        <v>15098</v>
      </c>
      <c r="F346" s="1077" t="s">
        <v>954</v>
      </c>
      <c r="G346" s="1077" t="s">
        <v>1767</v>
      </c>
      <c r="H346" s="1077" t="s">
        <v>2009</v>
      </c>
      <c r="I346" s="1077" t="s">
        <v>126</v>
      </c>
      <c r="J346" s="1077">
        <v>0.8</v>
      </c>
      <c r="K346" s="1077" t="s">
        <v>2767</v>
      </c>
      <c r="L346" s="1077" t="s">
        <v>2209</v>
      </c>
      <c r="M346" s="1077">
        <v>75.099999999999994</v>
      </c>
      <c r="N346" s="1077" t="s">
        <v>945</v>
      </c>
      <c r="O346" s="1077">
        <v>1.8774999999999999</v>
      </c>
      <c r="P346" s="1077">
        <v>1.502</v>
      </c>
      <c r="Q346" s="1077" t="s">
        <v>1277</v>
      </c>
      <c r="R346" s="1077">
        <v>19</v>
      </c>
      <c r="T346" s="1077">
        <v>21</v>
      </c>
      <c r="U346" s="1077">
        <v>3.5</v>
      </c>
      <c r="V346" s="1077" t="s">
        <v>648</v>
      </c>
      <c r="W346" s="1077">
        <v>110</v>
      </c>
      <c r="X346" s="1077" t="s">
        <v>2650</v>
      </c>
      <c r="Y346" s="1077">
        <v>1.6</v>
      </c>
      <c r="Z346" s="1077">
        <v>4</v>
      </c>
      <c r="AA346" s="1077" t="s">
        <v>2768</v>
      </c>
      <c r="AB346" s="1077" t="s">
        <v>981</v>
      </c>
      <c r="AH346" s="1077" t="s">
        <v>1244</v>
      </c>
      <c r="AM346" s="1078" t="s">
        <v>9739</v>
      </c>
      <c r="AN346" s="1078" t="s">
        <v>9740</v>
      </c>
      <c r="AO346" s="1078">
        <f t="shared" si="46"/>
        <v>650</v>
      </c>
      <c r="AP346" s="1078">
        <f t="shared" si="47"/>
        <v>1.73</v>
      </c>
      <c r="AQ346" s="1078" t="str">
        <f t="shared" si="48"/>
        <v>1-4-1S91°</v>
      </c>
      <c r="AR346" s="1078" t="str">
        <f t="shared" si="49"/>
        <v>31</v>
      </c>
      <c r="AS346" s="1078" t="str">
        <f t="shared" si="50"/>
        <v>265/265/OFF</v>
      </c>
      <c r="AT346" s="1078" t="str">
        <f t="shared" si="51"/>
        <v>1-4-1S91°</v>
      </c>
      <c r="AV346" s="1078" t="str">
        <f t="shared" si="44"/>
        <v>108.9.16</v>
      </c>
      <c r="AW346" s="1344">
        <f t="shared" si="45"/>
        <v>43724</v>
      </c>
    </row>
    <row r="347" spans="1:49">
      <c r="A347" s="1077" t="s">
        <v>2769</v>
      </c>
      <c r="B347" s="1077" t="s">
        <v>1815</v>
      </c>
      <c r="C347" s="1077">
        <v>650</v>
      </c>
      <c r="D347" s="1077">
        <v>1.73</v>
      </c>
      <c r="E347" s="1077" t="s">
        <v>15098</v>
      </c>
      <c r="F347" s="1077" t="s">
        <v>954</v>
      </c>
      <c r="G347" s="1077" t="s">
        <v>1767</v>
      </c>
      <c r="H347" s="1077" t="s">
        <v>2009</v>
      </c>
      <c r="I347" s="1077" t="s">
        <v>126</v>
      </c>
      <c r="J347" s="1077">
        <v>0.8</v>
      </c>
      <c r="K347" s="1077" t="s">
        <v>2767</v>
      </c>
      <c r="L347" s="1077" t="s">
        <v>2209</v>
      </c>
      <c r="M347" s="1077">
        <v>75.099999999999994</v>
      </c>
      <c r="N347" s="1077" t="s">
        <v>945</v>
      </c>
      <c r="O347" s="1077">
        <v>1.8774999999999999</v>
      </c>
      <c r="P347" s="1077">
        <v>1.502</v>
      </c>
      <c r="Q347" s="1077" t="s">
        <v>1277</v>
      </c>
      <c r="R347" s="1077">
        <v>19</v>
      </c>
      <c r="T347" s="1077">
        <v>21</v>
      </c>
      <c r="U347" s="1077">
        <v>3.5</v>
      </c>
      <c r="V347" s="1077" t="s">
        <v>648</v>
      </c>
      <c r="W347" s="1077">
        <v>110</v>
      </c>
      <c r="X347" s="1077" t="s">
        <v>2650</v>
      </c>
      <c r="Y347" s="1077">
        <v>1.6</v>
      </c>
      <c r="Z347" s="1077">
        <v>4</v>
      </c>
      <c r="AA347" s="1077" t="s">
        <v>2765</v>
      </c>
      <c r="AB347" s="1077" t="s">
        <v>981</v>
      </c>
      <c r="AH347" s="1077" t="s">
        <v>877</v>
      </c>
      <c r="AM347" s="1078" t="s">
        <v>9741</v>
      </c>
      <c r="AN347" s="1078" t="s">
        <v>9742</v>
      </c>
      <c r="AO347" s="1078">
        <f t="shared" si="46"/>
        <v>650</v>
      </c>
      <c r="AP347" s="1078">
        <f t="shared" si="47"/>
        <v>1.73</v>
      </c>
      <c r="AQ347" s="1078" t="str">
        <f t="shared" si="48"/>
        <v>1-4-1S91°</v>
      </c>
      <c r="AR347" s="1078" t="str">
        <f t="shared" si="49"/>
        <v>31</v>
      </c>
      <c r="AS347" s="1078" t="str">
        <f t="shared" si="50"/>
        <v>265/265/OFF</v>
      </c>
      <c r="AT347" s="1078" t="str">
        <f t="shared" si="51"/>
        <v>1-4-1S91°</v>
      </c>
      <c r="AV347" s="1078" t="str">
        <f t="shared" si="44"/>
        <v>108.9.12</v>
      </c>
      <c r="AW347" s="1344">
        <f t="shared" si="45"/>
        <v>43720</v>
      </c>
    </row>
    <row r="348" spans="1:49">
      <c r="A348" s="1077" t="s">
        <v>2770</v>
      </c>
      <c r="B348" s="1077" t="s">
        <v>424</v>
      </c>
      <c r="C348" s="1077">
        <v>750</v>
      </c>
      <c r="D348" s="1077">
        <v>1.78</v>
      </c>
      <c r="E348" s="1077" t="s">
        <v>15089</v>
      </c>
      <c r="F348" s="1077" t="s">
        <v>1897</v>
      </c>
      <c r="G348" s="1077" t="s">
        <v>1767</v>
      </c>
      <c r="H348" s="1077" t="s">
        <v>2771</v>
      </c>
      <c r="I348" s="1077" t="s">
        <v>648</v>
      </c>
      <c r="J348" s="1077">
        <v>0</v>
      </c>
      <c r="K348" s="1077" t="s">
        <v>2705</v>
      </c>
      <c r="L348" s="1077" t="s">
        <v>1938</v>
      </c>
      <c r="M348" s="1077">
        <v>75</v>
      </c>
      <c r="N348" s="1077" t="s">
        <v>945</v>
      </c>
      <c r="O348" s="1077">
        <v>1.875</v>
      </c>
      <c r="P348" s="1077">
        <v>1.5</v>
      </c>
      <c r="Q348" s="1077" t="s">
        <v>961</v>
      </c>
      <c r="R348" s="1077">
        <v>23.5</v>
      </c>
      <c r="T348" s="1077">
        <v>20.5</v>
      </c>
      <c r="U348" s="1077">
        <v>1.5</v>
      </c>
      <c r="V348" s="1077" t="s">
        <v>648</v>
      </c>
      <c r="W348" s="1077" t="s">
        <v>648</v>
      </c>
      <c r="X348" s="1077" t="s">
        <v>648</v>
      </c>
      <c r="Y348" s="1077">
        <v>1.5</v>
      </c>
      <c r="Z348" s="1077">
        <v>3.5</v>
      </c>
      <c r="AA348" s="1077" t="s">
        <v>2772</v>
      </c>
      <c r="AH348" s="1077" t="s">
        <v>762</v>
      </c>
      <c r="AM348" s="1078" t="s">
        <v>9743</v>
      </c>
      <c r="AN348" s="1078" t="s">
        <v>9744</v>
      </c>
      <c r="AO348" s="1078">
        <f t="shared" si="46"/>
        <v>750</v>
      </c>
      <c r="AP348" s="1078">
        <f t="shared" si="47"/>
        <v>1.78</v>
      </c>
      <c r="AQ348" s="1078" t="str">
        <f t="shared" si="48"/>
        <v>1-4-1S83°</v>
      </c>
      <c r="AR348" s="1078" t="str">
        <f t="shared" si="49"/>
        <v>30.8</v>
      </c>
      <c r="AS348" s="1078" t="str">
        <f t="shared" si="50"/>
        <v>310/310/161</v>
      </c>
      <c r="AT348" s="1078" t="str">
        <f t="shared" si="51"/>
        <v>1-4-1S83°</v>
      </c>
      <c r="AV348" s="1078" t="str">
        <f t="shared" si="44"/>
        <v>108.9.17</v>
      </c>
      <c r="AW348" s="1344">
        <f t="shared" si="45"/>
        <v>43725</v>
      </c>
    </row>
    <row r="349" spans="1:49">
      <c r="A349" s="1077" t="s">
        <v>2773</v>
      </c>
      <c r="B349" s="1077" t="s">
        <v>453</v>
      </c>
      <c r="C349" s="1077">
        <v>750</v>
      </c>
      <c r="D349" s="1077">
        <v>1.68</v>
      </c>
      <c r="E349" s="1077" t="s">
        <v>15089</v>
      </c>
      <c r="F349" s="1077" t="s">
        <v>1773</v>
      </c>
      <c r="G349" s="1077" t="s">
        <v>1767</v>
      </c>
      <c r="H349" s="1077" t="s">
        <v>1875</v>
      </c>
      <c r="I349" s="1077" t="s">
        <v>126</v>
      </c>
      <c r="J349" s="1077">
        <v>1</v>
      </c>
      <c r="K349" s="1077" t="s">
        <v>2693</v>
      </c>
      <c r="L349" s="1077" t="s">
        <v>2430</v>
      </c>
      <c r="M349" s="1077">
        <v>75</v>
      </c>
      <c r="N349" s="1077" t="s">
        <v>945</v>
      </c>
      <c r="O349" s="1077">
        <v>1.875</v>
      </c>
      <c r="P349" s="1077">
        <v>1.5</v>
      </c>
      <c r="Q349" s="1077" t="s">
        <v>961</v>
      </c>
      <c r="R349" s="1077">
        <v>23</v>
      </c>
      <c r="T349" s="1077">
        <v>19</v>
      </c>
      <c r="U349" s="1077">
        <v>3.8</v>
      </c>
      <c r="V349" s="1077" t="s">
        <v>648</v>
      </c>
      <c r="W349" s="1077">
        <v>110</v>
      </c>
      <c r="X349" s="1077">
        <v>70</v>
      </c>
      <c r="Y349" s="1077">
        <v>2</v>
      </c>
      <c r="Z349" s="1077">
        <v>4.5</v>
      </c>
      <c r="AA349" s="1077" t="s">
        <v>2774</v>
      </c>
      <c r="AH349" s="1077" t="s">
        <v>813</v>
      </c>
      <c r="AM349" s="1078" t="s">
        <v>9745</v>
      </c>
      <c r="AN349" s="1078" t="s">
        <v>9746</v>
      </c>
      <c r="AO349" s="1078">
        <f t="shared" si="46"/>
        <v>750</v>
      </c>
      <c r="AP349" s="1078">
        <f t="shared" si="47"/>
        <v>1.68</v>
      </c>
      <c r="AQ349" s="1078" t="str">
        <f t="shared" si="48"/>
        <v>1-4-1S83°</v>
      </c>
      <c r="AR349" s="1078" t="str">
        <f t="shared" si="49"/>
        <v>30.2</v>
      </c>
      <c r="AS349" s="1078" t="str">
        <f t="shared" si="50"/>
        <v>267/267/OFF</v>
      </c>
      <c r="AT349" s="1078" t="str">
        <f t="shared" si="51"/>
        <v>1-4-1S83°</v>
      </c>
      <c r="AV349" s="1078" t="str">
        <f t="shared" si="44"/>
        <v>108.9.27</v>
      </c>
      <c r="AW349" s="1344">
        <f t="shared" si="45"/>
        <v>43735</v>
      </c>
    </row>
    <row r="350" spans="1:49">
      <c r="A350" s="1077" t="s">
        <v>2775</v>
      </c>
      <c r="B350" s="1077" t="s">
        <v>1792</v>
      </c>
      <c r="C350" s="1077">
        <v>600</v>
      </c>
      <c r="D350" s="1077">
        <v>1.79</v>
      </c>
      <c r="E350" s="1077" t="s">
        <v>15092</v>
      </c>
      <c r="F350" s="1077" t="s">
        <v>1897</v>
      </c>
      <c r="G350" s="1077" t="s">
        <v>1767</v>
      </c>
      <c r="H350" s="1077" t="s">
        <v>1061</v>
      </c>
      <c r="I350" s="1077" t="s">
        <v>126</v>
      </c>
      <c r="J350" s="1077">
        <v>0.4</v>
      </c>
      <c r="K350" s="1077" t="s">
        <v>2776</v>
      </c>
      <c r="L350" s="1077" t="s">
        <v>1795</v>
      </c>
      <c r="M350" s="1077">
        <v>73</v>
      </c>
      <c r="N350" s="1077" t="s">
        <v>945</v>
      </c>
      <c r="O350" s="1077">
        <v>1.8250000000000002</v>
      </c>
      <c r="P350" s="1077">
        <v>1.46</v>
      </c>
      <c r="Q350" s="1077" t="s">
        <v>979</v>
      </c>
      <c r="R350" s="1077">
        <v>21.6</v>
      </c>
      <c r="T350" s="1077">
        <v>32</v>
      </c>
      <c r="U350" s="1077">
        <v>3.7</v>
      </c>
      <c r="V350" s="1077" t="s">
        <v>648</v>
      </c>
      <c r="W350" s="1077">
        <v>30</v>
      </c>
      <c r="X350" s="1077">
        <v>10</v>
      </c>
      <c r="Y350" s="1077">
        <v>1.2</v>
      </c>
      <c r="Z350" s="1077">
        <v>6</v>
      </c>
      <c r="AA350" s="1077" t="s">
        <v>2777</v>
      </c>
      <c r="AH350" s="1077" t="s">
        <v>680</v>
      </c>
      <c r="AM350" s="1078" t="s">
        <v>9747</v>
      </c>
      <c r="AN350" s="1078" t="s">
        <v>9748</v>
      </c>
      <c r="AO350" s="1078">
        <f t="shared" si="46"/>
        <v>600</v>
      </c>
      <c r="AP350" s="1078">
        <f t="shared" si="47"/>
        <v>1.79</v>
      </c>
      <c r="AQ350" s="1078" t="str">
        <f t="shared" si="48"/>
        <v>1-4-1S83°S撚</v>
      </c>
      <c r="AR350" s="1078" t="str">
        <f t="shared" si="49"/>
        <v>30.8</v>
      </c>
      <c r="AS350" s="1078" t="str">
        <f t="shared" si="50"/>
        <v>255/255/OFF</v>
      </c>
      <c r="AT350" s="1078" t="str">
        <f t="shared" si="51"/>
        <v>1-4-1S83°S撚</v>
      </c>
      <c r="AU350" s="1078" t="s">
        <v>15545</v>
      </c>
      <c r="AV350" s="1078" t="str">
        <f t="shared" si="44"/>
        <v>108.9.30</v>
      </c>
      <c r="AW350" s="1344">
        <f t="shared" si="45"/>
        <v>43738</v>
      </c>
    </row>
    <row r="351" spans="1:49">
      <c r="A351" s="1077" t="s">
        <v>2778</v>
      </c>
      <c r="B351" s="1077" t="s">
        <v>424</v>
      </c>
      <c r="C351" s="1077">
        <v>750</v>
      </c>
      <c r="D351" s="1077">
        <v>1.77</v>
      </c>
      <c r="E351" s="1077" t="s">
        <v>15089</v>
      </c>
      <c r="F351" s="1077" t="s">
        <v>954</v>
      </c>
      <c r="G351" s="1077" t="s">
        <v>1767</v>
      </c>
      <c r="H351" s="1077" t="s">
        <v>2540</v>
      </c>
      <c r="I351" s="1077" t="s">
        <v>126</v>
      </c>
      <c r="J351" s="1077">
        <v>1.2</v>
      </c>
      <c r="K351" s="1077" t="s">
        <v>2705</v>
      </c>
      <c r="L351" s="1077" t="s">
        <v>1938</v>
      </c>
      <c r="M351" s="1077">
        <v>73</v>
      </c>
      <c r="N351" s="1077" t="s">
        <v>945</v>
      </c>
      <c r="O351" s="1077">
        <v>1.8250000000000002</v>
      </c>
      <c r="P351" s="1077">
        <v>1.46</v>
      </c>
      <c r="Q351" s="1077" t="s">
        <v>946</v>
      </c>
      <c r="R351" s="1077">
        <v>23</v>
      </c>
      <c r="T351" s="1077">
        <v>33.4</v>
      </c>
      <c r="U351" s="1077">
        <v>3.3</v>
      </c>
      <c r="V351" s="1077" t="s">
        <v>648</v>
      </c>
      <c r="W351" s="1077">
        <v>110</v>
      </c>
      <c r="X351" s="1077">
        <v>30</v>
      </c>
      <c r="Y351" s="1077">
        <v>1.6</v>
      </c>
      <c r="Z351" s="1077">
        <v>6</v>
      </c>
      <c r="AA351" s="1077" t="s">
        <v>2779</v>
      </c>
      <c r="AH351" s="1077" t="s">
        <v>966</v>
      </c>
      <c r="AM351" s="1078" t="s">
        <v>9749</v>
      </c>
      <c r="AN351" s="1078" t="s">
        <v>9750</v>
      </c>
      <c r="AO351" s="1078">
        <f t="shared" si="46"/>
        <v>750</v>
      </c>
      <c r="AP351" s="1078">
        <f t="shared" si="47"/>
        <v>1.77</v>
      </c>
      <c r="AQ351" s="1078" t="str">
        <f t="shared" si="48"/>
        <v>1-4-1S83°</v>
      </c>
      <c r="AR351" s="1078" t="str">
        <f t="shared" si="49"/>
        <v>31</v>
      </c>
      <c r="AS351" s="1078" t="str">
        <f t="shared" si="50"/>
        <v>300/300/OFF</v>
      </c>
      <c r="AT351" s="1078" t="str">
        <f t="shared" si="51"/>
        <v>1-4-1S83°</v>
      </c>
      <c r="AV351" s="1078" t="str">
        <f t="shared" si="44"/>
        <v>108.10.2</v>
      </c>
      <c r="AW351" s="1344">
        <f t="shared" si="45"/>
        <v>43740</v>
      </c>
    </row>
    <row r="352" spans="1:49">
      <c r="A352" s="1077" t="s">
        <v>2780</v>
      </c>
      <c r="B352" s="1077" t="s">
        <v>472</v>
      </c>
      <c r="C352" s="1077">
        <v>550</v>
      </c>
      <c r="D352" s="1077">
        <v>1.67</v>
      </c>
      <c r="E352" s="1077" t="s">
        <v>15089</v>
      </c>
      <c r="F352" s="1077" t="s">
        <v>984</v>
      </c>
      <c r="G352" s="1077" t="s">
        <v>1767</v>
      </c>
      <c r="H352" s="1077" t="s">
        <v>1226</v>
      </c>
      <c r="I352" s="1077" t="s">
        <v>126</v>
      </c>
      <c r="J352" s="1077">
        <v>0.6</v>
      </c>
      <c r="K352" s="1077" t="s">
        <v>2781</v>
      </c>
      <c r="L352" s="1077" t="s">
        <v>1811</v>
      </c>
      <c r="M352" s="1077">
        <v>74.599999999999994</v>
      </c>
      <c r="N352" s="1077" t="s">
        <v>945</v>
      </c>
      <c r="O352" s="1077">
        <v>1.865</v>
      </c>
      <c r="P352" s="1077">
        <v>1.492</v>
      </c>
      <c r="Q352" s="1077" t="s">
        <v>2782</v>
      </c>
      <c r="R352" s="1077">
        <v>23.5</v>
      </c>
      <c r="T352" s="1077">
        <v>12.5</v>
      </c>
      <c r="U352" s="1077">
        <v>5.0999999999999996</v>
      </c>
      <c r="V352" s="1077" t="s">
        <v>648</v>
      </c>
      <c r="W352" s="1077" t="s">
        <v>2532</v>
      </c>
      <c r="X352" s="1077">
        <v>60</v>
      </c>
      <c r="Y352" s="1077">
        <v>1.8</v>
      </c>
      <c r="Z352" s="1077">
        <v>4.5</v>
      </c>
      <c r="AA352" s="1077" t="s">
        <v>2783</v>
      </c>
      <c r="AH352" s="1077" t="s">
        <v>1244</v>
      </c>
      <c r="AM352" s="1078" t="s">
        <v>9751</v>
      </c>
      <c r="AN352" s="1078" t="s">
        <v>9752</v>
      </c>
      <c r="AO352" s="1078">
        <f t="shared" si="46"/>
        <v>550</v>
      </c>
      <c r="AP352" s="1078">
        <f t="shared" si="47"/>
        <v>1.67</v>
      </c>
      <c r="AQ352" s="1078" t="str">
        <f t="shared" si="48"/>
        <v>1-4-1S83°</v>
      </c>
      <c r="AR352" s="1078" t="str">
        <f t="shared" si="49"/>
        <v>30</v>
      </c>
      <c r="AS352" s="1078" t="str">
        <f t="shared" si="50"/>
        <v>230/230/OFF</v>
      </c>
      <c r="AT352" s="1078" t="str">
        <f t="shared" si="51"/>
        <v>1-4-1S83°</v>
      </c>
      <c r="AV352" s="1078" t="str">
        <f t="shared" si="44"/>
        <v>108.10.3</v>
      </c>
      <c r="AW352" s="1344">
        <f t="shared" si="45"/>
        <v>43741</v>
      </c>
    </row>
    <row r="353" spans="1:49">
      <c r="A353" s="1077" t="s">
        <v>2784</v>
      </c>
      <c r="B353" s="1077" t="s">
        <v>424</v>
      </c>
      <c r="C353" s="1077">
        <v>700</v>
      </c>
      <c r="D353" s="1077">
        <v>1.7749999999999999</v>
      </c>
      <c r="E353" s="1077" t="s">
        <v>15089</v>
      </c>
      <c r="F353" s="1077" t="s">
        <v>1897</v>
      </c>
      <c r="G353" s="1077" t="s">
        <v>1767</v>
      </c>
      <c r="H353" s="1077" t="s">
        <v>2400</v>
      </c>
      <c r="I353" s="1077" t="s">
        <v>626</v>
      </c>
      <c r="J353" s="1077">
        <v>4</v>
      </c>
      <c r="K353" s="1077" t="s">
        <v>2785</v>
      </c>
      <c r="L353" s="1077" t="s">
        <v>1938</v>
      </c>
      <c r="M353" s="1077">
        <v>75.599999999999994</v>
      </c>
      <c r="N353" s="1077" t="s">
        <v>945</v>
      </c>
      <c r="O353" s="1077">
        <v>1.89</v>
      </c>
      <c r="P353" s="1077">
        <v>1.512</v>
      </c>
      <c r="Q353" s="1077" t="s">
        <v>2553</v>
      </c>
      <c r="R353" s="1077">
        <v>18.600000000000001</v>
      </c>
      <c r="T353" s="1077">
        <v>18.8</v>
      </c>
      <c r="U353" s="1077">
        <v>2.9</v>
      </c>
      <c r="V353" s="1077" t="s">
        <v>648</v>
      </c>
      <c r="W353" s="1077">
        <v>150</v>
      </c>
      <c r="X353" s="1077" t="s">
        <v>2402</v>
      </c>
      <c r="Y353" s="1077">
        <v>2.1</v>
      </c>
      <c r="Z353" s="1077">
        <v>4</v>
      </c>
      <c r="AA353" s="1077" t="s">
        <v>2786</v>
      </c>
      <c r="AB353" s="1077" t="s">
        <v>981</v>
      </c>
      <c r="AH353" s="1077" t="s">
        <v>958</v>
      </c>
      <c r="AM353" s="1078" t="s">
        <v>9753</v>
      </c>
      <c r="AN353" s="1078" t="s">
        <v>9754</v>
      </c>
      <c r="AO353" s="1078">
        <f t="shared" si="46"/>
        <v>700</v>
      </c>
      <c r="AP353" s="1078">
        <f t="shared" si="47"/>
        <v>1.7749999999999999</v>
      </c>
      <c r="AQ353" s="1078" t="str">
        <f t="shared" si="48"/>
        <v>1-4-1S83°</v>
      </c>
      <c r="AR353" s="1078" t="str">
        <f t="shared" si="49"/>
        <v>30.8</v>
      </c>
      <c r="AS353" s="1078" t="str">
        <f t="shared" si="50"/>
        <v>290/290/149</v>
      </c>
      <c r="AT353" s="1078" t="str">
        <f t="shared" si="51"/>
        <v>1-4-1S83°</v>
      </c>
      <c r="AV353" s="1078" t="str">
        <f t="shared" si="44"/>
        <v>108.10.7</v>
      </c>
      <c r="AW353" s="1344">
        <f t="shared" si="45"/>
        <v>43745</v>
      </c>
    </row>
    <row r="354" spans="1:49">
      <c r="A354" s="1077" t="s">
        <v>2787</v>
      </c>
      <c r="B354" s="1077" t="s">
        <v>1792</v>
      </c>
      <c r="C354" s="1077" t="s">
        <v>2788</v>
      </c>
      <c r="D354" s="1077">
        <v>1.78</v>
      </c>
      <c r="E354" s="1077" t="s">
        <v>15089</v>
      </c>
      <c r="F354" s="1077" t="s">
        <v>954</v>
      </c>
      <c r="G354" s="1077" t="s">
        <v>1767</v>
      </c>
      <c r="H354" s="1077" t="s">
        <v>1793</v>
      </c>
      <c r="I354" s="1077" t="s">
        <v>126</v>
      </c>
      <c r="J354" s="1077">
        <v>1.6</v>
      </c>
      <c r="K354" s="1077" t="s">
        <v>2776</v>
      </c>
      <c r="L354" s="1077" t="s">
        <v>1795</v>
      </c>
      <c r="M354" s="1077">
        <v>75</v>
      </c>
      <c r="N354" s="1077" t="s">
        <v>945</v>
      </c>
      <c r="O354" s="1077">
        <v>1.875</v>
      </c>
      <c r="P354" s="1077">
        <v>1.5</v>
      </c>
      <c r="Q354" s="1077" t="s">
        <v>979</v>
      </c>
      <c r="R354" s="1077">
        <v>21.6</v>
      </c>
      <c r="T354" s="1077">
        <v>32</v>
      </c>
      <c r="U354" s="1077">
        <v>3.7</v>
      </c>
      <c r="V354" s="1077" t="s">
        <v>648</v>
      </c>
      <c r="W354" s="1077">
        <v>110</v>
      </c>
      <c r="X354" s="1077">
        <v>60</v>
      </c>
      <c r="Y354" s="1077">
        <v>1.5</v>
      </c>
      <c r="Z354" s="1077">
        <v>5.5</v>
      </c>
      <c r="AA354" s="1077" t="s">
        <v>2789</v>
      </c>
      <c r="AH354" s="1077" t="s">
        <v>838</v>
      </c>
      <c r="AM354" s="1078" t="s">
        <v>9755</v>
      </c>
      <c r="AN354" s="1078" t="s">
        <v>9756</v>
      </c>
      <c r="AO354" s="1078" t="str">
        <f t="shared" si="46"/>
        <v>700↓600</v>
      </c>
      <c r="AP354" s="1078">
        <f t="shared" si="47"/>
        <v>1.78</v>
      </c>
      <c r="AQ354" s="1078" t="str">
        <f t="shared" si="48"/>
        <v>1-4-1S83°</v>
      </c>
      <c r="AR354" s="1078" t="str">
        <f t="shared" si="49"/>
        <v>31</v>
      </c>
      <c r="AS354" s="1078" t="str">
        <f t="shared" si="50"/>
        <v>270/270/OFF</v>
      </c>
      <c r="AT354" s="1078" t="str">
        <f t="shared" si="51"/>
        <v>1-4-1S83°</v>
      </c>
      <c r="AV354" s="1078" t="str">
        <f t="shared" si="44"/>
        <v>108.10.15</v>
      </c>
      <c r="AW354" s="1344">
        <f t="shared" si="45"/>
        <v>43753</v>
      </c>
    </row>
    <row r="355" spans="1:49">
      <c r="A355" s="1077" t="s">
        <v>2790</v>
      </c>
      <c r="B355" s="1077" t="s">
        <v>424</v>
      </c>
      <c r="C355" s="1077">
        <v>800</v>
      </c>
      <c r="D355" s="1077">
        <v>1.77</v>
      </c>
      <c r="E355" s="1077" t="s">
        <v>15089</v>
      </c>
      <c r="F355" s="1077" t="s">
        <v>954</v>
      </c>
      <c r="G355" s="1077" t="s">
        <v>1767</v>
      </c>
      <c r="H355" s="1077" t="s">
        <v>2393</v>
      </c>
      <c r="I355" s="1077" t="s">
        <v>126</v>
      </c>
      <c r="J355" s="1077">
        <v>1.6</v>
      </c>
      <c r="K355" s="1077" t="s">
        <v>2785</v>
      </c>
      <c r="L355" s="1077" t="s">
        <v>1938</v>
      </c>
      <c r="M355" s="1077">
        <v>73</v>
      </c>
      <c r="N355" s="1077" t="s">
        <v>945</v>
      </c>
      <c r="O355" s="1077">
        <v>1.8250000000000002</v>
      </c>
      <c r="P355" s="1077">
        <v>1.46</v>
      </c>
      <c r="Q355" s="1077" t="s">
        <v>961</v>
      </c>
      <c r="R355" s="1077">
        <v>21.6</v>
      </c>
      <c r="T355" s="1077">
        <v>32</v>
      </c>
      <c r="U355" s="1077">
        <v>3.5</v>
      </c>
      <c r="V355" s="1077" t="s">
        <v>648</v>
      </c>
      <c r="W355" s="1077">
        <v>110</v>
      </c>
      <c r="X355" s="1077" t="s">
        <v>2395</v>
      </c>
      <c r="Y355" s="1077">
        <v>1.5</v>
      </c>
      <c r="Z355" s="1077">
        <v>5.5</v>
      </c>
      <c r="AA355" s="1077" t="s">
        <v>2791</v>
      </c>
      <c r="AB355" s="1077" t="s">
        <v>981</v>
      </c>
      <c r="AH355" s="1077" t="s">
        <v>994</v>
      </c>
      <c r="AM355" s="1078" t="s">
        <v>9757</v>
      </c>
      <c r="AN355" s="1078" t="s">
        <v>9758</v>
      </c>
      <c r="AO355" s="1078">
        <f t="shared" si="46"/>
        <v>800</v>
      </c>
      <c r="AP355" s="1078">
        <f t="shared" si="47"/>
        <v>1.77</v>
      </c>
      <c r="AQ355" s="1078" t="str">
        <f t="shared" si="48"/>
        <v>1-4-1S83°</v>
      </c>
      <c r="AR355" s="1078" t="str">
        <f t="shared" si="49"/>
        <v>31</v>
      </c>
      <c r="AS355" s="1078" t="str">
        <f t="shared" si="50"/>
        <v>310/310/OFF</v>
      </c>
      <c r="AT355" s="1078" t="str">
        <f t="shared" si="51"/>
        <v>1-4-1S83°</v>
      </c>
      <c r="AV355" s="1078" t="str">
        <f t="shared" si="44"/>
        <v>108.10.16</v>
      </c>
      <c r="AW355" s="1344">
        <f t="shared" si="45"/>
        <v>43754</v>
      </c>
    </row>
    <row r="356" spans="1:49">
      <c r="A356" s="1077" t="s">
        <v>2792</v>
      </c>
      <c r="B356" s="1077" t="s">
        <v>2544</v>
      </c>
      <c r="C356" s="1077">
        <v>500</v>
      </c>
      <c r="D356" s="1077">
        <v>1.68</v>
      </c>
      <c r="E356" s="1077" t="s">
        <v>15089</v>
      </c>
      <c r="F356" s="1077" t="s">
        <v>984</v>
      </c>
      <c r="G356" s="1077" t="s">
        <v>940</v>
      </c>
      <c r="H356" s="1077" t="s">
        <v>2545</v>
      </c>
      <c r="I356" s="1077" t="s">
        <v>626</v>
      </c>
      <c r="J356" s="1077">
        <v>1.1000000000000001</v>
      </c>
      <c r="K356" s="1077" t="s">
        <v>2793</v>
      </c>
      <c r="L356" s="1077" t="s">
        <v>2547</v>
      </c>
      <c r="M356" s="1077">
        <v>77.599999999999994</v>
      </c>
      <c r="N356" s="1077" t="s">
        <v>945</v>
      </c>
      <c r="O356" s="1077">
        <v>1.94</v>
      </c>
      <c r="P356" s="1077">
        <v>1.5519999999999998</v>
      </c>
      <c r="Q356" s="1077" t="s">
        <v>2794</v>
      </c>
      <c r="R356" s="1077">
        <v>25.1</v>
      </c>
      <c r="T356" s="1077">
        <v>49.4</v>
      </c>
      <c r="U356" s="1077">
        <v>3.8</v>
      </c>
      <c r="V356" s="1077" t="s">
        <v>648</v>
      </c>
      <c r="W356" s="1077">
        <v>100</v>
      </c>
      <c r="X356" s="1077">
        <v>10</v>
      </c>
      <c r="Y356" s="1077">
        <v>1.3</v>
      </c>
      <c r="Z356" s="1077">
        <v>6</v>
      </c>
      <c r="AA356" s="1077" t="s">
        <v>1216</v>
      </c>
      <c r="AH356" s="1077" t="s">
        <v>2609</v>
      </c>
      <c r="AM356" s="1078" t="s">
        <v>9759</v>
      </c>
      <c r="AN356" s="1078" t="s">
        <v>9760</v>
      </c>
      <c r="AO356" s="1078">
        <f t="shared" si="46"/>
        <v>500</v>
      </c>
      <c r="AP356" s="1078">
        <f t="shared" si="47"/>
        <v>1.68</v>
      </c>
      <c r="AQ356" s="1078" t="str">
        <f t="shared" si="48"/>
        <v>1-4-1S83°</v>
      </c>
      <c r="AR356" s="1078" t="str">
        <f t="shared" si="49"/>
        <v>30</v>
      </c>
      <c r="AS356" s="1078" t="str">
        <f t="shared" si="50"/>
        <v>260/270/OFF</v>
      </c>
      <c r="AT356" s="1078" t="str">
        <f t="shared" si="51"/>
        <v>1-4-1S83°</v>
      </c>
      <c r="AV356" s="1078" t="str">
        <f t="shared" si="44"/>
        <v>108.10.21</v>
      </c>
      <c r="AW356" s="1344">
        <f t="shared" si="45"/>
        <v>43759</v>
      </c>
    </row>
    <row r="357" spans="1:49">
      <c r="A357" s="1077" t="s">
        <v>2795</v>
      </c>
      <c r="B357" s="1077" t="s">
        <v>1766</v>
      </c>
      <c r="C357" s="1077">
        <v>600</v>
      </c>
      <c r="D357" s="1077">
        <v>1.78</v>
      </c>
      <c r="E357" s="1077" t="s">
        <v>15091</v>
      </c>
      <c r="F357" s="1077" t="s">
        <v>954</v>
      </c>
      <c r="G357" s="1077" t="s">
        <v>1767</v>
      </c>
      <c r="H357" s="1077" t="s">
        <v>2796</v>
      </c>
      <c r="I357" s="1077" t="s">
        <v>1073</v>
      </c>
      <c r="J357" s="1077">
        <v>0.6</v>
      </c>
      <c r="K357" s="1077" t="s">
        <v>2797</v>
      </c>
      <c r="L357" s="1077" t="s">
        <v>2798</v>
      </c>
      <c r="M357" s="1077">
        <v>76</v>
      </c>
      <c r="N357" s="1077" t="s">
        <v>945</v>
      </c>
      <c r="O357" s="1077">
        <v>1.9000000000000001</v>
      </c>
      <c r="P357" s="1077">
        <v>1.52</v>
      </c>
      <c r="Q357" s="1077" t="s">
        <v>1037</v>
      </c>
      <c r="R357" s="1077">
        <v>25</v>
      </c>
      <c r="T357" s="1077">
        <v>16</v>
      </c>
      <c r="U357" s="1077">
        <v>1.5</v>
      </c>
      <c r="V357" s="1077" t="s">
        <v>648</v>
      </c>
      <c r="W357" s="1077">
        <v>30</v>
      </c>
      <c r="X357" s="1077">
        <v>10</v>
      </c>
      <c r="Y357" s="1077">
        <v>2</v>
      </c>
      <c r="Z357" s="1077" t="s">
        <v>2799</v>
      </c>
      <c r="AA357" s="1077" t="s">
        <v>2800</v>
      </c>
      <c r="AH357" s="1077" t="s">
        <v>646</v>
      </c>
      <c r="AM357" s="1078" t="s">
        <v>9761</v>
      </c>
      <c r="AN357" s="1078" t="s">
        <v>9762</v>
      </c>
      <c r="AO357" s="1078">
        <f t="shared" si="46"/>
        <v>600</v>
      </c>
      <c r="AP357" s="1078">
        <f t="shared" si="47"/>
        <v>1.78</v>
      </c>
      <c r="AQ357" s="1078" t="str">
        <f t="shared" si="48"/>
        <v>2-5-1S83°</v>
      </c>
      <c r="AR357" s="1078" t="str">
        <f t="shared" si="49"/>
        <v>31</v>
      </c>
      <c r="AS357" s="1078" t="str">
        <f t="shared" si="50"/>
        <v>184/180</v>
      </c>
      <c r="AT357" s="1078" t="str">
        <f t="shared" si="51"/>
        <v>2-5-1S83°</v>
      </c>
      <c r="AV357" s="1078" t="str">
        <f t="shared" si="44"/>
        <v>108.10.23</v>
      </c>
      <c r="AW357" s="1344">
        <f t="shared" si="45"/>
        <v>43761</v>
      </c>
    </row>
    <row r="358" spans="1:49">
      <c r="A358" s="1077" t="s">
        <v>2801</v>
      </c>
      <c r="B358" s="1077" t="s">
        <v>424</v>
      </c>
      <c r="C358" s="1077">
        <v>800</v>
      </c>
      <c r="D358" s="1077">
        <v>1.77</v>
      </c>
      <c r="E358" s="1077" t="s">
        <v>15089</v>
      </c>
      <c r="F358" s="1077" t="s">
        <v>954</v>
      </c>
      <c r="G358" s="1077" t="s">
        <v>1767</v>
      </c>
      <c r="H358" s="1077" t="s">
        <v>2393</v>
      </c>
      <c r="I358" s="1077" t="s">
        <v>126</v>
      </c>
      <c r="J358" s="1077">
        <v>1.6</v>
      </c>
      <c r="K358" s="1077" t="s">
        <v>2802</v>
      </c>
      <c r="L358" s="1077" t="s">
        <v>1938</v>
      </c>
      <c r="M358" s="1077">
        <v>73</v>
      </c>
      <c r="N358" s="1077" t="s">
        <v>945</v>
      </c>
      <c r="O358" s="1077">
        <v>1.8250000000000002</v>
      </c>
      <c r="P358" s="1077">
        <v>1.46</v>
      </c>
      <c r="Q358" s="1077" t="s">
        <v>979</v>
      </c>
      <c r="R358" s="1077">
        <v>21.6</v>
      </c>
      <c r="T358" s="1077">
        <v>32</v>
      </c>
      <c r="U358" s="1077">
        <v>3.5</v>
      </c>
      <c r="V358" s="1077" t="s">
        <v>648</v>
      </c>
      <c r="W358" s="1077">
        <v>110</v>
      </c>
      <c r="X358" s="1077" t="s">
        <v>2395</v>
      </c>
      <c r="Y358" s="1077">
        <v>1.5</v>
      </c>
      <c r="Z358" s="1077">
        <v>5.5</v>
      </c>
      <c r="AA358" s="1077" t="s">
        <v>2803</v>
      </c>
      <c r="AB358" s="1077" t="s">
        <v>981</v>
      </c>
      <c r="AH358" s="1077" t="s">
        <v>884</v>
      </c>
      <c r="AM358" s="1078" t="s">
        <v>9763</v>
      </c>
      <c r="AN358" s="1078" t="s">
        <v>9764</v>
      </c>
      <c r="AO358" s="1078">
        <f t="shared" si="46"/>
        <v>800</v>
      </c>
      <c r="AP358" s="1078">
        <f t="shared" si="47"/>
        <v>1.77</v>
      </c>
      <c r="AQ358" s="1078" t="str">
        <f t="shared" si="48"/>
        <v>1-4-1S83°</v>
      </c>
      <c r="AR358" s="1078" t="str">
        <f t="shared" si="49"/>
        <v>31</v>
      </c>
      <c r="AS358" s="1078" t="str">
        <f t="shared" si="50"/>
        <v>310/310/OFF</v>
      </c>
      <c r="AT358" s="1078" t="str">
        <f t="shared" si="51"/>
        <v>1-4-1S83°</v>
      </c>
      <c r="AV358" s="1078" t="str">
        <f t="shared" si="44"/>
        <v>108.10.24</v>
      </c>
      <c r="AW358" s="1344">
        <f t="shared" si="45"/>
        <v>43762</v>
      </c>
    </row>
    <row r="359" spans="1:49">
      <c r="A359" s="1077" t="s">
        <v>2804</v>
      </c>
      <c r="B359" s="1077" t="s">
        <v>453</v>
      </c>
      <c r="C359" s="1077">
        <v>650</v>
      </c>
      <c r="D359" s="1077">
        <v>1.7</v>
      </c>
      <c r="E359" s="1077" t="s">
        <v>15089</v>
      </c>
      <c r="F359" s="1077" t="s">
        <v>984</v>
      </c>
      <c r="G359" s="1077" t="s">
        <v>1767</v>
      </c>
      <c r="H359" s="1077" t="s">
        <v>2494</v>
      </c>
      <c r="I359" s="1077" t="s">
        <v>126</v>
      </c>
      <c r="J359" s="1077">
        <v>1</v>
      </c>
      <c r="K359" s="1077" t="s">
        <v>2805</v>
      </c>
      <c r="L359" s="1077" t="s">
        <v>1776</v>
      </c>
      <c r="M359" s="1077">
        <v>77</v>
      </c>
      <c r="N359" s="1077" t="s">
        <v>945</v>
      </c>
      <c r="O359" s="1077">
        <v>1.925</v>
      </c>
      <c r="P359" s="1077">
        <v>1.54</v>
      </c>
      <c r="Q359" s="1077" t="s">
        <v>2407</v>
      </c>
      <c r="R359" s="1077">
        <v>24</v>
      </c>
      <c r="T359" s="1077">
        <v>9</v>
      </c>
      <c r="U359" s="1077">
        <v>2.2000000000000002</v>
      </c>
      <c r="V359" s="1077" t="s">
        <v>648</v>
      </c>
      <c r="W359" s="1077">
        <v>110</v>
      </c>
      <c r="X359" s="1077" t="s">
        <v>1130</v>
      </c>
      <c r="Y359" s="1077">
        <v>2.1</v>
      </c>
      <c r="Z359" s="1077">
        <v>2.5</v>
      </c>
      <c r="AA359" s="1077" t="s">
        <v>1224</v>
      </c>
      <c r="AB359" s="1077" t="s">
        <v>981</v>
      </c>
      <c r="AH359" s="1077" t="s">
        <v>884</v>
      </c>
      <c r="AM359" s="1078" t="s">
        <v>9765</v>
      </c>
      <c r="AN359" s="1078" t="s">
        <v>9766</v>
      </c>
      <c r="AO359" s="1078">
        <f t="shared" si="46"/>
        <v>650</v>
      </c>
      <c r="AP359" s="1078">
        <f t="shared" si="47"/>
        <v>1.7</v>
      </c>
      <c r="AQ359" s="1078" t="str">
        <f t="shared" si="48"/>
        <v>1-4-1S83°</v>
      </c>
      <c r="AR359" s="1078" t="str">
        <f t="shared" si="49"/>
        <v>30</v>
      </c>
      <c r="AS359" s="1078" t="str">
        <f t="shared" si="50"/>
        <v>257/257/165</v>
      </c>
      <c r="AT359" s="1078" t="str">
        <f t="shared" si="51"/>
        <v>1-4-1S83°</v>
      </c>
      <c r="AV359" s="1078" t="str">
        <f t="shared" si="44"/>
        <v>108.11.8</v>
      </c>
      <c r="AW359" s="1344">
        <f t="shared" si="45"/>
        <v>43777</v>
      </c>
    </row>
    <row r="360" spans="1:49">
      <c r="A360" s="1077" t="s">
        <v>2806</v>
      </c>
      <c r="B360" s="1077" t="s">
        <v>2807</v>
      </c>
      <c r="C360" s="1077">
        <v>700</v>
      </c>
      <c r="D360" s="1077">
        <v>1.7</v>
      </c>
      <c r="E360" s="1077" t="s">
        <v>15094</v>
      </c>
      <c r="F360" s="1077" t="s">
        <v>954</v>
      </c>
      <c r="G360" s="1077" t="s">
        <v>1767</v>
      </c>
      <c r="H360" s="1077" t="s">
        <v>2009</v>
      </c>
      <c r="I360" s="1077" t="s">
        <v>126</v>
      </c>
      <c r="J360" s="1077">
        <v>0.7</v>
      </c>
      <c r="K360" s="1077" t="s">
        <v>2808</v>
      </c>
      <c r="L360" s="1077" t="s">
        <v>2809</v>
      </c>
      <c r="M360" s="1077">
        <v>74.7</v>
      </c>
      <c r="N360" s="1077" t="s">
        <v>945</v>
      </c>
      <c r="O360" s="1077">
        <v>1.8675000000000002</v>
      </c>
      <c r="P360" s="1077">
        <v>1.494</v>
      </c>
      <c r="Q360" s="1077" t="s">
        <v>988</v>
      </c>
      <c r="R360" s="1077">
        <v>20.100000000000001</v>
      </c>
      <c r="T360" s="1077">
        <v>20.8</v>
      </c>
      <c r="U360" s="1077">
        <v>3.8</v>
      </c>
      <c r="V360" s="1077" t="s">
        <v>648</v>
      </c>
      <c r="W360" s="1077">
        <v>90</v>
      </c>
      <c r="X360" s="1077">
        <v>65</v>
      </c>
      <c r="Y360" s="1077">
        <v>1.5</v>
      </c>
      <c r="Z360" s="1077" t="s">
        <v>2488</v>
      </c>
      <c r="AA360" s="1077" t="s">
        <v>1229</v>
      </c>
      <c r="AH360" s="1077" t="s">
        <v>621</v>
      </c>
      <c r="AM360" s="1078" t="s">
        <v>9767</v>
      </c>
      <c r="AN360" s="1078" t="s">
        <v>9768</v>
      </c>
      <c r="AO360" s="1078">
        <f t="shared" si="46"/>
        <v>700</v>
      </c>
      <c r="AP360" s="1078">
        <f t="shared" si="47"/>
        <v>1.7</v>
      </c>
      <c r="AQ360" s="1078" t="str">
        <f t="shared" si="48"/>
        <v>1-5-1S91°</v>
      </c>
      <c r="AR360" s="1078" t="str">
        <f t="shared" si="49"/>
        <v>31</v>
      </c>
      <c r="AS360" s="1078" t="str">
        <f t="shared" si="50"/>
        <v>265/265/OFF</v>
      </c>
      <c r="AT360" s="1078" t="str">
        <f t="shared" si="51"/>
        <v>1-5-1S91°</v>
      </c>
      <c r="AV360" s="1078" t="str">
        <f t="shared" si="44"/>
        <v>108.11.25</v>
      </c>
      <c r="AW360" s="1344">
        <f t="shared" si="45"/>
        <v>43794</v>
      </c>
    </row>
    <row r="361" spans="1:49">
      <c r="A361" s="1077" t="s">
        <v>2810</v>
      </c>
      <c r="B361" s="1077" t="s">
        <v>2811</v>
      </c>
      <c r="C361" s="1077">
        <v>500</v>
      </c>
      <c r="D361" s="1077">
        <v>1.68</v>
      </c>
      <c r="E361" s="1077" t="s">
        <v>15100</v>
      </c>
      <c r="F361" s="1077" t="s">
        <v>648</v>
      </c>
      <c r="G361" s="1077" t="s">
        <v>1001</v>
      </c>
      <c r="H361" s="1077" t="s">
        <v>1470</v>
      </c>
      <c r="I361" s="1077" t="s">
        <v>2812</v>
      </c>
      <c r="J361" s="1077" t="s">
        <v>2813</v>
      </c>
      <c r="K361" s="1077" t="s">
        <v>2814</v>
      </c>
      <c r="L361" s="1077" t="s">
        <v>2815</v>
      </c>
      <c r="M361" s="1077">
        <v>77</v>
      </c>
      <c r="N361" s="1077" t="s">
        <v>945</v>
      </c>
      <c r="O361" s="1077">
        <v>1.925</v>
      </c>
      <c r="P361" s="1077">
        <v>1.54</v>
      </c>
      <c r="Q361" s="1077" t="s">
        <v>2536</v>
      </c>
      <c r="R361" s="1077">
        <v>20.9</v>
      </c>
      <c r="T361" s="1077">
        <v>22.6</v>
      </c>
      <c r="U361" s="1077">
        <v>4.7</v>
      </c>
      <c r="V361" s="1077" t="s">
        <v>648</v>
      </c>
      <c r="W361" s="1077" t="s">
        <v>2816</v>
      </c>
      <c r="X361" s="1077">
        <v>88</v>
      </c>
      <c r="Y361" s="1077">
        <v>2</v>
      </c>
      <c r="Z361" s="1077" t="s">
        <v>648</v>
      </c>
      <c r="AA361" s="1077" t="s">
        <v>2817</v>
      </c>
      <c r="AH361" s="1077" t="s">
        <v>1267</v>
      </c>
      <c r="AM361" s="1078" t="s">
        <v>9769</v>
      </c>
      <c r="AN361" s="1078" t="s">
        <v>9770</v>
      </c>
      <c r="AO361" s="1078">
        <f t="shared" si="46"/>
        <v>500</v>
      </c>
      <c r="AP361" s="1078">
        <f t="shared" si="47"/>
        <v>1.68</v>
      </c>
      <c r="AQ361" s="1078" t="str">
        <f t="shared" si="48"/>
        <v>1-4-1S+ZS85°</v>
      </c>
      <c r="AR361" s="1078" t="str">
        <f t="shared" si="49"/>
        <v>NA</v>
      </c>
      <c r="AS361" s="1078" t="str">
        <f t="shared" si="50"/>
        <v>160/OFF</v>
      </c>
      <c r="AT361" s="1078" t="str">
        <f t="shared" si="51"/>
        <v>1-4-1S+ZS85°</v>
      </c>
      <c r="AV361" s="1078" t="str">
        <f t="shared" si="44"/>
        <v>108.11.20</v>
      </c>
      <c r="AW361" s="1344">
        <f t="shared" si="45"/>
        <v>43789</v>
      </c>
    </row>
    <row r="362" spans="1:49">
      <c r="A362" s="1077" t="s">
        <v>2818</v>
      </c>
      <c r="B362" s="1077" t="s">
        <v>1766</v>
      </c>
      <c r="C362" s="1077">
        <v>650</v>
      </c>
      <c r="D362" s="1077">
        <v>1.78</v>
      </c>
      <c r="E362" s="1077" t="s">
        <v>15091</v>
      </c>
      <c r="F362" s="1077" t="s">
        <v>1689</v>
      </c>
      <c r="G362" s="1077" t="s">
        <v>1767</v>
      </c>
      <c r="H362" s="1077" t="s">
        <v>2819</v>
      </c>
      <c r="I362" s="1077" t="s">
        <v>1073</v>
      </c>
      <c r="J362" s="1077">
        <v>0.5</v>
      </c>
      <c r="K362" s="1077" t="s">
        <v>2797</v>
      </c>
      <c r="L362" s="1077" t="s">
        <v>2798</v>
      </c>
      <c r="M362" s="1077">
        <v>73.5</v>
      </c>
      <c r="N362" s="1077" t="s">
        <v>945</v>
      </c>
      <c r="O362" s="1077">
        <v>1.8375000000000001</v>
      </c>
      <c r="P362" s="1077">
        <v>1.47</v>
      </c>
      <c r="Q362" s="1077" t="s">
        <v>1037</v>
      </c>
      <c r="R362" s="1077">
        <v>21.5</v>
      </c>
      <c r="T362" s="1077">
        <v>40.1</v>
      </c>
      <c r="U362" s="1077">
        <v>3.4</v>
      </c>
      <c r="V362" s="1077" t="s">
        <v>648</v>
      </c>
      <c r="W362" s="1077">
        <v>30</v>
      </c>
      <c r="X362" s="1077">
        <v>10</v>
      </c>
      <c r="Y362" s="1077">
        <v>1.7</v>
      </c>
      <c r="Z362" s="1077" t="s">
        <v>2820</v>
      </c>
      <c r="AA362" s="1077" t="s">
        <v>2821</v>
      </c>
      <c r="AH362" s="1077" t="s">
        <v>853</v>
      </c>
      <c r="AM362" s="1078" t="s">
        <v>9771</v>
      </c>
      <c r="AN362" s="1078" t="s">
        <v>9772</v>
      </c>
      <c r="AO362" s="1078">
        <f t="shared" si="46"/>
        <v>650</v>
      </c>
      <c r="AP362" s="1078">
        <f t="shared" si="47"/>
        <v>1.78</v>
      </c>
      <c r="AQ362" s="1078" t="str">
        <f t="shared" si="48"/>
        <v>2-5-1S83°</v>
      </c>
      <c r="AR362" s="1078" t="str">
        <f t="shared" si="49"/>
        <v>29.5</v>
      </c>
      <c r="AS362" s="1078" t="str">
        <f t="shared" si="50"/>
        <v>186/OFF</v>
      </c>
      <c r="AT362" s="1078" t="str">
        <f t="shared" si="51"/>
        <v>2-5-1S83°</v>
      </c>
      <c r="AV362" s="1078" t="str">
        <f t="shared" si="44"/>
        <v>108.11.22</v>
      </c>
      <c r="AW362" s="1344">
        <f t="shared" si="45"/>
        <v>43791</v>
      </c>
    </row>
    <row r="363" spans="1:49">
      <c r="A363" s="1077" t="s">
        <v>2822</v>
      </c>
      <c r="B363" s="1077" t="s">
        <v>424</v>
      </c>
      <c r="C363" s="1077">
        <v>700</v>
      </c>
      <c r="D363" s="1077">
        <v>1.7749999999999999</v>
      </c>
      <c r="E363" s="1077" t="s">
        <v>15089</v>
      </c>
      <c r="F363" s="1077" t="s">
        <v>1897</v>
      </c>
      <c r="G363" s="1077" t="s">
        <v>1767</v>
      </c>
      <c r="H363" s="1077" t="s">
        <v>2400</v>
      </c>
      <c r="I363" s="1077" t="s">
        <v>626</v>
      </c>
      <c r="J363" s="1077">
        <v>4</v>
      </c>
      <c r="K363" s="1077" t="s">
        <v>2823</v>
      </c>
      <c r="L363" s="1077" t="s">
        <v>1938</v>
      </c>
      <c r="M363" s="1077">
        <v>75.599999999999994</v>
      </c>
      <c r="N363" s="1077" t="s">
        <v>945</v>
      </c>
      <c r="O363" s="1077">
        <v>1.89</v>
      </c>
      <c r="P363" s="1077">
        <v>1.512</v>
      </c>
      <c r="Q363" s="1077" t="s">
        <v>2553</v>
      </c>
      <c r="R363" s="1077">
        <v>18.600000000000001</v>
      </c>
      <c r="T363" s="1077">
        <v>18.8</v>
      </c>
      <c r="U363" s="1077">
        <v>2.9</v>
      </c>
      <c r="V363" s="1077" t="s">
        <v>648</v>
      </c>
      <c r="W363" s="1077">
        <v>150</v>
      </c>
      <c r="X363" s="1077" t="s">
        <v>2402</v>
      </c>
      <c r="Y363" s="1077">
        <v>2.1</v>
      </c>
      <c r="Z363" s="1077" t="s">
        <v>2824</v>
      </c>
      <c r="AA363" s="1077" t="s">
        <v>1229</v>
      </c>
      <c r="AB363" s="1077" t="s">
        <v>981</v>
      </c>
      <c r="AH363" s="1077" t="s">
        <v>1244</v>
      </c>
      <c r="AM363" s="1078" t="s">
        <v>9773</v>
      </c>
      <c r="AN363" s="1078" t="s">
        <v>9774</v>
      </c>
      <c r="AO363" s="1078">
        <f t="shared" si="46"/>
        <v>700</v>
      </c>
      <c r="AP363" s="1078">
        <f t="shared" si="47"/>
        <v>1.7749999999999999</v>
      </c>
      <c r="AQ363" s="1078" t="str">
        <f t="shared" si="48"/>
        <v>1-4-1S83°</v>
      </c>
      <c r="AR363" s="1078" t="str">
        <f t="shared" si="49"/>
        <v>30.8</v>
      </c>
      <c r="AS363" s="1078" t="str">
        <f t="shared" si="50"/>
        <v>290/290/149</v>
      </c>
      <c r="AT363" s="1078" t="str">
        <f t="shared" si="51"/>
        <v>1-4-1S83°</v>
      </c>
      <c r="AV363" s="1078" t="str">
        <f t="shared" si="44"/>
        <v>108.11.25</v>
      </c>
      <c r="AW363" s="1344">
        <f t="shared" si="45"/>
        <v>43794</v>
      </c>
    </row>
    <row r="364" spans="1:49">
      <c r="A364" s="1077" t="s">
        <v>2825</v>
      </c>
      <c r="B364" s="1077" t="s">
        <v>1903</v>
      </c>
      <c r="C364" s="1077">
        <v>620</v>
      </c>
      <c r="D364" s="1077">
        <v>1.68</v>
      </c>
      <c r="E364" s="1077" t="s">
        <v>15089</v>
      </c>
      <c r="F364" s="1077" t="s">
        <v>975</v>
      </c>
      <c r="G364" s="1077" t="s">
        <v>1867</v>
      </c>
      <c r="H364" s="1077" t="s">
        <v>1145</v>
      </c>
      <c r="I364" s="1077" t="s">
        <v>126</v>
      </c>
      <c r="J364" s="1077">
        <v>0.7</v>
      </c>
      <c r="K364" s="1077" t="s">
        <v>2123</v>
      </c>
      <c r="L364" s="1077" t="s">
        <v>1905</v>
      </c>
      <c r="M364" s="1077">
        <v>74</v>
      </c>
      <c r="N364" s="1077" t="s">
        <v>945</v>
      </c>
      <c r="O364" s="1077">
        <v>1.85</v>
      </c>
      <c r="P364" s="1077">
        <v>1.48</v>
      </c>
      <c r="Q364" s="1077" t="s">
        <v>1020</v>
      </c>
      <c r="R364" s="1077">
        <v>26</v>
      </c>
      <c r="T364" s="1077">
        <v>13.8</v>
      </c>
      <c r="U364" s="1077">
        <v>5.0999999999999996</v>
      </c>
      <c r="V364" s="1077" t="s">
        <v>648</v>
      </c>
      <c r="W364" s="1077">
        <v>100</v>
      </c>
      <c r="X364" s="1077">
        <v>60</v>
      </c>
      <c r="Y364" s="1077">
        <v>1.8</v>
      </c>
      <c r="Z364" s="1077" t="s">
        <v>2613</v>
      </c>
      <c r="AA364" s="1077" t="s">
        <v>1229</v>
      </c>
      <c r="AH364" s="1077" t="s">
        <v>963</v>
      </c>
      <c r="AM364" s="1078" t="s">
        <v>9775</v>
      </c>
      <c r="AN364" s="1078" t="s">
        <v>9776</v>
      </c>
      <c r="AO364" s="1078">
        <f t="shared" si="46"/>
        <v>620</v>
      </c>
      <c r="AP364" s="1078">
        <f t="shared" si="47"/>
        <v>1.68</v>
      </c>
      <c r="AQ364" s="1078" t="str">
        <f t="shared" si="48"/>
        <v>1-4-1S83°</v>
      </c>
      <c r="AR364" s="1078" t="str">
        <f t="shared" si="49"/>
        <v>31.5</v>
      </c>
      <c r="AS364" s="1078" t="str">
        <f t="shared" si="50"/>
        <v>235/235/OFF</v>
      </c>
      <c r="AT364" s="1078" t="str">
        <f t="shared" si="51"/>
        <v>1-4-1S83°</v>
      </c>
      <c r="AV364" s="1078" t="str">
        <f t="shared" si="44"/>
        <v>108.11.25</v>
      </c>
      <c r="AW364" s="1344">
        <f t="shared" si="45"/>
        <v>43794</v>
      </c>
    </row>
    <row r="365" spans="1:49">
      <c r="A365" s="1077" t="s">
        <v>2826</v>
      </c>
      <c r="B365" s="1077" t="s">
        <v>424</v>
      </c>
      <c r="C365" s="1077">
        <v>700</v>
      </c>
      <c r="D365" s="1077">
        <v>1.7749999999999999</v>
      </c>
      <c r="E365" s="1077" t="s">
        <v>15089</v>
      </c>
      <c r="F365" s="1077" t="s">
        <v>1897</v>
      </c>
      <c r="G365" s="1077" t="s">
        <v>1767</v>
      </c>
      <c r="H365" s="1077" t="s">
        <v>2400</v>
      </c>
      <c r="I365" s="1077" t="s">
        <v>626</v>
      </c>
      <c r="J365" s="1077">
        <v>4</v>
      </c>
      <c r="K365" s="1077" t="s">
        <v>2827</v>
      </c>
      <c r="L365" s="1077" t="s">
        <v>1938</v>
      </c>
      <c r="M365" s="1077">
        <v>75.599999999999994</v>
      </c>
      <c r="N365" s="1077" t="s">
        <v>945</v>
      </c>
      <c r="O365" s="1077">
        <v>1.89</v>
      </c>
      <c r="P365" s="1077">
        <v>1.512</v>
      </c>
      <c r="Q365" s="1077" t="s">
        <v>2553</v>
      </c>
      <c r="R365" s="1077">
        <v>18.600000000000001</v>
      </c>
      <c r="T365" s="1077">
        <v>18.8</v>
      </c>
      <c r="U365" s="1077">
        <v>2.9</v>
      </c>
      <c r="V365" s="1077" t="s">
        <v>648</v>
      </c>
      <c r="W365" s="1077">
        <v>150</v>
      </c>
      <c r="X365" s="1077" t="s">
        <v>2402</v>
      </c>
      <c r="Y365" s="1077">
        <v>2.1</v>
      </c>
      <c r="Z365" s="1077">
        <v>4</v>
      </c>
      <c r="AA365" s="1077" t="s">
        <v>2828</v>
      </c>
      <c r="AB365" s="1077" t="s">
        <v>981</v>
      </c>
      <c r="AH365" s="1077" t="s">
        <v>1221</v>
      </c>
      <c r="AM365" s="1078" t="s">
        <v>9777</v>
      </c>
      <c r="AN365" s="1078" t="s">
        <v>9778</v>
      </c>
      <c r="AO365" s="1078">
        <f t="shared" si="46"/>
        <v>700</v>
      </c>
      <c r="AP365" s="1078">
        <f t="shared" si="47"/>
        <v>1.7749999999999999</v>
      </c>
      <c r="AQ365" s="1078" t="str">
        <f t="shared" si="48"/>
        <v>1-4-1S83°</v>
      </c>
      <c r="AR365" s="1078" t="str">
        <f t="shared" si="49"/>
        <v>30.8</v>
      </c>
      <c r="AS365" s="1078" t="str">
        <f t="shared" si="50"/>
        <v>290/290/149</v>
      </c>
      <c r="AT365" s="1078" t="str">
        <f t="shared" si="51"/>
        <v>1-4-1S83°</v>
      </c>
      <c r="AV365" s="1078" t="str">
        <f t="shared" si="44"/>
        <v>108.12.2</v>
      </c>
      <c r="AW365" s="1344">
        <f t="shared" si="45"/>
        <v>43801</v>
      </c>
    </row>
    <row r="366" spans="1:49">
      <c r="A366" s="1077" t="s">
        <v>2829</v>
      </c>
      <c r="B366" s="1077" t="s">
        <v>453</v>
      </c>
      <c r="C366" s="1077">
        <v>650</v>
      </c>
      <c r="D366" s="1077">
        <v>1.7</v>
      </c>
      <c r="E366" s="1077" t="s">
        <v>15089</v>
      </c>
      <c r="F366" s="1077" t="s">
        <v>984</v>
      </c>
      <c r="G366" s="1077" t="s">
        <v>1767</v>
      </c>
      <c r="H366" s="1077" t="s">
        <v>2494</v>
      </c>
      <c r="I366" s="1077" t="s">
        <v>126</v>
      </c>
      <c r="J366" s="1077">
        <v>1</v>
      </c>
      <c r="K366" s="1077" t="s">
        <v>2830</v>
      </c>
      <c r="L366" s="1077" t="s">
        <v>1776</v>
      </c>
      <c r="M366" s="1077">
        <v>77</v>
      </c>
      <c r="N366" s="1077" t="s">
        <v>945</v>
      </c>
      <c r="O366" s="1077">
        <v>1.925</v>
      </c>
      <c r="P366" s="1077">
        <v>1.54</v>
      </c>
      <c r="Q366" s="1077" t="s">
        <v>2407</v>
      </c>
      <c r="R366" s="1077">
        <v>24</v>
      </c>
      <c r="T366" s="1077">
        <v>9</v>
      </c>
      <c r="U366" s="1077">
        <v>2.2000000000000002</v>
      </c>
      <c r="V366" s="1077" t="s">
        <v>648</v>
      </c>
      <c r="W366" s="1077">
        <v>110</v>
      </c>
      <c r="X366" s="1077" t="s">
        <v>1130</v>
      </c>
      <c r="Y366" s="1077">
        <v>2.1</v>
      </c>
      <c r="Z366" s="1077">
        <v>2.5</v>
      </c>
      <c r="AA366" s="1077" t="s">
        <v>2828</v>
      </c>
      <c r="AB366" s="1077" t="s">
        <v>981</v>
      </c>
      <c r="AH366" s="1077" t="s">
        <v>1588</v>
      </c>
      <c r="AM366" s="1078" t="s">
        <v>9779</v>
      </c>
      <c r="AN366" s="1078" t="s">
        <v>9780</v>
      </c>
      <c r="AO366" s="1078">
        <f t="shared" si="46"/>
        <v>650</v>
      </c>
      <c r="AP366" s="1078">
        <f t="shared" si="47"/>
        <v>1.7</v>
      </c>
      <c r="AQ366" s="1078" t="str">
        <f t="shared" si="48"/>
        <v>1-4-1S83°</v>
      </c>
      <c r="AR366" s="1078" t="str">
        <f t="shared" si="49"/>
        <v>30</v>
      </c>
      <c r="AS366" s="1078" t="str">
        <f t="shared" si="50"/>
        <v>257/257/165</v>
      </c>
      <c r="AT366" s="1078" t="str">
        <f t="shared" si="51"/>
        <v>1-4-1S83°</v>
      </c>
      <c r="AV366" s="1078" t="str">
        <f t="shared" si="44"/>
        <v>108.12.2</v>
      </c>
      <c r="AW366" s="1344">
        <f t="shared" si="45"/>
        <v>43801</v>
      </c>
    </row>
    <row r="367" spans="1:49">
      <c r="A367" s="1077" t="s">
        <v>2831</v>
      </c>
      <c r="B367" s="1077" t="s">
        <v>1792</v>
      </c>
      <c r="C367" s="1077">
        <v>600</v>
      </c>
      <c r="D367" s="1077">
        <v>1.78</v>
      </c>
      <c r="E367" s="1077" t="s">
        <v>15092</v>
      </c>
      <c r="F367" s="1077" t="s">
        <v>954</v>
      </c>
      <c r="G367" s="1077" t="s">
        <v>1767</v>
      </c>
      <c r="H367" s="1077" t="s">
        <v>2130</v>
      </c>
      <c r="I367" s="1077" t="s">
        <v>126</v>
      </c>
      <c r="J367" s="1077">
        <v>1.6</v>
      </c>
      <c r="K367" s="1077" t="s">
        <v>2776</v>
      </c>
      <c r="L367" s="1077" t="s">
        <v>1795</v>
      </c>
      <c r="M367" s="1077">
        <v>75</v>
      </c>
      <c r="N367" s="1077" t="s">
        <v>945</v>
      </c>
      <c r="O367" s="1077">
        <v>1.875</v>
      </c>
      <c r="P367" s="1077">
        <v>1.5</v>
      </c>
      <c r="Q367" s="1077" t="s">
        <v>956</v>
      </c>
      <c r="R367" s="1077">
        <v>21.6</v>
      </c>
      <c r="T367" s="1077">
        <v>18</v>
      </c>
      <c r="U367" s="1077">
        <v>2.5</v>
      </c>
      <c r="V367" s="1077" t="s">
        <v>648</v>
      </c>
      <c r="W367" s="1077">
        <v>110</v>
      </c>
      <c r="X367" s="1077">
        <v>80</v>
      </c>
      <c r="Y367" s="1077">
        <v>1.5</v>
      </c>
      <c r="Z367" s="1077">
        <v>3.5</v>
      </c>
      <c r="AA367" s="1077" t="s">
        <v>2828</v>
      </c>
      <c r="AH367" s="1077" t="s">
        <v>884</v>
      </c>
      <c r="AM367" s="1078" t="s">
        <v>9781</v>
      </c>
      <c r="AN367" s="1078" t="s">
        <v>9782</v>
      </c>
      <c r="AO367" s="1078">
        <f t="shared" si="46"/>
        <v>600</v>
      </c>
      <c r="AP367" s="1078">
        <f t="shared" si="47"/>
        <v>1.78</v>
      </c>
      <c r="AQ367" s="1078" t="str">
        <f t="shared" si="48"/>
        <v>1-4-1S83°S撚</v>
      </c>
      <c r="AR367" s="1078" t="str">
        <f t="shared" si="49"/>
        <v>31</v>
      </c>
      <c r="AS367" s="1078" t="str">
        <f t="shared" si="50"/>
        <v>270/270/150</v>
      </c>
      <c r="AT367" s="1078" t="str">
        <f t="shared" si="51"/>
        <v>1-4-1S83°S撚</v>
      </c>
      <c r="AU367" s="1078" t="s">
        <v>15545</v>
      </c>
      <c r="AV367" s="1078" t="str">
        <f t="shared" si="44"/>
        <v>108.12.2</v>
      </c>
      <c r="AW367" s="1344">
        <f t="shared" si="45"/>
        <v>43801</v>
      </c>
    </row>
    <row r="368" spans="1:49">
      <c r="A368" s="1077" t="s">
        <v>2832</v>
      </c>
      <c r="B368" s="1077" t="s">
        <v>2513</v>
      </c>
      <c r="C368" s="1077">
        <v>500</v>
      </c>
      <c r="D368" s="1077">
        <v>1.78</v>
      </c>
      <c r="E368" s="1077" t="s">
        <v>15091</v>
      </c>
      <c r="F368" s="1077" t="s">
        <v>954</v>
      </c>
      <c r="G368" s="1077" t="s">
        <v>940</v>
      </c>
      <c r="H368" s="1077" t="s">
        <v>2833</v>
      </c>
      <c r="I368" s="1077" t="s">
        <v>1167</v>
      </c>
      <c r="J368" s="1077">
        <v>0.6</v>
      </c>
      <c r="K368" s="1077" t="s">
        <v>2834</v>
      </c>
      <c r="L368" s="1077" t="s">
        <v>2514</v>
      </c>
      <c r="M368" s="1077">
        <v>75.5</v>
      </c>
      <c r="N368" s="1077" t="s">
        <v>945</v>
      </c>
      <c r="O368" s="1077">
        <v>1.8875000000000002</v>
      </c>
      <c r="P368" s="1077">
        <v>1.51</v>
      </c>
      <c r="Q368" s="1077" t="s">
        <v>1059</v>
      </c>
      <c r="R368" s="1077">
        <v>23</v>
      </c>
      <c r="T368" s="1077">
        <v>9</v>
      </c>
      <c r="U368" s="1077">
        <v>5.5</v>
      </c>
      <c r="V368" s="1077" t="s">
        <v>648</v>
      </c>
      <c r="W368" s="1077">
        <v>100</v>
      </c>
      <c r="X368" s="1077">
        <v>75</v>
      </c>
      <c r="Y368" s="1077">
        <v>2</v>
      </c>
      <c r="Z368" s="1077" t="s">
        <v>2613</v>
      </c>
      <c r="AA368" s="1077" t="s">
        <v>2835</v>
      </c>
      <c r="AH368" s="1077" t="s">
        <v>2836</v>
      </c>
      <c r="AM368" s="1078" t="s">
        <v>9783</v>
      </c>
      <c r="AN368" s="1078" t="s">
        <v>9784</v>
      </c>
      <c r="AO368" s="1078">
        <f t="shared" si="46"/>
        <v>500</v>
      </c>
      <c r="AP368" s="1078">
        <f t="shared" si="47"/>
        <v>1.78</v>
      </c>
      <c r="AQ368" s="1078" t="str">
        <f t="shared" si="48"/>
        <v>2-5-1S83°</v>
      </c>
      <c r="AR368" s="1078" t="str">
        <f t="shared" si="49"/>
        <v>31</v>
      </c>
      <c r="AS368" s="1078" t="str">
        <f t="shared" si="50"/>
        <v>150/OFF</v>
      </c>
      <c r="AT368" s="1078" t="str">
        <f t="shared" si="51"/>
        <v>2-5-1S83°</v>
      </c>
      <c r="AV368" s="1078" t="str">
        <f t="shared" si="44"/>
        <v>108.12.3</v>
      </c>
      <c r="AW368" s="1344">
        <f t="shared" si="45"/>
        <v>43802</v>
      </c>
    </row>
    <row r="369" spans="1:49">
      <c r="A369" s="1077" t="s">
        <v>2837</v>
      </c>
      <c r="B369" s="1077" t="s">
        <v>2677</v>
      </c>
      <c r="C369" s="1077">
        <v>600</v>
      </c>
      <c r="D369" s="1077">
        <v>1.77</v>
      </c>
      <c r="E369" s="1077" t="s">
        <v>15089</v>
      </c>
      <c r="F369" s="1077" t="s">
        <v>1514</v>
      </c>
      <c r="G369" s="1077" t="s">
        <v>940</v>
      </c>
      <c r="H369" s="1077" t="s">
        <v>1017</v>
      </c>
      <c r="I369" s="1077" t="s">
        <v>626</v>
      </c>
      <c r="J369" s="1077">
        <v>0.9</v>
      </c>
      <c r="K369" s="1077" t="s">
        <v>2678</v>
      </c>
      <c r="L369" s="1077" t="s">
        <v>2288</v>
      </c>
      <c r="M369" s="1077">
        <v>77</v>
      </c>
      <c r="N369" s="1077" t="s">
        <v>945</v>
      </c>
      <c r="O369" s="1077">
        <v>1.925</v>
      </c>
      <c r="P369" s="1077">
        <v>1.54</v>
      </c>
      <c r="Q369" s="1077" t="s">
        <v>1005</v>
      </c>
      <c r="R369" s="1077">
        <v>29</v>
      </c>
      <c r="T369" s="1077">
        <v>9</v>
      </c>
      <c r="U369" s="1077">
        <v>6.6</v>
      </c>
      <c r="V369" s="1077" t="s">
        <v>648</v>
      </c>
      <c r="W369" s="1077">
        <v>125</v>
      </c>
      <c r="X369" s="1077">
        <v>50</v>
      </c>
      <c r="Y369" s="1077">
        <v>2</v>
      </c>
      <c r="Z369" s="1077" t="s">
        <v>2838</v>
      </c>
      <c r="AA369" s="1077" t="s">
        <v>2835</v>
      </c>
      <c r="AH369" s="1077" t="s">
        <v>722</v>
      </c>
      <c r="AM369" s="1078" t="s">
        <v>9785</v>
      </c>
      <c r="AN369" s="1078" t="s">
        <v>9786</v>
      </c>
      <c r="AO369" s="1078">
        <f t="shared" si="46"/>
        <v>600</v>
      </c>
      <c r="AP369" s="1078">
        <f t="shared" si="47"/>
        <v>1.77</v>
      </c>
      <c r="AQ369" s="1078" t="str">
        <f t="shared" si="48"/>
        <v>1-4-1S83°</v>
      </c>
      <c r="AR369" s="1078" t="str">
        <f t="shared" si="49"/>
        <v>32</v>
      </c>
      <c r="AS369" s="1078" t="str">
        <f t="shared" si="50"/>
        <v>200/200/OFF</v>
      </c>
      <c r="AT369" s="1078" t="str">
        <f t="shared" si="51"/>
        <v>1-4-1S83°</v>
      </c>
      <c r="AV369" s="1078" t="str">
        <f t="shared" si="44"/>
        <v>108.12.3</v>
      </c>
      <c r="AW369" s="1344">
        <f t="shared" si="45"/>
        <v>43802</v>
      </c>
    </row>
    <row r="370" spans="1:49">
      <c r="A370" s="1077" t="s">
        <v>2839</v>
      </c>
      <c r="B370" s="1077" t="s">
        <v>1815</v>
      </c>
      <c r="C370" s="1077">
        <v>650</v>
      </c>
      <c r="D370" s="1077">
        <v>1.73</v>
      </c>
      <c r="E370" s="1077" t="s">
        <v>15098</v>
      </c>
      <c r="F370" s="1077" t="s">
        <v>954</v>
      </c>
      <c r="G370" s="1077" t="s">
        <v>1767</v>
      </c>
      <c r="H370" s="1077" t="s">
        <v>2009</v>
      </c>
      <c r="I370" s="1077" t="s">
        <v>126</v>
      </c>
      <c r="J370" s="1077">
        <v>0.8</v>
      </c>
      <c r="K370" s="1077" t="s">
        <v>2767</v>
      </c>
      <c r="L370" s="1077" t="s">
        <v>2209</v>
      </c>
      <c r="M370" s="1077">
        <v>75.099999999999994</v>
      </c>
      <c r="N370" s="1077" t="s">
        <v>945</v>
      </c>
      <c r="O370" s="1077">
        <v>1.8774999999999999</v>
      </c>
      <c r="P370" s="1077">
        <v>1.502</v>
      </c>
      <c r="Q370" s="1077" t="s">
        <v>1037</v>
      </c>
      <c r="R370" s="1077">
        <v>19</v>
      </c>
      <c r="T370" s="1077">
        <v>21</v>
      </c>
      <c r="U370" s="1077">
        <v>3.5</v>
      </c>
      <c r="V370" s="1077" t="s">
        <v>648</v>
      </c>
      <c r="W370" s="1077">
        <v>110</v>
      </c>
      <c r="X370" s="1077" t="s">
        <v>2650</v>
      </c>
      <c r="Y370" s="1077">
        <v>1.6</v>
      </c>
      <c r="Z370" s="1077">
        <v>4</v>
      </c>
      <c r="AA370" s="1077" t="s">
        <v>2840</v>
      </c>
      <c r="AB370" s="1077" t="s">
        <v>981</v>
      </c>
      <c r="AH370" s="1077" t="s">
        <v>482</v>
      </c>
      <c r="AM370" s="1078" t="s">
        <v>9787</v>
      </c>
      <c r="AN370" s="1078" t="s">
        <v>9788</v>
      </c>
      <c r="AO370" s="1078">
        <f t="shared" si="46"/>
        <v>650</v>
      </c>
      <c r="AP370" s="1078">
        <f t="shared" si="47"/>
        <v>1.73</v>
      </c>
      <c r="AQ370" s="1078" t="str">
        <f t="shared" si="48"/>
        <v>1-4-1S91°</v>
      </c>
      <c r="AR370" s="1078" t="str">
        <f t="shared" si="49"/>
        <v>31</v>
      </c>
      <c r="AS370" s="1078" t="str">
        <f t="shared" si="50"/>
        <v>265/265/OFF</v>
      </c>
      <c r="AT370" s="1078" t="str">
        <f t="shared" si="51"/>
        <v>1-4-1S91°</v>
      </c>
      <c r="AV370" s="1078" t="str">
        <f t="shared" si="44"/>
        <v>108.12.5</v>
      </c>
      <c r="AW370" s="1344">
        <f t="shared" si="45"/>
        <v>43804</v>
      </c>
    </row>
    <row r="371" spans="1:49">
      <c r="A371" s="1077" t="s">
        <v>2841</v>
      </c>
      <c r="B371" s="1077" t="s">
        <v>453</v>
      </c>
      <c r="C371" s="1077">
        <v>650</v>
      </c>
      <c r="D371" s="1077">
        <v>1.7</v>
      </c>
      <c r="E371" s="1077" t="s">
        <v>15089</v>
      </c>
      <c r="F371" s="1077" t="s">
        <v>984</v>
      </c>
      <c r="G371" s="1077" t="s">
        <v>1767</v>
      </c>
      <c r="H371" s="1077" t="s">
        <v>2494</v>
      </c>
      <c r="I371" s="1077" t="s">
        <v>126</v>
      </c>
      <c r="J371" s="1077">
        <v>1</v>
      </c>
      <c r="K371" s="1077" t="s">
        <v>2830</v>
      </c>
      <c r="L371" s="1077" t="s">
        <v>1776</v>
      </c>
      <c r="M371" s="1077">
        <v>77</v>
      </c>
      <c r="N371" s="1077" t="s">
        <v>945</v>
      </c>
      <c r="O371" s="1077">
        <v>1.925</v>
      </c>
      <c r="P371" s="1077">
        <v>1.54</v>
      </c>
      <c r="Q371" s="1077" t="s">
        <v>2441</v>
      </c>
      <c r="R371" s="1077">
        <v>24</v>
      </c>
      <c r="T371" s="1077">
        <v>9</v>
      </c>
      <c r="U371" s="1077">
        <v>2.2000000000000002</v>
      </c>
      <c r="V371" s="1077" t="s">
        <v>648</v>
      </c>
      <c r="W371" s="1077">
        <v>110</v>
      </c>
      <c r="X371" s="1077" t="s">
        <v>1130</v>
      </c>
      <c r="Y371" s="1077">
        <v>2.1</v>
      </c>
      <c r="Z371" s="1077">
        <v>2.5</v>
      </c>
      <c r="AA371" s="1077" t="s">
        <v>2842</v>
      </c>
      <c r="AB371" s="1077" t="s">
        <v>981</v>
      </c>
      <c r="AH371" s="1077" t="s">
        <v>889</v>
      </c>
      <c r="AM371" s="1078" t="s">
        <v>9789</v>
      </c>
      <c r="AN371" s="1078" t="s">
        <v>9790</v>
      </c>
      <c r="AO371" s="1078">
        <f t="shared" si="46"/>
        <v>650</v>
      </c>
      <c r="AP371" s="1078">
        <f t="shared" si="47"/>
        <v>1.7</v>
      </c>
      <c r="AQ371" s="1078" t="str">
        <f t="shared" si="48"/>
        <v>1-4-1S83°</v>
      </c>
      <c r="AR371" s="1078" t="str">
        <f t="shared" si="49"/>
        <v>30</v>
      </c>
      <c r="AS371" s="1078" t="str">
        <f t="shared" si="50"/>
        <v>257/257/165</v>
      </c>
      <c r="AT371" s="1078" t="str">
        <f t="shared" si="51"/>
        <v>1-4-1S83°</v>
      </c>
      <c r="AV371" s="1078" t="str">
        <f t="shared" si="44"/>
        <v>108.12.9</v>
      </c>
      <c r="AW371" s="1344">
        <f t="shared" si="45"/>
        <v>43808</v>
      </c>
    </row>
    <row r="372" spans="1:49">
      <c r="A372" s="1077" t="s">
        <v>2843</v>
      </c>
      <c r="B372" s="1077" t="s">
        <v>453</v>
      </c>
      <c r="C372" s="1077">
        <v>750</v>
      </c>
      <c r="D372" s="1077">
        <v>1.68</v>
      </c>
      <c r="E372" s="1077" t="s">
        <v>15089</v>
      </c>
      <c r="F372" s="1077" t="s">
        <v>1773</v>
      </c>
      <c r="G372" s="1077" t="s">
        <v>1767</v>
      </c>
      <c r="H372" s="1077" t="s">
        <v>1875</v>
      </c>
      <c r="I372" s="1077" t="s">
        <v>126</v>
      </c>
      <c r="J372" s="1077">
        <v>1</v>
      </c>
      <c r="K372" s="1077" t="s">
        <v>2504</v>
      </c>
      <c r="L372" s="1077" t="s">
        <v>1776</v>
      </c>
      <c r="M372" s="1077">
        <v>75</v>
      </c>
      <c r="N372" s="1077" t="s">
        <v>945</v>
      </c>
      <c r="O372" s="1077">
        <v>1.875</v>
      </c>
      <c r="P372" s="1077">
        <v>1.5</v>
      </c>
      <c r="Q372" s="1077" t="s">
        <v>988</v>
      </c>
      <c r="R372" s="1077">
        <v>23</v>
      </c>
      <c r="T372" s="1077">
        <v>19</v>
      </c>
      <c r="U372" s="1077">
        <v>3.8</v>
      </c>
      <c r="V372" s="1077" t="s">
        <v>648</v>
      </c>
      <c r="W372" s="1077">
        <v>110</v>
      </c>
      <c r="X372" s="1077">
        <v>70</v>
      </c>
      <c r="Y372" s="1077">
        <v>2</v>
      </c>
      <c r="Z372" s="1077">
        <v>4.5</v>
      </c>
      <c r="AA372" s="1077" t="s">
        <v>1237</v>
      </c>
      <c r="AH372" s="1077" t="s">
        <v>1452</v>
      </c>
      <c r="AM372" s="1078" t="s">
        <v>9791</v>
      </c>
      <c r="AN372" s="1078" t="s">
        <v>9792</v>
      </c>
      <c r="AO372" s="1078">
        <f t="shared" si="46"/>
        <v>750</v>
      </c>
      <c r="AP372" s="1078">
        <f t="shared" si="47"/>
        <v>1.68</v>
      </c>
      <c r="AQ372" s="1078" t="str">
        <f t="shared" si="48"/>
        <v>1-4-1S83°</v>
      </c>
      <c r="AR372" s="1078" t="str">
        <f t="shared" si="49"/>
        <v>30.2</v>
      </c>
      <c r="AS372" s="1078" t="str">
        <f t="shared" si="50"/>
        <v>267/267/OFF</v>
      </c>
      <c r="AT372" s="1078" t="str">
        <f t="shared" si="51"/>
        <v>1-4-1S83°</v>
      </c>
      <c r="AV372" s="1078" t="str">
        <f t="shared" si="44"/>
        <v>108.12.6</v>
      </c>
      <c r="AW372" s="1344">
        <f t="shared" si="45"/>
        <v>43805</v>
      </c>
    </row>
    <row r="373" spans="1:49">
      <c r="A373" s="1077" t="s">
        <v>2844</v>
      </c>
      <c r="B373" s="1077" t="s">
        <v>1858</v>
      </c>
      <c r="C373" s="1077">
        <v>620</v>
      </c>
      <c r="D373" s="1077">
        <v>1.69</v>
      </c>
      <c r="E373" s="1077" t="s">
        <v>15089</v>
      </c>
      <c r="F373" s="1077" t="s">
        <v>975</v>
      </c>
      <c r="G373" s="1077" t="s">
        <v>1867</v>
      </c>
      <c r="H373" s="1077" t="s">
        <v>1040</v>
      </c>
      <c r="I373" s="1077" t="s">
        <v>126</v>
      </c>
      <c r="J373" s="1077">
        <v>0.8</v>
      </c>
      <c r="K373" s="1077" t="s">
        <v>2845</v>
      </c>
      <c r="L373" s="1077" t="s">
        <v>1860</v>
      </c>
      <c r="M373" s="1077">
        <v>75.099999999999994</v>
      </c>
      <c r="N373" s="1077" t="s">
        <v>945</v>
      </c>
      <c r="O373" s="1077">
        <v>1.8774999999999999</v>
      </c>
      <c r="P373" s="1077">
        <v>1.502</v>
      </c>
      <c r="Q373" s="1077" t="s">
        <v>1059</v>
      </c>
      <c r="R373" s="1077">
        <v>26</v>
      </c>
      <c r="T373" s="1077">
        <v>13</v>
      </c>
      <c r="U373" s="1077">
        <v>5.2</v>
      </c>
      <c r="V373" s="1077" t="s">
        <v>648</v>
      </c>
      <c r="W373" s="1077">
        <v>110</v>
      </c>
      <c r="X373" s="1077">
        <v>85</v>
      </c>
      <c r="Y373" s="1077">
        <v>1.6</v>
      </c>
      <c r="Z373" s="1077">
        <v>4</v>
      </c>
      <c r="AA373" s="1077" t="s">
        <v>1237</v>
      </c>
      <c r="AH373" s="1077" t="s">
        <v>680</v>
      </c>
      <c r="AM373" s="1078" t="s">
        <v>9793</v>
      </c>
      <c r="AN373" s="1078" t="s">
        <v>9794</v>
      </c>
      <c r="AO373" s="1078">
        <f t="shared" si="46"/>
        <v>620</v>
      </c>
      <c r="AP373" s="1078">
        <f t="shared" si="47"/>
        <v>1.69</v>
      </c>
      <c r="AQ373" s="1078" t="str">
        <f t="shared" si="48"/>
        <v>1-4-1S83°</v>
      </c>
      <c r="AR373" s="1078" t="str">
        <f t="shared" si="49"/>
        <v>31.5</v>
      </c>
      <c r="AS373" s="1078" t="str">
        <f t="shared" si="50"/>
        <v>240/240/OFF</v>
      </c>
      <c r="AT373" s="1078" t="str">
        <f t="shared" si="51"/>
        <v>1-4-1S83°</v>
      </c>
      <c r="AV373" s="1078" t="str">
        <f t="shared" si="44"/>
        <v>108.12.6</v>
      </c>
      <c r="AW373" s="1344">
        <f t="shared" si="45"/>
        <v>43805</v>
      </c>
    </row>
    <row r="374" spans="1:49">
      <c r="A374" s="1077" t="s">
        <v>2846</v>
      </c>
      <c r="B374" s="1077" t="s">
        <v>1783</v>
      </c>
      <c r="C374" s="1077">
        <v>620</v>
      </c>
      <c r="D374" s="1077">
        <v>1.7</v>
      </c>
      <c r="E374" s="1077" t="s">
        <v>15095</v>
      </c>
      <c r="F374" s="1077" t="s">
        <v>1173</v>
      </c>
      <c r="G374" s="1077" t="s">
        <v>1767</v>
      </c>
      <c r="H374" s="1077" t="s">
        <v>1061</v>
      </c>
      <c r="I374" s="1077" t="s">
        <v>126</v>
      </c>
      <c r="J374" s="1077">
        <v>0.6</v>
      </c>
      <c r="K374" s="1077" t="s">
        <v>2847</v>
      </c>
      <c r="L374" s="1077" t="s">
        <v>2590</v>
      </c>
      <c r="M374" s="1077">
        <v>77.2</v>
      </c>
      <c r="N374" s="1077" t="s">
        <v>945</v>
      </c>
      <c r="O374" s="1077">
        <v>1.9300000000000002</v>
      </c>
      <c r="P374" s="1077">
        <v>1.544</v>
      </c>
      <c r="Q374" s="1077" t="s">
        <v>961</v>
      </c>
      <c r="R374" s="1077">
        <v>20.8</v>
      </c>
      <c r="T374" s="1077">
        <v>11.5</v>
      </c>
      <c r="U374" s="1077">
        <v>3.9</v>
      </c>
      <c r="V374" s="1077" t="s">
        <v>648</v>
      </c>
      <c r="W374" s="1077">
        <v>120</v>
      </c>
      <c r="X374" s="1077">
        <v>85</v>
      </c>
      <c r="Y374" s="1077">
        <v>2</v>
      </c>
      <c r="Z374" s="1077">
        <v>2.5</v>
      </c>
      <c r="AA374" s="1077" t="s">
        <v>2848</v>
      </c>
      <c r="AH374" s="1077" t="s">
        <v>1186</v>
      </c>
      <c r="AM374" s="1078" t="s">
        <v>9795</v>
      </c>
      <c r="AN374" s="1078" t="s">
        <v>9796</v>
      </c>
      <c r="AO374" s="1078">
        <f t="shared" si="46"/>
        <v>620</v>
      </c>
      <c r="AP374" s="1078">
        <f t="shared" si="47"/>
        <v>1.7</v>
      </c>
      <c r="AQ374" s="1078" t="str">
        <f t="shared" si="48"/>
        <v>1-5-1S83°</v>
      </c>
      <c r="AR374" s="1078" t="str">
        <f t="shared" si="49"/>
        <v>28.5</v>
      </c>
      <c r="AS374" s="1078" t="str">
        <f t="shared" si="50"/>
        <v>255/255/OFF</v>
      </c>
      <c r="AT374" s="1078" t="str">
        <f t="shared" si="51"/>
        <v>1-5-1S83°</v>
      </c>
      <c r="AV374" s="1078" t="str">
        <f t="shared" si="44"/>
        <v>108.12.10</v>
      </c>
      <c r="AW374" s="1344">
        <f t="shared" si="45"/>
        <v>43809</v>
      </c>
    </row>
    <row r="375" spans="1:49">
      <c r="A375" s="1077" t="s">
        <v>2849</v>
      </c>
      <c r="B375" s="1077" t="s">
        <v>1766</v>
      </c>
      <c r="C375" s="1077" t="s">
        <v>2850</v>
      </c>
      <c r="D375" s="1077">
        <v>1.78</v>
      </c>
      <c r="E375" s="1077" t="s">
        <v>15091</v>
      </c>
      <c r="F375" s="1077" t="s">
        <v>984</v>
      </c>
      <c r="G375" s="1077" t="s">
        <v>1767</v>
      </c>
      <c r="H375" s="1077" t="s">
        <v>2851</v>
      </c>
      <c r="I375" s="1077" t="s">
        <v>1167</v>
      </c>
      <c r="J375" s="1077">
        <v>2.4</v>
      </c>
      <c r="K375" s="1077" t="s">
        <v>2797</v>
      </c>
      <c r="L375" s="1077" t="s">
        <v>2798</v>
      </c>
      <c r="M375" s="1077">
        <v>75</v>
      </c>
      <c r="N375" s="1077" t="s">
        <v>945</v>
      </c>
      <c r="O375" s="1077">
        <v>1.875</v>
      </c>
      <c r="P375" s="1077">
        <v>1.5</v>
      </c>
      <c r="Q375" s="1077" t="s">
        <v>2852</v>
      </c>
      <c r="R375" s="1077">
        <v>19.899999999999999</v>
      </c>
      <c r="T375" s="1077">
        <v>32</v>
      </c>
      <c r="U375" s="1077">
        <v>3.3</v>
      </c>
      <c r="V375" s="1077" t="s">
        <v>648</v>
      </c>
      <c r="W375" s="1077">
        <v>120</v>
      </c>
      <c r="X375" s="1077">
        <v>90</v>
      </c>
      <c r="Y375" s="1077">
        <v>1.9</v>
      </c>
      <c r="Z375" s="1077" t="s">
        <v>2853</v>
      </c>
      <c r="AA375" s="1077" t="s">
        <v>2854</v>
      </c>
      <c r="AH375" s="1077" t="s">
        <v>762</v>
      </c>
      <c r="AM375" s="1078" t="s">
        <v>9797</v>
      </c>
      <c r="AN375" s="1078" t="s">
        <v>9798</v>
      </c>
      <c r="AO375" s="1078" t="str">
        <f t="shared" si="46"/>
        <v>650↑700</v>
      </c>
      <c r="AP375" s="1078">
        <f t="shared" si="47"/>
        <v>1.78</v>
      </c>
      <c r="AQ375" s="1078" t="str">
        <f t="shared" si="48"/>
        <v>2-5-1S83°</v>
      </c>
      <c r="AR375" s="1078" t="str">
        <f t="shared" si="49"/>
        <v>30</v>
      </c>
      <c r="AS375" s="1078" t="str">
        <f t="shared" si="50"/>
        <v>191/OFF</v>
      </c>
      <c r="AT375" s="1078" t="str">
        <f t="shared" si="51"/>
        <v>2-5-1S83°</v>
      </c>
      <c r="AV375" s="1078" t="str">
        <f t="shared" si="44"/>
        <v>108.12.13</v>
      </c>
      <c r="AW375" s="1344">
        <f t="shared" si="45"/>
        <v>43812</v>
      </c>
    </row>
    <row r="376" spans="1:49">
      <c r="A376" s="1077" t="s">
        <v>2855</v>
      </c>
      <c r="B376" s="1077" t="s">
        <v>1823</v>
      </c>
      <c r="C376" s="1077">
        <v>500</v>
      </c>
      <c r="D376" s="1077">
        <v>1.756</v>
      </c>
      <c r="E376" s="1077" t="s">
        <v>15095</v>
      </c>
      <c r="F376" s="1077" t="s">
        <v>984</v>
      </c>
      <c r="G376" s="1077" t="s">
        <v>1016</v>
      </c>
      <c r="H376" s="1077" t="s">
        <v>1145</v>
      </c>
      <c r="I376" s="1077" t="s">
        <v>126</v>
      </c>
      <c r="J376" s="1077">
        <v>0.6</v>
      </c>
      <c r="K376" s="1077" t="s">
        <v>2856</v>
      </c>
      <c r="L376" s="1077" t="s">
        <v>1825</v>
      </c>
      <c r="M376" s="1077">
        <v>73.8</v>
      </c>
      <c r="N376" s="1077" t="s">
        <v>945</v>
      </c>
      <c r="O376" s="1077">
        <v>1.845</v>
      </c>
      <c r="P376" s="1077">
        <v>1.476</v>
      </c>
      <c r="Q376" s="1077" t="s">
        <v>2553</v>
      </c>
      <c r="R376" s="1077">
        <v>18.5</v>
      </c>
      <c r="T376" s="1077">
        <v>21</v>
      </c>
      <c r="U376" s="1077">
        <v>3.8</v>
      </c>
      <c r="V376" s="1077" t="s">
        <v>648</v>
      </c>
      <c r="W376" s="1077">
        <v>110</v>
      </c>
      <c r="X376" s="1077">
        <v>85</v>
      </c>
      <c r="Y376" s="1077">
        <v>1.9</v>
      </c>
      <c r="Z376" s="1077">
        <v>4</v>
      </c>
      <c r="AA376" s="1077" t="s">
        <v>1243</v>
      </c>
      <c r="AH376" s="1077" t="s">
        <v>619</v>
      </c>
      <c r="AM376" s="1078" t="s">
        <v>9799</v>
      </c>
      <c r="AN376" s="1078" t="s">
        <v>9800</v>
      </c>
      <c r="AO376" s="1078">
        <f t="shared" si="46"/>
        <v>500</v>
      </c>
      <c r="AP376" s="1078">
        <f t="shared" si="47"/>
        <v>1.756</v>
      </c>
      <c r="AQ376" s="1078" t="str">
        <f t="shared" si="48"/>
        <v>1-5-1S83°</v>
      </c>
      <c r="AR376" s="1078" t="str">
        <f t="shared" si="49"/>
        <v>30</v>
      </c>
      <c r="AS376" s="1078" t="str">
        <f t="shared" si="50"/>
        <v>235/235/OFF</v>
      </c>
      <c r="AT376" s="1078" t="str">
        <f t="shared" si="51"/>
        <v>1-5-1S83°</v>
      </c>
      <c r="AV376" s="1078" t="str">
        <f t="shared" si="44"/>
        <v>108.12.23</v>
      </c>
      <c r="AW376" s="1344">
        <f t="shared" si="45"/>
        <v>43822</v>
      </c>
    </row>
    <row r="377" spans="1:49">
      <c r="A377" s="1077" t="s">
        <v>2857</v>
      </c>
      <c r="B377" s="1077" t="s">
        <v>1792</v>
      </c>
      <c r="C377" s="1077">
        <v>600</v>
      </c>
      <c r="D377" s="1077">
        <v>1.78</v>
      </c>
      <c r="E377" s="1077" t="s">
        <v>15092</v>
      </c>
      <c r="F377" s="1077" t="s">
        <v>954</v>
      </c>
      <c r="G377" s="1077" t="s">
        <v>1767</v>
      </c>
      <c r="H377" s="1077" t="s">
        <v>2130</v>
      </c>
      <c r="I377" s="1077" t="s">
        <v>126</v>
      </c>
      <c r="J377" s="1077">
        <v>1.6</v>
      </c>
      <c r="K377" s="1077" t="s">
        <v>2858</v>
      </c>
      <c r="L377" s="1077" t="s">
        <v>1795</v>
      </c>
      <c r="M377" s="1077">
        <v>75</v>
      </c>
      <c r="N377" s="1077" t="s">
        <v>945</v>
      </c>
      <c r="O377" s="1077">
        <v>1.875</v>
      </c>
      <c r="P377" s="1077">
        <v>1.5</v>
      </c>
      <c r="Q377" s="1077" t="s">
        <v>946</v>
      </c>
      <c r="R377" s="1077">
        <v>21.6</v>
      </c>
      <c r="T377" s="1077">
        <v>18</v>
      </c>
      <c r="U377" s="1077">
        <v>2.5</v>
      </c>
      <c r="V377" s="1077" t="s">
        <v>648</v>
      </c>
      <c r="W377" s="1077">
        <v>110</v>
      </c>
      <c r="X377" s="1077">
        <v>80</v>
      </c>
      <c r="Y377" s="1077">
        <v>1.5</v>
      </c>
      <c r="Z377" s="1077">
        <v>3.5</v>
      </c>
      <c r="AA377" s="1077" t="s">
        <v>2859</v>
      </c>
      <c r="AH377" s="1077" t="s">
        <v>1244</v>
      </c>
      <c r="AM377" s="1078" t="s">
        <v>9801</v>
      </c>
      <c r="AN377" s="1078" t="s">
        <v>9802</v>
      </c>
      <c r="AO377" s="1078">
        <f t="shared" si="46"/>
        <v>600</v>
      </c>
      <c r="AP377" s="1078">
        <f t="shared" si="47"/>
        <v>1.78</v>
      </c>
      <c r="AQ377" s="1078" t="str">
        <f t="shared" si="48"/>
        <v>1-4-1S83°S撚</v>
      </c>
      <c r="AR377" s="1078" t="str">
        <f t="shared" si="49"/>
        <v>31</v>
      </c>
      <c r="AS377" s="1078" t="str">
        <f t="shared" si="50"/>
        <v>270/270/150</v>
      </c>
      <c r="AT377" s="1078" t="str">
        <f t="shared" si="51"/>
        <v>1-4-1S83°S撚</v>
      </c>
      <c r="AU377" s="1078" t="s">
        <v>15545</v>
      </c>
      <c r="AV377" s="1078" t="str">
        <f t="shared" si="44"/>
        <v>108.12.16</v>
      </c>
      <c r="AW377" s="1344">
        <f t="shared" si="45"/>
        <v>43815</v>
      </c>
    </row>
    <row r="378" spans="1:49">
      <c r="A378" s="1077" t="s">
        <v>2860</v>
      </c>
      <c r="B378" s="1077" t="s">
        <v>472</v>
      </c>
      <c r="C378" s="1077">
        <v>550</v>
      </c>
      <c r="D378" s="1077">
        <v>1.67</v>
      </c>
      <c r="E378" s="1077" t="s">
        <v>15089</v>
      </c>
      <c r="F378" s="1077" t="s">
        <v>984</v>
      </c>
      <c r="G378" s="1077" t="s">
        <v>1767</v>
      </c>
      <c r="H378" s="1077" t="s">
        <v>1327</v>
      </c>
      <c r="I378" s="1077" t="s">
        <v>126</v>
      </c>
      <c r="J378" s="1077">
        <v>0.6</v>
      </c>
      <c r="K378" s="1077" t="s">
        <v>2861</v>
      </c>
      <c r="L378" s="1077" t="s">
        <v>1811</v>
      </c>
      <c r="M378" s="1077">
        <v>74.599999999999994</v>
      </c>
      <c r="N378" s="1077" t="s">
        <v>945</v>
      </c>
      <c r="O378" s="1077">
        <v>1.865</v>
      </c>
      <c r="P378" s="1077">
        <v>1.492</v>
      </c>
      <c r="Q378" s="1077" t="s">
        <v>2782</v>
      </c>
      <c r="R378" s="1077">
        <v>23.5</v>
      </c>
      <c r="T378" s="1077">
        <v>12.5</v>
      </c>
      <c r="U378" s="1077">
        <v>5.0999999999999996</v>
      </c>
      <c r="V378" s="1077" t="s">
        <v>648</v>
      </c>
      <c r="W378" s="1077" t="s">
        <v>2532</v>
      </c>
      <c r="X378" s="1077">
        <v>60</v>
      </c>
      <c r="Y378" s="1077">
        <v>1.8</v>
      </c>
      <c r="Z378" s="1077">
        <v>4.5</v>
      </c>
      <c r="AA378" s="1077" t="s">
        <v>2859</v>
      </c>
      <c r="AH378" s="1077" t="s">
        <v>813</v>
      </c>
      <c r="AM378" s="1078" t="s">
        <v>9803</v>
      </c>
      <c r="AN378" s="1078" t="s">
        <v>9804</v>
      </c>
      <c r="AO378" s="1078">
        <f t="shared" si="46"/>
        <v>550</v>
      </c>
      <c r="AP378" s="1078">
        <f t="shared" si="47"/>
        <v>1.67</v>
      </c>
      <c r="AQ378" s="1078" t="str">
        <f t="shared" si="48"/>
        <v>1-4-1S83°</v>
      </c>
      <c r="AR378" s="1078" t="str">
        <f t="shared" si="49"/>
        <v>30</v>
      </c>
      <c r="AS378" s="1078" t="str">
        <f t="shared" si="50"/>
        <v>232/232/OFF</v>
      </c>
      <c r="AT378" s="1078" t="str">
        <f t="shared" si="51"/>
        <v>1-4-1S83°</v>
      </c>
      <c r="AV378" s="1078" t="str">
        <f t="shared" si="44"/>
        <v>108.12.16</v>
      </c>
      <c r="AW378" s="1344">
        <f t="shared" si="45"/>
        <v>43815</v>
      </c>
    </row>
    <row r="379" spans="1:49">
      <c r="A379" s="1077" t="s">
        <v>2862</v>
      </c>
      <c r="B379" s="1077" t="s">
        <v>1783</v>
      </c>
      <c r="C379" s="1077">
        <v>620</v>
      </c>
      <c r="D379" s="1077">
        <v>1.7</v>
      </c>
      <c r="E379" s="1077" t="s">
        <v>15095</v>
      </c>
      <c r="F379" s="1077" t="s">
        <v>984</v>
      </c>
      <c r="G379" s="1077" t="s">
        <v>2592</v>
      </c>
      <c r="H379" s="1077" t="s">
        <v>1029</v>
      </c>
      <c r="I379" s="1077" t="s">
        <v>126</v>
      </c>
      <c r="J379" s="1077">
        <v>0.25</v>
      </c>
      <c r="K379" s="1077" t="s">
        <v>2847</v>
      </c>
      <c r="L379" s="1077" t="s">
        <v>2590</v>
      </c>
      <c r="M379" s="1077">
        <v>76.099999999999994</v>
      </c>
      <c r="N379" s="1077" t="s">
        <v>945</v>
      </c>
      <c r="O379" s="1077">
        <v>1.9024999999999999</v>
      </c>
      <c r="P379" s="1077">
        <v>1.522</v>
      </c>
      <c r="Q379" s="1077" t="s">
        <v>1321</v>
      </c>
      <c r="R379" s="1077">
        <v>19</v>
      </c>
      <c r="T379" s="1077">
        <v>13</v>
      </c>
      <c r="U379" s="1077">
        <v>4</v>
      </c>
      <c r="V379" s="1077" t="s">
        <v>648</v>
      </c>
      <c r="W379" s="1077" t="s">
        <v>2594</v>
      </c>
      <c r="X379" s="1077">
        <v>10</v>
      </c>
      <c r="Y379" s="1077">
        <v>2.5</v>
      </c>
      <c r="Z379" s="1077">
        <v>2</v>
      </c>
      <c r="AA379" s="1077" t="s">
        <v>2859</v>
      </c>
      <c r="AH379" s="1077" t="s">
        <v>619</v>
      </c>
      <c r="AM379" s="1078" t="s">
        <v>9805</v>
      </c>
      <c r="AN379" s="1078" t="s">
        <v>9806</v>
      </c>
      <c r="AO379" s="1078">
        <f t="shared" si="46"/>
        <v>620</v>
      </c>
      <c r="AP379" s="1078">
        <f t="shared" si="47"/>
        <v>1.7</v>
      </c>
      <c r="AQ379" s="1078" t="str">
        <f t="shared" si="48"/>
        <v>1-5-1S83°</v>
      </c>
      <c r="AR379" s="1078" t="str">
        <f t="shared" si="49"/>
        <v>30</v>
      </c>
      <c r="AS379" s="1078" t="str">
        <f t="shared" si="50"/>
        <v>250/250/OFF</v>
      </c>
      <c r="AT379" s="1078" t="str">
        <f t="shared" si="51"/>
        <v>1-5-1S83°</v>
      </c>
      <c r="AV379" s="1078" t="str">
        <f t="shared" si="44"/>
        <v>108.12.16</v>
      </c>
      <c r="AW379" s="1344">
        <f t="shared" si="45"/>
        <v>43815</v>
      </c>
    </row>
    <row r="380" spans="1:49">
      <c r="A380" s="1077" t="s">
        <v>2863</v>
      </c>
      <c r="B380" s="1077" t="s">
        <v>424</v>
      </c>
      <c r="C380" s="1077">
        <v>680</v>
      </c>
      <c r="D380" s="1077">
        <v>1.7649999999999999</v>
      </c>
      <c r="E380" s="1077" t="s">
        <v>15091</v>
      </c>
      <c r="F380" s="1077" t="s">
        <v>954</v>
      </c>
      <c r="G380" s="1077" t="s">
        <v>1767</v>
      </c>
      <c r="H380" s="1077" t="s">
        <v>2763</v>
      </c>
      <c r="I380" s="1077" t="s">
        <v>648</v>
      </c>
      <c r="J380" s="1077">
        <v>0</v>
      </c>
      <c r="K380" s="1077" t="s">
        <v>2864</v>
      </c>
      <c r="L380" s="1077" t="s">
        <v>2390</v>
      </c>
      <c r="M380" s="1077">
        <v>75</v>
      </c>
      <c r="N380" s="1077" t="s">
        <v>945</v>
      </c>
      <c r="O380" s="1077">
        <v>1.875</v>
      </c>
      <c r="P380" s="1077">
        <v>1.5</v>
      </c>
      <c r="Q380" s="1077" t="s">
        <v>956</v>
      </c>
      <c r="R380" s="1077">
        <v>23.5</v>
      </c>
      <c r="T380" s="1077">
        <v>20.5</v>
      </c>
      <c r="U380" s="1077">
        <v>1.5</v>
      </c>
      <c r="V380" s="1077" t="s">
        <v>648</v>
      </c>
      <c r="W380" s="1077" t="s">
        <v>648</v>
      </c>
      <c r="X380" s="1077" t="s">
        <v>648</v>
      </c>
      <c r="Y380" s="1077">
        <v>1.5</v>
      </c>
      <c r="Z380" s="1077" t="s">
        <v>2865</v>
      </c>
      <c r="AA380" s="1077" t="s">
        <v>2866</v>
      </c>
      <c r="AH380" s="1077" t="s">
        <v>1053</v>
      </c>
      <c r="AM380" s="1078" t="s">
        <v>9807</v>
      </c>
      <c r="AN380" s="1078" t="s">
        <v>9808</v>
      </c>
      <c r="AO380" s="1078">
        <f t="shared" si="46"/>
        <v>680</v>
      </c>
      <c r="AP380" s="1078">
        <f t="shared" si="47"/>
        <v>1.7649999999999999</v>
      </c>
      <c r="AQ380" s="1078" t="str">
        <f t="shared" si="48"/>
        <v>2-5-1S83°</v>
      </c>
      <c r="AR380" s="1078" t="str">
        <f t="shared" si="49"/>
        <v>31</v>
      </c>
      <c r="AS380" s="1078" t="str">
        <f t="shared" si="50"/>
        <v>182/161</v>
      </c>
      <c r="AT380" s="1078" t="str">
        <f t="shared" si="51"/>
        <v>2-5-1S83°</v>
      </c>
      <c r="AV380" s="1078" t="str">
        <f t="shared" si="44"/>
        <v>108.12.18</v>
      </c>
      <c r="AW380" s="1344">
        <f t="shared" si="45"/>
        <v>43817</v>
      </c>
    </row>
    <row r="381" spans="1:49">
      <c r="A381" s="1077" t="s">
        <v>2867</v>
      </c>
      <c r="B381" s="1077" t="s">
        <v>1792</v>
      </c>
      <c r="C381" s="1077">
        <v>600</v>
      </c>
      <c r="D381" s="1077">
        <v>1.78</v>
      </c>
      <c r="E381" s="1077" t="s">
        <v>15089</v>
      </c>
      <c r="F381" s="1077" t="s">
        <v>954</v>
      </c>
      <c r="G381" s="1077" t="s">
        <v>1767</v>
      </c>
      <c r="H381" s="1077" t="s">
        <v>1793</v>
      </c>
      <c r="I381" s="1077" t="s">
        <v>126</v>
      </c>
      <c r="J381" s="1077">
        <v>1.6</v>
      </c>
      <c r="K381" s="1077" t="s">
        <v>2858</v>
      </c>
      <c r="L381" s="1077" t="s">
        <v>1795</v>
      </c>
      <c r="M381" s="1077">
        <v>75</v>
      </c>
      <c r="N381" s="1077" t="s">
        <v>945</v>
      </c>
      <c r="O381" s="1077">
        <v>1.875</v>
      </c>
      <c r="P381" s="1077">
        <v>1.5</v>
      </c>
      <c r="Q381" s="1077" t="s">
        <v>956</v>
      </c>
      <c r="R381" s="1077">
        <v>21.6</v>
      </c>
      <c r="T381" s="1077">
        <v>32</v>
      </c>
      <c r="U381" s="1077">
        <v>3.7</v>
      </c>
      <c r="V381" s="1077" t="s">
        <v>648</v>
      </c>
      <c r="W381" s="1077">
        <v>110</v>
      </c>
      <c r="X381" s="1077">
        <v>60</v>
      </c>
      <c r="Y381" s="1077">
        <v>1.5</v>
      </c>
      <c r="Z381" s="1077">
        <v>5.5</v>
      </c>
      <c r="AA381" s="1077" t="s">
        <v>2868</v>
      </c>
      <c r="AH381" s="1077" t="s">
        <v>466</v>
      </c>
      <c r="AM381" s="1078" t="s">
        <v>9809</v>
      </c>
      <c r="AN381" s="1078" t="s">
        <v>9810</v>
      </c>
      <c r="AO381" s="1078">
        <f t="shared" si="46"/>
        <v>600</v>
      </c>
      <c r="AP381" s="1078">
        <f t="shared" si="47"/>
        <v>1.78</v>
      </c>
      <c r="AQ381" s="1078" t="str">
        <f t="shared" si="48"/>
        <v>1-4-1S83°</v>
      </c>
      <c r="AR381" s="1078" t="str">
        <f t="shared" si="49"/>
        <v>31</v>
      </c>
      <c r="AS381" s="1078" t="str">
        <f t="shared" si="50"/>
        <v>270/270/OFF</v>
      </c>
      <c r="AT381" s="1078" t="str">
        <f t="shared" si="51"/>
        <v>1-4-1S83°</v>
      </c>
      <c r="AV381" s="1078" t="str">
        <f t="shared" si="44"/>
        <v>108.12.20</v>
      </c>
      <c r="AW381" s="1344">
        <f t="shared" si="45"/>
        <v>43819</v>
      </c>
    </row>
    <row r="382" spans="1:49">
      <c r="A382" s="1077" t="s">
        <v>2869</v>
      </c>
      <c r="B382" s="1077" t="s">
        <v>2870</v>
      </c>
      <c r="C382" s="1077">
        <v>600</v>
      </c>
      <c r="D382" s="1077">
        <v>1.74</v>
      </c>
      <c r="E382" s="1077" t="s">
        <v>15091</v>
      </c>
      <c r="F382" s="1077" t="s">
        <v>984</v>
      </c>
      <c r="G382" s="1077" t="s">
        <v>1016</v>
      </c>
      <c r="H382" s="1077" t="s">
        <v>2192</v>
      </c>
      <c r="I382" s="1077" t="s">
        <v>1112</v>
      </c>
      <c r="J382" s="1077">
        <v>0.9</v>
      </c>
      <c r="K382" s="1077" t="s">
        <v>2871</v>
      </c>
      <c r="L382" s="1077" t="s">
        <v>2872</v>
      </c>
      <c r="M382" s="1077">
        <v>75.5</v>
      </c>
      <c r="N382" s="1077" t="s">
        <v>945</v>
      </c>
      <c r="O382" s="1077">
        <v>1.8875000000000002</v>
      </c>
      <c r="P382" s="1077">
        <v>1.51</v>
      </c>
      <c r="Q382" s="1077" t="s">
        <v>1297</v>
      </c>
      <c r="R382" s="1077">
        <v>22</v>
      </c>
      <c r="T382" s="1077">
        <v>20</v>
      </c>
      <c r="U382" s="1077">
        <v>3.8</v>
      </c>
      <c r="V382" s="1077" t="s">
        <v>648</v>
      </c>
      <c r="W382" s="1077">
        <v>105</v>
      </c>
      <c r="X382" s="1077">
        <v>80</v>
      </c>
      <c r="Y382" s="1077">
        <v>2</v>
      </c>
      <c r="Z382" s="1077" t="s">
        <v>2873</v>
      </c>
      <c r="AA382" s="1077" t="s">
        <v>1251</v>
      </c>
      <c r="AH382" s="1077" t="s">
        <v>646</v>
      </c>
      <c r="AM382" s="1078" t="s">
        <v>9811</v>
      </c>
      <c r="AN382" s="1078" t="s">
        <v>9336</v>
      </c>
      <c r="AO382" s="1078">
        <f t="shared" si="46"/>
        <v>600</v>
      </c>
      <c r="AP382" s="1078">
        <f t="shared" si="47"/>
        <v>1.74</v>
      </c>
      <c r="AQ382" s="1078" t="str">
        <f t="shared" si="48"/>
        <v>2-5-1S83°</v>
      </c>
      <c r="AR382" s="1078" t="str">
        <f t="shared" si="49"/>
        <v>30</v>
      </c>
      <c r="AS382" s="1078" t="str">
        <f t="shared" si="50"/>
        <v>180/OFF</v>
      </c>
      <c r="AT382" s="1078" t="str">
        <f t="shared" si="51"/>
        <v>2-5-1S83°</v>
      </c>
      <c r="AV382" s="1078" t="str">
        <f t="shared" si="44"/>
        <v>108.12.24</v>
      </c>
      <c r="AW382" s="1344">
        <f t="shared" si="45"/>
        <v>43823</v>
      </c>
    </row>
    <row r="383" spans="1:49">
      <c r="A383" s="1077" t="s">
        <v>2874</v>
      </c>
      <c r="B383" s="1077" t="s">
        <v>2875</v>
      </c>
      <c r="C383" s="1077">
        <v>650</v>
      </c>
      <c r="D383" s="1077">
        <v>1.76</v>
      </c>
      <c r="E383" s="1077" t="s">
        <v>15089</v>
      </c>
      <c r="F383" s="1077" t="s">
        <v>954</v>
      </c>
      <c r="G383" s="1077" t="s">
        <v>1016</v>
      </c>
      <c r="H383" s="1077" t="s">
        <v>2876</v>
      </c>
      <c r="I383" s="1077" t="s">
        <v>126</v>
      </c>
      <c r="J383" s="1077">
        <v>0.9</v>
      </c>
      <c r="K383" s="1077" t="s">
        <v>2877</v>
      </c>
      <c r="L383" s="1077" t="s">
        <v>2878</v>
      </c>
      <c r="M383" s="1077">
        <v>75.5</v>
      </c>
      <c r="N383" s="1077" t="s">
        <v>945</v>
      </c>
      <c r="O383" s="1077">
        <v>1.8875000000000002</v>
      </c>
      <c r="P383" s="1077">
        <v>1.51</v>
      </c>
      <c r="Q383" s="1077" t="s">
        <v>2553</v>
      </c>
      <c r="R383" s="1077">
        <v>22</v>
      </c>
      <c r="T383" s="1077">
        <v>20</v>
      </c>
      <c r="U383" s="1077">
        <v>3.8</v>
      </c>
      <c r="V383" s="1077" t="s">
        <v>648</v>
      </c>
      <c r="W383" s="1077">
        <v>105</v>
      </c>
      <c r="X383" s="1077">
        <v>80</v>
      </c>
      <c r="Y383" s="1077">
        <v>2</v>
      </c>
      <c r="Z383" s="1077" t="s">
        <v>2879</v>
      </c>
      <c r="AA383" s="1077" t="s">
        <v>1251</v>
      </c>
      <c r="AH383" s="1077" t="s">
        <v>722</v>
      </c>
      <c r="AM383" s="1078" t="s">
        <v>9812</v>
      </c>
      <c r="AN383" s="1078" t="s">
        <v>9813</v>
      </c>
      <c r="AO383" s="1078">
        <f t="shared" si="46"/>
        <v>650</v>
      </c>
      <c r="AP383" s="1078">
        <f t="shared" si="47"/>
        <v>1.76</v>
      </c>
      <c r="AQ383" s="1078" t="str">
        <f t="shared" si="48"/>
        <v>1-4-1S83°</v>
      </c>
      <c r="AR383" s="1078" t="str">
        <f t="shared" si="49"/>
        <v>31</v>
      </c>
      <c r="AS383" s="1078" t="str">
        <f t="shared" si="50"/>
        <v>290/290/OFF</v>
      </c>
      <c r="AT383" s="1078" t="str">
        <f t="shared" si="51"/>
        <v>1-4-1S83°</v>
      </c>
      <c r="AV383" s="1078" t="str">
        <f t="shared" si="44"/>
        <v>108.12.24</v>
      </c>
      <c r="AW383" s="1344">
        <f t="shared" si="45"/>
        <v>43823</v>
      </c>
    </row>
    <row r="384" spans="1:49">
      <c r="A384" s="1077" t="s">
        <v>2880</v>
      </c>
      <c r="B384" s="1077" t="s">
        <v>2881</v>
      </c>
      <c r="C384" s="1077">
        <v>620</v>
      </c>
      <c r="D384" s="1077">
        <v>1.7</v>
      </c>
      <c r="E384" s="1077" t="s">
        <v>15095</v>
      </c>
      <c r="F384" s="1077" t="s">
        <v>1119</v>
      </c>
      <c r="G384" s="1077" t="s">
        <v>1767</v>
      </c>
      <c r="H384" s="1077" t="s">
        <v>2480</v>
      </c>
      <c r="I384" s="1077" t="s">
        <v>126</v>
      </c>
      <c r="J384" s="1077">
        <v>0.6</v>
      </c>
      <c r="K384" s="1077" t="s">
        <v>2585</v>
      </c>
      <c r="L384" s="1077" t="s">
        <v>2586</v>
      </c>
      <c r="M384" s="1077">
        <v>76.599999999999994</v>
      </c>
      <c r="N384" s="1077" t="s">
        <v>945</v>
      </c>
      <c r="O384" s="1077">
        <v>1.915</v>
      </c>
      <c r="P384" s="1077">
        <v>1.532</v>
      </c>
      <c r="Q384" s="1077" t="s">
        <v>961</v>
      </c>
      <c r="R384" s="1077">
        <v>21</v>
      </c>
      <c r="T384" s="1077">
        <v>11.5</v>
      </c>
      <c r="U384" s="1077">
        <v>3.9</v>
      </c>
      <c r="V384" s="1077" t="s">
        <v>648</v>
      </c>
      <c r="W384" s="1077">
        <v>120</v>
      </c>
      <c r="X384" s="1077">
        <v>80</v>
      </c>
      <c r="Y384" s="1077">
        <v>1.8</v>
      </c>
      <c r="Z384" s="1077">
        <v>2.5</v>
      </c>
      <c r="AA384" s="1077" t="s">
        <v>2882</v>
      </c>
      <c r="AH384" s="1077" t="s">
        <v>762</v>
      </c>
      <c r="AM384" s="1078" t="s">
        <v>9814</v>
      </c>
      <c r="AN384" s="1078" t="s">
        <v>9815</v>
      </c>
      <c r="AO384" s="1078">
        <f t="shared" si="46"/>
        <v>620</v>
      </c>
      <c r="AP384" s="1078">
        <f t="shared" si="47"/>
        <v>1.7</v>
      </c>
      <c r="AQ384" s="1078" t="str">
        <f t="shared" si="48"/>
        <v>1-5-1S83°</v>
      </c>
      <c r="AR384" s="1078" t="str">
        <f t="shared" si="49"/>
        <v>29</v>
      </c>
      <c r="AS384" s="1078" t="str">
        <f t="shared" si="50"/>
        <v>251/251/OFF</v>
      </c>
      <c r="AT384" s="1078" t="str">
        <f t="shared" si="51"/>
        <v>1-5-1S83°</v>
      </c>
      <c r="AV384" s="1078" t="str">
        <f t="shared" si="44"/>
        <v>108.1.7</v>
      </c>
      <c r="AW384" s="1344">
        <f t="shared" si="45"/>
        <v>43472</v>
      </c>
    </row>
    <row r="385" spans="1:49">
      <c r="A385" s="1077" t="s">
        <v>2883</v>
      </c>
      <c r="B385" s="1077" t="s">
        <v>2567</v>
      </c>
      <c r="C385" s="1077">
        <v>500</v>
      </c>
      <c r="D385" s="1077">
        <v>1.6850000000000001</v>
      </c>
      <c r="E385" s="1077" t="s">
        <v>2568</v>
      </c>
      <c r="F385" s="1077" t="s">
        <v>2884</v>
      </c>
      <c r="G385" s="1077">
        <v>4.5</v>
      </c>
      <c r="H385" s="1077" t="s">
        <v>2885</v>
      </c>
      <c r="I385" s="1077" t="s">
        <v>126</v>
      </c>
      <c r="J385" s="1077">
        <v>0.7</v>
      </c>
      <c r="K385" s="1077" t="s">
        <v>2886</v>
      </c>
      <c r="L385" s="1077" t="s">
        <v>2104</v>
      </c>
      <c r="M385" s="1077">
        <v>76.400000000000006</v>
      </c>
      <c r="N385" s="1077" t="s">
        <v>945</v>
      </c>
      <c r="O385" s="1077">
        <v>1.9100000000000001</v>
      </c>
      <c r="P385" s="1077">
        <v>1.5280000000000002</v>
      </c>
      <c r="Q385" s="1077" t="s">
        <v>1249</v>
      </c>
      <c r="R385" s="1077">
        <v>20</v>
      </c>
      <c r="T385" s="1077">
        <v>30</v>
      </c>
      <c r="U385" s="1077">
        <v>3.4</v>
      </c>
      <c r="V385" s="1077" t="s">
        <v>648</v>
      </c>
      <c r="W385" s="1077">
        <v>120</v>
      </c>
      <c r="X385" s="1077">
        <v>80</v>
      </c>
      <c r="Y385" s="1077">
        <v>2.4</v>
      </c>
      <c r="Z385" s="1077">
        <v>4.5</v>
      </c>
      <c r="AA385" s="1077" t="s">
        <v>947</v>
      </c>
      <c r="AH385" s="1077" t="s">
        <v>1643</v>
      </c>
      <c r="AM385" s="1078" t="s">
        <v>9816</v>
      </c>
      <c r="AN385" s="1078" t="s">
        <v>9817</v>
      </c>
      <c r="AO385" s="1078">
        <f t="shared" si="46"/>
        <v>500</v>
      </c>
      <c r="AP385" s="1078">
        <f t="shared" si="47"/>
        <v>1.6850000000000001</v>
      </c>
      <c r="AQ385" s="1078" t="str">
        <f t="shared" si="48"/>
        <v>120°</v>
      </c>
      <c r="AR385" s="1078" t="str">
        <f t="shared" si="49"/>
        <v>14.9</v>
      </c>
      <c r="AS385" s="1078" t="str">
        <f t="shared" si="50"/>
        <v>335/335/OFF</v>
      </c>
      <c r="AT385" s="1078" t="str">
        <f t="shared" si="51"/>
        <v>120°</v>
      </c>
      <c r="AV385" s="1078" t="str">
        <f t="shared" si="44"/>
        <v>108.12.27</v>
      </c>
      <c r="AW385" s="1344">
        <f t="shared" si="45"/>
        <v>43826</v>
      </c>
    </row>
    <row r="386" spans="1:49">
      <c r="A386" s="1077" t="s">
        <v>2887</v>
      </c>
      <c r="B386" s="1077" t="s">
        <v>2888</v>
      </c>
      <c r="C386" s="1077">
        <v>600</v>
      </c>
      <c r="D386" s="1077">
        <v>1.68</v>
      </c>
      <c r="E386" s="1077" t="s">
        <v>15089</v>
      </c>
      <c r="F386" s="1077" t="s">
        <v>1773</v>
      </c>
      <c r="G386" s="1077" t="s">
        <v>1016</v>
      </c>
      <c r="H386" s="1077" t="s">
        <v>1836</v>
      </c>
      <c r="I386" s="1077" t="s">
        <v>126</v>
      </c>
      <c r="J386" s="1077">
        <v>0.8</v>
      </c>
      <c r="K386" s="1077" t="s">
        <v>2889</v>
      </c>
      <c r="L386" s="1077" t="s">
        <v>2890</v>
      </c>
      <c r="M386" s="1077">
        <v>75.8</v>
      </c>
      <c r="N386" s="1077" t="s">
        <v>945</v>
      </c>
      <c r="O386" s="1077">
        <v>1.895</v>
      </c>
      <c r="P386" s="1077">
        <v>1.516</v>
      </c>
      <c r="Q386" s="1077" t="s">
        <v>988</v>
      </c>
      <c r="R386" s="1077">
        <v>23.6</v>
      </c>
      <c r="T386" s="1077">
        <v>19.2</v>
      </c>
      <c r="U386" s="1077">
        <v>4.0999999999999996</v>
      </c>
      <c r="V386" s="1077" t="s">
        <v>648</v>
      </c>
      <c r="W386" s="1077">
        <v>110</v>
      </c>
      <c r="X386" s="1077">
        <v>80</v>
      </c>
      <c r="Y386" s="1077">
        <v>2.4</v>
      </c>
      <c r="Z386" s="1077">
        <v>4.5</v>
      </c>
      <c r="AA386" s="1077" t="s">
        <v>1261</v>
      </c>
      <c r="AH386" s="1077" t="s">
        <v>1143</v>
      </c>
      <c r="AM386" s="1078" t="s">
        <v>9818</v>
      </c>
      <c r="AN386" s="1078" t="s">
        <v>9819</v>
      </c>
      <c r="AO386" s="1078">
        <f t="shared" si="46"/>
        <v>600</v>
      </c>
      <c r="AP386" s="1078">
        <f t="shared" si="47"/>
        <v>1.68</v>
      </c>
      <c r="AQ386" s="1078" t="str">
        <f t="shared" si="48"/>
        <v>1-4-1S83°</v>
      </c>
      <c r="AR386" s="1078" t="str">
        <f t="shared" si="49"/>
        <v>30.2</v>
      </c>
      <c r="AS386" s="1078" t="str">
        <f t="shared" si="50"/>
        <v>247/247/OFF</v>
      </c>
      <c r="AT386" s="1078" t="str">
        <f t="shared" si="51"/>
        <v>1-4-1S83°</v>
      </c>
      <c r="AV386" s="1078" t="str">
        <f t="shared" ref="AV386:AV449" si="52">AA386</f>
        <v>108.12.31</v>
      </c>
      <c r="AW386" s="1344">
        <f t="shared" si="45"/>
        <v>43830</v>
      </c>
    </row>
    <row r="387" spans="1:49">
      <c r="A387" s="1077" t="s">
        <v>2891</v>
      </c>
      <c r="B387" s="1077" t="s">
        <v>850</v>
      </c>
      <c r="C387" s="1077">
        <v>550</v>
      </c>
      <c r="D387" s="1077">
        <v>1.7350000000000001</v>
      </c>
      <c r="E387" s="1077" t="s">
        <v>15095</v>
      </c>
      <c r="F387" s="1077" t="s">
        <v>984</v>
      </c>
      <c r="G387" s="1077" t="s">
        <v>940</v>
      </c>
      <c r="H387" s="1077" t="s">
        <v>1017</v>
      </c>
      <c r="I387" s="1077" t="s">
        <v>626</v>
      </c>
      <c r="J387" s="1077">
        <v>1</v>
      </c>
      <c r="K387" s="1077" t="s">
        <v>2892</v>
      </c>
      <c r="L387" s="1077" t="s">
        <v>1763</v>
      </c>
      <c r="M387" s="1077">
        <v>79</v>
      </c>
      <c r="N387" s="1077" t="s">
        <v>945</v>
      </c>
      <c r="O387" s="1077">
        <v>1.9750000000000001</v>
      </c>
      <c r="P387" s="1077">
        <v>1.58</v>
      </c>
      <c r="Q387" s="1077" t="s">
        <v>1369</v>
      </c>
      <c r="R387" s="1077">
        <v>25</v>
      </c>
      <c r="T387" s="1077">
        <v>9.6</v>
      </c>
      <c r="U387" s="1077">
        <v>6.8</v>
      </c>
      <c r="V387" s="1077" t="s">
        <v>648</v>
      </c>
      <c r="W387" s="1077">
        <v>135</v>
      </c>
      <c r="X387" s="1077">
        <v>65</v>
      </c>
      <c r="Y387" s="1077">
        <v>1.4</v>
      </c>
      <c r="Z387" s="1077">
        <v>4</v>
      </c>
      <c r="AA387" s="1077" t="s">
        <v>2893</v>
      </c>
      <c r="AH387" s="1077" t="s">
        <v>1238</v>
      </c>
      <c r="AM387" s="1078" t="s">
        <v>9820</v>
      </c>
      <c r="AN387" s="1078" t="s">
        <v>9821</v>
      </c>
      <c r="AO387" s="1078">
        <f t="shared" si="46"/>
        <v>550</v>
      </c>
      <c r="AP387" s="1078">
        <f t="shared" si="47"/>
        <v>1.7350000000000001</v>
      </c>
      <c r="AQ387" s="1078" t="str">
        <f t="shared" si="48"/>
        <v>1-5-1S83°</v>
      </c>
      <c r="AR387" s="1078" t="str">
        <f t="shared" si="49"/>
        <v>30</v>
      </c>
      <c r="AS387" s="1078" t="str">
        <f t="shared" si="50"/>
        <v>200/200/OFF</v>
      </c>
      <c r="AT387" s="1078" t="str">
        <f t="shared" si="51"/>
        <v>1-5-1S83°</v>
      </c>
      <c r="AV387" s="1078" t="str">
        <f t="shared" si="52"/>
        <v>109.1.16</v>
      </c>
      <c r="AW387" s="1344">
        <f t="shared" ref="AW387:AW450" si="53">DATE(VALUE(LEFT(AV387,FIND(".",AV387)-1))+1911,
       VALUE(MID(AV387,FIND(".",AV387)+1,FIND(".",AV387,FIND(".",AV387)+1)-FIND(".",AV387)-1)),
       VALUE(RIGHT(AV387,LEN(AV387)-FIND("~",SUBSTITUTE(AV387,".","~",2)))))</f>
        <v>43846</v>
      </c>
    </row>
    <row r="388" spans="1:49">
      <c r="A388" s="1077" t="s">
        <v>2894</v>
      </c>
      <c r="B388" s="1077" t="s">
        <v>1823</v>
      </c>
      <c r="C388" s="1077">
        <v>500</v>
      </c>
      <c r="D388" s="1077">
        <v>1.74</v>
      </c>
      <c r="E388" s="1077" t="s">
        <v>15095</v>
      </c>
      <c r="F388" s="1077" t="s">
        <v>984</v>
      </c>
      <c r="G388" s="1077" t="s">
        <v>1016</v>
      </c>
      <c r="H388" s="1077" t="s">
        <v>1145</v>
      </c>
      <c r="I388" s="1077" t="s">
        <v>126</v>
      </c>
      <c r="J388" s="1077">
        <v>0.6</v>
      </c>
      <c r="K388" s="1077" t="s">
        <v>2895</v>
      </c>
      <c r="L388" s="1077" t="s">
        <v>1825</v>
      </c>
      <c r="M388" s="1077">
        <v>73.8</v>
      </c>
      <c r="N388" s="1077" t="s">
        <v>945</v>
      </c>
      <c r="O388" s="1077">
        <v>1.845</v>
      </c>
      <c r="P388" s="1077">
        <v>1.476</v>
      </c>
      <c r="Q388" s="1077" t="s">
        <v>2401</v>
      </c>
      <c r="R388" s="1077">
        <v>18.5</v>
      </c>
      <c r="T388" s="1077">
        <v>21</v>
      </c>
      <c r="U388" s="1077">
        <v>3.8</v>
      </c>
      <c r="V388" s="1077" t="s">
        <v>648</v>
      </c>
      <c r="W388" s="1077">
        <v>110</v>
      </c>
      <c r="X388" s="1077">
        <v>85</v>
      </c>
      <c r="Y388" s="1077">
        <v>1.9</v>
      </c>
      <c r="Z388" s="1077">
        <v>4</v>
      </c>
      <c r="AA388" s="1077" t="s">
        <v>2896</v>
      </c>
      <c r="AH388" s="1077" t="s">
        <v>966</v>
      </c>
      <c r="AM388" s="1078" t="s">
        <v>9822</v>
      </c>
      <c r="AN388" s="1078" t="s">
        <v>9823</v>
      </c>
      <c r="AO388" s="1078">
        <f t="shared" si="46"/>
        <v>500</v>
      </c>
      <c r="AP388" s="1078">
        <f t="shared" si="47"/>
        <v>1.74</v>
      </c>
      <c r="AQ388" s="1078" t="str">
        <f t="shared" si="48"/>
        <v>1-5-1S83°</v>
      </c>
      <c r="AR388" s="1078" t="str">
        <f t="shared" si="49"/>
        <v>30</v>
      </c>
      <c r="AS388" s="1078" t="str">
        <f t="shared" si="50"/>
        <v>235/235/OFF</v>
      </c>
      <c r="AT388" s="1078" t="str">
        <f t="shared" si="51"/>
        <v>1-5-1S83°</v>
      </c>
      <c r="AV388" s="1078" t="str">
        <f t="shared" si="52"/>
        <v>109.1.26</v>
      </c>
      <c r="AW388" s="1344">
        <f t="shared" si="53"/>
        <v>43856</v>
      </c>
    </row>
    <row r="389" spans="1:49">
      <c r="A389" s="1077" t="s">
        <v>2897</v>
      </c>
      <c r="B389" s="1077" t="s">
        <v>2567</v>
      </c>
      <c r="C389" s="1077">
        <v>500</v>
      </c>
      <c r="D389" s="1077">
        <v>1.6850000000000001</v>
      </c>
      <c r="E389" s="1077" t="s">
        <v>2568</v>
      </c>
      <c r="F389" s="1077" t="s">
        <v>2884</v>
      </c>
      <c r="G389" s="1077">
        <v>4.5</v>
      </c>
      <c r="H389" s="1077" t="s">
        <v>2570</v>
      </c>
      <c r="I389" s="1077" t="s">
        <v>126</v>
      </c>
      <c r="J389" s="1077">
        <v>0.8</v>
      </c>
      <c r="K389" s="1077" t="s">
        <v>2697</v>
      </c>
      <c r="L389" s="1077" t="s">
        <v>2104</v>
      </c>
      <c r="M389" s="1077">
        <v>76.400000000000006</v>
      </c>
      <c r="N389" s="1077" t="s">
        <v>945</v>
      </c>
      <c r="O389" s="1077">
        <v>1.9100000000000001</v>
      </c>
      <c r="P389" s="1077">
        <v>1.5280000000000002</v>
      </c>
      <c r="Q389" s="1077" t="s">
        <v>1264</v>
      </c>
      <c r="R389" s="1077">
        <v>20</v>
      </c>
      <c r="T389" s="1077">
        <v>30</v>
      </c>
      <c r="U389" s="1077">
        <v>3.4</v>
      </c>
      <c r="V389" s="1077" t="s">
        <v>648</v>
      </c>
      <c r="W389" s="1077">
        <v>120</v>
      </c>
      <c r="X389" s="1077">
        <v>80</v>
      </c>
      <c r="Y389" s="1077">
        <v>2.4</v>
      </c>
      <c r="Z389" s="1077" t="s">
        <v>2441</v>
      </c>
      <c r="AA389" s="1077" t="s">
        <v>2898</v>
      </c>
      <c r="AH389" s="1077" t="s">
        <v>723</v>
      </c>
      <c r="AM389" s="1078" t="s">
        <v>9824</v>
      </c>
      <c r="AN389" s="1078" t="s">
        <v>9825</v>
      </c>
      <c r="AO389" s="1078">
        <f t="shared" si="46"/>
        <v>500</v>
      </c>
      <c r="AP389" s="1078">
        <f t="shared" si="47"/>
        <v>1.6850000000000001</v>
      </c>
      <c r="AQ389" s="1078" t="str">
        <f t="shared" si="48"/>
        <v>120°</v>
      </c>
      <c r="AR389" s="1078" t="str">
        <f t="shared" si="49"/>
        <v>14.9</v>
      </c>
      <c r="AS389" s="1078" t="str">
        <f t="shared" si="50"/>
        <v>330/330/OFF</v>
      </c>
      <c r="AT389" s="1078" t="str">
        <f t="shared" si="51"/>
        <v>120°</v>
      </c>
      <c r="AV389" s="1078" t="str">
        <f t="shared" si="52"/>
        <v>109.2.4</v>
      </c>
      <c r="AW389" s="1344">
        <f t="shared" si="53"/>
        <v>43865</v>
      </c>
    </row>
    <row r="390" spans="1:49">
      <c r="A390" s="1077" t="s">
        <v>2899</v>
      </c>
      <c r="B390" s="1077" t="s">
        <v>840</v>
      </c>
      <c r="C390" s="1077">
        <v>600</v>
      </c>
      <c r="D390" s="1077">
        <v>1.72</v>
      </c>
      <c r="E390" s="1077" t="s">
        <v>15091</v>
      </c>
      <c r="F390" s="1077" t="s">
        <v>954</v>
      </c>
      <c r="G390" s="1077" t="s">
        <v>940</v>
      </c>
      <c r="H390" s="1077" t="s">
        <v>1470</v>
      </c>
      <c r="I390" s="1077" t="s">
        <v>1167</v>
      </c>
      <c r="J390" s="1077">
        <v>0.3</v>
      </c>
      <c r="K390" s="1077" t="s">
        <v>2900</v>
      </c>
      <c r="L390" s="1077" t="s">
        <v>2560</v>
      </c>
      <c r="M390" s="1077">
        <v>73.599999999999994</v>
      </c>
      <c r="N390" s="1077" t="s">
        <v>945</v>
      </c>
      <c r="O390" s="1077">
        <v>1.8399999999999999</v>
      </c>
      <c r="P390" s="1077">
        <v>1.472</v>
      </c>
      <c r="Q390" s="1077" t="s">
        <v>1012</v>
      </c>
      <c r="R390" s="1077">
        <v>26.8</v>
      </c>
      <c r="T390" s="1077">
        <v>24.3</v>
      </c>
      <c r="U390" s="1077">
        <v>4.7</v>
      </c>
      <c r="V390" s="1077" t="s">
        <v>648</v>
      </c>
      <c r="W390" s="1077" t="s">
        <v>2594</v>
      </c>
      <c r="X390" s="1077">
        <v>10</v>
      </c>
      <c r="Y390" s="1077">
        <v>1.2</v>
      </c>
      <c r="Z390" s="1077" t="s">
        <v>2901</v>
      </c>
      <c r="AA390" s="1077" t="s">
        <v>2403</v>
      </c>
      <c r="AH390" s="1077" t="s">
        <v>1178</v>
      </c>
      <c r="AM390" s="1078" t="s">
        <v>9826</v>
      </c>
      <c r="AN390" s="1078" t="s">
        <v>9827</v>
      </c>
      <c r="AO390" s="1078">
        <f t="shared" si="46"/>
        <v>600</v>
      </c>
      <c r="AP390" s="1078">
        <f t="shared" si="47"/>
        <v>1.72</v>
      </c>
      <c r="AQ390" s="1078" t="str">
        <f t="shared" si="48"/>
        <v>2-5-1S83°</v>
      </c>
      <c r="AR390" s="1078" t="str">
        <f t="shared" si="49"/>
        <v>31</v>
      </c>
      <c r="AS390" s="1078" t="str">
        <f t="shared" si="50"/>
        <v>160/OFF</v>
      </c>
      <c r="AT390" s="1078" t="str">
        <f t="shared" si="51"/>
        <v>2-5-1S83°</v>
      </c>
      <c r="AV390" s="1078" t="str">
        <f t="shared" si="52"/>
        <v>109.2.3</v>
      </c>
      <c r="AW390" s="1344">
        <f t="shared" si="53"/>
        <v>43864</v>
      </c>
    </row>
    <row r="391" spans="1:49">
      <c r="A391" s="1077" t="s">
        <v>2902</v>
      </c>
      <c r="B391" s="1077" t="s">
        <v>2013</v>
      </c>
      <c r="C391" s="1077">
        <v>650</v>
      </c>
      <c r="D391" s="1077">
        <v>1.7050000000000001</v>
      </c>
      <c r="E391" s="1077" t="s">
        <v>15089</v>
      </c>
      <c r="F391" s="1077" t="s">
        <v>954</v>
      </c>
      <c r="G391" s="1077" t="s">
        <v>940</v>
      </c>
      <c r="H391" s="1077" t="s">
        <v>1649</v>
      </c>
      <c r="I391" s="1077" t="s">
        <v>126</v>
      </c>
      <c r="J391" s="1077">
        <v>1.2</v>
      </c>
      <c r="K391" s="1077" t="s">
        <v>2903</v>
      </c>
      <c r="L391" s="1077" t="s">
        <v>2904</v>
      </c>
      <c r="M391" s="1077">
        <v>75.400000000000006</v>
      </c>
      <c r="N391" s="1077" t="s">
        <v>945</v>
      </c>
      <c r="O391" s="1077">
        <v>1.8850000000000002</v>
      </c>
      <c r="P391" s="1077">
        <v>1.5080000000000002</v>
      </c>
      <c r="Q391" s="1077" t="s">
        <v>1369</v>
      </c>
      <c r="R391" s="1077">
        <v>29</v>
      </c>
      <c r="T391" s="1077">
        <v>18</v>
      </c>
      <c r="U391" s="1077">
        <v>6</v>
      </c>
      <c r="V391" s="1077" t="s">
        <v>648</v>
      </c>
      <c r="W391" s="1077">
        <v>120</v>
      </c>
      <c r="X391" s="1077">
        <v>80</v>
      </c>
      <c r="Y391" s="1077">
        <v>2</v>
      </c>
      <c r="Z391" s="1077" t="s">
        <v>2905</v>
      </c>
      <c r="AA391" s="1077" t="s">
        <v>2906</v>
      </c>
      <c r="AH391" s="1077" t="s">
        <v>1221</v>
      </c>
      <c r="AM391" s="1078" t="s">
        <v>9828</v>
      </c>
      <c r="AN391" s="1078" t="s">
        <v>9829</v>
      </c>
      <c r="AO391" s="1078">
        <f t="shared" si="46"/>
        <v>650</v>
      </c>
      <c r="AP391" s="1078">
        <f t="shared" si="47"/>
        <v>1.7050000000000001</v>
      </c>
      <c r="AQ391" s="1078" t="str">
        <f t="shared" si="48"/>
        <v>1-4-1S83°</v>
      </c>
      <c r="AR391" s="1078" t="str">
        <f t="shared" si="49"/>
        <v>31</v>
      </c>
      <c r="AS391" s="1078" t="str">
        <f t="shared" si="50"/>
        <v>225/225/OFF</v>
      </c>
      <c r="AT391" s="1078" t="str">
        <f t="shared" si="51"/>
        <v>1-4-1S83°</v>
      </c>
      <c r="AV391" s="1078" t="str">
        <f t="shared" si="52"/>
        <v>109.2.7</v>
      </c>
      <c r="AW391" s="1344">
        <f t="shared" si="53"/>
        <v>43868</v>
      </c>
    </row>
    <row r="392" spans="1:49">
      <c r="A392" s="1077" t="s">
        <v>2907</v>
      </c>
      <c r="B392" s="1077" t="s">
        <v>2550</v>
      </c>
      <c r="C392" s="1077">
        <v>550</v>
      </c>
      <c r="D392" s="1077">
        <v>1.7549999999999999</v>
      </c>
      <c r="E392" s="1077" t="s">
        <v>15089</v>
      </c>
      <c r="F392" s="1077" t="s">
        <v>984</v>
      </c>
      <c r="G392" s="1077" t="s">
        <v>940</v>
      </c>
      <c r="H392" s="1077" t="s">
        <v>1793</v>
      </c>
      <c r="I392" s="1077" t="s">
        <v>126</v>
      </c>
      <c r="J392" s="1077">
        <v>0.9</v>
      </c>
      <c r="K392" s="1077" t="s">
        <v>2908</v>
      </c>
      <c r="L392" s="1077" t="s">
        <v>2552</v>
      </c>
      <c r="M392" s="1077">
        <v>74</v>
      </c>
      <c r="N392" s="1077" t="s">
        <v>945</v>
      </c>
      <c r="O392" s="1077">
        <v>1.85</v>
      </c>
      <c r="P392" s="1077">
        <v>1.48</v>
      </c>
      <c r="Q392" s="1077" t="s">
        <v>2553</v>
      </c>
      <c r="R392" s="1077">
        <v>23</v>
      </c>
      <c r="T392" s="1077">
        <v>24.5</v>
      </c>
      <c r="U392" s="1077">
        <v>3.1</v>
      </c>
      <c r="V392" s="1077" t="s">
        <v>648</v>
      </c>
      <c r="W392" s="1077">
        <v>115</v>
      </c>
      <c r="X392" s="1077">
        <v>80</v>
      </c>
      <c r="Y392" s="1077">
        <v>1.5</v>
      </c>
      <c r="Z392" s="1077">
        <v>4.5</v>
      </c>
      <c r="AA392" s="1077" t="s">
        <v>2909</v>
      </c>
      <c r="AH392" s="1077" t="s">
        <v>966</v>
      </c>
      <c r="AM392" s="1078" t="s">
        <v>9830</v>
      </c>
      <c r="AN392" s="1078" t="s">
        <v>9831</v>
      </c>
      <c r="AO392" s="1078">
        <f t="shared" si="46"/>
        <v>550</v>
      </c>
      <c r="AP392" s="1078">
        <f t="shared" si="47"/>
        <v>1.7549999999999999</v>
      </c>
      <c r="AQ392" s="1078" t="str">
        <f t="shared" si="48"/>
        <v>1-4-1S83°</v>
      </c>
      <c r="AR392" s="1078" t="str">
        <f t="shared" si="49"/>
        <v>30</v>
      </c>
      <c r="AS392" s="1078" t="str">
        <f t="shared" si="50"/>
        <v>270/270/OFF</v>
      </c>
      <c r="AT392" s="1078" t="str">
        <f t="shared" si="51"/>
        <v>1-4-1S83°</v>
      </c>
      <c r="AV392" s="1078" t="str">
        <f t="shared" si="52"/>
        <v>109.2.13</v>
      </c>
      <c r="AW392" s="1344">
        <f t="shared" si="53"/>
        <v>43874</v>
      </c>
    </row>
    <row r="393" spans="1:49">
      <c r="A393" s="1077" t="s">
        <v>2910</v>
      </c>
      <c r="B393" s="1077" t="s">
        <v>2550</v>
      </c>
      <c r="C393" s="1077">
        <v>550</v>
      </c>
      <c r="D393" s="1077">
        <v>1.73</v>
      </c>
      <c r="E393" s="1077" t="s">
        <v>15089</v>
      </c>
      <c r="F393" s="1077" t="s">
        <v>984</v>
      </c>
      <c r="G393" s="1077" t="s">
        <v>940</v>
      </c>
      <c r="H393" s="1077" t="s">
        <v>1793</v>
      </c>
      <c r="I393" s="1077" t="s">
        <v>126</v>
      </c>
      <c r="J393" s="1077">
        <v>0.9</v>
      </c>
      <c r="K393" s="1077" t="s">
        <v>2911</v>
      </c>
      <c r="L393" s="1077" t="s">
        <v>2552</v>
      </c>
      <c r="M393" s="1077">
        <v>74</v>
      </c>
      <c r="N393" s="1077" t="s">
        <v>945</v>
      </c>
      <c r="O393" s="1077">
        <v>1.85</v>
      </c>
      <c r="P393" s="1077">
        <v>1.48</v>
      </c>
      <c r="Q393" s="1077" t="s">
        <v>2553</v>
      </c>
      <c r="R393" s="1077">
        <v>23</v>
      </c>
      <c r="T393" s="1077">
        <v>24.5</v>
      </c>
      <c r="U393" s="1077">
        <v>3.1</v>
      </c>
      <c r="V393" s="1077" t="s">
        <v>648</v>
      </c>
      <c r="W393" s="1077">
        <v>115</v>
      </c>
      <c r="X393" s="1077">
        <v>80</v>
      </c>
      <c r="Y393" s="1077">
        <v>1.5</v>
      </c>
      <c r="Z393" s="1077">
        <v>4.5</v>
      </c>
      <c r="AA393" s="1077" t="s">
        <v>2912</v>
      </c>
      <c r="AH393" s="1077" t="s">
        <v>838</v>
      </c>
      <c r="AM393" s="1078" t="s">
        <v>9832</v>
      </c>
      <c r="AN393" s="1078" t="s">
        <v>9833</v>
      </c>
      <c r="AO393" s="1078">
        <f t="shared" si="46"/>
        <v>550</v>
      </c>
      <c r="AP393" s="1078">
        <f t="shared" si="47"/>
        <v>1.73</v>
      </c>
      <c r="AQ393" s="1078" t="str">
        <f t="shared" si="48"/>
        <v>1-4-1S83°</v>
      </c>
      <c r="AR393" s="1078" t="str">
        <f t="shared" si="49"/>
        <v>30</v>
      </c>
      <c r="AS393" s="1078" t="str">
        <f t="shared" si="50"/>
        <v>270/270/OFF</v>
      </c>
      <c r="AT393" s="1078" t="str">
        <f t="shared" si="51"/>
        <v>1-4-1S83°</v>
      </c>
      <c r="AV393" s="1078" t="str">
        <f t="shared" si="52"/>
        <v>109.2.26</v>
      </c>
      <c r="AW393" s="1344">
        <f t="shared" si="53"/>
        <v>43887</v>
      </c>
    </row>
    <row r="394" spans="1:49">
      <c r="A394" s="1077" t="s">
        <v>2913</v>
      </c>
      <c r="B394" s="1077" t="s">
        <v>2013</v>
      </c>
      <c r="C394" s="1077">
        <v>650</v>
      </c>
      <c r="D394" s="1077">
        <v>1.7050000000000001</v>
      </c>
      <c r="E394" s="1077" t="s">
        <v>15089</v>
      </c>
      <c r="F394" s="1077" t="s">
        <v>954</v>
      </c>
      <c r="G394" s="1077" t="s">
        <v>940</v>
      </c>
      <c r="H394" s="1077" t="s">
        <v>1649</v>
      </c>
      <c r="I394" s="1077" t="s">
        <v>126</v>
      </c>
      <c r="J394" s="1077">
        <v>1.2</v>
      </c>
      <c r="K394" s="1077" t="s">
        <v>2903</v>
      </c>
      <c r="L394" s="1077" t="s">
        <v>2904</v>
      </c>
      <c r="M394" s="1077">
        <v>75.400000000000006</v>
      </c>
      <c r="N394" s="1077" t="s">
        <v>945</v>
      </c>
      <c r="O394" s="1077">
        <v>1.8850000000000002</v>
      </c>
      <c r="P394" s="1077">
        <v>1.5080000000000002</v>
      </c>
      <c r="Q394" s="1077" t="s">
        <v>1369</v>
      </c>
      <c r="R394" s="1077">
        <v>29</v>
      </c>
      <c r="T394" s="1077">
        <v>18</v>
      </c>
      <c r="U394" s="1077">
        <v>6</v>
      </c>
      <c r="V394" s="1077" t="s">
        <v>648</v>
      </c>
      <c r="W394" s="1077">
        <v>120</v>
      </c>
      <c r="X394" s="1077">
        <v>80</v>
      </c>
      <c r="Y394" s="1077">
        <v>2</v>
      </c>
      <c r="Z394" s="1077">
        <v>5</v>
      </c>
      <c r="AA394" s="1077" t="s">
        <v>2912</v>
      </c>
      <c r="AH394" s="1077" t="s">
        <v>878</v>
      </c>
      <c r="AM394" s="1078" t="s">
        <v>9834</v>
      </c>
      <c r="AN394" s="1078" t="s">
        <v>9835</v>
      </c>
      <c r="AO394" s="1078">
        <f t="shared" si="46"/>
        <v>650</v>
      </c>
      <c r="AP394" s="1078">
        <f t="shared" si="47"/>
        <v>1.7050000000000001</v>
      </c>
      <c r="AQ394" s="1078" t="str">
        <f t="shared" si="48"/>
        <v>1-4-1S83°</v>
      </c>
      <c r="AR394" s="1078" t="str">
        <f t="shared" si="49"/>
        <v>31</v>
      </c>
      <c r="AS394" s="1078" t="str">
        <f t="shared" si="50"/>
        <v>225/225/OFF</v>
      </c>
      <c r="AT394" s="1078" t="str">
        <f t="shared" si="51"/>
        <v>1-4-1S83°</v>
      </c>
      <c r="AV394" s="1078" t="str">
        <f t="shared" si="52"/>
        <v>109.2.26</v>
      </c>
      <c r="AW394" s="1344">
        <f t="shared" si="53"/>
        <v>43887</v>
      </c>
    </row>
    <row r="395" spans="1:49">
      <c r="A395" s="1077" t="s">
        <v>2914</v>
      </c>
      <c r="B395" s="1077" t="s">
        <v>1947</v>
      </c>
      <c r="C395" s="1077">
        <v>600</v>
      </c>
      <c r="D395" s="1077">
        <v>1.76</v>
      </c>
      <c r="E395" s="1077" t="s">
        <v>15089</v>
      </c>
      <c r="F395" s="1077" t="s">
        <v>2234</v>
      </c>
      <c r="G395" s="1077" t="s">
        <v>940</v>
      </c>
      <c r="H395" s="1077" t="s">
        <v>2915</v>
      </c>
      <c r="I395" s="1077" t="s">
        <v>626</v>
      </c>
      <c r="J395" s="1077">
        <v>4</v>
      </c>
      <c r="K395" s="1077" t="s">
        <v>2916</v>
      </c>
      <c r="L395" s="1077" t="s">
        <v>1950</v>
      </c>
      <c r="M395" s="1077">
        <v>77</v>
      </c>
      <c r="N395" s="1077" t="s">
        <v>945</v>
      </c>
      <c r="O395" s="1077">
        <v>1.925</v>
      </c>
      <c r="P395" s="1077">
        <v>1.54</v>
      </c>
      <c r="Q395" s="1077" t="s">
        <v>2536</v>
      </c>
      <c r="R395" s="1077">
        <v>22</v>
      </c>
      <c r="T395" s="1077">
        <v>19</v>
      </c>
      <c r="U395" s="1077">
        <v>2.9</v>
      </c>
      <c r="V395" s="1077" t="s">
        <v>648</v>
      </c>
      <c r="W395" s="1077">
        <v>145</v>
      </c>
      <c r="X395" s="1077">
        <v>90</v>
      </c>
      <c r="Y395" s="1077">
        <v>2</v>
      </c>
      <c r="Z395" s="1077" t="s">
        <v>1192</v>
      </c>
      <c r="AA395" s="1077" t="s">
        <v>2917</v>
      </c>
      <c r="AH395" s="1077" t="s">
        <v>1482</v>
      </c>
      <c r="AM395" s="1078" t="s">
        <v>9836</v>
      </c>
      <c r="AN395" s="1078" t="s">
        <v>9426</v>
      </c>
      <c r="AO395" s="1078">
        <f t="shared" ref="AO395:AO458" si="54">C395</f>
        <v>600</v>
      </c>
      <c r="AP395" s="1078">
        <f t="shared" ref="AP395:AP458" si="55">D395</f>
        <v>1.76</v>
      </c>
      <c r="AQ395" s="1078" t="str">
        <f t="shared" ref="AQ395:AQ458" si="56">E395</f>
        <v>1-4-1S83°</v>
      </c>
      <c r="AR395" s="1078" t="str">
        <f t="shared" ref="AR395:AR458" si="57">F395</f>
        <v>33.5</v>
      </c>
      <c r="AS395" s="1078" t="str">
        <f t="shared" ref="AS395:AS458" si="58">H395</f>
        <v>280/280/130</v>
      </c>
      <c r="AT395" s="1078" t="str">
        <f t="shared" ref="AT395:AT458" si="59">E395</f>
        <v>1-4-1S83°</v>
      </c>
      <c r="AV395" s="1078" t="str">
        <f t="shared" si="52"/>
        <v>109.3.3</v>
      </c>
      <c r="AW395" s="1344">
        <f t="shared" si="53"/>
        <v>43893</v>
      </c>
    </row>
    <row r="396" spans="1:49">
      <c r="A396" s="1077" t="s">
        <v>2918</v>
      </c>
      <c r="B396" s="1077" t="s">
        <v>850</v>
      </c>
      <c r="C396" s="1077">
        <v>550</v>
      </c>
      <c r="D396" s="1077">
        <v>1.7350000000000001</v>
      </c>
      <c r="E396" s="1077" t="s">
        <v>15095</v>
      </c>
      <c r="F396" s="1077" t="s">
        <v>984</v>
      </c>
      <c r="G396" s="1077" t="s">
        <v>940</v>
      </c>
      <c r="H396" s="1077" t="s">
        <v>1017</v>
      </c>
      <c r="I396" s="1077" t="s">
        <v>626</v>
      </c>
      <c r="J396" s="1077">
        <v>1</v>
      </c>
      <c r="K396" s="1077" t="s">
        <v>2919</v>
      </c>
      <c r="L396" s="1077" t="s">
        <v>1763</v>
      </c>
      <c r="M396" s="1077">
        <v>79</v>
      </c>
      <c r="N396" s="1077" t="s">
        <v>945</v>
      </c>
      <c r="O396" s="1077">
        <v>1.9750000000000001</v>
      </c>
      <c r="P396" s="1077">
        <v>1.58</v>
      </c>
      <c r="Q396" s="1077" t="s">
        <v>1369</v>
      </c>
      <c r="R396" s="1077">
        <v>25</v>
      </c>
      <c r="T396" s="1077">
        <v>9.6</v>
      </c>
      <c r="U396" s="1077">
        <v>6.8</v>
      </c>
      <c r="V396" s="1077" t="s">
        <v>648</v>
      </c>
      <c r="W396" s="1077">
        <v>135</v>
      </c>
      <c r="X396" s="1077">
        <v>65</v>
      </c>
      <c r="Y396" s="1077">
        <v>1.4</v>
      </c>
      <c r="Z396" s="1077">
        <v>4</v>
      </c>
      <c r="AA396" s="1077" t="s">
        <v>2917</v>
      </c>
      <c r="AH396" s="1077" t="s">
        <v>482</v>
      </c>
      <c r="AM396" s="1078" t="s">
        <v>9837</v>
      </c>
      <c r="AN396" s="1078" t="s">
        <v>9838</v>
      </c>
      <c r="AO396" s="1078">
        <f t="shared" si="54"/>
        <v>550</v>
      </c>
      <c r="AP396" s="1078">
        <f t="shared" si="55"/>
        <v>1.7350000000000001</v>
      </c>
      <c r="AQ396" s="1078" t="str">
        <f t="shared" si="56"/>
        <v>1-5-1S83°</v>
      </c>
      <c r="AR396" s="1078" t="str">
        <f t="shared" si="57"/>
        <v>30</v>
      </c>
      <c r="AS396" s="1078" t="str">
        <f t="shared" si="58"/>
        <v>200/200/OFF</v>
      </c>
      <c r="AT396" s="1078" t="str">
        <f t="shared" si="59"/>
        <v>1-5-1S83°</v>
      </c>
      <c r="AV396" s="1078" t="str">
        <f t="shared" si="52"/>
        <v>109.3.3</v>
      </c>
      <c r="AW396" s="1344">
        <f t="shared" si="53"/>
        <v>43893</v>
      </c>
    </row>
    <row r="397" spans="1:49">
      <c r="A397" s="1077" t="s">
        <v>2920</v>
      </c>
      <c r="B397" s="1077" t="s">
        <v>1805</v>
      </c>
      <c r="C397" s="1077">
        <v>600</v>
      </c>
      <c r="D397" s="1077">
        <v>1.68</v>
      </c>
      <c r="E397" s="1077" t="s">
        <v>15089</v>
      </c>
      <c r="F397" s="1077" t="s">
        <v>1469</v>
      </c>
      <c r="G397" s="1077" t="s">
        <v>940</v>
      </c>
      <c r="H397" s="1077" t="s">
        <v>1806</v>
      </c>
      <c r="I397" s="1077" t="s">
        <v>126</v>
      </c>
      <c r="J397" s="1077">
        <v>0.6</v>
      </c>
      <c r="K397" s="1077" t="s">
        <v>2921</v>
      </c>
      <c r="L397" s="1077" t="s">
        <v>1808</v>
      </c>
      <c r="M397" s="1077">
        <v>76.8</v>
      </c>
      <c r="N397" s="1077" t="s">
        <v>945</v>
      </c>
      <c r="O397" s="1077">
        <v>1.92</v>
      </c>
      <c r="P397" s="1077">
        <v>1.536</v>
      </c>
      <c r="Q397" s="1077" t="s">
        <v>1037</v>
      </c>
      <c r="R397" s="1077">
        <v>20.3</v>
      </c>
      <c r="T397" s="1077">
        <v>18</v>
      </c>
      <c r="U397" s="1077">
        <v>3.5</v>
      </c>
      <c r="V397" s="1077" t="s">
        <v>648</v>
      </c>
      <c r="W397" s="1077">
        <v>120</v>
      </c>
      <c r="X397" s="1077">
        <v>80</v>
      </c>
      <c r="Y397" s="1077">
        <v>1.5</v>
      </c>
      <c r="Z397" s="1077">
        <v>4</v>
      </c>
      <c r="AA397" s="1077" t="s">
        <v>2922</v>
      </c>
      <c r="AH397" s="1077" t="s">
        <v>483</v>
      </c>
      <c r="AM397" s="1078" t="s">
        <v>9839</v>
      </c>
      <c r="AN397" s="1078" t="s">
        <v>9840</v>
      </c>
      <c r="AO397" s="1078">
        <f t="shared" si="54"/>
        <v>600</v>
      </c>
      <c r="AP397" s="1078">
        <f t="shared" si="55"/>
        <v>1.68</v>
      </c>
      <c r="AQ397" s="1078" t="str">
        <f t="shared" si="56"/>
        <v>1-4-1S83°</v>
      </c>
      <c r="AR397" s="1078" t="str">
        <f t="shared" si="57"/>
        <v>30.5</v>
      </c>
      <c r="AS397" s="1078" t="str">
        <f t="shared" si="58"/>
        <v>280/280/OFF</v>
      </c>
      <c r="AT397" s="1078" t="str">
        <f t="shared" si="59"/>
        <v>1-4-1S83°</v>
      </c>
      <c r="AV397" s="1078" t="str">
        <f t="shared" si="52"/>
        <v>109.3.23</v>
      </c>
      <c r="AW397" s="1344">
        <f t="shared" si="53"/>
        <v>43913</v>
      </c>
    </row>
    <row r="398" spans="1:49">
      <c r="A398" s="1077" t="s">
        <v>2923</v>
      </c>
      <c r="B398" s="1077" t="s">
        <v>1766</v>
      </c>
      <c r="C398" s="1077">
        <v>700</v>
      </c>
      <c r="D398" s="1077">
        <v>1.8</v>
      </c>
      <c r="E398" s="1077" t="s">
        <v>15091</v>
      </c>
      <c r="F398" s="1077" t="s">
        <v>984</v>
      </c>
      <c r="G398" s="1077" t="s">
        <v>1767</v>
      </c>
      <c r="H398" s="1077" t="s">
        <v>2924</v>
      </c>
      <c r="I398" s="1077" t="s">
        <v>1073</v>
      </c>
      <c r="J398" s="1077">
        <v>0.7</v>
      </c>
      <c r="K398" s="1077" t="s">
        <v>2925</v>
      </c>
      <c r="L398" s="1077" t="s">
        <v>1769</v>
      </c>
      <c r="M398" s="1077">
        <v>77.099999999999994</v>
      </c>
      <c r="N398" s="1077" t="s">
        <v>945</v>
      </c>
      <c r="O398" s="1077">
        <v>1.9275</v>
      </c>
      <c r="P398" s="1077">
        <v>1.5419999999999998</v>
      </c>
      <c r="Q398" s="1077" t="s">
        <v>1037</v>
      </c>
      <c r="R398" s="1077">
        <v>23.2</v>
      </c>
      <c r="T398" s="1077">
        <v>16</v>
      </c>
      <c r="U398" s="1077">
        <v>1.5</v>
      </c>
      <c r="V398" s="1077" t="s">
        <v>2520</v>
      </c>
      <c r="W398" s="1077">
        <v>30</v>
      </c>
      <c r="X398" s="1077">
        <v>10</v>
      </c>
      <c r="Y398" s="1077">
        <v>2</v>
      </c>
      <c r="Z398" s="1077" t="s">
        <v>2799</v>
      </c>
      <c r="AA398" s="1077" t="s">
        <v>2926</v>
      </c>
      <c r="AH398" s="1077" t="s">
        <v>1827</v>
      </c>
      <c r="AM398" s="1078" t="s">
        <v>9841</v>
      </c>
      <c r="AN398" s="1078" t="s">
        <v>9842</v>
      </c>
      <c r="AO398" s="1078">
        <f t="shared" si="54"/>
        <v>700</v>
      </c>
      <c r="AP398" s="1078">
        <f t="shared" si="55"/>
        <v>1.8</v>
      </c>
      <c r="AQ398" s="1078" t="str">
        <f t="shared" si="56"/>
        <v>2-5-1S83°</v>
      </c>
      <c r="AR398" s="1078" t="str">
        <f t="shared" si="57"/>
        <v>30</v>
      </c>
      <c r="AS398" s="1078" t="str">
        <f t="shared" si="58"/>
        <v>192/193</v>
      </c>
      <c r="AT398" s="1078" t="str">
        <f t="shared" si="59"/>
        <v>2-5-1S83°</v>
      </c>
      <c r="AV398" s="1078" t="str">
        <f t="shared" si="52"/>
        <v>109.3.16</v>
      </c>
      <c r="AW398" s="1344">
        <f t="shared" si="53"/>
        <v>43906</v>
      </c>
    </row>
    <row r="399" spans="1:49">
      <c r="A399" s="1077" t="s">
        <v>2927</v>
      </c>
      <c r="B399" s="1077" t="s">
        <v>1823</v>
      </c>
      <c r="C399" s="1077">
        <v>500</v>
      </c>
      <c r="D399" s="1077">
        <v>1.74</v>
      </c>
      <c r="E399" s="1077" t="s">
        <v>15095</v>
      </c>
      <c r="F399" s="1077" t="s">
        <v>984</v>
      </c>
      <c r="G399" s="1077" t="s">
        <v>1016</v>
      </c>
      <c r="H399" s="1077" t="s">
        <v>1145</v>
      </c>
      <c r="I399" s="1077" t="s">
        <v>126</v>
      </c>
      <c r="J399" s="1077">
        <v>0.6</v>
      </c>
      <c r="K399" s="1077" t="s">
        <v>2928</v>
      </c>
      <c r="L399" s="1077" t="s">
        <v>1825</v>
      </c>
      <c r="M399" s="1077">
        <v>73.8</v>
      </c>
      <c r="N399" s="1077" t="s">
        <v>945</v>
      </c>
      <c r="O399" s="1077">
        <v>1.845</v>
      </c>
      <c r="P399" s="1077">
        <v>1.476</v>
      </c>
      <c r="Q399" s="1077" t="s">
        <v>2422</v>
      </c>
      <c r="R399" s="1077">
        <v>18.5</v>
      </c>
      <c r="T399" s="1077">
        <v>21</v>
      </c>
      <c r="U399" s="1077">
        <v>3.8</v>
      </c>
      <c r="V399" s="1077" t="s">
        <v>648</v>
      </c>
      <c r="W399" s="1077">
        <v>110</v>
      </c>
      <c r="X399" s="1077">
        <v>85</v>
      </c>
      <c r="Y399" s="1077">
        <v>1.9</v>
      </c>
      <c r="Z399" s="1077">
        <v>4</v>
      </c>
      <c r="AA399" s="1077" t="s">
        <v>2929</v>
      </c>
      <c r="AH399" s="1077" t="s">
        <v>726</v>
      </c>
      <c r="AM399" s="1078" t="s">
        <v>9843</v>
      </c>
      <c r="AN399" s="1078" t="s">
        <v>9844</v>
      </c>
      <c r="AO399" s="1078">
        <f t="shared" si="54"/>
        <v>500</v>
      </c>
      <c r="AP399" s="1078">
        <f t="shared" si="55"/>
        <v>1.74</v>
      </c>
      <c r="AQ399" s="1078" t="str">
        <f t="shared" si="56"/>
        <v>1-5-1S83°</v>
      </c>
      <c r="AR399" s="1078" t="str">
        <f t="shared" si="57"/>
        <v>30</v>
      </c>
      <c r="AS399" s="1078" t="str">
        <f t="shared" si="58"/>
        <v>235/235/OFF</v>
      </c>
      <c r="AT399" s="1078" t="str">
        <f t="shared" si="59"/>
        <v>1-5-1S83°</v>
      </c>
      <c r="AV399" s="1078" t="str">
        <f t="shared" si="52"/>
        <v>109.3.31</v>
      </c>
      <c r="AW399" s="1344">
        <f t="shared" si="53"/>
        <v>43921</v>
      </c>
    </row>
    <row r="400" spans="1:49">
      <c r="A400" s="1077" t="s">
        <v>2930</v>
      </c>
      <c r="B400" s="1077" t="s">
        <v>1766</v>
      </c>
      <c r="C400" s="1077">
        <v>700</v>
      </c>
      <c r="D400" s="1077">
        <v>1.8</v>
      </c>
      <c r="E400" s="1077" t="s">
        <v>15091</v>
      </c>
      <c r="F400" s="1077" t="s">
        <v>1469</v>
      </c>
      <c r="G400" s="1077" t="s">
        <v>1767</v>
      </c>
      <c r="H400" s="1077" t="s">
        <v>2931</v>
      </c>
      <c r="I400" s="1077" t="s">
        <v>1112</v>
      </c>
      <c r="J400" s="1077">
        <v>2.4</v>
      </c>
      <c r="K400" s="1077" t="s">
        <v>2932</v>
      </c>
      <c r="L400" s="1077" t="s">
        <v>1769</v>
      </c>
      <c r="M400" s="1077">
        <v>76.8</v>
      </c>
      <c r="N400" s="1077" t="s">
        <v>945</v>
      </c>
      <c r="O400" s="1077">
        <v>1.92</v>
      </c>
      <c r="P400" s="1077">
        <v>1.536</v>
      </c>
      <c r="Q400" s="1077" t="s">
        <v>1277</v>
      </c>
      <c r="R400" s="1077">
        <v>19.899999999999999</v>
      </c>
      <c r="T400" s="1077">
        <v>34.799999999999997</v>
      </c>
      <c r="U400" s="1077">
        <v>3.3</v>
      </c>
      <c r="V400" s="1077" t="s">
        <v>648</v>
      </c>
      <c r="W400" s="1077">
        <v>120</v>
      </c>
      <c r="X400" s="1077">
        <v>90</v>
      </c>
      <c r="Y400" s="1077">
        <v>1.9</v>
      </c>
      <c r="Z400" s="1077" t="s">
        <v>2933</v>
      </c>
      <c r="AA400" s="1077" t="s">
        <v>2934</v>
      </c>
      <c r="AH400" s="1077" t="s">
        <v>875</v>
      </c>
      <c r="AM400" s="1078" t="s">
        <v>9845</v>
      </c>
      <c r="AN400" s="1078" t="s">
        <v>9846</v>
      </c>
      <c r="AO400" s="1078">
        <f t="shared" si="54"/>
        <v>700</v>
      </c>
      <c r="AP400" s="1078">
        <f t="shared" si="55"/>
        <v>1.8</v>
      </c>
      <c r="AQ400" s="1078" t="str">
        <f t="shared" si="56"/>
        <v>2-5-1S83°</v>
      </c>
      <c r="AR400" s="1078" t="str">
        <f t="shared" si="57"/>
        <v>30.5</v>
      </c>
      <c r="AS400" s="1078" t="str">
        <f t="shared" si="58"/>
        <v>195/OFF</v>
      </c>
      <c r="AT400" s="1078" t="str">
        <f t="shared" si="59"/>
        <v>2-5-1S83°</v>
      </c>
      <c r="AV400" s="1078" t="str">
        <f t="shared" si="52"/>
        <v>109.3.26</v>
      </c>
      <c r="AW400" s="1344">
        <f t="shared" si="53"/>
        <v>43916</v>
      </c>
    </row>
    <row r="401" spans="1:49">
      <c r="A401" s="1077" t="s">
        <v>2935</v>
      </c>
      <c r="B401" s="1077" t="s">
        <v>1903</v>
      </c>
      <c r="C401" s="1077">
        <v>620</v>
      </c>
      <c r="D401" s="1077">
        <v>1.68</v>
      </c>
      <c r="E401" s="1077" t="s">
        <v>15089</v>
      </c>
      <c r="F401" s="1077" t="s">
        <v>975</v>
      </c>
      <c r="G401" s="1077" t="s">
        <v>1867</v>
      </c>
      <c r="H401" s="1077" t="s">
        <v>1145</v>
      </c>
      <c r="I401" s="1077" t="s">
        <v>126</v>
      </c>
      <c r="J401" s="1077">
        <v>0.6</v>
      </c>
      <c r="K401" s="1077" t="s">
        <v>2936</v>
      </c>
      <c r="L401" s="1077" t="s">
        <v>1905</v>
      </c>
      <c r="M401" s="1077">
        <v>74</v>
      </c>
      <c r="N401" s="1077" t="s">
        <v>945</v>
      </c>
      <c r="O401" s="1077">
        <v>1.85</v>
      </c>
      <c r="P401" s="1077">
        <v>1.48</v>
      </c>
      <c r="Q401" s="1077" t="s">
        <v>1020</v>
      </c>
      <c r="R401" s="1077">
        <v>26</v>
      </c>
      <c r="T401" s="1077">
        <v>13.8</v>
      </c>
      <c r="U401" s="1077">
        <v>5.0999999999999996</v>
      </c>
      <c r="V401" s="1077" t="s">
        <v>648</v>
      </c>
      <c r="W401" s="1077">
        <v>100</v>
      </c>
      <c r="X401" s="1077">
        <v>60</v>
      </c>
      <c r="Y401" s="1077">
        <v>1.8</v>
      </c>
      <c r="Z401" s="1077">
        <v>4</v>
      </c>
      <c r="AA401" s="1077" t="s">
        <v>2937</v>
      </c>
      <c r="AH401" s="1077" t="s">
        <v>1452</v>
      </c>
      <c r="AM401" s="1078" t="s">
        <v>9847</v>
      </c>
      <c r="AN401" s="1078" t="s">
        <v>9848</v>
      </c>
      <c r="AO401" s="1078">
        <f t="shared" si="54"/>
        <v>620</v>
      </c>
      <c r="AP401" s="1078">
        <f t="shared" si="55"/>
        <v>1.68</v>
      </c>
      <c r="AQ401" s="1078" t="str">
        <f t="shared" si="56"/>
        <v>1-4-1S83°</v>
      </c>
      <c r="AR401" s="1078" t="str">
        <f t="shared" si="57"/>
        <v>31.5</v>
      </c>
      <c r="AS401" s="1078" t="str">
        <f t="shared" si="58"/>
        <v>235/235/OFF</v>
      </c>
      <c r="AT401" s="1078" t="str">
        <f t="shared" si="59"/>
        <v>1-4-1S83°</v>
      </c>
      <c r="AV401" s="1078" t="str">
        <f t="shared" si="52"/>
        <v>109.3.30</v>
      </c>
      <c r="AW401" s="1344">
        <f t="shared" si="53"/>
        <v>43920</v>
      </c>
    </row>
    <row r="402" spans="1:49">
      <c r="A402" s="1077" t="s">
        <v>2938</v>
      </c>
      <c r="B402" s="1077" t="s">
        <v>2129</v>
      </c>
      <c r="C402" s="1077">
        <v>600</v>
      </c>
      <c r="D402" s="1077">
        <v>1.74</v>
      </c>
      <c r="E402" s="1077" t="s">
        <v>15089</v>
      </c>
      <c r="F402" s="1077" t="s">
        <v>954</v>
      </c>
      <c r="G402" s="1077" t="s">
        <v>1767</v>
      </c>
      <c r="H402" s="1077" t="s">
        <v>2939</v>
      </c>
      <c r="I402" s="1077" t="s">
        <v>126</v>
      </c>
      <c r="J402" s="1077">
        <v>1.1000000000000001</v>
      </c>
      <c r="K402" s="1077" t="s">
        <v>2755</v>
      </c>
      <c r="L402" s="1077" t="s">
        <v>2756</v>
      </c>
      <c r="M402" s="1077">
        <v>76</v>
      </c>
      <c r="N402" s="1077" t="s">
        <v>945</v>
      </c>
      <c r="O402" s="1077">
        <v>1.9000000000000001</v>
      </c>
      <c r="P402" s="1077">
        <v>1.52</v>
      </c>
      <c r="Q402" s="1077" t="s">
        <v>1264</v>
      </c>
      <c r="R402" s="1077">
        <v>22</v>
      </c>
      <c r="T402" s="1077">
        <v>15.5</v>
      </c>
      <c r="U402" s="1077">
        <v>2.9</v>
      </c>
      <c r="V402" s="1077" t="s">
        <v>648</v>
      </c>
      <c r="W402" s="1077">
        <v>105</v>
      </c>
      <c r="X402" s="1077">
        <v>85</v>
      </c>
      <c r="Y402" s="1077">
        <v>2.2000000000000002</v>
      </c>
      <c r="Z402" s="1077">
        <v>3</v>
      </c>
      <c r="AA402" s="1077" t="s">
        <v>1287</v>
      </c>
      <c r="AH402" s="1077" t="s">
        <v>483</v>
      </c>
      <c r="AM402" s="1078" t="s">
        <v>9849</v>
      </c>
      <c r="AN402" s="1078" t="s">
        <v>9850</v>
      </c>
      <c r="AO402" s="1078">
        <f t="shared" si="54"/>
        <v>600</v>
      </c>
      <c r="AP402" s="1078">
        <f t="shared" si="55"/>
        <v>1.74</v>
      </c>
      <c r="AQ402" s="1078" t="str">
        <f t="shared" si="56"/>
        <v>1-4-1S83°</v>
      </c>
      <c r="AR402" s="1078" t="str">
        <f t="shared" si="57"/>
        <v>31</v>
      </c>
      <c r="AS402" s="1078" t="str">
        <f t="shared" si="58"/>
        <v>300/300/155</v>
      </c>
      <c r="AT402" s="1078" t="str">
        <f t="shared" si="59"/>
        <v>1-4-1S83°</v>
      </c>
      <c r="AV402" s="1078" t="str">
        <f t="shared" si="52"/>
        <v>109.4.6</v>
      </c>
      <c r="AW402" s="1344">
        <f t="shared" si="53"/>
        <v>43927</v>
      </c>
    </row>
    <row r="403" spans="1:49">
      <c r="A403" s="1077" t="s">
        <v>2940</v>
      </c>
      <c r="B403" s="1077" t="s">
        <v>1766</v>
      </c>
      <c r="C403" s="1077">
        <v>700</v>
      </c>
      <c r="D403" s="1077">
        <v>1.8</v>
      </c>
      <c r="E403" s="1077" t="s">
        <v>15091</v>
      </c>
      <c r="F403" s="1077" t="s">
        <v>975</v>
      </c>
      <c r="G403" s="1077" t="s">
        <v>1767</v>
      </c>
      <c r="H403" s="1077" t="s">
        <v>2941</v>
      </c>
      <c r="I403" s="1077" t="s">
        <v>1073</v>
      </c>
      <c r="J403" s="1077">
        <v>0.5</v>
      </c>
      <c r="K403" s="1077" t="s">
        <v>2942</v>
      </c>
      <c r="L403" s="1077" t="s">
        <v>1769</v>
      </c>
      <c r="M403" s="1077">
        <v>74.8</v>
      </c>
      <c r="N403" s="1077" t="s">
        <v>945</v>
      </c>
      <c r="O403" s="1077">
        <v>1.87</v>
      </c>
      <c r="P403" s="1077">
        <v>1.496</v>
      </c>
      <c r="Q403" s="1077" t="s">
        <v>961</v>
      </c>
      <c r="R403" s="1077">
        <v>18.7</v>
      </c>
      <c r="T403" s="1077">
        <v>40.1</v>
      </c>
      <c r="U403" s="1077">
        <v>3.4</v>
      </c>
      <c r="V403" s="1077" t="s">
        <v>648</v>
      </c>
      <c r="W403" s="1077">
        <v>30</v>
      </c>
      <c r="X403" s="1077">
        <v>10</v>
      </c>
      <c r="Y403" s="1077">
        <v>1.7</v>
      </c>
      <c r="Z403" s="1077" t="s">
        <v>2943</v>
      </c>
      <c r="AA403" s="1077" t="s">
        <v>2944</v>
      </c>
      <c r="AH403" s="1077" t="s">
        <v>783</v>
      </c>
      <c r="AM403" s="1078" t="s">
        <v>9851</v>
      </c>
      <c r="AN403" s="1078" t="s">
        <v>9852</v>
      </c>
      <c r="AO403" s="1078">
        <f t="shared" si="54"/>
        <v>700</v>
      </c>
      <c r="AP403" s="1078">
        <f t="shared" si="55"/>
        <v>1.8</v>
      </c>
      <c r="AQ403" s="1078" t="str">
        <f t="shared" si="56"/>
        <v>2-5-1S83°</v>
      </c>
      <c r="AR403" s="1078" t="str">
        <f t="shared" si="57"/>
        <v>31.5</v>
      </c>
      <c r="AS403" s="1078" t="str">
        <f t="shared" si="58"/>
        <v>190/OFF</v>
      </c>
      <c r="AT403" s="1078" t="str">
        <f t="shared" si="59"/>
        <v>2-5-1S83°</v>
      </c>
      <c r="AV403" s="1078" t="str">
        <f t="shared" si="52"/>
        <v>109.4.21</v>
      </c>
      <c r="AW403" s="1344">
        <f t="shared" si="53"/>
        <v>43942</v>
      </c>
    </row>
    <row r="404" spans="1:49">
      <c r="A404" s="1077" t="s">
        <v>2945</v>
      </c>
      <c r="B404" s="1077" t="s">
        <v>1766</v>
      </c>
      <c r="C404" s="1077">
        <v>700</v>
      </c>
      <c r="D404" s="1077">
        <v>1.8</v>
      </c>
      <c r="E404" s="1077" t="s">
        <v>15091</v>
      </c>
      <c r="F404" s="1077" t="s">
        <v>1514</v>
      </c>
      <c r="G404" s="1077" t="s">
        <v>1767</v>
      </c>
      <c r="H404" s="1077" t="s">
        <v>2946</v>
      </c>
      <c r="I404" s="1077" t="s">
        <v>1073</v>
      </c>
      <c r="J404" s="1077">
        <v>0.7</v>
      </c>
      <c r="K404" s="1077" t="s">
        <v>2947</v>
      </c>
      <c r="L404" s="1077" t="s">
        <v>1769</v>
      </c>
      <c r="M404" s="1077">
        <v>77.099999999999994</v>
      </c>
      <c r="N404" s="1077" t="s">
        <v>945</v>
      </c>
      <c r="O404" s="1077">
        <v>1.9275</v>
      </c>
      <c r="P404" s="1077">
        <v>1.5419999999999998</v>
      </c>
      <c r="Q404" s="1077" t="s">
        <v>1277</v>
      </c>
      <c r="R404" s="1077">
        <v>23.2</v>
      </c>
      <c r="T404" s="1077">
        <v>16</v>
      </c>
      <c r="U404" s="1077">
        <v>1.5</v>
      </c>
      <c r="V404" s="1077" t="s">
        <v>648</v>
      </c>
      <c r="W404" s="1077">
        <v>30</v>
      </c>
      <c r="X404" s="1077">
        <v>10</v>
      </c>
      <c r="Y404" s="1077">
        <v>2</v>
      </c>
      <c r="Z404" s="1077" t="s">
        <v>2757</v>
      </c>
      <c r="AA404" s="1077" t="s">
        <v>2948</v>
      </c>
      <c r="AH404" s="1077" t="s">
        <v>2836</v>
      </c>
      <c r="AM404" s="1078" t="s">
        <v>9853</v>
      </c>
      <c r="AN404" s="1078" t="s">
        <v>9854</v>
      </c>
      <c r="AO404" s="1078">
        <f t="shared" si="54"/>
        <v>700</v>
      </c>
      <c r="AP404" s="1078">
        <f t="shared" si="55"/>
        <v>1.8</v>
      </c>
      <c r="AQ404" s="1078" t="str">
        <f t="shared" si="56"/>
        <v>2-5-1S83°</v>
      </c>
      <c r="AR404" s="1078" t="str">
        <f t="shared" si="57"/>
        <v>32</v>
      </c>
      <c r="AS404" s="1078" t="str">
        <f t="shared" si="58"/>
        <v>192/191</v>
      </c>
      <c r="AT404" s="1078" t="str">
        <f t="shared" si="59"/>
        <v>2-5-1S83°</v>
      </c>
      <c r="AV404" s="1078" t="str">
        <f t="shared" si="52"/>
        <v>109.4.17</v>
      </c>
      <c r="AW404" s="1344">
        <f t="shared" si="53"/>
        <v>43938</v>
      </c>
    </row>
    <row r="405" spans="1:49">
      <c r="A405" s="1077" t="s">
        <v>2949</v>
      </c>
      <c r="B405" s="1077" t="s">
        <v>2129</v>
      </c>
      <c r="C405" s="1077">
        <v>600</v>
      </c>
      <c r="D405" s="1077">
        <v>1.74</v>
      </c>
      <c r="E405" s="1077" t="s">
        <v>15089</v>
      </c>
      <c r="F405" s="1077" t="s">
        <v>954</v>
      </c>
      <c r="G405" s="1077" t="s">
        <v>1767</v>
      </c>
      <c r="H405" s="1077" t="s">
        <v>2939</v>
      </c>
      <c r="I405" s="1077" t="s">
        <v>126</v>
      </c>
      <c r="J405" s="1077">
        <v>1.1000000000000001</v>
      </c>
      <c r="K405" s="1077" t="s">
        <v>2755</v>
      </c>
      <c r="L405" s="1077" t="s">
        <v>2756</v>
      </c>
      <c r="M405" s="1077">
        <v>76</v>
      </c>
      <c r="N405" s="1077" t="s">
        <v>945</v>
      </c>
      <c r="O405" s="1077">
        <v>1.9000000000000001</v>
      </c>
      <c r="P405" s="1077">
        <v>1.52</v>
      </c>
      <c r="Q405" s="1077" t="s">
        <v>2950</v>
      </c>
      <c r="R405" s="1077">
        <v>22</v>
      </c>
      <c r="T405" s="1077">
        <v>15.5</v>
      </c>
      <c r="U405" s="1077">
        <v>2.9</v>
      </c>
      <c r="V405" s="1077" t="s">
        <v>648</v>
      </c>
      <c r="W405" s="1077">
        <v>105</v>
      </c>
      <c r="X405" s="1077">
        <v>85</v>
      </c>
      <c r="Y405" s="1077">
        <v>2.2000000000000002</v>
      </c>
      <c r="Z405" s="1077">
        <v>3</v>
      </c>
      <c r="AA405" s="1077" t="s">
        <v>2948</v>
      </c>
      <c r="AH405" s="1077" t="s">
        <v>966</v>
      </c>
      <c r="AM405" s="1078" t="s">
        <v>9855</v>
      </c>
      <c r="AN405" s="1078" t="s">
        <v>9856</v>
      </c>
      <c r="AO405" s="1078">
        <f t="shared" si="54"/>
        <v>600</v>
      </c>
      <c r="AP405" s="1078">
        <f t="shared" si="55"/>
        <v>1.74</v>
      </c>
      <c r="AQ405" s="1078" t="str">
        <f t="shared" si="56"/>
        <v>1-4-1S83°</v>
      </c>
      <c r="AR405" s="1078" t="str">
        <f t="shared" si="57"/>
        <v>31</v>
      </c>
      <c r="AS405" s="1078" t="str">
        <f t="shared" si="58"/>
        <v>300/300/155</v>
      </c>
      <c r="AT405" s="1078" t="str">
        <f t="shared" si="59"/>
        <v>1-4-1S83°</v>
      </c>
      <c r="AV405" s="1078" t="str">
        <f t="shared" si="52"/>
        <v>109.4.17</v>
      </c>
      <c r="AW405" s="1344">
        <f t="shared" si="53"/>
        <v>43938</v>
      </c>
    </row>
    <row r="406" spans="1:49">
      <c r="A406" s="1077" t="s">
        <v>2951</v>
      </c>
      <c r="B406" s="1077" t="s">
        <v>2544</v>
      </c>
      <c r="C406" s="1077">
        <v>500</v>
      </c>
      <c r="D406" s="1077">
        <v>1.68</v>
      </c>
      <c r="E406" s="1077" t="s">
        <v>15089</v>
      </c>
      <c r="F406" s="1077" t="s">
        <v>984</v>
      </c>
      <c r="G406" s="1077" t="s">
        <v>940</v>
      </c>
      <c r="H406" s="1077" t="s">
        <v>2545</v>
      </c>
      <c r="I406" s="1077" t="s">
        <v>626</v>
      </c>
      <c r="J406" s="1077">
        <v>1.1000000000000001</v>
      </c>
      <c r="K406" s="1077" t="s">
        <v>2952</v>
      </c>
      <c r="L406" s="1077" t="s">
        <v>2547</v>
      </c>
      <c r="M406" s="1077">
        <v>77.599999999999994</v>
      </c>
      <c r="N406" s="1077" t="s">
        <v>945</v>
      </c>
      <c r="O406" s="1077">
        <v>1.94</v>
      </c>
      <c r="P406" s="1077">
        <v>1.5519999999999998</v>
      </c>
      <c r="Q406" s="1077" t="s">
        <v>1059</v>
      </c>
      <c r="R406" s="1077">
        <v>25.1</v>
      </c>
      <c r="T406" s="1077">
        <v>49.4</v>
      </c>
      <c r="U406" s="1077">
        <v>3.8</v>
      </c>
      <c r="V406" s="1077" t="s">
        <v>648</v>
      </c>
      <c r="W406" s="1077">
        <v>100</v>
      </c>
      <c r="X406" s="1077">
        <v>10</v>
      </c>
      <c r="Y406" s="1077">
        <v>1.3</v>
      </c>
      <c r="Z406" s="1077">
        <v>6</v>
      </c>
      <c r="AA406" s="1077" t="s">
        <v>2948</v>
      </c>
      <c r="AH406" s="1077" t="s">
        <v>994</v>
      </c>
      <c r="AM406" s="1078" t="s">
        <v>9857</v>
      </c>
      <c r="AN406" s="1078" t="s">
        <v>9858</v>
      </c>
      <c r="AO406" s="1078">
        <f t="shared" si="54"/>
        <v>500</v>
      </c>
      <c r="AP406" s="1078">
        <f t="shared" si="55"/>
        <v>1.68</v>
      </c>
      <c r="AQ406" s="1078" t="str">
        <f t="shared" si="56"/>
        <v>1-4-1S83°</v>
      </c>
      <c r="AR406" s="1078" t="str">
        <f t="shared" si="57"/>
        <v>30</v>
      </c>
      <c r="AS406" s="1078" t="str">
        <f t="shared" si="58"/>
        <v>260/270/OFF</v>
      </c>
      <c r="AT406" s="1078" t="str">
        <f t="shared" si="59"/>
        <v>1-4-1S83°</v>
      </c>
      <c r="AV406" s="1078" t="str">
        <f t="shared" si="52"/>
        <v>109.4.17</v>
      </c>
      <c r="AW406" s="1344">
        <f t="shared" si="53"/>
        <v>43938</v>
      </c>
    </row>
    <row r="407" spans="1:49">
      <c r="A407" s="1077" t="s">
        <v>2953</v>
      </c>
      <c r="B407" s="1077" t="s">
        <v>1766</v>
      </c>
      <c r="C407" s="1077">
        <v>700</v>
      </c>
      <c r="D407" s="1077">
        <v>1.8</v>
      </c>
      <c r="E407" s="1077" t="s">
        <v>15091</v>
      </c>
      <c r="F407" s="1077" t="s">
        <v>954</v>
      </c>
      <c r="G407" s="1077" t="s">
        <v>1767</v>
      </c>
      <c r="H407" s="1077" t="s">
        <v>2946</v>
      </c>
      <c r="I407" s="1077" t="s">
        <v>1073</v>
      </c>
      <c r="J407" s="1077">
        <v>0.8</v>
      </c>
      <c r="K407" s="1077" t="s">
        <v>2954</v>
      </c>
      <c r="L407" s="1077" t="s">
        <v>1769</v>
      </c>
      <c r="M407" s="1077">
        <v>77.099999999999994</v>
      </c>
      <c r="N407" s="1077" t="s">
        <v>945</v>
      </c>
      <c r="O407" s="1077">
        <v>1.9275</v>
      </c>
      <c r="P407" s="1077">
        <v>1.5419999999999998</v>
      </c>
      <c r="Q407" s="1077" t="s">
        <v>1037</v>
      </c>
      <c r="R407" s="1077">
        <v>23.2</v>
      </c>
      <c r="T407" s="1077">
        <v>16</v>
      </c>
      <c r="U407" s="1077">
        <v>1.5</v>
      </c>
      <c r="V407" s="1077" t="s">
        <v>648</v>
      </c>
      <c r="W407" s="1077">
        <v>30</v>
      </c>
      <c r="X407" s="1077">
        <v>10</v>
      </c>
      <c r="Y407" s="1077">
        <v>2</v>
      </c>
      <c r="Z407" s="1077" t="s">
        <v>2757</v>
      </c>
      <c r="AA407" s="1077" t="s">
        <v>2955</v>
      </c>
      <c r="AH407" s="1077" t="s">
        <v>1771</v>
      </c>
      <c r="AM407" s="1078" t="s">
        <v>9859</v>
      </c>
      <c r="AN407" s="1078" t="s">
        <v>9860</v>
      </c>
      <c r="AO407" s="1078">
        <f t="shared" si="54"/>
        <v>700</v>
      </c>
      <c r="AP407" s="1078">
        <f t="shared" si="55"/>
        <v>1.8</v>
      </c>
      <c r="AQ407" s="1078" t="str">
        <f t="shared" si="56"/>
        <v>2-5-1S83°</v>
      </c>
      <c r="AR407" s="1078" t="str">
        <f t="shared" si="57"/>
        <v>31</v>
      </c>
      <c r="AS407" s="1078" t="str">
        <f t="shared" si="58"/>
        <v>192/191</v>
      </c>
      <c r="AT407" s="1078" t="str">
        <f t="shared" si="59"/>
        <v>2-5-1S83°</v>
      </c>
      <c r="AV407" s="1078" t="str">
        <f t="shared" si="52"/>
        <v>109.5.15</v>
      </c>
      <c r="AW407" s="1344">
        <f t="shared" si="53"/>
        <v>43966</v>
      </c>
    </row>
    <row r="408" spans="1:49">
      <c r="A408" s="1077" t="s">
        <v>2956</v>
      </c>
      <c r="B408" s="1077" t="s">
        <v>1823</v>
      </c>
      <c r="C408" s="1077">
        <v>500</v>
      </c>
      <c r="D408" s="1077">
        <v>1.74</v>
      </c>
      <c r="E408" s="1077" t="s">
        <v>15095</v>
      </c>
      <c r="F408" s="1077" t="s">
        <v>984</v>
      </c>
      <c r="G408" s="1077" t="s">
        <v>1016</v>
      </c>
      <c r="H408" s="1077" t="s">
        <v>1145</v>
      </c>
      <c r="I408" s="1077" t="s">
        <v>126</v>
      </c>
      <c r="J408" s="1077">
        <v>0.6</v>
      </c>
      <c r="K408" s="1077" t="s">
        <v>2957</v>
      </c>
      <c r="L408" s="1077" t="s">
        <v>1825</v>
      </c>
      <c r="M408" s="1077">
        <v>73.8</v>
      </c>
      <c r="N408" s="1077" t="s">
        <v>945</v>
      </c>
      <c r="O408" s="1077">
        <v>1.845</v>
      </c>
      <c r="P408" s="1077">
        <v>1.476</v>
      </c>
      <c r="Q408" s="1077" t="s">
        <v>2422</v>
      </c>
      <c r="R408" s="1077">
        <v>18.5</v>
      </c>
      <c r="T408" s="1077">
        <v>21</v>
      </c>
      <c r="U408" s="1077">
        <v>3.8</v>
      </c>
      <c r="V408" s="1077" t="s">
        <v>648</v>
      </c>
      <c r="W408" s="1077">
        <v>110</v>
      </c>
      <c r="X408" s="1077">
        <v>85</v>
      </c>
      <c r="Y408" s="1077">
        <v>1.9</v>
      </c>
      <c r="Z408" s="1077">
        <v>4</v>
      </c>
      <c r="AA408" s="1077" t="s">
        <v>2958</v>
      </c>
      <c r="AH408" s="1077" t="s">
        <v>1771</v>
      </c>
      <c r="AM408" s="1078" t="s">
        <v>9861</v>
      </c>
      <c r="AN408" s="1078" t="s">
        <v>9862</v>
      </c>
      <c r="AO408" s="1078">
        <f t="shared" si="54"/>
        <v>500</v>
      </c>
      <c r="AP408" s="1078">
        <f t="shared" si="55"/>
        <v>1.74</v>
      </c>
      <c r="AQ408" s="1078" t="str">
        <f t="shared" si="56"/>
        <v>1-5-1S83°</v>
      </c>
      <c r="AR408" s="1078" t="str">
        <f t="shared" si="57"/>
        <v>30</v>
      </c>
      <c r="AS408" s="1078" t="str">
        <f t="shared" si="58"/>
        <v>235/235/OFF</v>
      </c>
      <c r="AT408" s="1078" t="str">
        <f t="shared" si="59"/>
        <v>1-5-1S83°</v>
      </c>
      <c r="AV408" s="1078" t="str">
        <f t="shared" si="52"/>
        <v>109.4.20</v>
      </c>
      <c r="AW408" s="1344">
        <f t="shared" si="53"/>
        <v>43941</v>
      </c>
    </row>
    <row r="409" spans="1:49">
      <c r="A409" s="1077" t="s">
        <v>2959</v>
      </c>
      <c r="B409" s="1077" t="s">
        <v>2513</v>
      </c>
      <c r="C409" s="1077">
        <v>550</v>
      </c>
      <c r="D409" s="1077">
        <v>1.78</v>
      </c>
      <c r="E409" s="1077" t="s">
        <v>15101</v>
      </c>
      <c r="F409" s="1077" t="s">
        <v>984</v>
      </c>
      <c r="G409" s="1077" t="s">
        <v>940</v>
      </c>
      <c r="H409" s="1077" t="s">
        <v>1290</v>
      </c>
      <c r="I409" s="1077" t="s">
        <v>126</v>
      </c>
      <c r="J409" s="1077">
        <v>0.5</v>
      </c>
      <c r="K409" s="1077" t="s">
        <v>2960</v>
      </c>
      <c r="L409" s="1077" t="s">
        <v>2514</v>
      </c>
      <c r="M409" s="1077">
        <v>75.5</v>
      </c>
      <c r="N409" s="1077" t="s">
        <v>945</v>
      </c>
      <c r="O409" s="1077">
        <v>1.8875000000000002</v>
      </c>
      <c r="P409" s="1077">
        <v>1.51</v>
      </c>
      <c r="Q409" s="1077" t="s">
        <v>1012</v>
      </c>
      <c r="R409" s="1077">
        <v>23</v>
      </c>
      <c r="T409" s="1077">
        <v>9</v>
      </c>
      <c r="U409" s="1077">
        <v>5.5</v>
      </c>
      <c r="V409" s="1077" t="s">
        <v>648</v>
      </c>
      <c r="W409" s="1077">
        <v>100</v>
      </c>
      <c r="X409" s="1077">
        <v>75</v>
      </c>
      <c r="Y409" s="1077">
        <v>2</v>
      </c>
      <c r="Z409" s="1077">
        <v>4</v>
      </c>
      <c r="AA409" s="1077" t="s">
        <v>2961</v>
      </c>
      <c r="AH409" s="1077" t="s">
        <v>456</v>
      </c>
      <c r="AM409" s="1078" t="s">
        <v>9863</v>
      </c>
      <c r="AN409" s="1078" t="s">
        <v>9864</v>
      </c>
      <c r="AO409" s="1078">
        <f t="shared" si="54"/>
        <v>550</v>
      </c>
      <c r="AP409" s="1078">
        <f t="shared" si="55"/>
        <v>1.78</v>
      </c>
      <c r="AQ409" s="1078" t="str">
        <f t="shared" si="56"/>
        <v>1-5-1S87°→1-4-1S83°</v>
      </c>
      <c r="AR409" s="1078" t="str">
        <f t="shared" si="57"/>
        <v>30</v>
      </c>
      <c r="AS409" s="1078" t="str">
        <f t="shared" si="58"/>
        <v>220/220/OFF</v>
      </c>
      <c r="AT409" s="1078" t="str">
        <f t="shared" si="59"/>
        <v>1-5-1S87°→1-4-1S83°</v>
      </c>
      <c r="AU409" s="1078" t="s">
        <v>15546</v>
      </c>
      <c r="AV409" s="1078" t="str">
        <f t="shared" si="52"/>
        <v>109.4.23</v>
      </c>
      <c r="AW409" s="1344">
        <f t="shared" si="53"/>
        <v>43944</v>
      </c>
    </row>
    <row r="410" spans="1:49">
      <c r="A410" s="1077" t="s">
        <v>2962</v>
      </c>
      <c r="B410" s="1077" t="s">
        <v>2544</v>
      </c>
      <c r="C410" s="1077">
        <v>500</v>
      </c>
      <c r="D410" s="1077">
        <v>1.66</v>
      </c>
      <c r="E410" s="1077" t="s">
        <v>15089</v>
      </c>
      <c r="F410" s="1077" t="s">
        <v>984</v>
      </c>
      <c r="G410" s="1077" t="s">
        <v>940</v>
      </c>
      <c r="H410" s="1077" t="s">
        <v>2545</v>
      </c>
      <c r="I410" s="1077" t="s">
        <v>626</v>
      </c>
      <c r="J410" s="1077">
        <v>1.1000000000000001</v>
      </c>
      <c r="K410" s="1077" t="s">
        <v>2963</v>
      </c>
      <c r="L410" s="1077" t="s">
        <v>2547</v>
      </c>
      <c r="M410" s="1077">
        <v>77.599999999999994</v>
      </c>
      <c r="N410" s="1077" t="s">
        <v>945</v>
      </c>
      <c r="O410" s="1077">
        <v>1.94</v>
      </c>
      <c r="P410" s="1077">
        <v>1.5519999999999998</v>
      </c>
      <c r="Q410" s="1077" t="s">
        <v>1059</v>
      </c>
      <c r="R410" s="1077">
        <v>25.1</v>
      </c>
      <c r="T410" s="1077">
        <v>49.4</v>
      </c>
      <c r="U410" s="1077">
        <v>3.8</v>
      </c>
      <c r="V410" s="1077" t="s">
        <v>648</v>
      </c>
      <c r="W410" s="1077">
        <v>100</v>
      </c>
      <c r="X410" s="1077">
        <v>10</v>
      </c>
      <c r="Y410" s="1077">
        <v>1.3</v>
      </c>
      <c r="Z410" s="1077">
        <v>6</v>
      </c>
      <c r="AA410" s="1077" t="s">
        <v>951</v>
      </c>
      <c r="AH410" s="1077" t="s">
        <v>621</v>
      </c>
      <c r="AM410" s="1078" t="s">
        <v>9865</v>
      </c>
      <c r="AN410" s="1078" t="s">
        <v>9866</v>
      </c>
      <c r="AO410" s="1078">
        <f t="shared" si="54"/>
        <v>500</v>
      </c>
      <c r="AP410" s="1078">
        <f t="shared" si="55"/>
        <v>1.66</v>
      </c>
      <c r="AQ410" s="1078" t="str">
        <f t="shared" si="56"/>
        <v>1-4-1S83°</v>
      </c>
      <c r="AR410" s="1078" t="str">
        <f t="shared" si="57"/>
        <v>30</v>
      </c>
      <c r="AS410" s="1078" t="str">
        <f t="shared" si="58"/>
        <v>260/270/OFF</v>
      </c>
      <c r="AT410" s="1078" t="str">
        <f t="shared" si="59"/>
        <v>1-4-1S83°</v>
      </c>
      <c r="AV410" s="1078" t="str">
        <f t="shared" si="52"/>
        <v>109.5.13</v>
      </c>
      <c r="AW410" s="1344">
        <f t="shared" si="53"/>
        <v>43964</v>
      </c>
    </row>
    <row r="411" spans="1:49">
      <c r="A411" s="1077" t="s">
        <v>2964</v>
      </c>
      <c r="B411" s="1077" t="s">
        <v>472</v>
      </c>
      <c r="C411" s="1077">
        <v>550</v>
      </c>
      <c r="D411" s="1077">
        <v>1.67</v>
      </c>
      <c r="E411" s="1077" t="s">
        <v>15089</v>
      </c>
      <c r="F411" s="1077" t="s">
        <v>984</v>
      </c>
      <c r="G411" s="1077" t="s">
        <v>1767</v>
      </c>
      <c r="H411" s="1077" t="s">
        <v>1327</v>
      </c>
      <c r="I411" s="1077" t="s">
        <v>126</v>
      </c>
      <c r="J411" s="1077">
        <v>0.6</v>
      </c>
      <c r="K411" s="1077" t="s">
        <v>2965</v>
      </c>
      <c r="L411" s="1077" t="s">
        <v>1811</v>
      </c>
      <c r="M411" s="1077">
        <v>74.599999999999994</v>
      </c>
      <c r="N411" s="1077" t="s">
        <v>945</v>
      </c>
      <c r="O411" s="1077">
        <v>1.865</v>
      </c>
      <c r="P411" s="1077">
        <v>1.492</v>
      </c>
      <c r="Q411" s="1077" t="s">
        <v>2422</v>
      </c>
      <c r="R411" s="1077">
        <v>23.5</v>
      </c>
      <c r="T411" s="1077">
        <v>12.5</v>
      </c>
      <c r="U411" s="1077">
        <v>5.0999999999999996</v>
      </c>
      <c r="V411" s="1077" t="s">
        <v>648</v>
      </c>
      <c r="W411" s="1077" t="s">
        <v>2532</v>
      </c>
      <c r="X411" s="1077">
        <v>60</v>
      </c>
      <c r="Y411" s="1077">
        <v>1.8</v>
      </c>
      <c r="Z411" s="1077">
        <v>4.5</v>
      </c>
      <c r="AA411" s="1077" t="s">
        <v>2966</v>
      </c>
      <c r="AH411" s="1077" t="s">
        <v>468</v>
      </c>
      <c r="AM411" s="1078" t="s">
        <v>9867</v>
      </c>
      <c r="AN411" s="1078" t="s">
        <v>9868</v>
      </c>
      <c r="AO411" s="1078">
        <f t="shared" si="54"/>
        <v>550</v>
      </c>
      <c r="AP411" s="1078">
        <f t="shared" si="55"/>
        <v>1.67</v>
      </c>
      <c r="AQ411" s="1078" t="str">
        <f t="shared" si="56"/>
        <v>1-4-1S83°</v>
      </c>
      <c r="AR411" s="1078" t="str">
        <f t="shared" si="57"/>
        <v>30</v>
      </c>
      <c r="AS411" s="1078" t="str">
        <f t="shared" si="58"/>
        <v>232/232/OFF</v>
      </c>
      <c r="AT411" s="1078" t="str">
        <f t="shared" si="59"/>
        <v>1-4-1S83°</v>
      </c>
      <c r="AV411" s="1078" t="str">
        <f t="shared" si="52"/>
        <v>109.5.8</v>
      </c>
      <c r="AW411" s="1344">
        <f t="shared" si="53"/>
        <v>43959</v>
      </c>
    </row>
    <row r="412" spans="1:49">
      <c r="A412" s="1077" t="s">
        <v>2967</v>
      </c>
      <c r="B412" s="1077" t="s">
        <v>1823</v>
      </c>
      <c r="C412" s="1077">
        <v>500</v>
      </c>
      <c r="D412" s="1077">
        <v>1.74</v>
      </c>
      <c r="E412" s="1077" t="s">
        <v>15095</v>
      </c>
      <c r="F412" s="1077" t="s">
        <v>984</v>
      </c>
      <c r="G412" s="1077" t="s">
        <v>1016</v>
      </c>
      <c r="H412" s="1077" t="s">
        <v>1145</v>
      </c>
      <c r="I412" s="1077" t="s">
        <v>126</v>
      </c>
      <c r="J412" s="1077">
        <v>0.6</v>
      </c>
      <c r="K412" s="1077" t="s">
        <v>2968</v>
      </c>
      <c r="L412" s="1077" t="s">
        <v>1825</v>
      </c>
      <c r="M412" s="1077">
        <v>73.8</v>
      </c>
      <c r="N412" s="1077" t="s">
        <v>945</v>
      </c>
      <c r="O412" s="1077">
        <v>1.845</v>
      </c>
      <c r="P412" s="1077">
        <v>1.476</v>
      </c>
      <c r="Q412" s="1077" t="s">
        <v>2553</v>
      </c>
      <c r="R412" s="1077">
        <v>18.5</v>
      </c>
      <c r="T412" s="1077">
        <v>21</v>
      </c>
      <c r="U412" s="1077">
        <v>3.8</v>
      </c>
      <c r="V412" s="1077" t="s">
        <v>648</v>
      </c>
      <c r="W412" s="1077">
        <v>110</v>
      </c>
      <c r="X412" s="1077">
        <v>85</v>
      </c>
      <c r="Y412" s="1077">
        <v>1.9</v>
      </c>
      <c r="Z412" s="1077">
        <v>4</v>
      </c>
      <c r="AA412" s="1077" t="s">
        <v>2969</v>
      </c>
      <c r="AH412" s="1077" t="s">
        <v>726</v>
      </c>
      <c r="AM412" s="1078" t="s">
        <v>9869</v>
      </c>
      <c r="AN412" s="1078" t="s">
        <v>9870</v>
      </c>
      <c r="AO412" s="1078">
        <f t="shared" si="54"/>
        <v>500</v>
      </c>
      <c r="AP412" s="1078">
        <f t="shared" si="55"/>
        <v>1.74</v>
      </c>
      <c r="AQ412" s="1078" t="str">
        <f t="shared" si="56"/>
        <v>1-5-1S83°</v>
      </c>
      <c r="AR412" s="1078" t="str">
        <f t="shared" si="57"/>
        <v>30</v>
      </c>
      <c r="AS412" s="1078" t="str">
        <f t="shared" si="58"/>
        <v>235/235/OFF</v>
      </c>
      <c r="AT412" s="1078" t="str">
        <f t="shared" si="59"/>
        <v>1-5-1S83°</v>
      </c>
      <c r="AV412" s="1078" t="str">
        <f t="shared" si="52"/>
        <v>109.5.11</v>
      </c>
      <c r="AW412" s="1344">
        <f t="shared" si="53"/>
        <v>43962</v>
      </c>
    </row>
    <row r="413" spans="1:49">
      <c r="A413" s="1077" t="s">
        <v>2970</v>
      </c>
      <c r="B413" s="1077" t="s">
        <v>2129</v>
      </c>
      <c r="C413" s="1077">
        <v>600</v>
      </c>
      <c r="D413" s="1077">
        <v>1.71</v>
      </c>
      <c r="E413" s="1077" t="s">
        <v>15089</v>
      </c>
      <c r="F413" s="1077" t="s">
        <v>954</v>
      </c>
      <c r="G413" s="1077" t="s">
        <v>1767</v>
      </c>
      <c r="H413" s="1077" t="s">
        <v>2971</v>
      </c>
      <c r="I413" s="1077" t="s">
        <v>126</v>
      </c>
      <c r="J413" s="1077">
        <v>1.1000000000000001</v>
      </c>
      <c r="K413" s="1077" t="s">
        <v>2972</v>
      </c>
      <c r="L413" s="1077" t="s">
        <v>2132</v>
      </c>
      <c r="M413" s="1077">
        <v>77</v>
      </c>
      <c r="N413" s="1077" t="s">
        <v>945</v>
      </c>
      <c r="O413" s="1077">
        <v>1.925</v>
      </c>
      <c r="P413" s="1077">
        <v>1.54</v>
      </c>
      <c r="Q413" s="1077" t="s">
        <v>1264</v>
      </c>
      <c r="R413" s="1077">
        <v>22</v>
      </c>
      <c r="T413" s="1077">
        <v>15.5</v>
      </c>
      <c r="U413" s="1077">
        <v>2.9</v>
      </c>
      <c r="V413" s="1077" t="s">
        <v>648</v>
      </c>
      <c r="W413" s="1077">
        <v>105</v>
      </c>
      <c r="X413" s="1077">
        <v>85</v>
      </c>
      <c r="Y413" s="1077">
        <v>2.2000000000000002</v>
      </c>
      <c r="Z413" s="1077">
        <v>3</v>
      </c>
      <c r="AA413" s="1077" t="s">
        <v>2973</v>
      </c>
      <c r="AH413" s="1077" t="s">
        <v>762</v>
      </c>
      <c r="AM413" s="1078" t="s">
        <v>9871</v>
      </c>
      <c r="AN413" s="1078" t="s">
        <v>9872</v>
      </c>
      <c r="AO413" s="1078">
        <f t="shared" si="54"/>
        <v>600</v>
      </c>
      <c r="AP413" s="1078">
        <f t="shared" si="55"/>
        <v>1.71</v>
      </c>
      <c r="AQ413" s="1078" t="str">
        <f t="shared" si="56"/>
        <v>1-4-1S83°</v>
      </c>
      <c r="AR413" s="1078" t="str">
        <f t="shared" si="57"/>
        <v>31</v>
      </c>
      <c r="AS413" s="1078" t="str">
        <f t="shared" si="58"/>
        <v>295/295/155</v>
      </c>
      <c r="AT413" s="1078" t="str">
        <f t="shared" si="59"/>
        <v>1-4-1S83°</v>
      </c>
      <c r="AV413" s="1078" t="str">
        <f t="shared" si="52"/>
        <v>109.5.25</v>
      </c>
      <c r="AW413" s="1344">
        <f t="shared" si="53"/>
        <v>43976</v>
      </c>
    </row>
    <row r="414" spans="1:49">
      <c r="A414" s="1077" t="s">
        <v>2974</v>
      </c>
      <c r="B414" s="1077" t="s">
        <v>2975</v>
      </c>
      <c r="C414" s="1077">
        <v>650</v>
      </c>
      <c r="D414" s="1077">
        <v>1.73</v>
      </c>
      <c r="E414" s="1077" t="s">
        <v>15098</v>
      </c>
      <c r="F414" s="1077" t="s">
        <v>954</v>
      </c>
      <c r="G414" s="1077" t="s">
        <v>1767</v>
      </c>
      <c r="H414" s="1077" t="s">
        <v>2009</v>
      </c>
      <c r="I414" s="1077" t="s">
        <v>126</v>
      </c>
      <c r="J414" s="1077">
        <v>0.8</v>
      </c>
      <c r="K414" s="1077" t="s">
        <v>2976</v>
      </c>
      <c r="L414" s="1077" t="s">
        <v>2209</v>
      </c>
      <c r="M414" s="1077">
        <v>75.099999999999994</v>
      </c>
      <c r="N414" s="1077" t="s">
        <v>945</v>
      </c>
      <c r="O414" s="1077">
        <v>1.8774999999999999</v>
      </c>
      <c r="P414" s="1077">
        <v>1.502</v>
      </c>
      <c r="Q414" s="1077" t="s">
        <v>1037</v>
      </c>
      <c r="R414" s="1077">
        <v>19</v>
      </c>
      <c r="T414" s="1077">
        <v>21</v>
      </c>
      <c r="U414" s="1077">
        <v>3.5</v>
      </c>
      <c r="V414" s="1077" t="s">
        <v>648</v>
      </c>
      <c r="W414" s="1077">
        <v>110</v>
      </c>
      <c r="X414" s="1077">
        <v>65</v>
      </c>
      <c r="Y414" s="1077">
        <v>1.6</v>
      </c>
      <c r="Z414" s="1077">
        <v>4</v>
      </c>
      <c r="AA414" s="1077" t="s">
        <v>2977</v>
      </c>
      <c r="AH414" s="1077" t="s">
        <v>619</v>
      </c>
      <c r="AM414" s="1078" t="s">
        <v>9873</v>
      </c>
      <c r="AN414" s="1078" t="s">
        <v>9874</v>
      </c>
      <c r="AO414" s="1078">
        <f t="shared" si="54"/>
        <v>650</v>
      </c>
      <c r="AP414" s="1078">
        <f t="shared" si="55"/>
        <v>1.73</v>
      </c>
      <c r="AQ414" s="1078" t="str">
        <f t="shared" si="56"/>
        <v>1-4-1S91°</v>
      </c>
      <c r="AR414" s="1078" t="str">
        <f t="shared" si="57"/>
        <v>31</v>
      </c>
      <c r="AS414" s="1078" t="str">
        <f t="shared" si="58"/>
        <v>265/265/OFF</v>
      </c>
      <c r="AT414" s="1078" t="str">
        <f t="shared" si="59"/>
        <v>1-4-1S91°</v>
      </c>
      <c r="AV414" s="1078" t="str">
        <f t="shared" si="52"/>
        <v>109.5.29</v>
      </c>
      <c r="AW414" s="1344">
        <f t="shared" si="53"/>
        <v>43980</v>
      </c>
    </row>
    <row r="415" spans="1:49">
      <c r="A415" s="1077" t="s">
        <v>2978</v>
      </c>
      <c r="B415" s="1077" t="s">
        <v>1766</v>
      </c>
      <c r="C415" s="1077">
        <v>700</v>
      </c>
      <c r="D415" s="1077">
        <v>1.8</v>
      </c>
      <c r="E415" s="1077" t="s">
        <v>15089</v>
      </c>
      <c r="F415" s="1077" t="s">
        <v>984</v>
      </c>
      <c r="G415" s="1077" t="s">
        <v>1767</v>
      </c>
      <c r="H415" s="1077" t="s">
        <v>2540</v>
      </c>
      <c r="I415" s="1077" t="s">
        <v>1073</v>
      </c>
      <c r="J415" s="1077">
        <v>0.6</v>
      </c>
      <c r="K415" s="1077" t="s">
        <v>2932</v>
      </c>
      <c r="L415" s="1077" t="s">
        <v>1769</v>
      </c>
      <c r="M415" s="1077">
        <v>74.8</v>
      </c>
      <c r="N415" s="1077" t="s">
        <v>945</v>
      </c>
      <c r="O415" s="1077">
        <v>1.87</v>
      </c>
      <c r="P415" s="1077">
        <v>1.496</v>
      </c>
      <c r="Q415" s="1077" t="s">
        <v>946</v>
      </c>
      <c r="R415" s="1077">
        <v>18.7</v>
      </c>
      <c r="T415" s="1077">
        <v>40.1</v>
      </c>
      <c r="U415" s="1077">
        <v>3.4</v>
      </c>
      <c r="V415" s="1077" t="s">
        <v>648</v>
      </c>
      <c r="W415" s="1077">
        <v>30</v>
      </c>
      <c r="X415" s="1077">
        <v>10</v>
      </c>
      <c r="Y415" s="1077">
        <v>1.7</v>
      </c>
      <c r="Z415" s="1077">
        <v>5.5</v>
      </c>
      <c r="AA415" s="1077" t="s">
        <v>2979</v>
      </c>
      <c r="AH415" s="1077" t="s">
        <v>680</v>
      </c>
      <c r="AM415" s="1078" t="s">
        <v>9875</v>
      </c>
      <c r="AN415" s="1078" t="s">
        <v>9876</v>
      </c>
      <c r="AO415" s="1078">
        <f t="shared" si="54"/>
        <v>700</v>
      </c>
      <c r="AP415" s="1078">
        <f t="shared" si="55"/>
        <v>1.8</v>
      </c>
      <c r="AQ415" s="1078" t="str">
        <f t="shared" si="56"/>
        <v>1-4-1S83°</v>
      </c>
      <c r="AR415" s="1078" t="str">
        <f t="shared" si="57"/>
        <v>30</v>
      </c>
      <c r="AS415" s="1078" t="str">
        <f t="shared" si="58"/>
        <v>300/300/OFF</v>
      </c>
      <c r="AT415" s="1078" t="str">
        <f t="shared" si="59"/>
        <v>1-4-1S83°</v>
      </c>
      <c r="AV415" s="1078" t="str">
        <f t="shared" si="52"/>
        <v>109.6.8</v>
      </c>
      <c r="AW415" s="1344">
        <f t="shared" si="53"/>
        <v>43990</v>
      </c>
    </row>
    <row r="416" spans="1:49">
      <c r="A416" s="1077" t="s">
        <v>2980</v>
      </c>
      <c r="B416" s="1077" t="s">
        <v>472</v>
      </c>
      <c r="C416" s="1077">
        <v>550</v>
      </c>
      <c r="D416" s="1077">
        <v>1.69</v>
      </c>
      <c r="E416" s="1077" t="s">
        <v>15089</v>
      </c>
      <c r="F416" s="1077" t="s">
        <v>984</v>
      </c>
      <c r="G416" s="1077" t="s">
        <v>1767</v>
      </c>
      <c r="H416" s="1077" t="s">
        <v>1327</v>
      </c>
      <c r="I416" s="1077" t="s">
        <v>126</v>
      </c>
      <c r="J416" s="1077">
        <v>0.7</v>
      </c>
      <c r="K416" s="1077" t="s">
        <v>2965</v>
      </c>
      <c r="L416" s="1077" t="s">
        <v>1811</v>
      </c>
      <c r="M416" s="1077">
        <v>74.599999999999994</v>
      </c>
      <c r="N416" s="1077" t="s">
        <v>945</v>
      </c>
      <c r="O416" s="1077">
        <v>1.865</v>
      </c>
      <c r="P416" s="1077">
        <v>1.492</v>
      </c>
      <c r="Q416" s="1077" t="s">
        <v>2422</v>
      </c>
      <c r="R416" s="1077">
        <v>23.5</v>
      </c>
      <c r="T416" s="1077">
        <v>12.5</v>
      </c>
      <c r="U416" s="1077">
        <v>5.0999999999999996</v>
      </c>
      <c r="V416" s="1077" t="s">
        <v>648</v>
      </c>
      <c r="W416" s="1077" t="s">
        <v>2532</v>
      </c>
      <c r="X416" s="1077">
        <v>60</v>
      </c>
      <c r="Y416" s="1077">
        <v>1.8</v>
      </c>
      <c r="Z416" s="1077">
        <v>4.5</v>
      </c>
      <c r="AA416" s="1077" t="s">
        <v>2981</v>
      </c>
      <c r="AH416" s="1077" t="s">
        <v>884</v>
      </c>
      <c r="AM416" s="1078" t="s">
        <v>9877</v>
      </c>
      <c r="AN416" s="1078" t="s">
        <v>9878</v>
      </c>
      <c r="AO416" s="1078">
        <f t="shared" si="54"/>
        <v>550</v>
      </c>
      <c r="AP416" s="1078">
        <f t="shared" si="55"/>
        <v>1.69</v>
      </c>
      <c r="AQ416" s="1078" t="str">
        <f t="shared" si="56"/>
        <v>1-4-1S83°</v>
      </c>
      <c r="AR416" s="1078" t="str">
        <f t="shared" si="57"/>
        <v>30</v>
      </c>
      <c r="AS416" s="1078" t="str">
        <f t="shared" si="58"/>
        <v>232/232/OFF</v>
      </c>
      <c r="AT416" s="1078" t="str">
        <f t="shared" si="59"/>
        <v>1-4-1S83°</v>
      </c>
      <c r="AV416" s="1078" t="str">
        <f t="shared" si="52"/>
        <v>109.6.12</v>
      </c>
      <c r="AW416" s="1344">
        <f t="shared" si="53"/>
        <v>43994</v>
      </c>
    </row>
    <row r="417" spans="1:49">
      <c r="A417" s="1077" t="s">
        <v>2982</v>
      </c>
      <c r="B417" s="1077" t="s">
        <v>1766</v>
      </c>
      <c r="C417" s="1077">
        <v>700</v>
      </c>
      <c r="D417" s="1077">
        <v>1.8</v>
      </c>
      <c r="E417" s="1077" t="s">
        <v>15091</v>
      </c>
      <c r="F417" s="1077" t="s">
        <v>975</v>
      </c>
      <c r="G417" s="1077" t="s">
        <v>1767</v>
      </c>
      <c r="H417" s="1077" t="s">
        <v>2946</v>
      </c>
      <c r="I417" s="1077" t="s">
        <v>1073</v>
      </c>
      <c r="J417" s="1077">
        <v>0.8</v>
      </c>
      <c r="K417" s="1077" t="s">
        <v>2983</v>
      </c>
      <c r="L417" s="1077" t="s">
        <v>1769</v>
      </c>
      <c r="M417" s="1077">
        <v>77.099999999999994</v>
      </c>
      <c r="N417" s="1077" t="s">
        <v>945</v>
      </c>
      <c r="O417" s="1077">
        <v>1.9275</v>
      </c>
      <c r="P417" s="1077">
        <v>1.5419999999999998</v>
      </c>
      <c r="Q417" s="1077" t="s">
        <v>1037</v>
      </c>
      <c r="R417" s="1077">
        <v>23.2</v>
      </c>
      <c r="T417" s="1077">
        <v>16</v>
      </c>
      <c r="U417" s="1077">
        <v>1.5</v>
      </c>
      <c r="V417" s="1077" t="s">
        <v>648</v>
      </c>
      <c r="W417" s="1077">
        <v>30</v>
      </c>
      <c r="X417" s="1077">
        <v>10</v>
      </c>
      <c r="Y417" s="1077">
        <v>2</v>
      </c>
      <c r="Z417" s="1077" t="s">
        <v>2984</v>
      </c>
      <c r="AA417" s="1077" t="s">
        <v>2985</v>
      </c>
      <c r="AH417" s="1077" t="s">
        <v>1170</v>
      </c>
      <c r="AM417" s="1078" t="s">
        <v>9879</v>
      </c>
      <c r="AN417" s="1078" t="s">
        <v>9880</v>
      </c>
      <c r="AO417" s="1078">
        <f t="shared" si="54"/>
        <v>700</v>
      </c>
      <c r="AP417" s="1078">
        <f t="shared" si="55"/>
        <v>1.8</v>
      </c>
      <c r="AQ417" s="1078" t="str">
        <f t="shared" si="56"/>
        <v>2-5-1S83°</v>
      </c>
      <c r="AR417" s="1078" t="str">
        <f t="shared" si="57"/>
        <v>31.5</v>
      </c>
      <c r="AS417" s="1078" t="str">
        <f t="shared" si="58"/>
        <v>192/191</v>
      </c>
      <c r="AT417" s="1078" t="str">
        <f t="shared" si="59"/>
        <v>2-5-1S83°</v>
      </c>
      <c r="AV417" s="1078" t="str">
        <f t="shared" si="52"/>
        <v>109.6.18</v>
      </c>
      <c r="AW417" s="1344">
        <f t="shared" si="53"/>
        <v>44000</v>
      </c>
    </row>
    <row r="418" spans="1:49">
      <c r="A418" s="1077" t="s">
        <v>2986</v>
      </c>
      <c r="B418" s="1077" t="s">
        <v>1823</v>
      </c>
      <c r="C418" s="1077">
        <v>500</v>
      </c>
      <c r="D418" s="1077">
        <v>1.74</v>
      </c>
      <c r="E418" s="1077" t="s">
        <v>15095</v>
      </c>
      <c r="F418" s="1077" t="s">
        <v>984</v>
      </c>
      <c r="G418" s="1077" t="s">
        <v>1016</v>
      </c>
      <c r="H418" s="1077" t="s">
        <v>1145</v>
      </c>
      <c r="I418" s="1077" t="s">
        <v>126</v>
      </c>
      <c r="J418" s="1077">
        <v>0.6</v>
      </c>
      <c r="K418" s="1077" t="s">
        <v>2987</v>
      </c>
      <c r="L418" s="1077" t="s">
        <v>1825</v>
      </c>
      <c r="M418" s="1077">
        <v>73.8</v>
      </c>
      <c r="N418" s="1077" t="s">
        <v>945</v>
      </c>
      <c r="O418" s="1077">
        <v>1.845</v>
      </c>
      <c r="P418" s="1077">
        <v>1.476</v>
      </c>
      <c r="Q418" s="1077" t="s">
        <v>1264</v>
      </c>
      <c r="R418" s="1077">
        <v>18.5</v>
      </c>
      <c r="T418" s="1077">
        <v>21</v>
      </c>
      <c r="U418" s="1077">
        <v>3.8</v>
      </c>
      <c r="V418" s="1077" t="s">
        <v>648</v>
      </c>
      <c r="W418" s="1077">
        <v>110</v>
      </c>
      <c r="X418" s="1077">
        <v>85</v>
      </c>
      <c r="Y418" s="1077">
        <v>1.9</v>
      </c>
      <c r="Z418" s="1077">
        <v>4</v>
      </c>
      <c r="AA418" s="1077" t="s">
        <v>1294</v>
      </c>
      <c r="AH418" s="1077" t="s">
        <v>782</v>
      </c>
      <c r="AM418" s="1078" t="s">
        <v>9881</v>
      </c>
      <c r="AN418" s="1078" t="s">
        <v>9882</v>
      </c>
      <c r="AO418" s="1078">
        <f t="shared" si="54"/>
        <v>500</v>
      </c>
      <c r="AP418" s="1078">
        <f t="shared" si="55"/>
        <v>1.74</v>
      </c>
      <c r="AQ418" s="1078" t="str">
        <f t="shared" si="56"/>
        <v>1-5-1S83°</v>
      </c>
      <c r="AR418" s="1078" t="str">
        <f t="shared" si="57"/>
        <v>30</v>
      </c>
      <c r="AS418" s="1078" t="str">
        <f t="shared" si="58"/>
        <v>235/235/OFF</v>
      </c>
      <c r="AT418" s="1078" t="str">
        <f t="shared" si="59"/>
        <v>1-5-1S83°</v>
      </c>
      <c r="AV418" s="1078" t="str">
        <f t="shared" si="52"/>
        <v>109.6.30</v>
      </c>
      <c r="AW418" s="1344">
        <f t="shared" si="53"/>
        <v>44012</v>
      </c>
    </row>
    <row r="419" spans="1:49">
      <c r="A419" s="1077" t="s">
        <v>2988</v>
      </c>
      <c r="B419" s="1077" t="s">
        <v>1947</v>
      </c>
      <c r="C419" s="1077">
        <v>600</v>
      </c>
      <c r="D419" s="1077">
        <v>1.6950000000000001</v>
      </c>
      <c r="E419" s="1077" t="s">
        <v>15089</v>
      </c>
      <c r="F419" s="1077" t="s">
        <v>1469</v>
      </c>
      <c r="G419" s="1077" t="s">
        <v>1016</v>
      </c>
      <c r="H419" s="1077" t="s">
        <v>2915</v>
      </c>
      <c r="I419" s="1077" t="s">
        <v>626</v>
      </c>
      <c r="J419" s="1077">
        <v>1</v>
      </c>
      <c r="K419" s="1077" t="s">
        <v>2916</v>
      </c>
      <c r="L419" s="1077" t="s">
        <v>1950</v>
      </c>
      <c r="M419" s="1077">
        <v>77</v>
      </c>
      <c r="N419" s="1077" t="s">
        <v>945</v>
      </c>
      <c r="O419" s="1077">
        <v>1.925</v>
      </c>
      <c r="P419" s="1077">
        <v>1.54</v>
      </c>
      <c r="Q419" s="1077" t="s">
        <v>2519</v>
      </c>
      <c r="R419" s="1077">
        <v>24</v>
      </c>
      <c r="T419" s="1077">
        <v>29</v>
      </c>
      <c r="U419" s="1077">
        <v>2.9</v>
      </c>
      <c r="V419" s="1077" t="s">
        <v>648</v>
      </c>
      <c r="W419" s="1077">
        <v>30</v>
      </c>
      <c r="X419" s="1077">
        <v>10</v>
      </c>
      <c r="Y419" s="1077">
        <v>1.5</v>
      </c>
      <c r="Z419" s="1077" t="s">
        <v>2820</v>
      </c>
      <c r="AA419" s="1077" t="s">
        <v>2989</v>
      </c>
      <c r="AH419" s="1077" t="s">
        <v>994</v>
      </c>
      <c r="AM419" s="1078" t="s">
        <v>9883</v>
      </c>
      <c r="AN419" s="1078" t="s">
        <v>9884</v>
      </c>
      <c r="AO419" s="1078">
        <f t="shared" si="54"/>
        <v>600</v>
      </c>
      <c r="AP419" s="1078">
        <f t="shared" si="55"/>
        <v>1.6950000000000001</v>
      </c>
      <c r="AQ419" s="1078" t="str">
        <f t="shared" si="56"/>
        <v>1-4-1S83°</v>
      </c>
      <c r="AR419" s="1078" t="str">
        <f t="shared" si="57"/>
        <v>30.5</v>
      </c>
      <c r="AS419" s="1078" t="str">
        <f t="shared" si="58"/>
        <v>280/280/130</v>
      </c>
      <c r="AT419" s="1078" t="str">
        <f t="shared" si="59"/>
        <v>1-4-1S83°</v>
      </c>
      <c r="AV419" s="1078" t="str">
        <f t="shared" si="52"/>
        <v>109.7.7</v>
      </c>
      <c r="AW419" s="1344">
        <f t="shared" si="53"/>
        <v>44019</v>
      </c>
    </row>
    <row r="420" spans="1:49">
      <c r="A420" s="1077" t="s">
        <v>2990</v>
      </c>
      <c r="B420" s="1077" t="s">
        <v>2991</v>
      </c>
      <c r="C420" s="1077">
        <v>600</v>
      </c>
      <c r="D420" s="1077">
        <v>1.74</v>
      </c>
      <c r="E420" s="1077" t="s">
        <v>15089</v>
      </c>
      <c r="F420" s="1077" t="s">
        <v>1773</v>
      </c>
      <c r="G420" s="1077" t="s">
        <v>1016</v>
      </c>
      <c r="H420" s="1077" t="s">
        <v>1029</v>
      </c>
      <c r="I420" s="1077" t="s">
        <v>126</v>
      </c>
      <c r="J420" s="1077">
        <v>0.8</v>
      </c>
      <c r="K420" s="1077" t="s">
        <v>2992</v>
      </c>
      <c r="L420" s="1077" t="s">
        <v>2993</v>
      </c>
      <c r="M420" s="1077">
        <v>75.8</v>
      </c>
      <c r="N420" s="1077" t="s">
        <v>945</v>
      </c>
      <c r="O420" s="1077">
        <v>1.895</v>
      </c>
      <c r="P420" s="1077">
        <v>1.516</v>
      </c>
      <c r="Q420" s="1077" t="s">
        <v>1059</v>
      </c>
      <c r="R420" s="1077">
        <v>21</v>
      </c>
      <c r="T420" s="1077">
        <v>16.7</v>
      </c>
      <c r="U420" s="1077">
        <v>3.8</v>
      </c>
      <c r="V420" s="1077" t="s">
        <v>648</v>
      </c>
      <c r="W420" s="1077">
        <v>110</v>
      </c>
      <c r="X420" s="1077">
        <v>80</v>
      </c>
      <c r="Y420" s="1077">
        <v>1.5</v>
      </c>
      <c r="Z420" s="1077" t="s">
        <v>1021</v>
      </c>
      <c r="AA420" s="1077" t="s">
        <v>2994</v>
      </c>
      <c r="AH420" s="1077" t="s">
        <v>1023</v>
      </c>
      <c r="AM420" s="1078" t="s">
        <v>9885</v>
      </c>
      <c r="AN420" s="1078" t="s">
        <v>9886</v>
      </c>
      <c r="AO420" s="1078">
        <f t="shared" si="54"/>
        <v>600</v>
      </c>
      <c r="AP420" s="1078">
        <f t="shared" si="55"/>
        <v>1.74</v>
      </c>
      <c r="AQ420" s="1078" t="str">
        <f t="shared" si="56"/>
        <v>1-4-1S83°</v>
      </c>
      <c r="AR420" s="1078" t="str">
        <f t="shared" si="57"/>
        <v>30.2</v>
      </c>
      <c r="AS420" s="1078" t="str">
        <f t="shared" si="58"/>
        <v>250/250/OFF</v>
      </c>
      <c r="AT420" s="1078" t="str">
        <f t="shared" si="59"/>
        <v>1-4-1S83°</v>
      </c>
      <c r="AV420" s="1078" t="str">
        <f t="shared" si="52"/>
        <v>109.7.8</v>
      </c>
      <c r="AW420" s="1344">
        <f t="shared" si="53"/>
        <v>44020</v>
      </c>
    </row>
    <row r="421" spans="1:49">
      <c r="A421" s="1077" t="s">
        <v>2995</v>
      </c>
      <c r="B421" s="1077" t="s">
        <v>472</v>
      </c>
      <c r="C421" s="1077">
        <v>550</v>
      </c>
      <c r="D421" s="1077">
        <v>1.69</v>
      </c>
      <c r="E421" s="1077" t="s">
        <v>15089</v>
      </c>
      <c r="F421" s="1077" t="s">
        <v>984</v>
      </c>
      <c r="G421" s="1077" t="s">
        <v>1767</v>
      </c>
      <c r="H421" s="1077" t="s">
        <v>1327</v>
      </c>
      <c r="I421" s="1077" t="s">
        <v>126</v>
      </c>
      <c r="J421" s="1077">
        <v>0.7</v>
      </c>
      <c r="K421" s="1077" t="s">
        <v>2996</v>
      </c>
      <c r="L421" s="1077" t="s">
        <v>1811</v>
      </c>
      <c r="M421" s="1077">
        <v>74.599999999999994</v>
      </c>
      <c r="N421" s="1077" t="s">
        <v>945</v>
      </c>
      <c r="O421" s="1077">
        <v>1.865</v>
      </c>
      <c r="P421" s="1077">
        <v>1.492</v>
      </c>
      <c r="Q421" s="1077" t="s">
        <v>2422</v>
      </c>
      <c r="R421" s="1077">
        <v>23.5</v>
      </c>
      <c r="T421" s="1077">
        <v>12.5</v>
      </c>
      <c r="U421" s="1077">
        <v>5.0999999999999996</v>
      </c>
      <c r="V421" s="1077" t="s">
        <v>648</v>
      </c>
      <c r="W421" s="1077">
        <v>95</v>
      </c>
      <c r="X421" s="1077">
        <v>60</v>
      </c>
      <c r="Y421" s="1077">
        <v>1.8</v>
      </c>
      <c r="Z421" s="1077">
        <v>4.5</v>
      </c>
      <c r="AA421" s="1077" t="s">
        <v>2997</v>
      </c>
      <c r="AH421" s="1077" t="s">
        <v>621</v>
      </c>
      <c r="AM421" s="1078" t="s">
        <v>9887</v>
      </c>
      <c r="AN421" s="1078" t="s">
        <v>9888</v>
      </c>
      <c r="AO421" s="1078">
        <f t="shared" si="54"/>
        <v>550</v>
      </c>
      <c r="AP421" s="1078">
        <f t="shared" si="55"/>
        <v>1.69</v>
      </c>
      <c r="AQ421" s="1078" t="str">
        <f t="shared" si="56"/>
        <v>1-4-1S83°</v>
      </c>
      <c r="AR421" s="1078" t="str">
        <f t="shared" si="57"/>
        <v>30</v>
      </c>
      <c r="AS421" s="1078" t="str">
        <f t="shared" si="58"/>
        <v>232/232/OFF</v>
      </c>
      <c r="AT421" s="1078" t="str">
        <f t="shared" si="59"/>
        <v>1-4-1S83°</v>
      </c>
      <c r="AV421" s="1078" t="str">
        <f t="shared" si="52"/>
        <v>109.7.10</v>
      </c>
      <c r="AW421" s="1344">
        <f t="shared" si="53"/>
        <v>44022</v>
      </c>
    </row>
    <row r="422" spans="1:49">
      <c r="A422" s="1077" t="s">
        <v>2998</v>
      </c>
      <c r="B422" s="1077" t="s">
        <v>2875</v>
      </c>
      <c r="C422" s="1077">
        <v>550</v>
      </c>
      <c r="D422" s="1077">
        <v>1.67</v>
      </c>
      <c r="E422" s="1077" t="s">
        <v>15089</v>
      </c>
      <c r="F422" s="1077" t="s">
        <v>1773</v>
      </c>
      <c r="G422" s="1077" t="s">
        <v>1016</v>
      </c>
      <c r="H422" s="1077" t="s">
        <v>1040</v>
      </c>
      <c r="I422" s="1077" t="s">
        <v>126</v>
      </c>
      <c r="J422" s="1077">
        <v>0.8</v>
      </c>
      <c r="K422" s="1077" t="s">
        <v>2999</v>
      </c>
      <c r="L422" s="1077" t="s">
        <v>3000</v>
      </c>
      <c r="M422" s="1077">
        <v>75.8</v>
      </c>
      <c r="N422" s="1077" t="s">
        <v>945</v>
      </c>
      <c r="O422" s="1077">
        <v>1.895</v>
      </c>
      <c r="P422" s="1077">
        <v>1.516</v>
      </c>
      <c r="Q422" s="1077" t="s">
        <v>3001</v>
      </c>
      <c r="R422" s="1077">
        <v>24.4</v>
      </c>
      <c r="T422" s="1077">
        <v>16.7</v>
      </c>
      <c r="U422" s="1077">
        <v>3.8</v>
      </c>
      <c r="V422" s="1077" t="s">
        <v>648</v>
      </c>
      <c r="W422" s="1077">
        <v>110</v>
      </c>
      <c r="X422" s="1077">
        <v>80</v>
      </c>
      <c r="Y422" s="1077">
        <v>1.5</v>
      </c>
      <c r="Z422" s="1077">
        <v>4.5</v>
      </c>
      <c r="AA422" s="1077" t="s">
        <v>3002</v>
      </c>
      <c r="AH422" s="1077" t="s">
        <v>1827</v>
      </c>
      <c r="AM422" s="1078" t="s">
        <v>9889</v>
      </c>
      <c r="AN422" s="1078" t="s">
        <v>9890</v>
      </c>
      <c r="AO422" s="1078">
        <f t="shared" si="54"/>
        <v>550</v>
      </c>
      <c r="AP422" s="1078">
        <f t="shared" si="55"/>
        <v>1.67</v>
      </c>
      <c r="AQ422" s="1078" t="str">
        <f t="shared" si="56"/>
        <v>1-4-1S83°</v>
      </c>
      <c r="AR422" s="1078" t="str">
        <f t="shared" si="57"/>
        <v>30.2</v>
      </c>
      <c r="AS422" s="1078" t="str">
        <f t="shared" si="58"/>
        <v>240/240/OFF</v>
      </c>
      <c r="AT422" s="1078" t="str">
        <f t="shared" si="59"/>
        <v>1-4-1S83°</v>
      </c>
      <c r="AV422" s="1078" t="str">
        <f t="shared" si="52"/>
        <v>109.7.13</v>
      </c>
      <c r="AW422" s="1344">
        <f t="shared" si="53"/>
        <v>44025</v>
      </c>
    </row>
    <row r="423" spans="1:49">
      <c r="A423" s="1077" t="s">
        <v>3003</v>
      </c>
      <c r="B423" s="1077" t="s">
        <v>1823</v>
      </c>
      <c r="C423" s="1077">
        <v>500</v>
      </c>
      <c r="D423" s="1077">
        <v>1.74</v>
      </c>
      <c r="E423" s="1077" t="s">
        <v>15095</v>
      </c>
      <c r="F423" s="1077" t="s">
        <v>984</v>
      </c>
      <c r="G423" s="1077" t="s">
        <v>1016</v>
      </c>
      <c r="H423" s="1077" t="s">
        <v>1145</v>
      </c>
      <c r="I423" s="1077" t="s">
        <v>126</v>
      </c>
      <c r="J423" s="1077">
        <v>0.6</v>
      </c>
      <c r="K423" s="1077" t="s">
        <v>3004</v>
      </c>
      <c r="L423" s="1077" t="s">
        <v>1825</v>
      </c>
      <c r="M423" s="1077">
        <v>73.8</v>
      </c>
      <c r="N423" s="1077" t="s">
        <v>945</v>
      </c>
      <c r="O423" s="1077">
        <v>1.845</v>
      </c>
      <c r="P423" s="1077">
        <v>1.476</v>
      </c>
      <c r="Q423" s="1077" t="s">
        <v>2553</v>
      </c>
      <c r="R423" s="1077">
        <v>18.5</v>
      </c>
      <c r="T423" s="1077">
        <v>21</v>
      </c>
      <c r="U423" s="1077">
        <v>3.8</v>
      </c>
      <c r="V423" s="1077" t="s">
        <v>648</v>
      </c>
      <c r="W423" s="1077">
        <v>110</v>
      </c>
      <c r="X423" s="1077">
        <v>85</v>
      </c>
      <c r="Y423" s="1077">
        <v>1.9</v>
      </c>
      <c r="Z423" s="1077">
        <v>4</v>
      </c>
      <c r="AA423" s="1077" t="s">
        <v>2426</v>
      </c>
      <c r="AH423" s="1077" t="s">
        <v>1170</v>
      </c>
      <c r="AM423" s="1078" t="s">
        <v>9891</v>
      </c>
      <c r="AN423" s="1078" t="s">
        <v>9892</v>
      </c>
      <c r="AO423" s="1078">
        <f t="shared" si="54"/>
        <v>500</v>
      </c>
      <c r="AP423" s="1078">
        <f t="shared" si="55"/>
        <v>1.74</v>
      </c>
      <c r="AQ423" s="1078" t="str">
        <f t="shared" si="56"/>
        <v>1-5-1S83°</v>
      </c>
      <c r="AR423" s="1078" t="str">
        <f t="shared" si="57"/>
        <v>30</v>
      </c>
      <c r="AS423" s="1078" t="str">
        <f t="shared" si="58"/>
        <v>235/235/OFF</v>
      </c>
      <c r="AT423" s="1078" t="str">
        <f t="shared" si="59"/>
        <v>1-5-1S83°</v>
      </c>
      <c r="AV423" s="1078" t="str">
        <f t="shared" si="52"/>
        <v>109.7.14</v>
      </c>
      <c r="AW423" s="1344">
        <f t="shared" si="53"/>
        <v>44026</v>
      </c>
    </row>
    <row r="424" spans="1:49">
      <c r="A424" s="1077" t="s">
        <v>3005</v>
      </c>
      <c r="B424" s="1077" t="s">
        <v>2870</v>
      </c>
      <c r="C424" s="1077">
        <v>600</v>
      </c>
      <c r="D424" s="1077">
        <v>1.74</v>
      </c>
      <c r="E424" s="1077" t="s">
        <v>15089</v>
      </c>
      <c r="F424" s="1077" t="s">
        <v>984</v>
      </c>
      <c r="G424" s="1077" t="s">
        <v>1016</v>
      </c>
      <c r="H424" s="1077" t="s">
        <v>955</v>
      </c>
      <c r="I424" s="1077" t="s">
        <v>126</v>
      </c>
      <c r="J424" s="1077">
        <v>0.8</v>
      </c>
      <c r="K424" s="1077" t="s">
        <v>3006</v>
      </c>
      <c r="L424" s="1077" t="s">
        <v>2872</v>
      </c>
      <c r="M424" s="1077">
        <v>75.5</v>
      </c>
      <c r="N424" s="1077" t="s">
        <v>945</v>
      </c>
      <c r="O424" s="1077">
        <v>1.8875000000000002</v>
      </c>
      <c r="P424" s="1077">
        <v>1.51</v>
      </c>
      <c r="Q424" s="1077" t="s">
        <v>1249</v>
      </c>
      <c r="R424" s="1077">
        <v>22</v>
      </c>
      <c r="T424" s="1077">
        <v>20</v>
      </c>
      <c r="U424" s="1077">
        <v>3.8</v>
      </c>
      <c r="V424" s="1077" t="s">
        <v>648</v>
      </c>
      <c r="W424" s="1077">
        <v>105</v>
      </c>
      <c r="X424" s="1077">
        <v>80</v>
      </c>
      <c r="Y424" s="1077">
        <v>2</v>
      </c>
      <c r="Z424" s="1077">
        <v>4.5</v>
      </c>
      <c r="AA424" s="1077" t="s">
        <v>3007</v>
      </c>
      <c r="AH424" s="1077" t="s">
        <v>1170</v>
      </c>
      <c r="AM424" s="1078" t="s">
        <v>9893</v>
      </c>
      <c r="AN424" s="1078" t="s">
        <v>9894</v>
      </c>
      <c r="AO424" s="1078">
        <f t="shared" si="54"/>
        <v>600</v>
      </c>
      <c r="AP424" s="1078">
        <f t="shared" si="55"/>
        <v>1.74</v>
      </c>
      <c r="AQ424" s="1078" t="str">
        <f t="shared" si="56"/>
        <v>1-4-1S83°</v>
      </c>
      <c r="AR424" s="1078" t="str">
        <f t="shared" si="57"/>
        <v>30</v>
      </c>
      <c r="AS424" s="1078" t="str">
        <f t="shared" si="58"/>
        <v>260/260/OFF</v>
      </c>
      <c r="AT424" s="1078" t="str">
        <f t="shared" si="59"/>
        <v>1-4-1S83°</v>
      </c>
      <c r="AV424" s="1078" t="str">
        <f t="shared" si="52"/>
        <v>109.7.30</v>
      </c>
      <c r="AW424" s="1344">
        <f t="shared" si="53"/>
        <v>44042</v>
      </c>
    </row>
    <row r="425" spans="1:49">
      <c r="A425" s="1077" t="s">
        <v>3008</v>
      </c>
      <c r="B425" s="1077" t="s">
        <v>472</v>
      </c>
      <c r="C425" s="1077">
        <v>550</v>
      </c>
      <c r="D425" s="1077">
        <v>1.7</v>
      </c>
      <c r="E425" s="1077" t="s">
        <v>15089</v>
      </c>
      <c r="F425" s="1077" t="s">
        <v>984</v>
      </c>
      <c r="G425" s="1077" t="s">
        <v>1767</v>
      </c>
      <c r="H425" s="1077" t="s">
        <v>1327</v>
      </c>
      <c r="I425" s="1077" t="s">
        <v>126</v>
      </c>
      <c r="J425" s="1077">
        <v>0.7</v>
      </c>
      <c r="K425" s="1077" t="s">
        <v>3009</v>
      </c>
      <c r="L425" s="1077" t="s">
        <v>1811</v>
      </c>
      <c r="M425" s="1077">
        <v>74.599999999999994</v>
      </c>
      <c r="N425" s="1077" t="s">
        <v>945</v>
      </c>
      <c r="O425" s="1077">
        <v>1.865</v>
      </c>
      <c r="P425" s="1077">
        <v>1.492</v>
      </c>
      <c r="Q425" s="1077" t="s">
        <v>3010</v>
      </c>
      <c r="R425" s="1077">
        <v>23.5</v>
      </c>
      <c r="T425" s="1077">
        <v>12.5</v>
      </c>
      <c r="U425" s="1077">
        <v>5.0999999999999996</v>
      </c>
      <c r="V425" s="1077" t="s">
        <v>648</v>
      </c>
      <c r="W425" s="1077">
        <v>95</v>
      </c>
      <c r="X425" s="1077">
        <v>60</v>
      </c>
      <c r="Y425" s="1077">
        <v>1.8</v>
      </c>
      <c r="Z425" s="1077">
        <v>4.5</v>
      </c>
      <c r="AA425" s="1077" t="s">
        <v>3011</v>
      </c>
      <c r="AH425" s="1077" t="s">
        <v>1186</v>
      </c>
      <c r="AM425" s="1078" t="s">
        <v>9895</v>
      </c>
      <c r="AN425" s="1078" t="s">
        <v>9896</v>
      </c>
      <c r="AO425" s="1078">
        <f t="shared" si="54"/>
        <v>550</v>
      </c>
      <c r="AP425" s="1078">
        <f t="shared" si="55"/>
        <v>1.7</v>
      </c>
      <c r="AQ425" s="1078" t="str">
        <f t="shared" si="56"/>
        <v>1-4-1S83°</v>
      </c>
      <c r="AR425" s="1078" t="str">
        <f t="shared" si="57"/>
        <v>30</v>
      </c>
      <c r="AS425" s="1078" t="str">
        <f t="shared" si="58"/>
        <v>232/232/OFF</v>
      </c>
      <c r="AT425" s="1078" t="str">
        <f t="shared" si="59"/>
        <v>1-4-1S83°</v>
      </c>
      <c r="AV425" s="1078" t="str">
        <f t="shared" si="52"/>
        <v>109.8.5</v>
      </c>
      <c r="AW425" s="1344">
        <f t="shared" si="53"/>
        <v>44048</v>
      </c>
    </row>
    <row r="426" spans="1:49">
      <c r="A426" s="1077" t="s">
        <v>3012</v>
      </c>
      <c r="B426" s="1077" t="s">
        <v>2567</v>
      </c>
      <c r="C426" s="1077">
        <v>500</v>
      </c>
      <c r="D426" s="1077">
        <v>1.6850000000000001</v>
      </c>
      <c r="E426" s="1077" t="s">
        <v>2568</v>
      </c>
      <c r="F426" s="1077" t="s">
        <v>2884</v>
      </c>
      <c r="G426" s="1077">
        <v>4.5</v>
      </c>
      <c r="H426" s="1077" t="s">
        <v>2570</v>
      </c>
      <c r="I426" s="1077" t="s">
        <v>126</v>
      </c>
      <c r="J426" s="1077">
        <v>0.8</v>
      </c>
      <c r="K426" s="1077" t="s">
        <v>3013</v>
      </c>
      <c r="L426" s="1077" t="s">
        <v>2104</v>
      </c>
      <c r="M426" s="1077">
        <v>76.400000000000006</v>
      </c>
      <c r="N426" s="1077" t="s">
        <v>945</v>
      </c>
      <c r="O426" s="1077">
        <v>1.9100000000000001</v>
      </c>
      <c r="P426" s="1077">
        <v>1.5280000000000002</v>
      </c>
      <c r="Q426" s="1077" t="s">
        <v>1259</v>
      </c>
      <c r="R426" s="1077">
        <v>20</v>
      </c>
      <c r="T426" s="1077">
        <v>30</v>
      </c>
      <c r="U426" s="1077">
        <v>3.4</v>
      </c>
      <c r="V426" s="1077" t="s">
        <v>648</v>
      </c>
      <c r="W426" s="1077">
        <v>120</v>
      </c>
      <c r="X426" s="1077">
        <v>80</v>
      </c>
      <c r="Y426" s="1077">
        <v>2.4</v>
      </c>
      <c r="Z426" s="1077" t="s">
        <v>1297</v>
      </c>
      <c r="AA426" s="1077" t="s">
        <v>3014</v>
      </c>
      <c r="AH426" s="1077" t="s">
        <v>830</v>
      </c>
      <c r="AM426" s="1078" t="s">
        <v>9897</v>
      </c>
      <c r="AN426" s="1078" t="s">
        <v>9898</v>
      </c>
      <c r="AO426" s="1078">
        <f t="shared" si="54"/>
        <v>500</v>
      </c>
      <c r="AP426" s="1078">
        <f t="shared" si="55"/>
        <v>1.6850000000000001</v>
      </c>
      <c r="AQ426" s="1078" t="str">
        <f t="shared" si="56"/>
        <v>120°</v>
      </c>
      <c r="AR426" s="1078" t="str">
        <f t="shared" si="57"/>
        <v>14.9</v>
      </c>
      <c r="AS426" s="1078" t="str">
        <f t="shared" si="58"/>
        <v>330/330/OFF</v>
      </c>
      <c r="AT426" s="1078" t="str">
        <f t="shared" si="59"/>
        <v>120°</v>
      </c>
      <c r="AV426" s="1078" t="str">
        <f t="shared" si="52"/>
        <v>109.8.8</v>
      </c>
      <c r="AW426" s="1344">
        <f t="shared" si="53"/>
        <v>44051</v>
      </c>
    </row>
    <row r="427" spans="1:49">
      <c r="A427" s="1077" t="s">
        <v>3015</v>
      </c>
      <c r="B427" s="1077" t="s">
        <v>1947</v>
      </c>
      <c r="C427" s="1077">
        <v>600</v>
      </c>
      <c r="D427" s="1077">
        <v>1.72</v>
      </c>
      <c r="E427" s="1077" t="s">
        <v>15089</v>
      </c>
      <c r="F427" s="1077" t="s">
        <v>1469</v>
      </c>
      <c r="G427" s="1077" t="s">
        <v>1016</v>
      </c>
      <c r="H427" s="1077" t="s">
        <v>2235</v>
      </c>
      <c r="I427" s="1077" t="s">
        <v>626</v>
      </c>
      <c r="J427" s="1077">
        <v>0.8</v>
      </c>
      <c r="K427" s="1077" t="s">
        <v>3016</v>
      </c>
      <c r="L427" s="1077" t="s">
        <v>1950</v>
      </c>
      <c r="M427" s="1077">
        <v>77</v>
      </c>
      <c r="N427" s="1077" t="s">
        <v>945</v>
      </c>
      <c r="O427" s="1077">
        <v>1.925</v>
      </c>
      <c r="P427" s="1077">
        <v>1.54</v>
      </c>
      <c r="Q427" s="1077" t="s">
        <v>3001</v>
      </c>
      <c r="R427" s="1077">
        <v>24</v>
      </c>
      <c r="T427" s="1077">
        <v>29</v>
      </c>
      <c r="U427" s="1077">
        <v>2.9</v>
      </c>
      <c r="V427" s="1077" t="s">
        <v>648</v>
      </c>
      <c r="W427" s="1077">
        <v>30</v>
      </c>
      <c r="X427" s="1077">
        <v>10</v>
      </c>
      <c r="Y427" s="1077">
        <v>1.5</v>
      </c>
      <c r="Z427" s="1077">
        <v>5.5</v>
      </c>
      <c r="AA427" s="1077" t="s">
        <v>3017</v>
      </c>
      <c r="AH427" s="1077" t="s">
        <v>1827</v>
      </c>
      <c r="AM427" s="1078" t="s">
        <v>9899</v>
      </c>
      <c r="AN427" s="1078" t="s">
        <v>9900</v>
      </c>
      <c r="AO427" s="1078">
        <f t="shared" si="54"/>
        <v>600</v>
      </c>
      <c r="AP427" s="1078">
        <f t="shared" si="55"/>
        <v>1.72</v>
      </c>
      <c r="AQ427" s="1078" t="str">
        <f t="shared" si="56"/>
        <v>1-4-1S83°</v>
      </c>
      <c r="AR427" s="1078" t="str">
        <f t="shared" si="57"/>
        <v>30.5</v>
      </c>
      <c r="AS427" s="1078" t="str">
        <f t="shared" si="58"/>
        <v>290/290/130</v>
      </c>
      <c r="AT427" s="1078" t="str">
        <f t="shared" si="59"/>
        <v>1-4-1S83°</v>
      </c>
      <c r="AV427" s="1078" t="str">
        <f t="shared" si="52"/>
        <v>109.8.11</v>
      </c>
      <c r="AW427" s="1344">
        <f t="shared" si="53"/>
        <v>44054</v>
      </c>
    </row>
    <row r="428" spans="1:49">
      <c r="A428" s="1077" t="s">
        <v>3018</v>
      </c>
      <c r="B428" s="1077" t="s">
        <v>2888</v>
      </c>
      <c r="C428" s="1077">
        <v>600</v>
      </c>
      <c r="D428" s="1077">
        <v>1.68</v>
      </c>
      <c r="E428" s="1077" t="s">
        <v>15089</v>
      </c>
      <c r="F428" s="1077" t="s">
        <v>1773</v>
      </c>
      <c r="G428" s="1077" t="s">
        <v>1016</v>
      </c>
      <c r="H428" s="1077" t="s">
        <v>1029</v>
      </c>
      <c r="I428" s="1077" t="s">
        <v>126</v>
      </c>
      <c r="J428" s="1077">
        <v>0.9</v>
      </c>
      <c r="K428" s="1077" t="s">
        <v>3019</v>
      </c>
      <c r="L428" s="1077" t="s">
        <v>2890</v>
      </c>
      <c r="M428" s="1077">
        <v>75.8</v>
      </c>
      <c r="N428" s="1077" t="s">
        <v>945</v>
      </c>
      <c r="O428" s="1077">
        <v>1.895</v>
      </c>
      <c r="P428" s="1077">
        <v>1.516</v>
      </c>
      <c r="Q428" s="1077" t="s">
        <v>1277</v>
      </c>
      <c r="R428" s="1077">
        <v>23.6</v>
      </c>
      <c r="T428" s="1077">
        <v>19.2</v>
      </c>
      <c r="U428" s="1077">
        <v>4.0999999999999996</v>
      </c>
      <c r="V428" s="1077" t="s">
        <v>648</v>
      </c>
      <c r="W428" s="1077">
        <v>110</v>
      </c>
      <c r="X428" s="1077">
        <v>80</v>
      </c>
      <c r="Y428" s="1077">
        <v>2.4</v>
      </c>
      <c r="Z428" s="1077" t="s">
        <v>2488</v>
      </c>
      <c r="AA428" s="1077" t="s">
        <v>1325</v>
      </c>
      <c r="AH428" s="1077" t="s">
        <v>1803</v>
      </c>
      <c r="AM428" s="1078" t="s">
        <v>9901</v>
      </c>
      <c r="AN428" s="1078" t="s">
        <v>9902</v>
      </c>
      <c r="AO428" s="1078">
        <f t="shared" si="54"/>
        <v>600</v>
      </c>
      <c r="AP428" s="1078">
        <f t="shared" si="55"/>
        <v>1.68</v>
      </c>
      <c r="AQ428" s="1078" t="str">
        <f t="shared" si="56"/>
        <v>1-4-1S83°</v>
      </c>
      <c r="AR428" s="1078" t="str">
        <f t="shared" si="57"/>
        <v>30.2</v>
      </c>
      <c r="AS428" s="1078" t="str">
        <f t="shared" si="58"/>
        <v>250/250/OFF</v>
      </c>
      <c r="AT428" s="1078" t="str">
        <f t="shared" si="59"/>
        <v>1-4-1S83°</v>
      </c>
      <c r="AV428" s="1078" t="str">
        <f t="shared" si="52"/>
        <v>109.8.17</v>
      </c>
      <c r="AW428" s="1344">
        <f t="shared" si="53"/>
        <v>44060</v>
      </c>
    </row>
    <row r="429" spans="1:49">
      <c r="A429" s="1077" t="s">
        <v>3020</v>
      </c>
      <c r="B429" s="1077" t="s">
        <v>1823</v>
      </c>
      <c r="C429" s="1077">
        <v>500</v>
      </c>
      <c r="D429" s="1077">
        <v>1.75</v>
      </c>
      <c r="E429" s="1077" t="s">
        <v>15095</v>
      </c>
      <c r="F429" s="1077" t="s">
        <v>984</v>
      </c>
      <c r="G429" s="1077" t="s">
        <v>1016</v>
      </c>
      <c r="H429" s="1077" t="s">
        <v>1145</v>
      </c>
      <c r="I429" s="1077" t="s">
        <v>126</v>
      </c>
      <c r="J429" s="1077">
        <v>0.6</v>
      </c>
      <c r="K429" s="1077" t="s">
        <v>2987</v>
      </c>
      <c r="L429" s="1077" t="s">
        <v>1825</v>
      </c>
      <c r="M429" s="1077">
        <v>73.8</v>
      </c>
      <c r="N429" s="1077" t="s">
        <v>945</v>
      </c>
      <c r="O429" s="1077">
        <v>1.845</v>
      </c>
      <c r="P429" s="1077">
        <v>1.476</v>
      </c>
      <c r="Q429" s="1077" t="s">
        <v>2422</v>
      </c>
      <c r="R429" s="1077">
        <v>18.5</v>
      </c>
      <c r="T429" s="1077">
        <v>21</v>
      </c>
      <c r="U429" s="1077">
        <v>3.8</v>
      </c>
      <c r="V429" s="1077" t="s">
        <v>648</v>
      </c>
      <c r="W429" s="1077">
        <v>110</v>
      </c>
      <c r="X429" s="1077">
        <v>85</v>
      </c>
      <c r="Y429" s="1077">
        <v>1.9</v>
      </c>
      <c r="Z429" s="1077" t="s">
        <v>2824</v>
      </c>
      <c r="AA429" s="1077" t="s">
        <v>3021</v>
      </c>
      <c r="AH429" s="1077" t="s">
        <v>1827</v>
      </c>
      <c r="AM429" s="1078" t="s">
        <v>9903</v>
      </c>
      <c r="AN429" s="1078" t="s">
        <v>9904</v>
      </c>
      <c r="AO429" s="1078">
        <f t="shared" si="54"/>
        <v>500</v>
      </c>
      <c r="AP429" s="1078">
        <f t="shared" si="55"/>
        <v>1.75</v>
      </c>
      <c r="AQ429" s="1078" t="str">
        <f t="shared" si="56"/>
        <v>1-5-1S83°</v>
      </c>
      <c r="AR429" s="1078" t="str">
        <f t="shared" si="57"/>
        <v>30</v>
      </c>
      <c r="AS429" s="1078" t="str">
        <f t="shared" si="58"/>
        <v>235/235/OFF</v>
      </c>
      <c r="AT429" s="1078" t="str">
        <f t="shared" si="59"/>
        <v>1-5-1S83°</v>
      </c>
      <c r="AV429" s="1078" t="str">
        <f t="shared" si="52"/>
        <v>109.8.19</v>
      </c>
      <c r="AW429" s="1344">
        <f t="shared" si="53"/>
        <v>44062</v>
      </c>
    </row>
    <row r="430" spans="1:49">
      <c r="A430" s="1077" t="s">
        <v>3022</v>
      </c>
      <c r="B430" s="1077" t="s">
        <v>3023</v>
      </c>
      <c r="C430" s="1077">
        <v>700</v>
      </c>
      <c r="D430" s="1077">
        <v>1.8</v>
      </c>
      <c r="E430" s="1077" t="s">
        <v>15089</v>
      </c>
      <c r="F430" s="1077" t="s">
        <v>984</v>
      </c>
      <c r="G430" s="1077" t="s">
        <v>1016</v>
      </c>
      <c r="H430" s="1077" t="s">
        <v>2540</v>
      </c>
      <c r="I430" s="1077" t="s">
        <v>126</v>
      </c>
      <c r="J430" s="1077">
        <v>2</v>
      </c>
      <c r="K430" s="1077" t="s">
        <v>3024</v>
      </c>
      <c r="L430" s="1077" t="s">
        <v>3025</v>
      </c>
      <c r="M430" s="1077">
        <v>73.3</v>
      </c>
      <c r="N430" s="1077" t="s">
        <v>945</v>
      </c>
      <c r="O430" s="1077">
        <v>1.8325</v>
      </c>
      <c r="P430" s="1077">
        <v>1.466</v>
      </c>
      <c r="Q430" s="1077" t="s">
        <v>2950</v>
      </c>
      <c r="R430" s="1077">
        <v>19.600000000000001</v>
      </c>
      <c r="T430" s="1077">
        <v>29.7</v>
      </c>
      <c r="U430" s="1077">
        <v>3.6</v>
      </c>
      <c r="V430" s="1077" t="s">
        <v>648</v>
      </c>
      <c r="W430" s="1077">
        <v>105</v>
      </c>
      <c r="X430" s="1077">
        <v>80</v>
      </c>
      <c r="Y430" s="1077">
        <v>1.6</v>
      </c>
      <c r="Z430" s="1077" t="s">
        <v>1250</v>
      </c>
      <c r="AA430" s="1077" t="s">
        <v>1330</v>
      </c>
      <c r="AH430" s="1077" t="s">
        <v>1053</v>
      </c>
      <c r="AM430" s="1078" t="s">
        <v>9905</v>
      </c>
      <c r="AN430" s="1078" t="s">
        <v>9906</v>
      </c>
      <c r="AO430" s="1078">
        <f t="shared" si="54"/>
        <v>700</v>
      </c>
      <c r="AP430" s="1078">
        <f t="shared" si="55"/>
        <v>1.8</v>
      </c>
      <c r="AQ430" s="1078" t="str">
        <f t="shared" si="56"/>
        <v>1-4-1S83°</v>
      </c>
      <c r="AR430" s="1078" t="str">
        <f t="shared" si="57"/>
        <v>30</v>
      </c>
      <c r="AS430" s="1078" t="str">
        <f t="shared" si="58"/>
        <v>300/300/OFF</v>
      </c>
      <c r="AT430" s="1078" t="str">
        <f t="shared" si="59"/>
        <v>1-4-1S83°</v>
      </c>
      <c r="AV430" s="1078" t="str">
        <f t="shared" si="52"/>
        <v>109.8.27</v>
      </c>
      <c r="AW430" s="1344">
        <f t="shared" si="53"/>
        <v>44070</v>
      </c>
    </row>
    <row r="431" spans="1:49">
      <c r="A431" s="1077" t="s">
        <v>3026</v>
      </c>
      <c r="B431" s="1077" t="s">
        <v>1858</v>
      </c>
      <c r="C431" s="1077">
        <v>550</v>
      </c>
      <c r="D431" s="1077">
        <v>1.675</v>
      </c>
      <c r="E431" s="1077" t="s">
        <v>15091</v>
      </c>
      <c r="F431" s="1077" t="s">
        <v>984</v>
      </c>
      <c r="G431" s="1077" t="s">
        <v>2622</v>
      </c>
      <c r="H431" s="1077" t="s">
        <v>2833</v>
      </c>
      <c r="I431" s="1077" t="s">
        <v>1112</v>
      </c>
      <c r="J431" s="1077">
        <v>1</v>
      </c>
      <c r="K431" s="1077" t="s">
        <v>3027</v>
      </c>
      <c r="L431" s="1077" t="s">
        <v>1860</v>
      </c>
      <c r="M431" s="1077">
        <v>75.099999999999994</v>
      </c>
      <c r="N431" s="1077" t="s">
        <v>945</v>
      </c>
      <c r="O431" s="1077">
        <v>1.8774999999999999</v>
      </c>
      <c r="P431" s="1077">
        <v>1.502</v>
      </c>
      <c r="Q431" s="1077" t="s">
        <v>1005</v>
      </c>
      <c r="R431" s="1077">
        <v>26</v>
      </c>
      <c r="T431" s="1077">
        <v>13</v>
      </c>
      <c r="U431" s="1077">
        <v>5.2</v>
      </c>
      <c r="V431" s="1077" t="s">
        <v>648</v>
      </c>
      <c r="W431" s="1077">
        <v>110</v>
      </c>
      <c r="X431" s="1077">
        <v>85</v>
      </c>
      <c r="Y431" s="1077">
        <v>1.6</v>
      </c>
      <c r="Z431" s="1077" t="s">
        <v>1195</v>
      </c>
      <c r="AA431" s="1077" t="s">
        <v>2443</v>
      </c>
      <c r="AH431" s="1077" t="s">
        <v>3028</v>
      </c>
      <c r="AM431" s="1078" t="s">
        <v>9907</v>
      </c>
      <c r="AN431" s="1078" t="s">
        <v>9908</v>
      </c>
      <c r="AO431" s="1078">
        <f t="shared" si="54"/>
        <v>550</v>
      </c>
      <c r="AP431" s="1078">
        <f t="shared" si="55"/>
        <v>1.675</v>
      </c>
      <c r="AQ431" s="1078" t="str">
        <f t="shared" si="56"/>
        <v>2-5-1S83°</v>
      </c>
      <c r="AR431" s="1078" t="str">
        <f t="shared" si="57"/>
        <v>30</v>
      </c>
      <c r="AS431" s="1078" t="str">
        <f t="shared" si="58"/>
        <v>150/OFF</v>
      </c>
      <c r="AT431" s="1078" t="str">
        <f t="shared" si="59"/>
        <v>2-5-1S83°</v>
      </c>
      <c r="AV431" s="1078" t="str">
        <f t="shared" si="52"/>
        <v>109.8.28</v>
      </c>
      <c r="AW431" s="1344">
        <f t="shared" si="53"/>
        <v>44071</v>
      </c>
    </row>
    <row r="432" spans="1:49">
      <c r="A432" s="1077" t="s">
        <v>3029</v>
      </c>
      <c r="B432" s="1077" t="s">
        <v>850</v>
      </c>
      <c r="C432" s="1077">
        <v>550</v>
      </c>
      <c r="D432" s="1077">
        <v>1.7350000000000001</v>
      </c>
      <c r="E432" s="1077" t="s">
        <v>15095</v>
      </c>
      <c r="F432" s="1077" t="s">
        <v>984</v>
      </c>
      <c r="G432" s="1077" t="s">
        <v>940</v>
      </c>
      <c r="H432" s="1077" t="s">
        <v>1009</v>
      </c>
      <c r="I432" s="1077" t="s">
        <v>626</v>
      </c>
      <c r="J432" s="1077">
        <v>0.9</v>
      </c>
      <c r="K432" s="1077" t="s">
        <v>3030</v>
      </c>
      <c r="L432" s="1077" t="s">
        <v>1763</v>
      </c>
      <c r="M432" s="1077">
        <v>79</v>
      </c>
      <c r="N432" s="1077" t="s">
        <v>945</v>
      </c>
      <c r="O432" s="1077">
        <v>1.9750000000000001</v>
      </c>
      <c r="P432" s="1077">
        <v>1.58</v>
      </c>
      <c r="Q432" s="1077" t="s">
        <v>1369</v>
      </c>
      <c r="R432" s="1077">
        <v>25</v>
      </c>
      <c r="T432" s="1077">
        <v>9.6</v>
      </c>
      <c r="U432" s="1077">
        <v>6.8</v>
      </c>
      <c r="V432" s="1077" t="s">
        <v>648</v>
      </c>
      <c r="W432" s="1077">
        <v>135</v>
      </c>
      <c r="X432" s="1077">
        <v>65</v>
      </c>
      <c r="Y432" s="1077" t="s">
        <v>3031</v>
      </c>
      <c r="Z432" s="1077">
        <v>4</v>
      </c>
      <c r="AA432" s="1077" t="s">
        <v>3032</v>
      </c>
      <c r="AH432" s="1077" t="s">
        <v>990</v>
      </c>
      <c r="AM432" s="1078" t="s">
        <v>9909</v>
      </c>
      <c r="AN432" s="1078" t="s">
        <v>9910</v>
      </c>
      <c r="AO432" s="1078">
        <f t="shared" si="54"/>
        <v>550</v>
      </c>
      <c r="AP432" s="1078">
        <f t="shared" si="55"/>
        <v>1.7350000000000001</v>
      </c>
      <c r="AQ432" s="1078" t="str">
        <f t="shared" si="56"/>
        <v>1-5-1S83°</v>
      </c>
      <c r="AR432" s="1078" t="str">
        <f t="shared" si="57"/>
        <v>30</v>
      </c>
      <c r="AS432" s="1078" t="str">
        <f t="shared" si="58"/>
        <v>195/195/OFF</v>
      </c>
      <c r="AT432" s="1078" t="str">
        <f t="shared" si="59"/>
        <v>1-5-1S83°</v>
      </c>
      <c r="AV432" s="1078" t="str">
        <f t="shared" si="52"/>
        <v>109.9.9</v>
      </c>
      <c r="AW432" s="1344">
        <f t="shared" si="53"/>
        <v>44083</v>
      </c>
    </row>
    <row r="433" spans="1:49">
      <c r="A433" s="1077" t="s">
        <v>3033</v>
      </c>
      <c r="B433" s="1077" t="s">
        <v>2875</v>
      </c>
      <c r="C433" s="1077">
        <v>550</v>
      </c>
      <c r="D433" s="1077">
        <v>1.67</v>
      </c>
      <c r="E433" s="1077" t="s">
        <v>15089</v>
      </c>
      <c r="F433" s="1077" t="s">
        <v>1773</v>
      </c>
      <c r="G433" s="1077" t="s">
        <v>1016</v>
      </c>
      <c r="H433" s="1077" t="s">
        <v>1040</v>
      </c>
      <c r="I433" s="1077" t="s">
        <v>126</v>
      </c>
      <c r="J433" s="1077">
        <v>0.8</v>
      </c>
      <c r="K433" s="1077" t="s">
        <v>3034</v>
      </c>
      <c r="L433" s="1077" t="s">
        <v>3000</v>
      </c>
      <c r="M433" s="1077">
        <v>75.8</v>
      </c>
      <c r="N433" s="1077" t="s">
        <v>945</v>
      </c>
      <c r="O433" s="1077">
        <v>1.895</v>
      </c>
      <c r="P433" s="1077">
        <v>1.516</v>
      </c>
      <c r="Q433" s="1077" t="s">
        <v>2612</v>
      </c>
      <c r="R433" s="1077">
        <v>24.4</v>
      </c>
      <c r="T433" s="1077">
        <v>16.7</v>
      </c>
      <c r="U433" s="1077">
        <v>3.8</v>
      </c>
      <c r="V433" s="1077" t="s">
        <v>648</v>
      </c>
      <c r="W433" s="1077">
        <v>110</v>
      </c>
      <c r="X433" s="1077">
        <v>80</v>
      </c>
      <c r="Y433" s="1077">
        <v>1.5</v>
      </c>
      <c r="Z433" s="1077" t="s">
        <v>2873</v>
      </c>
      <c r="AA433" s="1077" t="s">
        <v>1337</v>
      </c>
      <c r="AH433" s="1077" t="s">
        <v>2836</v>
      </c>
      <c r="AM433" s="1078" t="s">
        <v>9911</v>
      </c>
      <c r="AN433" s="1078" t="s">
        <v>9912</v>
      </c>
      <c r="AO433" s="1078">
        <f t="shared" si="54"/>
        <v>550</v>
      </c>
      <c r="AP433" s="1078">
        <f t="shared" si="55"/>
        <v>1.67</v>
      </c>
      <c r="AQ433" s="1078" t="str">
        <f t="shared" si="56"/>
        <v>1-4-1S83°</v>
      </c>
      <c r="AR433" s="1078" t="str">
        <f t="shared" si="57"/>
        <v>30.2</v>
      </c>
      <c r="AS433" s="1078" t="str">
        <f t="shared" si="58"/>
        <v>240/240/OFF</v>
      </c>
      <c r="AT433" s="1078" t="str">
        <f t="shared" si="59"/>
        <v>1-4-1S83°</v>
      </c>
      <c r="AV433" s="1078" t="str">
        <f t="shared" si="52"/>
        <v>109.9.1</v>
      </c>
      <c r="AW433" s="1344">
        <f t="shared" si="53"/>
        <v>44075</v>
      </c>
    </row>
    <row r="434" spans="1:49">
      <c r="A434" s="1077" t="s">
        <v>3035</v>
      </c>
      <c r="B434" s="1077" t="s">
        <v>1815</v>
      </c>
      <c r="C434" s="1077">
        <v>650</v>
      </c>
      <c r="D434" s="1077">
        <v>1.68</v>
      </c>
      <c r="E434" s="1077" t="s">
        <v>15102</v>
      </c>
      <c r="F434" s="1077" t="s">
        <v>984</v>
      </c>
      <c r="G434" s="1077" t="s">
        <v>1767</v>
      </c>
      <c r="H434" s="1077" t="s">
        <v>1166</v>
      </c>
      <c r="I434" s="1077" t="s">
        <v>1167</v>
      </c>
      <c r="J434" s="1077">
        <v>0.7</v>
      </c>
      <c r="K434" s="1077" t="s">
        <v>3036</v>
      </c>
      <c r="L434" s="1077" t="s">
        <v>3037</v>
      </c>
      <c r="M434" s="1077">
        <v>75.099999999999994</v>
      </c>
      <c r="N434" s="1077" t="s">
        <v>945</v>
      </c>
      <c r="O434" s="1077">
        <v>1.8774999999999999</v>
      </c>
      <c r="P434" s="1077">
        <v>1.502</v>
      </c>
      <c r="Q434" s="1077" t="s">
        <v>1277</v>
      </c>
      <c r="R434" s="1077">
        <v>19</v>
      </c>
      <c r="T434" s="1077">
        <v>21</v>
      </c>
      <c r="U434" s="1077">
        <v>3.5</v>
      </c>
      <c r="V434" s="1077" t="s">
        <v>648</v>
      </c>
      <c r="W434" s="1077">
        <v>110</v>
      </c>
      <c r="X434" s="1077">
        <v>65</v>
      </c>
      <c r="Y434" s="1077">
        <v>1.6</v>
      </c>
      <c r="Z434" s="1077" t="s">
        <v>3038</v>
      </c>
      <c r="AA434" s="1077" t="s">
        <v>3039</v>
      </c>
      <c r="AB434" s="1077" t="s">
        <v>981</v>
      </c>
      <c r="AH434" s="1077" t="s">
        <v>1053</v>
      </c>
      <c r="AM434" s="1078" t="s">
        <v>9913</v>
      </c>
      <c r="AN434" s="1078" t="s">
        <v>9914</v>
      </c>
      <c r="AO434" s="1078">
        <f t="shared" si="54"/>
        <v>650</v>
      </c>
      <c r="AP434" s="1078">
        <f t="shared" si="55"/>
        <v>1.68</v>
      </c>
      <c r="AQ434" s="1078" t="str">
        <f t="shared" si="56"/>
        <v>2-6-1S83°</v>
      </c>
      <c r="AR434" s="1078" t="str">
        <f t="shared" si="57"/>
        <v>30</v>
      </c>
      <c r="AS434" s="1078" t="str">
        <f t="shared" si="58"/>
        <v>170/OFF</v>
      </c>
      <c r="AT434" s="1078" t="str">
        <f t="shared" si="59"/>
        <v>2-6-1S83°</v>
      </c>
      <c r="AV434" s="1078" t="str">
        <f t="shared" si="52"/>
        <v>108.2.12</v>
      </c>
      <c r="AW434" s="1344">
        <f t="shared" si="53"/>
        <v>43508</v>
      </c>
    </row>
    <row r="435" spans="1:49">
      <c r="A435" s="1077" t="s">
        <v>3040</v>
      </c>
      <c r="B435" s="1077" t="s">
        <v>1815</v>
      </c>
      <c r="C435" s="1077">
        <v>650</v>
      </c>
      <c r="D435" s="1077">
        <v>1.73</v>
      </c>
      <c r="E435" s="1077" t="s">
        <v>15098</v>
      </c>
      <c r="F435" s="1077" t="s">
        <v>954</v>
      </c>
      <c r="G435" s="1077" t="s">
        <v>1767</v>
      </c>
      <c r="H435" s="1077" t="s">
        <v>2009</v>
      </c>
      <c r="I435" s="1077" t="s">
        <v>126</v>
      </c>
      <c r="J435" s="1077">
        <v>0.8</v>
      </c>
      <c r="K435" s="1077" t="s">
        <v>3041</v>
      </c>
      <c r="L435" s="1077" t="s">
        <v>2209</v>
      </c>
      <c r="M435" s="1077">
        <v>75.099999999999994</v>
      </c>
      <c r="N435" s="1077" t="s">
        <v>945</v>
      </c>
      <c r="O435" s="1077">
        <v>1.8774999999999999</v>
      </c>
      <c r="P435" s="1077">
        <v>1.502</v>
      </c>
      <c r="Q435" s="1077" t="s">
        <v>1037</v>
      </c>
      <c r="R435" s="1077">
        <v>19</v>
      </c>
      <c r="T435" s="1077">
        <v>21</v>
      </c>
      <c r="U435" s="1077">
        <v>3.5</v>
      </c>
      <c r="V435" s="1077" t="s">
        <v>648</v>
      </c>
      <c r="W435" s="1077">
        <v>110</v>
      </c>
      <c r="X435" s="1077" t="s">
        <v>2650</v>
      </c>
      <c r="Y435" s="1077">
        <v>1.6</v>
      </c>
      <c r="Z435" s="1077">
        <v>4</v>
      </c>
      <c r="AA435" s="1077" t="s">
        <v>2882</v>
      </c>
      <c r="AB435" s="1077" t="s">
        <v>981</v>
      </c>
      <c r="AH435" s="1077" t="s">
        <v>762</v>
      </c>
      <c r="AM435" s="1078" t="s">
        <v>9915</v>
      </c>
      <c r="AN435" s="1078" t="s">
        <v>9916</v>
      </c>
      <c r="AO435" s="1078">
        <f t="shared" si="54"/>
        <v>650</v>
      </c>
      <c r="AP435" s="1078">
        <f t="shared" si="55"/>
        <v>1.73</v>
      </c>
      <c r="AQ435" s="1078" t="str">
        <f t="shared" si="56"/>
        <v>1-4-1S91°</v>
      </c>
      <c r="AR435" s="1078" t="str">
        <f t="shared" si="57"/>
        <v>31</v>
      </c>
      <c r="AS435" s="1078" t="str">
        <f t="shared" si="58"/>
        <v>265/265/OFF</v>
      </c>
      <c r="AT435" s="1078" t="str">
        <f t="shared" si="59"/>
        <v>1-4-1S91°</v>
      </c>
      <c r="AV435" s="1078" t="str">
        <f t="shared" si="52"/>
        <v>108.1.7</v>
      </c>
      <c r="AW435" s="1344">
        <f t="shared" si="53"/>
        <v>43472</v>
      </c>
    </row>
    <row r="436" spans="1:49">
      <c r="A436" s="1077" t="s">
        <v>3042</v>
      </c>
      <c r="B436" s="1077" t="s">
        <v>1815</v>
      </c>
      <c r="C436" s="1077">
        <v>650</v>
      </c>
      <c r="D436" s="1077">
        <v>1.72</v>
      </c>
      <c r="E436" s="1077" t="s">
        <v>15098</v>
      </c>
      <c r="F436" s="1077" t="s">
        <v>954</v>
      </c>
      <c r="G436" s="1077" t="s">
        <v>1767</v>
      </c>
      <c r="H436" s="1077" t="s">
        <v>2009</v>
      </c>
      <c r="I436" s="1077" t="s">
        <v>126</v>
      </c>
      <c r="J436" s="1077">
        <v>0.8</v>
      </c>
      <c r="K436" s="1077" t="s">
        <v>2976</v>
      </c>
      <c r="L436" s="1077" t="s">
        <v>2209</v>
      </c>
      <c r="M436" s="1077">
        <v>75.099999999999994</v>
      </c>
      <c r="N436" s="1077" t="s">
        <v>945</v>
      </c>
      <c r="O436" s="1077">
        <v>1.8774999999999999</v>
      </c>
      <c r="P436" s="1077">
        <v>1.502</v>
      </c>
      <c r="Q436" s="1077" t="s">
        <v>1037</v>
      </c>
      <c r="R436" s="1077">
        <v>19</v>
      </c>
      <c r="T436" s="1077">
        <v>21</v>
      </c>
      <c r="U436" s="1077">
        <v>3.5</v>
      </c>
      <c r="V436" s="1077" t="s">
        <v>648</v>
      </c>
      <c r="W436" s="1077">
        <v>110</v>
      </c>
      <c r="X436" s="1077" t="s">
        <v>2650</v>
      </c>
      <c r="Y436" s="1077">
        <v>1.6</v>
      </c>
      <c r="Z436" s="1077">
        <v>4</v>
      </c>
      <c r="AA436" s="1077" t="s">
        <v>3043</v>
      </c>
      <c r="AB436" s="1077" t="s">
        <v>981</v>
      </c>
      <c r="AH436" s="1077" t="s">
        <v>619</v>
      </c>
      <c r="AM436" s="1078" t="s">
        <v>9917</v>
      </c>
      <c r="AN436" s="1078" t="s">
        <v>9918</v>
      </c>
      <c r="AO436" s="1078">
        <f t="shared" si="54"/>
        <v>650</v>
      </c>
      <c r="AP436" s="1078">
        <f t="shared" si="55"/>
        <v>1.72</v>
      </c>
      <c r="AQ436" s="1078" t="str">
        <f t="shared" si="56"/>
        <v>1-4-1S91°</v>
      </c>
      <c r="AR436" s="1078" t="str">
        <f t="shared" si="57"/>
        <v>31</v>
      </c>
      <c r="AS436" s="1078" t="str">
        <f t="shared" si="58"/>
        <v>265/265/OFF</v>
      </c>
      <c r="AT436" s="1078" t="str">
        <f t="shared" si="59"/>
        <v>1-4-1S91°</v>
      </c>
      <c r="AV436" s="1078" t="str">
        <f t="shared" si="52"/>
        <v>109.7.1</v>
      </c>
      <c r="AW436" s="1344">
        <f t="shared" si="53"/>
        <v>44013</v>
      </c>
    </row>
    <row r="437" spans="1:49">
      <c r="A437" s="1077" t="s">
        <v>3044</v>
      </c>
      <c r="B437" s="1077" t="s">
        <v>1815</v>
      </c>
      <c r="C437" s="1077">
        <v>650</v>
      </c>
      <c r="D437" s="1077">
        <v>1.72</v>
      </c>
      <c r="E437" s="1077" t="s">
        <v>15098</v>
      </c>
      <c r="F437" s="1077" t="s">
        <v>954</v>
      </c>
      <c r="G437" s="1077" t="s">
        <v>1767</v>
      </c>
      <c r="H437" s="1077" t="s">
        <v>2009</v>
      </c>
      <c r="I437" s="1077" t="s">
        <v>126</v>
      </c>
      <c r="J437" s="1077">
        <v>0.8</v>
      </c>
      <c r="K437" s="1077" t="s">
        <v>3045</v>
      </c>
      <c r="L437" s="1077" t="s">
        <v>2209</v>
      </c>
      <c r="M437" s="1077">
        <v>75.099999999999994</v>
      </c>
      <c r="N437" s="1077" t="s">
        <v>945</v>
      </c>
      <c r="O437" s="1077">
        <v>1.8774999999999999</v>
      </c>
      <c r="P437" s="1077">
        <v>1.502</v>
      </c>
      <c r="Q437" s="1077" t="s">
        <v>1321</v>
      </c>
      <c r="R437" s="1077">
        <v>19</v>
      </c>
      <c r="T437" s="1077">
        <v>21</v>
      </c>
      <c r="U437" s="1077">
        <v>3.5</v>
      </c>
      <c r="V437" s="1077" t="s">
        <v>648</v>
      </c>
      <c r="W437" s="1077">
        <v>110</v>
      </c>
      <c r="X437" s="1077" t="s">
        <v>2650</v>
      </c>
      <c r="Y437" s="1077">
        <v>1.6</v>
      </c>
      <c r="Z437" s="1077">
        <v>4</v>
      </c>
      <c r="AA437" s="1077" t="s">
        <v>3046</v>
      </c>
      <c r="AB437" s="1077" t="s">
        <v>981</v>
      </c>
      <c r="AH437" s="1077" t="s">
        <v>1244</v>
      </c>
      <c r="AM437" s="1078" t="s">
        <v>9919</v>
      </c>
      <c r="AN437" s="1078" t="s">
        <v>9920</v>
      </c>
      <c r="AO437" s="1078">
        <f t="shared" si="54"/>
        <v>650</v>
      </c>
      <c r="AP437" s="1078">
        <f t="shared" si="55"/>
        <v>1.72</v>
      </c>
      <c r="AQ437" s="1078" t="str">
        <f t="shared" si="56"/>
        <v>1-4-1S91°</v>
      </c>
      <c r="AR437" s="1078" t="str">
        <f t="shared" si="57"/>
        <v>31</v>
      </c>
      <c r="AS437" s="1078" t="str">
        <f t="shared" si="58"/>
        <v>265/265/OFF</v>
      </c>
      <c r="AT437" s="1078" t="str">
        <f t="shared" si="59"/>
        <v>1-4-1S91°</v>
      </c>
      <c r="AV437" s="1078" t="str">
        <f t="shared" si="52"/>
        <v>109.7.23</v>
      </c>
      <c r="AW437" s="1344">
        <f t="shared" si="53"/>
        <v>44035</v>
      </c>
    </row>
    <row r="438" spans="1:49">
      <c r="A438" s="1077" t="s">
        <v>3047</v>
      </c>
      <c r="B438" s="1077" t="s">
        <v>1815</v>
      </c>
      <c r="C438" s="1077">
        <v>600</v>
      </c>
      <c r="D438" s="1077">
        <v>1.72</v>
      </c>
      <c r="E438" s="1077" t="s">
        <v>15098</v>
      </c>
      <c r="F438" s="1077" t="s">
        <v>954</v>
      </c>
      <c r="G438" s="1077" t="s">
        <v>1767</v>
      </c>
      <c r="H438" s="1077" t="s">
        <v>1061</v>
      </c>
      <c r="I438" s="1077" t="s">
        <v>126</v>
      </c>
      <c r="J438" s="1077">
        <v>0.8</v>
      </c>
      <c r="K438" s="1077" t="s">
        <v>3045</v>
      </c>
      <c r="L438" s="1077" t="s">
        <v>2209</v>
      </c>
      <c r="M438" s="1077">
        <v>75.099999999999994</v>
      </c>
      <c r="N438" s="1077" t="s">
        <v>945</v>
      </c>
      <c r="O438" s="1077">
        <v>1.8774999999999999</v>
      </c>
      <c r="P438" s="1077">
        <v>1.502</v>
      </c>
      <c r="Q438" s="1077" t="s">
        <v>1321</v>
      </c>
      <c r="R438" s="1077">
        <v>19</v>
      </c>
      <c r="T438" s="1077">
        <v>21</v>
      </c>
      <c r="U438" s="1077">
        <v>3.5</v>
      </c>
      <c r="V438" s="1077" t="s">
        <v>648</v>
      </c>
      <c r="W438" s="1077">
        <v>110</v>
      </c>
      <c r="X438" s="1077" t="s">
        <v>2650</v>
      </c>
      <c r="Y438" s="1077">
        <v>1.6</v>
      </c>
      <c r="Z438" s="1077">
        <v>4</v>
      </c>
      <c r="AA438" s="1077" t="s">
        <v>3007</v>
      </c>
      <c r="AB438" s="1077" t="s">
        <v>981</v>
      </c>
      <c r="AH438" s="1077" t="s">
        <v>958</v>
      </c>
      <c r="AM438" s="1078" t="s">
        <v>9921</v>
      </c>
      <c r="AN438" s="1078" t="s">
        <v>9922</v>
      </c>
      <c r="AO438" s="1078">
        <f t="shared" si="54"/>
        <v>600</v>
      </c>
      <c r="AP438" s="1078">
        <f t="shared" si="55"/>
        <v>1.72</v>
      </c>
      <c r="AQ438" s="1078" t="str">
        <f t="shared" si="56"/>
        <v>1-4-1S91°</v>
      </c>
      <c r="AR438" s="1078" t="str">
        <f t="shared" si="57"/>
        <v>31</v>
      </c>
      <c r="AS438" s="1078" t="str">
        <f t="shared" si="58"/>
        <v>255/255/OFF</v>
      </c>
      <c r="AT438" s="1078" t="str">
        <f t="shared" si="59"/>
        <v>1-4-1S91°</v>
      </c>
      <c r="AV438" s="1078" t="str">
        <f t="shared" si="52"/>
        <v>109.7.30</v>
      </c>
      <c r="AW438" s="1344">
        <f t="shared" si="53"/>
        <v>44042</v>
      </c>
    </row>
    <row r="439" spans="1:49">
      <c r="A439" s="1077" t="s">
        <v>3048</v>
      </c>
      <c r="B439" s="1077" t="s">
        <v>1815</v>
      </c>
      <c r="C439" s="1077">
        <v>600</v>
      </c>
      <c r="D439" s="1077">
        <v>1.72</v>
      </c>
      <c r="E439" s="1077" t="s">
        <v>15098</v>
      </c>
      <c r="F439" s="1077" t="s">
        <v>954</v>
      </c>
      <c r="G439" s="1077" t="s">
        <v>1767</v>
      </c>
      <c r="H439" s="1077" t="s">
        <v>1061</v>
      </c>
      <c r="I439" s="1077" t="s">
        <v>126</v>
      </c>
      <c r="J439" s="1077">
        <v>0.8</v>
      </c>
      <c r="K439" s="1077" t="s">
        <v>3045</v>
      </c>
      <c r="L439" s="1077" t="s">
        <v>2209</v>
      </c>
      <c r="M439" s="1077">
        <v>75.099999999999994</v>
      </c>
      <c r="N439" s="1077" t="s">
        <v>945</v>
      </c>
      <c r="O439" s="1077">
        <v>1.8774999999999999</v>
      </c>
      <c r="P439" s="1077">
        <v>1.502</v>
      </c>
      <c r="Q439" s="1077" t="s">
        <v>1321</v>
      </c>
      <c r="R439" s="1077">
        <v>19</v>
      </c>
      <c r="T439" s="1077">
        <v>21</v>
      </c>
      <c r="U439" s="1077">
        <v>3.5</v>
      </c>
      <c r="V439" s="1077" t="s">
        <v>648</v>
      </c>
      <c r="W439" s="1077">
        <v>110</v>
      </c>
      <c r="X439" s="1077" t="s">
        <v>2650</v>
      </c>
      <c r="Y439" s="1077">
        <v>1.6</v>
      </c>
      <c r="Z439" s="1077">
        <v>4</v>
      </c>
      <c r="AA439" s="1077" t="s">
        <v>3011</v>
      </c>
      <c r="AB439" s="1077" t="s">
        <v>981</v>
      </c>
      <c r="AH439" s="1077" t="s">
        <v>990</v>
      </c>
      <c r="AM439" s="1078" t="s">
        <v>9923</v>
      </c>
      <c r="AN439" s="1078" t="s">
        <v>9924</v>
      </c>
      <c r="AO439" s="1078">
        <f t="shared" si="54"/>
        <v>600</v>
      </c>
      <c r="AP439" s="1078">
        <f t="shared" si="55"/>
        <v>1.72</v>
      </c>
      <c r="AQ439" s="1078" t="str">
        <f t="shared" si="56"/>
        <v>1-4-1S91°</v>
      </c>
      <c r="AR439" s="1078" t="str">
        <f t="shared" si="57"/>
        <v>31</v>
      </c>
      <c r="AS439" s="1078" t="str">
        <f t="shared" si="58"/>
        <v>255/255/OFF</v>
      </c>
      <c r="AT439" s="1078" t="str">
        <f t="shared" si="59"/>
        <v>1-4-1S91°</v>
      </c>
      <c r="AV439" s="1078" t="str">
        <f t="shared" si="52"/>
        <v>109.8.5</v>
      </c>
      <c r="AW439" s="1344">
        <f t="shared" si="53"/>
        <v>44048</v>
      </c>
    </row>
    <row r="440" spans="1:49">
      <c r="A440" s="1077" t="s">
        <v>3049</v>
      </c>
      <c r="B440" s="1077" t="s">
        <v>1815</v>
      </c>
      <c r="C440" s="1077">
        <v>600</v>
      </c>
      <c r="D440" s="1077">
        <v>1.72</v>
      </c>
      <c r="E440" s="1077" t="s">
        <v>15098</v>
      </c>
      <c r="F440" s="1077" t="s">
        <v>954</v>
      </c>
      <c r="G440" s="1077" t="s">
        <v>1767</v>
      </c>
      <c r="H440" s="1077" t="s">
        <v>1029</v>
      </c>
      <c r="I440" s="1077" t="s">
        <v>126</v>
      </c>
      <c r="J440" s="1077">
        <v>0.8</v>
      </c>
      <c r="K440" s="1077" t="s">
        <v>3050</v>
      </c>
      <c r="L440" s="1077" t="s">
        <v>1817</v>
      </c>
      <c r="M440" s="1077">
        <v>75.099999999999994</v>
      </c>
      <c r="N440" s="1077" t="s">
        <v>945</v>
      </c>
      <c r="O440" s="1077">
        <v>1.8774999999999999</v>
      </c>
      <c r="P440" s="1077">
        <v>1.502</v>
      </c>
      <c r="Q440" s="1077" t="s">
        <v>1037</v>
      </c>
      <c r="R440" s="1077">
        <v>19</v>
      </c>
      <c r="T440" s="1077">
        <v>21</v>
      </c>
      <c r="U440" s="1077">
        <v>3.5</v>
      </c>
      <c r="V440" s="1077" t="s">
        <v>648</v>
      </c>
      <c r="W440" s="1077">
        <v>110</v>
      </c>
      <c r="X440" s="1077" t="s">
        <v>2650</v>
      </c>
      <c r="Y440" s="1077">
        <v>1.6</v>
      </c>
      <c r="Z440" s="1077" t="s">
        <v>1200</v>
      </c>
      <c r="AA440" s="1077" t="s">
        <v>3051</v>
      </c>
      <c r="AB440" s="1077" t="s">
        <v>981</v>
      </c>
      <c r="AH440" s="1077" t="s">
        <v>990</v>
      </c>
      <c r="AM440" s="1078" t="s">
        <v>9925</v>
      </c>
      <c r="AN440" s="1078" t="s">
        <v>9926</v>
      </c>
      <c r="AO440" s="1078">
        <f t="shared" si="54"/>
        <v>600</v>
      </c>
      <c r="AP440" s="1078">
        <f t="shared" si="55"/>
        <v>1.72</v>
      </c>
      <c r="AQ440" s="1078" t="str">
        <f t="shared" si="56"/>
        <v>1-4-1S91°</v>
      </c>
      <c r="AR440" s="1078" t="str">
        <f t="shared" si="57"/>
        <v>31</v>
      </c>
      <c r="AS440" s="1078" t="str">
        <f t="shared" si="58"/>
        <v>250/250/OFF</v>
      </c>
      <c r="AT440" s="1078" t="str">
        <f t="shared" si="59"/>
        <v>1-4-1S91°</v>
      </c>
      <c r="AV440" s="1078" t="str">
        <f t="shared" si="52"/>
        <v>109.8.25</v>
      </c>
      <c r="AW440" s="1344">
        <f t="shared" si="53"/>
        <v>44068</v>
      </c>
    </row>
    <row r="441" spans="1:49">
      <c r="A441" s="1077" t="s">
        <v>3052</v>
      </c>
      <c r="B441" s="1077" t="s">
        <v>1815</v>
      </c>
      <c r="C441" s="1077">
        <v>600</v>
      </c>
      <c r="D441" s="1077">
        <v>1.72</v>
      </c>
      <c r="E441" s="1077" t="s">
        <v>15098</v>
      </c>
      <c r="F441" s="1077" t="s">
        <v>954</v>
      </c>
      <c r="G441" s="1077" t="s">
        <v>1767</v>
      </c>
      <c r="H441" s="1077" t="s">
        <v>1029</v>
      </c>
      <c r="I441" s="1077" t="s">
        <v>126</v>
      </c>
      <c r="J441" s="1077">
        <v>0.8</v>
      </c>
      <c r="K441" s="1077" t="s">
        <v>3050</v>
      </c>
      <c r="L441" s="1077" t="s">
        <v>1817</v>
      </c>
      <c r="M441" s="1077">
        <v>75.099999999999994</v>
      </c>
      <c r="N441" s="1077" t="s">
        <v>945</v>
      </c>
      <c r="O441" s="1077">
        <v>1.8774999999999999</v>
      </c>
      <c r="P441" s="1077">
        <v>1.502</v>
      </c>
      <c r="Q441" s="1077" t="s">
        <v>1277</v>
      </c>
      <c r="R441" s="1077">
        <v>19</v>
      </c>
      <c r="T441" s="1077">
        <v>21</v>
      </c>
      <c r="U441" s="1077">
        <v>3.5</v>
      </c>
      <c r="V441" s="1077" t="s">
        <v>648</v>
      </c>
      <c r="W441" s="1077">
        <v>110</v>
      </c>
      <c r="X441" s="1077" t="s">
        <v>2650</v>
      </c>
      <c r="Y441" s="1077">
        <v>1.6</v>
      </c>
      <c r="Z441" s="1077" t="s">
        <v>3053</v>
      </c>
      <c r="AA441" s="1077" t="s">
        <v>3054</v>
      </c>
      <c r="AB441" s="1077" t="s">
        <v>981</v>
      </c>
      <c r="AH441" s="1077" t="s">
        <v>468</v>
      </c>
      <c r="AM441" s="1078" t="s">
        <v>9927</v>
      </c>
      <c r="AN441" s="1078" t="s">
        <v>9928</v>
      </c>
      <c r="AO441" s="1078">
        <f t="shared" si="54"/>
        <v>600</v>
      </c>
      <c r="AP441" s="1078">
        <f t="shared" si="55"/>
        <v>1.72</v>
      </c>
      <c r="AQ441" s="1078" t="str">
        <f t="shared" si="56"/>
        <v>1-4-1S91°</v>
      </c>
      <c r="AR441" s="1078" t="str">
        <f t="shared" si="57"/>
        <v>31</v>
      </c>
      <c r="AS441" s="1078" t="str">
        <f t="shared" si="58"/>
        <v>250/250/OFF</v>
      </c>
      <c r="AT441" s="1078" t="str">
        <f t="shared" si="59"/>
        <v>1-4-1S91°</v>
      </c>
      <c r="AV441" s="1078" t="str">
        <f t="shared" si="52"/>
        <v>109.8.26</v>
      </c>
      <c r="AW441" s="1344">
        <f t="shared" si="53"/>
        <v>44069</v>
      </c>
    </row>
    <row r="442" spans="1:49">
      <c r="A442" s="1077" t="s">
        <v>3055</v>
      </c>
      <c r="B442" s="1077" t="s">
        <v>2991</v>
      </c>
      <c r="C442" s="1077">
        <v>600</v>
      </c>
      <c r="D442" s="1077">
        <v>1.72</v>
      </c>
      <c r="E442" s="1077" t="s">
        <v>15089</v>
      </c>
      <c r="F442" s="1077" t="s">
        <v>1773</v>
      </c>
      <c r="G442" s="1077" t="s">
        <v>1016</v>
      </c>
      <c r="H442" s="1077" t="s">
        <v>1029</v>
      </c>
      <c r="I442" s="1077" t="s">
        <v>126</v>
      </c>
      <c r="J442" s="1077">
        <v>0.8</v>
      </c>
      <c r="K442" s="1077" t="s">
        <v>3056</v>
      </c>
      <c r="L442" s="1077" t="s">
        <v>2993</v>
      </c>
      <c r="M442" s="1077">
        <v>75.8</v>
      </c>
      <c r="N442" s="1077" t="s">
        <v>945</v>
      </c>
      <c r="O442" s="1077">
        <v>1.895</v>
      </c>
      <c r="P442" s="1077">
        <v>1.516</v>
      </c>
      <c r="Q442" s="1077" t="s">
        <v>2612</v>
      </c>
      <c r="R442" s="1077">
        <v>21</v>
      </c>
      <c r="T442" s="1077">
        <v>16.7</v>
      </c>
      <c r="U442" s="1077">
        <v>3.8</v>
      </c>
      <c r="V442" s="1077" t="s">
        <v>648</v>
      </c>
      <c r="W442" s="1077">
        <v>110</v>
      </c>
      <c r="X442" s="1077">
        <v>80</v>
      </c>
      <c r="Y442" s="1077" t="s">
        <v>3057</v>
      </c>
      <c r="Z442" s="1077" t="s">
        <v>1021</v>
      </c>
      <c r="AA442" s="1077" t="s">
        <v>3058</v>
      </c>
      <c r="AH442" s="1077" t="s">
        <v>868</v>
      </c>
      <c r="AM442" s="1078" t="s">
        <v>9929</v>
      </c>
      <c r="AN442" s="1078" t="s">
        <v>9930</v>
      </c>
      <c r="AO442" s="1078">
        <f t="shared" si="54"/>
        <v>600</v>
      </c>
      <c r="AP442" s="1078">
        <f t="shared" si="55"/>
        <v>1.72</v>
      </c>
      <c r="AQ442" s="1078" t="str">
        <f t="shared" si="56"/>
        <v>1-4-1S83°</v>
      </c>
      <c r="AR442" s="1078" t="str">
        <f t="shared" si="57"/>
        <v>30.2</v>
      </c>
      <c r="AS442" s="1078" t="str">
        <f t="shared" si="58"/>
        <v>250/250/OFF</v>
      </c>
      <c r="AT442" s="1078" t="str">
        <f t="shared" si="59"/>
        <v>1-4-1S83°</v>
      </c>
      <c r="AV442" s="1078" t="str">
        <f t="shared" si="52"/>
        <v>109.9.4</v>
      </c>
      <c r="AW442" s="1344">
        <f t="shared" si="53"/>
        <v>44078</v>
      </c>
    </row>
    <row r="443" spans="1:49">
      <c r="A443" s="1077" t="s">
        <v>3059</v>
      </c>
      <c r="B443" s="1077" t="s">
        <v>2991</v>
      </c>
      <c r="C443" s="1077">
        <v>600</v>
      </c>
      <c r="D443" s="1077">
        <v>1.72</v>
      </c>
      <c r="E443" s="1077" t="s">
        <v>15089</v>
      </c>
      <c r="F443" s="1077" t="s">
        <v>1773</v>
      </c>
      <c r="G443" s="1077" t="s">
        <v>1016</v>
      </c>
      <c r="H443" s="1077" t="s">
        <v>1029</v>
      </c>
      <c r="I443" s="1077" t="s">
        <v>126</v>
      </c>
      <c r="J443" s="1077">
        <v>0.8</v>
      </c>
      <c r="K443" s="1077" t="s">
        <v>3056</v>
      </c>
      <c r="L443" s="1077" t="s">
        <v>2993</v>
      </c>
      <c r="M443" s="1077">
        <v>75.8</v>
      </c>
      <c r="N443" s="1077" t="s">
        <v>945</v>
      </c>
      <c r="O443" s="1077">
        <v>1.895</v>
      </c>
      <c r="P443" s="1077">
        <v>1.516</v>
      </c>
      <c r="Q443" s="1077" t="s">
        <v>1012</v>
      </c>
      <c r="R443" s="1077">
        <v>21</v>
      </c>
      <c r="T443" s="1077">
        <v>16.7</v>
      </c>
      <c r="U443" s="1077">
        <v>3.8</v>
      </c>
      <c r="V443" s="1077" t="s">
        <v>648</v>
      </c>
      <c r="W443" s="1077">
        <v>110</v>
      </c>
      <c r="X443" s="1077">
        <v>80</v>
      </c>
      <c r="Y443" s="1077" t="s">
        <v>3060</v>
      </c>
      <c r="Z443" s="1077">
        <v>4.5</v>
      </c>
      <c r="AA443" s="1077" t="s">
        <v>3032</v>
      </c>
      <c r="AH443" s="1077" t="s">
        <v>785</v>
      </c>
      <c r="AM443" s="1078" t="s">
        <v>9931</v>
      </c>
      <c r="AN443" s="1078" t="s">
        <v>9932</v>
      </c>
      <c r="AO443" s="1078">
        <f t="shared" si="54"/>
        <v>600</v>
      </c>
      <c r="AP443" s="1078">
        <f t="shared" si="55"/>
        <v>1.72</v>
      </c>
      <c r="AQ443" s="1078" t="str">
        <f t="shared" si="56"/>
        <v>1-4-1S83°</v>
      </c>
      <c r="AR443" s="1078" t="str">
        <f t="shared" si="57"/>
        <v>30.2</v>
      </c>
      <c r="AS443" s="1078" t="str">
        <f t="shared" si="58"/>
        <v>250/250/OFF</v>
      </c>
      <c r="AT443" s="1078" t="str">
        <f t="shared" si="59"/>
        <v>1-4-1S83°</v>
      </c>
      <c r="AV443" s="1078" t="str">
        <f t="shared" si="52"/>
        <v>109.9.9</v>
      </c>
      <c r="AW443" s="1344">
        <f t="shared" si="53"/>
        <v>44083</v>
      </c>
    </row>
    <row r="444" spans="1:49">
      <c r="A444" s="1077" t="s">
        <v>3061</v>
      </c>
      <c r="B444" s="1077" t="s">
        <v>1903</v>
      </c>
      <c r="C444" s="1077" t="s">
        <v>3062</v>
      </c>
      <c r="D444" s="1077">
        <v>1.6839999999999999</v>
      </c>
      <c r="E444" s="1077" t="s">
        <v>15091</v>
      </c>
      <c r="F444" s="1077" t="s">
        <v>1469</v>
      </c>
      <c r="G444" s="1077" t="s">
        <v>3063</v>
      </c>
      <c r="H444" s="1077" t="s">
        <v>3064</v>
      </c>
      <c r="I444" s="1077" t="s">
        <v>1112</v>
      </c>
      <c r="J444" s="1077">
        <v>0.5</v>
      </c>
      <c r="K444" s="1077" t="s">
        <v>3065</v>
      </c>
      <c r="L444" s="1077" t="s">
        <v>1905</v>
      </c>
      <c r="M444" s="1077">
        <v>74</v>
      </c>
      <c r="N444" s="1077" t="s">
        <v>945</v>
      </c>
      <c r="O444" s="1077">
        <v>1.85</v>
      </c>
      <c r="P444" s="1077">
        <v>1.48</v>
      </c>
      <c r="Q444" s="1077" t="s">
        <v>1012</v>
      </c>
      <c r="R444" s="1077">
        <v>26</v>
      </c>
      <c r="T444" s="1077">
        <v>13.8</v>
      </c>
      <c r="U444" s="1077">
        <v>5.0999999999999996</v>
      </c>
      <c r="V444" s="1077" t="s">
        <v>648</v>
      </c>
      <c r="W444" s="1077">
        <v>100</v>
      </c>
      <c r="X444" s="1077">
        <v>60</v>
      </c>
      <c r="Y444" s="1077" t="s">
        <v>3066</v>
      </c>
      <c r="Z444" s="1077" t="s">
        <v>1200</v>
      </c>
      <c r="AA444" s="1077" t="s">
        <v>1091</v>
      </c>
      <c r="AH444" s="1077" t="s">
        <v>3067</v>
      </c>
      <c r="AM444" s="1078" t="s">
        <v>9933</v>
      </c>
      <c r="AN444" s="1078" t="s">
        <v>9934</v>
      </c>
      <c r="AO444" s="1078" t="str">
        <f t="shared" si="54"/>
        <v>550↓500-9/15</v>
      </c>
      <c r="AP444" s="1078">
        <f t="shared" si="55"/>
        <v>1.6839999999999999</v>
      </c>
      <c r="AQ444" s="1078" t="str">
        <f t="shared" si="56"/>
        <v>2-5-1S83°</v>
      </c>
      <c r="AR444" s="1078" t="str">
        <f t="shared" si="57"/>
        <v>30.5</v>
      </c>
      <c r="AS444" s="1078" t="str">
        <f t="shared" si="58"/>
        <v>148/OFF</v>
      </c>
      <c r="AT444" s="1078" t="str">
        <f t="shared" si="59"/>
        <v>2-5-1S83°</v>
      </c>
      <c r="AV444" s="1078" t="str">
        <f t="shared" si="52"/>
        <v>109.9.10</v>
      </c>
      <c r="AW444" s="1344">
        <f t="shared" si="53"/>
        <v>44084</v>
      </c>
    </row>
    <row r="445" spans="1:49">
      <c r="A445" s="1077" t="s">
        <v>3068</v>
      </c>
      <c r="B445" s="1077" t="s">
        <v>1766</v>
      </c>
      <c r="C445" s="1077">
        <v>700</v>
      </c>
      <c r="D445" s="1077">
        <v>1.8</v>
      </c>
      <c r="E445" s="1077" t="s">
        <v>15089</v>
      </c>
      <c r="F445" s="1077" t="s">
        <v>984</v>
      </c>
      <c r="G445" s="1077" t="s">
        <v>1767</v>
      </c>
      <c r="H445" s="1077" t="s">
        <v>2540</v>
      </c>
      <c r="I445" s="1077" t="s">
        <v>1073</v>
      </c>
      <c r="J445" s="1077">
        <v>0.5</v>
      </c>
      <c r="K445" s="1077" t="s">
        <v>2983</v>
      </c>
      <c r="L445" s="1077" t="s">
        <v>1769</v>
      </c>
      <c r="M445" s="1077">
        <v>74.8</v>
      </c>
      <c r="N445" s="1077" t="s">
        <v>945</v>
      </c>
      <c r="O445" s="1077">
        <v>1.87</v>
      </c>
      <c r="P445" s="1077">
        <v>1.496</v>
      </c>
      <c r="Q445" s="1077" t="s">
        <v>988</v>
      </c>
      <c r="R445" s="1077">
        <v>18.7</v>
      </c>
      <c r="T445" s="1077">
        <v>40.1</v>
      </c>
      <c r="U445" s="1077">
        <v>3.4</v>
      </c>
      <c r="V445" s="1077" t="s">
        <v>648</v>
      </c>
      <c r="W445" s="1077">
        <v>30</v>
      </c>
      <c r="X445" s="1077">
        <v>10</v>
      </c>
      <c r="Y445" s="1077">
        <v>1.7</v>
      </c>
      <c r="Z445" s="1077">
        <v>5.5</v>
      </c>
      <c r="AA445" s="1077" t="s">
        <v>3069</v>
      </c>
      <c r="AH445" s="1077" t="s">
        <v>1244</v>
      </c>
      <c r="AM445" s="1078" t="s">
        <v>9935</v>
      </c>
      <c r="AN445" s="1078" t="s">
        <v>9936</v>
      </c>
      <c r="AO445" s="1078">
        <f t="shared" si="54"/>
        <v>700</v>
      </c>
      <c r="AP445" s="1078">
        <f t="shared" si="55"/>
        <v>1.8</v>
      </c>
      <c r="AQ445" s="1078" t="str">
        <f t="shared" si="56"/>
        <v>1-4-1S83°</v>
      </c>
      <c r="AR445" s="1078" t="str">
        <f t="shared" si="57"/>
        <v>30</v>
      </c>
      <c r="AS445" s="1078" t="str">
        <f t="shared" si="58"/>
        <v>300/300/OFF</v>
      </c>
      <c r="AT445" s="1078" t="str">
        <f t="shared" si="59"/>
        <v>1-4-1S83°</v>
      </c>
      <c r="AV445" s="1078" t="str">
        <f t="shared" si="52"/>
        <v>109.9.16</v>
      </c>
      <c r="AW445" s="1344">
        <f t="shared" si="53"/>
        <v>44090</v>
      </c>
    </row>
    <row r="446" spans="1:49">
      <c r="A446" s="1077" t="s">
        <v>3070</v>
      </c>
      <c r="B446" s="1077" t="s">
        <v>2129</v>
      </c>
      <c r="C446" s="1077">
        <v>600</v>
      </c>
      <c r="D446" s="1077">
        <v>1.72</v>
      </c>
      <c r="E446" s="1077" t="s">
        <v>15091</v>
      </c>
      <c r="F446" s="1077" t="s">
        <v>984</v>
      </c>
      <c r="G446" s="1077" t="s">
        <v>1767</v>
      </c>
      <c r="H446" s="1077" t="s">
        <v>2601</v>
      </c>
      <c r="I446" s="1077" t="s">
        <v>1167</v>
      </c>
      <c r="J446" s="1077">
        <v>1.1000000000000001</v>
      </c>
      <c r="K446" s="1077" t="s">
        <v>3071</v>
      </c>
      <c r="L446" s="1077" t="s">
        <v>2132</v>
      </c>
      <c r="M446" s="1077">
        <v>77</v>
      </c>
      <c r="N446" s="1077" t="s">
        <v>945</v>
      </c>
      <c r="O446" s="1077">
        <v>1.925</v>
      </c>
      <c r="P446" s="1077">
        <v>1.54</v>
      </c>
      <c r="Q446" s="1077" t="s">
        <v>2401</v>
      </c>
      <c r="R446" s="1077">
        <v>22</v>
      </c>
      <c r="T446" s="1077">
        <v>15.5</v>
      </c>
      <c r="U446" s="1077">
        <v>2.9</v>
      </c>
      <c r="V446" s="1077" t="s">
        <v>648</v>
      </c>
      <c r="W446" s="1077">
        <v>105</v>
      </c>
      <c r="X446" s="1077">
        <v>85</v>
      </c>
      <c r="Y446" s="1077">
        <v>2.2000000000000002</v>
      </c>
      <c r="Z446" s="1077" t="s">
        <v>3072</v>
      </c>
      <c r="AA446" s="1077" t="s">
        <v>3073</v>
      </c>
      <c r="AH446" s="1077" t="s">
        <v>3074</v>
      </c>
      <c r="AM446" s="1078" t="s">
        <v>9937</v>
      </c>
      <c r="AN446" s="1078" t="s">
        <v>9938</v>
      </c>
      <c r="AO446" s="1078">
        <f t="shared" si="54"/>
        <v>600</v>
      </c>
      <c r="AP446" s="1078">
        <f t="shared" si="55"/>
        <v>1.72</v>
      </c>
      <c r="AQ446" s="1078" t="str">
        <f t="shared" si="56"/>
        <v>2-5-1S83°</v>
      </c>
      <c r="AR446" s="1078" t="str">
        <f t="shared" si="57"/>
        <v>30</v>
      </c>
      <c r="AS446" s="1078" t="str">
        <f t="shared" si="58"/>
        <v>178/145</v>
      </c>
      <c r="AT446" s="1078" t="str">
        <f t="shared" si="59"/>
        <v>2-5-1S83°</v>
      </c>
      <c r="AV446" s="1078" t="str">
        <f t="shared" si="52"/>
        <v>109.9.23</v>
      </c>
      <c r="AW446" s="1344">
        <f t="shared" si="53"/>
        <v>44097</v>
      </c>
    </row>
    <row r="447" spans="1:49">
      <c r="A447" s="1077" t="s">
        <v>3075</v>
      </c>
      <c r="B447" s="1077" t="s">
        <v>2567</v>
      </c>
      <c r="C447" s="1077">
        <v>500</v>
      </c>
      <c r="D447" s="1077">
        <v>1.6850000000000001</v>
      </c>
      <c r="E447" s="1077" t="s">
        <v>2568</v>
      </c>
      <c r="F447" s="1077" t="s">
        <v>2884</v>
      </c>
      <c r="G447" s="1077">
        <v>4.5</v>
      </c>
      <c r="H447" s="1077" t="s">
        <v>3076</v>
      </c>
      <c r="I447" s="1077" t="s">
        <v>126</v>
      </c>
      <c r="J447" s="1077">
        <v>0.8</v>
      </c>
      <c r="K447" s="1077" t="s">
        <v>2697</v>
      </c>
      <c r="L447" s="1077" t="s">
        <v>2104</v>
      </c>
      <c r="M447" s="1077">
        <v>76.400000000000006</v>
      </c>
      <c r="N447" s="1077" t="s">
        <v>945</v>
      </c>
      <c r="O447" s="1077">
        <v>1.9100000000000001</v>
      </c>
      <c r="P447" s="1077">
        <v>1.5280000000000002</v>
      </c>
      <c r="Q447" s="1077" t="s">
        <v>1297</v>
      </c>
      <c r="R447" s="1077">
        <v>20</v>
      </c>
      <c r="T447" s="1077">
        <v>30</v>
      </c>
      <c r="U447" s="1077">
        <v>3.4</v>
      </c>
      <c r="V447" s="1077" t="s">
        <v>648</v>
      </c>
      <c r="W447" s="1077">
        <v>120</v>
      </c>
      <c r="X447" s="1077">
        <v>80</v>
      </c>
      <c r="Y447" s="1077">
        <v>2.4</v>
      </c>
      <c r="Z447" s="1077" t="s">
        <v>2466</v>
      </c>
      <c r="AA447" s="1077" t="s">
        <v>1340</v>
      </c>
      <c r="AH447" s="1077" t="s">
        <v>854</v>
      </c>
      <c r="AM447" s="1078" t="s">
        <v>9939</v>
      </c>
      <c r="AN447" s="1078" t="s">
        <v>9940</v>
      </c>
      <c r="AO447" s="1078">
        <f t="shared" si="54"/>
        <v>500</v>
      </c>
      <c r="AP447" s="1078">
        <f t="shared" si="55"/>
        <v>1.6850000000000001</v>
      </c>
      <c r="AQ447" s="1078" t="str">
        <f t="shared" si="56"/>
        <v>120°</v>
      </c>
      <c r="AR447" s="1078" t="str">
        <f t="shared" si="57"/>
        <v>14.9</v>
      </c>
      <c r="AS447" s="1078" t="str">
        <f t="shared" si="58"/>
        <v>338/338/OFF</v>
      </c>
      <c r="AT447" s="1078" t="str">
        <f t="shared" si="59"/>
        <v>120°</v>
      </c>
      <c r="AV447" s="1078" t="str">
        <f t="shared" si="52"/>
        <v>109.9.30</v>
      </c>
      <c r="AW447" s="1344">
        <f t="shared" si="53"/>
        <v>44104</v>
      </c>
    </row>
    <row r="448" spans="1:49">
      <c r="A448" s="1077" t="s">
        <v>3077</v>
      </c>
      <c r="B448" s="1077" t="s">
        <v>840</v>
      </c>
      <c r="C448" s="1077">
        <v>650</v>
      </c>
      <c r="D448" s="1077">
        <v>1.76</v>
      </c>
      <c r="E448" s="1077" t="s">
        <v>15089</v>
      </c>
      <c r="F448" s="1077" t="s">
        <v>984</v>
      </c>
      <c r="G448" s="1077" t="s">
        <v>940</v>
      </c>
      <c r="H448" s="1077" t="s">
        <v>1226</v>
      </c>
      <c r="I448" s="1077" t="s">
        <v>126</v>
      </c>
      <c r="J448" s="1077">
        <v>0.4</v>
      </c>
      <c r="K448" s="1077" t="s">
        <v>3078</v>
      </c>
      <c r="L448" s="1077" t="s">
        <v>1780</v>
      </c>
      <c r="M448" s="1077">
        <v>73.5</v>
      </c>
      <c r="N448" s="1077" t="s">
        <v>945</v>
      </c>
      <c r="O448" s="1077">
        <v>1.8375000000000001</v>
      </c>
      <c r="P448" s="1077">
        <v>1.47</v>
      </c>
      <c r="Q448" s="1077" t="s">
        <v>1012</v>
      </c>
      <c r="R448" s="1077">
        <v>28</v>
      </c>
      <c r="T448" s="1077">
        <v>20.5</v>
      </c>
      <c r="U448" s="1077">
        <v>5.5</v>
      </c>
      <c r="V448" s="1077" t="s">
        <v>648</v>
      </c>
      <c r="W448" s="1077">
        <v>50</v>
      </c>
      <c r="X448" s="1077">
        <v>10</v>
      </c>
      <c r="Y448" s="1077">
        <v>1.5</v>
      </c>
      <c r="Z448" s="1077">
        <v>5</v>
      </c>
      <c r="AA448" s="1077" t="s">
        <v>1094</v>
      </c>
      <c r="AH448" s="1077" t="s">
        <v>958</v>
      </c>
      <c r="AM448" s="1078" t="s">
        <v>9941</v>
      </c>
      <c r="AN448" s="1078" t="s">
        <v>9942</v>
      </c>
      <c r="AO448" s="1078">
        <f t="shared" si="54"/>
        <v>650</v>
      </c>
      <c r="AP448" s="1078">
        <f t="shared" si="55"/>
        <v>1.76</v>
      </c>
      <c r="AQ448" s="1078" t="str">
        <f t="shared" si="56"/>
        <v>1-4-1S83°</v>
      </c>
      <c r="AR448" s="1078" t="str">
        <f t="shared" si="57"/>
        <v>30</v>
      </c>
      <c r="AS448" s="1078" t="str">
        <f t="shared" si="58"/>
        <v>230/230/OFF</v>
      </c>
      <c r="AT448" s="1078" t="str">
        <f t="shared" si="59"/>
        <v>1-4-1S83°</v>
      </c>
      <c r="AV448" s="1078" t="str">
        <f t="shared" si="52"/>
        <v>109.10.12</v>
      </c>
      <c r="AW448" s="1344">
        <f t="shared" si="53"/>
        <v>44116</v>
      </c>
    </row>
    <row r="449" spans="1:49">
      <c r="A449" s="1077" t="s">
        <v>3079</v>
      </c>
      <c r="B449" s="1077" t="s">
        <v>1823</v>
      </c>
      <c r="C449" s="1077">
        <v>500</v>
      </c>
      <c r="D449" s="1077">
        <v>1.75</v>
      </c>
      <c r="E449" s="1077" t="s">
        <v>15095</v>
      </c>
      <c r="F449" s="1077" t="s">
        <v>984</v>
      </c>
      <c r="G449" s="1077" t="s">
        <v>1016</v>
      </c>
      <c r="H449" s="1077" t="s">
        <v>1327</v>
      </c>
      <c r="I449" s="1077" t="s">
        <v>126</v>
      </c>
      <c r="J449" s="1077">
        <v>0.7</v>
      </c>
      <c r="K449" s="1077" t="s">
        <v>3080</v>
      </c>
      <c r="L449" s="1077" t="s">
        <v>1825</v>
      </c>
      <c r="M449" s="1077">
        <v>73.8</v>
      </c>
      <c r="N449" s="1077" t="s">
        <v>945</v>
      </c>
      <c r="O449" s="1077">
        <v>1.845</v>
      </c>
      <c r="P449" s="1077">
        <v>1.476</v>
      </c>
      <c r="Q449" s="1077" t="s">
        <v>2401</v>
      </c>
      <c r="R449" s="1077">
        <v>18.5</v>
      </c>
      <c r="T449" s="1077">
        <v>21</v>
      </c>
      <c r="U449" s="1077">
        <v>3.8</v>
      </c>
      <c r="V449" s="1077" t="s">
        <v>648</v>
      </c>
      <c r="W449" s="1077">
        <v>110</v>
      </c>
      <c r="X449" s="1077">
        <v>85</v>
      </c>
      <c r="Y449" s="1077">
        <v>1.9</v>
      </c>
      <c r="Z449" s="1077">
        <v>4</v>
      </c>
      <c r="AA449" s="1077" t="s">
        <v>3081</v>
      </c>
      <c r="AH449" s="1077" t="s">
        <v>785</v>
      </c>
      <c r="AM449" s="1078" t="s">
        <v>9943</v>
      </c>
      <c r="AN449" s="1078" t="s">
        <v>9944</v>
      </c>
      <c r="AO449" s="1078">
        <f t="shared" si="54"/>
        <v>500</v>
      </c>
      <c r="AP449" s="1078">
        <f t="shared" si="55"/>
        <v>1.75</v>
      </c>
      <c r="AQ449" s="1078" t="str">
        <f t="shared" si="56"/>
        <v>1-5-1S83°</v>
      </c>
      <c r="AR449" s="1078" t="str">
        <f t="shared" si="57"/>
        <v>30</v>
      </c>
      <c r="AS449" s="1078" t="str">
        <f t="shared" si="58"/>
        <v>232/232/OFF</v>
      </c>
      <c r="AT449" s="1078" t="str">
        <f t="shared" si="59"/>
        <v>1-5-1S83°</v>
      </c>
      <c r="AV449" s="1078" t="str">
        <f t="shared" si="52"/>
        <v>109.10.14</v>
      </c>
      <c r="AW449" s="1344">
        <f t="shared" si="53"/>
        <v>44118</v>
      </c>
    </row>
    <row r="450" spans="1:49">
      <c r="A450" s="1077" t="s">
        <v>3082</v>
      </c>
      <c r="B450" s="1077" t="s">
        <v>472</v>
      </c>
      <c r="C450" s="1077">
        <v>550</v>
      </c>
      <c r="D450" s="1077">
        <v>1.7</v>
      </c>
      <c r="E450" s="1077" t="s">
        <v>15089</v>
      </c>
      <c r="F450" s="1077" t="s">
        <v>984</v>
      </c>
      <c r="G450" s="1077" t="s">
        <v>1767</v>
      </c>
      <c r="H450" s="1077" t="s">
        <v>1327</v>
      </c>
      <c r="I450" s="1077" t="s">
        <v>126</v>
      </c>
      <c r="J450" s="1077">
        <v>0.7</v>
      </c>
      <c r="K450" s="1077" t="s">
        <v>3083</v>
      </c>
      <c r="L450" s="1077" t="s">
        <v>1811</v>
      </c>
      <c r="M450" s="1077">
        <v>74.599999999999994</v>
      </c>
      <c r="N450" s="1077" t="s">
        <v>945</v>
      </c>
      <c r="O450" s="1077">
        <v>1.865</v>
      </c>
      <c r="P450" s="1077">
        <v>1.492</v>
      </c>
      <c r="Q450" s="1077" t="s">
        <v>2401</v>
      </c>
      <c r="R450" s="1077">
        <v>23.5</v>
      </c>
      <c r="T450" s="1077">
        <v>12.5</v>
      </c>
      <c r="U450" s="1077">
        <v>5.0999999999999996</v>
      </c>
      <c r="V450" s="1077" t="s">
        <v>648</v>
      </c>
      <c r="W450" s="1077">
        <v>95</v>
      </c>
      <c r="X450" s="1077">
        <v>60</v>
      </c>
      <c r="Y450" s="1077">
        <v>1.8</v>
      </c>
      <c r="Z450" s="1077">
        <v>4.5</v>
      </c>
      <c r="AA450" s="1077" t="s">
        <v>1347</v>
      </c>
      <c r="AH450" s="1077" t="s">
        <v>1186</v>
      </c>
      <c r="AM450" s="1078" t="s">
        <v>9945</v>
      </c>
      <c r="AN450" s="1078" t="s">
        <v>9946</v>
      </c>
      <c r="AO450" s="1078">
        <f t="shared" si="54"/>
        <v>550</v>
      </c>
      <c r="AP450" s="1078">
        <f t="shared" si="55"/>
        <v>1.7</v>
      </c>
      <c r="AQ450" s="1078" t="str">
        <f t="shared" si="56"/>
        <v>1-4-1S83°</v>
      </c>
      <c r="AR450" s="1078" t="str">
        <f t="shared" si="57"/>
        <v>30</v>
      </c>
      <c r="AS450" s="1078" t="str">
        <f t="shared" si="58"/>
        <v>232/232/OFF</v>
      </c>
      <c r="AT450" s="1078" t="str">
        <f t="shared" si="59"/>
        <v>1-4-1S83°</v>
      </c>
      <c r="AV450" s="1078" t="str">
        <f t="shared" ref="AV450:AV513" si="60">AA450</f>
        <v>109.10.19</v>
      </c>
      <c r="AW450" s="1344">
        <f t="shared" si="53"/>
        <v>44123</v>
      </c>
    </row>
    <row r="451" spans="1:49">
      <c r="A451" s="1077" t="s">
        <v>3084</v>
      </c>
      <c r="B451" s="1077" t="s">
        <v>2544</v>
      </c>
      <c r="C451" s="1077">
        <v>500</v>
      </c>
      <c r="D451" s="1077">
        <v>1.66</v>
      </c>
      <c r="E451" s="1077" t="s">
        <v>15089</v>
      </c>
      <c r="F451" s="1077" t="s">
        <v>984</v>
      </c>
      <c r="G451" s="1077" t="s">
        <v>940</v>
      </c>
      <c r="H451" s="1077" t="s">
        <v>2545</v>
      </c>
      <c r="I451" s="1077" t="s">
        <v>626</v>
      </c>
      <c r="J451" s="1077">
        <v>1.3</v>
      </c>
      <c r="K451" s="1077" t="s">
        <v>3085</v>
      </c>
      <c r="L451" s="1077" t="s">
        <v>2547</v>
      </c>
      <c r="M451" s="1077">
        <v>77.599999999999994</v>
      </c>
      <c r="N451" s="1077" t="s">
        <v>945</v>
      </c>
      <c r="O451" s="1077">
        <v>1.94</v>
      </c>
      <c r="P451" s="1077">
        <v>1.5519999999999998</v>
      </c>
      <c r="Q451" s="1077" t="s">
        <v>2838</v>
      </c>
      <c r="R451" s="1077">
        <v>25.1</v>
      </c>
      <c r="T451" s="1077">
        <v>49.4</v>
      </c>
      <c r="U451" s="1077">
        <v>3.8</v>
      </c>
      <c r="V451" s="1077" t="s">
        <v>648</v>
      </c>
      <c r="W451" s="1077">
        <v>100</v>
      </c>
      <c r="X451" s="1077">
        <v>10</v>
      </c>
      <c r="Y451" s="1077">
        <v>1.3</v>
      </c>
      <c r="Z451" s="1077" t="s">
        <v>3086</v>
      </c>
      <c r="AA451" s="1077" t="s">
        <v>3087</v>
      </c>
      <c r="AH451" s="1077" t="s">
        <v>468</v>
      </c>
      <c r="AM451" s="1078" t="s">
        <v>9947</v>
      </c>
      <c r="AN451" s="1078" t="s">
        <v>9948</v>
      </c>
      <c r="AO451" s="1078">
        <f t="shared" si="54"/>
        <v>500</v>
      </c>
      <c r="AP451" s="1078">
        <f t="shared" si="55"/>
        <v>1.66</v>
      </c>
      <c r="AQ451" s="1078" t="str">
        <f t="shared" si="56"/>
        <v>1-4-1S83°</v>
      </c>
      <c r="AR451" s="1078" t="str">
        <f t="shared" si="57"/>
        <v>30</v>
      </c>
      <c r="AS451" s="1078" t="str">
        <f t="shared" si="58"/>
        <v>260/270/OFF</v>
      </c>
      <c r="AT451" s="1078" t="str">
        <f t="shared" si="59"/>
        <v>1-4-1S83°</v>
      </c>
      <c r="AV451" s="1078" t="str">
        <f t="shared" si="60"/>
        <v>109.10.30</v>
      </c>
      <c r="AW451" s="1344">
        <f t="shared" ref="AW451:AW514" si="61">DATE(VALUE(LEFT(AV451,FIND(".",AV451)-1))+1911,
       VALUE(MID(AV451,FIND(".",AV451)+1,FIND(".",AV451,FIND(".",AV451)+1)-FIND(".",AV451)-1)),
       VALUE(RIGHT(AV451,LEN(AV451)-FIND("~",SUBSTITUTE(AV451,".","~",2)))))</f>
        <v>44134</v>
      </c>
    </row>
    <row r="452" spans="1:49">
      <c r="A452" s="1077" t="s">
        <v>3088</v>
      </c>
      <c r="B452" s="1077" t="s">
        <v>1899</v>
      </c>
      <c r="C452" s="1077">
        <v>650</v>
      </c>
      <c r="D452" s="1077">
        <v>1.74</v>
      </c>
      <c r="E452" s="1077" t="s">
        <v>15089</v>
      </c>
      <c r="F452" s="1077" t="s">
        <v>984</v>
      </c>
      <c r="G452" s="1077" t="s">
        <v>940</v>
      </c>
      <c r="H452" s="1077" t="s">
        <v>1290</v>
      </c>
      <c r="I452" s="1077" t="s">
        <v>126</v>
      </c>
      <c r="J452" s="1077">
        <v>1.3</v>
      </c>
      <c r="K452" s="1077" t="s">
        <v>3089</v>
      </c>
      <c r="L452" s="1077" t="s">
        <v>2904</v>
      </c>
      <c r="M452" s="1077">
        <v>74.5</v>
      </c>
      <c r="N452" s="1077" t="s">
        <v>945</v>
      </c>
      <c r="O452" s="1077">
        <v>1.8625</v>
      </c>
      <c r="P452" s="1077">
        <v>1.49</v>
      </c>
      <c r="Q452" s="1077" t="s">
        <v>1012</v>
      </c>
      <c r="R452" s="1077">
        <v>26.8</v>
      </c>
      <c r="T452" s="1077">
        <v>17</v>
      </c>
      <c r="U452" s="1077">
        <v>6</v>
      </c>
      <c r="V452" s="1077" t="s">
        <v>648</v>
      </c>
      <c r="W452" s="1077">
        <v>120</v>
      </c>
      <c r="X452" s="1077">
        <v>80</v>
      </c>
      <c r="Y452" s="1077">
        <v>2</v>
      </c>
      <c r="Z452" s="1077" t="s">
        <v>3090</v>
      </c>
      <c r="AA452" s="1077" t="s">
        <v>2462</v>
      </c>
      <c r="AH452" s="1077" t="s">
        <v>684</v>
      </c>
      <c r="AM452" s="1078" t="s">
        <v>9949</v>
      </c>
      <c r="AN452" s="1078" t="s">
        <v>9197</v>
      </c>
      <c r="AO452" s="1078">
        <f t="shared" si="54"/>
        <v>650</v>
      </c>
      <c r="AP452" s="1078">
        <f t="shared" si="55"/>
        <v>1.74</v>
      </c>
      <c r="AQ452" s="1078" t="str">
        <f t="shared" si="56"/>
        <v>1-4-1S83°</v>
      </c>
      <c r="AR452" s="1078" t="str">
        <f t="shared" si="57"/>
        <v>30</v>
      </c>
      <c r="AS452" s="1078" t="str">
        <f t="shared" si="58"/>
        <v>220/220/OFF</v>
      </c>
      <c r="AT452" s="1078" t="str">
        <f t="shared" si="59"/>
        <v>1-4-1S83°</v>
      </c>
      <c r="AV452" s="1078" t="str">
        <f t="shared" si="60"/>
        <v>109.11.18</v>
      </c>
      <c r="AW452" s="1344">
        <f t="shared" si="61"/>
        <v>44153</v>
      </c>
    </row>
    <row r="453" spans="1:49">
      <c r="A453" s="1077" t="s">
        <v>3091</v>
      </c>
      <c r="B453" s="1077" t="s">
        <v>1891</v>
      </c>
      <c r="C453" s="1077">
        <v>600</v>
      </c>
      <c r="D453" s="1077">
        <v>1.73</v>
      </c>
      <c r="E453" s="1077" t="s">
        <v>15089</v>
      </c>
      <c r="F453" s="1077" t="s">
        <v>1514</v>
      </c>
      <c r="G453" s="1077" t="s">
        <v>2622</v>
      </c>
      <c r="H453" s="1077" t="s">
        <v>1649</v>
      </c>
      <c r="I453" s="1077" t="s">
        <v>126</v>
      </c>
      <c r="J453" s="1077">
        <v>0.8</v>
      </c>
      <c r="K453" s="1077" t="s">
        <v>3092</v>
      </c>
      <c r="L453" s="1077" t="s">
        <v>1893</v>
      </c>
      <c r="M453" s="1077">
        <v>74.599999999999994</v>
      </c>
      <c r="N453" s="1077" t="s">
        <v>945</v>
      </c>
      <c r="O453" s="1077">
        <v>1.865</v>
      </c>
      <c r="P453" s="1077">
        <v>1.492</v>
      </c>
      <c r="Q453" s="1077" t="s">
        <v>2401</v>
      </c>
      <c r="R453" s="1077">
        <v>23.5</v>
      </c>
      <c r="T453" s="1077">
        <v>12.5</v>
      </c>
      <c r="U453" s="1077">
        <v>5.0999999999999996</v>
      </c>
      <c r="V453" s="1077" t="s">
        <v>648</v>
      </c>
      <c r="W453" s="1077" t="s">
        <v>2532</v>
      </c>
      <c r="X453" s="1077">
        <v>60</v>
      </c>
      <c r="Y453" s="1077">
        <v>1.8</v>
      </c>
      <c r="Z453" s="1077" t="s">
        <v>1021</v>
      </c>
      <c r="AA453" s="1077" t="s">
        <v>3093</v>
      </c>
      <c r="AH453" s="1077" t="s">
        <v>1137</v>
      </c>
      <c r="AM453" s="1078" t="s">
        <v>9950</v>
      </c>
      <c r="AN453" s="1078" t="s">
        <v>9951</v>
      </c>
      <c r="AO453" s="1078">
        <f t="shared" si="54"/>
        <v>600</v>
      </c>
      <c r="AP453" s="1078">
        <f t="shared" si="55"/>
        <v>1.73</v>
      </c>
      <c r="AQ453" s="1078" t="str">
        <f t="shared" si="56"/>
        <v>1-4-1S83°</v>
      </c>
      <c r="AR453" s="1078" t="str">
        <f t="shared" si="57"/>
        <v>32</v>
      </c>
      <c r="AS453" s="1078" t="str">
        <f t="shared" si="58"/>
        <v>225/225/OFF</v>
      </c>
      <c r="AT453" s="1078" t="str">
        <f t="shared" si="59"/>
        <v>1-4-1S83°</v>
      </c>
      <c r="AV453" s="1078" t="str">
        <f t="shared" si="60"/>
        <v>109.12.14</v>
      </c>
      <c r="AW453" s="1344">
        <f t="shared" si="61"/>
        <v>44179</v>
      </c>
    </row>
    <row r="454" spans="1:49">
      <c r="A454" s="1077" t="s">
        <v>3094</v>
      </c>
      <c r="B454" s="1077" t="s">
        <v>2513</v>
      </c>
      <c r="C454" s="1077">
        <v>500</v>
      </c>
      <c r="D454" s="1077">
        <v>1.78</v>
      </c>
      <c r="E454" s="1077" t="s">
        <v>15091</v>
      </c>
      <c r="F454" s="1077" t="s">
        <v>984</v>
      </c>
      <c r="G454" s="1077" t="s">
        <v>940</v>
      </c>
      <c r="H454" s="1077" t="s">
        <v>2833</v>
      </c>
      <c r="I454" s="1077" t="s">
        <v>1112</v>
      </c>
      <c r="J454" s="1077">
        <v>0.6</v>
      </c>
      <c r="K454" s="1077" t="s">
        <v>3095</v>
      </c>
      <c r="L454" s="1077" t="s">
        <v>2514</v>
      </c>
      <c r="M454" s="1077">
        <v>75.5</v>
      </c>
      <c r="N454" s="1077" t="s">
        <v>945</v>
      </c>
      <c r="O454" s="1077">
        <v>1.8875000000000002</v>
      </c>
      <c r="P454" s="1077">
        <v>1.51</v>
      </c>
      <c r="Q454" s="1077">
        <v>3</v>
      </c>
      <c r="R454" s="1077">
        <v>23</v>
      </c>
      <c r="T454" s="1077">
        <v>9</v>
      </c>
      <c r="U454" s="1077">
        <v>5.5</v>
      </c>
      <c r="V454" s="1077" t="s">
        <v>648</v>
      </c>
      <c r="W454" s="1077">
        <v>100</v>
      </c>
      <c r="X454" s="1077">
        <v>75</v>
      </c>
      <c r="Y454" s="1077">
        <v>2</v>
      </c>
      <c r="Z454" s="1077">
        <v>4</v>
      </c>
      <c r="AA454" s="1077" t="s">
        <v>3096</v>
      </c>
      <c r="AH454" s="1077" t="s">
        <v>1771</v>
      </c>
      <c r="AM454" s="1078" t="s">
        <v>9952</v>
      </c>
      <c r="AN454" s="1078" t="s">
        <v>9953</v>
      </c>
      <c r="AO454" s="1078">
        <f t="shared" si="54"/>
        <v>500</v>
      </c>
      <c r="AP454" s="1078">
        <f t="shared" si="55"/>
        <v>1.78</v>
      </c>
      <c r="AQ454" s="1078" t="str">
        <f t="shared" si="56"/>
        <v>2-5-1S83°</v>
      </c>
      <c r="AR454" s="1078" t="str">
        <f t="shared" si="57"/>
        <v>30</v>
      </c>
      <c r="AS454" s="1078" t="str">
        <f t="shared" si="58"/>
        <v>150/OFF</v>
      </c>
      <c r="AT454" s="1078" t="str">
        <f t="shared" si="59"/>
        <v>2-5-1S83°</v>
      </c>
      <c r="AV454" s="1078" t="str">
        <f t="shared" si="60"/>
        <v>109.12.17</v>
      </c>
      <c r="AW454" s="1344">
        <f t="shared" si="61"/>
        <v>44182</v>
      </c>
    </row>
    <row r="455" spans="1:49">
      <c r="A455" s="1077" t="s">
        <v>3097</v>
      </c>
      <c r="B455" s="1077" t="s">
        <v>1766</v>
      </c>
      <c r="C455" s="1077">
        <v>700</v>
      </c>
      <c r="D455" s="1077">
        <v>1.8</v>
      </c>
      <c r="E455" s="1077" t="s">
        <v>15091</v>
      </c>
      <c r="F455" s="1077" t="s">
        <v>1398</v>
      </c>
      <c r="G455" s="1077" t="s">
        <v>1767</v>
      </c>
      <c r="H455" s="1077" t="s">
        <v>1048</v>
      </c>
      <c r="I455" s="1077" t="s">
        <v>1073</v>
      </c>
      <c r="J455" s="1077">
        <v>0.5</v>
      </c>
      <c r="K455" s="1077" t="s">
        <v>1768</v>
      </c>
      <c r="L455" s="1077" t="s">
        <v>1769</v>
      </c>
      <c r="M455" s="1077">
        <v>74.8</v>
      </c>
      <c r="N455" s="1077" t="s">
        <v>945</v>
      </c>
      <c r="O455" s="1077">
        <v>1.87</v>
      </c>
      <c r="P455" s="1077">
        <v>1.496</v>
      </c>
      <c r="Q455" s="1077">
        <v>4</v>
      </c>
      <c r="R455" s="1077">
        <v>18.7</v>
      </c>
      <c r="T455" s="1077">
        <v>40.1</v>
      </c>
      <c r="U455" s="1077">
        <v>3.4</v>
      </c>
      <c r="V455" s="1077" t="s">
        <v>648</v>
      </c>
      <c r="W455" s="1077">
        <v>30</v>
      </c>
      <c r="X455" s="1077">
        <v>10</v>
      </c>
      <c r="Y455" s="1077">
        <v>1.7</v>
      </c>
      <c r="Z455" s="1077">
        <v>5.5</v>
      </c>
      <c r="AA455" s="1077" t="s">
        <v>3098</v>
      </c>
      <c r="AH455" s="1077" t="s">
        <v>1023</v>
      </c>
      <c r="AM455" s="1078" t="s">
        <v>9954</v>
      </c>
      <c r="AN455" s="1078" t="s">
        <v>9955</v>
      </c>
      <c r="AO455" s="1078">
        <f t="shared" si="54"/>
        <v>700</v>
      </c>
      <c r="AP455" s="1078">
        <f t="shared" si="55"/>
        <v>1.8</v>
      </c>
      <c r="AQ455" s="1078" t="str">
        <f t="shared" si="56"/>
        <v>2-5-1S83°</v>
      </c>
      <c r="AR455" s="1078" t="str">
        <f t="shared" si="57"/>
        <v>32.5</v>
      </c>
      <c r="AS455" s="1078" t="str">
        <f t="shared" si="58"/>
        <v>188/OFF</v>
      </c>
      <c r="AT455" s="1078" t="str">
        <f t="shared" si="59"/>
        <v>2-5-1S83°</v>
      </c>
      <c r="AV455" s="1078" t="str">
        <f t="shared" si="60"/>
        <v>110.1.8</v>
      </c>
      <c r="AW455" s="1344">
        <f t="shared" si="61"/>
        <v>44204</v>
      </c>
    </row>
    <row r="456" spans="1:49">
      <c r="A456" s="1077" t="s">
        <v>3099</v>
      </c>
      <c r="B456" s="1077" t="s">
        <v>1766</v>
      </c>
      <c r="C456" s="1077">
        <v>700</v>
      </c>
      <c r="D456" s="1077">
        <v>1.78</v>
      </c>
      <c r="E456" s="1077" t="s">
        <v>15089</v>
      </c>
      <c r="F456" s="1077" t="s">
        <v>984</v>
      </c>
      <c r="G456" s="1077" t="s">
        <v>1767</v>
      </c>
      <c r="H456" s="1077" t="s">
        <v>3100</v>
      </c>
      <c r="I456" s="1077" t="s">
        <v>1073</v>
      </c>
      <c r="J456" s="1077">
        <v>0.5</v>
      </c>
      <c r="K456" s="1077" t="s">
        <v>3101</v>
      </c>
      <c r="L456" s="1077" t="s">
        <v>1769</v>
      </c>
      <c r="M456" s="1077">
        <v>77.099999999999994</v>
      </c>
      <c r="N456" s="1077" t="s">
        <v>945</v>
      </c>
      <c r="O456" s="1077">
        <v>1.9275</v>
      </c>
      <c r="P456" s="1077">
        <v>1.5419999999999998</v>
      </c>
      <c r="Q456" s="1077">
        <v>4</v>
      </c>
      <c r="R456" s="1077">
        <v>23.2</v>
      </c>
      <c r="T456" s="1077">
        <v>16</v>
      </c>
      <c r="U456" s="1077">
        <v>1.5</v>
      </c>
      <c r="V456" s="1077" t="s">
        <v>648</v>
      </c>
      <c r="W456" s="1077">
        <v>30</v>
      </c>
      <c r="X456" s="1077">
        <v>10</v>
      </c>
      <c r="Y456" s="1077">
        <v>2</v>
      </c>
      <c r="Z456" s="1077">
        <v>3</v>
      </c>
      <c r="AA456" s="1077" t="s">
        <v>3102</v>
      </c>
      <c r="AH456" s="1077" t="s">
        <v>875</v>
      </c>
      <c r="AM456" s="1078" t="s">
        <v>9956</v>
      </c>
      <c r="AN456" s="1078" t="s">
        <v>9957</v>
      </c>
      <c r="AO456" s="1078">
        <f t="shared" si="54"/>
        <v>700</v>
      </c>
      <c r="AP456" s="1078">
        <f t="shared" si="55"/>
        <v>1.78</v>
      </c>
      <c r="AQ456" s="1078" t="str">
        <f t="shared" si="56"/>
        <v>1-4-1S83°</v>
      </c>
      <c r="AR456" s="1078" t="str">
        <f t="shared" si="57"/>
        <v>30</v>
      </c>
      <c r="AS456" s="1078" t="str">
        <f t="shared" si="58"/>
        <v>300/300/185</v>
      </c>
      <c r="AT456" s="1078" t="str">
        <f t="shared" si="59"/>
        <v>1-4-1S83°</v>
      </c>
      <c r="AV456" s="1078" t="str">
        <f t="shared" si="60"/>
        <v>110.1.13</v>
      </c>
      <c r="AW456" s="1344">
        <f t="shared" si="61"/>
        <v>44209</v>
      </c>
    </row>
    <row r="457" spans="1:49">
      <c r="A457" s="1077" t="s">
        <v>3103</v>
      </c>
      <c r="B457" s="1077" t="s">
        <v>453</v>
      </c>
      <c r="C457" s="1077">
        <v>650</v>
      </c>
      <c r="D457" s="1077">
        <v>1.7</v>
      </c>
      <c r="E457" s="1077" t="s">
        <v>15089</v>
      </c>
      <c r="F457" s="1077" t="s">
        <v>984</v>
      </c>
      <c r="G457" s="1077" t="s">
        <v>1767</v>
      </c>
      <c r="H457" s="1077" t="s">
        <v>1831</v>
      </c>
      <c r="I457" s="1077" t="s">
        <v>126</v>
      </c>
      <c r="J457" s="1077">
        <v>1.1000000000000001</v>
      </c>
      <c r="K457" s="1077" t="s">
        <v>2484</v>
      </c>
      <c r="L457" s="1077" t="s">
        <v>1776</v>
      </c>
      <c r="M457" s="1077">
        <v>77</v>
      </c>
      <c r="N457" s="1077" t="s">
        <v>945</v>
      </c>
      <c r="O457" s="1077">
        <v>1.925</v>
      </c>
      <c r="P457" s="1077">
        <v>1.54</v>
      </c>
      <c r="Q457" s="1077">
        <v>4.2</v>
      </c>
      <c r="R457" s="1077">
        <v>24</v>
      </c>
      <c r="T457" s="1077">
        <v>9</v>
      </c>
      <c r="U457" s="1077">
        <v>2.2000000000000002</v>
      </c>
      <c r="V457" s="1077" t="s">
        <v>648</v>
      </c>
      <c r="W457" s="1077">
        <v>110</v>
      </c>
      <c r="X457" s="1077" t="s">
        <v>1130</v>
      </c>
      <c r="Y457" s="1077">
        <v>2.1</v>
      </c>
      <c r="Z457" s="1077">
        <v>2.5</v>
      </c>
      <c r="AA457" s="1077" t="s">
        <v>3104</v>
      </c>
      <c r="AB457" s="1077" t="s">
        <v>981</v>
      </c>
      <c r="AH457" s="1077" t="s">
        <v>813</v>
      </c>
      <c r="AM457" s="1078" t="s">
        <v>9958</v>
      </c>
      <c r="AN457" s="1078" t="s">
        <v>9959</v>
      </c>
      <c r="AO457" s="1078">
        <f t="shared" si="54"/>
        <v>650</v>
      </c>
      <c r="AP457" s="1078">
        <f t="shared" si="55"/>
        <v>1.7</v>
      </c>
      <c r="AQ457" s="1078" t="str">
        <f t="shared" si="56"/>
        <v>1-4-1S83°</v>
      </c>
      <c r="AR457" s="1078" t="str">
        <f t="shared" si="57"/>
        <v>30</v>
      </c>
      <c r="AS457" s="1078" t="str">
        <f t="shared" si="58"/>
        <v>260/260/165</v>
      </c>
      <c r="AT457" s="1078" t="str">
        <f t="shared" si="59"/>
        <v>1-4-1S83°</v>
      </c>
      <c r="AV457" s="1078" t="str">
        <f t="shared" si="60"/>
        <v>110.1.27</v>
      </c>
      <c r="AW457" s="1344">
        <f t="shared" si="61"/>
        <v>44223</v>
      </c>
    </row>
    <row r="458" spans="1:49">
      <c r="A458" s="1077" t="s">
        <v>3105</v>
      </c>
      <c r="B458" s="1077" t="s">
        <v>1805</v>
      </c>
      <c r="C458" s="1077">
        <v>600</v>
      </c>
      <c r="D458" s="1077">
        <v>1.68</v>
      </c>
      <c r="E458" s="1077" t="s">
        <v>15089</v>
      </c>
      <c r="F458" s="1077" t="s">
        <v>1469</v>
      </c>
      <c r="G458" s="1077" t="s">
        <v>940</v>
      </c>
      <c r="H458" s="1077" t="s">
        <v>1806</v>
      </c>
      <c r="I458" s="1077" t="s">
        <v>126</v>
      </c>
      <c r="J458" s="1077">
        <v>0.6</v>
      </c>
      <c r="K458" s="1077" t="s">
        <v>3106</v>
      </c>
      <c r="L458" s="1077" t="s">
        <v>1808</v>
      </c>
      <c r="M458" s="1077">
        <v>76.8</v>
      </c>
      <c r="N458" s="1077" t="s">
        <v>945</v>
      </c>
      <c r="O458" s="1077">
        <v>1.92</v>
      </c>
      <c r="P458" s="1077">
        <v>1.536</v>
      </c>
      <c r="Q458" s="1077">
        <v>4</v>
      </c>
      <c r="R458" s="1077">
        <v>20.3</v>
      </c>
      <c r="T458" s="1077">
        <v>18</v>
      </c>
      <c r="U458" s="1077">
        <v>3.5</v>
      </c>
      <c r="V458" s="1077" t="s">
        <v>648</v>
      </c>
      <c r="W458" s="1077">
        <v>120</v>
      </c>
      <c r="X458" s="1077">
        <v>80</v>
      </c>
      <c r="Y458" s="1077">
        <v>1.5</v>
      </c>
      <c r="Z458" s="1077">
        <v>4</v>
      </c>
      <c r="AA458" s="1077" t="s">
        <v>3107</v>
      </c>
      <c r="AH458" s="1077" t="s">
        <v>878</v>
      </c>
      <c r="AM458" s="1078" t="s">
        <v>9960</v>
      </c>
      <c r="AN458" s="1078" t="s">
        <v>9961</v>
      </c>
      <c r="AO458" s="1078">
        <f t="shared" si="54"/>
        <v>600</v>
      </c>
      <c r="AP458" s="1078">
        <f t="shared" si="55"/>
        <v>1.68</v>
      </c>
      <c r="AQ458" s="1078" t="str">
        <f t="shared" si="56"/>
        <v>1-4-1S83°</v>
      </c>
      <c r="AR458" s="1078" t="str">
        <f t="shared" si="57"/>
        <v>30.5</v>
      </c>
      <c r="AS458" s="1078" t="str">
        <f t="shared" si="58"/>
        <v>280/280/OFF</v>
      </c>
      <c r="AT458" s="1078" t="str">
        <f t="shared" si="59"/>
        <v>1-4-1S83°</v>
      </c>
      <c r="AV458" s="1078" t="str">
        <f t="shared" si="60"/>
        <v>110.1.22</v>
      </c>
      <c r="AW458" s="1344">
        <f t="shared" si="61"/>
        <v>44218</v>
      </c>
    </row>
    <row r="459" spans="1:49">
      <c r="A459" s="1077" t="s">
        <v>3108</v>
      </c>
      <c r="B459" s="1077" t="s">
        <v>453</v>
      </c>
      <c r="C459" s="1077">
        <v>700</v>
      </c>
      <c r="D459" s="1077">
        <v>1.6850000000000001</v>
      </c>
      <c r="E459" s="1077" t="s">
        <v>15089</v>
      </c>
      <c r="F459" s="1077" t="s">
        <v>1773</v>
      </c>
      <c r="G459" s="1077" t="s">
        <v>1767</v>
      </c>
      <c r="H459" s="1077" t="s">
        <v>2480</v>
      </c>
      <c r="I459" s="1077" t="s">
        <v>126</v>
      </c>
      <c r="J459" s="1077">
        <v>0.9</v>
      </c>
      <c r="K459" s="1077" t="s">
        <v>3109</v>
      </c>
      <c r="L459" s="1077" t="s">
        <v>1776</v>
      </c>
      <c r="M459" s="1077">
        <v>75</v>
      </c>
      <c r="N459" s="1077" t="s">
        <v>945</v>
      </c>
      <c r="O459" s="1077">
        <v>1.875</v>
      </c>
      <c r="P459" s="1077">
        <v>1.5</v>
      </c>
      <c r="Q459" s="1077">
        <v>4</v>
      </c>
      <c r="R459" s="1077">
        <v>23</v>
      </c>
      <c r="T459" s="1077">
        <v>19</v>
      </c>
      <c r="U459" s="1077">
        <v>3.8</v>
      </c>
      <c r="V459" s="1077" t="s">
        <v>648</v>
      </c>
      <c r="W459" s="1077">
        <v>110</v>
      </c>
      <c r="X459" s="1077">
        <v>70</v>
      </c>
      <c r="Y459" s="1077">
        <v>2</v>
      </c>
      <c r="Z459" s="1077">
        <v>4.5</v>
      </c>
      <c r="AA459" s="1077" t="s">
        <v>3110</v>
      </c>
      <c r="AH459" s="1077" t="s">
        <v>884</v>
      </c>
      <c r="AM459" s="1078" t="s">
        <v>9962</v>
      </c>
      <c r="AN459" s="1078" t="s">
        <v>9963</v>
      </c>
      <c r="AO459" s="1078">
        <f t="shared" ref="AO459:AO522" si="62">C459</f>
        <v>700</v>
      </c>
      <c r="AP459" s="1078">
        <f t="shared" ref="AP459:AP522" si="63">D459</f>
        <v>1.6850000000000001</v>
      </c>
      <c r="AQ459" s="1078" t="str">
        <f t="shared" ref="AQ459:AQ522" si="64">E459</f>
        <v>1-4-1S83°</v>
      </c>
      <c r="AR459" s="1078" t="str">
        <f t="shared" ref="AR459:AR522" si="65">F459</f>
        <v>30.2</v>
      </c>
      <c r="AS459" s="1078" t="str">
        <f t="shared" ref="AS459:AS522" si="66">H459</f>
        <v>251/251/OFF</v>
      </c>
      <c r="AT459" s="1078" t="str">
        <f t="shared" ref="AT459:AT522" si="67">E459</f>
        <v>1-4-1S83°</v>
      </c>
      <c r="AV459" s="1078" t="str">
        <f t="shared" si="60"/>
        <v>110.1.25</v>
      </c>
      <c r="AW459" s="1344">
        <f t="shared" si="61"/>
        <v>44221</v>
      </c>
    </row>
    <row r="460" spans="1:49">
      <c r="A460" s="1077" t="s">
        <v>3111</v>
      </c>
      <c r="B460" s="1077" t="s">
        <v>453</v>
      </c>
      <c r="C460" s="1077">
        <v>700</v>
      </c>
      <c r="D460" s="1077">
        <v>1.68</v>
      </c>
      <c r="E460" s="1077" t="s">
        <v>15089</v>
      </c>
      <c r="F460" s="1077" t="s">
        <v>1773</v>
      </c>
      <c r="G460" s="1077" t="s">
        <v>1767</v>
      </c>
      <c r="H460" s="1077" t="s">
        <v>2480</v>
      </c>
      <c r="I460" s="1077" t="s">
        <v>126</v>
      </c>
      <c r="J460" s="1077">
        <v>0.9</v>
      </c>
      <c r="K460" s="1077" t="s">
        <v>3112</v>
      </c>
      <c r="L460" s="1077" t="s">
        <v>1776</v>
      </c>
      <c r="M460" s="1077">
        <v>75</v>
      </c>
      <c r="N460" s="1077" t="s">
        <v>945</v>
      </c>
      <c r="O460" s="1077">
        <v>1.875</v>
      </c>
      <c r="P460" s="1077">
        <v>1.5</v>
      </c>
      <c r="Q460" s="1077">
        <v>4</v>
      </c>
      <c r="R460" s="1077">
        <v>23</v>
      </c>
      <c r="T460" s="1077">
        <v>19</v>
      </c>
      <c r="U460" s="1077">
        <v>3.8</v>
      </c>
      <c r="V460" s="1077" t="s">
        <v>648</v>
      </c>
      <c r="W460" s="1077">
        <v>110</v>
      </c>
      <c r="X460" s="1077">
        <v>70</v>
      </c>
      <c r="Y460" s="1077">
        <v>2</v>
      </c>
      <c r="Z460" s="1077">
        <v>4.5</v>
      </c>
      <c r="AA460" s="1077" t="s">
        <v>3104</v>
      </c>
      <c r="AH460" s="1077" t="s">
        <v>3113</v>
      </c>
      <c r="AM460" s="1078" t="s">
        <v>9964</v>
      </c>
      <c r="AN460" s="1078" t="s">
        <v>9965</v>
      </c>
      <c r="AO460" s="1078">
        <f t="shared" si="62"/>
        <v>700</v>
      </c>
      <c r="AP460" s="1078">
        <f t="shared" si="63"/>
        <v>1.68</v>
      </c>
      <c r="AQ460" s="1078" t="str">
        <f t="shared" si="64"/>
        <v>1-4-1S83°</v>
      </c>
      <c r="AR460" s="1078" t="str">
        <f t="shared" si="65"/>
        <v>30.2</v>
      </c>
      <c r="AS460" s="1078" t="str">
        <f t="shared" si="66"/>
        <v>251/251/OFF</v>
      </c>
      <c r="AT460" s="1078" t="str">
        <f t="shared" si="67"/>
        <v>1-4-1S83°</v>
      </c>
      <c r="AV460" s="1078" t="str">
        <f t="shared" si="60"/>
        <v>110.1.27</v>
      </c>
      <c r="AW460" s="1344">
        <f t="shared" si="61"/>
        <v>44223</v>
      </c>
    </row>
    <row r="461" spans="1:49">
      <c r="A461" s="1077" t="s">
        <v>3114</v>
      </c>
      <c r="B461" s="1077" t="s">
        <v>2527</v>
      </c>
      <c r="C461" s="1077">
        <v>700</v>
      </c>
      <c r="D461" s="1077">
        <v>1.7050000000000001</v>
      </c>
      <c r="E461" s="1077" t="s">
        <v>15089</v>
      </c>
      <c r="F461" s="1077" t="s">
        <v>975</v>
      </c>
      <c r="G461" s="1077" t="s">
        <v>1767</v>
      </c>
      <c r="H461" s="1077" t="s">
        <v>1077</v>
      </c>
      <c r="I461" s="1077" t="s">
        <v>126</v>
      </c>
      <c r="J461" s="1077">
        <v>0.9</v>
      </c>
      <c r="K461" s="1077" t="s">
        <v>3112</v>
      </c>
      <c r="L461" s="1077" t="s">
        <v>1776</v>
      </c>
      <c r="M461" s="1077">
        <v>75</v>
      </c>
      <c r="N461" s="1077" t="s">
        <v>945</v>
      </c>
      <c r="O461" s="1077">
        <v>1.875</v>
      </c>
      <c r="P461" s="1077">
        <v>1.5</v>
      </c>
      <c r="Q461" s="1077">
        <v>4</v>
      </c>
      <c r="R461" s="1077">
        <v>23</v>
      </c>
      <c r="T461" s="1077">
        <v>19</v>
      </c>
      <c r="U461" s="1077">
        <v>3.8</v>
      </c>
      <c r="V461" s="1077" t="s">
        <v>648</v>
      </c>
      <c r="W461" s="1077">
        <v>110</v>
      </c>
      <c r="X461" s="1077">
        <v>70</v>
      </c>
      <c r="Y461" s="1077">
        <v>2</v>
      </c>
      <c r="Z461" s="1077">
        <v>4.5</v>
      </c>
      <c r="AA461" s="1077" t="s">
        <v>3115</v>
      </c>
      <c r="AH461" s="1077" t="s">
        <v>722</v>
      </c>
      <c r="AM461" s="1078" t="s">
        <v>9966</v>
      </c>
      <c r="AN461" s="1078" t="s">
        <v>9967</v>
      </c>
      <c r="AO461" s="1078">
        <f t="shared" si="62"/>
        <v>700</v>
      </c>
      <c r="AP461" s="1078">
        <f t="shared" si="63"/>
        <v>1.7050000000000001</v>
      </c>
      <c r="AQ461" s="1078" t="str">
        <f t="shared" si="64"/>
        <v>1-4-1S83°</v>
      </c>
      <c r="AR461" s="1078" t="str">
        <f t="shared" si="65"/>
        <v>31.5</v>
      </c>
      <c r="AS461" s="1078" t="str">
        <f t="shared" si="66"/>
        <v>245/245/OFF</v>
      </c>
      <c r="AT461" s="1078" t="str">
        <f t="shared" si="67"/>
        <v>1-4-1S83°</v>
      </c>
      <c r="AV461" s="1078" t="str">
        <f t="shared" si="60"/>
        <v>110.1.28</v>
      </c>
      <c r="AW461" s="1344">
        <f t="shared" si="61"/>
        <v>44224</v>
      </c>
    </row>
    <row r="462" spans="1:49">
      <c r="A462" s="1077" t="s">
        <v>3116</v>
      </c>
      <c r="B462" s="1077" t="s">
        <v>2677</v>
      </c>
      <c r="C462" s="1077">
        <v>600</v>
      </c>
      <c r="D462" s="1077">
        <v>1.71</v>
      </c>
      <c r="E462" s="1077" t="s">
        <v>15089</v>
      </c>
      <c r="F462" s="1077" t="s">
        <v>1514</v>
      </c>
      <c r="G462" s="1077" t="s">
        <v>940</v>
      </c>
      <c r="H462" s="1077" t="s">
        <v>3117</v>
      </c>
      <c r="I462" s="1077" t="s">
        <v>626</v>
      </c>
      <c r="J462" s="1077">
        <v>0.75</v>
      </c>
      <c r="K462" s="1077" t="s">
        <v>3118</v>
      </c>
      <c r="L462" s="1077" t="s">
        <v>2288</v>
      </c>
      <c r="M462" s="1077">
        <v>77</v>
      </c>
      <c r="N462" s="1077" t="s">
        <v>945</v>
      </c>
      <c r="O462" s="1077">
        <v>1.925</v>
      </c>
      <c r="P462" s="1077">
        <v>1.54</v>
      </c>
      <c r="Q462" s="1077">
        <v>3</v>
      </c>
      <c r="R462" s="1077">
        <v>29</v>
      </c>
      <c r="T462" s="1077">
        <v>9</v>
      </c>
      <c r="U462" s="1077">
        <v>6.6</v>
      </c>
      <c r="V462" s="1077" t="s">
        <v>648</v>
      </c>
      <c r="W462" s="1077">
        <v>125</v>
      </c>
      <c r="X462" s="1077">
        <v>50</v>
      </c>
      <c r="Y462" s="1077">
        <v>2</v>
      </c>
      <c r="Z462" s="1077">
        <v>3.1</v>
      </c>
      <c r="AA462" s="1077" t="s">
        <v>1384</v>
      </c>
      <c r="AH462" s="1077" t="s">
        <v>875</v>
      </c>
      <c r="AM462" s="1078" t="s">
        <v>9968</v>
      </c>
      <c r="AN462" s="1078" t="s">
        <v>9969</v>
      </c>
      <c r="AO462" s="1078">
        <f t="shared" si="62"/>
        <v>600</v>
      </c>
      <c r="AP462" s="1078">
        <f t="shared" si="63"/>
        <v>1.71</v>
      </c>
      <c r="AQ462" s="1078" t="str">
        <f t="shared" si="64"/>
        <v>1-4-1S83°</v>
      </c>
      <c r="AR462" s="1078" t="str">
        <f t="shared" si="65"/>
        <v>32</v>
      </c>
      <c r="AS462" s="1078" t="str">
        <f t="shared" si="66"/>
        <v>204/204/OFF</v>
      </c>
      <c r="AT462" s="1078" t="str">
        <f t="shared" si="67"/>
        <v>1-4-1S83°</v>
      </c>
      <c r="AV462" s="1078" t="str">
        <f t="shared" si="60"/>
        <v>110.2.17</v>
      </c>
      <c r="AW462" s="1344">
        <f t="shared" si="61"/>
        <v>44244</v>
      </c>
    </row>
    <row r="463" spans="1:49">
      <c r="A463" s="1077" t="s">
        <v>3119</v>
      </c>
      <c r="B463" s="1077" t="s">
        <v>3120</v>
      </c>
      <c r="C463" s="1077">
        <v>600</v>
      </c>
      <c r="D463" s="1077">
        <v>1.704</v>
      </c>
      <c r="E463" s="1077" t="s">
        <v>15102</v>
      </c>
      <c r="F463" s="1077" t="s">
        <v>975</v>
      </c>
      <c r="G463" s="1077" t="s">
        <v>1767</v>
      </c>
      <c r="H463" s="1077" t="s">
        <v>2359</v>
      </c>
      <c r="I463" s="1077" t="s">
        <v>1112</v>
      </c>
      <c r="J463" s="1077">
        <v>0.9</v>
      </c>
      <c r="K463" s="1077" t="s">
        <v>3121</v>
      </c>
      <c r="L463" s="1077" t="s">
        <v>3122</v>
      </c>
      <c r="M463" s="1077">
        <v>75</v>
      </c>
      <c r="N463" s="1077" t="s">
        <v>945</v>
      </c>
      <c r="O463" s="1077">
        <v>1.875</v>
      </c>
      <c r="P463" s="1077">
        <v>1.5</v>
      </c>
      <c r="Q463" s="1077">
        <v>4</v>
      </c>
      <c r="R463" s="1077">
        <v>23</v>
      </c>
      <c r="T463" s="1077">
        <v>19</v>
      </c>
      <c r="U463" s="1077">
        <v>3.8</v>
      </c>
      <c r="V463" s="1077" t="s">
        <v>648</v>
      </c>
      <c r="W463" s="1077">
        <v>110</v>
      </c>
      <c r="X463" s="1077">
        <v>70</v>
      </c>
      <c r="Y463" s="1077">
        <v>2</v>
      </c>
      <c r="Z463" s="1077">
        <v>4.5</v>
      </c>
      <c r="AA463" s="1077" t="s">
        <v>3123</v>
      </c>
      <c r="AH463" s="1077" t="s">
        <v>803</v>
      </c>
      <c r="AM463" s="1078" t="s">
        <v>9970</v>
      </c>
      <c r="AN463" s="1078" t="s">
        <v>9971</v>
      </c>
      <c r="AO463" s="1078">
        <f t="shared" si="62"/>
        <v>600</v>
      </c>
      <c r="AP463" s="1078">
        <f t="shared" si="63"/>
        <v>1.704</v>
      </c>
      <c r="AQ463" s="1078" t="str">
        <f t="shared" si="64"/>
        <v>2-6-1S83°</v>
      </c>
      <c r="AR463" s="1078" t="str">
        <f t="shared" si="65"/>
        <v>31.5</v>
      </c>
      <c r="AS463" s="1078" t="str">
        <f t="shared" si="66"/>
        <v>174/OFF</v>
      </c>
      <c r="AT463" s="1078" t="str">
        <f t="shared" si="67"/>
        <v>2-6-1S83°</v>
      </c>
      <c r="AV463" s="1078" t="str">
        <f t="shared" si="60"/>
        <v>110.2.22</v>
      </c>
      <c r="AW463" s="1344">
        <f t="shared" si="61"/>
        <v>44249</v>
      </c>
    </row>
    <row r="464" spans="1:49">
      <c r="A464" s="1077" t="s">
        <v>3124</v>
      </c>
      <c r="B464" s="1077" t="s">
        <v>453</v>
      </c>
      <c r="C464" s="1077">
        <v>600</v>
      </c>
      <c r="D464" s="1077">
        <v>1.698</v>
      </c>
      <c r="E464" s="1077" t="s">
        <v>15091</v>
      </c>
      <c r="F464" s="1077" t="s">
        <v>1469</v>
      </c>
      <c r="G464" s="1077" t="s">
        <v>1767</v>
      </c>
      <c r="H464" s="1077" t="s">
        <v>3125</v>
      </c>
      <c r="I464" s="1077" t="s">
        <v>1112</v>
      </c>
      <c r="J464" s="1077">
        <v>0.9</v>
      </c>
      <c r="K464" s="1077" t="s">
        <v>3126</v>
      </c>
      <c r="L464" s="1077" t="s">
        <v>1776</v>
      </c>
      <c r="M464" s="1077">
        <v>75</v>
      </c>
      <c r="N464" s="1077" t="s">
        <v>945</v>
      </c>
      <c r="O464" s="1077">
        <v>1.875</v>
      </c>
      <c r="P464" s="1077">
        <v>1.5</v>
      </c>
      <c r="Q464" s="1077">
        <v>4</v>
      </c>
      <c r="R464" s="1077">
        <v>23</v>
      </c>
      <c r="T464" s="1077">
        <v>19</v>
      </c>
      <c r="U464" s="1077">
        <v>3.8</v>
      </c>
      <c r="V464" s="1077" t="s">
        <v>648</v>
      </c>
      <c r="W464" s="1077">
        <v>110</v>
      </c>
      <c r="X464" s="1077">
        <v>70</v>
      </c>
      <c r="Y464" s="1077">
        <v>2</v>
      </c>
      <c r="Z464" s="1077">
        <v>4.5</v>
      </c>
      <c r="AA464" s="1077" t="s">
        <v>1389</v>
      </c>
      <c r="AH464" s="1077" t="s">
        <v>1267</v>
      </c>
      <c r="AM464" s="1078" t="s">
        <v>9972</v>
      </c>
      <c r="AN464" s="1078" t="s">
        <v>9973</v>
      </c>
      <c r="AO464" s="1078">
        <f t="shared" si="62"/>
        <v>600</v>
      </c>
      <c r="AP464" s="1078">
        <f t="shared" si="63"/>
        <v>1.698</v>
      </c>
      <c r="AQ464" s="1078" t="str">
        <f t="shared" si="64"/>
        <v>2-5-1S83°</v>
      </c>
      <c r="AR464" s="1078" t="str">
        <f t="shared" si="65"/>
        <v>30.5</v>
      </c>
      <c r="AS464" s="1078" t="str">
        <f t="shared" si="66"/>
        <v>169/OFF</v>
      </c>
      <c r="AT464" s="1078" t="str">
        <f t="shared" si="67"/>
        <v>2-5-1S83°</v>
      </c>
      <c r="AV464" s="1078" t="str">
        <f t="shared" si="60"/>
        <v>110.3.4</v>
      </c>
      <c r="AW464" s="1344">
        <f t="shared" si="61"/>
        <v>44259</v>
      </c>
    </row>
    <row r="465" spans="1:49">
      <c r="A465" s="1077" t="s">
        <v>3127</v>
      </c>
      <c r="B465" s="1077" t="s">
        <v>1815</v>
      </c>
      <c r="C465" s="1077">
        <v>650</v>
      </c>
      <c r="D465" s="1077">
        <v>1.72</v>
      </c>
      <c r="E465" s="1077" t="s">
        <v>15102</v>
      </c>
      <c r="F465" s="1077" t="s">
        <v>1454</v>
      </c>
      <c r="G465" s="1077" t="s">
        <v>1767</v>
      </c>
      <c r="H465" s="1077" t="s">
        <v>1166</v>
      </c>
      <c r="I465" s="1077" t="s">
        <v>1167</v>
      </c>
      <c r="J465" s="1077">
        <v>0.9</v>
      </c>
      <c r="K465" s="1077" t="s">
        <v>3128</v>
      </c>
      <c r="L465" s="1077" t="s">
        <v>1817</v>
      </c>
      <c r="M465" s="1077">
        <v>75.099999999999994</v>
      </c>
      <c r="N465" s="1077" t="s">
        <v>945</v>
      </c>
      <c r="O465" s="1077">
        <v>1.8774999999999999</v>
      </c>
      <c r="P465" s="1077">
        <v>1.502</v>
      </c>
      <c r="Q465" s="1077">
        <v>4</v>
      </c>
      <c r="R465" s="1077">
        <v>19</v>
      </c>
      <c r="T465" s="1077">
        <v>21</v>
      </c>
      <c r="U465" s="1077">
        <v>3.5</v>
      </c>
      <c r="V465" s="1077" t="s">
        <v>648</v>
      </c>
      <c r="W465" s="1077">
        <v>110</v>
      </c>
      <c r="X465" s="1077" t="s">
        <v>2650</v>
      </c>
      <c r="Y465" s="1077">
        <v>1.6</v>
      </c>
      <c r="Z465" s="1077">
        <v>4</v>
      </c>
      <c r="AA465" s="1077" t="s">
        <v>3129</v>
      </c>
      <c r="AB465" s="1077" t="s">
        <v>981</v>
      </c>
      <c r="AH465" s="1077" t="s">
        <v>646</v>
      </c>
      <c r="AM465" s="1078" t="s">
        <v>9974</v>
      </c>
      <c r="AN465" s="1078" t="s">
        <v>9975</v>
      </c>
      <c r="AO465" s="1078">
        <f t="shared" si="62"/>
        <v>650</v>
      </c>
      <c r="AP465" s="1078">
        <f t="shared" si="63"/>
        <v>1.72</v>
      </c>
      <c r="AQ465" s="1078" t="str">
        <f t="shared" si="64"/>
        <v>2-6-1S83°</v>
      </c>
      <c r="AR465" s="1078" t="str">
        <f t="shared" si="65"/>
        <v>32.2</v>
      </c>
      <c r="AS465" s="1078" t="str">
        <f t="shared" si="66"/>
        <v>170/OFF</v>
      </c>
      <c r="AT465" s="1078" t="str">
        <f t="shared" si="67"/>
        <v>2-6-1S83°</v>
      </c>
      <c r="AV465" s="1078" t="str">
        <f t="shared" si="60"/>
        <v>110.3.5</v>
      </c>
      <c r="AW465" s="1344">
        <f t="shared" si="61"/>
        <v>44260</v>
      </c>
    </row>
    <row r="466" spans="1:49">
      <c r="A466" s="1077" t="s">
        <v>3130</v>
      </c>
      <c r="B466" s="1077" t="s">
        <v>424</v>
      </c>
      <c r="C466" s="1077">
        <v>650</v>
      </c>
      <c r="D466" s="1077">
        <v>1.73</v>
      </c>
      <c r="E466" s="1077" t="s">
        <v>15089</v>
      </c>
      <c r="F466" s="1077" t="s">
        <v>1897</v>
      </c>
      <c r="G466" s="1077" t="s">
        <v>1767</v>
      </c>
      <c r="H466" s="1077" t="s">
        <v>3131</v>
      </c>
      <c r="I466" s="1077" t="s">
        <v>126</v>
      </c>
      <c r="J466" s="1077">
        <v>1.6</v>
      </c>
      <c r="K466" s="1077" t="s">
        <v>3132</v>
      </c>
      <c r="L466" s="1077" t="s">
        <v>1938</v>
      </c>
      <c r="M466" s="1077">
        <v>77</v>
      </c>
      <c r="N466" s="1077" t="s">
        <v>945</v>
      </c>
      <c r="O466" s="1077">
        <v>1.925</v>
      </c>
      <c r="P466" s="1077">
        <v>1.54</v>
      </c>
      <c r="Q466" s="1077">
        <v>4.2</v>
      </c>
      <c r="R466" s="1077">
        <v>24</v>
      </c>
      <c r="T466" s="1077">
        <v>19</v>
      </c>
      <c r="U466" s="1077">
        <v>1.8</v>
      </c>
      <c r="V466" s="1077" t="s">
        <v>648</v>
      </c>
      <c r="W466" s="1077" t="s">
        <v>3133</v>
      </c>
      <c r="X466" s="1077" t="s">
        <v>3134</v>
      </c>
      <c r="Y466" s="1077">
        <v>1.7</v>
      </c>
      <c r="Z466" s="1077">
        <v>3.5</v>
      </c>
      <c r="AA466" s="1077" t="s">
        <v>3129</v>
      </c>
      <c r="AB466" s="1077" t="s">
        <v>981</v>
      </c>
      <c r="AH466" s="1077" t="s">
        <v>2398</v>
      </c>
      <c r="AM466" s="1078" t="s">
        <v>9976</v>
      </c>
      <c r="AN466" s="1078" t="s">
        <v>9977</v>
      </c>
      <c r="AO466" s="1078">
        <f t="shared" si="62"/>
        <v>650</v>
      </c>
      <c r="AP466" s="1078">
        <f t="shared" si="63"/>
        <v>1.73</v>
      </c>
      <c r="AQ466" s="1078" t="str">
        <f t="shared" si="64"/>
        <v>1-4-1S83°</v>
      </c>
      <c r="AR466" s="1078" t="str">
        <f t="shared" si="65"/>
        <v>30.8</v>
      </c>
      <c r="AS466" s="1078" t="str">
        <f t="shared" si="66"/>
        <v>285/285/170</v>
      </c>
      <c r="AT466" s="1078" t="str">
        <f t="shared" si="67"/>
        <v>1-4-1S83°</v>
      </c>
      <c r="AV466" s="1078" t="str">
        <f t="shared" si="60"/>
        <v>110.3.5</v>
      </c>
      <c r="AW466" s="1344">
        <f t="shared" si="61"/>
        <v>44260</v>
      </c>
    </row>
    <row r="467" spans="1:49">
      <c r="A467" s="1077" t="s">
        <v>3135</v>
      </c>
      <c r="B467" s="1077" t="s">
        <v>1891</v>
      </c>
      <c r="C467" s="1077">
        <v>600</v>
      </c>
      <c r="D467" s="1077">
        <v>1.68</v>
      </c>
      <c r="E467" s="1077" t="s">
        <v>15089</v>
      </c>
      <c r="F467" s="1077" t="s">
        <v>984</v>
      </c>
      <c r="G467" s="1077" t="s">
        <v>2622</v>
      </c>
      <c r="H467" s="1077" t="s">
        <v>1040</v>
      </c>
      <c r="I467" s="1077" t="s">
        <v>126</v>
      </c>
      <c r="J467" s="1077">
        <v>0.6</v>
      </c>
      <c r="K467" s="1077" t="s">
        <v>3136</v>
      </c>
      <c r="L467" s="1077" t="s">
        <v>3137</v>
      </c>
      <c r="M467" s="1077">
        <v>74.599999999999994</v>
      </c>
      <c r="N467" s="1077" t="s">
        <v>945</v>
      </c>
      <c r="O467" s="1077">
        <v>1.865</v>
      </c>
      <c r="P467" s="1077">
        <v>1.492</v>
      </c>
      <c r="Q467" s="1077">
        <v>3.5</v>
      </c>
      <c r="R467" s="1077">
        <v>29</v>
      </c>
      <c r="T467" s="1077">
        <v>12.5</v>
      </c>
      <c r="U467" s="1077">
        <v>5.0999999999999996</v>
      </c>
      <c r="V467" s="1077" t="s">
        <v>648</v>
      </c>
      <c r="W467" s="1077">
        <v>95</v>
      </c>
      <c r="X467" s="1077">
        <v>60</v>
      </c>
      <c r="Y467" s="1077">
        <v>1.8</v>
      </c>
      <c r="Z467" s="1077">
        <v>4.5</v>
      </c>
      <c r="AA467" s="1077" t="s">
        <v>3138</v>
      </c>
      <c r="AH467" s="1077" t="s">
        <v>1360</v>
      </c>
      <c r="AM467" s="1078" t="s">
        <v>9978</v>
      </c>
      <c r="AN467" s="1078" t="s">
        <v>9979</v>
      </c>
      <c r="AO467" s="1078">
        <f t="shared" si="62"/>
        <v>600</v>
      </c>
      <c r="AP467" s="1078">
        <f t="shared" si="63"/>
        <v>1.68</v>
      </c>
      <c r="AQ467" s="1078" t="str">
        <f t="shared" si="64"/>
        <v>1-4-1S83°</v>
      </c>
      <c r="AR467" s="1078" t="str">
        <f t="shared" si="65"/>
        <v>30</v>
      </c>
      <c r="AS467" s="1078" t="str">
        <f t="shared" si="66"/>
        <v>240/240/OFF</v>
      </c>
      <c r="AT467" s="1078" t="str">
        <f t="shared" si="67"/>
        <v>1-4-1S83°</v>
      </c>
      <c r="AV467" s="1078" t="str">
        <f t="shared" si="60"/>
        <v>110.3.8</v>
      </c>
      <c r="AW467" s="1344">
        <f t="shared" si="61"/>
        <v>44263</v>
      </c>
    </row>
    <row r="468" spans="1:49">
      <c r="A468" s="1077" t="s">
        <v>3139</v>
      </c>
      <c r="B468" s="1077" t="s">
        <v>840</v>
      </c>
      <c r="C468" s="1077">
        <v>600</v>
      </c>
      <c r="D468" s="1077">
        <v>1.76</v>
      </c>
      <c r="E468" s="1077" t="s">
        <v>15091</v>
      </c>
      <c r="F468" s="1077" t="s">
        <v>954</v>
      </c>
      <c r="G468" s="1077" t="s">
        <v>940</v>
      </c>
      <c r="H468" s="1077" t="s">
        <v>1624</v>
      </c>
      <c r="I468" s="1077" t="s">
        <v>1112</v>
      </c>
      <c r="J468" s="1077">
        <v>0.3</v>
      </c>
      <c r="K468" s="1077" t="s">
        <v>3140</v>
      </c>
      <c r="L468" s="1077" t="s">
        <v>1780</v>
      </c>
      <c r="M468" s="1077">
        <v>73.5</v>
      </c>
      <c r="N468" s="1077" t="s">
        <v>945</v>
      </c>
      <c r="O468" s="1077">
        <v>1.8375000000000001</v>
      </c>
      <c r="P468" s="1077">
        <v>1.47</v>
      </c>
      <c r="Q468" s="1077">
        <v>3</v>
      </c>
      <c r="R468" s="1077">
        <v>24</v>
      </c>
      <c r="T468" s="1077">
        <v>25</v>
      </c>
      <c r="U468" s="1077">
        <v>5.5</v>
      </c>
      <c r="V468" s="1077" t="s">
        <v>648</v>
      </c>
      <c r="W468" s="1077">
        <v>50</v>
      </c>
      <c r="X468" s="1077">
        <v>10</v>
      </c>
      <c r="Y468" s="1077">
        <v>1.5</v>
      </c>
      <c r="Z468" s="1077">
        <v>5</v>
      </c>
      <c r="AA468" s="1077" t="s">
        <v>3141</v>
      </c>
      <c r="AH468" s="1077" t="s">
        <v>681</v>
      </c>
      <c r="AM468" s="1078" t="s">
        <v>9980</v>
      </c>
      <c r="AN468" s="1078" t="s">
        <v>9981</v>
      </c>
      <c r="AO468" s="1078">
        <f t="shared" si="62"/>
        <v>600</v>
      </c>
      <c r="AP468" s="1078">
        <f t="shared" si="63"/>
        <v>1.76</v>
      </c>
      <c r="AQ468" s="1078" t="str">
        <f t="shared" si="64"/>
        <v>2-5-1S83°</v>
      </c>
      <c r="AR468" s="1078" t="str">
        <f t="shared" si="65"/>
        <v>31</v>
      </c>
      <c r="AS468" s="1078" t="str">
        <f t="shared" si="66"/>
        <v>155/OFF</v>
      </c>
      <c r="AT468" s="1078" t="str">
        <f t="shared" si="67"/>
        <v>2-5-1S83°</v>
      </c>
      <c r="AV468" s="1078" t="str">
        <f t="shared" si="60"/>
        <v>110.3.18</v>
      </c>
      <c r="AW468" s="1344">
        <f t="shared" si="61"/>
        <v>44273</v>
      </c>
    </row>
    <row r="469" spans="1:49">
      <c r="A469" s="1077" t="s">
        <v>3142</v>
      </c>
      <c r="B469" s="1077" t="s">
        <v>424</v>
      </c>
      <c r="C469" s="1077">
        <v>700</v>
      </c>
      <c r="D469" s="1077">
        <v>1.77</v>
      </c>
      <c r="E469" s="1077" t="s">
        <v>15089</v>
      </c>
      <c r="F469" s="1077" t="s">
        <v>1469</v>
      </c>
      <c r="G469" s="1077" t="s">
        <v>1767</v>
      </c>
      <c r="H469" s="1077" t="s">
        <v>3143</v>
      </c>
      <c r="I469" s="1077" t="s">
        <v>126</v>
      </c>
      <c r="J469" s="1077">
        <v>0.5</v>
      </c>
      <c r="K469" s="1077" t="s">
        <v>3144</v>
      </c>
      <c r="L469" s="1077" t="s">
        <v>1938</v>
      </c>
      <c r="M469" s="1077">
        <v>74.5</v>
      </c>
      <c r="N469" s="1077" t="s">
        <v>945</v>
      </c>
      <c r="O469" s="1077">
        <v>1.8625</v>
      </c>
      <c r="P469" s="1077">
        <v>1.49</v>
      </c>
      <c r="Q469" s="1077">
        <v>4</v>
      </c>
      <c r="R469" s="1077">
        <v>22</v>
      </c>
      <c r="T469" s="1077">
        <v>19.5</v>
      </c>
      <c r="U469" s="1077">
        <v>2.2999999999999998</v>
      </c>
      <c r="V469" s="1077" t="s">
        <v>648</v>
      </c>
      <c r="W469" s="1077">
        <v>40</v>
      </c>
      <c r="X469" s="1077">
        <v>10</v>
      </c>
      <c r="Y469" s="1077">
        <v>1.2</v>
      </c>
      <c r="Z469" s="1077">
        <v>4</v>
      </c>
      <c r="AA469" s="1077" t="s">
        <v>3145</v>
      </c>
      <c r="AH469" s="1077" t="s">
        <v>618</v>
      </c>
      <c r="AM469" s="1078" t="s">
        <v>9982</v>
      </c>
      <c r="AN469" s="1078" t="s">
        <v>9983</v>
      </c>
      <c r="AO469" s="1078">
        <f t="shared" si="62"/>
        <v>700</v>
      </c>
      <c r="AP469" s="1078">
        <f t="shared" si="63"/>
        <v>1.77</v>
      </c>
      <c r="AQ469" s="1078" t="str">
        <f t="shared" si="64"/>
        <v>1-4-1S83°</v>
      </c>
      <c r="AR469" s="1078" t="str">
        <f t="shared" si="65"/>
        <v>30.5</v>
      </c>
      <c r="AS469" s="1078" t="str">
        <f t="shared" si="66"/>
        <v>300/300/160</v>
      </c>
      <c r="AT469" s="1078" t="str">
        <f t="shared" si="67"/>
        <v>1-4-1S83°</v>
      </c>
      <c r="AV469" s="1078" t="str">
        <f t="shared" si="60"/>
        <v>110.3.12</v>
      </c>
      <c r="AW469" s="1344">
        <f t="shared" si="61"/>
        <v>44267</v>
      </c>
    </row>
    <row r="470" spans="1:49">
      <c r="A470" s="1077" t="s">
        <v>3146</v>
      </c>
      <c r="B470" s="1077" t="s">
        <v>2513</v>
      </c>
      <c r="C470" s="1077">
        <v>550</v>
      </c>
      <c r="D470" s="1077">
        <v>1.78</v>
      </c>
      <c r="E470" s="1077" t="s">
        <v>15089</v>
      </c>
      <c r="F470" s="1077" t="s">
        <v>984</v>
      </c>
      <c r="G470" s="1077" t="s">
        <v>940</v>
      </c>
      <c r="H470" s="1077" t="s">
        <v>1290</v>
      </c>
      <c r="I470" s="1077" t="s">
        <v>126</v>
      </c>
      <c r="J470" s="1077">
        <v>0.6</v>
      </c>
      <c r="K470" s="1077" t="s">
        <v>3147</v>
      </c>
      <c r="L470" s="1077" t="s">
        <v>2514</v>
      </c>
      <c r="M470" s="1077">
        <v>75.5</v>
      </c>
      <c r="N470" s="1077" t="s">
        <v>945</v>
      </c>
      <c r="O470" s="1077">
        <v>1.8875000000000002</v>
      </c>
      <c r="P470" s="1077">
        <v>1.51</v>
      </c>
      <c r="Q470" s="1077">
        <v>3</v>
      </c>
      <c r="R470" s="1077">
        <v>23</v>
      </c>
      <c r="T470" s="1077">
        <v>9</v>
      </c>
      <c r="U470" s="1077">
        <v>5.5</v>
      </c>
      <c r="V470" s="1077" t="s">
        <v>648</v>
      </c>
      <c r="W470" s="1077">
        <v>100</v>
      </c>
      <c r="X470" s="1077">
        <v>75</v>
      </c>
      <c r="Y470" s="1077">
        <v>2</v>
      </c>
      <c r="Z470" s="1077">
        <v>4</v>
      </c>
      <c r="AA470" s="1077" t="s">
        <v>3148</v>
      </c>
      <c r="AH470" s="1077" t="s">
        <v>958</v>
      </c>
      <c r="AM470" s="1078" t="s">
        <v>9984</v>
      </c>
      <c r="AN470" s="1078" t="s">
        <v>9985</v>
      </c>
      <c r="AO470" s="1078">
        <f t="shared" si="62"/>
        <v>550</v>
      </c>
      <c r="AP470" s="1078">
        <f t="shared" si="63"/>
        <v>1.78</v>
      </c>
      <c r="AQ470" s="1078" t="str">
        <f t="shared" si="64"/>
        <v>1-4-1S83°</v>
      </c>
      <c r="AR470" s="1078" t="str">
        <f t="shared" si="65"/>
        <v>30</v>
      </c>
      <c r="AS470" s="1078" t="str">
        <f t="shared" si="66"/>
        <v>220/220/OFF</v>
      </c>
      <c r="AT470" s="1078" t="str">
        <f t="shared" si="67"/>
        <v>1-4-1S83°</v>
      </c>
      <c r="AV470" s="1078" t="str">
        <f t="shared" si="60"/>
        <v>110.3.15</v>
      </c>
      <c r="AW470" s="1344">
        <f t="shared" si="61"/>
        <v>44270</v>
      </c>
    </row>
    <row r="471" spans="1:49">
      <c r="A471" s="1077" t="s">
        <v>3149</v>
      </c>
      <c r="B471" s="1077" t="s">
        <v>453</v>
      </c>
      <c r="C471" s="1077">
        <v>700</v>
      </c>
      <c r="D471" s="1077">
        <v>1.675</v>
      </c>
      <c r="E471" s="1077" t="s">
        <v>15089</v>
      </c>
      <c r="F471" s="1077" t="s">
        <v>1773</v>
      </c>
      <c r="G471" s="1077" t="s">
        <v>1767</v>
      </c>
      <c r="H471" s="1077" t="s">
        <v>2480</v>
      </c>
      <c r="I471" s="1077" t="s">
        <v>126</v>
      </c>
      <c r="J471" s="1077">
        <v>0.9</v>
      </c>
      <c r="K471" s="1077" t="s">
        <v>3126</v>
      </c>
      <c r="L471" s="1077" t="s">
        <v>1776</v>
      </c>
      <c r="M471" s="1077">
        <v>75</v>
      </c>
      <c r="N471" s="1077" t="s">
        <v>945</v>
      </c>
      <c r="O471" s="1077">
        <v>1.875</v>
      </c>
      <c r="P471" s="1077">
        <v>1.5</v>
      </c>
      <c r="Q471" s="1077">
        <v>4</v>
      </c>
      <c r="R471" s="1077">
        <v>23</v>
      </c>
      <c r="T471" s="1077">
        <v>19</v>
      </c>
      <c r="U471" s="1077">
        <v>3.8</v>
      </c>
      <c r="V471" s="1077" t="s">
        <v>648</v>
      </c>
      <c r="W471" s="1077">
        <v>110</v>
      </c>
      <c r="X471" s="1077">
        <v>70</v>
      </c>
      <c r="Y471" s="1077">
        <v>2</v>
      </c>
      <c r="Z471" s="1077">
        <v>4.5</v>
      </c>
      <c r="AA471" s="1077" t="s">
        <v>3150</v>
      </c>
      <c r="AH471" s="1077" t="s">
        <v>878</v>
      </c>
      <c r="AM471" s="1078" t="s">
        <v>9986</v>
      </c>
      <c r="AN471" s="1078" t="s">
        <v>9987</v>
      </c>
      <c r="AO471" s="1078">
        <f t="shared" si="62"/>
        <v>700</v>
      </c>
      <c r="AP471" s="1078">
        <f t="shared" si="63"/>
        <v>1.675</v>
      </c>
      <c r="AQ471" s="1078" t="str">
        <f t="shared" si="64"/>
        <v>1-4-1S83°</v>
      </c>
      <c r="AR471" s="1078" t="str">
        <f t="shared" si="65"/>
        <v>30.2</v>
      </c>
      <c r="AS471" s="1078" t="str">
        <f t="shared" si="66"/>
        <v>251/251/OFF</v>
      </c>
      <c r="AT471" s="1078" t="str">
        <f t="shared" si="67"/>
        <v>1-4-1S83°</v>
      </c>
      <c r="AV471" s="1078" t="str">
        <f t="shared" si="60"/>
        <v>110.3.17</v>
      </c>
      <c r="AW471" s="1344">
        <f t="shared" si="61"/>
        <v>44272</v>
      </c>
    </row>
    <row r="472" spans="1:49">
      <c r="A472" s="1077" t="s">
        <v>3151</v>
      </c>
      <c r="B472" s="1077" t="s">
        <v>1842</v>
      </c>
      <c r="C472" s="1077">
        <v>500</v>
      </c>
      <c r="D472" s="1077">
        <v>1.6930000000000001</v>
      </c>
      <c r="E472" s="1077" t="s">
        <v>15091</v>
      </c>
      <c r="F472" s="1077" t="s">
        <v>954</v>
      </c>
      <c r="G472" s="1077" t="s">
        <v>1016</v>
      </c>
      <c r="H472" s="1077" t="s">
        <v>1624</v>
      </c>
      <c r="I472" s="1077" t="s">
        <v>1112</v>
      </c>
      <c r="J472" s="1077">
        <v>0.8</v>
      </c>
      <c r="K472" s="1077" t="s">
        <v>3152</v>
      </c>
      <c r="L472" s="1077" t="s">
        <v>1844</v>
      </c>
      <c r="M472" s="1077">
        <v>77.099999999999994</v>
      </c>
      <c r="N472" s="1077" t="s">
        <v>945</v>
      </c>
      <c r="O472" s="1077">
        <v>1.9275</v>
      </c>
      <c r="P472" s="1077">
        <v>1.5419999999999998</v>
      </c>
      <c r="Q472" s="1077">
        <v>4</v>
      </c>
      <c r="R472" s="1077">
        <v>23</v>
      </c>
      <c r="T472" s="1077">
        <v>18</v>
      </c>
      <c r="U472" s="1077">
        <v>4</v>
      </c>
      <c r="V472" s="1077" t="s">
        <v>648</v>
      </c>
      <c r="W472" s="1077">
        <v>110</v>
      </c>
      <c r="X472" s="1077">
        <v>70</v>
      </c>
      <c r="Y472" s="1077">
        <v>1.8</v>
      </c>
      <c r="Z472" s="1077">
        <v>4.5</v>
      </c>
      <c r="AA472" s="1077" t="s">
        <v>3153</v>
      </c>
      <c r="AH472" s="1077" t="s">
        <v>726</v>
      </c>
      <c r="AM472" s="1078" t="s">
        <v>9988</v>
      </c>
      <c r="AN472" s="1078" t="s">
        <v>9989</v>
      </c>
      <c r="AO472" s="1078">
        <f t="shared" si="62"/>
        <v>500</v>
      </c>
      <c r="AP472" s="1078">
        <f t="shared" si="63"/>
        <v>1.6930000000000001</v>
      </c>
      <c r="AQ472" s="1078" t="str">
        <f t="shared" si="64"/>
        <v>2-5-1S83°</v>
      </c>
      <c r="AR472" s="1078" t="str">
        <f t="shared" si="65"/>
        <v>31</v>
      </c>
      <c r="AS472" s="1078" t="str">
        <f t="shared" si="66"/>
        <v>155/OFF</v>
      </c>
      <c r="AT472" s="1078" t="str">
        <f t="shared" si="67"/>
        <v>2-5-1S83°</v>
      </c>
      <c r="AV472" s="1078" t="str">
        <f t="shared" si="60"/>
        <v>110.3.31</v>
      </c>
      <c r="AW472" s="1344">
        <f t="shared" si="61"/>
        <v>44286</v>
      </c>
    </row>
    <row r="473" spans="1:49">
      <c r="A473" s="1077" t="s">
        <v>3154</v>
      </c>
      <c r="B473" s="1077" t="s">
        <v>3155</v>
      </c>
      <c r="C473" s="1077">
        <v>600</v>
      </c>
      <c r="D473" s="1077">
        <v>1.7030000000000001</v>
      </c>
      <c r="E473" s="1077" t="s">
        <v>15091</v>
      </c>
      <c r="F473" s="1077" t="s">
        <v>954</v>
      </c>
      <c r="G473" s="1077" t="s">
        <v>940</v>
      </c>
      <c r="H473" s="1077" t="s">
        <v>2833</v>
      </c>
      <c r="I473" s="1077" t="s">
        <v>626</v>
      </c>
      <c r="J473" s="1077">
        <v>1.1000000000000001</v>
      </c>
      <c r="K473" s="1077" t="s">
        <v>3156</v>
      </c>
      <c r="L473" s="1077" t="s">
        <v>1763</v>
      </c>
      <c r="M473" s="1077">
        <v>79</v>
      </c>
      <c r="N473" s="1077" t="s">
        <v>945</v>
      </c>
      <c r="O473" s="1077">
        <v>1.9750000000000001</v>
      </c>
      <c r="P473" s="1077">
        <v>1.58</v>
      </c>
      <c r="Q473" s="1077">
        <v>3</v>
      </c>
      <c r="R473" s="1077">
        <v>25</v>
      </c>
      <c r="T473" s="1077">
        <v>9.6</v>
      </c>
      <c r="U473" s="1077">
        <v>6.8</v>
      </c>
      <c r="V473" s="1077" t="s">
        <v>2520</v>
      </c>
      <c r="W473" s="1077">
        <v>135</v>
      </c>
      <c r="X473" s="1077">
        <v>75</v>
      </c>
      <c r="Y473" s="1077">
        <v>1.4</v>
      </c>
      <c r="Z473" s="1077">
        <v>4</v>
      </c>
      <c r="AA473" s="1077" t="s">
        <v>3157</v>
      </c>
      <c r="AH473" s="1077" t="s">
        <v>1827</v>
      </c>
      <c r="AM473" s="1078" t="s">
        <v>9990</v>
      </c>
      <c r="AN473" s="1078" t="s">
        <v>9991</v>
      </c>
      <c r="AO473" s="1078">
        <f t="shared" si="62"/>
        <v>600</v>
      </c>
      <c r="AP473" s="1078">
        <f t="shared" si="63"/>
        <v>1.7030000000000001</v>
      </c>
      <c r="AQ473" s="1078" t="str">
        <f t="shared" si="64"/>
        <v>2-5-1S83°</v>
      </c>
      <c r="AR473" s="1078" t="str">
        <f t="shared" si="65"/>
        <v>31</v>
      </c>
      <c r="AS473" s="1078" t="str">
        <f t="shared" si="66"/>
        <v>150/OFF</v>
      </c>
      <c r="AT473" s="1078" t="str">
        <f t="shared" si="67"/>
        <v>2-5-1S83°</v>
      </c>
      <c r="AV473" s="1078" t="str">
        <f t="shared" si="60"/>
        <v>110.4.1</v>
      </c>
      <c r="AW473" s="1344">
        <f t="shared" si="61"/>
        <v>44287</v>
      </c>
    </row>
    <row r="474" spans="1:49">
      <c r="A474" s="1077" t="s">
        <v>3158</v>
      </c>
      <c r="B474" s="1077" t="s">
        <v>2299</v>
      </c>
      <c r="C474" s="1077">
        <v>650</v>
      </c>
      <c r="D474" s="1077">
        <v>1.74</v>
      </c>
      <c r="E474" s="1077" t="s">
        <v>15089</v>
      </c>
      <c r="F474" s="1077" t="s">
        <v>1514</v>
      </c>
      <c r="G474" s="1077" t="s">
        <v>2592</v>
      </c>
      <c r="H474" s="1077" t="s">
        <v>1793</v>
      </c>
      <c r="I474" s="1077" t="s">
        <v>126</v>
      </c>
      <c r="J474" s="1077">
        <v>0.7</v>
      </c>
      <c r="K474" s="1077" t="s">
        <v>3159</v>
      </c>
      <c r="L474" s="1077" t="s">
        <v>3160</v>
      </c>
      <c r="M474" s="1077">
        <v>73.5</v>
      </c>
      <c r="N474" s="1077" t="s">
        <v>945</v>
      </c>
      <c r="O474" s="1077">
        <v>1.8375000000000001</v>
      </c>
      <c r="P474" s="1077">
        <v>1.47</v>
      </c>
      <c r="Q474" s="1077">
        <v>3.5</v>
      </c>
      <c r="R474" s="1077">
        <v>20.5</v>
      </c>
      <c r="T474" s="1077">
        <v>26.8</v>
      </c>
      <c r="U474" s="1077">
        <v>3.2</v>
      </c>
      <c r="V474" s="1077" t="s">
        <v>648</v>
      </c>
      <c r="W474" s="1077">
        <v>100</v>
      </c>
      <c r="X474" s="1077">
        <v>50</v>
      </c>
      <c r="Y474" s="1077">
        <v>1.8</v>
      </c>
      <c r="Z474" s="1077">
        <v>4.4000000000000004</v>
      </c>
      <c r="AA474" s="1077" t="s">
        <v>3153</v>
      </c>
      <c r="AH474" s="1077" t="s">
        <v>1244</v>
      </c>
      <c r="AM474" s="1078" t="s">
        <v>9992</v>
      </c>
      <c r="AN474" s="1078" t="s">
        <v>9993</v>
      </c>
      <c r="AO474" s="1078">
        <f t="shared" si="62"/>
        <v>650</v>
      </c>
      <c r="AP474" s="1078">
        <f t="shared" si="63"/>
        <v>1.74</v>
      </c>
      <c r="AQ474" s="1078" t="str">
        <f t="shared" si="64"/>
        <v>1-4-1S83°</v>
      </c>
      <c r="AR474" s="1078" t="str">
        <f t="shared" si="65"/>
        <v>32</v>
      </c>
      <c r="AS474" s="1078" t="str">
        <f t="shared" si="66"/>
        <v>270/270/OFF</v>
      </c>
      <c r="AT474" s="1078" t="str">
        <f t="shared" si="67"/>
        <v>1-4-1S83°</v>
      </c>
      <c r="AV474" s="1078" t="str">
        <f t="shared" si="60"/>
        <v>110.3.31</v>
      </c>
      <c r="AW474" s="1344">
        <f t="shared" si="61"/>
        <v>44286</v>
      </c>
    </row>
    <row r="475" spans="1:49">
      <c r="A475" s="1077" t="s">
        <v>3161</v>
      </c>
      <c r="B475" s="1077" t="s">
        <v>1911</v>
      </c>
      <c r="C475" s="1077">
        <v>650</v>
      </c>
      <c r="D475" s="1077">
        <v>1.73</v>
      </c>
      <c r="E475" s="1077" t="s">
        <v>15089</v>
      </c>
      <c r="F475" s="1077" t="s">
        <v>984</v>
      </c>
      <c r="G475" s="1077">
        <v>5</v>
      </c>
      <c r="H475" s="1077" t="s">
        <v>955</v>
      </c>
      <c r="I475" s="1077" t="s">
        <v>126</v>
      </c>
      <c r="J475" s="1077">
        <v>1.2</v>
      </c>
      <c r="K475" s="1077" t="s">
        <v>3162</v>
      </c>
      <c r="L475" s="1077" t="s">
        <v>1913</v>
      </c>
      <c r="M475" s="1077">
        <v>75</v>
      </c>
      <c r="N475" s="1077" t="s">
        <v>945</v>
      </c>
      <c r="O475" s="1077">
        <v>1.875</v>
      </c>
      <c r="P475" s="1077">
        <v>1.5</v>
      </c>
      <c r="Q475" s="1077" t="s">
        <v>961</v>
      </c>
      <c r="R475" s="1077">
        <v>23</v>
      </c>
      <c r="T475" s="1077">
        <v>26.5</v>
      </c>
      <c r="U475" s="1077">
        <v>3.8</v>
      </c>
      <c r="V475" s="1077" t="s">
        <v>648</v>
      </c>
      <c r="W475" s="1077">
        <v>100</v>
      </c>
      <c r="X475" s="1077">
        <v>45</v>
      </c>
      <c r="Y475" s="1077">
        <v>1.6</v>
      </c>
      <c r="Z475" s="1077">
        <v>5</v>
      </c>
      <c r="AA475" s="1077" t="s">
        <v>3163</v>
      </c>
      <c r="AH475" s="1077" t="s">
        <v>990</v>
      </c>
      <c r="AM475" s="1078" t="s">
        <v>9994</v>
      </c>
      <c r="AN475" s="1078" t="s">
        <v>9995</v>
      </c>
      <c r="AO475" s="1078">
        <f t="shared" si="62"/>
        <v>650</v>
      </c>
      <c r="AP475" s="1078">
        <f t="shared" si="63"/>
        <v>1.73</v>
      </c>
      <c r="AQ475" s="1078" t="str">
        <f t="shared" si="64"/>
        <v>1-4-1S83°</v>
      </c>
      <c r="AR475" s="1078" t="str">
        <f t="shared" si="65"/>
        <v>30</v>
      </c>
      <c r="AS475" s="1078" t="str">
        <f t="shared" si="66"/>
        <v>260/260/OFF</v>
      </c>
      <c r="AT475" s="1078" t="str">
        <f t="shared" si="67"/>
        <v>1-4-1S83°</v>
      </c>
      <c r="AV475" s="1078" t="str">
        <f t="shared" si="60"/>
        <v>109.1.30</v>
      </c>
      <c r="AW475" s="1344">
        <f t="shared" si="61"/>
        <v>43860</v>
      </c>
    </row>
    <row r="476" spans="1:49">
      <c r="A476" s="1077" t="s">
        <v>3164</v>
      </c>
      <c r="B476" s="1077" t="s">
        <v>1911</v>
      </c>
      <c r="C476" s="1077">
        <v>650</v>
      </c>
      <c r="D476" s="1077">
        <v>1.73</v>
      </c>
      <c r="E476" s="1077" t="s">
        <v>15089</v>
      </c>
      <c r="F476" s="1077" t="s">
        <v>984</v>
      </c>
      <c r="G476" s="1077">
        <v>5</v>
      </c>
      <c r="H476" s="1077" t="s">
        <v>955</v>
      </c>
      <c r="I476" s="1077" t="s">
        <v>126</v>
      </c>
      <c r="J476" s="1077">
        <v>1.2</v>
      </c>
      <c r="K476" s="1077" t="s">
        <v>3162</v>
      </c>
      <c r="L476" s="1077" t="s">
        <v>1913</v>
      </c>
      <c r="M476" s="1077">
        <v>75</v>
      </c>
      <c r="N476" s="1077" t="s">
        <v>945</v>
      </c>
      <c r="O476" s="1077">
        <v>1.875</v>
      </c>
      <c r="P476" s="1077">
        <v>1.5</v>
      </c>
      <c r="Q476" s="1077" t="s">
        <v>946</v>
      </c>
      <c r="R476" s="1077">
        <v>23</v>
      </c>
      <c r="T476" s="1077">
        <v>26.5</v>
      </c>
      <c r="U476" s="1077">
        <v>3.8</v>
      </c>
      <c r="V476" s="1077" t="s">
        <v>648</v>
      </c>
      <c r="W476" s="1077">
        <v>100</v>
      </c>
      <c r="X476" s="1077">
        <v>45</v>
      </c>
      <c r="Y476" s="1077">
        <v>1.6</v>
      </c>
      <c r="Z476" s="1077">
        <v>5</v>
      </c>
      <c r="AA476" s="1077" t="s">
        <v>3165</v>
      </c>
      <c r="AH476" s="1077" t="s">
        <v>877</v>
      </c>
      <c r="AM476" s="1078" t="s">
        <v>9996</v>
      </c>
      <c r="AN476" s="1078" t="s">
        <v>9997</v>
      </c>
      <c r="AO476" s="1078">
        <f t="shared" si="62"/>
        <v>650</v>
      </c>
      <c r="AP476" s="1078">
        <f t="shared" si="63"/>
        <v>1.73</v>
      </c>
      <c r="AQ476" s="1078" t="str">
        <f t="shared" si="64"/>
        <v>1-4-1S83°</v>
      </c>
      <c r="AR476" s="1078" t="str">
        <f t="shared" si="65"/>
        <v>30</v>
      </c>
      <c r="AS476" s="1078" t="str">
        <f t="shared" si="66"/>
        <v>260/260/OFF</v>
      </c>
      <c r="AT476" s="1078" t="str">
        <f t="shared" si="67"/>
        <v>1-4-1S83°</v>
      </c>
      <c r="AV476" s="1078" t="str">
        <f t="shared" si="60"/>
        <v>109.4.1</v>
      </c>
      <c r="AW476" s="1344">
        <f t="shared" si="61"/>
        <v>43922</v>
      </c>
    </row>
    <row r="477" spans="1:49">
      <c r="A477" s="1077" t="s">
        <v>3166</v>
      </c>
      <c r="B477" s="1077" t="s">
        <v>1911</v>
      </c>
      <c r="C477" s="1077">
        <v>650</v>
      </c>
      <c r="D477" s="1077">
        <v>1.736</v>
      </c>
      <c r="E477" s="1077" t="s">
        <v>15091</v>
      </c>
      <c r="F477" s="1077" t="s">
        <v>954</v>
      </c>
      <c r="G477" s="1077">
        <v>5</v>
      </c>
      <c r="H477" s="1077" t="s">
        <v>1671</v>
      </c>
      <c r="I477" s="1077" t="s">
        <v>1112</v>
      </c>
      <c r="J477" s="1077">
        <v>1.2</v>
      </c>
      <c r="K477" s="1077" t="s">
        <v>3167</v>
      </c>
      <c r="L477" s="1077" t="s">
        <v>1913</v>
      </c>
      <c r="M477" s="1077">
        <v>75</v>
      </c>
      <c r="N477" s="1077" t="s">
        <v>945</v>
      </c>
      <c r="O477" s="1077">
        <v>1.875</v>
      </c>
      <c r="P477" s="1077">
        <v>1.5</v>
      </c>
      <c r="Q477" s="1077" t="s">
        <v>1037</v>
      </c>
      <c r="R477" s="1077">
        <v>22</v>
      </c>
      <c r="T477" s="1077">
        <v>26.5</v>
      </c>
      <c r="U477" s="1077">
        <v>3.8</v>
      </c>
      <c r="V477" s="1077" t="s">
        <v>648</v>
      </c>
      <c r="W477" s="1077">
        <v>100</v>
      </c>
      <c r="X477" s="1077">
        <v>45</v>
      </c>
      <c r="Y477" s="1077">
        <v>1.6</v>
      </c>
      <c r="Z477" s="1077" t="s">
        <v>2685</v>
      </c>
      <c r="AA477" s="1077" t="s">
        <v>1337</v>
      </c>
      <c r="AH477" s="1077" t="s">
        <v>647</v>
      </c>
      <c r="AM477" s="1078" t="s">
        <v>9998</v>
      </c>
      <c r="AN477" s="1078" t="s">
        <v>9999</v>
      </c>
      <c r="AO477" s="1078">
        <f t="shared" si="62"/>
        <v>650</v>
      </c>
      <c r="AP477" s="1078">
        <f t="shared" si="63"/>
        <v>1.736</v>
      </c>
      <c r="AQ477" s="1078" t="str">
        <f t="shared" si="64"/>
        <v>2-5-1S83°</v>
      </c>
      <c r="AR477" s="1078" t="str">
        <f t="shared" si="65"/>
        <v>31</v>
      </c>
      <c r="AS477" s="1078" t="str">
        <f t="shared" si="66"/>
        <v>172/OFF</v>
      </c>
      <c r="AT477" s="1078" t="str">
        <f t="shared" si="67"/>
        <v>2-5-1S83°</v>
      </c>
      <c r="AV477" s="1078" t="str">
        <f t="shared" si="60"/>
        <v>109.9.1</v>
      </c>
      <c r="AW477" s="1344">
        <f t="shared" si="61"/>
        <v>44075</v>
      </c>
    </row>
    <row r="478" spans="1:49">
      <c r="A478" s="1077" t="s">
        <v>3168</v>
      </c>
      <c r="B478" s="1077" t="s">
        <v>1911</v>
      </c>
      <c r="C478" s="1077">
        <v>650</v>
      </c>
      <c r="D478" s="1077">
        <v>1.736</v>
      </c>
      <c r="E478" s="1077" t="s">
        <v>15091</v>
      </c>
      <c r="F478" s="1077" t="s">
        <v>975</v>
      </c>
      <c r="G478" s="1077">
        <v>5</v>
      </c>
      <c r="H478" s="1077" t="s">
        <v>1671</v>
      </c>
      <c r="I478" s="1077" t="s">
        <v>1112</v>
      </c>
      <c r="J478" s="1077">
        <v>1.2</v>
      </c>
      <c r="K478" s="1077" t="s">
        <v>3169</v>
      </c>
      <c r="L478" s="1077" t="s">
        <v>1913</v>
      </c>
      <c r="M478" s="1077">
        <v>75</v>
      </c>
      <c r="N478" s="1077" t="s">
        <v>945</v>
      </c>
      <c r="O478" s="1077">
        <v>1.875</v>
      </c>
      <c r="P478" s="1077">
        <v>1.5</v>
      </c>
      <c r="Q478" s="1077" t="s">
        <v>988</v>
      </c>
      <c r="R478" s="1077">
        <v>22</v>
      </c>
      <c r="T478" s="1077">
        <v>26.5</v>
      </c>
      <c r="U478" s="1077">
        <v>3.8</v>
      </c>
      <c r="V478" s="1077" t="s">
        <v>648</v>
      </c>
      <c r="W478" s="1077">
        <v>100</v>
      </c>
      <c r="X478" s="1077">
        <v>45</v>
      </c>
      <c r="Y478" s="1077">
        <v>1.6</v>
      </c>
      <c r="Z478" s="1077" t="s">
        <v>3170</v>
      </c>
      <c r="AA478" s="1077" t="s">
        <v>3171</v>
      </c>
      <c r="AH478" s="1077" t="s">
        <v>1023</v>
      </c>
      <c r="AM478" s="1078" t="s">
        <v>10000</v>
      </c>
      <c r="AN478" s="1078" t="s">
        <v>10001</v>
      </c>
      <c r="AO478" s="1078">
        <f t="shared" si="62"/>
        <v>650</v>
      </c>
      <c r="AP478" s="1078">
        <f t="shared" si="63"/>
        <v>1.736</v>
      </c>
      <c r="AQ478" s="1078" t="str">
        <f t="shared" si="64"/>
        <v>2-5-1S83°</v>
      </c>
      <c r="AR478" s="1078" t="str">
        <f t="shared" si="65"/>
        <v>31.5</v>
      </c>
      <c r="AS478" s="1078" t="str">
        <f t="shared" si="66"/>
        <v>172/OFF</v>
      </c>
      <c r="AT478" s="1078" t="str">
        <f t="shared" si="67"/>
        <v>2-5-1S83°</v>
      </c>
      <c r="AV478" s="1078" t="str">
        <f t="shared" si="60"/>
        <v>109.9.17</v>
      </c>
      <c r="AW478" s="1344">
        <f t="shared" si="61"/>
        <v>44091</v>
      </c>
    </row>
    <row r="479" spans="1:49">
      <c r="A479" s="1077" t="s">
        <v>3172</v>
      </c>
      <c r="B479" s="1077" t="s">
        <v>1911</v>
      </c>
      <c r="C479" s="1077">
        <v>650</v>
      </c>
      <c r="D479" s="1077">
        <v>1.736</v>
      </c>
      <c r="E479" s="1077" t="s">
        <v>15091</v>
      </c>
      <c r="F479" s="1077" t="s">
        <v>1398</v>
      </c>
      <c r="G479" s="1077">
        <v>5</v>
      </c>
      <c r="H479" s="1077" t="s">
        <v>1671</v>
      </c>
      <c r="I479" s="1077" t="s">
        <v>1112</v>
      </c>
      <c r="J479" s="1077">
        <v>1.2</v>
      </c>
      <c r="K479" s="1077" t="s">
        <v>3173</v>
      </c>
      <c r="L479" s="1077" t="s">
        <v>1913</v>
      </c>
      <c r="M479" s="1077">
        <v>75</v>
      </c>
      <c r="N479" s="1077" t="s">
        <v>945</v>
      </c>
      <c r="O479" s="1077">
        <v>1.875</v>
      </c>
      <c r="P479" s="1077">
        <v>1.5</v>
      </c>
      <c r="Q479" s="1077" t="s">
        <v>1037</v>
      </c>
      <c r="R479" s="1077">
        <v>22</v>
      </c>
      <c r="T479" s="1077">
        <v>26.5</v>
      </c>
      <c r="U479" s="1077">
        <v>3.8</v>
      </c>
      <c r="V479" s="1077" t="s">
        <v>648</v>
      </c>
      <c r="W479" s="1077">
        <v>100</v>
      </c>
      <c r="X479" s="1077">
        <v>45</v>
      </c>
      <c r="Y479" s="1077">
        <v>1.6</v>
      </c>
      <c r="Z479" s="1077" t="s">
        <v>1260</v>
      </c>
      <c r="AA479" s="1077" t="s">
        <v>3073</v>
      </c>
      <c r="AH479" s="1077" t="s">
        <v>1827</v>
      </c>
      <c r="AM479" s="1078" t="s">
        <v>10002</v>
      </c>
      <c r="AN479" s="1078" t="s">
        <v>10003</v>
      </c>
      <c r="AO479" s="1078">
        <f t="shared" si="62"/>
        <v>650</v>
      </c>
      <c r="AP479" s="1078">
        <f t="shared" si="63"/>
        <v>1.736</v>
      </c>
      <c r="AQ479" s="1078" t="str">
        <f t="shared" si="64"/>
        <v>2-5-1S83°</v>
      </c>
      <c r="AR479" s="1078" t="str">
        <f t="shared" si="65"/>
        <v>32.5</v>
      </c>
      <c r="AS479" s="1078" t="str">
        <f t="shared" si="66"/>
        <v>172/OFF</v>
      </c>
      <c r="AT479" s="1078" t="str">
        <f t="shared" si="67"/>
        <v>2-5-1S83°</v>
      </c>
      <c r="AV479" s="1078" t="str">
        <f t="shared" si="60"/>
        <v>109.9.23</v>
      </c>
      <c r="AW479" s="1344">
        <f t="shared" si="61"/>
        <v>44097</v>
      </c>
    </row>
    <row r="480" spans="1:49">
      <c r="A480" s="1077" t="s">
        <v>3174</v>
      </c>
      <c r="B480" s="1077" t="s">
        <v>1911</v>
      </c>
      <c r="C480" s="1077">
        <v>650</v>
      </c>
      <c r="D480" s="1077">
        <v>1.736</v>
      </c>
      <c r="E480" s="1077" t="s">
        <v>15091</v>
      </c>
      <c r="F480" s="1077" t="s">
        <v>1398</v>
      </c>
      <c r="G480" s="1077">
        <v>5</v>
      </c>
      <c r="H480" s="1077" t="s">
        <v>1671</v>
      </c>
      <c r="I480" s="1077" t="s">
        <v>1112</v>
      </c>
      <c r="J480" s="1077">
        <v>1.2</v>
      </c>
      <c r="K480" s="1077" t="s">
        <v>3175</v>
      </c>
      <c r="L480" s="1077" t="s">
        <v>1913</v>
      </c>
      <c r="M480" s="1077">
        <v>75</v>
      </c>
      <c r="N480" s="1077" t="s">
        <v>945</v>
      </c>
      <c r="O480" s="1077">
        <v>1.875</v>
      </c>
      <c r="P480" s="1077">
        <v>1.5</v>
      </c>
      <c r="Q480" s="1077">
        <v>-4</v>
      </c>
      <c r="R480" s="1077">
        <v>22</v>
      </c>
      <c r="T480" s="1077">
        <v>26.5</v>
      </c>
      <c r="U480" s="1077">
        <v>3.8</v>
      </c>
      <c r="V480" s="1077" t="s">
        <v>648</v>
      </c>
      <c r="W480" s="1077">
        <v>100</v>
      </c>
      <c r="X480" s="1077">
        <v>45</v>
      </c>
      <c r="Y480" s="1077">
        <v>1.6</v>
      </c>
      <c r="Z480" s="1077">
        <v>5</v>
      </c>
      <c r="AA480" s="1077" t="s">
        <v>3176</v>
      </c>
      <c r="AH480" s="1077" t="s">
        <v>783</v>
      </c>
      <c r="AM480" s="1078" t="s">
        <v>10004</v>
      </c>
      <c r="AN480" s="1078" t="s">
        <v>10005</v>
      </c>
      <c r="AO480" s="1078">
        <f t="shared" si="62"/>
        <v>650</v>
      </c>
      <c r="AP480" s="1078">
        <f t="shared" si="63"/>
        <v>1.736</v>
      </c>
      <c r="AQ480" s="1078" t="str">
        <f t="shared" si="64"/>
        <v>2-5-1S83°</v>
      </c>
      <c r="AR480" s="1078" t="str">
        <f t="shared" si="65"/>
        <v>32.5</v>
      </c>
      <c r="AS480" s="1078" t="str">
        <f t="shared" si="66"/>
        <v>172/OFF</v>
      </c>
      <c r="AT480" s="1078" t="str">
        <f t="shared" si="67"/>
        <v>2-5-1S83°</v>
      </c>
      <c r="AV480" s="1078" t="str">
        <f t="shared" si="60"/>
        <v>109.9.29</v>
      </c>
      <c r="AW480" s="1344">
        <f t="shared" si="61"/>
        <v>44103</v>
      </c>
    </row>
    <row r="481" spans="1:49">
      <c r="A481" s="1077" t="s">
        <v>3177</v>
      </c>
      <c r="B481" s="1077" t="s">
        <v>1911</v>
      </c>
      <c r="C481" s="1077">
        <v>650</v>
      </c>
      <c r="D481" s="1077">
        <v>1.736</v>
      </c>
      <c r="E481" s="1077" t="s">
        <v>15091</v>
      </c>
      <c r="F481" s="1077" t="s">
        <v>1398</v>
      </c>
      <c r="G481" s="1077">
        <v>5</v>
      </c>
      <c r="H481" s="1077" t="s">
        <v>2359</v>
      </c>
      <c r="I481" s="1077" t="s">
        <v>1167</v>
      </c>
      <c r="J481" s="1077">
        <v>1.2</v>
      </c>
      <c r="K481" s="1077" t="s">
        <v>3175</v>
      </c>
      <c r="L481" s="1077" t="s">
        <v>1913</v>
      </c>
      <c r="M481" s="1077">
        <v>75</v>
      </c>
      <c r="N481" s="1077" t="s">
        <v>945</v>
      </c>
      <c r="O481" s="1077">
        <v>1.875</v>
      </c>
      <c r="P481" s="1077">
        <v>1.5</v>
      </c>
      <c r="Q481" s="1077" t="s">
        <v>988</v>
      </c>
      <c r="R481" s="1077">
        <v>22</v>
      </c>
      <c r="T481" s="1077">
        <v>26.5</v>
      </c>
      <c r="U481" s="1077">
        <v>3.8</v>
      </c>
      <c r="V481" s="1077" t="s">
        <v>648</v>
      </c>
      <c r="W481" s="1077">
        <v>100</v>
      </c>
      <c r="X481" s="1077">
        <v>45</v>
      </c>
      <c r="Y481" s="1077">
        <v>1.6</v>
      </c>
      <c r="Z481" s="1077">
        <v>5</v>
      </c>
      <c r="AA481" s="1077" t="s">
        <v>1344</v>
      </c>
      <c r="AH481" s="1077" t="s">
        <v>1170</v>
      </c>
      <c r="AM481" s="1078" t="s">
        <v>10006</v>
      </c>
      <c r="AN481" s="1078" t="s">
        <v>10007</v>
      </c>
      <c r="AO481" s="1078">
        <f t="shared" si="62"/>
        <v>650</v>
      </c>
      <c r="AP481" s="1078">
        <f t="shared" si="63"/>
        <v>1.736</v>
      </c>
      <c r="AQ481" s="1078" t="str">
        <f t="shared" si="64"/>
        <v>2-5-1S83°</v>
      </c>
      <c r="AR481" s="1078" t="str">
        <f t="shared" si="65"/>
        <v>32.5</v>
      </c>
      <c r="AS481" s="1078" t="str">
        <f t="shared" si="66"/>
        <v>174/OFF</v>
      </c>
      <c r="AT481" s="1078" t="str">
        <f t="shared" si="67"/>
        <v>2-5-1S83°</v>
      </c>
      <c r="AV481" s="1078" t="str">
        <f t="shared" si="60"/>
        <v>109.10.7</v>
      </c>
      <c r="AW481" s="1344">
        <f t="shared" si="61"/>
        <v>44111</v>
      </c>
    </row>
    <row r="482" spans="1:49">
      <c r="A482" s="1077" t="s">
        <v>3178</v>
      </c>
      <c r="B482" s="1077" t="s">
        <v>1911</v>
      </c>
      <c r="C482" s="1077">
        <v>650</v>
      </c>
      <c r="D482" s="1077">
        <v>1.73</v>
      </c>
      <c r="E482" s="1077" t="s">
        <v>15089</v>
      </c>
      <c r="F482" s="1077" t="s">
        <v>984</v>
      </c>
      <c r="G482" s="1077">
        <v>5</v>
      </c>
      <c r="H482" s="1077" t="s">
        <v>1061</v>
      </c>
      <c r="I482" s="1077" t="s">
        <v>126</v>
      </c>
      <c r="J482" s="1077">
        <v>1.2</v>
      </c>
      <c r="K482" s="1077" t="s">
        <v>3179</v>
      </c>
      <c r="L482" s="1077" t="s">
        <v>1913</v>
      </c>
      <c r="M482" s="1077">
        <v>75</v>
      </c>
      <c r="N482" s="1077" t="s">
        <v>945</v>
      </c>
      <c r="O482" s="1077">
        <v>1.875</v>
      </c>
      <c r="P482" s="1077">
        <v>1.5</v>
      </c>
      <c r="Q482" s="1077">
        <v>4</v>
      </c>
      <c r="R482" s="1077">
        <v>23</v>
      </c>
      <c r="T482" s="1077">
        <v>26.5</v>
      </c>
      <c r="U482" s="1077">
        <v>3.8</v>
      </c>
      <c r="V482" s="1077" t="s">
        <v>648</v>
      </c>
      <c r="W482" s="1077">
        <v>100</v>
      </c>
      <c r="X482" s="1077">
        <v>45</v>
      </c>
      <c r="Y482" s="1077">
        <v>1.6</v>
      </c>
      <c r="Z482" s="1077">
        <v>5</v>
      </c>
      <c r="AA482" s="1077" t="s">
        <v>3180</v>
      </c>
      <c r="AH482" s="1077" t="s">
        <v>990</v>
      </c>
      <c r="AM482" s="1078" t="s">
        <v>10008</v>
      </c>
      <c r="AN482" s="1078" t="s">
        <v>10009</v>
      </c>
      <c r="AO482" s="1078">
        <f t="shared" si="62"/>
        <v>650</v>
      </c>
      <c r="AP482" s="1078">
        <f t="shared" si="63"/>
        <v>1.73</v>
      </c>
      <c r="AQ482" s="1078" t="str">
        <f t="shared" si="64"/>
        <v>1-4-1S83°</v>
      </c>
      <c r="AR482" s="1078" t="str">
        <f t="shared" si="65"/>
        <v>30</v>
      </c>
      <c r="AS482" s="1078" t="str">
        <f t="shared" si="66"/>
        <v>255/255/OFF</v>
      </c>
      <c r="AT482" s="1078" t="str">
        <f t="shared" si="67"/>
        <v>1-4-1S83°</v>
      </c>
      <c r="AV482" s="1078" t="str">
        <f t="shared" si="60"/>
        <v>109.12.29</v>
      </c>
      <c r="AW482" s="1344">
        <f t="shared" si="61"/>
        <v>44194</v>
      </c>
    </row>
    <row r="483" spans="1:49">
      <c r="A483" s="1077" t="s">
        <v>3181</v>
      </c>
      <c r="B483" s="1077" t="s">
        <v>1911</v>
      </c>
      <c r="C483" s="1077">
        <v>700</v>
      </c>
      <c r="D483" s="1077">
        <v>1.74</v>
      </c>
      <c r="E483" s="1077" t="s">
        <v>15088</v>
      </c>
      <c r="F483" s="1077" t="s">
        <v>648</v>
      </c>
      <c r="G483" s="1077">
        <v>5</v>
      </c>
      <c r="H483" s="1077" t="s">
        <v>1936</v>
      </c>
      <c r="I483" s="1077" t="s">
        <v>126</v>
      </c>
      <c r="J483" s="1077">
        <v>1.2</v>
      </c>
      <c r="K483" s="1077" t="s">
        <v>2028</v>
      </c>
      <c r="L483" s="1077" t="s">
        <v>1913</v>
      </c>
      <c r="M483" s="1077">
        <v>75</v>
      </c>
      <c r="N483" s="1077" t="s">
        <v>945</v>
      </c>
      <c r="O483" s="1077">
        <v>1.875</v>
      </c>
      <c r="P483" s="1077">
        <v>1.5</v>
      </c>
      <c r="Q483" s="1077">
        <v>4</v>
      </c>
      <c r="R483" s="1077">
        <v>23</v>
      </c>
      <c r="T483" s="1077">
        <v>26.5</v>
      </c>
      <c r="U483" s="1077">
        <v>3.8</v>
      </c>
      <c r="V483" s="1077" t="s">
        <v>648</v>
      </c>
      <c r="W483" s="1077">
        <v>100</v>
      </c>
      <c r="X483" s="1077">
        <v>45</v>
      </c>
      <c r="Y483" s="1077">
        <v>1.6</v>
      </c>
      <c r="Z483" s="1077">
        <v>5</v>
      </c>
      <c r="AA483" s="1077" t="s">
        <v>3182</v>
      </c>
      <c r="AH483" s="1077" t="s">
        <v>2836</v>
      </c>
      <c r="AM483" s="1078" t="s">
        <v>10010</v>
      </c>
      <c r="AN483" s="1078" t="s">
        <v>10011</v>
      </c>
      <c r="AO483" s="1078">
        <f t="shared" si="62"/>
        <v>700</v>
      </c>
      <c r="AP483" s="1078">
        <f t="shared" si="63"/>
        <v>1.74</v>
      </c>
      <c r="AQ483" s="1078" t="str">
        <f t="shared" si="64"/>
        <v>1-4-1S85°</v>
      </c>
      <c r="AR483" s="1078" t="str">
        <f t="shared" si="65"/>
        <v>NA</v>
      </c>
      <c r="AS483" s="1078" t="str">
        <f t="shared" si="66"/>
        <v>175/OFF</v>
      </c>
      <c r="AT483" s="1078" t="str">
        <f t="shared" si="67"/>
        <v>1-4-1S85°</v>
      </c>
      <c r="AV483" s="1078" t="str">
        <f t="shared" si="60"/>
        <v>110.10.4</v>
      </c>
      <c r="AW483" s="1344">
        <f t="shared" si="61"/>
        <v>44473</v>
      </c>
    </row>
    <row r="484" spans="1:49">
      <c r="A484" s="1077" t="s">
        <v>3183</v>
      </c>
      <c r="B484" s="1077" t="s">
        <v>1783</v>
      </c>
      <c r="C484" s="1077">
        <v>500</v>
      </c>
      <c r="D484" s="1077">
        <v>1.6850000000000001</v>
      </c>
      <c r="E484" s="1077" t="s">
        <v>15089</v>
      </c>
      <c r="F484" s="1077" t="s">
        <v>2001</v>
      </c>
      <c r="G484" s="1077" t="s">
        <v>1784</v>
      </c>
      <c r="H484" s="1077" t="s">
        <v>1155</v>
      </c>
      <c r="I484" s="1077" t="s">
        <v>126</v>
      </c>
      <c r="J484" s="1077">
        <v>0.3</v>
      </c>
      <c r="K484" s="1077" t="s">
        <v>3184</v>
      </c>
      <c r="L484" s="1077" t="s">
        <v>1787</v>
      </c>
      <c r="M484" s="1077">
        <v>76.099999999999994</v>
      </c>
      <c r="N484" s="1077" t="s">
        <v>945</v>
      </c>
      <c r="O484" s="1077">
        <v>1.9024999999999999</v>
      </c>
      <c r="P484" s="1077">
        <v>1.522</v>
      </c>
      <c r="Q484" s="1077">
        <v>4</v>
      </c>
      <c r="R484" s="1077">
        <v>21</v>
      </c>
      <c r="T484" s="1077">
        <v>13</v>
      </c>
      <c r="U484" s="1077">
        <v>4</v>
      </c>
      <c r="V484" s="1077" t="s">
        <v>648</v>
      </c>
      <c r="W484" s="1077">
        <v>30</v>
      </c>
      <c r="X484" s="1077">
        <v>10</v>
      </c>
      <c r="Y484" s="1077">
        <v>2.5</v>
      </c>
      <c r="Z484" s="1077">
        <v>2</v>
      </c>
      <c r="AA484" s="1077" t="s">
        <v>3185</v>
      </c>
      <c r="AH484" s="1077" t="s">
        <v>621</v>
      </c>
      <c r="AM484" s="1078" t="s">
        <v>10012</v>
      </c>
      <c r="AN484" s="1078" t="s">
        <v>10013</v>
      </c>
      <c r="AO484" s="1078">
        <f t="shared" si="62"/>
        <v>500</v>
      </c>
      <c r="AP484" s="1078">
        <f t="shared" si="63"/>
        <v>1.6850000000000001</v>
      </c>
      <c r="AQ484" s="1078" t="str">
        <f t="shared" si="64"/>
        <v>1-4-1S83°</v>
      </c>
      <c r="AR484" s="1078" t="str">
        <f t="shared" si="65"/>
        <v>29.9</v>
      </c>
      <c r="AS484" s="1078" t="str">
        <f t="shared" si="66"/>
        <v>215/215/OFF</v>
      </c>
      <c r="AT484" s="1078" t="str">
        <f t="shared" si="67"/>
        <v>1-4-1S83°</v>
      </c>
      <c r="AV484" s="1078" t="str">
        <f t="shared" si="60"/>
        <v>111.9.21</v>
      </c>
      <c r="AW484" s="1344">
        <f t="shared" si="61"/>
        <v>44825</v>
      </c>
    </row>
    <row r="485" spans="1:49">
      <c r="A485" s="1077" t="s">
        <v>3186</v>
      </c>
      <c r="B485" s="1077" t="s">
        <v>2299</v>
      </c>
      <c r="C485" s="1077">
        <v>600</v>
      </c>
      <c r="D485" s="1077">
        <v>1.7</v>
      </c>
      <c r="E485" s="1077" t="s">
        <v>15089</v>
      </c>
      <c r="F485" s="1077" t="s">
        <v>984</v>
      </c>
      <c r="G485" s="1077" t="s">
        <v>940</v>
      </c>
      <c r="H485" s="1077" t="s">
        <v>1793</v>
      </c>
      <c r="I485" s="1077" t="s">
        <v>126</v>
      </c>
      <c r="J485" s="1077">
        <v>0.8</v>
      </c>
      <c r="K485" s="1077" t="s">
        <v>2300</v>
      </c>
      <c r="L485" s="1077" t="s">
        <v>2301</v>
      </c>
      <c r="M485" s="1077">
        <v>73.5</v>
      </c>
      <c r="N485" s="1077" t="s">
        <v>945</v>
      </c>
      <c r="O485" s="1077">
        <v>1.8375000000000001</v>
      </c>
      <c r="P485" s="1077">
        <v>1.47</v>
      </c>
      <c r="Q485" s="1077">
        <v>3.5</v>
      </c>
      <c r="R485" s="1077">
        <v>21.5</v>
      </c>
      <c r="T485" s="1077">
        <v>21</v>
      </c>
      <c r="U485" s="1077">
        <v>3.2</v>
      </c>
      <c r="V485" s="1077" t="s">
        <v>648</v>
      </c>
      <c r="W485" s="1077">
        <v>100</v>
      </c>
      <c r="X485" s="1077">
        <v>50</v>
      </c>
      <c r="Y485" s="1077">
        <v>2.5</v>
      </c>
      <c r="Z485" s="1077" t="s">
        <v>1767</v>
      </c>
      <c r="AA485" s="1077" t="s">
        <v>3187</v>
      </c>
      <c r="AH485" s="1077" t="s">
        <v>1588</v>
      </c>
      <c r="AM485" s="1078" t="s">
        <v>10014</v>
      </c>
      <c r="AN485" s="1078" t="s">
        <v>10015</v>
      </c>
      <c r="AO485" s="1078">
        <f t="shared" si="62"/>
        <v>600</v>
      </c>
      <c r="AP485" s="1078">
        <f t="shared" si="63"/>
        <v>1.7</v>
      </c>
      <c r="AQ485" s="1078" t="str">
        <f t="shared" si="64"/>
        <v>1-4-1S83°</v>
      </c>
      <c r="AR485" s="1078" t="str">
        <f t="shared" si="65"/>
        <v>30</v>
      </c>
      <c r="AS485" s="1078" t="str">
        <f t="shared" si="66"/>
        <v>270/270/OFF</v>
      </c>
      <c r="AT485" s="1078" t="str">
        <f t="shared" si="67"/>
        <v>1-4-1S83°</v>
      </c>
      <c r="AV485" s="1078" t="str">
        <f t="shared" si="60"/>
        <v>111.9.28</v>
      </c>
      <c r="AW485" s="1344">
        <f t="shared" si="61"/>
        <v>44832</v>
      </c>
    </row>
    <row r="486" spans="1:49">
      <c r="A486" s="1077" t="s">
        <v>3188</v>
      </c>
      <c r="B486" s="1077" t="s">
        <v>1911</v>
      </c>
      <c r="C486" s="1077">
        <v>700</v>
      </c>
      <c r="D486" s="1077">
        <v>1.75</v>
      </c>
      <c r="E486" s="1077" t="s">
        <v>15090</v>
      </c>
      <c r="F486" s="1077" t="s">
        <v>648</v>
      </c>
      <c r="G486" s="1077">
        <v>5</v>
      </c>
      <c r="H486" s="1077" t="s">
        <v>1936</v>
      </c>
      <c r="I486" s="1077" t="s">
        <v>126</v>
      </c>
      <c r="J486" s="1077">
        <v>1.2</v>
      </c>
      <c r="K486" s="1077" t="s">
        <v>3189</v>
      </c>
      <c r="L486" s="1077" t="s">
        <v>1913</v>
      </c>
      <c r="M486" s="1077">
        <v>75</v>
      </c>
      <c r="N486" s="1077" t="s">
        <v>945</v>
      </c>
      <c r="O486" s="1077">
        <v>1.875</v>
      </c>
      <c r="P486" s="1077">
        <v>1.5</v>
      </c>
      <c r="Q486" s="1077">
        <v>4</v>
      </c>
      <c r="R486" s="1077">
        <v>23</v>
      </c>
      <c r="T486" s="1077">
        <v>26.5</v>
      </c>
      <c r="U486" s="1077">
        <v>3.8</v>
      </c>
      <c r="V486" s="1077" t="s">
        <v>648</v>
      </c>
      <c r="W486" s="1077">
        <v>100</v>
      </c>
      <c r="X486" s="1077">
        <v>45</v>
      </c>
      <c r="Y486" s="1077">
        <v>1.6</v>
      </c>
      <c r="Z486" s="1077">
        <v>5</v>
      </c>
      <c r="AA486" s="1077" t="s">
        <v>3187</v>
      </c>
      <c r="AH486" s="1077" t="s">
        <v>2836</v>
      </c>
      <c r="AM486" s="1078" t="s">
        <v>10016</v>
      </c>
      <c r="AN486" s="1078" t="s">
        <v>10017</v>
      </c>
      <c r="AO486" s="1078">
        <f t="shared" si="62"/>
        <v>700</v>
      </c>
      <c r="AP486" s="1078">
        <f t="shared" si="63"/>
        <v>1.75</v>
      </c>
      <c r="AQ486" s="1078" t="str">
        <f t="shared" si="64"/>
        <v>1-5-1S85°</v>
      </c>
      <c r="AR486" s="1078" t="str">
        <f t="shared" si="65"/>
        <v>NA</v>
      </c>
      <c r="AS486" s="1078" t="str">
        <f t="shared" si="66"/>
        <v>175/OFF</v>
      </c>
      <c r="AT486" s="1078" t="str">
        <f t="shared" si="67"/>
        <v>1-5-1S85°</v>
      </c>
      <c r="AV486" s="1078" t="str">
        <f t="shared" si="60"/>
        <v>111.9.28</v>
      </c>
      <c r="AW486" s="1344">
        <f t="shared" si="61"/>
        <v>44832</v>
      </c>
    </row>
    <row r="487" spans="1:49">
      <c r="A487" s="1077" t="s">
        <v>3190</v>
      </c>
      <c r="B487" s="1077" t="s">
        <v>620</v>
      </c>
      <c r="C487" s="1077">
        <v>500</v>
      </c>
      <c r="D487" s="1077">
        <v>1.67</v>
      </c>
      <c r="E487" s="1077" t="s">
        <v>15091</v>
      </c>
      <c r="F487" s="1077" t="s">
        <v>984</v>
      </c>
      <c r="G487" s="1077" t="s">
        <v>940</v>
      </c>
      <c r="H487" s="1077" t="s">
        <v>1263</v>
      </c>
      <c r="I487" s="1077" t="s">
        <v>1112</v>
      </c>
      <c r="J487" s="1077">
        <v>1.1000000000000001</v>
      </c>
      <c r="K487" s="1077" t="s">
        <v>3191</v>
      </c>
      <c r="L487" s="1077" t="s">
        <v>2032</v>
      </c>
      <c r="M487" s="1077">
        <v>76.7</v>
      </c>
      <c r="N487" s="1077" t="s">
        <v>945</v>
      </c>
      <c r="O487" s="1077">
        <v>1.9175000000000002</v>
      </c>
      <c r="P487" s="1077">
        <v>1.534</v>
      </c>
      <c r="Q487" s="1077">
        <v>4</v>
      </c>
      <c r="R487" s="1077">
        <v>23.5</v>
      </c>
      <c r="T487" s="1077">
        <v>20.7</v>
      </c>
      <c r="U487" s="1077">
        <v>4</v>
      </c>
      <c r="V487" s="1077" t="s">
        <v>648</v>
      </c>
      <c r="W487" s="1077">
        <v>120</v>
      </c>
      <c r="X487" s="1077">
        <v>80</v>
      </c>
      <c r="Y487" s="1077">
        <v>1</v>
      </c>
      <c r="Z487" s="1077">
        <v>5</v>
      </c>
      <c r="AA487" s="1077" t="s">
        <v>3192</v>
      </c>
      <c r="AH487" s="1077" t="s">
        <v>3193</v>
      </c>
      <c r="AM487" s="1078" t="s">
        <v>10018</v>
      </c>
      <c r="AN487" s="1078" t="s">
        <v>10019</v>
      </c>
      <c r="AO487" s="1078">
        <f t="shared" si="62"/>
        <v>500</v>
      </c>
      <c r="AP487" s="1078">
        <f t="shared" si="63"/>
        <v>1.67</v>
      </c>
      <c r="AQ487" s="1078" t="str">
        <f t="shared" si="64"/>
        <v>2-5-1S83°</v>
      </c>
      <c r="AR487" s="1078" t="str">
        <f t="shared" si="65"/>
        <v>30</v>
      </c>
      <c r="AS487" s="1078" t="str">
        <f t="shared" si="66"/>
        <v>163/OFF</v>
      </c>
      <c r="AT487" s="1078" t="str">
        <f t="shared" si="67"/>
        <v>2-5-1S83°</v>
      </c>
      <c r="AV487" s="1078" t="str">
        <f t="shared" si="60"/>
        <v>111.10.4</v>
      </c>
      <c r="AW487" s="1344">
        <f t="shared" si="61"/>
        <v>44838</v>
      </c>
    </row>
    <row r="488" spans="1:49">
      <c r="A488" s="1077" t="s">
        <v>3194</v>
      </c>
      <c r="B488" s="1077" t="s">
        <v>1815</v>
      </c>
      <c r="C488" s="1077">
        <v>650</v>
      </c>
      <c r="D488" s="1077">
        <v>1.69</v>
      </c>
      <c r="E488" s="1077" t="s">
        <v>15098</v>
      </c>
      <c r="F488" s="1077" t="s">
        <v>954</v>
      </c>
      <c r="G488" s="1077" t="s">
        <v>1767</v>
      </c>
      <c r="H488" s="1077" t="s">
        <v>955</v>
      </c>
      <c r="I488" s="1077" t="s">
        <v>126</v>
      </c>
      <c r="J488" s="1077">
        <v>1</v>
      </c>
      <c r="K488" s="1077" t="s">
        <v>2352</v>
      </c>
      <c r="L488" s="1077" t="s">
        <v>2209</v>
      </c>
      <c r="M488" s="1077">
        <v>75.099999999999994</v>
      </c>
      <c r="N488" s="1077" t="s">
        <v>945</v>
      </c>
      <c r="O488" s="1077">
        <v>1.8774999999999999</v>
      </c>
      <c r="P488" s="1077">
        <v>1.502</v>
      </c>
      <c r="Q488" s="1077">
        <v>4</v>
      </c>
      <c r="R488" s="1077">
        <v>19</v>
      </c>
      <c r="T488" s="1077">
        <v>21</v>
      </c>
      <c r="U488" s="1077">
        <v>3.5</v>
      </c>
      <c r="V488" s="1077" t="s">
        <v>648</v>
      </c>
      <c r="W488" s="1077">
        <v>110</v>
      </c>
      <c r="X488" s="1077">
        <v>65</v>
      </c>
      <c r="Y488" s="1077">
        <v>1.6</v>
      </c>
      <c r="Z488" s="1077">
        <v>4</v>
      </c>
      <c r="AA488" s="1077" t="s">
        <v>3195</v>
      </c>
      <c r="AB488" s="1077" t="s">
        <v>981</v>
      </c>
      <c r="AH488" s="1077" t="s">
        <v>877</v>
      </c>
      <c r="AM488" s="1078" t="s">
        <v>10020</v>
      </c>
      <c r="AN488" s="1078" t="s">
        <v>10021</v>
      </c>
      <c r="AO488" s="1078">
        <f t="shared" si="62"/>
        <v>650</v>
      </c>
      <c r="AP488" s="1078">
        <f t="shared" si="63"/>
        <v>1.69</v>
      </c>
      <c r="AQ488" s="1078" t="str">
        <f t="shared" si="64"/>
        <v>1-4-1S91°</v>
      </c>
      <c r="AR488" s="1078" t="str">
        <f t="shared" si="65"/>
        <v>31</v>
      </c>
      <c r="AS488" s="1078" t="str">
        <f t="shared" si="66"/>
        <v>260/260/OFF</v>
      </c>
      <c r="AT488" s="1078" t="str">
        <f t="shared" si="67"/>
        <v>1-4-1S91°</v>
      </c>
      <c r="AV488" s="1078" t="str">
        <f t="shared" si="60"/>
        <v>111.10.5改標日</v>
      </c>
      <c r="AW488" s="1344" t="e">
        <f t="shared" si="61"/>
        <v>#VALUE!</v>
      </c>
    </row>
    <row r="489" spans="1:49">
      <c r="A489" s="1077" t="s">
        <v>3196</v>
      </c>
      <c r="B489" s="1077" t="s">
        <v>453</v>
      </c>
      <c r="C489" s="1077">
        <v>650</v>
      </c>
      <c r="D489" s="1077">
        <v>1.6950000000000001</v>
      </c>
      <c r="E489" s="1077" t="s">
        <v>15090</v>
      </c>
      <c r="F489" s="1077" t="s">
        <v>648</v>
      </c>
      <c r="G489" s="1077" t="s">
        <v>1767</v>
      </c>
      <c r="H489" s="1077" t="s">
        <v>3197</v>
      </c>
      <c r="I489" s="1077" t="s">
        <v>126</v>
      </c>
      <c r="J489" s="1077">
        <v>1.3</v>
      </c>
      <c r="K489" s="1077" t="s">
        <v>2309</v>
      </c>
      <c r="L489" s="1077" t="s">
        <v>1776</v>
      </c>
      <c r="M489" s="1077">
        <v>77</v>
      </c>
      <c r="N489" s="1077" t="s">
        <v>945</v>
      </c>
      <c r="O489" s="1077">
        <v>1.925</v>
      </c>
      <c r="P489" s="1077">
        <v>1.54</v>
      </c>
      <c r="Q489" s="1077">
        <v>4.2</v>
      </c>
      <c r="R489" s="1077">
        <v>24</v>
      </c>
      <c r="T489" s="1077">
        <v>9</v>
      </c>
      <c r="U489" s="1077">
        <v>2.2000000000000002</v>
      </c>
      <c r="V489" s="1077" t="s">
        <v>648</v>
      </c>
      <c r="W489" s="1077">
        <v>110</v>
      </c>
      <c r="X489" s="1077" t="s">
        <v>1130</v>
      </c>
      <c r="Y489" s="1077">
        <v>2.1</v>
      </c>
      <c r="Z489" s="1077">
        <v>2.5</v>
      </c>
      <c r="AA489" s="1077" t="s">
        <v>3198</v>
      </c>
      <c r="AB489" s="1077" t="s">
        <v>981</v>
      </c>
      <c r="AH489" s="1077" t="s">
        <v>3199</v>
      </c>
      <c r="AM489" s="1078" t="s">
        <v>10022</v>
      </c>
      <c r="AN489" s="1078" t="s">
        <v>10023</v>
      </c>
      <c r="AO489" s="1078">
        <f t="shared" si="62"/>
        <v>650</v>
      </c>
      <c r="AP489" s="1078">
        <f t="shared" si="63"/>
        <v>1.6950000000000001</v>
      </c>
      <c r="AQ489" s="1078" t="str">
        <f t="shared" si="64"/>
        <v>1-5-1S85°</v>
      </c>
      <c r="AR489" s="1078" t="str">
        <f t="shared" si="65"/>
        <v>NA</v>
      </c>
      <c r="AS489" s="1078" t="str">
        <f t="shared" si="66"/>
        <v>175/165</v>
      </c>
      <c r="AT489" s="1078" t="str">
        <f t="shared" si="67"/>
        <v>1-5-1S85°</v>
      </c>
      <c r="AV489" s="1078" t="str">
        <f t="shared" si="60"/>
        <v>111.10.6</v>
      </c>
      <c r="AW489" s="1344">
        <f t="shared" si="61"/>
        <v>44840</v>
      </c>
    </row>
    <row r="490" spans="1:49">
      <c r="A490" s="1077" t="s">
        <v>3200</v>
      </c>
      <c r="B490" s="1077" t="s">
        <v>3201</v>
      </c>
      <c r="C490" s="1077">
        <v>450</v>
      </c>
      <c r="D490" s="1077">
        <v>1.73</v>
      </c>
      <c r="E490" s="1077" t="s">
        <v>15089</v>
      </c>
      <c r="F490" s="1077" t="s">
        <v>954</v>
      </c>
      <c r="G490" s="1077" t="s">
        <v>1016</v>
      </c>
      <c r="H490" s="1077" t="s">
        <v>1274</v>
      </c>
      <c r="I490" s="1077" t="s">
        <v>942</v>
      </c>
      <c r="J490" s="1077">
        <v>1.2</v>
      </c>
      <c r="K490" s="1077" t="s">
        <v>3202</v>
      </c>
      <c r="L490" s="1077" t="s">
        <v>3203</v>
      </c>
      <c r="M490" s="1077">
        <v>72.5</v>
      </c>
      <c r="N490" s="1077" t="s">
        <v>945</v>
      </c>
      <c r="O490" s="1077">
        <v>1.8125</v>
      </c>
      <c r="P490" s="1077">
        <v>1.45</v>
      </c>
      <c r="Q490" s="1077">
        <v>3.5</v>
      </c>
      <c r="R490" s="1077">
        <v>23.5</v>
      </c>
      <c r="T490" s="1077">
        <v>14.5</v>
      </c>
      <c r="U490" s="1077">
        <v>3.9</v>
      </c>
      <c r="V490" s="1077" t="s">
        <v>648</v>
      </c>
      <c r="W490" s="1077">
        <v>165</v>
      </c>
      <c r="X490" s="1077">
        <v>80</v>
      </c>
      <c r="Y490" s="1077">
        <v>2.5</v>
      </c>
      <c r="Z490" s="1077">
        <v>4.5</v>
      </c>
      <c r="AA490" s="1077" t="s">
        <v>3204</v>
      </c>
      <c r="AH490" s="1077" t="s">
        <v>1600</v>
      </c>
      <c r="AM490" s="1078" t="s">
        <v>10024</v>
      </c>
      <c r="AN490" s="1078" t="s">
        <v>10025</v>
      </c>
      <c r="AO490" s="1078">
        <f t="shared" si="62"/>
        <v>450</v>
      </c>
      <c r="AP490" s="1078">
        <f t="shared" si="63"/>
        <v>1.73</v>
      </c>
      <c r="AQ490" s="1078" t="str">
        <f t="shared" si="64"/>
        <v>1-4-1S83°</v>
      </c>
      <c r="AR490" s="1078" t="str">
        <f t="shared" si="65"/>
        <v>31</v>
      </c>
      <c r="AS490" s="1078" t="str">
        <f t="shared" si="66"/>
        <v>210/210/OFF</v>
      </c>
      <c r="AT490" s="1078" t="str">
        <f t="shared" si="67"/>
        <v>1-4-1S83°</v>
      </c>
      <c r="AV490" s="1078" t="str">
        <f t="shared" si="60"/>
        <v>111.10.7</v>
      </c>
      <c r="AW490" s="1344">
        <f t="shared" si="61"/>
        <v>44841</v>
      </c>
    </row>
    <row r="491" spans="1:49">
      <c r="A491" s="1077" t="s">
        <v>3205</v>
      </c>
      <c r="B491" s="1077" t="s">
        <v>453</v>
      </c>
      <c r="C491" s="1077" t="s">
        <v>3206</v>
      </c>
      <c r="D491" s="1077">
        <v>1.7</v>
      </c>
      <c r="E491" s="1077" t="s">
        <v>15088</v>
      </c>
      <c r="F491" s="1077" t="s">
        <v>648</v>
      </c>
      <c r="G491" s="1077" t="s">
        <v>1767</v>
      </c>
      <c r="H491" s="1077" t="s">
        <v>2359</v>
      </c>
      <c r="I491" s="1077" t="s">
        <v>126</v>
      </c>
      <c r="J491" s="1077">
        <v>0.9</v>
      </c>
      <c r="K491" s="1077" t="s">
        <v>3207</v>
      </c>
      <c r="L491" s="1077" t="s">
        <v>1776</v>
      </c>
      <c r="M491" s="1077">
        <v>74.8</v>
      </c>
      <c r="N491" s="1077" t="s">
        <v>945</v>
      </c>
      <c r="O491" s="1077">
        <v>1.87</v>
      </c>
      <c r="P491" s="1077">
        <v>1.496</v>
      </c>
      <c r="Q491" s="1077">
        <v>3.5</v>
      </c>
      <c r="R491" s="1077">
        <v>21.5</v>
      </c>
      <c r="T491" s="1077">
        <v>18.600000000000001</v>
      </c>
      <c r="U491" s="1077">
        <v>3.5</v>
      </c>
      <c r="V491" s="1077" t="s">
        <v>648</v>
      </c>
      <c r="W491" s="1077">
        <v>105</v>
      </c>
      <c r="X491" s="1077">
        <v>80</v>
      </c>
      <c r="Y491" s="1077">
        <v>2</v>
      </c>
      <c r="Z491" s="1077">
        <v>4.5</v>
      </c>
      <c r="AA491" s="1077" t="s">
        <v>3208</v>
      </c>
      <c r="AB491" s="1077" t="s">
        <v>1520</v>
      </c>
      <c r="AH491" s="1077" t="s">
        <v>1178</v>
      </c>
      <c r="AM491" s="1078" t="s">
        <v>10026</v>
      </c>
      <c r="AN491" s="1078" t="s">
        <v>10027</v>
      </c>
      <c r="AO491" s="1078" t="str">
        <f t="shared" si="62"/>
        <v>600↑650-12/5</v>
      </c>
      <c r="AP491" s="1078">
        <f t="shared" si="63"/>
        <v>1.7</v>
      </c>
      <c r="AQ491" s="1078" t="str">
        <f t="shared" si="64"/>
        <v>1-4-1S85°</v>
      </c>
      <c r="AR491" s="1078" t="str">
        <f t="shared" si="65"/>
        <v>NA</v>
      </c>
      <c r="AS491" s="1078" t="str">
        <f t="shared" si="66"/>
        <v>174/OFF</v>
      </c>
      <c r="AT491" s="1078" t="str">
        <f t="shared" si="67"/>
        <v>1-4-1S85°</v>
      </c>
      <c r="AV491" s="1078" t="str">
        <f t="shared" si="60"/>
        <v>111.10.11</v>
      </c>
      <c r="AW491" s="1344">
        <f t="shared" si="61"/>
        <v>44845</v>
      </c>
    </row>
    <row r="492" spans="1:49">
      <c r="A492" s="1077" t="s">
        <v>3209</v>
      </c>
      <c r="B492" s="1077" t="s">
        <v>771</v>
      </c>
      <c r="C492" s="1077">
        <v>700</v>
      </c>
      <c r="D492" s="1077">
        <v>1.75</v>
      </c>
      <c r="E492" s="1077" t="s">
        <v>15090</v>
      </c>
      <c r="F492" s="1077" t="s">
        <v>648</v>
      </c>
      <c r="G492" s="1077">
        <v>5</v>
      </c>
      <c r="H492" s="1077" t="s">
        <v>1936</v>
      </c>
      <c r="I492" s="1077" t="s">
        <v>126</v>
      </c>
      <c r="J492" s="1077">
        <v>1.2</v>
      </c>
      <c r="K492" s="1077" t="s">
        <v>3189</v>
      </c>
      <c r="L492" s="1077" t="s">
        <v>1913</v>
      </c>
      <c r="M492" s="1077">
        <v>75</v>
      </c>
      <c r="N492" s="1077" t="s">
        <v>945</v>
      </c>
      <c r="O492" s="1077">
        <v>1.875</v>
      </c>
      <c r="P492" s="1077">
        <v>1.5</v>
      </c>
      <c r="Q492" s="1077">
        <v>4</v>
      </c>
      <c r="R492" s="1077">
        <v>23</v>
      </c>
      <c r="T492" s="1077">
        <v>26.5</v>
      </c>
      <c r="U492" s="1077">
        <v>3.8</v>
      </c>
      <c r="V492" s="1077" t="s">
        <v>648</v>
      </c>
      <c r="W492" s="1077">
        <v>100</v>
      </c>
      <c r="X492" s="1077">
        <v>45</v>
      </c>
      <c r="Y492" s="1077">
        <v>1.6</v>
      </c>
      <c r="Z492" s="1077">
        <v>5</v>
      </c>
      <c r="AA492" s="1077" t="s">
        <v>3208</v>
      </c>
      <c r="AH492" s="1077" t="s">
        <v>1023</v>
      </c>
      <c r="AM492" s="1078" t="s">
        <v>10028</v>
      </c>
      <c r="AN492" s="1078" t="s">
        <v>10029</v>
      </c>
      <c r="AO492" s="1078">
        <f t="shared" si="62"/>
        <v>700</v>
      </c>
      <c r="AP492" s="1078">
        <f t="shared" si="63"/>
        <v>1.75</v>
      </c>
      <c r="AQ492" s="1078" t="str">
        <f t="shared" si="64"/>
        <v>1-5-1S85°</v>
      </c>
      <c r="AR492" s="1078" t="str">
        <f t="shared" si="65"/>
        <v>NA</v>
      </c>
      <c r="AS492" s="1078" t="str">
        <f t="shared" si="66"/>
        <v>175/OFF</v>
      </c>
      <c r="AT492" s="1078" t="str">
        <f t="shared" si="67"/>
        <v>1-5-1S85°</v>
      </c>
      <c r="AV492" s="1078" t="str">
        <f t="shared" si="60"/>
        <v>111.10.11</v>
      </c>
      <c r="AW492" s="1344">
        <f t="shared" si="61"/>
        <v>44845</v>
      </c>
    </row>
    <row r="493" spans="1:49">
      <c r="A493" s="1077" t="s">
        <v>3210</v>
      </c>
      <c r="B493" s="1077" t="s">
        <v>1815</v>
      </c>
      <c r="C493" s="1077">
        <v>650</v>
      </c>
      <c r="D493" s="1077">
        <v>1.72</v>
      </c>
      <c r="E493" s="1077" t="s">
        <v>15102</v>
      </c>
      <c r="F493" s="1077" t="s">
        <v>954</v>
      </c>
      <c r="G493" s="1077" t="s">
        <v>1767</v>
      </c>
      <c r="H493" s="1077" t="s">
        <v>1166</v>
      </c>
      <c r="I493" s="1077" t="s">
        <v>1112</v>
      </c>
      <c r="J493" s="1077">
        <v>1</v>
      </c>
      <c r="K493" s="1077" t="s">
        <v>3128</v>
      </c>
      <c r="L493" s="1077" t="s">
        <v>1817</v>
      </c>
      <c r="M493" s="1077">
        <v>75.099999999999994</v>
      </c>
      <c r="N493" s="1077" t="s">
        <v>945</v>
      </c>
      <c r="O493" s="1077">
        <v>1.8774999999999999</v>
      </c>
      <c r="P493" s="1077">
        <v>1.502</v>
      </c>
      <c r="Q493" s="1077">
        <v>4</v>
      </c>
      <c r="R493" s="1077">
        <v>19</v>
      </c>
      <c r="T493" s="1077">
        <v>21</v>
      </c>
      <c r="U493" s="1077">
        <v>3.5</v>
      </c>
      <c r="V493" s="1077" t="s">
        <v>648</v>
      </c>
      <c r="W493" s="1077">
        <v>110</v>
      </c>
      <c r="X493" s="1077" t="s">
        <v>2650</v>
      </c>
      <c r="Y493" s="1077">
        <v>1.6</v>
      </c>
      <c r="Z493" s="1077">
        <v>4</v>
      </c>
      <c r="AA493" s="1077" t="s">
        <v>3211</v>
      </c>
      <c r="AB493" s="1077" t="s">
        <v>981</v>
      </c>
      <c r="AH493" s="1077" t="s">
        <v>723</v>
      </c>
      <c r="AM493" s="1078" t="s">
        <v>10030</v>
      </c>
      <c r="AN493" s="1078" t="s">
        <v>10031</v>
      </c>
      <c r="AO493" s="1078">
        <f t="shared" si="62"/>
        <v>650</v>
      </c>
      <c r="AP493" s="1078">
        <f t="shared" si="63"/>
        <v>1.72</v>
      </c>
      <c r="AQ493" s="1078" t="str">
        <f t="shared" si="64"/>
        <v>2-6-1S83°</v>
      </c>
      <c r="AR493" s="1078" t="str">
        <f t="shared" si="65"/>
        <v>31</v>
      </c>
      <c r="AS493" s="1078" t="str">
        <f t="shared" si="66"/>
        <v>170/OFF</v>
      </c>
      <c r="AT493" s="1078" t="str">
        <f t="shared" si="67"/>
        <v>2-6-1S83°</v>
      </c>
      <c r="AV493" s="1078" t="str">
        <f t="shared" si="60"/>
        <v>111.10.13</v>
      </c>
      <c r="AW493" s="1344">
        <f t="shared" si="61"/>
        <v>44847</v>
      </c>
    </row>
    <row r="494" spans="1:49">
      <c r="A494" s="1077" t="s">
        <v>3212</v>
      </c>
      <c r="B494" s="1077" t="s">
        <v>840</v>
      </c>
      <c r="C494" s="1077">
        <v>650</v>
      </c>
      <c r="D494" s="1077">
        <v>1.8</v>
      </c>
      <c r="E494" s="1077" t="s">
        <v>15095</v>
      </c>
      <c r="F494" s="1077" t="s">
        <v>984</v>
      </c>
      <c r="G494" s="1077" t="s">
        <v>940</v>
      </c>
      <c r="H494" s="1077" t="s">
        <v>1290</v>
      </c>
      <c r="I494" s="1077" t="s">
        <v>126</v>
      </c>
      <c r="J494" s="1077">
        <v>1.4</v>
      </c>
      <c r="K494" s="1077" t="s">
        <v>2376</v>
      </c>
      <c r="L494" s="1077" t="s">
        <v>1780</v>
      </c>
      <c r="M494" s="1077">
        <v>75.400000000000006</v>
      </c>
      <c r="N494" s="1077" t="s">
        <v>945</v>
      </c>
      <c r="O494" s="1077">
        <v>1.8850000000000002</v>
      </c>
      <c r="P494" s="1077">
        <v>1.5080000000000002</v>
      </c>
      <c r="Q494" s="1077">
        <v>3</v>
      </c>
      <c r="R494" s="1077">
        <v>24</v>
      </c>
      <c r="T494" s="1077">
        <v>18</v>
      </c>
      <c r="U494" s="1077">
        <v>6</v>
      </c>
      <c r="V494" s="1077" t="s">
        <v>648</v>
      </c>
      <c r="W494" s="1077">
        <v>120</v>
      </c>
      <c r="X494" s="1077">
        <v>80</v>
      </c>
      <c r="Y494" s="1077">
        <v>2</v>
      </c>
      <c r="Z494" s="1077">
        <v>6</v>
      </c>
      <c r="AA494" s="1077" t="s">
        <v>3211</v>
      </c>
      <c r="AH494" s="1077" t="s">
        <v>3213</v>
      </c>
      <c r="AM494" s="1078" t="s">
        <v>10032</v>
      </c>
      <c r="AN494" s="1078" t="s">
        <v>10033</v>
      </c>
      <c r="AO494" s="1078">
        <f t="shared" si="62"/>
        <v>650</v>
      </c>
      <c r="AP494" s="1078">
        <f t="shared" si="63"/>
        <v>1.8</v>
      </c>
      <c r="AQ494" s="1078" t="str">
        <f t="shared" si="64"/>
        <v>1-5-1S83°</v>
      </c>
      <c r="AR494" s="1078" t="str">
        <f t="shared" si="65"/>
        <v>30</v>
      </c>
      <c r="AS494" s="1078" t="str">
        <f t="shared" si="66"/>
        <v>220/220/OFF</v>
      </c>
      <c r="AT494" s="1078" t="str">
        <f t="shared" si="67"/>
        <v>1-5-1S83°</v>
      </c>
      <c r="AV494" s="1078" t="str">
        <f t="shared" si="60"/>
        <v>111.10.13</v>
      </c>
      <c r="AW494" s="1344">
        <f t="shared" si="61"/>
        <v>44847</v>
      </c>
    </row>
    <row r="495" spans="1:49">
      <c r="A495" s="1077" t="s">
        <v>3214</v>
      </c>
      <c r="B495" s="1077" t="s">
        <v>1783</v>
      </c>
      <c r="C495" s="1077">
        <v>500</v>
      </c>
      <c r="D495" s="1077">
        <v>1.675</v>
      </c>
      <c r="E495" s="1077" t="s">
        <v>15089</v>
      </c>
      <c r="F495" s="1077" t="s">
        <v>2001</v>
      </c>
      <c r="G495" s="1077" t="s">
        <v>1784</v>
      </c>
      <c r="H495" s="1077" t="s">
        <v>1155</v>
      </c>
      <c r="I495" s="1077" t="s">
        <v>126</v>
      </c>
      <c r="J495" s="1077">
        <v>0.3</v>
      </c>
      <c r="K495" s="1077" t="s">
        <v>2238</v>
      </c>
      <c r="L495" s="1077" t="s">
        <v>1787</v>
      </c>
      <c r="M495" s="1077">
        <v>76.099999999999994</v>
      </c>
      <c r="N495" s="1077" t="s">
        <v>945</v>
      </c>
      <c r="O495" s="1077">
        <v>1.9024999999999999</v>
      </c>
      <c r="P495" s="1077">
        <v>1.522</v>
      </c>
      <c r="Q495" s="1077">
        <v>4</v>
      </c>
      <c r="R495" s="1077">
        <v>21</v>
      </c>
      <c r="T495" s="1077">
        <v>13</v>
      </c>
      <c r="U495" s="1077">
        <v>4</v>
      </c>
      <c r="V495" s="1077" t="s">
        <v>648</v>
      </c>
      <c r="W495" s="1077">
        <v>30</v>
      </c>
      <c r="X495" s="1077">
        <v>10</v>
      </c>
      <c r="Y495" s="1077">
        <v>2.5</v>
      </c>
      <c r="Z495" s="1077">
        <v>2</v>
      </c>
      <c r="AA495" s="1077" t="s">
        <v>3215</v>
      </c>
      <c r="AH495" s="1077" t="s">
        <v>758</v>
      </c>
      <c r="AM495" s="1078" t="s">
        <v>10034</v>
      </c>
      <c r="AN495" s="1078" t="s">
        <v>10035</v>
      </c>
      <c r="AO495" s="1078">
        <f t="shared" si="62"/>
        <v>500</v>
      </c>
      <c r="AP495" s="1078">
        <f t="shared" si="63"/>
        <v>1.675</v>
      </c>
      <c r="AQ495" s="1078" t="str">
        <f t="shared" si="64"/>
        <v>1-4-1S83°</v>
      </c>
      <c r="AR495" s="1078" t="str">
        <f t="shared" si="65"/>
        <v>29.9</v>
      </c>
      <c r="AS495" s="1078" t="str">
        <f t="shared" si="66"/>
        <v>215/215/OFF</v>
      </c>
      <c r="AT495" s="1078" t="str">
        <f t="shared" si="67"/>
        <v>1-4-1S83°</v>
      </c>
      <c r="AV495" s="1078" t="str">
        <f t="shared" si="60"/>
        <v>111.10.18</v>
      </c>
      <c r="AW495" s="1344">
        <f t="shared" si="61"/>
        <v>44852</v>
      </c>
    </row>
    <row r="496" spans="1:49">
      <c r="A496" s="1077" t="s">
        <v>3216</v>
      </c>
      <c r="B496" s="1077" t="s">
        <v>1858</v>
      </c>
      <c r="C496" s="1077">
        <v>620</v>
      </c>
      <c r="D496" s="1077">
        <v>1.69</v>
      </c>
      <c r="E496" s="1077" t="s">
        <v>15089</v>
      </c>
      <c r="F496" s="1077" t="s">
        <v>975</v>
      </c>
      <c r="G496" s="1077" t="s">
        <v>1867</v>
      </c>
      <c r="H496" s="1077" t="s">
        <v>1226</v>
      </c>
      <c r="I496" s="1077" t="s">
        <v>126</v>
      </c>
      <c r="J496" s="1077">
        <v>0.8</v>
      </c>
      <c r="K496" s="1077" t="s">
        <v>3217</v>
      </c>
      <c r="L496" s="1077" t="s">
        <v>1860</v>
      </c>
      <c r="M496" s="1077">
        <v>74</v>
      </c>
      <c r="N496" s="1077" t="s">
        <v>945</v>
      </c>
      <c r="O496" s="1077">
        <v>1.85</v>
      </c>
      <c r="P496" s="1077">
        <v>1.48</v>
      </c>
      <c r="Q496" s="1077">
        <v>3</v>
      </c>
      <c r="R496" s="1077">
        <v>26</v>
      </c>
      <c r="T496" s="1077">
        <v>13.8</v>
      </c>
      <c r="U496" s="1077">
        <v>5.0999999999999996</v>
      </c>
      <c r="V496" s="1077" t="s">
        <v>648</v>
      </c>
      <c r="W496" s="1077">
        <v>100</v>
      </c>
      <c r="X496" s="1077">
        <v>60</v>
      </c>
      <c r="Y496" s="1077">
        <v>1.8</v>
      </c>
      <c r="Z496" s="1077">
        <v>4</v>
      </c>
      <c r="AA496" s="1077" t="s">
        <v>3218</v>
      </c>
      <c r="AH496" s="1077" t="s">
        <v>813</v>
      </c>
      <c r="AM496" s="1078" t="s">
        <v>10036</v>
      </c>
      <c r="AN496" s="1078" t="s">
        <v>10037</v>
      </c>
      <c r="AO496" s="1078">
        <f t="shared" si="62"/>
        <v>620</v>
      </c>
      <c r="AP496" s="1078">
        <f t="shared" si="63"/>
        <v>1.69</v>
      </c>
      <c r="AQ496" s="1078" t="str">
        <f t="shared" si="64"/>
        <v>1-4-1S83°</v>
      </c>
      <c r="AR496" s="1078" t="str">
        <f t="shared" si="65"/>
        <v>31.5</v>
      </c>
      <c r="AS496" s="1078" t="str">
        <f t="shared" si="66"/>
        <v>230/230/OFF</v>
      </c>
      <c r="AT496" s="1078" t="str">
        <f t="shared" si="67"/>
        <v>1-4-1S83°</v>
      </c>
      <c r="AV496" s="1078" t="str">
        <f t="shared" si="60"/>
        <v>111.10.20</v>
      </c>
      <c r="AW496" s="1344">
        <f t="shared" si="61"/>
        <v>44854</v>
      </c>
    </row>
    <row r="497" spans="1:49">
      <c r="A497" s="1077" t="s">
        <v>3219</v>
      </c>
      <c r="B497" s="1077" t="s">
        <v>1899</v>
      </c>
      <c r="C497" s="1077">
        <v>600</v>
      </c>
      <c r="D497" s="1077">
        <v>1.7</v>
      </c>
      <c r="E497" s="1077" t="s">
        <v>15095</v>
      </c>
      <c r="F497" s="1077" t="s">
        <v>954</v>
      </c>
      <c r="G497" s="1077" t="s">
        <v>940</v>
      </c>
      <c r="H497" s="1077" t="s">
        <v>1226</v>
      </c>
      <c r="I497" s="1077" t="s">
        <v>126</v>
      </c>
      <c r="J497" s="1077">
        <v>1.4</v>
      </c>
      <c r="K497" s="1077" t="s">
        <v>3220</v>
      </c>
      <c r="L497" s="1077" t="s">
        <v>1924</v>
      </c>
      <c r="M497" s="1077">
        <v>75.400000000000006</v>
      </c>
      <c r="N497" s="1077" t="s">
        <v>945</v>
      </c>
      <c r="O497" s="1077">
        <v>1.8850000000000002</v>
      </c>
      <c r="P497" s="1077">
        <v>1.5080000000000002</v>
      </c>
      <c r="Q497" s="1077">
        <v>3</v>
      </c>
      <c r="R497" s="1077">
        <v>29</v>
      </c>
      <c r="T497" s="1077">
        <v>18</v>
      </c>
      <c r="U497" s="1077">
        <v>6</v>
      </c>
      <c r="V497" s="1077" t="s">
        <v>648</v>
      </c>
      <c r="W497" s="1077">
        <v>120</v>
      </c>
      <c r="X497" s="1077">
        <v>80</v>
      </c>
      <c r="Y497" s="1077">
        <v>2</v>
      </c>
      <c r="Z497" s="1077">
        <v>6</v>
      </c>
      <c r="AA497" s="1077" t="s">
        <v>3221</v>
      </c>
      <c r="AH497" s="1077" t="s">
        <v>878</v>
      </c>
      <c r="AM497" s="1078" t="s">
        <v>10038</v>
      </c>
      <c r="AN497" s="1078" t="s">
        <v>10039</v>
      </c>
      <c r="AO497" s="1078">
        <f t="shared" si="62"/>
        <v>600</v>
      </c>
      <c r="AP497" s="1078">
        <f t="shared" si="63"/>
        <v>1.7</v>
      </c>
      <c r="AQ497" s="1078" t="str">
        <f t="shared" si="64"/>
        <v>1-5-1S83°</v>
      </c>
      <c r="AR497" s="1078" t="str">
        <f t="shared" si="65"/>
        <v>31</v>
      </c>
      <c r="AS497" s="1078" t="str">
        <f t="shared" si="66"/>
        <v>230/230/OFF</v>
      </c>
      <c r="AT497" s="1078" t="str">
        <f t="shared" si="67"/>
        <v>1-5-1S83°</v>
      </c>
      <c r="AV497" s="1078" t="str">
        <f t="shared" si="60"/>
        <v>111.10.24</v>
      </c>
      <c r="AW497" s="1344">
        <f t="shared" si="61"/>
        <v>44858</v>
      </c>
    </row>
    <row r="498" spans="1:49">
      <c r="A498" s="1077" t="s">
        <v>3222</v>
      </c>
      <c r="B498" s="1077" t="s">
        <v>424</v>
      </c>
      <c r="C498" s="1077">
        <v>750</v>
      </c>
      <c r="D498" s="1077">
        <v>1.78</v>
      </c>
      <c r="E498" s="1077" t="s">
        <v>15089</v>
      </c>
      <c r="F498" s="1077" t="s">
        <v>954</v>
      </c>
      <c r="G498" s="1077" t="s">
        <v>1767</v>
      </c>
      <c r="H498" s="1077" t="s">
        <v>2192</v>
      </c>
      <c r="I498" s="1077" t="s">
        <v>1112</v>
      </c>
      <c r="J498" s="1077">
        <v>1.6</v>
      </c>
      <c r="K498" s="1077" t="s">
        <v>2389</v>
      </c>
      <c r="L498" s="1077" t="s">
        <v>1938</v>
      </c>
      <c r="M498" s="1077">
        <v>73</v>
      </c>
      <c r="N498" s="1077" t="s">
        <v>945</v>
      </c>
      <c r="O498" s="1077">
        <v>1.8250000000000002</v>
      </c>
      <c r="P498" s="1077">
        <v>1.46</v>
      </c>
      <c r="Q498" s="1077" t="s">
        <v>1037</v>
      </c>
      <c r="R498" s="1077">
        <v>21.6</v>
      </c>
      <c r="T498" s="1077">
        <v>32</v>
      </c>
      <c r="U498" s="1077">
        <v>3.5</v>
      </c>
      <c r="V498" s="1077" t="s">
        <v>648</v>
      </c>
      <c r="W498" s="1077">
        <v>110</v>
      </c>
      <c r="X498" s="1077">
        <v>60</v>
      </c>
      <c r="Y498" s="1077">
        <v>1.5</v>
      </c>
      <c r="Z498" s="1077" t="s">
        <v>3223</v>
      </c>
      <c r="AA498" s="1077" t="s">
        <v>3021</v>
      </c>
      <c r="AH498" s="1077" t="s">
        <v>1267</v>
      </c>
      <c r="AM498" s="1078" t="s">
        <v>10040</v>
      </c>
      <c r="AN498" s="1078" t="s">
        <v>10041</v>
      </c>
      <c r="AO498" s="1078">
        <f t="shared" si="62"/>
        <v>750</v>
      </c>
      <c r="AP498" s="1078">
        <f t="shared" si="63"/>
        <v>1.78</v>
      </c>
      <c r="AQ498" s="1078" t="str">
        <f t="shared" si="64"/>
        <v>1-4-1S83°</v>
      </c>
      <c r="AR498" s="1078" t="str">
        <f t="shared" si="65"/>
        <v>31</v>
      </c>
      <c r="AS498" s="1078" t="str">
        <f t="shared" si="66"/>
        <v>180/OFF</v>
      </c>
      <c r="AT498" s="1078" t="str">
        <f t="shared" si="67"/>
        <v>1-4-1S83°</v>
      </c>
      <c r="AV498" s="1078" t="str">
        <f t="shared" si="60"/>
        <v>109.8.19</v>
      </c>
      <c r="AW498" s="1344">
        <f t="shared" si="61"/>
        <v>44062</v>
      </c>
    </row>
    <row r="499" spans="1:49">
      <c r="A499" s="1077" t="s">
        <v>3224</v>
      </c>
      <c r="B499" s="1077" t="s">
        <v>424</v>
      </c>
      <c r="C499" s="1077">
        <v>800</v>
      </c>
      <c r="D499" s="1077">
        <v>1.77</v>
      </c>
      <c r="E499" s="1077" t="s">
        <v>15089</v>
      </c>
      <c r="F499" s="1077" t="s">
        <v>954</v>
      </c>
      <c r="G499" s="1077" t="s">
        <v>1767</v>
      </c>
      <c r="H499" s="1077" t="s">
        <v>2540</v>
      </c>
      <c r="I499" s="1077" t="s">
        <v>126</v>
      </c>
      <c r="J499" s="1077">
        <v>1.7</v>
      </c>
      <c r="K499" s="1077" t="s">
        <v>2827</v>
      </c>
      <c r="L499" s="1077" t="s">
        <v>1938</v>
      </c>
      <c r="M499" s="1077">
        <v>73</v>
      </c>
      <c r="N499" s="1077" t="s">
        <v>945</v>
      </c>
      <c r="O499" s="1077">
        <v>1.8250000000000002</v>
      </c>
      <c r="P499" s="1077">
        <v>1.46</v>
      </c>
      <c r="Q499" s="1077" t="s">
        <v>946</v>
      </c>
      <c r="R499" s="1077">
        <v>21.6</v>
      </c>
      <c r="T499" s="1077">
        <v>32</v>
      </c>
      <c r="U499" s="1077">
        <v>3.5</v>
      </c>
      <c r="V499" s="1077" t="s">
        <v>648</v>
      </c>
      <c r="W499" s="1077">
        <v>110</v>
      </c>
      <c r="X499" s="1077" t="s">
        <v>2395</v>
      </c>
      <c r="Y499" s="1077">
        <v>1.5</v>
      </c>
      <c r="Z499" s="1077">
        <v>5.5</v>
      </c>
      <c r="AA499" s="1077" t="s">
        <v>3225</v>
      </c>
      <c r="AB499" s="1077" t="s">
        <v>981</v>
      </c>
      <c r="AH499" s="1077" t="s">
        <v>998</v>
      </c>
      <c r="AM499" s="1078" t="s">
        <v>10042</v>
      </c>
      <c r="AN499" s="1078" t="s">
        <v>10043</v>
      </c>
      <c r="AO499" s="1078">
        <f t="shared" si="62"/>
        <v>800</v>
      </c>
      <c r="AP499" s="1078">
        <f t="shared" si="63"/>
        <v>1.77</v>
      </c>
      <c r="AQ499" s="1078" t="str">
        <f t="shared" si="64"/>
        <v>1-4-1S83°</v>
      </c>
      <c r="AR499" s="1078" t="str">
        <f t="shared" si="65"/>
        <v>31</v>
      </c>
      <c r="AS499" s="1078" t="str">
        <f t="shared" si="66"/>
        <v>300/300/OFF</v>
      </c>
      <c r="AT499" s="1078" t="str">
        <f t="shared" si="67"/>
        <v>1-4-1S83°</v>
      </c>
      <c r="AV499" s="1078" t="str">
        <f t="shared" si="60"/>
        <v>109.8.31</v>
      </c>
      <c r="AW499" s="1344">
        <f t="shared" si="61"/>
        <v>44074</v>
      </c>
    </row>
    <row r="500" spans="1:49">
      <c r="A500" s="1077" t="s">
        <v>3226</v>
      </c>
      <c r="B500" s="1077" t="s">
        <v>424</v>
      </c>
      <c r="C500" s="1077">
        <v>700</v>
      </c>
      <c r="D500" s="1077">
        <v>1.7649999999999999</v>
      </c>
      <c r="E500" s="1077" t="s">
        <v>15089</v>
      </c>
      <c r="F500" s="1077" t="s">
        <v>1897</v>
      </c>
      <c r="G500" s="1077" t="s">
        <v>1767</v>
      </c>
      <c r="H500" s="1077" t="s">
        <v>3227</v>
      </c>
      <c r="I500" s="1077" t="s">
        <v>626</v>
      </c>
      <c r="J500" s="1077">
        <v>4</v>
      </c>
      <c r="K500" s="1077" t="s">
        <v>2827</v>
      </c>
      <c r="L500" s="1077" t="s">
        <v>1938</v>
      </c>
      <c r="M500" s="1077">
        <v>75.599999999999994</v>
      </c>
      <c r="N500" s="1077" t="s">
        <v>945</v>
      </c>
      <c r="O500" s="1077">
        <v>1.89</v>
      </c>
      <c r="P500" s="1077">
        <v>1.512</v>
      </c>
      <c r="Q500" s="1077" t="s">
        <v>2422</v>
      </c>
      <c r="R500" s="1077">
        <v>18.600000000000001</v>
      </c>
      <c r="T500" s="1077">
        <v>18.8</v>
      </c>
      <c r="U500" s="1077">
        <v>2.9</v>
      </c>
      <c r="V500" s="1077" t="s">
        <v>648</v>
      </c>
      <c r="W500" s="1077">
        <v>150</v>
      </c>
      <c r="X500" s="1077" t="s">
        <v>2402</v>
      </c>
      <c r="Y500" s="1077" t="s">
        <v>2445</v>
      </c>
      <c r="Z500" s="1077">
        <v>4</v>
      </c>
      <c r="AA500" s="1077" t="s">
        <v>3228</v>
      </c>
      <c r="AB500" s="1077" t="s">
        <v>981</v>
      </c>
      <c r="AH500" s="1077" t="s">
        <v>877</v>
      </c>
      <c r="AM500" s="1078" t="s">
        <v>10044</v>
      </c>
      <c r="AN500" s="1078" t="s">
        <v>10045</v>
      </c>
      <c r="AO500" s="1078">
        <f t="shared" si="62"/>
        <v>700</v>
      </c>
      <c r="AP500" s="1078">
        <f t="shared" si="63"/>
        <v>1.7649999999999999</v>
      </c>
      <c r="AQ500" s="1078" t="str">
        <f t="shared" si="64"/>
        <v>1-4-1S83°</v>
      </c>
      <c r="AR500" s="1078" t="str">
        <f t="shared" si="65"/>
        <v>30.8</v>
      </c>
      <c r="AS500" s="1078" t="str">
        <f t="shared" si="66"/>
        <v>285/285/149</v>
      </c>
      <c r="AT500" s="1078" t="str">
        <f t="shared" si="67"/>
        <v>1-4-1S83°</v>
      </c>
      <c r="AV500" s="1078" t="str">
        <f t="shared" si="60"/>
        <v>109.9.7</v>
      </c>
      <c r="AW500" s="1344">
        <f t="shared" si="61"/>
        <v>44081</v>
      </c>
    </row>
    <row r="501" spans="1:49">
      <c r="A501" s="1077" t="s">
        <v>3229</v>
      </c>
      <c r="B501" s="1077" t="s">
        <v>424</v>
      </c>
      <c r="C501" s="1077">
        <v>700</v>
      </c>
      <c r="D501" s="1077">
        <v>1.7649999999999999</v>
      </c>
      <c r="E501" s="1077" t="s">
        <v>15089</v>
      </c>
      <c r="F501" s="1077" t="s">
        <v>1897</v>
      </c>
      <c r="G501" s="1077" t="s">
        <v>1767</v>
      </c>
      <c r="H501" s="1077" t="s">
        <v>3227</v>
      </c>
      <c r="I501" s="1077" t="s">
        <v>626</v>
      </c>
      <c r="J501" s="1077">
        <v>4</v>
      </c>
      <c r="K501" s="1077" t="s">
        <v>2827</v>
      </c>
      <c r="L501" s="1077" t="s">
        <v>1938</v>
      </c>
      <c r="M501" s="1077">
        <v>75.599999999999994</v>
      </c>
      <c r="N501" s="1077" t="s">
        <v>945</v>
      </c>
      <c r="O501" s="1077">
        <v>1.89</v>
      </c>
      <c r="P501" s="1077">
        <v>1.512</v>
      </c>
      <c r="Q501" s="1077" t="s">
        <v>2422</v>
      </c>
      <c r="R501" s="1077">
        <v>18.600000000000001</v>
      </c>
      <c r="T501" s="1077">
        <v>18.8</v>
      </c>
      <c r="U501" s="1077">
        <v>2.9</v>
      </c>
      <c r="V501" s="1077" t="s">
        <v>648</v>
      </c>
      <c r="W501" s="1077">
        <v>150</v>
      </c>
      <c r="X501" s="1077" t="s">
        <v>2402</v>
      </c>
      <c r="Y501" s="1077" t="s">
        <v>3230</v>
      </c>
      <c r="Z501" s="1077">
        <v>4</v>
      </c>
      <c r="AA501" s="1077" t="s">
        <v>3231</v>
      </c>
      <c r="AB501" s="1077" t="s">
        <v>981</v>
      </c>
      <c r="AH501" s="1077" t="s">
        <v>813</v>
      </c>
      <c r="AM501" s="1078" t="s">
        <v>10046</v>
      </c>
      <c r="AN501" s="1078" t="s">
        <v>10047</v>
      </c>
      <c r="AO501" s="1078">
        <f t="shared" si="62"/>
        <v>700</v>
      </c>
      <c r="AP501" s="1078">
        <f t="shared" si="63"/>
        <v>1.7649999999999999</v>
      </c>
      <c r="AQ501" s="1078" t="str">
        <f t="shared" si="64"/>
        <v>1-4-1S83°</v>
      </c>
      <c r="AR501" s="1078" t="str">
        <f t="shared" si="65"/>
        <v>30.8</v>
      </c>
      <c r="AS501" s="1078" t="str">
        <f t="shared" si="66"/>
        <v>285/285/149</v>
      </c>
      <c r="AT501" s="1078" t="str">
        <f t="shared" si="67"/>
        <v>1-4-1S83°</v>
      </c>
      <c r="AV501" s="1078" t="str">
        <f t="shared" si="60"/>
        <v>109.9.11</v>
      </c>
      <c r="AW501" s="1344">
        <f t="shared" si="61"/>
        <v>44085</v>
      </c>
    </row>
    <row r="502" spans="1:49">
      <c r="A502" s="1077" t="s">
        <v>3232</v>
      </c>
      <c r="B502" s="1077" t="s">
        <v>424</v>
      </c>
      <c r="C502" s="1077">
        <v>700</v>
      </c>
      <c r="D502" s="1077">
        <v>1.7649999999999999</v>
      </c>
      <c r="E502" s="1077" t="s">
        <v>15089</v>
      </c>
      <c r="F502" s="1077" t="s">
        <v>1897</v>
      </c>
      <c r="G502" s="1077" t="s">
        <v>1767</v>
      </c>
      <c r="H502" s="1077" t="s">
        <v>3227</v>
      </c>
      <c r="I502" s="1077" t="s">
        <v>626</v>
      </c>
      <c r="J502" s="1077">
        <v>4</v>
      </c>
      <c r="K502" s="1077" t="s">
        <v>2827</v>
      </c>
      <c r="L502" s="1077" t="s">
        <v>1938</v>
      </c>
      <c r="M502" s="1077">
        <v>75.599999999999994</v>
      </c>
      <c r="N502" s="1077" t="s">
        <v>945</v>
      </c>
      <c r="O502" s="1077">
        <v>1.89</v>
      </c>
      <c r="P502" s="1077">
        <v>1.512</v>
      </c>
      <c r="Q502" s="1077" t="s">
        <v>2401</v>
      </c>
      <c r="R502" s="1077">
        <v>18.600000000000001</v>
      </c>
      <c r="T502" s="1077">
        <v>18.8</v>
      </c>
      <c r="U502" s="1077">
        <v>2.9</v>
      </c>
      <c r="V502" s="1077" t="s">
        <v>648</v>
      </c>
      <c r="W502" s="1077">
        <v>150</v>
      </c>
      <c r="X502" s="1077" t="s">
        <v>2402</v>
      </c>
      <c r="Y502" s="1077">
        <v>2.1</v>
      </c>
      <c r="Z502" s="1077" t="s">
        <v>1192</v>
      </c>
      <c r="AA502" s="1077" t="s">
        <v>3087</v>
      </c>
      <c r="AB502" s="1077" t="s">
        <v>981</v>
      </c>
      <c r="AH502" s="1077" t="s">
        <v>482</v>
      </c>
      <c r="AM502" s="1078" t="s">
        <v>10048</v>
      </c>
      <c r="AN502" s="1078" t="s">
        <v>10049</v>
      </c>
      <c r="AO502" s="1078">
        <f t="shared" si="62"/>
        <v>700</v>
      </c>
      <c r="AP502" s="1078">
        <f t="shared" si="63"/>
        <v>1.7649999999999999</v>
      </c>
      <c r="AQ502" s="1078" t="str">
        <f t="shared" si="64"/>
        <v>1-4-1S83°</v>
      </c>
      <c r="AR502" s="1078" t="str">
        <f t="shared" si="65"/>
        <v>30.8</v>
      </c>
      <c r="AS502" s="1078" t="str">
        <f t="shared" si="66"/>
        <v>285/285/149</v>
      </c>
      <c r="AT502" s="1078" t="str">
        <f t="shared" si="67"/>
        <v>1-4-1S83°</v>
      </c>
      <c r="AV502" s="1078" t="str">
        <f t="shared" si="60"/>
        <v>109.10.30</v>
      </c>
      <c r="AW502" s="1344">
        <f t="shared" si="61"/>
        <v>44134</v>
      </c>
    </row>
    <row r="503" spans="1:49">
      <c r="A503" s="1077" t="s">
        <v>3233</v>
      </c>
      <c r="B503" s="1077" t="s">
        <v>424</v>
      </c>
      <c r="C503" s="1077">
        <v>700</v>
      </c>
      <c r="D503" s="1077">
        <v>1.7649999999999999</v>
      </c>
      <c r="E503" s="1077" t="s">
        <v>15089</v>
      </c>
      <c r="F503" s="1077" t="s">
        <v>1897</v>
      </c>
      <c r="G503" s="1077" t="s">
        <v>1767</v>
      </c>
      <c r="H503" s="1077" t="s">
        <v>3227</v>
      </c>
      <c r="I503" s="1077" t="s">
        <v>626</v>
      </c>
      <c r="J503" s="1077">
        <v>4</v>
      </c>
      <c r="K503" s="1077" t="s">
        <v>3234</v>
      </c>
      <c r="L503" s="1077" t="s">
        <v>1938</v>
      </c>
      <c r="M503" s="1077">
        <v>75.599999999999994</v>
      </c>
      <c r="N503" s="1077" t="s">
        <v>945</v>
      </c>
      <c r="O503" s="1077">
        <v>1.89</v>
      </c>
      <c r="P503" s="1077">
        <v>1.512</v>
      </c>
      <c r="Q503" s="1077" t="s">
        <v>2401</v>
      </c>
      <c r="R503" s="1077">
        <v>18.600000000000001</v>
      </c>
      <c r="T503" s="1077">
        <v>18.8</v>
      </c>
      <c r="U503" s="1077">
        <v>2.9</v>
      </c>
      <c r="V503" s="1077" t="s">
        <v>648</v>
      </c>
      <c r="W503" s="1077">
        <v>150</v>
      </c>
      <c r="X503" s="1077" t="s">
        <v>2402</v>
      </c>
      <c r="Y503" s="1077">
        <v>2.1</v>
      </c>
      <c r="Z503" s="1077">
        <v>4</v>
      </c>
      <c r="AA503" s="1077" t="s">
        <v>2455</v>
      </c>
      <c r="AB503" s="1077" t="s">
        <v>981</v>
      </c>
      <c r="AH503" s="1077" t="s">
        <v>1796</v>
      </c>
      <c r="AM503" s="1078" t="s">
        <v>10050</v>
      </c>
      <c r="AN503" s="1078" t="s">
        <v>10051</v>
      </c>
      <c r="AO503" s="1078">
        <f t="shared" si="62"/>
        <v>700</v>
      </c>
      <c r="AP503" s="1078">
        <f t="shared" si="63"/>
        <v>1.7649999999999999</v>
      </c>
      <c r="AQ503" s="1078" t="str">
        <f t="shared" si="64"/>
        <v>1-4-1S83°</v>
      </c>
      <c r="AR503" s="1078" t="str">
        <f t="shared" si="65"/>
        <v>30.8</v>
      </c>
      <c r="AS503" s="1078" t="str">
        <f t="shared" si="66"/>
        <v>285/285/149</v>
      </c>
      <c r="AT503" s="1078" t="str">
        <f t="shared" si="67"/>
        <v>1-4-1S83°</v>
      </c>
      <c r="AV503" s="1078" t="str">
        <f t="shared" si="60"/>
        <v>109.11.13</v>
      </c>
      <c r="AW503" s="1344">
        <f t="shared" si="61"/>
        <v>44148</v>
      </c>
    </row>
    <row r="504" spans="1:49">
      <c r="A504" s="1077" t="s">
        <v>3235</v>
      </c>
      <c r="B504" s="1077" t="s">
        <v>424</v>
      </c>
      <c r="C504" s="1077">
        <v>700</v>
      </c>
      <c r="D504" s="1077">
        <v>1.7649999999999999</v>
      </c>
      <c r="E504" s="1077" t="s">
        <v>15089</v>
      </c>
      <c r="F504" s="1077" t="s">
        <v>1897</v>
      </c>
      <c r="G504" s="1077" t="s">
        <v>1767</v>
      </c>
      <c r="H504" s="1077" t="s">
        <v>3227</v>
      </c>
      <c r="I504" s="1077" t="s">
        <v>626</v>
      </c>
      <c r="J504" s="1077">
        <v>4</v>
      </c>
      <c r="K504" s="1077" t="s">
        <v>3234</v>
      </c>
      <c r="L504" s="1077" t="s">
        <v>1938</v>
      </c>
      <c r="M504" s="1077">
        <v>75.599999999999994</v>
      </c>
      <c r="N504" s="1077" t="s">
        <v>945</v>
      </c>
      <c r="O504" s="1077">
        <v>1.89</v>
      </c>
      <c r="P504" s="1077">
        <v>1.512</v>
      </c>
      <c r="Q504" s="1077" t="s">
        <v>2422</v>
      </c>
      <c r="R504" s="1077">
        <v>18.600000000000001</v>
      </c>
      <c r="T504" s="1077">
        <v>18.8</v>
      </c>
      <c r="U504" s="1077">
        <v>2.9</v>
      </c>
      <c r="V504" s="1077" t="s">
        <v>648</v>
      </c>
      <c r="W504" s="1077">
        <v>150</v>
      </c>
      <c r="X504" s="1077" t="s">
        <v>2402</v>
      </c>
      <c r="Y504" s="1077">
        <v>2.1</v>
      </c>
      <c r="Z504" s="1077" t="s">
        <v>2824</v>
      </c>
      <c r="AA504" s="1077" t="s">
        <v>3236</v>
      </c>
      <c r="AB504" s="1077" t="s">
        <v>981</v>
      </c>
      <c r="AH504" s="1077" t="s">
        <v>482</v>
      </c>
      <c r="AM504" s="1078" t="s">
        <v>10052</v>
      </c>
      <c r="AN504" s="1078" t="s">
        <v>10053</v>
      </c>
      <c r="AO504" s="1078">
        <f t="shared" si="62"/>
        <v>700</v>
      </c>
      <c r="AP504" s="1078">
        <f t="shared" si="63"/>
        <v>1.7649999999999999</v>
      </c>
      <c r="AQ504" s="1078" t="str">
        <f t="shared" si="64"/>
        <v>1-4-1S83°</v>
      </c>
      <c r="AR504" s="1078" t="str">
        <f t="shared" si="65"/>
        <v>30.8</v>
      </c>
      <c r="AS504" s="1078" t="str">
        <f t="shared" si="66"/>
        <v>285/285/149</v>
      </c>
      <c r="AT504" s="1078" t="str">
        <f t="shared" si="67"/>
        <v>1-4-1S83°</v>
      </c>
      <c r="AV504" s="1078" t="str">
        <f t="shared" si="60"/>
        <v>109.11.19</v>
      </c>
      <c r="AW504" s="1344">
        <f t="shared" si="61"/>
        <v>44154</v>
      </c>
    </row>
    <row r="505" spans="1:49">
      <c r="A505" s="1077" t="s">
        <v>3237</v>
      </c>
      <c r="B505" s="1077" t="s">
        <v>424</v>
      </c>
      <c r="C505" s="1077">
        <v>700</v>
      </c>
      <c r="D505" s="1077">
        <v>1.7649999999999999</v>
      </c>
      <c r="E505" s="1077" t="s">
        <v>15089</v>
      </c>
      <c r="F505" s="1077" t="s">
        <v>1897</v>
      </c>
      <c r="G505" s="1077" t="s">
        <v>1767</v>
      </c>
      <c r="H505" s="1077" t="s">
        <v>3227</v>
      </c>
      <c r="I505" s="1077" t="s">
        <v>626</v>
      </c>
      <c r="J505" s="1077">
        <v>4</v>
      </c>
      <c r="K505" s="1077" t="s">
        <v>3238</v>
      </c>
      <c r="L505" s="1077" t="s">
        <v>1938</v>
      </c>
      <c r="M505" s="1077">
        <v>75.599999999999994</v>
      </c>
      <c r="N505" s="1077" t="s">
        <v>945</v>
      </c>
      <c r="O505" s="1077">
        <v>1.89</v>
      </c>
      <c r="P505" s="1077">
        <v>1.512</v>
      </c>
      <c r="Q505" s="1077">
        <v>3.5</v>
      </c>
      <c r="R505" s="1077">
        <v>18.600000000000001</v>
      </c>
      <c r="T505" s="1077">
        <v>18.8</v>
      </c>
      <c r="U505" s="1077">
        <v>2.9</v>
      </c>
      <c r="V505" s="1077" t="s">
        <v>648</v>
      </c>
      <c r="W505" s="1077">
        <v>150</v>
      </c>
      <c r="X505" s="1077" t="s">
        <v>2402</v>
      </c>
      <c r="Y505" s="1077">
        <v>2.1</v>
      </c>
      <c r="Z505" s="1077">
        <v>4</v>
      </c>
      <c r="AA505" s="1077" t="s">
        <v>1208</v>
      </c>
      <c r="AB505" s="1077" t="s">
        <v>981</v>
      </c>
      <c r="AH505" s="1077" t="s">
        <v>1143</v>
      </c>
      <c r="AM505" s="1078" t="s">
        <v>10054</v>
      </c>
      <c r="AN505" s="1078" t="s">
        <v>10055</v>
      </c>
      <c r="AO505" s="1078">
        <f t="shared" si="62"/>
        <v>700</v>
      </c>
      <c r="AP505" s="1078">
        <f t="shared" si="63"/>
        <v>1.7649999999999999</v>
      </c>
      <c r="AQ505" s="1078" t="str">
        <f t="shared" si="64"/>
        <v>1-4-1S83°</v>
      </c>
      <c r="AR505" s="1078" t="str">
        <f t="shared" si="65"/>
        <v>30.8</v>
      </c>
      <c r="AS505" s="1078" t="str">
        <f t="shared" si="66"/>
        <v>285/285/149</v>
      </c>
      <c r="AT505" s="1078" t="str">
        <f t="shared" si="67"/>
        <v>1-4-1S83°</v>
      </c>
      <c r="AV505" s="1078" t="str">
        <f t="shared" si="60"/>
        <v>109.12.28</v>
      </c>
      <c r="AW505" s="1344">
        <f t="shared" si="61"/>
        <v>44193</v>
      </c>
    </row>
    <row r="506" spans="1:49">
      <c r="A506" s="1077" t="s">
        <v>3239</v>
      </c>
      <c r="B506" s="1077" t="s">
        <v>424</v>
      </c>
      <c r="C506" s="1077">
        <v>800</v>
      </c>
      <c r="D506" s="1077">
        <v>1.77</v>
      </c>
      <c r="E506" s="1077" t="s">
        <v>15089</v>
      </c>
      <c r="F506" s="1077" t="s">
        <v>954</v>
      </c>
      <c r="G506" s="1077" t="s">
        <v>1767</v>
      </c>
      <c r="H506" s="1077" t="s">
        <v>2540</v>
      </c>
      <c r="I506" s="1077" t="s">
        <v>126</v>
      </c>
      <c r="J506" s="1077">
        <v>1.7</v>
      </c>
      <c r="K506" s="1077" t="s">
        <v>3238</v>
      </c>
      <c r="L506" s="1077" t="s">
        <v>1938</v>
      </c>
      <c r="M506" s="1077">
        <v>73</v>
      </c>
      <c r="N506" s="1077" t="s">
        <v>945</v>
      </c>
      <c r="O506" s="1077">
        <v>1.8250000000000002</v>
      </c>
      <c r="P506" s="1077">
        <v>1.46</v>
      </c>
      <c r="Q506" s="1077">
        <v>4</v>
      </c>
      <c r="R506" s="1077">
        <v>21.6</v>
      </c>
      <c r="T506" s="1077">
        <v>32</v>
      </c>
      <c r="U506" s="1077">
        <v>3.5</v>
      </c>
      <c r="V506" s="1077" t="s">
        <v>648</v>
      </c>
      <c r="W506" s="1077">
        <v>110</v>
      </c>
      <c r="X506" s="1077" t="s">
        <v>2395</v>
      </c>
      <c r="Y506" s="1077">
        <v>1.5</v>
      </c>
      <c r="Z506" s="1077">
        <v>5.5</v>
      </c>
      <c r="AA506" s="1077" t="s">
        <v>2481</v>
      </c>
      <c r="AB506" s="1077" t="s">
        <v>981</v>
      </c>
      <c r="AH506" s="1077" t="s">
        <v>2398</v>
      </c>
      <c r="AM506" s="1078" t="s">
        <v>10056</v>
      </c>
      <c r="AN506" s="1078" t="s">
        <v>10057</v>
      </c>
      <c r="AO506" s="1078">
        <f t="shared" si="62"/>
        <v>800</v>
      </c>
      <c r="AP506" s="1078">
        <f t="shared" si="63"/>
        <v>1.77</v>
      </c>
      <c r="AQ506" s="1078" t="str">
        <f t="shared" si="64"/>
        <v>1-4-1S83°</v>
      </c>
      <c r="AR506" s="1078" t="str">
        <f t="shared" si="65"/>
        <v>31</v>
      </c>
      <c r="AS506" s="1078" t="str">
        <f t="shared" si="66"/>
        <v>300/300/OFF</v>
      </c>
      <c r="AT506" s="1078" t="str">
        <f t="shared" si="67"/>
        <v>1-4-1S83°</v>
      </c>
      <c r="AV506" s="1078" t="str">
        <f t="shared" si="60"/>
        <v>109.12.31</v>
      </c>
      <c r="AW506" s="1344">
        <f t="shared" si="61"/>
        <v>44196</v>
      </c>
    </row>
    <row r="507" spans="1:49">
      <c r="A507" s="1077" t="s">
        <v>3240</v>
      </c>
      <c r="B507" s="1077" t="s">
        <v>424</v>
      </c>
      <c r="C507" s="1077">
        <v>700</v>
      </c>
      <c r="D507" s="1077">
        <v>1.7649999999999999</v>
      </c>
      <c r="E507" s="1077" t="s">
        <v>15089</v>
      </c>
      <c r="F507" s="1077" t="s">
        <v>1897</v>
      </c>
      <c r="G507" s="1077" t="s">
        <v>1767</v>
      </c>
      <c r="H507" s="1077" t="s">
        <v>3227</v>
      </c>
      <c r="I507" s="1077" t="s">
        <v>626</v>
      </c>
      <c r="J507" s="1077">
        <v>4</v>
      </c>
      <c r="K507" s="1077" t="s">
        <v>3238</v>
      </c>
      <c r="L507" s="1077" t="s">
        <v>1938</v>
      </c>
      <c r="M507" s="1077">
        <v>75.599999999999994</v>
      </c>
      <c r="N507" s="1077" t="s">
        <v>945</v>
      </c>
      <c r="O507" s="1077">
        <v>1.89</v>
      </c>
      <c r="P507" s="1077">
        <v>1.512</v>
      </c>
      <c r="Q507" s="1077">
        <v>3.5</v>
      </c>
      <c r="R507" s="1077">
        <v>18.600000000000001</v>
      </c>
      <c r="T507" s="1077">
        <v>18.8</v>
      </c>
      <c r="U507" s="1077">
        <v>2.9</v>
      </c>
      <c r="V507" s="1077" t="s">
        <v>648</v>
      </c>
      <c r="W507" s="1077">
        <v>150</v>
      </c>
      <c r="X507" s="1077" t="s">
        <v>2402</v>
      </c>
      <c r="Y507" s="1077">
        <v>2.1</v>
      </c>
      <c r="Z507" s="1077">
        <v>4</v>
      </c>
      <c r="AA507" s="1077" t="s">
        <v>3241</v>
      </c>
      <c r="AB507" s="1077" t="s">
        <v>981</v>
      </c>
      <c r="AH507" s="1077" t="s">
        <v>966</v>
      </c>
      <c r="AM507" s="1078" t="s">
        <v>10058</v>
      </c>
      <c r="AN507" s="1078" t="s">
        <v>10059</v>
      </c>
      <c r="AO507" s="1078">
        <f t="shared" si="62"/>
        <v>700</v>
      </c>
      <c r="AP507" s="1078">
        <f t="shared" si="63"/>
        <v>1.7649999999999999</v>
      </c>
      <c r="AQ507" s="1078" t="str">
        <f t="shared" si="64"/>
        <v>1-4-1S83°</v>
      </c>
      <c r="AR507" s="1078" t="str">
        <f t="shared" si="65"/>
        <v>30.8</v>
      </c>
      <c r="AS507" s="1078" t="str">
        <f t="shared" si="66"/>
        <v>285/285/149</v>
      </c>
      <c r="AT507" s="1078" t="str">
        <f t="shared" si="67"/>
        <v>1-4-1S83°</v>
      </c>
      <c r="AV507" s="1078" t="str">
        <f t="shared" si="60"/>
        <v>110.1.26</v>
      </c>
      <c r="AW507" s="1344">
        <f t="shared" si="61"/>
        <v>44222</v>
      </c>
    </row>
    <row r="508" spans="1:49">
      <c r="A508" s="1077" t="s">
        <v>3242</v>
      </c>
      <c r="B508" s="1077" t="s">
        <v>2102</v>
      </c>
      <c r="C508" s="1077">
        <v>600</v>
      </c>
      <c r="D508" s="1077">
        <v>1.73</v>
      </c>
      <c r="E508" s="1077" t="s">
        <v>15089</v>
      </c>
      <c r="F508" s="1077" t="s">
        <v>954</v>
      </c>
      <c r="G508" s="1077" t="s">
        <v>1767</v>
      </c>
      <c r="H508" s="1077" t="s">
        <v>1831</v>
      </c>
      <c r="I508" s="1077" t="s">
        <v>126</v>
      </c>
      <c r="J508" s="1077">
        <v>1</v>
      </c>
      <c r="K508" s="1077" t="s">
        <v>3243</v>
      </c>
      <c r="L508" s="1077" t="s">
        <v>2104</v>
      </c>
      <c r="M508" s="1077">
        <v>75</v>
      </c>
      <c r="N508" s="1077" t="s">
        <v>945</v>
      </c>
      <c r="O508" s="1077">
        <v>1.875</v>
      </c>
      <c r="P508" s="1077">
        <v>1.5</v>
      </c>
      <c r="Q508" s="1077" t="s">
        <v>2407</v>
      </c>
      <c r="R508" s="1077">
        <v>23.3</v>
      </c>
      <c r="T508" s="1077">
        <v>11</v>
      </c>
      <c r="U508" s="1077">
        <v>2.2000000000000002</v>
      </c>
      <c r="V508" s="1077" t="s">
        <v>648</v>
      </c>
      <c r="W508" s="1077">
        <v>110</v>
      </c>
      <c r="X508" s="1077">
        <v>85</v>
      </c>
      <c r="Y508" s="1077">
        <v>1.6</v>
      </c>
      <c r="Z508" s="1077">
        <v>2.5</v>
      </c>
      <c r="AA508" s="1077" t="s">
        <v>1261</v>
      </c>
      <c r="AH508" s="1077" t="s">
        <v>994</v>
      </c>
      <c r="AM508" s="1078" t="s">
        <v>10060</v>
      </c>
      <c r="AN508" s="1078" t="s">
        <v>10061</v>
      </c>
      <c r="AO508" s="1078">
        <f t="shared" si="62"/>
        <v>600</v>
      </c>
      <c r="AP508" s="1078">
        <f t="shared" si="63"/>
        <v>1.73</v>
      </c>
      <c r="AQ508" s="1078" t="str">
        <f t="shared" si="64"/>
        <v>1-4-1S83°</v>
      </c>
      <c r="AR508" s="1078" t="str">
        <f t="shared" si="65"/>
        <v>31</v>
      </c>
      <c r="AS508" s="1078" t="str">
        <f t="shared" si="66"/>
        <v>260/260/165</v>
      </c>
      <c r="AT508" s="1078" t="str">
        <f t="shared" si="67"/>
        <v>1-4-1S83°</v>
      </c>
      <c r="AV508" s="1078" t="str">
        <f t="shared" si="60"/>
        <v>108.12.31</v>
      </c>
      <c r="AW508" s="1344">
        <f t="shared" si="61"/>
        <v>43830</v>
      </c>
    </row>
    <row r="509" spans="1:49">
      <c r="A509" s="1077" t="s">
        <v>3244</v>
      </c>
      <c r="B509" s="1077" t="s">
        <v>2102</v>
      </c>
      <c r="C509" s="1077">
        <v>600</v>
      </c>
      <c r="D509" s="1077">
        <v>1.73</v>
      </c>
      <c r="E509" s="1077" t="s">
        <v>15089</v>
      </c>
      <c r="F509" s="1077" t="s">
        <v>954</v>
      </c>
      <c r="G509" s="1077" t="s">
        <v>1767</v>
      </c>
      <c r="H509" s="1077" t="s">
        <v>1831</v>
      </c>
      <c r="I509" s="1077" t="s">
        <v>126</v>
      </c>
      <c r="J509" s="1077">
        <v>1</v>
      </c>
      <c r="K509" s="1077" t="s">
        <v>3245</v>
      </c>
      <c r="L509" s="1077" t="s">
        <v>2104</v>
      </c>
      <c r="M509" s="1077">
        <v>75</v>
      </c>
      <c r="N509" s="1077" t="s">
        <v>945</v>
      </c>
      <c r="O509" s="1077">
        <v>1.875</v>
      </c>
      <c r="P509" s="1077">
        <v>1.5</v>
      </c>
      <c r="Q509" s="1077" t="s">
        <v>2407</v>
      </c>
      <c r="R509" s="1077">
        <v>23.3</v>
      </c>
      <c r="T509" s="1077">
        <v>11</v>
      </c>
      <c r="U509" s="1077">
        <v>2.2000000000000002</v>
      </c>
      <c r="V509" s="1077" t="s">
        <v>648</v>
      </c>
      <c r="W509" s="1077">
        <v>110</v>
      </c>
      <c r="X509" s="1077">
        <v>85</v>
      </c>
      <c r="Y509" s="1077">
        <v>1.6</v>
      </c>
      <c r="Z509" s="1077">
        <v>2.5</v>
      </c>
      <c r="AA509" s="1077" t="s">
        <v>3246</v>
      </c>
      <c r="AH509" s="1077" t="s">
        <v>762</v>
      </c>
      <c r="AM509" s="1078" t="s">
        <v>10062</v>
      </c>
      <c r="AN509" s="1078" t="s">
        <v>10063</v>
      </c>
      <c r="AO509" s="1078">
        <f t="shared" si="62"/>
        <v>600</v>
      </c>
      <c r="AP509" s="1078">
        <f t="shared" si="63"/>
        <v>1.73</v>
      </c>
      <c r="AQ509" s="1078" t="str">
        <f t="shared" si="64"/>
        <v>1-4-1S83°</v>
      </c>
      <c r="AR509" s="1078" t="str">
        <f t="shared" si="65"/>
        <v>31</v>
      </c>
      <c r="AS509" s="1078" t="str">
        <f t="shared" si="66"/>
        <v>260/260/165</v>
      </c>
      <c r="AT509" s="1078" t="str">
        <f t="shared" si="67"/>
        <v>1-4-1S83°</v>
      </c>
      <c r="AV509" s="1078" t="str">
        <f t="shared" si="60"/>
        <v>109.1.31</v>
      </c>
      <c r="AW509" s="1344">
        <f t="shared" si="61"/>
        <v>43861</v>
      </c>
    </row>
    <row r="510" spans="1:49">
      <c r="A510" s="1077" t="s">
        <v>3247</v>
      </c>
      <c r="B510" s="1077" t="s">
        <v>2102</v>
      </c>
      <c r="C510" s="1077">
        <v>650</v>
      </c>
      <c r="D510" s="1077">
        <v>1.73</v>
      </c>
      <c r="E510" s="1077" t="s">
        <v>15089</v>
      </c>
      <c r="F510" s="1077" t="s">
        <v>954</v>
      </c>
      <c r="G510" s="1077" t="s">
        <v>1767</v>
      </c>
      <c r="H510" s="1077" t="s">
        <v>3248</v>
      </c>
      <c r="I510" s="1077" t="s">
        <v>126</v>
      </c>
      <c r="J510" s="1077">
        <v>1</v>
      </c>
      <c r="K510" s="1077" t="s">
        <v>3249</v>
      </c>
      <c r="L510" s="1077" t="s">
        <v>2104</v>
      </c>
      <c r="M510" s="1077">
        <v>75</v>
      </c>
      <c r="N510" s="1077" t="s">
        <v>945</v>
      </c>
      <c r="O510" s="1077">
        <v>1.875</v>
      </c>
      <c r="P510" s="1077">
        <v>1.5</v>
      </c>
      <c r="Q510" s="1077" t="s">
        <v>2407</v>
      </c>
      <c r="R510" s="1077">
        <v>23.3</v>
      </c>
      <c r="T510" s="1077">
        <v>11</v>
      </c>
      <c r="U510" s="1077">
        <v>2.2000000000000002</v>
      </c>
      <c r="V510" s="1077" t="s">
        <v>648</v>
      </c>
      <c r="W510" s="1077">
        <v>110</v>
      </c>
      <c r="X510" s="1077">
        <v>85</v>
      </c>
      <c r="Y510" s="1077">
        <v>1.6</v>
      </c>
      <c r="Z510" s="1077">
        <v>2.5</v>
      </c>
      <c r="AA510" s="1077" t="s">
        <v>1084</v>
      </c>
      <c r="AH510" s="1077" t="s">
        <v>877</v>
      </c>
      <c r="AM510" s="1078" t="s">
        <v>10064</v>
      </c>
      <c r="AN510" s="1078" t="s">
        <v>10065</v>
      </c>
      <c r="AO510" s="1078">
        <f t="shared" si="62"/>
        <v>650</v>
      </c>
      <c r="AP510" s="1078">
        <f t="shared" si="63"/>
        <v>1.73</v>
      </c>
      <c r="AQ510" s="1078" t="str">
        <f t="shared" si="64"/>
        <v>1-4-1S83°</v>
      </c>
      <c r="AR510" s="1078" t="str">
        <f t="shared" si="65"/>
        <v>31</v>
      </c>
      <c r="AS510" s="1078" t="str">
        <f t="shared" si="66"/>
        <v>270/270/165</v>
      </c>
      <c r="AT510" s="1078" t="str">
        <f t="shared" si="67"/>
        <v>1-4-1S83°</v>
      </c>
      <c r="AV510" s="1078" t="str">
        <f t="shared" si="60"/>
        <v>109.8.3</v>
      </c>
      <c r="AW510" s="1344">
        <f t="shared" si="61"/>
        <v>44046</v>
      </c>
    </row>
    <row r="511" spans="1:49">
      <c r="A511" s="1077" t="s">
        <v>3250</v>
      </c>
      <c r="B511" s="1077" t="s">
        <v>2102</v>
      </c>
      <c r="C511" s="1077">
        <v>700</v>
      </c>
      <c r="D511" s="1077">
        <v>1.69</v>
      </c>
      <c r="E511" s="1077" t="s">
        <v>15088</v>
      </c>
      <c r="F511" s="1077" t="s">
        <v>648</v>
      </c>
      <c r="G511" s="1077" t="s">
        <v>1767</v>
      </c>
      <c r="H511" s="1077" t="s">
        <v>2192</v>
      </c>
      <c r="I511" s="1077" t="s">
        <v>126</v>
      </c>
      <c r="J511" s="1077">
        <v>1</v>
      </c>
      <c r="K511" s="1077" t="s">
        <v>3013</v>
      </c>
      <c r="L511" s="1077" t="s">
        <v>2104</v>
      </c>
      <c r="M511" s="1077">
        <v>75</v>
      </c>
      <c r="N511" s="1077" t="s">
        <v>945</v>
      </c>
      <c r="O511" s="1077">
        <v>1.875</v>
      </c>
      <c r="P511" s="1077">
        <v>1.5</v>
      </c>
      <c r="Q511" s="1077" t="s">
        <v>961</v>
      </c>
      <c r="R511" s="1077">
        <v>23.3</v>
      </c>
      <c r="T511" s="1077">
        <v>20.5</v>
      </c>
      <c r="U511" s="1077">
        <v>3.7</v>
      </c>
      <c r="V511" s="1077" t="s">
        <v>648</v>
      </c>
      <c r="W511" s="1077">
        <v>105</v>
      </c>
      <c r="X511" s="1077">
        <v>85</v>
      </c>
      <c r="Y511" s="1077">
        <v>1.9</v>
      </c>
      <c r="Z511" s="1077" t="s">
        <v>2466</v>
      </c>
      <c r="AA511" s="1077" t="s">
        <v>3251</v>
      </c>
      <c r="AH511" s="1077" t="s">
        <v>1417</v>
      </c>
      <c r="AM511" s="1078" t="s">
        <v>10066</v>
      </c>
      <c r="AN511" s="1078" t="s">
        <v>10067</v>
      </c>
      <c r="AO511" s="1078">
        <f t="shared" si="62"/>
        <v>700</v>
      </c>
      <c r="AP511" s="1078">
        <f t="shared" si="63"/>
        <v>1.69</v>
      </c>
      <c r="AQ511" s="1078" t="str">
        <f t="shared" si="64"/>
        <v>1-4-1S85°</v>
      </c>
      <c r="AR511" s="1078" t="str">
        <f t="shared" si="65"/>
        <v>NA</v>
      </c>
      <c r="AS511" s="1078" t="str">
        <f t="shared" si="66"/>
        <v>180/OFF</v>
      </c>
      <c r="AT511" s="1078" t="str">
        <f t="shared" si="67"/>
        <v>1-4-1S85°</v>
      </c>
      <c r="AV511" s="1078" t="str">
        <f t="shared" si="60"/>
        <v>109.8.10</v>
      </c>
      <c r="AW511" s="1344">
        <f t="shared" si="61"/>
        <v>44053</v>
      </c>
    </row>
    <row r="512" spans="1:49">
      <c r="A512" s="1077" t="s">
        <v>3252</v>
      </c>
      <c r="B512" s="1077" t="s">
        <v>2102</v>
      </c>
      <c r="C512" s="1077">
        <v>650</v>
      </c>
      <c r="D512" s="1077">
        <v>1.73</v>
      </c>
      <c r="E512" s="1077" t="s">
        <v>15089</v>
      </c>
      <c r="F512" s="1077" t="s">
        <v>954</v>
      </c>
      <c r="G512" s="1077" t="s">
        <v>1767</v>
      </c>
      <c r="H512" s="1077" t="s">
        <v>3248</v>
      </c>
      <c r="I512" s="1077" t="s">
        <v>126</v>
      </c>
      <c r="J512" s="1077">
        <v>1</v>
      </c>
      <c r="K512" s="1077" t="s">
        <v>3243</v>
      </c>
      <c r="L512" s="1077" t="s">
        <v>2104</v>
      </c>
      <c r="M512" s="1077">
        <v>75</v>
      </c>
      <c r="N512" s="1077" t="s">
        <v>945</v>
      </c>
      <c r="O512" s="1077">
        <v>1.875</v>
      </c>
      <c r="P512" s="1077">
        <v>1.5</v>
      </c>
      <c r="Q512" s="1077" t="s">
        <v>2407</v>
      </c>
      <c r="R512" s="1077">
        <v>23.3</v>
      </c>
      <c r="T512" s="1077">
        <v>11</v>
      </c>
      <c r="U512" s="1077">
        <v>2.2000000000000002</v>
      </c>
      <c r="V512" s="1077" t="s">
        <v>648</v>
      </c>
      <c r="W512" s="1077">
        <v>110</v>
      </c>
      <c r="X512" s="1077">
        <v>85</v>
      </c>
      <c r="Y512" s="1077">
        <v>1.6</v>
      </c>
      <c r="Z512" s="1077">
        <v>2.5</v>
      </c>
      <c r="AA512" s="1077" t="s">
        <v>3253</v>
      </c>
      <c r="AH512" s="1077" t="s">
        <v>877</v>
      </c>
      <c r="AM512" s="1078" t="s">
        <v>10068</v>
      </c>
      <c r="AN512" s="1078" t="s">
        <v>10069</v>
      </c>
      <c r="AO512" s="1078">
        <f t="shared" si="62"/>
        <v>650</v>
      </c>
      <c r="AP512" s="1078">
        <f t="shared" si="63"/>
        <v>1.73</v>
      </c>
      <c r="AQ512" s="1078" t="str">
        <f t="shared" si="64"/>
        <v>1-4-1S83°</v>
      </c>
      <c r="AR512" s="1078" t="str">
        <f t="shared" si="65"/>
        <v>31</v>
      </c>
      <c r="AS512" s="1078" t="str">
        <f t="shared" si="66"/>
        <v>270/270/165</v>
      </c>
      <c r="AT512" s="1078" t="str">
        <f t="shared" si="67"/>
        <v>1-4-1S83°</v>
      </c>
      <c r="AV512" s="1078" t="str">
        <f t="shared" si="60"/>
        <v>109.8.24</v>
      </c>
      <c r="AW512" s="1344">
        <f t="shared" si="61"/>
        <v>44067</v>
      </c>
    </row>
    <row r="513" spans="1:49">
      <c r="A513" s="1077" t="s">
        <v>3254</v>
      </c>
      <c r="B513" s="1077" t="s">
        <v>2102</v>
      </c>
      <c r="C513" s="1077">
        <v>700</v>
      </c>
      <c r="D513" s="1077">
        <v>1.69</v>
      </c>
      <c r="E513" s="1077" t="s">
        <v>15088</v>
      </c>
      <c r="F513" s="1077" t="s">
        <v>648</v>
      </c>
      <c r="G513" s="1077" t="s">
        <v>1767</v>
      </c>
      <c r="H513" s="1077" t="s">
        <v>2192</v>
      </c>
      <c r="I513" s="1077" t="s">
        <v>126</v>
      </c>
      <c r="J513" s="1077">
        <v>1</v>
      </c>
      <c r="K513" s="1077" t="s">
        <v>2697</v>
      </c>
      <c r="L513" s="1077" t="s">
        <v>2104</v>
      </c>
      <c r="M513" s="1077">
        <v>75</v>
      </c>
      <c r="N513" s="1077" t="s">
        <v>945</v>
      </c>
      <c r="O513" s="1077">
        <v>1.875</v>
      </c>
      <c r="P513" s="1077">
        <v>1.5</v>
      </c>
      <c r="Q513" s="1077" t="s">
        <v>988</v>
      </c>
      <c r="R513" s="1077">
        <v>23.3</v>
      </c>
      <c r="T513" s="1077">
        <v>20.5</v>
      </c>
      <c r="U513" s="1077">
        <v>3.7</v>
      </c>
      <c r="V513" s="1077" t="s">
        <v>648</v>
      </c>
      <c r="W513" s="1077">
        <v>105</v>
      </c>
      <c r="X513" s="1077">
        <v>85</v>
      </c>
      <c r="Y513" s="1077">
        <v>1.9</v>
      </c>
      <c r="Z513" s="1077" t="s">
        <v>1021</v>
      </c>
      <c r="AA513" s="1077" t="s">
        <v>1340</v>
      </c>
      <c r="AH513" s="1077" t="s">
        <v>3028</v>
      </c>
      <c r="AM513" s="1078" t="s">
        <v>10070</v>
      </c>
      <c r="AN513" s="1078" t="s">
        <v>10071</v>
      </c>
      <c r="AO513" s="1078">
        <f t="shared" si="62"/>
        <v>700</v>
      </c>
      <c r="AP513" s="1078">
        <f t="shared" si="63"/>
        <v>1.69</v>
      </c>
      <c r="AQ513" s="1078" t="str">
        <f t="shared" si="64"/>
        <v>1-4-1S85°</v>
      </c>
      <c r="AR513" s="1078" t="str">
        <f t="shared" si="65"/>
        <v>NA</v>
      </c>
      <c r="AS513" s="1078" t="str">
        <f t="shared" si="66"/>
        <v>180/OFF</v>
      </c>
      <c r="AT513" s="1078" t="str">
        <f t="shared" si="67"/>
        <v>1-4-1S85°</v>
      </c>
      <c r="AV513" s="1078" t="str">
        <f t="shared" si="60"/>
        <v>109.9.30</v>
      </c>
      <c r="AW513" s="1344">
        <f t="shared" si="61"/>
        <v>44104</v>
      </c>
    </row>
    <row r="514" spans="1:49">
      <c r="A514" s="1077" t="s">
        <v>3255</v>
      </c>
      <c r="B514" s="1077" t="s">
        <v>2102</v>
      </c>
      <c r="C514" s="1077">
        <v>600</v>
      </c>
      <c r="D514" s="1077">
        <v>1.698</v>
      </c>
      <c r="E514" s="1077" t="s">
        <v>15091</v>
      </c>
      <c r="F514" s="1077" t="s">
        <v>975</v>
      </c>
      <c r="G514" s="1077" t="s">
        <v>1767</v>
      </c>
      <c r="H514" s="1077" t="s">
        <v>3125</v>
      </c>
      <c r="I514" s="1077" t="s">
        <v>1167</v>
      </c>
      <c r="J514" s="1077">
        <v>0.8</v>
      </c>
      <c r="K514" s="1077" t="s">
        <v>3256</v>
      </c>
      <c r="L514" s="1077" t="s">
        <v>2104</v>
      </c>
      <c r="M514" s="1077">
        <v>75</v>
      </c>
      <c r="N514" s="1077" t="s">
        <v>945</v>
      </c>
      <c r="O514" s="1077">
        <v>1.875</v>
      </c>
      <c r="P514" s="1077">
        <v>1.5</v>
      </c>
      <c r="Q514" s="1077">
        <v>4</v>
      </c>
      <c r="R514" s="1077">
        <v>23.3</v>
      </c>
      <c r="T514" s="1077">
        <v>20.5</v>
      </c>
      <c r="U514" s="1077">
        <v>3.7</v>
      </c>
      <c r="V514" s="1077" t="s">
        <v>648</v>
      </c>
      <c r="W514" s="1077">
        <v>105</v>
      </c>
      <c r="X514" s="1077">
        <v>85</v>
      </c>
      <c r="Y514" s="1077">
        <v>1.9</v>
      </c>
      <c r="Z514" s="1077">
        <v>4.5</v>
      </c>
      <c r="AA514" s="1077" t="s">
        <v>3257</v>
      </c>
      <c r="AH514" s="1077" t="s">
        <v>681</v>
      </c>
      <c r="AM514" s="1078" t="s">
        <v>10072</v>
      </c>
      <c r="AN514" s="1078" t="s">
        <v>10073</v>
      </c>
      <c r="AO514" s="1078">
        <f t="shared" si="62"/>
        <v>600</v>
      </c>
      <c r="AP514" s="1078">
        <f t="shared" si="63"/>
        <v>1.698</v>
      </c>
      <c r="AQ514" s="1078" t="str">
        <f t="shared" si="64"/>
        <v>2-5-1S83°</v>
      </c>
      <c r="AR514" s="1078" t="str">
        <f t="shared" si="65"/>
        <v>31.5</v>
      </c>
      <c r="AS514" s="1078" t="str">
        <f t="shared" si="66"/>
        <v>169/OFF</v>
      </c>
      <c r="AT514" s="1078" t="str">
        <f t="shared" si="67"/>
        <v>2-5-1S83°</v>
      </c>
      <c r="AV514" s="1078" t="str">
        <f t="shared" ref="AV514:AV577" si="68">AA514</f>
        <v>110.4.7</v>
      </c>
      <c r="AW514" s="1344">
        <f t="shared" si="61"/>
        <v>44293</v>
      </c>
    </row>
    <row r="515" spans="1:49">
      <c r="A515" s="1077" t="s">
        <v>3258</v>
      </c>
      <c r="B515" s="1077" t="s">
        <v>2102</v>
      </c>
      <c r="C515" s="1077">
        <v>650</v>
      </c>
      <c r="D515" s="1077">
        <v>1.69</v>
      </c>
      <c r="E515" s="1077" t="s">
        <v>15088</v>
      </c>
      <c r="F515" s="1077" t="s">
        <v>648</v>
      </c>
      <c r="G515" s="1077" t="s">
        <v>1767</v>
      </c>
      <c r="H515" s="1077" t="s">
        <v>1936</v>
      </c>
      <c r="I515" s="1077" t="s">
        <v>126</v>
      </c>
      <c r="J515" s="1077">
        <v>1</v>
      </c>
      <c r="K515" s="1077" t="s">
        <v>3259</v>
      </c>
      <c r="L515" s="1077" t="s">
        <v>2104</v>
      </c>
      <c r="M515" s="1077">
        <v>75</v>
      </c>
      <c r="N515" s="1077" t="s">
        <v>945</v>
      </c>
      <c r="O515" s="1077">
        <v>1.875</v>
      </c>
      <c r="P515" s="1077">
        <v>1.5</v>
      </c>
      <c r="Q515" s="1077">
        <v>4</v>
      </c>
      <c r="R515" s="1077">
        <v>23.3</v>
      </c>
      <c r="T515" s="1077">
        <v>20.5</v>
      </c>
      <c r="U515" s="1077">
        <v>3.7</v>
      </c>
      <c r="V515" s="1077" t="s">
        <v>648</v>
      </c>
      <c r="W515" s="1077">
        <v>105</v>
      </c>
      <c r="X515" s="1077">
        <v>85</v>
      </c>
      <c r="Y515" s="1077">
        <v>1.9</v>
      </c>
      <c r="Z515" s="1077">
        <v>4.5</v>
      </c>
      <c r="AA515" s="1077" t="s">
        <v>3260</v>
      </c>
      <c r="AB515" s="1077" t="s">
        <v>981</v>
      </c>
      <c r="AH515" s="1077" t="s">
        <v>1178</v>
      </c>
      <c r="AM515" s="1078" t="s">
        <v>10074</v>
      </c>
      <c r="AN515" s="1078" t="s">
        <v>10075</v>
      </c>
      <c r="AO515" s="1078">
        <f t="shared" si="62"/>
        <v>650</v>
      </c>
      <c r="AP515" s="1078">
        <f t="shared" si="63"/>
        <v>1.69</v>
      </c>
      <c r="AQ515" s="1078" t="str">
        <f t="shared" si="64"/>
        <v>1-4-1S85°</v>
      </c>
      <c r="AR515" s="1078" t="str">
        <f t="shared" si="65"/>
        <v>NA</v>
      </c>
      <c r="AS515" s="1078" t="str">
        <f t="shared" si="66"/>
        <v>175/OFF</v>
      </c>
      <c r="AT515" s="1078" t="str">
        <f t="shared" si="67"/>
        <v>1-4-1S85°</v>
      </c>
      <c r="AV515" s="1078" t="str">
        <f t="shared" si="68"/>
        <v>110.6.18</v>
      </c>
      <c r="AW515" s="1344">
        <f t="shared" ref="AW515:AW578" si="69">DATE(VALUE(LEFT(AV515,FIND(".",AV515)-1))+1911,
       VALUE(MID(AV515,FIND(".",AV515)+1,FIND(".",AV515,FIND(".",AV515)+1)-FIND(".",AV515)-1)),
       VALUE(RIGHT(AV515,LEN(AV515)-FIND("~",SUBSTITUTE(AV515,".","~",2)))))</f>
        <v>44365</v>
      </c>
    </row>
    <row r="516" spans="1:49">
      <c r="A516" s="1077" t="s">
        <v>3261</v>
      </c>
      <c r="B516" s="1077" t="s">
        <v>2102</v>
      </c>
      <c r="C516" s="1077">
        <v>600</v>
      </c>
      <c r="D516" s="1077">
        <v>1.69</v>
      </c>
      <c r="E516" s="1077" t="s">
        <v>15089</v>
      </c>
      <c r="F516" s="1077" t="s">
        <v>954</v>
      </c>
      <c r="G516" s="1077" t="s">
        <v>1767</v>
      </c>
      <c r="H516" s="1077" t="s">
        <v>1029</v>
      </c>
      <c r="I516" s="1077" t="s">
        <v>126</v>
      </c>
      <c r="J516" s="1077">
        <v>1</v>
      </c>
      <c r="K516" s="1077" t="s">
        <v>3262</v>
      </c>
      <c r="L516" s="1077" t="s">
        <v>2104</v>
      </c>
      <c r="M516" s="1077">
        <v>75</v>
      </c>
      <c r="N516" s="1077" t="s">
        <v>945</v>
      </c>
      <c r="O516" s="1077">
        <v>1.875</v>
      </c>
      <c r="P516" s="1077">
        <v>1.5</v>
      </c>
      <c r="Q516" s="1077">
        <v>4</v>
      </c>
      <c r="R516" s="1077">
        <v>23.3</v>
      </c>
      <c r="T516" s="1077">
        <v>20.5</v>
      </c>
      <c r="U516" s="1077">
        <v>3.7</v>
      </c>
      <c r="V516" s="1077" t="s">
        <v>648</v>
      </c>
      <c r="W516" s="1077">
        <v>105</v>
      </c>
      <c r="X516" s="1077">
        <v>85</v>
      </c>
      <c r="Y516" s="1077">
        <v>1.9</v>
      </c>
      <c r="Z516" s="1077">
        <v>4.5</v>
      </c>
      <c r="AA516" s="1077" t="s">
        <v>1412</v>
      </c>
      <c r="AH516" s="1077" t="s">
        <v>1238</v>
      </c>
      <c r="AM516" s="1078" t="s">
        <v>10076</v>
      </c>
      <c r="AN516" s="1078" t="s">
        <v>10077</v>
      </c>
      <c r="AO516" s="1078">
        <f t="shared" si="62"/>
        <v>600</v>
      </c>
      <c r="AP516" s="1078">
        <f t="shared" si="63"/>
        <v>1.69</v>
      </c>
      <c r="AQ516" s="1078" t="str">
        <f t="shared" si="64"/>
        <v>1-4-1S83°</v>
      </c>
      <c r="AR516" s="1078" t="str">
        <f t="shared" si="65"/>
        <v>31</v>
      </c>
      <c r="AS516" s="1078" t="str">
        <f t="shared" si="66"/>
        <v>250/250/OFF</v>
      </c>
      <c r="AT516" s="1078" t="str">
        <f t="shared" si="67"/>
        <v>1-4-1S83°</v>
      </c>
      <c r="AV516" s="1078" t="str">
        <f t="shared" si="68"/>
        <v>110.7.6</v>
      </c>
      <c r="AW516" s="1344">
        <f t="shared" si="69"/>
        <v>44383</v>
      </c>
    </row>
    <row r="517" spans="1:49">
      <c r="A517" s="1077" t="s">
        <v>3263</v>
      </c>
      <c r="B517" s="1077" t="s">
        <v>2102</v>
      </c>
      <c r="C517" s="1077">
        <v>600</v>
      </c>
      <c r="D517" s="1077">
        <v>1.7050000000000001</v>
      </c>
      <c r="E517" s="1077" t="s">
        <v>15088</v>
      </c>
      <c r="F517" s="1077" t="s">
        <v>648</v>
      </c>
      <c r="G517" s="1077" t="s">
        <v>1767</v>
      </c>
      <c r="H517" s="1077" t="s">
        <v>2326</v>
      </c>
      <c r="I517" s="1077" t="s">
        <v>126</v>
      </c>
      <c r="J517" s="1077">
        <v>0.9</v>
      </c>
      <c r="K517" s="1077" t="s">
        <v>3262</v>
      </c>
      <c r="L517" s="1077" t="s">
        <v>2104</v>
      </c>
      <c r="M517" s="1077">
        <v>75</v>
      </c>
      <c r="N517" s="1077" t="s">
        <v>945</v>
      </c>
      <c r="O517" s="1077">
        <v>1.875</v>
      </c>
      <c r="P517" s="1077">
        <v>1.5</v>
      </c>
      <c r="Q517" s="1077">
        <v>4</v>
      </c>
      <c r="R517" s="1077">
        <v>23.3</v>
      </c>
      <c r="T517" s="1077">
        <v>20.5</v>
      </c>
      <c r="U517" s="1077">
        <v>3.7</v>
      </c>
      <c r="V517" s="1077" t="s">
        <v>648</v>
      </c>
      <c r="W517" s="1077">
        <v>105</v>
      </c>
      <c r="X517" s="1077" t="s">
        <v>1130</v>
      </c>
      <c r="Y517" s="1077">
        <v>1.9</v>
      </c>
      <c r="Z517" s="1077">
        <v>4.5</v>
      </c>
      <c r="AA517" s="1077" t="s">
        <v>3264</v>
      </c>
      <c r="AB517" s="1077" t="s">
        <v>981</v>
      </c>
      <c r="AH517" s="1077" t="s">
        <v>1803</v>
      </c>
      <c r="AM517" s="1078" t="s">
        <v>10078</v>
      </c>
      <c r="AN517" s="1078" t="s">
        <v>10079</v>
      </c>
      <c r="AO517" s="1078">
        <f t="shared" si="62"/>
        <v>600</v>
      </c>
      <c r="AP517" s="1078">
        <f t="shared" si="63"/>
        <v>1.7050000000000001</v>
      </c>
      <c r="AQ517" s="1078" t="str">
        <f t="shared" si="64"/>
        <v>1-4-1S85°</v>
      </c>
      <c r="AR517" s="1078" t="str">
        <f t="shared" si="65"/>
        <v>NA</v>
      </c>
      <c r="AS517" s="1078" t="str">
        <f t="shared" si="66"/>
        <v>173/OFF</v>
      </c>
      <c r="AT517" s="1078" t="str">
        <f t="shared" si="67"/>
        <v>1-4-1S85°</v>
      </c>
      <c r="AV517" s="1078" t="str">
        <f t="shared" si="68"/>
        <v>110.8.10</v>
      </c>
      <c r="AW517" s="1344">
        <f t="shared" si="69"/>
        <v>44418</v>
      </c>
    </row>
    <row r="518" spans="1:49">
      <c r="A518" s="1077" t="s">
        <v>3265</v>
      </c>
      <c r="B518" s="1077" t="s">
        <v>453</v>
      </c>
      <c r="C518" s="1077">
        <v>650</v>
      </c>
      <c r="D518" s="1077">
        <v>1.71</v>
      </c>
      <c r="E518" s="1077" t="s">
        <v>15089</v>
      </c>
      <c r="F518" s="1077" t="s">
        <v>984</v>
      </c>
      <c r="G518" s="1077" t="s">
        <v>1767</v>
      </c>
      <c r="H518" s="1077" t="s">
        <v>1831</v>
      </c>
      <c r="I518" s="1077" t="s">
        <v>126</v>
      </c>
      <c r="J518" s="1077">
        <v>1.1000000000000001</v>
      </c>
      <c r="K518" s="1077" t="s">
        <v>2309</v>
      </c>
      <c r="L518" s="1077" t="s">
        <v>1776</v>
      </c>
      <c r="M518" s="1077">
        <v>77</v>
      </c>
      <c r="N518" s="1077" t="s">
        <v>945</v>
      </c>
      <c r="O518" s="1077">
        <v>1.925</v>
      </c>
      <c r="P518" s="1077">
        <v>1.54</v>
      </c>
      <c r="Q518" s="1077">
        <v>4.2</v>
      </c>
      <c r="R518" s="1077">
        <v>24</v>
      </c>
      <c r="T518" s="1077">
        <v>9</v>
      </c>
      <c r="U518" s="1077">
        <v>2.2000000000000002</v>
      </c>
      <c r="V518" s="1077" t="s">
        <v>648</v>
      </c>
      <c r="W518" s="1077">
        <v>110</v>
      </c>
      <c r="X518" s="1077" t="s">
        <v>1130</v>
      </c>
      <c r="Y518" s="1077">
        <v>2.1</v>
      </c>
      <c r="Z518" s="1077">
        <v>2.5</v>
      </c>
      <c r="AA518" s="1077" t="s">
        <v>3266</v>
      </c>
      <c r="AB518" s="1077" t="s">
        <v>981</v>
      </c>
      <c r="AH518" s="1077" t="s">
        <v>838</v>
      </c>
      <c r="AM518" s="1078" t="s">
        <v>10080</v>
      </c>
      <c r="AN518" s="1078" t="s">
        <v>10081</v>
      </c>
      <c r="AO518" s="1078">
        <f t="shared" si="62"/>
        <v>650</v>
      </c>
      <c r="AP518" s="1078">
        <f t="shared" si="63"/>
        <v>1.71</v>
      </c>
      <c r="AQ518" s="1078" t="str">
        <f t="shared" si="64"/>
        <v>1-4-1S83°</v>
      </c>
      <c r="AR518" s="1078" t="str">
        <f t="shared" si="65"/>
        <v>30</v>
      </c>
      <c r="AS518" s="1078" t="str">
        <f t="shared" si="66"/>
        <v>260/260/165</v>
      </c>
      <c r="AT518" s="1078" t="str">
        <f t="shared" si="67"/>
        <v>1-4-1S83°</v>
      </c>
      <c r="AV518" s="1078" t="str">
        <f t="shared" si="68"/>
        <v>111.10.27</v>
      </c>
      <c r="AW518" s="1344">
        <f t="shared" si="69"/>
        <v>44861</v>
      </c>
    </row>
    <row r="519" spans="1:49">
      <c r="A519" s="1077" t="s">
        <v>3267</v>
      </c>
      <c r="B519" s="1077" t="s">
        <v>1947</v>
      </c>
      <c r="C519" s="1077">
        <v>600</v>
      </c>
      <c r="D519" s="1077">
        <v>1.73</v>
      </c>
      <c r="E519" s="1077" t="s">
        <v>15089</v>
      </c>
      <c r="F519" s="1077" t="s">
        <v>2234</v>
      </c>
      <c r="G519" s="1077" t="s">
        <v>1001</v>
      </c>
      <c r="H519" s="1077" t="s">
        <v>2235</v>
      </c>
      <c r="I519" s="1077" t="s">
        <v>626</v>
      </c>
      <c r="J519" s="1077">
        <v>0.9</v>
      </c>
      <c r="K519" s="1077" t="s">
        <v>3268</v>
      </c>
      <c r="L519" s="1077" t="s">
        <v>1950</v>
      </c>
      <c r="M519" s="1077">
        <v>77</v>
      </c>
      <c r="N519" s="1077" t="s">
        <v>945</v>
      </c>
      <c r="O519" s="1077">
        <v>1.925</v>
      </c>
      <c r="P519" s="1077">
        <v>1.54</v>
      </c>
      <c r="Q519" s="1077">
        <v>3</v>
      </c>
      <c r="R519" s="1077">
        <v>24</v>
      </c>
      <c r="T519" s="1077">
        <v>29</v>
      </c>
      <c r="U519" s="1077">
        <v>2.9</v>
      </c>
      <c r="V519" s="1077" t="s">
        <v>648</v>
      </c>
      <c r="W519" s="1077">
        <v>30</v>
      </c>
      <c r="X519" s="1077">
        <v>10</v>
      </c>
      <c r="Y519" s="1077">
        <v>1.5</v>
      </c>
      <c r="Z519" s="1077">
        <v>5.5</v>
      </c>
      <c r="AA519" s="1077" t="s">
        <v>1535</v>
      </c>
      <c r="AH519" s="1077" t="s">
        <v>869</v>
      </c>
      <c r="AM519" s="1078" t="s">
        <v>10082</v>
      </c>
      <c r="AN519" s="1078" t="s">
        <v>10083</v>
      </c>
      <c r="AO519" s="1078">
        <f t="shared" si="62"/>
        <v>600</v>
      </c>
      <c r="AP519" s="1078">
        <f t="shared" si="63"/>
        <v>1.73</v>
      </c>
      <c r="AQ519" s="1078" t="str">
        <f t="shared" si="64"/>
        <v>1-4-1S83°</v>
      </c>
      <c r="AR519" s="1078" t="str">
        <f t="shared" si="65"/>
        <v>33.5</v>
      </c>
      <c r="AS519" s="1078" t="str">
        <f t="shared" si="66"/>
        <v>290/290/130</v>
      </c>
      <c r="AT519" s="1078" t="str">
        <f t="shared" si="67"/>
        <v>1-4-1S83°</v>
      </c>
      <c r="AV519" s="1078" t="str">
        <f t="shared" si="68"/>
        <v>111.11.3</v>
      </c>
      <c r="AW519" s="1344">
        <f t="shared" si="69"/>
        <v>44868</v>
      </c>
    </row>
    <row r="520" spans="1:49">
      <c r="A520" s="1077" t="s">
        <v>3269</v>
      </c>
      <c r="B520" s="1077" t="s">
        <v>771</v>
      </c>
      <c r="C520" s="1077">
        <v>700</v>
      </c>
      <c r="D520" s="1077">
        <v>1.75</v>
      </c>
      <c r="E520" s="1077" t="s">
        <v>15090</v>
      </c>
      <c r="F520" s="1077" t="s">
        <v>648</v>
      </c>
      <c r="G520" s="1077">
        <v>5</v>
      </c>
      <c r="H520" s="1077" t="s">
        <v>1936</v>
      </c>
      <c r="I520" s="1077" t="s">
        <v>126</v>
      </c>
      <c r="J520" s="1077">
        <v>1.2</v>
      </c>
      <c r="K520" s="1077" t="s">
        <v>3270</v>
      </c>
      <c r="L520" s="1077" t="s">
        <v>1943</v>
      </c>
      <c r="M520" s="1077">
        <v>75</v>
      </c>
      <c r="N520" s="1077" t="s">
        <v>945</v>
      </c>
      <c r="O520" s="1077">
        <v>1.875</v>
      </c>
      <c r="P520" s="1077">
        <v>1.5</v>
      </c>
      <c r="Q520" s="1077">
        <v>4</v>
      </c>
      <c r="R520" s="1077">
        <v>23</v>
      </c>
      <c r="T520" s="1077">
        <v>26.5</v>
      </c>
      <c r="U520" s="1077">
        <v>3.8</v>
      </c>
      <c r="V520" s="1077" t="s">
        <v>648</v>
      </c>
      <c r="W520" s="1077">
        <v>100</v>
      </c>
      <c r="X520" s="1077">
        <v>45</v>
      </c>
      <c r="Y520" s="1077">
        <v>1.6</v>
      </c>
      <c r="Z520" s="1077">
        <v>5</v>
      </c>
      <c r="AA520" s="1077" t="s">
        <v>3266</v>
      </c>
      <c r="AH520" s="1077" t="s">
        <v>842</v>
      </c>
      <c r="AM520" s="1078" t="s">
        <v>10084</v>
      </c>
      <c r="AN520" s="1078" t="s">
        <v>10085</v>
      </c>
      <c r="AO520" s="1078">
        <f t="shared" si="62"/>
        <v>700</v>
      </c>
      <c r="AP520" s="1078">
        <f t="shared" si="63"/>
        <v>1.75</v>
      </c>
      <c r="AQ520" s="1078" t="str">
        <f t="shared" si="64"/>
        <v>1-5-1S85°</v>
      </c>
      <c r="AR520" s="1078" t="str">
        <f t="shared" si="65"/>
        <v>NA</v>
      </c>
      <c r="AS520" s="1078" t="str">
        <f t="shared" si="66"/>
        <v>175/OFF</v>
      </c>
      <c r="AT520" s="1078" t="str">
        <f t="shared" si="67"/>
        <v>1-5-1S85°</v>
      </c>
      <c r="AV520" s="1078" t="str">
        <f t="shared" si="68"/>
        <v>111.10.27</v>
      </c>
      <c r="AW520" s="1344">
        <f t="shared" si="69"/>
        <v>44861</v>
      </c>
    </row>
    <row r="521" spans="1:49">
      <c r="A521" s="1077" t="s">
        <v>3271</v>
      </c>
      <c r="B521" s="1077" t="s">
        <v>1783</v>
      </c>
      <c r="C521" s="1077">
        <v>500</v>
      </c>
      <c r="D521" s="1077">
        <v>1.675</v>
      </c>
      <c r="E521" s="1077" t="s">
        <v>15089</v>
      </c>
      <c r="F521" s="1077" t="s">
        <v>2001</v>
      </c>
      <c r="G521" s="1077" t="s">
        <v>1784</v>
      </c>
      <c r="H521" s="1077" t="s">
        <v>1155</v>
      </c>
      <c r="I521" s="1077" t="s">
        <v>126</v>
      </c>
      <c r="J521" s="1077">
        <v>0.3</v>
      </c>
      <c r="K521" s="1077" t="s">
        <v>3272</v>
      </c>
      <c r="L521" s="1077" t="s">
        <v>1787</v>
      </c>
      <c r="M521" s="1077">
        <v>76.099999999999994</v>
      </c>
      <c r="N521" s="1077" t="s">
        <v>945</v>
      </c>
      <c r="O521" s="1077">
        <v>1.9024999999999999</v>
      </c>
      <c r="P521" s="1077">
        <v>1.522</v>
      </c>
      <c r="Q521" s="1077">
        <v>4</v>
      </c>
      <c r="R521" s="1077">
        <v>21</v>
      </c>
      <c r="T521" s="1077">
        <v>13</v>
      </c>
      <c r="U521" s="1077">
        <v>4</v>
      </c>
      <c r="V521" s="1077" t="s">
        <v>648</v>
      </c>
      <c r="W521" s="1077">
        <v>30</v>
      </c>
      <c r="X521" s="1077">
        <v>10</v>
      </c>
      <c r="Y521" s="1077">
        <v>2.5</v>
      </c>
      <c r="Z521" s="1077">
        <v>2</v>
      </c>
      <c r="AA521" s="1077" t="s">
        <v>3273</v>
      </c>
      <c r="AH521" s="1077" t="s">
        <v>466</v>
      </c>
      <c r="AM521" s="1078" t="s">
        <v>10086</v>
      </c>
      <c r="AN521" s="1078" t="s">
        <v>10087</v>
      </c>
      <c r="AO521" s="1078">
        <f t="shared" si="62"/>
        <v>500</v>
      </c>
      <c r="AP521" s="1078">
        <f t="shared" si="63"/>
        <v>1.675</v>
      </c>
      <c r="AQ521" s="1078" t="str">
        <f t="shared" si="64"/>
        <v>1-4-1S83°</v>
      </c>
      <c r="AR521" s="1078" t="str">
        <f t="shared" si="65"/>
        <v>29.9</v>
      </c>
      <c r="AS521" s="1078" t="str">
        <f t="shared" si="66"/>
        <v>215/215/OFF</v>
      </c>
      <c r="AT521" s="1078" t="str">
        <f t="shared" si="67"/>
        <v>1-4-1S83°</v>
      </c>
      <c r="AV521" s="1078" t="str">
        <f t="shared" si="68"/>
        <v>111.11.7</v>
      </c>
      <c r="AW521" s="1344">
        <f t="shared" si="69"/>
        <v>44872</v>
      </c>
    </row>
    <row r="522" spans="1:49">
      <c r="A522" s="1077" t="s">
        <v>3274</v>
      </c>
      <c r="B522" s="1077" t="s">
        <v>472</v>
      </c>
      <c r="C522" s="1077">
        <v>550</v>
      </c>
      <c r="D522" s="1077">
        <v>1.7</v>
      </c>
      <c r="E522" s="1077" t="s">
        <v>15089</v>
      </c>
      <c r="F522" s="1077" t="s">
        <v>984</v>
      </c>
      <c r="G522" s="1077" t="s">
        <v>1767</v>
      </c>
      <c r="H522" s="1077" t="s">
        <v>1145</v>
      </c>
      <c r="I522" s="1077" t="s">
        <v>126</v>
      </c>
      <c r="J522" s="1077">
        <v>0.7</v>
      </c>
      <c r="K522" s="1077" t="s">
        <v>3275</v>
      </c>
      <c r="L522" s="1077" t="s">
        <v>1811</v>
      </c>
      <c r="M522" s="1077">
        <v>74.599999999999994</v>
      </c>
      <c r="N522" s="1077" t="s">
        <v>945</v>
      </c>
      <c r="O522" s="1077">
        <v>1.865</v>
      </c>
      <c r="P522" s="1077">
        <v>1.492</v>
      </c>
      <c r="Q522" s="1077">
        <v>3.5</v>
      </c>
      <c r="R522" s="1077">
        <v>23.5</v>
      </c>
      <c r="T522" s="1077">
        <v>12.5</v>
      </c>
      <c r="U522" s="1077">
        <v>5.0999999999999996</v>
      </c>
      <c r="V522" s="1077" t="s">
        <v>648</v>
      </c>
      <c r="W522" s="1077">
        <v>95</v>
      </c>
      <c r="X522" s="1077" t="s">
        <v>3276</v>
      </c>
      <c r="Y522" s="1077">
        <v>1.8</v>
      </c>
      <c r="Z522" s="1077">
        <v>4.5</v>
      </c>
      <c r="AA522" s="1077" t="s">
        <v>1541</v>
      </c>
      <c r="AH522" s="1077" t="s">
        <v>958</v>
      </c>
      <c r="AM522" s="1078" t="s">
        <v>10088</v>
      </c>
      <c r="AN522" s="1078" t="s">
        <v>10089</v>
      </c>
      <c r="AO522" s="1078">
        <f t="shared" si="62"/>
        <v>550</v>
      </c>
      <c r="AP522" s="1078">
        <f t="shared" si="63"/>
        <v>1.7</v>
      </c>
      <c r="AQ522" s="1078" t="str">
        <f t="shared" si="64"/>
        <v>1-4-1S83°</v>
      </c>
      <c r="AR522" s="1078" t="str">
        <f t="shared" si="65"/>
        <v>30</v>
      </c>
      <c r="AS522" s="1078" t="str">
        <f t="shared" si="66"/>
        <v>235/235/OFF</v>
      </c>
      <c r="AT522" s="1078" t="str">
        <f t="shared" si="67"/>
        <v>1-4-1S83°</v>
      </c>
      <c r="AV522" s="1078" t="str">
        <f t="shared" si="68"/>
        <v>111.11.11</v>
      </c>
      <c r="AW522" s="1344">
        <f t="shared" si="69"/>
        <v>44876</v>
      </c>
    </row>
    <row r="523" spans="1:49">
      <c r="A523" s="1077" t="s">
        <v>3277</v>
      </c>
      <c r="B523" s="1077" t="s">
        <v>424</v>
      </c>
      <c r="C523" s="1077">
        <v>700</v>
      </c>
      <c r="D523" s="1077">
        <v>1.79</v>
      </c>
      <c r="E523" s="1077" t="s">
        <v>15089</v>
      </c>
      <c r="F523" s="1077" t="s">
        <v>954</v>
      </c>
      <c r="G523" s="1077" t="s">
        <v>1767</v>
      </c>
      <c r="H523" s="1077" t="s">
        <v>2876</v>
      </c>
      <c r="I523" s="1077" t="s">
        <v>126</v>
      </c>
      <c r="J523" s="1077">
        <v>1.9</v>
      </c>
      <c r="K523" s="1077" t="s">
        <v>3278</v>
      </c>
      <c r="L523" s="1077" t="s">
        <v>1938</v>
      </c>
      <c r="M523" s="1077">
        <v>73</v>
      </c>
      <c r="N523" s="1077" t="s">
        <v>945</v>
      </c>
      <c r="O523" s="1077">
        <v>1.8250000000000002</v>
      </c>
      <c r="P523" s="1077">
        <v>1.46</v>
      </c>
      <c r="Q523" s="1077">
        <v>4</v>
      </c>
      <c r="R523" s="1077">
        <v>21.6</v>
      </c>
      <c r="T523" s="1077">
        <v>32</v>
      </c>
      <c r="U523" s="1077">
        <v>3.5</v>
      </c>
      <c r="V523" s="1077" t="s">
        <v>648</v>
      </c>
      <c r="W523" s="1077">
        <v>110</v>
      </c>
      <c r="X523" s="1077" t="s">
        <v>3279</v>
      </c>
      <c r="Y523" s="1077">
        <v>1.5</v>
      </c>
      <c r="Z523" s="1077">
        <v>5.5</v>
      </c>
      <c r="AA523" s="1077" t="s">
        <v>3280</v>
      </c>
      <c r="AB523" s="1077" t="s">
        <v>981</v>
      </c>
      <c r="AH523" s="1077" t="s">
        <v>680</v>
      </c>
      <c r="AM523" s="1078" t="s">
        <v>10090</v>
      </c>
      <c r="AN523" s="1078" t="s">
        <v>10091</v>
      </c>
      <c r="AO523" s="1078">
        <f t="shared" ref="AO523:AO586" si="70">C523</f>
        <v>700</v>
      </c>
      <c r="AP523" s="1078">
        <f t="shared" ref="AP523:AP586" si="71">D523</f>
        <v>1.79</v>
      </c>
      <c r="AQ523" s="1078" t="str">
        <f t="shared" ref="AQ523:AQ586" si="72">E523</f>
        <v>1-4-1S83°</v>
      </c>
      <c r="AR523" s="1078" t="str">
        <f t="shared" ref="AR523:AR586" si="73">F523</f>
        <v>31</v>
      </c>
      <c r="AS523" s="1078" t="str">
        <f t="shared" ref="AS523:AS586" si="74">H523</f>
        <v>290/290/OFF</v>
      </c>
      <c r="AT523" s="1078" t="str">
        <f t="shared" ref="AT523:AT586" si="75">E523</f>
        <v>1-4-1S83°</v>
      </c>
      <c r="AV523" s="1078" t="str">
        <f t="shared" si="68"/>
        <v>111.12.12</v>
      </c>
      <c r="AW523" s="1344">
        <f t="shared" si="69"/>
        <v>44907</v>
      </c>
    </row>
    <row r="524" spans="1:49">
      <c r="A524" s="1077" t="s">
        <v>3281</v>
      </c>
      <c r="B524" s="1077" t="s">
        <v>453</v>
      </c>
      <c r="C524" s="1077">
        <v>650</v>
      </c>
      <c r="D524" s="1077">
        <v>1.71</v>
      </c>
      <c r="E524" s="1077" t="s">
        <v>15089</v>
      </c>
      <c r="F524" s="1077" t="s">
        <v>984</v>
      </c>
      <c r="G524" s="1077" t="s">
        <v>1767</v>
      </c>
      <c r="H524" s="1077" t="s">
        <v>1831</v>
      </c>
      <c r="I524" s="1077" t="s">
        <v>126</v>
      </c>
      <c r="J524" s="1077">
        <v>1.1000000000000001</v>
      </c>
      <c r="K524" s="1077" t="s">
        <v>2309</v>
      </c>
      <c r="L524" s="1077" t="s">
        <v>1776</v>
      </c>
      <c r="M524" s="1077">
        <v>77</v>
      </c>
      <c r="N524" s="1077" t="s">
        <v>945</v>
      </c>
      <c r="O524" s="1077">
        <v>1.925</v>
      </c>
      <c r="P524" s="1077">
        <v>1.54</v>
      </c>
      <c r="Q524" s="1077">
        <v>4.2</v>
      </c>
      <c r="R524" s="1077">
        <v>24</v>
      </c>
      <c r="T524" s="1077">
        <v>9</v>
      </c>
      <c r="U524" s="1077">
        <v>2.2000000000000002</v>
      </c>
      <c r="V524" s="1077" t="s">
        <v>648</v>
      </c>
      <c r="W524" s="1077">
        <v>110</v>
      </c>
      <c r="X524" s="1077" t="s">
        <v>1130</v>
      </c>
      <c r="Y524" s="1077">
        <v>2.1</v>
      </c>
      <c r="Z524" s="1077">
        <v>2.5</v>
      </c>
      <c r="AA524" s="1077" t="s">
        <v>3282</v>
      </c>
      <c r="AB524" s="1077" t="s">
        <v>981</v>
      </c>
      <c r="AH524" s="1077" t="s">
        <v>813</v>
      </c>
      <c r="AM524" s="1078" t="s">
        <v>10092</v>
      </c>
      <c r="AN524" s="1078" t="s">
        <v>10093</v>
      </c>
      <c r="AO524" s="1078">
        <f t="shared" si="70"/>
        <v>650</v>
      </c>
      <c r="AP524" s="1078">
        <f t="shared" si="71"/>
        <v>1.71</v>
      </c>
      <c r="AQ524" s="1078" t="str">
        <f t="shared" si="72"/>
        <v>1-4-1S83°</v>
      </c>
      <c r="AR524" s="1078" t="str">
        <f t="shared" si="73"/>
        <v>30</v>
      </c>
      <c r="AS524" s="1078" t="str">
        <f t="shared" si="74"/>
        <v>260/260/165</v>
      </c>
      <c r="AT524" s="1078" t="str">
        <f t="shared" si="75"/>
        <v>1-4-1S83°</v>
      </c>
      <c r="AV524" s="1078" t="str">
        <f t="shared" si="68"/>
        <v>111.11.14</v>
      </c>
      <c r="AW524" s="1344">
        <f t="shared" si="69"/>
        <v>44879</v>
      </c>
    </row>
    <row r="525" spans="1:49">
      <c r="A525" s="1077" t="s">
        <v>3283</v>
      </c>
      <c r="B525" s="1077" t="s">
        <v>1815</v>
      </c>
      <c r="C525" s="1077">
        <v>650</v>
      </c>
      <c r="D525" s="1077">
        <v>1.7</v>
      </c>
      <c r="E525" s="1077" t="s">
        <v>15098</v>
      </c>
      <c r="F525" s="1077" t="s">
        <v>954</v>
      </c>
      <c r="G525" s="1077" t="s">
        <v>1767</v>
      </c>
      <c r="H525" s="1077" t="s">
        <v>1793</v>
      </c>
      <c r="I525" s="1077" t="s">
        <v>126</v>
      </c>
      <c r="J525" s="1077">
        <v>0.9</v>
      </c>
      <c r="K525" s="1077" t="s">
        <v>3284</v>
      </c>
      <c r="L525" s="1077" t="s">
        <v>2209</v>
      </c>
      <c r="M525" s="1077">
        <v>75.099999999999994</v>
      </c>
      <c r="N525" s="1077" t="s">
        <v>945</v>
      </c>
      <c r="O525" s="1077">
        <v>1.8774999999999999</v>
      </c>
      <c r="P525" s="1077">
        <v>1.502</v>
      </c>
      <c r="Q525" s="1077">
        <v>4</v>
      </c>
      <c r="R525" s="1077">
        <v>19</v>
      </c>
      <c r="T525" s="1077">
        <v>21</v>
      </c>
      <c r="U525" s="1077">
        <v>3.5</v>
      </c>
      <c r="V525" s="1077" t="s">
        <v>648</v>
      </c>
      <c r="W525" s="1077">
        <v>110</v>
      </c>
      <c r="X525" s="1077" t="s">
        <v>2650</v>
      </c>
      <c r="Y525" s="1077">
        <v>1.6</v>
      </c>
      <c r="Z525" s="1077">
        <v>4</v>
      </c>
      <c r="AA525" s="1077" t="s">
        <v>3285</v>
      </c>
      <c r="AB525" s="1077" t="s">
        <v>981</v>
      </c>
      <c r="AH525" s="1077" t="s">
        <v>621</v>
      </c>
      <c r="AM525" s="1078" t="s">
        <v>10094</v>
      </c>
      <c r="AN525" s="1078" t="s">
        <v>10095</v>
      </c>
      <c r="AO525" s="1078">
        <f t="shared" si="70"/>
        <v>650</v>
      </c>
      <c r="AP525" s="1078">
        <f t="shared" si="71"/>
        <v>1.7</v>
      </c>
      <c r="AQ525" s="1078" t="str">
        <f t="shared" si="72"/>
        <v>1-4-1S91°</v>
      </c>
      <c r="AR525" s="1078" t="str">
        <f t="shared" si="73"/>
        <v>31</v>
      </c>
      <c r="AS525" s="1078" t="str">
        <f t="shared" si="74"/>
        <v>270/270/OFF</v>
      </c>
      <c r="AT525" s="1078" t="str">
        <f t="shared" si="75"/>
        <v>1-4-1S91°</v>
      </c>
      <c r="AV525" s="1078" t="str">
        <f t="shared" si="68"/>
        <v>111.11.17</v>
      </c>
      <c r="AW525" s="1344">
        <f t="shared" si="69"/>
        <v>44882</v>
      </c>
    </row>
    <row r="526" spans="1:49">
      <c r="A526" s="1077" t="s">
        <v>3286</v>
      </c>
      <c r="B526" s="1077" t="s">
        <v>625</v>
      </c>
      <c r="C526" s="1077">
        <v>500</v>
      </c>
      <c r="D526" s="1077">
        <v>1.7350000000000001</v>
      </c>
      <c r="E526" s="1077" t="s">
        <v>15089</v>
      </c>
      <c r="F526" s="1077" t="s">
        <v>954</v>
      </c>
      <c r="G526" s="1077" t="s">
        <v>2084</v>
      </c>
      <c r="H526" s="1077" t="s">
        <v>1145</v>
      </c>
      <c r="I526" s="1077" t="s">
        <v>126</v>
      </c>
      <c r="J526" s="1077">
        <v>1.7</v>
      </c>
      <c r="K526" s="1077" t="s">
        <v>3287</v>
      </c>
      <c r="L526" s="1077" t="s">
        <v>1987</v>
      </c>
      <c r="M526" s="1077">
        <v>75</v>
      </c>
      <c r="N526" s="1077" t="s">
        <v>945</v>
      </c>
      <c r="O526" s="1077">
        <v>1.875</v>
      </c>
      <c r="P526" s="1077">
        <v>1.5</v>
      </c>
      <c r="Q526" s="1077">
        <v>3</v>
      </c>
      <c r="R526" s="1077">
        <v>23</v>
      </c>
      <c r="T526" s="1077" t="s">
        <v>3288</v>
      </c>
      <c r="U526" s="1077">
        <v>3.5</v>
      </c>
      <c r="V526" s="1077" t="s">
        <v>648</v>
      </c>
      <c r="W526" s="1077">
        <v>120</v>
      </c>
      <c r="X526" s="1077">
        <v>80</v>
      </c>
      <c r="Y526" s="1077">
        <v>1.8</v>
      </c>
      <c r="Z526" s="1077">
        <v>5.5</v>
      </c>
      <c r="AA526" s="1077" t="s">
        <v>3289</v>
      </c>
      <c r="AH526" s="1077" t="s">
        <v>712</v>
      </c>
      <c r="AM526" s="1078" t="s">
        <v>10096</v>
      </c>
      <c r="AN526" s="1078" t="s">
        <v>10097</v>
      </c>
      <c r="AO526" s="1078">
        <f t="shared" si="70"/>
        <v>500</v>
      </c>
      <c r="AP526" s="1078">
        <f t="shared" si="71"/>
        <v>1.7350000000000001</v>
      </c>
      <c r="AQ526" s="1078" t="str">
        <f t="shared" si="72"/>
        <v>1-4-1S83°</v>
      </c>
      <c r="AR526" s="1078" t="str">
        <f t="shared" si="73"/>
        <v>31</v>
      </c>
      <c r="AS526" s="1078" t="str">
        <f t="shared" si="74"/>
        <v>235/235/OFF</v>
      </c>
      <c r="AT526" s="1078" t="str">
        <f t="shared" si="75"/>
        <v>1-4-1S83°</v>
      </c>
      <c r="AV526" s="1078" t="str">
        <f t="shared" si="68"/>
        <v>111.11.22</v>
      </c>
      <c r="AW526" s="1344">
        <f t="shared" si="69"/>
        <v>44887</v>
      </c>
    </row>
    <row r="527" spans="1:49">
      <c r="A527" s="1077" t="s">
        <v>3290</v>
      </c>
      <c r="B527" s="1077" t="s">
        <v>1823</v>
      </c>
      <c r="C527" s="1077">
        <v>450</v>
      </c>
      <c r="D527" s="1077">
        <v>1.7549999999999999</v>
      </c>
      <c r="E527" s="1077" t="s">
        <v>15095</v>
      </c>
      <c r="F527" s="1077" t="s">
        <v>984</v>
      </c>
      <c r="G527" s="1077" t="s">
        <v>1016</v>
      </c>
      <c r="H527" s="1077" t="s">
        <v>1918</v>
      </c>
      <c r="I527" s="1077" t="s">
        <v>126</v>
      </c>
      <c r="J527" s="1077">
        <v>0.7</v>
      </c>
      <c r="K527" s="1077" t="s">
        <v>2338</v>
      </c>
      <c r="L527" s="1077" t="s">
        <v>1825</v>
      </c>
      <c r="M527" s="1077">
        <v>73.8</v>
      </c>
      <c r="N527" s="1077" t="s">
        <v>945</v>
      </c>
      <c r="O527" s="1077">
        <v>1.845</v>
      </c>
      <c r="P527" s="1077">
        <v>1.476</v>
      </c>
      <c r="Q527" s="1077">
        <v>3.5</v>
      </c>
      <c r="R527" s="1077">
        <v>18.5</v>
      </c>
      <c r="T527" s="1077">
        <v>21</v>
      </c>
      <c r="U527" s="1077">
        <v>3.8</v>
      </c>
      <c r="V527" s="1077" t="s">
        <v>648</v>
      </c>
      <c r="W527" s="1077">
        <v>110</v>
      </c>
      <c r="X527" s="1077">
        <v>85</v>
      </c>
      <c r="Y527" s="1077">
        <v>1.9</v>
      </c>
      <c r="Z527" s="1077">
        <v>4</v>
      </c>
      <c r="AA527" s="1077" t="s">
        <v>3289</v>
      </c>
      <c r="AH527" s="1077" t="s">
        <v>650</v>
      </c>
      <c r="AM527" s="1078" t="s">
        <v>10098</v>
      </c>
      <c r="AN527" s="1078" t="s">
        <v>10099</v>
      </c>
      <c r="AO527" s="1078">
        <f t="shared" si="70"/>
        <v>450</v>
      </c>
      <c r="AP527" s="1078">
        <f t="shared" si="71"/>
        <v>1.7549999999999999</v>
      </c>
      <c r="AQ527" s="1078" t="str">
        <f t="shared" si="72"/>
        <v>1-5-1S83°</v>
      </c>
      <c r="AR527" s="1078" t="str">
        <f t="shared" si="73"/>
        <v>30</v>
      </c>
      <c r="AS527" s="1078" t="str">
        <f t="shared" si="74"/>
        <v>233/233/OFF</v>
      </c>
      <c r="AT527" s="1078" t="str">
        <f t="shared" si="75"/>
        <v>1-5-1S83°</v>
      </c>
      <c r="AV527" s="1078" t="str">
        <f t="shared" si="68"/>
        <v>111.11.22</v>
      </c>
      <c r="AW527" s="1344">
        <f t="shared" si="69"/>
        <v>44887</v>
      </c>
    </row>
    <row r="528" spans="1:49">
      <c r="A528" s="1077" t="s">
        <v>3291</v>
      </c>
      <c r="B528" s="1077" t="s">
        <v>1783</v>
      </c>
      <c r="C528" s="1077">
        <v>500</v>
      </c>
      <c r="D528" s="1077">
        <v>1.69</v>
      </c>
      <c r="E528" s="1077" t="s">
        <v>15089</v>
      </c>
      <c r="F528" s="1077" t="s">
        <v>2001</v>
      </c>
      <c r="G528" s="1077" t="s">
        <v>1784</v>
      </c>
      <c r="H528" s="1077" t="s">
        <v>1017</v>
      </c>
      <c r="I528" s="1077" t="s">
        <v>126</v>
      </c>
      <c r="J528" s="1077">
        <v>0.3</v>
      </c>
      <c r="K528" s="1077" t="s">
        <v>3292</v>
      </c>
      <c r="L528" s="1077" t="s">
        <v>1787</v>
      </c>
      <c r="M528" s="1077">
        <v>76.099999999999994</v>
      </c>
      <c r="N528" s="1077" t="s">
        <v>945</v>
      </c>
      <c r="O528" s="1077">
        <v>1.9024999999999999</v>
      </c>
      <c r="P528" s="1077">
        <v>1.522</v>
      </c>
      <c r="Q528" s="1077" t="s">
        <v>3293</v>
      </c>
      <c r="R528" s="1077">
        <v>21</v>
      </c>
      <c r="T528" s="1077">
        <v>13</v>
      </c>
      <c r="U528" s="1077">
        <v>4</v>
      </c>
      <c r="V528" s="1077" t="s">
        <v>648</v>
      </c>
      <c r="W528" s="1077">
        <v>30</v>
      </c>
      <c r="X528" s="1077">
        <v>10</v>
      </c>
      <c r="Y528" s="1077">
        <v>2.5</v>
      </c>
      <c r="Z528" s="1077">
        <v>2</v>
      </c>
      <c r="AA528" s="1077" t="s">
        <v>3289</v>
      </c>
      <c r="AH528" s="1077" t="s">
        <v>990</v>
      </c>
      <c r="AM528" s="1078" t="s">
        <v>10100</v>
      </c>
      <c r="AN528" s="1078" t="s">
        <v>10101</v>
      </c>
      <c r="AO528" s="1078">
        <f t="shared" si="70"/>
        <v>500</v>
      </c>
      <c r="AP528" s="1078">
        <f t="shared" si="71"/>
        <v>1.69</v>
      </c>
      <c r="AQ528" s="1078" t="str">
        <f t="shared" si="72"/>
        <v>1-4-1S83°</v>
      </c>
      <c r="AR528" s="1078" t="str">
        <f t="shared" si="73"/>
        <v>29.9</v>
      </c>
      <c r="AS528" s="1078" t="str">
        <f t="shared" si="74"/>
        <v>200/200/OFF</v>
      </c>
      <c r="AT528" s="1078" t="str">
        <f t="shared" si="75"/>
        <v>1-4-1S83°</v>
      </c>
      <c r="AV528" s="1078" t="str">
        <f t="shared" si="68"/>
        <v>111.11.22</v>
      </c>
      <c r="AW528" s="1344">
        <f t="shared" si="69"/>
        <v>44887</v>
      </c>
    </row>
    <row r="529" spans="1:49">
      <c r="A529" s="1077" t="s">
        <v>3294</v>
      </c>
      <c r="B529" s="1077" t="s">
        <v>424</v>
      </c>
      <c r="C529" s="1077">
        <v>600</v>
      </c>
      <c r="D529" s="1077">
        <v>1.76</v>
      </c>
      <c r="E529" s="1077" t="s">
        <v>15091</v>
      </c>
      <c r="F529" s="1077" t="s">
        <v>984</v>
      </c>
      <c r="G529" s="1077" t="s">
        <v>1767</v>
      </c>
      <c r="H529" s="1077" t="s">
        <v>1952</v>
      </c>
      <c r="I529" s="1077" t="s">
        <v>1112</v>
      </c>
      <c r="J529" s="1077">
        <v>1.5</v>
      </c>
      <c r="K529" s="1077" t="s">
        <v>3295</v>
      </c>
      <c r="L529" s="1077" t="s">
        <v>1938</v>
      </c>
      <c r="M529" s="1077">
        <v>74.599999999999994</v>
      </c>
      <c r="N529" s="1077" t="s">
        <v>945</v>
      </c>
      <c r="O529" s="1077">
        <v>1.865</v>
      </c>
      <c r="P529" s="1077">
        <v>1.492</v>
      </c>
      <c r="Q529" s="1077">
        <v>4</v>
      </c>
      <c r="R529" s="1077">
        <v>22</v>
      </c>
      <c r="T529" s="1077">
        <v>32</v>
      </c>
      <c r="U529" s="1077">
        <v>3.4</v>
      </c>
      <c r="V529" s="1077" t="s">
        <v>648</v>
      </c>
      <c r="W529" s="1077" t="s">
        <v>3296</v>
      </c>
      <c r="X529" s="1077">
        <v>60</v>
      </c>
      <c r="Y529" s="1077" t="s">
        <v>3297</v>
      </c>
      <c r="Z529" s="1077">
        <v>6</v>
      </c>
      <c r="AA529" s="1077" t="s">
        <v>3298</v>
      </c>
      <c r="AH529" s="1077" t="s">
        <v>842</v>
      </c>
      <c r="AM529" s="1078" t="s">
        <v>10102</v>
      </c>
      <c r="AN529" s="1078" t="s">
        <v>10103</v>
      </c>
      <c r="AO529" s="1078">
        <f t="shared" si="70"/>
        <v>600</v>
      </c>
      <c r="AP529" s="1078">
        <f t="shared" si="71"/>
        <v>1.76</v>
      </c>
      <c r="AQ529" s="1078" t="str">
        <f t="shared" si="72"/>
        <v>2-5-1S83°</v>
      </c>
      <c r="AR529" s="1078" t="str">
        <f t="shared" si="73"/>
        <v>30</v>
      </c>
      <c r="AS529" s="1078" t="str">
        <f t="shared" si="74"/>
        <v>166/OFF</v>
      </c>
      <c r="AT529" s="1078" t="str">
        <f t="shared" si="75"/>
        <v>2-5-1S83°</v>
      </c>
      <c r="AV529" s="1078" t="str">
        <f t="shared" si="68"/>
        <v>111.12.6</v>
      </c>
      <c r="AW529" s="1344">
        <f t="shared" si="69"/>
        <v>44901</v>
      </c>
    </row>
    <row r="530" spans="1:49">
      <c r="A530" s="1077" t="s">
        <v>3299</v>
      </c>
      <c r="B530" s="1077" t="s">
        <v>620</v>
      </c>
      <c r="C530" s="1077">
        <v>500</v>
      </c>
      <c r="D530" s="1077">
        <v>1.69</v>
      </c>
      <c r="E530" s="1077" t="s">
        <v>15091</v>
      </c>
      <c r="F530" s="1077" t="s">
        <v>984</v>
      </c>
      <c r="G530" s="1077" t="s">
        <v>940</v>
      </c>
      <c r="H530" s="1077" t="s">
        <v>3300</v>
      </c>
      <c r="I530" s="1077" t="s">
        <v>626</v>
      </c>
      <c r="J530" s="1077">
        <v>1.6</v>
      </c>
      <c r="K530" s="1077" t="s">
        <v>3191</v>
      </c>
      <c r="L530" s="1077" t="s">
        <v>2032</v>
      </c>
      <c r="M530" s="1077">
        <v>77</v>
      </c>
      <c r="N530" s="1077" t="s">
        <v>945</v>
      </c>
      <c r="O530" s="1077">
        <v>1.925</v>
      </c>
      <c r="P530" s="1077">
        <v>1.54</v>
      </c>
      <c r="Q530" s="1077">
        <v>4</v>
      </c>
      <c r="R530" s="1077">
        <v>22</v>
      </c>
      <c r="T530" s="1077">
        <v>9</v>
      </c>
      <c r="U530" s="1077">
        <v>3.5</v>
      </c>
      <c r="V530" s="1077" t="s">
        <v>648</v>
      </c>
      <c r="W530" s="1077">
        <v>140</v>
      </c>
      <c r="X530" s="1077" t="s">
        <v>3301</v>
      </c>
      <c r="Y530" s="1077">
        <v>2.1</v>
      </c>
      <c r="Z530" s="1077">
        <v>2.5</v>
      </c>
      <c r="AA530" s="1077" t="s">
        <v>1546</v>
      </c>
      <c r="AH530" s="1077" t="s">
        <v>783</v>
      </c>
      <c r="AM530" s="1078" t="s">
        <v>10104</v>
      </c>
      <c r="AN530" s="1078" t="s">
        <v>10105</v>
      </c>
      <c r="AO530" s="1078">
        <f t="shared" si="70"/>
        <v>500</v>
      </c>
      <c r="AP530" s="1078">
        <f t="shared" si="71"/>
        <v>1.69</v>
      </c>
      <c r="AQ530" s="1078" t="str">
        <f t="shared" si="72"/>
        <v>2-5-1S83°</v>
      </c>
      <c r="AR530" s="1078" t="str">
        <f t="shared" si="73"/>
        <v>30</v>
      </c>
      <c r="AS530" s="1078" t="str">
        <f t="shared" si="74"/>
        <v>158/160</v>
      </c>
      <c r="AT530" s="1078" t="str">
        <f t="shared" si="75"/>
        <v>2-5-1S83°</v>
      </c>
      <c r="AV530" s="1078" t="str">
        <f t="shared" si="68"/>
        <v>111.12.8</v>
      </c>
      <c r="AW530" s="1344">
        <f t="shared" si="69"/>
        <v>44903</v>
      </c>
    </row>
    <row r="531" spans="1:49">
      <c r="A531" s="1077" t="s">
        <v>3302</v>
      </c>
      <c r="B531" s="1077" t="s">
        <v>1842</v>
      </c>
      <c r="C531" s="1077">
        <v>500</v>
      </c>
      <c r="D531" s="1077">
        <v>1.7</v>
      </c>
      <c r="E531" s="1077" t="s">
        <v>15095</v>
      </c>
      <c r="F531" s="1077" t="s">
        <v>984</v>
      </c>
      <c r="G531" s="1077" t="s">
        <v>1016</v>
      </c>
      <c r="H531" s="1077" t="s">
        <v>1290</v>
      </c>
      <c r="I531" s="1077" t="s">
        <v>126</v>
      </c>
      <c r="J531" s="1077">
        <v>0.8</v>
      </c>
      <c r="K531" s="1077" t="s">
        <v>2379</v>
      </c>
      <c r="L531" s="1077" t="s">
        <v>1844</v>
      </c>
      <c r="M531" s="1077">
        <v>77.099999999999994</v>
      </c>
      <c r="N531" s="1077" t="s">
        <v>945</v>
      </c>
      <c r="O531" s="1077">
        <v>1.9275</v>
      </c>
      <c r="P531" s="1077">
        <v>1.5419999999999998</v>
      </c>
      <c r="Q531" s="1077">
        <v>4</v>
      </c>
      <c r="R531" s="1077">
        <v>23</v>
      </c>
      <c r="T531" s="1077">
        <v>18</v>
      </c>
      <c r="U531" s="1077">
        <v>4</v>
      </c>
      <c r="V531" s="1077" t="s">
        <v>648</v>
      </c>
      <c r="W531" s="1077">
        <v>110</v>
      </c>
      <c r="X531" s="1077" t="s">
        <v>3303</v>
      </c>
      <c r="Y531" s="1077">
        <v>1.8</v>
      </c>
      <c r="Z531" s="1077">
        <v>4.5</v>
      </c>
      <c r="AA531" s="1077" t="s">
        <v>3298</v>
      </c>
      <c r="AH531" s="1077" t="s">
        <v>868</v>
      </c>
      <c r="AM531" s="1078" t="s">
        <v>10106</v>
      </c>
      <c r="AN531" s="1078" t="s">
        <v>10107</v>
      </c>
      <c r="AO531" s="1078">
        <f t="shared" si="70"/>
        <v>500</v>
      </c>
      <c r="AP531" s="1078">
        <f t="shared" si="71"/>
        <v>1.7</v>
      </c>
      <c r="AQ531" s="1078" t="str">
        <f t="shared" si="72"/>
        <v>1-5-1S83°</v>
      </c>
      <c r="AR531" s="1078" t="str">
        <f t="shared" si="73"/>
        <v>30</v>
      </c>
      <c r="AS531" s="1078" t="str">
        <f t="shared" si="74"/>
        <v>220/220/OFF</v>
      </c>
      <c r="AT531" s="1078" t="str">
        <f t="shared" si="75"/>
        <v>1-5-1S83°</v>
      </c>
      <c r="AV531" s="1078" t="str">
        <f t="shared" si="68"/>
        <v>111.12.6</v>
      </c>
      <c r="AW531" s="1344">
        <f t="shared" si="69"/>
        <v>44901</v>
      </c>
    </row>
    <row r="532" spans="1:49">
      <c r="A532" s="1077" t="s">
        <v>3304</v>
      </c>
      <c r="B532" s="1077" t="s">
        <v>1783</v>
      </c>
      <c r="C532" s="1077">
        <v>500</v>
      </c>
      <c r="D532" s="1077">
        <v>1.6850000000000001</v>
      </c>
      <c r="E532" s="1077" t="s">
        <v>15089</v>
      </c>
      <c r="F532" s="1077" t="s">
        <v>2001</v>
      </c>
      <c r="G532" s="1077" t="s">
        <v>1784</v>
      </c>
      <c r="H532" s="1077" t="s">
        <v>2295</v>
      </c>
      <c r="I532" s="1077" t="s">
        <v>126</v>
      </c>
      <c r="J532" s="1077">
        <v>0.3</v>
      </c>
      <c r="K532" s="1077" t="s">
        <v>3305</v>
      </c>
      <c r="L532" s="1077" t="s">
        <v>1787</v>
      </c>
      <c r="M532" s="1077">
        <v>76.099999999999994</v>
      </c>
      <c r="N532" s="1077" t="s">
        <v>945</v>
      </c>
      <c r="O532" s="1077">
        <v>1.9024999999999999</v>
      </c>
      <c r="P532" s="1077">
        <v>1.522</v>
      </c>
      <c r="Q532" s="1077">
        <v>4</v>
      </c>
      <c r="R532" s="1077">
        <v>21</v>
      </c>
      <c r="T532" s="1077" t="s">
        <v>3306</v>
      </c>
      <c r="U532" s="1077" t="s">
        <v>3307</v>
      </c>
      <c r="V532" s="1077" t="s">
        <v>648</v>
      </c>
      <c r="W532" s="1077">
        <v>30</v>
      </c>
      <c r="X532" s="1077">
        <v>10</v>
      </c>
      <c r="Y532" s="1077">
        <v>2.5</v>
      </c>
      <c r="Z532" s="1077">
        <v>2</v>
      </c>
      <c r="AA532" s="1077" t="s">
        <v>3308</v>
      </c>
      <c r="AH532" s="1077" t="s">
        <v>813</v>
      </c>
      <c r="AM532" s="1078" t="s">
        <v>10108</v>
      </c>
      <c r="AN532" s="1078" t="s">
        <v>10109</v>
      </c>
      <c r="AO532" s="1078">
        <f t="shared" si="70"/>
        <v>500</v>
      </c>
      <c r="AP532" s="1078">
        <f t="shared" si="71"/>
        <v>1.6850000000000001</v>
      </c>
      <c r="AQ532" s="1078" t="str">
        <f t="shared" si="72"/>
        <v>1-4-1S83°</v>
      </c>
      <c r="AR532" s="1078" t="str">
        <f t="shared" si="73"/>
        <v>29.9</v>
      </c>
      <c r="AS532" s="1078" t="str">
        <f t="shared" si="74"/>
        <v>205/205/OFF</v>
      </c>
      <c r="AT532" s="1078" t="str">
        <f t="shared" si="75"/>
        <v>1-4-1S83°</v>
      </c>
      <c r="AV532" s="1078" t="str">
        <f t="shared" si="68"/>
        <v>111.12.26</v>
      </c>
      <c r="AW532" s="1344">
        <f t="shared" si="69"/>
        <v>44921</v>
      </c>
    </row>
    <row r="533" spans="1:49">
      <c r="A533" s="1077" t="s">
        <v>2444</v>
      </c>
      <c r="B533" s="1077" t="s">
        <v>453</v>
      </c>
      <c r="C533" s="1077">
        <v>650</v>
      </c>
      <c r="D533" s="1077">
        <v>1.7</v>
      </c>
      <c r="E533" s="1077" t="s">
        <v>15089</v>
      </c>
      <c r="F533" s="1077" t="s">
        <v>984</v>
      </c>
      <c r="G533" s="1077" t="s">
        <v>1767</v>
      </c>
      <c r="H533" s="1077" t="s">
        <v>1831</v>
      </c>
      <c r="I533" s="1077" t="s">
        <v>126</v>
      </c>
      <c r="J533" s="1077">
        <v>1</v>
      </c>
      <c r="K533" s="1077" t="s">
        <v>2440</v>
      </c>
      <c r="L533" s="1077" t="s">
        <v>1776</v>
      </c>
      <c r="M533" s="1077">
        <v>77</v>
      </c>
      <c r="N533" s="1077" t="s">
        <v>945</v>
      </c>
      <c r="O533" s="1077">
        <v>1.925</v>
      </c>
      <c r="P533" s="1077">
        <v>1.54</v>
      </c>
      <c r="Q533" s="1077" t="s">
        <v>2407</v>
      </c>
      <c r="R533" s="1077">
        <v>24</v>
      </c>
      <c r="T533" s="1077">
        <v>9</v>
      </c>
      <c r="U533" s="1077">
        <v>2.2000000000000002</v>
      </c>
      <c r="V533" s="1077" t="s">
        <v>648</v>
      </c>
      <c r="W533" s="1077">
        <v>110</v>
      </c>
      <c r="X533" s="1077" t="s">
        <v>1130</v>
      </c>
      <c r="Y533" s="1077" t="s">
        <v>2445</v>
      </c>
      <c r="Z533" s="1077">
        <v>2.5</v>
      </c>
      <c r="AA533" s="1077" t="s">
        <v>1340</v>
      </c>
      <c r="AB533" s="1077" t="s">
        <v>981</v>
      </c>
      <c r="AH533" s="1077" t="s">
        <v>994</v>
      </c>
      <c r="AM533" s="1078" t="s">
        <v>9535</v>
      </c>
      <c r="AN533" s="1078" t="s">
        <v>9536</v>
      </c>
      <c r="AO533" s="1078">
        <f t="shared" si="70"/>
        <v>650</v>
      </c>
      <c r="AP533" s="1078">
        <f t="shared" si="71"/>
        <v>1.7</v>
      </c>
      <c r="AQ533" s="1078" t="str">
        <f t="shared" si="72"/>
        <v>1-4-1S83°</v>
      </c>
      <c r="AR533" s="1078" t="str">
        <f t="shared" si="73"/>
        <v>30</v>
      </c>
      <c r="AS533" s="1078" t="str">
        <f t="shared" si="74"/>
        <v>260/260/165</v>
      </c>
      <c r="AT533" s="1078" t="str">
        <f t="shared" si="75"/>
        <v>1-4-1S83°</v>
      </c>
      <c r="AV533" s="1078" t="str">
        <f t="shared" si="68"/>
        <v>109.9.30</v>
      </c>
      <c r="AW533" s="1344">
        <f t="shared" si="69"/>
        <v>44104</v>
      </c>
    </row>
    <row r="534" spans="1:49">
      <c r="A534" s="1077" t="s">
        <v>3309</v>
      </c>
      <c r="B534" s="1077" t="s">
        <v>3155</v>
      </c>
      <c r="C534" s="1077">
        <v>550</v>
      </c>
      <c r="D534" s="1077">
        <v>1.75</v>
      </c>
      <c r="E534" s="1077" t="s">
        <v>15095</v>
      </c>
      <c r="F534" s="1077" t="s">
        <v>984</v>
      </c>
      <c r="G534" s="1077" t="s">
        <v>940</v>
      </c>
      <c r="H534" s="1077" t="s">
        <v>1009</v>
      </c>
      <c r="I534" s="1077" t="s">
        <v>626</v>
      </c>
      <c r="J534" s="1077">
        <v>0.75</v>
      </c>
      <c r="K534" s="1077" t="s">
        <v>3156</v>
      </c>
      <c r="L534" s="1077" t="s">
        <v>1763</v>
      </c>
      <c r="M534" s="1077">
        <v>78</v>
      </c>
      <c r="N534" s="1077" t="s">
        <v>945</v>
      </c>
      <c r="O534" s="1077">
        <v>1.9500000000000002</v>
      </c>
      <c r="P534" s="1077">
        <v>1.56</v>
      </c>
      <c r="Q534" s="1077">
        <v>3</v>
      </c>
      <c r="R534" s="1077">
        <v>30</v>
      </c>
      <c r="T534" s="1077">
        <v>9.6</v>
      </c>
      <c r="U534" s="1077">
        <v>6.8</v>
      </c>
      <c r="V534" s="1077" t="s">
        <v>648</v>
      </c>
      <c r="W534" s="1077">
        <v>135</v>
      </c>
      <c r="X534" s="1077">
        <v>65</v>
      </c>
      <c r="Y534" s="1077">
        <v>1.4</v>
      </c>
      <c r="Z534" s="1077">
        <v>4</v>
      </c>
      <c r="AA534" s="1077" t="s">
        <v>3257</v>
      </c>
      <c r="AH534" s="1077" t="s">
        <v>875</v>
      </c>
      <c r="AM534" s="1078" t="s">
        <v>10110</v>
      </c>
      <c r="AN534" s="1078" t="s">
        <v>10111</v>
      </c>
      <c r="AO534" s="1078">
        <f t="shared" si="70"/>
        <v>550</v>
      </c>
      <c r="AP534" s="1078">
        <f t="shared" si="71"/>
        <v>1.75</v>
      </c>
      <c r="AQ534" s="1078" t="str">
        <f t="shared" si="72"/>
        <v>1-5-1S83°</v>
      </c>
      <c r="AR534" s="1078" t="str">
        <f t="shared" si="73"/>
        <v>30</v>
      </c>
      <c r="AS534" s="1078" t="str">
        <f t="shared" si="74"/>
        <v>195/195/OFF</v>
      </c>
      <c r="AT534" s="1078" t="str">
        <f t="shared" si="75"/>
        <v>1-5-1S83°</v>
      </c>
      <c r="AV534" s="1078" t="str">
        <f t="shared" si="68"/>
        <v>110.4.7</v>
      </c>
      <c r="AW534" s="1344">
        <f t="shared" si="69"/>
        <v>44293</v>
      </c>
    </row>
    <row r="535" spans="1:49">
      <c r="A535" s="1077" t="s">
        <v>3310</v>
      </c>
      <c r="B535" s="1077" t="s">
        <v>1899</v>
      </c>
      <c r="C535" s="1077">
        <v>650</v>
      </c>
      <c r="D535" s="1077">
        <v>1.67</v>
      </c>
      <c r="E535" s="1077" t="s">
        <v>15089</v>
      </c>
      <c r="F535" s="1077" t="s">
        <v>954</v>
      </c>
      <c r="G535" s="1077" t="s">
        <v>940</v>
      </c>
      <c r="H535" s="1077" t="s">
        <v>1649</v>
      </c>
      <c r="I535" s="1077" t="s">
        <v>126</v>
      </c>
      <c r="J535" s="1077">
        <v>1.4</v>
      </c>
      <c r="K535" s="1077" t="s">
        <v>3311</v>
      </c>
      <c r="L535" s="1077" t="s">
        <v>1924</v>
      </c>
      <c r="M535" s="1077">
        <v>75.400000000000006</v>
      </c>
      <c r="N535" s="1077" t="s">
        <v>945</v>
      </c>
      <c r="O535" s="1077">
        <v>1.8850000000000002</v>
      </c>
      <c r="P535" s="1077">
        <v>1.5080000000000002</v>
      </c>
      <c r="Q535" s="1077">
        <v>3</v>
      </c>
      <c r="R535" s="1077">
        <v>29</v>
      </c>
      <c r="T535" s="1077">
        <v>18</v>
      </c>
      <c r="U535" s="1077">
        <v>6</v>
      </c>
      <c r="V535" s="1077" t="s">
        <v>648</v>
      </c>
      <c r="W535" s="1077">
        <v>120</v>
      </c>
      <c r="X535" s="1077">
        <v>80</v>
      </c>
      <c r="Y535" s="1077">
        <v>2</v>
      </c>
      <c r="Z535" s="1077">
        <v>5</v>
      </c>
      <c r="AA535" s="1077" t="s">
        <v>3312</v>
      </c>
      <c r="AH535" s="1077" t="s">
        <v>958</v>
      </c>
      <c r="AM535" s="1078" t="s">
        <v>10112</v>
      </c>
      <c r="AN535" s="1078" t="s">
        <v>10113</v>
      </c>
      <c r="AO535" s="1078">
        <f t="shared" si="70"/>
        <v>650</v>
      </c>
      <c r="AP535" s="1078">
        <f t="shared" si="71"/>
        <v>1.67</v>
      </c>
      <c r="AQ535" s="1078" t="str">
        <f t="shared" si="72"/>
        <v>1-4-1S83°</v>
      </c>
      <c r="AR535" s="1078" t="str">
        <f t="shared" si="73"/>
        <v>31</v>
      </c>
      <c r="AS535" s="1078" t="str">
        <f t="shared" si="74"/>
        <v>225/225/OFF</v>
      </c>
      <c r="AT535" s="1078" t="str">
        <f t="shared" si="75"/>
        <v>1-4-1S83°</v>
      </c>
      <c r="AV535" s="1078" t="str">
        <f t="shared" si="68"/>
        <v>110.4.21</v>
      </c>
      <c r="AW535" s="1344">
        <f t="shared" si="69"/>
        <v>44307</v>
      </c>
    </row>
    <row r="536" spans="1:49">
      <c r="A536" s="1077" t="s">
        <v>3313</v>
      </c>
      <c r="B536" s="1077" t="s">
        <v>424</v>
      </c>
      <c r="C536" s="1077">
        <v>650</v>
      </c>
      <c r="D536" s="1077">
        <v>1.7350000000000001</v>
      </c>
      <c r="E536" s="1077" t="s">
        <v>15089</v>
      </c>
      <c r="F536" s="1077" t="s">
        <v>1897</v>
      </c>
      <c r="G536" s="1077" t="s">
        <v>1767</v>
      </c>
      <c r="H536" s="1077" t="s">
        <v>3314</v>
      </c>
      <c r="I536" s="1077" t="s">
        <v>126</v>
      </c>
      <c r="J536" s="1077">
        <v>1.7</v>
      </c>
      <c r="K536" s="1077" t="s">
        <v>3132</v>
      </c>
      <c r="L536" s="1077" t="s">
        <v>1938</v>
      </c>
      <c r="M536" s="1077">
        <v>77</v>
      </c>
      <c r="N536" s="1077" t="s">
        <v>945</v>
      </c>
      <c r="O536" s="1077">
        <v>1.925</v>
      </c>
      <c r="P536" s="1077">
        <v>1.54</v>
      </c>
      <c r="Q536" s="1077">
        <v>4.2</v>
      </c>
      <c r="R536" s="1077">
        <v>24</v>
      </c>
      <c r="T536" s="1077">
        <v>19</v>
      </c>
      <c r="U536" s="1077">
        <v>1.8</v>
      </c>
      <c r="V536" s="1077" t="s">
        <v>648</v>
      </c>
      <c r="W536" s="1077">
        <v>110</v>
      </c>
      <c r="X536" s="1077">
        <v>60</v>
      </c>
      <c r="Y536" s="1077">
        <v>1.7</v>
      </c>
      <c r="Z536" s="1077">
        <v>3.5</v>
      </c>
      <c r="AA536" s="1077" t="s">
        <v>3312</v>
      </c>
      <c r="AH536" s="1077" t="s">
        <v>468</v>
      </c>
      <c r="AM536" s="1078" t="s">
        <v>10114</v>
      </c>
      <c r="AN536" s="1078" t="s">
        <v>10115</v>
      </c>
      <c r="AO536" s="1078">
        <f t="shared" si="70"/>
        <v>650</v>
      </c>
      <c r="AP536" s="1078">
        <f t="shared" si="71"/>
        <v>1.7350000000000001</v>
      </c>
      <c r="AQ536" s="1078" t="str">
        <f t="shared" si="72"/>
        <v>1-4-1S83°</v>
      </c>
      <c r="AR536" s="1078" t="str">
        <f t="shared" si="73"/>
        <v>30.8</v>
      </c>
      <c r="AS536" s="1078" t="str">
        <f t="shared" si="74"/>
        <v>290/290/165</v>
      </c>
      <c r="AT536" s="1078" t="str">
        <f t="shared" si="75"/>
        <v>1-4-1S83°</v>
      </c>
      <c r="AV536" s="1078" t="str">
        <f t="shared" si="68"/>
        <v>110.4.21</v>
      </c>
      <c r="AW536" s="1344">
        <f t="shared" si="69"/>
        <v>44307</v>
      </c>
    </row>
    <row r="537" spans="1:49">
      <c r="A537" s="1077" t="s">
        <v>3315</v>
      </c>
      <c r="B537" s="1077" t="s">
        <v>850</v>
      </c>
      <c r="C537" s="1077">
        <v>550</v>
      </c>
      <c r="D537" s="1077">
        <v>1.75</v>
      </c>
      <c r="E537" s="1077" t="s">
        <v>15089</v>
      </c>
      <c r="F537" s="1077" t="s">
        <v>984</v>
      </c>
      <c r="G537" s="1077" t="s">
        <v>940</v>
      </c>
      <c r="H537" s="1077" t="s">
        <v>1009</v>
      </c>
      <c r="I537" s="1077" t="s">
        <v>626</v>
      </c>
      <c r="J537" s="1077">
        <v>0.8</v>
      </c>
      <c r="K537" s="1077" t="s">
        <v>3156</v>
      </c>
      <c r="L537" s="1077" t="s">
        <v>1763</v>
      </c>
      <c r="M537" s="1077">
        <v>78</v>
      </c>
      <c r="N537" s="1077" t="s">
        <v>945</v>
      </c>
      <c r="O537" s="1077">
        <v>1.9500000000000002</v>
      </c>
      <c r="P537" s="1077">
        <v>1.56</v>
      </c>
      <c r="Q537" s="1077">
        <v>3</v>
      </c>
      <c r="R537" s="1077">
        <v>30</v>
      </c>
      <c r="T537" s="1077">
        <v>9.6</v>
      </c>
      <c r="U537" s="1077">
        <v>6.8</v>
      </c>
      <c r="V537" s="1077" t="s">
        <v>648</v>
      </c>
      <c r="W537" s="1077">
        <v>135</v>
      </c>
      <c r="X537" s="1077">
        <v>65</v>
      </c>
      <c r="Y537" s="1077">
        <v>1.4</v>
      </c>
      <c r="Z537" s="1077">
        <v>4</v>
      </c>
      <c r="AA537" s="1077" t="s">
        <v>3312</v>
      </c>
      <c r="AH537" s="1077" t="s">
        <v>889</v>
      </c>
      <c r="AM537" s="1078" t="s">
        <v>10116</v>
      </c>
      <c r="AN537" s="1078" t="s">
        <v>10117</v>
      </c>
      <c r="AO537" s="1078">
        <f t="shared" si="70"/>
        <v>550</v>
      </c>
      <c r="AP537" s="1078">
        <f t="shared" si="71"/>
        <v>1.75</v>
      </c>
      <c r="AQ537" s="1078" t="str">
        <f t="shared" si="72"/>
        <v>1-4-1S83°</v>
      </c>
      <c r="AR537" s="1078" t="str">
        <f t="shared" si="73"/>
        <v>30</v>
      </c>
      <c r="AS537" s="1078" t="str">
        <f t="shared" si="74"/>
        <v>195/195/OFF</v>
      </c>
      <c r="AT537" s="1078" t="str">
        <f t="shared" si="75"/>
        <v>1-4-1S83°</v>
      </c>
      <c r="AV537" s="1078" t="str">
        <f t="shared" si="68"/>
        <v>110.4.21</v>
      </c>
      <c r="AW537" s="1344">
        <f t="shared" si="69"/>
        <v>44307</v>
      </c>
    </row>
    <row r="538" spans="1:49">
      <c r="A538" s="1077" t="s">
        <v>3316</v>
      </c>
      <c r="B538" s="1077" t="s">
        <v>424</v>
      </c>
      <c r="C538" s="1077">
        <v>700</v>
      </c>
      <c r="D538" s="1077">
        <v>1.77</v>
      </c>
      <c r="E538" s="1077" t="s">
        <v>15089</v>
      </c>
      <c r="F538" s="1077" t="s">
        <v>954</v>
      </c>
      <c r="G538" s="1077" t="s">
        <v>1767</v>
      </c>
      <c r="H538" s="1077" t="s">
        <v>2708</v>
      </c>
      <c r="I538" s="1077" t="s">
        <v>126</v>
      </c>
      <c r="J538" s="1077">
        <v>1.7</v>
      </c>
      <c r="K538" s="1077" t="s">
        <v>3317</v>
      </c>
      <c r="L538" s="1077" t="s">
        <v>1938</v>
      </c>
      <c r="M538" s="1077">
        <v>73</v>
      </c>
      <c r="N538" s="1077" t="s">
        <v>945</v>
      </c>
      <c r="O538" s="1077">
        <v>1.8250000000000002</v>
      </c>
      <c r="P538" s="1077">
        <v>1.46</v>
      </c>
      <c r="Q538" s="1077">
        <v>4</v>
      </c>
      <c r="R538" s="1077">
        <v>21.6</v>
      </c>
      <c r="T538" s="1077">
        <v>32</v>
      </c>
      <c r="U538" s="1077">
        <v>3.5</v>
      </c>
      <c r="V538" s="1077" t="s">
        <v>648</v>
      </c>
      <c r="W538" s="1077">
        <v>110</v>
      </c>
      <c r="X538" s="1077">
        <v>60</v>
      </c>
      <c r="Y538" s="1077">
        <v>1.5</v>
      </c>
      <c r="Z538" s="1077">
        <v>5.5</v>
      </c>
      <c r="AA538" s="1077" t="s">
        <v>3318</v>
      </c>
      <c r="AH538" s="1077" t="s">
        <v>2427</v>
      </c>
      <c r="AM538" s="1078" t="s">
        <v>10118</v>
      </c>
      <c r="AN538" s="1078" t="s">
        <v>10119</v>
      </c>
      <c r="AO538" s="1078">
        <f t="shared" si="70"/>
        <v>700</v>
      </c>
      <c r="AP538" s="1078">
        <f t="shared" si="71"/>
        <v>1.77</v>
      </c>
      <c r="AQ538" s="1078" t="str">
        <f t="shared" si="72"/>
        <v>1-4-1S83°</v>
      </c>
      <c r="AR538" s="1078" t="str">
        <f t="shared" si="73"/>
        <v>31</v>
      </c>
      <c r="AS538" s="1078" t="str">
        <f t="shared" si="74"/>
        <v>295/295/OFF</v>
      </c>
      <c r="AT538" s="1078" t="str">
        <f t="shared" si="75"/>
        <v>1-4-1S83°</v>
      </c>
      <c r="AV538" s="1078" t="str">
        <f t="shared" si="68"/>
        <v>110.4.22</v>
      </c>
      <c r="AW538" s="1344">
        <f t="shared" si="69"/>
        <v>44308</v>
      </c>
    </row>
    <row r="539" spans="1:49">
      <c r="A539" s="1077" t="s">
        <v>3319</v>
      </c>
      <c r="B539" s="1077" t="s">
        <v>1766</v>
      </c>
      <c r="C539" s="1077">
        <v>700</v>
      </c>
      <c r="D539" s="1077">
        <v>1.8</v>
      </c>
      <c r="E539" s="1077" t="s">
        <v>15091</v>
      </c>
      <c r="F539" s="1077" t="s">
        <v>954</v>
      </c>
      <c r="G539" s="1077" t="s">
        <v>1767</v>
      </c>
      <c r="H539" s="1077" t="s">
        <v>1048</v>
      </c>
      <c r="I539" s="1077" t="s">
        <v>1073</v>
      </c>
      <c r="J539" s="1077">
        <v>0.5</v>
      </c>
      <c r="K539" s="1077" t="s">
        <v>1768</v>
      </c>
      <c r="L539" s="1077" t="s">
        <v>1769</v>
      </c>
      <c r="M539" s="1077">
        <v>74.8</v>
      </c>
      <c r="N539" s="1077" t="s">
        <v>945</v>
      </c>
      <c r="O539" s="1077">
        <v>1.87</v>
      </c>
      <c r="P539" s="1077">
        <v>1.496</v>
      </c>
      <c r="Q539" s="1077">
        <v>4</v>
      </c>
      <c r="R539" s="1077">
        <v>18.7</v>
      </c>
      <c r="T539" s="1077">
        <v>40.1</v>
      </c>
      <c r="U539" s="1077">
        <v>3.4</v>
      </c>
      <c r="V539" s="1077" t="s">
        <v>648</v>
      </c>
      <c r="W539" s="1077">
        <v>30</v>
      </c>
      <c r="X539" s="1077">
        <v>10</v>
      </c>
      <c r="Y539" s="1077">
        <v>1.7</v>
      </c>
      <c r="Z539" s="1077">
        <v>5.5</v>
      </c>
      <c r="AA539" s="1077" t="s">
        <v>3320</v>
      </c>
      <c r="AH539" s="1077" t="s">
        <v>3321</v>
      </c>
      <c r="AM539" s="1078" t="s">
        <v>10120</v>
      </c>
      <c r="AN539" s="1078" t="s">
        <v>10121</v>
      </c>
      <c r="AO539" s="1078">
        <f t="shared" si="70"/>
        <v>700</v>
      </c>
      <c r="AP539" s="1078">
        <f t="shared" si="71"/>
        <v>1.8</v>
      </c>
      <c r="AQ539" s="1078" t="str">
        <f t="shared" si="72"/>
        <v>2-5-1S83°</v>
      </c>
      <c r="AR539" s="1078" t="str">
        <f t="shared" si="73"/>
        <v>31</v>
      </c>
      <c r="AS539" s="1078" t="str">
        <f t="shared" si="74"/>
        <v>188/OFF</v>
      </c>
      <c r="AT539" s="1078" t="str">
        <f t="shared" si="75"/>
        <v>2-5-1S83°</v>
      </c>
      <c r="AV539" s="1078" t="str">
        <f t="shared" si="68"/>
        <v>110.4.29</v>
      </c>
      <c r="AW539" s="1344">
        <f t="shared" si="69"/>
        <v>44315</v>
      </c>
    </row>
    <row r="540" spans="1:49">
      <c r="A540" s="1077" t="s">
        <v>3322</v>
      </c>
      <c r="B540" s="1077" t="s">
        <v>424</v>
      </c>
      <c r="C540" s="1077">
        <v>700</v>
      </c>
      <c r="D540" s="1077">
        <v>1.7649999999999999</v>
      </c>
      <c r="E540" s="1077" t="s">
        <v>15089</v>
      </c>
      <c r="F540" s="1077" t="s">
        <v>1897</v>
      </c>
      <c r="G540" s="1077" t="s">
        <v>1767</v>
      </c>
      <c r="H540" s="1077" t="s">
        <v>3227</v>
      </c>
      <c r="I540" s="1077" t="s">
        <v>626</v>
      </c>
      <c r="J540" s="1077">
        <v>4</v>
      </c>
      <c r="K540" s="1077" t="s">
        <v>3238</v>
      </c>
      <c r="L540" s="1077" t="s">
        <v>1938</v>
      </c>
      <c r="M540" s="1077">
        <v>75.599999999999994</v>
      </c>
      <c r="N540" s="1077" t="s">
        <v>945</v>
      </c>
      <c r="O540" s="1077">
        <v>1.89</v>
      </c>
      <c r="P540" s="1077">
        <v>1.512</v>
      </c>
      <c r="Q540" s="1077">
        <v>3.5</v>
      </c>
      <c r="R540" s="1077">
        <v>18.600000000000001</v>
      </c>
      <c r="T540" s="1077">
        <v>18.8</v>
      </c>
      <c r="U540" s="1077">
        <v>2.9</v>
      </c>
      <c r="V540" s="1077" t="s">
        <v>648</v>
      </c>
      <c r="W540" s="1077">
        <v>150</v>
      </c>
      <c r="X540" s="1077" t="s">
        <v>2402</v>
      </c>
      <c r="Y540" s="1077">
        <v>2.1</v>
      </c>
      <c r="Z540" s="1077">
        <v>4</v>
      </c>
      <c r="AA540" s="1077" t="s">
        <v>3323</v>
      </c>
      <c r="AB540" s="1077" t="s">
        <v>981</v>
      </c>
      <c r="AH540" s="1077" t="s">
        <v>878</v>
      </c>
      <c r="AM540" s="1078" t="s">
        <v>10122</v>
      </c>
      <c r="AN540" s="1078" t="s">
        <v>10123</v>
      </c>
      <c r="AO540" s="1078">
        <f t="shared" si="70"/>
        <v>700</v>
      </c>
      <c r="AP540" s="1078">
        <f t="shared" si="71"/>
        <v>1.7649999999999999</v>
      </c>
      <c r="AQ540" s="1078" t="str">
        <f t="shared" si="72"/>
        <v>1-4-1S83°</v>
      </c>
      <c r="AR540" s="1078" t="str">
        <f t="shared" si="73"/>
        <v>30.8</v>
      </c>
      <c r="AS540" s="1078" t="str">
        <f t="shared" si="74"/>
        <v>285/285/149</v>
      </c>
      <c r="AT540" s="1078" t="str">
        <f t="shared" si="75"/>
        <v>1-4-1S83°</v>
      </c>
      <c r="AV540" s="1078" t="str">
        <f t="shared" si="68"/>
        <v>110.5.4</v>
      </c>
      <c r="AW540" s="1344">
        <f t="shared" si="69"/>
        <v>44320</v>
      </c>
    </row>
    <row r="541" spans="1:49">
      <c r="A541" s="1077" t="s">
        <v>3324</v>
      </c>
      <c r="B541" s="1077" t="s">
        <v>1805</v>
      </c>
      <c r="C541" s="1077">
        <v>600</v>
      </c>
      <c r="D541" s="1077">
        <v>1.68</v>
      </c>
      <c r="E541" s="1077" t="s">
        <v>15089</v>
      </c>
      <c r="F541" s="1077" t="s">
        <v>1469</v>
      </c>
      <c r="G541" s="1077" t="s">
        <v>940</v>
      </c>
      <c r="H541" s="1077" t="s">
        <v>1806</v>
      </c>
      <c r="I541" s="1077" t="s">
        <v>126</v>
      </c>
      <c r="J541" s="1077">
        <v>0.6</v>
      </c>
      <c r="K541" s="1077" t="s">
        <v>3106</v>
      </c>
      <c r="L541" s="1077" t="s">
        <v>1808</v>
      </c>
      <c r="M541" s="1077">
        <v>76.8</v>
      </c>
      <c r="N541" s="1077" t="s">
        <v>945</v>
      </c>
      <c r="O541" s="1077">
        <v>1.92</v>
      </c>
      <c r="P541" s="1077">
        <v>1.536</v>
      </c>
      <c r="Q541" s="1077">
        <v>4</v>
      </c>
      <c r="R541" s="1077">
        <v>20.3</v>
      </c>
      <c r="T541" s="1077">
        <v>18</v>
      </c>
      <c r="U541" s="1077">
        <v>3.5</v>
      </c>
      <c r="V541" s="1077" t="s">
        <v>648</v>
      </c>
      <c r="W541" s="1077">
        <v>120</v>
      </c>
      <c r="X541" s="1077">
        <v>80</v>
      </c>
      <c r="Y541" s="1077">
        <v>1.5</v>
      </c>
      <c r="Z541" s="1077">
        <v>4</v>
      </c>
      <c r="AA541" s="1077" t="s">
        <v>3323</v>
      </c>
      <c r="AH541" s="1077" t="s">
        <v>619</v>
      </c>
      <c r="AM541" s="1078" t="s">
        <v>10124</v>
      </c>
      <c r="AN541" s="1078" t="s">
        <v>10125</v>
      </c>
      <c r="AO541" s="1078">
        <f t="shared" si="70"/>
        <v>600</v>
      </c>
      <c r="AP541" s="1078">
        <f t="shared" si="71"/>
        <v>1.68</v>
      </c>
      <c r="AQ541" s="1078" t="str">
        <f t="shared" si="72"/>
        <v>1-4-1S83°</v>
      </c>
      <c r="AR541" s="1078" t="str">
        <f t="shared" si="73"/>
        <v>30.5</v>
      </c>
      <c r="AS541" s="1078" t="str">
        <f t="shared" si="74"/>
        <v>280/280/OFF</v>
      </c>
      <c r="AT541" s="1078" t="str">
        <f t="shared" si="75"/>
        <v>1-4-1S83°</v>
      </c>
      <c r="AV541" s="1078" t="str">
        <f t="shared" si="68"/>
        <v>110.5.4</v>
      </c>
      <c r="AW541" s="1344">
        <f t="shared" si="69"/>
        <v>44320</v>
      </c>
    </row>
    <row r="542" spans="1:49">
      <c r="A542" s="1077" t="s">
        <v>3325</v>
      </c>
      <c r="B542" s="1077" t="s">
        <v>2299</v>
      </c>
      <c r="C542" s="1077">
        <v>600</v>
      </c>
      <c r="D542" s="1077">
        <v>1.72</v>
      </c>
      <c r="E542" s="1077" t="s">
        <v>15089</v>
      </c>
      <c r="F542" s="1077" t="s">
        <v>984</v>
      </c>
      <c r="G542" s="1077" t="s">
        <v>940</v>
      </c>
      <c r="H542" s="1077" t="s">
        <v>1793</v>
      </c>
      <c r="I542" s="1077" t="s">
        <v>126</v>
      </c>
      <c r="J542" s="1077">
        <v>0.8</v>
      </c>
      <c r="K542" s="1077" t="s">
        <v>3159</v>
      </c>
      <c r="L542" s="1077" t="s">
        <v>3160</v>
      </c>
      <c r="M542" s="1077">
        <v>73.5</v>
      </c>
      <c r="N542" s="1077" t="s">
        <v>945</v>
      </c>
      <c r="O542" s="1077">
        <v>1.8375000000000001</v>
      </c>
      <c r="P542" s="1077">
        <v>1.47</v>
      </c>
      <c r="Q542" s="1077">
        <v>3.5</v>
      </c>
      <c r="R542" s="1077">
        <v>20</v>
      </c>
      <c r="T542" s="1077">
        <v>21</v>
      </c>
      <c r="U542" s="1077">
        <v>3.2</v>
      </c>
      <c r="V542" s="1077" t="s">
        <v>648</v>
      </c>
      <c r="W542" s="1077">
        <v>100</v>
      </c>
      <c r="X542" s="1077">
        <v>50</v>
      </c>
      <c r="Y542" s="1077">
        <v>2.5</v>
      </c>
      <c r="Z542" s="1077">
        <v>4.4000000000000004</v>
      </c>
      <c r="AA542" s="1077" t="s">
        <v>969</v>
      </c>
      <c r="AH542" s="1077" t="s">
        <v>990</v>
      </c>
      <c r="AM542" s="1078" t="s">
        <v>10126</v>
      </c>
      <c r="AN542" s="1078" t="s">
        <v>10127</v>
      </c>
      <c r="AO542" s="1078">
        <f t="shared" si="70"/>
        <v>600</v>
      </c>
      <c r="AP542" s="1078">
        <f t="shared" si="71"/>
        <v>1.72</v>
      </c>
      <c r="AQ542" s="1078" t="str">
        <f t="shared" si="72"/>
        <v>1-4-1S83°</v>
      </c>
      <c r="AR542" s="1078" t="str">
        <f t="shared" si="73"/>
        <v>30</v>
      </c>
      <c r="AS542" s="1078" t="str">
        <f t="shared" si="74"/>
        <v>270/270/OFF</v>
      </c>
      <c r="AT542" s="1078" t="str">
        <f t="shared" si="75"/>
        <v>1-4-1S83°</v>
      </c>
      <c r="AV542" s="1078" t="str">
        <f t="shared" si="68"/>
        <v>110.5.12</v>
      </c>
      <c r="AW542" s="1344">
        <f t="shared" si="69"/>
        <v>44328</v>
      </c>
    </row>
    <row r="543" spans="1:49">
      <c r="A543" s="1077" t="s">
        <v>3326</v>
      </c>
      <c r="B543" s="1077" t="s">
        <v>1792</v>
      </c>
      <c r="C543" s="1077">
        <v>650</v>
      </c>
      <c r="D543" s="1077">
        <v>1.78</v>
      </c>
      <c r="E543" s="1077" t="s">
        <v>15092</v>
      </c>
      <c r="F543" s="1077" t="s">
        <v>954</v>
      </c>
      <c r="G543" s="1077" t="s">
        <v>1767</v>
      </c>
      <c r="H543" s="1077" t="s">
        <v>3327</v>
      </c>
      <c r="I543" s="1077" t="s">
        <v>126</v>
      </c>
      <c r="J543" s="1077">
        <v>1.6</v>
      </c>
      <c r="K543" s="1077" t="s">
        <v>2776</v>
      </c>
      <c r="L543" s="1077" t="s">
        <v>1795</v>
      </c>
      <c r="M543" s="1077">
        <v>75</v>
      </c>
      <c r="N543" s="1077" t="s">
        <v>945</v>
      </c>
      <c r="O543" s="1077">
        <v>1.875</v>
      </c>
      <c r="P543" s="1077">
        <v>1.5</v>
      </c>
      <c r="Q543" s="1077" t="s">
        <v>961</v>
      </c>
      <c r="R543" s="1077">
        <v>21.6</v>
      </c>
      <c r="T543" s="1077">
        <v>18</v>
      </c>
      <c r="U543" s="1077">
        <v>2.5</v>
      </c>
      <c r="V543" s="1077" t="s">
        <v>648</v>
      </c>
      <c r="W543" s="1077">
        <v>110</v>
      </c>
      <c r="X543" s="1077">
        <v>80</v>
      </c>
      <c r="Y543" s="1077">
        <v>1.5</v>
      </c>
      <c r="Z543" s="1077">
        <v>3.5</v>
      </c>
      <c r="AA543" s="1077" t="s">
        <v>3328</v>
      </c>
      <c r="AH543" s="1077" t="s">
        <v>621</v>
      </c>
      <c r="AM543" s="1078" t="s">
        <v>10128</v>
      </c>
      <c r="AN543" s="1078" t="s">
        <v>10129</v>
      </c>
      <c r="AO543" s="1078">
        <f t="shared" si="70"/>
        <v>650</v>
      </c>
      <c r="AP543" s="1078">
        <f t="shared" si="71"/>
        <v>1.78</v>
      </c>
      <c r="AQ543" s="1078" t="str">
        <f t="shared" si="72"/>
        <v>1-4-1S83°S撚</v>
      </c>
      <c r="AR543" s="1078" t="str">
        <f t="shared" si="73"/>
        <v>31</v>
      </c>
      <c r="AS543" s="1078" t="str">
        <f t="shared" si="74"/>
        <v>280/280/150</v>
      </c>
      <c r="AT543" s="1078" t="str">
        <f t="shared" si="75"/>
        <v>1-4-1S83°S撚</v>
      </c>
      <c r="AU543" s="1078" t="s">
        <v>15545</v>
      </c>
      <c r="AV543" s="1078" t="str">
        <f t="shared" si="68"/>
        <v>109.1.17</v>
      </c>
      <c r="AW543" s="1344">
        <f t="shared" si="69"/>
        <v>43847</v>
      </c>
    </row>
    <row r="544" spans="1:49">
      <c r="A544" s="1077" t="s">
        <v>3329</v>
      </c>
      <c r="B544" s="1077" t="s">
        <v>1792</v>
      </c>
      <c r="C544" s="1077">
        <v>650</v>
      </c>
      <c r="D544" s="1077">
        <v>1.78</v>
      </c>
      <c r="E544" s="1077" t="s">
        <v>15089</v>
      </c>
      <c r="F544" s="1077" t="s">
        <v>954</v>
      </c>
      <c r="G544" s="1077" t="s">
        <v>1767</v>
      </c>
      <c r="H544" s="1077" t="s">
        <v>1806</v>
      </c>
      <c r="I544" s="1077" t="s">
        <v>126</v>
      </c>
      <c r="J544" s="1077">
        <v>1.6</v>
      </c>
      <c r="K544" s="1077" t="s">
        <v>2684</v>
      </c>
      <c r="L544" s="1077" t="s">
        <v>1795</v>
      </c>
      <c r="M544" s="1077">
        <v>75</v>
      </c>
      <c r="N544" s="1077" t="s">
        <v>945</v>
      </c>
      <c r="O544" s="1077">
        <v>1.875</v>
      </c>
      <c r="P544" s="1077">
        <v>1.5</v>
      </c>
      <c r="Q544" s="1077" t="s">
        <v>956</v>
      </c>
      <c r="R544" s="1077">
        <v>21.6</v>
      </c>
      <c r="T544" s="1077">
        <v>32</v>
      </c>
      <c r="U544" s="1077">
        <v>3.7</v>
      </c>
      <c r="V544" s="1077" t="s">
        <v>648</v>
      </c>
      <c r="W544" s="1077">
        <v>110</v>
      </c>
      <c r="X544" s="1077">
        <v>60</v>
      </c>
      <c r="Y544" s="1077">
        <v>1.5</v>
      </c>
      <c r="Z544" s="1077">
        <v>5.5</v>
      </c>
      <c r="AA544" s="1077" t="s">
        <v>3328</v>
      </c>
      <c r="AH544" s="1077" t="s">
        <v>1186</v>
      </c>
      <c r="AM544" s="1078" t="s">
        <v>10130</v>
      </c>
      <c r="AN544" s="1078" t="s">
        <v>10131</v>
      </c>
      <c r="AO544" s="1078">
        <f t="shared" si="70"/>
        <v>650</v>
      </c>
      <c r="AP544" s="1078">
        <f t="shared" si="71"/>
        <v>1.78</v>
      </c>
      <c r="AQ544" s="1078" t="str">
        <f t="shared" si="72"/>
        <v>1-4-1S83°</v>
      </c>
      <c r="AR544" s="1078" t="str">
        <f t="shared" si="73"/>
        <v>31</v>
      </c>
      <c r="AS544" s="1078" t="str">
        <f t="shared" si="74"/>
        <v>280/280/OFF</v>
      </c>
      <c r="AT544" s="1078" t="str">
        <f t="shared" si="75"/>
        <v>1-4-1S83°</v>
      </c>
      <c r="AV544" s="1078" t="str">
        <f t="shared" si="68"/>
        <v>109.1.17</v>
      </c>
      <c r="AW544" s="1344">
        <f t="shared" si="69"/>
        <v>43847</v>
      </c>
    </row>
    <row r="545" spans="1:49">
      <c r="A545" s="1077" t="s">
        <v>3330</v>
      </c>
      <c r="B545" s="1077" t="s">
        <v>1792</v>
      </c>
      <c r="C545" s="1077">
        <v>650</v>
      </c>
      <c r="D545" s="1077">
        <v>1.78</v>
      </c>
      <c r="E545" s="1077" t="s">
        <v>15089</v>
      </c>
      <c r="F545" s="1077" t="s">
        <v>954</v>
      </c>
      <c r="G545" s="1077" t="s">
        <v>1767</v>
      </c>
      <c r="H545" s="1077" t="s">
        <v>1806</v>
      </c>
      <c r="I545" s="1077" t="s">
        <v>126</v>
      </c>
      <c r="J545" s="1077">
        <v>1.6</v>
      </c>
      <c r="K545" s="1077" t="s">
        <v>2776</v>
      </c>
      <c r="L545" s="1077" t="s">
        <v>1795</v>
      </c>
      <c r="M545" s="1077">
        <v>75</v>
      </c>
      <c r="N545" s="1077" t="s">
        <v>945</v>
      </c>
      <c r="O545" s="1077">
        <v>1.875</v>
      </c>
      <c r="P545" s="1077">
        <v>1.5</v>
      </c>
      <c r="Q545" s="1077" t="s">
        <v>956</v>
      </c>
      <c r="R545" s="1077">
        <v>21.6</v>
      </c>
      <c r="T545" s="1077">
        <v>32</v>
      </c>
      <c r="U545" s="1077">
        <v>3.7</v>
      </c>
      <c r="V545" s="1077" t="s">
        <v>648</v>
      </c>
      <c r="W545" s="1077">
        <v>110</v>
      </c>
      <c r="X545" s="1077">
        <v>60</v>
      </c>
      <c r="Y545" s="1077">
        <v>1.5</v>
      </c>
      <c r="Z545" s="1077">
        <v>5.5</v>
      </c>
      <c r="AA545" s="1077" t="s">
        <v>1066</v>
      </c>
      <c r="AH545" s="1077" t="s">
        <v>889</v>
      </c>
      <c r="AM545" s="1078" t="s">
        <v>10132</v>
      </c>
      <c r="AN545" s="1078" t="s">
        <v>10133</v>
      </c>
      <c r="AO545" s="1078">
        <f t="shared" si="70"/>
        <v>650</v>
      </c>
      <c r="AP545" s="1078">
        <f t="shared" si="71"/>
        <v>1.78</v>
      </c>
      <c r="AQ545" s="1078" t="str">
        <f t="shared" si="72"/>
        <v>1-4-1S83°</v>
      </c>
      <c r="AR545" s="1078" t="str">
        <f t="shared" si="73"/>
        <v>31</v>
      </c>
      <c r="AS545" s="1078" t="str">
        <f t="shared" si="74"/>
        <v>280/280/OFF</v>
      </c>
      <c r="AT545" s="1078" t="str">
        <f t="shared" si="75"/>
        <v>1-4-1S83°</v>
      </c>
      <c r="AV545" s="1078" t="str">
        <f t="shared" si="68"/>
        <v>109.2.12</v>
      </c>
      <c r="AW545" s="1344">
        <f t="shared" si="69"/>
        <v>43873</v>
      </c>
    </row>
    <row r="546" spans="1:49">
      <c r="A546" s="1077" t="s">
        <v>3331</v>
      </c>
      <c r="B546" s="1077" t="s">
        <v>1792</v>
      </c>
      <c r="C546" s="1077">
        <v>650</v>
      </c>
      <c r="D546" s="1077">
        <v>1.78</v>
      </c>
      <c r="E546" s="1077" t="s">
        <v>15092</v>
      </c>
      <c r="F546" s="1077" t="s">
        <v>954</v>
      </c>
      <c r="G546" s="1077" t="s">
        <v>1767</v>
      </c>
      <c r="H546" s="1077" t="s">
        <v>3327</v>
      </c>
      <c r="I546" s="1077" t="s">
        <v>126</v>
      </c>
      <c r="J546" s="1077">
        <v>1.7</v>
      </c>
      <c r="K546" s="1077" t="s">
        <v>2776</v>
      </c>
      <c r="L546" s="1077" t="s">
        <v>1795</v>
      </c>
      <c r="M546" s="1077">
        <v>75</v>
      </c>
      <c r="N546" s="1077" t="s">
        <v>945</v>
      </c>
      <c r="O546" s="1077">
        <v>1.875</v>
      </c>
      <c r="P546" s="1077">
        <v>1.5</v>
      </c>
      <c r="Q546" s="1077" t="s">
        <v>961</v>
      </c>
      <c r="R546" s="1077">
        <v>21.6</v>
      </c>
      <c r="T546" s="1077">
        <v>18</v>
      </c>
      <c r="U546" s="1077">
        <v>2.5</v>
      </c>
      <c r="V546" s="1077" t="s">
        <v>648</v>
      </c>
      <c r="W546" s="1077">
        <v>110</v>
      </c>
      <c r="X546" s="1077">
        <v>80</v>
      </c>
      <c r="Y546" s="1077">
        <v>1.5</v>
      </c>
      <c r="Z546" s="1077">
        <v>3.5</v>
      </c>
      <c r="AA546" s="1077" t="s">
        <v>2977</v>
      </c>
      <c r="AB546" s="1077" t="s">
        <v>981</v>
      </c>
      <c r="AH546" s="1077" t="s">
        <v>838</v>
      </c>
      <c r="AM546" s="1078" t="s">
        <v>10134</v>
      </c>
      <c r="AN546" s="1078" t="s">
        <v>10135</v>
      </c>
      <c r="AO546" s="1078">
        <f t="shared" si="70"/>
        <v>650</v>
      </c>
      <c r="AP546" s="1078">
        <f t="shared" si="71"/>
        <v>1.78</v>
      </c>
      <c r="AQ546" s="1078" t="str">
        <f t="shared" si="72"/>
        <v>1-4-1S83°S撚</v>
      </c>
      <c r="AR546" s="1078" t="str">
        <f t="shared" si="73"/>
        <v>31</v>
      </c>
      <c r="AS546" s="1078" t="str">
        <f t="shared" si="74"/>
        <v>280/280/150</v>
      </c>
      <c r="AT546" s="1078" t="str">
        <f t="shared" si="75"/>
        <v>1-4-1S83°S撚</v>
      </c>
      <c r="AU546" s="1078" t="s">
        <v>15545</v>
      </c>
      <c r="AV546" s="1078" t="str">
        <f t="shared" si="68"/>
        <v>109.5.29</v>
      </c>
      <c r="AW546" s="1344">
        <f t="shared" si="69"/>
        <v>43980</v>
      </c>
    </row>
    <row r="547" spans="1:49">
      <c r="A547" s="1077" t="s">
        <v>3332</v>
      </c>
      <c r="B547" s="1077" t="s">
        <v>1792</v>
      </c>
      <c r="C547" s="1077">
        <v>650</v>
      </c>
      <c r="D547" s="1077">
        <v>1.76</v>
      </c>
      <c r="E547" s="1077" t="s">
        <v>15089</v>
      </c>
      <c r="F547" s="1077" t="s">
        <v>954</v>
      </c>
      <c r="G547" s="1077" t="s">
        <v>1767</v>
      </c>
      <c r="H547" s="1077" t="s">
        <v>1806</v>
      </c>
      <c r="I547" s="1077" t="s">
        <v>126</v>
      </c>
      <c r="J547" s="1077">
        <v>1.5</v>
      </c>
      <c r="K547" s="1077" t="s">
        <v>2684</v>
      </c>
      <c r="L547" s="1077" t="s">
        <v>1795</v>
      </c>
      <c r="M547" s="1077">
        <v>75</v>
      </c>
      <c r="N547" s="1077" t="s">
        <v>945</v>
      </c>
      <c r="O547" s="1077">
        <v>1.875</v>
      </c>
      <c r="P547" s="1077">
        <v>1.5</v>
      </c>
      <c r="Q547" s="1077" t="s">
        <v>956</v>
      </c>
      <c r="R547" s="1077">
        <v>21.6</v>
      </c>
      <c r="T547" s="1077">
        <v>32</v>
      </c>
      <c r="U547" s="1077">
        <v>3.7</v>
      </c>
      <c r="V547" s="1077" t="s">
        <v>648</v>
      </c>
      <c r="W547" s="1077">
        <v>110</v>
      </c>
      <c r="X547" s="1077">
        <v>60</v>
      </c>
      <c r="Y547" s="1077">
        <v>1.5</v>
      </c>
      <c r="Z547" s="1077">
        <v>5.5</v>
      </c>
      <c r="AA547" s="1077" t="s">
        <v>3333</v>
      </c>
      <c r="AH547" s="1077" t="s">
        <v>762</v>
      </c>
      <c r="AM547" s="1078" t="s">
        <v>10136</v>
      </c>
      <c r="AN547" s="1078" t="s">
        <v>10137</v>
      </c>
      <c r="AO547" s="1078">
        <f t="shared" si="70"/>
        <v>650</v>
      </c>
      <c r="AP547" s="1078">
        <f t="shared" si="71"/>
        <v>1.76</v>
      </c>
      <c r="AQ547" s="1078" t="str">
        <f t="shared" si="72"/>
        <v>1-4-1S83°</v>
      </c>
      <c r="AR547" s="1078" t="str">
        <f t="shared" si="73"/>
        <v>31</v>
      </c>
      <c r="AS547" s="1078" t="str">
        <f t="shared" si="74"/>
        <v>280/280/OFF</v>
      </c>
      <c r="AT547" s="1078" t="str">
        <f t="shared" si="75"/>
        <v>1-4-1S83°</v>
      </c>
      <c r="AV547" s="1078" t="str">
        <f t="shared" si="68"/>
        <v>109.6.11</v>
      </c>
      <c r="AW547" s="1344">
        <f t="shared" si="69"/>
        <v>43993</v>
      </c>
    </row>
    <row r="548" spans="1:49">
      <c r="A548" s="1077" t="s">
        <v>3334</v>
      </c>
      <c r="B548" s="1077" t="s">
        <v>1792</v>
      </c>
      <c r="C548" s="1077">
        <v>650</v>
      </c>
      <c r="D548" s="1077">
        <v>1.76</v>
      </c>
      <c r="E548" s="1077" t="s">
        <v>15089</v>
      </c>
      <c r="F548" s="1077" t="s">
        <v>954</v>
      </c>
      <c r="G548" s="1077" t="s">
        <v>1767</v>
      </c>
      <c r="H548" s="1077" t="s">
        <v>1806</v>
      </c>
      <c r="I548" s="1077" t="s">
        <v>126</v>
      </c>
      <c r="J548" s="1077">
        <v>1.6</v>
      </c>
      <c r="K548" s="1077" t="s">
        <v>2858</v>
      </c>
      <c r="L548" s="1077" t="s">
        <v>1795</v>
      </c>
      <c r="M548" s="1077">
        <v>75</v>
      </c>
      <c r="N548" s="1077" t="s">
        <v>945</v>
      </c>
      <c r="O548" s="1077">
        <v>1.875</v>
      </c>
      <c r="P548" s="1077">
        <v>1.5</v>
      </c>
      <c r="Q548" s="1077" t="s">
        <v>956</v>
      </c>
      <c r="R548" s="1077">
        <v>21.6</v>
      </c>
      <c r="T548" s="1077">
        <v>32</v>
      </c>
      <c r="U548" s="1077">
        <v>3.7</v>
      </c>
      <c r="V548" s="1077" t="s">
        <v>648</v>
      </c>
      <c r="W548" s="1077">
        <v>110</v>
      </c>
      <c r="X548" s="1077">
        <v>60</v>
      </c>
      <c r="Y548" s="1077">
        <v>1.5</v>
      </c>
      <c r="Z548" s="1077">
        <v>5.5</v>
      </c>
      <c r="AA548" s="1077" t="s">
        <v>3335</v>
      </c>
      <c r="AH548" s="1077" t="s">
        <v>618</v>
      </c>
      <c r="AM548" s="1078" t="s">
        <v>10138</v>
      </c>
      <c r="AN548" s="1078" t="s">
        <v>10139</v>
      </c>
      <c r="AO548" s="1078">
        <f t="shared" si="70"/>
        <v>650</v>
      </c>
      <c r="AP548" s="1078">
        <f t="shared" si="71"/>
        <v>1.76</v>
      </c>
      <c r="AQ548" s="1078" t="str">
        <f t="shared" si="72"/>
        <v>1-4-1S83°</v>
      </c>
      <c r="AR548" s="1078" t="str">
        <f t="shared" si="73"/>
        <v>31</v>
      </c>
      <c r="AS548" s="1078" t="str">
        <f t="shared" si="74"/>
        <v>280/280/OFF</v>
      </c>
      <c r="AT548" s="1078" t="str">
        <f t="shared" si="75"/>
        <v>1-4-1S83°</v>
      </c>
      <c r="AV548" s="1078" t="str">
        <f t="shared" si="68"/>
        <v>109.7.6</v>
      </c>
      <c r="AW548" s="1344">
        <f t="shared" si="69"/>
        <v>44018</v>
      </c>
    </row>
    <row r="549" spans="1:49">
      <c r="A549" s="1077" t="s">
        <v>3336</v>
      </c>
      <c r="B549" s="1077" t="s">
        <v>1792</v>
      </c>
      <c r="C549" s="1077">
        <v>600</v>
      </c>
      <c r="D549" s="1077">
        <v>1.79</v>
      </c>
      <c r="E549" s="1077" t="s">
        <v>15089</v>
      </c>
      <c r="F549" s="1077" t="s">
        <v>1897</v>
      </c>
      <c r="G549" s="1077" t="s">
        <v>1767</v>
      </c>
      <c r="H549" s="1077" t="s">
        <v>1061</v>
      </c>
      <c r="I549" s="1077" t="s">
        <v>126</v>
      </c>
      <c r="J549" s="1077">
        <v>0.4</v>
      </c>
      <c r="K549" s="1077" t="s">
        <v>2776</v>
      </c>
      <c r="L549" s="1077" t="s">
        <v>1795</v>
      </c>
      <c r="M549" s="1077">
        <v>73</v>
      </c>
      <c r="N549" s="1077" t="s">
        <v>945</v>
      </c>
      <c r="O549" s="1077">
        <v>1.8250000000000002</v>
      </c>
      <c r="P549" s="1077">
        <v>1.46</v>
      </c>
      <c r="Q549" s="1077" t="s">
        <v>961</v>
      </c>
      <c r="R549" s="1077">
        <v>21.6</v>
      </c>
      <c r="T549" s="1077">
        <v>32</v>
      </c>
      <c r="U549" s="1077">
        <v>3.7</v>
      </c>
      <c r="V549" s="1077" t="s">
        <v>648</v>
      </c>
      <c r="W549" s="1077">
        <v>30</v>
      </c>
      <c r="X549" s="1077">
        <v>10</v>
      </c>
      <c r="Y549" s="1077">
        <v>1.2</v>
      </c>
      <c r="Z549" s="1077" t="s">
        <v>3337</v>
      </c>
      <c r="AA549" s="1077" t="s">
        <v>3338</v>
      </c>
      <c r="AH549" s="1077" t="s">
        <v>966</v>
      </c>
      <c r="AM549" s="1078" t="s">
        <v>10140</v>
      </c>
      <c r="AN549" s="1078" t="s">
        <v>10141</v>
      </c>
      <c r="AO549" s="1078">
        <f t="shared" si="70"/>
        <v>600</v>
      </c>
      <c r="AP549" s="1078">
        <f t="shared" si="71"/>
        <v>1.79</v>
      </c>
      <c r="AQ549" s="1078" t="str">
        <f t="shared" si="72"/>
        <v>1-4-1S83°</v>
      </c>
      <c r="AR549" s="1078" t="str">
        <f t="shared" si="73"/>
        <v>30.8</v>
      </c>
      <c r="AS549" s="1078" t="str">
        <f t="shared" si="74"/>
        <v>255/255/OFF</v>
      </c>
      <c r="AT549" s="1078" t="str">
        <f t="shared" si="75"/>
        <v>1-4-1S83°</v>
      </c>
      <c r="AV549" s="1078" t="str">
        <f t="shared" si="68"/>
        <v>109.7.17</v>
      </c>
      <c r="AW549" s="1344">
        <f t="shared" si="69"/>
        <v>44029</v>
      </c>
    </row>
    <row r="550" spans="1:49">
      <c r="A550" s="1077" t="s">
        <v>3339</v>
      </c>
      <c r="B550" s="1077" t="s">
        <v>1792</v>
      </c>
      <c r="C550" s="1077">
        <v>650</v>
      </c>
      <c r="D550" s="1077">
        <v>1.78</v>
      </c>
      <c r="E550" s="1077" t="s">
        <v>15092</v>
      </c>
      <c r="F550" s="1077" t="s">
        <v>954</v>
      </c>
      <c r="G550" s="1077" t="s">
        <v>1767</v>
      </c>
      <c r="H550" s="1077" t="s">
        <v>3327</v>
      </c>
      <c r="I550" s="1077" t="s">
        <v>126</v>
      </c>
      <c r="J550" s="1077">
        <v>1.7</v>
      </c>
      <c r="K550" s="1077" t="s">
        <v>2684</v>
      </c>
      <c r="L550" s="1077" t="s">
        <v>1795</v>
      </c>
      <c r="M550" s="1077">
        <v>75</v>
      </c>
      <c r="N550" s="1077" t="s">
        <v>945</v>
      </c>
      <c r="O550" s="1077">
        <v>1.875</v>
      </c>
      <c r="P550" s="1077">
        <v>1.5</v>
      </c>
      <c r="Q550" s="1077" t="s">
        <v>961</v>
      </c>
      <c r="R550" s="1077">
        <v>21.6</v>
      </c>
      <c r="T550" s="1077">
        <v>18</v>
      </c>
      <c r="U550" s="1077">
        <v>2.5</v>
      </c>
      <c r="V550" s="1077" t="s">
        <v>648</v>
      </c>
      <c r="W550" s="1077">
        <v>110</v>
      </c>
      <c r="X550" s="1077">
        <v>80</v>
      </c>
      <c r="Y550" s="1077">
        <v>1.5</v>
      </c>
      <c r="Z550" s="1077">
        <v>3.5</v>
      </c>
      <c r="AA550" s="1077" t="s">
        <v>1759</v>
      </c>
      <c r="AB550" s="1077" t="s">
        <v>3340</v>
      </c>
      <c r="AH550" s="1077" t="s">
        <v>466</v>
      </c>
      <c r="AM550" s="1078" t="s">
        <v>10142</v>
      </c>
      <c r="AN550" s="1078" t="s">
        <v>10143</v>
      </c>
      <c r="AO550" s="1078">
        <f t="shared" si="70"/>
        <v>650</v>
      </c>
      <c r="AP550" s="1078">
        <f t="shared" si="71"/>
        <v>1.78</v>
      </c>
      <c r="AQ550" s="1078" t="str">
        <f t="shared" si="72"/>
        <v>1-4-1S83°S撚</v>
      </c>
      <c r="AR550" s="1078" t="str">
        <f t="shared" si="73"/>
        <v>31</v>
      </c>
      <c r="AS550" s="1078" t="str">
        <f t="shared" si="74"/>
        <v>280/280/150</v>
      </c>
      <c r="AT550" s="1078" t="str">
        <f t="shared" si="75"/>
        <v>1-4-1S83°S撚</v>
      </c>
      <c r="AU550" s="1078" t="s">
        <v>15545</v>
      </c>
      <c r="AV550" s="1078" t="str">
        <f t="shared" si="68"/>
        <v>109.7.28</v>
      </c>
      <c r="AW550" s="1344">
        <f t="shared" si="69"/>
        <v>44040</v>
      </c>
    </row>
    <row r="551" spans="1:49">
      <c r="A551" s="1077" t="s">
        <v>3341</v>
      </c>
      <c r="B551" s="1077" t="s">
        <v>1792</v>
      </c>
      <c r="C551" s="1077">
        <v>650</v>
      </c>
      <c r="D551" s="1077">
        <v>1.76</v>
      </c>
      <c r="E551" s="1077" t="s">
        <v>15089</v>
      </c>
      <c r="F551" s="1077" t="s">
        <v>954</v>
      </c>
      <c r="G551" s="1077" t="s">
        <v>1767</v>
      </c>
      <c r="H551" s="1077" t="s">
        <v>1806</v>
      </c>
      <c r="I551" s="1077" t="s">
        <v>126</v>
      </c>
      <c r="J551" s="1077">
        <v>1.6</v>
      </c>
      <c r="K551" s="1077" t="s">
        <v>3342</v>
      </c>
      <c r="L551" s="1077" t="s">
        <v>1795</v>
      </c>
      <c r="M551" s="1077">
        <v>75</v>
      </c>
      <c r="N551" s="1077" t="s">
        <v>945</v>
      </c>
      <c r="O551" s="1077">
        <v>1.875</v>
      </c>
      <c r="P551" s="1077">
        <v>1.5</v>
      </c>
      <c r="Q551" s="1077" t="s">
        <v>961</v>
      </c>
      <c r="R551" s="1077">
        <v>21.6</v>
      </c>
      <c r="T551" s="1077">
        <v>32</v>
      </c>
      <c r="U551" s="1077">
        <v>3.7</v>
      </c>
      <c r="V551" s="1077" t="s">
        <v>648</v>
      </c>
      <c r="W551" s="1077">
        <v>110</v>
      </c>
      <c r="X551" s="1077">
        <v>60</v>
      </c>
      <c r="Y551" s="1077">
        <v>1.5</v>
      </c>
      <c r="Z551" s="1077" t="s">
        <v>3343</v>
      </c>
      <c r="AA551" s="1077" t="s">
        <v>1325</v>
      </c>
      <c r="AH551" s="1077" t="s">
        <v>2427</v>
      </c>
      <c r="AM551" s="1078" t="s">
        <v>10144</v>
      </c>
      <c r="AN551" s="1078" t="s">
        <v>10145</v>
      </c>
      <c r="AO551" s="1078">
        <f t="shared" si="70"/>
        <v>650</v>
      </c>
      <c r="AP551" s="1078">
        <f t="shared" si="71"/>
        <v>1.76</v>
      </c>
      <c r="AQ551" s="1078" t="str">
        <f t="shared" si="72"/>
        <v>1-4-1S83°</v>
      </c>
      <c r="AR551" s="1078" t="str">
        <f t="shared" si="73"/>
        <v>31</v>
      </c>
      <c r="AS551" s="1078" t="str">
        <f t="shared" si="74"/>
        <v>280/280/OFF</v>
      </c>
      <c r="AT551" s="1078" t="str">
        <f t="shared" si="75"/>
        <v>1-4-1S83°</v>
      </c>
      <c r="AV551" s="1078" t="str">
        <f t="shared" si="68"/>
        <v>109.8.17</v>
      </c>
      <c r="AW551" s="1344">
        <f t="shared" si="69"/>
        <v>44060</v>
      </c>
    </row>
    <row r="552" spans="1:49">
      <c r="A552" s="1077" t="s">
        <v>3344</v>
      </c>
      <c r="B552" s="1077" t="s">
        <v>1792</v>
      </c>
      <c r="C552" s="1077">
        <v>650</v>
      </c>
      <c r="D552" s="1077">
        <v>1.76</v>
      </c>
      <c r="E552" s="1077" t="s">
        <v>15089</v>
      </c>
      <c r="F552" s="1077" t="s">
        <v>954</v>
      </c>
      <c r="G552" s="1077" t="s">
        <v>1767</v>
      </c>
      <c r="H552" s="1077" t="s">
        <v>1806</v>
      </c>
      <c r="I552" s="1077" t="s">
        <v>126</v>
      </c>
      <c r="J552" s="1077">
        <v>1.6</v>
      </c>
      <c r="K552" s="1077" t="s">
        <v>3342</v>
      </c>
      <c r="L552" s="1077" t="s">
        <v>1795</v>
      </c>
      <c r="M552" s="1077">
        <v>75</v>
      </c>
      <c r="N552" s="1077" t="s">
        <v>945</v>
      </c>
      <c r="O552" s="1077">
        <v>1.875</v>
      </c>
      <c r="P552" s="1077">
        <v>1.5</v>
      </c>
      <c r="Q552" s="1077" t="s">
        <v>961</v>
      </c>
      <c r="R552" s="1077">
        <v>21.6</v>
      </c>
      <c r="T552" s="1077">
        <v>32</v>
      </c>
      <c r="U552" s="1077">
        <v>3.7</v>
      </c>
      <c r="V552" s="1077" t="s">
        <v>648</v>
      </c>
      <c r="W552" s="1077">
        <v>110</v>
      </c>
      <c r="X552" s="1077">
        <v>60</v>
      </c>
      <c r="Y552" s="1077">
        <v>1.5</v>
      </c>
      <c r="Z552" s="1077" t="s">
        <v>2665</v>
      </c>
      <c r="AA552" s="1077" t="s">
        <v>1330</v>
      </c>
      <c r="AH552" s="1077" t="s">
        <v>963</v>
      </c>
      <c r="AM552" s="1078" t="s">
        <v>10146</v>
      </c>
      <c r="AN552" s="1078" t="s">
        <v>10147</v>
      </c>
      <c r="AO552" s="1078">
        <f t="shared" si="70"/>
        <v>650</v>
      </c>
      <c r="AP552" s="1078">
        <f t="shared" si="71"/>
        <v>1.76</v>
      </c>
      <c r="AQ552" s="1078" t="str">
        <f t="shared" si="72"/>
        <v>1-4-1S83°</v>
      </c>
      <c r="AR552" s="1078" t="str">
        <f t="shared" si="73"/>
        <v>31</v>
      </c>
      <c r="AS552" s="1078" t="str">
        <f t="shared" si="74"/>
        <v>280/280/OFF</v>
      </c>
      <c r="AT552" s="1078" t="str">
        <f t="shared" si="75"/>
        <v>1-4-1S83°</v>
      </c>
      <c r="AV552" s="1078" t="str">
        <f t="shared" si="68"/>
        <v>109.8.27</v>
      </c>
      <c r="AW552" s="1344">
        <f t="shared" si="69"/>
        <v>44070</v>
      </c>
    </row>
    <row r="553" spans="1:49">
      <c r="A553" s="1077" t="s">
        <v>3345</v>
      </c>
      <c r="B553" s="1077" t="s">
        <v>1792</v>
      </c>
      <c r="C553" s="1077">
        <v>700</v>
      </c>
      <c r="D553" s="1077">
        <v>1.79</v>
      </c>
      <c r="E553" s="1077" t="s">
        <v>15103</v>
      </c>
      <c r="F553" s="1077" t="s">
        <v>648</v>
      </c>
      <c r="G553" s="1077" t="s">
        <v>1767</v>
      </c>
      <c r="H553" s="1077" t="s">
        <v>3346</v>
      </c>
      <c r="I553" s="1077" t="s">
        <v>126</v>
      </c>
      <c r="J553" s="1077">
        <v>1.6</v>
      </c>
      <c r="K553" s="1077" t="s">
        <v>3342</v>
      </c>
      <c r="L553" s="1077" t="s">
        <v>1795</v>
      </c>
      <c r="M553" s="1077">
        <v>75</v>
      </c>
      <c r="N553" s="1077" t="s">
        <v>945</v>
      </c>
      <c r="O553" s="1077">
        <v>1.875</v>
      </c>
      <c r="P553" s="1077">
        <v>1.5</v>
      </c>
      <c r="Q553" s="1077" t="s">
        <v>988</v>
      </c>
      <c r="R553" s="1077">
        <v>21.6</v>
      </c>
      <c r="T553" s="1077">
        <v>18</v>
      </c>
      <c r="U553" s="1077">
        <v>2.5</v>
      </c>
      <c r="V553" s="1077" t="s">
        <v>648</v>
      </c>
      <c r="W553" s="1077">
        <v>110</v>
      </c>
      <c r="X553" s="1077">
        <v>80</v>
      </c>
      <c r="Y553" s="1077">
        <v>1.5</v>
      </c>
      <c r="Z553" s="1077" t="s">
        <v>3347</v>
      </c>
      <c r="AA553" s="1077" t="s">
        <v>1337</v>
      </c>
      <c r="AB553" s="1077" t="s">
        <v>3340</v>
      </c>
      <c r="AH553" s="1077" t="s">
        <v>650</v>
      </c>
      <c r="AM553" s="1078" t="s">
        <v>10148</v>
      </c>
      <c r="AN553" s="1078" t="s">
        <v>10149</v>
      </c>
      <c r="AO553" s="1078">
        <f t="shared" si="70"/>
        <v>700</v>
      </c>
      <c r="AP553" s="1078">
        <f t="shared" si="71"/>
        <v>1.79</v>
      </c>
      <c r="AQ553" s="1078" t="str">
        <f t="shared" si="72"/>
        <v>1-4-1S85°S撚</v>
      </c>
      <c r="AR553" s="1078" t="str">
        <f t="shared" si="73"/>
        <v>NA</v>
      </c>
      <c r="AS553" s="1078" t="str">
        <f t="shared" si="74"/>
        <v>182/150</v>
      </c>
      <c r="AT553" s="1078" t="str">
        <f t="shared" si="75"/>
        <v>1-4-1S85°S撚</v>
      </c>
      <c r="AU553" s="1078" t="s">
        <v>15545</v>
      </c>
      <c r="AV553" s="1078" t="str">
        <f t="shared" si="68"/>
        <v>109.9.1</v>
      </c>
      <c r="AW553" s="1344">
        <f t="shared" si="69"/>
        <v>44075</v>
      </c>
    </row>
    <row r="554" spans="1:49">
      <c r="A554" s="1077" t="s">
        <v>3348</v>
      </c>
      <c r="B554" s="1077" t="s">
        <v>1792</v>
      </c>
      <c r="C554" s="1077">
        <v>600</v>
      </c>
      <c r="D554" s="1077">
        <v>1.76</v>
      </c>
      <c r="E554" s="1077" t="s">
        <v>15091</v>
      </c>
      <c r="F554" s="1077" t="s">
        <v>984</v>
      </c>
      <c r="G554" s="1077" t="s">
        <v>1767</v>
      </c>
      <c r="H554" s="1077" t="s">
        <v>3349</v>
      </c>
      <c r="I554" s="1077" t="s">
        <v>1167</v>
      </c>
      <c r="J554" s="1077">
        <v>1.5</v>
      </c>
      <c r="K554" s="1077" t="s">
        <v>2541</v>
      </c>
      <c r="L554" s="1077" t="s">
        <v>1795</v>
      </c>
      <c r="M554" s="1077">
        <v>75</v>
      </c>
      <c r="N554" s="1077" t="s">
        <v>945</v>
      </c>
      <c r="O554" s="1077">
        <v>1.875</v>
      </c>
      <c r="P554" s="1077">
        <v>1.5</v>
      </c>
      <c r="Q554" s="1077" t="s">
        <v>2593</v>
      </c>
      <c r="R554" s="1077">
        <v>21.6</v>
      </c>
      <c r="T554" s="1077" t="s">
        <v>3350</v>
      </c>
      <c r="U554" s="1077">
        <v>3.7</v>
      </c>
      <c r="V554" s="1077" t="s">
        <v>648</v>
      </c>
      <c r="W554" s="1077">
        <v>110</v>
      </c>
      <c r="X554" s="1077">
        <v>60</v>
      </c>
      <c r="Y554" s="1077">
        <v>1.5</v>
      </c>
      <c r="Z554" s="1077" t="s">
        <v>3351</v>
      </c>
      <c r="AA554" s="1077" t="s">
        <v>3352</v>
      </c>
      <c r="AH554" s="1077" t="s">
        <v>868</v>
      </c>
      <c r="AM554" s="1078" t="s">
        <v>10150</v>
      </c>
      <c r="AN554" s="1078" t="s">
        <v>10151</v>
      </c>
      <c r="AO554" s="1078">
        <f t="shared" si="70"/>
        <v>600</v>
      </c>
      <c r="AP554" s="1078">
        <f t="shared" si="71"/>
        <v>1.76</v>
      </c>
      <c r="AQ554" s="1078" t="str">
        <f t="shared" si="72"/>
        <v>2-5-1S83°</v>
      </c>
      <c r="AR554" s="1078" t="str">
        <f t="shared" si="73"/>
        <v>30</v>
      </c>
      <c r="AS554" s="1078" t="str">
        <f t="shared" si="74"/>
        <v>164/OFF</v>
      </c>
      <c r="AT554" s="1078" t="str">
        <f t="shared" si="75"/>
        <v>2-5-1S83°</v>
      </c>
      <c r="AV554" s="1078" t="str">
        <f t="shared" si="68"/>
        <v>109.9.18</v>
      </c>
      <c r="AW554" s="1344">
        <f t="shared" si="69"/>
        <v>44092</v>
      </c>
    </row>
    <row r="555" spans="1:49">
      <c r="A555" s="1077" t="s">
        <v>3353</v>
      </c>
      <c r="B555" s="1077" t="s">
        <v>1792</v>
      </c>
      <c r="C555" s="1077">
        <v>650</v>
      </c>
      <c r="D555" s="1077">
        <v>1.76</v>
      </c>
      <c r="E555" s="1077" t="s">
        <v>15089</v>
      </c>
      <c r="F555" s="1077" t="s">
        <v>954</v>
      </c>
      <c r="G555" s="1077" t="s">
        <v>1767</v>
      </c>
      <c r="H555" s="1077" t="s">
        <v>1806</v>
      </c>
      <c r="I555" s="1077" t="s">
        <v>126</v>
      </c>
      <c r="J555" s="1077">
        <v>1.6</v>
      </c>
      <c r="K555" s="1077" t="s">
        <v>2541</v>
      </c>
      <c r="L555" s="1077" t="s">
        <v>1795</v>
      </c>
      <c r="M555" s="1077">
        <v>75</v>
      </c>
      <c r="N555" s="1077" t="s">
        <v>945</v>
      </c>
      <c r="O555" s="1077">
        <v>1.875</v>
      </c>
      <c r="P555" s="1077">
        <v>1.5</v>
      </c>
      <c r="Q555" s="1077" t="s">
        <v>946</v>
      </c>
      <c r="R555" s="1077">
        <v>21.6</v>
      </c>
      <c r="T555" s="1077">
        <v>32</v>
      </c>
      <c r="U555" s="1077">
        <v>3.7</v>
      </c>
      <c r="V555" s="1077" t="s">
        <v>648</v>
      </c>
      <c r="W555" s="1077">
        <v>110</v>
      </c>
      <c r="X555" s="1077">
        <v>60</v>
      </c>
      <c r="Y555" s="1077" t="s">
        <v>3354</v>
      </c>
      <c r="Z555" s="1077">
        <v>5.5</v>
      </c>
      <c r="AA555" s="1077" t="s">
        <v>3176</v>
      </c>
      <c r="AH555" s="1077" t="s">
        <v>990</v>
      </c>
      <c r="AM555" s="1078" t="s">
        <v>10152</v>
      </c>
      <c r="AN555" s="1078" t="s">
        <v>10153</v>
      </c>
      <c r="AO555" s="1078">
        <f t="shared" si="70"/>
        <v>650</v>
      </c>
      <c r="AP555" s="1078">
        <f t="shared" si="71"/>
        <v>1.76</v>
      </c>
      <c r="AQ555" s="1078" t="str">
        <f t="shared" si="72"/>
        <v>1-4-1S83°</v>
      </c>
      <c r="AR555" s="1078" t="str">
        <f t="shared" si="73"/>
        <v>31</v>
      </c>
      <c r="AS555" s="1078" t="str">
        <f t="shared" si="74"/>
        <v>280/280/OFF</v>
      </c>
      <c r="AT555" s="1078" t="str">
        <f t="shared" si="75"/>
        <v>1-4-1S83°</v>
      </c>
      <c r="AV555" s="1078" t="str">
        <f t="shared" si="68"/>
        <v>109.9.29</v>
      </c>
      <c r="AW555" s="1344">
        <f t="shared" si="69"/>
        <v>44103</v>
      </c>
    </row>
    <row r="556" spans="1:49">
      <c r="A556" s="1077" t="s">
        <v>3355</v>
      </c>
      <c r="B556" s="1077" t="s">
        <v>1792</v>
      </c>
      <c r="C556" s="1077">
        <v>700</v>
      </c>
      <c r="D556" s="1077">
        <v>1.7949999999999999</v>
      </c>
      <c r="E556" s="1077" t="s">
        <v>15088</v>
      </c>
      <c r="F556" s="1077" t="s">
        <v>648</v>
      </c>
      <c r="G556" s="1077" t="s">
        <v>1767</v>
      </c>
      <c r="H556" s="1077" t="s">
        <v>3356</v>
      </c>
      <c r="I556" s="1077" t="s">
        <v>126</v>
      </c>
      <c r="J556" s="1077">
        <v>0.4</v>
      </c>
      <c r="K556" s="1077" t="s">
        <v>2541</v>
      </c>
      <c r="L556" s="1077" t="s">
        <v>1795</v>
      </c>
      <c r="M556" s="1077">
        <v>73</v>
      </c>
      <c r="N556" s="1077" t="s">
        <v>945</v>
      </c>
      <c r="O556" s="1077">
        <v>1.8250000000000002</v>
      </c>
      <c r="P556" s="1077">
        <v>1.46</v>
      </c>
      <c r="Q556" s="1077" t="s">
        <v>961</v>
      </c>
      <c r="R556" s="1077">
        <v>21.6</v>
      </c>
      <c r="T556" s="1077">
        <v>32</v>
      </c>
      <c r="U556" s="1077">
        <v>3.7</v>
      </c>
      <c r="V556" s="1077" t="s">
        <v>648</v>
      </c>
      <c r="W556" s="1077">
        <v>30</v>
      </c>
      <c r="X556" s="1077">
        <v>10</v>
      </c>
      <c r="Y556" s="1077">
        <v>1.2</v>
      </c>
      <c r="Z556" s="1077" t="s">
        <v>3357</v>
      </c>
      <c r="AA556" s="1077" t="s">
        <v>1340</v>
      </c>
      <c r="AH556" s="1077" t="s">
        <v>1990</v>
      </c>
      <c r="AM556" s="1078" t="s">
        <v>10154</v>
      </c>
      <c r="AN556" s="1078" t="s">
        <v>10155</v>
      </c>
      <c r="AO556" s="1078">
        <f t="shared" si="70"/>
        <v>700</v>
      </c>
      <c r="AP556" s="1078">
        <f t="shared" si="71"/>
        <v>1.7949999999999999</v>
      </c>
      <c r="AQ556" s="1078" t="str">
        <f t="shared" si="72"/>
        <v>1-4-1S85°</v>
      </c>
      <c r="AR556" s="1078" t="str">
        <f t="shared" si="73"/>
        <v>NA</v>
      </c>
      <c r="AS556" s="1078" t="str">
        <f t="shared" si="74"/>
        <v>182/OFF</v>
      </c>
      <c r="AT556" s="1078" t="str">
        <f t="shared" si="75"/>
        <v>1-4-1S85°</v>
      </c>
      <c r="AV556" s="1078" t="str">
        <f t="shared" si="68"/>
        <v>109.9.30</v>
      </c>
      <c r="AW556" s="1344">
        <f t="shared" si="69"/>
        <v>44104</v>
      </c>
    </row>
    <row r="557" spans="1:49">
      <c r="A557" s="1077" t="s">
        <v>3358</v>
      </c>
      <c r="B557" s="1077" t="s">
        <v>1792</v>
      </c>
      <c r="C557" s="1077">
        <v>600</v>
      </c>
      <c r="D557" s="1077">
        <v>1.76</v>
      </c>
      <c r="E557" s="1077" t="s">
        <v>15091</v>
      </c>
      <c r="F557" s="1077" t="s">
        <v>984</v>
      </c>
      <c r="G557" s="1077" t="s">
        <v>1767</v>
      </c>
      <c r="H557" s="1077" t="s">
        <v>1936</v>
      </c>
      <c r="I557" s="1077" t="s">
        <v>1112</v>
      </c>
      <c r="J557" s="1077">
        <v>1.4</v>
      </c>
      <c r="K557" s="1077" t="s">
        <v>2541</v>
      </c>
      <c r="L557" s="1077" t="s">
        <v>1795</v>
      </c>
      <c r="M557" s="1077">
        <v>75</v>
      </c>
      <c r="N557" s="1077" t="s">
        <v>945</v>
      </c>
      <c r="O557" s="1077">
        <v>1.875</v>
      </c>
      <c r="P557" s="1077">
        <v>1.5</v>
      </c>
      <c r="Q557" s="1077" t="s">
        <v>961</v>
      </c>
      <c r="R557" s="1077">
        <v>21.6</v>
      </c>
      <c r="T557" s="1077">
        <v>32</v>
      </c>
      <c r="U557" s="1077">
        <v>3.7</v>
      </c>
      <c r="V557" s="1077" t="s">
        <v>648</v>
      </c>
      <c r="W557" s="1077">
        <v>110</v>
      </c>
      <c r="X557" s="1077">
        <v>60</v>
      </c>
      <c r="Y557" s="1077">
        <v>1.5</v>
      </c>
      <c r="Z557" s="1077" t="s">
        <v>3223</v>
      </c>
      <c r="AA557" s="1077" t="s">
        <v>2452</v>
      </c>
      <c r="AH557" s="1077" t="s">
        <v>762</v>
      </c>
      <c r="AM557" s="1078" t="s">
        <v>10156</v>
      </c>
      <c r="AN557" s="1078" t="s">
        <v>10157</v>
      </c>
      <c r="AO557" s="1078">
        <f t="shared" si="70"/>
        <v>600</v>
      </c>
      <c r="AP557" s="1078">
        <f t="shared" si="71"/>
        <v>1.76</v>
      </c>
      <c r="AQ557" s="1078" t="str">
        <f t="shared" si="72"/>
        <v>2-5-1S83°</v>
      </c>
      <c r="AR557" s="1078" t="str">
        <f t="shared" si="73"/>
        <v>30</v>
      </c>
      <c r="AS557" s="1078" t="str">
        <f t="shared" si="74"/>
        <v>175/OFF</v>
      </c>
      <c r="AT557" s="1078" t="str">
        <f t="shared" si="75"/>
        <v>2-5-1S83°</v>
      </c>
      <c r="AV557" s="1078" t="str">
        <f t="shared" si="68"/>
        <v>109.11.9</v>
      </c>
      <c r="AW557" s="1344">
        <f t="shared" si="69"/>
        <v>44144</v>
      </c>
    </row>
    <row r="558" spans="1:49">
      <c r="A558" s="1077" t="s">
        <v>3359</v>
      </c>
      <c r="B558" s="1077" t="s">
        <v>1792</v>
      </c>
      <c r="C558" s="1077">
        <v>600</v>
      </c>
      <c r="D558" s="1077">
        <v>1.79</v>
      </c>
      <c r="E558" s="1077" t="s">
        <v>15091</v>
      </c>
      <c r="F558" s="1077" t="s">
        <v>975</v>
      </c>
      <c r="G558" s="1077" t="s">
        <v>1767</v>
      </c>
      <c r="H558" s="1077" t="s">
        <v>1484</v>
      </c>
      <c r="I558" s="1077" t="s">
        <v>1112</v>
      </c>
      <c r="J558" s="1077">
        <v>0.3</v>
      </c>
      <c r="K558" s="1077" t="s">
        <v>2541</v>
      </c>
      <c r="L558" s="1077" t="s">
        <v>1795</v>
      </c>
      <c r="M558" s="1077">
        <v>73</v>
      </c>
      <c r="N558" s="1077" t="s">
        <v>945</v>
      </c>
      <c r="O558" s="1077">
        <v>1.8250000000000002</v>
      </c>
      <c r="P558" s="1077">
        <v>1.46</v>
      </c>
      <c r="Q558" s="1077" t="s">
        <v>1037</v>
      </c>
      <c r="R558" s="1077">
        <v>21.6</v>
      </c>
      <c r="T558" s="1077">
        <v>32</v>
      </c>
      <c r="U558" s="1077">
        <v>3.7</v>
      </c>
      <c r="V558" s="1077" t="s">
        <v>648</v>
      </c>
      <c r="W558" s="1077">
        <v>30</v>
      </c>
      <c r="X558" s="1077">
        <v>10</v>
      </c>
      <c r="Y558" s="1077">
        <v>1.2</v>
      </c>
      <c r="Z558" s="1077" t="s">
        <v>3360</v>
      </c>
      <c r="AA558" s="1077" t="s">
        <v>1201</v>
      </c>
      <c r="AH558" s="1077" t="s">
        <v>1053</v>
      </c>
      <c r="AM558" s="1078" t="s">
        <v>10158</v>
      </c>
      <c r="AN558" s="1078" t="s">
        <v>10159</v>
      </c>
      <c r="AO558" s="1078">
        <f t="shared" si="70"/>
        <v>600</v>
      </c>
      <c r="AP558" s="1078">
        <f t="shared" si="71"/>
        <v>1.79</v>
      </c>
      <c r="AQ558" s="1078" t="str">
        <f t="shared" si="72"/>
        <v>2-5-1S83°</v>
      </c>
      <c r="AR558" s="1078" t="str">
        <f t="shared" si="73"/>
        <v>31.5</v>
      </c>
      <c r="AS558" s="1078" t="str">
        <f t="shared" si="74"/>
        <v>165/OFF</v>
      </c>
      <c r="AT558" s="1078" t="str">
        <f t="shared" si="75"/>
        <v>2-5-1S83°</v>
      </c>
      <c r="AV558" s="1078" t="str">
        <f t="shared" si="68"/>
        <v>109.12.12</v>
      </c>
      <c r="AW558" s="1344">
        <f t="shared" si="69"/>
        <v>44177</v>
      </c>
    </row>
    <row r="559" spans="1:49">
      <c r="A559" s="1077" t="s">
        <v>3361</v>
      </c>
      <c r="B559" s="1077" t="s">
        <v>1792</v>
      </c>
      <c r="C559" s="1077">
        <v>600</v>
      </c>
      <c r="D559" s="1077">
        <v>1.76</v>
      </c>
      <c r="E559" s="1077" t="s">
        <v>15091</v>
      </c>
      <c r="F559" s="1077" t="s">
        <v>984</v>
      </c>
      <c r="G559" s="1077" t="s">
        <v>1767</v>
      </c>
      <c r="H559" s="1077" t="s">
        <v>2326</v>
      </c>
      <c r="I559" s="1077" t="s">
        <v>1112</v>
      </c>
      <c r="J559" s="1077">
        <v>1.3</v>
      </c>
      <c r="K559" s="1077" t="s">
        <v>2541</v>
      </c>
      <c r="L559" s="1077" t="s">
        <v>1795</v>
      </c>
      <c r="M559" s="1077">
        <v>75</v>
      </c>
      <c r="N559" s="1077" t="s">
        <v>945</v>
      </c>
      <c r="O559" s="1077">
        <v>1.875</v>
      </c>
      <c r="P559" s="1077">
        <v>1.5</v>
      </c>
      <c r="Q559" s="1077">
        <v>4</v>
      </c>
      <c r="R559" s="1077">
        <v>21.6</v>
      </c>
      <c r="T559" s="1077">
        <v>32</v>
      </c>
      <c r="U559" s="1077">
        <v>3.7</v>
      </c>
      <c r="V559" s="1077" t="s">
        <v>648</v>
      </c>
      <c r="W559" s="1077">
        <v>110</v>
      </c>
      <c r="X559" s="1077">
        <v>60</v>
      </c>
      <c r="Y559" s="1077">
        <v>1.5</v>
      </c>
      <c r="Z559" s="1077">
        <v>5.5</v>
      </c>
      <c r="AA559" s="1077" t="s">
        <v>1208</v>
      </c>
      <c r="AH559" s="1077" t="s">
        <v>783</v>
      </c>
      <c r="AM559" s="1078" t="s">
        <v>10160</v>
      </c>
      <c r="AN559" s="1078" t="s">
        <v>10161</v>
      </c>
      <c r="AO559" s="1078">
        <f t="shared" si="70"/>
        <v>600</v>
      </c>
      <c r="AP559" s="1078">
        <f t="shared" si="71"/>
        <v>1.76</v>
      </c>
      <c r="AQ559" s="1078" t="str">
        <f t="shared" si="72"/>
        <v>2-5-1S83°</v>
      </c>
      <c r="AR559" s="1078" t="str">
        <f t="shared" si="73"/>
        <v>30</v>
      </c>
      <c r="AS559" s="1078" t="str">
        <f t="shared" si="74"/>
        <v>173/OFF</v>
      </c>
      <c r="AT559" s="1078" t="str">
        <f t="shared" si="75"/>
        <v>2-5-1S83°</v>
      </c>
      <c r="AV559" s="1078" t="str">
        <f t="shared" si="68"/>
        <v>109.12.28</v>
      </c>
      <c r="AW559" s="1344">
        <f t="shared" si="69"/>
        <v>44193</v>
      </c>
    </row>
    <row r="560" spans="1:49">
      <c r="A560" s="1077" t="s">
        <v>3362</v>
      </c>
      <c r="B560" s="1077" t="s">
        <v>1792</v>
      </c>
      <c r="C560" s="1077">
        <v>650</v>
      </c>
      <c r="D560" s="1077">
        <v>1.79</v>
      </c>
      <c r="E560" s="1077" t="s">
        <v>15089</v>
      </c>
      <c r="F560" s="1077" t="s">
        <v>975</v>
      </c>
      <c r="G560" s="1077" t="s">
        <v>1767</v>
      </c>
      <c r="H560" s="1077" t="s">
        <v>3363</v>
      </c>
      <c r="I560" s="1077" t="s">
        <v>126</v>
      </c>
      <c r="J560" s="1077">
        <v>1.3</v>
      </c>
      <c r="K560" s="1077" t="s">
        <v>2541</v>
      </c>
      <c r="L560" s="1077" t="s">
        <v>1795</v>
      </c>
      <c r="M560" s="1077">
        <v>75</v>
      </c>
      <c r="N560" s="1077" t="s">
        <v>945</v>
      </c>
      <c r="O560" s="1077">
        <v>1.875</v>
      </c>
      <c r="P560" s="1077">
        <v>1.5</v>
      </c>
      <c r="Q560" s="1077">
        <v>4</v>
      </c>
      <c r="R560" s="1077">
        <v>21.6</v>
      </c>
      <c r="T560" s="1077">
        <v>32</v>
      </c>
      <c r="U560" s="1077">
        <v>3.7</v>
      </c>
      <c r="V560" s="1077" t="s">
        <v>648</v>
      </c>
      <c r="W560" s="1077">
        <v>110</v>
      </c>
      <c r="X560" s="1077">
        <v>60</v>
      </c>
      <c r="Y560" s="1077">
        <v>1.5</v>
      </c>
      <c r="Z560" s="1077">
        <v>5.5</v>
      </c>
      <c r="AA560" s="1077" t="s">
        <v>3098</v>
      </c>
      <c r="AH560" s="1077" t="s">
        <v>862</v>
      </c>
      <c r="AM560" s="1078" t="s">
        <v>10162</v>
      </c>
      <c r="AN560" s="1078" t="s">
        <v>10163</v>
      </c>
      <c r="AO560" s="1078">
        <f t="shared" si="70"/>
        <v>650</v>
      </c>
      <c r="AP560" s="1078">
        <f t="shared" si="71"/>
        <v>1.79</v>
      </c>
      <c r="AQ560" s="1078" t="str">
        <f t="shared" si="72"/>
        <v>1-4-1S83°</v>
      </c>
      <c r="AR560" s="1078" t="str">
        <f t="shared" si="73"/>
        <v>31.5</v>
      </c>
      <c r="AS560" s="1078" t="str">
        <f t="shared" si="74"/>
        <v>277/277/OFF</v>
      </c>
      <c r="AT560" s="1078" t="str">
        <f t="shared" si="75"/>
        <v>1-4-1S83°</v>
      </c>
      <c r="AV560" s="1078" t="str">
        <f t="shared" si="68"/>
        <v>110.1.8</v>
      </c>
      <c r="AW560" s="1344">
        <f t="shared" si="69"/>
        <v>44204</v>
      </c>
    </row>
    <row r="561" spans="1:49">
      <c r="A561" s="1077" t="s">
        <v>3364</v>
      </c>
      <c r="B561" s="1077" t="s">
        <v>1792</v>
      </c>
      <c r="C561" s="1077">
        <v>600</v>
      </c>
      <c r="D561" s="1077">
        <v>1.76</v>
      </c>
      <c r="E561" s="1077" t="s">
        <v>15091</v>
      </c>
      <c r="F561" s="1077" t="s">
        <v>2167</v>
      </c>
      <c r="G561" s="1077" t="s">
        <v>1767</v>
      </c>
      <c r="H561" s="1077" t="s">
        <v>2326</v>
      </c>
      <c r="I561" s="1077" t="s">
        <v>1112</v>
      </c>
      <c r="J561" s="1077">
        <v>1.2</v>
      </c>
      <c r="K561" s="1077" t="s">
        <v>3365</v>
      </c>
      <c r="L561" s="1077" t="s">
        <v>1795</v>
      </c>
      <c r="M561" s="1077">
        <v>75</v>
      </c>
      <c r="N561" s="1077" t="s">
        <v>945</v>
      </c>
      <c r="O561" s="1077">
        <v>1.875</v>
      </c>
      <c r="P561" s="1077">
        <v>1.5</v>
      </c>
      <c r="Q561" s="1077">
        <v>4</v>
      </c>
      <c r="R561" s="1077">
        <v>21.6</v>
      </c>
      <c r="T561" s="1077">
        <v>32</v>
      </c>
      <c r="U561" s="1077">
        <v>3.7</v>
      </c>
      <c r="V561" s="1077" t="s">
        <v>648</v>
      </c>
      <c r="W561" s="1077">
        <v>110</v>
      </c>
      <c r="X561" s="1077" t="s">
        <v>3366</v>
      </c>
      <c r="Y561" s="1077">
        <v>1.5</v>
      </c>
      <c r="Z561" s="1077">
        <v>5.5</v>
      </c>
      <c r="AA561" s="1077" t="s">
        <v>3241</v>
      </c>
      <c r="AH561" s="1077" t="s">
        <v>1023</v>
      </c>
      <c r="AM561" s="1078" t="s">
        <v>10164</v>
      </c>
      <c r="AN561" s="1078" t="s">
        <v>10165</v>
      </c>
      <c r="AO561" s="1078">
        <f t="shared" si="70"/>
        <v>600</v>
      </c>
      <c r="AP561" s="1078">
        <f t="shared" si="71"/>
        <v>1.76</v>
      </c>
      <c r="AQ561" s="1078" t="str">
        <f t="shared" si="72"/>
        <v>2-5-1S83°</v>
      </c>
      <c r="AR561" s="1078" t="str">
        <f t="shared" si="73"/>
        <v>33</v>
      </c>
      <c r="AS561" s="1078" t="str">
        <f t="shared" si="74"/>
        <v>173/OFF</v>
      </c>
      <c r="AT561" s="1078" t="str">
        <f t="shared" si="75"/>
        <v>2-5-1S83°</v>
      </c>
      <c r="AV561" s="1078" t="str">
        <f t="shared" si="68"/>
        <v>110.1.26</v>
      </c>
      <c r="AW561" s="1344">
        <f t="shared" si="69"/>
        <v>44222</v>
      </c>
    </row>
    <row r="562" spans="1:49">
      <c r="A562" s="1077" t="s">
        <v>3367</v>
      </c>
      <c r="B562" s="1077" t="s">
        <v>1792</v>
      </c>
      <c r="C562" s="1077">
        <v>600</v>
      </c>
      <c r="D562" s="1077">
        <v>1.79</v>
      </c>
      <c r="E562" s="1077" t="s">
        <v>15089</v>
      </c>
      <c r="F562" s="1077" t="s">
        <v>1897</v>
      </c>
      <c r="G562" s="1077" t="s">
        <v>1767</v>
      </c>
      <c r="H562" s="1077" t="s">
        <v>1061</v>
      </c>
      <c r="I562" s="1077" t="s">
        <v>126</v>
      </c>
      <c r="J562" s="1077">
        <v>0.4</v>
      </c>
      <c r="K562" s="1077" t="s">
        <v>3368</v>
      </c>
      <c r="L562" s="1077" t="s">
        <v>1795</v>
      </c>
      <c r="M562" s="1077">
        <v>73</v>
      </c>
      <c r="N562" s="1077" t="s">
        <v>945</v>
      </c>
      <c r="O562" s="1077">
        <v>1.8250000000000002</v>
      </c>
      <c r="P562" s="1077">
        <v>1.46</v>
      </c>
      <c r="Q562" s="1077" t="s">
        <v>946</v>
      </c>
      <c r="R562" s="1077">
        <v>21.6</v>
      </c>
      <c r="T562" s="1077">
        <v>32</v>
      </c>
      <c r="U562" s="1077">
        <v>3.7</v>
      </c>
      <c r="V562" s="1077" t="s">
        <v>648</v>
      </c>
      <c r="W562" s="1077">
        <v>30</v>
      </c>
      <c r="X562" s="1077">
        <v>10</v>
      </c>
      <c r="Y562" s="1077">
        <v>1.2</v>
      </c>
      <c r="Z562" s="1077" t="s">
        <v>3369</v>
      </c>
      <c r="AA562" s="1077" t="s">
        <v>3370</v>
      </c>
      <c r="AH562" s="1077" t="s">
        <v>1421</v>
      </c>
      <c r="AM562" s="1078" t="s">
        <v>10166</v>
      </c>
      <c r="AN562" s="1078" t="s">
        <v>10167</v>
      </c>
      <c r="AO562" s="1078">
        <f t="shared" si="70"/>
        <v>600</v>
      </c>
      <c r="AP562" s="1078">
        <f t="shared" si="71"/>
        <v>1.79</v>
      </c>
      <c r="AQ562" s="1078" t="str">
        <f t="shared" si="72"/>
        <v>1-4-1S83°</v>
      </c>
      <c r="AR562" s="1078" t="str">
        <f t="shared" si="73"/>
        <v>30.8</v>
      </c>
      <c r="AS562" s="1078" t="str">
        <f t="shared" si="74"/>
        <v>255/255/OFF</v>
      </c>
      <c r="AT562" s="1078" t="str">
        <f t="shared" si="75"/>
        <v>1-4-1S83°</v>
      </c>
      <c r="AV562" s="1078" t="str">
        <f t="shared" si="68"/>
        <v>110.6.25</v>
      </c>
      <c r="AW562" s="1344">
        <f t="shared" si="69"/>
        <v>44372</v>
      </c>
    </row>
    <row r="563" spans="1:49">
      <c r="A563" s="1077" t="s">
        <v>3371</v>
      </c>
      <c r="B563" s="1077" t="s">
        <v>1792</v>
      </c>
      <c r="C563" s="1077">
        <v>600</v>
      </c>
      <c r="D563" s="1077">
        <v>1.79</v>
      </c>
      <c r="E563" s="1077" t="s">
        <v>15089</v>
      </c>
      <c r="F563" s="1077" t="s">
        <v>1897</v>
      </c>
      <c r="G563" s="1077" t="s">
        <v>1767</v>
      </c>
      <c r="H563" s="1077" t="s">
        <v>1061</v>
      </c>
      <c r="I563" s="1077" t="s">
        <v>126</v>
      </c>
      <c r="J563" s="1077">
        <v>0.4</v>
      </c>
      <c r="K563" s="1077" t="s">
        <v>3365</v>
      </c>
      <c r="L563" s="1077" t="s">
        <v>1795</v>
      </c>
      <c r="M563" s="1077">
        <v>73</v>
      </c>
      <c r="N563" s="1077" t="s">
        <v>945</v>
      </c>
      <c r="O563" s="1077">
        <v>1.8250000000000002</v>
      </c>
      <c r="P563" s="1077">
        <v>1.46</v>
      </c>
      <c r="Q563" s="1077">
        <v>4</v>
      </c>
      <c r="R563" s="1077">
        <v>21.6</v>
      </c>
      <c r="T563" s="1077">
        <v>32</v>
      </c>
      <c r="U563" s="1077">
        <v>3.7</v>
      </c>
      <c r="V563" s="1077" t="s">
        <v>648</v>
      </c>
      <c r="W563" s="1077">
        <v>30</v>
      </c>
      <c r="X563" s="1077">
        <v>10</v>
      </c>
      <c r="Y563" s="1077">
        <v>1.2</v>
      </c>
      <c r="Z563" s="1077">
        <v>6</v>
      </c>
      <c r="AA563" s="1077" t="s">
        <v>3372</v>
      </c>
      <c r="AH563" s="1077" t="s">
        <v>483</v>
      </c>
      <c r="AM563" s="1078" t="s">
        <v>10168</v>
      </c>
      <c r="AN563" s="1078" t="s">
        <v>10169</v>
      </c>
      <c r="AO563" s="1078">
        <f t="shared" si="70"/>
        <v>600</v>
      </c>
      <c r="AP563" s="1078">
        <f t="shared" si="71"/>
        <v>1.79</v>
      </c>
      <c r="AQ563" s="1078" t="str">
        <f t="shared" si="72"/>
        <v>1-4-1S83°</v>
      </c>
      <c r="AR563" s="1078" t="str">
        <f t="shared" si="73"/>
        <v>30.8</v>
      </c>
      <c r="AS563" s="1078" t="str">
        <f t="shared" si="74"/>
        <v>255/255/OFF</v>
      </c>
      <c r="AT563" s="1078" t="str">
        <f t="shared" si="75"/>
        <v>1-4-1S83°</v>
      </c>
      <c r="AV563" s="1078" t="str">
        <f t="shared" si="68"/>
        <v>110.8.19</v>
      </c>
      <c r="AW563" s="1344">
        <f t="shared" si="69"/>
        <v>44427</v>
      </c>
    </row>
    <row r="564" spans="1:49">
      <c r="A564" s="1077" t="s">
        <v>3373</v>
      </c>
      <c r="B564" s="1077" t="s">
        <v>1792</v>
      </c>
      <c r="C564" s="1077">
        <v>600</v>
      </c>
      <c r="D564" s="1077">
        <v>1.79</v>
      </c>
      <c r="E564" s="1077" t="s">
        <v>15089</v>
      </c>
      <c r="F564" s="1077" t="s">
        <v>1897</v>
      </c>
      <c r="G564" s="1077" t="s">
        <v>1767</v>
      </c>
      <c r="H564" s="1077" t="s">
        <v>1061</v>
      </c>
      <c r="I564" s="1077" t="s">
        <v>126</v>
      </c>
      <c r="J564" s="1077">
        <v>0.4</v>
      </c>
      <c r="K564" s="1077" t="s">
        <v>3368</v>
      </c>
      <c r="L564" s="1077" t="s">
        <v>1795</v>
      </c>
      <c r="M564" s="1077">
        <v>73</v>
      </c>
      <c r="N564" s="1077" t="s">
        <v>945</v>
      </c>
      <c r="O564" s="1077">
        <v>1.8250000000000002</v>
      </c>
      <c r="P564" s="1077">
        <v>1.46</v>
      </c>
      <c r="Q564" s="1077">
        <v>4</v>
      </c>
      <c r="R564" s="1077">
        <v>21.6</v>
      </c>
      <c r="T564" s="1077">
        <v>32</v>
      </c>
      <c r="U564" s="1077">
        <v>3.7</v>
      </c>
      <c r="V564" s="1077" t="s">
        <v>648</v>
      </c>
      <c r="W564" s="1077">
        <v>30</v>
      </c>
      <c r="X564" s="1077">
        <v>10</v>
      </c>
      <c r="Y564" s="1077">
        <v>1.2</v>
      </c>
      <c r="Z564" s="1077">
        <v>6</v>
      </c>
      <c r="AA564" s="1077" t="s">
        <v>3374</v>
      </c>
      <c r="AH564" s="1077" t="s">
        <v>468</v>
      </c>
      <c r="AM564" s="1078" t="s">
        <v>10170</v>
      </c>
      <c r="AN564" s="1078" t="s">
        <v>10171</v>
      </c>
      <c r="AO564" s="1078">
        <f t="shared" si="70"/>
        <v>600</v>
      </c>
      <c r="AP564" s="1078">
        <f t="shared" si="71"/>
        <v>1.79</v>
      </c>
      <c r="AQ564" s="1078" t="str">
        <f t="shared" si="72"/>
        <v>1-4-1S83°</v>
      </c>
      <c r="AR564" s="1078" t="str">
        <f t="shared" si="73"/>
        <v>30.8</v>
      </c>
      <c r="AS564" s="1078" t="str">
        <f t="shared" si="74"/>
        <v>255/255/OFF</v>
      </c>
      <c r="AT564" s="1078" t="str">
        <f t="shared" si="75"/>
        <v>1-4-1S83°</v>
      </c>
      <c r="AV564" s="1078" t="str">
        <f t="shared" si="68"/>
        <v>110.9.17</v>
      </c>
      <c r="AW564" s="1344">
        <f t="shared" si="69"/>
        <v>44456</v>
      </c>
    </row>
    <row r="565" spans="1:49">
      <c r="A565" s="1077" t="s">
        <v>3375</v>
      </c>
      <c r="B565" s="1077" t="s">
        <v>1792</v>
      </c>
      <c r="C565" s="1077">
        <v>650</v>
      </c>
      <c r="D565" s="1077">
        <v>1.76</v>
      </c>
      <c r="E565" s="1077" t="s">
        <v>15089</v>
      </c>
      <c r="F565" s="1077" t="s">
        <v>954</v>
      </c>
      <c r="G565" s="1077" t="s">
        <v>1767</v>
      </c>
      <c r="H565" s="1077" t="s">
        <v>1806</v>
      </c>
      <c r="I565" s="1077" t="s">
        <v>126</v>
      </c>
      <c r="J565" s="1077">
        <v>1.6</v>
      </c>
      <c r="K565" s="1077" t="s">
        <v>3376</v>
      </c>
      <c r="L565" s="1077" t="s">
        <v>1795</v>
      </c>
      <c r="M565" s="1077">
        <v>75</v>
      </c>
      <c r="N565" s="1077" t="s">
        <v>945</v>
      </c>
      <c r="O565" s="1077">
        <v>1.875</v>
      </c>
      <c r="P565" s="1077">
        <v>1.5</v>
      </c>
      <c r="Q565" s="1077">
        <v>4</v>
      </c>
      <c r="R565" s="1077">
        <v>21.6</v>
      </c>
      <c r="T565" s="1077">
        <v>32</v>
      </c>
      <c r="U565" s="1077">
        <v>3.7</v>
      </c>
      <c r="V565" s="1077" t="s">
        <v>648</v>
      </c>
      <c r="W565" s="1077">
        <v>110</v>
      </c>
      <c r="X565" s="1077">
        <v>60</v>
      </c>
      <c r="Y565" s="1077">
        <v>1.5</v>
      </c>
      <c r="Z565" s="1077">
        <v>5.5</v>
      </c>
      <c r="AA565" s="1077" t="s">
        <v>3377</v>
      </c>
      <c r="AH565" s="1077" t="s">
        <v>966</v>
      </c>
      <c r="AM565" s="1078" t="s">
        <v>10172</v>
      </c>
      <c r="AN565" s="1078" t="s">
        <v>10173</v>
      </c>
      <c r="AO565" s="1078">
        <f t="shared" si="70"/>
        <v>650</v>
      </c>
      <c r="AP565" s="1078">
        <f t="shared" si="71"/>
        <v>1.76</v>
      </c>
      <c r="AQ565" s="1078" t="str">
        <f t="shared" si="72"/>
        <v>1-4-1S83°</v>
      </c>
      <c r="AR565" s="1078" t="str">
        <f t="shared" si="73"/>
        <v>31</v>
      </c>
      <c r="AS565" s="1078" t="str">
        <f t="shared" si="74"/>
        <v>280/280/OFF</v>
      </c>
      <c r="AT565" s="1078" t="str">
        <f t="shared" si="75"/>
        <v>1-4-1S83°</v>
      </c>
      <c r="AV565" s="1078" t="str">
        <f t="shared" si="68"/>
        <v>110.10.12</v>
      </c>
      <c r="AW565" s="1344">
        <f t="shared" si="69"/>
        <v>44481</v>
      </c>
    </row>
    <row r="566" spans="1:49">
      <c r="A566" s="1077" t="s">
        <v>3378</v>
      </c>
      <c r="B566" s="1077" t="s">
        <v>1815</v>
      </c>
      <c r="C566" s="1077">
        <v>650</v>
      </c>
      <c r="D566" s="1077">
        <v>1.72</v>
      </c>
      <c r="E566" s="1077" t="s">
        <v>15098</v>
      </c>
      <c r="F566" s="1077" t="s">
        <v>954</v>
      </c>
      <c r="G566" s="1077" t="s">
        <v>1767</v>
      </c>
      <c r="H566" s="1077" t="s">
        <v>955</v>
      </c>
      <c r="I566" s="1077" t="s">
        <v>126</v>
      </c>
      <c r="J566" s="1077">
        <v>0.8</v>
      </c>
      <c r="K566" s="1077" t="s">
        <v>3379</v>
      </c>
      <c r="L566" s="1077" t="s">
        <v>1817</v>
      </c>
      <c r="M566" s="1077">
        <v>75.099999999999994</v>
      </c>
      <c r="N566" s="1077" t="s">
        <v>945</v>
      </c>
      <c r="O566" s="1077">
        <v>1.8774999999999999</v>
      </c>
      <c r="P566" s="1077">
        <v>1.502</v>
      </c>
      <c r="Q566" s="1077" t="s">
        <v>1277</v>
      </c>
      <c r="R566" s="1077">
        <v>19</v>
      </c>
      <c r="T566" s="1077">
        <v>21</v>
      </c>
      <c r="U566" s="1077">
        <v>3.5</v>
      </c>
      <c r="V566" s="1077" t="s">
        <v>648</v>
      </c>
      <c r="W566" s="1077">
        <v>110</v>
      </c>
      <c r="X566" s="1077" t="s">
        <v>2650</v>
      </c>
      <c r="Y566" s="1077" t="s">
        <v>3380</v>
      </c>
      <c r="Z566" s="1077" t="s">
        <v>3053</v>
      </c>
      <c r="AA566" s="1077" t="s">
        <v>3381</v>
      </c>
      <c r="AB566" s="1077" t="s">
        <v>981</v>
      </c>
      <c r="AH566" s="1077" t="s">
        <v>622</v>
      </c>
      <c r="AM566" s="1078" t="s">
        <v>10174</v>
      </c>
      <c r="AN566" s="1078" t="s">
        <v>10175</v>
      </c>
      <c r="AO566" s="1078">
        <f t="shared" si="70"/>
        <v>650</v>
      </c>
      <c r="AP566" s="1078">
        <f t="shared" si="71"/>
        <v>1.72</v>
      </c>
      <c r="AQ566" s="1078" t="str">
        <f t="shared" si="72"/>
        <v>1-4-1S91°</v>
      </c>
      <c r="AR566" s="1078" t="str">
        <f t="shared" si="73"/>
        <v>31</v>
      </c>
      <c r="AS566" s="1078" t="str">
        <f t="shared" si="74"/>
        <v>260/260/OFF</v>
      </c>
      <c r="AT566" s="1078" t="str">
        <f t="shared" si="75"/>
        <v>1-4-1S91°</v>
      </c>
      <c r="AV566" s="1078" t="str">
        <f t="shared" si="68"/>
        <v>109.9.14</v>
      </c>
      <c r="AW566" s="1344">
        <f t="shared" si="69"/>
        <v>44088</v>
      </c>
    </row>
    <row r="567" spans="1:49">
      <c r="A567" s="1077" t="s">
        <v>3382</v>
      </c>
      <c r="B567" s="1077" t="s">
        <v>1815</v>
      </c>
      <c r="C567" s="1077">
        <v>650</v>
      </c>
      <c r="D567" s="1077">
        <v>1.72</v>
      </c>
      <c r="E567" s="1077" t="s">
        <v>15098</v>
      </c>
      <c r="F567" s="1077" t="s">
        <v>954</v>
      </c>
      <c r="G567" s="1077" t="s">
        <v>1767</v>
      </c>
      <c r="H567" s="1077" t="s">
        <v>955</v>
      </c>
      <c r="I567" s="1077" t="s">
        <v>126</v>
      </c>
      <c r="J567" s="1077">
        <v>0.8</v>
      </c>
      <c r="K567" s="1077" t="s">
        <v>3379</v>
      </c>
      <c r="L567" s="1077" t="s">
        <v>1817</v>
      </c>
      <c r="M567" s="1077">
        <v>75.099999999999994</v>
      </c>
      <c r="N567" s="1077" t="s">
        <v>945</v>
      </c>
      <c r="O567" s="1077">
        <v>1.8774999999999999</v>
      </c>
      <c r="P567" s="1077">
        <v>1.502</v>
      </c>
      <c r="Q567" s="1077" t="s">
        <v>1037</v>
      </c>
      <c r="R567" s="1077">
        <v>19</v>
      </c>
      <c r="T567" s="1077">
        <v>21</v>
      </c>
      <c r="U567" s="1077">
        <v>3.5</v>
      </c>
      <c r="V567" s="1077" t="s">
        <v>648</v>
      </c>
      <c r="W567" s="1077">
        <v>110</v>
      </c>
      <c r="X567" s="1077" t="s">
        <v>2650</v>
      </c>
      <c r="Y567" s="1077">
        <v>1.6</v>
      </c>
      <c r="Z567" s="1077">
        <v>4</v>
      </c>
      <c r="AA567" s="1077" t="s">
        <v>3352</v>
      </c>
      <c r="AB567" s="1077" t="s">
        <v>981</v>
      </c>
      <c r="AH567" s="1077" t="s">
        <v>680</v>
      </c>
      <c r="AM567" s="1078" t="s">
        <v>10176</v>
      </c>
      <c r="AN567" s="1078" t="s">
        <v>10177</v>
      </c>
      <c r="AO567" s="1078">
        <f t="shared" si="70"/>
        <v>650</v>
      </c>
      <c r="AP567" s="1078">
        <f t="shared" si="71"/>
        <v>1.72</v>
      </c>
      <c r="AQ567" s="1078" t="str">
        <f t="shared" si="72"/>
        <v>1-4-1S91°</v>
      </c>
      <c r="AR567" s="1078" t="str">
        <f t="shared" si="73"/>
        <v>31</v>
      </c>
      <c r="AS567" s="1078" t="str">
        <f t="shared" si="74"/>
        <v>260/260/OFF</v>
      </c>
      <c r="AT567" s="1078" t="str">
        <f t="shared" si="75"/>
        <v>1-4-1S91°</v>
      </c>
      <c r="AV567" s="1078" t="str">
        <f t="shared" si="68"/>
        <v>109.9.18</v>
      </c>
      <c r="AW567" s="1344">
        <f t="shared" si="69"/>
        <v>44092</v>
      </c>
    </row>
    <row r="568" spans="1:49">
      <c r="A568" s="1077" t="s">
        <v>3383</v>
      </c>
      <c r="B568" s="1077" t="s">
        <v>1815</v>
      </c>
      <c r="C568" s="1077">
        <v>650</v>
      </c>
      <c r="D568" s="1077">
        <v>1.72</v>
      </c>
      <c r="E568" s="1077" t="s">
        <v>15098</v>
      </c>
      <c r="F568" s="1077" t="s">
        <v>954</v>
      </c>
      <c r="G568" s="1077" t="s">
        <v>1767</v>
      </c>
      <c r="H568" s="1077" t="s">
        <v>955</v>
      </c>
      <c r="I568" s="1077" t="s">
        <v>126</v>
      </c>
      <c r="J568" s="1077">
        <v>0.8</v>
      </c>
      <c r="K568" s="1077" t="s">
        <v>3379</v>
      </c>
      <c r="L568" s="1077" t="s">
        <v>1817</v>
      </c>
      <c r="M568" s="1077">
        <v>75.099999999999994</v>
      </c>
      <c r="N568" s="1077" t="s">
        <v>945</v>
      </c>
      <c r="O568" s="1077">
        <v>1.8774999999999999</v>
      </c>
      <c r="P568" s="1077">
        <v>1.502</v>
      </c>
      <c r="Q568" s="1077">
        <v>4</v>
      </c>
      <c r="R568" s="1077">
        <v>19</v>
      </c>
      <c r="T568" s="1077">
        <v>21</v>
      </c>
      <c r="U568" s="1077">
        <v>3.5</v>
      </c>
      <c r="V568" s="1077" t="s">
        <v>648</v>
      </c>
      <c r="W568" s="1077">
        <v>110</v>
      </c>
      <c r="X568" s="1077" t="s">
        <v>2650</v>
      </c>
      <c r="Y568" s="1077">
        <v>1.6</v>
      </c>
      <c r="Z568" s="1077">
        <v>4</v>
      </c>
      <c r="AA568" s="1077" t="s">
        <v>1204</v>
      </c>
      <c r="AB568" s="1077" t="s">
        <v>981</v>
      </c>
      <c r="AH568" s="1077" t="s">
        <v>466</v>
      </c>
      <c r="AM568" s="1078" t="s">
        <v>10178</v>
      </c>
      <c r="AN568" s="1078" t="s">
        <v>10179</v>
      </c>
      <c r="AO568" s="1078">
        <f t="shared" si="70"/>
        <v>650</v>
      </c>
      <c r="AP568" s="1078">
        <f t="shared" si="71"/>
        <v>1.72</v>
      </c>
      <c r="AQ568" s="1078" t="str">
        <f t="shared" si="72"/>
        <v>1-4-1S91°</v>
      </c>
      <c r="AR568" s="1078" t="str">
        <f t="shared" si="73"/>
        <v>31</v>
      </c>
      <c r="AS568" s="1078" t="str">
        <f t="shared" si="74"/>
        <v>260/260/OFF</v>
      </c>
      <c r="AT568" s="1078" t="str">
        <f t="shared" si="75"/>
        <v>1-4-1S91°</v>
      </c>
      <c r="AV568" s="1078" t="str">
        <f t="shared" si="68"/>
        <v>109.12.21</v>
      </c>
      <c r="AW568" s="1344">
        <f t="shared" si="69"/>
        <v>44186</v>
      </c>
    </row>
    <row r="569" spans="1:49">
      <c r="A569" s="1077" t="s">
        <v>3384</v>
      </c>
      <c r="B569" s="1077" t="s">
        <v>1815</v>
      </c>
      <c r="C569" s="1077">
        <v>650</v>
      </c>
      <c r="D569" s="1077">
        <v>1.72</v>
      </c>
      <c r="E569" s="1077" t="s">
        <v>15102</v>
      </c>
      <c r="F569" s="1077" t="s">
        <v>1514</v>
      </c>
      <c r="G569" s="1077" t="s">
        <v>1767</v>
      </c>
      <c r="H569" s="1077" t="s">
        <v>1166</v>
      </c>
      <c r="I569" s="1077" t="s">
        <v>1167</v>
      </c>
      <c r="J569" s="1077">
        <v>0.9</v>
      </c>
      <c r="K569" s="1077" t="s">
        <v>3379</v>
      </c>
      <c r="L569" s="1077" t="s">
        <v>1817</v>
      </c>
      <c r="M569" s="1077">
        <v>75.099999999999994</v>
      </c>
      <c r="N569" s="1077" t="s">
        <v>945</v>
      </c>
      <c r="O569" s="1077">
        <v>1.8774999999999999</v>
      </c>
      <c r="P569" s="1077">
        <v>1.502</v>
      </c>
      <c r="Q569" s="1077">
        <v>4</v>
      </c>
      <c r="R569" s="1077">
        <v>19</v>
      </c>
      <c r="T569" s="1077">
        <v>21</v>
      </c>
      <c r="U569" s="1077">
        <v>3.5</v>
      </c>
      <c r="V569" s="1077" t="s">
        <v>648</v>
      </c>
      <c r="W569" s="1077">
        <v>110</v>
      </c>
      <c r="X569" s="1077" t="s">
        <v>2650</v>
      </c>
      <c r="Y569" s="1077">
        <v>1.6</v>
      </c>
      <c r="Z569" s="1077">
        <v>4</v>
      </c>
      <c r="AA569" s="1077" t="s">
        <v>3385</v>
      </c>
      <c r="AB569" s="1077" t="s">
        <v>981</v>
      </c>
      <c r="AH569" s="1077" t="s">
        <v>1486</v>
      </c>
      <c r="AM569" s="1078" t="s">
        <v>10180</v>
      </c>
      <c r="AN569" s="1078" t="s">
        <v>10181</v>
      </c>
      <c r="AO569" s="1078">
        <f t="shared" si="70"/>
        <v>650</v>
      </c>
      <c r="AP569" s="1078">
        <f t="shared" si="71"/>
        <v>1.72</v>
      </c>
      <c r="AQ569" s="1078" t="str">
        <f t="shared" si="72"/>
        <v>2-6-1S83°</v>
      </c>
      <c r="AR569" s="1078" t="str">
        <f t="shared" si="73"/>
        <v>32</v>
      </c>
      <c r="AS569" s="1078" t="str">
        <f t="shared" si="74"/>
        <v>170/OFF</v>
      </c>
      <c r="AT569" s="1078" t="str">
        <f t="shared" si="75"/>
        <v>2-6-1S83°</v>
      </c>
      <c r="AV569" s="1078" t="str">
        <f t="shared" si="68"/>
        <v>110.2.9</v>
      </c>
      <c r="AW569" s="1344">
        <f t="shared" si="69"/>
        <v>44236</v>
      </c>
    </row>
    <row r="570" spans="1:49">
      <c r="A570" s="1077" t="s">
        <v>3386</v>
      </c>
      <c r="B570" s="1077" t="s">
        <v>1815</v>
      </c>
      <c r="C570" s="1077">
        <v>650</v>
      </c>
      <c r="D570" s="1077">
        <v>1.72</v>
      </c>
      <c r="E570" s="1077" t="s">
        <v>15102</v>
      </c>
      <c r="F570" s="1077" t="s">
        <v>954</v>
      </c>
      <c r="G570" s="1077" t="s">
        <v>1767</v>
      </c>
      <c r="H570" s="1077" t="s">
        <v>1166</v>
      </c>
      <c r="I570" s="1077" t="s">
        <v>1167</v>
      </c>
      <c r="J570" s="1077">
        <v>0.9</v>
      </c>
      <c r="K570" s="1077" t="s">
        <v>3128</v>
      </c>
      <c r="L570" s="1077" t="s">
        <v>1817</v>
      </c>
      <c r="M570" s="1077">
        <v>75.099999999999994</v>
      </c>
      <c r="N570" s="1077" t="s">
        <v>945</v>
      </c>
      <c r="O570" s="1077">
        <v>1.8774999999999999</v>
      </c>
      <c r="P570" s="1077">
        <v>1.502</v>
      </c>
      <c r="Q570" s="1077">
        <v>4</v>
      </c>
      <c r="R570" s="1077">
        <v>19</v>
      </c>
      <c r="T570" s="1077">
        <v>21</v>
      </c>
      <c r="U570" s="1077">
        <v>3.5</v>
      </c>
      <c r="V570" s="1077" t="s">
        <v>648</v>
      </c>
      <c r="W570" s="1077">
        <v>110</v>
      </c>
      <c r="X570" s="1077" t="s">
        <v>2650</v>
      </c>
      <c r="Y570" s="1077">
        <v>1.6</v>
      </c>
      <c r="Z570" s="1077">
        <v>4</v>
      </c>
      <c r="AA570" s="1077" t="s">
        <v>3148</v>
      </c>
      <c r="AB570" s="1077" t="s">
        <v>981</v>
      </c>
      <c r="AH570" s="1077" t="s">
        <v>712</v>
      </c>
      <c r="AM570" s="1078" t="s">
        <v>10182</v>
      </c>
      <c r="AN570" s="1078" t="s">
        <v>10183</v>
      </c>
      <c r="AO570" s="1078">
        <f t="shared" si="70"/>
        <v>650</v>
      </c>
      <c r="AP570" s="1078">
        <f t="shared" si="71"/>
        <v>1.72</v>
      </c>
      <c r="AQ570" s="1078" t="str">
        <f t="shared" si="72"/>
        <v>2-6-1S83°</v>
      </c>
      <c r="AR570" s="1078" t="str">
        <f t="shared" si="73"/>
        <v>31</v>
      </c>
      <c r="AS570" s="1078" t="str">
        <f t="shared" si="74"/>
        <v>170/OFF</v>
      </c>
      <c r="AT570" s="1078" t="str">
        <f t="shared" si="75"/>
        <v>2-6-1S83°</v>
      </c>
      <c r="AV570" s="1078" t="str">
        <f t="shared" si="68"/>
        <v>110.3.15</v>
      </c>
      <c r="AW570" s="1344">
        <f t="shared" si="69"/>
        <v>44270</v>
      </c>
    </row>
    <row r="571" spans="1:49">
      <c r="A571" s="1077" t="s">
        <v>3387</v>
      </c>
      <c r="B571" s="1077" t="s">
        <v>1815</v>
      </c>
      <c r="C571" s="1077">
        <v>650</v>
      </c>
      <c r="D571" s="1077">
        <v>1.72</v>
      </c>
      <c r="E571" s="1077" t="s">
        <v>15098</v>
      </c>
      <c r="F571" s="1077" t="s">
        <v>954</v>
      </c>
      <c r="G571" s="1077" t="s">
        <v>1767</v>
      </c>
      <c r="H571" s="1077" t="s">
        <v>955</v>
      </c>
      <c r="I571" s="1077" t="s">
        <v>126</v>
      </c>
      <c r="J571" s="1077">
        <v>0.8</v>
      </c>
      <c r="K571" s="1077" t="s">
        <v>3388</v>
      </c>
      <c r="L571" s="1077" t="s">
        <v>1817</v>
      </c>
      <c r="M571" s="1077">
        <v>75.099999999999994</v>
      </c>
      <c r="N571" s="1077" t="s">
        <v>945</v>
      </c>
      <c r="O571" s="1077">
        <v>1.8774999999999999</v>
      </c>
      <c r="P571" s="1077">
        <v>1.502</v>
      </c>
      <c r="Q571" s="1077">
        <v>4</v>
      </c>
      <c r="R571" s="1077">
        <v>19</v>
      </c>
      <c r="T571" s="1077">
        <v>21</v>
      </c>
      <c r="U571" s="1077">
        <v>3.5</v>
      </c>
      <c r="V571" s="1077" t="s">
        <v>648</v>
      </c>
      <c r="W571" s="1077">
        <v>110</v>
      </c>
      <c r="X571" s="1077" t="s">
        <v>2650</v>
      </c>
      <c r="Y571" s="1077">
        <v>1.6</v>
      </c>
      <c r="Z571" s="1077">
        <v>4</v>
      </c>
      <c r="AA571" s="1077" t="s">
        <v>3389</v>
      </c>
      <c r="AB571" s="1077" t="s">
        <v>981</v>
      </c>
      <c r="AH571" s="1077" t="s">
        <v>1186</v>
      </c>
      <c r="AM571" s="1078" t="s">
        <v>10184</v>
      </c>
      <c r="AN571" s="1078" t="s">
        <v>10185</v>
      </c>
      <c r="AO571" s="1078">
        <f t="shared" si="70"/>
        <v>650</v>
      </c>
      <c r="AP571" s="1078">
        <f t="shared" si="71"/>
        <v>1.72</v>
      </c>
      <c r="AQ571" s="1078" t="str">
        <f t="shared" si="72"/>
        <v>1-4-1S91°</v>
      </c>
      <c r="AR571" s="1078" t="str">
        <f t="shared" si="73"/>
        <v>31</v>
      </c>
      <c r="AS571" s="1078" t="str">
        <f t="shared" si="74"/>
        <v>260/260/OFF</v>
      </c>
      <c r="AT571" s="1078" t="str">
        <f t="shared" si="75"/>
        <v>1-4-1S91°</v>
      </c>
      <c r="AV571" s="1078" t="str">
        <f t="shared" si="68"/>
        <v>110.5.15</v>
      </c>
      <c r="AW571" s="1344">
        <f t="shared" si="69"/>
        <v>44331</v>
      </c>
    </row>
    <row r="572" spans="1:49">
      <c r="A572" s="1077" t="s">
        <v>3390</v>
      </c>
      <c r="B572" s="1077" t="s">
        <v>453</v>
      </c>
      <c r="C572" s="1077">
        <v>600</v>
      </c>
      <c r="D572" s="1077">
        <v>1.698</v>
      </c>
      <c r="E572" s="1077" t="s">
        <v>15091</v>
      </c>
      <c r="F572" s="1077" t="s">
        <v>3391</v>
      </c>
      <c r="G572" s="1077" t="s">
        <v>1767</v>
      </c>
      <c r="H572" s="1077" t="s">
        <v>1263</v>
      </c>
      <c r="I572" s="1077" t="s">
        <v>1167</v>
      </c>
      <c r="J572" s="1077">
        <v>0.8</v>
      </c>
      <c r="K572" s="1077" t="s">
        <v>2362</v>
      </c>
      <c r="L572" s="1077" t="s">
        <v>1776</v>
      </c>
      <c r="M572" s="1077">
        <v>74.8</v>
      </c>
      <c r="N572" s="1077" t="s">
        <v>945</v>
      </c>
      <c r="O572" s="1077">
        <v>1.87</v>
      </c>
      <c r="P572" s="1077">
        <v>1.496</v>
      </c>
      <c r="Q572" s="1077">
        <v>4</v>
      </c>
      <c r="R572" s="1077">
        <v>20</v>
      </c>
      <c r="T572" s="1077">
        <v>18.600000000000001</v>
      </c>
      <c r="U572" s="1077" t="s">
        <v>3392</v>
      </c>
      <c r="V572" s="1077" t="s">
        <v>648</v>
      </c>
      <c r="W572" s="1077">
        <v>105</v>
      </c>
      <c r="X572" s="1077">
        <v>80</v>
      </c>
      <c r="Y572" s="1077">
        <v>2</v>
      </c>
      <c r="Z572" s="1077">
        <v>4.5</v>
      </c>
      <c r="AA572" s="1077" t="s">
        <v>3298</v>
      </c>
      <c r="AH572" s="1077" t="s">
        <v>782</v>
      </c>
      <c r="AM572" s="1078" t="s">
        <v>10186</v>
      </c>
      <c r="AN572" s="1078" t="s">
        <v>10187</v>
      </c>
      <c r="AO572" s="1078">
        <f t="shared" si="70"/>
        <v>600</v>
      </c>
      <c r="AP572" s="1078">
        <f t="shared" si="71"/>
        <v>1.698</v>
      </c>
      <c r="AQ572" s="1078" t="str">
        <f t="shared" si="72"/>
        <v>2-5-1S83°</v>
      </c>
      <c r="AR572" s="1078" t="str">
        <f t="shared" si="73"/>
        <v>28.2</v>
      </c>
      <c r="AS572" s="1078" t="str">
        <f t="shared" si="74"/>
        <v>163/OFF</v>
      </c>
      <c r="AT572" s="1078" t="str">
        <f t="shared" si="75"/>
        <v>2-5-1S83°</v>
      </c>
      <c r="AV572" s="1078" t="str">
        <f t="shared" si="68"/>
        <v>111.12.6</v>
      </c>
      <c r="AW572" s="1344">
        <f t="shared" si="69"/>
        <v>44901</v>
      </c>
    </row>
    <row r="573" spans="1:49">
      <c r="A573" s="1077" t="s">
        <v>3393</v>
      </c>
      <c r="B573" s="1077" t="s">
        <v>472</v>
      </c>
      <c r="C573" s="1077">
        <v>550</v>
      </c>
      <c r="D573" s="1077">
        <v>1.69</v>
      </c>
      <c r="E573" s="1077" t="s">
        <v>15089</v>
      </c>
      <c r="F573" s="1077" t="s">
        <v>984</v>
      </c>
      <c r="G573" s="1077" t="s">
        <v>1767</v>
      </c>
      <c r="H573" s="1077" t="s">
        <v>1226</v>
      </c>
      <c r="I573" s="1077" t="s">
        <v>126</v>
      </c>
      <c r="J573" s="1077">
        <v>0.6</v>
      </c>
      <c r="K573" s="1077" t="s">
        <v>3394</v>
      </c>
      <c r="L573" s="1077" t="s">
        <v>1811</v>
      </c>
      <c r="M573" s="1077">
        <v>74.599999999999994</v>
      </c>
      <c r="N573" s="1077" t="s">
        <v>945</v>
      </c>
      <c r="O573" s="1077">
        <v>1.865</v>
      </c>
      <c r="P573" s="1077">
        <v>1.492</v>
      </c>
      <c r="Q573" s="1077">
        <v>3.5</v>
      </c>
      <c r="R573" s="1077">
        <v>23.5</v>
      </c>
      <c r="T573" s="1077" t="s">
        <v>3395</v>
      </c>
      <c r="U573" s="1077">
        <v>5.0999999999999996</v>
      </c>
      <c r="V573" s="1077" t="s">
        <v>648</v>
      </c>
      <c r="W573" s="1077">
        <v>95</v>
      </c>
      <c r="X573" s="1077" t="s">
        <v>3396</v>
      </c>
      <c r="Y573" s="1077">
        <v>1.8</v>
      </c>
      <c r="Z573" s="1077">
        <v>4.5</v>
      </c>
      <c r="AA573" s="1077" t="s">
        <v>3397</v>
      </c>
      <c r="AH573" s="1077" t="s">
        <v>966</v>
      </c>
      <c r="AM573" s="1078" t="s">
        <v>10188</v>
      </c>
      <c r="AN573" s="1078" t="s">
        <v>10189</v>
      </c>
      <c r="AO573" s="1078">
        <f t="shared" si="70"/>
        <v>550</v>
      </c>
      <c r="AP573" s="1078">
        <f t="shared" si="71"/>
        <v>1.69</v>
      </c>
      <c r="AQ573" s="1078" t="str">
        <f t="shared" si="72"/>
        <v>1-4-1S83°</v>
      </c>
      <c r="AR573" s="1078" t="str">
        <f t="shared" si="73"/>
        <v>30</v>
      </c>
      <c r="AS573" s="1078" t="str">
        <f t="shared" si="74"/>
        <v>230/230/OFF</v>
      </c>
      <c r="AT573" s="1078" t="str">
        <f t="shared" si="75"/>
        <v>1-4-1S83°</v>
      </c>
      <c r="AV573" s="1078" t="str">
        <f t="shared" si="68"/>
        <v>111.12.23</v>
      </c>
      <c r="AW573" s="1344">
        <f t="shared" si="69"/>
        <v>44918</v>
      </c>
    </row>
    <row r="574" spans="1:49">
      <c r="A574" s="1077" t="s">
        <v>3398</v>
      </c>
      <c r="B574" s="1077" t="s">
        <v>2102</v>
      </c>
      <c r="C574" s="1077">
        <v>600</v>
      </c>
      <c r="D574" s="1077">
        <v>1.7</v>
      </c>
      <c r="E574" s="1077" t="s">
        <v>15089</v>
      </c>
      <c r="F574" s="1077" t="s">
        <v>954</v>
      </c>
      <c r="G574" s="1077" t="s">
        <v>1767</v>
      </c>
      <c r="H574" s="1077" t="s">
        <v>1029</v>
      </c>
      <c r="I574" s="1077" t="s">
        <v>126</v>
      </c>
      <c r="J574" s="1077">
        <v>1</v>
      </c>
      <c r="K574" s="1077" t="s">
        <v>2327</v>
      </c>
      <c r="L574" s="1077" t="s">
        <v>2104</v>
      </c>
      <c r="M574" s="1077">
        <v>75</v>
      </c>
      <c r="N574" s="1077" t="s">
        <v>945</v>
      </c>
      <c r="O574" s="1077">
        <v>1.875</v>
      </c>
      <c r="P574" s="1077">
        <v>1.5</v>
      </c>
      <c r="Q574" s="1077">
        <v>4</v>
      </c>
      <c r="R574" s="1077">
        <v>23.3</v>
      </c>
      <c r="T574" s="1077">
        <v>20.5</v>
      </c>
      <c r="U574" s="1077">
        <v>3.7</v>
      </c>
      <c r="V574" s="1077" t="s">
        <v>648</v>
      </c>
      <c r="W574" s="1077">
        <v>105</v>
      </c>
      <c r="X574" s="1077">
        <v>85</v>
      </c>
      <c r="Y574" s="1077">
        <v>1.9</v>
      </c>
      <c r="Z574" s="1077">
        <v>4.5</v>
      </c>
      <c r="AA574" s="1077" t="s">
        <v>3399</v>
      </c>
      <c r="AH574" s="1077" t="s">
        <v>619</v>
      </c>
      <c r="AM574" s="1078" t="s">
        <v>10190</v>
      </c>
      <c r="AN574" s="1078" t="s">
        <v>10191</v>
      </c>
      <c r="AO574" s="1078">
        <f t="shared" si="70"/>
        <v>600</v>
      </c>
      <c r="AP574" s="1078">
        <f t="shared" si="71"/>
        <v>1.7</v>
      </c>
      <c r="AQ574" s="1078" t="str">
        <f t="shared" si="72"/>
        <v>1-4-1S83°</v>
      </c>
      <c r="AR574" s="1078" t="str">
        <f t="shared" si="73"/>
        <v>31</v>
      </c>
      <c r="AS574" s="1078" t="str">
        <f t="shared" si="74"/>
        <v>250/250/OFF</v>
      </c>
      <c r="AT574" s="1078" t="str">
        <f t="shared" si="75"/>
        <v>1-4-1S83°</v>
      </c>
      <c r="AV574" s="1078" t="str">
        <f t="shared" si="68"/>
        <v>111.12.21</v>
      </c>
      <c r="AW574" s="1344">
        <f t="shared" si="69"/>
        <v>44916</v>
      </c>
    </row>
    <row r="575" spans="1:49">
      <c r="A575" s="1077" t="s">
        <v>3400</v>
      </c>
      <c r="B575" s="1077" t="s">
        <v>1792</v>
      </c>
      <c r="C575" s="1077">
        <v>600</v>
      </c>
      <c r="D575" s="1077">
        <v>1.76</v>
      </c>
      <c r="E575" s="1077" t="s">
        <v>15091</v>
      </c>
      <c r="F575" s="1077" t="s">
        <v>954</v>
      </c>
      <c r="G575" s="1077" t="s">
        <v>1767</v>
      </c>
      <c r="H575" s="1077" t="s">
        <v>1166</v>
      </c>
      <c r="I575" s="1077" t="s">
        <v>1112</v>
      </c>
      <c r="J575" s="1077">
        <v>1.3</v>
      </c>
      <c r="K575" s="1077" t="s">
        <v>1864</v>
      </c>
      <c r="L575" s="1077" t="s">
        <v>1795</v>
      </c>
      <c r="M575" s="1077">
        <v>75</v>
      </c>
      <c r="N575" s="1077" t="s">
        <v>945</v>
      </c>
      <c r="O575" s="1077">
        <v>1.875</v>
      </c>
      <c r="P575" s="1077">
        <v>1.5</v>
      </c>
      <c r="Q575" s="1077">
        <v>4</v>
      </c>
      <c r="R575" s="1077">
        <v>21.6</v>
      </c>
      <c r="T575" s="1077">
        <v>32</v>
      </c>
      <c r="U575" s="1077">
        <v>3.7</v>
      </c>
      <c r="V575" s="1077" t="s">
        <v>648</v>
      </c>
      <c r="W575" s="1077">
        <v>110</v>
      </c>
      <c r="X575" s="1077" t="s">
        <v>3276</v>
      </c>
      <c r="Y575" s="1077">
        <v>1.5</v>
      </c>
      <c r="Z575" s="1077">
        <v>5.5</v>
      </c>
      <c r="AA575" s="1077" t="s">
        <v>3401</v>
      </c>
      <c r="AH575" s="1077" t="s">
        <v>726</v>
      </c>
      <c r="AM575" s="1078" t="s">
        <v>10192</v>
      </c>
      <c r="AN575" s="1078" t="s">
        <v>10193</v>
      </c>
      <c r="AO575" s="1078">
        <f t="shared" si="70"/>
        <v>600</v>
      </c>
      <c r="AP575" s="1078">
        <f t="shared" si="71"/>
        <v>1.76</v>
      </c>
      <c r="AQ575" s="1078" t="str">
        <f t="shared" si="72"/>
        <v>2-5-1S83°</v>
      </c>
      <c r="AR575" s="1078" t="str">
        <f t="shared" si="73"/>
        <v>31</v>
      </c>
      <c r="AS575" s="1078" t="str">
        <f t="shared" si="74"/>
        <v>170/OFF</v>
      </c>
      <c r="AT575" s="1078" t="str">
        <f t="shared" si="75"/>
        <v>2-5-1S83°</v>
      </c>
      <c r="AV575" s="1078" t="str">
        <f t="shared" si="68"/>
        <v>112.1.3</v>
      </c>
      <c r="AW575" s="1344">
        <f t="shared" si="69"/>
        <v>44929</v>
      </c>
    </row>
    <row r="576" spans="1:49">
      <c r="A576" s="1077" t="s">
        <v>3402</v>
      </c>
      <c r="B576" s="1077" t="s">
        <v>1815</v>
      </c>
      <c r="C576" s="1077">
        <v>650</v>
      </c>
      <c r="D576" s="1077">
        <v>1.7050000000000001</v>
      </c>
      <c r="E576" s="1077" t="s">
        <v>15098</v>
      </c>
      <c r="F576" s="1077" t="s">
        <v>954</v>
      </c>
      <c r="G576" s="1077" t="s">
        <v>1767</v>
      </c>
      <c r="H576" s="1077" t="s">
        <v>1793</v>
      </c>
      <c r="I576" s="1077" t="s">
        <v>126</v>
      </c>
      <c r="J576" s="1077">
        <v>0.9</v>
      </c>
      <c r="K576" s="1077" t="s">
        <v>3284</v>
      </c>
      <c r="L576" s="1077" t="s">
        <v>2209</v>
      </c>
      <c r="M576" s="1077">
        <v>75.099999999999994</v>
      </c>
      <c r="N576" s="1077" t="s">
        <v>945</v>
      </c>
      <c r="O576" s="1077">
        <v>1.8774999999999999</v>
      </c>
      <c r="P576" s="1077">
        <v>1.502</v>
      </c>
      <c r="Q576" s="1077">
        <v>4</v>
      </c>
      <c r="R576" s="1077">
        <v>19</v>
      </c>
      <c r="T576" s="1077">
        <v>21</v>
      </c>
      <c r="U576" s="1077">
        <v>3.5</v>
      </c>
      <c r="V576" s="1077" t="s">
        <v>648</v>
      </c>
      <c r="W576" s="1077">
        <v>110</v>
      </c>
      <c r="X576" s="1077" t="s">
        <v>3403</v>
      </c>
      <c r="Y576" s="1077">
        <v>1.6</v>
      </c>
      <c r="Z576" s="1077">
        <v>4</v>
      </c>
      <c r="AA576" s="1077" t="s">
        <v>3285</v>
      </c>
      <c r="AB576" s="1077" t="s">
        <v>981</v>
      </c>
      <c r="AH576" s="1077" t="s">
        <v>621</v>
      </c>
      <c r="AM576" s="1078" t="s">
        <v>10194</v>
      </c>
      <c r="AN576" s="1078" t="s">
        <v>10195</v>
      </c>
      <c r="AO576" s="1078">
        <f t="shared" si="70"/>
        <v>650</v>
      </c>
      <c r="AP576" s="1078">
        <f t="shared" si="71"/>
        <v>1.7050000000000001</v>
      </c>
      <c r="AQ576" s="1078" t="str">
        <f t="shared" si="72"/>
        <v>1-4-1S91°</v>
      </c>
      <c r="AR576" s="1078" t="str">
        <f t="shared" si="73"/>
        <v>31</v>
      </c>
      <c r="AS576" s="1078" t="str">
        <f t="shared" si="74"/>
        <v>270/270/OFF</v>
      </c>
      <c r="AT576" s="1078" t="str">
        <f t="shared" si="75"/>
        <v>1-4-1S91°</v>
      </c>
      <c r="AV576" s="1078" t="str">
        <f t="shared" si="68"/>
        <v>111.11.17</v>
      </c>
      <c r="AW576" s="1344">
        <f t="shared" si="69"/>
        <v>44882</v>
      </c>
    </row>
    <row r="577" spans="1:49">
      <c r="A577" s="1077" t="s">
        <v>3404</v>
      </c>
      <c r="B577" s="1077" t="s">
        <v>1815</v>
      </c>
      <c r="C577" s="1077">
        <v>650</v>
      </c>
      <c r="D577" s="1077">
        <v>1.7350000000000001</v>
      </c>
      <c r="E577" s="1077" t="s">
        <v>15098</v>
      </c>
      <c r="F577" s="1077" t="s">
        <v>954</v>
      </c>
      <c r="G577" s="1077" t="s">
        <v>1767</v>
      </c>
      <c r="H577" s="1077" t="s">
        <v>1793</v>
      </c>
      <c r="I577" s="1077" t="s">
        <v>126</v>
      </c>
      <c r="J577" s="1077">
        <v>0.9</v>
      </c>
      <c r="K577" s="1077" t="s">
        <v>3405</v>
      </c>
      <c r="L577" s="1077" t="s">
        <v>1817</v>
      </c>
      <c r="M577" s="1077">
        <v>75.099999999999994</v>
      </c>
      <c r="N577" s="1077" t="s">
        <v>945</v>
      </c>
      <c r="O577" s="1077">
        <v>1.8774999999999999</v>
      </c>
      <c r="P577" s="1077">
        <v>1.502</v>
      </c>
      <c r="Q577" s="1077">
        <v>4</v>
      </c>
      <c r="R577" s="1077" t="s">
        <v>3406</v>
      </c>
      <c r="T577" s="1077">
        <v>21</v>
      </c>
      <c r="U577" s="1077">
        <v>3.5</v>
      </c>
      <c r="V577" s="1077" t="s">
        <v>648</v>
      </c>
      <c r="W577" s="1077">
        <v>110</v>
      </c>
      <c r="X577" s="1077" t="s">
        <v>2650</v>
      </c>
      <c r="Y577" s="1077">
        <v>1.6</v>
      </c>
      <c r="Z577" s="1077">
        <v>4</v>
      </c>
      <c r="AA577" s="1077" t="s">
        <v>3401</v>
      </c>
      <c r="AB577" s="1077" t="s">
        <v>981</v>
      </c>
      <c r="AH577" s="1077" t="s">
        <v>878</v>
      </c>
      <c r="AM577" s="1078" t="s">
        <v>10196</v>
      </c>
      <c r="AN577" s="1078" t="s">
        <v>10197</v>
      </c>
      <c r="AO577" s="1078">
        <f t="shared" si="70"/>
        <v>650</v>
      </c>
      <c r="AP577" s="1078">
        <f t="shared" si="71"/>
        <v>1.7350000000000001</v>
      </c>
      <c r="AQ577" s="1078" t="str">
        <f t="shared" si="72"/>
        <v>1-4-1S91°</v>
      </c>
      <c r="AR577" s="1078" t="str">
        <f t="shared" si="73"/>
        <v>31</v>
      </c>
      <c r="AS577" s="1078" t="str">
        <f t="shared" si="74"/>
        <v>270/270/OFF</v>
      </c>
      <c r="AT577" s="1078" t="str">
        <f t="shared" si="75"/>
        <v>1-4-1S91°</v>
      </c>
      <c r="AV577" s="1078" t="str">
        <f t="shared" si="68"/>
        <v>112.1.3</v>
      </c>
      <c r="AW577" s="1344">
        <f t="shared" si="69"/>
        <v>44929</v>
      </c>
    </row>
    <row r="578" spans="1:49">
      <c r="A578" s="1077" t="s">
        <v>3407</v>
      </c>
      <c r="B578" s="1077" t="s">
        <v>1783</v>
      </c>
      <c r="C578" s="1077">
        <v>500</v>
      </c>
      <c r="D578" s="1077">
        <v>1.6850000000000001</v>
      </c>
      <c r="E578" s="1077" t="s">
        <v>15089</v>
      </c>
      <c r="F578" s="1077" t="s">
        <v>2001</v>
      </c>
      <c r="G578" s="1077" t="s">
        <v>2018</v>
      </c>
      <c r="H578" s="1077" t="s">
        <v>2295</v>
      </c>
      <c r="I578" s="1077" t="s">
        <v>126</v>
      </c>
      <c r="J578" s="1077">
        <v>0.3</v>
      </c>
      <c r="K578" s="1077" t="s">
        <v>3305</v>
      </c>
      <c r="L578" s="1077" t="s">
        <v>1787</v>
      </c>
      <c r="M578" s="1077">
        <v>76.099999999999994</v>
      </c>
      <c r="N578" s="1077" t="s">
        <v>945</v>
      </c>
      <c r="O578" s="1077">
        <v>1.9024999999999999</v>
      </c>
      <c r="P578" s="1077">
        <v>1.522</v>
      </c>
      <c r="Q578" s="1077">
        <v>3.5</v>
      </c>
      <c r="R578" s="1077">
        <v>21</v>
      </c>
      <c r="T578" s="1077">
        <v>13</v>
      </c>
      <c r="U578" s="1077">
        <v>4</v>
      </c>
      <c r="V578" s="1077" t="s">
        <v>648</v>
      </c>
      <c r="W578" s="1077">
        <v>30</v>
      </c>
      <c r="X578" s="1077">
        <v>10</v>
      </c>
      <c r="Y578" s="1077">
        <v>2.5</v>
      </c>
      <c r="Z578" s="1077">
        <v>2</v>
      </c>
      <c r="AA578" s="1077" t="s">
        <v>3408</v>
      </c>
      <c r="AH578" s="1077" t="s">
        <v>877</v>
      </c>
      <c r="AM578" s="1078" t="s">
        <v>10198</v>
      </c>
      <c r="AN578" s="1078" t="s">
        <v>10199</v>
      </c>
      <c r="AO578" s="1078">
        <f t="shared" si="70"/>
        <v>500</v>
      </c>
      <c r="AP578" s="1078">
        <f t="shared" si="71"/>
        <v>1.6850000000000001</v>
      </c>
      <c r="AQ578" s="1078" t="str">
        <f t="shared" si="72"/>
        <v>1-4-1S83°</v>
      </c>
      <c r="AR578" s="1078" t="str">
        <f t="shared" si="73"/>
        <v>29.9</v>
      </c>
      <c r="AS578" s="1078" t="str">
        <f t="shared" si="74"/>
        <v>205/205/OFF</v>
      </c>
      <c r="AT578" s="1078" t="str">
        <f t="shared" si="75"/>
        <v>1-4-1S83°</v>
      </c>
      <c r="AV578" s="1078" t="str">
        <f t="shared" ref="AV578:AV641" si="76">AA578</f>
        <v>112.1.7</v>
      </c>
      <c r="AW578" s="1344">
        <f t="shared" si="69"/>
        <v>44933</v>
      </c>
    </row>
    <row r="579" spans="1:49">
      <c r="A579" s="1077" t="s">
        <v>3409</v>
      </c>
      <c r="B579" s="1077" t="s">
        <v>453</v>
      </c>
      <c r="C579" s="1077">
        <v>650</v>
      </c>
      <c r="D579" s="1077">
        <v>1.7</v>
      </c>
      <c r="E579" s="1077" t="s">
        <v>15088</v>
      </c>
      <c r="F579" s="1077" t="s">
        <v>648</v>
      </c>
      <c r="G579" s="1077" t="s">
        <v>1767</v>
      </c>
      <c r="H579" s="1077" t="s">
        <v>2359</v>
      </c>
      <c r="I579" s="1077" t="s">
        <v>126</v>
      </c>
      <c r="J579" s="1077">
        <v>0.9</v>
      </c>
      <c r="K579" s="1077" t="s">
        <v>3410</v>
      </c>
      <c r="L579" s="1077" t="s">
        <v>1776</v>
      </c>
      <c r="M579" s="1077">
        <v>74.8</v>
      </c>
      <c r="N579" s="1077" t="s">
        <v>945</v>
      </c>
      <c r="O579" s="1077">
        <v>1.87</v>
      </c>
      <c r="P579" s="1077">
        <v>1.496</v>
      </c>
      <c r="Q579" s="1077">
        <v>3.5</v>
      </c>
      <c r="R579" s="1077">
        <v>21.5</v>
      </c>
      <c r="T579" s="1077">
        <v>18.600000000000001</v>
      </c>
      <c r="U579" s="1077">
        <v>3.5</v>
      </c>
      <c r="V579" s="1077" t="s">
        <v>648</v>
      </c>
      <c r="W579" s="1077">
        <v>105</v>
      </c>
      <c r="X579" s="1077" t="s">
        <v>3411</v>
      </c>
      <c r="Y579" s="1077">
        <v>2</v>
      </c>
      <c r="Z579" s="1077">
        <v>4.5</v>
      </c>
      <c r="AA579" s="1077" t="s">
        <v>3401</v>
      </c>
      <c r="AB579" s="1077" t="s">
        <v>3412</v>
      </c>
      <c r="AH579" s="1077" t="s">
        <v>782</v>
      </c>
      <c r="AM579" s="1078" t="s">
        <v>10200</v>
      </c>
      <c r="AN579" s="1078" t="s">
        <v>10201</v>
      </c>
      <c r="AO579" s="1078">
        <f t="shared" si="70"/>
        <v>650</v>
      </c>
      <c r="AP579" s="1078">
        <f t="shared" si="71"/>
        <v>1.7</v>
      </c>
      <c r="AQ579" s="1078" t="str">
        <f t="shared" si="72"/>
        <v>1-4-1S85°</v>
      </c>
      <c r="AR579" s="1078" t="str">
        <f t="shared" si="73"/>
        <v>NA</v>
      </c>
      <c r="AS579" s="1078" t="str">
        <f t="shared" si="74"/>
        <v>174/OFF</v>
      </c>
      <c r="AT579" s="1078" t="str">
        <f t="shared" si="75"/>
        <v>1-4-1S85°</v>
      </c>
      <c r="AV579" s="1078" t="str">
        <f t="shared" si="76"/>
        <v>112.1.3</v>
      </c>
      <c r="AW579" s="1344">
        <f t="shared" ref="AW579:AW642" si="77">DATE(VALUE(LEFT(AV579,FIND(".",AV579)-1))+1911,
       VALUE(MID(AV579,FIND(".",AV579)+1,FIND(".",AV579,FIND(".",AV579)+1)-FIND(".",AV579)-1)),
       VALUE(RIGHT(AV579,LEN(AV579)-FIND("~",SUBSTITUTE(AV579,".","~",2)))))</f>
        <v>44929</v>
      </c>
    </row>
    <row r="580" spans="1:49">
      <c r="A580" s="1077" t="s">
        <v>3413</v>
      </c>
      <c r="B580" s="1077" t="s">
        <v>1815</v>
      </c>
      <c r="C580" s="1077">
        <v>650</v>
      </c>
      <c r="D580" s="1077">
        <v>1.7350000000000001</v>
      </c>
      <c r="E580" s="1077" t="s">
        <v>15098</v>
      </c>
      <c r="F580" s="1077" t="s">
        <v>954</v>
      </c>
      <c r="G580" s="1077" t="s">
        <v>1767</v>
      </c>
      <c r="H580" s="1077" t="s">
        <v>1793</v>
      </c>
      <c r="I580" s="1077" t="s">
        <v>126</v>
      </c>
      <c r="J580" s="1077">
        <v>0.9</v>
      </c>
      <c r="K580" s="1077" t="s">
        <v>3405</v>
      </c>
      <c r="L580" s="1077" t="s">
        <v>1817</v>
      </c>
      <c r="M580" s="1077">
        <v>75.099999999999994</v>
      </c>
      <c r="N580" s="1077" t="s">
        <v>945</v>
      </c>
      <c r="O580" s="1077">
        <v>1.8774999999999999</v>
      </c>
      <c r="P580" s="1077">
        <v>1.502</v>
      </c>
      <c r="Q580" s="1077">
        <v>4</v>
      </c>
      <c r="R580" s="1077">
        <v>19</v>
      </c>
      <c r="T580" s="1077">
        <v>21</v>
      </c>
      <c r="U580" s="1077">
        <v>3.5</v>
      </c>
      <c r="V580" s="1077" t="s">
        <v>648</v>
      </c>
      <c r="W580" s="1077">
        <v>110</v>
      </c>
      <c r="X580" s="1077" t="s">
        <v>3414</v>
      </c>
      <c r="Y580" s="1077">
        <v>1.6</v>
      </c>
      <c r="Z580" s="1077">
        <v>4</v>
      </c>
      <c r="AA580" s="1077" t="s">
        <v>1558</v>
      </c>
      <c r="AB580" s="1077" t="s">
        <v>981</v>
      </c>
      <c r="AH580" s="1077" t="s">
        <v>466</v>
      </c>
      <c r="AM580" s="1078" t="s">
        <v>10202</v>
      </c>
      <c r="AN580" s="1078" t="s">
        <v>10203</v>
      </c>
      <c r="AO580" s="1078">
        <f t="shared" si="70"/>
        <v>650</v>
      </c>
      <c r="AP580" s="1078">
        <f t="shared" si="71"/>
        <v>1.7350000000000001</v>
      </c>
      <c r="AQ580" s="1078" t="str">
        <f t="shared" si="72"/>
        <v>1-4-1S91°</v>
      </c>
      <c r="AR580" s="1078" t="str">
        <f t="shared" si="73"/>
        <v>31</v>
      </c>
      <c r="AS580" s="1078" t="str">
        <f t="shared" si="74"/>
        <v>270/270/OFF</v>
      </c>
      <c r="AT580" s="1078" t="str">
        <f t="shared" si="75"/>
        <v>1-4-1S91°</v>
      </c>
      <c r="AV580" s="1078" t="str">
        <f t="shared" si="76"/>
        <v>112.1.13</v>
      </c>
      <c r="AW580" s="1344">
        <f t="shared" si="77"/>
        <v>44939</v>
      </c>
    </row>
    <row r="581" spans="1:49">
      <c r="A581" s="1077" t="s">
        <v>3415</v>
      </c>
      <c r="B581" s="1077" t="s">
        <v>1783</v>
      </c>
      <c r="C581" s="1077">
        <v>500</v>
      </c>
      <c r="D581" s="1077">
        <v>1.6850000000000001</v>
      </c>
      <c r="E581" s="1077" t="s">
        <v>15089</v>
      </c>
      <c r="F581" s="1077" t="s">
        <v>2001</v>
      </c>
      <c r="G581" s="1077" t="s">
        <v>1784</v>
      </c>
      <c r="H581" s="1077" t="s">
        <v>2295</v>
      </c>
      <c r="I581" s="1077" t="s">
        <v>126</v>
      </c>
      <c r="J581" s="1077">
        <v>0.3</v>
      </c>
      <c r="K581" s="1077" t="s">
        <v>3305</v>
      </c>
      <c r="L581" s="1077" t="s">
        <v>1787</v>
      </c>
      <c r="M581" s="1077">
        <v>76.099999999999994</v>
      </c>
      <c r="N581" s="1077" t="s">
        <v>945</v>
      </c>
      <c r="O581" s="1077">
        <v>1.9024999999999999</v>
      </c>
      <c r="P581" s="1077">
        <v>1.522</v>
      </c>
      <c r="Q581" s="1077">
        <v>4</v>
      </c>
      <c r="R581" s="1077">
        <v>21</v>
      </c>
      <c r="T581" s="1077">
        <v>13</v>
      </c>
      <c r="U581" s="1077">
        <v>4</v>
      </c>
      <c r="V581" s="1077" t="s">
        <v>648</v>
      </c>
      <c r="W581" s="1077" t="s">
        <v>3416</v>
      </c>
      <c r="X581" s="1077">
        <v>10</v>
      </c>
      <c r="Y581" s="1077">
        <v>2.5</v>
      </c>
      <c r="Z581" s="1077">
        <v>2</v>
      </c>
      <c r="AA581" s="1077" t="s">
        <v>3417</v>
      </c>
      <c r="AH581" s="1077" t="s">
        <v>963</v>
      </c>
      <c r="AM581" s="1078" t="s">
        <v>10204</v>
      </c>
      <c r="AN581" s="1078" t="s">
        <v>10205</v>
      </c>
      <c r="AO581" s="1078">
        <f t="shared" si="70"/>
        <v>500</v>
      </c>
      <c r="AP581" s="1078">
        <f t="shared" si="71"/>
        <v>1.6850000000000001</v>
      </c>
      <c r="AQ581" s="1078" t="str">
        <f t="shared" si="72"/>
        <v>1-4-1S83°</v>
      </c>
      <c r="AR581" s="1078" t="str">
        <f t="shared" si="73"/>
        <v>29.9</v>
      </c>
      <c r="AS581" s="1078" t="str">
        <f t="shared" si="74"/>
        <v>205/205/OFF</v>
      </c>
      <c r="AT581" s="1078" t="str">
        <f t="shared" si="75"/>
        <v>1-4-1S83°</v>
      </c>
      <c r="AV581" s="1078" t="str">
        <f t="shared" si="76"/>
        <v>112.1.27</v>
      </c>
      <c r="AW581" s="1344">
        <f t="shared" si="77"/>
        <v>44953</v>
      </c>
    </row>
    <row r="582" spans="1:49">
      <c r="A582" s="1077" t="s">
        <v>3418</v>
      </c>
      <c r="B582" s="1077" t="s">
        <v>850</v>
      </c>
      <c r="C582" s="1077">
        <v>550</v>
      </c>
      <c r="D582" s="1077">
        <v>1.67</v>
      </c>
      <c r="E582" s="1077" t="s">
        <v>15095</v>
      </c>
      <c r="F582" s="1077" t="s">
        <v>984</v>
      </c>
      <c r="G582" s="1077" t="s">
        <v>940</v>
      </c>
      <c r="H582" s="1077" t="s">
        <v>1017</v>
      </c>
      <c r="I582" s="1077" t="s">
        <v>626</v>
      </c>
      <c r="J582" s="1077">
        <v>0.9</v>
      </c>
      <c r="K582" s="1077" t="s">
        <v>3419</v>
      </c>
      <c r="L582" s="1077" t="s">
        <v>3420</v>
      </c>
      <c r="M582" s="1077">
        <v>78</v>
      </c>
      <c r="N582" s="1077" t="s">
        <v>945</v>
      </c>
      <c r="O582" s="1077">
        <v>1.9500000000000002</v>
      </c>
      <c r="P582" s="1077">
        <v>1.56</v>
      </c>
      <c r="Q582" s="1077">
        <v>3</v>
      </c>
      <c r="R582" s="1077" t="s">
        <v>3421</v>
      </c>
      <c r="T582" s="1077">
        <v>9.6</v>
      </c>
      <c r="U582" s="1077">
        <v>6.8</v>
      </c>
      <c r="V582" s="1077" t="s">
        <v>648</v>
      </c>
      <c r="W582" s="1077">
        <v>135</v>
      </c>
      <c r="X582" s="1077">
        <v>65</v>
      </c>
      <c r="Y582" s="1077">
        <v>1.4</v>
      </c>
      <c r="Z582" s="1077">
        <v>4</v>
      </c>
      <c r="AA582" s="1077" t="s">
        <v>3422</v>
      </c>
      <c r="AH582" s="1077" t="s">
        <v>762</v>
      </c>
      <c r="AM582" s="1078" t="s">
        <v>10206</v>
      </c>
      <c r="AN582" s="1078" t="s">
        <v>10207</v>
      </c>
      <c r="AO582" s="1078">
        <f t="shared" si="70"/>
        <v>550</v>
      </c>
      <c r="AP582" s="1078">
        <f t="shared" si="71"/>
        <v>1.67</v>
      </c>
      <c r="AQ582" s="1078" t="str">
        <f t="shared" si="72"/>
        <v>1-5-1S83°</v>
      </c>
      <c r="AR582" s="1078" t="str">
        <f t="shared" si="73"/>
        <v>30</v>
      </c>
      <c r="AS582" s="1078" t="str">
        <f t="shared" si="74"/>
        <v>200/200/OFF</v>
      </c>
      <c r="AT582" s="1078" t="str">
        <f t="shared" si="75"/>
        <v>1-5-1S83°</v>
      </c>
      <c r="AV582" s="1078" t="str">
        <f t="shared" si="76"/>
        <v>112.1.17</v>
      </c>
      <c r="AW582" s="1344">
        <f t="shared" si="77"/>
        <v>44943</v>
      </c>
    </row>
    <row r="583" spans="1:49">
      <c r="A583" s="1077" t="s">
        <v>3423</v>
      </c>
      <c r="B583" s="1077" t="s">
        <v>1842</v>
      </c>
      <c r="C583" s="1077">
        <v>500</v>
      </c>
      <c r="D583" s="1077">
        <v>1.7</v>
      </c>
      <c r="E583" s="1077" t="s">
        <v>15095</v>
      </c>
      <c r="F583" s="1077" t="s">
        <v>984</v>
      </c>
      <c r="G583" s="1077" t="s">
        <v>1016</v>
      </c>
      <c r="H583" s="1077" t="s">
        <v>1290</v>
      </c>
      <c r="I583" s="1077" t="s">
        <v>126</v>
      </c>
      <c r="J583" s="1077">
        <v>0.8</v>
      </c>
      <c r="K583" s="1077" t="s">
        <v>2379</v>
      </c>
      <c r="L583" s="1077" t="s">
        <v>1844</v>
      </c>
      <c r="M583" s="1077">
        <v>77.099999999999994</v>
      </c>
      <c r="N583" s="1077" t="s">
        <v>945</v>
      </c>
      <c r="O583" s="1077">
        <v>1.9275</v>
      </c>
      <c r="P583" s="1077">
        <v>1.5419999999999998</v>
      </c>
      <c r="Q583" s="1077">
        <v>4</v>
      </c>
      <c r="R583" s="1077">
        <v>23</v>
      </c>
      <c r="T583" s="1077">
        <v>18</v>
      </c>
      <c r="U583" s="1077">
        <v>4</v>
      </c>
      <c r="V583" s="1077" t="s">
        <v>648</v>
      </c>
      <c r="W583" s="1077">
        <v>110</v>
      </c>
      <c r="X583" s="1077">
        <v>70</v>
      </c>
      <c r="Y583" s="1077">
        <v>1.8</v>
      </c>
      <c r="Z583" s="1077">
        <v>4.5</v>
      </c>
      <c r="AA583" s="1077" t="s">
        <v>3424</v>
      </c>
      <c r="AH583" s="1077" t="s">
        <v>646</v>
      </c>
      <c r="AM583" s="1078" t="s">
        <v>10208</v>
      </c>
      <c r="AN583" s="1078" t="s">
        <v>10209</v>
      </c>
      <c r="AO583" s="1078">
        <f t="shared" si="70"/>
        <v>500</v>
      </c>
      <c r="AP583" s="1078">
        <f t="shared" si="71"/>
        <v>1.7</v>
      </c>
      <c r="AQ583" s="1078" t="str">
        <f t="shared" si="72"/>
        <v>1-5-1S83°</v>
      </c>
      <c r="AR583" s="1078" t="str">
        <f t="shared" si="73"/>
        <v>30</v>
      </c>
      <c r="AS583" s="1078" t="str">
        <f t="shared" si="74"/>
        <v>220/220/OFF</v>
      </c>
      <c r="AT583" s="1078" t="str">
        <f t="shared" si="75"/>
        <v>1-5-1S83°</v>
      </c>
      <c r="AV583" s="1078" t="str">
        <f t="shared" si="76"/>
        <v>112.3.13</v>
      </c>
      <c r="AW583" s="1344">
        <f t="shared" si="77"/>
        <v>44998</v>
      </c>
    </row>
    <row r="584" spans="1:49">
      <c r="A584" s="1077" t="s">
        <v>3425</v>
      </c>
      <c r="B584" s="1077" t="s">
        <v>1783</v>
      </c>
      <c r="C584" s="1077">
        <v>500</v>
      </c>
      <c r="D584" s="1077">
        <v>1.68</v>
      </c>
      <c r="E584" s="1077" t="s">
        <v>15089</v>
      </c>
      <c r="F584" s="1077" t="s">
        <v>984</v>
      </c>
      <c r="G584" s="1077" t="s">
        <v>2592</v>
      </c>
      <c r="H584" s="1077" t="s">
        <v>1290</v>
      </c>
      <c r="I584" s="1077" t="s">
        <v>126</v>
      </c>
      <c r="J584" s="1077">
        <v>0.2</v>
      </c>
      <c r="K584" s="1077" t="s">
        <v>3426</v>
      </c>
      <c r="L584" s="1077" t="s">
        <v>1787</v>
      </c>
      <c r="M584" s="1077">
        <v>76.099999999999994</v>
      </c>
      <c r="N584" s="1077" t="s">
        <v>945</v>
      </c>
      <c r="O584" s="1077">
        <v>1.9024999999999999</v>
      </c>
      <c r="P584" s="1077">
        <v>1.522</v>
      </c>
      <c r="Q584" s="1077">
        <v>4</v>
      </c>
      <c r="R584" s="1077">
        <v>19</v>
      </c>
      <c r="T584" s="1077">
        <v>13</v>
      </c>
      <c r="U584" s="1077">
        <v>4</v>
      </c>
      <c r="V584" s="1077" t="s">
        <v>648</v>
      </c>
      <c r="W584" s="1077" t="s">
        <v>2085</v>
      </c>
      <c r="X584" s="1077">
        <v>0</v>
      </c>
      <c r="Y584" s="1077">
        <v>2.5</v>
      </c>
      <c r="Z584" s="1077">
        <v>2</v>
      </c>
      <c r="AA584" s="1077" t="s">
        <v>3427</v>
      </c>
      <c r="AH584" s="1077" t="s">
        <v>483</v>
      </c>
      <c r="AM584" s="1078" t="s">
        <v>10210</v>
      </c>
      <c r="AN584" s="1078" t="s">
        <v>10211</v>
      </c>
      <c r="AO584" s="1078">
        <f t="shared" si="70"/>
        <v>500</v>
      </c>
      <c r="AP584" s="1078">
        <f t="shared" si="71"/>
        <v>1.68</v>
      </c>
      <c r="AQ584" s="1078" t="str">
        <f t="shared" si="72"/>
        <v>1-4-1S83°</v>
      </c>
      <c r="AR584" s="1078" t="str">
        <f t="shared" si="73"/>
        <v>30</v>
      </c>
      <c r="AS584" s="1078" t="str">
        <f t="shared" si="74"/>
        <v>220/220/OFF</v>
      </c>
      <c r="AT584" s="1078" t="str">
        <f t="shared" si="75"/>
        <v>1-4-1S83°</v>
      </c>
      <c r="AV584" s="1078" t="str">
        <f t="shared" si="76"/>
        <v>112.2.3</v>
      </c>
      <c r="AW584" s="1344">
        <f t="shared" si="77"/>
        <v>44960</v>
      </c>
    </row>
    <row r="585" spans="1:49">
      <c r="A585" s="1077" t="s">
        <v>3428</v>
      </c>
      <c r="B585" s="1077" t="s">
        <v>1815</v>
      </c>
      <c r="C585" s="1077">
        <v>650</v>
      </c>
      <c r="D585" s="1077">
        <v>1.7350000000000001</v>
      </c>
      <c r="E585" s="1077" t="s">
        <v>15098</v>
      </c>
      <c r="F585" s="1077" t="s">
        <v>954</v>
      </c>
      <c r="G585" s="1077" t="s">
        <v>1767</v>
      </c>
      <c r="H585" s="1077" t="s">
        <v>1793</v>
      </c>
      <c r="I585" s="1077" t="s">
        <v>126</v>
      </c>
      <c r="J585" s="1077">
        <v>0.9</v>
      </c>
      <c r="K585" s="1077" t="s">
        <v>3405</v>
      </c>
      <c r="L585" s="1077" t="s">
        <v>1817</v>
      </c>
      <c r="M585" s="1077">
        <v>75.099999999999994</v>
      </c>
      <c r="N585" s="1077" t="s">
        <v>945</v>
      </c>
      <c r="O585" s="1077">
        <v>1.8774999999999999</v>
      </c>
      <c r="P585" s="1077">
        <v>1.502</v>
      </c>
      <c r="Q585" s="1077">
        <v>4</v>
      </c>
      <c r="R585" s="1077">
        <v>19</v>
      </c>
      <c r="T585" s="1077">
        <v>21</v>
      </c>
      <c r="U585" s="1077">
        <v>3.5</v>
      </c>
      <c r="V585" s="1077" t="s">
        <v>648</v>
      </c>
      <c r="W585" s="1077">
        <v>110</v>
      </c>
      <c r="X585" s="1077" t="s">
        <v>2650</v>
      </c>
      <c r="Y585" s="1077">
        <v>1.6</v>
      </c>
      <c r="Z585" s="1077">
        <v>4</v>
      </c>
      <c r="AA585" s="1077" t="s">
        <v>3429</v>
      </c>
      <c r="AB585" s="1077" t="s">
        <v>981</v>
      </c>
      <c r="AH585" s="1077" t="s">
        <v>877</v>
      </c>
      <c r="AM585" s="1078" t="s">
        <v>10212</v>
      </c>
      <c r="AN585" s="1078" t="s">
        <v>10213</v>
      </c>
      <c r="AO585" s="1078">
        <f t="shared" si="70"/>
        <v>650</v>
      </c>
      <c r="AP585" s="1078">
        <f t="shared" si="71"/>
        <v>1.7350000000000001</v>
      </c>
      <c r="AQ585" s="1078" t="str">
        <f t="shared" si="72"/>
        <v>1-4-1S91°</v>
      </c>
      <c r="AR585" s="1078" t="str">
        <f t="shared" si="73"/>
        <v>31</v>
      </c>
      <c r="AS585" s="1078" t="str">
        <f t="shared" si="74"/>
        <v>270/270/OFF</v>
      </c>
      <c r="AT585" s="1078" t="str">
        <f t="shared" si="75"/>
        <v>1-4-1S91°</v>
      </c>
      <c r="AV585" s="1078" t="str">
        <f t="shared" si="76"/>
        <v>112.2.9</v>
      </c>
      <c r="AW585" s="1344">
        <f t="shared" si="77"/>
        <v>44966</v>
      </c>
    </row>
    <row r="586" spans="1:49">
      <c r="A586" s="1077" t="s">
        <v>3430</v>
      </c>
      <c r="B586" s="1077" t="s">
        <v>1815</v>
      </c>
      <c r="C586" s="1077">
        <v>650</v>
      </c>
      <c r="D586" s="1077">
        <v>1.7350000000000001</v>
      </c>
      <c r="E586" s="1077" t="s">
        <v>15098</v>
      </c>
      <c r="F586" s="1077" t="s">
        <v>954</v>
      </c>
      <c r="G586" s="1077" t="s">
        <v>1767</v>
      </c>
      <c r="H586" s="1077" t="s">
        <v>1793</v>
      </c>
      <c r="I586" s="1077" t="s">
        <v>126</v>
      </c>
      <c r="J586" s="1077">
        <v>0.9</v>
      </c>
      <c r="K586" s="1077" t="s">
        <v>3405</v>
      </c>
      <c r="L586" s="1077" t="s">
        <v>1817</v>
      </c>
      <c r="M586" s="1077">
        <v>75.099999999999994</v>
      </c>
      <c r="N586" s="1077" t="s">
        <v>945</v>
      </c>
      <c r="O586" s="1077">
        <v>1.8774999999999999</v>
      </c>
      <c r="P586" s="1077">
        <v>1.502</v>
      </c>
      <c r="Q586" s="1077">
        <v>4</v>
      </c>
      <c r="R586" s="1077">
        <v>19</v>
      </c>
      <c r="T586" s="1077">
        <v>21</v>
      </c>
      <c r="U586" s="1077">
        <v>3.5</v>
      </c>
      <c r="V586" s="1077" t="s">
        <v>648</v>
      </c>
      <c r="W586" s="1077">
        <v>110</v>
      </c>
      <c r="X586" s="1077" t="s">
        <v>3414</v>
      </c>
      <c r="Y586" s="1077">
        <v>1.6</v>
      </c>
      <c r="Z586" s="1077">
        <v>4</v>
      </c>
      <c r="AA586" s="1077" t="s">
        <v>1560</v>
      </c>
      <c r="AB586" s="1077" t="s">
        <v>981</v>
      </c>
      <c r="AH586" s="1077" t="s">
        <v>2427</v>
      </c>
      <c r="AM586" s="1078" t="s">
        <v>10214</v>
      </c>
      <c r="AN586" s="1078" t="s">
        <v>10215</v>
      </c>
      <c r="AO586" s="1078">
        <f t="shared" si="70"/>
        <v>650</v>
      </c>
      <c r="AP586" s="1078">
        <f t="shared" si="71"/>
        <v>1.7350000000000001</v>
      </c>
      <c r="AQ586" s="1078" t="str">
        <f t="shared" si="72"/>
        <v>1-4-1S91°</v>
      </c>
      <c r="AR586" s="1078" t="str">
        <f t="shared" si="73"/>
        <v>31</v>
      </c>
      <c r="AS586" s="1078" t="str">
        <f t="shared" si="74"/>
        <v>270/270/OFF</v>
      </c>
      <c r="AT586" s="1078" t="str">
        <f t="shared" si="75"/>
        <v>1-4-1S91°</v>
      </c>
      <c r="AV586" s="1078" t="str">
        <f t="shared" si="76"/>
        <v>112.2.6</v>
      </c>
      <c r="AW586" s="1344">
        <f t="shared" si="77"/>
        <v>44963</v>
      </c>
    </row>
    <row r="587" spans="1:49">
      <c r="A587" s="1077" t="s">
        <v>3431</v>
      </c>
      <c r="B587" s="1077" t="s">
        <v>1783</v>
      </c>
      <c r="C587" s="1077">
        <v>500</v>
      </c>
      <c r="D587" s="1077">
        <v>1.69</v>
      </c>
      <c r="E587" s="1077" t="s">
        <v>15089</v>
      </c>
      <c r="F587" s="1077" t="s">
        <v>2001</v>
      </c>
      <c r="G587" s="1077" t="s">
        <v>3432</v>
      </c>
      <c r="H587" s="1077" t="s">
        <v>2295</v>
      </c>
      <c r="I587" s="1077" t="s">
        <v>126</v>
      </c>
      <c r="J587" s="1077">
        <v>0.3</v>
      </c>
      <c r="K587" s="1077" t="s">
        <v>3305</v>
      </c>
      <c r="L587" s="1077" t="s">
        <v>1787</v>
      </c>
      <c r="M587" s="1077">
        <v>75</v>
      </c>
      <c r="N587" s="1077" t="s">
        <v>945</v>
      </c>
      <c r="O587" s="1077">
        <v>1.875</v>
      </c>
      <c r="P587" s="1077">
        <v>1.5</v>
      </c>
      <c r="Q587" s="1077">
        <v>4</v>
      </c>
      <c r="R587" s="1077">
        <v>21</v>
      </c>
      <c r="T587" s="1077">
        <v>13</v>
      </c>
      <c r="U587" s="1077" t="s">
        <v>3307</v>
      </c>
      <c r="V587" s="1077" t="s">
        <v>648</v>
      </c>
      <c r="W587" s="1077" t="s">
        <v>3433</v>
      </c>
      <c r="X587" s="1077">
        <v>10</v>
      </c>
      <c r="Y587" s="1077">
        <v>2.5</v>
      </c>
      <c r="Z587" s="1077">
        <v>2</v>
      </c>
      <c r="AA587" s="1077" t="s">
        <v>1560</v>
      </c>
      <c r="AH587" s="1077" t="s">
        <v>878</v>
      </c>
      <c r="AM587" s="1078" t="s">
        <v>10216</v>
      </c>
      <c r="AN587" s="1078" t="s">
        <v>10217</v>
      </c>
      <c r="AO587" s="1078">
        <f t="shared" ref="AO587:AO650" si="78">C587</f>
        <v>500</v>
      </c>
      <c r="AP587" s="1078">
        <f t="shared" ref="AP587:AP650" si="79">D587</f>
        <v>1.69</v>
      </c>
      <c r="AQ587" s="1078" t="str">
        <f t="shared" ref="AQ587:AQ650" si="80">E587</f>
        <v>1-4-1S83°</v>
      </c>
      <c r="AR587" s="1078" t="str">
        <f t="shared" ref="AR587:AR650" si="81">F587</f>
        <v>29.9</v>
      </c>
      <c r="AS587" s="1078" t="str">
        <f t="shared" ref="AS587:AS650" si="82">H587</f>
        <v>205/205/OFF</v>
      </c>
      <c r="AT587" s="1078" t="str">
        <f t="shared" ref="AT587:AT650" si="83">E587</f>
        <v>1-4-1S83°</v>
      </c>
      <c r="AV587" s="1078" t="str">
        <f t="shared" si="76"/>
        <v>112.2.6</v>
      </c>
      <c r="AW587" s="1344">
        <f t="shared" si="77"/>
        <v>44963</v>
      </c>
    </row>
    <row r="588" spans="1:49">
      <c r="A588" s="1077" t="s">
        <v>3434</v>
      </c>
      <c r="B588" s="1077" t="s">
        <v>850</v>
      </c>
      <c r="C588" s="1077">
        <v>550</v>
      </c>
      <c r="D588" s="1077">
        <v>1.67</v>
      </c>
      <c r="E588" s="1077" t="s">
        <v>15095</v>
      </c>
      <c r="F588" s="1077" t="s">
        <v>984</v>
      </c>
      <c r="G588" s="1077" t="s">
        <v>940</v>
      </c>
      <c r="H588" s="1077" t="s">
        <v>1017</v>
      </c>
      <c r="I588" s="1077" t="s">
        <v>626</v>
      </c>
      <c r="J588" s="1077">
        <v>0.9</v>
      </c>
      <c r="K588" s="1077" t="s">
        <v>3419</v>
      </c>
      <c r="L588" s="1077" t="s">
        <v>3420</v>
      </c>
      <c r="M588" s="1077">
        <v>78</v>
      </c>
      <c r="N588" s="1077" t="s">
        <v>945</v>
      </c>
      <c r="O588" s="1077">
        <v>1.9500000000000002</v>
      </c>
      <c r="P588" s="1077">
        <v>1.56</v>
      </c>
      <c r="Q588" s="1077">
        <v>3</v>
      </c>
      <c r="R588" s="1077">
        <v>29.5</v>
      </c>
      <c r="T588" s="1077">
        <v>9.6</v>
      </c>
      <c r="U588" s="1077">
        <v>6.8</v>
      </c>
      <c r="V588" s="1077" t="s">
        <v>648</v>
      </c>
      <c r="W588" s="1077">
        <v>135</v>
      </c>
      <c r="X588" s="1077">
        <v>65</v>
      </c>
      <c r="Y588" s="1077">
        <v>1.4</v>
      </c>
      <c r="Z588" s="1077">
        <v>4</v>
      </c>
      <c r="AA588" s="1077" t="s">
        <v>3435</v>
      </c>
      <c r="AH588" s="1077" t="s">
        <v>1588</v>
      </c>
      <c r="AM588" s="1078" t="s">
        <v>10218</v>
      </c>
      <c r="AN588" s="1078" t="s">
        <v>10219</v>
      </c>
      <c r="AO588" s="1078">
        <f t="shared" si="78"/>
        <v>550</v>
      </c>
      <c r="AP588" s="1078">
        <f t="shared" si="79"/>
        <v>1.67</v>
      </c>
      <c r="AQ588" s="1078" t="str">
        <f t="shared" si="80"/>
        <v>1-5-1S83°</v>
      </c>
      <c r="AR588" s="1078" t="str">
        <f t="shared" si="81"/>
        <v>30</v>
      </c>
      <c r="AS588" s="1078" t="str">
        <f t="shared" si="82"/>
        <v>200/200/OFF</v>
      </c>
      <c r="AT588" s="1078" t="str">
        <f t="shared" si="83"/>
        <v>1-5-1S83°</v>
      </c>
      <c r="AV588" s="1078" t="str">
        <f t="shared" si="76"/>
        <v>112.2.8</v>
      </c>
      <c r="AW588" s="1344">
        <f t="shared" si="77"/>
        <v>44965</v>
      </c>
    </row>
    <row r="589" spans="1:49">
      <c r="A589" s="1077" t="s">
        <v>3436</v>
      </c>
      <c r="B589" s="1077" t="s">
        <v>2102</v>
      </c>
      <c r="C589" s="1077">
        <v>600</v>
      </c>
      <c r="D589" s="1077">
        <v>1.69</v>
      </c>
      <c r="E589" s="1077" t="s">
        <v>15091</v>
      </c>
      <c r="F589" s="1077" t="s">
        <v>984</v>
      </c>
      <c r="G589" s="1077" t="s">
        <v>1767</v>
      </c>
      <c r="H589" s="1077" t="s">
        <v>1379</v>
      </c>
      <c r="I589" s="1077" t="s">
        <v>1112</v>
      </c>
      <c r="J589" s="1077">
        <v>1</v>
      </c>
      <c r="K589" s="1077" t="s">
        <v>3437</v>
      </c>
      <c r="L589" s="1077" t="s">
        <v>2104</v>
      </c>
      <c r="M589" s="1077">
        <v>75</v>
      </c>
      <c r="N589" s="1077" t="s">
        <v>945</v>
      </c>
      <c r="O589" s="1077">
        <v>1.875</v>
      </c>
      <c r="P589" s="1077">
        <v>1.5</v>
      </c>
      <c r="Q589" s="1077">
        <v>4</v>
      </c>
      <c r="R589" s="1077">
        <v>23.3</v>
      </c>
      <c r="T589" s="1077">
        <v>20.5</v>
      </c>
      <c r="U589" s="1077">
        <v>3.7</v>
      </c>
      <c r="V589" s="1077" t="s">
        <v>648</v>
      </c>
      <c r="W589" s="1077">
        <v>105</v>
      </c>
      <c r="X589" s="1077">
        <v>85</v>
      </c>
      <c r="Y589" s="1077">
        <v>1.9</v>
      </c>
      <c r="Z589" s="1077">
        <v>4.5</v>
      </c>
      <c r="AA589" s="1077" t="s">
        <v>3438</v>
      </c>
      <c r="AH589" s="1077" t="s">
        <v>712</v>
      </c>
      <c r="AM589" s="1078" t="s">
        <v>10220</v>
      </c>
      <c r="AN589" s="1078" t="s">
        <v>10221</v>
      </c>
      <c r="AO589" s="1078">
        <f t="shared" si="78"/>
        <v>600</v>
      </c>
      <c r="AP589" s="1078">
        <f t="shared" si="79"/>
        <v>1.69</v>
      </c>
      <c r="AQ589" s="1078" t="str">
        <f t="shared" si="80"/>
        <v>2-5-1S83°</v>
      </c>
      <c r="AR589" s="1078" t="str">
        <f t="shared" si="81"/>
        <v>30</v>
      </c>
      <c r="AS589" s="1078" t="str">
        <f t="shared" si="82"/>
        <v>167/OFF</v>
      </c>
      <c r="AT589" s="1078" t="str">
        <f t="shared" si="83"/>
        <v>2-5-1S83°</v>
      </c>
      <c r="AV589" s="1078" t="str">
        <f t="shared" si="76"/>
        <v>112.2.14</v>
      </c>
      <c r="AW589" s="1344">
        <f t="shared" si="77"/>
        <v>44971</v>
      </c>
    </row>
    <row r="590" spans="1:49">
      <c r="A590" s="1077" t="s">
        <v>3439</v>
      </c>
      <c r="B590" s="1077" t="s">
        <v>850</v>
      </c>
      <c r="C590" s="1077">
        <v>550</v>
      </c>
      <c r="D590" s="1077">
        <v>1.75</v>
      </c>
      <c r="E590" s="1077" t="s">
        <v>15095</v>
      </c>
      <c r="F590" s="1077" t="s">
        <v>984</v>
      </c>
      <c r="G590" s="1077" t="s">
        <v>940</v>
      </c>
      <c r="H590" s="1077" t="s">
        <v>2295</v>
      </c>
      <c r="I590" s="1077" t="s">
        <v>626</v>
      </c>
      <c r="J590" s="1077">
        <v>0.9</v>
      </c>
      <c r="K590" s="1077" t="s">
        <v>3440</v>
      </c>
      <c r="L590" s="1077" t="s">
        <v>3441</v>
      </c>
      <c r="M590" s="1077">
        <v>78</v>
      </c>
      <c r="N590" s="1077" t="s">
        <v>945</v>
      </c>
      <c r="O590" s="1077">
        <v>1.9500000000000002</v>
      </c>
      <c r="P590" s="1077">
        <v>1.56</v>
      </c>
      <c r="Q590" s="1077">
        <v>3</v>
      </c>
      <c r="R590" s="1077">
        <v>27</v>
      </c>
      <c r="T590" s="1077">
        <v>9.6</v>
      </c>
      <c r="U590" s="1077">
        <v>6.8</v>
      </c>
      <c r="V590" s="1077" t="s">
        <v>648</v>
      </c>
      <c r="W590" s="1077">
        <v>135</v>
      </c>
      <c r="X590" s="1077">
        <v>65</v>
      </c>
      <c r="Y590" s="1077">
        <v>1.4</v>
      </c>
      <c r="Z590" s="1077">
        <v>4</v>
      </c>
      <c r="AA590" s="1077" t="s">
        <v>3442</v>
      </c>
      <c r="AH590" s="1077" t="s">
        <v>813</v>
      </c>
      <c r="AM590" s="1078" t="s">
        <v>10222</v>
      </c>
      <c r="AN590" s="1078" t="s">
        <v>10223</v>
      </c>
      <c r="AO590" s="1078">
        <f t="shared" si="78"/>
        <v>550</v>
      </c>
      <c r="AP590" s="1078">
        <f t="shared" si="79"/>
        <v>1.75</v>
      </c>
      <c r="AQ590" s="1078" t="str">
        <f t="shared" si="80"/>
        <v>1-5-1S83°</v>
      </c>
      <c r="AR590" s="1078" t="str">
        <f t="shared" si="81"/>
        <v>30</v>
      </c>
      <c r="AS590" s="1078" t="str">
        <f t="shared" si="82"/>
        <v>205/205/OFF</v>
      </c>
      <c r="AT590" s="1078" t="str">
        <f t="shared" si="83"/>
        <v>1-5-1S83°</v>
      </c>
      <c r="AV590" s="1078" t="str">
        <f t="shared" si="76"/>
        <v>112.2.17</v>
      </c>
      <c r="AW590" s="1344">
        <f t="shared" si="77"/>
        <v>44974</v>
      </c>
    </row>
    <row r="591" spans="1:49">
      <c r="A591" s="1077" t="s">
        <v>3443</v>
      </c>
      <c r="B591" s="1077" t="s">
        <v>453</v>
      </c>
      <c r="C591" s="1077">
        <v>600</v>
      </c>
      <c r="D591" s="1077">
        <v>1.71</v>
      </c>
      <c r="E591" s="1077" t="s">
        <v>15089</v>
      </c>
      <c r="F591" s="1077" t="s">
        <v>1773</v>
      </c>
      <c r="G591" s="1077" t="s">
        <v>1767</v>
      </c>
      <c r="H591" s="1077" t="s">
        <v>1040</v>
      </c>
      <c r="I591" s="1077" t="s">
        <v>126</v>
      </c>
      <c r="J591" s="1077">
        <v>0.9</v>
      </c>
      <c r="K591" s="1077" t="s">
        <v>3444</v>
      </c>
      <c r="L591" s="1077" t="s">
        <v>1776</v>
      </c>
      <c r="M591" s="1077">
        <v>74.8</v>
      </c>
      <c r="N591" s="1077" t="s">
        <v>945</v>
      </c>
      <c r="O591" s="1077">
        <v>1.87</v>
      </c>
      <c r="P591" s="1077">
        <v>1.496</v>
      </c>
      <c r="Q591" s="1077">
        <v>4</v>
      </c>
      <c r="R591" s="1077" t="s">
        <v>3445</v>
      </c>
      <c r="T591" s="1077">
        <v>18.600000000000001</v>
      </c>
      <c r="U591" s="1077">
        <v>3.5</v>
      </c>
      <c r="V591" s="1077" t="s">
        <v>648</v>
      </c>
      <c r="W591" s="1077">
        <v>105</v>
      </c>
      <c r="X591" s="1077">
        <v>80</v>
      </c>
      <c r="Y591" s="1077">
        <v>2</v>
      </c>
      <c r="Z591" s="1077">
        <v>4.5</v>
      </c>
      <c r="AA591" s="1077" t="s">
        <v>3424</v>
      </c>
      <c r="AH591" s="1077" t="s">
        <v>958</v>
      </c>
      <c r="AM591" s="1078" t="s">
        <v>10224</v>
      </c>
      <c r="AN591" s="1078" t="s">
        <v>10225</v>
      </c>
      <c r="AO591" s="1078">
        <f t="shared" si="78"/>
        <v>600</v>
      </c>
      <c r="AP591" s="1078">
        <f t="shared" si="79"/>
        <v>1.71</v>
      </c>
      <c r="AQ591" s="1078" t="str">
        <f t="shared" si="80"/>
        <v>1-4-1S83°</v>
      </c>
      <c r="AR591" s="1078" t="str">
        <f t="shared" si="81"/>
        <v>30.2</v>
      </c>
      <c r="AS591" s="1078" t="str">
        <f t="shared" si="82"/>
        <v>240/240/OFF</v>
      </c>
      <c r="AT591" s="1078" t="str">
        <f t="shared" si="83"/>
        <v>1-4-1S83°</v>
      </c>
      <c r="AV591" s="1078" t="str">
        <f t="shared" si="76"/>
        <v>112.3.13</v>
      </c>
      <c r="AW591" s="1344">
        <f t="shared" si="77"/>
        <v>44998</v>
      </c>
    </row>
    <row r="592" spans="1:49">
      <c r="A592" s="1077" t="s">
        <v>3446</v>
      </c>
      <c r="B592" s="1077" t="s">
        <v>840</v>
      </c>
      <c r="C592" s="1077">
        <v>650</v>
      </c>
      <c r="D592" s="1077">
        <v>1.76</v>
      </c>
      <c r="E592" s="1077" t="s">
        <v>15095</v>
      </c>
      <c r="F592" s="1077" t="s">
        <v>954</v>
      </c>
      <c r="G592" s="1077" t="s">
        <v>940</v>
      </c>
      <c r="H592" s="1077" t="s">
        <v>1274</v>
      </c>
      <c r="I592" s="1077" t="s">
        <v>126</v>
      </c>
      <c r="J592" s="1077">
        <v>1.1000000000000001</v>
      </c>
      <c r="K592" s="1077" t="s">
        <v>3447</v>
      </c>
      <c r="L592" s="1077" t="s">
        <v>1780</v>
      </c>
      <c r="M592" s="1077">
        <v>75.400000000000006</v>
      </c>
      <c r="N592" s="1077" t="s">
        <v>945</v>
      </c>
      <c r="O592" s="1077">
        <v>1.8850000000000002</v>
      </c>
      <c r="P592" s="1077">
        <v>1.5080000000000002</v>
      </c>
      <c r="Q592" s="1077">
        <v>3</v>
      </c>
      <c r="R592" s="1077">
        <v>24</v>
      </c>
      <c r="T592" s="1077">
        <v>18</v>
      </c>
      <c r="U592" s="1077">
        <v>6</v>
      </c>
      <c r="V592" s="1077" t="s">
        <v>648</v>
      </c>
      <c r="W592" s="1077">
        <v>120</v>
      </c>
      <c r="X592" s="1077">
        <v>80</v>
      </c>
      <c r="Y592" s="1077">
        <v>2</v>
      </c>
      <c r="Z592" s="1077">
        <v>6</v>
      </c>
      <c r="AA592" s="1077" t="s">
        <v>3448</v>
      </c>
      <c r="AH592" s="1077" t="s">
        <v>619</v>
      </c>
      <c r="AM592" s="1078" t="s">
        <v>10226</v>
      </c>
      <c r="AN592" s="1078" t="s">
        <v>10227</v>
      </c>
      <c r="AO592" s="1078">
        <f t="shared" si="78"/>
        <v>650</v>
      </c>
      <c r="AP592" s="1078">
        <f t="shared" si="79"/>
        <v>1.76</v>
      </c>
      <c r="AQ592" s="1078" t="str">
        <f t="shared" si="80"/>
        <v>1-5-1S83°</v>
      </c>
      <c r="AR592" s="1078" t="str">
        <f t="shared" si="81"/>
        <v>31</v>
      </c>
      <c r="AS592" s="1078" t="str">
        <f t="shared" si="82"/>
        <v>210/210/OFF</v>
      </c>
      <c r="AT592" s="1078" t="str">
        <f t="shared" si="83"/>
        <v>1-5-1S83°</v>
      </c>
      <c r="AV592" s="1078" t="str">
        <f t="shared" si="76"/>
        <v>112.3.2</v>
      </c>
      <c r="AW592" s="1344">
        <f t="shared" si="77"/>
        <v>44987</v>
      </c>
    </row>
    <row r="593" spans="1:49">
      <c r="A593" s="1077" t="s">
        <v>3449</v>
      </c>
      <c r="B593" s="1077" t="s">
        <v>1883</v>
      </c>
      <c r="C593" s="1077">
        <v>650</v>
      </c>
      <c r="D593" s="1077">
        <v>1.79</v>
      </c>
      <c r="E593" s="1077" t="s">
        <v>15089</v>
      </c>
      <c r="F593" s="1077" t="s">
        <v>984</v>
      </c>
      <c r="G593" s="1077" t="s">
        <v>1767</v>
      </c>
      <c r="H593" s="1077" t="s">
        <v>2259</v>
      </c>
      <c r="I593" s="1077" t="s">
        <v>126</v>
      </c>
      <c r="J593" s="1077">
        <v>1.5</v>
      </c>
      <c r="K593" s="1077" t="s">
        <v>3450</v>
      </c>
      <c r="L593" s="1077" t="s">
        <v>1885</v>
      </c>
      <c r="M593" s="1077">
        <v>75.2</v>
      </c>
      <c r="N593" s="1077" t="s">
        <v>945</v>
      </c>
      <c r="O593" s="1077">
        <v>1.8800000000000001</v>
      </c>
      <c r="P593" s="1077">
        <v>1.504</v>
      </c>
      <c r="Q593" s="1077">
        <v>4</v>
      </c>
      <c r="R593" s="1077">
        <v>23.5</v>
      </c>
      <c r="T593" s="1077">
        <v>32.5</v>
      </c>
      <c r="U593" s="1077">
        <v>3.4</v>
      </c>
      <c r="V593" s="1077" t="s">
        <v>1886</v>
      </c>
      <c r="W593" s="1077">
        <v>105</v>
      </c>
      <c r="X593" s="1077">
        <v>75</v>
      </c>
      <c r="Y593" s="1077">
        <v>1.2</v>
      </c>
      <c r="Z593" s="1077">
        <v>5.5</v>
      </c>
      <c r="AA593" s="1077" t="s">
        <v>3451</v>
      </c>
      <c r="AH593" s="1077" t="s">
        <v>1588</v>
      </c>
      <c r="AM593" s="1078" t="s">
        <v>10228</v>
      </c>
      <c r="AN593" s="1078" t="s">
        <v>10229</v>
      </c>
      <c r="AO593" s="1078">
        <f t="shared" si="78"/>
        <v>650</v>
      </c>
      <c r="AP593" s="1078">
        <f t="shared" si="79"/>
        <v>1.79</v>
      </c>
      <c r="AQ593" s="1078" t="str">
        <f t="shared" si="80"/>
        <v>1-4-1S83°</v>
      </c>
      <c r="AR593" s="1078" t="str">
        <f t="shared" si="81"/>
        <v>30</v>
      </c>
      <c r="AS593" s="1078" t="str">
        <f t="shared" si="82"/>
        <v>275/275/OFF</v>
      </c>
      <c r="AT593" s="1078" t="str">
        <f t="shared" si="83"/>
        <v>1-4-1S83°</v>
      </c>
      <c r="AV593" s="1078" t="str">
        <f t="shared" si="76"/>
        <v>112.3.1</v>
      </c>
      <c r="AW593" s="1344">
        <f t="shared" si="77"/>
        <v>44986</v>
      </c>
    </row>
    <row r="594" spans="1:49">
      <c r="A594" s="1077" t="s">
        <v>3452</v>
      </c>
      <c r="B594" s="1077" t="s">
        <v>752</v>
      </c>
      <c r="C594" s="1077">
        <v>600</v>
      </c>
      <c r="D594" s="1077">
        <v>1.68</v>
      </c>
      <c r="E594" s="1077" t="s">
        <v>15089</v>
      </c>
      <c r="F594" s="1077" t="s">
        <v>1773</v>
      </c>
      <c r="G594" s="1077" t="s">
        <v>1001</v>
      </c>
      <c r="H594" s="1077" t="s">
        <v>2009</v>
      </c>
      <c r="I594" s="1077" t="s">
        <v>126</v>
      </c>
      <c r="J594" s="1077">
        <v>1</v>
      </c>
      <c r="K594" s="1077" t="s">
        <v>2187</v>
      </c>
      <c r="L594" s="1077" t="s">
        <v>1933</v>
      </c>
      <c r="M594" s="1077">
        <v>74.5</v>
      </c>
      <c r="N594" s="1077" t="s">
        <v>945</v>
      </c>
      <c r="O594" s="1077">
        <v>1.8625</v>
      </c>
      <c r="P594" s="1077">
        <v>1.49</v>
      </c>
      <c r="Q594" s="1077">
        <v>4</v>
      </c>
      <c r="R594" s="1077">
        <v>22.3</v>
      </c>
      <c r="T594" s="1077">
        <v>22</v>
      </c>
      <c r="U594" s="1077">
        <v>3.3</v>
      </c>
      <c r="V594" s="1077" t="s">
        <v>648</v>
      </c>
      <c r="W594" s="1077">
        <v>110</v>
      </c>
      <c r="X594" s="1077">
        <v>85</v>
      </c>
      <c r="Y594" s="1077">
        <v>2</v>
      </c>
      <c r="Z594" s="1077">
        <v>4.5</v>
      </c>
      <c r="AA594" s="1077" t="s">
        <v>3453</v>
      </c>
      <c r="AH594" s="1077" t="s">
        <v>456</v>
      </c>
      <c r="AM594" s="1078" t="s">
        <v>10230</v>
      </c>
      <c r="AN594" s="1078" t="s">
        <v>10231</v>
      </c>
      <c r="AO594" s="1078">
        <f t="shared" si="78"/>
        <v>600</v>
      </c>
      <c r="AP594" s="1078">
        <f t="shared" si="79"/>
        <v>1.68</v>
      </c>
      <c r="AQ594" s="1078" t="str">
        <f t="shared" si="80"/>
        <v>1-4-1S83°</v>
      </c>
      <c r="AR594" s="1078" t="str">
        <f t="shared" si="81"/>
        <v>30.2</v>
      </c>
      <c r="AS594" s="1078" t="str">
        <f t="shared" si="82"/>
        <v>265/265/OFF</v>
      </c>
      <c r="AT594" s="1078" t="str">
        <f t="shared" si="83"/>
        <v>1-4-1S83°</v>
      </c>
      <c r="AV594" s="1078" t="str">
        <f t="shared" si="76"/>
        <v>112.2.24</v>
      </c>
      <c r="AW594" s="1344">
        <f t="shared" si="77"/>
        <v>44981</v>
      </c>
    </row>
    <row r="595" spans="1:49">
      <c r="A595" s="1077" t="s">
        <v>3454</v>
      </c>
      <c r="B595" s="1077" t="s">
        <v>2513</v>
      </c>
      <c r="C595" s="1077">
        <v>500</v>
      </c>
      <c r="D595" s="1077">
        <v>1.78</v>
      </c>
      <c r="E595" s="1077" t="s">
        <v>15091</v>
      </c>
      <c r="F595" s="1077" t="s">
        <v>984</v>
      </c>
      <c r="G595" s="1077" t="s">
        <v>940</v>
      </c>
      <c r="H595" s="1077" t="s">
        <v>2833</v>
      </c>
      <c r="I595" s="1077" t="s">
        <v>1112</v>
      </c>
      <c r="J595" s="1077">
        <v>0.6</v>
      </c>
      <c r="K595" s="1077" t="s">
        <v>3455</v>
      </c>
      <c r="L595" s="1077" t="s">
        <v>2514</v>
      </c>
      <c r="M595" s="1077">
        <v>75.5</v>
      </c>
      <c r="N595" s="1077" t="s">
        <v>945</v>
      </c>
      <c r="O595" s="1077">
        <v>1.8875000000000002</v>
      </c>
      <c r="P595" s="1077">
        <v>1.51</v>
      </c>
      <c r="Q595" s="1077">
        <v>3</v>
      </c>
      <c r="R595" s="1077">
        <v>23</v>
      </c>
      <c r="T595" s="1077">
        <v>9</v>
      </c>
      <c r="U595" s="1077">
        <v>5.5</v>
      </c>
      <c r="V595" s="1077" t="s">
        <v>648</v>
      </c>
      <c r="W595" s="1077">
        <v>100</v>
      </c>
      <c r="X595" s="1077">
        <v>75</v>
      </c>
      <c r="Y595" s="1077">
        <v>2</v>
      </c>
      <c r="Z595" s="1077">
        <v>4</v>
      </c>
      <c r="AA595" s="1077" t="s">
        <v>3456</v>
      </c>
      <c r="AH595" s="1077" t="s">
        <v>1803</v>
      </c>
      <c r="AM595" s="1078" t="s">
        <v>10232</v>
      </c>
      <c r="AN595" s="1078" t="s">
        <v>10233</v>
      </c>
      <c r="AO595" s="1078">
        <f t="shared" si="78"/>
        <v>500</v>
      </c>
      <c r="AP595" s="1078">
        <f t="shared" si="79"/>
        <v>1.78</v>
      </c>
      <c r="AQ595" s="1078" t="str">
        <f t="shared" si="80"/>
        <v>2-5-1S83°</v>
      </c>
      <c r="AR595" s="1078" t="str">
        <f t="shared" si="81"/>
        <v>30</v>
      </c>
      <c r="AS595" s="1078" t="str">
        <f t="shared" si="82"/>
        <v>150/OFF</v>
      </c>
      <c r="AT595" s="1078" t="str">
        <f t="shared" si="83"/>
        <v>2-5-1S83°</v>
      </c>
      <c r="AV595" s="1078" t="str">
        <f t="shared" si="76"/>
        <v>110.5.24</v>
      </c>
      <c r="AW595" s="1344">
        <f t="shared" si="77"/>
        <v>44340</v>
      </c>
    </row>
    <row r="596" spans="1:49">
      <c r="A596" s="1077" t="s">
        <v>3457</v>
      </c>
      <c r="B596" s="1077" t="s">
        <v>2544</v>
      </c>
      <c r="C596" s="1077">
        <v>500</v>
      </c>
      <c r="D596" s="1077">
        <v>1.66</v>
      </c>
      <c r="E596" s="1077" t="s">
        <v>15089</v>
      </c>
      <c r="F596" s="1077" t="s">
        <v>984</v>
      </c>
      <c r="G596" s="1077" t="s">
        <v>940</v>
      </c>
      <c r="H596" s="1077" t="s">
        <v>2545</v>
      </c>
      <c r="I596" s="1077" t="s">
        <v>626</v>
      </c>
      <c r="J596" s="1077">
        <v>1.3</v>
      </c>
      <c r="K596" s="1077" t="s">
        <v>3458</v>
      </c>
      <c r="L596" s="1077" t="s">
        <v>2547</v>
      </c>
      <c r="M596" s="1077">
        <v>77.599999999999994</v>
      </c>
      <c r="N596" s="1077" t="s">
        <v>945</v>
      </c>
      <c r="O596" s="1077">
        <v>1.94</v>
      </c>
      <c r="P596" s="1077">
        <v>1.5519999999999998</v>
      </c>
      <c r="Q596" s="1077">
        <v>3</v>
      </c>
      <c r="R596" s="1077">
        <v>25.1</v>
      </c>
      <c r="T596" s="1077">
        <v>49.4</v>
      </c>
      <c r="U596" s="1077">
        <v>3.8</v>
      </c>
      <c r="V596" s="1077" t="s">
        <v>648</v>
      </c>
      <c r="W596" s="1077">
        <v>100</v>
      </c>
      <c r="X596" s="1077">
        <v>10</v>
      </c>
      <c r="Y596" s="1077">
        <v>1.3</v>
      </c>
      <c r="Z596" s="1077">
        <v>6</v>
      </c>
      <c r="AA596" s="1077" t="s">
        <v>3459</v>
      </c>
      <c r="AH596" s="1077" t="s">
        <v>466</v>
      </c>
      <c r="AM596" s="1078" t="s">
        <v>10234</v>
      </c>
      <c r="AN596" s="1078" t="s">
        <v>10235</v>
      </c>
      <c r="AO596" s="1078">
        <f t="shared" si="78"/>
        <v>500</v>
      </c>
      <c r="AP596" s="1078">
        <f t="shared" si="79"/>
        <v>1.66</v>
      </c>
      <c r="AQ596" s="1078" t="str">
        <f t="shared" si="80"/>
        <v>1-4-1S83°</v>
      </c>
      <c r="AR596" s="1078" t="str">
        <f t="shared" si="81"/>
        <v>30</v>
      </c>
      <c r="AS596" s="1078" t="str">
        <f t="shared" si="82"/>
        <v>260/270/OFF</v>
      </c>
      <c r="AT596" s="1078" t="str">
        <f t="shared" si="83"/>
        <v>1-4-1S83°</v>
      </c>
      <c r="AV596" s="1078" t="str">
        <f t="shared" si="76"/>
        <v>110.5.27</v>
      </c>
      <c r="AW596" s="1344">
        <f t="shared" si="77"/>
        <v>44343</v>
      </c>
    </row>
    <row r="597" spans="1:49">
      <c r="A597" s="1077" t="s">
        <v>3460</v>
      </c>
      <c r="B597" s="1077" t="s">
        <v>2677</v>
      </c>
      <c r="C597" s="1077">
        <v>600</v>
      </c>
      <c r="D597" s="1077">
        <v>1.72</v>
      </c>
      <c r="E597" s="1077" t="s">
        <v>15089</v>
      </c>
      <c r="F597" s="1077" t="s">
        <v>1514</v>
      </c>
      <c r="G597" s="1077" t="s">
        <v>940</v>
      </c>
      <c r="H597" s="1077" t="s">
        <v>3117</v>
      </c>
      <c r="I597" s="1077" t="s">
        <v>626</v>
      </c>
      <c r="J597" s="1077">
        <v>0.8</v>
      </c>
      <c r="K597" s="1077" t="s">
        <v>3461</v>
      </c>
      <c r="L597" s="1077" t="s">
        <v>2288</v>
      </c>
      <c r="M597" s="1077">
        <v>77</v>
      </c>
      <c r="N597" s="1077" t="s">
        <v>945</v>
      </c>
      <c r="O597" s="1077">
        <v>1.925</v>
      </c>
      <c r="P597" s="1077">
        <v>1.54</v>
      </c>
      <c r="Q597" s="1077">
        <v>3</v>
      </c>
      <c r="R597" s="1077">
        <v>29</v>
      </c>
      <c r="T597" s="1077">
        <v>9</v>
      </c>
      <c r="U597" s="1077">
        <v>6.6</v>
      </c>
      <c r="V597" s="1077" t="s">
        <v>648</v>
      </c>
      <c r="W597" s="1077">
        <v>125</v>
      </c>
      <c r="X597" s="1077">
        <v>50</v>
      </c>
      <c r="Y597" s="1077">
        <v>2</v>
      </c>
      <c r="Z597" s="1077">
        <v>3.1</v>
      </c>
      <c r="AA597" s="1077" t="s">
        <v>1404</v>
      </c>
      <c r="AH597" s="1077" t="s">
        <v>456</v>
      </c>
      <c r="AM597" s="1078" t="s">
        <v>10236</v>
      </c>
      <c r="AN597" s="1078" t="s">
        <v>10237</v>
      </c>
      <c r="AO597" s="1078">
        <f t="shared" si="78"/>
        <v>600</v>
      </c>
      <c r="AP597" s="1078">
        <f t="shared" si="79"/>
        <v>1.72</v>
      </c>
      <c r="AQ597" s="1078" t="str">
        <f t="shared" si="80"/>
        <v>1-4-1S83°</v>
      </c>
      <c r="AR597" s="1078" t="str">
        <f t="shared" si="81"/>
        <v>32</v>
      </c>
      <c r="AS597" s="1078" t="str">
        <f t="shared" si="82"/>
        <v>204/204/OFF</v>
      </c>
      <c r="AT597" s="1078" t="str">
        <f t="shared" si="83"/>
        <v>1-4-1S83°</v>
      </c>
      <c r="AV597" s="1078" t="str">
        <f t="shared" si="76"/>
        <v>110.5.31</v>
      </c>
      <c r="AW597" s="1344">
        <f t="shared" si="77"/>
        <v>44347</v>
      </c>
    </row>
    <row r="598" spans="1:49">
      <c r="A598" s="1077" t="s">
        <v>3462</v>
      </c>
      <c r="B598" s="1077" t="s">
        <v>424</v>
      </c>
      <c r="C598" s="1077">
        <v>700</v>
      </c>
      <c r="D598" s="1077">
        <v>1.76</v>
      </c>
      <c r="E598" s="1077" t="s">
        <v>15089</v>
      </c>
      <c r="F598" s="1077" t="s">
        <v>954</v>
      </c>
      <c r="G598" s="1077" t="s">
        <v>1767</v>
      </c>
      <c r="H598" s="1077" t="s">
        <v>2708</v>
      </c>
      <c r="I598" s="1077" t="s">
        <v>126</v>
      </c>
      <c r="J598" s="1077">
        <v>1.7</v>
      </c>
      <c r="K598" s="1077" t="s">
        <v>3317</v>
      </c>
      <c r="L598" s="1077" t="s">
        <v>1938</v>
      </c>
      <c r="M598" s="1077">
        <v>73</v>
      </c>
      <c r="N598" s="1077" t="s">
        <v>945</v>
      </c>
      <c r="O598" s="1077">
        <v>1.8250000000000002</v>
      </c>
      <c r="P598" s="1077">
        <v>1.46</v>
      </c>
      <c r="Q598" s="1077">
        <v>4</v>
      </c>
      <c r="R598" s="1077">
        <v>21.6</v>
      </c>
      <c r="T598" s="1077">
        <v>32</v>
      </c>
      <c r="U598" s="1077">
        <v>3.5</v>
      </c>
      <c r="V598" s="1077" t="s">
        <v>648</v>
      </c>
      <c r="W598" s="1077">
        <v>110</v>
      </c>
      <c r="X598" s="1077">
        <v>60</v>
      </c>
      <c r="Y598" s="1077">
        <v>1.5</v>
      </c>
      <c r="Z598" s="1077">
        <v>5.5</v>
      </c>
      <c r="AA598" s="1077" t="s">
        <v>1404</v>
      </c>
      <c r="AH598" s="1077" t="s">
        <v>1238</v>
      </c>
      <c r="AM598" s="1078" t="s">
        <v>10238</v>
      </c>
      <c r="AN598" s="1078" t="s">
        <v>10239</v>
      </c>
      <c r="AO598" s="1078">
        <f t="shared" si="78"/>
        <v>700</v>
      </c>
      <c r="AP598" s="1078">
        <f t="shared" si="79"/>
        <v>1.76</v>
      </c>
      <c r="AQ598" s="1078" t="str">
        <f t="shared" si="80"/>
        <v>1-4-1S83°</v>
      </c>
      <c r="AR598" s="1078" t="str">
        <f t="shared" si="81"/>
        <v>31</v>
      </c>
      <c r="AS598" s="1078" t="str">
        <f t="shared" si="82"/>
        <v>295/295/OFF</v>
      </c>
      <c r="AT598" s="1078" t="str">
        <f t="shared" si="83"/>
        <v>1-4-1S83°</v>
      </c>
      <c r="AV598" s="1078" t="str">
        <f t="shared" si="76"/>
        <v>110.5.31</v>
      </c>
      <c r="AW598" s="1344">
        <f t="shared" si="77"/>
        <v>44347</v>
      </c>
    </row>
    <row r="599" spans="1:49">
      <c r="A599" s="1077" t="s">
        <v>3463</v>
      </c>
      <c r="B599" s="1077" t="s">
        <v>2013</v>
      </c>
      <c r="C599" s="1077">
        <v>650</v>
      </c>
      <c r="D599" s="1077">
        <v>1.67</v>
      </c>
      <c r="E599" s="1077" t="s">
        <v>15089</v>
      </c>
      <c r="F599" s="1077" t="s">
        <v>954</v>
      </c>
      <c r="G599" s="1077" t="s">
        <v>940</v>
      </c>
      <c r="H599" s="1077" t="s">
        <v>3464</v>
      </c>
      <c r="I599" s="1077" t="s">
        <v>126</v>
      </c>
      <c r="J599" s="1077">
        <v>1.4</v>
      </c>
      <c r="K599" s="1077" t="s">
        <v>3311</v>
      </c>
      <c r="L599" s="1077" t="s">
        <v>1924</v>
      </c>
      <c r="M599" s="1077">
        <v>75.400000000000006</v>
      </c>
      <c r="N599" s="1077" t="s">
        <v>945</v>
      </c>
      <c r="O599" s="1077">
        <v>1.8850000000000002</v>
      </c>
      <c r="P599" s="1077">
        <v>1.5080000000000002</v>
      </c>
      <c r="Q599" s="1077">
        <v>3</v>
      </c>
      <c r="R599" s="1077">
        <v>29</v>
      </c>
      <c r="T599" s="1077" t="s">
        <v>3465</v>
      </c>
      <c r="U599" s="1077">
        <v>6</v>
      </c>
      <c r="V599" s="1077" t="s">
        <v>648</v>
      </c>
      <c r="W599" s="1077">
        <v>120</v>
      </c>
      <c r="X599" s="1077">
        <v>80</v>
      </c>
      <c r="Y599" s="1077">
        <v>2</v>
      </c>
      <c r="Z599" s="1077">
        <v>5</v>
      </c>
      <c r="AA599" s="1077" t="s">
        <v>1404</v>
      </c>
      <c r="AH599" s="1077" t="s">
        <v>2427</v>
      </c>
      <c r="AM599" s="1078" t="s">
        <v>10240</v>
      </c>
      <c r="AN599" s="1078" t="s">
        <v>10241</v>
      </c>
      <c r="AO599" s="1078">
        <f t="shared" si="78"/>
        <v>650</v>
      </c>
      <c r="AP599" s="1078">
        <f t="shared" si="79"/>
        <v>1.67</v>
      </c>
      <c r="AQ599" s="1078" t="str">
        <f t="shared" si="80"/>
        <v>1-4-1S83°</v>
      </c>
      <c r="AR599" s="1078" t="str">
        <f t="shared" si="81"/>
        <v>31</v>
      </c>
      <c r="AS599" s="1078" t="str">
        <f t="shared" si="82"/>
        <v>231/231/OFF</v>
      </c>
      <c r="AT599" s="1078" t="str">
        <f t="shared" si="83"/>
        <v>1-4-1S83°</v>
      </c>
      <c r="AV599" s="1078" t="str">
        <f t="shared" si="76"/>
        <v>110.5.31</v>
      </c>
      <c r="AW599" s="1344">
        <f t="shared" si="77"/>
        <v>44347</v>
      </c>
    </row>
    <row r="600" spans="1:49">
      <c r="A600" s="1077" t="s">
        <v>3466</v>
      </c>
      <c r="B600" s="1077" t="s">
        <v>1891</v>
      </c>
      <c r="C600" s="1077">
        <v>600</v>
      </c>
      <c r="D600" s="1077">
        <v>1.68</v>
      </c>
      <c r="E600" s="1077" t="s">
        <v>15089</v>
      </c>
      <c r="F600" s="1077" t="s">
        <v>984</v>
      </c>
      <c r="G600" s="1077" t="s">
        <v>2622</v>
      </c>
      <c r="H600" s="1077" t="s">
        <v>1040</v>
      </c>
      <c r="I600" s="1077" t="s">
        <v>126</v>
      </c>
      <c r="J600" s="1077">
        <v>0.7</v>
      </c>
      <c r="K600" s="1077" t="s">
        <v>3467</v>
      </c>
      <c r="L600" s="1077" t="s">
        <v>3137</v>
      </c>
      <c r="M600" s="1077">
        <v>74.599999999999994</v>
      </c>
      <c r="N600" s="1077" t="s">
        <v>945</v>
      </c>
      <c r="O600" s="1077">
        <v>1.865</v>
      </c>
      <c r="P600" s="1077">
        <v>1.492</v>
      </c>
      <c r="Q600" s="1077">
        <v>3.5</v>
      </c>
      <c r="R600" s="1077">
        <v>29</v>
      </c>
      <c r="T600" s="1077">
        <v>12.5</v>
      </c>
      <c r="U600" s="1077">
        <v>5.0999999999999996</v>
      </c>
      <c r="V600" s="1077" t="s">
        <v>648</v>
      </c>
      <c r="W600" s="1077">
        <v>95</v>
      </c>
      <c r="X600" s="1077">
        <v>60</v>
      </c>
      <c r="Y600" s="1077">
        <v>1.8</v>
      </c>
      <c r="Z600" s="1077">
        <v>4.5</v>
      </c>
      <c r="AA600" s="1077" t="s">
        <v>1404</v>
      </c>
      <c r="AH600" s="1077" t="s">
        <v>647</v>
      </c>
      <c r="AM600" s="1078" t="s">
        <v>10242</v>
      </c>
      <c r="AN600" s="1078" t="s">
        <v>10243</v>
      </c>
      <c r="AO600" s="1078">
        <f t="shared" si="78"/>
        <v>600</v>
      </c>
      <c r="AP600" s="1078">
        <f t="shared" si="79"/>
        <v>1.68</v>
      </c>
      <c r="AQ600" s="1078" t="str">
        <f t="shared" si="80"/>
        <v>1-4-1S83°</v>
      </c>
      <c r="AR600" s="1078" t="str">
        <f t="shared" si="81"/>
        <v>30</v>
      </c>
      <c r="AS600" s="1078" t="str">
        <f t="shared" si="82"/>
        <v>240/240/OFF</v>
      </c>
      <c r="AT600" s="1078" t="str">
        <f t="shared" si="83"/>
        <v>1-4-1S83°</v>
      </c>
      <c r="AV600" s="1078" t="str">
        <f t="shared" si="76"/>
        <v>110.5.31</v>
      </c>
      <c r="AW600" s="1344">
        <f t="shared" si="77"/>
        <v>44347</v>
      </c>
    </row>
    <row r="601" spans="1:49">
      <c r="A601" s="1077" t="s">
        <v>3468</v>
      </c>
      <c r="B601" s="1077" t="s">
        <v>1823</v>
      </c>
      <c r="C601" s="1077">
        <v>500</v>
      </c>
      <c r="D601" s="1077">
        <v>1.75</v>
      </c>
      <c r="E601" s="1077" t="s">
        <v>15095</v>
      </c>
      <c r="F601" s="1077" t="s">
        <v>984</v>
      </c>
      <c r="G601" s="1077" t="s">
        <v>1016</v>
      </c>
      <c r="H601" s="1077" t="s">
        <v>1327</v>
      </c>
      <c r="I601" s="1077" t="s">
        <v>126</v>
      </c>
      <c r="J601" s="1077">
        <v>0.7</v>
      </c>
      <c r="K601" s="1077" t="s">
        <v>3469</v>
      </c>
      <c r="L601" s="1077" t="s">
        <v>1825</v>
      </c>
      <c r="M601" s="1077">
        <v>73.8</v>
      </c>
      <c r="N601" s="1077" t="s">
        <v>945</v>
      </c>
      <c r="O601" s="1077">
        <v>1.845</v>
      </c>
      <c r="P601" s="1077">
        <v>1.476</v>
      </c>
      <c r="Q601" s="1077">
        <v>3.5</v>
      </c>
      <c r="R601" s="1077">
        <v>18.5</v>
      </c>
      <c r="T601" s="1077">
        <v>21</v>
      </c>
      <c r="U601" s="1077">
        <v>3.8</v>
      </c>
      <c r="V601" s="1077" t="s">
        <v>648</v>
      </c>
      <c r="W601" s="1077">
        <v>110</v>
      </c>
      <c r="X601" s="1077">
        <v>85</v>
      </c>
      <c r="Y601" s="1077">
        <v>1.9</v>
      </c>
      <c r="Z601" s="1077">
        <v>4</v>
      </c>
      <c r="AA601" s="1077" t="s">
        <v>3470</v>
      </c>
      <c r="AH601" s="1077" t="s">
        <v>3028</v>
      </c>
      <c r="AM601" s="1078" t="s">
        <v>10244</v>
      </c>
      <c r="AN601" s="1078" t="s">
        <v>10245</v>
      </c>
      <c r="AO601" s="1078">
        <f t="shared" si="78"/>
        <v>500</v>
      </c>
      <c r="AP601" s="1078">
        <f t="shared" si="79"/>
        <v>1.75</v>
      </c>
      <c r="AQ601" s="1078" t="str">
        <f t="shared" si="80"/>
        <v>1-5-1S83°</v>
      </c>
      <c r="AR601" s="1078" t="str">
        <f t="shared" si="81"/>
        <v>30</v>
      </c>
      <c r="AS601" s="1078" t="str">
        <f t="shared" si="82"/>
        <v>232/232/OFF</v>
      </c>
      <c r="AT601" s="1078" t="str">
        <f t="shared" si="83"/>
        <v>1-5-1S83°</v>
      </c>
      <c r="AV601" s="1078" t="str">
        <f t="shared" si="76"/>
        <v>110.6.1</v>
      </c>
      <c r="AW601" s="1344">
        <f t="shared" si="77"/>
        <v>44348</v>
      </c>
    </row>
    <row r="602" spans="1:49">
      <c r="A602" s="1077" t="s">
        <v>3471</v>
      </c>
      <c r="B602" s="1077" t="s">
        <v>1899</v>
      </c>
      <c r="C602" s="1077">
        <v>650</v>
      </c>
      <c r="D602" s="1077">
        <v>1.67</v>
      </c>
      <c r="E602" s="1077" t="s">
        <v>15089</v>
      </c>
      <c r="F602" s="1077" t="s">
        <v>954</v>
      </c>
      <c r="G602" s="1077" t="s">
        <v>940</v>
      </c>
      <c r="H602" s="1077" t="s">
        <v>1040</v>
      </c>
      <c r="I602" s="1077" t="s">
        <v>126</v>
      </c>
      <c r="J602" s="1077">
        <v>0.7</v>
      </c>
      <c r="K602" s="1077" t="s">
        <v>3311</v>
      </c>
      <c r="L602" s="1077" t="s">
        <v>1924</v>
      </c>
      <c r="M602" s="1077">
        <v>76.099999999999994</v>
      </c>
      <c r="N602" s="1077" t="s">
        <v>945</v>
      </c>
      <c r="O602" s="1077">
        <v>1.9024999999999999</v>
      </c>
      <c r="P602" s="1077">
        <v>1.522</v>
      </c>
      <c r="Q602" s="1077">
        <v>3</v>
      </c>
      <c r="R602" s="1077">
        <v>30</v>
      </c>
      <c r="T602" s="1077">
        <v>14</v>
      </c>
      <c r="U602" s="1077">
        <v>5.5</v>
      </c>
      <c r="V602" s="1077" t="s">
        <v>648</v>
      </c>
      <c r="W602" s="1077">
        <v>70</v>
      </c>
      <c r="X602" s="1077">
        <v>10</v>
      </c>
      <c r="Y602" s="1077">
        <v>1.8</v>
      </c>
      <c r="Z602" s="1077">
        <v>5.5</v>
      </c>
      <c r="AA602" s="1077" t="s">
        <v>3472</v>
      </c>
      <c r="AH602" s="1077" t="s">
        <v>875</v>
      </c>
      <c r="AM602" s="1078" t="s">
        <v>10246</v>
      </c>
      <c r="AN602" s="1078" t="s">
        <v>10247</v>
      </c>
      <c r="AO602" s="1078">
        <f t="shared" si="78"/>
        <v>650</v>
      </c>
      <c r="AP602" s="1078">
        <f t="shared" si="79"/>
        <v>1.67</v>
      </c>
      <c r="AQ602" s="1078" t="str">
        <f t="shared" si="80"/>
        <v>1-4-1S83°</v>
      </c>
      <c r="AR602" s="1078" t="str">
        <f t="shared" si="81"/>
        <v>31</v>
      </c>
      <c r="AS602" s="1078" t="str">
        <f t="shared" si="82"/>
        <v>240/240/OFF</v>
      </c>
      <c r="AT602" s="1078" t="str">
        <f t="shared" si="83"/>
        <v>1-4-1S83°</v>
      </c>
      <c r="AV602" s="1078" t="str">
        <f t="shared" si="76"/>
        <v>110.6.4</v>
      </c>
      <c r="AW602" s="1344">
        <f t="shared" si="77"/>
        <v>44351</v>
      </c>
    </row>
    <row r="603" spans="1:49">
      <c r="A603" s="1077" t="s">
        <v>3473</v>
      </c>
      <c r="B603" s="1077" t="s">
        <v>1899</v>
      </c>
      <c r="C603" s="1077">
        <v>650</v>
      </c>
      <c r="D603" s="1077">
        <v>1.675</v>
      </c>
      <c r="E603" s="1077" t="s">
        <v>15089</v>
      </c>
      <c r="F603" s="1077" t="s">
        <v>954</v>
      </c>
      <c r="G603" s="1077" t="s">
        <v>940</v>
      </c>
      <c r="H603" s="1077" t="s">
        <v>3464</v>
      </c>
      <c r="I603" s="1077" t="s">
        <v>126</v>
      </c>
      <c r="J603" s="1077">
        <v>1.4</v>
      </c>
      <c r="K603" s="1077" t="s">
        <v>3311</v>
      </c>
      <c r="L603" s="1077" t="s">
        <v>1924</v>
      </c>
      <c r="M603" s="1077">
        <v>75.400000000000006</v>
      </c>
      <c r="N603" s="1077" t="s">
        <v>945</v>
      </c>
      <c r="O603" s="1077">
        <v>1.8850000000000002</v>
      </c>
      <c r="P603" s="1077">
        <v>1.5080000000000002</v>
      </c>
      <c r="Q603" s="1077" t="s">
        <v>1005</v>
      </c>
      <c r="R603" s="1077">
        <v>29</v>
      </c>
      <c r="T603" s="1077">
        <v>12</v>
      </c>
      <c r="U603" s="1077">
        <v>6</v>
      </c>
      <c r="V603" s="1077" t="s">
        <v>648</v>
      </c>
      <c r="W603" s="1077">
        <v>120</v>
      </c>
      <c r="X603" s="1077">
        <v>80</v>
      </c>
      <c r="Y603" s="1077">
        <v>2</v>
      </c>
      <c r="Z603" s="1077">
        <v>5</v>
      </c>
      <c r="AA603" s="1077" t="s">
        <v>3474</v>
      </c>
      <c r="AH603" s="1077" t="s">
        <v>621</v>
      </c>
      <c r="AM603" s="1078" t="s">
        <v>10248</v>
      </c>
      <c r="AN603" s="1078" t="s">
        <v>10249</v>
      </c>
      <c r="AO603" s="1078">
        <f t="shared" si="78"/>
        <v>650</v>
      </c>
      <c r="AP603" s="1078">
        <f t="shared" si="79"/>
        <v>1.675</v>
      </c>
      <c r="AQ603" s="1078" t="str">
        <f t="shared" si="80"/>
        <v>1-4-1S83°</v>
      </c>
      <c r="AR603" s="1078" t="str">
        <f t="shared" si="81"/>
        <v>31</v>
      </c>
      <c r="AS603" s="1078" t="str">
        <f t="shared" si="82"/>
        <v>231/231/OFF</v>
      </c>
      <c r="AT603" s="1078" t="str">
        <f t="shared" si="83"/>
        <v>1-4-1S83°</v>
      </c>
      <c r="AV603" s="1078" t="str">
        <f t="shared" si="76"/>
        <v>110.6.7</v>
      </c>
      <c r="AW603" s="1344">
        <f t="shared" si="77"/>
        <v>44354</v>
      </c>
    </row>
    <row r="604" spans="1:49">
      <c r="A604" s="1077" t="s">
        <v>3475</v>
      </c>
      <c r="B604" s="1077" t="s">
        <v>453</v>
      </c>
      <c r="C604" s="1077">
        <v>700</v>
      </c>
      <c r="D604" s="1077">
        <v>1.7050000000000001</v>
      </c>
      <c r="E604" s="1077" t="s">
        <v>15089</v>
      </c>
      <c r="F604" s="1077" t="s">
        <v>1773</v>
      </c>
      <c r="G604" s="1077" t="s">
        <v>3476</v>
      </c>
      <c r="H604" s="1077" t="s">
        <v>955</v>
      </c>
      <c r="I604" s="1077" t="s">
        <v>126</v>
      </c>
      <c r="J604" s="1077">
        <v>0.4</v>
      </c>
      <c r="K604" s="1077" t="s">
        <v>3477</v>
      </c>
      <c r="L604" s="1077" t="s">
        <v>1776</v>
      </c>
      <c r="M604" s="1077">
        <v>74.599999999999994</v>
      </c>
      <c r="N604" s="1077" t="s">
        <v>945</v>
      </c>
      <c r="O604" s="1077">
        <v>1.865</v>
      </c>
      <c r="P604" s="1077">
        <v>1.492</v>
      </c>
      <c r="Q604" s="1077">
        <v>4</v>
      </c>
      <c r="R604" s="1077">
        <v>20.3</v>
      </c>
      <c r="T604" s="1077">
        <v>21.1</v>
      </c>
      <c r="U604" s="1077">
        <v>3.9</v>
      </c>
      <c r="V604" s="1077" t="s">
        <v>648</v>
      </c>
      <c r="W604" s="1077" t="s">
        <v>2709</v>
      </c>
      <c r="X604" s="1077">
        <v>10</v>
      </c>
      <c r="Y604" s="1077">
        <v>1.8</v>
      </c>
      <c r="Z604" s="1077">
        <v>4.5</v>
      </c>
      <c r="AA604" s="1077" t="s">
        <v>3478</v>
      </c>
      <c r="AH604" s="1077" t="s">
        <v>1143</v>
      </c>
      <c r="AM604" s="1078" t="s">
        <v>10250</v>
      </c>
      <c r="AN604" s="1078" t="s">
        <v>10251</v>
      </c>
      <c r="AO604" s="1078">
        <f t="shared" si="78"/>
        <v>700</v>
      </c>
      <c r="AP604" s="1078">
        <f t="shared" si="79"/>
        <v>1.7050000000000001</v>
      </c>
      <c r="AQ604" s="1078" t="str">
        <f t="shared" si="80"/>
        <v>1-4-1S83°</v>
      </c>
      <c r="AR604" s="1078" t="str">
        <f t="shared" si="81"/>
        <v>30.2</v>
      </c>
      <c r="AS604" s="1078" t="str">
        <f t="shared" si="82"/>
        <v>260/260/OFF</v>
      </c>
      <c r="AT604" s="1078" t="str">
        <f t="shared" si="83"/>
        <v>1-4-1S83°</v>
      </c>
      <c r="AV604" s="1078" t="str">
        <f t="shared" si="76"/>
        <v>110.6.8</v>
      </c>
      <c r="AW604" s="1344">
        <f t="shared" si="77"/>
        <v>44355</v>
      </c>
    </row>
    <row r="605" spans="1:49">
      <c r="A605" s="1077" t="s">
        <v>3479</v>
      </c>
      <c r="B605" s="1077" t="s">
        <v>424</v>
      </c>
      <c r="C605" s="1077">
        <v>600</v>
      </c>
      <c r="D605" s="1077">
        <v>1.79</v>
      </c>
      <c r="E605" s="1077" t="s">
        <v>15091</v>
      </c>
      <c r="F605" s="1077" t="s">
        <v>1119</v>
      </c>
      <c r="G605" s="1077" t="s">
        <v>1001</v>
      </c>
      <c r="H605" s="1077" t="s">
        <v>3349</v>
      </c>
      <c r="I605" s="1077" t="s">
        <v>1112</v>
      </c>
      <c r="J605" s="1077">
        <v>0.3</v>
      </c>
      <c r="K605" s="1077" t="s">
        <v>3295</v>
      </c>
      <c r="L605" s="1077" t="s">
        <v>1938</v>
      </c>
      <c r="M605" s="1077">
        <v>73</v>
      </c>
      <c r="N605" s="1077" t="s">
        <v>945</v>
      </c>
      <c r="O605" s="1077">
        <v>1.8250000000000002</v>
      </c>
      <c r="P605" s="1077">
        <v>1.46</v>
      </c>
      <c r="Q605" s="1077">
        <v>4</v>
      </c>
      <c r="R605" s="1077">
        <v>21.6</v>
      </c>
      <c r="T605" s="1077" t="s">
        <v>3480</v>
      </c>
      <c r="U605" s="1077">
        <v>3.7</v>
      </c>
      <c r="V605" s="1077" t="s">
        <v>648</v>
      </c>
      <c r="W605" s="1077">
        <v>30</v>
      </c>
      <c r="X605" s="1077">
        <v>10</v>
      </c>
      <c r="Y605" s="1077">
        <v>1.2</v>
      </c>
      <c r="Z605" s="1077">
        <v>6</v>
      </c>
      <c r="AA605" s="1077" t="s">
        <v>3451</v>
      </c>
      <c r="AH605" s="1077" t="s">
        <v>1053</v>
      </c>
      <c r="AM605" s="1078" t="s">
        <v>10252</v>
      </c>
      <c r="AN605" s="1078" t="s">
        <v>10253</v>
      </c>
      <c r="AO605" s="1078">
        <f t="shared" si="78"/>
        <v>600</v>
      </c>
      <c r="AP605" s="1078">
        <f t="shared" si="79"/>
        <v>1.79</v>
      </c>
      <c r="AQ605" s="1078" t="str">
        <f t="shared" si="80"/>
        <v>2-5-1S83°</v>
      </c>
      <c r="AR605" s="1078" t="str">
        <f t="shared" si="81"/>
        <v>29</v>
      </c>
      <c r="AS605" s="1078" t="str">
        <f t="shared" si="82"/>
        <v>164/OFF</v>
      </c>
      <c r="AT605" s="1078" t="str">
        <f t="shared" si="83"/>
        <v>2-5-1S83°</v>
      </c>
      <c r="AV605" s="1078" t="str">
        <f t="shared" si="76"/>
        <v>112.3.1</v>
      </c>
      <c r="AW605" s="1344">
        <f t="shared" si="77"/>
        <v>44986</v>
      </c>
    </row>
    <row r="606" spans="1:49">
      <c r="A606" s="1077" t="s">
        <v>3481</v>
      </c>
      <c r="B606" s="1077" t="s">
        <v>424</v>
      </c>
      <c r="C606" s="1077">
        <v>650</v>
      </c>
      <c r="D606" s="1077">
        <v>1.7749999999999999</v>
      </c>
      <c r="E606" s="1077" t="s">
        <v>15091</v>
      </c>
      <c r="F606" s="1077" t="s">
        <v>1119</v>
      </c>
      <c r="G606" s="1077" t="s">
        <v>1767</v>
      </c>
      <c r="H606" s="1077" t="s">
        <v>3482</v>
      </c>
      <c r="I606" s="1077" t="s">
        <v>1112</v>
      </c>
      <c r="J606" s="1077">
        <v>0.5</v>
      </c>
      <c r="K606" s="1077" t="s">
        <v>3295</v>
      </c>
      <c r="L606" s="1077" t="s">
        <v>1938</v>
      </c>
      <c r="M606" s="1077">
        <v>74.5</v>
      </c>
      <c r="N606" s="1077" t="s">
        <v>945</v>
      </c>
      <c r="O606" s="1077">
        <v>1.8625</v>
      </c>
      <c r="P606" s="1077">
        <v>1.49</v>
      </c>
      <c r="Q606" s="1077">
        <v>4</v>
      </c>
      <c r="R606" s="1077">
        <v>22</v>
      </c>
      <c r="T606" s="1077">
        <v>19.5</v>
      </c>
      <c r="U606" s="1077">
        <v>2.2999999999999998</v>
      </c>
      <c r="V606" s="1077" t="s">
        <v>648</v>
      </c>
      <c r="W606" s="1077">
        <v>40</v>
      </c>
      <c r="X606" s="1077">
        <v>10</v>
      </c>
      <c r="Y606" s="1077">
        <v>1.2</v>
      </c>
      <c r="Z606" s="1077">
        <v>4</v>
      </c>
      <c r="AA606" s="1077" t="s">
        <v>3483</v>
      </c>
      <c r="AH606" s="1077" t="s">
        <v>842</v>
      </c>
      <c r="AM606" s="1078" t="s">
        <v>10254</v>
      </c>
      <c r="AN606" s="1078" t="s">
        <v>10255</v>
      </c>
      <c r="AO606" s="1078">
        <f t="shared" si="78"/>
        <v>650</v>
      </c>
      <c r="AP606" s="1078">
        <f t="shared" si="79"/>
        <v>1.7749999999999999</v>
      </c>
      <c r="AQ606" s="1078" t="str">
        <f t="shared" si="80"/>
        <v>2-5-1S83°</v>
      </c>
      <c r="AR606" s="1078" t="str">
        <f t="shared" si="81"/>
        <v>29</v>
      </c>
      <c r="AS606" s="1078" t="str">
        <f t="shared" si="82"/>
        <v>170/160</v>
      </c>
      <c r="AT606" s="1078" t="str">
        <f t="shared" si="83"/>
        <v>2-5-1S83°</v>
      </c>
      <c r="AV606" s="1078" t="str">
        <f t="shared" si="76"/>
        <v>112.3.3</v>
      </c>
      <c r="AW606" s="1344">
        <f t="shared" si="77"/>
        <v>44988</v>
      </c>
    </row>
    <row r="607" spans="1:49">
      <c r="A607" s="1077" t="s">
        <v>3484</v>
      </c>
      <c r="B607" s="1077" t="s">
        <v>620</v>
      </c>
      <c r="C607" s="1077">
        <v>500</v>
      </c>
      <c r="D607" s="1077">
        <v>1.69</v>
      </c>
      <c r="E607" s="1077" t="s">
        <v>15091</v>
      </c>
      <c r="F607" s="1077" t="s">
        <v>954</v>
      </c>
      <c r="G607" s="1077" t="s">
        <v>940</v>
      </c>
      <c r="H607" s="1077" t="s">
        <v>3300</v>
      </c>
      <c r="I607" s="1077" t="s">
        <v>626</v>
      </c>
      <c r="J607" s="1077">
        <v>1.6</v>
      </c>
      <c r="K607" s="1077" t="s">
        <v>3191</v>
      </c>
      <c r="L607" s="1077" t="s">
        <v>2032</v>
      </c>
      <c r="M607" s="1077">
        <v>77</v>
      </c>
      <c r="N607" s="1077" t="s">
        <v>945</v>
      </c>
      <c r="O607" s="1077">
        <v>1.925</v>
      </c>
      <c r="P607" s="1077">
        <v>1.54</v>
      </c>
      <c r="Q607" s="1077">
        <v>4</v>
      </c>
      <c r="R607" s="1077">
        <v>22</v>
      </c>
      <c r="T607" s="1077">
        <v>9</v>
      </c>
      <c r="U607" s="1077">
        <v>3.5</v>
      </c>
      <c r="V607" s="1077" t="s">
        <v>648</v>
      </c>
      <c r="W607" s="1077">
        <v>140</v>
      </c>
      <c r="X607" s="1077">
        <v>80</v>
      </c>
      <c r="Y607" s="1077">
        <v>2.1</v>
      </c>
      <c r="Z607" s="1077">
        <v>2.5</v>
      </c>
      <c r="AA607" s="1077" t="s">
        <v>3483</v>
      </c>
      <c r="AH607" s="1077" t="s">
        <v>868</v>
      </c>
      <c r="AM607" s="1078" t="s">
        <v>10256</v>
      </c>
      <c r="AN607" s="1078" t="s">
        <v>10257</v>
      </c>
      <c r="AO607" s="1078">
        <f t="shared" si="78"/>
        <v>500</v>
      </c>
      <c r="AP607" s="1078">
        <f t="shared" si="79"/>
        <v>1.69</v>
      </c>
      <c r="AQ607" s="1078" t="str">
        <f t="shared" si="80"/>
        <v>2-5-1S83°</v>
      </c>
      <c r="AR607" s="1078" t="str">
        <f t="shared" si="81"/>
        <v>31</v>
      </c>
      <c r="AS607" s="1078" t="str">
        <f t="shared" si="82"/>
        <v>158/160</v>
      </c>
      <c r="AT607" s="1078" t="str">
        <f t="shared" si="83"/>
        <v>2-5-1S83°</v>
      </c>
      <c r="AV607" s="1078" t="str">
        <f t="shared" si="76"/>
        <v>112.3.3</v>
      </c>
      <c r="AW607" s="1344">
        <f t="shared" si="77"/>
        <v>44988</v>
      </c>
    </row>
    <row r="608" spans="1:49">
      <c r="A608" s="1077" t="s">
        <v>3485</v>
      </c>
      <c r="B608" s="1077" t="s">
        <v>1891</v>
      </c>
      <c r="C608" s="1077">
        <v>600</v>
      </c>
      <c r="D608" s="1077">
        <v>1.67</v>
      </c>
      <c r="E608" s="1077" t="s">
        <v>15089</v>
      </c>
      <c r="F608" s="1077" t="s">
        <v>984</v>
      </c>
      <c r="G608" s="1077" t="s">
        <v>940</v>
      </c>
      <c r="H608" s="1077" t="s">
        <v>1226</v>
      </c>
      <c r="I608" s="1077" t="s">
        <v>126</v>
      </c>
      <c r="J608" s="1077">
        <v>0.7</v>
      </c>
      <c r="K608" s="1077" t="s">
        <v>3486</v>
      </c>
      <c r="L608" s="1077" t="s">
        <v>1893</v>
      </c>
      <c r="M608" s="1077">
        <v>74.599999999999994</v>
      </c>
      <c r="N608" s="1077" t="s">
        <v>945</v>
      </c>
      <c r="O608" s="1077">
        <v>1.865</v>
      </c>
      <c r="P608" s="1077">
        <v>1.492</v>
      </c>
      <c r="Q608" s="1077">
        <v>3.5</v>
      </c>
      <c r="R608" s="1077">
        <v>29</v>
      </c>
      <c r="T608" s="1077">
        <v>12.5</v>
      </c>
      <c r="U608" s="1077">
        <v>5.0999999999999996</v>
      </c>
      <c r="V608" s="1077" t="s">
        <v>648</v>
      </c>
      <c r="W608" s="1077">
        <v>95</v>
      </c>
      <c r="X608" s="1077">
        <v>60</v>
      </c>
      <c r="Y608" s="1077">
        <v>1.8</v>
      </c>
      <c r="Z608" s="1077">
        <v>4.5</v>
      </c>
      <c r="AA608" s="1077" t="s">
        <v>3424</v>
      </c>
      <c r="AH608" s="1077" t="s">
        <v>456</v>
      </c>
      <c r="AM608" s="1078" t="s">
        <v>10258</v>
      </c>
      <c r="AN608" s="1078" t="s">
        <v>10259</v>
      </c>
      <c r="AO608" s="1078">
        <f t="shared" si="78"/>
        <v>600</v>
      </c>
      <c r="AP608" s="1078">
        <f t="shared" si="79"/>
        <v>1.67</v>
      </c>
      <c r="AQ608" s="1078" t="str">
        <f t="shared" si="80"/>
        <v>1-4-1S83°</v>
      </c>
      <c r="AR608" s="1078" t="str">
        <f t="shared" si="81"/>
        <v>30</v>
      </c>
      <c r="AS608" s="1078" t="str">
        <f t="shared" si="82"/>
        <v>230/230/OFF</v>
      </c>
      <c r="AT608" s="1078" t="str">
        <f t="shared" si="83"/>
        <v>1-4-1S83°</v>
      </c>
      <c r="AV608" s="1078" t="str">
        <f t="shared" si="76"/>
        <v>112.3.13</v>
      </c>
      <c r="AW608" s="1344">
        <f t="shared" si="77"/>
        <v>44998</v>
      </c>
    </row>
    <row r="609" spans="1:49">
      <c r="A609" s="1077" t="s">
        <v>3487</v>
      </c>
      <c r="B609" s="1077" t="s">
        <v>424</v>
      </c>
      <c r="C609" s="1077">
        <v>700</v>
      </c>
      <c r="D609" s="1077">
        <v>1.79</v>
      </c>
      <c r="E609" s="1077" t="s">
        <v>15089</v>
      </c>
      <c r="F609" s="1077" t="s">
        <v>954</v>
      </c>
      <c r="G609" s="1077" t="s">
        <v>1767</v>
      </c>
      <c r="H609" s="1077" t="s">
        <v>2876</v>
      </c>
      <c r="I609" s="1077" t="s">
        <v>126</v>
      </c>
      <c r="J609" s="1077">
        <v>1.9</v>
      </c>
      <c r="K609" s="1077" t="s">
        <v>3488</v>
      </c>
      <c r="L609" s="1077" t="s">
        <v>1938</v>
      </c>
      <c r="M609" s="1077">
        <v>73</v>
      </c>
      <c r="N609" s="1077" t="s">
        <v>945</v>
      </c>
      <c r="O609" s="1077">
        <v>1.8250000000000002</v>
      </c>
      <c r="P609" s="1077">
        <v>1.46</v>
      </c>
      <c r="Q609" s="1077">
        <v>4</v>
      </c>
      <c r="R609" s="1077">
        <v>21.6</v>
      </c>
      <c r="T609" s="1077">
        <v>32</v>
      </c>
      <c r="U609" s="1077">
        <v>3.5</v>
      </c>
      <c r="V609" s="1077" t="s">
        <v>648</v>
      </c>
      <c r="W609" s="1077">
        <v>110</v>
      </c>
      <c r="X609" s="1077">
        <v>60</v>
      </c>
      <c r="Y609" s="1077">
        <v>1.5</v>
      </c>
      <c r="Z609" s="1077">
        <v>5.5</v>
      </c>
      <c r="AA609" s="1077" t="s">
        <v>3424</v>
      </c>
      <c r="AB609" s="1077" t="s">
        <v>981</v>
      </c>
      <c r="AH609" s="1077" t="s">
        <v>468</v>
      </c>
      <c r="AM609" s="1078" t="s">
        <v>10260</v>
      </c>
      <c r="AN609" s="1078" t="s">
        <v>10261</v>
      </c>
      <c r="AO609" s="1078">
        <f t="shared" si="78"/>
        <v>700</v>
      </c>
      <c r="AP609" s="1078">
        <f t="shared" si="79"/>
        <v>1.79</v>
      </c>
      <c r="AQ609" s="1078" t="str">
        <f t="shared" si="80"/>
        <v>1-4-1S83°</v>
      </c>
      <c r="AR609" s="1078" t="str">
        <f t="shared" si="81"/>
        <v>31</v>
      </c>
      <c r="AS609" s="1078" t="str">
        <f t="shared" si="82"/>
        <v>290/290/OFF</v>
      </c>
      <c r="AT609" s="1078" t="str">
        <f t="shared" si="83"/>
        <v>1-4-1S83°</v>
      </c>
      <c r="AV609" s="1078" t="str">
        <f t="shared" si="76"/>
        <v>112.3.13</v>
      </c>
      <c r="AW609" s="1344">
        <f t="shared" si="77"/>
        <v>44998</v>
      </c>
    </row>
    <row r="610" spans="1:49">
      <c r="A610" s="1077" t="s">
        <v>3489</v>
      </c>
      <c r="B610" s="1077" t="s">
        <v>620</v>
      </c>
      <c r="C610" s="1077">
        <v>500</v>
      </c>
      <c r="D610" s="1077">
        <v>1.7070000000000001</v>
      </c>
      <c r="E610" s="1077" t="s">
        <v>15091</v>
      </c>
      <c r="F610" s="1077" t="s">
        <v>954</v>
      </c>
      <c r="G610" s="1077" t="s">
        <v>940</v>
      </c>
      <c r="H610" s="1077" t="s">
        <v>3300</v>
      </c>
      <c r="I610" s="1077" t="s">
        <v>626</v>
      </c>
      <c r="J610" s="1077">
        <v>1.6</v>
      </c>
      <c r="K610" s="1077" t="s">
        <v>2215</v>
      </c>
      <c r="L610" s="1077" t="s">
        <v>2032</v>
      </c>
      <c r="M610" s="1077">
        <v>77</v>
      </c>
      <c r="N610" s="1077" t="s">
        <v>945</v>
      </c>
      <c r="O610" s="1077">
        <v>1.925</v>
      </c>
      <c r="P610" s="1077">
        <v>1.54</v>
      </c>
      <c r="Q610" s="1077">
        <v>4</v>
      </c>
      <c r="R610" s="1077">
        <v>22</v>
      </c>
      <c r="T610" s="1077">
        <v>9</v>
      </c>
      <c r="U610" s="1077">
        <v>3.5</v>
      </c>
      <c r="V610" s="1077" t="s">
        <v>648</v>
      </c>
      <c r="W610" s="1077">
        <v>140</v>
      </c>
      <c r="X610" s="1077">
        <v>80</v>
      </c>
      <c r="Y610" s="1077">
        <v>2.1</v>
      </c>
      <c r="Z610" s="1077">
        <v>2.5</v>
      </c>
      <c r="AA610" s="1077" t="s">
        <v>3490</v>
      </c>
      <c r="AH610" s="1077" t="s">
        <v>726</v>
      </c>
      <c r="AM610" s="1078" t="s">
        <v>10262</v>
      </c>
      <c r="AN610" s="1078" t="s">
        <v>10263</v>
      </c>
      <c r="AO610" s="1078">
        <f t="shared" si="78"/>
        <v>500</v>
      </c>
      <c r="AP610" s="1078">
        <f t="shared" si="79"/>
        <v>1.7070000000000001</v>
      </c>
      <c r="AQ610" s="1078" t="str">
        <f t="shared" si="80"/>
        <v>2-5-1S83°</v>
      </c>
      <c r="AR610" s="1078" t="str">
        <f t="shared" si="81"/>
        <v>31</v>
      </c>
      <c r="AS610" s="1078" t="str">
        <f t="shared" si="82"/>
        <v>158/160</v>
      </c>
      <c r="AT610" s="1078" t="str">
        <f t="shared" si="83"/>
        <v>2-5-1S83°</v>
      </c>
      <c r="AV610" s="1078" t="str">
        <f t="shared" si="76"/>
        <v>112.3.15</v>
      </c>
      <c r="AW610" s="1344">
        <f t="shared" si="77"/>
        <v>45000</v>
      </c>
    </row>
    <row r="611" spans="1:49">
      <c r="A611" s="1077" t="s">
        <v>3491</v>
      </c>
      <c r="B611" s="1077" t="s">
        <v>1911</v>
      </c>
      <c r="C611" s="1077">
        <v>650</v>
      </c>
      <c r="D611" s="1077">
        <v>1.7350000000000001</v>
      </c>
      <c r="E611" s="1077" t="s">
        <v>15089</v>
      </c>
      <c r="F611" s="1077" t="s">
        <v>984</v>
      </c>
      <c r="G611" s="1077">
        <v>5</v>
      </c>
      <c r="H611" s="1077" t="s">
        <v>1029</v>
      </c>
      <c r="I611" s="1077" t="s">
        <v>126</v>
      </c>
      <c r="J611" s="1077">
        <v>1.3</v>
      </c>
      <c r="K611" s="1077" t="s">
        <v>3492</v>
      </c>
      <c r="L611" s="1077" t="s">
        <v>1913</v>
      </c>
      <c r="M611" s="1077">
        <v>75</v>
      </c>
      <c r="N611" s="1077" t="s">
        <v>945</v>
      </c>
      <c r="O611" s="1077">
        <v>1.875</v>
      </c>
      <c r="P611" s="1077">
        <v>1.5</v>
      </c>
      <c r="Q611" s="1077">
        <v>4</v>
      </c>
      <c r="R611" s="1077">
        <v>23</v>
      </c>
      <c r="T611" s="1077">
        <v>26.5</v>
      </c>
      <c r="U611" s="1077">
        <v>3.8</v>
      </c>
      <c r="V611" s="1077" t="s">
        <v>648</v>
      </c>
      <c r="W611" s="1077">
        <v>100</v>
      </c>
      <c r="X611" s="1077">
        <v>45</v>
      </c>
      <c r="Y611" s="1077">
        <v>1.6</v>
      </c>
      <c r="Z611" s="1077">
        <v>5</v>
      </c>
      <c r="AA611" s="1077" t="s">
        <v>3490</v>
      </c>
      <c r="AH611" s="1077" t="s">
        <v>1837</v>
      </c>
      <c r="AM611" s="1078" t="s">
        <v>10264</v>
      </c>
      <c r="AN611" s="1078" t="s">
        <v>10265</v>
      </c>
      <c r="AO611" s="1078">
        <f t="shared" si="78"/>
        <v>650</v>
      </c>
      <c r="AP611" s="1078">
        <f t="shared" si="79"/>
        <v>1.7350000000000001</v>
      </c>
      <c r="AQ611" s="1078" t="str">
        <f t="shared" si="80"/>
        <v>1-4-1S83°</v>
      </c>
      <c r="AR611" s="1078" t="str">
        <f t="shared" si="81"/>
        <v>30</v>
      </c>
      <c r="AS611" s="1078" t="str">
        <f t="shared" si="82"/>
        <v>250/250/OFF</v>
      </c>
      <c r="AT611" s="1078" t="str">
        <f t="shared" si="83"/>
        <v>1-4-1S83°</v>
      </c>
      <c r="AV611" s="1078" t="str">
        <f t="shared" si="76"/>
        <v>112.3.15</v>
      </c>
      <c r="AW611" s="1344">
        <f t="shared" si="77"/>
        <v>45000</v>
      </c>
    </row>
    <row r="612" spans="1:49">
      <c r="A612" s="1077" t="s">
        <v>3493</v>
      </c>
      <c r="B612" s="1077" t="s">
        <v>625</v>
      </c>
      <c r="C612" s="1077">
        <v>500</v>
      </c>
      <c r="D612" s="1077">
        <v>1.75</v>
      </c>
      <c r="E612" s="1077" t="s">
        <v>15089</v>
      </c>
      <c r="F612" s="1077" t="s">
        <v>954</v>
      </c>
      <c r="G612" s="1077" t="s">
        <v>1016</v>
      </c>
      <c r="H612" s="1077" t="s">
        <v>1077</v>
      </c>
      <c r="I612" s="1077" t="s">
        <v>126</v>
      </c>
      <c r="J612" s="1077">
        <v>1.8</v>
      </c>
      <c r="K612" s="1077" t="s">
        <v>3287</v>
      </c>
      <c r="L612" s="1077" t="s">
        <v>1987</v>
      </c>
      <c r="M612" s="1077">
        <v>75</v>
      </c>
      <c r="N612" s="1077" t="s">
        <v>945</v>
      </c>
      <c r="O612" s="1077">
        <v>1.875</v>
      </c>
      <c r="P612" s="1077">
        <v>1.5</v>
      </c>
      <c r="Q612" s="1077">
        <v>3</v>
      </c>
      <c r="R612" s="1077">
        <v>23</v>
      </c>
      <c r="T612" s="1077" t="s">
        <v>3288</v>
      </c>
      <c r="U612" s="1077">
        <v>3.5</v>
      </c>
      <c r="V612" s="1077" t="s">
        <v>648</v>
      </c>
      <c r="W612" s="1077">
        <v>120</v>
      </c>
      <c r="X612" s="1077">
        <v>80</v>
      </c>
      <c r="Y612" s="1077">
        <v>1.8</v>
      </c>
      <c r="Z612" s="1077">
        <v>5.5</v>
      </c>
      <c r="AA612" s="1077" t="s">
        <v>3494</v>
      </c>
      <c r="AH612" s="1077" t="s">
        <v>782</v>
      </c>
      <c r="AM612" s="1078" t="s">
        <v>10266</v>
      </c>
      <c r="AN612" s="1078" t="s">
        <v>10267</v>
      </c>
      <c r="AO612" s="1078">
        <f t="shared" si="78"/>
        <v>500</v>
      </c>
      <c r="AP612" s="1078">
        <f t="shared" si="79"/>
        <v>1.75</v>
      </c>
      <c r="AQ612" s="1078" t="str">
        <f t="shared" si="80"/>
        <v>1-4-1S83°</v>
      </c>
      <c r="AR612" s="1078" t="str">
        <f t="shared" si="81"/>
        <v>31</v>
      </c>
      <c r="AS612" s="1078" t="str">
        <f t="shared" si="82"/>
        <v>245/245/OFF</v>
      </c>
      <c r="AT612" s="1078" t="str">
        <f t="shared" si="83"/>
        <v>1-4-1S83°</v>
      </c>
      <c r="AV612" s="1078" t="str">
        <f t="shared" si="76"/>
        <v>112.3.27</v>
      </c>
      <c r="AW612" s="1344">
        <f t="shared" si="77"/>
        <v>45012</v>
      </c>
    </row>
    <row r="613" spans="1:49">
      <c r="A613" s="1077" t="s">
        <v>3495</v>
      </c>
      <c r="B613" s="1077" t="s">
        <v>1823</v>
      </c>
      <c r="C613" s="1077">
        <v>450</v>
      </c>
      <c r="D613" s="1077">
        <v>1.7549999999999999</v>
      </c>
      <c r="E613" s="1077" t="s">
        <v>15095</v>
      </c>
      <c r="F613" s="1077" t="s">
        <v>984</v>
      </c>
      <c r="G613" s="1077" t="s">
        <v>1016</v>
      </c>
      <c r="H613" s="1077" t="s">
        <v>1226</v>
      </c>
      <c r="I613" s="1077" t="s">
        <v>126</v>
      </c>
      <c r="J613" s="1077">
        <v>0.7</v>
      </c>
      <c r="K613" s="1077" t="s">
        <v>3496</v>
      </c>
      <c r="L613" s="1077" t="s">
        <v>1825</v>
      </c>
      <c r="M613" s="1077">
        <v>73.8</v>
      </c>
      <c r="N613" s="1077" t="s">
        <v>945</v>
      </c>
      <c r="O613" s="1077">
        <v>1.845</v>
      </c>
      <c r="P613" s="1077">
        <v>1.476</v>
      </c>
      <c r="Q613" s="1077">
        <v>3.5</v>
      </c>
      <c r="R613" s="1077">
        <v>18.5</v>
      </c>
      <c r="T613" s="1077">
        <v>21</v>
      </c>
      <c r="U613" s="1077">
        <v>3.8</v>
      </c>
      <c r="V613" s="1077" t="s">
        <v>648</v>
      </c>
      <c r="W613" s="1077">
        <v>110</v>
      </c>
      <c r="X613" s="1077">
        <v>85</v>
      </c>
      <c r="Y613" s="1077">
        <v>1.9</v>
      </c>
      <c r="Z613" s="1077">
        <v>4</v>
      </c>
      <c r="AA613" s="1077" t="s">
        <v>3497</v>
      </c>
      <c r="AH613" s="1077" t="s">
        <v>1827</v>
      </c>
      <c r="AM613" s="1078" t="s">
        <v>10268</v>
      </c>
      <c r="AN613" s="1078" t="s">
        <v>10269</v>
      </c>
      <c r="AO613" s="1078">
        <f t="shared" si="78"/>
        <v>450</v>
      </c>
      <c r="AP613" s="1078">
        <f t="shared" si="79"/>
        <v>1.7549999999999999</v>
      </c>
      <c r="AQ613" s="1078" t="str">
        <f t="shared" si="80"/>
        <v>1-5-1S83°</v>
      </c>
      <c r="AR613" s="1078" t="str">
        <f t="shared" si="81"/>
        <v>30</v>
      </c>
      <c r="AS613" s="1078" t="str">
        <f t="shared" si="82"/>
        <v>230/230/OFF</v>
      </c>
      <c r="AT613" s="1078" t="str">
        <f t="shared" si="83"/>
        <v>1-5-1S83°</v>
      </c>
      <c r="AV613" s="1078" t="str">
        <f t="shared" si="76"/>
        <v>112.3.24</v>
      </c>
      <c r="AW613" s="1344">
        <f t="shared" si="77"/>
        <v>45009</v>
      </c>
    </row>
    <row r="614" spans="1:49">
      <c r="A614" s="1077" t="s">
        <v>3498</v>
      </c>
      <c r="B614" s="1077" t="s">
        <v>424</v>
      </c>
      <c r="C614" s="1077">
        <v>600</v>
      </c>
      <c r="D614" s="1077">
        <v>1.76</v>
      </c>
      <c r="E614" s="1077" t="s">
        <v>15091</v>
      </c>
      <c r="F614" s="1077" t="s">
        <v>984</v>
      </c>
      <c r="G614" s="1077" t="s">
        <v>1767</v>
      </c>
      <c r="H614" s="1077" t="s">
        <v>1166</v>
      </c>
      <c r="I614" s="1077" t="s">
        <v>1112</v>
      </c>
      <c r="J614" s="1077">
        <v>1.5</v>
      </c>
      <c r="K614" s="1077" t="s">
        <v>3499</v>
      </c>
      <c r="L614" s="1077" t="s">
        <v>1938</v>
      </c>
      <c r="M614" s="1077">
        <v>74.599999999999994</v>
      </c>
      <c r="N614" s="1077" t="s">
        <v>945</v>
      </c>
      <c r="O614" s="1077">
        <v>1.865</v>
      </c>
      <c r="P614" s="1077">
        <v>1.492</v>
      </c>
      <c r="Q614" s="1077">
        <v>4</v>
      </c>
      <c r="R614" s="1077">
        <v>22</v>
      </c>
      <c r="T614" s="1077">
        <v>32</v>
      </c>
      <c r="U614" s="1077">
        <v>3.4</v>
      </c>
      <c r="V614" s="1077" t="s">
        <v>648</v>
      </c>
      <c r="W614" s="1077">
        <v>110</v>
      </c>
      <c r="X614" s="1077">
        <v>60</v>
      </c>
      <c r="Y614" s="1077">
        <v>2</v>
      </c>
      <c r="Z614" s="1077">
        <v>6</v>
      </c>
      <c r="AA614" s="1077" t="s">
        <v>1565</v>
      </c>
      <c r="AH614" s="1077" t="s">
        <v>1417</v>
      </c>
      <c r="AM614" s="1078" t="s">
        <v>10270</v>
      </c>
      <c r="AN614" s="1078" t="s">
        <v>10271</v>
      </c>
      <c r="AO614" s="1078">
        <f t="shared" si="78"/>
        <v>600</v>
      </c>
      <c r="AP614" s="1078">
        <f t="shared" si="79"/>
        <v>1.76</v>
      </c>
      <c r="AQ614" s="1078" t="str">
        <f t="shared" si="80"/>
        <v>2-5-1S83°</v>
      </c>
      <c r="AR614" s="1078" t="str">
        <f t="shared" si="81"/>
        <v>30</v>
      </c>
      <c r="AS614" s="1078" t="str">
        <f t="shared" si="82"/>
        <v>170/OFF</v>
      </c>
      <c r="AT614" s="1078" t="str">
        <f t="shared" si="83"/>
        <v>2-5-1S83°</v>
      </c>
      <c r="AV614" s="1078" t="str">
        <f t="shared" si="76"/>
        <v>112.3.20</v>
      </c>
      <c r="AW614" s="1344">
        <f t="shared" si="77"/>
        <v>45005</v>
      </c>
    </row>
    <row r="615" spans="1:49">
      <c r="A615" s="1077" t="s">
        <v>3500</v>
      </c>
      <c r="B615" s="1077" t="s">
        <v>453</v>
      </c>
      <c r="C615" s="1077">
        <v>600</v>
      </c>
      <c r="D615" s="1077">
        <v>1.71</v>
      </c>
      <c r="E615" s="1077" t="s">
        <v>15089</v>
      </c>
      <c r="F615" s="1077" t="s">
        <v>1773</v>
      </c>
      <c r="G615" s="1077" t="s">
        <v>1767</v>
      </c>
      <c r="H615" s="1077" t="s">
        <v>1029</v>
      </c>
      <c r="I615" s="1077" t="s">
        <v>126</v>
      </c>
      <c r="J615" s="1077">
        <v>0.9</v>
      </c>
      <c r="K615" s="1077" t="s">
        <v>3501</v>
      </c>
      <c r="L615" s="1077" t="s">
        <v>1776</v>
      </c>
      <c r="M615" s="1077">
        <v>74.8</v>
      </c>
      <c r="N615" s="1077" t="s">
        <v>945</v>
      </c>
      <c r="O615" s="1077">
        <v>1.87</v>
      </c>
      <c r="P615" s="1077">
        <v>1.496</v>
      </c>
      <c r="Q615" s="1077">
        <v>4</v>
      </c>
      <c r="R615" s="1077">
        <v>23</v>
      </c>
      <c r="T615" s="1077">
        <v>18.600000000000001</v>
      </c>
      <c r="U615" s="1077">
        <v>3.5</v>
      </c>
      <c r="V615" s="1077" t="s">
        <v>648</v>
      </c>
      <c r="W615" s="1077">
        <v>105</v>
      </c>
      <c r="X615" s="1077">
        <v>80</v>
      </c>
      <c r="Y615" s="1077">
        <v>2</v>
      </c>
      <c r="Z615" s="1077">
        <v>4.5</v>
      </c>
      <c r="AA615" s="1077" t="s">
        <v>3497</v>
      </c>
      <c r="AH615" s="1077" t="s">
        <v>889</v>
      </c>
      <c r="AM615" s="1078" t="s">
        <v>10272</v>
      </c>
      <c r="AN615" s="1078" t="s">
        <v>10273</v>
      </c>
      <c r="AO615" s="1078">
        <f t="shared" si="78"/>
        <v>600</v>
      </c>
      <c r="AP615" s="1078">
        <f t="shared" si="79"/>
        <v>1.71</v>
      </c>
      <c r="AQ615" s="1078" t="str">
        <f t="shared" si="80"/>
        <v>1-4-1S83°</v>
      </c>
      <c r="AR615" s="1078" t="str">
        <f t="shared" si="81"/>
        <v>30.2</v>
      </c>
      <c r="AS615" s="1078" t="str">
        <f t="shared" si="82"/>
        <v>250/250/OFF</v>
      </c>
      <c r="AT615" s="1078" t="str">
        <f t="shared" si="83"/>
        <v>1-4-1S83°</v>
      </c>
      <c r="AV615" s="1078" t="str">
        <f t="shared" si="76"/>
        <v>112.3.24</v>
      </c>
      <c r="AW615" s="1344">
        <f t="shared" si="77"/>
        <v>45009</v>
      </c>
    </row>
    <row r="616" spans="1:49">
      <c r="A616" s="1077" t="s">
        <v>3502</v>
      </c>
      <c r="B616" s="1077" t="s">
        <v>424</v>
      </c>
      <c r="C616" s="1077">
        <v>700</v>
      </c>
      <c r="D616" s="1077">
        <v>1.79</v>
      </c>
      <c r="E616" s="1077" t="s">
        <v>15089</v>
      </c>
      <c r="F616" s="1077" t="s">
        <v>954</v>
      </c>
      <c r="G616" s="1077" t="s">
        <v>1767</v>
      </c>
      <c r="H616" s="1077" t="s">
        <v>2876</v>
      </c>
      <c r="I616" s="1077" t="s">
        <v>126</v>
      </c>
      <c r="J616" s="1077">
        <v>1.9</v>
      </c>
      <c r="K616" s="1077" t="s">
        <v>3488</v>
      </c>
      <c r="L616" s="1077" t="s">
        <v>1938</v>
      </c>
      <c r="M616" s="1077">
        <v>73</v>
      </c>
      <c r="N616" s="1077" t="s">
        <v>945</v>
      </c>
      <c r="O616" s="1077">
        <v>1.8250000000000002</v>
      </c>
      <c r="P616" s="1077">
        <v>1.46</v>
      </c>
      <c r="Q616" s="1077">
        <v>4</v>
      </c>
      <c r="R616" s="1077">
        <v>21.6</v>
      </c>
      <c r="T616" s="1077">
        <v>32</v>
      </c>
      <c r="U616" s="1077">
        <v>3.5</v>
      </c>
      <c r="V616" s="1077" t="s">
        <v>648</v>
      </c>
      <c r="W616" s="1077">
        <v>110</v>
      </c>
      <c r="X616" s="1077">
        <v>60</v>
      </c>
      <c r="Y616" s="1077">
        <v>1.5</v>
      </c>
      <c r="Z616" s="1077">
        <v>5.5</v>
      </c>
      <c r="AA616" s="1077" t="s">
        <v>3424</v>
      </c>
      <c r="AB616" s="1077" t="s">
        <v>981</v>
      </c>
      <c r="AH616" s="1077" t="s">
        <v>762</v>
      </c>
      <c r="AM616" s="1078" t="s">
        <v>10274</v>
      </c>
      <c r="AN616" s="1078" t="s">
        <v>10275</v>
      </c>
      <c r="AO616" s="1078">
        <f t="shared" si="78"/>
        <v>700</v>
      </c>
      <c r="AP616" s="1078">
        <f t="shared" si="79"/>
        <v>1.79</v>
      </c>
      <c r="AQ616" s="1078" t="str">
        <f t="shared" si="80"/>
        <v>1-4-1S83°</v>
      </c>
      <c r="AR616" s="1078" t="str">
        <f t="shared" si="81"/>
        <v>31</v>
      </c>
      <c r="AS616" s="1078" t="str">
        <f t="shared" si="82"/>
        <v>290/290/OFF</v>
      </c>
      <c r="AT616" s="1078" t="str">
        <f t="shared" si="83"/>
        <v>1-4-1S83°</v>
      </c>
      <c r="AV616" s="1078" t="str">
        <f t="shared" si="76"/>
        <v>112.3.13</v>
      </c>
      <c r="AW616" s="1344">
        <f t="shared" si="77"/>
        <v>44998</v>
      </c>
    </row>
    <row r="617" spans="1:49">
      <c r="A617" s="1077" t="s">
        <v>3503</v>
      </c>
      <c r="B617" s="1077" t="s">
        <v>424</v>
      </c>
      <c r="C617" s="1077">
        <v>650</v>
      </c>
      <c r="D617" s="1077">
        <v>1.7749999999999999</v>
      </c>
      <c r="E617" s="1077" t="s">
        <v>15091</v>
      </c>
      <c r="F617" s="1077" t="s">
        <v>1119</v>
      </c>
      <c r="G617" s="1077" t="s">
        <v>1767</v>
      </c>
      <c r="H617" s="1077" t="s">
        <v>3482</v>
      </c>
      <c r="I617" s="1077" t="s">
        <v>1112</v>
      </c>
      <c r="J617" s="1077">
        <v>0.5</v>
      </c>
      <c r="K617" s="1077" t="s">
        <v>3488</v>
      </c>
      <c r="L617" s="1077" t="s">
        <v>1938</v>
      </c>
      <c r="M617" s="1077">
        <v>74.5</v>
      </c>
      <c r="N617" s="1077" t="s">
        <v>945</v>
      </c>
      <c r="O617" s="1077">
        <v>1.8625</v>
      </c>
      <c r="P617" s="1077">
        <v>1.49</v>
      </c>
      <c r="Q617" s="1077">
        <v>4</v>
      </c>
      <c r="R617" s="1077">
        <v>22</v>
      </c>
      <c r="T617" s="1077">
        <v>19.5</v>
      </c>
      <c r="U617" s="1077">
        <v>2.2999999999999998</v>
      </c>
      <c r="V617" s="1077" t="s">
        <v>648</v>
      </c>
      <c r="W617" s="1077">
        <v>40</v>
      </c>
      <c r="X617" s="1077">
        <v>10</v>
      </c>
      <c r="Y617" s="1077">
        <v>1.2</v>
      </c>
      <c r="Z617" s="1077">
        <v>4</v>
      </c>
      <c r="AA617" s="1077" t="s">
        <v>3504</v>
      </c>
      <c r="AH617" s="1077" t="s">
        <v>868</v>
      </c>
      <c r="AM617" s="1078" t="s">
        <v>10276</v>
      </c>
      <c r="AN617" s="1078" t="s">
        <v>10277</v>
      </c>
      <c r="AO617" s="1078">
        <f t="shared" si="78"/>
        <v>650</v>
      </c>
      <c r="AP617" s="1078">
        <f t="shared" si="79"/>
        <v>1.7749999999999999</v>
      </c>
      <c r="AQ617" s="1078" t="str">
        <f t="shared" si="80"/>
        <v>2-5-1S83°</v>
      </c>
      <c r="AR617" s="1078" t="str">
        <f t="shared" si="81"/>
        <v>29</v>
      </c>
      <c r="AS617" s="1078" t="str">
        <f t="shared" si="82"/>
        <v>170/160</v>
      </c>
      <c r="AT617" s="1078" t="str">
        <f t="shared" si="83"/>
        <v>2-5-1S83°</v>
      </c>
      <c r="AV617" s="1078" t="str">
        <f t="shared" si="76"/>
        <v>112.4.6</v>
      </c>
      <c r="AW617" s="1344">
        <f t="shared" si="77"/>
        <v>45022</v>
      </c>
    </row>
    <row r="618" spans="1:49">
      <c r="A618" s="1077" t="s">
        <v>3505</v>
      </c>
      <c r="B618" s="1077" t="s">
        <v>424</v>
      </c>
      <c r="C618" s="1077">
        <v>600</v>
      </c>
      <c r="D618" s="1077">
        <v>1.79</v>
      </c>
      <c r="E618" s="1077" t="s">
        <v>15091</v>
      </c>
      <c r="F618" s="1077" t="s">
        <v>1119</v>
      </c>
      <c r="G618" s="1077" t="s">
        <v>1001</v>
      </c>
      <c r="H618" s="1077" t="s">
        <v>3349</v>
      </c>
      <c r="I618" s="1077" t="s">
        <v>1112</v>
      </c>
      <c r="J618" s="1077">
        <v>0.3</v>
      </c>
      <c r="K618" s="1077" t="s">
        <v>3488</v>
      </c>
      <c r="L618" s="1077" t="s">
        <v>1938</v>
      </c>
      <c r="M618" s="1077">
        <v>73</v>
      </c>
      <c r="N618" s="1077" t="s">
        <v>945</v>
      </c>
      <c r="O618" s="1077">
        <v>1.8250000000000002</v>
      </c>
      <c r="P618" s="1077">
        <v>1.46</v>
      </c>
      <c r="Q618" s="1077">
        <v>4</v>
      </c>
      <c r="R618" s="1077">
        <v>21.6</v>
      </c>
      <c r="T618" s="1077">
        <v>34</v>
      </c>
      <c r="U618" s="1077">
        <v>3.7</v>
      </c>
      <c r="V618" s="1077" t="s">
        <v>648</v>
      </c>
      <c r="W618" s="1077">
        <v>30</v>
      </c>
      <c r="X618" s="1077">
        <v>10</v>
      </c>
      <c r="Y618" s="1077">
        <v>1.2</v>
      </c>
      <c r="Z618" s="1077">
        <v>6</v>
      </c>
      <c r="AA618" s="1077" t="s">
        <v>3506</v>
      </c>
      <c r="AH618" s="1077" t="s">
        <v>3028</v>
      </c>
      <c r="AM618" s="1078" t="s">
        <v>10278</v>
      </c>
      <c r="AN618" s="1078" t="s">
        <v>10279</v>
      </c>
      <c r="AO618" s="1078">
        <f t="shared" si="78"/>
        <v>600</v>
      </c>
      <c r="AP618" s="1078">
        <f t="shared" si="79"/>
        <v>1.79</v>
      </c>
      <c r="AQ618" s="1078" t="str">
        <f t="shared" si="80"/>
        <v>2-5-1S83°</v>
      </c>
      <c r="AR618" s="1078" t="str">
        <f t="shared" si="81"/>
        <v>29</v>
      </c>
      <c r="AS618" s="1078" t="str">
        <f t="shared" si="82"/>
        <v>164/OFF</v>
      </c>
      <c r="AT618" s="1078" t="str">
        <f t="shared" si="83"/>
        <v>2-5-1S83°</v>
      </c>
      <c r="AV618" s="1078" t="str">
        <f t="shared" si="76"/>
        <v>112.4.7</v>
      </c>
      <c r="AW618" s="1344">
        <f t="shared" si="77"/>
        <v>45023</v>
      </c>
    </row>
    <row r="619" spans="1:49">
      <c r="A619" s="1077" t="s">
        <v>3507</v>
      </c>
      <c r="B619" s="1077" t="s">
        <v>1805</v>
      </c>
      <c r="C619" s="1077">
        <v>600</v>
      </c>
      <c r="D619" s="1077">
        <v>1.7</v>
      </c>
      <c r="E619" s="1077" t="s">
        <v>15089</v>
      </c>
      <c r="F619" s="1077" t="s">
        <v>1469</v>
      </c>
      <c r="G619" s="1077" t="s">
        <v>940</v>
      </c>
      <c r="H619" s="1077" t="s">
        <v>2009</v>
      </c>
      <c r="I619" s="1077" t="s">
        <v>126</v>
      </c>
      <c r="J619" s="1077">
        <v>0.7</v>
      </c>
      <c r="K619" s="1077" t="s">
        <v>3508</v>
      </c>
      <c r="L619" s="1077" t="s">
        <v>1808</v>
      </c>
      <c r="M619" s="1077">
        <v>76.8</v>
      </c>
      <c r="N619" s="1077" t="s">
        <v>945</v>
      </c>
      <c r="O619" s="1077">
        <v>1.92</v>
      </c>
      <c r="P619" s="1077">
        <v>1.536</v>
      </c>
      <c r="Q619" s="1077">
        <v>4</v>
      </c>
      <c r="R619" s="1077">
        <v>20.3</v>
      </c>
      <c r="T619" s="1077">
        <v>18</v>
      </c>
      <c r="U619" s="1077">
        <v>3.5</v>
      </c>
      <c r="V619" s="1077" t="s">
        <v>648</v>
      </c>
      <c r="W619" s="1077">
        <v>120</v>
      </c>
      <c r="X619" s="1077">
        <v>80</v>
      </c>
      <c r="Y619" s="1077">
        <v>1.5</v>
      </c>
      <c r="Z619" s="1077">
        <v>4</v>
      </c>
      <c r="AA619" s="1077" t="s">
        <v>2033</v>
      </c>
      <c r="AH619" s="1077" t="s">
        <v>1186</v>
      </c>
      <c r="AM619" s="1078" t="s">
        <v>10280</v>
      </c>
      <c r="AN619" s="1078" t="s">
        <v>10281</v>
      </c>
      <c r="AO619" s="1078">
        <f t="shared" si="78"/>
        <v>600</v>
      </c>
      <c r="AP619" s="1078">
        <f t="shared" si="79"/>
        <v>1.7</v>
      </c>
      <c r="AQ619" s="1078" t="str">
        <f t="shared" si="80"/>
        <v>1-4-1S83°</v>
      </c>
      <c r="AR619" s="1078" t="str">
        <f t="shared" si="81"/>
        <v>30.5</v>
      </c>
      <c r="AS619" s="1078" t="str">
        <f t="shared" si="82"/>
        <v>265/265/OFF</v>
      </c>
      <c r="AT619" s="1078" t="str">
        <f t="shared" si="83"/>
        <v>1-4-1S83°</v>
      </c>
      <c r="AV619" s="1078" t="str">
        <f t="shared" si="76"/>
        <v>111.4.11</v>
      </c>
      <c r="AW619" s="1344">
        <f t="shared" si="77"/>
        <v>44662</v>
      </c>
    </row>
    <row r="620" spans="1:49">
      <c r="A620" s="1077" t="s">
        <v>3509</v>
      </c>
      <c r="B620" s="1077" t="s">
        <v>752</v>
      </c>
      <c r="C620" s="1077">
        <v>600</v>
      </c>
      <c r="D620" s="1077">
        <v>1.7</v>
      </c>
      <c r="E620" s="1077" t="s">
        <v>15089</v>
      </c>
      <c r="F620" s="1077" t="s">
        <v>1773</v>
      </c>
      <c r="G620" s="1077" t="s">
        <v>1001</v>
      </c>
      <c r="H620" s="1077" t="s">
        <v>2009</v>
      </c>
      <c r="I620" s="1077" t="s">
        <v>126</v>
      </c>
      <c r="J620" s="1077">
        <v>0.9</v>
      </c>
      <c r="K620" s="1077" t="s">
        <v>2187</v>
      </c>
      <c r="L620" s="1077" t="s">
        <v>1933</v>
      </c>
      <c r="M620" s="1077">
        <v>74.5</v>
      </c>
      <c r="N620" s="1077" t="s">
        <v>945</v>
      </c>
      <c r="O620" s="1077">
        <v>1.8625</v>
      </c>
      <c r="P620" s="1077">
        <v>1.49</v>
      </c>
      <c r="Q620" s="1077">
        <v>4</v>
      </c>
      <c r="R620" s="1077">
        <v>22.3</v>
      </c>
      <c r="T620" s="1077">
        <v>22</v>
      </c>
      <c r="U620" s="1077">
        <v>3.3</v>
      </c>
      <c r="V620" s="1077" t="s">
        <v>648</v>
      </c>
      <c r="W620" s="1077">
        <v>110</v>
      </c>
      <c r="X620" s="1077">
        <v>85</v>
      </c>
      <c r="Y620" s="1077">
        <v>2</v>
      </c>
      <c r="Z620" s="1077">
        <v>4.5</v>
      </c>
      <c r="AA620" s="1077" t="s">
        <v>3510</v>
      </c>
      <c r="AH620" s="1077" t="s">
        <v>990</v>
      </c>
      <c r="AM620" s="1078" t="s">
        <v>10282</v>
      </c>
      <c r="AN620" s="1078" t="s">
        <v>10283</v>
      </c>
      <c r="AO620" s="1078">
        <f t="shared" si="78"/>
        <v>600</v>
      </c>
      <c r="AP620" s="1078">
        <f t="shared" si="79"/>
        <v>1.7</v>
      </c>
      <c r="AQ620" s="1078" t="str">
        <f t="shared" si="80"/>
        <v>1-4-1S83°</v>
      </c>
      <c r="AR620" s="1078" t="str">
        <f t="shared" si="81"/>
        <v>30.2</v>
      </c>
      <c r="AS620" s="1078" t="str">
        <f t="shared" si="82"/>
        <v>265/265/OFF</v>
      </c>
      <c r="AT620" s="1078" t="str">
        <f t="shared" si="83"/>
        <v>1-4-1S83°</v>
      </c>
      <c r="AV620" s="1078" t="str">
        <f t="shared" si="76"/>
        <v>112.4.12</v>
      </c>
      <c r="AW620" s="1344">
        <f t="shared" si="77"/>
        <v>45028</v>
      </c>
    </row>
    <row r="621" spans="1:49">
      <c r="A621" s="1077" t="s">
        <v>3511</v>
      </c>
      <c r="B621" s="1077" t="s">
        <v>472</v>
      </c>
      <c r="C621" s="1077">
        <v>550</v>
      </c>
      <c r="D621" s="1077">
        <v>1.68</v>
      </c>
      <c r="E621" s="1077" t="s">
        <v>15089</v>
      </c>
      <c r="F621" s="1077" t="s">
        <v>984</v>
      </c>
      <c r="G621" s="1077" t="s">
        <v>1767</v>
      </c>
      <c r="H621" s="1077" t="s">
        <v>1649</v>
      </c>
      <c r="I621" s="1077" t="s">
        <v>126</v>
      </c>
      <c r="J621" s="1077">
        <v>0.7</v>
      </c>
      <c r="K621" s="1077" t="s">
        <v>3394</v>
      </c>
      <c r="L621" s="1077" t="s">
        <v>1811</v>
      </c>
      <c r="M621" s="1077">
        <v>74.599999999999994</v>
      </c>
      <c r="N621" s="1077" t="s">
        <v>945</v>
      </c>
      <c r="O621" s="1077">
        <v>1.865</v>
      </c>
      <c r="P621" s="1077">
        <v>1.492</v>
      </c>
      <c r="Q621" s="1077">
        <v>3.5</v>
      </c>
      <c r="R621" s="1077" t="s">
        <v>3512</v>
      </c>
      <c r="T621" s="1077">
        <v>12.5</v>
      </c>
      <c r="U621" s="1077">
        <v>5.0999999999999996</v>
      </c>
      <c r="V621" s="1077" t="s">
        <v>648</v>
      </c>
      <c r="W621" s="1077">
        <v>95</v>
      </c>
      <c r="X621" s="1077">
        <v>60</v>
      </c>
      <c r="Y621" s="1077">
        <v>1.8</v>
      </c>
      <c r="Z621" s="1077">
        <v>4.5</v>
      </c>
      <c r="AA621" s="1077" t="s">
        <v>3513</v>
      </c>
      <c r="AH621" s="1077" t="s">
        <v>619</v>
      </c>
      <c r="AM621" s="1078" t="s">
        <v>10284</v>
      </c>
      <c r="AN621" s="1078" t="s">
        <v>10285</v>
      </c>
      <c r="AO621" s="1078">
        <f t="shared" si="78"/>
        <v>550</v>
      </c>
      <c r="AP621" s="1078">
        <f t="shared" si="79"/>
        <v>1.68</v>
      </c>
      <c r="AQ621" s="1078" t="str">
        <f t="shared" si="80"/>
        <v>1-4-1S83°</v>
      </c>
      <c r="AR621" s="1078" t="str">
        <f t="shared" si="81"/>
        <v>30</v>
      </c>
      <c r="AS621" s="1078" t="str">
        <f t="shared" si="82"/>
        <v>225/225/OFF</v>
      </c>
      <c r="AT621" s="1078" t="str">
        <f t="shared" si="83"/>
        <v>1-4-1S83°</v>
      </c>
      <c r="AV621" s="1078" t="str">
        <f t="shared" si="76"/>
        <v>112.4.17</v>
      </c>
      <c r="AW621" s="1344">
        <f t="shared" si="77"/>
        <v>45033</v>
      </c>
    </row>
    <row r="622" spans="1:49">
      <c r="A622" s="1077" t="s">
        <v>3514</v>
      </c>
      <c r="B622" s="1077" t="s">
        <v>472</v>
      </c>
      <c r="C622" s="1077">
        <v>550</v>
      </c>
      <c r="D622" s="1077">
        <v>1.69</v>
      </c>
      <c r="E622" s="1077" t="s">
        <v>15089</v>
      </c>
      <c r="F622" s="1077" t="s">
        <v>984</v>
      </c>
      <c r="G622" s="1077" t="s">
        <v>1767</v>
      </c>
      <c r="H622" s="1077" t="s">
        <v>1649</v>
      </c>
      <c r="I622" s="1077" t="s">
        <v>126</v>
      </c>
      <c r="J622" s="1077">
        <v>0.7</v>
      </c>
      <c r="K622" s="1077" t="s">
        <v>3515</v>
      </c>
      <c r="L622" s="1077" t="s">
        <v>1811</v>
      </c>
      <c r="M622" s="1077">
        <v>74.599999999999994</v>
      </c>
      <c r="N622" s="1077" t="s">
        <v>945</v>
      </c>
      <c r="O622" s="1077">
        <v>1.865</v>
      </c>
      <c r="P622" s="1077">
        <v>1.492</v>
      </c>
      <c r="Q622" s="1077">
        <v>3.5</v>
      </c>
      <c r="R622" s="1077" t="s">
        <v>3512</v>
      </c>
      <c r="T622" s="1077">
        <v>12.5</v>
      </c>
      <c r="U622" s="1077">
        <v>5.0999999999999996</v>
      </c>
      <c r="V622" s="1077" t="s">
        <v>648</v>
      </c>
      <c r="W622" s="1077">
        <v>95</v>
      </c>
      <c r="X622" s="1077">
        <v>60</v>
      </c>
      <c r="Y622" s="1077">
        <v>1.8</v>
      </c>
      <c r="Z622" s="1077">
        <v>4.5</v>
      </c>
      <c r="AA622" s="1077" t="s">
        <v>3516</v>
      </c>
      <c r="AH622" s="1077" t="s">
        <v>1452</v>
      </c>
      <c r="AM622" s="1078" t="s">
        <v>10286</v>
      </c>
      <c r="AN622" s="1078" t="s">
        <v>10287</v>
      </c>
      <c r="AO622" s="1078">
        <f t="shared" si="78"/>
        <v>550</v>
      </c>
      <c r="AP622" s="1078">
        <f t="shared" si="79"/>
        <v>1.69</v>
      </c>
      <c r="AQ622" s="1078" t="str">
        <f t="shared" si="80"/>
        <v>1-4-1S83°</v>
      </c>
      <c r="AR622" s="1078" t="str">
        <f t="shared" si="81"/>
        <v>30</v>
      </c>
      <c r="AS622" s="1078" t="str">
        <f t="shared" si="82"/>
        <v>225/225/OFF</v>
      </c>
      <c r="AT622" s="1078" t="str">
        <f t="shared" si="83"/>
        <v>1-4-1S83°</v>
      </c>
      <c r="AV622" s="1078" t="str">
        <f t="shared" si="76"/>
        <v>112.4.21</v>
      </c>
      <c r="AW622" s="1344">
        <f t="shared" si="77"/>
        <v>45037</v>
      </c>
    </row>
    <row r="623" spans="1:49">
      <c r="A623" s="1077" t="s">
        <v>3517</v>
      </c>
      <c r="B623" s="1077" t="s">
        <v>620</v>
      </c>
      <c r="C623" s="1077">
        <v>500</v>
      </c>
      <c r="D623" s="1077">
        <v>1.67</v>
      </c>
      <c r="E623" s="1077" t="s">
        <v>15091</v>
      </c>
      <c r="F623" s="1077" t="s">
        <v>3518</v>
      </c>
      <c r="G623" s="1077" t="s">
        <v>940</v>
      </c>
      <c r="H623" s="1077" t="s">
        <v>2382</v>
      </c>
      <c r="I623" s="1077" t="s">
        <v>1167</v>
      </c>
      <c r="J623" s="1077">
        <v>1.1000000000000001</v>
      </c>
      <c r="K623" s="1077" t="s">
        <v>3519</v>
      </c>
      <c r="L623" s="1077" t="s">
        <v>2032</v>
      </c>
      <c r="M623" s="1077">
        <v>76.7</v>
      </c>
      <c r="N623" s="1077" t="s">
        <v>945</v>
      </c>
      <c r="O623" s="1077">
        <v>1.9175000000000002</v>
      </c>
      <c r="P623" s="1077">
        <v>1.534</v>
      </c>
      <c r="Q623" s="1077">
        <v>4</v>
      </c>
      <c r="R623" s="1077">
        <v>23.5</v>
      </c>
      <c r="T623" s="1077">
        <v>20.7</v>
      </c>
      <c r="U623" s="1077">
        <v>4</v>
      </c>
      <c r="V623" s="1077" t="s">
        <v>648</v>
      </c>
      <c r="W623" s="1077">
        <v>120</v>
      </c>
      <c r="X623" s="1077">
        <v>80</v>
      </c>
      <c r="Y623" s="1077">
        <v>1</v>
      </c>
      <c r="Z623" s="1077">
        <v>5</v>
      </c>
      <c r="AA623" s="1077" t="s">
        <v>3516</v>
      </c>
      <c r="AH623" s="1077" t="s">
        <v>948</v>
      </c>
      <c r="AM623" s="1078" t="s">
        <v>10288</v>
      </c>
      <c r="AN623" s="1078" t="s">
        <v>10289</v>
      </c>
      <c r="AO623" s="1078">
        <f t="shared" si="78"/>
        <v>500</v>
      </c>
      <c r="AP623" s="1078">
        <f t="shared" si="79"/>
        <v>1.67</v>
      </c>
      <c r="AQ623" s="1078" t="str">
        <f t="shared" si="80"/>
        <v>2-5-1S83°</v>
      </c>
      <c r="AR623" s="1078" t="str">
        <f t="shared" si="81"/>
        <v>29.7</v>
      </c>
      <c r="AS623" s="1078" t="str">
        <f t="shared" si="82"/>
        <v>161/OFF</v>
      </c>
      <c r="AT623" s="1078" t="str">
        <f t="shared" si="83"/>
        <v>2-5-1S83°</v>
      </c>
      <c r="AV623" s="1078" t="str">
        <f t="shared" si="76"/>
        <v>112.4.21</v>
      </c>
      <c r="AW623" s="1344">
        <f t="shared" si="77"/>
        <v>45037</v>
      </c>
    </row>
    <row r="624" spans="1:49">
      <c r="A624" s="1077" t="s">
        <v>3520</v>
      </c>
      <c r="B624" s="1077" t="s">
        <v>1815</v>
      </c>
      <c r="C624" s="1077">
        <v>650</v>
      </c>
      <c r="D624" s="1077">
        <v>1.7350000000000001</v>
      </c>
      <c r="E624" s="1077" t="s">
        <v>15098</v>
      </c>
      <c r="F624" s="1077" t="s">
        <v>954</v>
      </c>
      <c r="G624" s="1077" t="s">
        <v>1767</v>
      </c>
      <c r="H624" s="1077" t="s">
        <v>1793</v>
      </c>
      <c r="I624" s="1077" t="s">
        <v>126</v>
      </c>
      <c r="J624" s="1077">
        <v>0.9</v>
      </c>
      <c r="K624" s="1077" t="s">
        <v>3521</v>
      </c>
      <c r="L624" s="1077" t="s">
        <v>1817</v>
      </c>
      <c r="M624" s="1077">
        <v>75.099999999999994</v>
      </c>
      <c r="N624" s="1077" t="s">
        <v>945</v>
      </c>
      <c r="O624" s="1077">
        <v>1.8774999999999999</v>
      </c>
      <c r="P624" s="1077">
        <v>1.502</v>
      </c>
      <c r="Q624" s="1077">
        <v>4</v>
      </c>
      <c r="R624" s="1077">
        <v>19</v>
      </c>
      <c r="T624" s="1077">
        <v>21</v>
      </c>
      <c r="U624" s="1077">
        <v>3.5</v>
      </c>
      <c r="V624" s="1077" t="s">
        <v>648</v>
      </c>
      <c r="W624" s="1077">
        <v>110</v>
      </c>
      <c r="X624" s="1077" t="s">
        <v>2650</v>
      </c>
      <c r="Y624" s="1077">
        <v>1.6</v>
      </c>
      <c r="Z624" s="1077">
        <v>4</v>
      </c>
      <c r="AA624" s="1077" t="s">
        <v>3522</v>
      </c>
      <c r="AB624" s="1077" t="s">
        <v>981</v>
      </c>
      <c r="AH624" s="1077" t="s">
        <v>875</v>
      </c>
      <c r="AI624" s="1077">
        <v>94.94</v>
      </c>
      <c r="AJ624" s="1077">
        <v>-0.43</v>
      </c>
      <c r="AK624" s="1077">
        <v>1.87</v>
      </c>
      <c r="AM624" s="1078" t="s">
        <v>10290</v>
      </c>
      <c r="AN624" s="1078" t="s">
        <v>10291</v>
      </c>
      <c r="AO624" s="1078">
        <f t="shared" si="78"/>
        <v>650</v>
      </c>
      <c r="AP624" s="1078">
        <f t="shared" si="79"/>
        <v>1.7350000000000001</v>
      </c>
      <c r="AQ624" s="1078" t="str">
        <f t="shared" si="80"/>
        <v>1-4-1S91°</v>
      </c>
      <c r="AR624" s="1078" t="str">
        <f t="shared" si="81"/>
        <v>31</v>
      </c>
      <c r="AS624" s="1078" t="str">
        <f t="shared" si="82"/>
        <v>270/270/OFF</v>
      </c>
      <c r="AT624" s="1078" t="str">
        <f t="shared" si="83"/>
        <v>1-4-1S91°</v>
      </c>
      <c r="AV624" s="1078" t="str">
        <f t="shared" si="76"/>
        <v>112.4.28</v>
      </c>
      <c r="AW624" s="1344">
        <f t="shared" si="77"/>
        <v>45044</v>
      </c>
    </row>
    <row r="625" spans="1:49">
      <c r="A625" s="1077" t="s">
        <v>3523</v>
      </c>
      <c r="B625" s="1077" t="s">
        <v>620</v>
      </c>
      <c r="C625" s="1077">
        <v>500</v>
      </c>
      <c r="D625" s="1077">
        <v>1.7070000000000001</v>
      </c>
      <c r="E625" s="1077" t="s">
        <v>15091</v>
      </c>
      <c r="F625" s="1077" t="s">
        <v>954</v>
      </c>
      <c r="G625" s="1077" t="s">
        <v>940</v>
      </c>
      <c r="H625" s="1077" t="s">
        <v>3300</v>
      </c>
      <c r="I625" s="1077" t="s">
        <v>626</v>
      </c>
      <c r="J625" s="1077">
        <v>1.6</v>
      </c>
      <c r="K625" s="1077" t="s">
        <v>3519</v>
      </c>
      <c r="L625" s="1077" t="s">
        <v>2032</v>
      </c>
      <c r="M625" s="1077">
        <v>77</v>
      </c>
      <c r="N625" s="1077" t="s">
        <v>945</v>
      </c>
      <c r="O625" s="1077">
        <v>1.925</v>
      </c>
      <c r="P625" s="1077">
        <v>1.54</v>
      </c>
      <c r="Q625" s="1077">
        <v>4</v>
      </c>
      <c r="R625" s="1077">
        <v>22</v>
      </c>
      <c r="T625" s="1077">
        <v>9</v>
      </c>
      <c r="U625" s="1077">
        <v>3.5</v>
      </c>
      <c r="V625" s="1077" t="s">
        <v>648</v>
      </c>
      <c r="W625" s="1077">
        <v>140</v>
      </c>
      <c r="X625" s="1077">
        <v>80</v>
      </c>
      <c r="Y625" s="1077">
        <v>2.1</v>
      </c>
      <c r="Z625" s="1077">
        <v>2.5</v>
      </c>
      <c r="AA625" s="1077" t="s">
        <v>3524</v>
      </c>
      <c r="AH625" s="1077" t="s">
        <v>1053</v>
      </c>
      <c r="AI625" s="1077">
        <v>90.98</v>
      </c>
      <c r="AJ625" s="1077">
        <v>-0.22</v>
      </c>
      <c r="AK625" s="1077">
        <v>2.9</v>
      </c>
      <c r="AM625" s="1078" t="s">
        <v>10292</v>
      </c>
      <c r="AN625" s="1078" t="s">
        <v>10293</v>
      </c>
      <c r="AO625" s="1078">
        <f t="shared" si="78"/>
        <v>500</v>
      </c>
      <c r="AP625" s="1078">
        <f t="shared" si="79"/>
        <v>1.7070000000000001</v>
      </c>
      <c r="AQ625" s="1078" t="str">
        <f t="shared" si="80"/>
        <v>2-5-1S83°</v>
      </c>
      <c r="AR625" s="1078" t="str">
        <f t="shared" si="81"/>
        <v>31</v>
      </c>
      <c r="AS625" s="1078" t="str">
        <f t="shared" si="82"/>
        <v>158/160</v>
      </c>
      <c r="AT625" s="1078" t="str">
        <f t="shared" si="83"/>
        <v>2-5-1S83°</v>
      </c>
      <c r="AV625" s="1078" t="str">
        <f t="shared" si="76"/>
        <v>112.5.2</v>
      </c>
      <c r="AW625" s="1344">
        <f t="shared" si="77"/>
        <v>45048</v>
      </c>
    </row>
    <row r="626" spans="1:49">
      <c r="A626" s="1077" t="s">
        <v>3525</v>
      </c>
      <c r="B626" s="1077" t="s">
        <v>1823</v>
      </c>
      <c r="C626" s="1077">
        <v>450</v>
      </c>
      <c r="D626" s="1077">
        <v>1.7549999999999999</v>
      </c>
      <c r="E626" s="1077" t="s">
        <v>15095</v>
      </c>
      <c r="F626" s="1077" t="s">
        <v>984</v>
      </c>
      <c r="G626" s="1077" t="s">
        <v>1016</v>
      </c>
      <c r="H626" s="1077" t="s">
        <v>1226</v>
      </c>
      <c r="I626" s="1077" t="s">
        <v>126</v>
      </c>
      <c r="J626" s="1077">
        <v>0.7</v>
      </c>
      <c r="K626" s="1077" t="s">
        <v>3526</v>
      </c>
      <c r="L626" s="1077" t="s">
        <v>1825</v>
      </c>
      <c r="M626" s="1077">
        <v>73.8</v>
      </c>
      <c r="N626" s="1077" t="s">
        <v>945</v>
      </c>
      <c r="O626" s="1077">
        <v>1.845</v>
      </c>
      <c r="P626" s="1077">
        <v>1.476</v>
      </c>
      <c r="Q626" s="1077">
        <v>3.5</v>
      </c>
      <c r="R626" s="1077">
        <v>18.5</v>
      </c>
      <c r="T626" s="1077">
        <v>21</v>
      </c>
      <c r="U626" s="1077">
        <v>3.8</v>
      </c>
      <c r="V626" s="1077" t="s">
        <v>648</v>
      </c>
      <c r="W626" s="1077">
        <v>110</v>
      </c>
      <c r="X626" s="1077">
        <v>85</v>
      </c>
      <c r="Y626" s="1077">
        <v>1.9</v>
      </c>
      <c r="Z626" s="1077">
        <v>4</v>
      </c>
      <c r="AA626" s="1077" t="s">
        <v>3527</v>
      </c>
      <c r="AH626" s="1077" t="s">
        <v>803</v>
      </c>
      <c r="AI626" s="1077">
        <v>85.99</v>
      </c>
      <c r="AJ626" s="1077">
        <v>0.42</v>
      </c>
      <c r="AK626" s="1077">
        <v>8.1300000000000008</v>
      </c>
      <c r="AM626" s="1078" t="s">
        <v>10294</v>
      </c>
      <c r="AN626" s="1078" t="s">
        <v>10295</v>
      </c>
      <c r="AO626" s="1078">
        <f t="shared" si="78"/>
        <v>450</v>
      </c>
      <c r="AP626" s="1078">
        <f t="shared" si="79"/>
        <v>1.7549999999999999</v>
      </c>
      <c r="AQ626" s="1078" t="str">
        <f t="shared" si="80"/>
        <v>1-5-1S83°</v>
      </c>
      <c r="AR626" s="1078" t="str">
        <f t="shared" si="81"/>
        <v>30</v>
      </c>
      <c r="AS626" s="1078" t="str">
        <f t="shared" si="82"/>
        <v>230/230/OFF</v>
      </c>
      <c r="AT626" s="1078" t="str">
        <f t="shared" si="83"/>
        <v>1-5-1S83°</v>
      </c>
      <c r="AV626" s="1078" t="str">
        <f t="shared" si="76"/>
        <v>112.5.3</v>
      </c>
      <c r="AW626" s="1344">
        <f t="shared" si="77"/>
        <v>45049</v>
      </c>
    </row>
    <row r="627" spans="1:49">
      <c r="A627" s="1077" t="s">
        <v>3528</v>
      </c>
      <c r="B627" s="1077" t="s">
        <v>2299</v>
      </c>
      <c r="C627" s="1077">
        <v>600</v>
      </c>
      <c r="D627" s="1077">
        <v>1.69</v>
      </c>
      <c r="E627" s="1077" t="s">
        <v>15089</v>
      </c>
      <c r="F627" s="1077" t="s">
        <v>984</v>
      </c>
      <c r="G627" s="1077" t="s">
        <v>940</v>
      </c>
      <c r="H627" s="1077" t="s">
        <v>3529</v>
      </c>
      <c r="I627" s="1077" t="s">
        <v>126</v>
      </c>
      <c r="J627" s="1077">
        <v>0.6</v>
      </c>
      <c r="K627" s="1077" t="s">
        <v>2300</v>
      </c>
      <c r="L627" s="1077" t="s">
        <v>2301</v>
      </c>
      <c r="M627" s="1077">
        <v>74.400000000000006</v>
      </c>
      <c r="N627" s="1077" t="s">
        <v>945</v>
      </c>
      <c r="O627" s="1077">
        <v>1.8600000000000003</v>
      </c>
      <c r="P627" s="1077">
        <v>1.4880000000000002</v>
      </c>
      <c r="Q627" s="1077">
        <v>3.5</v>
      </c>
      <c r="R627" s="1077">
        <v>23.5</v>
      </c>
      <c r="T627" s="1077">
        <v>13.8</v>
      </c>
      <c r="U627" s="1077">
        <v>2.9</v>
      </c>
      <c r="V627" s="1077" t="s">
        <v>648</v>
      </c>
      <c r="W627" s="1077">
        <v>80</v>
      </c>
      <c r="X627" s="1077">
        <v>40</v>
      </c>
      <c r="Y627" s="1077">
        <v>1.5</v>
      </c>
      <c r="Z627" s="1077" t="s">
        <v>940</v>
      </c>
      <c r="AA627" s="1077" t="s">
        <v>3524</v>
      </c>
      <c r="AH627" s="1077" t="s">
        <v>456</v>
      </c>
      <c r="AI627" s="1077">
        <v>87.66</v>
      </c>
      <c r="AJ627" s="1077">
        <v>-1.72</v>
      </c>
      <c r="AK627" s="1077">
        <v>-2.23</v>
      </c>
      <c r="AM627" s="1078" t="s">
        <v>10296</v>
      </c>
      <c r="AN627" s="1078" t="s">
        <v>10297</v>
      </c>
      <c r="AO627" s="1078">
        <f t="shared" si="78"/>
        <v>600</v>
      </c>
      <c r="AP627" s="1078">
        <f t="shared" si="79"/>
        <v>1.69</v>
      </c>
      <c r="AQ627" s="1078" t="str">
        <f t="shared" si="80"/>
        <v>1-4-1S83°</v>
      </c>
      <c r="AR627" s="1078" t="str">
        <f t="shared" si="81"/>
        <v>30</v>
      </c>
      <c r="AS627" s="1078" t="str">
        <f t="shared" si="82"/>
        <v>250/250/130</v>
      </c>
      <c r="AT627" s="1078" t="str">
        <f t="shared" si="83"/>
        <v>1-4-1S83°</v>
      </c>
      <c r="AV627" s="1078" t="str">
        <f t="shared" si="76"/>
        <v>112.5.2</v>
      </c>
      <c r="AW627" s="1344">
        <f t="shared" si="77"/>
        <v>45048</v>
      </c>
    </row>
    <row r="628" spans="1:49">
      <c r="A628" s="1077" t="s">
        <v>3530</v>
      </c>
      <c r="B628" s="1077" t="s">
        <v>453</v>
      </c>
      <c r="C628" s="1077">
        <v>600</v>
      </c>
      <c r="D628" s="1077">
        <v>1.71</v>
      </c>
      <c r="E628" s="1077" t="s">
        <v>15089</v>
      </c>
      <c r="F628" s="1077" t="s">
        <v>1773</v>
      </c>
      <c r="G628" s="1077" t="s">
        <v>1767</v>
      </c>
      <c r="H628" s="1077" t="s">
        <v>1029</v>
      </c>
      <c r="I628" s="1077" t="s">
        <v>126</v>
      </c>
      <c r="J628" s="1077">
        <v>0.9</v>
      </c>
      <c r="K628" s="1077" t="s">
        <v>3531</v>
      </c>
      <c r="L628" s="1077" t="s">
        <v>1776</v>
      </c>
      <c r="M628" s="1077">
        <v>74.8</v>
      </c>
      <c r="N628" s="1077" t="s">
        <v>945</v>
      </c>
      <c r="O628" s="1077">
        <v>1.87</v>
      </c>
      <c r="P628" s="1077">
        <v>1.496</v>
      </c>
      <c r="Q628" s="1077">
        <v>4</v>
      </c>
      <c r="R628" s="1077">
        <v>23</v>
      </c>
      <c r="T628" s="1077">
        <v>18.600000000000001</v>
      </c>
      <c r="U628" s="1077">
        <v>3.5</v>
      </c>
      <c r="V628" s="1077" t="s">
        <v>648</v>
      </c>
      <c r="W628" s="1077">
        <v>105</v>
      </c>
      <c r="X628" s="1077">
        <v>80</v>
      </c>
      <c r="Y628" s="1077">
        <v>2</v>
      </c>
      <c r="Z628" s="1077">
        <v>4.5</v>
      </c>
      <c r="AA628" s="1077" t="s">
        <v>1573</v>
      </c>
      <c r="AH628" s="1077" t="s">
        <v>990</v>
      </c>
      <c r="AI628" s="1077">
        <v>93.15</v>
      </c>
      <c r="AJ628" s="1077">
        <v>-0.35</v>
      </c>
      <c r="AK628" s="1077">
        <v>0.53</v>
      </c>
      <c r="AM628" s="1078" t="s">
        <v>10298</v>
      </c>
      <c r="AN628" s="1078" t="s">
        <v>10299</v>
      </c>
      <c r="AO628" s="1078">
        <f t="shared" si="78"/>
        <v>600</v>
      </c>
      <c r="AP628" s="1078">
        <f t="shared" si="79"/>
        <v>1.71</v>
      </c>
      <c r="AQ628" s="1078" t="str">
        <f t="shared" si="80"/>
        <v>1-4-1S83°</v>
      </c>
      <c r="AR628" s="1078" t="str">
        <f t="shared" si="81"/>
        <v>30.2</v>
      </c>
      <c r="AS628" s="1078" t="str">
        <f t="shared" si="82"/>
        <v>250/250/OFF</v>
      </c>
      <c r="AT628" s="1078" t="str">
        <f t="shared" si="83"/>
        <v>1-4-1S83°</v>
      </c>
      <c r="AV628" s="1078" t="str">
        <f t="shared" si="76"/>
        <v>112.5.8</v>
      </c>
      <c r="AW628" s="1344">
        <f t="shared" si="77"/>
        <v>45054</v>
      </c>
    </row>
    <row r="629" spans="1:49">
      <c r="A629" s="1077" t="s">
        <v>3532</v>
      </c>
      <c r="B629" s="1077" t="s">
        <v>1783</v>
      </c>
      <c r="C629" s="1077">
        <v>650</v>
      </c>
      <c r="D629" s="1077">
        <v>1.66</v>
      </c>
      <c r="E629" s="1077" t="s">
        <v>15095</v>
      </c>
      <c r="F629" s="1077" t="s">
        <v>1173</v>
      </c>
      <c r="G629" s="1077" t="s">
        <v>1767</v>
      </c>
      <c r="H629" s="1077" t="s">
        <v>955</v>
      </c>
      <c r="I629" s="1077" t="s">
        <v>126</v>
      </c>
      <c r="J629" s="1077">
        <v>0.8</v>
      </c>
      <c r="K629" s="1077" t="s">
        <v>1786</v>
      </c>
      <c r="L629" s="1077" t="s">
        <v>1787</v>
      </c>
      <c r="M629" s="1077">
        <v>76</v>
      </c>
      <c r="N629" s="1077" t="s">
        <v>945</v>
      </c>
      <c r="O629" s="1077">
        <v>1.9000000000000001</v>
      </c>
      <c r="P629" s="1077">
        <v>1.52</v>
      </c>
      <c r="Q629" s="1077">
        <v>4</v>
      </c>
      <c r="R629" s="1077">
        <v>23</v>
      </c>
      <c r="T629" s="1077">
        <v>11.5</v>
      </c>
      <c r="U629" s="1077">
        <v>3.9</v>
      </c>
      <c r="V629" s="1077" t="s">
        <v>648</v>
      </c>
      <c r="W629" s="1077">
        <v>120</v>
      </c>
      <c r="X629" s="1077">
        <v>85</v>
      </c>
      <c r="Y629" s="1077">
        <v>2</v>
      </c>
      <c r="Z629" s="1077">
        <v>2.5</v>
      </c>
      <c r="AA629" s="1077" t="s">
        <v>3533</v>
      </c>
      <c r="AH629" s="1077" t="s">
        <v>680</v>
      </c>
      <c r="AM629" s="1078" t="s">
        <v>10300</v>
      </c>
      <c r="AN629" s="1078" t="s">
        <v>10301</v>
      </c>
      <c r="AO629" s="1078">
        <f t="shared" si="78"/>
        <v>650</v>
      </c>
      <c r="AP629" s="1078">
        <f t="shared" si="79"/>
        <v>1.66</v>
      </c>
      <c r="AQ629" s="1078" t="str">
        <f t="shared" si="80"/>
        <v>1-5-1S83°</v>
      </c>
      <c r="AR629" s="1078" t="str">
        <f t="shared" si="81"/>
        <v>28.5</v>
      </c>
      <c r="AS629" s="1078" t="str">
        <f t="shared" si="82"/>
        <v>260/260/OFF</v>
      </c>
      <c r="AT629" s="1078" t="str">
        <f t="shared" si="83"/>
        <v>1-5-1S83°</v>
      </c>
      <c r="AV629" s="1078" t="str">
        <f t="shared" si="76"/>
        <v>110.6.11</v>
      </c>
      <c r="AW629" s="1344">
        <f t="shared" si="77"/>
        <v>44358</v>
      </c>
    </row>
    <row r="630" spans="1:49">
      <c r="A630" s="1077" t="s">
        <v>3534</v>
      </c>
      <c r="B630" s="1077" t="s">
        <v>3155</v>
      </c>
      <c r="C630" s="1077">
        <v>550</v>
      </c>
      <c r="D630" s="1077">
        <v>1.75</v>
      </c>
      <c r="E630" s="1077" t="s">
        <v>15095</v>
      </c>
      <c r="F630" s="1077" t="s">
        <v>984</v>
      </c>
      <c r="G630" s="1077" t="s">
        <v>940</v>
      </c>
      <c r="H630" s="1077" t="s">
        <v>1009</v>
      </c>
      <c r="I630" s="1077" t="s">
        <v>626</v>
      </c>
      <c r="J630" s="1077">
        <v>0.8</v>
      </c>
      <c r="K630" s="1077" t="s">
        <v>3535</v>
      </c>
      <c r="L630" s="1077" t="s">
        <v>3441</v>
      </c>
      <c r="M630" s="1077">
        <v>78</v>
      </c>
      <c r="N630" s="1077" t="s">
        <v>945</v>
      </c>
      <c r="O630" s="1077">
        <v>1.9500000000000002</v>
      </c>
      <c r="P630" s="1077">
        <v>1.56</v>
      </c>
      <c r="Q630" s="1077">
        <v>3</v>
      </c>
      <c r="R630" s="1077">
        <v>30</v>
      </c>
      <c r="T630" s="1077">
        <v>9.6</v>
      </c>
      <c r="U630" s="1077">
        <v>6.8</v>
      </c>
      <c r="V630" s="1077" t="s">
        <v>648</v>
      </c>
      <c r="W630" s="1077">
        <v>135</v>
      </c>
      <c r="X630" s="1077">
        <v>65</v>
      </c>
      <c r="Y630" s="1077">
        <v>1.4</v>
      </c>
      <c r="Z630" s="1077">
        <v>4</v>
      </c>
      <c r="AA630" s="1077" t="s">
        <v>3536</v>
      </c>
      <c r="AH630" s="1077" t="s">
        <v>1684</v>
      </c>
      <c r="AM630" s="1078" t="s">
        <v>10302</v>
      </c>
      <c r="AN630" s="1078" t="s">
        <v>10303</v>
      </c>
      <c r="AO630" s="1078">
        <f t="shared" si="78"/>
        <v>550</v>
      </c>
      <c r="AP630" s="1078">
        <f t="shared" si="79"/>
        <v>1.75</v>
      </c>
      <c r="AQ630" s="1078" t="str">
        <f t="shared" si="80"/>
        <v>1-5-1S83°</v>
      </c>
      <c r="AR630" s="1078" t="str">
        <f t="shared" si="81"/>
        <v>30</v>
      </c>
      <c r="AS630" s="1078" t="str">
        <f t="shared" si="82"/>
        <v>195/195/OFF</v>
      </c>
      <c r="AT630" s="1078" t="str">
        <f t="shared" si="83"/>
        <v>1-5-1S83°</v>
      </c>
      <c r="AV630" s="1078" t="str">
        <f t="shared" si="76"/>
        <v>110.6.15</v>
      </c>
      <c r="AW630" s="1344">
        <f t="shared" si="77"/>
        <v>44362</v>
      </c>
    </row>
    <row r="631" spans="1:49">
      <c r="A631" s="1077" t="s">
        <v>3537</v>
      </c>
      <c r="B631" s="1077" t="s">
        <v>1911</v>
      </c>
      <c r="C631" s="1077">
        <v>650</v>
      </c>
      <c r="D631" s="1077">
        <v>1.7350000000000001</v>
      </c>
      <c r="E631" s="1077" t="s">
        <v>15089</v>
      </c>
      <c r="F631" s="1077" t="s">
        <v>984</v>
      </c>
      <c r="G631" s="1077">
        <v>5</v>
      </c>
      <c r="H631" s="1077" t="s">
        <v>1061</v>
      </c>
      <c r="I631" s="1077" t="s">
        <v>126</v>
      </c>
      <c r="J631" s="1077">
        <v>1.2</v>
      </c>
      <c r="K631" s="1077" t="s">
        <v>2028</v>
      </c>
      <c r="L631" s="1077" t="s">
        <v>1913</v>
      </c>
      <c r="M631" s="1077">
        <v>75</v>
      </c>
      <c r="N631" s="1077" t="s">
        <v>945</v>
      </c>
      <c r="O631" s="1077">
        <v>1.875</v>
      </c>
      <c r="P631" s="1077">
        <v>1.5</v>
      </c>
      <c r="Q631" s="1077">
        <v>4</v>
      </c>
      <c r="R631" s="1077">
        <v>23</v>
      </c>
      <c r="T631" s="1077">
        <v>26.5</v>
      </c>
      <c r="U631" s="1077">
        <v>3.8</v>
      </c>
      <c r="V631" s="1077" t="s">
        <v>648</v>
      </c>
      <c r="W631" s="1077">
        <v>100</v>
      </c>
      <c r="X631" s="1077">
        <v>45</v>
      </c>
      <c r="Y631" s="1077">
        <v>1.6</v>
      </c>
      <c r="Z631" s="1077">
        <v>5</v>
      </c>
      <c r="AA631" s="1077" t="s">
        <v>3536</v>
      </c>
      <c r="AH631" s="1077" t="s">
        <v>724</v>
      </c>
      <c r="AM631" s="1078" t="s">
        <v>10304</v>
      </c>
      <c r="AN631" s="1078" t="s">
        <v>10305</v>
      </c>
      <c r="AO631" s="1078">
        <f t="shared" si="78"/>
        <v>650</v>
      </c>
      <c r="AP631" s="1078">
        <f t="shared" si="79"/>
        <v>1.7350000000000001</v>
      </c>
      <c r="AQ631" s="1078" t="str">
        <f t="shared" si="80"/>
        <v>1-4-1S83°</v>
      </c>
      <c r="AR631" s="1078" t="str">
        <f t="shared" si="81"/>
        <v>30</v>
      </c>
      <c r="AS631" s="1078" t="str">
        <f t="shared" si="82"/>
        <v>255/255/OFF</v>
      </c>
      <c r="AT631" s="1078" t="str">
        <f t="shared" si="83"/>
        <v>1-4-1S83°</v>
      </c>
      <c r="AV631" s="1078" t="str">
        <f t="shared" si="76"/>
        <v>110.6.15</v>
      </c>
      <c r="AW631" s="1344">
        <f t="shared" si="77"/>
        <v>44362</v>
      </c>
    </row>
    <row r="632" spans="1:49">
      <c r="A632" s="1077" t="s">
        <v>3538</v>
      </c>
      <c r="B632" s="1077" t="s">
        <v>1783</v>
      </c>
      <c r="C632" s="1077">
        <v>620</v>
      </c>
      <c r="D632" s="1077">
        <v>1.65</v>
      </c>
      <c r="E632" s="1077" t="s">
        <v>15095</v>
      </c>
      <c r="F632" s="1077" t="s">
        <v>984</v>
      </c>
      <c r="G632" s="1077" t="s">
        <v>2592</v>
      </c>
      <c r="H632" s="1077" t="s">
        <v>1029</v>
      </c>
      <c r="I632" s="1077" t="s">
        <v>126</v>
      </c>
      <c r="J632" s="1077">
        <v>0.35</v>
      </c>
      <c r="K632" s="1077" t="s">
        <v>1786</v>
      </c>
      <c r="L632" s="1077" t="s">
        <v>1787</v>
      </c>
      <c r="M632" s="1077">
        <v>76.099999999999994</v>
      </c>
      <c r="N632" s="1077" t="s">
        <v>945</v>
      </c>
      <c r="O632" s="1077">
        <v>1.9024999999999999</v>
      </c>
      <c r="P632" s="1077">
        <v>1.522</v>
      </c>
      <c r="Q632" s="1077">
        <v>4</v>
      </c>
      <c r="R632" s="1077">
        <v>19</v>
      </c>
      <c r="T632" s="1077">
        <v>13</v>
      </c>
      <c r="U632" s="1077">
        <v>4</v>
      </c>
      <c r="V632" s="1077" t="s">
        <v>648</v>
      </c>
      <c r="W632" s="1077" t="s">
        <v>3539</v>
      </c>
      <c r="X632" s="1077">
        <v>10</v>
      </c>
      <c r="Y632" s="1077">
        <v>2.5</v>
      </c>
      <c r="Z632" s="1077">
        <v>2</v>
      </c>
      <c r="AA632" s="1077" t="s">
        <v>3536</v>
      </c>
      <c r="AH632" s="1077" t="s">
        <v>963</v>
      </c>
      <c r="AM632" s="1078" t="s">
        <v>10306</v>
      </c>
      <c r="AN632" s="1078" t="s">
        <v>10307</v>
      </c>
      <c r="AO632" s="1078">
        <f t="shared" si="78"/>
        <v>620</v>
      </c>
      <c r="AP632" s="1078">
        <f t="shared" si="79"/>
        <v>1.65</v>
      </c>
      <c r="AQ632" s="1078" t="str">
        <f t="shared" si="80"/>
        <v>1-5-1S83°</v>
      </c>
      <c r="AR632" s="1078" t="str">
        <f t="shared" si="81"/>
        <v>30</v>
      </c>
      <c r="AS632" s="1078" t="str">
        <f t="shared" si="82"/>
        <v>250/250/OFF</v>
      </c>
      <c r="AT632" s="1078" t="str">
        <f t="shared" si="83"/>
        <v>1-5-1S83°</v>
      </c>
      <c r="AV632" s="1078" t="str">
        <f t="shared" si="76"/>
        <v>110.6.15</v>
      </c>
      <c r="AW632" s="1344">
        <f t="shared" si="77"/>
        <v>44362</v>
      </c>
    </row>
    <row r="633" spans="1:49">
      <c r="A633" s="1077" t="s">
        <v>3540</v>
      </c>
      <c r="B633" s="1077" t="s">
        <v>752</v>
      </c>
      <c r="C633" s="1077">
        <v>600</v>
      </c>
      <c r="D633" s="1077">
        <v>1.68</v>
      </c>
      <c r="E633" s="1077" t="s">
        <v>15089</v>
      </c>
      <c r="F633" s="1077" t="s">
        <v>1773</v>
      </c>
      <c r="G633" s="1077" t="s">
        <v>940</v>
      </c>
      <c r="H633" s="1077" t="s">
        <v>1061</v>
      </c>
      <c r="I633" s="1077" t="s">
        <v>126</v>
      </c>
      <c r="J633" s="1077">
        <v>1</v>
      </c>
      <c r="K633" s="1077" t="s">
        <v>3541</v>
      </c>
      <c r="L633" s="1077" t="s">
        <v>1933</v>
      </c>
      <c r="M633" s="1077">
        <v>74.5</v>
      </c>
      <c r="N633" s="1077" t="s">
        <v>945</v>
      </c>
      <c r="O633" s="1077">
        <v>1.8625</v>
      </c>
      <c r="P633" s="1077">
        <v>1.49</v>
      </c>
      <c r="Q633" s="1077" t="s">
        <v>1277</v>
      </c>
      <c r="R633" s="1077">
        <v>22.3</v>
      </c>
      <c r="T633" s="1077">
        <v>22</v>
      </c>
      <c r="U633" s="1077">
        <v>3.3</v>
      </c>
      <c r="V633" s="1077" t="s">
        <v>648</v>
      </c>
      <c r="W633" s="1077">
        <v>110</v>
      </c>
      <c r="X633" s="1077">
        <v>85</v>
      </c>
      <c r="Y633" s="1077">
        <v>2</v>
      </c>
      <c r="Z633" s="1077" t="s">
        <v>988</v>
      </c>
      <c r="AA633" s="1077" t="s">
        <v>3542</v>
      </c>
      <c r="AH633" s="1077" t="s">
        <v>483</v>
      </c>
      <c r="AM633" s="1078" t="s">
        <v>10308</v>
      </c>
      <c r="AN633" s="1078" t="s">
        <v>10309</v>
      </c>
      <c r="AO633" s="1078">
        <f t="shared" si="78"/>
        <v>600</v>
      </c>
      <c r="AP633" s="1078">
        <f t="shared" si="79"/>
        <v>1.68</v>
      </c>
      <c r="AQ633" s="1078" t="str">
        <f t="shared" si="80"/>
        <v>1-4-1S83°</v>
      </c>
      <c r="AR633" s="1078" t="str">
        <f t="shared" si="81"/>
        <v>30.2</v>
      </c>
      <c r="AS633" s="1078" t="str">
        <f t="shared" si="82"/>
        <v>255/255/OFF</v>
      </c>
      <c r="AT633" s="1078" t="str">
        <f t="shared" si="83"/>
        <v>1-4-1S83°</v>
      </c>
      <c r="AV633" s="1078" t="str">
        <f t="shared" si="76"/>
        <v>110.6.17</v>
      </c>
      <c r="AW633" s="1344">
        <f t="shared" si="77"/>
        <v>44364</v>
      </c>
    </row>
    <row r="634" spans="1:49">
      <c r="A634" s="1077" t="s">
        <v>3543</v>
      </c>
      <c r="B634" s="1077" t="s">
        <v>424</v>
      </c>
      <c r="C634" s="1077">
        <v>700</v>
      </c>
      <c r="D634" s="1077">
        <v>1.7649999999999999</v>
      </c>
      <c r="E634" s="1077" t="s">
        <v>15089</v>
      </c>
      <c r="F634" s="1077" t="s">
        <v>1897</v>
      </c>
      <c r="G634" s="1077" t="s">
        <v>1767</v>
      </c>
      <c r="H634" s="1077" t="s">
        <v>3227</v>
      </c>
      <c r="I634" s="1077" t="s">
        <v>626</v>
      </c>
      <c r="J634" s="1077">
        <v>4</v>
      </c>
      <c r="K634" s="1077" t="s">
        <v>3238</v>
      </c>
      <c r="L634" s="1077" t="s">
        <v>1938</v>
      </c>
      <c r="M634" s="1077">
        <v>75.599999999999994</v>
      </c>
      <c r="N634" s="1077" t="s">
        <v>945</v>
      </c>
      <c r="O634" s="1077">
        <v>1.89</v>
      </c>
      <c r="P634" s="1077">
        <v>1.512</v>
      </c>
      <c r="Q634" s="1077">
        <v>3.5</v>
      </c>
      <c r="R634" s="1077">
        <v>18.600000000000001</v>
      </c>
      <c r="T634" s="1077">
        <v>18.8</v>
      </c>
      <c r="U634" s="1077">
        <v>2.9</v>
      </c>
      <c r="V634" s="1077" t="s">
        <v>648</v>
      </c>
      <c r="W634" s="1077">
        <v>150</v>
      </c>
      <c r="X634" s="1077" t="s">
        <v>2402</v>
      </c>
      <c r="Y634" s="1077">
        <v>2.1</v>
      </c>
      <c r="Z634" s="1077">
        <v>4</v>
      </c>
      <c r="AA634" s="1077" t="s">
        <v>1310</v>
      </c>
      <c r="AB634" s="1077" t="s">
        <v>981</v>
      </c>
      <c r="AH634" s="1077" t="s">
        <v>878</v>
      </c>
      <c r="AM634" s="1078" t="s">
        <v>10310</v>
      </c>
      <c r="AN634" s="1078" t="s">
        <v>10311</v>
      </c>
      <c r="AO634" s="1078">
        <f t="shared" si="78"/>
        <v>700</v>
      </c>
      <c r="AP634" s="1078">
        <f t="shared" si="79"/>
        <v>1.7649999999999999</v>
      </c>
      <c r="AQ634" s="1078" t="str">
        <f t="shared" si="80"/>
        <v>1-4-1S83°</v>
      </c>
      <c r="AR634" s="1078" t="str">
        <f t="shared" si="81"/>
        <v>30.8</v>
      </c>
      <c r="AS634" s="1078" t="str">
        <f t="shared" si="82"/>
        <v>285/285/149</v>
      </c>
      <c r="AT634" s="1078" t="str">
        <f t="shared" si="83"/>
        <v>1-4-1S83°</v>
      </c>
      <c r="AV634" s="1078" t="str">
        <f t="shared" si="76"/>
        <v>110.6.21</v>
      </c>
      <c r="AW634" s="1344">
        <f t="shared" si="77"/>
        <v>44368</v>
      </c>
    </row>
    <row r="635" spans="1:49">
      <c r="A635" s="1077" t="s">
        <v>3544</v>
      </c>
      <c r="B635" s="1077" t="s">
        <v>1899</v>
      </c>
      <c r="C635" s="1077">
        <v>650</v>
      </c>
      <c r="D635" s="1077">
        <v>1.7050000000000001</v>
      </c>
      <c r="E635" s="1077" t="s">
        <v>15095</v>
      </c>
      <c r="F635" s="1077" t="s">
        <v>954</v>
      </c>
      <c r="G635" s="1077" t="s">
        <v>940</v>
      </c>
      <c r="H635" s="1077" t="s">
        <v>1649</v>
      </c>
      <c r="I635" s="1077" t="s">
        <v>126</v>
      </c>
      <c r="J635" s="1077">
        <v>1.4</v>
      </c>
      <c r="K635" s="1077" t="s">
        <v>3545</v>
      </c>
      <c r="L635" s="1077" t="s">
        <v>1924</v>
      </c>
      <c r="M635" s="1077">
        <v>75.400000000000006</v>
      </c>
      <c r="N635" s="1077" t="s">
        <v>945</v>
      </c>
      <c r="O635" s="1077">
        <v>1.8850000000000002</v>
      </c>
      <c r="P635" s="1077">
        <v>1.5080000000000002</v>
      </c>
      <c r="Q635" s="1077" t="s">
        <v>1005</v>
      </c>
      <c r="R635" s="1077">
        <v>29</v>
      </c>
      <c r="T635" s="1077">
        <v>12</v>
      </c>
      <c r="U635" s="1077">
        <v>6</v>
      </c>
      <c r="V635" s="1077" t="s">
        <v>648</v>
      </c>
      <c r="W635" s="1077">
        <v>120</v>
      </c>
      <c r="X635" s="1077">
        <v>80</v>
      </c>
      <c r="Y635" s="1077">
        <v>2</v>
      </c>
      <c r="Z635" s="1077">
        <v>5</v>
      </c>
      <c r="AA635" s="1077" t="s">
        <v>3546</v>
      </c>
      <c r="AH635" s="1077" t="s">
        <v>466</v>
      </c>
      <c r="AM635" s="1078" t="s">
        <v>10312</v>
      </c>
      <c r="AN635" s="1078" t="s">
        <v>10313</v>
      </c>
      <c r="AO635" s="1078">
        <f t="shared" si="78"/>
        <v>650</v>
      </c>
      <c r="AP635" s="1078">
        <f t="shared" si="79"/>
        <v>1.7050000000000001</v>
      </c>
      <c r="AQ635" s="1078" t="str">
        <f t="shared" si="80"/>
        <v>1-5-1S83°</v>
      </c>
      <c r="AR635" s="1078" t="str">
        <f t="shared" si="81"/>
        <v>31</v>
      </c>
      <c r="AS635" s="1078" t="str">
        <f t="shared" si="82"/>
        <v>225/225/OFF</v>
      </c>
      <c r="AT635" s="1078" t="str">
        <f t="shared" si="83"/>
        <v>1-5-1S83°</v>
      </c>
      <c r="AV635" s="1078" t="str">
        <f t="shared" si="76"/>
        <v>110.6.22</v>
      </c>
      <c r="AW635" s="1344">
        <f t="shared" si="77"/>
        <v>44369</v>
      </c>
    </row>
    <row r="636" spans="1:49">
      <c r="A636" s="1077" t="s">
        <v>3547</v>
      </c>
      <c r="B636" s="1077" t="s">
        <v>424</v>
      </c>
      <c r="C636" s="1077">
        <v>650</v>
      </c>
      <c r="D636" s="1077">
        <v>1.7350000000000001</v>
      </c>
      <c r="E636" s="1077" t="s">
        <v>15089</v>
      </c>
      <c r="F636" s="1077" t="s">
        <v>1897</v>
      </c>
      <c r="G636" s="1077" t="s">
        <v>1767</v>
      </c>
      <c r="H636" s="1077" t="s">
        <v>3314</v>
      </c>
      <c r="I636" s="1077" t="s">
        <v>126</v>
      </c>
      <c r="J636" s="1077">
        <v>1.7</v>
      </c>
      <c r="K636" s="1077" t="s">
        <v>3132</v>
      </c>
      <c r="L636" s="1077" t="s">
        <v>1938</v>
      </c>
      <c r="M636" s="1077">
        <v>77</v>
      </c>
      <c r="N636" s="1077" t="s">
        <v>945</v>
      </c>
      <c r="O636" s="1077">
        <v>1.925</v>
      </c>
      <c r="P636" s="1077">
        <v>1.54</v>
      </c>
      <c r="Q636" s="1077">
        <v>4.2</v>
      </c>
      <c r="R636" s="1077">
        <v>24</v>
      </c>
      <c r="T636" s="1077">
        <v>19</v>
      </c>
      <c r="U636" s="1077">
        <v>1.8</v>
      </c>
      <c r="V636" s="1077" t="s">
        <v>648</v>
      </c>
      <c r="W636" s="1077">
        <v>110</v>
      </c>
      <c r="X636" s="1077">
        <v>60</v>
      </c>
      <c r="Y636" s="1077">
        <v>1.7</v>
      </c>
      <c r="Z636" s="1077">
        <v>3.5</v>
      </c>
      <c r="AA636" s="1077" t="s">
        <v>1409</v>
      </c>
      <c r="AB636" s="1077" t="s">
        <v>981</v>
      </c>
      <c r="AH636" s="1077" t="s">
        <v>762</v>
      </c>
      <c r="AM636" s="1078" t="s">
        <v>10314</v>
      </c>
      <c r="AN636" s="1078" t="s">
        <v>10315</v>
      </c>
      <c r="AO636" s="1078">
        <f t="shared" si="78"/>
        <v>650</v>
      </c>
      <c r="AP636" s="1078">
        <f t="shared" si="79"/>
        <v>1.7350000000000001</v>
      </c>
      <c r="AQ636" s="1078" t="str">
        <f t="shared" si="80"/>
        <v>1-4-1S83°</v>
      </c>
      <c r="AR636" s="1078" t="str">
        <f t="shared" si="81"/>
        <v>30.8</v>
      </c>
      <c r="AS636" s="1078" t="str">
        <f t="shared" si="82"/>
        <v>290/290/165</v>
      </c>
      <c r="AT636" s="1078" t="str">
        <f t="shared" si="83"/>
        <v>1-4-1S83°</v>
      </c>
      <c r="AV636" s="1078" t="str">
        <f t="shared" si="76"/>
        <v>110.7.2</v>
      </c>
      <c r="AW636" s="1344">
        <f t="shared" si="77"/>
        <v>44379</v>
      </c>
    </row>
    <row r="637" spans="1:49">
      <c r="A637" s="1077" t="s">
        <v>3548</v>
      </c>
      <c r="B637" s="1077" t="s">
        <v>1783</v>
      </c>
      <c r="C637" s="1077">
        <v>620</v>
      </c>
      <c r="D637" s="1077">
        <v>1.65</v>
      </c>
      <c r="E637" s="1077" t="s">
        <v>15095</v>
      </c>
      <c r="F637" s="1077" t="s">
        <v>984</v>
      </c>
      <c r="G637" s="1077" t="s">
        <v>1784</v>
      </c>
      <c r="H637" s="1077" t="s">
        <v>1029</v>
      </c>
      <c r="I637" s="1077" t="s">
        <v>126</v>
      </c>
      <c r="J637" s="1077">
        <v>0.3</v>
      </c>
      <c r="K637" s="1077" t="s">
        <v>1786</v>
      </c>
      <c r="L637" s="1077" t="s">
        <v>1787</v>
      </c>
      <c r="M637" s="1077">
        <v>76.099999999999994</v>
      </c>
      <c r="N637" s="1077" t="s">
        <v>945</v>
      </c>
      <c r="O637" s="1077">
        <v>1.9024999999999999</v>
      </c>
      <c r="P637" s="1077">
        <v>1.522</v>
      </c>
      <c r="Q637" s="1077">
        <v>4</v>
      </c>
      <c r="R637" s="1077">
        <v>19</v>
      </c>
      <c r="T637" s="1077">
        <v>13</v>
      </c>
      <c r="U637" s="1077">
        <v>4</v>
      </c>
      <c r="V637" s="1077" t="s">
        <v>648</v>
      </c>
      <c r="W637" s="1077" t="s">
        <v>2709</v>
      </c>
      <c r="X637" s="1077">
        <v>10</v>
      </c>
      <c r="Y637" s="1077">
        <v>2.5</v>
      </c>
      <c r="Z637" s="1077">
        <v>2</v>
      </c>
      <c r="AA637" s="1077" t="s">
        <v>1409</v>
      </c>
      <c r="AH637" s="1077" t="s">
        <v>838</v>
      </c>
      <c r="AM637" s="1078" t="s">
        <v>10316</v>
      </c>
      <c r="AN637" s="1078" t="s">
        <v>10317</v>
      </c>
      <c r="AO637" s="1078">
        <f t="shared" si="78"/>
        <v>620</v>
      </c>
      <c r="AP637" s="1078">
        <f t="shared" si="79"/>
        <v>1.65</v>
      </c>
      <c r="AQ637" s="1078" t="str">
        <f t="shared" si="80"/>
        <v>1-5-1S83°</v>
      </c>
      <c r="AR637" s="1078" t="str">
        <f t="shared" si="81"/>
        <v>30</v>
      </c>
      <c r="AS637" s="1078" t="str">
        <f t="shared" si="82"/>
        <v>250/250/OFF</v>
      </c>
      <c r="AT637" s="1078" t="str">
        <f t="shared" si="83"/>
        <v>1-5-1S83°</v>
      </c>
      <c r="AV637" s="1078" t="str">
        <f t="shared" si="76"/>
        <v>110.7.2</v>
      </c>
      <c r="AW637" s="1344">
        <f t="shared" si="77"/>
        <v>44379</v>
      </c>
    </row>
    <row r="638" spans="1:49">
      <c r="A638" s="1077" t="s">
        <v>3549</v>
      </c>
      <c r="B638" s="1077" t="s">
        <v>850</v>
      </c>
      <c r="C638" s="1077">
        <v>550</v>
      </c>
      <c r="D638" s="1077">
        <v>1.75</v>
      </c>
      <c r="E638" s="1077" t="s">
        <v>15095</v>
      </c>
      <c r="F638" s="1077" t="s">
        <v>984</v>
      </c>
      <c r="G638" s="1077" t="s">
        <v>940</v>
      </c>
      <c r="H638" s="1077" t="s">
        <v>1009</v>
      </c>
      <c r="I638" s="1077" t="s">
        <v>626</v>
      </c>
      <c r="J638" s="1077">
        <v>0.8</v>
      </c>
      <c r="K638" s="1077" t="s">
        <v>3550</v>
      </c>
      <c r="L638" s="1077" t="s">
        <v>1763</v>
      </c>
      <c r="M638" s="1077">
        <v>78</v>
      </c>
      <c r="N638" s="1077" t="s">
        <v>945</v>
      </c>
      <c r="O638" s="1077">
        <v>1.9500000000000002</v>
      </c>
      <c r="P638" s="1077">
        <v>1.56</v>
      </c>
      <c r="Q638" s="1077">
        <v>3</v>
      </c>
      <c r="R638" s="1077">
        <v>30</v>
      </c>
      <c r="T638" s="1077">
        <v>9.6</v>
      </c>
      <c r="U638" s="1077">
        <v>6.8</v>
      </c>
      <c r="V638" s="1077" t="s">
        <v>648</v>
      </c>
      <c r="W638" s="1077" t="s">
        <v>3551</v>
      </c>
      <c r="X638" s="1077" t="s">
        <v>3552</v>
      </c>
      <c r="Y638" s="1077">
        <v>1.4</v>
      </c>
      <c r="Z638" s="1077">
        <v>4</v>
      </c>
      <c r="AA638" s="1077" t="s">
        <v>3553</v>
      </c>
      <c r="AH638" s="1077" t="s">
        <v>813</v>
      </c>
      <c r="AM638" s="1078" t="s">
        <v>10318</v>
      </c>
      <c r="AN638" s="1078" t="s">
        <v>10319</v>
      </c>
      <c r="AO638" s="1078">
        <f t="shared" si="78"/>
        <v>550</v>
      </c>
      <c r="AP638" s="1078">
        <f t="shared" si="79"/>
        <v>1.75</v>
      </c>
      <c r="AQ638" s="1078" t="str">
        <f t="shared" si="80"/>
        <v>1-5-1S83°</v>
      </c>
      <c r="AR638" s="1078" t="str">
        <f t="shared" si="81"/>
        <v>30</v>
      </c>
      <c r="AS638" s="1078" t="str">
        <f t="shared" si="82"/>
        <v>195/195/OFF</v>
      </c>
      <c r="AT638" s="1078" t="str">
        <f t="shared" si="83"/>
        <v>1-5-1S83°</v>
      </c>
      <c r="AV638" s="1078" t="str">
        <f t="shared" si="76"/>
        <v>110.7.5</v>
      </c>
      <c r="AW638" s="1344">
        <f t="shared" si="77"/>
        <v>44382</v>
      </c>
    </row>
    <row r="639" spans="1:49">
      <c r="A639" s="1077" t="s">
        <v>3554</v>
      </c>
      <c r="B639" s="1077" t="s">
        <v>1891</v>
      </c>
      <c r="C639" s="1077">
        <v>600</v>
      </c>
      <c r="D639" s="1077">
        <v>1.67</v>
      </c>
      <c r="E639" s="1077" t="s">
        <v>15089</v>
      </c>
      <c r="F639" s="1077" t="s">
        <v>984</v>
      </c>
      <c r="G639" s="1077" t="s">
        <v>940</v>
      </c>
      <c r="H639" s="1077" t="s">
        <v>1226</v>
      </c>
      <c r="I639" s="1077" t="s">
        <v>126</v>
      </c>
      <c r="J639" s="1077">
        <v>0.7</v>
      </c>
      <c r="K639" s="1077" t="s">
        <v>3555</v>
      </c>
      <c r="L639" s="1077" t="s">
        <v>1893</v>
      </c>
      <c r="M639" s="1077">
        <v>74.599999999999994</v>
      </c>
      <c r="N639" s="1077" t="s">
        <v>945</v>
      </c>
      <c r="O639" s="1077">
        <v>1.865</v>
      </c>
      <c r="P639" s="1077">
        <v>1.492</v>
      </c>
      <c r="Q639" s="1077">
        <v>3.5</v>
      </c>
      <c r="R639" s="1077">
        <v>29</v>
      </c>
      <c r="T639" s="1077">
        <v>12.5</v>
      </c>
      <c r="U639" s="1077">
        <v>5.0999999999999996</v>
      </c>
      <c r="V639" s="1077" t="s">
        <v>648</v>
      </c>
      <c r="W639" s="1077">
        <v>95</v>
      </c>
      <c r="X639" s="1077">
        <v>60</v>
      </c>
      <c r="Y639" s="1077">
        <v>1.8</v>
      </c>
      <c r="Z639" s="1077">
        <v>4.5</v>
      </c>
      <c r="AA639" s="1077" t="s">
        <v>3556</v>
      </c>
      <c r="AH639" s="1077" t="s">
        <v>958</v>
      </c>
      <c r="AI639" s="1077">
        <v>93.78</v>
      </c>
      <c r="AJ639" s="1077">
        <v>-1.53</v>
      </c>
      <c r="AK639" s="1077">
        <v>4.28</v>
      </c>
      <c r="AM639" s="1078" t="s">
        <v>10320</v>
      </c>
      <c r="AN639" s="1078" t="s">
        <v>10321</v>
      </c>
      <c r="AO639" s="1078">
        <f t="shared" si="78"/>
        <v>600</v>
      </c>
      <c r="AP639" s="1078">
        <f t="shared" si="79"/>
        <v>1.67</v>
      </c>
      <c r="AQ639" s="1078" t="str">
        <f t="shared" si="80"/>
        <v>1-4-1S83°</v>
      </c>
      <c r="AR639" s="1078" t="str">
        <f t="shared" si="81"/>
        <v>30</v>
      </c>
      <c r="AS639" s="1078" t="str">
        <f t="shared" si="82"/>
        <v>230/230/OFF</v>
      </c>
      <c r="AT639" s="1078" t="str">
        <f t="shared" si="83"/>
        <v>1-4-1S83°</v>
      </c>
      <c r="AV639" s="1078" t="str">
        <f t="shared" si="76"/>
        <v>112.5.11</v>
      </c>
      <c r="AW639" s="1344">
        <f t="shared" si="77"/>
        <v>45057</v>
      </c>
    </row>
    <row r="640" spans="1:49">
      <c r="A640" s="1077" t="s">
        <v>3557</v>
      </c>
      <c r="B640" s="1077" t="s">
        <v>1815</v>
      </c>
      <c r="C640" s="1077">
        <v>650</v>
      </c>
      <c r="D640" s="1077">
        <v>1.7350000000000001</v>
      </c>
      <c r="E640" s="1077" t="s">
        <v>15098</v>
      </c>
      <c r="F640" s="1077" t="s">
        <v>954</v>
      </c>
      <c r="G640" s="1077" t="s">
        <v>1767</v>
      </c>
      <c r="H640" s="1077" t="s">
        <v>1793</v>
      </c>
      <c r="I640" s="1077" t="s">
        <v>126</v>
      </c>
      <c r="J640" s="1077">
        <v>0.9</v>
      </c>
      <c r="K640" s="1077" t="s">
        <v>3521</v>
      </c>
      <c r="L640" s="1077" t="s">
        <v>1817</v>
      </c>
      <c r="M640" s="1077">
        <v>75.099999999999994</v>
      </c>
      <c r="N640" s="1077" t="s">
        <v>945</v>
      </c>
      <c r="O640" s="1077">
        <v>1.8774999999999999</v>
      </c>
      <c r="P640" s="1077">
        <v>1.502</v>
      </c>
      <c r="Q640" s="1077">
        <v>4</v>
      </c>
      <c r="R640" s="1077">
        <v>19</v>
      </c>
      <c r="T640" s="1077">
        <v>21</v>
      </c>
      <c r="U640" s="1077">
        <v>3.5</v>
      </c>
      <c r="V640" s="1077" t="s">
        <v>648</v>
      </c>
      <c r="W640" s="1077">
        <v>110</v>
      </c>
      <c r="X640" s="1077" t="s">
        <v>2650</v>
      </c>
      <c r="Y640" s="1077">
        <v>1.6</v>
      </c>
      <c r="Z640" s="1077">
        <v>4</v>
      </c>
      <c r="AA640" s="1077" t="s">
        <v>3558</v>
      </c>
      <c r="AB640" s="1077" t="s">
        <v>981</v>
      </c>
      <c r="AH640" s="1077" t="s">
        <v>466</v>
      </c>
      <c r="AI640" s="1077">
        <v>94.64</v>
      </c>
      <c r="AJ640" s="1077">
        <v>-0.37</v>
      </c>
      <c r="AK640" s="1077">
        <v>1.69</v>
      </c>
      <c r="AM640" s="1078" t="s">
        <v>10322</v>
      </c>
      <c r="AN640" s="1078" t="s">
        <v>10323</v>
      </c>
      <c r="AO640" s="1078">
        <f t="shared" si="78"/>
        <v>650</v>
      </c>
      <c r="AP640" s="1078">
        <f t="shared" si="79"/>
        <v>1.7350000000000001</v>
      </c>
      <c r="AQ640" s="1078" t="str">
        <f t="shared" si="80"/>
        <v>1-4-1S91°</v>
      </c>
      <c r="AR640" s="1078" t="str">
        <f t="shared" si="81"/>
        <v>31</v>
      </c>
      <c r="AS640" s="1078" t="str">
        <f t="shared" si="82"/>
        <v>270/270/OFF</v>
      </c>
      <c r="AT640" s="1078" t="str">
        <f t="shared" si="83"/>
        <v>1-4-1S91°</v>
      </c>
      <c r="AV640" s="1078" t="str">
        <f t="shared" si="76"/>
        <v>112.5.9</v>
      </c>
      <c r="AW640" s="1344">
        <f t="shared" si="77"/>
        <v>45055</v>
      </c>
    </row>
    <row r="641" spans="1:49">
      <c r="A641" s="1077" t="s">
        <v>3559</v>
      </c>
      <c r="B641" s="1077" t="s">
        <v>2207</v>
      </c>
      <c r="C641" s="1077">
        <v>650</v>
      </c>
      <c r="D641" s="1077">
        <v>1.7350000000000001</v>
      </c>
      <c r="E641" s="1077" t="s">
        <v>15098</v>
      </c>
      <c r="F641" s="1077" t="s">
        <v>954</v>
      </c>
      <c r="G641" s="1077" t="s">
        <v>1767</v>
      </c>
      <c r="H641" s="1077" t="s">
        <v>1793</v>
      </c>
      <c r="I641" s="1077" t="s">
        <v>126</v>
      </c>
      <c r="J641" s="1077">
        <v>0.9</v>
      </c>
      <c r="K641" s="1077" t="s">
        <v>3521</v>
      </c>
      <c r="L641" s="1077" t="s">
        <v>1817</v>
      </c>
      <c r="M641" s="1077">
        <v>75.099999999999994</v>
      </c>
      <c r="N641" s="1077" t="s">
        <v>945</v>
      </c>
      <c r="O641" s="1077">
        <v>1.8774999999999999</v>
      </c>
      <c r="P641" s="1077">
        <v>1.502</v>
      </c>
      <c r="Q641" s="1077">
        <v>4</v>
      </c>
      <c r="R641" s="1077">
        <v>19</v>
      </c>
      <c r="T641" s="1077">
        <v>21</v>
      </c>
      <c r="U641" s="1077">
        <v>3.5</v>
      </c>
      <c r="V641" s="1077" t="s">
        <v>648</v>
      </c>
      <c r="W641" s="1077">
        <v>110</v>
      </c>
      <c r="X641" s="1077" t="s">
        <v>2650</v>
      </c>
      <c r="Y641" s="1077">
        <v>1.6</v>
      </c>
      <c r="Z641" s="1077">
        <v>4</v>
      </c>
      <c r="AA641" s="1077" t="s">
        <v>3560</v>
      </c>
      <c r="AH641" s="1077" t="s">
        <v>1143</v>
      </c>
      <c r="AI641" s="1077">
        <v>95.07</v>
      </c>
      <c r="AJ641" s="1077">
        <v>-0.46</v>
      </c>
      <c r="AK641" s="1077">
        <v>1.67</v>
      </c>
      <c r="AM641" s="1078" t="s">
        <v>10324</v>
      </c>
      <c r="AN641" s="1078" t="s">
        <v>10325</v>
      </c>
      <c r="AO641" s="1078">
        <f t="shared" si="78"/>
        <v>650</v>
      </c>
      <c r="AP641" s="1078">
        <f t="shared" si="79"/>
        <v>1.7350000000000001</v>
      </c>
      <c r="AQ641" s="1078" t="str">
        <f t="shared" si="80"/>
        <v>1-4-1S91°</v>
      </c>
      <c r="AR641" s="1078" t="str">
        <f t="shared" si="81"/>
        <v>31</v>
      </c>
      <c r="AS641" s="1078" t="str">
        <f t="shared" si="82"/>
        <v>270/270/OFF</v>
      </c>
      <c r="AT641" s="1078" t="str">
        <f t="shared" si="83"/>
        <v>1-4-1S91°</v>
      </c>
      <c r="AV641" s="1078" t="str">
        <f t="shared" si="76"/>
        <v>112.5.10</v>
      </c>
      <c r="AW641" s="1344">
        <f t="shared" si="77"/>
        <v>45056</v>
      </c>
    </row>
    <row r="642" spans="1:49">
      <c r="A642" s="1077" t="s">
        <v>3561</v>
      </c>
      <c r="B642" s="1077" t="s">
        <v>1783</v>
      </c>
      <c r="C642" s="1077">
        <v>500</v>
      </c>
      <c r="D642" s="1077">
        <v>1.68</v>
      </c>
      <c r="E642" s="1077" t="s">
        <v>15089</v>
      </c>
      <c r="F642" s="1077" t="s">
        <v>984</v>
      </c>
      <c r="G642" s="1077" t="s">
        <v>2592</v>
      </c>
      <c r="H642" s="1077" t="s">
        <v>1290</v>
      </c>
      <c r="I642" s="1077" t="s">
        <v>126</v>
      </c>
      <c r="J642" s="1077">
        <v>0.2</v>
      </c>
      <c r="K642" s="1077" t="s">
        <v>3562</v>
      </c>
      <c r="L642" s="1077" t="s">
        <v>1787</v>
      </c>
      <c r="M642" s="1077">
        <v>76.099999999999994</v>
      </c>
      <c r="N642" s="1077" t="s">
        <v>945</v>
      </c>
      <c r="O642" s="1077">
        <v>1.9024999999999999</v>
      </c>
      <c r="P642" s="1077">
        <v>1.522</v>
      </c>
      <c r="Q642" s="1077">
        <v>4</v>
      </c>
      <c r="R642" s="1077">
        <v>19</v>
      </c>
      <c r="T642" s="1077">
        <v>13</v>
      </c>
      <c r="U642" s="1077">
        <v>4</v>
      </c>
      <c r="V642" s="1077" t="s">
        <v>648</v>
      </c>
      <c r="W642" s="1077" t="s">
        <v>2085</v>
      </c>
      <c r="X642" s="1077">
        <v>0</v>
      </c>
      <c r="Y642" s="1077">
        <v>2.5</v>
      </c>
      <c r="Z642" s="1077">
        <v>2</v>
      </c>
      <c r="AA642" s="1077" t="s">
        <v>3563</v>
      </c>
      <c r="AH642" s="1077" t="s">
        <v>468</v>
      </c>
      <c r="AI642" s="1077">
        <v>94.64</v>
      </c>
      <c r="AJ642" s="1077">
        <v>-0.41</v>
      </c>
      <c r="AK642" s="1077">
        <v>1.06</v>
      </c>
      <c r="AM642" s="1078" t="s">
        <v>10326</v>
      </c>
      <c r="AN642" s="1078" t="s">
        <v>10327</v>
      </c>
      <c r="AO642" s="1078">
        <f t="shared" si="78"/>
        <v>500</v>
      </c>
      <c r="AP642" s="1078">
        <f t="shared" si="79"/>
        <v>1.68</v>
      </c>
      <c r="AQ642" s="1078" t="str">
        <f t="shared" si="80"/>
        <v>1-4-1S83°</v>
      </c>
      <c r="AR642" s="1078" t="str">
        <f t="shared" si="81"/>
        <v>30</v>
      </c>
      <c r="AS642" s="1078" t="str">
        <f t="shared" si="82"/>
        <v>220/220/OFF</v>
      </c>
      <c r="AT642" s="1078" t="str">
        <f t="shared" si="83"/>
        <v>1-4-1S83°</v>
      </c>
      <c r="AV642" s="1078" t="str">
        <f t="shared" ref="AV642:AV705" si="84">AA642</f>
        <v>112.5.12</v>
      </c>
      <c r="AW642" s="1344">
        <f t="shared" si="77"/>
        <v>45058</v>
      </c>
    </row>
    <row r="643" spans="1:49">
      <c r="A643" s="1077" t="s">
        <v>3564</v>
      </c>
      <c r="B643" s="1077" t="s">
        <v>453</v>
      </c>
      <c r="C643" s="1077">
        <v>650</v>
      </c>
      <c r="D643" s="1077">
        <v>1.7</v>
      </c>
      <c r="E643" s="1077" t="s">
        <v>15088</v>
      </c>
      <c r="F643" s="1077" t="s">
        <v>648</v>
      </c>
      <c r="G643" s="1077" t="s">
        <v>1767</v>
      </c>
      <c r="H643" s="1077" t="s">
        <v>2359</v>
      </c>
      <c r="I643" s="1077" t="s">
        <v>126</v>
      </c>
      <c r="J643" s="1077">
        <v>0.9</v>
      </c>
      <c r="K643" s="1077" t="s">
        <v>3565</v>
      </c>
      <c r="L643" s="1077" t="s">
        <v>1776</v>
      </c>
      <c r="M643" s="1077">
        <v>74.8</v>
      </c>
      <c r="N643" s="1077" t="s">
        <v>945</v>
      </c>
      <c r="O643" s="1077">
        <v>1.87</v>
      </c>
      <c r="P643" s="1077">
        <v>1.496</v>
      </c>
      <c r="Q643" s="1077">
        <v>4</v>
      </c>
      <c r="R643" s="1077">
        <v>23</v>
      </c>
      <c r="T643" s="1077">
        <v>18.600000000000001</v>
      </c>
      <c r="U643" s="1077">
        <v>3.5</v>
      </c>
      <c r="V643" s="1077" t="s">
        <v>648</v>
      </c>
      <c r="W643" s="1077">
        <v>105</v>
      </c>
      <c r="X643" s="1077" t="s">
        <v>1063</v>
      </c>
      <c r="Y643" s="1077">
        <v>2</v>
      </c>
      <c r="Z643" s="1077">
        <v>4.5</v>
      </c>
      <c r="AA643" s="1077" t="s">
        <v>1580</v>
      </c>
      <c r="AB643" s="1077" t="s">
        <v>981</v>
      </c>
      <c r="AH643" s="1077" t="s">
        <v>1023</v>
      </c>
      <c r="AI643" s="1077">
        <v>89.83</v>
      </c>
      <c r="AJ643" s="1077">
        <v>-0.09</v>
      </c>
      <c r="AK643" s="1077">
        <v>-0.08</v>
      </c>
      <c r="AM643" s="1078" t="s">
        <v>10328</v>
      </c>
      <c r="AN643" s="1078" t="s">
        <v>10329</v>
      </c>
      <c r="AO643" s="1078">
        <f t="shared" si="78"/>
        <v>650</v>
      </c>
      <c r="AP643" s="1078">
        <f t="shared" si="79"/>
        <v>1.7</v>
      </c>
      <c r="AQ643" s="1078" t="str">
        <f t="shared" si="80"/>
        <v>1-4-1S85°</v>
      </c>
      <c r="AR643" s="1078" t="str">
        <f t="shared" si="81"/>
        <v>NA</v>
      </c>
      <c r="AS643" s="1078" t="str">
        <f t="shared" si="82"/>
        <v>174/OFF</v>
      </c>
      <c r="AT643" s="1078" t="str">
        <f t="shared" si="83"/>
        <v>1-4-1S85°</v>
      </c>
      <c r="AV643" s="1078" t="str">
        <f t="shared" si="84"/>
        <v>112.6.1</v>
      </c>
      <c r="AW643" s="1344">
        <f t="shared" ref="AW643:AW706" si="85">DATE(VALUE(LEFT(AV643,FIND(".",AV643)-1))+1911,
       VALUE(MID(AV643,FIND(".",AV643)+1,FIND(".",AV643,FIND(".",AV643)+1)-FIND(".",AV643)-1)),
       VALUE(RIGHT(AV643,LEN(AV643)-FIND("~",SUBSTITUTE(AV643,".","~",2)))))</f>
        <v>45078</v>
      </c>
    </row>
    <row r="644" spans="1:49">
      <c r="A644" s="1077" t="s">
        <v>3566</v>
      </c>
      <c r="B644" s="1077" t="s">
        <v>453</v>
      </c>
      <c r="C644" s="1077">
        <v>650</v>
      </c>
      <c r="D644" s="1077">
        <v>1.71</v>
      </c>
      <c r="E644" s="1077" t="s">
        <v>15089</v>
      </c>
      <c r="F644" s="1077" t="s">
        <v>984</v>
      </c>
      <c r="G644" s="1077" t="s">
        <v>1767</v>
      </c>
      <c r="H644" s="1077" t="s">
        <v>1831</v>
      </c>
      <c r="I644" s="1077" t="s">
        <v>126</v>
      </c>
      <c r="J644" s="1077">
        <v>1.1000000000000001</v>
      </c>
      <c r="K644" s="1077" t="s">
        <v>3567</v>
      </c>
      <c r="L644" s="1077" t="s">
        <v>2104</v>
      </c>
      <c r="M644" s="1077">
        <v>77</v>
      </c>
      <c r="N644" s="1077" t="s">
        <v>945</v>
      </c>
      <c r="O644" s="1077">
        <v>1.925</v>
      </c>
      <c r="P644" s="1077">
        <v>1.54</v>
      </c>
      <c r="Q644" s="1077">
        <v>4.2</v>
      </c>
      <c r="R644" s="1077">
        <v>24</v>
      </c>
      <c r="T644" s="1077">
        <v>9</v>
      </c>
      <c r="U644" s="1077">
        <v>2.2000000000000002</v>
      </c>
      <c r="V644" s="1077" t="s">
        <v>648</v>
      </c>
      <c r="W644" s="1077">
        <v>110</v>
      </c>
      <c r="X644" s="1077" t="s">
        <v>1130</v>
      </c>
      <c r="Y644" s="1077">
        <v>2.1</v>
      </c>
      <c r="Z644" s="1077">
        <v>2.5</v>
      </c>
      <c r="AA644" s="1077" t="s">
        <v>1580</v>
      </c>
      <c r="AB644" s="1077" t="s">
        <v>981</v>
      </c>
      <c r="AH644" s="1077" t="s">
        <v>1186</v>
      </c>
      <c r="AI644" s="1077">
        <v>90.15</v>
      </c>
      <c r="AJ644" s="1077">
        <v>-1.23</v>
      </c>
      <c r="AK644" s="1077">
        <v>3.78</v>
      </c>
      <c r="AM644" s="1078" t="s">
        <v>10330</v>
      </c>
      <c r="AN644" s="1078" t="s">
        <v>10331</v>
      </c>
      <c r="AO644" s="1078">
        <f t="shared" si="78"/>
        <v>650</v>
      </c>
      <c r="AP644" s="1078">
        <f t="shared" si="79"/>
        <v>1.71</v>
      </c>
      <c r="AQ644" s="1078" t="str">
        <f t="shared" si="80"/>
        <v>1-4-1S83°</v>
      </c>
      <c r="AR644" s="1078" t="str">
        <f t="shared" si="81"/>
        <v>30</v>
      </c>
      <c r="AS644" s="1078" t="str">
        <f t="shared" si="82"/>
        <v>260/260/165</v>
      </c>
      <c r="AT644" s="1078" t="str">
        <f t="shared" si="83"/>
        <v>1-4-1S83°</v>
      </c>
      <c r="AV644" s="1078" t="str">
        <f t="shared" si="84"/>
        <v>112.6.1</v>
      </c>
      <c r="AW644" s="1344">
        <f t="shared" si="85"/>
        <v>45078</v>
      </c>
    </row>
    <row r="645" spans="1:49">
      <c r="A645" s="1077" t="s">
        <v>3568</v>
      </c>
      <c r="B645" s="1077" t="s">
        <v>3569</v>
      </c>
      <c r="C645" s="1077">
        <v>600</v>
      </c>
      <c r="D645" s="1077">
        <v>1.7</v>
      </c>
      <c r="E645" s="1077" t="s">
        <v>15088</v>
      </c>
      <c r="F645" s="1077" t="s">
        <v>648</v>
      </c>
      <c r="G645" s="1077" t="s">
        <v>1767</v>
      </c>
      <c r="H645" s="1077" t="s">
        <v>3570</v>
      </c>
      <c r="I645" s="1077" t="s">
        <v>126</v>
      </c>
      <c r="J645" s="1077">
        <v>0.8</v>
      </c>
      <c r="K645" s="1077" t="s">
        <v>3571</v>
      </c>
      <c r="L645" s="1077" t="s">
        <v>3572</v>
      </c>
      <c r="M645" s="1077">
        <v>78</v>
      </c>
      <c r="N645" s="1077" t="s">
        <v>945</v>
      </c>
      <c r="O645" s="1077">
        <v>1.9500000000000002</v>
      </c>
      <c r="P645" s="1077">
        <v>1.56</v>
      </c>
      <c r="Q645" s="1077">
        <v>4</v>
      </c>
      <c r="R645" s="1077">
        <v>20</v>
      </c>
      <c r="T645" s="1077">
        <v>9</v>
      </c>
      <c r="U645" s="1077">
        <v>3</v>
      </c>
      <c r="V645" s="1077" t="s">
        <v>648</v>
      </c>
      <c r="W645" s="1077">
        <v>100</v>
      </c>
      <c r="X645" s="1077">
        <v>80</v>
      </c>
      <c r="Y645" s="1077">
        <v>1.2</v>
      </c>
      <c r="Z645" s="1077">
        <v>2.5</v>
      </c>
      <c r="AA645" s="1077" t="s">
        <v>1580</v>
      </c>
      <c r="AH645" s="1077" t="s">
        <v>853</v>
      </c>
      <c r="AI645" s="1077">
        <v>91.5</v>
      </c>
      <c r="AJ645" s="1077">
        <v>-0.79</v>
      </c>
      <c r="AK645" s="1077">
        <v>0.77</v>
      </c>
      <c r="AM645" s="1078" t="s">
        <v>10332</v>
      </c>
      <c r="AN645" s="1078" t="s">
        <v>10333</v>
      </c>
      <c r="AO645" s="1078">
        <f t="shared" si="78"/>
        <v>600</v>
      </c>
      <c r="AP645" s="1078">
        <f t="shared" si="79"/>
        <v>1.7</v>
      </c>
      <c r="AQ645" s="1078" t="str">
        <f t="shared" si="80"/>
        <v>1-4-1S85°</v>
      </c>
      <c r="AR645" s="1078" t="str">
        <f t="shared" si="81"/>
        <v>NA</v>
      </c>
      <c r="AS645" s="1078" t="str">
        <f t="shared" si="82"/>
        <v>165/150</v>
      </c>
      <c r="AT645" s="1078" t="str">
        <f t="shared" si="83"/>
        <v>1-4-1S85°</v>
      </c>
      <c r="AV645" s="1078" t="str">
        <f t="shared" si="84"/>
        <v>112.6.1</v>
      </c>
      <c r="AW645" s="1344">
        <f t="shared" si="85"/>
        <v>45078</v>
      </c>
    </row>
    <row r="646" spans="1:49">
      <c r="A646" s="1077" t="s">
        <v>3573</v>
      </c>
      <c r="B646" s="1077" t="s">
        <v>752</v>
      </c>
      <c r="C646" s="1077">
        <v>600</v>
      </c>
      <c r="D646" s="1077">
        <v>1.67</v>
      </c>
      <c r="E646" s="1077" t="s">
        <v>15090</v>
      </c>
      <c r="F646" s="1077" t="s">
        <v>648</v>
      </c>
      <c r="G646" s="1077" t="s">
        <v>1001</v>
      </c>
      <c r="H646" s="1077" t="s">
        <v>2192</v>
      </c>
      <c r="I646" s="1077" t="s">
        <v>126</v>
      </c>
      <c r="J646" s="1077">
        <v>1</v>
      </c>
      <c r="K646" s="1077" t="s">
        <v>3574</v>
      </c>
      <c r="L646" s="1077" t="s">
        <v>1933</v>
      </c>
      <c r="M646" s="1077">
        <v>74.5</v>
      </c>
      <c r="N646" s="1077" t="s">
        <v>945</v>
      </c>
      <c r="O646" s="1077">
        <v>1.8625</v>
      </c>
      <c r="P646" s="1077">
        <v>1.49</v>
      </c>
      <c r="Q646" s="1077">
        <v>4</v>
      </c>
      <c r="R646" s="1077">
        <v>22.3</v>
      </c>
      <c r="T646" s="1077">
        <v>22</v>
      </c>
      <c r="U646" s="1077">
        <v>3.3</v>
      </c>
      <c r="V646" s="1077" t="s">
        <v>648</v>
      </c>
      <c r="W646" s="1077">
        <v>110</v>
      </c>
      <c r="X646" s="1077">
        <v>85</v>
      </c>
      <c r="Y646" s="1077">
        <v>2</v>
      </c>
      <c r="Z646" s="1077">
        <v>4.5</v>
      </c>
      <c r="AA646" s="1077" t="s">
        <v>1580</v>
      </c>
      <c r="AH646" s="1077" t="s">
        <v>812</v>
      </c>
      <c r="AI646" s="1077">
        <v>93.1</v>
      </c>
      <c r="AJ646" s="1077">
        <v>-0.3</v>
      </c>
      <c r="AK646" s="1077">
        <v>1.25</v>
      </c>
      <c r="AM646" s="1078" t="s">
        <v>10334</v>
      </c>
      <c r="AN646" s="1078" t="s">
        <v>10335</v>
      </c>
      <c r="AO646" s="1078">
        <f t="shared" si="78"/>
        <v>600</v>
      </c>
      <c r="AP646" s="1078">
        <f t="shared" si="79"/>
        <v>1.67</v>
      </c>
      <c r="AQ646" s="1078" t="str">
        <f t="shared" si="80"/>
        <v>1-5-1S85°</v>
      </c>
      <c r="AR646" s="1078" t="str">
        <f t="shared" si="81"/>
        <v>NA</v>
      </c>
      <c r="AS646" s="1078" t="str">
        <f t="shared" si="82"/>
        <v>180/OFF</v>
      </c>
      <c r="AT646" s="1078" t="str">
        <f t="shared" si="83"/>
        <v>1-5-1S85°</v>
      </c>
      <c r="AV646" s="1078" t="str">
        <f t="shared" si="84"/>
        <v>112.6.1</v>
      </c>
      <c r="AW646" s="1344">
        <f t="shared" si="85"/>
        <v>45078</v>
      </c>
    </row>
    <row r="647" spans="1:49">
      <c r="A647" s="1077" t="s">
        <v>3575</v>
      </c>
      <c r="B647" s="1077" t="s">
        <v>1947</v>
      </c>
      <c r="C647" s="1077">
        <v>600</v>
      </c>
      <c r="D647" s="1077">
        <v>1.74</v>
      </c>
      <c r="E647" s="1077" t="s">
        <v>15089</v>
      </c>
      <c r="F647" s="1077" t="s">
        <v>2234</v>
      </c>
      <c r="G647" s="1077" t="s">
        <v>1001</v>
      </c>
      <c r="H647" s="1077" t="s">
        <v>2235</v>
      </c>
      <c r="I647" s="1077" t="s">
        <v>626</v>
      </c>
      <c r="J647" s="1077">
        <v>0.7</v>
      </c>
      <c r="K647" s="1077" t="s">
        <v>3576</v>
      </c>
      <c r="L647" s="1077" t="s">
        <v>1950</v>
      </c>
      <c r="M647" s="1077">
        <v>77</v>
      </c>
      <c r="N647" s="1077" t="s">
        <v>945</v>
      </c>
      <c r="O647" s="1077">
        <v>1.925</v>
      </c>
      <c r="P647" s="1077">
        <v>1.54</v>
      </c>
      <c r="Q647" s="1077">
        <v>3</v>
      </c>
      <c r="R647" s="1077">
        <v>24</v>
      </c>
      <c r="T647" s="1077">
        <v>29</v>
      </c>
      <c r="U647" s="1077">
        <v>2.9</v>
      </c>
      <c r="V647" s="1077" t="s">
        <v>648</v>
      </c>
      <c r="W647" s="1077">
        <v>30</v>
      </c>
      <c r="X647" s="1077">
        <v>10</v>
      </c>
      <c r="Y647" s="1077">
        <v>1.5</v>
      </c>
      <c r="Z647" s="1077">
        <v>5.5</v>
      </c>
      <c r="AA647" s="1077" t="s">
        <v>3577</v>
      </c>
      <c r="AH647" s="1077" t="s">
        <v>1482</v>
      </c>
      <c r="AI647" s="1077">
        <v>71.39</v>
      </c>
      <c r="AJ647" s="1077">
        <v>6.39</v>
      </c>
      <c r="AK647" s="1077">
        <v>1.43</v>
      </c>
      <c r="AM647" s="1078" t="s">
        <v>10336</v>
      </c>
      <c r="AN647" s="1078" t="s">
        <v>10337</v>
      </c>
      <c r="AO647" s="1078">
        <f t="shared" si="78"/>
        <v>600</v>
      </c>
      <c r="AP647" s="1078">
        <f t="shared" si="79"/>
        <v>1.74</v>
      </c>
      <c r="AQ647" s="1078" t="str">
        <f t="shared" si="80"/>
        <v>1-4-1S83°</v>
      </c>
      <c r="AR647" s="1078" t="str">
        <f t="shared" si="81"/>
        <v>33.5</v>
      </c>
      <c r="AS647" s="1078" t="str">
        <f t="shared" si="82"/>
        <v>290/290/130</v>
      </c>
      <c r="AT647" s="1078" t="str">
        <f t="shared" si="83"/>
        <v>1-4-1S83°</v>
      </c>
      <c r="AV647" s="1078" t="str">
        <f t="shared" si="84"/>
        <v>112.6.12</v>
      </c>
      <c r="AW647" s="1344">
        <f t="shared" si="85"/>
        <v>45089</v>
      </c>
    </row>
    <row r="648" spans="1:49">
      <c r="A648" s="1077" t="s">
        <v>3578</v>
      </c>
      <c r="B648" s="1077" t="s">
        <v>620</v>
      </c>
      <c r="C648" s="1077">
        <v>500</v>
      </c>
      <c r="D648" s="1077">
        <v>1.7</v>
      </c>
      <c r="E648" s="1077" t="s">
        <v>15091</v>
      </c>
      <c r="F648" s="1077" t="s">
        <v>975</v>
      </c>
      <c r="G648" s="1077" t="s">
        <v>940</v>
      </c>
      <c r="H648" s="1077" t="s">
        <v>1484</v>
      </c>
      <c r="I648" s="1077" t="s">
        <v>1112</v>
      </c>
      <c r="J648" s="1077">
        <v>1.1000000000000001</v>
      </c>
      <c r="K648" s="1077" t="s">
        <v>3579</v>
      </c>
      <c r="L648" s="1077" t="s">
        <v>2032</v>
      </c>
      <c r="M648" s="1077">
        <v>76.7</v>
      </c>
      <c r="N648" s="1077" t="s">
        <v>945</v>
      </c>
      <c r="O648" s="1077">
        <v>1.9175000000000002</v>
      </c>
      <c r="P648" s="1077">
        <v>1.534</v>
      </c>
      <c r="Q648" s="1077">
        <v>4</v>
      </c>
      <c r="R648" s="1077">
        <v>23.5</v>
      </c>
      <c r="T648" s="1077">
        <v>20.7</v>
      </c>
      <c r="U648" s="1077">
        <v>4</v>
      </c>
      <c r="V648" s="1077" t="s">
        <v>648</v>
      </c>
      <c r="W648" s="1077">
        <v>120</v>
      </c>
      <c r="X648" s="1077">
        <v>80</v>
      </c>
      <c r="Y648" s="1077">
        <v>1</v>
      </c>
      <c r="Z648" s="1077">
        <v>5</v>
      </c>
      <c r="AA648" s="1077" t="s">
        <v>3580</v>
      </c>
      <c r="AH648" s="1077" t="s">
        <v>1417</v>
      </c>
      <c r="AI648" s="1077">
        <v>92.43</v>
      </c>
      <c r="AJ648" s="1077">
        <v>-0.28000000000000003</v>
      </c>
      <c r="AK648" s="1077">
        <v>1.59</v>
      </c>
      <c r="AM648" s="1078" t="s">
        <v>10338</v>
      </c>
      <c r="AN648" s="1078" t="s">
        <v>10339</v>
      </c>
      <c r="AO648" s="1078">
        <f t="shared" si="78"/>
        <v>500</v>
      </c>
      <c r="AP648" s="1078">
        <f t="shared" si="79"/>
        <v>1.7</v>
      </c>
      <c r="AQ648" s="1078" t="str">
        <f t="shared" si="80"/>
        <v>2-5-1S83°</v>
      </c>
      <c r="AR648" s="1078" t="str">
        <f t="shared" si="81"/>
        <v>31.5</v>
      </c>
      <c r="AS648" s="1078" t="str">
        <f t="shared" si="82"/>
        <v>165/OFF</v>
      </c>
      <c r="AT648" s="1078" t="str">
        <f t="shared" si="83"/>
        <v>2-5-1S83°</v>
      </c>
      <c r="AV648" s="1078" t="str">
        <f t="shared" si="84"/>
        <v>112.6.26</v>
      </c>
      <c r="AW648" s="1344">
        <f t="shared" si="85"/>
        <v>45103</v>
      </c>
    </row>
    <row r="649" spans="1:49">
      <c r="A649" s="1077" t="s">
        <v>3581</v>
      </c>
      <c r="B649" s="1077" t="s">
        <v>620</v>
      </c>
      <c r="C649" s="1077">
        <v>500</v>
      </c>
      <c r="D649" s="1077">
        <v>1.7070000000000001</v>
      </c>
      <c r="E649" s="1077" t="s">
        <v>15091</v>
      </c>
      <c r="F649" s="1077" t="s">
        <v>984</v>
      </c>
      <c r="G649" s="1077" t="s">
        <v>940</v>
      </c>
      <c r="H649" s="1077" t="s">
        <v>3300</v>
      </c>
      <c r="I649" s="1077" t="s">
        <v>626</v>
      </c>
      <c r="J649" s="1077">
        <v>1.2</v>
      </c>
      <c r="K649" s="1077" t="s">
        <v>3579</v>
      </c>
      <c r="L649" s="1077" t="s">
        <v>2032</v>
      </c>
      <c r="M649" s="1077">
        <v>77</v>
      </c>
      <c r="N649" s="1077" t="s">
        <v>945</v>
      </c>
      <c r="O649" s="1077">
        <v>1.925</v>
      </c>
      <c r="P649" s="1077">
        <v>1.54</v>
      </c>
      <c r="Q649" s="1077">
        <v>4</v>
      </c>
      <c r="R649" s="1077">
        <v>22</v>
      </c>
      <c r="T649" s="1077">
        <v>9</v>
      </c>
      <c r="U649" s="1077">
        <v>3.5</v>
      </c>
      <c r="V649" s="1077" t="s">
        <v>648</v>
      </c>
      <c r="W649" s="1077">
        <v>140</v>
      </c>
      <c r="X649" s="1077">
        <v>80</v>
      </c>
      <c r="Y649" s="1077">
        <v>2.1</v>
      </c>
      <c r="Z649" s="1077">
        <v>2.5</v>
      </c>
      <c r="AA649" s="1077" t="s">
        <v>3582</v>
      </c>
      <c r="AH649" s="1077" t="s">
        <v>712</v>
      </c>
      <c r="AI649" s="1077">
        <v>91</v>
      </c>
      <c r="AJ649" s="1077">
        <v>-0.43</v>
      </c>
      <c r="AK649" s="1077">
        <v>1.99</v>
      </c>
      <c r="AM649" s="1078" t="s">
        <v>10340</v>
      </c>
      <c r="AN649" s="1078" t="s">
        <v>10341</v>
      </c>
      <c r="AO649" s="1078">
        <f t="shared" si="78"/>
        <v>500</v>
      </c>
      <c r="AP649" s="1078">
        <f t="shared" si="79"/>
        <v>1.7070000000000001</v>
      </c>
      <c r="AQ649" s="1078" t="str">
        <f t="shared" si="80"/>
        <v>2-5-1S83°</v>
      </c>
      <c r="AR649" s="1078" t="str">
        <f t="shared" si="81"/>
        <v>30</v>
      </c>
      <c r="AS649" s="1078" t="str">
        <f t="shared" si="82"/>
        <v>158/160</v>
      </c>
      <c r="AT649" s="1078" t="str">
        <f t="shared" si="83"/>
        <v>2-5-1S83°</v>
      </c>
      <c r="AV649" s="1078" t="str">
        <f t="shared" si="84"/>
        <v>112.6.5</v>
      </c>
      <c r="AW649" s="1344">
        <f t="shared" si="85"/>
        <v>45082</v>
      </c>
    </row>
    <row r="650" spans="1:49">
      <c r="A650" s="1077" t="s">
        <v>3583</v>
      </c>
      <c r="B650" s="1077" t="s">
        <v>2116</v>
      </c>
      <c r="C650" s="1077">
        <v>600</v>
      </c>
      <c r="D650" s="1077">
        <v>1.72</v>
      </c>
      <c r="E650" s="1077" t="s">
        <v>15091</v>
      </c>
      <c r="F650" s="1077" t="s">
        <v>984</v>
      </c>
      <c r="G650" s="1077" t="s">
        <v>1767</v>
      </c>
      <c r="H650" s="1077" t="s">
        <v>1952</v>
      </c>
      <c r="I650" s="1077" t="s">
        <v>1167</v>
      </c>
      <c r="J650" s="1077">
        <v>1</v>
      </c>
      <c r="K650" s="1077" t="s">
        <v>3584</v>
      </c>
      <c r="L650" s="1077" t="s">
        <v>2104</v>
      </c>
      <c r="M650" s="1077">
        <v>74.8</v>
      </c>
      <c r="N650" s="1077" t="s">
        <v>945</v>
      </c>
      <c r="O650" s="1077">
        <v>1.87</v>
      </c>
      <c r="P650" s="1077">
        <v>1.496</v>
      </c>
      <c r="Q650" s="1077">
        <v>4</v>
      </c>
      <c r="R650" s="1077">
        <v>20</v>
      </c>
      <c r="T650" s="1077">
        <v>18.600000000000001</v>
      </c>
      <c r="U650" s="1077">
        <v>3.5</v>
      </c>
      <c r="V650" s="1077" t="s">
        <v>648</v>
      </c>
      <c r="W650" s="1077">
        <v>105</v>
      </c>
      <c r="X650" s="1077">
        <v>80</v>
      </c>
      <c r="Y650" s="1077">
        <v>2</v>
      </c>
      <c r="Z650" s="1077">
        <v>4.5</v>
      </c>
      <c r="AA650" s="1077" t="s">
        <v>3585</v>
      </c>
      <c r="AH650" s="1077" t="s">
        <v>646</v>
      </c>
      <c r="AI650" s="1077">
        <v>93.6</v>
      </c>
      <c r="AJ650" s="1077">
        <v>-0.56000000000000005</v>
      </c>
      <c r="AK650" s="1077">
        <v>3.53</v>
      </c>
      <c r="AM650" s="1078" t="s">
        <v>10342</v>
      </c>
      <c r="AN650" s="1078" t="s">
        <v>10343</v>
      </c>
      <c r="AO650" s="1078">
        <f t="shared" si="78"/>
        <v>600</v>
      </c>
      <c r="AP650" s="1078">
        <f t="shared" si="79"/>
        <v>1.72</v>
      </c>
      <c r="AQ650" s="1078" t="str">
        <f t="shared" si="80"/>
        <v>2-5-1S83°</v>
      </c>
      <c r="AR650" s="1078" t="str">
        <f t="shared" si="81"/>
        <v>30</v>
      </c>
      <c r="AS650" s="1078" t="str">
        <f t="shared" si="82"/>
        <v>166/OFF</v>
      </c>
      <c r="AT650" s="1078" t="str">
        <f t="shared" si="83"/>
        <v>2-5-1S83°</v>
      </c>
      <c r="AV650" s="1078" t="str">
        <f t="shared" si="84"/>
        <v>112.6.6</v>
      </c>
      <c r="AW650" s="1344">
        <f t="shared" si="85"/>
        <v>45083</v>
      </c>
    </row>
    <row r="651" spans="1:49">
      <c r="A651" s="1077" t="s">
        <v>3586</v>
      </c>
      <c r="B651" s="1077" t="s">
        <v>1842</v>
      </c>
      <c r="C651" s="1077">
        <v>500</v>
      </c>
      <c r="D651" s="1077">
        <v>1.7</v>
      </c>
      <c r="E651" s="1077" t="s">
        <v>15095</v>
      </c>
      <c r="F651" s="1077" t="s">
        <v>984</v>
      </c>
      <c r="G651" s="1077" t="s">
        <v>1016</v>
      </c>
      <c r="H651" s="1077" t="s">
        <v>1290</v>
      </c>
      <c r="I651" s="1077" t="s">
        <v>126</v>
      </c>
      <c r="J651" s="1077">
        <v>0.8</v>
      </c>
      <c r="K651" s="1077" t="s">
        <v>3587</v>
      </c>
      <c r="L651" s="1077" t="s">
        <v>1844</v>
      </c>
      <c r="M651" s="1077">
        <v>77.099999999999994</v>
      </c>
      <c r="N651" s="1077" t="s">
        <v>945</v>
      </c>
      <c r="O651" s="1077">
        <v>1.9275</v>
      </c>
      <c r="P651" s="1077">
        <v>1.5419999999999998</v>
      </c>
      <c r="Q651" s="1077">
        <v>4</v>
      </c>
      <c r="R651" s="1077">
        <v>23</v>
      </c>
      <c r="T651" s="1077">
        <v>18</v>
      </c>
      <c r="U651" s="1077">
        <v>4</v>
      </c>
      <c r="V651" s="1077" t="s">
        <v>648</v>
      </c>
      <c r="W651" s="1077">
        <v>110</v>
      </c>
      <c r="X651" s="1077">
        <v>70</v>
      </c>
      <c r="Y651" s="1077">
        <v>1.8</v>
      </c>
      <c r="Z651" s="1077">
        <v>4.5</v>
      </c>
      <c r="AA651" s="1077" t="s">
        <v>3588</v>
      </c>
      <c r="AH651" s="1077" t="s">
        <v>647</v>
      </c>
      <c r="AI651" s="1077">
        <v>94.24</v>
      </c>
      <c r="AJ651" s="1077">
        <v>-0.25</v>
      </c>
      <c r="AK651" s="1077">
        <v>0.84</v>
      </c>
      <c r="AM651" s="1078" t="s">
        <v>10344</v>
      </c>
      <c r="AN651" s="1078" t="s">
        <v>10345</v>
      </c>
      <c r="AO651" s="1078">
        <f t="shared" ref="AO651:AO714" si="86">C651</f>
        <v>500</v>
      </c>
      <c r="AP651" s="1078">
        <f t="shared" ref="AP651:AP714" si="87">D651</f>
        <v>1.7</v>
      </c>
      <c r="AQ651" s="1078" t="str">
        <f t="shared" ref="AQ651:AQ714" si="88">E651</f>
        <v>1-5-1S83°</v>
      </c>
      <c r="AR651" s="1078" t="str">
        <f t="shared" ref="AR651:AR714" si="89">F651</f>
        <v>30</v>
      </c>
      <c r="AS651" s="1078" t="str">
        <f t="shared" ref="AS651:AS714" si="90">H651</f>
        <v>220/220/OFF</v>
      </c>
      <c r="AT651" s="1078" t="str">
        <f t="shared" ref="AT651:AT714" si="91">E651</f>
        <v>1-5-1S83°</v>
      </c>
      <c r="AV651" s="1078" t="str">
        <f t="shared" si="84"/>
        <v>112.6.7</v>
      </c>
      <c r="AW651" s="1344">
        <f t="shared" si="85"/>
        <v>45084</v>
      </c>
    </row>
    <row r="652" spans="1:49">
      <c r="A652" s="1077" t="s">
        <v>3589</v>
      </c>
      <c r="B652" s="1077" t="s">
        <v>1858</v>
      </c>
      <c r="C652" s="1077">
        <v>620</v>
      </c>
      <c r="D652" s="1077">
        <v>1.69</v>
      </c>
      <c r="E652" s="1077" t="s">
        <v>15089</v>
      </c>
      <c r="F652" s="1077" t="s">
        <v>975</v>
      </c>
      <c r="G652" s="1077" t="s">
        <v>1867</v>
      </c>
      <c r="H652" s="1077" t="s">
        <v>1226</v>
      </c>
      <c r="I652" s="1077" t="s">
        <v>126</v>
      </c>
      <c r="J652" s="1077">
        <v>0.8</v>
      </c>
      <c r="K652" s="1077" t="s">
        <v>3590</v>
      </c>
      <c r="L652" s="1077" t="s">
        <v>1860</v>
      </c>
      <c r="M652" s="1077">
        <v>74</v>
      </c>
      <c r="N652" s="1077" t="s">
        <v>945</v>
      </c>
      <c r="O652" s="1077">
        <v>1.85</v>
      </c>
      <c r="P652" s="1077">
        <v>1.48</v>
      </c>
      <c r="Q652" s="1077">
        <v>3</v>
      </c>
      <c r="R652" s="1077">
        <v>26</v>
      </c>
      <c r="T652" s="1077">
        <v>13.8</v>
      </c>
      <c r="U652" s="1077">
        <v>5.0999999999999996</v>
      </c>
      <c r="V652" s="1077" t="s">
        <v>648</v>
      </c>
      <c r="W652" s="1077">
        <v>100</v>
      </c>
      <c r="X652" s="1077">
        <v>60</v>
      </c>
      <c r="Y652" s="1077">
        <v>1.8</v>
      </c>
      <c r="Z652" s="1077">
        <v>4</v>
      </c>
      <c r="AA652" s="1077" t="s">
        <v>3591</v>
      </c>
      <c r="AB652" s="1077" t="s">
        <v>3592</v>
      </c>
      <c r="AH652" s="1077" t="s">
        <v>966</v>
      </c>
      <c r="AI652" s="1077">
        <v>93.65</v>
      </c>
      <c r="AJ652" s="1077">
        <v>-1.36</v>
      </c>
      <c r="AK652" s="1077">
        <v>3.47</v>
      </c>
      <c r="AM652" s="1078" t="s">
        <v>10346</v>
      </c>
      <c r="AN652" s="1078" t="s">
        <v>10347</v>
      </c>
      <c r="AO652" s="1078">
        <f t="shared" si="86"/>
        <v>620</v>
      </c>
      <c r="AP652" s="1078">
        <f t="shared" si="87"/>
        <v>1.69</v>
      </c>
      <c r="AQ652" s="1078" t="str">
        <f t="shared" si="88"/>
        <v>1-4-1S83°</v>
      </c>
      <c r="AR652" s="1078" t="str">
        <f t="shared" si="89"/>
        <v>31.5</v>
      </c>
      <c r="AS652" s="1078" t="str">
        <f t="shared" si="90"/>
        <v>230/230/OFF</v>
      </c>
      <c r="AT652" s="1078" t="str">
        <f t="shared" si="91"/>
        <v>1-4-1S83°</v>
      </c>
      <c r="AV652" s="1078" t="str">
        <f t="shared" si="84"/>
        <v>112.6.9</v>
      </c>
      <c r="AW652" s="1344">
        <f t="shared" si="85"/>
        <v>45086</v>
      </c>
    </row>
    <row r="653" spans="1:49">
      <c r="A653" s="1077" t="s">
        <v>3593</v>
      </c>
      <c r="B653" s="1077" t="s">
        <v>453</v>
      </c>
      <c r="C653" s="1077" t="s">
        <v>3594</v>
      </c>
      <c r="D653" s="1077">
        <v>1.7</v>
      </c>
      <c r="E653" s="1077" t="s">
        <v>15088</v>
      </c>
      <c r="F653" s="1077" t="s">
        <v>648</v>
      </c>
      <c r="G653" s="1077" t="s">
        <v>1767</v>
      </c>
      <c r="H653" s="1077" t="s">
        <v>1671</v>
      </c>
      <c r="I653" s="1077" t="s">
        <v>126</v>
      </c>
      <c r="J653" s="1077">
        <v>0.9</v>
      </c>
      <c r="K653" s="1077" t="s">
        <v>3595</v>
      </c>
      <c r="L653" s="1077" t="s">
        <v>1776</v>
      </c>
      <c r="M653" s="1077">
        <v>74.8</v>
      </c>
      <c r="N653" s="1077" t="s">
        <v>945</v>
      </c>
      <c r="O653" s="1077">
        <v>1.87</v>
      </c>
      <c r="P653" s="1077">
        <v>1.496</v>
      </c>
      <c r="Q653" s="1077">
        <v>4</v>
      </c>
      <c r="R653" s="1077">
        <v>23</v>
      </c>
      <c r="T653" s="1077">
        <v>18.600000000000001</v>
      </c>
      <c r="U653" s="1077">
        <v>3.5</v>
      </c>
      <c r="V653" s="1077" t="s">
        <v>648</v>
      </c>
      <c r="W653" s="1077">
        <v>105</v>
      </c>
      <c r="X653" s="1077">
        <v>80</v>
      </c>
      <c r="Y653" s="1077">
        <v>2</v>
      </c>
      <c r="Z653" s="1077">
        <v>4.5</v>
      </c>
      <c r="AA653" s="1077" t="s">
        <v>3591</v>
      </c>
      <c r="AB653" s="1077" t="s">
        <v>3596</v>
      </c>
      <c r="AH653" s="1077" t="s">
        <v>726</v>
      </c>
      <c r="AI653" s="1077">
        <v>94.84</v>
      </c>
      <c r="AJ653" s="1077">
        <v>-0.05</v>
      </c>
      <c r="AK653" s="1077">
        <v>0.49</v>
      </c>
      <c r="AM653" s="1078" t="s">
        <v>10348</v>
      </c>
      <c r="AN653" s="1078" t="s">
        <v>10349</v>
      </c>
      <c r="AO653" s="1078" t="str">
        <f t="shared" si="86"/>
        <v>650↓600-6/14</v>
      </c>
      <c r="AP653" s="1078">
        <f t="shared" si="87"/>
        <v>1.7</v>
      </c>
      <c r="AQ653" s="1078" t="str">
        <f t="shared" si="88"/>
        <v>1-4-1S85°</v>
      </c>
      <c r="AR653" s="1078" t="str">
        <f t="shared" si="89"/>
        <v>NA</v>
      </c>
      <c r="AS653" s="1078" t="str">
        <f t="shared" si="90"/>
        <v>172/OFF</v>
      </c>
      <c r="AT653" s="1078" t="str">
        <f t="shared" si="91"/>
        <v>1-4-1S85°</v>
      </c>
      <c r="AV653" s="1078" t="str">
        <f t="shared" si="84"/>
        <v>112.6.9</v>
      </c>
      <c r="AW653" s="1344">
        <f t="shared" si="85"/>
        <v>45086</v>
      </c>
    </row>
    <row r="654" spans="1:49">
      <c r="A654" s="1077" t="s">
        <v>3597</v>
      </c>
      <c r="B654" s="1077" t="s">
        <v>2102</v>
      </c>
      <c r="C654" s="1077">
        <v>600</v>
      </c>
      <c r="D654" s="1077">
        <v>1.71</v>
      </c>
      <c r="E654" s="1077" t="s">
        <v>15091</v>
      </c>
      <c r="F654" s="1077" t="s">
        <v>984</v>
      </c>
      <c r="G654" s="1077" t="s">
        <v>1767</v>
      </c>
      <c r="H654" s="1077" t="s">
        <v>1484</v>
      </c>
      <c r="I654" s="1077" t="s">
        <v>1167</v>
      </c>
      <c r="J654" s="1077">
        <v>1</v>
      </c>
      <c r="K654" s="1077" t="s">
        <v>3437</v>
      </c>
      <c r="L654" s="1077" t="s">
        <v>2104</v>
      </c>
      <c r="M654" s="1077">
        <v>75</v>
      </c>
      <c r="N654" s="1077" t="s">
        <v>945</v>
      </c>
      <c r="O654" s="1077">
        <v>1.875</v>
      </c>
      <c r="P654" s="1077">
        <v>1.5</v>
      </c>
      <c r="Q654" s="1077">
        <v>4</v>
      </c>
      <c r="R654" s="1077">
        <v>23.3</v>
      </c>
      <c r="T654" s="1077">
        <v>20.5</v>
      </c>
      <c r="U654" s="1077">
        <v>3.7</v>
      </c>
      <c r="V654" s="1077" t="s">
        <v>648</v>
      </c>
      <c r="W654" s="1077">
        <v>105</v>
      </c>
      <c r="X654" s="1077">
        <v>85</v>
      </c>
      <c r="Y654" s="1077">
        <v>1.9</v>
      </c>
      <c r="Z654" s="1077">
        <v>4.5</v>
      </c>
      <c r="AA654" s="1077" t="s">
        <v>3598</v>
      </c>
      <c r="AH654" s="1077" t="s">
        <v>1053</v>
      </c>
      <c r="AI654" s="1077">
        <v>93.66</v>
      </c>
      <c r="AJ654" s="1077">
        <v>-0.08</v>
      </c>
      <c r="AK654" s="1077">
        <v>3.51</v>
      </c>
      <c r="AM654" s="1078" t="s">
        <v>10350</v>
      </c>
      <c r="AN654" s="1078" t="s">
        <v>10351</v>
      </c>
      <c r="AO654" s="1078">
        <f t="shared" si="86"/>
        <v>600</v>
      </c>
      <c r="AP654" s="1078">
        <f t="shared" si="87"/>
        <v>1.71</v>
      </c>
      <c r="AQ654" s="1078" t="str">
        <f t="shared" si="88"/>
        <v>2-5-1S83°</v>
      </c>
      <c r="AR654" s="1078" t="str">
        <f t="shared" si="89"/>
        <v>30</v>
      </c>
      <c r="AS654" s="1078" t="str">
        <f t="shared" si="90"/>
        <v>165/OFF</v>
      </c>
      <c r="AT654" s="1078" t="str">
        <f t="shared" si="91"/>
        <v>2-5-1S83°</v>
      </c>
      <c r="AV654" s="1078" t="str">
        <f t="shared" si="84"/>
        <v>112.6.14</v>
      </c>
      <c r="AW654" s="1344">
        <f t="shared" si="85"/>
        <v>45091</v>
      </c>
    </row>
    <row r="655" spans="1:49">
      <c r="A655" s="1077" t="s">
        <v>3599</v>
      </c>
      <c r="B655" s="1077" t="s">
        <v>453</v>
      </c>
      <c r="C655" s="1077">
        <v>650</v>
      </c>
      <c r="D655" s="1077">
        <v>1.71</v>
      </c>
      <c r="E655" s="1077" t="s">
        <v>15089</v>
      </c>
      <c r="F655" s="1077" t="s">
        <v>984</v>
      </c>
      <c r="G655" s="1077" t="s">
        <v>1767</v>
      </c>
      <c r="H655" s="1077" t="s">
        <v>1831</v>
      </c>
      <c r="I655" s="1077" t="s">
        <v>126</v>
      </c>
      <c r="J655" s="1077">
        <v>1.1000000000000001</v>
      </c>
      <c r="K655" s="1077" t="s">
        <v>3600</v>
      </c>
      <c r="L655" s="1077" t="s">
        <v>1776</v>
      </c>
      <c r="M655" s="1077">
        <v>77</v>
      </c>
      <c r="N655" s="1077" t="s">
        <v>945</v>
      </c>
      <c r="O655" s="1077">
        <v>1.925</v>
      </c>
      <c r="P655" s="1077">
        <v>1.54</v>
      </c>
      <c r="Q655" s="1077">
        <v>4.2</v>
      </c>
      <c r="R655" s="1077">
        <v>24</v>
      </c>
      <c r="T655" s="1077">
        <v>9</v>
      </c>
      <c r="U655" s="1077">
        <v>2.2000000000000002</v>
      </c>
      <c r="V655" s="1077" t="s">
        <v>648</v>
      </c>
      <c r="W655" s="1077">
        <v>110</v>
      </c>
      <c r="X655" s="1077" t="s">
        <v>1130</v>
      </c>
      <c r="Y655" s="1077">
        <v>2.1</v>
      </c>
      <c r="Z655" s="1077">
        <v>2.5</v>
      </c>
      <c r="AA655" s="1077" t="s">
        <v>1591</v>
      </c>
      <c r="AB655" s="1077" t="s">
        <v>981</v>
      </c>
      <c r="AH655" s="1077" t="s">
        <v>3601</v>
      </c>
      <c r="AI655" s="1077">
        <v>92.26</v>
      </c>
      <c r="AJ655" s="1077">
        <v>-0.18</v>
      </c>
      <c r="AK655" s="1077">
        <v>0.35</v>
      </c>
      <c r="AM655" s="1078" t="s">
        <v>10352</v>
      </c>
      <c r="AN655" s="1078" t="s">
        <v>10353</v>
      </c>
      <c r="AO655" s="1078">
        <f t="shared" si="86"/>
        <v>650</v>
      </c>
      <c r="AP655" s="1078">
        <f t="shared" si="87"/>
        <v>1.71</v>
      </c>
      <c r="AQ655" s="1078" t="str">
        <f t="shared" si="88"/>
        <v>1-4-1S83°</v>
      </c>
      <c r="AR655" s="1078" t="str">
        <f t="shared" si="89"/>
        <v>30</v>
      </c>
      <c r="AS655" s="1078" t="str">
        <f t="shared" si="90"/>
        <v>260/260/165</v>
      </c>
      <c r="AT655" s="1078" t="str">
        <f t="shared" si="91"/>
        <v>1-4-1S83°</v>
      </c>
      <c r="AV655" s="1078" t="str">
        <f t="shared" si="84"/>
        <v>112.6.16</v>
      </c>
      <c r="AW655" s="1344">
        <f t="shared" si="85"/>
        <v>45093</v>
      </c>
    </row>
    <row r="656" spans="1:49">
      <c r="A656" s="1077" t="s">
        <v>3602</v>
      </c>
      <c r="B656" s="1077" t="s">
        <v>424</v>
      </c>
      <c r="C656" s="1077">
        <v>600</v>
      </c>
      <c r="D656" s="1077">
        <v>1.76</v>
      </c>
      <c r="E656" s="1077" t="s">
        <v>15091</v>
      </c>
      <c r="F656" s="1077" t="s">
        <v>984</v>
      </c>
      <c r="G656" s="1077" t="s">
        <v>1767</v>
      </c>
      <c r="H656" s="1077" t="s">
        <v>2326</v>
      </c>
      <c r="I656" s="1077" t="s">
        <v>1112</v>
      </c>
      <c r="J656" s="1077">
        <v>1.5</v>
      </c>
      <c r="K656" s="1077" t="s">
        <v>3488</v>
      </c>
      <c r="L656" s="1077" t="s">
        <v>1938</v>
      </c>
      <c r="M656" s="1077">
        <v>74.599999999999994</v>
      </c>
      <c r="N656" s="1077" t="s">
        <v>945</v>
      </c>
      <c r="O656" s="1077">
        <v>1.865</v>
      </c>
      <c r="P656" s="1077">
        <v>1.492</v>
      </c>
      <c r="Q656" s="1077">
        <v>4</v>
      </c>
      <c r="R656" s="1077">
        <v>22</v>
      </c>
      <c r="T656" s="1077">
        <v>32</v>
      </c>
      <c r="U656" s="1077">
        <v>3.4</v>
      </c>
      <c r="V656" s="1077" t="s">
        <v>648</v>
      </c>
      <c r="W656" s="1077">
        <v>110</v>
      </c>
      <c r="X656" s="1077">
        <v>60</v>
      </c>
      <c r="Y656" s="1077">
        <v>2</v>
      </c>
      <c r="Z656" s="1077">
        <v>6</v>
      </c>
      <c r="AA656" s="1077" t="s">
        <v>3580</v>
      </c>
      <c r="AH656" s="1077" t="s">
        <v>842</v>
      </c>
      <c r="AI656" s="1077">
        <v>91.68</v>
      </c>
      <c r="AJ656" s="1077">
        <v>-0.11</v>
      </c>
      <c r="AK656" s="1077">
        <v>0.18</v>
      </c>
      <c r="AM656" s="1078" t="s">
        <v>10354</v>
      </c>
      <c r="AN656" s="1078" t="s">
        <v>10355</v>
      </c>
      <c r="AO656" s="1078">
        <f t="shared" si="86"/>
        <v>600</v>
      </c>
      <c r="AP656" s="1078">
        <f t="shared" si="87"/>
        <v>1.76</v>
      </c>
      <c r="AQ656" s="1078" t="str">
        <f t="shared" si="88"/>
        <v>2-5-1S83°</v>
      </c>
      <c r="AR656" s="1078" t="str">
        <f t="shared" si="89"/>
        <v>30</v>
      </c>
      <c r="AS656" s="1078" t="str">
        <f t="shared" si="90"/>
        <v>173/OFF</v>
      </c>
      <c r="AT656" s="1078" t="str">
        <f t="shared" si="91"/>
        <v>2-5-1S83°</v>
      </c>
      <c r="AV656" s="1078" t="str">
        <f t="shared" si="84"/>
        <v>112.6.26</v>
      </c>
      <c r="AW656" s="1344">
        <f t="shared" si="85"/>
        <v>45103</v>
      </c>
    </row>
    <row r="657" spans="1:49">
      <c r="A657" s="1077" t="s">
        <v>3603</v>
      </c>
      <c r="B657" s="1077" t="s">
        <v>1815</v>
      </c>
      <c r="C657" s="1077">
        <v>650</v>
      </c>
      <c r="D657" s="1077">
        <v>1.7350000000000001</v>
      </c>
      <c r="E657" s="1077" t="s">
        <v>15098</v>
      </c>
      <c r="F657" s="1077" t="s">
        <v>954</v>
      </c>
      <c r="G657" s="1077" t="s">
        <v>1767</v>
      </c>
      <c r="H657" s="1077" t="s">
        <v>1793</v>
      </c>
      <c r="I657" s="1077" t="s">
        <v>126</v>
      </c>
      <c r="J657" s="1077">
        <v>0.9</v>
      </c>
      <c r="K657" s="1077" t="s">
        <v>3604</v>
      </c>
      <c r="L657" s="1077" t="s">
        <v>1817</v>
      </c>
      <c r="M657" s="1077">
        <v>75.099999999999994</v>
      </c>
      <c r="N657" s="1077" t="s">
        <v>945</v>
      </c>
      <c r="O657" s="1077">
        <v>1.8774999999999999</v>
      </c>
      <c r="P657" s="1077">
        <v>1.502</v>
      </c>
      <c r="Q657" s="1077">
        <v>4</v>
      </c>
      <c r="R657" s="1077">
        <v>19</v>
      </c>
      <c r="T657" s="1077">
        <v>21</v>
      </c>
      <c r="U657" s="1077">
        <v>3.5</v>
      </c>
      <c r="V657" s="1077" t="s">
        <v>648</v>
      </c>
      <c r="W657" s="1077">
        <v>110</v>
      </c>
      <c r="X657" s="1077" t="s">
        <v>2650</v>
      </c>
      <c r="Y657" s="1077">
        <v>1.6</v>
      </c>
      <c r="Z657" s="1077">
        <v>4</v>
      </c>
      <c r="AA657" s="1077" t="s">
        <v>3605</v>
      </c>
      <c r="AB657" s="1077" t="s">
        <v>981</v>
      </c>
      <c r="AH657" s="1077" t="s">
        <v>1143</v>
      </c>
      <c r="AI657" s="1077">
        <v>95.09</v>
      </c>
      <c r="AJ657" s="1077">
        <v>-0.51</v>
      </c>
      <c r="AK657" s="1077">
        <v>2.09</v>
      </c>
      <c r="AM657" s="1078" t="s">
        <v>10356</v>
      </c>
      <c r="AN657" s="1078" t="s">
        <v>10357</v>
      </c>
      <c r="AO657" s="1078">
        <f t="shared" si="86"/>
        <v>650</v>
      </c>
      <c r="AP657" s="1078">
        <f t="shared" si="87"/>
        <v>1.7350000000000001</v>
      </c>
      <c r="AQ657" s="1078" t="str">
        <f t="shared" si="88"/>
        <v>1-4-1S91°</v>
      </c>
      <c r="AR657" s="1078" t="str">
        <f t="shared" si="89"/>
        <v>31</v>
      </c>
      <c r="AS657" s="1078" t="str">
        <f t="shared" si="90"/>
        <v>270/270/OFF</v>
      </c>
      <c r="AT657" s="1078" t="str">
        <f t="shared" si="91"/>
        <v>1-4-1S91°</v>
      </c>
      <c r="AV657" s="1078" t="str">
        <f t="shared" si="84"/>
        <v>112.6.19</v>
      </c>
      <c r="AW657" s="1344">
        <f t="shared" si="85"/>
        <v>45096</v>
      </c>
    </row>
    <row r="658" spans="1:49">
      <c r="A658" s="1077" t="s">
        <v>3606</v>
      </c>
      <c r="B658" s="1077" t="s">
        <v>453</v>
      </c>
      <c r="C658" s="1077">
        <v>600</v>
      </c>
      <c r="D658" s="1077">
        <v>1.71</v>
      </c>
      <c r="E658" s="1077" t="s">
        <v>15089</v>
      </c>
      <c r="F658" s="1077" t="s">
        <v>1773</v>
      </c>
      <c r="G658" s="1077" t="s">
        <v>1767</v>
      </c>
      <c r="H658" s="1077" t="s">
        <v>1029</v>
      </c>
      <c r="I658" s="1077" t="s">
        <v>126</v>
      </c>
      <c r="J658" s="1077">
        <v>0.8</v>
      </c>
      <c r="K658" s="1077" t="s">
        <v>3501</v>
      </c>
      <c r="L658" s="1077" t="s">
        <v>1776</v>
      </c>
      <c r="M658" s="1077">
        <v>74.8</v>
      </c>
      <c r="N658" s="1077" t="s">
        <v>945</v>
      </c>
      <c r="O658" s="1077">
        <v>1.87</v>
      </c>
      <c r="P658" s="1077">
        <v>1.496</v>
      </c>
      <c r="Q658" s="1077">
        <v>4</v>
      </c>
      <c r="R658" s="1077">
        <v>23</v>
      </c>
      <c r="T658" s="1077">
        <v>18.600000000000001</v>
      </c>
      <c r="U658" s="1077">
        <v>3.5</v>
      </c>
      <c r="V658" s="1077" t="s">
        <v>648</v>
      </c>
      <c r="W658" s="1077">
        <v>105</v>
      </c>
      <c r="X658" s="1077">
        <v>80</v>
      </c>
      <c r="Y658" s="1077">
        <v>2</v>
      </c>
      <c r="Z658" s="1077">
        <v>4.5</v>
      </c>
      <c r="AA658" s="1077" t="s">
        <v>3605</v>
      </c>
      <c r="AH658" s="1077" t="s">
        <v>958</v>
      </c>
      <c r="AI658" s="1077">
        <v>94.73</v>
      </c>
      <c r="AJ658" s="1077">
        <v>-0.55000000000000004</v>
      </c>
      <c r="AK658" s="1077">
        <v>0.68</v>
      </c>
      <c r="AM658" s="1078" t="s">
        <v>10358</v>
      </c>
      <c r="AN658" s="1078" t="s">
        <v>10359</v>
      </c>
      <c r="AO658" s="1078">
        <f t="shared" si="86"/>
        <v>600</v>
      </c>
      <c r="AP658" s="1078">
        <f t="shared" si="87"/>
        <v>1.71</v>
      </c>
      <c r="AQ658" s="1078" t="str">
        <f t="shared" si="88"/>
        <v>1-4-1S83°</v>
      </c>
      <c r="AR658" s="1078" t="str">
        <f t="shared" si="89"/>
        <v>30.2</v>
      </c>
      <c r="AS658" s="1078" t="str">
        <f t="shared" si="90"/>
        <v>250/250/OFF</v>
      </c>
      <c r="AT658" s="1078" t="str">
        <f t="shared" si="91"/>
        <v>1-4-1S83°</v>
      </c>
      <c r="AV658" s="1078" t="str">
        <f t="shared" si="84"/>
        <v>112.6.19</v>
      </c>
      <c r="AW658" s="1344">
        <f t="shared" si="85"/>
        <v>45096</v>
      </c>
    </row>
    <row r="659" spans="1:49">
      <c r="A659" s="1077" t="s">
        <v>3607</v>
      </c>
      <c r="B659" s="1077" t="s">
        <v>1815</v>
      </c>
      <c r="C659" s="1077">
        <v>650</v>
      </c>
      <c r="D659" s="1077">
        <v>1.7350000000000001</v>
      </c>
      <c r="E659" s="1077" t="s">
        <v>15098</v>
      </c>
      <c r="F659" s="1077" t="s">
        <v>954</v>
      </c>
      <c r="G659" s="1077" t="s">
        <v>1767</v>
      </c>
      <c r="H659" s="1077" t="s">
        <v>1793</v>
      </c>
      <c r="I659" s="1077" t="s">
        <v>126</v>
      </c>
      <c r="J659" s="1077">
        <v>0.9</v>
      </c>
      <c r="K659" s="1077" t="s">
        <v>3608</v>
      </c>
      <c r="L659" s="1077" t="s">
        <v>1817</v>
      </c>
      <c r="M659" s="1077">
        <v>75.099999999999994</v>
      </c>
      <c r="N659" s="1077" t="s">
        <v>945</v>
      </c>
      <c r="O659" s="1077">
        <v>1.8774999999999999</v>
      </c>
      <c r="P659" s="1077">
        <v>1.502</v>
      </c>
      <c r="Q659" s="1077">
        <v>4</v>
      </c>
      <c r="R659" s="1077">
        <v>19</v>
      </c>
      <c r="T659" s="1077">
        <v>21</v>
      </c>
      <c r="U659" s="1077">
        <v>3.5</v>
      </c>
      <c r="V659" s="1077" t="s">
        <v>648</v>
      </c>
      <c r="W659" s="1077">
        <v>110</v>
      </c>
      <c r="X659" s="1077" t="s">
        <v>2650</v>
      </c>
      <c r="Y659" s="1077">
        <v>1.6</v>
      </c>
      <c r="Z659" s="1077">
        <v>4</v>
      </c>
      <c r="AA659" s="1077" t="s">
        <v>3609</v>
      </c>
      <c r="AB659" s="1077" t="s">
        <v>981</v>
      </c>
      <c r="AH659" s="1077" t="s">
        <v>483</v>
      </c>
      <c r="AI659" s="1077">
        <v>94.93</v>
      </c>
      <c r="AJ659" s="1077">
        <v>-1.03</v>
      </c>
      <c r="AK659" s="1077">
        <v>2.2200000000000002</v>
      </c>
      <c r="AM659" s="1078" t="s">
        <v>10360</v>
      </c>
      <c r="AN659" s="1078" t="s">
        <v>10361</v>
      </c>
      <c r="AO659" s="1078">
        <f t="shared" si="86"/>
        <v>650</v>
      </c>
      <c r="AP659" s="1078">
        <f t="shared" si="87"/>
        <v>1.7350000000000001</v>
      </c>
      <c r="AQ659" s="1078" t="str">
        <f t="shared" si="88"/>
        <v>1-4-1S91°</v>
      </c>
      <c r="AR659" s="1078" t="str">
        <f t="shared" si="89"/>
        <v>31</v>
      </c>
      <c r="AS659" s="1078" t="str">
        <f t="shared" si="90"/>
        <v>270/270/OFF</v>
      </c>
      <c r="AT659" s="1078" t="str">
        <f t="shared" si="91"/>
        <v>1-4-1S91°</v>
      </c>
      <c r="AV659" s="1078" t="str">
        <f t="shared" si="84"/>
        <v>112.6.28</v>
      </c>
      <c r="AW659" s="1344">
        <f t="shared" si="85"/>
        <v>45105</v>
      </c>
    </row>
    <row r="660" spans="1:49">
      <c r="A660" s="1077" t="s">
        <v>3610</v>
      </c>
      <c r="B660" s="1077" t="s">
        <v>424</v>
      </c>
      <c r="C660" s="1077">
        <v>700</v>
      </c>
      <c r="D660" s="1077">
        <v>1.79</v>
      </c>
      <c r="E660" s="1077" t="s">
        <v>15089</v>
      </c>
      <c r="F660" s="1077" t="s">
        <v>954</v>
      </c>
      <c r="G660" s="1077" t="s">
        <v>1767</v>
      </c>
      <c r="H660" s="1077" t="s">
        <v>2876</v>
      </c>
      <c r="I660" s="1077" t="s">
        <v>126</v>
      </c>
      <c r="J660" s="1077">
        <v>1.9</v>
      </c>
      <c r="K660" s="1077" t="s">
        <v>3488</v>
      </c>
      <c r="L660" s="1077" t="s">
        <v>1938</v>
      </c>
      <c r="M660" s="1077">
        <v>73</v>
      </c>
      <c r="N660" s="1077" t="s">
        <v>945</v>
      </c>
      <c r="O660" s="1077">
        <v>1.8250000000000002</v>
      </c>
      <c r="P660" s="1077">
        <v>1.46</v>
      </c>
      <c r="Q660" s="1077">
        <v>4</v>
      </c>
      <c r="R660" s="1077">
        <v>21.6</v>
      </c>
      <c r="T660" s="1077">
        <v>32</v>
      </c>
      <c r="U660" s="1077">
        <v>3.5</v>
      </c>
      <c r="V660" s="1077" t="s">
        <v>648</v>
      </c>
      <c r="W660" s="1077">
        <v>110</v>
      </c>
      <c r="X660" s="1077">
        <v>60</v>
      </c>
      <c r="Y660" s="1077">
        <v>1.5</v>
      </c>
      <c r="Z660" s="1077">
        <v>5.5</v>
      </c>
      <c r="AA660" s="1077" t="s">
        <v>3611</v>
      </c>
      <c r="AB660" s="1077" t="s">
        <v>981</v>
      </c>
      <c r="AH660" s="1077" t="s">
        <v>724</v>
      </c>
      <c r="AI660" s="1077">
        <v>91.67</v>
      </c>
      <c r="AJ660" s="1077">
        <v>-0.21</v>
      </c>
      <c r="AK660" s="1077">
        <v>0.73</v>
      </c>
      <c r="AM660" s="1078" t="s">
        <v>10362</v>
      </c>
      <c r="AN660" s="1078" t="s">
        <v>10363</v>
      </c>
      <c r="AO660" s="1078">
        <f t="shared" si="86"/>
        <v>700</v>
      </c>
      <c r="AP660" s="1078">
        <f t="shared" si="87"/>
        <v>1.79</v>
      </c>
      <c r="AQ660" s="1078" t="str">
        <f t="shared" si="88"/>
        <v>1-4-1S83°</v>
      </c>
      <c r="AR660" s="1078" t="str">
        <f t="shared" si="89"/>
        <v>31</v>
      </c>
      <c r="AS660" s="1078" t="str">
        <f t="shared" si="90"/>
        <v>290/290/OFF</v>
      </c>
      <c r="AT660" s="1078" t="str">
        <f t="shared" si="91"/>
        <v>1-4-1S83°</v>
      </c>
      <c r="AV660" s="1078" t="str">
        <f t="shared" si="84"/>
        <v>112.6.30</v>
      </c>
      <c r="AW660" s="1344">
        <f t="shared" si="85"/>
        <v>45107</v>
      </c>
    </row>
    <row r="661" spans="1:49">
      <c r="A661" s="1077" t="s">
        <v>3612</v>
      </c>
      <c r="B661" s="1077" t="s">
        <v>1891</v>
      </c>
      <c r="C661" s="1077">
        <v>600</v>
      </c>
      <c r="D661" s="1077">
        <v>1.67</v>
      </c>
      <c r="E661" s="1077" t="s">
        <v>15089</v>
      </c>
      <c r="F661" s="1077" t="s">
        <v>984</v>
      </c>
      <c r="G661" s="1077" t="s">
        <v>940</v>
      </c>
      <c r="H661" s="1077" t="s">
        <v>1226</v>
      </c>
      <c r="I661" s="1077" t="s">
        <v>126</v>
      </c>
      <c r="J661" s="1077">
        <v>0.7</v>
      </c>
      <c r="K661" s="1077" t="s">
        <v>3555</v>
      </c>
      <c r="L661" s="1077" t="s">
        <v>1893</v>
      </c>
      <c r="M661" s="1077">
        <v>74.599999999999994</v>
      </c>
      <c r="N661" s="1077" t="s">
        <v>945</v>
      </c>
      <c r="O661" s="1077">
        <v>1.865</v>
      </c>
      <c r="P661" s="1077">
        <v>1.492</v>
      </c>
      <c r="Q661" s="1077">
        <v>3.5</v>
      </c>
      <c r="R661" s="1077">
        <v>29</v>
      </c>
      <c r="T661" s="1077">
        <v>12.5</v>
      </c>
      <c r="U661" s="1077">
        <v>5.0999999999999996</v>
      </c>
      <c r="V661" s="1077" t="s">
        <v>648</v>
      </c>
      <c r="W661" s="1077">
        <v>95</v>
      </c>
      <c r="X661" s="1077">
        <v>60</v>
      </c>
      <c r="Y661" s="1077">
        <v>1.8</v>
      </c>
      <c r="Z661" s="1077">
        <v>4.5</v>
      </c>
      <c r="AA661" s="1077" t="s">
        <v>3611</v>
      </c>
      <c r="AB661" s="1077" t="s">
        <v>3613</v>
      </c>
      <c r="AH661" s="1077" t="s">
        <v>889</v>
      </c>
      <c r="AI661" s="1077">
        <v>93.28</v>
      </c>
      <c r="AJ661" s="1077">
        <v>-1.24</v>
      </c>
      <c r="AK661" s="1077">
        <v>4</v>
      </c>
      <c r="AM661" s="1078" t="s">
        <v>10364</v>
      </c>
      <c r="AN661" s="1078" t="s">
        <v>10365</v>
      </c>
      <c r="AO661" s="1078">
        <f t="shared" si="86"/>
        <v>600</v>
      </c>
      <c r="AP661" s="1078">
        <f t="shared" si="87"/>
        <v>1.67</v>
      </c>
      <c r="AQ661" s="1078" t="str">
        <f t="shared" si="88"/>
        <v>1-4-1S83°</v>
      </c>
      <c r="AR661" s="1078" t="str">
        <f t="shared" si="89"/>
        <v>30</v>
      </c>
      <c r="AS661" s="1078" t="str">
        <f t="shared" si="90"/>
        <v>230/230/OFF</v>
      </c>
      <c r="AT661" s="1078" t="str">
        <f t="shared" si="91"/>
        <v>1-4-1S83°</v>
      </c>
      <c r="AV661" s="1078" t="str">
        <f t="shared" si="84"/>
        <v>112.6.30</v>
      </c>
      <c r="AW661" s="1344">
        <f t="shared" si="85"/>
        <v>45107</v>
      </c>
    </row>
    <row r="662" spans="1:49">
      <c r="A662" s="1077" t="s">
        <v>3614</v>
      </c>
      <c r="B662" s="1077" t="s">
        <v>1899</v>
      </c>
      <c r="C662" s="1077">
        <v>600</v>
      </c>
      <c r="D662" s="1077">
        <v>1.75</v>
      </c>
      <c r="E662" s="1077" t="s">
        <v>15095</v>
      </c>
      <c r="F662" s="1077" t="s">
        <v>954</v>
      </c>
      <c r="G662" s="1077" t="s">
        <v>940</v>
      </c>
      <c r="H662" s="1077" t="s">
        <v>2295</v>
      </c>
      <c r="I662" s="1077" t="s">
        <v>126</v>
      </c>
      <c r="J662" s="1077">
        <v>1.4</v>
      </c>
      <c r="K662" s="1077" t="s">
        <v>3615</v>
      </c>
      <c r="L662" s="1077" t="s">
        <v>1780</v>
      </c>
      <c r="M662" s="1077">
        <v>75.400000000000006</v>
      </c>
      <c r="N662" s="1077" t="s">
        <v>945</v>
      </c>
      <c r="O662" s="1077">
        <v>1.8850000000000002</v>
      </c>
      <c r="P662" s="1077">
        <v>1.5080000000000002</v>
      </c>
      <c r="Q662" s="1077">
        <v>3</v>
      </c>
      <c r="R662" s="1077" t="s">
        <v>3616</v>
      </c>
      <c r="T662" s="1077">
        <v>18</v>
      </c>
      <c r="U662" s="1077">
        <v>6</v>
      </c>
      <c r="V662" s="1077" t="s">
        <v>648</v>
      </c>
      <c r="W662" s="1077">
        <v>120</v>
      </c>
      <c r="X662" s="1077">
        <v>80</v>
      </c>
      <c r="Y662" s="1077">
        <v>2</v>
      </c>
      <c r="Z662" s="1077">
        <v>6</v>
      </c>
      <c r="AA662" s="1077" t="s">
        <v>3617</v>
      </c>
      <c r="AH662" s="1077" t="s">
        <v>813</v>
      </c>
      <c r="AI662" s="1077">
        <v>92.25</v>
      </c>
      <c r="AJ662" s="1077">
        <v>-1.06</v>
      </c>
      <c r="AK662" s="1077">
        <v>3.66</v>
      </c>
      <c r="AM662" s="1078" t="s">
        <v>10366</v>
      </c>
      <c r="AN662" s="1078" t="s">
        <v>10367</v>
      </c>
      <c r="AO662" s="1078">
        <f t="shared" si="86"/>
        <v>600</v>
      </c>
      <c r="AP662" s="1078">
        <f t="shared" si="87"/>
        <v>1.75</v>
      </c>
      <c r="AQ662" s="1078" t="str">
        <f t="shared" si="88"/>
        <v>1-5-1S83°</v>
      </c>
      <c r="AR662" s="1078" t="str">
        <f t="shared" si="89"/>
        <v>31</v>
      </c>
      <c r="AS662" s="1078" t="str">
        <f t="shared" si="90"/>
        <v>205/205/OFF</v>
      </c>
      <c r="AT662" s="1078" t="str">
        <f t="shared" si="91"/>
        <v>1-5-1S83°</v>
      </c>
      <c r="AV662" s="1078" t="str">
        <f t="shared" si="84"/>
        <v>112.7.7</v>
      </c>
      <c r="AW662" s="1344">
        <f t="shared" si="85"/>
        <v>45114</v>
      </c>
    </row>
    <row r="663" spans="1:49">
      <c r="A663" s="1077" t="s">
        <v>3618</v>
      </c>
      <c r="B663" s="1077" t="s">
        <v>1783</v>
      </c>
      <c r="C663" s="1077">
        <v>620</v>
      </c>
      <c r="D663" s="1077">
        <v>1.65</v>
      </c>
      <c r="E663" s="1077" t="s">
        <v>15095</v>
      </c>
      <c r="F663" s="1077" t="s">
        <v>984</v>
      </c>
      <c r="G663" s="1077" t="s">
        <v>1784</v>
      </c>
      <c r="H663" s="1077" t="s">
        <v>1029</v>
      </c>
      <c r="I663" s="1077" t="s">
        <v>126</v>
      </c>
      <c r="J663" s="1077">
        <v>0.3</v>
      </c>
      <c r="K663" s="1077" t="s">
        <v>1786</v>
      </c>
      <c r="L663" s="1077" t="s">
        <v>1787</v>
      </c>
      <c r="M663" s="1077">
        <v>76.099999999999994</v>
      </c>
      <c r="N663" s="1077" t="s">
        <v>945</v>
      </c>
      <c r="O663" s="1077">
        <v>1.9024999999999999</v>
      </c>
      <c r="P663" s="1077">
        <v>1.522</v>
      </c>
      <c r="Q663" s="1077">
        <v>4</v>
      </c>
      <c r="R663" s="1077">
        <v>19</v>
      </c>
      <c r="T663" s="1077">
        <v>13</v>
      </c>
      <c r="U663" s="1077">
        <v>4</v>
      </c>
      <c r="V663" s="1077" t="s">
        <v>648</v>
      </c>
      <c r="W663" s="1077" t="s">
        <v>2709</v>
      </c>
      <c r="X663" s="1077">
        <v>10</v>
      </c>
      <c r="Y663" s="1077">
        <v>2.5</v>
      </c>
      <c r="Z663" s="1077">
        <v>2</v>
      </c>
      <c r="AA663" s="1077" t="s">
        <v>3619</v>
      </c>
      <c r="AH663" s="1077" t="s">
        <v>990</v>
      </c>
      <c r="AM663" s="1078" t="s">
        <v>10368</v>
      </c>
      <c r="AN663" s="1078" t="s">
        <v>10369</v>
      </c>
      <c r="AO663" s="1078">
        <f t="shared" si="86"/>
        <v>620</v>
      </c>
      <c r="AP663" s="1078">
        <f t="shared" si="87"/>
        <v>1.65</v>
      </c>
      <c r="AQ663" s="1078" t="str">
        <f t="shared" si="88"/>
        <v>1-5-1S83°</v>
      </c>
      <c r="AR663" s="1078" t="str">
        <f t="shared" si="89"/>
        <v>30</v>
      </c>
      <c r="AS663" s="1078" t="str">
        <f t="shared" si="90"/>
        <v>250/250/OFF</v>
      </c>
      <c r="AT663" s="1078" t="str">
        <f t="shared" si="91"/>
        <v>1-5-1S83°</v>
      </c>
      <c r="AV663" s="1078" t="str">
        <f t="shared" si="84"/>
        <v>110.7.8</v>
      </c>
      <c r="AW663" s="1344">
        <f t="shared" si="85"/>
        <v>44385</v>
      </c>
    </row>
    <row r="664" spans="1:49">
      <c r="A664" s="1077" t="s">
        <v>3620</v>
      </c>
      <c r="B664" s="1077" t="s">
        <v>453</v>
      </c>
      <c r="C664" s="1077">
        <v>650</v>
      </c>
      <c r="D664" s="1077">
        <v>1.7</v>
      </c>
      <c r="E664" s="1077" t="s">
        <v>15089</v>
      </c>
      <c r="F664" s="1077" t="s">
        <v>984</v>
      </c>
      <c r="G664" s="1077" t="s">
        <v>1767</v>
      </c>
      <c r="H664" s="1077" t="s">
        <v>1831</v>
      </c>
      <c r="I664" s="1077" t="s">
        <v>126</v>
      </c>
      <c r="J664" s="1077">
        <v>1.1000000000000001</v>
      </c>
      <c r="K664" s="1077" t="s">
        <v>2484</v>
      </c>
      <c r="L664" s="1077" t="s">
        <v>1776</v>
      </c>
      <c r="M664" s="1077">
        <v>77</v>
      </c>
      <c r="N664" s="1077" t="s">
        <v>945</v>
      </c>
      <c r="O664" s="1077">
        <v>1.925</v>
      </c>
      <c r="P664" s="1077">
        <v>1.54</v>
      </c>
      <c r="Q664" s="1077">
        <v>4.2</v>
      </c>
      <c r="R664" s="1077">
        <v>24</v>
      </c>
      <c r="T664" s="1077">
        <v>9</v>
      </c>
      <c r="U664" s="1077">
        <v>2.2000000000000002</v>
      </c>
      <c r="V664" s="1077" t="s">
        <v>648</v>
      </c>
      <c r="W664" s="1077">
        <v>110</v>
      </c>
      <c r="X664" s="1077" t="s">
        <v>1130</v>
      </c>
      <c r="Y664" s="1077">
        <v>2.1</v>
      </c>
      <c r="Z664" s="1077">
        <v>2.5</v>
      </c>
      <c r="AA664" s="1077" t="s">
        <v>3619</v>
      </c>
      <c r="AB664" s="1077" t="s">
        <v>981</v>
      </c>
      <c r="AH664" s="1077" t="s">
        <v>875</v>
      </c>
      <c r="AM664" s="1078" t="s">
        <v>10370</v>
      </c>
      <c r="AN664" s="1078" t="s">
        <v>10371</v>
      </c>
      <c r="AO664" s="1078">
        <f t="shared" si="86"/>
        <v>650</v>
      </c>
      <c r="AP664" s="1078">
        <f t="shared" si="87"/>
        <v>1.7</v>
      </c>
      <c r="AQ664" s="1078" t="str">
        <f t="shared" si="88"/>
        <v>1-4-1S83°</v>
      </c>
      <c r="AR664" s="1078" t="str">
        <f t="shared" si="89"/>
        <v>30</v>
      </c>
      <c r="AS664" s="1078" t="str">
        <f t="shared" si="90"/>
        <v>260/260/165</v>
      </c>
      <c r="AT664" s="1078" t="str">
        <f t="shared" si="91"/>
        <v>1-4-1S83°</v>
      </c>
      <c r="AV664" s="1078" t="str">
        <f t="shared" si="84"/>
        <v>110.7.8</v>
      </c>
      <c r="AW664" s="1344">
        <f t="shared" si="85"/>
        <v>44385</v>
      </c>
    </row>
    <row r="665" spans="1:49">
      <c r="A665" s="1077" t="s">
        <v>3621</v>
      </c>
      <c r="B665" s="1077" t="s">
        <v>1783</v>
      </c>
      <c r="C665" s="1077">
        <v>620</v>
      </c>
      <c r="D665" s="1077">
        <v>1.65</v>
      </c>
      <c r="E665" s="1077" t="s">
        <v>15095</v>
      </c>
      <c r="F665" s="1077" t="s">
        <v>984</v>
      </c>
      <c r="G665" s="1077" t="s">
        <v>3622</v>
      </c>
      <c r="H665" s="1077" t="s">
        <v>1029</v>
      </c>
      <c r="I665" s="1077" t="s">
        <v>126</v>
      </c>
      <c r="J665" s="1077">
        <v>0.2</v>
      </c>
      <c r="K665" s="1077" t="s">
        <v>1786</v>
      </c>
      <c r="L665" s="1077" t="s">
        <v>1787</v>
      </c>
      <c r="M665" s="1077">
        <v>76.099999999999994</v>
      </c>
      <c r="N665" s="1077" t="s">
        <v>945</v>
      </c>
      <c r="O665" s="1077">
        <v>1.9024999999999999</v>
      </c>
      <c r="P665" s="1077">
        <v>1.522</v>
      </c>
      <c r="Q665" s="1077">
        <v>4</v>
      </c>
      <c r="R665" s="1077">
        <v>19</v>
      </c>
      <c r="T665" s="1077">
        <v>13</v>
      </c>
      <c r="U665" s="1077">
        <v>4</v>
      </c>
      <c r="V665" s="1077" t="s">
        <v>648</v>
      </c>
      <c r="W665" s="1077" t="s">
        <v>2085</v>
      </c>
      <c r="X665" s="1077">
        <v>0</v>
      </c>
      <c r="Y665" s="1077">
        <v>2.5</v>
      </c>
      <c r="Z665" s="1077">
        <v>2</v>
      </c>
      <c r="AA665" s="1077" t="s">
        <v>3623</v>
      </c>
      <c r="AH665" s="1077" t="s">
        <v>3624</v>
      </c>
      <c r="AM665" s="1078" t="s">
        <v>10372</v>
      </c>
      <c r="AN665" s="1078" t="s">
        <v>10373</v>
      </c>
      <c r="AO665" s="1078">
        <f t="shared" si="86"/>
        <v>620</v>
      </c>
      <c r="AP665" s="1078">
        <f t="shared" si="87"/>
        <v>1.65</v>
      </c>
      <c r="AQ665" s="1078" t="str">
        <f t="shared" si="88"/>
        <v>1-5-1S83°</v>
      </c>
      <c r="AR665" s="1078" t="str">
        <f t="shared" si="89"/>
        <v>30</v>
      </c>
      <c r="AS665" s="1078" t="str">
        <f t="shared" si="90"/>
        <v>250/250/OFF</v>
      </c>
      <c r="AT665" s="1078" t="str">
        <f t="shared" si="91"/>
        <v>1-5-1S83°</v>
      </c>
      <c r="AV665" s="1078" t="str">
        <f t="shared" si="84"/>
        <v>110.7.14</v>
      </c>
      <c r="AW665" s="1344">
        <f t="shared" si="85"/>
        <v>44391</v>
      </c>
    </row>
    <row r="666" spans="1:49">
      <c r="A666" s="1077" t="s">
        <v>3625</v>
      </c>
      <c r="B666" s="1077" t="s">
        <v>2677</v>
      </c>
      <c r="C666" s="1077">
        <v>600</v>
      </c>
      <c r="D666" s="1077">
        <v>1.73</v>
      </c>
      <c r="E666" s="1077" t="s">
        <v>15089</v>
      </c>
      <c r="F666" s="1077" t="s">
        <v>1514</v>
      </c>
      <c r="G666" s="1077" t="s">
        <v>940</v>
      </c>
      <c r="H666" s="1077" t="s">
        <v>2295</v>
      </c>
      <c r="I666" s="1077" t="s">
        <v>626</v>
      </c>
      <c r="J666" s="1077">
        <v>0.9</v>
      </c>
      <c r="K666" s="1077" t="s">
        <v>3626</v>
      </c>
      <c r="L666" s="1077" t="s">
        <v>2288</v>
      </c>
      <c r="M666" s="1077">
        <v>77</v>
      </c>
      <c r="N666" s="1077" t="s">
        <v>945</v>
      </c>
      <c r="O666" s="1077">
        <v>1.925</v>
      </c>
      <c r="P666" s="1077">
        <v>1.54</v>
      </c>
      <c r="Q666" s="1077">
        <v>3</v>
      </c>
      <c r="R666" s="1077">
        <v>29</v>
      </c>
      <c r="T666" s="1077">
        <v>9</v>
      </c>
      <c r="U666" s="1077">
        <v>6.6</v>
      </c>
      <c r="V666" s="1077" t="s">
        <v>648</v>
      </c>
      <c r="W666" s="1077">
        <v>125</v>
      </c>
      <c r="X666" s="1077">
        <v>50</v>
      </c>
      <c r="Y666" s="1077">
        <v>2</v>
      </c>
      <c r="Z666" s="1077">
        <v>3.1</v>
      </c>
      <c r="AA666" s="1077" t="s">
        <v>3627</v>
      </c>
      <c r="AH666" s="1077" t="s">
        <v>963</v>
      </c>
      <c r="AM666" s="1078" t="s">
        <v>10374</v>
      </c>
      <c r="AN666" s="1078" t="s">
        <v>10375</v>
      </c>
      <c r="AO666" s="1078">
        <f t="shared" si="86"/>
        <v>600</v>
      </c>
      <c r="AP666" s="1078">
        <f t="shared" si="87"/>
        <v>1.73</v>
      </c>
      <c r="AQ666" s="1078" t="str">
        <f t="shared" si="88"/>
        <v>1-4-1S83°</v>
      </c>
      <c r="AR666" s="1078" t="str">
        <f t="shared" si="89"/>
        <v>32</v>
      </c>
      <c r="AS666" s="1078" t="str">
        <f t="shared" si="90"/>
        <v>205/205/OFF</v>
      </c>
      <c r="AT666" s="1078" t="str">
        <f t="shared" si="91"/>
        <v>1-4-1S83°</v>
      </c>
      <c r="AV666" s="1078" t="str">
        <f t="shared" si="84"/>
        <v>110.7.13</v>
      </c>
      <c r="AW666" s="1344">
        <f t="shared" si="85"/>
        <v>44390</v>
      </c>
    </row>
    <row r="667" spans="1:49">
      <c r="A667" s="1077" t="s">
        <v>3628</v>
      </c>
      <c r="B667" s="1077" t="s">
        <v>2299</v>
      </c>
      <c r="C667" s="1077">
        <v>600</v>
      </c>
      <c r="D667" s="1077">
        <v>1.72</v>
      </c>
      <c r="E667" s="1077" t="s">
        <v>15089</v>
      </c>
      <c r="F667" s="1077" t="s">
        <v>984</v>
      </c>
      <c r="G667" s="1077" t="s">
        <v>940</v>
      </c>
      <c r="H667" s="1077" t="s">
        <v>1793</v>
      </c>
      <c r="I667" s="1077" t="s">
        <v>126</v>
      </c>
      <c r="J667" s="1077">
        <v>0.8</v>
      </c>
      <c r="K667" s="1077" t="s">
        <v>3629</v>
      </c>
      <c r="L667" s="1077" t="s">
        <v>3160</v>
      </c>
      <c r="M667" s="1077">
        <v>73.5</v>
      </c>
      <c r="N667" s="1077" t="s">
        <v>945</v>
      </c>
      <c r="O667" s="1077">
        <v>1.8375000000000001</v>
      </c>
      <c r="P667" s="1077">
        <v>1.47</v>
      </c>
      <c r="Q667" s="1077">
        <v>3.5</v>
      </c>
      <c r="R667" s="1077">
        <v>20</v>
      </c>
      <c r="T667" s="1077">
        <v>21</v>
      </c>
      <c r="U667" s="1077">
        <v>3.2</v>
      </c>
      <c r="V667" s="1077" t="s">
        <v>648</v>
      </c>
      <c r="W667" s="1077">
        <v>100</v>
      </c>
      <c r="X667" s="1077">
        <v>50</v>
      </c>
      <c r="Y667" s="1077">
        <v>2.5</v>
      </c>
      <c r="Z667" s="1077">
        <v>4.4000000000000004</v>
      </c>
      <c r="AA667" s="1077" t="s">
        <v>3630</v>
      </c>
      <c r="AH667" s="1077" t="s">
        <v>994</v>
      </c>
      <c r="AM667" s="1078" t="s">
        <v>10376</v>
      </c>
      <c r="AN667" s="1078" t="s">
        <v>10377</v>
      </c>
      <c r="AO667" s="1078">
        <f t="shared" si="86"/>
        <v>600</v>
      </c>
      <c r="AP667" s="1078">
        <f t="shared" si="87"/>
        <v>1.72</v>
      </c>
      <c r="AQ667" s="1078" t="str">
        <f t="shared" si="88"/>
        <v>1-4-1S83°</v>
      </c>
      <c r="AR667" s="1078" t="str">
        <f t="shared" si="89"/>
        <v>30</v>
      </c>
      <c r="AS667" s="1078" t="str">
        <f t="shared" si="90"/>
        <v>270/270/OFF</v>
      </c>
      <c r="AT667" s="1078" t="str">
        <f t="shared" si="91"/>
        <v>1-4-1S83°</v>
      </c>
      <c r="AV667" s="1078" t="str">
        <f t="shared" si="84"/>
        <v>110.7.17</v>
      </c>
      <c r="AW667" s="1344">
        <f t="shared" si="85"/>
        <v>44394</v>
      </c>
    </row>
    <row r="668" spans="1:49">
      <c r="A668" s="1077" t="s">
        <v>3631</v>
      </c>
      <c r="B668" s="1077" t="s">
        <v>2513</v>
      </c>
      <c r="C668" s="1077">
        <v>550</v>
      </c>
      <c r="D668" s="1077">
        <v>1.78</v>
      </c>
      <c r="E668" s="1077" t="s">
        <v>15089</v>
      </c>
      <c r="F668" s="1077" t="s">
        <v>984</v>
      </c>
      <c r="G668" s="1077" t="s">
        <v>940</v>
      </c>
      <c r="H668" s="1077" t="s">
        <v>1290</v>
      </c>
      <c r="I668" s="1077" t="s">
        <v>126</v>
      </c>
      <c r="J668" s="1077">
        <v>0.6</v>
      </c>
      <c r="K668" s="1077" t="s">
        <v>3455</v>
      </c>
      <c r="L668" s="1077" t="s">
        <v>2514</v>
      </c>
      <c r="M668" s="1077">
        <v>75.5</v>
      </c>
      <c r="N668" s="1077" t="s">
        <v>945</v>
      </c>
      <c r="O668" s="1077">
        <v>1.8875000000000002</v>
      </c>
      <c r="P668" s="1077">
        <v>1.51</v>
      </c>
      <c r="Q668" s="1077">
        <v>3</v>
      </c>
      <c r="R668" s="1077">
        <v>23</v>
      </c>
      <c r="T668" s="1077">
        <v>9</v>
      </c>
      <c r="U668" s="1077">
        <v>5.5</v>
      </c>
      <c r="V668" s="1077" t="s">
        <v>648</v>
      </c>
      <c r="W668" s="1077">
        <v>100</v>
      </c>
      <c r="X668" s="1077">
        <v>75</v>
      </c>
      <c r="Y668" s="1077">
        <v>2</v>
      </c>
      <c r="Z668" s="1077">
        <v>4</v>
      </c>
      <c r="AA668" s="1077" t="s">
        <v>3632</v>
      </c>
      <c r="AH668" s="1077" t="s">
        <v>724</v>
      </c>
      <c r="AM668" s="1078" t="s">
        <v>10378</v>
      </c>
      <c r="AN668" s="1078" t="s">
        <v>10379</v>
      </c>
      <c r="AO668" s="1078">
        <f t="shared" si="86"/>
        <v>550</v>
      </c>
      <c r="AP668" s="1078">
        <f t="shared" si="87"/>
        <v>1.78</v>
      </c>
      <c r="AQ668" s="1078" t="str">
        <f t="shared" si="88"/>
        <v>1-4-1S83°</v>
      </c>
      <c r="AR668" s="1078" t="str">
        <f t="shared" si="89"/>
        <v>30</v>
      </c>
      <c r="AS668" s="1078" t="str">
        <f t="shared" si="90"/>
        <v>220/220/OFF</v>
      </c>
      <c r="AT668" s="1078" t="str">
        <f t="shared" si="91"/>
        <v>1-4-1S83°</v>
      </c>
      <c r="AV668" s="1078" t="str">
        <f t="shared" si="84"/>
        <v>110.7.21</v>
      </c>
      <c r="AW668" s="1344">
        <f t="shared" si="85"/>
        <v>44398</v>
      </c>
    </row>
    <row r="669" spans="1:49">
      <c r="A669" s="1077" t="s">
        <v>3633</v>
      </c>
      <c r="B669" s="1077" t="s">
        <v>1899</v>
      </c>
      <c r="C669" s="1077">
        <v>650</v>
      </c>
      <c r="D669" s="1077">
        <v>1.78</v>
      </c>
      <c r="E669" s="1077" t="s">
        <v>15095</v>
      </c>
      <c r="F669" s="1077" t="s">
        <v>954</v>
      </c>
      <c r="G669" s="1077" t="s">
        <v>940</v>
      </c>
      <c r="H669" s="1077" t="s">
        <v>1649</v>
      </c>
      <c r="I669" s="1077" t="s">
        <v>126</v>
      </c>
      <c r="J669" s="1077">
        <v>1.4</v>
      </c>
      <c r="K669" s="1077" t="s">
        <v>3634</v>
      </c>
      <c r="L669" s="1077" t="s">
        <v>1964</v>
      </c>
      <c r="M669" s="1077">
        <v>75.400000000000006</v>
      </c>
      <c r="N669" s="1077" t="s">
        <v>945</v>
      </c>
      <c r="O669" s="1077">
        <v>1.8850000000000002</v>
      </c>
      <c r="P669" s="1077">
        <v>1.5080000000000002</v>
      </c>
      <c r="Q669" s="1077" t="s">
        <v>1005</v>
      </c>
      <c r="R669" s="1077">
        <v>29</v>
      </c>
      <c r="T669" s="1077">
        <v>18</v>
      </c>
      <c r="U669" s="1077">
        <v>6</v>
      </c>
      <c r="V669" s="1077" t="s">
        <v>648</v>
      </c>
      <c r="W669" s="1077">
        <v>120</v>
      </c>
      <c r="X669" s="1077">
        <v>80</v>
      </c>
      <c r="Y669" s="1077">
        <v>2</v>
      </c>
      <c r="Z669" s="1077">
        <v>6</v>
      </c>
      <c r="AA669" s="1077" t="s">
        <v>1420</v>
      </c>
      <c r="AH669" s="1077" t="s">
        <v>958</v>
      </c>
      <c r="AM669" s="1078" t="s">
        <v>10380</v>
      </c>
      <c r="AN669" s="1078" t="s">
        <v>10381</v>
      </c>
      <c r="AO669" s="1078">
        <f t="shared" si="86"/>
        <v>650</v>
      </c>
      <c r="AP669" s="1078">
        <f t="shared" si="87"/>
        <v>1.78</v>
      </c>
      <c r="AQ669" s="1078" t="str">
        <f t="shared" si="88"/>
        <v>1-5-1S83°</v>
      </c>
      <c r="AR669" s="1078" t="str">
        <f t="shared" si="89"/>
        <v>31</v>
      </c>
      <c r="AS669" s="1078" t="str">
        <f t="shared" si="90"/>
        <v>225/225/OFF</v>
      </c>
      <c r="AT669" s="1078" t="str">
        <f t="shared" si="91"/>
        <v>1-5-1S83°</v>
      </c>
      <c r="AV669" s="1078" t="str">
        <f t="shared" si="84"/>
        <v>110.8.3</v>
      </c>
      <c r="AW669" s="1344">
        <f t="shared" si="85"/>
        <v>44411</v>
      </c>
    </row>
    <row r="670" spans="1:49">
      <c r="A670" s="1077" t="s">
        <v>3635</v>
      </c>
      <c r="B670" s="1077" t="s">
        <v>3201</v>
      </c>
      <c r="C670" s="1077">
        <v>450</v>
      </c>
      <c r="D670" s="1077">
        <v>1.7849999999999999</v>
      </c>
      <c r="E670" s="1077" t="s">
        <v>15089</v>
      </c>
      <c r="F670" s="1077" t="s">
        <v>954</v>
      </c>
      <c r="G670" s="1077" t="s">
        <v>1016</v>
      </c>
      <c r="H670" s="1077" t="s">
        <v>1274</v>
      </c>
      <c r="I670" s="1077" t="s">
        <v>942</v>
      </c>
      <c r="J670" s="1077">
        <v>1.2</v>
      </c>
      <c r="K670" s="1077" t="s">
        <v>3202</v>
      </c>
      <c r="L670" s="1077" t="s">
        <v>3203</v>
      </c>
      <c r="M670" s="1077">
        <v>72.5</v>
      </c>
      <c r="N670" s="1077" t="s">
        <v>945</v>
      </c>
      <c r="O670" s="1077">
        <v>1.8125</v>
      </c>
      <c r="P670" s="1077">
        <v>1.45</v>
      </c>
      <c r="Q670" s="1077" t="s">
        <v>2401</v>
      </c>
      <c r="R670" s="1077">
        <v>23.5</v>
      </c>
      <c r="T670" s="1077">
        <v>14.5</v>
      </c>
      <c r="U670" s="1077">
        <v>3.9</v>
      </c>
      <c r="V670" s="1077" t="s">
        <v>648</v>
      </c>
      <c r="W670" s="1077">
        <v>165</v>
      </c>
      <c r="X670" s="1077">
        <v>80</v>
      </c>
      <c r="Y670" s="1077">
        <v>2.5</v>
      </c>
      <c r="Z670" s="1077" t="s">
        <v>2466</v>
      </c>
      <c r="AA670" s="1077" t="s">
        <v>3636</v>
      </c>
      <c r="AH670" s="1077" t="s">
        <v>830</v>
      </c>
      <c r="AM670" s="1078" t="s">
        <v>10382</v>
      </c>
      <c r="AN670" s="1078" t="s">
        <v>10383</v>
      </c>
      <c r="AO670" s="1078">
        <f t="shared" si="86"/>
        <v>450</v>
      </c>
      <c r="AP670" s="1078">
        <f t="shared" si="87"/>
        <v>1.7849999999999999</v>
      </c>
      <c r="AQ670" s="1078" t="str">
        <f t="shared" si="88"/>
        <v>1-4-1S83°</v>
      </c>
      <c r="AR670" s="1078" t="str">
        <f t="shared" si="89"/>
        <v>31</v>
      </c>
      <c r="AS670" s="1078" t="str">
        <f t="shared" si="90"/>
        <v>210/210/OFF</v>
      </c>
      <c r="AT670" s="1078" t="str">
        <f t="shared" si="91"/>
        <v>1-4-1S83°</v>
      </c>
      <c r="AV670" s="1078" t="str">
        <f t="shared" si="84"/>
        <v>110.8.4</v>
      </c>
      <c r="AW670" s="1344">
        <f t="shared" si="85"/>
        <v>44412</v>
      </c>
    </row>
    <row r="671" spans="1:49">
      <c r="A671" s="1077" t="s">
        <v>3637</v>
      </c>
      <c r="B671" s="1077" t="s">
        <v>424</v>
      </c>
      <c r="C671" s="1077">
        <v>700</v>
      </c>
      <c r="D671" s="1077">
        <v>1.7649999999999999</v>
      </c>
      <c r="E671" s="1077" t="s">
        <v>15089</v>
      </c>
      <c r="F671" s="1077" t="s">
        <v>1897</v>
      </c>
      <c r="G671" s="1077" t="s">
        <v>1767</v>
      </c>
      <c r="H671" s="1077" t="s">
        <v>3227</v>
      </c>
      <c r="I671" s="1077" t="s">
        <v>626</v>
      </c>
      <c r="J671" s="1077">
        <v>4</v>
      </c>
      <c r="K671" s="1077" t="s">
        <v>3238</v>
      </c>
      <c r="L671" s="1077" t="s">
        <v>1938</v>
      </c>
      <c r="M671" s="1077">
        <v>75.599999999999994</v>
      </c>
      <c r="N671" s="1077" t="s">
        <v>945</v>
      </c>
      <c r="O671" s="1077">
        <v>1.89</v>
      </c>
      <c r="P671" s="1077">
        <v>1.512</v>
      </c>
      <c r="Q671" s="1077">
        <v>3.5</v>
      </c>
      <c r="R671" s="1077">
        <v>18.600000000000001</v>
      </c>
      <c r="T671" s="1077">
        <v>18.8</v>
      </c>
      <c r="U671" s="1077">
        <v>2.9</v>
      </c>
      <c r="V671" s="1077" t="s">
        <v>648</v>
      </c>
      <c r="W671" s="1077">
        <v>150</v>
      </c>
      <c r="X671" s="1077" t="s">
        <v>2402</v>
      </c>
      <c r="Y671" s="1077">
        <v>2.1</v>
      </c>
      <c r="Z671" s="1077">
        <v>4</v>
      </c>
      <c r="AA671" s="1077" t="s">
        <v>3636</v>
      </c>
      <c r="AB671" s="1077" t="s">
        <v>981</v>
      </c>
      <c r="AH671" s="1077" t="s">
        <v>619</v>
      </c>
      <c r="AM671" s="1078" t="s">
        <v>10384</v>
      </c>
      <c r="AN671" s="1078" t="s">
        <v>10385</v>
      </c>
      <c r="AO671" s="1078">
        <f t="shared" si="86"/>
        <v>700</v>
      </c>
      <c r="AP671" s="1078">
        <f t="shared" si="87"/>
        <v>1.7649999999999999</v>
      </c>
      <c r="AQ671" s="1078" t="str">
        <f t="shared" si="88"/>
        <v>1-4-1S83°</v>
      </c>
      <c r="AR671" s="1078" t="str">
        <f t="shared" si="89"/>
        <v>30.8</v>
      </c>
      <c r="AS671" s="1078" t="str">
        <f t="shared" si="90"/>
        <v>285/285/149</v>
      </c>
      <c r="AT671" s="1078" t="str">
        <f t="shared" si="91"/>
        <v>1-4-1S83°</v>
      </c>
      <c r="AV671" s="1078" t="str">
        <f t="shared" si="84"/>
        <v>110.8.4</v>
      </c>
      <c r="AW671" s="1344">
        <f t="shared" si="85"/>
        <v>44412</v>
      </c>
    </row>
    <row r="672" spans="1:49">
      <c r="A672" s="1077" t="s">
        <v>3638</v>
      </c>
      <c r="B672" s="1077" t="s">
        <v>1783</v>
      </c>
      <c r="C672" s="1077">
        <v>620</v>
      </c>
      <c r="D672" s="1077">
        <v>1.65</v>
      </c>
      <c r="E672" s="1077" t="s">
        <v>15095</v>
      </c>
      <c r="F672" s="1077" t="s">
        <v>984</v>
      </c>
      <c r="G672" s="1077" t="s">
        <v>1784</v>
      </c>
      <c r="H672" s="1077" t="s">
        <v>1029</v>
      </c>
      <c r="I672" s="1077" t="s">
        <v>126</v>
      </c>
      <c r="J672" s="1077">
        <v>0.3</v>
      </c>
      <c r="K672" s="1077" t="s">
        <v>1786</v>
      </c>
      <c r="L672" s="1077" t="s">
        <v>1787</v>
      </c>
      <c r="M672" s="1077">
        <v>76.099999999999994</v>
      </c>
      <c r="N672" s="1077" t="s">
        <v>945</v>
      </c>
      <c r="O672" s="1077">
        <v>1.9024999999999999</v>
      </c>
      <c r="P672" s="1077">
        <v>1.522</v>
      </c>
      <c r="Q672" s="1077">
        <v>4</v>
      </c>
      <c r="R672" s="1077">
        <v>19</v>
      </c>
      <c r="T672" s="1077">
        <v>13</v>
      </c>
      <c r="U672" s="1077">
        <v>4</v>
      </c>
      <c r="V672" s="1077" t="s">
        <v>648</v>
      </c>
      <c r="W672" s="1077" t="s">
        <v>2709</v>
      </c>
      <c r="X672" s="1077">
        <v>10</v>
      </c>
      <c r="Y672" s="1077">
        <v>2.5</v>
      </c>
      <c r="Z672" s="1077">
        <v>2</v>
      </c>
      <c r="AA672" s="1077" t="s">
        <v>3639</v>
      </c>
      <c r="AH672" s="1077" t="s">
        <v>1143</v>
      </c>
      <c r="AM672" s="1078" t="s">
        <v>10386</v>
      </c>
      <c r="AN672" s="1078" t="s">
        <v>10387</v>
      </c>
      <c r="AO672" s="1078">
        <f t="shared" si="86"/>
        <v>620</v>
      </c>
      <c r="AP672" s="1078">
        <f t="shared" si="87"/>
        <v>1.65</v>
      </c>
      <c r="AQ672" s="1078" t="str">
        <f t="shared" si="88"/>
        <v>1-5-1S83°</v>
      </c>
      <c r="AR672" s="1078" t="str">
        <f t="shared" si="89"/>
        <v>30</v>
      </c>
      <c r="AS672" s="1078" t="str">
        <f t="shared" si="90"/>
        <v>250/250/OFF</v>
      </c>
      <c r="AT672" s="1078" t="str">
        <f t="shared" si="91"/>
        <v>1-5-1S83°</v>
      </c>
      <c r="AV672" s="1078" t="str">
        <f t="shared" si="84"/>
        <v>110.8.6</v>
      </c>
      <c r="AW672" s="1344">
        <f t="shared" si="85"/>
        <v>44414</v>
      </c>
    </row>
    <row r="673" spans="1:49">
      <c r="A673" s="1077" t="s">
        <v>3640</v>
      </c>
      <c r="B673" s="1077" t="s">
        <v>1815</v>
      </c>
      <c r="C673" s="1077">
        <v>650</v>
      </c>
      <c r="D673" s="1077">
        <v>1.7350000000000001</v>
      </c>
      <c r="E673" s="1077" t="s">
        <v>15098</v>
      </c>
      <c r="F673" s="1077" t="s">
        <v>954</v>
      </c>
      <c r="G673" s="1077" t="s">
        <v>1767</v>
      </c>
      <c r="H673" s="1077" t="s">
        <v>1793</v>
      </c>
      <c r="I673" s="1077" t="s">
        <v>126</v>
      </c>
      <c r="J673" s="1077">
        <v>0.9</v>
      </c>
      <c r="K673" s="1077" t="s">
        <v>1816</v>
      </c>
      <c r="L673" s="1077" t="s">
        <v>1817</v>
      </c>
      <c r="M673" s="1077">
        <v>75.099999999999994</v>
      </c>
      <c r="N673" s="1077" t="s">
        <v>945</v>
      </c>
      <c r="O673" s="1077">
        <v>1.8774999999999999</v>
      </c>
      <c r="P673" s="1077">
        <v>1.502</v>
      </c>
      <c r="Q673" s="1077">
        <v>4</v>
      </c>
      <c r="R673" s="1077">
        <v>19</v>
      </c>
      <c r="T673" s="1077">
        <v>21</v>
      </c>
      <c r="U673" s="1077">
        <v>3.5</v>
      </c>
      <c r="V673" s="1077" t="s">
        <v>648</v>
      </c>
      <c r="W673" s="1077">
        <v>110</v>
      </c>
      <c r="X673" s="1077" t="s">
        <v>2650</v>
      </c>
      <c r="Y673" s="1077">
        <v>1.6</v>
      </c>
      <c r="Z673" s="1077">
        <v>4</v>
      </c>
      <c r="AA673" s="1077" t="s">
        <v>3641</v>
      </c>
      <c r="AB673" s="1077" t="s">
        <v>981</v>
      </c>
      <c r="AH673" s="1077" t="s">
        <v>483</v>
      </c>
      <c r="AI673" s="1077">
        <v>94.72</v>
      </c>
      <c r="AJ673" s="1077">
        <v>-0.14000000000000001</v>
      </c>
      <c r="AK673" s="1077">
        <v>1.06</v>
      </c>
      <c r="AM673" s="1078" t="s">
        <v>10388</v>
      </c>
      <c r="AN673" s="1078" t="s">
        <v>10389</v>
      </c>
      <c r="AO673" s="1078">
        <f t="shared" si="86"/>
        <v>650</v>
      </c>
      <c r="AP673" s="1078">
        <f t="shared" si="87"/>
        <v>1.7350000000000001</v>
      </c>
      <c r="AQ673" s="1078" t="str">
        <f t="shared" si="88"/>
        <v>1-4-1S91°</v>
      </c>
      <c r="AR673" s="1078" t="str">
        <f t="shared" si="89"/>
        <v>31</v>
      </c>
      <c r="AS673" s="1078" t="str">
        <f t="shared" si="90"/>
        <v>270/270/OFF</v>
      </c>
      <c r="AT673" s="1078" t="str">
        <f t="shared" si="91"/>
        <v>1-4-1S91°</v>
      </c>
      <c r="AV673" s="1078" t="str">
        <f t="shared" si="84"/>
        <v>112.7.27</v>
      </c>
      <c r="AW673" s="1344">
        <f t="shared" si="85"/>
        <v>45134</v>
      </c>
    </row>
    <row r="674" spans="1:49">
      <c r="A674" s="1077" t="s">
        <v>3642</v>
      </c>
      <c r="B674" s="1077" t="s">
        <v>453</v>
      </c>
      <c r="C674" s="1077">
        <v>650</v>
      </c>
      <c r="D674" s="1077">
        <v>1.69</v>
      </c>
      <c r="E674" s="1077" t="s">
        <v>15089</v>
      </c>
      <c r="F674" s="1077" t="s">
        <v>984</v>
      </c>
      <c r="G674" s="1077" t="s">
        <v>1767</v>
      </c>
      <c r="H674" s="1077" t="s">
        <v>1831</v>
      </c>
      <c r="I674" s="1077" t="s">
        <v>126</v>
      </c>
      <c r="J674" s="1077">
        <v>1.1000000000000001</v>
      </c>
      <c r="K674" s="1077" t="s">
        <v>3643</v>
      </c>
      <c r="L674" s="1077" t="s">
        <v>1776</v>
      </c>
      <c r="M674" s="1077">
        <v>77</v>
      </c>
      <c r="N674" s="1077" t="s">
        <v>945</v>
      </c>
      <c r="O674" s="1077">
        <v>1.925</v>
      </c>
      <c r="P674" s="1077">
        <v>1.54</v>
      </c>
      <c r="Q674" s="1077">
        <v>4.2</v>
      </c>
      <c r="R674" s="1077">
        <v>24</v>
      </c>
      <c r="T674" s="1077">
        <v>9</v>
      </c>
      <c r="U674" s="1077">
        <v>2.2000000000000002</v>
      </c>
      <c r="V674" s="1077" t="s">
        <v>648</v>
      </c>
      <c r="W674" s="1077">
        <v>110</v>
      </c>
      <c r="X674" s="1077" t="s">
        <v>1130</v>
      </c>
      <c r="Y674" s="1077">
        <v>2.1</v>
      </c>
      <c r="Z674" s="1077">
        <v>2.5</v>
      </c>
      <c r="AA674" s="1077" t="s">
        <v>1599</v>
      </c>
      <c r="AB674" s="1077" t="s">
        <v>981</v>
      </c>
      <c r="AH674" s="1077" t="s">
        <v>468</v>
      </c>
      <c r="AI674" s="1077">
        <v>92.15</v>
      </c>
      <c r="AJ674" s="1077">
        <v>0.08</v>
      </c>
      <c r="AK674" s="1077">
        <v>-0.09</v>
      </c>
      <c r="AM674" s="1078" t="s">
        <v>10390</v>
      </c>
      <c r="AN674" s="1078" t="s">
        <v>10391</v>
      </c>
      <c r="AO674" s="1078">
        <f t="shared" si="86"/>
        <v>650</v>
      </c>
      <c r="AP674" s="1078">
        <f t="shared" si="87"/>
        <v>1.69</v>
      </c>
      <c r="AQ674" s="1078" t="str">
        <f t="shared" si="88"/>
        <v>1-4-1S83°</v>
      </c>
      <c r="AR674" s="1078" t="str">
        <f t="shared" si="89"/>
        <v>30</v>
      </c>
      <c r="AS674" s="1078" t="str">
        <f t="shared" si="90"/>
        <v>260/260/165</v>
      </c>
      <c r="AT674" s="1078" t="str">
        <f t="shared" si="91"/>
        <v>1-4-1S83°</v>
      </c>
      <c r="AV674" s="1078" t="str">
        <f t="shared" si="84"/>
        <v>112.7.11</v>
      </c>
      <c r="AW674" s="1344">
        <f t="shared" si="85"/>
        <v>45118</v>
      </c>
    </row>
    <row r="675" spans="1:49">
      <c r="A675" s="1077" t="s">
        <v>3644</v>
      </c>
      <c r="B675" s="1077" t="s">
        <v>1815</v>
      </c>
      <c r="C675" s="1077">
        <v>650</v>
      </c>
      <c r="D675" s="1077">
        <v>1.7350000000000001</v>
      </c>
      <c r="E675" s="1077" t="s">
        <v>15098</v>
      </c>
      <c r="F675" s="1077" t="s">
        <v>954</v>
      </c>
      <c r="G675" s="1077" t="s">
        <v>1767</v>
      </c>
      <c r="H675" s="1077" t="s">
        <v>1793</v>
      </c>
      <c r="I675" s="1077" t="s">
        <v>126</v>
      </c>
      <c r="J675" s="1077">
        <v>0.9</v>
      </c>
      <c r="K675" s="1077" t="s">
        <v>3645</v>
      </c>
      <c r="L675" s="1077" t="s">
        <v>1817</v>
      </c>
      <c r="M675" s="1077">
        <v>75.099999999999994</v>
      </c>
      <c r="N675" s="1077" t="s">
        <v>945</v>
      </c>
      <c r="O675" s="1077">
        <v>1.8774999999999999</v>
      </c>
      <c r="P675" s="1077">
        <v>1.502</v>
      </c>
      <c r="Q675" s="1077">
        <v>4</v>
      </c>
      <c r="R675" s="1077">
        <v>19</v>
      </c>
      <c r="T675" s="1077">
        <v>21</v>
      </c>
      <c r="U675" s="1077">
        <v>3.5</v>
      </c>
      <c r="V675" s="1077" t="s">
        <v>648</v>
      </c>
      <c r="W675" s="1077">
        <v>110</v>
      </c>
      <c r="X675" s="1077" t="s">
        <v>2650</v>
      </c>
      <c r="Y675" s="1077">
        <v>1.6</v>
      </c>
      <c r="Z675" s="1077">
        <v>4</v>
      </c>
      <c r="AA675" s="1077" t="s">
        <v>3646</v>
      </c>
      <c r="AB675" s="1077" t="s">
        <v>981</v>
      </c>
      <c r="AH675" s="1077" t="s">
        <v>1238</v>
      </c>
      <c r="AI675" s="1077">
        <v>94.96</v>
      </c>
      <c r="AJ675" s="1077">
        <v>-0.34</v>
      </c>
      <c r="AK675" s="1077">
        <v>2.2599999999999998</v>
      </c>
      <c r="AM675" s="1078" t="s">
        <v>10392</v>
      </c>
      <c r="AN675" s="1078" t="s">
        <v>10393</v>
      </c>
      <c r="AO675" s="1078">
        <f t="shared" si="86"/>
        <v>650</v>
      </c>
      <c r="AP675" s="1078">
        <f t="shared" si="87"/>
        <v>1.7350000000000001</v>
      </c>
      <c r="AQ675" s="1078" t="str">
        <f t="shared" si="88"/>
        <v>1-4-1S91°</v>
      </c>
      <c r="AR675" s="1078" t="str">
        <f t="shared" si="89"/>
        <v>31</v>
      </c>
      <c r="AS675" s="1078" t="str">
        <f t="shared" si="90"/>
        <v>270/270/OFF</v>
      </c>
      <c r="AT675" s="1078" t="str">
        <f t="shared" si="91"/>
        <v>1-4-1S91°</v>
      </c>
      <c r="AV675" s="1078" t="str">
        <f t="shared" si="84"/>
        <v>112.7.12</v>
      </c>
      <c r="AW675" s="1344">
        <f t="shared" si="85"/>
        <v>45119</v>
      </c>
    </row>
    <row r="676" spans="1:49">
      <c r="A676" s="1077" t="s">
        <v>3647</v>
      </c>
      <c r="B676" s="1077" t="s">
        <v>453</v>
      </c>
      <c r="C676" s="1077">
        <v>600</v>
      </c>
      <c r="D676" s="1077">
        <v>1.698</v>
      </c>
      <c r="E676" s="1077" t="s">
        <v>15091</v>
      </c>
      <c r="F676" s="1077" t="s">
        <v>984</v>
      </c>
      <c r="G676" s="1077" t="s">
        <v>1767</v>
      </c>
      <c r="H676" s="1077" t="s">
        <v>1952</v>
      </c>
      <c r="I676" s="1077" t="s">
        <v>1167</v>
      </c>
      <c r="J676" s="1077">
        <v>1</v>
      </c>
      <c r="K676" s="1077" t="s">
        <v>3648</v>
      </c>
      <c r="L676" s="1077" t="s">
        <v>1776</v>
      </c>
      <c r="M676" s="1077">
        <v>74.8</v>
      </c>
      <c r="N676" s="1077" t="s">
        <v>945</v>
      </c>
      <c r="O676" s="1077">
        <v>1.87</v>
      </c>
      <c r="P676" s="1077">
        <v>1.496</v>
      </c>
      <c r="Q676" s="1077">
        <v>4</v>
      </c>
      <c r="R676" s="1077">
        <v>23</v>
      </c>
      <c r="T676" s="1077">
        <v>18.600000000000001</v>
      </c>
      <c r="U676" s="1077">
        <v>3.5</v>
      </c>
      <c r="V676" s="1077" t="s">
        <v>648</v>
      </c>
      <c r="W676" s="1077">
        <v>105</v>
      </c>
      <c r="X676" s="1077">
        <v>80</v>
      </c>
      <c r="Y676" s="1077">
        <v>2</v>
      </c>
      <c r="Z676" s="1077">
        <v>4.5</v>
      </c>
      <c r="AA676" s="1077" t="s">
        <v>1596</v>
      </c>
      <c r="AH676" s="1077" t="s">
        <v>1053</v>
      </c>
      <c r="AI676" s="1077" t="s">
        <v>1597</v>
      </c>
      <c r="AJ676" s="1077" t="s">
        <v>1597</v>
      </c>
      <c r="AK676" s="1077" t="s">
        <v>1597</v>
      </c>
      <c r="AM676" s="1078" t="s">
        <v>10394</v>
      </c>
      <c r="AN676" s="1078" t="s">
        <v>10395</v>
      </c>
      <c r="AO676" s="1078">
        <f t="shared" si="86"/>
        <v>600</v>
      </c>
      <c r="AP676" s="1078">
        <f t="shared" si="87"/>
        <v>1.698</v>
      </c>
      <c r="AQ676" s="1078" t="str">
        <f t="shared" si="88"/>
        <v>2-5-1S83°</v>
      </c>
      <c r="AR676" s="1078" t="str">
        <f t="shared" si="89"/>
        <v>30</v>
      </c>
      <c r="AS676" s="1078" t="str">
        <f t="shared" si="90"/>
        <v>166/OFF</v>
      </c>
      <c r="AT676" s="1078" t="str">
        <f t="shared" si="91"/>
        <v>2-5-1S83°</v>
      </c>
      <c r="AV676" s="1078" t="str">
        <f t="shared" si="84"/>
        <v>112.7.10</v>
      </c>
      <c r="AW676" s="1344">
        <f t="shared" si="85"/>
        <v>45117</v>
      </c>
    </row>
    <row r="677" spans="1:49">
      <c r="A677" s="1077" t="s">
        <v>3649</v>
      </c>
      <c r="B677" s="1077" t="s">
        <v>620</v>
      </c>
      <c r="C677" s="1077">
        <v>500</v>
      </c>
      <c r="D677" s="1077">
        <v>1.7070000000000001</v>
      </c>
      <c r="E677" s="1077" t="s">
        <v>15091</v>
      </c>
      <c r="F677" s="1077" t="s">
        <v>984</v>
      </c>
      <c r="G677" s="1077" t="s">
        <v>940</v>
      </c>
      <c r="H677" s="1077" t="s">
        <v>3300</v>
      </c>
      <c r="I677" s="1077" t="s">
        <v>626</v>
      </c>
      <c r="J677" s="1077">
        <v>1.2</v>
      </c>
      <c r="K677" s="1077" t="s">
        <v>3579</v>
      </c>
      <c r="L677" s="1077" t="s">
        <v>2032</v>
      </c>
      <c r="M677" s="1077">
        <v>77</v>
      </c>
      <c r="N677" s="1077" t="s">
        <v>945</v>
      </c>
      <c r="O677" s="1077">
        <v>1.925</v>
      </c>
      <c r="P677" s="1077">
        <v>1.54</v>
      </c>
      <c r="Q677" s="1077">
        <v>4</v>
      </c>
      <c r="R677" s="1077">
        <v>22</v>
      </c>
      <c r="T677" s="1077">
        <v>9</v>
      </c>
      <c r="U677" s="1077">
        <v>3.5</v>
      </c>
      <c r="V677" s="1077" t="s">
        <v>648</v>
      </c>
      <c r="W677" s="1077">
        <v>140</v>
      </c>
      <c r="X677" s="1077">
        <v>80</v>
      </c>
      <c r="Y677" s="1077">
        <v>2.1</v>
      </c>
      <c r="Z677" s="1077">
        <v>2.5</v>
      </c>
      <c r="AA677" s="1077" t="s">
        <v>3646</v>
      </c>
      <c r="AH677" s="1077" t="s">
        <v>812</v>
      </c>
      <c r="AI677" s="1077">
        <v>91.9</v>
      </c>
      <c r="AJ677" s="1077">
        <v>-0.15</v>
      </c>
      <c r="AK677" s="1077">
        <v>1.92</v>
      </c>
      <c r="AM677" s="1078" t="s">
        <v>10396</v>
      </c>
      <c r="AN677" s="1078" t="s">
        <v>10397</v>
      </c>
      <c r="AO677" s="1078">
        <f t="shared" si="86"/>
        <v>500</v>
      </c>
      <c r="AP677" s="1078">
        <f t="shared" si="87"/>
        <v>1.7070000000000001</v>
      </c>
      <c r="AQ677" s="1078" t="str">
        <f t="shared" si="88"/>
        <v>2-5-1S83°</v>
      </c>
      <c r="AR677" s="1078" t="str">
        <f t="shared" si="89"/>
        <v>30</v>
      </c>
      <c r="AS677" s="1078" t="str">
        <f t="shared" si="90"/>
        <v>158/160</v>
      </c>
      <c r="AT677" s="1078" t="str">
        <f t="shared" si="91"/>
        <v>2-5-1S83°</v>
      </c>
      <c r="AV677" s="1078" t="str">
        <f t="shared" si="84"/>
        <v>112.7.12</v>
      </c>
      <c r="AW677" s="1344">
        <f t="shared" si="85"/>
        <v>45119</v>
      </c>
    </row>
    <row r="678" spans="1:49">
      <c r="A678" s="1077" t="s">
        <v>3650</v>
      </c>
      <c r="B678" s="1077" t="s">
        <v>1858</v>
      </c>
      <c r="C678" s="1077">
        <v>620</v>
      </c>
      <c r="D678" s="1077">
        <v>1.7</v>
      </c>
      <c r="E678" s="1077" t="s">
        <v>15089</v>
      </c>
      <c r="F678" s="1077" t="s">
        <v>975</v>
      </c>
      <c r="G678" s="1077" t="s">
        <v>1867</v>
      </c>
      <c r="H678" s="1077" t="s">
        <v>1226</v>
      </c>
      <c r="I678" s="1077" t="s">
        <v>126</v>
      </c>
      <c r="J678" s="1077">
        <v>0.9</v>
      </c>
      <c r="K678" s="1077" t="s">
        <v>1859</v>
      </c>
      <c r="L678" s="1077" t="s">
        <v>1860</v>
      </c>
      <c r="M678" s="1077">
        <v>74</v>
      </c>
      <c r="N678" s="1077" t="s">
        <v>945</v>
      </c>
      <c r="O678" s="1077">
        <v>1.85</v>
      </c>
      <c r="P678" s="1077">
        <v>1.48</v>
      </c>
      <c r="Q678" s="1077">
        <v>3</v>
      </c>
      <c r="R678" s="1077" t="s">
        <v>3651</v>
      </c>
      <c r="T678" s="1077">
        <v>13.8</v>
      </c>
      <c r="U678" s="1077">
        <v>5.0999999999999996</v>
      </c>
      <c r="V678" s="1077" t="s">
        <v>648</v>
      </c>
      <c r="W678" s="1077">
        <v>100</v>
      </c>
      <c r="X678" s="1077">
        <v>60</v>
      </c>
      <c r="Y678" s="1077">
        <v>1.8</v>
      </c>
      <c r="Z678" s="1077">
        <v>4</v>
      </c>
      <c r="AA678" s="1077" t="s">
        <v>3652</v>
      </c>
      <c r="AB678" s="1077" t="s">
        <v>3653</v>
      </c>
      <c r="AH678" s="1077" t="s">
        <v>884</v>
      </c>
      <c r="AI678" s="1077">
        <v>94.02</v>
      </c>
      <c r="AJ678" s="1077">
        <v>-0.71</v>
      </c>
      <c r="AK678" s="1077">
        <v>3.64</v>
      </c>
      <c r="AM678" s="1078" t="s">
        <v>10398</v>
      </c>
      <c r="AN678" s="1078" t="s">
        <v>10399</v>
      </c>
      <c r="AO678" s="1078">
        <f t="shared" si="86"/>
        <v>620</v>
      </c>
      <c r="AP678" s="1078">
        <f t="shared" si="87"/>
        <v>1.7</v>
      </c>
      <c r="AQ678" s="1078" t="str">
        <f t="shared" si="88"/>
        <v>1-4-1S83°</v>
      </c>
      <c r="AR678" s="1078" t="str">
        <f t="shared" si="89"/>
        <v>31.5</v>
      </c>
      <c r="AS678" s="1078" t="str">
        <f t="shared" si="90"/>
        <v>230/230/OFF</v>
      </c>
      <c r="AT678" s="1078" t="str">
        <f t="shared" si="91"/>
        <v>1-4-1S83°</v>
      </c>
      <c r="AV678" s="1078" t="str">
        <f t="shared" si="84"/>
        <v>112.7.18</v>
      </c>
      <c r="AW678" s="1344">
        <f t="shared" si="85"/>
        <v>45125</v>
      </c>
    </row>
    <row r="679" spans="1:49">
      <c r="A679" s="1077" t="s">
        <v>3654</v>
      </c>
      <c r="B679" s="1077" t="s">
        <v>1815</v>
      </c>
      <c r="C679" s="1077">
        <v>650</v>
      </c>
      <c r="D679" s="1077">
        <v>1.7350000000000001</v>
      </c>
      <c r="E679" s="1077" t="s">
        <v>15098</v>
      </c>
      <c r="F679" s="1077" t="s">
        <v>954</v>
      </c>
      <c r="G679" s="1077" t="s">
        <v>1767</v>
      </c>
      <c r="H679" s="1077" t="s">
        <v>1793</v>
      </c>
      <c r="I679" s="1077" t="s">
        <v>126</v>
      </c>
      <c r="J679" s="1077">
        <v>0.9</v>
      </c>
      <c r="K679" s="1077" t="s">
        <v>3655</v>
      </c>
      <c r="L679" s="1077" t="s">
        <v>1817</v>
      </c>
      <c r="M679" s="1077">
        <v>75.099999999999994</v>
      </c>
      <c r="N679" s="1077" t="s">
        <v>945</v>
      </c>
      <c r="O679" s="1077">
        <v>1.8774999999999999</v>
      </c>
      <c r="P679" s="1077">
        <v>1.502</v>
      </c>
      <c r="Q679" s="1077">
        <v>4</v>
      </c>
      <c r="R679" s="1077">
        <v>19</v>
      </c>
      <c r="T679" s="1077">
        <v>21</v>
      </c>
      <c r="U679" s="1077">
        <v>3.5</v>
      </c>
      <c r="V679" s="1077" t="s">
        <v>648</v>
      </c>
      <c r="W679" s="1077">
        <v>110</v>
      </c>
      <c r="X679" s="1077" t="s">
        <v>2650</v>
      </c>
      <c r="Y679" s="1077">
        <v>1.6</v>
      </c>
      <c r="Z679" s="1077">
        <v>4</v>
      </c>
      <c r="AA679" s="1077" t="s">
        <v>3656</v>
      </c>
      <c r="AB679" s="1077" t="s">
        <v>981</v>
      </c>
      <c r="AH679" s="1077" t="s">
        <v>1186</v>
      </c>
      <c r="AI679" s="1077">
        <v>94.93</v>
      </c>
      <c r="AJ679" s="1077">
        <v>-0.68</v>
      </c>
      <c r="AK679" s="1077">
        <v>2.35</v>
      </c>
      <c r="AM679" s="1078" t="s">
        <v>10400</v>
      </c>
      <c r="AN679" s="1078" t="s">
        <v>10401</v>
      </c>
      <c r="AO679" s="1078">
        <f t="shared" si="86"/>
        <v>650</v>
      </c>
      <c r="AP679" s="1078">
        <f t="shared" si="87"/>
        <v>1.7350000000000001</v>
      </c>
      <c r="AQ679" s="1078" t="str">
        <f t="shared" si="88"/>
        <v>1-4-1S91°</v>
      </c>
      <c r="AR679" s="1078" t="str">
        <f t="shared" si="89"/>
        <v>31</v>
      </c>
      <c r="AS679" s="1078" t="str">
        <f t="shared" si="90"/>
        <v>270/270/OFF</v>
      </c>
      <c r="AT679" s="1078" t="str">
        <f t="shared" si="91"/>
        <v>1-4-1S91°</v>
      </c>
      <c r="AV679" s="1078" t="str">
        <f t="shared" si="84"/>
        <v>112.7.14</v>
      </c>
      <c r="AW679" s="1344">
        <f t="shared" si="85"/>
        <v>45121</v>
      </c>
    </row>
    <row r="680" spans="1:49">
      <c r="A680" s="1077" t="s">
        <v>3657</v>
      </c>
      <c r="B680" s="1077" t="s">
        <v>453</v>
      </c>
      <c r="C680" s="1077" t="s">
        <v>3658</v>
      </c>
      <c r="D680" s="1077">
        <v>1.714</v>
      </c>
      <c r="E680" s="1077" t="s">
        <v>15091</v>
      </c>
      <c r="F680" s="1077" t="s">
        <v>3659</v>
      </c>
      <c r="G680" s="1077" t="s">
        <v>1767</v>
      </c>
      <c r="H680" s="1077" t="s">
        <v>1263</v>
      </c>
      <c r="I680" s="1077" t="s">
        <v>1112</v>
      </c>
      <c r="J680" s="1077">
        <v>1</v>
      </c>
      <c r="K680" s="1077" t="s">
        <v>3501</v>
      </c>
      <c r="L680" s="1077" t="s">
        <v>1776</v>
      </c>
      <c r="M680" s="1077">
        <v>74.8</v>
      </c>
      <c r="N680" s="1077" t="s">
        <v>945</v>
      </c>
      <c r="O680" s="1077">
        <v>1.87</v>
      </c>
      <c r="P680" s="1077">
        <v>1.496</v>
      </c>
      <c r="Q680" s="1077">
        <v>4</v>
      </c>
      <c r="R680" s="1077">
        <v>23</v>
      </c>
      <c r="T680" s="1077">
        <v>18.600000000000001</v>
      </c>
      <c r="U680" s="1077">
        <v>3.5</v>
      </c>
      <c r="V680" s="1077" t="s">
        <v>648</v>
      </c>
      <c r="W680" s="1077">
        <v>105</v>
      </c>
      <c r="X680" s="1077">
        <v>80</v>
      </c>
      <c r="Y680" s="1077">
        <v>2</v>
      </c>
      <c r="Z680" s="1077">
        <v>4.5</v>
      </c>
      <c r="AA680" s="1077" t="s">
        <v>3660</v>
      </c>
      <c r="AH680" s="1077" t="s">
        <v>803</v>
      </c>
      <c r="AI680" s="1077">
        <v>94.86</v>
      </c>
      <c r="AJ680" s="1077">
        <v>-0.03</v>
      </c>
      <c r="AK680" s="1077">
        <v>0.65</v>
      </c>
      <c r="AM680" s="1078" t="s">
        <v>10402</v>
      </c>
      <c r="AN680" s="1078" t="s">
        <v>10403</v>
      </c>
      <c r="AO680" s="1078" t="str">
        <f t="shared" si="86"/>
        <v>600↓550-8/8</v>
      </c>
      <c r="AP680" s="1078">
        <f t="shared" si="87"/>
        <v>1.714</v>
      </c>
      <c r="AQ680" s="1078" t="str">
        <f t="shared" si="88"/>
        <v>2-5-1S83°</v>
      </c>
      <c r="AR680" s="1078" t="str">
        <f t="shared" si="89"/>
        <v>31.4</v>
      </c>
      <c r="AS680" s="1078" t="str">
        <f t="shared" si="90"/>
        <v>163/OFF</v>
      </c>
      <c r="AT680" s="1078" t="str">
        <f t="shared" si="91"/>
        <v>2-5-1S83°</v>
      </c>
      <c r="AV680" s="1078" t="str">
        <f t="shared" si="84"/>
        <v>112.7.20</v>
      </c>
      <c r="AW680" s="1344">
        <f t="shared" si="85"/>
        <v>45127</v>
      </c>
    </row>
    <row r="681" spans="1:49">
      <c r="A681" s="1077" t="s">
        <v>3661</v>
      </c>
      <c r="B681" s="1077" t="s">
        <v>1815</v>
      </c>
      <c r="C681" s="1077">
        <v>650</v>
      </c>
      <c r="D681" s="1077">
        <v>1.7350000000000001</v>
      </c>
      <c r="E681" s="1077" t="s">
        <v>15098</v>
      </c>
      <c r="F681" s="1077" t="s">
        <v>954</v>
      </c>
      <c r="G681" s="1077" t="s">
        <v>1767</v>
      </c>
      <c r="H681" s="1077" t="s">
        <v>1793</v>
      </c>
      <c r="I681" s="1077" t="s">
        <v>126</v>
      </c>
      <c r="J681" s="1077">
        <v>0.9</v>
      </c>
      <c r="K681" s="1077" t="s">
        <v>1816</v>
      </c>
      <c r="L681" s="1077" t="s">
        <v>1817</v>
      </c>
      <c r="M681" s="1077">
        <v>75.099999999999994</v>
      </c>
      <c r="N681" s="1077" t="s">
        <v>945</v>
      </c>
      <c r="O681" s="1077">
        <v>1.8774999999999999</v>
      </c>
      <c r="P681" s="1077">
        <v>1.502</v>
      </c>
      <c r="Q681" s="1077">
        <v>4</v>
      </c>
      <c r="R681" s="1077">
        <v>19</v>
      </c>
      <c r="T681" s="1077">
        <v>21</v>
      </c>
      <c r="U681" s="1077">
        <v>3.5</v>
      </c>
      <c r="V681" s="1077" t="s">
        <v>648</v>
      </c>
      <c r="W681" s="1077">
        <v>110</v>
      </c>
      <c r="X681" s="1077" t="s">
        <v>2650</v>
      </c>
      <c r="Y681" s="1077">
        <v>1.6</v>
      </c>
      <c r="Z681" s="1077">
        <v>4</v>
      </c>
      <c r="AA681" s="1077" t="s">
        <v>1607</v>
      </c>
      <c r="AB681" s="1077" t="s">
        <v>981</v>
      </c>
      <c r="AH681" s="1077" t="s">
        <v>680</v>
      </c>
      <c r="AI681" s="1077">
        <v>94.79</v>
      </c>
      <c r="AJ681" s="1077">
        <v>-0.54</v>
      </c>
      <c r="AK681" s="1077">
        <v>1.74</v>
      </c>
      <c r="AM681" s="1078" t="s">
        <v>10404</v>
      </c>
      <c r="AN681" s="1078" t="s">
        <v>10405</v>
      </c>
      <c r="AO681" s="1078">
        <f t="shared" si="86"/>
        <v>650</v>
      </c>
      <c r="AP681" s="1078">
        <f t="shared" si="87"/>
        <v>1.7350000000000001</v>
      </c>
      <c r="AQ681" s="1078" t="str">
        <f t="shared" si="88"/>
        <v>1-4-1S91°</v>
      </c>
      <c r="AR681" s="1078" t="str">
        <f t="shared" si="89"/>
        <v>31</v>
      </c>
      <c r="AS681" s="1078" t="str">
        <f t="shared" si="90"/>
        <v>270/270/OFF</v>
      </c>
      <c r="AT681" s="1078" t="str">
        <f t="shared" si="91"/>
        <v>1-4-1S91°</v>
      </c>
      <c r="AV681" s="1078" t="str">
        <f t="shared" si="84"/>
        <v>112.7.21</v>
      </c>
      <c r="AW681" s="1344">
        <f t="shared" si="85"/>
        <v>45128</v>
      </c>
    </row>
    <row r="682" spans="1:49">
      <c r="A682" s="1077" t="s">
        <v>3662</v>
      </c>
      <c r="B682" s="1077" t="s">
        <v>1815</v>
      </c>
      <c r="C682" s="1077">
        <v>650</v>
      </c>
      <c r="D682" s="1077">
        <v>1.7350000000000001</v>
      </c>
      <c r="E682" s="1077" t="s">
        <v>15098</v>
      </c>
      <c r="F682" s="1077" t="s">
        <v>954</v>
      </c>
      <c r="G682" s="1077" t="s">
        <v>1767</v>
      </c>
      <c r="H682" s="1077" t="s">
        <v>1793</v>
      </c>
      <c r="I682" s="1077" t="s">
        <v>126</v>
      </c>
      <c r="J682" s="1077">
        <v>0.9</v>
      </c>
      <c r="K682" s="1077" t="s">
        <v>1816</v>
      </c>
      <c r="L682" s="1077" t="s">
        <v>1817</v>
      </c>
      <c r="M682" s="1077">
        <v>75.099999999999994</v>
      </c>
      <c r="N682" s="1077" t="s">
        <v>945</v>
      </c>
      <c r="O682" s="1077">
        <v>1.8774999999999999</v>
      </c>
      <c r="P682" s="1077">
        <v>1.502</v>
      </c>
      <c r="Q682" s="1077">
        <v>4</v>
      </c>
      <c r="R682" s="1077">
        <v>19</v>
      </c>
      <c r="T682" s="1077">
        <v>21</v>
      </c>
      <c r="U682" s="1077">
        <v>3.5</v>
      </c>
      <c r="V682" s="1077" t="s">
        <v>648</v>
      </c>
      <c r="W682" s="1077">
        <v>110</v>
      </c>
      <c r="X682" s="1077" t="s">
        <v>2650</v>
      </c>
      <c r="Y682" s="1077">
        <v>1.6</v>
      </c>
      <c r="Z682" s="1077">
        <v>4</v>
      </c>
      <c r="AA682" s="1077" t="s">
        <v>1607</v>
      </c>
      <c r="AB682" s="1077" t="s">
        <v>981</v>
      </c>
      <c r="AH682" s="1077" t="s">
        <v>482</v>
      </c>
      <c r="AI682" s="1077">
        <v>94.28</v>
      </c>
      <c r="AJ682" s="1077">
        <v>-0.18</v>
      </c>
      <c r="AK682" s="1077">
        <v>1.53</v>
      </c>
      <c r="AM682" s="1078" t="s">
        <v>10406</v>
      </c>
      <c r="AN682" s="1078" t="s">
        <v>10407</v>
      </c>
      <c r="AO682" s="1078">
        <f t="shared" si="86"/>
        <v>650</v>
      </c>
      <c r="AP682" s="1078">
        <f t="shared" si="87"/>
        <v>1.7350000000000001</v>
      </c>
      <c r="AQ682" s="1078" t="str">
        <f t="shared" si="88"/>
        <v>1-4-1S91°</v>
      </c>
      <c r="AR682" s="1078" t="str">
        <f t="shared" si="89"/>
        <v>31</v>
      </c>
      <c r="AS682" s="1078" t="str">
        <f t="shared" si="90"/>
        <v>270/270/OFF</v>
      </c>
      <c r="AT682" s="1078" t="str">
        <f t="shared" si="91"/>
        <v>1-4-1S91°</v>
      </c>
      <c r="AV682" s="1078" t="str">
        <f t="shared" si="84"/>
        <v>112.7.21</v>
      </c>
      <c r="AW682" s="1344">
        <f t="shared" si="85"/>
        <v>45128</v>
      </c>
    </row>
    <row r="683" spans="1:49">
      <c r="A683" s="1077" t="s">
        <v>3663</v>
      </c>
      <c r="B683" s="1077" t="s">
        <v>1842</v>
      </c>
      <c r="C683" s="1077">
        <v>500</v>
      </c>
      <c r="D683" s="1077">
        <v>1.7</v>
      </c>
      <c r="E683" s="1077" t="s">
        <v>15095</v>
      </c>
      <c r="F683" s="1077" t="s">
        <v>984</v>
      </c>
      <c r="G683" s="1077" t="s">
        <v>1016</v>
      </c>
      <c r="H683" s="1077" t="s">
        <v>1290</v>
      </c>
      <c r="I683" s="1077" t="s">
        <v>126</v>
      </c>
      <c r="J683" s="1077">
        <v>0.8</v>
      </c>
      <c r="K683" s="1077" t="s">
        <v>3587</v>
      </c>
      <c r="L683" s="1077" t="s">
        <v>1844</v>
      </c>
      <c r="M683" s="1077">
        <v>77.099999999999994</v>
      </c>
      <c r="N683" s="1077" t="s">
        <v>945</v>
      </c>
      <c r="O683" s="1077">
        <v>1.9275</v>
      </c>
      <c r="P683" s="1077">
        <v>1.5419999999999998</v>
      </c>
      <c r="Q683" s="1077">
        <v>4</v>
      </c>
      <c r="R683" s="1077">
        <v>23</v>
      </c>
      <c r="T683" s="1077">
        <v>18</v>
      </c>
      <c r="U683" s="1077">
        <v>4</v>
      </c>
      <c r="V683" s="1077" t="s">
        <v>648</v>
      </c>
      <c r="W683" s="1077">
        <v>110</v>
      </c>
      <c r="X683" s="1077">
        <v>70</v>
      </c>
      <c r="Y683" s="1077">
        <v>1.8</v>
      </c>
      <c r="Z683" s="1077">
        <v>4.5</v>
      </c>
      <c r="AA683" s="1077" t="s">
        <v>3664</v>
      </c>
      <c r="AH683" s="1077" t="s">
        <v>948</v>
      </c>
      <c r="AI683" s="1077">
        <v>95.08</v>
      </c>
      <c r="AJ683" s="1077">
        <v>-0.18</v>
      </c>
      <c r="AK683" s="1077">
        <v>0.9</v>
      </c>
      <c r="AM683" s="1078" t="s">
        <v>10408</v>
      </c>
      <c r="AN683" s="1078" t="s">
        <v>10409</v>
      </c>
      <c r="AO683" s="1078">
        <f t="shared" si="86"/>
        <v>500</v>
      </c>
      <c r="AP683" s="1078">
        <f t="shared" si="87"/>
        <v>1.7</v>
      </c>
      <c r="AQ683" s="1078" t="str">
        <f t="shared" si="88"/>
        <v>1-5-1S83°</v>
      </c>
      <c r="AR683" s="1078" t="str">
        <f t="shared" si="89"/>
        <v>30</v>
      </c>
      <c r="AS683" s="1078" t="str">
        <f t="shared" si="90"/>
        <v>220/220/OFF</v>
      </c>
      <c r="AT683" s="1078" t="str">
        <f t="shared" si="91"/>
        <v>1-5-1S83°</v>
      </c>
      <c r="AV683" s="1078" t="str">
        <f t="shared" si="84"/>
        <v>112.7.28</v>
      </c>
      <c r="AW683" s="1344">
        <f t="shared" si="85"/>
        <v>45135</v>
      </c>
    </row>
    <row r="684" spans="1:49">
      <c r="A684" s="1077" t="s">
        <v>3665</v>
      </c>
      <c r="B684" s="1077" t="s">
        <v>424</v>
      </c>
      <c r="C684" s="1077">
        <v>650</v>
      </c>
      <c r="D684" s="1077">
        <v>1.7749999999999999</v>
      </c>
      <c r="E684" s="1077" t="s">
        <v>15091</v>
      </c>
      <c r="F684" s="1077" t="s">
        <v>984</v>
      </c>
      <c r="G684" s="1077" t="s">
        <v>1767</v>
      </c>
      <c r="H684" s="1077" t="s">
        <v>3482</v>
      </c>
      <c r="I684" s="1077" t="s">
        <v>1112</v>
      </c>
      <c r="J684" s="1077">
        <v>0.6</v>
      </c>
      <c r="K684" s="1077" t="s">
        <v>3666</v>
      </c>
      <c r="L684" s="1077" t="s">
        <v>1938</v>
      </c>
      <c r="M684" s="1077">
        <v>74.5</v>
      </c>
      <c r="N684" s="1077" t="s">
        <v>945</v>
      </c>
      <c r="O684" s="1077">
        <v>1.8625</v>
      </c>
      <c r="P684" s="1077">
        <v>1.49</v>
      </c>
      <c r="Q684" s="1077">
        <v>4</v>
      </c>
      <c r="R684" s="1077">
        <v>22</v>
      </c>
      <c r="T684" s="1077">
        <v>19.5</v>
      </c>
      <c r="U684" s="1077">
        <v>2.2999999999999998</v>
      </c>
      <c r="V684" s="1077" t="s">
        <v>648</v>
      </c>
      <c r="W684" s="1077">
        <v>40</v>
      </c>
      <c r="X684" s="1077">
        <v>10</v>
      </c>
      <c r="Y684" s="1077">
        <v>1.2</v>
      </c>
      <c r="Z684" s="1077">
        <v>4</v>
      </c>
      <c r="AA684" s="1077" t="s">
        <v>1611</v>
      </c>
      <c r="AH684" s="1077" t="s">
        <v>831</v>
      </c>
      <c r="AI684" s="1077">
        <v>95.43</v>
      </c>
      <c r="AJ684" s="1077">
        <v>-0.32</v>
      </c>
      <c r="AK684" s="1077">
        <v>0.18</v>
      </c>
      <c r="AM684" s="1078" t="s">
        <v>10410</v>
      </c>
      <c r="AN684" s="1078" t="s">
        <v>10411</v>
      </c>
      <c r="AO684" s="1078">
        <f t="shared" si="86"/>
        <v>650</v>
      </c>
      <c r="AP684" s="1078">
        <f t="shared" si="87"/>
        <v>1.7749999999999999</v>
      </c>
      <c r="AQ684" s="1078" t="str">
        <f t="shared" si="88"/>
        <v>2-5-1S83°</v>
      </c>
      <c r="AR684" s="1078" t="str">
        <f t="shared" si="89"/>
        <v>30</v>
      </c>
      <c r="AS684" s="1078" t="str">
        <f t="shared" si="90"/>
        <v>170/160</v>
      </c>
      <c r="AT684" s="1078" t="str">
        <f t="shared" si="91"/>
        <v>2-5-1S83°</v>
      </c>
      <c r="AV684" s="1078" t="str">
        <f t="shared" si="84"/>
        <v>112.8.1</v>
      </c>
      <c r="AW684" s="1344">
        <f t="shared" si="85"/>
        <v>45139</v>
      </c>
    </row>
    <row r="685" spans="1:49">
      <c r="A685" s="1077" t="s">
        <v>3667</v>
      </c>
      <c r="B685" s="1077" t="s">
        <v>3201</v>
      </c>
      <c r="C685" s="1077">
        <v>450</v>
      </c>
      <c r="D685" s="1077">
        <v>1.84</v>
      </c>
      <c r="E685" s="1077" t="s">
        <v>15089</v>
      </c>
      <c r="F685" s="1077" t="s">
        <v>954</v>
      </c>
      <c r="G685" s="1077" t="s">
        <v>1016</v>
      </c>
      <c r="H685" s="1077" t="s">
        <v>1274</v>
      </c>
      <c r="I685" s="1077" t="s">
        <v>942</v>
      </c>
      <c r="J685" s="1077">
        <v>1.4</v>
      </c>
      <c r="K685" s="1077" t="s">
        <v>3668</v>
      </c>
      <c r="L685" s="1077" t="s">
        <v>3669</v>
      </c>
      <c r="M685" s="1077">
        <v>72.5</v>
      </c>
      <c r="N685" s="1077" t="s">
        <v>945</v>
      </c>
      <c r="O685" s="1077">
        <v>1.8125</v>
      </c>
      <c r="P685" s="1077">
        <v>1.45</v>
      </c>
      <c r="Q685" s="1077">
        <v>3.5</v>
      </c>
      <c r="R685" s="1077">
        <v>23.5</v>
      </c>
      <c r="T685" s="1077">
        <v>14.5</v>
      </c>
      <c r="U685" s="1077">
        <v>3.9</v>
      </c>
      <c r="V685" s="1077" t="s">
        <v>648</v>
      </c>
      <c r="W685" s="1077">
        <v>165</v>
      </c>
      <c r="X685" s="1077">
        <v>80</v>
      </c>
      <c r="Y685" s="1077">
        <v>2.5</v>
      </c>
      <c r="Z685" s="1077">
        <v>4.5</v>
      </c>
      <c r="AA685" s="1077" t="s">
        <v>3670</v>
      </c>
      <c r="AH685" s="1077" t="s">
        <v>767</v>
      </c>
      <c r="AI685" s="1077">
        <v>91.8</v>
      </c>
      <c r="AJ685" s="1077">
        <v>-0.1</v>
      </c>
      <c r="AK685" s="1077">
        <v>5</v>
      </c>
      <c r="AM685" s="1078" t="s">
        <v>10412</v>
      </c>
      <c r="AN685" s="1078" t="s">
        <v>10413</v>
      </c>
      <c r="AO685" s="1078">
        <f t="shared" si="86"/>
        <v>450</v>
      </c>
      <c r="AP685" s="1078">
        <f t="shared" si="87"/>
        <v>1.84</v>
      </c>
      <c r="AQ685" s="1078" t="str">
        <f t="shared" si="88"/>
        <v>1-4-1S83°</v>
      </c>
      <c r="AR685" s="1078" t="str">
        <f t="shared" si="89"/>
        <v>31</v>
      </c>
      <c r="AS685" s="1078" t="str">
        <f t="shared" si="90"/>
        <v>210/210/OFF</v>
      </c>
      <c r="AT685" s="1078" t="str">
        <f t="shared" si="91"/>
        <v>1-4-1S83°</v>
      </c>
      <c r="AV685" s="1078" t="str">
        <f t="shared" si="84"/>
        <v>112.7.31</v>
      </c>
      <c r="AW685" s="1344">
        <f t="shared" si="85"/>
        <v>45138</v>
      </c>
    </row>
    <row r="686" spans="1:49">
      <c r="A686" s="1077" t="s">
        <v>3671</v>
      </c>
      <c r="B686" s="1077" t="s">
        <v>1842</v>
      </c>
      <c r="C686" s="1077">
        <v>500</v>
      </c>
      <c r="D686" s="1077">
        <v>1.7</v>
      </c>
      <c r="E686" s="1077" t="s">
        <v>15095</v>
      </c>
      <c r="F686" s="1077" t="s">
        <v>984</v>
      </c>
      <c r="G686" s="1077" t="s">
        <v>1016</v>
      </c>
      <c r="H686" s="1077" t="s">
        <v>1290</v>
      </c>
      <c r="I686" s="1077" t="s">
        <v>126</v>
      </c>
      <c r="J686" s="1077">
        <v>0.8</v>
      </c>
      <c r="K686" s="1077" t="s">
        <v>3672</v>
      </c>
      <c r="L686" s="1077" t="s">
        <v>1844</v>
      </c>
      <c r="M686" s="1077">
        <v>77.099999999999994</v>
      </c>
      <c r="N686" s="1077" t="s">
        <v>945</v>
      </c>
      <c r="O686" s="1077">
        <v>1.9275</v>
      </c>
      <c r="P686" s="1077">
        <v>1.5419999999999998</v>
      </c>
      <c r="Q686" s="1077" t="s">
        <v>3673</v>
      </c>
      <c r="R686" s="1077" t="s">
        <v>3674</v>
      </c>
      <c r="T686" s="1077">
        <v>18</v>
      </c>
      <c r="U686" s="1077">
        <v>4</v>
      </c>
      <c r="V686" s="1077" t="s">
        <v>648</v>
      </c>
      <c r="W686" s="1077">
        <v>110</v>
      </c>
      <c r="X686" s="1077">
        <v>70</v>
      </c>
      <c r="Y686" s="1077">
        <v>1.8</v>
      </c>
      <c r="Z686" s="1077">
        <v>4.5</v>
      </c>
      <c r="AA686" s="1077" t="s">
        <v>3675</v>
      </c>
      <c r="AH686" s="1077" t="s">
        <v>646</v>
      </c>
      <c r="AI686" s="1077">
        <v>94.85</v>
      </c>
      <c r="AJ686" s="1077">
        <v>-0.56999999999999995</v>
      </c>
      <c r="AK686" s="1077">
        <v>1</v>
      </c>
      <c r="AM686" s="1078" t="s">
        <v>10414</v>
      </c>
      <c r="AN686" s="1078" t="s">
        <v>10415</v>
      </c>
      <c r="AO686" s="1078">
        <f t="shared" si="86"/>
        <v>500</v>
      </c>
      <c r="AP686" s="1078">
        <f t="shared" si="87"/>
        <v>1.7</v>
      </c>
      <c r="AQ686" s="1078" t="str">
        <f t="shared" si="88"/>
        <v>1-5-1S83°</v>
      </c>
      <c r="AR686" s="1078" t="str">
        <f t="shared" si="89"/>
        <v>30</v>
      </c>
      <c r="AS686" s="1078" t="str">
        <f t="shared" si="90"/>
        <v>220/220/OFF</v>
      </c>
      <c r="AT686" s="1078" t="str">
        <f t="shared" si="91"/>
        <v>1-5-1S83°</v>
      </c>
      <c r="AV686" s="1078" t="str">
        <f t="shared" si="84"/>
        <v>112.8.4</v>
      </c>
      <c r="AW686" s="1344">
        <f t="shared" si="85"/>
        <v>45142</v>
      </c>
    </row>
    <row r="687" spans="1:49">
      <c r="A687" s="1077" t="s">
        <v>3676</v>
      </c>
      <c r="B687" s="1077" t="s">
        <v>1883</v>
      </c>
      <c r="C687" s="1077">
        <v>600</v>
      </c>
      <c r="D687" s="1077">
        <v>1.82</v>
      </c>
      <c r="E687" s="1077" t="s">
        <v>15089</v>
      </c>
      <c r="F687" s="1077" t="s">
        <v>984</v>
      </c>
      <c r="G687" s="1077" t="s">
        <v>1767</v>
      </c>
      <c r="H687" s="1077" t="s">
        <v>955</v>
      </c>
      <c r="I687" s="1077" t="s">
        <v>126</v>
      </c>
      <c r="J687" s="1077">
        <v>1.7</v>
      </c>
      <c r="K687" s="1077" t="s">
        <v>3677</v>
      </c>
      <c r="L687" s="1077" t="s">
        <v>1885</v>
      </c>
      <c r="M687" s="1077">
        <v>75.2</v>
      </c>
      <c r="N687" s="1077" t="s">
        <v>945</v>
      </c>
      <c r="O687" s="1077">
        <v>1.8800000000000001</v>
      </c>
      <c r="P687" s="1077">
        <v>1.504</v>
      </c>
      <c r="Q687" s="1077" t="s">
        <v>3678</v>
      </c>
      <c r="R687" s="1077" t="s">
        <v>3679</v>
      </c>
      <c r="T687" s="1077">
        <v>32.5</v>
      </c>
      <c r="U687" s="1077">
        <v>3.4</v>
      </c>
      <c r="V687" s="1077" t="s">
        <v>1886</v>
      </c>
      <c r="W687" s="1077">
        <v>105</v>
      </c>
      <c r="X687" s="1077">
        <v>75</v>
      </c>
      <c r="Y687" s="1077">
        <v>1.2</v>
      </c>
      <c r="Z687" s="1077">
        <v>5.5</v>
      </c>
      <c r="AA687" s="1077" t="s">
        <v>3680</v>
      </c>
      <c r="AH687" s="1077" t="s">
        <v>1186</v>
      </c>
      <c r="AI687" s="1077">
        <v>15.22</v>
      </c>
      <c r="AJ687" s="1077">
        <v>0.41</v>
      </c>
      <c r="AK687" s="1077">
        <v>1.24</v>
      </c>
      <c r="AM687" s="1078" t="s">
        <v>10416</v>
      </c>
      <c r="AN687" s="1078" t="s">
        <v>10417</v>
      </c>
      <c r="AO687" s="1078">
        <f t="shared" si="86"/>
        <v>600</v>
      </c>
      <c r="AP687" s="1078">
        <f t="shared" si="87"/>
        <v>1.82</v>
      </c>
      <c r="AQ687" s="1078" t="str">
        <f t="shared" si="88"/>
        <v>1-4-1S83°</v>
      </c>
      <c r="AR687" s="1078" t="str">
        <f t="shared" si="89"/>
        <v>30</v>
      </c>
      <c r="AS687" s="1078" t="str">
        <f t="shared" si="90"/>
        <v>260/260/OFF</v>
      </c>
      <c r="AT687" s="1078" t="str">
        <f t="shared" si="91"/>
        <v>1-4-1S83°</v>
      </c>
      <c r="AV687" s="1078" t="str">
        <f t="shared" si="84"/>
        <v>112.8.10</v>
      </c>
      <c r="AW687" s="1344">
        <f t="shared" si="85"/>
        <v>45148</v>
      </c>
    </row>
    <row r="688" spans="1:49">
      <c r="A688" s="1077" t="s">
        <v>3681</v>
      </c>
      <c r="B688" s="1077" t="s">
        <v>424</v>
      </c>
      <c r="C688" s="1077">
        <v>700</v>
      </c>
      <c r="D688" s="1077">
        <v>1.7649999999999999</v>
      </c>
      <c r="E688" s="1077" t="s">
        <v>15089</v>
      </c>
      <c r="F688" s="1077" t="s">
        <v>954</v>
      </c>
      <c r="G688" s="1077" t="s">
        <v>1767</v>
      </c>
      <c r="H688" s="1077" t="s">
        <v>1806</v>
      </c>
      <c r="I688" s="1077" t="s">
        <v>126</v>
      </c>
      <c r="J688" s="1077">
        <v>1.9</v>
      </c>
      <c r="K688" s="1077" t="s">
        <v>1864</v>
      </c>
      <c r="L688" s="1077" t="s">
        <v>1795</v>
      </c>
      <c r="M688" s="1077" t="s">
        <v>3682</v>
      </c>
      <c r="N688" s="1077" t="s">
        <v>945</v>
      </c>
      <c r="O688" s="1077" t="e">
        <v>#VALUE!</v>
      </c>
      <c r="P688" s="1077" t="e">
        <v>#VALUE!</v>
      </c>
      <c r="Q688" s="1077">
        <v>4</v>
      </c>
      <c r="R688" s="1077">
        <v>21.6</v>
      </c>
      <c r="T688" s="1077">
        <v>32</v>
      </c>
      <c r="U688" s="1077">
        <v>3.5</v>
      </c>
      <c r="V688" s="1077" t="s">
        <v>648</v>
      </c>
      <c r="W688" s="1077">
        <v>110</v>
      </c>
      <c r="X688" s="1077">
        <v>60</v>
      </c>
      <c r="Y688" s="1077">
        <v>1.5</v>
      </c>
      <c r="Z688" s="1077">
        <v>5.5</v>
      </c>
      <c r="AA688" s="1077" t="s">
        <v>3683</v>
      </c>
      <c r="AB688" s="1077" t="s">
        <v>981</v>
      </c>
      <c r="AH688" s="1077" t="s">
        <v>622</v>
      </c>
      <c r="AI688" s="1077">
        <v>91.71</v>
      </c>
      <c r="AJ688" s="1077">
        <v>-0.8</v>
      </c>
      <c r="AK688" s="1077">
        <v>5.0199999999999996</v>
      </c>
      <c r="AM688" s="1078" t="s">
        <v>10418</v>
      </c>
      <c r="AN688" s="1078" t="s">
        <v>10419</v>
      </c>
      <c r="AO688" s="1078">
        <f t="shared" si="86"/>
        <v>700</v>
      </c>
      <c r="AP688" s="1078">
        <f t="shared" si="87"/>
        <v>1.7649999999999999</v>
      </c>
      <c r="AQ688" s="1078" t="str">
        <f t="shared" si="88"/>
        <v>1-4-1S83°</v>
      </c>
      <c r="AR688" s="1078" t="str">
        <f t="shared" si="89"/>
        <v>31</v>
      </c>
      <c r="AS688" s="1078" t="str">
        <f t="shared" si="90"/>
        <v>280/280/OFF</v>
      </c>
      <c r="AT688" s="1078" t="str">
        <f t="shared" si="91"/>
        <v>1-4-1S83°</v>
      </c>
      <c r="AV688" s="1078" t="str">
        <f t="shared" si="84"/>
        <v>112.8.15</v>
      </c>
      <c r="AW688" s="1344">
        <f t="shared" si="85"/>
        <v>45153</v>
      </c>
    </row>
    <row r="689" spans="1:49">
      <c r="A689" s="1077" t="s">
        <v>3684</v>
      </c>
      <c r="B689" s="1077" t="s">
        <v>620</v>
      </c>
      <c r="C689" s="1077">
        <v>550</v>
      </c>
      <c r="D689" s="1077">
        <v>1.68</v>
      </c>
      <c r="E689" s="1077" t="s">
        <v>15091</v>
      </c>
      <c r="F689" s="1077" t="s">
        <v>3685</v>
      </c>
      <c r="G689" s="1077" t="s">
        <v>940</v>
      </c>
      <c r="H689" s="1077" t="s">
        <v>3686</v>
      </c>
      <c r="I689" s="1077" t="s">
        <v>626</v>
      </c>
      <c r="J689" s="1077">
        <v>1.3</v>
      </c>
      <c r="K689" s="1077" t="s">
        <v>2068</v>
      </c>
      <c r="L689" s="1077" t="s">
        <v>2032</v>
      </c>
      <c r="M689" s="1077">
        <v>77</v>
      </c>
      <c r="N689" s="1077" t="s">
        <v>945</v>
      </c>
      <c r="O689" s="1077">
        <v>1.925</v>
      </c>
      <c r="P689" s="1077">
        <v>1.54</v>
      </c>
      <c r="Q689" s="1077">
        <v>4</v>
      </c>
      <c r="R689" s="1077">
        <v>22</v>
      </c>
      <c r="T689" s="1077">
        <v>9</v>
      </c>
      <c r="U689" s="1077">
        <v>3.5</v>
      </c>
      <c r="V689" s="1077" t="s">
        <v>648</v>
      </c>
      <c r="W689" s="1077">
        <v>140</v>
      </c>
      <c r="X689" s="1077">
        <v>80</v>
      </c>
      <c r="Y689" s="1077">
        <v>2.1</v>
      </c>
      <c r="Z689" s="1077">
        <v>2.5</v>
      </c>
      <c r="AA689" s="1077" t="s">
        <v>3687</v>
      </c>
      <c r="AH689" s="1077" t="s">
        <v>948</v>
      </c>
      <c r="AI689" s="1077">
        <v>91.39</v>
      </c>
      <c r="AJ689" s="1077">
        <v>-0.5</v>
      </c>
      <c r="AK689" s="1077">
        <v>3.19</v>
      </c>
      <c r="AM689" s="1078" t="s">
        <v>10420</v>
      </c>
      <c r="AN689" s="1078" t="s">
        <v>10421</v>
      </c>
      <c r="AO689" s="1078">
        <f t="shared" si="86"/>
        <v>550</v>
      </c>
      <c r="AP689" s="1078">
        <f t="shared" si="87"/>
        <v>1.68</v>
      </c>
      <c r="AQ689" s="1078" t="str">
        <f t="shared" si="88"/>
        <v>2-5-1S83°</v>
      </c>
      <c r="AR689" s="1078" t="str">
        <f t="shared" si="89"/>
        <v>30.6</v>
      </c>
      <c r="AS689" s="1078" t="str">
        <f t="shared" si="90"/>
        <v>161/160</v>
      </c>
      <c r="AT689" s="1078" t="str">
        <f t="shared" si="91"/>
        <v>2-5-1S83°</v>
      </c>
      <c r="AV689" s="1078" t="str">
        <f t="shared" si="84"/>
        <v>112.8.21</v>
      </c>
      <c r="AW689" s="1344">
        <f t="shared" si="85"/>
        <v>45159</v>
      </c>
    </row>
    <row r="690" spans="1:49">
      <c r="A690" s="1077" t="s">
        <v>3688</v>
      </c>
      <c r="B690" s="1077" t="s">
        <v>1823</v>
      </c>
      <c r="C690" s="1077">
        <v>500</v>
      </c>
      <c r="D690" s="1077">
        <v>1.76</v>
      </c>
      <c r="E690" s="1077" t="s">
        <v>15095</v>
      </c>
      <c r="F690" s="1077" t="s">
        <v>984</v>
      </c>
      <c r="G690" s="1077" t="s">
        <v>1016</v>
      </c>
      <c r="H690" s="1077" t="s">
        <v>1226</v>
      </c>
      <c r="I690" s="1077" t="s">
        <v>126</v>
      </c>
      <c r="J690" s="1077">
        <v>0.8</v>
      </c>
      <c r="K690" s="1077" t="s">
        <v>3526</v>
      </c>
      <c r="L690" s="1077" t="s">
        <v>1825</v>
      </c>
      <c r="M690" s="1077">
        <v>73.8</v>
      </c>
      <c r="N690" s="1077" t="s">
        <v>945</v>
      </c>
      <c r="O690" s="1077">
        <v>1.845</v>
      </c>
      <c r="P690" s="1077">
        <v>1.476</v>
      </c>
      <c r="Q690" s="1077">
        <v>3.5</v>
      </c>
      <c r="R690" s="1077">
        <v>18.5</v>
      </c>
      <c r="T690" s="1077">
        <v>21</v>
      </c>
      <c r="U690" s="1077">
        <v>3.8</v>
      </c>
      <c r="V690" s="1077" t="s">
        <v>648</v>
      </c>
      <c r="W690" s="1077">
        <v>110</v>
      </c>
      <c r="X690" s="1077">
        <v>85</v>
      </c>
      <c r="Y690" s="1077">
        <v>1.9</v>
      </c>
      <c r="Z690" s="1077">
        <v>4</v>
      </c>
      <c r="AA690" s="1077" t="s">
        <v>3689</v>
      </c>
      <c r="AH690" s="1077" t="s">
        <v>853</v>
      </c>
      <c r="AI690" s="1077">
        <v>85.19</v>
      </c>
      <c r="AJ690" s="1077">
        <v>0.71</v>
      </c>
      <c r="AK690" s="1077">
        <v>8.5399999999999991</v>
      </c>
      <c r="AM690" s="1078" t="s">
        <v>10422</v>
      </c>
      <c r="AN690" s="1078" t="s">
        <v>10423</v>
      </c>
      <c r="AO690" s="1078">
        <f t="shared" si="86"/>
        <v>500</v>
      </c>
      <c r="AP690" s="1078">
        <f t="shared" si="87"/>
        <v>1.76</v>
      </c>
      <c r="AQ690" s="1078" t="str">
        <f t="shared" si="88"/>
        <v>1-5-1S83°</v>
      </c>
      <c r="AR690" s="1078" t="str">
        <f t="shared" si="89"/>
        <v>30</v>
      </c>
      <c r="AS690" s="1078" t="str">
        <f t="shared" si="90"/>
        <v>230/230/OFF</v>
      </c>
      <c r="AT690" s="1078" t="str">
        <f t="shared" si="91"/>
        <v>1-5-1S83°</v>
      </c>
      <c r="AV690" s="1078" t="str">
        <f t="shared" si="84"/>
        <v>112.8.18</v>
      </c>
      <c r="AW690" s="1344">
        <f t="shared" si="85"/>
        <v>45156</v>
      </c>
    </row>
    <row r="691" spans="1:49">
      <c r="A691" s="1077" t="s">
        <v>3690</v>
      </c>
      <c r="B691" s="1077" t="s">
        <v>752</v>
      </c>
      <c r="C691" s="1077">
        <v>500</v>
      </c>
      <c r="D691" s="1077">
        <v>1.75</v>
      </c>
      <c r="E691" s="1077" t="s">
        <v>15090</v>
      </c>
      <c r="F691" s="1077" t="s">
        <v>954</v>
      </c>
      <c r="G691" s="1077">
        <v>3</v>
      </c>
      <c r="H691" s="1077" t="s">
        <v>1029</v>
      </c>
      <c r="I691" s="1077" t="s">
        <v>126</v>
      </c>
      <c r="J691" s="1077">
        <v>0.3</v>
      </c>
      <c r="K691" s="1077" t="s">
        <v>3691</v>
      </c>
      <c r="L691" s="1077" t="s">
        <v>1933</v>
      </c>
      <c r="M691" s="1077">
        <v>73.8</v>
      </c>
      <c r="N691" s="1077" t="s">
        <v>945</v>
      </c>
      <c r="O691" s="1077">
        <v>1.845</v>
      </c>
      <c r="P691" s="1077">
        <v>1.476</v>
      </c>
      <c r="Q691" s="1077">
        <v>4</v>
      </c>
      <c r="R691" s="1077">
        <v>23</v>
      </c>
      <c r="T691" s="1077">
        <v>29</v>
      </c>
      <c r="U691" s="1077">
        <v>3</v>
      </c>
      <c r="V691" s="1077" t="s">
        <v>648</v>
      </c>
      <c r="W691" s="1077" t="s">
        <v>2085</v>
      </c>
      <c r="X691" s="1077">
        <v>0</v>
      </c>
      <c r="Y691" s="1077">
        <v>1.8</v>
      </c>
      <c r="Z691" s="1077">
        <v>4.5</v>
      </c>
      <c r="AA691" s="1077" t="s">
        <v>3692</v>
      </c>
      <c r="AH691" s="1077" t="s">
        <v>758</v>
      </c>
      <c r="AI691" s="1077">
        <v>94.72</v>
      </c>
      <c r="AJ691" s="1077">
        <v>-0.31</v>
      </c>
      <c r="AK691" s="1077">
        <v>1.33</v>
      </c>
      <c r="AM691" s="1078" t="s">
        <v>10424</v>
      </c>
      <c r="AN691" s="1078" t="s">
        <v>9426</v>
      </c>
      <c r="AO691" s="1078">
        <f t="shared" si="86"/>
        <v>500</v>
      </c>
      <c r="AP691" s="1078">
        <f t="shared" si="87"/>
        <v>1.75</v>
      </c>
      <c r="AQ691" s="1078" t="str">
        <f t="shared" si="88"/>
        <v>1-5-1S85°</v>
      </c>
      <c r="AR691" s="1078" t="str">
        <f t="shared" si="89"/>
        <v>31</v>
      </c>
      <c r="AS691" s="1078" t="str">
        <f t="shared" si="90"/>
        <v>250/250/OFF</v>
      </c>
      <c r="AT691" s="1078" t="str">
        <f t="shared" si="91"/>
        <v>1-5-1S85°</v>
      </c>
      <c r="AV691" s="1078" t="str">
        <f t="shared" si="84"/>
        <v>112.8.17</v>
      </c>
      <c r="AW691" s="1344">
        <f t="shared" si="85"/>
        <v>45155</v>
      </c>
    </row>
    <row r="692" spans="1:49">
      <c r="A692" s="1077" t="s">
        <v>3693</v>
      </c>
      <c r="B692" s="1077" t="s">
        <v>2207</v>
      </c>
      <c r="C692" s="1077">
        <v>650</v>
      </c>
      <c r="D692" s="1077">
        <v>1.7350000000000001</v>
      </c>
      <c r="E692" s="1077" t="s">
        <v>15098</v>
      </c>
      <c r="F692" s="1077" t="s">
        <v>954</v>
      </c>
      <c r="G692" s="1077" t="s">
        <v>1767</v>
      </c>
      <c r="H692" s="1077" t="s">
        <v>1793</v>
      </c>
      <c r="I692" s="1077" t="s">
        <v>126</v>
      </c>
      <c r="J692" s="1077">
        <v>0.9</v>
      </c>
      <c r="K692" s="1077" t="s">
        <v>1816</v>
      </c>
      <c r="L692" s="1077" t="s">
        <v>1817</v>
      </c>
      <c r="M692" s="1077">
        <v>75.099999999999994</v>
      </c>
      <c r="N692" s="1077" t="s">
        <v>945</v>
      </c>
      <c r="O692" s="1077">
        <v>1.8774999999999999</v>
      </c>
      <c r="P692" s="1077">
        <v>1.502</v>
      </c>
      <c r="Q692" s="1077">
        <v>4</v>
      </c>
      <c r="R692" s="1077">
        <v>19</v>
      </c>
      <c r="T692" s="1077">
        <v>21</v>
      </c>
      <c r="U692" s="1077">
        <v>3.5</v>
      </c>
      <c r="V692" s="1077" t="s">
        <v>648</v>
      </c>
      <c r="W692" s="1077">
        <v>110</v>
      </c>
      <c r="X692" s="1077">
        <v>65</v>
      </c>
      <c r="Y692" s="1077">
        <v>1.6</v>
      </c>
      <c r="Z692" s="1077">
        <v>4</v>
      </c>
      <c r="AA692" s="1077" t="s">
        <v>3689</v>
      </c>
      <c r="AH692" s="1077" t="s">
        <v>621</v>
      </c>
      <c r="AI692" s="1077">
        <v>94.73</v>
      </c>
      <c r="AJ692" s="1077">
        <v>-0.57999999999999996</v>
      </c>
      <c r="AK692" s="1077">
        <v>1.78</v>
      </c>
      <c r="AM692" s="1078" t="s">
        <v>10425</v>
      </c>
      <c r="AN692" s="1078" t="s">
        <v>10426</v>
      </c>
      <c r="AO692" s="1078">
        <f t="shared" si="86"/>
        <v>650</v>
      </c>
      <c r="AP692" s="1078">
        <f t="shared" si="87"/>
        <v>1.7350000000000001</v>
      </c>
      <c r="AQ692" s="1078" t="str">
        <f t="shared" si="88"/>
        <v>1-4-1S91°</v>
      </c>
      <c r="AR692" s="1078" t="str">
        <f t="shared" si="89"/>
        <v>31</v>
      </c>
      <c r="AS692" s="1078" t="str">
        <f t="shared" si="90"/>
        <v>270/270/OFF</v>
      </c>
      <c r="AT692" s="1078" t="str">
        <f t="shared" si="91"/>
        <v>1-4-1S91°</v>
      </c>
      <c r="AV692" s="1078" t="str">
        <f t="shared" si="84"/>
        <v>112.8.18</v>
      </c>
      <c r="AW692" s="1344">
        <f t="shared" si="85"/>
        <v>45156</v>
      </c>
    </row>
    <row r="693" spans="1:49">
      <c r="A693" s="1077" t="s">
        <v>3694</v>
      </c>
      <c r="B693" s="1077" t="s">
        <v>2116</v>
      </c>
      <c r="C693" s="1077">
        <v>650</v>
      </c>
      <c r="D693" s="1077">
        <v>1.7050000000000001</v>
      </c>
      <c r="E693" s="1077" t="s">
        <v>15089</v>
      </c>
      <c r="F693" s="1077" t="s">
        <v>1773</v>
      </c>
      <c r="G693" s="1077" t="s">
        <v>1767</v>
      </c>
      <c r="H693" s="1077" t="s">
        <v>1061</v>
      </c>
      <c r="I693" s="1077" t="s">
        <v>126</v>
      </c>
      <c r="J693" s="1077">
        <v>1</v>
      </c>
      <c r="K693" s="1077" t="s">
        <v>3648</v>
      </c>
      <c r="L693" s="1077" t="s">
        <v>1776</v>
      </c>
      <c r="M693" s="1077">
        <v>74.8</v>
      </c>
      <c r="N693" s="1077" t="s">
        <v>945</v>
      </c>
      <c r="O693" s="1077">
        <v>1.87</v>
      </c>
      <c r="P693" s="1077">
        <v>1.496</v>
      </c>
      <c r="Q693" s="1077">
        <v>4</v>
      </c>
      <c r="R693" s="1077">
        <v>23</v>
      </c>
      <c r="T693" s="1077">
        <v>18.600000000000001</v>
      </c>
      <c r="U693" s="1077">
        <v>3.5</v>
      </c>
      <c r="V693" s="1077" t="s">
        <v>648</v>
      </c>
      <c r="W693" s="1077">
        <v>105</v>
      </c>
      <c r="X693" s="1077">
        <v>80</v>
      </c>
      <c r="Y693" s="1077">
        <v>2</v>
      </c>
      <c r="Z693" s="1077">
        <v>4.5</v>
      </c>
      <c r="AA693" s="1077" t="s">
        <v>3695</v>
      </c>
      <c r="AH693" s="1077" t="s">
        <v>813</v>
      </c>
      <c r="AI693" s="1077">
        <v>92.74</v>
      </c>
      <c r="AJ693" s="1077">
        <v>0.5</v>
      </c>
      <c r="AK693" s="1077">
        <v>0.52</v>
      </c>
      <c r="AM693" s="1078" t="s">
        <v>10427</v>
      </c>
      <c r="AN693" s="1078" t="s">
        <v>10428</v>
      </c>
      <c r="AO693" s="1078">
        <f t="shared" si="86"/>
        <v>650</v>
      </c>
      <c r="AP693" s="1078">
        <f t="shared" si="87"/>
        <v>1.7050000000000001</v>
      </c>
      <c r="AQ693" s="1078" t="str">
        <f t="shared" si="88"/>
        <v>1-4-1S83°</v>
      </c>
      <c r="AR693" s="1078" t="str">
        <f t="shared" si="89"/>
        <v>30.2</v>
      </c>
      <c r="AS693" s="1078" t="str">
        <f t="shared" si="90"/>
        <v>255/255/OFF</v>
      </c>
      <c r="AT693" s="1078" t="str">
        <f t="shared" si="91"/>
        <v>1-4-1S83°</v>
      </c>
      <c r="AV693" s="1078" t="str">
        <f t="shared" si="84"/>
        <v>112.8.22</v>
      </c>
      <c r="AW693" s="1344">
        <f t="shared" si="85"/>
        <v>45160</v>
      </c>
    </row>
    <row r="694" spans="1:49">
      <c r="A694" s="1077" t="s">
        <v>3696</v>
      </c>
      <c r="B694" s="1077" t="s">
        <v>1899</v>
      </c>
      <c r="C694" s="1077">
        <v>600</v>
      </c>
      <c r="D694" s="1077">
        <v>1.75</v>
      </c>
      <c r="E694" s="1077" t="s">
        <v>15095</v>
      </c>
      <c r="F694" s="1077" t="s">
        <v>954</v>
      </c>
      <c r="G694" s="1077" t="s">
        <v>940</v>
      </c>
      <c r="H694" s="1077" t="s">
        <v>2295</v>
      </c>
      <c r="I694" s="1077" t="s">
        <v>126</v>
      </c>
      <c r="J694" s="1077">
        <v>1.4</v>
      </c>
      <c r="K694" s="1077" t="s">
        <v>3447</v>
      </c>
      <c r="L694" s="1077" t="s">
        <v>1780</v>
      </c>
      <c r="M694" s="1077">
        <v>75.400000000000006</v>
      </c>
      <c r="N694" s="1077" t="s">
        <v>945</v>
      </c>
      <c r="O694" s="1077">
        <v>1.8850000000000002</v>
      </c>
      <c r="P694" s="1077">
        <v>1.5080000000000002</v>
      </c>
      <c r="Q694" s="1077">
        <v>3</v>
      </c>
      <c r="R694" s="1077">
        <v>27</v>
      </c>
      <c r="T694" s="1077">
        <v>18</v>
      </c>
      <c r="U694" s="1077">
        <v>6</v>
      </c>
      <c r="V694" s="1077" t="s">
        <v>648</v>
      </c>
      <c r="W694" s="1077">
        <v>120</v>
      </c>
      <c r="X694" s="1077">
        <v>80</v>
      </c>
      <c r="Y694" s="1077">
        <v>2</v>
      </c>
      <c r="Z694" s="1077">
        <v>6</v>
      </c>
      <c r="AA694" s="1077" t="s">
        <v>3697</v>
      </c>
      <c r="AH694" s="1077" t="s">
        <v>619</v>
      </c>
      <c r="AI694" s="1077">
        <v>93.02</v>
      </c>
      <c r="AJ694" s="1077">
        <v>-0.44</v>
      </c>
      <c r="AK694" s="1077">
        <v>2.35</v>
      </c>
      <c r="AM694" s="1078" t="s">
        <v>10429</v>
      </c>
      <c r="AN694" s="1078" t="s">
        <v>10430</v>
      </c>
      <c r="AO694" s="1078">
        <f t="shared" si="86"/>
        <v>600</v>
      </c>
      <c r="AP694" s="1078">
        <f t="shared" si="87"/>
        <v>1.75</v>
      </c>
      <c r="AQ694" s="1078" t="str">
        <f t="shared" si="88"/>
        <v>1-5-1S83°</v>
      </c>
      <c r="AR694" s="1078" t="str">
        <f t="shared" si="89"/>
        <v>31</v>
      </c>
      <c r="AS694" s="1078" t="str">
        <f t="shared" si="90"/>
        <v>205/205/OFF</v>
      </c>
      <c r="AT694" s="1078" t="str">
        <f t="shared" si="91"/>
        <v>1-5-1S83°</v>
      </c>
      <c r="AV694" s="1078" t="str">
        <f t="shared" si="84"/>
        <v>112.8.24</v>
      </c>
      <c r="AW694" s="1344">
        <f t="shared" si="85"/>
        <v>45162</v>
      </c>
    </row>
    <row r="695" spans="1:49">
      <c r="A695" s="1077" t="s">
        <v>3698</v>
      </c>
      <c r="B695" s="1077" t="s">
        <v>1823</v>
      </c>
      <c r="C695" s="1077">
        <v>500</v>
      </c>
      <c r="D695" s="1077">
        <v>1.76</v>
      </c>
      <c r="E695" s="1077" t="s">
        <v>15095</v>
      </c>
      <c r="F695" s="1077" t="s">
        <v>984</v>
      </c>
      <c r="G695" s="1077" t="s">
        <v>1016</v>
      </c>
      <c r="H695" s="1077" t="s">
        <v>1226</v>
      </c>
      <c r="I695" s="1077" t="s">
        <v>126</v>
      </c>
      <c r="J695" s="1077">
        <v>0.8</v>
      </c>
      <c r="K695" s="1077" t="s">
        <v>3699</v>
      </c>
      <c r="L695" s="1077" t="s">
        <v>1825</v>
      </c>
      <c r="M695" s="1077">
        <v>73.8</v>
      </c>
      <c r="N695" s="1077" t="s">
        <v>945</v>
      </c>
      <c r="O695" s="1077">
        <v>1.845</v>
      </c>
      <c r="P695" s="1077">
        <v>1.476</v>
      </c>
      <c r="Q695" s="1077">
        <v>3.5</v>
      </c>
      <c r="R695" s="1077">
        <v>18.5</v>
      </c>
      <c r="T695" s="1077">
        <v>21</v>
      </c>
      <c r="U695" s="1077">
        <v>3.8</v>
      </c>
      <c r="V695" s="1077" t="s">
        <v>648</v>
      </c>
      <c r="W695" s="1077">
        <v>110</v>
      </c>
      <c r="X695" s="1077">
        <v>85</v>
      </c>
      <c r="Y695" s="1077">
        <v>1.9</v>
      </c>
      <c r="Z695" s="1077">
        <v>4</v>
      </c>
      <c r="AA695" s="1077" t="s">
        <v>1616</v>
      </c>
      <c r="AH695" s="1077" t="s">
        <v>650</v>
      </c>
      <c r="AI695" s="1077">
        <v>85.63</v>
      </c>
      <c r="AJ695" s="1077">
        <v>0.61</v>
      </c>
      <c r="AK695" s="1077">
        <v>8.36</v>
      </c>
      <c r="AM695" s="1078" t="s">
        <v>10431</v>
      </c>
      <c r="AN695" s="1078" t="s">
        <v>10432</v>
      </c>
      <c r="AO695" s="1078">
        <f t="shared" si="86"/>
        <v>500</v>
      </c>
      <c r="AP695" s="1078">
        <f t="shared" si="87"/>
        <v>1.76</v>
      </c>
      <c r="AQ695" s="1078" t="str">
        <f t="shared" si="88"/>
        <v>1-5-1S83°</v>
      </c>
      <c r="AR695" s="1078" t="str">
        <f t="shared" si="89"/>
        <v>30</v>
      </c>
      <c r="AS695" s="1078" t="str">
        <f t="shared" si="90"/>
        <v>230/230/OFF</v>
      </c>
      <c r="AT695" s="1078" t="str">
        <f t="shared" si="91"/>
        <v>1-5-1S83°</v>
      </c>
      <c r="AV695" s="1078" t="str">
        <f t="shared" si="84"/>
        <v>112.8.28</v>
      </c>
      <c r="AW695" s="1344">
        <f t="shared" si="85"/>
        <v>45166</v>
      </c>
    </row>
    <row r="696" spans="1:49">
      <c r="A696" s="1077" t="s">
        <v>3700</v>
      </c>
      <c r="B696" s="1077" t="s">
        <v>424</v>
      </c>
      <c r="C696" s="1077">
        <v>600</v>
      </c>
      <c r="D696" s="1077">
        <v>1.79</v>
      </c>
      <c r="E696" s="1077" t="s">
        <v>15091</v>
      </c>
      <c r="F696" s="1077" t="s">
        <v>984</v>
      </c>
      <c r="G696" s="1077" t="s">
        <v>1767</v>
      </c>
      <c r="H696" s="1077" t="s">
        <v>1680</v>
      </c>
      <c r="I696" s="1077" t="s">
        <v>1112</v>
      </c>
      <c r="J696" s="1077">
        <v>1.4</v>
      </c>
      <c r="K696" s="1077" t="s">
        <v>3666</v>
      </c>
      <c r="L696" s="1077" t="s">
        <v>1938</v>
      </c>
      <c r="M696" s="1077">
        <v>74.599999999999994</v>
      </c>
      <c r="N696" s="1077" t="s">
        <v>945</v>
      </c>
      <c r="O696" s="1077">
        <v>1.865</v>
      </c>
      <c r="P696" s="1077">
        <v>1.492</v>
      </c>
      <c r="Q696" s="1077">
        <v>4</v>
      </c>
      <c r="R696" s="1077">
        <v>22</v>
      </c>
      <c r="T696" s="1077">
        <v>32</v>
      </c>
      <c r="U696" s="1077">
        <v>3.4</v>
      </c>
      <c r="V696" s="1077" t="s">
        <v>648</v>
      </c>
      <c r="W696" s="1077">
        <v>110</v>
      </c>
      <c r="X696" s="1077">
        <v>60</v>
      </c>
      <c r="Y696" s="1077">
        <v>2</v>
      </c>
      <c r="Z696" s="1077">
        <v>6</v>
      </c>
      <c r="AA696" s="1077" t="s">
        <v>3701</v>
      </c>
      <c r="AH696" s="1077" t="s">
        <v>812</v>
      </c>
      <c r="AI696" s="1077">
        <v>91.75</v>
      </c>
      <c r="AJ696" s="1077">
        <v>-0.21</v>
      </c>
      <c r="AK696" s="1077">
        <v>0.67</v>
      </c>
      <c r="AM696" s="1078" t="s">
        <v>10433</v>
      </c>
      <c r="AN696" s="1078" t="s">
        <v>10434</v>
      </c>
      <c r="AO696" s="1078">
        <f t="shared" si="86"/>
        <v>600</v>
      </c>
      <c r="AP696" s="1078">
        <f t="shared" si="87"/>
        <v>1.79</v>
      </c>
      <c r="AQ696" s="1078" t="str">
        <f t="shared" si="88"/>
        <v>2-5-1S83°</v>
      </c>
      <c r="AR696" s="1078" t="str">
        <f t="shared" si="89"/>
        <v>30</v>
      </c>
      <c r="AS696" s="1078" t="str">
        <f t="shared" si="90"/>
        <v>171/OFF</v>
      </c>
      <c r="AT696" s="1078" t="str">
        <f t="shared" si="91"/>
        <v>2-5-1S83°</v>
      </c>
      <c r="AV696" s="1078" t="str">
        <f t="shared" si="84"/>
        <v>112.8.29</v>
      </c>
      <c r="AW696" s="1344">
        <f t="shared" si="85"/>
        <v>45167</v>
      </c>
    </row>
    <row r="697" spans="1:49">
      <c r="A697" s="1077" t="s">
        <v>3702</v>
      </c>
      <c r="B697" s="1077" t="s">
        <v>472</v>
      </c>
      <c r="C697" s="1077">
        <v>600</v>
      </c>
      <c r="D697" s="1077">
        <v>1.69</v>
      </c>
      <c r="E697" s="1077" t="s">
        <v>15089</v>
      </c>
      <c r="F697" s="1077" t="s">
        <v>984</v>
      </c>
      <c r="G697" s="1077" t="s">
        <v>1767</v>
      </c>
      <c r="H697" s="1077" t="s">
        <v>1145</v>
      </c>
      <c r="I697" s="1077" t="s">
        <v>126</v>
      </c>
      <c r="J697" s="1077">
        <v>0.8</v>
      </c>
      <c r="K697" s="1077" t="s">
        <v>3515</v>
      </c>
      <c r="L697" s="1077" t="s">
        <v>1811</v>
      </c>
      <c r="M697" s="1077">
        <v>74.599999999999994</v>
      </c>
      <c r="N697" s="1077" t="s">
        <v>945</v>
      </c>
      <c r="O697" s="1077">
        <v>1.865</v>
      </c>
      <c r="P697" s="1077">
        <v>1.492</v>
      </c>
      <c r="Q697" s="1077">
        <v>3.5</v>
      </c>
      <c r="R697" s="1077">
        <v>27</v>
      </c>
      <c r="T697" s="1077">
        <v>12.5</v>
      </c>
      <c r="U697" s="1077">
        <v>5.0999999999999996</v>
      </c>
      <c r="V697" s="1077" t="s">
        <v>648</v>
      </c>
      <c r="W697" s="1077">
        <v>95</v>
      </c>
      <c r="X697" s="1077">
        <v>60</v>
      </c>
      <c r="Y697" s="1077">
        <v>1.8</v>
      </c>
      <c r="Z697" s="1077">
        <v>4.5</v>
      </c>
      <c r="AA697" s="1077" t="s">
        <v>3703</v>
      </c>
      <c r="AB697" s="1077" t="s">
        <v>3704</v>
      </c>
      <c r="AH697" s="1077" t="s">
        <v>1143</v>
      </c>
      <c r="AI697" s="1077">
        <v>93.23</v>
      </c>
      <c r="AJ697" s="1077">
        <v>-1.29</v>
      </c>
      <c r="AK697" s="1077">
        <v>3.91</v>
      </c>
      <c r="AM697" s="1078" t="s">
        <v>10435</v>
      </c>
      <c r="AN697" s="1078" t="s">
        <v>10436</v>
      </c>
      <c r="AO697" s="1078">
        <f t="shared" si="86"/>
        <v>600</v>
      </c>
      <c r="AP697" s="1078">
        <f t="shared" si="87"/>
        <v>1.69</v>
      </c>
      <c r="AQ697" s="1078" t="str">
        <f t="shared" si="88"/>
        <v>1-4-1S83°</v>
      </c>
      <c r="AR697" s="1078" t="str">
        <f t="shared" si="89"/>
        <v>30</v>
      </c>
      <c r="AS697" s="1078" t="str">
        <f t="shared" si="90"/>
        <v>235/235/OFF</v>
      </c>
      <c r="AT697" s="1078" t="str">
        <f t="shared" si="91"/>
        <v>1-4-1S83°</v>
      </c>
      <c r="AV697" s="1078" t="str">
        <f t="shared" si="84"/>
        <v>112.8.31</v>
      </c>
      <c r="AW697" s="1344">
        <f t="shared" si="85"/>
        <v>45169</v>
      </c>
    </row>
    <row r="698" spans="1:49">
      <c r="A698" s="1077" t="s">
        <v>3705</v>
      </c>
      <c r="B698" s="1077" t="s">
        <v>1823</v>
      </c>
      <c r="C698" s="1077">
        <v>500</v>
      </c>
      <c r="D698" s="1077">
        <v>1.75</v>
      </c>
      <c r="E698" s="1077" t="s">
        <v>15095</v>
      </c>
      <c r="F698" s="1077" t="s">
        <v>984</v>
      </c>
      <c r="G698" s="1077" t="s">
        <v>1016</v>
      </c>
      <c r="H698" s="1077" t="s">
        <v>1327</v>
      </c>
      <c r="I698" s="1077" t="s">
        <v>126</v>
      </c>
      <c r="J698" s="1077">
        <v>0.7</v>
      </c>
      <c r="K698" s="1077" t="s">
        <v>3080</v>
      </c>
      <c r="L698" s="1077" t="s">
        <v>1825</v>
      </c>
      <c r="M698" s="1077">
        <v>73.8</v>
      </c>
      <c r="N698" s="1077" t="s">
        <v>945</v>
      </c>
      <c r="O698" s="1077">
        <v>1.845</v>
      </c>
      <c r="P698" s="1077">
        <v>1.476</v>
      </c>
      <c r="Q698" s="1077">
        <v>3.5</v>
      </c>
      <c r="R698" s="1077">
        <v>18.5</v>
      </c>
      <c r="T698" s="1077">
        <v>21</v>
      </c>
      <c r="U698" s="1077">
        <v>3.8</v>
      </c>
      <c r="V698" s="1077" t="s">
        <v>648</v>
      </c>
      <c r="W698" s="1077">
        <v>110</v>
      </c>
      <c r="X698" s="1077">
        <v>85</v>
      </c>
      <c r="Y698" s="1077">
        <v>1.9</v>
      </c>
      <c r="Z698" s="1077">
        <v>4</v>
      </c>
      <c r="AA698" s="1077" t="s">
        <v>3706</v>
      </c>
      <c r="AH698" s="1077" t="s">
        <v>868</v>
      </c>
      <c r="AM698" s="1078" t="s">
        <v>10437</v>
      </c>
      <c r="AN698" s="1078" t="s">
        <v>10438</v>
      </c>
      <c r="AO698" s="1078">
        <f t="shared" si="86"/>
        <v>500</v>
      </c>
      <c r="AP698" s="1078">
        <f t="shared" si="87"/>
        <v>1.75</v>
      </c>
      <c r="AQ698" s="1078" t="str">
        <f t="shared" si="88"/>
        <v>1-5-1S83°</v>
      </c>
      <c r="AR698" s="1078" t="str">
        <f t="shared" si="89"/>
        <v>30</v>
      </c>
      <c r="AS698" s="1078" t="str">
        <f t="shared" si="90"/>
        <v>232/232/OFF</v>
      </c>
      <c r="AT698" s="1078" t="str">
        <f t="shared" si="91"/>
        <v>1-5-1S83°</v>
      </c>
      <c r="AV698" s="1078" t="str">
        <f t="shared" si="84"/>
        <v>110.8.16</v>
      </c>
      <c r="AW698" s="1344">
        <f t="shared" si="85"/>
        <v>44424</v>
      </c>
    </row>
    <row r="699" spans="1:49">
      <c r="A699" s="1077" t="s">
        <v>3707</v>
      </c>
      <c r="B699" s="1077" t="s">
        <v>2013</v>
      </c>
      <c r="C699" s="1077">
        <v>650</v>
      </c>
      <c r="D699" s="1077">
        <v>1.78</v>
      </c>
      <c r="E699" s="1077" t="s">
        <v>15095</v>
      </c>
      <c r="F699" s="1077" t="s">
        <v>954</v>
      </c>
      <c r="G699" s="1077" t="s">
        <v>940</v>
      </c>
      <c r="H699" s="1077" t="s">
        <v>1649</v>
      </c>
      <c r="I699" s="1077" t="s">
        <v>126</v>
      </c>
      <c r="J699" s="1077">
        <v>1.3</v>
      </c>
      <c r="K699" s="1077" t="s">
        <v>3634</v>
      </c>
      <c r="L699" s="1077" t="s">
        <v>1964</v>
      </c>
      <c r="M699" s="1077">
        <v>75.400000000000006</v>
      </c>
      <c r="N699" s="1077" t="s">
        <v>945</v>
      </c>
      <c r="O699" s="1077">
        <v>1.8850000000000002</v>
      </c>
      <c r="P699" s="1077">
        <v>1.5080000000000002</v>
      </c>
      <c r="Q699" s="1077">
        <v>3</v>
      </c>
      <c r="R699" s="1077">
        <v>29</v>
      </c>
      <c r="T699" s="1077">
        <v>18</v>
      </c>
      <c r="U699" s="1077">
        <v>6</v>
      </c>
      <c r="V699" s="1077" t="s">
        <v>648</v>
      </c>
      <c r="W699" s="1077">
        <v>120</v>
      </c>
      <c r="X699" s="1077">
        <v>80</v>
      </c>
      <c r="Y699" s="1077">
        <v>2</v>
      </c>
      <c r="Z699" s="1077">
        <v>6</v>
      </c>
      <c r="AA699" s="1077" t="s">
        <v>3708</v>
      </c>
      <c r="AH699" s="1077" t="s">
        <v>618</v>
      </c>
      <c r="AM699" s="1078" t="s">
        <v>10439</v>
      </c>
      <c r="AN699" s="1078" t="s">
        <v>10440</v>
      </c>
      <c r="AO699" s="1078">
        <f t="shared" si="86"/>
        <v>650</v>
      </c>
      <c r="AP699" s="1078">
        <f t="shared" si="87"/>
        <v>1.78</v>
      </c>
      <c r="AQ699" s="1078" t="str">
        <f t="shared" si="88"/>
        <v>1-5-1S83°</v>
      </c>
      <c r="AR699" s="1078" t="str">
        <f t="shared" si="89"/>
        <v>31</v>
      </c>
      <c r="AS699" s="1078" t="str">
        <f t="shared" si="90"/>
        <v>225/225/OFF</v>
      </c>
      <c r="AT699" s="1078" t="str">
        <f t="shared" si="91"/>
        <v>1-5-1S83°</v>
      </c>
      <c r="AV699" s="1078" t="str">
        <f t="shared" si="84"/>
        <v>110.8.20</v>
      </c>
      <c r="AW699" s="1344">
        <f t="shared" si="85"/>
        <v>44428</v>
      </c>
    </row>
    <row r="700" spans="1:49">
      <c r="A700" s="1077" t="s">
        <v>3709</v>
      </c>
      <c r="B700" s="1077" t="s">
        <v>424</v>
      </c>
      <c r="C700" s="1077">
        <v>700</v>
      </c>
      <c r="D700" s="1077">
        <v>1.7849999999999999</v>
      </c>
      <c r="E700" s="1077" t="s">
        <v>15089</v>
      </c>
      <c r="F700" s="1077" t="s">
        <v>1897</v>
      </c>
      <c r="G700" s="1077" t="s">
        <v>1767</v>
      </c>
      <c r="H700" s="1077" t="s">
        <v>3710</v>
      </c>
      <c r="I700" s="1077" t="s">
        <v>626</v>
      </c>
      <c r="J700" s="1077">
        <v>4</v>
      </c>
      <c r="K700" s="1077" t="s">
        <v>3368</v>
      </c>
      <c r="L700" s="1077" t="s">
        <v>1795</v>
      </c>
      <c r="M700" s="1077">
        <v>75.599999999999994</v>
      </c>
      <c r="N700" s="1077" t="s">
        <v>945</v>
      </c>
      <c r="O700" s="1077">
        <v>1.89</v>
      </c>
      <c r="P700" s="1077">
        <v>1.512</v>
      </c>
      <c r="Q700" s="1077">
        <v>3.5</v>
      </c>
      <c r="R700" s="1077">
        <v>18.600000000000001</v>
      </c>
      <c r="T700" s="1077">
        <v>18.8</v>
      </c>
      <c r="U700" s="1077">
        <v>2.9</v>
      </c>
      <c r="V700" s="1077" t="s">
        <v>648</v>
      </c>
      <c r="W700" s="1077">
        <v>150</v>
      </c>
      <c r="X700" s="1077" t="s">
        <v>2402</v>
      </c>
      <c r="Y700" s="1077">
        <v>2.1</v>
      </c>
      <c r="Z700" s="1077">
        <v>4</v>
      </c>
      <c r="AA700" s="1077" t="s">
        <v>3711</v>
      </c>
      <c r="AB700" s="1077" t="s">
        <v>981</v>
      </c>
      <c r="AH700" s="1077" t="s">
        <v>878</v>
      </c>
      <c r="AM700" s="1078" t="s">
        <v>10441</v>
      </c>
      <c r="AN700" s="1078" t="s">
        <v>10442</v>
      </c>
      <c r="AO700" s="1078">
        <f t="shared" si="86"/>
        <v>700</v>
      </c>
      <c r="AP700" s="1078">
        <f t="shared" si="87"/>
        <v>1.7849999999999999</v>
      </c>
      <c r="AQ700" s="1078" t="str">
        <f t="shared" si="88"/>
        <v>1-4-1S83°</v>
      </c>
      <c r="AR700" s="1078" t="str">
        <f t="shared" si="89"/>
        <v>30.8</v>
      </c>
      <c r="AS700" s="1078" t="str">
        <f t="shared" si="90"/>
        <v>287/287/149</v>
      </c>
      <c r="AT700" s="1078" t="str">
        <f t="shared" si="91"/>
        <v>1-4-1S83°</v>
      </c>
      <c r="AV700" s="1078" t="str">
        <f t="shared" si="84"/>
        <v>110.8.23</v>
      </c>
      <c r="AW700" s="1344">
        <f t="shared" si="85"/>
        <v>44431</v>
      </c>
    </row>
    <row r="701" spans="1:49">
      <c r="A701" s="1077" t="s">
        <v>3712</v>
      </c>
      <c r="B701" s="1077" t="s">
        <v>1805</v>
      </c>
      <c r="C701" s="1077">
        <v>600</v>
      </c>
      <c r="D701" s="1077">
        <v>1.69</v>
      </c>
      <c r="E701" s="1077" t="s">
        <v>15089</v>
      </c>
      <c r="F701" s="1077" t="s">
        <v>1469</v>
      </c>
      <c r="G701" s="1077" t="s">
        <v>940</v>
      </c>
      <c r="H701" s="1077" t="s">
        <v>1806</v>
      </c>
      <c r="I701" s="1077" t="s">
        <v>126</v>
      </c>
      <c r="J701" s="1077">
        <v>0.7</v>
      </c>
      <c r="K701" s="1077" t="s">
        <v>3106</v>
      </c>
      <c r="L701" s="1077" t="s">
        <v>1808</v>
      </c>
      <c r="M701" s="1077">
        <v>76.8</v>
      </c>
      <c r="N701" s="1077" t="s">
        <v>945</v>
      </c>
      <c r="O701" s="1077">
        <v>1.92</v>
      </c>
      <c r="P701" s="1077">
        <v>1.536</v>
      </c>
      <c r="Q701" s="1077">
        <v>4</v>
      </c>
      <c r="R701" s="1077">
        <v>20.3</v>
      </c>
      <c r="T701" s="1077">
        <v>18</v>
      </c>
      <c r="U701" s="1077">
        <v>3.5</v>
      </c>
      <c r="V701" s="1077" t="s">
        <v>648</v>
      </c>
      <c r="W701" s="1077">
        <v>120</v>
      </c>
      <c r="X701" s="1077">
        <v>80</v>
      </c>
      <c r="Y701" s="1077">
        <v>1.5</v>
      </c>
      <c r="Z701" s="1077">
        <v>4</v>
      </c>
      <c r="AA701" s="1077" t="s">
        <v>3713</v>
      </c>
      <c r="AH701" s="1077" t="s">
        <v>1452</v>
      </c>
      <c r="AM701" s="1078" t="s">
        <v>10443</v>
      </c>
      <c r="AN701" s="1078" t="s">
        <v>10444</v>
      </c>
      <c r="AO701" s="1078">
        <f t="shared" si="86"/>
        <v>600</v>
      </c>
      <c r="AP701" s="1078">
        <f t="shared" si="87"/>
        <v>1.69</v>
      </c>
      <c r="AQ701" s="1078" t="str">
        <f t="shared" si="88"/>
        <v>1-4-1S83°</v>
      </c>
      <c r="AR701" s="1078" t="str">
        <f t="shared" si="89"/>
        <v>30.5</v>
      </c>
      <c r="AS701" s="1078" t="str">
        <f t="shared" si="90"/>
        <v>280/280/OFF</v>
      </c>
      <c r="AT701" s="1078" t="str">
        <f t="shared" si="91"/>
        <v>1-4-1S83°</v>
      </c>
      <c r="AV701" s="1078" t="str">
        <f t="shared" si="84"/>
        <v>110.8.26</v>
      </c>
      <c r="AW701" s="1344">
        <f t="shared" si="85"/>
        <v>44434</v>
      </c>
    </row>
    <row r="702" spans="1:49">
      <c r="A702" s="1077" t="s">
        <v>3714</v>
      </c>
      <c r="B702" s="1077" t="s">
        <v>1823</v>
      </c>
      <c r="C702" s="1077">
        <v>500</v>
      </c>
      <c r="D702" s="1077">
        <v>1.75</v>
      </c>
      <c r="E702" s="1077" t="s">
        <v>15095</v>
      </c>
      <c r="F702" s="1077" t="s">
        <v>984</v>
      </c>
      <c r="G702" s="1077" t="s">
        <v>1016</v>
      </c>
      <c r="H702" s="1077" t="s">
        <v>1327</v>
      </c>
      <c r="I702" s="1077" t="s">
        <v>126</v>
      </c>
      <c r="J702" s="1077">
        <v>0.7</v>
      </c>
      <c r="K702" s="1077" t="s">
        <v>3715</v>
      </c>
      <c r="L702" s="1077" t="s">
        <v>1825</v>
      </c>
      <c r="M702" s="1077">
        <v>73.8</v>
      </c>
      <c r="N702" s="1077" t="s">
        <v>945</v>
      </c>
      <c r="O702" s="1077">
        <v>1.845</v>
      </c>
      <c r="P702" s="1077">
        <v>1.476</v>
      </c>
      <c r="Q702" s="1077">
        <v>3.5</v>
      </c>
      <c r="R702" s="1077">
        <v>18.5</v>
      </c>
      <c r="T702" s="1077">
        <v>21</v>
      </c>
      <c r="U702" s="1077">
        <v>3.8</v>
      </c>
      <c r="V702" s="1077" t="s">
        <v>648</v>
      </c>
      <c r="W702" s="1077">
        <v>110</v>
      </c>
      <c r="X702" s="1077">
        <v>85</v>
      </c>
      <c r="Y702" s="1077">
        <v>1.9</v>
      </c>
      <c r="Z702" s="1077">
        <v>4</v>
      </c>
      <c r="AA702" s="1077" t="s">
        <v>3716</v>
      </c>
      <c r="AH702" s="1077" t="s">
        <v>842</v>
      </c>
      <c r="AM702" s="1078" t="s">
        <v>10445</v>
      </c>
      <c r="AN702" s="1078" t="s">
        <v>10446</v>
      </c>
      <c r="AO702" s="1078">
        <f t="shared" si="86"/>
        <v>500</v>
      </c>
      <c r="AP702" s="1078">
        <f t="shared" si="87"/>
        <v>1.75</v>
      </c>
      <c r="AQ702" s="1078" t="str">
        <f t="shared" si="88"/>
        <v>1-5-1S83°</v>
      </c>
      <c r="AR702" s="1078" t="str">
        <f t="shared" si="89"/>
        <v>30</v>
      </c>
      <c r="AS702" s="1078" t="str">
        <f t="shared" si="90"/>
        <v>232/232/OFF</v>
      </c>
      <c r="AT702" s="1078" t="str">
        <f t="shared" si="91"/>
        <v>1-5-1S83°</v>
      </c>
      <c r="AV702" s="1078" t="str">
        <f t="shared" si="84"/>
        <v>110.9.3</v>
      </c>
      <c r="AW702" s="1344">
        <f t="shared" si="85"/>
        <v>44442</v>
      </c>
    </row>
    <row r="703" spans="1:49">
      <c r="A703" s="1077" t="s">
        <v>3717</v>
      </c>
      <c r="B703" s="1077" t="s">
        <v>424</v>
      </c>
      <c r="C703" s="1077">
        <v>700</v>
      </c>
      <c r="D703" s="1077">
        <v>1.77</v>
      </c>
      <c r="E703" s="1077" t="s">
        <v>15089</v>
      </c>
      <c r="F703" s="1077" t="s">
        <v>1469</v>
      </c>
      <c r="G703" s="1077" t="s">
        <v>1767</v>
      </c>
      <c r="H703" s="1077" t="s">
        <v>3143</v>
      </c>
      <c r="I703" s="1077" t="s">
        <v>126</v>
      </c>
      <c r="J703" s="1077">
        <v>0.4</v>
      </c>
      <c r="K703" s="1077" t="s">
        <v>3718</v>
      </c>
      <c r="L703" s="1077" t="s">
        <v>1938</v>
      </c>
      <c r="M703" s="1077">
        <v>74.5</v>
      </c>
      <c r="N703" s="1077" t="s">
        <v>945</v>
      </c>
      <c r="O703" s="1077">
        <v>1.8625</v>
      </c>
      <c r="P703" s="1077">
        <v>1.49</v>
      </c>
      <c r="Q703" s="1077">
        <v>4</v>
      </c>
      <c r="R703" s="1077">
        <v>22</v>
      </c>
      <c r="T703" s="1077">
        <v>19.5</v>
      </c>
      <c r="U703" s="1077">
        <v>2.2999999999999998</v>
      </c>
      <c r="V703" s="1077" t="s">
        <v>648</v>
      </c>
      <c r="W703" s="1077" t="s">
        <v>3719</v>
      </c>
      <c r="X703" s="1077">
        <v>10</v>
      </c>
      <c r="Y703" s="1077">
        <v>1.2</v>
      </c>
      <c r="Z703" s="1077">
        <v>4</v>
      </c>
      <c r="AA703" s="1077" t="s">
        <v>3716</v>
      </c>
      <c r="AH703" s="1077" t="s">
        <v>994</v>
      </c>
      <c r="AM703" s="1078" t="s">
        <v>10447</v>
      </c>
      <c r="AN703" s="1078" t="s">
        <v>10448</v>
      </c>
      <c r="AO703" s="1078">
        <f t="shared" si="86"/>
        <v>700</v>
      </c>
      <c r="AP703" s="1078">
        <f t="shared" si="87"/>
        <v>1.77</v>
      </c>
      <c r="AQ703" s="1078" t="str">
        <f t="shared" si="88"/>
        <v>1-4-1S83°</v>
      </c>
      <c r="AR703" s="1078" t="str">
        <f t="shared" si="89"/>
        <v>30.5</v>
      </c>
      <c r="AS703" s="1078" t="str">
        <f t="shared" si="90"/>
        <v>300/300/160</v>
      </c>
      <c r="AT703" s="1078" t="str">
        <f t="shared" si="91"/>
        <v>1-4-1S83°</v>
      </c>
      <c r="AV703" s="1078" t="str">
        <f t="shared" si="84"/>
        <v>110.9.3</v>
      </c>
      <c r="AW703" s="1344">
        <f t="shared" si="85"/>
        <v>44442</v>
      </c>
    </row>
    <row r="704" spans="1:49">
      <c r="A704" s="1077" t="s">
        <v>3720</v>
      </c>
      <c r="B704" s="1077" t="s">
        <v>453</v>
      </c>
      <c r="C704" s="1077">
        <v>700</v>
      </c>
      <c r="D704" s="1077">
        <v>1.7050000000000001</v>
      </c>
      <c r="E704" s="1077" t="s">
        <v>15089</v>
      </c>
      <c r="F704" s="1077" t="s">
        <v>1773</v>
      </c>
      <c r="G704" s="1077" t="s">
        <v>1784</v>
      </c>
      <c r="H704" s="1077" t="s">
        <v>955</v>
      </c>
      <c r="I704" s="1077" t="s">
        <v>126</v>
      </c>
      <c r="J704" s="1077">
        <v>0.3</v>
      </c>
      <c r="K704" s="1077" t="s">
        <v>3721</v>
      </c>
      <c r="L704" s="1077" t="s">
        <v>1776</v>
      </c>
      <c r="M704" s="1077">
        <v>74.599999999999994</v>
      </c>
      <c r="N704" s="1077" t="s">
        <v>945</v>
      </c>
      <c r="O704" s="1077">
        <v>1.865</v>
      </c>
      <c r="P704" s="1077">
        <v>1.492</v>
      </c>
      <c r="Q704" s="1077">
        <v>4</v>
      </c>
      <c r="R704" s="1077">
        <v>20.3</v>
      </c>
      <c r="T704" s="1077">
        <v>21.1</v>
      </c>
      <c r="U704" s="1077">
        <v>3.9</v>
      </c>
      <c r="V704" s="1077" t="s">
        <v>648</v>
      </c>
      <c r="W704" s="1077">
        <v>30</v>
      </c>
      <c r="X704" s="1077">
        <v>10</v>
      </c>
      <c r="Y704" s="1077">
        <v>1.8</v>
      </c>
      <c r="Z704" s="1077">
        <v>4.5</v>
      </c>
      <c r="AA704" s="1077" t="s">
        <v>3722</v>
      </c>
      <c r="AH704" s="1077" t="s">
        <v>884</v>
      </c>
      <c r="AM704" s="1078" t="s">
        <v>10449</v>
      </c>
      <c r="AN704" s="1078" t="s">
        <v>10450</v>
      </c>
      <c r="AO704" s="1078">
        <f t="shared" si="86"/>
        <v>700</v>
      </c>
      <c r="AP704" s="1078">
        <f t="shared" si="87"/>
        <v>1.7050000000000001</v>
      </c>
      <c r="AQ704" s="1078" t="str">
        <f t="shared" si="88"/>
        <v>1-4-1S83°</v>
      </c>
      <c r="AR704" s="1078" t="str">
        <f t="shared" si="89"/>
        <v>30.2</v>
      </c>
      <c r="AS704" s="1078" t="str">
        <f t="shared" si="90"/>
        <v>260/260/OFF</v>
      </c>
      <c r="AT704" s="1078" t="str">
        <f t="shared" si="91"/>
        <v>1-4-1S83°</v>
      </c>
      <c r="AV704" s="1078" t="str">
        <f t="shared" si="84"/>
        <v>110.9.8</v>
      </c>
      <c r="AW704" s="1344">
        <f t="shared" si="85"/>
        <v>44447</v>
      </c>
    </row>
    <row r="705" spans="1:49">
      <c r="A705" s="1077" t="s">
        <v>3723</v>
      </c>
      <c r="B705" s="1077" t="s">
        <v>453</v>
      </c>
      <c r="C705" s="1077">
        <v>700</v>
      </c>
      <c r="D705" s="1077">
        <v>1.6779999999999999</v>
      </c>
      <c r="E705" s="1077" t="s">
        <v>15089</v>
      </c>
      <c r="F705" s="1077" t="s">
        <v>1773</v>
      </c>
      <c r="G705" s="1077" t="s">
        <v>1767</v>
      </c>
      <c r="H705" s="1077" t="s">
        <v>2480</v>
      </c>
      <c r="I705" s="1077" t="s">
        <v>126</v>
      </c>
      <c r="J705" s="1077">
        <v>0.9</v>
      </c>
      <c r="K705" s="1077" t="s">
        <v>3721</v>
      </c>
      <c r="L705" s="1077" t="s">
        <v>1776</v>
      </c>
      <c r="M705" s="1077">
        <v>76</v>
      </c>
      <c r="N705" s="1077" t="s">
        <v>945</v>
      </c>
      <c r="O705" s="1077">
        <v>1.9000000000000001</v>
      </c>
      <c r="P705" s="1077">
        <v>1.52</v>
      </c>
      <c r="Q705" s="1077">
        <v>4</v>
      </c>
      <c r="R705" s="1077">
        <v>23</v>
      </c>
      <c r="T705" s="1077">
        <v>19</v>
      </c>
      <c r="U705" s="1077">
        <v>3.8</v>
      </c>
      <c r="V705" s="1077" t="s">
        <v>648</v>
      </c>
      <c r="W705" s="1077">
        <v>110</v>
      </c>
      <c r="X705" s="1077">
        <v>70</v>
      </c>
      <c r="Y705" s="1077">
        <v>2</v>
      </c>
      <c r="Z705" s="1077">
        <v>4.5</v>
      </c>
      <c r="AA705" s="1077" t="s">
        <v>3722</v>
      </c>
      <c r="AH705" s="1077" t="s">
        <v>618</v>
      </c>
      <c r="AM705" s="1078" t="s">
        <v>10451</v>
      </c>
      <c r="AN705" s="1078" t="s">
        <v>10452</v>
      </c>
      <c r="AO705" s="1078">
        <f t="shared" si="86"/>
        <v>700</v>
      </c>
      <c r="AP705" s="1078">
        <f t="shared" si="87"/>
        <v>1.6779999999999999</v>
      </c>
      <c r="AQ705" s="1078" t="str">
        <f t="shared" si="88"/>
        <v>1-4-1S83°</v>
      </c>
      <c r="AR705" s="1078" t="str">
        <f t="shared" si="89"/>
        <v>30.2</v>
      </c>
      <c r="AS705" s="1078" t="str">
        <f t="shared" si="90"/>
        <v>251/251/OFF</v>
      </c>
      <c r="AT705" s="1078" t="str">
        <f t="shared" si="91"/>
        <v>1-4-1S83°</v>
      </c>
      <c r="AV705" s="1078" t="str">
        <f t="shared" si="84"/>
        <v>110.9.8</v>
      </c>
      <c r="AW705" s="1344">
        <f t="shared" si="85"/>
        <v>44447</v>
      </c>
    </row>
    <row r="706" spans="1:49">
      <c r="A706" s="1077" t="s">
        <v>3724</v>
      </c>
      <c r="B706" s="1077" t="s">
        <v>453</v>
      </c>
      <c r="C706" s="1077" t="s">
        <v>3725</v>
      </c>
      <c r="D706" s="1077">
        <v>1.6850000000000001</v>
      </c>
      <c r="E706" s="1077" t="s">
        <v>15089</v>
      </c>
      <c r="F706" s="1077" t="s">
        <v>1773</v>
      </c>
      <c r="G706" s="1077" t="s">
        <v>1767</v>
      </c>
      <c r="H706" s="1077" t="s">
        <v>3726</v>
      </c>
      <c r="I706" s="1077" t="s">
        <v>126</v>
      </c>
      <c r="J706" s="1077">
        <v>0.9</v>
      </c>
      <c r="K706" s="1077" t="s">
        <v>2510</v>
      </c>
      <c r="L706" s="1077" t="s">
        <v>1776</v>
      </c>
      <c r="M706" s="1077">
        <v>75</v>
      </c>
      <c r="N706" s="1077" t="s">
        <v>945</v>
      </c>
      <c r="O706" s="1077">
        <v>1.875</v>
      </c>
      <c r="P706" s="1077">
        <v>1.5</v>
      </c>
      <c r="Q706" s="1077">
        <v>4</v>
      </c>
      <c r="R706" s="1077">
        <v>23</v>
      </c>
      <c r="T706" s="1077">
        <v>19</v>
      </c>
      <c r="U706" s="1077">
        <v>3.8</v>
      </c>
      <c r="V706" s="1077" t="s">
        <v>648</v>
      </c>
      <c r="W706" s="1077">
        <v>110</v>
      </c>
      <c r="X706" s="1077">
        <v>70</v>
      </c>
      <c r="Y706" s="1077">
        <v>2</v>
      </c>
      <c r="Z706" s="1077">
        <v>4.5</v>
      </c>
      <c r="AA706" s="1077" t="s">
        <v>3727</v>
      </c>
      <c r="AH706" s="1077" t="s">
        <v>966</v>
      </c>
      <c r="AM706" s="1078" t="s">
        <v>10453</v>
      </c>
      <c r="AN706" s="1078" t="s">
        <v>10454</v>
      </c>
      <c r="AO706" s="1078" t="str">
        <f t="shared" si="86"/>
        <v>700↓650</v>
      </c>
      <c r="AP706" s="1078">
        <f t="shared" si="87"/>
        <v>1.6850000000000001</v>
      </c>
      <c r="AQ706" s="1078" t="str">
        <f t="shared" si="88"/>
        <v>1-4-1S83°</v>
      </c>
      <c r="AR706" s="1078" t="str">
        <f t="shared" si="89"/>
        <v>30.2</v>
      </c>
      <c r="AS706" s="1078" t="str">
        <f t="shared" si="90"/>
        <v>244/244/OFF</v>
      </c>
      <c r="AT706" s="1078" t="str">
        <f t="shared" si="91"/>
        <v>1-4-1S83°</v>
      </c>
      <c r="AV706" s="1078" t="str">
        <f t="shared" ref="AV706:AV769" si="92">AA706</f>
        <v>110.9.9</v>
      </c>
      <c r="AW706" s="1344">
        <f t="shared" si="85"/>
        <v>44448</v>
      </c>
    </row>
    <row r="707" spans="1:49">
      <c r="A707" s="1077" t="s">
        <v>3728</v>
      </c>
      <c r="B707" s="1077" t="s">
        <v>1783</v>
      </c>
      <c r="C707" s="1077">
        <v>620</v>
      </c>
      <c r="D707" s="1077">
        <v>1.65</v>
      </c>
      <c r="E707" s="1077" t="s">
        <v>15095</v>
      </c>
      <c r="F707" s="1077" t="s">
        <v>984</v>
      </c>
      <c r="G707" s="1077" t="s">
        <v>1784</v>
      </c>
      <c r="H707" s="1077" t="s">
        <v>1029</v>
      </c>
      <c r="I707" s="1077" t="s">
        <v>126</v>
      </c>
      <c r="J707" s="1077">
        <v>0.3</v>
      </c>
      <c r="K707" s="1077" t="s">
        <v>1786</v>
      </c>
      <c r="L707" s="1077" t="s">
        <v>1787</v>
      </c>
      <c r="M707" s="1077">
        <v>76.099999999999994</v>
      </c>
      <c r="N707" s="1077" t="s">
        <v>945</v>
      </c>
      <c r="O707" s="1077">
        <v>1.9024999999999999</v>
      </c>
      <c r="P707" s="1077">
        <v>1.522</v>
      </c>
      <c r="Q707" s="1077">
        <v>4</v>
      </c>
      <c r="R707" s="1077">
        <v>19</v>
      </c>
      <c r="T707" s="1077">
        <v>13</v>
      </c>
      <c r="U707" s="1077">
        <v>4</v>
      </c>
      <c r="V707" s="1077" t="s">
        <v>648</v>
      </c>
      <c r="W707" s="1077">
        <v>30</v>
      </c>
      <c r="X707" s="1077">
        <v>10</v>
      </c>
      <c r="Y707" s="1077">
        <v>2.5</v>
      </c>
      <c r="Z707" s="1077">
        <v>2</v>
      </c>
      <c r="AA707" s="1077" t="s">
        <v>1436</v>
      </c>
      <c r="AH707" s="1077" t="s">
        <v>1588</v>
      </c>
      <c r="AM707" s="1078" t="s">
        <v>10455</v>
      </c>
      <c r="AN707" s="1078" t="s">
        <v>10456</v>
      </c>
      <c r="AO707" s="1078">
        <f t="shared" si="86"/>
        <v>620</v>
      </c>
      <c r="AP707" s="1078">
        <f t="shared" si="87"/>
        <v>1.65</v>
      </c>
      <c r="AQ707" s="1078" t="str">
        <f t="shared" si="88"/>
        <v>1-5-1S83°</v>
      </c>
      <c r="AR707" s="1078" t="str">
        <f t="shared" si="89"/>
        <v>30</v>
      </c>
      <c r="AS707" s="1078" t="str">
        <f t="shared" si="90"/>
        <v>250/250/OFF</v>
      </c>
      <c r="AT707" s="1078" t="str">
        <f t="shared" si="91"/>
        <v>1-5-1S83°</v>
      </c>
      <c r="AV707" s="1078" t="str">
        <f t="shared" si="92"/>
        <v>110.9.13</v>
      </c>
      <c r="AW707" s="1344">
        <f t="shared" ref="AW707:AW770" si="93">DATE(VALUE(LEFT(AV707,FIND(".",AV707)-1))+1911,
       VALUE(MID(AV707,FIND(".",AV707)+1,FIND(".",AV707,FIND(".",AV707)+1)-FIND(".",AV707)-1)),
       VALUE(RIGHT(AV707,LEN(AV707)-FIND("~",SUBSTITUTE(AV707,".","~",2)))))</f>
        <v>44452</v>
      </c>
    </row>
    <row r="708" spans="1:49">
      <c r="A708" s="1077" t="s">
        <v>3729</v>
      </c>
      <c r="B708" s="1077" t="s">
        <v>1783</v>
      </c>
      <c r="C708" s="1077">
        <v>500</v>
      </c>
      <c r="D708" s="1077">
        <v>1.68</v>
      </c>
      <c r="E708" s="1077" t="s">
        <v>15089</v>
      </c>
      <c r="F708" s="1077" t="s">
        <v>984</v>
      </c>
      <c r="G708" s="1077" t="s">
        <v>2592</v>
      </c>
      <c r="H708" s="1077" t="s">
        <v>1290</v>
      </c>
      <c r="I708" s="1077" t="s">
        <v>126</v>
      </c>
      <c r="J708" s="1077">
        <v>0.2</v>
      </c>
      <c r="K708" s="1077" t="s">
        <v>3730</v>
      </c>
      <c r="L708" s="1077" t="s">
        <v>3731</v>
      </c>
      <c r="M708" s="1077">
        <v>76.099999999999994</v>
      </c>
      <c r="N708" s="1077" t="s">
        <v>945</v>
      </c>
      <c r="O708" s="1077">
        <v>1.9024999999999999</v>
      </c>
      <c r="P708" s="1077">
        <v>1.522</v>
      </c>
      <c r="Q708" s="1077">
        <v>4</v>
      </c>
      <c r="R708" s="1077">
        <v>19</v>
      </c>
      <c r="T708" s="1077">
        <v>13</v>
      </c>
      <c r="U708" s="1077">
        <v>4</v>
      </c>
      <c r="V708" s="1077" t="s">
        <v>648</v>
      </c>
      <c r="W708" s="1077" t="s">
        <v>2085</v>
      </c>
      <c r="X708" s="1077">
        <v>0</v>
      </c>
      <c r="Y708" s="1077">
        <v>2.5</v>
      </c>
      <c r="Z708" s="1077">
        <v>2</v>
      </c>
      <c r="AA708" s="1077" t="s">
        <v>3732</v>
      </c>
      <c r="AH708" s="1077" t="s">
        <v>468</v>
      </c>
      <c r="AI708" s="1077">
        <v>94.14</v>
      </c>
      <c r="AJ708" s="1077">
        <v>-0.04</v>
      </c>
      <c r="AK708" s="1077">
        <v>0.69</v>
      </c>
      <c r="AM708" s="1078" t="s">
        <v>10457</v>
      </c>
      <c r="AN708" s="1078" t="s">
        <v>10327</v>
      </c>
      <c r="AO708" s="1078">
        <f t="shared" si="86"/>
        <v>500</v>
      </c>
      <c r="AP708" s="1078">
        <f t="shared" si="87"/>
        <v>1.68</v>
      </c>
      <c r="AQ708" s="1078" t="str">
        <f t="shared" si="88"/>
        <v>1-4-1S83°</v>
      </c>
      <c r="AR708" s="1078" t="str">
        <f t="shared" si="89"/>
        <v>30</v>
      </c>
      <c r="AS708" s="1078" t="str">
        <f t="shared" si="90"/>
        <v>220/220/OFF</v>
      </c>
      <c r="AT708" s="1078" t="str">
        <f t="shared" si="91"/>
        <v>1-4-1S83°</v>
      </c>
      <c r="AV708" s="1078" t="str">
        <f t="shared" si="92"/>
        <v>112.9.4</v>
      </c>
      <c r="AW708" s="1344">
        <f t="shared" si="93"/>
        <v>45173</v>
      </c>
    </row>
    <row r="709" spans="1:49">
      <c r="A709" s="1077" t="s">
        <v>3733</v>
      </c>
      <c r="B709" s="1077" t="s">
        <v>453</v>
      </c>
      <c r="C709" s="1077">
        <v>650</v>
      </c>
      <c r="D709" s="1077">
        <v>1.7</v>
      </c>
      <c r="E709" s="1077" t="s">
        <v>15089</v>
      </c>
      <c r="F709" s="1077" t="s">
        <v>984</v>
      </c>
      <c r="G709" s="1077" t="s">
        <v>1767</v>
      </c>
      <c r="H709" s="1077" t="s">
        <v>1831</v>
      </c>
      <c r="I709" s="1077" t="s">
        <v>126</v>
      </c>
      <c r="J709" s="1077">
        <v>1.1000000000000001</v>
      </c>
      <c r="K709" s="1077" t="s">
        <v>3734</v>
      </c>
      <c r="L709" s="1077" t="s">
        <v>1776</v>
      </c>
      <c r="M709" s="1077">
        <v>77</v>
      </c>
      <c r="N709" s="1077" t="s">
        <v>945</v>
      </c>
      <c r="O709" s="1077">
        <v>1.925</v>
      </c>
      <c r="P709" s="1077">
        <v>1.54</v>
      </c>
      <c r="Q709" s="1077">
        <v>4.2</v>
      </c>
      <c r="R709" s="1077">
        <v>24</v>
      </c>
      <c r="T709" s="1077">
        <v>9</v>
      </c>
      <c r="U709" s="1077">
        <v>2.2000000000000002</v>
      </c>
      <c r="V709" s="1077" t="s">
        <v>648</v>
      </c>
      <c r="W709" s="1077">
        <v>110</v>
      </c>
      <c r="X709" s="1077">
        <v>85</v>
      </c>
      <c r="Y709" s="1077">
        <v>2.1</v>
      </c>
      <c r="Z709" s="1077">
        <v>2.5</v>
      </c>
      <c r="AA709" s="1077" t="s">
        <v>3735</v>
      </c>
      <c r="AB709" s="1077" t="s">
        <v>981</v>
      </c>
      <c r="AH709" s="1077" t="s">
        <v>963</v>
      </c>
      <c r="AI709" s="1077">
        <v>92.05</v>
      </c>
      <c r="AJ709" s="1077">
        <v>-0.14000000000000001</v>
      </c>
      <c r="AK709" s="1077">
        <v>0.63</v>
      </c>
      <c r="AM709" s="1078" t="s">
        <v>10458</v>
      </c>
      <c r="AN709" s="1078" t="s">
        <v>10459</v>
      </c>
      <c r="AO709" s="1078">
        <f t="shared" si="86"/>
        <v>650</v>
      </c>
      <c r="AP709" s="1078">
        <f t="shared" si="87"/>
        <v>1.7</v>
      </c>
      <c r="AQ709" s="1078" t="str">
        <f t="shared" si="88"/>
        <v>1-4-1S83°</v>
      </c>
      <c r="AR709" s="1078" t="str">
        <f t="shared" si="89"/>
        <v>30</v>
      </c>
      <c r="AS709" s="1078" t="str">
        <f t="shared" si="90"/>
        <v>260/260/165</v>
      </c>
      <c r="AT709" s="1078" t="str">
        <f t="shared" si="91"/>
        <v>1-4-1S83°</v>
      </c>
      <c r="AV709" s="1078" t="str">
        <f t="shared" si="92"/>
        <v>112.9.1</v>
      </c>
      <c r="AW709" s="1344">
        <f t="shared" si="93"/>
        <v>45170</v>
      </c>
    </row>
    <row r="710" spans="1:49">
      <c r="A710" s="1077" t="s">
        <v>3736</v>
      </c>
      <c r="B710" s="1077" t="s">
        <v>472</v>
      </c>
      <c r="C710" s="1077">
        <v>550</v>
      </c>
      <c r="D710" s="1077">
        <v>1.7</v>
      </c>
      <c r="E710" s="1077" t="s">
        <v>15089</v>
      </c>
      <c r="F710" s="1077" t="s">
        <v>984</v>
      </c>
      <c r="G710" s="1077" t="s">
        <v>1767</v>
      </c>
      <c r="H710" s="1077" t="s">
        <v>1649</v>
      </c>
      <c r="I710" s="1077" t="s">
        <v>126</v>
      </c>
      <c r="J710" s="1077">
        <v>0.8</v>
      </c>
      <c r="K710" s="1077" t="s">
        <v>1810</v>
      </c>
      <c r="L710" s="1077" t="s">
        <v>1811</v>
      </c>
      <c r="M710" s="1077">
        <v>74.599999999999994</v>
      </c>
      <c r="N710" s="1077" t="s">
        <v>945</v>
      </c>
      <c r="O710" s="1077">
        <v>1.865</v>
      </c>
      <c r="P710" s="1077">
        <v>1.492</v>
      </c>
      <c r="Q710" s="1077">
        <v>3.5</v>
      </c>
      <c r="R710" s="1077">
        <v>27</v>
      </c>
      <c r="T710" s="1077">
        <v>12.5</v>
      </c>
      <c r="U710" s="1077">
        <v>5.0999999999999996</v>
      </c>
      <c r="V710" s="1077" t="s">
        <v>648</v>
      </c>
      <c r="W710" s="1077">
        <v>95</v>
      </c>
      <c r="X710" s="1077">
        <v>60</v>
      </c>
      <c r="Y710" s="1077">
        <v>1.8</v>
      </c>
      <c r="Z710" s="1077">
        <v>4.5</v>
      </c>
      <c r="AA710" s="1077" t="s">
        <v>3737</v>
      </c>
      <c r="AB710" s="1077" t="s">
        <v>3738</v>
      </c>
      <c r="AH710" s="1077" t="s">
        <v>838</v>
      </c>
      <c r="AI710" s="1077">
        <v>93.64</v>
      </c>
      <c r="AJ710" s="1077">
        <v>-0.71</v>
      </c>
      <c r="AK710" s="1077">
        <v>2.86</v>
      </c>
      <c r="AM710" s="1078" t="s">
        <v>10460</v>
      </c>
      <c r="AN710" s="1078" t="s">
        <v>10461</v>
      </c>
      <c r="AO710" s="1078">
        <f t="shared" si="86"/>
        <v>550</v>
      </c>
      <c r="AP710" s="1078">
        <f t="shared" si="87"/>
        <v>1.7</v>
      </c>
      <c r="AQ710" s="1078" t="str">
        <f t="shared" si="88"/>
        <v>1-4-1S83°</v>
      </c>
      <c r="AR710" s="1078" t="str">
        <f t="shared" si="89"/>
        <v>30</v>
      </c>
      <c r="AS710" s="1078" t="str">
        <f t="shared" si="90"/>
        <v>225/225/OFF</v>
      </c>
      <c r="AT710" s="1078" t="str">
        <f t="shared" si="91"/>
        <v>1-4-1S83°</v>
      </c>
      <c r="AV710" s="1078" t="str">
        <f t="shared" si="92"/>
        <v>112.9.12</v>
      </c>
      <c r="AW710" s="1344">
        <f t="shared" si="93"/>
        <v>45181</v>
      </c>
    </row>
    <row r="711" spans="1:49">
      <c r="A711" s="1077" t="s">
        <v>3739</v>
      </c>
      <c r="B711" s="1077" t="s">
        <v>453</v>
      </c>
      <c r="C711" s="1077">
        <v>650</v>
      </c>
      <c r="D711" s="1077">
        <v>1.7</v>
      </c>
      <c r="E711" s="1077" t="s">
        <v>15089</v>
      </c>
      <c r="F711" s="1077" t="s">
        <v>1773</v>
      </c>
      <c r="G711" s="1077" t="s">
        <v>1767</v>
      </c>
      <c r="H711" s="1077" t="s">
        <v>955</v>
      </c>
      <c r="I711" s="1077" t="s">
        <v>126</v>
      </c>
      <c r="J711" s="1077">
        <v>0.9</v>
      </c>
      <c r="K711" s="1077" t="s">
        <v>3740</v>
      </c>
      <c r="L711" s="1077" t="s">
        <v>1821</v>
      </c>
      <c r="M711" s="1077">
        <v>74.8</v>
      </c>
      <c r="N711" s="1077" t="s">
        <v>945</v>
      </c>
      <c r="O711" s="1077">
        <v>1.87</v>
      </c>
      <c r="P711" s="1077">
        <v>1.496</v>
      </c>
      <c r="Q711" s="1077">
        <v>4</v>
      </c>
      <c r="R711" s="1077">
        <v>23</v>
      </c>
      <c r="T711" s="1077">
        <v>18.600000000000001</v>
      </c>
      <c r="U711" s="1077">
        <v>3.5</v>
      </c>
      <c r="V711" s="1077" t="s">
        <v>648</v>
      </c>
      <c r="W711" s="1077">
        <v>105</v>
      </c>
      <c r="X711" s="1077">
        <v>80</v>
      </c>
      <c r="Y711" s="1077">
        <v>2</v>
      </c>
      <c r="Z711" s="1077">
        <v>4.5</v>
      </c>
      <c r="AA711" s="1077" t="s">
        <v>3737</v>
      </c>
      <c r="AH711" s="1077" t="s">
        <v>877</v>
      </c>
      <c r="AI711" s="1077">
        <v>32.32</v>
      </c>
      <c r="AJ711" s="1077">
        <v>-0.13</v>
      </c>
      <c r="AK711" s="1077">
        <v>0.51</v>
      </c>
      <c r="AM711" s="1078" t="s">
        <v>10462</v>
      </c>
      <c r="AN711" s="1078" t="s">
        <v>10463</v>
      </c>
      <c r="AO711" s="1078">
        <f t="shared" si="86"/>
        <v>650</v>
      </c>
      <c r="AP711" s="1078">
        <f t="shared" si="87"/>
        <v>1.7</v>
      </c>
      <c r="AQ711" s="1078" t="str">
        <f t="shared" si="88"/>
        <v>1-4-1S83°</v>
      </c>
      <c r="AR711" s="1078" t="str">
        <f t="shared" si="89"/>
        <v>30.2</v>
      </c>
      <c r="AS711" s="1078" t="str">
        <f t="shared" si="90"/>
        <v>260/260/OFF</v>
      </c>
      <c r="AT711" s="1078" t="str">
        <f t="shared" si="91"/>
        <v>1-4-1S83°</v>
      </c>
      <c r="AV711" s="1078" t="str">
        <f t="shared" si="92"/>
        <v>112.9.12</v>
      </c>
      <c r="AW711" s="1344">
        <f t="shared" si="93"/>
        <v>45181</v>
      </c>
    </row>
    <row r="712" spans="1:49">
      <c r="A712" s="1077" t="s">
        <v>3741</v>
      </c>
      <c r="B712" s="1077" t="s">
        <v>1911</v>
      </c>
      <c r="C712" s="1077">
        <v>650</v>
      </c>
      <c r="D712" s="1077">
        <v>1.7450000000000001</v>
      </c>
      <c r="E712" s="1077" t="s">
        <v>15091</v>
      </c>
      <c r="F712" s="1077" t="s">
        <v>954</v>
      </c>
      <c r="G712" s="1077">
        <v>5</v>
      </c>
      <c r="H712" s="1077" t="s">
        <v>1072</v>
      </c>
      <c r="I712" s="1077" t="s">
        <v>1167</v>
      </c>
      <c r="J712" s="1077">
        <v>1.2</v>
      </c>
      <c r="K712" s="1077" t="s">
        <v>3742</v>
      </c>
      <c r="L712" s="1077" t="s">
        <v>1913</v>
      </c>
      <c r="M712" s="1077">
        <v>75</v>
      </c>
      <c r="N712" s="1077" t="s">
        <v>945</v>
      </c>
      <c r="O712" s="1077">
        <v>1.875</v>
      </c>
      <c r="P712" s="1077">
        <v>1.5</v>
      </c>
      <c r="Q712" s="1077">
        <v>4</v>
      </c>
      <c r="R712" s="1077">
        <v>23</v>
      </c>
      <c r="T712" s="1077">
        <v>26.5</v>
      </c>
      <c r="U712" s="1077">
        <v>3.8</v>
      </c>
      <c r="V712" s="1077" t="s">
        <v>648</v>
      </c>
      <c r="W712" s="1077">
        <v>100</v>
      </c>
      <c r="X712" s="1077">
        <v>45</v>
      </c>
      <c r="Y712" s="1077">
        <v>1.6</v>
      </c>
      <c r="Z712" s="1077">
        <v>5</v>
      </c>
      <c r="AA712" s="1077" t="s">
        <v>3743</v>
      </c>
      <c r="AH712" s="1077" t="s">
        <v>1023</v>
      </c>
      <c r="AI712" s="1077" t="s">
        <v>1597</v>
      </c>
      <c r="AJ712" s="1077" t="s">
        <v>1597</v>
      </c>
      <c r="AK712" s="1077" t="s">
        <v>1597</v>
      </c>
      <c r="AM712" s="1078" t="s">
        <v>10464</v>
      </c>
      <c r="AN712" s="1078" t="s">
        <v>10465</v>
      </c>
      <c r="AO712" s="1078">
        <f t="shared" si="86"/>
        <v>650</v>
      </c>
      <c r="AP712" s="1078">
        <f t="shared" si="87"/>
        <v>1.7450000000000001</v>
      </c>
      <c r="AQ712" s="1078" t="str">
        <f t="shared" si="88"/>
        <v>2-5-1S83°</v>
      </c>
      <c r="AR712" s="1078" t="str">
        <f t="shared" si="89"/>
        <v>31</v>
      </c>
      <c r="AS712" s="1078" t="str">
        <f t="shared" si="90"/>
        <v>168/OFF</v>
      </c>
      <c r="AT712" s="1078" t="str">
        <f t="shared" si="91"/>
        <v>2-5-1S83°</v>
      </c>
      <c r="AV712" s="1078" t="str">
        <f t="shared" si="92"/>
        <v>112.9.13</v>
      </c>
      <c r="AW712" s="1344">
        <f t="shared" si="93"/>
        <v>45182</v>
      </c>
    </row>
    <row r="713" spans="1:49">
      <c r="A713" s="1077" t="s">
        <v>3744</v>
      </c>
      <c r="B713" s="1077" t="s">
        <v>1947</v>
      </c>
      <c r="C713" s="1077">
        <v>550</v>
      </c>
      <c r="D713" s="1077">
        <v>1.71</v>
      </c>
      <c r="E713" s="1077" t="s">
        <v>15096</v>
      </c>
      <c r="F713" s="1077" t="s">
        <v>1469</v>
      </c>
      <c r="G713" s="1077" t="s">
        <v>1001</v>
      </c>
      <c r="H713" s="1077" t="s">
        <v>1948</v>
      </c>
      <c r="I713" s="1077" t="s">
        <v>626</v>
      </c>
      <c r="J713" s="1077">
        <v>0.5</v>
      </c>
      <c r="K713" s="1077" t="s">
        <v>3745</v>
      </c>
      <c r="L713" s="1077" t="s">
        <v>1950</v>
      </c>
      <c r="M713" s="1077">
        <v>77</v>
      </c>
      <c r="N713" s="1077" t="s">
        <v>945</v>
      </c>
      <c r="O713" s="1077">
        <v>1.925</v>
      </c>
      <c r="P713" s="1077">
        <v>1.54</v>
      </c>
      <c r="Q713" s="1077">
        <v>3</v>
      </c>
      <c r="R713" s="1077">
        <v>24</v>
      </c>
      <c r="T713" s="1077">
        <v>29</v>
      </c>
      <c r="U713" s="1077">
        <v>2.9</v>
      </c>
      <c r="V713" s="1077" t="s">
        <v>648</v>
      </c>
      <c r="W713" s="1077">
        <v>30</v>
      </c>
      <c r="X713" s="1077">
        <v>10</v>
      </c>
      <c r="Y713" s="1077">
        <v>1.5</v>
      </c>
      <c r="Z713" s="1077">
        <v>5.5</v>
      </c>
      <c r="AA713" s="1077" t="s">
        <v>3746</v>
      </c>
      <c r="AH713" s="1077" t="s">
        <v>466</v>
      </c>
      <c r="AI713" s="1077">
        <v>69.8</v>
      </c>
      <c r="AJ713" s="1077">
        <v>0.31</v>
      </c>
      <c r="AK713" s="1077">
        <v>1.36</v>
      </c>
      <c r="AM713" s="1078" t="s">
        <v>10466</v>
      </c>
      <c r="AN713" s="1078" t="s">
        <v>10467</v>
      </c>
      <c r="AO713" s="1078">
        <f t="shared" si="86"/>
        <v>550</v>
      </c>
      <c r="AP713" s="1078">
        <f t="shared" si="87"/>
        <v>1.71</v>
      </c>
      <c r="AQ713" s="1078" t="str">
        <f t="shared" si="88"/>
        <v>1-4-1S87°</v>
      </c>
      <c r="AR713" s="1078" t="str">
        <f t="shared" si="89"/>
        <v>30.5</v>
      </c>
      <c r="AS713" s="1078" t="str">
        <f t="shared" si="90"/>
        <v>265/265/130</v>
      </c>
      <c r="AT713" s="1078" t="str">
        <f t="shared" si="91"/>
        <v>1-4-1S87°</v>
      </c>
      <c r="AV713" s="1078" t="str">
        <f t="shared" si="92"/>
        <v>112.9.15</v>
      </c>
      <c r="AW713" s="1344">
        <f t="shared" si="93"/>
        <v>45184</v>
      </c>
    </row>
    <row r="714" spans="1:49">
      <c r="A714" s="1077" t="s">
        <v>3747</v>
      </c>
      <c r="B714" s="1077" t="s">
        <v>1783</v>
      </c>
      <c r="C714" s="1077" t="s">
        <v>3748</v>
      </c>
      <c r="D714" s="1077">
        <v>1.68</v>
      </c>
      <c r="E714" s="1077" t="s">
        <v>15089</v>
      </c>
      <c r="F714" s="1077" t="s">
        <v>2001</v>
      </c>
      <c r="G714" s="1077" t="s">
        <v>3432</v>
      </c>
      <c r="H714" s="1077" t="s">
        <v>1290</v>
      </c>
      <c r="I714" s="1077" t="s">
        <v>126</v>
      </c>
      <c r="J714" s="1077">
        <v>0.3</v>
      </c>
      <c r="K714" s="1077" t="s">
        <v>3730</v>
      </c>
      <c r="L714" s="1077" t="s">
        <v>3731</v>
      </c>
      <c r="M714" s="1077">
        <v>75</v>
      </c>
      <c r="N714" s="1077" t="s">
        <v>945</v>
      </c>
      <c r="O714" s="1077">
        <v>1.875</v>
      </c>
      <c r="P714" s="1077">
        <v>1.5</v>
      </c>
      <c r="Q714" s="1077">
        <v>4</v>
      </c>
      <c r="R714" s="1077">
        <v>21</v>
      </c>
      <c r="T714" s="1077">
        <v>13</v>
      </c>
      <c r="U714" s="1077">
        <v>4</v>
      </c>
      <c r="V714" s="1077" t="s">
        <v>648</v>
      </c>
      <c r="W714" s="1077">
        <v>30</v>
      </c>
      <c r="X714" s="1077">
        <v>10</v>
      </c>
      <c r="Y714" s="1077">
        <v>2.5</v>
      </c>
      <c r="Z714" s="1077">
        <v>2</v>
      </c>
      <c r="AA714" s="1077" t="s">
        <v>3746</v>
      </c>
      <c r="AH714" s="1077" t="s">
        <v>456</v>
      </c>
      <c r="AI714" s="1077">
        <v>94.15</v>
      </c>
      <c r="AJ714" s="1077">
        <v>-0.23</v>
      </c>
      <c r="AK714" s="1077">
        <v>0.69</v>
      </c>
      <c r="AM714" s="1078" t="s">
        <v>10468</v>
      </c>
      <c r="AN714" s="1078" t="s">
        <v>10469</v>
      </c>
      <c r="AO714" s="1078" t="str">
        <f t="shared" si="86"/>
        <v>500↑550-11/3(A15)</v>
      </c>
      <c r="AP714" s="1078">
        <f t="shared" si="87"/>
        <v>1.68</v>
      </c>
      <c r="AQ714" s="1078" t="str">
        <f t="shared" si="88"/>
        <v>1-4-1S83°</v>
      </c>
      <c r="AR714" s="1078" t="str">
        <f t="shared" si="89"/>
        <v>29.9</v>
      </c>
      <c r="AS714" s="1078" t="str">
        <f t="shared" si="90"/>
        <v>220/220/OFF</v>
      </c>
      <c r="AT714" s="1078" t="str">
        <f t="shared" si="91"/>
        <v>1-4-1S83°</v>
      </c>
      <c r="AV714" s="1078" t="str">
        <f t="shared" si="92"/>
        <v>112.9.15</v>
      </c>
      <c r="AW714" s="1344">
        <f t="shared" si="93"/>
        <v>45184</v>
      </c>
    </row>
    <row r="715" spans="1:49">
      <c r="A715" s="1077" t="s">
        <v>3749</v>
      </c>
      <c r="B715" s="1077" t="s">
        <v>3750</v>
      </c>
      <c r="C715" s="1077" t="s">
        <v>3751</v>
      </c>
      <c r="D715" s="1077">
        <v>1.77</v>
      </c>
      <c r="E715" s="1077" t="s">
        <v>15091</v>
      </c>
      <c r="F715" s="1077" t="s">
        <v>984</v>
      </c>
      <c r="G715" s="1077" t="s">
        <v>1767</v>
      </c>
      <c r="H715" s="1077" t="s">
        <v>1188</v>
      </c>
      <c r="I715" s="1077" t="s">
        <v>1112</v>
      </c>
      <c r="J715" s="1077">
        <v>1.7</v>
      </c>
      <c r="K715" s="1077" t="s">
        <v>3752</v>
      </c>
      <c r="L715" s="1077" t="s">
        <v>1968</v>
      </c>
      <c r="M715" s="1077">
        <v>74.599999999999994</v>
      </c>
      <c r="N715" s="1077" t="s">
        <v>945</v>
      </c>
      <c r="O715" s="1077">
        <v>1.865</v>
      </c>
      <c r="P715" s="1077">
        <v>1.492</v>
      </c>
      <c r="Q715" s="1077">
        <v>4</v>
      </c>
      <c r="R715" s="1077">
        <v>22</v>
      </c>
      <c r="T715" s="1077">
        <v>32</v>
      </c>
      <c r="U715" s="1077">
        <v>3.4</v>
      </c>
      <c r="V715" s="1077" t="s">
        <v>648</v>
      </c>
      <c r="W715" s="1077">
        <v>110</v>
      </c>
      <c r="X715" s="1077">
        <v>60</v>
      </c>
      <c r="Y715" s="1077">
        <v>2</v>
      </c>
      <c r="Z715" s="1077">
        <v>6</v>
      </c>
      <c r="AA715" s="1077" t="s">
        <v>3746</v>
      </c>
      <c r="AH715" s="1077" t="s">
        <v>1827</v>
      </c>
      <c r="AI715" s="1077">
        <v>91.68</v>
      </c>
      <c r="AJ715" s="1077">
        <v>-0.39</v>
      </c>
      <c r="AK715" s="1077">
        <v>0.78</v>
      </c>
      <c r="AM715" s="1078" t="s">
        <v>10470</v>
      </c>
      <c r="AN715" s="1078" t="s">
        <v>10471</v>
      </c>
      <c r="AO715" s="1078" t="str">
        <f t="shared" ref="AO715:AO778" si="94">C715</f>
        <v>650↑700-11/7</v>
      </c>
      <c r="AP715" s="1078">
        <f t="shared" ref="AP715:AP778" si="95">D715</f>
        <v>1.77</v>
      </c>
      <c r="AQ715" s="1078" t="str">
        <f t="shared" ref="AQ715:AQ778" si="96">E715</f>
        <v>2-5-1S83°</v>
      </c>
      <c r="AR715" s="1078" t="str">
        <f t="shared" ref="AR715:AR778" si="97">F715</f>
        <v>30</v>
      </c>
      <c r="AS715" s="1078" t="str">
        <f t="shared" ref="AS715:AS778" si="98">H715</f>
        <v>177/OFF</v>
      </c>
      <c r="AT715" s="1078" t="str">
        <f t="shared" ref="AT715:AT778" si="99">E715</f>
        <v>2-5-1S83°</v>
      </c>
      <c r="AV715" s="1078" t="str">
        <f t="shared" si="92"/>
        <v>112.9.15</v>
      </c>
      <c r="AW715" s="1344">
        <f t="shared" si="93"/>
        <v>45184</v>
      </c>
    </row>
    <row r="716" spans="1:49">
      <c r="A716" s="1077" t="s">
        <v>3753</v>
      </c>
      <c r="B716" s="1077" t="s">
        <v>1891</v>
      </c>
      <c r="C716" s="1077">
        <v>550</v>
      </c>
      <c r="D716" s="1077">
        <v>1.7</v>
      </c>
      <c r="E716" s="1077" t="s">
        <v>15089</v>
      </c>
      <c r="F716" s="1077" t="s">
        <v>984</v>
      </c>
      <c r="G716" s="1077" t="s">
        <v>940</v>
      </c>
      <c r="H716" s="1077" t="s">
        <v>1649</v>
      </c>
      <c r="I716" s="1077" t="s">
        <v>126</v>
      </c>
      <c r="J716" s="1077">
        <v>0.7</v>
      </c>
      <c r="K716" s="1077" t="s">
        <v>3754</v>
      </c>
      <c r="L716" s="1077" t="s">
        <v>1893</v>
      </c>
      <c r="M716" s="1077">
        <v>74.599999999999994</v>
      </c>
      <c r="N716" s="1077" t="s">
        <v>945</v>
      </c>
      <c r="O716" s="1077">
        <v>1.865</v>
      </c>
      <c r="P716" s="1077">
        <v>1.492</v>
      </c>
      <c r="Q716" s="1077">
        <v>3.5</v>
      </c>
      <c r="R716" s="1077">
        <v>29</v>
      </c>
      <c r="T716" s="1077">
        <v>12.5</v>
      </c>
      <c r="U716" s="1077">
        <v>5.0999999999999996</v>
      </c>
      <c r="V716" s="1077" t="s">
        <v>648</v>
      </c>
      <c r="W716" s="1077">
        <v>95</v>
      </c>
      <c r="X716" s="1077">
        <v>60</v>
      </c>
      <c r="Y716" s="1077">
        <v>1.8</v>
      </c>
      <c r="Z716" s="1077">
        <v>4.5</v>
      </c>
      <c r="AA716" s="1077" t="s">
        <v>3755</v>
      </c>
      <c r="AB716" s="1077" t="s">
        <v>3756</v>
      </c>
      <c r="AH716" s="1077" t="s">
        <v>482</v>
      </c>
      <c r="AI716" s="1077">
        <v>92.67</v>
      </c>
      <c r="AJ716" s="1077">
        <v>-1.1399999999999999</v>
      </c>
      <c r="AK716" s="1077">
        <v>3.58</v>
      </c>
      <c r="AM716" s="1078" t="s">
        <v>10472</v>
      </c>
      <c r="AN716" s="1078" t="s">
        <v>10473</v>
      </c>
      <c r="AO716" s="1078">
        <f t="shared" si="94"/>
        <v>550</v>
      </c>
      <c r="AP716" s="1078">
        <f t="shared" si="95"/>
        <v>1.7</v>
      </c>
      <c r="AQ716" s="1078" t="str">
        <f t="shared" si="96"/>
        <v>1-4-1S83°</v>
      </c>
      <c r="AR716" s="1078" t="str">
        <f t="shared" si="97"/>
        <v>30</v>
      </c>
      <c r="AS716" s="1078" t="str">
        <f t="shared" si="98"/>
        <v>225/225/OFF</v>
      </c>
      <c r="AT716" s="1078" t="str">
        <f t="shared" si="99"/>
        <v>1-4-1S83°</v>
      </c>
      <c r="AV716" s="1078" t="str">
        <f t="shared" si="92"/>
        <v>112.9.18</v>
      </c>
      <c r="AW716" s="1344">
        <f t="shared" si="93"/>
        <v>45187</v>
      </c>
    </row>
    <row r="717" spans="1:49">
      <c r="A717" s="1077" t="s">
        <v>3757</v>
      </c>
      <c r="B717" s="1077" t="s">
        <v>2116</v>
      </c>
      <c r="C717" s="1077">
        <v>650</v>
      </c>
      <c r="D717" s="1077">
        <v>1.7050000000000001</v>
      </c>
      <c r="E717" s="1077" t="s">
        <v>15089</v>
      </c>
      <c r="F717" s="1077" t="s">
        <v>1773</v>
      </c>
      <c r="G717" s="1077" t="s">
        <v>1767</v>
      </c>
      <c r="H717" s="1077" t="s">
        <v>1029</v>
      </c>
      <c r="I717" s="1077" t="s">
        <v>126</v>
      </c>
      <c r="J717" s="1077">
        <v>0.4</v>
      </c>
      <c r="K717" s="1077" t="s">
        <v>3758</v>
      </c>
      <c r="L717" s="1077" t="s">
        <v>1776</v>
      </c>
      <c r="M717" s="1077">
        <v>74.599999999999994</v>
      </c>
      <c r="N717" s="1077" t="s">
        <v>945</v>
      </c>
      <c r="O717" s="1077">
        <v>1.865</v>
      </c>
      <c r="P717" s="1077">
        <v>1.492</v>
      </c>
      <c r="Q717" s="1077">
        <v>4</v>
      </c>
      <c r="R717" s="1077">
        <v>20.3</v>
      </c>
      <c r="T717" s="1077">
        <v>21.1</v>
      </c>
      <c r="U717" s="1077">
        <v>3.9</v>
      </c>
      <c r="V717" s="1077" t="s">
        <v>648</v>
      </c>
      <c r="W717" s="1077">
        <v>30</v>
      </c>
      <c r="X717" s="1077">
        <v>10</v>
      </c>
      <c r="Y717" s="1077">
        <v>1.8</v>
      </c>
      <c r="Z717" s="1077">
        <v>4.5</v>
      </c>
      <c r="AA717" s="1077" t="s">
        <v>3759</v>
      </c>
      <c r="AH717" s="1077" t="s">
        <v>619</v>
      </c>
      <c r="AI717" s="1077">
        <v>93.08</v>
      </c>
      <c r="AJ717" s="1077">
        <v>-0.13</v>
      </c>
      <c r="AK717" s="1077">
        <v>0.98</v>
      </c>
      <c r="AM717" s="1078" t="s">
        <v>10474</v>
      </c>
      <c r="AN717" s="1078" t="s">
        <v>10475</v>
      </c>
      <c r="AO717" s="1078">
        <f t="shared" si="94"/>
        <v>650</v>
      </c>
      <c r="AP717" s="1078">
        <f t="shared" si="95"/>
        <v>1.7050000000000001</v>
      </c>
      <c r="AQ717" s="1078" t="str">
        <f t="shared" si="96"/>
        <v>1-4-1S83°</v>
      </c>
      <c r="AR717" s="1078" t="str">
        <f t="shared" si="97"/>
        <v>30.2</v>
      </c>
      <c r="AS717" s="1078" t="str">
        <f t="shared" si="98"/>
        <v>250/250/OFF</v>
      </c>
      <c r="AT717" s="1078" t="str">
        <f t="shared" si="99"/>
        <v>1-4-1S83°</v>
      </c>
      <c r="AV717" s="1078" t="str">
        <f t="shared" si="92"/>
        <v>112.9.20</v>
      </c>
      <c r="AW717" s="1344">
        <f t="shared" si="93"/>
        <v>45189</v>
      </c>
    </row>
    <row r="718" spans="1:49">
      <c r="A718" s="1077" t="s">
        <v>3760</v>
      </c>
      <c r="B718" s="1077" t="s">
        <v>1815</v>
      </c>
      <c r="C718" s="1077">
        <v>650</v>
      </c>
      <c r="D718" s="1077">
        <v>1.7350000000000001</v>
      </c>
      <c r="E718" s="1077" t="s">
        <v>15098</v>
      </c>
      <c r="F718" s="1077" t="s">
        <v>954</v>
      </c>
      <c r="G718" s="1077" t="s">
        <v>1767</v>
      </c>
      <c r="H718" s="1077" t="s">
        <v>1793</v>
      </c>
      <c r="I718" s="1077" t="s">
        <v>126</v>
      </c>
      <c r="J718" s="1077">
        <v>0.9</v>
      </c>
      <c r="K718" s="1077" t="s">
        <v>1816</v>
      </c>
      <c r="L718" s="1077" t="s">
        <v>1817</v>
      </c>
      <c r="M718" s="1077">
        <v>75.099999999999994</v>
      </c>
      <c r="N718" s="1077" t="s">
        <v>945</v>
      </c>
      <c r="O718" s="1077">
        <v>1.8774999999999999</v>
      </c>
      <c r="P718" s="1077">
        <v>1.502</v>
      </c>
      <c r="Q718" s="1077">
        <v>4</v>
      </c>
      <c r="R718" s="1077">
        <v>19</v>
      </c>
      <c r="T718" s="1077">
        <v>21</v>
      </c>
      <c r="U718" s="1077">
        <v>3.5</v>
      </c>
      <c r="V718" s="1077" t="s">
        <v>648</v>
      </c>
      <c r="W718" s="1077">
        <v>110</v>
      </c>
      <c r="X718" s="1077" t="s">
        <v>2650</v>
      </c>
      <c r="Y718" s="1077">
        <v>1.6</v>
      </c>
      <c r="Z718" s="1077">
        <v>4</v>
      </c>
      <c r="AA718" s="1077" t="s">
        <v>3761</v>
      </c>
      <c r="AB718" s="1077" t="s">
        <v>981</v>
      </c>
      <c r="AH718" s="1077" t="s">
        <v>466</v>
      </c>
      <c r="AI718" s="1077">
        <v>94.73</v>
      </c>
      <c r="AJ718" s="1077">
        <v>-0.7</v>
      </c>
      <c r="AK718" s="1077">
        <v>1.43</v>
      </c>
      <c r="AM718" s="1078" t="s">
        <v>10476</v>
      </c>
      <c r="AN718" s="1078" t="s">
        <v>10477</v>
      </c>
      <c r="AO718" s="1078">
        <f t="shared" si="94"/>
        <v>650</v>
      </c>
      <c r="AP718" s="1078">
        <f t="shared" si="95"/>
        <v>1.7350000000000001</v>
      </c>
      <c r="AQ718" s="1078" t="str">
        <f t="shared" si="96"/>
        <v>1-4-1S91°</v>
      </c>
      <c r="AR718" s="1078" t="str">
        <f t="shared" si="97"/>
        <v>31</v>
      </c>
      <c r="AS718" s="1078" t="str">
        <f t="shared" si="98"/>
        <v>270/270/OFF</v>
      </c>
      <c r="AT718" s="1078" t="str">
        <f t="shared" si="99"/>
        <v>1-4-1S91°</v>
      </c>
      <c r="AV718" s="1078" t="str">
        <f t="shared" si="92"/>
        <v>112.10.6</v>
      </c>
      <c r="AW718" s="1344">
        <f t="shared" si="93"/>
        <v>45205</v>
      </c>
    </row>
    <row r="719" spans="1:49">
      <c r="A719" s="1077" t="s">
        <v>3762</v>
      </c>
      <c r="B719" s="1077" t="s">
        <v>424</v>
      </c>
      <c r="C719" s="1077">
        <v>600</v>
      </c>
      <c r="D719" s="1077">
        <v>1.7749999999999999</v>
      </c>
      <c r="E719" s="1077" t="s">
        <v>15091</v>
      </c>
      <c r="F719" s="1077" t="s">
        <v>3763</v>
      </c>
      <c r="G719" s="1077" t="s">
        <v>1767</v>
      </c>
      <c r="H719" s="1077" t="s">
        <v>3764</v>
      </c>
      <c r="I719" s="1077" t="s">
        <v>1112</v>
      </c>
      <c r="J719" s="1077">
        <v>0.7</v>
      </c>
      <c r="K719" s="1077" t="s">
        <v>1937</v>
      </c>
      <c r="L719" s="1077" t="s">
        <v>1938</v>
      </c>
      <c r="M719" s="1077">
        <v>74.5</v>
      </c>
      <c r="N719" s="1077" t="s">
        <v>945</v>
      </c>
      <c r="O719" s="1077">
        <v>1.8625</v>
      </c>
      <c r="P719" s="1077">
        <v>1.49</v>
      </c>
      <c r="Q719" s="1077">
        <v>4</v>
      </c>
      <c r="R719" s="1077">
        <v>22</v>
      </c>
      <c r="T719" s="1077">
        <v>19.5</v>
      </c>
      <c r="U719" s="1077">
        <v>2.2999999999999998</v>
      </c>
      <c r="V719" s="1077" t="s">
        <v>648</v>
      </c>
      <c r="W719" s="1077">
        <v>40</v>
      </c>
      <c r="X719" s="1077">
        <v>10</v>
      </c>
      <c r="Y719" s="1077">
        <v>1.2</v>
      </c>
      <c r="Z719" s="1077">
        <v>4</v>
      </c>
      <c r="AA719" s="1077" t="s">
        <v>3761</v>
      </c>
      <c r="AH719" s="1077" t="s">
        <v>1643</v>
      </c>
      <c r="AI719" s="1077">
        <v>92.56</v>
      </c>
      <c r="AJ719" s="1077">
        <v>-1.07</v>
      </c>
      <c r="AK719" s="1077">
        <v>1.37</v>
      </c>
      <c r="AM719" s="1078" t="s">
        <v>10478</v>
      </c>
      <c r="AN719" s="1078" t="s">
        <v>10479</v>
      </c>
      <c r="AO719" s="1078">
        <f t="shared" si="94"/>
        <v>600</v>
      </c>
      <c r="AP719" s="1078">
        <f t="shared" si="95"/>
        <v>1.7749999999999999</v>
      </c>
      <c r="AQ719" s="1078" t="str">
        <f t="shared" si="96"/>
        <v>2-5-1S83°</v>
      </c>
      <c r="AR719" s="1078" t="str">
        <f t="shared" si="97"/>
        <v>29.2</v>
      </c>
      <c r="AS719" s="1078" t="str">
        <f t="shared" si="98"/>
        <v>167/160</v>
      </c>
      <c r="AT719" s="1078" t="str">
        <f t="shared" si="99"/>
        <v>2-5-1S83°</v>
      </c>
      <c r="AV719" s="1078" t="str">
        <f t="shared" si="92"/>
        <v>112.10.6</v>
      </c>
      <c r="AW719" s="1344">
        <f t="shared" si="93"/>
        <v>45205</v>
      </c>
    </row>
    <row r="720" spans="1:49">
      <c r="A720" s="1077" t="s">
        <v>3765</v>
      </c>
      <c r="B720" s="1077" t="s">
        <v>1842</v>
      </c>
      <c r="C720" s="1077">
        <v>500</v>
      </c>
      <c r="D720" s="1077">
        <v>1.7</v>
      </c>
      <c r="E720" s="1077" t="s">
        <v>15095</v>
      </c>
      <c r="F720" s="1077" t="s">
        <v>984</v>
      </c>
      <c r="G720" s="1077" t="s">
        <v>1016</v>
      </c>
      <c r="H720" s="1077" t="s">
        <v>1290</v>
      </c>
      <c r="I720" s="1077" t="s">
        <v>126</v>
      </c>
      <c r="J720" s="1077">
        <v>0.8</v>
      </c>
      <c r="K720" s="1077" t="s">
        <v>3766</v>
      </c>
      <c r="L720" s="1077" t="s">
        <v>1844</v>
      </c>
      <c r="M720" s="1077">
        <v>77.099999999999994</v>
      </c>
      <c r="N720" s="1077" t="s">
        <v>945</v>
      </c>
      <c r="O720" s="1077">
        <v>1.9275</v>
      </c>
      <c r="P720" s="1077">
        <v>1.5419999999999998</v>
      </c>
      <c r="Q720" s="1077">
        <v>3.5</v>
      </c>
      <c r="R720" s="1077" t="s">
        <v>3767</v>
      </c>
      <c r="T720" s="1077">
        <v>18</v>
      </c>
      <c r="U720" s="1077">
        <v>4</v>
      </c>
      <c r="V720" s="1077" t="s">
        <v>648</v>
      </c>
      <c r="W720" s="1077">
        <v>110</v>
      </c>
      <c r="X720" s="1077">
        <v>70</v>
      </c>
      <c r="Y720" s="1077">
        <v>1.8</v>
      </c>
      <c r="Z720" s="1077">
        <v>4.5</v>
      </c>
      <c r="AA720" s="1077" t="s">
        <v>3768</v>
      </c>
      <c r="AH720" s="1077" t="s">
        <v>812</v>
      </c>
      <c r="AI720" s="1077">
        <v>94.75</v>
      </c>
      <c r="AJ720" s="1077">
        <v>-0.23</v>
      </c>
      <c r="AK720" s="1077">
        <v>0.76</v>
      </c>
      <c r="AM720" s="1078" t="s">
        <v>10480</v>
      </c>
      <c r="AN720" s="1078" t="s">
        <v>10481</v>
      </c>
      <c r="AO720" s="1078">
        <f t="shared" si="94"/>
        <v>500</v>
      </c>
      <c r="AP720" s="1078">
        <f t="shared" si="95"/>
        <v>1.7</v>
      </c>
      <c r="AQ720" s="1078" t="str">
        <f t="shared" si="96"/>
        <v>1-5-1S83°</v>
      </c>
      <c r="AR720" s="1078" t="str">
        <f t="shared" si="97"/>
        <v>30</v>
      </c>
      <c r="AS720" s="1078" t="str">
        <f t="shared" si="98"/>
        <v>220/220/OFF</v>
      </c>
      <c r="AT720" s="1078" t="str">
        <f t="shared" si="99"/>
        <v>1-5-1S83°</v>
      </c>
      <c r="AV720" s="1078" t="str">
        <f t="shared" si="92"/>
        <v>112.10.12</v>
      </c>
      <c r="AW720" s="1344">
        <f t="shared" si="93"/>
        <v>45211</v>
      </c>
    </row>
    <row r="721" spans="1:49">
      <c r="A721" s="1077" t="s">
        <v>3769</v>
      </c>
      <c r="B721" s="1077" t="s">
        <v>1783</v>
      </c>
      <c r="C721" s="1077">
        <v>500</v>
      </c>
      <c r="D721" s="1077">
        <v>1.68</v>
      </c>
      <c r="E721" s="1077" t="s">
        <v>15089</v>
      </c>
      <c r="F721" s="1077" t="s">
        <v>984</v>
      </c>
      <c r="G721" s="1077" t="s">
        <v>2592</v>
      </c>
      <c r="H721" s="1077" t="s">
        <v>1290</v>
      </c>
      <c r="I721" s="1077" t="s">
        <v>126</v>
      </c>
      <c r="J721" s="1077">
        <v>0.2</v>
      </c>
      <c r="K721" s="1077" t="s">
        <v>3730</v>
      </c>
      <c r="L721" s="1077" t="s">
        <v>3731</v>
      </c>
      <c r="M721" s="1077">
        <v>76.099999999999994</v>
      </c>
      <c r="N721" s="1077" t="s">
        <v>945</v>
      </c>
      <c r="O721" s="1077">
        <v>1.9024999999999999</v>
      </c>
      <c r="P721" s="1077">
        <v>1.522</v>
      </c>
      <c r="Q721" s="1077">
        <v>4</v>
      </c>
      <c r="R721" s="1077" t="s">
        <v>3770</v>
      </c>
      <c r="T721" s="1077">
        <v>13</v>
      </c>
      <c r="U721" s="1077">
        <v>4</v>
      </c>
      <c r="V721" s="1077" t="s">
        <v>648</v>
      </c>
      <c r="W721" s="1077" t="s">
        <v>2085</v>
      </c>
      <c r="X721" s="1077">
        <v>0</v>
      </c>
      <c r="Y721" s="1077">
        <v>2.5</v>
      </c>
      <c r="Z721" s="1077">
        <v>2</v>
      </c>
      <c r="AA721" s="1077" t="s">
        <v>1622</v>
      </c>
      <c r="AH721" s="1077" t="s">
        <v>680</v>
      </c>
      <c r="AI721" s="1077">
        <v>94.22</v>
      </c>
      <c r="AJ721" s="1077">
        <v>-0.31</v>
      </c>
      <c r="AK721" s="1077">
        <v>1.1200000000000001</v>
      </c>
      <c r="AM721" s="1078" t="s">
        <v>10482</v>
      </c>
      <c r="AN721" s="1078" t="s">
        <v>10483</v>
      </c>
      <c r="AO721" s="1078">
        <f t="shared" si="94"/>
        <v>500</v>
      </c>
      <c r="AP721" s="1078">
        <f t="shared" si="95"/>
        <v>1.68</v>
      </c>
      <c r="AQ721" s="1078" t="str">
        <f t="shared" si="96"/>
        <v>1-4-1S83°</v>
      </c>
      <c r="AR721" s="1078" t="str">
        <f t="shared" si="97"/>
        <v>30</v>
      </c>
      <c r="AS721" s="1078" t="str">
        <f t="shared" si="98"/>
        <v>220/220/OFF</v>
      </c>
      <c r="AT721" s="1078" t="str">
        <f t="shared" si="99"/>
        <v>1-4-1S83°</v>
      </c>
      <c r="AV721" s="1078" t="str">
        <f t="shared" si="92"/>
        <v>112.10.16</v>
      </c>
      <c r="AW721" s="1344">
        <f t="shared" si="93"/>
        <v>45215</v>
      </c>
    </row>
    <row r="722" spans="1:49">
      <c r="A722" s="1077" t="s">
        <v>3771</v>
      </c>
      <c r="B722" s="1077" t="s">
        <v>472</v>
      </c>
      <c r="C722" s="1077">
        <v>550</v>
      </c>
      <c r="D722" s="1077">
        <v>1.7</v>
      </c>
      <c r="E722" s="1077" t="s">
        <v>15089</v>
      </c>
      <c r="F722" s="1077" t="s">
        <v>984</v>
      </c>
      <c r="G722" s="1077" t="s">
        <v>1767</v>
      </c>
      <c r="H722" s="1077" t="s">
        <v>1649</v>
      </c>
      <c r="I722" s="1077" t="s">
        <v>126</v>
      </c>
      <c r="J722" s="1077">
        <v>0.8</v>
      </c>
      <c r="K722" s="1077" t="s">
        <v>1810</v>
      </c>
      <c r="L722" s="1077" t="s">
        <v>1811</v>
      </c>
      <c r="M722" s="1077">
        <v>74.599999999999994</v>
      </c>
      <c r="N722" s="1077" t="s">
        <v>945</v>
      </c>
      <c r="O722" s="1077">
        <v>1.865</v>
      </c>
      <c r="P722" s="1077">
        <v>1.492</v>
      </c>
      <c r="Q722" s="1077">
        <v>3.5</v>
      </c>
      <c r="R722" s="1077">
        <v>27</v>
      </c>
      <c r="T722" s="1077">
        <v>12.5</v>
      </c>
      <c r="U722" s="1077">
        <v>5.0999999999999996</v>
      </c>
      <c r="V722" s="1077" t="s">
        <v>648</v>
      </c>
      <c r="W722" s="1077">
        <v>95</v>
      </c>
      <c r="X722" s="1077">
        <v>60</v>
      </c>
      <c r="Y722" s="1077">
        <v>1.8</v>
      </c>
      <c r="Z722" s="1077">
        <v>4.5</v>
      </c>
      <c r="AA722" s="1077" t="s">
        <v>1622</v>
      </c>
      <c r="AB722" s="1077" t="s">
        <v>3772</v>
      </c>
      <c r="AH722" s="1077" t="s">
        <v>482</v>
      </c>
      <c r="AI722" s="1077">
        <v>93.42</v>
      </c>
      <c r="AJ722" s="1077">
        <v>-0.9</v>
      </c>
      <c r="AK722" s="1077">
        <v>3.37</v>
      </c>
      <c r="AM722" s="1078" t="s">
        <v>10484</v>
      </c>
      <c r="AN722" s="1078" t="s">
        <v>10485</v>
      </c>
      <c r="AO722" s="1078">
        <f t="shared" si="94"/>
        <v>550</v>
      </c>
      <c r="AP722" s="1078">
        <f t="shared" si="95"/>
        <v>1.7</v>
      </c>
      <c r="AQ722" s="1078" t="str">
        <f t="shared" si="96"/>
        <v>1-4-1S83°</v>
      </c>
      <c r="AR722" s="1078" t="str">
        <f t="shared" si="97"/>
        <v>30</v>
      </c>
      <c r="AS722" s="1078" t="str">
        <f t="shared" si="98"/>
        <v>225/225/OFF</v>
      </c>
      <c r="AT722" s="1078" t="str">
        <f t="shared" si="99"/>
        <v>1-4-1S83°</v>
      </c>
      <c r="AV722" s="1078" t="str">
        <f t="shared" si="92"/>
        <v>112.10.16</v>
      </c>
      <c r="AW722" s="1344">
        <f t="shared" si="93"/>
        <v>45215</v>
      </c>
    </row>
    <row r="723" spans="1:49">
      <c r="A723" s="1077" t="s">
        <v>3773</v>
      </c>
      <c r="B723" s="1077" t="s">
        <v>1899</v>
      </c>
      <c r="C723" s="1077">
        <v>650</v>
      </c>
      <c r="D723" s="1077">
        <v>1.78</v>
      </c>
      <c r="E723" s="1077" t="s">
        <v>15095</v>
      </c>
      <c r="F723" s="1077" t="s">
        <v>984</v>
      </c>
      <c r="G723" s="1077" t="s">
        <v>940</v>
      </c>
      <c r="H723" s="1077" t="s">
        <v>1649</v>
      </c>
      <c r="I723" s="1077" t="s">
        <v>126</v>
      </c>
      <c r="J723" s="1077">
        <v>1.5</v>
      </c>
      <c r="K723" s="1077" t="s">
        <v>3774</v>
      </c>
      <c r="L723" s="1077" t="s">
        <v>1780</v>
      </c>
      <c r="M723" s="1077">
        <v>75.400000000000006</v>
      </c>
      <c r="N723" s="1077" t="s">
        <v>945</v>
      </c>
      <c r="O723" s="1077">
        <v>1.8850000000000002</v>
      </c>
      <c r="P723" s="1077">
        <v>1.5080000000000002</v>
      </c>
      <c r="Q723" s="1077">
        <v>3</v>
      </c>
      <c r="R723" s="1077">
        <v>27</v>
      </c>
      <c r="T723" s="1077">
        <v>18</v>
      </c>
      <c r="U723" s="1077">
        <v>6</v>
      </c>
      <c r="V723" s="1077" t="s">
        <v>648</v>
      </c>
      <c r="W723" s="1077">
        <v>120</v>
      </c>
      <c r="X723" s="1077">
        <v>80</v>
      </c>
      <c r="Y723" s="1077">
        <v>2</v>
      </c>
      <c r="Z723" s="1077">
        <v>6</v>
      </c>
      <c r="AA723" s="1077" t="s">
        <v>1625</v>
      </c>
      <c r="AH723" s="1077" t="s">
        <v>722</v>
      </c>
      <c r="AI723" s="1077">
        <v>92.75</v>
      </c>
      <c r="AJ723" s="1077">
        <v>-0.35</v>
      </c>
      <c r="AK723" s="1077">
        <v>3.02</v>
      </c>
      <c r="AM723" s="1078" t="s">
        <v>10486</v>
      </c>
      <c r="AN723" s="1078" t="s">
        <v>10487</v>
      </c>
      <c r="AO723" s="1078">
        <f t="shared" si="94"/>
        <v>650</v>
      </c>
      <c r="AP723" s="1078">
        <f t="shared" si="95"/>
        <v>1.78</v>
      </c>
      <c r="AQ723" s="1078" t="str">
        <f t="shared" si="96"/>
        <v>1-5-1S83°</v>
      </c>
      <c r="AR723" s="1078" t="str">
        <f t="shared" si="97"/>
        <v>30</v>
      </c>
      <c r="AS723" s="1078" t="str">
        <f t="shared" si="98"/>
        <v>225/225/OFF</v>
      </c>
      <c r="AT723" s="1078" t="str">
        <f t="shared" si="99"/>
        <v>1-5-1S83°</v>
      </c>
      <c r="AV723" s="1078" t="str">
        <f t="shared" si="92"/>
        <v>112.10.19</v>
      </c>
      <c r="AW723" s="1344">
        <f t="shared" si="93"/>
        <v>45218</v>
      </c>
    </row>
    <row r="724" spans="1:49">
      <c r="A724" s="1077" t="s">
        <v>3775</v>
      </c>
      <c r="B724" s="1077" t="s">
        <v>1783</v>
      </c>
      <c r="C724" s="1077">
        <v>500</v>
      </c>
      <c r="D724" s="1077">
        <v>1.68</v>
      </c>
      <c r="E724" s="1077" t="s">
        <v>15089</v>
      </c>
      <c r="F724" s="1077" t="s">
        <v>2001</v>
      </c>
      <c r="G724" s="1077" t="s">
        <v>3432</v>
      </c>
      <c r="H724" s="1077" t="s">
        <v>1290</v>
      </c>
      <c r="I724" s="1077" t="s">
        <v>126</v>
      </c>
      <c r="J724" s="1077">
        <v>0.3</v>
      </c>
      <c r="K724" s="1077" t="s">
        <v>3730</v>
      </c>
      <c r="L724" s="1077" t="s">
        <v>3731</v>
      </c>
      <c r="M724" s="1077">
        <v>75</v>
      </c>
      <c r="N724" s="1077" t="s">
        <v>945</v>
      </c>
      <c r="O724" s="1077">
        <v>1.875</v>
      </c>
      <c r="P724" s="1077">
        <v>1.5</v>
      </c>
      <c r="Q724" s="1077">
        <v>4</v>
      </c>
      <c r="R724" s="1077">
        <v>21</v>
      </c>
      <c r="T724" s="1077">
        <v>13</v>
      </c>
      <c r="U724" s="1077">
        <v>4</v>
      </c>
      <c r="V724" s="1077" t="s">
        <v>648</v>
      </c>
      <c r="W724" s="1077">
        <v>30</v>
      </c>
      <c r="X724" s="1077">
        <v>10</v>
      </c>
      <c r="Y724" s="1077">
        <v>2.5</v>
      </c>
      <c r="Z724" s="1077">
        <v>2</v>
      </c>
      <c r="AA724" s="1077" t="s">
        <v>3776</v>
      </c>
      <c r="AH724" s="1077" t="s">
        <v>884</v>
      </c>
      <c r="AI724" s="1077">
        <v>94.06</v>
      </c>
      <c r="AJ724" s="1077">
        <v>-0.54</v>
      </c>
      <c r="AK724" s="1077">
        <v>1.1299999999999999</v>
      </c>
      <c r="AM724" s="1078" t="s">
        <v>10488</v>
      </c>
      <c r="AN724" s="1078" t="s">
        <v>10489</v>
      </c>
      <c r="AO724" s="1078">
        <f t="shared" si="94"/>
        <v>500</v>
      </c>
      <c r="AP724" s="1078">
        <f t="shared" si="95"/>
        <v>1.68</v>
      </c>
      <c r="AQ724" s="1078" t="str">
        <f t="shared" si="96"/>
        <v>1-4-1S83°</v>
      </c>
      <c r="AR724" s="1078" t="str">
        <f t="shared" si="97"/>
        <v>29.9</v>
      </c>
      <c r="AS724" s="1078" t="str">
        <f t="shared" si="98"/>
        <v>220/220/OFF</v>
      </c>
      <c r="AT724" s="1078" t="str">
        <f t="shared" si="99"/>
        <v>1-4-1S83°</v>
      </c>
      <c r="AV724" s="1078" t="str">
        <f t="shared" si="92"/>
        <v>112.10.20</v>
      </c>
      <c r="AW724" s="1344">
        <f t="shared" si="93"/>
        <v>45219</v>
      </c>
    </row>
    <row r="725" spans="1:49">
      <c r="A725" s="1077" t="s">
        <v>3777</v>
      </c>
      <c r="B725" s="1077" t="s">
        <v>620</v>
      </c>
      <c r="C725" s="1077">
        <v>550</v>
      </c>
      <c r="D725" s="1077">
        <v>1.68</v>
      </c>
      <c r="E725" s="1077" t="s">
        <v>15091</v>
      </c>
      <c r="F725" s="1077" t="s">
        <v>3685</v>
      </c>
      <c r="G725" s="1077" t="s">
        <v>940</v>
      </c>
      <c r="H725" s="1077" t="s">
        <v>3778</v>
      </c>
      <c r="I725" s="1077" t="s">
        <v>626</v>
      </c>
      <c r="J725" s="1077">
        <v>1.4</v>
      </c>
      <c r="K725" s="1077" t="s">
        <v>2068</v>
      </c>
      <c r="L725" s="1077" t="s">
        <v>2032</v>
      </c>
      <c r="M725" s="1077">
        <v>77</v>
      </c>
      <c r="N725" s="1077" t="s">
        <v>945</v>
      </c>
      <c r="O725" s="1077">
        <v>1.925</v>
      </c>
      <c r="P725" s="1077">
        <v>1.54</v>
      </c>
      <c r="Q725" s="1077" t="s">
        <v>3779</v>
      </c>
      <c r="R725" s="1077">
        <v>22</v>
      </c>
      <c r="T725" s="1077">
        <v>9</v>
      </c>
      <c r="U725" s="1077" t="s">
        <v>3780</v>
      </c>
      <c r="V725" s="1077" t="s">
        <v>648</v>
      </c>
      <c r="W725" s="1077">
        <v>140</v>
      </c>
      <c r="X725" s="1077">
        <v>80</v>
      </c>
      <c r="Y725" s="1077">
        <v>2.1</v>
      </c>
      <c r="Z725" s="1077">
        <v>2.5</v>
      </c>
      <c r="AA725" s="1077" t="s">
        <v>3781</v>
      </c>
      <c r="AH725" s="1077" t="s">
        <v>1990</v>
      </c>
      <c r="AI725" s="1077">
        <v>91.11</v>
      </c>
      <c r="AJ725" s="1077">
        <v>-0.66</v>
      </c>
      <c r="AK725" s="1077">
        <v>3.98</v>
      </c>
      <c r="AM725" s="1078" t="s">
        <v>10490</v>
      </c>
      <c r="AN725" s="1078" t="s">
        <v>10491</v>
      </c>
      <c r="AO725" s="1078">
        <f t="shared" si="94"/>
        <v>550</v>
      </c>
      <c r="AP725" s="1078">
        <f t="shared" si="95"/>
        <v>1.68</v>
      </c>
      <c r="AQ725" s="1078" t="str">
        <f t="shared" si="96"/>
        <v>2-5-1S83°</v>
      </c>
      <c r="AR725" s="1078" t="str">
        <f t="shared" si="97"/>
        <v>30.6</v>
      </c>
      <c r="AS725" s="1078" t="str">
        <f t="shared" si="98"/>
        <v>157/160</v>
      </c>
      <c r="AT725" s="1078" t="str">
        <f t="shared" si="99"/>
        <v>2-5-1S83°</v>
      </c>
      <c r="AV725" s="1078" t="str">
        <f t="shared" si="92"/>
        <v>112.10.24</v>
      </c>
      <c r="AW725" s="1344">
        <f t="shared" si="93"/>
        <v>45223</v>
      </c>
    </row>
    <row r="726" spans="1:49">
      <c r="A726" s="1077" t="s">
        <v>3782</v>
      </c>
      <c r="B726" s="1077" t="s">
        <v>771</v>
      </c>
      <c r="C726" s="1077">
        <v>650</v>
      </c>
      <c r="D726" s="1077">
        <v>1.736</v>
      </c>
      <c r="E726" s="1077" t="s">
        <v>15091</v>
      </c>
      <c r="F726" s="1077" t="s">
        <v>975</v>
      </c>
      <c r="G726" s="1077">
        <v>5</v>
      </c>
      <c r="H726" s="1077" t="s">
        <v>1484</v>
      </c>
      <c r="I726" s="1077" t="s">
        <v>1112</v>
      </c>
      <c r="J726" s="1077">
        <v>1.2</v>
      </c>
      <c r="K726" s="1077" t="s">
        <v>3783</v>
      </c>
      <c r="L726" s="1077" t="s">
        <v>1913</v>
      </c>
      <c r="M726" s="1077">
        <v>75</v>
      </c>
      <c r="N726" s="1077" t="s">
        <v>945</v>
      </c>
      <c r="O726" s="1077">
        <v>1.875</v>
      </c>
      <c r="P726" s="1077">
        <v>1.5</v>
      </c>
      <c r="Q726" s="1077">
        <v>4</v>
      </c>
      <c r="R726" s="1077">
        <v>23</v>
      </c>
      <c r="T726" s="1077">
        <v>26.5</v>
      </c>
      <c r="U726" s="1077">
        <v>3.8</v>
      </c>
      <c r="V726" s="1077" t="s">
        <v>648</v>
      </c>
      <c r="W726" s="1077">
        <v>100</v>
      </c>
      <c r="X726" s="1077">
        <v>45</v>
      </c>
      <c r="Y726" s="1077">
        <v>1.6</v>
      </c>
      <c r="Z726" s="1077">
        <v>5</v>
      </c>
      <c r="AA726" s="1077" t="s">
        <v>1622</v>
      </c>
      <c r="AH726" s="1077" t="s">
        <v>831</v>
      </c>
      <c r="AI726" s="1077">
        <v>92.75</v>
      </c>
      <c r="AJ726" s="1077">
        <v>-0.62</v>
      </c>
      <c r="AK726" s="1077">
        <v>4.3</v>
      </c>
      <c r="AM726" s="1078" t="s">
        <v>10492</v>
      </c>
      <c r="AN726" s="1078" t="s">
        <v>10493</v>
      </c>
      <c r="AO726" s="1078">
        <f t="shared" si="94"/>
        <v>650</v>
      </c>
      <c r="AP726" s="1078">
        <f t="shared" si="95"/>
        <v>1.736</v>
      </c>
      <c r="AQ726" s="1078" t="str">
        <f t="shared" si="96"/>
        <v>2-5-1S83°</v>
      </c>
      <c r="AR726" s="1078" t="str">
        <f t="shared" si="97"/>
        <v>31.5</v>
      </c>
      <c r="AS726" s="1078" t="str">
        <f t="shared" si="98"/>
        <v>165/OFF</v>
      </c>
      <c r="AT726" s="1078" t="str">
        <f t="shared" si="99"/>
        <v>2-5-1S83°</v>
      </c>
      <c r="AV726" s="1078" t="str">
        <f t="shared" si="92"/>
        <v>112.10.16</v>
      </c>
      <c r="AW726" s="1344">
        <f t="shared" si="93"/>
        <v>45215</v>
      </c>
    </row>
    <row r="727" spans="1:49">
      <c r="A727" s="1077" t="s">
        <v>3784</v>
      </c>
      <c r="B727" s="1077" t="s">
        <v>453</v>
      </c>
      <c r="C727" s="1077">
        <v>700</v>
      </c>
      <c r="D727" s="1077">
        <v>1.72</v>
      </c>
      <c r="E727" s="1077" t="s">
        <v>15089</v>
      </c>
      <c r="F727" s="1077" t="s">
        <v>1773</v>
      </c>
      <c r="G727" s="1077" t="s">
        <v>1835</v>
      </c>
      <c r="H727" s="1077" t="s">
        <v>955</v>
      </c>
      <c r="I727" s="1077" t="s">
        <v>126</v>
      </c>
      <c r="J727" s="1077">
        <v>0.3</v>
      </c>
      <c r="K727" s="1077" t="s">
        <v>3758</v>
      </c>
      <c r="L727" s="1077" t="s">
        <v>1776</v>
      </c>
      <c r="M727" s="1077">
        <v>74.599999999999994</v>
      </c>
      <c r="N727" s="1077" t="s">
        <v>945</v>
      </c>
      <c r="O727" s="1077">
        <v>1.865</v>
      </c>
      <c r="P727" s="1077">
        <v>1.492</v>
      </c>
      <c r="Q727" s="1077">
        <v>4</v>
      </c>
      <c r="R727" s="1077">
        <v>20.3</v>
      </c>
      <c r="T727" s="1077">
        <v>21.1</v>
      </c>
      <c r="U727" s="1077">
        <v>3.9</v>
      </c>
      <c r="V727" s="1077" t="s">
        <v>648</v>
      </c>
      <c r="W727" s="1077">
        <v>30</v>
      </c>
      <c r="X727" s="1077">
        <v>10</v>
      </c>
      <c r="Y727" s="1077">
        <v>1.8</v>
      </c>
      <c r="Z727" s="1077">
        <v>4.5</v>
      </c>
      <c r="AA727" s="1077" t="s">
        <v>3781</v>
      </c>
      <c r="AH727" s="1077" t="s">
        <v>813</v>
      </c>
      <c r="AI727" s="1077">
        <v>92.44</v>
      </c>
      <c r="AJ727" s="1077">
        <v>-0.13</v>
      </c>
      <c r="AK727" s="1077">
        <v>0.6</v>
      </c>
      <c r="AM727" s="1078" t="s">
        <v>10494</v>
      </c>
      <c r="AN727" s="1078" t="s">
        <v>10495</v>
      </c>
      <c r="AO727" s="1078">
        <f t="shared" si="94"/>
        <v>700</v>
      </c>
      <c r="AP727" s="1078">
        <f t="shared" si="95"/>
        <v>1.72</v>
      </c>
      <c r="AQ727" s="1078" t="str">
        <f t="shared" si="96"/>
        <v>1-4-1S83°</v>
      </c>
      <c r="AR727" s="1078" t="str">
        <f t="shared" si="97"/>
        <v>30.2</v>
      </c>
      <c r="AS727" s="1078" t="str">
        <f t="shared" si="98"/>
        <v>260/260/OFF</v>
      </c>
      <c r="AT727" s="1078" t="str">
        <f t="shared" si="99"/>
        <v>1-4-1S83°</v>
      </c>
      <c r="AV727" s="1078" t="str">
        <f t="shared" si="92"/>
        <v>112.10.24</v>
      </c>
      <c r="AW727" s="1344">
        <f t="shared" si="93"/>
        <v>45223</v>
      </c>
    </row>
    <row r="728" spans="1:49">
      <c r="A728" s="1077" t="s">
        <v>3785</v>
      </c>
      <c r="B728" s="1077" t="s">
        <v>840</v>
      </c>
      <c r="C728" s="1077">
        <v>650</v>
      </c>
      <c r="D728" s="1077">
        <v>1.8149999999999999</v>
      </c>
      <c r="E728" s="1077" t="s">
        <v>15095</v>
      </c>
      <c r="F728" s="1077" t="s">
        <v>984</v>
      </c>
      <c r="G728" s="1077" t="s">
        <v>940</v>
      </c>
      <c r="H728" s="1077" t="s">
        <v>1290</v>
      </c>
      <c r="I728" s="1077" t="s">
        <v>126</v>
      </c>
      <c r="J728" s="1077">
        <v>1.4</v>
      </c>
      <c r="K728" s="1077" t="s">
        <v>3786</v>
      </c>
      <c r="L728" s="1077" t="s">
        <v>1780</v>
      </c>
      <c r="M728" s="1077">
        <v>75.400000000000006</v>
      </c>
      <c r="N728" s="1077" t="s">
        <v>945</v>
      </c>
      <c r="O728" s="1077">
        <v>1.8850000000000002</v>
      </c>
      <c r="P728" s="1077">
        <v>1.5080000000000002</v>
      </c>
      <c r="Q728" s="1077">
        <v>3</v>
      </c>
      <c r="R728" s="1077">
        <v>24</v>
      </c>
      <c r="T728" s="1077">
        <v>18</v>
      </c>
      <c r="U728" s="1077">
        <v>6</v>
      </c>
      <c r="V728" s="1077" t="s">
        <v>648</v>
      </c>
      <c r="W728" s="1077">
        <v>120</v>
      </c>
      <c r="X728" s="1077">
        <v>80</v>
      </c>
      <c r="Y728" s="1077">
        <v>2</v>
      </c>
      <c r="Z728" s="1077">
        <v>6</v>
      </c>
      <c r="AA728" s="1077" t="s">
        <v>3787</v>
      </c>
      <c r="AH728" s="1077" t="s">
        <v>966</v>
      </c>
      <c r="AI728" s="1077">
        <v>89.31</v>
      </c>
      <c r="AJ728" s="1077">
        <v>-0.3</v>
      </c>
      <c r="AK728" s="1077">
        <v>2.69</v>
      </c>
      <c r="AM728" s="1078" t="s">
        <v>10496</v>
      </c>
      <c r="AN728" s="1078" t="s">
        <v>10497</v>
      </c>
      <c r="AO728" s="1078">
        <f t="shared" si="94"/>
        <v>650</v>
      </c>
      <c r="AP728" s="1078">
        <f t="shared" si="95"/>
        <v>1.8149999999999999</v>
      </c>
      <c r="AQ728" s="1078" t="str">
        <f t="shared" si="96"/>
        <v>1-5-1S83°</v>
      </c>
      <c r="AR728" s="1078" t="str">
        <f t="shared" si="97"/>
        <v>30</v>
      </c>
      <c r="AS728" s="1078" t="str">
        <f t="shared" si="98"/>
        <v>220/220/OFF</v>
      </c>
      <c r="AT728" s="1078" t="str">
        <f t="shared" si="99"/>
        <v>1-5-1S83°</v>
      </c>
      <c r="AV728" s="1078" t="str">
        <f t="shared" si="92"/>
        <v>112.10.31</v>
      </c>
      <c r="AW728" s="1344">
        <f t="shared" si="93"/>
        <v>45230</v>
      </c>
    </row>
    <row r="729" spans="1:49">
      <c r="A729" s="1077" t="s">
        <v>3788</v>
      </c>
      <c r="B729" s="1077" t="s">
        <v>2299</v>
      </c>
      <c r="C729" s="1077">
        <v>600</v>
      </c>
      <c r="D729" s="1077">
        <v>1.71</v>
      </c>
      <c r="E729" s="1077" t="s">
        <v>15089</v>
      </c>
      <c r="F729" s="1077" t="s">
        <v>1514</v>
      </c>
      <c r="G729" s="1077" t="s">
        <v>1001</v>
      </c>
      <c r="H729" s="1077" t="s">
        <v>3789</v>
      </c>
      <c r="I729" s="1077" t="s">
        <v>126</v>
      </c>
      <c r="J729" s="1077">
        <v>0.7</v>
      </c>
      <c r="K729" s="1077" t="s">
        <v>3790</v>
      </c>
      <c r="L729" s="1077" t="s">
        <v>2301</v>
      </c>
      <c r="M729" s="1077">
        <v>74.400000000000006</v>
      </c>
      <c r="N729" s="1077" t="s">
        <v>945</v>
      </c>
      <c r="O729" s="1077">
        <v>1.8600000000000003</v>
      </c>
      <c r="P729" s="1077">
        <v>1.4880000000000002</v>
      </c>
      <c r="Q729" s="1077">
        <v>3.5</v>
      </c>
      <c r="R729" s="1077">
        <v>23.5</v>
      </c>
      <c r="T729" s="1077">
        <v>13.8</v>
      </c>
      <c r="U729" s="1077">
        <v>2.9</v>
      </c>
      <c r="V729" s="1077" t="s">
        <v>648</v>
      </c>
      <c r="W729" s="1077">
        <v>80</v>
      </c>
      <c r="X729" s="1077">
        <v>40</v>
      </c>
      <c r="Y729" s="1077">
        <v>1.5</v>
      </c>
      <c r="Z729" s="1077" t="s">
        <v>940</v>
      </c>
      <c r="AA729" s="1077" t="s">
        <v>3791</v>
      </c>
      <c r="AH729" s="1077" t="s">
        <v>990</v>
      </c>
      <c r="AI729" s="1077">
        <v>86.69</v>
      </c>
      <c r="AJ729" s="1077">
        <v>-1.86</v>
      </c>
      <c r="AK729" s="1077">
        <v>-1.85</v>
      </c>
      <c r="AM729" s="1078" t="s">
        <v>10498</v>
      </c>
      <c r="AN729" s="1078" t="s">
        <v>10499</v>
      </c>
      <c r="AO729" s="1078">
        <f t="shared" si="94"/>
        <v>600</v>
      </c>
      <c r="AP729" s="1078">
        <f t="shared" si="95"/>
        <v>1.71</v>
      </c>
      <c r="AQ729" s="1078" t="str">
        <f t="shared" si="96"/>
        <v>1-4-1S83°</v>
      </c>
      <c r="AR729" s="1078" t="str">
        <f t="shared" si="97"/>
        <v>32</v>
      </c>
      <c r="AS729" s="1078" t="str">
        <f t="shared" si="98"/>
        <v>255/255/130</v>
      </c>
      <c r="AT729" s="1078" t="str">
        <f t="shared" si="99"/>
        <v>1-4-1S83°</v>
      </c>
      <c r="AV729" s="1078" t="str">
        <f t="shared" si="92"/>
        <v>112.11.3</v>
      </c>
      <c r="AW729" s="1344">
        <f t="shared" si="93"/>
        <v>45233</v>
      </c>
    </row>
    <row r="730" spans="1:49">
      <c r="A730" s="1077" t="s">
        <v>3792</v>
      </c>
      <c r="B730" s="1077" t="s">
        <v>453</v>
      </c>
      <c r="C730" s="1077">
        <v>650</v>
      </c>
      <c r="D730" s="1077">
        <v>1.7150000000000001</v>
      </c>
      <c r="E730" s="1077" t="s">
        <v>15089</v>
      </c>
      <c r="F730" s="1077" t="s">
        <v>984</v>
      </c>
      <c r="G730" s="1077" t="s">
        <v>1767</v>
      </c>
      <c r="H730" s="1077" t="s">
        <v>1831</v>
      </c>
      <c r="I730" s="1077" t="s">
        <v>126</v>
      </c>
      <c r="J730" s="1077">
        <v>1.1000000000000001</v>
      </c>
      <c r="K730" s="1077" t="s">
        <v>3734</v>
      </c>
      <c r="L730" s="1077" t="s">
        <v>1776</v>
      </c>
      <c r="M730" s="1077">
        <v>77</v>
      </c>
      <c r="N730" s="1077" t="s">
        <v>945</v>
      </c>
      <c r="O730" s="1077">
        <v>1.925</v>
      </c>
      <c r="P730" s="1077">
        <v>1.54</v>
      </c>
      <c r="Q730" s="1077">
        <v>4.2</v>
      </c>
      <c r="R730" s="1077">
        <v>24</v>
      </c>
      <c r="T730" s="1077">
        <v>9</v>
      </c>
      <c r="U730" s="1077">
        <v>2.2000000000000002</v>
      </c>
      <c r="V730" s="1077" t="s">
        <v>648</v>
      </c>
      <c r="W730" s="1077">
        <v>110</v>
      </c>
      <c r="X730" s="1077">
        <v>85</v>
      </c>
      <c r="Y730" s="1077">
        <v>2.1</v>
      </c>
      <c r="Z730" s="1077">
        <v>2.5</v>
      </c>
      <c r="AA730" s="1077" t="s">
        <v>3793</v>
      </c>
      <c r="AH730" s="1077" t="s">
        <v>994</v>
      </c>
      <c r="AI730" s="1077">
        <v>92.54</v>
      </c>
      <c r="AJ730" s="1077">
        <v>-0.19</v>
      </c>
      <c r="AK730" s="1077">
        <v>0.48</v>
      </c>
      <c r="AM730" s="1078" t="s">
        <v>10500</v>
      </c>
      <c r="AN730" s="1078" t="s">
        <v>10501</v>
      </c>
      <c r="AO730" s="1078">
        <f t="shared" si="94"/>
        <v>650</v>
      </c>
      <c r="AP730" s="1078">
        <f t="shared" si="95"/>
        <v>1.7150000000000001</v>
      </c>
      <c r="AQ730" s="1078" t="str">
        <f t="shared" si="96"/>
        <v>1-4-1S83°</v>
      </c>
      <c r="AR730" s="1078" t="str">
        <f t="shared" si="97"/>
        <v>30</v>
      </c>
      <c r="AS730" s="1078" t="str">
        <f t="shared" si="98"/>
        <v>260/260/165</v>
      </c>
      <c r="AT730" s="1078" t="str">
        <f t="shared" si="99"/>
        <v>1-4-1S83°</v>
      </c>
      <c r="AV730" s="1078" t="str">
        <f t="shared" si="92"/>
        <v>112.11.6</v>
      </c>
      <c r="AW730" s="1344">
        <f t="shared" si="93"/>
        <v>45236</v>
      </c>
    </row>
    <row r="731" spans="1:49">
      <c r="A731" s="1077" t="s">
        <v>3794</v>
      </c>
      <c r="B731" s="1077" t="s">
        <v>1891</v>
      </c>
      <c r="C731" s="1077">
        <v>600</v>
      </c>
      <c r="D731" s="1077">
        <v>1.68</v>
      </c>
      <c r="E731" s="1077" t="s">
        <v>15089</v>
      </c>
      <c r="F731" s="1077" t="s">
        <v>984</v>
      </c>
      <c r="G731" s="1077" t="s">
        <v>940</v>
      </c>
      <c r="H731" s="1077" t="s">
        <v>1226</v>
      </c>
      <c r="I731" s="1077" t="s">
        <v>126</v>
      </c>
      <c r="J731" s="1077">
        <v>0.7</v>
      </c>
      <c r="K731" s="1077" t="s">
        <v>1892</v>
      </c>
      <c r="L731" s="1077" t="s">
        <v>1893</v>
      </c>
      <c r="M731" s="1077">
        <v>74.599999999999994</v>
      </c>
      <c r="N731" s="1077" t="s">
        <v>945</v>
      </c>
      <c r="O731" s="1077">
        <v>1.865</v>
      </c>
      <c r="P731" s="1077">
        <v>1.492</v>
      </c>
      <c r="Q731" s="1077">
        <v>3.5</v>
      </c>
      <c r="R731" s="1077">
        <v>29</v>
      </c>
      <c r="T731" s="1077">
        <v>12.5</v>
      </c>
      <c r="U731" s="1077">
        <v>5.0999999999999996</v>
      </c>
      <c r="V731" s="1077" t="s">
        <v>648</v>
      </c>
      <c r="W731" s="1077">
        <v>95</v>
      </c>
      <c r="X731" s="1077">
        <v>60</v>
      </c>
      <c r="Y731" s="1077">
        <v>1.8</v>
      </c>
      <c r="Z731" s="1077">
        <v>4.5</v>
      </c>
      <c r="AA731" s="1077" t="s">
        <v>3793</v>
      </c>
      <c r="AB731" s="1077" t="s">
        <v>3795</v>
      </c>
      <c r="AH731" s="1077" t="s">
        <v>622</v>
      </c>
      <c r="AI731" s="1077">
        <v>93.53</v>
      </c>
      <c r="AJ731" s="1077">
        <v>-0.97</v>
      </c>
      <c r="AK731" s="1077">
        <v>2.96</v>
      </c>
      <c r="AM731" s="1078" t="s">
        <v>10502</v>
      </c>
      <c r="AN731" s="1078" t="s">
        <v>10503</v>
      </c>
      <c r="AO731" s="1078">
        <f t="shared" si="94"/>
        <v>600</v>
      </c>
      <c r="AP731" s="1078">
        <f t="shared" si="95"/>
        <v>1.68</v>
      </c>
      <c r="AQ731" s="1078" t="str">
        <f t="shared" si="96"/>
        <v>1-4-1S83°</v>
      </c>
      <c r="AR731" s="1078" t="str">
        <f t="shared" si="97"/>
        <v>30</v>
      </c>
      <c r="AS731" s="1078" t="str">
        <f t="shared" si="98"/>
        <v>230/230/OFF</v>
      </c>
      <c r="AT731" s="1078" t="str">
        <f t="shared" si="99"/>
        <v>1-4-1S83°</v>
      </c>
      <c r="AV731" s="1078" t="str">
        <f t="shared" si="92"/>
        <v>112.11.6</v>
      </c>
      <c r="AW731" s="1344">
        <f t="shared" si="93"/>
        <v>45236</v>
      </c>
    </row>
    <row r="732" spans="1:49">
      <c r="A732" s="1077" t="s">
        <v>3796</v>
      </c>
      <c r="B732" s="1077" t="s">
        <v>2513</v>
      </c>
      <c r="C732" s="1077">
        <v>500</v>
      </c>
      <c r="D732" s="1077">
        <v>1.78</v>
      </c>
      <c r="E732" s="1077" t="s">
        <v>15091</v>
      </c>
      <c r="F732" s="1077" t="s">
        <v>954</v>
      </c>
      <c r="G732" s="1077" t="s">
        <v>940</v>
      </c>
      <c r="H732" s="1077" t="s">
        <v>2833</v>
      </c>
      <c r="I732" s="1077" t="s">
        <v>1112</v>
      </c>
      <c r="J732" s="1077">
        <v>0.5</v>
      </c>
      <c r="K732" s="1077" t="s">
        <v>3797</v>
      </c>
      <c r="L732" s="1077" t="s">
        <v>3798</v>
      </c>
      <c r="M732" s="1077">
        <v>75.5</v>
      </c>
      <c r="N732" s="1077" t="s">
        <v>945</v>
      </c>
      <c r="O732" s="1077">
        <v>1.8875000000000002</v>
      </c>
      <c r="P732" s="1077">
        <v>1.51</v>
      </c>
      <c r="Q732" s="1077">
        <v>3</v>
      </c>
      <c r="R732" s="1077">
        <v>23</v>
      </c>
      <c r="T732" s="1077">
        <v>9</v>
      </c>
      <c r="U732" s="1077">
        <v>5.5</v>
      </c>
      <c r="V732" s="1077" t="s">
        <v>648</v>
      </c>
      <c r="W732" s="1077">
        <v>100</v>
      </c>
      <c r="X732" s="1077">
        <v>75</v>
      </c>
      <c r="Y732" s="1077">
        <v>2</v>
      </c>
      <c r="Z732" s="1077">
        <v>4</v>
      </c>
      <c r="AA732" s="1077" t="s">
        <v>3799</v>
      </c>
      <c r="AH732" s="1077" t="s">
        <v>3067</v>
      </c>
      <c r="AM732" s="1078" t="s">
        <v>10504</v>
      </c>
      <c r="AN732" s="1078" t="s">
        <v>10505</v>
      </c>
      <c r="AO732" s="1078">
        <f t="shared" si="94"/>
        <v>500</v>
      </c>
      <c r="AP732" s="1078">
        <f t="shared" si="95"/>
        <v>1.78</v>
      </c>
      <c r="AQ732" s="1078" t="str">
        <f t="shared" si="96"/>
        <v>2-5-1S83°</v>
      </c>
      <c r="AR732" s="1078" t="str">
        <f t="shared" si="97"/>
        <v>31</v>
      </c>
      <c r="AS732" s="1078" t="str">
        <f t="shared" si="98"/>
        <v>150/OFF</v>
      </c>
      <c r="AT732" s="1078" t="str">
        <f t="shared" si="99"/>
        <v>2-5-1S83°</v>
      </c>
      <c r="AV732" s="1078" t="str">
        <f t="shared" si="92"/>
        <v>110.9.16</v>
      </c>
      <c r="AW732" s="1344">
        <f t="shared" si="93"/>
        <v>44455</v>
      </c>
    </row>
    <row r="733" spans="1:49">
      <c r="A733" s="1077" t="s">
        <v>3800</v>
      </c>
      <c r="B733" s="1077" t="s">
        <v>453</v>
      </c>
      <c r="C733" s="1077">
        <v>650</v>
      </c>
      <c r="D733" s="1077">
        <v>1.6850000000000001</v>
      </c>
      <c r="E733" s="1077" t="s">
        <v>15089</v>
      </c>
      <c r="F733" s="1077" t="s">
        <v>1773</v>
      </c>
      <c r="G733" s="1077" t="s">
        <v>1767</v>
      </c>
      <c r="H733" s="1077" t="s">
        <v>3801</v>
      </c>
      <c r="I733" s="1077" t="s">
        <v>126</v>
      </c>
      <c r="J733" s="1077">
        <v>0.8</v>
      </c>
      <c r="K733" s="1077" t="s">
        <v>2510</v>
      </c>
      <c r="L733" s="1077" t="s">
        <v>1776</v>
      </c>
      <c r="M733" s="1077">
        <v>75</v>
      </c>
      <c r="N733" s="1077" t="s">
        <v>945</v>
      </c>
      <c r="O733" s="1077">
        <v>1.875</v>
      </c>
      <c r="P733" s="1077">
        <v>1.5</v>
      </c>
      <c r="Q733" s="1077">
        <v>4</v>
      </c>
      <c r="R733" s="1077">
        <v>23</v>
      </c>
      <c r="T733" s="1077">
        <v>19</v>
      </c>
      <c r="U733" s="1077">
        <v>3.8</v>
      </c>
      <c r="V733" s="1077" t="s">
        <v>648</v>
      </c>
      <c r="W733" s="1077">
        <v>110</v>
      </c>
      <c r="X733" s="1077">
        <v>70</v>
      </c>
      <c r="Y733" s="1077">
        <v>2</v>
      </c>
      <c r="Z733" s="1077">
        <v>4.5</v>
      </c>
      <c r="AA733" s="1077" t="s">
        <v>3802</v>
      </c>
      <c r="AH733" s="1077" t="s">
        <v>622</v>
      </c>
      <c r="AM733" s="1078" t="s">
        <v>10506</v>
      </c>
      <c r="AN733" s="1078" t="s">
        <v>10507</v>
      </c>
      <c r="AO733" s="1078">
        <f t="shared" si="94"/>
        <v>650</v>
      </c>
      <c r="AP733" s="1078">
        <f t="shared" si="95"/>
        <v>1.6850000000000001</v>
      </c>
      <c r="AQ733" s="1078" t="str">
        <f t="shared" si="96"/>
        <v>1-4-1S83°</v>
      </c>
      <c r="AR733" s="1078" t="str">
        <f t="shared" si="97"/>
        <v>30.2</v>
      </c>
      <c r="AS733" s="1078" t="str">
        <f t="shared" si="98"/>
        <v>241/241/OFF</v>
      </c>
      <c r="AT733" s="1078" t="str">
        <f t="shared" si="99"/>
        <v>1-4-1S83°</v>
      </c>
      <c r="AV733" s="1078" t="str">
        <f t="shared" si="92"/>
        <v>110.9.15</v>
      </c>
      <c r="AW733" s="1344">
        <f t="shared" si="93"/>
        <v>44454</v>
      </c>
    </row>
    <row r="734" spans="1:49">
      <c r="A734" s="1077" t="s">
        <v>3803</v>
      </c>
      <c r="B734" s="1077" t="s">
        <v>1891</v>
      </c>
      <c r="C734" s="1077">
        <v>600</v>
      </c>
      <c r="D734" s="1077">
        <v>1.67</v>
      </c>
      <c r="E734" s="1077" t="s">
        <v>15089</v>
      </c>
      <c r="F734" s="1077" t="s">
        <v>984</v>
      </c>
      <c r="G734" s="1077" t="s">
        <v>2622</v>
      </c>
      <c r="H734" s="1077" t="s">
        <v>1040</v>
      </c>
      <c r="I734" s="1077" t="s">
        <v>126</v>
      </c>
      <c r="J734" s="1077">
        <v>0.6</v>
      </c>
      <c r="K734" s="1077" t="s">
        <v>3804</v>
      </c>
      <c r="L734" s="1077" t="s">
        <v>3137</v>
      </c>
      <c r="M734" s="1077">
        <v>74.599999999999994</v>
      </c>
      <c r="N734" s="1077" t="s">
        <v>945</v>
      </c>
      <c r="O734" s="1077">
        <v>1.865</v>
      </c>
      <c r="P734" s="1077">
        <v>1.492</v>
      </c>
      <c r="Q734" s="1077">
        <v>3.5</v>
      </c>
      <c r="R734" s="1077">
        <v>29</v>
      </c>
      <c r="T734" s="1077">
        <v>12.5</v>
      </c>
      <c r="U734" s="1077">
        <v>5.0999999999999996</v>
      </c>
      <c r="V734" s="1077" t="s">
        <v>648</v>
      </c>
      <c r="W734" s="1077">
        <v>95</v>
      </c>
      <c r="X734" s="1077">
        <v>60</v>
      </c>
      <c r="Y734" s="1077">
        <v>1.8</v>
      </c>
      <c r="Z734" s="1077">
        <v>4.5</v>
      </c>
      <c r="AA734" s="1077" t="s">
        <v>3374</v>
      </c>
      <c r="AH734" s="1077" t="s">
        <v>1827</v>
      </c>
      <c r="AM734" s="1078" t="s">
        <v>10508</v>
      </c>
      <c r="AN734" s="1078" t="s">
        <v>10509</v>
      </c>
      <c r="AO734" s="1078">
        <f t="shared" si="94"/>
        <v>600</v>
      </c>
      <c r="AP734" s="1078">
        <f t="shared" si="95"/>
        <v>1.67</v>
      </c>
      <c r="AQ734" s="1078" t="str">
        <f t="shared" si="96"/>
        <v>1-4-1S83°</v>
      </c>
      <c r="AR734" s="1078" t="str">
        <f t="shared" si="97"/>
        <v>30</v>
      </c>
      <c r="AS734" s="1078" t="str">
        <f t="shared" si="98"/>
        <v>240/240/OFF</v>
      </c>
      <c r="AT734" s="1078" t="str">
        <f t="shared" si="99"/>
        <v>1-4-1S83°</v>
      </c>
      <c r="AV734" s="1078" t="str">
        <f t="shared" si="92"/>
        <v>110.9.17</v>
      </c>
      <c r="AW734" s="1344">
        <f t="shared" si="93"/>
        <v>44456</v>
      </c>
    </row>
    <row r="735" spans="1:49">
      <c r="A735" s="1077" t="s">
        <v>3805</v>
      </c>
      <c r="B735" s="1077" t="s">
        <v>1974</v>
      </c>
      <c r="C735" s="1077">
        <v>500</v>
      </c>
      <c r="D735" s="1077">
        <v>1.62</v>
      </c>
      <c r="E735" s="1077" t="s">
        <v>15089</v>
      </c>
      <c r="F735" s="1077" t="s">
        <v>1514</v>
      </c>
      <c r="G735" s="1077" t="s">
        <v>1767</v>
      </c>
      <c r="H735" s="1077" t="s">
        <v>1290</v>
      </c>
      <c r="I735" s="1077" t="s">
        <v>126</v>
      </c>
      <c r="J735" s="1077">
        <v>0.7</v>
      </c>
      <c r="K735" s="1077" t="s">
        <v>2005</v>
      </c>
      <c r="L735" s="1077" t="s">
        <v>1976</v>
      </c>
      <c r="M735" s="1077">
        <v>77.599999999999994</v>
      </c>
      <c r="N735" s="1077" t="s">
        <v>945</v>
      </c>
      <c r="O735" s="1077">
        <v>1.94</v>
      </c>
      <c r="P735" s="1077">
        <v>1.5519999999999998</v>
      </c>
      <c r="Q735" s="1077">
        <v>4</v>
      </c>
      <c r="R735" s="1077">
        <v>23</v>
      </c>
      <c r="T735" s="1077">
        <v>21</v>
      </c>
      <c r="U735" s="1077">
        <v>3.7</v>
      </c>
      <c r="V735" s="1077" t="s">
        <v>648</v>
      </c>
      <c r="W735" s="1077">
        <v>105</v>
      </c>
      <c r="X735" s="1077">
        <v>65</v>
      </c>
      <c r="Y735" s="1077">
        <v>1.6</v>
      </c>
      <c r="Z735" s="1077">
        <v>4.5</v>
      </c>
      <c r="AA735" s="1077" t="s">
        <v>3806</v>
      </c>
      <c r="AH735" s="1077" t="s">
        <v>483</v>
      </c>
      <c r="AM735" s="1078" t="s">
        <v>10510</v>
      </c>
      <c r="AN735" s="1078" t="s">
        <v>10511</v>
      </c>
      <c r="AO735" s="1078">
        <f t="shared" si="94"/>
        <v>500</v>
      </c>
      <c r="AP735" s="1078">
        <f t="shared" si="95"/>
        <v>1.62</v>
      </c>
      <c r="AQ735" s="1078" t="str">
        <f t="shared" si="96"/>
        <v>1-4-1S83°</v>
      </c>
      <c r="AR735" s="1078" t="str">
        <f t="shared" si="97"/>
        <v>32</v>
      </c>
      <c r="AS735" s="1078" t="str">
        <f t="shared" si="98"/>
        <v>220/220/OFF</v>
      </c>
      <c r="AT735" s="1078" t="str">
        <f t="shared" si="99"/>
        <v>1-4-1S83°</v>
      </c>
      <c r="AV735" s="1078" t="str">
        <f t="shared" si="92"/>
        <v>110.9.28</v>
      </c>
      <c r="AW735" s="1344">
        <f t="shared" si="93"/>
        <v>44467</v>
      </c>
    </row>
    <row r="736" spans="1:49">
      <c r="A736" s="1077" t="s">
        <v>3807</v>
      </c>
      <c r="B736" s="1077" t="s">
        <v>424</v>
      </c>
      <c r="C736" s="1077">
        <v>700</v>
      </c>
      <c r="D736" s="1077">
        <v>1.78</v>
      </c>
      <c r="E736" s="1077" t="s">
        <v>15089</v>
      </c>
      <c r="F736" s="1077" t="s">
        <v>1469</v>
      </c>
      <c r="G736" s="1077" t="s">
        <v>1767</v>
      </c>
      <c r="H736" s="1077" t="s">
        <v>3143</v>
      </c>
      <c r="I736" s="1077" t="s">
        <v>126</v>
      </c>
      <c r="J736" s="1077">
        <v>0.4</v>
      </c>
      <c r="K736" s="1077" t="s">
        <v>3718</v>
      </c>
      <c r="L736" s="1077" t="s">
        <v>1938</v>
      </c>
      <c r="M736" s="1077">
        <v>74.5</v>
      </c>
      <c r="N736" s="1077" t="s">
        <v>945</v>
      </c>
      <c r="O736" s="1077">
        <v>1.8625</v>
      </c>
      <c r="P736" s="1077">
        <v>1.49</v>
      </c>
      <c r="Q736" s="1077">
        <v>4</v>
      </c>
      <c r="R736" s="1077">
        <v>22</v>
      </c>
      <c r="T736" s="1077">
        <v>19.5</v>
      </c>
      <c r="U736" s="1077">
        <v>2.2999999999999998</v>
      </c>
      <c r="V736" s="1077" t="s">
        <v>648</v>
      </c>
      <c r="W736" s="1077" t="s">
        <v>3719</v>
      </c>
      <c r="X736" s="1077">
        <v>10</v>
      </c>
      <c r="Y736" s="1077">
        <v>1.2</v>
      </c>
      <c r="Z736" s="1077">
        <v>4</v>
      </c>
      <c r="AA736" s="1077" t="s">
        <v>3802</v>
      </c>
      <c r="AH736" s="1077" t="s">
        <v>762</v>
      </c>
      <c r="AM736" s="1078" t="s">
        <v>10512</v>
      </c>
      <c r="AN736" s="1078" t="s">
        <v>10513</v>
      </c>
      <c r="AO736" s="1078">
        <f t="shared" si="94"/>
        <v>700</v>
      </c>
      <c r="AP736" s="1078">
        <f t="shared" si="95"/>
        <v>1.78</v>
      </c>
      <c r="AQ736" s="1078" t="str">
        <f t="shared" si="96"/>
        <v>1-4-1S83°</v>
      </c>
      <c r="AR736" s="1078" t="str">
        <f t="shared" si="97"/>
        <v>30.5</v>
      </c>
      <c r="AS736" s="1078" t="str">
        <f t="shared" si="98"/>
        <v>300/300/160</v>
      </c>
      <c r="AT736" s="1078" t="str">
        <f t="shared" si="99"/>
        <v>1-4-1S83°</v>
      </c>
      <c r="AV736" s="1078" t="str">
        <f t="shared" si="92"/>
        <v>110.9.15</v>
      </c>
      <c r="AW736" s="1344">
        <f t="shared" si="93"/>
        <v>44454</v>
      </c>
    </row>
    <row r="737" spans="1:49">
      <c r="A737" s="1077" t="s">
        <v>3808</v>
      </c>
      <c r="B737" s="1077" t="s">
        <v>453</v>
      </c>
      <c r="C737" s="1077">
        <v>650</v>
      </c>
      <c r="D737" s="1077">
        <v>1.675</v>
      </c>
      <c r="E737" s="1077" t="s">
        <v>15089</v>
      </c>
      <c r="F737" s="1077" t="s">
        <v>1773</v>
      </c>
      <c r="G737" s="1077" t="s">
        <v>1767</v>
      </c>
      <c r="H737" s="1077" t="s">
        <v>3801</v>
      </c>
      <c r="I737" s="1077" t="s">
        <v>126</v>
      </c>
      <c r="J737" s="1077">
        <v>0.9</v>
      </c>
      <c r="K737" s="1077" t="s">
        <v>2510</v>
      </c>
      <c r="L737" s="1077" t="s">
        <v>1776</v>
      </c>
      <c r="M737" s="1077">
        <v>76</v>
      </c>
      <c r="N737" s="1077" t="s">
        <v>945</v>
      </c>
      <c r="O737" s="1077">
        <v>1.9000000000000001</v>
      </c>
      <c r="P737" s="1077">
        <v>1.52</v>
      </c>
      <c r="Q737" s="1077">
        <v>4</v>
      </c>
      <c r="R737" s="1077">
        <v>23</v>
      </c>
      <c r="T737" s="1077">
        <v>19</v>
      </c>
      <c r="U737" s="1077">
        <v>3.8</v>
      </c>
      <c r="V737" s="1077" t="s">
        <v>648</v>
      </c>
      <c r="W737" s="1077">
        <v>110</v>
      </c>
      <c r="X737" s="1077">
        <v>70</v>
      </c>
      <c r="Y737" s="1077">
        <v>2</v>
      </c>
      <c r="Z737" s="1077">
        <v>4.5</v>
      </c>
      <c r="AA737" s="1077" t="s">
        <v>3809</v>
      </c>
      <c r="AH737" s="1077" t="s">
        <v>758</v>
      </c>
      <c r="AM737" s="1078" t="s">
        <v>10514</v>
      </c>
      <c r="AN737" s="1078" t="s">
        <v>10515</v>
      </c>
      <c r="AO737" s="1078">
        <f t="shared" si="94"/>
        <v>650</v>
      </c>
      <c r="AP737" s="1078">
        <f t="shared" si="95"/>
        <v>1.675</v>
      </c>
      <c r="AQ737" s="1078" t="str">
        <f t="shared" si="96"/>
        <v>1-4-1S83°</v>
      </c>
      <c r="AR737" s="1078" t="str">
        <f t="shared" si="97"/>
        <v>30.2</v>
      </c>
      <c r="AS737" s="1078" t="str">
        <f t="shared" si="98"/>
        <v>241/241/OFF</v>
      </c>
      <c r="AT737" s="1078" t="str">
        <f t="shared" si="99"/>
        <v>1-4-1S83°</v>
      </c>
      <c r="AV737" s="1078" t="str">
        <f t="shared" si="92"/>
        <v>110.9.22</v>
      </c>
      <c r="AW737" s="1344">
        <f t="shared" si="93"/>
        <v>44461</v>
      </c>
    </row>
    <row r="738" spans="1:49">
      <c r="A738" s="1077" t="s">
        <v>3810</v>
      </c>
      <c r="B738" s="1077" t="s">
        <v>1842</v>
      </c>
      <c r="C738" s="1077">
        <v>500</v>
      </c>
      <c r="D738" s="1077">
        <v>1.69</v>
      </c>
      <c r="E738" s="1077" t="s">
        <v>15095</v>
      </c>
      <c r="F738" s="1077" t="s">
        <v>984</v>
      </c>
      <c r="G738" s="1077" t="s">
        <v>1016</v>
      </c>
      <c r="H738" s="1077" t="s">
        <v>1649</v>
      </c>
      <c r="I738" s="1077" t="s">
        <v>126</v>
      </c>
      <c r="J738" s="1077">
        <v>0.7</v>
      </c>
      <c r="K738" s="1077" t="s">
        <v>3811</v>
      </c>
      <c r="L738" s="1077" t="s">
        <v>1844</v>
      </c>
      <c r="M738" s="1077">
        <v>77.099999999999994</v>
      </c>
      <c r="N738" s="1077" t="s">
        <v>945</v>
      </c>
      <c r="O738" s="1077">
        <v>1.9275</v>
      </c>
      <c r="P738" s="1077">
        <v>1.5419999999999998</v>
      </c>
      <c r="Q738" s="1077">
        <v>4</v>
      </c>
      <c r="R738" s="1077">
        <v>23</v>
      </c>
      <c r="T738" s="1077">
        <v>18</v>
      </c>
      <c r="U738" s="1077">
        <v>4</v>
      </c>
      <c r="V738" s="1077" t="s">
        <v>648</v>
      </c>
      <c r="W738" s="1077">
        <v>110</v>
      </c>
      <c r="X738" s="1077">
        <v>70</v>
      </c>
      <c r="Y738" s="1077">
        <v>1.8</v>
      </c>
      <c r="Z738" s="1077">
        <v>4.5</v>
      </c>
      <c r="AA738" s="1077" t="s">
        <v>3812</v>
      </c>
      <c r="AH738" s="1077" t="s">
        <v>646</v>
      </c>
      <c r="AM738" s="1078" t="s">
        <v>10516</v>
      </c>
      <c r="AN738" s="1078" t="s">
        <v>9350</v>
      </c>
      <c r="AO738" s="1078">
        <f t="shared" si="94"/>
        <v>500</v>
      </c>
      <c r="AP738" s="1078">
        <f t="shared" si="95"/>
        <v>1.69</v>
      </c>
      <c r="AQ738" s="1078" t="str">
        <f t="shared" si="96"/>
        <v>1-5-1S83°</v>
      </c>
      <c r="AR738" s="1078" t="str">
        <f t="shared" si="97"/>
        <v>30</v>
      </c>
      <c r="AS738" s="1078" t="str">
        <f t="shared" si="98"/>
        <v>225/225/OFF</v>
      </c>
      <c r="AT738" s="1078" t="str">
        <f t="shared" si="99"/>
        <v>1-5-1S83°</v>
      </c>
      <c r="AV738" s="1078" t="str">
        <f t="shared" si="92"/>
        <v>110.9.24</v>
      </c>
      <c r="AW738" s="1344">
        <f t="shared" si="93"/>
        <v>44463</v>
      </c>
    </row>
    <row r="739" spans="1:49">
      <c r="A739" s="1077" t="s">
        <v>3813</v>
      </c>
      <c r="B739" s="1077" t="s">
        <v>453</v>
      </c>
      <c r="C739" s="1077">
        <v>700</v>
      </c>
      <c r="D739" s="1077">
        <v>1.6850000000000001</v>
      </c>
      <c r="E739" s="1077" t="s">
        <v>15089</v>
      </c>
      <c r="F739" s="1077" t="s">
        <v>1773</v>
      </c>
      <c r="G739" s="1077" t="s">
        <v>1767</v>
      </c>
      <c r="H739" s="1077" t="s">
        <v>2480</v>
      </c>
      <c r="I739" s="1077" t="s">
        <v>126</v>
      </c>
      <c r="J739" s="1077">
        <v>0.9</v>
      </c>
      <c r="K739" s="1077" t="s">
        <v>3814</v>
      </c>
      <c r="L739" s="1077" t="s">
        <v>1776</v>
      </c>
      <c r="M739" s="1077">
        <v>75</v>
      </c>
      <c r="N739" s="1077" t="s">
        <v>945</v>
      </c>
      <c r="O739" s="1077">
        <v>1.875</v>
      </c>
      <c r="P739" s="1077">
        <v>1.5</v>
      </c>
      <c r="Q739" s="1077">
        <v>4</v>
      </c>
      <c r="R739" s="1077">
        <v>23</v>
      </c>
      <c r="T739" s="1077">
        <v>19</v>
      </c>
      <c r="U739" s="1077">
        <v>3.8</v>
      </c>
      <c r="V739" s="1077" t="s">
        <v>648</v>
      </c>
      <c r="W739" s="1077">
        <v>110</v>
      </c>
      <c r="X739" s="1077">
        <v>70</v>
      </c>
      <c r="Y739" s="1077">
        <v>2</v>
      </c>
      <c r="Z739" s="1077">
        <v>4.5</v>
      </c>
      <c r="AA739" s="1077" t="s">
        <v>3815</v>
      </c>
      <c r="AH739" s="1077" t="s">
        <v>466</v>
      </c>
      <c r="AM739" s="1078" t="s">
        <v>10517</v>
      </c>
      <c r="AN739" s="1078" t="s">
        <v>10518</v>
      </c>
      <c r="AO739" s="1078">
        <f t="shared" si="94"/>
        <v>700</v>
      </c>
      <c r="AP739" s="1078">
        <f t="shared" si="95"/>
        <v>1.6850000000000001</v>
      </c>
      <c r="AQ739" s="1078" t="str">
        <f t="shared" si="96"/>
        <v>1-4-1S83°</v>
      </c>
      <c r="AR739" s="1078" t="str">
        <f t="shared" si="97"/>
        <v>30.2</v>
      </c>
      <c r="AS739" s="1078" t="str">
        <f t="shared" si="98"/>
        <v>251/251/OFF</v>
      </c>
      <c r="AT739" s="1078" t="str">
        <f t="shared" si="99"/>
        <v>1-4-1S83°</v>
      </c>
      <c r="AV739" s="1078" t="str">
        <f t="shared" si="92"/>
        <v>110.10.1</v>
      </c>
      <c r="AW739" s="1344">
        <f t="shared" si="93"/>
        <v>44470</v>
      </c>
    </row>
    <row r="740" spans="1:49">
      <c r="A740" s="1077" t="s">
        <v>3816</v>
      </c>
      <c r="B740" s="1077" t="s">
        <v>453</v>
      </c>
      <c r="C740" s="1077">
        <v>700</v>
      </c>
      <c r="D740" s="1077">
        <v>1.675</v>
      </c>
      <c r="E740" s="1077" t="s">
        <v>15089</v>
      </c>
      <c r="F740" s="1077" t="s">
        <v>1773</v>
      </c>
      <c r="G740" s="1077" t="s">
        <v>1767</v>
      </c>
      <c r="H740" s="1077" t="s">
        <v>2480</v>
      </c>
      <c r="I740" s="1077" t="s">
        <v>126</v>
      </c>
      <c r="J740" s="1077">
        <v>0.9</v>
      </c>
      <c r="K740" s="1077" t="s">
        <v>1775</v>
      </c>
      <c r="L740" s="1077" t="s">
        <v>1776</v>
      </c>
      <c r="M740" s="1077">
        <v>75</v>
      </c>
      <c r="N740" s="1077" t="s">
        <v>945</v>
      </c>
      <c r="O740" s="1077">
        <v>1.875</v>
      </c>
      <c r="P740" s="1077">
        <v>1.5</v>
      </c>
      <c r="Q740" s="1077">
        <v>4</v>
      </c>
      <c r="R740" s="1077">
        <v>23</v>
      </c>
      <c r="T740" s="1077">
        <v>19</v>
      </c>
      <c r="U740" s="1077">
        <v>3.8</v>
      </c>
      <c r="V740" s="1077" t="s">
        <v>648</v>
      </c>
      <c r="W740" s="1077">
        <v>110</v>
      </c>
      <c r="X740" s="1077">
        <v>70</v>
      </c>
      <c r="Y740" s="1077">
        <v>2</v>
      </c>
      <c r="Z740" s="1077">
        <v>4.5</v>
      </c>
      <c r="AA740" s="1077" t="s">
        <v>3817</v>
      </c>
      <c r="AH740" s="1077" t="s">
        <v>813</v>
      </c>
      <c r="AM740" s="1078" t="s">
        <v>10519</v>
      </c>
      <c r="AN740" s="1078" t="s">
        <v>10520</v>
      </c>
      <c r="AO740" s="1078">
        <f t="shared" si="94"/>
        <v>700</v>
      </c>
      <c r="AP740" s="1078">
        <f t="shared" si="95"/>
        <v>1.675</v>
      </c>
      <c r="AQ740" s="1078" t="str">
        <f t="shared" si="96"/>
        <v>1-4-1S83°</v>
      </c>
      <c r="AR740" s="1078" t="str">
        <f t="shared" si="97"/>
        <v>30.2</v>
      </c>
      <c r="AS740" s="1078" t="str">
        <f t="shared" si="98"/>
        <v>251/251/OFF</v>
      </c>
      <c r="AT740" s="1078" t="str">
        <f t="shared" si="99"/>
        <v>1-4-1S83°</v>
      </c>
      <c r="AV740" s="1078" t="str">
        <f t="shared" si="92"/>
        <v>110.10.7</v>
      </c>
      <c r="AW740" s="1344">
        <f t="shared" si="93"/>
        <v>44476</v>
      </c>
    </row>
    <row r="741" spans="1:49">
      <c r="A741" s="1077" t="s">
        <v>3818</v>
      </c>
      <c r="B741" s="1077" t="s">
        <v>3155</v>
      </c>
      <c r="C741" s="1077">
        <v>550</v>
      </c>
      <c r="D741" s="1077">
        <v>1.75</v>
      </c>
      <c r="E741" s="1077" t="s">
        <v>15095</v>
      </c>
      <c r="F741" s="1077" t="s">
        <v>984</v>
      </c>
      <c r="G741" s="1077" t="s">
        <v>940</v>
      </c>
      <c r="H741" s="1077" t="s">
        <v>1009</v>
      </c>
      <c r="I741" s="1077" t="s">
        <v>626</v>
      </c>
      <c r="J741" s="1077">
        <v>0.8</v>
      </c>
      <c r="K741" s="1077" t="s">
        <v>3819</v>
      </c>
      <c r="L741" s="1077" t="s">
        <v>3441</v>
      </c>
      <c r="M741" s="1077">
        <v>78</v>
      </c>
      <c r="N741" s="1077" t="s">
        <v>945</v>
      </c>
      <c r="O741" s="1077">
        <v>1.9500000000000002</v>
      </c>
      <c r="P741" s="1077">
        <v>1.56</v>
      </c>
      <c r="Q741" s="1077">
        <v>3</v>
      </c>
      <c r="R741" s="1077">
        <v>30</v>
      </c>
      <c r="T741" s="1077">
        <v>9.6</v>
      </c>
      <c r="U741" s="1077">
        <v>6.8</v>
      </c>
      <c r="V741" s="1077" t="s">
        <v>648</v>
      </c>
      <c r="W741" s="1077">
        <v>135</v>
      </c>
      <c r="X741" s="1077">
        <v>65</v>
      </c>
      <c r="Y741" s="1077">
        <v>1.4</v>
      </c>
      <c r="Z741" s="1077">
        <v>4</v>
      </c>
      <c r="AA741" s="1077" t="s">
        <v>3377</v>
      </c>
      <c r="AH741" s="1077" t="s">
        <v>963</v>
      </c>
      <c r="AM741" s="1078" t="s">
        <v>10521</v>
      </c>
      <c r="AN741" s="1078" t="s">
        <v>10522</v>
      </c>
      <c r="AO741" s="1078">
        <f t="shared" si="94"/>
        <v>550</v>
      </c>
      <c r="AP741" s="1078">
        <f t="shared" si="95"/>
        <v>1.75</v>
      </c>
      <c r="AQ741" s="1078" t="str">
        <f t="shared" si="96"/>
        <v>1-5-1S83°</v>
      </c>
      <c r="AR741" s="1078" t="str">
        <f t="shared" si="97"/>
        <v>30</v>
      </c>
      <c r="AS741" s="1078" t="str">
        <f t="shared" si="98"/>
        <v>195/195/OFF</v>
      </c>
      <c r="AT741" s="1078" t="str">
        <f t="shared" si="99"/>
        <v>1-5-1S83°</v>
      </c>
      <c r="AV741" s="1078" t="str">
        <f t="shared" si="92"/>
        <v>110.10.12</v>
      </c>
      <c r="AW741" s="1344">
        <f t="shared" si="93"/>
        <v>44481</v>
      </c>
    </row>
    <row r="742" spans="1:49">
      <c r="A742" s="1077" t="s">
        <v>3820</v>
      </c>
      <c r="B742" s="1077" t="s">
        <v>771</v>
      </c>
      <c r="C742" s="1077">
        <v>650</v>
      </c>
      <c r="D742" s="1077">
        <v>1.736</v>
      </c>
      <c r="E742" s="1077" t="s">
        <v>15102</v>
      </c>
      <c r="F742" s="1077" t="s">
        <v>954</v>
      </c>
      <c r="G742" s="1077">
        <v>5</v>
      </c>
      <c r="H742" s="1077" t="s">
        <v>1263</v>
      </c>
      <c r="I742" s="1077" t="s">
        <v>1112</v>
      </c>
      <c r="J742" s="1077">
        <v>1.4</v>
      </c>
      <c r="K742" s="1077" t="s">
        <v>3821</v>
      </c>
      <c r="L742" s="1077" t="s">
        <v>1913</v>
      </c>
      <c r="M742" s="1077">
        <v>75</v>
      </c>
      <c r="N742" s="1077" t="s">
        <v>945</v>
      </c>
      <c r="O742" s="1077">
        <v>1.875</v>
      </c>
      <c r="P742" s="1077">
        <v>1.5</v>
      </c>
      <c r="Q742" s="1077">
        <v>4</v>
      </c>
      <c r="R742" s="1077">
        <v>23</v>
      </c>
      <c r="T742" s="1077">
        <v>26.5</v>
      </c>
      <c r="U742" s="1077">
        <v>3.8</v>
      </c>
      <c r="V742" s="1077" t="s">
        <v>648</v>
      </c>
      <c r="W742" s="1077">
        <v>100</v>
      </c>
      <c r="X742" s="1077">
        <v>45</v>
      </c>
      <c r="Y742" s="1077">
        <v>1.6</v>
      </c>
      <c r="Z742" s="1077">
        <v>5</v>
      </c>
      <c r="AA742" s="1077" t="s">
        <v>3793</v>
      </c>
      <c r="AH742" s="1077" t="s">
        <v>681</v>
      </c>
      <c r="AI742" s="1077">
        <v>93.08</v>
      </c>
      <c r="AJ742" s="1077">
        <v>-0.61</v>
      </c>
      <c r="AK742" s="1077">
        <v>3.83</v>
      </c>
      <c r="AM742" s="1078" t="s">
        <v>10523</v>
      </c>
      <c r="AN742" s="1078" t="s">
        <v>10524</v>
      </c>
      <c r="AO742" s="1078">
        <f t="shared" si="94"/>
        <v>650</v>
      </c>
      <c r="AP742" s="1078">
        <f t="shared" si="95"/>
        <v>1.736</v>
      </c>
      <c r="AQ742" s="1078" t="str">
        <f t="shared" si="96"/>
        <v>2-6-1S83°</v>
      </c>
      <c r="AR742" s="1078" t="str">
        <f t="shared" si="97"/>
        <v>31</v>
      </c>
      <c r="AS742" s="1078" t="str">
        <f t="shared" si="98"/>
        <v>163/OFF</v>
      </c>
      <c r="AT742" s="1078" t="str">
        <f t="shared" si="99"/>
        <v>2-6-1S83°</v>
      </c>
      <c r="AV742" s="1078" t="str">
        <f t="shared" si="92"/>
        <v>112.11.6</v>
      </c>
      <c r="AW742" s="1344">
        <f t="shared" si="93"/>
        <v>45236</v>
      </c>
    </row>
    <row r="743" spans="1:49">
      <c r="A743" s="1077" t="s">
        <v>3822</v>
      </c>
      <c r="B743" s="1077" t="s">
        <v>1823</v>
      </c>
      <c r="C743" s="1077">
        <v>500</v>
      </c>
      <c r="D743" s="1077">
        <v>1.77</v>
      </c>
      <c r="E743" s="1077" t="s">
        <v>15095</v>
      </c>
      <c r="F743" s="1077" t="s">
        <v>984</v>
      </c>
      <c r="G743" s="1077" t="s">
        <v>1016</v>
      </c>
      <c r="H743" s="1077" t="s">
        <v>1226</v>
      </c>
      <c r="I743" s="1077" t="s">
        <v>126</v>
      </c>
      <c r="J743" s="1077">
        <v>0.8</v>
      </c>
      <c r="K743" s="1077" t="s">
        <v>3699</v>
      </c>
      <c r="L743" s="1077" t="s">
        <v>1825</v>
      </c>
      <c r="M743" s="1077">
        <v>73.8</v>
      </c>
      <c r="N743" s="1077" t="s">
        <v>945</v>
      </c>
      <c r="O743" s="1077">
        <v>1.845</v>
      </c>
      <c r="P743" s="1077">
        <v>1.476</v>
      </c>
      <c r="Q743" s="1077">
        <v>3.5</v>
      </c>
      <c r="R743" s="1077">
        <v>18.5</v>
      </c>
      <c r="T743" s="1077">
        <v>21</v>
      </c>
      <c r="U743" s="1077">
        <v>3.8</v>
      </c>
      <c r="V743" s="1077" t="s">
        <v>648</v>
      </c>
      <c r="W743" s="1077">
        <v>110</v>
      </c>
      <c r="X743" s="1077">
        <v>85</v>
      </c>
      <c r="Y743" s="1077">
        <v>1.9</v>
      </c>
      <c r="Z743" s="1077">
        <v>4</v>
      </c>
      <c r="AA743" s="1077" t="s">
        <v>3823</v>
      </c>
      <c r="AH743" s="1077" t="s">
        <v>646</v>
      </c>
      <c r="AI743" s="1077">
        <v>85.2</v>
      </c>
      <c r="AJ743" s="1077">
        <v>0.69</v>
      </c>
      <c r="AK743" s="1077">
        <v>8.41</v>
      </c>
      <c r="AM743" s="1078" t="s">
        <v>10525</v>
      </c>
      <c r="AN743" s="1078" t="s">
        <v>10526</v>
      </c>
      <c r="AO743" s="1078">
        <f t="shared" si="94"/>
        <v>500</v>
      </c>
      <c r="AP743" s="1078">
        <f t="shared" si="95"/>
        <v>1.77</v>
      </c>
      <c r="AQ743" s="1078" t="str">
        <f t="shared" si="96"/>
        <v>1-5-1S83°</v>
      </c>
      <c r="AR743" s="1078" t="str">
        <f t="shared" si="97"/>
        <v>30</v>
      </c>
      <c r="AS743" s="1078" t="str">
        <f t="shared" si="98"/>
        <v>230/230/OFF</v>
      </c>
      <c r="AT743" s="1078" t="str">
        <f t="shared" si="99"/>
        <v>1-5-1S83°</v>
      </c>
      <c r="AV743" s="1078" t="str">
        <f t="shared" si="92"/>
        <v>112.11.13</v>
      </c>
      <c r="AW743" s="1344">
        <f t="shared" si="93"/>
        <v>45243</v>
      </c>
    </row>
    <row r="744" spans="1:49">
      <c r="A744" s="1077" t="s">
        <v>3824</v>
      </c>
      <c r="B744" s="1077" t="s">
        <v>1842</v>
      </c>
      <c r="C744" s="1077" t="s">
        <v>3825</v>
      </c>
      <c r="D744" s="1077">
        <v>1.7</v>
      </c>
      <c r="E744" s="1077" t="s">
        <v>15095</v>
      </c>
      <c r="F744" s="1077" t="s">
        <v>984</v>
      </c>
      <c r="G744" s="1077" t="s">
        <v>1016</v>
      </c>
      <c r="H744" s="1077" t="s">
        <v>2637</v>
      </c>
      <c r="I744" s="1077" t="s">
        <v>126</v>
      </c>
      <c r="J744" s="1077">
        <v>0.8</v>
      </c>
      <c r="K744" s="1077" t="s">
        <v>3826</v>
      </c>
      <c r="L744" s="1077" t="s">
        <v>1844</v>
      </c>
      <c r="M744" s="1077">
        <v>77.099999999999994</v>
      </c>
      <c r="N744" s="1077" t="s">
        <v>945</v>
      </c>
      <c r="O744" s="1077">
        <v>1.9275</v>
      </c>
      <c r="P744" s="1077">
        <v>1.5419999999999998</v>
      </c>
      <c r="Q744" s="1077">
        <v>3.5</v>
      </c>
      <c r="R744" s="1077">
        <v>25</v>
      </c>
      <c r="T744" s="1077">
        <v>18</v>
      </c>
      <c r="U744" s="1077">
        <v>4</v>
      </c>
      <c r="V744" s="1077" t="s">
        <v>648</v>
      </c>
      <c r="W744" s="1077">
        <v>110</v>
      </c>
      <c r="X744" s="1077">
        <v>70</v>
      </c>
      <c r="Y744" s="1077">
        <v>1.8</v>
      </c>
      <c r="Z744" s="1077">
        <v>4.5</v>
      </c>
      <c r="AA744" s="1077" t="s">
        <v>3827</v>
      </c>
      <c r="AH744" s="1077" t="s">
        <v>831</v>
      </c>
      <c r="AI744" s="1077">
        <v>95.38</v>
      </c>
      <c r="AJ744" s="1077">
        <v>-0.65</v>
      </c>
      <c r="AK744" s="1077">
        <v>0.88</v>
      </c>
      <c r="AM744" s="1078" t="s">
        <v>10527</v>
      </c>
      <c r="AN744" s="1078" t="s">
        <v>10528</v>
      </c>
      <c r="AO744" s="1078" t="str">
        <f t="shared" si="94"/>
        <v>550↓500-12/1</v>
      </c>
      <c r="AP744" s="1078">
        <f t="shared" si="95"/>
        <v>1.7</v>
      </c>
      <c r="AQ744" s="1078" t="str">
        <f t="shared" si="96"/>
        <v>1-5-1S83°</v>
      </c>
      <c r="AR744" s="1078" t="str">
        <f t="shared" si="97"/>
        <v>30</v>
      </c>
      <c r="AS744" s="1078" t="str">
        <f t="shared" si="98"/>
        <v>228/228/OFF</v>
      </c>
      <c r="AT744" s="1078" t="str">
        <f t="shared" si="99"/>
        <v>1-5-1S83°</v>
      </c>
      <c r="AV744" s="1078" t="str">
        <f t="shared" si="92"/>
        <v>112.11.17</v>
      </c>
      <c r="AW744" s="1344">
        <f t="shared" si="93"/>
        <v>45247</v>
      </c>
    </row>
    <row r="745" spans="1:49">
      <c r="A745" s="1077" t="s">
        <v>3828</v>
      </c>
      <c r="B745" s="1077" t="s">
        <v>1842</v>
      </c>
      <c r="C745" s="1077">
        <v>550</v>
      </c>
      <c r="D745" s="1077">
        <v>1.7</v>
      </c>
      <c r="E745" s="1077" t="s">
        <v>15095</v>
      </c>
      <c r="F745" s="1077" t="s">
        <v>984</v>
      </c>
      <c r="G745" s="1077" t="s">
        <v>1016</v>
      </c>
      <c r="H745" s="1077" t="s">
        <v>1226</v>
      </c>
      <c r="I745" s="1077" t="s">
        <v>126</v>
      </c>
      <c r="J745" s="1077">
        <v>0.8</v>
      </c>
      <c r="K745" s="1077" t="s">
        <v>3826</v>
      </c>
      <c r="L745" s="1077" t="s">
        <v>1844</v>
      </c>
      <c r="M745" s="1077">
        <v>77.099999999999994</v>
      </c>
      <c r="N745" s="1077" t="s">
        <v>945</v>
      </c>
      <c r="O745" s="1077">
        <v>1.9275</v>
      </c>
      <c r="P745" s="1077">
        <v>1.5419999999999998</v>
      </c>
      <c r="Q745" s="1077">
        <v>3.5</v>
      </c>
      <c r="R745" s="1077">
        <v>25</v>
      </c>
      <c r="T745" s="1077">
        <v>18</v>
      </c>
      <c r="U745" s="1077">
        <v>4</v>
      </c>
      <c r="V745" s="1077" t="s">
        <v>648</v>
      </c>
      <c r="W745" s="1077">
        <v>110</v>
      </c>
      <c r="X745" s="1077">
        <v>70</v>
      </c>
      <c r="Y745" s="1077">
        <v>1.8</v>
      </c>
      <c r="Z745" s="1077">
        <v>4.5</v>
      </c>
      <c r="AA745" s="1077" t="s">
        <v>3829</v>
      </c>
      <c r="AH745" s="1077" t="s">
        <v>3830</v>
      </c>
      <c r="AI745" s="1077">
        <v>94.76</v>
      </c>
      <c r="AJ745" s="1077">
        <v>7.0000000000000007E-2</v>
      </c>
      <c r="AK745" s="1077">
        <v>0.72</v>
      </c>
      <c r="AM745" s="1078" t="s">
        <v>10529</v>
      </c>
      <c r="AN745" s="1078" t="s">
        <v>10530</v>
      </c>
      <c r="AO745" s="1078">
        <f t="shared" si="94"/>
        <v>550</v>
      </c>
      <c r="AP745" s="1078">
        <f t="shared" si="95"/>
        <v>1.7</v>
      </c>
      <c r="AQ745" s="1078" t="str">
        <f t="shared" si="96"/>
        <v>1-5-1S83°</v>
      </c>
      <c r="AR745" s="1078" t="str">
        <f t="shared" si="97"/>
        <v>30</v>
      </c>
      <c r="AS745" s="1078" t="str">
        <f t="shared" si="98"/>
        <v>230/230/OFF</v>
      </c>
      <c r="AT745" s="1078" t="str">
        <f t="shared" si="99"/>
        <v>1-5-1S83°</v>
      </c>
      <c r="AV745" s="1078" t="str">
        <f t="shared" si="92"/>
        <v>112.11.16</v>
      </c>
      <c r="AW745" s="1344">
        <f t="shared" si="93"/>
        <v>45246</v>
      </c>
    </row>
    <row r="746" spans="1:49">
      <c r="A746" s="1077" t="s">
        <v>3831</v>
      </c>
      <c r="B746" s="1077" t="s">
        <v>424</v>
      </c>
      <c r="C746" s="1077">
        <v>650</v>
      </c>
      <c r="D746" s="1077">
        <v>1.7749999999999999</v>
      </c>
      <c r="E746" s="1077" t="s">
        <v>15091</v>
      </c>
      <c r="F746" s="1077" t="s">
        <v>1469</v>
      </c>
      <c r="G746" s="1077" t="s">
        <v>1767</v>
      </c>
      <c r="H746" s="1077" t="s">
        <v>3832</v>
      </c>
      <c r="I746" s="1077" t="s">
        <v>1167</v>
      </c>
      <c r="J746" s="1077">
        <v>0.7</v>
      </c>
      <c r="K746" s="1077" t="s">
        <v>3752</v>
      </c>
      <c r="L746" s="1077" t="s">
        <v>1968</v>
      </c>
      <c r="M746" s="1077">
        <v>74.5</v>
      </c>
      <c r="N746" s="1077" t="s">
        <v>945</v>
      </c>
      <c r="O746" s="1077">
        <v>1.8625</v>
      </c>
      <c r="P746" s="1077">
        <v>1.49</v>
      </c>
      <c r="Q746" s="1077">
        <v>4</v>
      </c>
      <c r="R746" s="1077">
        <v>22</v>
      </c>
      <c r="T746" s="1077">
        <v>19.5</v>
      </c>
      <c r="U746" s="1077">
        <v>2.2999999999999998</v>
      </c>
      <c r="V746" s="1077" t="s">
        <v>648</v>
      </c>
      <c r="W746" s="1077">
        <v>40</v>
      </c>
      <c r="X746" s="1077">
        <v>10</v>
      </c>
      <c r="Y746" s="1077">
        <v>1.2</v>
      </c>
      <c r="Z746" s="1077">
        <v>4</v>
      </c>
      <c r="AA746" s="1077" t="s">
        <v>3833</v>
      </c>
      <c r="AH746" s="1077" t="s">
        <v>3067</v>
      </c>
      <c r="AI746" s="1077">
        <v>91.16</v>
      </c>
      <c r="AJ746" s="1077">
        <v>-0.62</v>
      </c>
      <c r="AK746" s="1077">
        <v>0.96</v>
      </c>
      <c r="AM746" s="1078" t="s">
        <v>10531</v>
      </c>
      <c r="AN746" s="1078" t="s">
        <v>10532</v>
      </c>
      <c r="AO746" s="1078">
        <f t="shared" si="94"/>
        <v>650</v>
      </c>
      <c r="AP746" s="1078">
        <f t="shared" si="95"/>
        <v>1.7749999999999999</v>
      </c>
      <c r="AQ746" s="1078" t="str">
        <f t="shared" si="96"/>
        <v>2-5-1S83°</v>
      </c>
      <c r="AR746" s="1078" t="str">
        <f t="shared" si="97"/>
        <v>30.5</v>
      </c>
      <c r="AS746" s="1078" t="str">
        <f t="shared" si="98"/>
        <v>172/160</v>
      </c>
      <c r="AT746" s="1078" t="str">
        <f t="shared" si="99"/>
        <v>2-5-1S83°</v>
      </c>
      <c r="AV746" s="1078" t="str">
        <f t="shared" si="92"/>
        <v>112.11.15</v>
      </c>
      <c r="AW746" s="1344">
        <f t="shared" si="93"/>
        <v>45245</v>
      </c>
    </row>
    <row r="747" spans="1:49">
      <c r="A747" s="1077" t="s">
        <v>3834</v>
      </c>
      <c r="B747" s="1077" t="s">
        <v>3750</v>
      </c>
      <c r="C747" s="1077">
        <v>700</v>
      </c>
      <c r="D747" s="1077">
        <v>1.76</v>
      </c>
      <c r="E747" s="1077" t="s">
        <v>15091</v>
      </c>
      <c r="F747" s="1077" t="s">
        <v>1469</v>
      </c>
      <c r="G747" s="1077" t="s">
        <v>1767</v>
      </c>
      <c r="H747" s="1077" t="s">
        <v>1188</v>
      </c>
      <c r="I747" s="1077" t="s">
        <v>1167</v>
      </c>
      <c r="J747" s="1077">
        <v>1.6</v>
      </c>
      <c r="K747" s="1077" t="s">
        <v>3752</v>
      </c>
      <c r="L747" s="1077" t="s">
        <v>1968</v>
      </c>
      <c r="M747" s="1077">
        <v>74.599999999999994</v>
      </c>
      <c r="N747" s="1077" t="s">
        <v>945</v>
      </c>
      <c r="O747" s="1077">
        <v>1.865</v>
      </c>
      <c r="P747" s="1077">
        <v>1.492</v>
      </c>
      <c r="Q747" s="1077">
        <v>4</v>
      </c>
      <c r="R747" s="1077">
        <v>22</v>
      </c>
      <c r="T747" s="1077">
        <v>32</v>
      </c>
      <c r="U747" s="1077">
        <v>3.4</v>
      </c>
      <c r="V747" s="1077" t="s">
        <v>648</v>
      </c>
      <c r="W747" s="1077">
        <v>110</v>
      </c>
      <c r="X747" s="1077">
        <v>60</v>
      </c>
      <c r="Y747" s="1077">
        <v>2</v>
      </c>
      <c r="Z747" s="1077">
        <v>6</v>
      </c>
      <c r="AA747" s="1077" t="s">
        <v>3835</v>
      </c>
      <c r="AH747" s="1077" t="s">
        <v>869</v>
      </c>
      <c r="AI747" s="1077">
        <v>91.37</v>
      </c>
      <c r="AJ747" s="1077">
        <v>-0.32</v>
      </c>
      <c r="AK747" s="1077">
        <v>0.87</v>
      </c>
      <c r="AM747" s="1078" t="s">
        <v>10533</v>
      </c>
      <c r="AN747" s="1078" t="s">
        <v>10534</v>
      </c>
      <c r="AO747" s="1078">
        <f t="shared" si="94"/>
        <v>700</v>
      </c>
      <c r="AP747" s="1078">
        <f t="shared" si="95"/>
        <v>1.76</v>
      </c>
      <c r="AQ747" s="1078" t="str">
        <f t="shared" si="96"/>
        <v>2-5-1S83°</v>
      </c>
      <c r="AR747" s="1078" t="str">
        <f t="shared" si="97"/>
        <v>30.5</v>
      </c>
      <c r="AS747" s="1078" t="str">
        <f t="shared" si="98"/>
        <v>177/OFF</v>
      </c>
      <c r="AT747" s="1078" t="str">
        <f t="shared" si="99"/>
        <v>2-5-1S83°</v>
      </c>
      <c r="AV747" s="1078" t="str">
        <f t="shared" si="92"/>
        <v>112.11.22</v>
      </c>
      <c r="AW747" s="1344">
        <f t="shared" si="93"/>
        <v>45252</v>
      </c>
    </row>
    <row r="748" spans="1:49">
      <c r="A748" s="1077" t="s">
        <v>3836</v>
      </c>
      <c r="B748" s="1077" t="s">
        <v>1815</v>
      </c>
      <c r="C748" s="1077" t="s">
        <v>3837</v>
      </c>
      <c r="D748" s="1077">
        <v>1.7350000000000001</v>
      </c>
      <c r="E748" s="1077" t="s">
        <v>15098</v>
      </c>
      <c r="F748" s="1077" t="s">
        <v>954</v>
      </c>
      <c r="G748" s="1077" t="s">
        <v>1767</v>
      </c>
      <c r="H748" s="1077" t="s">
        <v>1793</v>
      </c>
      <c r="I748" s="1077" t="s">
        <v>126</v>
      </c>
      <c r="J748" s="1077">
        <v>0.9</v>
      </c>
      <c r="K748" s="1077" t="s">
        <v>1839</v>
      </c>
      <c r="L748" s="1077" t="s">
        <v>1817</v>
      </c>
      <c r="M748" s="1077">
        <v>75.099999999999994</v>
      </c>
      <c r="N748" s="1077" t="s">
        <v>945</v>
      </c>
      <c r="O748" s="1077">
        <v>1.8774999999999999</v>
      </c>
      <c r="P748" s="1077">
        <v>1.502</v>
      </c>
      <c r="Q748" s="1077">
        <v>4</v>
      </c>
      <c r="R748" s="1077">
        <v>19</v>
      </c>
      <c r="T748" s="1077">
        <v>21</v>
      </c>
      <c r="U748" s="1077">
        <v>3.5</v>
      </c>
      <c r="V748" s="1077" t="s">
        <v>648</v>
      </c>
      <c r="W748" s="1077">
        <v>110</v>
      </c>
      <c r="X748" s="1077" t="s">
        <v>2650</v>
      </c>
      <c r="Y748" s="1077">
        <v>1.6</v>
      </c>
      <c r="Z748" s="1077">
        <v>4</v>
      </c>
      <c r="AA748" s="1077" t="s">
        <v>3827</v>
      </c>
      <c r="AB748" s="1077" t="s">
        <v>981</v>
      </c>
      <c r="AH748" s="1077" t="s">
        <v>889</v>
      </c>
      <c r="AI748" s="1077">
        <v>95.09</v>
      </c>
      <c r="AJ748" s="1077">
        <v>-0.51</v>
      </c>
      <c r="AK748" s="1077">
        <v>1.29</v>
      </c>
      <c r="AM748" s="1078" t="s">
        <v>10535</v>
      </c>
      <c r="AN748" s="1078" t="s">
        <v>10536</v>
      </c>
      <c r="AO748" s="1078" t="str">
        <f t="shared" si="94"/>
        <v>700↓650-11/28</v>
      </c>
      <c r="AP748" s="1078">
        <f t="shared" si="95"/>
        <v>1.7350000000000001</v>
      </c>
      <c r="AQ748" s="1078" t="str">
        <f t="shared" si="96"/>
        <v>1-4-1S91°</v>
      </c>
      <c r="AR748" s="1078" t="str">
        <f t="shared" si="97"/>
        <v>31</v>
      </c>
      <c r="AS748" s="1078" t="str">
        <f t="shared" si="98"/>
        <v>270/270/OFF</v>
      </c>
      <c r="AT748" s="1078" t="str">
        <f t="shared" si="99"/>
        <v>1-4-1S91°</v>
      </c>
      <c r="AV748" s="1078" t="str">
        <f t="shared" si="92"/>
        <v>112.11.17</v>
      </c>
      <c r="AW748" s="1344">
        <f t="shared" si="93"/>
        <v>45247</v>
      </c>
    </row>
    <row r="749" spans="1:49">
      <c r="A749" s="1077" t="s">
        <v>3838</v>
      </c>
      <c r="B749" s="1077" t="s">
        <v>1899</v>
      </c>
      <c r="C749" s="1077">
        <v>600</v>
      </c>
      <c r="D749" s="1077">
        <v>1.75</v>
      </c>
      <c r="E749" s="1077" t="s">
        <v>15095</v>
      </c>
      <c r="F749" s="1077" t="s">
        <v>954</v>
      </c>
      <c r="G749" s="1077" t="s">
        <v>940</v>
      </c>
      <c r="H749" s="1077" t="s">
        <v>2295</v>
      </c>
      <c r="I749" s="1077" t="s">
        <v>126</v>
      </c>
      <c r="J749" s="1077">
        <v>1.6</v>
      </c>
      <c r="K749" s="1077" t="s">
        <v>3839</v>
      </c>
      <c r="L749" s="1077" t="s">
        <v>1964</v>
      </c>
      <c r="M749" s="1077">
        <v>75.400000000000006</v>
      </c>
      <c r="N749" s="1077" t="s">
        <v>945</v>
      </c>
      <c r="O749" s="1077">
        <v>1.8850000000000002</v>
      </c>
      <c r="P749" s="1077">
        <v>1.5080000000000002</v>
      </c>
      <c r="Q749" s="1077">
        <v>3</v>
      </c>
      <c r="R749" s="1077">
        <v>27</v>
      </c>
      <c r="T749" s="1077">
        <v>18</v>
      </c>
      <c r="U749" s="1077">
        <v>6</v>
      </c>
      <c r="V749" s="1077" t="s">
        <v>648</v>
      </c>
      <c r="W749" s="1077">
        <v>120</v>
      </c>
      <c r="X749" s="1077">
        <v>80</v>
      </c>
      <c r="Y749" s="1077">
        <v>2</v>
      </c>
      <c r="Z749" s="1077">
        <v>6</v>
      </c>
      <c r="AA749" s="1077" t="s">
        <v>3840</v>
      </c>
      <c r="AH749" s="1077" t="s">
        <v>482</v>
      </c>
      <c r="AI749" s="1077">
        <v>92.01</v>
      </c>
      <c r="AJ749" s="1077">
        <v>-0.91</v>
      </c>
      <c r="AK749" s="1077">
        <v>3.27</v>
      </c>
      <c r="AM749" s="1078" t="s">
        <v>10537</v>
      </c>
      <c r="AN749" s="1078" t="s">
        <v>10538</v>
      </c>
      <c r="AO749" s="1078">
        <f t="shared" si="94"/>
        <v>600</v>
      </c>
      <c r="AP749" s="1078">
        <f t="shared" si="95"/>
        <v>1.75</v>
      </c>
      <c r="AQ749" s="1078" t="str">
        <f t="shared" si="96"/>
        <v>1-5-1S83°</v>
      </c>
      <c r="AR749" s="1078" t="str">
        <f t="shared" si="97"/>
        <v>31</v>
      </c>
      <c r="AS749" s="1078" t="str">
        <f t="shared" si="98"/>
        <v>205/205/OFF</v>
      </c>
      <c r="AT749" s="1078" t="str">
        <f t="shared" si="99"/>
        <v>1-5-1S83°</v>
      </c>
      <c r="AV749" s="1078" t="str">
        <f t="shared" si="92"/>
        <v>112.11.29</v>
      </c>
      <c r="AW749" s="1344">
        <f t="shared" si="93"/>
        <v>45259</v>
      </c>
    </row>
    <row r="750" spans="1:49">
      <c r="A750" s="1077" t="s">
        <v>3841</v>
      </c>
      <c r="B750" s="1077" t="s">
        <v>453</v>
      </c>
      <c r="C750" s="1077">
        <v>650</v>
      </c>
      <c r="D750" s="1077">
        <v>1.72</v>
      </c>
      <c r="E750" s="1077" t="s">
        <v>15089</v>
      </c>
      <c r="F750" s="1077" t="s">
        <v>1773</v>
      </c>
      <c r="G750" s="1077" t="s">
        <v>1835</v>
      </c>
      <c r="H750" s="1077" t="s">
        <v>1029</v>
      </c>
      <c r="I750" s="1077" t="s">
        <v>126</v>
      </c>
      <c r="J750" s="1077">
        <v>0.3</v>
      </c>
      <c r="K750" s="1077" t="s">
        <v>3758</v>
      </c>
      <c r="L750" s="1077" t="s">
        <v>1776</v>
      </c>
      <c r="M750" s="1077">
        <v>74.599999999999994</v>
      </c>
      <c r="N750" s="1077" t="s">
        <v>945</v>
      </c>
      <c r="O750" s="1077">
        <v>1.865</v>
      </c>
      <c r="P750" s="1077">
        <v>1.492</v>
      </c>
      <c r="Q750" s="1077">
        <v>4</v>
      </c>
      <c r="R750" s="1077">
        <v>20.3</v>
      </c>
      <c r="T750" s="1077">
        <v>21.1</v>
      </c>
      <c r="U750" s="1077">
        <v>3.9</v>
      </c>
      <c r="V750" s="1077" t="s">
        <v>648</v>
      </c>
      <c r="W750" s="1077">
        <v>30</v>
      </c>
      <c r="X750" s="1077">
        <v>10</v>
      </c>
      <c r="Y750" s="1077">
        <v>1.8</v>
      </c>
      <c r="Z750" s="1077">
        <v>4.5</v>
      </c>
      <c r="AA750" s="1077" t="s">
        <v>3840</v>
      </c>
      <c r="AH750" s="1077" t="s">
        <v>875</v>
      </c>
      <c r="AI750" s="1077">
        <v>92.89</v>
      </c>
      <c r="AJ750" s="1077">
        <v>-0.36</v>
      </c>
      <c r="AK750" s="1077">
        <v>0.74</v>
      </c>
      <c r="AM750" s="1078" t="s">
        <v>10539</v>
      </c>
      <c r="AN750" s="1078" t="s">
        <v>10540</v>
      </c>
      <c r="AO750" s="1078">
        <f t="shared" si="94"/>
        <v>650</v>
      </c>
      <c r="AP750" s="1078">
        <f t="shared" si="95"/>
        <v>1.72</v>
      </c>
      <c r="AQ750" s="1078" t="str">
        <f t="shared" si="96"/>
        <v>1-4-1S83°</v>
      </c>
      <c r="AR750" s="1078" t="str">
        <f t="shared" si="97"/>
        <v>30.2</v>
      </c>
      <c r="AS750" s="1078" t="str">
        <f t="shared" si="98"/>
        <v>250/250/OFF</v>
      </c>
      <c r="AT750" s="1078" t="str">
        <f t="shared" si="99"/>
        <v>1-4-1S83°</v>
      </c>
      <c r="AV750" s="1078" t="str">
        <f t="shared" si="92"/>
        <v>112.11.29</v>
      </c>
      <c r="AW750" s="1344">
        <f t="shared" si="93"/>
        <v>45259</v>
      </c>
    </row>
    <row r="751" spans="1:49">
      <c r="A751" s="1077" t="s">
        <v>3842</v>
      </c>
      <c r="B751" s="1077" t="s">
        <v>1783</v>
      </c>
      <c r="C751" s="1077">
        <v>500</v>
      </c>
      <c r="D751" s="1077">
        <v>1.68</v>
      </c>
      <c r="E751" s="1077" t="s">
        <v>15089</v>
      </c>
      <c r="F751" s="1077" t="s">
        <v>2001</v>
      </c>
      <c r="G751" s="1077" t="s">
        <v>3843</v>
      </c>
      <c r="H751" s="1077" t="s">
        <v>1290</v>
      </c>
      <c r="I751" s="1077" t="s">
        <v>126</v>
      </c>
      <c r="J751" s="1077">
        <v>0.3</v>
      </c>
      <c r="K751" s="1077" t="s">
        <v>3844</v>
      </c>
      <c r="L751" s="1077" t="s">
        <v>3731</v>
      </c>
      <c r="M751" s="1077">
        <v>75</v>
      </c>
      <c r="N751" s="1077" t="s">
        <v>945</v>
      </c>
      <c r="O751" s="1077">
        <v>1.875</v>
      </c>
      <c r="P751" s="1077">
        <v>1.5</v>
      </c>
      <c r="Q751" s="1077">
        <v>4</v>
      </c>
      <c r="R751" s="1077">
        <v>21</v>
      </c>
      <c r="T751" s="1077">
        <v>13</v>
      </c>
      <c r="U751" s="1077">
        <v>4</v>
      </c>
      <c r="V751" s="1077" t="s">
        <v>648</v>
      </c>
      <c r="W751" s="1077">
        <v>30</v>
      </c>
      <c r="X751" s="1077">
        <v>10</v>
      </c>
      <c r="Y751" s="1077">
        <v>2.5</v>
      </c>
      <c r="Z751" s="1077">
        <v>2</v>
      </c>
      <c r="AA751" s="1077" t="s">
        <v>3845</v>
      </c>
      <c r="AH751" s="1077" t="s">
        <v>1143</v>
      </c>
      <c r="AI751" s="1077">
        <v>94.16</v>
      </c>
      <c r="AJ751" s="1077">
        <v>-7.0000000000000007E-2</v>
      </c>
      <c r="AK751" s="1077">
        <v>1.74</v>
      </c>
      <c r="AM751" s="1078" t="s">
        <v>10541</v>
      </c>
      <c r="AN751" s="1078" t="s">
        <v>10542</v>
      </c>
      <c r="AO751" s="1078">
        <f t="shared" si="94"/>
        <v>500</v>
      </c>
      <c r="AP751" s="1078">
        <f t="shared" si="95"/>
        <v>1.68</v>
      </c>
      <c r="AQ751" s="1078" t="str">
        <f t="shared" si="96"/>
        <v>1-4-1S83°</v>
      </c>
      <c r="AR751" s="1078" t="str">
        <f t="shared" si="97"/>
        <v>29.9</v>
      </c>
      <c r="AS751" s="1078" t="str">
        <f t="shared" si="98"/>
        <v>220/220/OFF</v>
      </c>
      <c r="AT751" s="1078" t="str">
        <f t="shared" si="99"/>
        <v>1-4-1S83°</v>
      </c>
      <c r="AV751" s="1078" t="str">
        <f t="shared" si="92"/>
        <v>112.12.1</v>
      </c>
      <c r="AW751" s="1344">
        <f t="shared" si="93"/>
        <v>45261</v>
      </c>
    </row>
    <row r="752" spans="1:49">
      <c r="A752" s="1077" t="s">
        <v>3846</v>
      </c>
      <c r="B752" s="1077" t="s">
        <v>1823</v>
      </c>
      <c r="C752" s="1077">
        <v>500</v>
      </c>
      <c r="D752" s="1077">
        <v>1.77</v>
      </c>
      <c r="E752" s="1077" t="s">
        <v>15095</v>
      </c>
      <c r="F752" s="1077" t="s">
        <v>984</v>
      </c>
      <c r="G752" s="1077" t="s">
        <v>1016</v>
      </c>
      <c r="H752" s="1077" t="s">
        <v>1226</v>
      </c>
      <c r="I752" s="1077" t="s">
        <v>126</v>
      </c>
      <c r="J752" s="1077">
        <v>0.8</v>
      </c>
      <c r="K752" s="1077" t="s">
        <v>3847</v>
      </c>
      <c r="L752" s="1077" t="s">
        <v>1825</v>
      </c>
      <c r="M752" s="1077">
        <v>73.8</v>
      </c>
      <c r="N752" s="1077" t="s">
        <v>945</v>
      </c>
      <c r="O752" s="1077">
        <v>1.845</v>
      </c>
      <c r="P752" s="1077">
        <v>1.476</v>
      </c>
      <c r="Q752" s="1077">
        <v>3.5</v>
      </c>
      <c r="R752" s="1077">
        <v>18.5</v>
      </c>
      <c r="T752" s="1077">
        <v>21</v>
      </c>
      <c r="U752" s="1077">
        <v>3.8</v>
      </c>
      <c r="V752" s="1077" t="s">
        <v>648</v>
      </c>
      <c r="W752" s="1077">
        <v>110</v>
      </c>
      <c r="X752" s="1077">
        <v>85</v>
      </c>
      <c r="Y752" s="1077">
        <v>1.9</v>
      </c>
      <c r="Z752" s="1077">
        <v>4</v>
      </c>
      <c r="AA752" s="1077" t="s">
        <v>3845</v>
      </c>
      <c r="AH752" s="1077" t="s">
        <v>1178</v>
      </c>
      <c r="AI752" s="1077">
        <v>84.93</v>
      </c>
      <c r="AJ752" s="1077">
        <v>0.76</v>
      </c>
      <c r="AK752" s="1077">
        <v>8.16</v>
      </c>
      <c r="AM752" s="1078" t="s">
        <v>10543</v>
      </c>
      <c r="AN752" s="1078" t="s">
        <v>10544</v>
      </c>
      <c r="AO752" s="1078">
        <f t="shared" si="94"/>
        <v>500</v>
      </c>
      <c r="AP752" s="1078">
        <f t="shared" si="95"/>
        <v>1.77</v>
      </c>
      <c r="AQ752" s="1078" t="str">
        <f t="shared" si="96"/>
        <v>1-5-1S83°</v>
      </c>
      <c r="AR752" s="1078" t="str">
        <f t="shared" si="97"/>
        <v>30</v>
      </c>
      <c r="AS752" s="1078" t="str">
        <f t="shared" si="98"/>
        <v>230/230/OFF</v>
      </c>
      <c r="AT752" s="1078" t="str">
        <f t="shared" si="99"/>
        <v>1-5-1S83°</v>
      </c>
      <c r="AV752" s="1078" t="str">
        <f t="shared" si="92"/>
        <v>112.12.1</v>
      </c>
      <c r="AW752" s="1344">
        <f t="shared" si="93"/>
        <v>45261</v>
      </c>
    </row>
    <row r="753" spans="1:49">
      <c r="A753" s="1077" t="s">
        <v>3848</v>
      </c>
      <c r="B753" s="1077" t="s">
        <v>2013</v>
      </c>
      <c r="C753" s="1077">
        <v>600</v>
      </c>
      <c r="D753" s="1077">
        <v>1.75</v>
      </c>
      <c r="E753" s="1077" t="s">
        <v>15095</v>
      </c>
      <c r="F753" s="1077" t="s">
        <v>954</v>
      </c>
      <c r="G753" s="1077" t="s">
        <v>940</v>
      </c>
      <c r="H753" s="1077" t="s">
        <v>2295</v>
      </c>
      <c r="I753" s="1077" t="s">
        <v>126</v>
      </c>
      <c r="J753" s="1077">
        <v>1.6</v>
      </c>
      <c r="K753" s="1077" t="s">
        <v>3839</v>
      </c>
      <c r="L753" s="1077" t="s">
        <v>1964</v>
      </c>
      <c r="M753" s="1077">
        <v>75.400000000000006</v>
      </c>
      <c r="N753" s="1077" t="s">
        <v>945</v>
      </c>
      <c r="O753" s="1077">
        <v>1.8850000000000002</v>
      </c>
      <c r="P753" s="1077">
        <v>1.5080000000000002</v>
      </c>
      <c r="Q753" s="1077">
        <v>3</v>
      </c>
      <c r="R753" s="1077">
        <v>27</v>
      </c>
      <c r="T753" s="1077">
        <v>18</v>
      </c>
      <c r="U753" s="1077">
        <v>6</v>
      </c>
      <c r="V753" s="1077" t="s">
        <v>648</v>
      </c>
      <c r="W753" s="1077">
        <v>120</v>
      </c>
      <c r="X753" s="1077">
        <v>80</v>
      </c>
      <c r="Y753" s="1077">
        <v>2</v>
      </c>
      <c r="Z753" s="1077">
        <v>6</v>
      </c>
      <c r="AA753" s="1077" t="s">
        <v>3849</v>
      </c>
      <c r="AH753" s="1077" t="s">
        <v>877</v>
      </c>
      <c r="AI753" s="1077">
        <v>92.25</v>
      </c>
      <c r="AJ753" s="1077">
        <v>-1.2</v>
      </c>
      <c r="AK753" s="1077">
        <v>3.42</v>
      </c>
      <c r="AM753" s="1078" t="s">
        <v>10545</v>
      </c>
      <c r="AN753" s="1078" t="s">
        <v>10546</v>
      </c>
      <c r="AO753" s="1078">
        <f t="shared" si="94"/>
        <v>600</v>
      </c>
      <c r="AP753" s="1078">
        <f t="shared" si="95"/>
        <v>1.75</v>
      </c>
      <c r="AQ753" s="1078" t="str">
        <f t="shared" si="96"/>
        <v>1-5-1S83°</v>
      </c>
      <c r="AR753" s="1078" t="str">
        <f t="shared" si="97"/>
        <v>31</v>
      </c>
      <c r="AS753" s="1078" t="str">
        <f t="shared" si="98"/>
        <v>205/205/OFF</v>
      </c>
      <c r="AT753" s="1078" t="str">
        <f t="shared" si="99"/>
        <v>1-5-1S83°</v>
      </c>
      <c r="AV753" s="1078" t="str">
        <f t="shared" si="92"/>
        <v>112.12.5</v>
      </c>
      <c r="AW753" s="1344">
        <f t="shared" si="93"/>
        <v>45265</v>
      </c>
    </row>
    <row r="754" spans="1:49">
      <c r="A754" s="1077" t="s">
        <v>3850</v>
      </c>
      <c r="B754" s="1077" t="s">
        <v>752</v>
      </c>
      <c r="C754" s="1077">
        <v>500</v>
      </c>
      <c r="D754" s="1077">
        <v>1.7050000000000001</v>
      </c>
      <c r="E754" s="1077" t="s">
        <v>15090</v>
      </c>
      <c r="F754" s="1077" t="s">
        <v>648</v>
      </c>
      <c r="G754" s="1077" t="s">
        <v>1001</v>
      </c>
      <c r="H754" s="1077" t="s">
        <v>3125</v>
      </c>
      <c r="I754" s="1077" t="s">
        <v>126</v>
      </c>
      <c r="J754" s="1077">
        <v>0.7</v>
      </c>
      <c r="K754" s="1077" t="s">
        <v>3851</v>
      </c>
      <c r="L754" s="1077" t="s">
        <v>1933</v>
      </c>
      <c r="M754" s="1077">
        <v>74.5</v>
      </c>
      <c r="N754" s="1077" t="s">
        <v>945</v>
      </c>
      <c r="O754" s="1077">
        <v>1.8625</v>
      </c>
      <c r="P754" s="1077">
        <v>1.49</v>
      </c>
      <c r="Q754" s="1077">
        <v>4</v>
      </c>
      <c r="R754" s="1077">
        <v>22.3</v>
      </c>
      <c r="T754" s="1077">
        <v>22</v>
      </c>
      <c r="U754" s="1077">
        <v>3.3</v>
      </c>
      <c r="V754" s="1077" t="s">
        <v>648</v>
      </c>
      <c r="W754" s="1077">
        <v>110</v>
      </c>
      <c r="X754" s="1077">
        <v>85</v>
      </c>
      <c r="Y754" s="1077">
        <v>2</v>
      </c>
      <c r="Z754" s="1077">
        <v>4.5</v>
      </c>
      <c r="AA754" s="1077" t="s">
        <v>3852</v>
      </c>
      <c r="AH754" s="1077" t="s">
        <v>868</v>
      </c>
      <c r="AI754" s="1077">
        <v>94.39</v>
      </c>
      <c r="AJ754" s="1077">
        <v>-0.57999999999999996</v>
      </c>
      <c r="AK754" s="1077">
        <v>2.0099999999999998</v>
      </c>
      <c r="AM754" s="1078" t="s">
        <v>10547</v>
      </c>
      <c r="AN754" s="1078" t="s">
        <v>10548</v>
      </c>
      <c r="AO754" s="1078">
        <f t="shared" si="94"/>
        <v>500</v>
      </c>
      <c r="AP754" s="1078">
        <f t="shared" si="95"/>
        <v>1.7050000000000001</v>
      </c>
      <c r="AQ754" s="1078" t="str">
        <f t="shared" si="96"/>
        <v>1-5-1S85°</v>
      </c>
      <c r="AR754" s="1078" t="str">
        <f t="shared" si="97"/>
        <v>NA</v>
      </c>
      <c r="AS754" s="1078" t="str">
        <f t="shared" si="98"/>
        <v>169/OFF</v>
      </c>
      <c r="AT754" s="1078" t="str">
        <f t="shared" si="99"/>
        <v>1-5-1S85°</v>
      </c>
      <c r="AV754" s="1078" t="str">
        <f t="shared" si="92"/>
        <v>112.12.8</v>
      </c>
      <c r="AW754" s="1344">
        <f t="shared" si="93"/>
        <v>45268</v>
      </c>
    </row>
    <row r="755" spans="1:49">
      <c r="A755" s="1077" t="s">
        <v>3853</v>
      </c>
      <c r="B755" s="1077" t="s">
        <v>424</v>
      </c>
      <c r="C755" s="1077">
        <v>700</v>
      </c>
      <c r="D755" s="1077">
        <v>1.7749999999999999</v>
      </c>
      <c r="E755" s="1077" t="s">
        <v>15091</v>
      </c>
      <c r="F755" s="1077" t="s">
        <v>1469</v>
      </c>
      <c r="G755" s="1077" t="s">
        <v>1767</v>
      </c>
      <c r="H755" s="1077" t="s">
        <v>3854</v>
      </c>
      <c r="I755" s="1077" t="s">
        <v>1167</v>
      </c>
      <c r="J755" s="1077">
        <v>0.6</v>
      </c>
      <c r="K755" s="1077" t="s">
        <v>3752</v>
      </c>
      <c r="L755" s="1077" t="s">
        <v>1968</v>
      </c>
      <c r="M755" s="1077">
        <v>74.5</v>
      </c>
      <c r="N755" s="1077" t="s">
        <v>945</v>
      </c>
      <c r="O755" s="1077">
        <v>1.8625</v>
      </c>
      <c r="P755" s="1077">
        <v>1.49</v>
      </c>
      <c r="Q755" s="1077">
        <v>4</v>
      </c>
      <c r="R755" s="1077">
        <v>22</v>
      </c>
      <c r="T755" s="1077">
        <v>19.5</v>
      </c>
      <c r="U755" s="1077">
        <v>2.2999999999999998</v>
      </c>
      <c r="V755" s="1077" t="s">
        <v>648</v>
      </c>
      <c r="W755" s="1077">
        <v>40</v>
      </c>
      <c r="X755" s="1077">
        <v>10</v>
      </c>
      <c r="Y755" s="1077">
        <v>1.2</v>
      </c>
      <c r="Z755" s="1077">
        <v>4</v>
      </c>
      <c r="AA755" s="1077" t="s">
        <v>3855</v>
      </c>
      <c r="AH755" s="1077" t="s">
        <v>887</v>
      </c>
      <c r="AI755" s="1077">
        <v>90.89</v>
      </c>
      <c r="AJ755" s="1077">
        <v>-0.1</v>
      </c>
      <c r="AK755" s="1077">
        <v>0.85</v>
      </c>
      <c r="AM755" s="1078" t="s">
        <v>10549</v>
      </c>
      <c r="AN755" s="1078" t="s">
        <v>10550</v>
      </c>
      <c r="AO755" s="1078">
        <f t="shared" si="94"/>
        <v>700</v>
      </c>
      <c r="AP755" s="1078">
        <f t="shared" si="95"/>
        <v>1.7749999999999999</v>
      </c>
      <c r="AQ755" s="1078" t="str">
        <f t="shared" si="96"/>
        <v>2-5-1S83°</v>
      </c>
      <c r="AR755" s="1078" t="str">
        <f t="shared" si="97"/>
        <v>30.5</v>
      </c>
      <c r="AS755" s="1078" t="str">
        <f t="shared" si="98"/>
        <v>177/160</v>
      </c>
      <c r="AT755" s="1078" t="str">
        <f t="shared" si="99"/>
        <v>2-5-1S83°</v>
      </c>
      <c r="AV755" s="1078" t="str">
        <f t="shared" si="92"/>
        <v>112.12.12</v>
      </c>
      <c r="AW755" s="1344">
        <f t="shared" si="93"/>
        <v>45272</v>
      </c>
    </row>
    <row r="756" spans="1:49">
      <c r="A756" s="1077" t="s">
        <v>3856</v>
      </c>
      <c r="B756" s="1077" t="s">
        <v>472</v>
      </c>
      <c r="C756" s="1077">
        <v>600</v>
      </c>
      <c r="D756" s="1077">
        <v>1.7</v>
      </c>
      <c r="E756" s="1077" t="s">
        <v>15089</v>
      </c>
      <c r="F756" s="1077" t="s">
        <v>984</v>
      </c>
      <c r="G756" s="1077" t="s">
        <v>1767</v>
      </c>
      <c r="H756" s="1077" t="s">
        <v>1226</v>
      </c>
      <c r="I756" s="1077" t="s">
        <v>126</v>
      </c>
      <c r="J756" s="1077">
        <v>0.7</v>
      </c>
      <c r="K756" s="1077" t="s">
        <v>1810</v>
      </c>
      <c r="L756" s="1077" t="s">
        <v>1811</v>
      </c>
      <c r="M756" s="1077">
        <v>74.599999999999994</v>
      </c>
      <c r="N756" s="1077" t="s">
        <v>945</v>
      </c>
      <c r="O756" s="1077">
        <v>1.865</v>
      </c>
      <c r="P756" s="1077">
        <v>1.492</v>
      </c>
      <c r="Q756" s="1077">
        <v>3.5</v>
      </c>
      <c r="R756" s="1077">
        <v>27</v>
      </c>
      <c r="T756" s="1077">
        <v>12.5</v>
      </c>
      <c r="U756" s="1077">
        <v>5.0999999999999996</v>
      </c>
      <c r="V756" s="1077" t="s">
        <v>648</v>
      </c>
      <c r="W756" s="1077">
        <v>95</v>
      </c>
      <c r="X756" s="1077">
        <v>60</v>
      </c>
      <c r="Y756" s="1077">
        <v>1.8</v>
      </c>
      <c r="Z756" s="1077">
        <v>4.5</v>
      </c>
      <c r="AA756" s="1077" t="s">
        <v>3857</v>
      </c>
      <c r="AB756" s="1077" t="s">
        <v>3858</v>
      </c>
      <c r="AH756" s="1077" t="s">
        <v>884</v>
      </c>
      <c r="AI756" s="1077">
        <v>93.08</v>
      </c>
      <c r="AJ756" s="1077">
        <v>-0.96</v>
      </c>
      <c r="AK756" s="1077">
        <v>3.15</v>
      </c>
      <c r="AM756" s="1078" t="s">
        <v>10551</v>
      </c>
      <c r="AN756" s="1078" t="s">
        <v>10552</v>
      </c>
      <c r="AO756" s="1078">
        <f t="shared" si="94"/>
        <v>600</v>
      </c>
      <c r="AP756" s="1078">
        <f t="shared" si="95"/>
        <v>1.7</v>
      </c>
      <c r="AQ756" s="1078" t="str">
        <f t="shared" si="96"/>
        <v>1-4-1S83°</v>
      </c>
      <c r="AR756" s="1078" t="str">
        <f t="shared" si="97"/>
        <v>30</v>
      </c>
      <c r="AS756" s="1078" t="str">
        <f t="shared" si="98"/>
        <v>230/230/OFF</v>
      </c>
      <c r="AT756" s="1078" t="str">
        <f t="shared" si="99"/>
        <v>1-4-1S83°</v>
      </c>
      <c r="AV756" s="1078" t="str">
        <f t="shared" si="92"/>
        <v>112.12.14</v>
      </c>
      <c r="AW756" s="1344">
        <f t="shared" si="93"/>
        <v>45274</v>
      </c>
    </row>
    <row r="757" spans="1:49">
      <c r="A757" s="1077" t="s">
        <v>3859</v>
      </c>
      <c r="B757" s="1077" t="s">
        <v>752</v>
      </c>
      <c r="C757" s="1077">
        <v>500</v>
      </c>
      <c r="D757" s="1077">
        <v>1.7050000000000001</v>
      </c>
      <c r="E757" s="1077" t="s">
        <v>15090</v>
      </c>
      <c r="F757" s="1077" t="s">
        <v>648</v>
      </c>
      <c r="G757" s="1077" t="s">
        <v>1001</v>
      </c>
      <c r="H757" s="1077" t="s">
        <v>3125</v>
      </c>
      <c r="I757" s="1077" t="s">
        <v>126</v>
      </c>
      <c r="J757" s="1077">
        <v>0.7</v>
      </c>
      <c r="K757" s="1077" t="s">
        <v>3860</v>
      </c>
      <c r="L757" s="1077" t="s">
        <v>1933</v>
      </c>
      <c r="M757" s="1077">
        <v>74.5</v>
      </c>
      <c r="N757" s="1077" t="s">
        <v>945</v>
      </c>
      <c r="O757" s="1077">
        <v>1.8625</v>
      </c>
      <c r="P757" s="1077">
        <v>1.49</v>
      </c>
      <c r="Q757" s="1077">
        <v>4</v>
      </c>
      <c r="R757" s="1077">
        <v>22.3</v>
      </c>
      <c r="T757" s="1077">
        <v>22</v>
      </c>
      <c r="U757" s="1077">
        <v>3.3</v>
      </c>
      <c r="V757" s="1077" t="s">
        <v>648</v>
      </c>
      <c r="W757" s="1077">
        <v>110</v>
      </c>
      <c r="X757" s="1077">
        <v>85</v>
      </c>
      <c r="Y757" s="1077">
        <v>2</v>
      </c>
      <c r="Z757" s="1077">
        <v>4.5</v>
      </c>
      <c r="AA757" s="1077" t="s">
        <v>1741</v>
      </c>
      <c r="AH757" s="1077" t="s">
        <v>681</v>
      </c>
      <c r="AI757" s="1077">
        <v>94.73</v>
      </c>
      <c r="AJ757" s="1077">
        <v>-0.32</v>
      </c>
      <c r="AK757" s="1077">
        <v>1.99</v>
      </c>
      <c r="AM757" s="1078" t="s">
        <v>10553</v>
      </c>
      <c r="AN757" s="1078" t="s">
        <v>10554</v>
      </c>
      <c r="AO757" s="1078">
        <f t="shared" si="94"/>
        <v>500</v>
      </c>
      <c r="AP757" s="1078">
        <f t="shared" si="95"/>
        <v>1.7050000000000001</v>
      </c>
      <c r="AQ757" s="1078" t="str">
        <f t="shared" si="96"/>
        <v>1-5-1S85°</v>
      </c>
      <c r="AR757" s="1078" t="str">
        <f t="shared" si="97"/>
        <v>NA</v>
      </c>
      <c r="AS757" s="1078" t="str">
        <f t="shared" si="98"/>
        <v>169/OFF</v>
      </c>
      <c r="AT757" s="1078" t="str">
        <f t="shared" si="99"/>
        <v>1-5-1S85°</v>
      </c>
      <c r="AV757" s="1078" t="str">
        <f t="shared" si="92"/>
        <v>112.12.13</v>
      </c>
      <c r="AW757" s="1344">
        <f t="shared" si="93"/>
        <v>45273</v>
      </c>
    </row>
    <row r="758" spans="1:49">
      <c r="A758" s="1077" t="s">
        <v>3861</v>
      </c>
      <c r="B758" s="1077" t="s">
        <v>2102</v>
      </c>
      <c r="C758" s="1077">
        <v>650</v>
      </c>
      <c r="D758" s="1077">
        <v>1.7</v>
      </c>
      <c r="E758" s="1077" t="s">
        <v>15089</v>
      </c>
      <c r="F758" s="1077" t="s">
        <v>1773</v>
      </c>
      <c r="G758" s="1077" t="s">
        <v>1767</v>
      </c>
      <c r="H758" s="1077" t="s">
        <v>955</v>
      </c>
      <c r="I758" s="1077" t="s">
        <v>126</v>
      </c>
      <c r="J758" s="1077">
        <v>0.9</v>
      </c>
      <c r="K758" s="1077" t="s">
        <v>3862</v>
      </c>
      <c r="L758" s="1077" t="s">
        <v>1821</v>
      </c>
      <c r="M758" s="1077">
        <v>74.8</v>
      </c>
      <c r="N758" s="1077" t="s">
        <v>945</v>
      </c>
      <c r="O758" s="1077">
        <v>1.87</v>
      </c>
      <c r="P758" s="1077">
        <v>1.496</v>
      </c>
      <c r="Q758" s="1077">
        <v>4</v>
      </c>
      <c r="R758" s="1077">
        <v>22</v>
      </c>
      <c r="T758" s="1077">
        <v>18.600000000000001</v>
      </c>
      <c r="U758" s="1077">
        <v>3.5</v>
      </c>
      <c r="V758" s="1077" t="s">
        <v>648</v>
      </c>
      <c r="W758" s="1077">
        <v>105</v>
      </c>
      <c r="X758" s="1077">
        <v>80</v>
      </c>
      <c r="Y758" s="1077">
        <v>2</v>
      </c>
      <c r="Z758" s="1077">
        <v>4.5</v>
      </c>
      <c r="AA758" s="1077" t="s">
        <v>3863</v>
      </c>
      <c r="AH758" s="1077" t="s">
        <v>758</v>
      </c>
      <c r="AI758" s="1077">
        <v>93.46</v>
      </c>
      <c r="AJ758" s="1077">
        <v>-0.98</v>
      </c>
      <c r="AK758" s="1077">
        <v>0.93</v>
      </c>
      <c r="AM758" s="1078" t="s">
        <v>10555</v>
      </c>
      <c r="AN758" s="1078" t="s">
        <v>10556</v>
      </c>
      <c r="AO758" s="1078">
        <f t="shared" si="94"/>
        <v>650</v>
      </c>
      <c r="AP758" s="1078">
        <f t="shared" si="95"/>
        <v>1.7</v>
      </c>
      <c r="AQ758" s="1078" t="str">
        <f t="shared" si="96"/>
        <v>1-4-1S83°</v>
      </c>
      <c r="AR758" s="1078" t="str">
        <f t="shared" si="97"/>
        <v>30.2</v>
      </c>
      <c r="AS758" s="1078" t="str">
        <f t="shared" si="98"/>
        <v>260/260/OFF</v>
      </c>
      <c r="AT758" s="1078" t="str">
        <f t="shared" si="99"/>
        <v>1-4-1S83°</v>
      </c>
      <c r="AV758" s="1078" t="str">
        <f t="shared" si="92"/>
        <v>112.12.20</v>
      </c>
      <c r="AW758" s="1344">
        <f t="shared" si="93"/>
        <v>45280</v>
      </c>
    </row>
    <row r="759" spans="1:49">
      <c r="A759" s="1077" t="s">
        <v>3864</v>
      </c>
      <c r="B759" s="1077" t="s">
        <v>424</v>
      </c>
      <c r="C759" s="1077">
        <v>700</v>
      </c>
      <c r="D759" s="1077">
        <v>1.7649999999999999</v>
      </c>
      <c r="E759" s="1077" t="s">
        <v>15089</v>
      </c>
      <c r="F759" s="1077" t="s">
        <v>954</v>
      </c>
      <c r="G759" s="1077" t="s">
        <v>1767</v>
      </c>
      <c r="H759" s="1077" t="s">
        <v>1806</v>
      </c>
      <c r="I759" s="1077" t="s">
        <v>126</v>
      </c>
      <c r="J759" s="1077">
        <v>1.9</v>
      </c>
      <c r="K759" s="1077" t="s">
        <v>1864</v>
      </c>
      <c r="L759" s="1077" t="s">
        <v>1795</v>
      </c>
      <c r="M759" s="1077">
        <v>75</v>
      </c>
      <c r="N759" s="1077" t="s">
        <v>945</v>
      </c>
      <c r="O759" s="1077">
        <v>1.875</v>
      </c>
      <c r="P759" s="1077">
        <v>1.5</v>
      </c>
      <c r="Q759" s="1077">
        <v>4</v>
      </c>
      <c r="R759" s="1077">
        <v>21.6</v>
      </c>
      <c r="T759" s="1077">
        <v>32</v>
      </c>
      <c r="U759" s="1077">
        <v>3.5</v>
      </c>
      <c r="V759" s="1077" t="s">
        <v>648</v>
      </c>
      <c r="W759" s="1077">
        <v>110</v>
      </c>
      <c r="X759" s="1077">
        <v>60</v>
      </c>
      <c r="Y759" s="1077">
        <v>1.5</v>
      </c>
      <c r="Z759" s="1077">
        <v>5.5</v>
      </c>
      <c r="AA759" s="1077" t="s">
        <v>3863</v>
      </c>
      <c r="AB759" s="1077" t="s">
        <v>981</v>
      </c>
      <c r="AH759" s="1077" t="s">
        <v>994</v>
      </c>
      <c r="AI759" s="1077">
        <v>92.33</v>
      </c>
      <c r="AJ759" s="1077">
        <v>-0.72</v>
      </c>
      <c r="AK759" s="1077">
        <v>4.16</v>
      </c>
      <c r="AM759" s="1078" t="s">
        <v>10557</v>
      </c>
      <c r="AN759" s="1078" t="s">
        <v>10558</v>
      </c>
      <c r="AO759" s="1078">
        <f t="shared" si="94"/>
        <v>700</v>
      </c>
      <c r="AP759" s="1078">
        <f t="shared" si="95"/>
        <v>1.7649999999999999</v>
      </c>
      <c r="AQ759" s="1078" t="str">
        <f t="shared" si="96"/>
        <v>1-4-1S83°</v>
      </c>
      <c r="AR759" s="1078" t="str">
        <f t="shared" si="97"/>
        <v>31</v>
      </c>
      <c r="AS759" s="1078" t="str">
        <f t="shared" si="98"/>
        <v>280/280/OFF</v>
      </c>
      <c r="AT759" s="1078" t="str">
        <f t="shared" si="99"/>
        <v>1-4-1S83°</v>
      </c>
      <c r="AV759" s="1078" t="str">
        <f t="shared" si="92"/>
        <v>112.12.20</v>
      </c>
      <c r="AW759" s="1344">
        <f t="shared" si="93"/>
        <v>45280</v>
      </c>
    </row>
    <row r="760" spans="1:49">
      <c r="A760" s="1077" t="s">
        <v>3865</v>
      </c>
      <c r="B760" s="1077" t="s">
        <v>424</v>
      </c>
      <c r="C760" s="1077">
        <v>700</v>
      </c>
      <c r="D760" s="1077">
        <v>1.7649999999999999</v>
      </c>
      <c r="E760" s="1077" t="s">
        <v>15089</v>
      </c>
      <c r="F760" s="1077" t="s">
        <v>954</v>
      </c>
      <c r="G760" s="1077" t="s">
        <v>1767</v>
      </c>
      <c r="H760" s="1077" t="s">
        <v>1806</v>
      </c>
      <c r="I760" s="1077" t="s">
        <v>126</v>
      </c>
      <c r="J760" s="1077">
        <v>1.9</v>
      </c>
      <c r="K760" s="1077" t="s">
        <v>1864</v>
      </c>
      <c r="L760" s="1077" t="s">
        <v>1795</v>
      </c>
      <c r="M760" s="1077">
        <v>73</v>
      </c>
      <c r="N760" s="1077" t="s">
        <v>945</v>
      </c>
      <c r="O760" s="1077">
        <v>1.8250000000000002</v>
      </c>
      <c r="P760" s="1077">
        <v>1.46</v>
      </c>
      <c r="Q760" s="1077">
        <v>4</v>
      </c>
      <c r="R760" s="1077">
        <v>21.6</v>
      </c>
      <c r="T760" s="1077">
        <v>32</v>
      </c>
      <c r="U760" s="1077">
        <v>3.5</v>
      </c>
      <c r="V760" s="1077" t="s">
        <v>648</v>
      </c>
      <c r="W760" s="1077">
        <v>110</v>
      </c>
      <c r="X760" s="1077">
        <v>60</v>
      </c>
      <c r="Y760" s="1077">
        <v>1.5</v>
      </c>
      <c r="Z760" s="1077">
        <v>5.5</v>
      </c>
      <c r="AA760" s="1077" t="s">
        <v>3863</v>
      </c>
      <c r="AB760" s="1077" t="s">
        <v>981</v>
      </c>
      <c r="AH760" s="1077" t="s">
        <v>994</v>
      </c>
      <c r="AI760" s="1077">
        <v>92.33</v>
      </c>
      <c r="AJ760" s="1077">
        <v>-0.72</v>
      </c>
      <c r="AK760" s="1077">
        <v>4.16</v>
      </c>
      <c r="AM760" s="1078" t="s">
        <v>10557</v>
      </c>
      <c r="AN760" s="1078" t="s">
        <v>10559</v>
      </c>
      <c r="AO760" s="1078">
        <f t="shared" si="94"/>
        <v>700</v>
      </c>
      <c r="AP760" s="1078">
        <f t="shared" si="95"/>
        <v>1.7649999999999999</v>
      </c>
      <c r="AQ760" s="1078" t="str">
        <f t="shared" si="96"/>
        <v>1-4-1S83°</v>
      </c>
      <c r="AR760" s="1078" t="str">
        <f t="shared" si="97"/>
        <v>31</v>
      </c>
      <c r="AS760" s="1078" t="str">
        <f t="shared" si="98"/>
        <v>280/280/OFF</v>
      </c>
      <c r="AT760" s="1078" t="str">
        <f t="shared" si="99"/>
        <v>1-4-1S83°</v>
      </c>
      <c r="AV760" s="1078" t="str">
        <f t="shared" si="92"/>
        <v>112.12.20</v>
      </c>
      <c r="AW760" s="1344">
        <f t="shared" si="93"/>
        <v>45280</v>
      </c>
    </row>
    <row r="761" spans="1:49">
      <c r="A761" s="1077" t="s">
        <v>3866</v>
      </c>
      <c r="B761" s="1077" t="s">
        <v>2207</v>
      </c>
      <c r="C761" s="1077">
        <v>650</v>
      </c>
      <c r="D761" s="1077">
        <v>1.7350000000000001</v>
      </c>
      <c r="E761" s="1077" t="s">
        <v>15098</v>
      </c>
      <c r="F761" s="1077" t="s">
        <v>954</v>
      </c>
      <c r="G761" s="1077" t="s">
        <v>1767</v>
      </c>
      <c r="H761" s="1077" t="s">
        <v>1793</v>
      </c>
      <c r="I761" s="1077" t="s">
        <v>126</v>
      </c>
      <c r="J761" s="1077">
        <v>0.9</v>
      </c>
      <c r="K761" s="1077" t="s">
        <v>1839</v>
      </c>
      <c r="L761" s="1077" t="s">
        <v>1817</v>
      </c>
      <c r="M761" s="1077">
        <v>75.099999999999994</v>
      </c>
      <c r="N761" s="1077" t="s">
        <v>945</v>
      </c>
      <c r="O761" s="1077">
        <v>1.8774999999999999</v>
      </c>
      <c r="P761" s="1077">
        <v>1.502</v>
      </c>
      <c r="Q761" s="1077">
        <v>4</v>
      </c>
      <c r="R761" s="1077">
        <v>19</v>
      </c>
      <c r="T761" s="1077">
        <v>21</v>
      </c>
      <c r="U761" s="1077">
        <v>3.5</v>
      </c>
      <c r="V761" s="1077" t="s">
        <v>648</v>
      </c>
      <c r="W761" s="1077">
        <v>110</v>
      </c>
      <c r="X761" s="1077">
        <v>65</v>
      </c>
      <c r="Y761" s="1077">
        <v>1.6</v>
      </c>
      <c r="Z761" s="1077">
        <v>4</v>
      </c>
      <c r="AA761" s="1077" t="s">
        <v>3863</v>
      </c>
      <c r="AH761" s="1077" t="s">
        <v>482</v>
      </c>
      <c r="AI761" s="1077">
        <v>95.18</v>
      </c>
      <c r="AJ761" s="1077">
        <v>-1.27</v>
      </c>
      <c r="AK761" s="1077">
        <v>1.64</v>
      </c>
      <c r="AM761" s="1078" t="s">
        <v>10560</v>
      </c>
      <c r="AN761" s="1078" t="s">
        <v>10561</v>
      </c>
      <c r="AO761" s="1078">
        <f t="shared" si="94"/>
        <v>650</v>
      </c>
      <c r="AP761" s="1078">
        <f t="shared" si="95"/>
        <v>1.7350000000000001</v>
      </c>
      <c r="AQ761" s="1078" t="str">
        <f t="shared" si="96"/>
        <v>1-4-1S91°</v>
      </c>
      <c r="AR761" s="1078" t="str">
        <f t="shared" si="97"/>
        <v>31</v>
      </c>
      <c r="AS761" s="1078" t="str">
        <f t="shared" si="98"/>
        <v>270/270/OFF</v>
      </c>
      <c r="AT761" s="1078" t="str">
        <f t="shared" si="99"/>
        <v>1-4-1S91°</v>
      </c>
      <c r="AV761" s="1078" t="str">
        <f t="shared" si="92"/>
        <v>112.12.20</v>
      </c>
      <c r="AW761" s="1344">
        <f t="shared" si="93"/>
        <v>45280</v>
      </c>
    </row>
    <row r="762" spans="1:49">
      <c r="A762" s="1077" t="s">
        <v>3867</v>
      </c>
      <c r="B762" s="1077" t="s">
        <v>1842</v>
      </c>
      <c r="C762" s="1077" t="s">
        <v>3868</v>
      </c>
      <c r="D762" s="1077">
        <v>1.7</v>
      </c>
      <c r="E762" s="1077" t="s">
        <v>15095</v>
      </c>
      <c r="F762" s="1077" t="s">
        <v>984</v>
      </c>
      <c r="G762" s="1077" t="s">
        <v>1016</v>
      </c>
      <c r="H762" s="1077" t="s">
        <v>1649</v>
      </c>
      <c r="I762" s="1077" t="s">
        <v>126</v>
      </c>
      <c r="J762" s="1077">
        <v>0.8</v>
      </c>
      <c r="K762" s="1077" t="s">
        <v>1843</v>
      </c>
      <c r="L762" s="1077" t="s">
        <v>1844</v>
      </c>
      <c r="M762" s="1077">
        <v>77.099999999999994</v>
      </c>
      <c r="N762" s="1077" t="s">
        <v>945</v>
      </c>
      <c r="O762" s="1077">
        <v>1.9275</v>
      </c>
      <c r="P762" s="1077">
        <v>1.5419999999999998</v>
      </c>
      <c r="Q762" s="1077">
        <v>3.5</v>
      </c>
      <c r="R762" s="1077">
        <v>25</v>
      </c>
      <c r="T762" s="1077">
        <v>18</v>
      </c>
      <c r="U762" s="1077">
        <v>4</v>
      </c>
      <c r="V762" s="1077" t="s">
        <v>648</v>
      </c>
      <c r="W762" s="1077">
        <v>110</v>
      </c>
      <c r="X762" s="1077">
        <v>70</v>
      </c>
      <c r="Y762" s="1077">
        <v>1.8</v>
      </c>
      <c r="Z762" s="1077">
        <v>4.5</v>
      </c>
      <c r="AA762" s="1077" t="s">
        <v>3869</v>
      </c>
      <c r="AH762" s="1077" t="s">
        <v>646</v>
      </c>
      <c r="AI762" s="1077">
        <v>94.3</v>
      </c>
      <c r="AJ762" s="1077">
        <v>-0.7</v>
      </c>
      <c r="AK762" s="1077">
        <v>1.19</v>
      </c>
      <c r="AM762" s="1078" t="s">
        <v>10562</v>
      </c>
      <c r="AN762" s="1078" t="s">
        <v>10563</v>
      </c>
      <c r="AO762" s="1078" t="str">
        <f t="shared" si="94"/>
        <v>550↓500-1/4</v>
      </c>
      <c r="AP762" s="1078">
        <f t="shared" si="95"/>
        <v>1.7</v>
      </c>
      <c r="AQ762" s="1078" t="str">
        <f t="shared" si="96"/>
        <v>1-5-1S83°</v>
      </c>
      <c r="AR762" s="1078" t="str">
        <f t="shared" si="97"/>
        <v>30</v>
      </c>
      <c r="AS762" s="1078" t="str">
        <f t="shared" si="98"/>
        <v>225/225/OFF</v>
      </c>
      <c r="AT762" s="1078" t="str">
        <f t="shared" si="99"/>
        <v>1-5-1S83°</v>
      </c>
      <c r="AV762" s="1078" t="str">
        <f t="shared" si="92"/>
        <v>112.12.27</v>
      </c>
      <c r="AW762" s="1344">
        <f t="shared" si="93"/>
        <v>45287</v>
      </c>
    </row>
    <row r="763" spans="1:49">
      <c r="A763" s="1077" t="s">
        <v>3870</v>
      </c>
      <c r="B763" s="1077" t="s">
        <v>453</v>
      </c>
      <c r="C763" s="1077">
        <v>600</v>
      </c>
      <c r="D763" s="1077">
        <v>1.74</v>
      </c>
      <c r="E763" s="1077" t="s">
        <v>15093</v>
      </c>
      <c r="F763" s="1077" t="s">
        <v>975</v>
      </c>
      <c r="G763" s="1077" t="s">
        <v>1767</v>
      </c>
      <c r="H763" s="1077" t="s">
        <v>1226</v>
      </c>
      <c r="I763" s="1077" t="s">
        <v>126</v>
      </c>
      <c r="J763" s="1077">
        <v>0.8</v>
      </c>
      <c r="K763" s="1077" t="s">
        <v>3871</v>
      </c>
      <c r="L763" s="1077" t="s">
        <v>1776</v>
      </c>
      <c r="M763" s="1077">
        <v>75</v>
      </c>
      <c r="N763" s="1077" t="s">
        <v>945</v>
      </c>
      <c r="O763" s="1077">
        <v>1.875</v>
      </c>
      <c r="P763" s="1077">
        <v>1.5</v>
      </c>
      <c r="Q763" s="1077">
        <v>4</v>
      </c>
      <c r="R763" s="1077">
        <v>23</v>
      </c>
      <c r="T763" s="1077">
        <v>19</v>
      </c>
      <c r="U763" s="1077">
        <v>3.8</v>
      </c>
      <c r="V763" s="1077" t="s">
        <v>648</v>
      </c>
      <c r="W763" s="1077">
        <v>110</v>
      </c>
      <c r="X763" s="1077">
        <v>70</v>
      </c>
      <c r="Y763" s="1077">
        <v>2</v>
      </c>
      <c r="Z763" s="1077">
        <v>4.5</v>
      </c>
      <c r="AA763" s="1077" t="s">
        <v>3872</v>
      </c>
      <c r="AH763" s="1077" t="s">
        <v>466</v>
      </c>
      <c r="AI763" s="1077">
        <v>93.47</v>
      </c>
      <c r="AJ763" s="1077">
        <v>-0.5</v>
      </c>
      <c r="AK763" s="1077">
        <v>3.33</v>
      </c>
      <c r="AM763" s="1078" t="s">
        <v>10564</v>
      </c>
      <c r="AN763" s="1078" t="s">
        <v>10565</v>
      </c>
      <c r="AO763" s="1078">
        <f t="shared" si="94"/>
        <v>600</v>
      </c>
      <c r="AP763" s="1078">
        <f t="shared" si="95"/>
        <v>1.74</v>
      </c>
      <c r="AQ763" s="1078" t="str">
        <f t="shared" si="96"/>
        <v>1-4-1S撚S83°</v>
      </c>
      <c r="AR763" s="1078" t="str">
        <f t="shared" si="97"/>
        <v>31.5</v>
      </c>
      <c r="AS763" s="1078" t="str">
        <f t="shared" si="98"/>
        <v>230/230/OFF</v>
      </c>
      <c r="AT763" s="1078" t="str">
        <f t="shared" si="99"/>
        <v>1-4-1S撚S83°</v>
      </c>
      <c r="AV763" s="1078" t="str">
        <f t="shared" si="92"/>
        <v>112.12.26</v>
      </c>
      <c r="AW763" s="1344">
        <f t="shared" si="93"/>
        <v>45286</v>
      </c>
    </row>
    <row r="764" spans="1:49">
      <c r="A764" s="1077" t="s">
        <v>3873</v>
      </c>
      <c r="B764" s="1077" t="s">
        <v>453</v>
      </c>
      <c r="C764" s="1077">
        <v>600</v>
      </c>
      <c r="D764" s="1077">
        <v>1.74</v>
      </c>
      <c r="E764" s="1077" t="s">
        <v>15093</v>
      </c>
      <c r="F764" s="1077" t="s">
        <v>975</v>
      </c>
      <c r="G764" s="1077" t="s">
        <v>1767</v>
      </c>
      <c r="H764" s="1077" t="s">
        <v>1226</v>
      </c>
      <c r="I764" s="1077" t="s">
        <v>126</v>
      </c>
      <c r="J764" s="1077">
        <v>0.8</v>
      </c>
      <c r="K764" s="1077" t="s">
        <v>3871</v>
      </c>
      <c r="L764" s="1077" t="s">
        <v>1776</v>
      </c>
      <c r="M764" s="1077">
        <v>77</v>
      </c>
      <c r="N764" s="1077" t="s">
        <v>945</v>
      </c>
      <c r="O764" s="1077">
        <v>1.925</v>
      </c>
      <c r="P764" s="1077">
        <v>1.54</v>
      </c>
      <c r="Q764" s="1077">
        <v>4.2</v>
      </c>
      <c r="R764" s="1077">
        <v>24</v>
      </c>
      <c r="T764" s="1077">
        <v>9</v>
      </c>
      <c r="U764" s="1077">
        <v>2.2000000000000002</v>
      </c>
      <c r="V764" s="1077" t="s">
        <v>648</v>
      </c>
      <c r="W764" s="1077">
        <v>110</v>
      </c>
      <c r="X764" s="1077" t="s">
        <v>1130</v>
      </c>
      <c r="Y764" s="1077">
        <v>2.1</v>
      </c>
      <c r="Z764" s="1077">
        <v>2.5</v>
      </c>
      <c r="AB764" s="1077" t="s">
        <v>981</v>
      </c>
      <c r="AM764" s="1078" t="s">
        <v>10564</v>
      </c>
      <c r="AN764" s="1078" t="s">
        <v>10566</v>
      </c>
      <c r="AO764" s="1078">
        <f t="shared" si="94"/>
        <v>600</v>
      </c>
      <c r="AP764" s="1078">
        <f t="shared" si="95"/>
        <v>1.74</v>
      </c>
      <c r="AQ764" s="1078" t="str">
        <f t="shared" si="96"/>
        <v>1-4-1S撚S83°</v>
      </c>
      <c r="AR764" s="1078" t="str">
        <f t="shared" si="97"/>
        <v>31.5</v>
      </c>
      <c r="AS764" s="1078" t="str">
        <f t="shared" si="98"/>
        <v>230/230/OFF</v>
      </c>
      <c r="AT764" s="1078" t="str">
        <f t="shared" si="99"/>
        <v>1-4-1S撚S83°</v>
      </c>
      <c r="AV764" s="1078">
        <f t="shared" si="92"/>
        <v>0</v>
      </c>
      <c r="AW764" s="1344" t="e">
        <f t="shared" si="93"/>
        <v>#VALUE!</v>
      </c>
    </row>
    <row r="765" spans="1:49">
      <c r="A765" s="1077" t="s">
        <v>3874</v>
      </c>
      <c r="B765" s="1077" t="s">
        <v>453</v>
      </c>
      <c r="C765" s="1077">
        <v>650</v>
      </c>
      <c r="D765" s="1077">
        <v>1.7150000000000001</v>
      </c>
      <c r="E765" s="1077" t="s">
        <v>15089</v>
      </c>
      <c r="F765" s="1077" t="s">
        <v>984</v>
      </c>
      <c r="G765" s="1077" t="s">
        <v>1767</v>
      </c>
      <c r="H765" s="1077" t="s">
        <v>1831</v>
      </c>
      <c r="I765" s="1077" t="s">
        <v>126</v>
      </c>
      <c r="J765" s="1077">
        <v>1.1000000000000001</v>
      </c>
      <c r="K765" s="1077" t="s">
        <v>3875</v>
      </c>
      <c r="L765" s="1077" t="s">
        <v>1821</v>
      </c>
      <c r="M765" s="1077">
        <v>77</v>
      </c>
      <c r="N765" s="1077" t="s">
        <v>945</v>
      </c>
      <c r="O765" s="1077">
        <v>1.925</v>
      </c>
      <c r="P765" s="1077">
        <v>1.54</v>
      </c>
      <c r="Q765" s="1077">
        <v>4.2</v>
      </c>
      <c r="R765" s="1077">
        <v>24</v>
      </c>
      <c r="T765" s="1077">
        <v>9</v>
      </c>
      <c r="U765" s="1077">
        <v>2.2000000000000002</v>
      </c>
      <c r="V765" s="1077" t="s">
        <v>648</v>
      </c>
      <c r="W765" s="1077">
        <v>110</v>
      </c>
      <c r="X765" s="1077">
        <v>85</v>
      </c>
      <c r="Y765" s="1077">
        <v>2.1</v>
      </c>
      <c r="Z765" s="1077">
        <v>2.5</v>
      </c>
      <c r="AA765" s="1077" t="s">
        <v>3876</v>
      </c>
      <c r="AH765" s="1077" t="s">
        <v>877</v>
      </c>
      <c r="AI765" s="1077">
        <v>91.51</v>
      </c>
      <c r="AJ765" s="1077">
        <v>-0.11</v>
      </c>
      <c r="AK765" s="1077">
        <v>0.85</v>
      </c>
      <c r="AM765" s="1078" t="s">
        <v>10567</v>
      </c>
      <c r="AN765" s="1078" t="s">
        <v>10568</v>
      </c>
      <c r="AO765" s="1078">
        <f t="shared" si="94"/>
        <v>650</v>
      </c>
      <c r="AP765" s="1078">
        <f t="shared" si="95"/>
        <v>1.7150000000000001</v>
      </c>
      <c r="AQ765" s="1078" t="str">
        <f t="shared" si="96"/>
        <v>1-4-1S83°</v>
      </c>
      <c r="AR765" s="1078" t="str">
        <f t="shared" si="97"/>
        <v>30</v>
      </c>
      <c r="AS765" s="1078" t="str">
        <f t="shared" si="98"/>
        <v>260/260/165</v>
      </c>
      <c r="AT765" s="1078" t="str">
        <f t="shared" si="99"/>
        <v>1-4-1S83°</v>
      </c>
      <c r="AV765" s="1078" t="str">
        <f t="shared" si="92"/>
        <v>112.12.28</v>
      </c>
      <c r="AW765" s="1344">
        <f t="shared" si="93"/>
        <v>45288</v>
      </c>
    </row>
    <row r="766" spans="1:49">
      <c r="A766" s="1077" t="s">
        <v>3877</v>
      </c>
      <c r="B766" s="1077" t="s">
        <v>472</v>
      </c>
      <c r="C766" s="1077">
        <v>600</v>
      </c>
      <c r="D766" s="1077">
        <v>1.7</v>
      </c>
      <c r="E766" s="1077" t="s">
        <v>15089</v>
      </c>
      <c r="F766" s="1077" t="s">
        <v>984</v>
      </c>
      <c r="G766" s="1077" t="s">
        <v>1767</v>
      </c>
      <c r="H766" s="1077" t="s">
        <v>1226</v>
      </c>
      <c r="I766" s="1077" t="s">
        <v>126</v>
      </c>
      <c r="J766" s="1077">
        <v>0.7</v>
      </c>
      <c r="K766" s="1077" t="s">
        <v>3878</v>
      </c>
      <c r="L766" s="1077" t="s">
        <v>1811</v>
      </c>
      <c r="M766" s="1077">
        <v>74.599999999999994</v>
      </c>
      <c r="N766" s="1077" t="s">
        <v>945</v>
      </c>
      <c r="O766" s="1077">
        <v>1.865</v>
      </c>
      <c r="P766" s="1077">
        <v>1.492</v>
      </c>
      <c r="Q766" s="1077">
        <v>3.5</v>
      </c>
      <c r="R766" s="1077">
        <v>27</v>
      </c>
      <c r="T766" s="1077">
        <v>12.5</v>
      </c>
      <c r="U766" s="1077">
        <v>5.0999999999999996</v>
      </c>
      <c r="V766" s="1077" t="s">
        <v>648</v>
      </c>
      <c r="W766" s="1077">
        <v>95</v>
      </c>
      <c r="X766" s="1077">
        <v>60</v>
      </c>
      <c r="Y766" s="1077">
        <v>1.8</v>
      </c>
      <c r="Z766" s="1077">
        <v>4.5</v>
      </c>
      <c r="AA766" s="1077" t="s">
        <v>3879</v>
      </c>
      <c r="AB766" s="1077" t="s">
        <v>3880</v>
      </c>
      <c r="AH766" s="1077" t="s">
        <v>622</v>
      </c>
      <c r="AI766" s="1077">
        <v>92.51</v>
      </c>
      <c r="AJ766" s="1077">
        <v>-1.02</v>
      </c>
      <c r="AK766" s="1077">
        <v>3.44</v>
      </c>
      <c r="AM766" s="1078" t="s">
        <v>10569</v>
      </c>
      <c r="AN766" s="1078" t="s">
        <v>10570</v>
      </c>
      <c r="AO766" s="1078">
        <f t="shared" si="94"/>
        <v>600</v>
      </c>
      <c r="AP766" s="1078">
        <f t="shared" si="95"/>
        <v>1.7</v>
      </c>
      <c r="AQ766" s="1078" t="str">
        <f t="shared" si="96"/>
        <v>1-4-1S83°</v>
      </c>
      <c r="AR766" s="1078" t="str">
        <f t="shared" si="97"/>
        <v>30</v>
      </c>
      <c r="AS766" s="1078" t="str">
        <f t="shared" si="98"/>
        <v>230/230/OFF</v>
      </c>
      <c r="AT766" s="1078" t="str">
        <f t="shared" si="99"/>
        <v>1-4-1S83°</v>
      </c>
      <c r="AV766" s="1078" t="str">
        <f t="shared" si="92"/>
        <v>112.12.29</v>
      </c>
      <c r="AW766" s="1344">
        <f t="shared" si="93"/>
        <v>45289</v>
      </c>
    </row>
    <row r="767" spans="1:49">
      <c r="A767" s="1077" t="s">
        <v>3881</v>
      </c>
      <c r="B767" s="1077" t="s">
        <v>1815</v>
      </c>
      <c r="C767" s="1077">
        <v>650</v>
      </c>
      <c r="D767" s="1077">
        <v>1.7350000000000001</v>
      </c>
      <c r="E767" s="1077" t="s">
        <v>15098</v>
      </c>
      <c r="F767" s="1077" t="s">
        <v>954</v>
      </c>
      <c r="G767" s="1077" t="s">
        <v>1767</v>
      </c>
      <c r="H767" s="1077" t="s">
        <v>1793</v>
      </c>
      <c r="I767" s="1077" t="s">
        <v>126</v>
      </c>
      <c r="J767" s="1077">
        <v>0.9</v>
      </c>
      <c r="K767" s="1077" t="s">
        <v>1839</v>
      </c>
      <c r="L767" s="1077" t="s">
        <v>1817</v>
      </c>
      <c r="M767" s="1077">
        <v>75.099999999999994</v>
      </c>
      <c r="N767" s="1077" t="s">
        <v>945</v>
      </c>
      <c r="O767" s="1077">
        <v>1.8774999999999999</v>
      </c>
      <c r="P767" s="1077">
        <v>1.502</v>
      </c>
      <c r="Q767" s="1077">
        <v>4</v>
      </c>
      <c r="R767" s="1077">
        <v>19</v>
      </c>
      <c r="T767" s="1077">
        <v>21</v>
      </c>
      <c r="U767" s="1077">
        <v>3.5</v>
      </c>
      <c r="V767" s="1077" t="s">
        <v>648</v>
      </c>
      <c r="W767" s="1077">
        <v>110</v>
      </c>
      <c r="X767" s="1077">
        <v>65</v>
      </c>
      <c r="Y767" s="1077">
        <v>1.6</v>
      </c>
      <c r="Z767" s="1077">
        <v>4</v>
      </c>
      <c r="AA767" s="1077" t="s">
        <v>3882</v>
      </c>
      <c r="AH767" s="1077" t="s">
        <v>963</v>
      </c>
      <c r="AI767" s="1077">
        <v>94.77</v>
      </c>
      <c r="AJ767" s="1077">
        <v>-0.3</v>
      </c>
      <c r="AK767" s="1077">
        <v>1.44</v>
      </c>
      <c r="AM767" s="1078" t="s">
        <v>10571</v>
      </c>
      <c r="AN767" s="1078" t="s">
        <v>10572</v>
      </c>
      <c r="AO767" s="1078">
        <f t="shared" si="94"/>
        <v>650</v>
      </c>
      <c r="AP767" s="1078">
        <f t="shared" si="95"/>
        <v>1.7350000000000001</v>
      </c>
      <c r="AQ767" s="1078" t="str">
        <f t="shared" si="96"/>
        <v>1-4-1S91°</v>
      </c>
      <c r="AR767" s="1078" t="str">
        <f t="shared" si="97"/>
        <v>31</v>
      </c>
      <c r="AS767" s="1078" t="str">
        <f t="shared" si="98"/>
        <v>270/270/OFF</v>
      </c>
      <c r="AT767" s="1078" t="str">
        <f t="shared" si="99"/>
        <v>1-4-1S91°</v>
      </c>
      <c r="AV767" s="1078" t="str">
        <f t="shared" si="92"/>
        <v>113.1.3</v>
      </c>
      <c r="AW767" s="1344">
        <f t="shared" si="93"/>
        <v>45294</v>
      </c>
    </row>
    <row r="768" spans="1:49">
      <c r="A768" s="1077" t="s">
        <v>3883</v>
      </c>
      <c r="B768" s="1077" t="s">
        <v>620</v>
      </c>
      <c r="C768" s="1077">
        <v>550</v>
      </c>
      <c r="D768" s="1077">
        <v>1.71</v>
      </c>
      <c r="E768" s="1077" t="s">
        <v>15089</v>
      </c>
      <c r="F768" s="1077" t="s">
        <v>1773</v>
      </c>
      <c r="G768" s="1077" t="s">
        <v>1016</v>
      </c>
      <c r="H768" s="1077" t="s">
        <v>1029</v>
      </c>
      <c r="I768" s="1077" t="s">
        <v>126</v>
      </c>
      <c r="J768" s="1077">
        <v>1</v>
      </c>
      <c r="K768" s="1077" t="s">
        <v>1800</v>
      </c>
      <c r="L768" s="1077" t="s">
        <v>1801</v>
      </c>
      <c r="M768" s="1077">
        <v>76.7</v>
      </c>
      <c r="N768" s="1077" t="s">
        <v>945</v>
      </c>
      <c r="O768" s="1077">
        <v>1.9175000000000002</v>
      </c>
      <c r="P768" s="1077">
        <v>1.534</v>
      </c>
      <c r="Q768" s="1077">
        <v>4</v>
      </c>
      <c r="R768" s="1077">
        <v>23.5</v>
      </c>
      <c r="T768" s="1077">
        <v>20.7</v>
      </c>
      <c r="U768" s="1077">
        <v>3.6</v>
      </c>
      <c r="V768" s="1077" t="s">
        <v>648</v>
      </c>
      <c r="W768" s="1077">
        <v>120</v>
      </c>
      <c r="X768" s="1077">
        <v>80</v>
      </c>
      <c r="Y768" s="1077">
        <v>1</v>
      </c>
      <c r="Z768" s="1077">
        <v>5</v>
      </c>
      <c r="AA768" s="1077" t="s">
        <v>3884</v>
      </c>
      <c r="AH768" s="1077" t="s">
        <v>722</v>
      </c>
      <c r="AM768" s="1078" t="s">
        <v>10573</v>
      </c>
      <c r="AN768" s="1078" t="s">
        <v>10574</v>
      </c>
      <c r="AO768" s="1078">
        <f t="shared" si="94"/>
        <v>550</v>
      </c>
      <c r="AP768" s="1078">
        <f t="shared" si="95"/>
        <v>1.71</v>
      </c>
      <c r="AQ768" s="1078" t="str">
        <f t="shared" si="96"/>
        <v>1-4-1S83°</v>
      </c>
      <c r="AR768" s="1078" t="str">
        <f t="shared" si="97"/>
        <v>30.2</v>
      </c>
      <c r="AS768" s="1078" t="str">
        <f t="shared" si="98"/>
        <v>250/250/OFF</v>
      </c>
      <c r="AT768" s="1078" t="str">
        <f t="shared" si="99"/>
        <v>1-4-1S83°</v>
      </c>
      <c r="AV768" s="1078" t="str">
        <f t="shared" si="92"/>
        <v>110.10.13</v>
      </c>
      <c r="AW768" s="1344">
        <f t="shared" si="93"/>
        <v>44482</v>
      </c>
    </row>
    <row r="769" spans="1:49">
      <c r="A769" s="1077" t="s">
        <v>3885</v>
      </c>
      <c r="B769" s="1077" t="s">
        <v>453</v>
      </c>
      <c r="C769" s="1077">
        <v>700</v>
      </c>
      <c r="D769" s="1077">
        <v>1.68</v>
      </c>
      <c r="E769" s="1077" t="s">
        <v>15089</v>
      </c>
      <c r="F769" s="1077" t="s">
        <v>1773</v>
      </c>
      <c r="G769" s="1077" t="s">
        <v>1767</v>
      </c>
      <c r="H769" s="1077" t="s">
        <v>3886</v>
      </c>
      <c r="I769" s="1077" t="s">
        <v>126</v>
      </c>
      <c r="J769" s="1077">
        <v>0.9</v>
      </c>
      <c r="K769" s="1077" t="s">
        <v>1775</v>
      </c>
      <c r="L769" s="1077" t="s">
        <v>1776</v>
      </c>
      <c r="M769" s="1077">
        <v>75</v>
      </c>
      <c r="N769" s="1077" t="s">
        <v>945</v>
      </c>
      <c r="O769" s="1077">
        <v>1.875</v>
      </c>
      <c r="P769" s="1077">
        <v>1.5</v>
      </c>
      <c r="Q769" s="1077">
        <v>4</v>
      </c>
      <c r="R769" s="1077">
        <v>23</v>
      </c>
      <c r="T769" s="1077">
        <v>19</v>
      </c>
      <c r="U769" s="1077">
        <v>3.8</v>
      </c>
      <c r="V769" s="1077" t="s">
        <v>648</v>
      </c>
      <c r="W769" s="1077">
        <v>110</v>
      </c>
      <c r="X769" s="1077">
        <v>70</v>
      </c>
      <c r="Y769" s="1077">
        <v>2</v>
      </c>
      <c r="Z769" s="1077">
        <v>4.5</v>
      </c>
      <c r="AA769" s="1077" t="s">
        <v>3884</v>
      </c>
      <c r="AH769" s="1077" t="s">
        <v>877</v>
      </c>
      <c r="AM769" s="1078" t="s">
        <v>10575</v>
      </c>
      <c r="AN769" s="1078" t="s">
        <v>10576</v>
      </c>
      <c r="AO769" s="1078">
        <f t="shared" si="94"/>
        <v>700</v>
      </c>
      <c r="AP769" s="1078">
        <f t="shared" si="95"/>
        <v>1.68</v>
      </c>
      <c r="AQ769" s="1078" t="str">
        <f t="shared" si="96"/>
        <v>1-4-1S83°</v>
      </c>
      <c r="AR769" s="1078" t="str">
        <f t="shared" si="97"/>
        <v>30.2</v>
      </c>
      <c r="AS769" s="1078" t="str">
        <f t="shared" si="98"/>
        <v>248/248/OFF</v>
      </c>
      <c r="AT769" s="1078" t="str">
        <f t="shared" si="99"/>
        <v>1-4-1S83°</v>
      </c>
      <c r="AV769" s="1078" t="str">
        <f t="shared" si="92"/>
        <v>110.10.13</v>
      </c>
      <c r="AW769" s="1344">
        <f t="shared" si="93"/>
        <v>44482</v>
      </c>
    </row>
    <row r="770" spans="1:49">
      <c r="A770" s="1077" t="s">
        <v>3887</v>
      </c>
      <c r="B770" s="1077" t="s">
        <v>453</v>
      </c>
      <c r="C770" s="1077">
        <v>700</v>
      </c>
      <c r="D770" s="1077">
        <v>1.6779999999999999</v>
      </c>
      <c r="E770" s="1077" t="s">
        <v>15089</v>
      </c>
      <c r="F770" s="1077" t="s">
        <v>1773</v>
      </c>
      <c r="G770" s="1077" t="s">
        <v>1767</v>
      </c>
      <c r="H770" s="1077" t="s">
        <v>2480</v>
      </c>
      <c r="I770" s="1077" t="s">
        <v>126</v>
      </c>
      <c r="J770" s="1077">
        <v>0.9</v>
      </c>
      <c r="K770" s="1077" t="s">
        <v>3814</v>
      </c>
      <c r="L770" s="1077" t="s">
        <v>1776</v>
      </c>
      <c r="M770" s="1077">
        <v>76</v>
      </c>
      <c r="N770" s="1077" t="s">
        <v>945</v>
      </c>
      <c r="O770" s="1077">
        <v>1.9000000000000001</v>
      </c>
      <c r="P770" s="1077">
        <v>1.52</v>
      </c>
      <c r="Q770" s="1077">
        <v>4</v>
      </c>
      <c r="R770" s="1077">
        <v>23</v>
      </c>
      <c r="T770" s="1077">
        <v>19</v>
      </c>
      <c r="U770" s="1077">
        <v>3.8</v>
      </c>
      <c r="V770" s="1077" t="s">
        <v>648</v>
      </c>
      <c r="W770" s="1077">
        <v>110</v>
      </c>
      <c r="X770" s="1077">
        <v>70</v>
      </c>
      <c r="Y770" s="1077">
        <v>2</v>
      </c>
      <c r="Z770" s="1077">
        <v>4.5</v>
      </c>
      <c r="AA770" s="1077" t="s">
        <v>3888</v>
      </c>
      <c r="AH770" s="1077" t="s">
        <v>990</v>
      </c>
      <c r="AM770" s="1078" t="s">
        <v>10577</v>
      </c>
      <c r="AN770" s="1078" t="s">
        <v>10578</v>
      </c>
      <c r="AO770" s="1078">
        <f t="shared" si="94"/>
        <v>700</v>
      </c>
      <c r="AP770" s="1078">
        <f t="shared" si="95"/>
        <v>1.6779999999999999</v>
      </c>
      <c r="AQ770" s="1078" t="str">
        <f t="shared" si="96"/>
        <v>1-4-1S83°</v>
      </c>
      <c r="AR770" s="1078" t="str">
        <f t="shared" si="97"/>
        <v>30.2</v>
      </c>
      <c r="AS770" s="1078" t="str">
        <f t="shared" si="98"/>
        <v>251/251/OFF</v>
      </c>
      <c r="AT770" s="1078" t="str">
        <f t="shared" si="99"/>
        <v>1-4-1S83°</v>
      </c>
      <c r="AV770" s="1078" t="str">
        <f t="shared" ref="AV770:AV833" si="100">AA770</f>
        <v>110.10.14</v>
      </c>
      <c r="AW770" s="1344">
        <f t="shared" si="93"/>
        <v>44483</v>
      </c>
    </row>
    <row r="771" spans="1:49">
      <c r="A771" s="1077" t="s">
        <v>3889</v>
      </c>
      <c r="B771" s="1077" t="s">
        <v>1792</v>
      </c>
      <c r="C771" s="1077">
        <v>600</v>
      </c>
      <c r="D771" s="1077">
        <v>1.7949999999999999</v>
      </c>
      <c r="E771" s="1077" t="s">
        <v>15089</v>
      </c>
      <c r="F771" s="1077" t="s">
        <v>1897</v>
      </c>
      <c r="G771" s="1077" t="s">
        <v>1767</v>
      </c>
      <c r="H771" s="1077" t="s">
        <v>1061</v>
      </c>
      <c r="I771" s="1077" t="s">
        <v>126</v>
      </c>
      <c r="J771" s="1077">
        <v>0.3</v>
      </c>
      <c r="K771" s="1077" t="s">
        <v>3376</v>
      </c>
      <c r="L771" s="1077" t="s">
        <v>1795</v>
      </c>
      <c r="M771" s="1077">
        <v>73</v>
      </c>
      <c r="N771" s="1077" t="s">
        <v>945</v>
      </c>
      <c r="O771" s="1077">
        <v>1.8250000000000002</v>
      </c>
      <c r="P771" s="1077">
        <v>1.46</v>
      </c>
      <c r="Q771" s="1077">
        <v>4</v>
      </c>
      <c r="R771" s="1077">
        <v>21.6</v>
      </c>
      <c r="T771" s="1077">
        <v>32</v>
      </c>
      <c r="U771" s="1077">
        <v>3.7</v>
      </c>
      <c r="V771" s="1077" t="s">
        <v>648</v>
      </c>
      <c r="W771" s="1077">
        <v>30</v>
      </c>
      <c r="X771" s="1077">
        <v>10</v>
      </c>
      <c r="Y771" s="1077">
        <v>1.2</v>
      </c>
      <c r="Z771" s="1077">
        <v>6</v>
      </c>
      <c r="AA771" s="1077" t="s">
        <v>3888</v>
      </c>
      <c r="AH771" s="1077" t="s">
        <v>1771</v>
      </c>
      <c r="AM771" s="1078" t="s">
        <v>10579</v>
      </c>
      <c r="AN771" s="1078" t="s">
        <v>10580</v>
      </c>
      <c r="AO771" s="1078">
        <f t="shared" si="94"/>
        <v>600</v>
      </c>
      <c r="AP771" s="1078">
        <f t="shared" si="95"/>
        <v>1.7949999999999999</v>
      </c>
      <c r="AQ771" s="1078" t="str">
        <f t="shared" si="96"/>
        <v>1-4-1S83°</v>
      </c>
      <c r="AR771" s="1078" t="str">
        <f t="shared" si="97"/>
        <v>30.8</v>
      </c>
      <c r="AS771" s="1078" t="str">
        <f t="shared" si="98"/>
        <v>255/255/OFF</v>
      </c>
      <c r="AT771" s="1078" t="str">
        <f t="shared" si="99"/>
        <v>1-4-1S83°</v>
      </c>
      <c r="AV771" s="1078" t="str">
        <f t="shared" si="100"/>
        <v>110.10.14</v>
      </c>
      <c r="AW771" s="1344">
        <f t="shared" ref="AW771:AW834" si="101">DATE(VALUE(LEFT(AV771,FIND(".",AV771)-1))+1911,
       VALUE(MID(AV771,FIND(".",AV771)+1,FIND(".",AV771,FIND(".",AV771)+1)-FIND(".",AV771)-1)),
       VALUE(RIGHT(AV771,LEN(AV771)-FIND("~",SUBSTITUTE(AV771,".","~",2)))))</f>
        <v>44483</v>
      </c>
    </row>
    <row r="772" spans="1:49">
      <c r="A772" s="1077" t="s">
        <v>3890</v>
      </c>
      <c r="B772" s="1077" t="s">
        <v>1823</v>
      </c>
      <c r="C772" s="1077">
        <v>500</v>
      </c>
      <c r="D772" s="1077">
        <v>1.7549999999999999</v>
      </c>
      <c r="E772" s="1077" t="s">
        <v>15095</v>
      </c>
      <c r="F772" s="1077" t="s">
        <v>984</v>
      </c>
      <c r="G772" s="1077" t="s">
        <v>1016</v>
      </c>
      <c r="H772" s="1077" t="s">
        <v>1226</v>
      </c>
      <c r="I772" s="1077" t="s">
        <v>126</v>
      </c>
      <c r="J772" s="1077">
        <v>0.7</v>
      </c>
      <c r="K772" s="1077" t="s">
        <v>3891</v>
      </c>
      <c r="L772" s="1077" t="s">
        <v>1825</v>
      </c>
      <c r="M772" s="1077">
        <v>73.8</v>
      </c>
      <c r="N772" s="1077" t="s">
        <v>945</v>
      </c>
      <c r="O772" s="1077">
        <v>1.845</v>
      </c>
      <c r="P772" s="1077">
        <v>1.476</v>
      </c>
      <c r="Q772" s="1077">
        <v>3.5</v>
      </c>
      <c r="R772" s="1077">
        <v>18.5</v>
      </c>
      <c r="T772" s="1077">
        <v>21</v>
      </c>
      <c r="U772" s="1077">
        <v>3.8</v>
      </c>
      <c r="V772" s="1077" t="s">
        <v>648</v>
      </c>
      <c r="W772" s="1077">
        <v>110</v>
      </c>
      <c r="X772" s="1077">
        <v>85</v>
      </c>
      <c r="Y772" s="1077">
        <v>1.9</v>
      </c>
      <c r="Z772" s="1077">
        <v>4</v>
      </c>
      <c r="AA772" s="1077" t="s">
        <v>3892</v>
      </c>
      <c r="AH772" s="1077" t="s">
        <v>831</v>
      </c>
      <c r="AM772" s="1078" t="s">
        <v>10581</v>
      </c>
      <c r="AN772" s="1078" t="s">
        <v>10582</v>
      </c>
      <c r="AO772" s="1078">
        <f t="shared" si="94"/>
        <v>500</v>
      </c>
      <c r="AP772" s="1078">
        <f t="shared" si="95"/>
        <v>1.7549999999999999</v>
      </c>
      <c r="AQ772" s="1078" t="str">
        <f t="shared" si="96"/>
        <v>1-5-1S83°</v>
      </c>
      <c r="AR772" s="1078" t="str">
        <f t="shared" si="97"/>
        <v>30</v>
      </c>
      <c r="AS772" s="1078" t="str">
        <f t="shared" si="98"/>
        <v>230/230/OFF</v>
      </c>
      <c r="AT772" s="1078" t="str">
        <f t="shared" si="99"/>
        <v>1-5-1S83°</v>
      </c>
      <c r="AV772" s="1078" t="str">
        <f t="shared" si="100"/>
        <v>110.10.20</v>
      </c>
      <c r="AW772" s="1344">
        <f t="shared" si="101"/>
        <v>44489</v>
      </c>
    </row>
    <row r="773" spans="1:49">
      <c r="A773" s="1077" t="s">
        <v>3893</v>
      </c>
      <c r="B773" s="1077" t="s">
        <v>1792</v>
      </c>
      <c r="C773" s="1077">
        <v>600</v>
      </c>
      <c r="D773" s="1077">
        <v>1.79</v>
      </c>
      <c r="E773" s="1077" t="s">
        <v>15089</v>
      </c>
      <c r="F773" s="1077" t="s">
        <v>1897</v>
      </c>
      <c r="G773" s="1077" t="s">
        <v>1767</v>
      </c>
      <c r="H773" s="1077" t="s">
        <v>1077</v>
      </c>
      <c r="I773" s="1077" t="s">
        <v>126</v>
      </c>
      <c r="J773" s="1077">
        <v>0.3</v>
      </c>
      <c r="K773" s="1077" t="s">
        <v>1794</v>
      </c>
      <c r="L773" s="1077" t="s">
        <v>1795</v>
      </c>
      <c r="M773" s="1077">
        <v>73</v>
      </c>
      <c r="N773" s="1077" t="s">
        <v>945</v>
      </c>
      <c r="O773" s="1077">
        <v>1.8250000000000002</v>
      </c>
      <c r="P773" s="1077">
        <v>1.46</v>
      </c>
      <c r="Q773" s="1077">
        <v>4</v>
      </c>
      <c r="R773" s="1077">
        <v>21.6</v>
      </c>
      <c r="T773" s="1077">
        <v>32</v>
      </c>
      <c r="U773" s="1077">
        <v>3.7</v>
      </c>
      <c r="V773" s="1077" t="s">
        <v>648</v>
      </c>
      <c r="W773" s="1077">
        <v>30</v>
      </c>
      <c r="X773" s="1077">
        <v>10</v>
      </c>
      <c r="Y773" s="1077">
        <v>1.2</v>
      </c>
      <c r="Z773" s="1077">
        <v>6</v>
      </c>
      <c r="AA773" s="1077" t="s">
        <v>3894</v>
      </c>
      <c r="AH773" s="1077" t="s">
        <v>785</v>
      </c>
      <c r="AM773" s="1078" t="s">
        <v>10583</v>
      </c>
      <c r="AN773" s="1078" t="s">
        <v>10584</v>
      </c>
      <c r="AO773" s="1078">
        <f t="shared" si="94"/>
        <v>600</v>
      </c>
      <c r="AP773" s="1078">
        <f t="shared" si="95"/>
        <v>1.79</v>
      </c>
      <c r="AQ773" s="1078" t="str">
        <f t="shared" si="96"/>
        <v>1-4-1S83°</v>
      </c>
      <c r="AR773" s="1078" t="str">
        <f t="shared" si="97"/>
        <v>30.8</v>
      </c>
      <c r="AS773" s="1078" t="str">
        <f t="shared" si="98"/>
        <v>245/245/OFF</v>
      </c>
      <c r="AT773" s="1078" t="str">
        <f t="shared" si="99"/>
        <v>1-4-1S83°</v>
      </c>
      <c r="AV773" s="1078" t="str">
        <f t="shared" si="100"/>
        <v>110.10.22</v>
      </c>
      <c r="AW773" s="1344">
        <f t="shared" si="101"/>
        <v>44491</v>
      </c>
    </row>
    <row r="774" spans="1:49">
      <c r="A774" s="1077" t="s">
        <v>3895</v>
      </c>
      <c r="B774" s="1077" t="s">
        <v>2544</v>
      </c>
      <c r="C774" s="1077">
        <v>500</v>
      </c>
      <c r="D774" s="1077">
        <v>1.66</v>
      </c>
      <c r="E774" s="1077" t="s">
        <v>15089</v>
      </c>
      <c r="F774" s="1077" t="s">
        <v>984</v>
      </c>
      <c r="G774" s="1077" t="s">
        <v>940</v>
      </c>
      <c r="H774" s="1077" t="s">
        <v>2545</v>
      </c>
      <c r="I774" s="1077" t="s">
        <v>626</v>
      </c>
      <c r="J774" s="1077">
        <v>1.2</v>
      </c>
      <c r="K774" s="1077" t="s">
        <v>3896</v>
      </c>
      <c r="L774" s="1077" t="s">
        <v>2547</v>
      </c>
      <c r="M774" s="1077">
        <v>77.599999999999994</v>
      </c>
      <c r="N774" s="1077" t="s">
        <v>945</v>
      </c>
      <c r="O774" s="1077">
        <v>1.94</v>
      </c>
      <c r="P774" s="1077">
        <v>1.5519999999999998</v>
      </c>
      <c r="Q774" s="1077">
        <v>3</v>
      </c>
      <c r="R774" s="1077">
        <v>25.1</v>
      </c>
      <c r="T774" s="1077">
        <v>49.4</v>
      </c>
      <c r="U774" s="1077">
        <v>3.8</v>
      </c>
      <c r="V774" s="1077" t="s">
        <v>648</v>
      </c>
      <c r="W774" s="1077">
        <v>100</v>
      </c>
      <c r="X774" s="1077">
        <v>10</v>
      </c>
      <c r="Y774" s="1077">
        <v>1.3</v>
      </c>
      <c r="Z774" s="1077">
        <v>6</v>
      </c>
      <c r="AA774" s="1077" t="s">
        <v>3897</v>
      </c>
      <c r="AH774" s="1077" t="s">
        <v>884</v>
      </c>
      <c r="AM774" s="1078" t="s">
        <v>10585</v>
      </c>
      <c r="AN774" s="1078" t="s">
        <v>10586</v>
      </c>
      <c r="AO774" s="1078">
        <f t="shared" si="94"/>
        <v>500</v>
      </c>
      <c r="AP774" s="1078">
        <f t="shared" si="95"/>
        <v>1.66</v>
      </c>
      <c r="AQ774" s="1078" t="str">
        <f t="shared" si="96"/>
        <v>1-4-1S83°</v>
      </c>
      <c r="AR774" s="1078" t="str">
        <f t="shared" si="97"/>
        <v>30</v>
      </c>
      <c r="AS774" s="1078" t="str">
        <f t="shared" si="98"/>
        <v>260/270/OFF</v>
      </c>
      <c r="AT774" s="1078" t="str">
        <f t="shared" si="99"/>
        <v>1-4-1S83°</v>
      </c>
      <c r="AV774" s="1078" t="str">
        <f t="shared" si="100"/>
        <v>110.10.29</v>
      </c>
      <c r="AW774" s="1344">
        <f t="shared" si="101"/>
        <v>44498</v>
      </c>
    </row>
    <row r="775" spans="1:49">
      <c r="A775" s="1077" t="s">
        <v>3898</v>
      </c>
      <c r="B775" s="1077" t="s">
        <v>1974</v>
      </c>
      <c r="C775" s="1077">
        <v>500</v>
      </c>
      <c r="D775" s="1077">
        <v>1.62</v>
      </c>
      <c r="E775" s="1077" t="s">
        <v>15089</v>
      </c>
      <c r="F775" s="1077" t="s">
        <v>1514</v>
      </c>
      <c r="G775" s="1077" t="s">
        <v>1767</v>
      </c>
      <c r="H775" s="1077" t="s">
        <v>1290</v>
      </c>
      <c r="I775" s="1077" t="s">
        <v>126</v>
      </c>
      <c r="J775" s="1077">
        <v>0.7</v>
      </c>
      <c r="K775" s="1077" t="s">
        <v>2005</v>
      </c>
      <c r="L775" s="1077" t="s">
        <v>1976</v>
      </c>
      <c r="M775" s="1077">
        <v>77.599999999999994</v>
      </c>
      <c r="N775" s="1077" t="s">
        <v>945</v>
      </c>
      <c r="O775" s="1077">
        <v>1.94</v>
      </c>
      <c r="P775" s="1077">
        <v>1.5519999999999998</v>
      </c>
      <c r="Q775" s="1077">
        <v>4</v>
      </c>
      <c r="R775" s="1077">
        <v>23</v>
      </c>
      <c r="T775" s="1077">
        <v>21</v>
      </c>
      <c r="U775" s="1077">
        <v>3.7</v>
      </c>
      <c r="V775" s="1077" t="s">
        <v>648</v>
      </c>
      <c r="W775" s="1077">
        <v>105</v>
      </c>
      <c r="X775" s="1077">
        <v>65</v>
      </c>
      <c r="Y775" s="1077">
        <v>1.6</v>
      </c>
      <c r="Z775" s="1077">
        <v>4.5</v>
      </c>
      <c r="AA775" s="1077" t="s">
        <v>3897</v>
      </c>
      <c r="AH775" s="1077" t="s">
        <v>1588</v>
      </c>
      <c r="AM775" s="1078" t="s">
        <v>10587</v>
      </c>
      <c r="AN775" s="1078" t="s">
        <v>10588</v>
      </c>
      <c r="AO775" s="1078">
        <f t="shared" si="94"/>
        <v>500</v>
      </c>
      <c r="AP775" s="1078">
        <f t="shared" si="95"/>
        <v>1.62</v>
      </c>
      <c r="AQ775" s="1078" t="str">
        <f t="shared" si="96"/>
        <v>1-4-1S83°</v>
      </c>
      <c r="AR775" s="1078" t="str">
        <f t="shared" si="97"/>
        <v>32</v>
      </c>
      <c r="AS775" s="1078" t="str">
        <f t="shared" si="98"/>
        <v>220/220/OFF</v>
      </c>
      <c r="AT775" s="1078" t="str">
        <f t="shared" si="99"/>
        <v>1-4-1S83°</v>
      </c>
      <c r="AV775" s="1078" t="str">
        <f t="shared" si="100"/>
        <v>110.10.29</v>
      </c>
      <c r="AW775" s="1344">
        <f t="shared" si="101"/>
        <v>44498</v>
      </c>
    </row>
    <row r="776" spans="1:49">
      <c r="A776" s="1077" t="s">
        <v>3899</v>
      </c>
      <c r="B776" s="1077" t="s">
        <v>752</v>
      </c>
      <c r="C776" s="1077">
        <v>500</v>
      </c>
      <c r="D776" s="1077">
        <v>1.7</v>
      </c>
      <c r="E776" s="1077" t="s">
        <v>15091</v>
      </c>
      <c r="F776" s="1077" t="s">
        <v>984</v>
      </c>
      <c r="G776" s="1077" t="s">
        <v>1001</v>
      </c>
      <c r="H776" s="1077" t="s">
        <v>1470</v>
      </c>
      <c r="I776" s="1077" t="s">
        <v>1167</v>
      </c>
      <c r="J776" s="1077">
        <v>0.9</v>
      </c>
      <c r="K776" s="1077" t="s">
        <v>3860</v>
      </c>
      <c r="L776" s="1077" t="s">
        <v>1933</v>
      </c>
      <c r="M776" s="1077">
        <v>74.5</v>
      </c>
      <c r="N776" s="1077" t="s">
        <v>945</v>
      </c>
      <c r="O776" s="1077">
        <v>1.8625</v>
      </c>
      <c r="P776" s="1077">
        <v>1.49</v>
      </c>
      <c r="Q776" s="1077">
        <v>4</v>
      </c>
      <c r="R776" s="1077">
        <v>22.3</v>
      </c>
      <c r="T776" s="1077">
        <v>22</v>
      </c>
      <c r="U776" s="1077">
        <v>3.3</v>
      </c>
      <c r="V776" s="1077" t="s">
        <v>648</v>
      </c>
      <c r="W776" s="1077">
        <v>110</v>
      </c>
      <c r="X776" s="1077">
        <v>85</v>
      </c>
      <c r="Y776" s="1077">
        <v>2</v>
      </c>
      <c r="Z776" s="1077">
        <v>4.5</v>
      </c>
      <c r="AA776" s="1077" t="s">
        <v>3900</v>
      </c>
      <c r="AH776" s="1077" t="s">
        <v>812</v>
      </c>
      <c r="AI776" s="1077">
        <v>94.45</v>
      </c>
      <c r="AJ776" s="1077">
        <v>-0.33</v>
      </c>
      <c r="AK776" s="1077">
        <v>1.61</v>
      </c>
      <c r="AM776" s="1078" t="s">
        <v>10589</v>
      </c>
      <c r="AN776" s="1078" t="s">
        <v>10590</v>
      </c>
      <c r="AO776" s="1078">
        <f t="shared" si="94"/>
        <v>500</v>
      </c>
      <c r="AP776" s="1078">
        <f t="shared" si="95"/>
        <v>1.7</v>
      </c>
      <c r="AQ776" s="1078" t="str">
        <f t="shared" si="96"/>
        <v>2-5-1S83°</v>
      </c>
      <c r="AR776" s="1078" t="str">
        <f t="shared" si="97"/>
        <v>30</v>
      </c>
      <c r="AS776" s="1078" t="str">
        <f t="shared" si="98"/>
        <v>160/OFF</v>
      </c>
      <c r="AT776" s="1078" t="str">
        <f t="shared" si="99"/>
        <v>2-5-1S83°</v>
      </c>
      <c r="AV776" s="1078" t="str">
        <f t="shared" si="100"/>
        <v>113.1.4</v>
      </c>
      <c r="AW776" s="1344">
        <f t="shared" si="101"/>
        <v>45295</v>
      </c>
    </row>
    <row r="777" spans="1:49">
      <c r="A777" s="1077" t="s">
        <v>3901</v>
      </c>
      <c r="B777" s="1077" t="s">
        <v>1805</v>
      </c>
      <c r="C777" s="1077">
        <v>600</v>
      </c>
      <c r="D777" s="1077">
        <v>1.7</v>
      </c>
      <c r="E777" s="1077" t="s">
        <v>15089</v>
      </c>
      <c r="F777" s="1077" t="s">
        <v>1469</v>
      </c>
      <c r="G777" s="1077" t="s">
        <v>940</v>
      </c>
      <c r="H777" s="1077" t="s">
        <v>2009</v>
      </c>
      <c r="I777" s="1077" t="s">
        <v>126</v>
      </c>
      <c r="J777" s="1077">
        <v>0.7</v>
      </c>
      <c r="K777" s="1077" t="s">
        <v>3508</v>
      </c>
      <c r="L777" s="1077" t="s">
        <v>1808</v>
      </c>
      <c r="M777" s="1077">
        <v>76.8</v>
      </c>
      <c r="N777" s="1077" t="s">
        <v>945</v>
      </c>
      <c r="O777" s="1077">
        <v>1.92</v>
      </c>
      <c r="P777" s="1077">
        <v>1.536</v>
      </c>
      <c r="Q777" s="1077">
        <v>4</v>
      </c>
      <c r="R777" s="1077">
        <v>20.3</v>
      </c>
      <c r="T777" s="1077">
        <v>18</v>
      </c>
      <c r="U777" s="1077">
        <v>3.5</v>
      </c>
      <c r="V777" s="1077" t="s">
        <v>648</v>
      </c>
      <c r="W777" s="1077">
        <v>120</v>
      </c>
      <c r="X777" s="1077">
        <v>80</v>
      </c>
      <c r="Y777" s="1077">
        <v>1.5</v>
      </c>
      <c r="Z777" s="1077">
        <v>4</v>
      </c>
      <c r="AA777" s="1077" t="s">
        <v>3902</v>
      </c>
      <c r="AH777" s="1077" t="s">
        <v>762</v>
      </c>
      <c r="AI777" s="1077">
        <v>92.89</v>
      </c>
      <c r="AJ777" s="1077">
        <v>-0.3</v>
      </c>
      <c r="AK777" s="1077">
        <v>0.7</v>
      </c>
      <c r="AM777" s="1078" t="s">
        <v>10591</v>
      </c>
      <c r="AN777" s="1078" t="s">
        <v>10592</v>
      </c>
      <c r="AO777" s="1078">
        <f t="shared" si="94"/>
        <v>600</v>
      </c>
      <c r="AP777" s="1078">
        <f t="shared" si="95"/>
        <v>1.7</v>
      </c>
      <c r="AQ777" s="1078" t="str">
        <f t="shared" si="96"/>
        <v>1-4-1S83°</v>
      </c>
      <c r="AR777" s="1078" t="str">
        <f t="shared" si="97"/>
        <v>30.5</v>
      </c>
      <c r="AS777" s="1078" t="str">
        <f t="shared" si="98"/>
        <v>265/265/OFF</v>
      </c>
      <c r="AT777" s="1078" t="str">
        <f t="shared" si="99"/>
        <v>1-4-1S83°</v>
      </c>
      <c r="AV777" s="1078" t="str">
        <f t="shared" si="100"/>
        <v>113.1.5</v>
      </c>
      <c r="AW777" s="1344">
        <f t="shared" si="101"/>
        <v>45296</v>
      </c>
    </row>
    <row r="778" spans="1:49">
      <c r="A778" s="1077" t="s">
        <v>3903</v>
      </c>
      <c r="B778" s="1077" t="s">
        <v>472</v>
      </c>
      <c r="C778" s="1077">
        <v>600</v>
      </c>
      <c r="D778" s="1077">
        <v>1.7</v>
      </c>
      <c r="E778" s="1077" t="s">
        <v>15089</v>
      </c>
      <c r="F778" s="1077" t="s">
        <v>984</v>
      </c>
      <c r="G778" s="1077" t="s">
        <v>1767</v>
      </c>
      <c r="H778" s="1077" t="s">
        <v>1226</v>
      </c>
      <c r="I778" s="1077" t="s">
        <v>126</v>
      </c>
      <c r="J778" s="1077">
        <v>0.7</v>
      </c>
      <c r="K778" s="1077" t="s">
        <v>1851</v>
      </c>
      <c r="L778" s="1077" t="s">
        <v>1811</v>
      </c>
      <c r="M778" s="1077">
        <v>74.599999999999994</v>
      </c>
      <c r="N778" s="1077" t="s">
        <v>945</v>
      </c>
      <c r="O778" s="1077">
        <v>1.865</v>
      </c>
      <c r="P778" s="1077">
        <v>1.492</v>
      </c>
      <c r="Q778" s="1077">
        <v>3.5</v>
      </c>
      <c r="R778" s="1077">
        <v>27</v>
      </c>
      <c r="T778" s="1077">
        <v>12.5</v>
      </c>
      <c r="U778" s="1077">
        <v>5.0999999999999996</v>
      </c>
      <c r="V778" s="1077" t="s">
        <v>648</v>
      </c>
      <c r="W778" s="1077">
        <v>95</v>
      </c>
      <c r="X778" s="1077">
        <v>60</v>
      </c>
      <c r="Y778" s="1077">
        <v>1.8</v>
      </c>
      <c r="Z778" s="1077">
        <v>4.5</v>
      </c>
      <c r="AA778" s="1077" t="s">
        <v>3904</v>
      </c>
      <c r="AB778" s="1077" t="s">
        <v>3905</v>
      </c>
      <c r="AH778" s="1077" t="s">
        <v>990</v>
      </c>
      <c r="AI778" s="1077">
        <v>93.08</v>
      </c>
      <c r="AJ778" s="1077">
        <v>-0.8</v>
      </c>
      <c r="AK778" s="1077">
        <v>2.99</v>
      </c>
      <c r="AM778" s="1078" t="s">
        <v>10593</v>
      </c>
      <c r="AN778" s="1078" t="s">
        <v>10594</v>
      </c>
      <c r="AO778" s="1078">
        <f t="shared" si="94"/>
        <v>600</v>
      </c>
      <c r="AP778" s="1078">
        <f t="shared" si="95"/>
        <v>1.7</v>
      </c>
      <c r="AQ778" s="1078" t="str">
        <f t="shared" si="96"/>
        <v>1-4-1S83°</v>
      </c>
      <c r="AR778" s="1078" t="str">
        <f t="shared" si="97"/>
        <v>30</v>
      </c>
      <c r="AS778" s="1078" t="str">
        <f t="shared" si="98"/>
        <v>230/230/OFF</v>
      </c>
      <c r="AT778" s="1078" t="str">
        <f t="shared" si="99"/>
        <v>1-4-1S83°</v>
      </c>
      <c r="AV778" s="1078" t="str">
        <f t="shared" si="100"/>
        <v>113.1.12</v>
      </c>
      <c r="AW778" s="1344">
        <f t="shared" si="101"/>
        <v>45303</v>
      </c>
    </row>
    <row r="779" spans="1:49">
      <c r="A779" s="1077" t="s">
        <v>3906</v>
      </c>
      <c r="B779" s="1077" t="s">
        <v>840</v>
      </c>
      <c r="C779" s="1077">
        <v>650</v>
      </c>
      <c r="D779" s="1077">
        <v>1.76</v>
      </c>
      <c r="E779" s="1077" t="s">
        <v>15095</v>
      </c>
      <c r="F779" s="1077" t="s">
        <v>954</v>
      </c>
      <c r="G779" s="1077" t="s">
        <v>940</v>
      </c>
      <c r="H779" s="1077" t="s">
        <v>1274</v>
      </c>
      <c r="I779" s="1077" t="s">
        <v>126</v>
      </c>
      <c r="J779" s="1077">
        <v>1.3</v>
      </c>
      <c r="K779" s="1077" t="s">
        <v>3774</v>
      </c>
      <c r="L779" s="1077" t="s">
        <v>1780</v>
      </c>
      <c r="M779" s="1077">
        <v>75.400000000000006</v>
      </c>
      <c r="N779" s="1077" t="s">
        <v>945</v>
      </c>
      <c r="O779" s="1077">
        <v>1.8850000000000002</v>
      </c>
      <c r="P779" s="1077">
        <v>1.5080000000000002</v>
      </c>
      <c r="Q779" s="1077">
        <v>3</v>
      </c>
      <c r="R779" s="1077">
        <v>24</v>
      </c>
      <c r="T779" s="1077">
        <v>18</v>
      </c>
      <c r="U779" s="1077">
        <v>6</v>
      </c>
      <c r="V779" s="1077" t="s">
        <v>648</v>
      </c>
      <c r="W779" s="1077">
        <v>120</v>
      </c>
      <c r="X779" s="1077">
        <v>80</v>
      </c>
      <c r="Y779" s="1077">
        <v>2</v>
      </c>
      <c r="Z779" s="1077">
        <v>6</v>
      </c>
      <c r="AA779" s="1077" t="s">
        <v>3907</v>
      </c>
      <c r="AH779" s="1077" t="s">
        <v>724</v>
      </c>
      <c r="AI779" s="1077">
        <v>91.82</v>
      </c>
      <c r="AJ779" s="1077">
        <v>-1.21</v>
      </c>
      <c r="AK779" s="1077">
        <v>3.32</v>
      </c>
      <c r="AM779" s="1078" t="s">
        <v>10595</v>
      </c>
      <c r="AN779" s="1078" t="s">
        <v>10596</v>
      </c>
      <c r="AO779" s="1078">
        <f t="shared" ref="AO779:AO842" si="102">C779</f>
        <v>650</v>
      </c>
      <c r="AP779" s="1078">
        <f t="shared" ref="AP779:AP842" si="103">D779</f>
        <v>1.76</v>
      </c>
      <c r="AQ779" s="1078" t="str">
        <f t="shared" ref="AQ779:AQ842" si="104">E779</f>
        <v>1-5-1S83°</v>
      </c>
      <c r="AR779" s="1078" t="str">
        <f t="shared" ref="AR779:AR842" si="105">F779</f>
        <v>31</v>
      </c>
      <c r="AS779" s="1078" t="str">
        <f t="shared" ref="AS779:AS842" si="106">H779</f>
        <v>210/210/OFF</v>
      </c>
      <c r="AT779" s="1078" t="str">
        <f t="shared" ref="AT779:AT842" si="107">E779</f>
        <v>1-5-1S83°</v>
      </c>
      <c r="AV779" s="1078" t="str">
        <f t="shared" si="100"/>
        <v>113.1.15</v>
      </c>
      <c r="AW779" s="1344">
        <f t="shared" si="101"/>
        <v>45306</v>
      </c>
    </row>
    <row r="780" spans="1:49">
      <c r="A780" s="1077" t="s">
        <v>3908</v>
      </c>
      <c r="B780" s="1077" t="s">
        <v>1783</v>
      </c>
      <c r="C780" s="1077">
        <v>500</v>
      </c>
      <c r="D780" s="1077">
        <v>1.68</v>
      </c>
      <c r="E780" s="1077" t="s">
        <v>15089</v>
      </c>
      <c r="F780" s="1077" t="s">
        <v>2001</v>
      </c>
      <c r="G780" s="1077" t="s">
        <v>1784</v>
      </c>
      <c r="H780" s="1077" t="s">
        <v>1290</v>
      </c>
      <c r="I780" s="1077" t="s">
        <v>126</v>
      </c>
      <c r="J780" s="1077">
        <v>0.3</v>
      </c>
      <c r="K780" s="1077" t="s">
        <v>3909</v>
      </c>
      <c r="L780" s="1077" t="s">
        <v>1787</v>
      </c>
      <c r="M780" s="1077">
        <v>75</v>
      </c>
      <c r="N780" s="1077" t="s">
        <v>945</v>
      </c>
      <c r="O780" s="1077">
        <v>1.875</v>
      </c>
      <c r="P780" s="1077">
        <v>1.5</v>
      </c>
      <c r="Q780" s="1077">
        <v>4</v>
      </c>
      <c r="R780" s="1077">
        <v>21</v>
      </c>
      <c r="T780" s="1077">
        <v>13</v>
      </c>
      <c r="U780" s="1077">
        <v>4</v>
      </c>
      <c r="V780" s="1077" t="s">
        <v>648</v>
      </c>
      <c r="W780" s="1077">
        <v>30</v>
      </c>
      <c r="X780" s="1077">
        <v>10</v>
      </c>
      <c r="Y780" s="1077">
        <v>2.5</v>
      </c>
      <c r="Z780" s="1077">
        <v>2</v>
      </c>
      <c r="AA780" s="1077" t="s">
        <v>3907</v>
      </c>
      <c r="AH780" s="1077" t="s">
        <v>994</v>
      </c>
      <c r="AI780" s="1077">
        <v>94.73</v>
      </c>
      <c r="AJ780" s="1077">
        <v>-0.04</v>
      </c>
      <c r="AK780" s="1077">
        <v>0.9</v>
      </c>
      <c r="AM780" s="1078" t="s">
        <v>10597</v>
      </c>
      <c r="AN780" s="1078" t="s">
        <v>10598</v>
      </c>
      <c r="AO780" s="1078">
        <f t="shared" si="102"/>
        <v>500</v>
      </c>
      <c r="AP780" s="1078">
        <f t="shared" si="103"/>
        <v>1.68</v>
      </c>
      <c r="AQ780" s="1078" t="str">
        <f t="shared" si="104"/>
        <v>1-4-1S83°</v>
      </c>
      <c r="AR780" s="1078" t="str">
        <f t="shared" si="105"/>
        <v>29.9</v>
      </c>
      <c r="AS780" s="1078" t="str">
        <f t="shared" si="106"/>
        <v>220/220/OFF</v>
      </c>
      <c r="AT780" s="1078" t="str">
        <f t="shared" si="107"/>
        <v>1-4-1S83°</v>
      </c>
      <c r="AV780" s="1078" t="str">
        <f t="shared" si="100"/>
        <v>113.1.15</v>
      </c>
      <c r="AW780" s="1344">
        <f t="shared" si="101"/>
        <v>45306</v>
      </c>
    </row>
    <row r="781" spans="1:49">
      <c r="A781" s="1077" t="s">
        <v>3910</v>
      </c>
      <c r="B781" s="1077" t="s">
        <v>472</v>
      </c>
      <c r="C781" s="1077">
        <v>600</v>
      </c>
      <c r="D781" s="1077">
        <v>1.68</v>
      </c>
      <c r="E781" s="1077" t="s">
        <v>15089</v>
      </c>
      <c r="F781" s="1077" t="s">
        <v>984</v>
      </c>
      <c r="G781" s="1077" t="s">
        <v>1767</v>
      </c>
      <c r="H781" s="1077" t="s">
        <v>1226</v>
      </c>
      <c r="I781" s="1077" t="s">
        <v>126</v>
      </c>
      <c r="J781" s="1077">
        <v>0.7</v>
      </c>
      <c r="K781" s="1077" t="s">
        <v>1810</v>
      </c>
      <c r="L781" s="1077" t="s">
        <v>1811</v>
      </c>
      <c r="M781" s="1077">
        <v>74.599999999999994</v>
      </c>
      <c r="N781" s="1077" t="s">
        <v>945</v>
      </c>
      <c r="O781" s="1077">
        <v>1.865</v>
      </c>
      <c r="P781" s="1077">
        <v>1.492</v>
      </c>
      <c r="Q781" s="1077">
        <v>3.5</v>
      </c>
      <c r="R781" s="1077">
        <v>27</v>
      </c>
      <c r="T781" s="1077">
        <v>12.5</v>
      </c>
      <c r="U781" s="1077">
        <v>5.0999999999999996</v>
      </c>
      <c r="V781" s="1077" t="s">
        <v>648</v>
      </c>
      <c r="W781" s="1077">
        <v>95</v>
      </c>
      <c r="X781" s="1077">
        <v>60</v>
      </c>
      <c r="Y781" s="1077">
        <v>1.8</v>
      </c>
      <c r="Z781" s="1077">
        <v>4.5</v>
      </c>
      <c r="AA781" s="1077" t="s">
        <v>3911</v>
      </c>
      <c r="AB781" s="1077" t="s">
        <v>1861</v>
      </c>
      <c r="AH781" s="1077" t="s">
        <v>1186</v>
      </c>
      <c r="AI781" s="1077">
        <v>93.44</v>
      </c>
      <c r="AJ781" s="1077">
        <v>-1.0900000000000001</v>
      </c>
      <c r="AK781" s="1077">
        <v>3.46</v>
      </c>
      <c r="AM781" s="1078" t="s">
        <v>10599</v>
      </c>
      <c r="AN781" s="1078" t="s">
        <v>10600</v>
      </c>
      <c r="AO781" s="1078">
        <f t="shared" si="102"/>
        <v>600</v>
      </c>
      <c r="AP781" s="1078">
        <f t="shared" si="103"/>
        <v>1.68</v>
      </c>
      <c r="AQ781" s="1078" t="str">
        <f t="shared" si="104"/>
        <v>1-4-1S83°</v>
      </c>
      <c r="AR781" s="1078" t="str">
        <f t="shared" si="105"/>
        <v>30</v>
      </c>
      <c r="AS781" s="1078" t="str">
        <f t="shared" si="106"/>
        <v>230/230/OFF</v>
      </c>
      <c r="AT781" s="1078" t="str">
        <f t="shared" si="107"/>
        <v>1-4-1S83°</v>
      </c>
      <c r="AV781" s="1078" t="str">
        <f t="shared" si="100"/>
        <v>113.1.19</v>
      </c>
      <c r="AW781" s="1344">
        <f t="shared" si="101"/>
        <v>45310</v>
      </c>
    </row>
    <row r="782" spans="1:49">
      <c r="A782" s="1077" t="s">
        <v>3912</v>
      </c>
      <c r="B782" s="1077" t="s">
        <v>1783</v>
      </c>
      <c r="C782" s="1077">
        <v>600</v>
      </c>
      <c r="D782" s="1077">
        <v>1.6850000000000001</v>
      </c>
      <c r="E782" s="1077" t="s">
        <v>15089</v>
      </c>
      <c r="F782" s="1077" t="s">
        <v>1173</v>
      </c>
      <c r="G782" s="1077" t="s">
        <v>1767</v>
      </c>
      <c r="H782" s="1077" t="s">
        <v>1029</v>
      </c>
      <c r="I782" s="1077" t="s">
        <v>126</v>
      </c>
      <c r="J782" s="1077">
        <v>0.8</v>
      </c>
      <c r="K782" s="1077" t="s">
        <v>3909</v>
      </c>
      <c r="L782" s="1077" t="s">
        <v>3731</v>
      </c>
      <c r="M782" s="1077">
        <v>76</v>
      </c>
      <c r="N782" s="1077" t="s">
        <v>945</v>
      </c>
      <c r="O782" s="1077">
        <v>1.9000000000000001</v>
      </c>
      <c r="P782" s="1077">
        <v>1.52</v>
      </c>
      <c r="Q782" s="1077">
        <v>4</v>
      </c>
      <c r="R782" s="1077">
        <v>23</v>
      </c>
      <c r="T782" s="1077">
        <v>11.5</v>
      </c>
      <c r="U782" s="1077">
        <v>3.9</v>
      </c>
      <c r="V782" s="1077" t="s">
        <v>648</v>
      </c>
      <c r="W782" s="1077">
        <v>120</v>
      </c>
      <c r="X782" s="1077">
        <v>85</v>
      </c>
      <c r="Y782" s="1077">
        <v>2</v>
      </c>
      <c r="Z782" s="1077">
        <v>2.5</v>
      </c>
      <c r="AA782" s="1077" t="s">
        <v>3913</v>
      </c>
      <c r="AH782" s="1077" t="s">
        <v>884</v>
      </c>
      <c r="AI782" s="1077">
        <v>94.53</v>
      </c>
      <c r="AJ782" s="1077">
        <v>-0.27</v>
      </c>
      <c r="AK782" s="1077">
        <v>1.27</v>
      </c>
      <c r="AM782" s="1078" t="s">
        <v>10601</v>
      </c>
      <c r="AN782" s="1078" t="s">
        <v>10602</v>
      </c>
      <c r="AO782" s="1078">
        <f t="shared" si="102"/>
        <v>600</v>
      </c>
      <c r="AP782" s="1078">
        <f t="shared" si="103"/>
        <v>1.6850000000000001</v>
      </c>
      <c r="AQ782" s="1078" t="str">
        <f t="shared" si="104"/>
        <v>1-4-1S83°</v>
      </c>
      <c r="AR782" s="1078" t="str">
        <f t="shared" si="105"/>
        <v>28.5</v>
      </c>
      <c r="AS782" s="1078" t="str">
        <f t="shared" si="106"/>
        <v>250/250/OFF</v>
      </c>
      <c r="AT782" s="1078" t="str">
        <f t="shared" si="107"/>
        <v>1-4-1S83°</v>
      </c>
      <c r="AV782" s="1078" t="str">
        <f t="shared" si="100"/>
        <v>113.1.22</v>
      </c>
      <c r="AW782" s="1344">
        <f t="shared" si="101"/>
        <v>45313</v>
      </c>
    </row>
    <row r="783" spans="1:49">
      <c r="A783" s="1077" t="s">
        <v>3914</v>
      </c>
      <c r="B783" s="1077" t="s">
        <v>771</v>
      </c>
      <c r="C783" s="1077">
        <v>700</v>
      </c>
      <c r="D783" s="1077">
        <v>1.7450000000000001</v>
      </c>
      <c r="E783" s="1077" t="s">
        <v>15089</v>
      </c>
      <c r="F783" s="1077" t="s">
        <v>984</v>
      </c>
      <c r="G783" s="1077">
        <v>5</v>
      </c>
      <c r="H783" s="1077" t="s">
        <v>955</v>
      </c>
      <c r="I783" s="1077" t="s">
        <v>126</v>
      </c>
      <c r="J783" s="1077">
        <v>1.3</v>
      </c>
      <c r="K783" s="1077" t="s">
        <v>3915</v>
      </c>
      <c r="L783" s="1077" t="s">
        <v>1943</v>
      </c>
      <c r="M783" s="1077">
        <v>75</v>
      </c>
      <c r="N783" s="1077" t="s">
        <v>945</v>
      </c>
      <c r="O783" s="1077">
        <v>1.875</v>
      </c>
      <c r="P783" s="1077">
        <v>1.5</v>
      </c>
      <c r="Q783" s="1077">
        <v>4</v>
      </c>
      <c r="R783" s="1077">
        <v>23</v>
      </c>
      <c r="T783" s="1077">
        <v>26.5</v>
      </c>
      <c r="U783" s="1077">
        <v>3.8</v>
      </c>
      <c r="V783" s="1077" t="s">
        <v>648</v>
      </c>
      <c r="W783" s="1077">
        <v>100</v>
      </c>
      <c r="X783" s="1077">
        <v>45</v>
      </c>
      <c r="Y783" s="1077">
        <v>1.6</v>
      </c>
      <c r="Z783" s="1077">
        <v>5</v>
      </c>
      <c r="AA783" s="1077" t="s">
        <v>3916</v>
      </c>
      <c r="AH783" s="1077" t="s">
        <v>889</v>
      </c>
      <c r="AI783" s="1077">
        <v>92.17</v>
      </c>
      <c r="AJ783" s="1077">
        <v>-0.01</v>
      </c>
      <c r="AK783" s="1077">
        <v>0.63</v>
      </c>
      <c r="AM783" s="1078" t="s">
        <v>10603</v>
      </c>
      <c r="AN783" s="1078" t="s">
        <v>10604</v>
      </c>
      <c r="AO783" s="1078">
        <f t="shared" si="102"/>
        <v>700</v>
      </c>
      <c r="AP783" s="1078">
        <f t="shared" si="103"/>
        <v>1.7450000000000001</v>
      </c>
      <c r="AQ783" s="1078" t="str">
        <f t="shared" si="104"/>
        <v>1-4-1S83°</v>
      </c>
      <c r="AR783" s="1078" t="str">
        <f t="shared" si="105"/>
        <v>30</v>
      </c>
      <c r="AS783" s="1078" t="str">
        <f t="shared" si="106"/>
        <v>260/260/OFF</v>
      </c>
      <c r="AT783" s="1078" t="str">
        <f t="shared" si="107"/>
        <v>1-4-1S83°</v>
      </c>
      <c r="AV783" s="1078" t="str">
        <f t="shared" si="100"/>
        <v>113.1.26</v>
      </c>
      <c r="AW783" s="1344">
        <f t="shared" si="101"/>
        <v>45317</v>
      </c>
    </row>
    <row r="784" spans="1:49">
      <c r="A784" s="1077" t="s">
        <v>3917</v>
      </c>
      <c r="B784" s="1077" t="s">
        <v>424</v>
      </c>
      <c r="C784" s="1077">
        <v>700</v>
      </c>
      <c r="D784" s="1077">
        <v>1.8</v>
      </c>
      <c r="E784" s="1077" t="s">
        <v>15089</v>
      </c>
      <c r="F784" s="1077" t="s">
        <v>954</v>
      </c>
      <c r="G784" s="1077" t="s">
        <v>1767</v>
      </c>
      <c r="H784" s="1077" t="s">
        <v>1806</v>
      </c>
      <c r="I784" s="1077" t="s">
        <v>126</v>
      </c>
      <c r="J784" s="1077">
        <v>1.9</v>
      </c>
      <c r="K784" s="1077" t="s">
        <v>1864</v>
      </c>
      <c r="L784" s="1077" t="s">
        <v>1795</v>
      </c>
      <c r="M784" s="1077">
        <v>73</v>
      </c>
      <c r="N784" s="1077" t="s">
        <v>945</v>
      </c>
      <c r="O784" s="1077">
        <v>1.8250000000000002</v>
      </c>
      <c r="P784" s="1077">
        <v>1.46</v>
      </c>
      <c r="Q784" s="1077">
        <v>4</v>
      </c>
      <c r="R784" s="1077">
        <v>21.6</v>
      </c>
      <c r="T784" s="1077">
        <v>32</v>
      </c>
      <c r="U784" s="1077">
        <v>3.5</v>
      </c>
      <c r="V784" s="1077" t="s">
        <v>648</v>
      </c>
      <c r="W784" s="1077">
        <v>110</v>
      </c>
      <c r="X784" s="1077">
        <v>60</v>
      </c>
      <c r="Y784" s="1077">
        <v>1.5</v>
      </c>
      <c r="Z784" s="1077">
        <v>5.5</v>
      </c>
      <c r="AA784" s="1077" t="s">
        <v>3918</v>
      </c>
      <c r="AB784" s="1077" t="s">
        <v>981</v>
      </c>
      <c r="AH784" s="1077" t="s">
        <v>482</v>
      </c>
      <c r="AI784" s="1077">
        <v>92.13</v>
      </c>
      <c r="AJ784" s="1077">
        <v>-7.0000000000000007E-2</v>
      </c>
      <c r="AK784" s="1077">
        <v>4.01</v>
      </c>
      <c r="AM784" s="1078" t="s">
        <v>10605</v>
      </c>
      <c r="AN784" s="1078" t="s">
        <v>10606</v>
      </c>
      <c r="AO784" s="1078">
        <f t="shared" si="102"/>
        <v>700</v>
      </c>
      <c r="AP784" s="1078">
        <f t="shared" si="103"/>
        <v>1.8</v>
      </c>
      <c r="AQ784" s="1078" t="str">
        <f t="shared" si="104"/>
        <v>1-4-1S83°</v>
      </c>
      <c r="AR784" s="1078" t="str">
        <f t="shared" si="105"/>
        <v>31</v>
      </c>
      <c r="AS784" s="1078" t="str">
        <f t="shared" si="106"/>
        <v>280/280/OFF</v>
      </c>
      <c r="AT784" s="1078" t="str">
        <f t="shared" si="107"/>
        <v>1-4-1S83°</v>
      </c>
      <c r="AV784" s="1078" t="str">
        <f t="shared" si="100"/>
        <v>113.1.31</v>
      </c>
      <c r="AW784" s="1344">
        <f t="shared" si="101"/>
        <v>45322</v>
      </c>
    </row>
    <row r="785" spans="1:49">
      <c r="A785" s="1077" t="s">
        <v>3919</v>
      </c>
      <c r="B785" s="1077" t="s">
        <v>752</v>
      </c>
      <c r="C785" s="1077">
        <v>500</v>
      </c>
      <c r="D785" s="1077">
        <v>1.7</v>
      </c>
      <c r="E785" s="1077" t="s">
        <v>15091</v>
      </c>
      <c r="F785" s="1077" t="s">
        <v>984</v>
      </c>
      <c r="G785" s="1077" t="s">
        <v>1001</v>
      </c>
      <c r="H785" s="1077" t="s">
        <v>1470</v>
      </c>
      <c r="I785" s="1077" t="s">
        <v>1167</v>
      </c>
      <c r="J785" s="1077">
        <v>0.9</v>
      </c>
      <c r="K785" s="1077" t="s">
        <v>1932</v>
      </c>
      <c r="L785" s="1077" t="s">
        <v>1933</v>
      </c>
      <c r="M785" s="1077">
        <v>74.5</v>
      </c>
      <c r="N785" s="1077" t="s">
        <v>945</v>
      </c>
      <c r="O785" s="1077">
        <v>1.8625</v>
      </c>
      <c r="P785" s="1077">
        <v>1.49</v>
      </c>
      <c r="Q785" s="1077">
        <v>4</v>
      </c>
      <c r="R785" s="1077">
        <v>22.3</v>
      </c>
      <c r="T785" s="1077">
        <v>22</v>
      </c>
      <c r="U785" s="1077">
        <v>3.3</v>
      </c>
      <c r="V785" s="1077" t="s">
        <v>648</v>
      </c>
      <c r="W785" s="1077">
        <v>110</v>
      </c>
      <c r="X785" s="1077">
        <v>85</v>
      </c>
      <c r="Y785" s="1077">
        <v>2</v>
      </c>
      <c r="Z785" s="1077">
        <v>4.5</v>
      </c>
      <c r="AA785" s="1077" t="s">
        <v>3920</v>
      </c>
      <c r="AH785" s="1077" t="s">
        <v>782</v>
      </c>
      <c r="AI785" s="1077">
        <v>94.28</v>
      </c>
      <c r="AJ785" s="1077">
        <v>-0.16</v>
      </c>
      <c r="AK785" s="1077">
        <v>0.99</v>
      </c>
      <c r="AM785" s="1078" t="s">
        <v>10607</v>
      </c>
      <c r="AN785" s="1078" t="s">
        <v>10608</v>
      </c>
      <c r="AO785" s="1078">
        <f t="shared" si="102"/>
        <v>500</v>
      </c>
      <c r="AP785" s="1078">
        <f t="shared" si="103"/>
        <v>1.7</v>
      </c>
      <c r="AQ785" s="1078" t="str">
        <f t="shared" si="104"/>
        <v>2-5-1S83°</v>
      </c>
      <c r="AR785" s="1078" t="str">
        <f t="shared" si="105"/>
        <v>30</v>
      </c>
      <c r="AS785" s="1078" t="str">
        <f t="shared" si="106"/>
        <v>160/OFF</v>
      </c>
      <c r="AT785" s="1078" t="str">
        <f t="shared" si="107"/>
        <v>2-5-1S83°</v>
      </c>
      <c r="AV785" s="1078" t="str">
        <f t="shared" si="100"/>
        <v>113.2.6</v>
      </c>
      <c r="AW785" s="1344">
        <f t="shared" si="101"/>
        <v>45328</v>
      </c>
    </row>
    <row r="786" spans="1:49">
      <c r="A786" s="1077" t="s">
        <v>3921</v>
      </c>
      <c r="B786" s="1077" t="s">
        <v>424</v>
      </c>
      <c r="C786" s="1077">
        <v>650</v>
      </c>
      <c r="D786" s="1077">
        <v>1.7649999999999999</v>
      </c>
      <c r="E786" s="1077" t="s">
        <v>15091</v>
      </c>
      <c r="F786" s="1077" t="s">
        <v>975</v>
      </c>
      <c r="G786" s="1077" t="s">
        <v>1767</v>
      </c>
      <c r="H786" s="1077" t="s">
        <v>1936</v>
      </c>
      <c r="I786" s="1077" t="s">
        <v>1112</v>
      </c>
      <c r="J786" s="1077">
        <v>1.7</v>
      </c>
      <c r="K786" s="1077" t="s">
        <v>1937</v>
      </c>
      <c r="L786" s="1077" t="s">
        <v>1938</v>
      </c>
      <c r="M786" s="1077">
        <v>74.599999999999994</v>
      </c>
      <c r="N786" s="1077" t="s">
        <v>945</v>
      </c>
      <c r="O786" s="1077">
        <v>1.865</v>
      </c>
      <c r="P786" s="1077">
        <v>1.492</v>
      </c>
      <c r="Q786" s="1077">
        <v>4</v>
      </c>
      <c r="R786" s="1077">
        <v>22</v>
      </c>
      <c r="T786" s="1077">
        <v>32</v>
      </c>
      <c r="U786" s="1077">
        <v>3.4</v>
      </c>
      <c r="V786" s="1077" t="s">
        <v>648</v>
      </c>
      <c r="W786" s="1077">
        <v>110</v>
      </c>
      <c r="X786" s="1077">
        <v>60</v>
      </c>
      <c r="Y786" s="1077">
        <v>2</v>
      </c>
      <c r="Z786" s="1077">
        <v>6</v>
      </c>
      <c r="AA786" s="1077" t="s">
        <v>3922</v>
      </c>
      <c r="AH786" s="1077" t="s">
        <v>812</v>
      </c>
      <c r="AI786" s="1077">
        <v>93.27</v>
      </c>
      <c r="AJ786" s="1077">
        <v>-0.13</v>
      </c>
      <c r="AK786" s="1077">
        <v>0.75</v>
      </c>
      <c r="AM786" s="1078" t="s">
        <v>10609</v>
      </c>
      <c r="AN786" s="1078" t="s">
        <v>10610</v>
      </c>
      <c r="AO786" s="1078">
        <f t="shared" si="102"/>
        <v>650</v>
      </c>
      <c r="AP786" s="1078">
        <f t="shared" si="103"/>
        <v>1.7649999999999999</v>
      </c>
      <c r="AQ786" s="1078" t="str">
        <f t="shared" si="104"/>
        <v>2-5-1S83°</v>
      </c>
      <c r="AR786" s="1078" t="str">
        <f t="shared" si="105"/>
        <v>31.5</v>
      </c>
      <c r="AS786" s="1078" t="str">
        <f t="shared" si="106"/>
        <v>175/OFF</v>
      </c>
      <c r="AT786" s="1078" t="str">
        <f t="shared" si="107"/>
        <v>2-5-1S83°</v>
      </c>
      <c r="AV786" s="1078" t="str">
        <f t="shared" si="100"/>
        <v>113.1.30</v>
      </c>
      <c r="AW786" s="1344">
        <f t="shared" si="101"/>
        <v>45321</v>
      </c>
    </row>
    <row r="787" spans="1:49">
      <c r="A787" s="1077" t="s">
        <v>3923</v>
      </c>
      <c r="B787" s="1077" t="s">
        <v>1842</v>
      </c>
      <c r="C787" s="1077">
        <v>500</v>
      </c>
      <c r="D787" s="1077">
        <v>1.7</v>
      </c>
      <c r="E787" s="1077" t="s">
        <v>15095</v>
      </c>
      <c r="F787" s="1077" t="s">
        <v>984</v>
      </c>
      <c r="G787" s="1077" t="s">
        <v>1016</v>
      </c>
      <c r="H787" s="1077" t="s">
        <v>1649</v>
      </c>
      <c r="I787" s="1077" t="s">
        <v>126</v>
      </c>
      <c r="J787" s="1077">
        <v>0.7</v>
      </c>
      <c r="K787" s="1077" t="s">
        <v>1843</v>
      </c>
      <c r="L787" s="1077" t="s">
        <v>1844</v>
      </c>
      <c r="M787" s="1077">
        <v>77.099999999999994</v>
      </c>
      <c r="N787" s="1077" t="s">
        <v>945</v>
      </c>
      <c r="O787" s="1077">
        <v>1.9275</v>
      </c>
      <c r="P787" s="1077">
        <v>1.5419999999999998</v>
      </c>
      <c r="Q787" s="1077">
        <v>3.5</v>
      </c>
      <c r="R787" s="1077">
        <v>25</v>
      </c>
      <c r="T787" s="1077">
        <v>18</v>
      </c>
      <c r="U787" s="1077">
        <v>4</v>
      </c>
      <c r="V787" s="1077" t="s">
        <v>648</v>
      </c>
      <c r="W787" s="1077">
        <v>110</v>
      </c>
      <c r="X787" s="1077">
        <v>70</v>
      </c>
      <c r="Y787" s="1077">
        <v>1.8</v>
      </c>
      <c r="Z787" s="1077">
        <v>4.5</v>
      </c>
      <c r="AA787" s="1077" t="s">
        <v>1642</v>
      </c>
      <c r="AH787" s="1077" t="s">
        <v>948</v>
      </c>
      <c r="AI787" s="1077">
        <v>94.88</v>
      </c>
      <c r="AJ787" s="1077">
        <v>-7.0000000000000007E-2</v>
      </c>
      <c r="AK787" s="1077">
        <v>1.05</v>
      </c>
      <c r="AM787" s="1078" t="s">
        <v>10611</v>
      </c>
      <c r="AN787" s="1078" t="s">
        <v>10612</v>
      </c>
      <c r="AO787" s="1078">
        <f t="shared" si="102"/>
        <v>500</v>
      </c>
      <c r="AP787" s="1078">
        <f t="shared" si="103"/>
        <v>1.7</v>
      </c>
      <c r="AQ787" s="1078" t="str">
        <f t="shared" si="104"/>
        <v>1-5-1S83°</v>
      </c>
      <c r="AR787" s="1078" t="str">
        <f t="shared" si="105"/>
        <v>30</v>
      </c>
      <c r="AS787" s="1078" t="str">
        <f t="shared" si="106"/>
        <v>225/225/OFF</v>
      </c>
      <c r="AT787" s="1078" t="str">
        <f t="shared" si="107"/>
        <v>1-5-1S83°</v>
      </c>
      <c r="AV787" s="1078" t="str">
        <f t="shared" si="100"/>
        <v>113.2.2</v>
      </c>
      <c r="AW787" s="1344">
        <f t="shared" si="101"/>
        <v>45324</v>
      </c>
    </row>
    <row r="788" spans="1:49">
      <c r="A788" s="1077" t="s">
        <v>3924</v>
      </c>
      <c r="B788" s="1077" t="s">
        <v>1891</v>
      </c>
      <c r="C788" s="1077">
        <v>600</v>
      </c>
      <c r="D788" s="1077">
        <v>1.68</v>
      </c>
      <c r="E788" s="1077" t="s">
        <v>15089</v>
      </c>
      <c r="F788" s="1077" t="s">
        <v>984</v>
      </c>
      <c r="G788" s="1077" t="s">
        <v>940</v>
      </c>
      <c r="H788" s="1077" t="s">
        <v>1226</v>
      </c>
      <c r="I788" s="1077" t="s">
        <v>126</v>
      </c>
      <c r="J788" s="1077">
        <v>0.7</v>
      </c>
      <c r="K788" s="1077" t="s">
        <v>1892</v>
      </c>
      <c r="L788" s="1077" t="s">
        <v>1893</v>
      </c>
      <c r="M788" s="1077">
        <v>74.599999999999994</v>
      </c>
      <c r="N788" s="1077" t="s">
        <v>945</v>
      </c>
      <c r="O788" s="1077">
        <v>1.865</v>
      </c>
      <c r="P788" s="1077">
        <v>1.492</v>
      </c>
      <c r="Q788" s="1077">
        <v>3.5</v>
      </c>
      <c r="R788" s="1077">
        <v>29</v>
      </c>
      <c r="T788" s="1077">
        <v>12.5</v>
      </c>
      <c r="U788" s="1077">
        <v>5.0999999999999996</v>
      </c>
      <c r="V788" s="1077" t="s">
        <v>648</v>
      </c>
      <c r="W788" s="1077">
        <v>95</v>
      </c>
      <c r="X788" s="1077">
        <v>60</v>
      </c>
      <c r="Y788" s="1077">
        <v>1.8</v>
      </c>
      <c r="Z788" s="1077">
        <v>4.5</v>
      </c>
      <c r="AA788" s="1077" t="s">
        <v>3925</v>
      </c>
      <c r="AB788" s="1077" t="s">
        <v>3926</v>
      </c>
      <c r="AH788" s="1077" t="s">
        <v>621</v>
      </c>
      <c r="AI788" s="1077">
        <v>93.26</v>
      </c>
      <c r="AJ788" s="1077">
        <v>-1.07</v>
      </c>
      <c r="AK788" s="1077">
        <v>3.39</v>
      </c>
      <c r="AM788" s="1078" t="s">
        <v>10613</v>
      </c>
      <c r="AN788" s="1078" t="s">
        <v>10614</v>
      </c>
      <c r="AO788" s="1078">
        <f t="shared" si="102"/>
        <v>600</v>
      </c>
      <c r="AP788" s="1078">
        <f t="shared" si="103"/>
        <v>1.68</v>
      </c>
      <c r="AQ788" s="1078" t="str">
        <f t="shared" si="104"/>
        <v>1-4-1S83°</v>
      </c>
      <c r="AR788" s="1078" t="str">
        <f t="shared" si="105"/>
        <v>30</v>
      </c>
      <c r="AS788" s="1078" t="str">
        <f t="shared" si="106"/>
        <v>230/230/OFF</v>
      </c>
      <c r="AT788" s="1078" t="str">
        <f t="shared" si="107"/>
        <v>1-4-1S83°</v>
      </c>
      <c r="AV788" s="1078" t="str">
        <f t="shared" si="100"/>
        <v>113.2.15</v>
      </c>
      <c r="AW788" s="1344">
        <f t="shared" si="101"/>
        <v>45337</v>
      </c>
    </row>
    <row r="789" spans="1:49">
      <c r="A789" s="1077" t="s">
        <v>3927</v>
      </c>
      <c r="B789" s="1077" t="s">
        <v>752</v>
      </c>
      <c r="C789" s="1077">
        <v>500</v>
      </c>
      <c r="D789" s="1077">
        <v>1.7</v>
      </c>
      <c r="E789" s="1077" t="s">
        <v>15091</v>
      </c>
      <c r="F789" s="1077" t="s">
        <v>984</v>
      </c>
      <c r="G789" s="1077" t="s">
        <v>1001</v>
      </c>
      <c r="H789" s="1077" t="s">
        <v>1470</v>
      </c>
      <c r="I789" s="1077" t="s">
        <v>1167</v>
      </c>
      <c r="J789" s="1077">
        <v>0.2</v>
      </c>
      <c r="K789" s="1077" t="s">
        <v>1932</v>
      </c>
      <c r="L789" s="1077" t="s">
        <v>1933</v>
      </c>
      <c r="M789" s="1077">
        <v>74.5</v>
      </c>
      <c r="N789" s="1077" t="s">
        <v>945</v>
      </c>
      <c r="O789" s="1077">
        <v>1.8625</v>
      </c>
      <c r="P789" s="1077">
        <v>1.49</v>
      </c>
      <c r="Q789" s="1077" t="s">
        <v>3928</v>
      </c>
      <c r="R789" s="1077" t="s">
        <v>3929</v>
      </c>
      <c r="T789" s="1077">
        <v>29</v>
      </c>
      <c r="U789" s="1077">
        <v>3</v>
      </c>
      <c r="V789" s="1077" t="s">
        <v>648</v>
      </c>
      <c r="W789" s="1077" t="s">
        <v>2085</v>
      </c>
      <c r="X789" s="1077">
        <v>0</v>
      </c>
      <c r="Y789" s="1077">
        <v>1.8</v>
      </c>
      <c r="Z789" s="1077">
        <v>4.5</v>
      </c>
      <c r="AA789" s="1077" t="s">
        <v>3930</v>
      </c>
      <c r="AH789" s="1077" t="s">
        <v>726</v>
      </c>
      <c r="AI789" s="1077">
        <v>94.47</v>
      </c>
      <c r="AJ789" s="1077">
        <v>-0.33</v>
      </c>
      <c r="AK789" s="1077">
        <v>1.21</v>
      </c>
      <c r="AM789" s="1078" t="s">
        <v>10615</v>
      </c>
      <c r="AN789" s="1078" t="s">
        <v>10616</v>
      </c>
      <c r="AO789" s="1078">
        <f t="shared" si="102"/>
        <v>500</v>
      </c>
      <c r="AP789" s="1078">
        <f t="shared" si="103"/>
        <v>1.7</v>
      </c>
      <c r="AQ789" s="1078" t="str">
        <f t="shared" si="104"/>
        <v>2-5-1S83°</v>
      </c>
      <c r="AR789" s="1078" t="str">
        <f t="shared" si="105"/>
        <v>30</v>
      </c>
      <c r="AS789" s="1078" t="str">
        <f t="shared" si="106"/>
        <v>160/OFF</v>
      </c>
      <c r="AT789" s="1078" t="str">
        <f t="shared" si="107"/>
        <v>2-5-1S83°</v>
      </c>
      <c r="AV789" s="1078" t="str">
        <f t="shared" si="100"/>
        <v>113.2.19</v>
      </c>
      <c r="AW789" s="1344">
        <f t="shared" si="101"/>
        <v>45341</v>
      </c>
    </row>
    <row r="790" spans="1:49">
      <c r="A790" s="1077" t="s">
        <v>3931</v>
      </c>
      <c r="B790" s="1077" t="s">
        <v>424</v>
      </c>
      <c r="C790" s="1077">
        <v>700</v>
      </c>
      <c r="D790" s="1077">
        <v>1.7749999999999999</v>
      </c>
      <c r="E790" s="1077" t="s">
        <v>15091</v>
      </c>
      <c r="F790" s="1077" t="s">
        <v>1469</v>
      </c>
      <c r="G790" s="1077" t="s">
        <v>1767</v>
      </c>
      <c r="H790" s="1077" t="s">
        <v>3932</v>
      </c>
      <c r="I790" s="1077" t="s">
        <v>1167</v>
      </c>
      <c r="J790" s="1077">
        <v>0.6</v>
      </c>
      <c r="K790" s="1077" t="s">
        <v>1967</v>
      </c>
      <c r="L790" s="1077" t="s">
        <v>1968</v>
      </c>
      <c r="M790" s="1077">
        <v>74.5</v>
      </c>
      <c r="N790" s="1077" t="s">
        <v>945</v>
      </c>
      <c r="O790" s="1077">
        <v>1.8625</v>
      </c>
      <c r="P790" s="1077">
        <v>1.49</v>
      </c>
      <c r="Q790" s="1077">
        <v>4</v>
      </c>
      <c r="R790" s="1077">
        <v>22</v>
      </c>
      <c r="T790" s="1077">
        <v>19.5</v>
      </c>
      <c r="U790" s="1077">
        <v>2.2999999999999998</v>
      </c>
      <c r="V790" s="1077" t="s">
        <v>648</v>
      </c>
      <c r="W790" s="1077">
        <v>40</v>
      </c>
      <c r="X790" s="1077">
        <v>10</v>
      </c>
      <c r="Y790" s="1077">
        <v>1.2</v>
      </c>
      <c r="Z790" s="1077">
        <v>4</v>
      </c>
      <c r="AA790" s="1077" t="s">
        <v>3933</v>
      </c>
      <c r="AH790" s="1077" t="s">
        <v>1771</v>
      </c>
      <c r="AI790" s="1077">
        <v>91.34</v>
      </c>
      <c r="AJ790" s="1077">
        <v>-0.5</v>
      </c>
      <c r="AK790" s="1077">
        <v>0.82</v>
      </c>
      <c r="AM790" s="1078" t="s">
        <v>10617</v>
      </c>
      <c r="AN790" s="1078" t="s">
        <v>10618</v>
      </c>
      <c r="AO790" s="1078">
        <f t="shared" si="102"/>
        <v>700</v>
      </c>
      <c r="AP790" s="1078">
        <f t="shared" si="103"/>
        <v>1.7749999999999999</v>
      </c>
      <c r="AQ790" s="1078" t="str">
        <f t="shared" si="104"/>
        <v>2-5-1S83°</v>
      </c>
      <c r="AR790" s="1078" t="str">
        <f t="shared" si="105"/>
        <v>30.5</v>
      </c>
      <c r="AS790" s="1078" t="str">
        <f t="shared" si="106"/>
        <v>177/170</v>
      </c>
      <c r="AT790" s="1078" t="str">
        <f t="shared" si="107"/>
        <v>2-5-1S83°</v>
      </c>
      <c r="AV790" s="1078" t="str">
        <f t="shared" si="100"/>
        <v>113.2.26</v>
      </c>
      <c r="AW790" s="1344">
        <f t="shared" si="101"/>
        <v>45348</v>
      </c>
    </row>
    <row r="791" spans="1:49">
      <c r="A791" s="1077" t="s">
        <v>3934</v>
      </c>
      <c r="B791" s="1077" t="s">
        <v>424</v>
      </c>
      <c r="C791" s="1077">
        <v>700</v>
      </c>
      <c r="D791" s="1077">
        <v>1.77</v>
      </c>
      <c r="E791" s="1077" t="s">
        <v>15091</v>
      </c>
      <c r="F791" s="1077" t="s">
        <v>2167</v>
      </c>
      <c r="G791" s="1077" t="s">
        <v>1767</v>
      </c>
      <c r="H791" s="1077" t="s">
        <v>1188</v>
      </c>
      <c r="I791" s="1077" t="s">
        <v>1112</v>
      </c>
      <c r="J791" s="1077">
        <v>1.7</v>
      </c>
      <c r="K791" s="1077" t="s">
        <v>1967</v>
      </c>
      <c r="L791" s="1077" t="s">
        <v>1968</v>
      </c>
      <c r="M791" s="1077">
        <v>74.599999999999994</v>
      </c>
      <c r="N791" s="1077" t="s">
        <v>945</v>
      </c>
      <c r="O791" s="1077">
        <v>1.865</v>
      </c>
      <c r="P791" s="1077">
        <v>1.492</v>
      </c>
      <c r="Q791" s="1077">
        <v>4</v>
      </c>
      <c r="R791" s="1077">
        <v>22</v>
      </c>
      <c r="T791" s="1077">
        <v>32</v>
      </c>
      <c r="U791" s="1077">
        <v>3.4</v>
      </c>
      <c r="V791" s="1077" t="s">
        <v>648</v>
      </c>
      <c r="W791" s="1077">
        <v>110</v>
      </c>
      <c r="X791" s="1077">
        <v>60</v>
      </c>
      <c r="Y791" s="1077">
        <v>2</v>
      </c>
      <c r="Z791" s="1077">
        <v>6</v>
      </c>
      <c r="AA791" s="1077" t="s">
        <v>3935</v>
      </c>
      <c r="AH791" s="1077" t="s">
        <v>1053</v>
      </c>
      <c r="AI791" s="1077">
        <v>91.71</v>
      </c>
      <c r="AJ791" s="1077">
        <v>-0.09</v>
      </c>
      <c r="AK791" s="1077">
        <v>0.59</v>
      </c>
      <c r="AM791" s="1078" t="s">
        <v>10619</v>
      </c>
      <c r="AN791" s="1078" t="s">
        <v>10620</v>
      </c>
      <c r="AO791" s="1078">
        <f t="shared" si="102"/>
        <v>700</v>
      </c>
      <c r="AP791" s="1078">
        <f t="shared" si="103"/>
        <v>1.77</v>
      </c>
      <c r="AQ791" s="1078" t="str">
        <f t="shared" si="104"/>
        <v>2-5-1S83°</v>
      </c>
      <c r="AR791" s="1078" t="str">
        <f t="shared" si="105"/>
        <v>33</v>
      </c>
      <c r="AS791" s="1078" t="str">
        <f t="shared" si="106"/>
        <v>177/OFF</v>
      </c>
      <c r="AT791" s="1078" t="str">
        <f t="shared" si="107"/>
        <v>2-5-1S83°</v>
      </c>
      <c r="AV791" s="1078" t="str">
        <f t="shared" si="100"/>
        <v>113.2.23</v>
      </c>
      <c r="AW791" s="1344">
        <f t="shared" si="101"/>
        <v>45345</v>
      </c>
    </row>
    <row r="792" spans="1:49">
      <c r="A792" s="1077" t="s">
        <v>3936</v>
      </c>
      <c r="B792" s="1077" t="s">
        <v>2116</v>
      </c>
      <c r="C792" s="1077">
        <v>650</v>
      </c>
      <c r="D792" s="1077">
        <v>1.7150000000000001</v>
      </c>
      <c r="E792" s="1077" t="s">
        <v>15089</v>
      </c>
      <c r="F792" s="1077" t="s">
        <v>1773</v>
      </c>
      <c r="G792" s="1077" t="s">
        <v>1767</v>
      </c>
      <c r="H792" s="1077" t="s">
        <v>1029</v>
      </c>
      <c r="I792" s="1077" t="s">
        <v>126</v>
      </c>
      <c r="J792" s="1077">
        <v>0.4</v>
      </c>
      <c r="K792" s="1077" t="s">
        <v>3937</v>
      </c>
      <c r="L792" s="1077" t="s">
        <v>1821</v>
      </c>
      <c r="M792" s="1077">
        <v>74.599999999999994</v>
      </c>
      <c r="N792" s="1077" t="s">
        <v>945</v>
      </c>
      <c r="O792" s="1077">
        <v>1.865</v>
      </c>
      <c r="P792" s="1077">
        <v>1.492</v>
      </c>
      <c r="Q792" s="1077">
        <v>4</v>
      </c>
      <c r="R792" s="1077">
        <v>20.3</v>
      </c>
      <c r="T792" s="1077">
        <v>21.1</v>
      </c>
      <c r="U792" s="1077">
        <v>3.9</v>
      </c>
      <c r="V792" s="1077" t="s">
        <v>648</v>
      </c>
      <c r="W792" s="1077">
        <v>30</v>
      </c>
      <c r="X792" s="1077">
        <v>10</v>
      </c>
      <c r="Y792" s="1077">
        <v>1.8</v>
      </c>
      <c r="Z792" s="1077">
        <v>4.5</v>
      </c>
      <c r="AA792" s="1077" t="s">
        <v>3935</v>
      </c>
      <c r="AH792" s="1077" t="s">
        <v>990</v>
      </c>
      <c r="AI792" s="1077">
        <v>93.2</v>
      </c>
      <c r="AJ792" s="1077">
        <v>-0.19</v>
      </c>
      <c r="AK792" s="1077">
        <v>1.05</v>
      </c>
      <c r="AM792" s="1078" t="s">
        <v>10621</v>
      </c>
      <c r="AN792" s="1078" t="s">
        <v>10622</v>
      </c>
      <c r="AO792" s="1078">
        <f t="shared" si="102"/>
        <v>650</v>
      </c>
      <c r="AP792" s="1078">
        <f t="shared" si="103"/>
        <v>1.7150000000000001</v>
      </c>
      <c r="AQ792" s="1078" t="str">
        <f t="shared" si="104"/>
        <v>1-4-1S83°</v>
      </c>
      <c r="AR792" s="1078" t="str">
        <f t="shared" si="105"/>
        <v>30.2</v>
      </c>
      <c r="AS792" s="1078" t="str">
        <f t="shared" si="106"/>
        <v>250/250/OFF</v>
      </c>
      <c r="AT792" s="1078" t="str">
        <f t="shared" si="107"/>
        <v>1-4-1S83°</v>
      </c>
      <c r="AV792" s="1078" t="str">
        <f t="shared" si="100"/>
        <v>113.2.23</v>
      </c>
      <c r="AW792" s="1344">
        <f t="shared" si="101"/>
        <v>45345</v>
      </c>
    </row>
    <row r="793" spans="1:49">
      <c r="A793" s="1077" t="s">
        <v>3938</v>
      </c>
      <c r="B793" s="1077" t="s">
        <v>1883</v>
      </c>
      <c r="C793" s="1077">
        <v>600</v>
      </c>
      <c r="D793" s="1077">
        <v>1.825</v>
      </c>
      <c r="E793" s="1077" t="s">
        <v>15091</v>
      </c>
      <c r="F793" s="1077" t="s">
        <v>954</v>
      </c>
      <c r="G793" s="1077" t="s">
        <v>1767</v>
      </c>
      <c r="H793" s="1077" t="s">
        <v>1166</v>
      </c>
      <c r="I793" s="1077" t="s">
        <v>126</v>
      </c>
      <c r="J793" s="1077">
        <v>1.7</v>
      </c>
      <c r="K793" s="1077" t="s">
        <v>3939</v>
      </c>
      <c r="L793" s="1077" t="s">
        <v>1885</v>
      </c>
      <c r="M793" s="1077">
        <v>75.2</v>
      </c>
      <c r="N793" s="1077" t="s">
        <v>945</v>
      </c>
      <c r="O793" s="1077">
        <v>1.8800000000000001</v>
      </c>
      <c r="P793" s="1077">
        <v>1.504</v>
      </c>
      <c r="Q793" s="1077">
        <v>3.5</v>
      </c>
      <c r="R793" s="1077">
        <v>20</v>
      </c>
      <c r="T793" s="1077">
        <v>30</v>
      </c>
      <c r="U793" s="1077">
        <v>3.6</v>
      </c>
      <c r="V793" s="1077" t="s">
        <v>1886</v>
      </c>
      <c r="W793" s="1077">
        <v>105</v>
      </c>
      <c r="X793" s="1077">
        <v>75</v>
      </c>
      <c r="Y793" s="1077">
        <v>1.2</v>
      </c>
      <c r="Z793" s="1077">
        <v>5.5</v>
      </c>
      <c r="AA793" s="1077" t="s">
        <v>3940</v>
      </c>
      <c r="AH793" s="1077" t="s">
        <v>862</v>
      </c>
      <c r="AI793" s="1077">
        <v>14.29</v>
      </c>
      <c r="AJ793" s="1077">
        <v>0.36</v>
      </c>
      <c r="AK793" s="1077">
        <v>1.1399999999999999</v>
      </c>
      <c r="AM793" s="1078" t="s">
        <v>10623</v>
      </c>
      <c r="AN793" s="1078" t="s">
        <v>10624</v>
      </c>
      <c r="AO793" s="1078">
        <f t="shared" si="102"/>
        <v>600</v>
      </c>
      <c r="AP793" s="1078">
        <f t="shared" si="103"/>
        <v>1.825</v>
      </c>
      <c r="AQ793" s="1078" t="str">
        <f t="shared" si="104"/>
        <v>2-5-1S83°</v>
      </c>
      <c r="AR793" s="1078" t="str">
        <f t="shared" si="105"/>
        <v>31</v>
      </c>
      <c r="AS793" s="1078" t="str">
        <f t="shared" si="106"/>
        <v>170/OFF</v>
      </c>
      <c r="AT793" s="1078" t="str">
        <f t="shared" si="107"/>
        <v>2-5-1S83°</v>
      </c>
      <c r="AV793" s="1078" t="str">
        <f t="shared" si="100"/>
        <v>113.3.11</v>
      </c>
      <c r="AW793" s="1344">
        <f t="shared" si="101"/>
        <v>45362</v>
      </c>
    </row>
    <row r="794" spans="1:49">
      <c r="A794" s="1077" t="s">
        <v>3941</v>
      </c>
      <c r="B794" s="1077" t="s">
        <v>453</v>
      </c>
      <c r="C794" s="1077">
        <v>650</v>
      </c>
      <c r="D794" s="1077">
        <v>1.71</v>
      </c>
      <c r="E794" s="1077" t="s">
        <v>15089</v>
      </c>
      <c r="F794" s="1077" t="s">
        <v>1773</v>
      </c>
      <c r="G794" s="1077" t="s">
        <v>1767</v>
      </c>
      <c r="H794" s="1077" t="s">
        <v>955</v>
      </c>
      <c r="I794" s="1077" t="s">
        <v>126</v>
      </c>
      <c r="J794" s="1077">
        <v>0.9</v>
      </c>
      <c r="K794" s="1077" t="s">
        <v>1820</v>
      </c>
      <c r="L794" s="1077" t="s">
        <v>1821</v>
      </c>
      <c r="M794" s="1077">
        <v>74.8</v>
      </c>
      <c r="N794" s="1077" t="s">
        <v>945</v>
      </c>
      <c r="O794" s="1077">
        <v>1.87</v>
      </c>
      <c r="P794" s="1077">
        <v>1.496</v>
      </c>
      <c r="Q794" s="1077">
        <v>4</v>
      </c>
      <c r="R794" s="1077">
        <v>23</v>
      </c>
      <c r="T794" s="1077">
        <v>18.600000000000001</v>
      </c>
      <c r="U794" s="1077">
        <v>3.5</v>
      </c>
      <c r="V794" s="1077" t="s">
        <v>648</v>
      </c>
      <c r="W794" s="1077">
        <v>105</v>
      </c>
      <c r="X794" s="1077">
        <v>80</v>
      </c>
      <c r="Y794" s="1077">
        <v>2</v>
      </c>
      <c r="Z794" s="1077">
        <v>4.5</v>
      </c>
      <c r="AA794" s="1077" t="s">
        <v>3940</v>
      </c>
      <c r="AH794" s="1077" t="s">
        <v>875</v>
      </c>
      <c r="AI794" s="1077">
        <v>92.98</v>
      </c>
      <c r="AJ794" s="1077">
        <v>-0.1</v>
      </c>
      <c r="AK794" s="1077">
        <v>0.89</v>
      </c>
      <c r="AM794" s="1078" t="s">
        <v>10625</v>
      </c>
      <c r="AN794" s="1078" t="s">
        <v>10626</v>
      </c>
      <c r="AO794" s="1078">
        <f t="shared" si="102"/>
        <v>650</v>
      </c>
      <c r="AP794" s="1078">
        <f t="shared" si="103"/>
        <v>1.71</v>
      </c>
      <c r="AQ794" s="1078" t="str">
        <f t="shared" si="104"/>
        <v>1-4-1S83°</v>
      </c>
      <c r="AR794" s="1078" t="str">
        <f t="shared" si="105"/>
        <v>30.2</v>
      </c>
      <c r="AS794" s="1078" t="str">
        <f t="shared" si="106"/>
        <v>260/260/OFF</v>
      </c>
      <c r="AT794" s="1078" t="str">
        <f t="shared" si="107"/>
        <v>1-4-1S83°</v>
      </c>
      <c r="AV794" s="1078" t="str">
        <f t="shared" si="100"/>
        <v>113.3.11</v>
      </c>
      <c r="AW794" s="1344">
        <f t="shared" si="101"/>
        <v>45362</v>
      </c>
    </row>
    <row r="795" spans="1:49">
      <c r="A795" s="1077" t="s">
        <v>3942</v>
      </c>
      <c r="B795" s="1077" t="s">
        <v>1815</v>
      </c>
      <c r="C795" s="1077">
        <v>650</v>
      </c>
      <c r="D795" s="1077">
        <v>1.7250000000000001</v>
      </c>
      <c r="E795" s="1077" t="s">
        <v>15098</v>
      </c>
      <c r="F795" s="1077" t="s">
        <v>954</v>
      </c>
      <c r="G795" s="1077" t="s">
        <v>1767</v>
      </c>
      <c r="H795" s="1077" t="s">
        <v>1793</v>
      </c>
      <c r="I795" s="1077" t="s">
        <v>126</v>
      </c>
      <c r="J795" s="1077">
        <v>0.8</v>
      </c>
      <c r="K795" s="1077" t="s">
        <v>1839</v>
      </c>
      <c r="L795" s="1077" t="s">
        <v>1817</v>
      </c>
      <c r="M795" s="1077">
        <v>75.099999999999994</v>
      </c>
      <c r="N795" s="1077" t="s">
        <v>945</v>
      </c>
      <c r="O795" s="1077">
        <v>1.8774999999999999</v>
      </c>
      <c r="P795" s="1077">
        <v>1.502</v>
      </c>
      <c r="Q795" s="1077">
        <v>4</v>
      </c>
      <c r="R795" s="1077">
        <v>19</v>
      </c>
      <c r="T795" s="1077">
        <v>21</v>
      </c>
      <c r="U795" s="1077">
        <v>3.5</v>
      </c>
      <c r="V795" s="1077" t="s">
        <v>648</v>
      </c>
      <c r="W795" s="1077">
        <v>110</v>
      </c>
      <c r="X795" s="1077">
        <v>65</v>
      </c>
      <c r="Y795" s="1077">
        <v>1.6</v>
      </c>
      <c r="Z795" s="1077">
        <v>4</v>
      </c>
      <c r="AA795" s="1077" t="s">
        <v>3943</v>
      </c>
      <c r="AH795" s="1077" t="s">
        <v>466</v>
      </c>
      <c r="AI795" s="1077">
        <v>94.85</v>
      </c>
      <c r="AJ795" s="1077">
        <v>-0.7</v>
      </c>
      <c r="AK795" s="1077">
        <v>1.86</v>
      </c>
      <c r="AM795" s="1078" t="s">
        <v>10627</v>
      </c>
      <c r="AN795" s="1078" t="s">
        <v>10628</v>
      </c>
      <c r="AO795" s="1078">
        <f t="shared" si="102"/>
        <v>650</v>
      </c>
      <c r="AP795" s="1078">
        <f t="shared" si="103"/>
        <v>1.7250000000000001</v>
      </c>
      <c r="AQ795" s="1078" t="str">
        <f t="shared" si="104"/>
        <v>1-4-1S91°</v>
      </c>
      <c r="AR795" s="1078" t="str">
        <f t="shared" si="105"/>
        <v>31</v>
      </c>
      <c r="AS795" s="1078" t="str">
        <f t="shared" si="106"/>
        <v>270/270/OFF</v>
      </c>
      <c r="AT795" s="1078" t="str">
        <f t="shared" si="107"/>
        <v>1-4-1S91°</v>
      </c>
      <c r="AV795" s="1078" t="str">
        <f t="shared" si="100"/>
        <v>113.3.14</v>
      </c>
      <c r="AW795" s="1344">
        <f t="shared" si="101"/>
        <v>45365</v>
      </c>
    </row>
    <row r="796" spans="1:49">
      <c r="A796" s="1077" t="s">
        <v>3944</v>
      </c>
      <c r="B796" s="1077" t="s">
        <v>453</v>
      </c>
      <c r="C796" s="1077">
        <v>650</v>
      </c>
      <c r="D796" s="1077">
        <v>1.7</v>
      </c>
      <c r="E796" s="1077" t="s">
        <v>15089</v>
      </c>
      <c r="F796" s="1077" t="s">
        <v>1773</v>
      </c>
      <c r="G796" s="1077" t="s">
        <v>1767</v>
      </c>
      <c r="H796" s="1077" t="s">
        <v>1029</v>
      </c>
      <c r="I796" s="1077" t="s">
        <v>126</v>
      </c>
      <c r="J796" s="1077">
        <v>1</v>
      </c>
      <c r="K796" s="1077" t="s">
        <v>1820</v>
      </c>
      <c r="L796" s="1077" t="s">
        <v>1821</v>
      </c>
      <c r="M796" s="1077">
        <v>74.8</v>
      </c>
      <c r="N796" s="1077" t="s">
        <v>945</v>
      </c>
      <c r="O796" s="1077">
        <v>1.87</v>
      </c>
      <c r="P796" s="1077">
        <v>1.496</v>
      </c>
      <c r="Q796" s="1077">
        <v>3.5</v>
      </c>
      <c r="R796" s="1077">
        <v>21.5</v>
      </c>
      <c r="T796" s="1077">
        <v>18.600000000000001</v>
      </c>
      <c r="U796" s="1077">
        <v>3.5</v>
      </c>
      <c r="V796" s="1077" t="s">
        <v>648</v>
      </c>
      <c r="W796" s="1077">
        <v>105</v>
      </c>
      <c r="X796" s="1077">
        <v>80</v>
      </c>
      <c r="Y796" s="1077">
        <v>2</v>
      </c>
      <c r="Z796" s="1077">
        <v>4.5</v>
      </c>
      <c r="AA796" s="1077" t="s">
        <v>3945</v>
      </c>
      <c r="AH796" s="1077" t="s">
        <v>762</v>
      </c>
      <c r="AI796" s="1077">
        <v>92.86</v>
      </c>
      <c r="AJ796" s="1077">
        <v>-0.42</v>
      </c>
      <c r="AK796" s="1077">
        <v>1.04</v>
      </c>
      <c r="AM796" s="1078" t="s">
        <v>10629</v>
      </c>
      <c r="AN796" s="1078" t="s">
        <v>10630</v>
      </c>
      <c r="AO796" s="1078">
        <f t="shared" si="102"/>
        <v>650</v>
      </c>
      <c r="AP796" s="1078">
        <f t="shared" si="103"/>
        <v>1.7</v>
      </c>
      <c r="AQ796" s="1078" t="str">
        <f t="shared" si="104"/>
        <v>1-4-1S83°</v>
      </c>
      <c r="AR796" s="1078" t="str">
        <f t="shared" si="105"/>
        <v>30.2</v>
      </c>
      <c r="AS796" s="1078" t="str">
        <f t="shared" si="106"/>
        <v>250/250/OFF</v>
      </c>
      <c r="AT796" s="1078" t="str">
        <f t="shared" si="107"/>
        <v>1-4-1S83°</v>
      </c>
      <c r="AV796" s="1078" t="str">
        <f t="shared" si="100"/>
        <v>113.3.19</v>
      </c>
      <c r="AW796" s="1344">
        <f t="shared" si="101"/>
        <v>45370</v>
      </c>
    </row>
    <row r="797" spans="1:49">
      <c r="A797" s="1077" t="s">
        <v>3946</v>
      </c>
      <c r="B797" s="1077" t="s">
        <v>771</v>
      </c>
      <c r="C797" s="1077">
        <v>700</v>
      </c>
      <c r="D797" s="1077">
        <v>1.7450000000000001</v>
      </c>
      <c r="E797" s="1077" t="s">
        <v>15090</v>
      </c>
      <c r="F797" s="1077" t="s">
        <v>648</v>
      </c>
      <c r="G797" s="1077">
        <v>5</v>
      </c>
      <c r="H797" s="1077" t="s">
        <v>1936</v>
      </c>
      <c r="I797" s="1077" t="s">
        <v>126</v>
      </c>
      <c r="J797" s="1077">
        <v>1.3</v>
      </c>
      <c r="K797" s="1077" t="s">
        <v>1942</v>
      </c>
      <c r="L797" s="1077" t="s">
        <v>1943</v>
      </c>
      <c r="M797" s="1077">
        <v>75</v>
      </c>
      <c r="N797" s="1077" t="s">
        <v>945</v>
      </c>
      <c r="O797" s="1077">
        <v>1.875</v>
      </c>
      <c r="P797" s="1077">
        <v>1.5</v>
      </c>
      <c r="Q797" s="1077">
        <v>4</v>
      </c>
      <c r="R797" s="1077">
        <v>23</v>
      </c>
      <c r="T797" s="1077">
        <v>26.5</v>
      </c>
      <c r="U797" s="1077">
        <v>3.8</v>
      </c>
      <c r="V797" s="1077" t="s">
        <v>648</v>
      </c>
      <c r="W797" s="1077">
        <v>100</v>
      </c>
      <c r="X797" s="1077">
        <v>45</v>
      </c>
      <c r="Y797" s="1077">
        <v>1.6</v>
      </c>
      <c r="Z797" s="1077">
        <v>5</v>
      </c>
      <c r="AA797" s="1077" t="s">
        <v>3947</v>
      </c>
      <c r="AH797" s="1077" t="s">
        <v>712</v>
      </c>
      <c r="AI797" s="1077">
        <v>91.92</v>
      </c>
      <c r="AJ797" s="1077">
        <v>-0.37</v>
      </c>
      <c r="AK797" s="1077">
        <v>0.87</v>
      </c>
      <c r="AM797" s="1078" t="s">
        <v>10631</v>
      </c>
      <c r="AN797" s="1078" t="s">
        <v>10632</v>
      </c>
      <c r="AO797" s="1078">
        <f t="shared" si="102"/>
        <v>700</v>
      </c>
      <c r="AP797" s="1078">
        <f t="shared" si="103"/>
        <v>1.7450000000000001</v>
      </c>
      <c r="AQ797" s="1078" t="str">
        <f t="shared" si="104"/>
        <v>1-5-1S85°</v>
      </c>
      <c r="AR797" s="1078" t="str">
        <f t="shared" si="105"/>
        <v>NA</v>
      </c>
      <c r="AS797" s="1078" t="str">
        <f t="shared" si="106"/>
        <v>175/OFF</v>
      </c>
      <c r="AT797" s="1078" t="str">
        <f t="shared" si="107"/>
        <v>1-5-1S85°</v>
      </c>
      <c r="AV797" s="1078" t="str">
        <f t="shared" si="100"/>
        <v>113.3.29</v>
      </c>
      <c r="AW797" s="1344">
        <f t="shared" si="101"/>
        <v>45380</v>
      </c>
    </row>
    <row r="798" spans="1:49">
      <c r="A798" s="1077" t="s">
        <v>3948</v>
      </c>
      <c r="B798" s="1077" t="s">
        <v>424</v>
      </c>
      <c r="C798" s="1077" t="s">
        <v>3949</v>
      </c>
      <c r="D798" s="1077">
        <v>1.79</v>
      </c>
      <c r="E798" s="1077" t="s">
        <v>15091</v>
      </c>
      <c r="F798" s="1077" t="s">
        <v>3950</v>
      </c>
      <c r="G798" s="1077" t="s">
        <v>1001</v>
      </c>
      <c r="H798" s="1077" t="s">
        <v>3125</v>
      </c>
      <c r="I798" s="1077" t="s">
        <v>1167</v>
      </c>
      <c r="J798" s="1077">
        <v>0.4</v>
      </c>
      <c r="K798" s="1077" t="s">
        <v>1967</v>
      </c>
      <c r="L798" s="1077" t="s">
        <v>1968</v>
      </c>
      <c r="M798" s="1077">
        <v>73</v>
      </c>
      <c r="N798" s="1077" t="s">
        <v>945</v>
      </c>
      <c r="O798" s="1077">
        <v>1.8250000000000002</v>
      </c>
      <c r="P798" s="1077">
        <v>1.46</v>
      </c>
      <c r="Q798" s="1077">
        <v>4</v>
      </c>
      <c r="R798" s="1077">
        <v>21.6</v>
      </c>
      <c r="T798" s="1077">
        <v>34</v>
      </c>
      <c r="U798" s="1077">
        <v>3.7</v>
      </c>
      <c r="V798" s="1077" t="s">
        <v>648</v>
      </c>
      <c r="W798" s="1077">
        <v>30</v>
      </c>
      <c r="X798" s="1077">
        <v>10</v>
      </c>
      <c r="Y798" s="1077">
        <v>1.2</v>
      </c>
      <c r="Z798" s="1077">
        <v>6</v>
      </c>
      <c r="AA798" s="1077" t="s">
        <v>3951</v>
      </c>
      <c r="AH798" s="1077" t="s">
        <v>785</v>
      </c>
      <c r="AI798" s="1077">
        <v>92.03</v>
      </c>
      <c r="AJ798" s="1077">
        <v>-0.04</v>
      </c>
      <c r="AK798" s="1077">
        <v>0.83</v>
      </c>
      <c r="AM798" s="1078" t="s">
        <v>10633</v>
      </c>
      <c r="AN798" s="1078" t="s">
        <v>10634</v>
      </c>
      <c r="AO798" s="1078" t="str">
        <f t="shared" si="102"/>
        <v>700↓650-5/9</v>
      </c>
      <c r="AP798" s="1078">
        <f t="shared" si="103"/>
        <v>1.79</v>
      </c>
      <c r="AQ798" s="1078" t="str">
        <f t="shared" si="104"/>
        <v>2-5-1S83°</v>
      </c>
      <c r="AR798" s="1078" t="str">
        <f t="shared" si="105"/>
        <v>30.1</v>
      </c>
      <c r="AS798" s="1078" t="str">
        <f t="shared" si="106"/>
        <v>169/OFF</v>
      </c>
      <c r="AT798" s="1078" t="str">
        <f t="shared" si="107"/>
        <v>2-5-1S83°</v>
      </c>
      <c r="AV798" s="1078" t="str">
        <f t="shared" si="100"/>
        <v>112.3.26</v>
      </c>
      <c r="AW798" s="1344">
        <f t="shared" si="101"/>
        <v>45011</v>
      </c>
    </row>
    <row r="799" spans="1:49">
      <c r="A799" s="1077" t="s">
        <v>3952</v>
      </c>
      <c r="B799" s="1077" t="s">
        <v>3201</v>
      </c>
      <c r="C799" s="1077">
        <v>450</v>
      </c>
      <c r="D799" s="1077">
        <v>1.82</v>
      </c>
      <c r="E799" s="1077" t="s">
        <v>15089</v>
      </c>
      <c r="F799" s="1077" t="s">
        <v>954</v>
      </c>
      <c r="G799" s="1077" t="s">
        <v>1016</v>
      </c>
      <c r="H799" s="1077" t="s">
        <v>2295</v>
      </c>
      <c r="I799" s="1077" t="s">
        <v>942</v>
      </c>
      <c r="J799" s="1077">
        <v>1.3</v>
      </c>
      <c r="K799" s="1077" t="s">
        <v>3953</v>
      </c>
      <c r="L799" s="1077" t="s">
        <v>3669</v>
      </c>
      <c r="M799" s="1077">
        <v>72.5</v>
      </c>
      <c r="N799" s="1077" t="s">
        <v>945</v>
      </c>
      <c r="O799" s="1077">
        <v>1.8125</v>
      </c>
      <c r="P799" s="1077">
        <v>1.45</v>
      </c>
      <c r="Q799" s="1077">
        <v>3.5</v>
      </c>
      <c r="R799" s="1077">
        <v>23.5</v>
      </c>
      <c r="T799" s="1077">
        <v>14.5</v>
      </c>
      <c r="U799" s="1077">
        <v>3.9</v>
      </c>
      <c r="V799" s="1077" t="s">
        <v>648</v>
      </c>
      <c r="W799" s="1077">
        <v>165</v>
      </c>
      <c r="X799" s="1077">
        <v>80</v>
      </c>
      <c r="Y799" s="1077">
        <v>2.5</v>
      </c>
      <c r="Z799" s="1077">
        <v>4.5</v>
      </c>
      <c r="AA799" s="1077" t="s">
        <v>3954</v>
      </c>
      <c r="AH799" s="1077" t="s">
        <v>622</v>
      </c>
      <c r="AI799" s="1077">
        <v>87.84</v>
      </c>
      <c r="AJ799" s="1077">
        <v>-0.65</v>
      </c>
      <c r="AK799" s="1077">
        <v>4.6500000000000004</v>
      </c>
      <c r="AM799" s="1078" t="s">
        <v>10635</v>
      </c>
      <c r="AN799" s="1078" t="s">
        <v>10636</v>
      </c>
      <c r="AO799" s="1078">
        <f t="shared" si="102"/>
        <v>450</v>
      </c>
      <c r="AP799" s="1078">
        <f t="shared" si="103"/>
        <v>1.82</v>
      </c>
      <c r="AQ799" s="1078" t="str">
        <f t="shared" si="104"/>
        <v>1-4-1S83°</v>
      </c>
      <c r="AR799" s="1078" t="str">
        <f t="shared" si="105"/>
        <v>31</v>
      </c>
      <c r="AS799" s="1078" t="str">
        <f t="shared" si="106"/>
        <v>205/205/OFF</v>
      </c>
      <c r="AT799" s="1078" t="str">
        <f t="shared" si="107"/>
        <v>1-4-1S83°</v>
      </c>
      <c r="AV799" s="1078" t="str">
        <f t="shared" si="100"/>
        <v>113.3.25</v>
      </c>
      <c r="AW799" s="1344">
        <f t="shared" si="101"/>
        <v>45376</v>
      </c>
    </row>
    <row r="800" spans="1:49">
      <c r="A800" s="1077" t="s">
        <v>3955</v>
      </c>
      <c r="B800" s="1077" t="s">
        <v>1766</v>
      </c>
      <c r="C800" s="1077">
        <v>700</v>
      </c>
      <c r="D800" s="1077">
        <v>1.8</v>
      </c>
      <c r="E800" s="1077" t="s">
        <v>15091</v>
      </c>
      <c r="F800" s="1077" t="s">
        <v>1318</v>
      </c>
      <c r="G800" s="1077" t="s">
        <v>1767</v>
      </c>
      <c r="H800" s="1077" t="s">
        <v>941</v>
      </c>
      <c r="I800" s="1077" t="s">
        <v>1073</v>
      </c>
      <c r="J800" s="1077">
        <v>0.6</v>
      </c>
      <c r="K800" s="1077" t="s">
        <v>3956</v>
      </c>
      <c r="L800" s="1077" t="s">
        <v>1769</v>
      </c>
      <c r="M800" s="1077">
        <v>74.8</v>
      </c>
      <c r="N800" s="1077" t="s">
        <v>945</v>
      </c>
      <c r="O800" s="1077">
        <v>1.87</v>
      </c>
      <c r="P800" s="1077">
        <v>1.496</v>
      </c>
      <c r="Q800" s="1077">
        <v>4</v>
      </c>
      <c r="R800" s="1077">
        <v>18.7</v>
      </c>
      <c r="T800" s="1077">
        <v>40.1</v>
      </c>
      <c r="U800" s="1077">
        <v>3.4</v>
      </c>
      <c r="V800" s="1077" t="s">
        <v>648</v>
      </c>
      <c r="W800" s="1077">
        <v>30</v>
      </c>
      <c r="X800" s="1077">
        <v>10</v>
      </c>
      <c r="Y800" s="1077">
        <v>1.7</v>
      </c>
      <c r="Z800" s="1077">
        <v>5.5</v>
      </c>
      <c r="AA800" s="1077" t="s">
        <v>1674</v>
      </c>
      <c r="AH800" s="1077" t="s">
        <v>1360</v>
      </c>
      <c r="AI800" s="1077">
        <v>14.46</v>
      </c>
      <c r="AJ800" s="1077">
        <v>0.37</v>
      </c>
      <c r="AK800" s="1077">
        <v>1.51</v>
      </c>
      <c r="AM800" s="1078" t="s">
        <v>10637</v>
      </c>
      <c r="AN800" s="1078" t="s">
        <v>10638</v>
      </c>
      <c r="AO800" s="1078">
        <f t="shared" si="102"/>
        <v>700</v>
      </c>
      <c r="AP800" s="1078">
        <f t="shared" si="103"/>
        <v>1.8</v>
      </c>
      <c r="AQ800" s="1078" t="str">
        <f t="shared" si="104"/>
        <v>2-5-1S83°</v>
      </c>
      <c r="AR800" s="1078" t="str">
        <f t="shared" si="105"/>
        <v>30.7</v>
      </c>
      <c r="AS800" s="1078" t="str">
        <f t="shared" si="106"/>
        <v>185/OFF</v>
      </c>
      <c r="AT800" s="1078" t="str">
        <f t="shared" si="107"/>
        <v>2-5-1S83°</v>
      </c>
      <c r="AV800" s="1078" t="str">
        <f t="shared" si="100"/>
        <v>113.4.8</v>
      </c>
      <c r="AW800" s="1344">
        <f t="shared" si="101"/>
        <v>45390</v>
      </c>
    </row>
    <row r="801" spans="1:49">
      <c r="A801" s="1077" t="s">
        <v>3957</v>
      </c>
      <c r="B801" s="1077" t="s">
        <v>850</v>
      </c>
      <c r="C801" s="1077">
        <v>550</v>
      </c>
      <c r="D801" s="1077">
        <v>1.74</v>
      </c>
      <c r="E801" s="1077" t="s">
        <v>15095</v>
      </c>
      <c r="F801" s="1077" t="s">
        <v>984</v>
      </c>
      <c r="G801" s="1077" t="s">
        <v>940</v>
      </c>
      <c r="H801" s="1077" t="s">
        <v>1009</v>
      </c>
      <c r="I801" s="1077" t="s">
        <v>626</v>
      </c>
      <c r="J801" s="1077">
        <v>0.9</v>
      </c>
      <c r="K801" s="1077" t="s">
        <v>3958</v>
      </c>
      <c r="L801" s="1077" t="s">
        <v>1763</v>
      </c>
      <c r="M801" s="1077">
        <v>78</v>
      </c>
      <c r="N801" s="1077" t="s">
        <v>945</v>
      </c>
      <c r="O801" s="1077">
        <v>1.9500000000000002</v>
      </c>
      <c r="P801" s="1077">
        <v>1.56</v>
      </c>
      <c r="Q801" s="1077">
        <v>3</v>
      </c>
      <c r="R801" s="1077">
        <v>30</v>
      </c>
      <c r="T801" s="1077">
        <v>9.6</v>
      </c>
      <c r="U801" s="1077">
        <v>6.8</v>
      </c>
      <c r="V801" s="1077" t="s">
        <v>648</v>
      </c>
      <c r="W801" s="1077">
        <v>135</v>
      </c>
      <c r="X801" s="1077">
        <v>65</v>
      </c>
      <c r="Y801" s="1077">
        <v>1.4</v>
      </c>
      <c r="Z801" s="1077">
        <v>4</v>
      </c>
      <c r="AA801" s="1077" t="s">
        <v>3897</v>
      </c>
      <c r="AH801" s="1077" t="s">
        <v>619</v>
      </c>
      <c r="AM801" s="1078" t="s">
        <v>10639</v>
      </c>
      <c r="AN801" s="1078" t="s">
        <v>10640</v>
      </c>
      <c r="AO801" s="1078">
        <f t="shared" si="102"/>
        <v>550</v>
      </c>
      <c r="AP801" s="1078">
        <f t="shared" si="103"/>
        <v>1.74</v>
      </c>
      <c r="AQ801" s="1078" t="str">
        <f t="shared" si="104"/>
        <v>1-5-1S83°</v>
      </c>
      <c r="AR801" s="1078" t="str">
        <f t="shared" si="105"/>
        <v>30</v>
      </c>
      <c r="AS801" s="1078" t="str">
        <f t="shared" si="106"/>
        <v>195/195/OFF</v>
      </c>
      <c r="AT801" s="1078" t="str">
        <f t="shared" si="107"/>
        <v>1-5-1S83°</v>
      </c>
      <c r="AV801" s="1078" t="str">
        <f t="shared" si="100"/>
        <v>110.10.29</v>
      </c>
      <c r="AW801" s="1344">
        <f t="shared" si="101"/>
        <v>44498</v>
      </c>
    </row>
    <row r="802" spans="1:49">
      <c r="A802" s="1077" t="s">
        <v>3959</v>
      </c>
      <c r="B802" s="1077" t="s">
        <v>1792</v>
      </c>
      <c r="C802" s="1077">
        <v>650</v>
      </c>
      <c r="D802" s="1077">
        <v>1.77</v>
      </c>
      <c r="E802" s="1077" t="s">
        <v>15089</v>
      </c>
      <c r="F802" s="1077" t="s">
        <v>954</v>
      </c>
      <c r="G802" s="1077" t="s">
        <v>1767</v>
      </c>
      <c r="H802" s="1077" t="s">
        <v>1806</v>
      </c>
      <c r="I802" s="1077" t="s">
        <v>126</v>
      </c>
      <c r="J802" s="1077">
        <v>1.6</v>
      </c>
      <c r="K802" s="1077" t="s">
        <v>1794</v>
      </c>
      <c r="L802" s="1077" t="s">
        <v>1795</v>
      </c>
      <c r="M802" s="1077">
        <v>75</v>
      </c>
      <c r="N802" s="1077" t="s">
        <v>945</v>
      </c>
      <c r="O802" s="1077">
        <v>1.875</v>
      </c>
      <c r="P802" s="1077">
        <v>1.5</v>
      </c>
      <c r="Q802" s="1077">
        <v>4</v>
      </c>
      <c r="R802" s="1077">
        <v>21.6</v>
      </c>
      <c r="T802" s="1077">
        <v>32</v>
      </c>
      <c r="U802" s="1077">
        <v>3.7</v>
      </c>
      <c r="V802" s="1077" t="s">
        <v>648</v>
      </c>
      <c r="W802" s="1077">
        <v>110</v>
      </c>
      <c r="X802" s="1077">
        <v>60</v>
      </c>
      <c r="Y802" s="1077">
        <v>1.5</v>
      </c>
      <c r="Z802" s="1077">
        <v>5.5</v>
      </c>
      <c r="AA802" s="1077" t="s">
        <v>3960</v>
      </c>
      <c r="AH802" s="1077" t="s">
        <v>3601</v>
      </c>
      <c r="AM802" s="1078" t="s">
        <v>10641</v>
      </c>
      <c r="AN802" s="1078" t="s">
        <v>10642</v>
      </c>
      <c r="AO802" s="1078">
        <f t="shared" si="102"/>
        <v>650</v>
      </c>
      <c r="AP802" s="1078">
        <f t="shared" si="103"/>
        <v>1.77</v>
      </c>
      <c r="AQ802" s="1078" t="str">
        <f t="shared" si="104"/>
        <v>1-4-1S83°</v>
      </c>
      <c r="AR802" s="1078" t="str">
        <f t="shared" si="105"/>
        <v>31</v>
      </c>
      <c r="AS802" s="1078" t="str">
        <f t="shared" si="106"/>
        <v>280/280/OFF</v>
      </c>
      <c r="AT802" s="1078" t="str">
        <f t="shared" si="107"/>
        <v>1-4-1S83°</v>
      </c>
      <c r="AV802" s="1078" t="str">
        <f t="shared" si="100"/>
        <v>110.11.3</v>
      </c>
      <c r="AW802" s="1344">
        <f t="shared" si="101"/>
        <v>44503</v>
      </c>
    </row>
    <row r="803" spans="1:49">
      <c r="A803" s="1077" t="s">
        <v>3961</v>
      </c>
      <c r="B803" s="1077" t="s">
        <v>1974</v>
      </c>
      <c r="C803" s="1077">
        <v>500</v>
      </c>
      <c r="D803" s="1077">
        <v>1.62</v>
      </c>
      <c r="E803" s="1077" t="s">
        <v>15089</v>
      </c>
      <c r="F803" s="1077" t="s">
        <v>1514</v>
      </c>
      <c r="G803" s="1077" t="s">
        <v>1767</v>
      </c>
      <c r="H803" s="1077" t="s">
        <v>1290</v>
      </c>
      <c r="I803" s="1077" t="s">
        <v>126</v>
      </c>
      <c r="J803" s="1077">
        <v>0.7</v>
      </c>
      <c r="K803" s="1077" t="s">
        <v>2005</v>
      </c>
      <c r="L803" s="1077" t="s">
        <v>1976</v>
      </c>
      <c r="M803" s="1077">
        <v>77.599999999999994</v>
      </c>
      <c r="N803" s="1077" t="s">
        <v>945</v>
      </c>
      <c r="O803" s="1077">
        <v>1.94</v>
      </c>
      <c r="P803" s="1077">
        <v>1.5519999999999998</v>
      </c>
      <c r="Q803" s="1077">
        <v>4</v>
      </c>
      <c r="R803" s="1077">
        <v>23</v>
      </c>
      <c r="T803" s="1077">
        <v>21</v>
      </c>
      <c r="U803" s="1077">
        <v>3.7</v>
      </c>
      <c r="V803" s="1077" t="s">
        <v>648</v>
      </c>
      <c r="W803" s="1077">
        <v>105</v>
      </c>
      <c r="X803" s="1077">
        <v>65</v>
      </c>
      <c r="Y803" s="1077">
        <v>1.6</v>
      </c>
      <c r="Z803" s="1077">
        <v>4.5</v>
      </c>
      <c r="AA803" s="1077" t="s">
        <v>3962</v>
      </c>
      <c r="AH803" s="1077" t="s">
        <v>758</v>
      </c>
      <c r="AM803" s="1078" t="s">
        <v>10643</v>
      </c>
      <c r="AN803" s="1078" t="s">
        <v>10644</v>
      </c>
      <c r="AO803" s="1078">
        <f t="shared" si="102"/>
        <v>500</v>
      </c>
      <c r="AP803" s="1078">
        <f t="shared" si="103"/>
        <v>1.62</v>
      </c>
      <c r="AQ803" s="1078" t="str">
        <f t="shared" si="104"/>
        <v>1-4-1S83°</v>
      </c>
      <c r="AR803" s="1078" t="str">
        <f t="shared" si="105"/>
        <v>32</v>
      </c>
      <c r="AS803" s="1078" t="str">
        <f t="shared" si="106"/>
        <v>220/220/OFF</v>
      </c>
      <c r="AT803" s="1078" t="str">
        <f t="shared" si="107"/>
        <v>1-4-1S83°</v>
      </c>
      <c r="AV803" s="1078" t="str">
        <f t="shared" si="100"/>
        <v>110.11.2</v>
      </c>
      <c r="AW803" s="1344">
        <f t="shared" si="101"/>
        <v>44502</v>
      </c>
    </row>
    <row r="804" spans="1:49">
      <c r="A804" s="1077" t="s">
        <v>3963</v>
      </c>
      <c r="B804" s="1077" t="s">
        <v>1842</v>
      </c>
      <c r="C804" s="1077">
        <v>500</v>
      </c>
      <c r="D804" s="1077">
        <v>1.69</v>
      </c>
      <c r="E804" s="1077" t="s">
        <v>15095</v>
      </c>
      <c r="F804" s="1077" t="s">
        <v>984</v>
      </c>
      <c r="G804" s="1077" t="s">
        <v>1016</v>
      </c>
      <c r="H804" s="1077" t="s">
        <v>1290</v>
      </c>
      <c r="I804" s="1077" t="s">
        <v>126</v>
      </c>
      <c r="J804" s="1077">
        <v>0.7</v>
      </c>
      <c r="K804" s="1077" t="s">
        <v>3964</v>
      </c>
      <c r="L804" s="1077" t="s">
        <v>1844</v>
      </c>
      <c r="M804" s="1077">
        <v>77.099999999999994</v>
      </c>
      <c r="N804" s="1077" t="s">
        <v>945</v>
      </c>
      <c r="O804" s="1077">
        <v>1.9275</v>
      </c>
      <c r="P804" s="1077">
        <v>1.5419999999999998</v>
      </c>
      <c r="Q804" s="1077">
        <v>4</v>
      </c>
      <c r="R804" s="1077">
        <v>23</v>
      </c>
      <c r="T804" s="1077">
        <v>18</v>
      </c>
      <c r="U804" s="1077">
        <v>4</v>
      </c>
      <c r="V804" s="1077" t="s">
        <v>648</v>
      </c>
      <c r="W804" s="1077">
        <v>110</v>
      </c>
      <c r="X804" s="1077">
        <v>70</v>
      </c>
      <c r="Y804" s="1077">
        <v>1.8</v>
      </c>
      <c r="Z804" s="1077">
        <v>4.5</v>
      </c>
      <c r="AA804" s="1077" t="s">
        <v>3965</v>
      </c>
      <c r="AH804" s="1077" t="s">
        <v>1486</v>
      </c>
      <c r="AM804" s="1078" t="s">
        <v>10645</v>
      </c>
      <c r="AN804" s="1078" t="s">
        <v>10646</v>
      </c>
      <c r="AO804" s="1078">
        <f t="shared" si="102"/>
        <v>500</v>
      </c>
      <c r="AP804" s="1078">
        <f t="shared" si="103"/>
        <v>1.69</v>
      </c>
      <c r="AQ804" s="1078" t="str">
        <f t="shared" si="104"/>
        <v>1-5-1S83°</v>
      </c>
      <c r="AR804" s="1078" t="str">
        <f t="shared" si="105"/>
        <v>30</v>
      </c>
      <c r="AS804" s="1078" t="str">
        <f t="shared" si="106"/>
        <v>220/220/OFF</v>
      </c>
      <c r="AT804" s="1078" t="str">
        <f t="shared" si="107"/>
        <v>1-5-1S83°</v>
      </c>
      <c r="AV804" s="1078" t="str">
        <f t="shared" si="100"/>
        <v>110.11.5</v>
      </c>
      <c r="AW804" s="1344">
        <f t="shared" si="101"/>
        <v>44505</v>
      </c>
    </row>
    <row r="805" spans="1:49">
      <c r="A805" s="1077" t="s">
        <v>3966</v>
      </c>
      <c r="B805" s="1077" t="s">
        <v>453</v>
      </c>
      <c r="C805" s="1077">
        <v>700</v>
      </c>
      <c r="D805" s="1077">
        <v>1.7050000000000001</v>
      </c>
      <c r="E805" s="1077" t="s">
        <v>15089</v>
      </c>
      <c r="F805" s="1077" t="s">
        <v>1773</v>
      </c>
      <c r="G805" s="1077" t="s">
        <v>1784</v>
      </c>
      <c r="H805" s="1077" t="s">
        <v>3967</v>
      </c>
      <c r="I805" s="1077" t="s">
        <v>126</v>
      </c>
      <c r="J805" s="1077">
        <v>0.4</v>
      </c>
      <c r="K805" s="1077" t="s">
        <v>3814</v>
      </c>
      <c r="L805" s="1077" t="s">
        <v>1776</v>
      </c>
      <c r="M805" s="1077">
        <v>74.599999999999994</v>
      </c>
      <c r="N805" s="1077" t="s">
        <v>945</v>
      </c>
      <c r="O805" s="1077">
        <v>1.865</v>
      </c>
      <c r="P805" s="1077">
        <v>1.492</v>
      </c>
      <c r="Q805" s="1077">
        <v>4</v>
      </c>
      <c r="R805" s="1077">
        <v>20.3</v>
      </c>
      <c r="T805" s="1077">
        <v>21.1</v>
      </c>
      <c r="U805" s="1077">
        <v>3.9</v>
      </c>
      <c r="V805" s="1077" t="s">
        <v>648</v>
      </c>
      <c r="W805" s="1077">
        <v>30</v>
      </c>
      <c r="X805" s="1077">
        <v>10</v>
      </c>
      <c r="Y805" s="1077">
        <v>1.8</v>
      </c>
      <c r="Z805" s="1077">
        <v>4.5</v>
      </c>
      <c r="AA805" s="1077" t="s">
        <v>3968</v>
      </c>
      <c r="AH805" s="1077" t="s">
        <v>958</v>
      </c>
      <c r="AM805" s="1078" t="s">
        <v>10647</v>
      </c>
      <c r="AN805" s="1078" t="s">
        <v>10648</v>
      </c>
      <c r="AO805" s="1078">
        <f t="shared" si="102"/>
        <v>700</v>
      </c>
      <c r="AP805" s="1078">
        <f t="shared" si="103"/>
        <v>1.7050000000000001</v>
      </c>
      <c r="AQ805" s="1078" t="str">
        <f t="shared" si="104"/>
        <v>1-4-1S83°</v>
      </c>
      <c r="AR805" s="1078" t="str">
        <f t="shared" si="105"/>
        <v>30.2</v>
      </c>
      <c r="AS805" s="1078" t="str">
        <f t="shared" si="106"/>
        <v>257/257/OFF</v>
      </c>
      <c r="AT805" s="1078" t="str">
        <f t="shared" si="107"/>
        <v>1-4-1S83°</v>
      </c>
      <c r="AV805" s="1078" t="str">
        <f t="shared" si="100"/>
        <v>110.11.10</v>
      </c>
      <c r="AW805" s="1344">
        <f t="shared" si="101"/>
        <v>44510</v>
      </c>
    </row>
    <row r="806" spans="1:49">
      <c r="A806" s="1077" t="s">
        <v>3969</v>
      </c>
      <c r="B806" s="1077" t="s">
        <v>3155</v>
      </c>
      <c r="C806" s="1077">
        <v>550</v>
      </c>
      <c r="D806" s="1077">
        <v>1.75</v>
      </c>
      <c r="E806" s="1077" t="s">
        <v>15095</v>
      </c>
      <c r="F806" s="1077" t="s">
        <v>984</v>
      </c>
      <c r="G806" s="1077" t="s">
        <v>940</v>
      </c>
      <c r="H806" s="1077" t="s">
        <v>3970</v>
      </c>
      <c r="I806" s="1077" t="s">
        <v>626</v>
      </c>
      <c r="J806" s="1077">
        <v>0.9</v>
      </c>
      <c r="K806" s="1077" t="s">
        <v>3440</v>
      </c>
      <c r="L806" s="1077" t="s">
        <v>3441</v>
      </c>
      <c r="M806" s="1077">
        <v>78</v>
      </c>
      <c r="N806" s="1077" t="s">
        <v>945</v>
      </c>
      <c r="O806" s="1077">
        <v>1.9500000000000002</v>
      </c>
      <c r="P806" s="1077">
        <v>1.56</v>
      </c>
      <c r="Q806" s="1077">
        <v>3</v>
      </c>
      <c r="R806" s="1077">
        <v>30</v>
      </c>
      <c r="T806" s="1077">
        <v>9.6</v>
      </c>
      <c r="U806" s="1077">
        <v>6.8</v>
      </c>
      <c r="V806" s="1077" t="s">
        <v>648</v>
      </c>
      <c r="W806" s="1077">
        <v>135</v>
      </c>
      <c r="X806" s="1077">
        <v>65</v>
      </c>
      <c r="Y806" s="1077">
        <v>1.4</v>
      </c>
      <c r="Z806" s="1077">
        <v>4</v>
      </c>
      <c r="AA806" s="1077" t="s">
        <v>3971</v>
      </c>
      <c r="AH806" s="1077" t="s">
        <v>758</v>
      </c>
      <c r="AM806" s="1078" t="s">
        <v>10649</v>
      </c>
      <c r="AN806" s="1078" t="s">
        <v>10650</v>
      </c>
      <c r="AO806" s="1078">
        <f t="shared" si="102"/>
        <v>550</v>
      </c>
      <c r="AP806" s="1078">
        <f t="shared" si="103"/>
        <v>1.75</v>
      </c>
      <c r="AQ806" s="1078" t="str">
        <f t="shared" si="104"/>
        <v>1-5-1S83°</v>
      </c>
      <c r="AR806" s="1078" t="str">
        <f t="shared" si="105"/>
        <v>30</v>
      </c>
      <c r="AS806" s="1078" t="str">
        <f t="shared" si="106"/>
        <v>194/194/OFF</v>
      </c>
      <c r="AT806" s="1078" t="str">
        <f t="shared" si="107"/>
        <v>1-5-1S83°</v>
      </c>
      <c r="AV806" s="1078" t="str">
        <f t="shared" si="100"/>
        <v>110.11.12</v>
      </c>
      <c r="AW806" s="1344">
        <f t="shared" si="101"/>
        <v>44512</v>
      </c>
    </row>
    <row r="807" spans="1:49">
      <c r="A807" s="1077" t="s">
        <v>3972</v>
      </c>
      <c r="B807" s="1077" t="s">
        <v>1899</v>
      </c>
      <c r="C807" s="1077">
        <v>650</v>
      </c>
      <c r="D807" s="1077">
        <v>1.71</v>
      </c>
      <c r="E807" s="1077" t="s">
        <v>15095</v>
      </c>
      <c r="F807" s="1077" t="s">
        <v>954</v>
      </c>
      <c r="G807" s="1077" t="s">
        <v>940</v>
      </c>
      <c r="H807" s="1077" t="s">
        <v>1226</v>
      </c>
      <c r="I807" s="1077" t="s">
        <v>126</v>
      </c>
      <c r="J807" s="1077">
        <v>1.3</v>
      </c>
      <c r="K807" s="1077" t="s">
        <v>3973</v>
      </c>
      <c r="L807" s="1077" t="s">
        <v>1924</v>
      </c>
      <c r="M807" s="1077">
        <v>75.400000000000006</v>
      </c>
      <c r="N807" s="1077" t="s">
        <v>945</v>
      </c>
      <c r="O807" s="1077">
        <v>1.8850000000000002</v>
      </c>
      <c r="P807" s="1077">
        <v>1.5080000000000002</v>
      </c>
      <c r="Q807" s="1077">
        <v>3</v>
      </c>
      <c r="R807" s="1077">
        <v>29</v>
      </c>
      <c r="T807" s="1077">
        <v>18</v>
      </c>
      <c r="U807" s="1077">
        <v>6</v>
      </c>
      <c r="V807" s="1077" t="s">
        <v>648</v>
      </c>
      <c r="W807" s="1077">
        <v>120</v>
      </c>
      <c r="X807" s="1077">
        <v>80</v>
      </c>
      <c r="Y807" s="1077">
        <v>2</v>
      </c>
      <c r="Z807" s="1077">
        <v>6</v>
      </c>
      <c r="AA807" s="1077" t="s">
        <v>3974</v>
      </c>
      <c r="AH807" s="1077" t="s">
        <v>990</v>
      </c>
      <c r="AM807" s="1078" t="s">
        <v>10651</v>
      </c>
      <c r="AN807" s="1078" t="s">
        <v>10652</v>
      </c>
      <c r="AO807" s="1078">
        <f t="shared" si="102"/>
        <v>650</v>
      </c>
      <c r="AP807" s="1078">
        <f t="shared" si="103"/>
        <v>1.71</v>
      </c>
      <c r="AQ807" s="1078" t="str">
        <f t="shared" si="104"/>
        <v>1-5-1S83°</v>
      </c>
      <c r="AR807" s="1078" t="str">
        <f t="shared" si="105"/>
        <v>31</v>
      </c>
      <c r="AS807" s="1078" t="str">
        <f t="shared" si="106"/>
        <v>230/230/OFF</v>
      </c>
      <c r="AT807" s="1078" t="str">
        <f t="shared" si="107"/>
        <v>1-5-1S83°</v>
      </c>
      <c r="AV807" s="1078" t="str">
        <f t="shared" si="100"/>
        <v>110.11.16</v>
      </c>
      <c r="AW807" s="1344">
        <f t="shared" si="101"/>
        <v>44516</v>
      </c>
    </row>
    <row r="808" spans="1:49">
      <c r="A808" s="1077" t="s">
        <v>3975</v>
      </c>
      <c r="B808" s="1077" t="s">
        <v>1974</v>
      </c>
      <c r="C808" s="1077">
        <v>500</v>
      </c>
      <c r="D808" s="1077">
        <v>1.62</v>
      </c>
      <c r="E808" s="1077" t="s">
        <v>15089</v>
      </c>
      <c r="F808" s="1077" t="s">
        <v>1514</v>
      </c>
      <c r="G808" s="1077" t="s">
        <v>1767</v>
      </c>
      <c r="H808" s="1077" t="s">
        <v>1290</v>
      </c>
      <c r="I808" s="1077" t="s">
        <v>126</v>
      </c>
      <c r="J808" s="1077">
        <v>0.7</v>
      </c>
      <c r="K808" s="1077" t="s">
        <v>2005</v>
      </c>
      <c r="L808" s="1077" t="s">
        <v>1976</v>
      </c>
      <c r="M808" s="1077">
        <v>77.599999999999994</v>
      </c>
      <c r="N808" s="1077" t="s">
        <v>945</v>
      </c>
      <c r="O808" s="1077">
        <v>1.94</v>
      </c>
      <c r="P808" s="1077">
        <v>1.5519999999999998</v>
      </c>
      <c r="Q808" s="1077">
        <v>4</v>
      </c>
      <c r="R808" s="1077">
        <v>23</v>
      </c>
      <c r="T808" s="1077">
        <v>21</v>
      </c>
      <c r="U808" s="1077">
        <v>3.7</v>
      </c>
      <c r="V808" s="1077" t="s">
        <v>648</v>
      </c>
      <c r="W808" s="1077">
        <v>105</v>
      </c>
      <c r="X808" s="1077">
        <v>65</v>
      </c>
      <c r="Y808" s="1077">
        <v>1.6</v>
      </c>
      <c r="Z808" s="1077">
        <v>4.5</v>
      </c>
      <c r="AA808" s="1077" t="s">
        <v>3976</v>
      </c>
      <c r="AH808" s="1077" t="s">
        <v>1244</v>
      </c>
      <c r="AM808" s="1078" t="s">
        <v>10653</v>
      </c>
      <c r="AN808" s="1078" t="s">
        <v>10654</v>
      </c>
      <c r="AO808" s="1078">
        <f t="shared" si="102"/>
        <v>500</v>
      </c>
      <c r="AP808" s="1078">
        <f t="shared" si="103"/>
        <v>1.62</v>
      </c>
      <c r="AQ808" s="1078" t="str">
        <f t="shared" si="104"/>
        <v>1-4-1S83°</v>
      </c>
      <c r="AR808" s="1078" t="str">
        <f t="shared" si="105"/>
        <v>32</v>
      </c>
      <c r="AS808" s="1078" t="str">
        <f t="shared" si="106"/>
        <v>220/220/OFF</v>
      </c>
      <c r="AT808" s="1078" t="str">
        <f t="shared" si="107"/>
        <v>1-4-1S83°</v>
      </c>
      <c r="AV808" s="1078" t="str">
        <f t="shared" si="100"/>
        <v>110.11.19</v>
      </c>
      <c r="AW808" s="1344">
        <f t="shared" si="101"/>
        <v>44519</v>
      </c>
    </row>
    <row r="809" spans="1:49">
      <c r="A809" s="1077" t="s">
        <v>3977</v>
      </c>
      <c r="B809" s="1077" t="s">
        <v>453</v>
      </c>
      <c r="C809" s="1077">
        <v>600</v>
      </c>
      <c r="D809" s="1077">
        <v>1.665</v>
      </c>
      <c r="E809" s="1077" t="s">
        <v>15089</v>
      </c>
      <c r="F809" s="1077" t="s">
        <v>1773</v>
      </c>
      <c r="G809" s="1077" t="s">
        <v>1767</v>
      </c>
      <c r="H809" s="1077" t="s">
        <v>1040</v>
      </c>
      <c r="I809" s="1077" t="s">
        <v>126</v>
      </c>
      <c r="J809" s="1077">
        <v>0.9</v>
      </c>
      <c r="K809" s="1077" t="s">
        <v>3978</v>
      </c>
      <c r="L809" s="1077" t="s">
        <v>1776</v>
      </c>
      <c r="M809" s="1077">
        <v>74.8</v>
      </c>
      <c r="N809" s="1077" t="s">
        <v>945</v>
      </c>
      <c r="O809" s="1077">
        <v>1.87</v>
      </c>
      <c r="P809" s="1077">
        <v>1.496</v>
      </c>
      <c r="Q809" s="1077">
        <v>4</v>
      </c>
      <c r="R809" s="1077">
        <v>28</v>
      </c>
      <c r="T809" s="1077">
        <v>18.600000000000001</v>
      </c>
      <c r="U809" s="1077">
        <v>3.5</v>
      </c>
      <c r="V809" s="1077" t="s">
        <v>648</v>
      </c>
      <c r="W809" s="1077">
        <v>105</v>
      </c>
      <c r="X809" s="1077">
        <v>80</v>
      </c>
      <c r="Y809" s="1077">
        <v>2</v>
      </c>
      <c r="Z809" s="1077">
        <v>4.5</v>
      </c>
      <c r="AA809" s="1077" t="s">
        <v>3979</v>
      </c>
      <c r="AH809" s="1077" t="s">
        <v>619</v>
      </c>
      <c r="AM809" s="1078" t="s">
        <v>10655</v>
      </c>
      <c r="AN809" s="1078" t="s">
        <v>10656</v>
      </c>
      <c r="AO809" s="1078">
        <f t="shared" si="102"/>
        <v>600</v>
      </c>
      <c r="AP809" s="1078">
        <f t="shared" si="103"/>
        <v>1.665</v>
      </c>
      <c r="AQ809" s="1078" t="str">
        <f t="shared" si="104"/>
        <v>1-4-1S83°</v>
      </c>
      <c r="AR809" s="1078" t="str">
        <f t="shared" si="105"/>
        <v>30.2</v>
      </c>
      <c r="AS809" s="1078" t="str">
        <f t="shared" si="106"/>
        <v>240/240/OFF</v>
      </c>
      <c r="AT809" s="1078" t="str">
        <f t="shared" si="107"/>
        <v>1-4-1S83°</v>
      </c>
      <c r="AV809" s="1078" t="str">
        <f t="shared" si="100"/>
        <v>110.11.18</v>
      </c>
      <c r="AW809" s="1344">
        <f t="shared" si="101"/>
        <v>44518</v>
      </c>
    </row>
    <row r="810" spans="1:49">
      <c r="A810" s="1077" t="s">
        <v>3980</v>
      </c>
      <c r="B810" s="1077" t="s">
        <v>1899</v>
      </c>
      <c r="C810" s="1077">
        <v>600</v>
      </c>
      <c r="D810" s="1077">
        <v>1.71</v>
      </c>
      <c r="E810" s="1077" t="s">
        <v>15095</v>
      </c>
      <c r="F810" s="1077" t="s">
        <v>984</v>
      </c>
      <c r="G810" s="1077" t="s">
        <v>940</v>
      </c>
      <c r="H810" s="1077" t="s">
        <v>1274</v>
      </c>
      <c r="I810" s="1077" t="s">
        <v>126</v>
      </c>
      <c r="J810" s="1077">
        <v>0.6</v>
      </c>
      <c r="K810" s="1077" t="s">
        <v>2110</v>
      </c>
      <c r="L810" s="1077" t="s">
        <v>1924</v>
      </c>
      <c r="M810" s="1077">
        <v>76.099999999999994</v>
      </c>
      <c r="N810" s="1077" t="s">
        <v>945</v>
      </c>
      <c r="O810" s="1077">
        <v>1.9024999999999999</v>
      </c>
      <c r="P810" s="1077">
        <v>1.522</v>
      </c>
      <c r="Q810" s="1077">
        <v>3</v>
      </c>
      <c r="R810" s="1077">
        <v>30</v>
      </c>
      <c r="T810" s="1077">
        <v>14</v>
      </c>
      <c r="U810" s="1077">
        <v>5.5</v>
      </c>
      <c r="V810" s="1077" t="s">
        <v>648</v>
      </c>
      <c r="W810" s="1077">
        <v>70</v>
      </c>
      <c r="X810" s="1077">
        <v>10</v>
      </c>
      <c r="Y810" s="1077">
        <v>1.8</v>
      </c>
      <c r="Z810" s="1077">
        <v>5.5</v>
      </c>
      <c r="AA810" s="1077" t="s">
        <v>3979</v>
      </c>
      <c r="AH810" s="1077" t="s">
        <v>722</v>
      </c>
      <c r="AM810" s="1078" t="s">
        <v>10657</v>
      </c>
      <c r="AN810" s="1078" t="s">
        <v>10658</v>
      </c>
      <c r="AO810" s="1078">
        <f t="shared" si="102"/>
        <v>600</v>
      </c>
      <c r="AP810" s="1078">
        <f t="shared" si="103"/>
        <v>1.71</v>
      </c>
      <c r="AQ810" s="1078" t="str">
        <f t="shared" si="104"/>
        <v>1-5-1S83°</v>
      </c>
      <c r="AR810" s="1078" t="str">
        <f t="shared" si="105"/>
        <v>30</v>
      </c>
      <c r="AS810" s="1078" t="str">
        <f t="shared" si="106"/>
        <v>210/210/OFF</v>
      </c>
      <c r="AT810" s="1078" t="str">
        <f t="shared" si="107"/>
        <v>1-5-1S83°</v>
      </c>
      <c r="AV810" s="1078" t="str">
        <f t="shared" si="100"/>
        <v>110.11.18</v>
      </c>
      <c r="AW810" s="1344">
        <f t="shared" si="101"/>
        <v>44518</v>
      </c>
    </row>
    <row r="811" spans="1:49">
      <c r="A811" s="1077" t="s">
        <v>3981</v>
      </c>
      <c r="B811" s="1077" t="s">
        <v>1842</v>
      </c>
      <c r="C811" s="1077">
        <v>500</v>
      </c>
      <c r="D811" s="1077">
        <v>1.69</v>
      </c>
      <c r="E811" s="1077" t="s">
        <v>15095</v>
      </c>
      <c r="F811" s="1077" t="s">
        <v>984</v>
      </c>
      <c r="G811" s="1077" t="s">
        <v>1016</v>
      </c>
      <c r="H811" s="1077" t="s">
        <v>1290</v>
      </c>
      <c r="I811" s="1077" t="s">
        <v>126</v>
      </c>
      <c r="J811" s="1077">
        <v>0.7</v>
      </c>
      <c r="K811" s="1077" t="s">
        <v>1915</v>
      </c>
      <c r="L811" s="1077" t="s">
        <v>1844</v>
      </c>
      <c r="M811" s="1077">
        <v>77.099999999999994</v>
      </c>
      <c r="N811" s="1077" t="s">
        <v>945</v>
      </c>
      <c r="O811" s="1077">
        <v>1.9275</v>
      </c>
      <c r="P811" s="1077">
        <v>1.5419999999999998</v>
      </c>
      <c r="Q811" s="1077">
        <v>4</v>
      </c>
      <c r="R811" s="1077">
        <v>23</v>
      </c>
      <c r="T811" s="1077">
        <v>18</v>
      </c>
      <c r="U811" s="1077">
        <v>4</v>
      </c>
      <c r="V811" s="1077" t="s">
        <v>648</v>
      </c>
      <c r="W811" s="1077">
        <v>110</v>
      </c>
      <c r="X811" s="1077">
        <v>70</v>
      </c>
      <c r="Y811" s="1077">
        <v>1.8</v>
      </c>
      <c r="Z811" s="1077">
        <v>4.5</v>
      </c>
      <c r="AA811" s="1077" t="s">
        <v>3979</v>
      </c>
      <c r="AH811" s="1077" t="s">
        <v>3213</v>
      </c>
      <c r="AM811" s="1078" t="s">
        <v>10659</v>
      </c>
      <c r="AN811" s="1078" t="s">
        <v>10660</v>
      </c>
      <c r="AO811" s="1078">
        <f t="shared" si="102"/>
        <v>500</v>
      </c>
      <c r="AP811" s="1078">
        <f t="shared" si="103"/>
        <v>1.69</v>
      </c>
      <c r="AQ811" s="1078" t="str">
        <f t="shared" si="104"/>
        <v>1-5-1S83°</v>
      </c>
      <c r="AR811" s="1078" t="str">
        <f t="shared" si="105"/>
        <v>30</v>
      </c>
      <c r="AS811" s="1078" t="str">
        <f t="shared" si="106"/>
        <v>220/220/OFF</v>
      </c>
      <c r="AT811" s="1078" t="str">
        <f t="shared" si="107"/>
        <v>1-5-1S83°</v>
      </c>
      <c r="AV811" s="1078" t="str">
        <f t="shared" si="100"/>
        <v>110.11.18</v>
      </c>
      <c r="AW811" s="1344">
        <f t="shared" si="101"/>
        <v>44518</v>
      </c>
    </row>
    <row r="812" spans="1:49">
      <c r="A812" s="1077" t="s">
        <v>3982</v>
      </c>
      <c r="B812" s="1077" t="s">
        <v>1891</v>
      </c>
      <c r="C812" s="1077">
        <v>600</v>
      </c>
      <c r="D812" s="1077">
        <v>1.67</v>
      </c>
      <c r="E812" s="1077" t="s">
        <v>15089</v>
      </c>
      <c r="F812" s="1077" t="s">
        <v>984</v>
      </c>
      <c r="G812" s="1077" t="s">
        <v>940</v>
      </c>
      <c r="H812" s="1077" t="s">
        <v>1040</v>
      </c>
      <c r="I812" s="1077" t="s">
        <v>126</v>
      </c>
      <c r="J812" s="1077">
        <v>0.6</v>
      </c>
      <c r="K812" s="1077" t="s">
        <v>3983</v>
      </c>
      <c r="L812" s="1077" t="s">
        <v>3137</v>
      </c>
      <c r="M812" s="1077">
        <v>74.599999999999994</v>
      </c>
      <c r="N812" s="1077" t="s">
        <v>945</v>
      </c>
      <c r="O812" s="1077">
        <v>1.865</v>
      </c>
      <c r="P812" s="1077">
        <v>1.492</v>
      </c>
      <c r="Q812" s="1077">
        <v>3.5</v>
      </c>
      <c r="R812" s="1077">
        <v>29</v>
      </c>
      <c r="T812" s="1077">
        <v>12.5</v>
      </c>
      <c r="U812" s="1077">
        <v>5.0999999999999996</v>
      </c>
      <c r="V812" s="1077" t="s">
        <v>648</v>
      </c>
      <c r="W812" s="1077">
        <v>95</v>
      </c>
      <c r="X812" s="1077">
        <v>60</v>
      </c>
      <c r="Y812" s="1077">
        <v>1.8</v>
      </c>
      <c r="Z812" s="1077">
        <v>4.5</v>
      </c>
      <c r="AA812" s="1077" t="s">
        <v>3984</v>
      </c>
      <c r="AH812" s="1077" t="s">
        <v>998</v>
      </c>
      <c r="AM812" s="1078" t="s">
        <v>10661</v>
      </c>
      <c r="AN812" s="1078" t="s">
        <v>10662</v>
      </c>
      <c r="AO812" s="1078">
        <f t="shared" si="102"/>
        <v>600</v>
      </c>
      <c r="AP812" s="1078">
        <f t="shared" si="103"/>
        <v>1.67</v>
      </c>
      <c r="AQ812" s="1078" t="str">
        <f t="shared" si="104"/>
        <v>1-4-1S83°</v>
      </c>
      <c r="AR812" s="1078" t="str">
        <f t="shared" si="105"/>
        <v>30</v>
      </c>
      <c r="AS812" s="1078" t="str">
        <f t="shared" si="106"/>
        <v>240/240/OFF</v>
      </c>
      <c r="AT812" s="1078" t="str">
        <f t="shared" si="107"/>
        <v>1-4-1S83°</v>
      </c>
      <c r="AV812" s="1078" t="str">
        <f t="shared" si="100"/>
        <v>110.11.29</v>
      </c>
      <c r="AW812" s="1344">
        <f t="shared" si="101"/>
        <v>44529</v>
      </c>
    </row>
    <row r="813" spans="1:49">
      <c r="A813" s="1077" t="s">
        <v>3985</v>
      </c>
      <c r="B813" s="1077" t="s">
        <v>1899</v>
      </c>
      <c r="C813" s="1077">
        <v>650</v>
      </c>
      <c r="D813" s="1077">
        <v>1.78</v>
      </c>
      <c r="E813" s="1077" t="s">
        <v>15095</v>
      </c>
      <c r="F813" s="1077" t="s">
        <v>954</v>
      </c>
      <c r="G813" s="1077" t="s">
        <v>940</v>
      </c>
      <c r="H813" s="1077" t="s">
        <v>1649</v>
      </c>
      <c r="I813" s="1077" t="s">
        <v>126</v>
      </c>
      <c r="J813" s="1077">
        <v>1.4</v>
      </c>
      <c r="K813" s="1077" t="s">
        <v>1900</v>
      </c>
      <c r="L813" s="1077" t="s">
        <v>1901</v>
      </c>
      <c r="M813" s="1077">
        <v>75.400000000000006</v>
      </c>
      <c r="N813" s="1077" t="s">
        <v>945</v>
      </c>
      <c r="O813" s="1077">
        <v>1.8850000000000002</v>
      </c>
      <c r="P813" s="1077">
        <v>1.5080000000000002</v>
      </c>
      <c r="Q813" s="1077">
        <v>3</v>
      </c>
      <c r="R813" s="1077">
        <v>29</v>
      </c>
      <c r="T813" s="1077">
        <v>18</v>
      </c>
      <c r="U813" s="1077">
        <v>6</v>
      </c>
      <c r="V813" s="1077" t="s">
        <v>648</v>
      </c>
      <c r="W813" s="1077">
        <v>120</v>
      </c>
      <c r="X813" s="1077">
        <v>80</v>
      </c>
      <c r="Y813" s="1077">
        <v>2</v>
      </c>
      <c r="Z813" s="1077">
        <v>6</v>
      </c>
      <c r="AA813" s="1077" t="s">
        <v>3986</v>
      </c>
      <c r="AH813" s="1077" t="s">
        <v>680</v>
      </c>
      <c r="AM813" s="1078" t="s">
        <v>10663</v>
      </c>
      <c r="AN813" s="1078" t="s">
        <v>10664</v>
      </c>
      <c r="AO813" s="1078">
        <f t="shared" si="102"/>
        <v>650</v>
      </c>
      <c r="AP813" s="1078">
        <f t="shared" si="103"/>
        <v>1.78</v>
      </c>
      <c r="AQ813" s="1078" t="str">
        <f t="shared" si="104"/>
        <v>1-5-1S83°</v>
      </c>
      <c r="AR813" s="1078" t="str">
        <f t="shared" si="105"/>
        <v>31</v>
      </c>
      <c r="AS813" s="1078" t="str">
        <f t="shared" si="106"/>
        <v>225/225/OFF</v>
      </c>
      <c r="AT813" s="1078" t="str">
        <f t="shared" si="107"/>
        <v>1-5-1S83°</v>
      </c>
      <c r="AV813" s="1078" t="str">
        <f t="shared" si="100"/>
        <v>110.12.2</v>
      </c>
      <c r="AW813" s="1344">
        <f t="shared" si="101"/>
        <v>44532</v>
      </c>
    </row>
    <row r="814" spans="1:49">
      <c r="A814" s="1077" t="s">
        <v>3987</v>
      </c>
      <c r="B814" s="1077" t="s">
        <v>453</v>
      </c>
      <c r="C814" s="1077">
        <v>600</v>
      </c>
      <c r="D814" s="1077">
        <v>1.7</v>
      </c>
      <c r="E814" s="1077" t="s">
        <v>15102</v>
      </c>
      <c r="F814" s="1077" t="s">
        <v>1996</v>
      </c>
      <c r="G814" s="1077" t="s">
        <v>1767</v>
      </c>
      <c r="H814" s="1077" t="s">
        <v>1997</v>
      </c>
      <c r="I814" s="1077" t="s">
        <v>1112</v>
      </c>
      <c r="J814" s="1077">
        <v>0.9</v>
      </c>
      <c r="K814" s="1077" t="s">
        <v>1998</v>
      </c>
      <c r="L814" s="1077" t="s">
        <v>1776</v>
      </c>
      <c r="M814" s="1077">
        <v>77</v>
      </c>
      <c r="N814" s="1077" t="s">
        <v>945</v>
      </c>
      <c r="O814" s="1077">
        <v>1.925</v>
      </c>
      <c r="P814" s="1077">
        <v>1.54</v>
      </c>
      <c r="Q814" s="1077">
        <v>4.2</v>
      </c>
      <c r="R814" s="1077">
        <v>24</v>
      </c>
      <c r="T814" s="1077">
        <v>9</v>
      </c>
      <c r="U814" s="1077">
        <v>2.2000000000000002</v>
      </c>
      <c r="V814" s="1077" t="s">
        <v>648</v>
      </c>
      <c r="W814" s="1077">
        <v>110</v>
      </c>
      <c r="X814" s="1077">
        <v>85</v>
      </c>
      <c r="Y814" s="1077">
        <v>2.1</v>
      </c>
      <c r="Z814" s="1077">
        <v>2.5</v>
      </c>
      <c r="AA814" s="1077" t="s">
        <v>2140</v>
      </c>
      <c r="AB814" s="1077" t="s">
        <v>981</v>
      </c>
      <c r="AH814" s="1077" t="s">
        <v>3988</v>
      </c>
      <c r="AI814" s="1077">
        <v>92.4</v>
      </c>
      <c r="AJ814" s="1077">
        <v>-0.48</v>
      </c>
      <c r="AK814" s="1077">
        <v>0.88</v>
      </c>
      <c r="AM814" s="1078" t="s">
        <v>10665</v>
      </c>
      <c r="AN814" s="1078" t="s">
        <v>10666</v>
      </c>
      <c r="AO814" s="1078">
        <f t="shared" si="102"/>
        <v>600</v>
      </c>
      <c r="AP814" s="1078">
        <f t="shared" si="103"/>
        <v>1.7</v>
      </c>
      <c r="AQ814" s="1078" t="str">
        <f t="shared" si="104"/>
        <v>2-6-1S83°</v>
      </c>
      <c r="AR814" s="1078" t="str">
        <f t="shared" si="105"/>
        <v>29.6</v>
      </c>
      <c r="AS814" s="1078" t="str">
        <f t="shared" si="106"/>
        <v>166/155</v>
      </c>
      <c r="AT814" s="1078" t="str">
        <f t="shared" si="107"/>
        <v>2-6-1S83°</v>
      </c>
      <c r="AV814" s="1078" t="str">
        <f t="shared" si="100"/>
        <v>113.10.23</v>
      </c>
      <c r="AW814" s="1344">
        <f t="shared" si="101"/>
        <v>45588</v>
      </c>
    </row>
    <row r="815" spans="1:49">
      <c r="A815" s="1077" t="s">
        <v>3989</v>
      </c>
      <c r="B815" s="1077" t="s">
        <v>453</v>
      </c>
      <c r="C815" s="1077">
        <v>600</v>
      </c>
      <c r="D815" s="1077">
        <v>1.7</v>
      </c>
      <c r="E815" s="1077" t="s">
        <v>15102</v>
      </c>
      <c r="F815" s="1077" t="s">
        <v>1996</v>
      </c>
      <c r="G815" s="1077" t="s">
        <v>1767</v>
      </c>
      <c r="H815" s="1077" t="s">
        <v>1997</v>
      </c>
      <c r="I815" s="1077" t="s">
        <v>1112</v>
      </c>
      <c r="J815" s="1077">
        <v>0.9</v>
      </c>
      <c r="K815" s="1077" t="s">
        <v>1998</v>
      </c>
      <c r="L815" s="1077" t="s">
        <v>1776</v>
      </c>
      <c r="M815" s="1077">
        <v>77</v>
      </c>
      <c r="N815" s="1077" t="s">
        <v>945</v>
      </c>
      <c r="O815" s="1077">
        <v>1.925</v>
      </c>
      <c r="P815" s="1077">
        <v>1.54</v>
      </c>
      <c r="Q815" s="1077">
        <v>4.2</v>
      </c>
      <c r="R815" s="1077">
        <v>24</v>
      </c>
      <c r="T815" s="1077">
        <v>9</v>
      </c>
      <c r="U815" s="1077">
        <v>2.2000000000000002</v>
      </c>
      <c r="V815" s="1077" t="s">
        <v>648</v>
      </c>
      <c r="W815" s="1077">
        <v>110</v>
      </c>
      <c r="X815" s="1077">
        <v>85</v>
      </c>
      <c r="Y815" s="1077">
        <v>2.1</v>
      </c>
      <c r="Z815" s="1077">
        <v>2.5</v>
      </c>
      <c r="AA815" s="1077" t="s">
        <v>1999</v>
      </c>
      <c r="AB815" s="1077" t="s">
        <v>981</v>
      </c>
      <c r="AH815" s="1077" t="s">
        <v>1417</v>
      </c>
      <c r="AI815" s="1077">
        <v>92.75</v>
      </c>
      <c r="AJ815" s="1077">
        <v>0.15</v>
      </c>
      <c r="AK815" s="1077">
        <v>0.3</v>
      </c>
      <c r="AM815" s="1078" t="s">
        <v>10667</v>
      </c>
      <c r="AN815" s="1078" t="s">
        <v>10668</v>
      </c>
      <c r="AO815" s="1078">
        <f t="shared" si="102"/>
        <v>600</v>
      </c>
      <c r="AP815" s="1078">
        <f t="shared" si="103"/>
        <v>1.7</v>
      </c>
      <c r="AQ815" s="1078" t="str">
        <f t="shared" si="104"/>
        <v>2-6-1S83°</v>
      </c>
      <c r="AR815" s="1078" t="str">
        <f t="shared" si="105"/>
        <v>29.6</v>
      </c>
      <c r="AS815" s="1078" t="str">
        <f t="shared" si="106"/>
        <v>166/155</v>
      </c>
      <c r="AT815" s="1078" t="str">
        <f t="shared" si="107"/>
        <v>2-6-1S83°</v>
      </c>
      <c r="AV815" s="1078" t="str">
        <f t="shared" si="100"/>
        <v>113.10.30</v>
      </c>
      <c r="AW815" s="1344">
        <f t="shared" si="101"/>
        <v>45595</v>
      </c>
    </row>
    <row r="816" spans="1:49">
      <c r="A816" s="1077" t="s">
        <v>3990</v>
      </c>
      <c r="B816" s="1077" t="s">
        <v>1783</v>
      </c>
      <c r="C816" s="1077">
        <v>620</v>
      </c>
      <c r="D816" s="1077">
        <v>1.65</v>
      </c>
      <c r="E816" s="1077" t="s">
        <v>15095</v>
      </c>
      <c r="F816" s="1077" t="s">
        <v>984</v>
      </c>
      <c r="G816" s="1077" t="s">
        <v>1784</v>
      </c>
      <c r="H816" s="1077" t="s">
        <v>1029</v>
      </c>
      <c r="I816" s="1077" t="s">
        <v>126</v>
      </c>
      <c r="J816" s="1077">
        <v>0.3</v>
      </c>
      <c r="K816" s="1077" t="s">
        <v>1786</v>
      </c>
      <c r="L816" s="1077" t="s">
        <v>1787</v>
      </c>
      <c r="M816" s="1077">
        <v>76.099999999999994</v>
      </c>
      <c r="N816" s="1077" t="s">
        <v>945</v>
      </c>
      <c r="O816" s="1077">
        <v>1.9024999999999999</v>
      </c>
      <c r="P816" s="1077">
        <v>1.522</v>
      </c>
      <c r="Q816" s="1077">
        <v>4</v>
      </c>
      <c r="R816" s="1077">
        <v>19</v>
      </c>
      <c r="T816" s="1077">
        <v>13</v>
      </c>
      <c r="U816" s="1077">
        <v>4</v>
      </c>
      <c r="V816" s="1077" t="s">
        <v>648</v>
      </c>
      <c r="W816" s="1077">
        <v>30</v>
      </c>
      <c r="X816" s="1077">
        <v>10</v>
      </c>
      <c r="Y816" s="1077">
        <v>2.5</v>
      </c>
      <c r="Z816" s="1077">
        <v>2</v>
      </c>
      <c r="AA816" s="1077" t="s">
        <v>3991</v>
      </c>
      <c r="AH816" s="1077" t="s">
        <v>877</v>
      </c>
      <c r="AM816" s="1078" t="s">
        <v>10669</v>
      </c>
      <c r="AN816" s="1078" t="s">
        <v>10670</v>
      </c>
      <c r="AO816" s="1078">
        <f t="shared" si="102"/>
        <v>620</v>
      </c>
      <c r="AP816" s="1078">
        <f t="shared" si="103"/>
        <v>1.65</v>
      </c>
      <c r="AQ816" s="1078" t="str">
        <f t="shared" si="104"/>
        <v>1-5-1S83°</v>
      </c>
      <c r="AR816" s="1078" t="str">
        <f t="shared" si="105"/>
        <v>30</v>
      </c>
      <c r="AS816" s="1078" t="str">
        <f t="shared" si="106"/>
        <v>250/250/OFF</v>
      </c>
      <c r="AT816" s="1078" t="str">
        <f t="shared" si="107"/>
        <v>1-5-1S83°</v>
      </c>
      <c r="AV816" s="1078" t="str">
        <f t="shared" si="100"/>
        <v>110.12.6</v>
      </c>
      <c r="AW816" s="1344">
        <f t="shared" si="101"/>
        <v>44536</v>
      </c>
    </row>
    <row r="817" spans="1:49">
      <c r="A817" s="1077" t="s">
        <v>3992</v>
      </c>
      <c r="B817" s="1077" t="s">
        <v>1842</v>
      </c>
      <c r="C817" s="1077">
        <v>500</v>
      </c>
      <c r="D817" s="1077">
        <v>1.69</v>
      </c>
      <c r="E817" s="1077" t="s">
        <v>15095</v>
      </c>
      <c r="F817" s="1077" t="s">
        <v>984</v>
      </c>
      <c r="G817" s="1077" t="s">
        <v>1016</v>
      </c>
      <c r="H817" s="1077" t="s">
        <v>3993</v>
      </c>
      <c r="I817" s="1077" t="s">
        <v>126</v>
      </c>
      <c r="J817" s="1077">
        <v>0.7</v>
      </c>
      <c r="K817" s="1077" t="s">
        <v>1915</v>
      </c>
      <c r="L817" s="1077" t="s">
        <v>1844</v>
      </c>
      <c r="M817" s="1077">
        <v>77.099999999999994</v>
      </c>
      <c r="N817" s="1077" t="s">
        <v>945</v>
      </c>
      <c r="O817" s="1077">
        <v>1.9275</v>
      </c>
      <c r="P817" s="1077">
        <v>1.5419999999999998</v>
      </c>
      <c r="Q817" s="1077">
        <v>4</v>
      </c>
      <c r="R817" s="1077">
        <v>23</v>
      </c>
      <c r="T817" s="1077">
        <v>18</v>
      </c>
      <c r="U817" s="1077">
        <v>4</v>
      </c>
      <c r="V817" s="1077" t="s">
        <v>648</v>
      </c>
      <c r="W817" s="1077">
        <v>110</v>
      </c>
      <c r="X817" s="1077">
        <v>70</v>
      </c>
      <c r="Y817" s="1077">
        <v>1.8</v>
      </c>
      <c r="Z817" s="1077">
        <v>4.5</v>
      </c>
      <c r="AA817" s="1077" t="s">
        <v>3994</v>
      </c>
      <c r="AH817" s="1077" t="s">
        <v>803</v>
      </c>
      <c r="AM817" s="1078" t="s">
        <v>10671</v>
      </c>
      <c r="AN817" s="1078" t="s">
        <v>10672</v>
      </c>
      <c r="AO817" s="1078">
        <f t="shared" si="102"/>
        <v>500</v>
      </c>
      <c r="AP817" s="1078">
        <f t="shared" si="103"/>
        <v>1.69</v>
      </c>
      <c r="AQ817" s="1078" t="str">
        <f t="shared" si="104"/>
        <v>1-5-1S83°</v>
      </c>
      <c r="AR817" s="1078" t="str">
        <f t="shared" si="105"/>
        <v>30</v>
      </c>
      <c r="AS817" s="1078" t="str">
        <f t="shared" si="106"/>
        <v>218/218/OFF</v>
      </c>
      <c r="AT817" s="1078" t="str">
        <f t="shared" si="107"/>
        <v>1-5-1S83°</v>
      </c>
      <c r="AV817" s="1078" t="str">
        <f t="shared" si="100"/>
        <v>110.12.10</v>
      </c>
      <c r="AW817" s="1344">
        <f t="shared" si="101"/>
        <v>44540</v>
      </c>
    </row>
    <row r="818" spans="1:49">
      <c r="A818" s="1077" t="s">
        <v>3995</v>
      </c>
      <c r="B818" s="1077" t="s">
        <v>2102</v>
      </c>
      <c r="C818" s="1077">
        <v>600</v>
      </c>
      <c r="D818" s="1077">
        <v>1.73</v>
      </c>
      <c r="E818" s="1077" t="s">
        <v>15089</v>
      </c>
      <c r="F818" s="1077" t="s">
        <v>975</v>
      </c>
      <c r="G818" s="1077" t="s">
        <v>1767</v>
      </c>
      <c r="H818" s="1077" t="s">
        <v>1040</v>
      </c>
      <c r="I818" s="1077" t="s">
        <v>126</v>
      </c>
      <c r="J818" s="1077">
        <v>0.9</v>
      </c>
      <c r="K818" s="1077" t="s">
        <v>3262</v>
      </c>
      <c r="L818" s="1077" t="s">
        <v>2104</v>
      </c>
      <c r="M818" s="1077">
        <v>75</v>
      </c>
      <c r="N818" s="1077" t="s">
        <v>945</v>
      </c>
      <c r="O818" s="1077">
        <v>1.875</v>
      </c>
      <c r="P818" s="1077">
        <v>1.5</v>
      </c>
      <c r="Q818" s="1077">
        <v>4</v>
      </c>
      <c r="R818" s="1077">
        <v>23.3</v>
      </c>
      <c r="T818" s="1077">
        <v>20.5</v>
      </c>
      <c r="U818" s="1077">
        <v>3.7</v>
      </c>
      <c r="V818" s="1077" t="s">
        <v>648</v>
      </c>
      <c r="W818" s="1077">
        <v>105</v>
      </c>
      <c r="X818" s="1077">
        <v>85</v>
      </c>
      <c r="Y818" s="1077">
        <v>1.9</v>
      </c>
      <c r="Z818" s="1077">
        <v>4.5</v>
      </c>
      <c r="AA818" s="1077" t="s">
        <v>3994</v>
      </c>
      <c r="AH818" s="1077" t="s">
        <v>1244</v>
      </c>
      <c r="AM818" s="1078" t="s">
        <v>10673</v>
      </c>
      <c r="AN818" s="1078" t="s">
        <v>10674</v>
      </c>
      <c r="AO818" s="1078">
        <f t="shared" si="102"/>
        <v>600</v>
      </c>
      <c r="AP818" s="1078">
        <f t="shared" si="103"/>
        <v>1.73</v>
      </c>
      <c r="AQ818" s="1078" t="str">
        <f t="shared" si="104"/>
        <v>1-4-1S83°</v>
      </c>
      <c r="AR818" s="1078" t="str">
        <f t="shared" si="105"/>
        <v>31.5</v>
      </c>
      <c r="AS818" s="1078" t="str">
        <f t="shared" si="106"/>
        <v>240/240/OFF</v>
      </c>
      <c r="AT818" s="1078" t="str">
        <f t="shared" si="107"/>
        <v>1-4-1S83°</v>
      </c>
      <c r="AV818" s="1078" t="str">
        <f t="shared" si="100"/>
        <v>110.12.10</v>
      </c>
      <c r="AW818" s="1344">
        <f t="shared" si="101"/>
        <v>44540</v>
      </c>
    </row>
    <row r="819" spans="1:49">
      <c r="A819" s="1077" t="s">
        <v>3996</v>
      </c>
      <c r="B819" s="1077" t="s">
        <v>1903</v>
      </c>
      <c r="C819" s="1077">
        <v>620</v>
      </c>
      <c r="D819" s="1077">
        <v>1.68</v>
      </c>
      <c r="E819" s="1077" t="s">
        <v>15089</v>
      </c>
      <c r="F819" s="1077" t="s">
        <v>975</v>
      </c>
      <c r="G819" s="1077" t="s">
        <v>1867</v>
      </c>
      <c r="H819" s="1077" t="s">
        <v>1145</v>
      </c>
      <c r="I819" s="1077" t="s">
        <v>126</v>
      </c>
      <c r="J819" s="1077">
        <v>0.6</v>
      </c>
      <c r="K819" s="1077" t="s">
        <v>3997</v>
      </c>
      <c r="L819" s="1077" t="s">
        <v>1905</v>
      </c>
      <c r="M819" s="1077">
        <v>74</v>
      </c>
      <c r="N819" s="1077" t="s">
        <v>945</v>
      </c>
      <c r="O819" s="1077">
        <v>1.85</v>
      </c>
      <c r="P819" s="1077">
        <v>1.48</v>
      </c>
      <c r="Q819" s="1077">
        <v>3</v>
      </c>
      <c r="R819" s="1077">
        <v>26</v>
      </c>
      <c r="T819" s="1077">
        <v>13.8</v>
      </c>
      <c r="U819" s="1077">
        <v>5.0999999999999996</v>
      </c>
      <c r="V819" s="1077" t="s">
        <v>648</v>
      </c>
      <c r="W819" s="1077">
        <v>100</v>
      </c>
      <c r="X819" s="1077">
        <v>60</v>
      </c>
      <c r="Y819" s="1077">
        <v>1.8</v>
      </c>
      <c r="Z819" s="1077">
        <v>4</v>
      </c>
      <c r="AA819" s="1077" t="s">
        <v>3998</v>
      </c>
      <c r="AH819" s="1077" t="s">
        <v>966</v>
      </c>
      <c r="AM819" s="1078" t="s">
        <v>10675</v>
      </c>
      <c r="AN819" s="1078" t="s">
        <v>10676</v>
      </c>
      <c r="AO819" s="1078">
        <f t="shared" si="102"/>
        <v>620</v>
      </c>
      <c r="AP819" s="1078">
        <f t="shared" si="103"/>
        <v>1.68</v>
      </c>
      <c r="AQ819" s="1078" t="str">
        <f t="shared" si="104"/>
        <v>1-4-1S83°</v>
      </c>
      <c r="AR819" s="1078" t="str">
        <f t="shared" si="105"/>
        <v>31.5</v>
      </c>
      <c r="AS819" s="1078" t="str">
        <f t="shared" si="106"/>
        <v>235/235/OFF</v>
      </c>
      <c r="AT819" s="1078" t="str">
        <f t="shared" si="107"/>
        <v>1-4-1S83°</v>
      </c>
      <c r="AV819" s="1078" t="str">
        <f t="shared" si="100"/>
        <v>110.12.21</v>
      </c>
      <c r="AW819" s="1344">
        <f t="shared" si="101"/>
        <v>44551</v>
      </c>
    </row>
    <row r="820" spans="1:49">
      <c r="A820" s="1077" t="s">
        <v>3999</v>
      </c>
      <c r="B820" s="1077" t="s">
        <v>1783</v>
      </c>
      <c r="C820" s="1077">
        <v>570</v>
      </c>
      <c r="D820" s="1077">
        <v>1.65</v>
      </c>
      <c r="E820" s="1077" t="s">
        <v>15095</v>
      </c>
      <c r="F820" s="1077" t="s">
        <v>984</v>
      </c>
      <c r="G820" s="1077" t="s">
        <v>1784</v>
      </c>
      <c r="H820" s="1077" t="s">
        <v>1785</v>
      </c>
      <c r="I820" s="1077" t="s">
        <v>126</v>
      </c>
      <c r="J820" s="1077">
        <v>0.3</v>
      </c>
      <c r="K820" s="1077" t="s">
        <v>1786</v>
      </c>
      <c r="L820" s="1077" t="s">
        <v>1787</v>
      </c>
      <c r="M820" s="1077">
        <v>76.099999999999994</v>
      </c>
      <c r="N820" s="1077" t="s">
        <v>945</v>
      </c>
      <c r="O820" s="1077">
        <v>1.9024999999999999</v>
      </c>
      <c r="P820" s="1077">
        <v>1.522</v>
      </c>
      <c r="Q820" s="1077">
        <v>4</v>
      </c>
      <c r="R820" s="1077">
        <v>19</v>
      </c>
      <c r="T820" s="1077">
        <v>13</v>
      </c>
      <c r="U820" s="1077">
        <v>4</v>
      </c>
      <c r="V820" s="1077" t="s">
        <v>648</v>
      </c>
      <c r="W820" s="1077">
        <v>30</v>
      </c>
      <c r="X820" s="1077">
        <v>10</v>
      </c>
      <c r="Y820" s="1077">
        <v>2.5</v>
      </c>
      <c r="Z820" s="1077">
        <v>2</v>
      </c>
      <c r="AA820" s="1077" t="s">
        <v>4000</v>
      </c>
      <c r="AH820" s="1077" t="s">
        <v>875</v>
      </c>
      <c r="AM820" s="1078" t="s">
        <v>10677</v>
      </c>
      <c r="AN820" s="1078" t="s">
        <v>10678</v>
      </c>
      <c r="AO820" s="1078">
        <f t="shared" si="102"/>
        <v>570</v>
      </c>
      <c r="AP820" s="1078">
        <f t="shared" si="103"/>
        <v>1.65</v>
      </c>
      <c r="AQ820" s="1078" t="str">
        <f t="shared" si="104"/>
        <v>1-5-1S83°</v>
      </c>
      <c r="AR820" s="1078" t="str">
        <f t="shared" si="105"/>
        <v>30</v>
      </c>
      <c r="AS820" s="1078" t="str">
        <f t="shared" si="106"/>
        <v>243/243/OFF</v>
      </c>
      <c r="AT820" s="1078" t="str">
        <f t="shared" si="107"/>
        <v>1-5-1S83°</v>
      </c>
      <c r="AV820" s="1078" t="str">
        <f t="shared" si="100"/>
        <v>110.12.23</v>
      </c>
      <c r="AW820" s="1344">
        <f t="shared" si="101"/>
        <v>44553</v>
      </c>
    </row>
    <row r="821" spans="1:49">
      <c r="A821" s="1077" t="s">
        <v>4001</v>
      </c>
      <c r="B821" s="1077" t="s">
        <v>1974</v>
      </c>
      <c r="C821" s="1077">
        <v>500</v>
      </c>
      <c r="D821" s="1077">
        <v>1.645</v>
      </c>
      <c r="E821" s="1077" t="s">
        <v>15089</v>
      </c>
      <c r="F821" s="1077" t="s">
        <v>975</v>
      </c>
      <c r="G821" s="1077" t="s">
        <v>1767</v>
      </c>
      <c r="H821" s="1077" t="s">
        <v>1649</v>
      </c>
      <c r="I821" s="1077" t="s">
        <v>126</v>
      </c>
      <c r="J821" s="1077">
        <v>0.7</v>
      </c>
      <c r="K821" s="1077" t="s">
        <v>2005</v>
      </c>
      <c r="L821" s="1077" t="s">
        <v>1976</v>
      </c>
      <c r="M821" s="1077">
        <v>77.599999999999994</v>
      </c>
      <c r="N821" s="1077" t="s">
        <v>945</v>
      </c>
      <c r="O821" s="1077">
        <v>1.94</v>
      </c>
      <c r="P821" s="1077">
        <v>1.5519999999999998</v>
      </c>
      <c r="Q821" s="1077">
        <v>4</v>
      </c>
      <c r="R821" s="1077">
        <v>23</v>
      </c>
      <c r="T821" s="1077">
        <v>21</v>
      </c>
      <c r="U821" s="1077">
        <v>3.7</v>
      </c>
      <c r="V821" s="1077" t="s">
        <v>648</v>
      </c>
      <c r="W821" s="1077">
        <v>105</v>
      </c>
      <c r="X821" s="1077">
        <v>65</v>
      </c>
      <c r="Y821" s="1077">
        <v>1.6</v>
      </c>
      <c r="Z821" s="1077">
        <v>4.5</v>
      </c>
      <c r="AA821" s="1077" t="s">
        <v>4002</v>
      </c>
      <c r="AH821" s="1077" t="s">
        <v>3213</v>
      </c>
      <c r="AM821" s="1078" t="s">
        <v>10679</v>
      </c>
      <c r="AN821" s="1078" t="s">
        <v>10680</v>
      </c>
      <c r="AO821" s="1078">
        <f t="shared" si="102"/>
        <v>500</v>
      </c>
      <c r="AP821" s="1078">
        <f t="shared" si="103"/>
        <v>1.645</v>
      </c>
      <c r="AQ821" s="1078" t="str">
        <f t="shared" si="104"/>
        <v>1-4-1S83°</v>
      </c>
      <c r="AR821" s="1078" t="str">
        <f t="shared" si="105"/>
        <v>31.5</v>
      </c>
      <c r="AS821" s="1078" t="str">
        <f t="shared" si="106"/>
        <v>225/225/OFF</v>
      </c>
      <c r="AT821" s="1078" t="str">
        <f t="shared" si="107"/>
        <v>1-4-1S83°</v>
      </c>
      <c r="AV821" s="1078" t="str">
        <f t="shared" si="100"/>
        <v>110.12.24</v>
      </c>
      <c r="AW821" s="1344">
        <f t="shared" si="101"/>
        <v>44554</v>
      </c>
    </row>
    <row r="822" spans="1:49">
      <c r="A822" s="1077" t="s">
        <v>4003</v>
      </c>
      <c r="B822" s="1077" t="s">
        <v>1792</v>
      </c>
      <c r="C822" s="1077">
        <v>650</v>
      </c>
      <c r="D822" s="1077">
        <v>1.76</v>
      </c>
      <c r="E822" s="1077" t="s">
        <v>15089</v>
      </c>
      <c r="F822" s="1077" t="s">
        <v>954</v>
      </c>
      <c r="G822" s="1077" t="s">
        <v>1767</v>
      </c>
      <c r="H822" s="1077" t="s">
        <v>4004</v>
      </c>
      <c r="I822" s="1077" t="s">
        <v>126</v>
      </c>
      <c r="J822" s="1077">
        <v>1.7</v>
      </c>
      <c r="K822" s="1077" t="s">
        <v>1794</v>
      </c>
      <c r="L822" s="1077" t="s">
        <v>1795</v>
      </c>
      <c r="M822" s="1077">
        <v>75</v>
      </c>
      <c r="N822" s="1077" t="s">
        <v>945</v>
      </c>
      <c r="O822" s="1077">
        <v>1.875</v>
      </c>
      <c r="P822" s="1077">
        <v>1.5</v>
      </c>
      <c r="Q822" s="1077">
        <v>4</v>
      </c>
      <c r="R822" s="1077">
        <v>21.6</v>
      </c>
      <c r="T822" s="1077">
        <v>32</v>
      </c>
      <c r="U822" s="1077">
        <v>3.7</v>
      </c>
      <c r="V822" s="1077" t="s">
        <v>648</v>
      </c>
      <c r="W822" s="1077">
        <v>110</v>
      </c>
      <c r="X822" s="1077">
        <v>60</v>
      </c>
      <c r="Y822" s="1077">
        <v>1.5</v>
      </c>
      <c r="Z822" s="1077">
        <v>5.5</v>
      </c>
      <c r="AA822" s="1077" t="s">
        <v>4005</v>
      </c>
      <c r="AH822" s="1077" t="s">
        <v>990</v>
      </c>
      <c r="AM822" s="1078" t="s">
        <v>10681</v>
      </c>
      <c r="AN822" s="1078" t="s">
        <v>10682</v>
      </c>
      <c r="AO822" s="1078">
        <f t="shared" si="102"/>
        <v>650</v>
      </c>
      <c r="AP822" s="1078">
        <f t="shared" si="103"/>
        <v>1.76</v>
      </c>
      <c r="AQ822" s="1078" t="str">
        <f t="shared" si="104"/>
        <v>1-4-1S83°</v>
      </c>
      <c r="AR822" s="1078" t="str">
        <f t="shared" si="105"/>
        <v>31</v>
      </c>
      <c r="AS822" s="1078" t="str">
        <f t="shared" si="106"/>
        <v>283/283/OFF</v>
      </c>
      <c r="AT822" s="1078" t="str">
        <f t="shared" si="107"/>
        <v>1-4-1S83°</v>
      </c>
      <c r="AV822" s="1078" t="str">
        <f t="shared" si="100"/>
        <v>111.1.3</v>
      </c>
      <c r="AW822" s="1344">
        <f t="shared" si="101"/>
        <v>44564</v>
      </c>
    </row>
    <row r="823" spans="1:49">
      <c r="A823" s="1077" t="s">
        <v>4006</v>
      </c>
      <c r="B823" s="1077" t="s">
        <v>1792</v>
      </c>
      <c r="C823" s="1077">
        <v>650</v>
      </c>
      <c r="D823" s="1077">
        <v>1.76</v>
      </c>
      <c r="E823" s="1077" t="s">
        <v>15089</v>
      </c>
      <c r="F823" s="1077" t="s">
        <v>954</v>
      </c>
      <c r="G823" s="1077" t="s">
        <v>1767</v>
      </c>
      <c r="H823" s="1077" t="s">
        <v>4004</v>
      </c>
      <c r="I823" s="1077" t="s">
        <v>126</v>
      </c>
      <c r="J823" s="1077">
        <v>1.6</v>
      </c>
      <c r="K823" s="1077" t="s">
        <v>1794</v>
      </c>
      <c r="L823" s="1077" t="s">
        <v>1795</v>
      </c>
      <c r="M823" s="1077">
        <v>75</v>
      </c>
      <c r="N823" s="1077" t="s">
        <v>945</v>
      </c>
      <c r="O823" s="1077">
        <v>1.875</v>
      </c>
      <c r="P823" s="1077">
        <v>1.5</v>
      </c>
      <c r="Q823" s="1077">
        <v>4</v>
      </c>
      <c r="R823" s="1077">
        <v>21.6</v>
      </c>
      <c r="T823" s="1077">
        <v>32</v>
      </c>
      <c r="U823" s="1077">
        <v>3.7</v>
      </c>
      <c r="V823" s="1077" t="s">
        <v>648</v>
      </c>
      <c r="W823" s="1077">
        <v>110</v>
      </c>
      <c r="X823" s="1077">
        <v>60</v>
      </c>
      <c r="Y823" s="1077">
        <v>1.5</v>
      </c>
      <c r="Z823" s="1077">
        <v>5.5</v>
      </c>
      <c r="AA823" s="1077" t="s">
        <v>4007</v>
      </c>
      <c r="AH823" s="1077" t="s">
        <v>998</v>
      </c>
      <c r="AM823" s="1078" t="s">
        <v>10683</v>
      </c>
      <c r="AN823" s="1078" t="s">
        <v>10684</v>
      </c>
      <c r="AO823" s="1078">
        <f t="shared" si="102"/>
        <v>650</v>
      </c>
      <c r="AP823" s="1078">
        <f t="shared" si="103"/>
        <v>1.76</v>
      </c>
      <c r="AQ823" s="1078" t="str">
        <f t="shared" si="104"/>
        <v>1-4-1S83°</v>
      </c>
      <c r="AR823" s="1078" t="str">
        <f t="shared" si="105"/>
        <v>31</v>
      </c>
      <c r="AS823" s="1078" t="str">
        <f t="shared" si="106"/>
        <v>283/283/OFF</v>
      </c>
      <c r="AT823" s="1078" t="str">
        <f t="shared" si="107"/>
        <v>1-4-1S83°</v>
      </c>
      <c r="AV823" s="1078" t="str">
        <f t="shared" si="100"/>
        <v>111.1.4</v>
      </c>
      <c r="AW823" s="1344">
        <f t="shared" si="101"/>
        <v>44565</v>
      </c>
    </row>
    <row r="824" spans="1:49">
      <c r="A824" s="1077" t="s">
        <v>4008</v>
      </c>
      <c r="B824" s="1077" t="s">
        <v>1783</v>
      </c>
      <c r="C824" s="1077">
        <v>570</v>
      </c>
      <c r="D824" s="1077">
        <v>1.64</v>
      </c>
      <c r="E824" s="1077" t="s">
        <v>15095</v>
      </c>
      <c r="F824" s="1077" t="s">
        <v>984</v>
      </c>
      <c r="G824" s="1077" t="s">
        <v>1784</v>
      </c>
      <c r="H824" s="1077" t="s">
        <v>1785</v>
      </c>
      <c r="I824" s="1077" t="s">
        <v>126</v>
      </c>
      <c r="J824" s="1077">
        <v>0.3</v>
      </c>
      <c r="K824" s="1077" t="s">
        <v>1790</v>
      </c>
      <c r="L824" s="1077" t="s">
        <v>1787</v>
      </c>
      <c r="M824" s="1077">
        <v>76.099999999999994</v>
      </c>
      <c r="N824" s="1077" t="s">
        <v>945</v>
      </c>
      <c r="O824" s="1077">
        <v>1.9024999999999999</v>
      </c>
      <c r="P824" s="1077">
        <v>1.522</v>
      </c>
      <c r="Q824" s="1077">
        <v>4</v>
      </c>
      <c r="R824" s="1077">
        <v>19</v>
      </c>
      <c r="T824" s="1077">
        <v>13</v>
      </c>
      <c r="U824" s="1077">
        <v>4</v>
      </c>
      <c r="V824" s="1077" t="s">
        <v>648</v>
      </c>
      <c r="W824" s="1077">
        <v>30</v>
      </c>
      <c r="X824" s="1077">
        <v>10</v>
      </c>
      <c r="Y824" s="1077">
        <v>2.5</v>
      </c>
      <c r="Z824" s="1077">
        <v>2</v>
      </c>
      <c r="AA824" s="1077" t="s">
        <v>4009</v>
      </c>
      <c r="AH824" s="1077" t="s">
        <v>958</v>
      </c>
      <c r="AM824" s="1078" t="s">
        <v>10685</v>
      </c>
      <c r="AN824" s="1078" t="s">
        <v>10686</v>
      </c>
      <c r="AO824" s="1078">
        <f t="shared" si="102"/>
        <v>570</v>
      </c>
      <c r="AP824" s="1078">
        <f t="shared" si="103"/>
        <v>1.64</v>
      </c>
      <c r="AQ824" s="1078" t="str">
        <f t="shared" si="104"/>
        <v>1-5-1S83°</v>
      </c>
      <c r="AR824" s="1078" t="str">
        <f t="shared" si="105"/>
        <v>30</v>
      </c>
      <c r="AS824" s="1078" t="str">
        <f t="shared" si="106"/>
        <v>243/243/OFF</v>
      </c>
      <c r="AT824" s="1078" t="str">
        <f t="shared" si="107"/>
        <v>1-5-1S83°</v>
      </c>
      <c r="AV824" s="1078" t="str">
        <f t="shared" si="100"/>
        <v>111.1.6</v>
      </c>
      <c r="AW824" s="1344">
        <f t="shared" si="101"/>
        <v>44567</v>
      </c>
    </row>
    <row r="825" spans="1:49">
      <c r="A825" s="1077" t="s">
        <v>4010</v>
      </c>
      <c r="B825" s="1077" t="s">
        <v>1805</v>
      </c>
      <c r="C825" s="1077">
        <v>600</v>
      </c>
      <c r="D825" s="1077">
        <v>1.7250000000000001</v>
      </c>
      <c r="E825" s="1077" t="s">
        <v>15089</v>
      </c>
      <c r="F825" s="1077" t="s">
        <v>975</v>
      </c>
      <c r="G825" s="1077" t="s">
        <v>940</v>
      </c>
      <c r="H825" s="1077" t="s">
        <v>2009</v>
      </c>
      <c r="I825" s="1077" t="s">
        <v>126</v>
      </c>
      <c r="J825" s="1077">
        <v>0.8</v>
      </c>
      <c r="K825" s="1077" t="s">
        <v>1807</v>
      </c>
      <c r="L825" s="1077" t="s">
        <v>4011</v>
      </c>
      <c r="M825" s="1077">
        <v>76.8</v>
      </c>
      <c r="N825" s="1077" t="s">
        <v>945</v>
      </c>
      <c r="O825" s="1077">
        <v>1.92</v>
      </c>
      <c r="P825" s="1077">
        <v>1.536</v>
      </c>
      <c r="Q825" s="1077">
        <v>4</v>
      </c>
      <c r="R825" s="1077">
        <v>20.3</v>
      </c>
      <c r="T825" s="1077">
        <v>18</v>
      </c>
      <c r="U825" s="1077">
        <v>3.5</v>
      </c>
      <c r="V825" s="1077" t="s">
        <v>648</v>
      </c>
      <c r="W825" s="1077">
        <v>120</v>
      </c>
      <c r="X825" s="1077">
        <v>80</v>
      </c>
      <c r="Y825" s="1077">
        <v>1.5</v>
      </c>
      <c r="Z825" s="1077">
        <v>4</v>
      </c>
      <c r="AA825" s="1077" t="s">
        <v>4009</v>
      </c>
      <c r="AH825" s="1077" t="s">
        <v>621</v>
      </c>
      <c r="AM825" s="1078" t="s">
        <v>10687</v>
      </c>
      <c r="AN825" s="1078" t="s">
        <v>10688</v>
      </c>
      <c r="AO825" s="1078">
        <f t="shared" si="102"/>
        <v>600</v>
      </c>
      <c r="AP825" s="1078">
        <f t="shared" si="103"/>
        <v>1.7250000000000001</v>
      </c>
      <c r="AQ825" s="1078" t="str">
        <f t="shared" si="104"/>
        <v>1-4-1S83°</v>
      </c>
      <c r="AR825" s="1078" t="str">
        <f t="shared" si="105"/>
        <v>31.5</v>
      </c>
      <c r="AS825" s="1078" t="str">
        <f t="shared" si="106"/>
        <v>265/265/OFF</v>
      </c>
      <c r="AT825" s="1078" t="str">
        <f t="shared" si="107"/>
        <v>1-4-1S83°</v>
      </c>
      <c r="AV825" s="1078" t="str">
        <f t="shared" si="100"/>
        <v>111.1.6</v>
      </c>
      <c r="AW825" s="1344">
        <f t="shared" si="101"/>
        <v>44567</v>
      </c>
    </row>
    <row r="826" spans="1:49">
      <c r="A826" s="1077" t="s">
        <v>1760</v>
      </c>
      <c r="B826" s="1077" t="s">
        <v>850</v>
      </c>
      <c r="C826" s="1077">
        <v>550</v>
      </c>
      <c r="D826" s="1077">
        <v>1.74</v>
      </c>
      <c r="E826" s="1077" t="s">
        <v>15095</v>
      </c>
      <c r="F826" s="1077" t="s">
        <v>984</v>
      </c>
      <c r="G826" s="1077" t="s">
        <v>940</v>
      </c>
      <c r="H826" s="1077" t="s">
        <v>1761</v>
      </c>
      <c r="I826" s="1077" t="s">
        <v>626</v>
      </c>
      <c r="J826" s="1077">
        <v>1</v>
      </c>
      <c r="K826" s="1077" t="s">
        <v>1762</v>
      </c>
      <c r="L826" s="1077" t="s">
        <v>1763</v>
      </c>
      <c r="M826" s="1077">
        <v>78</v>
      </c>
      <c r="N826" s="1077" t="s">
        <v>945</v>
      </c>
      <c r="O826" s="1077">
        <v>1.9500000000000002</v>
      </c>
      <c r="P826" s="1077">
        <v>1.56</v>
      </c>
      <c r="Q826" s="1077">
        <v>3</v>
      </c>
      <c r="R826" s="1077">
        <v>27</v>
      </c>
      <c r="T826" s="1077">
        <v>9.6</v>
      </c>
      <c r="U826" s="1077">
        <v>6.8</v>
      </c>
      <c r="V826" s="1077" t="s">
        <v>648</v>
      </c>
      <c r="W826" s="1077">
        <v>135</v>
      </c>
      <c r="X826" s="1077">
        <v>65</v>
      </c>
      <c r="Y826" s="1077">
        <v>1.4</v>
      </c>
      <c r="Z826" s="1077">
        <v>4</v>
      </c>
      <c r="AA826" s="1077" t="s">
        <v>1764</v>
      </c>
      <c r="AH826" s="1077" t="s">
        <v>1186</v>
      </c>
      <c r="AM826" s="1078" t="s">
        <v>10689</v>
      </c>
      <c r="AN826" s="1078" t="s">
        <v>10690</v>
      </c>
      <c r="AO826" s="1078">
        <f t="shared" si="102"/>
        <v>550</v>
      </c>
      <c r="AP826" s="1078">
        <f t="shared" si="103"/>
        <v>1.74</v>
      </c>
      <c r="AQ826" s="1078" t="str">
        <f t="shared" si="104"/>
        <v>1-5-1S83°</v>
      </c>
      <c r="AR826" s="1078" t="str">
        <f t="shared" si="105"/>
        <v>30</v>
      </c>
      <c r="AS826" s="1078" t="str">
        <f t="shared" si="106"/>
        <v>191/191/OFF</v>
      </c>
      <c r="AT826" s="1078" t="str">
        <f t="shared" si="107"/>
        <v>1-5-1S83°</v>
      </c>
      <c r="AV826" s="1078" t="str">
        <f t="shared" si="100"/>
        <v>111.1.7</v>
      </c>
      <c r="AW826" s="1344">
        <f t="shared" si="101"/>
        <v>44568</v>
      </c>
    </row>
    <row r="827" spans="1:49">
      <c r="A827" s="1077" t="s">
        <v>1765</v>
      </c>
      <c r="B827" s="1077" t="s">
        <v>1766</v>
      </c>
      <c r="C827" s="1077">
        <v>700</v>
      </c>
      <c r="D827" s="1077">
        <v>1.8</v>
      </c>
      <c r="E827" s="1077" t="s">
        <v>15091</v>
      </c>
      <c r="F827" s="1077" t="s">
        <v>1514</v>
      </c>
      <c r="G827" s="1077" t="s">
        <v>1767</v>
      </c>
      <c r="H827" s="1077" t="s">
        <v>941</v>
      </c>
      <c r="I827" s="1077" t="s">
        <v>1073</v>
      </c>
      <c r="J827" s="1077">
        <v>0.6</v>
      </c>
      <c r="K827" s="1077" t="s">
        <v>1768</v>
      </c>
      <c r="L827" s="1077" t="s">
        <v>1769</v>
      </c>
      <c r="M827" s="1077">
        <v>74.8</v>
      </c>
      <c r="N827" s="1077" t="s">
        <v>945</v>
      </c>
      <c r="O827" s="1077">
        <v>1.87</v>
      </c>
      <c r="P827" s="1077">
        <v>1.496</v>
      </c>
      <c r="Q827" s="1077">
        <v>4</v>
      </c>
      <c r="R827" s="1077">
        <v>18.7</v>
      </c>
      <c r="T827" s="1077">
        <v>40.1</v>
      </c>
      <c r="U827" s="1077">
        <v>3.4</v>
      </c>
      <c r="V827" s="1077" t="s">
        <v>648</v>
      </c>
      <c r="W827" s="1077">
        <v>30</v>
      </c>
      <c r="X827" s="1077">
        <v>10</v>
      </c>
      <c r="Y827" s="1077">
        <v>1.7</v>
      </c>
      <c r="Z827" s="1077">
        <v>5.5</v>
      </c>
      <c r="AA827" s="1077" t="s">
        <v>1770</v>
      </c>
      <c r="AH827" s="1077" t="s">
        <v>1771</v>
      </c>
      <c r="AM827" s="1078" t="s">
        <v>10691</v>
      </c>
      <c r="AN827" s="1078" t="s">
        <v>10692</v>
      </c>
      <c r="AO827" s="1078">
        <f t="shared" si="102"/>
        <v>700</v>
      </c>
      <c r="AP827" s="1078">
        <f t="shared" si="103"/>
        <v>1.8</v>
      </c>
      <c r="AQ827" s="1078" t="str">
        <f t="shared" si="104"/>
        <v>2-5-1S83°</v>
      </c>
      <c r="AR827" s="1078" t="str">
        <f t="shared" si="105"/>
        <v>32</v>
      </c>
      <c r="AS827" s="1078" t="str">
        <f t="shared" si="106"/>
        <v>185/OFF</v>
      </c>
      <c r="AT827" s="1078" t="str">
        <f t="shared" si="107"/>
        <v>2-5-1S83°</v>
      </c>
      <c r="AV827" s="1078" t="str">
        <f t="shared" si="100"/>
        <v>111.1.13</v>
      </c>
      <c r="AW827" s="1344">
        <f t="shared" si="101"/>
        <v>44574</v>
      </c>
    </row>
    <row r="828" spans="1:49">
      <c r="A828" s="1077" t="s">
        <v>1772</v>
      </c>
      <c r="B828" s="1077" t="s">
        <v>453</v>
      </c>
      <c r="C828" s="1077">
        <v>700</v>
      </c>
      <c r="D828" s="1077">
        <v>1.6850000000000001</v>
      </c>
      <c r="E828" s="1077" t="s">
        <v>15089</v>
      </c>
      <c r="F828" s="1077" t="s">
        <v>1773</v>
      </c>
      <c r="G828" s="1077" t="s">
        <v>1767</v>
      </c>
      <c r="H828" s="1077" t="s">
        <v>1774</v>
      </c>
      <c r="I828" s="1077" t="s">
        <v>126</v>
      </c>
      <c r="J828" s="1077">
        <v>0.9</v>
      </c>
      <c r="K828" s="1077" t="s">
        <v>1775</v>
      </c>
      <c r="L828" s="1077" t="s">
        <v>1776</v>
      </c>
      <c r="M828" s="1077">
        <v>75</v>
      </c>
      <c r="N828" s="1077" t="s">
        <v>945</v>
      </c>
      <c r="O828" s="1077">
        <v>1.875</v>
      </c>
      <c r="P828" s="1077">
        <v>1.5</v>
      </c>
      <c r="Q828" s="1077">
        <v>4</v>
      </c>
      <c r="R828" s="1077">
        <v>23</v>
      </c>
      <c r="T828" s="1077">
        <v>19</v>
      </c>
      <c r="U828" s="1077">
        <v>3.8</v>
      </c>
      <c r="V828" s="1077" t="s">
        <v>648</v>
      </c>
      <c r="W828" s="1077">
        <v>110</v>
      </c>
      <c r="X828" s="1077">
        <v>70</v>
      </c>
      <c r="Y828" s="1077">
        <v>2</v>
      </c>
      <c r="Z828" s="1077">
        <v>4.5</v>
      </c>
      <c r="AA828" s="1077" t="s">
        <v>1777</v>
      </c>
      <c r="AH828" s="1077" t="s">
        <v>468</v>
      </c>
      <c r="AM828" s="1078" t="s">
        <v>10693</v>
      </c>
      <c r="AN828" s="1078" t="s">
        <v>10694</v>
      </c>
      <c r="AO828" s="1078">
        <f t="shared" si="102"/>
        <v>700</v>
      </c>
      <c r="AP828" s="1078">
        <f t="shared" si="103"/>
        <v>1.6850000000000001</v>
      </c>
      <c r="AQ828" s="1078" t="str">
        <f t="shared" si="104"/>
        <v>1-4-1S83°</v>
      </c>
      <c r="AR828" s="1078" t="str">
        <f t="shared" si="105"/>
        <v>30.2</v>
      </c>
      <c r="AS828" s="1078" t="str">
        <f t="shared" si="106"/>
        <v>249/249/OFF</v>
      </c>
      <c r="AT828" s="1078" t="str">
        <f t="shared" si="107"/>
        <v>1-4-1S83°</v>
      </c>
      <c r="AV828" s="1078" t="str">
        <f t="shared" si="100"/>
        <v>111.1.14</v>
      </c>
      <c r="AW828" s="1344">
        <f t="shared" si="101"/>
        <v>44575</v>
      </c>
    </row>
    <row r="829" spans="1:49">
      <c r="A829" s="1077" t="s">
        <v>1778</v>
      </c>
      <c r="B829" s="1077" t="s">
        <v>840</v>
      </c>
      <c r="C829" s="1077">
        <v>650</v>
      </c>
      <c r="D829" s="1077">
        <v>1.78</v>
      </c>
      <c r="E829" s="1077" t="s">
        <v>15095</v>
      </c>
      <c r="F829" s="1077" t="s">
        <v>954</v>
      </c>
      <c r="G829" s="1077" t="s">
        <v>940</v>
      </c>
      <c r="H829" s="1077" t="s">
        <v>1649</v>
      </c>
      <c r="I829" s="1077" t="s">
        <v>126</v>
      </c>
      <c r="J829" s="1077">
        <v>1.1000000000000001</v>
      </c>
      <c r="K829" s="1077" t="s">
        <v>1779</v>
      </c>
      <c r="L829" s="1077" t="s">
        <v>1780</v>
      </c>
      <c r="M829" s="1077">
        <v>75.400000000000006</v>
      </c>
      <c r="N829" s="1077" t="s">
        <v>945</v>
      </c>
      <c r="O829" s="1077">
        <v>1.8850000000000002</v>
      </c>
      <c r="P829" s="1077">
        <v>1.5080000000000002</v>
      </c>
      <c r="Q829" s="1077" t="s">
        <v>1369</v>
      </c>
      <c r="R829" s="1077">
        <v>24</v>
      </c>
      <c r="T829" s="1077">
        <v>18</v>
      </c>
      <c r="U829" s="1077">
        <v>6</v>
      </c>
      <c r="V829" s="1077" t="s">
        <v>648</v>
      </c>
      <c r="W829" s="1077">
        <v>120</v>
      </c>
      <c r="X829" s="1077">
        <v>80</v>
      </c>
      <c r="Y829" s="1077">
        <v>2</v>
      </c>
      <c r="Z829" s="1077">
        <v>6</v>
      </c>
      <c r="AA829" s="1077" t="s">
        <v>1781</v>
      </c>
      <c r="AH829" s="1077" t="s">
        <v>878</v>
      </c>
      <c r="AM829" s="1078" t="s">
        <v>10695</v>
      </c>
      <c r="AN829" s="1078" t="s">
        <v>10696</v>
      </c>
      <c r="AO829" s="1078">
        <f t="shared" si="102"/>
        <v>650</v>
      </c>
      <c r="AP829" s="1078">
        <f t="shared" si="103"/>
        <v>1.78</v>
      </c>
      <c r="AQ829" s="1078" t="str">
        <f t="shared" si="104"/>
        <v>1-5-1S83°</v>
      </c>
      <c r="AR829" s="1078" t="str">
        <f t="shared" si="105"/>
        <v>31</v>
      </c>
      <c r="AS829" s="1078" t="str">
        <f t="shared" si="106"/>
        <v>225/225/OFF</v>
      </c>
      <c r="AT829" s="1078" t="str">
        <f t="shared" si="107"/>
        <v>1-5-1S83°</v>
      </c>
      <c r="AV829" s="1078" t="str">
        <f t="shared" si="100"/>
        <v>111.1.21</v>
      </c>
      <c r="AW829" s="1344">
        <f t="shared" si="101"/>
        <v>44582</v>
      </c>
    </row>
    <row r="830" spans="1:49">
      <c r="A830" s="1077" t="s">
        <v>1782</v>
      </c>
      <c r="B830" s="1077" t="s">
        <v>1783</v>
      </c>
      <c r="C830" s="1077">
        <v>570</v>
      </c>
      <c r="D830" s="1077">
        <v>1.64</v>
      </c>
      <c r="E830" s="1077" t="s">
        <v>15095</v>
      </c>
      <c r="F830" s="1077" t="s">
        <v>984</v>
      </c>
      <c r="G830" s="1077" t="s">
        <v>1784</v>
      </c>
      <c r="H830" s="1077" t="s">
        <v>1785</v>
      </c>
      <c r="I830" s="1077" t="s">
        <v>126</v>
      </c>
      <c r="J830" s="1077">
        <v>0.3</v>
      </c>
      <c r="K830" s="1077" t="s">
        <v>1786</v>
      </c>
      <c r="L830" s="1077" t="s">
        <v>1787</v>
      </c>
      <c r="M830" s="1077">
        <v>76.099999999999994</v>
      </c>
      <c r="N830" s="1077" t="s">
        <v>945</v>
      </c>
      <c r="O830" s="1077">
        <v>1.9024999999999999</v>
      </c>
      <c r="P830" s="1077">
        <v>1.522</v>
      </c>
      <c r="Q830" s="1077">
        <v>4</v>
      </c>
      <c r="R830" s="1077">
        <v>19</v>
      </c>
      <c r="T830" s="1077">
        <v>13</v>
      </c>
      <c r="U830" s="1077">
        <v>4</v>
      </c>
      <c r="V830" s="1077" t="s">
        <v>648</v>
      </c>
      <c r="W830" s="1077">
        <v>30</v>
      </c>
      <c r="X830" s="1077">
        <v>10</v>
      </c>
      <c r="Y830" s="1077">
        <v>2.5</v>
      </c>
      <c r="Z830" s="1077">
        <v>2</v>
      </c>
      <c r="AA830" s="1077" t="s">
        <v>1788</v>
      </c>
      <c r="AH830" s="1077" t="s">
        <v>963</v>
      </c>
      <c r="AM830" s="1078" t="s">
        <v>10697</v>
      </c>
      <c r="AN830" s="1078" t="s">
        <v>10698</v>
      </c>
      <c r="AO830" s="1078">
        <f t="shared" si="102"/>
        <v>570</v>
      </c>
      <c r="AP830" s="1078">
        <f t="shared" si="103"/>
        <v>1.64</v>
      </c>
      <c r="AQ830" s="1078" t="str">
        <f t="shared" si="104"/>
        <v>1-5-1S83°</v>
      </c>
      <c r="AR830" s="1078" t="str">
        <f t="shared" si="105"/>
        <v>30</v>
      </c>
      <c r="AS830" s="1078" t="str">
        <f t="shared" si="106"/>
        <v>243/243/OFF</v>
      </c>
      <c r="AT830" s="1078" t="str">
        <f t="shared" si="107"/>
        <v>1-5-1S83°</v>
      </c>
      <c r="AV830" s="1078" t="str">
        <f t="shared" si="100"/>
        <v>111.1.26</v>
      </c>
      <c r="AW830" s="1344">
        <f t="shared" si="101"/>
        <v>44587</v>
      </c>
    </row>
    <row r="831" spans="1:49">
      <c r="A831" s="1077" t="s">
        <v>1789</v>
      </c>
      <c r="B831" s="1077" t="s">
        <v>1783</v>
      </c>
      <c r="C831" s="1077">
        <v>570</v>
      </c>
      <c r="D831" s="1077">
        <v>1.64</v>
      </c>
      <c r="E831" s="1077" t="s">
        <v>15095</v>
      </c>
      <c r="F831" s="1077" t="s">
        <v>984</v>
      </c>
      <c r="G831" s="1077" t="s">
        <v>1784</v>
      </c>
      <c r="H831" s="1077" t="s">
        <v>1040</v>
      </c>
      <c r="I831" s="1077" t="s">
        <v>126</v>
      </c>
      <c r="J831" s="1077">
        <v>0.3</v>
      </c>
      <c r="K831" s="1077" t="s">
        <v>1790</v>
      </c>
      <c r="L831" s="1077" t="s">
        <v>1787</v>
      </c>
      <c r="M831" s="1077">
        <v>76.099999999999994</v>
      </c>
      <c r="N831" s="1077" t="s">
        <v>945</v>
      </c>
      <c r="O831" s="1077">
        <v>1.9024999999999999</v>
      </c>
      <c r="P831" s="1077">
        <v>1.522</v>
      </c>
      <c r="Q831" s="1077">
        <v>4</v>
      </c>
      <c r="R831" s="1077">
        <v>19</v>
      </c>
      <c r="T831" s="1077">
        <v>13</v>
      </c>
      <c r="U831" s="1077">
        <v>4</v>
      </c>
      <c r="V831" s="1077" t="s">
        <v>648</v>
      </c>
      <c r="W831" s="1077">
        <v>30</v>
      </c>
      <c r="X831" s="1077">
        <v>10</v>
      </c>
      <c r="Y831" s="1077">
        <v>2.5</v>
      </c>
      <c r="Z831" s="1077">
        <v>2</v>
      </c>
      <c r="AA831" s="1077" t="s">
        <v>1781</v>
      </c>
      <c r="AH831" s="1077" t="s">
        <v>619</v>
      </c>
      <c r="AM831" s="1078" t="s">
        <v>10699</v>
      </c>
      <c r="AN831" s="1078" t="s">
        <v>10700</v>
      </c>
      <c r="AO831" s="1078">
        <f t="shared" si="102"/>
        <v>570</v>
      </c>
      <c r="AP831" s="1078">
        <f t="shared" si="103"/>
        <v>1.64</v>
      </c>
      <c r="AQ831" s="1078" t="str">
        <f t="shared" si="104"/>
        <v>1-5-1S83°</v>
      </c>
      <c r="AR831" s="1078" t="str">
        <f t="shared" si="105"/>
        <v>30</v>
      </c>
      <c r="AS831" s="1078" t="str">
        <f t="shared" si="106"/>
        <v>240/240/OFF</v>
      </c>
      <c r="AT831" s="1078" t="str">
        <f t="shared" si="107"/>
        <v>1-5-1S83°</v>
      </c>
      <c r="AV831" s="1078" t="str">
        <f t="shared" si="100"/>
        <v>111.1.21</v>
      </c>
      <c r="AW831" s="1344">
        <f t="shared" si="101"/>
        <v>44582</v>
      </c>
    </row>
    <row r="832" spans="1:49">
      <c r="A832" s="1077" t="s">
        <v>1791</v>
      </c>
      <c r="B832" s="1077" t="s">
        <v>1792</v>
      </c>
      <c r="C832" s="1077">
        <v>650</v>
      </c>
      <c r="D832" s="1077">
        <v>1.76</v>
      </c>
      <c r="E832" s="1077" t="s">
        <v>15089</v>
      </c>
      <c r="F832" s="1077" t="s">
        <v>954</v>
      </c>
      <c r="G832" s="1077" t="s">
        <v>1767</v>
      </c>
      <c r="H832" s="1077" t="s">
        <v>1793</v>
      </c>
      <c r="I832" s="1077" t="s">
        <v>126</v>
      </c>
      <c r="J832" s="1077">
        <v>1.6</v>
      </c>
      <c r="K832" s="1077" t="s">
        <v>1794</v>
      </c>
      <c r="L832" s="1077" t="s">
        <v>1795</v>
      </c>
      <c r="M832" s="1077">
        <v>75</v>
      </c>
      <c r="N832" s="1077" t="s">
        <v>945</v>
      </c>
      <c r="O832" s="1077">
        <v>1.875</v>
      </c>
      <c r="P832" s="1077">
        <v>1.5</v>
      </c>
      <c r="Q832" s="1077">
        <v>4</v>
      </c>
      <c r="R832" s="1077">
        <v>21.6</v>
      </c>
      <c r="T832" s="1077">
        <v>32</v>
      </c>
      <c r="U832" s="1077">
        <v>3.7</v>
      </c>
      <c r="V832" s="1077" t="s">
        <v>648</v>
      </c>
      <c r="W832" s="1077">
        <v>110</v>
      </c>
      <c r="X832" s="1077">
        <v>60</v>
      </c>
      <c r="Y832" s="1077">
        <v>1.5</v>
      </c>
      <c r="Z832" s="1077">
        <v>5.5</v>
      </c>
      <c r="AA832" s="1077" t="s">
        <v>1788</v>
      </c>
      <c r="AH832" s="1077" t="s">
        <v>1796</v>
      </c>
      <c r="AM832" s="1078" t="s">
        <v>10701</v>
      </c>
      <c r="AN832" s="1078" t="s">
        <v>10702</v>
      </c>
      <c r="AO832" s="1078">
        <f t="shared" si="102"/>
        <v>650</v>
      </c>
      <c r="AP832" s="1078">
        <f t="shared" si="103"/>
        <v>1.76</v>
      </c>
      <c r="AQ832" s="1078" t="str">
        <f t="shared" si="104"/>
        <v>1-4-1S83°</v>
      </c>
      <c r="AR832" s="1078" t="str">
        <f t="shared" si="105"/>
        <v>31</v>
      </c>
      <c r="AS832" s="1078" t="str">
        <f t="shared" si="106"/>
        <v>270/270/OFF</v>
      </c>
      <c r="AT832" s="1078" t="str">
        <f t="shared" si="107"/>
        <v>1-4-1S83°</v>
      </c>
      <c r="AV832" s="1078" t="str">
        <f t="shared" si="100"/>
        <v>111.1.26</v>
      </c>
      <c r="AW832" s="1344">
        <f t="shared" si="101"/>
        <v>44587</v>
      </c>
    </row>
    <row r="833" spans="1:49">
      <c r="A833" s="1077" t="s">
        <v>1797</v>
      </c>
      <c r="B833" s="1077" t="s">
        <v>1792</v>
      </c>
      <c r="C833" s="1077">
        <v>650</v>
      </c>
      <c r="D833" s="1077">
        <v>1.77</v>
      </c>
      <c r="E833" s="1077" t="s">
        <v>15089</v>
      </c>
      <c r="F833" s="1077" t="s">
        <v>954</v>
      </c>
      <c r="G833" s="1077" t="s">
        <v>1767</v>
      </c>
      <c r="H833" s="1077" t="s">
        <v>1793</v>
      </c>
      <c r="I833" s="1077" t="s">
        <v>126</v>
      </c>
      <c r="J833" s="1077">
        <v>1.6</v>
      </c>
      <c r="K833" s="1077" t="s">
        <v>1794</v>
      </c>
      <c r="L833" s="1077" t="s">
        <v>1795</v>
      </c>
      <c r="M833" s="1077">
        <v>75</v>
      </c>
      <c r="N833" s="1077" t="s">
        <v>945</v>
      </c>
      <c r="O833" s="1077">
        <v>1.875</v>
      </c>
      <c r="P833" s="1077">
        <v>1.5</v>
      </c>
      <c r="Q833" s="1077">
        <v>4</v>
      </c>
      <c r="R833" s="1077">
        <v>21.6</v>
      </c>
      <c r="T833" s="1077">
        <v>32</v>
      </c>
      <c r="U833" s="1077">
        <v>3.7</v>
      </c>
      <c r="V833" s="1077" t="s">
        <v>648</v>
      </c>
      <c r="W833" s="1077">
        <v>110</v>
      </c>
      <c r="X833" s="1077">
        <v>60</v>
      </c>
      <c r="Y833" s="1077">
        <v>1.5</v>
      </c>
      <c r="Z833" s="1077">
        <v>5.5</v>
      </c>
      <c r="AA833" s="1077" t="s">
        <v>1788</v>
      </c>
      <c r="AH833" s="1077" t="s">
        <v>622</v>
      </c>
      <c r="AM833" s="1078" t="s">
        <v>10703</v>
      </c>
      <c r="AN833" s="1078" t="s">
        <v>10704</v>
      </c>
      <c r="AO833" s="1078">
        <f t="shared" si="102"/>
        <v>650</v>
      </c>
      <c r="AP833" s="1078">
        <f t="shared" si="103"/>
        <v>1.77</v>
      </c>
      <c r="AQ833" s="1078" t="str">
        <f t="shared" si="104"/>
        <v>1-4-1S83°</v>
      </c>
      <c r="AR833" s="1078" t="str">
        <f t="shared" si="105"/>
        <v>31</v>
      </c>
      <c r="AS833" s="1078" t="str">
        <f t="shared" si="106"/>
        <v>270/270/OFF</v>
      </c>
      <c r="AT833" s="1078" t="str">
        <f t="shared" si="107"/>
        <v>1-4-1S83°</v>
      </c>
      <c r="AV833" s="1078" t="str">
        <f t="shared" si="100"/>
        <v>111.1.26</v>
      </c>
      <c r="AW833" s="1344">
        <f t="shared" si="101"/>
        <v>44587</v>
      </c>
    </row>
    <row r="834" spans="1:49">
      <c r="A834" s="1077" t="s">
        <v>1798</v>
      </c>
      <c r="B834" s="1077" t="s">
        <v>620</v>
      </c>
      <c r="C834" s="1077">
        <v>500</v>
      </c>
      <c r="D834" s="1077">
        <v>1.71</v>
      </c>
      <c r="E834" s="1077" t="s">
        <v>15091</v>
      </c>
      <c r="F834" s="1077" t="s">
        <v>954</v>
      </c>
      <c r="G834" s="1077" t="s">
        <v>1016</v>
      </c>
      <c r="H834" s="1077" t="s">
        <v>1799</v>
      </c>
      <c r="I834" s="1077" t="s">
        <v>1167</v>
      </c>
      <c r="J834" s="1077">
        <v>1</v>
      </c>
      <c r="K834" s="1077" t="s">
        <v>1800</v>
      </c>
      <c r="L834" s="1077" t="s">
        <v>1801</v>
      </c>
      <c r="M834" s="1077">
        <v>76.7</v>
      </c>
      <c r="N834" s="1077" t="s">
        <v>945</v>
      </c>
      <c r="O834" s="1077">
        <v>1.9175000000000002</v>
      </c>
      <c r="P834" s="1077">
        <v>1.534</v>
      </c>
      <c r="Q834" s="1077">
        <v>4</v>
      </c>
      <c r="R834" s="1077">
        <v>23.5</v>
      </c>
      <c r="T834" s="1077">
        <v>20.7</v>
      </c>
      <c r="U834" s="1077">
        <v>3.6</v>
      </c>
      <c r="V834" s="1077" t="s">
        <v>648</v>
      </c>
      <c r="W834" s="1077">
        <v>120</v>
      </c>
      <c r="X834" s="1077">
        <v>80</v>
      </c>
      <c r="Y834" s="1077">
        <v>1</v>
      </c>
      <c r="Z834" s="1077">
        <v>5</v>
      </c>
      <c r="AA834" s="1077" t="s">
        <v>1802</v>
      </c>
      <c r="AH834" s="1077" t="s">
        <v>1803</v>
      </c>
      <c r="AM834" s="1078" t="s">
        <v>10705</v>
      </c>
      <c r="AN834" s="1078" t="s">
        <v>10706</v>
      </c>
      <c r="AO834" s="1078">
        <f t="shared" si="102"/>
        <v>500</v>
      </c>
      <c r="AP834" s="1078">
        <f t="shared" si="103"/>
        <v>1.71</v>
      </c>
      <c r="AQ834" s="1078" t="str">
        <f t="shared" si="104"/>
        <v>2-5-1S83°</v>
      </c>
      <c r="AR834" s="1078" t="str">
        <f t="shared" si="105"/>
        <v>31</v>
      </c>
      <c r="AS834" s="1078" t="str">
        <f t="shared" si="106"/>
        <v>153/OFF</v>
      </c>
      <c r="AT834" s="1078" t="str">
        <f t="shared" si="107"/>
        <v>2-5-1S83°</v>
      </c>
      <c r="AV834" s="1078" t="str">
        <f t="shared" ref="AV834:AV897" si="108">AA834</f>
        <v>111.2.7</v>
      </c>
      <c r="AW834" s="1344">
        <f t="shared" si="101"/>
        <v>44599</v>
      </c>
    </row>
    <row r="835" spans="1:49">
      <c r="A835" s="1077" t="s">
        <v>1804</v>
      </c>
      <c r="B835" s="1077" t="s">
        <v>1805</v>
      </c>
      <c r="C835" s="1077">
        <v>600</v>
      </c>
      <c r="D835" s="1077">
        <v>1.69</v>
      </c>
      <c r="E835" s="1077" t="s">
        <v>15089</v>
      </c>
      <c r="F835" s="1077" t="s">
        <v>1469</v>
      </c>
      <c r="G835" s="1077" t="s">
        <v>940</v>
      </c>
      <c r="H835" s="1077" t="s">
        <v>1806</v>
      </c>
      <c r="I835" s="1077" t="s">
        <v>126</v>
      </c>
      <c r="J835" s="1077">
        <v>0.7</v>
      </c>
      <c r="K835" s="1077" t="s">
        <v>1807</v>
      </c>
      <c r="L835" s="1077" t="s">
        <v>1808</v>
      </c>
      <c r="M835" s="1077">
        <v>76.8</v>
      </c>
      <c r="N835" s="1077" t="s">
        <v>945</v>
      </c>
      <c r="O835" s="1077">
        <v>1.92</v>
      </c>
      <c r="P835" s="1077">
        <v>1.536</v>
      </c>
      <c r="Q835" s="1077">
        <v>4</v>
      </c>
      <c r="R835" s="1077">
        <v>20.3</v>
      </c>
      <c r="T835" s="1077">
        <v>18</v>
      </c>
      <c r="U835" s="1077">
        <v>3.5</v>
      </c>
      <c r="V835" s="1077" t="s">
        <v>648</v>
      </c>
      <c r="W835" s="1077">
        <v>120</v>
      </c>
      <c r="X835" s="1077">
        <v>80</v>
      </c>
      <c r="Y835" s="1077">
        <v>1.5</v>
      </c>
      <c r="Z835" s="1077">
        <v>4</v>
      </c>
      <c r="AA835" s="1077" t="s">
        <v>1802</v>
      </c>
      <c r="AH835" s="1077" t="s">
        <v>483</v>
      </c>
      <c r="AM835" s="1078" t="s">
        <v>10707</v>
      </c>
      <c r="AN835" s="1078" t="s">
        <v>10708</v>
      </c>
      <c r="AO835" s="1078">
        <f t="shared" si="102"/>
        <v>600</v>
      </c>
      <c r="AP835" s="1078">
        <f t="shared" si="103"/>
        <v>1.69</v>
      </c>
      <c r="AQ835" s="1078" t="str">
        <f t="shared" si="104"/>
        <v>1-4-1S83°</v>
      </c>
      <c r="AR835" s="1078" t="str">
        <f t="shared" si="105"/>
        <v>30.5</v>
      </c>
      <c r="AS835" s="1078" t="str">
        <f t="shared" si="106"/>
        <v>280/280/OFF</v>
      </c>
      <c r="AT835" s="1078" t="str">
        <f t="shared" si="107"/>
        <v>1-4-1S83°</v>
      </c>
      <c r="AV835" s="1078" t="str">
        <f t="shared" si="108"/>
        <v>111.2.7</v>
      </c>
      <c r="AW835" s="1344">
        <f t="shared" ref="AW835:AW898" si="109">DATE(VALUE(LEFT(AV835,FIND(".",AV835)-1))+1911,
       VALUE(MID(AV835,FIND(".",AV835)+1,FIND(".",AV835,FIND(".",AV835)+1)-FIND(".",AV835)-1)),
       VALUE(RIGHT(AV835,LEN(AV835)-FIND("~",SUBSTITUTE(AV835,".","~",2)))))</f>
        <v>44599</v>
      </c>
    </row>
    <row r="836" spans="1:49">
      <c r="A836" s="1077" t="s">
        <v>1809</v>
      </c>
      <c r="B836" s="1077" t="s">
        <v>472</v>
      </c>
      <c r="C836" s="1077">
        <v>600</v>
      </c>
      <c r="D836" s="1077">
        <v>1.68</v>
      </c>
      <c r="E836" s="1077" t="s">
        <v>15089</v>
      </c>
      <c r="F836" s="1077" t="s">
        <v>984</v>
      </c>
      <c r="G836" s="1077" t="s">
        <v>1767</v>
      </c>
      <c r="H836" s="1077" t="s">
        <v>1226</v>
      </c>
      <c r="I836" s="1077" t="s">
        <v>126</v>
      </c>
      <c r="J836" s="1077">
        <v>0.7</v>
      </c>
      <c r="K836" s="1077" t="s">
        <v>1810</v>
      </c>
      <c r="L836" s="1077" t="s">
        <v>1811</v>
      </c>
      <c r="M836" s="1077">
        <v>74.599999999999994</v>
      </c>
      <c r="N836" s="1077" t="s">
        <v>945</v>
      </c>
      <c r="O836" s="1077">
        <v>1.865</v>
      </c>
      <c r="P836" s="1077">
        <v>1.492</v>
      </c>
      <c r="Q836" s="1077">
        <v>3.5</v>
      </c>
      <c r="R836" s="1077">
        <v>27</v>
      </c>
      <c r="T836" s="1077">
        <v>12.5</v>
      </c>
      <c r="U836" s="1077">
        <v>5.0999999999999996</v>
      </c>
      <c r="V836" s="1077" t="s">
        <v>648</v>
      </c>
      <c r="W836" s="1077">
        <v>95</v>
      </c>
      <c r="X836" s="1077">
        <v>60</v>
      </c>
      <c r="Y836" s="1077">
        <v>1.8</v>
      </c>
      <c r="Z836" s="1077">
        <v>4.5</v>
      </c>
      <c r="AA836" s="1077" t="s">
        <v>1812</v>
      </c>
      <c r="AB836" s="1077" t="s">
        <v>1813</v>
      </c>
      <c r="AH836" s="1077" t="s">
        <v>990</v>
      </c>
      <c r="AI836" s="1077">
        <v>92.29</v>
      </c>
      <c r="AJ836" s="1077">
        <v>-0.73</v>
      </c>
      <c r="AK836" s="1077">
        <v>2.99</v>
      </c>
      <c r="AM836" s="1078" t="s">
        <v>10709</v>
      </c>
      <c r="AN836" s="1078" t="s">
        <v>10710</v>
      </c>
      <c r="AO836" s="1078">
        <f t="shared" si="102"/>
        <v>600</v>
      </c>
      <c r="AP836" s="1078">
        <f t="shared" si="103"/>
        <v>1.68</v>
      </c>
      <c r="AQ836" s="1078" t="str">
        <f t="shared" si="104"/>
        <v>1-4-1S83°</v>
      </c>
      <c r="AR836" s="1078" t="str">
        <f t="shared" si="105"/>
        <v>30</v>
      </c>
      <c r="AS836" s="1078" t="str">
        <f t="shared" si="106"/>
        <v>230/230/OFF</v>
      </c>
      <c r="AT836" s="1078" t="str">
        <f t="shared" si="107"/>
        <v>1-4-1S83°</v>
      </c>
      <c r="AV836" s="1078" t="str">
        <f t="shared" si="108"/>
        <v>113.4.9</v>
      </c>
      <c r="AW836" s="1344">
        <f t="shared" si="109"/>
        <v>45391</v>
      </c>
    </row>
    <row r="837" spans="1:49">
      <c r="A837" s="1077" t="s">
        <v>1814</v>
      </c>
      <c r="B837" s="1077" t="s">
        <v>1815</v>
      </c>
      <c r="C837" s="1077">
        <v>650</v>
      </c>
      <c r="D837" s="1077">
        <v>1.7250000000000001</v>
      </c>
      <c r="E837" s="1077" t="s">
        <v>15098</v>
      </c>
      <c r="F837" s="1077" t="s">
        <v>954</v>
      </c>
      <c r="G837" s="1077" t="s">
        <v>1767</v>
      </c>
      <c r="H837" s="1077" t="s">
        <v>1793</v>
      </c>
      <c r="I837" s="1077" t="s">
        <v>126</v>
      </c>
      <c r="J837" s="1077">
        <v>0.8</v>
      </c>
      <c r="K837" s="1077" t="s">
        <v>1816</v>
      </c>
      <c r="L837" s="1077" t="s">
        <v>1817</v>
      </c>
      <c r="M837" s="1077">
        <v>75.099999999999994</v>
      </c>
      <c r="N837" s="1077" t="s">
        <v>945</v>
      </c>
      <c r="O837" s="1077">
        <v>1.8774999999999999</v>
      </c>
      <c r="P837" s="1077">
        <v>1.502</v>
      </c>
      <c r="Q837" s="1077">
        <v>4</v>
      </c>
      <c r="R837" s="1077">
        <v>19</v>
      </c>
      <c r="T837" s="1077">
        <v>21</v>
      </c>
      <c r="U837" s="1077">
        <v>3.5</v>
      </c>
      <c r="V837" s="1077" t="s">
        <v>648</v>
      </c>
      <c r="W837" s="1077">
        <v>110</v>
      </c>
      <c r="X837" s="1077">
        <v>65</v>
      </c>
      <c r="Y837" s="1077">
        <v>1.6</v>
      </c>
      <c r="Z837" s="1077">
        <v>4</v>
      </c>
      <c r="AA837" s="1077" t="s">
        <v>1818</v>
      </c>
      <c r="AB837" s="1077" t="s">
        <v>981</v>
      </c>
      <c r="AH837" s="1077" t="s">
        <v>966</v>
      </c>
      <c r="AI837" s="1077">
        <v>94.57</v>
      </c>
      <c r="AJ837" s="1077">
        <v>-0.43</v>
      </c>
      <c r="AK837" s="1077">
        <v>1.76</v>
      </c>
      <c r="AM837" s="1078" t="s">
        <v>10711</v>
      </c>
      <c r="AN837" s="1078" t="s">
        <v>10712</v>
      </c>
      <c r="AO837" s="1078">
        <f t="shared" si="102"/>
        <v>650</v>
      </c>
      <c r="AP837" s="1078">
        <f t="shared" si="103"/>
        <v>1.7250000000000001</v>
      </c>
      <c r="AQ837" s="1078" t="str">
        <f t="shared" si="104"/>
        <v>1-4-1S91°</v>
      </c>
      <c r="AR837" s="1078" t="str">
        <f t="shared" si="105"/>
        <v>31</v>
      </c>
      <c r="AS837" s="1078" t="str">
        <f t="shared" si="106"/>
        <v>270/270/OFF</v>
      </c>
      <c r="AT837" s="1078" t="str">
        <f t="shared" si="107"/>
        <v>1-4-1S91°</v>
      </c>
      <c r="AV837" s="1078" t="str">
        <f t="shared" si="108"/>
        <v>113.4.12</v>
      </c>
      <c r="AW837" s="1344">
        <f t="shared" si="109"/>
        <v>45394</v>
      </c>
    </row>
    <row r="838" spans="1:49">
      <c r="A838" s="1077" t="s">
        <v>1819</v>
      </c>
      <c r="B838" s="1077" t="s">
        <v>453</v>
      </c>
      <c r="C838" s="1077">
        <v>650</v>
      </c>
      <c r="D838" s="1077">
        <v>1.7</v>
      </c>
      <c r="E838" s="1077" t="s">
        <v>15089</v>
      </c>
      <c r="F838" s="1077" t="s">
        <v>1773</v>
      </c>
      <c r="G838" s="1077" t="s">
        <v>1767</v>
      </c>
      <c r="H838" s="1077" t="s">
        <v>1029</v>
      </c>
      <c r="I838" s="1077" t="s">
        <v>126</v>
      </c>
      <c r="J838" s="1077">
        <v>1</v>
      </c>
      <c r="K838" s="1077" t="s">
        <v>1820</v>
      </c>
      <c r="L838" s="1077" t="s">
        <v>1821</v>
      </c>
      <c r="M838" s="1077">
        <v>74.8</v>
      </c>
      <c r="N838" s="1077" t="s">
        <v>945</v>
      </c>
      <c r="O838" s="1077">
        <v>1.87</v>
      </c>
      <c r="P838" s="1077">
        <v>1.496</v>
      </c>
      <c r="Q838" s="1077">
        <v>3.5</v>
      </c>
      <c r="R838" s="1077">
        <v>21.5</v>
      </c>
      <c r="T838" s="1077">
        <v>18.600000000000001</v>
      </c>
      <c r="U838" s="1077">
        <v>3.5</v>
      </c>
      <c r="V838" s="1077" t="s">
        <v>648</v>
      </c>
      <c r="W838" s="1077">
        <v>105</v>
      </c>
      <c r="X838" s="1077">
        <v>80</v>
      </c>
      <c r="Y838" s="1077">
        <v>2</v>
      </c>
      <c r="Z838" s="1077">
        <v>4.5</v>
      </c>
      <c r="AA838" s="1077" t="s">
        <v>1677</v>
      </c>
      <c r="AH838" s="1077" t="s">
        <v>889</v>
      </c>
      <c r="AI838" s="1077">
        <v>92.59</v>
      </c>
      <c r="AJ838" s="1077">
        <v>0.31</v>
      </c>
      <c r="AK838" s="1077">
        <v>0.2</v>
      </c>
      <c r="AM838" s="1078" t="s">
        <v>10713</v>
      </c>
      <c r="AN838" s="1078" t="s">
        <v>10714</v>
      </c>
      <c r="AO838" s="1078">
        <f t="shared" si="102"/>
        <v>650</v>
      </c>
      <c r="AP838" s="1078">
        <f t="shared" si="103"/>
        <v>1.7</v>
      </c>
      <c r="AQ838" s="1078" t="str">
        <f t="shared" si="104"/>
        <v>1-4-1S83°</v>
      </c>
      <c r="AR838" s="1078" t="str">
        <f t="shared" si="105"/>
        <v>30.2</v>
      </c>
      <c r="AS838" s="1078" t="str">
        <f t="shared" si="106"/>
        <v>250/250/OFF</v>
      </c>
      <c r="AT838" s="1078" t="str">
        <f t="shared" si="107"/>
        <v>1-4-1S83°</v>
      </c>
      <c r="AV838" s="1078" t="str">
        <f t="shared" si="108"/>
        <v>113.4.10</v>
      </c>
      <c r="AW838" s="1344">
        <f t="shared" si="109"/>
        <v>45392</v>
      </c>
    </row>
    <row r="839" spans="1:49">
      <c r="A839" s="1077" t="s">
        <v>1822</v>
      </c>
      <c r="B839" s="1077" t="s">
        <v>1823</v>
      </c>
      <c r="C839" s="1077">
        <v>500</v>
      </c>
      <c r="D839" s="1077">
        <v>1.77</v>
      </c>
      <c r="E839" s="1077" t="s">
        <v>15095</v>
      </c>
      <c r="F839" s="1077" t="s">
        <v>984</v>
      </c>
      <c r="G839" s="1077" t="s">
        <v>1016</v>
      </c>
      <c r="H839" s="1077" t="s">
        <v>1649</v>
      </c>
      <c r="I839" s="1077" t="s">
        <v>126</v>
      </c>
      <c r="J839" s="1077">
        <v>0.7</v>
      </c>
      <c r="K839" s="1077" t="s">
        <v>1824</v>
      </c>
      <c r="L839" s="1077" t="s">
        <v>1825</v>
      </c>
      <c r="M839" s="1077">
        <v>73.8</v>
      </c>
      <c r="N839" s="1077" t="s">
        <v>945</v>
      </c>
      <c r="O839" s="1077">
        <v>1.845</v>
      </c>
      <c r="P839" s="1077">
        <v>1.476</v>
      </c>
      <c r="Q839" s="1077">
        <v>3.5</v>
      </c>
      <c r="R839" s="1077">
        <v>18.5</v>
      </c>
      <c r="T839" s="1077">
        <v>21</v>
      </c>
      <c r="U839" s="1077">
        <v>3.8</v>
      </c>
      <c r="V839" s="1077" t="s">
        <v>648</v>
      </c>
      <c r="W839" s="1077">
        <v>110</v>
      </c>
      <c r="X839" s="1077">
        <v>85</v>
      </c>
      <c r="Y839" s="1077">
        <v>1.9</v>
      </c>
      <c r="Z839" s="1077">
        <v>4</v>
      </c>
      <c r="AA839" s="1077" t="s">
        <v>1826</v>
      </c>
      <c r="AH839" s="1077" t="s">
        <v>1827</v>
      </c>
      <c r="AI839" s="1077">
        <v>84.42</v>
      </c>
      <c r="AJ839" s="1077">
        <v>0.95</v>
      </c>
      <c r="AK839" s="1077">
        <v>8.34</v>
      </c>
      <c r="AM839" s="1078" t="s">
        <v>10715</v>
      </c>
      <c r="AN839" s="1078" t="s">
        <v>10716</v>
      </c>
      <c r="AO839" s="1078">
        <f t="shared" si="102"/>
        <v>500</v>
      </c>
      <c r="AP839" s="1078">
        <f t="shared" si="103"/>
        <v>1.77</v>
      </c>
      <c r="AQ839" s="1078" t="str">
        <f t="shared" si="104"/>
        <v>1-5-1S83°</v>
      </c>
      <c r="AR839" s="1078" t="str">
        <f t="shared" si="105"/>
        <v>30</v>
      </c>
      <c r="AS839" s="1078" t="str">
        <f t="shared" si="106"/>
        <v>225/225/OFF</v>
      </c>
      <c r="AT839" s="1078" t="str">
        <f t="shared" si="107"/>
        <v>1-5-1S83°</v>
      </c>
      <c r="AV839" s="1078" t="str">
        <f t="shared" si="108"/>
        <v>113.4.13</v>
      </c>
      <c r="AW839" s="1344">
        <f t="shared" si="109"/>
        <v>45395</v>
      </c>
    </row>
    <row r="840" spans="1:49">
      <c r="A840" s="1077" t="s">
        <v>1828</v>
      </c>
      <c r="B840" s="1077" t="s">
        <v>1815</v>
      </c>
      <c r="C840" s="1077">
        <v>650</v>
      </c>
      <c r="D840" s="1077">
        <v>1.7250000000000001</v>
      </c>
      <c r="E840" s="1077" t="s">
        <v>15098</v>
      </c>
      <c r="F840" s="1077" t="s">
        <v>954</v>
      </c>
      <c r="G840" s="1077" t="s">
        <v>1767</v>
      </c>
      <c r="H840" s="1077" t="s">
        <v>1793</v>
      </c>
      <c r="I840" s="1077" t="s">
        <v>126</v>
      </c>
      <c r="J840" s="1077">
        <v>0.9</v>
      </c>
      <c r="K840" s="1077" t="s">
        <v>1816</v>
      </c>
      <c r="L840" s="1077" t="s">
        <v>1817</v>
      </c>
      <c r="M840" s="1077">
        <v>75.099999999999994</v>
      </c>
      <c r="N840" s="1077" t="s">
        <v>945</v>
      </c>
      <c r="O840" s="1077">
        <v>1.8774999999999999</v>
      </c>
      <c r="P840" s="1077">
        <v>1.502</v>
      </c>
      <c r="Q840" s="1077">
        <v>4</v>
      </c>
      <c r="R840" s="1077">
        <v>19</v>
      </c>
      <c r="T840" s="1077">
        <v>21</v>
      </c>
      <c r="U840" s="1077">
        <v>3.5</v>
      </c>
      <c r="V840" s="1077" t="s">
        <v>648</v>
      </c>
      <c r="W840" s="1077">
        <v>110</v>
      </c>
      <c r="X840" s="1077">
        <v>65</v>
      </c>
      <c r="Y840" s="1077">
        <v>1.6</v>
      </c>
      <c r="Z840" s="1077">
        <v>4</v>
      </c>
      <c r="AA840" s="1077" t="s">
        <v>1829</v>
      </c>
      <c r="AB840" s="1077" t="s">
        <v>981</v>
      </c>
      <c r="AH840" s="1077" t="s">
        <v>878</v>
      </c>
      <c r="AI840" s="1077">
        <v>93.48</v>
      </c>
      <c r="AJ840" s="1077">
        <v>-1.18</v>
      </c>
      <c r="AK840" s="1077">
        <v>2.71</v>
      </c>
      <c r="AM840" s="1078" t="s">
        <v>10717</v>
      </c>
      <c r="AN840" s="1078" t="s">
        <v>10718</v>
      </c>
      <c r="AO840" s="1078">
        <f t="shared" si="102"/>
        <v>650</v>
      </c>
      <c r="AP840" s="1078">
        <f t="shared" si="103"/>
        <v>1.7250000000000001</v>
      </c>
      <c r="AQ840" s="1078" t="str">
        <f t="shared" si="104"/>
        <v>1-4-1S91°</v>
      </c>
      <c r="AR840" s="1078" t="str">
        <f t="shared" si="105"/>
        <v>31</v>
      </c>
      <c r="AS840" s="1078" t="str">
        <f t="shared" si="106"/>
        <v>270/270/OFF</v>
      </c>
      <c r="AT840" s="1078" t="str">
        <f t="shared" si="107"/>
        <v>1-4-1S91°</v>
      </c>
      <c r="AV840" s="1078" t="str">
        <f t="shared" si="108"/>
        <v>113.4.15</v>
      </c>
      <c r="AW840" s="1344">
        <f t="shared" si="109"/>
        <v>45397</v>
      </c>
    </row>
    <row r="841" spans="1:49">
      <c r="A841" s="1077" t="s">
        <v>1830</v>
      </c>
      <c r="B841" s="1077" t="s">
        <v>453</v>
      </c>
      <c r="C841" s="1077">
        <v>650</v>
      </c>
      <c r="D841" s="1077">
        <v>1.71</v>
      </c>
      <c r="E841" s="1077" t="s">
        <v>15089</v>
      </c>
      <c r="F841" s="1077" t="s">
        <v>984</v>
      </c>
      <c r="G841" s="1077" t="s">
        <v>1767</v>
      </c>
      <c r="H841" s="1077" t="s">
        <v>1831</v>
      </c>
      <c r="I841" s="1077" t="s">
        <v>126</v>
      </c>
      <c r="J841" s="1077">
        <v>1.1000000000000001</v>
      </c>
      <c r="K841" s="1077" t="s">
        <v>1832</v>
      </c>
      <c r="L841" s="1077" t="s">
        <v>1821</v>
      </c>
      <c r="M841" s="1077">
        <v>77</v>
      </c>
      <c r="N841" s="1077" t="s">
        <v>945</v>
      </c>
      <c r="O841" s="1077">
        <v>1.925</v>
      </c>
      <c r="P841" s="1077">
        <v>1.54</v>
      </c>
      <c r="Q841" s="1077">
        <v>4.2</v>
      </c>
      <c r="R841" s="1077">
        <v>24</v>
      </c>
      <c r="T841" s="1077">
        <v>9</v>
      </c>
      <c r="U841" s="1077">
        <v>2.2000000000000002</v>
      </c>
      <c r="V841" s="1077" t="s">
        <v>648</v>
      </c>
      <c r="W841" s="1077">
        <v>110</v>
      </c>
      <c r="X841" s="1077">
        <v>85</v>
      </c>
      <c r="Y841" s="1077">
        <v>2.1</v>
      </c>
      <c r="Z841" s="1077">
        <v>2.5</v>
      </c>
      <c r="AA841" s="1077" t="s">
        <v>1833</v>
      </c>
      <c r="AB841" s="1077" t="s">
        <v>981</v>
      </c>
      <c r="AH841" s="1077" t="s">
        <v>680</v>
      </c>
      <c r="AI841" s="1077">
        <v>92.06</v>
      </c>
      <c r="AJ841" s="1077">
        <v>-0.51</v>
      </c>
      <c r="AK841" s="1077">
        <v>0.8</v>
      </c>
      <c r="AM841" s="1078" t="s">
        <v>10719</v>
      </c>
      <c r="AN841" s="1078" t="s">
        <v>10720</v>
      </c>
      <c r="AO841" s="1078">
        <f t="shared" si="102"/>
        <v>650</v>
      </c>
      <c r="AP841" s="1078">
        <f t="shared" si="103"/>
        <v>1.71</v>
      </c>
      <c r="AQ841" s="1078" t="str">
        <f t="shared" si="104"/>
        <v>1-4-1S83°</v>
      </c>
      <c r="AR841" s="1078" t="str">
        <f t="shared" si="105"/>
        <v>30</v>
      </c>
      <c r="AS841" s="1078" t="str">
        <f t="shared" si="106"/>
        <v>260/260/165</v>
      </c>
      <c r="AT841" s="1078" t="str">
        <f t="shared" si="107"/>
        <v>1-4-1S83°</v>
      </c>
      <c r="AV841" s="1078" t="str">
        <f t="shared" si="108"/>
        <v>113.4.25</v>
      </c>
      <c r="AW841" s="1344">
        <f t="shared" si="109"/>
        <v>45407</v>
      </c>
    </row>
    <row r="842" spans="1:49">
      <c r="A842" s="1077" t="s">
        <v>1834</v>
      </c>
      <c r="B842" s="1077" t="s">
        <v>453</v>
      </c>
      <c r="C842" s="1077">
        <v>650</v>
      </c>
      <c r="D842" s="1077">
        <v>1.72</v>
      </c>
      <c r="E842" s="1077" t="s">
        <v>15089</v>
      </c>
      <c r="F842" s="1077" t="s">
        <v>1773</v>
      </c>
      <c r="G842" s="1077" t="s">
        <v>1835</v>
      </c>
      <c r="H842" s="1077" t="s">
        <v>1836</v>
      </c>
      <c r="I842" s="1077" t="s">
        <v>126</v>
      </c>
      <c r="J842" s="1077">
        <v>0.4</v>
      </c>
      <c r="K842" s="1077" t="s">
        <v>1832</v>
      </c>
      <c r="L842" s="1077" t="s">
        <v>1821</v>
      </c>
      <c r="M842" s="1077">
        <v>74.599999999999994</v>
      </c>
      <c r="N842" s="1077" t="s">
        <v>945</v>
      </c>
      <c r="O842" s="1077">
        <v>1.865</v>
      </c>
      <c r="P842" s="1077">
        <v>1.492</v>
      </c>
      <c r="Q842" s="1077">
        <v>4</v>
      </c>
      <c r="R842" s="1077">
        <v>20.3</v>
      </c>
      <c r="T842" s="1077">
        <v>21.1</v>
      </c>
      <c r="U842" s="1077">
        <v>3.9</v>
      </c>
      <c r="V842" s="1077" t="s">
        <v>648</v>
      </c>
      <c r="W842" s="1077">
        <v>30</v>
      </c>
      <c r="X842" s="1077">
        <v>10</v>
      </c>
      <c r="Y842" s="1077">
        <v>1.8</v>
      </c>
      <c r="Z842" s="1077">
        <v>4.5</v>
      </c>
      <c r="AA842" s="1077" t="s">
        <v>1833</v>
      </c>
      <c r="AH842" s="1077" t="s">
        <v>1837</v>
      </c>
      <c r="AI842" s="1077">
        <v>92.82</v>
      </c>
      <c r="AJ842" s="1077">
        <v>-0.44</v>
      </c>
      <c r="AK842" s="1077">
        <v>0.8</v>
      </c>
      <c r="AM842" s="1078" t="s">
        <v>10721</v>
      </c>
      <c r="AN842" s="1078" t="s">
        <v>10722</v>
      </c>
      <c r="AO842" s="1078">
        <f t="shared" si="102"/>
        <v>650</v>
      </c>
      <c r="AP842" s="1078">
        <f t="shared" si="103"/>
        <v>1.72</v>
      </c>
      <c r="AQ842" s="1078" t="str">
        <f t="shared" si="104"/>
        <v>1-4-1S83°</v>
      </c>
      <c r="AR842" s="1078" t="str">
        <f t="shared" si="105"/>
        <v>30.2</v>
      </c>
      <c r="AS842" s="1078" t="str">
        <f t="shared" si="106"/>
        <v>247/247/OFF</v>
      </c>
      <c r="AT842" s="1078" t="str">
        <f t="shared" si="107"/>
        <v>1-4-1S83°</v>
      </c>
      <c r="AV842" s="1078" t="str">
        <f t="shared" si="108"/>
        <v>113.4.25</v>
      </c>
      <c r="AW842" s="1344">
        <f t="shared" si="109"/>
        <v>45407</v>
      </c>
    </row>
    <row r="843" spans="1:49">
      <c r="A843" s="1077" t="s">
        <v>1838</v>
      </c>
      <c r="B843" s="1077" t="s">
        <v>1815</v>
      </c>
      <c r="C843" s="1077">
        <v>650</v>
      </c>
      <c r="D843" s="1077">
        <v>1.7250000000000001</v>
      </c>
      <c r="E843" s="1077" t="s">
        <v>15098</v>
      </c>
      <c r="F843" s="1077" t="s">
        <v>954</v>
      </c>
      <c r="G843" s="1077" t="s">
        <v>1767</v>
      </c>
      <c r="H843" s="1077" t="s">
        <v>1793</v>
      </c>
      <c r="I843" s="1077" t="s">
        <v>126</v>
      </c>
      <c r="J843" s="1077">
        <v>0.9</v>
      </c>
      <c r="K843" s="1077" t="s">
        <v>1839</v>
      </c>
      <c r="L843" s="1077" t="s">
        <v>1817</v>
      </c>
      <c r="M843" s="1077">
        <v>75.099999999999994</v>
      </c>
      <c r="N843" s="1077" t="s">
        <v>945</v>
      </c>
      <c r="O843" s="1077">
        <v>1.8774999999999999</v>
      </c>
      <c r="P843" s="1077">
        <v>1.502</v>
      </c>
      <c r="Q843" s="1077">
        <v>4</v>
      </c>
      <c r="R843" s="1077">
        <v>19</v>
      </c>
      <c r="T843" s="1077">
        <v>21</v>
      </c>
      <c r="U843" s="1077">
        <v>3.5</v>
      </c>
      <c r="V843" s="1077" t="s">
        <v>648</v>
      </c>
      <c r="W843" s="1077">
        <v>110</v>
      </c>
      <c r="X843" s="1077">
        <v>65</v>
      </c>
      <c r="Y843" s="1077">
        <v>1.6</v>
      </c>
      <c r="Z843" s="1077">
        <v>4</v>
      </c>
      <c r="AA843" s="1077" t="s">
        <v>1840</v>
      </c>
      <c r="AB843" s="1077" t="s">
        <v>981</v>
      </c>
      <c r="AH843" s="1077" t="s">
        <v>813</v>
      </c>
      <c r="AI843" s="1077">
        <v>94.35</v>
      </c>
      <c r="AJ843" s="1077">
        <v>-0.41</v>
      </c>
      <c r="AK843" s="1077">
        <v>1.56</v>
      </c>
      <c r="AM843" s="1078" t="s">
        <v>10723</v>
      </c>
      <c r="AN843" s="1078" t="s">
        <v>10724</v>
      </c>
      <c r="AO843" s="1078">
        <f t="shared" ref="AO843:AO906" si="110">C843</f>
        <v>650</v>
      </c>
      <c r="AP843" s="1078">
        <f t="shared" ref="AP843:AP906" si="111">D843</f>
        <v>1.7250000000000001</v>
      </c>
      <c r="AQ843" s="1078" t="str">
        <f t="shared" ref="AQ843:AQ906" si="112">E843</f>
        <v>1-4-1S91°</v>
      </c>
      <c r="AR843" s="1078" t="str">
        <f t="shared" ref="AR843:AR906" si="113">F843</f>
        <v>31</v>
      </c>
      <c r="AS843" s="1078" t="str">
        <f t="shared" ref="AS843:AS906" si="114">H843</f>
        <v>270/270/OFF</v>
      </c>
      <c r="AT843" s="1078" t="str">
        <f t="shared" ref="AT843:AT906" si="115">E843</f>
        <v>1-4-1S91°</v>
      </c>
      <c r="AV843" s="1078" t="str">
        <f t="shared" si="108"/>
        <v>113.4.29</v>
      </c>
      <c r="AW843" s="1344">
        <f t="shared" si="109"/>
        <v>45411</v>
      </c>
    </row>
    <row r="844" spans="1:49">
      <c r="A844" s="1077" t="s">
        <v>1841</v>
      </c>
      <c r="B844" s="1077" t="s">
        <v>1842</v>
      </c>
      <c r="C844" s="1077">
        <v>500</v>
      </c>
      <c r="D844" s="1077">
        <v>1.7</v>
      </c>
      <c r="E844" s="1077" t="s">
        <v>15095</v>
      </c>
      <c r="F844" s="1077" t="s">
        <v>984</v>
      </c>
      <c r="G844" s="1077" t="s">
        <v>1016</v>
      </c>
      <c r="H844" s="1077" t="s">
        <v>1649</v>
      </c>
      <c r="I844" s="1077" t="s">
        <v>126</v>
      </c>
      <c r="J844" s="1077">
        <v>0.7</v>
      </c>
      <c r="K844" s="1077" t="s">
        <v>1843</v>
      </c>
      <c r="L844" s="1077" t="s">
        <v>1844</v>
      </c>
      <c r="M844" s="1077">
        <v>77.099999999999994</v>
      </c>
      <c r="N844" s="1077" t="s">
        <v>945</v>
      </c>
      <c r="O844" s="1077">
        <v>1.9275</v>
      </c>
      <c r="P844" s="1077">
        <v>1.5419999999999998</v>
      </c>
      <c r="Q844" s="1077">
        <v>3.5</v>
      </c>
      <c r="R844" s="1077">
        <v>25</v>
      </c>
      <c r="T844" s="1077">
        <v>18</v>
      </c>
      <c r="U844" s="1077">
        <v>4</v>
      </c>
      <c r="V844" s="1077" t="s">
        <v>648</v>
      </c>
      <c r="W844" s="1077">
        <v>110</v>
      </c>
      <c r="X844" s="1077">
        <v>70</v>
      </c>
      <c r="Y844" s="1077">
        <v>1.8</v>
      </c>
      <c r="Z844" s="1077">
        <v>4.5</v>
      </c>
      <c r="AA844" s="1077" t="s">
        <v>1845</v>
      </c>
      <c r="AH844" s="1077" t="s">
        <v>812</v>
      </c>
      <c r="AI844" s="1077">
        <v>94.18</v>
      </c>
      <c r="AJ844" s="1077">
        <v>-1</v>
      </c>
      <c r="AK844" s="1077">
        <v>1.2</v>
      </c>
      <c r="AM844" s="1078" t="s">
        <v>10725</v>
      </c>
      <c r="AN844" s="1078" t="s">
        <v>10726</v>
      </c>
      <c r="AO844" s="1078">
        <f t="shared" si="110"/>
        <v>500</v>
      </c>
      <c r="AP844" s="1078">
        <f t="shared" si="111"/>
        <v>1.7</v>
      </c>
      <c r="AQ844" s="1078" t="str">
        <f t="shared" si="112"/>
        <v>1-5-1S83°</v>
      </c>
      <c r="AR844" s="1078" t="str">
        <f t="shared" si="113"/>
        <v>30</v>
      </c>
      <c r="AS844" s="1078" t="str">
        <f t="shared" si="114"/>
        <v>225/225/OFF</v>
      </c>
      <c r="AT844" s="1078" t="str">
        <f t="shared" si="115"/>
        <v>1-5-1S83°</v>
      </c>
      <c r="AV844" s="1078" t="str">
        <f t="shared" si="108"/>
        <v>113.4.27</v>
      </c>
      <c r="AW844" s="1344">
        <f t="shared" si="109"/>
        <v>45409</v>
      </c>
    </row>
    <row r="845" spans="1:49">
      <c r="A845" s="1077" t="s">
        <v>1846</v>
      </c>
      <c r="B845" s="1077" t="s">
        <v>840</v>
      </c>
      <c r="C845" s="1077" t="s">
        <v>1847</v>
      </c>
      <c r="D845" s="1077">
        <v>1.8149999999999999</v>
      </c>
      <c r="E845" s="1077" t="s">
        <v>15095</v>
      </c>
      <c r="F845" s="1077" t="s">
        <v>984</v>
      </c>
      <c r="G845" s="1077" t="s">
        <v>940</v>
      </c>
      <c r="H845" s="1077" t="s">
        <v>1155</v>
      </c>
      <c r="I845" s="1077" t="s">
        <v>126</v>
      </c>
      <c r="J845" s="1077">
        <v>1.3</v>
      </c>
      <c r="K845" s="1077" t="s">
        <v>1848</v>
      </c>
      <c r="L845" s="1077" t="s">
        <v>1780</v>
      </c>
      <c r="M845" s="1077">
        <v>75.400000000000006</v>
      </c>
      <c r="N845" s="1077" t="s">
        <v>945</v>
      </c>
      <c r="O845" s="1077">
        <v>1.8850000000000002</v>
      </c>
      <c r="P845" s="1077">
        <v>1.5080000000000002</v>
      </c>
      <c r="Q845" s="1077">
        <v>3</v>
      </c>
      <c r="R845" s="1077">
        <v>24</v>
      </c>
      <c r="T845" s="1077">
        <v>18</v>
      </c>
      <c r="U845" s="1077">
        <v>6</v>
      </c>
      <c r="V845" s="1077" t="s">
        <v>648</v>
      </c>
      <c r="W845" s="1077">
        <v>120</v>
      </c>
      <c r="X845" s="1077">
        <v>80</v>
      </c>
      <c r="Y845" s="1077">
        <v>2</v>
      </c>
      <c r="Z845" s="1077">
        <v>6</v>
      </c>
      <c r="AA845" s="1077" t="s">
        <v>1849</v>
      </c>
      <c r="AH845" s="1077" t="s">
        <v>722</v>
      </c>
      <c r="AI845" s="1077">
        <v>92.27</v>
      </c>
      <c r="AJ845" s="1077">
        <v>-0.77</v>
      </c>
      <c r="AK845" s="1077">
        <v>2.5299999999999998</v>
      </c>
      <c r="AM845" s="1078" t="s">
        <v>10727</v>
      </c>
      <c r="AN845" s="1078" t="s">
        <v>10728</v>
      </c>
      <c r="AO845" s="1078" t="str">
        <f t="shared" si="110"/>
        <v>650↓550-5/8</v>
      </c>
      <c r="AP845" s="1078">
        <f t="shared" si="111"/>
        <v>1.8149999999999999</v>
      </c>
      <c r="AQ845" s="1078" t="str">
        <f t="shared" si="112"/>
        <v>1-5-1S83°</v>
      </c>
      <c r="AR845" s="1078" t="str">
        <f t="shared" si="113"/>
        <v>30</v>
      </c>
      <c r="AS845" s="1078" t="str">
        <f t="shared" si="114"/>
        <v>215/215/OFF</v>
      </c>
      <c r="AT845" s="1078" t="str">
        <f t="shared" si="115"/>
        <v>1-5-1S83°</v>
      </c>
      <c r="AV845" s="1078" t="str">
        <f t="shared" si="108"/>
        <v>113.4.30</v>
      </c>
      <c r="AW845" s="1344">
        <f t="shared" si="109"/>
        <v>45412</v>
      </c>
    </row>
    <row r="846" spans="1:49">
      <c r="A846" s="1077" t="s">
        <v>1850</v>
      </c>
      <c r="B846" s="1077" t="s">
        <v>472</v>
      </c>
      <c r="C846" s="1077">
        <v>600</v>
      </c>
      <c r="D846" s="1077">
        <v>1.68</v>
      </c>
      <c r="E846" s="1077" t="s">
        <v>15089</v>
      </c>
      <c r="F846" s="1077" t="s">
        <v>984</v>
      </c>
      <c r="G846" s="1077" t="s">
        <v>1767</v>
      </c>
      <c r="H846" s="1077" t="s">
        <v>1290</v>
      </c>
      <c r="I846" s="1077" t="s">
        <v>126</v>
      </c>
      <c r="J846" s="1077">
        <v>0.6</v>
      </c>
      <c r="K846" s="1077" t="s">
        <v>1851</v>
      </c>
      <c r="L846" s="1077" t="s">
        <v>1811</v>
      </c>
      <c r="M846" s="1077">
        <v>74.599999999999994</v>
      </c>
      <c r="N846" s="1077" t="s">
        <v>945</v>
      </c>
      <c r="O846" s="1077">
        <v>1.865</v>
      </c>
      <c r="P846" s="1077">
        <v>1.492</v>
      </c>
      <c r="Q846" s="1077">
        <v>3.5</v>
      </c>
      <c r="R846" s="1077">
        <v>27</v>
      </c>
      <c r="T846" s="1077">
        <v>12.5</v>
      </c>
      <c r="U846" s="1077">
        <v>5.0999999999999996</v>
      </c>
      <c r="V846" s="1077" t="s">
        <v>648</v>
      </c>
      <c r="W846" s="1077">
        <v>95</v>
      </c>
      <c r="X846" s="1077">
        <v>60</v>
      </c>
      <c r="Y846" s="1077">
        <v>1.8</v>
      </c>
      <c r="Z846" s="1077">
        <v>4.5</v>
      </c>
      <c r="AA846" s="1077" t="s">
        <v>1852</v>
      </c>
      <c r="AB846" s="1077" t="s">
        <v>1853</v>
      </c>
      <c r="AH846" s="1077" t="s">
        <v>618</v>
      </c>
      <c r="AI846" s="1077">
        <v>92.85</v>
      </c>
      <c r="AJ846" s="1077">
        <v>-1.06</v>
      </c>
      <c r="AK846" s="1077">
        <v>3.97</v>
      </c>
      <c r="AM846" s="1078" t="s">
        <v>10729</v>
      </c>
      <c r="AN846" s="1078" t="s">
        <v>10730</v>
      </c>
      <c r="AO846" s="1078">
        <f t="shared" si="110"/>
        <v>600</v>
      </c>
      <c r="AP846" s="1078">
        <f t="shared" si="111"/>
        <v>1.68</v>
      </c>
      <c r="AQ846" s="1078" t="str">
        <f t="shared" si="112"/>
        <v>1-4-1S83°</v>
      </c>
      <c r="AR846" s="1078" t="str">
        <f t="shared" si="113"/>
        <v>30</v>
      </c>
      <c r="AS846" s="1078" t="str">
        <f t="shared" si="114"/>
        <v>220/220/OFF</v>
      </c>
      <c r="AT846" s="1078" t="str">
        <f t="shared" si="115"/>
        <v>1-4-1S83°</v>
      </c>
      <c r="AV846" s="1078" t="str">
        <f t="shared" si="108"/>
        <v>113.5.2</v>
      </c>
      <c r="AW846" s="1344">
        <f t="shared" si="109"/>
        <v>45414</v>
      </c>
    </row>
    <row r="847" spans="1:49">
      <c r="A847" s="1077" t="s">
        <v>1854</v>
      </c>
      <c r="B847" s="1077" t="s">
        <v>1815</v>
      </c>
      <c r="C847" s="1077">
        <v>650</v>
      </c>
      <c r="D847" s="1077">
        <v>1.7350000000000001</v>
      </c>
      <c r="E847" s="1077" t="s">
        <v>15098</v>
      </c>
      <c r="F847" s="1077" t="s">
        <v>954</v>
      </c>
      <c r="G847" s="1077" t="s">
        <v>1767</v>
      </c>
      <c r="H847" s="1077" t="s">
        <v>1793</v>
      </c>
      <c r="I847" s="1077" t="s">
        <v>126</v>
      </c>
      <c r="J847" s="1077">
        <v>0.9</v>
      </c>
      <c r="K847" s="1077" t="s">
        <v>1839</v>
      </c>
      <c r="L847" s="1077" t="s">
        <v>1817</v>
      </c>
      <c r="M847" s="1077">
        <v>75.099999999999994</v>
      </c>
      <c r="N847" s="1077" t="s">
        <v>945</v>
      </c>
      <c r="O847" s="1077">
        <v>1.8774999999999999</v>
      </c>
      <c r="P847" s="1077">
        <v>1.502</v>
      </c>
      <c r="Q847" s="1077">
        <v>4</v>
      </c>
      <c r="R847" s="1077">
        <v>19</v>
      </c>
      <c r="T847" s="1077">
        <v>21</v>
      </c>
      <c r="U847" s="1077">
        <v>3.5</v>
      </c>
      <c r="V847" s="1077" t="s">
        <v>648</v>
      </c>
      <c r="W847" s="1077">
        <v>110</v>
      </c>
      <c r="X847" s="1077">
        <v>65</v>
      </c>
      <c r="Y847" s="1077">
        <v>1.6</v>
      </c>
      <c r="Z847" s="1077">
        <v>4</v>
      </c>
      <c r="AA847" s="1077" t="s">
        <v>1849</v>
      </c>
      <c r="AB847" s="1077" t="s">
        <v>981</v>
      </c>
      <c r="AH847" s="1077" t="s">
        <v>622</v>
      </c>
      <c r="AI847" s="1077">
        <v>94.67</v>
      </c>
      <c r="AJ847" s="1077">
        <v>-0.42</v>
      </c>
      <c r="AK847" s="1077">
        <v>1.48</v>
      </c>
      <c r="AM847" s="1078" t="s">
        <v>10731</v>
      </c>
      <c r="AN847" s="1078" t="s">
        <v>10732</v>
      </c>
      <c r="AO847" s="1078">
        <f t="shared" si="110"/>
        <v>650</v>
      </c>
      <c r="AP847" s="1078">
        <f t="shared" si="111"/>
        <v>1.7350000000000001</v>
      </c>
      <c r="AQ847" s="1078" t="str">
        <f t="shared" si="112"/>
        <v>1-4-1S91°</v>
      </c>
      <c r="AR847" s="1078" t="str">
        <f t="shared" si="113"/>
        <v>31</v>
      </c>
      <c r="AS847" s="1078" t="str">
        <f t="shared" si="114"/>
        <v>270/270/OFF</v>
      </c>
      <c r="AT847" s="1078" t="str">
        <f t="shared" si="115"/>
        <v>1-4-1S91°</v>
      </c>
      <c r="AV847" s="1078" t="str">
        <f t="shared" si="108"/>
        <v>113.4.30</v>
      </c>
      <c r="AW847" s="1344">
        <f t="shared" si="109"/>
        <v>45412</v>
      </c>
    </row>
    <row r="848" spans="1:49">
      <c r="A848" s="1077" t="s">
        <v>1855</v>
      </c>
      <c r="B848" s="1077" t="s">
        <v>453</v>
      </c>
      <c r="C848" s="1077">
        <v>650</v>
      </c>
      <c r="D848" s="1077">
        <v>1.72</v>
      </c>
      <c r="E848" s="1077" t="s">
        <v>15089</v>
      </c>
      <c r="F848" s="1077" t="s">
        <v>1773</v>
      </c>
      <c r="G848" s="1077" t="s">
        <v>1767</v>
      </c>
      <c r="H848" s="1077" t="s">
        <v>1061</v>
      </c>
      <c r="I848" s="1077" t="s">
        <v>126</v>
      </c>
      <c r="J848" s="1077">
        <v>1</v>
      </c>
      <c r="K848" s="1077" t="s">
        <v>1820</v>
      </c>
      <c r="L848" s="1077" t="s">
        <v>1821</v>
      </c>
      <c r="M848" s="1077">
        <v>74.8</v>
      </c>
      <c r="N848" s="1077" t="s">
        <v>945</v>
      </c>
      <c r="O848" s="1077">
        <v>1.87</v>
      </c>
      <c r="P848" s="1077">
        <v>1.496</v>
      </c>
      <c r="Q848" s="1077">
        <v>4</v>
      </c>
      <c r="R848" s="1077">
        <v>23</v>
      </c>
      <c r="T848" s="1077">
        <v>18.600000000000001</v>
      </c>
      <c r="U848" s="1077">
        <v>3.5</v>
      </c>
      <c r="V848" s="1077" t="s">
        <v>648</v>
      </c>
      <c r="W848" s="1077">
        <v>105</v>
      </c>
      <c r="X848" s="1077">
        <v>80</v>
      </c>
      <c r="Y848" s="1077">
        <v>2</v>
      </c>
      <c r="Z848" s="1077">
        <v>4.5</v>
      </c>
      <c r="AA848" s="1077" t="s">
        <v>1856</v>
      </c>
      <c r="AH848" s="1077" t="s">
        <v>884</v>
      </c>
      <c r="AI848" s="1077">
        <v>92.76</v>
      </c>
      <c r="AJ848" s="1077">
        <v>-0.78</v>
      </c>
      <c r="AK848" s="1077">
        <v>0.79</v>
      </c>
      <c r="AM848" s="1078" t="s">
        <v>10733</v>
      </c>
      <c r="AN848" s="1078" t="s">
        <v>10734</v>
      </c>
      <c r="AO848" s="1078">
        <f t="shared" si="110"/>
        <v>650</v>
      </c>
      <c r="AP848" s="1078">
        <f t="shared" si="111"/>
        <v>1.72</v>
      </c>
      <c r="AQ848" s="1078" t="str">
        <f t="shared" si="112"/>
        <v>1-4-1S83°</v>
      </c>
      <c r="AR848" s="1078" t="str">
        <f t="shared" si="113"/>
        <v>30.2</v>
      </c>
      <c r="AS848" s="1078" t="str">
        <f t="shared" si="114"/>
        <v>255/255/OFF</v>
      </c>
      <c r="AT848" s="1078" t="str">
        <f t="shared" si="115"/>
        <v>1-4-1S83°</v>
      </c>
      <c r="AV848" s="1078" t="str">
        <f t="shared" si="108"/>
        <v>113.5.3</v>
      </c>
      <c r="AW848" s="1344">
        <f t="shared" si="109"/>
        <v>45415</v>
      </c>
    </row>
    <row r="849" spans="1:49">
      <c r="A849" s="1077" t="s">
        <v>1857</v>
      </c>
      <c r="B849" s="1077" t="s">
        <v>1858</v>
      </c>
      <c r="C849" s="1077">
        <v>620</v>
      </c>
      <c r="D849" s="1077">
        <v>1.72</v>
      </c>
      <c r="E849" s="1077" t="s">
        <v>15089</v>
      </c>
      <c r="F849" s="1077" t="s">
        <v>975</v>
      </c>
      <c r="G849" s="1077" t="s">
        <v>1016</v>
      </c>
      <c r="H849" s="1077" t="s">
        <v>1040</v>
      </c>
      <c r="I849" s="1077" t="s">
        <v>126</v>
      </c>
      <c r="J849" s="1077">
        <v>0.7</v>
      </c>
      <c r="K849" s="1077" t="s">
        <v>1859</v>
      </c>
      <c r="L849" s="1077" t="s">
        <v>1860</v>
      </c>
      <c r="M849" s="1077">
        <v>74</v>
      </c>
      <c r="N849" s="1077" t="s">
        <v>945</v>
      </c>
      <c r="O849" s="1077">
        <v>1.85</v>
      </c>
      <c r="P849" s="1077">
        <v>1.48</v>
      </c>
      <c r="Q849" s="1077">
        <v>3</v>
      </c>
      <c r="R849" s="1077">
        <v>30</v>
      </c>
      <c r="T849" s="1077">
        <v>13.8</v>
      </c>
      <c r="U849" s="1077">
        <v>5.0999999999999996</v>
      </c>
      <c r="V849" s="1077" t="s">
        <v>648</v>
      </c>
      <c r="W849" s="1077">
        <v>100</v>
      </c>
      <c r="X849" s="1077">
        <v>60</v>
      </c>
      <c r="Y849" s="1077">
        <v>1.8</v>
      </c>
      <c r="Z849" s="1077">
        <v>4</v>
      </c>
      <c r="AA849" s="1077" t="s">
        <v>1852</v>
      </c>
      <c r="AB849" s="1077" t="s">
        <v>1861</v>
      </c>
      <c r="AH849" s="1077" t="s">
        <v>767</v>
      </c>
      <c r="AI849" s="1077">
        <v>93.73</v>
      </c>
      <c r="AJ849" s="1077">
        <v>-1.29</v>
      </c>
      <c r="AK849" s="1077">
        <v>4.12</v>
      </c>
      <c r="AM849" s="1078" t="s">
        <v>10735</v>
      </c>
      <c r="AN849" s="1078" t="s">
        <v>10736</v>
      </c>
      <c r="AO849" s="1078">
        <f t="shared" si="110"/>
        <v>620</v>
      </c>
      <c r="AP849" s="1078">
        <f t="shared" si="111"/>
        <v>1.72</v>
      </c>
      <c r="AQ849" s="1078" t="str">
        <f t="shared" si="112"/>
        <v>1-4-1S83°</v>
      </c>
      <c r="AR849" s="1078" t="str">
        <f t="shared" si="113"/>
        <v>31.5</v>
      </c>
      <c r="AS849" s="1078" t="str">
        <f t="shared" si="114"/>
        <v>240/240/OFF</v>
      </c>
      <c r="AT849" s="1078" t="str">
        <f t="shared" si="115"/>
        <v>1-4-1S83°</v>
      </c>
      <c r="AV849" s="1078" t="str">
        <f t="shared" si="108"/>
        <v>113.5.2</v>
      </c>
      <c r="AW849" s="1344">
        <f t="shared" si="109"/>
        <v>45414</v>
      </c>
    </row>
    <row r="850" spans="1:49">
      <c r="A850" s="1077" t="s">
        <v>1862</v>
      </c>
      <c r="B850" s="1077" t="s">
        <v>424</v>
      </c>
      <c r="C850" s="1077" t="s">
        <v>1863</v>
      </c>
      <c r="D850" s="1077">
        <v>1.79</v>
      </c>
      <c r="E850" s="1077" t="s">
        <v>15091</v>
      </c>
      <c r="F850" s="1077" t="s">
        <v>984</v>
      </c>
      <c r="G850" s="1077" t="s">
        <v>1767</v>
      </c>
      <c r="H850" s="1077" t="s">
        <v>1671</v>
      </c>
      <c r="I850" s="1077" t="s">
        <v>1455</v>
      </c>
      <c r="J850" s="1077">
        <v>1.7</v>
      </c>
      <c r="K850" s="1077" t="s">
        <v>1864</v>
      </c>
      <c r="L850" s="1077" t="s">
        <v>1795</v>
      </c>
      <c r="M850" s="1077">
        <v>73</v>
      </c>
      <c r="N850" s="1077" t="s">
        <v>945</v>
      </c>
      <c r="O850" s="1077">
        <v>1.8250000000000002</v>
      </c>
      <c r="P850" s="1077">
        <v>1.46</v>
      </c>
      <c r="Q850" s="1077">
        <v>4</v>
      </c>
      <c r="R850" s="1077">
        <v>21.6</v>
      </c>
      <c r="T850" s="1077">
        <v>32</v>
      </c>
      <c r="U850" s="1077">
        <v>3.5</v>
      </c>
      <c r="V850" s="1077" t="s">
        <v>648</v>
      </c>
      <c r="W850" s="1077">
        <v>110</v>
      </c>
      <c r="X850" s="1077">
        <v>60</v>
      </c>
      <c r="Y850" s="1077">
        <v>1.5</v>
      </c>
      <c r="Z850" s="1077">
        <v>5.5</v>
      </c>
      <c r="AA850" s="1077" t="s">
        <v>1865</v>
      </c>
      <c r="AH850" s="1077" t="s">
        <v>782</v>
      </c>
      <c r="AI850" s="1077">
        <v>92.63</v>
      </c>
      <c r="AJ850" s="1077">
        <v>-0.79</v>
      </c>
      <c r="AK850" s="1077">
        <v>4.4800000000000004</v>
      </c>
      <c r="AM850" s="1078" t="s">
        <v>10737</v>
      </c>
      <c r="AN850" s="1078" t="s">
        <v>10738</v>
      </c>
      <c r="AO850" s="1078" t="str">
        <f t="shared" si="110"/>
        <v>650↓600-5/24</v>
      </c>
      <c r="AP850" s="1078">
        <f t="shared" si="111"/>
        <v>1.79</v>
      </c>
      <c r="AQ850" s="1078" t="str">
        <f t="shared" si="112"/>
        <v>2-5-1S83°</v>
      </c>
      <c r="AR850" s="1078" t="str">
        <f t="shared" si="113"/>
        <v>30</v>
      </c>
      <c r="AS850" s="1078" t="str">
        <f t="shared" si="114"/>
        <v>172/OFF</v>
      </c>
      <c r="AT850" s="1078" t="str">
        <f t="shared" si="115"/>
        <v>2-5-1S83°</v>
      </c>
      <c r="AV850" s="1078" t="str">
        <f t="shared" si="108"/>
        <v>113.5.9</v>
      </c>
      <c r="AW850" s="1344">
        <f t="shared" si="109"/>
        <v>45421</v>
      </c>
    </row>
    <row r="851" spans="1:49">
      <c r="A851" s="1077" t="s">
        <v>1866</v>
      </c>
      <c r="B851" s="1077" t="s">
        <v>1858</v>
      </c>
      <c r="C851" s="1077">
        <v>620</v>
      </c>
      <c r="D851" s="1077">
        <v>1.7</v>
      </c>
      <c r="E851" s="1077" t="s">
        <v>15089</v>
      </c>
      <c r="F851" s="1077" t="s">
        <v>975</v>
      </c>
      <c r="G851" s="1077" t="s">
        <v>1867</v>
      </c>
      <c r="H851" s="1077" t="s">
        <v>1040</v>
      </c>
      <c r="I851" s="1077" t="s">
        <v>126</v>
      </c>
      <c r="J851" s="1077">
        <v>0.8</v>
      </c>
      <c r="K851" s="1077" t="s">
        <v>1859</v>
      </c>
      <c r="L851" s="1077" t="s">
        <v>1860</v>
      </c>
      <c r="M851" s="1077">
        <v>74</v>
      </c>
      <c r="N851" s="1077" t="s">
        <v>945</v>
      </c>
      <c r="O851" s="1077">
        <v>1.85</v>
      </c>
      <c r="P851" s="1077">
        <v>1.48</v>
      </c>
      <c r="Q851" s="1077">
        <v>3</v>
      </c>
      <c r="R851" s="1077">
        <v>30</v>
      </c>
      <c r="T851" s="1077">
        <v>13.8</v>
      </c>
      <c r="U851" s="1077">
        <v>5.0999999999999996</v>
      </c>
      <c r="V851" s="1077" t="s">
        <v>648</v>
      </c>
      <c r="W851" s="1077">
        <v>100</v>
      </c>
      <c r="X851" s="1077">
        <v>60</v>
      </c>
      <c r="Y851" s="1077">
        <v>1.8</v>
      </c>
      <c r="Z851" s="1077">
        <v>4</v>
      </c>
      <c r="AA851" s="1077" t="s">
        <v>1868</v>
      </c>
      <c r="AB851" s="1077" t="s">
        <v>1869</v>
      </c>
      <c r="AH851" s="1077" t="s">
        <v>1421</v>
      </c>
      <c r="AI851" s="1077">
        <v>93.75</v>
      </c>
      <c r="AJ851" s="1077">
        <v>-1.1000000000000001</v>
      </c>
      <c r="AK851" s="1077">
        <v>4.01</v>
      </c>
      <c r="AM851" s="1078" t="s">
        <v>10739</v>
      </c>
      <c r="AN851" s="1078" t="s">
        <v>10740</v>
      </c>
      <c r="AO851" s="1078">
        <f t="shared" si="110"/>
        <v>620</v>
      </c>
      <c r="AP851" s="1078">
        <f t="shared" si="111"/>
        <v>1.7</v>
      </c>
      <c r="AQ851" s="1078" t="str">
        <f t="shared" si="112"/>
        <v>1-4-1S83°</v>
      </c>
      <c r="AR851" s="1078" t="str">
        <f t="shared" si="113"/>
        <v>31.5</v>
      </c>
      <c r="AS851" s="1078" t="str">
        <f t="shared" si="114"/>
        <v>240/240/OFF</v>
      </c>
      <c r="AT851" s="1078" t="str">
        <f t="shared" si="115"/>
        <v>1-4-1S83°</v>
      </c>
      <c r="AV851" s="1078" t="str">
        <f t="shared" si="108"/>
        <v>113.5.13</v>
      </c>
      <c r="AW851" s="1344">
        <f t="shared" si="109"/>
        <v>45425</v>
      </c>
    </row>
    <row r="852" spans="1:49">
      <c r="A852" s="1077" t="s">
        <v>1870</v>
      </c>
      <c r="B852" s="1077" t="s">
        <v>840</v>
      </c>
      <c r="C852" s="1077">
        <v>650</v>
      </c>
      <c r="D852" s="1077">
        <v>1.76</v>
      </c>
      <c r="E852" s="1077" t="s">
        <v>15095</v>
      </c>
      <c r="F852" s="1077" t="s">
        <v>954</v>
      </c>
      <c r="G852" s="1077" t="s">
        <v>940</v>
      </c>
      <c r="H852" s="1077" t="s">
        <v>1274</v>
      </c>
      <c r="I852" s="1077" t="s">
        <v>126</v>
      </c>
      <c r="J852" s="1077">
        <v>1.4</v>
      </c>
      <c r="K852" s="1077" t="s">
        <v>1848</v>
      </c>
      <c r="L852" s="1077" t="s">
        <v>1780</v>
      </c>
      <c r="M852" s="1077">
        <v>75.400000000000006</v>
      </c>
      <c r="N852" s="1077" t="s">
        <v>945</v>
      </c>
      <c r="O852" s="1077">
        <v>1.8850000000000002</v>
      </c>
      <c r="P852" s="1077">
        <v>1.5080000000000002</v>
      </c>
      <c r="Q852" s="1077">
        <v>3</v>
      </c>
      <c r="R852" s="1077">
        <v>24</v>
      </c>
      <c r="T852" s="1077">
        <v>18</v>
      </c>
      <c r="U852" s="1077">
        <v>6</v>
      </c>
      <c r="V852" s="1077" t="s">
        <v>648</v>
      </c>
      <c r="W852" s="1077">
        <v>120</v>
      </c>
      <c r="X852" s="1077">
        <v>80</v>
      </c>
      <c r="Y852" s="1077">
        <v>2</v>
      </c>
      <c r="Z852" s="1077">
        <v>6</v>
      </c>
      <c r="AA852" s="1077" t="s">
        <v>1868</v>
      </c>
      <c r="AH852" s="1077" t="s">
        <v>680</v>
      </c>
      <c r="AI852" s="1077">
        <v>92.78</v>
      </c>
      <c r="AJ852" s="1077">
        <v>-0.46</v>
      </c>
      <c r="AK852" s="1077">
        <v>0.74</v>
      </c>
      <c r="AM852" s="1078" t="s">
        <v>10741</v>
      </c>
      <c r="AN852" s="1078" t="s">
        <v>10742</v>
      </c>
      <c r="AO852" s="1078">
        <f t="shared" si="110"/>
        <v>650</v>
      </c>
      <c r="AP852" s="1078">
        <f t="shared" si="111"/>
        <v>1.76</v>
      </c>
      <c r="AQ852" s="1078" t="str">
        <f t="shared" si="112"/>
        <v>1-5-1S83°</v>
      </c>
      <c r="AR852" s="1078" t="str">
        <f t="shared" si="113"/>
        <v>31</v>
      </c>
      <c r="AS852" s="1078" t="str">
        <f t="shared" si="114"/>
        <v>210/210/OFF</v>
      </c>
      <c r="AT852" s="1078" t="str">
        <f t="shared" si="115"/>
        <v>1-5-1S83°</v>
      </c>
      <c r="AV852" s="1078" t="str">
        <f t="shared" si="108"/>
        <v>113.5.13</v>
      </c>
      <c r="AW852" s="1344">
        <f t="shared" si="109"/>
        <v>45425</v>
      </c>
    </row>
    <row r="853" spans="1:49">
      <c r="A853" s="1077" t="s">
        <v>1871</v>
      </c>
      <c r="B853" s="1077" t="s">
        <v>453</v>
      </c>
      <c r="C853" s="1077">
        <v>650</v>
      </c>
      <c r="D853" s="1077">
        <v>1.7050000000000001</v>
      </c>
      <c r="E853" s="1077" t="s">
        <v>15089</v>
      </c>
      <c r="F853" s="1077" t="s">
        <v>1773</v>
      </c>
      <c r="G853" s="1077" t="s">
        <v>1767</v>
      </c>
      <c r="H853" s="1077" t="s">
        <v>1029</v>
      </c>
      <c r="I853" s="1077" t="s">
        <v>126</v>
      </c>
      <c r="J853" s="1077">
        <v>1</v>
      </c>
      <c r="K853" s="1077" t="s">
        <v>1872</v>
      </c>
      <c r="L853" s="1077" t="s">
        <v>1821</v>
      </c>
      <c r="M853" s="1077">
        <v>74.8</v>
      </c>
      <c r="N853" s="1077" t="s">
        <v>945</v>
      </c>
      <c r="O853" s="1077">
        <v>1.87</v>
      </c>
      <c r="P853" s="1077">
        <v>1.496</v>
      </c>
      <c r="Q853" s="1077">
        <v>4</v>
      </c>
      <c r="R853" s="1077">
        <v>23</v>
      </c>
      <c r="T853" s="1077">
        <v>18.600000000000001</v>
      </c>
      <c r="U853" s="1077">
        <v>3.5</v>
      </c>
      <c r="V853" s="1077" t="s">
        <v>648</v>
      </c>
      <c r="W853" s="1077">
        <v>105</v>
      </c>
      <c r="X853" s="1077">
        <v>80</v>
      </c>
      <c r="Y853" s="1077">
        <v>2</v>
      </c>
      <c r="Z853" s="1077">
        <v>4.5</v>
      </c>
      <c r="AA853" s="1077" t="s">
        <v>1687</v>
      </c>
      <c r="AH853" s="1077" t="s">
        <v>994</v>
      </c>
      <c r="AI853" s="1077">
        <v>92.76</v>
      </c>
      <c r="AJ853" s="1077">
        <v>-0.04</v>
      </c>
      <c r="AK853" s="1077">
        <v>0.7</v>
      </c>
      <c r="AM853" s="1078" t="s">
        <v>10743</v>
      </c>
      <c r="AN853" s="1078" t="s">
        <v>10744</v>
      </c>
      <c r="AO853" s="1078">
        <f t="shared" si="110"/>
        <v>650</v>
      </c>
      <c r="AP853" s="1078">
        <f t="shared" si="111"/>
        <v>1.7050000000000001</v>
      </c>
      <c r="AQ853" s="1078" t="str">
        <f t="shared" si="112"/>
        <v>1-4-1S83°</v>
      </c>
      <c r="AR853" s="1078" t="str">
        <f t="shared" si="113"/>
        <v>30.2</v>
      </c>
      <c r="AS853" s="1078" t="str">
        <f t="shared" si="114"/>
        <v>250/250/OFF</v>
      </c>
      <c r="AT853" s="1078" t="str">
        <f t="shared" si="115"/>
        <v>1-4-1S83°</v>
      </c>
      <c r="AV853" s="1078" t="str">
        <f t="shared" si="108"/>
        <v>113.5.17</v>
      </c>
      <c r="AW853" s="1344">
        <f t="shared" si="109"/>
        <v>45429</v>
      </c>
    </row>
    <row r="854" spans="1:49">
      <c r="A854" s="1077" t="s">
        <v>1873</v>
      </c>
      <c r="B854" s="1077" t="s">
        <v>1815</v>
      </c>
      <c r="C854" s="1077" t="s">
        <v>1874</v>
      </c>
      <c r="D854" s="1077">
        <v>1.74</v>
      </c>
      <c r="E854" s="1077" t="s">
        <v>15098</v>
      </c>
      <c r="F854" s="1077" t="s">
        <v>954</v>
      </c>
      <c r="G854" s="1077" t="s">
        <v>1767</v>
      </c>
      <c r="H854" s="1077" t="s">
        <v>1875</v>
      </c>
      <c r="I854" s="1077" t="s">
        <v>126</v>
      </c>
      <c r="J854" s="1077">
        <v>0.9</v>
      </c>
      <c r="K854" s="1077" t="s">
        <v>1876</v>
      </c>
      <c r="L854" s="1077" t="s">
        <v>1817</v>
      </c>
      <c r="M854" s="1077">
        <v>75.099999999999994</v>
      </c>
      <c r="N854" s="1077" t="s">
        <v>945</v>
      </c>
      <c r="O854" s="1077">
        <v>1.8774999999999999</v>
      </c>
      <c r="P854" s="1077">
        <v>1.502</v>
      </c>
      <c r="Q854" s="1077">
        <v>4</v>
      </c>
      <c r="R854" s="1077">
        <v>19</v>
      </c>
      <c r="T854" s="1077">
        <v>21</v>
      </c>
      <c r="U854" s="1077">
        <v>3.5</v>
      </c>
      <c r="V854" s="1077" t="s">
        <v>648</v>
      </c>
      <c r="W854" s="1077">
        <v>110</v>
      </c>
      <c r="X854" s="1077">
        <v>65</v>
      </c>
      <c r="Y854" s="1077">
        <v>1.6</v>
      </c>
      <c r="Z854" s="1077">
        <v>4</v>
      </c>
      <c r="AA854" s="1077" t="s">
        <v>1877</v>
      </c>
      <c r="AB854" s="1077" t="s">
        <v>981</v>
      </c>
      <c r="AH854" s="1077" t="s">
        <v>966</v>
      </c>
      <c r="AI854" s="1077">
        <v>94.24</v>
      </c>
      <c r="AJ854" s="1077">
        <v>-0.39</v>
      </c>
      <c r="AK854" s="1077">
        <v>3.16</v>
      </c>
      <c r="AM854" s="1078" t="s">
        <v>10745</v>
      </c>
      <c r="AN854" s="1078" t="s">
        <v>10746</v>
      </c>
      <c r="AO854" s="1078" t="str">
        <f t="shared" si="110"/>
        <v>650↓600-5/28</v>
      </c>
      <c r="AP854" s="1078">
        <f t="shared" si="111"/>
        <v>1.74</v>
      </c>
      <c r="AQ854" s="1078" t="str">
        <f t="shared" si="112"/>
        <v>1-4-1S91°</v>
      </c>
      <c r="AR854" s="1078" t="str">
        <f t="shared" si="113"/>
        <v>31</v>
      </c>
      <c r="AS854" s="1078" t="str">
        <f t="shared" si="114"/>
        <v>267/267/OFF</v>
      </c>
      <c r="AT854" s="1078" t="str">
        <f t="shared" si="115"/>
        <v>1-4-1S91°</v>
      </c>
      <c r="AV854" s="1078" t="str">
        <f t="shared" si="108"/>
        <v>113.5.20</v>
      </c>
      <c r="AW854" s="1344">
        <f t="shared" si="109"/>
        <v>45432</v>
      </c>
    </row>
    <row r="855" spans="1:49">
      <c r="A855" s="1077" t="s">
        <v>1878</v>
      </c>
      <c r="B855" s="1077" t="s">
        <v>472</v>
      </c>
      <c r="C855" s="1077">
        <v>600</v>
      </c>
      <c r="D855" s="1077">
        <v>1.69</v>
      </c>
      <c r="E855" s="1077" t="s">
        <v>15089</v>
      </c>
      <c r="F855" s="1077" t="s">
        <v>984</v>
      </c>
      <c r="G855" s="1077" t="s">
        <v>1767</v>
      </c>
      <c r="H855" s="1077" t="s">
        <v>1226</v>
      </c>
      <c r="I855" s="1077" t="s">
        <v>126</v>
      </c>
      <c r="J855" s="1077">
        <v>0.8</v>
      </c>
      <c r="K855" s="1077" t="s">
        <v>1879</v>
      </c>
      <c r="L855" s="1077" t="s">
        <v>1811</v>
      </c>
      <c r="M855" s="1077">
        <v>74.599999999999994</v>
      </c>
      <c r="N855" s="1077" t="s">
        <v>945</v>
      </c>
      <c r="O855" s="1077">
        <v>1.865</v>
      </c>
      <c r="P855" s="1077">
        <v>1.492</v>
      </c>
      <c r="Q855" s="1077">
        <v>3.5</v>
      </c>
      <c r="R855" s="1077">
        <v>27</v>
      </c>
      <c r="T855" s="1077">
        <v>12.5</v>
      </c>
      <c r="U855" s="1077">
        <v>5.0999999999999996</v>
      </c>
      <c r="V855" s="1077" t="s">
        <v>648</v>
      </c>
      <c r="W855" s="1077">
        <v>95</v>
      </c>
      <c r="X855" s="1077">
        <v>60</v>
      </c>
      <c r="Y855" s="1077">
        <v>1.8</v>
      </c>
      <c r="Z855" s="1077">
        <v>4.5</v>
      </c>
      <c r="AA855" s="1077" t="s">
        <v>1877</v>
      </c>
      <c r="AB855" s="1077" t="s">
        <v>1880</v>
      </c>
      <c r="AH855" s="1077" t="s">
        <v>482</v>
      </c>
      <c r="AI855" s="1077">
        <v>92.42</v>
      </c>
      <c r="AJ855" s="1077">
        <v>-2.36</v>
      </c>
      <c r="AK855" s="1077">
        <v>4.3499999999999996</v>
      </c>
      <c r="AM855" s="1078" t="s">
        <v>10747</v>
      </c>
      <c r="AN855" s="1078" t="s">
        <v>10748</v>
      </c>
      <c r="AO855" s="1078">
        <f t="shared" si="110"/>
        <v>600</v>
      </c>
      <c r="AP855" s="1078">
        <f t="shared" si="111"/>
        <v>1.69</v>
      </c>
      <c r="AQ855" s="1078" t="str">
        <f t="shared" si="112"/>
        <v>1-4-1S83°</v>
      </c>
      <c r="AR855" s="1078" t="str">
        <f t="shared" si="113"/>
        <v>30</v>
      </c>
      <c r="AS855" s="1078" t="str">
        <f t="shared" si="114"/>
        <v>230/230/OFF</v>
      </c>
      <c r="AT855" s="1078" t="str">
        <f t="shared" si="115"/>
        <v>1-4-1S83°</v>
      </c>
      <c r="AV855" s="1078" t="str">
        <f t="shared" si="108"/>
        <v>113.5.20</v>
      </c>
      <c r="AW855" s="1344">
        <f t="shared" si="109"/>
        <v>45432</v>
      </c>
    </row>
    <row r="856" spans="1:49">
      <c r="A856" s="1077" t="s">
        <v>1881</v>
      </c>
      <c r="B856" s="1077" t="s">
        <v>1815</v>
      </c>
      <c r="C856" s="1077">
        <v>650</v>
      </c>
      <c r="D856" s="1077">
        <v>1.74</v>
      </c>
      <c r="E856" s="1077" t="s">
        <v>15098</v>
      </c>
      <c r="F856" s="1077" t="s">
        <v>954</v>
      </c>
      <c r="G856" s="1077" t="s">
        <v>1767</v>
      </c>
      <c r="H856" s="1077" t="s">
        <v>1793</v>
      </c>
      <c r="I856" s="1077" t="s">
        <v>126</v>
      </c>
      <c r="J856" s="1077">
        <v>0.8</v>
      </c>
      <c r="K856" s="1077" t="s">
        <v>1876</v>
      </c>
      <c r="L856" s="1077" t="s">
        <v>1817</v>
      </c>
      <c r="M856" s="1077">
        <v>75.099999999999994</v>
      </c>
      <c r="N856" s="1077" t="s">
        <v>945</v>
      </c>
      <c r="O856" s="1077">
        <v>1.8774999999999999</v>
      </c>
      <c r="P856" s="1077">
        <v>1.502</v>
      </c>
      <c r="Q856" s="1077">
        <v>4</v>
      </c>
      <c r="R856" s="1077">
        <v>19</v>
      </c>
      <c r="T856" s="1077">
        <v>21</v>
      </c>
      <c r="U856" s="1077">
        <v>3.5</v>
      </c>
      <c r="V856" s="1077" t="s">
        <v>648</v>
      </c>
      <c r="W856" s="1077">
        <v>110</v>
      </c>
      <c r="X856" s="1077">
        <v>65</v>
      </c>
      <c r="Y856" s="1077">
        <v>1.6</v>
      </c>
      <c r="Z856" s="1077">
        <v>4</v>
      </c>
      <c r="AA856" s="1077" t="s">
        <v>1693</v>
      </c>
      <c r="AB856" s="1077" t="s">
        <v>981</v>
      </c>
      <c r="AH856" s="1077" t="s">
        <v>456</v>
      </c>
      <c r="AI856" s="1077">
        <v>94.36</v>
      </c>
      <c r="AJ856" s="1077">
        <v>-0.23</v>
      </c>
      <c r="AK856" s="1077">
        <v>2.78</v>
      </c>
      <c r="AM856" s="1078" t="s">
        <v>10749</v>
      </c>
      <c r="AN856" s="1078" t="s">
        <v>10750</v>
      </c>
      <c r="AO856" s="1078">
        <f t="shared" si="110"/>
        <v>650</v>
      </c>
      <c r="AP856" s="1078">
        <f t="shared" si="111"/>
        <v>1.74</v>
      </c>
      <c r="AQ856" s="1078" t="str">
        <f t="shared" si="112"/>
        <v>1-4-1S91°</v>
      </c>
      <c r="AR856" s="1078" t="str">
        <f t="shared" si="113"/>
        <v>31</v>
      </c>
      <c r="AS856" s="1078" t="str">
        <f t="shared" si="114"/>
        <v>270/270/OFF</v>
      </c>
      <c r="AT856" s="1078" t="str">
        <f t="shared" si="115"/>
        <v>1-4-1S91°</v>
      </c>
      <c r="AV856" s="1078" t="str">
        <f t="shared" si="108"/>
        <v>113.5.24</v>
      </c>
      <c r="AW856" s="1344">
        <f t="shared" si="109"/>
        <v>45436</v>
      </c>
    </row>
    <row r="857" spans="1:49">
      <c r="A857" s="1077" t="s">
        <v>1882</v>
      </c>
      <c r="B857" s="1077" t="s">
        <v>1883</v>
      </c>
      <c r="C857" s="1077">
        <v>600</v>
      </c>
      <c r="D857" s="1077">
        <v>1.825</v>
      </c>
      <c r="E857" s="1077" t="s">
        <v>15091</v>
      </c>
      <c r="F857" s="1077" t="s">
        <v>954</v>
      </c>
      <c r="G857" s="1077" t="s">
        <v>1767</v>
      </c>
      <c r="H857" s="1077" t="s">
        <v>1166</v>
      </c>
      <c r="I857" s="1077" t="s">
        <v>126</v>
      </c>
      <c r="J857" s="1077">
        <v>1.7</v>
      </c>
      <c r="K857" s="1077" t="s">
        <v>1884</v>
      </c>
      <c r="L857" s="1077" t="s">
        <v>1885</v>
      </c>
      <c r="M857" s="1077">
        <v>75.2</v>
      </c>
      <c r="N857" s="1077" t="s">
        <v>945</v>
      </c>
      <c r="O857" s="1077">
        <v>1.8800000000000001</v>
      </c>
      <c r="P857" s="1077">
        <v>1.504</v>
      </c>
      <c r="Q857" s="1077">
        <v>3.5</v>
      </c>
      <c r="R857" s="1077">
        <v>20</v>
      </c>
      <c r="T857" s="1077">
        <v>30</v>
      </c>
      <c r="U857" s="1077">
        <v>3.6</v>
      </c>
      <c r="V857" s="1077" t="s">
        <v>1886</v>
      </c>
      <c r="W857" s="1077">
        <v>105</v>
      </c>
      <c r="X857" s="1077">
        <v>75</v>
      </c>
      <c r="Y857" s="1077">
        <v>1.2</v>
      </c>
      <c r="Z857" s="1077">
        <v>5.5</v>
      </c>
      <c r="AA857" s="1077" t="s">
        <v>1887</v>
      </c>
      <c r="AH857" s="1077" t="s">
        <v>870</v>
      </c>
      <c r="AI857" s="1077">
        <v>13.17</v>
      </c>
      <c r="AJ857" s="1077">
        <v>0.55000000000000004</v>
      </c>
      <c r="AK857" s="1077">
        <v>0.91</v>
      </c>
      <c r="AM857" s="1078" t="s">
        <v>10751</v>
      </c>
      <c r="AN857" s="1078" t="s">
        <v>10752</v>
      </c>
      <c r="AO857" s="1078">
        <f t="shared" si="110"/>
        <v>600</v>
      </c>
      <c r="AP857" s="1078">
        <f t="shared" si="111"/>
        <v>1.825</v>
      </c>
      <c r="AQ857" s="1078" t="str">
        <f t="shared" si="112"/>
        <v>2-5-1S83°</v>
      </c>
      <c r="AR857" s="1078" t="str">
        <f t="shared" si="113"/>
        <v>31</v>
      </c>
      <c r="AS857" s="1078" t="str">
        <f t="shared" si="114"/>
        <v>170/OFF</v>
      </c>
      <c r="AT857" s="1078" t="str">
        <f t="shared" si="115"/>
        <v>2-5-1S83°</v>
      </c>
      <c r="AV857" s="1078" t="str">
        <f t="shared" si="108"/>
        <v>113.5.22</v>
      </c>
      <c r="AW857" s="1344">
        <f t="shared" si="109"/>
        <v>45434</v>
      </c>
    </row>
    <row r="858" spans="1:49">
      <c r="A858" s="1077" t="s">
        <v>1888</v>
      </c>
      <c r="B858" s="1077" t="s">
        <v>453</v>
      </c>
      <c r="C858" s="1077">
        <v>650</v>
      </c>
      <c r="D858" s="1077">
        <v>1.71</v>
      </c>
      <c r="E858" s="1077" t="s">
        <v>15093</v>
      </c>
      <c r="F858" s="1077" t="s">
        <v>984</v>
      </c>
      <c r="G858" s="1077" t="s">
        <v>1767</v>
      </c>
      <c r="H858" s="1077" t="s">
        <v>1889</v>
      </c>
      <c r="I858" s="1077" t="s">
        <v>126</v>
      </c>
      <c r="J858" s="1077">
        <v>1.1000000000000001</v>
      </c>
      <c r="K858" s="1077" t="s">
        <v>1832</v>
      </c>
      <c r="L858" s="1077" t="s">
        <v>1821</v>
      </c>
      <c r="M858" s="1077">
        <v>77</v>
      </c>
      <c r="N858" s="1077" t="s">
        <v>945</v>
      </c>
      <c r="O858" s="1077">
        <v>1.925</v>
      </c>
      <c r="P858" s="1077">
        <v>1.54</v>
      </c>
      <c r="Q858" s="1077">
        <v>4.2</v>
      </c>
      <c r="R858" s="1077">
        <v>24</v>
      </c>
      <c r="T858" s="1077">
        <v>9</v>
      </c>
      <c r="U858" s="1077">
        <v>2.2000000000000002</v>
      </c>
      <c r="V858" s="1077" t="s">
        <v>648</v>
      </c>
      <c r="W858" s="1077">
        <v>110</v>
      </c>
      <c r="X858" s="1077" t="s">
        <v>1130</v>
      </c>
      <c r="Y858" s="1077">
        <v>2.1</v>
      </c>
      <c r="Z858" s="1077">
        <v>2.5</v>
      </c>
      <c r="AA858" s="1077" t="s">
        <v>1693</v>
      </c>
      <c r="AB858" s="1077" t="s">
        <v>981</v>
      </c>
      <c r="AH858" s="1077" t="s">
        <v>1143</v>
      </c>
      <c r="AI858" s="1077">
        <v>92.11</v>
      </c>
      <c r="AJ858" s="1077">
        <v>-0.16</v>
      </c>
      <c r="AK858" s="1077">
        <v>0.43</v>
      </c>
      <c r="AM858" s="1078" t="s">
        <v>10753</v>
      </c>
      <c r="AN858" s="1078" t="s">
        <v>10754</v>
      </c>
      <c r="AO858" s="1078">
        <f t="shared" si="110"/>
        <v>650</v>
      </c>
      <c r="AP858" s="1078">
        <f t="shared" si="111"/>
        <v>1.71</v>
      </c>
      <c r="AQ858" s="1078" t="str">
        <f t="shared" si="112"/>
        <v>1-4-1S撚S83°</v>
      </c>
      <c r="AR858" s="1078" t="str">
        <f t="shared" si="113"/>
        <v>30</v>
      </c>
      <c r="AS858" s="1078" t="str">
        <f t="shared" si="114"/>
        <v>265/265/165</v>
      </c>
      <c r="AT858" s="1078" t="str">
        <f t="shared" si="115"/>
        <v>1-4-1S撚S83°</v>
      </c>
      <c r="AV858" s="1078" t="str">
        <f t="shared" si="108"/>
        <v>113.5.24</v>
      </c>
      <c r="AW858" s="1344">
        <f t="shared" si="109"/>
        <v>45436</v>
      </c>
    </row>
    <row r="859" spans="1:49">
      <c r="A859" s="1077" t="s">
        <v>1890</v>
      </c>
      <c r="B859" s="1077" t="s">
        <v>1891</v>
      </c>
      <c r="C859" s="1077">
        <v>600</v>
      </c>
      <c r="D859" s="1077">
        <v>1.68</v>
      </c>
      <c r="E859" s="1077" t="s">
        <v>15089</v>
      </c>
      <c r="F859" s="1077" t="s">
        <v>984</v>
      </c>
      <c r="G859" s="1077" t="s">
        <v>940</v>
      </c>
      <c r="H859" s="1077" t="s">
        <v>1226</v>
      </c>
      <c r="I859" s="1077" t="s">
        <v>126</v>
      </c>
      <c r="J859" s="1077">
        <v>0.7</v>
      </c>
      <c r="K859" s="1077" t="s">
        <v>1892</v>
      </c>
      <c r="L859" s="1077" t="s">
        <v>1893</v>
      </c>
      <c r="M859" s="1077">
        <v>74.599999999999994</v>
      </c>
      <c r="N859" s="1077" t="s">
        <v>945</v>
      </c>
      <c r="O859" s="1077">
        <v>1.865</v>
      </c>
      <c r="P859" s="1077">
        <v>1.492</v>
      </c>
      <c r="Q859" s="1077">
        <v>3.5</v>
      </c>
      <c r="R859" s="1077">
        <v>29</v>
      </c>
      <c r="T859" s="1077">
        <v>12.5</v>
      </c>
      <c r="U859" s="1077">
        <v>5.0999999999999996</v>
      </c>
      <c r="V859" s="1077" t="s">
        <v>648</v>
      </c>
      <c r="W859" s="1077">
        <v>95</v>
      </c>
      <c r="X859" s="1077">
        <v>60</v>
      </c>
      <c r="Y859" s="1077">
        <v>1.8</v>
      </c>
      <c r="Z859" s="1077">
        <v>4.5</v>
      </c>
      <c r="AA859" s="1077" t="s">
        <v>1894</v>
      </c>
      <c r="AB859" s="1077" t="s">
        <v>1895</v>
      </c>
      <c r="AH859" s="1077" t="s">
        <v>878</v>
      </c>
      <c r="AI859" s="1077">
        <v>92.79</v>
      </c>
      <c r="AJ859" s="1077">
        <v>-0.66</v>
      </c>
      <c r="AK859" s="1077">
        <v>3.84</v>
      </c>
      <c r="AM859" s="1078" t="s">
        <v>10755</v>
      </c>
      <c r="AN859" s="1078" t="s">
        <v>10756</v>
      </c>
      <c r="AO859" s="1078">
        <f t="shared" si="110"/>
        <v>600</v>
      </c>
      <c r="AP859" s="1078">
        <f t="shared" si="111"/>
        <v>1.68</v>
      </c>
      <c r="AQ859" s="1078" t="str">
        <f t="shared" si="112"/>
        <v>1-4-1S83°</v>
      </c>
      <c r="AR859" s="1078" t="str">
        <f t="shared" si="113"/>
        <v>30</v>
      </c>
      <c r="AS859" s="1078" t="str">
        <f t="shared" si="114"/>
        <v>230/230/OFF</v>
      </c>
      <c r="AT859" s="1078" t="str">
        <f t="shared" si="115"/>
        <v>1-4-1S83°</v>
      </c>
      <c r="AV859" s="1078" t="str">
        <f t="shared" si="108"/>
        <v>113.5.27</v>
      </c>
      <c r="AW859" s="1344">
        <f t="shared" si="109"/>
        <v>45439</v>
      </c>
    </row>
    <row r="860" spans="1:49">
      <c r="A860" s="1077" t="s">
        <v>1896</v>
      </c>
      <c r="B860" s="1077" t="s">
        <v>1792</v>
      </c>
      <c r="C860" s="1077">
        <v>600</v>
      </c>
      <c r="D860" s="1077">
        <v>1.79</v>
      </c>
      <c r="E860" s="1077" t="s">
        <v>15089</v>
      </c>
      <c r="F860" s="1077" t="s">
        <v>1897</v>
      </c>
      <c r="G860" s="1077" t="s">
        <v>1767</v>
      </c>
      <c r="H860" s="1077" t="s">
        <v>1145</v>
      </c>
      <c r="I860" s="1077" t="s">
        <v>126</v>
      </c>
      <c r="J860" s="1077">
        <v>0.4</v>
      </c>
      <c r="K860" s="1077" t="s">
        <v>1794</v>
      </c>
      <c r="L860" s="1077" t="s">
        <v>1795</v>
      </c>
      <c r="M860" s="1077">
        <v>73</v>
      </c>
      <c r="N860" s="1077" t="s">
        <v>945</v>
      </c>
      <c r="O860" s="1077">
        <v>1.8250000000000002</v>
      </c>
      <c r="P860" s="1077">
        <v>1.46</v>
      </c>
      <c r="Q860" s="1077">
        <v>4</v>
      </c>
      <c r="R860" s="1077">
        <v>21.6</v>
      </c>
      <c r="T860" s="1077">
        <v>32</v>
      </c>
      <c r="U860" s="1077">
        <v>3.7</v>
      </c>
      <c r="V860" s="1077" t="s">
        <v>648</v>
      </c>
      <c r="W860" s="1077">
        <v>30</v>
      </c>
      <c r="X860" s="1077">
        <v>10</v>
      </c>
      <c r="Y860" s="1077">
        <v>1.2</v>
      </c>
      <c r="Z860" s="1077">
        <v>6</v>
      </c>
      <c r="AA860" s="1077" t="s">
        <v>1802</v>
      </c>
      <c r="AH860" s="1077" t="s">
        <v>762</v>
      </c>
      <c r="AM860" s="1078" t="s">
        <v>10757</v>
      </c>
      <c r="AN860" s="1078" t="s">
        <v>10758</v>
      </c>
      <c r="AO860" s="1078">
        <f t="shared" si="110"/>
        <v>600</v>
      </c>
      <c r="AP860" s="1078">
        <f t="shared" si="111"/>
        <v>1.79</v>
      </c>
      <c r="AQ860" s="1078" t="str">
        <f t="shared" si="112"/>
        <v>1-4-1S83°</v>
      </c>
      <c r="AR860" s="1078" t="str">
        <f t="shared" si="113"/>
        <v>30.8</v>
      </c>
      <c r="AS860" s="1078" t="str">
        <f t="shared" si="114"/>
        <v>235/235/OFF</v>
      </c>
      <c r="AT860" s="1078" t="str">
        <f t="shared" si="115"/>
        <v>1-4-1S83°</v>
      </c>
      <c r="AV860" s="1078" t="str">
        <f t="shared" si="108"/>
        <v>111.2.7</v>
      </c>
      <c r="AW860" s="1344">
        <f t="shared" si="109"/>
        <v>44599</v>
      </c>
    </row>
    <row r="861" spans="1:49">
      <c r="A861" s="1077" t="s">
        <v>1898</v>
      </c>
      <c r="B861" s="1077" t="s">
        <v>1899</v>
      </c>
      <c r="C861" s="1077">
        <v>600</v>
      </c>
      <c r="D861" s="1077">
        <v>1.78</v>
      </c>
      <c r="E861" s="1077" t="s">
        <v>15095</v>
      </c>
      <c r="F861" s="1077" t="s">
        <v>954</v>
      </c>
      <c r="G861" s="1077" t="s">
        <v>940</v>
      </c>
      <c r="H861" s="1077" t="s">
        <v>1274</v>
      </c>
      <c r="I861" s="1077" t="s">
        <v>126</v>
      </c>
      <c r="J861" s="1077">
        <v>1.4</v>
      </c>
      <c r="K861" s="1077" t="s">
        <v>1900</v>
      </c>
      <c r="L861" s="1077" t="s">
        <v>1901</v>
      </c>
      <c r="M861" s="1077">
        <v>75.400000000000006</v>
      </c>
      <c r="N861" s="1077" t="s">
        <v>945</v>
      </c>
      <c r="O861" s="1077">
        <v>1.8850000000000002</v>
      </c>
      <c r="P861" s="1077">
        <v>1.5080000000000002</v>
      </c>
      <c r="Q861" s="1077">
        <v>3</v>
      </c>
      <c r="R861" s="1077">
        <v>29</v>
      </c>
      <c r="T861" s="1077">
        <v>18</v>
      </c>
      <c r="U861" s="1077">
        <v>6</v>
      </c>
      <c r="V861" s="1077" t="s">
        <v>648</v>
      </c>
      <c r="W861" s="1077">
        <v>120</v>
      </c>
      <c r="X861" s="1077">
        <v>80</v>
      </c>
      <c r="Y861" s="1077">
        <v>2</v>
      </c>
      <c r="Z861" s="1077">
        <v>6</v>
      </c>
      <c r="AA861" s="1077" t="s">
        <v>1802</v>
      </c>
      <c r="AH861" s="1077" t="s">
        <v>1452</v>
      </c>
      <c r="AM861" s="1078" t="s">
        <v>10759</v>
      </c>
      <c r="AN861" s="1078" t="s">
        <v>10760</v>
      </c>
      <c r="AO861" s="1078">
        <f t="shared" si="110"/>
        <v>600</v>
      </c>
      <c r="AP861" s="1078">
        <f t="shared" si="111"/>
        <v>1.78</v>
      </c>
      <c r="AQ861" s="1078" t="str">
        <f t="shared" si="112"/>
        <v>1-5-1S83°</v>
      </c>
      <c r="AR861" s="1078" t="str">
        <f t="shared" si="113"/>
        <v>31</v>
      </c>
      <c r="AS861" s="1078" t="str">
        <f t="shared" si="114"/>
        <v>210/210/OFF</v>
      </c>
      <c r="AT861" s="1078" t="str">
        <f t="shared" si="115"/>
        <v>1-5-1S83°</v>
      </c>
      <c r="AV861" s="1078" t="str">
        <f t="shared" si="108"/>
        <v>111.2.7</v>
      </c>
      <c r="AW861" s="1344">
        <f t="shared" si="109"/>
        <v>44599</v>
      </c>
    </row>
    <row r="862" spans="1:49">
      <c r="A862" s="1077" t="s">
        <v>1902</v>
      </c>
      <c r="B862" s="1077" t="s">
        <v>1903</v>
      </c>
      <c r="C862" s="1077">
        <v>620</v>
      </c>
      <c r="D862" s="1077">
        <v>1.68</v>
      </c>
      <c r="E862" s="1077" t="s">
        <v>15089</v>
      </c>
      <c r="F862" s="1077" t="s">
        <v>975</v>
      </c>
      <c r="G862" s="1077" t="s">
        <v>1867</v>
      </c>
      <c r="H862" s="1077" t="s">
        <v>1226</v>
      </c>
      <c r="I862" s="1077" t="s">
        <v>126</v>
      </c>
      <c r="J862" s="1077">
        <v>0.6</v>
      </c>
      <c r="K862" s="1077" t="s">
        <v>1904</v>
      </c>
      <c r="L862" s="1077" t="s">
        <v>1905</v>
      </c>
      <c r="M862" s="1077">
        <v>74</v>
      </c>
      <c r="N862" s="1077" t="s">
        <v>945</v>
      </c>
      <c r="O862" s="1077">
        <v>1.85</v>
      </c>
      <c r="P862" s="1077">
        <v>1.48</v>
      </c>
      <c r="Q862" s="1077">
        <v>3</v>
      </c>
      <c r="R862" s="1077">
        <v>26</v>
      </c>
      <c r="T862" s="1077">
        <v>13.8</v>
      </c>
      <c r="U862" s="1077">
        <v>5.0999999999999996</v>
      </c>
      <c r="V862" s="1077" t="s">
        <v>648</v>
      </c>
      <c r="W862" s="1077">
        <v>100</v>
      </c>
      <c r="X862" s="1077">
        <v>60</v>
      </c>
      <c r="Y862" s="1077">
        <v>1.8</v>
      </c>
      <c r="Z862" s="1077">
        <v>4</v>
      </c>
      <c r="AA862" s="1077" t="s">
        <v>1802</v>
      </c>
      <c r="AH862" s="1077" t="s">
        <v>884</v>
      </c>
      <c r="AM862" s="1078" t="s">
        <v>10761</v>
      </c>
      <c r="AN862" s="1078" t="s">
        <v>10762</v>
      </c>
      <c r="AO862" s="1078">
        <f t="shared" si="110"/>
        <v>620</v>
      </c>
      <c r="AP862" s="1078">
        <f t="shared" si="111"/>
        <v>1.68</v>
      </c>
      <c r="AQ862" s="1078" t="str">
        <f t="shared" si="112"/>
        <v>1-4-1S83°</v>
      </c>
      <c r="AR862" s="1078" t="str">
        <f t="shared" si="113"/>
        <v>31.5</v>
      </c>
      <c r="AS862" s="1078" t="str">
        <f t="shared" si="114"/>
        <v>230/230/OFF</v>
      </c>
      <c r="AT862" s="1078" t="str">
        <f t="shared" si="115"/>
        <v>1-4-1S83°</v>
      </c>
      <c r="AV862" s="1078" t="str">
        <f t="shared" si="108"/>
        <v>111.2.7</v>
      </c>
      <c r="AW862" s="1344">
        <f t="shared" si="109"/>
        <v>44599</v>
      </c>
    </row>
    <row r="863" spans="1:49">
      <c r="A863" s="1077" t="s">
        <v>1906</v>
      </c>
      <c r="B863" s="1077" t="s">
        <v>1883</v>
      </c>
      <c r="C863" s="1077">
        <v>650</v>
      </c>
      <c r="D863" s="1077">
        <v>1.8089999999999999</v>
      </c>
      <c r="E863" s="1077" t="s">
        <v>15091</v>
      </c>
      <c r="F863" s="1077" t="s">
        <v>984</v>
      </c>
      <c r="G863" s="1077" t="s">
        <v>1767</v>
      </c>
      <c r="H863" s="1077" t="s">
        <v>1907</v>
      </c>
      <c r="I863" s="1077" t="s">
        <v>1073</v>
      </c>
      <c r="J863" s="1077">
        <v>0.6</v>
      </c>
      <c r="K863" s="1077" t="s">
        <v>1908</v>
      </c>
      <c r="L863" s="1077" t="s">
        <v>1885</v>
      </c>
      <c r="M863" s="1077">
        <v>74.5</v>
      </c>
      <c r="N863" s="1077" t="s">
        <v>945</v>
      </c>
      <c r="O863" s="1077">
        <v>1.8625</v>
      </c>
      <c r="P863" s="1077">
        <v>1.49</v>
      </c>
      <c r="Q863" s="1077">
        <v>4</v>
      </c>
      <c r="R863" s="1077">
        <v>22</v>
      </c>
      <c r="T863" s="1077">
        <v>19.5</v>
      </c>
      <c r="U863" s="1077">
        <v>2.2999999999999998</v>
      </c>
      <c r="V863" s="1077" t="s">
        <v>648</v>
      </c>
      <c r="W863" s="1077">
        <v>40</v>
      </c>
      <c r="X863" s="1077">
        <v>10</v>
      </c>
      <c r="Y863" s="1077">
        <v>1.2</v>
      </c>
      <c r="Z863" s="1077">
        <v>4</v>
      </c>
      <c r="AA863" s="1077" t="s">
        <v>1909</v>
      </c>
      <c r="AH863" s="1077" t="s">
        <v>1360</v>
      </c>
      <c r="AM863" s="1078" t="s">
        <v>10763</v>
      </c>
      <c r="AN863" s="1078" t="s">
        <v>10764</v>
      </c>
      <c r="AO863" s="1078">
        <f t="shared" si="110"/>
        <v>650</v>
      </c>
      <c r="AP863" s="1078">
        <f t="shared" si="111"/>
        <v>1.8089999999999999</v>
      </c>
      <c r="AQ863" s="1078" t="str">
        <f t="shared" si="112"/>
        <v>2-5-1S83°</v>
      </c>
      <c r="AR863" s="1078" t="str">
        <f t="shared" si="113"/>
        <v>30</v>
      </c>
      <c r="AS863" s="1078" t="str">
        <f t="shared" si="114"/>
        <v>170/155</v>
      </c>
      <c r="AT863" s="1078" t="str">
        <f t="shared" si="115"/>
        <v>2-5-1S83°</v>
      </c>
      <c r="AV863" s="1078" t="str">
        <f t="shared" si="108"/>
        <v>111.2.10</v>
      </c>
      <c r="AW863" s="1344">
        <f t="shared" si="109"/>
        <v>44602</v>
      </c>
    </row>
    <row r="864" spans="1:49">
      <c r="A864" s="1077" t="s">
        <v>1910</v>
      </c>
      <c r="B864" s="1077" t="s">
        <v>1911</v>
      </c>
      <c r="C864" s="1077">
        <v>650</v>
      </c>
      <c r="D864" s="1077">
        <v>1.736</v>
      </c>
      <c r="E864" s="1077" t="s">
        <v>15091</v>
      </c>
      <c r="F864" s="1077" t="s">
        <v>975</v>
      </c>
      <c r="G864" s="1077">
        <v>5</v>
      </c>
      <c r="H864" s="1077" t="s">
        <v>1166</v>
      </c>
      <c r="I864" s="1077" t="s">
        <v>1167</v>
      </c>
      <c r="J864" s="1077">
        <v>1.2</v>
      </c>
      <c r="K864" s="1077" t="s">
        <v>1912</v>
      </c>
      <c r="L864" s="1077" t="s">
        <v>1913</v>
      </c>
      <c r="M864" s="1077">
        <v>75</v>
      </c>
      <c r="N864" s="1077" t="s">
        <v>945</v>
      </c>
      <c r="O864" s="1077">
        <v>1.875</v>
      </c>
      <c r="P864" s="1077">
        <v>1.5</v>
      </c>
      <c r="Q864" s="1077">
        <v>4</v>
      </c>
      <c r="R864" s="1077">
        <v>23</v>
      </c>
      <c r="T864" s="1077">
        <v>26.5</v>
      </c>
      <c r="U864" s="1077">
        <v>3.8</v>
      </c>
      <c r="V864" s="1077" t="s">
        <v>648</v>
      </c>
      <c r="W864" s="1077">
        <v>100</v>
      </c>
      <c r="X864" s="1077">
        <v>45</v>
      </c>
      <c r="Y864" s="1077">
        <v>1.6</v>
      </c>
      <c r="Z864" s="1077">
        <v>5</v>
      </c>
      <c r="AA864" s="1077" t="s">
        <v>1461</v>
      </c>
      <c r="AH864" s="1077" t="s">
        <v>1178</v>
      </c>
      <c r="AM864" s="1078" t="s">
        <v>10765</v>
      </c>
      <c r="AN864" s="1078" t="s">
        <v>10766</v>
      </c>
      <c r="AO864" s="1078">
        <f t="shared" si="110"/>
        <v>650</v>
      </c>
      <c r="AP864" s="1078">
        <f t="shared" si="111"/>
        <v>1.736</v>
      </c>
      <c r="AQ864" s="1078" t="str">
        <f t="shared" si="112"/>
        <v>2-5-1S83°</v>
      </c>
      <c r="AR864" s="1078" t="str">
        <f t="shared" si="113"/>
        <v>31.5</v>
      </c>
      <c r="AS864" s="1078" t="str">
        <f t="shared" si="114"/>
        <v>170/OFF</v>
      </c>
      <c r="AT864" s="1078" t="str">
        <f t="shared" si="115"/>
        <v>2-5-1S83°</v>
      </c>
      <c r="AV864" s="1078" t="str">
        <f t="shared" si="108"/>
        <v>111.2.14</v>
      </c>
      <c r="AW864" s="1344">
        <f t="shared" si="109"/>
        <v>44606</v>
      </c>
    </row>
    <row r="865" spans="1:49">
      <c r="A865" s="1077" t="s">
        <v>1914</v>
      </c>
      <c r="B865" s="1077" t="s">
        <v>1842</v>
      </c>
      <c r="C865" s="1077">
        <v>500</v>
      </c>
      <c r="D865" s="1077">
        <v>1.68</v>
      </c>
      <c r="E865" s="1077" t="s">
        <v>15095</v>
      </c>
      <c r="F865" s="1077" t="s">
        <v>984</v>
      </c>
      <c r="G865" s="1077" t="s">
        <v>1016</v>
      </c>
      <c r="H865" s="1077" t="s">
        <v>1290</v>
      </c>
      <c r="I865" s="1077" t="s">
        <v>126</v>
      </c>
      <c r="J865" s="1077">
        <v>0.7</v>
      </c>
      <c r="K865" s="1077" t="s">
        <v>1915</v>
      </c>
      <c r="L865" s="1077" t="s">
        <v>1844</v>
      </c>
      <c r="M865" s="1077">
        <v>77.099999999999994</v>
      </c>
      <c r="N865" s="1077" t="s">
        <v>945</v>
      </c>
      <c r="O865" s="1077">
        <v>1.9275</v>
      </c>
      <c r="P865" s="1077">
        <v>1.5419999999999998</v>
      </c>
      <c r="Q865" s="1077">
        <v>4</v>
      </c>
      <c r="R865" s="1077">
        <v>23</v>
      </c>
      <c r="T865" s="1077">
        <v>18</v>
      </c>
      <c r="U865" s="1077">
        <v>4</v>
      </c>
      <c r="V865" s="1077" t="s">
        <v>648</v>
      </c>
      <c r="W865" s="1077">
        <v>110</v>
      </c>
      <c r="X865" s="1077">
        <v>70</v>
      </c>
      <c r="Y865" s="1077">
        <v>1.8</v>
      </c>
      <c r="Z865" s="1077">
        <v>4.5</v>
      </c>
      <c r="AA865" s="1077" t="s">
        <v>1916</v>
      </c>
      <c r="AH865" s="1077" t="s">
        <v>842</v>
      </c>
      <c r="AM865" s="1078" t="s">
        <v>10767</v>
      </c>
      <c r="AN865" s="1078" t="s">
        <v>10768</v>
      </c>
      <c r="AO865" s="1078">
        <f t="shared" si="110"/>
        <v>500</v>
      </c>
      <c r="AP865" s="1078">
        <f t="shared" si="111"/>
        <v>1.68</v>
      </c>
      <c r="AQ865" s="1078" t="str">
        <f t="shared" si="112"/>
        <v>1-5-1S83°</v>
      </c>
      <c r="AR865" s="1078" t="str">
        <f t="shared" si="113"/>
        <v>30</v>
      </c>
      <c r="AS865" s="1078" t="str">
        <f t="shared" si="114"/>
        <v>220/220/OFF</v>
      </c>
      <c r="AT865" s="1078" t="str">
        <f t="shared" si="115"/>
        <v>1-5-1S83°</v>
      </c>
      <c r="AV865" s="1078" t="str">
        <f t="shared" si="108"/>
        <v>111.2.17</v>
      </c>
      <c r="AW865" s="1344">
        <f t="shared" si="109"/>
        <v>44609</v>
      </c>
    </row>
    <row r="866" spans="1:49">
      <c r="A866" s="1077" t="s">
        <v>1917</v>
      </c>
      <c r="B866" s="1077" t="s">
        <v>1891</v>
      </c>
      <c r="C866" s="1077">
        <v>600</v>
      </c>
      <c r="D866" s="1077">
        <v>1.66</v>
      </c>
      <c r="E866" s="1077" t="s">
        <v>15089</v>
      </c>
      <c r="F866" s="1077" t="s">
        <v>984</v>
      </c>
      <c r="G866" s="1077" t="s">
        <v>940</v>
      </c>
      <c r="H866" s="1077" t="s">
        <v>1918</v>
      </c>
      <c r="I866" s="1077" t="s">
        <v>126</v>
      </c>
      <c r="J866" s="1077">
        <v>0.6</v>
      </c>
      <c r="K866" s="1077" t="s">
        <v>1919</v>
      </c>
      <c r="L866" s="1077" t="s">
        <v>1893</v>
      </c>
      <c r="M866" s="1077">
        <v>74.599999999999994</v>
      </c>
      <c r="N866" s="1077" t="s">
        <v>945</v>
      </c>
      <c r="O866" s="1077">
        <v>1.865</v>
      </c>
      <c r="P866" s="1077">
        <v>1.492</v>
      </c>
      <c r="Q866" s="1077">
        <v>3.5</v>
      </c>
      <c r="R866" s="1077">
        <v>29</v>
      </c>
      <c r="T866" s="1077">
        <v>12.5</v>
      </c>
      <c r="U866" s="1077">
        <v>5.0999999999999996</v>
      </c>
      <c r="V866" s="1077" t="s">
        <v>648</v>
      </c>
      <c r="W866" s="1077">
        <v>95</v>
      </c>
      <c r="X866" s="1077">
        <v>60</v>
      </c>
      <c r="Y866" s="1077">
        <v>1.8</v>
      </c>
      <c r="Z866" s="1077">
        <v>4.5</v>
      </c>
      <c r="AA866" s="1077" t="s">
        <v>1920</v>
      </c>
      <c r="AH866" s="1077" t="s">
        <v>1421</v>
      </c>
      <c r="AM866" s="1078" t="s">
        <v>10769</v>
      </c>
      <c r="AN866" s="1078" t="s">
        <v>10770</v>
      </c>
      <c r="AO866" s="1078">
        <f t="shared" si="110"/>
        <v>600</v>
      </c>
      <c r="AP866" s="1078">
        <f t="shared" si="111"/>
        <v>1.66</v>
      </c>
      <c r="AQ866" s="1078" t="str">
        <f t="shared" si="112"/>
        <v>1-4-1S83°</v>
      </c>
      <c r="AR866" s="1078" t="str">
        <f t="shared" si="113"/>
        <v>30</v>
      </c>
      <c r="AS866" s="1078" t="str">
        <f t="shared" si="114"/>
        <v>233/233/OFF</v>
      </c>
      <c r="AT866" s="1078" t="str">
        <f t="shared" si="115"/>
        <v>1-4-1S83°</v>
      </c>
      <c r="AV866" s="1078" t="str">
        <f t="shared" si="108"/>
        <v>110.2.16</v>
      </c>
      <c r="AW866" s="1344">
        <f t="shared" si="109"/>
        <v>44243</v>
      </c>
    </row>
    <row r="867" spans="1:49">
      <c r="A867" s="1077" t="s">
        <v>1921</v>
      </c>
      <c r="B867" s="1077" t="s">
        <v>1783</v>
      </c>
      <c r="C867" s="1077">
        <v>650</v>
      </c>
      <c r="D867" s="1077">
        <v>1.65</v>
      </c>
      <c r="E867" s="1077" t="s">
        <v>15095</v>
      </c>
      <c r="F867" s="1077" t="s">
        <v>1173</v>
      </c>
      <c r="G867" s="1077" t="s">
        <v>1767</v>
      </c>
      <c r="H867" s="1077" t="s">
        <v>1029</v>
      </c>
      <c r="I867" s="1077" t="s">
        <v>126</v>
      </c>
      <c r="J867" s="1077">
        <v>0.9</v>
      </c>
      <c r="K867" s="1077" t="s">
        <v>1790</v>
      </c>
      <c r="L867" s="1077" t="s">
        <v>1787</v>
      </c>
      <c r="M867" s="1077">
        <v>76</v>
      </c>
      <c r="N867" s="1077" t="s">
        <v>945</v>
      </c>
      <c r="O867" s="1077">
        <v>1.9000000000000001</v>
      </c>
      <c r="P867" s="1077">
        <v>1.52</v>
      </c>
      <c r="Q867" s="1077">
        <v>4</v>
      </c>
      <c r="R867" s="1077">
        <v>23</v>
      </c>
      <c r="T867" s="1077">
        <v>11.5</v>
      </c>
      <c r="U867" s="1077">
        <v>3.9</v>
      </c>
      <c r="V867" s="1077" t="s">
        <v>648</v>
      </c>
      <c r="W867" s="1077">
        <v>120</v>
      </c>
      <c r="X867" s="1077">
        <v>85</v>
      </c>
      <c r="Y867" s="1077">
        <v>2</v>
      </c>
      <c r="Z867" s="1077">
        <v>2.5</v>
      </c>
      <c r="AA867" s="1077" t="s">
        <v>1922</v>
      </c>
      <c r="AH867" s="1077" t="s">
        <v>482</v>
      </c>
      <c r="AM867" s="1078" t="s">
        <v>10771</v>
      </c>
      <c r="AN867" s="1078" t="s">
        <v>10772</v>
      </c>
      <c r="AO867" s="1078">
        <f t="shared" si="110"/>
        <v>650</v>
      </c>
      <c r="AP867" s="1078">
        <f t="shared" si="111"/>
        <v>1.65</v>
      </c>
      <c r="AQ867" s="1078" t="str">
        <f t="shared" si="112"/>
        <v>1-5-1S83°</v>
      </c>
      <c r="AR867" s="1078" t="str">
        <f t="shared" si="113"/>
        <v>28.5</v>
      </c>
      <c r="AS867" s="1078" t="str">
        <f t="shared" si="114"/>
        <v>250/250/OFF</v>
      </c>
      <c r="AT867" s="1078" t="str">
        <f t="shared" si="115"/>
        <v>1-5-1S83°</v>
      </c>
      <c r="AV867" s="1078" t="str">
        <f t="shared" si="108"/>
        <v>111.2.24</v>
      </c>
      <c r="AW867" s="1344">
        <f t="shared" si="109"/>
        <v>44616</v>
      </c>
    </row>
    <row r="868" spans="1:49">
      <c r="A868" s="1077" t="s">
        <v>1923</v>
      </c>
      <c r="B868" s="1077" t="s">
        <v>1899</v>
      </c>
      <c r="C868" s="1077">
        <v>600</v>
      </c>
      <c r="D868" s="1077">
        <v>1.76</v>
      </c>
      <c r="E868" s="1077" t="s">
        <v>15095</v>
      </c>
      <c r="F868" s="1077" t="s">
        <v>954</v>
      </c>
      <c r="G868" s="1077" t="s">
        <v>940</v>
      </c>
      <c r="H868" s="1077" t="s">
        <v>1274</v>
      </c>
      <c r="I868" s="1077" t="s">
        <v>126</v>
      </c>
      <c r="J868" s="1077">
        <v>0.4</v>
      </c>
      <c r="K868" s="1077" t="s">
        <v>1900</v>
      </c>
      <c r="L868" s="1077" t="s">
        <v>1924</v>
      </c>
      <c r="M868" s="1077">
        <v>76.099999999999994</v>
      </c>
      <c r="N868" s="1077" t="s">
        <v>945</v>
      </c>
      <c r="O868" s="1077">
        <v>1.9024999999999999</v>
      </c>
      <c r="P868" s="1077">
        <v>1.522</v>
      </c>
      <c r="Q868" s="1077">
        <v>3</v>
      </c>
      <c r="R868" s="1077">
        <v>30</v>
      </c>
      <c r="T868" s="1077">
        <v>14</v>
      </c>
      <c r="U868" s="1077">
        <v>5.5</v>
      </c>
      <c r="V868" s="1077" t="s">
        <v>648</v>
      </c>
      <c r="W868" s="1077">
        <v>70</v>
      </c>
      <c r="X868" s="1077">
        <v>10</v>
      </c>
      <c r="Y868" s="1077">
        <v>1.8</v>
      </c>
      <c r="Z868" s="1077">
        <v>5.5</v>
      </c>
      <c r="AA868" s="1077" t="s">
        <v>1925</v>
      </c>
      <c r="AH868" s="1077" t="s">
        <v>1238</v>
      </c>
      <c r="AM868" s="1078" t="s">
        <v>10773</v>
      </c>
      <c r="AN868" s="1078" t="s">
        <v>10774</v>
      </c>
      <c r="AO868" s="1078">
        <f t="shared" si="110"/>
        <v>600</v>
      </c>
      <c r="AP868" s="1078">
        <f t="shared" si="111"/>
        <v>1.76</v>
      </c>
      <c r="AQ868" s="1078" t="str">
        <f t="shared" si="112"/>
        <v>1-5-1S83°</v>
      </c>
      <c r="AR868" s="1078" t="str">
        <f t="shared" si="113"/>
        <v>31</v>
      </c>
      <c r="AS868" s="1078" t="str">
        <f t="shared" si="114"/>
        <v>210/210/OFF</v>
      </c>
      <c r="AT868" s="1078" t="str">
        <f t="shared" si="115"/>
        <v>1-5-1S83°</v>
      </c>
      <c r="AV868" s="1078" t="str">
        <f t="shared" si="108"/>
        <v>111.3.2</v>
      </c>
      <c r="AW868" s="1344">
        <f t="shared" si="109"/>
        <v>44622</v>
      </c>
    </row>
    <row r="869" spans="1:49">
      <c r="A869" s="1077" t="s">
        <v>1926</v>
      </c>
      <c r="B869" s="1077" t="s">
        <v>840</v>
      </c>
      <c r="C869" s="1077">
        <v>650</v>
      </c>
      <c r="D869" s="1077">
        <v>1.76</v>
      </c>
      <c r="E869" s="1077" t="s">
        <v>15095</v>
      </c>
      <c r="F869" s="1077" t="s">
        <v>984</v>
      </c>
      <c r="G869" s="1077" t="s">
        <v>940</v>
      </c>
      <c r="H869" s="1077" t="s">
        <v>1145</v>
      </c>
      <c r="I869" s="1077" t="s">
        <v>126</v>
      </c>
      <c r="J869" s="1077">
        <v>0.3</v>
      </c>
      <c r="K869" s="1077" t="s">
        <v>1779</v>
      </c>
      <c r="L869" s="1077" t="s">
        <v>1780</v>
      </c>
      <c r="M869" s="1077">
        <v>73.5</v>
      </c>
      <c r="N869" s="1077" t="s">
        <v>945</v>
      </c>
      <c r="O869" s="1077">
        <v>1.8375000000000001</v>
      </c>
      <c r="P869" s="1077">
        <v>1.47</v>
      </c>
      <c r="Q869" s="1077">
        <v>3</v>
      </c>
      <c r="R869" s="1077">
        <v>24</v>
      </c>
      <c r="T869" s="1077">
        <v>25</v>
      </c>
      <c r="U869" s="1077">
        <v>5.5</v>
      </c>
      <c r="V869" s="1077" t="s">
        <v>648</v>
      </c>
      <c r="W869" s="1077">
        <v>50</v>
      </c>
      <c r="X869" s="1077">
        <v>10</v>
      </c>
      <c r="Y869" s="1077">
        <v>1.5</v>
      </c>
      <c r="Z869" s="1077">
        <v>5</v>
      </c>
      <c r="AA869" s="1077" t="s">
        <v>1927</v>
      </c>
      <c r="AH869" s="1077" t="s">
        <v>838</v>
      </c>
      <c r="AM869" s="1078" t="s">
        <v>10775</v>
      </c>
      <c r="AN869" s="1078" t="s">
        <v>10776</v>
      </c>
      <c r="AO869" s="1078">
        <f t="shared" si="110"/>
        <v>650</v>
      </c>
      <c r="AP869" s="1078">
        <f t="shared" si="111"/>
        <v>1.76</v>
      </c>
      <c r="AQ869" s="1078" t="str">
        <f t="shared" si="112"/>
        <v>1-5-1S83°</v>
      </c>
      <c r="AR869" s="1078" t="str">
        <f t="shared" si="113"/>
        <v>30</v>
      </c>
      <c r="AS869" s="1078" t="str">
        <f t="shared" si="114"/>
        <v>235/235/OFF</v>
      </c>
      <c r="AT869" s="1078" t="str">
        <f t="shared" si="115"/>
        <v>1-5-1S83°</v>
      </c>
      <c r="AV869" s="1078" t="str">
        <f t="shared" si="108"/>
        <v>111.3.7</v>
      </c>
      <c r="AW869" s="1344">
        <f t="shared" si="109"/>
        <v>44627</v>
      </c>
    </row>
    <row r="870" spans="1:49">
      <c r="A870" s="1077" t="s">
        <v>1928</v>
      </c>
      <c r="B870" s="1077" t="s">
        <v>1842</v>
      </c>
      <c r="C870" s="1077">
        <v>500</v>
      </c>
      <c r="D870" s="1077">
        <v>1.68</v>
      </c>
      <c r="E870" s="1077" t="s">
        <v>15095</v>
      </c>
      <c r="F870" s="1077" t="s">
        <v>984</v>
      </c>
      <c r="G870" s="1077" t="s">
        <v>1016</v>
      </c>
      <c r="H870" s="1077" t="s">
        <v>1649</v>
      </c>
      <c r="I870" s="1077" t="s">
        <v>126</v>
      </c>
      <c r="J870" s="1077">
        <v>0.8</v>
      </c>
      <c r="K870" s="1077" t="s">
        <v>1843</v>
      </c>
      <c r="L870" s="1077" t="s">
        <v>1844</v>
      </c>
      <c r="M870" s="1077">
        <v>77.099999999999994</v>
      </c>
      <c r="N870" s="1077" t="s">
        <v>945</v>
      </c>
      <c r="O870" s="1077">
        <v>1.9275</v>
      </c>
      <c r="P870" s="1077">
        <v>1.5419999999999998</v>
      </c>
      <c r="Q870" s="1077">
        <v>3.5</v>
      </c>
      <c r="R870" s="1077">
        <v>25</v>
      </c>
      <c r="T870" s="1077">
        <v>18</v>
      </c>
      <c r="U870" s="1077">
        <v>4</v>
      </c>
      <c r="V870" s="1077" t="s">
        <v>648</v>
      </c>
      <c r="W870" s="1077">
        <v>110</v>
      </c>
      <c r="X870" s="1077">
        <v>70</v>
      </c>
      <c r="Y870" s="1077">
        <v>1.8</v>
      </c>
      <c r="Z870" s="1077">
        <v>4.5</v>
      </c>
      <c r="AA870" s="1077" t="s">
        <v>1929</v>
      </c>
      <c r="AH870" s="1077" t="s">
        <v>842</v>
      </c>
      <c r="AI870" s="1077">
        <v>95.01</v>
      </c>
      <c r="AJ870" s="1077">
        <v>-0.24</v>
      </c>
      <c r="AK870" s="1077">
        <v>0.84</v>
      </c>
      <c r="AM870" s="1078" t="s">
        <v>10777</v>
      </c>
      <c r="AN870" s="1078" t="s">
        <v>10778</v>
      </c>
      <c r="AO870" s="1078">
        <f t="shared" si="110"/>
        <v>500</v>
      </c>
      <c r="AP870" s="1078">
        <f t="shared" si="111"/>
        <v>1.68</v>
      </c>
      <c r="AQ870" s="1078" t="str">
        <f t="shared" si="112"/>
        <v>1-5-1S83°</v>
      </c>
      <c r="AR870" s="1078" t="str">
        <f t="shared" si="113"/>
        <v>30</v>
      </c>
      <c r="AS870" s="1078" t="str">
        <f t="shared" si="114"/>
        <v>225/225/OFF</v>
      </c>
      <c r="AT870" s="1078" t="str">
        <f t="shared" si="115"/>
        <v>1-5-1S83°</v>
      </c>
      <c r="AV870" s="1078" t="str">
        <f t="shared" si="108"/>
        <v>113.5.31</v>
      </c>
      <c r="AW870" s="1344">
        <f t="shared" si="109"/>
        <v>45443</v>
      </c>
    </row>
    <row r="871" spans="1:49">
      <c r="A871" s="1077" t="s">
        <v>1930</v>
      </c>
      <c r="B871" s="1077" t="s">
        <v>453</v>
      </c>
      <c r="C871" s="1077">
        <v>650</v>
      </c>
      <c r="D871" s="1077">
        <v>1.71</v>
      </c>
      <c r="E871" s="1077" t="s">
        <v>15089</v>
      </c>
      <c r="F871" s="1077" t="s">
        <v>984</v>
      </c>
      <c r="G871" s="1077" t="s">
        <v>1767</v>
      </c>
      <c r="H871" s="1077" t="s">
        <v>1831</v>
      </c>
      <c r="I871" s="1077" t="s">
        <v>126</v>
      </c>
      <c r="J871" s="1077">
        <v>1.1000000000000001</v>
      </c>
      <c r="K871" s="1077" t="s">
        <v>1832</v>
      </c>
      <c r="L871" s="1077" t="s">
        <v>1821</v>
      </c>
      <c r="M871" s="1077">
        <v>77</v>
      </c>
      <c r="N871" s="1077" t="s">
        <v>945</v>
      </c>
      <c r="O871" s="1077">
        <v>1.925</v>
      </c>
      <c r="P871" s="1077">
        <v>1.54</v>
      </c>
      <c r="Q871" s="1077">
        <v>4.2</v>
      </c>
      <c r="R871" s="1077">
        <v>24</v>
      </c>
      <c r="T871" s="1077">
        <v>9</v>
      </c>
      <c r="U871" s="1077">
        <v>2.2000000000000002</v>
      </c>
      <c r="V871" s="1077" t="s">
        <v>648</v>
      </c>
      <c r="W871" s="1077">
        <v>110</v>
      </c>
      <c r="X871" s="1077">
        <v>85</v>
      </c>
      <c r="Y871" s="1077">
        <v>2.1</v>
      </c>
      <c r="Z871" s="1077">
        <v>2.5</v>
      </c>
      <c r="AA871" s="1077" t="s">
        <v>1929</v>
      </c>
      <c r="AB871" s="1077" t="s">
        <v>981</v>
      </c>
      <c r="AH871" s="1077" t="s">
        <v>877</v>
      </c>
      <c r="AI871" s="1077">
        <v>91.58</v>
      </c>
      <c r="AJ871" s="1077">
        <v>-0.32</v>
      </c>
      <c r="AK871" s="1077">
        <v>0.79</v>
      </c>
      <c r="AM871" s="1078" t="s">
        <v>10779</v>
      </c>
      <c r="AN871" s="1078" t="s">
        <v>10780</v>
      </c>
      <c r="AO871" s="1078">
        <f t="shared" si="110"/>
        <v>650</v>
      </c>
      <c r="AP871" s="1078">
        <f t="shared" si="111"/>
        <v>1.71</v>
      </c>
      <c r="AQ871" s="1078" t="str">
        <f t="shared" si="112"/>
        <v>1-4-1S83°</v>
      </c>
      <c r="AR871" s="1078" t="str">
        <f t="shared" si="113"/>
        <v>30</v>
      </c>
      <c r="AS871" s="1078" t="str">
        <f t="shared" si="114"/>
        <v>260/260/165</v>
      </c>
      <c r="AT871" s="1078" t="str">
        <f t="shared" si="115"/>
        <v>1-4-1S83°</v>
      </c>
      <c r="AV871" s="1078" t="str">
        <f t="shared" si="108"/>
        <v>113.5.31</v>
      </c>
      <c r="AW871" s="1344">
        <f t="shared" si="109"/>
        <v>45443</v>
      </c>
    </row>
    <row r="872" spans="1:49">
      <c r="A872" s="1077" t="s">
        <v>1931</v>
      </c>
      <c r="B872" s="1077" t="s">
        <v>752</v>
      </c>
      <c r="C872" s="1077">
        <v>500</v>
      </c>
      <c r="D872" s="1077">
        <v>1.7</v>
      </c>
      <c r="E872" s="1077" t="s">
        <v>15091</v>
      </c>
      <c r="F872" s="1077" t="s">
        <v>984</v>
      </c>
      <c r="G872" s="1077" t="s">
        <v>1001</v>
      </c>
      <c r="H872" s="1077" t="s">
        <v>1470</v>
      </c>
      <c r="I872" s="1077" t="s">
        <v>1167</v>
      </c>
      <c r="J872" s="1077">
        <v>0.9</v>
      </c>
      <c r="K872" s="1077" t="s">
        <v>1932</v>
      </c>
      <c r="L872" s="1077" t="s">
        <v>1933</v>
      </c>
      <c r="M872" s="1077">
        <v>74.5</v>
      </c>
      <c r="N872" s="1077" t="s">
        <v>945</v>
      </c>
      <c r="O872" s="1077">
        <v>1.8625</v>
      </c>
      <c r="P872" s="1077">
        <v>1.49</v>
      </c>
      <c r="Q872" s="1077">
        <v>4</v>
      </c>
      <c r="R872" s="1077">
        <v>22.3</v>
      </c>
      <c r="T872" s="1077">
        <v>22</v>
      </c>
      <c r="U872" s="1077">
        <v>3.3</v>
      </c>
      <c r="V872" s="1077" t="s">
        <v>648</v>
      </c>
      <c r="W872" s="1077">
        <v>110</v>
      </c>
      <c r="X872" s="1077">
        <v>85</v>
      </c>
      <c r="Y872" s="1077">
        <v>2</v>
      </c>
      <c r="Z872" s="1077">
        <v>4.5</v>
      </c>
      <c r="AA872" s="1077" t="s">
        <v>1934</v>
      </c>
      <c r="AH872" s="1077" t="s">
        <v>868</v>
      </c>
      <c r="AI872" s="1077">
        <v>94.82</v>
      </c>
      <c r="AJ872" s="1077">
        <v>-0.43</v>
      </c>
      <c r="AK872" s="1077">
        <v>1.41</v>
      </c>
      <c r="AM872" s="1078" t="s">
        <v>10781</v>
      </c>
      <c r="AN872" s="1078" t="s">
        <v>10782</v>
      </c>
      <c r="AO872" s="1078">
        <f t="shared" si="110"/>
        <v>500</v>
      </c>
      <c r="AP872" s="1078">
        <f t="shared" si="111"/>
        <v>1.7</v>
      </c>
      <c r="AQ872" s="1078" t="str">
        <f t="shared" si="112"/>
        <v>2-5-1S83°</v>
      </c>
      <c r="AR872" s="1078" t="str">
        <f t="shared" si="113"/>
        <v>30</v>
      </c>
      <c r="AS872" s="1078" t="str">
        <f t="shared" si="114"/>
        <v>160/OFF</v>
      </c>
      <c r="AT872" s="1078" t="str">
        <f t="shared" si="115"/>
        <v>2-5-1S83°</v>
      </c>
      <c r="AV872" s="1078" t="str">
        <f t="shared" si="108"/>
        <v>113.6.3</v>
      </c>
      <c r="AW872" s="1344">
        <f t="shared" si="109"/>
        <v>45446</v>
      </c>
    </row>
    <row r="873" spans="1:49">
      <c r="A873" s="1077" t="s">
        <v>1935</v>
      </c>
      <c r="B873" s="1077" t="s">
        <v>424</v>
      </c>
      <c r="C873" s="1077">
        <v>650</v>
      </c>
      <c r="D873" s="1077">
        <v>1.79</v>
      </c>
      <c r="E873" s="1077" t="s">
        <v>15091</v>
      </c>
      <c r="F873" s="1077" t="s">
        <v>984</v>
      </c>
      <c r="G873" s="1077" t="s">
        <v>1767</v>
      </c>
      <c r="H873" s="1077" t="s">
        <v>1936</v>
      </c>
      <c r="I873" s="1077" t="s">
        <v>1455</v>
      </c>
      <c r="J873" s="1077">
        <v>1.7</v>
      </c>
      <c r="K873" s="1077" t="s">
        <v>1937</v>
      </c>
      <c r="L873" s="1077" t="s">
        <v>1938</v>
      </c>
      <c r="M873" s="1077">
        <v>73</v>
      </c>
      <c r="N873" s="1077" t="s">
        <v>945</v>
      </c>
      <c r="O873" s="1077">
        <v>1.8250000000000002</v>
      </c>
      <c r="P873" s="1077">
        <v>1.46</v>
      </c>
      <c r="Q873" s="1077">
        <v>4</v>
      </c>
      <c r="R873" s="1077">
        <v>21.6</v>
      </c>
      <c r="T873" s="1077">
        <v>32</v>
      </c>
      <c r="U873" s="1077">
        <v>3.5</v>
      </c>
      <c r="V873" s="1077" t="s">
        <v>648</v>
      </c>
      <c r="W873" s="1077">
        <v>110</v>
      </c>
      <c r="X873" s="1077">
        <v>60</v>
      </c>
      <c r="Y873" s="1077">
        <v>1.5</v>
      </c>
      <c r="Z873" s="1077">
        <v>5.5</v>
      </c>
      <c r="AA873" s="1077" t="s">
        <v>1939</v>
      </c>
      <c r="AH873" s="1077" t="s">
        <v>723</v>
      </c>
      <c r="AI873" s="1077">
        <v>92.88</v>
      </c>
      <c r="AJ873" s="1077">
        <v>-0.13</v>
      </c>
      <c r="AK873" s="1077">
        <v>0.4</v>
      </c>
      <c r="AM873" s="1078" t="s">
        <v>10783</v>
      </c>
      <c r="AN873" s="1078" t="s">
        <v>10784</v>
      </c>
      <c r="AO873" s="1078">
        <f t="shared" si="110"/>
        <v>650</v>
      </c>
      <c r="AP873" s="1078">
        <f t="shared" si="111"/>
        <v>1.79</v>
      </c>
      <c r="AQ873" s="1078" t="str">
        <f t="shared" si="112"/>
        <v>2-5-1S83°</v>
      </c>
      <c r="AR873" s="1078" t="str">
        <f t="shared" si="113"/>
        <v>30</v>
      </c>
      <c r="AS873" s="1078" t="str">
        <f t="shared" si="114"/>
        <v>175/OFF</v>
      </c>
      <c r="AT873" s="1078" t="str">
        <f t="shared" si="115"/>
        <v>2-5-1S83°</v>
      </c>
      <c r="AV873" s="1078" t="str">
        <f t="shared" si="108"/>
        <v>113.6.4</v>
      </c>
      <c r="AW873" s="1344">
        <f t="shared" si="109"/>
        <v>45447</v>
      </c>
    </row>
    <row r="874" spans="1:49">
      <c r="A874" s="1077" t="s">
        <v>1940</v>
      </c>
      <c r="B874" s="1077" t="s">
        <v>453</v>
      </c>
      <c r="C874" s="1077">
        <v>650</v>
      </c>
      <c r="D874" s="1077">
        <v>1.71</v>
      </c>
      <c r="E874" s="1077" t="s">
        <v>15089</v>
      </c>
      <c r="F874" s="1077" t="s">
        <v>984</v>
      </c>
      <c r="G874" s="1077" t="s">
        <v>1767</v>
      </c>
      <c r="H874" s="1077" t="s">
        <v>1831</v>
      </c>
      <c r="I874" s="1077" t="s">
        <v>126</v>
      </c>
      <c r="J874" s="1077">
        <v>1.1000000000000001</v>
      </c>
      <c r="K874" s="1077" t="s">
        <v>1832</v>
      </c>
      <c r="L874" s="1077" t="s">
        <v>1821</v>
      </c>
      <c r="M874" s="1077">
        <v>77</v>
      </c>
      <c r="N874" s="1077" t="s">
        <v>945</v>
      </c>
      <c r="O874" s="1077">
        <v>1.925</v>
      </c>
      <c r="P874" s="1077">
        <v>1.54</v>
      </c>
      <c r="Q874" s="1077">
        <v>4.2</v>
      </c>
      <c r="R874" s="1077">
        <v>24</v>
      </c>
      <c r="T874" s="1077">
        <v>9</v>
      </c>
      <c r="U874" s="1077">
        <v>2.2000000000000002</v>
      </c>
      <c r="V874" s="1077" t="s">
        <v>648</v>
      </c>
      <c r="W874" s="1077">
        <v>110</v>
      </c>
      <c r="X874" s="1077">
        <v>85</v>
      </c>
      <c r="Y874" s="1077">
        <v>2.1</v>
      </c>
      <c r="Z874" s="1077">
        <v>2.5</v>
      </c>
      <c r="AA874" s="1077" t="s">
        <v>1934</v>
      </c>
      <c r="AB874" s="1077" t="s">
        <v>981</v>
      </c>
      <c r="AH874" s="1077" t="s">
        <v>958</v>
      </c>
      <c r="AI874" s="1077">
        <v>91.99</v>
      </c>
      <c r="AJ874" s="1077">
        <v>-0.44</v>
      </c>
      <c r="AK874" s="1077">
        <v>1.1399999999999999</v>
      </c>
      <c r="AM874" s="1078" t="s">
        <v>10785</v>
      </c>
      <c r="AN874" s="1078" t="s">
        <v>10786</v>
      </c>
      <c r="AO874" s="1078">
        <f t="shared" si="110"/>
        <v>650</v>
      </c>
      <c r="AP874" s="1078">
        <f t="shared" si="111"/>
        <v>1.71</v>
      </c>
      <c r="AQ874" s="1078" t="str">
        <f t="shared" si="112"/>
        <v>1-4-1S83°</v>
      </c>
      <c r="AR874" s="1078" t="str">
        <f t="shared" si="113"/>
        <v>30</v>
      </c>
      <c r="AS874" s="1078" t="str">
        <f t="shared" si="114"/>
        <v>260/260/165</v>
      </c>
      <c r="AT874" s="1078" t="str">
        <f t="shared" si="115"/>
        <v>1-4-1S83°</v>
      </c>
      <c r="AV874" s="1078" t="str">
        <f t="shared" si="108"/>
        <v>113.6.3</v>
      </c>
      <c r="AW874" s="1344">
        <f t="shared" si="109"/>
        <v>45446</v>
      </c>
    </row>
    <row r="875" spans="1:49">
      <c r="A875" s="1077" t="s">
        <v>1941</v>
      </c>
      <c r="B875" s="1077" t="s">
        <v>771</v>
      </c>
      <c r="C875" s="1077">
        <v>700</v>
      </c>
      <c r="D875" s="1077">
        <v>1.7450000000000001</v>
      </c>
      <c r="E875" s="1077" t="s">
        <v>15090</v>
      </c>
      <c r="F875" s="1077" t="s">
        <v>648</v>
      </c>
      <c r="G875" s="1077">
        <v>5</v>
      </c>
      <c r="H875" s="1077" t="s">
        <v>1936</v>
      </c>
      <c r="I875" s="1077" t="s">
        <v>126</v>
      </c>
      <c r="J875" s="1077">
        <v>1.2</v>
      </c>
      <c r="K875" s="1077" t="s">
        <v>1942</v>
      </c>
      <c r="L875" s="1077" t="s">
        <v>1943</v>
      </c>
      <c r="M875" s="1077">
        <v>75</v>
      </c>
      <c r="N875" s="1077" t="s">
        <v>945</v>
      </c>
      <c r="O875" s="1077">
        <v>1.875</v>
      </c>
      <c r="P875" s="1077">
        <v>1.5</v>
      </c>
      <c r="Q875" s="1077">
        <v>4</v>
      </c>
      <c r="R875" s="1077">
        <v>23</v>
      </c>
      <c r="T875" s="1077">
        <v>26.5</v>
      </c>
      <c r="U875" s="1077">
        <v>3.8</v>
      </c>
      <c r="V875" s="1077" t="s">
        <v>648</v>
      </c>
      <c r="W875" s="1077">
        <v>100</v>
      </c>
      <c r="X875" s="1077">
        <v>45</v>
      </c>
      <c r="Y875" s="1077">
        <v>1.6</v>
      </c>
      <c r="Z875" s="1077">
        <v>5</v>
      </c>
      <c r="AA875" s="1077" t="s">
        <v>1944</v>
      </c>
      <c r="AH875" s="1077" t="s">
        <v>726</v>
      </c>
      <c r="AI875" s="1077">
        <v>92.7</v>
      </c>
      <c r="AJ875" s="1077">
        <v>-0.51</v>
      </c>
      <c r="AK875" s="1077">
        <v>0.8</v>
      </c>
      <c r="AM875" s="1078" t="s">
        <v>10787</v>
      </c>
      <c r="AN875" s="1078" t="s">
        <v>10788</v>
      </c>
      <c r="AO875" s="1078">
        <f t="shared" si="110"/>
        <v>700</v>
      </c>
      <c r="AP875" s="1078">
        <f t="shared" si="111"/>
        <v>1.7450000000000001</v>
      </c>
      <c r="AQ875" s="1078" t="str">
        <f t="shared" si="112"/>
        <v>1-5-1S85°</v>
      </c>
      <c r="AR875" s="1078" t="str">
        <f t="shared" si="113"/>
        <v>NA</v>
      </c>
      <c r="AS875" s="1078" t="str">
        <f t="shared" si="114"/>
        <v>175/OFF</v>
      </c>
      <c r="AT875" s="1078" t="str">
        <f t="shared" si="115"/>
        <v>1-5-1S85°</v>
      </c>
      <c r="AV875" s="1078" t="str">
        <f t="shared" si="108"/>
        <v>113.6.6</v>
      </c>
      <c r="AW875" s="1344">
        <f t="shared" si="109"/>
        <v>45449</v>
      </c>
    </row>
    <row r="876" spans="1:49">
      <c r="A876" s="1077" t="s">
        <v>1945</v>
      </c>
      <c r="B876" s="1077" t="s">
        <v>453</v>
      </c>
      <c r="C876" s="1077">
        <v>650</v>
      </c>
      <c r="D876" s="1077">
        <v>1.71</v>
      </c>
      <c r="E876" s="1077" t="s">
        <v>15089</v>
      </c>
      <c r="F876" s="1077" t="s">
        <v>984</v>
      </c>
      <c r="G876" s="1077" t="s">
        <v>1767</v>
      </c>
      <c r="H876" s="1077" t="s">
        <v>1831</v>
      </c>
      <c r="I876" s="1077" t="s">
        <v>126</v>
      </c>
      <c r="J876" s="1077">
        <v>1.1000000000000001</v>
      </c>
      <c r="K876" s="1077" t="s">
        <v>1832</v>
      </c>
      <c r="L876" s="1077" t="s">
        <v>1821</v>
      </c>
      <c r="M876" s="1077">
        <v>77</v>
      </c>
      <c r="N876" s="1077" t="s">
        <v>945</v>
      </c>
      <c r="O876" s="1077">
        <v>1.925</v>
      </c>
      <c r="P876" s="1077">
        <v>1.54</v>
      </c>
      <c r="Q876" s="1077">
        <v>4.2</v>
      </c>
      <c r="R876" s="1077">
        <v>24</v>
      </c>
      <c r="T876" s="1077">
        <v>9</v>
      </c>
      <c r="U876" s="1077">
        <v>2.2000000000000002</v>
      </c>
      <c r="V876" s="1077" t="s">
        <v>648</v>
      </c>
      <c r="W876" s="1077">
        <v>110</v>
      </c>
      <c r="X876" s="1077">
        <v>85</v>
      </c>
      <c r="Y876" s="1077">
        <v>2.1</v>
      </c>
      <c r="Z876" s="1077">
        <v>2.5</v>
      </c>
      <c r="AA876" s="1077" t="s">
        <v>1701</v>
      </c>
      <c r="AB876" s="1077" t="s">
        <v>981</v>
      </c>
      <c r="AH876" s="1077" t="s">
        <v>466</v>
      </c>
      <c r="AI876" s="1077">
        <v>92.03</v>
      </c>
      <c r="AJ876" s="1077">
        <v>-0.3</v>
      </c>
      <c r="AK876" s="1077">
        <v>0.76</v>
      </c>
      <c r="AM876" s="1078" t="s">
        <v>10789</v>
      </c>
      <c r="AN876" s="1078" t="s">
        <v>10790</v>
      </c>
      <c r="AO876" s="1078">
        <f t="shared" si="110"/>
        <v>650</v>
      </c>
      <c r="AP876" s="1078">
        <f t="shared" si="111"/>
        <v>1.71</v>
      </c>
      <c r="AQ876" s="1078" t="str">
        <f t="shared" si="112"/>
        <v>1-4-1S83°</v>
      </c>
      <c r="AR876" s="1078" t="str">
        <f t="shared" si="113"/>
        <v>30</v>
      </c>
      <c r="AS876" s="1078" t="str">
        <f t="shared" si="114"/>
        <v>260/260/165</v>
      </c>
      <c r="AT876" s="1078" t="str">
        <f t="shared" si="115"/>
        <v>1-4-1S83°</v>
      </c>
      <c r="AV876" s="1078" t="str">
        <f t="shared" si="108"/>
        <v>113.6.7</v>
      </c>
      <c r="AW876" s="1344">
        <f t="shared" si="109"/>
        <v>45450</v>
      </c>
    </row>
    <row r="877" spans="1:49">
      <c r="A877" s="1077" t="s">
        <v>1946</v>
      </c>
      <c r="B877" s="1077" t="s">
        <v>1947</v>
      </c>
      <c r="C877" s="1077">
        <v>550</v>
      </c>
      <c r="D877" s="1077">
        <v>1.7150000000000001</v>
      </c>
      <c r="E877" s="1077" t="s">
        <v>15096</v>
      </c>
      <c r="F877" s="1077" t="s">
        <v>1469</v>
      </c>
      <c r="G877" s="1077" t="s">
        <v>1001</v>
      </c>
      <c r="H877" s="1077" t="s">
        <v>1948</v>
      </c>
      <c r="I877" s="1077" t="s">
        <v>626</v>
      </c>
      <c r="J877" s="1077">
        <v>0.5</v>
      </c>
      <c r="K877" s="1077" t="s">
        <v>1949</v>
      </c>
      <c r="L877" s="1077" t="s">
        <v>1950</v>
      </c>
      <c r="M877" s="1077">
        <v>77</v>
      </c>
      <c r="N877" s="1077" t="s">
        <v>945</v>
      </c>
      <c r="O877" s="1077">
        <v>1.925</v>
      </c>
      <c r="P877" s="1077">
        <v>1.54</v>
      </c>
      <c r="Q877" s="1077">
        <v>3</v>
      </c>
      <c r="R877" s="1077">
        <v>24</v>
      </c>
      <c r="T877" s="1077">
        <v>29</v>
      </c>
      <c r="U877" s="1077">
        <v>2.9</v>
      </c>
      <c r="V877" s="1077" t="s">
        <v>648</v>
      </c>
      <c r="W877" s="1077">
        <v>30</v>
      </c>
      <c r="X877" s="1077">
        <v>10</v>
      </c>
      <c r="Y877" s="1077">
        <v>1.5</v>
      </c>
      <c r="Z877" s="1077">
        <v>5.5</v>
      </c>
      <c r="AA877" s="1077" t="s">
        <v>1701</v>
      </c>
      <c r="AH877" s="1077" t="s">
        <v>762</v>
      </c>
      <c r="AI877" s="1077">
        <v>69.08</v>
      </c>
      <c r="AJ877" s="1077">
        <v>0.1</v>
      </c>
      <c r="AK877" s="1077">
        <v>1.75</v>
      </c>
      <c r="AM877" s="1078" t="s">
        <v>10791</v>
      </c>
      <c r="AN877" s="1078" t="s">
        <v>10792</v>
      </c>
      <c r="AO877" s="1078">
        <f t="shared" si="110"/>
        <v>550</v>
      </c>
      <c r="AP877" s="1078">
        <f t="shared" si="111"/>
        <v>1.7150000000000001</v>
      </c>
      <c r="AQ877" s="1078" t="str">
        <f t="shared" si="112"/>
        <v>1-4-1S87°</v>
      </c>
      <c r="AR877" s="1078" t="str">
        <f t="shared" si="113"/>
        <v>30.5</v>
      </c>
      <c r="AS877" s="1078" t="str">
        <f t="shared" si="114"/>
        <v>265/265/130</v>
      </c>
      <c r="AT877" s="1078" t="str">
        <f t="shared" si="115"/>
        <v>1-4-1S87°</v>
      </c>
      <c r="AV877" s="1078" t="str">
        <f t="shared" si="108"/>
        <v>113.6.7</v>
      </c>
      <c r="AW877" s="1344">
        <f t="shared" si="109"/>
        <v>45450</v>
      </c>
    </row>
    <row r="878" spans="1:49">
      <c r="A878" s="1077" t="s">
        <v>1951</v>
      </c>
      <c r="B878" s="1077" t="s">
        <v>453</v>
      </c>
      <c r="C878" s="1077">
        <v>600</v>
      </c>
      <c r="D878" s="1077">
        <v>1.7</v>
      </c>
      <c r="E878" s="1077" t="s">
        <v>15091</v>
      </c>
      <c r="F878" s="1077" t="s">
        <v>984</v>
      </c>
      <c r="G878" s="1077" t="s">
        <v>1767</v>
      </c>
      <c r="H878" s="1077" t="s">
        <v>1952</v>
      </c>
      <c r="I878" s="1077" t="s">
        <v>1167</v>
      </c>
      <c r="J878" s="1077">
        <v>1</v>
      </c>
      <c r="K878" s="1077" t="s">
        <v>1820</v>
      </c>
      <c r="L878" s="1077" t="s">
        <v>1821</v>
      </c>
      <c r="M878" s="1077">
        <v>74.8</v>
      </c>
      <c r="N878" s="1077" t="s">
        <v>945</v>
      </c>
      <c r="O878" s="1077">
        <v>1.87</v>
      </c>
      <c r="P878" s="1077">
        <v>1.496</v>
      </c>
      <c r="Q878" s="1077">
        <v>4</v>
      </c>
      <c r="R878" s="1077">
        <v>23</v>
      </c>
      <c r="T878" s="1077">
        <v>18.600000000000001</v>
      </c>
      <c r="U878" s="1077">
        <v>3.5</v>
      </c>
      <c r="V878" s="1077" t="s">
        <v>648</v>
      </c>
      <c r="W878" s="1077">
        <v>105</v>
      </c>
      <c r="X878" s="1077">
        <v>80</v>
      </c>
      <c r="Y878" s="1077">
        <v>2</v>
      </c>
      <c r="Z878" s="1077">
        <v>4.5</v>
      </c>
      <c r="AA878" s="1077" t="s">
        <v>1953</v>
      </c>
      <c r="AH878" s="1077" t="s">
        <v>1417</v>
      </c>
      <c r="AI878" s="1077">
        <v>93.14</v>
      </c>
      <c r="AJ878" s="1077">
        <v>-0.22</v>
      </c>
      <c r="AK878" s="1077">
        <v>0.56999999999999995</v>
      </c>
      <c r="AM878" s="1078" t="s">
        <v>10793</v>
      </c>
      <c r="AN878" s="1078" t="s">
        <v>10794</v>
      </c>
      <c r="AO878" s="1078">
        <f t="shared" si="110"/>
        <v>600</v>
      </c>
      <c r="AP878" s="1078">
        <f t="shared" si="111"/>
        <v>1.7</v>
      </c>
      <c r="AQ878" s="1078" t="str">
        <f t="shared" si="112"/>
        <v>2-5-1S83°</v>
      </c>
      <c r="AR878" s="1078" t="str">
        <f t="shared" si="113"/>
        <v>30</v>
      </c>
      <c r="AS878" s="1078" t="str">
        <f t="shared" si="114"/>
        <v>166/OFF</v>
      </c>
      <c r="AT878" s="1078" t="str">
        <f t="shared" si="115"/>
        <v>2-5-1S83°</v>
      </c>
      <c r="AV878" s="1078" t="str">
        <f t="shared" si="108"/>
        <v>113.6.11</v>
      </c>
      <c r="AW878" s="1344">
        <f t="shared" si="109"/>
        <v>45454</v>
      </c>
    </row>
    <row r="879" spans="1:49">
      <c r="A879" s="1077" t="s">
        <v>1954</v>
      </c>
      <c r="B879" s="1077" t="s">
        <v>1815</v>
      </c>
      <c r="C879" s="1077">
        <v>650</v>
      </c>
      <c r="D879" s="1077">
        <v>1.74</v>
      </c>
      <c r="E879" s="1077" t="s">
        <v>15098</v>
      </c>
      <c r="F879" s="1077" t="s">
        <v>954</v>
      </c>
      <c r="G879" s="1077" t="s">
        <v>1767</v>
      </c>
      <c r="H879" s="1077" t="s">
        <v>1793</v>
      </c>
      <c r="I879" s="1077" t="s">
        <v>126</v>
      </c>
      <c r="J879" s="1077">
        <v>0.9</v>
      </c>
      <c r="K879" s="1077" t="s">
        <v>1955</v>
      </c>
      <c r="L879" s="1077" t="s">
        <v>1817</v>
      </c>
      <c r="M879" s="1077">
        <v>75.099999999999994</v>
      </c>
      <c r="N879" s="1077" t="s">
        <v>945</v>
      </c>
      <c r="O879" s="1077">
        <v>1.8774999999999999</v>
      </c>
      <c r="P879" s="1077">
        <v>1.502</v>
      </c>
      <c r="Q879" s="1077">
        <v>4</v>
      </c>
      <c r="R879" s="1077">
        <v>19</v>
      </c>
      <c r="T879" s="1077">
        <v>21</v>
      </c>
      <c r="U879" s="1077">
        <v>3.5</v>
      </c>
      <c r="V879" s="1077" t="s">
        <v>648</v>
      </c>
      <c r="W879" s="1077">
        <v>110</v>
      </c>
      <c r="X879" s="1077">
        <v>65</v>
      </c>
      <c r="Y879" s="1077">
        <v>1.6</v>
      </c>
      <c r="Z879" s="1077">
        <v>4</v>
      </c>
      <c r="AA879" s="1077" t="s">
        <v>1693</v>
      </c>
      <c r="AB879" s="1077" t="s">
        <v>981</v>
      </c>
      <c r="AH879" s="1077" t="s">
        <v>468</v>
      </c>
      <c r="AI879" s="1077">
        <v>94.2</v>
      </c>
      <c r="AJ879" s="1077">
        <v>-0.09</v>
      </c>
      <c r="AK879" s="1077">
        <v>3.07</v>
      </c>
      <c r="AM879" s="1078" t="s">
        <v>10795</v>
      </c>
      <c r="AN879" s="1078" t="s">
        <v>10796</v>
      </c>
      <c r="AO879" s="1078">
        <f t="shared" si="110"/>
        <v>650</v>
      </c>
      <c r="AP879" s="1078">
        <f t="shared" si="111"/>
        <v>1.74</v>
      </c>
      <c r="AQ879" s="1078" t="str">
        <f t="shared" si="112"/>
        <v>1-4-1S91°</v>
      </c>
      <c r="AR879" s="1078" t="str">
        <f t="shared" si="113"/>
        <v>31</v>
      </c>
      <c r="AS879" s="1078" t="str">
        <f t="shared" si="114"/>
        <v>270/270/OFF</v>
      </c>
      <c r="AT879" s="1078" t="str">
        <f t="shared" si="115"/>
        <v>1-4-1S91°</v>
      </c>
      <c r="AV879" s="1078" t="str">
        <f t="shared" si="108"/>
        <v>113.5.24</v>
      </c>
      <c r="AW879" s="1344">
        <f t="shared" si="109"/>
        <v>45436</v>
      </c>
    </row>
    <row r="880" spans="1:49">
      <c r="A880" s="1077" t="s">
        <v>1956</v>
      </c>
      <c r="B880" s="1077" t="s">
        <v>453</v>
      </c>
      <c r="C880" s="1077">
        <v>650</v>
      </c>
      <c r="D880" s="1077">
        <v>1.71</v>
      </c>
      <c r="E880" s="1077" t="s">
        <v>15089</v>
      </c>
      <c r="F880" s="1077" t="s">
        <v>984</v>
      </c>
      <c r="G880" s="1077" t="s">
        <v>1767</v>
      </c>
      <c r="H880" s="1077" t="s">
        <v>1831</v>
      </c>
      <c r="I880" s="1077" t="s">
        <v>126</v>
      </c>
      <c r="J880" s="1077">
        <v>1.1000000000000001</v>
      </c>
      <c r="K880" s="1077" t="s">
        <v>1957</v>
      </c>
      <c r="L880" s="1077" t="s">
        <v>1821</v>
      </c>
      <c r="M880" s="1077">
        <v>77</v>
      </c>
      <c r="N880" s="1077" t="s">
        <v>945</v>
      </c>
      <c r="O880" s="1077">
        <v>1.925</v>
      </c>
      <c r="P880" s="1077">
        <v>1.54</v>
      </c>
      <c r="Q880" s="1077">
        <v>4.2</v>
      </c>
      <c r="R880" s="1077">
        <v>24</v>
      </c>
      <c r="T880" s="1077">
        <v>9</v>
      </c>
      <c r="U880" s="1077">
        <v>2.2000000000000002</v>
      </c>
      <c r="V880" s="1077" t="s">
        <v>648</v>
      </c>
      <c r="W880" s="1077">
        <v>110</v>
      </c>
      <c r="X880" s="1077">
        <v>85</v>
      </c>
      <c r="Y880" s="1077">
        <v>2.1</v>
      </c>
      <c r="Z880" s="1077">
        <v>2.5</v>
      </c>
      <c r="AA880" s="1077" t="s">
        <v>1707</v>
      </c>
      <c r="AB880" s="1077" t="s">
        <v>981</v>
      </c>
      <c r="AH880" s="1077" t="s">
        <v>618</v>
      </c>
      <c r="AI880" s="1077">
        <v>92.43</v>
      </c>
      <c r="AJ880" s="1077">
        <v>-0.19</v>
      </c>
      <c r="AK880" s="1077">
        <v>0.49</v>
      </c>
      <c r="AM880" s="1078" t="s">
        <v>10797</v>
      </c>
      <c r="AN880" s="1078" t="s">
        <v>10798</v>
      </c>
      <c r="AO880" s="1078">
        <f t="shared" si="110"/>
        <v>650</v>
      </c>
      <c r="AP880" s="1078">
        <f t="shared" si="111"/>
        <v>1.71</v>
      </c>
      <c r="AQ880" s="1078" t="str">
        <f t="shared" si="112"/>
        <v>1-4-1S83°</v>
      </c>
      <c r="AR880" s="1078" t="str">
        <f t="shared" si="113"/>
        <v>30</v>
      </c>
      <c r="AS880" s="1078" t="str">
        <f t="shared" si="114"/>
        <v>260/260/165</v>
      </c>
      <c r="AT880" s="1078" t="str">
        <f t="shared" si="115"/>
        <v>1-4-1S83°</v>
      </c>
      <c r="AV880" s="1078" t="str">
        <f t="shared" si="108"/>
        <v>113.6.21</v>
      </c>
      <c r="AW880" s="1344">
        <f t="shared" si="109"/>
        <v>45464</v>
      </c>
    </row>
    <row r="881" spans="1:49">
      <c r="A881" s="1077" t="s">
        <v>1958</v>
      </c>
      <c r="B881" s="1077" t="s">
        <v>1815</v>
      </c>
      <c r="C881" s="1077">
        <v>650</v>
      </c>
      <c r="D881" s="1077">
        <v>1.7450000000000001</v>
      </c>
      <c r="E881" s="1077" t="s">
        <v>15098</v>
      </c>
      <c r="F881" s="1077" t="s">
        <v>954</v>
      </c>
      <c r="G881" s="1077" t="s">
        <v>1767</v>
      </c>
      <c r="H881" s="1077" t="s">
        <v>1793</v>
      </c>
      <c r="I881" s="1077" t="s">
        <v>126</v>
      </c>
      <c r="J881" s="1077">
        <v>0.9</v>
      </c>
      <c r="K881" s="1077" t="s">
        <v>1955</v>
      </c>
      <c r="L881" s="1077" t="s">
        <v>1817</v>
      </c>
      <c r="M881" s="1077">
        <v>75.099999999999994</v>
      </c>
      <c r="N881" s="1077" t="s">
        <v>945</v>
      </c>
      <c r="O881" s="1077">
        <v>1.8774999999999999</v>
      </c>
      <c r="P881" s="1077">
        <v>1.502</v>
      </c>
      <c r="Q881" s="1077">
        <v>4</v>
      </c>
      <c r="R881" s="1077">
        <v>19</v>
      </c>
      <c r="T881" s="1077">
        <v>21</v>
      </c>
      <c r="U881" s="1077">
        <v>3.5</v>
      </c>
      <c r="V881" s="1077" t="s">
        <v>648</v>
      </c>
      <c r="W881" s="1077">
        <v>110</v>
      </c>
      <c r="X881" s="1077">
        <v>65</v>
      </c>
      <c r="Y881" s="1077">
        <v>1.6</v>
      </c>
      <c r="Z881" s="1077">
        <v>4</v>
      </c>
      <c r="AA881" s="1077" t="s">
        <v>1959</v>
      </c>
      <c r="AB881" s="1077" t="s">
        <v>981</v>
      </c>
      <c r="AH881" s="1077" t="s">
        <v>619</v>
      </c>
      <c r="AI881" s="1077">
        <v>94.34</v>
      </c>
      <c r="AJ881" s="1077">
        <v>-0.51</v>
      </c>
      <c r="AK881" s="1077">
        <v>3.06</v>
      </c>
      <c r="AM881" s="1078" t="s">
        <v>10799</v>
      </c>
      <c r="AN881" s="1078" t="s">
        <v>10800</v>
      </c>
      <c r="AO881" s="1078">
        <f t="shared" si="110"/>
        <v>650</v>
      </c>
      <c r="AP881" s="1078">
        <f t="shared" si="111"/>
        <v>1.7450000000000001</v>
      </c>
      <c r="AQ881" s="1078" t="str">
        <f t="shared" si="112"/>
        <v>1-4-1S91°</v>
      </c>
      <c r="AR881" s="1078" t="str">
        <f t="shared" si="113"/>
        <v>31</v>
      </c>
      <c r="AS881" s="1078" t="str">
        <f t="shared" si="114"/>
        <v>270/270/OFF</v>
      </c>
      <c r="AT881" s="1078" t="str">
        <f t="shared" si="115"/>
        <v>1-4-1S91°</v>
      </c>
      <c r="AV881" s="1078" t="str">
        <f t="shared" si="108"/>
        <v>113.6.19</v>
      </c>
      <c r="AW881" s="1344">
        <f t="shared" si="109"/>
        <v>45462</v>
      </c>
    </row>
    <row r="882" spans="1:49">
      <c r="A882" s="1077" t="s">
        <v>1960</v>
      </c>
      <c r="B882" s="1077" t="s">
        <v>1815</v>
      </c>
      <c r="C882" s="1077">
        <v>650</v>
      </c>
      <c r="D882" s="1077">
        <v>1.74</v>
      </c>
      <c r="E882" s="1077" t="s">
        <v>15098</v>
      </c>
      <c r="F882" s="1077" t="s">
        <v>954</v>
      </c>
      <c r="G882" s="1077" t="s">
        <v>1767</v>
      </c>
      <c r="H882" s="1077" t="s">
        <v>1793</v>
      </c>
      <c r="I882" s="1077" t="s">
        <v>126</v>
      </c>
      <c r="J882" s="1077">
        <v>0.9</v>
      </c>
      <c r="K882" s="1077" t="s">
        <v>1955</v>
      </c>
      <c r="L882" s="1077" t="s">
        <v>1817</v>
      </c>
      <c r="M882" s="1077">
        <v>75.099999999999994</v>
      </c>
      <c r="N882" s="1077" t="s">
        <v>945</v>
      </c>
      <c r="O882" s="1077">
        <v>1.8774999999999999</v>
      </c>
      <c r="P882" s="1077">
        <v>1.502</v>
      </c>
      <c r="Q882" s="1077">
        <v>4</v>
      </c>
      <c r="R882" s="1077">
        <v>19</v>
      </c>
      <c r="T882" s="1077">
        <v>21</v>
      </c>
      <c r="U882" s="1077">
        <v>3.5</v>
      </c>
      <c r="V882" s="1077" t="s">
        <v>648</v>
      </c>
      <c r="W882" s="1077">
        <v>110</v>
      </c>
      <c r="X882" s="1077">
        <v>65</v>
      </c>
      <c r="Y882" s="1077">
        <v>1.6</v>
      </c>
      <c r="Z882" s="1077">
        <v>4</v>
      </c>
      <c r="AA882" s="1077" t="s">
        <v>1711</v>
      </c>
      <c r="AB882" s="1077" t="s">
        <v>981</v>
      </c>
      <c r="AH882" s="1077" t="s">
        <v>758</v>
      </c>
      <c r="AI882" s="1077">
        <v>94.46</v>
      </c>
      <c r="AJ882" s="1077">
        <v>-0.44</v>
      </c>
      <c r="AK882" s="1077">
        <v>3.09</v>
      </c>
      <c r="AM882" s="1078" t="s">
        <v>10801</v>
      </c>
      <c r="AN882" s="1078" t="s">
        <v>10802</v>
      </c>
      <c r="AO882" s="1078">
        <f t="shared" si="110"/>
        <v>650</v>
      </c>
      <c r="AP882" s="1078">
        <f t="shared" si="111"/>
        <v>1.74</v>
      </c>
      <c r="AQ882" s="1078" t="str">
        <f t="shared" si="112"/>
        <v>1-4-1S91°</v>
      </c>
      <c r="AR882" s="1078" t="str">
        <f t="shared" si="113"/>
        <v>31</v>
      </c>
      <c r="AS882" s="1078" t="str">
        <f t="shared" si="114"/>
        <v>270/270/OFF</v>
      </c>
      <c r="AT882" s="1078" t="str">
        <f t="shared" si="115"/>
        <v>1-4-1S91°</v>
      </c>
      <c r="AV882" s="1078" t="str">
        <f t="shared" si="108"/>
        <v>113.7.1</v>
      </c>
      <c r="AW882" s="1344">
        <f t="shared" si="109"/>
        <v>45474</v>
      </c>
    </row>
    <row r="883" spans="1:49">
      <c r="A883" s="1077" t="s">
        <v>1961</v>
      </c>
      <c r="B883" s="1077" t="s">
        <v>840</v>
      </c>
      <c r="C883" s="1077" t="s">
        <v>1962</v>
      </c>
      <c r="D883" s="1077">
        <v>1.76</v>
      </c>
      <c r="E883" s="1077" t="s">
        <v>15095</v>
      </c>
      <c r="F883" s="1077" t="s">
        <v>954</v>
      </c>
      <c r="G883" s="1077" t="s">
        <v>940</v>
      </c>
      <c r="H883" s="1077" t="s">
        <v>1017</v>
      </c>
      <c r="I883" s="1077" t="s">
        <v>126</v>
      </c>
      <c r="J883" s="1077">
        <v>1.4</v>
      </c>
      <c r="K883" s="1077" t="s">
        <v>1963</v>
      </c>
      <c r="L883" s="1077" t="s">
        <v>1964</v>
      </c>
      <c r="M883" s="1077">
        <v>75.400000000000006</v>
      </c>
      <c r="N883" s="1077" t="s">
        <v>945</v>
      </c>
      <c r="O883" s="1077">
        <v>1.8850000000000002</v>
      </c>
      <c r="P883" s="1077">
        <v>1.5080000000000002</v>
      </c>
      <c r="Q883" s="1077">
        <v>3</v>
      </c>
      <c r="R883" s="1077">
        <v>24</v>
      </c>
      <c r="T883" s="1077">
        <v>18</v>
      </c>
      <c r="U883" s="1077">
        <v>6</v>
      </c>
      <c r="V883" s="1077" t="s">
        <v>648</v>
      </c>
      <c r="W883" s="1077">
        <v>120</v>
      </c>
      <c r="X883" s="1077">
        <v>80</v>
      </c>
      <c r="Y883" s="1077">
        <v>2</v>
      </c>
      <c r="Z883" s="1077">
        <v>6</v>
      </c>
      <c r="AA883" s="1077" t="s">
        <v>1868</v>
      </c>
      <c r="AH883" s="1077" t="s">
        <v>963</v>
      </c>
      <c r="AI883" s="1077">
        <v>91.99</v>
      </c>
      <c r="AJ883" s="1077">
        <v>-0.93</v>
      </c>
      <c r="AK883" s="1077">
        <v>3.53</v>
      </c>
      <c r="AM883" s="1078" t="s">
        <v>10803</v>
      </c>
      <c r="AN883" s="1078" t="s">
        <v>10804</v>
      </c>
      <c r="AO883" s="1078" t="str">
        <f t="shared" si="110"/>
        <v>650↓600-7/10</v>
      </c>
      <c r="AP883" s="1078">
        <f t="shared" si="111"/>
        <v>1.76</v>
      </c>
      <c r="AQ883" s="1078" t="str">
        <f t="shared" si="112"/>
        <v>1-5-1S83°</v>
      </c>
      <c r="AR883" s="1078" t="str">
        <f t="shared" si="113"/>
        <v>31</v>
      </c>
      <c r="AS883" s="1078" t="str">
        <f t="shared" si="114"/>
        <v>200/200/OFF</v>
      </c>
      <c r="AT883" s="1078" t="str">
        <f t="shared" si="115"/>
        <v>1-5-1S83°</v>
      </c>
      <c r="AV883" s="1078" t="str">
        <f t="shared" si="108"/>
        <v>113.5.13</v>
      </c>
      <c r="AW883" s="1344">
        <f t="shared" si="109"/>
        <v>45425</v>
      </c>
    </row>
    <row r="884" spans="1:49">
      <c r="A884" s="1077" t="s">
        <v>1965</v>
      </c>
      <c r="B884" s="1077" t="s">
        <v>1815</v>
      </c>
      <c r="C884" s="1077">
        <v>650</v>
      </c>
      <c r="D884" s="1077">
        <v>1.74</v>
      </c>
      <c r="E884" s="1077" t="s">
        <v>15098</v>
      </c>
      <c r="F884" s="1077" t="s">
        <v>954</v>
      </c>
      <c r="G884" s="1077" t="s">
        <v>1767</v>
      </c>
      <c r="H884" s="1077" t="s">
        <v>1793</v>
      </c>
      <c r="I884" s="1077" t="s">
        <v>126</v>
      </c>
      <c r="J884" s="1077">
        <v>1</v>
      </c>
      <c r="K884" s="1077" t="s">
        <v>1955</v>
      </c>
      <c r="L884" s="1077" t="s">
        <v>1817</v>
      </c>
      <c r="M884" s="1077">
        <v>75.099999999999994</v>
      </c>
      <c r="N884" s="1077" t="s">
        <v>945</v>
      </c>
      <c r="O884" s="1077">
        <v>1.8774999999999999</v>
      </c>
      <c r="P884" s="1077">
        <v>1.502</v>
      </c>
      <c r="Q884" s="1077">
        <v>4</v>
      </c>
      <c r="R884" s="1077">
        <v>19</v>
      </c>
      <c r="T884" s="1077">
        <v>21</v>
      </c>
      <c r="U884" s="1077">
        <v>3.5</v>
      </c>
      <c r="V884" s="1077" t="s">
        <v>648</v>
      </c>
      <c r="W884" s="1077">
        <v>110</v>
      </c>
      <c r="X884" s="1077">
        <v>65</v>
      </c>
      <c r="Y884" s="1077">
        <v>1.6</v>
      </c>
      <c r="Z884" s="1077">
        <v>4</v>
      </c>
      <c r="AA884" s="1077" t="s">
        <v>1711</v>
      </c>
      <c r="AB884" s="1077" t="s">
        <v>981</v>
      </c>
      <c r="AH884" s="1077" t="s">
        <v>762</v>
      </c>
      <c r="AI884" s="1077">
        <v>94.79</v>
      </c>
      <c r="AJ884" s="1077">
        <v>-0.08</v>
      </c>
      <c r="AK884" s="1077">
        <v>3.04</v>
      </c>
      <c r="AM884" s="1078" t="s">
        <v>10805</v>
      </c>
      <c r="AN884" s="1078" t="s">
        <v>10806</v>
      </c>
      <c r="AO884" s="1078">
        <f t="shared" si="110"/>
        <v>650</v>
      </c>
      <c r="AP884" s="1078">
        <f t="shared" si="111"/>
        <v>1.74</v>
      </c>
      <c r="AQ884" s="1078" t="str">
        <f t="shared" si="112"/>
        <v>1-4-1S91°</v>
      </c>
      <c r="AR884" s="1078" t="str">
        <f t="shared" si="113"/>
        <v>31</v>
      </c>
      <c r="AS884" s="1078" t="str">
        <f t="shared" si="114"/>
        <v>270/270/OFF</v>
      </c>
      <c r="AT884" s="1078" t="str">
        <f t="shared" si="115"/>
        <v>1-4-1S91°</v>
      </c>
      <c r="AV884" s="1078" t="str">
        <f t="shared" si="108"/>
        <v>113.7.1</v>
      </c>
      <c r="AW884" s="1344">
        <f t="shared" si="109"/>
        <v>45474</v>
      </c>
    </row>
    <row r="885" spans="1:49">
      <c r="A885" s="1077" t="s">
        <v>1966</v>
      </c>
      <c r="B885" s="1077" t="s">
        <v>424</v>
      </c>
      <c r="C885" s="1077">
        <v>650</v>
      </c>
      <c r="D885" s="1077">
        <v>1.79</v>
      </c>
      <c r="E885" s="1077" t="s">
        <v>15091</v>
      </c>
      <c r="F885" s="1077" t="s">
        <v>1173</v>
      </c>
      <c r="G885" s="1077" t="s">
        <v>1767</v>
      </c>
      <c r="H885" s="1077" t="s">
        <v>1936</v>
      </c>
      <c r="I885" s="1077" t="s">
        <v>1455</v>
      </c>
      <c r="J885" s="1077">
        <v>1.7</v>
      </c>
      <c r="K885" s="1077" t="s">
        <v>1967</v>
      </c>
      <c r="L885" s="1077" t="s">
        <v>1968</v>
      </c>
      <c r="M885" s="1077">
        <v>73</v>
      </c>
      <c r="N885" s="1077" t="s">
        <v>945</v>
      </c>
      <c r="O885" s="1077">
        <v>1.8250000000000002</v>
      </c>
      <c r="P885" s="1077">
        <v>1.46</v>
      </c>
      <c r="Q885" s="1077">
        <v>4</v>
      </c>
      <c r="R885" s="1077">
        <v>21.6</v>
      </c>
      <c r="T885" s="1077">
        <v>32</v>
      </c>
      <c r="U885" s="1077">
        <v>3.5</v>
      </c>
      <c r="V885" s="1077" t="s">
        <v>648</v>
      </c>
      <c r="W885" s="1077">
        <v>110</v>
      </c>
      <c r="X885" s="1077">
        <v>60</v>
      </c>
      <c r="Y885" s="1077">
        <v>1.5</v>
      </c>
      <c r="Z885" s="1077">
        <v>5.5</v>
      </c>
      <c r="AA885" s="1077" t="s">
        <v>1969</v>
      </c>
      <c r="AH885" s="1077" t="s">
        <v>646</v>
      </c>
      <c r="AI885" s="1077">
        <v>91.83</v>
      </c>
      <c r="AJ885" s="1077">
        <v>-0.02</v>
      </c>
      <c r="AK885" s="1077">
        <v>0.49</v>
      </c>
      <c r="AM885" s="1078" t="s">
        <v>10807</v>
      </c>
      <c r="AN885" s="1078" t="s">
        <v>10808</v>
      </c>
      <c r="AO885" s="1078">
        <f t="shared" si="110"/>
        <v>650</v>
      </c>
      <c r="AP885" s="1078">
        <f t="shared" si="111"/>
        <v>1.79</v>
      </c>
      <c r="AQ885" s="1078" t="str">
        <f t="shared" si="112"/>
        <v>2-5-1S83°</v>
      </c>
      <c r="AR885" s="1078" t="str">
        <f t="shared" si="113"/>
        <v>28.5</v>
      </c>
      <c r="AS885" s="1078" t="str">
        <f t="shared" si="114"/>
        <v>175/OFF</v>
      </c>
      <c r="AT885" s="1078" t="str">
        <f t="shared" si="115"/>
        <v>2-5-1S83°</v>
      </c>
      <c r="AV885" s="1078" t="str">
        <f t="shared" si="108"/>
        <v>113.7.3</v>
      </c>
      <c r="AW885" s="1344">
        <f t="shared" si="109"/>
        <v>45476</v>
      </c>
    </row>
    <row r="886" spans="1:49">
      <c r="A886" s="1077" t="s">
        <v>1970</v>
      </c>
      <c r="B886" s="1077" t="s">
        <v>1783</v>
      </c>
      <c r="C886" s="1077">
        <v>600</v>
      </c>
      <c r="D886" s="1077">
        <v>1.68</v>
      </c>
      <c r="E886" s="1077" t="s">
        <v>15089</v>
      </c>
      <c r="F886" s="1077" t="s">
        <v>1173</v>
      </c>
      <c r="G886" s="1077" t="s">
        <v>1767</v>
      </c>
      <c r="H886" s="1077" t="s">
        <v>1029</v>
      </c>
      <c r="I886" s="1077" t="s">
        <v>126</v>
      </c>
      <c r="J886" s="1077">
        <v>0.8</v>
      </c>
      <c r="K886" s="1077" t="s">
        <v>1971</v>
      </c>
      <c r="L886" s="1077" t="s">
        <v>1787</v>
      </c>
      <c r="M886" s="1077">
        <v>76</v>
      </c>
      <c r="N886" s="1077" t="s">
        <v>945</v>
      </c>
      <c r="O886" s="1077">
        <v>1.9000000000000001</v>
      </c>
      <c r="P886" s="1077">
        <v>1.52</v>
      </c>
      <c r="Q886" s="1077">
        <v>4</v>
      </c>
      <c r="R886" s="1077">
        <v>23</v>
      </c>
      <c r="T886" s="1077">
        <v>11.5</v>
      </c>
      <c r="U886" s="1077">
        <v>3.9</v>
      </c>
      <c r="V886" s="1077" t="s">
        <v>648</v>
      </c>
      <c r="W886" s="1077">
        <v>120</v>
      </c>
      <c r="X886" s="1077">
        <v>85</v>
      </c>
      <c r="Y886" s="1077">
        <v>2</v>
      </c>
      <c r="Z886" s="1077">
        <v>2.5</v>
      </c>
      <c r="AA886" s="1077" t="s">
        <v>1972</v>
      </c>
      <c r="AH886" s="1077" t="s">
        <v>878</v>
      </c>
      <c r="AI886" s="1077">
        <v>95.85</v>
      </c>
      <c r="AJ886" s="1077">
        <v>-0.22</v>
      </c>
      <c r="AK886" s="1077">
        <v>0.72</v>
      </c>
      <c r="AM886" s="1078" t="s">
        <v>10809</v>
      </c>
      <c r="AN886" s="1078" t="s">
        <v>10810</v>
      </c>
      <c r="AO886" s="1078">
        <f t="shared" si="110"/>
        <v>600</v>
      </c>
      <c r="AP886" s="1078">
        <f t="shared" si="111"/>
        <v>1.68</v>
      </c>
      <c r="AQ886" s="1078" t="str">
        <f t="shared" si="112"/>
        <v>1-4-1S83°</v>
      </c>
      <c r="AR886" s="1078" t="str">
        <f t="shared" si="113"/>
        <v>28.5</v>
      </c>
      <c r="AS886" s="1078" t="str">
        <f t="shared" si="114"/>
        <v>250/250/OFF</v>
      </c>
      <c r="AT886" s="1078" t="str">
        <f t="shared" si="115"/>
        <v>1-4-1S83°</v>
      </c>
      <c r="AV886" s="1078" t="str">
        <f t="shared" si="108"/>
        <v>113.7.8</v>
      </c>
      <c r="AW886" s="1344">
        <f t="shared" si="109"/>
        <v>45481</v>
      </c>
    </row>
    <row r="887" spans="1:49">
      <c r="A887" s="1077" t="s">
        <v>1973</v>
      </c>
      <c r="B887" s="1077" t="s">
        <v>1974</v>
      </c>
      <c r="C887" s="1077">
        <v>500</v>
      </c>
      <c r="D887" s="1077">
        <v>1.62</v>
      </c>
      <c r="E887" s="1077" t="s">
        <v>15089</v>
      </c>
      <c r="F887" s="1077" t="s">
        <v>1514</v>
      </c>
      <c r="G887" s="1077" t="s">
        <v>1767</v>
      </c>
      <c r="H887" s="1077" t="s">
        <v>1290</v>
      </c>
      <c r="I887" s="1077" t="s">
        <v>126</v>
      </c>
      <c r="J887" s="1077">
        <v>0.6</v>
      </c>
      <c r="K887" s="1077" t="s">
        <v>1975</v>
      </c>
      <c r="L887" s="1077" t="s">
        <v>1976</v>
      </c>
      <c r="M887" s="1077">
        <v>77.599999999999994</v>
      </c>
      <c r="N887" s="1077" t="s">
        <v>945</v>
      </c>
      <c r="O887" s="1077">
        <v>1.94</v>
      </c>
      <c r="P887" s="1077">
        <v>1.5519999999999998</v>
      </c>
      <c r="Q887" s="1077">
        <v>4</v>
      </c>
      <c r="R887" s="1077">
        <v>23</v>
      </c>
      <c r="T887" s="1077">
        <v>21</v>
      </c>
      <c r="U887" s="1077">
        <v>3.7</v>
      </c>
      <c r="V887" s="1077" t="s">
        <v>648</v>
      </c>
      <c r="W887" s="1077">
        <v>105</v>
      </c>
      <c r="X887" s="1077">
        <v>65</v>
      </c>
      <c r="Y887" s="1077">
        <v>1.6</v>
      </c>
      <c r="Z887" s="1077">
        <v>4.5</v>
      </c>
      <c r="AA887" s="1077" t="s">
        <v>1977</v>
      </c>
      <c r="AH887" s="1077" t="s">
        <v>958</v>
      </c>
      <c r="AI887" s="1077">
        <v>93.77</v>
      </c>
      <c r="AJ887" s="1077">
        <v>-0.45</v>
      </c>
      <c r="AK887" s="1077">
        <v>2.72</v>
      </c>
      <c r="AM887" s="1078" t="s">
        <v>10811</v>
      </c>
      <c r="AN887" s="1078" t="s">
        <v>10812</v>
      </c>
      <c r="AO887" s="1078">
        <f t="shared" si="110"/>
        <v>500</v>
      </c>
      <c r="AP887" s="1078">
        <f t="shared" si="111"/>
        <v>1.62</v>
      </c>
      <c r="AQ887" s="1078" t="str">
        <f t="shared" si="112"/>
        <v>1-4-1S83°</v>
      </c>
      <c r="AR887" s="1078" t="str">
        <f t="shared" si="113"/>
        <v>32</v>
      </c>
      <c r="AS887" s="1078" t="str">
        <f t="shared" si="114"/>
        <v>220/220/OFF</v>
      </c>
      <c r="AT887" s="1078" t="str">
        <f t="shared" si="115"/>
        <v>1-4-1S83°</v>
      </c>
      <c r="AV887" s="1078" t="str">
        <f t="shared" si="108"/>
        <v>113.7.17</v>
      </c>
      <c r="AW887" s="1344">
        <f t="shared" si="109"/>
        <v>45490</v>
      </c>
    </row>
    <row r="888" spans="1:49">
      <c r="A888" s="1077" t="s">
        <v>1978</v>
      </c>
      <c r="B888" s="1077" t="s">
        <v>472</v>
      </c>
      <c r="C888" s="1077">
        <v>600</v>
      </c>
      <c r="D888" s="1077">
        <v>1.72</v>
      </c>
      <c r="E888" s="1077" t="s">
        <v>15089</v>
      </c>
      <c r="F888" s="1077" t="s">
        <v>984</v>
      </c>
      <c r="G888" s="1077" t="s">
        <v>1767</v>
      </c>
      <c r="H888" s="1077" t="s">
        <v>1226</v>
      </c>
      <c r="I888" s="1077" t="s">
        <v>126</v>
      </c>
      <c r="J888" s="1077">
        <v>0.8</v>
      </c>
      <c r="K888" s="1077" t="s">
        <v>1979</v>
      </c>
      <c r="L888" s="1077" t="s">
        <v>1811</v>
      </c>
      <c r="M888" s="1077">
        <v>74.599999999999994</v>
      </c>
      <c r="N888" s="1077" t="s">
        <v>945</v>
      </c>
      <c r="O888" s="1077">
        <v>1.865</v>
      </c>
      <c r="P888" s="1077">
        <v>1.492</v>
      </c>
      <c r="Q888" s="1077">
        <v>3.5</v>
      </c>
      <c r="R888" s="1077">
        <v>27</v>
      </c>
      <c r="T888" s="1077">
        <v>12.5</v>
      </c>
      <c r="U888" s="1077">
        <v>5.0999999999999996</v>
      </c>
      <c r="V888" s="1077" t="s">
        <v>648</v>
      </c>
      <c r="W888" s="1077">
        <v>95</v>
      </c>
      <c r="X888" s="1077">
        <v>60</v>
      </c>
      <c r="Y888" s="1077">
        <v>1.8</v>
      </c>
      <c r="Z888" s="1077">
        <v>4.5</v>
      </c>
      <c r="AA888" s="1077" t="s">
        <v>1980</v>
      </c>
      <c r="AB888" s="1077" t="s">
        <v>1981</v>
      </c>
      <c r="AH888" s="1077" t="s">
        <v>813</v>
      </c>
      <c r="AI888" s="1077">
        <v>92.58</v>
      </c>
      <c r="AJ888" s="1077">
        <v>-1.26</v>
      </c>
      <c r="AK888" s="1077">
        <v>4.0599999999999996</v>
      </c>
      <c r="AM888" s="1078" t="s">
        <v>10813</v>
      </c>
      <c r="AN888" s="1078" t="s">
        <v>10814</v>
      </c>
      <c r="AO888" s="1078">
        <f t="shared" si="110"/>
        <v>600</v>
      </c>
      <c r="AP888" s="1078">
        <f t="shared" si="111"/>
        <v>1.72</v>
      </c>
      <c r="AQ888" s="1078" t="str">
        <f t="shared" si="112"/>
        <v>1-4-1S83°</v>
      </c>
      <c r="AR888" s="1078" t="str">
        <f t="shared" si="113"/>
        <v>30</v>
      </c>
      <c r="AS888" s="1078" t="str">
        <f t="shared" si="114"/>
        <v>230/230/OFF</v>
      </c>
      <c r="AT888" s="1078" t="str">
        <f t="shared" si="115"/>
        <v>1-4-1S83°</v>
      </c>
      <c r="AV888" s="1078" t="str">
        <f t="shared" si="108"/>
        <v>113.7.22</v>
      </c>
      <c r="AW888" s="1344">
        <f t="shared" si="109"/>
        <v>45495</v>
      </c>
    </row>
    <row r="889" spans="1:49">
      <c r="A889" s="1077" t="s">
        <v>1982</v>
      </c>
      <c r="B889" s="1077" t="s">
        <v>472</v>
      </c>
      <c r="C889" s="1077">
        <v>600</v>
      </c>
      <c r="D889" s="1077">
        <v>1.72</v>
      </c>
      <c r="E889" s="1077" t="s">
        <v>15089</v>
      </c>
      <c r="F889" s="1077" t="s">
        <v>984</v>
      </c>
      <c r="G889" s="1077" t="s">
        <v>1767</v>
      </c>
      <c r="H889" s="1077" t="s">
        <v>1226</v>
      </c>
      <c r="I889" s="1077" t="s">
        <v>126</v>
      </c>
      <c r="J889" s="1077">
        <v>0.8</v>
      </c>
      <c r="K889" s="1077" t="s">
        <v>1979</v>
      </c>
      <c r="L889" s="1077" t="s">
        <v>1811</v>
      </c>
      <c r="M889" s="1077">
        <v>74.599999999999994</v>
      </c>
      <c r="N889" s="1077" t="s">
        <v>945</v>
      </c>
      <c r="O889" s="1077">
        <v>1.865</v>
      </c>
      <c r="P889" s="1077">
        <v>1.492</v>
      </c>
      <c r="Q889" s="1077">
        <v>3.5</v>
      </c>
      <c r="R889" s="1077">
        <v>27</v>
      </c>
      <c r="T889" s="1077">
        <v>12.5</v>
      </c>
      <c r="U889" s="1077">
        <v>5.0999999999999996</v>
      </c>
      <c r="V889" s="1077" t="s">
        <v>648</v>
      </c>
      <c r="W889" s="1077">
        <v>95</v>
      </c>
      <c r="X889" s="1077">
        <v>60</v>
      </c>
      <c r="Y889" s="1077">
        <v>1.8</v>
      </c>
      <c r="Z889" s="1077">
        <v>4.5</v>
      </c>
      <c r="AA889" s="1077" t="s">
        <v>1983</v>
      </c>
      <c r="AB889" s="1077" t="s">
        <v>1984</v>
      </c>
      <c r="AH889" s="1077" t="s">
        <v>1588</v>
      </c>
      <c r="AI889" s="1077">
        <v>92.28</v>
      </c>
      <c r="AJ889" s="1077">
        <v>-0.88</v>
      </c>
      <c r="AK889" s="1077">
        <v>4.4000000000000004</v>
      </c>
      <c r="AM889" s="1078" t="s">
        <v>10815</v>
      </c>
      <c r="AN889" s="1078" t="s">
        <v>10816</v>
      </c>
      <c r="AO889" s="1078">
        <f t="shared" si="110"/>
        <v>600</v>
      </c>
      <c r="AP889" s="1078">
        <f t="shared" si="111"/>
        <v>1.72</v>
      </c>
      <c r="AQ889" s="1078" t="str">
        <f t="shared" si="112"/>
        <v>1-4-1S83°</v>
      </c>
      <c r="AR889" s="1078" t="str">
        <f t="shared" si="113"/>
        <v>30</v>
      </c>
      <c r="AS889" s="1078" t="str">
        <f t="shared" si="114"/>
        <v>230/230/OFF</v>
      </c>
      <c r="AT889" s="1078" t="str">
        <f t="shared" si="115"/>
        <v>1-4-1S83°</v>
      </c>
      <c r="AV889" s="1078" t="str">
        <f t="shared" si="108"/>
        <v>113.7.23</v>
      </c>
      <c r="AW889" s="1344">
        <f t="shared" si="109"/>
        <v>45496</v>
      </c>
    </row>
    <row r="890" spans="1:49">
      <c r="A890" s="1077" t="s">
        <v>1985</v>
      </c>
      <c r="B890" s="1077" t="s">
        <v>625</v>
      </c>
      <c r="C890" s="1077">
        <v>500</v>
      </c>
      <c r="D890" s="1077">
        <v>1.8</v>
      </c>
      <c r="E890" s="1077" t="s">
        <v>15089</v>
      </c>
      <c r="F890" s="1077" t="s">
        <v>975</v>
      </c>
      <c r="G890" s="1077" t="s">
        <v>1016</v>
      </c>
      <c r="H890" s="1077" t="s">
        <v>1145</v>
      </c>
      <c r="I890" s="1077" t="s">
        <v>126</v>
      </c>
      <c r="J890" s="1077">
        <v>1.5</v>
      </c>
      <c r="K890" s="1077" t="s">
        <v>1986</v>
      </c>
      <c r="L890" s="1077" t="s">
        <v>1987</v>
      </c>
      <c r="M890" s="1077">
        <v>75</v>
      </c>
      <c r="N890" s="1077" t="s">
        <v>945</v>
      </c>
      <c r="O890" s="1077">
        <v>1.875</v>
      </c>
      <c r="P890" s="1077">
        <v>1.5</v>
      </c>
      <c r="Q890" s="1077">
        <v>3</v>
      </c>
      <c r="R890" s="1077">
        <v>23</v>
      </c>
      <c r="T890" s="1077">
        <v>29</v>
      </c>
      <c r="U890" s="1077">
        <v>3.5</v>
      </c>
      <c r="V890" s="1077" t="s">
        <v>648</v>
      </c>
      <c r="W890" s="1077">
        <v>120</v>
      </c>
      <c r="X890" s="1077">
        <v>80</v>
      </c>
      <c r="Y890" s="1077">
        <v>1.8</v>
      </c>
      <c r="Z890" s="1077">
        <v>5.5</v>
      </c>
      <c r="AA890" s="1077" t="s">
        <v>1980</v>
      </c>
      <c r="AH890" s="1077" t="s">
        <v>456</v>
      </c>
      <c r="AI890" s="1077">
        <v>93.19</v>
      </c>
      <c r="AJ890" s="1077">
        <v>-0.2</v>
      </c>
      <c r="AK890" s="1077">
        <v>0.78</v>
      </c>
      <c r="AM890" s="1078" t="s">
        <v>10817</v>
      </c>
      <c r="AN890" s="1078" t="s">
        <v>10818</v>
      </c>
      <c r="AO890" s="1078">
        <f t="shared" si="110"/>
        <v>500</v>
      </c>
      <c r="AP890" s="1078">
        <f t="shared" si="111"/>
        <v>1.8</v>
      </c>
      <c r="AQ890" s="1078" t="str">
        <f t="shared" si="112"/>
        <v>1-4-1S83°</v>
      </c>
      <c r="AR890" s="1078" t="str">
        <f t="shared" si="113"/>
        <v>31.5</v>
      </c>
      <c r="AS890" s="1078" t="str">
        <f t="shared" si="114"/>
        <v>235/235/OFF</v>
      </c>
      <c r="AT890" s="1078" t="str">
        <f t="shared" si="115"/>
        <v>1-4-1S83°</v>
      </c>
      <c r="AV890" s="1078" t="str">
        <f t="shared" si="108"/>
        <v>113.7.22</v>
      </c>
      <c r="AW890" s="1344">
        <f t="shared" si="109"/>
        <v>45495</v>
      </c>
    </row>
    <row r="891" spans="1:49">
      <c r="A891" s="1077" t="s">
        <v>1988</v>
      </c>
      <c r="B891" s="1077" t="s">
        <v>424</v>
      </c>
      <c r="C891" s="1077">
        <v>650</v>
      </c>
      <c r="D891" s="1077">
        <v>1.79</v>
      </c>
      <c r="E891" s="1077" t="s">
        <v>15091</v>
      </c>
      <c r="F891" s="1077" t="s">
        <v>1119</v>
      </c>
      <c r="G891" s="1077" t="s">
        <v>1767</v>
      </c>
      <c r="H891" s="1077" t="s">
        <v>1936</v>
      </c>
      <c r="I891" s="1077" t="s">
        <v>1455</v>
      </c>
      <c r="J891" s="1077">
        <v>1.7</v>
      </c>
      <c r="K891" s="1077" t="s">
        <v>1967</v>
      </c>
      <c r="L891" s="1077" t="s">
        <v>1968</v>
      </c>
      <c r="M891" s="1077">
        <v>73</v>
      </c>
      <c r="N891" s="1077" t="s">
        <v>945</v>
      </c>
      <c r="O891" s="1077">
        <v>1.8250000000000002</v>
      </c>
      <c r="P891" s="1077">
        <v>1.46</v>
      </c>
      <c r="Q891" s="1077">
        <v>4</v>
      </c>
      <c r="R891" s="1077">
        <v>21.6</v>
      </c>
      <c r="T891" s="1077">
        <v>32</v>
      </c>
      <c r="U891" s="1077">
        <v>3.5</v>
      </c>
      <c r="V891" s="1077" t="s">
        <v>648</v>
      </c>
      <c r="W891" s="1077">
        <v>110</v>
      </c>
      <c r="X891" s="1077">
        <v>60</v>
      </c>
      <c r="Y891" s="1077">
        <v>1.5</v>
      </c>
      <c r="Z891" s="1077">
        <v>5.5</v>
      </c>
      <c r="AA891" s="1077" t="s">
        <v>1989</v>
      </c>
      <c r="AH891" s="1077" t="s">
        <v>1990</v>
      </c>
      <c r="AI891" s="1077">
        <v>91.49</v>
      </c>
      <c r="AJ891" s="1077">
        <v>-0.13</v>
      </c>
      <c r="AK891" s="1077">
        <v>0.74</v>
      </c>
      <c r="AM891" s="1078" t="s">
        <v>10819</v>
      </c>
      <c r="AN891" s="1078" t="s">
        <v>10820</v>
      </c>
      <c r="AO891" s="1078">
        <f t="shared" si="110"/>
        <v>650</v>
      </c>
      <c r="AP891" s="1078">
        <f t="shared" si="111"/>
        <v>1.79</v>
      </c>
      <c r="AQ891" s="1078" t="str">
        <f t="shared" si="112"/>
        <v>2-5-1S83°</v>
      </c>
      <c r="AR891" s="1078" t="str">
        <f t="shared" si="113"/>
        <v>29</v>
      </c>
      <c r="AS891" s="1078" t="str">
        <f t="shared" si="114"/>
        <v>175/OFF</v>
      </c>
      <c r="AT891" s="1078" t="str">
        <f t="shared" si="115"/>
        <v>2-5-1S83°</v>
      </c>
      <c r="AV891" s="1078" t="str">
        <f t="shared" si="108"/>
        <v>113.7.26</v>
      </c>
      <c r="AW891" s="1344">
        <f t="shared" si="109"/>
        <v>45499</v>
      </c>
    </row>
    <row r="892" spans="1:49">
      <c r="A892" s="1077" t="s">
        <v>1991</v>
      </c>
      <c r="B892" s="1077" t="s">
        <v>453</v>
      </c>
      <c r="C892" s="1077">
        <v>650</v>
      </c>
      <c r="D892" s="1077">
        <v>1.7150000000000001</v>
      </c>
      <c r="E892" s="1077" t="s">
        <v>15093</v>
      </c>
      <c r="F892" s="1077" t="s">
        <v>984</v>
      </c>
      <c r="G892" s="1077" t="s">
        <v>1767</v>
      </c>
      <c r="H892" s="1077" t="s">
        <v>1889</v>
      </c>
      <c r="I892" s="1077" t="s">
        <v>126</v>
      </c>
      <c r="J892" s="1077">
        <v>1.1000000000000001</v>
      </c>
      <c r="K892" s="1077" t="s">
        <v>1832</v>
      </c>
      <c r="L892" s="1077" t="s">
        <v>1821</v>
      </c>
      <c r="M892" s="1077">
        <v>77</v>
      </c>
      <c r="N892" s="1077" t="s">
        <v>945</v>
      </c>
      <c r="O892" s="1077">
        <v>1.925</v>
      </c>
      <c r="P892" s="1077">
        <v>1.54</v>
      </c>
      <c r="Q892" s="1077">
        <v>4.2</v>
      </c>
      <c r="R892" s="1077">
        <v>24</v>
      </c>
      <c r="T892" s="1077">
        <v>9</v>
      </c>
      <c r="U892" s="1077">
        <v>2.2000000000000002</v>
      </c>
      <c r="V892" s="1077" t="s">
        <v>648</v>
      </c>
      <c r="W892" s="1077">
        <v>110</v>
      </c>
      <c r="X892" s="1077" t="s">
        <v>1130</v>
      </c>
      <c r="Y892" s="1077">
        <v>2.1</v>
      </c>
      <c r="Z892" s="1077">
        <v>2.5</v>
      </c>
      <c r="AA892" s="1077" t="s">
        <v>1992</v>
      </c>
      <c r="AB892" s="1077" t="s">
        <v>981</v>
      </c>
      <c r="AH892" s="1077" t="s">
        <v>963</v>
      </c>
      <c r="AI892" s="1077">
        <v>91.23</v>
      </c>
      <c r="AJ892" s="1077">
        <v>-0.21</v>
      </c>
      <c r="AK892" s="1077">
        <v>0.26</v>
      </c>
      <c r="AM892" s="1078" t="s">
        <v>10821</v>
      </c>
      <c r="AN892" s="1078" t="s">
        <v>10822</v>
      </c>
      <c r="AO892" s="1078">
        <f t="shared" si="110"/>
        <v>650</v>
      </c>
      <c r="AP892" s="1078">
        <f t="shared" si="111"/>
        <v>1.7150000000000001</v>
      </c>
      <c r="AQ892" s="1078" t="str">
        <f t="shared" si="112"/>
        <v>1-4-1S撚S83°</v>
      </c>
      <c r="AR892" s="1078" t="str">
        <f t="shared" si="113"/>
        <v>30</v>
      </c>
      <c r="AS892" s="1078" t="str">
        <f t="shared" si="114"/>
        <v>265/265/165</v>
      </c>
      <c r="AT892" s="1078" t="str">
        <f t="shared" si="115"/>
        <v>1-4-1S撚S83°</v>
      </c>
      <c r="AV892" s="1078" t="str">
        <f t="shared" si="108"/>
        <v>113.8.1</v>
      </c>
      <c r="AW892" s="1344">
        <f t="shared" si="109"/>
        <v>45505</v>
      </c>
    </row>
    <row r="893" spans="1:49">
      <c r="A893" s="1077" t="s">
        <v>1993</v>
      </c>
      <c r="B893" s="1077" t="s">
        <v>771</v>
      </c>
      <c r="C893" s="1077">
        <v>700</v>
      </c>
      <c r="D893" s="1077">
        <v>1.74</v>
      </c>
      <c r="E893" s="1077" t="s">
        <v>15089</v>
      </c>
      <c r="F893" s="1077" t="s">
        <v>984</v>
      </c>
      <c r="G893" s="1077">
        <v>2</v>
      </c>
      <c r="H893" s="1077" t="s">
        <v>955</v>
      </c>
      <c r="I893" s="1077" t="s">
        <v>126</v>
      </c>
      <c r="J893" s="1077">
        <v>1.3</v>
      </c>
      <c r="K893" s="1077" t="s">
        <v>1942</v>
      </c>
      <c r="L893" s="1077" t="s">
        <v>1943</v>
      </c>
      <c r="M893" s="1077">
        <v>75</v>
      </c>
      <c r="N893" s="1077" t="s">
        <v>945</v>
      </c>
      <c r="O893" s="1077">
        <v>1.875</v>
      </c>
      <c r="P893" s="1077">
        <v>1.5</v>
      </c>
      <c r="Q893" s="1077">
        <v>4</v>
      </c>
      <c r="R893" s="1077">
        <v>23</v>
      </c>
      <c r="T893" s="1077">
        <v>26.5</v>
      </c>
      <c r="U893" s="1077">
        <v>3.8</v>
      </c>
      <c r="V893" s="1077" t="s">
        <v>648</v>
      </c>
      <c r="W893" s="1077">
        <v>100</v>
      </c>
      <c r="X893" s="1077">
        <v>45</v>
      </c>
      <c r="Y893" s="1077">
        <v>1.6</v>
      </c>
      <c r="Z893" s="1077">
        <v>5</v>
      </c>
      <c r="AA893" s="1077" t="s">
        <v>1994</v>
      </c>
      <c r="AH893" s="1077" t="s">
        <v>1486</v>
      </c>
      <c r="AI893" s="1077">
        <v>92.33</v>
      </c>
      <c r="AJ893" s="1077">
        <v>-0.08</v>
      </c>
      <c r="AK893" s="1077">
        <v>0.61</v>
      </c>
      <c r="AM893" s="1078" t="s">
        <v>10823</v>
      </c>
      <c r="AN893" s="1078" t="s">
        <v>10824</v>
      </c>
      <c r="AO893" s="1078">
        <f t="shared" si="110"/>
        <v>700</v>
      </c>
      <c r="AP893" s="1078">
        <f t="shared" si="111"/>
        <v>1.74</v>
      </c>
      <c r="AQ893" s="1078" t="str">
        <f t="shared" si="112"/>
        <v>1-4-1S83°</v>
      </c>
      <c r="AR893" s="1078" t="str">
        <f t="shared" si="113"/>
        <v>30</v>
      </c>
      <c r="AS893" s="1078" t="str">
        <f t="shared" si="114"/>
        <v>260/260/OFF</v>
      </c>
      <c r="AT893" s="1078" t="str">
        <f t="shared" si="115"/>
        <v>1-4-1S83°</v>
      </c>
      <c r="AV893" s="1078" t="str">
        <f t="shared" si="108"/>
        <v>113.8.2</v>
      </c>
      <c r="AW893" s="1344">
        <f t="shared" si="109"/>
        <v>45506</v>
      </c>
    </row>
    <row r="894" spans="1:49">
      <c r="A894" s="1077" t="s">
        <v>1995</v>
      </c>
      <c r="B894" s="1077" t="s">
        <v>453</v>
      </c>
      <c r="C894" s="1077">
        <v>600</v>
      </c>
      <c r="D894" s="1077">
        <v>1.7</v>
      </c>
      <c r="E894" s="1077" t="s">
        <v>15102</v>
      </c>
      <c r="F894" s="1077" t="s">
        <v>1996</v>
      </c>
      <c r="G894" s="1077" t="s">
        <v>1767</v>
      </c>
      <c r="H894" s="1077" t="s">
        <v>1997</v>
      </c>
      <c r="I894" s="1077" t="s">
        <v>1112</v>
      </c>
      <c r="J894" s="1077">
        <v>0.9</v>
      </c>
      <c r="K894" s="1077" t="s">
        <v>1998</v>
      </c>
      <c r="L894" s="1077" t="s">
        <v>1776</v>
      </c>
      <c r="M894" s="1077">
        <v>77</v>
      </c>
      <c r="N894" s="1077" t="s">
        <v>945</v>
      </c>
      <c r="O894" s="1077">
        <v>1.925</v>
      </c>
      <c r="P894" s="1077">
        <v>1.54</v>
      </c>
      <c r="Q894" s="1077">
        <v>4.2</v>
      </c>
      <c r="R894" s="1077">
        <v>24</v>
      </c>
      <c r="T894" s="1077">
        <v>9</v>
      </c>
      <c r="U894" s="1077">
        <v>2.2000000000000002</v>
      </c>
      <c r="V894" s="1077" t="s">
        <v>648</v>
      </c>
      <c r="W894" s="1077">
        <v>110</v>
      </c>
      <c r="X894" s="1077">
        <v>85</v>
      </c>
      <c r="Y894" s="1077">
        <v>2.1</v>
      </c>
      <c r="Z894" s="1077">
        <v>2.5</v>
      </c>
      <c r="AA894" s="1077" t="s">
        <v>1999</v>
      </c>
      <c r="AB894" s="1077" t="s">
        <v>981</v>
      </c>
      <c r="AH894" s="1077" t="s">
        <v>862</v>
      </c>
      <c r="AI894" s="1077">
        <v>92.8</v>
      </c>
      <c r="AJ894" s="1077">
        <v>0.1</v>
      </c>
      <c r="AK894" s="1077">
        <v>0.5</v>
      </c>
      <c r="AM894" s="1078" t="s">
        <v>10825</v>
      </c>
      <c r="AN894" s="1078" t="s">
        <v>10826</v>
      </c>
      <c r="AO894" s="1078">
        <f t="shared" si="110"/>
        <v>600</v>
      </c>
      <c r="AP894" s="1078">
        <f t="shared" si="111"/>
        <v>1.7</v>
      </c>
      <c r="AQ894" s="1078" t="str">
        <f t="shared" si="112"/>
        <v>2-6-1S83°</v>
      </c>
      <c r="AR894" s="1078" t="str">
        <f t="shared" si="113"/>
        <v>29.6</v>
      </c>
      <c r="AS894" s="1078" t="str">
        <f t="shared" si="114"/>
        <v>166/155</v>
      </c>
      <c r="AT894" s="1078" t="str">
        <f t="shared" si="115"/>
        <v>2-6-1S83°</v>
      </c>
      <c r="AV894" s="1078" t="str">
        <f t="shared" si="108"/>
        <v>113.10.30</v>
      </c>
      <c r="AW894" s="1344">
        <f t="shared" si="109"/>
        <v>45595</v>
      </c>
    </row>
    <row r="895" spans="1:49">
      <c r="A895" s="1077" t="s">
        <v>2000</v>
      </c>
      <c r="B895" s="1077" t="s">
        <v>1783</v>
      </c>
      <c r="C895" s="1077">
        <v>570</v>
      </c>
      <c r="D895" s="1077">
        <v>1.67</v>
      </c>
      <c r="E895" s="1077" t="s">
        <v>15089</v>
      </c>
      <c r="F895" s="1077" t="s">
        <v>2001</v>
      </c>
      <c r="G895" s="1077" t="s">
        <v>1784</v>
      </c>
      <c r="H895" s="1077" t="s">
        <v>1155</v>
      </c>
      <c r="I895" s="1077" t="s">
        <v>126</v>
      </c>
      <c r="J895" s="1077">
        <v>0.3</v>
      </c>
      <c r="K895" s="1077" t="s">
        <v>2002</v>
      </c>
      <c r="L895" s="1077" t="s">
        <v>1787</v>
      </c>
      <c r="M895" s="1077">
        <v>76.099999999999994</v>
      </c>
      <c r="N895" s="1077" t="s">
        <v>945</v>
      </c>
      <c r="O895" s="1077">
        <v>1.9024999999999999</v>
      </c>
      <c r="P895" s="1077">
        <v>1.522</v>
      </c>
      <c r="Q895" s="1077">
        <v>4</v>
      </c>
      <c r="R895" s="1077">
        <v>19</v>
      </c>
      <c r="T895" s="1077">
        <v>13</v>
      </c>
      <c r="U895" s="1077">
        <v>4</v>
      </c>
      <c r="V895" s="1077" t="s">
        <v>648</v>
      </c>
      <c r="W895" s="1077">
        <v>30</v>
      </c>
      <c r="X895" s="1077">
        <v>10</v>
      </c>
      <c r="Y895" s="1077">
        <v>2.5</v>
      </c>
      <c r="Z895" s="1077">
        <v>2</v>
      </c>
      <c r="AA895" s="1077" t="s">
        <v>2003</v>
      </c>
      <c r="AH895" s="1077" t="s">
        <v>875</v>
      </c>
      <c r="AM895" s="1078" t="s">
        <v>10827</v>
      </c>
      <c r="AN895" s="1078" t="s">
        <v>10828</v>
      </c>
      <c r="AO895" s="1078">
        <f t="shared" si="110"/>
        <v>570</v>
      </c>
      <c r="AP895" s="1078">
        <f t="shared" si="111"/>
        <v>1.67</v>
      </c>
      <c r="AQ895" s="1078" t="str">
        <f t="shared" si="112"/>
        <v>1-4-1S83°</v>
      </c>
      <c r="AR895" s="1078" t="str">
        <f t="shared" si="113"/>
        <v>29.9</v>
      </c>
      <c r="AS895" s="1078" t="str">
        <f t="shared" si="114"/>
        <v>215/215/OFF</v>
      </c>
      <c r="AT895" s="1078" t="str">
        <f t="shared" si="115"/>
        <v>1-4-1S83°</v>
      </c>
      <c r="AV895" s="1078" t="str">
        <f t="shared" si="108"/>
        <v>111.3.4</v>
      </c>
      <c r="AW895" s="1344">
        <f t="shared" si="109"/>
        <v>44624</v>
      </c>
    </row>
    <row r="896" spans="1:49">
      <c r="A896" s="1077" t="s">
        <v>2004</v>
      </c>
      <c r="B896" s="1077" t="s">
        <v>1974</v>
      </c>
      <c r="C896" s="1077">
        <v>500</v>
      </c>
      <c r="D896" s="1077">
        <v>1.62</v>
      </c>
      <c r="E896" s="1077" t="s">
        <v>15089</v>
      </c>
      <c r="F896" s="1077" t="s">
        <v>1514</v>
      </c>
      <c r="G896" s="1077" t="s">
        <v>1767</v>
      </c>
      <c r="H896" s="1077" t="s">
        <v>1290</v>
      </c>
      <c r="I896" s="1077" t="s">
        <v>126</v>
      </c>
      <c r="J896" s="1077">
        <v>0.6</v>
      </c>
      <c r="K896" s="1077" t="s">
        <v>2005</v>
      </c>
      <c r="L896" s="1077" t="s">
        <v>1976</v>
      </c>
      <c r="M896" s="1077">
        <v>77.599999999999994</v>
      </c>
      <c r="N896" s="1077" t="s">
        <v>945</v>
      </c>
      <c r="O896" s="1077">
        <v>1.94</v>
      </c>
      <c r="P896" s="1077">
        <v>1.5519999999999998</v>
      </c>
      <c r="Q896" s="1077">
        <v>4</v>
      </c>
      <c r="R896" s="1077">
        <v>23</v>
      </c>
      <c r="T896" s="1077">
        <v>21</v>
      </c>
      <c r="U896" s="1077">
        <v>3.7</v>
      </c>
      <c r="V896" s="1077" t="s">
        <v>648</v>
      </c>
      <c r="W896" s="1077">
        <v>105</v>
      </c>
      <c r="X896" s="1077">
        <v>65</v>
      </c>
      <c r="Y896" s="1077">
        <v>1.6</v>
      </c>
      <c r="Z896" s="1077">
        <v>4.5</v>
      </c>
      <c r="AA896" s="1077" t="s">
        <v>2006</v>
      </c>
      <c r="AH896" s="1077" t="s">
        <v>758</v>
      </c>
      <c r="AM896" s="1078" t="s">
        <v>10829</v>
      </c>
      <c r="AN896" s="1078" t="s">
        <v>10830</v>
      </c>
      <c r="AO896" s="1078">
        <f t="shared" si="110"/>
        <v>500</v>
      </c>
      <c r="AP896" s="1078">
        <f t="shared" si="111"/>
        <v>1.62</v>
      </c>
      <c r="AQ896" s="1078" t="str">
        <f t="shared" si="112"/>
        <v>1-4-1S83°</v>
      </c>
      <c r="AR896" s="1078" t="str">
        <f t="shared" si="113"/>
        <v>32</v>
      </c>
      <c r="AS896" s="1078" t="str">
        <f t="shared" si="114"/>
        <v>220/220/OFF</v>
      </c>
      <c r="AT896" s="1078" t="str">
        <f t="shared" si="115"/>
        <v>1-4-1S83°</v>
      </c>
      <c r="AV896" s="1078" t="str">
        <f t="shared" si="108"/>
        <v>111.3.10</v>
      </c>
      <c r="AW896" s="1344">
        <f t="shared" si="109"/>
        <v>44630</v>
      </c>
    </row>
    <row r="897" spans="1:49">
      <c r="A897" s="1077" t="s">
        <v>2007</v>
      </c>
      <c r="B897" s="1077" t="s">
        <v>752</v>
      </c>
      <c r="C897" s="1077">
        <v>600</v>
      </c>
      <c r="D897" s="1077">
        <v>1.68</v>
      </c>
      <c r="E897" s="1077" t="s">
        <v>15089</v>
      </c>
      <c r="F897" s="1077" t="s">
        <v>1773</v>
      </c>
      <c r="G897" s="1077" t="s">
        <v>2008</v>
      </c>
      <c r="H897" s="1077" t="s">
        <v>2009</v>
      </c>
      <c r="I897" s="1077" t="s">
        <v>126</v>
      </c>
      <c r="J897" s="1077">
        <v>0.9</v>
      </c>
      <c r="K897" s="1077" t="s">
        <v>2010</v>
      </c>
      <c r="L897" s="1077" t="s">
        <v>1933</v>
      </c>
      <c r="M897" s="1077">
        <v>74.5</v>
      </c>
      <c r="N897" s="1077" t="s">
        <v>945</v>
      </c>
      <c r="O897" s="1077">
        <v>1.8625</v>
      </c>
      <c r="P897" s="1077">
        <v>1.49</v>
      </c>
      <c r="Q897" s="1077">
        <v>4</v>
      </c>
      <c r="R897" s="1077">
        <v>22.3</v>
      </c>
      <c r="T897" s="1077">
        <v>22</v>
      </c>
      <c r="U897" s="1077">
        <v>3.3</v>
      </c>
      <c r="V897" s="1077" t="s">
        <v>648</v>
      </c>
      <c r="W897" s="1077">
        <v>110</v>
      </c>
      <c r="X897" s="1077">
        <v>85</v>
      </c>
      <c r="Y897" s="1077">
        <v>2</v>
      </c>
      <c r="Z897" s="1077">
        <v>4.5</v>
      </c>
      <c r="AA897" s="1077" t="s">
        <v>2011</v>
      </c>
      <c r="AH897" s="1077" t="s">
        <v>1178</v>
      </c>
      <c r="AM897" s="1078" t="s">
        <v>10831</v>
      </c>
      <c r="AN897" s="1078" t="s">
        <v>10832</v>
      </c>
      <c r="AO897" s="1078">
        <f t="shared" si="110"/>
        <v>600</v>
      </c>
      <c r="AP897" s="1078">
        <f t="shared" si="111"/>
        <v>1.68</v>
      </c>
      <c r="AQ897" s="1078" t="str">
        <f t="shared" si="112"/>
        <v>1-4-1S83°</v>
      </c>
      <c r="AR897" s="1078" t="str">
        <f t="shared" si="113"/>
        <v>30.2</v>
      </c>
      <c r="AS897" s="1078" t="str">
        <f t="shared" si="114"/>
        <v>265/265/OFF</v>
      </c>
      <c r="AT897" s="1078" t="str">
        <f t="shared" si="115"/>
        <v>1-4-1S83°</v>
      </c>
      <c r="AV897" s="1078" t="str">
        <f t="shared" si="108"/>
        <v>111.3.14</v>
      </c>
      <c r="AW897" s="1344">
        <f t="shared" si="109"/>
        <v>44634</v>
      </c>
    </row>
    <row r="898" spans="1:49">
      <c r="A898" s="1077" t="s">
        <v>2012</v>
      </c>
      <c r="B898" s="1077" t="s">
        <v>2013</v>
      </c>
      <c r="C898" s="1077">
        <v>650</v>
      </c>
      <c r="D898" s="1077">
        <v>1.77</v>
      </c>
      <c r="E898" s="1077" t="s">
        <v>15089</v>
      </c>
      <c r="F898" s="1077" t="s">
        <v>984</v>
      </c>
      <c r="G898" s="1077" t="s">
        <v>940</v>
      </c>
      <c r="H898" s="1077" t="s">
        <v>1274</v>
      </c>
      <c r="I898" s="1077" t="s">
        <v>126</v>
      </c>
      <c r="J898" s="1077">
        <v>1.5</v>
      </c>
      <c r="K898" s="1077" t="s">
        <v>2014</v>
      </c>
      <c r="L898" s="1077" t="s">
        <v>1964</v>
      </c>
      <c r="M898" s="1077">
        <v>75.400000000000006</v>
      </c>
      <c r="N898" s="1077" t="s">
        <v>945</v>
      </c>
      <c r="O898" s="1077">
        <v>1.8850000000000002</v>
      </c>
      <c r="P898" s="1077">
        <v>1.5080000000000002</v>
      </c>
      <c r="Q898" s="1077">
        <v>3</v>
      </c>
      <c r="R898" s="1077">
        <v>24</v>
      </c>
      <c r="T898" s="1077">
        <v>18</v>
      </c>
      <c r="U898" s="1077">
        <v>7</v>
      </c>
      <c r="V898" s="1077" t="s">
        <v>648</v>
      </c>
      <c r="W898" s="1077">
        <v>120</v>
      </c>
      <c r="X898" s="1077">
        <v>80</v>
      </c>
      <c r="Y898" s="1077">
        <v>2</v>
      </c>
      <c r="Z898" s="1077">
        <v>6</v>
      </c>
      <c r="AA898" s="1077" t="s">
        <v>2015</v>
      </c>
      <c r="AH898" s="1077" t="s">
        <v>2016</v>
      </c>
      <c r="AM898" s="1078" t="s">
        <v>10833</v>
      </c>
      <c r="AN898" s="1078" t="s">
        <v>10834</v>
      </c>
      <c r="AO898" s="1078">
        <f t="shared" si="110"/>
        <v>650</v>
      </c>
      <c r="AP898" s="1078">
        <f t="shared" si="111"/>
        <v>1.77</v>
      </c>
      <c r="AQ898" s="1078" t="str">
        <f t="shared" si="112"/>
        <v>1-4-1S83°</v>
      </c>
      <c r="AR898" s="1078" t="str">
        <f t="shared" si="113"/>
        <v>30</v>
      </c>
      <c r="AS898" s="1078" t="str">
        <f t="shared" si="114"/>
        <v>210/210/OFF</v>
      </c>
      <c r="AT898" s="1078" t="str">
        <f t="shared" si="115"/>
        <v>1-4-1S83°</v>
      </c>
      <c r="AV898" s="1078" t="str">
        <f t="shared" ref="AV898:AV961" si="116">AA898</f>
        <v>111.3.16</v>
      </c>
      <c r="AW898" s="1344">
        <f t="shared" si="109"/>
        <v>44636</v>
      </c>
    </row>
    <row r="899" spans="1:49">
      <c r="A899" s="1077" t="s">
        <v>2017</v>
      </c>
      <c r="B899" s="1077" t="s">
        <v>1783</v>
      </c>
      <c r="C899" s="1077">
        <v>570</v>
      </c>
      <c r="D899" s="1077">
        <v>1.66</v>
      </c>
      <c r="E899" s="1077" t="s">
        <v>15089</v>
      </c>
      <c r="F899" s="1077" t="s">
        <v>2001</v>
      </c>
      <c r="G899" s="1077" t="s">
        <v>2018</v>
      </c>
      <c r="H899" s="1077" t="s">
        <v>1649</v>
      </c>
      <c r="I899" s="1077" t="s">
        <v>126</v>
      </c>
      <c r="J899" s="1077">
        <v>0.3</v>
      </c>
      <c r="K899" s="1077" t="s">
        <v>2019</v>
      </c>
      <c r="L899" s="1077" t="s">
        <v>1787</v>
      </c>
      <c r="M899" s="1077">
        <v>76.099999999999994</v>
      </c>
      <c r="N899" s="1077" t="s">
        <v>945</v>
      </c>
      <c r="O899" s="1077">
        <v>1.9024999999999999</v>
      </c>
      <c r="P899" s="1077">
        <v>1.522</v>
      </c>
      <c r="Q899" s="1077">
        <v>4</v>
      </c>
      <c r="R899" s="1077">
        <v>24</v>
      </c>
      <c r="T899" s="1077">
        <v>13</v>
      </c>
      <c r="U899" s="1077">
        <v>4</v>
      </c>
      <c r="V899" s="1077" t="s">
        <v>648</v>
      </c>
      <c r="W899" s="1077">
        <v>30</v>
      </c>
      <c r="X899" s="1077">
        <v>10</v>
      </c>
      <c r="Y899" s="1077">
        <v>2.5</v>
      </c>
      <c r="Z899" s="1077">
        <v>2</v>
      </c>
      <c r="AA899" s="1077" t="s">
        <v>2020</v>
      </c>
      <c r="AH899" s="1077" t="s">
        <v>2021</v>
      </c>
      <c r="AM899" s="1078" t="s">
        <v>10835</v>
      </c>
      <c r="AN899" s="1078" t="s">
        <v>10836</v>
      </c>
      <c r="AO899" s="1078">
        <f t="shared" si="110"/>
        <v>570</v>
      </c>
      <c r="AP899" s="1078">
        <f t="shared" si="111"/>
        <v>1.66</v>
      </c>
      <c r="AQ899" s="1078" t="str">
        <f t="shared" si="112"/>
        <v>1-4-1S83°</v>
      </c>
      <c r="AR899" s="1078" t="str">
        <f t="shared" si="113"/>
        <v>29.9</v>
      </c>
      <c r="AS899" s="1078" t="str">
        <f t="shared" si="114"/>
        <v>225/225/OFF</v>
      </c>
      <c r="AT899" s="1078" t="str">
        <f t="shared" si="115"/>
        <v>1-4-1S83°</v>
      </c>
      <c r="AV899" s="1078" t="str">
        <f t="shared" si="116"/>
        <v>111.3.25</v>
      </c>
      <c r="AW899" s="1344">
        <f t="shared" ref="AW899:AW962" si="117">DATE(VALUE(LEFT(AV899,FIND(".",AV899)-1))+1911,
       VALUE(MID(AV899,FIND(".",AV899)+1,FIND(".",AV899,FIND(".",AV899)+1)-FIND(".",AV899)-1)),
       VALUE(RIGHT(AV899,LEN(AV899)-FIND("~",SUBSTITUTE(AV899,".","~",2)))))</f>
        <v>44645</v>
      </c>
    </row>
    <row r="900" spans="1:49">
      <c r="A900" s="1077" t="s">
        <v>2022</v>
      </c>
      <c r="B900" s="1077" t="s">
        <v>2013</v>
      </c>
      <c r="C900" s="1077">
        <v>650</v>
      </c>
      <c r="D900" s="1077">
        <v>1.77</v>
      </c>
      <c r="E900" s="1077" t="s">
        <v>15089</v>
      </c>
      <c r="F900" s="1077" t="s">
        <v>984</v>
      </c>
      <c r="G900" s="1077" t="s">
        <v>940</v>
      </c>
      <c r="H900" s="1077" t="s">
        <v>1155</v>
      </c>
      <c r="I900" s="1077" t="s">
        <v>126</v>
      </c>
      <c r="J900" s="1077">
        <v>1.5</v>
      </c>
      <c r="K900" s="1077" t="s">
        <v>2014</v>
      </c>
      <c r="L900" s="1077" t="s">
        <v>1964</v>
      </c>
      <c r="M900" s="1077">
        <v>75.400000000000006</v>
      </c>
      <c r="N900" s="1077" t="s">
        <v>945</v>
      </c>
      <c r="O900" s="1077">
        <v>1.8850000000000002</v>
      </c>
      <c r="P900" s="1077">
        <v>1.5080000000000002</v>
      </c>
      <c r="Q900" s="1077">
        <v>3</v>
      </c>
      <c r="R900" s="1077">
        <v>24</v>
      </c>
      <c r="T900" s="1077">
        <v>18</v>
      </c>
      <c r="U900" s="1077">
        <v>7</v>
      </c>
      <c r="V900" s="1077" t="s">
        <v>648</v>
      </c>
      <c r="W900" s="1077">
        <v>120</v>
      </c>
      <c r="X900" s="1077">
        <v>80</v>
      </c>
      <c r="Y900" s="1077">
        <v>2</v>
      </c>
      <c r="Z900" s="1077">
        <v>6</v>
      </c>
      <c r="AA900" s="1077" t="s">
        <v>2023</v>
      </c>
      <c r="AH900" s="1077" t="s">
        <v>889</v>
      </c>
      <c r="AM900" s="1078" t="s">
        <v>10837</v>
      </c>
      <c r="AN900" s="1078" t="s">
        <v>10838</v>
      </c>
      <c r="AO900" s="1078">
        <f t="shared" si="110"/>
        <v>650</v>
      </c>
      <c r="AP900" s="1078">
        <f t="shared" si="111"/>
        <v>1.77</v>
      </c>
      <c r="AQ900" s="1078" t="str">
        <f t="shared" si="112"/>
        <v>1-4-1S83°</v>
      </c>
      <c r="AR900" s="1078" t="str">
        <f t="shared" si="113"/>
        <v>30</v>
      </c>
      <c r="AS900" s="1078" t="str">
        <f t="shared" si="114"/>
        <v>215/215/OFF</v>
      </c>
      <c r="AT900" s="1078" t="str">
        <f t="shared" si="115"/>
        <v>1-4-1S83°</v>
      </c>
      <c r="AV900" s="1078" t="str">
        <f t="shared" si="116"/>
        <v>111.3.31</v>
      </c>
      <c r="AW900" s="1344">
        <f t="shared" si="117"/>
        <v>44651</v>
      </c>
    </row>
    <row r="901" spans="1:49">
      <c r="A901" s="1077" t="s">
        <v>2024</v>
      </c>
      <c r="B901" s="1077" t="s">
        <v>1823</v>
      </c>
      <c r="C901" s="1077">
        <v>500</v>
      </c>
      <c r="D901" s="1077">
        <v>1.7549999999999999</v>
      </c>
      <c r="E901" s="1077" t="s">
        <v>15095</v>
      </c>
      <c r="F901" s="1077" t="s">
        <v>984</v>
      </c>
      <c r="G901" s="1077" t="s">
        <v>1016</v>
      </c>
      <c r="H901" s="1077" t="s">
        <v>1226</v>
      </c>
      <c r="I901" s="1077" t="s">
        <v>126</v>
      </c>
      <c r="J901" s="1077">
        <v>0.7</v>
      </c>
      <c r="K901" s="1077" t="s">
        <v>2025</v>
      </c>
      <c r="L901" s="1077" t="s">
        <v>1825</v>
      </c>
      <c r="M901" s="1077">
        <v>73.8</v>
      </c>
      <c r="N901" s="1077" t="s">
        <v>945</v>
      </c>
      <c r="O901" s="1077">
        <v>1.845</v>
      </c>
      <c r="P901" s="1077">
        <v>1.476</v>
      </c>
      <c r="Q901" s="1077">
        <v>3.5</v>
      </c>
      <c r="R901" s="1077">
        <v>18.5</v>
      </c>
      <c r="T901" s="1077">
        <v>21</v>
      </c>
      <c r="U901" s="1077">
        <v>3.8</v>
      </c>
      <c r="V901" s="1077" t="s">
        <v>648</v>
      </c>
      <c r="W901" s="1077">
        <v>110</v>
      </c>
      <c r="X901" s="1077">
        <v>85</v>
      </c>
      <c r="Y901" s="1077">
        <v>1.9</v>
      </c>
      <c r="Z901" s="1077">
        <v>4</v>
      </c>
      <c r="AA901" s="1077" t="s">
        <v>2026</v>
      </c>
      <c r="AH901" s="1077" t="s">
        <v>712</v>
      </c>
      <c r="AM901" s="1078" t="s">
        <v>10839</v>
      </c>
      <c r="AN901" s="1078" t="s">
        <v>10840</v>
      </c>
      <c r="AO901" s="1078">
        <f t="shared" si="110"/>
        <v>500</v>
      </c>
      <c r="AP901" s="1078">
        <f t="shared" si="111"/>
        <v>1.7549999999999999</v>
      </c>
      <c r="AQ901" s="1078" t="str">
        <f t="shared" si="112"/>
        <v>1-5-1S83°</v>
      </c>
      <c r="AR901" s="1078" t="str">
        <f t="shared" si="113"/>
        <v>30</v>
      </c>
      <c r="AS901" s="1078" t="str">
        <f t="shared" si="114"/>
        <v>230/230/OFF</v>
      </c>
      <c r="AT901" s="1078" t="str">
        <f t="shared" si="115"/>
        <v>1-5-1S83°</v>
      </c>
      <c r="AV901" s="1078" t="str">
        <f t="shared" si="116"/>
        <v>111.4.6</v>
      </c>
      <c r="AW901" s="1344">
        <f t="shared" si="117"/>
        <v>44657</v>
      </c>
    </row>
    <row r="902" spans="1:49">
      <c r="A902" s="1077" t="s">
        <v>2027</v>
      </c>
      <c r="B902" s="1077" t="s">
        <v>1911</v>
      </c>
      <c r="C902" s="1077">
        <v>650</v>
      </c>
      <c r="D902" s="1077">
        <v>1.7350000000000001</v>
      </c>
      <c r="E902" s="1077" t="s">
        <v>15089</v>
      </c>
      <c r="F902" s="1077" t="s">
        <v>984</v>
      </c>
      <c r="G902" s="1077">
        <v>5</v>
      </c>
      <c r="H902" s="1077" t="s">
        <v>1029</v>
      </c>
      <c r="I902" s="1077" t="s">
        <v>126</v>
      </c>
      <c r="J902" s="1077">
        <v>1.2</v>
      </c>
      <c r="K902" s="1077" t="s">
        <v>2028</v>
      </c>
      <c r="L902" s="1077" t="s">
        <v>1913</v>
      </c>
      <c r="M902" s="1077">
        <v>75</v>
      </c>
      <c r="N902" s="1077" t="s">
        <v>945</v>
      </c>
      <c r="O902" s="1077">
        <v>1.875</v>
      </c>
      <c r="P902" s="1077">
        <v>1.5</v>
      </c>
      <c r="Q902" s="1077">
        <v>4</v>
      </c>
      <c r="R902" s="1077">
        <v>23</v>
      </c>
      <c r="T902" s="1077">
        <v>26.5</v>
      </c>
      <c r="U902" s="1077">
        <v>3.8</v>
      </c>
      <c r="V902" s="1077" t="s">
        <v>648</v>
      </c>
      <c r="W902" s="1077">
        <v>100</v>
      </c>
      <c r="X902" s="1077">
        <v>45</v>
      </c>
      <c r="Y902" s="1077">
        <v>1.6</v>
      </c>
      <c r="Z902" s="1077">
        <v>5</v>
      </c>
      <c r="AA902" s="1077" t="s">
        <v>2029</v>
      </c>
      <c r="AH902" s="1077" t="s">
        <v>1186</v>
      </c>
      <c r="AM902" s="1078" t="s">
        <v>10841</v>
      </c>
      <c r="AN902" s="1078" t="s">
        <v>10842</v>
      </c>
      <c r="AO902" s="1078">
        <f t="shared" si="110"/>
        <v>650</v>
      </c>
      <c r="AP902" s="1078">
        <f t="shared" si="111"/>
        <v>1.7350000000000001</v>
      </c>
      <c r="AQ902" s="1078" t="str">
        <f t="shared" si="112"/>
        <v>1-4-1S83°</v>
      </c>
      <c r="AR902" s="1078" t="str">
        <f t="shared" si="113"/>
        <v>30</v>
      </c>
      <c r="AS902" s="1078" t="str">
        <f t="shared" si="114"/>
        <v>250/250/OFF</v>
      </c>
      <c r="AT902" s="1078" t="str">
        <f t="shared" si="115"/>
        <v>1-4-1S83°</v>
      </c>
      <c r="AV902" s="1078" t="str">
        <f t="shared" si="116"/>
        <v>111.4.7</v>
      </c>
      <c r="AW902" s="1344">
        <f t="shared" si="117"/>
        <v>44658</v>
      </c>
    </row>
    <row r="903" spans="1:49">
      <c r="A903" s="1077" t="s">
        <v>2030</v>
      </c>
      <c r="B903" s="1077" t="s">
        <v>620</v>
      </c>
      <c r="C903" s="1077">
        <v>500</v>
      </c>
      <c r="D903" s="1077">
        <v>1.68</v>
      </c>
      <c r="E903" s="1077" t="s">
        <v>15091</v>
      </c>
      <c r="F903" s="1077" t="s">
        <v>1469</v>
      </c>
      <c r="G903" s="1077" t="s">
        <v>940</v>
      </c>
      <c r="H903" s="1077" t="s">
        <v>1464</v>
      </c>
      <c r="I903" s="1077" t="s">
        <v>1112</v>
      </c>
      <c r="J903" s="1077">
        <v>1</v>
      </c>
      <c r="K903" s="1077" t="s">
        <v>2031</v>
      </c>
      <c r="L903" s="1077" t="s">
        <v>2032</v>
      </c>
      <c r="M903" s="1077">
        <v>76.7</v>
      </c>
      <c r="N903" s="1077" t="s">
        <v>945</v>
      </c>
      <c r="O903" s="1077">
        <v>1.9175000000000002</v>
      </c>
      <c r="P903" s="1077">
        <v>1.534</v>
      </c>
      <c r="Q903" s="1077">
        <v>4</v>
      </c>
      <c r="R903" s="1077">
        <v>23.5</v>
      </c>
      <c r="T903" s="1077">
        <v>20.7</v>
      </c>
      <c r="U903" s="1077">
        <v>4</v>
      </c>
      <c r="V903" s="1077" t="s">
        <v>648</v>
      </c>
      <c r="W903" s="1077">
        <v>120</v>
      </c>
      <c r="X903" s="1077">
        <v>80</v>
      </c>
      <c r="Y903" s="1077">
        <v>1</v>
      </c>
      <c r="Z903" s="1077">
        <v>5</v>
      </c>
      <c r="AA903" s="1077" t="s">
        <v>2033</v>
      </c>
      <c r="AH903" s="1077" t="s">
        <v>812</v>
      </c>
      <c r="AM903" s="1078" t="s">
        <v>10843</v>
      </c>
      <c r="AN903" s="1078" t="s">
        <v>10844</v>
      </c>
      <c r="AO903" s="1078">
        <f t="shared" si="110"/>
        <v>500</v>
      </c>
      <c r="AP903" s="1078">
        <f t="shared" si="111"/>
        <v>1.68</v>
      </c>
      <c r="AQ903" s="1078" t="str">
        <f t="shared" si="112"/>
        <v>2-5-1S83°</v>
      </c>
      <c r="AR903" s="1078" t="str">
        <f t="shared" si="113"/>
        <v>30.5</v>
      </c>
      <c r="AS903" s="1078" t="str">
        <f t="shared" si="114"/>
        <v>158/OFF</v>
      </c>
      <c r="AT903" s="1078" t="str">
        <f t="shared" si="115"/>
        <v>2-5-1S83°</v>
      </c>
      <c r="AV903" s="1078" t="str">
        <f t="shared" si="116"/>
        <v>111.4.11</v>
      </c>
      <c r="AW903" s="1344">
        <f t="shared" si="117"/>
        <v>44662</v>
      </c>
    </row>
    <row r="904" spans="1:49">
      <c r="A904" s="1077" t="s">
        <v>2034</v>
      </c>
      <c r="B904" s="1077" t="s">
        <v>1783</v>
      </c>
      <c r="C904" s="1077">
        <v>570</v>
      </c>
      <c r="D904" s="1077">
        <v>1.66</v>
      </c>
      <c r="E904" s="1077" t="s">
        <v>15089</v>
      </c>
      <c r="F904" s="1077" t="s">
        <v>2001</v>
      </c>
      <c r="G904" s="1077" t="s">
        <v>2018</v>
      </c>
      <c r="H904" s="1077" t="s">
        <v>1649</v>
      </c>
      <c r="I904" s="1077" t="s">
        <v>126</v>
      </c>
      <c r="J904" s="1077">
        <v>0.3</v>
      </c>
      <c r="K904" s="1077" t="s">
        <v>2035</v>
      </c>
      <c r="L904" s="1077" t="s">
        <v>1787</v>
      </c>
      <c r="M904" s="1077">
        <v>76.099999999999994</v>
      </c>
      <c r="N904" s="1077" t="s">
        <v>945</v>
      </c>
      <c r="O904" s="1077">
        <v>1.9024999999999999</v>
      </c>
      <c r="P904" s="1077">
        <v>1.522</v>
      </c>
      <c r="Q904" s="1077">
        <v>4</v>
      </c>
      <c r="R904" s="1077">
        <v>24</v>
      </c>
      <c r="T904" s="1077">
        <v>13</v>
      </c>
      <c r="U904" s="1077">
        <v>4</v>
      </c>
      <c r="V904" s="1077" t="s">
        <v>648</v>
      </c>
      <c r="W904" s="1077">
        <v>30</v>
      </c>
      <c r="X904" s="1077">
        <v>10</v>
      </c>
      <c r="Y904" s="1077">
        <v>2.5</v>
      </c>
      <c r="Z904" s="1077">
        <v>2</v>
      </c>
      <c r="AA904" s="1077" t="s">
        <v>1485</v>
      </c>
      <c r="AH904" s="1077" t="s">
        <v>2036</v>
      </c>
      <c r="AM904" s="1078" t="s">
        <v>10845</v>
      </c>
      <c r="AN904" s="1078" t="s">
        <v>10846</v>
      </c>
      <c r="AO904" s="1078">
        <f t="shared" si="110"/>
        <v>570</v>
      </c>
      <c r="AP904" s="1078">
        <f t="shared" si="111"/>
        <v>1.66</v>
      </c>
      <c r="AQ904" s="1078" t="str">
        <f t="shared" si="112"/>
        <v>1-4-1S83°</v>
      </c>
      <c r="AR904" s="1078" t="str">
        <f t="shared" si="113"/>
        <v>29.9</v>
      </c>
      <c r="AS904" s="1078" t="str">
        <f t="shared" si="114"/>
        <v>225/225/OFF</v>
      </c>
      <c r="AT904" s="1078" t="str">
        <f t="shared" si="115"/>
        <v>1-4-1S83°</v>
      </c>
      <c r="AV904" s="1078" t="str">
        <f t="shared" si="116"/>
        <v>111.4.20</v>
      </c>
      <c r="AW904" s="1344">
        <f t="shared" si="117"/>
        <v>44671</v>
      </c>
    </row>
    <row r="905" spans="1:49">
      <c r="A905" s="1077" t="s">
        <v>2037</v>
      </c>
      <c r="B905" s="1077" t="s">
        <v>453</v>
      </c>
      <c r="C905" s="1077" t="s">
        <v>2038</v>
      </c>
      <c r="D905" s="1077">
        <v>1.714</v>
      </c>
      <c r="E905" s="1077" t="s">
        <v>15091</v>
      </c>
      <c r="F905" s="1077" t="s">
        <v>984</v>
      </c>
      <c r="G905" s="1077" t="s">
        <v>1835</v>
      </c>
      <c r="H905" s="1077" t="s">
        <v>2039</v>
      </c>
      <c r="I905" s="1077" t="s">
        <v>1167</v>
      </c>
      <c r="J905" s="1077">
        <v>0.3</v>
      </c>
      <c r="K905" s="1077" t="s">
        <v>1832</v>
      </c>
      <c r="L905" s="1077" t="s">
        <v>1821</v>
      </c>
      <c r="M905" s="1077">
        <v>74.599999999999994</v>
      </c>
      <c r="N905" s="1077" t="s">
        <v>945</v>
      </c>
      <c r="O905" s="1077">
        <v>1.865</v>
      </c>
      <c r="P905" s="1077">
        <v>1.492</v>
      </c>
      <c r="Q905" s="1077">
        <v>4</v>
      </c>
      <c r="R905" s="1077">
        <v>20.3</v>
      </c>
      <c r="T905" s="1077">
        <v>21.1</v>
      </c>
      <c r="U905" s="1077">
        <v>3.9</v>
      </c>
      <c r="V905" s="1077" t="s">
        <v>648</v>
      </c>
      <c r="W905" s="1077">
        <v>30</v>
      </c>
      <c r="X905" s="1077">
        <v>10</v>
      </c>
      <c r="Y905" s="1077">
        <v>1.8</v>
      </c>
      <c r="Z905" s="1077">
        <v>4.5</v>
      </c>
      <c r="AA905" s="1077" t="s">
        <v>2040</v>
      </c>
      <c r="AH905" s="1077" t="s">
        <v>1267</v>
      </c>
      <c r="AI905" s="1077">
        <v>93.07</v>
      </c>
      <c r="AJ905" s="1077">
        <v>-0.17</v>
      </c>
      <c r="AK905" s="1077">
        <v>1.1100000000000001</v>
      </c>
      <c r="AM905" s="1078" t="s">
        <v>10847</v>
      </c>
      <c r="AN905" s="1078" t="s">
        <v>10848</v>
      </c>
      <c r="AO905" s="1078" t="str">
        <f t="shared" si="110"/>
        <v>550↓500-9/10</v>
      </c>
      <c r="AP905" s="1078">
        <f t="shared" si="111"/>
        <v>1.714</v>
      </c>
      <c r="AQ905" s="1078" t="str">
        <f t="shared" si="112"/>
        <v>2-5-1S83°</v>
      </c>
      <c r="AR905" s="1078" t="str">
        <f t="shared" si="113"/>
        <v>30</v>
      </c>
      <c r="AS905" s="1078" t="str">
        <f t="shared" si="114"/>
        <v>162/OFF</v>
      </c>
      <c r="AT905" s="1078" t="str">
        <f t="shared" si="115"/>
        <v>2-5-1S83°</v>
      </c>
      <c r="AV905" s="1078" t="str">
        <f t="shared" si="116"/>
        <v>113.8.7</v>
      </c>
      <c r="AW905" s="1344">
        <f t="shared" si="117"/>
        <v>45511</v>
      </c>
    </row>
    <row r="906" spans="1:49">
      <c r="A906" s="1077" t="s">
        <v>2041</v>
      </c>
      <c r="B906" s="1077" t="s">
        <v>2042</v>
      </c>
      <c r="C906" s="1077">
        <v>500</v>
      </c>
      <c r="D906" s="1077">
        <v>1.76</v>
      </c>
      <c r="E906" s="1077" t="s">
        <v>15089</v>
      </c>
      <c r="F906" s="1077" t="s">
        <v>1773</v>
      </c>
      <c r="G906" s="1077" t="s">
        <v>1016</v>
      </c>
      <c r="H906" s="1077" t="s">
        <v>1145</v>
      </c>
      <c r="I906" s="1077" t="s">
        <v>126</v>
      </c>
      <c r="J906" s="1077">
        <v>0.5</v>
      </c>
      <c r="K906" s="1077" t="s">
        <v>2043</v>
      </c>
      <c r="L906" s="1077" t="s">
        <v>2044</v>
      </c>
      <c r="M906" s="1077">
        <v>74.8</v>
      </c>
      <c r="N906" s="1077" t="s">
        <v>945</v>
      </c>
      <c r="O906" s="1077">
        <v>1.87</v>
      </c>
      <c r="P906" s="1077">
        <v>1.496</v>
      </c>
      <c r="Q906" s="1077">
        <v>3.5</v>
      </c>
      <c r="R906" s="1077">
        <v>23</v>
      </c>
      <c r="T906" s="1077">
        <v>18.600000000000001</v>
      </c>
      <c r="U906" s="1077">
        <v>3.5</v>
      </c>
      <c r="V906" s="1077" t="s">
        <v>648</v>
      </c>
      <c r="W906" s="1077">
        <v>110</v>
      </c>
      <c r="X906" s="1077">
        <v>85</v>
      </c>
      <c r="Y906" s="1077">
        <v>1.5</v>
      </c>
      <c r="Z906" s="1077">
        <v>4.5</v>
      </c>
      <c r="AA906" s="1077" t="s">
        <v>1994</v>
      </c>
      <c r="AH906" s="1077" t="s">
        <v>1360</v>
      </c>
      <c r="AI906" s="1077">
        <v>85.34</v>
      </c>
      <c r="AJ906" s="1077">
        <v>-0.67</v>
      </c>
      <c r="AK906" s="1077">
        <v>1.21</v>
      </c>
      <c r="AM906" s="1078" t="s">
        <v>10849</v>
      </c>
      <c r="AN906" s="1078" t="s">
        <v>10850</v>
      </c>
      <c r="AO906" s="1078">
        <f t="shared" si="110"/>
        <v>500</v>
      </c>
      <c r="AP906" s="1078">
        <f t="shared" si="111"/>
        <v>1.76</v>
      </c>
      <c r="AQ906" s="1078" t="str">
        <f t="shared" si="112"/>
        <v>1-4-1S83°</v>
      </c>
      <c r="AR906" s="1078" t="str">
        <f t="shared" si="113"/>
        <v>30.2</v>
      </c>
      <c r="AS906" s="1078" t="str">
        <f t="shared" si="114"/>
        <v>235/235/OFF</v>
      </c>
      <c r="AT906" s="1078" t="str">
        <f t="shared" si="115"/>
        <v>1-4-1S83°</v>
      </c>
      <c r="AV906" s="1078" t="str">
        <f t="shared" si="116"/>
        <v>113.8.2</v>
      </c>
      <c r="AW906" s="1344">
        <f t="shared" si="117"/>
        <v>45506</v>
      </c>
    </row>
    <row r="907" spans="1:49">
      <c r="A907" s="1077" t="s">
        <v>2045</v>
      </c>
      <c r="B907" s="1077" t="s">
        <v>453</v>
      </c>
      <c r="C907" s="1077">
        <v>650</v>
      </c>
      <c r="D907" s="1077">
        <v>1.71</v>
      </c>
      <c r="E907" s="1077" t="s">
        <v>15089</v>
      </c>
      <c r="F907" s="1077" t="s">
        <v>1773</v>
      </c>
      <c r="G907" s="1077" t="s">
        <v>1767</v>
      </c>
      <c r="H907" s="1077" t="s">
        <v>1029</v>
      </c>
      <c r="I907" s="1077" t="s">
        <v>126</v>
      </c>
      <c r="J907" s="1077">
        <v>1</v>
      </c>
      <c r="K907" s="1077" t="s">
        <v>2046</v>
      </c>
      <c r="L907" s="1077" t="s">
        <v>1776</v>
      </c>
      <c r="M907" s="1077">
        <v>74.8</v>
      </c>
      <c r="N907" s="1077" t="s">
        <v>945</v>
      </c>
      <c r="O907" s="1077">
        <v>1.87</v>
      </c>
      <c r="P907" s="1077">
        <v>1.496</v>
      </c>
      <c r="Q907" s="1077">
        <v>4</v>
      </c>
      <c r="R907" s="1077">
        <v>23</v>
      </c>
      <c r="T907" s="1077">
        <v>18.600000000000001</v>
      </c>
      <c r="U907" s="1077">
        <v>3.5</v>
      </c>
      <c r="V907" s="1077" t="s">
        <v>648</v>
      </c>
      <c r="W907" s="1077">
        <v>105</v>
      </c>
      <c r="X907" s="1077">
        <v>80</v>
      </c>
      <c r="Y907" s="1077">
        <v>2</v>
      </c>
      <c r="Z907" s="1077">
        <v>4.5</v>
      </c>
      <c r="AA907" s="1077" t="s">
        <v>2040</v>
      </c>
      <c r="AH907" s="1077" t="s">
        <v>1186</v>
      </c>
      <c r="AI907" s="1077">
        <v>94.56</v>
      </c>
      <c r="AJ907" s="1077">
        <v>-0.62</v>
      </c>
      <c r="AK907" s="1077">
        <v>3.29</v>
      </c>
      <c r="AM907" s="1078" t="s">
        <v>10851</v>
      </c>
      <c r="AN907" s="1078" t="s">
        <v>10852</v>
      </c>
      <c r="AO907" s="1078">
        <f t="shared" ref="AO907:AO970" si="118">C907</f>
        <v>650</v>
      </c>
      <c r="AP907" s="1078">
        <f t="shared" ref="AP907:AP970" si="119">D907</f>
        <v>1.71</v>
      </c>
      <c r="AQ907" s="1078" t="str">
        <f t="shared" ref="AQ907:AQ970" si="120">E907</f>
        <v>1-4-1S83°</v>
      </c>
      <c r="AR907" s="1078" t="str">
        <f t="shared" ref="AR907:AR970" si="121">F907</f>
        <v>30.2</v>
      </c>
      <c r="AS907" s="1078" t="str">
        <f t="shared" ref="AS907:AS970" si="122">H907</f>
        <v>250/250/OFF</v>
      </c>
      <c r="AT907" s="1078" t="str">
        <f t="shared" ref="AT907:AT970" si="123">E907</f>
        <v>1-4-1S83°</v>
      </c>
      <c r="AV907" s="1078" t="str">
        <f t="shared" si="116"/>
        <v>113.8.7</v>
      </c>
      <c r="AW907" s="1344">
        <f t="shared" si="117"/>
        <v>45511</v>
      </c>
    </row>
    <row r="908" spans="1:49">
      <c r="A908" s="1077" t="s">
        <v>2047</v>
      </c>
      <c r="B908" s="1077" t="s">
        <v>453</v>
      </c>
      <c r="C908" s="1077">
        <v>650</v>
      </c>
      <c r="D908" s="1077">
        <v>1.71</v>
      </c>
      <c r="E908" s="1077" t="s">
        <v>15089</v>
      </c>
      <c r="F908" s="1077" t="s">
        <v>984</v>
      </c>
      <c r="G908" s="1077" t="s">
        <v>1767</v>
      </c>
      <c r="H908" s="1077" t="s">
        <v>1831</v>
      </c>
      <c r="I908" s="1077" t="s">
        <v>126</v>
      </c>
      <c r="J908" s="1077">
        <v>1.1000000000000001</v>
      </c>
      <c r="K908" s="1077" t="s">
        <v>2048</v>
      </c>
      <c r="L908" s="1077" t="s">
        <v>1821</v>
      </c>
      <c r="M908" s="1077">
        <v>77</v>
      </c>
      <c r="N908" s="1077" t="s">
        <v>945</v>
      </c>
      <c r="O908" s="1077">
        <v>1.925</v>
      </c>
      <c r="P908" s="1077">
        <v>1.54</v>
      </c>
      <c r="Q908" s="1077">
        <v>4.2</v>
      </c>
      <c r="R908" s="1077">
        <v>24</v>
      </c>
      <c r="T908" s="1077">
        <v>9</v>
      </c>
      <c r="U908" s="1077">
        <v>2.2000000000000002</v>
      </c>
      <c r="V908" s="1077" t="s">
        <v>648</v>
      </c>
      <c r="W908" s="1077">
        <v>110</v>
      </c>
      <c r="X908" s="1077">
        <v>85</v>
      </c>
      <c r="Y908" s="1077">
        <v>2.1</v>
      </c>
      <c r="Z908" s="1077">
        <v>2.5</v>
      </c>
      <c r="AA908" s="1077" t="s">
        <v>2049</v>
      </c>
      <c r="AB908" s="1077" t="s">
        <v>981</v>
      </c>
      <c r="AH908" s="1077" t="s">
        <v>762</v>
      </c>
      <c r="AI908" s="1077">
        <v>91.63</v>
      </c>
      <c r="AJ908" s="1077">
        <v>-0.3</v>
      </c>
      <c r="AK908" s="1077">
        <v>0.92</v>
      </c>
      <c r="AM908" s="1078" t="s">
        <v>10853</v>
      </c>
      <c r="AN908" s="1078" t="s">
        <v>10854</v>
      </c>
      <c r="AO908" s="1078">
        <f t="shared" si="118"/>
        <v>650</v>
      </c>
      <c r="AP908" s="1078">
        <f t="shared" si="119"/>
        <v>1.71</v>
      </c>
      <c r="AQ908" s="1078" t="str">
        <f t="shared" si="120"/>
        <v>1-4-1S83°</v>
      </c>
      <c r="AR908" s="1078" t="str">
        <f t="shared" si="121"/>
        <v>30</v>
      </c>
      <c r="AS908" s="1078" t="str">
        <f t="shared" si="122"/>
        <v>260/260/165</v>
      </c>
      <c r="AT908" s="1078" t="str">
        <f t="shared" si="123"/>
        <v>1-4-1S83°</v>
      </c>
      <c r="AV908" s="1078" t="str">
        <f t="shared" si="116"/>
        <v>113.8.12</v>
      </c>
      <c r="AW908" s="1344">
        <f t="shared" si="117"/>
        <v>45516</v>
      </c>
    </row>
    <row r="909" spans="1:49">
      <c r="A909" s="1077" t="s">
        <v>2050</v>
      </c>
      <c r="B909" s="1077" t="s">
        <v>453</v>
      </c>
      <c r="C909" s="1077">
        <v>650</v>
      </c>
      <c r="D909" s="1077">
        <v>1.71</v>
      </c>
      <c r="E909" s="1077" t="s">
        <v>15089</v>
      </c>
      <c r="F909" s="1077" t="s">
        <v>984</v>
      </c>
      <c r="G909" s="1077" t="s">
        <v>1767</v>
      </c>
      <c r="H909" s="1077" t="s">
        <v>1831</v>
      </c>
      <c r="I909" s="1077" t="s">
        <v>126</v>
      </c>
      <c r="J909" s="1077">
        <v>1.1000000000000001</v>
      </c>
      <c r="K909" s="1077" t="s">
        <v>2048</v>
      </c>
      <c r="L909" s="1077" t="s">
        <v>1821</v>
      </c>
      <c r="M909" s="1077">
        <v>77</v>
      </c>
      <c r="N909" s="1077" t="s">
        <v>945</v>
      </c>
      <c r="O909" s="1077">
        <v>1.925</v>
      </c>
      <c r="P909" s="1077">
        <v>1.54</v>
      </c>
      <c r="Q909" s="1077">
        <v>4.2</v>
      </c>
      <c r="R909" s="1077">
        <v>24</v>
      </c>
      <c r="T909" s="1077">
        <v>9</v>
      </c>
      <c r="U909" s="1077">
        <v>2.2000000000000002</v>
      </c>
      <c r="V909" s="1077" t="s">
        <v>648</v>
      </c>
      <c r="W909" s="1077">
        <v>110</v>
      </c>
      <c r="X909" s="1077">
        <v>85</v>
      </c>
      <c r="Y909" s="1077">
        <v>2.1</v>
      </c>
      <c r="Z909" s="1077">
        <v>2.5</v>
      </c>
      <c r="AA909" s="1077" t="s">
        <v>2051</v>
      </c>
      <c r="AB909" s="1077" t="s">
        <v>981</v>
      </c>
      <c r="AH909" s="1077" t="s">
        <v>884</v>
      </c>
      <c r="AI909" s="1077">
        <v>91.14</v>
      </c>
      <c r="AJ909" s="1077">
        <v>0.61</v>
      </c>
      <c r="AK909" s="1077">
        <v>0.4</v>
      </c>
      <c r="AM909" s="1078" t="s">
        <v>10855</v>
      </c>
      <c r="AN909" s="1078" t="s">
        <v>10856</v>
      </c>
      <c r="AO909" s="1078">
        <f t="shared" si="118"/>
        <v>650</v>
      </c>
      <c r="AP909" s="1078">
        <f t="shared" si="119"/>
        <v>1.71</v>
      </c>
      <c r="AQ909" s="1078" t="str">
        <f t="shared" si="120"/>
        <v>1-4-1S83°</v>
      </c>
      <c r="AR909" s="1078" t="str">
        <f t="shared" si="121"/>
        <v>30</v>
      </c>
      <c r="AS909" s="1078" t="str">
        <f t="shared" si="122"/>
        <v>260/260/165</v>
      </c>
      <c r="AT909" s="1078" t="str">
        <f t="shared" si="123"/>
        <v>1-4-1S83°</v>
      </c>
      <c r="AV909" s="1078" t="str">
        <f t="shared" si="116"/>
        <v>113.8.13</v>
      </c>
      <c r="AW909" s="1344">
        <f t="shared" si="117"/>
        <v>45517</v>
      </c>
    </row>
    <row r="910" spans="1:49">
      <c r="A910" s="1077" t="s">
        <v>2052</v>
      </c>
      <c r="B910" s="1077" t="s">
        <v>1815</v>
      </c>
      <c r="C910" s="1077">
        <v>650</v>
      </c>
      <c r="D910" s="1077">
        <v>1.74</v>
      </c>
      <c r="E910" s="1077" t="s">
        <v>15098</v>
      </c>
      <c r="F910" s="1077" t="s">
        <v>954</v>
      </c>
      <c r="G910" s="1077" t="s">
        <v>1767</v>
      </c>
      <c r="H910" s="1077" t="s">
        <v>1793</v>
      </c>
      <c r="I910" s="1077" t="s">
        <v>126</v>
      </c>
      <c r="J910" s="1077">
        <v>0.9</v>
      </c>
      <c r="K910" s="1077" t="s">
        <v>2053</v>
      </c>
      <c r="L910" s="1077" t="s">
        <v>1817</v>
      </c>
      <c r="M910" s="1077">
        <v>75.099999999999994</v>
      </c>
      <c r="N910" s="1077" t="s">
        <v>945</v>
      </c>
      <c r="O910" s="1077">
        <v>1.8774999999999999</v>
      </c>
      <c r="P910" s="1077">
        <v>1.502</v>
      </c>
      <c r="Q910" s="1077">
        <v>4</v>
      </c>
      <c r="R910" s="1077">
        <v>19</v>
      </c>
      <c r="T910" s="1077">
        <v>21</v>
      </c>
      <c r="U910" s="1077">
        <v>3.5</v>
      </c>
      <c r="V910" s="1077" t="s">
        <v>648</v>
      </c>
      <c r="W910" s="1077">
        <v>110</v>
      </c>
      <c r="X910" s="1077">
        <v>65</v>
      </c>
      <c r="Y910" s="1077">
        <v>1.6</v>
      </c>
      <c r="Z910" s="1077">
        <v>4</v>
      </c>
      <c r="AA910" s="1077" t="s">
        <v>2054</v>
      </c>
      <c r="AB910" s="1077" t="s">
        <v>981</v>
      </c>
      <c r="AH910" s="1077" t="s">
        <v>2055</v>
      </c>
      <c r="AI910" s="1077">
        <v>94.52</v>
      </c>
      <c r="AJ910" s="1077">
        <v>-0.08</v>
      </c>
      <c r="AK910" s="1077">
        <v>3.1</v>
      </c>
      <c r="AM910" s="1078" t="s">
        <v>10857</v>
      </c>
      <c r="AN910" s="1078" t="s">
        <v>10858</v>
      </c>
      <c r="AO910" s="1078">
        <f t="shared" si="118"/>
        <v>650</v>
      </c>
      <c r="AP910" s="1078">
        <f t="shared" si="119"/>
        <v>1.74</v>
      </c>
      <c r="AQ910" s="1078" t="str">
        <f t="shared" si="120"/>
        <v>1-4-1S91°</v>
      </c>
      <c r="AR910" s="1078" t="str">
        <f t="shared" si="121"/>
        <v>31</v>
      </c>
      <c r="AS910" s="1078" t="str">
        <f t="shared" si="122"/>
        <v>270/270/OFF</v>
      </c>
      <c r="AT910" s="1078" t="str">
        <f t="shared" si="123"/>
        <v>1-4-1S91°</v>
      </c>
      <c r="AV910" s="1078" t="str">
        <f t="shared" si="116"/>
        <v>113.8.14</v>
      </c>
      <c r="AW910" s="1344">
        <f t="shared" si="117"/>
        <v>45518</v>
      </c>
    </row>
    <row r="911" spans="1:49">
      <c r="A911" s="1077" t="s">
        <v>2056</v>
      </c>
      <c r="B911" s="1077" t="s">
        <v>1815</v>
      </c>
      <c r="C911" s="1077">
        <v>650</v>
      </c>
      <c r="D911" s="1077">
        <v>1.74</v>
      </c>
      <c r="E911" s="1077" t="s">
        <v>15098</v>
      </c>
      <c r="F911" s="1077" t="s">
        <v>954</v>
      </c>
      <c r="G911" s="1077" t="s">
        <v>1767</v>
      </c>
      <c r="H911" s="1077" t="s">
        <v>1793</v>
      </c>
      <c r="I911" s="1077" t="s">
        <v>126</v>
      </c>
      <c r="J911" s="1077">
        <v>0.9</v>
      </c>
      <c r="K911" s="1077" t="s">
        <v>2053</v>
      </c>
      <c r="L911" s="1077" t="s">
        <v>1817</v>
      </c>
      <c r="M911" s="1077">
        <v>75.099999999999994</v>
      </c>
      <c r="N911" s="1077" t="s">
        <v>945</v>
      </c>
      <c r="O911" s="1077">
        <v>1.8774999999999999</v>
      </c>
      <c r="P911" s="1077">
        <v>1.502</v>
      </c>
      <c r="Q911" s="1077">
        <v>4</v>
      </c>
      <c r="R911" s="1077">
        <v>19</v>
      </c>
      <c r="T911" s="1077">
        <v>21</v>
      </c>
      <c r="U911" s="1077">
        <v>3.5</v>
      </c>
      <c r="V911" s="1077" t="s">
        <v>648</v>
      </c>
      <c r="W911" s="1077">
        <v>110</v>
      </c>
      <c r="X911" s="1077">
        <v>65</v>
      </c>
      <c r="Y911" s="1077">
        <v>1.6</v>
      </c>
      <c r="Z911" s="1077">
        <v>4</v>
      </c>
      <c r="AA911" s="1077" t="s">
        <v>1721</v>
      </c>
      <c r="AB911" s="1077" t="s">
        <v>981</v>
      </c>
      <c r="AH911" s="1077" t="s">
        <v>878</v>
      </c>
      <c r="AI911" s="1077">
        <v>94.79</v>
      </c>
      <c r="AJ911" s="1077">
        <v>-0.13</v>
      </c>
      <c r="AK911" s="1077">
        <v>2.83</v>
      </c>
      <c r="AM911" s="1078" t="s">
        <v>10859</v>
      </c>
      <c r="AN911" s="1078" t="s">
        <v>10860</v>
      </c>
      <c r="AO911" s="1078">
        <f t="shared" si="118"/>
        <v>650</v>
      </c>
      <c r="AP911" s="1078">
        <f t="shared" si="119"/>
        <v>1.74</v>
      </c>
      <c r="AQ911" s="1078" t="str">
        <f t="shared" si="120"/>
        <v>1-4-1S91°</v>
      </c>
      <c r="AR911" s="1078" t="str">
        <f t="shared" si="121"/>
        <v>31</v>
      </c>
      <c r="AS911" s="1078" t="str">
        <f t="shared" si="122"/>
        <v>270/270/OFF</v>
      </c>
      <c r="AT911" s="1078" t="str">
        <f t="shared" si="123"/>
        <v>1-4-1S91°</v>
      </c>
      <c r="AV911" s="1078" t="str">
        <f t="shared" si="116"/>
        <v>113.8.19</v>
      </c>
      <c r="AW911" s="1344">
        <f t="shared" si="117"/>
        <v>45523</v>
      </c>
    </row>
    <row r="912" spans="1:49">
      <c r="A912" s="1077" t="s">
        <v>2057</v>
      </c>
      <c r="B912" s="1077" t="s">
        <v>1815</v>
      </c>
      <c r="C912" s="1077">
        <v>650</v>
      </c>
      <c r="D912" s="1077">
        <v>1.74</v>
      </c>
      <c r="E912" s="1077" t="s">
        <v>15098</v>
      </c>
      <c r="F912" s="1077" t="s">
        <v>954</v>
      </c>
      <c r="G912" s="1077" t="s">
        <v>1767</v>
      </c>
      <c r="H912" s="1077" t="s">
        <v>1793</v>
      </c>
      <c r="I912" s="1077" t="s">
        <v>126</v>
      </c>
      <c r="J912" s="1077">
        <v>0.9</v>
      </c>
      <c r="K912" s="1077" t="s">
        <v>2053</v>
      </c>
      <c r="L912" s="1077" t="s">
        <v>1817</v>
      </c>
      <c r="M912" s="1077">
        <v>75.099999999999994</v>
      </c>
      <c r="N912" s="1077" t="s">
        <v>945</v>
      </c>
      <c r="O912" s="1077">
        <v>1.8774999999999999</v>
      </c>
      <c r="P912" s="1077">
        <v>1.502</v>
      </c>
      <c r="Q912" s="1077">
        <v>4</v>
      </c>
      <c r="R912" s="1077">
        <v>19</v>
      </c>
      <c r="T912" s="1077">
        <v>21</v>
      </c>
      <c r="U912" s="1077">
        <v>3.5</v>
      </c>
      <c r="V912" s="1077" t="s">
        <v>648</v>
      </c>
      <c r="W912" s="1077">
        <v>110</v>
      </c>
      <c r="X912" s="1077">
        <v>65</v>
      </c>
      <c r="Y912" s="1077">
        <v>1.6</v>
      </c>
      <c r="Z912" s="1077">
        <v>4</v>
      </c>
      <c r="AA912" s="1077" t="s">
        <v>1721</v>
      </c>
      <c r="AB912" s="1077" t="s">
        <v>981</v>
      </c>
      <c r="AH912" s="1077" t="s">
        <v>958</v>
      </c>
      <c r="AI912" s="1077">
        <v>94.48</v>
      </c>
      <c r="AJ912" s="1077">
        <v>-0.06</v>
      </c>
      <c r="AK912" s="1077">
        <v>2.63</v>
      </c>
      <c r="AM912" s="1078" t="s">
        <v>10861</v>
      </c>
      <c r="AN912" s="1078" t="s">
        <v>10862</v>
      </c>
      <c r="AO912" s="1078">
        <f t="shared" si="118"/>
        <v>650</v>
      </c>
      <c r="AP912" s="1078">
        <f t="shared" si="119"/>
        <v>1.74</v>
      </c>
      <c r="AQ912" s="1078" t="str">
        <f t="shared" si="120"/>
        <v>1-4-1S91°</v>
      </c>
      <c r="AR912" s="1078" t="str">
        <f t="shared" si="121"/>
        <v>31</v>
      </c>
      <c r="AS912" s="1078" t="str">
        <f t="shared" si="122"/>
        <v>270/270/OFF</v>
      </c>
      <c r="AT912" s="1078" t="str">
        <f t="shared" si="123"/>
        <v>1-4-1S91°</v>
      </c>
      <c r="AV912" s="1078" t="str">
        <f t="shared" si="116"/>
        <v>113.8.19</v>
      </c>
      <c r="AW912" s="1344">
        <f t="shared" si="117"/>
        <v>45523</v>
      </c>
    </row>
    <row r="913" spans="1:49">
      <c r="A913" s="1077" t="s">
        <v>2058</v>
      </c>
      <c r="B913" s="1077" t="s">
        <v>424</v>
      </c>
      <c r="C913" s="1077">
        <v>700</v>
      </c>
      <c r="D913" s="1077">
        <v>1.7949999999999999</v>
      </c>
      <c r="E913" s="1077" t="s">
        <v>15089</v>
      </c>
      <c r="F913" s="1077" t="s">
        <v>1469</v>
      </c>
      <c r="G913" s="1077" t="s">
        <v>1767</v>
      </c>
      <c r="H913" s="1077" t="s">
        <v>2059</v>
      </c>
      <c r="I913" s="1077" t="s">
        <v>126</v>
      </c>
      <c r="J913" s="1077">
        <v>0.5</v>
      </c>
      <c r="K913" s="1077" t="s">
        <v>1967</v>
      </c>
      <c r="L913" s="1077" t="s">
        <v>1968</v>
      </c>
      <c r="M913" s="1077">
        <v>74.5</v>
      </c>
      <c r="N913" s="1077" t="s">
        <v>945</v>
      </c>
      <c r="O913" s="1077">
        <v>1.8625</v>
      </c>
      <c r="P913" s="1077">
        <v>1.49</v>
      </c>
      <c r="Q913" s="1077">
        <v>4</v>
      </c>
      <c r="R913" s="1077">
        <v>22</v>
      </c>
      <c r="T913" s="1077">
        <v>19.5</v>
      </c>
      <c r="U913" s="1077">
        <v>2.2999999999999998</v>
      </c>
      <c r="V913" s="1077" t="s">
        <v>648</v>
      </c>
      <c r="W913" s="1077">
        <v>40</v>
      </c>
      <c r="X913" s="1077">
        <v>10</v>
      </c>
      <c r="Y913" s="1077">
        <v>1.2</v>
      </c>
      <c r="Z913" s="1077">
        <v>4</v>
      </c>
      <c r="AA913" s="1077" t="s">
        <v>2060</v>
      </c>
      <c r="AH913" s="1077" t="s">
        <v>621</v>
      </c>
      <c r="AI913" s="1077">
        <v>90.43</v>
      </c>
      <c r="AJ913" s="1077">
        <v>-0.04</v>
      </c>
      <c r="AK913" s="1077">
        <v>0.93</v>
      </c>
      <c r="AM913" s="1078" t="s">
        <v>10863</v>
      </c>
      <c r="AN913" s="1078" t="s">
        <v>10864</v>
      </c>
      <c r="AO913" s="1078">
        <f t="shared" si="118"/>
        <v>700</v>
      </c>
      <c r="AP913" s="1078">
        <f t="shared" si="119"/>
        <v>1.7949999999999999</v>
      </c>
      <c r="AQ913" s="1078" t="str">
        <f t="shared" si="120"/>
        <v>1-4-1S83°</v>
      </c>
      <c r="AR913" s="1078" t="str">
        <f t="shared" si="121"/>
        <v>30.5</v>
      </c>
      <c r="AS913" s="1078" t="str">
        <f t="shared" si="122"/>
        <v>295/295/160</v>
      </c>
      <c r="AT913" s="1078" t="str">
        <f t="shared" si="123"/>
        <v>1-4-1S83°</v>
      </c>
      <c r="AV913" s="1078" t="str">
        <f t="shared" si="116"/>
        <v>113.8.20</v>
      </c>
      <c r="AW913" s="1344">
        <f t="shared" si="117"/>
        <v>45524</v>
      </c>
    </row>
    <row r="914" spans="1:49">
      <c r="A914" s="1077" t="s">
        <v>2061</v>
      </c>
      <c r="B914" s="1077" t="s">
        <v>472</v>
      </c>
      <c r="C914" s="1077">
        <v>600</v>
      </c>
      <c r="D914" s="1077">
        <v>1.71</v>
      </c>
      <c r="E914" s="1077" t="s">
        <v>15089</v>
      </c>
      <c r="F914" s="1077" t="s">
        <v>984</v>
      </c>
      <c r="G914" s="1077" t="s">
        <v>1767</v>
      </c>
      <c r="H914" s="1077" t="s">
        <v>1040</v>
      </c>
      <c r="I914" s="1077" t="s">
        <v>126</v>
      </c>
      <c r="J914" s="1077">
        <v>0.8</v>
      </c>
      <c r="K914" s="1077" t="s">
        <v>2062</v>
      </c>
      <c r="L914" s="1077" t="s">
        <v>1811</v>
      </c>
      <c r="M914" s="1077">
        <v>74.599999999999994</v>
      </c>
      <c r="N914" s="1077" t="s">
        <v>945</v>
      </c>
      <c r="O914" s="1077">
        <v>1.865</v>
      </c>
      <c r="P914" s="1077">
        <v>1.492</v>
      </c>
      <c r="Q914" s="1077">
        <v>3.5</v>
      </c>
      <c r="R914" s="1077">
        <v>27</v>
      </c>
      <c r="T914" s="1077">
        <v>12.5</v>
      </c>
      <c r="U914" s="1077">
        <v>5.0999999999999996</v>
      </c>
      <c r="V914" s="1077" t="s">
        <v>648</v>
      </c>
      <c r="W914" s="1077">
        <v>95</v>
      </c>
      <c r="X914" s="1077">
        <v>60</v>
      </c>
      <c r="Y914" s="1077">
        <v>1.8</v>
      </c>
      <c r="Z914" s="1077">
        <v>4.5</v>
      </c>
      <c r="AA914" s="1077" t="s">
        <v>2063</v>
      </c>
      <c r="AB914" s="1077" t="s">
        <v>2064</v>
      </c>
      <c r="AH914" s="1077" t="s">
        <v>468</v>
      </c>
      <c r="AI914" s="1077">
        <v>92.45</v>
      </c>
      <c r="AJ914" s="1077">
        <v>-1.57</v>
      </c>
      <c r="AK914" s="1077">
        <v>4.46</v>
      </c>
      <c r="AM914" s="1078" t="s">
        <v>10865</v>
      </c>
      <c r="AN914" s="1078" t="s">
        <v>10866</v>
      </c>
      <c r="AO914" s="1078">
        <f t="shared" si="118"/>
        <v>600</v>
      </c>
      <c r="AP914" s="1078">
        <f t="shared" si="119"/>
        <v>1.71</v>
      </c>
      <c r="AQ914" s="1078" t="str">
        <f t="shared" si="120"/>
        <v>1-4-1S83°</v>
      </c>
      <c r="AR914" s="1078" t="str">
        <f t="shared" si="121"/>
        <v>30</v>
      </c>
      <c r="AS914" s="1078" t="str">
        <f t="shared" si="122"/>
        <v>240/240/OFF</v>
      </c>
      <c r="AT914" s="1078" t="str">
        <f t="shared" si="123"/>
        <v>1-4-1S83°</v>
      </c>
      <c r="AV914" s="1078" t="str">
        <f t="shared" si="116"/>
        <v>113.9.2</v>
      </c>
      <c r="AW914" s="1344">
        <f t="shared" si="117"/>
        <v>45537</v>
      </c>
    </row>
    <row r="915" spans="1:49">
      <c r="A915" s="1077" t="s">
        <v>2065</v>
      </c>
      <c r="B915" s="1077" t="s">
        <v>424</v>
      </c>
      <c r="C915" s="1077">
        <v>700</v>
      </c>
      <c r="D915" s="1077">
        <v>1.7949999999999999</v>
      </c>
      <c r="E915" s="1077" t="s">
        <v>15089</v>
      </c>
      <c r="F915" s="1077" t="s">
        <v>1897</v>
      </c>
      <c r="G915" s="1077" t="s">
        <v>1001</v>
      </c>
      <c r="H915" s="1077" t="s">
        <v>1793</v>
      </c>
      <c r="I915" s="1077" t="s">
        <v>126</v>
      </c>
      <c r="J915" s="1077">
        <v>0.3</v>
      </c>
      <c r="K915" s="1077" t="s">
        <v>1967</v>
      </c>
      <c r="L915" s="1077" t="s">
        <v>1968</v>
      </c>
      <c r="M915" s="1077">
        <v>73</v>
      </c>
      <c r="N915" s="1077" t="s">
        <v>945</v>
      </c>
      <c r="O915" s="1077">
        <v>1.8250000000000002</v>
      </c>
      <c r="P915" s="1077">
        <v>1.46</v>
      </c>
      <c r="Q915" s="1077">
        <v>4</v>
      </c>
      <c r="R915" s="1077">
        <v>21.6</v>
      </c>
      <c r="T915" s="1077">
        <v>34</v>
      </c>
      <c r="U915" s="1077">
        <v>3.7</v>
      </c>
      <c r="V915" s="1077" t="s">
        <v>648</v>
      </c>
      <c r="W915" s="1077">
        <v>30</v>
      </c>
      <c r="X915" s="1077">
        <v>10</v>
      </c>
      <c r="Y915" s="1077">
        <v>1.2</v>
      </c>
      <c r="Z915" s="1077">
        <v>6</v>
      </c>
      <c r="AA915" s="1077" t="s">
        <v>2063</v>
      </c>
      <c r="AH915" s="1077" t="s">
        <v>619</v>
      </c>
      <c r="AI915" s="1077">
        <v>91.82</v>
      </c>
      <c r="AJ915" s="1077">
        <v>-0.18</v>
      </c>
      <c r="AK915" s="1077">
        <v>0.73</v>
      </c>
      <c r="AM915" s="1078" t="s">
        <v>10867</v>
      </c>
      <c r="AN915" s="1078" t="s">
        <v>10868</v>
      </c>
      <c r="AO915" s="1078">
        <f t="shared" si="118"/>
        <v>700</v>
      </c>
      <c r="AP915" s="1078">
        <f t="shared" si="119"/>
        <v>1.7949999999999999</v>
      </c>
      <c r="AQ915" s="1078" t="str">
        <f t="shared" si="120"/>
        <v>1-4-1S83°</v>
      </c>
      <c r="AR915" s="1078" t="str">
        <f t="shared" si="121"/>
        <v>30.8</v>
      </c>
      <c r="AS915" s="1078" t="str">
        <f t="shared" si="122"/>
        <v>270/270/OFF</v>
      </c>
      <c r="AT915" s="1078" t="str">
        <f t="shared" si="123"/>
        <v>1-4-1S83°</v>
      </c>
      <c r="AV915" s="1078" t="str">
        <f t="shared" si="116"/>
        <v>113.9.2</v>
      </c>
      <c r="AW915" s="1344">
        <f t="shared" si="117"/>
        <v>45537</v>
      </c>
    </row>
    <row r="916" spans="1:49">
      <c r="A916" s="1077" t="s">
        <v>2066</v>
      </c>
      <c r="B916" s="1077" t="s">
        <v>620</v>
      </c>
      <c r="C916" s="1077">
        <v>550</v>
      </c>
      <c r="D916" s="1077">
        <v>1.72</v>
      </c>
      <c r="E916" s="1077" t="s">
        <v>15089</v>
      </c>
      <c r="F916" s="1077" t="s">
        <v>975</v>
      </c>
      <c r="G916" s="1077" t="s">
        <v>940</v>
      </c>
      <c r="H916" s="1077" t="s">
        <v>2067</v>
      </c>
      <c r="I916" s="1077" t="s">
        <v>626</v>
      </c>
      <c r="J916" s="1077">
        <v>1.6</v>
      </c>
      <c r="K916" s="1077" t="s">
        <v>2068</v>
      </c>
      <c r="L916" s="1077" t="s">
        <v>2032</v>
      </c>
      <c r="M916" s="1077">
        <v>77</v>
      </c>
      <c r="N916" s="1077" t="s">
        <v>945</v>
      </c>
      <c r="O916" s="1077">
        <v>1.925</v>
      </c>
      <c r="P916" s="1077">
        <v>1.54</v>
      </c>
      <c r="Q916" s="1077">
        <v>3.5</v>
      </c>
      <c r="R916" s="1077">
        <v>22</v>
      </c>
      <c r="T916" s="1077">
        <v>9</v>
      </c>
      <c r="U916" s="1077">
        <v>3</v>
      </c>
      <c r="V916" s="1077" t="s">
        <v>648</v>
      </c>
      <c r="W916" s="1077">
        <v>140</v>
      </c>
      <c r="X916" s="1077">
        <v>80</v>
      </c>
      <c r="Y916" s="1077">
        <v>2.1</v>
      </c>
      <c r="Z916" s="1077">
        <v>2.5</v>
      </c>
      <c r="AA916" s="1077" t="s">
        <v>2069</v>
      </c>
      <c r="AH916" s="1077" t="s">
        <v>618</v>
      </c>
      <c r="AI916" s="1077">
        <v>91.31</v>
      </c>
      <c r="AJ916" s="1077">
        <v>-0.52</v>
      </c>
      <c r="AK916" s="1077">
        <v>3.14</v>
      </c>
      <c r="AM916" s="1078" t="s">
        <v>10869</v>
      </c>
      <c r="AN916" s="1078" t="s">
        <v>10870</v>
      </c>
      <c r="AO916" s="1078">
        <f t="shared" si="118"/>
        <v>550</v>
      </c>
      <c r="AP916" s="1078">
        <f t="shared" si="119"/>
        <v>1.72</v>
      </c>
      <c r="AQ916" s="1078" t="str">
        <f t="shared" si="120"/>
        <v>1-4-1S83°</v>
      </c>
      <c r="AR916" s="1078" t="str">
        <f t="shared" si="121"/>
        <v>31.5</v>
      </c>
      <c r="AS916" s="1078" t="str">
        <f t="shared" si="122"/>
        <v>250/250/150</v>
      </c>
      <c r="AT916" s="1078" t="str">
        <f t="shared" si="123"/>
        <v>1-4-1S83°</v>
      </c>
      <c r="AV916" s="1078" t="str">
        <f t="shared" si="116"/>
        <v>113.9.3</v>
      </c>
      <c r="AW916" s="1344">
        <f t="shared" si="117"/>
        <v>45538</v>
      </c>
    </row>
    <row r="917" spans="1:49">
      <c r="A917" s="1077" t="s">
        <v>2070</v>
      </c>
      <c r="B917" s="1077" t="s">
        <v>424</v>
      </c>
      <c r="C917" s="1077">
        <v>650</v>
      </c>
      <c r="D917" s="1077">
        <v>1.79</v>
      </c>
      <c r="E917" s="1077" t="s">
        <v>15091</v>
      </c>
      <c r="F917" s="1077" t="s">
        <v>1689</v>
      </c>
      <c r="G917" s="1077" t="s">
        <v>1767</v>
      </c>
      <c r="H917" s="1077" t="s">
        <v>1936</v>
      </c>
      <c r="I917" s="1077" t="s">
        <v>1455</v>
      </c>
      <c r="J917" s="1077">
        <v>1.7</v>
      </c>
      <c r="K917" s="1077" t="s">
        <v>2071</v>
      </c>
      <c r="L917" s="1077" t="s">
        <v>1938</v>
      </c>
      <c r="M917" s="1077">
        <v>73</v>
      </c>
      <c r="N917" s="1077" t="s">
        <v>945</v>
      </c>
      <c r="O917" s="1077">
        <v>1.8250000000000002</v>
      </c>
      <c r="P917" s="1077">
        <v>1.46</v>
      </c>
      <c r="Q917" s="1077">
        <v>4</v>
      </c>
      <c r="R917" s="1077">
        <v>21.6</v>
      </c>
      <c r="T917" s="1077">
        <v>32</v>
      </c>
      <c r="U917" s="1077">
        <v>3.5</v>
      </c>
      <c r="V917" s="1077" t="s">
        <v>648</v>
      </c>
      <c r="W917" s="1077">
        <v>110</v>
      </c>
      <c r="X917" s="1077">
        <v>60</v>
      </c>
      <c r="Y917" s="1077">
        <v>1.5</v>
      </c>
      <c r="Z917" s="1077">
        <v>5.5</v>
      </c>
      <c r="AA917" s="1077" t="s">
        <v>2072</v>
      </c>
      <c r="AH917" s="1077" t="s">
        <v>783</v>
      </c>
      <c r="AI917" s="1077">
        <v>93.07</v>
      </c>
      <c r="AJ917" s="1077">
        <v>-0.21</v>
      </c>
      <c r="AK917" s="1077">
        <v>0.56000000000000005</v>
      </c>
      <c r="AM917" s="1078" t="s">
        <v>10871</v>
      </c>
      <c r="AN917" s="1078" t="s">
        <v>10872</v>
      </c>
      <c r="AO917" s="1078">
        <f t="shared" si="118"/>
        <v>650</v>
      </c>
      <c r="AP917" s="1078">
        <f t="shared" si="119"/>
        <v>1.79</v>
      </c>
      <c r="AQ917" s="1078" t="str">
        <f t="shared" si="120"/>
        <v>2-5-1S83°</v>
      </c>
      <c r="AR917" s="1078" t="str">
        <f t="shared" si="121"/>
        <v>29.5</v>
      </c>
      <c r="AS917" s="1078" t="str">
        <f t="shared" si="122"/>
        <v>175/OFF</v>
      </c>
      <c r="AT917" s="1078" t="str">
        <f t="shared" si="123"/>
        <v>2-5-1S83°</v>
      </c>
      <c r="AV917" s="1078" t="str">
        <f t="shared" si="116"/>
        <v>113.9.4</v>
      </c>
      <c r="AW917" s="1344">
        <f t="shared" si="117"/>
        <v>45539</v>
      </c>
    </row>
    <row r="918" spans="1:49">
      <c r="A918" s="1077" t="s">
        <v>2073</v>
      </c>
      <c r="B918" s="1077" t="s">
        <v>1815</v>
      </c>
      <c r="C918" s="1077">
        <v>650</v>
      </c>
      <c r="D918" s="1077">
        <v>1.73</v>
      </c>
      <c r="E918" s="1077" t="s">
        <v>15098</v>
      </c>
      <c r="F918" s="1077" t="s">
        <v>954</v>
      </c>
      <c r="G918" s="1077" t="s">
        <v>1767</v>
      </c>
      <c r="H918" s="1077" t="s">
        <v>1793</v>
      </c>
      <c r="I918" s="1077" t="s">
        <v>126</v>
      </c>
      <c r="J918" s="1077">
        <v>0.8</v>
      </c>
      <c r="K918" s="1077" t="s">
        <v>2074</v>
      </c>
      <c r="L918" s="1077" t="s">
        <v>1817</v>
      </c>
      <c r="M918" s="1077">
        <v>75.099999999999994</v>
      </c>
      <c r="N918" s="1077" t="s">
        <v>945</v>
      </c>
      <c r="O918" s="1077">
        <v>1.8774999999999999</v>
      </c>
      <c r="P918" s="1077">
        <v>1.502</v>
      </c>
      <c r="Q918" s="1077">
        <v>4</v>
      </c>
      <c r="R918" s="1077">
        <v>19</v>
      </c>
      <c r="T918" s="1077">
        <v>21</v>
      </c>
      <c r="U918" s="1077">
        <v>3.5</v>
      </c>
      <c r="V918" s="1077" t="s">
        <v>648</v>
      </c>
      <c r="W918" s="1077">
        <v>110</v>
      </c>
      <c r="X918" s="1077">
        <v>65</v>
      </c>
      <c r="Y918" s="1077">
        <v>1.6</v>
      </c>
      <c r="Z918" s="1077">
        <v>4</v>
      </c>
      <c r="AA918" s="1077" t="s">
        <v>2075</v>
      </c>
      <c r="AB918" s="1077" t="s">
        <v>981</v>
      </c>
      <c r="AH918" s="1077" t="s">
        <v>680</v>
      </c>
      <c r="AI918" s="1077">
        <v>94.2</v>
      </c>
      <c r="AJ918" s="1077">
        <v>-0.62</v>
      </c>
      <c r="AK918" s="1077">
        <v>3.54</v>
      </c>
      <c r="AM918" s="1078" t="s">
        <v>10873</v>
      </c>
      <c r="AN918" s="1078" t="s">
        <v>10874</v>
      </c>
      <c r="AO918" s="1078">
        <f t="shared" si="118"/>
        <v>650</v>
      </c>
      <c r="AP918" s="1078">
        <f t="shared" si="119"/>
        <v>1.73</v>
      </c>
      <c r="AQ918" s="1078" t="str">
        <f t="shared" si="120"/>
        <v>1-4-1S91°</v>
      </c>
      <c r="AR918" s="1078" t="str">
        <f t="shared" si="121"/>
        <v>31</v>
      </c>
      <c r="AS918" s="1078" t="str">
        <f t="shared" si="122"/>
        <v>270/270/OFF</v>
      </c>
      <c r="AT918" s="1078" t="str">
        <f t="shared" si="123"/>
        <v>1-4-1S91°</v>
      </c>
      <c r="AV918" s="1078" t="str">
        <f t="shared" si="116"/>
        <v>113.9.6</v>
      </c>
      <c r="AW918" s="1344">
        <f t="shared" si="117"/>
        <v>45541</v>
      </c>
    </row>
    <row r="919" spans="1:49">
      <c r="A919" s="1077" t="s">
        <v>2076</v>
      </c>
      <c r="B919" s="1077" t="s">
        <v>1815</v>
      </c>
      <c r="C919" s="1077">
        <v>650</v>
      </c>
      <c r="D919" s="1077">
        <v>1.7250000000000001</v>
      </c>
      <c r="E919" s="1077" t="s">
        <v>15098</v>
      </c>
      <c r="F919" s="1077" t="s">
        <v>954</v>
      </c>
      <c r="G919" s="1077" t="s">
        <v>1767</v>
      </c>
      <c r="H919" s="1077" t="s">
        <v>1793</v>
      </c>
      <c r="I919" s="1077" t="s">
        <v>126</v>
      </c>
      <c r="J919" s="1077">
        <v>0.9</v>
      </c>
      <c r="K919" s="1077" t="s">
        <v>2074</v>
      </c>
      <c r="L919" s="1077" t="s">
        <v>1817</v>
      </c>
      <c r="M919" s="1077">
        <v>75.099999999999994</v>
      </c>
      <c r="N919" s="1077" t="s">
        <v>945</v>
      </c>
      <c r="O919" s="1077">
        <v>1.8774999999999999</v>
      </c>
      <c r="P919" s="1077">
        <v>1.502</v>
      </c>
      <c r="Q919" s="1077">
        <v>4</v>
      </c>
      <c r="R919" s="1077">
        <v>19</v>
      </c>
      <c r="T919" s="1077">
        <v>21</v>
      </c>
      <c r="U919" s="1077">
        <v>3.5</v>
      </c>
      <c r="V919" s="1077" t="s">
        <v>648</v>
      </c>
      <c r="W919" s="1077">
        <v>110</v>
      </c>
      <c r="X919" s="1077">
        <v>65</v>
      </c>
      <c r="Y919" s="1077">
        <v>1.6</v>
      </c>
      <c r="Z919" s="1077">
        <v>4</v>
      </c>
      <c r="AA919" s="1077" t="s">
        <v>1723</v>
      </c>
      <c r="AB919" s="1077" t="s">
        <v>981</v>
      </c>
      <c r="AH919" s="1077" t="s">
        <v>456</v>
      </c>
      <c r="AI919" s="1077">
        <v>94.93</v>
      </c>
      <c r="AJ919" s="1077">
        <v>-0.01</v>
      </c>
      <c r="AK919" s="1077">
        <v>2.4700000000000002</v>
      </c>
      <c r="AM919" s="1078" t="s">
        <v>10875</v>
      </c>
      <c r="AN919" s="1078" t="s">
        <v>10876</v>
      </c>
      <c r="AO919" s="1078">
        <f t="shared" si="118"/>
        <v>650</v>
      </c>
      <c r="AP919" s="1078">
        <f t="shared" si="119"/>
        <v>1.7250000000000001</v>
      </c>
      <c r="AQ919" s="1078" t="str">
        <f t="shared" si="120"/>
        <v>1-4-1S91°</v>
      </c>
      <c r="AR919" s="1078" t="str">
        <f t="shared" si="121"/>
        <v>31</v>
      </c>
      <c r="AS919" s="1078" t="str">
        <f t="shared" si="122"/>
        <v>270/270/OFF</v>
      </c>
      <c r="AT919" s="1078" t="str">
        <f t="shared" si="123"/>
        <v>1-4-1S91°</v>
      </c>
      <c r="AV919" s="1078" t="str">
        <f t="shared" si="116"/>
        <v>113.9.9</v>
      </c>
      <c r="AW919" s="1344">
        <f t="shared" si="117"/>
        <v>45544</v>
      </c>
    </row>
    <row r="920" spans="1:49">
      <c r="A920" s="1077" t="s">
        <v>2077</v>
      </c>
      <c r="B920" s="1077" t="s">
        <v>1815</v>
      </c>
      <c r="C920" s="1077">
        <v>650</v>
      </c>
      <c r="D920" s="1077">
        <v>1.73</v>
      </c>
      <c r="E920" s="1077" t="s">
        <v>15098</v>
      </c>
      <c r="F920" s="1077" t="s">
        <v>954</v>
      </c>
      <c r="G920" s="1077" t="s">
        <v>1767</v>
      </c>
      <c r="H920" s="1077" t="s">
        <v>1793</v>
      </c>
      <c r="I920" s="1077" t="s">
        <v>126</v>
      </c>
      <c r="J920" s="1077">
        <v>0.9</v>
      </c>
      <c r="K920" s="1077" t="s">
        <v>2074</v>
      </c>
      <c r="L920" s="1077" t="s">
        <v>1817</v>
      </c>
      <c r="M920" s="1077">
        <v>75.099999999999994</v>
      </c>
      <c r="N920" s="1077" t="s">
        <v>945</v>
      </c>
      <c r="O920" s="1077">
        <v>1.8774999999999999</v>
      </c>
      <c r="P920" s="1077">
        <v>1.502</v>
      </c>
      <c r="Q920" s="1077">
        <v>4</v>
      </c>
      <c r="R920" s="1077">
        <v>19</v>
      </c>
      <c r="T920" s="1077">
        <v>21</v>
      </c>
      <c r="U920" s="1077">
        <v>3.5</v>
      </c>
      <c r="V920" s="1077" t="s">
        <v>648</v>
      </c>
      <c r="W920" s="1077">
        <v>110</v>
      </c>
      <c r="X920" s="1077">
        <v>65</v>
      </c>
      <c r="Y920" s="1077">
        <v>1.6</v>
      </c>
      <c r="Z920" s="1077">
        <v>4</v>
      </c>
      <c r="AA920" s="1077" t="s">
        <v>2078</v>
      </c>
      <c r="AB920" s="1077" t="s">
        <v>981</v>
      </c>
      <c r="AH920" s="1077" t="s">
        <v>1186</v>
      </c>
      <c r="AI920" s="1077">
        <v>94.77</v>
      </c>
      <c r="AJ920" s="1077">
        <v>-0.64</v>
      </c>
      <c r="AK920" s="1077">
        <v>3.07</v>
      </c>
      <c r="AM920" s="1078" t="s">
        <v>10877</v>
      </c>
      <c r="AN920" s="1078" t="s">
        <v>10878</v>
      </c>
      <c r="AO920" s="1078">
        <f t="shared" si="118"/>
        <v>650</v>
      </c>
      <c r="AP920" s="1078">
        <f t="shared" si="119"/>
        <v>1.73</v>
      </c>
      <c r="AQ920" s="1078" t="str">
        <f t="shared" si="120"/>
        <v>1-4-1S91°</v>
      </c>
      <c r="AR920" s="1078" t="str">
        <f t="shared" si="121"/>
        <v>31</v>
      </c>
      <c r="AS920" s="1078" t="str">
        <f t="shared" si="122"/>
        <v>270/270/OFF</v>
      </c>
      <c r="AT920" s="1078" t="str">
        <f t="shared" si="123"/>
        <v>1-4-1S91°</v>
      </c>
      <c r="AV920" s="1078" t="str">
        <f t="shared" si="116"/>
        <v>113.9.11</v>
      </c>
      <c r="AW920" s="1344">
        <f t="shared" si="117"/>
        <v>45546</v>
      </c>
    </row>
    <row r="921" spans="1:49">
      <c r="A921" s="1077" t="s">
        <v>2079</v>
      </c>
      <c r="B921" s="1077" t="s">
        <v>424</v>
      </c>
      <c r="C921" s="1077">
        <v>700</v>
      </c>
      <c r="D921" s="1077">
        <v>1.7949999999999999</v>
      </c>
      <c r="E921" s="1077" t="s">
        <v>15089</v>
      </c>
      <c r="F921" s="1077" t="s">
        <v>1897</v>
      </c>
      <c r="G921" s="1077" t="s">
        <v>1001</v>
      </c>
      <c r="H921" s="1077" t="s">
        <v>1793</v>
      </c>
      <c r="I921" s="1077" t="s">
        <v>126</v>
      </c>
      <c r="J921" s="1077">
        <v>0.4</v>
      </c>
      <c r="K921" s="1077" t="s">
        <v>2071</v>
      </c>
      <c r="L921" s="1077" t="s">
        <v>1968</v>
      </c>
      <c r="M921" s="1077">
        <v>73</v>
      </c>
      <c r="N921" s="1077" t="s">
        <v>945</v>
      </c>
      <c r="O921" s="1077">
        <v>1.8250000000000002</v>
      </c>
      <c r="P921" s="1077">
        <v>1.46</v>
      </c>
      <c r="Q921" s="1077">
        <v>4</v>
      </c>
      <c r="R921" s="1077">
        <v>21.6</v>
      </c>
      <c r="T921" s="1077">
        <v>34</v>
      </c>
      <c r="U921" s="1077">
        <v>3.7</v>
      </c>
      <c r="V921" s="1077" t="s">
        <v>648</v>
      </c>
      <c r="W921" s="1077">
        <v>30</v>
      </c>
      <c r="X921" s="1077">
        <v>10</v>
      </c>
      <c r="Y921" s="1077">
        <v>1.2</v>
      </c>
      <c r="Z921" s="1077">
        <v>6</v>
      </c>
      <c r="AA921" s="1077" t="s">
        <v>2080</v>
      </c>
      <c r="AH921" s="1077" t="s">
        <v>483</v>
      </c>
      <c r="AI921" s="1077">
        <v>93.29</v>
      </c>
      <c r="AJ921" s="1077">
        <v>-0.13</v>
      </c>
      <c r="AK921" s="1077">
        <v>0.53</v>
      </c>
      <c r="AM921" s="1078" t="s">
        <v>10879</v>
      </c>
      <c r="AN921" s="1078" t="s">
        <v>10880</v>
      </c>
      <c r="AO921" s="1078">
        <f t="shared" si="118"/>
        <v>700</v>
      </c>
      <c r="AP921" s="1078">
        <f t="shared" si="119"/>
        <v>1.7949999999999999</v>
      </c>
      <c r="AQ921" s="1078" t="str">
        <f t="shared" si="120"/>
        <v>1-4-1S83°</v>
      </c>
      <c r="AR921" s="1078" t="str">
        <f t="shared" si="121"/>
        <v>30.8</v>
      </c>
      <c r="AS921" s="1078" t="str">
        <f t="shared" si="122"/>
        <v>270/270/OFF</v>
      </c>
      <c r="AT921" s="1078" t="str">
        <f t="shared" si="123"/>
        <v>1-4-1S83°</v>
      </c>
      <c r="AV921" s="1078" t="str">
        <f t="shared" si="116"/>
        <v>113.9.12</v>
      </c>
      <c r="AW921" s="1344">
        <f t="shared" si="117"/>
        <v>45547</v>
      </c>
    </row>
    <row r="922" spans="1:49">
      <c r="A922" s="1077" t="s">
        <v>2081</v>
      </c>
      <c r="B922" s="1077" t="s">
        <v>771</v>
      </c>
      <c r="C922" s="1077">
        <v>700</v>
      </c>
      <c r="D922" s="1077">
        <v>1.75</v>
      </c>
      <c r="E922" s="1077" t="s">
        <v>15089</v>
      </c>
      <c r="F922" s="1077" t="s">
        <v>984</v>
      </c>
      <c r="G922" s="1077">
        <v>5</v>
      </c>
      <c r="H922" s="1077" t="s">
        <v>955</v>
      </c>
      <c r="I922" s="1077" t="s">
        <v>126</v>
      </c>
      <c r="J922" s="1077">
        <v>1.3</v>
      </c>
      <c r="K922" s="1077" t="s">
        <v>1942</v>
      </c>
      <c r="L922" s="1077" t="s">
        <v>1943</v>
      </c>
      <c r="M922" s="1077">
        <v>75</v>
      </c>
      <c r="N922" s="1077" t="s">
        <v>945</v>
      </c>
      <c r="O922" s="1077">
        <v>1.875</v>
      </c>
      <c r="P922" s="1077">
        <v>1.5</v>
      </c>
      <c r="Q922" s="1077">
        <v>4</v>
      </c>
      <c r="R922" s="1077">
        <v>23</v>
      </c>
      <c r="T922" s="1077">
        <v>26.5</v>
      </c>
      <c r="U922" s="1077">
        <v>3.8</v>
      </c>
      <c r="V922" s="1077" t="s">
        <v>648</v>
      </c>
      <c r="W922" s="1077">
        <v>100</v>
      </c>
      <c r="X922" s="1077">
        <v>45</v>
      </c>
      <c r="Y922" s="1077">
        <v>1.6</v>
      </c>
      <c r="Z922" s="1077">
        <v>5</v>
      </c>
      <c r="AA922" s="1077" t="s">
        <v>2082</v>
      </c>
      <c r="AH922" s="1077" t="s">
        <v>1421</v>
      </c>
      <c r="AI922" s="1077">
        <v>92.02</v>
      </c>
      <c r="AJ922" s="1077">
        <v>-0.12</v>
      </c>
      <c r="AK922" s="1077">
        <v>0.61</v>
      </c>
      <c r="AM922" s="1078" t="s">
        <v>10881</v>
      </c>
      <c r="AN922" s="1078" t="s">
        <v>10882</v>
      </c>
      <c r="AO922" s="1078">
        <f t="shared" si="118"/>
        <v>700</v>
      </c>
      <c r="AP922" s="1078">
        <f t="shared" si="119"/>
        <v>1.75</v>
      </c>
      <c r="AQ922" s="1078" t="str">
        <f t="shared" si="120"/>
        <v>1-4-1S83°</v>
      </c>
      <c r="AR922" s="1078" t="str">
        <f t="shared" si="121"/>
        <v>30</v>
      </c>
      <c r="AS922" s="1078" t="str">
        <f t="shared" si="122"/>
        <v>260/260/OFF</v>
      </c>
      <c r="AT922" s="1078" t="str">
        <f t="shared" si="123"/>
        <v>1-4-1S83°</v>
      </c>
      <c r="AV922" s="1078" t="str">
        <f t="shared" si="116"/>
        <v>113.9.13</v>
      </c>
      <c r="AW922" s="1344">
        <f t="shared" si="117"/>
        <v>45548</v>
      </c>
    </row>
    <row r="923" spans="1:49">
      <c r="A923" s="1077" t="s">
        <v>2083</v>
      </c>
      <c r="B923" s="1077" t="s">
        <v>752</v>
      </c>
      <c r="C923" s="1077">
        <v>500</v>
      </c>
      <c r="D923" s="1077">
        <v>1.76</v>
      </c>
      <c r="E923" s="1077" t="s">
        <v>15095</v>
      </c>
      <c r="F923" s="1077" t="s">
        <v>954</v>
      </c>
      <c r="G923" s="1077" t="s">
        <v>2084</v>
      </c>
      <c r="H923" s="1077" t="s">
        <v>1029</v>
      </c>
      <c r="I923" s="1077" t="s">
        <v>126</v>
      </c>
      <c r="J923" s="1077">
        <v>0.3</v>
      </c>
      <c r="K923" s="1077" t="s">
        <v>1932</v>
      </c>
      <c r="L923" s="1077" t="s">
        <v>1933</v>
      </c>
      <c r="M923" s="1077">
        <v>74.5</v>
      </c>
      <c r="N923" s="1077" t="s">
        <v>945</v>
      </c>
      <c r="O923" s="1077">
        <v>1.8625</v>
      </c>
      <c r="P923" s="1077">
        <v>1.49</v>
      </c>
      <c r="Q923" s="1077">
        <v>3.5</v>
      </c>
      <c r="R923" s="1077">
        <v>20</v>
      </c>
      <c r="T923" s="1077">
        <v>29</v>
      </c>
      <c r="U923" s="1077">
        <v>3</v>
      </c>
      <c r="V923" s="1077" t="s">
        <v>648</v>
      </c>
      <c r="W923" s="1077" t="s">
        <v>2085</v>
      </c>
      <c r="X923" s="1077">
        <v>0</v>
      </c>
      <c r="Y923" s="1077">
        <v>1.8</v>
      </c>
      <c r="Z923" s="1077">
        <v>4.5</v>
      </c>
      <c r="AA923" s="1077" t="s">
        <v>2086</v>
      </c>
      <c r="AH923" s="1077" t="s">
        <v>958</v>
      </c>
      <c r="AI923" s="1077">
        <v>94.13</v>
      </c>
      <c r="AJ923" s="1077">
        <v>-0.55000000000000004</v>
      </c>
      <c r="AK923" s="1077">
        <v>1.22</v>
      </c>
      <c r="AM923" s="1078" t="s">
        <v>10883</v>
      </c>
      <c r="AN923" s="1078" t="s">
        <v>10884</v>
      </c>
      <c r="AO923" s="1078">
        <f t="shared" si="118"/>
        <v>500</v>
      </c>
      <c r="AP923" s="1078">
        <f t="shared" si="119"/>
        <v>1.76</v>
      </c>
      <c r="AQ923" s="1078" t="str">
        <f t="shared" si="120"/>
        <v>1-5-1S83°</v>
      </c>
      <c r="AR923" s="1078" t="str">
        <f t="shared" si="121"/>
        <v>31</v>
      </c>
      <c r="AS923" s="1078" t="str">
        <f t="shared" si="122"/>
        <v>250/250/OFF</v>
      </c>
      <c r="AT923" s="1078" t="str">
        <f t="shared" si="123"/>
        <v>1-5-1S83°</v>
      </c>
      <c r="AV923" s="1078" t="str">
        <f t="shared" si="116"/>
        <v>113.9.19</v>
      </c>
      <c r="AW923" s="1344">
        <f t="shared" si="117"/>
        <v>45554</v>
      </c>
    </row>
    <row r="924" spans="1:49">
      <c r="A924" s="1077" t="s">
        <v>2087</v>
      </c>
      <c r="B924" s="1077" t="s">
        <v>1891</v>
      </c>
      <c r="C924" s="1077">
        <v>600</v>
      </c>
      <c r="D924" s="1077">
        <v>1.7150000000000001</v>
      </c>
      <c r="E924" s="1077" t="s">
        <v>15089</v>
      </c>
      <c r="F924" s="1077" t="s">
        <v>984</v>
      </c>
      <c r="G924" s="1077" t="s">
        <v>940</v>
      </c>
      <c r="H924" s="1077" t="s">
        <v>1226</v>
      </c>
      <c r="I924" s="1077" t="s">
        <v>126</v>
      </c>
      <c r="J924" s="1077">
        <v>0.8</v>
      </c>
      <c r="K924" s="1077" t="s">
        <v>2088</v>
      </c>
      <c r="L924" s="1077" t="s">
        <v>1893</v>
      </c>
      <c r="M924" s="1077">
        <v>74.599999999999994</v>
      </c>
      <c r="N924" s="1077" t="s">
        <v>945</v>
      </c>
      <c r="O924" s="1077">
        <v>1.865</v>
      </c>
      <c r="P924" s="1077">
        <v>1.492</v>
      </c>
      <c r="Q924" s="1077">
        <v>3.5</v>
      </c>
      <c r="R924" s="1077">
        <v>29</v>
      </c>
      <c r="T924" s="1077">
        <v>12.5</v>
      </c>
      <c r="U924" s="1077">
        <v>5.0999999999999996</v>
      </c>
      <c r="V924" s="1077" t="s">
        <v>648</v>
      </c>
      <c r="W924" s="1077">
        <v>95</v>
      </c>
      <c r="X924" s="1077">
        <v>60</v>
      </c>
      <c r="Y924" s="1077">
        <v>1.8</v>
      </c>
      <c r="Z924" s="1077">
        <v>4.5</v>
      </c>
      <c r="AA924" s="1077" t="s">
        <v>2089</v>
      </c>
      <c r="AB924" s="1077" t="s">
        <v>2090</v>
      </c>
      <c r="AH924" s="1077" t="s">
        <v>889</v>
      </c>
      <c r="AI924" s="1077">
        <v>92.55</v>
      </c>
      <c r="AJ924" s="1077">
        <v>-1.5</v>
      </c>
      <c r="AK924" s="1077">
        <v>3.62</v>
      </c>
      <c r="AM924" s="1078" t="s">
        <v>10885</v>
      </c>
      <c r="AN924" s="1078" t="s">
        <v>10886</v>
      </c>
      <c r="AO924" s="1078">
        <f t="shared" si="118"/>
        <v>600</v>
      </c>
      <c r="AP924" s="1078">
        <f t="shared" si="119"/>
        <v>1.7150000000000001</v>
      </c>
      <c r="AQ924" s="1078" t="str">
        <f t="shared" si="120"/>
        <v>1-4-1S83°</v>
      </c>
      <c r="AR924" s="1078" t="str">
        <f t="shared" si="121"/>
        <v>30</v>
      </c>
      <c r="AS924" s="1078" t="str">
        <f t="shared" si="122"/>
        <v>230/230/OFF</v>
      </c>
      <c r="AT924" s="1078" t="str">
        <f t="shared" si="123"/>
        <v>1-4-1S83°</v>
      </c>
      <c r="AV924" s="1078" t="str">
        <f t="shared" si="116"/>
        <v>113.9.23</v>
      </c>
      <c r="AW924" s="1344">
        <f t="shared" si="117"/>
        <v>45558</v>
      </c>
    </row>
    <row r="925" spans="1:49">
      <c r="A925" s="1077" t="s">
        <v>2091</v>
      </c>
      <c r="B925" s="1077" t="s">
        <v>771</v>
      </c>
      <c r="C925" s="1077">
        <v>700</v>
      </c>
      <c r="D925" s="1077">
        <v>1.75</v>
      </c>
      <c r="E925" s="1077" t="s">
        <v>15089</v>
      </c>
      <c r="F925" s="1077" t="s">
        <v>984</v>
      </c>
      <c r="G925" s="1077">
        <v>5</v>
      </c>
      <c r="H925" s="1077" t="s">
        <v>955</v>
      </c>
      <c r="I925" s="1077" t="s">
        <v>126</v>
      </c>
      <c r="J925" s="1077">
        <v>1.2</v>
      </c>
      <c r="K925" s="1077" t="s">
        <v>2092</v>
      </c>
      <c r="L925" s="1077" t="s">
        <v>1943</v>
      </c>
      <c r="M925" s="1077">
        <v>75</v>
      </c>
      <c r="N925" s="1077" t="s">
        <v>945</v>
      </c>
      <c r="O925" s="1077">
        <v>1.875</v>
      </c>
      <c r="P925" s="1077">
        <v>1.5</v>
      </c>
      <c r="Q925" s="1077">
        <v>4</v>
      </c>
      <c r="R925" s="1077">
        <v>23</v>
      </c>
      <c r="T925" s="1077">
        <v>26.5</v>
      </c>
      <c r="U925" s="1077">
        <v>3.8</v>
      </c>
      <c r="V925" s="1077" t="s">
        <v>648</v>
      </c>
      <c r="W925" s="1077">
        <v>100</v>
      </c>
      <c r="X925" s="1077">
        <v>45</v>
      </c>
      <c r="Y925" s="1077">
        <v>1.6</v>
      </c>
      <c r="Z925" s="1077">
        <v>5</v>
      </c>
      <c r="AA925" s="1077" t="s">
        <v>2093</v>
      </c>
      <c r="AH925" s="1077" t="s">
        <v>758</v>
      </c>
      <c r="AI925" s="1077">
        <v>93.69</v>
      </c>
      <c r="AJ925" s="1077">
        <v>-0.7</v>
      </c>
      <c r="AK925" s="1077">
        <v>0.62</v>
      </c>
      <c r="AM925" s="1078" t="s">
        <v>10887</v>
      </c>
      <c r="AN925" s="1078" t="s">
        <v>10888</v>
      </c>
      <c r="AO925" s="1078">
        <f t="shared" si="118"/>
        <v>700</v>
      </c>
      <c r="AP925" s="1078">
        <f t="shared" si="119"/>
        <v>1.75</v>
      </c>
      <c r="AQ925" s="1078" t="str">
        <f t="shared" si="120"/>
        <v>1-4-1S83°</v>
      </c>
      <c r="AR925" s="1078" t="str">
        <f t="shared" si="121"/>
        <v>30</v>
      </c>
      <c r="AS925" s="1078" t="str">
        <f t="shared" si="122"/>
        <v>260/260/OFF</v>
      </c>
      <c r="AT925" s="1078" t="str">
        <f t="shared" si="123"/>
        <v>1-4-1S83°</v>
      </c>
      <c r="AV925" s="1078" t="str">
        <f t="shared" si="116"/>
        <v>113.9.26</v>
      </c>
      <c r="AW925" s="1344">
        <f t="shared" si="117"/>
        <v>45561</v>
      </c>
    </row>
    <row r="926" spans="1:49">
      <c r="A926" s="1077" t="s">
        <v>2094</v>
      </c>
      <c r="B926" s="1077" t="s">
        <v>1815</v>
      </c>
      <c r="C926" s="1077">
        <v>650</v>
      </c>
      <c r="D926" s="1077">
        <v>1.73</v>
      </c>
      <c r="E926" s="1077" t="s">
        <v>15098</v>
      </c>
      <c r="F926" s="1077" t="s">
        <v>954</v>
      </c>
      <c r="G926" s="1077" t="s">
        <v>1767</v>
      </c>
      <c r="H926" s="1077" t="s">
        <v>1793</v>
      </c>
      <c r="I926" s="1077" t="s">
        <v>126</v>
      </c>
      <c r="J926" s="1077">
        <v>0.9</v>
      </c>
      <c r="K926" s="1077" t="s">
        <v>2095</v>
      </c>
      <c r="L926" s="1077" t="s">
        <v>1817</v>
      </c>
      <c r="M926" s="1077">
        <v>75.099999999999994</v>
      </c>
      <c r="N926" s="1077" t="s">
        <v>945</v>
      </c>
      <c r="O926" s="1077">
        <v>1.8774999999999999</v>
      </c>
      <c r="P926" s="1077">
        <v>1.502</v>
      </c>
      <c r="Q926" s="1077">
        <v>4</v>
      </c>
      <c r="R926" s="1077">
        <v>19</v>
      </c>
      <c r="T926" s="1077">
        <v>21</v>
      </c>
      <c r="U926" s="1077">
        <v>3.5</v>
      </c>
      <c r="V926" s="1077" t="s">
        <v>648</v>
      </c>
      <c r="W926" s="1077">
        <v>110</v>
      </c>
      <c r="X926" s="1077">
        <v>65</v>
      </c>
      <c r="Y926" s="1077">
        <v>1.6</v>
      </c>
      <c r="Z926" s="1077">
        <v>4</v>
      </c>
      <c r="AA926" s="1077" t="s">
        <v>2096</v>
      </c>
      <c r="AB926" s="1077" t="s">
        <v>981</v>
      </c>
      <c r="AH926" s="1077" t="s">
        <v>619</v>
      </c>
      <c r="AI926" s="1077">
        <v>94.65</v>
      </c>
      <c r="AJ926" s="1077">
        <v>-0.65</v>
      </c>
      <c r="AK926" s="1077">
        <v>3.2</v>
      </c>
      <c r="AM926" s="1078" t="s">
        <v>10889</v>
      </c>
      <c r="AN926" s="1078" t="s">
        <v>10890</v>
      </c>
      <c r="AO926" s="1078">
        <f t="shared" si="118"/>
        <v>650</v>
      </c>
      <c r="AP926" s="1078">
        <f t="shared" si="119"/>
        <v>1.73</v>
      </c>
      <c r="AQ926" s="1078" t="str">
        <f t="shared" si="120"/>
        <v>1-4-1S91°</v>
      </c>
      <c r="AR926" s="1078" t="str">
        <f t="shared" si="121"/>
        <v>31</v>
      </c>
      <c r="AS926" s="1078" t="str">
        <f t="shared" si="122"/>
        <v>270/270/OFF</v>
      </c>
      <c r="AT926" s="1078" t="str">
        <f t="shared" si="123"/>
        <v>1-4-1S91°</v>
      </c>
      <c r="AV926" s="1078" t="str">
        <f t="shared" si="116"/>
        <v>113.10.1</v>
      </c>
      <c r="AW926" s="1344">
        <f t="shared" si="117"/>
        <v>45566</v>
      </c>
    </row>
    <row r="927" spans="1:49">
      <c r="A927" s="1077" t="s">
        <v>2097</v>
      </c>
      <c r="B927" s="1077" t="s">
        <v>1815</v>
      </c>
      <c r="C927" s="1077">
        <v>650</v>
      </c>
      <c r="D927" s="1077">
        <v>1.73</v>
      </c>
      <c r="E927" s="1077" t="s">
        <v>15098</v>
      </c>
      <c r="F927" s="1077" t="s">
        <v>954</v>
      </c>
      <c r="G927" s="1077" t="s">
        <v>1767</v>
      </c>
      <c r="H927" s="1077" t="s">
        <v>1793</v>
      </c>
      <c r="I927" s="1077" t="s">
        <v>126</v>
      </c>
      <c r="J927" s="1077">
        <v>0.9</v>
      </c>
      <c r="K927" s="1077" t="s">
        <v>2095</v>
      </c>
      <c r="L927" s="1077" t="s">
        <v>1817</v>
      </c>
      <c r="M927" s="1077">
        <v>75.099999999999994</v>
      </c>
      <c r="N927" s="1077" t="s">
        <v>945</v>
      </c>
      <c r="O927" s="1077">
        <v>1.8774999999999999</v>
      </c>
      <c r="P927" s="1077">
        <v>1.502</v>
      </c>
      <c r="Q927" s="1077">
        <v>4</v>
      </c>
      <c r="R927" s="1077">
        <v>19</v>
      </c>
      <c r="T927" s="1077">
        <v>21</v>
      </c>
      <c r="U927" s="1077">
        <v>3.5</v>
      </c>
      <c r="V927" s="1077" t="s">
        <v>648</v>
      </c>
      <c r="W927" s="1077">
        <v>110</v>
      </c>
      <c r="X927" s="1077">
        <v>65</v>
      </c>
      <c r="Y927" s="1077">
        <v>1.6</v>
      </c>
      <c r="Z927" s="1077">
        <v>4</v>
      </c>
      <c r="AA927" s="1077" t="s">
        <v>2098</v>
      </c>
      <c r="AB927" s="1077" t="s">
        <v>981</v>
      </c>
      <c r="AH927" s="1077" t="s">
        <v>878</v>
      </c>
      <c r="AI927" s="1077">
        <v>94.46</v>
      </c>
      <c r="AJ927" s="1077">
        <v>-7.0000000000000007E-2</v>
      </c>
      <c r="AK927" s="1077">
        <v>2.56</v>
      </c>
      <c r="AM927" s="1078" t="s">
        <v>10891</v>
      </c>
      <c r="AN927" s="1078" t="s">
        <v>10892</v>
      </c>
      <c r="AO927" s="1078">
        <f t="shared" si="118"/>
        <v>650</v>
      </c>
      <c r="AP927" s="1078">
        <f t="shared" si="119"/>
        <v>1.73</v>
      </c>
      <c r="AQ927" s="1078" t="str">
        <f t="shared" si="120"/>
        <v>1-4-1S91°</v>
      </c>
      <c r="AR927" s="1078" t="str">
        <f t="shared" si="121"/>
        <v>31</v>
      </c>
      <c r="AS927" s="1078" t="str">
        <f t="shared" si="122"/>
        <v>270/270/OFF</v>
      </c>
      <c r="AT927" s="1078" t="str">
        <f t="shared" si="123"/>
        <v>1-4-1S91°</v>
      </c>
      <c r="AV927" s="1078" t="str">
        <f t="shared" si="116"/>
        <v>113.10.4</v>
      </c>
      <c r="AW927" s="1344">
        <f t="shared" si="117"/>
        <v>45569</v>
      </c>
    </row>
    <row r="928" spans="1:49">
      <c r="A928" s="1077" t="s">
        <v>2099</v>
      </c>
      <c r="B928" s="1077" t="s">
        <v>1783</v>
      </c>
      <c r="C928" s="1077">
        <v>570</v>
      </c>
      <c r="D928" s="1077">
        <v>1.66</v>
      </c>
      <c r="E928" s="1077" t="s">
        <v>15089</v>
      </c>
      <c r="F928" s="1077" t="s">
        <v>2001</v>
      </c>
      <c r="G928" s="1077" t="s">
        <v>2018</v>
      </c>
      <c r="H928" s="1077" t="s">
        <v>1649</v>
      </c>
      <c r="I928" s="1077" t="s">
        <v>126</v>
      </c>
      <c r="J928" s="1077">
        <v>0.3</v>
      </c>
      <c r="K928" s="1077" t="s">
        <v>2035</v>
      </c>
      <c r="L928" s="1077" t="s">
        <v>1787</v>
      </c>
      <c r="M928" s="1077">
        <v>76.099999999999994</v>
      </c>
      <c r="N928" s="1077" t="s">
        <v>945</v>
      </c>
      <c r="O928" s="1077">
        <v>1.9024999999999999</v>
      </c>
      <c r="P928" s="1077">
        <v>1.522</v>
      </c>
      <c r="Q928" s="1077">
        <v>4</v>
      </c>
      <c r="R928" s="1077">
        <v>24</v>
      </c>
      <c r="T928" s="1077">
        <v>13</v>
      </c>
      <c r="U928" s="1077">
        <v>4</v>
      </c>
      <c r="V928" s="1077" t="s">
        <v>648</v>
      </c>
      <c r="W928" s="1077">
        <v>30</v>
      </c>
      <c r="X928" s="1077">
        <v>10</v>
      </c>
      <c r="Y928" s="1077">
        <v>2.5</v>
      </c>
      <c r="Z928" s="1077">
        <v>2</v>
      </c>
      <c r="AA928" s="1077" t="s">
        <v>2100</v>
      </c>
      <c r="AH928" s="1077" t="s">
        <v>618</v>
      </c>
      <c r="AM928" s="1078" t="s">
        <v>10893</v>
      </c>
      <c r="AN928" s="1078" t="s">
        <v>10894</v>
      </c>
      <c r="AO928" s="1078">
        <f t="shared" si="118"/>
        <v>570</v>
      </c>
      <c r="AP928" s="1078">
        <f t="shared" si="119"/>
        <v>1.66</v>
      </c>
      <c r="AQ928" s="1078" t="str">
        <f t="shared" si="120"/>
        <v>1-4-1S83°</v>
      </c>
      <c r="AR928" s="1078" t="str">
        <f t="shared" si="121"/>
        <v>29.9</v>
      </c>
      <c r="AS928" s="1078" t="str">
        <f t="shared" si="122"/>
        <v>225/225/OFF</v>
      </c>
      <c r="AT928" s="1078" t="str">
        <f t="shared" si="123"/>
        <v>1-4-1S83°</v>
      </c>
      <c r="AV928" s="1078" t="str">
        <f t="shared" si="116"/>
        <v>111.4.21</v>
      </c>
      <c r="AW928" s="1344">
        <f t="shared" si="117"/>
        <v>44672</v>
      </c>
    </row>
    <row r="929" spans="1:49">
      <c r="A929" s="1077" t="s">
        <v>2101</v>
      </c>
      <c r="B929" s="1077" t="s">
        <v>2102</v>
      </c>
      <c r="C929" s="1077">
        <v>600</v>
      </c>
      <c r="D929" s="1077">
        <v>1.69</v>
      </c>
      <c r="E929" s="1077" t="s">
        <v>15089</v>
      </c>
      <c r="F929" s="1077" t="s">
        <v>954</v>
      </c>
      <c r="G929" s="1077" t="s">
        <v>1767</v>
      </c>
      <c r="H929" s="1077" t="s">
        <v>1029</v>
      </c>
      <c r="I929" s="1077" t="s">
        <v>126</v>
      </c>
      <c r="J929" s="1077">
        <v>1</v>
      </c>
      <c r="K929" s="1077" t="s">
        <v>2103</v>
      </c>
      <c r="L929" s="1077" t="s">
        <v>2104</v>
      </c>
      <c r="M929" s="1077">
        <v>75</v>
      </c>
      <c r="N929" s="1077" t="s">
        <v>945</v>
      </c>
      <c r="O929" s="1077">
        <v>1.875</v>
      </c>
      <c r="P929" s="1077">
        <v>1.5</v>
      </c>
      <c r="Q929" s="1077">
        <v>4</v>
      </c>
      <c r="R929" s="1077">
        <v>23.3</v>
      </c>
      <c r="T929" s="1077">
        <v>20.5</v>
      </c>
      <c r="U929" s="1077">
        <v>3.7</v>
      </c>
      <c r="V929" s="1077" t="s">
        <v>648</v>
      </c>
      <c r="W929" s="1077">
        <v>105</v>
      </c>
      <c r="X929" s="1077">
        <v>85</v>
      </c>
      <c r="Y929" s="1077">
        <v>1.9</v>
      </c>
      <c r="Z929" s="1077">
        <v>4.5</v>
      </c>
      <c r="AA929" s="1077" t="s">
        <v>2105</v>
      </c>
      <c r="AH929" s="1077" t="s">
        <v>813</v>
      </c>
      <c r="AM929" s="1078" t="s">
        <v>10895</v>
      </c>
      <c r="AN929" s="1078" t="s">
        <v>10896</v>
      </c>
      <c r="AO929" s="1078">
        <f t="shared" si="118"/>
        <v>600</v>
      </c>
      <c r="AP929" s="1078">
        <f t="shared" si="119"/>
        <v>1.69</v>
      </c>
      <c r="AQ929" s="1078" t="str">
        <f t="shared" si="120"/>
        <v>1-4-1S83°</v>
      </c>
      <c r="AR929" s="1078" t="str">
        <f t="shared" si="121"/>
        <v>31</v>
      </c>
      <c r="AS929" s="1078" t="str">
        <f t="shared" si="122"/>
        <v>250/250/OFF</v>
      </c>
      <c r="AT929" s="1078" t="str">
        <f t="shared" si="123"/>
        <v>1-4-1S83°</v>
      </c>
      <c r="AV929" s="1078" t="str">
        <f t="shared" si="116"/>
        <v>111.4.14</v>
      </c>
      <c r="AW929" s="1344">
        <f t="shared" si="117"/>
        <v>44665</v>
      </c>
    </row>
    <row r="930" spans="1:49">
      <c r="A930" s="1077" t="s">
        <v>2106</v>
      </c>
      <c r="B930" s="1077" t="s">
        <v>850</v>
      </c>
      <c r="C930" s="1077">
        <v>550</v>
      </c>
      <c r="D930" s="1077">
        <v>1.76</v>
      </c>
      <c r="E930" s="1077" t="s">
        <v>15095</v>
      </c>
      <c r="F930" s="1077" t="s">
        <v>984</v>
      </c>
      <c r="G930" s="1077" t="s">
        <v>940</v>
      </c>
      <c r="H930" s="1077" t="s">
        <v>1017</v>
      </c>
      <c r="I930" s="1077" t="s">
        <v>626</v>
      </c>
      <c r="J930" s="1077">
        <v>0.9</v>
      </c>
      <c r="K930" s="1077" t="s">
        <v>2107</v>
      </c>
      <c r="L930" s="1077" t="s">
        <v>1763</v>
      </c>
      <c r="M930" s="1077">
        <v>78</v>
      </c>
      <c r="N930" s="1077" t="s">
        <v>945</v>
      </c>
      <c r="O930" s="1077">
        <v>1.9500000000000002</v>
      </c>
      <c r="P930" s="1077">
        <v>1.56</v>
      </c>
      <c r="Q930" s="1077">
        <v>3</v>
      </c>
      <c r="R930" s="1077">
        <v>27</v>
      </c>
      <c r="T930" s="1077">
        <v>9.6</v>
      </c>
      <c r="U930" s="1077">
        <v>6.8</v>
      </c>
      <c r="V930" s="1077" t="s">
        <v>648</v>
      </c>
      <c r="W930" s="1077">
        <v>135</v>
      </c>
      <c r="X930" s="1077">
        <v>65</v>
      </c>
      <c r="Y930" s="1077">
        <v>1.4</v>
      </c>
      <c r="Z930" s="1077">
        <v>4</v>
      </c>
      <c r="AA930" s="1077" t="s">
        <v>2105</v>
      </c>
      <c r="AH930" s="1077" t="s">
        <v>963</v>
      </c>
      <c r="AM930" s="1078" t="s">
        <v>10897</v>
      </c>
      <c r="AN930" s="1078" t="s">
        <v>10898</v>
      </c>
      <c r="AO930" s="1078">
        <f t="shared" si="118"/>
        <v>550</v>
      </c>
      <c r="AP930" s="1078">
        <f t="shared" si="119"/>
        <v>1.76</v>
      </c>
      <c r="AQ930" s="1078" t="str">
        <f t="shared" si="120"/>
        <v>1-5-1S83°</v>
      </c>
      <c r="AR930" s="1078" t="str">
        <f t="shared" si="121"/>
        <v>30</v>
      </c>
      <c r="AS930" s="1078" t="str">
        <f t="shared" si="122"/>
        <v>200/200/OFF</v>
      </c>
      <c r="AT930" s="1078" t="str">
        <f t="shared" si="123"/>
        <v>1-5-1S83°</v>
      </c>
      <c r="AV930" s="1078" t="str">
        <f t="shared" si="116"/>
        <v>111.4.14</v>
      </c>
      <c r="AW930" s="1344">
        <f t="shared" si="117"/>
        <v>44665</v>
      </c>
    </row>
    <row r="931" spans="1:49">
      <c r="A931" s="1077" t="s">
        <v>2108</v>
      </c>
      <c r="B931" s="1077" t="s">
        <v>1899</v>
      </c>
      <c r="C931" s="1077">
        <v>600</v>
      </c>
      <c r="D931" s="1077">
        <v>1.71</v>
      </c>
      <c r="E931" s="1077" t="s">
        <v>15095</v>
      </c>
      <c r="F931" s="1077" t="s">
        <v>954</v>
      </c>
      <c r="G931" s="1077" t="s">
        <v>940</v>
      </c>
      <c r="H931" s="1077" t="s">
        <v>2109</v>
      </c>
      <c r="I931" s="1077" t="s">
        <v>126</v>
      </c>
      <c r="J931" s="1077">
        <v>1.3</v>
      </c>
      <c r="K931" s="1077" t="s">
        <v>2110</v>
      </c>
      <c r="L931" s="1077" t="s">
        <v>1924</v>
      </c>
      <c r="M931" s="1077">
        <v>75.400000000000006</v>
      </c>
      <c r="N931" s="1077" t="s">
        <v>945</v>
      </c>
      <c r="O931" s="1077">
        <v>1.8850000000000002</v>
      </c>
      <c r="P931" s="1077">
        <v>1.5080000000000002</v>
      </c>
      <c r="Q931" s="1077">
        <v>3</v>
      </c>
      <c r="R931" s="1077">
        <v>29</v>
      </c>
      <c r="T931" s="1077">
        <v>18</v>
      </c>
      <c r="U931" s="1077">
        <v>6</v>
      </c>
      <c r="V931" s="1077" t="s">
        <v>648</v>
      </c>
      <c r="W931" s="1077">
        <v>120</v>
      </c>
      <c r="X931" s="1077">
        <v>80</v>
      </c>
      <c r="Y931" s="1077">
        <v>2</v>
      </c>
      <c r="Z931" s="1077">
        <v>6</v>
      </c>
      <c r="AA931" s="1077" t="s">
        <v>2111</v>
      </c>
      <c r="AH931" s="1077" t="s">
        <v>877</v>
      </c>
      <c r="AM931" s="1078" t="s">
        <v>10899</v>
      </c>
      <c r="AN931" s="1078" t="s">
        <v>10900</v>
      </c>
      <c r="AO931" s="1078">
        <f t="shared" si="118"/>
        <v>600</v>
      </c>
      <c r="AP931" s="1078">
        <f t="shared" si="119"/>
        <v>1.71</v>
      </c>
      <c r="AQ931" s="1078" t="str">
        <f t="shared" si="120"/>
        <v>1-5-1S83°</v>
      </c>
      <c r="AR931" s="1078" t="str">
        <f t="shared" si="121"/>
        <v>31</v>
      </c>
      <c r="AS931" s="1078" t="str">
        <f t="shared" si="122"/>
        <v>227/227/OFF</v>
      </c>
      <c r="AT931" s="1078" t="str">
        <f t="shared" si="123"/>
        <v>1-5-1S83°</v>
      </c>
      <c r="AV931" s="1078" t="str">
        <f t="shared" si="116"/>
        <v>111.4.19</v>
      </c>
      <c r="AW931" s="1344">
        <f t="shared" si="117"/>
        <v>44670</v>
      </c>
    </row>
    <row r="932" spans="1:49">
      <c r="A932" s="1077" t="s">
        <v>2112</v>
      </c>
      <c r="B932" s="1077" t="s">
        <v>1842</v>
      </c>
      <c r="C932" s="1077">
        <v>500</v>
      </c>
      <c r="D932" s="1077">
        <v>1.68</v>
      </c>
      <c r="E932" s="1077" t="s">
        <v>15095</v>
      </c>
      <c r="F932" s="1077" t="s">
        <v>984</v>
      </c>
      <c r="G932" s="1077" t="s">
        <v>1016</v>
      </c>
      <c r="H932" s="1077" t="s">
        <v>1290</v>
      </c>
      <c r="I932" s="1077" t="s">
        <v>126</v>
      </c>
      <c r="J932" s="1077">
        <v>0.7</v>
      </c>
      <c r="K932" s="1077" t="s">
        <v>2113</v>
      </c>
      <c r="L932" s="1077" t="s">
        <v>1844</v>
      </c>
      <c r="M932" s="1077">
        <v>77.099999999999994</v>
      </c>
      <c r="N932" s="1077" t="s">
        <v>945</v>
      </c>
      <c r="O932" s="1077">
        <v>1.9275</v>
      </c>
      <c r="P932" s="1077">
        <v>1.5419999999999998</v>
      </c>
      <c r="Q932" s="1077">
        <v>4</v>
      </c>
      <c r="R932" s="1077">
        <v>23</v>
      </c>
      <c r="T932" s="1077">
        <v>18</v>
      </c>
      <c r="U932" s="1077">
        <v>4</v>
      </c>
      <c r="V932" s="1077" t="s">
        <v>648</v>
      </c>
      <c r="W932" s="1077">
        <v>110</v>
      </c>
      <c r="X932" s="1077">
        <v>70</v>
      </c>
      <c r="Y932" s="1077">
        <v>1.8</v>
      </c>
      <c r="Z932" s="1077">
        <v>4.5</v>
      </c>
      <c r="AA932" s="1077" t="s">
        <v>2114</v>
      </c>
      <c r="AH932" s="1077" t="s">
        <v>868</v>
      </c>
      <c r="AM932" s="1078" t="s">
        <v>10901</v>
      </c>
      <c r="AN932" s="1078" t="s">
        <v>10902</v>
      </c>
      <c r="AO932" s="1078">
        <f t="shared" si="118"/>
        <v>500</v>
      </c>
      <c r="AP932" s="1078">
        <f t="shared" si="119"/>
        <v>1.68</v>
      </c>
      <c r="AQ932" s="1078" t="str">
        <f t="shared" si="120"/>
        <v>1-5-1S83°</v>
      </c>
      <c r="AR932" s="1078" t="str">
        <f t="shared" si="121"/>
        <v>30</v>
      </c>
      <c r="AS932" s="1078" t="str">
        <f t="shared" si="122"/>
        <v>220/220/OFF</v>
      </c>
      <c r="AT932" s="1078" t="str">
        <f t="shared" si="123"/>
        <v>1-5-1S83°</v>
      </c>
      <c r="AV932" s="1078" t="str">
        <f t="shared" si="116"/>
        <v>111.4.25</v>
      </c>
      <c r="AW932" s="1344">
        <f t="shared" si="117"/>
        <v>44676</v>
      </c>
    </row>
    <row r="933" spans="1:49">
      <c r="A933" s="1077" t="s">
        <v>2115</v>
      </c>
      <c r="B933" s="1077" t="s">
        <v>2116</v>
      </c>
      <c r="C933" s="1077">
        <v>600</v>
      </c>
      <c r="D933" s="1077">
        <v>1.69</v>
      </c>
      <c r="E933" s="1077" t="s">
        <v>15089</v>
      </c>
      <c r="F933" s="1077" t="s">
        <v>954</v>
      </c>
      <c r="G933" s="1077" t="s">
        <v>1767</v>
      </c>
      <c r="H933" s="1077" t="s">
        <v>1029</v>
      </c>
      <c r="I933" s="1077" t="s">
        <v>126</v>
      </c>
      <c r="J933" s="1077">
        <v>1</v>
      </c>
      <c r="K933" s="1077" t="s">
        <v>2103</v>
      </c>
      <c r="L933" s="1077" t="s">
        <v>2104</v>
      </c>
      <c r="M933" s="1077">
        <v>75</v>
      </c>
      <c r="N933" s="1077" t="s">
        <v>945</v>
      </c>
      <c r="O933" s="1077">
        <v>1.875</v>
      </c>
      <c r="P933" s="1077">
        <v>1.5</v>
      </c>
      <c r="Q933" s="1077">
        <v>4</v>
      </c>
      <c r="R933" s="1077">
        <v>23.3</v>
      </c>
      <c r="T933" s="1077">
        <v>20.5</v>
      </c>
      <c r="U933" s="1077">
        <v>3.7</v>
      </c>
      <c r="V933" s="1077" t="s">
        <v>648</v>
      </c>
      <c r="W933" s="1077">
        <v>105</v>
      </c>
      <c r="X933" s="1077">
        <v>85</v>
      </c>
      <c r="Y933" s="1077">
        <v>1.9</v>
      </c>
      <c r="Z933" s="1077">
        <v>4.5</v>
      </c>
      <c r="AA933" s="1077" t="s">
        <v>2117</v>
      </c>
      <c r="AH933" s="1077" t="s">
        <v>1238</v>
      </c>
      <c r="AM933" s="1078" t="s">
        <v>10903</v>
      </c>
      <c r="AN933" s="1078" t="s">
        <v>10904</v>
      </c>
      <c r="AO933" s="1078">
        <f t="shared" si="118"/>
        <v>600</v>
      </c>
      <c r="AP933" s="1078">
        <f t="shared" si="119"/>
        <v>1.69</v>
      </c>
      <c r="AQ933" s="1078" t="str">
        <f t="shared" si="120"/>
        <v>1-4-1S83°</v>
      </c>
      <c r="AR933" s="1078" t="str">
        <f t="shared" si="121"/>
        <v>31</v>
      </c>
      <c r="AS933" s="1078" t="str">
        <f t="shared" si="122"/>
        <v>250/250/OFF</v>
      </c>
      <c r="AT933" s="1078" t="str">
        <f t="shared" si="123"/>
        <v>1-4-1S83°</v>
      </c>
      <c r="AV933" s="1078" t="str">
        <f t="shared" si="116"/>
        <v>111.4.23</v>
      </c>
      <c r="AW933" s="1344">
        <f t="shared" si="117"/>
        <v>44674</v>
      </c>
    </row>
    <row r="934" spans="1:49">
      <c r="A934" s="1077" t="s">
        <v>2118</v>
      </c>
      <c r="B934" s="1077" t="s">
        <v>1883</v>
      </c>
      <c r="C934" s="1077">
        <v>650</v>
      </c>
      <c r="D934" s="1077">
        <v>1.825</v>
      </c>
      <c r="E934" s="1077" t="s">
        <v>15091</v>
      </c>
      <c r="F934" s="1077" t="s">
        <v>1689</v>
      </c>
      <c r="G934" s="1077" t="s">
        <v>1767</v>
      </c>
      <c r="H934" s="1077" t="s">
        <v>1907</v>
      </c>
      <c r="I934" s="1077" t="s">
        <v>1073</v>
      </c>
      <c r="J934" s="1077">
        <v>0.7</v>
      </c>
      <c r="K934" s="1077" t="s">
        <v>1908</v>
      </c>
      <c r="L934" s="1077" t="s">
        <v>1885</v>
      </c>
      <c r="M934" s="1077">
        <v>74.5</v>
      </c>
      <c r="N934" s="1077" t="s">
        <v>945</v>
      </c>
      <c r="O934" s="1077">
        <v>1.8625</v>
      </c>
      <c r="P934" s="1077">
        <v>1.49</v>
      </c>
      <c r="Q934" s="1077">
        <v>4</v>
      </c>
      <c r="R934" s="1077">
        <v>22</v>
      </c>
      <c r="T934" s="1077">
        <v>19.5</v>
      </c>
      <c r="U934" s="1077">
        <v>2.2999999999999998</v>
      </c>
      <c r="V934" s="1077" t="s">
        <v>648</v>
      </c>
      <c r="W934" s="1077">
        <v>40</v>
      </c>
      <c r="X934" s="1077">
        <v>10</v>
      </c>
      <c r="Y934" s="1077">
        <v>1.2</v>
      </c>
      <c r="Z934" s="1077">
        <v>4</v>
      </c>
      <c r="AA934" s="1077" t="s">
        <v>2119</v>
      </c>
      <c r="AH934" s="1077" t="s">
        <v>1053</v>
      </c>
      <c r="AM934" s="1078" t="s">
        <v>10905</v>
      </c>
      <c r="AN934" s="1078" t="s">
        <v>10906</v>
      </c>
      <c r="AO934" s="1078">
        <f t="shared" si="118"/>
        <v>650</v>
      </c>
      <c r="AP934" s="1078">
        <f t="shared" si="119"/>
        <v>1.825</v>
      </c>
      <c r="AQ934" s="1078" t="str">
        <f t="shared" si="120"/>
        <v>2-5-1S83°</v>
      </c>
      <c r="AR934" s="1078" t="str">
        <f t="shared" si="121"/>
        <v>29.5</v>
      </c>
      <c r="AS934" s="1078" t="str">
        <f t="shared" si="122"/>
        <v>170/155</v>
      </c>
      <c r="AT934" s="1078" t="str">
        <f t="shared" si="123"/>
        <v>2-5-1S83°</v>
      </c>
      <c r="AV934" s="1078" t="str">
        <f t="shared" si="116"/>
        <v>111.4.27</v>
      </c>
      <c r="AW934" s="1344">
        <f t="shared" si="117"/>
        <v>44678</v>
      </c>
    </row>
    <row r="935" spans="1:49">
      <c r="A935" s="1077" t="s">
        <v>2120</v>
      </c>
      <c r="B935" s="1077" t="s">
        <v>1899</v>
      </c>
      <c r="C935" s="1077">
        <v>600</v>
      </c>
      <c r="D935" s="1077">
        <v>1.7549999999999999</v>
      </c>
      <c r="E935" s="1077" t="s">
        <v>15095</v>
      </c>
      <c r="F935" s="1077" t="s">
        <v>954</v>
      </c>
      <c r="G935" s="1077" t="s">
        <v>940</v>
      </c>
      <c r="H935" s="1077" t="s">
        <v>1226</v>
      </c>
      <c r="I935" s="1077" t="s">
        <v>126</v>
      </c>
      <c r="J935" s="1077">
        <v>1.3</v>
      </c>
      <c r="K935" s="1077" t="s">
        <v>2014</v>
      </c>
      <c r="L935" s="1077" t="s">
        <v>1964</v>
      </c>
      <c r="M935" s="1077">
        <v>75.400000000000006</v>
      </c>
      <c r="N935" s="1077" t="s">
        <v>945</v>
      </c>
      <c r="O935" s="1077">
        <v>1.8850000000000002</v>
      </c>
      <c r="P935" s="1077">
        <v>1.5080000000000002</v>
      </c>
      <c r="Q935" s="1077">
        <v>3</v>
      </c>
      <c r="R935" s="1077">
        <v>29</v>
      </c>
      <c r="T935" s="1077">
        <v>18</v>
      </c>
      <c r="U935" s="1077">
        <v>6</v>
      </c>
      <c r="V935" s="1077" t="s">
        <v>648</v>
      </c>
      <c r="W935" s="1077">
        <v>120</v>
      </c>
      <c r="X935" s="1077">
        <v>80</v>
      </c>
      <c r="Y935" s="1077">
        <v>2</v>
      </c>
      <c r="Z935" s="1077">
        <v>6</v>
      </c>
      <c r="AA935" s="1077" t="s">
        <v>2121</v>
      </c>
      <c r="AH935" s="1077" t="s">
        <v>456</v>
      </c>
      <c r="AM935" s="1078" t="s">
        <v>10907</v>
      </c>
      <c r="AN935" s="1078" t="s">
        <v>10908</v>
      </c>
      <c r="AO935" s="1078">
        <f t="shared" si="118"/>
        <v>600</v>
      </c>
      <c r="AP935" s="1078">
        <f t="shared" si="119"/>
        <v>1.7549999999999999</v>
      </c>
      <c r="AQ935" s="1078" t="str">
        <f t="shared" si="120"/>
        <v>1-5-1S83°</v>
      </c>
      <c r="AR935" s="1078" t="str">
        <f t="shared" si="121"/>
        <v>31</v>
      </c>
      <c r="AS935" s="1078" t="str">
        <f t="shared" si="122"/>
        <v>230/230/OFF</v>
      </c>
      <c r="AT935" s="1078" t="str">
        <f t="shared" si="123"/>
        <v>1-5-1S83°</v>
      </c>
      <c r="AV935" s="1078" t="str">
        <f t="shared" si="116"/>
        <v>111.4.28</v>
      </c>
      <c r="AW935" s="1344">
        <f t="shared" si="117"/>
        <v>44679</v>
      </c>
    </row>
    <row r="936" spans="1:49">
      <c r="A936" s="1077" t="s">
        <v>2122</v>
      </c>
      <c r="B936" s="1077" t="s">
        <v>1903</v>
      </c>
      <c r="C936" s="1077">
        <v>620</v>
      </c>
      <c r="D936" s="1077">
        <v>1.69</v>
      </c>
      <c r="E936" s="1077" t="s">
        <v>15089</v>
      </c>
      <c r="F936" s="1077" t="s">
        <v>975</v>
      </c>
      <c r="G936" s="1077" t="s">
        <v>1867</v>
      </c>
      <c r="H936" s="1077" t="s">
        <v>1226</v>
      </c>
      <c r="I936" s="1077" t="s">
        <v>126</v>
      </c>
      <c r="J936" s="1077">
        <v>0.8</v>
      </c>
      <c r="K936" s="1077" t="s">
        <v>2123</v>
      </c>
      <c r="L936" s="1077" t="s">
        <v>1905</v>
      </c>
      <c r="M936" s="1077">
        <v>74</v>
      </c>
      <c r="N936" s="1077" t="s">
        <v>945</v>
      </c>
      <c r="O936" s="1077">
        <v>1.85</v>
      </c>
      <c r="P936" s="1077">
        <v>1.48</v>
      </c>
      <c r="Q936" s="1077">
        <v>3</v>
      </c>
      <c r="R936" s="1077">
        <v>26</v>
      </c>
      <c r="T936" s="1077">
        <v>13.8</v>
      </c>
      <c r="U936" s="1077">
        <v>5.0999999999999996</v>
      </c>
      <c r="V936" s="1077" t="s">
        <v>648</v>
      </c>
      <c r="W936" s="1077">
        <v>100</v>
      </c>
      <c r="X936" s="1077">
        <v>60</v>
      </c>
      <c r="Y936" s="1077">
        <v>1.8</v>
      </c>
      <c r="Z936" s="1077">
        <v>4</v>
      </c>
      <c r="AA936" s="1077" t="s">
        <v>2124</v>
      </c>
      <c r="AH936" s="1077" t="s">
        <v>762</v>
      </c>
      <c r="AM936" s="1078" t="s">
        <v>10909</v>
      </c>
      <c r="AN936" s="1078" t="s">
        <v>10910</v>
      </c>
      <c r="AO936" s="1078">
        <f t="shared" si="118"/>
        <v>620</v>
      </c>
      <c r="AP936" s="1078">
        <f t="shared" si="119"/>
        <v>1.69</v>
      </c>
      <c r="AQ936" s="1078" t="str">
        <f t="shared" si="120"/>
        <v>1-4-1S83°</v>
      </c>
      <c r="AR936" s="1078" t="str">
        <f t="shared" si="121"/>
        <v>31.5</v>
      </c>
      <c r="AS936" s="1078" t="str">
        <f t="shared" si="122"/>
        <v>230/230/OFF</v>
      </c>
      <c r="AT936" s="1078" t="str">
        <f t="shared" si="123"/>
        <v>1-4-1S83°</v>
      </c>
      <c r="AV936" s="1078" t="str">
        <f t="shared" si="116"/>
        <v>111.4.29</v>
      </c>
      <c r="AW936" s="1344">
        <f t="shared" si="117"/>
        <v>44680</v>
      </c>
    </row>
    <row r="937" spans="1:49">
      <c r="A937" s="1077" t="s">
        <v>2125</v>
      </c>
      <c r="B937" s="1077" t="s">
        <v>1883</v>
      </c>
      <c r="C937" s="1077">
        <v>650</v>
      </c>
      <c r="D937" s="1077">
        <v>1.825</v>
      </c>
      <c r="E937" s="1077" t="s">
        <v>15091</v>
      </c>
      <c r="F937" s="1077" t="s">
        <v>954</v>
      </c>
      <c r="G937" s="1077" t="s">
        <v>1767</v>
      </c>
      <c r="H937" s="1077" t="s">
        <v>1166</v>
      </c>
      <c r="I937" s="1077" t="s">
        <v>1167</v>
      </c>
      <c r="J937" s="1077">
        <v>1.7</v>
      </c>
      <c r="K937" s="1077" t="s">
        <v>1908</v>
      </c>
      <c r="L937" s="1077" t="s">
        <v>1885</v>
      </c>
      <c r="M937" s="1077">
        <v>75.2</v>
      </c>
      <c r="N937" s="1077" t="s">
        <v>945</v>
      </c>
      <c r="O937" s="1077">
        <v>1.8800000000000001</v>
      </c>
      <c r="P937" s="1077">
        <v>1.504</v>
      </c>
      <c r="Q937" s="1077">
        <v>4</v>
      </c>
      <c r="R937" s="1077">
        <v>23.5</v>
      </c>
      <c r="T937" s="1077">
        <v>30</v>
      </c>
      <c r="U937" s="1077">
        <v>4</v>
      </c>
      <c r="V937" s="1077" t="s">
        <v>648</v>
      </c>
      <c r="W937" s="1077">
        <v>105</v>
      </c>
      <c r="X937" s="1077">
        <v>75</v>
      </c>
      <c r="Y937" s="1077">
        <v>1.2</v>
      </c>
      <c r="Z937" s="1077">
        <v>4.5</v>
      </c>
      <c r="AA937" s="1077" t="s">
        <v>1489</v>
      </c>
      <c r="AH937" s="1077" t="s">
        <v>1827</v>
      </c>
      <c r="AM937" s="1078" t="s">
        <v>10911</v>
      </c>
      <c r="AN937" s="1078" t="s">
        <v>10912</v>
      </c>
      <c r="AO937" s="1078">
        <f t="shared" si="118"/>
        <v>650</v>
      </c>
      <c r="AP937" s="1078">
        <f t="shared" si="119"/>
        <v>1.825</v>
      </c>
      <c r="AQ937" s="1078" t="str">
        <f t="shared" si="120"/>
        <v>2-5-1S83°</v>
      </c>
      <c r="AR937" s="1078" t="str">
        <f t="shared" si="121"/>
        <v>31</v>
      </c>
      <c r="AS937" s="1078" t="str">
        <f t="shared" si="122"/>
        <v>170/OFF</v>
      </c>
      <c r="AT937" s="1078" t="str">
        <f t="shared" si="123"/>
        <v>2-5-1S83°</v>
      </c>
      <c r="AV937" s="1078" t="str">
        <f t="shared" si="116"/>
        <v>111.5.4</v>
      </c>
      <c r="AW937" s="1344">
        <f t="shared" si="117"/>
        <v>44685</v>
      </c>
    </row>
    <row r="938" spans="1:49">
      <c r="A938" s="1077" t="s">
        <v>2126</v>
      </c>
      <c r="B938" s="1077" t="s">
        <v>1815</v>
      </c>
      <c r="C938" s="1077">
        <v>650</v>
      </c>
      <c r="D938" s="1077">
        <v>1.72</v>
      </c>
      <c r="E938" s="1077" t="s">
        <v>15098</v>
      </c>
      <c r="F938" s="1077" t="s">
        <v>954</v>
      </c>
      <c r="G938" s="1077" t="s">
        <v>1767</v>
      </c>
      <c r="H938" s="1077" t="s">
        <v>1793</v>
      </c>
      <c r="I938" s="1077" t="s">
        <v>126</v>
      </c>
      <c r="J938" s="1077">
        <v>0.9</v>
      </c>
      <c r="K938" s="1077" t="s">
        <v>2095</v>
      </c>
      <c r="L938" s="1077" t="s">
        <v>1817</v>
      </c>
      <c r="M938" s="1077">
        <v>75.099999999999994</v>
      </c>
      <c r="N938" s="1077" t="s">
        <v>945</v>
      </c>
      <c r="O938" s="1077">
        <v>1.8774999999999999</v>
      </c>
      <c r="P938" s="1077">
        <v>1.502</v>
      </c>
      <c r="Q938" s="1077">
        <v>4</v>
      </c>
      <c r="R938" s="1077">
        <v>19</v>
      </c>
      <c r="T938" s="1077">
        <v>21</v>
      </c>
      <c r="U938" s="1077">
        <v>3.5</v>
      </c>
      <c r="V938" s="1077" t="s">
        <v>648</v>
      </c>
      <c r="W938" s="1077">
        <v>110</v>
      </c>
      <c r="X938" s="1077">
        <v>65</v>
      </c>
      <c r="Y938" s="1077">
        <v>1.6</v>
      </c>
      <c r="Z938" s="1077">
        <v>4</v>
      </c>
      <c r="AA938" s="1077" t="s">
        <v>2127</v>
      </c>
      <c r="AB938" s="1077" t="s">
        <v>981</v>
      </c>
      <c r="AH938" s="1077" t="s">
        <v>483</v>
      </c>
      <c r="AI938" s="1077">
        <v>94.13</v>
      </c>
      <c r="AJ938" s="1077">
        <v>-0.23</v>
      </c>
      <c r="AK938" s="1077">
        <v>2.64</v>
      </c>
      <c r="AM938" s="1078" t="s">
        <v>10913</v>
      </c>
      <c r="AN938" s="1078" t="s">
        <v>10914</v>
      </c>
      <c r="AO938" s="1078">
        <f t="shared" si="118"/>
        <v>650</v>
      </c>
      <c r="AP938" s="1078">
        <f t="shared" si="119"/>
        <v>1.72</v>
      </c>
      <c r="AQ938" s="1078" t="str">
        <f t="shared" si="120"/>
        <v>1-4-1S91°</v>
      </c>
      <c r="AR938" s="1078" t="str">
        <f t="shared" si="121"/>
        <v>31</v>
      </c>
      <c r="AS938" s="1078" t="str">
        <f t="shared" si="122"/>
        <v>270/270/OFF</v>
      </c>
      <c r="AT938" s="1078" t="str">
        <f t="shared" si="123"/>
        <v>1-4-1S91°</v>
      </c>
      <c r="AV938" s="1078" t="str">
        <f t="shared" si="116"/>
        <v>113.10.9</v>
      </c>
      <c r="AW938" s="1344">
        <f t="shared" si="117"/>
        <v>45574</v>
      </c>
    </row>
    <row r="939" spans="1:49">
      <c r="A939" s="1077" t="s">
        <v>2128</v>
      </c>
      <c r="B939" s="1077" t="s">
        <v>2129</v>
      </c>
      <c r="C939" s="1077">
        <v>550</v>
      </c>
      <c r="D939" s="1077">
        <v>1.73</v>
      </c>
      <c r="E939" s="1077" t="s">
        <v>15089</v>
      </c>
      <c r="F939" s="1077" t="s">
        <v>984</v>
      </c>
      <c r="G939" s="1077" t="s">
        <v>1767</v>
      </c>
      <c r="H939" s="1077" t="s">
        <v>2130</v>
      </c>
      <c r="I939" s="1077" t="s">
        <v>126</v>
      </c>
      <c r="J939" s="1077">
        <v>1</v>
      </c>
      <c r="K939" s="1077" t="s">
        <v>2131</v>
      </c>
      <c r="L939" s="1077" t="s">
        <v>2132</v>
      </c>
      <c r="M939" s="1077">
        <v>76</v>
      </c>
      <c r="N939" s="1077" t="s">
        <v>945</v>
      </c>
      <c r="O939" s="1077">
        <v>1.9000000000000001</v>
      </c>
      <c r="P939" s="1077">
        <v>1.52</v>
      </c>
      <c r="Q939" s="1077">
        <v>3.5</v>
      </c>
      <c r="R939" s="1077">
        <v>22</v>
      </c>
      <c r="T939" s="1077">
        <v>15.5</v>
      </c>
      <c r="U939" s="1077">
        <v>2.9</v>
      </c>
      <c r="V939" s="1077" t="s">
        <v>648</v>
      </c>
      <c r="W939" s="1077">
        <v>105</v>
      </c>
      <c r="X939" s="1077">
        <v>85</v>
      </c>
      <c r="Y939" s="1077">
        <v>2.2000000000000002</v>
      </c>
      <c r="Z939" s="1077">
        <v>3</v>
      </c>
      <c r="AA939" s="1077" t="s">
        <v>2133</v>
      </c>
      <c r="AH939" s="1077" t="s">
        <v>963</v>
      </c>
      <c r="AI939" s="1077">
        <v>14.23</v>
      </c>
      <c r="AJ939" s="1077">
        <v>0.35</v>
      </c>
      <c r="AK939" s="1077">
        <v>0.95</v>
      </c>
      <c r="AM939" s="1078" t="s">
        <v>10915</v>
      </c>
      <c r="AN939" s="1078" t="s">
        <v>10916</v>
      </c>
      <c r="AO939" s="1078">
        <f t="shared" si="118"/>
        <v>550</v>
      </c>
      <c r="AP939" s="1078">
        <f t="shared" si="119"/>
        <v>1.73</v>
      </c>
      <c r="AQ939" s="1078" t="str">
        <f t="shared" si="120"/>
        <v>1-4-1S83°</v>
      </c>
      <c r="AR939" s="1078" t="str">
        <f t="shared" si="121"/>
        <v>30</v>
      </c>
      <c r="AS939" s="1078" t="str">
        <f t="shared" si="122"/>
        <v>270/270/150</v>
      </c>
      <c r="AT939" s="1078" t="str">
        <f t="shared" si="123"/>
        <v>1-4-1S83°</v>
      </c>
      <c r="AV939" s="1078" t="str">
        <f t="shared" si="116"/>
        <v>113.10.7</v>
      </c>
      <c r="AW939" s="1344">
        <f t="shared" si="117"/>
        <v>45572</v>
      </c>
    </row>
    <row r="940" spans="1:49">
      <c r="A940" s="1077" t="s">
        <v>2134</v>
      </c>
      <c r="B940" s="1077" t="s">
        <v>620</v>
      </c>
      <c r="C940" s="1077">
        <v>550</v>
      </c>
      <c r="D940" s="1077">
        <v>1.7</v>
      </c>
      <c r="E940" s="1077" t="s">
        <v>15091</v>
      </c>
      <c r="F940" s="1077" t="s">
        <v>1689</v>
      </c>
      <c r="G940" s="1077" t="s">
        <v>940</v>
      </c>
      <c r="H940" s="1077" t="s">
        <v>2135</v>
      </c>
      <c r="I940" s="1077" t="s">
        <v>626</v>
      </c>
      <c r="J940" s="1077">
        <v>1.2</v>
      </c>
      <c r="K940" s="1077" t="s">
        <v>2068</v>
      </c>
      <c r="L940" s="1077" t="s">
        <v>2032</v>
      </c>
      <c r="M940" s="1077">
        <v>77</v>
      </c>
      <c r="N940" s="1077" t="s">
        <v>945</v>
      </c>
      <c r="O940" s="1077">
        <v>1.925</v>
      </c>
      <c r="P940" s="1077">
        <v>1.54</v>
      </c>
      <c r="Q940" s="1077">
        <v>3.5</v>
      </c>
      <c r="R940" s="1077">
        <v>22</v>
      </c>
      <c r="T940" s="1077">
        <v>9</v>
      </c>
      <c r="U940" s="1077">
        <v>3</v>
      </c>
      <c r="V940" s="1077" t="s">
        <v>648</v>
      </c>
      <c r="W940" s="1077">
        <v>140</v>
      </c>
      <c r="X940" s="1077">
        <v>80</v>
      </c>
      <c r="Y940" s="1077">
        <v>2.1</v>
      </c>
      <c r="Z940" s="1077">
        <v>2.5</v>
      </c>
      <c r="AA940" s="1077" t="s">
        <v>2098</v>
      </c>
      <c r="AH940" s="1077" t="s">
        <v>803</v>
      </c>
      <c r="AI940" s="1077">
        <v>91.35</v>
      </c>
      <c r="AJ940" s="1077">
        <v>-0.48</v>
      </c>
      <c r="AK940" s="1077">
        <v>3.32</v>
      </c>
      <c r="AM940" s="1078" t="s">
        <v>10917</v>
      </c>
      <c r="AN940" s="1078" t="s">
        <v>10918</v>
      </c>
      <c r="AO940" s="1078">
        <f t="shared" si="118"/>
        <v>550</v>
      </c>
      <c r="AP940" s="1078">
        <f t="shared" si="119"/>
        <v>1.7</v>
      </c>
      <c r="AQ940" s="1078" t="str">
        <f t="shared" si="120"/>
        <v>2-5-1S83°</v>
      </c>
      <c r="AR940" s="1078" t="str">
        <f t="shared" si="121"/>
        <v>29.5</v>
      </c>
      <c r="AS940" s="1078" t="str">
        <f t="shared" si="122"/>
        <v>165/160</v>
      </c>
      <c r="AT940" s="1078" t="str">
        <f t="shared" si="123"/>
        <v>2-5-1S83°</v>
      </c>
      <c r="AV940" s="1078" t="str">
        <f t="shared" si="116"/>
        <v>113.10.4</v>
      </c>
      <c r="AW940" s="1344">
        <f t="shared" si="117"/>
        <v>45569</v>
      </c>
    </row>
    <row r="941" spans="1:49">
      <c r="A941" s="1077" t="s">
        <v>2136</v>
      </c>
      <c r="B941" s="1077" t="s">
        <v>752</v>
      </c>
      <c r="C941" s="1077">
        <v>600</v>
      </c>
      <c r="D941" s="1077">
        <v>1.8</v>
      </c>
      <c r="E941" s="1077" t="s">
        <v>15089</v>
      </c>
      <c r="F941" s="1077" t="s">
        <v>975</v>
      </c>
      <c r="G941" s="1077" t="s">
        <v>1001</v>
      </c>
      <c r="H941" s="1077" t="s">
        <v>955</v>
      </c>
      <c r="I941" s="1077" t="s">
        <v>126</v>
      </c>
      <c r="J941" s="1077">
        <v>1</v>
      </c>
      <c r="K941" s="1077" t="s">
        <v>1932</v>
      </c>
      <c r="L941" s="1077" t="s">
        <v>1933</v>
      </c>
      <c r="M941" s="1077">
        <v>74.5</v>
      </c>
      <c r="N941" s="1077" t="s">
        <v>945</v>
      </c>
      <c r="O941" s="1077">
        <v>1.8625</v>
      </c>
      <c r="P941" s="1077">
        <v>1.49</v>
      </c>
      <c r="Q941" s="1077">
        <v>4</v>
      </c>
      <c r="R941" s="1077">
        <v>22.3</v>
      </c>
      <c r="T941" s="1077">
        <v>22</v>
      </c>
      <c r="U941" s="1077">
        <v>3.3</v>
      </c>
      <c r="V941" s="1077" t="s">
        <v>648</v>
      </c>
      <c r="W941" s="1077">
        <v>110</v>
      </c>
      <c r="X941" s="1077">
        <v>85</v>
      </c>
      <c r="Y941" s="1077">
        <v>2</v>
      </c>
      <c r="Z941" s="1077">
        <v>4.5</v>
      </c>
      <c r="AA941" s="1077" t="s">
        <v>2137</v>
      </c>
      <c r="AH941" s="1077" t="s">
        <v>2138</v>
      </c>
      <c r="AI941" s="1077">
        <v>94.07</v>
      </c>
      <c r="AJ941" s="1077">
        <v>-0.86</v>
      </c>
      <c r="AK941" s="1077">
        <v>1.5</v>
      </c>
      <c r="AM941" s="1078" t="s">
        <v>10919</v>
      </c>
      <c r="AN941" s="1078" t="s">
        <v>10920</v>
      </c>
      <c r="AO941" s="1078">
        <f t="shared" si="118"/>
        <v>600</v>
      </c>
      <c r="AP941" s="1078">
        <f t="shared" si="119"/>
        <v>1.8</v>
      </c>
      <c r="AQ941" s="1078" t="str">
        <f t="shared" si="120"/>
        <v>1-4-1S83°</v>
      </c>
      <c r="AR941" s="1078" t="str">
        <f t="shared" si="121"/>
        <v>31.5</v>
      </c>
      <c r="AS941" s="1078" t="str">
        <f t="shared" si="122"/>
        <v>260/260/OFF</v>
      </c>
      <c r="AT941" s="1078" t="str">
        <f t="shared" si="123"/>
        <v>1-4-1S83°</v>
      </c>
      <c r="AV941" s="1078" t="str">
        <f t="shared" si="116"/>
        <v>113.10.14</v>
      </c>
      <c r="AW941" s="1344">
        <f t="shared" si="117"/>
        <v>45579</v>
      </c>
    </row>
    <row r="942" spans="1:49">
      <c r="A942" s="1077" t="s">
        <v>2139</v>
      </c>
      <c r="B942" s="1077" t="s">
        <v>752</v>
      </c>
      <c r="C942" s="1077">
        <v>550</v>
      </c>
      <c r="D942" s="1077">
        <v>1.72</v>
      </c>
      <c r="E942" s="1077" t="s">
        <v>15089</v>
      </c>
      <c r="F942" s="1077" t="s">
        <v>975</v>
      </c>
      <c r="G942" s="1077" t="s">
        <v>2084</v>
      </c>
      <c r="H942" s="1077" t="s">
        <v>1831</v>
      </c>
      <c r="I942" s="1077" t="s">
        <v>126</v>
      </c>
      <c r="J942" s="1077">
        <v>0.9</v>
      </c>
      <c r="K942" s="1077" t="s">
        <v>1932</v>
      </c>
      <c r="L942" s="1077" t="s">
        <v>1933</v>
      </c>
      <c r="M942" s="1077">
        <v>78.5</v>
      </c>
      <c r="N942" s="1077" t="s">
        <v>945</v>
      </c>
      <c r="O942" s="1077">
        <v>1.9625000000000001</v>
      </c>
      <c r="P942" s="1077">
        <v>1.57</v>
      </c>
      <c r="Q942" s="1077">
        <v>4</v>
      </c>
      <c r="R942" s="1077">
        <v>25</v>
      </c>
      <c r="T942" s="1077">
        <v>9</v>
      </c>
      <c r="U942" s="1077">
        <v>2.1</v>
      </c>
      <c r="V942" s="1077" t="s">
        <v>648</v>
      </c>
      <c r="W942" s="1077">
        <v>110</v>
      </c>
      <c r="X942" s="1077">
        <v>85</v>
      </c>
      <c r="Y942" s="1077">
        <v>2.1</v>
      </c>
      <c r="Z942" s="1077">
        <v>3</v>
      </c>
      <c r="AA942" s="1077" t="s">
        <v>2140</v>
      </c>
      <c r="AH942" s="1077" t="s">
        <v>869</v>
      </c>
      <c r="AI942" s="1077">
        <v>92.43</v>
      </c>
      <c r="AJ942" s="1077">
        <v>-0.32</v>
      </c>
      <c r="AK942" s="1077">
        <v>0.95</v>
      </c>
      <c r="AM942" s="1078" t="s">
        <v>10921</v>
      </c>
      <c r="AN942" s="1078" t="s">
        <v>9426</v>
      </c>
      <c r="AO942" s="1078">
        <f t="shared" si="118"/>
        <v>550</v>
      </c>
      <c r="AP942" s="1078">
        <f t="shared" si="119"/>
        <v>1.72</v>
      </c>
      <c r="AQ942" s="1078" t="str">
        <f t="shared" si="120"/>
        <v>1-4-1S83°</v>
      </c>
      <c r="AR942" s="1078" t="str">
        <f t="shared" si="121"/>
        <v>31.5</v>
      </c>
      <c r="AS942" s="1078" t="str">
        <f t="shared" si="122"/>
        <v>260/260/165</v>
      </c>
      <c r="AT942" s="1078" t="str">
        <f t="shared" si="123"/>
        <v>1-4-1S83°</v>
      </c>
      <c r="AV942" s="1078" t="str">
        <f t="shared" si="116"/>
        <v>113.10.23</v>
      </c>
      <c r="AW942" s="1344">
        <f t="shared" si="117"/>
        <v>45588</v>
      </c>
    </row>
    <row r="943" spans="1:49">
      <c r="A943" s="1077" t="s">
        <v>2141</v>
      </c>
      <c r="B943" s="1077" t="s">
        <v>1815</v>
      </c>
      <c r="C943" s="1077">
        <v>650</v>
      </c>
      <c r="D943" s="1077">
        <v>1.72</v>
      </c>
      <c r="E943" s="1077" t="s">
        <v>15098</v>
      </c>
      <c r="F943" s="1077" t="s">
        <v>954</v>
      </c>
      <c r="G943" s="1077" t="s">
        <v>1767</v>
      </c>
      <c r="H943" s="1077" t="s">
        <v>1793</v>
      </c>
      <c r="I943" s="1077" t="s">
        <v>126</v>
      </c>
      <c r="J943" s="1077">
        <v>0.9</v>
      </c>
      <c r="K943" s="1077" t="s">
        <v>2142</v>
      </c>
      <c r="L943" s="1077" t="s">
        <v>1817</v>
      </c>
      <c r="M943" s="1077">
        <v>75.099999999999994</v>
      </c>
      <c r="N943" s="1077" t="s">
        <v>945</v>
      </c>
      <c r="O943" s="1077">
        <v>1.8774999999999999</v>
      </c>
      <c r="P943" s="1077">
        <v>1.502</v>
      </c>
      <c r="Q943" s="1077">
        <v>4</v>
      </c>
      <c r="R943" s="1077">
        <v>19</v>
      </c>
      <c r="T943" s="1077">
        <v>21</v>
      </c>
      <c r="U943" s="1077">
        <v>3.5</v>
      </c>
      <c r="V943" s="1077" t="s">
        <v>648</v>
      </c>
      <c r="W943" s="1077">
        <v>110</v>
      </c>
      <c r="X943" s="1077">
        <v>65</v>
      </c>
      <c r="Y943" s="1077">
        <v>1.6</v>
      </c>
      <c r="Z943" s="1077">
        <v>4</v>
      </c>
      <c r="AA943" s="1077" t="s">
        <v>1999</v>
      </c>
      <c r="AB943" s="1077" t="s">
        <v>981</v>
      </c>
      <c r="AH943" s="1077" t="s">
        <v>958</v>
      </c>
      <c r="AI943" s="1077">
        <v>95.06</v>
      </c>
      <c r="AJ943" s="1077">
        <v>-0.2</v>
      </c>
      <c r="AK943" s="1077">
        <v>2.81</v>
      </c>
      <c r="AM943" s="1078" t="s">
        <v>10922</v>
      </c>
      <c r="AN943" s="1078" t="s">
        <v>10923</v>
      </c>
      <c r="AO943" s="1078">
        <f t="shared" si="118"/>
        <v>650</v>
      </c>
      <c r="AP943" s="1078">
        <f t="shared" si="119"/>
        <v>1.72</v>
      </c>
      <c r="AQ943" s="1078" t="str">
        <f t="shared" si="120"/>
        <v>1-4-1S91°</v>
      </c>
      <c r="AR943" s="1078" t="str">
        <f t="shared" si="121"/>
        <v>31</v>
      </c>
      <c r="AS943" s="1078" t="str">
        <f t="shared" si="122"/>
        <v>270/270/OFF</v>
      </c>
      <c r="AT943" s="1078" t="str">
        <f t="shared" si="123"/>
        <v>1-4-1S91°</v>
      </c>
      <c r="AV943" s="1078" t="str">
        <f t="shared" si="116"/>
        <v>113.10.30</v>
      </c>
      <c r="AW943" s="1344">
        <f t="shared" si="117"/>
        <v>45595</v>
      </c>
    </row>
    <row r="944" spans="1:49">
      <c r="A944" s="1077" t="s">
        <v>2143</v>
      </c>
      <c r="B944" s="1077" t="s">
        <v>620</v>
      </c>
      <c r="C944" s="1077">
        <v>650</v>
      </c>
      <c r="D944" s="1077">
        <v>1.71</v>
      </c>
      <c r="E944" s="1077" t="s">
        <v>15089</v>
      </c>
      <c r="F944" s="1077" t="s">
        <v>984</v>
      </c>
      <c r="G944" s="1077" t="s">
        <v>1767</v>
      </c>
      <c r="H944" s="1077" t="s">
        <v>2144</v>
      </c>
      <c r="I944" s="1077" t="s">
        <v>626</v>
      </c>
      <c r="J944" s="1077">
        <v>1.6</v>
      </c>
      <c r="K944" s="1077" t="s">
        <v>2145</v>
      </c>
      <c r="L944" s="1077" t="s">
        <v>2032</v>
      </c>
      <c r="M944" s="1077">
        <v>77</v>
      </c>
      <c r="N944" s="1077" t="s">
        <v>945</v>
      </c>
      <c r="O944" s="1077">
        <v>1.925</v>
      </c>
      <c r="P944" s="1077">
        <v>1.54</v>
      </c>
      <c r="Q944" s="1077">
        <v>3.5</v>
      </c>
      <c r="R944" s="1077">
        <v>22</v>
      </c>
      <c r="T944" s="1077">
        <v>9</v>
      </c>
      <c r="U944" s="1077">
        <v>3</v>
      </c>
      <c r="V944" s="1077" t="s">
        <v>648</v>
      </c>
      <c r="W944" s="1077">
        <v>140</v>
      </c>
      <c r="X944" s="1077">
        <v>80</v>
      </c>
      <c r="Y944" s="1077">
        <v>2.1</v>
      </c>
      <c r="Z944" s="1077">
        <v>2.5</v>
      </c>
      <c r="AA944" s="1077" t="s">
        <v>2146</v>
      </c>
      <c r="AH944" s="1077" t="s">
        <v>621</v>
      </c>
      <c r="AI944" s="1077">
        <v>91.95</v>
      </c>
      <c r="AJ944" s="1077">
        <v>-0.03</v>
      </c>
      <c r="AK944" s="1077">
        <v>0.63</v>
      </c>
      <c r="AM944" s="1078" t="s">
        <v>10924</v>
      </c>
      <c r="AN944" s="1078" t="s">
        <v>10925</v>
      </c>
      <c r="AO944" s="1078">
        <f t="shared" si="118"/>
        <v>650</v>
      </c>
      <c r="AP944" s="1078">
        <f t="shared" si="119"/>
        <v>1.71</v>
      </c>
      <c r="AQ944" s="1078" t="str">
        <f t="shared" si="120"/>
        <v>1-4-1S83°</v>
      </c>
      <c r="AR944" s="1078" t="str">
        <f t="shared" si="121"/>
        <v>30</v>
      </c>
      <c r="AS944" s="1078" t="str">
        <f t="shared" si="122"/>
        <v>250/250/155</v>
      </c>
      <c r="AT944" s="1078" t="str">
        <f t="shared" si="123"/>
        <v>1-4-1S83°</v>
      </c>
      <c r="AV944" s="1078" t="str">
        <f t="shared" si="116"/>
        <v>113.11.8</v>
      </c>
      <c r="AW944" s="1344">
        <f t="shared" si="117"/>
        <v>45604</v>
      </c>
    </row>
    <row r="945" spans="1:49">
      <c r="A945" s="1077" t="s">
        <v>2147</v>
      </c>
      <c r="B945" s="1077" t="s">
        <v>424</v>
      </c>
      <c r="C945" s="1077">
        <v>700</v>
      </c>
      <c r="D945" s="1077">
        <v>1.7849999999999999</v>
      </c>
      <c r="E945" s="1077" t="s">
        <v>15089</v>
      </c>
      <c r="F945" s="1077" t="s">
        <v>954</v>
      </c>
      <c r="G945" s="1077" t="s">
        <v>1767</v>
      </c>
      <c r="H945" s="1077" t="s">
        <v>1806</v>
      </c>
      <c r="I945" s="1077" t="s">
        <v>126</v>
      </c>
      <c r="J945" s="1077">
        <v>1.9</v>
      </c>
      <c r="K945" s="1077" t="s">
        <v>2071</v>
      </c>
      <c r="L945" s="1077" t="s">
        <v>1938</v>
      </c>
      <c r="M945" s="1077">
        <v>73</v>
      </c>
      <c r="N945" s="1077" t="s">
        <v>945</v>
      </c>
      <c r="O945" s="1077">
        <v>1.8250000000000002</v>
      </c>
      <c r="P945" s="1077">
        <v>1.46</v>
      </c>
      <c r="Q945" s="1077">
        <v>4</v>
      </c>
      <c r="R945" s="1077">
        <v>21.6</v>
      </c>
      <c r="T945" s="1077">
        <v>32</v>
      </c>
      <c r="U945" s="1077">
        <v>3.5</v>
      </c>
      <c r="V945" s="1077" t="s">
        <v>648</v>
      </c>
      <c r="W945" s="1077">
        <v>110</v>
      </c>
      <c r="X945" s="1077">
        <v>60</v>
      </c>
      <c r="Y945" s="1077">
        <v>1.5</v>
      </c>
      <c r="Z945" s="1077">
        <v>5.5</v>
      </c>
      <c r="AA945" s="1077" t="s">
        <v>1735</v>
      </c>
      <c r="AB945" s="1077" t="s">
        <v>981</v>
      </c>
      <c r="AH945" s="1077" t="s">
        <v>456</v>
      </c>
      <c r="AI945" s="1077">
        <v>93.66</v>
      </c>
      <c r="AJ945" s="1077">
        <v>-0.23</v>
      </c>
      <c r="AK945" s="1077">
        <v>0.46</v>
      </c>
      <c r="AM945" s="1078" t="s">
        <v>10926</v>
      </c>
      <c r="AN945" s="1078" t="s">
        <v>10927</v>
      </c>
      <c r="AO945" s="1078">
        <f t="shared" si="118"/>
        <v>700</v>
      </c>
      <c r="AP945" s="1078">
        <f t="shared" si="119"/>
        <v>1.7849999999999999</v>
      </c>
      <c r="AQ945" s="1078" t="str">
        <f t="shared" si="120"/>
        <v>1-4-1S83°</v>
      </c>
      <c r="AR945" s="1078" t="str">
        <f t="shared" si="121"/>
        <v>31</v>
      </c>
      <c r="AS945" s="1078" t="str">
        <f t="shared" si="122"/>
        <v>280/280/OFF</v>
      </c>
      <c r="AT945" s="1078" t="str">
        <f t="shared" si="123"/>
        <v>1-4-1S83°</v>
      </c>
      <c r="AV945" s="1078" t="str">
        <f t="shared" si="116"/>
        <v>113.10.31</v>
      </c>
      <c r="AW945" s="1344">
        <f t="shared" si="117"/>
        <v>45596</v>
      </c>
    </row>
    <row r="946" spans="1:49">
      <c r="A946" s="1077" t="s">
        <v>2148</v>
      </c>
      <c r="B946" s="1077" t="s">
        <v>1815</v>
      </c>
      <c r="C946" s="1077">
        <v>650</v>
      </c>
      <c r="D946" s="1077">
        <v>1.73</v>
      </c>
      <c r="E946" s="1077" t="s">
        <v>15098</v>
      </c>
      <c r="F946" s="1077" t="s">
        <v>954</v>
      </c>
      <c r="G946" s="1077" t="s">
        <v>1767</v>
      </c>
      <c r="H946" s="1077" t="s">
        <v>1793</v>
      </c>
      <c r="I946" s="1077" t="s">
        <v>126</v>
      </c>
      <c r="J946" s="1077">
        <v>0.8</v>
      </c>
      <c r="K946" s="1077" t="s">
        <v>2142</v>
      </c>
      <c r="L946" s="1077" t="s">
        <v>1817</v>
      </c>
      <c r="M946" s="1077">
        <v>75.099999999999994</v>
      </c>
      <c r="N946" s="1077" t="s">
        <v>945</v>
      </c>
      <c r="O946" s="1077">
        <v>1.8774999999999999</v>
      </c>
      <c r="P946" s="1077">
        <v>1.502</v>
      </c>
      <c r="Q946" s="1077">
        <v>4</v>
      </c>
      <c r="R946" s="1077">
        <v>19</v>
      </c>
      <c r="T946" s="1077">
        <v>21</v>
      </c>
      <c r="U946" s="1077">
        <v>3.5</v>
      </c>
      <c r="V946" s="1077" t="s">
        <v>648</v>
      </c>
      <c r="W946" s="1077">
        <v>110</v>
      </c>
      <c r="X946" s="1077">
        <v>65</v>
      </c>
      <c r="Y946" s="1077">
        <v>1.6</v>
      </c>
      <c r="Z946" s="1077">
        <v>4</v>
      </c>
      <c r="AA946" s="1077" t="s">
        <v>2149</v>
      </c>
      <c r="AB946" s="1077" t="s">
        <v>981</v>
      </c>
      <c r="AH946" s="1077" t="s">
        <v>1186</v>
      </c>
      <c r="AI946" s="1077">
        <v>94.66</v>
      </c>
      <c r="AJ946" s="1077">
        <v>-0.65</v>
      </c>
      <c r="AK946" s="1077">
        <v>3.12</v>
      </c>
      <c r="AM946" s="1078" t="s">
        <v>10928</v>
      </c>
      <c r="AN946" s="1078" t="s">
        <v>10929</v>
      </c>
      <c r="AO946" s="1078">
        <f t="shared" si="118"/>
        <v>650</v>
      </c>
      <c r="AP946" s="1078">
        <f t="shared" si="119"/>
        <v>1.73</v>
      </c>
      <c r="AQ946" s="1078" t="str">
        <f t="shared" si="120"/>
        <v>1-4-1S91°</v>
      </c>
      <c r="AR946" s="1078" t="str">
        <f t="shared" si="121"/>
        <v>31</v>
      </c>
      <c r="AS946" s="1078" t="str">
        <f t="shared" si="122"/>
        <v>270/270/OFF</v>
      </c>
      <c r="AT946" s="1078" t="str">
        <f t="shared" si="123"/>
        <v>1-4-1S91°</v>
      </c>
      <c r="AV946" s="1078" t="str">
        <f t="shared" si="116"/>
        <v>113.11.4</v>
      </c>
      <c r="AW946" s="1344">
        <f t="shared" si="117"/>
        <v>45600</v>
      </c>
    </row>
    <row r="947" spans="1:49">
      <c r="A947" s="1077" t="s">
        <v>2150</v>
      </c>
      <c r="B947" s="1077" t="s">
        <v>1815</v>
      </c>
      <c r="C947" s="1077">
        <v>650</v>
      </c>
      <c r="D947" s="1077">
        <v>1.72</v>
      </c>
      <c r="E947" s="1077" t="s">
        <v>15098</v>
      </c>
      <c r="F947" s="1077" t="s">
        <v>954</v>
      </c>
      <c r="G947" s="1077" t="s">
        <v>1767</v>
      </c>
      <c r="H947" s="1077" t="s">
        <v>1793</v>
      </c>
      <c r="I947" s="1077" t="s">
        <v>126</v>
      </c>
      <c r="J947" s="1077">
        <v>0.9</v>
      </c>
      <c r="K947" s="1077" t="s">
        <v>2142</v>
      </c>
      <c r="L947" s="1077" t="s">
        <v>1817</v>
      </c>
      <c r="M947" s="1077">
        <v>75.099999999999994</v>
      </c>
      <c r="N947" s="1077" t="s">
        <v>945</v>
      </c>
      <c r="O947" s="1077">
        <v>1.8774999999999999</v>
      </c>
      <c r="P947" s="1077">
        <v>1.502</v>
      </c>
      <c r="Q947" s="1077">
        <v>4</v>
      </c>
      <c r="R947" s="1077">
        <v>19</v>
      </c>
      <c r="T947" s="1077">
        <v>21</v>
      </c>
      <c r="U947" s="1077">
        <v>3.5</v>
      </c>
      <c r="V947" s="1077" t="s">
        <v>648</v>
      </c>
      <c r="W947" s="1077">
        <v>110</v>
      </c>
      <c r="X947" s="1077">
        <v>65</v>
      </c>
      <c r="Y947" s="1077">
        <v>1.6</v>
      </c>
      <c r="Z947" s="1077">
        <v>4</v>
      </c>
      <c r="AA947" s="1077" t="s">
        <v>2151</v>
      </c>
      <c r="AB947" s="1077" t="s">
        <v>981</v>
      </c>
      <c r="AH947" s="1077" t="s">
        <v>619</v>
      </c>
      <c r="AI947" s="1077">
        <v>94.44</v>
      </c>
      <c r="AJ947" s="1077">
        <v>-0.84</v>
      </c>
      <c r="AK947" s="1077">
        <v>2.96</v>
      </c>
      <c r="AM947" s="1078" t="s">
        <v>10930</v>
      </c>
      <c r="AN947" s="1078" t="s">
        <v>10931</v>
      </c>
      <c r="AO947" s="1078">
        <f t="shared" si="118"/>
        <v>650</v>
      </c>
      <c r="AP947" s="1078">
        <f t="shared" si="119"/>
        <v>1.72</v>
      </c>
      <c r="AQ947" s="1078" t="str">
        <f t="shared" si="120"/>
        <v>1-4-1S91°</v>
      </c>
      <c r="AR947" s="1078" t="str">
        <f t="shared" si="121"/>
        <v>31</v>
      </c>
      <c r="AS947" s="1078" t="str">
        <f t="shared" si="122"/>
        <v>270/270/OFF</v>
      </c>
      <c r="AT947" s="1078" t="str">
        <f t="shared" si="123"/>
        <v>1-4-1S91°</v>
      </c>
      <c r="AV947" s="1078" t="str">
        <f t="shared" si="116"/>
        <v>113.11.5</v>
      </c>
      <c r="AW947" s="1344">
        <f t="shared" si="117"/>
        <v>45601</v>
      </c>
    </row>
    <row r="948" spans="1:49">
      <c r="A948" s="1077" t="s">
        <v>2152</v>
      </c>
      <c r="B948" s="1077" t="s">
        <v>1815</v>
      </c>
      <c r="C948" s="1077">
        <v>650</v>
      </c>
      <c r="D948" s="1077">
        <v>1.7250000000000001</v>
      </c>
      <c r="E948" s="1077" t="s">
        <v>15098</v>
      </c>
      <c r="F948" s="1077" t="s">
        <v>954</v>
      </c>
      <c r="G948" s="1077" t="s">
        <v>1767</v>
      </c>
      <c r="H948" s="1077" t="s">
        <v>1793</v>
      </c>
      <c r="I948" s="1077" t="s">
        <v>126</v>
      </c>
      <c r="J948" s="1077">
        <v>0.8</v>
      </c>
      <c r="K948" s="1077" t="s">
        <v>2153</v>
      </c>
      <c r="L948" s="1077" t="s">
        <v>1817</v>
      </c>
      <c r="M948" s="1077">
        <v>75.099999999999994</v>
      </c>
      <c r="N948" s="1077" t="s">
        <v>945</v>
      </c>
      <c r="O948" s="1077">
        <v>1.8774999999999999</v>
      </c>
      <c r="P948" s="1077">
        <v>1.502</v>
      </c>
      <c r="Q948" s="1077">
        <v>4</v>
      </c>
      <c r="R948" s="1077">
        <v>19</v>
      </c>
      <c r="T948" s="1077">
        <v>21</v>
      </c>
      <c r="U948" s="1077">
        <v>3.5</v>
      </c>
      <c r="V948" s="1077" t="s">
        <v>648</v>
      </c>
      <c r="W948" s="1077">
        <v>110</v>
      </c>
      <c r="X948" s="1077">
        <v>65</v>
      </c>
      <c r="Y948" s="1077">
        <v>1.6</v>
      </c>
      <c r="Z948" s="1077">
        <v>4</v>
      </c>
      <c r="AA948" s="1077" t="s">
        <v>2154</v>
      </c>
      <c r="AB948" s="1077" t="s">
        <v>981</v>
      </c>
      <c r="AH948" s="1077" t="s">
        <v>1600</v>
      </c>
      <c r="AI948" s="1077">
        <v>94.53</v>
      </c>
      <c r="AJ948" s="1077">
        <v>-0.53</v>
      </c>
      <c r="AK948" s="1077">
        <v>2.23</v>
      </c>
      <c r="AM948" s="1078" t="s">
        <v>10932</v>
      </c>
      <c r="AN948" s="1078" t="s">
        <v>10933</v>
      </c>
      <c r="AO948" s="1078">
        <f t="shared" si="118"/>
        <v>650</v>
      </c>
      <c r="AP948" s="1078">
        <f t="shared" si="119"/>
        <v>1.7250000000000001</v>
      </c>
      <c r="AQ948" s="1078" t="str">
        <f t="shared" si="120"/>
        <v>1-4-1S91°</v>
      </c>
      <c r="AR948" s="1078" t="str">
        <f t="shared" si="121"/>
        <v>31</v>
      </c>
      <c r="AS948" s="1078" t="str">
        <f t="shared" si="122"/>
        <v>270/270/OFF</v>
      </c>
      <c r="AT948" s="1078" t="str">
        <f t="shared" si="123"/>
        <v>1-4-1S91°</v>
      </c>
      <c r="AV948" s="1078" t="str">
        <f t="shared" si="116"/>
        <v>113.11.11</v>
      </c>
      <c r="AW948" s="1344">
        <f t="shared" si="117"/>
        <v>45607</v>
      </c>
    </row>
    <row r="949" spans="1:49">
      <c r="A949" s="1077" t="s">
        <v>2155</v>
      </c>
      <c r="B949" s="1077" t="s">
        <v>472</v>
      </c>
      <c r="C949" s="1077">
        <v>600</v>
      </c>
      <c r="D949" s="1077">
        <v>1.71</v>
      </c>
      <c r="E949" s="1077" t="s">
        <v>15089</v>
      </c>
      <c r="F949" s="1077" t="s">
        <v>984</v>
      </c>
      <c r="G949" s="1077" t="s">
        <v>1767</v>
      </c>
      <c r="H949" s="1077" t="s">
        <v>1077</v>
      </c>
      <c r="I949" s="1077" t="s">
        <v>126</v>
      </c>
      <c r="J949" s="1077">
        <v>0.7</v>
      </c>
      <c r="K949" s="1077" t="s">
        <v>2156</v>
      </c>
      <c r="L949" s="1077" t="s">
        <v>1811</v>
      </c>
      <c r="M949" s="1077">
        <v>74.599999999999994</v>
      </c>
      <c r="N949" s="1077" t="s">
        <v>945</v>
      </c>
      <c r="O949" s="1077">
        <v>1.865</v>
      </c>
      <c r="P949" s="1077">
        <v>1.492</v>
      </c>
      <c r="Q949" s="1077">
        <v>3.5</v>
      </c>
      <c r="R949" s="1077">
        <v>27</v>
      </c>
      <c r="T949" s="1077">
        <v>12.5</v>
      </c>
      <c r="U949" s="1077">
        <v>5.0999999999999996</v>
      </c>
      <c r="V949" s="1077" t="s">
        <v>648</v>
      </c>
      <c r="W949" s="1077">
        <v>95</v>
      </c>
      <c r="X949" s="1077">
        <v>60</v>
      </c>
      <c r="Y949" s="1077">
        <v>1.8</v>
      </c>
      <c r="Z949" s="1077">
        <v>4.5</v>
      </c>
      <c r="AA949" s="1077" t="s">
        <v>2157</v>
      </c>
      <c r="AB949" s="1077" t="s">
        <v>2158</v>
      </c>
      <c r="AH949" s="1077" t="s">
        <v>1482</v>
      </c>
      <c r="AI949" s="1077">
        <v>92.96</v>
      </c>
      <c r="AJ949" s="1077">
        <v>-0.52</v>
      </c>
      <c r="AK949" s="1077">
        <v>4.97</v>
      </c>
      <c r="AM949" s="1078" t="s">
        <v>10934</v>
      </c>
      <c r="AN949" s="1078" t="s">
        <v>10935</v>
      </c>
      <c r="AO949" s="1078">
        <f t="shared" si="118"/>
        <v>600</v>
      </c>
      <c r="AP949" s="1078">
        <f t="shared" si="119"/>
        <v>1.71</v>
      </c>
      <c r="AQ949" s="1078" t="str">
        <f t="shared" si="120"/>
        <v>1-4-1S83°</v>
      </c>
      <c r="AR949" s="1078" t="str">
        <f t="shared" si="121"/>
        <v>30</v>
      </c>
      <c r="AS949" s="1078" t="str">
        <f t="shared" si="122"/>
        <v>245/245/OFF</v>
      </c>
      <c r="AT949" s="1078" t="str">
        <f t="shared" si="123"/>
        <v>1-4-1S83°</v>
      </c>
      <c r="AV949" s="1078" t="str">
        <f t="shared" si="116"/>
        <v>113.11.22</v>
      </c>
      <c r="AW949" s="1344">
        <f t="shared" si="117"/>
        <v>45618</v>
      </c>
    </row>
    <row r="950" spans="1:49">
      <c r="A950" s="1077" t="s">
        <v>2159</v>
      </c>
      <c r="B950" s="1077" t="s">
        <v>453</v>
      </c>
      <c r="C950" s="1077">
        <v>650</v>
      </c>
      <c r="D950" s="1077">
        <v>1.7150000000000001</v>
      </c>
      <c r="E950" s="1077" t="s">
        <v>15093</v>
      </c>
      <c r="F950" s="1077" t="s">
        <v>984</v>
      </c>
      <c r="G950" s="1077" t="s">
        <v>1767</v>
      </c>
      <c r="H950" s="1077" t="s">
        <v>1889</v>
      </c>
      <c r="I950" s="1077" t="s">
        <v>126</v>
      </c>
      <c r="J950" s="1077">
        <v>1.1000000000000001</v>
      </c>
      <c r="K950" s="1077" t="s">
        <v>2048</v>
      </c>
      <c r="L950" s="1077" t="s">
        <v>1821</v>
      </c>
      <c r="M950" s="1077">
        <v>77</v>
      </c>
      <c r="N950" s="1077" t="s">
        <v>945</v>
      </c>
      <c r="O950" s="1077">
        <v>1.925</v>
      </c>
      <c r="P950" s="1077">
        <v>1.54</v>
      </c>
      <c r="Q950" s="1077">
        <v>4.2</v>
      </c>
      <c r="R950" s="1077">
        <v>24</v>
      </c>
      <c r="T950" s="1077">
        <v>9</v>
      </c>
      <c r="U950" s="1077">
        <v>2.2000000000000002</v>
      </c>
      <c r="V950" s="1077" t="s">
        <v>648</v>
      </c>
      <c r="W950" s="1077">
        <v>110</v>
      </c>
      <c r="X950" s="1077" t="s">
        <v>1130</v>
      </c>
      <c r="Y950" s="1077">
        <v>2.1</v>
      </c>
      <c r="Z950" s="1077">
        <v>2.5</v>
      </c>
      <c r="AA950" s="1077" t="s">
        <v>2160</v>
      </c>
      <c r="AB950" s="1077" t="s">
        <v>981</v>
      </c>
      <c r="AH950" s="1077" t="s">
        <v>762</v>
      </c>
      <c r="AI950" s="1077">
        <v>91.92</v>
      </c>
      <c r="AJ950" s="1077">
        <v>-0.17</v>
      </c>
      <c r="AK950" s="1077">
        <v>0.95</v>
      </c>
      <c r="AM950" s="1078" t="s">
        <v>897</v>
      </c>
      <c r="AN950" s="1078" t="s">
        <v>10936</v>
      </c>
      <c r="AO950" s="1078">
        <f t="shared" si="118"/>
        <v>650</v>
      </c>
      <c r="AP950" s="1078">
        <f t="shared" si="119"/>
        <v>1.7150000000000001</v>
      </c>
      <c r="AQ950" s="1078" t="str">
        <f t="shared" si="120"/>
        <v>1-4-1S撚S83°</v>
      </c>
      <c r="AR950" s="1078" t="str">
        <f t="shared" si="121"/>
        <v>30</v>
      </c>
      <c r="AS950" s="1078" t="str">
        <f t="shared" si="122"/>
        <v>265/265/165</v>
      </c>
      <c r="AT950" s="1078" t="str">
        <f t="shared" si="123"/>
        <v>1-4-1S撚S83°</v>
      </c>
      <c r="AV950" s="1078" t="str">
        <f t="shared" si="116"/>
        <v>113.11.28</v>
      </c>
      <c r="AW950" s="1344">
        <f t="shared" si="117"/>
        <v>45624</v>
      </c>
    </row>
    <row r="951" spans="1:49">
      <c r="A951" s="1077" t="s">
        <v>2161</v>
      </c>
      <c r="B951" s="1077" t="s">
        <v>472</v>
      </c>
      <c r="C951" s="1077">
        <v>600</v>
      </c>
      <c r="D951" s="1077">
        <v>1.72</v>
      </c>
      <c r="E951" s="1077" t="s">
        <v>15089</v>
      </c>
      <c r="F951" s="1077" t="s">
        <v>984</v>
      </c>
      <c r="G951" s="1077" t="s">
        <v>1767</v>
      </c>
      <c r="H951" s="1077" t="s">
        <v>1040</v>
      </c>
      <c r="I951" s="1077" t="s">
        <v>126</v>
      </c>
      <c r="J951" s="1077">
        <v>0.7</v>
      </c>
      <c r="K951" s="1077" t="s">
        <v>2062</v>
      </c>
      <c r="L951" s="1077" t="s">
        <v>1811</v>
      </c>
      <c r="M951" s="1077">
        <v>74.599999999999994</v>
      </c>
      <c r="N951" s="1077" t="s">
        <v>945</v>
      </c>
      <c r="O951" s="1077">
        <v>1.865</v>
      </c>
      <c r="P951" s="1077">
        <v>1.492</v>
      </c>
      <c r="Q951" s="1077">
        <v>3.5</v>
      </c>
      <c r="R951" s="1077">
        <v>27</v>
      </c>
      <c r="T951" s="1077">
        <v>12.5</v>
      </c>
      <c r="U951" s="1077">
        <v>5.0999999999999996</v>
      </c>
      <c r="V951" s="1077" t="s">
        <v>648</v>
      </c>
      <c r="W951" s="1077">
        <v>95</v>
      </c>
      <c r="X951" s="1077">
        <v>60</v>
      </c>
      <c r="Y951" s="1077">
        <v>1.8</v>
      </c>
      <c r="Z951" s="1077">
        <v>4.5</v>
      </c>
      <c r="AA951" s="1077" t="s">
        <v>2160</v>
      </c>
      <c r="AB951" s="1077" t="s">
        <v>2162</v>
      </c>
      <c r="AH951" s="1077" t="s">
        <v>680</v>
      </c>
      <c r="AI951" s="1077">
        <v>92.54</v>
      </c>
      <c r="AJ951" s="1077">
        <v>-0.86</v>
      </c>
      <c r="AK951" s="1077">
        <v>3.8</v>
      </c>
      <c r="AM951" s="1078" t="s">
        <v>10937</v>
      </c>
      <c r="AN951" s="1078" t="s">
        <v>10938</v>
      </c>
      <c r="AO951" s="1078">
        <f t="shared" si="118"/>
        <v>600</v>
      </c>
      <c r="AP951" s="1078">
        <f t="shared" si="119"/>
        <v>1.72</v>
      </c>
      <c r="AQ951" s="1078" t="str">
        <f t="shared" si="120"/>
        <v>1-4-1S83°</v>
      </c>
      <c r="AR951" s="1078" t="str">
        <f t="shared" si="121"/>
        <v>30</v>
      </c>
      <c r="AS951" s="1078" t="str">
        <f t="shared" si="122"/>
        <v>240/240/OFF</v>
      </c>
      <c r="AT951" s="1078" t="str">
        <f t="shared" si="123"/>
        <v>1-4-1S83°</v>
      </c>
      <c r="AV951" s="1078" t="str">
        <f t="shared" si="116"/>
        <v>113.11.28</v>
      </c>
      <c r="AW951" s="1344">
        <f t="shared" si="117"/>
        <v>45624</v>
      </c>
    </row>
    <row r="952" spans="1:49">
      <c r="A952" s="1077" t="s">
        <v>2163</v>
      </c>
      <c r="B952" s="1077" t="s">
        <v>625</v>
      </c>
      <c r="C952" s="1077">
        <v>500</v>
      </c>
      <c r="D952" s="1077">
        <v>1.82</v>
      </c>
      <c r="E952" s="1077" t="s">
        <v>15089</v>
      </c>
      <c r="F952" s="1077" t="s">
        <v>975</v>
      </c>
      <c r="G952" s="1077" t="s">
        <v>1016</v>
      </c>
      <c r="H952" s="1077" t="s">
        <v>1145</v>
      </c>
      <c r="I952" s="1077" t="s">
        <v>126</v>
      </c>
      <c r="J952" s="1077">
        <v>1.5</v>
      </c>
      <c r="K952" s="1077" t="s">
        <v>2164</v>
      </c>
      <c r="L952" s="1077" t="s">
        <v>1987</v>
      </c>
      <c r="M952" s="1077">
        <v>75</v>
      </c>
      <c r="N952" s="1077" t="s">
        <v>945</v>
      </c>
      <c r="O952" s="1077">
        <v>1.875</v>
      </c>
      <c r="P952" s="1077">
        <v>1.5</v>
      </c>
      <c r="Q952" s="1077">
        <v>3</v>
      </c>
      <c r="R952" s="1077">
        <v>23</v>
      </c>
      <c r="T952" s="1077">
        <v>29</v>
      </c>
      <c r="U952" s="1077">
        <v>3.5</v>
      </c>
      <c r="V952" s="1077" t="s">
        <v>648</v>
      </c>
      <c r="W952" s="1077">
        <v>120</v>
      </c>
      <c r="X952" s="1077">
        <v>80</v>
      </c>
      <c r="Y952" s="1077">
        <v>1.8</v>
      </c>
      <c r="Z952" s="1077">
        <v>5.5</v>
      </c>
      <c r="AA952" s="1077" t="s">
        <v>2160</v>
      </c>
      <c r="AH952" s="1077" t="s">
        <v>830</v>
      </c>
      <c r="AI952" s="1077">
        <v>93.02</v>
      </c>
      <c r="AJ952" s="1077">
        <v>-0.15</v>
      </c>
      <c r="AK952" s="1077">
        <v>0.94</v>
      </c>
      <c r="AM952" s="1078" t="s">
        <v>10939</v>
      </c>
      <c r="AN952" s="1078" t="s">
        <v>10940</v>
      </c>
      <c r="AO952" s="1078">
        <f t="shared" si="118"/>
        <v>500</v>
      </c>
      <c r="AP952" s="1078">
        <f t="shared" si="119"/>
        <v>1.82</v>
      </c>
      <c r="AQ952" s="1078" t="str">
        <f t="shared" si="120"/>
        <v>1-4-1S83°</v>
      </c>
      <c r="AR952" s="1078" t="str">
        <f t="shared" si="121"/>
        <v>31.5</v>
      </c>
      <c r="AS952" s="1078" t="str">
        <f t="shared" si="122"/>
        <v>235/235/OFF</v>
      </c>
      <c r="AT952" s="1078" t="str">
        <f t="shared" si="123"/>
        <v>1-4-1S83°</v>
      </c>
      <c r="AV952" s="1078" t="str">
        <f t="shared" si="116"/>
        <v>113.11.28</v>
      </c>
      <c r="AW952" s="1344">
        <f t="shared" si="117"/>
        <v>45624</v>
      </c>
    </row>
    <row r="953" spans="1:49">
      <c r="A953" s="1077" t="s">
        <v>2165</v>
      </c>
      <c r="B953" s="1077" t="s">
        <v>1815</v>
      </c>
      <c r="C953" s="1077">
        <v>650</v>
      </c>
      <c r="D953" s="1077">
        <v>1.73</v>
      </c>
      <c r="E953" s="1077" t="s">
        <v>15098</v>
      </c>
      <c r="F953" s="1077" t="s">
        <v>954</v>
      </c>
      <c r="G953" s="1077" t="s">
        <v>1767</v>
      </c>
      <c r="H953" s="1077" t="s">
        <v>1793</v>
      </c>
      <c r="I953" s="1077" t="s">
        <v>126</v>
      </c>
      <c r="J953" s="1077">
        <v>0.9</v>
      </c>
      <c r="K953" s="1077" t="s">
        <v>2153</v>
      </c>
      <c r="L953" s="1077" t="s">
        <v>1817</v>
      </c>
      <c r="M953" s="1077">
        <v>75.099999999999994</v>
      </c>
      <c r="N953" s="1077" t="s">
        <v>945</v>
      </c>
      <c r="O953" s="1077">
        <v>1.8774999999999999</v>
      </c>
      <c r="P953" s="1077">
        <v>1.502</v>
      </c>
      <c r="Q953" s="1077">
        <v>4</v>
      </c>
      <c r="R953" s="1077">
        <v>19</v>
      </c>
      <c r="T953" s="1077">
        <v>21</v>
      </c>
      <c r="U953" s="1077">
        <v>3.5</v>
      </c>
      <c r="V953" s="1077" t="s">
        <v>648</v>
      </c>
      <c r="W953" s="1077">
        <v>110</v>
      </c>
      <c r="X953" s="1077">
        <v>65</v>
      </c>
      <c r="Y953" s="1077">
        <v>1.6</v>
      </c>
      <c r="Z953" s="1077">
        <v>4</v>
      </c>
      <c r="AA953" s="1077" t="s">
        <v>1744</v>
      </c>
      <c r="AB953" s="1077" t="s">
        <v>981</v>
      </c>
      <c r="AH953" s="1077" t="s">
        <v>1588</v>
      </c>
      <c r="AI953" s="1077">
        <v>90.57</v>
      </c>
      <c r="AJ953" s="1077">
        <v>-1.06</v>
      </c>
      <c r="AK953" s="1077">
        <v>2.62</v>
      </c>
      <c r="AM953" s="1078" t="s">
        <v>10941</v>
      </c>
      <c r="AN953" s="1078" t="s">
        <v>10942</v>
      </c>
      <c r="AO953" s="1078">
        <f t="shared" si="118"/>
        <v>650</v>
      </c>
      <c r="AP953" s="1078">
        <f t="shared" si="119"/>
        <v>1.73</v>
      </c>
      <c r="AQ953" s="1078" t="str">
        <f t="shared" si="120"/>
        <v>1-4-1S91°</v>
      </c>
      <c r="AR953" s="1078" t="str">
        <f t="shared" si="121"/>
        <v>31</v>
      </c>
      <c r="AS953" s="1078" t="str">
        <f t="shared" si="122"/>
        <v>270/270/OFF</v>
      </c>
      <c r="AT953" s="1078" t="str">
        <f t="shared" si="123"/>
        <v>1-4-1S91°</v>
      </c>
      <c r="AV953" s="1078" t="str">
        <f t="shared" si="116"/>
        <v>113.12.2</v>
      </c>
      <c r="AW953" s="1344">
        <f t="shared" si="117"/>
        <v>45628</v>
      </c>
    </row>
    <row r="954" spans="1:49">
      <c r="A954" s="1077" t="s">
        <v>2166</v>
      </c>
      <c r="B954" s="1077" t="s">
        <v>424</v>
      </c>
      <c r="C954" s="1077">
        <v>700</v>
      </c>
      <c r="D954" s="1077">
        <v>1.77</v>
      </c>
      <c r="E954" s="1077" t="s">
        <v>15091</v>
      </c>
      <c r="F954" s="1077" t="s">
        <v>2167</v>
      </c>
      <c r="G954" s="1077" t="s">
        <v>1767</v>
      </c>
      <c r="H954" s="1077" t="s">
        <v>1188</v>
      </c>
      <c r="I954" s="1077" t="s">
        <v>1112</v>
      </c>
      <c r="J954" s="1077">
        <v>1.7</v>
      </c>
      <c r="K954" s="1077" t="s">
        <v>2071</v>
      </c>
      <c r="L954" s="1077" t="s">
        <v>1938</v>
      </c>
      <c r="M954" s="1077">
        <v>74.599999999999994</v>
      </c>
      <c r="N954" s="1077" t="s">
        <v>945</v>
      </c>
      <c r="O954" s="1077">
        <v>1.865</v>
      </c>
      <c r="P954" s="1077">
        <v>1.492</v>
      </c>
      <c r="Q954" s="1077">
        <v>4</v>
      </c>
      <c r="R954" s="1077">
        <v>22</v>
      </c>
      <c r="T954" s="1077">
        <v>32</v>
      </c>
      <c r="U954" s="1077">
        <v>3.4</v>
      </c>
      <c r="V954" s="1077" t="s">
        <v>648</v>
      </c>
      <c r="W954" s="1077">
        <v>110</v>
      </c>
      <c r="X954" s="1077">
        <v>60</v>
      </c>
      <c r="Y954" s="1077">
        <v>2</v>
      </c>
      <c r="Z954" s="1077">
        <v>6</v>
      </c>
      <c r="AA954" s="1077" t="s">
        <v>2168</v>
      </c>
      <c r="AH954" s="1077" t="s">
        <v>726</v>
      </c>
      <c r="AI954" s="1077">
        <v>93.39</v>
      </c>
      <c r="AJ954" s="1077">
        <v>-0.24</v>
      </c>
      <c r="AK954" s="1077">
        <v>0.42</v>
      </c>
      <c r="AM954" s="1078" t="s">
        <v>10943</v>
      </c>
      <c r="AN954" s="1078" t="s">
        <v>10944</v>
      </c>
      <c r="AO954" s="1078">
        <f t="shared" si="118"/>
        <v>700</v>
      </c>
      <c r="AP954" s="1078">
        <f t="shared" si="119"/>
        <v>1.77</v>
      </c>
      <c r="AQ954" s="1078" t="str">
        <f t="shared" si="120"/>
        <v>2-5-1S83°</v>
      </c>
      <c r="AR954" s="1078" t="str">
        <f t="shared" si="121"/>
        <v>33</v>
      </c>
      <c r="AS954" s="1078" t="str">
        <f t="shared" si="122"/>
        <v>177/OFF</v>
      </c>
      <c r="AT954" s="1078" t="str">
        <f t="shared" si="123"/>
        <v>2-5-1S83°</v>
      </c>
      <c r="AV954" s="1078" t="str">
        <f t="shared" si="116"/>
        <v>113.12.9</v>
      </c>
      <c r="AW954" s="1344">
        <f t="shared" si="117"/>
        <v>45635</v>
      </c>
    </row>
    <row r="955" spans="1:49">
      <c r="A955" s="1077" t="s">
        <v>2169</v>
      </c>
      <c r="B955" s="1077" t="s">
        <v>1842</v>
      </c>
      <c r="C955" s="1077">
        <v>500</v>
      </c>
      <c r="D955" s="1077">
        <v>1.69</v>
      </c>
      <c r="E955" s="1077" t="s">
        <v>15095</v>
      </c>
      <c r="F955" s="1077" t="s">
        <v>984</v>
      </c>
      <c r="G955" s="1077" t="s">
        <v>1016</v>
      </c>
      <c r="H955" s="1077" t="s">
        <v>1649</v>
      </c>
      <c r="I955" s="1077" t="s">
        <v>126</v>
      </c>
      <c r="J955" s="1077">
        <v>0.7</v>
      </c>
      <c r="K955" s="1077" t="s">
        <v>2170</v>
      </c>
      <c r="L955" s="1077" t="s">
        <v>1844</v>
      </c>
      <c r="M955" s="1077">
        <v>77.099999999999994</v>
      </c>
      <c r="N955" s="1077" t="s">
        <v>945</v>
      </c>
      <c r="O955" s="1077">
        <v>1.9275</v>
      </c>
      <c r="P955" s="1077">
        <v>1.5419999999999998</v>
      </c>
      <c r="Q955" s="1077">
        <v>3.5</v>
      </c>
      <c r="R955" s="1077">
        <v>25</v>
      </c>
      <c r="T955" s="1077">
        <v>18</v>
      </c>
      <c r="U955" s="1077">
        <v>4</v>
      </c>
      <c r="V955" s="1077" t="s">
        <v>648</v>
      </c>
      <c r="W955" s="1077">
        <v>110</v>
      </c>
      <c r="X955" s="1077">
        <v>70</v>
      </c>
      <c r="Y955" s="1077">
        <v>1.8</v>
      </c>
      <c r="Z955" s="1077">
        <v>4.5</v>
      </c>
      <c r="AA955" s="1077" t="s">
        <v>2171</v>
      </c>
      <c r="AH955" s="1077" t="s">
        <v>1600</v>
      </c>
      <c r="AI955" s="1077">
        <v>94.55</v>
      </c>
      <c r="AJ955" s="1077">
        <v>-0.25</v>
      </c>
      <c r="AK955" s="1077">
        <v>1.05</v>
      </c>
      <c r="AM955" s="1078" t="s">
        <v>890</v>
      </c>
      <c r="AN955" s="1078" t="s">
        <v>10945</v>
      </c>
      <c r="AO955" s="1078">
        <f t="shared" si="118"/>
        <v>500</v>
      </c>
      <c r="AP955" s="1078">
        <f t="shared" si="119"/>
        <v>1.69</v>
      </c>
      <c r="AQ955" s="1078" t="str">
        <f t="shared" si="120"/>
        <v>1-5-1S83°</v>
      </c>
      <c r="AR955" s="1078" t="str">
        <f t="shared" si="121"/>
        <v>30</v>
      </c>
      <c r="AS955" s="1078" t="str">
        <f t="shared" si="122"/>
        <v>225/225/OFF</v>
      </c>
      <c r="AT955" s="1078" t="str">
        <f t="shared" si="123"/>
        <v>1-5-1S83°</v>
      </c>
      <c r="AV955" s="1078" t="str">
        <f t="shared" si="116"/>
        <v>113.12.13</v>
      </c>
      <c r="AW955" s="1344">
        <f t="shared" si="117"/>
        <v>45639</v>
      </c>
    </row>
    <row r="956" spans="1:49">
      <c r="A956" s="1077" t="s">
        <v>2172</v>
      </c>
      <c r="B956" s="1077" t="s">
        <v>771</v>
      </c>
      <c r="C956" s="1077">
        <v>700</v>
      </c>
      <c r="D956" s="1077">
        <v>1.75</v>
      </c>
      <c r="E956" s="1077" t="s">
        <v>15089</v>
      </c>
      <c r="F956" s="1077" t="s">
        <v>984</v>
      </c>
      <c r="G956" s="1077">
        <v>5</v>
      </c>
      <c r="H956" s="1077" t="s">
        <v>955</v>
      </c>
      <c r="I956" s="1077" t="s">
        <v>126</v>
      </c>
      <c r="J956" s="1077">
        <v>1.3</v>
      </c>
      <c r="K956" s="1077" t="s">
        <v>2173</v>
      </c>
      <c r="L956" s="1077" t="s">
        <v>2174</v>
      </c>
      <c r="M956" s="1077">
        <v>75</v>
      </c>
      <c r="N956" s="1077" t="s">
        <v>945</v>
      </c>
      <c r="O956" s="1077">
        <v>1.875</v>
      </c>
      <c r="P956" s="1077">
        <v>1.5</v>
      </c>
      <c r="Q956" s="1077">
        <v>4</v>
      </c>
      <c r="R956" s="1077">
        <v>23</v>
      </c>
      <c r="T956" s="1077">
        <v>26.5</v>
      </c>
      <c r="U956" s="1077">
        <v>3.8</v>
      </c>
      <c r="V956" s="1077" t="s">
        <v>648</v>
      </c>
      <c r="W956" s="1077">
        <v>100</v>
      </c>
      <c r="X956" s="1077">
        <v>45</v>
      </c>
      <c r="Y956" s="1077">
        <v>1.6</v>
      </c>
      <c r="Z956" s="1077">
        <v>5</v>
      </c>
      <c r="AA956" s="1077" t="s">
        <v>2175</v>
      </c>
      <c r="AH956" s="1077" t="s">
        <v>966</v>
      </c>
      <c r="AI956" s="1077">
        <v>92.81</v>
      </c>
      <c r="AJ956" s="1077">
        <v>-0.11</v>
      </c>
      <c r="AK956" s="1077">
        <v>0.86</v>
      </c>
      <c r="AM956" s="1078" t="s">
        <v>10946</v>
      </c>
      <c r="AN956" s="1078" t="s">
        <v>10947</v>
      </c>
      <c r="AO956" s="1078">
        <f t="shared" si="118"/>
        <v>700</v>
      </c>
      <c r="AP956" s="1078">
        <f t="shared" si="119"/>
        <v>1.75</v>
      </c>
      <c r="AQ956" s="1078" t="str">
        <f t="shared" si="120"/>
        <v>1-4-1S83°</v>
      </c>
      <c r="AR956" s="1078" t="str">
        <f t="shared" si="121"/>
        <v>30</v>
      </c>
      <c r="AS956" s="1078" t="str">
        <f t="shared" si="122"/>
        <v>260/260/OFF</v>
      </c>
      <c r="AT956" s="1078" t="str">
        <f t="shared" si="123"/>
        <v>1-4-1S83°</v>
      </c>
      <c r="AV956" s="1078" t="str">
        <f t="shared" si="116"/>
        <v>113.12.20</v>
      </c>
      <c r="AW956" s="1344">
        <f t="shared" si="117"/>
        <v>45646</v>
      </c>
    </row>
    <row r="957" spans="1:49">
      <c r="A957" s="1077" t="s">
        <v>2176</v>
      </c>
      <c r="B957" s="1077" t="s">
        <v>1858</v>
      </c>
      <c r="C957" s="1077">
        <v>620</v>
      </c>
      <c r="D957" s="1077">
        <v>1.71</v>
      </c>
      <c r="E957" s="1077" t="s">
        <v>15089</v>
      </c>
      <c r="F957" s="1077" t="s">
        <v>975</v>
      </c>
      <c r="G957" s="1077" t="s">
        <v>1867</v>
      </c>
      <c r="H957" s="1077" t="s">
        <v>1077</v>
      </c>
      <c r="I957" s="1077" t="s">
        <v>126</v>
      </c>
      <c r="J957" s="1077">
        <v>0.8</v>
      </c>
      <c r="K957" s="1077" t="s">
        <v>2177</v>
      </c>
      <c r="L957" s="1077" t="s">
        <v>1860</v>
      </c>
      <c r="M957" s="1077">
        <v>74</v>
      </c>
      <c r="N957" s="1077" t="s">
        <v>945</v>
      </c>
      <c r="O957" s="1077">
        <v>1.85</v>
      </c>
      <c r="P957" s="1077">
        <v>1.48</v>
      </c>
      <c r="Q957" s="1077">
        <v>3</v>
      </c>
      <c r="R957" s="1077">
        <v>30</v>
      </c>
      <c r="T957" s="1077">
        <v>13.8</v>
      </c>
      <c r="U957" s="1077">
        <v>5.0999999999999996</v>
      </c>
      <c r="V957" s="1077" t="s">
        <v>648</v>
      </c>
      <c r="W957" s="1077">
        <v>100</v>
      </c>
      <c r="X957" s="1077">
        <v>60</v>
      </c>
      <c r="Y957" s="1077">
        <v>1.8</v>
      </c>
      <c r="Z957" s="1077">
        <v>4</v>
      </c>
      <c r="AA957" s="1077" t="s">
        <v>2175</v>
      </c>
      <c r="AB957" s="1077" t="s">
        <v>2162</v>
      </c>
      <c r="AH957" s="1077" t="s">
        <v>1143</v>
      </c>
      <c r="AI957" s="1077">
        <v>93.3</v>
      </c>
      <c r="AJ957" s="1077">
        <v>-0.78</v>
      </c>
      <c r="AK957" s="1077">
        <v>3.74</v>
      </c>
      <c r="AM957" s="1078" t="s">
        <v>10948</v>
      </c>
      <c r="AN957" s="1078" t="s">
        <v>10949</v>
      </c>
      <c r="AO957" s="1078">
        <f t="shared" si="118"/>
        <v>620</v>
      </c>
      <c r="AP957" s="1078">
        <f t="shared" si="119"/>
        <v>1.71</v>
      </c>
      <c r="AQ957" s="1078" t="str">
        <f t="shared" si="120"/>
        <v>1-4-1S83°</v>
      </c>
      <c r="AR957" s="1078" t="str">
        <f t="shared" si="121"/>
        <v>31.5</v>
      </c>
      <c r="AS957" s="1078" t="str">
        <f t="shared" si="122"/>
        <v>245/245/OFF</v>
      </c>
      <c r="AT957" s="1078" t="str">
        <f t="shared" si="123"/>
        <v>1-4-1S83°</v>
      </c>
      <c r="AV957" s="1078" t="str">
        <f t="shared" si="116"/>
        <v>113.12.20</v>
      </c>
      <c r="AW957" s="1344">
        <f t="shared" si="117"/>
        <v>45646</v>
      </c>
    </row>
    <row r="958" spans="1:49">
      <c r="A958" s="1077" t="s">
        <v>2178</v>
      </c>
      <c r="B958" s="1077" t="s">
        <v>424</v>
      </c>
      <c r="C958" s="1077">
        <v>650</v>
      </c>
      <c r="D958" s="1077">
        <v>1.79</v>
      </c>
      <c r="E958" s="1077" t="s">
        <v>15091</v>
      </c>
      <c r="F958" s="1077" t="s">
        <v>1689</v>
      </c>
      <c r="G958" s="1077" t="s">
        <v>1767</v>
      </c>
      <c r="H958" s="1077" t="s">
        <v>1936</v>
      </c>
      <c r="I958" s="1077" t="s">
        <v>1455</v>
      </c>
      <c r="J958" s="1077">
        <v>1.7</v>
      </c>
      <c r="K958" s="1077" t="s">
        <v>2179</v>
      </c>
      <c r="L958" s="1077" t="s">
        <v>1968</v>
      </c>
      <c r="M958" s="1077">
        <v>73</v>
      </c>
      <c r="N958" s="1077" t="s">
        <v>945</v>
      </c>
      <c r="O958" s="1077">
        <v>1.8250000000000002</v>
      </c>
      <c r="P958" s="1077">
        <v>1.46</v>
      </c>
      <c r="Q958" s="1077">
        <v>4</v>
      </c>
      <c r="R958" s="1077">
        <v>21.6</v>
      </c>
      <c r="T958" s="1077">
        <v>32</v>
      </c>
      <c r="U958" s="1077">
        <v>3.5</v>
      </c>
      <c r="V958" s="1077" t="s">
        <v>648</v>
      </c>
      <c r="W958" s="1077">
        <v>110</v>
      </c>
      <c r="X958" s="1077">
        <v>60</v>
      </c>
      <c r="Y958" s="1077">
        <v>1.5</v>
      </c>
      <c r="Z958" s="1077">
        <v>5.5</v>
      </c>
      <c r="AA958" s="1077" t="s">
        <v>2180</v>
      </c>
      <c r="AH958" s="1077" t="s">
        <v>785</v>
      </c>
      <c r="AI958" s="1077">
        <v>91.72</v>
      </c>
      <c r="AJ958" s="1077">
        <v>-0.49</v>
      </c>
      <c r="AK958" s="1077">
        <v>0.94</v>
      </c>
      <c r="AM958" s="1078" t="s">
        <v>10950</v>
      </c>
      <c r="AN958" s="1078" t="s">
        <v>10951</v>
      </c>
      <c r="AO958" s="1078">
        <f t="shared" si="118"/>
        <v>650</v>
      </c>
      <c r="AP958" s="1078">
        <f t="shared" si="119"/>
        <v>1.79</v>
      </c>
      <c r="AQ958" s="1078" t="str">
        <f t="shared" si="120"/>
        <v>2-5-1S83°</v>
      </c>
      <c r="AR958" s="1078" t="str">
        <f t="shared" si="121"/>
        <v>29.5</v>
      </c>
      <c r="AS958" s="1078" t="str">
        <f t="shared" si="122"/>
        <v>175/OFF</v>
      </c>
      <c r="AT958" s="1078" t="str">
        <f t="shared" si="123"/>
        <v>2-5-1S83°</v>
      </c>
      <c r="AV958" s="1078" t="str">
        <f t="shared" si="116"/>
        <v>113.12.23</v>
      </c>
      <c r="AW958" s="1344">
        <f t="shared" si="117"/>
        <v>45649</v>
      </c>
    </row>
    <row r="959" spans="1:49">
      <c r="A959" s="1077" t="s">
        <v>2181</v>
      </c>
      <c r="B959" s="1077" t="s">
        <v>472</v>
      </c>
      <c r="C959" s="1077">
        <v>600</v>
      </c>
      <c r="D959" s="1077">
        <v>1.7250000000000001</v>
      </c>
      <c r="E959" s="1077" t="s">
        <v>15089</v>
      </c>
      <c r="F959" s="1077" t="s">
        <v>984</v>
      </c>
      <c r="G959" s="1077" t="s">
        <v>1767</v>
      </c>
      <c r="H959" s="1077" t="s">
        <v>1040</v>
      </c>
      <c r="I959" s="1077" t="s">
        <v>126</v>
      </c>
      <c r="J959" s="1077">
        <v>0.8</v>
      </c>
      <c r="K959" s="1077" t="s">
        <v>2182</v>
      </c>
      <c r="L959" s="1077" t="s">
        <v>1811</v>
      </c>
      <c r="M959" s="1077">
        <v>74.599999999999994</v>
      </c>
      <c r="N959" s="1077" t="s">
        <v>945</v>
      </c>
      <c r="O959" s="1077">
        <v>1.865</v>
      </c>
      <c r="P959" s="1077">
        <v>1.492</v>
      </c>
      <c r="Q959" s="1077">
        <v>3.5</v>
      </c>
      <c r="R959" s="1077">
        <v>27</v>
      </c>
      <c r="T959" s="1077">
        <v>12.5</v>
      </c>
      <c r="U959" s="1077">
        <v>5.0999999999999996</v>
      </c>
      <c r="V959" s="1077" t="s">
        <v>648</v>
      </c>
      <c r="W959" s="1077">
        <v>95</v>
      </c>
      <c r="X959" s="1077">
        <v>60</v>
      </c>
      <c r="Y959" s="1077">
        <v>1.8</v>
      </c>
      <c r="Z959" s="1077">
        <v>4.5</v>
      </c>
      <c r="AA959" s="1077" t="s">
        <v>2183</v>
      </c>
      <c r="AB959" s="1077" t="s">
        <v>2184</v>
      </c>
      <c r="AH959" s="1077" t="s">
        <v>1238</v>
      </c>
      <c r="AI959" s="1077" t="s">
        <v>2185</v>
      </c>
      <c r="AM959" s="1078" t="s">
        <v>10952</v>
      </c>
      <c r="AN959" s="1078" t="s">
        <v>10953</v>
      </c>
      <c r="AO959" s="1078">
        <f t="shared" si="118"/>
        <v>600</v>
      </c>
      <c r="AP959" s="1078">
        <f t="shared" si="119"/>
        <v>1.7250000000000001</v>
      </c>
      <c r="AQ959" s="1078" t="str">
        <f t="shared" si="120"/>
        <v>1-4-1S83°</v>
      </c>
      <c r="AR959" s="1078" t="str">
        <f t="shared" si="121"/>
        <v>30</v>
      </c>
      <c r="AS959" s="1078" t="str">
        <f t="shared" si="122"/>
        <v>240/240/OFF</v>
      </c>
      <c r="AT959" s="1078" t="str">
        <f t="shared" si="123"/>
        <v>1-4-1S83°</v>
      </c>
      <c r="AV959" s="1078" t="str">
        <f t="shared" si="116"/>
        <v>113.12.24</v>
      </c>
      <c r="AW959" s="1344">
        <f t="shared" si="117"/>
        <v>45650</v>
      </c>
    </row>
    <row r="960" spans="1:49">
      <c r="A960" s="1077" t="s">
        <v>2186</v>
      </c>
      <c r="B960" s="1077" t="s">
        <v>752</v>
      </c>
      <c r="C960" s="1077">
        <v>600</v>
      </c>
      <c r="D960" s="1077">
        <v>1.68</v>
      </c>
      <c r="E960" s="1077" t="s">
        <v>15089</v>
      </c>
      <c r="F960" s="1077" t="s">
        <v>1773</v>
      </c>
      <c r="G960" s="1077" t="s">
        <v>1001</v>
      </c>
      <c r="H960" s="1077" t="s">
        <v>2009</v>
      </c>
      <c r="I960" s="1077" t="s">
        <v>126</v>
      </c>
      <c r="J960" s="1077">
        <v>0.9</v>
      </c>
      <c r="K960" s="1077" t="s">
        <v>2187</v>
      </c>
      <c r="L960" s="1077" t="s">
        <v>1933</v>
      </c>
      <c r="M960" s="1077">
        <v>74.5</v>
      </c>
      <c r="N960" s="1077" t="s">
        <v>945</v>
      </c>
      <c r="O960" s="1077">
        <v>1.8625</v>
      </c>
      <c r="P960" s="1077">
        <v>1.49</v>
      </c>
      <c r="Q960" s="1077">
        <v>4</v>
      </c>
      <c r="R960" s="1077">
        <v>22.3</v>
      </c>
      <c r="T960" s="1077">
        <v>22</v>
      </c>
      <c r="U960" s="1077">
        <v>3.3</v>
      </c>
      <c r="V960" s="1077" t="s">
        <v>648</v>
      </c>
      <c r="W960" s="1077">
        <v>110</v>
      </c>
      <c r="X960" s="1077">
        <v>85</v>
      </c>
      <c r="Y960" s="1077">
        <v>2</v>
      </c>
      <c r="Z960" s="1077">
        <v>4.5</v>
      </c>
      <c r="AA960" s="1077" t="s">
        <v>2188</v>
      </c>
      <c r="AH960" s="1077" t="s">
        <v>726</v>
      </c>
      <c r="AM960" s="1078" t="s">
        <v>10954</v>
      </c>
      <c r="AN960" s="1078" t="s">
        <v>10955</v>
      </c>
      <c r="AO960" s="1078">
        <f t="shared" si="118"/>
        <v>600</v>
      </c>
      <c r="AP960" s="1078">
        <f t="shared" si="119"/>
        <v>1.68</v>
      </c>
      <c r="AQ960" s="1078" t="str">
        <f t="shared" si="120"/>
        <v>1-4-1S83°</v>
      </c>
      <c r="AR960" s="1078" t="str">
        <f t="shared" si="121"/>
        <v>30.2</v>
      </c>
      <c r="AS960" s="1078" t="str">
        <f t="shared" si="122"/>
        <v>265/265/OFF</v>
      </c>
      <c r="AT960" s="1078" t="str">
        <f t="shared" si="123"/>
        <v>1-4-1S83°</v>
      </c>
      <c r="AV960" s="1078" t="str">
        <f t="shared" si="116"/>
        <v>111.5.6</v>
      </c>
      <c r="AW960" s="1344">
        <f t="shared" si="117"/>
        <v>44687</v>
      </c>
    </row>
    <row r="961" spans="1:49">
      <c r="A961" s="1077" t="s">
        <v>2189</v>
      </c>
      <c r="B961" s="1077" t="s">
        <v>620</v>
      </c>
      <c r="C961" s="1077">
        <v>500</v>
      </c>
      <c r="D961" s="1077">
        <v>1.71</v>
      </c>
      <c r="E961" s="1077" t="s">
        <v>15091</v>
      </c>
      <c r="F961" s="1077" t="s">
        <v>1501</v>
      </c>
      <c r="G961" s="1077" t="s">
        <v>940</v>
      </c>
      <c r="H961" s="1077" t="s">
        <v>2190</v>
      </c>
      <c r="I961" s="1077" t="s">
        <v>626</v>
      </c>
      <c r="J961" s="1077">
        <v>1.7</v>
      </c>
      <c r="K961" s="1077" t="s">
        <v>2031</v>
      </c>
      <c r="L961" s="1077" t="s">
        <v>2032</v>
      </c>
      <c r="M961" s="1077">
        <v>77</v>
      </c>
      <c r="N961" s="1077" t="s">
        <v>945</v>
      </c>
      <c r="O961" s="1077">
        <v>1.925</v>
      </c>
      <c r="P961" s="1077">
        <v>1.54</v>
      </c>
      <c r="Q961" s="1077">
        <v>4</v>
      </c>
      <c r="R961" s="1077">
        <v>22</v>
      </c>
      <c r="T961" s="1077">
        <v>9</v>
      </c>
      <c r="U961" s="1077">
        <v>3.5</v>
      </c>
      <c r="V961" s="1077" t="s">
        <v>648</v>
      </c>
      <c r="W961" s="1077">
        <v>140</v>
      </c>
      <c r="X961" s="1077">
        <v>80</v>
      </c>
      <c r="Y961" s="1077">
        <v>2.1</v>
      </c>
      <c r="Z961" s="1077">
        <v>2.5</v>
      </c>
      <c r="AA961" s="1077" t="s">
        <v>2188</v>
      </c>
      <c r="AH961" s="1077" t="s">
        <v>1053</v>
      </c>
      <c r="AM961" s="1078" t="s">
        <v>10956</v>
      </c>
      <c r="AN961" s="1078" t="s">
        <v>10957</v>
      </c>
      <c r="AO961" s="1078">
        <f t="shared" si="118"/>
        <v>500</v>
      </c>
      <c r="AP961" s="1078">
        <f t="shared" si="119"/>
        <v>1.71</v>
      </c>
      <c r="AQ961" s="1078" t="str">
        <f t="shared" si="120"/>
        <v>2-5-1S83°</v>
      </c>
      <c r="AR961" s="1078" t="str">
        <f t="shared" si="121"/>
        <v>28</v>
      </c>
      <c r="AS961" s="1078" t="str">
        <f t="shared" si="122"/>
        <v>160/158</v>
      </c>
      <c r="AT961" s="1078" t="str">
        <f t="shared" si="123"/>
        <v>2-5-1S83°</v>
      </c>
      <c r="AV961" s="1078" t="str">
        <f t="shared" si="116"/>
        <v>111.5.6</v>
      </c>
      <c r="AW961" s="1344">
        <f t="shared" si="117"/>
        <v>44687</v>
      </c>
    </row>
    <row r="962" spans="1:49">
      <c r="A962" s="1077" t="s">
        <v>2191</v>
      </c>
      <c r="B962" s="1077" t="s">
        <v>1805</v>
      </c>
      <c r="C962" s="1077">
        <v>600</v>
      </c>
      <c r="D962" s="1077">
        <v>1.7</v>
      </c>
      <c r="E962" s="1077" t="s">
        <v>15088</v>
      </c>
      <c r="F962" s="1077" t="s">
        <v>648</v>
      </c>
      <c r="G962" s="1077" t="s">
        <v>940</v>
      </c>
      <c r="H962" s="1077" t="s">
        <v>2192</v>
      </c>
      <c r="I962" s="1077" t="s">
        <v>126</v>
      </c>
      <c r="J962" s="1077">
        <v>0.6</v>
      </c>
      <c r="K962" s="1077" t="s">
        <v>2193</v>
      </c>
      <c r="L962" s="1077" t="s">
        <v>1808</v>
      </c>
      <c r="M962" s="1077">
        <v>76.8</v>
      </c>
      <c r="N962" s="1077" t="s">
        <v>945</v>
      </c>
      <c r="O962" s="1077">
        <v>1.92</v>
      </c>
      <c r="P962" s="1077">
        <v>1.536</v>
      </c>
      <c r="Q962" s="1077">
        <v>4</v>
      </c>
      <c r="R962" s="1077">
        <v>20.3</v>
      </c>
      <c r="T962" s="1077">
        <v>18</v>
      </c>
      <c r="U962" s="1077">
        <v>3.5</v>
      </c>
      <c r="V962" s="1077" t="s">
        <v>648</v>
      </c>
      <c r="W962" s="1077">
        <v>120</v>
      </c>
      <c r="X962" s="1077">
        <v>80</v>
      </c>
      <c r="Y962" s="1077">
        <v>1.5</v>
      </c>
      <c r="Z962" s="1077">
        <v>4</v>
      </c>
      <c r="AA962" s="1077" t="s">
        <v>1494</v>
      </c>
      <c r="AH962" s="1077" t="s">
        <v>1486</v>
      </c>
      <c r="AM962" s="1078" t="s">
        <v>10958</v>
      </c>
      <c r="AN962" s="1078" t="s">
        <v>10959</v>
      </c>
      <c r="AO962" s="1078">
        <f t="shared" si="118"/>
        <v>600</v>
      </c>
      <c r="AP962" s="1078">
        <f t="shared" si="119"/>
        <v>1.7</v>
      </c>
      <c r="AQ962" s="1078" t="str">
        <f t="shared" si="120"/>
        <v>1-4-1S85°</v>
      </c>
      <c r="AR962" s="1078" t="str">
        <f t="shared" si="121"/>
        <v>NA</v>
      </c>
      <c r="AS962" s="1078" t="str">
        <f t="shared" si="122"/>
        <v>180/OFF</v>
      </c>
      <c r="AT962" s="1078" t="str">
        <f t="shared" si="123"/>
        <v>1-4-1S85°</v>
      </c>
      <c r="AV962" s="1078" t="str">
        <f t="shared" ref="AV962:AV1025" si="124">AA962</f>
        <v>111.5.13</v>
      </c>
      <c r="AW962" s="1344">
        <f t="shared" si="117"/>
        <v>44694</v>
      </c>
    </row>
    <row r="963" spans="1:49">
      <c r="A963" s="1077" t="s">
        <v>2194</v>
      </c>
      <c r="B963" s="1077" t="s">
        <v>1911</v>
      </c>
      <c r="C963" s="1077">
        <v>650</v>
      </c>
      <c r="D963" s="1077">
        <v>1.7350000000000001</v>
      </c>
      <c r="E963" s="1077" t="s">
        <v>15089</v>
      </c>
      <c r="F963" s="1077" t="s">
        <v>984</v>
      </c>
      <c r="G963" s="1077">
        <v>5</v>
      </c>
      <c r="H963" s="1077" t="s">
        <v>1029</v>
      </c>
      <c r="I963" s="1077" t="s">
        <v>126</v>
      </c>
      <c r="J963" s="1077">
        <v>1.2</v>
      </c>
      <c r="K963" s="1077" t="s">
        <v>2028</v>
      </c>
      <c r="L963" s="1077" t="s">
        <v>1913</v>
      </c>
      <c r="M963" s="1077">
        <v>75</v>
      </c>
      <c r="N963" s="1077" t="s">
        <v>945</v>
      </c>
      <c r="O963" s="1077">
        <v>1.875</v>
      </c>
      <c r="P963" s="1077">
        <v>1.5</v>
      </c>
      <c r="Q963" s="1077">
        <v>4</v>
      </c>
      <c r="R963" s="1077">
        <v>23</v>
      </c>
      <c r="T963" s="1077">
        <v>26.5</v>
      </c>
      <c r="U963" s="1077">
        <v>3.8</v>
      </c>
      <c r="V963" s="1077" t="s">
        <v>648</v>
      </c>
      <c r="W963" s="1077">
        <v>100</v>
      </c>
      <c r="X963" s="1077">
        <v>45</v>
      </c>
      <c r="Y963" s="1077">
        <v>1.6</v>
      </c>
      <c r="Z963" s="1077">
        <v>5</v>
      </c>
      <c r="AA963" s="1077" t="s">
        <v>2195</v>
      </c>
      <c r="AH963" s="1077" t="s">
        <v>482</v>
      </c>
      <c r="AM963" s="1078" t="s">
        <v>10960</v>
      </c>
      <c r="AN963" s="1078" t="s">
        <v>10961</v>
      </c>
      <c r="AO963" s="1078">
        <f t="shared" si="118"/>
        <v>650</v>
      </c>
      <c r="AP963" s="1078">
        <f t="shared" si="119"/>
        <v>1.7350000000000001</v>
      </c>
      <c r="AQ963" s="1078" t="str">
        <f t="shared" si="120"/>
        <v>1-4-1S83°</v>
      </c>
      <c r="AR963" s="1078" t="str">
        <f t="shared" si="121"/>
        <v>30</v>
      </c>
      <c r="AS963" s="1078" t="str">
        <f t="shared" si="122"/>
        <v>250/250/OFF</v>
      </c>
      <c r="AT963" s="1078" t="str">
        <f t="shared" si="123"/>
        <v>1-4-1S83°</v>
      </c>
      <c r="AV963" s="1078" t="str">
        <f t="shared" si="124"/>
        <v>111.5.11</v>
      </c>
      <c r="AW963" s="1344">
        <f t="shared" ref="AW963:AW1026" si="125">DATE(VALUE(LEFT(AV963,FIND(".",AV963)-1))+1911,
       VALUE(MID(AV963,FIND(".",AV963)+1,FIND(".",AV963,FIND(".",AV963)+1)-FIND(".",AV963)-1)),
       VALUE(RIGHT(AV963,LEN(AV963)-FIND("~",SUBSTITUTE(AV963,".","~",2)))))</f>
        <v>44692</v>
      </c>
    </row>
    <row r="964" spans="1:49">
      <c r="A964" s="1077" t="s">
        <v>2196</v>
      </c>
      <c r="B964" s="1077" t="s">
        <v>1891</v>
      </c>
      <c r="C964" s="1077">
        <v>600</v>
      </c>
      <c r="D964" s="1077">
        <v>1.66</v>
      </c>
      <c r="E964" s="1077" t="s">
        <v>15089</v>
      </c>
      <c r="F964" s="1077" t="s">
        <v>984</v>
      </c>
      <c r="G964" s="1077" t="s">
        <v>940</v>
      </c>
      <c r="H964" s="1077" t="s">
        <v>1145</v>
      </c>
      <c r="I964" s="1077" t="s">
        <v>126</v>
      </c>
      <c r="J964" s="1077">
        <v>0.6</v>
      </c>
      <c r="K964" s="1077" t="s">
        <v>2197</v>
      </c>
      <c r="L964" s="1077" t="s">
        <v>1893</v>
      </c>
      <c r="M964" s="1077">
        <v>74.599999999999994</v>
      </c>
      <c r="N964" s="1077" t="s">
        <v>945</v>
      </c>
      <c r="O964" s="1077">
        <v>1.865</v>
      </c>
      <c r="P964" s="1077">
        <v>1.492</v>
      </c>
      <c r="Q964" s="1077">
        <v>3.5</v>
      </c>
      <c r="R964" s="1077">
        <v>29</v>
      </c>
      <c r="T964" s="1077">
        <v>12.5</v>
      </c>
      <c r="U964" s="1077">
        <v>5.0999999999999996</v>
      </c>
      <c r="V964" s="1077" t="s">
        <v>648</v>
      </c>
      <c r="W964" s="1077">
        <v>95</v>
      </c>
      <c r="X964" s="1077">
        <v>60</v>
      </c>
      <c r="Y964" s="1077">
        <v>1.8</v>
      </c>
      <c r="Z964" s="1077">
        <v>4.5</v>
      </c>
      <c r="AA964" s="1077" t="s">
        <v>2198</v>
      </c>
      <c r="AH964" s="1077" t="s">
        <v>1186</v>
      </c>
      <c r="AM964" s="1078" t="s">
        <v>10962</v>
      </c>
      <c r="AN964" s="1078" t="s">
        <v>10963</v>
      </c>
      <c r="AO964" s="1078">
        <f t="shared" si="118"/>
        <v>600</v>
      </c>
      <c r="AP964" s="1078">
        <f t="shared" si="119"/>
        <v>1.66</v>
      </c>
      <c r="AQ964" s="1078" t="str">
        <f t="shared" si="120"/>
        <v>1-4-1S83°</v>
      </c>
      <c r="AR964" s="1078" t="str">
        <f t="shared" si="121"/>
        <v>30</v>
      </c>
      <c r="AS964" s="1078" t="str">
        <f t="shared" si="122"/>
        <v>235/235/OFF</v>
      </c>
      <c r="AT964" s="1078" t="str">
        <f t="shared" si="123"/>
        <v>1-4-1S83°</v>
      </c>
      <c r="AV964" s="1078" t="str">
        <f t="shared" si="124"/>
        <v>111.5.12</v>
      </c>
      <c r="AW964" s="1344">
        <f t="shared" si="125"/>
        <v>44693</v>
      </c>
    </row>
    <row r="965" spans="1:49">
      <c r="A965" s="1077" t="s">
        <v>2199</v>
      </c>
      <c r="B965" s="1077" t="s">
        <v>1792</v>
      </c>
      <c r="C965" s="1077">
        <v>650</v>
      </c>
      <c r="D965" s="1077">
        <v>1.77</v>
      </c>
      <c r="E965" s="1077" t="s">
        <v>15089</v>
      </c>
      <c r="F965" s="1077" t="s">
        <v>954</v>
      </c>
      <c r="G965" s="1077" t="s">
        <v>1767</v>
      </c>
      <c r="H965" s="1077" t="s">
        <v>1793</v>
      </c>
      <c r="I965" s="1077" t="s">
        <v>460</v>
      </c>
      <c r="J965" s="1077">
        <v>1</v>
      </c>
      <c r="K965" s="1077" t="s">
        <v>1794</v>
      </c>
      <c r="L965" s="1077" t="s">
        <v>1795</v>
      </c>
      <c r="M965" s="1077">
        <v>75.400000000000006</v>
      </c>
      <c r="N965" s="1077" t="s">
        <v>945</v>
      </c>
      <c r="O965" s="1077">
        <v>1.8850000000000002</v>
      </c>
      <c r="P965" s="1077">
        <v>1.5080000000000002</v>
      </c>
      <c r="Q965" s="1077">
        <v>4</v>
      </c>
      <c r="R965" s="1077">
        <v>20</v>
      </c>
      <c r="T965" s="1077">
        <v>32</v>
      </c>
      <c r="U965" s="1077">
        <v>3.7</v>
      </c>
      <c r="V965" s="1077" t="s">
        <v>648</v>
      </c>
      <c r="W965" s="1077">
        <v>90</v>
      </c>
      <c r="X965" s="1077">
        <v>20</v>
      </c>
      <c r="Y965" s="1077">
        <v>1.5</v>
      </c>
      <c r="Z965" s="1077">
        <v>5.5</v>
      </c>
      <c r="AA965" s="1077" t="s">
        <v>1494</v>
      </c>
      <c r="AH965" s="1077" t="s">
        <v>875</v>
      </c>
      <c r="AM965" s="1078" t="s">
        <v>10964</v>
      </c>
      <c r="AN965" s="1078" t="s">
        <v>10965</v>
      </c>
      <c r="AO965" s="1078">
        <f t="shared" si="118"/>
        <v>650</v>
      </c>
      <c r="AP965" s="1078">
        <f t="shared" si="119"/>
        <v>1.77</v>
      </c>
      <c r="AQ965" s="1078" t="str">
        <f t="shared" si="120"/>
        <v>1-4-1S83°</v>
      </c>
      <c r="AR965" s="1078" t="str">
        <f t="shared" si="121"/>
        <v>31</v>
      </c>
      <c r="AS965" s="1078" t="str">
        <f t="shared" si="122"/>
        <v>270/270/OFF</v>
      </c>
      <c r="AT965" s="1078" t="str">
        <f t="shared" si="123"/>
        <v>1-4-1S83°</v>
      </c>
      <c r="AV965" s="1078" t="str">
        <f t="shared" si="124"/>
        <v>111.5.13</v>
      </c>
      <c r="AW965" s="1344">
        <f t="shared" si="125"/>
        <v>44694</v>
      </c>
    </row>
    <row r="966" spans="1:49">
      <c r="A966" s="1077" t="s">
        <v>2200</v>
      </c>
      <c r="B966" s="1077" t="s">
        <v>1783</v>
      </c>
      <c r="C966" s="1077">
        <v>570</v>
      </c>
      <c r="D966" s="1077">
        <v>1.66</v>
      </c>
      <c r="E966" s="1077" t="s">
        <v>15089</v>
      </c>
      <c r="F966" s="1077" t="s">
        <v>2001</v>
      </c>
      <c r="G966" s="1077" t="s">
        <v>2018</v>
      </c>
      <c r="H966" s="1077" t="s">
        <v>1649</v>
      </c>
      <c r="I966" s="1077" t="s">
        <v>126</v>
      </c>
      <c r="J966" s="1077">
        <v>0.3</v>
      </c>
      <c r="K966" s="1077" t="s">
        <v>2201</v>
      </c>
      <c r="L966" s="1077" t="s">
        <v>1787</v>
      </c>
      <c r="M966" s="1077">
        <v>76.099999999999994</v>
      </c>
      <c r="N966" s="1077" t="s">
        <v>945</v>
      </c>
      <c r="O966" s="1077">
        <v>1.9024999999999999</v>
      </c>
      <c r="P966" s="1077">
        <v>1.522</v>
      </c>
      <c r="Q966" s="1077">
        <v>4</v>
      </c>
      <c r="R966" s="1077">
        <v>21</v>
      </c>
      <c r="T966" s="1077">
        <v>13</v>
      </c>
      <c r="U966" s="1077">
        <v>4</v>
      </c>
      <c r="V966" s="1077" t="s">
        <v>648</v>
      </c>
      <c r="W966" s="1077">
        <v>30</v>
      </c>
      <c r="X966" s="1077">
        <v>10</v>
      </c>
      <c r="Y966" s="1077">
        <v>2.5</v>
      </c>
      <c r="Z966" s="1077">
        <v>2</v>
      </c>
      <c r="AA966" s="1077" t="s">
        <v>2202</v>
      </c>
      <c r="AH966" s="1077" t="s">
        <v>966</v>
      </c>
      <c r="AM966" s="1078" t="s">
        <v>10966</v>
      </c>
      <c r="AN966" s="1078" t="s">
        <v>10967</v>
      </c>
      <c r="AO966" s="1078">
        <f t="shared" si="118"/>
        <v>570</v>
      </c>
      <c r="AP966" s="1078">
        <f t="shared" si="119"/>
        <v>1.66</v>
      </c>
      <c r="AQ966" s="1078" t="str">
        <f t="shared" si="120"/>
        <v>1-4-1S83°</v>
      </c>
      <c r="AR966" s="1078" t="str">
        <f t="shared" si="121"/>
        <v>29.9</v>
      </c>
      <c r="AS966" s="1078" t="str">
        <f t="shared" si="122"/>
        <v>225/225/OFF</v>
      </c>
      <c r="AT966" s="1078" t="str">
        <f t="shared" si="123"/>
        <v>1-4-1S83°</v>
      </c>
      <c r="AV966" s="1078" t="str">
        <f t="shared" si="124"/>
        <v>111.5.16</v>
      </c>
      <c r="AW966" s="1344">
        <f t="shared" si="125"/>
        <v>44697</v>
      </c>
    </row>
    <row r="967" spans="1:49">
      <c r="A967" s="1077" t="s">
        <v>2203</v>
      </c>
      <c r="B967" s="1077" t="s">
        <v>1783</v>
      </c>
      <c r="C967" s="1077" t="s">
        <v>2204</v>
      </c>
      <c r="D967" s="1077">
        <v>1.66</v>
      </c>
      <c r="E967" s="1077" t="s">
        <v>15089</v>
      </c>
      <c r="F967" s="1077" t="s">
        <v>2001</v>
      </c>
      <c r="G967" s="1077" t="s">
        <v>2018</v>
      </c>
      <c r="H967" s="1077" t="s">
        <v>2205</v>
      </c>
      <c r="I967" s="1077" t="s">
        <v>126</v>
      </c>
      <c r="J967" s="1077">
        <v>0.3</v>
      </c>
      <c r="K967" s="1077" t="s">
        <v>2201</v>
      </c>
      <c r="L967" s="1077" t="s">
        <v>1787</v>
      </c>
      <c r="M967" s="1077">
        <v>76.099999999999994</v>
      </c>
      <c r="N967" s="1077" t="s">
        <v>945</v>
      </c>
      <c r="O967" s="1077">
        <v>1.9024999999999999</v>
      </c>
      <c r="P967" s="1077">
        <v>1.522</v>
      </c>
      <c r="Q967" s="1077">
        <v>4</v>
      </c>
      <c r="R967" s="1077">
        <v>21</v>
      </c>
      <c r="T967" s="1077">
        <v>13</v>
      </c>
      <c r="U967" s="1077">
        <v>4</v>
      </c>
      <c r="V967" s="1077" t="s">
        <v>648</v>
      </c>
      <c r="W967" s="1077">
        <v>30</v>
      </c>
      <c r="X967" s="1077">
        <v>10</v>
      </c>
      <c r="Y967" s="1077">
        <v>2.5</v>
      </c>
      <c r="Z967" s="1077">
        <v>2</v>
      </c>
      <c r="AA967" s="1077" t="s">
        <v>2202</v>
      </c>
      <c r="AH967" s="1077" t="s">
        <v>468</v>
      </c>
      <c r="AM967" s="1078" t="s">
        <v>10968</v>
      </c>
      <c r="AN967" s="1078" t="s">
        <v>10969</v>
      </c>
      <c r="AO967" s="1078" t="str">
        <f t="shared" si="118"/>
        <v>570↓500-6/15</v>
      </c>
      <c r="AP967" s="1078">
        <f t="shared" si="119"/>
        <v>1.66</v>
      </c>
      <c r="AQ967" s="1078" t="str">
        <f t="shared" si="120"/>
        <v>1-4-1S83°</v>
      </c>
      <c r="AR967" s="1078" t="str">
        <f t="shared" si="121"/>
        <v>29.9</v>
      </c>
      <c r="AS967" s="1078" t="str">
        <f t="shared" si="122"/>
        <v>216/216/OFF</v>
      </c>
      <c r="AT967" s="1078" t="str">
        <f t="shared" si="123"/>
        <v>1-4-1S83°</v>
      </c>
      <c r="AV967" s="1078" t="str">
        <f t="shared" si="124"/>
        <v>111.5.16</v>
      </c>
      <c r="AW967" s="1344">
        <f t="shared" si="125"/>
        <v>44697</v>
      </c>
    </row>
    <row r="968" spans="1:49">
      <c r="A968" s="1077" t="s">
        <v>2206</v>
      </c>
      <c r="B968" s="1077" t="s">
        <v>2207</v>
      </c>
      <c r="C968" s="1077">
        <v>650</v>
      </c>
      <c r="D968" s="1077">
        <v>1.69</v>
      </c>
      <c r="E968" s="1077" t="s">
        <v>15098</v>
      </c>
      <c r="F968" s="1077" t="s">
        <v>954</v>
      </c>
      <c r="G968" s="1077" t="s">
        <v>1767</v>
      </c>
      <c r="H968" s="1077" t="s">
        <v>955</v>
      </c>
      <c r="I968" s="1077" t="s">
        <v>126</v>
      </c>
      <c r="J968" s="1077">
        <v>0.8</v>
      </c>
      <c r="K968" s="1077" t="s">
        <v>2208</v>
      </c>
      <c r="L968" s="1077" t="s">
        <v>2209</v>
      </c>
      <c r="M968" s="1077">
        <v>75.099999999999994</v>
      </c>
      <c r="N968" s="1077" t="s">
        <v>945</v>
      </c>
      <c r="O968" s="1077">
        <v>1.8774999999999999</v>
      </c>
      <c r="P968" s="1077">
        <v>1.502</v>
      </c>
      <c r="Q968" s="1077">
        <v>4</v>
      </c>
      <c r="R968" s="1077" t="s">
        <v>2210</v>
      </c>
      <c r="T968" s="1077">
        <v>21</v>
      </c>
      <c r="U968" s="1077">
        <v>3.5</v>
      </c>
      <c r="V968" s="1077" t="s">
        <v>648</v>
      </c>
      <c r="W968" s="1077">
        <v>110</v>
      </c>
      <c r="X968" s="1077">
        <v>65</v>
      </c>
      <c r="Y968" s="1077">
        <v>1.6</v>
      </c>
      <c r="Z968" s="1077" t="s">
        <v>2211</v>
      </c>
      <c r="AA968" s="1077" t="s">
        <v>2212</v>
      </c>
      <c r="AH968" s="1077" t="s">
        <v>621</v>
      </c>
      <c r="AM968" s="1078" t="s">
        <v>10970</v>
      </c>
      <c r="AN968" s="1078" t="s">
        <v>10971</v>
      </c>
      <c r="AO968" s="1078">
        <f t="shared" si="118"/>
        <v>650</v>
      </c>
      <c r="AP968" s="1078">
        <f t="shared" si="119"/>
        <v>1.69</v>
      </c>
      <c r="AQ968" s="1078" t="str">
        <f t="shared" si="120"/>
        <v>1-4-1S91°</v>
      </c>
      <c r="AR968" s="1078" t="str">
        <f t="shared" si="121"/>
        <v>31</v>
      </c>
      <c r="AS968" s="1078" t="str">
        <f t="shared" si="122"/>
        <v>260/260/OFF</v>
      </c>
      <c r="AT968" s="1078" t="str">
        <f t="shared" si="123"/>
        <v>1-4-1S91°</v>
      </c>
      <c r="AV968" s="1078" t="str">
        <f t="shared" si="124"/>
        <v>111.5.30</v>
      </c>
      <c r="AW968" s="1344">
        <f t="shared" si="125"/>
        <v>44711</v>
      </c>
    </row>
    <row r="969" spans="1:49">
      <c r="A969" s="1077" t="s">
        <v>2213</v>
      </c>
      <c r="B969" s="1077" t="s">
        <v>620</v>
      </c>
      <c r="C969" s="1077">
        <v>500</v>
      </c>
      <c r="D969" s="1077">
        <v>1.69</v>
      </c>
      <c r="E969" s="1077" t="s">
        <v>15091</v>
      </c>
      <c r="F969" s="1077" t="s">
        <v>954</v>
      </c>
      <c r="G969" s="1077" t="s">
        <v>940</v>
      </c>
      <c r="H969" s="1077" t="s">
        <v>2214</v>
      </c>
      <c r="I969" s="1077" t="s">
        <v>626</v>
      </c>
      <c r="J969" s="1077">
        <v>1.7</v>
      </c>
      <c r="K969" s="1077" t="s">
        <v>2215</v>
      </c>
      <c r="L969" s="1077" t="s">
        <v>2032</v>
      </c>
      <c r="M969" s="1077">
        <v>77</v>
      </c>
      <c r="N969" s="1077" t="s">
        <v>945</v>
      </c>
      <c r="O969" s="1077">
        <v>1.925</v>
      </c>
      <c r="P969" s="1077">
        <v>1.54</v>
      </c>
      <c r="Q969" s="1077">
        <v>4</v>
      </c>
      <c r="R969" s="1077">
        <v>22</v>
      </c>
      <c r="T969" s="1077">
        <v>9</v>
      </c>
      <c r="U969" s="1077">
        <v>3.5</v>
      </c>
      <c r="V969" s="1077" t="s">
        <v>648</v>
      </c>
      <c r="W969" s="1077">
        <v>140</v>
      </c>
      <c r="X969" s="1077">
        <v>80</v>
      </c>
      <c r="Y969" s="1077">
        <v>2.1</v>
      </c>
      <c r="Z969" s="1077">
        <v>2.5</v>
      </c>
      <c r="AA969" s="1077" t="s">
        <v>2212</v>
      </c>
      <c r="AH969" s="1077" t="s">
        <v>1238</v>
      </c>
      <c r="AM969" s="1078" t="s">
        <v>10972</v>
      </c>
      <c r="AN969" s="1078" t="s">
        <v>10973</v>
      </c>
      <c r="AO969" s="1078">
        <f t="shared" si="118"/>
        <v>500</v>
      </c>
      <c r="AP969" s="1078">
        <f t="shared" si="119"/>
        <v>1.69</v>
      </c>
      <c r="AQ969" s="1078" t="str">
        <f t="shared" si="120"/>
        <v>2-5-1S83°</v>
      </c>
      <c r="AR969" s="1078" t="str">
        <f t="shared" si="121"/>
        <v>31</v>
      </c>
      <c r="AS969" s="1078" t="str">
        <f t="shared" si="122"/>
        <v>160/160</v>
      </c>
      <c r="AT969" s="1078" t="str">
        <f t="shared" si="123"/>
        <v>2-5-1S83°</v>
      </c>
      <c r="AV969" s="1078" t="str">
        <f t="shared" si="124"/>
        <v>111.5.30</v>
      </c>
      <c r="AW969" s="1344">
        <f t="shared" si="125"/>
        <v>44711</v>
      </c>
    </row>
    <row r="970" spans="1:49">
      <c r="A970" s="1077" t="s">
        <v>2216</v>
      </c>
      <c r="B970" s="1077" t="s">
        <v>1783</v>
      </c>
      <c r="C970" s="1077" t="s">
        <v>2217</v>
      </c>
      <c r="D970" s="1077">
        <v>1.66</v>
      </c>
      <c r="E970" s="1077" t="s">
        <v>15089</v>
      </c>
      <c r="F970" s="1077" t="s">
        <v>2001</v>
      </c>
      <c r="G970" s="1077" t="s">
        <v>1784</v>
      </c>
      <c r="H970" s="1077" t="s">
        <v>1155</v>
      </c>
      <c r="I970" s="1077" t="s">
        <v>126</v>
      </c>
      <c r="J970" s="1077">
        <v>0.3</v>
      </c>
      <c r="K970" s="1077" t="s">
        <v>2201</v>
      </c>
      <c r="L970" s="1077" t="s">
        <v>1787</v>
      </c>
      <c r="M970" s="1077">
        <v>76.099999999999994</v>
      </c>
      <c r="N970" s="1077" t="s">
        <v>945</v>
      </c>
      <c r="O970" s="1077">
        <v>1.9024999999999999</v>
      </c>
      <c r="P970" s="1077">
        <v>1.522</v>
      </c>
      <c r="Q970" s="1077">
        <v>4</v>
      </c>
      <c r="R970" s="1077">
        <v>21</v>
      </c>
      <c r="T970" s="1077">
        <v>13</v>
      </c>
      <c r="U970" s="1077">
        <v>4</v>
      </c>
      <c r="V970" s="1077" t="s">
        <v>648</v>
      </c>
      <c r="W970" s="1077">
        <v>30</v>
      </c>
      <c r="X970" s="1077">
        <v>10</v>
      </c>
      <c r="Y970" s="1077">
        <v>2.5</v>
      </c>
      <c r="Z970" s="1077">
        <v>2</v>
      </c>
      <c r="AA970" s="1077" t="s">
        <v>2218</v>
      </c>
      <c r="AH970" s="1077" t="s">
        <v>963</v>
      </c>
      <c r="AM970" s="1078" t="s">
        <v>10974</v>
      </c>
      <c r="AN970" s="1078" t="s">
        <v>10975</v>
      </c>
      <c r="AO970" s="1078" t="str">
        <f t="shared" si="118"/>
        <v>570↓500-6/9</v>
      </c>
      <c r="AP970" s="1078">
        <f t="shared" si="119"/>
        <v>1.66</v>
      </c>
      <c r="AQ970" s="1078" t="str">
        <f t="shared" si="120"/>
        <v>1-4-1S83°</v>
      </c>
      <c r="AR970" s="1078" t="str">
        <f t="shared" si="121"/>
        <v>29.9</v>
      </c>
      <c r="AS970" s="1078" t="str">
        <f t="shared" si="122"/>
        <v>215/215/OFF</v>
      </c>
      <c r="AT970" s="1078" t="str">
        <f t="shared" si="123"/>
        <v>1-4-1S83°</v>
      </c>
      <c r="AV970" s="1078" t="str">
        <f t="shared" si="124"/>
        <v>111.6.6</v>
      </c>
      <c r="AW970" s="1344">
        <f t="shared" si="125"/>
        <v>44718</v>
      </c>
    </row>
    <row r="971" spans="1:49">
      <c r="A971" s="1077" t="s">
        <v>2219</v>
      </c>
      <c r="B971" s="1077" t="s">
        <v>620</v>
      </c>
      <c r="C971" s="1077">
        <v>500</v>
      </c>
      <c r="D971" s="1077">
        <v>1.68</v>
      </c>
      <c r="E971" s="1077" t="s">
        <v>15091</v>
      </c>
      <c r="F971" s="1077" t="s">
        <v>1119</v>
      </c>
      <c r="G971" s="1077" t="s">
        <v>940</v>
      </c>
      <c r="H971" s="1077" t="s">
        <v>1470</v>
      </c>
      <c r="I971" s="1077" t="s">
        <v>1112</v>
      </c>
      <c r="J971" s="1077">
        <v>1.1000000000000001</v>
      </c>
      <c r="K971" s="1077" t="s">
        <v>2220</v>
      </c>
      <c r="L971" s="1077" t="s">
        <v>2032</v>
      </c>
      <c r="M971" s="1077">
        <v>76.7</v>
      </c>
      <c r="N971" s="1077" t="s">
        <v>945</v>
      </c>
      <c r="O971" s="1077">
        <v>1.9175000000000002</v>
      </c>
      <c r="P971" s="1077">
        <v>1.534</v>
      </c>
      <c r="Q971" s="1077">
        <v>4</v>
      </c>
      <c r="R971" s="1077">
        <v>23.5</v>
      </c>
      <c r="T971" s="1077">
        <v>20.7</v>
      </c>
      <c r="U971" s="1077">
        <v>4</v>
      </c>
      <c r="V971" s="1077" t="s">
        <v>648</v>
      </c>
      <c r="W971" s="1077">
        <v>120</v>
      </c>
      <c r="X971" s="1077">
        <v>80</v>
      </c>
      <c r="Y971" s="1077">
        <v>1</v>
      </c>
      <c r="Z971" s="1077">
        <v>5</v>
      </c>
      <c r="AA971" s="1077" t="s">
        <v>2221</v>
      </c>
      <c r="AH971" s="1077" t="s">
        <v>2222</v>
      </c>
      <c r="AM971" s="1078" t="s">
        <v>10976</v>
      </c>
      <c r="AN971" s="1078" t="s">
        <v>10977</v>
      </c>
      <c r="AO971" s="1078">
        <f t="shared" ref="AO971:AO1034" si="126">C971</f>
        <v>500</v>
      </c>
      <c r="AP971" s="1078">
        <f t="shared" ref="AP971:AP1034" si="127">D971</f>
        <v>1.68</v>
      </c>
      <c r="AQ971" s="1078" t="str">
        <f t="shared" ref="AQ971:AQ1034" si="128">E971</f>
        <v>2-5-1S83°</v>
      </c>
      <c r="AR971" s="1078" t="str">
        <f t="shared" ref="AR971:AR1034" si="129">F971</f>
        <v>29</v>
      </c>
      <c r="AS971" s="1078" t="str">
        <f t="shared" ref="AS971:AS1034" si="130">H971</f>
        <v>160/OFF</v>
      </c>
      <c r="AT971" s="1078" t="str">
        <f t="shared" ref="AT971:AT1034" si="131">E971</f>
        <v>2-5-1S83°</v>
      </c>
      <c r="AV971" s="1078" t="str">
        <f t="shared" si="124"/>
        <v>111.6.9</v>
      </c>
      <c r="AW971" s="1344">
        <f t="shared" si="125"/>
        <v>44721</v>
      </c>
    </row>
    <row r="972" spans="1:49">
      <c r="A972" s="1077" t="s">
        <v>2223</v>
      </c>
      <c r="B972" s="1077" t="s">
        <v>1842</v>
      </c>
      <c r="C972" s="1077">
        <v>500</v>
      </c>
      <c r="D972" s="1077">
        <v>1.68</v>
      </c>
      <c r="E972" s="1077" t="s">
        <v>15095</v>
      </c>
      <c r="F972" s="1077" t="s">
        <v>984</v>
      </c>
      <c r="G972" s="1077" t="s">
        <v>1016</v>
      </c>
      <c r="H972" s="1077" t="s">
        <v>1290</v>
      </c>
      <c r="I972" s="1077" t="s">
        <v>126</v>
      </c>
      <c r="J972" s="1077">
        <v>0.7</v>
      </c>
      <c r="K972" s="1077" t="s">
        <v>2224</v>
      </c>
      <c r="L972" s="1077" t="s">
        <v>1844</v>
      </c>
      <c r="M972" s="1077">
        <v>77.099999999999994</v>
      </c>
      <c r="N972" s="1077" t="s">
        <v>945</v>
      </c>
      <c r="O972" s="1077">
        <v>1.9275</v>
      </c>
      <c r="P972" s="1077">
        <v>1.5419999999999998</v>
      </c>
      <c r="Q972" s="1077">
        <v>4</v>
      </c>
      <c r="R972" s="1077">
        <v>23</v>
      </c>
      <c r="T972" s="1077">
        <v>18</v>
      </c>
      <c r="U972" s="1077">
        <v>4</v>
      </c>
      <c r="V972" s="1077" t="s">
        <v>648</v>
      </c>
      <c r="W972" s="1077">
        <v>110</v>
      </c>
      <c r="X972" s="1077">
        <v>70</v>
      </c>
      <c r="Y972" s="1077">
        <v>1.8</v>
      </c>
      <c r="Z972" s="1077">
        <v>4.5</v>
      </c>
      <c r="AA972" s="1077" t="s">
        <v>2221</v>
      </c>
      <c r="AH972" s="1077" t="s">
        <v>783</v>
      </c>
      <c r="AM972" s="1078" t="s">
        <v>10978</v>
      </c>
      <c r="AN972" s="1078" t="s">
        <v>10979</v>
      </c>
      <c r="AO972" s="1078">
        <f t="shared" si="126"/>
        <v>500</v>
      </c>
      <c r="AP972" s="1078">
        <f t="shared" si="127"/>
        <v>1.68</v>
      </c>
      <c r="AQ972" s="1078" t="str">
        <f t="shared" si="128"/>
        <v>1-5-1S83°</v>
      </c>
      <c r="AR972" s="1078" t="str">
        <f t="shared" si="129"/>
        <v>30</v>
      </c>
      <c r="AS972" s="1078" t="str">
        <f t="shared" si="130"/>
        <v>220/220/OFF</v>
      </c>
      <c r="AT972" s="1078" t="str">
        <f t="shared" si="131"/>
        <v>1-5-1S83°</v>
      </c>
      <c r="AV972" s="1078" t="str">
        <f t="shared" si="124"/>
        <v>111.6.9</v>
      </c>
      <c r="AW972" s="1344">
        <f t="shared" si="125"/>
        <v>44721</v>
      </c>
    </row>
    <row r="973" spans="1:49">
      <c r="A973" s="1077" t="s">
        <v>2225</v>
      </c>
      <c r="B973" s="1077" t="s">
        <v>1766</v>
      </c>
      <c r="C973" s="1077">
        <v>700</v>
      </c>
      <c r="D973" s="1077">
        <v>1.8</v>
      </c>
      <c r="E973" s="1077" t="s">
        <v>15091</v>
      </c>
      <c r="F973" s="1077" t="s">
        <v>1514</v>
      </c>
      <c r="G973" s="1077" t="s">
        <v>1767</v>
      </c>
      <c r="H973" s="1077" t="s">
        <v>941</v>
      </c>
      <c r="I973" s="1077" t="s">
        <v>1073</v>
      </c>
      <c r="J973" s="1077">
        <v>0.6</v>
      </c>
      <c r="K973" s="1077" t="s">
        <v>1768</v>
      </c>
      <c r="L973" s="1077" t="s">
        <v>1769</v>
      </c>
      <c r="M973" s="1077">
        <v>74.8</v>
      </c>
      <c r="N973" s="1077" t="s">
        <v>945</v>
      </c>
      <c r="O973" s="1077">
        <v>1.87</v>
      </c>
      <c r="P973" s="1077">
        <v>1.496</v>
      </c>
      <c r="Q973" s="1077">
        <v>4</v>
      </c>
      <c r="R973" s="1077">
        <v>18.7</v>
      </c>
      <c r="T973" s="1077">
        <v>40.1</v>
      </c>
      <c r="U973" s="1077">
        <v>3.4</v>
      </c>
      <c r="V973" s="1077" t="s">
        <v>648</v>
      </c>
      <c r="W973" s="1077">
        <v>30</v>
      </c>
      <c r="X973" s="1077">
        <v>10</v>
      </c>
      <c r="Y973" s="1077">
        <v>1.7</v>
      </c>
      <c r="Z973" s="1077">
        <v>5.5</v>
      </c>
      <c r="AA973" s="1077" t="s">
        <v>2221</v>
      </c>
      <c r="AH973" s="1077" t="s">
        <v>650</v>
      </c>
      <c r="AM973" s="1078" t="s">
        <v>10980</v>
      </c>
      <c r="AN973" s="1078" t="s">
        <v>10981</v>
      </c>
      <c r="AO973" s="1078">
        <f t="shared" si="126"/>
        <v>700</v>
      </c>
      <c r="AP973" s="1078">
        <f t="shared" si="127"/>
        <v>1.8</v>
      </c>
      <c r="AQ973" s="1078" t="str">
        <f t="shared" si="128"/>
        <v>2-5-1S83°</v>
      </c>
      <c r="AR973" s="1078" t="str">
        <f t="shared" si="129"/>
        <v>32</v>
      </c>
      <c r="AS973" s="1078" t="str">
        <f t="shared" si="130"/>
        <v>185/OFF</v>
      </c>
      <c r="AT973" s="1078" t="str">
        <f t="shared" si="131"/>
        <v>2-5-1S83°</v>
      </c>
      <c r="AV973" s="1078" t="str">
        <f t="shared" si="124"/>
        <v>111.6.9</v>
      </c>
      <c r="AW973" s="1344">
        <f t="shared" si="125"/>
        <v>44721</v>
      </c>
    </row>
    <row r="974" spans="1:49">
      <c r="A974" s="1077" t="s">
        <v>2226</v>
      </c>
      <c r="B974" s="1077" t="s">
        <v>620</v>
      </c>
      <c r="C974" s="1077">
        <v>500</v>
      </c>
      <c r="D974" s="1077">
        <v>1.69</v>
      </c>
      <c r="E974" s="1077" t="s">
        <v>15091</v>
      </c>
      <c r="F974" s="1077" t="s">
        <v>984</v>
      </c>
      <c r="G974" s="1077" t="s">
        <v>940</v>
      </c>
      <c r="H974" s="1077" t="s">
        <v>2214</v>
      </c>
      <c r="I974" s="1077" t="s">
        <v>626</v>
      </c>
      <c r="J974" s="1077">
        <v>1.7</v>
      </c>
      <c r="K974" s="1077" t="s">
        <v>2220</v>
      </c>
      <c r="L974" s="1077" t="s">
        <v>2032</v>
      </c>
      <c r="M974" s="1077">
        <v>77</v>
      </c>
      <c r="N974" s="1077" t="s">
        <v>945</v>
      </c>
      <c r="O974" s="1077">
        <v>1.925</v>
      </c>
      <c r="P974" s="1077">
        <v>1.54</v>
      </c>
      <c r="Q974" s="1077">
        <v>4</v>
      </c>
      <c r="R974" s="1077">
        <v>22</v>
      </c>
      <c r="T974" s="1077">
        <v>9</v>
      </c>
      <c r="U974" s="1077">
        <v>3.5</v>
      </c>
      <c r="V974" s="1077" t="s">
        <v>648</v>
      </c>
      <c r="W974" s="1077">
        <v>140</v>
      </c>
      <c r="X974" s="1077">
        <v>80</v>
      </c>
      <c r="Y974" s="1077">
        <v>2.1</v>
      </c>
      <c r="Z974" s="1077">
        <v>2.5</v>
      </c>
      <c r="AA974" s="1077" t="s">
        <v>2227</v>
      </c>
      <c r="AH974" s="1077" t="s">
        <v>646</v>
      </c>
      <c r="AM974" s="1078" t="s">
        <v>10982</v>
      </c>
      <c r="AN974" s="1078" t="s">
        <v>10983</v>
      </c>
      <c r="AO974" s="1078">
        <f t="shared" si="126"/>
        <v>500</v>
      </c>
      <c r="AP974" s="1078">
        <f t="shared" si="127"/>
        <v>1.69</v>
      </c>
      <c r="AQ974" s="1078" t="str">
        <f t="shared" si="128"/>
        <v>2-5-1S83°</v>
      </c>
      <c r="AR974" s="1078" t="str">
        <f t="shared" si="129"/>
        <v>30</v>
      </c>
      <c r="AS974" s="1078" t="str">
        <f t="shared" si="130"/>
        <v>160/160</v>
      </c>
      <c r="AT974" s="1078" t="str">
        <f t="shared" si="131"/>
        <v>2-5-1S83°</v>
      </c>
      <c r="AV974" s="1078" t="str">
        <f t="shared" si="124"/>
        <v>111.6.14</v>
      </c>
      <c r="AW974" s="1344">
        <f t="shared" si="125"/>
        <v>44726</v>
      </c>
    </row>
    <row r="975" spans="1:49">
      <c r="A975" s="1077" t="s">
        <v>2228</v>
      </c>
      <c r="B975" s="1077" t="s">
        <v>1823</v>
      </c>
      <c r="C975" s="1077" t="s">
        <v>2229</v>
      </c>
      <c r="D975" s="1077">
        <v>1.7549999999999999</v>
      </c>
      <c r="E975" s="1077" t="s">
        <v>15095</v>
      </c>
      <c r="F975" s="1077" t="s">
        <v>984</v>
      </c>
      <c r="G975" s="1077" t="s">
        <v>1016</v>
      </c>
      <c r="H975" s="1077" t="s">
        <v>1918</v>
      </c>
      <c r="I975" s="1077" t="s">
        <v>126</v>
      </c>
      <c r="J975" s="1077">
        <v>0.7</v>
      </c>
      <c r="K975" s="1077" t="s">
        <v>2025</v>
      </c>
      <c r="L975" s="1077" t="s">
        <v>1825</v>
      </c>
      <c r="M975" s="1077">
        <v>73.8</v>
      </c>
      <c r="N975" s="1077" t="s">
        <v>945</v>
      </c>
      <c r="O975" s="1077">
        <v>1.845</v>
      </c>
      <c r="P975" s="1077">
        <v>1.476</v>
      </c>
      <c r="Q975" s="1077">
        <v>3.5</v>
      </c>
      <c r="R975" s="1077">
        <v>18.5</v>
      </c>
      <c r="T975" s="1077">
        <v>21</v>
      </c>
      <c r="U975" s="1077">
        <v>3.8</v>
      </c>
      <c r="V975" s="1077" t="s">
        <v>648</v>
      </c>
      <c r="W975" s="1077">
        <v>110</v>
      </c>
      <c r="X975" s="1077">
        <v>85</v>
      </c>
      <c r="Y975" s="1077">
        <v>1.9</v>
      </c>
      <c r="Z975" s="1077">
        <v>4</v>
      </c>
      <c r="AA975" s="1077" t="s">
        <v>2230</v>
      </c>
      <c r="AH975" s="1077" t="s">
        <v>785</v>
      </c>
      <c r="AM975" s="1078" t="s">
        <v>10984</v>
      </c>
      <c r="AN975" s="1078" t="s">
        <v>10985</v>
      </c>
      <c r="AO975" s="1078" t="str">
        <f t="shared" si="126"/>
        <v>500↓450-7/20</v>
      </c>
      <c r="AP975" s="1078">
        <f t="shared" si="127"/>
        <v>1.7549999999999999</v>
      </c>
      <c r="AQ975" s="1078" t="str">
        <f t="shared" si="128"/>
        <v>1-5-1S83°</v>
      </c>
      <c r="AR975" s="1078" t="str">
        <f t="shared" si="129"/>
        <v>30</v>
      </c>
      <c r="AS975" s="1078" t="str">
        <f t="shared" si="130"/>
        <v>233/233/OFF</v>
      </c>
      <c r="AT975" s="1078" t="str">
        <f t="shared" si="131"/>
        <v>1-5-1S83°</v>
      </c>
      <c r="AV975" s="1078" t="str">
        <f t="shared" si="124"/>
        <v>111.6.17</v>
      </c>
      <c r="AW975" s="1344">
        <f t="shared" si="125"/>
        <v>44729</v>
      </c>
    </row>
    <row r="976" spans="1:49">
      <c r="A976" s="1077" t="s">
        <v>2231</v>
      </c>
      <c r="B976" s="1077" t="s">
        <v>472</v>
      </c>
      <c r="C976" s="1077">
        <v>550</v>
      </c>
      <c r="D976" s="1077">
        <v>1.7</v>
      </c>
      <c r="E976" s="1077" t="s">
        <v>15089</v>
      </c>
      <c r="F976" s="1077" t="s">
        <v>984</v>
      </c>
      <c r="G976" s="1077" t="s">
        <v>1767</v>
      </c>
      <c r="H976" s="1077" t="s">
        <v>1145</v>
      </c>
      <c r="I976" s="1077" t="s">
        <v>126</v>
      </c>
      <c r="J976" s="1077">
        <v>0.6</v>
      </c>
      <c r="K976" s="1077" t="s">
        <v>2232</v>
      </c>
      <c r="L976" s="1077" t="s">
        <v>1811</v>
      </c>
      <c r="M976" s="1077">
        <v>74.599999999999994</v>
      </c>
      <c r="N976" s="1077" t="s">
        <v>945</v>
      </c>
      <c r="O976" s="1077">
        <v>1.865</v>
      </c>
      <c r="P976" s="1077">
        <v>1.492</v>
      </c>
      <c r="Q976" s="1077">
        <v>3.5</v>
      </c>
      <c r="R976" s="1077">
        <v>23.5</v>
      </c>
      <c r="T976" s="1077">
        <v>12.5</v>
      </c>
      <c r="U976" s="1077">
        <v>5.0999999999999996</v>
      </c>
      <c r="V976" s="1077" t="s">
        <v>648</v>
      </c>
      <c r="W976" s="1077">
        <v>95</v>
      </c>
      <c r="X976" s="1077">
        <v>60</v>
      </c>
      <c r="Y976" s="1077">
        <v>1.8</v>
      </c>
      <c r="Z976" s="1077">
        <v>4.5</v>
      </c>
      <c r="AA976" s="1077" t="s">
        <v>1506</v>
      </c>
      <c r="AH976" s="1077" t="s">
        <v>483</v>
      </c>
      <c r="AM976" s="1078" t="s">
        <v>10986</v>
      </c>
      <c r="AN976" s="1078" t="s">
        <v>10987</v>
      </c>
      <c r="AO976" s="1078">
        <f t="shared" si="126"/>
        <v>550</v>
      </c>
      <c r="AP976" s="1078">
        <f t="shared" si="127"/>
        <v>1.7</v>
      </c>
      <c r="AQ976" s="1078" t="str">
        <f t="shared" si="128"/>
        <v>1-4-1S83°</v>
      </c>
      <c r="AR976" s="1078" t="str">
        <f t="shared" si="129"/>
        <v>30</v>
      </c>
      <c r="AS976" s="1078" t="str">
        <f t="shared" si="130"/>
        <v>235/235/OFF</v>
      </c>
      <c r="AT976" s="1078" t="str">
        <f t="shared" si="131"/>
        <v>1-4-1S83°</v>
      </c>
      <c r="AV976" s="1078" t="str">
        <f t="shared" si="124"/>
        <v>111.6.16</v>
      </c>
      <c r="AW976" s="1344">
        <f t="shared" si="125"/>
        <v>44728</v>
      </c>
    </row>
    <row r="977" spans="1:49">
      <c r="A977" s="1077" t="s">
        <v>2233</v>
      </c>
      <c r="B977" s="1077" t="s">
        <v>1947</v>
      </c>
      <c r="C977" s="1077">
        <v>600</v>
      </c>
      <c r="D977" s="1077">
        <v>1.73</v>
      </c>
      <c r="E977" s="1077" t="s">
        <v>15089</v>
      </c>
      <c r="F977" s="1077" t="s">
        <v>2234</v>
      </c>
      <c r="G977" s="1077" t="s">
        <v>1001</v>
      </c>
      <c r="H977" s="1077" t="s">
        <v>2235</v>
      </c>
      <c r="I977" s="1077" t="s">
        <v>626</v>
      </c>
      <c r="J977" s="1077">
        <v>1</v>
      </c>
      <c r="K977" s="1077" t="s">
        <v>2236</v>
      </c>
      <c r="L977" s="1077" t="s">
        <v>1950</v>
      </c>
      <c r="M977" s="1077">
        <v>77</v>
      </c>
      <c r="N977" s="1077" t="s">
        <v>945</v>
      </c>
      <c r="O977" s="1077">
        <v>1.925</v>
      </c>
      <c r="P977" s="1077">
        <v>1.54</v>
      </c>
      <c r="Q977" s="1077">
        <v>3</v>
      </c>
      <c r="R977" s="1077">
        <v>24</v>
      </c>
      <c r="T977" s="1077">
        <v>29</v>
      </c>
      <c r="U977" s="1077">
        <v>2.9</v>
      </c>
      <c r="V977" s="1077" t="s">
        <v>648</v>
      </c>
      <c r="W977" s="1077">
        <v>30</v>
      </c>
      <c r="X977" s="1077">
        <v>10</v>
      </c>
      <c r="Y977" s="1077">
        <v>1.5</v>
      </c>
      <c r="Z977" s="1077">
        <v>5.5</v>
      </c>
      <c r="AA977" s="1077" t="s">
        <v>1506</v>
      </c>
      <c r="AH977" s="1077" t="s">
        <v>994</v>
      </c>
      <c r="AM977" s="1078" t="s">
        <v>10988</v>
      </c>
      <c r="AN977" s="1078" t="s">
        <v>10989</v>
      </c>
      <c r="AO977" s="1078">
        <f t="shared" si="126"/>
        <v>600</v>
      </c>
      <c r="AP977" s="1078">
        <f t="shared" si="127"/>
        <v>1.73</v>
      </c>
      <c r="AQ977" s="1078" t="str">
        <f t="shared" si="128"/>
        <v>1-4-1S83°</v>
      </c>
      <c r="AR977" s="1078" t="str">
        <f t="shared" si="129"/>
        <v>33.5</v>
      </c>
      <c r="AS977" s="1078" t="str">
        <f t="shared" si="130"/>
        <v>290/290/130</v>
      </c>
      <c r="AT977" s="1078" t="str">
        <f t="shared" si="131"/>
        <v>1-4-1S83°</v>
      </c>
      <c r="AV977" s="1078" t="str">
        <f t="shared" si="124"/>
        <v>111.6.16</v>
      </c>
      <c r="AW977" s="1344">
        <f t="shared" si="125"/>
        <v>44728</v>
      </c>
    </row>
    <row r="978" spans="1:49">
      <c r="A978" s="1077" t="s">
        <v>2237</v>
      </c>
      <c r="B978" s="1077" t="s">
        <v>1783</v>
      </c>
      <c r="C978" s="1077">
        <v>500</v>
      </c>
      <c r="D978" s="1077">
        <v>1.66</v>
      </c>
      <c r="E978" s="1077" t="s">
        <v>15089</v>
      </c>
      <c r="F978" s="1077" t="s">
        <v>2001</v>
      </c>
      <c r="G978" s="1077" t="s">
        <v>2018</v>
      </c>
      <c r="H978" s="1077" t="s">
        <v>2205</v>
      </c>
      <c r="I978" s="1077" t="s">
        <v>126</v>
      </c>
      <c r="J978" s="1077">
        <v>0.3</v>
      </c>
      <c r="K978" s="1077" t="s">
        <v>2238</v>
      </c>
      <c r="L978" s="1077" t="s">
        <v>1787</v>
      </c>
      <c r="M978" s="1077">
        <v>76.099999999999994</v>
      </c>
      <c r="N978" s="1077" t="s">
        <v>945</v>
      </c>
      <c r="O978" s="1077">
        <v>1.9024999999999999</v>
      </c>
      <c r="P978" s="1077">
        <v>1.522</v>
      </c>
      <c r="Q978" s="1077">
        <v>4</v>
      </c>
      <c r="R978" s="1077">
        <v>21</v>
      </c>
      <c r="T978" s="1077">
        <v>13</v>
      </c>
      <c r="U978" s="1077">
        <v>4</v>
      </c>
      <c r="V978" s="1077" t="s">
        <v>648</v>
      </c>
      <c r="W978" s="1077">
        <v>30</v>
      </c>
      <c r="X978" s="1077">
        <v>10</v>
      </c>
      <c r="Y978" s="1077">
        <v>2.5</v>
      </c>
      <c r="Z978" s="1077">
        <v>2</v>
      </c>
      <c r="AA978" s="1077" t="s">
        <v>2239</v>
      </c>
      <c r="AH978" s="1077" t="s">
        <v>466</v>
      </c>
      <c r="AM978" s="1078" t="s">
        <v>10990</v>
      </c>
      <c r="AN978" s="1078" t="s">
        <v>10991</v>
      </c>
      <c r="AO978" s="1078">
        <f t="shared" si="126"/>
        <v>500</v>
      </c>
      <c r="AP978" s="1078">
        <f t="shared" si="127"/>
        <v>1.66</v>
      </c>
      <c r="AQ978" s="1078" t="str">
        <f t="shared" si="128"/>
        <v>1-4-1S83°</v>
      </c>
      <c r="AR978" s="1078" t="str">
        <f t="shared" si="129"/>
        <v>29.9</v>
      </c>
      <c r="AS978" s="1078" t="str">
        <f t="shared" si="130"/>
        <v>216/216/OFF</v>
      </c>
      <c r="AT978" s="1078" t="str">
        <f t="shared" si="131"/>
        <v>1-4-1S83°</v>
      </c>
      <c r="AV978" s="1078" t="str">
        <f t="shared" si="124"/>
        <v>111.6.21</v>
      </c>
      <c r="AW978" s="1344">
        <f t="shared" si="125"/>
        <v>44733</v>
      </c>
    </row>
    <row r="979" spans="1:49">
      <c r="A979" s="1077" t="s">
        <v>2240</v>
      </c>
      <c r="B979" s="1077" t="s">
        <v>1792</v>
      </c>
      <c r="C979" s="1077">
        <v>600</v>
      </c>
      <c r="D979" s="1077">
        <v>1.81</v>
      </c>
      <c r="E979" s="1077" t="s">
        <v>15089</v>
      </c>
      <c r="F979" s="1077" t="s">
        <v>1897</v>
      </c>
      <c r="G979" s="1077" t="s">
        <v>1767</v>
      </c>
      <c r="H979" s="1077" t="s">
        <v>1040</v>
      </c>
      <c r="I979" s="1077" t="s">
        <v>126</v>
      </c>
      <c r="J979" s="1077">
        <v>0.4</v>
      </c>
      <c r="K979" s="1077" t="s">
        <v>1794</v>
      </c>
      <c r="L979" s="1077" t="s">
        <v>1795</v>
      </c>
      <c r="M979" s="1077">
        <v>73</v>
      </c>
      <c r="N979" s="1077" t="s">
        <v>945</v>
      </c>
      <c r="O979" s="1077">
        <v>1.8250000000000002</v>
      </c>
      <c r="P979" s="1077">
        <v>1.46</v>
      </c>
      <c r="Q979" s="1077">
        <v>4</v>
      </c>
      <c r="R979" s="1077">
        <v>21.6</v>
      </c>
      <c r="T979" s="1077">
        <v>32</v>
      </c>
      <c r="U979" s="1077">
        <v>3.7</v>
      </c>
      <c r="V979" s="1077" t="s">
        <v>648</v>
      </c>
      <c r="W979" s="1077">
        <v>30</v>
      </c>
      <c r="X979" s="1077">
        <v>10</v>
      </c>
      <c r="Y979" s="1077">
        <v>1.2</v>
      </c>
      <c r="Z979" s="1077">
        <v>6</v>
      </c>
      <c r="AA979" s="1077" t="s">
        <v>2241</v>
      </c>
      <c r="AH979" s="1077" t="s">
        <v>875</v>
      </c>
      <c r="AM979" s="1078" t="s">
        <v>10992</v>
      </c>
      <c r="AN979" s="1078" t="s">
        <v>10993</v>
      </c>
      <c r="AO979" s="1078">
        <f t="shared" si="126"/>
        <v>600</v>
      </c>
      <c r="AP979" s="1078">
        <f t="shared" si="127"/>
        <v>1.81</v>
      </c>
      <c r="AQ979" s="1078" t="str">
        <f t="shared" si="128"/>
        <v>1-4-1S83°</v>
      </c>
      <c r="AR979" s="1078" t="str">
        <f t="shared" si="129"/>
        <v>30.8</v>
      </c>
      <c r="AS979" s="1078" t="str">
        <f t="shared" si="130"/>
        <v>240/240/OFF</v>
      </c>
      <c r="AT979" s="1078" t="str">
        <f t="shared" si="131"/>
        <v>1-4-1S83°</v>
      </c>
      <c r="AV979" s="1078" t="str">
        <f t="shared" si="124"/>
        <v>111.6.23</v>
      </c>
      <c r="AW979" s="1344">
        <f t="shared" si="125"/>
        <v>44735</v>
      </c>
    </row>
    <row r="980" spans="1:49">
      <c r="A980" s="1077" t="s">
        <v>2242</v>
      </c>
      <c r="B980" s="1077" t="s">
        <v>424</v>
      </c>
      <c r="C980" s="1077">
        <v>700</v>
      </c>
      <c r="D980" s="1077">
        <v>1.77</v>
      </c>
      <c r="E980" s="1077" t="s">
        <v>15091</v>
      </c>
      <c r="F980" s="1077" t="s">
        <v>2167</v>
      </c>
      <c r="G980" s="1077" t="s">
        <v>1767</v>
      </c>
      <c r="H980" s="1077" t="s">
        <v>1188</v>
      </c>
      <c r="I980" s="1077" t="s">
        <v>1112</v>
      </c>
      <c r="J980" s="1077">
        <v>1.7</v>
      </c>
      <c r="K980" s="1077" t="s">
        <v>2179</v>
      </c>
      <c r="L980" s="1077" t="s">
        <v>1938</v>
      </c>
      <c r="M980" s="1077">
        <v>74.599999999999994</v>
      </c>
      <c r="N980" s="1077" t="s">
        <v>945</v>
      </c>
      <c r="O980" s="1077">
        <v>1.865</v>
      </c>
      <c r="P980" s="1077">
        <v>1.492</v>
      </c>
      <c r="Q980" s="1077">
        <v>4</v>
      </c>
      <c r="R980" s="1077">
        <v>22</v>
      </c>
      <c r="T980" s="1077">
        <v>32</v>
      </c>
      <c r="U980" s="1077">
        <v>3.4</v>
      </c>
      <c r="V980" s="1077" t="s">
        <v>648</v>
      </c>
      <c r="W980" s="1077">
        <v>110</v>
      </c>
      <c r="X980" s="1077">
        <v>60</v>
      </c>
      <c r="Y980" s="1077">
        <v>2</v>
      </c>
      <c r="Z980" s="1077">
        <v>6</v>
      </c>
      <c r="AA980" s="1077" t="s">
        <v>2243</v>
      </c>
      <c r="AH980" s="1077" t="s">
        <v>647</v>
      </c>
      <c r="AM980" s="1078" t="s">
        <v>10994</v>
      </c>
      <c r="AN980" s="1078" t="s">
        <v>10995</v>
      </c>
      <c r="AO980" s="1078">
        <f t="shared" si="126"/>
        <v>700</v>
      </c>
      <c r="AP980" s="1078">
        <f t="shared" si="127"/>
        <v>1.77</v>
      </c>
      <c r="AQ980" s="1078" t="str">
        <f t="shared" si="128"/>
        <v>2-5-1S83°</v>
      </c>
      <c r="AR980" s="1078" t="str">
        <f t="shared" si="129"/>
        <v>33</v>
      </c>
      <c r="AS980" s="1078" t="str">
        <f t="shared" si="130"/>
        <v>177/OFF</v>
      </c>
      <c r="AT980" s="1078" t="str">
        <f t="shared" si="131"/>
        <v>2-5-1S83°</v>
      </c>
      <c r="AV980" s="1078" t="str">
        <f t="shared" si="124"/>
        <v>113.12.31</v>
      </c>
      <c r="AW980" s="1344">
        <f t="shared" si="125"/>
        <v>45657</v>
      </c>
    </row>
    <row r="981" spans="1:49">
      <c r="A981" s="1077" t="s">
        <v>2244</v>
      </c>
      <c r="B981" s="1077" t="s">
        <v>840</v>
      </c>
      <c r="C981" s="1077">
        <v>600</v>
      </c>
      <c r="D981" s="1077">
        <v>1.76</v>
      </c>
      <c r="E981" s="1077" t="s">
        <v>15095</v>
      </c>
      <c r="F981" s="1077" t="s">
        <v>954</v>
      </c>
      <c r="G981" s="1077" t="s">
        <v>940</v>
      </c>
      <c r="H981" s="1077" t="s">
        <v>1017</v>
      </c>
      <c r="I981" s="1077" t="s">
        <v>126</v>
      </c>
      <c r="J981" s="1077">
        <v>1.4</v>
      </c>
      <c r="K981" s="1077" t="s">
        <v>2245</v>
      </c>
      <c r="L981" s="1077" t="s">
        <v>1964</v>
      </c>
      <c r="M981" s="1077">
        <v>75.400000000000006</v>
      </c>
      <c r="N981" s="1077" t="s">
        <v>945</v>
      </c>
      <c r="O981" s="1077">
        <v>1.8850000000000002</v>
      </c>
      <c r="P981" s="1077">
        <v>1.5080000000000002</v>
      </c>
      <c r="Q981" s="1077">
        <v>3</v>
      </c>
      <c r="R981" s="1077">
        <v>24</v>
      </c>
      <c r="T981" s="1077">
        <v>18</v>
      </c>
      <c r="U981" s="1077">
        <v>6</v>
      </c>
      <c r="V981" s="1077" t="s">
        <v>648</v>
      </c>
      <c r="W981" s="1077">
        <v>120</v>
      </c>
      <c r="X981" s="1077">
        <v>80</v>
      </c>
      <c r="Y981" s="1077">
        <v>2</v>
      </c>
      <c r="Z981" s="1077">
        <v>6</v>
      </c>
      <c r="AA981" s="1077" t="s">
        <v>1750</v>
      </c>
      <c r="AH981" s="1077" t="s">
        <v>875</v>
      </c>
      <c r="AI981" s="1077">
        <v>92.19</v>
      </c>
      <c r="AJ981" s="1077">
        <v>-1.0900000000000001</v>
      </c>
      <c r="AK981" s="1077">
        <v>3.53</v>
      </c>
      <c r="AM981" s="1078" t="s">
        <v>10996</v>
      </c>
      <c r="AN981" s="1078" t="s">
        <v>10997</v>
      </c>
      <c r="AO981" s="1078">
        <f t="shared" si="126"/>
        <v>600</v>
      </c>
      <c r="AP981" s="1078">
        <f t="shared" si="127"/>
        <v>1.76</v>
      </c>
      <c r="AQ981" s="1078" t="str">
        <f t="shared" si="128"/>
        <v>1-5-1S83°</v>
      </c>
      <c r="AR981" s="1078" t="str">
        <f t="shared" si="129"/>
        <v>31</v>
      </c>
      <c r="AS981" s="1078" t="str">
        <f t="shared" si="130"/>
        <v>200/200/OFF</v>
      </c>
      <c r="AT981" s="1078" t="str">
        <f t="shared" si="131"/>
        <v>1-5-1S83°</v>
      </c>
      <c r="AV981" s="1078" t="str">
        <f t="shared" si="124"/>
        <v>114.1.6</v>
      </c>
      <c r="AW981" s="1344">
        <f t="shared" si="125"/>
        <v>45663</v>
      </c>
    </row>
    <row r="982" spans="1:49">
      <c r="A982" s="1077" t="s">
        <v>2246</v>
      </c>
      <c r="B982" s="1077" t="s">
        <v>472</v>
      </c>
      <c r="C982" s="1077">
        <v>600</v>
      </c>
      <c r="D982" s="1077">
        <v>1.71</v>
      </c>
      <c r="E982" s="1077" t="s">
        <v>15089</v>
      </c>
      <c r="F982" s="1077" t="s">
        <v>984</v>
      </c>
      <c r="G982" s="1077" t="s">
        <v>1767</v>
      </c>
      <c r="H982" s="1077" t="s">
        <v>1077</v>
      </c>
      <c r="I982" s="1077" t="s">
        <v>126</v>
      </c>
      <c r="J982" s="1077">
        <v>0.7</v>
      </c>
      <c r="K982" s="1077" t="s">
        <v>2247</v>
      </c>
      <c r="L982" s="1077" t="s">
        <v>1811</v>
      </c>
      <c r="M982" s="1077">
        <v>74.599999999999994</v>
      </c>
      <c r="N982" s="1077" t="s">
        <v>945</v>
      </c>
      <c r="O982" s="1077">
        <v>1.865</v>
      </c>
      <c r="P982" s="1077">
        <v>1.492</v>
      </c>
      <c r="Q982" s="1077">
        <v>3.5</v>
      </c>
      <c r="R982" s="1077">
        <v>27</v>
      </c>
      <c r="T982" s="1077">
        <v>12.5</v>
      </c>
      <c r="U982" s="1077">
        <v>5.0999999999999996</v>
      </c>
      <c r="V982" s="1077" t="s">
        <v>648</v>
      </c>
      <c r="W982" s="1077">
        <v>95</v>
      </c>
      <c r="X982" s="1077">
        <v>60</v>
      </c>
      <c r="Y982" s="1077">
        <v>1.8</v>
      </c>
      <c r="Z982" s="1077">
        <v>4.5</v>
      </c>
      <c r="AA982" s="1077" t="s">
        <v>1750</v>
      </c>
      <c r="AB982" s="1077" t="s">
        <v>2162</v>
      </c>
      <c r="AH982" s="1077" t="s">
        <v>1186</v>
      </c>
      <c r="AI982" s="1077">
        <v>92.61</v>
      </c>
      <c r="AJ982" s="1077">
        <v>-1.1399999999999999</v>
      </c>
      <c r="AK982" s="1077">
        <v>3.84</v>
      </c>
      <c r="AM982" s="1078" t="s">
        <v>896</v>
      </c>
      <c r="AN982" s="1078" t="s">
        <v>10998</v>
      </c>
      <c r="AO982" s="1078">
        <f t="shared" si="126"/>
        <v>600</v>
      </c>
      <c r="AP982" s="1078">
        <f t="shared" si="127"/>
        <v>1.71</v>
      </c>
      <c r="AQ982" s="1078" t="str">
        <f t="shared" si="128"/>
        <v>1-4-1S83°</v>
      </c>
      <c r="AR982" s="1078" t="str">
        <f t="shared" si="129"/>
        <v>30</v>
      </c>
      <c r="AS982" s="1078" t="str">
        <f t="shared" si="130"/>
        <v>245/245/OFF</v>
      </c>
      <c r="AT982" s="1078" t="str">
        <f t="shared" si="131"/>
        <v>1-4-1S83°</v>
      </c>
      <c r="AV982" s="1078" t="str">
        <f t="shared" si="124"/>
        <v>114.1.6</v>
      </c>
      <c r="AW982" s="1344">
        <f t="shared" si="125"/>
        <v>45663</v>
      </c>
    </row>
    <row r="983" spans="1:49">
      <c r="A983" s="1077" t="s">
        <v>2248</v>
      </c>
      <c r="B983" s="1077" t="s">
        <v>625</v>
      </c>
      <c r="C983" s="1077">
        <v>500</v>
      </c>
      <c r="D983" s="1077">
        <v>1.84</v>
      </c>
      <c r="E983" s="1077" t="s">
        <v>15089</v>
      </c>
      <c r="F983" s="1077" t="s">
        <v>975</v>
      </c>
      <c r="G983" s="1077" t="s">
        <v>1016</v>
      </c>
      <c r="H983" s="1077" t="s">
        <v>1145</v>
      </c>
      <c r="I983" s="1077" t="s">
        <v>126</v>
      </c>
      <c r="J983" s="1077">
        <v>1.5</v>
      </c>
      <c r="K983" s="1077" t="s">
        <v>2249</v>
      </c>
      <c r="L983" s="1077" t="s">
        <v>1987</v>
      </c>
      <c r="M983" s="1077" t="s">
        <v>2250</v>
      </c>
      <c r="N983" s="1077" t="s">
        <v>945</v>
      </c>
      <c r="O983" s="1077">
        <v>1.8</v>
      </c>
      <c r="P983" s="1077">
        <v>1.5</v>
      </c>
      <c r="Q983" s="1077">
        <v>3</v>
      </c>
      <c r="R983" s="1077" t="s">
        <v>2251</v>
      </c>
      <c r="T983" s="1077">
        <v>29</v>
      </c>
      <c r="U983" s="1077">
        <v>3.5</v>
      </c>
      <c r="V983" s="1077" t="s">
        <v>648</v>
      </c>
      <c r="W983" s="1077">
        <v>120</v>
      </c>
      <c r="X983" s="1077">
        <v>80</v>
      </c>
      <c r="Y983" s="1077">
        <v>1.8</v>
      </c>
      <c r="Z983" s="1077">
        <v>5.5</v>
      </c>
      <c r="AA983" s="1077" t="s">
        <v>2252</v>
      </c>
      <c r="AH983" s="1077" t="s">
        <v>1482</v>
      </c>
      <c r="AI983" s="1077">
        <v>93.47</v>
      </c>
      <c r="AJ983" s="1077">
        <v>-0.21</v>
      </c>
      <c r="AK983" s="1077">
        <v>0.9</v>
      </c>
      <c r="AM983" s="1078" t="s">
        <v>659</v>
      </c>
      <c r="AN983" s="1078" t="s">
        <v>10999</v>
      </c>
      <c r="AO983" s="1078">
        <f t="shared" si="126"/>
        <v>500</v>
      </c>
      <c r="AP983" s="1078">
        <f t="shared" si="127"/>
        <v>1.84</v>
      </c>
      <c r="AQ983" s="1078" t="str">
        <f t="shared" si="128"/>
        <v>1-4-1S83°</v>
      </c>
      <c r="AR983" s="1078" t="str">
        <f t="shared" si="129"/>
        <v>31.5</v>
      </c>
      <c r="AS983" s="1078" t="str">
        <f t="shared" si="130"/>
        <v>235/235/OFF</v>
      </c>
      <c r="AT983" s="1078" t="str">
        <f t="shared" si="131"/>
        <v>1-4-1S83°</v>
      </c>
      <c r="AV983" s="1078" t="str">
        <f t="shared" si="124"/>
        <v>114.1.9</v>
      </c>
      <c r="AW983" s="1344">
        <f t="shared" si="125"/>
        <v>45666</v>
      </c>
    </row>
    <row r="984" spans="1:49">
      <c r="A984" s="1077" t="s">
        <v>2253</v>
      </c>
      <c r="B984" s="1077" t="s">
        <v>620</v>
      </c>
      <c r="C984" s="1077">
        <v>650</v>
      </c>
      <c r="D984" s="1077">
        <v>1.76</v>
      </c>
      <c r="E984" s="1077" t="s">
        <v>15089</v>
      </c>
      <c r="F984" s="1077" t="s">
        <v>984</v>
      </c>
      <c r="G984" s="1077" t="s">
        <v>1767</v>
      </c>
      <c r="H984" s="1077" t="s">
        <v>2254</v>
      </c>
      <c r="I984" s="1077" t="s">
        <v>626</v>
      </c>
      <c r="J984" s="1077">
        <v>1.6</v>
      </c>
      <c r="K984" s="1077" t="s">
        <v>2255</v>
      </c>
      <c r="L984" s="1077" t="s">
        <v>2256</v>
      </c>
      <c r="M984" s="1077">
        <v>77</v>
      </c>
      <c r="N984" s="1077" t="s">
        <v>945</v>
      </c>
      <c r="O984" s="1077">
        <v>1.925</v>
      </c>
      <c r="P984" s="1077">
        <v>1.54</v>
      </c>
      <c r="Q984" s="1077">
        <v>3.5</v>
      </c>
      <c r="R984" s="1077">
        <v>22</v>
      </c>
      <c r="T984" s="1077">
        <v>9</v>
      </c>
      <c r="U984" s="1077">
        <v>3</v>
      </c>
      <c r="V984" s="1077" t="s">
        <v>648</v>
      </c>
      <c r="W984" s="1077">
        <v>140</v>
      </c>
      <c r="X984" s="1077">
        <v>80</v>
      </c>
      <c r="Y984" s="1077">
        <v>2.1</v>
      </c>
      <c r="Z984" s="1077">
        <v>2.5</v>
      </c>
      <c r="AA984" s="1077" t="s">
        <v>2257</v>
      </c>
      <c r="AH984" s="1077" t="s">
        <v>680</v>
      </c>
      <c r="AI984" s="1077">
        <v>93.94</v>
      </c>
      <c r="AJ984" s="1077">
        <v>-0.39</v>
      </c>
      <c r="AK984" s="1077">
        <v>0.39</v>
      </c>
      <c r="AM984" s="1078" t="s">
        <v>662</v>
      </c>
      <c r="AN984" s="1078" t="s">
        <v>11000</v>
      </c>
      <c r="AO984" s="1078">
        <f t="shared" si="126"/>
        <v>650</v>
      </c>
      <c r="AP984" s="1078">
        <f t="shared" si="127"/>
        <v>1.76</v>
      </c>
      <c r="AQ984" s="1078" t="str">
        <f t="shared" si="128"/>
        <v>1-4-1S83°</v>
      </c>
      <c r="AR984" s="1078" t="str">
        <f t="shared" si="129"/>
        <v>30</v>
      </c>
      <c r="AS984" s="1078" t="str">
        <f t="shared" si="130"/>
        <v>247/247/155</v>
      </c>
      <c r="AT984" s="1078" t="str">
        <f t="shared" si="131"/>
        <v>1-4-1S83°</v>
      </c>
      <c r="AV984" s="1078" t="str">
        <f t="shared" si="124"/>
        <v>114.1.10</v>
      </c>
      <c r="AW984" s="1344">
        <f t="shared" si="125"/>
        <v>45667</v>
      </c>
    </row>
    <row r="985" spans="1:49">
      <c r="A985" s="1077" t="s">
        <v>2258</v>
      </c>
      <c r="B985" s="1077" t="s">
        <v>424</v>
      </c>
      <c r="C985" s="1077">
        <v>700</v>
      </c>
      <c r="D985" s="1077">
        <v>1.7849999999999999</v>
      </c>
      <c r="E985" s="1077" t="s">
        <v>15089</v>
      </c>
      <c r="F985" s="1077" t="s">
        <v>954</v>
      </c>
      <c r="G985" s="1077" t="s">
        <v>1767</v>
      </c>
      <c r="H985" s="1077" t="s">
        <v>2259</v>
      </c>
      <c r="I985" s="1077" t="s">
        <v>126</v>
      </c>
      <c r="J985" s="1077">
        <v>1.8</v>
      </c>
      <c r="K985" s="1077" t="s">
        <v>2260</v>
      </c>
      <c r="L985" s="1077" t="s">
        <v>1968</v>
      </c>
      <c r="M985" s="1077">
        <v>73</v>
      </c>
      <c r="N985" s="1077" t="s">
        <v>945</v>
      </c>
      <c r="O985" s="1077">
        <v>1.8250000000000002</v>
      </c>
      <c r="P985" s="1077">
        <v>1.46</v>
      </c>
      <c r="Q985" s="1077">
        <v>4</v>
      </c>
      <c r="R985" s="1077">
        <v>21.6</v>
      </c>
      <c r="T985" s="1077">
        <v>32</v>
      </c>
      <c r="U985" s="1077">
        <v>3.5</v>
      </c>
      <c r="V985" s="1077" t="s">
        <v>648</v>
      </c>
      <c r="W985" s="1077">
        <v>110</v>
      </c>
      <c r="X985" s="1077">
        <v>60</v>
      </c>
      <c r="Y985" s="1077">
        <v>1.5</v>
      </c>
      <c r="Z985" s="1077">
        <v>5.5</v>
      </c>
      <c r="AA985" s="1077" t="s">
        <v>2257</v>
      </c>
      <c r="AB985" s="1077" t="s">
        <v>981</v>
      </c>
      <c r="AH985" s="1077" t="s">
        <v>618</v>
      </c>
      <c r="AI985" s="1077">
        <v>91.02</v>
      </c>
      <c r="AJ985" s="1077">
        <v>-0.1</v>
      </c>
      <c r="AK985" s="1077">
        <v>0.61</v>
      </c>
      <c r="AM985" s="1078" t="s">
        <v>661</v>
      </c>
      <c r="AN985" s="1078" t="s">
        <v>11001</v>
      </c>
      <c r="AO985" s="1078">
        <f t="shared" si="126"/>
        <v>700</v>
      </c>
      <c r="AP985" s="1078">
        <f t="shared" si="127"/>
        <v>1.7849999999999999</v>
      </c>
      <c r="AQ985" s="1078" t="str">
        <f t="shared" si="128"/>
        <v>1-4-1S83°</v>
      </c>
      <c r="AR985" s="1078" t="str">
        <f t="shared" si="129"/>
        <v>31</v>
      </c>
      <c r="AS985" s="1078" t="str">
        <f t="shared" si="130"/>
        <v>275/275/OFF</v>
      </c>
      <c r="AT985" s="1078" t="str">
        <f t="shared" si="131"/>
        <v>1-4-1S83°</v>
      </c>
      <c r="AV985" s="1078" t="str">
        <f t="shared" si="124"/>
        <v>114.1.10</v>
      </c>
      <c r="AW985" s="1344">
        <f t="shared" si="125"/>
        <v>45667</v>
      </c>
    </row>
    <row r="986" spans="1:49">
      <c r="A986" s="1077" t="s">
        <v>2261</v>
      </c>
      <c r="B986" s="1077" t="s">
        <v>424</v>
      </c>
      <c r="C986" s="1077">
        <v>700</v>
      </c>
      <c r="D986" s="1077">
        <v>1.7849999999999999</v>
      </c>
      <c r="E986" s="1077" t="s">
        <v>15089</v>
      </c>
      <c r="F986" s="1077" t="s">
        <v>954</v>
      </c>
      <c r="G986" s="1077" t="s">
        <v>1767</v>
      </c>
      <c r="H986" s="1077" t="s">
        <v>2259</v>
      </c>
      <c r="I986" s="1077" t="s">
        <v>126</v>
      </c>
      <c r="J986" s="1077">
        <v>1.8</v>
      </c>
      <c r="K986" s="1077" t="s">
        <v>2179</v>
      </c>
      <c r="L986" s="1077" t="s">
        <v>1968</v>
      </c>
      <c r="M986" s="1077">
        <v>73</v>
      </c>
      <c r="N986" s="1077" t="s">
        <v>945</v>
      </c>
      <c r="O986" s="1077">
        <v>1.8250000000000002</v>
      </c>
      <c r="P986" s="1077">
        <v>1.46</v>
      </c>
      <c r="Q986" s="1077">
        <v>4</v>
      </c>
      <c r="R986" s="1077">
        <v>21.6</v>
      </c>
      <c r="T986" s="1077">
        <v>32</v>
      </c>
      <c r="U986" s="1077">
        <v>3.5</v>
      </c>
      <c r="V986" s="1077" t="s">
        <v>648</v>
      </c>
      <c r="W986" s="1077">
        <v>110</v>
      </c>
      <c r="X986" s="1077">
        <v>60</v>
      </c>
      <c r="Y986" s="1077">
        <v>1.5</v>
      </c>
      <c r="Z986" s="1077">
        <v>5.5</v>
      </c>
      <c r="AA986" s="1077" t="s">
        <v>2262</v>
      </c>
      <c r="AB986" s="1077" t="s">
        <v>981</v>
      </c>
      <c r="AH986" s="1077" t="s">
        <v>684</v>
      </c>
      <c r="AI986" s="1077">
        <v>91.81</v>
      </c>
      <c r="AJ986" s="1077">
        <v>-0.24</v>
      </c>
      <c r="AK986" s="1077">
        <v>1.01</v>
      </c>
      <c r="AM986" s="1078" t="s">
        <v>683</v>
      </c>
      <c r="AN986" s="1078" t="s">
        <v>11002</v>
      </c>
      <c r="AO986" s="1078">
        <f t="shared" si="126"/>
        <v>700</v>
      </c>
      <c r="AP986" s="1078">
        <f t="shared" si="127"/>
        <v>1.7849999999999999</v>
      </c>
      <c r="AQ986" s="1078" t="str">
        <f t="shared" si="128"/>
        <v>1-4-1S83°</v>
      </c>
      <c r="AR986" s="1078" t="str">
        <f t="shared" si="129"/>
        <v>31</v>
      </c>
      <c r="AS986" s="1078" t="str">
        <f t="shared" si="130"/>
        <v>275/275/OFF</v>
      </c>
      <c r="AT986" s="1078" t="str">
        <f t="shared" si="131"/>
        <v>1-4-1S83°</v>
      </c>
      <c r="AV986" s="1078" t="str">
        <f t="shared" si="124"/>
        <v>114.1.16</v>
      </c>
      <c r="AW986" s="1344">
        <f t="shared" si="125"/>
        <v>45673</v>
      </c>
    </row>
    <row r="987" spans="1:49">
      <c r="A987" s="1077" t="s">
        <v>2263</v>
      </c>
      <c r="B987" s="1077" t="s">
        <v>752</v>
      </c>
      <c r="C987" s="1077">
        <v>600</v>
      </c>
      <c r="D987" s="1077">
        <v>1.7</v>
      </c>
      <c r="E987" s="1077" t="s">
        <v>15089</v>
      </c>
      <c r="F987" s="1077" t="s">
        <v>1773</v>
      </c>
      <c r="G987" s="1077" t="s">
        <v>1001</v>
      </c>
      <c r="H987" s="1077" t="s">
        <v>2009</v>
      </c>
      <c r="I987" s="1077" t="s">
        <v>126</v>
      </c>
      <c r="J987" s="1077">
        <v>0.9</v>
      </c>
      <c r="K987" s="1077" t="s">
        <v>2264</v>
      </c>
      <c r="L987" s="1077" t="s">
        <v>1933</v>
      </c>
      <c r="M987" s="1077">
        <v>74.5</v>
      </c>
      <c r="N987" s="1077" t="s">
        <v>945</v>
      </c>
      <c r="O987" s="1077">
        <v>1.8625</v>
      </c>
      <c r="P987" s="1077">
        <v>1.49</v>
      </c>
      <c r="Q987" s="1077">
        <v>4</v>
      </c>
      <c r="R987" s="1077">
        <v>22.3</v>
      </c>
      <c r="T987" s="1077">
        <v>22</v>
      </c>
      <c r="U987" s="1077">
        <v>3.3</v>
      </c>
      <c r="V987" s="1077" t="s">
        <v>648</v>
      </c>
      <c r="W987" s="1077">
        <v>110</v>
      </c>
      <c r="X987" s="1077">
        <v>85</v>
      </c>
      <c r="Y987" s="1077">
        <v>2</v>
      </c>
      <c r="Z987" s="1077">
        <v>4.5</v>
      </c>
      <c r="AA987" s="1077" t="s">
        <v>2265</v>
      </c>
      <c r="AH987" s="1077" t="s">
        <v>482</v>
      </c>
      <c r="AI987" s="1077">
        <v>94.55</v>
      </c>
      <c r="AJ987" s="1077">
        <v>-0.68</v>
      </c>
      <c r="AK987" s="1077">
        <v>1.47</v>
      </c>
      <c r="AM987" s="1078" t="s">
        <v>751</v>
      </c>
      <c r="AN987" s="1078" t="s">
        <v>11003</v>
      </c>
      <c r="AO987" s="1078">
        <f t="shared" si="126"/>
        <v>600</v>
      </c>
      <c r="AP987" s="1078">
        <f t="shared" si="127"/>
        <v>1.7</v>
      </c>
      <c r="AQ987" s="1078" t="str">
        <f t="shared" si="128"/>
        <v>1-4-1S83°</v>
      </c>
      <c r="AR987" s="1078" t="str">
        <f t="shared" si="129"/>
        <v>30.2</v>
      </c>
      <c r="AS987" s="1078" t="str">
        <f t="shared" si="130"/>
        <v>265/265/OFF</v>
      </c>
      <c r="AT987" s="1078" t="str">
        <f t="shared" si="131"/>
        <v>1-4-1S83°</v>
      </c>
      <c r="AV987" s="1078" t="str">
        <f t="shared" si="124"/>
        <v>114.2.14</v>
      </c>
      <c r="AW987" s="1344">
        <f t="shared" si="125"/>
        <v>45702</v>
      </c>
    </row>
    <row r="988" spans="1:49">
      <c r="A988" s="1077" t="s">
        <v>2266</v>
      </c>
      <c r="B988" s="1077" t="s">
        <v>472</v>
      </c>
      <c r="C988" s="1077">
        <v>600</v>
      </c>
      <c r="D988" s="1077">
        <v>1.7</v>
      </c>
      <c r="E988" s="1077" t="s">
        <v>15089</v>
      </c>
      <c r="F988" s="1077" t="s">
        <v>984</v>
      </c>
      <c r="G988" s="1077" t="s">
        <v>1767</v>
      </c>
      <c r="H988" s="1077" t="s">
        <v>1077</v>
      </c>
      <c r="I988" s="1077" t="s">
        <v>126</v>
      </c>
      <c r="J988" s="1077">
        <v>0.9</v>
      </c>
      <c r="K988" s="1077" t="s">
        <v>2267</v>
      </c>
      <c r="L988" s="1077" t="s">
        <v>1811</v>
      </c>
      <c r="M988" s="1077">
        <v>74.599999999999994</v>
      </c>
      <c r="N988" s="1077" t="s">
        <v>945</v>
      </c>
      <c r="O988" s="1077">
        <v>1.865</v>
      </c>
      <c r="P988" s="1077">
        <v>1.492</v>
      </c>
      <c r="Q988" s="1077">
        <v>3.5</v>
      </c>
      <c r="R988" s="1077">
        <v>27</v>
      </c>
      <c r="T988" s="1077">
        <v>12.5</v>
      </c>
      <c r="U988" s="1077">
        <v>5.0999999999999996</v>
      </c>
      <c r="V988" s="1077" t="s">
        <v>648</v>
      </c>
      <c r="W988" s="1077">
        <v>95</v>
      </c>
      <c r="X988" s="1077">
        <v>60</v>
      </c>
      <c r="Y988" s="1077">
        <v>1.8</v>
      </c>
      <c r="Z988" s="1077">
        <v>4.5</v>
      </c>
      <c r="AA988" s="1077" t="s">
        <v>2268</v>
      </c>
      <c r="AB988" s="1077" t="s">
        <v>2269</v>
      </c>
      <c r="AH988" s="1077" t="s">
        <v>762</v>
      </c>
      <c r="AI988" s="1077">
        <v>92.76</v>
      </c>
      <c r="AJ988" s="1077">
        <v>-1.26</v>
      </c>
      <c r="AK988" s="1077">
        <v>4.83</v>
      </c>
      <c r="AM988" s="1078" t="s">
        <v>761</v>
      </c>
      <c r="AN988" s="1078" t="s">
        <v>11004</v>
      </c>
      <c r="AO988" s="1078">
        <f t="shared" si="126"/>
        <v>600</v>
      </c>
      <c r="AP988" s="1078">
        <f t="shared" si="127"/>
        <v>1.7</v>
      </c>
      <c r="AQ988" s="1078" t="str">
        <f t="shared" si="128"/>
        <v>1-4-1S83°</v>
      </c>
      <c r="AR988" s="1078" t="str">
        <f t="shared" si="129"/>
        <v>30</v>
      </c>
      <c r="AS988" s="1078" t="str">
        <f t="shared" si="130"/>
        <v>245/245/OFF</v>
      </c>
      <c r="AT988" s="1078" t="str">
        <f t="shared" si="131"/>
        <v>1-4-1S83°</v>
      </c>
      <c r="AV988" s="1078" t="str">
        <f t="shared" si="124"/>
        <v>114.2.19</v>
      </c>
      <c r="AW988" s="1344">
        <f t="shared" si="125"/>
        <v>45707</v>
      </c>
    </row>
    <row r="989" spans="1:49">
      <c r="A989" s="1077" t="s">
        <v>2270</v>
      </c>
      <c r="B989" s="1077" t="s">
        <v>453</v>
      </c>
      <c r="C989" s="1077">
        <v>650</v>
      </c>
      <c r="D989" s="1077">
        <v>1.72</v>
      </c>
      <c r="E989" s="1077" t="s">
        <v>15089</v>
      </c>
      <c r="F989" s="1077" t="s">
        <v>1773</v>
      </c>
      <c r="G989" s="1077" t="s">
        <v>1767</v>
      </c>
      <c r="H989" s="1077" t="s">
        <v>1061</v>
      </c>
      <c r="I989" s="1077" t="s">
        <v>126</v>
      </c>
      <c r="J989" s="1077">
        <v>0.8</v>
      </c>
      <c r="K989" s="1077" t="s">
        <v>2271</v>
      </c>
      <c r="L989" s="1077" t="s">
        <v>1821</v>
      </c>
      <c r="M989" s="1077">
        <v>74.8</v>
      </c>
      <c r="N989" s="1077" t="s">
        <v>945</v>
      </c>
      <c r="O989" s="1077">
        <v>1.87</v>
      </c>
      <c r="P989" s="1077">
        <v>1.496</v>
      </c>
      <c r="Q989" s="1077">
        <v>4</v>
      </c>
      <c r="R989" s="1077">
        <v>23</v>
      </c>
      <c r="T989" s="1077">
        <v>18.600000000000001</v>
      </c>
      <c r="U989" s="1077">
        <v>3.5</v>
      </c>
      <c r="V989" s="1077" t="s">
        <v>648</v>
      </c>
      <c r="W989" s="1077">
        <v>105</v>
      </c>
      <c r="X989" s="1077">
        <v>80</v>
      </c>
      <c r="Y989" s="1077">
        <v>2</v>
      </c>
      <c r="Z989" s="1077">
        <v>4.5</v>
      </c>
      <c r="AA989" s="1077" t="s">
        <v>2272</v>
      </c>
      <c r="AH989" s="1077" t="s">
        <v>994</v>
      </c>
      <c r="AI989" s="1077">
        <v>92.88</v>
      </c>
      <c r="AJ989" s="1077">
        <v>0.14000000000000001</v>
      </c>
      <c r="AK989" s="1077">
        <v>0.46</v>
      </c>
      <c r="AM989" s="1078" t="s">
        <v>765</v>
      </c>
      <c r="AN989" s="1078" t="s">
        <v>11005</v>
      </c>
      <c r="AO989" s="1078">
        <f t="shared" si="126"/>
        <v>650</v>
      </c>
      <c r="AP989" s="1078">
        <f t="shared" si="127"/>
        <v>1.72</v>
      </c>
      <c r="AQ989" s="1078" t="str">
        <f t="shared" si="128"/>
        <v>1-4-1S83°</v>
      </c>
      <c r="AR989" s="1078" t="str">
        <f t="shared" si="129"/>
        <v>30.2</v>
      </c>
      <c r="AS989" s="1078" t="str">
        <f t="shared" si="130"/>
        <v>255/255/OFF</v>
      </c>
      <c r="AT989" s="1078" t="str">
        <f t="shared" si="131"/>
        <v>1-4-1S83°</v>
      </c>
      <c r="AV989" s="1078" t="str">
        <f t="shared" si="124"/>
        <v>114.2.21</v>
      </c>
      <c r="AW989" s="1344">
        <f t="shared" si="125"/>
        <v>45709</v>
      </c>
    </row>
    <row r="990" spans="1:49">
      <c r="A990" s="1077" t="s">
        <v>2273</v>
      </c>
      <c r="B990" s="1077" t="s">
        <v>424</v>
      </c>
      <c r="C990" s="1077">
        <v>700</v>
      </c>
      <c r="D990" s="1077">
        <v>1.7849999999999999</v>
      </c>
      <c r="E990" s="1077" t="s">
        <v>15089</v>
      </c>
      <c r="F990" s="1077" t="s">
        <v>954</v>
      </c>
      <c r="G990" s="1077" t="s">
        <v>1767</v>
      </c>
      <c r="H990" s="1077" t="s">
        <v>2259</v>
      </c>
      <c r="I990" s="1077" t="s">
        <v>126</v>
      </c>
      <c r="J990" s="1077">
        <v>1.8</v>
      </c>
      <c r="K990" s="1077" t="s">
        <v>2260</v>
      </c>
      <c r="L990" s="1077" t="s">
        <v>1968</v>
      </c>
      <c r="M990" s="1077">
        <v>73</v>
      </c>
      <c r="N990" s="1077" t="s">
        <v>945</v>
      </c>
      <c r="O990" s="1077">
        <v>1.8250000000000002</v>
      </c>
      <c r="P990" s="1077">
        <v>1.46</v>
      </c>
      <c r="Q990" s="1077">
        <v>4</v>
      </c>
      <c r="R990" s="1077">
        <v>21.6</v>
      </c>
      <c r="T990" s="1077">
        <v>32</v>
      </c>
      <c r="U990" s="1077">
        <v>3.5</v>
      </c>
      <c r="V990" s="1077" t="s">
        <v>648</v>
      </c>
      <c r="W990" s="1077">
        <v>110</v>
      </c>
      <c r="X990" s="1077">
        <v>60</v>
      </c>
      <c r="Y990" s="1077">
        <v>1.5</v>
      </c>
      <c r="Z990" s="1077">
        <v>5.5</v>
      </c>
      <c r="AA990" s="1077" t="s">
        <v>2274</v>
      </c>
      <c r="AB990" s="1077" t="s">
        <v>981</v>
      </c>
      <c r="AH990" s="1077" t="s">
        <v>622</v>
      </c>
      <c r="AI990" s="1077">
        <v>91.71</v>
      </c>
      <c r="AJ990" s="1077">
        <v>0.26</v>
      </c>
      <c r="AK990" s="1077">
        <v>0.35</v>
      </c>
      <c r="AM990" s="1078" t="s">
        <v>779</v>
      </c>
      <c r="AN990" s="1078" t="s">
        <v>11006</v>
      </c>
      <c r="AO990" s="1078">
        <f t="shared" si="126"/>
        <v>700</v>
      </c>
      <c r="AP990" s="1078">
        <f t="shared" si="127"/>
        <v>1.7849999999999999</v>
      </c>
      <c r="AQ990" s="1078" t="str">
        <f t="shared" si="128"/>
        <v>1-4-1S83°</v>
      </c>
      <c r="AR990" s="1078" t="str">
        <f t="shared" si="129"/>
        <v>31</v>
      </c>
      <c r="AS990" s="1078" t="str">
        <f t="shared" si="130"/>
        <v>275/275/OFF</v>
      </c>
      <c r="AT990" s="1078" t="str">
        <f t="shared" si="131"/>
        <v>1-4-1S83°</v>
      </c>
      <c r="AV990" s="1078" t="str">
        <f t="shared" si="124"/>
        <v>114.3.3</v>
      </c>
      <c r="AW990" s="1344">
        <f t="shared" si="125"/>
        <v>45719</v>
      </c>
    </row>
    <row r="991" spans="1:49">
      <c r="A991" s="1077" t="s">
        <v>2275</v>
      </c>
      <c r="B991" s="1077" t="s">
        <v>771</v>
      </c>
      <c r="C991" s="1077">
        <v>700</v>
      </c>
      <c r="D991" s="1077">
        <v>1.75</v>
      </c>
      <c r="E991" s="1077" t="s">
        <v>15089</v>
      </c>
      <c r="F991" s="1077" t="s">
        <v>984</v>
      </c>
      <c r="G991" s="1077">
        <v>5</v>
      </c>
      <c r="H991" s="1077" t="s">
        <v>955</v>
      </c>
      <c r="I991" s="1077" t="s">
        <v>126</v>
      </c>
      <c r="J991" s="1077">
        <v>1.4</v>
      </c>
      <c r="K991" s="1077" t="s">
        <v>2276</v>
      </c>
      <c r="L991" s="1077" t="s">
        <v>2174</v>
      </c>
      <c r="M991" s="1077">
        <v>75</v>
      </c>
      <c r="N991" s="1077" t="s">
        <v>945</v>
      </c>
      <c r="O991" s="1077">
        <v>1.875</v>
      </c>
      <c r="P991" s="1077">
        <v>1.5</v>
      </c>
      <c r="Q991" s="1077">
        <v>4</v>
      </c>
      <c r="R991" s="1077">
        <v>23</v>
      </c>
      <c r="T991" s="1077">
        <v>26.5</v>
      </c>
      <c r="U991" s="1077">
        <v>3.8</v>
      </c>
      <c r="V991" s="1077" t="s">
        <v>648</v>
      </c>
      <c r="W991" s="1077">
        <v>100</v>
      </c>
      <c r="X991" s="1077">
        <v>45</v>
      </c>
      <c r="Y991" s="1077">
        <v>1.6</v>
      </c>
      <c r="Z991" s="1077">
        <v>5</v>
      </c>
      <c r="AA991" s="1077" t="s">
        <v>2277</v>
      </c>
      <c r="AH991" s="1077" t="s">
        <v>619</v>
      </c>
      <c r="AI991" s="1077">
        <v>92.43</v>
      </c>
      <c r="AJ991" s="1077">
        <v>-0.28000000000000003</v>
      </c>
      <c r="AK991" s="1077">
        <v>0.82</v>
      </c>
      <c r="AM991" s="1078" t="s">
        <v>770</v>
      </c>
      <c r="AN991" s="1078" t="s">
        <v>11007</v>
      </c>
      <c r="AO991" s="1078">
        <f t="shared" si="126"/>
        <v>700</v>
      </c>
      <c r="AP991" s="1078">
        <f t="shared" si="127"/>
        <v>1.75</v>
      </c>
      <c r="AQ991" s="1078" t="str">
        <f t="shared" si="128"/>
        <v>1-4-1S83°</v>
      </c>
      <c r="AR991" s="1078" t="str">
        <f t="shared" si="129"/>
        <v>30</v>
      </c>
      <c r="AS991" s="1078" t="str">
        <f t="shared" si="130"/>
        <v>260/260/OFF</v>
      </c>
      <c r="AT991" s="1078" t="str">
        <f t="shared" si="131"/>
        <v>1-4-1S83°</v>
      </c>
      <c r="AV991" s="1078" t="str">
        <f t="shared" si="124"/>
        <v>114.2.27</v>
      </c>
      <c r="AW991" s="1344">
        <f t="shared" si="125"/>
        <v>45715</v>
      </c>
    </row>
    <row r="992" spans="1:49">
      <c r="A992" s="1077" t="s">
        <v>2278</v>
      </c>
      <c r="B992" s="1077" t="s">
        <v>424</v>
      </c>
      <c r="C992" s="1077">
        <v>700</v>
      </c>
      <c r="D992" s="1077">
        <v>1.7849999999999999</v>
      </c>
      <c r="E992" s="1077" t="s">
        <v>15089</v>
      </c>
      <c r="F992" s="1077" t="s">
        <v>954</v>
      </c>
      <c r="G992" s="1077" t="s">
        <v>1767</v>
      </c>
      <c r="H992" s="1077" t="s">
        <v>2259</v>
      </c>
      <c r="I992" s="1077" t="s">
        <v>126</v>
      </c>
      <c r="J992" s="1077">
        <v>1.8</v>
      </c>
      <c r="K992" s="1077" t="s">
        <v>2279</v>
      </c>
      <c r="L992" s="1077" t="s">
        <v>1968</v>
      </c>
      <c r="M992" s="1077">
        <v>73</v>
      </c>
      <c r="N992" s="1077" t="s">
        <v>945</v>
      </c>
      <c r="O992" s="1077">
        <v>1.8250000000000002</v>
      </c>
      <c r="P992" s="1077">
        <v>1.46</v>
      </c>
      <c r="Q992" s="1077">
        <v>4</v>
      </c>
      <c r="R992" s="1077">
        <v>21.6</v>
      </c>
      <c r="T992" s="1077">
        <v>32</v>
      </c>
      <c r="U992" s="1077">
        <v>3.5</v>
      </c>
      <c r="V992" s="1077" t="s">
        <v>648</v>
      </c>
      <c r="W992" s="1077">
        <v>110</v>
      </c>
      <c r="X992" s="1077">
        <v>60</v>
      </c>
      <c r="Y992" s="1077">
        <v>1.5</v>
      </c>
      <c r="Z992" s="1077">
        <v>5.5</v>
      </c>
      <c r="AA992" s="1077" t="s">
        <v>2280</v>
      </c>
      <c r="AB992" s="1077" t="s">
        <v>981</v>
      </c>
      <c r="AH992" s="1077" t="s">
        <v>884</v>
      </c>
      <c r="AI992" s="1077">
        <v>91.6</v>
      </c>
      <c r="AJ992" s="1077">
        <v>-0.04</v>
      </c>
      <c r="AK992" s="1077">
        <v>1</v>
      </c>
      <c r="AM992" s="1078" t="s">
        <v>802</v>
      </c>
      <c r="AN992" s="1078" t="s">
        <v>11008</v>
      </c>
      <c r="AO992" s="1078">
        <f t="shared" si="126"/>
        <v>700</v>
      </c>
      <c r="AP992" s="1078">
        <f t="shared" si="127"/>
        <v>1.7849999999999999</v>
      </c>
      <c r="AQ992" s="1078" t="str">
        <f t="shared" si="128"/>
        <v>1-4-1S83°</v>
      </c>
      <c r="AR992" s="1078" t="str">
        <f t="shared" si="129"/>
        <v>31</v>
      </c>
      <c r="AS992" s="1078" t="str">
        <f t="shared" si="130"/>
        <v>275/275/OFF</v>
      </c>
      <c r="AT992" s="1078" t="str">
        <f t="shared" si="131"/>
        <v>1-4-1S83°</v>
      </c>
      <c r="AV992" s="1078" t="str">
        <f t="shared" si="124"/>
        <v>114.3.6</v>
      </c>
      <c r="AW992" s="1344">
        <f t="shared" si="125"/>
        <v>45722</v>
      </c>
    </row>
    <row r="993" spans="1:49">
      <c r="A993" s="1077" t="s">
        <v>2281</v>
      </c>
      <c r="B993" s="1077" t="s">
        <v>453</v>
      </c>
      <c r="C993" s="1077">
        <v>650</v>
      </c>
      <c r="D993" s="1077">
        <v>1.7150000000000001</v>
      </c>
      <c r="E993" s="1077" t="s">
        <v>15093</v>
      </c>
      <c r="F993" s="1077" t="s">
        <v>984</v>
      </c>
      <c r="G993" s="1077" t="s">
        <v>1767</v>
      </c>
      <c r="H993" s="1077" t="s">
        <v>1889</v>
      </c>
      <c r="I993" s="1077" t="s">
        <v>126</v>
      </c>
      <c r="J993" s="1077">
        <v>1.1000000000000001</v>
      </c>
      <c r="K993" s="1077" t="s">
        <v>2282</v>
      </c>
      <c r="L993" s="1077" t="s">
        <v>1821</v>
      </c>
      <c r="M993" s="1077">
        <v>77</v>
      </c>
      <c r="N993" s="1077" t="s">
        <v>945</v>
      </c>
      <c r="O993" s="1077">
        <v>1.925</v>
      </c>
      <c r="P993" s="1077">
        <v>1.54</v>
      </c>
      <c r="Q993" s="1077">
        <v>4.2</v>
      </c>
      <c r="R993" s="1077">
        <v>24</v>
      </c>
      <c r="T993" s="1077">
        <v>9</v>
      </c>
      <c r="U993" s="1077">
        <v>2.2000000000000002</v>
      </c>
      <c r="V993" s="1077" t="s">
        <v>648</v>
      </c>
      <c r="W993" s="1077">
        <v>110</v>
      </c>
      <c r="X993" s="1077" t="s">
        <v>1130</v>
      </c>
      <c r="Y993" s="1077">
        <v>2.1</v>
      </c>
      <c r="Z993" s="1077">
        <v>2.5</v>
      </c>
      <c r="AA993" s="1077" t="s">
        <v>2283</v>
      </c>
      <c r="AH993" s="1077" t="s">
        <v>722</v>
      </c>
      <c r="AI993" s="1077">
        <v>91.48</v>
      </c>
      <c r="AJ993" s="1077">
        <v>0.82</v>
      </c>
      <c r="AK993" s="1077">
        <v>0.6</v>
      </c>
      <c r="AM993" s="1078" t="s">
        <v>837</v>
      </c>
      <c r="AN993" s="1078" t="s">
        <v>11009</v>
      </c>
      <c r="AO993" s="1078">
        <f t="shared" si="126"/>
        <v>650</v>
      </c>
      <c r="AP993" s="1078">
        <f t="shared" si="127"/>
        <v>1.7150000000000001</v>
      </c>
      <c r="AQ993" s="1078" t="str">
        <f t="shared" si="128"/>
        <v>1-4-1S撚S83°</v>
      </c>
      <c r="AR993" s="1078" t="str">
        <f t="shared" si="129"/>
        <v>30</v>
      </c>
      <c r="AS993" s="1078" t="str">
        <f t="shared" si="130"/>
        <v>265/265/165</v>
      </c>
      <c r="AT993" s="1078" t="str">
        <f t="shared" si="131"/>
        <v>1-4-1S撚S83°</v>
      </c>
      <c r="AV993" s="1078" t="str">
        <f t="shared" si="124"/>
        <v>114.3.14</v>
      </c>
      <c r="AW993" s="1344">
        <f t="shared" si="125"/>
        <v>45730</v>
      </c>
    </row>
    <row r="994" spans="1:49">
      <c r="A994" s="1077" t="s">
        <v>2284</v>
      </c>
      <c r="B994" s="1077" t="s">
        <v>840</v>
      </c>
      <c r="C994" s="1077">
        <v>600</v>
      </c>
      <c r="D994" s="1077">
        <v>1.76</v>
      </c>
      <c r="E994" s="1077" t="s">
        <v>15095</v>
      </c>
      <c r="F994" s="1077" t="s">
        <v>954</v>
      </c>
      <c r="G994" s="1077" t="s">
        <v>940</v>
      </c>
      <c r="H994" s="1077" t="s">
        <v>1017</v>
      </c>
      <c r="I994" s="1077" t="s">
        <v>126</v>
      </c>
      <c r="J994" s="1077">
        <v>1.4</v>
      </c>
      <c r="K994" s="1077" t="s">
        <v>2245</v>
      </c>
      <c r="L994" s="1077" t="s">
        <v>1964</v>
      </c>
      <c r="M994" s="1077">
        <v>75.400000000000006</v>
      </c>
      <c r="N994" s="1077" t="s">
        <v>945</v>
      </c>
      <c r="O994" s="1077">
        <v>1.8850000000000002</v>
      </c>
      <c r="P994" s="1077">
        <v>1.5080000000000002</v>
      </c>
      <c r="Q994" s="1077">
        <v>3</v>
      </c>
      <c r="R994" s="1077">
        <v>24</v>
      </c>
      <c r="T994" s="1077">
        <v>18</v>
      </c>
      <c r="U994" s="1077">
        <v>6</v>
      </c>
      <c r="V994" s="1077" t="s">
        <v>648</v>
      </c>
      <c r="W994" s="1077">
        <v>120</v>
      </c>
      <c r="X994" s="1077">
        <v>80</v>
      </c>
      <c r="Y994" s="1077">
        <v>2</v>
      </c>
      <c r="Z994" s="1077">
        <v>6</v>
      </c>
      <c r="AA994" s="1077" t="s">
        <v>2285</v>
      </c>
      <c r="AH994" s="1077" t="s">
        <v>680</v>
      </c>
      <c r="AM994" s="1078" t="s">
        <v>839</v>
      </c>
      <c r="AN994" s="1078" t="s">
        <v>11010</v>
      </c>
      <c r="AO994" s="1078">
        <f t="shared" si="126"/>
        <v>600</v>
      </c>
      <c r="AP994" s="1078">
        <f t="shared" si="127"/>
        <v>1.76</v>
      </c>
      <c r="AQ994" s="1078" t="str">
        <f t="shared" si="128"/>
        <v>1-5-1S83°</v>
      </c>
      <c r="AR994" s="1078" t="str">
        <f t="shared" si="129"/>
        <v>31</v>
      </c>
      <c r="AS994" s="1078" t="str">
        <f t="shared" si="130"/>
        <v>200/200/OFF</v>
      </c>
      <c r="AT994" s="1078" t="str">
        <f t="shared" si="131"/>
        <v>1-5-1S83°</v>
      </c>
      <c r="AV994" s="1078" t="str">
        <f t="shared" si="124"/>
        <v>114.3.17</v>
      </c>
      <c r="AW994" s="1344">
        <f t="shared" si="125"/>
        <v>45733</v>
      </c>
    </row>
    <row r="995" spans="1:49">
      <c r="A995" s="1077" t="s">
        <v>2286</v>
      </c>
      <c r="B995" s="1077" t="s">
        <v>850</v>
      </c>
      <c r="C995" s="1077">
        <v>550</v>
      </c>
      <c r="D995" s="1077">
        <v>1.79</v>
      </c>
      <c r="E995" s="1077" t="s">
        <v>15095</v>
      </c>
      <c r="F995" s="1077" t="s">
        <v>954</v>
      </c>
      <c r="G995" s="1077" t="s">
        <v>940</v>
      </c>
      <c r="H995" s="1077" t="s">
        <v>1017</v>
      </c>
      <c r="I995" s="1077" t="s">
        <v>626</v>
      </c>
      <c r="J995" s="1077">
        <v>1</v>
      </c>
      <c r="K995" s="1077" t="s">
        <v>2287</v>
      </c>
      <c r="L995" s="1077" t="s">
        <v>2288</v>
      </c>
      <c r="M995" s="1077">
        <v>78</v>
      </c>
      <c r="N995" s="1077" t="s">
        <v>945</v>
      </c>
      <c r="O995" s="1077">
        <v>1.9500000000000002</v>
      </c>
      <c r="P995" s="1077">
        <v>1.56</v>
      </c>
      <c r="Q995" s="1077">
        <v>3</v>
      </c>
      <c r="R995" s="1077">
        <v>29.5</v>
      </c>
      <c r="T995" s="1077">
        <v>9.6</v>
      </c>
      <c r="U995" s="1077">
        <v>6.8</v>
      </c>
      <c r="V995" s="1077" t="s">
        <v>648</v>
      </c>
      <c r="W995" s="1077">
        <v>135</v>
      </c>
      <c r="X995" s="1077">
        <v>65</v>
      </c>
      <c r="Y995" s="1077">
        <v>1.4</v>
      </c>
      <c r="Z995" s="1077">
        <v>4</v>
      </c>
      <c r="AA995" s="1077" t="s">
        <v>2289</v>
      </c>
      <c r="AM995" s="1078" t="s">
        <v>849</v>
      </c>
      <c r="AN995" s="1078" t="s">
        <v>11011</v>
      </c>
      <c r="AO995" s="1078">
        <f t="shared" si="126"/>
        <v>550</v>
      </c>
      <c r="AP995" s="1078">
        <f t="shared" si="127"/>
        <v>1.79</v>
      </c>
      <c r="AQ995" s="1078" t="str">
        <f t="shared" si="128"/>
        <v>1-5-1S83°</v>
      </c>
      <c r="AR995" s="1078" t="str">
        <f t="shared" si="129"/>
        <v>31</v>
      </c>
      <c r="AS995" s="1078" t="str">
        <f t="shared" si="130"/>
        <v>200/200/OFF</v>
      </c>
      <c r="AT995" s="1078" t="str">
        <f t="shared" si="131"/>
        <v>1-5-1S83°</v>
      </c>
      <c r="AV995" s="1078" t="str">
        <f t="shared" si="124"/>
        <v>114.3.21</v>
      </c>
      <c r="AW995" s="1344">
        <f t="shared" si="125"/>
        <v>45737</v>
      </c>
    </row>
    <row r="996" spans="1:49">
      <c r="A996" s="1077" t="s">
        <v>2290</v>
      </c>
      <c r="B996" s="1077" t="s">
        <v>1783</v>
      </c>
      <c r="C996" s="1077">
        <v>500</v>
      </c>
      <c r="D996" s="1077">
        <v>1.66</v>
      </c>
      <c r="E996" s="1077" t="s">
        <v>15089</v>
      </c>
      <c r="F996" s="1077" t="s">
        <v>2001</v>
      </c>
      <c r="G996" s="1077" t="s">
        <v>2018</v>
      </c>
      <c r="H996" s="1077" t="s">
        <v>1155</v>
      </c>
      <c r="I996" s="1077" t="s">
        <v>126</v>
      </c>
      <c r="J996" s="1077">
        <v>0.3</v>
      </c>
      <c r="K996" s="1077" t="s">
        <v>2201</v>
      </c>
      <c r="L996" s="1077" t="s">
        <v>1787</v>
      </c>
      <c r="M996" s="1077">
        <v>76.099999999999994</v>
      </c>
      <c r="N996" s="1077" t="s">
        <v>945</v>
      </c>
      <c r="O996" s="1077">
        <v>1.9024999999999999</v>
      </c>
      <c r="P996" s="1077">
        <v>1.522</v>
      </c>
      <c r="Q996" s="1077">
        <v>4</v>
      </c>
      <c r="R996" s="1077">
        <v>21</v>
      </c>
      <c r="T996" s="1077">
        <v>13</v>
      </c>
      <c r="U996" s="1077">
        <v>4</v>
      </c>
      <c r="V996" s="1077" t="s">
        <v>648</v>
      </c>
      <c r="W996" s="1077">
        <v>30</v>
      </c>
      <c r="X996" s="1077">
        <v>10</v>
      </c>
      <c r="Y996" s="1077">
        <v>2.5</v>
      </c>
      <c r="Z996" s="1077">
        <v>2</v>
      </c>
      <c r="AA996" s="1077" t="s">
        <v>2291</v>
      </c>
      <c r="AH996" s="1077" t="s">
        <v>762</v>
      </c>
      <c r="AM996" s="1078" t="s">
        <v>11012</v>
      </c>
      <c r="AN996" s="1078" t="s">
        <v>11013</v>
      </c>
      <c r="AO996" s="1078">
        <f t="shared" si="126"/>
        <v>500</v>
      </c>
      <c r="AP996" s="1078">
        <f t="shared" si="127"/>
        <v>1.66</v>
      </c>
      <c r="AQ996" s="1078" t="str">
        <f t="shared" si="128"/>
        <v>1-4-1S83°</v>
      </c>
      <c r="AR996" s="1078" t="str">
        <f t="shared" si="129"/>
        <v>29.9</v>
      </c>
      <c r="AS996" s="1078" t="str">
        <f t="shared" si="130"/>
        <v>215/215/OFF</v>
      </c>
      <c r="AT996" s="1078" t="str">
        <f t="shared" si="131"/>
        <v>1-4-1S83°</v>
      </c>
      <c r="AV996" s="1078" t="str">
        <f t="shared" si="124"/>
        <v>111.6.24</v>
      </c>
      <c r="AW996" s="1344">
        <f t="shared" si="125"/>
        <v>44736</v>
      </c>
    </row>
    <row r="997" spans="1:49">
      <c r="A997" s="1077" t="s">
        <v>2292</v>
      </c>
      <c r="B997" s="1077" t="s">
        <v>1783</v>
      </c>
      <c r="C997" s="1077">
        <v>500</v>
      </c>
      <c r="D997" s="1077">
        <v>1.66</v>
      </c>
      <c r="E997" s="1077" t="s">
        <v>15089</v>
      </c>
      <c r="F997" s="1077" t="s">
        <v>2001</v>
      </c>
      <c r="G997" s="1077" t="s">
        <v>2018</v>
      </c>
      <c r="H997" s="1077" t="s">
        <v>1155</v>
      </c>
      <c r="I997" s="1077" t="s">
        <v>126</v>
      </c>
      <c r="J997" s="1077">
        <v>0.3</v>
      </c>
      <c r="K997" s="1077" t="s">
        <v>2238</v>
      </c>
      <c r="L997" s="1077" t="s">
        <v>1787</v>
      </c>
      <c r="M997" s="1077">
        <v>76.099999999999994</v>
      </c>
      <c r="N997" s="1077" t="s">
        <v>945</v>
      </c>
      <c r="O997" s="1077">
        <v>1.9024999999999999</v>
      </c>
      <c r="P997" s="1077">
        <v>1.522</v>
      </c>
      <c r="Q997" s="1077">
        <v>4</v>
      </c>
      <c r="R997" s="1077">
        <v>21</v>
      </c>
      <c r="T997" s="1077">
        <v>13</v>
      </c>
      <c r="U997" s="1077">
        <v>4</v>
      </c>
      <c r="V997" s="1077" t="s">
        <v>648</v>
      </c>
      <c r="W997" s="1077">
        <v>30</v>
      </c>
      <c r="X997" s="1077">
        <v>10</v>
      </c>
      <c r="Y997" s="1077">
        <v>2.5</v>
      </c>
      <c r="Z997" s="1077">
        <v>2</v>
      </c>
      <c r="AA997" s="1077" t="s">
        <v>2291</v>
      </c>
      <c r="AH997" s="1077" t="s">
        <v>966</v>
      </c>
      <c r="AM997" s="1078" t="s">
        <v>11014</v>
      </c>
      <c r="AN997" s="1078" t="s">
        <v>11015</v>
      </c>
      <c r="AO997" s="1078">
        <f t="shared" si="126"/>
        <v>500</v>
      </c>
      <c r="AP997" s="1078">
        <f t="shared" si="127"/>
        <v>1.66</v>
      </c>
      <c r="AQ997" s="1078" t="str">
        <f t="shared" si="128"/>
        <v>1-4-1S83°</v>
      </c>
      <c r="AR997" s="1078" t="str">
        <f t="shared" si="129"/>
        <v>29.9</v>
      </c>
      <c r="AS997" s="1078" t="str">
        <f t="shared" si="130"/>
        <v>215/215/OFF</v>
      </c>
      <c r="AT997" s="1078" t="str">
        <f t="shared" si="131"/>
        <v>1-4-1S83°</v>
      </c>
      <c r="AV997" s="1078" t="str">
        <f t="shared" si="124"/>
        <v>111.6.24</v>
      </c>
      <c r="AW997" s="1344">
        <f t="shared" si="125"/>
        <v>44736</v>
      </c>
    </row>
    <row r="998" spans="1:49">
      <c r="A998" s="1077" t="s">
        <v>2293</v>
      </c>
      <c r="B998" s="1077" t="s">
        <v>1815</v>
      </c>
      <c r="C998" s="1077">
        <v>650</v>
      </c>
      <c r="D998" s="1077">
        <v>1.69</v>
      </c>
      <c r="E998" s="1077" t="s">
        <v>15098</v>
      </c>
      <c r="F998" s="1077" t="s">
        <v>954</v>
      </c>
      <c r="G998" s="1077" t="s">
        <v>1767</v>
      </c>
      <c r="H998" s="1077" t="s">
        <v>955</v>
      </c>
      <c r="I998" s="1077" t="s">
        <v>126</v>
      </c>
      <c r="J998" s="1077">
        <v>0.8</v>
      </c>
      <c r="K998" s="1077" t="s">
        <v>2208</v>
      </c>
      <c r="L998" s="1077" t="s">
        <v>2209</v>
      </c>
      <c r="M998" s="1077">
        <v>75.099999999999994</v>
      </c>
      <c r="N998" s="1077" t="s">
        <v>945</v>
      </c>
      <c r="O998" s="1077">
        <v>1.8774999999999999</v>
      </c>
      <c r="P998" s="1077">
        <v>1.502</v>
      </c>
      <c r="Q998" s="1077">
        <v>4</v>
      </c>
      <c r="R998" s="1077">
        <v>19</v>
      </c>
      <c r="T998" s="1077">
        <v>21</v>
      </c>
      <c r="U998" s="1077">
        <v>3.5</v>
      </c>
      <c r="V998" s="1077" t="s">
        <v>648</v>
      </c>
      <c r="W998" s="1077">
        <v>110</v>
      </c>
      <c r="X998" s="1077">
        <v>65</v>
      </c>
      <c r="Y998" s="1077">
        <v>1.6</v>
      </c>
      <c r="Z998" s="1077">
        <v>4</v>
      </c>
      <c r="AA998" s="1077" t="s">
        <v>2291</v>
      </c>
      <c r="AH998" s="1077" t="s">
        <v>1238</v>
      </c>
      <c r="AM998" s="1078" t="s">
        <v>11016</v>
      </c>
      <c r="AN998" s="1078" t="s">
        <v>11017</v>
      </c>
      <c r="AO998" s="1078">
        <f t="shared" si="126"/>
        <v>650</v>
      </c>
      <c r="AP998" s="1078">
        <f t="shared" si="127"/>
        <v>1.69</v>
      </c>
      <c r="AQ998" s="1078" t="str">
        <f t="shared" si="128"/>
        <v>1-4-1S91°</v>
      </c>
      <c r="AR998" s="1078" t="str">
        <f t="shared" si="129"/>
        <v>31</v>
      </c>
      <c r="AS998" s="1078" t="str">
        <f t="shared" si="130"/>
        <v>260/260/OFF</v>
      </c>
      <c r="AT998" s="1078" t="str">
        <f t="shared" si="131"/>
        <v>1-4-1S91°</v>
      </c>
      <c r="AV998" s="1078" t="str">
        <f t="shared" si="124"/>
        <v>111.6.24</v>
      </c>
      <c r="AW998" s="1344">
        <f t="shared" si="125"/>
        <v>44736</v>
      </c>
    </row>
    <row r="999" spans="1:49">
      <c r="A999" s="1077" t="s">
        <v>2294</v>
      </c>
      <c r="B999" s="1077" t="s">
        <v>850</v>
      </c>
      <c r="C999" s="1077">
        <v>550</v>
      </c>
      <c r="D999" s="1077">
        <v>1.75</v>
      </c>
      <c r="E999" s="1077" t="s">
        <v>15095</v>
      </c>
      <c r="F999" s="1077" t="s">
        <v>984</v>
      </c>
      <c r="G999" s="1077" t="s">
        <v>940</v>
      </c>
      <c r="H999" s="1077" t="s">
        <v>2295</v>
      </c>
      <c r="I999" s="1077" t="s">
        <v>626</v>
      </c>
      <c r="J999" s="1077">
        <v>0.9</v>
      </c>
      <c r="K999" s="1077" t="s">
        <v>2296</v>
      </c>
      <c r="L999" s="1077" t="s">
        <v>1763</v>
      </c>
      <c r="M999" s="1077">
        <v>78</v>
      </c>
      <c r="N999" s="1077" t="s">
        <v>945</v>
      </c>
      <c r="O999" s="1077">
        <v>1.9500000000000002</v>
      </c>
      <c r="P999" s="1077">
        <v>1.56</v>
      </c>
      <c r="Q999" s="1077">
        <v>3</v>
      </c>
      <c r="R999" s="1077">
        <v>27</v>
      </c>
      <c r="T999" s="1077">
        <v>9.6</v>
      </c>
      <c r="U999" s="1077">
        <v>6.8</v>
      </c>
      <c r="V999" s="1077" t="s">
        <v>648</v>
      </c>
      <c r="W999" s="1077">
        <v>135</v>
      </c>
      <c r="X999" s="1077">
        <v>65</v>
      </c>
      <c r="Y999" s="1077">
        <v>1.4</v>
      </c>
      <c r="Z999" s="1077">
        <v>4</v>
      </c>
      <c r="AA999" s="1077" t="s">
        <v>2297</v>
      </c>
      <c r="AH999" s="1077" t="s">
        <v>468</v>
      </c>
      <c r="AM999" s="1078" t="s">
        <v>11018</v>
      </c>
      <c r="AN999" s="1078" t="s">
        <v>11019</v>
      </c>
      <c r="AO999" s="1078">
        <f t="shared" si="126"/>
        <v>550</v>
      </c>
      <c r="AP999" s="1078">
        <f t="shared" si="127"/>
        <v>1.75</v>
      </c>
      <c r="AQ999" s="1078" t="str">
        <f t="shared" si="128"/>
        <v>1-5-1S83°</v>
      </c>
      <c r="AR999" s="1078" t="str">
        <f t="shared" si="129"/>
        <v>30</v>
      </c>
      <c r="AS999" s="1078" t="str">
        <f t="shared" si="130"/>
        <v>205/205/OFF</v>
      </c>
      <c r="AT999" s="1078" t="str">
        <f t="shared" si="131"/>
        <v>1-5-1S83°</v>
      </c>
      <c r="AV999" s="1078" t="str">
        <f t="shared" si="124"/>
        <v>111.6.27</v>
      </c>
      <c r="AW999" s="1344">
        <f t="shared" si="125"/>
        <v>44739</v>
      </c>
    </row>
    <row r="1000" spans="1:49">
      <c r="A1000" s="1077" t="s">
        <v>2298</v>
      </c>
      <c r="B1000" s="1077" t="s">
        <v>2299</v>
      </c>
      <c r="C1000" s="1077">
        <v>600</v>
      </c>
      <c r="D1000" s="1077">
        <v>1.72</v>
      </c>
      <c r="E1000" s="1077" t="s">
        <v>15089</v>
      </c>
      <c r="F1000" s="1077" t="s">
        <v>984</v>
      </c>
      <c r="G1000" s="1077" t="s">
        <v>940</v>
      </c>
      <c r="H1000" s="1077" t="s">
        <v>1793</v>
      </c>
      <c r="I1000" s="1077" t="s">
        <v>126</v>
      </c>
      <c r="J1000" s="1077">
        <v>0.6</v>
      </c>
      <c r="K1000" s="1077" t="s">
        <v>2300</v>
      </c>
      <c r="L1000" s="1077" t="s">
        <v>2301</v>
      </c>
      <c r="M1000" s="1077">
        <v>73.5</v>
      </c>
      <c r="N1000" s="1077" t="s">
        <v>945</v>
      </c>
      <c r="O1000" s="1077">
        <v>1.8375000000000001</v>
      </c>
      <c r="P1000" s="1077">
        <v>1.47</v>
      </c>
      <c r="Q1000" s="1077">
        <v>3.5</v>
      </c>
      <c r="R1000" s="1077" t="s">
        <v>2302</v>
      </c>
      <c r="T1000" s="1077">
        <v>21</v>
      </c>
      <c r="U1000" s="1077">
        <v>3.2</v>
      </c>
      <c r="V1000" s="1077" t="s">
        <v>648</v>
      </c>
      <c r="W1000" s="1077">
        <v>100</v>
      </c>
      <c r="X1000" s="1077">
        <v>50</v>
      </c>
      <c r="Y1000" s="1077">
        <v>2.5</v>
      </c>
      <c r="Z1000" s="1077" t="s">
        <v>2303</v>
      </c>
      <c r="AA1000" s="1077" t="s">
        <v>2304</v>
      </c>
      <c r="AH1000" s="1077" t="s">
        <v>680</v>
      </c>
      <c r="AM1000" s="1078" t="s">
        <v>11020</v>
      </c>
      <c r="AN1000" s="1078" t="s">
        <v>11021</v>
      </c>
      <c r="AO1000" s="1078">
        <f t="shared" si="126"/>
        <v>600</v>
      </c>
      <c r="AP1000" s="1078">
        <f t="shared" si="127"/>
        <v>1.72</v>
      </c>
      <c r="AQ1000" s="1078" t="str">
        <f t="shared" si="128"/>
        <v>1-4-1S83°</v>
      </c>
      <c r="AR1000" s="1078" t="str">
        <f t="shared" si="129"/>
        <v>30</v>
      </c>
      <c r="AS1000" s="1078" t="str">
        <f t="shared" si="130"/>
        <v>270/270/OFF</v>
      </c>
      <c r="AT1000" s="1078" t="str">
        <f t="shared" si="131"/>
        <v>1-4-1S83°</v>
      </c>
      <c r="AV1000" s="1078" t="str">
        <f t="shared" si="124"/>
        <v>111.7.4</v>
      </c>
      <c r="AW1000" s="1344">
        <f t="shared" si="125"/>
        <v>44746</v>
      </c>
    </row>
    <row r="1001" spans="1:49">
      <c r="A1001" s="1077" t="s">
        <v>2305</v>
      </c>
      <c r="B1001" s="1077" t="s">
        <v>1911</v>
      </c>
      <c r="C1001" s="1077">
        <v>650</v>
      </c>
      <c r="D1001" s="1077">
        <v>1.736</v>
      </c>
      <c r="E1001" s="1077" t="s">
        <v>15091</v>
      </c>
      <c r="F1001" s="1077" t="s">
        <v>2306</v>
      </c>
      <c r="G1001" s="1077">
        <v>5</v>
      </c>
      <c r="H1001" s="1077" t="s">
        <v>1484</v>
      </c>
      <c r="I1001" s="1077" t="s">
        <v>1167</v>
      </c>
      <c r="J1001" s="1077">
        <v>1.2</v>
      </c>
      <c r="K1001" s="1077" t="s">
        <v>1912</v>
      </c>
      <c r="L1001" s="1077" t="s">
        <v>1913</v>
      </c>
      <c r="M1001" s="1077">
        <v>75</v>
      </c>
      <c r="N1001" s="1077" t="s">
        <v>945</v>
      </c>
      <c r="O1001" s="1077">
        <v>1.875</v>
      </c>
      <c r="P1001" s="1077">
        <v>1.5</v>
      </c>
      <c r="Q1001" s="1077">
        <v>4</v>
      </c>
      <c r="R1001" s="1077">
        <v>23</v>
      </c>
      <c r="T1001" s="1077">
        <v>26.5</v>
      </c>
      <c r="U1001" s="1077">
        <v>3.8</v>
      </c>
      <c r="V1001" s="1077" t="s">
        <v>648</v>
      </c>
      <c r="W1001" s="1077">
        <v>100</v>
      </c>
      <c r="X1001" s="1077">
        <v>45</v>
      </c>
      <c r="Y1001" s="1077">
        <v>1.6</v>
      </c>
      <c r="Z1001" s="1077">
        <v>5</v>
      </c>
      <c r="AA1001" s="1077" t="s">
        <v>2307</v>
      </c>
      <c r="AH1001" s="1077" t="s">
        <v>1827</v>
      </c>
      <c r="AM1001" s="1078" t="s">
        <v>11022</v>
      </c>
      <c r="AN1001" s="1078" t="s">
        <v>11023</v>
      </c>
      <c r="AO1001" s="1078">
        <f t="shared" si="126"/>
        <v>650</v>
      </c>
      <c r="AP1001" s="1078">
        <f t="shared" si="127"/>
        <v>1.736</v>
      </c>
      <c r="AQ1001" s="1078" t="str">
        <f t="shared" si="128"/>
        <v>2-5-1S83°</v>
      </c>
      <c r="AR1001" s="1078" t="str">
        <f t="shared" si="129"/>
        <v>29.1</v>
      </c>
      <c r="AS1001" s="1078" t="str">
        <f t="shared" si="130"/>
        <v>165/OFF</v>
      </c>
      <c r="AT1001" s="1078" t="str">
        <f t="shared" si="131"/>
        <v>2-5-1S83°</v>
      </c>
      <c r="AV1001" s="1078" t="str">
        <f t="shared" si="124"/>
        <v>111.7.8</v>
      </c>
      <c r="AW1001" s="1344">
        <f t="shared" si="125"/>
        <v>44750</v>
      </c>
    </row>
    <row r="1002" spans="1:49">
      <c r="A1002" s="1077" t="s">
        <v>2308</v>
      </c>
      <c r="B1002" s="1077" t="s">
        <v>453</v>
      </c>
      <c r="C1002" s="1077">
        <v>650</v>
      </c>
      <c r="D1002" s="1077">
        <v>1.71</v>
      </c>
      <c r="E1002" s="1077" t="s">
        <v>15089</v>
      </c>
      <c r="F1002" s="1077" t="s">
        <v>984</v>
      </c>
      <c r="G1002" s="1077" t="s">
        <v>1767</v>
      </c>
      <c r="H1002" s="1077" t="s">
        <v>1831</v>
      </c>
      <c r="I1002" s="1077" t="s">
        <v>126</v>
      </c>
      <c r="J1002" s="1077">
        <v>1.1000000000000001</v>
      </c>
      <c r="K1002" s="1077" t="s">
        <v>2309</v>
      </c>
      <c r="L1002" s="1077" t="s">
        <v>1776</v>
      </c>
      <c r="M1002" s="1077">
        <v>77</v>
      </c>
      <c r="N1002" s="1077" t="s">
        <v>945</v>
      </c>
      <c r="O1002" s="1077">
        <v>1.925</v>
      </c>
      <c r="P1002" s="1077">
        <v>1.54</v>
      </c>
      <c r="Q1002" s="1077">
        <v>4.2</v>
      </c>
      <c r="R1002" s="1077">
        <v>24</v>
      </c>
      <c r="T1002" s="1077">
        <v>9</v>
      </c>
      <c r="U1002" s="1077">
        <v>2.2000000000000002</v>
      </c>
      <c r="V1002" s="1077" t="s">
        <v>648</v>
      </c>
      <c r="W1002" s="1077">
        <v>110</v>
      </c>
      <c r="X1002" s="1077" t="s">
        <v>1130</v>
      </c>
      <c r="Y1002" s="1077">
        <v>2.1</v>
      </c>
      <c r="Z1002" s="1077">
        <v>2.5</v>
      </c>
      <c r="AA1002" s="1077" t="s">
        <v>2310</v>
      </c>
      <c r="AB1002" s="1077" t="s">
        <v>981</v>
      </c>
      <c r="AH1002" s="1077" t="s">
        <v>990</v>
      </c>
      <c r="AM1002" s="1078" t="s">
        <v>11024</v>
      </c>
      <c r="AN1002" s="1078" t="s">
        <v>11025</v>
      </c>
      <c r="AO1002" s="1078">
        <f t="shared" si="126"/>
        <v>650</v>
      </c>
      <c r="AP1002" s="1078">
        <f t="shared" si="127"/>
        <v>1.71</v>
      </c>
      <c r="AQ1002" s="1078" t="str">
        <f t="shared" si="128"/>
        <v>1-4-1S83°</v>
      </c>
      <c r="AR1002" s="1078" t="str">
        <f t="shared" si="129"/>
        <v>30</v>
      </c>
      <c r="AS1002" s="1078" t="str">
        <f t="shared" si="130"/>
        <v>260/260/165</v>
      </c>
      <c r="AT1002" s="1078" t="str">
        <f t="shared" si="131"/>
        <v>1-4-1S83°</v>
      </c>
      <c r="AV1002" s="1078" t="str">
        <f t="shared" si="124"/>
        <v>111.7.11</v>
      </c>
      <c r="AW1002" s="1344">
        <f t="shared" si="125"/>
        <v>44753</v>
      </c>
    </row>
    <row r="1003" spans="1:49">
      <c r="A1003" s="1077" t="s">
        <v>2311</v>
      </c>
      <c r="B1003" s="1077" t="s">
        <v>1899</v>
      </c>
      <c r="C1003" s="1077">
        <v>600</v>
      </c>
      <c r="D1003" s="1077">
        <v>1.7</v>
      </c>
      <c r="E1003" s="1077" t="s">
        <v>15095</v>
      </c>
      <c r="F1003" s="1077" t="s">
        <v>954</v>
      </c>
      <c r="G1003" s="1077" t="s">
        <v>940</v>
      </c>
      <c r="H1003" s="1077" t="s">
        <v>1226</v>
      </c>
      <c r="I1003" s="1077" t="s">
        <v>126</v>
      </c>
      <c r="J1003" s="1077">
        <v>1.4</v>
      </c>
      <c r="K1003" s="1077" t="s">
        <v>2312</v>
      </c>
      <c r="L1003" s="1077" t="s">
        <v>1924</v>
      </c>
      <c r="M1003" s="1077">
        <v>75.400000000000006</v>
      </c>
      <c r="N1003" s="1077" t="s">
        <v>945</v>
      </c>
      <c r="O1003" s="1077">
        <v>1.8850000000000002</v>
      </c>
      <c r="P1003" s="1077">
        <v>1.5080000000000002</v>
      </c>
      <c r="Q1003" s="1077">
        <v>3</v>
      </c>
      <c r="R1003" s="1077">
        <v>29</v>
      </c>
      <c r="T1003" s="1077">
        <v>18</v>
      </c>
      <c r="U1003" s="1077">
        <v>6</v>
      </c>
      <c r="V1003" s="1077" t="s">
        <v>648</v>
      </c>
      <c r="W1003" s="1077">
        <v>120</v>
      </c>
      <c r="X1003" s="1077">
        <v>80</v>
      </c>
      <c r="Y1003" s="1077">
        <v>2</v>
      </c>
      <c r="Z1003" s="1077">
        <v>6</v>
      </c>
      <c r="AA1003" s="1077" t="s">
        <v>2307</v>
      </c>
      <c r="AH1003" s="1077" t="s">
        <v>622</v>
      </c>
      <c r="AM1003" s="1078" t="s">
        <v>11026</v>
      </c>
      <c r="AN1003" s="1078" t="s">
        <v>11027</v>
      </c>
      <c r="AO1003" s="1078">
        <f t="shared" si="126"/>
        <v>600</v>
      </c>
      <c r="AP1003" s="1078">
        <f t="shared" si="127"/>
        <v>1.7</v>
      </c>
      <c r="AQ1003" s="1078" t="str">
        <f t="shared" si="128"/>
        <v>1-5-1S83°</v>
      </c>
      <c r="AR1003" s="1078" t="str">
        <f t="shared" si="129"/>
        <v>31</v>
      </c>
      <c r="AS1003" s="1078" t="str">
        <f t="shared" si="130"/>
        <v>230/230/OFF</v>
      </c>
      <c r="AT1003" s="1078" t="str">
        <f t="shared" si="131"/>
        <v>1-5-1S83°</v>
      </c>
      <c r="AV1003" s="1078" t="str">
        <f t="shared" si="124"/>
        <v>111.7.8</v>
      </c>
      <c r="AW1003" s="1344">
        <f t="shared" si="125"/>
        <v>44750</v>
      </c>
    </row>
    <row r="1004" spans="1:49">
      <c r="A1004" s="1077" t="s">
        <v>2313</v>
      </c>
      <c r="B1004" s="1077" t="s">
        <v>1783</v>
      </c>
      <c r="C1004" s="1077">
        <v>500</v>
      </c>
      <c r="D1004" s="1077">
        <v>1.67</v>
      </c>
      <c r="E1004" s="1077" t="s">
        <v>15089</v>
      </c>
      <c r="F1004" s="1077" t="s">
        <v>1173</v>
      </c>
      <c r="G1004" s="1077" t="s">
        <v>1767</v>
      </c>
      <c r="H1004" s="1077" t="s">
        <v>1290</v>
      </c>
      <c r="I1004" s="1077" t="s">
        <v>126</v>
      </c>
      <c r="J1004" s="1077">
        <v>0.8</v>
      </c>
      <c r="K1004" s="1077" t="s">
        <v>2238</v>
      </c>
      <c r="L1004" s="1077" t="s">
        <v>1787</v>
      </c>
      <c r="M1004" s="1077">
        <v>76</v>
      </c>
      <c r="N1004" s="1077" t="s">
        <v>945</v>
      </c>
      <c r="O1004" s="1077">
        <v>1.9000000000000001</v>
      </c>
      <c r="P1004" s="1077">
        <v>1.52</v>
      </c>
      <c r="Q1004" s="1077">
        <v>4</v>
      </c>
      <c r="R1004" s="1077">
        <v>23</v>
      </c>
      <c r="T1004" s="1077">
        <v>11.5</v>
      </c>
      <c r="U1004" s="1077">
        <v>3.9</v>
      </c>
      <c r="V1004" s="1077" t="s">
        <v>648</v>
      </c>
      <c r="W1004" s="1077">
        <v>120</v>
      </c>
      <c r="X1004" s="1077">
        <v>85</v>
      </c>
      <c r="Y1004" s="1077">
        <v>2</v>
      </c>
      <c r="Z1004" s="1077">
        <v>2.5</v>
      </c>
      <c r="AA1004" s="1077" t="s">
        <v>2307</v>
      </c>
      <c r="AH1004" s="1077" t="s">
        <v>621</v>
      </c>
      <c r="AM1004" s="1078" t="s">
        <v>11028</v>
      </c>
      <c r="AN1004" s="1078" t="s">
        <v>11029</v>
      </c>
      <c r="AO1004" s="1078">
        <f t="shared" si="126"/>
        <v>500</v>
      </c>
      <c r="AP1004" s="1078">
        <f t="shared" si="127"/>
        <v>1.67</v>
      </c>
      <c r="AQ1004" s="1078" t="str">
        <f t="shared" si="128"/>
        <v>1-4-1S83°</v>
      </c>
      <c r="AR1004" s="1078" t="str">
        <f t="shared" si="129"/>
        <v>28.5</v>
      </c>
      <c r="AS1004" s="1078" t="str">
        <f t="shared" si="130"/>
        <v>220/220/OFF</v>
      </c>
      <c r="AT1004" s="1078" t="str">
        <f t="shared" si="131"/>
        <v>1-4-1S83°</v>
      </c>
      <c r="AV1004" s="1078" t="str">
        <f t="shared" si="124"/>
        <v>111.7.8</v>
      </c>
      <c r="AW1004" s="1344">
        <f t="shared" si="125"/>
        <v>44750</v>
      </c>
    </row>
    <row r="1005" spans="1:49">
      <c r="A1005" s="1077" t="s">
        <v>2314</v>
      </c>
      <c r="B1005" s="1077" t="s">
        <v>1792</v>
      </c>
      <c r="C1005" s="1077">
        <v>650</v>
      </c>
      <c r="D1005" s="1077">
        <v>1.77</v>
      </c>
      <c r="E1005" s="1077" t="s">
        <v>15089</v>
      </c>
      <c r="F1005" s="1077" t="s">
        <v>954</v>
      </c>
      <c r="G1005" s="1077" t="s">
        <v>1767</v>
      </c>
      <c r="H1005" s="1077" t="s">
        <v>1793</v>
      </c>
      <c r="I1005" s="1077" t="s">
        <v>126</v>
      </c>
      <c r="J1005" s="1077">
        <v>1.6</v>
      </c>
      <c r="K1005" s="1077" t="s">
        <v>1794</v>
      </c>
      <c r="L1005" s="1077" t="s">
        <v>1795</v>
      </c>
      <c r="M1005" s="1077">
        <v>75</v>
      </c>
      <c r="N1005" s="1077" t="s">
        <v>945</v>
      </c>
      <c r="O1005" s="1077">
        <v>1.875</v>
      </c>
      <c r="P1005" s="1077">
        <v>1.5</v>
      </c>
      <c r="Q1005" s="1077">
        <v>4</v>
      </c>
      <c r="R1005" s="1077">
        <v>21.6</v>
      </c>
      <c r="T1005" s="1077">
        <v>32</v>
      </c>
      <c r="U1005" s="1077">
        <v>3.7</v>
      </c>
      <c r="V1005" s="1077" t="s">
        <v>648</v>
      </c>
      <c r="W1005" s="1077">
        <v>110</v>
      </c>
      <c r="X1005" s="1077">
        <v>60</v>
      </c>
      <c r="Y1005" s="1077">
        <v>1.5</v>
      </c>
      <c r="Z1005" s="1077">
        <v>5.5</v>
      </c>
      <c r="AA1005" s="1077" t="s">
        <v>2315</v>
      </c>
      <c r="AH1005" s="1077" t="s">
        <v>963</v>
      </c>
      <c r="AM1005" s="1078" t="s">
        <v>11030</v>
      </c>
      <c r="AN1005" s="1078" t="s">
        <v>11031</v>
      </c>
      <c r="AO1005" s="1078">
        <f t="shared" si="126"/>
        <v>650</v>
      </c>
      <c r="AP1005" s="1078">
        <f t="shared" si="127"/>
        <v>1.77</v>
      </c>
      <c r="AQ1005" s="1078" t="str">
        <f t="shared" si="128"/>
        <v>1-4-1S83°</v>
      </c>
      <c r="AR1005" s="1078" t="str">
        <f t="shared" si="129"/>
        <v>31</v>
      </c>
      <c r="AS1005" s="1078" t="str">
        <f t="shared" si="130"/>
        <v>270/270/OFF</v>
      </c>
      <c r="AT1005" s="1078" t="str">
        <f t="shared" si="131"/>
        <v>1-4-1S83°</v>
      </c>
      <c r="AV1005" s="1078" t="str">
        <f t="shared" si="124"/>
        <v>111.7.15</v>
      </c>
      <c r="AW1005" s="1344">
        <f t="shared" si="125"/>
        <v>44757</v>
      </c>
    </row>
    <row r="1006" spans="1:49">
      <c r="A1006" s="1077" t="s">
        <v>2316</v>
      </c>
      <c r="B1006" s="1077" t="s">
        <v>1974</v>
      </c>
      <c r="C1006" s="1077">
        <v>500</v>
      </c>
      <c r="D1006" s="1077">
        <v>1.62</v>
      </c>
      <c r="E1006" s="1077" t="s">
        <v>15089</v>
      </c>
      <c r="F1006" s="1077" t="s">
        <v>1514</v>
      </c>
      <c r="G1006" s="1077" t="s">
        <v>1767</v>
      </c>
      <c r="H1006" s="1077" t="s">
        <v>1290</v>
      </c>
      <c r="I1006" s="1077" t="s">
        <v>126</v>
      </c>
      <c r="J1006" s="1077">
        <v>0.6</v>
      </c>
      <c r="K1006" s="1077" t="s">
        <v>2005</v>
      </c>
      <c r="L1006" s="1077" t="s">
        <v>1976</v>
      </c>
      <c r="M1006" s="1077">
        <v>77.599999999999994</v>
      </c>
      <c r="N1006" s="1077" t="s">
        <v>945</v>
      </c>
      <c r="O1006" s="1077">
        <v>1.94</v>
      </c>
      <c r="P1006" s="1077">
        <v>1.5519999999999998</v>
      </c>
      <c r="Q1006" s="1077">
        <v>4</v>
      </c>
      <c r="R1006" s="1077">
        <v>23</v>
      </c>
      <c r="T1006" s="1077">
        <v>21</v>
      </c>
      <c r="U1006" s="1077">
        <v>3.7</v>
      </c>
      <c r="V1006" s="1077" t="s">
        <v>648</v>
      </c>
      <c r="W1006" s="1077">
        <v>105</v>
      </c>
      <c r="X1006" s="1077">
        <v>65</v>
      </c>
      <c r="Y1006" s="1077">
        <v>1.6</v>
      </c>
      <c r="Z1006" s="1077">
        <v>4.5</v>
      </c>
      <c r="AA1006" s="1077" t="s">
        <v>2317</v>
      </c>
      <c r="AH1006" s="1077" t="s">
        <v>838</v>
      </c>
      <c r="AM1006" s="1078" t="s">
        <v>11032</v>
      </c>
      <c r="AN1006" s="1078" t="s">
        <v>11033</v>
      </c>
      <c r="AO1006" s="1078">
        <f t="shared" si="126"/>
        <v>500</v>
      </c>
      <c r="AP1006" s="1078">
        <f t="shared" si="127"/>
        <v>1.62</v>
      </c>
      <c r="AQ1006" s="1078" t="str">
        <f t="shared" si="128"/>
        <v>1-4-1S83°</v>
      </c>
      <c r="AR1006" s="1078" t="str">
        <f t="shared" si="129"/>
        <v>32</v>
      </c>
      <c r="AS1006" s="1078" t="str">
        <f t="shared" si="130"/>
        <v>220/220/OFF</v>
      </c>
      <c r="AT1006" s="1078" t="str">
        <f t="shared" si="131"/>
        <v>1-4-1S83°</v>
      </c>
      <c r="AV1006" s="1078" t="str">
        <f t="shared" si="124"/>
        <v>111.7.25</v>
      </c>
      <c r="AW1006" s="1344">
        <f t="shared" si="125"/>
        <v>44767</v>
      </c>
    </row>
    <row r="1007" spans="1:49">
      <c r="A1007" s="1077" t="s">
        <v>2318</v>
      </c>
      <c r="B1007" s="1077" t="s">
        <v>1842</v>
      </c>
      <c r="C1007" s="1077">
        <v>500</v>
      </c>
      <c r="D1007" s="1077">
        <v>1.68</v>
      </c>
      <c r="E1007" s="1077" t="s">
        <v>15095</v>
      </c>
      <c r="F1007" s="1077" t="s">
        <v>984</v>
      </c>
      <c r="G1007" s="1077" t="s">
        <v>1016</v>
      </c>
      <c r="H1007" s="1077" t="s">
        <v>1290</v>
      </c>
      <c r="I1007" s="1077" t="s">
        <v>126</v>
      </c>
      <c r="J1007" s="1077">
        <v>0.7</v>
      </c>
      <c r="K1007" s="1077" t="s">
        <v>2224</v>
      </c>
      <c r="L1007" s="1077" t="s">
        <v>1844</v>
      </c>
      <c r="M1007" s="1077">
        <v>77.099999999999994</v>
      </c>
      <c r="N1007" s="1077" t="s">
        <v>945</v>
      </c>
      <c r="O1007" s="1077">
        <v>1.9275</v>
      </c>
      <c r="P1007" s="1077">
        <v>1.5419999999999998</v>
      </c>
      <c r="Q1007" s="1077">
        <v>4</v>
      </c>
      <c r="R1007" s="1077">
        <v>23</v>
      </c>
      <c r="T1007" s="1077">
        <v>18</v>
      </c>
      <c r="U1007" s="1077">
        <v>4</v>
      </c>
      <c r="V1007" s="1077" t="s">
        <v>648</v>
      </c>
      <c r="W1007" s="1077">
        <v>110</v>
      </c>
      <c r="X1007" s="1077">
        <v>70</v>
      </c>
      <c r="Y1007" s="1077">
        <v>1.8</v>
      </c>
      <c r="Z1007" s="1077">
        <v>4.5</v>
      </c>
      <c r="AA1007" s="1077" t="s">
        <v>2319</v>
      </c>
      <c r="AH1007" s="1077" t="s">
        <v>1486</v>
      </c>
      <c r="AM1007" s="1078" t="s">
        <v>11034</v>
      </c>
      <c r="AN1007" s="1078" t="s">
        <v>11035</v>
      </c>
      <c r="AO1007" s="1078">
        <f t="shared" si="126"/>
        <v>500</v>
      </c>
      <c r="AP1007" s="1078">
        <f t="shared" si="127"/>
        <v>1.68</v>
      </c>
      <c r="AQ1007" s="1078" t="str">
        <f t="shared" si="128"/>
        <v>1-5-1S83°</v>
      </c>
      <c r="AR1007" s="1078" t="str">
        <f t="shared" si="129"/>
        <v>30</v>
      </c>
      <c r="AS1007" s="1078" t="str">
        <f t="shared" si="130"/>
        <v>220/220/OFF</v>
      </c>
      <c r="AT1007" s="1078" t="str">
        <f t="shared" si="131"/>
        <v>1-5-1S83°</v>
      </c>
      <c r="AV1007" s="1078" t="str">
        <f t="shared" si="124"/>
        <v>111.7.19</v>
      </c>
      <c r="AW1007" s="1344">
        <f t="shared" si="125"/>
        <v>44761</v>
      </c>
    </row>
    <row r="1008" spans="1:49">
      <c r="A1008" s="1077" t="s">
        <v>2320</v>
      </c>
      <c r="B1008" s="1077" t="s">
        <v>620</v>
      </c>
      <c r="C1008" s="1077">
        <v>500</v>
      </c>
      <c r="D1008" s="1077">
        <v>1.68</v>
      </c>
      <c r="E1008" s="1077" t="s">
        <v>15091</v>
      </c>
      <c r="F1008" s="1077" t="s">
        <v>2321</v>
      </c>
      <c r="G1008" s="1077" t="s">
        <v>940</v>
      </c>
      <c r="H1008" s="1077" t="s">
        <v>1263</v>
      </c>
      <c r="I1008" s="1077" t="s">
        <v>1112</v>
      </c>
      <c r="J1008" s="1077">
        <v>1.1000000000000001</v>
      </c>
      <c r="K1008" s="1077" t="s">
        <v>2322</v>
      </c>
      <c r="L1008" s="1077" t="s">
        <v>2032</v>
      </c>
      <c r="M1008" s="1077">
        <v>76.7</v>
      </c>
      <c r="N1008" s="1077" t="s">
        <v>945</v>
      </c>
      <c r="O1008" s="1077">
        <v>1.9175000000000002</v>
      </c>
      <c r="P1008" s="1077">
        <v>1.534</v>
      </c>
      <c r="Q1008" s="1077">
        <v>4</v>
      </c>
      <c r="R1008" s="1077">
        <v>23.5</v>
      </c>
      <c r="T1008" s="1077">
        <v>20.7</v>
      </c>
      <c r="U1008" s="1077">
        <v>4</v>
      </c>
      <c r="V1008" s="1077" t="s">
        <v>648</v>
      </c>
      <c r="W1008" s="1077">
        <v>120</v>
      </c>
      <c r="X1008" s="1077">
        <v>80</v>
      </c>
      <c r="Y1008" s="1077">
        <v>1</v>
      </c>
      <c r="Z1008" s="1077">
        <v>5</v>
      </c>
      <c r="AA1008" s="1077" t="s">
        <v>2319</v>
      </c>
      <c r="AH1008" s="1077" t="s">
        <v>2323</v>
      </c>
      <c r="AM1008" s="1078" t="s">
        <v>11036</v>
      </c>
      <c r="AN1008" s="1078" t="s">
        <v>11037</v>
      </c>
      <c r="AO1008" s="1078">
        <f t="shared" si="126"/>
        <v>500</v>
      </c>
      <c r="AP1008" s="1078">
        <f t="shared" si="127"/>
        <v>1.68</v>
      </c>
      <c r="AQ1008" s="1078" t="str">
        <f t="shared" si="128"/>
        <v>2-5-1S83°</v>
      </c>
      <c r="AR1008" s="1078" t="str">
        <f t="shared" si="129"/>
        <v>28.7</v>
      </c>
      <c r="AS1008" s="1078" t="str">
        <f t="shared" si="130"/>
        <v>163/OFF</v>
      </c>
      <c r="AT1008" s="1078" t="str">
        <f t="shared" si="131"/>
        <v>2-5-1S83°</v>
      </c>
      <c r="AV1008" s="1078" t="str">
        <f t="shared" si="124"/>
        <v>111.7.19</v>
      </c>
      <c r="AW1008" s="1344">
        <f t="shared" si="125"/>
        <v>44761</v>
      </c>
    </row>
    <row r="1009" spans="1:49">
      <c r="A1009" s="1077" t="s">
        <v>2324</v>
      </c>
      <c r="B1009" s="1077" t="s">
        <v>2013</v>
      </c>
      <c r="C1009" s="1077">
        <v>600</v>
      </c>
      <c r="D1009" s="1077">
        <v>1.7</v>
      </c>
      <c r="E1009" s="1077" t="s">
        <v>15095</v>
      </c>
      <c r="F1009" s="1077" t="s">
        <v>954</v>
      </c>
      <c r="G1009" s="1077" t="s">
        <v>940</v>
      </c>
      <c r="H1009" s="1077" t="s">
        <v>1226</v>
      </c>
      <c r="I1009" s="1077" t="s">
        <v>126</v>
      </c>
      <c r="J1009" s="1077">
        <v>1.4</v>
      </c>
      <c r="K1009" s="1077" t="s">
        <v>2312</v>
      </c>
      <c r="L1009" s="1077" t="s">
        <v>1924</v>
      </c>
      <c r="M1009" s="1077">
        <v>75.400000000000006</v>
      </c>
      <c r="N1009" s="1077" t="s">
        <v>945</v>
      </c>
      <c r="O1009" s="1077">
        <v>1.8850000000000002</v>
      </c>
      <c r="P1009" s="1077">
        <v>1.5080000000000002</v>
      </c>
      <c r="Q1009" s="1077">
        <v>3</v>
      </c>
      <c r="R1009" s="1077">
        <v>29</v>
      </c>
      <c r="T1009" s="1077">
        <v>18</v>
      </c>
      <c r="U1009" s="1077">
        <v>6</v>
      </c>
      <c r="V1009" s="1077" t="s">
        <v>648</v>
      </c>
      <c r="W1009" s="1077">
        <v>120</v>
      </c>
      <c r="X1009" s="1077">
        <v>80</v>
      </c>
      <c r="Y1009" s="1077">
        <v>2</v>
      </c>
      <c r="Z1009" s="1077">
        <v>6</v>
      </c>
      <c r="AA1009" s="1077" t="s">
        <v>2317</v>
      </c>
      <c r="AH1009" s="1077" t="s">
        <v>483</v>
      </c>
      <c r="AM1009" s="1078" t="s">
        <v>11038</v>
      </c>
      <c r="AN1009" s="1078" t="s">
        <v>11039</v>
      </c>
      <c r="AO1009" s="1078">
        <f t="shared" si="126"/>
        <v>600</v>
      </c>
      <c r="AP1009" s="1078">
        <f t="shared" si="127"/>
        <v>1.7</v>
      </c>
      <c r="AQ1009" s="1078" t="str">
        <f t="shared" si="128"/>
        <v>1-5-1S83°</v>
      </c>
      <c r="AR1009" s="1078" t="str">
        <f t="shared" si="129"/>
        <v>31</v>
      </c>
      <c r="AS1009" s="1078" t="str">
        <f t="shared" si="130"/>
        <v>230/230/OFF</v>
      </c>
      <c r="AT1009" s="1078" t="str">
        <f t="shared" si="131"/>
        <v>1-5-1S83°</v>
      </c>
      <c r="AV1009" s="1078" t="str">
        <f t="shared" si="124"/>
        <v>111.7.25</v>
      </c>
      <c r="AW1009" s="1344">
        <f t="shared" si="125"/>
        <v>44767</v>
      </c>
    </row>
    <row r="1010" spans="1:49">
      <c r="A1010" s="1077" t="s">
        <v>2325</v>
      </c>
      <c r="B1010" s="1077" t="s">
        <v>2102</v>
      </c>
      <c r="C1010" s="1077">
        <v>600</v>
      </c>
      <c r="D1010" s="1077">
        <v>1.7150000000000001</v>
      </c>
      <c r="E1010" s="1077" t="s">
        <v>15088</v>
      </c>
      <c r="F1010" s="1077" t="s">
        <v>648</v>
      </c>
      <c r="G1010" s="1077" t="s">
        <v>1767</v>
      </c>
      <c r="H1010" s="1077" t="s">
        <v>2326</v>
      </c>
      <c r="I1010" s="1077" t="s">
        <v>126</v>
      </c>
      <c r="J1010" s="1077">
        <v>0.8</v>
      </c>
      <c r="K1010" s="1077" t="s">
        <v>2327</v>
      </c>
      <c r="L1010" s="1077" t="s">
        <v>2104</v>
      </c>
      <c r="M1010" s="1077">
        <v>75</v>
      </c>
      <c r="N1010" s="1077" t="s">
        <v>945</v>
      </c>
      <c r="O1010" s="1077">
        <v>1.875</v>
      </c>
      <c r="P1010" s="1077">
        <v>1.5</v>
      </c>
      <c r="Q1010" s="1077">
        <v>4</v>
      </c>
      <c r="R1010" s="1077">
        <v>23.3</v>
      </c>
      <c r="T1010" s="1077">
        <v>20.5</v>
      </c>
      <c r="U1010" s="1077">
        <v>3.7</v>
      </c>
      <c r="V1010" s="1077" t="s">
        <v>648</v>
      </c>
      <c r="W1010" s="1077">
        <v>105</v>
      </c>
      <c r="X1010" s="1077" t="s">
        <v>1130</v>
      </c>
      <c r="Y1010" s="1077">
        <v>1.9</v>
      </c>
      <c r="Z1010" s="1077">
        <v>4.5</v>
      </c>
      <c r="AA1010" s="1077" t="s">
        <v>2317</v>
      </c>
      <c r="AH1010" s="1077" t="s">
        <v>782</v>
      </c>
      <c r="AM1010" s="1078" t="s">
        <v>11040</v>
      </c>
      <c r="AN1010" s="1078" t="s">
        <v>11041</v>
      </c>
      <c r="AO1010" s="1078">
        <f t="shared" si="126"/>
        <v>600</v>
      </c>
      <c r="AP1010" s="1078">
        <f t="shared" si="127"/>
        <v>1.7150000000000001</v>
      </c>
      <c r="AQ1010" s="1078" t="str">
        <f t="shared" si="128"/>
        <v>1-4-1S85°</v>
      </c>
      <c r="AR1010" s="1078" t="str">
        <f t="shared" si="129"/>
        <v>NA</v>
      </c>
      <c r="AS1010" s="1078" t="str">
        <f t="shared" si="130"/>
        <v>173/OFF</v>
      </c>
      <c r="AT1010" s="1078" t="str">
        <f t="shared" si="131"/>
        <v>1-4-1S85°</v>
      </c>
      <c r="AV1010" s="1078" t="str">
        <f t="shared" si="124"/>
        <v>111.7.25</v>
      </c>
      <c r="AW1010" s="1344">
        <f t="shared" si="125"/>
        <v>44767</v>
      </c>
    </row>
    <row r="1011" spans="1:49">
      <c r="A1011" s="1077" t="s">
        <v>2328</v>
      </c>
      <c r="B1011" s="1077" t="s">
        <v>2207</v>
      </c>
      <c r="C1011" s="1077">
        <v>650</v>
      </c>
      <c r="D1011" s="1077">
        <v>1.69</v>
      </c>
      <c r="E1011" s="1077" t="s">
        <v>15098</v>
      </c>
      <c r="F1011" s="1077" t="s">
        <v>954</v>
      </c>
      <c r="G1011" s="1077" t="s">
        <v>1767</v>
      </c>
      <c r="H1011" s="1077" t="s">
        <v>955</v>
      </c>
      <c r="I1011" s="1077" t="s">
        <v>126</v>
      </c>
      <c r="J1011" s="1077">
        <v>0.8</v>
      </c>
      <c r="K1011" s="1077" t="s">
        <v>2329</v>
      </c>
      <c r="L1011" s="1077" t="s">
        <v>2209</v>
      </c>
      <c r="M1011" s="1077">
        <v>75.099999999999994</v>
      </c>
      <c r="N1011" s="1077" t="s">
        <v>945</v>
      </c>
      <c r="O1011" s="1077">
        <v>1.8774999999999999</v>
      </c>
      <c r="P1011" s="1077">
        <v>1.502</v>
      </c>
      <c r="Q1011" s="1077">
        <v>4</v>
      </c>
      <c r="R1011" s="1077">
        <v>22.5</v>
      </c>
      <c r="T1011" s="1077">
        <v>21</v>
      </c>
      <c r="U1011" s="1077">
        <v>3.5</v>
      </c>
      <c r="V1011" s="1077" t="s">
        <v>648</v>
      </c>
      <c r="W1011" s="1077">
        <v>110</v>
      </c>
      <c r="X1011" s="1077">
        <v>65</v>
      </c>
      <c r="Y1011" s="1077">
        <v>1.6</v>
      </c>
      <c r="Z1011" s="1077">
        <v>4.5</v>
      </c>
      <c r="AA1011" s="1077" t="s">
        <v>2330</v>
      </c>
      <c r="AH1011" s="1077" t="s">
        <v>884</v>
      </c>
      <c r="AM1011" s="1078" t="s">
        <v>11042</v>
      </c>
      <c r="AN1011" s="1078" t="s">
        <v>11043</v>
      </c>
      <c r="AO1011" s="1078">
        <f t="shared" si="126"/>
        <v>650</v>
      </c>
      <c r="AP1011" s="1078">
        <f t="shared" si="127"/>
        <v>1.69</v>
      </c>
      <c r="AQ1011" s="1078" t="str">
        <f t="shared" si="128"/>
        <v>1-4-1S91°</v>
      </c>
      <c r="AR1011" s="1078" t="str">
        <f t="shared" si="129"/>
        <v>31</v>
      </c>
      <c r="AS1011" s="1078" t="str">
        <f t="shared" si="130"/>
        <v>260/260/OFF</v>
      </c>
      <c r="AT1011" s="1078" t="str">
        <f t="shared" si="131"/>
        <v>1-4-1S91°</v>
      </c>
      <c r="AV1011" s="1078" t="str">
        <f t="shared" si="124"/>
        <v>111.8.1</v>
      </c>
      <c r="AW1011" s="1344">
        <f t="shared" si="125"/>
        <v>44774</v>
      </c>
    </row>
    <row r="1012" spans="1:49">
      <c r="A1012" s="1077" t="s">
        <v>2331</v>
      </c>
      <c r="B1012" s="1077" t="s">
        <v>850</v>
      </c>
      <c r="C1012" s="1077">
        <v>550</v>
      </c>
      <c r="D1012" s="1077">
        <v>1.75</v>
      </c>
      <c r="E1012" s="1077" t="s">
        <v>15095</v>
      </c>
      <c r="F1012" s="1077" t="s">
        <v>984</v>
      </c>
      <c r="G1012" s="1077" t="s">
        <v>940</v>
      </c>
      <c r="H1012" s="1077" t="s">
        <v>2295</v>
      </c>
      <c r="I1012" s="1077" t="s">
        <v>626</v>
      </c>
      <c r="J1012" s="1077">
        <v>0.9</v>
      </c>
      <c r="K1012" s="1077" t="s">
        <v>2332</v>
      </c>
      <c r="L1012" s="1077" t="s">
        <v>1763</v>
      </c>
      <c r="M1012" s="1077">
        <v>78</v>
      </c>
      <c r="N1012" s="1077" t="s">
        <v>945</v>
      </c>
      <c r="O1012" s="1077">
        <v>1.9500000000000002</v>
      </c>
      <c r="P1012" s="1077">
        <v>1.56</v>
      </c>
      <c r="Q1012" s="1077">
        <v>3</v>
      </c>
      <c r="R1012" s="1077">
        <v>27</v>
      </c>
      <c r="T1012" s="1077">
        <v>9.6</v>
      </c>
      <c r="U1012" s="1077">
        <v>6.8</v>
      </c>
      <c r="V1012" s="1077" t="s">
        <v>648</v>
      </c>
      <c r="W1012" s="1077">
        <v>135</v>
      </c>
      <c r="X1012" s="1077">
        <v>65</v>
      </c>
      <c r="Y1012" s="1077">
        <v>1.4</v>
      </c>
      <c r="Z1012" s="1077">
        <v>4</v>
      </c>
      <c r="AA1012" s="1077" t="s">
        <v>2330</v>
      </c>
      <c r="AH1012" s="1077" t="s">
        <v>618</v>
      </c>
      <c r="AM1012" s="1078" t="s">
        <v>11044</v>
      </c>
      <c r="AN1012" s="1078" t="s">
        <v>11045</v>
      </c>
      <c r="AO1012" s="1078">
        <f t="shared" si="126"/>
        <v>550</v>
      </c>
      <c r="AP1012" s="1078">
        <f t="shared" si="127"/>
        <v>1.75</v>
      </c>
      <c r="AQ1012" s="1078" t="str">
        <f t="shared" si="128"/>
        <v>1-5-1S83°</v>
      </c>
      <c r="AR1012" s="1078" t="str">
        <f t="shared" si="129"/>
        <v>30</v>
      </c>
      <c r="AS1012" s="1078" t="str">
        <f t="shared" si="130"/>
        <v>205/205/OFF</v>
      </c>
      <c r="AT1012" s="1078" t="str">
        <f t="shared" si="131"/>
        <v>1-5-1S83°</v>
      </c>
      <c r="AV1012" s="1078" t="str">
        <f t="shared" si="124"/>
        <v>111.8.1</v>
      </c>
      <c r="AW1012" s="1344">
        <f t="shared" si="125"/>
        <v>44774</v>
      </c>
    </row>
    <row r="1013" spans="1:49">
      <c r="A1013" s="1077" t="s">
        <v>2333</v>
      </c>
      <c r="B1013" s="1077" t="s">
        <v>1899</v>
      </c>
      <c r="C1013" s="1077">
        <v>600</v>
      </c>
      <c r="D1013" s="1077">
        <v>1.7</v>
      </c>
      <c r="E1013" s="1077" t="s">
        <v>15095</v>
      </c>
      <c r="F1013" s="1077" t="s">
        <v>954</v>
      </c>
      <c r="G1013" s="1077" t="s">
        <v>940</v>
      </c>
      <c r="H1013" s="1077" t="s">
        <v>1226</v>
      </c>
      <c r="I1013" s="1077" t="s">
        <v>126</v>
      </c>
      <c r="J1013" s="1077">
        <v>1.4</v>
      </c>
      <c r="K1013" s="1077" t="s">
        <v>2312</v>
      </c>
      <c r="L1013" s="1077" t="s">
        <v>1924</v>
      </c>
      <c r="M1013" s="1077">
        <v>75.400000000000006</v>
      </c>
      <c r="N1013" s="1077" t="s">
        <v>945</v>
      </c>
      <c r="O1013" s="1077">
        <v>1.8850000000000002</v>
      </c>
      <c r="P1013" s="1077">
        <v>1.5080000000000002</v>
      </c>
      <c r="Q1013" s="1077">
        <v>3</v>
      </c>
      <c r="R1013" s="1077">
        <v>29</v>
      </c>
      <c r="T1013" s="1077">
        <v>18</v>
      </c>
      <c r="U1013" s="1077">
        <v>6</v>
      </c>
      <c r="V1013" s="1077" t="s">
        <v>648</v>
      </c>
      <c r="W1013" s="1077">
        <v>120</v>
      </c>
      <c r="X1013" s="1077">
        <v>80</v>
      </c>
      <c r="Y1013" s="1077">
        <v>2</v>
      </c>
      <c r="Z1013" s="1077">
        <v>6</v>
      </c>
      <c r="AA1013" s="1077" t="s">
        <v>2334</v>
      </c>
      <c r="AH1013" s="1077" t="s">
        <v>762</v>
      </c>
      <c r="AM1013" s="1078" t="s">
        <v>11046</v>
      </c>
      <c r="AN1013" s="1078" t="s">
        <v>11047</v>
      </c>
      <c r="AO1013" s="1078">
        <f t="shared" si="126"/>
        <v>600</v>
      </c>
      <c r="AP1013" s="1078">
        <f t="shared" si="127"/>
        <v>1.7</v>
      </c>
      <c r="AQ1013" s="1078" t="str">
        <f t="shared" si="128"/>
        <v>1-5-1S83°</v>
      </c>
      <c r="AR1013" s="1078" t="str">
        <f t="shared" si="129"/>
        <v>31</v>
      </c>
      <c r="AS1013" s="1078" t="str">
        <f t="shared" si="130"/>
        <v>230/230/OFF</v>
      </c>
      <c r="AT1013" s="1078" t="str">
        <f t="shared" si="131"/>
        <v>1-5-1S83°</v>
      </c>
      <c r="AV1013" s="1078" t="str">
        <f t="shared" si="124"/>
        <v>111.8.2</v>
      </c>
      <c r="AW1013" s="1344">
        <f t="shared" si="125"/>
        <v>44775</v>
      </c>
    </row>
    <row r="1014" spans="1:49">
      <c r="A1014" s="1077" t="s">
        <v>2335</v>
      </c>
      <c r="B1014" s="1077" t="s">
        <v>1842</v>
      </c>
      <c r="C1014" s="1077">
        <v>500</v>
      </c>
      <c r="D1014" s="1077">
        <v>1.68</v>
      </c>
      <c r="E1014" s="1077" t="s">
        <v>15095</v>
      </c>
      <c r="F1014" s="1077" t="s">
        <v>984</v>
      </c>
      <c r="G1014" s="1077" t="s">
        <v>1016</v>
      </c>
      <c r="H1014" s="1077" t="s">
        <v>1290</v>
      </c>
      <c r="I1014" s="1077" t="s">
        <v>126</v>
      </c>
      <c r="J1014" s="1077">
        <v>0.7</v>
      </c>
      <c r="K1014" s="1077" t="s">
        <v>2224</v>
      </c>
      <c r="L1014" s="1077" t="s">
        <v>1844</v>
      </c>
      <c r="M1014" s="1077">
        <v>77.099999999999994</v>
      </c>
      <c r="N1014" s="1077" t="s">
        <v>945</v>
      </c>
      <c r="O1014" s="1077">
        <v>1.9275</v>
      </c>
      <c r="P1014" s="1077">
        <v>1.5419999999999998</v>
      </c>
      <c r="Q1014" s="1077">
        <v>4</v>
      </c>
      <c r="R1014" s="1077">
        <v>23</v>
      </c>
      <c r="T1014" s="1077">
        <v>18</v>
      </c>
      <c r="U1014" s="1077">
        <v>4</v>
      </c>
      <c r="V1014" s="1077" t="s">
        <v>648</v>
      </c>
      <c r="W1014" s="1077">
        <v>110</v>
      </c>
      <c r="X1014" s="1077">
        <v>70</v>
      </c>
      <c r="Y1014" s="1077">
        <v>1.8</v>
      </c>
      <c r="Z1014" s="1077">
        <v>4.5</v>
      </c>
      <c r="AA1014" s="1077" t="s">
        <v>2336</v>
      </c>
      <c r="AH1014" s="1077" t="s">
        <v>803</v>
      </c>
      <c r="AM1014" s="1078" t="s">
        <v>11048</v>
      </c>
      <c r="AN1014" s="1078" t="s">
        <v>11049</v>
      </c>
      <c r="AO1014" s="1078">
        <f t="shared" si="126"/>
        <v>500</v>
      </c>
      <c r="AP1014" s="1078">
        <f t="shared" si="127"/>
        <v>1.68</v>
      </c>
      <c r="AQ1014" s="1078" t="str">
        <f t="shared" si="128"/>
        <v>1-5-1S83°</v>
      </c>
      <c r="AR1014" s="1078" t="str">
        <f t="shared" si="129"/>
        <v>30</v>
      </c>
      <c r="AS1014" s="1078" t="str">
        <f t="shared" si="130"/>
        <v>220/220/OFF</v>
      </c>
      <c r="AT1014" s="1078" t="str">
        <f t="shared" si="131"/>
        <v>1-5-1S83°</v>
      </c>
      <c r="AV1014" s="1078" t="str">
        <f t="shared" si="124"/>
        <v>111.8.8</v>
      </c>
      <c r="AW1014" s="1344">
        <f t="shared" si="125"/>
        <v>44781</v>
      </c>
    </row>
    <row r="1015" spans="1:49">
      <c r="A1015" s="1077" t="s">
        <v>2337</v>
      </c>
      <c r="B1015" s="1077" t="s">
        <v>1823</v>
      </c>
      <c r="C1015" s="1077">
        <v>450</v>
      </c>
      <c r="D1015" s="1077">
        <v>1.7549999999999999</v>
      </c>
      <c r="E1015" s="1077" t="s">
        <v>15095</v>
      </c>
      <c r="F1015" s="1077" t="s">
        <v>984</v>
      </c>
      <c r="G1015" s="1077" t="s">
        <v>1016</v>
      </c>
      <c r="H1015" s="1077" t="s">
        <v>1918</v>
      </c>
      <c r="I1015" s="1077" t="s">
        <v>126</v>
      </c>
      <c r="J1015" s="1077">
        <v>0.7</v>
      </c>
      <c r="K1015" s="1077" t="s">
        <v>2338</v>
      </c>
      <c r="L1015" s="1077" t="s">
        <v>1825</v>
      </c>
      <c r="M1015" s="1077">
        <v>73.8</v>
      </c>
      <c r="N1015" s="1077" t="s">
        <v>945</v>
      </c>
      <c r="O1015" s="1077">
        <v>1.845</v>
      </c>
      <c r="P1015" s="1077">
        <v>1.476</v>
      </c>
      <c r="Q1015" s="1077">
        <v>3.5</v>
      </c>
      <c r="R1015" s="1077">
        <v>18.5</v>
      </c>
      <c r="T1015" s="1077">
        <v>21</v>
      </c>
      <c r="U1015" s="1077">
        <v>3.8</v>
      </c>
      <c r="V1015" s="1077" t="s">
        <v>648</v>
      </c>
      <c r="W1015" s="1077">
        <v>110</v>
      </c>
      <c r="X1015" s="1077">
        <v>85</v>
      </c>
      <c r="Y1015" s="1077">
        <v>1.9</v>
      </c>
      <c r="Z1015" s="1077">
        <v>4</v>
      </c>
      <c r="AA1015" s="1077" t="s">
        <v>2339</v>
      </c>
      <c r="AH1015" s="1077" t="s">
        <v>712</v>
      </c>
      <c r="AM1015" s="1078" t="s">
        <v>11050</v>
      </c>
      <c r="AN1015" s="1078" t="s">
        <v>11051</v>
      </c>
      <c r="AO1015" s="1078">
        <f t="shared" si="126"/>
        <v>450</v>
      </c>
      <c r="AP1015" s="1078">
        <f t="shared" si="127"/>
        <v>1.7549999999999999</v>
      </c>
      <c r="AQ1015" s="1078" t="str">
        <f t="shared" si="128"/>
        <v>1-5-1S83°</v>
      </c>
      <c r="AR1015" s="1078" t="str">
        <f t="shared" si="129"/>
        <v>30</v>
      </c>
      <c r="AS1015" s="1078" t="str">
        <f t="shared" si="130"/>
        <v>233/233/OFF</v>
      </c>
      <c r="AT1015" s="1078" t="str">
        <f t="shared" si="131"/>
        <v>1-5-1S83°</v>
      </c>
      <c r="AV1015" s="1078" t="str">
        <f t="shared" si="124"/>
        <v>111.8.18</v>
      </c>
      <c r="AW1015" s="1344">
        <f t="shared" si="125"/>
        <v>44791</v>
      </c>
    </row>
    <row r="1016" spans="1:49">
      <c r="A1016" s="1077" t="s">
        <v>2340</v>
      </c>
      <c r="B1016" s="1077" t="s">
        <v>1783</v>
      </c>
      <c r="C1016" s="1077">
        <v>500</v>
      </c>
      <c r="D1016" s="1077">
        <v>1.6850000000000001</v>
      </c>
      <c r="E1016" s="1077" t="s">
        <v>15095</v>
      </c>
      <c r="F1016" s="1077" t="s">
        <v>1173</v>
      </c>
      <c r="G1016" s="1077" t="s">
        <v>1767</v>
      </c>
      <c r="H1016" s="1077" t="s">
        <v>1290</v>
      </c>
      <c r="I1016" s="1077" t="s">
        <v>126</v>
      </c>
      <c r="J1016" s="1077">
        <v>0.8</v>
      </c>
      <c r="K1016" s="1077" t="s">
        <v>2341</v>
      </c>
      <c r="L1016" s="1077" t="s">
        <v>1787</v>
      </c>
      <c r="M1016" s="1077">
        <v>76</v>
      </c>
      <c r="N1016" s="1077" t="s">
        <v>945</v>
      </c>
      <c r="O1016" s="1077">
        <v>1.9000000000000001</v>
      </c>
      <c r="P1016" s="1077">
        <v>1.52</v>
      </c>
      <c r="Q1016" s="1077">
        <v>4</v>
      </c>
      <c r="R1016" s="1077">
        <v>23</v>
      </c>
      <c r="T1016" s="1077">
        <v>11.5</v>
      </c>
      <c r="U1016" s="1077">
        <v>3.9</v>
      </c>
      <c r="V1016" s="1077" t="s">
        <v>648</v>
      </c>
      <c r="W1016" s="1077">
        <v>120</v>
      </c>
      <c r="X1016" s="1077">
        <v>85</v>
      </c>
      <c r="Y1016" s="1077">
        <v>2</v>
      </c>
      <c r="Z1016" s="1077">
        <v>2.5</v>
      </c>
      <c r="AA1016" s="1077" t="s">
        <v>2342</v>
      </c>
      <c r="AH1016" s="1077" t="s">
        <v>456</v>
      </c>
      <c r="AM1016" s="1078" t="s">
        <v>11052</v>
      </c>
      <c r="AN1016" s="1078" t="s">
        <v>11053</v>
      </c>
      <c r="AO1016" s="1078">
        <f t="shared" si="126"/>
        <v>500</v>
      </c>
      <c r="AP1016" s="1078">
        <f t="shared" si="127"/>
        <v>1.6850000000000001</v>
      </c>
      <c r="AQ1016" s="1078" t="str">
        <f t="shared" si="128"/>
        <v>1-5-1S83°</v>
      </c>
      <c r="AR1016" s="1078" t="str">
        <f t="shared" si="129"/>
        <v>28.5</v>
      </c>
      <c r="AS1016" s="1078" t="str">
        <f t="shared" si="130"/>
        <v>220/220/OFF</v>
      </c>
      <c r="AT1016" s="1078" t="str">
        <f t="shared" si="131"/>
        <v>1-5-1S83°</v>
      </c>
      <c r="AV1016" s="1078" t="str">
        <f t="shared" si="124"/>
        <v>111.8.22</v>
      </c>
      <c r="AW1016" s="1344">
        <f t="shared" si="125"/>
        <v>44795</v>
      </c>
    </row>
    <row r="1017" spans="1:49">
      <c r="A1017" s="1077" t="s">
        <v>2343</v>
      </c>
      <c r="B1017" s="1077" t="s">
        <v>850</v>
      </c>
      <c r="C1017" s="1077">
        <v>550</v>
      </c>
      <c r="D1017" s="1077">
        <v>1.75</v>
      </c>
      <c r="E1017" s="1077" t="s">
        <v>15095</v>
      </c>
      <c r="F1017" s="1077" t="s">
        <v>984</v>
      </c>
      <c r="G1017" s="1077" t="s">
        <v>940</v>
      </c>
      <c r="H1017" s="1077" t="s">
        <v>2295</v>
      </c>
      <c r="I1017" s="1077" t="s">
        <v>626</v>
      </c>
      <c r="J1017" s="1077">
        <v>0.9</v>
      </c>
      <c r="K1017" s="1077" t="s">
        <v>2344</v>
      </c>
      <c r="L1017" s="1077" t="s">
        <v>1763</v>
      </c>
      <c r="M1017" s="1077">
        <v>78</v>
      </c>
      <c r="N1017" s="1077" t="s">
        <v>945</v>
      </c>
      <c r="O1017" s="1077">
        <v>1.9500000000000002</v>
      </c>
      <c r="P1017" s="1077">
        <v>1.56</v>
      </c>
      <c r="Q1017" s="1077">
        <v>3</v>
      </c>
      <c r="R1017" s="1077">
        <v>27</v>
      </c>
      <c r="T1017" s="1077">
        <v>9.6</v>
      </c>
      <c r="U1017" s="1077">
        <v>6.8</v>
      </c>
      <c r="V1017" s="1077" t="s">
        <v>648</v>
      </c>
      <c r="W1017" s="1077">
        <v>135</v>
      </c>
      <c r="X1017" s="1077">
        <v>65</v>
      </c>
      <c r="Y1017" s="1077">
        <v>1.4</v>
      </c>
      <c r="Z1017" s="1077">
        <v>4</v>
      </c>
      <c r="AA1017" s="1077" t="s">
        <v>2345</v>
      </c>
      <c r="AH1017" s="1077" t="s">
        <v>680</v>
      </c>
      <c r="AM1017" s="1078" t="s">
        <v>11054</v>
      </c>
      <c r="AN1017" s="1078" t="s">
        <v>11055</v>
      </c>
      <c r="AO1017" s="1078">
        <f t="shared" si="126"/>
        <v>550</v>
      </c>
      <c r="AP1017" s="1078">
        <f t="shared" si="127"/>
        <v>1.75</v>
      </c>
      <c r="AQ1017" s="1078" t="str">
        <f t="shared" si="128"/>
        <v>1-5-1S83°</v>
      </c>
      <c r="AR1017" s="1078" t="str">
        <f t="shared" si="129"/>
        <v>30</v>
      </c>
      <c r="AS1017" s="1078" t="str">
        <f t="shared" si="130"/>
        <v>205/205/OFF</v>
      </c>
      <c r="AT1017" s="1078" t="str">
        <f t="shared" si="131"/>
        <v>1-5-1S83°</v>
      </c>
      <c r="AV1017" s="1078" t="str">
        <f t="shared" si="124"/>
        <v>111.8.26</v>
      </c>
      <c r="AW1017" s="1344">
        <f t="shared" si="125"/>
        <v>44799</v>
      </c>
    </row>
    <row r="1018" spans="1:49">
      <c r="A1018" s="1077" t="s">
        <v>2346</v>
      </c>
      <c r="B1018" s="1077" t="s">
        <v>1783</v>
      </c>
      <c r="C1018" s="1077">
        <v>500</v>
      </c>
      <c r="D1018" s="1077">
        <v>1.675</v>
      </c>
      <c r="E1018" s="1077" t="s">
        <v>15089</v>
      </c>
      <c r="F1018" s="1077" t="s">
        <v>2001</v>
      </c>
      <c r="G1018" s="1077" t="s">
        <v>1784</v>
      </c>
      <c r="H1018" s="1077" t="s">
        <v>1155</v>
      </c>
      <c r="I1018" s="1077" t="s">
        <v>126</v>
      </c>
      <c r="J1018" s="1077">
        <v>0.3</v>
      </c>
      <c r="K1018" s="1077" t="s">
        <v>2238</v>
      </c>
      <c r="L1018" s="1077" t="s">
        <v>1787</v>
      </c>
      <c r="M1018" s="1077">
        <v>76.099999999999994</v>
      </c>
      <c r="N1018" s="1077" t="s">
        <v>945</v>
      </c>
      <c r="O1018" s="1077">
        <v>1.9024999999999999</v>
      </c>
      <c r="P1018" s="1077">
        <v>1.522</v>
      </c>
      <c r="Q1018" s="1077">
        <v>4</v>
      </c>
      <c r="R1018" s="1077">
        <v>21</v>
      </c>
      <c r="T1018" s="1077">
        <v>13</v>
      </c>
      <c r="U1018" s="1077">
        <v>4</v>
      </c>
      <c r="V1018" s="1077" t="s">
        <v>648</v>
      </c>
      <c r="W1018" s="1077">
        <v>30</v>
      </c>
      <c r="X1018" s="1077">
        <v>10</v>
      </c>
      <c r="Y1018" s="1077">
        <v>2.5</v>
      </c>
      <c r="Z1018" s="1077">
        <v>2</v>
      </c>
      <c r="AA1018" s="1077" t="s">
        <v>2345</v>
      </c>
      <c r="AH1018" s="1077" t="s">
        <v>1452</v>
      </c>
      <c r="AM1018" s="1078" t="s">
        <v>11056</v>
      </c>
      <c r="AN1018" s="1078" t="s">
        <v>11057</v>
      </c>
      <c r="AO1018" s="1078">
        <f t="shared" si="126"/>
        <v>500</v>
      </c>
      <c r="AP1018" s="1078">
        <f t="shared" si="127"/>
        <v>1.675</v>
      </c>
      <c r="AQ1018" s="1078" t="str">
        <f t="shared" si="128"/>
        <v>1-4-1S83°</v>
      </c>
      <c r="AR1018" s="1078" t="str">
        <f t="shared" si="129"/>
        <v>29.9</v>
      </c>
      <c r="AS1018" s="1078" t="str">
        <f t="shared" si="130"/>
        <v>215/215/OFF</v>
      </c>
      <c r="AT1018" s="1078" t="str">
        <f t="shared" si="131"/>
        <v>1-4-1S83°</v>
      </c>
      <c r="AV1018" s="1078" t="str">
        <f t="shared" si="124"/>
        <v>111.8.26</v>
      </c>
      <c r="AW1018" s="1344">
        <f t="shared" si="125"/>
        <v>44799</v>
      </c>
    </row>
    <row r="1019" spans="1:49">
      <c r="A1019" s="1077" t="s">
        <v>2347</v>
      </c>
      <c r="B1019" s="1077" t="s">
        <v>1783</v>
      </c>
      <c r="C1019" s="1077">
        <v>500</v>
      </c>
      <c r="D1019" s="1077">
        <v>1.675</v>
      </c>
      <c r="E1019" s="1077" t="s">
        <v>15089</v>
      </c>
      <c r="F1019" s="1077" t="s">
        <v>2001</v>
      </c>
      <c r="G1019" s="1077" t="s">
        <v>1784</v>
      </c>
      <c r="H1019" s="1077" t="s">
        <v>1155</v>
      </c>
      <c r="I1019" s="1077" t="s">
        <v>126</v>
      </c>
      <c r="J1019" s="1077">
        <v>0.3</v>
      </c>
      <c r="K1019" s="1077" t="s">
        <v>2238</v>
      </c>
      <c r="L1019" s="1077" t="s">
        <v>1787</v>
      </c>
      <c r="M1019" s="1077">
        <v>76.099999999999994</v>
      </c>
      <c r="N1019" s="1077" t="s">
        <v>945</v>
      </c>
      <c r="O1019" s="1077">
        <v>1.9024999999999999</v>
      </c>
      <c r="P1019" s="1077">
        <v>1.522</v>
      </c>
      <c r="Q1019" s="1077">
        <v>4</v>
      </c>
      <c r="R1019" s="1077">
        <v>21</v>
      </c>
      <c r="T1019" s="1077">
        <v>13</v>
      </c>
      <c r="U1019" s="1077">
        <v>4</v>
      </c>
      <c r="V1019" s="1077" t="s">
        <v>648</v>
      </c>
      <c r="W1019" s="1077">
        <v>30</v>
      </c>
      <c r="X1019" s="1077">
        <v>10</v>
      </c>
      <c r="Y1019" s="1077">
        <v>2.5</v>
      </c>
      <c r="Z1019" s="1077">
        <v>2</v>
      </c>
      <c r="AA1019" s="1077" t="s">
        <v>2345</v>
      </c>
      <c r="AH1019" s="1077" t="s">
        <v>813</v>
      </c>
      <c r="AM1019" s="1078" t="s">
        <v>11058</v>
      </c>
      <c r="AN1019" s="1078" t="s">
        <v>11059</v>
      </c>
      <c r="AO1019" s="1078">
        <f t="shared" si="126"/>
        <v>500</v>
      </c>
      <c r="AP1019" s="1078">
        <f t="shared" si="127"/>
        <v>1.675</v>
      </c>
      <c r="AQ1019" s="1078" t="str">
        <f t="shared" si="128"/>
        <v>1-4-1S83°</v>
      </c>
      <c r="AR1019" s="1078" t="str">
        <f t="shared" si="129"/>
        <v>29.9</v>
      </c>
      <c r="AS1019" s="1078" t="str">
        <f t="shared" si="130"/>
        <v>215/215/OFF</v>
      </c>
      <c r="AT1019" s="1078" t="str">
        <f t="shared" si="131"/>
        <v>1-4-1S83°</v>
      </c>
      <c r="AV1019" s="1078" t="str">
        <f t="shared" si="124"/>
        <v>111.8.26</v>
      </c>
      <c r="AW1019" s="1344">
        <f t="shared" si="125"/>
        <v>44799</v>
      </c>
    </row>
    <row r="1020" spans="1:49">
      <c r="A1020" s="1077" t="s">
        <v>2348</v>
      </c>
      <c r="B1020" s="1077" t="s">
        <v>625</v>
      </c>
      <c r="C1020" s="1077">
        <v>500</v>
      </c>
      <c r="D1020" s="1077">
        <v>1.8</v>
      </c>
      <c r="E1020" s="1077" t="s">
        <v>15089</v>
      </c>
      <c r="F1020" s="1077" t="s">
        <v>975</v>
      </c>
      <c r="G1020" s="1077" t="s">
        <v>1016</v>
      </c>
      <c r="H1020" s="1077" t="s">
        <v>1145</v>
      </c>
      <c r="I1020" s="1077" t="s">
        <v>126</v>
      </c>
      <c r="J1020" s="1077">
        <v>1.5</v>
      </c>
      <c r="K1020" s="1077" t="s">
        <v>2349</v>
      </c>
      <c r="L1020" s="1077" t="s">
        <v>1987</v>
      </c>
      <c r="M1020" s="1077">
        <v>75</v>
      </c>
      <c r="N1020" s="1077" t="s">
        <v>945</v>
      </c>
      <c r="O1020" s="1077">
        <v>1.875</v>
      </c>
      <c r="P1020" s="1077">
        <v>1.5</v>
      </c>
      <c r="Q1020" s="1077">
        <v>3</v>
      </c>
      <c r="R1020" s="1077">
        <v>23</v>
      </c>
      <c r="T1020" s="1077">
        <v>29</v>
      </c>
      <c r="U1020" s="1077">
        <v>3.5</v>
      </c>
      <c r="V1020" s="1077" t="s">
        <v>648</v>
      </c>
      <c r="W1020" s="1077">
        <v>120</v>
      </c>
      <c r="X1020" s="1077">
        <v>80</v>
      </c>
      <c r="Y1020" s="1077">
        <v>1.8</v>
      </c>
      <c r="Z1020" s="1077">
        <v>5.5</v>
      </c>
      <c r="AA1020" s="1077" t="s">
        <v>2350</v>
      </c>
      <c r="AH1020" s="1077" t="s">
        <v>869</v>
      </c>
      <c r="AM1020" s="1078" t="s">
        <v>11060</v>
      </c>
      <c r="AN1020" s="1078" t="s">
        <v>11061</v>
      </c>
      <c r="AO1020" s="1078">
        <f t="shared" si="126"/>
        <v>500</v>
      </c>
      <c r="AP1020" s="1078">
        <f t="shared" si="127"/>
        <v>1.8</v>
      </c>
      <c r="AQ1020" s="1078" t="str">
        <f t="shared" si="128"/>
        <v>1-4-1S83°</v>
      </c>
      <c r="AR1020" s="1078" t="str">
        <f t="shared" si="129"/>
        <v>31.5</v>
      </c>
      <c r="AS1020" s="1078" t="str">
        <f t="shared" si="130"/>
        <v>235/235/OFF</v>
      </c>
      <c r="AT1020" s="1078" t="str">
        <f t="shared" si="131"/>
        <v>1-4-1S83°</v>
      </c>
      <c r="AV1020" s="1078" t="str">
        <f t="shared" si="124"/>
        <v>111.8.25</v>
      </c>
      <c r="AW1020" s="1344">
        <f t="shared" si="125"/>
        <v>44798</v>
      </c>
    </row>
    <row r="1021" spans="1:49">
      <c r="A1021" s="1077" t="s">
        <v>2351</v>
      </c>
      <c r="B1021" s="1077" t="s">
        <v>2207</v>
      </c>
      <c r="C1021" s="1077">
        <v>650</v>
      </c>
      <c r="D1021" s="1077">
        <v>1.69</v>
      </c>
      <c r="E1021" s="1077" t="s">
        <v>15098</v>
      </c>
      <c r="F1021" s="1077" t="s">
        <v>954</v>
      </c>
      <c r="G1021" s="1077" t="s">
        <v>1767</v>
      </c>
      <c r="H1021" s="1077" t="s">
        <v>955</v>
      </c>
      <c r="I1021" s="1077" t="s">
        <v>126</v>
      </c>
      <c r="J1021" s="1077">
        <v>1</v>
      </c>
      <c r="K1021" s="1077" t="s">
        <v>2352</v>
      </c>
      <c r="L1021" s="1077" t="s">
        <v>2209</v>
      </c>
      <c r="M1021" s="1077">
        <v>75.099999999999994</v>
      </c>
      <c r="N1021" s="1077" t="s">
        <v>945</v>
      </c>
      <c r="O1021" s="1077">
        <v>1.8774999999999999</v>
      </c>
      <c r="P1021" s="1077">
        <v>1.502</v>
      </c>
      <c r="Q1021" s="1077">
        <v>4</v>
      </c>
      <c r="R1021" s="1077" t="s">
        <v>2353</v>
      </c>
      <c r="T1021" s="1077">
        <v>21</v>
      </c>
      <c r="U1021" s="1077">
        <v>3.5</v>
      </c>
      <c r="V1021" s="1077" t="s">
        <v>648</v>
      </c>
      <c r="W1021" s="1077">
        <v>110</v>
      </c>
      <c r="X1021" s="1077">
        <v>65</v>
      </c>
      <c r="Y1021" s="1077">
        <v>1.6</v>
      </c>
      <c r="Z1021" s="1077">
        <v>4.5</v>
      </c>
      <c r="AA1021" s="1077" t="s">
        <v>2354</v>
      </c>
      <c r="AH1021" s="1077" t="s">
        <v>877</v>
      </c>
      <c r="AM1021" s="1078" t="s">
        <v>11062</v>
      </c>
      <c r="AN1021" s="1078" t="s">
        <v>11063</v>
      </c>
      <c r="AO1021" s="1078">
        <f t="shared" si="126"/>
        <v>650</v>
      </c>
      <c r="AP1021" s="1078">
        <f t="shared" si="127"/>
        <v>1.69</v>
      </c>
      <c r="AQ1021" s="1078" t="str">
        <f t="shared" si="128"/>
        <v>1-4-1S91°</v>
      </c>
      <c r="AR1021" s="1078" t="str">
        <f t="shared" si="129"/>
        <v>31</v>
      </c>
      <c r="AS1021" s="1078" t="str">
        <f t="shared" si="130"/>
        <v>260/260/OFF</v>
      </c>
      <c r="AT1021" s="1078" t="str">
        <f t="shared" si="131"/>
        <v>1-4-1S91°</v>
      </c>
      <c r="AV1021" s="1078" t="str">
        <f t="shared" si="124"/>
        <v>111.8.27</v>
      </c>
      <c r="AW1021" s="1344">
        <f t="shared" si="125"/>
        <v>44800</v>
      </c>
    </row>
    <row r="1022" spans="1:49">
      <c r="A1022" s="1077" t="s">
        <v>2355</v>
      </c>
      <c r="B1022" s="1077" t="s">
        <v>1899</v>
      </c>
      <c r="C1022" s="1077">
        <v>600</v>
      </c>
      <c r="D1022" s="1077">
        <v>1.7</v>
      </c>
      <c r="E1022" s="1077" t="s">
        <v>15095</v>
      </c>
      <c r="F1022" s="1077" t="s">
        <v>954</v>
      </c>
      <c r="G1022" s="1077" t="s">
        <v>940</v>
      </c>
      <c r="H1022" s="1077" t="s">
        <v>1226</v>
      </c>
      <c r="I1022" s="1077" t="s">
        <v>126</v>
      </c>
      <c r="J1022" s="1077">
        <v>1.4</v>
      </c>
      <c r="K1022" s="1077" t="s">
        <v>2356</v>
      </c>
      <c r="L1022" s="1077" t="s">
        <v>1924</v>
      </c>
      <c r="M1022" s="1077">
        <v>75.400000000000006</v>
      </c>
      <c r="N1022" s="1077" t="s">
        <v>945</v>
      </c>
      <c r="O1022" s="1077">
        <v>1.8850000000000002</v>
      </c>
      <c r="P1022" s="1077">
        <v>1.5080000000000002</v>
      </c>
      <c r="Q1022" s="1077">
        <v>3</v>
      </c>
      <c r="R1022" s="1077">
        <v>29</v>
      </c>
      <c r="T1022" s="1077">
        <v>18</v>
      </c>
      <c r="U1022" s="1077">
        <v>6</v>
      </c>
      <c r="V1022" s="1077" t="s">
        <v>648</v>
      </c>
      <c r="W1022" s="1077">
        <v>120</v>
      </c>
      <c r="X1022" s="1077">
        <v>80</v>
      </c>
      <c r="Y1022" s="1077">
        <v>2</v>
      </c>
      <c r="Z1022" s="1077">
        <v>6</v>
      </c>
      <c r="AA1022" s="1077" t="s">
        <v>2357</v>
      </c>
      <c r="AH1022" s="1077" t="s">
        <v>1186</v>
      </c>
      <c r="AM1022" s="1078" t="s">
        <v>11064</v>
      </c>
      <c r="AN1022" s="1078" t="s">
        <v>11065</v>
      </c>
      <c r="AO1022" s="1078">
        <f t="shared" si="126"/>
        <v>600</v>
      </c>
      <c r="AP1022" s="1078">
        <f t="shared" si="127"/>
        <v>1.7</v>
      </c>
      <c r="AQ1022" s="1078" t="str">
        <f t="shared" si="128"/>
        <v>1-5-1S83°</v>
      </c>
      <c r="AR1022" s="1078" t="str">
        <f t="shared" si="129"/>
        <v>31</v>
      </c>
      <c r="AS1022" s="1078" t="str">
        <f t="shared" si="130"/>
        <v>230/230/OFF</v>
      </c>
      <c r="AT1022" s="1078" t="str">
        <f t="shared" si="131"/>
        <v>1-5-1S83°</v>
      </c>
      <c r="AV1022" s="1078" t="str">
        <f t="shared" si="124"/>
        <v>111.8.31</v>
      </c>
      <c r="AW1022" s="1344">
        <f t="shared" si="125"/>
        <v>44804</v>
      </c>
    </row>
    <row r="1023" spans="1:49">
      <c r="A1023" s="1077" t="s">
        <v>2358</v>
      </c>
      <c r="B1023" s="1077" t="s">
        <v>2102</v>
      </c>
      <c r="C1023" s="1077">
        <v>600</v>
      </c>
      <c r="D1023" s="1077">
        <v>1.7150000000000001</v>
      </c>
      <c r="E1023" s="1077" t="s">
        <v>15088</v>
      </c>
      <c r="F1023" s="1077" t="s">
        <v>648</v>
      </c>
      <c r="G1023" s="1077" t="s">
        <v>1767</v>
      </c>
      <c r="H1023" s="1077" t="s">
        <v>2359</v>
      </c>
      <c r="I1023" s="1077" t="s">
        <v>126</v>
      </c>
      <c r="J1023" s="1077">
        <v>0.8</v>
      </c>
      <c r="K1023" s="1077" t="s">
        <v>2327</v>
      </c>
      <c r="L1023" s="1077" t="s">
        <v>2104</v>
      </c>
      <c r="M1023" s="1077">
        <v>75</v>
      </c>
      <c r="N1023" s="1077" t="s">
        <v>945</v>
      </c>
      <c r="O1023" s="1077">
        <v>1.875</v>
      </c>
      <c r="P1023" s="1077">
        <v>1.5</v>
      </c>
      <c r="Q1023" s="1077">
        <v>4</v>
      </c>
      <c r="R1023" s="1077">
        <v>23.3</v>
      </c>
      <c r="T1023" s="1077">
        <v>20.5</v>
      </c>
      <c r="U1023" s="1077">
        <v>3.7</v>
      </c>
      <c r="V1023" s="1077" t="s">
        <v>648</v>
      </c>
      <c r="W1023" s="1077">
        <v>105</v>
      </c>
      <c r="X1023" s="1077" t="s">
        <v>1130</v>
      </c>
      <c r="Y1023" s="1077">
        <v>1.9</v>
      </c>
      <c r="Z1023" s="1077">
        <v>4.5</v>
      </c>
      <c r="AA1023" s="1077" t="s">
        <v>2360</v>
      </c>
      <c r="AH1023" s="1077" t="s">
        <v>1827</v>
      </c>
      <c r="AM1023" s="1078" t="s">
        <v>11066</v>
      </c>
      <c r="AN1023" s="1078" t="s">
        <v>11067</v>
      </c>
      <c r="AO1023" s="1078">
        <f t="shared" si="126"/>
        <v>600</v>
      </c>
      <c r="AP1023" s="1078">
        <f t="shared" si="127"/>
        <v>1.7150000000000001</v>
      </c>
      <c r="AQ1023" s="1078" t="str">
        <f t="shared" si="128"/>
        <v>1-4-1S85°</v>
      </c>
      <c r="AR1023" s="1078" t="str">
        <f t="shared" si="129"/>
        <v>NA</v>
      </c>
      <c r="AS1023" s="1078" t="str">
        <f t="shared" si="130"/>
        <v>174/OFF</v>
      </c>
      <c r="AT1023" s="1078" t="str">
        <f t="shared" si="131"/>
        <v>1-4-1S85°</v>
      </c>
      <c r="AV1023" s="1078" t="str">
        <f t="shared" si="124"/>
        <v>111.9.2</v>
      </c>
      <c r="AW1023" s="1344">
        <f t="shared" si="125"/>
        <v>44806</v>
      </c>
    </row>
    <row r="1024" spans="1:49">
      <c r="A1024" s="1077" t="s">
        <v>2361</v>
      </c>
      <c r="B1024" s="1077" t="s">
        <v>453</v>
      </c>
      <c r="C1024" s="1077">
        <v>600</v>
      </c>
      <c r="D1024" s="1077">
        <v>1.69</v>
      </c>
      <c r="E1024" s="1077" t="s">
        <v>15089</v>
      </c>
      <c r="F1024" s="1077" t="s">
        <v>1773</v>
      </c>
      <c r="G1024" s="1077" t="s">
        <v>1767</v>
      </c>
      <c r="H1024" s="1077" t="s">
        <v>1040</v>
      </c>
      <c r="I1024" s="1077" t="s">
        <v>126</v>
      </c>
      <c r="J1024" s="1077">
        <v>0.9</v>
      </c>
      <c r="K1024" s="1077" t="s">
        <v>2362</v>
      </c>
      <c r="L1024" s="1077" t="s">
        <v>1776</v>
      </c>
      <c r="M1024" s="1077">
        <v>74.8</v>
      </c>
      <c r="N1024" s="1077" t="s">
        <v>945</v>
      </c>
      <c r="O1024" s="1077">
        <v>1.87</v>
      </c>
      <c r="P1024" s="1077">
        <v>1.496</v>
      </c>
      <c r="Q1024" s="1077">
        <v>4</v>
      </c>
      <c r="R1024" s="1077" t="s">
        <v>2363</v>
      </c>
      <c r="T1024" s="1077">
        <v>18.600000000000001</v>
      </c>
      <c r="U1024" s="1077">
        <v>3.5</v>
      </c>
      <c r="V1024" s="1077" t="s">
        <v>648</v>
      </c>
      <c r="W1024" s="1077">
        <v>105</v>
      </c>
      <c r="X1024" s="1077">
        <v>80</v>
      </c>
      <c r="Y1024" s="1077">
        <v>2</v>
      </c>
      <c r="Z1024" s="1077">
        <v>4.5</v>
      </c>
      <c r="AA1024" s="1077" t="s">
        <v>1519</v>
      </c>
      <c r="AH1024" s="1077" t="s">
        <v>619</v>
      </c>
      <c r="AM1024" s="1078" t="s">
        <v>11068</v>
      </c>
      <c r="AN1024" s="1078" t="s">
        <v>11069</v>
      </c>
      <c r="AO1024" s="1078">
        <f t="shared" si="126"/>
        <v>600</v>
      </c>
      <c r="AP1024" s="1078">
        <f t="shared" si="127"/>
        <v>1.69</v>
      </c>
      <c r="AQ1024" s="1078" t="str">
        <f t="shared" si="128"/>
        <v>1-4-1S83°</v>
      </c>
      <c r="AR1024" s="1078" t="str">
        <f t="shared" si="129"/>
        <v>30.2</v>
      </c>
      <c r="AS1024" s="1078" t="str">
        <f t="shared" si="130"/>
        <v>240/240/OFF</v>
      </c>
      <c r="AT1024" s="1078" t="str">
        <f t="shared" si="131"/>
        <v>1-4-1S83°</v>
      </c>
      <c r="AV1024" s="1078" t="str">
        <f t="shared" si="124"/>
        <v>111.9.5</v>
      </c>
      <c r="AW1024" s="1344">
        <f t="shared" si="125"/>
        <v>44809</v>
      </c>
    </row>
    <row r="1025" spans="1:49">
      <c r="A1025" s="1077" t="s">
        <v>2364</v>
      </c>
      <c r="B1025" s="1077" t="s">
        <v>1891</v>
      </c>
      <c r="C1025" s="1077">
        <v>600</v>
      </c>
      <c r="D1025" s="1077">
        <v>1.67</v>
      </c>
      <c r="E1025" s="1077" t="s">
        <v>15089</v>
      </c>
      <c r="F1025" s="1077" t="s">
        <v>984</v>
      </c>
      <c r="G1025" s="1077" t="s">
        <v>940</v>
      </c>
      <c r="H1025" s="1077" t="s">
        <v>1226</v>
      </c>
      <c r="I1025" s="1077" t="s">
        <v>126</v>
      </c>
      <c r="J1025" s="1077">
        <v>0.7</v>
      </c>
      <c r="K1025" s="1077" t="s">
        <v>2365</v>
      </c>
      <c r="L1025" s="1077" t="s">
        <v>1893</v>
      </c>
      <c r="M1025" s="1077">
        <v>74.599999999999994</v>
      </c>
      <c r="N1025" s="1077" t="s">
        <v>945</v>
      </c>
      <c r="O1025" s="1077">
        <v>1.865</v>
      </c>
      <c r="P1025" s="1077">
        <v>1.492</v>
      </c>
      <c r="Q1025" s="1077">
        <v>3.5</v>
      </c>
      <c r="R1025" s="1077">
        <v>29</v>
      </c>
      <c r="T1025" s="1077">
        <v>12.5</v>
      </c>
      <c r="U1025" s="1077">
        <v>5.0999999999999996</v>
      </c>
      <c r="V1025" s="1077" t="s">
        <v>648</v>
      </c>
      <c r="W1025" s="1077">
        <v>95</v>
      </c>
      <c r="X1025" s="1077">
        <v>60</v>
      </c>
      <c r="Y1025" s="1077">
        <v>1.8</v>
      </c>
      <c r="Z1025" s="1077">
        <v>4.5</v>
      </c>
      <c r="AA1025" s="1077" t="s">
        <v>2366</v>
      </c>
      <c r="AH1025" s="1077" t="s">
        <v>966</v>
      </c>
      <c r="AM1025" s="1078" t="s">
        <v>11070</v>
      </c>
      <c r="AN1025" s="1078" t="s">
        <v>11071</v>
      </c>
      <c r="AO1025" s="1078">
        <f t="shared" si="126"/>
        <v>600</v>
      </c>
      <c r="AP1025" s="1078">
        <f t="shared" si="127"/>
        <v>1.67</v>
      </c>
      <c r="AQ1025" s="1078" t="str">
        <f t="shared" si="128"/>
        <v>1-4-1S83°</v>
      </c>
      <c r="AR1025" s="1078" t="str">
        <f t="shared" si="129"/>
        <v>30</v>
      </c>
      <c r="AS1025" s="1078" t="str">
        <f t="shared" si="130"/>
        <v>230/230/OFF</v>
      </c>
      <c r="AT1025" s="1078" t="str">
        <f t="shared" si="131"/>
        <v>1-4-1S83°</v>
      </c>
      <c r="AV1025" s="1078" t="str">
        <f t="shared" si="124"/>
        <v>111.9.6</v>
      </c>
      <c r="AW1025" s="1344">
        <f t="shared" si="125"/>
        <v>44810</v>
      </c>
    </row>
    <row r="1026" spans="1:49">
      <c r="A1026" s="1077" t="s">
        <v>2367</v>
      </c>
      <c r="B1026" s="1077" t="s">
        <v>453</v>
      </c>
      <c r="C1026" s="1077">
        <v>600</v>
      </c>
      <c r="D1026" s="1077">
        <v>1.72</v>
      </c>
      <c r="E1026" s="1077" t="s">
        <v>15090</v>
      </c>
      <c r="F1026" s="1077" t="s">
        <v>648</v>
      </c>
      <c r="G1026" s="1077" t="s">
        <v>1767</v>
      </c>
      <c r="H1026" s="1077" t="s">
        <v>2326</v>
      </c>
      <c r="I1026" s="1077" t="s">
        <v>126</v>
      </c>
      <c r="J1026" s="1077">
        <v>0.8</v>
      </c>
      <c r="K1026" s="1077" t="s">
        <v>2368</v>
      </c>
      <c r="L1026" s="1077" t="s">
        <v>1776</v>
      </c>
      <c r="M1026" s="1077">
        <v>74.8</v>
      </c>
      <c r="N1026" s="1077" t="s">
        <v>945</v>
      </c>
      <c r="O1026" s="1077">
        <v>1.87</v>
      </c>
      <c r="P1026" s="1077">
        <v>1.496</v>
      </c>
      <c r="Q1026" s="1077">
        <v>3.5</v>
      </c>
      <c r="R1026" s="1077">
        <v>21.5</v>
      </c>
      <c r="T1026" s="1077">
        <v>18.600000000000001</v>
      </c>
      <c r="U1026" s="1077">
        <v>3.5</v>
      </c>
      <c r="V1026" s="1077" t="s">
        <v>648</v>
      </c>
      <c r="W1026" s="1077">
        <v>105</v>
      </c>
      <c r="X1026" s="1077">
        <v>80</v>
      </c>
      <c r="Y1026" s="1077">
        <v>2</v>
      </c>
      <c r="Z1026" s="1077">
        <v>4.5</v>
      </c>
      <c r="AA1026" s="1077" t="s">
        <v>2360</v>
      </c>
      <c r="AB1026" s="1077" t="s">
        <v>1520</v>
      </c>
      <c r="AH1026" s="1077" t="s">
        <v>782</v>
      </c>
      <c r="AM1026" s="1078" t="s">
        <v>11072</v>
      </c>
      <c r="AN1026" s="1078" t="s">
        <v>11073</v>
      </c>
      <c r="AO1026" s="1078">
        <f t="shared" si="126"/>
        <v>600</v>
      </c>
      <c r="AP1026" s="1078">
        <f t="shared" si="127"/>
        <v>1.72</v>
      </c>
      <c r="AQ1026" s="1078" t="str">
        <f t="shared" si="128"/>
        <v>1-5-1S85°</v>
      </c>
      <c r="AR1026" s="1078" t="str">
        <f t="shared" si="129"/>
        <v>NA</v>
      </c>
      <c r="AS1026" s="1078" t="str">
        <f t="shared" si="130"/>
        <v>173/OFF</v>
      </c>
      <c r="AT1026" s="1078" t="str">
        <f t="shared" si="131"/>
        <v>1-5-1S85°</v>
      </c>
      <c r="AV1026" s="1078" t="str">
        <f t="shared" ref="AV1026:AV1089" si="132">AA1026</f>
        <v>111.9.2</v>
      </c>
      <c r="AW1026" s="1344">
        <f t="shared" si="125"/>
        <v>44806</v>
      </c>
    </row>
    <row r="1027" spans="1:49">
      <c r="A1027" s="1077" t="s">
        <v>2369</v>
      </c>
      <c r="B1027" s="1077" t="s">
        <v>1783</v>
      </c>
      <c r="C1027" s="1077">
        <v>500</v>
      </c>
      <c r="D1027" s="1077">
        <v>1.675</v>
      </c>
      <c r="E1027" s="1077" t="s">
        <v>15089</v>
      </c>
      <c r="F1027" s="1077" t="s">
        <v>2001</v>
      </c>
      <c r="G1027" s="1077" t="s">
        <v>2018</v>
      </c>
      <c r="H1027" s="1077" t="s">
        <v>1155</v>
      </c>
      <c r="I1027" s="1077" t="s">
        <v>126</v>
      </c>
      <c r="J1027" s="1077">
        <v>0.3</v>
      </c>
      <c r="K1027" s="1077" t="s">
        <v>2238</v>
      </c>
      <c r="L1027" s="1077" t="s">
        <v>1787</v>
      </c>
      <c r="M1027" s="1077">
        <v>76.099999999999994</v>
      </c>
      <c r="N1027" s="1077" t="s">
        <v>945</v>
      </c>
      <c r="O1027" s="1077">
        <v>1.9024999999999999</v>
      </c>
      <c r="P1027" s="1077">
        <v>1.522</v>
      </c>
      <c r="Q1027" s="1077">
        <v>4</v>
      </c>
      <c r="R1027" s="1077">
        <v>21</v>
      </c>
      <c r="T1027" s="1077">
        <v>13</v>
      </c>
      <c r="U1027" s="1077">
        <v>4</v>
      </c>
      <c r="V1027" s="1077" t="s">
        <v>648</v>
      </c>
      <c r="W1027" s="1077">
        <v>30</v>
      </c>
      <c r="X1027" s="1077">
        <v>10</v>
      </c>
      <c r="Y1027" s="1077">
        <v>2.5</v>
      </c>
      <c r="Z1027" s="1077">
        <v>2</v>
      </c>
      <c r="AA1027" s="1077" t="s">
        <v>2366</v>
      </c>
      <c r="AH1027" s="1077" t="s">
        <v>482</v>
      </c>
      <c r="AM1027" s="1078" t="s">
        <v>11074</v>
      </c>
      <c r="AN1027" s="1078" t="s">
        <v>11075</v>
      </c>
      <c r="AO1027" s="1078">
        <f t="shared" si="126"/>
        <v>500</v>
      </c>
      <c r="AP1027" s="1078">
        <f t="shared" si="127"/>
        <v>1.675</v>
      </c>
      <c r="AQ1027" s="1078" t="str">
        <f t="shared" si="128"/>
        <v>1-4-1S83°</v>
      </c>
      <c r="AR1027" s="1078" t="str">
        <f t="shared" si="129"/>
        <v>29.9</v>
      </c>
      <c r="AS1027" s="1078" t="str">
        <f t="shared" si="130"/>
        <v>215/215/OFF</v>
      </c>
      <c r="AT1027" s="1078" t="str">
        <f t="shared" si="131"/>
        <v>1-4-1S83°</v>
      </c>
      <c r="AV1027" s="1078" t="str">
        <f t="shared" si="132"/>
        <v>111.9.6</v>
      </c>
      <c r="AW1027" s="1344">
        <f t="shared" ref="AW1027:AW1090" si="133">DATE(VALUE(LEFT(AV1027,FIND(".",AV1027)-1))+1911,
       VALUE(MID(AV1027,FIND(".",AV1027)+1,FIND(".",AV1027,FIND(".",AV1027)+1)-FIND(".",AV1027)-1)),
       VALUE(RIGHT(AV1027,LEN(AV1027)-FIND("~",SUBSTITUTE(AV1027,".","~",2)))))</f>
        <v>44810</v>
      </c>
    </row>
    <row r="1028" spans="1:49">
      <c r="A1028" s="1077" t="s">
        <v>2370</v>
      </c>
      <c r="B1028" s="1077" t="s">
        <v>2116</v>
      </c>
      <c r="C1028" s="1077">
        <v>600</v>
      </c>
      <c r="D1028" s="1077">
        <v>1.72</v>
      </c>
      <c r="E1028" s="1077" t="s">
        <v>15090</v>
      </c>
      <c r="F1028" s="1077" t="s">
        <v>648</v>
      </c>
      <c r="G1028" s="1077" t="s">
        <v>1767</v>
      </c>
      <c r="H1028" s="1077" t="s">
        <v>2326</v>
      </c>
      <c r="I1028" s="1077" t="s">
        <v>126</v>
      </c>
      <c r="J1028" s="1077">
        <v>0.8</v>
      </c>
      <c r="K1028" s="1077" t="s">
        <v>2368</v>
      </c>
      <c r="L1028" s="1077" t="s">
        <v>1776</v>
      </c>
      <c r="M1028" s="1077">
        <v>74.8</v>
      </c>
      <c r="N1028" s="1077" t="s">
        <v>945</v>
      </c>
      <c r="O1028" s="1077">
        <v>1.87</v>
      </c>
      <c r="P1028" s="1077">
        <v>1.496</v>
      </c>
      <c r="Q1028" s="1077">
        <v>3.5</v>
      </c>
      <c r="R1028" s="1077">
        <v>21.5</v>
      </c>
      <c r="T1028" s="1077">
        <v>18.600000000000001</v>
      </c>
      <c r="U1028" s="1077">
        <v>3.5</v>
      </c>
      <c r="V1028" s="1077" t="s">
        <v>648</v>
      </c>
      <c r="W1028" s="1077">
        <v>105</v>
      </c>
      <c r="X1028" s="1077">
        <v>80</v>
      </c>
      <c r="Y1028" s="1077">
        <v>2</v>
      </c>
      <c r="Z1028" s="1077">
        <v>4.5</v>
      </c>
      <c r="AA1028" s="1077" t="s">
        <v>1523</v>
      </c>
      <c r="AH1028" s="1077" t="s">
        <v>782</v>
      </c>
      <c r="AM1028" s="1078" t="s">
        <v>11076</v>
      </c>
      <c r="AN1028" s="1078" t="s">
        <v>11077</v>
      </c>
      <c r="AO1028" s="1078">
        <f t="shared" si="126"/>
        <v>600</v>
      </c>
      <c r="AP1028" s="1078">
        <f t="shared" si="127"/>
        <v>1.72</v>
      </c>
      <c r="AQ1028" s="1078" t="str">
        <f t="shared" si="128"/>
        <v>1-5-1S85°</v>
      </c>
      <c r="AR1028" s="1078" t="str">
        <f t="shared" si="129"/>
        <v>NA</v>
      </c>
      <c r="AS1028" s="1078" t="str">
        <f t="shared" si="130"/>
        <v>173/OFF</v>
      </c>
      <c r="AT1028" s="1078" t="str">
        <f t="shared" si="131"/>
        <v>1-5-1S85°</v>
      </c>
      <c r="AV1028" s="1078" t="str">
        <f t="shared" si="132"/>
        <v>111.9.7</v>
      </c>
      <c r="AW1028" s="1344">
        <f t="shared" si="133"/>
        <v>44811</v>
      </c>
    </row>
    <row r="1029" spans="1:49">
      <c r="A1029" s="1077" t="s">
        <v>2371</v>
      </c>
      <c r="B1029" s="1077" t="s">
        <v>1815</v>
      </c>
      <c r="C1029" s="1077">
        <v>650</v>
      </c>
      <c r="D1029" s="1077">
        <v>1.7</v>
      </c>
      <c r="E1029" s="1077" t="s">
        <v>15098</v>
      </c>
      <c r="F1029" s="1077" t="s">
        <v>954</v>
      </c>
      <c r="G1029" s="1077" t="s">
        <v>1767</v>
      </c>
      <c r="H1029" s="1077" t="s">
        <v>1793</v>
      </c>
      <c r="I1029" s="1077" t="s">
        <v>126</v>
      </c>
      <c r="J1029" s="1077">
        <v>0.9</v>
      </c>
      <c r="K1029" s="1077" t="s">
        <v>2372</v>
      </c>
      <c r="L1029" s="1077" t="s">
        <v>2209</v>
      </c>
      <c r="M1029" s="1077">
        <v>75.099999999999994</v>
      </c>
      <c r="N1029" s="1077" t="s">
        <v>945</v>
      </c>
      <c r="O1029" s="1077">
        <v>1.8774999999999999</v>
      </c>
      <c r="P1029" s="1077">
        <v>1.502</v>
      </c>
      <c r="Q1029" s="1077">
        <v>4</v>
      </c>
      <c r="R1029" s="1077" t="s">
        <v>2373</v>
      </c>
      <c r="T1029" s="1077">
        <v>21</v>
      </c>
      <c r="U1029" s="1077">
        <v>3.5</v>
      </c>
      <c r="V1029" s="1077" t="s">
        <v>648</v>
      </c>
      <c r="W1029" s="1077">
        <v>110</v>
      </c>
      <c r="X1029" s="1077">
        <v>65</v>
      </c>
      <c r="Y1029" s="1077">
        <v>1.6</v>
      </c>
      <c r="Z1029" s="1077">
        <v>4</v>
      </c>
      <c r="AA1029" s="1077" t="s">
        <v>2374</v>
      </c>
      <c r="AB1029" s="1077" t="s">
        <v>981</v>
      </c>
      <c r="AH1029" s="1077" t="s">
        <v>468</v>
      </c>
      <c r="AM1029" s="1078" t="s">
        <v>11078</v>
      </c>
      <c r="AN1029" s="1078" t="s">
        <v>11079</v>
      </c>
      <c r="AO1029" s="1078">
        <f t="shared" si="126"/>
        <v>650</v>
      </c>
      <c r="AP1029" s="1078">
        <f t="shared" si="127"/>
        <v>1.7</v>
      </c>
      <c r="AQ1029" s="1078" t="str">
        <f t="shared" si="128"/>
        <v>1-4-1S91°</v>
      </c>
      <c r="AR1029" s="1078" t="str">
        <f t="shared" si="129"/>
        <v>31</v>
      </c>
      <c r="AS1029" s="1078" t="str">
        <f t="shared" si="130"/>
        <v>270/270/OFF</v>
      </c>
      <c r="AT1029" s="1078" t="str">
        <f t="shared" si="131"/>
        <v>1-4-1S91°</v>
      </c>
      <c r="AV1029" s="1078" t="str">
        <f t="shared" si="132"/>
        <v>111.9.16</v>
      </c>
      <c r="AW1029" s="1344">
        <f t="shared" si="133"/>
        <v>44820</v>
      </c>
    </row>
    <row r="1030" spans="1:49">
      <c r="A1030" s="1077" t="s">
        <v>2375</v>
      </c>
      <c r="B1030" s="1077" t="s">
        <v>840</v>
      </c>
      <c r="C1030" s="1077">
        <v>600</v>
      </c>
      <c r="D1030" s="1077">
        <v>1.82</v>
      </c>
      <c r="E1030" s="1077" t="s">
        <v>15095</v>
      </c>
      <c r="F1030" s="1077" t="s">
        <v>984</v>
      </c>
      <c r="G1030" s="1077" t="s">
        <v>940</v>
      </c>
      <c r="H1030" s="1077" t="s">
        <v>1290</v>
      </c>
      <c r="I1030" s="1077" t="s">
        <v>126</v>
      </c>
      <c r="J1030" s="1077">
        <v>0.3</v>
      </c>
      <c r="K1030" s="1077" t="s">
        <v>2376</v>
      </c>
      <c r="L1030" s="1077" t="s">
        <v>1780</v>
      </c>
      <c r="M1030" s="1077">
        <v>73.5</v>
      </c>
      <c r="N1030" s="1077" t="s">
        <v>945</v>
      </c>
      <c r="O1030" s="1077">
        <v>1.8375000000000001</v>
      </c>
      <c r="P1030" s="1077">
        <v>1.47</v>
      </c>
      <c r="Q1030" s="1077">
        <v>3</v>
      </c>
      <c r="R1030" s="1077">
        <v>24</v>
      </c>
      <c r="T1030" s="1077">
        <v>25</v>
      </c>
      <c r="U1030" s="1077">
        <v>5.5</v>
      </c>
      <c r="V1030" s="1077" t="s">
        <v>648</v>
      </c>
      <c r="W1030" s="1077">
        <v>50</v>
      </c>
      <c r="X1030" s="1077">
        <v>10</v>
      </c>
      <c r="Y1030" s="1077">
        <v>1.5</v>
      </c>
      <c r="Z1030" s="1077">
        <v>5</v>
      </c>
      <c r="AA1030" s="1077" t="s">
        <v>2377</v>
      </c>
      <c r="AH1030" s="1077" t="s">
        <v>869</v>
      </c>
      <c r="AM1030" s="1078" t="s">
        <v>11080</v>
      </c>
      <c r="AN1030" s="1078" t="s">
        <v>11081</v>
      </c>
      <c r="AO1030" s="1078">
        <f t="shared" si="126"/>
        <v>600</v>
      </c>
      <c r="AP1030" s="1078">
        <f t="shared" si="127"/>
        <v>1.82</v>
      </c>
      <c r="AQ1030" s="1078" t="str">
        <f t="shared" si="128"/>
        <v>1-5-1S83°</v>
      </c>
      <c r="AR1030" s="1078" t="str">
        <f t="shared" si="129"/>
        <v>30</v>
      </c>
      <c r="AS1030" s="1078" t="str">
        <f t="shared" si="130"/>
        <v>220/220/OFF</v>
      </c>
      <c r="AT1030" s="1078" t="str">
        <f t="shared" si="131"/>
        <v>1-5-1S83°</v>
      </c>
      <c r="AV1030" s="1078" t="str">
        <f t="shared" si="132"/>
        <v>111.9.15</v>
      </c>
      <c r="AW1030" s="1344">
        <f t="shared" si="133"/>
        <v>44819</v>
      </c>
    </row>
    <row r="1031" spans="1:49">
      <c r="A1031" s="1077" t="s">
        <v>2378</v>
      </c>
      <c r="B1031" s="1077" t="s">
        <v>1842</v>
      </c>
      <c r="C1031" s="1077">
        <v>500</v>
      </c>
      <c r="D1031" s="1077">
        <v>1.7</v>
      </c>
      <c r="E1031" s="1077" t="s">
        <v>15095</v>
      </c>
      <c r="F1031" s="1077" t="s">
        <v>984</v>
      </c>
      <c r="G1031" s="1077" t="s">
        <v>1016</v>
      </c>
      <c r="H1031" s="1077" t="s">
        <v>1290</v>
      </c>
      <c r="I1031" s="1077" t="s">
        <v>126</v>
      </c>
      <c r="J1031" s="1077">
        <v>0.8</v>
      </c>
      <c r="K1031" s="1077" t="s">
        <v>2379</v>
      </c>
      <c r="L1031" s="1077" t="s">
        <v>1844</v>
      </c>
      <c r="M1031" s="1077">
        <v>77.099999999999994</v>
      </c>
      <c r="N1031" s="1077" t="s">
        <v>945</v>
      </c>
      <c r="O1031" s="1077">
        <v>1.9275</v>
      </c>
      <c r="P1031" s="1077">
        <v>1.5419999999999998</v>
      </c>
      <c r="Q1031" s="1077">
        <v>4</v>
      </c>
      <c r="R1031" s="1077">
        <v>23</v>
      </c>
      <c r="T1031" s="1077">
        <v>18</v>
      </c>
      <c r="U1031" s="1077">
        <v>4</v>
      </c>
      <c r="V1031" s="1077" t="s">
        <v>648</v>
      </c>
      <c r="W1031" s="1077">
        <v>110</v>
      </c>
      <c r="X1031" s="1077">
        <v>70</v>
      </c>
      <c r="Y1031" s="1077">
        <v>1.8</v>
      </c>
      <c r="Z1031" s="1077">
        <v>4.5</v>
      </c>
      <c r="AA1031" s="1077" t="s">
        <v>2380</v>
      </c>
      <c r="AH1031" s="1077" t="s">
        <v>1053</v>
      </c>
      <c r="AM1031" s="1078" t="s">
        <v>11082</v>
      </c>
      <c r="AN1031" s="1078" t="s">
        <v>11083</v>
      </c>
      <c r="AO1031" s="1078">
        <f t="shared" si="126"/>
        <v>500</v>
      </c>
      <c r="AP1031" s="1078">
        <f t="shared" si="127"/>
        <v>1.7</v>
      </c>
      <c r="AQ1031" s="1078" t="str">
        <f t="shared" si="128"/>
        <v>1-5-1S83°</v>
      </c>
      <c r="AR1031" s="1078" t="str">
        <f t="shared" si="129"/>
        <v>30</v>
      </c>
      <c r="AS1031" s="1078" t="str">
        <f t="shared" si="130"/>
        <v>220/220/OFF</v>
      </c>
      <c r="AT1031" s="1078" t="str">
        <f t="shared" si="131"/>
        <v>1-5-1S83°</v>
      </c>
      <c r="AV1031" s="1078" t="str">
        <f t="shared" si="132"/>
        <v>111.9.19</v>
      </c>
      <c r="AW1031" s="1344">
        <f t="shared" si="133"/>
        <v>44823</v>
      </c>
    </row>
    <row r="1032" spans="1:49">
      <c r="A1032" s="1077" t="s">
        <v>2381</v>
      </c>
      <c r="B1032" s="1077" t="s">
        <v>620</v>
      </c>
      <c r="C1032" s="1077">
        <v>500</v>
      </c>
      <c r="D1032" s="1077">
        <v>1.67</v>
      </c>
      <c r="E1032" s="1077" t="s">
        <v>15091</v>
      </c>
      <c r="F1032" s="1077" t="s">
        <v>984</v>
      </c>
      <c r="G1032" s="1077" t="s">
        <v>940</v>
      </c>
      <c r="H1032" s="1077" t="s">
        <v>2382</v>
      </c>
      <c r="I1032" s="1077" t="s">
        <v>1167</v>
      </c>
      <c r="J1032" s="1077">
        <v>1.1000000000000001</v>
      </c>
      <c r="K1032" s="1077" t="s">
        <v>2383</v>
      </c>
      <c r="L1032" s="1077" t="s">
        <v>2032</v>
      </c>
      <c r="M1032" s="1077">
        <v>76.7</v>
      </c>
      <c r="N1032" s="1077" t="s">
        <v>945</v>
      </c>
      <c r="O1032" s="1077">
        <v>1.9175000000000002</v>
      </c>
      <c r="P1032" s="1077">
        <v>1.534</v>
      </c>
      <c r="Q1032" s="1077">
        <v>4</v>
      </c>
      <c r="R1032" s="1077">
        <v>23.5</v>
      </c>
      <c r="T1032" s="1077">
        <v>20.7</v>
      </c>
      <c r="U1032" s="1077">
        <v>4</v>
      </c>
      <c r="V1032" s="1077" t="s">
        <v>648</v>
      </c>
      <c r="W1032" s="1077">
        <v>120</v>
      </c>
      <c r="X1032" s="1077">
        <v>80</v>
      </c>
      <c r="Y1032" s="1077">
        <v>1</v>
      </c>
      <c r="Z1032" s="1077">
        <v>5</v>
      </c>
      <c r="AA1032" s="1077" t="s">
        <v>2380</v>
      </c>
      <c r="AH1032" s="1077" t="s">
        <v>2384</v>
      </c>
      <c r="AM1032" s="1078" t="s">
        <v>11084</v>
      </c>
      <c r="AN1032" s="1078" t="s">
        <v>11085</v>
      </c>
      <c r="AO1032" s="1078">
        <f t="shared" si="126"/>
        <v>500</v>
      </c>
      <c r="AP1032" s="1078">
        <f t="shared" si="127"/>
        <v>1.67</v>
      </c>
      <c r="AQ1032" s="1078" t="str">
        <f t="shared" si="128"/>
        <v>2-5-1S83°</v>
      </c>
      <c r="AR1032" s="1078" t="str">
        <f t="shared" si="129"/>
        <v>30</v>
      </c>
      <c r="AS1032" s="1078" t="str">
        <f t="shared" si="130"/>
        <v>161/OFF</v>
      </c>
      <c r="AT1032" s="1078" t="str">
        <f t="shared" si="131"/>
        <v>2-5-1S83°</v>
      </c>
      <c r="AV1032" s="1078" t="str">
        <f t="shared" si="132"/>
        <v>111.9.19</v>
      </c>
      <c r="AW1032" s="1344">
        <f t="shared" si="133"/>
        <v>44823</v>
      </c>
    </row>
    <row r="1033" spans="1:49">
      <c r="A1033" s="1077" t="s">
        <v>2385</v>
      </c>
      <c r="B1033" s="1077" t="s">
        <v>620</v>
      </c>
      <c r="C1033" s="1077">
        <v>500</v>
      </c>
      <c r="D1033" s="1077">
        <v>1.69</v>
      </c>
      <c r="E1033" s="1077" t="s">
        <v>15091</v>
      </c>
      <c r="F1033" s="1077" t="s">
        <v>984</v>
      </c>
      <c r="G1033" s="1077" t="s">
        <v>940</v>
      </c>
      <c r="H1033" s="1077" t="s">
        <v>2214</v>
      </c>
      <c r="I1033" s="1077" t="s">
        <v>626</v>
      </c>
      <c r="J1033" s="1077">
        <v>1.6</v>
      </c>
      <c r="K1033" s="1077" t="s">
        <v>2386</v>
      </c>
      <c r="L1033" s="1077" t="s">
        <v>2032</v>
      </c>
      <c r="M1033" s="1077">
        <v>77</v>
      </c>
      <c r="N1033" s="1077" t="s">
        <v>945</v>
      </c>
      <c r="O1033" s="1077">
        <v>1.925</v>
      </c>
      <c r="P1033" s="1077">
        <v>1.54</v>
      </c>
      <c r="Q1033" s="1077">
        <v>4</v>
      </c>
      <c r="R1033" s="1077">
        <v>22</v>
      </c>
      <c r="T1033" s="1077">
        <v>9</v>
      </c>
      <c r="U1033" s="1077">
        <v>3.5</v>
      </c>
      <c r="V1033" s="1077" t="s">
        <v>648</v>
      </c>
      <c r="W1033" s="1077">
        <v>140</v>
      </c>
      <c r="X1033" s="1077">
        <v>80</v>
      </c>
      <c r="Y1033" s="1077">
        <v>2.1</v>
      </c>
      <c r="Z1033" s="1077">
        <v>2.5</v>
      </c>
      <c r="AA1033" s="1077" t="s">
        <v>2374</v>
      </c>
      <c r="AH1033" s="1077" t="s">
        <v>614</v>
      </c>
      <c r="AM1033" s="1078" t="s">
        <v>11086</v>
      </c>
      <c r="AN1033" s="1078" t="s">
        <v>11087</v>
      </c>
      <c r="AO1033" s="1078">
        <f t="shared" si="126"/>
        <v>500</v>
      </c>
      <c r="AP1033" s="1078">
        <f t="shared" si="127"/>
        <v>1.69</v>
      </c>
      <c r="AQ1033" s="1078" t="str">
        <f t="shared" si="128"/>
        <v>2-5-1S83°</v>
      </c>
      <c r="AR1033" s="1078" t="str">
        <f t="shared" si="129"/>
        <v>30</v>
      </c>
      <c r="AS1033" s="1078" t="str">
        <f t="shared" si="130"/>
        <v>160/160</v>
      </c>
      <c r="AT1033" s="1078" t="str">
        <f t="shared" si="131"/>
        <v>2-5-1S83°</v>
      </c>
      <c r="AV1033" s="1078" t="str">
        <f t="shared" si="132"/>
        <v>111.9.16</v>
      </c>
      <c r="AW1033" s="1344">
        <f t="shared" si="133"/>
        <v>44820</v>
      </c>
    </row>
    <row r="1034" spans="1:49">
      <c r="A1034" s="1077" t="s">
        <v>4012</v>
      </c>
      <c r="B1034" s="1077" t="s">
        <v>298</v>
      </c>
      <c r="C1034" s="1077">
        <v>800</v>
      </c>
      <c r="D1034" s="1077">
        <v>1.75</v>
      </c>
      <c r="E1034" s="1077" t="s">
        <v>15089</v>
      </c>
      <c r="F1034" s="1077" t="s">
        <v>4013</v>
      </c>
      <c r="G1034" s="1077" t="s">
        <v>1767</v>
      </c>
      <c r="H1034" s="1077" t="s">
        <v>4014</v>
      </c>
      <c r="I1034" s="1077" t="s">
        <v>648</v>
      </c>
      <c r="J1034" s="1077">
        <v>0</v>
      </c>
      <c r="K1034" s="1077" t="s">
        <v>4015</v>
      </c>
      <c r="L1034" s="1077" t="s">
        <v>4016</v>
      </c>
      <c r="M1034" s="1077">
        <v>103</v>
      </c>
      <c r="N1034" s="1077" t="s">
        <v>945</v>
      </c>
      <c r="O1034" s="1077">
        <v>2.5750000000000002</v>
      </c>
      <c r="P1034" s="1077">
        <v>2.06</v>
      </c>
      <c r="Q1034" s="1077" t="s">
        <v>956</v>
      </c>
      <c r="R1034" s="1077">
        <v>23.5</v>
      </c>
      <c r="T1034" s="1077">
        <v>18.5</v>
      </c>
      <c r="U1034" s="1077">
        <v>2.1</v>
      </c>
      <c r="V1034" s="1077" t="s">
        <v>648</v>
      </c>
      <c r="W1034" s="1077" t="s">
        <v>648</v>
      </c>
      <c r="X1034" s="1077" t="s">
        <v>648</v>
      </c>
      <c r="Y1034" s="1077">
        <v>1.3</v>
      </c>
      <c r="Z1034" s="1077">
        <v>4</v>
      </c>
      <c r="AA1034" s="1077" t="s">
        <v>973</v>
      </c>
      <c r="AH1034" s="1077" t="s">
        <v>884</v>
      </c>
      <c r="AM1034" s="1078" t="s">
        <v>11088</v>
      </c>
      <c r="AN1034" s="1078" t="s">
        <v>11089</v>
      </c>
      <c r="AO1034" s="1078">
        <f t="shared" si="126"/>
        <v>800</v>
      </c>
      <c r="AP1034" s="1078">
        <f t="shared" si="127"/>
        <v>1.75</v>
      </c>
      <c r="AQ1034" s="1078" t="str">
        <f t="shared" si="128"/>
        <v>1-4-1S83°</v>
      </c>
      <c r="AR1034" s="1078" t="str">
        <f t="shared" si="129"/>
        <v>30.3</v>
      </c>
      <c r="AS1034" s="1078" t="str">
        <f t="shared" si="130"/>
        <v>342/292/159</v>
      </c>
      <c r="AT1034" s="1078" t="str">
        <f t="shared" si="131"/>
        <v>1-4-1S83°</v>
      </c>
      <c r="AV1034" s="1078" t="str">
        <f t="shared" si="132"/>
        <v>108.1.10</v>
      </c>
      <c r="AW1034" s="1344">
        <f t="shared" si="133"/>
        <v>43475</v>
      </c>
    </row>
    <row r="1035" spans="1:49">
      <c r="A1035" s="1077" t="s">
        <v>4017</v>
      </c>
      <c r="B1035" s="1077" t="s">
        <v>298</v>
      </c>
      <c r="C1035" s="1077">
        <v>800</v>
      </c>
      <c r="D1035" s="1077">
        <v>1.74</v>
      </c>
      <c r="E1035" s="1077" t="s">
        <v>15089</v>
      </c>
      <c r="F1035" s="1077" t="s">
        <v>4013</v>
      </c>
      <c r="G1035" s="1077" t="s">
        <v>1767</v>
      </c>
      <c r="H1035" s="1077" t="s">
        <v>4018</v>
      </c>
      <c r="I1035" s="1077" t="s">
        <v>648</v>
      </c>
      <c r="J1035" s="1077">
        <v>0</v>
      </c>
      <c r="K1035" s="1077" t="s">
        <v>4019</v>
      </c>
      <c r="L1035" s="1077" t="s">
        <v>4016</v>
      </c>
      <c r="M1035" s="1077">
        <v>103</v>
      </c>
      <c r="N1035" s="1077" t="s">
        <v>945</v>
      </c>
      <c r="O1035" s="1077">
        <v>2.5750000000000002</v>
      </c>
      <c r="P1035" s="1077">
        <v>2.06</v>
      </c>
      <c r="Q1035" s="1077" t="s">
        <v>956</v>
      </c>
      <c r="R1035" s="1077">
        <v>23.5</v>
      </c>
      <c r="T1035" s="1077">
        <v>18.5</v>
      </c>
      <c r="U1035" s="1077">
        <v>2.1</v>
      </c>
      <c r="V1035" s="1077" t="s">
        <v>648</v>
      </c>
      <c r="W1035" s="1077" t="s">
        <v>648</v>
      </c>
      <c r="X1035" s="1077" t="s">
        <v>648</v>
      </c>
      <c r="Y1035" s="1077">
        <v>1.3</v>
      </c>
      <c r="Z1035" s="1077">
        <v>4</v>
      </c>
      <c r="AA1035" s="1077" t="s">
        <v>2391</v>
      </c>
      <c r="AH1035" s="1077" t="s">
        <v>1448</v>
      </c>
      <c r="AM1035" s="1078" t="s">
        <v>11090</v>
      </c>
      <c r="AN1035" s="1078" t="s">
        <v>11091</v>
      </c>
      <c r="AO1035" s="1078">
        <f t="shared" ref="AO1035:AO1098" si="134">C1035</f>
        <v>800</v>
      </c>
      <c r="AP1035" s="1078">
        <f t="shared" ref="AP1035:AP1098" si="135">D1035</f>
        <v>1.74</v>
      </c>
      <c r="AQ1035" s="1078" t="str">
        <f t="shared" ref="AQ1035:AQ1098" si="136">E1035</f>
        <v>1-4-1S83°</v>
      </c>
      <c r="AR1035" s="1078" t="str">
        <f t="shared" ref="AR1035:AR1098" si="137">F1035</f>
        <v>30.3</v>
      </c>
      <c r="AS1035" s="1078" t="str">
        <f t="shared" ref="AS1035:AS1098" si="138">H1035</f>
        <v>342/292/157</v>
      </c>
      <c r="AT1035" s="1078" t="str">
        <f t="shared" ref="AT1035:AT1098" si="139">E1035</f>
        <v>1-4-1S83°</v>
      </c>
      <c r="AV1035" s="1078" t="str">
        <f t="shared" si="132"/>
        <v>108.1.17</v>
      </c>
      <c r="AW1035" s="1344">
        <f t="shared" si="133"/>
        <v>43482</v>
      </c>
    </row>
    <row r="1036" spans="1:49">
      <c r="A1036" s="1077" t="s">
        <v>4020</v>
      </c>
      <c r="B1036" s="1077" t="s">
        <v>298</v>
      </c>
      <c r="C1036" s="1077">
        <v>800</v>
      </c>
      <c r="D1036" s="1077">
        <v>1.74</v>
      </c>
      <c r="E1036" s="1077" t="s">
        <v>15089</v>
      </c>
      <c r="F1036" s="1077" t="s">
        <v>4013</v>
      </c>
      <c r="G1036" s="1077" t="s">
        <v>1767</v>
      </c>
      <c r="H1036" s="1077" t="s">
        <v>4021</v>
      </c>
      <c r="I1036" s="1077" t="s">
        <v>648</v>
      </c>
      <c r="J1036" s="1077">
        <v>0</v>
      </c>
      <c r="K1036" s="1077" t="s">
        <v>4019</v>
      </c>
      <c r="L1036" s="1077" t="s">
        <v>4016</v>
      </c>
      <c r="M1036" s="1077">
        <v>103</v>
      </c>
      <c r="N1036" s="1077" t="s">
        <v>945</v>
      </c>
      <c r="O1036" s="1077">
        <v>2.5750000000000002</v>
      </c>
      <c r="P1036" s="1077">
        <v>2.06</v>
      </c>
      <c r="Q1036" s="1077" t="s">
        <v>956</v>
      </c>
      <c r="R1036" s="1077">
        <v>23.5</v>
      </c>
      <c r="T1036" s="1077">
        <v>18.5</v>
      </c>
      <c r="U1036" s="1077">
        <v>2.1</v>
      </c>
      <c r="V1036" s="1077" t="s">
        <v>648</v>
      </c>
      <c r="W1036" s="1077" t="s">
        <v>648</v>
      </c>
      <c r="X1036" s="1077" t="s">
        <v>648</v>
      </c>
      <c r="Y1036" s="1077">
        <v>1.3</v>
      </c>
      <c r="Z1036" s="1077" t="s">
        <v>1192</v>
      </c>
      <c r="AA1036" s="1077" t="s">
        <v>4022</v>
      </c>
      <c r="AH1036" s="1077" t="s">
        <v>618</v>
      </c>
      <c r="AM1036" s="1078" t="s">
        <v>11092</v>
      </c>
      <c r="AN1036" s="1078" t="s">
        <v>11093</v>
      </c>
      <c r="AO1036" s="1078">
        <f t="shared" si="134"/>
        <v>800</v>
      </c>
      <c r="AP1036" s="1078">
        <f t="shared" si="135"/>
        <v>1.74</v>
      </c>
      <c r="AQ1036" s="1078" t="str">
        <f t="shared" si="136"/>
        <v>1-4-1S83°</v>
      </c>
      <c r="AR1036" s="1078" t="str">
        <f t="shared" si="137"/>
        <v>30.3</v>
      </c>
      <c r="AS1036" s="1078" t="str">
        <f t="shared" si="138"/>
        <v>343/293/157</v>
      </c>
      <c r="AT1036" s="1078" t="str">
        <f t="shared" si="139"/>
        <v>1-4-1S83°</v>
      </c>
      <c r="AV1036" s="1078" t="str">
        <f t="shared" si="132"/>
        <v>108.2.9</v>
      </c>
      <c r="AW1036" s="1344">
        <f t="shared" si="133"/>
        <v>43505</v>
      </c>
    </row>
    <row r="1037" spans="1:49">
      <c r="A1037" s="1077" t="s">
        <v>4023</v>
      </c>
      <c r="B1037" s="1077" t="s">
        <v>298</v>
      </c>
      <c r="C1037" s="1077">
        <v>800</v>
      </c>
      <c r="D1037" s="1077">
        <v>1.76</v>
      </c>
      <c r="E1037" s="1077" t="s">
        <v>15089</v>
      </c>
      <c r="F1037" s="1077" t="s">
        <v>4013</v>
      </c>
      <c r="G1037" s="1077" t="s">
        <v>1767</v>
      </c>
      <c r="H1037" s="1077" t="s">
        <v>4021</v>
      </c>
      <c r="I1037" s="1077" t="s">
        <v>648</v>
      </c>
      <c r="J1037" s="1077">
        <v>0</v>
      </c>
      <c r="K1037" s="1077" t="s">
        <v>4024</v>
      </c>
      <c r="L1037" s="1077" t="s">
        <v>4016</v>
      </c>
      <c r="M1037" s="1077">
        <v>103</v>
      </c>
      <c r="N1037" s="1077" t="s">
        <v>945</v>
      </c>
      <c r="O1037" s="1077">
        <v>2.5750000000000002</v>
      </c>
      <c r="P1037" s="1077">
        <v>2.06</v>
      </c>
      <c r="Q1037" s="1077" t="s">
        <v>956</v>
      </c>
      <c r="R1037" s="1077">
        <v>23.5</v>
      </c>
      <c r="T1037" s="1077">
        <v>18.5</v>
      </c>
      <c r="U1037" s="1077">
        <v>2.1</v>
      </c>
      <c r="V1037" s="1077" t="s">
        <v>648</v>
      </c>
      <c r="W1037" s="1077" t="s">
        <v>648</v>
      </c>
      <c r="X1037" s="1077" t="s">
        <v>648</v>
      </c>
      <c r="Y1037" s="1077">
        <v>1.3</v>
      </c>
      <c r="Z1037" s="1077" t="s">
        <v>1192</v>
      </c>
      <c r="AA1037" s="1077" t="s">
        <v>4025</v>
      </c>
      <c r="AH1037" s="1077" t="s">
        <v>482</v>
      </c>
      <c r="AM1037" s="1078" t="s">
        <v>11094</v>
      </c>
      <c r="AN1037" s="1078" t="s">
        <v>11095</v>
      </c>
      <c r="AO1037" s="1078">
        <f t="shared" si="134"/>
        <v>800</v>
      </c>
      <c r="AP1037" s="1078">
        <f t="shared" si="135"/>
        <v>1.76</v>
      </c>
      <c r="AQ1037" s="1078" t="str">
        <f t="shared" si="136"/>
        <v>1-4-1S83°</v>
      </c>
      <c r="AR1037" s="1078" t="str">
        <f t="shared" si="137"/>
        <v>30.3</v>
      </c>
      <c r="AS1037" s="1078" t="str">
        <f t="shared" si="138"/>
        <v>343/293/157</v>
      </c>
      <c r="AT1037" s="1078" t="str">
        <f t="shared" si="139"/>
        <v>1-4-1S83°</v>
      </c>
      <c r="AV1037" s="1078" t="str">
        <f t="shared" si="132"/>
        <v>108.3.14</v>
      </c>
      <c r="AW1037" s="1344">
        <f t="shared" si="133"/>
        <v>43538</v>
      </c>
    </row>
    <row r="1038" spans="1:49">
      <c r="A1038" s="1077" t="s">
        <v>4026</v>
      </c>
      <c r="B1038" s="1077" t="s">
        <v>298</v>
      </c>
      <c r="C1038" s="1077">
        <v>800</v>
      </c>
      <c r="D1038" s="1077">
        <v>1.76</v>
      </c>
      <c r="E1038" s="1077" t="s">
        <v>15089</v>
      </c>
      <c r="F1038" s="1077" t="s">
        <v>4013</v>
      </c>
      <c r="G1038" s="1077" t="s">
        <v>1767</v>
      </c>
      <c r="H1038" s="1077" t="s">
        <v>4021</v>
      </c>
      <c r="I1038" s="1077" t="s">
        <v>648</v>
      </c>
      <c r="J1038" s="1077">
        <v>0</v>
      </c>
      <c r="K1038" s="1077" t="s">
        <v>4024</v>
      </c>
      <c r="L1038" s="1077" t="s">
        <v>4016</v>
      </c>
      <c r="M1038" s="1077">
        <v>103</v>
      </c>
      <c r="N1038" s="1077" t="s">
        <v>945</v>
      </c>
      <c r="O1038" s="1077">
        <v>2.5750000000000002</v>
      </c>
      <c r="P1038" s="1077">
        <v>2.06</v>
      </c>
      <c r="Q1038" s="1077" t="s">
        <v>956</v>
      </c>
      <c r="R1038" s="1077">
        <v>23.5</v>
      </c>
      <c r="T1038" s="1077">
        <v>18.5</v>
      </c>
      <c r="U1038" s="1077">
        <v>2.1</v>
      </c>
      <c r="V1038" s="1077" t="s">
        <v>648</v>
      </c>
      <c r="W1038" s="1077" t="s">
        <v>648</v>
      </c>
      <c r="X1038" s="1077" t="s">
        <v>648</v>
      </c>
      <c r="Y1038" s="1077">
        <v>1.3</v>
      </c>
      <c r="Z1038" s="1077" t="s">
        <v>1192</v>
      </c>
      <c r="AA1038" s="1077" t="s">
        <v>2572</v>
      </c>
      <c r="AH1038" s="1077" t="s">
        <v>1796</v>
      </c>
      <c r="AM1038" s="1078" t="s">
        <v>11096</v>
      </c>
      <c r="AN1038" s="1078" t="s">
        <v>11097</v>
      </c>
      <c r="AO1038" s="1078">
        <f t="shared" si="134"/>
        <v>800</v>
      </c>
      <c r="AP1038" s="1078">
        <f t="shared" si="135"/>
        <v>1.76</v>
      </c>
      <c r="AQ1038" s="1078" t="str">
        <f t="shared" si="136"/>
        <v>1-4-1S83°</v>
      </c>
      <c r="AR1038" s="1078" t="str">
        <f t="shared" si="137"/>
        <v>30.3</v>
      </c>
      <c r="AS1038" s="1078" t="str">
        <f t="shared" si="138"/>
        <v>343/293/157</v>
      </c>
      <c r="AT1038" s="1078" t="str">
        <f t="shared" si="139"/>
        <v>1-4-1S83°</v>
      </c>
      <c r="AV1038" s="1078" t="str">
        <f t="shared" si="132"/>
        <v>108.3.18</v>
      </c>
      <c r="AW1038" s="1344">
        <f t="shared" si="133"/>
        <v>43542</v>
      </c>
    </row>
    <row r="1039" spans="1:49">
      <c r="A1039" s="1077" t="s">
        <v>4027</v>
      </c>
      <c r="B1039" s="1077" t="s">
        <v>298</v>
      </c>
      <c r="C1039" s="1077">
        <v>800</v>
      </c>
      <c r="D1039" s="1077">
        <v>1.74</v>
      </c>
      <c r="E1039" s="1077" t="s">
        <v>15089</v>
      </c>
      <c r="F1039" s="1077" t="s">
        <v>4013</v>
      </c>
      <c r="G1039" s="1077" t="s">
        <v>1767</v>
      </c>
      <c r="H1039" s="1077" t="s">
        <v>4018</v>
      </c>
      <c r="I1039" s="1077" t="s">
        <v>648</v>
      </c>
      <c r="J1039" s="1077">
        <v>0</v>
      </c>
      <c r="K1039" s="1077" t="s">
        <v>4028</v>
      </c>
      <c r="L1039" s="1077" t="s">
        <v>4029</v>
      </c>
      <c r="M1039" s="1077">
        <v>103</v>
      </c>
      <c r="N1039" s="1077" t="s">
        <v>945</v>
      </c>
      <c r="O1039" s="1077">
        <v>2.5750000000000002</v>
      </c>
      <c r="P1039" s="1077">
        <v>2.06</v>
      </c>
      <c r="Q1039" s="1077" t="s">
        <v>946</v>
      </c>
      <c r="R1039" s="1077">
        <v>23.5</v>
      </c>
      <c r="T1039" s="1077">
        <v>18.5</v>
      </c>
      <c r="U1039" s="1077">
        <v>2.1</v>
      </c>
      <c r="V1039" s="1077" t="s">
        <v>648</v>
      </c>
      <c r="W1039" s="1077" t="s">
        <v>648</v>
      </c>
      <c r="X1039" s="1077" t="s">
        <v>648</v>
      </c>
      <c r="Y1039" s="1077">
        <v>1.3</v>
      </c>
      <c r="Z1039" s="1077">
        <v>4</v>
      </c>
      <c r="AA1039" s="1077" t="s">
        <v>4030</v>
      </c>
      <c r="AH1039" s="1077" t="s">
        <v>878</v>
      </c>
      <c r="AM1039" s="1078" t="s">
        <v>11098</v>
      </c>
      <c r="AN1039" s="1078" t="s">
        <v>11099</v>
      </c>
      <c r="AO1039" s="1078">
        <f t="shared" si="134"/>
        <v>800</v>
      </c>
      <c r="AP1039" s="1078">
        <f t="shared" si="135"/>
        <v>1.74</v>
      </c>
      <c r="AQ1039" s="1078" t="str">
        <f t="shared" si="136"/>
        <v>1-4-1S83°</v>
      </c>
      <c r="AR1039" s="1078" t="str">
        <f t="shared" si="137"/>
        <v>30.3</v>
      </c>
      <c r="AS1039" s="1078" t="str">
        <f t="shared" si="138"/>
        <v>342/292/157</v>
      </c>
      <c r="AT1039" s="1078" t="str">
        <f t="shared" si="139"/>
        <v>1-4-1S83°</v>
      </c>
      <c r="AV1039" s="1078" t="str">
        <f t="shared" si="132"/>
        <v>109.1.2</v>
      </c>
      <c r="AW1039" s="1344">
        <f t="shared" si="133"/>
        <v>43832</v>
      </c>
    </row>
    <row r="1040" spans="1:49">
      <c r="A1040" s="1077" t="s">
        <v>4031</v>
      </c>
      <c r="B1040" s="1077" t="s">
        <v>298</v>
      </c>
      <c r="C1040" s="1077">
        <v>800</v>
      </c>
      <c r="D1040" s="1077">
        <v>1.74</v>
      </c>
      <c r="E1040" s="1077" t="s">
        <v>15089</v>
      </c>
      <c r="F1040" s="1077" t="s">
        <v>954</v>
      </c>
      <c r="G1040" s="1077" t="s">
        <v>1767</v>
      </c>
      <c r="H1040" s="1077" t="s">
        <v>4032</v>
      </c>
      <c r="I1040" s="1077" t="s">
        <v>126</v>
      </c>
      <c r="J1040" s="1077">
        <v>1.8</v>
      </c>
      <c r="K1040" s="1077" t="s">
        <v>4033</v>
      </c>
      <c r="L1040" s="1077" t="s">
        <v>4029</v>
      </c>
      <c r="M1040" s="1077">
        <v>103.2</v>
      </c>
      <c r="N1040" s="1077" t="s">
        <v>945</v>
      </c>
      <c r="O1040" s="1077">
        <v>2.58</v>
      </c>
      <c r="P1040" s="1077">
        <v>2.0640000000000001</v>
      </c>
      <c r="Q1040" s="1077" t="s">
        <v>961</v>
      </c>
      <c r="R1040" s="1077">
        <v>19.5</v>
      </c>
      <c r="T1040" s="1077">
        <v>27.3</v>
      </c>
      <c r="U1040" s="1077">
        <v>4</v>
      </c>
      <c r="V1040" s="1077" t="s">
        <v>648</v>
      </c>
      <c r="W1040" s="1077">
        <v>120</v>
      </c>
      <c r="X1040" s="1077" t="s">
        <v>2395</v>
      </c>
      <c r="Y1040" s="1077">
        <v>1.7</v>
      </c>
      <c r="Z1040" s="1077">
        <v>6</v>
      </c>
      <c r="AA1040" s="1077" t="s">
        <v>2499</v>
      </c>
      <c r="AB1040" s="1077" t="s">
        <v>981</v>
      </c>
      <c r="AH1040" s="1077" t="s">
        <v>963</v>
      </c>
      <c r="AM1040" s="1078" t="s">
        <v>11100</v>
      </c>
      <c r="AN1040" s="1078" t="s">
        <v>11101</v>
      </c>
      <c r="AO1040" s="1078">
        <f t="shared" si="134"/>
        <v>800</v>
      </c>
      <c r="AP1040" s="1078">
        <f t="shared" si="135"/>
        <v>1.74</v>
      </c>
      <c r="AQ1040" s="1078" t="str">
        <f t="shared" si="136"/>
        <v>1-4-1S83°</v>
      </c>
      <c r="AR1040" s="1078" t="str">
        <f t="shared" si="137"/>
        <v>31</v>
      </c>
      <c r="AS1040" s="1078" t="str">
        <f t="shared" si="138"/>
        <v>335/285/OFF</v>
      </c>
      <c r="AT1040" s="1078" t="str">
        <f t="shared" si="139"/>
        <v>1-4-1S83°</v>
      </c>
      <c r="AV1040" s="1078" t="str">
        <f t="shared" si="132"/>
        <v>109.1.15</v>
      </c>
      <c r="AW1040" s="1344">
        <f t="shared" si="133"/>
        <v>43845</v>
      </c>
    </row>
    <row r="1041" spans="1:49">
      <c r="A1041" s="1077" t="s">
        <v>4034</v>
      </c>
      <c r="B1041" s="1077" t="s">
        <v>298</v>
      </c>
      <c r="C1041" s="1077">
        <v>700</v>
      </c>
      <c r="D1041" s="1077">
        <v>1.73</v>
      </c>
      <c r="E1041" s="1077" t="s">
        <v>15089</v>
      </c>
      <c r="F1041" s="1077" t="s">
        <v>954</v>
      </c>
      <c r="G1041" s="1077" t="s">
        <v>1767</v>
      </c>
      <c r="H1041" s="1077" t="s">
        <v>4035</v>
      </c>
      <c r="I1041" s="1077" t="s">
        <v>126</v>
      </c>
      <c r="J1041" s="1077">
        <v>1.8</v>
      </c>
      <c r="K1041" s="1077" t="s">
        <v>4036</v>
      </c>
      <c r="L1041" s="1077" t="s">
        <v>4029</v>
      </c>
      <c r="M1041" s="1077">
        <v>103.2</v>
      </c>
      <c r="N1041" s="1077" t="s">
        <v>945</v>
      </c>
      <c r="O1041" s="1077">
        <v>2.58</v>
      </c>
      <c r="P1041" s="1077">
        <v>2.0640000000000001</v>
      </c>
      <c r="Q1041" s="1077" t="s">
        <v>1037</v>
      </c>
      <c r="R1041" s="1077">
        <v>19.5</v>
      </c>
      <c r="T1041" s="1077">
        <v>27.3</v>
      </c>
      <c r="U1041" s="1077">
        <v>4</v>
      </c>
      <c r="V1041" s="1077" t="s">
        <v>648</v>
      </c>
      <c r="W1041" s="1077">
        <v>120</v>
      </c>
      <c r="X1041" s="1077" t="s">
        <v>2395</v>
      </c>
      <c r="Y1041" s="1077">
        <v>1.7</v>
      </c>
      <c r="Z1041" s="1077">
        <v>6</v>
      </c>
      <c r="AA1041" s="1077" t="s">
        <v>4037</v>
      </c>
      <c r="AB1041" s="1077" t="s">
        <v>981</v>
      </c>
      <c r="AH1041" s="1077" t="s">
        <v>618</v>
      </c>
      <c r="AM1041" s="1078" t="s">
        <v>11102</v>
      </c>
      <c r="AN1041" s="1078" t="s">
        <v>11103</v>
      </c>
      <c r="AO1041" s="1078">
        <f t="shared" si="134"/>
        <v>700</v>
      </c>
      <c r="AP1041" s="1078">
        <f t="shared" si="135"/>
        <v>1.73</v>
      </c>
      <c r="AQ1041" s="1078" t="str">
        <f t="shared" si="136"/>
        <v>1-4-1S83°</v>
      </c>
      <c r="AR1041" s="1078" t="str">
        <f t="shared" si="137"/>
        <v>31</v>
      </c>
      <c r="AS1041" s="1078" t="str">
        <f t="shared" si="138"/>
        <v>320/270/OFF</v>
      </c>
      <c r="AT1041" s="1078" t="str">
        <f t="shared" si="139"/>
        <v>1-4-1S83°</v>
      </c>
      <c r="AV1041" s="1078" t="str">
        <f t="shared" si="132"/>
        <v>109.3.17</v>
      </c>
      <c r="AW1041" s="1344">
        <f t="shared" si="133"/>
        <v>43907</v>
      </c>
    </row>
    <row r="1042" spans="1:49">
      <c r="A1042" s="1077" t="s">
        <v>4038</v>
      </c>
      <c r="B1042" s="1077" t="s">
        <v>298</v>
      </c>
      <c r="C1042" s="1077">
        <v>800</v>
      </c>
      <c r="D1042" s="1077">
        <v>1.74</v>
      </c>
      <c r="E1042" s="1077" t="s">
        <v>15089</v>
      </c>
      <c r="F1042" s="1077" t="s">
        <v>4013</v>
      </c>
      <c r="G1042" s="1077" t="s">
        <v>1767</v>
      </c>
      <c r="H1042" s="1077" t="s">
        <v>4018</v>
      </c>
      <c r="I1042" s="1077" t="s">
        <v>648</v>
      </c>
      <c r="J1042" s="1077">
        <v>0</v>
      </c>
      <c r="K1042" s="1077" t="s">
        <v>4039</v>
      </c>
      <c r="L1042" s="1077" t="s">
        <v>4029</v>
      </c>
      <c r="M1042" s="1077">
        <v>103</v>
      </c>
      <c r="N1042" s="1077" t="s">
        <v>945</v>
      </c>
      <c r="O1042" s="1077">
        <v>2.5750000000000002</v>
      </c>
      <c r="P1042" s="1077">
        <v>2.06</v>
      </c>
      <c r="Q1042" s="1077" t="s">
        <v>979</v>
      </c>
      <c r="R1042" s="1077">
        <v>23.5</v>
      </c>
      <c r="T1042" s="1077">
        <v>18.5</v>
      </c>
      <c r="U1042" s="1077">
        <v>2.1</v>
      </c>
      <c r="V1042" s="1077" t="s">
        <v>648</v>
      </c>
      <c r="W1042" s="1077" t="s">
        <v>648</v>
      </c>
      <c r="X1042" s="1077" t="s">
        <v>648</v>
      </c>
      <c r="Y1042" s="1077">
        <v>1.3</v>
      </c>
      <c r="Z1042" s="1077" t="s">
        <v>1200</v>
      </c>
      <c r="AA1042" s="1077" t="s">
        <v>4040</v>
      </c>
      <c r="AH1042" s="1077" t="s">
        <v>1448</v>
      </c>
      <c r="AM1042" s="1078" t="s">
        <v>11104</v>
      </c>
      <c r="AN1042" s="1078" t="s">
        <v>11105</v>
      </c>
      <c r="AO1042" s="1078">
        <f t="shared" si="134"/>
        <v>800</v>
      </c>
      <c r="AP1042" s="1078">
        <f t="shared" si="135"/>
        <v>1.74</v>
      </c>
      <c r="AQ1042" s="1078" t="str">
        <f t="shared" si="136"/>
        <v>1-4-1S83°</v>
      </c>
      <c r="AR1042" s="1078" t="str">
        <f t="shared" si="137"/>
        <v>30.3</v>
      </c>
      <c r="AS1042" s="1078" t="str">
        <f t="shared" si="138"/>
        <v>342/292/157</v>
      </c>
      <c r="AT1042" s="1078" t="str">
        <f t="shared" si="139"/>
        <v>1-4-1S83°</v>
      </c>
      <c r="AV1042" s="1078" t="str">
        <f t="shared" si="132"/>
        <v>109.3.25</v>
      </c>
      <c r="AW1042" s="1344">
        <f t="shared" si="133"/>
        <v>43915</v>
      </c>
    </row>
    <row r="1043" spans="1:49">
      <c r="A1043" s="1077" t="s">
        <v>4041</v>
      </c>
      <c r="B1043" s="1077" t="s">
        <v>298</v>
      </c>
      <c r="C1043" s="1077">
        <v>700</v>
      </c>
      <c r="D1043" s="1077">
        <v>1.73</v>
      </c>
      <c r="E1043" s="1077" t="s">
        <v>15089</v>
      </c>
      <c r="F1043" s="1077" t="s">
        <v>954</v>
      </c>
      <c r="G1043" s="1077" t="s">
        <v>1767</v>
      </c>
      <c r="H1043" s="1077" t="s">
        <v>4035</v>
      </c>
      <c r="I1043" s="1077" t="s">
        <v>126</v>
      </c>
      <c r="J1043" s="1077">
        <v>1.8</v>
      </c>
      <c r="K1043" s="1077" t="s">
        <v>4039</v>
      </c>
      <c r="L1043" s="1077" t="s">
        <v>4029</v>
      </c>
      <c r="M1043" s="1077">
        <v>103.2</v>
      </c>
      <c r="N1043" s="1077" t="s">
        <v>945</v>
      </c>
      <c r="O1043" s="1077">
        <v>2.58</v>
      </c>
      <c r="P1043" s="1077">
        <v>2.0640000000000001</v>
      </c>
      <c r="Q1043" s="1077" t="s">
        <v>961</v>
      </c>
      <c r="R1043" s="1077">
        <v>19.5</v>
      </c>
      <c r="T1043" s="1077">
        <v>27.3</v>
      </c>
      <c r="U1043" s="1077">
        <v>4</v>
      </c>
      <c r="V1043" s="1077" t="s">
        <v>648</v>
      </c>
      <c r="W1043" s="1077">
        <v>120</v>
      </c>
      <c r="X1043" s="1077" t="s">
        <v>2395</v>
      </c>
      <c r="Y1043" s="1077">
        <v>1.7</v>
      </c>
      <c r="Z1043" s="1077">
        <v>6</v>
      </c>
      <c r="AA1043" s="1077" t="s">
        <v>4042</v>
      </c>
      <c r="AH1043" s="1077" t="s">
        <v>622</v>
      </c>
      <c r="AM1043" s="1078" t="s">
        <v>11106</v>
      </c>
      <c r="AN1043" s="1078" t="s">
        <v>11107</v>
      </c>
      <c r="AO1043" s="1078">
        <f t="shared" si="134"/>
        <v>700</v>
      </c>
      <c r="AP1043" s="1078">
        <f t="shared" si="135"/>
        <v>1.73</v>
      </c>
      <c r="AQ1043" s="1078" t="str">
        <f t="shared" si="136"/>
        <v>1-4-1S83°</v>
      </c>
      <c r="AR1043" s="1078" t="str">
        <f t="shared" si="137"/>
        <v>31</v>
      </c>
      <c r="AS1043" s="1078" t="str">
        <f t="shared" si="138"/>
        <v>320/270/OFF</v>
      </c>
      <c r="AT1043" s="1078" t="str">
        <f t="shared" si="139"/>
        <v>1-4-1S83°</v>
      </c>
      <c r="AV1043" s="1078" t="str">
        <f t="shared" si="132"/>
        <v>109.5.14</v>
      </c>
      <c r="AW1043" s="1344">
        <f t="shared" si="133"/>
        <v>43965</v>
      </c>
    </row>
    <row r="1044" spans="1:49">
      <c r="A1044" s="1077" t="s">
        <v>4043</v>
      </c>
      <c r="B1044" s="1077" t="s">
        <v>4044</v>
      </c>
      <c r="C1044" s="1077">
        <v>600</v>
      </c>
      <c r="D1044" s="1077">
        <v>1.76</v>
      </c>
      <c r="E1044" s="1077" t="s">
        <v>15102</v>
      </c>
      <c r="F1044" s="1077" t="s">
        <v>1469</v>
      </c>
      <c r="G1044" s="1077">
        <v>5</v>
      </c>
      <c r="H1044" s="1077" t="s">
        <v>4045</v>
      </c>
      <c r="I1044" s="1077" t="s">
        <v>460</v>
      </c>
      <c r="J1044" s="1077">
        <v>2.9</v>
      </c>
      <c r="K1044" s="1077" t="s">
        <v>4046</v>
      </c>
      <c r="L1044" s="1077" t="s">
        <v>4047</v>
      </c>
      <c r="M1044" s="1077">
        <v>102.5</v>
      </c>
      <c r="N1044" s="1077" t="s">
        <v>945</v>
      </c>
      <c r="O1044" s="1077">
        <v>2.5625</v>
      </c>
      <c r="P1044" s="1077">
        <v>2.0499999999999998</v>
      </c>
      <c r="Q1044" s="1077" t="s">
        <v>4048</v>
      </c>
      <c r="R1044" s="1077">
        <v>22.5</v>
      </c>
      <c r="T1044" s="1077">
        <v>21.1</v>
      </c>
      <c r="U1044" s="1077">
        <v>2.4</v>
      </c>
      <c r="V1044" s="1077" t="s">
        <v>648</v>
      </c>
      <c r="W1044" s="1077">
        <v>105</v>
      </c>
      <c r="X1044" s="1077">
        <v>90</v>
      </c>
      <c r="Y1044" s="1077">
        <v>1.8</v>
      </c>
      <c r="Z1044" s="1077" t="s">
        <v>2488</v>
      </c>
      <c r="AA1044" s="1077" t="s">
        <v>2699</v>
      </c>
      <c r="AH1044" s="1077" t="s">
        <v>1827</v>
      </c>
      <c r="AM1044" s="1078" t="s">
        <v>11108</v>
      </c>
      <c r="AN1044" s="1078" t="s">
        <v>11109</v>
      </c>
      <c r="AO1044" s="1078">
        <f t="shared" si="134"/>
        <v>600</v>
      </c>
      <c r="AP1044" s="1078">
        <f t="shared" si="135"/>
        <v>1.76</v>
      </c>
      <c r="AQ1044" s="1078" t="str">
        <f t="shared" si="136"/>
        <v>2-6-1S83°</v>
      </c>
      <c r="AR1044" s="1078" t="str">
        <f t="shared" si="137"/>
        <v>30.5</v>
      </c>
      <c r="AS1044" s="1078" t="str">
        <f t="shared" si="138"/>
        <v>190/165</v>
      </c>
      <c r="AT1044" s="1078" t="str">
        <f t="shared" si="139"/>
        <v>2-6-1S83°</v>
      </c>
      <c r="AV1044" s="1078" t="str">
        <f t="shared" si="132"/>
        <v>108.7.16</v>
      </c>
      <c r="AW1044" s="1344">
        <f t="shared" si="133"/>
        <v>43662</v>
      </c>
    </row>
    <row r="1045" spans="1:49">
      <c r="A1045" s="1077" t="s">
        <v>4049</v>
      </c>
      <c r="B1045" s="1077" t="s">
        <v>298</v>
      </c>
      <c r="C1045" s="1077">
        <v>800</v>
      </c>
      <c r="D1045" s="1077">
        <v>1.76</v>
      </c>
      <c r="E1045" s="1077" t="s">
        <v>15089</v>
      </c>
      <c r="F1045" s="1077" t="s">
        <v>4013</v>
      </c>
      <c r="G1045" s="1077" t="s">
        <v>1767</v>
      </c>
      <c r="H1045" s="1077" t="s">
        <v>4018</v>
      </c>
      <c r="I1045" s="1077" t="s">
        <v>648</v>
      </c>
      <c r="J1045" s="1077">
        <v>0</v>
      </c>
      <c r="K1045" s="1077" t="s">
        <v>4050</v>
      </c>
      <c r="L1045" s="1077" t="s">
        <v>4016</v>
      </c>
      <c r="M1045" s="1077">
        <v>103</v>
      </c>
      <c r="N1045" s="1077" t="s">
        <v>945</v>
      </c>
      <c r="O1045" s="1077">
        <v>2.5750000000000002</v>
      </c>
      <c r="P1045" s="1077">
        <v>2.06</v>
      </c>
      <c r="Q1045" s="1077" t="s">
        <v>956</v>
      </c>
      <c r="R1045" s="1077">
        <v>23.5</v>
      </c>
      <c r="T1045" s="1077">
        <v>18.5</v>
      </c>
      <c r="U1045" s="1077">
        <v>2.1</v>
      </c>
      <c r="V1045" s="1077" t="s">
        <v>648</v>
      </c>
      <c r="W1045" s="1077" t="s">
        <v>648</v>
      </c>
      <c r="X1045" s="1077" t="s">
        <v>648</v>
      </c>
      <c r="Y1045" s="1077">
        <v>1.3</v>
      </c>
      <c r="Z1045" s="1077" t="s">
        <v>2824</v>
      </c>
      <c r="AA1045" s="1077" t="s">
        <v>2703</v>
      </c>
      <c r="AH1045" s="1077" t="s">
        <v>618</v>
      </c>
      <c r="AM1045" s="1078" t="s">
        <v>11110</v>
      </c>
      <c r="AN1045" s="1078" t="s">
        <v>11111</v>
      </c>
      <c r="AO1045" s="1078">
        <f t="shared" si="134"/>
        <v>800</v>
      </c>
      <c r="AP1045" s="1078">
        <f t="shared" si="135"/>
        <v>1.76</v>
      </c>
      <c r="AQ1045" s="1078" t="str">
        <f t="shared" si="136"/>
        <v>1-4-1S83°</v>
      </c>
      <c r="AR1045" s="1078" t="str">
        <f t="shared" si="137"/>
        <v>30.3</v>
      </c>
      <c r="AS1045" s="1078" t="str">
        <f t="shared" si="138"/>
        <v>342/292/157</v>
      </c>
      <c r="AT1045" s="1078" t="str">
        <f t="shared" si="139"/>
        <v>1-4-1S83°</v>
      </c>
      <c r="AV1045" s="1078" t="str">
        <f t="shared" si="132"/>
        <v>108.7.18</v>
      </c>
      <c r="AW1045" s="1344">
        <f t="shared" si="133"/>
        <v>43664</v>
      </c>
    </row>
    <row r="1046" spans="1:49">
      <c r="A1046" s="1077" t="s">
        <v>4051</v>
      </c>
      <c r="B1046" s="1077" t="s">
        <v>4052</v>
      </c>
      <c r="C1046" s="1077">
        <v>600</v>
      </c>
      <c r="D1046" s="1077">
        <v>1.75</v>
      </c>
      <c r="E1046" s="1077" t="s">
        <v>15104</v>
      </c>
      <c r="F1046" s="1077" t="s">
        <v>648</v>
      </c>
      <c r="G1046" s="1077">
        <v>4</v>
      </c>
      <c r="H1046" s="1077" t="s">
        <v>1188</v>
      </c>
      <c r="I1046" s="1077" t="s">
        <v>126</v>
      </c>
      <c r="J1046" s="1077">
        <v>1.1000000000000001</v>
      </c>
      <c r="K1046" s="1077" t="s">
        <v>4053</v>
      </c>
      <c r="L1046" s="1077" t="s">
        <v>987</v>
      </c>
      <c r="M1046" s="1077">
        <v>99</v>
      </c>
      <c r="N1046" s="1077" t="s">
        <v>945</v>
      </c>
      <c r="O1046" s="1077">
        <v>2.4750000000000001</v>
      </c>
      <c r="P1046" s="1077">
        <v>1.98</v>
      </c>
      <c r="Q1046" s="1077" t="s">
        <v>2434</v>
      </c>
      <c r="R1046" s="1077">
        <v>23</v>
      </c>
      <c r="T1046" s="1077">
        <v>16</v>
      </c>
      <c r="U1046" s="1077">
        <v>3.6</v>
      </c>
      <c r="V1046" s="1077" t="s">
        <v>648</v>
      </c>
      <c r="W1046" s="1077">
        <v>120</v>
      </c>
      <c r="X1046" s="1077" t="s">
        <v>4054</v>
      </c>
      <c r="Y1046" s="1077">
        <v>2.5</v>
      </c>
      <c r="Z1046" s="1077" t="s">
        <v>648</v>
      </c>
      <c r="AA1046" s="1077" t="s">
        <v>1152</v>
      </c>
      <c r="AB1046" s="1077" t="s">
        <v>981</v>
      </c>
      <c r="AH1046" s="1077" t="s">
        <v>1417</v>
      </c>
      <c r="AM1046" s="1078" t="s">
        <v>11112</v>
      </c>
      <c r="AN1046" s="1078" t="s">
        <v>11113</v>
      </c>
      <c r="AO1046" s="1078">
        <f t="shared" si="134"/>
        <v>600</v>
      </c>
      <c r="AP1046" s="1078">
        <f t="shared" si="135"/>
        <v>1.75</v>
      </c>
      <c r="AQ1046" s="1078" t="str">
        <f t="shared" si="136"/>
        <v>1-4-1S85°Z+S</v>
      </c>
      <c r="AR1046" s="1078" t="str">
        <f t="shared" si="137"/>
        <v>NA</v>
      </c>
      <c r="AS1046" s="1078" t="str">
        <f t="shared" si="138"/>
        <v>177/OFF</v>
      </c>
      <c r="AT1046" s="1078" t="str">
        <f t="shared" si="139"/>
        <v>1-4-1S85°Z+S</v>
      </c>
      <c r="AU1046" s="1078" t="s">
        <v>15547</v>
      </c>
      <c r="AV1046" s="1078" t="str">
        <f t="shared" si="132"/>
        <v>108.8.5</v>
      </c>
      <c r="AW1046" s="1344">
        <f t="shared" si="133"/>
        <v>43682</v>
      </c>
    </row>
    <row r="1047" spans="1:49">
      <c r="A1047" s="1077" t="s">
        <v>4055</v>
      </c>
      <c r="B1047" s="1077" t="s">
        <v>4052</v>
      </c>
      <c r="C1047" s="1077">
        <v>650</v>
      </c>
      <c r="D1047" s="1077">
        <v>1.75</v>
      </c>
      <c r="E1047" s="1077" t="s">
        <v>15104</v>
      </c>
      <c r="F1047" s="1077" t="s">
        <v>648</v>
      </c>
      <c r="G1047" s="1077">
        <v>4</v>
      </c>
      <c r="H1047" s="1077" t="s">
        <v>1680</v>
      </c>
      <c r="I1047" s="1077" t="s">
        <v>126</v>
      </c>
      <c r="J1047" s="1077">
        <v>1.1000000000000001</v>
      </c>
      <c r="K1047" s="1077" t="s">
        <v>4053</v>
      </c>
      <c r="L1047" s="1077" t="s">
        <v>987</v>
      </c>
      <c r="M1047" s="1077">
        <v>99</v>
      </c>
      <c r="N1047" s="1077" t="s">
        <v>945</v>
      </c>
      <c r="O1047" s="1077">
        <v>2.4750000000000001</v>
      </c>
      <c r="P1047" s="1077">
        <v>1.98</v>
      </c>
      <c r="Q1047" s="1077" t="s">
        <v>2434</v>
      </c>
      <c r="R1047" s="1077">
        <v>23</v>
      </c>
      <c r="T1047" s="1077">
        <v>16</v>
      </c>
      <c r="U1047" s="1077">
        <v>3.6</v>
      </c>
      <c r="V1047" s="1077" t="s">
        <v>648</v>
      </c>
      <c r="W1047" s="1077">
        <v>120</v>
      </c>
      <c r="X1047" s="1077" t="s">
        <v>4054</v>
      </c>
      <c r="Y1047" s="1077">
        <v>2.5</v>
      </c>
      <c r="Z1047" s="1077" t="s">
        <v>648</v>
      </c>
      <c r="AA1047" s="1077" t="s">
        <v>4056</v>
      </c>
      <c r="AB1047" s="1077" t="s">
        <v>981</v>
      </c>
      <c r="AH1047" s="1077" t="s">
        <v>1053</v>
      </c>
      <c r="AM1047" s="1078" t="s">
        <v>11114</v>
      </c>
      <c r="AN1047" s="1078" t="s">
        <v>11115</v>
      </c>
      <c r="AO1047" s="1078">
        <f t="shared" si="134"/>
        <v>650</v>
      </c>
      <c r="AP1047" s="1078">
        <f t="shared" si="135"/>
        <v>1.75</v>
      </c>
      <c r="AQ1047" s="1078" t="str">
        <f t="shared" si="136"/>
        <v>1-4-1S85°Z+S</v>
      </c>
      <c r="AR1047" s="1078" t="str">
        <f t="shared" si="137"/>
        <v>NA</v>
      </c>
      <c r="AS1047" s="1078" t="str">
        <f t="shared" si="138"/>
        <v>171/OFF</v>
      </c>
      <c r="AT1047" s="1078" t="str">
        <f t="shared" si="139"/>
        <v>1-4-1S85°Z+S</v>
      </c>
      <c r="AU1047" s="1078" t="s">
        <v>15547</v>
      </c>
      <c r="AV1047" s="1078" t="str">
        <f t="shared" si="132"/>
        <v>108.7.30</v>
      </c>
      <c r="AW1047" s="1344">
        <f t="shared" si="133"/>
        <v>43676</v>
      </c>
    </row>
    <row r="1048" spans="1:49">
      <c r="A1048" s="1077" t="s">
        <v>4057</v>
      </c>
      <c r="B1048" s="1077" t="s">
        <v>4052</v>
      </c>
      <c r="C1048" s="1077">
        <v>650</v>
      </c>
      <c r="D1048" s="1077">
        <v>1.76</v>
      </c>
      <c r="E1048" s="1077" t="s">
        <v>15104</v>
      </c>
      <c r="F1048" s="1077" t="s">
        <v>648</v>
      </c>
      <c r="G1048" s="1077">
        <v>4</v>
      </c>
      <c r="H1048" s="1077" t="s">
        <v>1188</v>
      </c>
      <c r="I1048" s="1077" t="s">
        <v>126</v>
      </c>
      <c r="J1048" s="1077">
        <v>1.1000000000000001</v>
      </c>
      <c r="K1048" s="1077" t="s">
        <v>4058</v>
      </c>
      <c r="L1048" s="1077" t="s">
        <v>987</v>
      </c>
      <c r="M1048" s="1077">
        <v>99</v>
      </c>
      <c r="N1048" s="1077" t="s">
        <v>945</v>
      </c>
      <c r="O1048" s="1077">
        <v>2.4750000000000001</v>
      </c>
      <c r="P1048" s="1077">
        <v>1.98</v>
      </c>
      <c r="Q1048" s="1077" t="s">
        <v>2434</v>
      </c>
      <c r="R1048" s="1077">
        <v>23</v>
      </c>
      <c r="T1048" s="1077">
        <v>16</v>
      </c>
      <c r="U1048" s="1077">
        <v>3.6</v>
      </c>
      <c r="V1048" s="1077" t="s">
        <v>648</v>
      </c>
      <c r="W1048" s="1077">
        <v>120</v>
      </c>
      <c r="X1048" s="1077" t="s">
        <v>4054</v>
      </c>
      <c r="Y1048" s="1077">
        <v>2.5</v>
      </c>
      <c r="Z1048" s="1077" t="s">
        <v>648</v>
      </c>
      <c r="AA1048" s="1077" t="s">
        <v>1161</v>
      </c>
      <c r="AB1048" s="1077" t="s">
        <v>981</v>
      </c>
      <c r="AH1048" s="1077" t="s">
        <v>782</v>
      </c>
      <c r="AM1048" s="1078" t="s">
        <v>11116</v>
      </c>
      <c r="AN1048" s="1078" t="s">
        <v>11117</v>
      </c>
      <c r="AO1048" s="1078">
        <f t="shared" si="134"/>
        <v>650</v>
      </c>
      <c r="AP1048" s="1078">
        <f t="shared" si="135"/>
        <v>1.76</v>
      </c>
      <c r="AQ1048" s="1078" t="str">
        <f t="shared" si="136"/>
        <v>1-4-1S85°Z+S</v>
      </c>
      <c r="AR1048" s="1078" t="str">
        <f t="shared" si="137"/>
        <v>NA</v>
      </c>
      <c r="AS1048" s="1078" t="str">
        <f t="shared" si="138"/>
        <v>177/OFF</v>
      </c>
      <c r="AT1048" s="1078" t="str">
        <f t="shared" si="139"/>
        <v>1-4-1S85°Z+S</v>
      </c>
      <c r="AU1048" s="1078" t="s">
        <v>15547</v>
      </c>
      <c r="AV1048" s="1078" t="str">
        <f t="shared" si="132"/>
        <v>108.8.8</v>
      </c>
      <c r="AW1048" s="1344">
        <f t="shared" si="133"/>
        <v>43685</v>
      </c>
    </row>
    <row r="1049" spans="1:49">
      <c r="A1049" s="1077" t="s">
        <v>4059</v>
      </c>
      <c r="B1049" s="1077" t="s">
        <v>4052</v>
      </c>
      <c r="C1049" s="1077">
        <v>650</v>
      </c>
      <c r="D1049" s="1077">
        <v>1.76</v>
      </c>
      <c r="E1049" s="1077" t="s">
        <v>15104</v>
      </c>
      <c r="F1049" s="1077" t="s">
        <v>648</v>
      </c>
      <c r="G1049" s="1077">
        <v>4</v>
      </c>
      <c r="H1049" s="1077" t="s">
        <v>1188</v>
      </c>
      <c r="I1049" s="1077" t="s">
        <v>126</v>
      </c>
      <c r="J1049" s="1077">
        <v>1.1000000000000001</v>
      </c>
      <c r="K1049" s="1077" t="s">
        <v>4060</v>
      </c>
      <c r="L1049" s="1077" t="s">
        <v>987</v>
      </c>
      <c r="M1049" s="1077">
        <v>99</v>
      </c>
      <c r="N1049" s="1077" t="s">
        <v>945</v>
      </c>
      <c r="O1049" s="1077">
        <v>2.4750000000000001</v>
      </c>
      <c r="P1049" s="1077">
        <v>1.98</v>
      </c>
      <c r="Q1049" s="1077" t="s">
        <v>2434</v>
      </c>
      <c r="R1049" s="1077">
        <v>23</v>
      </c>
      <c r="T1049" s="1077">
        <v>16</v>
      </c>
      <c r="U1049" s="1077">
        <v>3.6</v>
      </c>
      <c r="V1049" s="1077" t="s">
        <v>648</v>
      </c>
      <c r="W1049" s="1077">
        <v>120</v>
      </c>
      <c r="X1049" s="1077" t="s">
        <v>4054</v>
      </c>
      <c r="Y1049" s="1077">
        <v>2.5</v>
      </c>
      <c r="Z1049" s="1077" t="s">
        <v>648</v>
      </c>
      <c r="AA1049" s="1077" t="s">
        <v>1127</v>
      </c>
      <c r="AB1049" s="1077" t="s">
        <v>981</v>
      </c>
      <c r="AH1049" s="1077" t="s">
        <v>842</v>
      </c>
      <c r="AM1049" s="1078" t="s">
        <v>11118</v>
      </c>
      <c r="AN1049" s="1078" t="s">
        <v>11119</v>
      </c>
      <c r="AO1049" s="1078">
        <f t="shared" si="134"/>
        <v>650</v>
      </c>
      <c r="AP1049" s="1078">
        <f t="shared" si="135"/>
        <v>1.76</v>
      </c>
      <c r="AQ1049" s="1078" t="str">
        <f t="shared" si="136"/>
        <v>1-4-1S85°Z+S</v>
      </c>
      <c r="AR1049" s="1078" t="str">
        <f t="shared" si="137"/>
        <v>NA</v>
      </c>
      <c r="AS1049" s="1078" t="str">
        <f t="shared" si="138"/>
        <v>177/OFF</v>
      </c>
      <c r="AT1049" s="1078" t="str">
        <f t="shared" si="139"/>
        <v>1-4-1S85°Z+S</v>
      </c>
      <c r="AU1049" s="1078" t="s">
        <v>15547</v>
      </c>
      <c r="AV1049" s="1078" t="str">
        <f t="shared" si="132"/>
        <v>108.7.8</v>
      </c>
      <c r="AW1049" s="1344">
        <f t="shared" si="133"/>
        <v>43654</v>
      </c>
    </row>
    <row r="1050" spans="1:49">
      <c r="A1050" s="1077" t="s">
        <v>4061</v>
      </c>
      <c r="B1050" s="1077" t="s">
        <v>4062</v>
      </c>
      <c r="C1050" s="1077">
        <v>650</v>
      </c>
      <c r="D1050" s="1077">
        <v>1.69</v>
      </c>
      <c r="E1050" s="1077" t="s">
        <v>15095</v>
      </c>
      <c r="F1050" s="1077" t="s">
        <v>1469</v>
      </c>
      <c r="G1050" s="1077">
        <v>5</v>
      </c>
      <c r="H1050" s="1077" t="s">
        <v>1226</v>
      </c>
      <c r="I1050" s="1077" t="s">
        <v>460</v>
      </c>
      <c r="J1050" s="1077">
        <v>0.6</v>
      </c>
      <c r="K1050" s="1077" t="s">
        <v>4063</v>
      </c>
      <c r="L1050" s="1077" t="s">
        <v>4064</v>
      </c>
      <c r="M1050" s="1077">
        <v>100.9</v>
      </c>
      <c r="N1050" s="1077" t="s">
        <v>945</v>
      </c>
      <c r="O1050" s="1077">
        <v>2.5225000000000004</v>
      </c>
      <c r="P1050" s="1077">
        <v>2.0180000000000002</v>
      </c>
      <c r="Q1050" s="1077" t="s">
        <v>1277</v>
      </c>
      <c r="R1050" s="1077">
        <v>21</v>
      </c>
      <c r="T1050" s="1077">
        <v>11</v>
      </c>
      <c r="U1050" s="1077">
        <v>5.4</v>
      </c>
      <c r="V1050" s="1077" t="s">
        <v>648</v>
      </c>
      <c r="W1050" s="1077">
        <v>80</v>
      </c>
      <c r="X1050" s="1077">
        <v>20</v>
      </c>
      <c r="Y1050" s="1077">
        <v>1.5</v>
      </c>
      <c r="Z1050" s="1077">
        <v>4</v>
      </c>
      <c r="AA1050" s="1077" t="s">
        <v>4065</v>
      </c>
      <c r="AH1050" s="1077" t="s">
        <v>680</v>
      </c>
      <c r="AM1050" s="1078" t="s">
        <v>11120</v>
      </c>
      <c r="AN1050" s="1078" t="s">
        <v>11121</v>
      </c>
      <c r="AO1050" s="1078">
        <f t="shared" si="134"/>
        <v>650</v>
      </c>
      <c r="AP1050" s="1078">
        <f t="shared" si="135"/>
        <v>1.69</v>
      </c>
      <c r="AQ1050" s="1078" t="str">
        <f t="shared" si="136"/>
        <v>1-5-1S83°</v>
      </c>
      <c r="AR1050" s="1078" t="str">
        <f t="shared" si="137"/>
        <v>30.5</v>
      </c>
      <c r="AS1050" s="1078" t="str">
        <f t="shared" si="138"/>
        <v>230/230/OFF</v>
      </c>
      <c r="AT1050" s="1078" t="str">
        <f t="shared" si="139"/>
        <v>1-5-1S83°</v>
      </c>
      <c r="AV1050" s="1078" t="str">
        <f t="shared" si="132"/>
        <v>108.8.16</v>
      </c>
      <c r="AW1050" s="1344">
        <f t="shared" si="133"/>
        <v>43693</v>
      </c>
    </row>
    <row r="1051" spans="1:49">
      <c r="A1051" s="1077" t="s">
        <v>4066</v>
      </c>
      <c r="B1051" s="1077" t="s">
        <v>4062</v>
      </c>
      <c r="C1051" s="1077">
        <v>550</v>
      </c>
      <c r="D1051" s="1077">
        <v>1.69</v>
      </c>
      <c r="E1051" s="1077" t="s">
        <v>15095</v>
      </c>
      <c r="F1051" s="1077" t="s">
        <v>1897</v>
      </c>
      <c r="G1051" s="1077">
        <v>5</v>
      </c>
      <c r="H1051" s="1077" t="s">
        <v>1274</v>
      </c>
      <c r="I1051" s="1077" t="s">
        <v>126</v>
      </c>
      <c r="J1051" s="1077">
        <v>1</v>
      </c>
      <c r="K1051" s="1077" t="s">
        <v>4063</v>
      </c>
      <c r="L1051" s="1077" t="s">
        <v>4064</v>
      </c>
      <c r="M1051" s="1077">
        <v>103.3</v>
      </c>
      <c r="N1051" s="1077" t="s">
        <v>945</v>
      </c>
      <c r="O1051" s="1077">
        <v>2.5825</v>
      </c>
      <c r="P1051" s="1077">
        <v>2.0659999999999998</v>
      </c>
      <c r="Q1051" s="1077" t="s">
        <v>1037</v>
      </c>
      <c r="R1051" s="1077">
        <v>25</v>
      </c>
      <c r="T1051" s="1077">
        <v>11.1</v>
      </c>
      <c r="U1051" s="1077">
        <v>5.2</v>
      </c>
      <c r="V1051" s="1077" t="s">
        <v>648</v>
      </c>
      <c r="W1051" s="1077">
        <v>125</v>
      </c>
      <c r="X1051" s="1077">
        <v>80</v>
      </c>
      <c r="Y1051" s="1077">
        <v>1.5</v>
      </c>
      <c r="Z1051" s="1077">
        <v>4</v>
      </c>
      <c r="AA1051" s="1077" t="s">
        <v>4067</v>
      </c>
      <c r="AH1051" s="1077" t="s">
        <v>622</v>
      </c>
      <c r="AM1051" s="1078" t="s">
        <v>11122</v>
      </c>
      <c r="AN1051" s="1078" t="s">
        <v>11123</v>
      </c>
      <c r="AO1051" s="1078">
        <f t="shared" si="134"/>
        <v>550</v>
      </c>
      <c r="AP1051" s="1078">
        <f t="shared" si="135"/>
        <v>1.69</v>
      </c>
      <c r="AQ1051" s="1078" t="str">
        <f t="shared" si="136"/>
        <v>1-5-1S83°</v>
      </c>
      <c r="AR1051" s="1078" t="str">
        <f t="shared" si="137"/>
        <v>30.8</v>
      </c>
      <c r="AS1051" s="1078" t="str">
        <f t="shared" si="138"/>
        <v>210/210/OFF</v>
      </c>
      <c r="AT1051" s="1078" t="str">
        <f t="shared" si="139"/>
        <v>1-5-1S83°</v>
      </c>
      <c r="AV1051" s="1078" t="str">
        <f t="shared" si="132"/>
        <v>108.8.19</v>
      </c>
      <c r="AW1051" s="1344">
        <f t="shared" si="133"/>
        <v>43696</v>
      </c>
    </row>
    <row r="1052" spans="1:49">
      <c r="A1052" s="1077" t="s">
        <v>4068</v>
      </c>
      <c r="B1052" s="1077" t="s">
        <v>4069</v>
      </c>
      <c r="C1052" s="1077">
        <v>500</v>
      </c>
      <c r="D1052" s="1077">
        <v>1.73</v>
      </c>
      <c r="E1052" s="1077" t="s">
        <v>15105</v>
      </c>
      <c r="F1052" s="1077" t="s">
        <v>4070</v>
      </c>
      <c r="G1052" s="1077">
        <v>3</v>
      </c>
      <c r="H1052" s="1077" t="s">
        <v>1029</v>
      </c>
      <c r="I1052" s="1077" t="s">
        <v>4071</v>
      </c>
      <c r="J1052" s="1077">
        <v>0.5</v>
      </c>
      <c r="K1052" s="1077" t="s">
        <v>4072</v>
      </c>
      <c r="L1052" s="1077" t="s">
        <v>4073</v>
      </c>
      <c r="M1052" s="1077">
        <v>99.4</v>
      </c>
      <c r="N1052" s="1077" t="s">
        <v>945</v>
      </c>
      <c r="O1052" s="1077">
        <v>2.4850000000000003</v>
      </c>
      <c r="P1052" s="1077">
        <v>1.9880000000000002</v>
      </c>
      <c r="Q1052" s="1077" t="s">
        <v>2593</v>
      </c>
      <c r="R1052" s="1077">
        <v>22.3</v>
      </c>
      <c r="T1052" s="1077">
        <v>14.9</v>
      </c>
      <c r="U1052" s="1077">
        <v>4.7</v>
      </c>
      <c r="V1052" s="1077" t="s">
        <v>648</v>
      </c>
      <c r="W1052" s="1077">
        <v>40</v>
      </c>
      <c r="X1052" s="1077">
        <v>25</v>
      </c>
      <c r="Y1052" s="1077">
        <v>2.4</v>
      </c>
      <c r="Z1052" s="1077" t="s">
        <v>648</v>
      </c>
      <c r="AA1052" s="1077" t="s">
        <v>4074</v>
      </c>
      <c r="AH1052" s="1077" t="s">
        <v>869</v>
      </c>
      <c r="AM1052" s="1078" t="s">
        <v>11124</v>
      </c>
      <c r="AN1052" s="1078" t="s">
        <v>11125</v>
      </c>
      <c r="AO1052" s="1078">
        <f t="shared" si="134"/>
        <v>500</v>
      </c>
      <c r="AP1052" s="1078">
        <f t="shared" si="135"/>
        <v>1.73</v>
      </c>
      <c r="AQ1052" s="1078" t="str">
        <f t="shared" si="136"/>
        <v>105Z+S</v>
      </c>
      <c r="AR1052" s="1078" t="str">
        <f t="shared" si="137"/>
        <v>15.5</v>
      </c>
      <c r="AS1052" s="1078" t="str">
        <f t="shared" si="138"/>
        <v>250/250/OFF</v>
      </c>
      <c r="AT1052" s="1078" t="str">
        <f t="shared" si="139"/>
        <v>105Z+S</v>
      </c>
      <c r="AV1052" s="1078" t="str">
        <f t="shared" si="132"/>
        <v>108.9.24</v>
      </c>
      <c r="AW1052" s="1344">
        <f t="shared" si="133"/>
        <v>43732</v>
      </c>
    </row>
    <row r="1053" spans="1:49">
      <c r="A1053" s="1077" t="s">
        <v>4075</v>
      </c>
      <c r="B1053" s="1077" t="s">
        <v>4044</v>
      </c>
      <c r="C1053" s="1077">
        <v>600</v>
      </c>
      <c r="D1053" s="1077">
        <v>1.76</v>
      </c>
      <c r="E1053" s="1077" t="s">
        <v>15102</v>
      </c>
      <c r="F1053" s="1077" t="s">
        <v>984</v>
      </c>
      <c r="G1053" s="1077">
        <v>5</v>
      </c>
      <c r="H1053" s="1077" t="s">
        <v>1188</v>
      </c>
      <c r="I1053" s="1077" t="s">
        <v>1167</v>
      </c>
      <c r="J1053" s="1077">
        <v>0.8</v>
      </c>
      <c r="K1053" s="1077" t="s">
        <v>4076</v>
      </c>
      <c r="L1053" s="1077" t="s">
        <v>4047</v>
      </c>
      <c r="M1053" s="1077">
        <v>101.1</v>
      </c>
      <c r="N1053" s="1077" t="s">
        <v>945</v>
      </c>
      <c r="O1053" s="1077">
        <v>2.5274999999999999</v>
      </c>
      <c r="P1053" s="1077">
        <v>2.0219999999999998</v>
      </c>
      <c r="Q1053" s="1077" t="s">
        <v>1037</v>
      </c>
      <c r="R1053" s="1077">
        <v>24</v>
      </c>
      <c r="T1053" s="1077">
        <v>38</v>
      </c>
      <c r="U1053" s="1077">
        <v>3.1</v>
      </c>
      <c r="V1053" s="1077" t="s">
        <v>648</v>
      </c>
      <c r="W1053" s="1077">
        <v>80</v>
      </c>
      <c r="X1053" s="1077">
        <v>10</v>
      </c>
      <c r="Y1053" s="1077">
        <v>1.8</v>
      </c>
      <c r="Z1053" s="1077">
        <v>6.5</v>
      </c>
      <c r="AA1053" s="1077" t="s">
        <v>4077</v>
      </c>
      <c r="AH1053" s="1077" t="s">
        <v>853</v>
      </c>
      <c r="AM1053" s="1078" t="s">
        <v>11126</v>
      </c>
      <c r="AN1053" s="1078" t="s">
        <v>11127</v>
      </c>
      <c r="AO1053" s="1078">
        <f t="shared" si="134"/>
        <v>600</v>
      </c>
      <c r="AP1053" s="1078">
        <f t="shared" si="135"/>
        <v>1.76</v>
      </c>
      <c r="AQ1053" s="1078" t="str">
        <f t="shared" si="136"/>
        <v>2-6-1S83°</v>
      </c>
      <c r="AR1053" s="1078" t="str">
        <f t="shared" si="137"/>
        <v>30</v>
      </c>
      <c r="AS1053" s="1078" t="str">
        <f t="shared" si="138"/>
        <v>177/OFF</v>
      </c>
      <c r="AT1053" s="1078" t="str">
        <f t="shared" si="139"/>
        <v>2-6-1S83°</v>
      </c>
      <c r="AV1053" s="1078" t="str">
        <f t="shared" si="132"/>
        <v>108.9.26</v>
      </c>
      <c r="AW1053" s="1344">
        <f t="shared" si="133"/>
        <v>43734</v>
      </c>
    </row>
    <row r="1054" spans="1:49">
      <c r="A1054" s="1077" t="s">
        <v>4078</v>
      </c>
      <c r="B1054" s="1077" t="s">
        <v>4062</v>
      </c>
      <c r="C1054" s="1077">
        <v>550</v>
      </c>
      <c r="D1054" s="1077">
        <v>1.74</v>
      </c>
      <c r="E1054" s="1077" t="s">
        <v>15095</v>
      </c>
      <c r="F1054" s="1077" t="s">
        <v>2234</v>
      </c>
      <c r="G1054" s="1077">
        <v>5</v>
      </c>
      <c r="H1054" s="1077" t="s">
        <v>1533</v>
      </c>
      <c r="I1054" s="1077" t="s">
        <v>126</v>
      </c>
      <c r="J1054" s="1077">
        <v>1</v>
      </c>
      <c r="K1054" s="1077" t="s">
        <v>4079</v>
      </c>
      <c r="L1054" s="1077" t="s">
        <v>4080</v>
      </c>
      <c r="M1054" s="1077">
        <v>103.3</v>
      </c>
      <c r="N1054" s="1077" t="s">
        <v>945</v>
      </c>
      <c r="O1054" s="1077">
        <v>2.5825</v>
      </c>
      <c r="P1054" s="1077">
        <v>2.0659999999999998</v>
      </c>
      <c r="Q1054" s="1077" t="s">
        <v>1037</v>
      </c>
      <c r="R1054" s="1077">
        <v>25</v>
      </c>
      <c r="T1054" s="1077">
        <v>11.1</v>
      </c>
      <c r="U1054" s="1077">
        <v>5.2</v>
      </c>
      <c r="V1054" s="1077" t="s">
        <v>648</v>
      </c>
      <c r="W1054" s="1077">
        <v>125</v>
      </c>
      <c r="X1054" s="1077">
        <v>80</v>
      </c>
      <c r="Y1054" s="1077">
        <v>1.5</v>
      </c>
      <c r="Z1054" s="1077">
        <v>4</v>
      </c>
      <c r="AA1054" s="1077" t="s">
        <v>4081</v>
      </c>
      <c r="AH1054" s="1077" t="s">
        <v>684</v>
      </c>
      <c r="AM1054" s="1078" t="s">
        <v>11128</v>
      </c>
      <c r="AN1054" s="1078" t="s">
        <v>11129</v>
      </c>
      <c r="AO1054" s="1078">
        <f t="shared" si="134"/>
        <v>550</v>
      </c>
      <c r="AP1054" s="1078">
        <f t="shared" si="135"/>
        <v>1.74</v>
      </c>
      <c r="AQ1054" s="1078" t="str">
        <f t="shared" si="136"/>
        <v>1-5-1S83°</v>
      </c>
      <c r="AR1054" s="1078" t="str">
        <f t="shared" si="137"/>
        <v>33.5</v>
      </c>
      <c r="AS1054" s="1078" t="str">
        <f t="shared" si="138"/>
        <v>223/223/OFF</v>
      </c>
      <c r="AT1054" s="1078" t="str">
        <f t="shared" si="139"/>
        <v>1-5-1S83°</v>
      </c>
      <c r="AV1054" s="1078" t="str">
        <f t="shared" si="132"/>
        <v>108.10.1</v>
      </c>
      <c r="AW1054" s="1344">
        <f t="shared" si="133"/>
        <v>43739</v>
      </c>
    </row>
    <row r="1055" spans="1:49">
      <c r="A1055" s="1077" t="s">
        <v>4082</v>
      </c>
      <c r="B1055" s="1077" t="s">
        <v>4083</v>
      </c>
      <c r="C1055" s="1077">
        <v>600</v>
      </c>
      <c r="D1055" s="1077">
        <v>1.75</v>
      </c>
      <c r="E1055" s="1077" t="s">
        <v>15102</v>
      </c>
      <c r="F1055" s="1077" t="s">
        <v>1398</v>
      </c>
      <c r="G1055" s="1077" t="s">
        <v>1767</v>
      </c>
      <c r="H1055" s="1077" t="s">
        <v>1166</v>
      </c>
      <c r="I1055" s="1077" t="s">
        <v>1167</v>
      </c>
      <c r="J1055" s="1077">
        <v>1.7</v>
      </c>
      <c r="K1055" s="1077" t="s">
        <v>4084</v>
      </c>
      <c r="L1055" s="1077" t="s">
        <v>4085</v>
      </c>
      <c r="M1055" s="1077">
        <v>101.6</v>
      </c>
      <c r="N1055" s="1077" t="s">
        <v>945</v>
      </c>
      <c r="O1055" s="1077">
        <v>2.54</v>
      </c>
      <c r="P1055" s="1077">
        <v>2.032</v>
      </c>
      <c r="Q1055" s="1077" t="s">
        <v>988</v>
      </c>
      <c r="R1055" s="1077">
        <v>20.5</v>
      </c>
      <c r="T1055" s="1077">
        <v>26.9</v>
      </c>
      <c r="U1055" s="1077">
        <v>4</v>
      </c>
      <c r="V1055" s="1077" t="s">
        <v>648</v>
      </c>
      <c r="W1055" s="1077">
        <v>125</v>
      </c>
      <c r="X1055" s="1077">
        <v>75</v>
      </c>
      <c r="Y1055" s="1077">
        <v>1.5</v>
      </c>
      <c r="Z1055" s="1077" t="s">
        <v>2582</v>
      </c>
      <c r="AA1055" s="1077" t="s">
        <v>1218</v>
      </c>
      <c r="AH1055" s="1077" t="s">
        <v>1178</v>
      </c>
      <c r="AM1055" s="1078" t="s">
        <v>11130</v>
      </c>
      <c r="AN1055" s="1078" t="s">
        <v>11131</v>
      </c>
      <c r="AO1055" s="1078">
        <f t="shared" si="134"/>
        <v>600</v>
      </c>
      <c r="AP1055" s="1078">
        <f t="shared" si="135"/>
        <v>1.75</v>
      </c>
      <c r="AQ1055" s="1078" t="str">
        <f t="shared" si="136"/>
        <v>2-6-1S83°</v>
      </c>
      <c r="AR1055" s="1078" t="str">
        <f t="shared" si="137"/>
        <v>32.5</v>
      </c>
      <c r="AS1055" s="1078" t="str">
        <f t="shared" si="138"/>
        <v>170/OFF</v>
      </c>
      <c r="AT1055" s="1078" t="str">
        <f t="shared" si="139"/>
        <v>2-6-1S83°</v>
      </c>
      <c r="AV1055" s="1078" t="str">
        <f t="shared" si="132"/>
        <v>108.11.1</v>
      </c>
      <c r="AW1055" s="1344">
        <f t="shared" si="133"/>
        <v>43770</v>
      </c>
    </row>
    <row r="1056" spans="1:49">
      <c r="A1056" s="1077" t="s">
        <v>4086</v>
      </c>
      <c r="B1056" s="1077" t="s">
        <v>4062</v>
      </c>
      <c r="C1056" s="1077">
        <v>550</v>
      </c>
      <c r="D1056" s="1077">
        <v>1.6719999999999999</v>
      </c>
      <c r="E1056" s="1077" t="s">
        <v>15102</v>
      </c>
      <c r="F1056" s="1077" t="s">
        <v>954</v>
      </c>
      <c r="G1056" s="1077">
        <v>5</v>
      </c>
      <c r="H1056" s="1077" t="s">
        <v>2833</v>
      </c>
      <c r="I1056" s="1077" t="s">
        <v>1167</v>
      </c>
      <c r="J1056" s="1077">
        <v>1</v>
      </c>
      <c r="K1056" s="1077" t="s">
        <v>4087</v>
      </c>
      <c r="L1056" s="1077" t="s">
        <v>4064</v>
      </c>
      <c r="M1056" s="1077">
        <v>103.3</v>
      </c>
      <c r="N1056" s="1077" t="s">
        <v>945</v>
      </c>
      <c r="O1056" s="1077">
        <v>2.5825</v>
      </c>
      <c r="P1056" s="1077">
        <v>2.0659999999999998</v>
      </c>
      <c r="Q1056" s="1077" t="s">
        <v>1037</v>
      </c>
      <c r="R1056" s="1077">
        <v>25</v>
      </c>
      <c r="T1056" s="1077">
        <v>11.1</v>
      </c>
      <c r="U1056" s="1077">
        <v>5.2</v>
      </c>
      <c r="V1056" s="1077" t="s">
        <v>648</v>
      </c>
      <c r="W1056" s="1077">
        <v>125</v>
      </c>
      <c r="X1056" s="1077">
        <v>80</v>
      </c>
      <c r="Y1056" s="1077">
        <v>1.5</v>
      </c>
      <c r="Z1056" s="1077" t="s">
        <v>4088</v>
      </c>
      <c r="AA1056" s="1077" t="s">
        <v>4089</v>
      </c>
      <c r="AH1056" s="1077" t="s">
        <v>812</v>
      </c>
      <c r="AM1056" s="1078" t="s">
        <v>11132</v>
      </c>
      <c r="AN1056" s="1078" t="s">
        <v>11131</v>
      </c>
      <c r="AO1056" s="1078">
        <f t="shared" si="134"/>
        <v>550</v>
      </c>
      <c r="AP1056" s="1078">
        <f t="shared" si="135"/>
        <v>1.6719999999999999</v>
      </c>
      <c r="AQ1056" s="1078" t="str">
        <f t="shared" si="136"/>
        <v>2-6-1S83°</v>
      </c>
      <c r="AR1056" s="1078" t="str">
        <f t="shared" si="137"/>
        <v>31</v>
      </c>
      <c r="AS1056" s="1078" t="str">
        <f t="shared" si="138"/>
        <v>150/OFF</v>
      </c>
      <c r="AT1056" s="1078" t="str">
        <f t="shared" si="139"/>
        <v>2-6-1S83°</v>
      </c>
      <c r="AV1056" s="1078" t="str">
        <f t="shared" si="132"/>
        <v>108.11.14</v>
      </c>
      <c r="AW1056" s="1344">
        <f t="shared" si="133"/>
        <v>43783</v>
      </c>
    </row>
    <row r="1057" spans="1:49">
      <c r="A1057" s="1077" t="s">
        <v>4090</v>
      </c>
      <c r="B1057" s="1077" t="s">
        <v>298</v>
      </c>
      <c r="C1057" s="1077">
        <v>800</v>
      </c>
      <c r="D1057" s="1077">
        <v>1.76</v>
      </c>
      <c r="E1057" s="1077" t="s">
        <v>15089</v>
      </c>
      <c r="F1057" s="1077" t="s">
        <v>4013</v>
      </c>
      <c r="G1057" s="1077" t="s">
        <v>1767</v>
      </c>
      <c r="H1057" s="1077" t="s">
        <v>4018</v>
      </c>
      <c r="I1057" s="1077" t="s">
        <v>648</v>
      </c>
      <c r="J1057" s="1077">
        <v>0</v>
      </c>
      <c r="K1057" s="1077" t="s">
        <v>4091</v>
      </c>
      <c r="L1057" s="1077" t="s">
        <v>4029</v>
      </c>
      <c r="M1057" s="1077">
        <v>103</v>
      </c>
      <c r="N1057" s="1077" t="s">
        <v>945</v>
      </c>
      <c r="O1057" s="1077">
        <v>2.5750000000000002</v>
      </c>
      <c r="P1057" s="1077">
        <v>2.06</v>
      </c>
      <c r="Q1057" s="1077" t="s">
        <v>956</v>
      </c>
      <c r="R1057" s="1077">
        <v>23.5</v>
      </c>
      <c r="T1057" s="1077">
        <v>18.5</v>
      </c>
      <c r="U1057" s="1077">
        <v>2.1</v>
      </c>
      <c r="V1057" s="1077" t="s">
        <v>648</v>
      </c>
      <c r="W1057" s="1077" t="s">
        <v>648</v>
      </c>
      <c r="X1057" s="1077" t="s">
        <v>648</v>
      </c>
      <c r="Y1057" s="1077">
        <v>1.3</v>
      </c>
      <c r="Z1057" s="1077">
        <v>4</v>
      </c>
      <c r="AA1057" s="1077" t="s">
        <v>1227</v>
      </c>
      <c r="AB1057" s="1077" t="s">
        <v>981</v>
      </c>
      <c r="AH1057" s="1077" t="s">
        <v>966</v>
      </c>
      <c r="AM1057" s="1078" t="s">
        <v>11133</v>
      </c>
      <c r="AN1057" s="1078" t="s">
        <v>11134</v>
      </c>
      <c r="AO1057" s="1078">
        <f t="shared" si="134"/>
        <v>800</v>
      </c>
      <c r="AP1057" s="1078">
        <f t="shared" si="135"/>
        <v>1.76</v>
      </c>
      <c r="AQ1057" s="1078" t="str">
        <f t="shared" si="136"/>
        <v>1-4-1S83°</v>
      </c>
      <c r="AR1057" s="1078" t="str">
        <f t="shared" si="137"/>
        <v>30.3</v>
      </c>
      <c r="AS1057" s="1078" t="str">
        <f t="shared" si="138"/>
        <v>342/292/157</v>
      </c>
      <c r="AT1057" s="1078" t="str">
        <f t="shared" si="139"/>
        <v>1-4-1S83°</v>
      </c>
      <c r="AV1057" s="1078" t="str">
        <f t="shared" si="132"/>
        <v>108.11.11</v>
      </c>
      <c r="AW1057" s="1344">
        <f t="shared" si="133"/>
        <v>43780</v>
      </c>
    </row>
    <row r="1058" spans="1:49">
      <c r="A1058" s="1077" t="s">
        <v>4092</v>
      </c>
      <c r="B1058" s="1077" t="s">
        <v>4052</v>
      </c>
      <c r="C1058" s="1077">
        <v>650</v>
      </c>
      <c r="D1058" s="1077">
        <v>1.76</v>
      </c>
      <c r="E1058" s="1077" t="s">
        <v>15104</v>
      </c>
      <c r="F1058" s="1077" t="s">
        <v>648</v>
      </c>
      <c r="G1058" s="1077">
        <v>4</v>
      </c>
      <c r="H1058" s="1077" t="s">
        <v>2326</v>
      </c>
      <c r="I1058" s="1077" t="s">
        <v>126</v>
      </c>
      <c r="J1058" s="1077">
        <v>1.1000000000000001</v>
      </c>
      <c r="K1058" s="1077" t="s">
        <v>4093</v>
      </c>
      <c r="L1058" s="1077" t="s">
        <v>987</v>
      </c>
      <c r="M1058" s="1077">
        <v>99</v>
      </c>
      <c r="N1058" s="1077" t="s">
        <v>945</v>
      </c>
      <c r="O1058" s="1077">
        <v>2.4750000000000001</v>
      </c>
      <c r="P1058" s="1077">
        <v>1.98</v>
      </c>
      <c r="Q1058" s="1077" t="s">
        <v>2434</v>
      </c>
      <c r="R1058" s="1077">
        <v>23</v>
      </c>
      <c r="T1058" s="1077">
        <v>16</v>
      </c>
      <c r="U1058" s="1077">
        <v>3.6</v>
      </c>
      <c r="V1058" s="1077" t="s">
        <v>648</v>
      </c>
      <c r="W1058" s="1077">
        <v>120</v>
      </c>
      <c r="X1058" s="1077" t="s">
        <v>4054</v>
      </c>
      <c r="Y1058" s="1077">
        <v>2.5</v>
      </c>
      <c r="Z1058" s="1077" t="s">
        <v>648</v>
      </c>
      <c r="AA1058" s="1077" t="s">
        <v>1227</v>
      </c>
      <c r="AB1058" s="1077" t="s">
        <v>981</v>
      </c>
      <c r="AH1058" s="1077" t="s">
        <v>783</v>
      </c>
      <c r="AM1058" s="1078" t="s">
        <v>11135</v>
      </c>
      <c r="AN1058" s="1078" t="s">
        <v>11136</v>
      </c>
      <c r="AO1058" s="1078">
        <f t="shared" si="134"/>
        <v>650</v>
      </c>
      <c r="AP1058" s="1078">
        <f t="shared" si="135"/>
        <v>1.76</v>
      </c>
      <c r="AQ1058" s="1078" t="str">
        <f t="shared" si="136"/>
        <v>1-4-1S85°Z+S</v>
      </c>
      <c r="AR1058" s="1078" t="str">
        <f t="shared" si="137"/>
        <v>NA</v>
      </c>
      <c r="AS1058" s="1078" t="str">
        <f t="shared" si="138"/>
        <v>173/OFF</v>
      </c>
      <c r="AT1058" s="1078" t="str">
        <f t="shared" si="139"/>
        <v>1-4-1S85°Z+S</v>
      </c>
      <c r="AU1058" s="1078" t="s">
        <v>15547</v>
      </c>
      <c r="AV1058" s="1078" t="str">
        <f t="shared" si="132"/>
        <v>108.11.11</v>
      </c>
      <c r="AW1058" s="1344">
        <f t="shared" si="133"/>
        <v>43780</v>
      </c>
    </row>
    <row r="1059" spans="1:49">
      <c r="A1059" s="1077" t="s">
        <v>4094</v>
      </c>
      <c r="B1059" s="1077" t="s">
        <v>4095</v>
      </c>
      <c r="C1059" s="1077">
        <v>550</v>
      </c>
      <c r="D1059" s="1077">
        <v>1.742</v>
      </c>
      <c r="E1059" s="1077" t="s">
        <v>15106</v>
      </c>
      <c r="F1059" s="1077" t="s">
        <v>4070</v>
      </c>
      <c r="G1059" s="1077">
        <v>5</v>
      </c>
      <c r="H1059" s="1077" t="s">
        <v>4096</v>
      </c>
      <c r="I1059" s="1077" t="s">
        <v>460</v>
      </c>
      <c r="J1059" s="1077">
        <v>2.5</v>
      </c>
      <c r="K1059" s="1077" t="s">
        <v>4097</v>
      </c>
      <c r="L1059" s="1077" t="s">
        <v>4098</v>
      </c>
      <c r="M1059" s="1077">
        <v>98</v>
      </c>
      <c r="N1059" s="1077" t="s">
        <v>945</v>
      </c>
      <c r="O1059" s="1077">
        <v>2.4500000000000002</v>
      </c>
      <c r="P1059" s="1077">
        <v>1.96</v>
      </c>
      <c r="Q1059" s="1077" t="s">
        <v>1369</v>
      </c>
      <c r="R1059" s="1077">
        <v>27.3</v>
      </c>
      <c r="T1059" s="1077">
        <v>11.6</v>
      </c>
      <c r="U1059" s="1077">
        <v>4.0999999999999996</v>
      </c>
      <c r="V1059" s="1077" t="s">
        <v>648</v>
      </c>
      <c r="W1059" s="1077">
        <v>100</v>
      </c>
      <c r="X1059" s="1077">
        <v>85</v>
      </c>
      <c r="Y1059" s="1077">
        <v>1.5</v>
      </c>
      <c r="Z1059" s="1077" t="s">
        <v>4099</v>
      </c>
      <c r="AA1059" s="1077" t="s">
        <v>4100</v>
      </c>
      <c r="AH1059" s="1077" t="s">
        <v>1643</v>
      </c>
      <c r="AM1059" s="1078" t="s">
        <v>11137</v>
      </c>
      <c r="AN1059" s="1078" t="s">
        <v>11138</v>
      </c>
      <c r="AO1059" s="1078">
        <f t="shared" si="134"/>
        <v>550</v>
      </c>
      <c r="AP1059" s="1078">
        <f t="shared" si="135"/>
        <v>1.742</v>
      </c>
      <c r="AQ1059" s="1078" t="str">
        <f t="shared" si="136"/>
        <v>105°Z</v>
      </c>
      <c r="AR1059" s="1078" t="str">
        <f t="shared" si="137"/>
        <v>15.5</v>
      </c>
      <c r="AS1059" s="1078" t="str">
        <f t="shared" si="138"/>
        <v>320/300/150</v>
      </c>
      <c r="AT1059" s="1078" t="str">
        <f t="shared" si="139"/>
        <v>105°Z</v>
      </c>
      <c r="AU1059" s="1078" t="s">
        <v>15548</v>
      </c>
      <c r="AV1059" s="1078" t="str">
        <f t="shared" si="132"/>
        <v>108.11.12</v>
      </c>
      <c r="AW1059" s="1344">
        <f t="shared" si="133"/>
        <v>43781</v>
      </c>
    </row>
    <row r="1060" spans="1:49">
      <c r="A1060" s="1077" t="s">
        <v>4101</v>
      </c>
      <c r="B1060" s="1077" t="s">
        <v>298</v>
      </c>
      <c r="C1060" s="1077">
        <v>800</v>
      </c>
      <c r="D1060" s="1077">
        <v>1.76</v>
      </c>
      <c r="E1060" s="1077" t="s">
        <v>15089</v>
      </c>
      <c r="F1060" s="1077" t="s">
        <v>4013</v>
      </c>
      <c r="G1060" s="1077" t="s">
        <v>1767</v>
      </c>
      <c r="H1060" s="1077" t="s">
        <v>4018</v>
      </c>
      <c r="I1060" s="1077" t="s">
        <v>648</v>
      </c>
      <c r="J1060" s="1077">
        <v>0</v>
      </c>
      <c r="K1060" s="1077" t="s">
        <v>4102</v>
      </c>
      <c r="L1060" s="1077" t="s">
        <v>4029</v>
      </c>
      <c r="M1060" s="1077">
        <v>103</v>
      </c>
      <c r="N1060" s="1077" t="s">
        <v>945</v>
      </c>
      <c r="O1060" s="1077">
        <v>2.5750000000000002</v>
      </c>
      <c r="P1060" s="1077">
        <v>2.06</v>
      </c>
      <c r="Q1060" s="1077" t="s">
        <v>946</v>
      </c>
      <c r="R1060" s="1077">
        <v>23.5</v>
      </c>
      <c r="T1060" s="1077">
        <v>18.5</v>
      </c>
      <c r="U1060" s="1077">
        <v>2.1</v>
      </c>
      <c r="V1060" s="1077" t="s">
        <v>648</v>
      </c>
      <c r="W1060" s="1077" t="s">
        <v>648</v>
      </c>
      <c r="X1060" s="1077" t="s">
        <v>648</v>
      </c>
      <c r="Y1060" s="1077">
        <v>1.3</v>
      </c>
      <c r="Z1060" s="1077">
        <v>4</v>
      </c>
      <c r="AA1060" s="1077" t="s">
        <v>2859</v>
      </c>
      <c r="AB1060" s="1077" t="s">
        <v>981</v>
      </c>
      <c r="AH1060" s="1077" t="s">
        <v>762</v>
      </c>
      <c r="AM1060" s="1078" t="s">
        <v>11139</v>
      </c>
      <c r="AN1060" s="1078" t="s">
        <v>11140</v>
      </c>
      <c r="AO1060" s="1078">
        <f t="shared" si="134"/>
        <v>800</v>
      </c>
      <c r="AP1060" s="1078">
        <f t="shared" si="135"/>
        <v>1.76</v>
      </c>
      <c r="AQ1060" s="1078" t="str">
        <f t="shared" si="136"/>
        <v>1-4-1S83°</v>
      </c>
      <c r="AR1060" s="1078" t="str">
        <f t="shared" si="137"/>
        <v>30.3</v>
      </c>
      <c r="AS1060" s="1078" t="str">
        <f t="shared" si="138"/>
        <v>342/292/157</v>
      </c>
      <c r="AT1060" s="1078" t="str">
        <f t="shared" si="139"/>
        <v>1-4-1S83°</v>
      </c>
      <c r="AV1060" s="1078" t="str">
        <f t="shared" si="132"/>
        <v>108.12.16</v>
      </c>
      <c r="AW1060" s="1344">
        <f t="shared" si="133"/>
        <v>43815</v>
      </c>
    </row>
    <row r="1061" spans="1:49">
      <c r="A1061" s="1077" t="s">
        <v>4103</v>
      </c>
      <c r="B1061" s="1077" t="s">
        <v>4052</v>
      </c>
      <c r="C1061" s="1077">
        <v>650</v>
      </c>
      <c r="D1061" s="1077">
        <v>1.76</v>
      </c>
      <c r="E1061" s="1077" t="s">
        <v>15104</v>
      </c>
      <c r="F1061" s="1077" t="s">
        <v>648</v>
      </c>
      <c r="G1061" s="1077">
        <v>4</v>
      </c>
      <c r="H1061" s="1077" t="s">
        <v>2326</v>
      </c>
      <c r="I1061" s="1077" t="s">
        <v>126</v>
      </c>
      <c r="J1061" s="1077">
        <v>1.1000000000000001</v>
      </c>
      <c r="K1061" s="1077" t="s">
        <v>4104</v>
      </c>
      <c r="L1061" s="1077" t="s">
        <v>987</v>
      </c>
      <c r="M1061" s="1077">
        <v>99</v>
      </c>
      <c r="N1061" s="1077" t="s">
        <v>945</v>
      </c>
      <c r="O1061" s="1077">
        <v>2.4750000000000001</v>
      </c>
      <c r="P1061" s="1077">
        <v>1.98</v>
      </c>
      <c r="Q1061" s="1077" t="s">
        <v>2434</v>
      </c>
      <c r="R1061" s="1077">
        <v>23</v>
      </c>
      <c r="T1061" s="1077">
        <v>16</v>
      </c>
      <c r="U1061" s="1077">
        <v>3.6</v>
      </c>
      <c r="V1061" s="1077" t="s">
        <v>648</v>
      </c>
      <c r="W1061" s="1077">
        <v>120</v>
      </c>
      <c r="X1061" s="1077" t="s">
        <v>4054</v>
      </c>
      <c r="Y1061" s="1077">
        <v>2.5</v>
      </c>
      <c r="Z1061" s="1077" t="s">
        <v>648</v>
      </c>
      <c r="AA1061" s="1077" t="s">
        <v>4105</v>
      </c>
      <c r="AB1061" s="1077" t="s">
        <v>981</v>
      </c>
      <c r="AH1061" s="1077" t="s">
        <v>646</v>
      </c>
      <c r="AM1061" s="1078" t="s">
        <v>11141</v>
      </c>
      <c r="AN1061" s="1078" t="s">
        <v>11142</v>
      </c>
      <c r="AO1061" s="1078">
        <f t="shared" si="134"/>
        <v>650</v>
      </c>
      <c r="AP1061" s="1078">
        <f t="shared" si="135"/>
        <v>1.76</v>
      </c>
      <c r="AQ1061" s="1078" t="str">
        <f t="shared" si="136"/>
        <v>1-4-1S85°Z+S</v>
      </c>
      <c r="AR1061" s="1078" t="str">
        <f t="shared" si="137"/>
        <v>NA</v>
      </c>
      <c r="AS1061" s="1078" t="str">
        <f t="shared" si="138"/>
        <v>173/OFF</v>
      </c>
      <c r="AT1061" s="1078" t="str">
        <f t="shared" si="139"/>
        <v>1-4-1S85°Z+S</v>
      </c>
      <c r="AU1061" s="1078" t="s">
        <v>15547</v>
      </c>
      <c r="AV1061" s="1078" t="str">
        <f t="shared" si="132"/>
        <v>109.2.10</v>
      </c>
      <c r="AW1061" s="1344">
        <f t="shared" si="133"/>
        <v>43871</v>
      </c>
    </row>
    <row r="1062" spans="1:49">
      <c r="A1062" s="1077" t="s">
        <v>4106</v>
      </c>
      <c r="B1062" s="1077" t="s">
        <v>4107</v>
      </c>
      <c r="C1062" s="1077">
        <v>550</v>
      </c>
      <c r="D1062" s="1077">
        <v>1.7</v>
      </c>
      <c r="E1062" s="1077" t="s">
        <v>15089</v>
      </c>
      <c r="F1062" s="1077" t="s">
        <v>954</v>
      </c>
      <c r="G1062" s="1077" t="s">
        <v>940</v>
      </c>
      <c r="H1062" s="1077" t="s">
        <v>2259</v>
      </c>
      <c r="I1062" s="1077" t="s">
        <v>126</v>
      </c>
      <c r="J1062" s="1077">
        <v>1.3</v>
      </c>
      <c r="K1062" s="1077" t="s">
        <v>4108</v>
      </c>
      <c r="L1062" s="1077" t="s">
        <v>4109</v>
      </c>
      <c r="M1062" s="1077">
        <v>99.6</v>
      </c>
      <c r="N1062" s="1077" t="s">
        <v>945</v>
      </c>
      <c r="O1062" s="1077">
        <v>2.4900000000000002</v>
      </c>
      <c r="P1062" s="1077">
        <v>1.992</v>
      </c>
      <c r="Q1062" s="1077" t="s">
        <v>1277</v>
      </c>
      <c r="R1062" s="1077">
        <v>25.1</v>
      </c>
      <c r="T1062" s="1077">
        <v>25.5</v>
      </c>
      <c r="U1062" s="1077">
        <v>3.4</v>
      </c>
      <c r="V1062" s="1077" t="s">
        <v>648</v>
      </c>
      <c r="W1062" s="1077">
        <v>123</v>
      </c>
      <c r="X1062" s="1077">
        <v>85</v>
      </c>
      <c r="Y1062" s="1077">
        <v>1.5</v>
      </c>
      <c r="Z1062" s="1077" t="s">
        <v>4110</v>
      </c>
      <c r="AA1062" s="1077" t="s">
        <v>4111</v>
      </c>
      <c r="AH1062" s="1077" t="s">
        <v>1796</v>
      </c>
      <c r="AM1062" s="1078" t="s">
        <v>11143</v>
      </c>
      <c r="AN1062" s="1078" t="s">
        <v>11144</v>
      </c>
      <c r="AO1062" s="1078">
        <f t="shared" si="134"/>
        <v>550</v>
      </c>
      <c r="AP1062" s="1078">
        <f t="shared" si="135"/>
        <v>1.7</v>
      </c>
      <c r="AQ1062" s="1078" t="str">
        <f t="shared" si="136"/>
        <v>1-4-1S83°</v>
      </c>
      <c r="AR1062" s="1078" t="str">
        <f t="shared" si="137"/>
        <v>31</v>
      </c>
      <c r="AS1062" s="1078" t="str">
        <f t="shared" si="138"/>
        <v>275/275/OFF</v>
      </c>
      <c r="AT1062" s="1078" t="str">
        <f t="shared" si="139"/>
        <v>1-4-1S83°</v>
      </c>
      <c r="AV1062" s="1078" t="str">
        <f t="shared" si="132"/>
        <v>109.2.19</v>
      </c>
      <c r="AW1062" s="1344">
        <f t="shared" si="133"/>
        <v>43880</v>
      </c>
    </row>
    <row r="1063" spans="1:49">
      <c r="A1063" s="1077" t="s">
        <v>4112</v>
      </c>
      <c r="B1063" s="1077" t="s">
        <v>4113</v>
      </c>
      <c r="C1063" s="1077">
        <v>550</v>
      </c>
      <c r="D1063" s="1077">
        <v>1.7</v>
      </c>
      <c r="E1063" s="1077" t="s">
        <v>15095</v>
      </c>
      <c r="F1063" s="1077" t="s">
        <v>1897</v>
      </c>
      <c r="G1063" s="1077">
        <v>5</v>
      </c>
      <c r="H1063" s="1077" t="s">
        <v>2295</v>
      </c>
      <c r="I1063" s="1077" t="s">
        <v>126</v>
      </c>
      <c r="J1063" s="1077">
        <v>1</v>
      </c>
      <c r="K1063" s="1077" t="s">
        <v>4114</v>
      </c>
      <c r="L1063" s="1077" t="s">
        <v>4064</v>
      </c>
      <c r="M1063" s="1077">
        <v>103.3</v>
      </c>
      <c r="N1063" s="1077" t="s">
        <v>945</v>
      </c>
      <c r="O1063" s="1077">
        <v>2.5825</v>
      </c>
      <c r="P1063" s="1077">
        <v>2.0659999999999998</v>
      </c>
      <c r="Q1063" s="1077" t="s">
        <v>1037</v>
      </c>
      <c r="R1063" s="1077">
        <v>25</v>
      </c>
      <c r="T1063" s="1077">
        <v>10</v>
      </c>
      <c r="U1063" s="1077">
        <v>5.8</v>
      </c>
      <c r="V1063" s="1077" t="s">
        <v>648</v>
      </c>
      <c r="W1063" s="1077">
        <v>125</v>
      </c>
      <c r="X1063" s="1077">
        <v>80</v>
      </c>
      <c r="Y1063" s="1077">
        <v>1.5</v>
      </c>
      <c r="Z1063" s="1077">
        <v>4</v>
      </c>
      <c r="AA1063" s="1077" t="s">
        <v>1287</v>
      </c>
      <c r="AH1063" s="1077" t="s">
        <v>878</v>
      </c>
      <c r="AM1063" s="1078" t="s">
        <v>11145</v>
      </c>
      <c r="AN1063" s="1078" t="s">
        <v>11146</v>
      </c>
      <c r="AO1063" s="1078">
        <f t="shared" si="134"/>
        <v>550</v>
      </c>
      <c r="AP1063" s="1078">
        <f t="shared" si="135"/>
        <v>1.7</v>
      </c>
      <c r="AQ1063" s="1078" t="str">
        <f t="shared" si="136"/>
        <v>1-5-1S83°</v>
      </c>
      <c r="AR1063" s="1078" t="str">
        <f t="shared" si="137"/>
        <v>30.8</v>
      </c>
      <c r="AS1063" s="1078" t="str">
        <f t="shared" si="138"/>
        <v>205/205/OFF</v>
      </c>
      <c r="AT1063" s="1078" t="str">
        <f t="shared" si="139"/>
        <v>1-5-1S83°</v>
      </c>
      <c r="AV1063" s="1078" t="str">
        <f t="shared" si="132"/>
        <v>109.4.6</v>
      </c>
      <c r="AW1063" s="1344">
        <f t="shared" si="133"/>
        <v>43927</v>
      </c>
    </row>
    <row r="1064" spans="1:49">
      <c r="A1064" s="1077" t="s">
        <v>4115</v>
      </c>
      <c r="B1064" s="1077" t="s">
        <v>4044</v>
      </c>
      <c r="C1064" s="1077">
        <v>650</v>
      </c>
      <c r="D1064" s="1077">
        <v>1.76</v>
      </c>
      <c r="E1064" s="1077" t="s">
        <v>15107</v>
      </c>
      <c r="F1064" s="1077" t="s">
        <v>984</v>
      </c>
      <c r="G1064" s="1077">
        <v>5</v>
      </c>
      <c r="H1064" s="1077" t="s">
        <v>2393</v>
      </c>
      <c r="I1064" s="1077" t="s">
        <v>126</v>
      </c>
      <c r="J1064" s="1077">
        <v>0.7</v>
      </c>
      <c r="K1064" s="1077" t="s">
        <v>4076</v>
      </c>
      <c r="L1064" s="1077" t="s">
        <v>4047</v>
      </c>
      <c r="M1064" s="1077">
        <v>101.1</v>
      </c>
      <c r="N1064" s="1077" t="s">
        <v>945</v>
      </c>
      <c r="O1064" s="1077">
        <v>2.5274999999999999</v>
      </c>
      <c r="P1064" s="1077">
        <v>2.0219999999999998</v>
      </c>
      <c r="Q1064" s="1077" t="s">
        <v>1037</v>
      </c>
      <c r="R1064" s="1077">
        <v>24</v>
      </c>
      <c r="T1064" s="1077">
        <v>38</v>
      </c>
      <c r="U1064" s="1077">
        <v>3.1</v>
      </c>
      <c r="V1064" s="1077" t="s">
        <v>648</v>
      </c>
      <c r="W1064" s="1077">
        <v>80</v>
      </c>
      <c r="X1064" s="1077">
        <v>10</v>
      </c>
      <c r="Y1064" s="1077">
        <v>1.8</v>
      </c>
      <c r="Z1064" s="1077">
        <v>6.5</v>
      </c>
      <c r="AA1064" s="1077" t="s">
        <v>4116</v>
      </c>
      <c r="AH1064" s="1077" t="s">
        <v>813</v>
      </c>
      <c r="AM1064" s="1078" t="s">
        <v>11147</v>
      </c>
      <c r="AN1064" s="1078" t="s">
        <v>11148</v>
      </c>
      <c r="AO1064" s="1078">
        <f t="shared" si="134"/>
        <v>650</v>
      </c>
      <c r="AP1064" s="1078">
        <f t="shared" si="135"/>
        <v>1.76</v>
      </c>
      <c r="AQ1064" s="1078" t="str">
        <f t="shared" si="136"/>
        <v>1-5-1S87°→1-5-1S83°</v>
      </c>
      <c r="AR1064" s="1078" t="str">
        <f t="shared" si="137"/>
        <v>30</v>
      </c>
      <c r="AS1064" s="1078" t="str">
        <f t="shared" si="138"/>
        <v>310/310/OFF</v>
      </c>
      <c r="AT1064" s="1078" t="str">
        <f t="shared" si="139"/>
        <v>1-5-1S87°→1-5-1S83°</v>
      </c>
      <c r="AU1064" s="1078" t="s">
        <v>15549</v>
      </c>
      <c r="AV1064" s="1078" t="str">
        <f t="shared" si="132"/>
        <v>109.4.7</v>
      </c>
      <c r="AW1064" s="1344">
        <f t="shared" si="133"/>
        <v>43928</v>
      </c>
    </row>
    <row r="1065" spans="1:49">
      <c r="A1065" s="1077" t="s">
        <v>4117</v>
      </c>
      <c r="B1065" s="1077" t="s">
        <v>4083</v>
      </c>
      <c r="C1065" s="1077">
        <v>600</v>
      </c>
      <c r="D1065" s="1077">
        <v>1.77</v>
      </c>
      <c r="E1065" s="1077" t="s">
        <v>15089</v>
      </c>
      <c r="F1065" s="1077" t="s">
        <v>954</v>
      </c>
      <c r="G1065" s="1077" t="s">
        <v>1767</v>
      </c>
      <c r="H1065" s="1077" t="s">
        <v>4118</v>
      </c>
      <c r="I1065" s="1077" t="s">
        <v>126</v>
      </c>
      <c r="J1065" s="1077">
        <v>2</v>
      </c>
      <c r="K1065" s="1077" t="s">
        <v>4119</v>
      </c>
      <c r="L1065" s="1077" t="s">
        <v>4085</v>
      </c>
      <c r="M1065" s="1077">
        <v>101.6</v>
      </c>
      <c r="N1065" s="1077" t="s">
        <v>945</v>
      </c>
      <c r="O1065" s="1077">
        <v>2.54</v>
      </c>
      <c r="P1065" s="1077">
        <v>2.032</v>
      </c>
      <c r="Q1065" s="1077" t="s">
        <v>1277</v>
      </c>
      <c r="R1065" s="1077">
        <v>20.5</v>
      </c>
      <c r="T1065" s="1077">
        <v>26.9</v>
      </c>
      <c r="U1065" s="1077">
        <v>4</v>
      </c>
      <c r="V1065" s="1077" t="s">
        <v>648</v>
      </c>
      <c r="W1065" s="1077">
        <v>125</v>
      </c>
      <c r="X1065" s="1077">
        <v>75</v>
      </c>
      <c r="Y1065" s="1077">
        <v>1.5</v>
      </c>
      <c r="Z1065" s="1077">
        <v>5.5</v>
      </c>
      <c r="AA1065" s="1077" t="s">
        <v>2966</v>
      </c>
      <c r="AH1065" s="1077" t="s">
        <v>1448</v>
      </c>
      <c r="AM1065" s="1078" t="s">
        <v>11149</v>
      </c>
      <c r="AN1065" s="1078" t="s">
        <v>11150</v>
      </c>
      <c r="AO1065" s="1078">
        <f t="shared" si="134"/>
        <v>600</v>
      </c>
      <c r="AP1065" s="1078">
        <f t="shared" si="135"/>
        <v>1.77</v>
      </c>
      <c r="AQ1065" s="1078" t="str">
        <f t="shared" si="136"/>
        <v>1-4-1S83°</v>
      </c>
      <c r="AR1065" s="1078" t="str">
        <f t="shared" si="137"/>
        <v>31</v>
      </c>
      <c r="AS1065" s="1078" t="str">
        <f t="shared" si="138"/>
        <v>280/260/OFF</v>
      </c>
      <c r="AT1065" s="1078" t="str">
        <f t="shared" si="139"/>
        <v>1-4-1S83°</v>
      </c>
      <c r="AV1065" s="1078" t="str">
        <f t="shared" si="132"/>
        <v>109.5.8</v>
      </c>
      <c r="AW1065" s="1344">
        <f t="shared" si="133"/>
        <v>43959</v>
      </c>
    </row>
    <row r="1066" spans="1:49">
      <c r="A1066" s="1077" t="s">
        <v>4120</v>
      </c>
      <c r="B1066" s="1077" t="s">
        <v>4121</v>
      </c>
      <c r="C1066" s="1077">
        <v>550</v>
      </c>
      <c r="D1066" s="1077">
        <v>1.65</v>
      </c>
      <c r="E1066" s="1077" t="s">
        <v>15108</v>
      </c>
      <c r="F1066" s="1077" t="s">
        <v>1318</v>
      </c>
      <c r="G1066" s="1077">
        <v>4</v>
      </c>
      <c r="H1066" s="1077" t="s">
        <v>1034</v>
      </c>
      <c r="I1066" s="1077" t="s">
        <v>126</v>
      </c>
      <c r="J1066" s="1077">
        <v>0.9</v>
      </c>
      <c r="K1066" s="1077" t="s">
        <v>4122</v>
      </c>
      <c r="L1066" s="1077" t="s">
        <v>1036</v>
      </c>
      <c r="M1066" s="1077">
        <v>103.8</v>
      </c>
      <c r="N1066" s="1077" t="s">
        <v>945</v>
      </c>
      <c r="O1066" s="1077">
        <v>2.5950000000000002</v>
      </c>
      <c r="P1066" s="1077">
        <v>2.0760000000000001</v>
      </c>
      <c r="Q1066" s="1077" t="s">
        <v>1037</v>
      </c>
      <c r="R1066" s="1077">
        <v>22.7</v>
      </c>
      <c r="T1066" s="1077">
        <v>19</v>
      </c>
      <c r="U1066" s="1077">
        <v>3.4</v>
      </c>
      <c r="V1066" s="1077" t="s">
        <v>648</v>
      </c>
      <c r="W1066" s="1077">
        <v>120</v>
      </c>
      <c r="X1066" s="1077">
        <v>80</v>
      </c>
      <c r="Y1066" s="1077">
        <v>1.4</v>
      </c>
      <c r="Z1066" s="1077" t="s">
        <v>648</v>
      </c>
      <c r="AA1066" s="1077" t="s">
        <v>2966</v>
      </c>
      <c r="AH1066" s="1077" t="s">
        <v>1588</v>
      </c>
      <c r="AM1066" s="1078" t="s">
        <v>11151</v>
      </c>
      <c r="AN1066" s="1078" t="s">
        <v>11152</v>
      </c>
      <c r="AO1066" s="1078">
        <f t="shared" si="134"/>
        <v>550</v>
      </c>
      <c r="AP1066" s="1078">
        <f t="shared" si="135"/>
        <v>1.65</v>
      </c>
      <c r="AQ1066" s="1078" t="str">
        <f t="shared" si="136"/>
        <v>1-4-1S83°Z+S</v>
      </c>
      <c r="AR1066" s="1078" t="str">
        <f t="shared" si="137"/>
        <v>30.7</v>
      </c>
      <c r="AS1066" s="1078" t="str">
        <f t="shared" si="138"/>
        <v>237/237/OFF</v>
      </c>
      <c r="AT1066" s="1078" t="str">
        <f t="shared" si="139"/>
        <v>1-4-1S83°Z+S</v>
      </c>
      <c r="AU1066" s="1078" t="s">
        <v>15547</v>
      </c>
      <c r="AV1066" s="1078" t="str">
        <f t="shared" si="132"/>
        <v>109.5.8</v>
      </c>
      <c r="AW1066" s="1344">
        <f t="shared" si="133"/>
        <v>43959</v>
      </c>
    </row>
    <row r="1067" spans="1:49">
      <c r="A1067" s="1077" t="s">
        <v>4123</v>
      </c>
      <c r="B1067" s="1077" t="s">
        <v>4062</v>
      </c>
      <c r="C1067" s="1077">
        <v>650</v>
      </c>
      <c r="D1067" s="1077">
        <v>1.73</v>
      </c>
      <c r="E1067" s="1077" t="s">
        <v>15095</v>
      </c>
      <c r="F1067" s="1077" t="s">
        <v>1897</v>
      </c>
      <c r="G1067" s="1077">
        <v>5</v>
      </c>
      <c r="H1067" s="1077" t="s">
        <v>1226</v>
      </c>
      <c r="I1067" s="1077" t="s">
        <v>126</v>
      </c>
      <c r="J1067" s="1077">
        <v>1.1000000000000001</v>
      </c>
      <c r="K1067" s="1077" t="s">
        <v>4124</v>
      </c>
      <c r="L1067" s="1077" t="s">
        <v>4080</v>
      </c>
      <c r="M1067" s="1077">
        <v>103.3</v>
      </c>
      <c r="N1067" s="1077" t="s">
        <v>945</v>
      </c>
      <c r="O1067" s="1077">
        <v>2.5825</v>
      </c>
      <c r="P1067" s="1077">
        <v>2.0659999999999998</v>
      </c>
      <c r="Q1067" s="1077" t="s">
        <v>988</v>
      </c>
      <c r="R1067" s="1077">
        <v>21.5</v>
      </c>
      <c r="T1067" s="1077">
        <v>11.1</v>
      </c>
      <c r="U1067" s="1077">
        <v>5.2</v>
      </c>
      <c r="V1067" s="1077" t="s">
        <v>648</v>
      </c>
      <c r="W1067" s="1077">
        <v>125</v>
      </c>
      <c r="X1067" s="1077">
        <v>80</v>
      </c>
      <c r="Y1067" s="1077">
        <v>1.5</v>
      </c>
      <c r="Z1067" s="1077">
        <v>4</v>
      </c>
      <c r="AA1067" s="1077" t="s">
        <v>2572</v>
      </c>
      <c r="AH1067" s="1077" t="s">
        <v>966</v>
      </c>
      <c r="AM1067" s="1078" t="s">
        <v>11153</v>
      </c>
      <c r="AN1067" s="1078" t="s">
        <v>11154</v>
      </c>
      <c r="AO1067" s="1078">
        <f t="shared" si="134"/>
        <v>650</v>
      </c>
      <c r="AP1067" s="1078">
        <f t="shared" si="135"/>
        <v>1.73</v>
      </c>
      <c r="AQ1067" s="1078" t="str">
        <f t="shared" si="136"/>
        <v>1-5-1S83°</v>
      </c>
      <c r="AR1067" s="1078" t="str">
        <f t="shared" si="137"/>
        <v>30.8</v>
      </c>
      <c r="AS1067" s="1078" t="str">
        <f t="shared" si="138"/>
        <v>230/230/OFF</v>
      </c>
      <c r="AT1067" s="1078" t="str">
        <f t="shared" si="139"/>
        <v>1-5-1S83°</v>
      </c>
      <c r="AV1067" s="1078" t="str">
        <f t="shared" si="132"/>
        <v>108.3.18</v>
      </c>
      <c r="AW1067" s="1344">
        <f t="shared" si="133"/>
        <v>43542</v>
      </c>
    </row>
    <row r="1068" spans="1:49">
      <c r="A1068" s="1077" t="s">
        <v>4125</v>
      </c>
      <c r="B1068" s="1077" t="s">
        <v>4062</v>
      </c>
      <c r="C1068" s="1077">
        <v>650</v>
      </c>
      <c r="D1068" s="1077">
        <v>1.72</v>
      </c>
      <c r="E1068" s="1077" t="s">
        <v>15095</v>
      </c>
      <c r="F1068" s="1077" t="s">
        <v>1897</v>
      </c>
      <c r="G1068" s="1077">
        <v>5</v>
      </c>
      <c r="H1068" s="1077" t="s">
        <v>1226</v>
      </c>
      <c r="I1068" s="1077" t="s">
        <v>126</v>
      </c>
      <c r="J1068" s="1077">
        <v>1.1000000000000001</v>
      </c>
      <c r="K1068" s="1077" t="s">
        <v>4126</v>
      </c>
      <c r="L1068" s="1077" t="s">
        <v>4127</v>
      </c>
      <c r="M1068" s="1077">
        <v>103.3</v>
      </c>
      <c r="N1068" s="1077" t="s">
        <v>945</v>
      </c>
      <c r="O1068" s="1077">
        <v>2.5825</v>
      </c>
      <c r="P1068" s="1077">
        <v>2.0659999999999998</v>
      </c>
      <c r="Q1068" s="1077" t="s">
        <v>988</v>
      </c>
      <c r="R1068" s="1077">
        <v>21.5</v>
      </c>
      <c r="T1068" s="1077">
        <v>11.1</v>
      </c>
      <c r="U1068" s="1077">
        <v>5.2</v>
      </c>
      <c r="V1068" s="1077" t="s">
        <v>648</v>
      </c>
      <c r="W1068" s="1077">
        <v>125</v>
      </c>
      <c r="X1068" s="1077">
        <v>80</v>
      </c>
      <c r="Y1068" s="1077">
        <v>1.5</v>
      </c>
      <c r="Z1068" s="1077">
        <v>4</v>
      </c>
      <c r="AA1068" s="1077" t="s">
        <v>4128</v>
      </c>
      <c r="AH1068" s="1077" t="s">
        <v>483</v>
      </c>
      <c r="AM1068" s="1078" t="s">
        <v>11155</v>
      </c>
      <c r="AN1068" s="1078" t="s">
        <v>11156</v>
      </c>
      <c r="AO1068" s="1078">
        <f t="shared" si="134"/>
        <v>650</v>
      </c>
      <c r="AP1068" s="1078">
        <f t="shared" si="135"/>
        <v>1.72</v>
      </c>
      <c r="AQ1068" s="1078" t="str">
        <f t="shared" si="136"/>
        <v>1-5-1S83°</v>
      </c>
      <c r="AR1068" s="1078" t="str">
        <f t="shared" si="137"/>
        <v>30.8</v>
      </c>
      <c r="AS1068" s="1078" t="str">
        <f t="shared" si="138"/>
        <v>230/230/OFF</v>
      </c>
      <c r="AT1068" s="1078" t="str">
        <f t="shared" si="139"/>
        <v>1-5-1S83°</v>
      </c>
      <c r="AV1068" s="1078" t="str">
        <f t="shared" si="132"/>
        <v>108.3.20</v>
      </c>
      <c r="AW1068" s="1344">
        <f t="shared" si="133"/>
        <v>43544</v>
      </c>
    </row>
    <row r="1069" spans="1:49">
      <c r="A1069" s="1077" t="s">
        <v>4129</v>
      </c>
      <c r="B1069" s="1077" t="s">
        <v>4062</v>
      </c>
      <c r="C1069" s="1077">
        <v>550</v>
      </c>
      <c r="D1069" s="1077">
        <v>1.69</v>
      </c>
      <c r="E1069" s="1077" t="s">
        <v>15095</v>
      </c>
      <c r="F1069" s="1077" t="s">
        <v>1897</v>
      </c>
      <c r="G1069" s="1077">
        <v>5</v>
      </c>
      <c r="H1069" s="1077" t="s">
        <v>2295</v>
      </c>
      <c r="I1069" s="1077" t="s">
        <v>126</v>
      </c>
      <c r="J1069" s="1077">
        <v>1</v>
      </c>
      <c r="K1069" s="1077" t="s">
        <v>4114</v>
      </c>
      <c r="L1069" s="1077" t="s">
        <v>4064</v>
      </c>
      <c r="M1069" s="1077">
        <v>103.3</v>
      </c>
      <c r="N1069" s="1077" t="s">
        <v>945</v>
      </c>
      <c r="O1069" s="1077">
        <v>2.5825</v>
      </c>
      <c r="P1069" s="1077">
        <v>2.0659999999999998</v>
      </c>
      <c r="Q1069" s="1077" t="s">
        <v>1037</v>
      </c>
      <c r="R1069" s="1077">
        <v>25</v>
      </c>
      <c r="T1069" s="1077">
        <v>10</v>
      </c>
      <c r="U1069" s="1077">
        <v>5.8</v>
      </c>
      <c r="V1069" s="1077" t="s">
        <v>648</v>
      </c>
      <c r="W1069" s="1077">
        <v>125</v>
      </c>
      <c r="X1069" s="1077">
        <v>80</v>
      </c>
      <c r="Y1069" s="1077">
        <v>1.5</v>
      </c>
      <c r="Z1069" s="1077">
        <v>4</v>
      </c>
      <c r="AA1069" s="1077" t="s">
        <v>4130</v>
      </c>
      <c r="AH1069" s="1077" t="s">
        <v>1238</v>
      </c>
      <c r="AM1069" s="1078" t="s">
        <v>11157</v>
      </c>
      <c r="AN1069" s="1078" t="s">
        <v>11158</v>
      </c>
      <c r="AO1069" s="1078">
        <f t="shared" si="134"/>
        <v>550</v>
      </c>
      <c r="AP1069" s="1078">
        <f t="shared" si="135"/>
        <v>1.69</v>
      </c>
      <c r="AQ1069" s="1078" t="str">
        <f t="shared" si="136"/>
        <v>1-5-1S83°</v>
      </c>
      <c r="AR1069" s="1078" t="str">
        <f t="shared" si="137"/>
        <v>30.8</v>
      </c>
      <c r="AS1069" s="1078" t="str">
        <f t="shared" si="138"/>
        <v>205/205/OFF</v>
      </c>
      <c r="AT1069" s="1078" t="str">
        <f t="shared" si="139"/>
        <v>1-5-1S83°</v>
      </c>
      <c r="AV1069" s="1078" t="str">
        <f t="shared" si="132"/>
        <v>109.1.3</v>
      </c>
      <c r="AW1069" s="1344">
        <f t="shared" si="133"/>
        <v>43833</v>
      </c>
    </row>
    <row r="1070" spans="1:49">
      <c r="A1070" s="1077" t="s">
        <v>4131</v>
      </c>
      <c r="B1070" s="1077" t="s">
        <v>4062</v>
      </c>
      <c r="C1070" s="1077">
        <v>550</v>
      </c>
      <c r="D1070" s="1077">
        <v>1.66</v>
      </c>
      <c r="E1070" s="1077" t="s">
        <v>15095</v>
      </c>
      <c r="F1070" s="1077" t="s">
        <v>1897</v>
      </c>
      <c r="G1070" s="1077">
        <v>5</v>
      </c>
      <c r="H1070" s="1077" t="s">
        <v>2295</v>
      </c>
      <c r="I1070" s="1077" t="s">
        <v>126</v>
      </c>
      <c r="J1070" s="1077">
        <v>1</v>
      </c>
      <c r="K1070" s="1077" t="s">
        <v>4132</v>
      </c>
      <c r="L1070" s="1077" t="s">
        <v>4064</v>
      </c>
      <c r="M1070" s="1077">
        <v>103.3</v>
      </c>
      <c r="N1070" s="1077" t="s">
        <v>945</v>
      </c>
      <c r="O1070" s="1077">
        <v>2.5825</v>
      </c>
      <c r="P1070" s="1077">
        <v>2.0659999999999998</v>
      </c>
      <c r="Q1070" s="1077">
        <v>4</v>
      </c>
      <c r="R1070" s="1077">
        <v>25</v>
      </c>
      <c r="T1070" s="1077">
        <v>10</v>
      </c>
      <c r="U1070" s="1077">
        <v>5.8</v>
      </c>
      <c r="V1070" s="1077" t="s">
        <v>648</v>
      </c>
      <c r="W1070" s="1077">
        <v>125</v>
      </c>
      <c r="X1070" s="1077">
        <v>80</v>
      </c>
      <c r="Y1070" s="1077">
        <v>1.5</v>
      </c>
      <c r="Z1070" s="1077">
        <v>4</v>
      </c>
      <c r="AA1070" s="1077" t="s">
        <v>4133</v>
      </c>
      <c r="AH1070" s="1077" t="s">
        <v>884</v>
      </c>
      <c r="AM1070" s="1078" t="s">
        <v>11159</v>
      </c>
      <c r="AN1070" s="1078" t="s">
        <v>11160</v>
      </c>
      <c r="AO1070" s="1078">
        <f t="shared" si="134"/>
        <v>550</v>
      </c>
      <c r="AP1070" s="1078">
        <f t="shared" si="135"/>
        <v>1.66</v>
      </c>
      <c r="AQ1070" s="1078" t="str">
        <f t="shared" si="136"/>
        <v>1-5-1S83°</v>
      </c>
      <c r="AR1070" s="1078" t="str">
        <f t="shared" si="137"/>
        <v>30.8</v>
      </c>
      <c r="AS1070" s="1078" t="str">
        <f t="shared" si="138"/>
        <v>205/205/OFF</v>
      </c>
      <c r="AT1070" s="1078" t="str">
        <f t="shared" si="139"/>
        <v>1-5-1S83°</v>
      </c>
      <c r="AV1070" s="1078" t="str">
        <f t="shared" si="132"/>
        <v>110.5.17</v>
      </c>
      <c r="AW1070" s="1344">
        <f t="shared" si="133"/>
        <v>44333</v>
      </c>
    </row>
    <row r="1071" spans="1:49">
      <c r="A1071" s="1077" t="s">
        <v>4134</v>
      </c>
      <c r="B1071" s="1077" t="s">
        <v>4062</v>
      </c>
      <c r="C1071" s="1077">
        <v>550</v>
      </c>
      <c r="D1071" s="1077">
        <v>1.71</v>
      </c>
      <c r="E1071" s="1077" t="s">
        <v>15095</v>
      </c>
      <c r="F1071" s="1077" t="s">
        <v>2234</v>
      </c>
      <c r="G1071" s="1077">
        <v>5</v>
      </c>
      <c r="H1071" s="1077" t="s">
        <v>1274</v>
      </c>
      <c r="I1071" s="1077" t="s">
        <v>126</v>
      </c>
      <c r="J1071" s="1077">
        <v>0.9</v>
      </c>
      <c r="K1071" s="1077" t="s">
        <v>4135</v>
      </c>
      <c r="L1071" s="1077" t="s">
        <v>4080</v>
      </c>
      <c r="M1071" s="1077">
        <v>103.3</v>
      </c>
      <c r="N1071" s="1077" t="s">
        <v>945</v>
      </c>
      <c r="O1071" s="1077">
        <v>2.5825</v>
      </c>
      <c r="P1071" s="1077">
        <v>2.0659999999999998</v>
      </c>
      <c r="Q1071" s="1077">
        <v>4</v>
      </c>
      <c r="R1071" s="1077">
        <v>25</v>
      </c>
      <c r="T1071" s="1077">
        <v>10</v>
      </c>
      <c r="U1071" s="1077">
        <v>5.8</v>
      </c>
      <c r="V1071" s="1077" t="s">
        <v>648</v>
      </c>
      <c r="W1071" s="1077">
        <v>125</v>
      </c>
      <c r="X1071" s="1077">
        <v>80</v>
      </c>
      <c r="Y1071" s="1077">
        <v>1.5</v>
      </c>
      <c r="Z1071" s="1077">
        <v>4</v>
      </c>
      <c r="AA1071" s="1077" t="s">
        <v>3888</v>
      </c>
      <c r="AH1071" s="1077" t="s">
        <v>2609</v>
      </c>
      <c r="AM1071" s="1078" t="s">
        <v>11161</v>
      </c>
      <c r="AN1071" s="1078" t="s">
        <v>11162</v>
      </c>
      <c r="AO1071" s="1078">
        <f t="shared" si="134"/>
        <v>550</v>
      </c>
      <c r="AP1071" s="1078">
        <f t="shared" si="135"/>
        <v>1.71</v>
      </c>
      <c r="AQ1071" s="1078" t="str">
        <f t="shared" si="136"/>
        <v>1-5-1S83°</v>
      </c>
      <c r="AR1071" s="1078" t="str">
        <f t="shared" si="137"/>
        <v>33.5</v>
      </c>
      <c r="AS1071" s="1078" t="str">
        <f t="shared" si="138"/>
        <v>210/210/OFF</v>
      </c>
      <c r="AT1071" s="1078" t="str">
        <f t="shared" si="139"/>
        <v>1-5-1S83°</v>
      </c>
      <c r="AV1071" s="1078" t="str">
        <f t="shared" si="132"/>
        <v>110.10.14</v>
      </c>
      <c r="AW1071" s="1344">
        <f t="shared" si="133"/>
        <v>44483</v>
      </c>
    </row>
    <row r="1072" spans="1:49">
      <c r="A1072" s="1077" t="s">
        <v>4136</v>
      </c>
      <c r="B1072" s="1077" t="s">
        <v>4083</v>
      </c>
      <c r="C1072" s="1077">
        <v>600</v>
      </c>
      <c r="D1072" s="1077">
        <v>1.77</v>
      </c>
      <c r="E1072" s="1077" t="s">
        <v>15089</v>
      </c>
      <c r="F1072" s="1077" t="s">
        <v>954</v>
      </c>
      <c r="G1072" s="1077" t="s">
        <v>1767</v>
      </c>
      <c r="H1072" s="1077" t="s">
        <v>4118</v>
      </c>
      <c r="I1072" s="1077" t="s">
        <v>126</v>
      </c>
      <c r="J1072" s="1077">
        <v>2</v>
      </c>
      <c r="K1072" s="1077" t="s">
        <v>4137</v>
      </c>
      <c r="L1072" s="1077" t="s">
        <v>4085</v>
      </c>
      <c r="M1072" s="1077">
        <v>101.6</v>
      </c>
      <c r="N1072" s="1077" t="s">
        <v>945</v>
      </c>
      <c r="O1072" s="1077">
        <v>2.54</v>
      </c>
      <c r="P1072" s="1077">
        <v>2.032</v>
      </c>
      <c r="Q1072" s="1077" t="s">
        <v>1277</v>
      </c>
      <c r="R1072" s="1077">
        <v>20.5</v>
      </c>
      <c r="T1072" s="1077">
        <v>26.9</v>
      </c>
      <c r="U1072" s="1077">
        <v>4</v>
      </c>
      <c r="V1072" s="1077" t="s">
        <v>648</v>
      </c>
      <c r="W1072" s="1077">
        <v>125</v>
      </c>
      <c r="X1072" s="1077">
        <v>75</v>
      </c>
      <c r="Y1072" s="1077">
        <v>1.5</v>
      </c>
      <c r="Z1072" s="1077">
        <v>5.5</v>
      </c>
      <c r="AA1072" s="1077" t="s">
        <v>2411</v>
      </c>
      <c r="AH1072" s="1077" t="s">
        <v>884</v>
      </c>
      <c r="AM1072" s="1078" t="s">
        <v>11163</v>
      </c>
      <c r="AN1072" s="1078" t="s">
        <v>11164</v>
      </c>
      <c r="AO1072" s="1078">
        <f t="shared" si="134"/>
        <v>600</v>
      </c>
      <c r="AP1072" s="1078">
        <f t="shared" si="135"/>
        <v>1.77</v>
      </c>
      <c r="AQ1072" s="1078" t="str">
        <f t="shared" si="136"/>
        <v>1-4-1S83°</v>
      </c>
      <c r="AR1072" s="1078" t="str">
        <f t="shared" si="137"/>
        <v>31</v>
      </c>
      <c r="AS1072" s="1078" t="str">
        <f t="shared" si="138"/>
        <v>280/260/OFF</v>
      </c>
      <c r="AT1072" s="1078" t="str">
        <f t="shared" si="139"/>
        <v>1-4-1S83°</v>
      </c>
      <c r="AV1072" s="1078" t="str">
        <f t="shared" si="132"/>
        <v>109.5.20</v>
      </c>
      <c r="AW1072" s="1344">
        <f t="shared" si="133"/>
        <v>43971</v>
      </c>
    </row>
    <row r="1073" spans="1:49">
      <c r="A1073" s="1077" t="s">
        <v>4138</v>
      </c>
      <c r="B1073" s="1077" t="s">
        <v>4121</v>
      </c>
      <c r="C1073" s="1077">
        <v>650</v>
      </c>
      <c r="D1073" s="1077">
        <v>1.68</v>
      </c>
      <c r="E1073" s="1077" t="s">
        <v>15104</v>
      </c>
      <c r="F1073" s="1077" t="s">
        <v>648</v>
      </c>
      <c r="G1073" s="1077">
        <v>4</v>
      </c>
      <c r="H1073" s="1077" t="s">
        <v>2326</v>
      </c>
      <c r="I1073" s="1077" t="s">
        <v>126</v>
      </c>
      <c r="J1073" s="1077">
        <v>1</v>
      </c>
      <c r="K1073" s="1077" t="s">
        <v>4139</v>
      </c>
      <c r="L1073" s="1077" t="s">
        <v>1429</v>
      </c>
      <c r="M1073" s="1077">
        <v>103.8</v>
      </c>
      <c r="N1073" s="1077" t="s">
        <v>945</v>
      </c>
      <c r="O1073" s="1077">
        <v>2.5950000000000002</v>
      </c>
      <c r="P1073" s="1077">
        <v>2.0760000000000001</v>
      </c>
      <c r="Q1073" s="1077" t="s">
        <v>1277</v>
      </c>
      <c r="R1073" s="1077">
        <v>22.7</v>
      </c>
      <c r="T1073" s="1077">
        <v>19</v>
      </c>
      <c r="U1073" s="1077">
        <v>3.4</v>
      </c>
      <c r="V1073" s="1077" t="s">
        <v>648</v>
      </c>
      <c r="W1073" s="1077">
        <v>120</v>
      </c>
      <c r="X1073" s="1077">
        <v>80</v>
      </c>
      <c r="Y1073" s="1077">
        <v>1.4</v>
      </c>
      <c r="Z1073" s="1077" t="s">
        <v>648</v>
      </c>
      <c r="AA1073" s="1077" t="s">
        <v>1084</v>
      </c>
      <c r="AH1073" s="1077" t="s">
        <v>812</v>
      </c>
      <c r="AM1073" s="1078" t="s">
        <v>11165</v>
      </c>
      <c r="AN1073" s="1078" t="s">
        <v>11166</v>
      </c>
      <c r="AO1073" s="1078">
        <f t="shared" si="134"/>
        <v>650</v>
      </c>
      <c r="AP1073" s="1078">
        <f t="shared" si="135"/>
        <v>1.68</v>
      </c>
      <c r="AQ1073" s="1078" t="str">
        <f t="shared" si="136"/>
        <v>1-4-1S85°Z+S</v>
      </c>
      <c r="AR1073" s="1078" t="str">
        <f t="shared" si="137"/>
        <v>NA</v>
      </c>
      <c r="AS1073" s="1078" t="str">
        <f t="shared" si="138"/>
        <v>173/OFF</v>
      </c>
      <c r="AT1073" s="1078" t="str">
        <f t="shared" si="139"/>
        <v>1-4-1S85°Z+S</v>
      </c>
      <c r="AU1073" s="1078" t="s">
        <v>15547</v>
      </c>
      <c r="AV1073" s="1078" t="str">
        <f t="shared" si="132"/>
        <v>109.8.3</v>
      </c>
      <c r="AW1073" s="1344">
        <f t="shared" si="133"/>
        <v>44046</v>
      </c>
    </row>
    <row r="1074" spans="1:49">
      <c r="A1074" s="1077" t="s">
        <v>4140</v>
      </c>
      <c r="B1074" s="1077" t="s">
        <v>4121</v>
      </c>
      <c r="C1074" s="1077">
        <v>650</v>
      </c>
      <c r="D1074" s="1077">
        <v>1.67</v>
      </c>
      <c r="E1074" s="1077" t="s">
        <v>15104</v>
      </c>
      <c r="F1074" s="1077" t="s">
        <v>648</v>
      </c>
      <c r="G1074" s="1077">
        <v>4</v>
      </c>
      <c r="H1074" s="1077" t="s">
        <v>2326</v>
      </c>
      <c r="I1074" s="1077" t="s">
        <v>126</v>
      </c>
      <c r="J1074" s="1077">
        <v>1</v>
      </c>
      <c r="K1074" s="1077" t="s">
        <v>4141</v>
      </c>
      <c r="L1074" s="1077" t="s">
        <v>1036</v>
      </c>
      <c r="M1074" s="1077">
        <v>103.8</v>
      </c>
      <c r="N1074" s="1077" t="s">
        <v>945</v>
      </c>
      <c r="O1074" s="1077">
        <v>2.5950000000000002</v>
      </c>
      <c r="P1074" s="1077">
        <v>2.0760000000000001</v>
      </c>
      <c r="Q1074" s="1077" t="s">
        <v>1321</v>
      </c>
      <c r="R1074" s="1077">
        <v>22.7</v>
      </c>
      <c r="T1074" s="1077">
        <v>19</v>
      </c>
      <c r="U1074" s="1077">
        <v>3.4</v>
      </c>
      <c r="V1074" s="1077" t="s">
        <v>648</v>
      </c>
      <c r="W1074" s="1077">
        <v>120</v>
      </c>
      <c r="X1074" s="1077">
        <v>80</v>
      </c>
      <c r="Y1074" s="1077">
        <v>1.4</v>
      </c>
      <c r="Z1074" s="1077" t="s">
        <v>648</v>
      </c>
      <c r="AA1074" s="1077" t="s">
        <v>4142</v>
      </c>
      <c r="AH1074" s="1077" t="s">
        <v>1178</v>
      </c>
      <c r="AM1074" s="1078" t="s">
        <v>11167</v>
      </c>
      <c r="AN1074" s="1078" t="s">
        <v>11168</v>
      </c>
      <c r="AO1074" s="1078">
        <f t="shared" si="134"/>
        <v>650</v>
      </c>
      <c r="AP1074" s="1078">
        <f t="shared" si="135"/>
        <v>1.67</v>
      </c>
      <c r="AQ1074" s="1078" t="str">
        <f t="shared" si="136"/>
        <v>1-4-1S85°Z+S</v>
      </c>
      <c r="AR1074" s="1078" t="str">
        <f t="shared" si="137"/>
        <v>NA</v>
      </c>
      <c r="AS1074" s="1078" t="str">
        <f t="shared" si="138"/>
        <v>173/OFF</v>
      </c>
      <c r="AT1074" s="1078" t="str">
        <f t="shared" si="139"/>
        <v>1-4-1S85°Z+S</v>
      </c>
      <c r="AU1074" s="1078" t="s">
        <v>15547</v>
      </c>
      <c r="AV1074" s="1078" t="str">
        <f t="shared" si="132"/>
        <v>109.8.22</v>
      </c>
      <c r="AW1074" s="1344">
        <f t="shared" si="133"/>
        <v>44065</v>
      </c>
    </row>
    <row r="1075" spans="1:49">
      <c r="A1075" s="1077" t="s">
        <v>4143</v>
      </c>
      <c r="B1075" s="1077" t="s">
        <v>4083</v>
      </c>
      <c r="C1075" s="1077">
        <v>600</v>
      </c>
      <c r="D1075" s="1077">
        <v>1.75</v>
      </c>
      <c r="E1075" s="1077" t="s">
        <v>15102</v>
      </c>
      <c r="F1075" s="1077" t="s">
        <v>984</v>
      </c>
      <c r="G1075" s="1077" t="s">
        <v>1767</v>
      </c>
      <c r="H1075" s="1077" t="s">
        <v>1166</v>
      </c>
      <c r="I1075" s="1077" t="s">
        <v>1167</v>
      </c>
      <c r="J1075" s="1077">
        <v>2.2999999999999998</v>
      </c>
      <c r="K1075" s="1077" t="s">
        <v>4137</v>
      </c>
      <c r="L1075" s="1077" t="s">
        <v>4085</v>
      </c>
      <c r="M1075" s="1077">
        <v>101.6</v>
      </c>
      <c r="N1075" s="1077" t="s">
        <v>945</v>
      </c>
      <c r="O1075" s="1077">
        <v>2.54</v>
      </c>
      <c r="P1075" s="1077">
        <v>2.032</v>
      </c>
      <c r="Q1075" s="1077" t="s">
        <v>1277</v>
      </c>
      <c r="R1075" s="1077">
        <v>20.5</v>
      </c>
      <c r="T1075" s="1077">
        <v>26.9</v>
      </c>
      <c r="U1075" s="1077">
        <v>4</v>
      </c>
      <c r="V1075" s="1077" t="s">
        <v>648</v>
      </c>
      <c r="W1075" s="1077">
        <v>125</v>
      </c>
      <c r="X1075" s="1077">
        <v>75</v>
      </c>
      <c r="Y1075" s="1077">
        <v>1.5</v>
      </c>
      <c r="Z1075" s="1077" t="s">
        <v>2943</v>
      </c>
      <c r="AA1075" s="1077" t="s">
        <v>4144</v>
      </c>
      <c r="AH1075" s="1077" t="s">
        <v>785</v>
      </c>
      <c r="AM1075" s="1078" t="s">
        <v>11169</v>
      </c>
      <c r="AN1075" s="1078" t="s">
        <v>11170</v>
      </c>
      <c r="AO1075" s="1078">
        <f t="shared" si="134"/>
        <v>600</v>
      </c>
      <c r="AP1075" s="1078">
        <f t="shared" si="135"/>
        <v>1.75</v>
      </c>
      <c r="AQ1075" s="1078" t="str">
        <f t="shared" si="136"/>
        <v>2-6-1S83°</v>
      </c>
      <c r="AR1075" s="1078" t="str">
        <f t="shared" si="137"/>
        <v>30</v>
      </c>
      <c r="AS1075" s="1078" t="str">
        <f t="shared" si="138"/>
        <v>170/OFF</v>
      </c>
      <c r="AT1075" s="1078" t="str">
        <f t="shared" si="139"/>
        <v>2-6-1S83°</v>
      </c>
      <c r="AV1075" s="1078" t="str">
        <f t="shared" si="132"/>
        <v>109.9.22</v>
      </c>
      <c r="AW1075" s="1344">
        <f t="shared" si="133"/>
        <v>44096</v>
      </c>
    </row>
    <row r="1076" spans="1:49">
      <c r="A1076" s="1077" t="s">
        <v>4145</v>
      </c>
      <c r="B1076" s="1077" t="s">
        <v>4113</v>
      </c>
      <c r="C1076" s="1077">
        <v>550</v>
      </c>
      <c r="D1076" s="1077">
        <v>1.73</v>
      </c>
      <c r="E1076" s="1077" t="s">
        <v>15095</v>
      </c>
      <c r="F1076" s="1077" t="s">
        <v>2234</v>
      </c>
      <c r="G1076" s="1077">
        <v>5</v>
      </c>
      <c r="H1076" s="1077" t="s">
        <v>3993</v>
      </c>
      <c r="I1076" s="1077" t="s">
        <v>126</v>
      </c>
      <c r="J1076" s="1077">
        <v>0.9</v>
      </c>
      <c r="K1076" s="1077" t="s">
        <v>4146</v>
      </c>
      <c r="L1076" s="1077" t="s">
        <v>4147</v>
      </c>
      <c r="M1076" s="1077">
        <v>101</v>
      </c>
      <c r="N1076" s="1077" t="s">
        <v>945</v>
      </c>
      <c r="O1076" s="1077">
        <v>2.5250000000000004</v>
      </c>
      <c r="P1076" s="1077">
        <v>2.02</v>
      </c>
      <c r="Q1076" s="1077" t="s">
        <v>1277</v>
      </c>
      <c r="R1076" s="1077">
        <v>21.5</v>
      </c>
      <c r="T1076" s="1077">
        <v>11.1</v>
      </c>
      <c r="U1076" s="1077">
        <v>5.2</v>
      </c>
      <c r="V1076" s="1077" t="s">
        <v>648</v>
      </c>
      <c r="W1076" s="1077">
        <v>125</v>
      </c>
      <c r="X1076" s="1077">
        <v>80</v>
      </c>
      <c r="Y1076" s="1077">
        <v>2</v>
      </c>
      <c r="Z1076" s="1077" t="s">
        <v>1195</v>
      </c>
      <c r="AA1076" s="1077" t="s">
        <v>1193</v>
      </c>
      <c r="AH1076" s="1077" t="s">
        <v>1221</v>
      </c>
      <c r="AM1076" s="1078" t="s">
        <v>11171</v>
      </c>
      <c r="AN1076" s="1078" t="s">
        <v>11172</v>
      </c>
      <c r="AO1076" s="1078">
        <f t="shared" si="134"/>
        <v>550</v>
      </c>
      <c r="AP1076" s="1078">
        <f t="shared" si="135"/>
        <v>1.73</v>
      </c>
      <c r="AQ1076" s="1078" t="str">
        <f t="shared" si="136"/>
        <v>1-5-1S83°</v>
      </c>
      <c r="AR1076" s="1078" t="str">
        <f t="shared" si="137"/>
        <v>33.5</v>
      </c>
      <c r="AS1076" s="1078" t="str">
        <f t="shared" si="138"/>
        <v>218/218/OFF</v>
      </c>
      <c r="AT1076" s="1078" t="str">
        <f t="shared" si="139"/>
        <v>1-5-1S83°</v>
      </c>
      <c r="AV1076" s="1078" t="str">
        <f t="shared" si="132"/>
        <v>109.11.2</v>
      </c>
      <c r="AW1076" s="1344">
        <f t="shared" si="133"/>
        <v>44137</v>
      </c>
    </row>
    <row r="1077" spans="1:49">
      <c r="A1077" s="1077" t="s">
        <v>4148</v>
      </c>
      <c r="B1077" s="1077" t="s">
        <v>4149</v>
      </c>
      <c r="C1077" s="1077">
        <v>700</v>
      </c>
      <c r="D1077" s="1077">
        <v>1.82</v>
      </c>
      <c r="E1077" s="1077" t="s">
        <v>15095</v>
      </c>
      <c r="F1077" s="1077" t="s">
        <v>984</v>
      </c>
      <c r="G1077" s="1077">
        <v>4</v>
      </c>
      <c r="H1077" s="1077" t="s">
        <v>2642</v>
      </c>
      <c r="I1077" s="1077" t="s">
        <v>460</v>
      </c>
      <c r="J1077" s="1077">
        <v>1.7</v>
      </c>
      <c r="K1077" s="1077" t="s">
        <v>4150</v>
      </c>
      <c r="L1077" s="1077" t="s">
        <v>4151</v>
      </c>
      <c r="M1077" s="1077">
        <v>98</v>
      </c>
      <c r="N1077" s="1077" t="s">
        <v>945</v>
      </c>
      <c r="O1077" s="1077">
        <v>2.4500000000000002</v>
      </c>
      <c r="P1077" s="1077">
        <v>1.96</v>
      </c>
      <c r="Q1077" s="1077" t="s">
        <v>1012</v>
      </c>
      <c r="R1077" s="1077">
        <v>27.3</v>
      </c>
      <c r="T1077" s="1077">
        <v>11.6</v>
      </c>
      <c r="U1077" s="1077">
        <v>4.0999999999999996</v>
      </c>
      <c r="V1077" s="1077" t="s">
        <v>648</v>
      </c>
      <c r="W1077" s="1077">
        <v>100</v>
      </c>
      <c r="X1077" s="1077">
        <v>85</v>
      </c>
      <c r="Y1077" s="1077">
        <v>1.5</v>
      </c>
      <c r="Z1077" s="1077" t="s">
        <v>4152</v>
      </c>
      <c r="AA1077" s="1077" t="s">
        <v>3236</v>
      </c>
      <c r="AH1077" s="1077" t="s">
        <v>878</v>
      </c>
      <c r="AM1077" s="1078" t="s">
        <v>11173</v>
      </c>
      <c r="AN1077" s="1078" t="s">
        <v>11174</v>
      </c>
      <c r="AO1077" s="1078">
        <f t="shared" si="134"/>
        <v>700</v>
      </c>
      <c r="AP1077" s="1078">
        <f t="shared" si="135"/>
        <v>1.82</v>
      </c>
      <c r="AQ1077" s="1078" t="str">
        <f t="shared" si="136"/>
        <v>1-5-1S83°</v>
      </c>
      <c r="AR1077" s="1078" t="str">
        <f t="shared" si="137"/>
        <v>30</v>
      </c>
      <c r="AS1077" s="1078" t="str">
        <f t="shared" si="138"/>
        <v>280/280/155</v>
      </c>
      <c r="AT1077" s="1078" t="str">
        <f t="shared" si="139"/>
        <v>1-5-1S83°</v>
      </c>
      <c r="AV1077" s="1078" t="str">
        <f t="shared" si="132"/>
        <v>109.11.19</v>
      </c>
      <c r="AW1077" s="1344">
        <f t="shared" si="133"/>
        <v>44154</v>
      </c>
    </row>
    <row r="1078" spans="1:49">
      <c r="A1078" s="1077" t="s">
        <v>4153</v>
      </c>
      <c r="B1078" s="1077" t="s">
        <v>4149</v>
      </c>
      <c r="C1078" s="1077">
        <v>700</v>
      </c>
      <c r="D1078" s="1077">
        <v>1.82</v>
      </c>
      <c r="E1078" s="1077" t="s">
        <v>15095</v>
      </c>
      <c r="F1078" s="1077" t="s">
        <v>984</v>
      </c>
      <c r="G1078" s="1077">
        <v>4</v>
      </c>
      <c r="H1078" s="1077" t="s">
        <v>2642</v>
      </c>
      <c r="I1078" s="1077" t="s">
        <v>460</v>
      </c>
      <c r="J1078" s="1077">
        <v>1.7</v>
      </c>
      <c r="K1078" s="1077" t="s">
        <v>4154</v>
      </c>
      <c r="L1078" s="1077" t="s">
        <v>4151</v>
      </c>
      <c r="M1078" s="1077">
        <v>98</v>
      </c>
      <c r="N1078" s="1077" t="s">
        <v>945</v>
      </c>
      <c r="O1078" s="1077">
        <v>2.4500000000000002</v>
      </c>
      <c r="P1078" s="1077">
        <v>1.96</v>
      </c>
      <c r="Q1078" s="1077" t="s">
        <v>1012</v>
      </c>
      <c r="R1078" s="1077">
        <v>27.3</v>
      </c>
      <c r="T1078" s="1077">
        <v>11.6</v>
      </c>
      <c r="U1078" s="1077">
        <v>4.0999999999999996</v>
      </c>
      <c r="V1078" s="1077" t="s">
        <v>648</v>
      </c>
      <c r="W1078" s="1077">
        <v>100</v>
      </c>
      <c r="X1078" s="1077">
        <v>85</v>
      </c>
      <c r="Y1078" s="1077">
        <v>1.5</v>
      </c>
      <c r="Z1078" s="1077" t="s">
        <v>4155</v>
      </c>
      <c r="AA1078" s="1077" t="s">
        <v>1201</v>
      </c>
      <c r="AH1078" s="1077" t="s">
        <v>990</v>
      </c>
      <c r="AM1078" s="1078" t="s">
        <v>11175</v>
      </c>
      <c r="AN1078" s="1078" t="s">
        <v>11176</v>
      </c>
      <c r="AO1078" s="1078">
        <f t="shared" si="134"/>
        <v>700</v>
      </c>
      <c r="AP1078" s="1078">
        <f t="shared" si="135"/>
        <v>1.82</v>
      </c>
      <c r="AQ1078" s="1078" t="str">
        <f t="shared" si="136"/>
        <v>1-5-1S83°</v>
      </c>
      <c r="AR1078" s="1078" t="str">
        <f t="shared" si="137"/>
        <v>30</v>
      </c>
      <c r="AS1078" s="1078" t="str">
        <f t="shared" si="138"/>
        <v>280/280/155</v>
      </c>
      <c r="AT1078" s="1078" t="str">
        <f t="shared" si="139"/>
        <v>1-5-1S83°</v>
      </c>
      <c r="AV1078" s="1078" t="str">
        <f t="shared" si="132"/>
        <v>109.12.12</v>
      </c>
      <c r="AW1078" s="1344">
        <f t="shared" si="133"/>
        <v>44177</v>
      </c>
    </row>
    <row r="1079" spans="1:49">
      <c r="A1079" s="1077" t="s">
        <v>4156</v>
      </c>
      <c r="B1079" s="1077" t="s">
        <v>4113</v>
      </c>
      <c r="C1079" s="1077">
        <v>550</v>
      </c>
      <c r="D1079" s="1077">
        <v>1.69</v>
      </c>
      <c r="E1079" s="1077" t="s">
        <v>15095</v>
      </c>
      <c r="F1079" s="1077" t="s">
        <v>1897</v>
      </c>
      <c r="G1079" s="1077">
        <v>5</v>
      </c>
      <c r="H1079" s="1077" t="s">
        <v>2295</v>
      </c>
      <c r="I1079" s="1077" t="s">
        <v>126</v>
      </c>
      <c r="J1079" s="1077">
        <v>1</v>
      </c>
      <c r="K1079" s="1077" t="s">
        <v>4146</v>
      </c>
      <c r="L1079" s="1077" t="s">
        <v>4147</v>
      </c>
      <c r="M1079" s="1077">
        <v>103.3</v>
      </c>
      <c r="N1079" s="1077" t="s">
        <v>945</v>
      </c>
      <c r="O1079" s="1077">
        <v>2.5825</v>
      </c>
      <c r="P1079" s="1077">
        <v>2.0659999999999998</v>
      </c>
      <c r="Q1079" s="1077">
        <v>4</v>
      </c>
      <c r="R1079" s="1077">
        <v>25</v>
      </c>
      <c r="T1079" s="1077">
        <v>10</v>
      </c>
      <c r="U1079" s="1077">
        <v>5.8</v>
      </c>
      <c r="V1079" s="1077" t="s">
        <v>648</v>
      </c>
      <c r="W1079" s="1077">
        <v>125</v>
      </c>
      <c r="X1079" s="1077">
        <v>80</v>
      </c>
      <c r="Y1079" s="1077">
        <v>1.5</v>
      </c>
      <c r="Z1079" s="1077">
        <v>4</v>
      </c>
      <c r="AA1079" s="1077" t="s">
        <v>1206</v>
      </c>
      <c r="AH1079" s="1077" t="s">
        <v>1186</v>
      </c>
      <c r="AM1079" s="1078" t="s">
        <v>11177</v>
      </c>
      <c r="AN1079" s="1078" t="s">
        <v>11178</v>
      </c>
      <c r="AO1079" s="1078">
        <f t="shared" si="134"/>
        <v>550</v>
      </c>
      <c r="AP1079" s="1078">
        <f t="shared" si="135"/>
        <v>1.69</v>
      </c>
      <c r="AQ1079" s="1078" t="str">
        <f t="shared" si="136"/>
        <v>1-5-1S83°</v>
      </c>
      <c r="AR1079" s="1078" t="str">
        <f t="shared" si="137"/>
        <v>30.8</v>
      </c>
      <c r="AS1079" s="1078" t="str">
        <f t="shared" si="138"/>
        <v>205/205/OFF</v>
      </c>
      <c r="AT1079" s="1078" t="str">
        <f t="shared" si="139"/>
        <v>1-5-1S83°</v>
      </c>
      <c r="AV1079" s="1078" t="str">
        <f t="shared" si="132"/>
        <v>109.12.22</v>
      </c>
      <c r="AW1079" s="1344">
        <f t="shared" si="133"/>
        <v>44187</v>
      </c>
    </row>
    <row r="1080" spans="1:49">
      <c r="A1080" s="1077" t="s">
        <v>4157</v>
      </c>
      <c r="B1080" s="1077" t="s">
        <v>4095</v>
      </c>
      <c r="C1080" s="1077">
        <v>700</v>
      </c>
      <c r="D1080" s="1077">
        <v>1.82</v>
      </c>
      <c r="E1080" s="1077" t="s">
        <v>15095</v>
      </c>
      <c r="F1080" s="1077" t="s">
        <v>984</v>
      </c>
      <c r="G1080" s="1077">
        <v>5</v>
      </c>
      <c r="H1080" s="1077" t="s">
        <v>2642</v>
      </c>
      <c r="I1080" s="1077" t="s">
        <v>460</v>
      </c>
      <c r="J1080" s="1077">
        <v>1.7</v>
      </c>
      <c r="K1080" s="1077" t="s">
        <v>4154</v>
      </c>
      <c r="L1080" s="1077" t="s">
        <v>4151</v>
      </c>
      <c r="M1080" s="1077">
        <v>98</v>
      </c>
      <c r="N1080" s="1077" t="s">
        <v>945</v>
      </c>
      <c r="O1080" s="1077">
        <v>2.4500000000000002</v>
      </c>
      <c r="P1080" s="1077">
        <v>1.96</v>
      </c>
      <c r="Q1080" s="1077">
        <v>3</v>
      </c>
      <c r="R1080" s="1077">
        <v>27.3</v>
      </c>
      <c r="T1080" s="1077">
        <v>11.6</v>
      </c>
      <c r="U1080" s="1077">
        <v>4.0999999999999996</v>
      </c>
      <c r="V1080" s="1077" t="s">
        <v>648</v>
      </c>
      <c r="W1080" s="1077">
        <v>100</v>
      </c>
      <c r="X1080" s="1077">
        <v>85</v>
      </c>
      <c r="Y1080" s="1077">
        <v>1.5</v>
      </c>
      <c r="Z1080" s="1077">
        <v>3</v>
      </c>
      <c r="AA1080" s="1077" t="s">
        <v>1204</v>
      </c>
      <c r="AH1080" s="1077" t="s">
        <v>884</v>
      </c>
      <c r="AM1080" s="1078" t="s">
        <v>11179</v>
      </c>
      <c r="AN1080" s="1078" t="s">
        <v>11180</v>
      </c>
      <c r="AO1080" s="1078">
        <f t="shared" si="134"/>
        <v>700</v>
      </c>
      <c r="AP1080" s="1078">
        <f t="shared" si="135"/>
        <v>1.82</v>
      </c>
      <c r="AQ1080" s="1078" t="str">
        <f t="shared" si="136"/>
        <v>1-5-1S83°</v>
      </c>
      <c r="AR1080" s="1078" t="str">
        <f t="shared" si="137"/>
        <v>30</v>
      </c>
      <c r="AS1080" s="1078" t="str">
        <f t="shared" si="138"/>
        <v>280/280/155</v>
      </c>
      <c r="AT1080" s="1078" t="str">
        <f t="shared" si="139"/>
        <v>1-5-1S83°</v>
      </c>
      <c r="AV1080" s="1078" t="str">
        <f t="shared" si="132"/>
        <v>109.12.21</v>
      </c>
      <c r="AW1080" s="1344">
        <f t="shared" si="133"/>
        <v>44186</v>
      </c>
    </row>
    <row r="1081" spans="1:49">
      <c r="A1081" s="1077" t="s">
        <v>4158</v>
      </c>
      <c r="B1081" s="1077" t="s">
        <v>4083</v>
      </c>
      <c r="C1081" s="1077">
        <v>600</v>
      </c>
      <c r="D1081" s="1077">
        <v>1.75</v>
      </c>
      <c r="E1081" s="1077" t="s">
        <v>15102</v>
      </c>
      <c r="F1081" s="1077" t="s">
        <v>984</v>
      </c>
      <c r="G1081" s="1077" t="s">
        <v>1767</v>
      </c>
      <c r="H1081" s="1077" t="s">
        <v>1379</v>
      </c>
      <c r="I1081" s="1077" t="s">
        <v>1167</v>
      </c>
      <c r="J1081" s="1077">
        <v>2.2000000000000002</v>
      </c>
      <c r="K1081" s="1077" t="s">
        <v>4137</v>
      </c>
      <c r="L1081" s="1077" t="s">
        <v>4085</v>
      </c>
      <c r="M1081" s="1077">
        <v>101.6</v>
      </c>
      <c r="N1081" s="1077" t="s">
        <v>945</v>
      </c>
      <c r="O1081" s="1077">
        <v>2.54</v>
      </c>
      <c r="P1081" s="1077">
        <v>2.032</v>
      </c>
      <c r="Q1081" s="1077">
        <v>4</v>
      </c>
      <c r="R1081" s="1077">
        <v>20.5</v>
      </c>
      <c r="T1081" s="1077">
        <v>26.9</v>
      </c>
      <c r="U1081" s="1077">
        <v>4</v>
      </c>
      <c r="V1081" s="1077" t="s">
        <v>648</v>
      </c>
      <c r="W1081" s="1077">
        <v>125</v>
      </c>
      <c r="X1081" s="1077">
        <v>75</v>
      </c>
      <c r="Y1081" s="1077">
        <v>1.5</v>
      </c>
      <c r="Z1081" s="1077">
        <v>5.5</v>
      </c>
      <c r="AA1081" s="1077" t="s">
        <v>2478</v>
      </c>
      <c r="AH1081" s="1077" t="s">
        <v>680</v>
      </c>
      <c r="AM1081" s="1078" t="s">
        <v>11181</v>
      </c>
      <c r="AN1081" s="1078" t="s">
        <v>11182</v>
      </c>
      <c r="AO1081" s="1078">
        <f t="shared" si="134"/>
        <v>600</v>
      </c>
      <c r="AP1081" s="1078">
        <f t="shared" si="135"/>
        <v>1.75</v>
      </c>
      <c r="AQ1081" s="1078" t="str">
        <f t="shared" si="136"/>
        <v>2-6-1S83°</v>
      </c>
      <c r="AR1081" s="1078" t="str">
        <f t="shared" si="137"/>
        <v>30</v>
      </c>
      <c r="AS1081" s="1078" t="str">
        <f t="shared" si="138"/>
        <v>167/OFF</v>
      </c>
      <c r="AT1081" s="1078" t="str">
        <f t="shared" si="139"/>
        <v>2-6-1S83°</v>
      </c>
      <c r="AV1081" s="1078" t="str">
        <f t="shared" si="132"/>
        <v>109.12.25</v>
      </c>
      <c r="AW1081" s="1344">
        <f t="shared" si="133"/>
        <v>44190</v>
      </c>
    </row>
    <row r="1082" spans="1:49">
      <c r="A1082" s="1077" t="s">
        <v>4159</v>
      </c>
      <c r="B1082" s="1077" t="s">
        <v>4095</v>
      </c>
      <c r="C1082" s="1077">
        <v>700</v>
      </c>
      <c r="D1082" s="1077">
        <v>1.86</v>
      </c>
      <c r="E1082" s="1077" t="s">
        <v>15095</v>
      </c>
      <c r="F1082" s="1077" t="s">
        <v>1514</v>
      </c>
      <c r="G1082" s="1077">
        <v>5</v>
      </c>
      <c r="H1082" s="1077" t="s">
        <v>4160</v>
      </c>
      <c r="I1082" s="1077" t="s">
        <v>460</v>
      </c>
      <c r="J1082" s="1077">
        <v>1.9</v>
      </c>
      <c r="K1082" s="1077" t="s">
        <v>4161</v>
      </c>
      <c r="L1082" s="1077" t="s">
        <v>4151</v>
      </c>
      <c r="M1082" s="1077">
        <v>98</v>
      </c>
      <c r="N1082" s="1077" t="s">
        <v>945</v>
      </c>
      <c r="O1082" s="1077">
        <v>2.4500000000000002</v>
      </c>
      <c r="P1082" s="1077">
        <v>1.96</v>
      </c>
      <c r="Q1082" s="1077">
        <v>3</v>
      </c>
      <c r="R1082" s="1077">
        <v>27.3</v>
      </c>
      <c r="T1082" s="1077">
        <v>11.6</v>
      </c>
      <c r="U1082" s="1077">
        <v>4.0999999999999996</v>
      </c>
      <c r="V1082" s="1077" t="s">
        <v>648</v>
      </c>
      <c r="W1082" s="1077">
        <v>100</v>
      </c>
      <c r="X1082" s="1077">
        <v>85</v>
      </c>
      <c r="Y1082" s="1077">
        <v>1.5</v>
      </c>
      <c r="Z1082" s="1077">
        <v>3</v>
      </c>
      <c r="AA1082" s="1077" t="s">
        <v>2481</v>
      </c>
      <c r="AH1082" s="1077" t="s">
        <v>830</v>
      </c>
      <c r="AM1082" s="1078" t="s">
        <v>11183</v>
      </c>
      <c r="AN1082" s="1078" t="s">
        <v>11184</v>
      </c>
      <c r="AO1082" s="1078">
        <f t="shared" si="134"/>
        <v>700</v>
      </c>
      <c r="AP1082" s="1078">
        <f t="shared" si="135"/>
        <v>1.86</v>
      </c>
      <c r="AQ1082" s="1078" t="str">
        <f t="shared" si="136"/>
        <v>1-5-1S83°</v>
      </c>
      <c r="AR1082" s="1078" t="str">
        <f t="shared" si="137"/>
        <v>32</v>
      </c>
      <c r="AS1082" s="1078" t="str">
        <f t="shared" si="138"/>
        <v>270/270/145</v>
      </c>
      <c r="AT1082" s="1078" t="str">
        <f t="shared" si="139"/>
        <v>1-5-1S83°</v>
      </c>
      <c r="AV1082" s="1078" t="str">
        <f t="shared" si="132"/>
        <v>109.12.31</v>
      </c>
      <c r="AW1082" s="1344">
        <f t="shared" si="133"/>
        <v>44196</v>
      </c>
    </row>
    <row r="1083" spans="1:49">
      <c r="A1083" s="1077" t="s">
        <v>4162</v>
      </c>
      <c r="B1083" s="1077" t="s">
        <v>298</v>
      </c>
      <c r="C1083" s="1077">
        <v>600</v>
      </c>
      <c r="D1083" s="1077">
        <v>1.74</v>
      </c>
      <c r="E1083" s="1077" t="s">
        <v>15102</v>
      </c>
      <c r="F1083" s="1077" t="s">
        <v>954</v>
      </c>
      <c r="G1083" s="1077" t="s">
        <v>1767</v>
      </c>
      <c r="H1083" s="1077" t="s">
        <v>4163</v>
      </c>
      <c r="I1083" s="1077" t="s">
        <v>648</v>
      </c>
      <c r="J1083" s="1077">
        <v>0</v>
      </c>
      <c r="K1083" s="1077" t="s">
        <v>4164</v>
      </c>
      <c r="L1083" s="1077" t="s">
        <v>4029</v>
      </c>
      <c r="M1083" s="1077">
        <v>103</v>
      </c>
      <c r="N1083" s="1077" t="s">
        <v>945</v>
      </c>
      <c r="O1083" s="1077">
        <v>2.5750000000000002</v>
      </c>
      <c r="P1083" s="1077">
        <v>2.06</v>
      </c>
      <c r="Q1083" s="1077">
        <v>4</v>
      </c>
      <c r="R1083" s="1077">
        <v>23.5</v>
      </c>
      <c r="T1083" s="1077">
        <v>18.5</v>
      </c>
      <c r="U1083" s="1077">
        <v>2.1</v>
      </c>
      <c r="V1083" s="1077" t="s">
        <v>648</v>
      </c>
      <c r="W1083" s="1077" t="s">
        <v>648</v>
      </c>
      <c r="X1083" s="1077" t="s">
        <v>648</v>
      </c>
      <c r="Y1083" s="1077">
        <v>1.3</v>
      </c>
      <c r="Z1083" s="1077">
        <v>4</v>
      </c>
      <c r="AA1083" s="1077" t="s">
        <v>1303</v>
      </c>
      <c r="AB1083" s="1077" t="s">
        <v>4165</v>
      </c>
      <c r="AH1083" s="1077" t="s">
        <v>3601</v>
      </c>
      <c r="AM1083" s="1078" t="s">
        <v>11185</v>
      </c>
      <c r="AN1083" s="1078" t="s">
        <v>11186</v>
      </c>
      <c r="AO1083" s="1078">
        <f t="shared" si="134"/>
        <v>600</v>
      </c>
      <c r="AP1083" s="1078">
        <f t="shared" si="135"/>
        <v>1.74</v>
      </c>
      <c r="AQ1083" s="1078" t="str">
        <f t="shared" si="136"/>
        <v>2-6-1S83°</v>
      </c>
      <c r="AR1083" s="1078" t="str">
        <f t="shared" si="137"/>
        <v>31</v>
      </c>
      <c r="AS1083" s="1078" t="str">
        <f t="shared" si="138"/>
        <v>178/175</v>
      </c>
      <c r="AT1083" s="1078" t="str">
        <f t="shared" si="139"/>
        <v>2-6-1S83°</v>
      </c>
      <c r="AV1083" s="1078" t="str">
        <f t="shared" si="132"/>
        <v>110.1.18</v>
      </c>
      <c r="AW1083" s="1344">
        <f t="shared" si="133"/>
        <v>44214</v>
      </c>
    </row>
    <row r="1084" spans="1:49">
      <c r="A1084" s="1077" t="s">
        <v>4166</v>
      </c>
      <c r="B1084" s="1077" t="s">
        <v>4069</v>
      </c>
      <c r="C1084" s="1077">
        <v>500</v>
      </c>
      <c r="D1084" s="1077" t="s">
        <v>4167</v>
      </c>
      <c r="E1084" s="1077" t="s">
        <v>15108</v>
      </c>
      <c r="F1084" s="1077" t="s">
        <v>1514</v>
      </c>
      <c r="G1084" s="1077">
        <v>3</v>
      </c>
      <c r="H1084" s="1077" t="s">
        <v>4168</v>
      </c>
      <c r="I1084" s="1077" t="s">
        <v>4071</v>
      </c>
      <c r="J1084" s="1077">
        <v>0.8</v>
      </c>
      <c r="K1084" s="1077" t="s">
        <v>4169</v>
      </c>
      <c r="L1084" s="1077" t="s">
        <v>4170</v>
      </c>
      <c r="M1084" s="1077">
        <v>99.4</v>
      </c>
      <c r="N1084" s="1077" t="s">
        <v>945</v>
      </c>
      <c r="O1084" s="1077">
        <v>2.4850000000000003</v>
      </c>
      <c r="P1084" s="1077">
        <v>1.9880000000000002</v>
      </c>
      <c r="Q1084" s="1077">
        <v>3.5</v>
      </c>
      <c r="R1084" s="1077">
        <v>22.3</v>
      </c>
      <c r="T1084" s="1077">
        <v>14.9</v>
      </c>
      <c r="U1084" s="1077">
        <v>4.7</v>
      </c>
      <c r="V1084" s="1077" t="s">
        <v>648</v>
      </c>
      <c r="W1084" s="1077">
        <v>40</v>
      </c>
      <c r="X1084" s="1077">
        <v>25</v>
      </c>
      <c r="Y1084" s="1077">
        <v>2.4</v>
      </c>
      <c r="Z1084" s="1077" t="s">
        <v>648</v>
      </c>
      <c r="AA1084" s="1077" t="s">
        <v>3110</v>
      </c>
      <c r="AH1084" s="1077" t="s">
        <v>862</v>
      </c>
      <c r="AM1084" s="1078" t="s">
        <v>11187</v>
      </c>
      <c r="AN1084" s="1078" t="s">
        <v>11188</v>
      </c>
      <c r="AO1084" s="1078">
        <f t="shared" si="134"/>
        <v>500</v>
      </c>
      <c r="AP1084" s="1078" t="str">
        <f t="shared" si="135"/>
        <v>1.73↑1.770</v>
      </c>
      <c r="AQ1084" s="1078" t="str">
        <f t="shared" si="136"/>
        <v>1-4-1S83°Z+S</v>
      </c>
      <c r="AR1084" s="1078" t="str">
        <f t="shared" si="137"/>
        <v>32</v>
      </c>
      <c r="AS1084" s="1078" t="str">
        <f t="shared" si="138"/>
        <v>190/190/OFF</v>
      </c>
      <c r="AT1084" s="1078" t="str">
        <f t="shared" si="139"/>
        <v>1-4-1S83°Z+S</v>
      </c>
      <c r="AU1084" s="1078" t="s">
        <v>15547</v>
      </c>
      <c r="AV1084" s="1078" t="str">
        <f t="shared" si="132"/>
        <v>110.1.25</v>
      </c>
      <c r="AW1084" s="1344">
        <f t="shared" si="133"/>
        <v>44221</v>
      </c>
    </row>
    <row r="1085" spans="1:49">
      <c r="A1085" s="1077" t="s">
        <v>4171</v>
      </c>
      <c r="B1085" s="1077" t="s">
        <v>4083</v>
      </c>
      <c r="C1085" s="1077">
        <v>600</v>
      </c>
      <c r="D1085" s="1077">
        <v>1.7649999999999999</v>
      </c>
      <c r="E1085" s="1077" t="s">
        <v>15089</v>
      </c>
      <c r="F1085" s="1077" t="s">
        <v>954</v>
      </c>
      <c r="G1085" s="1077" t="s">
        <v>1767</v>
      </c>
      <c r="H1085" s="1077" t="s">
        <v>4118</v>
      </c>
      <c r="I1085" s="1077" t="s">
        <v>126</v>
      </c>
      <c r="J1085" s="1077">
        <v>2</v>
      </c>
      <c r="K1085" s="1077" t="s">
        <v>4172</v>
      </c>
      <c r="L1085" s="1077" t="s">
        <v>4085</v>
      </c>
      <c r="M1085" s="1077">
        <v>101.6</v>
      </c>
      <c r="N1085" s="1077" t="s">
        <v>945</v>
      </c>
      <c r="O1085" s="1077">
        <v>2.54</v>
      </c>
      <c r="P1085" s="1077">
        <v>2.032</v>
      </c>
      <c r="Q1085" s="1077">
        <v>4</v>
      </c>
      <c r="R1085" s="1077">
        <v>20.5</v>
      </c>
      <c r="T1085" s="1077">
        <v>26.9</v>
      </c>
      <c r="U1085" s="1077">
        <v>4</v>
      </c>
      <c r="V1085" s="1077" t="s">
        <v>648</v>
      </c>
      <c r="W1085" s="1077">
        <v>125</v>
      </c>
      <c r="X1085" s="1077">
        <v>75</v>
      </c>
      <c r="Y1085" s="1077">
        <v>1.5</v>
      </c>
      <c r="Z1085" s="1077">
        <v>5.5</v>
      </c>
      <c r="AA1085" s="1077" t="s">
        <v>3110</v>
      </c>
      <c r="AH1085" s="1077" t="s">
        <v>1588</v>
      </c>
      <c r="AM1085" s="1078" t="s">
        <v>11189</v>
      </c>
      <c r="AN1085" s="1078" t="s">
        <v>11190</v>
      </c>
      <c r="AO1085" s="1078">
        <f t="shared" si="134"/>
        <v>600</v>
      </c>
      <c r="AP1085" s="1078">
        <f t="shared" si="135"/>
        <v>1.7649999999999999</v>
      </c>
      <c r="AQ1085" s="1078" t="str">
        <f t="shared" si="136"/>
        <v>1-4-1S83°</v>
      </c>
      <c r="AR1085" s="1078" t="str">
        <f t="shared" si="137"/>
        <v>31</v>
      </c>
      <c r="AS1085" s="1078" t="str">
        <f t="shared" si="138"/>
        <v>280/260/OFF</v>
      </c>
      <c r="AT1085" s="1078" t="str">
        <f t="shared" si="139"/>
        <v>1-4-1S83°</v>
      </c>
      <c r="AV1085" s="1078" t="str">
        <f t="shared" si="132"/>
        <v>110.1.25</v>
      </c>
      <c r="AW1085" s="1344">
        <f t="shared" si="133"/>
        <v>44221</v>
      </c>
    </row>
    <row r="1086" spans="1:49">
      <c r="A1086" s="1077" t="s">
        <v>4173</v>
      </c>
      <c r="B1086" s="1077" t="s">
        <v>298</v>
      </c>
      <c r="C1086" s="1077">
        <v>700</v>
      </c>
      <c r="D1086" s="1077">
        <v>1.73</v>
      </c>
      <c r="E1086" s="1077" t="s">
        <v>15089</v>
      </c>
      <c r="F1086" s="1077" t="s">
        <v>954</v>
      </c>
      <c r="G1086" s="1077" t="s">
        <v>1767</v>
      </c>
      <c r="H1086" s="1077" t="s">
        <v>4174</v>
      </c>
      <c r="I1086" s="1077" t="s">
        <v>126</v>
      </c>
      <c r="J1086" s="1077">
        <v>1.8</v>
      </c>
      <c r="K1086" s="1077" t="s">
        <v>4175</v>
      </c>
      <c r="L1086" s="1077" t="s">
        <v>4029</v>
      </c>
      <c r="M1086" s="1077">
        <v>103.2</v>
      </c>
      <c r="N1086" s="1077" t="s">
        <v>945</v>
      </c>
      <c r="O1086" s="1077">
        <v>2.58</v>
      </c>
      <c r="P1086" s="1077">
        <v>2.0640000000000001</v>
      </c>
      <c r="Q1086" s="1077">
        <v>4</v>
      </c>
      <c r="R1086" s="1077">
        <v>19.5</v>
      </c>
      <c r="T1086" s="1077">
        <v>27.3</v>
      </c>
      <c r="U1086" s="1077">
        <v>4</v>
      </c>
      <c r="V1086" s="1077" t="s">
        <v>648</v>
      </c>
      <c r="W1086" s="1077">
        <v>120</v>
      </c>
      <c r="X1086" s="1077">
        <v>60</v>
      </c>
      <c r="Y1086" s="1077">
        <v>1.7</v>
      </c>
      <c r="Z1086" s="1077">
        <v>6</v>
      </c>
      <c r="AA1086" s="1077" t="s">
        <v>1380</v>
      </c>
      <c r="AB1086" s="1077" t="s">
        <v>981</v>
      </c>
      <c r="AH1086" s="1077" t="s">
        <v>680</v>
      </c>
      <c r="AM1086" s="1078" t="s">
        <v>11191</v>
      </c>
      <c r="AN1086" s="1078" t="s">
        <v>11192</v>
      </c>
      <c r="AO1086" s="1078">
        <f t="shared" si="134"/>
        <v>700</v>
      </c>
      <c r="AP1086" s="1078">
        <f t="shared" si="135"/>
        <v>1.73</v>
      </c>
      <c r="AQ1086" s="1078" t="str">
        <f t="shared" si="136"/>
        <v>1-4-1S83°</v>
      </c>
      <c r="AR1086" s="1078" t="str">
        <f t="shared" si="137"/>
        <v>31</v>
      </c>
      <c r="AS1086" s="1078" t="str">
        <f t="shared" si="138"/>
        <v>315/265/OFF</v>
      </c>
      <c r="AT1086" s="1078" t="str">
        <f t="shared" si="139"/>
        <v>1-4-1S83°</v>
      </c>
      <c r="AV1086" s="1078" t="str">
        <f t="shared" si="132"/>
        <v>110.2.2</v>
      </c>
      <c r="AW1086" s="1344">
        <f t="shared" si="133"/>
        <v>44229</v>
      </c>
    </row>
    <row r="1087" spans="1:49">
      <c r="A1087" s="1077" t="s">
        <v>4176</v>
      </c>
      <c r="B1087" s="1077" t="s">
        <v>298</v>
      </c>
      <c r="C1087" s="1077">
        <v>600</v>
      </c>
      <c r="D1087" s="1077">
        <v>1.74</v>
      </c>
      <c r="E1087" s="1077" t="s">
        <v>15102</v>
      </c>
      <c r="F1087" s="1077" t="s">
        <v>954</v>
      </c>
      <c r="G1087" s="1077" t="s">
        <v>1767</v>
      </c>
      <c r="H1087" s="1077" t="s">
        <v>4177</v>
      </c>
      <c r="I1087" s="1077" t="s">
        <v>648</v>
      </c>
      <c r="J1087" s="1077">
        <v>0</v>
      </c>
      <c r="K1087" s="1077" t="s">
        <v>4178</v>
      </c>
      <c r="L1087" s="1077" t="s">
        <v>4029</v>
      </c>
      <c r="M1087" s="1077">
        <v>103</v>
      </c>
      <c r="N1087" s="1077" t="s">
        <v>945</v>
      </c>
      <c r="O1087" s="1077">
        <v>2.5750000000000002</v>
      </c>
      <c r="P1087" s="1077">
        <v>2.06</v>
      </c>
      <c r="Q1087" s="1077">
        <v>4</v>
      </c>
      <c r="R1087" s="1077">
        <v>23.5</v>
      </c>
      <c r="T1087" s="1077">
        <v>18.5</v>
      </c>
      <c r="U1087" s="1077">
        <v>2.1</v>
      </c>
      <c r="V1087" s="1077" t="s">
        <v>648</v>
      </c>
      <c r="W1087" s="1077" t="s">
        <v>648</v>
      </c>
      <c r="X1087" s="1077" t="s">
        <v>648</v>
      </c>
      <c r="Y1087" s="1077">
        <v>1.3</v>
      </c>
      <c r="Z1087" s="1077">
        <v>4</v>
      </c>
      <c r="AA1087" s="1077" t="s">
        <v>4179</v>
      </c>
      <c r="AH1087" s="1077" t="s">
        <v>468</v>
      </c>
      <c r="AM1087" s="1078" t="s">
        <v>11193</v>
      </c>
      <c r="AN1087" s="1078" t="s">
        <v>11194</v>
      </c>
      <c r="AO1087" s="1078">
        <f t="shared" si="134"/>
        <v>600</v>
      </c>
      <c r="AP1087" s="1078">
        <f t="shared" si="135"/>
        <v>1.74</v>
      </c>
      <c r="AQ1087" s="1078" t="str">
        <f t="shared" si="136"/>
        <v>2-6-1S83°</v>
      </c>
      <c r="AR1087" s="1078" t="str">
        <f t="shared" si="137"/>
        <v>31</v>
      </c>
      <c r="AS1087" s="1078" t="str">
        <f t="shared" si="138"/>
        <v>181/175</v>
      </c>
      <c r="AT1087" s="1078" t="str">
        <f t="shared" si="139"/>
        <v>2-6-1S83°</v>
      </c>
      <c r="AV1087" s="1078" t="str">
        <f t="shared" si="132"/>
        <v>110.2.8</v>
      </c>
      <c r="AW1087" s="1344">
        <f t="shared" si="133"/>
        <v>44235</v>
      </c>
    </row>
    <row r="1088" spans="1:49">
      <c r="A1088" s="1077" t="s">
        <v>4180</v>
      </c>
      <c r="B1088" s="1077" t="s">
        <v>298</v>
      </c>
      <c r="C1088" s="1077">
        <v>600</v>
      </c>
      <c r="D1088" s="1077">
        <v>1.72</v>
      </c>
      <c r="E1088" s="1077" t="s">
        <v>15102</v>
      </c>
      <c r="F1088" s="1077" t="s">
        <v>1514</v>
      </c>
      <c r="G1088" s="1077" t="s">
        <v>1767</v>
      </c>
      <c r="H1088" s="1077" t="s">
        <v>4163</v>
      </c>
      <c r="I1088" s="1077" t="s">
        <v>648</v>
      </c>
      <c r="J1088" s="1077">
        <v>0</v>
      </c>
      <c r="K1088" s="1077" t="s">
        <v>4181</v>
      </c>
      <c r="L1088" s="1077" t="s">
        <v>4029</v>
      </c>
      <c r="M1088" s="1077">
        <v>103</v>
      </c>
      <c r="N1088" s="1077" t="s">
        <v>945</v>
      </c>
      <c r="O1088" s="1077">
        <v>2.5750000000000002</v>
      </c>
      <c r="P1088" s="1077">
        <v>2.06</v>
      </c>
      <c r="Q1088" s="1077">
        <v>4</v>
      </c>
      <c r="R1088" s="1077">
        <v>23.5</v>
      </c>
      <c r="T1088" s="1077">
        <v>18.5</v>
      </c>
      <c r="U1088" s="1077">
        <v>2.1</v>
      </c>
      <c r="V1088" s="1077" t="s">
        <v>648</v>
      </c>
      <c r="W1088" s="1077" t="s">
        <v>648</v>
      </c>
      <c r="X1088" s="1077" t="s">
        <v>648</v>
      </c>
      <c r="Y1088" s="1077">
        <v>1.3</v>
      </c>
      <c r="Z1088" s="1077">
        <v>4</v>
      </c>
      <c r="AA1088" s="1077" t="s">
        <v>4182</v>
      </c>
      <c r="AB1088" s="1077" t="s">
        <v>4165</v>
      </c>
      <c r="AH1088" s="1077" t="s">
        <v>1796</v>
      </c>
      <c r="AM1088" s="1078" t="s">
        <v>11195</v>
      </c>
      <c r="AN1088" s="1078" t="s">
        <v>11196</v>
      </c>
      <c r="AO1088" s="1078">
        <f t="shared" si="134"/>
        <v>600</v>
      </c>
      <c r="AP1088" s="1078">
        <f t="shared" si="135"/>
        <v>1.72</v>
      </c>
      <c r="AQ1088" s="1078" t="str">
        <f t="shared" si="136"/>
        <v>2-6-1S83°</v>
      </c>
      <c r="AR1088" s="1078" t="str">
        <f t="shared" si="137"/>
        <v>32</v>
      </c>
      <c r="AS1088" s="1078" t="str">
        <f t="shared" si="138"/>
        <v>178/175</v>
      </c>
      <c r="AT1088" s="1078" t="str">
        <f t="shared" si="139"/>
        <v>2-6-1S83°</v>
      </c>
      <c r="AV1088" s="1078" t="str">
        <f t="shared" si="132"/>
        <v>110.2.26</v>
      </c>
      <c r="AW1088" s="1344">
        <f t="shared" si="133"/>
        <v>44253</v>
      </c>
    </row>
    <row r="1089" spans="1:49">
      <c r="A1089" s="1077" t="s">
        <v>4183</v>
      </c>
      <c r="B1089" s="1077" t="s">
        <v>4083</v>
      </c>
      <c r="C1089" s="1077">
        <v>600</v>
      </c>
      <c r="D1089" s="1077">
        <v>1.75</v>
      </c>
      <c r="E1089" s="1077" t="s">
        <v>15102</v>
      </c>
      <c r="F1089" s="1077" t="s">
        <v>954</v>
      </c>
      <c r="G1089" s="1077" t="s">
        <v>1767</v>
      </c>
      <c r="H1089" s="1077" t="s">
        <v>1072</v>
      </c>
      <c r="I1089" s="1077" t="s">
        <v>1112</v>
      </c>
      <c r="J1089" s="1077">
        <v>2.4</v>
      </c>
      <c r="K1089" s="1077" t="s">
        <v>4184</v>
      </c>
      <c r="L1089" s="1077" t="s">
        <v>4085</v>
      </c>
      <c r="M1089" s="1077">
        <v>101.6</v>
      </c>
      <c r="N1089" s="1077" t="s">
        <v>945</v>
      </c>
      <c r="O1089" s="1077">
        <v>2.54</v>
      </c>
      <c r="P1089" s="1077">
        <v>2.032</v>
      </c>
      <c r="Q1089" s="1077">
        <v>4</v>
      </c>
      <c r="R1089" s="1077">
        <v>20.5</v>
      </c>
      <c r="T1089" s="1077">
        <v>26.9</v>
      </c>
      <c r="U1089" s="1077">
        <v>4</v>
      </c>
      <c r="V1089" s="1077" t="s">
        <v>648</v>
      </c>
      <c r="W1089" s="1077">
        <v>125</v>
      </c>
      <c r="X1089" s="1077">
        <v>75</v>
      </c>
      <c r="Y1089" s="1077">
        <v>1.5</v>
      </c>
      <c r="Z1089" s="1077">
        <v>5.5</v>
      </c>
      <c r="AA1089" s="1077" t="s">
        <v>4185</v>
      </c>
      <c r="AH1089" s="1077" t="s">
        <v>622</v>
      </c>
      <c r="AM1089" s="1078" t="s">
        <v>11197</v>
      </c>
      <c r="AN1089" s="1078" t="s">
        <v>11198</v>
      </c>
      <c r="AO1089" s="1078">
        <f t="shared" si="134"/>
        <v>600</v>
      </c>
      <c r="AP1089" s="1078">
        <f t="shared" si="135"/>
        <v>1.75</v>
      </c>
      <c r="AQ1089" s="1078" t="str">
        <f t="shared" si="136"/>
        <v>2-6-1S83°</v>
      </c>
      <c r="AR1089" s="1078" t="str">
        <f t="shared" si="137"/>
        <v>31</v>
      </c>
      <c r="AS1089" s="1078" t="str">
        <f t="shared" si="138"/>
        <v>168/OFF</v>
      </c>
      <c r="AT1089" s="1078" t="str">
        <f t="shared" si="139"/>
        <v>2-6-1S83°</v>
      </c>
      <c r="AV1089" s="1078" t="str">
        <f t="shared" si="132"/>
        <v>110.3.30</v>
      </c>
      <c r="AW1089" s="1344">
        <f t="shared" si="133"/>
        <v>44285</v>
      </c>
    </row>
    <row r="1090" spans="1:49">
      <c r="A1090" s="1077" t="s">
        <v>4186</v>
      </c>
      <c r="B1090" s="1077" t="s">
        <v>4149</v>
      </c>
      <c r="C1090" s="1077">
        <v>700</v>
      </c>
      <c r="D1090" s="1077">
        <v>1.86</v>
      </c>
      <c r="E1090" s="1077" t="s">
        <v>15095</v>
      </c>
      <c r="F1090" s="1077" t="s">
        <v>1514</v>
      </c>
      <c r="G1090" s="1077">
        <v>4</v>
      </c>
      <c r="H1090" s="1077" t="s">
        <v>4160</v>
      </c>
      <c r="I1090" s="1077" t="s">
        <v>460</v>
      </c>
      <c r="J1090" s="1077">
        <v>1.9</v>
      </c>
      <c r="K1090" s="1077" t="s">
        <v>4154</v>
      </c>
      <c r="L1090" s="1077" t="s">
        <v>4151</v>
      </c>
      <c r="M1090" s="1077">
        <v>98</v>
      </c>
      <c r="N1090" s="1077" t="s">
        <v>945</v>
      </c>
      <c r="O1090" s="1077">
        <v>2.4500000000000002</v>
      </c>
      <c r="P1090" s="1077">
        <v>1.96</v>
      </c>
      <c r="Q1090" s="1077">
        <v>3</v>
      </c>
      <c r="R1090" s="1077">
        <v>27.3</v>
      </c>
      <c r="T1090" s="1077">
        <v>11.6</v>
      </c>
      <c r="U1090" s="1077">
        <v>4.0999999999999996</v>
      </c>
      <c r="V1090" s="1077" t="s">
        <v>648</v>
      </c>
      <c r="W1090" s="1077">
        <v>100</v>
      </c>
      <c r="X1090" s="1077">
        <v>85</v>
      </c>
      <c r="Y1090" s="1077">
        <v>0.9</v>
      </c>
      <c r="Z1090" s="1077">
        <v>3.5</v>
      </c>
      <c r="AA1090" s="1077" t="s">
        <v>1392</v>
      </c>
      <c r="AH1090" s="1077" t="s">
        <v>482</v>
      </c>
      <c r="AM1090" s="1078" t="s">
        <v>11199</v>
      </c>
      <c r="AN1090" s="1078" t="s">
        <v>11200</v>
      </c>
      <c r="AO1090" s="1078">
        <f t="shared" si="134"/>
        <v>700</v>
      </c>
      <c r="AP1090" s="1078">
        <f t="shared" si="135"/>
        <v>1.86</v>
      </c>
      <c r="AQ1090" s="1078" t="str">
        <f t="shared" si="136"/>
        <v>1-5-1S83°</v>
      </c>
      <c r="AR1090" s="1078" t="str">
        <f t="shared" si="137"/>
        <v>32</v>
      </c>
      <c r="AS1090" s="1078" t="str">
        <f t="shared" si="138"/>
        <v>270/270/145</v>
      </c>
      <c r="AT1090" s="1078" t="str">
        <f t="shared" si="139"/>
        <v>1-5-1S83°</v>
      </c>
      <c r="AV1090" s="1078" t="str">
        <f t="shared" ref="AV1090:AV1153" si="140">AA1090</f>
        <v>110.4.6</v>
      </c>
      <c r="AW1090" s="1344">
        <f t="shared" si="133"/>
        <v>44292</v>
      </c>
    </row>
    <row r="1091" spans="1:49">
      <c r="A1091" s="1077" t="s">
        <v>4187</v>
      </c>
      <c r="B1091" s="1077" t="s">
        <v>298</v>
      </c>
      <c r="C1091" s="1077">
        <v>600</v>
      </c>
      <c r="D1091" s="1077">
        <v>1.74</v>
      </c>
      <c r="E1091" s="1077" t="s">
        <v>15102</v>
      </c>
      <c r="F1091" s="1077" t="s">
        <v>954</v>
      </c>
      <c r="G1091" s="1077" t="s">
        <v>1767</v>
      </c>
      <c r="H1091" s="1077" t="s">
        <v>4177</v>
      </c>
      <c r="I1091" s="1077" t="s">
        <v>648</v>
      </c>
      <c r="J1091" s="1077">
        <v>0</v>
      </c>
      <c r="K1091" s="1077" t="s">
        <v>4178</v>
      </c>
      <c r="L1091" s="1077" t="s">
        <v>4029</v>
      </c>
      <c r="M1091" s="1077">
        <v>103</v>
      </c>
      <c r="N1091" s="1077" t="s">
        <v>945</v>
      </c>
      <c r="O1091" s="1077">
        <v>2.5750000000000002</v>
      </c>
      <c r="P1091" s="1077">
        <v>2.06</v>
      </c>
      <c r="Q1091" s="1077">
        <v>4</v>
      </c>
      <c r="R1091" s="1077">
        <v>23.5</v>
      </c>
      <c r="T1091" s="1077">
        <v>18.5</v>
      </c>
      <c r="U1091" s="1077">
        <v>2.1</v>
      </c>
      <c r="V1091" s="1077" t="s">
        <v>648</v>
      </c>
      <c r="W1091" s="1077" t="s">
        <v>648</v>
      </c>
      <c r="X1091" s="1077" t="s">
        <v>648</v>
      </c>
      <c r="Y1091" s="1077">
        <v>1.3</v>
      </c>
      <c r="Z1091" s="1077">
        <v>4</v>
      </c>
      <c r="AA1091" s="1077" t="s">
        <v>4188</v>
      </c>
      <c r="AB1091" s="1077" t="s">
        <v>4165</v>
      </c>
      <c r="AH1091" s="1077" t="s">
        <v>619</v>
      </c>
      <c r="AM1091" s="1078" t="s">
        <v>11201</v>
      </c>
      <c r="AN1091" s="1078" t="s">
        <v>11202</v>
      </c>
      <c r="AO1091" s="1078">
        <f t="shared" si="134"/>
        <v>600</v>
      </c>
      <c r="AP1091" s="1078">
        <f t="shared" si="135"/>
        <v>1.74</v>
      </c>
      <c r="AQ1091" s="1078" t="str">
        <f t="shared" si="136"/>
        <v>2-6-1S83°</v>
      </c>
      <c r="AR1091" s="1078" t="str">
        <f t="shared" si="137"/>
        <v>31</v>
      </c>
      <c r="AS1091" s="1078" t="str">
        <f t="shared" si="138"/>
        <v>181/175</v>
      </c>
      <c r="AT1091" s="1078" t="str">
        <f t="shared" si="139"/>
        <v>2-6-1S83°</v>
      </c>
      <c r="AV1091" s="1078" t="str">
        <f t="shared" si="140"/>
        <v>110.4.13</v>
      </c>
      <c r="AW1091" s="1344">
        <f t="shared" ref="AW1091:AW1154" si="141">DATE(VALUE(LEFT(AV1091,FIND(".",AV1091)-1))+1911,
       VALUE(MID(AV1091,FIND(".",AV1091)+1,FIND(".",AV1091,FIND(".",AV1091)+1)-FIND(".",AV1091)-1)),
       VALUE(RIGHT(AV1091,LEN(AV1091)-FIND("~",SUBSTITUTE(AV1091,".","~",2)))))</f>
        <v>44299</v>
      </c>
    </row>
    <row r="1092" spans="1:49">
      <c r="A1092" s="1077" t="s">
        <v>4189</v>
      </c>
      <c r="B1092" s="1077" t="s">
        <v>4149</v>
      </c>
      <c r="C1092" s="1077">
        <v>700</v>
      </c>
      <c r="D1092" s="1077">
        <v>1.86</v>
      </c>
      <c r="E1092" s="1077" t="s">
        <v>15095</v>
      </c>
      <c r="F1092" s="1077" t="s">
        <v>1514</v>
      </c>
      <c r="G1092" s="1077">
        <v>4</v>
      </c>
      <c r="H1092" s="1077" t="s">
        <v>4160</v>
      </c>
      <c r="I1092" s="1077" t="s">
        <v>460</v>
      </c>
      <c r="J1092" s="1077">
        <v>1.9</v>
      </c>
      <c r="K1092" s="1077" t="s">
        <v>4190</v>
      </c>
      <c r="L1092" s="1077" t="s">
        <v>4151</v>
      </c>
      <c r="M1092" s="1077">
        <v>98</v>
      </c>
      <c r="N1092" s="1077" t="s">
        <v>945</v>
      </c>
      <c r="O1092" s="1077">
        <v>2.4500000000000002</v>
      </c>
      <c r="P1092" s="1077">
        <v>1.96</v>
      </c>
      <c r="Q1092" s="1077">
        <v>3</v>
      </c>
      <c r="R1092" s="1077">
        <v>27.3</v>
      </c>
      <c r="T1092" s="1077">
        <v>11.6</v>
      </c>
      <c r="U1092" s="1077">
        <v>4.0999999999999996</v>
      </c>
      <c r="V1092" s="1077" t="s">
        <v>648</v>
      </c>
      <c r="W1092" s="1077">
        <v>100</v>
      </c>
      <c r="X1092" s="1077">
        <v>85</v>
      </c>
      <c r="Y1092" s="1077">
        <v>0.9</v>
      </c>
      <c r="Z1092" s="1077">
        <v>3.5</v>
      </c>
      <c r="AA1092" s="1077" t="s">
        <v>4191</v>
      </c>
      <c r="AH1092" s="1077" t="s">
        <v>862</v>
      </c>
      <c r="AM1092" s="1078" t="s">
        <v>11203</v>
      </c>
      <c r="AN1092" s="1078" t="s">
        <v>11204</v>
      </c>
      <c r="AO1092" s="1078">
        <f t="shared" si="134"/>
        <v>700</v>
      </c>
      <c r="AP1092" s="1078">
        <f t="shared" si="135"/>
        <v>1.86</v>
      </c>
      <c r="AQ1092" s="1078" t="str">
        <f t="shared" si="136"/>
        <v>1-5-1S83°</v>
      </c>
      <c r="AR1092" s="1078" t="str">
        <f t="shared" si="137"/>
        <v>32</v>
      </c>
      <c r="AS1092" s="1078" t="str">
        <f t="shared" si="138"/>
        <v>270/270/145</v>
      </c>
      <c r="AT1092" s="1078" t="str">
        <f t="shared" si="139"/>
        <v>1-5-1S83°</v>
      </c>
      <c r="AV1092" s="1078" t="str">
        <f t="shared" si="140"/>
        <v>110.4.15</v>
      </c>
      <c r="AW1092" s="1344">
        <f t="shared" si="141"/>
        <v>44301</v>
      </c>
    </row>
    <row r="1093" spans="1:49">
      <c r="A1093" s="1077" t="s">
        <v>4192</v>
      </c>
      <c r="B1093" s="1077" t="s">
        <v>4193</v>
      </c>
      <c r="C1093" s="1077">
        <v>550</v>
      </c>
      <c r="D1093" s="1077">
        <v>1.69</v>
      </c>
      <c r="E1093" s="1077" t="s">
        <v>15095</v>
      </c>
      <c r="F1093" s="1077" t="s">
        <v>1897</v>
      </c>
      <c r="G1093" s="1077">
        <v>5</v>
      </c>
      <c r="H1093" s="1077" t="s">
        <v>2295</v>
      </c>
      <c r="I1093" s="1077" t="s">
        <v>126</v>
      </c>
      <c r="J1093" s="1077">
        <v>1</v>
      </c>
      <c r="K1093" s="1077" t="s">
        <v>4114</v>
      </c>
      <c r="L1093" s="1077" t="s">
        <v>4064</v>
      </c>
      <c r="M1093" s="1077">
        <v>103.3</v>
      </c>
      <c r="N1093" s="1077" t="s">
        <v>945</v>
      </c>
      <c r="O1093" s="1077">
        <v>2.5825</v>
      </c>
      <c r="P1093" s="1077">
        <v>2.0659999999999998</v>
      </c>
      <c r="Q1093" s="1077">
        <v>4</v>
      </c>
      <c r="R1093" s="1077">
        <v>25</v>
      </c>
      <c r="T1093" s="1077">
        <v>10</v>
      </c>
      <c r="U1093" s="1077">
        <v>5.8</v>
      </c>
      <c r="V1093" s="1077" t="s">
        <v>648</v>
      </c>
      <c r="W1093" s="1077">
        <v>125</v>
      </c>
      <c r="X1093" s="1077">
        <v>80</v>
      </c>
      <c r="Y1093" s="1077">
        <v>1.5</v>
      </c>
      <c r="Z1093" s="1077">
        <v>4</v>
      </c>
      <c r="AA1093" s="1077" t="s">
        <v>3312</v>
      </c>
      <c r="AH1093" s="1077" t="s">
        <v>1221</v>
      </c>
      <c r="AM1093" s="1078" t="s">
        <v>11205</v>
      </c>
      <c r="AN1093" s="1078" t="s">
        <v>11206</v>
      </c>
      <c r="AO1093" s="1078">
        <f t="shared" si="134"/>
        <v>550</v>
      </c>
      <c r="AP1093" s="1078">
        <f t="shared" si="135"/>
        <v>1.69</v>
      </c>
      <c r="AQ1093" s="1078" t="str">
        <f t="shared" si="136"/>
        <v>1-5-1S83°</v>
      </c>
      <c r="AR1093" s="1078" t="str">
        <f t="shared" si="137"/>
        <v>30.8</v>
      </c>
      <c r="AS1093" s="1078" t="str">
        <f t="shared" si="138"/>
        <v>205/205/OFF</v>
      </c>
      <c r="AT1093" s="1078" t="str">
        <f t="shared" si="139"/>
        <v>1-5-1S83°</v>
      </c>
      <c r="AV1093" s="1078" t="str">
        <f t="shared" si="140"/>
        <v>110.4.21</v>
      </c>
      <c r="AW1093" s="1344">
        <f t="shared" si="141"/>
        <v>44307</v>
      </c>
    </row>
    <row r="1094" spans="1:49">
      <c r="A1094" s="1077" t="s">
        <v>4194</v>
      </c>
      <c r="B1094" s="1077" t="s">
        <v>298</v>
      </c>
      <c r="C1094" s="1077">
        <v>600</v>
      </c>
      <c r="D1094" s="1077">
        <v>1.72</v>
      </c>
      <c r="E1094" s="1077" t="s">
        <v>15102</v>
      </c>
      <c r="F1094" s="1077" t="s">
        <v>1514</v>
      </c>
      <c r="G1094" s="1077" t="s">
        <v>1767</v>
      </c>
      <c r="H1094" s="1077" t="s">
        <v>4163</v>
      </c>
      <c r="I1094" s="1077" t="s">
        <v>648</v>
      </c>
      <c r="J1094" s="1077">
        <v>0</v>
      </c>
      <c r="K1094" s="1077" t="s">
        <v>4178</v>
      </c>
      <c r="L1094" s="1077" t="s">
        <v>4029</v>
      </c>
      <c r="M1094" s="1077">
        <v>103</v>
      </c>
      <c r="N1094" s="1077" t="s">
        <v>945</v>
      </c>
      <c r="O1094" s="1077">
        <v>2.5750000000000002</v>
      </c>
      <c r="P1094" s="1077">
        <v>2.06</v>
      </c>
      <c r="Q1094" s="1077">
        <v>4</v>
      </c>
      <c r="R1094" s="1077">
        <v>23.5</v>
      </c>
      <c r="T1094" s="1077">
        <v>18.5</v>
      </c>
      <c r="U1094" s="1077">
        <v>2.1</v>
      </c>
      <c r="V1094" s="1077" t="s">
        <v>648</v>
      </c>
      <c r="W1094" s="1077" t="s">
        <v>648</v>
      </c>
      <c r="X1094" s="1077" t="s">
        <v>648</v>
      </c>
      <c r="Y1094" s="1077">
        <v>1.3</v>
      </c>
      <c r="Z1094" s="1077">
        <v>4</v>
      </c>
      <c r="AA1094" s="1077" t="s">
        <v>4195</v>
      </c>
      <c r="AH1094" s="1077" t="s">
        <v>466</v>
      </c>
      <c r="AM1094" s="1078" t="s">
        <v>11207</v>
      </c>
      <c r="AN1094" s="1078" t="s">
        <v>11208</v>
      </c>
      <c r="AO1094" s="1078">
        <f t="shared" si="134"/>
        <v>600</v>
      </c>
      <c r="AP1094" s="1078">
        <f t="shared" si="135"/>
        <v>1.72</v>
      </c>
      <c r="AQ1094" s="1078" t="str">
        <f t="shared" si="136"/>
        <v>2-6-1S83°</v>
      </c>
      <c r="AR1094" s="1078" t="str">
        <f t="shared" si="137"/>
        <v>32</v>
      </c>
      <c r="AS1094" s="1078" t="str">
        <f t="shared" si="138"/>
        <v>178/175</v>
      </c>
      <c r="AT1094" s="1078" t="str">
        <f t="shared" si="139"/>
        <v>2-6-1S83°</v>
      </c>
      <c r="AV1094" s="1078" t="str">
        <f t="shared" si="140"/>
        <v>110.4.23</v>
      </c>
      <c r="AW1094" s="1344">
        <f t="shared" si="141"/>
        <v>44309</v>
      </c>
    </row>
    <row r="1095" spans="1:49">
      <c r="A1095" s="1077" t="s">
        <v>4196</v>
      </c>
      <c r="B1095" s="1077" t="s">
        <v>4083</v>
      </c>
      <c r="C1095" s="1077">
        <v>600</v>
      </c>
      <c r="D1095" s="1077">
        <v>1.75</v>
      </c>
      <c r="E1095" s="1077" t="s">
        <v>15102</v>
      </c>
      <c r="F1095" s="1077" t="s">
        <v>1398</v>
      </c>
      <c r="G1095" s="1077" t="s">
        <v>1767</v>
      </c>
      <c r="H1095" s="1077" t="s">
        <v>1952</v>
      </c>
      <c r="I1095" s="1077" t="s">
        <v>1167</v>
      </c>
      <c r="J1095" s="1077">
        <v>2.4</v>
      </c>
      <c r="K1095" s="1077" t="s">
        <v>4184</v>
      </c>
      <c r="L1095" s="1077" t="s">
        <v>4085</v>
      </c>
      <c r="M1095" s="1077">
        <v>101.6</v>
      </c>
      <c r="N1095" s="1077" t="s">
        <v>945</v>
      </c>
      <c r="O1095" s="1077">
        <v>2.54</v>
      </c>
      <c r="P1095" s="1077">
        <v>2.032</v>
      </c>
      <c r="Q1095" s="1077">
        <v>4</v>
      </c>
      <c r="R1095" s="1077">
        <v>20.5</v>
      </c>
      <c r="T1095" s="1077">
        <v>26.9</v>
      </c>
      <c r="U1095" s="1077">
        <v>4</v>
      </c>
      <c r="V1095" s="1077" t="s">
        <v>648</v>
      </c>
      <c r="W1095" s="1077">
        <v>125</v>
      </c>
      <c r="X1095" s="1077">
        <v>75</v>
      </c>
      <c r="Y1095" s="1077">
        <v>1.5</v>
      </c>
      <c r="Z1095" s="1077">
        <v>5.5</v>
      </c>
      <c r="AA1095" s="1077" t="s">
        <v>3323</v>
      </c>
      <c r="AH1095" s="1077" t="s">
        <v>813</v>
      </c>
      <c r="AM1095" s="1078" t="s">
        <v>11209</v>
      </c>
      <c r="AN1095" s="1078" t="s">
        <v>11210</v>
      </c>
      <c r="AO1095" s="1078">
        <f t="shared" si="134"/>
        <v>600</v>
      </c>
      <c r="AP1095" s="1078">
        <f t="shared" si="135"/>
        <v>1.75</v>
      </c>
      <c r="AQ1095" s="1078" t="str">
        <f t="shared" si="136"/>
        <v>2-6-1S83°</v>
      </c>
      <c r="AR1095" s="1078" t="str">
        <f t="shared" si="137"/>
        <v>32.5</v>
      </c>
      <c r="AS1095" s="1078" t="str">
        <f t="shared" si="138"/>
        <v>166/OFF</v>
      </c>
      <c r="AT1095" s="1078" t="str">
        <f t="shared" si="139"/>
        <v>2-6-1S83°</v>
      </c>
      <c r="AV1095" s="1078" t="str">
        <f t="shared" si="140"/>
        <v>110.5.4</v>
      </c>
      <c r="AW1095" s="1344">
        <f t="shared" si="141"/>
        <v>44320</v>
      </c>
    </row>
    <row r="1096" spans="1:49">
      <c r="A1096" s="1077" t="s">
        <v>4197</v>
      </c>
      <c r="B1096" s="1077" t="s">
        <v>4149</v>
      </c>
      <c r="C1096" s="1077">
        <v>700</v>
      </c>
      <c r="D1096" s="1077">
        <v>1.82</v>
      </c>
      <c r="E1096" s="1077" t="s">
        <v>15095</v>
      </c>
      <c r="F1096" s="1077" t="s">
        <v>984</v>
      </c>
      <c r="G1096" s="1077">
        <v>4</v>
      </c>
      <c r="H1096" s="1077" t="s">
        <v>2642</v>
      </c>
      <c r="I1096" s="1077" t="s">
        <v>460</v>
      </c>
      <c r="J1096" s="1077">
        <v>1.7</v>
      </c>
      <c r="K1096" s="1077" t="s">
        <v>4198</v>
      </c>
      <c r="L1096" s="1077" t="s">
        <v>4151</v>
      </c>
      <c r="M1096" s="1077">
        <v>98</v>
      </c>
      <c r="N1096" s="1077" t="s">
        <v>945</v>
      </c>
      <c r="O1096" s="1077">
        <v>2.4500000000000002</v>
      </c>
      <c r="P1096" s="1077">
        <v>1.96</v>
      </c>
      <c r="Q1096" s="1077">
        <v>3</v>
      </c>
      <c r="R1096" s="1077">
        <v>27.3</v>
      </c>
      <c r="T1096" s="1077">
        <v>11.6</v>
      </c>
      <c r="U1096" s="1077">
        <v>4.0999999999999996</v>
      </c>
      <c r="V1096" s="1077" t="s">
        <v>648</v>
      </c>
      <c r="W1096" s="1077">
        <v>100</v>
      </c>
      <c r="X1096" s="1077">
        <v>85</v>
      </c>
      <c r="Y1096" s="1077">
        <v>1.5</v>
      </c>
      <c r="Z1096" s="1077">
        <v>3</v>
      </c>
      <c r="AA1096" s="1077" t="s">
        <v>4199</v>
      </c>
      <c r="AH1096" s="1077" t="s">
        <v>1796</v>
      </c>
      <c r="AM1096" s="1078" t="s">
        <v>11211</v>
      </c>
      <c r="AN1096" s="1078" t="s">
        <v>11212</v>
      </c>
      <c r="AO1096" s="1078">
        <f t="shared" si="134"/>
        <v>700</v>
      </c>
      <c r="AP1096" s="1078">
        <f t="shared" si="135"/>
        <v>1.82</v>
      </c>
      <c r="AQ1096" s="1078" t="str">
        <f t="shared" si="136"/>
        <v>1-5-1S83°</v>
      </c>
      <c r="AR1096" s="1078" t="str">
        <f t="shared" si="137"/>
        <v>30</v>
      </c>
      <c r="AS1096" s="1078" t="str">
        <f t="shared" si="138"/>
        <v>280/280/155</v>
      </c>
      <c r="AT1096" s="1078" t="str">
        <f t="shared" si="139"/>
        <v>1-5-1S83°</v>
      </c>
      <c r="AV1096" s="1078" t="str">
        <f t="shared" si="140"/>
        <v>110.5.11</v>
      </c>
      <c r="AW1096" s="1344">
        <f t="shared" si="141"/>
        <v>44327</v>
      </c>
    </row>
    <row r="1097" spans="1:49">
      <c r="A1097" s="1077" t="s">
        <v>4200</v>
      </c>
      <c r="B1097" s="1077" t="s">
        <v>4083</v>
      </c>
      <c r="C1097" s="1077">
        <v>650</v>
      </c>
      <c r="D1097" s="1077">
        <v>1.76</v>
      </c>
      <c r="E1097" s="1077" t="s">
        <v>15088</v>
      </c>
      <c r="F1097" s="1077" t="s">
        <v>648</v>
      </c>
      <c r="G1097" s="1077" t="s">
        <v>1767</v>
      </c>
      <c r="H1097" s="1077" t="s">
        <v>1936</v>
      </c>
      <c r="I1097" s="1077" t="s">
        <v>126</v>
      </c>
      <c r="J1097" s="1077">
        <v>0.7</v>
      </c>
      <c r="K1097" s="1077" t="s">
        <v>4184</v>
      </c>
      <c r="L1097" s="1077" t="s">
        <v>4085</v>
      </c>
      <c r="M1097" s="1077">
        <v>100.5</v>
      </c>
      <c r="N1097" s="1077" t="s">
        <v>945</v>
      </c>
      <c r="O1097" s="1077">
        <v>2.5125000000000002</v>
      </c>
      <c r="P1097" s="1077">
        <v>2.0100000000000002</v>
      </c>
      <c r="Q1097" s="1077" t="s">
        <v>961</v>
      </c>
      <c r="R1097" s="1077">
        <v>22</v>
      </c>
      <c r="T1097" s="1077">
        <v>31</v>
      </c>
      <c r="U1097" s="1077">
        <v>3.9</v>
      </c>
      <c r="V1097" s="1077" t="s">
        <v>648</v>
      </c>
      <c r="W1097" s="1077">
        <v>30</v>
      </c>
      <c r="X1097" s="1077">
        <v>10</v>
      </c>
      <c r="Y1097" s="1077">
        <v>1.8</v>
      </c>
      <c r="Z1097" s="1077" t="s">
        <v>4201</v>
      </c>
      <c r="AA1097" s="1077" t="s">
        <v>4202</v>
      </c>
      <c r="AH1097" s="1077" t="s">
        <v>842</v>
      </c>
      <c r="AM1097" s="1078" t="s">
        <v>11213</v>
      </c>
      <c r="AN1097" s="1078" t="s">
        <v>11214</v>
      </c>
      <c r="AO1097" s="1078">
        <f t="shared" si="134"/>
        <v>650</v>
      </c>
      <c r="AP1097" s="1078">
        <f t="shared" si="135"/>
        <v>1.76</v>
      </c>
      <c r="AQ1097" s="1078" t="str">
        <f t="shared" si="136"/>
        <v>1-4-1S85°</v>
      </c>
      <c r="AR1097" s="1078" t="str">
        <f t="shared" si="137"/>
        <v>NA</v>
      </c>
      <c r="AS1097" s="1078" t="str">
        <f t="shared" si="138"/>
        <v>175/OFF</v>
      </c>
      <c r="AT1097" s="1078" t="str">
        <f t="shared" si="139"/>
        <v>1-4-1S85°</v>
      </c>
      <c r="AV1097" s="1078" t="str">
        <f t="shared" si="140"/>
        <v>110.5.13</v>
      </c>
      <c r="AW1097" s="1344">
        <f t="shared" si="141"/>
        <v>44329</v>
      </c>
    </row>
    <row r="1098" spans="1:49">
      <c r="A1098" s="1077" t="s">
        <v>4203</v>
      </c>
      <c r="B1098" s="1077" t="s">
        <v>298</v>
      </c>
      <c r="C1098" s="1077">
        <v>600</v>
      </c>
      <c r="D1098" s="1077">
        <v>1.74</v>
      </c>
      <c r="E1098" s="1077" t="s">
        <v>15102</v>
      </c>
      <c r="F1098" s="1077" t="s">
        <v>4204</v>
      </c>
      <c r="G1098" s="1077" t="s">
        <v>1767</v>
      </c>
      <c r="H1098" s="1077" t="s">
        <v>4163</v>
      </c>
      <c r="I1098" s="1077" t="s">
        <v>648</v>
      </c>
      <c r="J1098" s="1077">
        <v>0</v>
      </c>
      <c r="K1098" s="1077" t="s">
        <v>4164</v>
      </c>
      <c r="L1098" s="1077" t="s">
        <v>4029</v>
      </c>
      <c r="M1098" s="1077">
        <v>103</v>
      </c>
      <c r="N1098" s="1077" t="s">
        <v>945</v>
      </c>
      <c r="O1098" s="1077">
        <v>2.5750000000000002</v>
      </c>
      <c r="P1098" s="1077">
        <v>2.06</v>
      </c>
      <c r="Q1098" s="1077">
        <v>4</v>
      </c>
      <c r="R1098" s="1077">
        <v>23.5</v>
      </c>
      <c r="T1098" s="1077">
        <v>18.5</v>
      </c>
      <c r="U1098" s="1077">
        <v>2.1</v>
      </c>
      <c r="V1098" s="1077" t="s">
        <v>648</v>
      </c>
      <c r="W1098" s="1077" t="s">
        <v>648</v>
      </c>
      <c r="X1098" s="1077" t="s">
        <v>648</v>
      </c>
      <c r="Y1098" s="1077">
        <v>1.3</v>
      </c>
      <c r="Z1098" s="1077">
        <v>4</v>
      </c>
      <c r="AA1098" s="1077" t="s">
        <v>4133</v>
      </c>
      <c r="AB1098" s="1077" t="s">
        <v>4165</v>
      </c>
      <c r="AH1098" s="1077" t="s">
        <v>4205</v>
      </c>
      <c r="AM1098" s="1078" t="s">
        <v>11215</v>
      </c>
      <c r="AN1098" s="1078" t="s">
        <v>11216</v>
      </c>
      <c r="AO1098" s="1078">
        <f t="shared" si="134"/>
        <v>600</v>
      </c>
      <c r="AP1098" s="1078">
        <f t="shared" si="135"/>
        <v>1.74</v>
      </c>
      <c r="AQ1098" s="1078" t="str">
        <f t="shared" si="136"/>
        <v>2-6-1S83°</v>
      </c>
      <c r="AR1098" s="1078" t="str">
        <f t="shared" si="137"/>
        <v>31.9</v>
      </c>
      <c r="AS1098" s="1078" t="str">
        <f t="shared" si="138"/>
        <v>178/175</v>
      </c>
      <c r="AT1098" s="1078" t="str">
        <f t="shared" si="139"/>
        <v>2-6-1S83°</v>
      </c>
      <c r="AV1098" s="1078" t="str">
        <f t="shared" si="140"/>
        <v>110.5.17</v>
      </c>
      <c r="AW1098" s="1344">
        <f t="shared" si="141"/>
        <v>44333</v>
      </c>
    </row>
    <row r="1099" spans="1:49">
      <c r="A1099" s="1077" t="s">
        <v>4206</v>
      </c>
      <c r="B1099" s="1077" t="s">
        <v>4113</v>
      </c>
      <c r="C1099" s="1077">
        <v>550</v>
      </c>
      <c r="D1099" s="1077">
        <v>1.65</v>
      </c>
      <c r="E1099" s="1077" t="s">
        <v>15095</v>
      </c>
      <c r="F1099" s="1077" t="s">
        <v>1897</v>
      </c>
      <c r="G1099" s="1077">
        <v>5</v>
      </c>
      <c r="H1099" s="1077" t="s">
        <v>2295</v>
      </c>
      <c r="I1099" s="1077" t="s">
        <v>126</v>
      </c>
      <c r="J1099" s="1077">
        <v>1</v>
      </c>
      <c r="K1099" s="1077" t="s">
        <v>4207</v>
      </c>
      <c r="L1099" s="1077" t="s">
        <v>4147</v>
      </c>
      <c r="M1099" s="1077">
        <v>103.3</v>
      </c>
      <c r="N1099" s="1077" t="s">
        <v>945</v>
      </c>
      <c r="O1099" s="1077">
        <v>2.5825</v>
      </c>
      <c r="P1099" s="1077">
        <v>2.0659999999999998</v>
      </c>
      <c r="Q1099" s="1077">
        <v>4</v>
      </c>
      <c r="R1099" s="1077">
        <v>25</v>
      </c>
      <c r="T1099" s="1077">
        <v>10</v>
      </c>
      <c r="U1099" s="1077">
        <v>5.8</v>
      </c>
      <c r="V1099" s="1077" t="s">
        <v>648</v>
      </c>
      <c r="W1099" s="1077">
        <v>125</v>
      </c>
      <c r="X1099" s="1077">
        <v>80</v>
      </c>
      <c r="Y1099" s="1077">
        <v>1.5</v>
      </c>
      <c r="Z1099" s="1077">
        <v>4</v>
      </c>
      <c r="AA1099" s="1077" t="s">
        <v>3456</v>
      </c>
      <c r="AH1099" s="1077" t="s">
        <v>4208</v>
      </c>
      <c r="AM1099" s="1078" t="s">
        <v>11217</v>
      </c>
      <c r="AN1099" s="1078" t="s">
        <v>11218</v>
      </c>
      <c r="AO1099" s="1078">
        <f t="shared" ref="AO1099:AO1162" si="142">C1099</f>
        <v>550</v>
      </c>
      <c r="AP1099" s="1078">
        <f t="shared" ref="AP1099:AP1162" si="143">D1099</f>
        <v>1.65</v>
      </c>
      <c r="AQ1099" s="1078" t="str">
        <f t="shared" ref="AQ1099:AQ1162" si="144">E1099</f>
        <v>1-5-1S83°</v>
      </c>
      <c r="AR1099" s="1078" t="str">
        <f t="shared" ref="AR1099:AR1162" si="145">F1099</f>
        <v>30.8</v>
      </c>
      <c r="AS1099" s="1078" t="str">
        <f t="shared" ref="AS1099:AS1162" si="146">H1099</f>
        <v>205/205/OFF</v>
      </c>
      <c r="AT1099" s="1078" t="str">
        <f t="shared" ref="AT1099:AT1162" si="147">E1099</f>
        <v>1-5-1S83°</v>
      </c>
      <c r="AV1099" s="1078" t="str">
        <f t="shared" si="140"/>
        <v>110.5.24</v>
      </c>
      <c r="AW1099" s="1344">
        <f t="shared" si="141"/>
        <v>44340</v>
      </c>
    </row>
    <row r="1100" spans="1:49">
      <c r="A1100" s="1077" t="s">
        <v>4209</v>
      </c>
      <c r="B1100" s="1077" t="s">
        <v>4083</v>
      </c>
      <c r="C1100" s="1077">
        <v>600</v>
      </c>
      <c r="D1100" s="1077">
        <v>1.75</v>
      </c>
      <c r="E1100" s="1077" t="s">
        <v>15102</v>
      </c>
      <c r="F1100" s="1077" t="s">
        <v>2234</v>
      </c>
      <c r="G1100" s="1077" t="s">
        <v>1767</v>
      </c>
      <c r="H1100" s="1077" t="s">
        <v>1952</v>
      </c>
      <c r="I1100" s="1077" t="s">
        <v>1167</v>
      </c>
      <c r="J1100" s="1077">
        <v>2.2999999999999998</v>
      </c>
      <c r="K1100" s="1077" t="s">
        <v>4172</v>
      </c>
      <c r="L1100" s="1077" t="s">
        <v>4085</v>
      </c>
      <c r="M1100" s="1077">
        <v>101.6</v>
      </c>
      <c r="N1100" s="1077" t="s">
        <v>945</v>
      </c>
      <c r="O1100" s="1077">
        <v>2.54</v>
      </c>
      <c r="P1100" s="1077">
        <v>2.032</v>
      </c>
      <c r="Q1100" s="1077">
        <v>4</v>
      </c>
      <c r="R1100" s="1077">
        <v>20.5</v>
      </c>
      <c r="T1100" s="1077">
        <v>26.9</v>
      </c>
      <c r="U1100" s="1077">
        <v>4</v>
      </c>
      <c r="V1100" s="1077" t="s">
        <v>648</v>
      </c>
      <c r="W1100" s="1077">
        <v>125</v>
      </c>
      <c r="X1100" s="1077">
        <v>75</v>
      </c>
      <c r="Y1100" s="1077">
        <v>1.5</v>
      </c>
      <c r="Z1100" s="1077">
        <v>5.5</v>
      </c>
      <c r="AA1100" s="1077" t="s">
        <v>3533</v>
      </c>
      <c r="AH1100" s="1077" t="s">
        <v>878</v>
      </c>
      <c r="AM1100" s="1078" t="s">
        <v>11219</v>
      </c>
      <c r="AN1100" s="1078" t="s">
        <v>11220</v>
      </c>
      <c r="AO1100" s="1078">
        <f t="shared" si="142"/>
        <v>600</v>
      </c>
      <c r="AP1100" s="1078">
        <f t="shared" si="143"/>
        <v>1.75</v>
      </c>
      <c r="AQ1100" s="1078" t="str">
        <f t="shared" si="144"/>
        <v>2-6-1S83°</v>
      </c>
      <c r="AR1100" s="1078" t="str">
        <f t="shared" si="145"/>
        <v>33.5</v>
      </c>
      <c r="AS1100" s="1078" t="str">
        <f t="shared" si="146"/>
        <v>166/OFF</v>
      </c>
      <c r="AT1100" s="1078" t="str">
        <f t="shared" si="147"/>
        <v>2-6-1S83°</v>
      </c>
      <c r="AV1100" s="1078" t="str">
        <f t="shared" si="140"/>
        <v>110.6.11</v>
      </c>
      <c r="AW1100" s="1344">
        <f t="shared" si="141"/>
        <v>44358</v>
      </c>
    </row>
    <row r="1101" spans="1:49">
      <c r="A1101" s="1077" t="s">
        <v>4210</v>
      </c>
      <c r="B1101" s="1077" t="s">
        <v>4149</v>
      </c>
      <c r="C1101" s="1077">
        <v>700</v>
      </c>
      <c r="D1101" s="1077">
        <v>1.84</v>
      </c>
      <c r="E1101" s="1077" t="s">
        <v>15095</v>
      </c>
      <c r="F1101" s="1077" t="s">
        <v>984</v>
      </c>
      <c r="G1101" s="1077">
        <v>4</v>
      </c>
      <c r="H1101" s="1077" t="s">
        <v>2642</v>
      </c>
      <c r="I1101" s="1077" t="s">
        <v>460</v>
      </c>
      <c r="J1101" s="1077">
        <v>1.7</v>
      </c>
      <c r="K1101" s="1077" t="s">
        <v>4211</v>
      </c>
      <c r="L1101" s="1077" t="s">
        <v>4212</v>
      </c>
      <c r="M1101" s="1077">
        <v>98</v>
      </c>
      <c r="N1101" s="1077" t="s">
        <v>945</v>
      </c>
      <c r="O1101" s="1077">
        <v>2.4500000000000002</v>
      </c>
      <c r="P1101" s="1077">
        <v>1.96</v>
      </c>
      <c r="Q1101" s="1077">
        <v>3</v>
      </c>
      <c r="R1101" s="1077">
        <v>27.3</v>
      </c>
      <c r="T1101" s="1077">
        <v>11.6</v>
      </c>
      <c r="U1101" s="1077">
        <v>4.0999999999999996</v>
      </c>
      <c r="V1101" s="1077" t="s">
        <v>648</v>
      </c>
      <c r="W1101" s="1077">
        <v>100</v>
      </c>
      <c r="X1101" s="1077">
        <v>85</v>
      </c>
      <c r="Y1101" s="1077">
        <v>1.5</v>
      </c>
      <c r="Z1101" s="1077">
        <v>3</v>
      </c>
      <c r="AA1101" s="1077" t="s">
        <v>4213</v>
      </c>
      <c r="AH1101" s="1077" t="s">
        <v>2398</v>
      </c>
      <c r="AM1101" s="1078" t="s">
        <v>11221</v>
      </c>
      <c r="AN1101" s="1078" t="s">
        <v>11222</v>
      </c>
      <c r="AO1101" s="1078">
        <f t="shared" si="142"/>
        <v>700</v>
      </c>
      <c r="AP1101" s="1078">
        <f t="shared" si="143"/>
        <v>1.84</v>
      </c>
      <c r="AQ1101" s="1078" t="str">
        <f t="shared" si="144"/>
        <v>1-5-1S83°</v>
      </c>
      <c r="AR1101" s="1078" t="str">
        <f t="shared" si="145"/>
        <v>30</v>
      </c>
      <c r="AS1101" s="1078" t="str">
        <f t="shared" si="146"/>
        <v>280/280/155</v>
      </c>
      <c r="AT1101" s="1078" t="str">
        <f t="shared" si="147"/>
        <v>1-5-1S83°</v>
      </c>
      <c r="AV1101" s="1078" t="str">
        <f t="shared" si="140"/>
        <v>110.6.16</v>
      </c>
      <c r="AW1101" s="1344">
        <f t="shared" si="141"/>
        <v>44363</v>
      </c>
    </row>
    <row r="1102" spans="1:49">
      <c r="A1102" s="1077" t="s">
        <v>4214</v>
      </c>
      <c r="B1102" s="1077" t="s">
        <v>4083</v>
      </c>
      <c r="C1102" s="1077">
        <v>600</v>
      </c>
      <c r="D1102" s="1077">
        <v>1.75</v>
      </c>
      <c r="E1102" s="1077" t="s">
        <v>15102</v>
      </c>
      <c r="F1102" s="1077" t="s">
        <v>648</v>
      </c>
      <c r="G1102" s="1077" t="s">
        <v>1767</v>
      </c>
      <c r="H1102" s="1077" t="s">
        <v>2382</v>
      </c>
      <c r="I1102" s="1077" t="s">
        <v>1167</v>
      </c>
      <c r="J1102" s="1077">
        <v>0.5</v>
      </c>
      <c r="K1102" s="1077" t="s">
        <v>4172</v>
      </c>
      <c r="L1102" s="1077" t="s">
        <v>4085</v>
      </c>
      <c r="M1102" s="1077">
        <v>101</v>
      </c>
      <c r="N1102" s="1077" t="s">
        <v>945</v>
      </c>
      <c r="O1102" s="1077">
        <v>2.5250000000000004</v>
      </c>
      <c r="P1102" s="1077">
        <v>2.02</v>
      </c>
      <c r="Q1102" s="1077">
        <v>4</v>
      </c>
      <c r="R1102" s="1077">
        <v>21</v>
      </c>
      <c r="T1102" s="1077">
        <v>33.5</v>
      </c>
      <c r="U1102" s="1077">
        <v>4.3</v>
      </c>
      <c r="V1102" s="1077" t="s">
        <v>648</v>
      </c>
      <c r="W1102" s="1077">
        <v>30</v>
      </c>
      <c r="X1102" s="1077">
        <v>10</v>
      </c>
      <c r="Y1102" s="1077">
        <v>1.8</v>
      </c>
      <c r="Z1102" s="1077">
        <v>6</v>
      </c>
      <c r="AA1102" s="1077" t="s">
        <v>4215</v>
      </c>
      <c r="AH1102" s="1077" t="s">
        <v>990</v>
      </c>
      <c r="AM1102" s="1078" t="s">
        <v>11223</v>
      </c>
      <c r="AN1102" s="1078" t="s">
        <v>11224</v>
      </c>
      <c r="AO1102" s="1078">
        <f t="shared" si="142"/>
        <v>600</v>
      </c>
      <c r="AP1102" s="1078">
        <f t="shared" si="143"/>
        <v>1.75</v>
      </c>
      <c r="AQ1102" s="1078" t="str">
        <f t="shared" si="144"/>
        <v>2-6-1S83°</v>
      </c>
      <c r="AR1102" s="1078" t="str">
        <f t="shared" si="145"/>
        <v>NA</v>
      </c>
      <c r="AS1102" s="1078" t="str">
        <f t="shared" si="146"/>
        <v>161/OFF</v>
      </c>
      <c r="AT1102" s="1078" t="str">
        <f t="shared" si="147"/>
        <v>2-6-1S83°</v>
      </c>
      <c r="AV1102" s="1078" t="str">
        <f t="shared" si="140"/>
        <v>110.6.19</v>
      </c>
      <c r="AW1102" s="1344">
        <f t="shared" si="141"/>
        <v>44366</v>
      </c>
    </row>
    <row r="1103" spans="1:49">
      <c r="A1103" s="1077" t="s">
        <v>4216</v>
      </c>
      <c r="B1103" s="1077" t="s">
        <v>4149</v>
      </c>
      <c r="C1103" s="1077">
        <v>700</v>
      </c>
      <c r="D1103" s="1077">
        <v>1.84</v>
      </c>
      <c r="E1103" s="1077" t="s">
        <v>15095</v>
      </c>
      <c r="F1103" s="1077" t="s">
        <v>984</v>
      </c>
      <c r="G1103" s="1077">
        <v>4</v>
      </c>
      <c r="H1103" s="1077" t="s">
        <v>2642</v>
      </c>
      <c r="I1103" s="1077" t="s">
        <v>460</v>
      </c>
      <c r="J1103" s="1077">
        <v>1.7</v>
      </c>
      <c r="K1103" s="1077" t="s">
        <v>4211</v>
      </c>
      <c r="L1103" s="1077" t="s">
        <v>4212</v>
      </c>
      <c r="M1103" s="1077">
        <v>98</v>
      </c>
      <c r="N1103" s="1077" t="s">
        <v>945</v>
      </c>
      <c r="O1103" s="1077">
        <v>2.4500000000000002</v>
      </c>
      <c r="P1103" s="1077">
        <v>1.96</v>
      </c>
      <c r="Q1103" s="1077">
        <v>3</v>
      </c>
      <c r="R1103" s="1077">
        <v>27.3</v>
      </c>
      <c r="T1103" s="1077">
        <v>11.6</v>
      </c>
      <c r="U1103" s="1077">
        <v>4.0999999999999996</v>
      </c>
      <c r="V1103" s="1077" t="s">
        <v>648</v>
      </c>
      <c r="W1103" s="1077">
        <v>100</v>
      </c>
      <c r="X1103" s="1077">
        <v>85</v>
      </c>
      <c r="Y1103" s="1077">
        <v>1.5</v>
      </c>
      <c r="Z1103" s="1077">
        <v>3</v>
      </c>
      <c r="AA1103" s="1077" t="s">
        <v>3553</v>
      </c>
      <c r="AH1103" s="1077" t="s">
        <v>958</v>
      </c>
      <c r="AM1103" s="1078" t="s">
        <v>11225</v>
      </c>
      <c r="AN1103" s="1078" t="s">
        <v>11226</v>
      </c>
      <c r="AO1103" s="1078">
        <f t="shared" si="142"/>
        <v>700</v>
      </c>
      <c r="AP1103" s="1078">
        <f t="shared" si="143"/>
        <v>1.84</v>
      </c>
      <c r="AQ1103" s="1078" t="str">
        <f t="shared" si="144"/>
        <v>1-5-1S83°</v>
      </c>
      <c r="AR1103" s="1078" t="str">
        <f t="shared" si="145"/>
        <v>30</v>
      </c>
      <c r="AS1103" s="1078" t="str">
        <f t="shared" si="146"/>
        <v>280/280/155</v>
      </c>
      <c r="AT1103" s="1078" t="str">
        <f t="shared" si="147"/>
        <v>1-5-1S83°</v>
      </c>
      <c r="AV1103" s="1078" t="str">
        <f t="shared" si="140"/>
        <v>110.7.5</v>
      </c>
      <c r="AW1103" s="1344">
        <f t="shared" si="141"/>
        <v>44382</v>
      </c>
    </row>
    <row r="1104" spans="1:49">
      <c r="A1104" s="1077" t="s">
        <v>4217</v>
      </c>
      <c r="B1104" s="1077" t="s">
        <v>4218</v>
      </c>
      <c r="C1104" s="1077">
        <v>500</v>
      </c>
      <c r="D1104" s="1077">
        <v>1.7050000000000001</v>
      </c>
      <c r="E1104" s="1077" t="s">
        <v>15108</v>
      </c>
      <c r="F1104" s="1077" t="s">
        <v>984</v>
      </c>
      <c r="G1104" s="1077">
        <v>2</v>
      </c>
      <c r="H1104" s="1077" t="s">
        <v>1660</v>
      </c>
      <c r="I1104" s="1077" t="s">
        <v>126</v>
      </c>
      <c r="J1104" s="1077">
        <v>0.8</v>
      </c>
      <c r="K1104" s="1077" t="s">
        <v>4219</v>
      </c>
      <c r="L1104" s="1077" t="s">
        <v>1356</v>
      </c>
      <c r="M1104" s="1077">
        <v>99.8</v>
      </c>
      <c r="N1104" s="1077" t="s">
        <v>945</v>
      </c>
      <c r="O1104" s="1077">
        <v>2.4950000000000001</v>
      </c>
      <c r="P1104" s="1077">
        <v>1.996</v>
      </c>
      <c r="Q1104" s="1077" t="s">
        <v>1059</v>
      </c>
      <c r="R1104" s="1077">
        <v>25.5</v>
      </c>
      <c r="T1104" s="1077">
        <v>9.1999999999999993</v>
      </c>
      <c r="U1104" s="1077">
        <v>7</v>
      </c>
      <c r="V1104" s="1077" t="s">
        <v>648</v>
      </c>
      <c r="W1104" s="1077">
        <v>125</v>
      </c>
      <c r="X1104" s="1077">
        <v>85</v>
      </c>
      <c r="Y1104" s="1077">
        <v>1.8</v>
      </c>
      <c r="Z1104" s="1077" t="s">
        <v>648</v>
      </c>
      <c r="AA1104" s="1077" t="s">
        <v>4220</v>
      </c>
      <c r="AH1104" s="1077" t="s">
        <v>646</v>
      </c>
      <c r="AM1104" s="1078" t="s">
        <v>11227</v>
      </c>
      <c r="AN1104" s="1078" t="s">
        <v>11228</v>
      </c>
      <c r="AO1104" s="1078">
        <f t="shared" si="142"/>
        <v>500</v>
      </c>
      <c r="AP1104" s="1078">
        <f t="shared" si="143"/>
        <v>1.7050000000000001</v>
      </c>
      <c r="AQ1104" s="1078" t="str">
        <f t="shared" si="144"/>
        <v>1-4-1S83°Z+S</v>
      </c>
      <c r="AR1104" s="1078" t="str">
        <f t="shared" si="145"/>
        <v>30</v>
      </c>
      <c r="AS1104" s="1078" t="str">
        <f t="shared" si="146"/>
        <v>180/180/OFF</v>
      </c>
      <c r="AT1104" s="1078" t="str">
        <f t="shared" si="147"/>
        <v>1-4-1S83°Z+S</v>
      </c>
      <c r="AU1104" s="1078" t="s">
        <v>15547</v>
      </c>
      <c r="AV1104" s="1078" t="str">
        <f t="shared" si="140"/>
        <v>110.7.12</v>
      </c>
      <c r="AW1104" s="1344">
        <f t="shared" si="141"/>
        <v>44389</v>
      </c>
    </row>
    <row r="1105" spans="1:49">
      <c r="A1105" s="1077" t="s">
        <v>4221</v>
      </c>
      <c r="B1105" s="1077" t="s">
        <v>4222</v>
      </c>
      <c r="C1105" s="1077">
        <v>500</v>
      </c>
      <c r="D1105" s="1077">
        <v>1.73</v>
      </c>
      <c r="E1105" s="1077" t="s">
        <v>15108</v>
      </c>
      <c r="F1105" s="1077" t="s">
        <v>954</v>
      </c>
      <c r="G1105" s="1077">
        <v>2</v>
      </c>
      <c r="H1105" s="1077" t="s">
        <v>1274</v>
      </c>
      <c r="I1105" s="1077" t="s">
        <v>126</v>
      </c>
      <c r="J1105" s="1077">
        <v>1.1000000000000001</v>
      </c>
      <c r="K1105" s="1077" t="s">
        <v>4223</v>
      </c>
      <c r="L1105" s="1077" t="s">
        <v>1425</v>
      </c>
      <c r="M1105" s="1077">
        <v>102</v>
      </c>
      <c r="N1105" s="1077" t="s">
        <v>945</v>
      </c>
      <c r="O1105" s="1077">
        <v>2.5500000000000003</v>
      </c>
      <c r="P1105" s="1077">
        <v>2.04</v>
      </c>
      <c r="Q1105" s="1077" t="s">
        <v>988</v>
      </c>
      <c r="R1105" s="1077">
        <v>20.5</v>
      </c>
      <c r="T1105" s="1077">
        <v>27</v>
      </c>
      <c r="U1105" s="1077">
        <v>3.3</v>
      </c>
      <c r="V1105" s="1077" t="s">
        <v>648</v>
      </c>
      <c r="W1105" s="1077">
        <v>130</v>
      </c>
      <c r="X1105" s="1077">
        <v>80</v>
      </c>
      <c r="Y1105" s="1077">
        <v>1</v>
      </c>
      <c r="Z1105" s="1077" t="s">
        <v>648</v>
      </c>
      <c r="AA1105" s="1077" t="s">
        <v>3639</v>
      </c>
      <c r="AH1105" s="1077" t="s">
        <v>650</v>
      </c>
      <c r="AM1105" s="1078" t="s">
        <v>11229</v>
      </c>
      <c r="AN1105" s="1078" t="s">
        <v>11230</v>
      </c>
      <c r="AO1105" s="1078">
        <f t="shared" si="142"/>
        <v>500</v>
      </c>
      <c r="AP1105" s="1078">
        <f t="shared" si="143"/>
        <v>1.73</v>
      </c>
      <c r="AQ1105" s="1078" t="str">
        <f t="shared" si="144"/>
        <v>1-4-1S83°Z+S</v>
      </c>
      <c r="AR1105" s="1078" t="str">
        <f t="shared" si="145"/>
        <v>31</v>
      </c>
      <c r="AS1105" s="1078" t="str">
        <f t="shared" si="146"/>
        <v>210/210/OFF</v>
      </c>
      <c r="AT1105" s="1078" t="str">
        <f t="shared" si="147"/>
        <v>1-4-1S83°Z+S</v>
      </c>
      <c r="AU1105" s="1078" t="s">
        <v>15547</v>
      </c>
      <c r="AV1105" s="1078" t="str">
        <f t="shared" si="140"/>
        <v>110.8.6</v>
      </c>
      <c r="AW1105" s="1344">
        <f t="shared" si="141"/>
        <v>44414</v>
      </c>
    </row>
    <row r="1106" spans="1:49">
      <c r="A1106" s="1077" t="s">
        <v>4224</v>
      </c>
      <c r="B1106" s="1077" t="s">
        <v>4083</v>
      </c>
      <c r="C1106" s="1077">
        <v>600</v>
      </c>
      <c r="D1106" s="1077">
        <v>1.75</v>
      </c>
      <c r="E1106" s="1077" t="s">
        <v>15102</v>
      </c>
      <c r="F1106" s="1077" t="s">
        <v>2167</v>
      </c>
      <c r="G1106" s="1077" t="s">
        <v>1767</v>
      </c>
      <c r="H1106" s="1077" t="s">
        <v>1952</v>
      </c>
      <c r="I1106" s="1077" t="s">
        <v>1167</v>
      </c>
      <c r="J1106" s="1077">
        <v>2.2999999999999998</v>
      </c>
      <c r="K1106" s="1077" t="s">
        <v>4172</v>
      </c>
      <c r="L1106" s="1077" t="s">
        <v>4085</v>
      </c>
      <c r="M1106" s="1077">
        <v>101.6</v>
      </c>
      <c r="N1106" s="1077" t="s">
        <v>945</v>
      </c>
      <c r="O1106" s="1077">
        <v>2.54</v>
      </c>
      <c r="P1106" s="1077">
        <v>2.032</v>
      </c>
      <c r="Q1106" s="1077">
        <v>4</v>
      </c>
      <c r="R1106" s="1077">
        <v>20.5</v>
      </c>
      <c r="T1106" s="1077">
        <v>26.9</v>
      </c>
      <c r="U1106" s="1077">
        <v>4</v>
      </c>
      <c r="V1106" s="1077" t="s">
        <v>648</v>
      </c>
      <c r="W1106" s="1077">
        <v>125</v>
      </c>
      <c r="X1106" s="1077">
        <v>75</v>
      </c>
      <c r="Y1106" s="1077">
        <v>1.5</v>
      </c>
      <c r="Z1106" s="1077">
        <v>5.5</v>
      </c>
      <c r="AA1106" s="1077" t="s">
        <v>3706</v>
      </c>
      <c r="AH1106" s="1077" t="s">
        <v>680</v>
      </c>
      <c r="AM1106" s="1078" t="s">
        <v>11231</v>
      </c>
      <c r="AN1106" s="1078" t="s">
        <v>11232</v>
      </c>
      <c r="AO1106" s="1078">
        <f t="shared" si="142"/>
        <v>600</v>
      </c>
      <c r="AP1106" s="1078">
        <f t="shared" si="143"/>
        <v>1.75</v>
      </c>
      <c r="AQ1106" s="1078" t="str">
        <f t="shared" si="144"/>
        <v>2-6-1S83°</v>
      </c>
      <c r="AR1106" s="1078" t="str">
        <f t="shared" si="145"/>
        <v>33</v>
      </c>
      <c r="AS1106" s="1078" t="str">
        <f t="shared" si="146"/>
        <v>166/OFF</v>
      </c>
      <c r="AT1106" s="1078" t="str">
        <f t="shared" si="147"/>
        <v>2-6-1S83°</v>
      </c>
      <c r="AV1106" s="1078" t="str">
        <f t="shared" si="140"/>
        <v>110.8.16</v>
      </c>
      <c r="AW1106" s="1344">
        <f t="shared" si="141"/>
        <v>44424</v>
      </c>
    </row>
    <row r="1107" spans="1:49">
      <c r="A1107" s="1077" t="s">
        <v>4225</v>
      </c>
      <c r="B1107" s="1077" t="s">
        <v>4052</v>
      </c>
      <c r="C1107" s="1077">
        <v>650</v>
      </c>
      <c r="D1107" s="1077">
        <v>1.76</v>
      </c>
      <c r="E1107" s="1077" t="s">
        <v>15104</v>
      </c>
      <c r="F1107" s="1077" t="s">
        <v>648</v>
      </c>
      <c r="G1107" s="1077">
        <v>4</v>
      </c>
      <c r="H1107" s="1077" t="s">
        <v>2326</v>
      </c>
      <c r="I1107" s="1077" t="s">
        <v>126</v>
      </c>
      <c r="J1107" s="1077">
        <v>1.1000000000000001</v>
      </c>
      <c r="K1107" s="1077" t="s">
        <v>4226</v>
      </c>
      <c r="L1107" s="1077" t="s">
        <v>987</v>
      </c>
      <c r="M1107" s="1077">
        <v>99</v>
      </c>
      <c r="N1107" s="1077" t="s">
        <v>945</v>
      </c>
      <c r="O1107" s="1077">
        <v>2.4750000000000001</v>
      </c>
      <c r="P1107" s="1077">
        <v>1.98</v>
      </c>
      <c r="Q1107" s="1077">
        <v>4.2</v>
      </c>
      <c r="R1107" s="1077">
        <v>23</v>
      </c>
      <c r="T1107" s="1077">
        <v>16</v>
      </c>
      <c r="U1107" s="1077">
        <v>3.6</v>
      </c>
      <c r="V1107" s="1077" t="s">
        <v>648</v>
      </c>
      <c r="W1107" s="1077">
        <v>120</v>
      </c>
      <c r="X1107" s="1077" t="s">
        <v>4054</v>
      </c>
      <c r="Y1107" s="1077">
        <v>2.5</v>
      </c>
      <c r="Z1107" s="1077" t="s">
        <v>648</v>
      </c>
      <c r="AA1107" s="1077" t="s">
        <v>3722</v>
      </c>
      <c r="AB1107" s="1077" t="s">
        <v>981</v>
      </c>
      <c r="AH1107" s="1077" t="s">
        <v>782</v>
      </c>
      <c r="AM1107" s="1078" t="s">
        <v>11233</v>
      </c>
      <c r="AN1107" s="1078" t="s">
        <v>11234</v>
      </c>
      <c r="AO1107" s="1078">
        <f t="shared" si="142"/>
        <v>650</v>
      </c>
      <c r="AP1107" s="1078">
        <f t="shared" si="143"/>
        <v>1.76</v>
      </c>
      <c r="AQ1107" s="1078" t="str">
        <f t="shared" si="144"/>
        <v>1-4-1S85°Z+S</v>
      </c>
      <c r="AR1107" s="1078" t="str">
        <f t="shared" si="145"/>
        <v>NA</v>
      </c>
      <c r="AS1107" s="1078" t="str">
        <f t="shared" si="146"/>
        <v>173/OFF</v>
      </c>
      <c r="AT1107" s="1078" t="str">
        <f t="shared" si="147"/>
        <v>1-4-1S85°Z+S</v>
      </c>
      <c r="AU1107" s="1078" t="s">
        <v>15547</v>
      </c>
      <c r="AV1107" s="1078" t="str">
        <f t="shared" si="140"/>
        <v>110.9.8</v>
      </c>
      <c r="AW1107" s="1344">
        <f t="shared" si="141"/>
        <v>44447</v>
      </c>
    </row>
    <row r="1108" spans="1:49">
      <c r="A1108" s="1077" t="s">
        <v>4227</v>
      </c>
      <c r="B1108" s="1077" t="s">
        <v>298</v>
      </c>
      <c r="C1108" s="1077">
        <v>600</v>
      </c>
      <c r="D1108" s="1077">
        <v>1.7250000000000001</v>
      </c>
      <c r="E1108" s="1077" t="s">
        <v>15102</v>
      </c>
      <c r="F1108" s="1077" t="s">
        <v>2234</v>
      </c>
      <c r="G1108" s="1077" t="s">
        <v>1767</v>
      </c>
      <c r="H1108" s="1077" t="s">
        <v>4163</v>
      </c>
      <c r="I1108" s="1077" t="s">
        <v>648</v>
      </c>
      <c r="J1108" s="1077">
        <v>0</v>
      </c>
      <c r="K1108" s="1077" t="s">
        <v>4228</v>
      </c>
      <c r="L1108" s="1077" t="s">
        <v>4029</v>
      </c>
      <c r="M1108" s="1077">
        <v>103</v>
      </c>
      <c r="N1108" s="1077" t="s">
        <v>945</v>
      </c>
      <c r="O1108" s="1077">
        <v>2.5750000000000002</v>
      </c>
      <c r="P1108" s="1077">
        <v>2.06</v>
      </c>
      <c r="Q1108" s="1077">
        <v>4</v>
      </c>
      <c r="R1108" s="1077">
        <v>23.5</v>
      </c>
      <c r="T1108" s="1077">
        <v>18.5</v>
      </c>
      <c r="U1108" s="1077">
        <v>2.1</v>
      </c>
      <c r="V1108" s="1077" t="s">
        <v>648</v>
      </c>
      <c r="W1108" s="1077" t="s">
        <v>648</v>
      </c>
      <c r="X1108" s="1077" t="s">
        <v>648</v>
      </c>
      <c r="Y1108" s="1077">
        <v>1.3</v>
      </c>
      <c r="Z1108" s="1077">
        <v>4</v>
      </c>
      <c r="AA1108" s="1077" t="s">
        <v>1314</v>
      </c>
      <c r="AH1108" s="1077" t="s">
        <v>963</v>
      </c>
      <c r="AM1108" s="1078" t="s">
        <v>11235</v>
      </c>
      <c r="AN1108" s="1078" t="s">
        <v>11236</v>
      </c>
      <c r="AO1108" s="1078">
        <f t="shared" si="142"/>
        <v>600</v>
      </c>
      <c r="AP1108" s="1078">
        <f t="shared" si="143"/>
        <v>1.7250000000000001</v>
      </c>
      <c r="AQ1108" s="1078" t="str">
        <f t="shared" si="144"/>
        <v>2-6-1S83°</v>
      </c>
      <c r="AR1108" s="1078" t="str">
        <f t="shared" si="145"/>
        <v>33.5</v>
      </c>
      <c r="AS1108" s="1078" t="str">
        <f t="shared" si="146"/>
        <v>178/175</v>
      </c>
      <c r="AT1108" s="1078" t="str">
        <f t="shared" si="147"/>
        <v>2-6-1S83°</v>
      </c>
      <c r="AV1108" s="1078" t="str">
        <f t="shared" si="140"/>
        <v>110.9.10</v>
      </c>
      <c r="AW1108" s="1344">
        <f t="shared" si="141"/>
        <v>44449</v>
      </c>
    </row>
    <row r="1109" spans="1:49">
      <c r="A1109" s="1077" t="s">
        <v>4229</v>
      </c>
      <c r="B1109" s="1077" t="s">
        <v>298</v>
      </c>
      <c r="C1109" s="1077">
        <v>600</v>
      </c>
      <c r="D1109" s="1077">
        <v>1.75</v>
      </c>
      <c r="E1109" s="1077" t="s">
        <v>15102</v>
      </c>
      <c r="F1109" s="1077" t="s">
        <v>2167</v>
      </c>
      <c r="G1109" s="1077" t="s">
        <v>1767</v>
      </c>
      <c r="H1109" s="1077" t="s">
        <v>4163</v>
      </c>
      <c r="I1109" s="1077" t="s">
        <v>648</v>
      </c>
      <c r="J1109" s="1077">
        <v>0</v>
      </c>
      <c r="K1109" s="1077" t="s">
        <v>4230</v>
      </c>
      <c r="L1109" s="1077" t="s">
        <v>4029</v>
      </c>
      <c r="M1109" s="1077">
        <v>103</v>
      </c>
      <c r="N1109" s="1077" t="s">
        <v>945</v>
      </c>
      <c r="O1109" s="1077">
        <v>2.5750000000000002</v>
      </c>
      <c r="P1109" s="1077">
        <v>2.06</v>
      </c>
      <c r="Q1109" s="1077">
        <v>4</v>
      </c>
      <c r="R1109" s="1077">
        <v>23.5</v>
      </c>
      <c r="T1109" s="1077">
        <v>18.5</v>
      </c>
      <c r="U1109" s="1077">
        <v>2.1</v>
      </c>
      <c r="V1109" s="1077" t="s">
        <v>648</v>
      </c>
      <c r="W1109" s="1077" t="s">
        <v>648</v>
      </c>
      <c r="X1109" s="1077" t="s">
        <v>648</v>
      </c>
      <c r="Y1109" s="1077">
        <v>1.3</v>
      </c>
      <c r="Z1109" s="1077">
        <v>4</v>
      </c>
      <c r="AA1109" s="1077" t="s">
        <v>4231</v>
      </c>
      <c r="AB1109" s="1077" t="s">
        <v>4232</v>
      </c>
      <c r="AH1109" s="1077" t="s">
        <v>4233</v>
      </c>
      <c r="AM1109" s="1078" t="s">
        <v>11237</v>
      </c>
      <c r="AN1109" s="1078" t="s">
        <v>11238</v>
      </c>
      <c r="AO1109" s="1078">
        <f t="shared" si="142"/>
        <v>600</v>
      </c>
      <c r="AP1109" s="1078">
        <f t="shared" si="143"/>
        <v>1.75</v>
      </c>
      <c r="AQ1109" s="1078" t="str">
        <f t="shared" si="144"/>
        <v>2-6-1S83°</v>
      </c>
      <c r="AR1109" s="1078" t="str">
        <f t="shared" si="145"/>
        <v>33</v>
      </c>
      <c r="AS1109" s="1078" t="str">
        <f t="shared" si="146"/>
        <v>178/175</v>
      </c>
      <c r="AT1109" s="1078" t="str">
        <f t="shared" si="147"/>
        <v>2-6-1S83°</v>
      </c>
      <c r="AV1109" s="1078" t="str">
        <f t="shared" si="140"/>
        <v>110.9.30</v>
      </c>
      <c r="AW1109" s="1344">
        <f t="shared" si="141"/>
        <v>44469</v>
      </c>
    </row>
    <row r="1110" spans="1:49">
      <c r="A1110" s="1077" t="s">
        <v>4234</v>
      </c>
      <c r="B1110" s="1077" t="s">
        <v>4113</v>
      </c>
      <c r="C1110" s="1077">
        <v>550</v>
      </c>
      <c r="D1110" s="1077">
        <v>1.72</v>
      </c>
      <c r="E1110" s="1077" t="s">
        <v>15095</v>
      </c>
      <c r="F1110" s="1077" t="s">
        <v>2234</v>
      </c>
      <c r="G1110" s="1077">
        <v>5</v>
      </c>
      <c r="H1110" s="1077" t="s">
        <v>1274</v>
      </c>
      <c r="I1110" s="1077" t="s">
        <v>126</v>
      </c>
      <c r="J1110" s="1077">
        <v>1</v>
      </c>
      <c r="K1110" s="1077" t="s">
        <v>4135</v>
      </c>
      <c r="L1110" s="1077" t="s">
        <v>4080</v>
      </c>
      <c r="M1110" s="1077">
        <v>103.3</v>
      </c>
      <c r="N1110" s="1077" t="s">
        <v>945</v>
      </c>
      <c r="O1110" s="1077">
        <v>2.5825</v>
      </c>
      <c r="P1110" s="1077">
        <v>2.0659999999999998</v>
      </c>
      <c r="Q1110" s="1077">
        <v>4</v>
      </c>
      <c r="R1110" s="1077">
        <v>25</v>
      </c>
      <c r="T1110" s="1077">
        <v>10</v>
      </c>
      <c r="U1110" s="1077">
        <v>5.8</v>
      </c>
      <c r="V1110" s="1077" t="s">
        <v>648</v>
      </c>
      <c r="W1110" s="1077">
        <v>125</v>
      </c>
      <c r="X1110" s="1077">
        <v>80</v>
      </c>
      <c r="Y1110" s="1077">
        <v>1.5</v>
      </c>
      <c r="Z1110" s="1077">
        <v>4</v>
      </c>
      <c r="AA1110" s="1077" t="s">
        <v>3894</v>
      </c>
      <c r="AH1110" s="1077" t="s">
        <v>622</v>
      </c>
      <c r="AM1110" s="1078" t="s">
        <v>11239</v>
      </c>
      <c r="AN1110" s="1078" t="s">
        <v>11240</v>
      </c>
      <c r="AO1110" s="1078">
        <f t="shared" si="142"/>
        <v>550</v>
      </c>
      <c r="AP1110" s="1078">
        <f t="shared" si="143"/>
        <v>1.72</v>
      </c>
      <c r="AQ1110" s="1078" t="str">
        <f t="shared" si="144"/>
        <v>1-5-1S83°</v>
      </c>
      <c r="AR1110" s="1078" t="str">
        <f t="shared" si="145"/>
        <v>33.5</v>
      </c>
      <c r="AS1110" s="1078" t="str">
        <f t="shared" si="146"/>
        <v>210/210/OFF</v>
      </c>
      <c r="AT1110" s="1078" t="str">
        <f t="shared" si="147"/>
        <v>1-5-1S83°</v>
      </c>
      <c r="AV1110" s="1078" t="str">
        <f t="shared" si="140"/>
        <v>110.10.22</v>
      </c>
      <c r="AW1110" s="1344">
        <f t="shared" si="141"/>
        <v>44491</v>
      </c>
    </row>
    <row r="1111" spans="1:49">
      <c r="A1111" s="1077" t="s">
        <v>4235</v>
      </c>
      <c r="B1111" s="1077" t="s">
        <v>298</v>
      </c>
      <c r="C1111" s="1077">
        <v>600</v>
      </c>
      <c r="D1111" s="1077">
        <v>1.73</v>
      </c>
      <c r="E1111" s="1077" t="s">
        <v>15102</v>
      </c>
      <c r="F1111" s="1077" t="s">
        <v>4236</v>
      </c>
      <c r="G1111" s="1077" t="s">
        <v>1767</v>
      </c>
      <c r="H1111" s="1077" t="s">
        <v>4163</v>
      </c>
      <c r="I1111" s="1077" t="s">
        <v>648</v>
      </c>
      <c r="J1111" s="1077">
        <v>0</v>
      </c>
      <c r="K1111" s="1077" t="s">
        <v>4237</v>
      </c>
      <c r="L1111" s="1077" t="s">
        <v>4029</v>
      </c>
      <c r="M1111" s="1077">
        <v>103</v>
      </c>
      <c r="N1111" s="1077" t="s">
        <v>945</v>
      </c>
      <c r="O1111" s="1077">
        <v>2.5750000000000002</v>
      </c>
      <c r="P1111" s="1077">
        <v>2.06</v>
      </c>
      <c r="Q1111" s="1077">
        <v>4</v>
      </c>
      <c r="R1111" s="1077">
        <v>23.5</v>
      </c>
      <c r="T1111" s="1077">
        <v>18.5</v>
      </c>
      <c r="U1111" s="1077">
        <v>2.1</v>
      </c>
      <c r="V1111" s="1077" t="s">
        <v>648</v>
      </c>
      <c r="W1111" s="1077" t="s">
        <v>648</v>
      </c>
      <c r="X1111" s="1077" t="s">
        <v>648</v>
      </c>
      <c r="Y1111" s="1077">
        <v>1.3</v>
      </c>
      <c r="Z1111" s="1077">
        <v>4</v>
      </c>
      <c r="AA1111" s="1077" t="s">
        <v>3965</v>
      </c>
      <c r="AH1111" s="1077" t="s">
        <v>4238</v>
      </c>
      <c r="AM1111" s="1078" t="s">
        <v>11241</v>
      </c>
      <c r="AN1111" s="1078" t="s">
        <v>11242</v>
      </c>
      <c r="AO1111" s="1078">
        <f t="shared" si="142"/>
        <v>600</v>
      </c>
      <c r="AP1111" s="1078">
        <f t="shared" si="143"/>
        <v>1.73</v>
      </c>
      <c r="AQ1111" s="1078" t="str">
        <f t="shared" si="144"/>
        <v>2-6-1S83°</v>
      </c>
      <c r="AR1111" s="1078" t="str">
        <f t="shared" si="145"/>
        <v>34</v>
      </c>
      <c r="AS1111" s="1078" t="str">
        <f t="shared" si="146"/>
        <v>178/175</v>
      </c>
      <c r="AT1111" s="1078" t="str">
        <f t="shared" si="147"/>
        <v>2-6-1S83°</v>
      </c>
      <c r="AV1111" s="1078" t="str">
        <f t="shared" si="140"/>
        <v>110.11.5</v>
      </c>
      <c r="AW1111" s="1344">
        <f t="shared" si="141"/>
        <v>44505</v>
      </c>
    </row>
    <row r="1112" spans="1:49">
      <c r="A1112" s="1077" t="s">
        <v>4239</v>
      </c>
      <c r="B1112" s="1077" t="s">
        <v>4083</v>
      </c>
      <c r="C1112" s="1077">
        <v>600</v>
      </c>
      <c r="D1112" s="1077">
        <v>1.7649999999999999</v>
      </c>
      <c r="E1112" s="1077" t="s">
        <v>15089</v>
      </c>
      <c r="F1112" s="1077" t="s">
        <v>954</v>
      </c>
      <c r="G1112" s="1077" t="s">
        <v>1767</v>
      </c>
      <c r="H1112" s="1077" t="s">
        <v>4118</v>
      </c>
      <c r="I1112" s="1077" t="s">
        <v>126</v>
      </c>
      <c r="J1112" s="1077">
        <v>1.9</v>
      </c>
      <c r="K1112" s="1077" t="s">
        <v>4172</v>
      </c>
      <c r="L1112" s="1077" t="s">
        <v>4085</v>
      </c>
      <c r="M1112" s="1077">
        <v>101.6</v>
      </c>
      <c r="N1112" s="1077" t="s">
        <v>945</v>
      </c>
      <c r="O1112" s="1077">
        <v>2.54</v>
      </c>
      <c r="P1112" s="1077">
        <v>2.032</v>
      </c>
      <c r="Q1112" s="1077">
        <v>4</v>
      </c>
      <c r="R1112" s="1077">
        <v>20.5</v>
      </c>
      <c r="T1112" s="1077">
        <v>26.9</v>
      </c>
      <c r="U1112" s="1077">
        <v>4</v>
      </c>
      <c r="V1112" s="1077" t="s">
        <v>648</v>
      </c>
      <c r="W1112" s="1077">
        <v>125</v>
      </c>
      <c r="X1112" s="1077">
        <v>75</v>
      </c>
      <c r="Y1112" s="1077">
        <v>1.5</v>
      </c>
      <c r="Z1112" s="1077">
        <v>5.5</v>
      </c>
      <c r="AA1112" s="1077" t="s">
        <v>1443</v>
      </c>
      <c r="AH1112" s="1077" t="s">
        <v>1796</v>
      </c>
      <c r="AM1112" s="1078" t="s">
        <v>11243</v>
      </c>
      <c r="AN1112" s="1078" t="s">
        <v>11244</v>
      </c>
      <c r="AO1112" s="1078">
        <f t="shared" si="142"/>
        <v>600</v>
      </c>
      <c r="AP1112" s="1078">
        <f t="shared" si="143"/>
        <v>1.7649999999999999</v>
      </c>
      <c r="AQ1112" s="1078" t="str">
        <f t="shared" si="144"/>
        <v>1-4-1S83°</v>
      </c>
      <c r="AR1112" s="1078" t="str">
        <f t="shared" si="145"/>
        <v>31</v>
      </c>
      <c r="AS1112" s="1078" t="str">
        <f t="shared" si="146"/>
        <v>280/260/OFF</v>
      </c>
      <c r="AT1112" s="1078" t="str">
        <f t="shared" si="147"/>
        <v>1-4-1S83°</v>
      </c>
      <c r="AV1112" s="1078" t="str">
        <f t="shared" si="140"/>
        <v>110.11.8</v>
      </c>
      <c r="AW1112" s="1344">
        <f t="shared" si="141"/>
        <v>44508</v>
      </c>
    </row>
    <row r="1113" spans="1:49">
      <c r="A1113" s="1077" t="s">
        <v>4240</v>
      </c>
      <c r="B1113" s="1077" t="s">
        <v>298</v>
      </c>
      <c r="C1113" s="1077">
        <v>600</v>
      </c>
      <c r="D1113" s="1077">
        <v>1.75</v>
      </c>
      <c r="E1113" s="1077" t="s">
        <v>15102</v>
      </c>
      <c r="F1113" s="1077" t="s">
        <v>2167</v>
      </c>
      <c r="G1113" s="1077" t="s">
        <v>1767</v>
      </c>
      <c r="H1113" s="1077" t="s">
        <v>1263</v>
      </c>
      <c r="I1113" s="1077" t="s">
        <v>1112</v>
      </c>
      <c r="J1113" s="1077">
        <v>1.6</v>
      </c>
      <c r="K1113" s="1077" t="s">
        <v>4175</v>
      </c>
      <c r="L1113" s="1077" t="s">
        <v>4029</v>
      </c>
      <c r="M1113" s="1077">
        <v>103.2</v>
      </c>
      <c r="N1113" s="1077" t="s">
        <v>945</v>
      </c>
      <c r="O1113" s="1077">
        <v>2.58</v>
      </c>
      <c r="P1113" s="1077">
        <v>2.0640000000000001</v>
      </c>
      <c r="Q1113" s="1077">
        <v>4</v>
      </c>
      <c r="R1113" s="1077">
        <v>19.5</v>
      </c>
      <c r="T1113" s="1077">
        <v>27.3</v>
      </c>
      <c r="U1113" s="1077">
        <v>4</v>
      </c>
      <c r="V1113" s="1077" t="s">
        <v>648</v>
      </c>
      <c r="W1113" s="1077">
        <v>120</v>
      </c>
      <c r="X1113" s="1077">
        <v>60</v>
      </c>
      <c r="Y1113" s="1077">
        <v>1.7</v>
      </c>
      <c r="Z1113" s="1077">
        <v>6</v>
      </c>
      <c r="AA1113" s="1077" t="s">
        <v>4241</v>
      </c>
      <c r="AB1113" s="1077" t="s">
        <v>981</v>
      </c>
      <c r="AH1113" s="1077" t="s">
        <v>762</v>
      </c>
      <c r="AM1113" s="1078" t="s">
        <v>11245</v>
      </c>
      <c r="AN1113" s="1078" t="s">
        <v>11246</v>
      </c>
      <c r="AO1113" s="1078">
        <f t="shared" si="142"/>
        <v>600</v>
      </c>
      <c r="AP1113" s="1078">
        <f t="shared" si="143"/>
        <v>1.75</v>
      </c>
      <c r="AQ1113" s="1078" t="str">
        <f t="shared" si="144"/>
        <v>2-6-1S83°</v>
      </c>
      <c r="AR1113" s="1078" t="str">
        <f t="shared" si="145"/>
        <v>33</v>
      </c>
      <c r="AS1113" s="1078" t="str">
        <f t="shared" si="146"/>
        <v>163/OFF</v>
      </c>
      <c r="AT1113" s="1078" t="str">
        <f t="shared" si="147"/>
        <v>2-6-1S83°</v>
      </c>
      <c r="AV1113" s="1078" t="str">
        <f t="shared" si="140"/>
        <v>110.11.15</v>
      </c>
      <c r="AW1113" s="1344">
        <f t="shared" si="141"/>
        <v>44515</v>
      </c>
    </row>
    <row r="1114" spans="1:49">
      <c r="A1114" s="1077" t="s">
        <v>4242</v>
      </c>
      <c r="B1114" s="1077" t="s">
        <v>4243</v>
      </c>
      <c r="C1114" s="1077">
        <v>600</v>
      </c>
      <c r="D1114" s="1077">
        <v>1.75</v>
      </c>
      <c r="E1114" s="1077" t="s">
        <v>15095</v>
      </c>
      <c r="F1114" s="1077" t="s">
        <v>954</v>
      </c>
      <c r="G1114" s="1077">
        <v>3</v>
      </c>
      <c r="H1114" s="1077" t="s">
        <v>1274</v>
      </c>
      <c r="I1114" s="1077" t="s">
        <v>460</v>
      </c>
      <c r="J1114" s="1077">
        <v>0.8</v>
      </c>
      <c r="K1114" s="1077" t="s">
        <v>4244</v>
      </c>
      <c r="L1114" s="1077" t="s">
        <v>4245</v>
      </c>
      <c r="M1114" s="1077">
        <v>102.3</v>
      </c>
      <c r="N1114" s="1077" t="s">
        <v>945</v>
      </c>
      <c r="O1114" s="1077">
        <v>2.5575000000000001</v>
      </c>
      <c r="P1114" s="1077">
        <v>2.0459999999999998</v>
      </c>
      <c r="Q1114" s="1077">
        <v>3</v>
      </c>
      <c r="R1114" s="1077">
        <v>28.5</v>
      </c>
      <c r="T1114" s="1077">
        <v>6.3</v>
      </c>
      <c r="U1114" s="1077">
        <v>7.9</v>
      </c>
      <c r="V1114" s="1077" t="s">
        <v>648</v>
      </c>
      <c r="W1114" s="1077">
        <v>105</v>
      </c>
      <c r="X1114" s="1077">
        <v>85</v>
      </c>
      <c r="Y1114" s="1077">
        <v>1.2</v>
      </c>
      <c r="Z1114" s="1077">
        <v>3.5</v>
      </c>
      <c r="AA1114" s="1077" t="s">
        <v>1447</v>
      </c>
      <c r="AH1114" s="1077" t="s">
        <v>1417</v>
      </c>
      <c r="AM1114" s="1078" t="s">
        <v>11247</v>
      </c>
      <c r="AN1114" s="1078" t="s">
        <v>11248</v>
      </c>
      <c r="AO1114" s="1078">
        <f t="shared" si="142"/>
        <v>600</v>
      </c>
      <c r="AP1114" s="1078">
        <f t="shared" si="143"/>
        <v>1.75</v>
      </c>
      <c r="AQ1114" s="1078" t="str">
        <f t="shared" si="144"/>
        <v>1-5-1S83°</v>
      </c>
      <c r="AR1114" s="1078" t="str">
        <f t="shared" si="145"/>
        <v>31</v>
      </c>
      <c r="AS1114" s="1078" t="str">
        <f t="shared" si="146"/>
        <v>210/210/OFF</v>
      </c>
      <c r="AT1114" s="1078" t="str">
        <f t="shared" si="147"/>
        <v>1-5-1S83°</v>
      </c>
      <c r="AV1114" s="1078" t="str">
        <f t="shared" si="140"/>
        <v>110.11.26</v>
      </c>
      <c r="AW1114" s="1344">
        <f t="shared" si="141"/>
        <v>44526</v>
      </c>
    </row>
    <row r="1115" spans="1:49">
      <c r="A1115" s="1077" t="s">
        <v>4246</v>
      </c>
      <c r="B1115" s="1077" t="s">
        <v>4083</v>
      </c>
      <c r="C1115" s="1077">
        <v>600</v>
      </c>
      <c r="D1115" s="1077">
        <v>1.7649999999999999</v>
      </c>
      <c r="E1115" s="1077" t="s">
        <v>15089</v>
      </c>
      <c r="F1115" s="1077" t="s">
        <v>954</v>
      </c>
      <c r="G1115" s="1077" t="s">
        <v>1767</v>
      </c>
      <c r="H1115" s="1077" t="s">
        <v>4247</v>
      </c>
      <c r="I1115" s="1077" t="s">
        <v>126</v>
      </c>
      <c r="J1115" s="1077">
        <v>0.5</v>
      </c>
      <c r="K1115" s="1077" t="s">
        <v>4172</v>
      </c>
      <c r="L1115" s="1077" t="s">
        <v>4085</v>
      </c>
      <c r="M1115" s="1077">
        <v>101</v>
      </c>
      <c r="N1115" s="1077" t="s">
        <v>945</v>
      </c>
      <c r="O1115" s="1077">
        <v>2.5250000000000004</v>
      </c>
      <c r="P1115" s="1077">
        <v>2.02</v>
      </c>
      <c r="Q1115" s="1077">
        <v>4</v>
      </c>
      <c r="R1115" s="1077">
        <v>21</v>
      </c>
      <c r="T1115" s="1077">
        <v>33.5</v>
      </c>
      <c r="U1115" s="1077">
        <v>4.3</v>
      </c>
      <c r="V1115" s="1077" t="s">
        <v>648</v>
      </c>
      <c r="W1115" s="1077">
        <v>30</v>
      </c>
      <c r="X1115" s="1077">
        <v>10</v>
      </c>
      <c r="Y1115" s="1077">
        <v>1.8</v>
      </c>
      <c r="Z1115" s="1077">
        <v>6</v>
      </c>
      <c r="AA1115" s="1077" t="s">
        <v>3984</v>
      </c>
      <c r="AH1115" s="1077" t="s">
        <v>884</v>
      </c>
      <c r="AM1115" s="1078" t="s">
        <v>11249</v>
      </c>
      <c r="AN1115" s="1078" t="s">
        <v>11250</v>
      </c>
      <c r="AO1115" s="1078">
        <f t="shared" si="142"/>
        <v>600</v>
      </c>
      <c r="AP1115" s="1078">
        <f t="shared" si="143"/>
        <v>1.7649999999999999</v>
      </c>
      <c r="AQ1115" s="1078" t="str">
        <f t="shared" si="144"/>
        <v>1-4-1S83°</v>
      </c>
      <c r="AR1115" s="1078" t="str">
        <f t="shared" si="145"/>
        <v>31</v>
      </c>
      <c r="AS1115" s="1078" t="str">
        <f t="shared" si="146"/>
        <v>290/270/OFF</v>
      </c>
      <c r="AT1115" s="1078" t="str">
        <f t="shared" si="147"/>
        <v>1-4-1S83°</v>
      </c>
      <c r="AV1115" s="1078" t="str">
        <f t="shared" si="140"/>
        <v>110.11.29</v>
      </c>
      <c r="AW1115" s="1344">
        <f t="shared" si="141"/>
        <v>44529</v>
      </c>
    </row>
    <row r="1116" spans="1:49">
      <c r="A1116" s="1077" t="s">
        <v>4248</v>
      </c>
      <c r="B1116" s="1077" t="s">
        <v>298</v>
      </c>
      <c r="C1116" s="1077">
        <v>600</v>
      </c>
      <c r="D1116" s="1077">
        <v>1.72</v>
      </c>
      <c r="E1116" s="1077" t="s">
        <v>15102</v>
      </c>
      <c r="F1116" s="1077" t="s">
        <v>2167</v>
      </c>
      <c r="G1116" s="1077" t="s">
        <v>1767</v>
      </c>
      <c r="H1116" s="1077" t="s">
        <v>1263</v>
      </c>
      <c r="I1116" s="1077" t="s">
        <v>1112</v>
      </c>
      <c r="J1116" s="1077">
        <v>1.6</v>
      </c>
      <c r="K1116" s="1077" t="s">
        <v>4237</v>
      </c>
      <c r="L1116" s="1077" t="s">
        <v>4029</v>
      </c>
      <c r="M1116" s="1077">
        <v>103.2</v>
      </c>
      <c r="N1116" s="1077" t="s">
        <v>945</v>
      </c>
      <c r="O1116" s="1077">
        <v>2.58</v>
      </c>
      <c r="P1116" s="1077">
        <v>2.0640000000000001</v>
      </c>
      <c r="Q1116" s="1077">
        <v>4</v>
      </c>
      <c r="R1116" s="1077">
        <v>19.5</v>
      </c>
      <c r="T1116" s="1077">
        <v>27.3</v>
      </c>
      <c r="U1116" s="1077">
        <v>4</v>
      </c>
      <c r="V1116" s="1077" t="s">
        <v>648</v>
      </c>
      <c r="W1116" s="1077">
        <v>120</v>
      </c>
      <c r="X1116" s="1077">
        <v>60</v>
      </c>
      <c r="Y1116" s="1077">
        <v>1.7</v>
      </c>
      <c r="Z1116" s="1077">
        <v>6</v>
      </c>
      <c r="AA1116" s="1077" t="s">
        <v>4249</v>
      </c>
      <c r="AH1116" s="1077" t="s">
        <v>854</v>
      </c>
      <c r="AM1116" s="1078" t="s">
        <v>11251</v>
      </c>
      <c r="AN1116" s="1078" t="s">
        <v>11252</v>
      </c>
      <c r="AO1116" s="1078">
        <f t="shared" si="142"/>
        <v>600</v>
      </c>
      <c r="AP1116" s="1078">
        <f t="shared" si="143"/>
        <v>1.72</v>
      </c>
      <c r="AQ1116" s="1078" t="str">
        <f t="shared" si="144"/>
        <v>2-6-1S83°</v>
      </c>
      <c r="AR1116" s="1078" t="str">
        <f t="shared" si="145"/>
        <v>33</v>
      </c>
      <c r="AS1116" s="1078" t="str">
        <f t="shared" si="146"/>
        <v>163/OFF</v>
      </c>
      <c r="AT1116" s="1078" t="str">
        <f t="shared" si="147"/>
        <v>2-6-1S83°</v>
      </c>
      <c r="AV1116" s="1078" t="str">
        <f t="shared" si="140"/>
        <v>110.12.1</v>
      </c>
      <c r="AW1116" s="1344">
        <f t="shared" si="141"/>
        <v>44531</v>
      </c>
    </row>
    <row r="1117" spans="1:49">
      <c r="A1117" s="1077" t="s">
        <v>4250</v>
      </c>
      <c r="B1117" s="1077" t="s">
        <v>4243</v>
      </c>
      <c r="C1117" s="1077">
        <v>600</v>
      </c>
      <c r="D1117" s="1077">
        <v>1.75</v>
      </c>
      <c r="E1117" s="1077" t="s">
        <v>15095</v>
      </c>
      <c r="F1117" s="1077" t="s">
        <v>954</v>
      </c>
      <c r="G1117" s="1077">
        <v>3</v>
      </c>
      <c r="H1117" s="1077" t="s">
        <v>1155</v>
      </c>
      <c r="I1117" s="1077" t="s">
        <v>460</v>
      </c>
      <c r="J1117" s="1077">
        <v>0.8</v>
      </c>
      <c r="K1117" s="1077" t="s">
        <v>4244</v>
      </c>
      <c r="L1117" s="1077" t="s">
        <v>4245</v>
      </c>
      <c r="M1117" s="1077">
        <v>102.3</v>
      </c>
      <c r="N1117" s="1077" t="s">
        <v>945</v>
      </c>
      <c r="O1117" s="1077">
        <v>2.5575000000000001</v>
      </c>
      <c r="P1117" s="1077">
        <v>2.0459999999999998</v>
      </c>
      <c r="Q1117" s="1077">
        <v>3</v>
      </c>
      <c r="R1117" s="1077">
        <v>28.5</v>
      </c>
      <c r="T1117" s="1077">
        <v>6.3</v>
      </c>
      <c r="U1117" s="1077">
        <v>7.9</v>
      </c>
      <c r="V1117" s="1077" t="s">
        <v>648</v>
      </c>
      <c r="W1117" s="1077">
        <v>105</v>
      </c>
      <c r="X1117" s="1077">
        <v>85</v>
      </c>
      <c r="Y1117" s="1077">
        <v>1.2</v>
      </c>
      <c r="Z1117" s="1077">
        <v>3.5</v>
      </c>
      <c r="AA1117" s="1077" t="s">
        <v>4251</v>
      </c>
      <c r="AH1117" s="1077" t="s">
        <v>3074</v>
      </c>
      <c r="AM1117" s="1078" t="s">
        <v>11253</v>
      </c>
      <c r="AN1117" s="1078" t="s">
        <v>11254</v>
      </c>
      <c r="AO1117" s="1078">
        <f t="shared" si="142"/>
        <v>600</v>
      </c>
      <c r="AP1117" s="1078">
        <f t="shared" si="143"/>
        <v>1.75</v>
      </c>
      <c r="AQ1117" s="1078" t="str">
        <f t="shared" si="144"/>
        <v>1-5-1S83°</v>
      </c>
      <c r="AR1117" s="1078" t="str">
        <f t="shared" si="145"/>
        <v>31</v>
      </c>
      <c r="AS1117" s="1078" t="str">
        <f t="shared" si="146"/>
        <v>215/215/OFF</v>
      </c>
      <c r="AT1117" s="1078" t="str">
        <f t="shared" si="147"/>
        <v>1-5-1S83°</v>
      </c>
      <c r="AV1117" s="1078" t="str">
        <f t="shared" si="140"/>
        <v>110.12.7</v>
      </c>
      <c r="AW1117" s="1344">
        <f t="shared" si="141"/>
        <v>44537</v>
      </c>
    </row>
    <row r="1118" spans="1:49">
      <c r="A1118" s="1077" t="s">
        <v>4252</v>
      </c>
      <c r="B1118" s="1077" t="s">
        <v>4083</v>
      </c>
      <c r="C1118" s="1077">
        <v>600</v>
      </c>
      <c r="D1118" s="1077">
        <v>1.7649999999999999</v>
      </c>
      <c r="E1118" s="1077" t="s">
        <v>15089</v>
      </c>
      <c r="F1118" s="1077" t="s">
        <v>954</v>
      </c>
      <c r="G1118" s="1077" t="s">
        <v>1767</v>
      </c>
      <c r="H1118" s="1077" t="s">
        <v>4118</v>
      </c>
      <c r="I1118" s="1077" t="s">
        <v>126</v>
      </c>
      <c r="J1118" s="1077">
        <v>2</v>
      </c>
      <c r="K1118" s="1077" t="s">
        <v>4253</v>
      </c>
      <c r="L1118" s="1077" t="s">
        <v>4085</v>
      </c>
      <c r="M1118" s="1077">
        <v>101.6</v>
      </c>
      <c r="N1118" s="1077" t="s">
        <v>945</v>
      </c>
      <c r="O1118" s="1077">
        <v>2.54</v>
      </c>
      <c r="P1118" s="1077">
        <v>2.032</v>
      </c>
      <c r="Q1118" s="1077">
        <v>4</v>
      </c>
      <c r="R1118" s="1077">
        <v>20.5</v>
      </c>
      <c r="T1118" s="1077">
        <v>26.9</v>
      </c>
      <c r="U1118" s="1077">
        <v>4</v>
      </c>
      <c r="V1118" s="1077" t="s">
        <v>648</v>
      </c>
      <c r="W1118" s="1077">
        <v>125</v>
      </c>
      <c r="X1118" s="1077">
        <v>75</v>
      </c>
      <c r="Y1118" s="1077">
        <v>1.5</v>
      </c>
      <c r="Z1118" s="1077">
        <v>5.5</v>
      </c>
      <c r="AA1118" s="1077" t="s">
        <v>4254</v>
      </c>
      <c r="AH1118" s="1077" t="s">
        <v>622</v>
      </c>
      <c r="AM1118" s="1078" t="s">
        <v>11255</v>
      </c>
      <c r="AN1118" s="1078" t="s">
        <v>11256</v>
      </c>
      <c r="AO1118" s="1078">
        <f t="shared" si="142"/>
        <v>600</v>
      </c>
      <c r="AP1118" s="1078">
        <f t="shared" si="143"/>
        <v>1.7649999999999999</v>
      </c>
      <c r="AQ1118" s="1078" t="str">
        <f t="shared" si="144"/>
        <v>1-4-1S83°</v>
      </c>
      <c r="AR1118" s="1078" t="str">
        <f t="shared" si="145"/>
        <v>31</v>
      </c>
      <c r="AS1118" s="1078" t="str">
        <f t="shared" si="146"/>
        <v>280/260/OFF</v>
      </c>
      <c r="AT1118" s="1078" t="str">
        <f t="shared" si="147"/>
        <v>1-4-1S83°</v>
      </c>
      <c r="AV1118" s="1078" t="str">
        <f t="shared" si="140"/>
        <v>110.12.14</v>
      </c>
      <c r="AW1118" s="1344">
        <f t="shared" si="141"/>
        <v>44544</v>
      </c>
    </row>
    <row r="1119" spans="1:49">
      <c r="A1119" s="1077" t="s">
        <v>4255</v>
      </c>
      <c r="B1119" s="1077" t="s">
        <v>4113</v>
      </c>
      <c r="C1119" s="1077">
        <v>550</v>
      </c>
      <c r="D1119" s="1077">
        <v>1.6719999999999999</v>
      </c>
      <c r="E1119" s="1077" t="s">
        <v>15102</v>
      </c>
      <c r="F1119" s="1077" t="s">
        <v>1119</v>
      </c>
      <c r="G1119" s="1077">
        <v>5</v>
      </c>
      <c r="H1119" s="1077" t="s">
        <v>2833</v>
      </c>
      <c r="I1119" s="1077" t="s">
        <v>1167</v>
      </c>
      <c r="J1119" s="1077">
        <v>1</v>
      </c>
      <c r="K1119" s="1077" t="s">
        <v>4207</v>
      </c>
      <c r="L1119" s="1077" t="s">
        <v>4147</v>
      </c>
      <c r="M1119" s="1077">
        <v>103.3</v>
      </c>
      <c r="N1119" s="1077" t="s">
        <v>945</v>
      </c>
      <c r="O1119" s="1077">
        <v>2.5825</v>
      </c>
      <c r="P1119" s="1077">
        <v>2.0659999999999998</v>
      </c>
      <c r="Q1119" s="1077">
        <v>4</v>
      </c>
      <c r="R1119" s="1077">
        <v>25</v>
      </c>
      <c r="T1119" s="1077">
        <v>10</v>
      </c>
      <c r="U1119" s="1077">
        <v>5.8</v>
      </c>
      <c r="V1119" s="1077" t="s">
        <v>648</v>
      </c>
      <c r="W1119" s="1077">
        <v>125</v>
      </c>
      <c r="X1119" s="1077">
        <v>80</v>
      </c>
      <c r="Y1119" s="1077">
        <v>1.5</v>
      </c>
      <c r="Z1119" s="1077">
        <v>4</v>
      </c>
      <c r="AA1119" s="1077" t="s">
        <v>4002</v>
      </c>
      <c r="AH1119" s="1077" t="s">
        <v>783</v>
      </c>
      <c r="AM1119" s="1078" t="s">
        <v>11257</v>
      </c>
      <c r="AN1119" s="1078" t="s">
        <v>11258</v>
      </c>
      <c r="AO1119" s="1078">
        <f t="shared" si="142"/>
        <v>550</v>
      </c>
      <c r="AP1119" s="1078">
        <f t="shared" si="143"/>
        <v>1.6719999999999999</v>
      </c>
      <c r="AQ1119" s="1078" t="str">
        <f t="shared" si="144"/>
        <v>2-6-1S83°</v>
      </c>
      <c r="AR1119" s="1078" t="str">
        <f t="shared" si="145"/>
        <v>29</v>
      </c>
      <c r="AS1119" s="1078" t="str">
        <f t="shared" si="146"/>
        <v>150/OFF</v>
      </c>
      <c r="AT1119" s="1078" t="str">
        <f t="shared" si="147"/>
        <v>2-6-1S83°</v>
      </c>
      <c r="AV1119" s="1078" t="str">
        <f t="shared" si="140"/>
        <v>110.12.24</v>
      </c>
      <c r="AW1119" s="1344">
        <f t="shared" si="141"/>
        <v>44554</v>
      </c>
    </row>
    <row r="1120" spans="1:49">
      <c r="A1120" s="1077" t="s">
        <v>4256</v>
      </c>
      <c r="B1120" s="1077" t="s">
        <v>4052</v>
      </c>
      <c r="C1120" s="1077">
        <v>650</v>
      </c>
      <c r="D1120" s="1077">
        <v>1.76</v>
      </c>
      <c r="E1120" s="1077" t="s">
        <v>15104</v>
      </c>
      <c r="F1120" s="1077" t="s">
        <v>648</v>
      </c>
      <c r="G1120" s="1077">
        <v>4</v>
      </c>
      <c r="H1120" s="1077" t="s">
        <v>1188</v>
      </c>
      <c r="I1120" s="1077" t="s">
        <v>126</v>
      </c>
      <c r="J1120" s="1077">
        <v>1.1000000000000001</v>
      </c>
      <c r="K1120" s="1077" t="s">
        <v>4257</v>
      </c>
      <c r="L1120" s="1077" t="s">
        <v>987</v>
      </c>
      <c r="M1120" s="1077">
        <v>99</v>
      </c>
      <c r="N1120" s="1077" t="s">
        <v>945</v>
      </c>
      <c r="O1120" s="1077">
        <v>2.4750000000000001</v>
      </c>
      <c r="P1120" s="1077">
        <v>1.98</v>
      </c>
      <c r="Q1120" s="1077" t="s">
        <v>2437</v>
      </c>
      <c r="R1120" s="1077">
        <v>23</v>
      </c>
      <c r="T1120" s="1077">
        <v>16</v>
      </c>
      <c r="U1120" s="1077">
        <v>3.6</v>
      </c>
      <c r="V1120" s="1077" t="s">
        <v>648</v>
      </c>
      <c r="W1120" s="1077">
        <v>120</v>
      </c>
      <c r="X1120" s="1077">
        <v>87</v>
      </c>
      <c r="Y1120" s="1077">
        <v>2.5</v>
      </c>
      <c r="Z1120" s="1077" t="s">
        <v>648</v>
      </c>
      <c r="AA1120" s="1077" t="s">
        <v>4258</v>
      </c>
      <c r="AB1120" s="1077" t="s">
        <v>981</v>
      </c>
      <c r="AH1120" s="1077" t="s">
        <v>3028</v>
      </c>
      <c r="AM1120" s="1078" t="s">
        <v>11259</v>
      </c>
      <c r="AN1120" s="1078" t="s">
        <v>11260</v>
      </c>
      <c r="AO1120" s="1078">
        <f t="shared" si="142"/>
        <v>650</v>
      </c>
      <c r="AP1120" s="1078">
        <f t="shared" si="143"/>
        <v>1.76</v>
      </c>
      <c r="AQ1120" s="1078" t="str">
        <f t="shared" si="144"/>
        <v>1-4-1S85°Z+S</v>
      </c>
      <c r="AR1120" s="1078" t="str">
        <f t="shared" si="145"/>
        <v>NA</v>
      </c>
      <c r="AS1120" s="1078" t="str">
        <f t="shared" si="146"/>
        <v>177/OFF</v>
      </c>
      <c r="AT1120" s="1078" t="str">
        <f t="shared" si="147"/>
        <v>1-4-1S85°Z+S</v>
      </c>
      <c r="AU1120" s="1078" t="s">
        <v>15547</v>
      </c>
      <c r="AV1120" s="1078" t="str">
        <f t="shared" si="140"/>
        <v>108.1.21</v>
      </c>
      <c r="AW1120" s="1344">
        <f t="shared" si="141"/>
        <v>43486</v>
      </c>
    </row>
    <row r="1121" spans="1:49">
      <c r="A1121" s="1077" t="s">
        <v>4259</v>
      </c>
      <c r="B1121" s="1077" t="s">
        <v>4052</v>
      </c>
      <c r="C1121" s="1077">
        <v>650</v>
      </c>
      <c r="D1121" s="1077">
        <v>1.76</v>
      </c>
      <c r="E1121" s="1077" t="s">
        <v>15104</v>
      </c>
      <c r="F1121" s="1077" t="s">
        <v>648</v>
      </c>
      <c r="G1121" s="1077">
        <v>4</v>
      </c>
      <c r="H1121" s="1077" t="s">
        <v>1188</v>
      </c>
      <c r="I1121" s="1077" t="s">
        <v>126</v>
      </c>
      <c r="J1121" s="1077">
        <v>1.1000000000000001</v>
      </c>
      <c r="K1121" s="1077" t="s">
        <v>4260</v>
      </c>
      <c r="L1121" s="1077" t="s">
        <v>987</v>
      </c>
      <c r="M1121" s="1077">
        <v>99</v>
      </c>
      <c r="N1121" s="1077" t="s">
        <v>945</v>
      </c>
      <c r="O1121" s="1077">
        <v>2.4750000000000001</v>
      </c>
      <c r="P1121" s="1077">
        <v>1.98</v>
      </c>
      <c r="Q1121" s="1077" t="s">
        <v>2437</v>
      </c>
      <c r="R1121" s="1077">
        <v>23</v>
      </c>
      <c r="T1121" s="1077">
        <v>16</v>
      </c>
      <c r="U1121" s="1077">
        <v>3.6</v>
      </c>
      <c r="V1121" s="1077" t="s">
        <v>648</v>
      </c>
      <c r="W1121" s="1077">
        <v>120</v>
      </c>
      <c r="X1121" s="1077">
        <v>87</v>
      </c>
      <c r="Y1121" s="1077">
        <v>2.5</v>
      </c>
      <c r="Z1121" s="1077" t="s">
        <v>648</v>
      </c>
      <c r="AA1121" s="1077" t="s">
        <v>4261</v>
      </c>
      <c r="AB1121" s="1077" t="s">
        <v>981</v>
      </c>
      <c r="AH1121" s="1077" t="s">
        <v>842</v>
      </c>
      <c r="AM1121" s="1078" t="s">
        <v>11261</v>
      </c>
      <c r="AN1121" s="1078" t="s">
        <v>11262</v>
      </c>
      <c r="AO1121" s="1078">
        <f t="shared" si="142"/>
        <v>650</v>
      </c>
      <c r="AP1121" s="1078">
        <f t="shared" si="143"/>
        <v>1.76</v>
      </c>
      <c r="AQ1121" s="1078" t="str">
        <f t="shared" si="144"/>
        <v>1-4-1S85°Z+S</v>
      </c>
      <c r="AR1121" s="1078" t="str">
        <f t="shared" si="145"/>
        <v>NA</v>
      </c>
      <c r="AS1121" s="1078" t="str">
        <f t="shared" si="146"/>
        <v>177/OFF</v>
      </c>
      <c r="AT1121" s="1078" t="str">
        <f t="shared" si="147"/>
        <v>1-4-1S85°Z+S</v>
      </c>
      <c r="AU1121" s="1078" t="s">
        <v>15547</v>
      </c>
      <c r="AV1121" s="1078" t="str">
        <f t="shared" si="140"/>
        <v>108.2.3</v>
      </c>
      <c r="AW1121" s="1344">
        <f t="shared" si="141"/>
        <v>43499</v>
      </c>
    </row>
    <row r="1122" spans="1:49">
      <c r="A1122" s="1077" t="s">
        <v>4262</v>
      </c>
      <c r="B1122" s="1077" t="s">
        <v>4052</v>
      </c>
      <c r="C1122" s="1077">
        <v>650</v>
      </c>
      <c r="D1122" s="1077">
        <v>1.76</v>
      </c>
      <c r="E1122" s="1077" t="s">
        <v>15104</v>
      </c>
      <c r="F1122" s="1077" t="s">
        <v>648</v>
      </c>
      <c r="G1122" s="1077">
        <v>4</v>
      </c>
      <c r="H1122" s="1077" t="s">
        <v>1188</v>
      </c>
      <c r="I1122" s="1077" t="s">
        <v>126</v>
      </c>
      <c r="J1122" s="1077">
        <v>1.1000000000000001</v>
      </c>
      <c r="K1122" s="1077" t="s">
        <v>4260</v>
      </c>
      <c r="L1122" s="1077" t="s">
        <v>987</v>
      </c>
      <c r="M1122" s="1077">
        <v>99</v>
      </c>
      <c r="N1122" s="1077" t="s">
        <v>945</v>
      </c>
      <c r="O1122" s="1077">
        <v>2.4750000000000001</v>
      </c>
      <c r="P1122" s="1077">
        <v>1.98</v>
      </c>
      <c r="Q1122" s="1077" t="s">
        <v>2437</v>
      </c>
      <c r="R1122" s="1077">
        <v>23</v>
      </c>
      <c r="T1122" s="1077">
        <v>16</v>
      </c>
      <c r="U1122" s="1077">
        <v>3.6</v>
      </c>
      <c r="V1122" s="1077" t="s">
        <v>648</v>
      </c>
      <c r="W1122" s="1077">
        <v>120</v>
      </c>
      <c r="X1122" s="1077">
        <v>87</v>
      </c>
      <c r="Y1122" s="1077">
        <v>2.5</v>
      </c>
      <c r="Z1122" s="1077" t="s">
        <v>648</v>
      </c>
      <c r="AA1122" s="1077" t="s">
        <v>4263</v>
      </c>
      <c r="AB1122" s="1077" t="s">
        <v>981</v>
      </c>
      <c r="AH1122" s="1077" t="s">
        <v>783</v>
      </c>
      <c r="AM1122" s="1078" t="s">
        <v>11263</v>
      </c>
      <c r="AN1122" s="1078" t="s">
        <v>11264</v>
      </c>
      <c r="AO1122" s="1078">
        <f t="shared" si="142"/>
        <v>650</v>
      </c>
      <c r="AP1122" s="1078">
        <f t="shared" si="143"/>
        <v>1.76</v>
      </c>
      <c r="AQ1122" s="1078" t="str">
        <f t="shared" si="144"/>
        <v>1-4-1S85°Z+S</v>
      </c>
      <c r="AR1122" s="1078" t="str">
        <f t="shared" si="145"/>
        <v>NA</v>
      </c>
      <c r="AS1122" s="1078" t="str">
        <f t="shared" si="146"/>
        <v>177/OFF</v>
      </c>
      <c r="AT1122" s="1078" t="str">
        <f t="shared" si="147"/>
        <v>1-4-1S85°Z+S</v>
      </c>
      <c r="AU1122" s="1078" t="s">
        <v>15547</v>
      </c>
      <c r="AV1122" s="1078" t="str">
        <f t="shared" si="140"/>
        <v>108.2.11</v>
      </c>
      <c r="AW1122" s="1344">
        <f t="shared" si="141"/>
        <v>43507</v>
      </c>
    </row>
    <row r="1123" spans="1:49">
      <c r="A1123" s="1077" t="s">
        <v>4264</v>
      </c>
      <c r="B1123" s="1077" t="s">
        <v>4052</v>
      </c>
      <c r="C1123" s="1077">
        <v>650</v>
      </c>
      <c r="D1123" s="1077">
        <v>1.76</v>
      </c>
      <c r="E1123" s="1077" t="s">
        <v>15104</v>
      </c>
      <c r="F1123" s="1077" t="s">
        <v>648</v>
      </c>
      <c r="G1123" s="1077">
        <v>4</v>
      </c>
      <c r="H1123" s="1077" t="s">
        <v>2326</v>
      </c>
      <c r="I1123" s="1077" t="s">
        <v>126</v>
      </c>
      <c r="J1123" s="1077">
        <v>1.1000000000000001</v>
      </c>
      <c r="K1123" s="1077" t="s">
        <v>4104</v>
      </c>
      <c r="L1123" s="1077" t="s">
        <v>987</v>
      </c>
      <c r="M1123" s="1077">
        <v>99</v>
      </c>
      <c r="N1123" s="1077" t="s">
        <v>945</v>
      </c>
      <c r="O1123" s="1077">
        <v>2.4750000000000001</v>
      </c>
      <c r="P1123" s="1077">
        <v>1.98</v>
      </c>
      <c r="Q1123" s="1077" t="s">
        <v>2407</v>
      </c>
      <c r="R1123" s="1077">
        <v>23</v>
      </c>
      <c r="T1123" s="1077">
        <v>16</v>
      </c>
      <c r="U1123" s="1077">
        <v>3.6</v>
      </c>
      <c r="V1123" s="1077" t="s">
        <v>648</v>
      </c>
      <c r="W1123" s="1077">
        <v>120</v>
      </c>
      <c r="X1123" s="1077" t="s">
        <v>4054</v>
      </c>
      <c r="Y1123" s="1077">
        <v>2.5</v>
      </c>
      <c r="Z1123" s="1077" t="s">
        <v>648</v>
      </c>
      <c r="AA1123" s="1077" t="s">
        <v>4265</v>
      </c>
      <c r="AB1123" s="1077" t="s">
        <v>981</v>
      </c>
      <c r="AH1123" s="1077" t="s">
        <v>712</v>
      </c>
      <c r="AM1123" s="1078" t="s">
        <v>11265</v>
      </c>
      <c r="AN1123" s="1078" t="s">
        <v>11266</v>
      </c>
      <c r="AO1123" s="1078">
        <f t="shared" si="142"/>
        <v>650</v>
      </c>
      <c r="AP1123" s="1078">
        <f t="shared" si="143"/>
        <v>1.76</v>
      </c>
      <c r="AQ1123" s="1078" t="str">
        <f t="shared" si="144"/>
        <v>1-4-1S85°Z+S</v>
      </c>
      <c r="AR1123" s="1078" t="str">
        <f t="shared" si="145"/>
        <v>NA</v>
      </c>
      <c r="AS1123" s="1078" t="str">
        <f t="shared" si="146"/>
        <v>173/OFF</v>
      </c>
      <c r="AT1123" s="1078" t="str">
        <f t="shared" si="147"/>
        <v>1-4-1S85°Z+S</v>
      </c>
      <c r="AU1123" s="1078" t="s">
        <v>15547</v>
      </c>
      <c r="AV1123" s="1078" t="str">
        <f t="shared" si="140"/>
        <v>109.3.9</v>
      </c>
      <c r="AW1123" s="1344">
        <f t="shared" si="141"/>
        <v>43899</v>
      </c>
    </row>
    <row r="1124" spans="1:49">
      <c r="A1124" s="1077" t="s">
        <v>4266</v>
      </c>
      <c r="B1124" s="1077" t="s">
        <v>4052</v>
      </c>
      <c r="C1124" s="1077">
        <v>650</v>
      </c>
      <c r="D1124" s="1077">
        <v>1.76</v>
      </c>
      <c r="E1124" s="1077" t="s">
        <v>15104</v>
      </c>
      <c r="F1124" s="1077" t="s">
        <v>648</v>
      </c>
      <c r="G1124" s="1077">
        <v>4</v>
      </c>
      <c r="H1124" s="1077" t="s">
        <v>2326</v>
      </c>
      <c r="I1124" s="1077" t="s">
        <v>126</v>
      </c>
      <c r="J1124" s="1077">
        <v>1.1000000000000001</v>
      </c>
      <c r="K1124" s="1077" t="s">
        <v>4267</v>
      </c>
      <c r="L1124" s="1077" t="s">
        <v>987</v>
      </c>
      <c r="M1124" s="1077">
        <v>99</v>
      </c>
      <c r="N1124" s="1077" t="s">
        <v>945</v>
      </c>
      <c r="O1124" s="1077">
        <v>2.4750000000000001</v>
      </c>
      <c r="P1124" s="1077">
        <v>1.98</v>
      </c>
      <c r="Q1124" s="1077" t="s">
        <v>2434</v>
      </c>
      <c r="R1124" s="1077">
        <v>23</v>
      </c>
      <c r="T1124" s="1077">
        <v>16</v>
      </c>
      <c r="U1124" s="1077">
        <v>3.6</v>
      </c>
      <c r="V1124" s="1077" t="s">
        <v>648</v>
      </c>
      <c r="W1124" s="1077">
        <v>120</v>
      </c>
      <c r="X1124" s="1077" t="s">
        <v>4054</v>
      </c>
      <c r="Y1124" s="1077">
        <v>2.5</v>
      </c>
      <c r="Z1124" s="1077" t="s">
        <v>648</v>
      </c>
      <c r="AA1124" s="1077" t="s">
        <v>4268</v>
      </c>
      <c r="AB1124" s="1077" t="s">
        <v>981</v>
      </c>
      <c r="AH1124" s="1077" t="s">
        <v>842</v>
      </c>
      <c r="AM1124" s="1078" t="s">
        <v>11267</v>
      </c>
      <c r="AN1124" s="1078" t="s">
        <v>11268</v>
      </c>
      <c r="AO1124" s="1078">
        <f t="shared" si="142"/>
        <v>650</v>
      </c>
      <c r="AP1124" s="1078">
        <f t="shared" si="143"/>
        <v>1.76</v>
      </c>
      <c r="AQ1124" s="1078" t="str">
        <f t="shared" si="144"/>
        <v>1-4-1S85°Z+S</v>
      </c>
      <c r="AR1124" s="1078" t="str">
        <f t="shared" si="145"/>
        <v>NA</v>
      </c>
      <c r="AS1124" s="1078" t="str">
        <f t="shared" si="146"/>
        <v>173/OFF</v>
      </c>
      <c r="AT1124" s="1078" t="str">
        <f t="shared" si="147"/>
        <v>1-4-1S85°Z+S</v>
      </c>
      <c r="AU1124" s="1078" t="s">
        <v>15547</v>
      </c>
      <c r="AV1124" s="1078" t="str">
        <f t="shared" si="140"/>
        <v>109.6.23</v>
      </c>
      <c r="AW1124" s="1344">
        <f t="shared" si="141"/>
        <v>44005</v>
      </c>
    </row>
    <row r="1125" spans="1:49">
      <c r="A1125" s="1077" t="s">
        <v>4269</v>
      </c>
      <c r="B1125" s="1077" t="s">
        <v>4052</v>
      </c>
      <c r="C1125" s="1077">
        <v>650</v>
      </c>
      <c r="D1125" s="1077">
        <v>1.76</v>
      </c>
      <c r="E1125" s="1077" t="s">
        <v>15104</v>
      </c>
      <c r="F1125" s="1077" t="s">
        <v>648</v>
      </c>
      <c r="G1125" s="1077">
        <v>4</v>
      </c>
      <c r="H1125" s="1077" t="s">
        <v>2326</v>
      </c>
      <c r="I1125" s="1077" t="s">
        <v>126</v>
      </c>
      <c r="J1125" s="1077">
        <v>1.1000000000000001</v>
      </c>
      <c r="K1125" s="1077" t="s">
        <v>4267</v>
      </c>
      <c r="L1125" s="1077" t="s">
        <v>987</v>
      </c>
      <c r="M1125" s="1077">
        <v>99</v>
      </c>
      <c r="N1125" s="1077" t="s">
        <v>945</v>
      </c>
      <c r="O1125" s="1077">
        <v>2.4750000000000001</v>
      </c>
      <c r="P1125" s="1077">
        <v>1.98</v>
      </c>
      <c r="Q1125" s="1077" t="s">
        <v>2434</v>
      </c>
      <c r="R1125" s="1077">
        <v>23</v>
      </c>
      <c r="T1125" s="1077">
        <v>16</v>
      </c>
      <c r="U1125" s="1077">
        <v>3.6</v>
      </c>
      <c r="V1125" s="1077" t="s">
        <v>648</v>
      </c>
      <c r="W1125" s="1077">
        <v>120</v>
      </c>
      <c r="X1125" s="1077" t="s">
        <v>4054</v>
      </c>
      <c r="Y1125" s="1077">
        <v>2.5</v>
      </c>
      <c r="Z1125" s="1077" t="s">
        <v>648</v>
      </c>
      <c r="AA1125" s="1077" t="s">
        <v>3002</v>
      </c>
      <c r="AB1125" s="1077" t="s">
        <v>981</v>
      </c>
      <c r="AH1125" s="1077" t="s">
        <v>868</v>
      </c>
      <c r="AM1125" s="1078" t="s">
        <v>11269</v>
      </c>
      <c r="AN1125" s="1078" t="s">
        <v>11270</v>
      </c>
      <c r="AO1125" s="1078">
        <f t="shared" si="142"/>
        <v>650</v>
      </c>
      <c r="AP1125" s="1078">
        <f t="shared" si="143"/>
        <v>1.76</v>
      </c>
      <c r="AQ1125" s="1078" t="str">
        <f t="shared" si="144"/>
        <v>1-4-1S85°Z+S</v>
      </c>
      <c r="AR1125" s="1078" t="str">
        <f t="shared" si="145"/>
        <v>NA</v>
      </c>
      <c r="AS1125" s="1078" t="str">
        <f t="shared" si="146"/>
        <v>173/OFF</v>
      </c>
      <c r="AT1125" s="1078" t="str">
        <f t="shared" si="147"/>
        <v>1-4-1S85°Z+S</v>
      </c>
      <c r="AU1125" s="1078" t="s">
        <v>15547</v>
      </c>
      <c r="AV1125" s="1078" t="str">
        <f t="shared" si="140"/>
        <v>109.7.13</v>
      </c>
      <c r="AW1125" s="1344">
        <f t="shared" si="141"/>
        <v>44025</v>
      </c>
    </row>
    <row r="1126" spans="1:49">
      <c r="A1126" s="1077" t="s">
        <v>4270</v>
      </c>
      <c r="B1126" s="1077" t="s">
        <v>4052</v>
      </c>
      <c r="C1126" s="1077">
        <v>650</v>
      </c>
      <c r="D1126" s="1077">
        <v>1.76</v>
      </c>
      <c r="E1126" s="1077" t="s">
        <v>15104</v>
      </c>
      <c r="F1126" s="1077" t="s">
        <v>648</v>
      </c>
      <c r="G1126" s="1077">
        <v>4</v>
      </c>
      <c r="H1126" s="1077" t="s">
        <v>2326</v>
      </c>
      <c r="I1126" s="1077" t="s">
        <v>126</v>
      </c>
      <c r="J1126" s="1077">
        <v>1.1000000000000001</v>
      </c>
      <c r="K1126" s="1077" t="s">
        <v>4267</v>
      </c>
      <c r="L1126" s="1077" t="s">
        <v>987</v>
      </c>
      <c r="M1126" s="1077">
        <v>99</v>
      </c>
      <c r="N1126" s="1077" t="s">
        <v>945</v>
      </c>
      <c r="O1126" s="1077">
        <v>2.4750000000000001</v>
      </c>
      <c r="P1126" s="1077">
        <v>1.98</v>
      </c>
      <c r="Q1126" s="1077" t="s">
        <v>2441</v>
      </c>
      <c r="R1126" s="1077" t="s">
        <v>4271</v>
      </c>
      <c r="T1126" s="1077">
        <v>16</v>
      </c>
      <c r="U1126" s="1077">
        <v>3.6</v>
      </c>
      <c r="V1126" s="1077" t="s">
        <v>648</v>
      </c>
      <c r="W1126" s="1077">
        <v>120</v>
      </c>
      <c r="X1126" s="1077" t="s">
        <v>4054</v>
      </c>
      <c r="Y1126" s="1077" t="s">
        <v>4272</v>
      </c>
      <c r="Z1126" s="1077" t="s">
        <v>648</v>
      </c>
      <c r="AA1126" s="1077" t="s">
        <v>1337</v>
      </c>
      <c r="AB1126" s="1077" t="s">
        <v>981</v>
      </c>
      <c r="AH1126" s="1077" t="s">
        <v>948</v>
      </c>
      <c r="AM1126" s="1078" t="s">
        <v>11271</v>
      </c>
      <c r="AN1126" s="1078" t="s">
        <v>11272</v>
      </c>
      <c r="AO1126" s="1078">
        <f t="shared" si="142"/>
        <v>650</v>
      </c>
      <c r="AP1126" s="1078">
        <f t="shared" si="143"/>
        <v>1.76</v>
      </c>
      <c r="AQ1126" s="1078" t="str">
        <f t="shared" si="144"/>
        <v>1-4-1S85°Z+S</v>
      </c>
      <c r="AR1126" s="1078" t="str">
        <f t="shared" si="145"/>
        <v>NA</v>
      </c>
      <c r="AS1126" s="1078" t="str">
        <f t="shared" si="146"/>
        <v>173/OFF</v>
      </c>
      <c r="AT1126" s="1078" t="str">
        <f t="shared" si="147"/>
        <v>1-4-1S85°Z+S</v>
      </c>
      <c r="AU1126" s="1078" t="s">
        <v>15547</v>
      </c>
      <c r="AV1126" s="1078" t="str">
        <f t="shared" si="140"/>
        <v>109.9.1</v>
      </c>
      <c r="AW1126" s="1344">
        <f t="shared" si="141"/>
        <v>44075</v>
      </c>
    </row>
    <row r="1127" spans="1:49">
      <c r="A1127" s="1077" t="s">
        <v>4273</v>
      </c>
      <c r="B1127" s="1077" t="s">
        <v>4052</v>
      </c>
      <c r="C1127" s="1077">
        <v>650</v>
      </c>
      <c r="D1127" s="1077">
        <v>1.76</v>
      </c>
      <c r="E1127" s="1077" t="s">
        <v>15104</v>
      </c>
      <c r="F1127" s="1077" t="s">
        <v>648</v>
      </c>
      <c r="G1127" s="1077">
        <v>4</v>
      </c>
      <c r="H1127" s="1077" t="s">
        <v>2326</v>
      </c>
      <c r="I1127" s="1077" t="s">
        <v>126</v>
      </c>
      <c r="J1127" s="1077">
        <v>1.1000000000000001</v>
      </c>
      <c r="K1127" s="1077" t="s">
        <v>4104</v>
      </c>
      <c r="L1127" s="1077" t="s">
        <v>987</v>
      </c>
      <c r="M1127" s="1077">
        <v>99</v>
      </c>
      <c r="N1127" s="1077" t="s">
        <v>945</v>
      </c>
      <c r="O1127" s="1077">
        <v>2.4750000000000001</v>
      </c>
      <c r="P1127" s="1077">
        <v>1.98</v>
      </c>
      <c r="Q1127" s="1077" t="s">
        <v>2441</v>
      </c>
      <c r="R1127" s="1077">
        <v>23</v>
      </c>
      <c r="T1127" s="1077">
        <v>16</v>
      </c>
      <c r="U1127" s="1077">
        <v>3.6</v>
      </c>
      <c r="V1127" s="1077" t="s">
        <v>648</v>
      </c>
      <c r="W1127" s="1077">
        <v>120</v>
      </c>
      <c r="X1127" s="1077" t="s">
        <v>4054</v>
      </c>
      <c r="Y1127" s="1077" t="s">
        <v>4272</v>
      </c>
      <c r="Z1127" s="1077" t="s">
        <v>648</v>
      </c>
      <c r="AA1127" s="1077" t="s">
        <v>4274</v>
      </c>
      <c r="AB1127" s="1077" t="s">
        <v>981</v>
      </c>
      <c r="AH1127" s="1077" t="s">
        <v>1486</v>
      </c>
      <c r="AM1127" s="1078" t="s">
        <v>11273</v>
      </c>
      <c r="AN1127" s="1078" t="s">
        <v>11274</v>
      </c>
      <c r="AO1127" s="1078">
        <f t="shared" si="142"/>
        <v>650</v>
      </c>
      <c r="AP1127" s="1078">
        <f t="shared" si="143"/>
        <v>1.76</v>
      </c>
      <c r="AQ1127" s="1078" t="str">
        <f t="shared" si="144"/>
        <v>1-4-1S85°Z+S</v>
      </c>
      <c r="AR1127" s="1078" t="str">
        <f t="shared" si="145"/>
        <v>NA</v>
      </c>
      <c r="AS1127" s="1078" t="str">
        <f t="shared" si="146"/>
        <v>173/OFF</v>
      </c>
      <c r="AT1127" s="1078" t="str">
        <f t="shared" si="147"/>
        <v>1-4-1S85°Z+S</v>
      </c>
      <c r="AU1127" s="1078" t="s">
        <v>15547</v>
      </c>
      <c r="AV1127" s="1078" t="str">
        <f t="shared" si="140"/>
        <v>109.9.8</v>
      </c>
      <c r="AW1127" s="1344">
        <f t="shared" si="141"/>
        <v>44082</v>
      </c>
    </row>
    <row r="1128" spans="1:49">
      <c r="A1128" s="1077" t="s">
        <v>4275</v>
      </c>
      <c r="B1128" s="1077" t="s">
        <v>4052</v>
      </c>
      <c r="C1128" s="1077">
        <v>650</v>
      </c>
      <c r="D1128" s="1077">
        <v>1.76</v>
      </c>
      <c r="E1128" s="1077" t="s">
        <v>15104</v>
      </c>
      <c r="F1128" s="1077" t="s">
        <v>648</v>
      </c>
      <c r="G1128" s="1077">
        <v>4</v>
      </c>
      <c r="H1128" s="1077" t="s">
        <v>2326</v>
      </c>
      <c r="I1128" s="1077" t="s">
        <v>126</v>
      </c>
      <c r="J1128" s="1077">
        <v>1.1000000000000001</v>
      </c>
      <c r="K1128" s="1077" t="s">
        <v>4104</v>
      </c>
      <c r="L1128" s="1077" t="s">
        <v>987</v>
      </c>
      <c r="M1128" s="1077">
        <v>99</v>
      </c>
      <c r="N1128" s="1077" t="s">
        <v>945</v>
      </c>
      <c r="O1128" s="1077">
        <v>2.4750000000000001</v>
      </c>
      <c r="P1128" s="1077">
        <v>1.98</v>
      </c>
      <c r="Q1128" s="1077" t="s">
        <v>2434</v>
      </c>
      <c r="R1128" s="1077">
        <v>23</v>
      </c>
      <c r="T1128" s="1077">
        <v>16</v>
      </c>
      <c r="U1128" s="1077">
        <v>3.6</v>
      </c>
      <c r="V1128" s="1077" t="s">
        <v>648</v>
      </c>
      <c r="W1128" s="1077">
        <v>120</v>
      </c>
      <c r="X1128" s="1077" t="s">
        <v>4054</v>
      </c>
      <c r="Y1128" s="1077" t="s">
        <v>4276</v>
      </c>
      <c r="Z1128" s="1077" t="s">
        <v>648</v>
      </c>
      <c r="AA1128" s="1077" t="s">
        <v>3231</v>
      </c>
      <c r="AB1128" s="1077" t="s">
        <v>981</v>
      </c>
      <c r="AH1128" s="1077" t="s">
        <v>712</v>
      </c>
      <c r="AM1128" s="1078" t="s">
        <v>11275</v>
      </c>
      <c r="AN1128" s="1078" t="s">
        <v>11276</v>
      </c>
      <c r="AO1128" s="1078">
        <f t="shared" si="142"/>
        <v>650</v>
      </c>
      <c r="AP1128" s="1078">
        <f t="shared" si="143"/>
        <v>1.76</v>
      </c>
      <c r="AQ1128" s="1078" t="str">
        <f t="shared" si="144"/>
        <v>1-4-1S85°Z+S</v>
      </c>
      <c r="AR1128" s="1078" t="str">
        <f t="shared" si="145"/>
        <v>NA</v>
      </c>
      <c r="AS1128" s="1078" t="str">
        <f t="shared" si="146"/>
        <v>173/OFF</v>
      </c>
      <c r="AT1128" s="1078" t="str">
        <f t="shared" si="147"/>
        <v>1-4-1S85°Z+S</v>
      </c>
      <c r="AU1128" s="1078" t="s">
        <v>15547</v>
      </c>
      <c r="AV1128" s="1078" t="str">
        <f t="shared" si="140"/>
        <v>109.9.11</v>
      </c>
      <c r="AW1128" s="1344">
        <f t="shared" si="141"/>
        <v>44085</v>
      </c>
    </row>
    <row r="1129" spans="1:49">
      <c r="A1129" s="1077" t="s">
        <v>4277</v>
      </c>
      <c r="B1129" s="1077" t="s">
        <v>4052</v>
      </c>
      <c r="C1129" s="1077">
        <v>650</v>
      </c>
      <c r="D1129" s="1077">
        <v>1.76</v>
      </c>
      <c r="E1129" s="1077" t="s">
        <v>15104</v>
      </c>
      <c r="F1129" s="1077" t="s">
        <v>648</v>
      </c>
      <c r="G1129" s="1077">
        <v>4</v>
      </c>
      <c r="H1129" s="1077" t="s">
        <v>2326</v>
      </c>
      <c r="I1129" s="1077" t="s">
        <v>126</v>
      </c>
      <c r="J1129" s="1077">
        <v>1.1000000000000001</v>
      </c>
      <c r="K1129" s="1077" t="s">
        <v>4278</v>
      </c>
      <c r="L1129" s="1077" t="s">
        <v>987</v>
      </c>
      <c r="M1129" s="1077">
        <v>99</v>
      </c>
      <c r="N1129" s="1077" t="s">
        <v>945</v>
      </c>
      <c r="O1129" s="1077">
        <v>2.4750000000000001</v>
      </c>
      <c r="P1129" s="1077">
        <v>1.98</v>
      </c>
      <c r="Q1129" s="1077" t="s">
        <v>2434</v>
      </c>
      <c r="R1129" s="1077">
        <v>23</v>
      </c>
      <c r="T1129" s="1077">
        <v>16</v>
      </c>
      <c r="U1129" s="1077">
        <v>3.6</v>
      </c>
      <c r="V1129" s="1077" t="s">
        <v>648</v>
      </c>
      <c r="W1129" s="1077">
        <v>120</v>
      </c>
      <c r="X1129" s="1077" t="s">
        <v>4054</v>
      </c>
      <c r="Y1129" s="1077">
        <v>2.5</v>
      </c>
      <c r="Z1129" s="1077" t="s">
        <v>648</v>
      </c>
      <c r="AA1129" s="1077" t="s">
        <v>4279</v>
      </c>
      <c r="AH1129" s="1077" t="s">
        <v>1023</v>
      </c>
      <c r="AM1129" s="1078" t="s">
        <v>11277</v>
      </c>
      <c r="AN1129" s="1078" t="s">
        <v>11278</v>
      </c>
      <c r="AO1129" s="1078">
        <f t="shared" si="142"/>
        <v>650</v>
      </c>
      <c r="AP1129" s="1078">
        <f t="shared" si="143"/>
        <v>1.76</v>
      </c>
      <c r="AQ1129" s="1078" t="str">
        <f t="shared" si="144"/>
        <v>1-4-1S85°Z+S</v>
      </c>
      <c r="AR1129" s="1078" t="str">
        <f t="shared" si="145"/>
        <v>NA</v>
      </c>
      <c r="AS1129" s="1078" t="str">
        <f t="shared" si="146"/>
        <v>173/OFF</v>
      </c>
      <c r="AT1129" s="1078" t="str">
        <f t="shared" si="147"/>
        <v>1-4-1S85°Z+S</v>
      </c>
      <c r="AU1129" s="1078" t="s">
        <v>15547</v>
      </c>
      <c r="AV1129" s="1078" t="str">
        <f t="shared" si="140"/>
        <v>109.10.15</v>
      </c>
      <c r="AW1129" s="1344">
        <f t="shared" si="141"/>
        <v>44119</v>
      </c>
    </row>
    <row r="1130" spans="1:49">
      <c r="A1130" s="1077" t="s">
        <v>4280</v>
      </c>
      <c r="B1130" s="1077" t="s">
        <v>298</v>
      </c>
      <c r="C1130" s="1077">
        <v>600</v>
      </c>
      <c r="D1130" s="1077">
        <v>1.73</v>
      </c>
      <c r="E1130" s="1077" t="s">
        <v>15102</v>
      </c>
      <c r="F1130" s="1077" t="s">
        <v>2167</v>
      </c>
      <c r="G1130" s="1077" t="s">
        <v>1767</v>
      </c>
      <c r="H1130" s="1077" t="s">
        <v>4163</v>
      </c>
      <c r="I1130" s="1077" t="s">
        <v>648</v>
      </c>
      <c r="J1130" s="1077">
        <v>0</v>
      </c>
      <c r="K1130" s="1077" t="s">
        <v>4281</v>
      </c>
      <c r="L1130" s="1077" t="s">
        <v>4029</v>
      </c>
      <c r="M1130" s="1077">
        <v>103</v>
      </c>
      <c r="N1130" s="1077" t="s">
        <v>945</v>
      </c>
      <c r="O1130" s="1077">
        <v>2.5750000000000002</v>
      </c>
      <c r="P1130" s="1077">
        <v>2.06</v>
      </c>
      <c r="Q1130" s="1077">
        <v>4</v>
      </c>
      <c r="R1130" s="1077">
        <v>23.5</v>
      </c>
      <c r="T1130" s="1077">
        <v>18.5</v>
      </c>
      <c r="U1130" s="1077">
        <v>2.1</v>
      </c>
      <c r="V1130" s="1077" t="s">
        <v>648</v>
      </c>
      <c r="W1130" s="1077" t="s">
        <v>648</v>
      </c>
      <c r="X1130" s="1077" t="s">
        <v>648</v>
      </c>
      <c r="Y1130" s="1077">
        <v>1.3</v>
      </c>
      <c r="Z1130" s="1077">
        <v>4</v>
      </c>
      <c r="AA1130" s="1077" t="s">
        <v>4282</v>
      </c>
      <c r="AH1130" s="1077" t="s">
        <v>4283</v>
      </c>
      <c r="AM1130" s="1078" t="s">
        <v>11279</v>
      </c>
      <c r="AN1130" s="1078" t="s">
        <v>11280</v>
      </c>
      <c r="AO1130" s="1078">
        <f t="shared" si="142"/>
        <v>600</v>
      </c>
      <c r="AP1130" s="1078">
        <f t="shared" si="143"/>
        <v>1.73</v>
      </c>
      <c r="AQ1130" s="1078" t="str">
        <f t="shared" si="144"/>
        <v>2-6-1S83°</v>
      </c>
      <c r="AR1130" s="1078" t="str">
        <f t="shared" si="145"/>
        <v>33</v>
      </c>
      <c r="AS1130" s="1078" t="str">
        <f t="shared" si="146"/>
        <v>178/175</v>
      </c>
      <c r="AT1130" s="1078" t="str">
        <f t="shared" si="147"/>
        <v>2-6-1S83°</v>
      </c>
      <c r="AV1130" s="1078" t="str">
        <f t="shared" si="140"/>
        <v>110.12.28</v>
      </c>
      <c r="AW1130" s="1344">
        <f t="shared" si="141"/>
        <v>44558</v>
      </c>
    </row>
    <row r="1131" spans="1:49">
      <c r="A1131" s="1077" t="s">
        <v>4284</v>
      </c>
      <c r="B1131" s="1077" t="s">
        <v>4113</v>
      </c>
      <c r="C1131" s="1077">
        <v>550</v>
      </c>
      <c r="D1131" s="1077">
        <v>1.6719999999999999</v>
      </c>
      <c r="E1131" s="1077" t="s">
        <v>15102</v>
      </c>
      <c r="F1131" s="1077" t="s">
        <v>1469</v>
      </c>
      <c r="G1131" s="1077">
        <v>5</v>
      </c>
      <c r="H1131" s="1077" t="s">
        <v>2833</v>
      </c>
      <c r="I1131" s="1077" t="s">
        <v>1167</v>
      </c>
      <c r="J1131" s="1077">
        <v>1</v>
      </c>
      <c r="K1131" s="1077" t="s">
        <v>4285</v>
      </c>
      <c r="L1131" s="1077" t="s">
        <v>4147</v>
      </c>
      <c r="M1131" s="1077">
        <v>103.3</v>
      </c>
      <c r="N1131" s="1077" t="s">
        <v>945</v>
      </c>
      <c r="O1131" s="1077">
        <v>2.5825</v>
      </c>
      <c r="P1131" s="1077">
        <v>2.0659999999999998</v>
      </c>
      <c r="Q1131" s="1077">
        <v>4</v>
      </c>
      <c r="R1131" s="1077">
        <v>25</v>
      </c>
      <c r="T1131" s="1077">
        <v>10</v>
      </c>
      <c r="U1131" s="1077">
        <v>5.8</v>
      </c>
      <c r="V1131" s="1077" t="s">
        <v>648</v>
      </c>
      <c r="W1131" s="1077">
        <v>125</v>
      </c>
      <c r="X1131" s="1077">
        <v>80</v>
      </c>
      <c r="Y1131" s="1077">
        <v>1.5</v>
      </c>
      <c r="Z1131" s="1077">
        <v>4</v>
      </c>
      <c r="AA1131" s="1077" t="s">
        <v>4286</v>
      </c>
      <c r="AH1131" s="1077" t="s">
        <v>2384</v>
      </c>
      <c r="AM1131" s="1078" t="s">
        <v>11281</v>
      </c>
      <c r="AN1131" s="1078" t="s">
        <v>11282</v>
      </c>
      <c r="AO1131" s="1078">
        <f t="shared" si="142"/>
        <v>550</v>
      </c>
      <c r="AP1131" s="1078">
        <f t="shared" si="143"/>
        <v>1.6719999999999999</v>
      </c>
      <c r="AQ1131" s="1078" t="str">
        <f t="shared" si="144"/>
        <v>2-6-1S83°</v>
      </c>
      <c r="AR1131" s="1078" t="str">
        <f t="shared" si="145"/>
        <v>30.5</v>
      </c>
      <c r="AS1131" s="1078" t="str">
        <f t="shared" si="146"/>
        <v>150/OFF</v>
      </c>
      <c r="AT1131" s="1078" t="str">
        <f t="shared" si="147"/>
        <v>2-6-1S83°</v>
      </c>
      <c r="AV1131" s="1078" t="str">
        <f t="shared" si="140"/>
        <v>110.12.29</v>
      </c>
      <c r="AW1131" s="1344">
        <f t="shared" si="141"/>
        <v>44559</v>
      </c>
    </row>
    <row r="1132" spans="1:49">
      <c r="A1132" s="1077" t="s">
        <v>4287</v>
      </c>
      <c r="B1132" s="1077" t="s">
        <v>4149</v>
      </c>
      <c r="C1132" s="1077">
        <v>700</v>
      </c>
      <c r="D1132" s="1077">
        <v>1.86</v>
      </c>
      <c r="E1132" s="1077" t="s">
        <v>15095</v>
      </c>
      <c r="F1132" s="1077" t="s">
        <v>984</v>
      </c>
      <c r="G1132" s="1077">
        <v>4</v>
      </c>
      <c r="H1132" s="1077" t="s">
        <v>2642</v>
      </c>
      <c r="I1132" s="1077" t="s">
        <v>460</v>
      </c>
      <c r="J1132" s="1077">
        <v>1.8</v>
      </c>
      <c r="K1132" s="1077" t="s">
        <v>4288</v>
      </c>
      <c r="L1132" s="1077" t="s">
        <v>4212</v>
      </c>
      <c r="M1132" s="1077">
        <v>98</v>
      </c>
      <c r="N1132" s="1077" t="s">
        <v>945</v>
      </c>
      <c r="O1132" s="1077">
        <v>2.4500000000000002</v>
      </c>
      <c r="P1132" s="1077">
        <v>1.96</v>
      </c>
      <c r="Q1132" s="1077">
        <v>3</v>
      </c>
      <c r="R1132" s="1077">
        <v>27.3</v>
      </c>
      <c r="T1132" s="1077">
        <v>11.6</v>
      </c>
      <c r="U1132" s="1077">
        <v>4.0999999999999996</v>
      </c>
      <c r="V1132" s="1077" t="s">
        <v>648</v>
      </c>
      <c r="W1132" s="1077">
        <v>100</v>
      </c>
      <c r="X1132" s="1077">
        <v>85</v>
      </c>
      <c r="Y1132" s="1077">
        <v>1.5</v>
      </c>
      <c r="Z1132" s="1077">
        <v>3</v>
      </c>
      <c r="AA1132" s="1077" t="s">
        <v>4289</v>
      </c>
      <c r="AH1132" s="1077" t="s">
        <v>813</v>
      </c>
      <c r="AM1132" s="1078" t="s">
        <v>11283</v>
      </c>
      <c r="AN1132" s="1078" t="s">
        <v>11284</v>
      </c>
      <c r="AO1132" s="1078">
        <f t="shared" si="142"/>
        <v>700</v>
      </c>
      <c r="AP1132" s="1078">
        <f t="shared" si="143"/>
        <v>1.86</v>
      </c>
      <c r="AQ1132" s="1078" t="str">
        <f t="shared" si="144"/>
        <v>1-5-1S83°</v>
      </c>
      <c r="AR1132" s="1078" t="str">
        <f t="shared" si="145"/>
        <v>30</v>
      </c>
      <c r="AS1132" s="1078" t="str">
        <f t="shared" si="146"/>
        <v>280/280/155</v>
      </c>
      <c r="AT1132" s="1078" t="str">
        <f t="shared" si="147"/>
        <v>1-5-1S83°</v>
      </c>
      <c r="AV1132" s="1078" t="str">
        <f t="shared" si="140"/>
        <v>110.12.30</v>
      </c>
      <c r="AW1132" s="1344">
        <f t="shared" si="141"/>
        <v>44560</v>
      </c>
    </row>
    <row r="1133" spans="1:49">
      <c r="A1133" s="1077" t="s">
        <v>4290</v>
      </c>
      <c r="B1133" s="1077" t="s">
        <v>4083</v>
      </c>
      <c r="C1133" s="1077">
        <v>600</v>
      </c>
      <c r="D1133" s="1077">
        <v>1.7649999999999999</v>
      </c>
      <c r="E1133" s="1077" t="s">
        <v>15089</v>
      </c>
      <c r="F1133" s="1077" t="s">
        <v>954</v>
      </c>
      <c r="G1133" s="1077" t="s">
        <v>1767</v>
      </c>
      <c r="H1133" s="1077" t="s">
        <v>4118</v>
      </c>
      <c r="I1133" s="1077" t="s">
        <v>126</v>
      </c>
      <c r="J1133" s="1077">
        <v>2</v>
      </c>
      <c r="K1133" s="1077" t="s">
        <v>4253</v>
      </c>
      <c r="L1133" s="1077" t="s">
        <v>4085</v>
      </c>
      <c r="M1133" s="1077">
        <v>101.6</v>
      </c>
      <c r="N1133" s="1077" t="s">
        <v>945</v>
      </c>
      <c r="O1133" s="1077">
        <v>2.54</v>
      </c>
      <c r="P1133" s="1077">
        <v>2.032</v>
      </c>
      <c r="Q1133" s="1077">
        <v>4</v>
      </c>
      <c r="R1133" s="1077">
        <v>20.5</v>
      </c>
      <c r="T1133" s="1077">
        <v>26.9</v>
      </c>
      <c r="U1133" s="1077">
        <v>4</v>
      </c>
      <c r="V1133" s="1077" t="s">
        <v>648</v>
      </c>
      <c r="W1133" s="1077">
        <v>125</v>
      </c>
      <c r="X1133" s="1077">
        <v>75</v>
      </c>
      <c r="Y1133" s="1077">
        <v>1.5</v>
      </c>
      <c r="Z1133" s="1077">
        <v>5.5</v>
      </c>
      <c r="AA1133" s="1077" t="s">
        <v>4291</v>
      </c>
      <c r="AH1133" s="1077" t="s">
        <v>618</v>
      </c>
      <c r="AM1133" s="1078" t="s">
        <v>11285</v>
      </c>
      <c r="AN1133" s="1078" t="s">
        <v>11286</v>
      </c>
      <c r="AO1133" s="1078">
        <f t="shared" si="142"/>
        <v>600</v>
      </c>
      <c r="AP1133" s="1078">
        <f t="shared" si="143"/>
        <v>1.7649999999999999</v>
      </c>
      <c r="AQ1133" s="1078" t="str">
        <f t="shared" si="144"/>
        <v>1-4-1S83°</v>
      </c>
      <c r="AR1133" s="1078" t="str">
        <f t="shared" si="145"/>
        <v>31</v>
      </c>
      <c r="AS1133" s="1078" t="str">
        <f t="shared" si="146"/>
        <v>280/260/OFF</v>
      </c>
      <c r="AT1133" s="1078" t="str">
        <f t="shared" si="147"/>
        <v>1-4-1S83°</v>
      </c>
      <c r="AV1133" s="1078" t="str">
        <f t="shared" si="140"/>
        <v>110.12.31</v>
      </c>
      <c r="AW1133" s="1344">
        <f t="shared" si="141"/>
        <v>44561</v>
      </c>
    </row>
    <row r="1134" spans="1:49">
      <c r="A1134" s="1077" t="s">
        <v>4292</v>
      </c>
      <c r="B1134" s="1077" t="s">
        <v>4113</v>
      </c>
      <c r="C1134" s="1077">
        <v>550</v>
      </c>
      <c r="D1134" s="1077">
        <v>1.6719999999999999</v>
      </c>
      <c r="E1134" s="1077" t="s">
        <v>15102</v>
      </c>
      <c r="F1134" s="1077" t="s">
        <v>1469</v>
      </c>
      <c r="G1134" s="1077">
        <v>5</v>
      </c>
      <c r="H1134" s="1077" t="s">
        <v>2833</v>
      </c>
      <c r="I1134" s="1077" t="s">
        <v>1167</v>
      </c>
      <c r="J1134" s="1077">
        <v>1</v>
      </c>
      <c r="K1134" s="1077" t="s">
        <v>4285</v>
      </c>
      <c r="L1134" s="1077" t="s">
        <v>4147</v>
      </c>
      <c r="M1134" s="1077">
        <v>103.3</v>
      </c>
      <c r="N1134" s="1077" t="s">
        <v>945</v>
      </c>
      <c r="O1134" s="1077">
        <v>2.5825</v>
      </c>
      <c r="P1134" s="1077">
        <v>2.0659999999999998</v>
      </c>
      <c r="Q1134" s="1077">
        <v>4</v>
      </c>
      <c r="R1134" s="1077">
        <v>25</v>
      </c>
      <c r="T1134" s="1077">
        <v>10</v>
      </c>
      <c r="U1134" s="1077">
        <v>5.8</v>
      </c>
      <c r="V1134" s="1077" t="s">
        <v>648</v>
      </c>
      <c r="W1134" s="1077">
        <v>125</v>
      </c>
      <c r="X1134" s="1077">
        <v>80</v>
      </c>
      <c r="Y1134" s="1077">
        <v>1.5</v>
      </c>
      <c r="Z1134" s="1077">
        <v>4</v>
      </c>
      <c r="AA1134" s="1077" t="s">
        <v>4009</v>
      </c>
      <c r="AH1134" s="1077" t="s">
        <v>782</v>
      </c>
      <c r="AM1134" s="1078" t="s">
        <v>11287</v>
      </c>
      <c r="AN1134" s="1078" t="s">
        <v>11288</v>
      </c>
      <c r="AO1134" s="1078">
        <f t="shared" si="142"/>
        <v>550</v>
      </c>
      <c r="AP1134" s="1078">
        <f t="shared" si="143"/>
        <v>1.6719999999999999</v>
      </c>
      <c r="AQ1134" s="1078" t="str">
        <f t="shared" si="144"/>
        <v>2-6-1S83°</v>
      </c>
      <c r="AR1134" s="1078" t="str">
        <f t="shared" si="145"/>
        <v>30.5</v>
      </c>
      <c r="AS1134" s="1078" t="str">
        <f t="shared" si="146"/>
        <v>150/OFF</v>
      </c>
      <c r="AT1134" s="1078" t="str">
        <f t="shared" si="147"/>
        <v>2-6-1S83°</v>
      </c>
      <c r="AV1134" s="1078" t="str">
        <f t="shared" si="140"/>
        <v>111.1.6</v>
      </c>
      <c r="AW1134" s="1344">
        <f t="shared" si="141"/>
        <v>44567</v>
      </c>
    </row>
    <row r="1135" spans="1:49">
      <c r="A1135" s="1077" t="s">
        <v>4293</v>
      </c>
      <c r="B1135" s="1077" t="s">
        <v>4083</v>
      </c>
      <c r="C1135" s="1077">
        <v>600</v>
      </c>
      <c r="D1135" s="1077">
        <v>1.7649999999999999</v>
      </c>
      <c r="E1135" s="1077" t="s">
        <v>15089</v>
      </c>
      <c r="F1135" s="1077" t="s">
        <v>954</v>
      </c>
      <c r="G1135" s="1077" t="s">
        <v>1767</v>
      </c>
      <c r="H1135" s="1077" t="s">
        <v>4294</v>
      </c>
      <c r="I1135" s="1077" t="s">
        <v>126</v>
      </c>
      <c r="J1135" s="1077">
        <v>0.5</v>
      </c>
      <c r="K1135" s="1077" t="s">
        <v>4253</v>
      </c>
      <c r="L1135" s="1077" t="s">
        <v>4085</v>
      </c>
      <c r="M1135" s="1077">
        <v>101</v>
      </c>
      <c r="N1135" s="1077" t="s">
        <v>945</v>
      </c>
      <c r="O1135" s="1077">
        <v>2.5250000000000004</v>
      </c>
      <c r="P1135" s="1077">
        <v>2.02</v>
      </c>
      <c r="Q1135" s="1077">
        <v>4</v>
      </c>
      <c r="R1135" s="1077">
        <v>21</v>
      </c>
      <c r="T1135" s="1077">
        <v>33.5</v>
      </c>
      <c r="U1135" s="1077">
        <v>4.3</v>
      </c>
      <c r="V1135" s="1077" t="s">
        <v>648</v>
      </c>
      <c r="W1135" s="1077">
        <v>30</v>
      </c>
      <c r="X1135" s="1077">
        <v>10</v>
      </c>
      <c r="Y1135" s="1077">
        <v>1.8</v>
      </c>
      <c r="Z1135" s="1077">
        <v>6</v>
      </c>
      <c r="AA1135" s="1077" t="s">
        <v>4295</v>
      </c>
      <c r="AH1135" s="1077" t="s">
        <v>762</v>
      </c>
      <c r="AM1135" s="1078" t="s">
        <v>11289</v>
      </c>
      <c r="AN1135" s="1078" t="s">
        <v>11290</v>
      </c>
      <c r="AO1135" s="1078">
        <f t="shared" si="142"/>
        <v>600</v>
      </c>
      <c r="AP1135" s="1078">
        <f t="shared" si="143"/>
        <v>1.7649999999999999</v>
      </c>
      <c r="AQ1135" s="1078" t="str">
        <f t="shared" si="144"/>
        <v>1-4-1S83°</v>
      </c>
      <c r="AR1135" s="1078" t="str">
        <f t="shared" si="145"/>
        <v>31</v>
      </c>
      <c r="AS1135" s="1078" t="str">
        <f t="shared" si="146"/>
        <v>285/265/OFF</v>
      </c>
      <c r="AT1135" s="1078" t="str">
        <f t="shared" si="147"/>
        <v>1-4-1S83°</v>
      </c>
      <c r="AV1135" s="1078" t="str">
        <f t="shared" si="140"/>
        <v>111.1.10</v>
      </c>
      <c r="AW1135" s="1344">
        <f t="shared" si="141"/>
        <v>44571</v>
      </c>
    </row>
    <row r="1136" spans="1:49">
      <c r="A1136" s="1077" t="s">
        <v>4296</v>
      </c>
      <c r="B1136" s="1077" t="s">
        <v>4062</v>
      </c>
      <c r="C1136" s="1077">
        <v>550</v>
      </c>
      <c r="D1136" s="1077">
        <v>1.714</v>
      </c>
      <c r="E1136" s="1077" t="s">
        <v>15102</v>
      </c>
      <c r="F1136" s="1077" t="s">
        <v>1469</v>
      </c>
      <c r="G1136" s="1077">
        <v>5</v>
      </c>
      <c r="H1136" s="1077" t="s">
        <v>3064</v>
      </c>
      <c r="I1136" s="1077" t="s">
        <v>1167</v>
      </c>
      <c r="J1136" s="1077">
        <v>1.2</v>
      </c>
      <c r="K1136" s="1077" t="s">
        <v>4135</v>
      </c>
      <c r="L1136" s="1077" t="s">
        <v>4080</v>
      </c>
      <c r="M1136" s="1077">
        <v>103.3</v>
      </c>
      <c r="N1136" s="1077" t="s">
        <v>945</v>
      </c>
      <c r="O1136" s="1077">
        <v>2.5825</v>
      </c>
      <c r="P1136" s="1077">
        <v>2.0659999999999998</v>
      </c>
      <c r="Q1136" s="1077">
        <v>4</v>
      </c>
      <c r="R1136" s="1077">
        <v>25</v>
      </c>
      <c r="T1136" s="1077">
        <v>10</v>
      </c>
      <c r="U1136" s="1077">
        <v>5.8</v>
      </c>
      <c r="V1136" s="1077" t="s">
        <v>648</v>
      </c>
      <c r="W1136" s="1077">
        <v>125</v>
      </c>
      <c r="X1136" s="1077">
        <v>80</v>
      </c>
      <c r="Y1136" s="1077">
        <v>1.5</v>
      </c>
      <c r="Z1136" s="1077">
        <v>4</v>
      </c>
      <c r="AA1136" s="1077" t="s">
        <v>1770</v>
      </c>
      <c r="AH1136" s="1077" t="s">
        <v>831</v>
      </c>
      <c r="AM1136" s="1078" t="s">
        <v>11291</v>
      </c>
      <c r="AN1136" s="1078" t="s">
        <v>11292</v>
      </c>
      <c r="AO1136" s="1078">
        <f t="shared" si="142"/>
        <v>550</v>
      </c>
      <c r="AP1136" s="1078">
        <f t="shared" si="143"/>
        <v>1.714</v>
      </c>
      <c r="AQ1136" s="1078" t="str">
        <f t="shared" si="144"/>
        <v>2-6-1S83°</v>
      </c>
      <c r="AR1136" s="1078" t="str">
        <f t="shared" si="145"/>
        <v>30.5</v>
      </c>
      <c r="AS1136" s="1078" t="str">
        <f t="shared" si="146"/>
        <v>148/OFF</v>
      </c>
      <c r="AT1136" s="1078" t="str">
        <f t="shared" si="147"/>
        <v>2-6-1S83°</v>
      </c>
      <c r="AV1136" s="1078" t="str">
        <f t="shared" si="140"/>
        <v>111.1.13</v>
      </c>
      <c r="AW1136" s="1344">
        <f t="shared" si="141"/>
        <v>44574</v>
      </c>
    </row>
    <row r="1137" spans="1:49">
      <c r="A1137" s="1077" t="s">
        <v>4297</v>
      </c>
      <c r="B1137" s="1077" t="s">
        <v>4222</v>
      </c>
      <c r="C1137" s="1077">
        <v>500</v>
      </c>
      <c r="D1137" s="1077">
        <v>1.73</v>
      </c>
      <c r="E1137" s="1077" t="s">
        <v>15108</v>
      </c>
      <c r="F1137" s="1077" t="s">
        <v>954</v>
      </c>
      <c r="G1137" s="1077">
        <v>2</v>
      </c>
      <c r="H1137" s="1077" t="s">
        <v>1155</v>
      </c>
      <c r="I1137" s="1077" t="s">
        <v>126</v>
      </c>
      <c r="J1137" s="1077">
        <v>1.2</v>
      </c>
      <c r="K1137" s="1077" t="s">
        <v>4298</v>
      </c>
      <c r="L1137" s="1077" t="s">
        <v>1425</v>
      </c>
      <c r="M1137" s="1077">
        <v>102</v>
      </c>
      <c r="N1137" s="1077" t="s">
        <v>945</v>
      </c>
      <c r="O1137" s="1077">
        <v>2.5500000000000003</v>
      </c>
      <c r="P1137" s="1077">
        <v>2.04</v>
      </c>
      <c r="Q1137" s="1077">
        <v>4</v>
      </c>
      <c r="R1137" s="1077">
        <v>20.5</v>
      </c>
      <c r="T1137" s="1077">
        <v>27</v>
      </c>
      <c r="U1137" s="1077">
        <v>3.3</v>
      </c>
      <c r="V1137" s="1077" t="s">
        <v>648</v>
      </c>
      <c r="W1137" s="1077">
        <v>130</v>
      </c>
      <c r="X1137" s="1077">
        <v>80</v>
      </c>
      <c r="Y1137" s="1077">
        <v>1</v>
      </c>
      <c r="Z1137" s="1077" t="s">
        <v>648</v>
      </c>
      <c r="AA1137" s="1077" t="s">
        <v>1777</v>
      </c>
      <c r="AH1137" s="1077" t="s">
        <v>1023</v>
      </c>
      <c r="AM1137" s="1078" t="s">
        <v>11293</v>
      </c>
      <c r="AN1137" s="1078" t="s">
        <v>11294</v>
      </c>
      <c r="AO1137" s="1078">
        <f t="shared" si="142"/>
        <v>500</v>
      </c>
      <c r="AP1137" s="1078">
        <f t="shared" si="143"/>
        <v>1.73</v>
      </c>
      <c r="AQ1137" s="1078" t="str">
        <f t="shared" si="144"/>
        <v>1-4-1S83°Z+S</v>
      </c>
      <c r="AR1137" s="1078" t="str">
        <f t="shared" si="145"/>
        <v>31</v>
      </c>
      <c r="AS1137" s="1078" t="str">
        <f t="shared" si="146"/>
        <v>215/215/OFF</v>
      </c>
      <c r="AT1137" s="1078" t="str">
        <f t="shared" si="147"/>
        <v>1-4-1S83°Z+S</v>
      </c>
      <c r="AU1137" s="1078" t="s">
        <v>15547</v>
      </c>
      <c r="AV1137" s="1078" t="str">
        <f t="shared" si="140"/>
        <v>111.1.14</v>
      </c>
      <c r="AW1137" s="1344">
        <f t="shared" si="141"/>
        <v>44575</v>
      </c>
    </row>
    <row r="1138" spans="1:49">
      <c r="A1138" s="1077" t="s">
        <v>4299</v>
      </c>
      <c r="B1138" s="1077" t="s">
        <v>4083</v>
      </c>
      <c r="C1138" s="1077">
        <v>600</v>
      </c>
      <c r="D1138" s="1077">
        <v>1.75</v>
      </c>
      <c r="E1138" s="1077" t="s">
        <v>15102</v>
      </c>
      <c r="F1138" s="1077" t="s">
        <v>1514</v>
      </c>
      <c r="G1138" s="1077" t="s">
        <v>1767</v>
      </c>
      <c r="H1138" s="1077" t="s">
        <v>3349</v>
      </c>
      <c r="I1138" s="1077" t="s">
        <v>1112</v>
      </c>
      <c r="J1138" s="1077">
        <v>2.2000000000000002</v>
      </c>
      <c r="K1138" s="1077" t="s">
        <v>4253</v>
      </c>
      <c r="L1138" s="1077" t="s">
        <v>4085</v>
      </c>
      <c r="M1138" s="1077">
        <v>101.6</v>
      </c>
      <c r="N1138" s="1077" t="s">
        <v>945</v>
      </c>
      <c r="O1138" s="1077">
        <v>2.54</v>
      </c>
      <c r="P1138" s="1077">
        <v>2.032</v>
      </c>
      <c r="Q1138" s="1077">
        <v>4</v>
      </c>
      <c r="R1138" s="1077">
        <v>20.5</v>
      </c>
      <c r="T1138" s="1077">
        <v>26.9</v>
      </c>
      <c r="U1138" s="1077">
        <v>4</v>
      </c>
      <c r="V1138" s="1077" t="s">
        <v>648</v>
      </c>
      <c r="W1138" s="1077">
        <v>125</v>
      </c>
      <c r="X1138" s="1077">
        <v>75</v>
      </c>
      <c r="Y1138" s="1077">
        <v>1.5</v>
      </c>
      <c r="Z1138" s="1077">
        <v>5.5</v>
      </c>
      <c r="AA1138" s="1077" t="s">
        <v>4300</v>
      </c>
      <c r="AH1138" s="1077" t="s">
        <v>4301</v>
      </c>
      <c r="AM1138" s="1078" t="s">
        <v>11295</v>
      </c>
      <c r="AN1138" s="1078" t="s">
        <v>11296</v>
      </c>
      <c r="AO1138" s="1078">
        <f t="shared" si="142"/>
        <v>600</v>
      </c>
      <c r="AP1138" s="1078">
        <f t="shared" si="143"/>
        <v>1.75</v>
      </c>
      <c r="AQ1138" s="1078" t="str">
        <f t="shared" si="144"/>
        <v>2-6-1S83°</v>
      </c>
      <c r="AR1138" s="1078" t="str">
        <f t="shared" si="145"/>
        <v>32</v>
      </c>
      <c r="AS1138" s="1078" t="str">
        <f t="shared" si="146"/>
        <v>164/OFF</v>
      </c>
      <c r="AT1138" s="1078" t="str">
        <f t="shared" si="147"/>
        <v>2-6-1S83°</v>
      </c>
      <c r="AV1138" s="1078" t="str">
        <f t="shared" si="140"/>
        <v>111.2.6</v>
      </c>
      <c r="AW1138" s="1344">
        <f t="shared" si="141"/>
        <v>44598</v>
      </c>
    </row>
    <row r="1139" spans="1:49">
      <c r="A1139" s="1077" t="s">
        <v>4302</v>
      </c>
      <c r="B1139" s="1077" t="s">
        <v>4083</v>
      </c>
      <c r="C1139" s="1077">
        <v>600</v>
      </c>
      <c r="D1139" s="1077">
        <v>1.75</v>
      </c>
      <c r="E1139" s="1077" t="s">
        <v>15102</v>
      </c>
      <c r="F1139" s="1077" t="s">
        <v>648</v>
      </c>
      <c r="G1139" s="1077" t="s">
        <v>1767</v>
      </c>
      <c r="H1139" s="1077" t="s">
        <v>2382</v>
      </c>
      <c r="I1139" s="1077" t="s">
        <v>1167</v>
      </c>
      <c r="J1139" s="1077">
        <v>0.4</v>
      </c>
      <c r="K1139" s="1077" t="s">
        <v>4253</v>
      </c>
      <c r="L1139" s="1077" t="s">
        <v>4085</v>
      </c>
      <c r="M1139" s="1077">
        <v>101</v>
      </c>
      <c r="N1139" s="1077" t="s">
        <v>945</v>
      </c>
      <c r="O1139" s="1077">
        <v>2.5250000000000004</v>
      </c>
      <c r="P1139" s="1077">
        <v>2.02</v>
      </c>
      <c r="Q1139" s="1077">
        <v>4</v>
      </c>
      <c r="R1139" s="1077">
        <v>21</v>
      </c>
      <c r="T1139" s="1077">
        <v>33.5</v>
      </c>
      <c r="U1139" s="1077">
        <v>4.3</v>
      </c>
      <c r="V1139" s="1077" t="s">
        <v>648</v>
      </c>
      <c r="W1139" s="1077">
        <v>30</v>
      </c>
      <c r="X1139" s="1077">
        <v>10</v>
      </c>
      <c r="Y1139" s="1077">
        <v>1.8</v>
      </c>
      <c r="Z1139" s="1077">
        <v>6</v>
      </c>
      <c r="AA1139" s="1077" t="s">
        <v>4303</v>
      </c>
      <c r="AH1139" s="1077" t="s">
        <v>4304</v>
      </c>
      <c r="AM1139" s="1078" t="s">
        <v>11297</v>
      </c>
      <c r="AN1139" s="1078" t="s">
        <v>11298</v>
      </c>
      <c r="AO1139" s="1078">
        <f t="shared" si="142"/>
        <v>600</v>
      </c>
      <c r="AP1139" s="1078">
        <f t="shared" si="143"/>
        <v>1.75</v>
      </c>
      <c r="AQ1139" s="1078" t="str">
        <f t="shared" si="144"/>
        <v>2-6-1S83°</v>
      </c>
      <c r="AR1139" s="1078" t="str">
        <f t="shared" si="145"/>
        <v>NA</v>
      </c>
      <c r="AS1139" s="1078" t="str">
        <f t="shared" si="146"/>
        <v>161/OFF</v>
      </c>
      <c r="AT1139" s="1078" t="str">
        <f t="shared" si="147"/>
        <v>2-6-1S83°</v>
      </c>
      <c r="AV1139" s="1078" t="str">
        <f t="shared" si="140"/>
        <v>111.1.28</v>
      </c>
      <c r="AW1139" s="1344">
        <f t="shared" si="141"/>
        <v>44589</v>
      </c>
    </row>
    <row r="1140" spans="1:49">
      <c r="A1140" s="1077" t="s">
        <v>4305</v>
      </c>
      <c r="B1140" s="1077" t="s">
        <v>4149</v>
      </c>
      <c r="C1140" s="1077">
        <v>650</v>
      </c>
      <c r="D1140" s="1077">
        <v>1.86</v>
      </c>
      <c r="E1140" s="1077" t="s">
        <v>15095</v>
      </c>
      <c r="F1140" s="1077" t="s">
        <v>984</v>
      </c>
      <c r="G1140" s="1077">
        <v>4</v>
      </c>
      <c r="H1140" s="1077" t="s">
        <v>4306</v>
      </c>
      <c r="I1140" s="1077" t="s">
        <v>460</v>
      </c>
      <c r="J1140" s="1077">
        <v>1.8</v>
      </c>
      <c r="K1140" s="1077" t="s">
        <v>4307</v>
      </c>
      <c r="L1140" s="1077" t="s">
        <v>4212</v>
      </c>
      <c r="M1140" s="1077">
        <v>98</v>
      </c>
      <c r="N1140" s="1077" t="s">
        <v>945</v>
      </c>
      <c r="O1140" s="1077">
        <v>2.4500000000000002</v>
      </c>
      <c r="P1140" s="1077">
        <v>1.96</v>
      </c>
      <c r="Q1140" s="1077">
        <v>3</v>
      </c>
      <c r="R1140" s="1077">
        <v>27.3</v>
      </c>
      <c r="T1140" s="1077">
        <v>11.6</v>
      </c>
      <c r="U1140" s="1077">
        <v>4.0999999999999996</v>
      </c>
      <c r="V1140" s="1077" t="s">
        <v>648</v>
      </c>
      <c r="W1140" s="1077">
        <v>100</v>
      </c>
      <c r="X1140" s="1077">
        <v>85</v>
      </c>
      <c r="Y1140" s="1077">
        <v>1.5</v>
      </c>
      <c r="Z1140" s="1077">
        <v>3</v>
      </c>
      <c r="AA1140" s="1077" t="s">
        <v>1916</v>
      </c>
      <c r="AH1140" s="1077" t="s">
        <v>990</v>
      </c>
      <c r="AM1140" s="1078" t="s">
        <v>11299</v>
      </c>
      <c r="AN1140" s="1078" t="s">
        <v>11300</v>
      </c>
      <c r="AO1140" s="1078">
        <f t="shared" si="142"/>
        <v>650</v>
      </c>
      <c r="AP1140" s="1078">
        <f t="shared" si="143"/>
        <v>1.86</v>
      </c>
      <c r="AQ1140" s="1078" t="str">
        <f t="shared" si="144"/>
        <v>1-5-1S83°</v>
      </c>
      <c r="AR1140" s="1078" t="str">
        <f t="shared" si="145"/>
        <v>30</v>
      </c>
      <c r="AS1140" s="1078" t="str">
        <f t="shared" si="146"/>
        <v>260/260/150</v>
      </c>
      <c r="AT1140" s="1078" t="str">
        <f t="shared" si="147"/>
        <v>1-5-1S83°</v>
      </c>
      <c r="AV1140" s="1078" t="str">
        <f t="shared" si="140"/>
        <v>111.2.17</v>
      </c>
      <c r="AW1140" s="1344">
        <f t="shared" si="141"/>
        <v>44609</v>
      </c>
    </row>
    <row r="1141" spans="1:49">
      <c r="A1141" s="1077" t="s">
        <v>4308</v>
      </c>
      <c r="B1141" s="1077" t="s">
        <v>4083</v>
      </c>
      <c r="C1141" s="1077">
        <v>600</v>
      </c>
      <c r="D1141" s="1077">
        <v>1.75</v>
      </c>
      <c r="E1141" s="1077" t="s">
        <v>15102</v>
      </c>
      <c r="F1141" s="1077" t="s">
        <v>1514</v>
      </c>
      <c r="G1141" s="1077" t="s">
        <v>1767</v>
      </c>
      <c r="H1141" s="1077" t="s">
        <v>1470</v>
      </c>
      <c r="I1141" s="1077" t="s">
        <v>1112</v>
      </c>
      <c r="J1141" s="1077">
        <v>2.2000000000000002</v>
      </c>
      <c r="K1141" s="1077" t="s">
        <v>4172</v>
      </c>
      <c r="L1141" s="1077" t="s">
        <v>4085</v>
      </c>
      <c r="M1141" s="1077">
        <v>101.6</v>
      </c>
      <c r="N1141" s="1077" t="s">
        <v>945</v>
      </c>
      <c r="O1141" s="1077">
        <v>2.54</v>
      </c>
      <c r="P1141" s="1077">
        <v>2.032</v>
      </c>
      <c r="Q1141" s="1077">
        <v>4</v>
      </c>
      <c r="R1141" s="1077">
        <v>20.5</v>
      </c>
      <c r="T1141" s="1077">
        <v>26.9</v>
      </c>
      <c r="U1141" s="1077">
        <v>4</v>
      </c>
      <c r="V1141" s="1077" t="s">
        <v>648</v>
      </c>
      <c r="W1141" s="1077">
        <v>125</v>
      </c>
      <c r="X1141" s="1077">
        <v>75</v>
      </c>
      <c r="Y1141" s="1077">
        <v>1.5</v>
      </c>
      <c r="Z1141" s="1077">
        <v>5.5</v>
      </c>
      <c r="AA1141" s="1077" t="s">
        <v>4309</v>
      </c>
      <c r="AH1141" s="1077" t="s">
        <v>4310</v>
      </c>
      <c r="AM1141" s="1078" t="s">
        <v>11301</v>
      </c>
      <c r="AN1141" s="1078" t="s">
        <v>11302</v>
      </c>
      <c r="AO1141" s="1078">
        <f t="shared" si="142"/>
        <v>600</v>
      </c>
      <c r="AP1141" s="1078">
        <f t="shared" si="143"/>
        <v>1.75</v>
      </c>
      <c r="AQ1141" s="1078" t="str">
        <f t="shared" si="144"/>
        <v>2-6-1S83°</v>
      </c>
      <c r="AR1141" s="1078" t="str">
        <f t="shared" si="145"/>
        <v>32</v>
      </c>
      <c r="AS1141" s="1078" t="str">
        <f t="shared" si="146"/>
        <v>160/OFF</v>
      </c>
      <c r="AT1141" s="1078" t="str">
        <f t="shared" si="147"/>
        <v>2-6-1S83°</v>
      </c>
      <c r="AV1141" s="1078" t="str">
        <f t="shared" si="140"/>
        <v>111.2.21</v>
      </c>
      <c r="AW1141" s="1344">
        <f t="shared" si="141"/>
        <v>44613</v>
      </c>
    </row>
    <row r="1142" spans="1:49">
      <c r="A1142" s="1077" t="s">
        <v>4311</v>
      </c>
      <c r="B1142" s="1077" t="s">
        <v>4113</v>
      </c>
      <c r="C1142" s="1077">
        <v>550</v>
      </c>
      <c r="D1142" s="1077">
        <v>1.6719999999999999</v>
      </c>
      <c r="E1142" s="1077" t="s">
        <v>15102</v>
      </c>
      <c r="F1142" s="1077" t="s">
        <v>1469</v>
      </c>
      <c r="G1142" s="1077">
        <v>5</v>
      </c>
      <c r="H1142" s="1077" t="s">
        <v>2833</v>
      </c>
      <c r="I1142" s="1077" t="s">
        <v>1112</v>
      </c>
      <c r="J1142" s="1077">
        <v>1.1000000000000001</v>
      </c>
      <c r="K1142" s="1077" t="s">
        <v>4285</v>
      </c>
      <c r="L1142" s="1077" t="s">
        <v>4147</v>
      </c>
      <c r="M1142" s="1077">
        <v>103.3</v>
      </c>
      <c r="N1142" s="1077" t="s">
        <v>945</v>
      </c>
      <c r="O1142" s="1077">
        <v>2.5825</v>
      </c>
      <c r="P1142" s="1077">
        <v>2.0659999999999998</v>
      </c>
      <c r="Q1142" s="1077">
        <v>4</v>
      </c>
      <c r="R1142" s="1077">
        <v>25</v>
      </c>
      <c r="T1142" s="1077">
        <v>10</v>
      </c>
      <c r="U1142" s="1077">
        <v>5.8</v>
      </c>
      <c r="V1142" s="1077" t="s">
        <v>648</v>
      </c>
      <c r="W1142" s="1077">
        <v>125</v>
      </c>
      <c r="X1142" s="1077">
        <v>80</v>
      </c>
      <c r="Y1142" s="1077">
        <v>1.5</v>
      </c>
      <c r="Z1142" s="1077">
        <v>4</v>
      </c>
      <c r="AA1142" s="1077" t="s">
        <v>4312</v>
      </c>
      <c r="AH1142" s="1077" t="s">
        <v>948</v>
      </c>
      <c r="AM1142" s="1078" t="s">
        <v>11303</v>
      </c>
      <c r="AN1142" s="1078" t="s">
        <v>11304</v>
      </c>
      <c r="AO1142" s="1078">
        <f t="shared" si="142"/>
        <v>550</v>
      </c>
      <c r="AP1142" s="1078">
        <f t="shared" si="143"/>
        <v>1.6719999999999999</v>
      </c>
      <c r="AQ1142" s="1078" t="str">
        <f t="shared" si="144"/>
        <v>2-6-1S83°</v>
      </c>
      <c r="AR1142" s="1078" t="str">
        <f t="shared" si="145"/>
        <v>30.5</v>
      </c>
      <c r="AS1142" s="1078" t="str">
        <f t="shared" si="146"/>
        <v>150/OFF</v>
      </c>
      <c r="AT1142" s="1078" t="str">
        <f t="shared" si="147"/>
        <v>2-6-1S83°</v>
      </c>
      <c r="AV1142" s="1078" t="str">
        <f t="shared" si="140"/>
        <v>111.3.3</v>
      </c>
      <c r="AW1142" s="1344">
        <f t="shared" si="141"/>
        <v>44623</v>
      </c>
    </row>
    <row r="1143" spans="1:49">
      <c r="A1143" s="1077" t="s">
        <v>4313</v>
      </c>
      <c r="B1143" s="1077" t="s">
        <v>298</v>
      </c>
      <c r="C1143" s="1077">
        <v>600</v>
      </c>
      <c r="D1143" s="1077">
        <v>1.75</v>
      </c>
      <c r="E1143" s="1077" t="s">
        <v>15102</v>
      </c>
      <c r="F1143" s="1077" t="s">
        <v>1454</v>
      </c>
      <c r="G1143" s="1077" t="s">
        <v>1767</v>
      </c>
      <c r="H1143" s="1077" t="s">
        <v>4314</v>
      </c>
      <c r="I1143" s="1077" t="s">
        <v>1112</v>
      </c>
      <c r="J1143" s="1077">
        <v>1.7</v>
      </c>
      <c r="K1143" s="1077" t="s">
        <v>4315</v>
      </c>
      <c r="L1143" s="1077" t="s">
        <v>4029</v>
      </c>
      <c r="M1143" s="1077">
        <v>103.2</v>
      </c>
      <c r="N1143" s="1077" t="s">
        <v>945</v>
      </c>
      <c r="O1143" s="1077">
        <v>2.58</v>
      </c>
      <c r="P1143" s="1077">
        <v>2.0640000000000001</v>
      </c>
      <c r="Q1143" s="1077">
        <v>4</v>
      </c>
      <c r="R1143" s="1077">
        <v>19.5</v>
      </c>
      <c r="T1143" s="1077">
        <v>27.3</v>
      </c>
      <c r="U1143" s="1077">
        <v>4</v>
      </c>
      <c r="V1143" s="1077" t="s">
        <v>648</v>
      </c>
      <c r="W1143" s="1077">
        <v>120</v>
      </c>
      <c r="X1143" s="1077">
        <v>60</v>
      </c>
      <c r="Y1143" s="1077">
        <v>1.7</v>
      </c>
      <c r="Z1143" s="1077">
        <v>6</v>
      </c>
      <c r="AA1143" s="1077" t="s">
        <v>4316</v>
      </c>
      <c r="AB1143" s="1077" t="s">
        <v>981</v>
      </c>
      <c r="AH1143" s="1077" t="s">
        <v>726</v>
      </c>
      <c r="AM1143" s="1078" t="s">
        <v>11305</v>
      </c>
      <c r="AN1143" s="1078" t="s">
        <v>11306</v>
      </c>
      <c r="AO1143" s="1078">
        <f t="shared" si="142"/>
        <v>600</v>
      </c>
      <c r="AP1143" s="1078">
        <f t="shared" si="143"/>
        <v>1.75</v>
      </c>
      <c r="AQ1143" s="1078" t="str">
        <f t="shared" si="144"/>
        <v>2-6-1S83°</v>
      </c>
      <c r="AR1143" s="1078" t="str">
        <f t="shared" si="145"/>
        <v>32.2</v>
      </c>
      <c r="AS1143" s="1078" t="str">
        <f t="shared" si="146"/>
        <v>159/OFF</v>
      </c>
      <c r="AT1143" s="1078" t="str">
        <f t="shared" si="147"/>
        <v>2-6-1S83°</v>
      </c>
      <c r="AV1143" s="1078" t="str">
        <f t="shared" si="140"/>
        <v>111.3.11</v>
      </c>
      <c r="AW1143" s="1344">
        <f t="shared" si="141"/>
        <v>44631</v>
      </c>
    </row>
    <row r="1144" spans="1:49">
      <c r="A1144" s="1077" t="s">
        <v>4317</v>
      </c>
      <c r="B1144" s="1077" t="s">
        <v>4062</v>
      </c>
      <c r="C1144" s="1077">
        <v>550</v>
      </c>
      <c r="D1144" s="1077">
        <v>1.72</v>
      </c>
      <c r="E1144" s="1077" t="s">
        <v>15095</v>
      </c>
      <c r="F1144" s="1077" t="s">
        <v>2234</v>
      </c>
      <c r="G1144" s="1077">
        <v>5</v>
      </c>
      <c r="H1144" s="1077" t="s">
        <v>2295</v>
      </c>
      <c r="I1144" s="1077" t="s">
        <v>126</v>
      </c>
      <c r="J1144" s="1077">
        <v>1.1000000000000001</v>
      </c>
      <c r="K1144" s="1077" t="s">
        <v>4135</v>
      </c>
      <c r="L1144" s="1077" t="s">
        <v>4080</v>
      </c>
      <c r="M1144" s="1077">
        <v>103.3</v>
      </c>
      <c r="N1144" s="1077" t="s">
        <v>945</v>
      </c>
      <c r="O1144" s="1077">
        <v>2.5825</v>
      </c>
      <c r="P1144" s="1077">
        <v>2.0659999999999998</v>
      </c>
      <c r="Q1144" s="1077">
        <v>4</v>
      </c>
      <c r="R1144" s="1077">
        <v>25</v>
      </c>
      <c r="T1144" s="1077">
        <v>10</v>
      </c>
      <c r="U1144" s="1077">
        <v>5.8</v>
      </c>
      <c r="V1144" s="1077" t="s">
        <v>648</v>
      </c>
      <c r="W1144" s="1077">
        <v>125</v>
      </c>
      <c r="X1144" s="1077">
        <v>80</v>
      </c>
      <c r="Y1144" s="1077">
        <v>1.5</v>
      </c>
      <c r="Z1144" s="1077">
        <v>4</v>
      </c>
      <c r="AA1144" s="1077" t="s">
        <v>4318</v>
      </c>
      <c r="AH1144" s="1077" t="s">
        <v>680</v>
      </c>
      <c r="AM1144" s="1078" t="s">
        <v>11307</v>
      </c>
      <c r="AN1144" s="1078" t="s">
        <v>11308</v>
      </c>
      <c r="AO1144" s="1078">
        <f t="shared" si="142"/>
        <v>550</v>
      </c>
      <c r="AP1144" s="1078">
        <f t="shared" si="143"/>
        <v>1.72</v>
      </c>
      <c r="AQ1144" s="1078" t="str">
        <f t="shared" si="144"/>
        <v>1-5-1S83°</v>
      </c>
      <c r="AR1144" s="1078" t="str">
        <f t="shared" si="145"/>
        <v>33.5</v>
      </c>
      <c r="AS1144" s="1078" t="str">
        <f t="shared" si="146"/>
        <v>205/205/OFF</v>
      </c>
      <c r="AT1144" s="1078" t="str">
        <f t="shared" si="147"/>
        <v>1-5-1S83°</v>
      </c>
      <c r="AV1144" s="1078" t="str">
        <f t="shared" si="140"/>
        <v>111.3.18</v>
      </c>
      <c r="AW1144" s="1344">
        <f t="shared" si="141"/>
        <v>44638</v>
      </c>
    </row>
    <row r="1145" spans="1:49">
      <c r="A1145" s="1077" t="s">
        <v>4319</v>
      </c>
      <c r="B1145" s="1077" t="s">
        <v>298</v>
      </c>
      <c r="C1145" s="1077">
        <v>600</v>
      </c>
      <c r="D1145" s="1077">
        <v>1.74</v>
      </c>
      <c r="E1145" s="1077" t="s">
        <v>15102</v>
      </c>
      <c r="F1145" s="1077" t="s">
        <v>1514</v>
      </c>
      <c r="G1145" s="1077" t="s">
        <v>1767</v>
      </c>
      <c r="H1145" s="1077" t="s">
        <v>4163</v>
      </c>
      <c r="I1145" s="1077" t="s">
        <v>648</v>
      </c>
      <c r="J1145" s="1077">
        <v>0</v>
      </c>
      <c r="K1145" s="1077" t="s">
        <v>4320</v>
      </c>
      <c r="L1145" s="1077" t="s">
        <v>4029</v>
      </c>
      <c r="M1145" s="1077">
        <v>103</v>
      </c>
      <c r="N1145" s="1077" t="s">
        <v>945</v>
      </c>
      <c r="O1145" s="1077">
        <v>2.5750000000000002</v>
      </c>
      <c r="P1145" s="1077">
        <v>2.06</v>
      </c>
      <c r="Q1145" s="1077">
        <v>4</v>
      </c>
      <c r="R1145" s="1077">
        <v>23.5</v>
      </c>
      <c r="T1145" s="1077">
        <v>18.5</v>
      </c>
      <c r="U1145" s="1077">
        <v>2.1</v>
      </c>
      <c r="V1145" s="1077" t="s">
        <v>648</v>
      </c>
      <c r="W1145" s="1077" t="s">
        <v>648</v>
      </c>
      <c r="X1145" s="1077" t="s">
        <v>648</v>
      </c>
      <c r="Y1145" s="1077">
        <v>1.3</v>
      </c>
      <c r="Z1145" s="1077">
        <v>4</v>
      </c>
      <c r="AA1145" s="1077" t="s">
        <v>4318</v>
      </c>
      <c r="AH1145" s="1077" t="s">
        <v>831</v>
      </c>
      <c r="AM1145" s="1078" t="s">
        <v>11309</v>
      </c>
      <c r="AN1145" s="1078" t="s">
        <v>11310</v>
      </c>
      <c r="AO1145" s="1078">
        <f t="shared" si="142"/>
        <v>600</v>
      </c>
      <c r="AP1145" s="1078">
        <f t="shared" si="143"/>
        <v>1.74</v>
      </c>
      <c r="AQ1145" s="1078" t="str">
        <f t="shared" si="144"/>
        <v>2-6-1S83°</v>
      </c>
      <c r="AR1145" s="1078" t="str">
        <f t="shared" si="145"/>
        <v>32</v>
      </c>
      <c r="AS1145" s="1078" t="str">
        <f t="shared" si="146"/>
        <v>178/175</v>
      </c>
      <c r="AT1145" s="1078" t="str">
        <f t="shared" si="147"/>
        <v>2-6-1S83°</v>
      </c>
      <c r="AV1145" s="1078" t="str">
        <f t="shared" si="140"/>
        <v>111.3.18</v>
      </c>
      <c r="AW1145" s="1344">
        <f t="shared" si="141"/>
        <v>44638</v>
      </c>
    </row>
    <row r="1146" spans="1:49">
      <c r="A1146" s="1077" t="s">
        <v>4321</v>
      </c>
      <c r="B1146" s="1077" t="s">
        <v>298</v>
      </c>
      <c r="C1146" s="1077">
        <v>600</v>
      </c>
      <c r="D1146" s="1077">
        <v>1.75</v>
      </c>
      <c r="E1146" s="1077" t="s">
        <v>15102</v>
      </c>
      <c r="F1146" s="1077" t="s">
        <v>975</v>
      </c>
      <c r="G1146" s="1077" t="s">
        <v>1767</v>
      </c>
      <c r="H1146" s="1077" t="s">
        <v>1624</v>
      </c>
      <c r="I1146" s="1077" t="s">
        <v>1112</v>
      </c>
      <c r="J1146" s="1077">
        <v>1.7</v>
      </c>
      <c r="K1146" s="1077" t="s">
        <v>4322</v>
      </c>
      <c r="L1146" s="1077" t="s">
        <v>4029</v>
      </c>
      <c r="M1146" s="1077">
        <v>103.2</v>
      </c>
      <c r="N1146" s="1077" t="s">
        <v>945</v>
      </c>
      <c r="O1146" s="1077">
        <v>2.58</v>
      </c>
      <c r="P1146" s="1077">
        <v>2.0640000000000001</v>
      </c>
      <c r="Q1146" s="1077">
        <v>4</v>
      </c>
      <c r="R1146" s="1077">
        <v>19.5</v>
      </c>
      <c r="T1146" s="1077">
        <v>27.3</v>
      </c>
      <c r="U1146" s="1077">
        <v>4</v>
      </c>
      <c r="V1146" s="1077" t="s">
        <v>648</v>
      </c>
      <c r="W1146" s="1077">
        <v>120</v>
      </c>
      <c r="X1146" s="1077">
        <v>60</v>
      </c>
      <c r="Y1146" s="1077">
        <v>1.7</v>
      </c>
      <c r="Z1146" s="1077">
        <v>6</v>
      </c>
      <c r="AA1146" s="1077" t="s">
        <v>2111</v>
      </c>
      <c r="AB1146" s="1077" t="s">
        <v>981</v>
      </c>
      <c r="AH1146" s="1077" t="s">
        <v>4323</v>
      </c>
      <c r="AM1146" s="1078" t="s">
        <v>11311</v>
      </c>
      <c r="AN1146" s="1078" t="s">
        <v>11312</v>
      </c>
      <c r="AO1146" s="1078">
        <f t="shared" si="142"/>
        <v>600</v>
      </c>
      <c r="AP1146" s="1078">
        <f t="shared" si="143"/>
        <v>1.75</v>
      </c>
      <c r="AQ1146" s="1078" t="str">
        <f t="shared" si="144"/>
        <v>2-6-1S83°</v>
      </c>
      <c r="AR1146" s="1078" t="str">
        <f t="shared" si="145"/>
        <v>31.5</v>
      </c>
      <c r="AS1146" s="1078" t="str">
        <f t="shared" si="146"/>
        <v>155/OFF</v>
      </c>
      <c r="AT1146" s="1078" t="str">
        <f t="shared" si="147"/>
        <v>2-6-1S83°</v>
      </c>
      <c r="AV1146" s="1078" t="str">
        <f t="shared" si="140"/>
        <v>111.4.19</v>
      </c>
      <c r="AW1146" s="1344">
        <f t="shared" si="141"/>
        <v>44670</v>
      </c>
    </row>
    <row r="1147" spans="1:49">
      <c r="A1147" s="1077" t="s">
        <v>4324</v>
      </c>
      <c r="B1147" s="1077" t="s">
        <v>298</v>
      </c>
      <c r="C1147" s="1077">
        <v>600</v>
      </c>
      <c r="D1147" s="1077">
        <v>1.75</v>
      </c>
      <c r="E1147" s="1077" t="s">
        <v>15102</v>
      </c>
      <c r="F1147" s="1077" t="s">
        <v>4236</v>
      </c>
      <c r="G1147" s="1077" t="s">
        <v>1767</v>
      </c>
      <c r="H1147" s="1077" t="s">
        <v>4163</v>
      </c>
      <c r="I1147" s="1077" t="s">
        <v>648</v>
      </c>
      <c r="J1147" s="1077">
        <v>0</v>
      </c>
      <c r="K1147" s="1077" t="s">
        <v>4320</v>
      </c>
      <c r="L1147" s="1077" t="s">
        <v>4029</v>
      </c>
      <c r="M1147" s="1077">
        <v>103</v>
      </c>
      <c r="N1147" s="1077" t="s">
        <v>945</v>
      </c>
      <c r="O1147" s="1077">
        <v>2.5750000000000002</v>
      </c>
      <c r="P1147" s="1077">
        <v>2.06</v>
      </c>
      <c r="Q1147" s="1077">
        <v>4</v>
      </c>
      <c r="R1147" s="1077">
        <v>23.5</v>
      </c>
      <c r="T1147" s="1077">
        <v>18.5</v>
      </c>
      <c r="U1147" s="1077">
        <v>2.1</v>
      </c>
      <c r="V1147" s="1077" t="s">
        <v>648</v>
      </c>
      <c r="W1147" s="1077" t="s">
        <v>648</v>
      </c>
      <c r="X1147" s="1077" t="s">
        <v>648</v>
      </c>
      <c r="Y1147" s="1077">
        <v>1.3</v>
      </c>
      <c r="Z1147" s="1077">
        <v>4</v>
      </c>
      <c r="AA1147" s="1077" t="s">
        <v>2188</v>
      </c>
      <c r="AH1147" s="1077" t="s">
        <v>4325</v>
      </c>
      <c r="AM1147" s="1078" t="s">
        <v>11313</v>
      </c>
      <c r="AN1147" s="1078" t="s">
        <v>11314</v>
      </c>
      <c r="AO1147" s="1078">
        <f t="shared" si="142"/>
        <v>600</v>
      </c>
      <c r="AP1147" s="1078">
        <f t="shared" si="143"/>
        <v>1.75</v>
      </c>
      <c r="AQ1147" s="1078" t="str">
        <f t="shared" si="144"/>
        <v>2-6-1S83°</v>
      </c>
      <c r="AR1147" s="1078" t="str">
        <f t="shared" si="145"/>
        <v>34</v>
      </c>
      <c r="AS1147" s="1078" t="str">
        <f t="shared" si="146"/>
        <v>178/175</v>
      </c>
      <c r="AT1147" s="1078" t="str">
        <f t="shared" si="147"/>
        <v>2-6-1S83°</v>
      </c>
      <c r="AV1147" s="1078" t="str">
        <f t="shared" si="140"/>
        <v>111.5.6</v>
      </c>
      <c r="AW1147" s="1344">
        <f t="shared" si="141"/>
        <v>44687</v>
      </c>
    </row>
    <row r="1148" spans="1:49">
      <c r="A1148" s="1077" t="s">
        <v>4326</v>
      </c>
      <c r="B1148" s="1077" t="s">
        <v>4052</v>
      </c>
      <c r="C1148" s="1077">
        <v>650</v>
      </c>
      <c r="D1148" s="1077">
        <v>1.76</v>
      </c>
      <c r="E1148" s="1077" t="s">
        <v>15104</v>
      </c>
      <c r="F1148" s="1077" t="s">
        <v>648</v>
      </c>
      <c r="G1148" s="1077">
        <v>4</v>
      </c>
      <c r="H1148" s="1077" t="s">
        <v>2326</v>
      </c>
      <c r="I1148" s="1077" t="s">
        <v>126</v>
      </c>
      <c r="J1148" s="1077">
        <v>1.1000000000000001</v>
      </c>
      <c r="K1148" s="1077" t="s">
        <v>4327</v>
      </c>
      <c r="L1148" s="1077" t="s">
        <v>987</v>
      </c>
      <c r="M1148" s="1077">
        <v>99</v>
      </c>
      <c r="N1148" s="1077" t="s">
        <v>945</v>
      </c>
      <c r="O1148" s="1077">
        <v>2.4750000000000001</v>
      </c>
      <c r="P1148" s="1077">
        <v>1.98</v>
      </c>
      <c r="Q1148" s="1077">
        <v>4.2</v>
      </c>
      <c r="R1148" s="1077">
        <v>23</v>
      </c>
      <c r="T1148" s="1077">
        <v>16</v>
      </c>
      <c r="U1148" s="1077">
        <v>3.6</v>
      </c>
      <c r="V1148" s="1077" t="s">
        <v>648</v>
      </c>
      <c r="W1148" s="1077">
        <v>120</v>
      </c>
      <c r="X1148" s="1077">
        <v>87</v>
      </c>
      <c r="Y1148" s="1077">
        <v>2.5</v>
      </c>
      <c r="Z1148" s="1077" t="s">
        <v>648</v>
      </c>
      <c r="AA1148" s="1077" t="s">
        <v>2124</v>
      </c>
      <c r="AH1148" s="1077" t="s">
        <v>1178</v>
      </c>
      <c r="AM1148" s="1078" t="s">
        <v>11315</v>
      </c>
      <c r="AN1148" s="1078" t="s">
        <v>11316</v>
      </c>
      <c r="AO1148" s="1078">
        <f t="shared" si="142"/>
        <v>650</v>
      </c>
      <c r="AP1148" s="1078">
        <f t="shared" si="143"/>
        <v>1.76</v>
      </c>
      <c r="AQ1148" s="1078" t="str">
        <f t="shared" si="144"/>
        <v>1-4-1S85°Z+S</v>
      </c>
      <c r="AR1148" s="1078" t="str">
        <f t="shared" si="145"/>
        <v>NA</v>
      </c>
      <c r="AS1148" s="1078" t="str">
        <f t="shared" si="146"/>
        <v>173/OFF</v>
      </c>
      <c r="AT1148" s="1078" t="str">
        <f t="shared" si="147"/>
        <v>1-4-1S85°Z+S</v>
      </c>
      <c r="AU1148" s="1078" t="s">
        <v>15547</v>
      </c>
      <c r="AV1148" s="1078" t="str">
        <f t="shared" si="140"/>
        <v>111.4.29</v>
      </c>
      <c r="AW1148" s="1344">
        <f t="shared" si="141"/>
        <v>44680</v>
      </c>
    </row>
    <row r="1149" spans="1:49">
      <c r="A1149" s="1077" t="s">
        <v>4328</v>
      </c>
      <c r="B1149" s="1077" t="s">
        <v>4113</v>
      </c>
      <c r="C1149" s="1077">
        <v>550</v>
      </c>
      <c r="D1149" s="1077">
        <v>1.65</v>
      </c>
      <c r="E1149" s="1077" t="s">
        <v>15095</v>
      </c>
      <c r="F1149" s="1077" t="s">
        <v>1897</v>
      </c>
      <c r="G1149" s="1077">
        <v>5</v>
      </c>
      <c r="H1149" s="1077" t="s">
        <v>2295</v>
      </c>
      <c r="I1149" s="1077" t="s">
        <v>126</v>
      </c>
      <c r="J1149" s="1077">
        <v>1.1000000000000001</v>
      </c>
      <c r="K1149" s="1077" t="s">
        <v>4207</v>
      </c>
      <c r="L1149" s="1077" t="s">
        <v>4147</v>
      </c>
      <c r="M1149" s="1077">
        <v>103.3</v>
      </c>
      <c r="N1149" s="1077" t="s">
        <v>945</v>
      </c>
      <c r="O1149" s="1077">
        <v>2.5825</v>
      </c>
      <c r="P1149" s="1077">
        <v>2.0659999999999998</v>
      </c>
      <c r="Q1149" s="1077">
        <v>4</v>
      </c>
      <c r="R1149" s="1077">
        <v>25</v>
      </c>
      <c r="T1149" s="1077">
        <v>10</v>
      </c>
      <c r="U1149" s="1077">
        <v>5.8</v>
      </c>
      <c r="V1149" s="1077" t="s">
        <v>648</v>
      </c>
      <c r="W1149" s="1077">
        <v>125</v>
      </c>
      <c r="X1149" s="1077">
        <v>80</v>
      </c>
      <c r="Y1149" s="1077">
        <v>1.5</v>
      </c>
      <c r="Z1149" s="1077">
        <v>4</v>
      </c>
      <c r="AA1149" s="1077" t="s">
        <v>2310</v>
      </c>
      <c r="AH1149" s="1077" t="s">
        <v>1238</v>
      </c>
      <c r="AM1149" s="1078" t="s">
        <v>11317</v>
      </c>
      <c r="AN1149" s="1078" t="s">
        <v>11318</v>
      </c>
      <c r="AO1149" s="1078">
        <f t="shared" si="142"/>
        <v>550</v>
      </c>
      <c r="AP1149" s="1078">
        <f t="shared" si="143"/>
        <v>1.65</v>
      </c>
      <c r="AQ1149" s="1078" t="str">
        <f t="shared" si="144"/>
        <v>1-5-1S83°</v>
      </c>
      <c r="AR1149" s="1078" t="str">
        <f t="shared" si="145"/>
        <v>30.8</v>
      </c>
      <c r="AS1149" s="1078" t="str">
        <f t="shared" si="146"/>
        <v>205/205/OFF</v>
      </c>
      <c r="AT1149" s="1078" t="str">
        <f t="shared" si="147"/>
        <v>1-5-1S83°</v>
      </c>
      <c r="AV1149" s="1078" t="str">
        <f t="shared" si="140"/>
        <v>111.7.11</v>
      </c>
      <c r="AW1149" s="1344">
        <f t="shared" si="141"/>
        <v>44753</v>
      </c>
    </row>
    <row r="1150" spans="1:49">
      <c r="A1150" s="1077" t="s">
        <v>4329</v>
      </c>
      <c r="B1150" s="1077" t="s">
        <v>4330</v>
      </c>
      <c r="C1150" s="1077">
        <v>600</v>
      </c>
      <c r="D1150" s="1077">
        <v>1.72</v>
      </c>
      <c r="E1150" s="1077" t="s">
        <v>15104</v>
      </c>
      <c r="F1150" s="1077" t="s">
        <v>648</v>
      </c>
      <c r="G1150" s="1077">
        <v>4</v>
      </c>
      <c r="H1150" s="1077" t="s">
        <v>1470</v>
      </c>
      <c r="I1150" s="1077" t="s">
        <v>126</v>
      </c>
      <c r="J1150" s="1077">
        <v>0.7</v>
      </c>
      <c r="K1150" s="1077" t="s">
        <v>4331</v>
      </c>
      <c r="L1150" s="1077" t="s">
        <v>4332</v>
      </c>
      <c r="M1150" s="1077">
        <v>103.8</v>
      </c>
      <c r="N1150" s="1077" t="s">
        <v>945</v>
      </c>
      <c r="O1150" s="1077">
        <v>2.5950000000000002</v>
      </c>
      <c r="P1150" s="1077">
        <v>2.0760000000000001</v>
      </c>
      <c r="Q1150" s="1077">
        <v>4</v>
      </c>
      <c r="R1150" s="1077">
        <v>22</v>
      </c>
      <c r="T1150" s="1077">
        <v>16</v>
      </c>
      <c r="U1150" s="1077">
        <v>4.5</v>
      </c>
      <c r="V1150" s="1077" t="s">
        <v>648</v>
      </c>
      <c r="W1150" s="1077">
        <v>125</v>
      </c>
      <c r="X1150" s="1077">
        <v>80</v>
      </c>
      <c r="Y1150" s="1077">
        <v>2</v>
      </c>
      <c r="Z1150" s="1077" t="s">
        <v>648</v>
      </c>
      <c r="AA1150" s="1077" t="s">
        <v>4333</v>
      </c>
      <c r="AH1150" s="1077" t="s">
        <v>681</v>
      </c>
      <c r="AM1150" s="1078" t="s">
        <v>11319</v>
      </c>
      <c r="AN1150" s="1078" t="s">
        <v>11320</v>
      </c>
      <c r="AO1150" s="1078">
        <f t="shared" si="142"/>
        <v>600</v>
      </c>
      <c r="AP1150" s="1078">
        <f t="shared" si="143"/>
        <v>1.72</v>
      </c>
      <c r="AQ1150" s="1078" t="str">
        <f t="shared" si="144"/>
        <v>1-4-1S85°Z+S</v>
      </c>
      <c r="AR1150" s="1078" t="str">
        <f t="shared" si="145"/>
        <v>NA</v>
      </c>
      <c r="AS1150" s="1078" t="str">
        <f t="shared" si="146"/>
        <v>160/OFF</v>
      </c>
      <c r="AT1150" s="1078" t="str">
        <f t="shared" si="147"/>
        <v>1-4-1S85°Z+S</v>
      </c>
      <c r="AU1150" s="1078" t="s">
        <v>15547</v>
      </c>
      <c r="AV1150" s="1078" t="str">
        <f t="shared" si="140"/>
        <v>111.6.8</v>
      </c>
      <c r="AW1150" s="1344">
        <f t="shared" si="141"/>
        <v>44720</v>
      </c>
    </row>
    <row r="1151" spans="1:49">
      <c r="A1151" s="1077" t="s">
        <v>4334</v>
      </c>
      <c r="B1151" s="1077" t="s">
        <v>4062</v>
      </c>
      <c r="C1151" s="1077">
        <v>550</v>
      </c>
      <c r="D1151" s="1077">
        <v>1.714</v>
      </c>
      <c r="E1151" s="1077" t="s">
        <v>15102</v>
      </c>
      <c r="F1151" s="1077" t="s">
        <v>1469</v>
      </c>
      <c r="G1151" s="1077">
        <v>5</v>
      </c>
      <c r="H1151" s="1077" t="s">
        <v>2833</v>
      </c>
      <c r="I1151" s="1077" t="s">
        <v>1167</v>
      </c>
      <c r="J1151" s="1077">
        <v>1.1000000000000001</v>
      </c>
      <c r="K1151" s="1077" t="s">
        <v>4335</v>
      </c>
      <c r="L1151" s="1077" t="s">
        <v>4080</v>
      </c>
      <c r="M1151" s="1077">
        <v>103.3</v>
      </c>
      <c r="N1151" s="1077" t="s">
        <v>945</v>
      </c>
      <c r="O1151" s="1077">
        <v>2.5825</v>
      </c>
      <c r="P1151" s="1077">
        <v>2.0659999999999998</v>
      </c>
      <c r="Q1151" s="1077">
        <v>4</v>
      </c>
      <c r="R1151" s="1077">
        <v>25</v>
      </c>
      <c r="T1151" s="1077">
        <v>10</v>
      </c>
      <c r="U1151" s="1077">
        <v>5.8</v>
      </c>
      <c r="V1151" s="1077" t="s">
        <v>648</v>
      </c>
      <c r="W1151" s="1077">
        <v>125</v>
      </c>
      <c r="X1151" s="1077">
        <v>80</v>
      </c>
      <c r="Y1151" s="1077">
        <v>1.5</v>
      </c>
      <c r="Z1151" s="1077">
        <v>4</v>
      </c>
      <c r="AA1151" s="1077" t="s">
        <v>2221</v>
      </c>
      <c r="AH1151" s="1077" t="s">
        <v>812</v>
      </c>
      <c r="AM1151" s="1078" t="s">
        <v>11321</v>
      </c>
      <c r="AN1151" s="1078" t="s">
        <v>11322</v>
      </c>
      <c r="AO1151" s="1078">
        <f t="shared" si="142"/>
        <v>550</v>
      </c>
      <c r="AP1151" s="1078">
        <f t="shared" si="143"/>
        <v>1.714</v>
      </c>
      <c r="AQ1151" s="1078" t="str">
        <f t="shared" si="144"/>
        <v>2-6-1S83°</v>
      </c>
      <c r="AR1151" s="1078" t="str">
        <f t="shared" si="145"/>
        <v>30.5</v>
      </c>
      <c r="AS1151" s="1078" t="str">
        <f t="shared" si="146"/>
        <v>150/OFF</v>
      </c>
      <c r="AT1151" s="1078" t="str">
        <f t="shared" si="147"/>
        <v>2-6-1S83°</v>
      </c>
      <c r="AV1151" s="1078" t="str">
        <f t="shared" si="140"/>
        <v>111.6.9</v>
      </c>
      <c r="AW1151" s="1344">
        <f t="shared" si="141"/>
        <v>44721</v>
      </c>
    </row>
    <row r="1152" spans="1:49">
      <c r="A1152" s="1077" t="s">
        <v>4336</v>
      </c>
      <c r="B1152" s="1077" t="s">
        <v>4083</v>
      </c>
      <c r="C1152" s="1077">
        <v>600</v>
      </c>
      <c r="D1152" s="1077">
        <v>1.75</v>
      </c>
      <c r="E1152" s="1077" t="s">
        <v>15102</v>
      </c>
      <c r="F1152" s="1077" t="s">
        <v>1398</v>
      </c>
      <c r="G1152" s="1077" t="s">
        <v>1767</v>
      </c>
      <c r="H1152" s="1077" t="s">
        <v>1470</v>
      </c>
      <c r="I1152" s="1077" t="s">
        <v>1112</v>
      </c>
      <c r="J1152" s="1077">
        <v>2.2000000000000002</v>
      </c>
      <c r="K1152" s="1077" t="s">
        <v>4337</v>
      </c>
      <c r="L1152" s="1077" t="s">
        <v>4085</v>
      </c>
      <c r="M1152" s="1077">
        <v>101.6</v>
      </c>
      <c r="N1152" s="1077" t="s">
        <v>945</v>
      </c>
      <c r="O1152" s="1077">
        <v>2.54</v>
      </c>
      <c r="P1152" s="1077">
        <v>2.032</v>
      </c>
      <c r="Q1152" s="1077">
        <v>4</v>
      </c>
      <c r="R1152" s="1077">
        <v>20.5</v>
      </c>
      <c r="T1152" s="1077">
        <v>26.9</v>
      </c>
      <c r="U1152" s="1077">
        <v>4</v>
      </c>
      <c r="V1152" s="1077" t="s">
        <v>648</v>
      </c>
      <c r="W1152" s="1077">
        <v>125</v>
      </c>
      <c r="X1152" s="1077">
        <v>75</v>
      </c>
      <c r="Y1152" s="1077">
        <v>1.5</v>
      </c>
      <c r="Z1152" s="1077">
        <v>5.5</v>
      </c>
      <c r="AA1152" s="1077" t="s">
        <v>2227</v>
      </c>
      <c r="AH1152" s="1077" t="s">
        <v>1827</v>
      </c>
      <c r="AM1152" s="1078" t="s">
        <v>11323</v>
      </c>
      <c r="AN1152" s="1078" t="s">
        <v>11324</v>
      </c>
      <c r="AO1152" s="1078">
        <f t="shared" si="142"/>
        <v>600</v>
      </c>
      <c r="AP1152" s="1078">
        <f t="shared" si="143"/>
        <v>1.75</v>
      </c>
      <c r="AQ1152" s="1078" t="str">
        <f t="shared" si="144"/>
        <v>2-6-1S83°</v>
      </c>
      <c r="AR1152" s="1078" t="str">
        <f t="shared" si="145"/>
        <v>32.5</v>
      </c>
      <c r="AS1152" s="1078" t="str">
        <f t="shared" si="146"/>
        <v>160/OFF</v>
      </c>
      <c r="AT1152" s="1078" t="str">
        <f t="shared" si="147"/>
        <v>2-6-1S83°</v>
      </c>
      <c r="AV1152" s="1078" t="str">
        <f t="shared" si="140"/>
        <v>111.6.14</v>
      </c>
      <c r="AW1152" s="1344">
        <f t="shared" si="141"/>
        <v>44726</v>
      </c>
    </row>
    <row r="1153" spans="1:49">
      <c r="A1153" s="1077" t="s">
        <v>4338</v>
      </c>
      <c r="B1153" s="1077" t="s">
        <v>298</v>
      </c>
      <c r="C1153" s="1077">
        <v>600</v>
      </c>
      <c r="D1153" s="1077">
        <v>1.72</v>
      </c>
      <c r="E1153" s="1077" t="s">
        <v>15102</v>
      </c>
      <c r="F1153" s="1077" t="s">
        <v>954</v>
      </c>
      <c r="G1153" s="1077" t="s">
        <v>1767</v>
      </c>
      <c r="H1153" s="1077" t="s">
        <v>1263</v>
      </c>
      <c r="I1153" s="1077" t="s">
        <v>1112</v>
      </c>
      <c r="J1153" s="1077">
        <v>1.6</v>
      </c>
      <c r="K1153" s="1077" t="s">
        <v>4281</v>
      </c>
      <c r="L1153" s="1077" t="s">
        <v>4029</v>
      </c>
      <c r="M1153" s="1077">
        <v>103.2</v>
      </c>
      <c r="N1153" s="1077" t="s">
        <v>945</v>
      </c>
      <c r="O1153" s="1077">
        <v>2.58</v>
      </c>
      <c r="P1153" s="1077">
        <v>2.0640000000000001</v>
      </c>
      <c r="Q1153" s="1077">
        <v>4</v>
      </c>
      <c r="R1153" s="1077">
        <v>19.5</v>
      </c>
      <c r="T1153" s="1077">
        <v>27.3</v>
      </c>
      <c r="U1153" s="1077">
        <v>4</v>
      </c>
      <c r="V1153" s="1077" t="s">
        <v>648</v>
      </c>
      <c r="W1153" s="1077">
        <v>120</v>
      </c>
      <c r="X1153" s="1077">
        <v>60</v>
      </c>
      <c r="Y1153" s="1077">
        <v>1.7</v>
      </c>
      <c r="Z1153" s="1077">
        <v>6</v>
      </c>
      <c r="AA1153" s="1077" t="s">
        <v>2291</v>
      </c>
      <c r="AH1153" s="1077" t="s">
        <v>681</v>
      </c>
      <c r="AM1153" s="1078" t="s">
        <v>11325</v>
      </c>
      <c r="AN1153" s="1078" t="s">
        <v>11326</v>
      </c>
      <c r="AO1153" s="1078">
        <f t="shared" si="142"/>
        <v>600</v>
      </c>
      <c r="AP1153" s="1078">
        <f t="shared" si="143"/>
        <v>1.72</v>
      </c>
      <c r="AQ1153" s="1078" t="str">
        <f t="shared" si="144"/>
        <v>2-6-1S83°</v>
      </c>
      <c r="AR1153" s="1078" t="str">
        <f t="shared" si="145"/>
        <v>31</v>
      </c>
      <c r="AS1153" s="1078" t="str">
        <f t="shared" si="146"/>
        <v>163/OFF</v>
      </c>
      <c r="AT1153" s="1078" t="str">
        <f t="shared" si="147"/>
        <v>2-6-1S83°</v>
      </c>
      <c r="AV1153" s="1078" t="str">
        <f t="shared" si="140"/>
        <v>111.6.24</v>
      </c>
      <c r="AW1153" s="1344">
        <f t="shared" si="141"/>
        <v>44736</v>
      </c>
    </row>
    <row r="1154" spans="1:49">
      <c r="A1154" s="1077" t="s">
        <v>4339</v>
      </c>
      <c r="B1154" s="1077" t="s">
        <v>298</v>
      </c>
      <c r="C1154" s="1077">
        <v>600</v>
      </c>
      <c r="D1154" s="1077">
        <v>1.75</v>
      </c>
      <c r="E1154" s="1077" t="s">
        <v>15102</v>
      </c>
      <c r="F1154" s="1077" t="s">
        <v>1398</v>
      </c>
      <c r="G1154" s="1077" t="s">
        <v>1767</v>
      </c>
      <c r="H1154" s="1077" t="s">
        <v>4163</v>
      </c>
      <c r="I1154" s="1077" t="s">
        <v>648</v>
      </c>
      <c r="J1154" s="1077">
        <v>0</v>
      </c>
      <c r="K1154" s="1077" t="s">
        <v>4340</v>
      </c>
      <c r="L1154" s="1077" t="s">
        <v>4029</v>
      </c>
      <c r="M1154" s="1077">
        <v>103</v>
      </c>
      <c r="N1154" s="1077" t="s">
        <v>945</v>
      </c>
      <c r="O1154" s="1077">
        <v>2.5750000000000002</v>
      </c>
      <c r="P1154" s="1077">
        <v>2.06</v>
      </c>
      <c r="Q1154" s="1077">
        <v>4</v>
      </c>
      <c r="R1154" s="1077">
        <v>23.5</v>
      </c>
      <c r="T1154" s="1077">
        <v>18.5</v>
      </c>
      <c r="U1154" s="1077">
        <v>2.1</v>
      </c>
      <c r="V1154" s="1077" t="s">
        <v>648</v>
      </c>
      <c r="W1154" s="1077" t="s">
        <v>648</v>
      </c>
      <c r="X1154" s="1077" t="s">
        <v>648</v>
      </c>
      <c r="Y1154" s="1077">
        <v>1.3</v>
      </c>
      <c r="Z1154" s="1077">
        <v>4</v>
      </c>
      <c r="AA1154" s="1077" t="s">
        <v>4341</v>
      </c>
      <c r="AH1154" s="1077" t="s">
        <v>723</v>
      </c>
      <c r="AM1154" s="1078" t="s">
        <v>11327</v>
      </c>
      <c r="AN1154" s="1078" t="s">
        <v>11328</v>
      </c>
      <c r="AO1154" s="1078">
        <f t="shared" si="142"/>
        <v>600</v>
      </c>
      <c r="AP1154" s="1078">
        <f t="shared" si="143"/>
        <v>1.75</v>
      </c>
      <c r="AQ1154" s="1078" t="str">
        <f t="shared" si="144"/>
        <v>2-6-1S83°</v>
      </c>
      <c r="AR1154" s="1078" t="str">
        <f t="shared" si="145"/>
        <v>32.5</v>
      </c>
      <c r="AS1154" s="1078" t="str">
        <f t="shared" si="146"/>
        <v>178/175</v>
      </c>
      <c r="AT1154" s="1078" t="str">
        <f t="shared" si="147"/>
        <v>2-6-1S83°</v>
      </c>
      <c r="AV1154" s="1078" t="str">
        <f t="shared" ref="AV1154:AV1217" si="148">AA1154</f>
        <v>111.6.28</v>
      </c>
      <c r="AW1154" s="1344">
        <f t="shared" si="141"/>
        <v>44740</v>
      </c>
    </row>
    <row r="1155" spans="1:49">
      <c r="A1155" s="1077" t="s">
        <v>4342</v>
      </c>
      <c r="B1155" s="1077" t="s">
        <v>298</v>
      </c>
      <c r="C1155" s="1077">
        <v>600</v>
      </c>
      <c r="D1155" s="1077">
        <v>1.75</v>
      </c>
      <c r="E1155" s="1077" t="s">
        <v>15102</v>
      </c>
      <c r="F1155" s="1077" t="s">
        <v>1514</v>
      </c>
      <c r="G1155" s="1077" t="s">
        <v>1767</v>
      </c>
      <c r="H1155" s="1077" t="s">
        <v>4163</v>
      </c>
      <c r="I1155" s="1077" t="s">
        <v>648</v>
      </c>
      <c r="J1155" s="1077">
        <v>0</v>
      </c>
      <c r="K1155" s="1077" t="s">
        <v>4343</v>
      </c>
      <c r="L1155" s="1077" t="s">
        <v>4029</v>
      </c>
      <c r="M1155" s="1077">
        <v>103</v>
      </c>
      <c r="N1155" s="1077" t="s">
        <v>945</v>
      </c>
      <c r="O1155" s="1077">
        <v>2.5750000000000002</v>
      </c>
      <c r="P1155" s="1077">
        <v>2.06</v>
      </c>
      <c r="Q1155" s="1077">
        <v>4</v>
      </c>
      <c r="R1155" s="1077">
        <v>23.5</v>
      </c>
      <c r="T1155" s="1077">
        <v>18.5</v>
      </c>
      <c r="U1155" s="1077">
        <v>2.1</v>
      </c>
      <c r="V1155" s="1077" t="s">
        <v>648</v>
      </c>
      <c r="W1155" s="1077" t="s">
        <v>648</v>
      </c>
      <c r="X1155" s="1077" t="s">
        <v>648</v>
      </c>
      <c r="Y1155" s="1077">
        <v>1.3</v>
      </c>
      <c r="Z1155" s="1077">
        <v>4</v>
      </c>
      <c r="AA1155" s="1077" t="s">
        <v>4344</v>
      </c>
      <c r="AH1155" s="1077" t="s">
        <v>1053</v>
      </c>
      <c r="AM1155" s="1078" t="s">
        <v>11329</v>
      </c>
      <c r="AN1155" s="1078" t="s">
        <v>11330</v>
      </c>
      <c r="AO1155" s="1078">
        <f t="shared" si="142"/>
        <v>600</v>
      </c>
      <c r="AP1155" s="1078">
        <f t="shared" si="143"/>
        <v>1.75</v>
      </c>
      <c r="AQ1155" s="1078" t="str">
        <f t="shared" si="144"/>
        <v>2-6-1S83°</v>
      </c>
      <c r="AR1155" s="1078" t="str">
        <f t="shared" si="145"/>
        <v>32</v>
      </c>
      <c r="AS1155" s="1078" t="str">
        <f t="shared" si="146"/>
        <v>178/175</v>
      </c>
      <c r="AT1155" s="1078" t="str">
        <f t="shared" si="147"/>
        <v>2-6-1S83°</v>
      </c>
      <c r="AV1155" s="1078" t="str">
        <f t="shared" si="148"/>
        <v>111.6.30</v>
      </c>
      <c r="AW1155" s="1344">
        <f t="shared" ref="AW1155:AW1218" si="149">DATE(VALUE(LEFT(AV1155,FIND(".",AV1155)-1))+1911,
       VALUE(MID(AV1155,FIND(".",AV1155)+1,FIND(".",AV1155,FIND(".",AV1155)+1)-FIND(".",AV1155)-1)),
       VALUE(RIGHT(AV1155,LEN(AV1155)-FIND("~",SUBSTITUTE(AV1155,".","~",2)))))</f>
        <v>44742</v>
      </c>
    </row>
    <row r="1156" spans="1:49">
      <c r="A1156" s="1077" t="s">
        <v>4345</v>
      </c>
      <c r="B1156" s="1077" t="s">
        <v>298</v>
      </c>
      <c r="C1156" s="1077">
        <v>600</v>
      </c>
      <c r="D1156" s="1077">
        <v>1.75</v>
      </c>
      <c r="E1156" s="1077" t="s">
        <v>15102</v>
      </c>
      <c r="F1156" s="1077" t="s">
        <v>1281</v>
      </c>
      <c r="G1156" s="1077" t="s">
        <v>1767</v>
      </c>
      <c r="H1156" s="1077" t="s">
        <v>4163</v>
      </c>
      <c r="I1156" s="1077" t="s">
        <v>648</v>
      </c>
      <c r="J1156" s="1077">
        <v>0</v>
      </c>
      <c r="K1156" s="1077" t="s">
        <v>4346</v>
      </c>
      <c r="L1156" s="1077" t="s">
        <v>4029</v>
      </c>
      <c r="M1156" s="1077">
        <v>103</v>
      </c>
      <c r="N1156" s="1077" t="s">
        <v>945</v>
      </c>
      <c r="O1156" s="1077">
        <v>2.5750000000000002</v>
      </c>
      <c r="P1156" s="1077">
        <v>2.06</v>
      </c>
      <c r="Q1156" s="1077">
        <v>4</v>
      </c>
      <c r="R1156" s="1077">
        <v>23.5</v>
      </c>
      <c r="T1156" s="1077">
        <v>18.5</v>
      </c>
      <c r="U1156" s="1077">
        <v>2.1</v>
      </c>
      <c r="V1156" s="1077" t="s">
        <v>648</v>
      </c>
      <c r="W1156" s="1077" t="s">
        <v>648</v>
      </c>
      <c r="X1156" s="1077" t="s">
        <v>648</v>
      </c>
      <c r="Y1156" s="1077">
        <v>1.3</v>
      </c>
      <c r="Z1156" s="1077">
        <v>4</v>
      </c>
      <c r="AA1156" s="1077" t="s">
        <v>2307</v>
      </c>
      <c r="AH1156" s="1077" t="s">
        <v>712</v>
      </c>
      <c r="AM1156" s="1078" t="s">
        <v>11331</v>
      </c>
      <c r="AN1156" s="1078" t="s">
        <v>11332</v>
      </c>
      <c r="AO1156" s="1078">
        <f t="shared" si="142"/>
        <v>600</v>
      </c>
      <c r="AP1156" s="1078">
        <f t="shared" si="143"/>
        <v>1.75</v>
      </c>
      <c r="AQ1156" s="1078" t="str">
        <f t="shared" si="144"/>
        <v>2-6-1S83°</v>
      </c>
      <c r="AR1156" s="1078" t="str">
        <f t="shared" si="145"/>
        <v>31.8</v>
      </c>
      <c r="AS1156" s="1078" t="str">
        <f t="shared" si="146"/>
        <v>178/175</v>
      </c>
      <c r="AT1156" s="1078" t="str">
        <f t="shared" si="147"/>
        <v>2-6-1S83°</v>
      </c>
      <c r="AV1156" s="1078" t="str">
        <f t="shared" si="148"/>
        <v>111.7.8</v>
      </c>
      <c r="AW1156" s="1344">
        <f t="shared" si="149"/>
        <v>44750</v>
      </c>
    </row>
    <row r="1157" spans="1:49">
      <c r="A1157" s="1077" t="s">
        <v>4347</v>
      </c>
      <c r="B1157" s="1077" t="s">
        <v>4052</v>
      </c>
      <c r="C1157" s="1077">
        <v>650</v>
      </c>
      <c r="D1157" s="1077">
        <v>1.77</v>
      </c>
      <c r="E1157" s="1077" t="s">
        <v>15104</v>
      </c>
      <c r="F1157" s="1077" t="s">
        <v>648</v>
      </c>
      <c r="G1157" s="1077">
        <v>4</v>
      </c>
      <c r="H1157" s="1077" t="s">
        <v>1671</v>
      </c>
      <c r="I1157" s="1077" t="s">
        <v>126</v>
      </c>
      <c r="J1157" s="1077">
        <v>1.1000000000000001</v>
      </c>
      <c r="K1157" s="1077" t="s">
        <v>4327</v>
      </c>
      <c r="L1157" s="1077" t="s">
        <v>987</v>
      </c>
      <c r="M1157" s="1077">
        <v>99</v>
      </c>
      <c r="N1157" s="1077" t="s">
        <v>945</v>
      </c>
      <c r="O1157" s="1077">
        <v>2.4750000000000001</v>
      </c>
      <c r="P1157" s="1077">
        <v>1.98</v>
      </c>
      <c r="Q1157" s="1077">
        <v>4.2</v>
      </c>
      <c r="R1157" s="1077">
        <v>23</v>
      </c>
      <c r="T1157" s="1077">
        <v>16</v>
      </c>
      <c r="U1157" s="1077">
        <v>3.6</v>
      </c>
      <c r="V1157" s="1077" t="s">
        <v>648</v>
      </c>
      <c r="W1157" s="1077">
        <v>120</v>
      </c>
      <c r="X1157" s="1077" t="s">
        <v>4054</v>
      </c>
      <c r="Y1157" s="1077">
        <v>2.5</v>
      </c>
      <c r="Z1157" s="1077" t="s">
        <v>648</v>
      </c>
      <c r="AA1157" s="1077" t="s">
        <v>4348</v>
      </c>
      <c r="AB1157" s="1077" t="s">
        <v>981</v>
      </c>
      <c r="AH1157" s="1077" t="s">
        <v>614</v>
      </c>
      <c r="AM1157" s="1078" t="s">
        <v>11333</v>
      </c>
      <c r="AN1157" s="1078" t="s">
        <v>11334</v>
      </c>
      <c r="AO1157" s="1078">
        <f t="shared" si="142"/>
        <v>650</v>
      </c>
      <c r="AP1157" s="1078">
        <f t="shared" si="143"/>
        <v>1.77</v>
      </c>
      <c r="AQ1157" s="1078" t="str">
        <f t="shared" si="144"/>
        <v>1-4-1S85°Z+S</v>
      </c>
      <c r="AR1157" s="1078" t="str">
        <f t="shared" si="145"/>
        <v>NA</v>
      </c>
      <c r="AS1157" s="1078" t="str">
        <f t="shared" si="146"/>
        <v>172/OFF</v>
      </c>
      <c r="AT1157" s="1078" t="str">
        <f t="shared" si="147"/>
        <v>1-4-1S85°Z+S</v>
      </c>
      <c r="AU1157" s="1078" t="s">
        <v>15547</v>
      </c>
      <c r="AV1157" s="1078" t="str">
        <f t="shared" si="148"/>
        <v>112.4.14</v>
      </c>
      <c r="AW1157" s="1344">
        <f t="shared" si="149"/>
        <v>45030</v>
      </c>
    </row>
    <row r="1158" spans="1:49">
      <c r="A1158" s="1077" t="s">
        <v>4349</v>
      </c>
      <c r="B1158" s="1077" t="s">
        <v>4350</v>
      </c>
      <c r="C1158" s="1077">
        <v>650</v>
      </c>
      <c r="D1158" s="1077">
        <v>1.675</v>
      </c>
      <c r="E1158" s="1077" t="s">
        <v>15109</v>
      </c>
      <c r="F1158" s="1077" t="s">
        <v>648</v>
      </c>
      <c r="G1158" s="1077">
        <v>4</v>
      </c>
      <c r="H1158" s="1077" t="s">
        <v>1166</v>
      </c>
      <c r="I1158" s="1077" t="s">
        <v>126</v>
      </c>
      <c r="J1158" s="1077">
        <v>1</v>
      </c>
      <c r="K1158" s="1077" t="s">
        <v>4351</v>
      </c>
      <c r="L1158" s="1077" t="s">
        <v>944</v>
      </c>
      <c r="M1158" s="1077">
        <v>102</v>
      </c>
      <c r="N1158" s="1077" t="s">
        <v>945</v>
      </c>
      <c r="O1158" s="1077">
        <v>2.5500000000000003</v>
      </c>
      <c r="P1158" s="1077">
        <v>2.04</v>
      </c>
      <c r="Q1158" s="1077">
        <v>4.2</v>
      </c>
      <c r="R1158" s="1077">
        <v>21.5</v>
      </c>
      <c r="T1158" s="1077">
        <v>15.8</v>
      </c>
      <c r="U1158" s="1077">
        <v>4.0999999999999996</v>
      </c>
      <c r="V1158" s="1077" t="s">
        <v>648</v>
      </c>
      <c r="W1158" s="1077">
        <v>125</v>
      </c>
      <c r="X1158" s="1077">
        <v>80</v>
      </c>
      <c r="Y1158" s="1077">
        <v>2.8</v>
      </c>
      <c r="Z1158" s="1077" t="s">
        <v>648</v>
      </c>
      <c r="AA1158" s="1077" t="s">
        <v>4352</v>
      </c>
      <c r="AH1158" s="1077" t="s">
        <v>1827</v>
      </c>
      <c r="AM1158" s="1078" t="s">
        <v>11335</v>
      </c>
      <c r="AN1158" s="1078" t="s">
        <v>11336</v>
      </c>
      <c r="AO1158" s="1078">
        <f t="shared" si="142"/>
        <v>650</v>
      </c>
      <c r="AP1158" s="1078">
        <f t="shared" si="143"/>
        <v>1.675</v>
      </c>
      <c r="AQ1158" s="1078" t="str">
        <f t="shared" si="144"/>
        <v>1-5-1S85°Z+S</v>
      </c>
      <c r="AR1158" s="1078" t="str">
        <f t="shared" si="145"/>
        <v>NA</v>
      </c>
      <c r="AS1158" s="1078" t="str">
        <f t="shared" si="146"/>
        <v>170/OFF</v>
      </c>
      <c r="AT1158" s="1078" t="str">
        <f t="shared" si="147"/>
        <v>1-5-1S85°Z+S</v>
      </c>
      <c r="AU1158" s="1078" t="s">
        <v>15547</v>
      </c>
      <c r="AV1158" s="1078" t="str">
        <f t="shared" si="148"/>
        <v>110.8.2</v>
      </c>
      <c r="AW1158" s="1344">
        <f t="shared" si="149"/>
        <v>44410</v>
      </c>
    </row>
    <row r="1159" spans="1:49">
      <c r="A1159" s="1077" t="s">
        <v>4353</v>
      </c>
      <c r="B1159" s="1077" t="s">
        <v>4330</v>
      </c>
      <c r="C1159" s="1077">
        <v>500</v>
      </c>
      <c r="D1159" s="1077">
        <v>1.72</v>
      </c>
      <c r="E1159" s="1077" t="s">
        <v>15104</v>
      </c>
      <c r="F1159" s="1077" t="s">
        <v>648</v>
      </c>
      <c r="G1159" s="1077">
        <v>4</v>
      </c>
      <c r="H1159" s="1077" t="s">
        <v>1624</v>
      </c>
      <c r="I1159" s="1077" t="s">
        <v>126</v>
      </c>
      <c r="J1159" s="1077">
        <v>0.8</v>
      </c>
      <c r="K1159" s="1077" t="s">
        <v>4331</v>
      </c>
      <c r="L1159" s="1077" t="s">
        <v>4332</v>
      </c>
      <c r="M1159" s="1077">
        <v>103.8</v>
      </c>
      <c r="N1159" s="1077" t="s">
        <v>945</v>
      </c>
      <c r="O1159" s="1077">
        <v>2.5950000000000002</v>
      </c>
      <c r="P1159" s="1077">
        <v>2.0760000000000001</v>
      </c>
      <c r="Q1159" s="1077">
        <v>4</v>
      </c>
      <c r="R1159" s="1077">
        <v>22</v>
      </c>
      <c r="T1159" s="1077">
        <v>16</v>
      </c>
      <c r="U1159" s="1077">
        <v>4.5</v>
      </c>
      <c r="V1159" s="1077" t="s">
        <v>648</v>
      </c>
      <c r="W1159" s="1077">
        <v>125</v>
      </c>
      <c r="X1159" s="1077">
        <v>80</v>
      </c>
      <c r="Y1159" s="1077">
        <v>2</v>
      </c>
      <c r="Z1159" s="1077" t="s">
        <v>648</v>
      </c>
      <c r="AA1159" s="1077" t="s">
        <v>4354</v>
      </c>
      <c r="AH1159" s="1077" t="s">
        <v>948</v>
      </c>
      <c r="AM1159" s="1078" t="s">
        <v>11337</v>
      </c>
      <c r="AN1159" s="1078" t="s">
        <v>11338</v>
      </c>
      <c r="AO1159" s="1078">
        <f t="shared" si="142"/>
        <v>500</v>
      </c>
      <c r="AP1159" s="1078">
        <f t="shared" si="143"/>
        <v>1.72</v>
      </c>
      <c r="AQ1159" s="1078" t="str">
        <f t="shared" si="144"/>
        <v>1-4-1S85°Z+S</v>
      </c>
      <c r="AR1159" s="1078" t="str">
        <f t="shared" si="145"/>
        <v>NA</v>
      </c>
      <c r="AS1159" s="1078" t="str">
        <f t="shared" si="146"/>
        <v>155/OFF</v>
      </c>
      <c r="AT1159" s="1078" t="str">
        <f t="shared" si="147"/>
        <v>1-4-1S85°Z+S</v>
      </c>
      <c r="AU1159" s="1078" t="s">
        <v>15547</v>
      </c>
      <c r="AV1159" s="1078" t="str">
        <f t="shared" si="148"/>
        <v>111.7.20</v>
      </c>
      <c r="AW1159" s="1344">
        <f t="shared" si="149"/>
        <v>44762</v>
      </c>
    </row>
    <row r="1160" spans="1:49">
      <c r="A1160" s="1077" t="s">
        <v>4355</v>
      </c>
      <c r="B1160" s="1077" t="s">
        <v>298</v>
      </c>
      <c r="C1160" s="1077">
        <v>600</v>
      </c>
      <c r="D1160" s="1077">
        <v>1.7250000000000001</v>
      </c>
      <c r="E1160" s="1077" t="s">
        <v>15102</v>
      </c>
      <c r="F1160" s="1077" t="s">
        <v>1398</v>
      </c>
      <c r="G1160" s="1077" t="s">
        <v>1767</v>
      </c>
      <c r="H1160" s="1077" t="s">
        <v>4163</v>
      </c>
      <c r="I1160" s="1077" t="s">
        <v>648</v>
      </c>
      <c r="J1160" s="1077">
        <v>0</v>
      </c>
      <c r="K1160" s="1077" t="s">
        <v>4356</v>
      </c>
      <c r="L1160" s="1077" t="s">
        <v>4029</v>
      </c>
      <c r="M1160" s="1077">
        <v>103</v>
      </c>
      <c r="N1160" s="1077" t="s">
        <v>945</v>
      </c>
      <c r="O1160" s="1077">
        <v>2.5750000000000002</v>
      </c>
      <c r="P1160" s="1077">
        <v>2.06</v>
      </c>
      <c r="Q1160" s="1077">
        <v>4</v>
      </c>
      <c r="R1160" s="1077">
        <v>23.5</v>
      </c>
      <c r="T1160" s="1077">
        <v>18.5</v>
      </c>
      <c r="U1160" s="1077">
        <v>2.1</v>
      </c>
      <c r="V1160" s="1077" t="s">
        <v>648</v>
      </c>
      <c r="W1160" s="1077" t="s">
        <v>648</v>
      </c>
      <c r="X1160" s="1077" t="s">
        <v>648</v>
      </c>
      <c r="Y1160" s="1077">
        <v>1.3</v>
      </c>
      <c r="Z1160" s="1077">
        <v>4</v>
      </c>
      <c r="AA1160" s="1077" t="s">
        <v>4354</v>
      </c>
      <c r="AH1160" s="1077" t="s">
        <v>4357</v>
      </c>
      <c r="AM1160" s="1078" t="s">
        <v>11339</v>
      </c>
      <c r="AN1160" s="1078" t="s">
        <v>11340</v>
      </c>
      <c r="AO1160" s="1078">
        <f t="shared" si="142"/>
        <v>600</v>
      </c>
      <c r="AP1160" s="1078">
        <f t="shared" si="143"/>
        <v>1.7250000000000001</v>
      </c>
      <c r="AQ1160" s="1078" t="str">
        <f t="shared" si="144"/>
        <v>2-6-1S83°</v>
      </c>
      <c r="AR1160" s="1078" t="str">
        <f t="shared" si="145"/>
        <v>32.5</v>
      </c>
      <c r="AS1160" s="1078" t="str">
        <f t="shared" si="146"/>
        <v>178/175</v>
      </c>
      <c r="AT1160" s="1078" t="str">
        <f t="shared" si="147"/>
        <v>2-6-1S83°</v>
      </c>
      <c r="AV1160" s="1078" t="str">
        <f t="shared" si="148"/>
        <v>111.7.20</v>
      </c>
      <c r="AW1160" s="1344">
        <f t="shared" si="149"/>
        <v>44762</v>
      </c>
    </row>
    <row r="1161" spans="1:49">
      <c r="A1161" s="1077" t="s">
        <v>4358</v>
      </c>
      <c r="B1161" s="1077" t="s">
        <v>4359</v>
      </c>
      <c r="C1161" s="1077">
        <v>600</v>
      </c>
      <c r="D1161" s="1077">
        <v>1.71</v>
      </c>
      <c r="E1161" s="1077" t="s">
        <v>15095</v>
      </c>
      <c r="F1161" s="1077" t="s">
        <v>954</v>
      </c>
      <c r="G1161" s="1077">
        <v>3</v>
      </c>
      <c r="H1161" s="1077" t="s">
        <v>1226</v>
      </c>
      <c r="I1161" s="1077" t="s">
        <v>126</v>
      </c>
      <c r="J1161" s="1077">
        <v>0.9</v>
      </c>
      <c r="K1161" s="1077" t="s">
        <v>4360</v>
      </c>
      <c r="L1161" s="1077" t="s">
        <v>4361</v>
      </c>
      <c r="M1161" s="1077">
        <v>104</v>
      </c>
      <c r="N1161" s="1077" t="s">
        <v>945</v>
      </c>
      <c r="O1161" s="1077">
        <v>2.6</v>
      </c>
      <c r="P1161" s="1077">
        <v>2.08</v>
      </c>
      <c r="Q1161" s="1077">
        <v>4</v>
      </c>
      <c r="R1161" s="1077" t="s">
        <v>4362</v>
      </c>
      <c r="T1161" s="1077">
        <v>9</v>
      </c>
      <c r="U1161" s="1077">
        <v>4.8</v>
      </c>
      <c r="V1161" s="1077" t="s">
        <v>648</v>
      </c>
      <c r="W1161" s="1077">
        <v>115</v>
      </c>
      <c r="X1161" s="1077">
        <v>50</v>
      </c>
      <c r="Y1161" s="1077">
        <v>2</v>
      </c>
      <c r="Z1161" s="1077">
        <v>3.5</v>
      </c>
      <c r="AA1161" s="1077" t="s">
        <v>4363</v>
      </c>
      <c r="AH1161" s="1077" t="s">
        <v>483</v>
      </c>
      <c r="AM1161" s="1078" t="s">
        <v>11341</v>
      </c>
      <c r="AN1161" s="1078" t="s">
        <v>11342</v>
      </c>
      <c r="AO1161" s="1078">
        <f t="shared" si="142"/>
        <v>600</v>
      </c>
      <c r="AP1161" s="1078">
        <f t="shared" si="143"/>
        <v>1.71</v>
      </c>
      <c r="AQ1161" s="1078" t="str">
        <f t="shared" si="144"/>
        <v>1-5-1S83°</v>
      </c>
      <c r="AR1161" s="1078" t="str">
        <f t="shared" si="145"/>
        <v>31</v>
      </c>
      <c r="AS1161" s="1078" t="str">
        <f t="shared" si="146"/>
        <v>230/230/OFF</v>
      </c>
      <c r="AT1161" s="1078" t="str">
        <f t="shared" si="147"/>
        <v>1-5-1S83°</v>
      </c>
      <c r="AV1161" s="1078" t="str">
        <f t="shared" si="148"/>
        <v>111.8.10</v>
      </c>
      <c r="AW1161" s="1344">
        <f t="shared" si="149"/>
        <v>44783</v>
      </c>
    </row>
    <row r="1162" spans="1:49">
      <c r="A1162" s="1077" t="s">
        <v>4364</v>
      </c>
      <c r="B1162" s="1077" t="s">
        <v>4069</v>
      </c>
      <c r="C1162" s="1077">
        <v>500</v>
      </c>
      <c r="D1162" s="1077">
        <v>1.68</v>
      </c>
      <c r="E1162" s="1077" t="s">
        <v>15108</v>
      </c>
      <c r="F1162" s="1077" t="s">
        <v>1469</v>
      </c>
      <c r="G1162" s="1077">
        <v>3</v>
      </c>
      <c r="H1162" s="1077" t="s">
        <v>1274</v>
      </c>
      <c r="I1162" s="1077" t="s">
        <v>126</v>
      </c>
      <c r="J1162" s="1077">
        <v>0.6</v>
      </c>
      <c r="K1162" s="1077" t="s">
        <v>4365</v>
      </c>
      <c r="L1162" s="1077" t="s">
        <v>4366</v>
      </c>
      <c r="M1162" s="1077">
        <v>101</v>
      </c>
      <c r="N1162" s="1077" t="s">
        <v>945</v>
      </c>
      <c r="O1162" s="1077">
        <v>2.5250000000000004</v>
      </c>
      <c r="P1162" s="1077">
        <v>2.02</v>
      </c>
      <c r="Q1162" s="1077">
        <v>3</v>
      </c>
      <c r="R1162" s="1077">
        <v>22.3</v>
      </c>
      <c r="T1162" s="1077">
        <v>14</v>
      </c>
      <c r="U1162" s="1077">
        <v>4.9000000000000004</v>
      </c>
      <c r="V1162" s="1077" t="s">
        <v>648</v>
      </c>
      <c r="W1162" s="1077">
        <v>115</v>
      </c>
      <c r="X1162" s="1077">
        <v>65</v>
      </c>
      <c r="Y1162" s="1077">
        <v>1.3</v>
      </c>
      <c r="Z1162" s="1077" t="s">
        <v>648</v>
      </c>
      <c r="AA1162" s="1077" t="s">
        <v>4367</v>
      </c>
      <c r="AH1162" s="1077" t="s">
        <v>619</v>
      </c>
      <c r="AM1162" s="1078" t="s">
        <v>11343</v>
      </c>
      <c r="AN1162" s="1078" t="s">
        <v>11344</v>
      </c>
      <c r="AO1162" s="1078">
        <f t="shared" si="142"/>
        <v>500</v>
      </c>
      <c r="AP1162" s="1078">
        <f t="shared" si="143"/>
        <v>1.68</v>
      </c>
      <c r="AQ1162" s="1078" t="str">
        <f t="shared" si="144"/>
        <v>1-4-1S83°Z+S</v>
      </c>
      <c r="AR1162" s="1078" t="str">
        <f t="shared" si="145"/>
        <v>30.5</v>
      </c>
      <c r="AS1162" s="1078" t="str">
        <f t="shared" si="146"/>
        <v>210/210/OFF</v>
      </c>
      <c r="AT1162" s="1078" t="str">
        <f t="shared" si="147"/>
        <v>1-4-1S83°Z+S</v>
      </c>
      <c r="AU1162" s="1078" t="s">
        <v>15547</v>
      </c>
      <c r="AV1162" s="1078" t="str">
        <f t="shared" si="148"/>
        <v>111.8.11</v>
      </c>
      <c r="AW1162" s="1344">
        <f t="shared" si="149"/>
        <v>44784</v>
      </c>
    </row>
    <row r="1163" spans="1:49">
      <c r="A1163" s="1077" t="s">
        <v>4368</v>
      </c>
      <c r="B1163" s="1077" t="s">
        <v>4113</v>
      </c>
      <c r="C1163" s="1077">
        <v>550</v>
      </c>
      <c r="D1163" s="1077">
        <v>1.6719999999999999</v>
      </c>
      <c r="E1163" s="1077" t="s">
        <v>15102</v>
      </c>
      <c r="F1163" s="1077" t="s">
        <v>954</v>
      </c>
      <c r="G1163" s="1077">
        <v>5</v>
      </c>
      <c r="H1163" s="1077" t="s">
        <v>2833</v>
      </c>
      <c r="I1163" s="1077" t="s">
        <v>1112</v>
      </c>
      <c r="J1163" s="1077">
        <v>1</v>
      </c>
      <c r="K1163" s="1077" t="s">
        <v>4207</v>
      </c>
      <c r="L1163" s="1077" t="s">
        <v>4147</v>
      </c>
      <c r="M1163" s="1077">
        <v>103.3</v>
      </c>
      <c r="N1163" s="1077" t="s">
        <v>945</v>
      </c>
      <c r="O1163" s="1077">
        <v>2.5825</v>
      </c>
      <c r="P1163" s="1077">
        <v>2.0659999999999998</v>
      </c>
      <c r="Q1163" s="1077">
        <v>4</v>
      </c>
      <c r="R1163" s="1077">
        <v>25</v>
      </c>
      <c r="T1163" s="1077">
        <v>10</v>
      </c>
      <c r="U1163" s="1077">
        <v>5.8</v>
      </c>
      <c r="V1163" s="1077" t="s">
        <v>648</v>
      </c>
      <c r="W1163" s="1077">
        <v>125</v>
      </c>
      <c r="X1163" s="1077">
        <v>80</v>
      </c>
      <c r="Y1163" s="1077">
        <v>1.5</v>
      </c>
      <c r="Z1163" s="1077">
        <v>4</v>
      </c>
      <c r="AA1163" s="1077" t="s">
        <v>4369</v>
      </c>
      <c r="AH1163" s="1077" t="s">
        <v>853</v>
      </c>
      <c r="AM1163" s="1078" t="s">
        <v>11345</v>
      </c>
      <c r="AN1163" s="1078" t="s">
        <v>11346</v>
      </c>
      <c r="AO1163" s="1078">
        <f t="shared" ref="AO1163:AO1226" si="150">C1163</f>
        <v>550</v>
      </c>
      <c r="AP1163" s="1078">
        <f t="shared" ref="AP1163:AP1226" si="151">D1163</f>
        <v>1.6719999999999999</v>
      </c>
      <c r="AQ1163" s="1078" t="str">
        <f t="shared" ref="AQ1163:AQ1226" si="152">E1163</f>
        <v>2-6-1S83°</v>
      </c>
      <c r="AR1163" s="1078" t="str">
        <f t="shared" ref="AR1163:AR1226" si="153">F1163</f>
        <v>31</v>
      </c>
      <c r="AS1163" s="1078" t="str">
        <f t="shared" ref="AS1163:AS1226" si="154">H1163</f>
        <v>150/OFF</v>
      </c>
      <c r="AT1163" s="1078" t="str">
        <f t="shared" ref="AT1163:AT1226" si="155">E1163</f>
        <v>2-6-1S83°</v>
      </c>
      <c r="AV1163" s="1078" t="str">
        <f t="shared" si="148"/>
        <v>111.8.12</v>
      </c>
      <c r="AW1163" s="1344">
        <f t="shared" si="149"/>
        <v>44785</v>
      </c>
    </row>
    <row r="1164" spans="1:49">
      <c r="A1164" s="1077" t="s">
        <v>4370</v>
      </c>
      <c r="B1164" s="1077" t="s">
        <v>4083</v>
      </c>
      <c r="C1164" s="1077">
        <v>600</v>
      </c>
      <c r="D1164" s="1077">
        <v>1.7649999999999999</v>
      </c>
      <c r="E1164" s="1077" t="s">
        <v>15095</v>
      </c>
      <c r="F1164" s="1077" t="s">
        <v>954</v>
      </c>
      <c r="G1164" s="1077" t="s">
        <v>1767</v>
      </c>
      <c r="H1164" s="1077" t="s">
        <v>4118</v>
      </c>
      <c r="I1164" s="1077" t="s">
        <v>126</v>
      </c>
      <c r="J1164" s="1077">
        <v>2</v>
      </c>
      <c r="K1164" s="1077" t="s">
        <v>4253</v>
      </c>
      <c r="L1164" s="1077" t="s">
        <v>4085</v>
      </c>
      <c r="M1164" s="1077">
        <v>101.6</v>
      </c>
      <c r="N1164" s="1077" t="s">
        <v>945</v>
      </c>
      <c r="O1164" s="1077">
        <v>2.54</v>
      </c>
      <c r="P1164" s="1077">
        <v>2.032</v>
      </c>
      <c r="Q1164" s="1077">
        <v>4</v>
      </c>
      <c r="R1164" s="1077">
        <v>20.5</v>
      </c>
      <c r="T1164" s="1077">
        <v>26.9</v>
      </c>
      <c r="U1164" s="1077">
        <v>4</v>
      </c>
      <c r="V1164" s="1077" t="s">
        <v>648</v>
      </c>
      <c r="W1164" s="1077">
        <v>125</v>
      </c>
      <c r="X1164" s="1077">
        <v>75</v>
      </c>
      <c r="Y1164" s="1077">
        <v>1.5</v>
      </c>
      <c r="Z1164" s="1077">
        <v>5.5</v>
      </c>
      <c r="AA1164" s="1077" t="s">
        <v>4371</v>
      </c>
      <c r="AH1164" s="1077" t="s">
        <v>889</v>
      </c>
      <c r="AM1164" s="1078" t="s">
        <v>11347</v>
      </c>
      <c r="AN1164" s="1078" t="s">
        <v>11348</v>
      </c>
      <c r="AO1164" s="1078">
        <f t="shared" si="150"/>
        <v>600</v>
      </c>
      <c r="AP1164" s="1078">
        <f t="shared" si="151"/>
        <v>1.7649999999999999</v>
      </c>
      <c r="AQ1164" s="1078" t="str">
        <f t="shared" si="152"/>
        <v>1-5-1S83°</v>
      </c>
      <c r="AR1164" s="1078" t="str">
        <f t="shared" si="153"/>
        <v>31</v>
      </c>
      <c r="AS1164" s="1078" t="str">
        <f t="shared" si="154"/>
        <v>280/260/OFF</v>
      </c>
      <c r="AT1164" s="1078" t="str">
        <f t="shared" si="155"/>
        <v>1-5-1S83°</v>
      </c>
      <c r="AV1164" s="1078" t="str">
        <f t="shared" si="148"/>
        <v>111.8.15</v>
      </c>
      <c r="AW1164" s="1344">
        <f t="shared" si="149"/>
        <v>44788</v>
      </c>
    </row>
    <row r="1165" spans="1:49">
      <c r="A1165" s="1077" t="s">
        <v>4372</v>
      </c>
      <c r="B1165" s="1077" t="s">
        <v>4330</v>
      </c>
      <c r="C1165" s="1077" t="s">
        <v>4373</v>
      </c>
      <c r="D1165" s="1077">
        <v>1.72</v>
      </c>
      <c r="E1165" s="1077" t="s">
        <v>15104</v>
      </c>
      <c r="F1165" s="1077" t="s">
        <v>648</v>
      </c>
      <c r="G1165" s="1077">
        <v>4</v>
      </c>
      <c r="H1165" s="1077" t="s">
        <v>1799</v>
      </c>
      <c r="I1165" s="1077" t="s">
        <v>126</v>
      </c>
      <c r="J1165" s="1077">
        <v>0.8</v>
      </c>
      <c r="K1165" s="1077" t="s">
        <v>4374</v>
      </c>
      <c r="L1165" s="1077" t="s">
        <v>4332</v>
      </c>
      <c r="M1165" s="1077">
        <v>103.8</v>
      </c>
      <c r="N1165" s="1077" t="s">
        <v>945</v>
      </c>
      <c r="O1165" s="1077">
        <v>2.5950000000000002</v>
      </c>
      <c r="P1165" s="1077">
        <v>2.0760000000000001</v>
      </c>
      <c r="Q1165" s="1077">
        <v>4</v>
      </c>
      <c r="R1165" s="1077">
        <v>22</v>
      </c>
      <c r="T1165" s="1077">
        <v>16</v>
      </c>
      <c r="U1165" s="1077">
        <v>4.5</v>
      </c>
      <c r="V1165" s="1077" t="s">
        <v>648</v>
      </c>
      <c r="W1165" s="1077">
        <v>125</v>
      </c>
      <c r="X1165" s="1077">
        <v>80</v>
      </c>
      <c r="Y1165" s="1077">
        <v>2</v>
      </c>
      <c r="Z1165" s="1077" t="s">
        <v>648</v>
      </c>
      <c r="AA1165" s="1077" t="s">
        <v>2339</v>
      </c>
      <c r="AH1165" s="1077" t="s">
        <v>1486</v>
      </c>
      <c r="AM1165" s="1078" t="s">
        <v>11349</v>
      </c>
      <c r="AN1165" s="1078" t="s">
        <v>11350</v>
      </c>
      <c r="AO1165" s="1078" t="str">
        <f t="shared" si="150"/>
        <v>500↓450-8/22</v>
      </c>
      <c r="AP1165" s="1078">
        <f t="shared" si="151"/>
        <v>1.72</v>
      </c>
      <c r="AQ1165" s="1078" t="str">
        <f t="shared" si="152"/>
        <v>1-4-1S85°Z+S</v>
      </c>
      <c r="AR1165" s="1078" t="str">
        <f t="shared" si="153"/>
        <v>NA</v>
      </c>
      <c r="AS1165" s="1078" t="str">
        <f t="shared" si="154"/>
        <v>153/OFF</v>
      </c>
      <c r="AT1165" s="1078" t="str">
        <f t="shared" si="155"/>
        <v>1-4-1S85°Z+S</v>
      </c>
      <c r="AU1165" s="1078" t="s">
        <v>15547</v>
      </c>
      <c r="AV1165" s="1078" t="str">
        <f t="shared" si="148"/>
        <v>111.8.18</v>
      </c>
      <c r="AW1165" s="1344">
        <f t="shared" si="149"/>
        <v>44791</v>
      </c>
    </row>
    <row r="1166" spans="1:49">
      <c r="A1166" s="1077" t="s">
        <v>4375</v>
      </c>
      <c r="B1166" s="1077" t="s">
        <v>4083</v>
      </c>
      <c r="C1166" s="1077">
        <v>600</v>
      </c>
      <c r="D1166" s="1077">
        <v>1.75</v>
      </c>
      <c r="E1166" s="1077" t="s">
        <v>15088</v>
      </c>
      <c r="F1166" s="1077" t="s">
        <v>648</v>
      </c>
      <c r="G1166" s="1077" t="s">
        <v>1767</v>
      </c>
      <c r="H1166" s="1077" t="s">
        <v>1671</v>
      </c>
      <c r="I1166" s="1077" t="s">
        <v>126</v>
      </c>
      <c r="J1166" s="1077">
        <v>2</v>
      </c>
      <c r="K1166" s="1077" t="s">
        <v>4172</v>
      </c>
      <c r="L1166" s="1077" t="s">
        <v>4085</v>
      </c>
      <c r="M1166" s="1077">
        <v>101.6</v>
      </c>
      <c r="N1166" s="1077" t="s">
        <v>945</v>
      </c>
      <c r="O1166" s="1077">
        <v>2.54</v>
      </c>
      <c r="P1166" s="1077">
        <v>2.032</v>
      </c>
      <c r="Q1166" s="1077">
        <v>4</v>
      </c>
      <c r="R1166" s="1077">
        <v>20.5</v>
      </c>
      <c r="T1166" s="1077">
        <v>26.9</v>
      </c>
      <c r="U1166" s="1077">
        <v>4</v>
      </c>
      <c r="V1166" s="1077" t="s">
        <v>648</v>
      </c>
      <c r="W1166" s="1077">
        <v>125</v>
      </c>
      <c r="X1166" s="1077">
        <v>75</v>
      </c>
      <c r="Y1166" s="1077">
        <v>1.5</v>
      </c>
      <c r="Z1166" s="1077">
        <v>5.5</v>
      </c>
      <c r="AA1166" s="1077" t="s">
        <v>2360</v>
      </c>
      <c r="AH1166" s="1077" t="s">
        <v>803</v>
      </c>
      <c r="AM1166" s="1078" t="s">
        <v>11351</v>
      </c>
      <c r="AN1166" s="1078" t="s">
        <v>11352</v>
      </c>
      <c r="AO1166" s="1078">
        <f t="shared" si="150"/>
        <v>600</v>
      </c>
      <c r="AP1166" s="1078">
        <f t="shared" si="151"/>
        <v>1.75</v>
      </c>
      <c r="AQ1166" s="1078" t="str">
        <f t="shared" si="152"/>
        <v>1-4-1S85°</v>
      </c>
      <c r="AR1166" s="1078" t="str">
        <f t="shared" si="153"/>
        <v>NA</v>
      </c>
      <c r="AS1166" s="1078" t="str">
        <f t="shared" si="154"/>
        <v>172/OFF</v>
      </c>
      <c r="AT1166" s="1078" t="str">
        <f t="shared" si="155"/>
        <v>1-4-1S85°</v>
      </c>
      <c r="AV1166" s="1078" t="str">
        <f t="shared" si="148"/>
        <v>111.9.2</v>
      </c>
      <c r="AW1166" s="1344">
        <f t="shared" si="149"/>
        <v>44806</v>
      </c>
    </row>
    <row r="1167" spans="1:49">
      <c r="A1167" s="1077" t="s">
        <v>4376</v>
      </c>
      <c r="B1167" s="1077" t="s">
        <v>4062</v>
      </c>
      <c r="C1167" s="1077">
        <v>600</v>
      </c>
      <c r="D1167" s="1077">
        <v>1.74</v>
      </c>
      <c r="E1167" s="1077" t="s">
        <v>15090</v>
      </c>
      <c r="F1167" s="1077" t="s">
        <v>648</v>
      </c>
      <c r="G1167" s="1077">
        <v>5</v>
      </c>
      <c r="H1167" s="1077" t="s">
        <v>1470</v>
      </c>
      <c r="I1167" s="1077" t="s">
        <v>126</v>
      </c>
      <c r="J1167" s="1077">
        <v>1</v>
      </c>
      <c r="K1167" s="1077" t="s">
        <v>4377</v>
      </c>
      <c r="L1167" s="1077" t="s">
        <v>4080</v>
      </c>
      <c r="M1167" s="1077">
        <v>103.3</v>
      </c>
      <c r="N1167" s="1077" t="s">
        <v>945</v>
      </c>
      <c r="O1167" s="1077">
        <v>2.5825</v>
      </c>
      <c r="P1167" s="1077">
        <v>2.0659999999999998</v>
      </c>
      <c r="Q1167" s="1077">
        <v>4</v>
      </c>
      <c r="R1167" s="1077">
        <v>25</v>
      </c>
      <c r="T1167" s="1077">
        <v>10</v>
      </c>
      <c r="U1167" s="1077">
        <v>5.8</v>
      </c>
      <c r="V1167" s="1077" t="s">
        <v>648</v>
      </c>
      <c r="W1167" s="1077">
        <v>125</v>
      </c>
      <c r="X1167" s="1077">
        <v>80</v>
      </c>
      <c r="Y1167" s="1077">
        <v>1.5</v>
      </c>
      <c r="Z1167" s="1077">
        <v>4</v>
      </c>
      <c r="AA1167" s="1077" t="s">
        <v>2374</v>
      </c>
      <c r="AH1167" s="1077" t="s">
        <v>646</v>
      </c>
      <c r="AM1167" s="1078" t="s">
        <v>11353</v>
      </c>
      <c r="AN1167" s="1078" t="s">
        <v>11354</v>
      </c>
      <c r="AO1167" s="1078">
        <f t="shared" si="150"/>
        <v>600</v>
      </c>
      <c r="AP1167" s="1078">
        <f t="shared" si="151"/>
        <v>1.74</v>
      </c>
      <c r="AQ1167" s="1078" t="str">
        <f t="shared" si="152"/>
        <v>1-5-1S85°</v>
      </c>
      <c r="AR1167" s="1078" t="str">
        <f t="shared" si="153"/>
        <v>NA</v>
      </c>
      <c r="AS1167" s="1078" t="str">
        <f t="shared" si="154"/>
        <v>160/OFF</v>
      </c>
      <c r="AT1167" s="1078" t="str">
        <f t="shared" si="155"/>
        <v>1-5-1S85°</v>
      </c>
      <c r="AV1167" s="1078" t="str">
        <f t="shared" si="148"/>
        <v>111.9.16</v>
      </c>
      <c r="AW1167" s="1344">
        <f t="shared" si="149"/>
        <v>44820</v>
      </c>
    </row>
    <row r="1168" spans="1:49">
      <c r="A1168" s="1077" t="s">
        <v>4378</v>
      </c>
      <c r="B1168" s="1077" t="s">
        <v>4062</v>
      </c>
      <c r="C1168" s="1077">
        <v>550</v>
      </c>
      <c r="D1168" s="1077">
        <v>1.7</v>
      </c>
      <c r="E1168" s="1077" t="s">
        <v>15095</v>
      </c>
      <c r="F1168" s="1077" t="s">
        <v>1897</v>
      </c>
      <c r="G1168" s="1077">
        <v>5</v>
      </c>
      <c r="H1168" s="1077" t="s">
        <v>4379</v>
      </c>
      <c r="I1168" s="1077" t="s">
        <v>126</v>
      </c>
      <c r="J1168" s="1077">
        <v>1.2</v>
      </c>
      <c r="K1168" s="1077" t="s">
        <v>4377</v>
      </c>
      <c r="L1168" s="1077" t="s">
        <v>4080</v>
      </c>
      <c r="M1168" s="1077">
        <v>103.3</v>
      </c>
      <c r="N1168" s="1077" t="s">
        <v>945</v>
      </c>
      <c r="O1168" s="1077">
        <v>2.5825</v>
      </c>
      <c r="P1168" s="1077">
        <v>2.0659999999999998</v>
      </c>
      <c r="Q1168" s="1077">
        <v>4</v>
      </c>
      <c r="R1168" s="1077">
        <v>25</v>
      </c>
      <c r="T1168" s="1077">
        <v>10</v>
      </c>
      <c r="U1168" s="1077">
        <v>5.8</v>
      </c>
      <c r="V1168" s="1077" t="s">
        <v>648</v>
      </c>
      <c r="W1168" s="1077">
        <v>125</v>
      </c>
      <c r="X1168" s="1077">
        <v>80</v>
      </c>
      <c r="Y1168" s="1077">
        <v>1.5</v>
      </c>
      <c r="Z1168" s="1077">
        <v>4</v>
      </c>
      <c r="AA1168" s="1077" t="s">
        <v>4380</v>
      </c>
      <c r="AH1168" s="1077" t="s">
        <v>1588</v>
      </c>
      <c r="AM1168" s="1078" t="s">
        <v>11355</v>
      </c>
      <c r="AN1168" s="1078" t="s">
        <v>11356</v>
      </c>
      <c r="AO1168" s="1078">
        <f t="shared" si="150"/>
        <v>550</v>
      </c>
      <c r="AP1168" s="1078">
        <f t="shared" si="151"/>
        <v>1.7</v>
      </c>
      <c r="AQ1168" s="1078" t="str">
        <f t="shared" si="152"/>
        <v>1-5-1S83°</v>
      </c>
      <c r="AR1168" s="1078" t="str">
        <f t="shared" si="153"/>
        <v>30.8</v>
      </c>
      <c r="AS1168" s="1078" t="str">
        <f t="shared" si="154"/>
        <v>206/206/OFF</v>
      </c>
      <c r="AT1168" s="1078" t="str">
        <f t="shared" si="155"/>
        <v>1-5-1S83°</v>
      </c>
      <c r="AV1168" s="1078" t="str">
        <f t="shared" si="148"/>
        <v>111.10.12</v>
      </c>
      <c r="AW1168" s="1344">
        <f t="shared" si="149"/>
        <v>44846</v>
      </c>
    </row>
    <row r="1169" spans="1:49">
      <c r="A1169" s="1077" t="s">
        <v>4381</v>
      </c>
      <c r="B1169" s="1077" t="s">
        <v>4330</v>
      </c>
      <c r="C1169" s="1077">
        <v>450</v>
      </c>
      <c r="D1169" s="1077">
        <v>1.72</v>
      </c>
      <c r="E1169" s="1077" t="s">
        <v>15104</v>
      </c>
      <c r="F1169" s="1077" t="s">
        <v>648</v>
      </c>
      <c r="G1169" s="1077">
        <v>4</v>
      </c>
      <c r="H1169" s="1077" t="s">
        <v>1799</v>
      </c>
      <c r="I1169" s="1077" t="s">
        <v>126</v>
      </c>
      <c r="J1169" s="1077">
        <v>0.8</v>
      </c>
      <c r="K1169" s="1077" t="s">
        <v>4374</v>
      </c>
      <c r="L1169" s="1077" t="s">
        <v>4332</v>
      </c>
      <c r="M1169" s="1077">
        <v>103.8</v>
      </c>
      <c r="N1169" s="1077" t="s">
        <v>945</v>
      </c>
      <c r="O1169" s="1077">
        <v>2.5950000000000002</v>
      </c>
      <c r="P1169" s="1077">
        <v>2.0760000000000001</v>
      </c>
      <c r="Q1169" s="1077">
        <v>4</v>
      </c>
      <c r="R1169" s="1077">
        <v>22</v>
      </c>
      <c r="T1169" s="1077">
        <v>16</v>
      </c>
      <c r="U1169" s="1077">
        <v>4.5</v>
      </c>
      <c r="V1169" s="1077" t="s">
        <v>648</v>
      </c>
      <c r="W1169" s="1077">
        <v>125</v>
      </c>
      <c r="X1169" s="1077">
        <v>80</v>
      </c>
      <c r="Y1169" s="1077">
        <v>2</v>
      </c>
      <c r="Z1169" s="1077" t="s">
        <v>648</v>
      </c>
      <c r="AA1169" s="1077" t="s">
        <v>1530</v>
      </c>
      <c r="AH1169" s="1077" t="s">
        <v>868</v>
      </c>
      <c r="AM1169" s="1078" t="s">
        <v>11357</v>
      </c>
      <c r="AN1169" s="1078" t="s">
        <v>11358</v>
      </c>
      <c r="AO1169" s="1078">
        <f t="shared" si="150"/>
        <v>450</v>
      </c>
      <c r="AP1169" s="1078">
        <f t="shared" si="151"/>
        <v>1.72</v>
      </c>
      <c r="AQ1169" s="1078" t="str">
        <f t="shared" si="152"/>
        <v>1-4-1S85°Z+S</v>
      </c>
      <c r="AR1169" s="1078" t="str">
        <f t="shared" si="153"/>
        <v>NA</v>
      </c>
      <c r="AS1169" s="1078" t="str">
        <f t="shared" si="154"/>
        <v>153/OFF</v>
      </c>
      <c r="AT1169" s="1078" t="str">
        <f t="shared" si="155"/>
        <v>1-4-1S85°Z+S</v>
      </c>
      <c r="AU1169" s="1078" t="s">
        <v>15547</v>
      </c>
      <c r="AV1169" s="1078" t="str">
        <f t="shared" si="148"/>
        <v>111.10.17</v>
      </c>
      <c r="AW1169" s="1344">
        <f t="shared" si="149"/>
        <v>44851</v>
      </c>
    </row>
    <row r="1170" spans="1:49">
      <c r="A1170" s="1077" t="s">
        <v>4382</v>
      </c>
      <c r="B1170" s="1077" t="s">
        <v>4113</v>
      </c>
      <c r="C1170" s="1077">
        <v>550</v>
      </c>
      <c r="D1170" s="1077">
        <v>1.65</v>
      </c>
      <c r="E1170" s="1077" t="s">
        <v>15095</v>
      </c>
      <c r="F1170" s="1077" t="s">
        <v>1897</v>
      </c>
      <c r="G1170" s="1077">
        <v>5</v>
      </c>
      <c r="H1170" s="1077" t="s">
        <v>2295</v>
      </c>
      <c r="I1170" s="1077" t="s">
        <v>126</v>
      </c>
      <c r="J1170" s="1077">
        <v>1.1000000000000001</v>
      </c>
      <c r="K1170" s="1077" t="s">
        <v>4285</v>
      </c>
      <c r="L1170" s="1077" t="s">
        <v>4147</v>
      </c>
      <c r="M1170" s="1077">
        <v>103.3</v>
      </c>
      <c r="N1170" s="1077" t="s">
        <v>945</v>
      </c>
      <c r="O1170" s="1077">
        <v>2.5825</v>
      </c>
      <c r="P1170" s="1077">
        <v>2.0659999999999998</v>
      </c>
      <c r="Q1170" s="1077">
        <v>4</v>
      </c>
      <c r="R1170" s="1077">
        <v>25</v>
      </c>
      <c r="T1170" s="1077">
        <v>10</v>
      </c>
      <c r="U1170" s="1077">
        <v>5.8</v>
      </c>
      <c r="V1170" s="1077" t="s">
        <v>648</v>
      </c>
      <c r="W1170" s="1077">
        <v>125</v>
      </c>
      <c r="X1170" s="1077">
        <v>80</v>
      </c>
      <c r="Y1170" s="1077">
        <v>1.5</v>
      </c>
      <c r="Z1170" s="1077">
        <v>4</v>
      </c>
      <c r="AA1170" s="1077" t="s">
        <v>4383</v>
      </c>
      <c r="AH1170" s="1077" t="s">
        <v>483</v>
      </c>
      <c r="AM1170" s="1078" t="s">
        <v>11359</v>
      </c>
      <c r="AN1170" s="1078" t="s">
        <v>11360</v>
      </c>
      <c r="AO1170" s="1078">
        <f t="shared" si="150"/>
        <v>550</v>
      </c>
      <c r="AP1170" s="1078">
        <f t="shared" si="151"/>
        <v>1.65</v>
      </c>
      <c r="AQ1170" s="1078" t="str">
        <f t="shared" si="152"/>
        <v>1-5-1S83°</v>
      </c>
      <c r="AR1170" s="1078" t="str">
        <f t="shared" si="153"/>
        <v>30.8</v>
      </c>
      <c r="AS1170" s="1078" t="str">
        <f t="shared" si="154"/>
        <v>205/205/OFF</v>
      </c>
      <c r="AT1170" s="1078" t="str">
        <f t="shared" si="155"/>
        <v>1-5-1S83°</v>
      </c>
      <c r="AV1170" s="1078" t="str">
        <f t="shared" si="148"/>
        <v>111.10.21</v>
      </c>
      <c r="AW1170" s="1344">
        <f t="shared" si="149"/>
        <v>44855</v>
      </c>
    </row>
    <row r="1171" spans="1:49">
      <c r="A1171" s="1077" t="s">
        <v>4384</v>
      </c>
      <c r="B1171" s="1077" t="s">
        <v>4113</v>
      </c>
      <c r="C1171" s="1077">
        <v>550</v>
      </c>
      <c r="D1171" s="1077">
        <v>1.66</v>
      </c>
      <c r="E1171" s="1077" t="s">
        <v>15095</v>
      </c>
      <c r="F1171" s="1077" t="s">
        <v>1897</v>
      </c>
      <c r="G1171" s="1077">
        <v>5</v>
      </c>
      <c r="H1171" s="1077" t="s">
        <v>2295</v>
      </c>
      <c r="I1171" s="1077" t="s">
        <v>126</v>
      </c>
      <c r="J1171" s="1077">
        <v>1.2</v>
      </c>
      <c r="K1171" s="1077" t="s">
        <v>4385</v>
      </c>
      <c r="L1171" s="1077" t="s">
        <v>4147</v>
      </c>
      <c r="M1171" s="1077">
        <v>103.3</v>
      </c>
      <c r="N1171" s="1077" t="s">
        <v>945</v>
      </c>
      <c r="O1171" s="1077">
        <v>2.5825</v>
      </c>
      <c r="P1171" s="1077">
        <v>2.0659999999999998</v>
      </c>
      <c r="Q1171" s="1077">
        <v>4</v>
      </c>
      <c r="R1171" s="1077">
        <v>25</v>
      </c>
      <c r="T1171" s="1077">
        <v>10</v>
      </c>
      <c r="U1171" s="1077">
        <v>5.8</v>
      </c>
      <c r="V1171" s="1077" t="s">
        <v>648</v>
      </c>
      <c r="W1171" s="1077">
        <v>125</v>
      </c>
      <c r="X1171" s="1077">
        <v>80</v>
      </c>
      <c r="Y1171" s="1077">
        <v>1.5</v>
      </c>
      <c r="Z1171" s="1077">
        <v>4</v>
      </c>
      <c r="AA1171" s="1077" t="s">
        <v>4386</v>
      </c>
      <c r="AH1171" s="1077" t="s">
        <v>884</v>
      </c>
      <c r="AM1171" s="1078" t="s">
        <v>11361</v>
      </c>
      <c r="AN1171" s="1078" t="s">
        <v>11362</v>
      </c>
      <c r="AO1171" s="1078">
        <f t="shared" si="150"/>
        <v>550</v>
      </c>
      <c r="AP1171" s="1078">
        <f t="shared" si="151"/>
        <v>1.66</v>
      </c>
      <c r="AQ1171" s="1078" t="str">
        <f t="shared" si="152"/>
        <v>1-5-1S83°</v>
      </c>
      <c r="AR1171" s="1078" t="str">
        <f t="shared" si="153"/>
        <v>30.8</v>
      </c>
      <c r="AS1171" s="1078" t="str">
        <f t="shared" si="154"/>
        <v>205/205/OFF</v>
      </c>
      <c r="AT1171" s="1078" t="str">
        <f t="shared" si="155"/>
        <v>1-5-1S83°</v>
      </c>
      <c r="AV1171" s="1078" t="str">
        <f t="shared" si="148"/>
        <v>111.11.16</v>
      </c>
      <c r="AW1171" s="1344">
        <f t="shared" si="149"/>
        <v>44881</v>
      </c>
    </row>
    <row r="1172" spans="1:49">
      <c r="A1172" s="1077" t="s">
        <v>4387</v>
      </c>
      <c r="B1172" s="1077" t="s">
        <v>4330</v>
      </c>
      <c r="C1172" s="1077">
        <v>450</v>
      </c>
      <c r="D1172" s="1077">
        <v>1.7</v>
      </c>
      <c r="E1172" s="1077" t="s">
        <v>15108</v>
      </c>
      <c r="F1172" s="1077" t="s">
        <v>984</v>
      </c>
      <c r="G1172" s="1077">
        <v>4</v>
      </c>
      <c r="H1172" s="1077" t="s">
        <v>1017</v>
      </c>
      <c r="I1172" s="1077" t="s">
        <v>126</v>
      </c>
      <c r="J1172" s="1077">
        <v>0.8</v>
      </c>
      <c r="K1172" s="1077" t="s">
        <v>4374</v>
      </c>
      <c r="L1172" s="1077" t="s">
        <v>4332</v>
      </c>
      <c r="M1172" s="1077">
        <v>103.8</v>
      </c>
      <c r="N1172" s="1077" t="s">
        <v>945</v>
      </c>
      <c r="O1172" s="1077">
        <v>2.5950000000000002</v>
      </c>
      <c r="P1172" s="1077">
        <v>2.0760000000000001</v>
      </c>
      <c r="Q1172" s="1077">
        <v>4</v>
      </c>
      <c r="R1172" s="1077">
        <v>22</v>
      </c>
      <c r="T1172" s="1077">
        <v>16</v>
      </c>
      <c r="U1172" s="1077">
        <v>4.5</v>
      </c>
      <c r="V1172" s="1077" t="s">
        <v>648</v>
      </c>
      <c r="W1172" s="1077">
        <v>125</v>
      </c>
      <c r="X1172" s="1077">
        <v>80</v>
      </c>
      <c r="Y1172" s="1077">
        <v>2</v>
      </c>
      <c r="Z1172" s="1077" t="s">
        <v>648</v>
      </c>
      <c r="AA1172" s="1077" t="s">
        <v>1550</v>
      </c>
      <c r="AH1172" s="1077" t="s">
        <v>621</v>
      </c>
      <c r="AM1172" s="1078" t="s">
        <v>11363</v>
      </c>
      <c r="AN1172" s="1078" t="s">
        <v>11364</v>
      </c>
      <c r="AO1172" s="1078">
        <f t="shared" si="150"/>
        <v>450</v>
      </c>
      <c r="AP1172" s="1078">
        <f t="shared" si="151"/>
        <v>1.7</v>
      </c>
      <c r="AQ1172" s="1078" t="str">
        <f t="shared" si="152"/>
        <v>1-4-1S83°Z+S</v>
      </c>
      <c r="AR1172" s="1078" t="str">
        <f t="shared" si="153"/>
        <v>30</v>
      </c>
      <c r="AS1172" s="1078" t="str">
        <f t="shared" si="154"/>
        <v>200/200/OFF</v>
      </c>
      <c r="AT1172" s="1078" t="str">
        <f t="shared" si="155"/>
        <v>1-4-1S83°Z+S</v>
      </c>
      <c r="AU1172" s="1078" t="s">
        <v>15547</v>
      </c>
      <c r="AV1172" s="1078" t="str">
        <f t="shared" si="148"/>
        <v>111.12.19</v>
      </c>
      <c r="AW1172" s="1344">
        <f t="shared" si="149"/>
        <v>44914</v>
      </c>
    </row>
    <row r="1173" spans="1:49">
      <c r="A1173" s="1077" t="s">
        <v>4388</v>
      </c>
      <c r="B1173" s="1077" t="s">
        <v>298</v>
      </c>
      <c r="C1173" s="1077">
        <v>600</v>
      </c>
      <c r="D1173" s="1077">
        <v>1.72</v>
      </c>
      <c r="E1173" s="1077" t="s">
        <v>15102</v>
      </c>
      <c r="F1173" s="1077" t="s">
        <v>954</v>
      </c>
      <c r="G1173" s="1077" t="s">
        <v>1767</v>
      </c>
      <c r="H1173" s="1077" t="s">
        <v>1263</v>
      </c>
      <c r="I1173" s="1077" t="s">
        <v>1112</v>
      </c>
      <c r="J1173" s="1077">
        <v>1.5</v>
      </c>
      <c r="K1173" s="1077" t="s">
        <v>4389</v>
      </c>
      <c r="L1173" s="1077" t="s">
        <v>4029</v>
      </c>
      <c r="M1173" s="1077">
        <v>103.2</v>
      </c>
      <c r="N1173" s="1077" t="s">
        <v>945</v>
      </c>
      <c r="O1173" s="1077">
        <v>2.58</v>
      </c>
      <c r="P1173" s="1077">
        <v>2.0640000000000001</v>
      </c>
      <c r="Q1173" s="1077">
        <v>4</v>
      </c>
      <c r="R1173" s="1077">
        <v>19.5</v>
      </c>
      <c r="T1173" s="1077">
        <v>27.3</v>
      </c>
      <c r="U1173" s="1077">
        <v>4</v>
      </c>
      <c r="V1173" s="1077" t="s">
        <v>648</v>
      </c>
      <c r="W1173" s="1077">
        <v>120</v>
      </c>
      <c r="X1173" s="1077">
        <v>60</v>
      </c>
      <c r="Y1173" s="1077">
        <v>1.7</v>
      </c>
      <c r="Z1173" s="1077">
        <v>6</v>
      </c>
      <c r="AA1173" s="1077" t="s">
        <v>4390</v>
      </c>
      <c r="AB1173" s="1077" t="s">
        <v>4391</v>
      </c>
      <c r="AH1173" s="1077" t="s">
        <v>869</v>
      </c>
      <c r="AM1173" s="1078" t="s">
        <v>11365</v>
      </c>
      <c r="AN1173" s="1078" t="s">
        <v>11366</v>
      </c>
      <c r="AO1173" s="1078">
        <f t="shared" si="150"/>
        <v>600</v>
      </c>
      <c r="AP1173" s="1078">
        <f t="shared" si="151"/>
        <v>1.72</v>
      </c>
      <c r="AQ1173" s="1078" t="str">
        <f t="shared" si="152"/>
        <v>2-6-1S83°</v>
      </c>
      <c r="AR1173" s="1078" t="str">
        <f t="shared" si="153"/>
        <v>31</v>
      </c>
      <c r="AS1173" s="1078" t="str">
        <f t="shared" si="154"/>
        <v>163/OFF</v>
      </c>
      <c r="AT1173" s="1078" t="str">
        <f t="shared" si="155"/>
        <v>2-6-1S83°</v>
      </c>
      <c r="AV1173" s="1078" t="str">
        <f t="shared" si="148"/>
        <v>112.1.10</v>
      </c>
      <c r="AW1173" s="1344">
        <f t="shared" si="149"/>
        <v>44936</v>
      </c>
    </row>
    <row r="1174" spans="1:49">
      <c r="A1174" s="1077" t="s">
        <v>4392</v>
      </c>
      <c r="B1174" s="1077" t="s">
        <v>4113</v>
      </c>
      <c r="C1174" s="1077">
        <v>550</v>
      </c>
      <c r="D1174" s="1077">
        <v>1.6719999999999999</v>
      </c>
      <c r="E1174" s="1077" t="s">
        <v>15102</v>
      </c>
      <c r="F1174" s="1077" t="s">
        <v>1469</v>
      </c>
      <c r="G1174" s="1077">
        <v>5</v>
      </c>
      <c r="H1174" s="1077" t="s">
        <v>4393</v>
      </c>
      <c r="I1174" s="1077" t="s">
        <v>1112</v>
      </c>
      <c r="J1174" s="1077">
        <v>1.1000000000000001</v>
      </c>
      <c r="K1174" s="1077" t="s">
        <v>4385</v>
      </c>
      <c r="L1174" s="1077" t="s">
        <v>4147</v>
      </c>
      <c r="M1174" s="1077">
        <v>103.3</v>
      </c>
      <c r="N1174" s="1077" t="s">
        <v>945</v>
      </c>
      <c r="O1174" s="1077">
        <v>2.5825</v>
      </c>
      <c r="P1174" s="1077">
        <v>2.0659999999999998</v>
      </c>
      <c r="Q1174" s="1077">
        <v>4</v>
      </c>
      <c r="R1174" s="1077">
        <v>25</v>
      </c>
      <c r="T1174" s="1077">
        <v>10</v>
      </c>
      <c r="U1174" s="1077">
        <v>5.8</v>
      </c>
      <c r="V1174" s="1077" t="s">
        <v>648</v>
      </c>
      <c r="W1174" s="1077">
        <v>125</v>
      </c>
      <c r="X1174" s="1077">
        <v>80</v>
      </c>
      <c r="Y1174" s="1077">
        <v>1.5</v>
      </c>
      <c r="Z1174" s="1077">
        <v>4</v>
      </c>
      <c r="AA1174" s="1077" t="s">
        <v>1560</v>
      </c>
      <c r="AH1174" s="1077" t="s">
        <v>842</v>
      </c>
      <c r="AM1174" s="1078" t="s">
        <v>11367</v>
      </c>
      <c r="AN1174" s="1078" t="s">
        <v>11368</v>
      </c>
      <c r="AO1174" s="1078">
        <f t="shared" si="150"/>
        <v>550</v>
      </c>
      <c r="AP1174" s="1078">
        <f t="shared" si="151"/>
        <v>1.6719999999999999</v>
      </c>
      <c r="AQ1174" s="1078" t="str">
        <f t="shared" si="152"/>
        <v>2-6-1S83°</v>
      </c>
      <c r="AR1174" s="1078" t="str">
        <f t="shared" si="153"/>
        <v>30.5</v>
      </c>
      <c r="AS1174" s="1078" t="str">
        <f t="shared" si="154"/>
        <v>145/OFF</v>
      </c>
      <c r="AT1174" s="1078" t="str">
        <f t="shared" si="155"/>
        <v>2-6-1S83°</v>
      </c>
      <c r="AV1174" s="1078" t="str">
        <f t="shared" si="148"/>
        <v>112.2.6</v>
      </c>
      <c r="AW1174" s="1344">
        <f t="shared" si="149"/>
        <v>44963</v>
      </c>
    </row>
    <row r="1175" spans="1:49">
      <c r="A1175" s="1077" t="s">
        <v>4394</v>
      </c>
      <c r="B1175" s="1077" t="s">
        <v>4330</v>
      </c>
      <c r="C1175" s="1077">
        <v>450</v>
      </c>
      <c r="D1175" s="1077">
        <v>1.7</v>
      </c>
      <c r="E1175" s="1077" t="s">
        <v>15108</v>
      </c>
      <c r="F1175" s="1077" t="s">
        <v>984</v>
      </c>
      <c r="G1175" s="1077">
        <v>4</v>
      </c>
      <c r="H1175" s="1077" t="s">
        <v>1017</v>
      </c>
      <c r="I1175" s="1077" t="s">
        <v>126</v>
      </c>
      <c r="J1175" s="1077">
        <v>0.8</v>
      </c>
      <c r="K1175" s="1077" t="s">
        <v>4374</v>
      </c>
      <c r="L1175" s="1077" t="s">
        <v>4332</v>
      </c>
      <c r="M1175" s="1077">
        <v>103.8</v>
      </c>
      <c r="N1175" s="1077" t="s">
        <v>945</v>
      </c>
      <c r="O1175" s="1077">
        <v>2.5950000000000002</v>
      </c>
      <c r="P1175" s="1077">
        <v>2.0760000000000001</v>
      </c>
      <c r="Q1175" s="1077">
        <v>4</v>
      </c>
      <c r="R1175" s="1077">
        <v>22</v>
      </c>
      <c r="T1175" s="1077">
        <v>16</v>
      </c>
      <c r="U1175" s="1077">
        <v>4.5</v>
      </c>
      <c r="V1175" s="1077" t="s">
        <v>648</v>
      </c>
      <c r="W1175" s="1077">
        <v>125</v>
      </c>
      <c r="X1175" s="1077" t="s">
        <v>4395</v>
      </c>
      <c r="Y1175" s="1077">
        <v>2</v>
      </c>
      <c r="Z1175" s="1077" t="s">
        <v>648</v>
      </c>
      <c r="AA1175" s="1077" t="s">
        <v>4396</v>
      </c>
      <c r="AH1175" s="1077" t="s">
        <v>468</v>
      </c>
      <c r="AM1175" s="1078" t="s">
        <v>11369</v>
      </c>
      <c r="AN1175" s="1078" t="s">
        <v>11370</v>
      </c>
      <c r="AO1175" s="1078">
        <f t="shared" si="150"/>
        <v>450</v>
      </c>
      <c r="AP1175" s="1078">
        <f t="shared" si="151"/>
        <v>1.7</v>
      </c>
      <c r="AQ1175" s="1078" t="str">
        <f t="shared" si="152"/>
        <v>1-4-1S83°Z+S</v>
      </c>
      <c r="AR1175" s="1078" t="str">
        <f t="shared" si="153"/>
        <v>30</v>
      </c>
      <c r="AS1175" s="1078" t="str">
        <f t="shared" si="154"/>
        <v>200/200/OFF</v>
      </c>
      <c r="AT1175" s="1078" t="str">
        <f t="shared" si="155"/>
        <v>1-4-1S83°Z+S</v>
      </c>
      <c r="AU1175" s="1078" t="s">
        <v>15547</v>
      </c>
      <c r="AV1175" s="1078" t="str">
        <f t="shared" si="148"/>
        <v>111.12.30</v>
      </c>
      <c r="AW1175" s="1344">
        <f t="shared" si="149"/>
        <v>44925</v>
      </c>
    </row>
    <row r="1176" spans="1:49">
      <c r="A1176" s="1077" t="s">
        <v>4397</v>
      </c>
      <c r="B1176" s="1077" t="s">
        <v>298</v>
      </c>
      <c r="C1176" s="1077">
        <v>600</v>
      </c>
      <c r="D1176" s="1077">
        <v>1.7250000000000001</v>
      </c>
      <c r="E1176" s="1077" t="s">
        <v>15102</v>
      </c>
      <c r="F1176" s="1077" t="s">
        <v>4398</v>
      </c>
      <c r="G1176" s="1077" t="s">
        <v>1767</v>
      </c>
      <c r="H1176" s="1077" t="s">
        <v>4399</v>
      </c>
      <c r="I1176" s="1077" t="s">
        <v>648</v>
      </c>
      <c r="J1176" s="1077">
        <v>0</v>
      </c>
      <c r="K1176" s="1077" t="s">
        <v>4400</v>
      </c>
      <c r="L1176" s="1077" t="s">
        <v>4029</v>
      </c>
      <c r="M1176" s="1077">
        <v>103</v>
      </c>
      <c r="N1176" s="1077" t="s">
        <v>945</v>
      </c>
      <c r="O1176" s="1077">
        <v>2.5750000000000002</v>
      </c>
      <c r="P1176" s="1077">
        <v>2.06</v>
      </c>
      <c r="Q1176" s="1077">
        <v>4</v>
      </c>
      <c r="R1176" s="1077">
        <v>23.5</v>
      </c>
      <c r="T1176" s="1077">
        <v>18.5</v>
      </c>
      <c r="U1176" s="1077">
        <v>2.1</v>
      </c>
      <c r="V1176" s="1077" t="s">
        <v>648</v>
      </c>
      <c r="W1176" s="1077" t="s">
        <v>648</v>
      </c>
      <c r="X1176" s="1077" t="s">
        <v>648</v>
      </c>
      <c r="Y1176" s="1077">
        <v>1.3</v>
      </c>
      <c r="Z1176" s="1077">
        <v>4</v>
      </c>
      <c r="AA1176" s="1077" t="s">
        <v>4401</v>
      </c>
      <c r="AH1176" s="1077" t="s">
        <v>1486</v>
      </c>
      <c r="AM1176" s="1078" t="s">
        <v>11371</v>
      </c>
      <c r="AN1176" s="1078" t="s">
        <v>11372</v>
      </c>
      <c r="AO1176" s="1078">
        <f t="shared" si="150"/>
        <v>600</v>
      </c>
      <c r="AP1176" s="1078">
        <f t="shared" si="151"/>
        <v>1.7250000000000001</v>
      </c>
      <c r="AQ1176" s="1078" t="str">
        <f t="shared" si="152"/>
        <v>2-6-1S83°</v>
      </c>
      <c r="AR1176" s="1078" t="str">
        <f t="shared" si="153"/>
        <v>32.3</v>
      </c>
      <c r="AS1176" s="1078" t="str">
        <f t="shared" si="154"/>
        <v>180/175</v>
      </c>
      <c r="AT1176" s="1078" t="str">
        <f t="shared" si="155"/>
        <v>2-6-1S83°</v>
      </c>
      <c r="AV1176" s="1078" t="str">
        <f t="shared" si="148"/>
        <v>112.1.20</v>
      </c>
      <c r="AW1176" s="1344">
        <f t="shared" si="149"/>
        <v>44946</v>
      </c>
    </row>
    <row r="1177" spans="1:49">
      <c r="A1177" s="1077" t="s">
        <v>4402</v>
      </c>
      <c r="B1177" s="1077" t="s">
        <v>4062</v>
      </c>
      <c r="C1177" s="1077">
        <v>550</v>
      </c>
      <c r="D1177" s="1077">
        <v>1.7</v>
      </c>
      <c r="E1177" s="1077" t="s">
        <v>15095</v>
      </c>
      <c r="F1177" s="1077" t="s">
        <v>1897</v>
      </c>
      <c r="G1177" s="1077">
        <v>5</v>
      </c>
      <c r="H1177" s="1077" t="s">
        <v>4403</v>
      </c>
      <c r="I1177" s="1077" t="s">
        <v>126</v>
      </c>
      <c r="J1177" s="1077">
        <v>0.5</v>
      </c>
      <c r="K1177" s="1077" t="s">
        <v>4377</v>
      </c>
      <c r="L1177" s="1077" t="s">
        <v>4080</v>
      </c>
      <c r="M1177" s="1077">
        <v>104.5</v>
      </c>
      <c r="N1177" s="1077" t="s">
        <v>945</v>
      </c>
      <c r="O1177" s="1077">
        <v>2.6125000000000003</v>
      </c>
      <c r="P1177" s="1077">
        <v>2.09</v>
      </c>
      <c r="Q1177" s="1077">
        <v>3.5</v>
      </c>
      <c r="R1177" s="1077">
        <v>21</v>
      </c>
      <c r="T1177" s="1077">
        <v>7.5</v>
      </c>
      <c r="U1177" s="1077">
        <v>4.7</v>
      </c>
      <c r="V1177" s="1077" t="s">
        <v>648</v>
      </c>
      <c r="W1177" s="1077">
        <v>80</v>
      </c>
      <c r="X1177" s="1077">
        <v>10</v>
      </c>
      <c r="Y1177" s="1077">
        <v>1.2</v>
      </c>
      <c r="Z1177" s="1077">
        <v>3</v>
      </c>
      <c r="AA1177" s="1077" t="s">
        <v>4404</v>
      </c>
      <c r="AH1177" s="1077" t="s">
        <v>619</v>
      </c>
      <c r="AM1177" s="1078" t="s">
        <v>11373</v>
      </c>
      <c r="AN1177" s="1078" t="s">
        <v>11374</v>
      </c>
      <c r="AO1177" s="1078">
        <f t="shared" si="150"/>
        <v>550</v>
      </c>
      <c r="AP1177" s="1078">
        <f t="shared" si="151"/>
        <v>1.7</v>
      </c>
      <c r="AQ1177" s="1078" t="str">
        <f t="shared" si="152"/>
        <v>1-5-1S83°</v>
      </c>
      <c r="AR1177" s="1078" t="str">
        <f t="shared" si="153"/>
        <v>30.8</v>
      </c>
      <c r="AS1177" s="1078" t="str">
        <f t="shared" si="154"/>
        <v>210/210/140</v>
      </c>
      <c r="AT1177" s="1078" t="str">
        <f t="shared" si="155"/>
        <v>1-5-1S83°</v>
      </c>
      <c r="AV1177" s="1078" t="str">
        <f t="shared" si="148"/>
        <v>112.1.31</v>
      </c>
      <c r="AW1177" s="1344">
        <f t="shared" si="149"/>
        <v>44957</v>
      </c>
    </row>
    <row r="1178" spans="1:49">
      <c r="A1178" s="1077" t="s">
        <v>4405</v>
      </c>
      <c r="B1178" s="1077" t="s">
        <v>298</v>
      </c>
      <c r="C1178" s="1077">
        <v>600</v>
      </c>
      <c r="D1178" s="1077">
        <v>1.75</v>
      </c>
      <c r="E1178" s="1077" t="s">
        <v>15102</v>
      </c>
      <c r="F1178" s="1077" t="s">
        <v>954</v>
      </c>
      <c r="G1178" s="1077" t="s">
        <v>1767</v>
      </c>
      <c r="H1178" s="1077" t="s">
        <v>4163</v>
      </c>
      <c r="I1178" s="1077" t="s">
        <v>648</v>
      </c>
      <c r="J1178" s="1077">
        <v>0</v>
      </c>
      <c r="K1178" s="1077" t="s">
        <v>4406</v>
      </c>
      <c r="L1178" s="1077" t="s">
        <v>4029</v>
      </c>
      <c r="M1178" s="1077">
        <v>103</v>
      </c>
      <c r="N1178" s="1077" t="s">
        <v>945</v>
      </c>
      <c r="O1178" s="1077">
        <v>2.5750000000000002</v>
      </c>
      <c r="P1178" s="1077">
        <v>2.06</v>
      </c>
      <c r="Q1178" s="1077">
        <v>4</v>
      </c>
      <c r="R1178" s="1077">
        <v>23.5</v>
      </c>
      <c r="T1178" s="1077">
        <v>18.5</v>
      </c>
      <c r="U1178" s="1077">
        <v>2.1</v>
      </c>
      <c r="V1178" s="1077" t="s">
        <v>648</v>
      </c>
      <c r="W1178" s="1077" t="s">
        <v>648</v>
      </c>
      <c r="X1178" s="1077" t="s">
        <v>648</v>
      </c>
      <c r="Y1178" s="1077">
        <v>1.3</v>
      </c>
      <c r="Z1178" s="1077">
        <v>4</v>
      </c>
      <c r="AA1178" s="1077" t="s">
        <v>3442</v>
      </c>
      <c r="AH1178" s="1077" t="s">
        <v>785</v>
      </c>
      <c r="AM1178" s="1078" t="s">
        <v>11375</v>
      </c>
      <c r="AN1178" s="1078" t="s">
        <v>11376</v>
      </c>
      <c r="AO1178" s="1078">
        <f t="shared" si="150"/>
        <v>600</v>
      </c>
      <c r="AP1178" s="1078">
        <f t="shared" si="151"/>
        <v>1.75</v>
      </c>
      <c r="AQ1178" s="1078" t="str">
        <f t="shared" si="152"/>
        <v>2-6-1S83°</v>
      </c>
      <c r="AR1178" s="1078" t="str">
        <f t="shared" si="153"/>
        <v>31</v>
      </c>
      <c r="AS1178" s="1078" t="str">
        <f t="shared" si="154"/>
        <v>178/175</v>
      </c>
      <c r="AT1178" s="1078" t="str">
        <f t="shared" si="155"/>
        <v>2-6-1S83°</v>
      </c>
      <c r="AV1178" s="1078" t="str">
        <f t="shared" si="148"/>
        <v>112.2.17</v>
      </c>
      <c r="AW1178" s="1344">
        <f t="shared" si="149"/>
        <v>44974</v>
      </c>
    </row>
    <row r="1179" spans="1:49">
      <c r="A1179" s="1077" t="s">
        <v>4407</v>
      </c>
      <c r="B1179" s="1077" t="s">
        <v>4062</v>
      </c>
      <c r="C1179" s="1077">
        <v>550</v>
      </c>
      <c r="D1179" s="1077">
        <v>1.7</v>
      </c>
      <c r="E1179" s="1077" t="s">
        <v>15110</v>
      </c>
      <c r="F1179" s="1077" t="s">
        <v>1897</v>
      </c>
      <c r="G1179" s="1077">
        <v>5</v>
      </c>
      <c r="H1179" s="1077" t="s">
        <v>4403</v>
      </c>
      <c r="I1179" s="1077" t="s">
        <v>126</v>
      </c>
      <c r="J1179" s="1077">
        <v>0.5</v>
      </c>
      <c r="K1179" s="1077" t="s">
        <v>4377</v>
      </c>
      <c r="L1179" s="1077" t="s">
        <v>4080</v>
      </c>
      <c r="M1179" s="1077">
        <v>104.5</v>
      </c>
      <c r="N1179" s="1077" t="s">
        <v>945</v>
      </c>
      <c r="O1179" s="1077">
        <v>2.6125000000000003</v>
      </c>
      <c r="P1179" s="1077">
        <v>2.09</v>
      </c>
      <c r="Q1179" s="1077">
        <v>3.5</v>
      </c>
      <c r="R1179" s="1077">
        <v>21</v>
      </c>
      <c r="T1179" s="1077">
        <v>7.5</v>
      </c>
      <c r="U1179" s="1077">
        <v>4.7</v>
      </c>
      <c r="V1179" s="1077" t="s">
        <v>648</v>
      </c>
      <c r="W1179" s="1077">
        <v>80</v>
      </c>
      <c r="X1179" s="1077">
        <v>10</v>
      </c>
      <c r="Y1179" s="1077">
        <v>1.2</v>
      </c>
      <c r="Z1179" s="1077">
        <v>3</v>
      </c>
      <c r="AA1179" s="1077" t="s">
        <v>4408</v>
      </c>
      <c r="AH1179" s="1077" t="s">
        <v>994</v>
      </c>
      <c r="AM1179" s="1078" t="s">
        <v>11377</v>
      </c>
      <c r="AN1179" s="1078" t="s">
        <v>11378</v>
      </c>
      <c r="AO1179" s="1078">
        <f t="shared" si="150"/>
        <v>550</v>
      </c>
      <c r="AP1179" s="1078">
        <f t="shared" si="151"/>
        <v>1.7</v>
      </c>
      <c r="AQ1179" s="1078" t="str">
        <f t="shared" si="152"/>
        <v>1-5-1S撚S83°</v>
      </c>
      <c r="AR1179" s="1078" t="str">
        <f t="shared" si="153"/>
        <v>30.8</v>
      </c>
      <c r="AS1179" s="1078" t="str">
        <f t="shared" si="154"/>
        <v>210/210/140</v>
      </c>
      <c r="AT1179" s="1078" t="str">
        <f t="shared" si="155"/>
        <v>1-5-1S撚S83°</v>
      </c>
      <c r="AV1179" s="1078" t="str">
        <f t="shared" si="148"/>
        <v>112.1.30</v>
      </c>
      <c r="AW1179" s="1344">
        <f t="shared" si="149"/>
        <v>44956</v>
      </c>
    </row>
    <row r="1180" spans="1:49">
      <c r="A1180" s="1077" t="s">
        <v>4409</v>
      </c>
      <c r="B1180" s="1077" t="s">
        <v>298</v>
      </c>
      <c r="C1180" s="1077">
        <v>600</v>
      </c>
      <c r="D1180" s="1077">
        <v>1.74</v>
      </c>
      <c r="E1180" s="1077" t="s">
        <v>15102</v>
      </c>
      <c r="F1180" s="1077" t="s">
        <v>954</v>
      </c>
      <c r="G1180" s="1077" t="s">
        <v>1767</v>
      </c>
      <c r="H1180" s="1077" t="s">
        <v>4399</v>
      </c>
      <c r="I1180" s="1077" t="s">
        <v>648</v>
      </c>
      <c r="J1180" s="1077">
        <v>0</v>
      </c>
      <c r="K1180" s="1077" t="s">
        <v>4410</v>
      </c>
      <c r="L1180" s="1077" t="s">
        <v>4029</v>
      </c>
      <c r="M1180" s="1077">
        <v>103</v>
      </c>
      <c r="N1180" s="1077" t="s">
        <v>945</v>
      </c>
      <c r="O1180" s="1077">
        <v>2.5750000000000002</v>
      </c>
      <c r="P1180" s="1077">
        <v>2.06</v>
      </c>
      <c r="Q1180" s="1077">
        <v>4</v>
      </c>
      <c r="R1180" s="1077">
        <v>23.5</v>
      </c>
      <c r="T1180" s="1077">
        <v>18.5</v>
      </c>
      <c r="U1180" s="1077">
        <v>2.1</v>
      </c>
      <c r="V1180" s="1077" t="s">
        <v>648</v>
      </c>
      <c r="W1180" s="1077" t="s">
        <v>648</v>
      </c>
      <c r="X1180" s="1077" t="s">
        <v>648</v>
      </c>
      <c r="Y1180" s="1077">
        <v>1.3</v>
      </c>
      <c r="Z1180" s="1077">
        <v>4</v>
      </c>
      <c r="AA1180" s="1077" t="s">
        <v>4411</v>
      </c>
      <c r="AH1180" s="1077" t="s">
        <v>803</v>
      </c>
      <c r="AM1180" s="1078" t="s">
        <v>11379</v>
      </c>
      <c r="AN1180" s="1078" t="s">
        <v>11380</v>
      </c>
      <c r="AO1180" s="1078">
        <f t="shared" si="150"/>
        <v>600</v>
      </c>
      <c r="AP1180" s="1078">
        <f t="shared" si="151"/>
        <v>1.74</v>
      </c>
      <c r="AQ1180" s="1078" t="str">
        <f t="shared" si="152"/>
        <v>2-6-1S83°</v>
      </c>
      <c r="AR1180" s="1078" t="str">
        <f t="shared" si="153"/>
        <v>31</v>
      </c>
      <c r="AS1180" s="1078" t="str">
        <f t="shared" si="154"/>
        <v>180/175</v>
      </c>
      <c r="AT1180" s="1078" t="str">
        <f t="shared" si="155"/>
        <v>2-6-1S83°</v>
      </c>
      <c r="AV1180" s="1078" t="str">
        <f t="shared" si="148"/>
        <v>112.2.23</v>
      </c>
      <c r="AW1180" s="1344">
        <f t="shared" si="149"/>
        <v>44980</v>
      </c>
    </row>
    <row r="1181" spans="1:49">
      <c r="A1181" s="1077" t="s">
        <v>4412</v>
      </c>
      <c r="B1181" s="1077" t="s">
        <v>4330</v>
      </c>
      <c r="C1181" s="1077">
        <v>450</v>
      </c>
      <c r="D1181" s="1077">
        <v>1.7</v>
      </c>
      <c r="E1181" s="1077" t="s">
        <v>15108</v>
      </c>
      <c r="F1181" s="1077" t="s">
        <v>984</v>
      </c>
      <c r="G1181" s="1077">
        <v>4</v>
      </c>
      <c r="H1181" s="1077" t="s">
        <v>1017</v>
      </c>
      <c r="I1181" s="1077" t="s">
        <v>126</v>
      </c>
      <c r="J1181" s="1077">
        <v>1</v>
      </c>
      <c r="K1181" s="1077" t="s">
        <v>4413</v>
      </c>
      <c r="L1181" s="1077" t="s">
        <v>4332</v>
      </c>
      <c r="M1181" s="1077">
        <v>103.8</v>
      </c>
      <c r="N1181" s="1077" t="s">
        <v>945</v>
      </c>
      <c r="O1181" s="1077">
        <v>2.5950000000000002</v>
      </c>
      <c r="P1181" s="1077">
        <v>2.0760000000000001</v>
      </c>
      <c r="Q1181" s="1077">
        <v>4</v>
      </c>
      <c r="R1181" s="1077">
        <v>22</v>
      </c>
      <c r="T1181" s="1077">
        <v>16</v>
      </c>
      <c r="U1181" s="1077">
        <v>4.5</v>
      </c>
      <c r="V1181" s="1077" t="s">
        <v>648</v>
      </c>
      <c r="W1181" s="1077">
        <v>125</v>
      </c>
      <c r="X1181" s="1077">
        <v>80</v>
      </c>
      <c r="Y1181" s="1077">
        <v>2</v>
      </c>
      <c r="Z1181" s="1077" t="s">
        <v>648</v>
      </c>
      <c r="AA1181" s="1077" t="s">
        <v>3448</v>
      </c>
      <c r="AH1181" s="1077" t="s">
        <v>838</v>
      </c>
      <c r="AM1181" s="1078" t="s">
        <v>11381</v>
      </c>
      <c r="AN1181" s="1078" t="s">
        <v>11382</v>
      </c>
      <c r="AO1181" s="1078">
        <f t="shared" si="150"/>
        <v>450</v>
      </c>
      <c r="AP1181" s="1078">
        <f t="shared" si="151"/>
        <v>1.7</v>
      </c>
      <c r="AQ1181" s="1078" t="str">
        <f t="shared" si="152"/>
        <v>1-4-1S83°Z+S</v>
      </c>
      <c r="AR1181" s="1078" t="str">
        <f t="shared" si="153"/>
        <v>30</v>
      </c>
      <c r="AS1181" s="1078" t="str">
        <f t="shared" si="154"/>
        <v>200/200/OFF</v>
      </c>
      <c r="AT1181" s="1078" t="str">
        <f t="shared" si="155"/>
        <v>1-4-1S83°Z+S</v>
      </c>
      <c r="AU1181" s="1078" t="s">
        <v>15547</v>
      </c>
      <c r="AV1181" s="1078" t="str">
        <f t="shared" si="148"/>
        <v>112.3.2</v>
      </c>
      <c r="AW1181" s="1344">
        <f t="shared" si="149"/>
        <v>44987</v>
      </c>
    </row>
    <row r="1182" spans="1:49">
      <c r="A1182" s="1077" t="s">
        <v>4414</v>
      </c>
      <c r="B1182" s="1077" t="s">
        <v>4113</v>
      </c>
      <c r="C1182" s="1077">
        <v>550</v>
      </c>
      <c r="D1182" s="1077">
        <v>1.6719999999999999</v>
      </c>
      <c r="E1182" s="1077" t="s">
        <v>15102</v>
      </c>
      <c r="F1182" s="1077" t="s">
        <v>1469</v>
      </c>
      <c r="G1182" s="1077">
        <v>5</v>
      </c>
      <c r="H1182" s="1077" t="s">
        <v>4393</v>
      </c>
      <c r="I1182" s="1077" t="s">
        <v>1112</v>
      </c>
      <c r="J1182" s="1077">
        <v>1.1000000000000001</v>
      </c>
      <c r="K1182" s="1077" t="s">
        <v>4415</v>
      </c>
      <c r="L1182" s="1077" t="s">
        <v>4147</v>
      </c>
      <c r="M1182" s="1077">
        <v>103.3</v>
      </c>
      <c r="N1182" s="1077" t="s">
        <v>945</v>
      </c>
      <c r="O1182" s="1077">
        <v>2.5825</v>
      </c>
      <c r="P1182" s="1077">
        <v>2.0659999999999998</v>
      </c>
      <c r="Q1182" s="1077">
        <v>4</v>
      </c>
      <c r="R1182" s="1077">
        <v>25</v>
      </c>
      <c r="T1182" s="1077">
        <v>10</v>
      </c>
      <c r="U1182" s="1077">
        <v>5.8</v>
      </c>
      <c r="V1182" s="1077" t="s">
        <v>648</v>
      </c>
      <c r="W1182" s="1077">
        <v>125</v>
      </c>
      <c r="X1182" s="1077">
        <v>80</v>
      </c>
      <c r="Y1182" s="1077">
        <v>1.5</v>
      </c>
      <c r="Z1182" s="1077">
        <v>4</v>
      </c>
      <c r="AA1182" s="1077" t="s">
        <v>3451</v>
      </c>
      <c r="AH1182" s="1077" t="s">
        <v>1178</v>
      </c>
      <c r="AM1182" s="1078" t="s">
        <v>11383</v>
      </c>
      <c r="AN1182" s="1078" t="s">
        <v>11384</v>
      </c>
      <c r="AO1182" s="1078">
        <f t="shared" si="150"/>
        <v>550</v>
      </c>
      <c r="AP1182" s="1078">
        <f t="shared" si="151"/>
        <v>1.6719999999999999</v>
      </c>
      <c r="AQ1182" s="1078" t="str">
        <f t="shared" si="152"/>
        <v>2-6-1S83°</v>
      </c>
      <c r="AR1182" s="1078" t="str">
        <f t="shared" si="153"/>
        <v>30.5</v>
      </c>
      <c r="AS1182" s="1078" t="str">
        <f t="shared" si="154"/>
        <v>145/OFF</v>
      </c>
      <c r="AT1182" s="1078" t="str">
        <f t="shared" si="155"/>
        <v>2-6-1S83°</v>
      </c>
      <c r="AV1182" s="1078" t="str">
        <f t="shared" si="148"/>
        <v>112.3.1</v>
      </c>
      <c r="AW1182" s="1344">
        <f t="shared" si="149"/>
        <v>44986</v>
      </c>
    </row>
    <row r="1183" spans="1:49">
      <c r="A1183" s="1077" t="s">
        <v>4416</v>
      </c>
      <c r="B1183" s="1077" t="s">
        <v>298</v>
      </c>
      <c r="C1183" s="1077">
        <v>600</v>
      </c>
      <c r="D1183" s="1077">
        <v>1.76</v>
      </c>
      <c r="E1183" s="1077" t="s">
        <v>15102</v>
      </c>
      <c r="F1183" s="1077" t="s">
        <v>1119</v>
      </c>
      <c r="G1183" s="1077" t="s">
        <v>1767</v>
      </c>
      <c r="H1183" s="1077" t="s">
        <v>4417</v>
      </c>
      <c r="I1183" s="1077" t="s">
        <v>648</v>
      </c>
      <c r="J1183" s="1077">
        <v>0</v>
      </c>
      <c r="K1183" s="1077" t="s">
        <v>4410</v>
      </c>
      <c r="L1183" s="1077" t="s">
        <v>4029</v>
      </c>
      <c r="M1183" s="1077">
        <v>103</v>
      </c>
      <c r="N1183" s="1077" t="s">
        <v>945</v>
      </c>
      <c r="O1183" s="1077">
        <v>2.5750000000000002</v>
      </c>
      <c r="P1183" s="1077">
        <v>2.06</v>
      </c>
      <c r="Q1183" s="1077">
        <v>4</v>
      </c>
      <c r="R1183" s="1077">
        <v>23.5</v>
      </c>
      <c r="T1183" s="1077">
        <v>18.5</v>
      </c>
      <c r="U1183" s="1077">
        <v>2.1</v>
      </c>
      <c r="V1183" s="1077" t="s">
        <v>648</v>
      </c>
      <c r="W1183" s="1077" t="s">
        <v>648</v>
      </c>
      <c r="X1183" s="1077" t="s">
        <v>648</v>
      </c>
      <c r="Y1183" s="1077">
        <v>1.3</v>
      </c>
      <c r="Z1183" s="1077">
        <v>4</v>
      </c>
      <c r="AA1183" s="1077" t="s">
        <v>4418</v>
      </c>
      <c r="AH1183" s="1077" t="s">
        <v>831</v>
      </c>
      <c r="AM1183" s="1078" t="s">
        <v>11385</v>
      </c>
      <c r="AN1183" s="1078" t="s">
        <v>11386</v>
      </c>
      <c r="AO1183" s="1078">
        <f t="shared" si="150"/>
        <v>600</v>
      </c>
      <c r="AP1183" s="1078">
        <f t="shared" si="151"/>
        <v>1.76</v>
      </c>
      <c r="AQ1183" s="1078" t="str">
        <f t="shared" si="152"/>
        <v>2-6-1S83°</v>
      </c>
      <c r="AR1183" s="1078" t="str">
        <f t="shared" si="153"/>
        <v>29</v>
      </c>
      <c r="AS1183" s="1078" t="str">
        <f t="shared" si="154"/>
        <v>178/178</v>
      </c>
      <c r="AT1183" s="1078" t="str">
        <f t="shared" si="155"/>
        <v>2-6-1S83°</v>
      </c>
      <c r="AV1183" s="1078" t="str">
        <f t="shared" si="148"/>
        <v>112.3.8</v>
      </c>
      <c r="AW1183" s="1344">
        <f t="shared" si="149"/>
        <v>44993</v>
      </c>
    </row>
    <row r="1184" spans="1:49">
      <c r="A1184" s="1077" t="s">
        <v>4419</v>
      </c>
      <c r="B1184" s="1077" t="s">
        <v>298</v>
      </c>
      <c r="C1184" s="1077">
        <v>600</v>
      </c>
      <c r="D1184" s="1077">
        <v>1.76</v>
      </c>
      <c r="E1184" s="1077" t="s">
        <v>15102</v>
      </c>
      <c r="F1184" s="1077" t="s">
        <v>984</v>
      </c>
      <c r="G1184" s="1077" t="s">
        <v>1767</v>
      </c>
      <c r="H1184" s="1077" t="s">
        <v>4417</v>
      </c>
      <c r="I1184" s="1077" t="s">
        <v>648</v>
      </c>
      <c r="J1184" s="1077">
        <v>0</v>
      </c>
      <c r="K1184" s="1077" t="s">
        <v>4420</v>
      </c>
      <c r="L1184" s="1077" t="s">
        <v>4029</v>
      </c>
      <c r="M1184" s="1077">
        <v>103</v>
      </c>
      <c r="N1184" s="1077" t="s">
        <v>945</v>
      </c>
      <c r="O1184" s="1077">
        <v>2.5750000000000002</v>
      </c>
      <c r="P1184" s="1077">
        <v>2.06</v>
      </c>
      <c r="Q1184" s="1077">
        <v>4</v>
      </c>
      <c r="R1184" s="1077">
        <v>23.5</v>
      </c>
      <c r="T1184" s="1077">
        <v>18.5</v>
      </c>
      <c r="U1184" s="1077">
        <v>2.1</v>
      </c>
      <c r="V1184" s="1077" t="s">
        <v>648</v>
      </c>
      <c r="W1184" s="1077" t="s">
        <v>648</v>
      </c>
      <c r="X1184" s="1077" t="s">
        <v>648</v>
      </c>
      <c r="Y1184" s="1077">
        <v>1.3</v>
      </c>
      <c r="Z1184" s="1077">
        <v>4</v>
      </c>
      <c r="AA1184" s="1077" t="s">
        <v>3513</v>
      </c>
      <c r="AH1184" s="1077" t="s">
        <v>812</v>
      </c>
      <c r="AM1184" s="1078" t="s">
        <v>11387</v>
      </c>
      <c r="AN1184" s="1078" t="s">
        <v>11388</v>
      </c>
      <c r="AO1184" s="1078">
        <f t="shared" si="150"/>
        <v>600</v>
      </c>
      <c r="AP1184" s="1078">
        <f t="shared" si="151"/>
        <v>1.76</v>
      </c>
      <c r="AQ1184" s="1078" t="str">
        <f t="shared" si="152"/>
        <v>2-6-1S83°</v>
      </c>
      <c r="AR1184" s="1078" t="str">
        <f t="shared" si="153"/>
        <v>30</v>
      </c>
      <c r="AS1184" s="1078" t="str">
        <f t="shared" si="154"/>
        <v>178/178</v>
      </c>
      <c r="AT1184" s="1078" t="str">
        <f t="shared" si="155"/>
        <v>2-6-1S83°</v>
      </c>
      <c r="AV1184" s="1078" t="str">
        <f t="shared" si="148"/>
        <v>112.4.17</v>
      </c>
      <c r="AW1184" s="1344">
        <f t="shared" si="149"/>
        <v>45033</v>
      </c>
    </row>
    <row r="1185" spans="1:49">
      <c r="A1185" s="1077" t="s">
        <v>4421</v>
      </c>
      <c r="B1185" s="1077" t="s">
        <v>298</v>
      </c>
      <c r="C1185" s="1077">
        <v>600</v>
      </c>
      <c r="D1185" s="1077">
        <v>1.73</v>
      </c>
      <c r="E1185" s="1077" t="s">
        <v>15102</v>
      </c>
      <c r="F1185" s="1077" t="s">
        <v>1469</v>
      </c>
      <c r="G1185" s="1077" t="s">
        <v>1767</v>
      </c>
      <c r="H1185" s="1077" t="s">
        <v>4399</v>
      </c>
      <c r="I1185" s="1077" t="s">
        <v>648</v>
      </c>
      <c r="J1185" s="1077">
        <v>0</v>
      </c>
      <c r="K1185" s="1077" t="s">
        <v>4420</v>
      </c>
      <c r="L1185" s="1077" t="s">
        <v>4029</v>
      </c>
      <c r="M1185" s="1077">
        <v>103</v>
      </c>
      <c r="N1185" s="1077" t="s">
        <v>945</v>
      </c>
      <c r="O1185" s="1077">
        <v>2.5750000000000002</v>
      </c>
      <c r="P1185" s="1077">
        <v>2.06</v>
      </c>
      <c r="Q1185" s="1077">
        <v>4</v>
      </c>
      <c r="R1185" s="1077">
        <v>23.5</v>
      </c>
      <c r="T1185" s="1077">
        <v>18.5</v>
      </c>
      <c r="U1185" s="1077">
        <v>2.1</v>
      </c>
      <c r="V1185" s="1077" t="s">
        <v>648</v>
      </c>
      <c r="W1185" s="1077" t="s">
        <v>648</v>
      </c>
      <c r="X1185" s="1077" t="s">
        <v>648</v>
      </c>
      <c r="Y1185" s="1077">
        <v>1.3</v>
      </c>
      <c r="Z1185" s="1077">
        <v>4</v>
      </c>
      <c r="AA1185" s="1077" t="s">
        <v>4422</v>
      </c>
      <c r="AH1185" s="1077" t="s">
        <v>782</v>
      </c>
      <c r="AM1185" s="1078" t="s">
        <v>11389</v>
      </c>
      <c r="AN1185" s="1078" t="s">
        <v>11390</v>
      </c>
      <c r="AO1185" s="1078">
        <f t="shared" si="150"/>
        <v>600</v>
      </c>
      <c r="AP1185" s="1078">
        <f t="shared" si="151"/>
        <v>1.73</v>
      </c>
      <c r="AQ1185" s="1078" t="str">
        <f t="shared" si="152"/>
        <v>2-6-1S83°</v>
      </c>
      <c r="AR1185" s="1078" t="str">
        <f t="shared" si="153"/>
        <v>30.5</v>
      </c>
      <c r="AS1185" s="1078" t="str">
        <f t="shared" si="154"/>
        <v>180/175</v>
      </c>
      <c r="AT1185" s="1078" t="str">
        <f t="shared" si="155"/>
        <v>2-6-1S83°</v>
      </c>
      <c r="AV1185" s="1078" t="str">
        <f t="shared" si="148"/>
        <v>112.4.11</v>
      </c>
      <c r="AW1185" s="1344">
        <f t="shared" si="149"/>
        <v>45027</v>
      </c>
    </row>
    <row r="1186" spans="1:49">
      <c r="A1186" s="1077" t="s">
        <v>4423</v>
      </c>
      <c r="B1186" s="1077" t="s">
        <v>298</v>
      </c>
      <c r="C1186" s="1077">
        <v>600</v>
      </c>
      <c r="D1186" s="1077">
        <v>1.75</v>
      </c>
      <c r="E1186" s="1077" t="s">
        <v>15102</v>
      </c>
      <c r="F1186" s="1077" t="s">
        <v>984</v>
      </c>
      <c r="G1186" s="1077" t="s">
        <v>1767</v>
      </c>
      <c r="H1186" s="1077" t="s">
        <v>4163</v>
      </c>
      <c r="I1186" s="1077" t="s">
        <v>648</v>
      </c>
      <c r="J1186" s="1077">
        <v>0</v>
      </c>
      <c r="K1186" s="1077" t="s">
        <v>4420</v>
      </c>
      <c r="L1186" s="1077" t="s">
        <v>4029</v>
      </c>
      <c r="M1186" s="1077">
        <v>103</v>
      </c>
      <c r="N1186" s="1077" t="s">
        <v>945</v>
      </c>
      <c r="O1186" s="1077">
        <v>2.5750000000000002</v>
      </c>
      <c r="P1186" s="1077">
        <v>2.06</v>
      </c>
      <c r="Q1186" s="1077">
        <v>4</v>
      </c>
      <c r="R1186" s="1077">
        <v>23.5</v>
      </c>
      <c r="T1186" s="1077">
        <v>18.5</v>
      </c>
      <c r="U1186" s="1077">
        <v>2.1</v>
      </c>
      <c r="V1186" s="1077" t="s">
        <v>648</v>
      </c>
      <c r="W1186" s="1077" t="s">
        <v>648</v>
      </c>
      <c r="X1186" s="1077" t="s">
        <v>648</v>
      </c>
      <c r="Y1186" s="1077">
        <v>1.3</v>
      </c>
      <c r="Z1186" s="1077">
        <v>4</v>
      </c>
      <c r="AA1186" s="1077" t="s">
        <v>3513</v>
      </c>
      <c r="AH1186" s="1077" t="s">
        <v>1178</v>
      </c>
      <c r="AM1186" s="1078" t="s">
        <v>11391</v>
      </c>
      <c r="AN1186" s="1078" t="s">
        <v>11392</v>
      </c>
      <c r="AO1186" s="1078">
        <f t="shared" si="150"/>
        <v>600</v>
      </c>
      <c r="AP1186" s="1078">
        <f t="shared" si="151"/>
        <v>1.75</v>
      </c>
      <c r="AQ1186" s="1078" t="str">
        <f t="shared" si="152"/>
        <v>2-6-1S83°</v>
      </c>
      <c r="AR1186" s="1078" t="str">
        <f t="shared" si="153"/>
        <v>30</v>
      </c>
      <c r="AS1186" s="1078" t="str">
        <f t="shared" si="154"/>
        <v>178/175</v>
      </c>
      <c r="AT1186" s="1078" t="str">
        <f t="shared" si="155"/>
        <v>2-6-1S83°</v>
      </c>
      <c r="AV1186" s="1078" t="str">
        <f t="shared" si="148"/>
        <v>112.4.17</v>
      </c>
      <c r="AW1186" s="1344">
        <f t="shared" si="149"/>
        <v>45033</v>
      </c>
    </row>
    <row r="1187" spans="1:49">
      <c r="A1187" s="1077" t="s">
        <v>4424</v>
      </c>
      <c r="B1187" s="1077" t="s">
        <v>4113</v>
      </c>
      <c r="C1187" s="1077">
        <v>550</v>
      </c>
      <c r="D1187" s="1077">
        <v>1.66</v>
      </c>
      <c r="E1187" s="1077" t="s">
        <v>15095</v>
      </c>
      <c r="F1187" s="1077" t="s">
        <v>1897</v>
      </c>
      <c r="G1187" s="1077">
        <v>5</v>
      </c>
      <c r="H1187" s="1077" t="s">
        <v>2295</v>
      </c>
      <c r="I1187" s="1077" t="s">
        <v>126</v>
      </c>
      <c r="J1187" s="1077">
        <v>1.2</v>
      </c>
      <c r="K1187" s="1077" t="s">
        <v>4415</v>
      </c>
      <c r="L1187" s="1077" t="s">
        <v>4147</v>
      </c>
      <c r="M1187" s="1077">
        <v>103.3</v>
      </c>
      <c r="N1187" s="1077" t="s">
        <v>945</v>
      </c>
      <c r="O1187" s="1077">
        <v>2.5825</v>
      </c>
      <c r="P1187" s="1077">
        <v>2.0659999999999998</v>
      </c>
      <c r="Q1187" s="1077">
        <v>4</v>
      </c>
      <c r="R1187" s="1077">
        <v>25</v>
      </c>
      <c r="T1187" s="1077">
        <v>10</v>
      </c>
      <c r="U1187" s="1077">
        <v>5.8</v>
      </c>
      <c r="V1187" s="1077" t="s">
        <v>648</v>
      </c>
      <c r="W1187" s="1077">
        <v>125</v>
      </c>
      <c r="X1187" s="1077">
        <v>80</v>
      </c>
      <c r="Y1187" s="1077">
        <v>1.5</v>
      </c>
      <c r="Z1187" s="1077">
        <v>4</v>
      </c>
      <c r="AA1187" s="1077" t="s">
        <v>4425</v>
      </c>
      <c r="AH1187" s="1077" t="s">
        <v>1588</v>
      </c>
      <c r="AM1187" s="1078" t="s">
        <v>11393</v>
      </c>
      <c r="AN1187" s="1078" t="s">
        <v>11394</v>
      </c>
      <c r="AO1187" s="1078">
        <f t="shared" si="150"/>
        <v>550</v>
      </c>
      <c r="AP1187" s="1078">
        <f t="shared" si="151"/>
        <v>1.66</v>
      </c>
      <c r="AQ1187" s="1078" t="str">
        <f t="shared" si="152"/>
        <v>1-5-1S83°</v>
      </c>
      <c r="AR1187" s="1078" t="str">
        <f t="shared" si="153"/>
        <v>30.8</v>
      </c>
      <c r="AS1187" s="1078" t="str">
        <f t="shared" si="154"/>
        <v>205/205/OFF</v>
      </c>
      <c r="AT1187" s="1078" t="str">
        <f t="shared" si="155"/>
        <v>1-5-1S83°</v>
      </c>
      <c r="AV1187" s="1078" t="str">
        <f t="shared" si="148"/>
        <v>112.4.18</v>
      </c>
      <c r="AW1187" s="1344">
        <f t="shared" si="149"/>
        <v>45034</v>
      </c>
    </row>
    <row r="1188" spans="1:49">
      <c r="A1188" s="1077" t="s">
        <v>4426</v>
      </c>
      <c r="B1188" s="1077" t="s">
        <v>298</v>
      </c>
      <c r="C1188" s="1077">
        <v>700</v>
      </c>
      <c r="D1188" s="1077">
        <v>1.74</v>
      </c>
      <c r="E1188" s="1077" t="s">
        <v>15089</v>
      </c>
      <c r="F1188" s="1077" t="s">
        <v>954</v>
      </c>
      <c r="G1188" s="1077" t="s">
        <v>1767</v>
      </c>
      <c r="H1188" s="1077" t="s">
        <v>4174</v>
      </c>
      <c r="I1188" s="1077" t="s">
        <v>126</v>
      </c>
      <c r="J1188" s="1077">
        <v>1.8</v>
      </c>
      <c r="K1188" s="1077" t="s">
        <v>4322</v>
      </c>
      <c r="L1188" s="1077" t="s">
        <v>4029</v>
      </c>
      <c r="M1188" s="1077">
        <v>103.2</v>
      </c>
      <c r="N1188" s="1077" t="s">
        <v>945</v>
      </c>
      <c r="O1188" s="1077">
        <v>2.58</v>
      </c>
      <c r="P1188" s="1077">
        <v>2.0640000000000001</v>
      </c>
      <c r="Q1188" s="1077">
        <v>4</v>
      </c>
      <c r="R1188" s="1077">
        <v>19.5</v>
      </c>
      <c r="T1188" s="1077">
        <v>27.3</v>
      </c>
      <c r="U1188" s="1077">
        <v>4</v>
      </c>
      <c r="V1188" s="1077" t="s">
        <v>648</v>
      </c>
      <c r="W1188" s="1077">
        <v>120</v>
      </c>
      <c r="X1188" s="1077">
        <v>60</v>
      </c>
      <c r="Y1188" s="1077">
        <v>1.7</v>
      </c>
      <c r="Z1188" s="1077">
        <v>6</v>
      </c>
      <c r="AA1188" s="1077" t="s">
        <v>4425</v>
      </c>
      <c r="AB1188" s="1077" t="s">
        <v>981</v>
      </c>
      <c r="AH1188" s="1077" t="s">
        <v>1421</v>
      </c>
      <c r="AM1188" s="1078" t="s">
        <v>11395</v>
      </c>
      <c r="AN1188" s="1078" t="s">
        <v>11396</v>
      </c>
      <c r="AO1188" s="1078">
        <f t="shared" si="150"/>
        <v>700</v>
      </c>
      <c r="AP1188" s="1078">
        <f t="shared" si="151"/>
        <v>1.74</v>
      </c>
      <c r="AQ1188" s="1078" t="str">
        <f t="shared" si="152"/>
        <v>1-4-1S83°</v>
      </c>
      <c r="AR1188" s="1078" t="str">
        <f t="shared" si="153"/>
        <v>31</v>
      </c>
      <c r="AS1188" s="1078" t="str">
        <f t="shared" si="154"/>
        <v>315/265/OFF</v>
      </c>
      <c r="AT1188" s="1078" t="str">
        <f t="shared" si="155"/>
        <v>1-4-1S83°</v>
      </c>
      <c r="AV1188" s="1078" t="str">
        <f t="shared" si="148"/>
        <v>112.4.18</v>
      </c>
      <c r="AW1188" s="1344">
        <f t="shared" si="149"/>
        <v>45034</v>
      </c>
    </row>
    <row r="1189" spans="1:49">
      <c r="A1189" s="1077" t="s">
        <v>4427</v>
      </c>
      <c r="B1189" s="1077" t="s">
        <v>4113</v>
      </c>
      <c r="C1189" s="1077">
        <v>550</v>
      </c>
      <c r="D1189" s="1077">
        <v>1.673</v>
      </c>
      <c r="E1189" s="1077" t="s">
        <v>15102</v>
      </c>
      <c r="F1189" s="1077" t="s">
        <v>984</v>
      </c>
      <c r="G1189" s="1077">
        <v>5</v>
      </c>
      <c r="H1189" s="1077" t="s">
        <v>3064</v>
      </c>
      <c r="I1189" s="1077" t="s">
        <v>1112</v>
      </c>
      <c r="J1189" s="1077">
        <v>1.1000000000000001</v>
      </c>
      <c r="K1189" s="1077" t="s">
        <v>4415</v>
      </c>
      <c r="L1189" s="1077" t="s">
        <v>4147</v>
      </c>
      <c r="M1189" s="1077">
        <v>103.3</v>
      </c>
      <c r="N1189" s="1077" t="s">
        <v>945</v>
      </c>
      <c r="O1189" s="1077">
        <v>2.5825</v>
      </c>
      <c r="P1189" s="1077">
        <v>2.0659999999999998</v>
      </c>
      <c r="Q1189" s="1077">
        <v>4</v>
      </c>
      <c r="R1189" s="1077">
        <v>25</v>
      </c>
      <c r="T1189" s="1077">
        <v>10</v>
      </c>
      <c r="U1189" s="1077">
        <v>5.8</v>
      </c>
      <c r="V1189" s="1077" t="s">
        <v>648</v>
      </c>
      <c r="W1189" s="1077">
        <v>125</v>
      </c>
      <c r="X1189" s="1077">
        <v>80</v>
      </c>
      <c r="Y1189" s="1077">
        <v>1.5</v>
      </c>
      <c r="Z1189" s="1077">
        <v>4</v>
      </c>
      <c r="AA1189" s="1077" t="s">
        <v>3585</v>
      </c>
      <c r="AH1189" s="1077" t="s">
        <v>1827</v>
      </c>
      <c r="AI1189" s="1077">
        <v>93.2</v>
      </c>
      <c r="AJ1189" s="1077">
        <v>-0.56000000000000005</v>
      </c>
      <c r="AK1189" s="1077">
        <v>4.0599999999999996</v>
      </c>
      <c r="AM1189" s="1078" t="s">
        <v>11397</v>
      </c>
      <c r="AN1189" s="1078" t="s">
        <v>11398</v>
      </c>
      <c r="AO1189" s="1078">
        <f t="shared" si="150"/>
        <v>550</v>
      </c>
      <c r="AP1189" s="1078">
        <f t="shared" si="151"/>
        <v>1.673</v>
      </c>
      <c r="AQ1189" s="1078" t="str">
        <f t="shared" si="152"/>
        <v>2-6-1S83°</v>
      </c>
      <c r="AR1189" s="1078" t="str">
        <f t="shared" si="153"/>
        <v>30</v>
      </c>
      <c r="AS1189" s="1078" t="str">
        <f t="shared" si="154"/>
        <v>148/OFF</v>
      </c>
      <c r="AT1189" s="1078" t="str">
        <f t="shared" si="155"/>
        <v>2-6-1S83°</v>
      </c>
      <c r="AV1189" s="1078" t="str">
        <f t="shared" si="148"/>
        <v>112.6.6</v>
      </c>
      <c r="AW1189" s="1344">
        <f t="shared" si="149"/>
        <v>45083</v>
      </c>
    </row>
    <row r="1190" spans="1:49">
      <c r="A1190" s="1077" t="s">
        <v>4428</v>
      </c>
      <c r="B1190" s="1077" t="s">
        <v>298</v>
      </c>
      <c r="C1190" s="1077">
        <v>600</v>
      </c>
      <c r="D1190" s="1077">
        <v>1.75</v>
      </c>
      <c r="E1190" s="1077" t="s">
        <v>15102</v>
      </c>
      <c r="F1190" s="1077" t="s">
        <v>984</v>
      </c>
      <c r="G1190" s="1077" t="s">
        <v>1767</v>
      </c>
      <c r="H1190" s="1077" t="s">
        <v>4399</v>
      </c>
      <c r="I1190" s="1077" t="s">
        <v>648</v>
      </c>
      <c r="J1190" s="1077">
        <v>0</v>
      </c>
      <c r="K1190" s="1077" t="s">
        <v>4420</v>
      </c>
      <c r="L1190" s="1077" t="s">
        <v>4029</v>
      </c>
      <c r="M1190" s="1077">
        <v>103</v>
      </c>
      <c r="N1190" s="1077" t="s">
        <v>945</v>
      </c>
      <c r="O1190" s="1077">
        <v>2.5750000000000002</v>
      </c>
      <c r="P1190" s="1077">
        <v>2.06</v>
      </c>
      <c r="Q1190" s="1077">
        <v>4</v>
      </c>
      <c r="R1190" s="1077">
        <v>23.5</v>
      </c>
      <c r="T1190" s="1077">
        <v>18.5</v>
      </c>
      <c r="U1190" s="1077">
        <v>2.1</v>
      </c>
      <c r="V1190" s="1077" t="s">
        <v>648</v>
      </c>
      <c r="W1190" s="1077" t="s">
        <v>648</v>
      </c>
      <c r="X1190" s="1077" t="s">
        <v>648</v>
      </c>
      <c r="Y1190" s="1077">
        <v>1.3</v>
      </c>
      <c r="Z1190" s="1077">
        <v>4</v>
      </c>
      <c r="AA1190" s="1077" t="s">
        <v>4429</v>
      </c>
      <c r="AH1190" s="1077" t="s">
        <v>782</v>
      </c>
      <c r="AI1190" s="1077">
        <v>90.85</v>
      </c>
      <c r="AJ1190" s="1077">
        <v>-0.37</v>
      </c>
      <c r="AK1190" s="1077">
        <v>0.93</v>
      </c>
      <c r="AM1190" s="1078" t="s">
        <v>11399</v>
      </c>
      <c r="AN1190" s="1078" t="s">
        <v>11400</v>
      </c>
      <c r="AO1190" s="1078">
        <f t="shared" si="150"/>
        <v>600</v>
      </c>
      <c r="AP1190" s="1078">
        <f t="shared" si="151"/>
        <v>1.75</v>
      </c>
      <c r="AQ1190" s="1078" t="str">
        <f t="shared" si="152"/>
        <v>2-6-1S83°</v>
      </c>
      <c r="AR1190" s="1078" t="str">
        <f t="shared" si="153"/>
        <v>30</v>
      </c>
      <c r="AS1190" s="1078" t="str">
        <f t="shared" si="154"/>
        <v>180/175</v>
      </c>
      <c r="AT1190" s="1078" t="str">
        <f t="shared" si="155"/>
        <v>2-6-1S83°</v>
      </c>
      <c r="AV1190" s="1078" t="str">
        <f t="shared" si="148"/>
        <v>112.6.8</v>
      </c>
      <c r="AW1190" s="1344">
        <f t="shared" si="149"/>
        <v>45085</v>
      </c>
    </row>
    <row r="1191" spans="1:49">
      <c r="A1191" s="1077" t="s">
        <v>4430</v>
      </c>
      <c r="B1191" s="1077" t="s">
        <v>4052</v>
      </c>
      <c r="C1191" s="1077">
        <v>650</v>
      </c>
      <c r="D1191" s="1077">
        <v>1.675</v>
      </c>
      <c r="E1191" s="1077" t="s">
        <v>15109</v>
      </c>
      <c r="F1191" s="1077" t="s">
        <v>648</v>
      </c>
      <c r="G1191" s="1077">
        <v>4</v>
      </c>
      <c r="H1191" s="1077" t="s">
        <v>1166</v>
      </c>
      <c r="I1191" s="1077" t="s">
        <v>126</v>
      </c>
      <c r="J1191" s="1077">
        <v>1</v>
      </c>
      <c r="K1191" s="1077" t="s">
        <v>4351</v>
      </c>
      <c r="L1191" s="1077" t="s">
        <v>944</v>
      </c>
      <c r="M1191" s="1077">
        <v>99</v>
      </c>
      <c r="N1191" s="1077" t="s">
        <v>945</v>
      </c>
      <c r="O1191" s="1077">
        <v>2.4750000000000001</v>
      </c>
      <c r="P1191" s="1077">
        <v>1.98</v>
      </c>
      <c r="Q1191" s="1077">
        <v>4.2</v>
      </c>
      <c r="R1191" s="1077">
        <v>23</v>
      </c>
      <c r="T1191" s="1077">
        <v>16</v>
      </c>
      <c r="U1191" s="1077">
        <v>3.6</v>
      </c>
      <c r="V1191" s="1077" t="s">
        <v>648</v>
      </c>
      <c r="W1191" s="1077">
        <v>120</v>
      </c>
      <c r="X1191" s="1077" t="s">
        <v>4054</v>
      </c>
      <c r="Y1191" s="1077">
        <v>2.5</v>
      </c>
      <c r="Z1191" s="1077" t="s">
        <v>648</v>
      </c>
      <c r="AA1191" s="1077" t="s">
        <v>4431</v>
      </c>
      <c r="AB1191" s="1077" t="s">
        <v>981</v>
      </c>
      <c r="AH1191" s="1077" t="s">
        <v>1827</v>
      </c>
      <c r="AI1191" s="1077" t="s">
        <v>1597</v>
      </c>
      <c r="AJ1191" s="1077" t="s">
        <v>1597</v>
      </c>
      <c r="AK1191" s="1077" t="s">
        <v>1597</v>
      </c>
      <c r="AM1191" s="1078" t="s">
        <v>11401</v>
      </c>
      <c r="AN1191" s="1078" t="s">
        <v>11402</v>
      </c>
      <c r="AO1191" s="1078">
        <f t="shared" si="150"/>
        <v>650</v>
      </c>
      <c r="AP1191" s="1078">
        <f t="shared" si="151"/>
        <v>1.675</v>
      </c>
      <c r="AQ1191" s="1078" t="str">
        <f t="shared" si="152"/>
        <v>1-5-1S85°Z+S</v>
      </c>
      <c r="AR1191" s="1078" t="str">
        <f t="shared" si="153"/>
        <v>NA</v>
      </c>
      <c r="AS1191" s="1078" t="str">
        <f t="shared" si="154"/>
        <v>170/OFF</v>
      </c>
      <c r="AT1191" s="1078" t="str">
        <f t="shared" si="155"/>
        <v>1-5-1S85°Z+S</v>
      </c>
      <c r="AU1191" s="1078" t="s">
        <v>15547</v>
      </c>
      <c r="AV1191" s="1078" t="str">
        <f t="shared" si="148"/>
        <v>112.6.21</v>
      </c>
      <c r="AW1191" s="1344">
        <f t="shared" si="149"/>
        <v>45098</v>
      </c>
    </row>
    <row r="1192" spans="1:49">
      <c r="A1192" s="1077" t="s">
        <v>4432</v>
      </c>
      <c r="B1192" s="1077" t="s">
        <v>298</v>
      </c>
      <c r="C1192" s="1077">
        <v>600</v>
      </c>
      <c r="D1192" s="1077">
        <v>1.7430000000000001</v>
      </c>
      <c r="E1192" s="1077" t="s">
        <v>15102</v>
      </c>
      <c r="F1192" s="1077" t="s">
        <v>984</v>
      </c>
      <c r="G1192" s="1077" t="s">
        <v>1767</v>
      </c>
      <c r="H1192" s="1077" t="s">
        <v>4177</v>
      </c>
      <c r="I1192" s="1077" t="s">
        <v>648</v>
      </c>
      <c r="J1192" s="1077">
        <v>0</v>
      </c>
      <c r="K1192" s="1077" t="s">
        <v>4433</v>
      </c>
      <c r="L1192" s="1077" t="s">
        <v>4029</v>
      </c>
      <c r="M1192" s="1077">
        <v>103</v>
      </c>
      <c r="N1192" s="1077" t="s">
        <v>945</v>
      </c>
      <c r="O1192" s="1077">
        <v>2.5750000000000002</v>
      </c>
      <c r="P1192" s="1077">
        <v>2.06</v>
      </c>
      <c r="Q1192" s="1077">
        <v>4</v>
      </c>
      <c r="R1192" s="1077">
        <v>23.5</v>
      </c>
      <c r="T1192" s="1077">
        <v>18.5</v>
      </c>
      <c r="U1192" s="1077">
        <v>2.1</v>
      </c>
      <c r="V1192" s="1077" t="s">
        <v>648</v>
      </c>
      <c r="W1192" s="1077" t="s">
        <v>648</v>
      </c>
      <c r="X1192" s="1077" t="s">
        <v>648</v>
      </c>
      <c r="Y1192" s="1077">
        <v>1.3</v>
      </c>
      <c r="Z1192" s="1077">
        <v>4</v>
      </c>
      <c r="AA1192" s="1077" t="s">
        <v>4434</v>
      </c>
      <c r="AH1192" s="1077" t="s">
        <v>868</v>
      </c>
      <c r="AI1192" s="1077">
        <v>91.5</v>
      </c>
      <c r="AJ1192" s="1077">
        <v>-0.43</v>
      </c>
      <c r="AK1192" s="1077">
        <v>0.7</v>
      </c>
      <c r="AM1192" s="1078" t="s">
        <v>11403</v>
      </c>
      <c r="AN1192" s="1078" t="s">
        <v>11404</v>
      </c>
      <c r="AO1192" s="1078">
        <f t="shared" si="150"/>
        <v>600</v>
      </c>
      <c r="AP1192" s="1078">
        <f t="shared" si="151"/>
        <v>1.7430000000000001</v>
      </c>
      <c r="AQ1192" s="1078" t="str">
        <f t="shared" si="152"/>
        <v>2-6-1S83°</v>
      </c>
      <c r="AR1192" s="1078" t="str">
        <f t="shared" si="153"/>
        <v>30</v>
      </c>
      <c r="AS1192" s="1078" t="str">
        <f t="shared" si="154"/>
        <v>181/175</v>
      </c>
      <c r="AT1192" s="1078" t="str">
        <f t="shared" si="155"/>
        <v>2-6-1S83°</v>
      </c>
      <c r="AV1192" s="1078" t="str">
        <f t="shared" si="148"/>
        <v>112.7.13</v>
      </c>
      <c r="AW1192" s="1344">
        <f t="shared" si="149"/>
        <v>45120</v>
      </c>
    </row>
    <row r="1193" spans="1:49">
      <c r="A1193" s="1077" t="s">
        <v>4435</v>
      </c>
      <c r="B1193" s="1077" t="s">
        <v>298</v>
      </c>
      <c r="C1193" s="1077">
        <v>600</v>
      </c>
      <c r="D1193" s="1077">
        <v>1.74</v>
      </c>
      <c r="E1193" s="1077" t="s">
        <v>15102</v>
      </c>
      <c r="F1193" s="1077" t="s">
        <v>984</v>
      </c>
      <c r="G1193" s="1077" t="s">
        <v>1767</v>
      </c>
      <c r="H1193" s="1077" t="s">
        <v>4436</v>
      </c>
      <c r="I1193" s="1077" t="s">
        <v>648</v>
      </c>
      <c r="J1193" s="1077">
        <v>0</v>
      </c>
      <c r="K1193" s="1077" t="s">
        <v>4433</v>
      </c>
      <c r="L1193" s="1077" t="s">
        <v>4029</v>
      </c>
      <c r="M1193" s="1077">
        <v>103</v>
      </c>
      <c r="N1193" s="1077" t="s">
        <v>945</v>
      </c>
      <c r="O1193" s="1077">
        <v>2.5750000000000002</v>
      </c>
      <c r="P1193" s="1077">
        <v>2.06</v>
      </c>
      <c r="Q1193" s="1077">
        <v>4</v>
      </c>
      <c r="R1193" s="1077">
        <v>23.5</v>
      </c>
      <c r="T1193" s="1077">
        <v>18.5</v>
      </c>
      <c r="U1193" s="1077">
        <v>2.1</v>
      </c>
      <c r="V1193" s="1077" t="s">
        <v>648</v>
      </c>
      <c r="W1193" s="1077" t="s">
        <v>648</v>
      </c>
      <c r="X1193" s="1077" t="s">
        <v>648</v>
      </c>
      <c r="Y1193" s="1077">
        <v>1.3</v>
      </c>
      <c r="Z1193" s="1077">
        <v>4</v>
      </c>
      <c r="AA1193" s="1077" t="s">
        <v>1596</v>
      </c>
      <c r="AH1193" s="1077" t="s">
        <v>1023</v>
      </c>
      <c r="AI1193" s="1077" t="s">
        <v>1597</v>
      </c>
      <c r="AJ1193" s="1077" t="s">
        <v>1597</v>
      </c>
      <c r="AK1193" s="1077" t="s">
        <v>1597</v>
      </c>
      <c r="AM1193" s="1078" t="s">
        <v>11405</v>
      </c>
      <c r="AN1193" s="1078" t="s">
        <v>11406</v>
      </c>
      <c r="AO1193" s="1078">
        <f t="shared" si="150"/>
        <v>600</v>
      </c>
      <c r="AP1193" s="1078">
        <f t="shared" si="151"/>
        <v>1.74</v>
      </c>
      <c r="AQ1193" s="1078" t="str">
        <f t="shared" si="152"/>
        <v>2-6-1S83°</v>
      </c>
      <c r="AR1193" s="1078" t="str">
        <f t="shared" si="153"/>
        <v>30</v>
      </c>
      <c r="AS1193" s="1078" t="str">
        <f t="shared" si="154"/>
        <v>183/175</v>
      </c>
      <c r="AT1193" s="1078" t="str">
        <f t="shared" si="155"/>
        <v>2-6-1S83°</v>
      </c>
      <c r="AV1193" s="1078" t="str">
        <f t="shared" si="148"/>
        <v>112.7.10</v>
      </c>
      <c r="AW1193" s="1344">
        <f t="shared" si="149"/>
        <v>45117</v>
      </c>
    </row>
    <row r="1194" spans="1:49">
      <c r="A1194" s="1077" t="s">
        <v>4437</v>
      </c>
      <c r="B1194" s="1077" t="s">
        <v>4113</v>
      </c>
      <c r="C1194" s="1077">
        <v>550</v>
      </c>
      <c r="D1194" s="1077">
        <v>1.673</v>
      </c>
      <c r="E1194" s="1077" t="s">
        <v>15102</v>
      </c>
      <c r="F1194" s="1077" t="s">
        <v>984</v>
      </c>
      <c r="G1194" s="1077">
        <v>5</v>
      </c>
      <c r="H1194" s="1077" t="s">
        <v>3064</v>
      </c>
      <c r="I1194" s="1077" t="s">
        <v>1112</v>
      </c>
      <c r="J1194" s="1077">
        <v>1.2</v>
      </c>
      <c r="K1194" s="1077" t="s">
        <v>4415</v>
      </c>
      <c r="L1194" s="1077" t="s">
        <v>4147</v>
      </c>
      <c r="M1194" s="1077">
        <v>103.3</v>
      </c>
      <c r="N1194" s="1077" t="s">
        <v>945</v>
      </c>
      <c r="O1194" s="1077">
        <v>2.5825</v>
      </c>
      <c r="P1194" s="1077">
        <v>2.0659999999999998</v>
      </c>
      <c r="Q1194" s="1077">
        <v>4</v>
      </c>
      <c r="R1194" s="1077">
        <v>25</v>
      </c>
      <c r="T1194" s="1077">
        <v>10</v>
      </c>
      <c r="U1194" s="1077">
        <v>5.8</v>
      </c>
      <c r="V1194" s="1077" t="s">
        <v>648</v>
      </c>
      <c r="W1194" s="1077">
        <v>125</v>
      </c>
      <c r="X1194" s="1077">
        <v>80</v>
      </c>
      <c r="Y1194" s="1077">
        <v>1.5</v>
      </c>
      <c r="Z1194" s="1077">
        <v>4</v>
      </c>
      <c r="AA1194" s="1077" t="s">
        <v>3646</v>
      </c>
      <c r="AH1194" s="1077" t="s">
        <v>831</v>
      </c>
      <c r="AI1194" s="1077">
        <v>93.4</v>
      </c>
      <c r="AJ1194" s="1077">
        <v>-0.1</v>
      </c>
      <c r="AK1194" s="1077">
        <v>3.94</v>
      </c>
      <c r="AM1194" s="1078" t="s">
        <v>11407</v>
      </c>
      <c r="AN1194" s="1078" t="s">
        <v>11408</v>
      </c>
      <c r="AO1194" s="1078">
        <f t="shared" si="150"/>
        <v>550</v>
      </c>
      <c r="AP1194" s="1078">
        <f t="shared" si="151"/>
        <v>1.673</v>
      </c>
      <c r="AQ1194" s="1078" t="str">
        <f t="shared" si="152"/>
        <v>2-6-1S83°</v>
      </c>
      <c r="AR1194" s="1078" t="str">
        <f t="shared" si="153"/>
        <v>30</v>
      </c>
      <c r="AS1194" s="1078" t="str">
        <f t="shared" si="154"/>
        <v>148/OFF</v>
      </c>
      <c r="AT1194" s="1078" t="str">
        <f t="shared" si="155"/>
        <v>2-6-1S83°</v>
      </c>
      <c r="AV1194" s="1078" t="str">
        <f t="shared" si="148"/>
        <v>112.7.12</v>
      </c>
      <c r="AW1194" s="1344">
        <f t="shared" si="149"/>
        <v>45119</v>
      </c>
    </row>
    <row r="1195" spans="1:49">
      <c r="A1195" s="1077" t="s">
        <v>4438</v>
      </c>
      <c r="B1195" s="1077" t="s">
        <v>4330</v>
      </c>
      <c r="C1195" s="1077">
        <v>450</v>
      </c>
      <c r="D1195" s="1077">
        <v>1.7</v>
      </c>
      <c r="E1195" s="1077" t="s">
        <v>15108</v>
      </c>
      <c r="F1195" s="1077" t="s">
        <v>984</v>
      </c>
      <c r="G1195" s="1077">
        <v>4</v>
      </c>
      <c r="H1195" s="1077" t="s">
        <v>1017</v>
      </c>
      <c r="I1195" s="1077" t="s">
        <v>126</v>
      </c>
      <c r="J1195" s="1077">
        <v>1</v>
      </c>
      <c r="K1195" s="1077" t="s">
        <v>4439</v>
      </c>
      <c r="L1195" s="1077" t="s">
        <v>4332</v>
      </c>
      <c r="M1195" s="1077">
        <v>103.8</v>
      </c>
      <c r="N1195" s="1077" t="s">
        <v>945</v>
      </c>
      <c r="O1195" s="1077">
        <v>2.5950000000000002</v>
      </c>
      <c r="P1195" s="1077">
        <v>2.0760000000000001</v>
      </c>
      <c r="Q1195" s="1077">
        <v>4</v>
      </c>
      <c r="R1195" s="1077" t="s">
        <v>4440</v>
      </c>
      <c r="T1195" s="1077">
        <v>16</v>
      </c>
      <c r="U1195" s="1077">
        <v>4.5</v>
      </c>
      <c r="V1195" s="1077" t="s">
        <v>648</v>
      </c>
      <c r="W1195" s="1077">
        <v>125</v>
      </c>
      <c r="X1195" s="1077">
        <v>80</v>
      </c>
      <c r="Y1195" s="1077">
        <v>2</v>
      </c>
      <c r="Z1195" s="1077" t="s">
        <v>648</v>
      </c>
      <c r="AA1195" s="1077" t="s">
        <v>3656</v>
      </c>
      <c r="AH1195" s="1077" t="s">
        <v>762</v>
      </c>
      <c r="AI1195" s="1077">
        <v>92.93</v>
      </c>
      <c r="AJ1195" s="1077">
        <v>-0.24</v>
      </c>
      <c r="AK1195" s="1077">
        <v>4.71</v>
      </c>
      <c r="AM1195" s="1078" t="s">
        <v>11409</v>
      </c>
      <c r="AN1195" s="1078" t="s">
        <v>11410</v>
      </c>
      <c r="AO1195" s="1078">
        <f t="shared" si="150"/>
        <v>450</v>
      </c>
      <c r="AP1195" s="1078">
        <f t="shared" si="151"/>
        <v>1.7</v>
      </c>
      <c r="AQ1195" s="1078" t="str">
        <f t="shared" si="152"/>
        <v>1-4-1S83°Z+S</v>
      </c>
      <c r="AR1195" s="1078" t="str">
        <f t="shared" si="153"/>
        <v>30</v>
      </c>
      <c r="AS1195" s="1078" t="str">
        <f t="shared" si="154"/>
        <v>200/200/OFF</v>
      </c>
      <c r="AT1195" s="1078" t="str">
        <f t="shared" si="155"/>
        <v>1-4-1S83°Z+S</v>
      </c>
      <c r="AU1195" s="1078" t="s">
        <v>15547</v>
      </c>
      <c r="AV1195" s="1078" t="str">
        <f t="shared" si="148"/>
        <v>112.7.14</v>
      </c>
      <c r="AW1195" s="1344">
        <f t="shared" si="149"/>
        <v>45121</v>
      </c>
    </row>
    <row r="1196" spans="1:49">
      <c r="A1196" s="1077" t="s">
        <v>4441</v>
      </c>
      <c r="B1196" s="1077" t="s">
        <v>298</v>
      </c>
      <c r="C1196" s="1077" t="s">
        <v>4442</v>
      </c>
      <c r="D1196" s="1077">
        <v>1.76</v>
      </c>
      <c r="E1196" s="1077" t="s">
        <v>15102</v>
      </c>
      <c r="F1196" s="1077" t="s">
        <v>1318</v>
      </c>
      <c r="G1196" s="1077" t="s">
        <v>1767</v>
      </c>
      <c r="H1196" s="1077" t="s">
        <v>4436</v>
      </c>
      <c r="I1196" s="1077" t="s">
        <v>648</v>
      </c>
      <c r="J1196" s="1077">
        <v>0</v>
      </c>
      <c r="K1196" s="1077" t="s">
        <v>4443</v>
      </c>
      <c r="L1196" s="1077" t="s">
        <v>4029</v>
      </c>
      <c r="M1196" s="1077">
        <v>103</v>
      </c>
      <c r="N1196" s="1077" t="s">
        <v>945</v>
      </c>
      <c r="O1196" s="1077">
        <v>2.5750000000000002</v>
      </c>
      <c r="P1196" s="1077">
        <v>2.06</v>
      </c>
      <c r="Q1196" s="1077">
        <v>4</v>
      </c>
      <c r="R1196" s="1077" t="s">
        <v>4444</v>
      </c>
      <c r="T1196" s="1077">
        <v>18.5</v>
      </c>
      <c r="U1196" s="1077">
        <v>2.1</v>
      </c>
      <c r="V1196" s="1077" t="s">
        <v>648</v>
      </c>
      <c r="W1196" s="1077" t="s">
        <v>648</v>
      </c>
      <c r="X1196" s="1077" t="s">
        <v>648</v>
      </c>
      <c r="Y1196" s="1077">
        <v>1.3</v>
      </c>
      <c r="Z1196" s="1077">
        <v>4</v>
      </c>
      <c r="AA1196" s="1077" t="s">
        <v>4445</v>
      </c>
      <c r="AH1196" s="1077" t="s">
        <v>1178</v>
      </c>
      <c r="AI1196" s="1077">
        <v>91</v>
      </c>
      <c r="AJ1196" s="1077">
        <v>-0.25</v>
      </c>
      <c r="AK1196" s="1077">
        <v>0.96</v>
      </c>
      <c r="AM1196" s="1078" t="s">
        <v>11411</v>
      </c>
      <c r="AN1196" s="1078" t="s">
        <v>11412</v>
      </c>
      <c r="AO1196" s="1078" t="str">
        <f t="shared" si="150"/>
        <v>600↑650↓600-8/30.10/20</v>
      </c>
      <c r="AP1196" s="1078">
        <f t="shared" si="151"/>
        <v>1.76</v>
      </c>
      <c r="AQ1196" s="1078" t="str">
        <f t="shared" si="152"/>
        <v>2-6-1S83°</v>
      </c>
      <c r="AR1196" s="1078" t="str">
        <f t="shared" si="153"/>
        <v>30.7</v>
      </c>
      <c r="AS1196" s="1078" t="str">
        <f t="shared" si="154"/>
        <v>183/175</v>
      </c>
      <c r="AT1196" s="1078" t="str">
        <f t="shared" si="155"/>
        <v>2-6-1S83°</v>
      </c>
      <c r="AV1196" s="1078" t="str">
        <f t="shared" si="148"/>
        <v>112.8.14</v>
      </c>
      <c r="AW1196" s="1344">
        <f t="shared" si="149"/>
        <v>45152</v>
      </c>
    </row>
    <row r="1197" spans="1:49">
      <c r="A1197" s="1077" t="s">
        <v>4446</v>
      </c>
      <c r="B1197" s="1077" t="s">
        <v>298</v>
      </c>
      <c r="C1197" s="1077">
        <v>600</v>
      </c>
      <c r="D1197" s="1077">
        <v>1.75</v>
      </c>
      <c r="E1197" s="1077" t="s">
        <v>15102</v>
      </c>
      <c r="F1197" s="1077" t="s">
        <v>3685</v>
      </c>
      <c r="G1197" s="1077" t="s">
        <v>1767</v>
      </c>
      <c r="H1197" s="1077" t="s">
        <v>4399</v>
      </c>
      <c r="I1197" s="1077" t="s">
        <v>648</v>
      </c>
      <c r="J1197" s="1077">
        <v>0</v>
      </c>
      <c r="K1197" s="1077" t="s">
        <v>4447</v>
      </c>
      <c r="L1197" s="1077" t="s">
        <v>4029</v>
      </c>
      <c r="M1197" s="1077">
        <v>103</v>
      </c>
      <c r="N1197" s="1077" t="s">
        <v>945</v>
      </c>
      <c r="O1197" s="1077">
        <v>2.5750000000000002</v>
      </c>
      <c r="P1197" s="1077">
        <v>2.06</v>
      </c>
      <c r="Q1197" s="1077">
        <v>4</v>
      </c>
      <c r="R1197" s="1077">
        <v>23.5</v>
      </c>
      <c r="T1197" s="1077">
        <v>18.5</v>
      </c>
      <c r="U1197" s="1077">
        <v>2.1</v>
      </c>
      <c r="V1197" s="1077" t="s">
        <v>648</v>
      </c>
      <c r="W1197" s="1077" t="s">
        <v>648</v>
      </c>
      <c r="X1197" s="1077" t="s">
        <v>648</v>
      </c>
      <c r="Y1197" s="1077">
        <v>1.3</v>
      </c>
      <c r="Z1197" s="1077">
        <v>4</v>
      </c>
      <c r="AA1197" s="1077" t="s">
        <v>4448</v>
      </c>
      <c r="AH1197" s="1077" t="s">
        <v>647</v>
      </c>
      <c r="AI1197" s="1077">
        <v>92.85</v>
      </c>
      <c r="AJ1197" s="1077">
        <v>-0.53</v>
      </c>
      <c r="AK1197" s="1077">
        <v>0.95</v>
      </c>
      <c r="AM1197" s="1078" t="s">
        <v>11413</v>
      </c>
      <c r="AN1197" s="1078" t="s">
        <v>11414</v>
      </c>
      <c r="AO1197" s="1078">
        <f t="shared" si="150"/>
        <v>600</v>
      </c>
      <c r="AP1197" s="1078">
        <f t="shared" si="151"/>
        <v>1.75</v>
      </c>
      <c r="AQ1197" s="1078" t="str">
        <f t="shared" si="152"/>
        <v>2-6-1S83°</v>
      </c>
      <c r="AR1197" s="1078" t="str">
        <f t="shared" si="153"/>
        <v>30.6</v>
      </c>
      <c r="AS1197" s="1078" t="str">
        <f t="shared" si="154"/>
        <v>180/175</v>
      </c>
      <c r="AT1197" s="1078" t="str">
        <f t="shared" si="155"/>
        <v>2-6-1S83°</v>
      </c>
      <c r="AV1197" s="1078" t="str">
        <f t="shared" si="148"/>
        <v>112.8.16</v>
      </c>
      <c r="AW1197" s="1344">
        <f t="shared" si="149"/>
        <v>45154</v>
      </c>
    </row>
    <row r="1198" spans="1:49">
      <c r="A1198" s="1077" t="s">
        <v>4449</v>
      </c>
      <c r="B1198" s="1077" t="s">
        <v>4052</v>
      </c>
      <c r="C1198" s="1077">
        <v>650</v>
      </c>
      <c r="D1198" s="1077">
        <v>1.77</v>
      </c>
      <c r="E1198" s="1077" t="s">
        <v>15109</v>
      </c>
      <c r="F1198" s="1077" t="s">
        <v>648</v>
      </c>
      <c r="G1198" s="1077">
        <v>4</v>
      </c>
      <c r="H1198" s="1077" t="s">
        <v>1671</v>
      </c>
      <c r="I1198" s="1077" t="s">
        <v>126</v>
      </c>
      <c r="J1198" s="1077">
        <v>1.1000000000000001</v>
      </c>
      <c r="K1198" s="1077" t="s">
        <v>4327</v>
      </c>
      <c r="L1198" s="1077" t="s">
        <v>987</v>
      </c>
      <c r="M1198" s="1077">
        <v>99</v>
      </c>
      <c r="N1198" s="1077" t="s">
        <v>945</v>
      </c>
      <c r="O1198" s="1077">
        <v>2.4750000000000001</v>
      </c>
      <c r="P1198" s="1077">
        <v>1.98</v>
      </c>
      <c r="Q1198" s="1077">
        <v>4.2</v>
      </c>
      <c r="R1198" s="1077">
        <v>23</v>
      </c>
      <c r="T1198" s="1077">
        <v>16</v>
      </c>
      <c r="U1198" s="1077">
        <v>3.6</v>
      </c>
      <c r="V1198" s="1077" t="s">
        <v>648</v>
      </c>
      <c r="W1198" s="1077">
        <v>120</v>
      </c>
      <c r="X1198" s="1077" t="s">
        <v>4054</v>
      </c>
      <c r="Y1198" s="1077">
        <v>2.5</v>
      </c>
      <c r="Z1198" s="1077" t="s">
        <v>648</v>
      </c>
      <c r="AA1198" s="1077" t="s">
        <v>4445</v>
      </c>
      <c r="AB1198" s="1077" t="s">
        <v>981</v>
      </c>
      <c r="AH1198" s="1077" t="s">
        <v>1827</v>
      </c>
      <c r="AI1198" s="1077">
        <v>94.16</v>
      </c>
      <c r="AJ1198" s="1077">
        <v>-0.45</v>
      </c>
      <c r="AK1198" s="1077">
        <v>4.1100000000000003</v>
      </c>
      <c r="AM1198" s="1078" t="s">
        <v>11415</v>
      </c>
      <c r="AN1198" s="1078" t="s">
        <v>11416</v>
      </c>
      <c r="AO1198" s="1078">
        <f t="shared" si="150"/>
        <v>650</v>
      </c>
      <c r="AP1198" s="1078">
        <f t="shared" si="151"/>
        <v>1.77</v>
      </c>
      <c r="AQ1198" s="1078" t="str">
        <f t="shared" si="152"/>
        <v>1-5-1S85°Z+S</v>
      </c>
      <c r="AR1198" s="1078" t="str">
        <f t="shared" si="153"/>
        <v>NA</v>
      </c>
      <c r="AS1198" s="1078" t="str">
        <f t="shared" si="154"/>
        <v>172/OFF</v>
      </c>
      <c r="AT1198" s="1078" t="str">
        <f t="shared" si="155"/>
        <v>1-5-1S85°Z+S</v>
      </c>
      <c r="AU1198" s="1078" t="s">
        <v>15547</v>
      </c>
      <c r="AV1198" s="1078" t="str">
        <f t="shared" si="148"/>
        <v>112.8.14</v>
      </c>
      <c r="AW1198" s="1344">
        <f t="shared" si="149"/>
        <v>45152</v>
      </c>
    </row>
    <row r="1199" spans="1:49">
      <c r="A1199" s="1077" t="s">
        <v>4450</v>
      </c>
      <c r="B1199" s="1077" t="s">
        <v>298</v>
      </c>
      <c r="C1199" s="1077">
        <v>700</v>
      </c>
      <c r="D1199" s="1077">
        <v>1.74</v>
      </c>
      <c r="E1199" s="1077" t="s">
        <v>15095</v>
      </c>
      <c r="F1199" s="1077" t="s">
        <v>1469</v>
      </c>
      <c r="G1199" s="1077" t="s">
        <v>1767</v>
      </c>
      <c r="H1199" s="1077" t="s">
        <v>4451</v>
      </c>
      <c r="I1199" s="1077" t="s">
        <v>648</v>
      </c>
      <c r="J1199" s="1077">
        <v>0</v>
      </c>
      <c r="K1199" s="1077" t="s">
        <v>4452</v>
      </c>
      <c r="L1199" s="1077" t="s">
        <v>4029</v>
      </c>
      <c r="M1199" s="1077">
        <v>103</v>
      </c>
      <c r="N1199" s="1077" t="s">
        <v>945</v>
      </c>
      <c r="O1199" s="1077">
        <v>2.5750000000000002</v>
      </c>
      <c r="P1199" s="1077">
        <v>2.06</v>
      </c>
      <c r="Q1199" s="1077">
        <v>4</v>
      </c>
      <c r="R1199" s="1077">
        <v>20</v>
      </c>
      <c r="T1199" s="1077">
        <v>18.5</v>
      </c>
      <c r="U1199" s="1077">
        <v>2.1</v>
      </c>
      <c r="V1199" s="1077" t="s">
        <v>648</v>
      </c>
      <c r="W1199" s="1077" t="s">
        <v>648</v>
      </c>
      <c r="X1199" s="1077" t="s">
        <v>648</v>
      </c>
      <c r="Y1199" s="1077">
        <v>1.3</v>
      </c>
      <c r="Z1199" s="1077">
        <v>4</v>
      </c>
      <c r="AA1199" s="1077" t="s">
        <v>3689</v>
      </c>
      <c r="AH1199" s="1077" t="s">
        <v>958</v>
      </c>
      <c r="AI1199" s="1077">
        <v>93.14</v>
      </c>
      <c r="AJ1199" s="1077">
        <v>-0.39</v>
      </c>
      <c r="AK1199" s="1077">
        <v>0.79</v>
      </c>
      <c r="AM1199" s="1078" t="s">
        <v>11417</v>
      </c>
      <c r="AN1199" s="1078" t="s">
        <v>11418</v>
      </c>
      <c r="AO1199" s="1078">
        <f t="shared" si="150"/>
        <v>700</v>
      </c>
      <c r="AP1199" s="1078">
        <f t="shared" si="151"/>
        <v>1.74</v>
      </c>
      <c r="AQ1199" s="1078" t="str">
        <f t="shared" si="152"/>
        <v>1-5-1S83°</v>
      </c>
      <c r="AR1199" s="1078" t="str">
        <f t="shared" si="153"/>
        <v>30.5</v>
      </c>
      <c r="AS1199" s="1078" t="str">
        <f t="shared" si="154"/>
        <v>325/275/150</v>
      </c>
      <c r="AT1199" s="1078" t="str">
        <f t="shared" si="155"/>
        <v>1-5-1S83°</v>
      </c>
      <c r="AV1199" s="1078" t="str">
        <f t="shared" si="148"/>
        <v>112.8.18</v>
      </c>
      <c r="AW1199" s="1344">
        <f t="shared" si="149"/>
        <v>45156</v>
      </c>
    </row>
    <row r="1200" spans="1:49">
      <c r="A1200" s="1077" t="s">
        <v>4453</v>
      </c>
      <c r="B1200" s="1077" t="s">
        <v>298</v>
      </c>
      <c r="C1200" s="1077">
        <v>650</v>
      </c>
      <c r="D1200" s="1077">
        <v>1.75</v>
      </c>
      <c r="E1200" s="1077" t="s">
        <v>15102</v>
      </c>
      <c r="F1200" s="1077" t="s">
        <v>984</v>
      </c>
      <c r="G1200" s="1077" t="s">
        <v>1767</v>
      </c>
      <c r="H1200" s="1077" t="s">
        <v>1484</v>
      </c>
      <c r="I1200" s="1077" t="s">
        <v>1112</v>
      </c>
      <c r="J1200" s="1077">
        <v>1.6</v>
      </c>
      <c r="K1200" s="1077" t="s">
        <v>4452</v>
      </c>
      <c r="L1200" s="1077" t="s">
        <v>4029</v>
      </c>
      <c r="M1200" s="1077">
        <v>103.2</v>
      </c>
      <c r="N1200" s="1077" t="s">
        <v>945</v>
      </c>
      <c r="O1200" s="1077">
        <v>2.58</v>
      </c>
      <c r="P1200" s="1077">
        <v>2.0640000000000001</v>
      </c>
      <c r="Q1200" s="1077">
        <v>4</v>
      </c>
      <c r="R1200" s="1077">
        <v>19.5</v>
      </c>
      <c r="T1200" s="1077">
        <v>27.3</v>
      </c>
      <c r="U1200" s="1077">
        <v>4</v>
      </c>
      <c r="V1200" s="1077" t="s">
        <v>648</v>
      </c>
      <c r="W1200" s="1077">
        <v>120</v>
      </c>
      <c r="X1200" s="1077" t="s">
        <v>2395</v>
      </c>
      <c r="Y1200" s="1077">
        <v>1.7</v>
      </c>
      <c r="Z1200" s="1077">
        <v>6</v>
      </c>
      <c r="AA1200" s="1077" t="s">
        <v>3687</v>
      </c>
      <c r="AB1200" s="1077" t="s">
        <v>981</v>
      </c>
      <c r="AH1200" s="1077" t="s">
        <v>1417</v>
      </c>
      <c r="AI1200" s="1077">
        <v>93.72</v>
      </c>
      <c r="AJ1200" s="1077">
        <v>-0.13</v>
      </c>
      <c r="AK1200" s="1077">
        <v>0.43</v>
      </c>
      <c r="AM1200" s="1078" t="s">
        <v>11419</v>
      </c>
      <c r="AN1200" s="1078" t="s">
        <v>11420</v>
      </c>
      <c r="AO1200" s="1078">
        <f t="shared" si="150"/>
        <v>650</v>
      </c>
      <c r="AP1200" s="1078">
        <f t="shared" si="151"/>
        <v>1.75</v>
      </c>
      <c r="AQ1200" s="1078" t="str">
        <f t="shared" si="152"/>
        <v>2-6-1S83°</v>
      </c>
      <c r="AR1200" s="1078" t="str">
        <f t="shared" si="153"/>
        <v>30</v>
      </c>
      <c r="AS1200" s="1078" t="str">
        <f t="shared" si="154"/>
        <v>165/OFF</v>
      </c>
      <c r="AT1200" s="1078" t="str">
        <f t="shared" si="155"/>
        <v>2-6-1S83°</v>
      </c>
      <c r="AV1200" s="1078" t="str">
        <f t="shared" si="148"/>
        <v>112.8.21</v>
      </c>
      <c r="AW1200" s="1344">
        <f t="shared" si="149"/>
        <v>45159</v>
      </c>
    </row>
    <row r="1201" spans="1:49">
      <c r="A1201" s="1077" t="s">
        <v>4454</v>
      </c>
      <c r="B1201" s="1077" t="s">
        <v>4113</v>
      </c>
      <c r="C1201" s="1077">
        <v>550</v>
      </c>
      <c r="D1201" s="1077">
        <v>1.673</v>
      </c>
      <c r="E1201" s="1077" t="s">
        <v>15102</v>
      </c>
      <c r="F1201" s="1077" t="s">
        <v>4455</v>
      </c>
      <c r="G1201" s="1077">
        <v>5</v>
      </c>
      <c r="H1201" s="1077" t="s">
        <v>3064</v>
      </c>
      <c r="I1201" s="1077" t="s">
        <v>1112</v>
      </c>
      <c r="J1201" s="1077">
        <v>1.1000000000000001</v>
      </c>
      <c r="K1201" s="1077" t="s">
        <v>4456</v>
      </c>
      <c r="L1201" s="1077" t="s">
        <v>4147</v>
      </c>
      <c r="M1201" s="1077">
        <v>103.3</v>
      </c>
      <c r="N1201" s="1077" t="s">
        <v>945</v>
      </c>
      <c r="O1201" s="1077">
        <v>2.5825</v>
      </c>
      <c r="P1201" s="1077">
        <v>2.0659999999999998</v>
      </c>
      <c r="Q1201" s="1077">
        <v>4</v>
      </c>
      <c r="R1201" s="1077">
        <v>25</v>
      </c>
      <c r="T1201" s="1077">
        <v>10</v>
      </c>
      <c r="U1201" s="1077">
        <v>5.8</v>
      </c>
      <c r="V1201" s="1077" t="s">
        <v>648</v>
      </c>
      <c r="W1201" s="1077">
        <v>125</v>
      </c>
      <c r="X1201" s="1077">
        <v>80</v>
      </c>
      <c r="Y1201" s="1077">
        <v>1.5</v>
      </c>
      <c r="Z1201" s="1077">
        <v>4</v>
      </c>
      <c r="AA1201" s="1077" t="s">
        <v>4457</v>
      </c>
      <c r="AH1201" s="1077" t="s">
        <v>1023</v>
      </c>
      <c r="AI1201" s="1077">
        <v>91.47</v>
      </c>
      <c r="AJ1201" s="1077">
        <v>-2.2200000000000002</v>
      </c>
      <c r="AK1201" s="1077">
        <v>3.76</v>
      </c>
      <c r="AM1201" s="1078" t="s">
        <v>11421</v>
      </c>
      <c r="AN1201" s="1078" t="s">
        <v>11422</v>
      </c>
      <c r="AO1201" s="1078">
        <f t="shared" si="150"/>
        <v>550</v>
      </c>
      <c r="AP1201" s="1078">
        <f t="shared" si="151"/>
        <v>1.673</v>
      </c>
      <c r="AQ1201" s="1078" t="str">
        <f t="shared" si="152"/>
        <v>2-6-1S83°</v>
      </c>
      <c r="AR1201" s="1078" t="str">
        <f t="shared" si="153"/>
        <v>30.4</v>
      </c>
      <c r="AS1201" s="1078" t="str">
        <f t="shared" si="154"/>
        <v>148/OFF</v>
      </c>
      <c r="AT1201" s="1078" t="str">
        <f t="shared" si="155"/>
        <v>2-6-1S83°</v>
      </c>
      <c r="AV1201" s="1078" t="str">
        <f t="shared" si="148"/>
        <v>112.8.25</v>
      </c>
      <c r="AW1201" s="1344">
        <f t="shared" si="149"/>
        <v>45163</v>
      </c>
    </row>
    <row r="1202" spans="1:49">
      <c r="A1202" s="1077" t="s">
        <v>4458</v>
      </c>
      <c r="B1202" s="1077" t="s">
        <v>298</v>
      </c>
      <c r="C1202" s="1077">
        <v>600</v>
      </c>
      <c r="D1202" s="1077">
        <v>1.74</v>
      </c>
      <c r="E1202" s="1077" t="s">
        <v>15102</v>
      </c>
      <c r="F1202" s="1077" t="s">
        <v>4459</v>
      </c>
      <c r="G1202" s="1077" t="s">
        <v>1767</v>
      </c>
      <c r="H1202" s="1077" t="s">
        <v>4417</v>
      </c>
      <c r="I1202" s="1077" t="s">
        <v>648</v>
      </c>
      <c r="J1202" s="1077">
        <v>0</v>
      </c>
      <c r="K1202" s="1077" t="s">
        <v>4320</v>
      </c>
      <c r="L1202" s="1077" t="s">
        <v>4029</v>
      </c>
      <c r="M1202" s="1077">
        <v>103</v>
      </c>
      <c r="N1202" s="1077" t="s">
        <v>945</v>
      </c>
      <c r="O1202" s="1077">
        <v>2.5750000000000002</v>
      </c>
      <c r="P1202" s="1077">
        <v>2.06</v>
      </c>
      <c r="Q1202" s="1077">
        <v>4</v>
      </c>
      <c r="R1202" s="1077">
        <v>23.5</v>
      </c>
      <c r="T1202" s="1077">
        <v>18.5</v>
      </c>
      <c r="U1202" s="1077">
        <v>2.1</v>
      </c>
      <c r="V1202" s="1077" t="s">
        <v>648</v>
      </c>
      <c r="W1202" s="1077" t="s">
        <v>648</v>
      </c>
      <c r="X1202" s="1077" t="s">
        <v>648</v>
      </c>
      <c r="Y1202" s="1077">
        <v>1.3</v>
      </c>
      <c r="Z1202" s="1077">
        <v>4</v>
      </c>
      <c r="AA1202" s="1077" t="s">
        <v>3435</v>
      </c>
      <c r="AH1202" s="1077" t="s">
        <v>650</v>
      </c>
      <c r="AM1202" s="1078" t="s">
        <v>11423</v>
      </c>
      <c r="AN1202" s="1078" t="s">
        <v>11424</v>
      </c>
      <c r="AO1202" s="1078">
        <f t="shared" si="150"/>
        <v>600</v>
      </c>
      <c r="AP1202" s="1078">
        <f t="shared" si="151"/>
        <v>1.74</v>
      </c>
      <c r="AQ1202" s="1078" t="str">
        <f t="shared" si="152"/>
        <v>2-6-1S83°</v>
      </c>
      <c r="AR1202" s="1078" t="str">
        <f t="shared" si="153"/>
        <v>33.2</v>
      </c>
      <c r="AS1202" s="1078" t="str">
        <f t="shared" si="154"/>
        <v>178/178</v>
      </c>
      <c r="AT1202" s="1078" t="str">
        <f t="shared" si="155"/>
        <v>2-6-1S83°</v>
      </c>
      <c r="AV1202" s="1078" t="str">
        <f t="shared" si="148"/>
        <v>112.2.8</v>
      </c>
      <c r="AW1202" s="1344">
        <f t="shared" si="149"/>
        <v>44965</v>
      </c>
    </row>
    <row r="1203" spans="1:49">
      <c r="A1203" s="1077" t="s">
        <v>4460</v>
      </c>
      <c r="B1203" s="1077" t="s">
        <v>4052</v>
      </c>
      <c r="C1203" s="1077">
        <v>650</v>
      </c>
      <c r="D1203" s="1077">
        <v>1.6950000000000001</v>
      </c>
      <c r="E1203" s="1077" t="s">
        <v>15109</v>
      </c>
      <c r="F1203" s="1077" t="s">
        <v>648</v>
      </c>
      <c r="G1203" s="1077">
        <v>4</v>
      </c>
      <c r="H1203" s="1077" t="s">
        <v>1671</v>
      </c>
      <c r="I1203" s="1077" t="s">
        <v>126</v>
      </c>
      <c r="J1203" s="1077">
        <v>1.1000000000000001</v>
      </c>
      <c r="K1203" s="1077" t="s">
        <v>4461</v>
      </c>
      <c r="L1203" s="1077" t="s">
        <v>944</v>
      </c>
      <c r="M1203" s="1077">
        <v>99</v>
      </c>
      <c r="N1203" s="1077" t="s">
        <v>945</v>
      </c>
      <c r="O1203" s="1077">
        <v>2.4750000000000001</v>
      </c>
      <c r="P1203" s="1077">
        <v>1.98</v>
      </c>
      <c r="Q1203" s="1077">
        <v>4.2</v>
      </c>
      <c r="R1203" s="1077">
        <v>23</v>
      </c>
      <c r="T1203" s="1077">
        <v>16</v>
      </c>
      <c r="U1203" s="1077">
        <v>3.6</v>
      </c>
      <c r="V1203" s="1077" t="s">
        <v>648</v>
      </c>
      <c r="W1203" s="1077">
        <v>120</v>
      </c>
      <c r="X1203" s="1077" t="s">
        <v>4054</v>
      </c>
      <c r="Y1203" s="1077">
        <v>2.5</v>
      </c>
      <c r="Z1203" s="1077" t="s">
        <v>648</v>
      </c>
      <c r="AA1203" s="1077" t="s">
        <v>3703</v>
      </c>
      <c r="AB1203" s="1077" t="s">
        <v>981</v>
      </c>
      <c r="AH1203" s="1077" t="s">
        <v>842</v>
      </c>
      <c r="AI1203" s="1077">
        <v>94.2</v>
      </c>
      <c r="AJ1203" s="1077">
        <v>-0.13</v>
      </c>
      <c r="AK1203" s="1077">
        <v>4.2</v>
      </c>
      <c r="AM1203" s="1078" t="s">
        <v>11425</v>
      </c>
      <c r="AN1203" s="1078" t="s">
        <v>11426</v>
      </c>
      <c r="AO1203" s="1078">
        <f t="shared" si="150"/>
        <v>650</v>
      </c>
      <c r="AP1203" s="1078">
        <f t="shared" si="151"/>
        <v>1.6950000000000001</v>
      </c>
      <c r="AQ1203" s="1078" t="str">
        <f t="shared" si="152"/>
        <v>1-5-1S85°Z+S</v>
      </c>
      <c r="AR1203" s="1078" t="str">
        <f t="shared" si="153"/>
        <v>NA</v>
      </c>
      <c r="AS1203" s="1078" t="str">
        <f t="shared" si="154"/>
        <v>172/OFF</v>
      </c>
      <c r="AT1203" s="1078" t="str">
        <f t="shared" si="155"/>
        <v>1-5-1S85°Z+S</v>
      </c>
      <c r="AU1203" s="1078" t="s">
        <v>15547</v>
      </c>
      <c r="AV1203" s="1078" t="str">
        <f t="shared" si="148"/>
        <v>112.8.31</v>
      </c>
      <c r="AW1203" s="1344">
        <f t="shared" si="149"/>
        <v>45169</v>
      </c>
    </row>
    <row r="1204" spans="1:49">
      <c r="A1204" s="1077" t="s">
        <v>4462</v>
      </c>
      <c r="B1204" s="1077" t="s">
        <v>298</v>
      </c>
      <c r="C1204" s="1077">
        <v>700</v>
      </c>
      <c r="D1204" s="1077">
        <v>1.75</v>
      </c>
      <c r="E1204" s="1077" t="s">
        <v>15095</v>
      </c>
      <c r="F1204" s="1077" t="s">
        <v>1469</v>
      </c>
      <c r="G1204" s="1077" t="s">
        <v>1767</v>
      </c>
      <c r="H1204" s="1077" t="s">
        <v>4451</v>
      </c>
      <c r="I1204" s="1077" t="s">
        <v>648</v>
      </c>
      <c r="J1204" s="1077">
        <v>0</v>
      </c>
      <c r="K1204" s="1077" t="s">
        <v>4452</v>
      </c>
      <c r="L1204" s="1077" t="s">
        <v>4029</v>
      </c>
      <c r="M1204" s="1077">
        <v>103</v>
      </c>
      <c r="N1204" s="1077" t="s">
        <v>945</v>
      </c>
      <c r="O1204" s="1077">
        <v>2.5750000000000002</v>
      </c>
      <c r="P1204" s="1077">
        <v>2.06</v>
      </c>
      <c r="Q1204" s="1077">
        <v>4</v>
      </c>
      <c r="R1204" s="1077">
        <v>20</v>
      </c>
      <c r="T1204" s="1077">
        <v>18.5</v>
      </c>
      <c r="U1204" s="1077">
        <v>2.1</v>
      </c>
      <c r="V1204" s="1077" t="s">
        <v>648</v>
      </c>
      <c r="W1204" s="1077" t="s">
        <v>648</v>
      </c>
      <c r="X1204" s="1077" t="s">
        <v>648</v>
      </c>
      <c r="Y1204" s="1077">
        <v>1.3</v>
      </c>
      <c r="Z1204" s="1077">
        <v>4</v>
      </c>
      <c r="AA1204" s="1077" t="s">
        <v>3735</v>
      </c>
      <c r="AH1204" s="1077" t="s">
        <v>994</v>
      </c>
      <c r="AI1204" s="1077">
        <v>93.41</v>
      </c>
      <c r="AJ1204" s="1077">
        <v>-0.1</v>
      </c>
      <c r="AK1204" s="1077">
        <v>0.36</v>
      </c>
      <c r="AM1204" s="1078" t="s">
        <v>11427</v>
      </c>
      <c r="AN1204" s="1078" t="s">
        <v>11428</v>
      </c>
      <c r="AO1204" s="1078">
        <f t="shared" si="150"/>
        <v>700</v>
      </c>
      <c r="AP1204" s="1078">
        <f t="shared" si="151"/>
        <v>1.75</v>
      </c>
      <c r="AQ1204" s="1078" t="str">
        <f t="shared" si="152"/>
        <v>1-5-1S83°</v>
      </c>
      <c r="AR1204" s="1078" t="str">
        <f t="shared" si="153"/>
        <v>30.5</v>
      </c>
      <c r="AS1204" s="1078" t="str">
        <f t="shared" si="154"/>
        <v>325/275/150</v>
      </c>
      <c r="AT1204" s="1078" t="str">
        <f t="shared" si="155"/>
        <v>1-5-1S83°</v>
      </c>
      <c r="AV1204" s="1078" t="str">
        <f t="shared" si="148"/>
        <v>112.9.1</v>
      </c>
      <c r="AW1204" s="1344">
        <f t="shared" si="149"/>
        <v>45170</v>
      </c>
    </row>
    <row r="1205" spans="1:49">
      <c r="A1205" s="1077" t="s">
        <v>4463</v>
      </c>
      <c r="B1205" s="1077" t="s">
        <v>298</v>
      </c>
      <c r="C1205" s="1077">
        <v>650</v>
      </c>
      <c r="D1205" s="1077">
        <v>1.75</v>
      </c>
      <c r="E1205" s="1077" t="s">
        <v>15102</v>
      </c>
      <c r="F1205" s="1077" t="s">
        <v>1398</v>
      </c>
      <c r="G1205" s="1077" t="s">
        <v>1767</v>
      </c>
      <c r="H1205" s="1077" t="s">
        <v>4399</v>
      </c>
      <c r="I1205" s="1077" t="s">
        <v>648</v>
      </c>
      <c r="J1205" s="1077">
        <v>0</v>
      </c>
      <c r="K1205" s="1077" t="s">
        <v>4447</v>
      </c>
      <c r="L1205" s="1077" t="s">
        <v>4029</v>
      </c>
      <c r="M1205" s="1077">
        <v>103</v>
      </c>
      <c r="N1205" s="1077" t="s">
        <v>945</v>
      </c>
      <c r="O1205" s="1077">
        <v>2.5750000000000002</v>
      </c>
      <c r="P1205" s="1077">
        <v>2.06</v>
      </c>
      <c r="Q1205" s="1077">
        <v>4</v>
      </c>
      <c r="R1205" s="1077">
        <v>23.5</v>
      </c>
      <c r="T1205" s="1077">
        <v>18.5</v>
      </c>
      <c r="U1205" s="1077">
        <v>2.1</v>
      </c>
      <c r="V1205" s="1077" t="s">
        <v>648</v>
      </c>
      <c r="W1205" s="1077" t="s">
        <v>648</v>
      </c>
      <c r="X1205" s="1077" t="s">
        <v>648</v>
      </c>
      <c r="Y1205" s="1077">
        <v>1.3</v>
      </c>
      <c r="Z1205" s="1077">
        <v>4</v>
      </c>
      <c r="AA1205" s="1077" t="s">
        <v>3735</v>
      </c>
      <c r="AH1205" s="1077" t="s">
        <v>1486</v>
      </c>
      <c r="AI1205" s="1077">
        <v>93.09</v>
      </c>
      <c r="AJ1205" s="1077">
        <v>-0.36</v>
      </c>
      <c r="AK1205" s="1077">
        <v>0.63</v>
      </c>
      <c r="AM1205" s="1078" t="s">
        <v>11429</v>
      </c>
      <c r="AN1205" s="1078" t="s">
        <v>11430</v>
      </c>
      <c r="AO1205" s="1078">
        <f t="shared" si="150"/>
        <v>650</v>
      </c>
      <c r="AP1205" s="1078">
        <f t="shared" si="151"/>
        <v>1.75</v>
      </c>
      <c r="AQ1205" s="1078" t="str">
        <f t="shared" si="152"/>
        <v>2-6-1S83°</v>
      </c>
      <c r="AR1205" s="1078" t="str">
        <f t="shared" si="153"/>
        <v>32.5</v>
      </c>
      <c r="AS1205" s="1078" t="str">
        <f t="shared" si="154"/>
        <v>180/175</v>
      </c>
      <c r="AT1205" s="1078" t="str">
        <f t="shared" si="155"/>
        <v>2-6-1S83°</v>
      </c>
      <c r="AV1205" s="1078" t="str">
        <f t="shared" si="148"/>
        <v>112.9.1</v>
      </c>
      <c r="AW1205" s="1344">
        <f t="shared" si="149"/>
        <v>45170</v>
      </c>
    </row>
    <row r="1206" spans="1:49">
      <c r="A1206" s="1077" t="s">
        <v>4464</v>
      </c>
      <c r="B1206" s="1077" t="s">
        <v>298</v>
      </c>
      <c r="C1206" s="1077">
        <v>650</v>
      </c>
      <c r="D1206" s="1077">
        <v>1.75</v>
      </c>
      <c r="E1206" s="1077" t="s">
        <v>15102</v>
      </c>
      <c r="F1206" s="1077" t="s">
        <v>1173</v>
      </c>
      <c r="G1206" s="1077" t="s">
        <v>1767</v>
      </c>
      <c r="H1206" s="1077" t="s">
        <v>4399</v>
      </c>
      <c r="I1206" s="1077" t="s">
        <v>648</v>
      </c>
      <c r="J1206" s="1077">
        <v>0</v>
      </c>
      <c r="K1206" s="1077" t="s">
        <v>4447</v>
      </c>
      <c r="L1206" s="1077" t="s">
        <v>4029</v>
      </c>
      <c r="M1206" s="1077">
        <v>103</v>
      </c>
      <c r="N1206" s="1077" t="s">
        <v>945</v>
      </c>
      <c r="O1206" s="1077">
        <v>2.5750000000000002</v>
      </c>
      <c r="P1206" s="1077">
        <v>2.06</v>
      </c>
      <c r="Q1206" s="1077">
        <v>4</v>
      </c>
      <c r="R1206" s="1077">
        <v>20</v>
      </c>
      <c r="T1206" s="1077">
        <v>18.5</v>
      </c>
      <c r="U1206" s="1077">
        <v>2.1</v>
      </c>
      <c r="V1206" s="1077" t="s">
        <v>648</v>
      </c>
      <c r="W1206" s="1077" t="s">
        <v>648</v>
      </c>
      <c r="X1206" s="1077" t="s">
        <v>648</v>
      </c>
      <c r="Y1206" s="1077">
        <v>1.3</v>
      </c>
      <c r="Z1206" s="1077">
        <v>4</v>
      </c>
      <c r="AA1206" s="1077" t="s">
        <v>4465</v>
      </c>
      <c r="AH1206" s="1077" t="s">
        <v>868</v>
      </c>
      <c r="AI1206" s="1077">
        <v>93.26</v>
      </c>
      <c r="AJ1206" s="1077">
        <v>-0.61</v>
      </c>
      <c r="AK1206" s="1077">
        <v>0.71</v>
      </c>
      <c r="AM1206" s="1078" t="s">
        <v>11431</v>
      </c>
      <c r="AN1206" s="1078" t="s">
        <v>11432</v>
      </c>
      <c r="AO1206" s="1078">
        <f t="shared" si="150"/>
        <v>650</v>
      </c>
      <c r="AP1206" s="1078">
        <f t="shared" si="151"/>
        <v>1.75</v>
      </c>
      <c r="AQ1206" s="1078" t="str">
        <f t="shared" si="152"/>
        <v>2-6-1S83°</v>
      </c>
      <c r="AR1206" s="1078" t="str">
        <f t="shared" si="153"/>
        <v>28.5</v>
      </c>
      <c r="AS1206" s="1078" t="str">
        <f t="shared" si="154"/>
        <v>180/175</v>
      </c>
      <c r="AT1206" s="1078" t="str">
        <f t="shared" si="155"/>
        <v>2-6-1S83°</v>
      </c>
      <c r="AV1206" s="1078" t="str">
        <f t="shared" si="148"/>
        <v>112.9.8</v>
      </c>
      <c r="AW1206" s="1344">
        <f t="shared" si="149"/>
        <v>45177</v>
      </c>
    </row>
    <row r="1207" spans="1:49">
      <c r="A1207" s="1077" t="s">
        <v>4466</v>
      </c>
      <c r="B1207" s="1077" t="s">
        <v>298</v>
      </c>
      <c r="C1207" s="1077">
        <v>650</v>
      </c>
      <c r="D1207" s="1077">
        <v>1.72</v>
      </c>
      <c r="E1207" s="1077" t="s">
        <v>15102</v>
      </c>
      <c r="F1207" s="1077" t="s">
        <v>1281</v>
      </c>
      <c r="G1207" s="1077" t="s">
        <v>1767</v>
      </c>
      <c r="H1207" s="1077" t="s">
        <v>1952</v>
      </c>
      <c r="I1207" s="1077" t="s">
        <v>1112</v>
      </c>
      <c r="J1207" s="1077">
        <v>1.8</v>
      </c>
      <c r="K1207" s="1077" t="s">
        <v>4452</v>
      </c>
      <c r="L1207" s="1077" t="s">
        <v>4029</v>
      </c>
      <c r="M1207" s="1077">
        <v>103.2</v>
      </c>
      <c r="N1207" s="1077" t="s">
        <v>945</v>
      </c>
      <c r="O1207" s="1077">
        <v>2.58</v>
      </c>
      <c r="P1207" s="1077">
        <v>2.0640000000000001</v>
      </c>
      <c r="Q1207" s="1077">
        <v>4</v>
      </c>
      <c r="R1207" s="1077">
        <v>19.5</v>
      </c>
      <c r="T1207" s="1077">
        <v>27.3</v>
      </c>
      <c r="U1207" s="1077">
        <v>4</v>
      </c>
      <c r="V1207" s="1077" t="s">
        <v>648</v>
      </c>
      <c r="W1207" s="1077">
        <v>120</v>
      </c>
      <c r="X1207" s="1077">
        <v>60</v>
      </c>
      <c r="Y1207" s="1077">
        <v>1.7</v>
      </c>
      <c r="Z1207" s="1077">
        <v>6</v>
      </c>
      <c r="AA1207" s="1077" t="s">
        <v>4467</v>
      </c>
      <c r="AH1207" s="1077" t="s">
        <v>1486</v>
      </c>
      <c r="AI1207" s="1077">
        <v>93.44</v>
      </c>
      <c r="AJ1207" s="1077">
        <v>-0.28999999999999998</v>
      </c>
      <c r="AK1207" s="1077">
        <v>0.54</v>
      </c>
      <c r="AM1207" s="1078" t="s">
        <v>11433</v>
      </c>
      <c r="AN1207" s="1078" t="s">
        <v>11434</v>
      </c>
      <c r="AO1207" s="1078">
        <f t="shared" si="150"/>
        <v>650</v>
      </c>
      <c r="AP1207" s="1078">
        <f t="shared" si="151"/>
        <v>1.72</v>
      </c>
      <c r="AQ1207" s="1078" t="str">
        <f t="shared" si="152"/>
        <v>2-6-1S83°</v>
      </c>
      <c r="AR1207" s="1078" t="str">
        <f t="shared" si="153"/>
        <v>31.8</v>
      </c>
      <c r="AS1207" s="1078" t="str">
        <f t="shared" si="154"/>
        <v>166/OFF</v>
      </c>
      <c r="AT1207" s="1078" t="str">
        <f t="shared" si="155"/>
        <v>2-6-1S83°</v>
      </c>
      <c r="AV1207" s="1078" t="str">
        <f t="shared" si="148"/>
        <v>112.10.21</v>
      </c>
      <c r="AW1207" s="1344">
        <f t="shared" si="149"/>
        <v>45220</v>
      </c>
    </row>
    <row r="1208" spans="1:49">
      <c r="A1208" s="1077" t="s">
        <v>4468</v>
      </c>
      <c r="B1208" s="1077" t="s">
        <v>4113</v>
      </c>
      <c r="C1208" s="1077" t="s">
        <v>4469</v>
      </c>
      <c r="D1208" s="1077">
        <v>1.66</v>
      </c>
      <c r="E1208" s="1077" t="s">
        <v>15102</v>
      </c>
      <c r="F1208" s="1077" t="s">
        <v>1469</v>
      </c>
      <c r="G1208" s="1077">
        <v>5</v>
      </c>
      <c r="H1208" s="1077" t="s">
        <v>4470</v>
      </c>
      <c r="I1208" s="1077" t="s">
        <v>1167</v>
      </c>
      <c r="J1208" s="1077">
        <v>1</v>
      </c>
      <c r="K1208" s="1077" t="s">
        <v>4456</v>
      </c>
      <c r="L1208" s="1077" t="s">
        <v>4147</v>
      </c>
      <c r="M1208" s="1077">
        <v>103.3</v>
      </c>
      <c r="N1208" s="1077" t="s">
        <v>945</v>
      </c>
      <c r="O1208" s="1077">
        <v>2.5825</v>
      </c>
      <c r="P1208" s="1077">
        <v>2.0659999999999998</v>
      </c>
      <c r="Q1208" s="1077">
        <v>4</v>
      </c>
      <c r="R1208" s="1077">
        <v>25</v>
      </c>
      <c r="T1208" s="1077">
        <v>10</v>
      </c>
      <c r="U1208" s="1077">
        <v>5.8</v>
      </c>
      <c r="V1208" s="1077" t="s">
        <v>648</v>
      </c>
      <c r="W1208" s="1077">
        <v>125</v>
      </c>
      <c r="X1208" s="1077">
        <v>80</v>
      </c>
      <c r="Y1208" s="1077">
        <v>1.5</v>
      </c>
      <c r="Z1208" s="1077">
        <v>4</v>
      </c>
      <c r="AA1208" s="1077" t="s">
        <v>4471</v>
      </c>
      <c r="AH1208" s="1077" t="s">
        <v>842</v>
      </c>
      <c r="AI1208" s="1077">
        <v>91.33</v>
      </c>
      <c r="AJ1208" s="1077">
        <v>-1.66</v>
      </c>
      <c r="AK1208" s="1077">
        <v>4.37</v>
      </c>
      <c r="AM1208" s="1078" t="s">
        <v>11435</v>
      </c>
      <c r="AN1208" s="1078" t="s">
        <v>11436</v>
      </c>
      <c r="AO1208" s="1078" t="str">
        <f t="shared" si="150"/>
        <v>550↓500-11/9</v>
      </c>
      <c r="AP1208" s="1078">
        <f t="shared" si="151"/>
        <v>1.66</v>
      </c>
      <c r="AQ1208" s="1078" t="str">
        <f t="shared" si="152"/>
        <v>2-6-1S83°</v>
      </c>
      <c r="AR1208" s="1078" t="str">
        <f t="shared" si="153"/>
        <v>30.5</v>
      </c>
      <c r="AS1208" s="1078" t="str">
        <f t="shared" si="154"/>
        <v>143/OFF</v>
      </c>
      <c r="AT1208" s="1078" t="str">
        <f t="shared" si="155"/>
        <v>2-6-1S83°</v>
      </c>
      <c r="AV1208" s="1078" t="str">
        <f t="shared" si="148"/>
        <v>112.11.8</v>
      </c>
      <c r="AW1208" s="1344">
        <f t="shared" si="149"/>
        <v>45238</v>
      </c>
    </row>
    <row r="1209" spans="1:49">
      <c r="A1209" s="1077" t="s">
        <v>4472</v>
      </c>
      <c r="B1209" s="1077" t="s">
        <v>298</v>
      </c>
      <c r="C1209" s="1077">
        <v>650</v>
      </c>
      <c r="D1209" s="1077">
        <v>1.7250000000000001</v>
      </c>
      <c r="E1209" s="1077" t="s">
        <v>15102</v>
      </c>
      <c r="F1209" s="1077" t="s">
        <v>1514</v>
      </c>
      <c r="G1209" s="1077" t="s">
        <v>1767</v>
      </c>
      <c r="H1209" s="1077" t="s">
        <v>1484</v>
      </c>
      <c r="I1209" s="1077" t="s">
        <v>1167</v>
      </c>
      <c r="J1209" s="1077">
        <v>1.6</v>
      </c>
      <c r="K1209" s="1077" t="s">
        <v>4452</v>
      </c>
      <c r="L1209" s="1077" t="s">
        <v>4029</v>
      </c>
      <c r="M1209" s="1077">
        <v>103.2</v>
      </c>
      <c r="N1209" s="1077" t="s">
        <v>945</v>
      </c>
      <c r="O1209" s="1077">
        <v>2.58</v>
      </c>
      <c r="P1209" s="1077">
        <v>2.0640000000000001</v>
      </c>
      <c r="Q1209" s="1077">
        <v>4</v>
      </c>
      <c r="R1209" s="1077">
        <v>19.5</v>
      </c>
      <c r="T1209" s="1077">
        <v>27.3</v>
      </c>
      <c r="U1209" s="1077">
        <v>4</v>
      </c>
      <c r="V1209" s="1077" t="s">
        <v>648</v>
      </c>
      <c r="W1209" s="1077">
        <v>120</v>
      </c>
      <c r="X1209" s="1077" t="s">
        <v>2395</v>
      </c>
      <c r="Y1209" s="1077">
        <v>1.7</v>
      </c>
      <c r="Z1209" s="1077">
        <v>6</v>
      </c>
      <c r="AA1209" s="1077" t="s">
        <v>3845</v>
      </c>
      <c r="AB1209" s="1077" t="s">
        <v>981</v>
      </c>
      <c r="AH1209" s="1077" t="s">
        <v>647</v>
      </c>
      <c r="AI1209" s="1077">
        <v>93.85</v>
      </c>
      <c r="AJ1209" s="1077">
        <v>-0.12</v>
      </c>
      <c r="AK1209" s="1077">
        <v>0.64</v>
      </c>
      <c r="AM1209" s="1078" t="s">
        <v>11437</v>
      </c>
      <c r="AN1209" s="1078" t="s">
        <v>11438</v>
      </c>
      <c r="AO1209" s="1078">
        <f t="shared" si="150"/>
        <v>650</v>
      </c>
      <c r="AP1209" s="1078">
        <f t="shared" si="151"/>
        <v>1.7250000000000001</v>
      </c>
      <c r="AQ1209" s="1078" t="str">
        <f t="shared" si="152"/>
        <v>2-6-1S83°</v>
      </c>
      <c r="AR1209" s="1078" t="str">
        <f t="shared" si="153"/>
        <v>32</v>
      </c>
      <c r="AS1209" s="1078" t="str">
        <f t="shared" si="154"/>
        <v>165/OFF</v>
      </c>
      <c r="AT1209" s="1078" t="str">
        <f t="shared" si="155"/>
        <v>2-6-1S83°</v>
      </c>
      <c r="AV1209" s="1078" t="str">
        <f t="shared" si="148"/>
        <v>112.12.1</v>
      </c>
      <c r="AW1209" s="1344">
        <f t="shared" si="149"/>
        <v>45261</v>
      </c>
    </row>
    <row r="1210" spans="1:49">
      <c r="A1210" s="1077" t="s">
        <v>4473</v>
      </c>
      <c r="B1210" s="1077" t="s">
        <v>298</v>
      </c>
      <c r="C1210" s="1077">
        <v>650</v>
      </c>
      <c r="D1210" s="1077">
        <v>1.756</v>
      </c>
      <c r="E1210" s="1077" t="s">
        <v>15102</v>
      </c>
      <c r="F1210" s="1077" t="s">
        <v>954</v>
      </c>
      <c r="G1210" s="1077" t="s">
        <v>1767</v>
      </c>
      <c r="H1210" s="1077" t="s">
        <v>4399</v>
      </c>
      <c r="I1210" s="1077" t="s">
        <v>648</v>
      </c>
      <c r="J1210" s="1077">
        <v>0</v>
      </c>
      <c r="K1210" s="1077" t="s">
        <v>4447</v>
      </c>
      <c r="L1210" s="1077" t="s">
        <v>4029</v>
      </c>
      <c r="M1210" s="1077">
        <v>103</v>
      </c>
      <c r="N1210" s="1077" t="s">
        <v>945</v>
      </c>
      <c r="O1210" s="1077">
        <v>2.5750000000000002</v>
      </c>
      <c r="P1210" s="1077">
        <v>2.06</v>
      </c>
      <c r="Q1210" s="1077">
        <v>4</v>
      </c>
      <c r="R1210" s="1077">
        <v>20</v>
      </c>
      <c r="T1210" s="1077">
        <v>18.5</v>
      </c>
      <c r="U1210" s="1077">
        <v>2.1</v>
      </c>
      <c r="V1210" s="1077" t="s">
        <v>648</v>
      </c>
      <c r="W1210" s="1077" t="s">
        <v>648</v>
      </c>
      <c r="X1210" s="1077" t="s">
        <v>648</v>
      </c>
      <c r="Y1210" s="1077">
        <v>1.3</v>
      </c>
      <c r="Z1210" s="1077">
        <v>4</v>
      </c>
      <c r="AA1210" s="1077" t="s">
        <v>3845</v>
      </c>
      <c r="AH1210" s="1077" t="s">
        <v>842</v>
      </c>
      <c r="AI1210" s="1077">
        <v>93.54</v>
      </c>
      <c r="AJ1210" s="1077">
        <v>-7.0000000000000007E-2</v>
      </c>
      <c r="AK1210" s="1077">
        <v>0.45</v>
      </c>
      <c r="AM1210" s="1078" t="s">
        <v>11439</v>
      </c>
      <c r="AN1210" s="1078" t="s">
        <v>11440</v>
      </c>
      <c r="AO1210" s="1078">
        <f t="shared" si="150"/>
        <v>650</v>
      </c>
      <c r="AP1210" s="1078">
        <f t="shared" si="151"/>
        <v>1.756</v>
      </c>
      <c r="AQ1210" s="1078" t="str">
        <f t="shared" si="152"/>
        <v>2-6-1S83°</v>
      </c>
      <c r="AR1210" s="1078" t="str">
        <f t="shared" si="153"/>
        <v>31</v>
      </c>
      <c r="AS1210" s="1078" t="str">
        <f t="shared" si="154"/>
        <v>180/175</v>
      </c>
      <c r="AT1210" s="1078" t="str">
        <f t="shared" si="155"/>
        <v>2-6-1S83°</v>
      </c>
      <c r="AV1210" s="1078" t="str">
        <f t="shared" si="148"/>
        <v>112.12.1</v>
      </c>
      <c r="AW1210" s="1344">
        <f t="shared" si="149"/>
        <v>45261</v>
      </c>
    </row>
    <row r="1211" spans="1:49">
      <c r="A1211" s="1077" t="s">
        <v>4474</v>
      </c>
      <c r="B1211" s="1077" t="s">
        <v>4052</v>
      </c>
      <c r="C1211" s="1077">
        <v>650</v>
      </c>
      <c r="D1211" s="1077">
        <v>1.7</v>
      </c>
      <c r="E1211" s="1077" t="s">
        <v>15109</v>
      </c>
      <c r="F1211" s="1077" t="s">
        <v>648</v>
      </c>
      <c r="G1211" s="1077">
        <v>4</v>
      </c>
      <c r="H1211" s="1077" t="s">
        <v>1166</v>
      </c>
      <c r="I1211" s="1077" t="s">
        <v>126</v>
      </c>
      <c r="J1211" s="1077">
        <v>1.1000000000000001</v>
      </c>
      <c r="K1211" s="1077" t="s">
        <v>4461</v>
      </c>
      <c r="L1211" s="1077" t="s">
        <v>944</v>
      </c>
      <c r="M1211" s="1077">
        <v>99</v>
      </c>
      <c r="N1211" s="1077" t="s">
        <v>945</v>
      </c>
      <c r="O1211" s="1077">
        <v>2.4750000000000001</v>
      </c>
      <c r="P1211" s="1077">
        <v>1.98</v>
      </c>
      <c r="Q1211" s="1077">
        <v>4.2</v>
      </c>
      <c r="R1211" s="1077">
        <v>23</v>
      </c>
      <c r="T1211" s="1077">
        <v>16</v>
      </c>
      <c r="U1211" s="1077">
        <v>3.6</v>
      </c>
      <c r="V1211" s="1077" t="s">
        <v>648</v>
      </c>
      <c r="W1211" s="1077">
        <v>120</v>
      </c>
      <c r="X1211" s="1077" t="s">
        <v>4054</v>
      </c>
      <c r="Y1211" s="1077">
        <v>2.5</v>
      </c>
      <c r="Z1211" s="1077" t="s">
        <v>648</v>
      </c>
      <c r="AA1211" s="1077" t="s">
        <v>1629</v>
      </c>
      <c r="AB1211" s="1077" t="s">
        <v>981</v>
      </c>
      <c r="AH1211" s="1077" t="s">
        <v>812</v>
      </c>
      <c r="AI1211" s="1077">
        <v>94.1</v>
      </c>
      <c r="AJ1211" s="1077">
        <v>-0.82</v>
      </c>
      <c r="AK1211" s="1077">
        <v>4.91</v>
      </c>
      <c r="AM1211" s="1078" t="s">
        <v>11441</v>
      </c>
      <c r="AN1211" s="1078" t="s">
        <v>11442</v>
      </c>
      <c r="AO1211" s="1078">
        <f t="shared" si="150"/>
        <v>650</v>
      </c>
      <c r="AP1211" s="1078">
        <f t="shared" si="151"/>
        <v>1.7</v>
      </c>
      <c r="AQ1211" s="1078" t="str">
        <f t="shared" si="152"/>
        <v>1-5-1S85°Z+S</v>
      </c>
      <c r="AR1211" s="1078" t="str">
        <f t="shared" si="153"/>
        <v>NA</v>
      </c>
      <c r="AS1211" s="1078" t="str">
        <f t="shared" si="154"/>
        <v>170/OFF</v>
      </c>
      <c r="AT1211" s="1078" t="str">
        <f t="shared" si="155"/>
        <v>1-5-1S85°Z+S</v>
      </c>
      <c r="AU1211" s="1078" t="s">
        <v>15547</v>
      </c>
      <c r="AV1211" s="1078" t="str">
        <f t="shared" si="148"/>
        <v>112.12.4</v>
      </c>
      <c r="AW1211" s="1344">
        <f t="shared" si="149"/>
        <v>45264</v>
      </c>
    </row>
    <row r="1212" spans="1:49">
      <c r="A1212" s="1077" t="s">
        <v>4475</v>
      </c>
      <c r="B1212" s="1077" t="s">
        <v>298</v>
      </c>
      <c r="C1212" s="1077">
        <v>650</v>
      </c>
      <c r="D1212" s="1077">
        <v>1.76</v>
      </c>
      <c r="E1212" s="1077" t="s">
        <v>15102</v>
      </c>
      <c r="F1212" s="1077" t="s">
        <v>954</v>
      </c>
      <c r="G1212" s="1077" t="s">
        <v>1767</v>
      </c>
      <c r="H1212" s="1077" t="s">
        <v>4399</v>
      </c>
      <c r="I1212" s="1077" t="s">
        <v>648</v>
      </c>
      <c r="J1212" s="1077">
        <v>0</v>
      </c>
      <c r="K1212" s="1077" t="s">
        <v>4443</v>
      </c>
      <c r="L1212" s="1077" t="s">
        <v>4029</v>
      </c>
      <c r="M1212" s="1077">
        <v>103</v>
      </c>
      <c r="N1212" s="1077" t="s">
        <v>945</v>
      </c>
      <c r="O1212" s="1077">
        <v>2.5750000000000002</v>
      </c>
      <c r="P1212" s="1077">
        <v>2.06</v>
      </c>
      <c r="Q1212" s="1077">
        <v>4</v>
      </c>
      <c r="R1212" s="1077">
        <v>20</v>
      </c>
      <c r="T1212" s="1077">
        <v>18.5</v>
      </c>
      <c r="U1212" s="1077">
        <v>2.1</v>
      </c>
      <c r="V1212" s="1077" t="s">
        <v>648</v>
      </c>
      <c r="W1212" s="1077" t="s">
        <v>648</v>
      </c>
      <c r="X1212" s="1077" t="s">
        <v>648</v>
      </c>
      <c r="Y1212" s="1077">
        <v>1.3</v>
      </c>
      <c r="Z1212" s="1077">
        <v>4</v>
      </c>
      <c r="AA1212" s="1077" t="s">
        <v>4476</v>
      </c>
      <c r="AH1212" s="1077" t="s">
        <v>650</v>
      </c>
      <c r="AI1212" s="1077">
        <v>91.37</v>
      </c>
      <c r="AJ1212" s="1077">
        <v>-0.28000000000000003</v>
      </c>
      <c r="AK1212" s="1077">
        <v>0.72</v>
      </c>
      <c r="AM1212" s="1078" t="s">
        <v>11443</v>
      </c>
      <c r="AN1212" s="1078" t="s">
        <v>11444</v>
      </c>
      <c r="AO1212" s="1078">
        <f t="shared" si="150"/>
        <v>650</v>
      </c>
      <c r="AP1212" s="1078">
        <f t="shared" si="151"/>
        <v>1.76</v>
      </c>
      <c r="AQ1212" s="1078" t="str">
        <f t="shared" si="152"/>
        <v>2-6-1S83°</v>
      </c>
      <c r="AR1212" s="1078" t="str">
        <f t="shared" si="153"/>
        <v>31</v>
      </c>
      <c r="AS1212" s="1078" t="str">
        <f t="shared" si="154"/>
        <v>180/175</v>
      </c>
      <c r="AT1212" s="1078" t="str">
        <f t="shared" si="155"/>
        <v>2-6-1S83°</v>
      </c>
      <c r="AV1212" s="1078" t="str">
        <f t="shared" si="148"/>
        <v>112.12.15</v>
      </c>
      <c r="AW1212" s="1344">
        <f t="shared" si="149"/>
        <v>45275</v>
      </c>
    </row>
    <row r="1213" spans="1:49">
      <c r="A1213" s="1077" t="s">
        <v>4477</v>
      </c>
      <c r="B1213" s="1077" t="s">
        <v>4478</v>
      </c>
      <c r="C1213" s="1077">
        <v>500</v>
      </c>
      <c r="D1213" s="1077">
        <v>1.75</v>
      </c>
      <c r="E1213" s="1077" t="s">
        <v>15099</v>
      </c>
      <c r="F1213" s="1077" t="s">
        <v>1469</v>
      </c>
      <c r="G1213" s="1077" t="s">
        <v>1001</v>
      </c>
      <c r="H1213" s="1077" t="s">
        <v>2067</v>
      </c>
      <c r="I1213" s="1077" t="s">
        <v>648</v>
      </c>
      <c r="J1213" s="1077">
        <v>0</v>
      </c>
      <c r="K1213" s="1077" t="s">
        <v>4479</v>
      </c>
      <c r="L1213" s="1077" t="s">
        <v>4480</v>
      </c>
      <c r="M1213" s="1077">
        <v>103</v>
      </c>
      <c r="N1213" s="1077" t="s">
        <v>945</v>
      </c>
      <c r="O1213" s="1077">
        <v>2.5750000000000002</v>
      </c>
      <c r="P1213" s="1077">
        <v>2.06</v>
      </c>
      <c r="Q1213" s="1077">
        <v>3</v>
      </c>
      <c r="R1213" s="1077">
        <v>20</v>
      </c>
      <c r="T1213" s="1077">
        <v>19.5</v>
      </c>
      <c r="U1213" s="1077">
        <v>2.2000000000000002</v>
      </c>
      <c r="V1213" s="1077" t="s">
        <v>648</v>
      </c>
      <c r="W1213" s="1077" t="s">
        <v>648</v>
      </c>
      <c r="X1213" s="1077" t="s">
        <v>648</v>
      </c>
      <c r="Y1213" s="1077">
        <v>2</v>
      </c>
      <c r="Z1213" s="1077">
        <v>4</v>
      </c>
      <c r="AA1213" s="1077" t="s">
        <v>3882</v>
      </c>
      <c r="AH1213" s="1077" t="s">
        <v>724</v>
      </c>
      <c r="AI1213" s="1077">
        <v>12.92</v>
      </c>
      <c r="AJ1213" s="1077">
        <v>0</v>
      </c>
      <c r="AK1213" s="1077">
        <v>0.39</v>
      </c>
      <c r="AM1213" s="1078" t="s">
        <v>11445</v>
      </c>
      <c r="AN1213" s="1078" t="s">
        <v>11446</v>
      </c>
      <c r="AO1213" s="1078">
        <f t="shared" si="150"/>
        <v>500</v>
      </c>
      <c r="AP1213" s="1078">
        <f t="shared" si="151"/>
        <v>1.75</v>
      </c>
      <c r="AQ1213" s="1078" t="str">
        <f t="shared" si="152"/>
        <v>1-5-1S87°</v>
      </c>
      <c r="AR1213" s="1078" t="str">
        <f t="shared" si="153"/>
        <v>30.5</v>
      </c>
      <c r="AS1213" s="1078" t="str">
        <f t="shared" si="154"/>
        <v>250/250/150</v>
      </c>
      <c r="AT1213" s="1078" t="str">
        <f t="shared" si="155"/>
        <v>1-5-1S87°</v>
      </c>
      <c r="AV1213" s="1078" t="str">
        <f t="shared" si="148"/>
        <v>113.1.3</v>
      </c>
      <c r="AW1213" s="1344">
        <f t="shared" si="149"/>
        <v>45294</v>
      </c>
    </row>
    <row r="1214" spans="1:49">
      <c r="A1214" s="1077" t="s">
        <v>4481</v>
      </c>
      <c r="B1214" s="1077" t="s">
        <v>298</v>
      </c>
      <c r="C1214" s="1077" t="s">
        <v>4482</v>
      </c>
      <c r="D1214" s="1077">
        <v>1.75</v>
      </c>
      <c r="E1214" s="1077" t="s">
        <v>15095</v>
      </c>
      <c r="F1214" s="1077" t="s">
        <v>954</v>
      </c>
      <c r="G1214" s="1077" t="s">
        <v>1767</v>
      </c>
      <c r="H1214" s="1077" t="s">
        <v>4483</v>
      </c>
      <c r="I1214" s="1077" t="s">
        <v>626</v>
      </c>
      <c r="J1214" s="1077">
        <v>1.9</v>
      </c>
      <c r="K1214" s="1077" t="s">
        <v>4452</v>
      </c>
      <c r="L1214" s="1077" t="s">
        <v>4029</v>
      </c>
      <c r="M1214" s="1077">
        <v>101.5</v>
      </c>
      <c r="N1214" s="1077" t="s">
        <v>945</v>
      </c>
      <c r="O1214" s="1077">
        <v>2.5375000000000001</v>
      </c>
      <c r="P1214" s="1077">
        <v>2.0300000000000002</v>
      </c>
      <c r="Q1214" s="1077">
        <v>3.5</v>
      </c>
      <c r="R1214" s="1077">
        <v>19</v>
      </c>
      <c r="T1214" s="1077">
        <v>24</v>
      </c>
      <c r="U1214" s="1077">
        <v>5.4</v>
      </c>
      <c r="V1214" s="1077" t="s">
        <v>648</v>
      </c>
      <c r="W1214" s="1077">
        <v>135</v>
      </c>
      <c r="X1214" s="1077">
        <v>10</v>
      </c>
      <c r="Y1214" s="1077">
        <v>1.3</v>
      </c>
      <c r="Z1214" s="1077">
        <v>6</v>
      </c>
      <c r="AA1214" s="1077" t="s">
        <v>4484</v>
      </c>
      <c r="AH1214" s="1077" t="s">
        <v>468</v>
      </c>
      <c r="AI1214" s="1077">
        <v>93.66</v>
      </c>
      <c r="AJ1214" s="1077">
        <v>-0.12</v>
      </c>
      <c r="AK1214" s="1077">
        <v>0.21</v>
      </c>
      <c r="AM1214" s="1078" t="s">
        <v>11447</v>
      </c>
      <c r="AN1214" s="1078" t="s">
        <v>11448</v>
      </c>
      <c r="AO1214" s="1078" t="str">
        <f t="shared" si="150"/>
        <v>600↑650-3/6</v>
      </c>
      <c r="AP1214" s="1078">
        <f t="shared" si="151"/>
        <v>1.75</v>
      </c>
      <c r="AQ1214" s="1078" t="str">
        <f t="shared" si="152"/>
        <v>1-5-1S83°</v>
      </c>
      <c r="AR1214" s="1078" t="str">
        <f t="shared" si="153"/>
        <v>31</v>
      </c>
      <c r="AS1214" s="1078" t="str">
        <f t="shared" si="154"/>
        <v>242/232/OFF</v>
      </c>
      <c r="AT1214" s="1078" t="str">
        <f t="shared" si="155"/>
        <v>1-5-1S83°</v>
      </c>
      <c r="AV1214" s="1078" t="str">
        <f t="shared" si="148"/>
        <v>113.1.13</v>
      </c>
      <c r="AW1214" s="1344">
        <f t="shared" si="149"/>
        <v>45304</v>
      </c>
    </row>
    <row r="1215" spans="1:49">
      <c r="A1215" s="1077" t="s">
        <v>4485</v>
      </c>
      <c r="B1215" s="1077" t="s">
        <v>298</v>
      </c>
      <c r="C1215" s="1077">
        <v>600</v>
      </c>
      <c r="D1215" s="1077">
        <v>1.75</v>
      </c>
      <c r="E1215" s="1077" t="s">
        <v>15102</v>
      </c>
      <c r="F1215" s="1077" t="s">
        <v>4398</v>
      </c>
      <c r="G1215" s="1077" t="s">
        <v>1767</v>
      </c>
      <c r="H1215" s="1077" t="s">
        <v>2833</v>
      </c>
      <c r="I1215" s="1077" t="s">
        <v>626</v>
      </c>
      <c r="J1215" s="1077">
        <v>2</v>
      </c>
      <c r="K1215" s="1077" t="s">
        <v>4486</v>
      </c>
      <c r="L1215" s="1077" t="s">
        <v>4487</v>
      </c>
      <c r="M1215" s="1077">
        <v>101.5</v>
      </c>
      <c r="N1215" s="1077" t="s">
        <v>945</v>
      </c>
      <c r="O1215" s="1077">
        <v>2.5375000000000001</v>
      </c>
      <c r="P1215" s="1077">
        <v>2.0300000000000002</v>
      </c>
      <c r="Q1215" s="1077">
        <v>3.5</v>
      </c>
      <c r="R1215" s="1077">
        <v>19</v>
      </c>
      <c r="T1215" s="1077">
        <v>24</v>
      </c>
      <c r="U1215" s="1077">
        <v>5.4</v>
      </c>
      <c r="V1215" s="1077" t="s">
        <v>648</v>
      </c>
      <c r="W1215" s="1077">
        <v>135</v>
      </c>
      <c r="X1215" s="1077">
        <v>10</v>
      </c>
      <c r="Y1215" s="1077">
        <v>1.3</v>
      </c>
      <c r="Z1215" s="1077">
        <v>6</v>
      </c>
      <c r="AA1215" s="1077" t="s">
        <v>3911</v>
      </c>
      <c r="AH1215" s="1077" t="s">
        <v>868</v>
      </c>
      <c r="AI1215" s="1077">
        <v>91.22</v>
      </c>
      <c r="AJ1215" s="1077">
        <v>0.1</v>
      </c>
      <c r="AK1215" s="1077">
        <v>0.52</v>
      </c>
      <c r="AM1215" s="1078" t="s">
        <v>11449</v>
      </c>
      <c r="AN1215" s="1078" t="s">
        <v>11450</v>
      </c>
      <c r="AO1215" s="1078">
        <f t="shared" si="150"/>
        <v>600</v>
      </c>
      <c r="AP1215" s="1078">
        <f t="shared" si="151"/>
        <v>1.75</v>
      </c>
      <c r="AQ1215" s="1078" t="str">
        <f t="shared" si="152"/>
        <v>2-6-1S83°</v>
      </c>
      <c r="AR1215" s="1078" t="str">
        <f t="shared" si="153"/>
        <v>32.3</v>
      </c>
      <c r="AS1215" s="1078" t="str">
        <f t="shared" si="154"/>
        <v>150/OFF</v>
      </c>
      <c r="AT1215" s="1078" t="str">
        <f t="shared" si="155"/>
        <v>2-6-1S83°</v>
      </c>
      <c r="AV1215" s="1078" t="str">
        <f t="shared" si="148"/>
        <v>113.1.19</v>
      </c>
      <c r="AW1215" s="1344">
        <f t="shared" si="149"/>
        <v>45310</v>
      </c>
    </row>
    <row r="1216" spans="1:49">
      <c r="A1216" s="1077" t="s">
        <v>4488</v>
      </c>
      <c r="B1216" s="1077" t="s">
        <v>4052</v>
      </c>
      <c r="C1216" s="1077">
        <v>650</v>
      </c>
      <c r="D1216" s="1077">
        <v>1.7</v>
      </c>
      <c r="E1216" s="1077" t="s">
        <v>15109</v>
      </c>
      <c r="F1216" s="1077" t="s">
        <v>648</v>
      </c>
      <c r="G1216" s="1077">
        <v>4</v>
      </c>
      <c r="H1216" s="1077" t="s">
        <v>1166</v>
      </c>
      <c r="I1216" s="1077" t="s">
        <v>126</v>
      </c>
      <c r="J1216" s="1077">
        <v>1.1000000000000001</v>
      </c>
      <c r="K1216" s="1077" t="s">
        <v>4461</v>
      </c>
      <c r="L1216" s="1077" t="s">
        <v>944</v>
      </c>
      <c r="M1216" s="1077">
        <v>99</v>
      </c>
      <c r="N1216" s="1077" t="s">
        <v>945</v>
      </c>
      <c r="O1216" s="1077">
        <v>2.4750000000000001</v>
      </c>
      <c r="P1216" s="1077">
        <v>1.98</v>
      </c>
      <c r="Q1216" s="1077">
        <v>4.2</v>
      </c>
      <c r="R1216" s="1077">
        <v>23</v>
      </c>
      <c r="T1216" s="1077">
        <v>16</v>
      </c>
      <c r="U1216" s="1077">
        <v>3.6</v>
      </c>
      <c r="V1216" s="1077" t="s">
        <v>648</v>
      </c>
      <c r="W1216" s="1077">
        <v>120</v>
      </c>
      <c r="X1216" s="1077" t="s">
        <v>4054</v>
      </c>
      <c r="Y1216" s="1077">
        <v>2.5</v>
      </c>
      <c r="Z1216" s="1077" t="s">
        <v>648</v>
      </c>
      <c r="AA1216" s="1077" t="s">
        <v>4489</v>
      </c>
      <c r="AB1216" s="1077" t="s">
        <v>981</v>
      </c>
      <c r="AH1216" s="1077" t="s">
        <v>650</v>
      </c>
      <c r="AI1216" s="1077">
        <v>94.04</v>
      </c>
      <c r="AJ1216" s="1077">
        <v>-0.05</v>
      </c>
      <c r="AK1216" s="1077">
        <v>0.45</v>
      </c>
      <c r="AM1216" s="1078" t="s">
        <v>11451</v>
      </c>
      <c r="AN1216" s="1078" t="s">
        <v>11452</v>
      </c>
      <c r="AO1216" s="1078">
        <f t="shared" si="150"/>
        <v>650</v>
      </c>
      <c r="AP1216" s="1078">
        <f t="shared" si="151"/>
        <v>1.7</v>
      </c>
      <c r="AQ1216" s="1078" t="str">
        <f t="shared" si="152"/>
        <v>1-5-1S85°Z+S</v>
      </c>
      <c r="AR1216" s="1078" t="str">
        <f t="shared" si="153"/>
        <v>NA</v>
      </c>
      <c r="AS1216" s="1078" t="str">
        <f t="shared" si="154"/>
        <v>170/OFF</v>
      </c>
      <c r="AT1216" s="1078" t="str">
        <f t="shared" si="155"/>
        <v>1-5-1S85°Z+S</v>
      </c>
      <c r="AU1216" s="1078" t="s">
        <v>15547</v>
      </c>
      <c r="AV1216" s="1078" t="str">
        <f t="shared" si="148"/>
        <v>113.1.18</v>
      </c>
      <c r="AW1216" s="1344">
        <f t="shared" si="149"/>
        <v>45309</v>
      </c>
    </row>
    <row r="1217" spans="1:49">
      <c r="A1217" s="1077" t="s">
        <v>4490</v>
      </c>
      <c r="B1217" s="1077" t="s">
        <v>4052</v>
      </c>
      <c r="C1217" s="1077">
        <v>650</v>
      </c>
      <c r="D1217" s="1077">
        <v>1.71</v>
      </c>
      <c r="E1217" s="1077" t="s">
        <v>15109</v>
      </c>
      <c r="F1217" s="1077" t="s">
        <v>648</v>
      </c>
      <c r="G1217" s="1077">
        <v>4</v>
      </c>
      <c r="H1217" s="1077" t="s">
        <v>1166</v>
      </c>
      <c r="I1217" s="1077" t="s">
        <v>126</v>
      </c>
      <c r="J1217" s="1077">
        <v>1.1000000000000001</v>
      </c>
      <c r="K1217" s="1077" t="s">
        <v>4491</v>
      </c>
      <c r="L1217" s="1077" t="s">
        <v>987</v>
      </c>
      <c r="M1217" s="1077">
        <v>99</v>
      </c>
      <c r="N1217" s="1077" t="s">
        <v>945</v>
      </c>
      <c r="O1217" s="1077">
        <v>2.4750000000000001</v>
      </c>
      <c r="P1217" s="1077">
        <v>1.98</v>
      </c>
      <c r="Q1217" s="1077">
        <v>4.2</v>
      </c>
      <c r="R1217" s="1077">
        <v>23</v>
      </c>
      <c r="T1217" s="1077">
        <v>16</v>
      </c>
      <c r="U1217" s="1077">
        <v>3.6</v>
      </c>
      <c r="V1217" s="1077" t="s">
        <v>648</v>
      </c>
      <c r="W1217" s="1077">
        <v>120</v>
      </c>
      <c r="X1217" s="1077" t="s">
        <v>4054</v>
      </c>
      <c r="Y1217" s="1077">
        <v>2.5</v>
      </c>
      <c r="Z1217" s="1077" t="s">
        <v>648</v>
      </c>
      <c r="AA1217" s="1077" t="s">
        <v>3940</v>
      </c>
      <c r="AB1217" s="1077" t="s">
        <v>981</v>
      </c>
      <c r="AH1217" s="1077" t="s">
        <v>782</v>
      </c>
      <c r="AI1217" s="1077">
        <v>94.03</v>
      </c>
      <c r="AJ1217" s="1077">
        <v>-0.24</v>
      </c>
      <c r="AK1217" s="1077">
        <v>3.94</v>
      </c>
      <c r="AM1217" s="1078" t="s">
        <v>11453</v>
      </c>
      <c r="AN1217" s="1078" t="s">
        <v>11454</v>
      </c>
      <c r="AO1217" s="1078">
        <f t="shared" si="150"/>
        <v>650</v>
      </c>
      <c r="AP1217" s="1078">
        <f t="shared" si="151"/>
        <v>1.71</v>
      </c>
      <c r="AQ1217" s="1078" t="str">
        <f t="shared" si="152"/>
        <v>1-5-1S85°Z+S</v>
      </c>
      <c r="AR1217" s="1078" t="str">
        <f t="shared" si="153"/>
        <v>NA</v>
      </c>
      <c r="AS1217" s="1078" t="str">
        <f t="shared" si="154"/>
        <v>170/OFF</v>
      </c>
      <c r="AT1217" s="1078" t="str">
        <f t="shared" si="155"/>
        <v>1-5-1S85°Z+S</v>
      </c>
      <c r="AU1217" s="1078" t="s">
        <v>15547</v>
      </c>
      <c r="AV1217" s="1078" t="str">
        <f t="shared" si="148"/>
        <v>113.3.11</v>
      </c>
      <c r="AW1217" s="1344">
        <f t="shared" si="149"/>
        <v>45362</v>
      </c>
    </row>
    <row r="1218" spans="1:49">
      <c r="A1218" s="1077" t="s">
        <v>4492</v>
      </c>
      <c r="B1218" s="1077" t="s">
        <v>298</v>
      </c>
      <c r="C1218" s="1077">
        <v>700</v>
      </c>
      <c r="D1218" s="1077">
        <v>1.75</v>
      </c>
      <c r="E1218" s="1077" t="s">
        <v>15095</v>
      </c>
      <c r="F1218" s="1077" t="s">
        <v>954</v>
      </c>
      <c r="G1218" s="1077" t="s">
        <v>1767</v>
      </c>
      <c r="H1218" s="1077" t="s">
        <v>4493</v>
      </c>
      <c r="I1218" s="1077" t="s">
        <v>626</v>
      </c>
      <c r="J1218" s="1077">
        <v>2</v>
      </c>
      <c r="K1218" s="1077" t="s">
        <v>4452</v>
      </c>
      <c r="L1218" s="1077" t="s">
        <v>4029</v>
      </c>
      <c r="M1218" s="1077">
        <v>101.5</v>
      </c>
      <c r="N1218" s="1077" t="s">
        <v>945</v>
      </c>
      <c r="O1218" s="1077">
        <v>2.5375000000000001</v>
      </c>
      <c r="P1218" s="1077">
        <v>2.0300000000000002</v>
      </c>
      <c r="Q1218" s="1077">
        <v>3.5</v>
      </c>
      <c r="R1218" s="1077">
        <v>19</v>
      </c>
      <c r="T1218" s="1077">
        <v>24</v>
      </c>
      <c r="U1218" s="1077">
        <v>5.4</v>
      </c>
      <c r="V1218" s="1077" t="s">
        <v>648</v>
      </c>
      <c r="W1218" s="1077">
        <v>135</v>
      </c>
      <c r="X1218" s="1077">
        <v>10</v>
      </c>
      <c r="Y1218" s="1077">
        <v>1.3</v>
      </c>
      <c r="Z1218" s="1077">
        <v>6</v>
      </c>
      <c r="AA1218" s="1077" t="s">
        <v>4494</v>
      </c>
      <c r="AH1218" s="1077" t="s">
        <v>619</v>
      </c>
      <c r="AI1218" s="1077">
        <v>93.38</v>
      </c>
      <c r="AJ1218" s="1077">
        <v>-0.18</v>
      </c>
      <c r="AK1218" s="1077">
        <v>0.51</v>
      </c>
      <c r="AM1218" s="1078" t="s">
        <v>11455</v>
      </c>
      <c r="AN1218" s="1078" t="s">
        <v>11456</v>
      </c>
      <c r="AO1218" s="1078">
        <f t="shared" si="150"/>
        <v>700</v>
      </c>
      <c r="AP1218" s="1078">
        <f t="shared" si="151"/>
        <v>1.75</v>
      </c>
      <c r="AQ1218" s="1078" t="str">
        <f t="shared" si="152"/>
        <v>1-5-1S83°</v>
      </c>
      <c r="AR1218" s="1078" t="str">
        <f t="shared" si="153"/>
        <v>31</v>
      </c>
      <c r="AS1218" s="1078" t="str">
        <f t="shared" si="154"/>
        <v>250/240/OFF</v>
      </c>
      <c r="AT1218" s="1078" t="str">
        <f t="shared" si="155"/>
        <v>1-5-1S83°</v>
      </c>
      <c r="AV1218" s="1078" t="str">
        <f t="shared" ref="AV1218:AV1281" si="156">AA1218</f>
        <v>113.3.13</v>
      </c>
      <c r="AW1218" s="1344">
        <f t="shared" si="149"/>
        <v>45364</v>
      </c>
    </row>
    <row r="1219" spans="1:49">
      <c r="A1219" s="1077" t="s">
        <v>4495</v>
      </c>
      <c r="B1219" s="1077" t="s">
        <v>298</v>
      </c>
      <c r="C1219" s="1077">
        <v>620</v>
      </c>
      <c r="D1219" s="1077">
        <v>1.75</v>
      </c>
      <c r="E1219" s="1077" t="s">
        <v>15102</v>
      </c>
      <c r="F1219" s="1077" t="s">
        <v>4398</v>
      </c>
      <c r="G1219" s="1077" t="s">
        <v>1767</v>
      </c>
      <c r="H1219" s="1077" t="s">
        <v>4496</v>
      </c>
      <c r="I1219" s="1077" t="s">
        <v>626</v>
      </c>
      <c r="J1219" s="1077">
        <v>2</v>
      </c>
      <c r="K1219" s="1077" t="s">
        <v>4497</v>
      </c>
      <c r="L1219" s="1077" t="s">
        <v>4487</v>
      </c>
      <c r="M1219" s="1077">
        <v>101.5</v>
      </c>
      <c r="N1219" s="1077" t="s">
        <v>945</v>
      </c>
      <c r="O1219" s="1077">
        <v>2.5375000000000001</v>
      </c>
      <c r="P1219" s="1077">
        <v>2.0300000000000002</v>
      </c>
      <c r="Q1219" s="1077">
        <v>3.5</v>
      </c>
      <c r="R1219" s="1077">
        <v>19</v>
      </c>
      <c r="T1219" s="1077">
        <v>24</v>
      </c>
      <c r="U1219" s="1077">
        <v>5.4</v>
      </c>
      <c r="V1219" s="1077" t="s">
        <v>648</v>
      </c>
      <c r="W1219" s="1077">
        <v>135</v>
      </c>
      <c r="X1219" s="1077">
        <v>10</v>
      </c>
      <c r="Y1219" s="1077">
        <v>1.3</v>
      </c>
      <c r="Z1219" s="1077">
        <v>6</v>
      </c>
      <c r="AA1219" s="1077" t="s">
        <v>1662</v>
      </c>
      <c r="AH1219" s="1077" t="s">
        <v>1486</v>
      </c>
      <c r="AI1219" s="1077">
        <v>90.7</v>
      </c>
      <c r="AJ1219" s="1077">
        <v>-0.12</v>
      </c>
      <c r="AK1219" s="1077">
        <v>1.63</v>
      </c>
      <c r="AM1219" s="1078" t="s">
        <v>11457</v>
      </c>
      <c r="AN1219" s="1078" t="s">
        <v>11458</v>
      </c>
      <c r="AO1219" s="1078">
        <f t="shared" si="150"/>
        <v>620</v>
      </c>
      <c r="AP1219" s="1078">
        <f t="shared" si="151"/>
        <v>1.75</v>
      </c>
      <c r="AQ1219" s="1078" t="str">
        <f t="shared" si="152"/>
        <v>2-6-1S83°</v>
      </c>
      <c r="AR1219" s="1078" t="str">
        <f t="shared" si="153"/>
        <v>32.3</v>
      </c>
      <c r="AS1219" s="1078" t="str">
        <f t="shared" si="154"/>
        <v>151/OFF</v>
      </c>
      <c r="AT1219" s="1078" t="str">
        <f t="shared" si="155"/>
        <v>2-6-1S83°</v>
      </c>
      <c r="AV1219" s="1078" t="str">
        <f t="shared" si="156"/>
        <v>113.3.18</v>
      </c>
      <c r="AW1219" s="1344">
        <f t="shared" ref="AW1219:AW1282" si="157">DATE(VALUE(LEFT(AV1219,FIND(".",AV1219)-1))+1911,
       VALUE(MID(AV1219,FIND(".",AV1219)+1,FIND(".",AV1219,FIND(".",AV1219)+1)-FIND(".",AV1219)-1)),
       VALUE(RIGHT(AV1219,LEN(AV1219)-FIND("~",SUBSTITUTE(AV1219,".","~",2)))))</f>
        <v>45369</v>
      </c>
    </row>
    <row r="1220" spans="1:49">
      <c r="A1220" s="1077" t="s">
        <v>4498</v>
      </c>
      <c r="B1220" s="1077" t="s">
        <v>4052</v>
      </c>
      <c r="C1220" s="1077">
        <v>650</v>
      </c>
      <c r="D1220" s="1077">
        <v>1.8</v>
      </c>
      <c r="E1220" s="1077" t="s">
        <v>15109</v>
      </c>
      <c r="F1220" s="1077" t="s">
        <v>648</v>
      </c>
      <c r="G1220" s="1077">
        <v>4</v>
      </c>
      <c r="H1220" s="1077" t="s">
        <v>2326</v>
      </c>
      <c r="I1220" s="1077" t="s">
        <v>126</v>
      </c>
      <c r="J1220" s="1077">
        <v>1</v>
      </c>
      <c r="K1220" s="1077" t="s">
        <v>4499</v>
      </c>
      <c r="L1220" s="1077" t="s">
        <v>987</v>
      </c>
      <c r="M1220" s="1077">
        <v>99</v>
      </c>
      <c r="N1220" s="1077" t="s">
        <v>945</v>
      </c>
      <c r="O1220" s="1077">
        <v>2.4750000000000001</v>
      </c>
      <c r="P1220" s="1077">
        <v>1.98</v>
      </c>
      <c r="Q1220" s="1077">
        <v>4.2</v>
      </c>
      <c r="R1220" s="1077">
        <v>23</v>
      </c>
      <c r="T1220" s="1077">
        <v>16</v>
      </c>
      <c r="U1220" s="1077">
        <v>3.6</v>
      </c>
      <c r="V1220" s="1077" t="s">
        <v>648</v>
      </c>
      <c r="W1220" s="1077">
        <v>120</v>
      </c>
      <c r="X1220" s="1077" t="s">
        <v>4054</v>
      </c>
      <c r="Y1220" s="1077">
        <v>2.5</v>
      </c>
      <c r="Z1220" s="1077" t="s">
        <v>648</v>
      </c>
      <c r="AA1220" s="1077" t="s">
        <v>4500</v>
      </c>
      <c r="AH1220" s="1077" t="s">
        <v>712</v>
      </c>
      <c r="AI1220" s="1077">
        <v>93.87</v>
      </c>
      <c r="AJ1220" s="1077">
        <v>-0.47</v>
      </c>
      <c r="AK1220" s="1077">
        <v>1.05</v>
      </c>
      <c r="AM1220" s="1078" t="s">
        <v>11459</v>
      </c>
      <c r="AN1220" s="1078" t="s">
        <v>11460</v>
      </c>
      <c r="AO1220" s="1078">
        <f t="shared" si="150"/>
        <v>650</v>
      </c>
      <c r="AP1220" s="1078">
        <f t="shared" si="151"/>
        <v>1.8</v>
      </c>
      <c r="AQ1220" s="1078" t="str">
        <f t="shared" si="152"/>
        <v>1-5-1S85°Z+S</v>
      </c>
      <c r="AR1220" s="1078" t="str">
        <f t="shared" si="153"/>
        <v>NA</v>
      </c>
      <c r="AS1220" s="1078" t="str">
        <f t="shared" si="154"/>
        <v>173/OFF</v>
      </c>
      <c r="AT1220" s="1078" t="str">
        <f t="shared" si="155"/>
        <v>1-5-1S85°Z+S</v>
      </c>
      <c r="AU1220" s="1078" t="s">
        <v>15547</v>
      </c>
      <c r="AV1220" s="1078" t="str">
        <f t="shared" si="156"/>
        <v>113.5.10</v>
      </c>
      <c r="AW1220" s="1344">
        <f t="shared" si="157"/>
        <v>45422</v>
      </c>
    </row>
    <row r="1221" spans="1:49">
      <c r="A1221" s="1077" t="s">
        <v>4501</v>
      </c>
      <c r="B1221" s="1077" t="s">
        <v>4052</v>
      </c>
      <c r="C1221" s="1077">
        <v>650</v>
      </c>
      <c r="D1221" s="1077">
        <v>1.72</v>
      </c>
      <c r="E1221" s="1077" t="s">
        <v>15109</v>
      </c>
      <c r="F1221" s="1077" t="s">
        <v>648</v>
      </c>
      <c r="G1221" s="1077">
        <v>4</v>
      </c>
      <c r="H1221" s="1077" t="s">
        <v>1166</v>
      </c>
      <c r="I1221" s="1077" t="s">
        <v>126</v>
      </c>
      <c r="J1221" s="1077">
        <v>1</v>
      </c>
      <c r="K1221" s="1077" t="s">
        <v>4502</v>
      </c>
      <c r="L1221" s="1077" t="s">
        <v>1079</v>
      </c>
      <c r="M1221" s="1077">
        <v>99</v>
      </c>
      <c r="N1221" s="1077" t="s">
        <v>945</v>
      </c>
      <c r="O1221" s="1077">
        <v>2.4750000000000001</v>
      </c>
      <c r="P1221" s="1077">
        <v>1.98</v>
      </c>
      <c r="Q1221" s="1077">
        <v>4.2</v>
      </c>
      <c r="R1221" s="1077">
        <v>23</v>
      </c>
      <c r="T1221" s="1077">
        <v>16</v>
      </c>
      <c r="U1221" s="1077">
        <v>3.6</v>
      </c>
      <c r="V1221" s="1077" t="s">
        <v>648</v>
      </c>
      <c r="W1221" s="1077">
        <v>120</v>
      </c>
      <c r="X1221" s="1077" t="s">
        <v>4054</v>
      </c>
      <c r="Y1221" s="1077">
        <v>2.5</v>
      </c>
      <c r="Z1221" s="1077" t="s">
        <v>648</v>
      </c>
      <c r="AA1221" s="1077" t="s">
        <v>4503</v>
      </c>
      <c r="AH1221" s="1077" t="s">
        <v>646</v>
      </c>
      <c r="AI1221" s="1077">
        <v>95.29</v>
      </c>
      <c r="AJ1221" s="1077">
        <v>-0.05</v>
      </c>
      <c r="AK1221" s="1077">
        <v>0.78</v>
      </c>
      <c r="AM1221" s="1078" t="s">
        <v>11461</v>
      </c>
      <c r="AN1221" s="1078" t="s">
        <v>11462</v>
      </c>
      <c r="AO1221" s="1078">
        <f t="shared" si="150"/>
        <v>650</v>
      </c>
      <c r="AP1221" s="1078">
        <f t="shared" si="151"/>
        <v>1.72</v>
      </c>
      <c r="AQ1221" s="1078" t="str">
        <f t="shared" si="152"/>
        <v>1-5-1S85°Z+S</v>
      </c>
      <c r="AR1221" s="1078" t="str">
        <f t="shared" si="153"/>
        <v>NA</v>
      </c>
      <c r="AS1221" s="1078" t="str">
        <f t="shared" si="154"/>
        <v>170/OFF</v>
      </c>
      <c r="AT1221" s="1078" t="str">
        <f t="shared" si="155"/>
        <v>1-5-1S85°Z+S</v>
      </c>
      <c r="AU1221" s="1078" t="s">
        <v>15547</v>
      </c>
      <c r="AV1221" s="1078" t="str">
        <f t="shared" si="156"/>
        <v>113.5.23</v>
      </c>
      <c r="AW1221" s="1344">
        <f t="shared" si="157"/>
        <v>45435</v>
      </c>
    </row>
    <row r="1222" spans="1:49">
      <c r="A1222" s="1077" t="s">
        <v>4504</v>
      </c>
      <c r="B1222" s="1077" t="s">
        <v>298</v>
      </c>
      <c r="C1222" s="1077">
        <v>650</v>
      </c>
      <c r="D1222" s="1077">
        <v>1.76</v>
      </c>
      <c r="E1222" s="1077" t="s">
        <v>15095</v>
      </c>
      <c r="F1222" s="1077" t="s">
        <v>954</v>
      </c>
      <c r="G1222" s="1077" t="s">
        <v>1767</v>
      </c>
      <c r="H1222" s="1077" t="s">
        <v>4483</v>
      </c>
      <c r="I1222" s="1077" t="s">
        <v>626</v>
      </c>
      <c r="J1222" s="1077">
        <v>2</v>
      </c>
      <c r="K1222" s="1077" t="s">
        <v>4505</v>
      </c>
      <c r="L1222" s="1077" t="s">
        <v>4029</v>
      </c>
      <c r="M1222" s="1077">
        <v>101.5</v>
      </c>
      <c r="N1222" s="1077" t="s">
        <v>945</v>
      </c>
      <c r="O1222" s="1077">
        <v>2.5375000000000001</v>
      </c>
      <c r="P1222" s="1077">
        <v>2.0300000000000002</v>
      </c>
      <c r="Q1222" s="1077">
        <v>3.5</v>
      </c>
      <c r="R1222" s="1077">
        <v>19</v>
      </c>
      <c r="T1222" s="1077">
        <v>24</v>
      </c>
      <c r="U1222" s="1077">
        <v>5.4</v>
      </c>
      <c r="V1222" s="1077" t="s">
        <v>648</v>
      </c>
      <c r="W1222" s="1077">
        <v>135</v>
      </c>
      <c r="X1222" s="1077">
        <v>10</v>
      </c>
      <c r="Y1222" s="1077">
        <v>1.3</v>
      </c>
      <c r="Z1222" s="1077">
        <v>6</v>
      </c>
      <c r="AA1222" s="1077" t="s">
        <v>1944</v>
      </c>
      <c r="AH1222" s="1077" t="s">
        <v>680</v>
      </c>
      <c r="AI1222" s="1077">
        <v>93.84</v>
      </c>
      <c r="AJ1222" s="1077">
        <v>-0.2</v>
      </c>
      <c r="AK1222" s="1077">
        <v>0.61</v>
      </c>
      <c r="AM1222" s="1078" t="s">
        <v>11463</v>
      </c>
      <c r="AN1222" s="1078" t="s">
        <v>11464</v>
      </c>
      <c r="AO1222" s="1078">
        <f t="shared" si="150"/>
        <v>650</v>
      </c>
      <c r="AP1222" s="1078">
        <f t="shared" si="151"/>
        <v>1.76</v>
      </c>
      <c r="AQ1222" s="1078" t="str">
        <f t="shared" si="152"/>
        <v>1-5-1S83°</v>
      </c>
      <c r="AR1222" s="1078" t="str">
        <f t="shared" si="153"/>
        <v>31</v>
      </c>
      <c r="AS1222" s="1078" t="str">
        <f t="shared" si="154"/>
        <v>242/232/OFF</v>
      </c>
      <c r="AT1222" s="1078" t="str">
        <f t="shared" si="155"/>
        <v>1-5-1S83°</v>
      </c>
      <c r="AV1222" s="1078" t="str">
        <f t="shared" si="156"/>
        <v>113.6.6</v>
      </c>
      <c r="AW1222" s="1344">
        <f t="shared" si="157"/>
        <v>45449</v>
      </c>
    </row>
    <row r="1223" spans="1:49">
      <c r="A1223" s="1077" t="s">
        <v>4506</v>
      </c>
      <c r="B1223" s="1077" t="s">
        <v>4507</v>
      </c>
      <c r="C1223" s="1077">
        <v>600</v>
      </c>
      <c r="D1223" s="1077">
        <v>1.71</v>
      </c>
      <c r="E1223" s="1077" t="s">
        <v>15108</v>
      </c>
      <c r="F1223" s="1077" t="s">
        <v>984</v>
      </c>
      <c r="G1223" s="1077">
        <v>4</v>
      </c>
      <c r="H1223" s="1077" t="s">
        <v>1155</v>
      </c>
      <c r="I1223" s="1077" t="s">
        <v>126</v>
      </c>
      <c r="J1223" s="1077">
        <v>1.1000000000000001</v>
      </c>
      <c r="K1223" s="1077" t="s">
        <v>4508</v>
      </c>
      <c r="L1223" s="1077" t="s">
        <v>1466</v>
      </c>
      <c r="M1223" s="1077">
        <v>99</v>
      </c>
      <c r="N1223" s="1077" t="s">
        <v>945</v>
      </c>
      <c r="O1223" s="1077">
        <v>2.4750000000000001</v>
      </c>
      <c r="P1223" s="1077">
        <v>1.98</v>
      </c>
      <c r="Q1223" s="1077">
        <v>4.2</v>
      </c>
      <c r="R1223" s="1077">
        <v>23</v>
      </c>
      <c r="T1223" s="1077">
        <v>16</v>
      </c>
      <c r="U1223" s="1077">
        <v>3.6</v>
      </c>
      <c r="V1223" s="1077" t="s">
        <v>648</v>
      </c>
      <c r="W1223" s="1077">
        <v>120</v>
      </c>
      <c r="X1223" s="1077">
        <v>87</v>
      </c>
      <c r="Y1223" s="1077">
        <v>2.5</v>
      </c>
      <c r="Z1223" s="1077" t="s">
        <v>648</v>
      </c>
      <c r="AA1223" s="1077" t="s">
        <v>1701</v>
      </c>
      <c r="AH1223" s="1077" t="s">
        <v>622</v>
      </c>
      <c r="AI1223" s="1077">
        <v>95.5</v>
      </c>
      <c r="AJ1223" s="1077">
        <v>-0.42</v>
      </c>
      <c r="AK1223" s="1077">
        <v>1.45</v>
      </c>
      <c r="AM1223" s="1078" t="s">
        <v>11465</v>
      </c>
      <c r="AN1223" s="1078" t="s">
        <v>11466</v>
      </c>
      <c r="AO1223" s="1078">
        <f t="shared" si="150"/>
        <v>600</v>
      </c>
      <c r="AP1223" s="1078">
        <f t="shared" si="151"/>
        <v>1.71</v>
      </c>
      <c r="AQ1223" s="1078" t="str">
        <f t="shared" si="152"/>
        <v>1-4-1S83°Z+S</v>
      </c>
      <c r="AR1223" s="1078" t="str">
        <f t="shared" si="153"/>
        <v>30</v>
      </c>
      <c r="AS1223" s="1078" t="str">
        <f t="shared" si="154"/>
        <v>215/215/OFF</v>
      </c>
      <c r="AT1223" s="1078" t="str">
        <f t="shared" si="155"/>
        <v>1-4-1S83°Z+S</v>
      </c>
      <c r="AU1223" s="1078" t="s">
        <v>15547</v>
      </c>
      <c r="AV1223" s="1078" t="str">
        <f t="shared" si="156"/>
        <v>113.6.7</v>
      </c>
      <c r="AW1223" s="1344">
        <f t="shared" si="157"/>
        <v>45450</v>
      </c>
    </row>
    <row r="1224" spans="1:49">
      <c r="A1224" s="1077" t="s">
        <v>4509</v>
      </c>
      <c r="B1224" s="1077" t="s">
        <v>4510</v>
      </c>
      <c r="C1224" s="1077">
        <v>620</v>
      </c>
      <c r="D1224" s="1077">
        <v>1.7250000000000001</v>
      </c>
      <c r="E1224" s="1077" t="s">
        <v>15102</v>
      </c>
      <c r="F1224" s="1077" t="s">
        <v>4398</v>
      </c>
      <c r="G1224" s="1077" t="s">
        <v>1767</v>
      </c>
      <c r="H1224" s="1077" t="s">
        <v>1470</v>
      </c>
      <c r="I1224" s="1077" t="s">
        <v>1112</v>
      </c>
      <c r="J1224" s="1077">
        <v>1.8</v>
      </c>
      <c r="K1224" s="1077" t="s">
        <v>4511</v>
      </c>
      <c r="L1224" s="1077" t="s">
        <v>4512</v>
      </c>
      <c r="M1224" s="1077">
        <v>105</v>
      </c>
      <c r="N1224" s="1077" t="s">
        <v>945</v>
      </c>
      <c r="O1224" s="1077">
        <v>2.625</v>
      </c>
      <c r="P1224" s="1077">
        <v>2.1</v>
      </c>
      <c r="Q1224" s="1077">
        <v>3.5</v>
      </c>
      <c r="R1224" s="1077">
        <v>20.5</v>
      </c>
      <c r="T1224" s="1077">
        <v>26.5</v>
      </c>
      <c r="U1224" s="1077">
        <v>4.2</v>
      </c>
      <c r="V1224" s="1077" t="s">
        <v>648</v>
      </c>
      <c r="W1224" s="1077">
        <v>125</v>
      </c>
      <c r="X1224" s="1077">
        <v>80</v>
      </c>
      <c r="Y1224" s="1077">
        <v>1.5</v>
      </c>
      <c r="Z1224" s="1077">
        <v>6.5</v>
      </c>
      <c r="AA1224" s="1077" t="s">
        <v>1705</v>
      </c>
      <c r="AH1224" s="1077" t="s">
        <v>812</v>
      </c>
      <c r="AI1224" s="1077">
        <v>92.76</v>
      </c>
      <c r="AJ1224" s="1077">
        <v>0.04</v>
      </c>
      <c r="AK1224" s="1077">
        <v>0.73</v>
      </c>
      <c r="AM1224" s="1078" t="s">
        <v>11467</v>
      </c>
      <c r="AN1224" s="1078" t="s">
        <v>11468</v>
      </c>
      <c r="AO1224" s="1078">
        <f t="shared" si="150"/>
        <v>620</v>
      </c>
      <c r="AP1224" s="1078">
        <f t="shared" si="151"/>
        <v>1.7250000000000001</v>
      </c>
      <c r="AQ1224" s="1078" t="str">
        <f t="shared" si="152"/>
        <v>2-6-1S83°</v>
      </c>
      <c r="AR1224" s="1078" t="str">
        <f t="shared" si="153"/>
        <v>32.3</v>
      </c>
      <c r="AS1224" s="1078" t="str">
        <f t="shared" si="154"/>
        <v>160/OFF</v>
      </c>
      <c r="AT1224" s="1078" t="str">
        <f t="shared" si="155"/>
        <v>2-6-1S83°</v>
      </c>
      <c r="AV1224" s="1078" t="str">
        <f t="shared" si="156"/>
        <v>113.6.18</v>
      </c>
      <c r="AW1224" s="1344">
        <f t="shared" si="157"/>
        <v>45461</v>
      </c>
    </row>
    <row r="1225" spans="1:49">
      <c r="A1225" s="1077" t="s">
        <v>4513</v>
      </c>
      <c r="B1225" s="1077" t="s">
        <v>298</v>
      </c>
      <c r="C1225" s="1077">
        <v>620</v>
      </c>
      <c r="D1225" s="1077">
        <v>1.75</v>
      </c>
      <c r="E1225" s="1077" t="s">
        <v>15102</v>
      </c>
      <c r="F1225" s="1077" t="s">
        <v>954</v>
      </c>
      <c r="G1225" s="1077" t="s">
        <v>1767</v>
      </c>
      <c r="H1225" s="1077" t="s">
        <v>4496</v>
      </c>
      <c r="I1225" s="1077" t="s">
        <v>626</v>
      </c>
      <c r="J1225" s="1077">
        <v>2</v>
      </c>
      <c r="K1225" s="1077" t="s">
        <v>4514</v>
      </c>
      <c r="L1225" s="1077" t="s">
        <v>4487</v>
      </c>
      <c r="M1225" s="1077">
        <v>101.5</v>
      </c>
      <c r="N1225" s="1077" t="s">
        <v>945</v>
      </c>
      <c r="O1225" s="1077">
        <v>2.5375000000000001</v>
      </c>
      <c r="P1225" s="1077">
        <v>2.0300000000000002</v>
      </c>
      <c r="Q1225" s="1077">
        <v>3.5</v>
      </c>
      <c r="R1225" s="1077">
        <v>19</v>
      </c>
      <c r="T1225" s="1077">
        <v>24</v>
      </c>
      <c r="U1225" s="1077">
        <v>5.4</v>
      </c>
      <c r="V1225" s="1077" t="s">
        <v>648</v>
      </c>
      <c r="W1225" s="1077">
        <v>135</v>
      </c>
      <c r="X1225" s="1077">
        <v>10</v>
      </c>
      <c r="Y1225" s="1077">
        <v>1.3</v>
      </c>
      <c r="Z1225" s="1077">
        <v>6</v>
      </c>
      <c r="AA1225" s="1077" t="s">
        <v>4515</v>
      </c>
      <c r="AH1225" s="1077" t="s">
        <v>830</v>
      </c>
      <c r="AI1225" s="1077">
        <v>91.34</v>
      </c>
      <c r="AJ1225" s="1077">
        <v>-0.62</v>
      </c>
      <c r="AK1225" s="1077">
        <v>1.0900000000000001</v>
      </c>
      <c r="AM1225" s="1078" t="s">
        <v>11469</v>
      </c>
      <c r="AN1225" s="1078" t="s">
        <v>11470</v>
      </c>
      <c r="AO1225" s="1078">
        <f t="shared" si="150"/>
        <v>620</v>
      </c>
      <c r="AP1225" s="1078">
        <f t="shared" si="151"/>
        <v>1.75</v>
      </c>
      <c r="AQ1225" s="1078" t="str">
        <f t="shared" si="152"/>
        <v>2-6-1S83°</v>
      </c>
      <c r="AR1225" s="1078" t="str">
        <f t="shared" si="153"/>
        <v>31</v>
      </c>
      <c r="AS1225" s="1078" t="str">
        <f t="shared" si="154"/>
        <v>151/OFF</v>
      </c>
      <c r="AT1225" s="1078" t="str">
        <f t="shared" si="155"/>
        <v>2-6-1S83°</v>
      </c>
      <c r="AV1225" s="1078" t="str">
        <f t="shared" si="156"/>
        <v>113.6.26</v>
      </c>
      <c r="AW1225" s="1344">
        <f t="shared" si="157"/>
        <v>45469</v>
      </c>
    </row>
    <row r="1226" spans="1:49">
      <c r="A1226" s="1077" t="s">
        <v>4516</v>
      </c>
      <c r="B1226" s="1077" t="s">
        <v>4052</v>
      </c>
      <c r="C1226" s="1077">
        <v>650</v>
      </c>
      <c r="D1226" s="1077">
        <v>1.71</v>
      </c>
      <c r="E1226" s="1077" t="s">
        <v>15109</v>
      </c>
      <c r="F1226" s="1077" t="s">
        <v>648</v>
      </c>
      <c r="G1226" s="1077">
        <v>4</v>
      </c>
      <c r="H1226" s="1077" t="s">
        <v>1166</v>
      </c>
      <c r="I1226" s="1077" t="s">
        <v>126</v>
      </c>
      <c r="J1226" s="1077">
        <v>1</v>
      </c>
      <c r="K1226" s="1077" t="s">
        <v>4502</v>
      </c>
      <c r="L1226" s="1077" t="s">
        <v>1079</v>
      </c>
      <c r="M1226" s="1077">
        <v>99</v>
      </c>
      <c r="N1226" s="1077" t="s">
        <v>945</v>
      </c>
      <c r="O1226" s="1077">
        <v>2.4750000000000001</v>
      </c>
      <c r="P1226" s="1077">
        <v>1.98</v>
      </c>
      <c r="Q1226" s="1077">
        <v>4.2</v>
      </c>
      <c r="R1226" s="1077">
        <v>23</v>
      </c>
      <c r="T1226" s="1077">
        <v>16</v>
      </c>
      <c r="U1226" s="1077">
        <v>3.6</v>
      </c>
      <c r="V1226" s="1077" t="s">
        <v>648</v>
      </c>
      <c r="W1226" s="1077">
        <v>120</v>
      </c>
      <c r="X1226" s="1077" t="s">
        <v>4054</v>
      </c>
      <c r="Y1226" s="1077">
        <v>2.5</v>
      </c>
      <c r="Z1226" s="1077" t="s">
        <v>648</v>
      </c>
      <c r="AA1226" s="1077" t="s">
        <v>4517</v>
      </c>
      <c r="AH1226" s="1077" t="s">
        <v>1053</v>
      </c>
      <c r="AI1226" s="1077">
        <v>95.23</v>
      </c>
      <c r="AJ1226" s="1077">
        <v>-0.06</v>
      </c>
      <c r="AK1226" s="1077">
        <v>0.71</v>
      </c>
      <c r="AM1226" s="1078" t="s">
        <v>11471</v>
      </c>
      <c r="AN1226" s="1078" t="s">
        <v>11472</v>
      </c>
      <c r="AO1226" s="1078">
        <f t="shared" si="150"/>
        <v>650</v>
      </c>
      <c r="AP1226" s="1078">
        <f t="shared" si="151"/>
        <v>1.71</v>
      </c>
      <c r="AQ1226" s="1078" t="str">
        <f t="shared" si="152"/>
        <v>1-5-1S85°Z+S</v>
      </c>
      <c r="AR1226" s="1078" t="str">
        <f t="shared" si="153"/>
        <v>NA</v>
      </c>
      <c r="AS1226" s="1078" t="str">
        <f t="shared" si="154"/>
        <v>170/OFF</v>
      </c>
      <c r="AT1226" s="1078" t="str">
        <f t="shared" si="155"/>
        <v>1-5-1S85°Z+S</v>
      </c>
      <c r="AU1226" s="1078" t="s">
        <v>15547</v>
      </c>
      <c r="AV1226" s="1078" t="str">
        <f t="shared" si="156"/>
        <v>113.7.6</v>
      </c>
      <c r="AW1226" s="1344">
        <f t="shared" si="157"/>
        <v>45479</v>
      </c>
    </row>
    <row r="1227" spans="1:49">
      <c r="A1227" s="1077" t="s">
        <v>4518</v>
      </c>
      <c r="B1227" s="1077" t="s">
        <v>298</v>
      </c>
      <c r="C1227" s="1077">
        <v>650</v>
      </c>
      <c r="D1227" s="1077">
        <v>1.76</v>
      </c>
      <c r="E1227" s="1077" t="s">
        <v>15095</v>
      </c>
      <c r="F1227" s="1077" t="s">
        <v>954</v>
      </c>
      <c r="G1227" s="1077" t="s">
        <v>1767</v>
      </c>
      <c r="H1227" s="1077" t="s">
        <v>4483</v>
      </c>
      <c r="I1227" s="1077" t="s">
        <v>626</v>
      </c>
      <c r="J1227" s="1077">
        <v>2</v>
      </c>
      <c r="K1227" s="1077" t="s">
        <v>4505</v>
      </c>
      <c r="L1227" s="1077" t="s">
        <v>4029</v>
      </c>
      <c r="M1227" s="1077">
        <v>101.5</v>
      </c>
      <c r="N1227" s="1077" t="s">
        <v>945</v>
      </c>
      <c r="O1227" s="1077">
        <v>2.5375000000000001</v>
      </c>
      <c r="P1227" s="1077">
        <v>2.0300000000000002</v>
      </c>
      <c r="Q1227" s="1077">
        <v>3.5</v>
      </c>
      <c r="R1227" s="1077">
        <v>19</v>
      </c>
      <c r="T1227" s="1077">
        <v>24</v>
      </c>
      <c r="U1227" s="1077">
        <v>5.4</v>
      </c>
      <c r="V1227" s="1077" t="s">
        <v>648</v>
      </c>
      <c r="W1227" s="1077">
        <v>135</v>
      </c>
      <c r="X1227" s="1077">
        <v>10</v>
      </c>
      <c r="Y1227" s="1077">
        <v>1.3</v>
      </c>
      <c r="Z1227" s="1077">
        <v>6</v>
      </c>
      <c r="AA1227" s="1077" t="s">
        <v>4519</v>
      </c>
      <c r="AH1227" s="1077" t="s">
        <v>622</v>
      </c>
      <c r="AI1227" s="1077">
        <v>93.13</v>
      </c>
      <c r="AJ1227" s="1077">
        <v>-0.8</v>
      </c>
      <c r="AK1227" s="1077">
        <v>1.07</v>
      </c>
      <c r="AM1227" s="1078" t="s">
        <v>11473</v>
      </c>
      <c r="AN1227" s="1078" t="s">
        <v>11474</v>
      </c>
      <c r="AO1227" s="1078">
        <f t="shared" ref="AO1227:AO1290" si="158">C1227</f>
        <v>650</v>
      </c>
      <c r="AP1227" s="1078">
        <f t="shared" ref="AP1227:AP1290" si="159">D1227</f>
        <v>1.76</v>
      </c>
      <c r="AQ1227" s="1078" t="str">
        <f t="shared" ref="AQ1227:AQ1290" si="160">E1227</f>
        <v>1-5-1S83°</v>
      </c>
      <c r="AR1227" s="1078" t="str">
        <f t="shared" ref="AR1227:AR1290" si="161">F1227</f>
        <v>31</v>
      </c>
      <c r="AS1227" s="1078" t="str">
        <f t="shared" ref="AS1227:AS1290" si="162">H1227</f>
        <v>242/232/OFF</v>
      </c>
      <c r="AT1227" s="1078" t="str">
        <f t="shared" ref="AT1227:AT1290" si="163">E1227</f>
        <v>1-5-1S83°</v>
      </c>
      <c r="AV1227" s="1078" t="str">
        <f t="shared" si="156"/>
        <v>113.7.19</v>
      </c>
      <c r="AW1227" s="1344">
        <f t="shared" si="157"/>
        <v>45492</v>
      </c>
    </row>
    <row r="1228" spans="1:49">
      <c r="A1228" s="1077" t="s">
        <v>4520</v>
      </c>
      <c r="B1228" s="1077" t="s">
        <v>298</v>
      </c>
      <c r="C1228" s="1077">
        <v>620</v>
      </c>
      <c r="D1228" s="1077">
        <v>1.75</v>
      </c>
      <c r="E1228" s="1077" t="s">
        <v>15102</v>
      </c>
      <c r="F1228" s="1077" t="s">
        <v>1689</v>
      </c>
      <c r="G1228" s="1077" t="s">
        <v>1767</v>
      </c>
      <c r="H1228" s="1077" t="s">
        <v>4496</v>
      </c>
      <c r="I1228" s="1077" t="s">
        <v>626</v>
      </c>
      <c r="J1228" s="1077">
        <v>2.1</v>
      </c>
      <c r="K1228" s="1077" t="s">
        <v>4514</v>
      </c>
      <c r="L1228" s="1077" t="s">
        <v>4487</v>
      </c>
      <c r="M1228" s="1077">
        <v>101.5</v>
      </c>
      <c r="N1228" s="1077" t="s">
        <v>945</v>
      </c>
      <c r="O1228" s="1077">
        <v>2.5375000000000001</v>
      </c>
      <c r="P1228" s="1077">
        <v>2.0300000000000002</v>
      </c>
      <c r="Q1228" s="1077">
        <v>3.5</v>
      </c>
      <c r="R1228" s="1077">
        <v>19</v>
      </c>
      <c r="T1228" s="1077">
        <v>24</v>
      </c>
      <c r="U1228" s="1077">
        <v>5.4</v>
      </c>
      <c r="V1228" s="1077" t="s">
        <v>648</v>
      </c>
      <c r="W1228" s="1077">
        <v>135</v>
      </c>
      <c r="X1228" s="1077">
        <v>10</v>
      </c>
      <c r="Y1228" s="1077">
        <v>1.3</v>
      </c>
      <c r="Z1228" s="1077">
        <v>6</v>
      </c>
      <c r="AA1228" s="1077" t="s">
        <v>1983</v>
      </c>
      <c r="AH1228" s="1077" t="s">
        <v>948</v>
      </c>
      <c r="AI1228" s="1077">
        <v>91.08</v>
      </c>
      <c r="AJ1228" s="1077">
        <v>-0.05</v>
      </c>
      <c r="AK1228" s="1077">
        <v>0.83</v>
      </c>
      <c r="AM1228" s="1078" t="s">
        <v>11475</v>
      </c>
      <c r="AN1228" s="1078" t="s">
        <v>11476</v>
      </c>
      <c r="AO1228" s="1078">
        <f t="shared" si="158"/>
        <v>620</v>
      </c>
      <c r="AP1228" s="1078">
        <f t="shared" si="159"/>
        <v>1.75</v>
      </c>
      <c r="AQ1228" s="1078" t="str">
        <f t="shared" si="160"/>
        <v>2-6-1S83°</v>
      </c>
      <c r="AR1228" s="1078" t="str">
        <f t="shared" si="161"/>
        <v>29.5</v>
      </c>
      <c r="AS1228" s="1078" t="str">
        <f t="shared" si="162"/>
        <v>151/OFF</v>
      </c>
      <c r="AT1228" s="1078" t="str">
        <f t="shared" si="163"/>
        <v>2-6-1S83°</v>
      </c>
      <c r="AV1228" s="1078" t="str">
        <f t="shared" si="156"/>
        <v>113.7.23</v>
      </c>
      <c r="AW1228" s="1344">
        <f t="shared" si="157"/>
        <v>45496</v>
      </c>
    </row>
    <row r="1229" spans="1:49">
      <c r="A1229" s="1077" t="s">
        <v>4521</v>
      </c>
      <c r="B1229" s="1077" t="s">
        <v>4522</v>
      </c>
      <c r="C1229" s="1077">
        <v>500</v>
      </c>
      <c r="D1229" s="1077">
        <v>1.71</v>
      </c>
      <c r="E1229" s="1077" t="s">
        <v>15095</v>
      </c>
      <c r="F1229" s="1077" t="s">
        <v>1897</v>
      </c>
      <c r="G1229" s="1077" t="s">
        <v>940</v>
      </c>
      <c r="H1229" s="1077" t="s">
        <v>1155</v>
      </c>
      <c r="I1229" s="1077" t="s">
        <v>126</v>
      </c>
      <c r="J1229" s="1077">
        <v>1</v>
      </c>
      <c r="K1229" s="1077" t="s">
        <v>4523</v>
      </c>
      <c r="L1229" s="1077" t="s">
        <v>4524</v>
      </c>
      <c r="M1229" s="1077">
        <v>101.5</v>
      </c>
      <c r="N1229" s="1077" t="s">
        <v>945</v>
      </c>
      <c r="O1229" s="1077">
        <v>2.5375000000000001</v>
      </c>
      <c r="P1229" s="1077">
        <v>2.0300000000000002</v>
      </c>
      <c r="Q1229" s="1077">
        <v>4</v>
      </c>
      <c r="R1229" s="1077">
        <v>23</v>
      </c>
      <c r="T1229" s="1077">
        <v>12</v>
      </c>
      <c r="U1229" s="1077">
        <v>4.5</v>
      </c>
      <c r="V1229" s="1077" t="s">
        <v>648</v>
      </c>
      <c r="W1229" s="1077">
        <v>125</v>
      </c>
      <c r="X1229" s="1077">
        <v>80</v>
      </c>
      <c r="Y1229" s="1077">
        <v>1.5</v>
      </c>
      <c r="Z1229" s="1077">
        <v>4</v>
      </c>
      <c r="AA1229" s="1077" t="s">
        <v>1992</v>
      </c>
      <c r="AH1229" s="1077" t="s">
        <v>680</v>
      </c>
      <c r="AI1229" s="1077">
        <v>93.26</v>
      </c>
      <c r="AJ1229" s="1077">
        <v>-0.13</v>
      </c>
      <c r="AK1229" s="1077">
        <v>4.45</v>
      </c>
      <c r="AM1229" s="1078" t="s">
        <v>11477</v>
      </c>
      <c r="AN1229" s="1078" t="s">
        <v>11478</v>
      </c>
      <c r="AO1229" s="1078">
        <f t="shared" si="158"/>
        <v>500</v>
      </c>
      <c r="AP1229" s="1078">
        <f t="shared" si="159"/>
        <v>1.71</v>
      </c>
      <c r="AQ1229" s="1078" t="str">
        <f t="shared" si="160"/>
        <v>1-5-1S83°</v>
      </c>
      <c r="AR1229" s="1078" t="str">
        <f t="shared" si="161"/>
        <v>30.8</v>
      </c>
      <c r="AS1229" s="1078" t="str">
        <f t="shared" si="162"/>
        <v>215/215/OFF</v>
      </c>
      <c r="AT1229" s="1078" t="str">
        <f t="shared" si="163"/>
        <v>1-5-1S83°</v>
      </c>
      <c r="AV1229" s="1078" t="str">
        <f t="shared" si="156"/>
        <v>113.8.1</v>
      </c>
      <c r="AW1229" s="1344">
        <f t="shared" si="157"/>
        <v>45505</v>
      </c>
    </row>
    <row r="1230" spans="1:49">
      <c r="A1230" s="1077" t="s">
        <v>4525</v>
      </c>
      <c r="B1230" s="1077" t="s">
        <v>4522</v>
      </c>
      <c r="C1230" s="1077">
        <v>500</v>
      </c>
      <c r="D1230" s="1077">
        <v>1.71</v>
      </c>
      <c r="E1230" s="1077" t="s">
        <v>15095</v>
      </c>
      <c r="F1230" s="1077" t="s">
        <v>1897</v>
      </c>
      <c r="G1230" s="1077" t="s">
        <v>940</v>
      </c>
      <c r="H1230" s="1077" t="s">
        <v>1155</v>
      </c>
      <c r="I1230" s="1077" t="s">
        <v>126</v>
      </c>
      <c r="J1230" s="1077">
        <v>0.8</v>
      </c>
      <c r="K1230" s="1077" t="s">
        <v>4526</v>
      </c>
      <c r="L1230" s="1077" t="s">
        <v>4524</v>
      </c>
      <c r="M1230" s="1077">
        <v>101.5</v>
      </c>
      <c r="N1230" s="1077" t="s">
        <v>945</v>
      </c>
      <c r="O1230" s="1077">
        <v>2.5375000000000001</v>
      </c>
      <c r="P1230" s="1077">
        <v>2.0300000000000002</v>
      </c>
      <c r="Q1230" s="1077">
        <v>4</v>
      </c>
      <c r="R1230" s="1077">
        <v>23</v>
      </c>
      <c r="T1230" s="1077">
        <v>12</v>
      </c>
      <c r="U1230" s="1077">
        <v>4.5</v>
      </c>
      <c r="V1230" s="1077" t="s">
        <v>648</v>
      </c>
      <c r="W1230" s="1077">
        <v>125</v>
      </c>
      <c r="X1230" s="1077">
        <v>80</v>
      </c>
      <c r="Y1230" s="1077">
        <v>1.5</v>
      </c>
      <c r="Z1230" s="1077">
        <v>4</v>
      </c>
      <c r="AA1230" s="1077" t="s">
        <v>4527</v>
      </c>
      <c r="AH1230" s="1077" t="s">
        <v>889</v>
      </c>
      <c r="AI1230" s="1077">
        <v>94.12</v>
      </c>
      <c r="AJ1230" s="1077">
        <v>-0.62</v>
      </c>
      <c r="AK1230" s="1077">
        <v>3.33</v>
      </c>
      <c r="AM1230" s="1078" t="s">
        <v>11479</v>
      </c>
      <c r="AN1230" s="1078" t="s">
        <v>11480</v>
      </c>
      <c r="AO1230" s="1078">
        <f t="shared" si="158"/>
        <v>500</v>
      </c>
      <c r="AP1230" s="1078">
        <f t="shared" si="159"/>
        <v>1.71</v>
      </c>
      <c r="AQ1230" s="1078" t="str">
        <f t="shared" si="160"/>
        <v>1-5-1S83°</v>
      </c>
      <c r="AR1230" s="1078" t="str">
        <f t="shared" si="161"/>
        <v>30.8</v>
      </c>
      <c r="AS1230" s="1078" t="str">
        <f t="shared" si="162"/>
        <v>215/215/OFF</v>
      </c>
      <c r="AT1230" s="1078" t="str">
        <f t="shared" si="163"/>
        <v>1-5-1S83°</v>
      </c>
      <c r="AV1230" s="1078" t="str">
        <f t="shared" si="156"/>
        <v>113.8.24</v>
      </c>
      <c r="AW1230" s="1344">
        <f t="shared" si="157"/>
        <v>45528</v>
      </c>
    </row>
    <row r="1231" spans="1:49">
      <c r="A1231" s="1077" t="s">
        <v>4528</v>
      </c>
      <c r="B1231" s="1077" t="s">
        <v>4052</v>
      </c>
      <c r="C1231" s="1077">
        <v>650</v>
      </c>
      <c r="D1231" s="1077">
        <v>1.71</v>
      </c>
      <c r="E1231" s="1077" t="s">
        <v>15109</v>
      </c>
      <c r="F1231" s="1077" t="s">
        <v>648</v>
      </c>
      <c r="G1231" s="1077">
        <v>4</v>
      </c>
      <c r="H1231" s="1077" t="s">
        <v>1671</v>
      </c>
      <c r="I1231" s="1077" t="s">
        <v>126</v>
      </c>
      <c r="J1231" s="1077">
        <v>0.9</v>
      </c>
      <c r="K1231" s="1077" t="s">
        <v>4502</v>
      </c>
      <c r="L1231" s="1077" t="s">
        <v>1079</v>
      </c>
      <c r="M1231" s="1077">
        <v>99</v>
      </c>
      <c r="N1231" s="1077" t="s">
        <v>945</v>
      </c>
      <c r="O1231" s="1077">
        <v>2.4750000000000001</v>
      </c>
      <c r="P1231" s="1077">
        <v>1.98</v>
      </c>
      <c r="Q1231" s="1077">
        <v>4.2</v>
      </c>
      <c r="R1231" s="1077">
        <v>23</v>
      </c>
      <c r="T1231" s="1077">
        <v>16</v>
      </c>
      <c r="U1231" s="1077">
        <v>3.6</v>
      </c>
      <c r="V1231" s="1077" t="s">
        <v>648</v>
      </c>
      <c r="W1231" s="1077">
        <v>120</v>
      </c>
      <c r="X1231" s="1077" t="s">
        <v>4054</v>
      </c>
      <c r="Y1231" s="1077">
        <v>2.5</v>
      </c>
      <c r="Z1231" s="1077" t="s">
        <v>648</v>
      </c>
      <c r="AA1231" s="1077" t="s">
        <v>4517</v>
      </c>
      <c r="AH1231" s="1077" t="s">
        <v>2836</v>
      </c>
      <c r="AI1231" s="1077">
        <v>95.36</v>
      </c>
      <c r="AJ1231" s="1077">
        <v>-0.06</v>
      </c>
      <c r="AK1231" s="1077">
        <v>0.78</v>
      </c>
      <c r="AM1231" s="1078" t="s">
        <v>11481</v>
      </c>
      <c r="AN1231" s="1078" t="s">
        <v>11482</v>
      </c>
      <c r="AO1231" s="1078">
        <f t="shared" si="158"/>
        <v>650</v>
      </c>
      <c r="AP1231" s="1078">
        <f t="shared" si="159"/>
        <v>1.71</v>
      </c>
      <c r="AQ1231" s="1078" t="str">
        <f t="shared" si="160"/>
        <v>1-5-1S85°Z+S</v>
      </c>
      <c r="AR1231" s="1078" t="str">
        <f t="shared" si="161"/>
        <v>NA</v>
      </c>
      <c r="AS1231" s="1078" t="str">
        <f t="shared" si="162"/>
        <v>172/OFF</v>
      </c>
      <c r="AT1231" s="1078" t="str">
        <f t="shared" si="163"/>
        <v>1-5-1S85°Z+S</v>
      </c>
      <c r="AU1231" s="1078" t="s">
        <v>15547</v>
      </c>
      <c r="AV1231" s="1078" t="str">
        <f t="shared" si="156"/>
        <v>113.7.6</v>
      </c>
      <c r="AW1231" s="1344">
        <f t="shared" si="157"/>
        <v>45479</v>
      </c>
    </row>
    <row r="1232" spans="1:49">
      <c r="A1232" s="1077" t="s">
        <v>4529</v>
      </c>
      <c r="B1232" s="1077" t="s">
        <v>4522</v>
      </c>
      <c r="C1232" s="1077">
        <v>500</v>
      </c>
      <c r="D1232" s="1077">
        <v>1.6950000000000001</v>
      </c>
      <c r="E1232" s="1077" t="s">
        <v>15095</v>
      </c>
      <c r="F1232" s="1077" t="s">
        <v>1897</v>
      </c>
      <c r="G1232" s="1077" t="s">
        <v>940</v>
      </c>
      <c r="H1232" s="1077" t="s">
        <v>1155</v>
      </c>
      <c r="I1232" s="1077" t="s">
        <v>126</v>
      </c>
      <c r="J1232" s="1077">
        <v>0.7</v>
      </c>
      <c r="K1232" s="1077" t="s">
        <v>4530</v>
      </c>
      <c r="L1232" s="1077" t="s">
        <v>4524</v>
      </c>
      <c r="M1232" s="1077">
        <v>101.5</v>
      </c>
      <c r="N1232" s="1077" t="s">
        <v>945</v>
      </c>
      <c r="O1232" s="1077">
        <v>2.5375000000000001</v>
      </c>
      <c r="P1232" s="1077">
        <v>2.0300000000000002</v>
      </c>
      <c r="Q1232" s="1077">
        <v>4</v>
      </c>
      <c r="R1232" s="1077">
        <v>23</v>
      </c>
      <c r="T1232" s="1077">
        <v>12</v>
      </c>
      <c r="U1232" s="1077">
        <v>4.5</v>
      </c>
      <c r="V1232" s="1077" t="s">
        <v>648</v>
      </c>
      <c r="W1232" s="1077">
        <v>125</v>
      </c>
      <c r="X1232" s="1077">
        <v>80</v>
      </c>
      <c r="Y1232" s="1077">
        <v>1.5</v>
      </c>
      <c r="Z1232" s="1077">
        <v>4</v>
      </c>
      <c r="AA1232" s="1077" t="s">
        <v>2075</v>
      </c>
      <c r="AH1232" s="1077" t="s">
        <v>877</v>
      </c>
      <c r="AI1232" s="1077">
        <v>94.39</v>
      </c>
      <c r="AJ1232" s="1077">
        <v>-0.79</v>
      </c>
      <c r="AK1232" s="1077">
        <v>3.66</v>
      </c>
      <c r="AM1232" s="1078" t="s">
        <v>11483</v>
      </c>
      <c r="AN1232" s="1078" t="s">
        <v>11484</v>
      </c>
      <c r="AO1232" s="1078">
        <f t="shared" si="158"/>
        <v>500</v>
      </c>
      <c r="AP1232" s="1078">
        <f t="shared" si="159"/>
        <v>1.6950000000000001</v>
      </c>
      <c r="AQ1232" s="1078" t="str">
        <f t="shared" si="160"/>
        <v>1-5-1S83°</v>
      </c>
      <c r="AR1232" s="1078" t="str">
        <f t="shared" si="161"/>
        <v>30.8</v>
      </c>
      <c r="AS1232" s="1078" t="str">
        <f t="shared" si="162"/>
        <v>215/215/OFF</v>
      </c>
      <c r="AT1232" s="1078" t="str">
        <f t="shared" si="163"/>
        <v>1-5-1S83°</v>
      </c>
      <c r="AV1232" s="1078" t="str">
        <f t="shared" si="156"/>
        <v>113.9.6</v>
      </c>
      <c r="AW1232" s="1344">
        <f t="shared" si="157"/>
        <v>45541</v>
      </c>
    </row>
    <row r="1233" spans="1:49">
      <c r="A1233" s="1077" t="s">
        <v>4531</v>
      </c>
      <c r="B1233" s="1077" t="s">
        <v>298</v>
      </c>
      <c r="C1233" s="1077">
        <v>620</v>
      </c>
      <c r="D1233" s="1077">
        <v>1.75</v>
      </c>
      <c r="E1233" s="1077" t="s">
        <v>15102</v>
      </c>
      <c r="F1233" s="1077" t="s">
        <v>1689</v>
      </c>
      <c r="G1233" s="1077" t="s">
        <v>1767</v>
      </c>
      <c r="H1233" s="1077" t="s">
        <v>4496</v>
      </c>
      <c r="I1233" s="1077" t="s">
        <v>626</v>
      </c>
      <c r="J1233" s="1077">
        <v>2.1</v>
      </c>
      <c r="K1233" s="1077" t="s">
        <v>4532</v>
      </c>
      <c r="L1233" s="1077" t="s">
        <v>4487</v>
      </c>
      <c r="M1233" s="1077">
        <v>101.5</v>
      </c>
      <c r="N1233" s="1077" t="s">
        <v>945</v>
      </c>
      <c r="O1233" s="1077">
        <v>2.5375000000000001</v>
      </c>
      <c r="P1233" s="1077">
        <v>2.0300000000000002</v>
      </c>
      <c r="Q1233" s="1077">
        <v>3.5</v>
      </c>
      <c r="R1233" s="1077">
        <v>19</v>
      </c>
      <c r="T1233" s="1077">
        <v>24</v>
      </c>
      <c r="U1233" s="1077">
        <v>5.4</v>
      </c>
      <c r="V1233" s="1077" t="s">
        <v>648</v>
      </c>
      <c r="W1233" s="1077">
        <v>135</v>
      </c>
      <c r="X1233" s="1077">
        <v>10</v>
      </c>
      <c r="Y1233" s="1077">
        <v>1.3</v>
      </c>
      <c r="Z1233" s="1077">
        <v>6</v>
      </c>
      <c r="AA1233" s="1077" t="s">
        <v>2078</v>
      </c>
      <c r="AH1233" s="1077" t="s">
        <v>842</v>
      </c>
      <c r="AI1233" s="1077">
        <v>91.09</v>
      </c>
      <c r="AJ1233" s="1077">
        <v>-0.49</v>
      </c>
      <c r="AK1233" s="1077">
        <v>0.96</v>
      </c>
      <c r="AM1233" s="1078" t="s">
        <v>11485</v>
      </c>
      <c r="AN1233" s="1078" t="s">
        <v>11486</v>
      </c>
      <c r="AO1233" s="1078">
        <f t="shared" si="158"/>
        <v>620</v>
      </c>
      <c r="AP1233" s="1078">
        <f t="shared" si="159"/>
        <v>1.75</v>
      </c>
      <c r="AQ1233" s="1078" t="str">
        <f t="shared" si="160"/>
        <v>2-6-1S83°</v>
      </c>
      <c r="AR1233" s="1078" t="str">
        <f t="shared" si="161"/>
        <v>29.5</v>
      </c>
      <c r="AS1233" s="1078" t="str">
        <f t="shared" si="162"/>
        <v>151/OFF</v>
      </c>
      <c r="AT1233" s="1078" t="str">
        <f t="shared" si="163"/>
        <v>2-6-1S83°</v>
      </c>
      <c r="AV1233" s="1078" t="str">
        <f t="shared" si="156"/>
        <v>113.9.11</v>
      </c>
      <c r="AW1233" s="1344">
        <f t="shared" si="157"/>
        <v>45546</v>
      </c>
    </row>
    <row r="1234" spans="1:49">
      <c r="A1234" s="1077" t="s">
        <v>4533</v>
      </c>
      <c r="B1234" s="1077" t="s">
        <v>298</v>
      </c>
      <c r="C1234" s="1077">
        <v>650</v>
      </c>
      <c r="D1234" s="1077">
        <v>1.75</v>
      </c>
      <c r="E1234" s="1077" t="s">
        <v>15102</v>
      </c>
      <c r="F1234" s="1077" t="s">
        <v>984</v>
      </c>
      <c r="G1234" s="1077" t="s">
        <v>1767</v>
      </c>
      <c r="H1234" s="1077" t="s">
        <v>1484</v>
      </c>
      <c r="I1234" s="1077" t="s">
        <v>1112</v>
      </c>
      <c r="J1234" s="1077">
        <v>1.7</v>
      </c>
      <c r="K1234" s="1077" t="s">
        <v>4534</v>
      </c>
      <c r="L1234" s="1077" t="s">
        <v>4029</v>
      </c>
      <c r="M1234" s="1077">
        <v>103.2</v>
      </c>
      <c r="N1234" s="1077" t="s">
        <v>945</v>
      </c>
      <c r="O1234" s="1077">
        <v>2.58</v>
      </c>
      <c r="P1234" s="1077">
        <v>2.0640000000000001</v>
      </c>
      <c r="Q1234" s="1077">
        <v>4</v>
      </c>
      <c r="R1234" s="1077">
        <v>19.5</v>
      </c>
      <c r="T1234" s="1077">
        <v>27.3</v>
      </c>
      <c r="U1234" s="1077">
        <v>4</v>
      </c>
      <c r="V1234" s="1077" t="s">
        <v>648</v>
      </c>
      <c r="W1234" s="1077">
        <v>120</v>
      </c>
      <c r="X1234" s="1077" t="s">
        <v>2395</v>
      </c>
      <c r="Y1234" s="1077">
        <v>1.7</v>
      </c>
      <c r="Z1234" s="1077">
        <v>6</v>
      </c>
      <c r="AA1234" s="1077" t="s">
        <v>4535</v>
      </c>
      <c r="AB1234" s="1077" t="s">
        <v>981</v>
      </c>
      <c r="AH1234" s="1077" t="s">
        <v>1827</v>
      </c>
      <c r="AI1234" s="1077">
        <v>92</v>
      </c>
      <c r="AJ1234" s="1077">
        <v>-0.42</v>
      </c>
      <c r="AK1234" s="1077">
        <v>3.27</v>
      </c>
      <c r="AM1234" s="1078" t="s">
        <v>11487</v>
      </c>
      <c r="AN1234" s="1078" t="s">
        <v>11488</v>
      </c>
      <c r="AO1234" s="1078">
        <f t="shared" si="158"/>
        <v>650</v>
      </c>
      <c r="AP1234" s="1078">
        <f t="shared" si="159"/>
        <v>1.75</v>
      </c>
      <c r="AQ1234" s="1078" t="str">
        <f t="shared" si="160"/>
        <v>2-6-1S83°</v>
      </c>
      <c r="AR1234" s="1078" t="str">
        <f t="shared" si="161"/>
        <v>30</v>
      </c>
      <c r="AS1234" s="1078" t="str">
        <f t="shared" si="162"/>
        <v>165/OFF</v>
      </c>
      <c r="AT1234" s="1078" t="str">
        <f t="shared" si="163"/>
        <v>2-6-1S83°</v>
      </c>
      <c r="AV1234" s="1078" t="str">
        <f t="shared" si="156"/>
        <v>113.9.17</v>
      </c>
      <c r="AW1234" s="1344">
        <f t="shared" si="157"/>
        <v>45552</v>
      </c>
    </row>
    <row r="1235" spans="1:49">
      <c r="A1235" s="1077" t="s">
        <v>4536</v>
      </c>
      <c r="B1235" s="1077" t="s">
        <v>298</v>
      </c>
      <c r="C1235" s="1077">
        <v>650</v>
      </c>
      <c r="D1235" s="1077">
        <v>1.76</v>
      </c>
      <c r="E1235" s="1077" t="s">
        <v>15095</v>
      </c>
      <c r="F1235" s="1077" t="s">
        <v>954</v>
      </c>
      <c r="G1235" s="1077" t="s">
        <v>1767</v>
      </c>
      <c r="H1235" s="1077" t="s">
        <v>4537</v>
      </c>
      <c r="I1235" s="1077" t="s">
        <v>626</v>
      </c>
      <c r="J1235" s="1077">
        <v>2</v>
      </c>
      <c r="K1235" s="1077" t="s">
        <v>4505</v>
      </c>
      <c r="L1235" s="1077" t="s">
        <v>4029</v>
      </c>
      <c r="M1235" s="1077">
        <v>101.5</v>
      </c>
      <c r="N1235" s="1077" t="s">
        <v>945</v>
      </c>
      <c r="O1235" s="1077">
        <v>2.5375000000000001</v>
      </c>
      <c r="P1235" s="1077">
        <v>2.0300000000000002</v>
      </c>
      <c r="Q1235" s="1077">
        <v>3.5</v>
      </c>
      <c r="R1235" s="1077">
        <v>19</v>
      </c>
      <c r="T1235" s="1077">
        <v>24</v>
      </c>
      <c r="U1235" s="1077">
        <v>5.4</v>
      </c>
      <c r="V1235" s="1077" t="s">
        <v>648</v>
      </c>
      <c r="W1235" s="1077">
        <v>135</v>
      </c>
      <c r="X1235" s="1077">
        <v>10</v>
      </c>
      <c r="Y1235" s="1077">
        <v>1.3</v>
      </c>
      <c r="Z1235" s="1077">
        <v>6</v>
      </c>
      <c r="AA1235" s="1077" t="s">
        <v>4538</v>
      </c>
      <c r="AH1235" s="1077" t="s">
        <v>680</v>
      </c>
      <c r="AI1235" s="1077">
        <v>93.34</v>
      </c>
      <c r="AJ1235" s="1077">
        <v>-0.45</v>
      </c>
      <c r="AK1235" s="1077">
        <v>0.57999999999999996</v>
      </c>
      <c r="AM1235" s="1078" t="s">
        <v>11489</v>
      </c>
      <c r="AN1235" s="1078" t="s">
        <v>11490</v>
      </c>
      <c r="AO1235" s="1078">
        <f t="shared" si="158"/>
        <v>650</v>
      </c>
      <c r="AP1235" s="1078">
        <f t="shared" si="159"/>
        <v>1.76</v>
      </c>
      <c r="AQ1235" s="1078" t="str">
        <f t="shared" si="160"/>
        <v>1-5-1S83°</v>
      </c>
      <c r="AR1235" s="1078" t="str">
        <f t="shared" si="161"/>
        <v>31</v>
      </c>
      <c r="AS1235" s="1078" t="str">
        <f t="shared" si="162"/>
        <v>240/230/OFF</v>
      </c>
      <c r="AT1235" s="1078" t="str">
        <f t="shared" si="163"/>
        <v>1-5-1S83°</v>
      </c>
      <c r="AV1235" s="1078" t="str">
        <f t="shared" si="156"/>
        <v>113.10.8</v>
      </c>
      <c r="AW1235" s="1344">
        <f t="shared" si="157"/>
        <v>45573</v>
      </c>
    </row>
    <row r="1236" spans="1:49">
      <c r="A1236" s="1077" t="s">
        <v>4539</v>
      </c>
      <c r="B1236" s="1077" t="s">
        <v>715</v>
      </c>
      <c r="C1236" s="1077">
        <v>500</v>
      </c>
      <c r="D1236" s="1077">
        <v>1.6950000000000001</v>
      </c>
      <c r="E1236" s="1077" t="s">
        <v>15095</v>
      </c>
      <c r="F1236" s="1077" t="s">
        <v>1897</v>
      </c>
      <c r="G1236" s="1077" t="s">
        <v>940</v>
      </c>
      <c r="H1236" s="1077" t="s">
        <v>1155</v>
      </c>
      <c r="I1236" s="1077" t="s">
        <v>126</v>
      </c>
      <c r="J1236" s="1077">
        <v>0.7</v>
      </c>
      <c r="K1236" s="1077" t="s">
        <v>4540</v>
      </c>
      <c r="L1236" s="1077" t="s">
        <v>4524</v>
      </c>
      <c r="M1236" s="1077">
        <v>101.5</v>
      </c>
      <c r="N1236" s="1077" t="s">
        <v>945</v>
      </c>
      <c r="O1236" s="1077">
        <v>2.5375000000000001</v>
      </c>
      <c r="P1236" s="1077">
        <v>2.0300000000000002</v>
      </c>
      <c r="Q1236" s="1077">
        <v>4</v>
      </c>
      <c r="R1236" s="1077">
        <v>23</v>
      </c>
      <c r="T1236" s="1077">
        <v>12</v>
      </c>
      <c r="U1236" s="1077">
        <v>4.5</v>
      </c>
      <c r="V1236" s="1077" t="s">
        <v>648</v>
      </c>
      <c r="W1236" s="1077">
        <v>125</v>
      </c>
      <c r="X1236" s="1077">
        <v>80</v>
      </c>
      <c r="Y1236" s="1077">
        <v>1.5</v>
      </c>
      <c r="Z1236" s="1077">
        <v>4</v>
      </c>
      <c r="AA1236" s="1077" t="s">
        <v>4541</v>
      </c>
      <c r="AH1236" s="1077" t="s">
        <v>724</v>
      </c>
      <c r="AI1236" s="1077">
        <v>94.23</v>
      </c>
      <c r="AJ1236" s="1077">
        <v>-0.31</v>
      </c>
      <c r="AK1236" s="1077">
        <v>3.6</v>
      </c>
      <c r="AM1236" s="1078" t="s">
        <v>11491</v>
      </c>
      <c r="AN1236" s="1078" t="s">
        <v>11492</v>
      </c>
      <c r="AO1236" s="1078">
        <f t="shared" si="158"/>
        <v>500</v>
      </c>
      <c r="AP1236" s="1078">
        <f t="shared" si="159"/>
        <v>1.6950000000000001</v>
      </c>
      <c r="AQ1236" s="1078" t="str">
        <f t="shared" si="160"/>
        <v>1-5-1S83°</v>
      </c>
      <c r="AR1236" s="1078" t="str">
        <f t="shared" si="161"/>
        <v>30.8</v>
      </c>
      <c r="AS1236" s="1078" t="str">
        <f t="shared" si="162"/>
        <v>215/215/OFF</v>
      </c>
      <c r="AT1236" s="1078" t="str">
        <f t="shared" si="163"/>
        <v>1-5-1S83°</v>
      </c>
      <c r="AV1236" s="1078" t="str">
        <f t="shared" si="156"/>
        <v>113.10.15</v>
      </c>
      <c r="AW1236" s="1344">
        <f t="shared" si="157"/>
        <v>45580</v>
      </c>
    </row>
    <row r="1237" spans="1:49">
      <c r="A1237" s="1077" t="s">
        <v>4542</v>
      </c>
      <c r="B1237" s="1077" t="s">
        <v>298</v>
      </c>
      <c r="C1237" s="1077">
        <v>650</v>
      </c>
      <c r="D1237" s="1077">
        <v>1.75</v>
      </c>
      <c r="E1237" s="1077" t="s">
        <v>15102</v>
      </c>
      <c r="F1237" s="1077" t="s">
        <v>984</v>
      </c>
      <c r="G1237" s="1077" t="s">
        <v>1767</v>
      </c>
      <c r="H1237" s="1077" t="s">
        <v>1484</v>
      </c>
      <c r="I1237" s="1077" t="s">
        <v>1112</v>
      </c>
      <c r="J1237" s="1077">
        <v>1.7</v>
      </c>
      <c r="K1237" s="1077" t="s">
        <v>4322</v>
      </c>
      <c r="L1237" s="1077" t="s">
        <v>4029</v>
      </c>
      <c r="M1237" s="1077">
        <v>103.2</v>
      </c>
      <c r="N1237" s="1077" t="s">
        <v>945</v>
      </c>
      <c r="O1237" s="1077">
        <v>2.58</v>
      </c>
      <c r="P1237" s="1077">
        <v>2.0640000000000001</v>
      </c>
      <c r="Q1237" s="1077">
        <v>4</v>
      </c>
      <c r="R1237" s="1077">
        <v>19.5</v>
      </c>
      <c r="T1237" s="1077">
        <v>27.3</v>
      </c>
      <c r="U1237" s="1077">
        <v>4</v>
      </c>
      <c r="V1237" s="1077" t="s">
        <v>648</v>
      </c>
      <c r="W1237" s="1077">
        <v>120</v>
      </c>
      <c r="X1237" s="1077" t="s">
        <v>2395</v>
      </c>
      <c r="Y1237" s="1077">
        <v>1.7</v>
      </c>
      <c r="Z1237" s="1077">
        <v>6</v>
      </c>
      <c r="AA1237" s="1077" t="s">
        <v>4543</v>
      </c>
      <c r="AB1237" s="1077" t="s">
        <v>981</v>
      </c>
      <c r="AH1237" s="1077" t="s">
        <v>726</v>
      </c>
      <c r="AI1237" s="1077">
        <v>91.84</v>
      </c>
      <c r="AJ1237" s="1077">
        <v>-0.87</v>
      </c>
      <c r="AK1237" s="1077">
        <v>4.21</v>
      </c>
      <c r="AM1237" s="1078" t="s">
        <v>11493</v>
      </c>
      <c r="AN1237" s="1078" t="s">
        <v>11494</v>
      </c>
      <c r="AO1237" s="1078">
        <f t="shared" si="158"/>
        <v>650</v>
      </c>
      <c r="AP1237" s="1078">
        <f t="shared" si="159"/>
        <v>1.75</v>
      </c>
      <c r="AQ1237" s="1078" t="str">
        <f t="shared" si="160"/>
        <v>2-6-1S83°</v>
      </c>
      <c r="AR1237" s="1078" t="str">
        <f t="shared" si="161"/>
        <v>30</v>
      </c>
      <c r="AS1237" s="1078" t="str">
        <f t="shared" si="162"/>
        <v>165/OFF</v>
      </c>
      <c r="AT1237" s="1078" t="str">
        <f t="shared" si="163"/>
        <v>2-6-1S83°</v>
      </c>
      <c r="AV1237" s="1078" t="str">
        <f t="shared" si="156"/>
        <v>113.10.25</v>
      </c>
      <c r="AW1237" s="1344">
        <f t="shared" si="157"/>
        <v>45590</v>
      </c>
    </row>
    <row r="1238" spans="1:49">
      <c r="A1238" s="1077" t="s">
        <v>4544</v>
      </c>
      <c r="B1238" s="1077" t="s">
        <v>4507</v>
      </c>
      <c r="C1238" s="1077">
        <v>600</v>
      </c>
      <c r="D1238" s="1077">
        <v>1.74</v>
      </c>
      <c r="E1238" s="1077" t="s">
        <v>15108</v>
      </c>
      <c r="F1238" s="1077" t="s">
        <v>975</v>
      </c>
      <c r="G1238" s="1077">
        <v>4</v>
      </c>
      <c r="H1238" s="1077" t="s">
        <v>1155</v>
      </c>
      <c r="I1238" s="1077" t="s">
        <v>126</v>
      </c>
      <c r="J1238" s="1077">
        <v>1.1000000000000001</v>
      </c>
      <c r="K1238" s="1077" t="s">
        <v>4545</v>
      </c>
      <c r="L1238" s="1077" t="s">
        <v>1466</v>
      </c>
      <c r="M1238" s="1077">
        <v>99</v>
      </c>
      <c r="N1238" s="1077" t="s">
        <v>945</v>
      </c>
      <c r="O1238" s="1077">
        <v>2.4750000000000001</v>
      </c>
      <c r="P1238" s="1077">
        <v>1.98</v>
      </c>
      <c r="Q1238" s="1077">
        <v>4.2</v>
      </c>
      <c r="R1238" s="1077">
        <v>23</v>
      </c>
      <c r="T1238" s="1077">
        <v>16</v>
      </c>
      <c r="U1238" s="1077">
        <v>3.6</v>
      </c>
      <c r="V1238" s="1077" t="s">
        <v>648</v>
      </c>
      <c r="W1238" s="1077">
        <v>120</v>
      </c>
      <c r="X1238" s="1077">
        <v>87</v>
      </c>
      <c r="Y1238" s="1077">
        <v>2.5</v>
      </c>
      <c r="Z1238" s="1077" t="s">
        <v>648</v>
      </c>
      <c r="AA1238" s="1077" t="s">
        <v>2151</v>
      </c>
      <c r="AH1238" s="1077" t="s">
        <v>830</v>
      </c>
      <c r="AI1238" s="1077">
        <v>95.49</v>
      </c>
      <c r="AJ1238" s="1077">
        <v>-0.36</v>
      </c>
      <c r="AK1238" s="1077">
        <v>1.22</v>
      </c>
      <c r="AM1238" s="1078" t="s">
        <v>11495</v>
      </c>
      <c r="AN1238" s="1078" t="s">
        <v>11496</v>
      </c>
      <c r="AO1238" s="1078">
        <f t="shared" si="158"/>
        <v>600</v>
      </c>
      <c r="AP1238" s="1078">
        <f t="shared" si="159"/>
        <v>1.74</v>
      </c>
      <c r="AQ1238" s="1078" t="str">
        <f t="shared" si="160"/>
        <v>1-4-1S83°Z+S</v>
      </c>
      <c r="AR1238" s="1078" t="str">
        <f t="shared" si="161"/>
        <v>31.5</v>
      </c>
      <c r="AS1238" s="1078" t="str">
        <f t="shared" si="162"/>
        <v>215/215/OFF</v>
      </c>
      <c r="AT1238" s="1078" t="str">
        <f t="shared" si="163"/>
        <v>1-4-1S83°Z+S</v>
      </c>
      <c r="AU1238" s="1078" t="s">
        <v>15547</v>
      </c>
      <c r="AV1238" s="1078" t="str">
        <f t="shared" si="156"/>
        <v>113.11.5</v>
      </c>
      <c r="AW1238" s="1344">
        <f t="shared" si="157"/>
        <v>45601</v>
      </c>
    </row>
    <row r="1239" spans="1:49">
      <c r="A1239" s="1077" t="s">
        <v>4546</v>
      </c>
      <c r="B1239" s="1077" t="s">
        <v>715</v>
      </c>
      <c r="C1239" s="1077">
        <v>600</v>
      </c>
      <c r="D1239" s="1077">
        <v>1.7</v>
      </c>
      <c r="E1239" s="1077" t="s">
        <v>15095</v>
      </c>
      <c r="F1239" s="1077" t="s">
        <v>1897</v>
      </c>
      <c r="G1239" s="1077" t="s">
        <v>940</v>
      </c>
      <c r="H1239" s="1077" t="s">
        <v>2130</v>
      </c>
      <c r="I1239" s="1077" t="s">
        <v>126</v>
      </c>
      <c r="J1239" s="1077">
        <v>0.8</v>
      </c>
      <c r="K1239" s="1077" t="s">
        <v>4547</v>
      </c>
      <c r="L1239" s="1077" t="s">
        <v>4548</v>
      </c>
      <c r="M1239" s="1077">
        <v>101.5</v>
      </c>
      <c r="N1239" s="1077" t="s">
        <v>945</v>
      </c>
      <c r="O1239" s="1077">
        <v>2.5375000000000001</v>
      </c>
      <c r="P1239" s="1077">
        <v>2.0300000000000002</v>
      </c>
      <c r="Q1239" s="1077">
        <v>4</v>
      </c>
      <c r="R1239" s="1077">
        <v>23</v>
      </c>
      <c r="T1239" s="1077">
        <v>12</v>
      </c>
      <c r="U1239" s="1077">
        <v>2.8</v>
      </c>
      <c r="V1239" s="1077" t="s">
        <v>648</v>
      </c>
      <c r="W1239" s="1077">
        <v>120</v>
      </c>
      <c r="X1239" s="1077">
        <v>80</v>
      </c>
      <c r="Y1239" s="1077">
        <v>1.5</v>
      </c>
      <c r="Z1239" s="1077">
        <v>4</v>
      </c>
      <c r="AA1239" s="1077" t="s">
        <v>4549</v>
      </c>
      <c r="AH1239" s="1077" t="s">
        <v>884</v>
      </c>
      <c r="AI1239" s="1077">
        <v>94.17</v>
      </c>
      <c r="AJ1239" s="1077">
        <v>-0.62</v>
      </c>
      <c r="AK1239" s="1077">
        <v>2.61</v>
      </c>
      <c r="AM1239" s="1078" t="s">
        <v>11497</v>
      </c>
      <c r="AN1239" s="1078" t="s">
        <v>11498</v>
      </c>
      <c r="AO1239" s="1078">
        <f t="shared" si="158"/>
        <v>600</v>
      </c>
      <c r="AP1239" s="1078">
        <f t="shared" si="159"/>
        <v>1.7</v>
      </c>
      <c r="AQ1239" s="1078" t="str">
        <f t="shared" si="160"/>
        <v>1-5-1S83°</v>
      </c>
      <c r="AR1239" s="1078" t="str">
        <f t="shared" si="161"/>
        <v>30.8</v>
      </c>
      <c r="AS1239" s="1078" t="str">
        <f t="shared" si="162"/>
        <v>270/270/150</v>
      </c>
      <c r="AT1239" s="1078" t="str">
        <f t="shared" si="163"/>
        <v>1-5-1S83°</v>
      </c>
      <c r="AV1239" s="1078" t="str">
        <f t="shared" si="156"/>
        <v>113.11.7</v>
      </c>
      <c r="AW1239" s="1344">
        <f t="shared" si="157"/>
        <v>45603</v>
      </c>
    </row>
    <row r="1240" spans="1:49">
      <c r="A1240" s="1077" t="s">
        <v>4550</v>
      </c>
      <c r="B1240" s="1077" t="s">
        <v>298</v>
      </c>
      <c r="C1240" s="1077">
        <v>620</v>
      </c>
      <c r="D1240" s="1077">
        <v>1.75</v>
      </c>
      <c r="E1240" s="1077" t="s">
        <v>15102</v>
      </c>
      <c r="F1240" s="1077" t="s">
        <v>984</v>
      </c>
      <c r="G1240" s="1077" t="s">
        <v>1767</v>
      </c>
      <c r="H1240" s="1077" t="s">
        <v>1799</v>
      </c>
      <c r="I1240" s="1077" t="s">
        <v>626</v>
      </c>
      <c r="J1240" s="1077">
        <v>2.1</v>
      </c>
      <c r="K1240" s="1077" t="s">
        <v>4532</v>
      </c>
      <c r="L1240" s="1077" t="s">
        <v>4487</v>
      </c>
      <c r="M1240" s="1077">
        <v>101.5</v>
      </c>
      <c r="N1240" s="1077" t="s">
        <v>945</v>
      </c>
      <c r="O1240" s="1077">
        <v>2.5375000000000001</v>
      </c>
      <c r="P1240" s="1077">
        <v>2.0300000000000002</v>
      </c>
      <c r="Q1240" s="1077">
        <v>3.5</v>
      </c>
      <c r="R1240" s="1077">
        <v>19</v>
      </c>
      <c r="T1240" s="1077">
        <v>24</v>
      </c>
      <c r="U1240" s="1077">
        <v>5.4</v>
      </c>
      <c r="V1240" s="1077" t="s">
        <v>648</v>
      </c>
      <c r="W1240" s="1077">
        <v>135</v>
      </c>
      <c r="X1240" s="1077">
        <v>10</v>
      </c>
      <c r="Y1240" s="1077">
        <v>1.3</v>
      </c>
      <c r="Z1240" s="1077">
        <v>6</v>
      </c>
      <c r="AA1240" s="1077" t="s">
        <v>4551</v>
      </c>
      <c r="AH1240" s="1077" t="s">
        <v>831</v>
      </c>
      <c r="AI1240" s="1077">
        <v>91.37</v>
      </c>
      <c r="AJ1240" s="1077">
        <v>-0.38</v>
      </c>
      <c r="AK1240" s="1077">
        <v>0.84</v>
      </c>
      <c r="AM1240" s="1078" t="s">
        <v>11499</v>
      </c>
      <c r="AN1240" s="1078" t="s">
        <v>11500</v>
      </c>
      <c r="AO1240" s="1078">
        <f t="shared" si="158"/>
        <v>620</v>
      </c>
      <c r="AP1240" s="1078">
        <f t="shared" si="159"/>
        <v>1.75</v>
      </c>
      <c r="AQ1240" s="1078" t="str">
        <f t="shared" si="160"/>
        <v>2-6-1S83°</v>
      </c>
      <c r="AR1240" s="1078" t="str">
        <f t="shared" si="161"/>
        <v>30</v>
      </c>
      <c r="AS1240" s="1078" t="str">
        <f t="shared" si="162"/>
        <v>153/OFF</v>
      </c>
      <c r="AT1240" s="1078" t="str">
        <f t="shared" si="163"/>
        <v>2-6-1S83°</v>
      </c>
      <c r="AV1240" s="1078" t="str">
        <f t="shared" si="156"/>
        <v>113.11.14</v>
      </c>
      <c r="AW1240" s="1344">
        <f t="shared" si="157"/>
        <v>45610</v>
      </c>
    </row>
    <row r="1241" spans="1:49">
      <c r="A1241" s="1077" t="s">
        <v>4552</v>
      </c>
      <c r="B1241" s="1077" t="s">
        <v>298</v>
      </c>
      <c r="C1241" s="1077">
        <v>700</v>
      </c>
      <c r="D1241" s="1077">
        <v>1.74</v>
      </c>
      <c r="E1241" s="1077" t="s">
        <v>15095</v>
      </c>
      <c r="F1241" s="1077" t="s">
        <v>954</v>
      </c>
      <c r="G1241" s="1077" t="s">
        <v>1767</v>
      </c>
      <c r="H1241" s="1077" t="s">
        <v>4174</v>
      </c>
      <c r="I1241" s="1077" t="s">
        <v>126</v>
      </c>
      <c r="J1241" s="1077">
        <v>1.9</v>
      </c>
      <c r="K1241" s="1077" t="s">
        <v>4505</v>
      </c>
      <c r="L1241" s="1077" t="s">
        <v>4029</v>
      </c>
      <c r="M1241" s="1077">
        <v>103.2</v>
      </c>
      <c r="N1241" s="1077" t="s">
        <v>945</v>
      </c>
      <c r="O1241" s="1077">
        <v>2.58</v>
      </c>
      <c r="P1241" s="1077">
        <v>2.0640000000000001</v>
      </c>
      <c r="Q1241" s="1077">
        <v>4</v>
      </c>
      <c r="R1241" s="1077">
        <v>19.5</v>
      </c>
      <c r="T1241" s="1077">
        <v>27.3</v>
      </c>
      <c r="U1241" s="1077">
        <v>4</v>
      </c>
      <c r="V1241" s="1077" t="s">
        <v>648</v>
      </c>
      <c r="W1241" s="1077">
        <v>120</v>
      </c>
      <c r="X1241" s="1077">
        <v>60</v>
      </c>
      <c r="Y1241" s="1077">
        <v>1.7</v>
      </c>
      <c r="Z1241" s="1077">
        <v>6</v>
      </c>
      <c r="AA1241" s="1077" t="s">
        <v>4553</v>
      </c>
      <c r="AH1241" s="1077" t="s">
        <v>684</v>
      </c>
      <c r="AI1241" s="1077">
        <v>92.96</v>
      </c>
      <c r="AJ1241" s="1077">
        <v>-0.47</v>
      </c>
      <c r="AK1241" s="1077">
        <v>1.41</v>
      </c>
      <c r="AM1241" s="1078" t="s">
        <v>11501</v>
      </c>
      <c r="AN1241" s="1078" t="s">
        <v>11502</v>
      </c>
      <c r="AO1241" s="1078">
        <f t="shared" si="158"/>
        <v>700</v>
      </c>
      <c r="AP1241" s="1078">
        <f t="shared" si="159"/>
        <v>1.74</v>
      </c>
      <c r="AQ1241" s="1078" t="str">
        <f t="shared" si="160"/>
        <v>1-5-1S83°</v>
      </c>
      <c r="AR1241" s="1078" t="str">
        <f t="shared" si="161"/>
        <v>31</v>
      </c>
      <c r="AS1241" s="1078" t="str">
        <f t="shared" si="162"/>
        <v>315/265/OFF</v>
      </c>
      <c r="AT1241" s="1078" t="str">
        <f t="shared" si="163"/>
        <v>1-5-1S83°</v>
      </c>
      <c r="AV1241" s="1078" t="str">
        <f t="shared" si="156"/>
        <v>113.11.13</v>
      </c>
      <c r="AW1241" s="1344">
        <f t="shared" si="157"/>
        <v>45609</v>
      </c>
    </row>
    <row r="1242" spans="1:49">
      <c r="A1242" s="1077" t="s">
        <v>4554</v>
      </c>
      <c r="B1242" s="1077" t="s">
        <v>298</v>
      </c>
      <c r="C1242" s="1077">
        <v>650</v>
      </c>
      <c r="D1242" s="1077">
        <v>1.7649999999999999</v>
      </c>
      <c r="E1242" s="1077" t="s">
        <v>15095</v>
      </c>
      <c r="F1242" s="1077" t="s">
        <v>954</v>
      </c>
      <c r="G1242" s="1077" t="s">
        <v>1767</v>
      </c>
      <c r="H1242" s="1077" t="s">
        <v>1040</v>
      </c>
      <c r="I1242" s="1077" t="s">
        <v>626</v>
      </c>
      <c r="J1242" s="1077">
        <v>2</v>
      </c>
      <c r="K1242" s="1077" t="s">
        <v>4532</v>
      </c>
      <c r="L1242" s="1077" t="s">
        <v>4487</v>
      </c>
      <c r="M1242" s="1077">
        <v>101.5</v>
      </c>
      <c r="N1242" s="1077" t="s">
        <v>945</v>
      </c>
      <c r="O1242" s="1077">
        <v>2.5375000000000001</v>
      </c>
      <c r="P1242" s="1077">
        <v>2.0300000000000002</v>
      </c>
      <c r="Q1242" s="1077">
        <v>3.5</v>
      </c>
      <c r="R1242" s="1077">
        <v>19</v>
      </c>
      <c r="T1242" s="1077">
        <v>24</v>
      </c>
      <c r="U1242" s="1077">
        <v>5.4</v>
      </c>
      <c r="V1242" s="1077" t="s">
        <v>648</v>
      </c>
      <c r="W1242" s="1077">
        <v>135</v>
      </c>
      <c r="X1242" s="1077">
        <v>10</v>
      </c>
      <c r="Y1242" s="1077">
        <v>1.3</v>
      </c>
      <c r="Z1242" s="1077">
        <v>6</v>
      </c>
      <c r="AA1242" s="1077" t="s">
        <v>1744</v>
      </c>
      <c r="AH1242" s="1077" t="s">
        <v>618</v>
      </c>
      <c r="AI1242" s="1077">
        <v>91.27</v>
      </c>
      <c r="AJ1242" s="1077">
        <v>-0.39</v>
      </c>
      <c r="AK1242" s="1077">
        <v>1.1200000000000001</v>
      </c>
      <c r="AM1242" s="1078" t="s">
        <v>11503</v>
      </c>
      <c r="AN1242" s="1078" t="s">
        <v>11504</v>
      </c>
      <c r="AO1242" s="1078">
        <f t="shared" si="158"/>
        <v>650</v>
      </c>
      <c r="AP1242" s="1078">
        <f t="shared" si="159"/>
        <v>1.7649999999999999</v>
      </c>
      <c r="AQ1242" s="1078" t="str">
        <f t="shared" si="160"/>
        <v>1-5-1S83°</v>
      </c>
      <c r="AR1242" s="1078" t="str">
        <f t="shared" si="161"/>
        <v>31</v>
      </c>
      <c r="AS1242" s="1078" t="str">
        <f t="shared" si="162"/>
        <v>240/240/OFF</v>
      </c>
      <c r="AT1242" s="1078" t="str">
        <f t="shared" si="163"/>
        <v>1-5-1S83°</v>
      </c>
      <c r="AV1242" s="1078" t="str">
        <f t="shared" si="156"/>
        <v>113.12.2</v>
      </c>
      <c r="AW1242" s="1344">
        <f t="shared" si="157"/>
        <v>45628</v>
      </c>
    </row>
    <row r="1243" spans="1:49">
      <c r="A1243" s="1077" t="s">
        <v>4555</v>
      </c>
      <c r="B1243" s="1077" t="s">
        <v>298</v>
      </c>
      <c r="C1243" s="1077">
        <v>650</v>
      </c>
      <c r="D1243" s="1077">
        <v>1.76</v>
      </c>
      <c r="E1243" s="1077" t="s">
        <v>15095</v>
      </c>
      <c r="F1243" s="1077" t="s">
        <v>954</v>
      </c>
      <c r="G1243" s="1077" t="s">
        <v>1767</v>
      </c>
      <c r="H1243" s="1077" t="s">
        <v>4556</v>
      </c>
      <c r="I1243" s="1077" t="s">
        <v>626</v>
      </c>
      <c r="J1243" s="1077">
        <v>1.9</v>
      </c>
      <c r="K1243" s="1077" t="s">
        <v>4505</v>
      </c>
      <c r="L1243" s="1077" t="s">
        <v>4029</v>
      </c>
      <c r="M1243" s="1077">
        <v>101.5</v>
      </c>
      <c r="N1243" s="1077" t="s">
        <v>945</v>
      </c>
      <c r="O1243" s="1077">
        <v>2.5375000000000001</v>
      </c>
      <c r="P1243" s="1077">
        <v>2.0300000000000002</v>
      </c>
      <c r="Q1243" s="1077">
        <v>3.5</v>
      </c>
      <c r="R1243" s="1077">
        <v>19</v>
      </c>
      <c r="T1243" s="1077">
        <v>24</v>
      </c>
      <c r="U1243" s="1077">
        <v>5.4</v>
      </c>
      <c r="V1243" s="1077" t="s">
        <v>648</v>
      </c>
      <c r="W1243" s="1077">
        <v>135</v>
      </c>
      <c r="X1243" s="1077">
        <v>10</v>
      </c>
      <c r="Y1243" s="1077">
        <v>1.3</v>
      </c>
      <c r="Z1243" s="1077">
        <v>6</v>
      </c>
      <c r="AA1243" s="1077" t="s">
        <v>2168</v>
      </c>
      <c r="AH1243" s="1077" t="s">
        <v>813</v>
      </c>
      <c r="AI1243" s="1077">
        <v>93.13</v>
      </c>
      <c r="AJ1243" s="1077">
        <v>-0.14000000000000001</v>
      </c>
      <c r="AK1243" s="1077">
        <v>0.4</v>
      </c>
      <c r="AM1243" s="1078" t="s">
        <v>891</v>
      </c>
      <c r="AN1243" s="1078" t="s">
        <v>11505</v>
      </c>
      <c r="AO1243" s="1078">
        <f t="shared" si="158"/>
        <v>650</v>
      </c>
      <c r="AP1243" s="1078">
        <f t="shared" si="159"/>
        <v>1.76</v>
      </c>
      <c r="AQ1243" s="1078" t="str">
        <f t="shared" si="160"/>
        <v>1-5-1S83°</v>
      </c>
      <c r="AR1243" s="1078" t="str">
        <f t="shared" si="161"/>
        <v>31</v>
      </c>
      <c r="AS1243" s="1078" t="str">
        <f t="shared" si="162"/>
        <v>245/235/OFF</v>
      </c>
      <c r="AT1243" s="1078" t="str">
        <f t="shared" si="163"/>
        <v>1-5-1S83°</v>
      </c>
      <c r="AV1243" s="1078" t="str">
        <f t="shared" si="156"/>
        <v>113.12.9</v>
      </c>
      <c r="AW1243" s="1344">
        <f t="shared" si="157"/>
        <v>45635</v>
      </c>
    </row>
    <row r="1244" spans="1:49">
      <c r="A1244" s="1077" t="s">
        <v>4557</v>
      </c>
      <c r="B1244" s="1077" t="s">
        <v>298</v>
      </c>
      <c r="C1244" s="1077" t="s">
        <v>4558</v>
      </c>
      <c r="D1244" s="1077">
        <v>1.76</v>
      </c>
      <c r="E1244" s="1077" t="s">
        <v>15095</v>
      </c>
      <c r="F1244" s="1077" t="s">
        <v>954</v>
      </c>
      <c r="G1244" s="1077" t="s">
        <v>1767</v>
      </c>
      <c r="H1244" s="1077" t="s">
        <v>4493</v>
      </c>
      <c r="I1244" s="1077" t="s">
        <v>626</v>
      </c>
      <c r="J1244" s="1077">
        <v>1.9</v>
      </c>
      <c r="K1244" s="1077" t="s">
        <v>4505</v>
      </c>
      <c r="L1244" s="1077" t="s">
        <v>4029</v>
      </c>
      <c r="M1244" s="1077">
        <v>101.5</v>
      </c>
      <c r="N1244" s="1077" t="s">
        <v>945</v>
      </c>
      <c r="O1244" s="1077">
        <v>2.5375000000000001</v>
      </c>
      <c r="P1244" s="1077">
        <v>2.0300000000000002</v>
      </c>
      <c r="Q1244" s="1077">
        <v>3.5</v>
      </c>
      <c r="R1244" s="1077">
        <v>19</v>
      </c>
      <c r="T1244" s="1077">
        <v>24</v>
      </c>
      <c r="U1244" s="1077">
        <v>5.4</v>
      </c>
      <c r="V1244" s="1077" t="s">
        <v>648</v>
      </c>
      <c r="W1244" s="1077">
        <v>135</v>
      </c>
      <c r="X1244" s="1077">
        <v>10</v>
      </c>
      <c r="Y1244" s="1077">
        <v>1.3</v>
      </c>
      <c r="Z1244" s="1077">
        <v>6</v>
      </c>
      <c r="AA1244" s="1077" t="s">
        <v>2168</v>
      </c>
      <c r="AH1244" s="1077" t="s">
        <v>1221</v>
      </c>
      <c r="AI1244" s="1077">
        <v>93.32</v>
      </c>
      <c r="AJ1244" s="1077">
        <v>-0.41</v>
      </c>
      <c r="AK1244" s="1077">
        <v>0.65</v>
      </c>
      <c r="AM1244" s="1078" t="s">
        <v>894</v>
      </c>
      <c r="AN1244" s="1078" t="s">
        <v>11506</v>
      </c>
      <c r="AO1244" s="1078" t="str">
        <f t="shared" si="158"/>
        <v>650↑670-1/27</v>
      </c>
      <c r="AP1244" s="1078">
        <f t="shared" si="159"/>
        <v>1.76</v>
      </c>
      <c r="AQ1244" s="1078" t="str">
        <f t="shared" si="160"/>
        <v>1-5-1S83°</v>
      </c>
      <c r="AR1244" s="1078" t="str">
        <f t="shared" si="161"/>
        <v>31</v>
      </c>
      <c r="AS1244" s="1078" t="str">
        <f t="shared" si="162"/>
        <v>250/240/OFF</v>
      </c>
      <c r="AT1244" s="1078" t="str">
        <f t="shared" si="163"/>
        <v>1-5-1S83°</v>
      </c>
      <c r="AV1244" s="1078" t="str">
        <f t="shared" si="156"/>
        <v>113.12.9</v>
      </c>
      <c r="AW1244" s="1344">
        <f t="shared" si="157"/>
        <v>45635</v>
      </c>
    </row>
    <row r="1245" spans="1:49">
      <c r="A1245" s="1077" t="s">
        <v>4559</v>
      </c>
      <c r="B1245" s="1077" t="s">
        <v>715</v>
      </c>
      <c r="C1245" s="1077">
        <v>600</v>
      </c>
      <c r="D1245" s="1077">
        <v>1.7</v>
      </c>
      <c r="E1245" s="1077" t="s">
        <v>15095</v>
      </c>
      <c r="F1245" s="1077" t="s">
        <v>1897</v>
      </c>
      <c r="G1245" s="1077" t="s">
        <v>940</v>
      </c>
      <c r="H1245" s="1077" t="s">
        <v>1226</v>
      </c>
      <c r="I1245" s="1077" t="s">
        <v>126</v>
      </c>
      <c r="J1245" s="1077">
        <v>0.9</v>
      </c>
      <c r="K1245" s="1077" t="s">
        <v>4547</v>
      </c>
      <c r="L1245" s="1077" t="s">
        <v>4548</v>
      </c>
      <c r="M1245" s="1077">
        <v>101.5</v>
      </c>
      <c r="N1245" s="1077" t="s">
        <v>945</v>
      </c>
      <c r="O1245" s="1077">
        <v>2.5375000000000001</v>
      </c>
      <c r="P1245" s="1077">
        <v>2.0300000000000002</v>
      </c>
      <c r="Q1245" s="1077">
        <v>4</v>
      </c>
      <c r="R1245" s="1077">
        <v>23</v>
      </c>
      <c r="T1245" s="1077">
        <v>12</v>
      </c>
      <c r="U1245" s="1077">
        <v>4.5</v>
      </c>
      <c r="V1245" s="1077" t="s">
        <v>648</v>
      </c>
      <c r="W1245" s="1077">
        <v>125</v>
      </c>
      <c r="X1245" s="1077">
        <v>80</v>
      </c>
      <c r="Y1245" s="1077">
        <v>1.5</v>
      </c>
      <c r="Z1245" s="1077">
        <v>4</v>
      </c>
      <c r="AA1245" s="1077" t="s">
        <v>4560</v>
      </c>
      <c r="AH1245" s="1077" t="s">
        <v>3213</v>
      </c>
      <c r="AI1245" s="1077">
        <v>94.53</v>
      </c>
      <c r="AJ1245" s="1077">
        <v>-1.28</v>
      </c>
      <c r="AK1245" s="1077">
        <v>2.84</v>
      </c>
      <c r="AM1245" s="1078" t="s">
        <v>11507</v>
      </c>
      <c r="AN1245" s="1078" t="s">
        <v>11508</v>
      </c>
      <c r="AO1245" s="1078">
        <f t="shared" si="158"/>
        <v>600</v>
      </c>
      <c r="AP1245" s="1078">
        <f t="shared" si="159"/>
        <v>1.7</v>
      </c>
      <c r="AQ1245" s="1078" t="str">
        <f t="shared" si="160"/>
        <v>1-5-1S83°</v>
      </c>
      <c r="AR1245" s="1078" t="str">
        <f t="shared" si="161"/>
        <v>30.8</v>
      </c>
      <c r="AS1245" s="1078" t="str">
        <f t="shared" si="162"/>
        <v>230/230/OFF</v>
      </c>
      <c r="AT1245" s="1078" t="str">
        <f t="shared" si="163"/>
        <v>1-5-1S83°</v>
      </c>
      <c r="AV1245" s="1078" t="str">
        <f t="shared" si="156"/>
        <v>113.12.11</v>
      </c>
      <c r="AW1245" s="1344">
        <f t="shared" si="157"/>
        <v>45637</v>
      </c>
    </row>
    <row r="1246" spans="1:49">
      <c r="A1246" s="1077" t="s">
        <v>4561</v>
      </c>
      <c r="B1246" s="1077" t="s">
        <v>298</v>
      </c>
      <c r="C1246" s="1077">
        <v>650</v>
      </c>
      <c r="D1246" s="1077">
        <v>1.7649999999999999</v>
      </c>
      <c r="E1246" s="1077" t="s">
        <v>15095</v>
      </c>
      <c r="F1246" s="1077" t="s">
        <v>954</v>
      </c>
      <c r="G1246" s="1077" t="s">
        <v>1767</v>
      </c>
      <c r="H1246" s="1077" t="s">
        <v>1040</v>
      </c>
      <c r="I1246" s="1077" t="s">
        <v>626</v>
      </c>
      <c r="J1246" s="1077">
        <v>2</v>
      </c>
      <c r="K1246" s="1077" t="s">
        <v>4562</v>
      </c>
      <c r="L1246" s="1077" t="s">
        <v>4487</v>
      </c>
      <c r="M1246" s="1077">
        <v>101.5</v>
      </c>
      <c r="N1246" s="1077" t="s">
        <v>945</v>
      </c>
      <c r="O1246" s="1077">
        <v>2.5375000000000001</v>
      </c>
      <c r="P1246" s="1077">
        <v>2.0300000000000002</v>
      </c>
      <c r="Q1246" s="1077">
        <v>3.5</v>
      </c>
      <c r="R1246" s="1077">
        <v>19</v>
      </c>
      <c r="T1246" s="1077">
        <v>24</v>
      </c>
      <c r="U1246" s="1077">
        <v>5.4</v>
      </c>
      <c r="V1246" s="1077" t="s">
        <v>648</v>
      </c>
      <c r="W1246" s="1077">
        <v>135</v>
      </c>
      <c r="X1246" s="1077">
        <v>10</v>
      </c>
      <c r="Y1246" s="1077">
        <v>1.3</v>
      </c>
      <c r="Z1246" s="1077">
        <v>6</v>
      </c>
      <c r="AA1246" s="1077" t="s">
        <v>4563</v>
      </c>
      <c r="AH1246" s="1077" t="s">
        <v>621</v>
      </c>
      <c r="AI1246" s="1077">
        <v>90.77</v>
      </c>
      <c r="AJ1246" s="1077">
        <v>-0.28999999999999998</v>
      </c>
      <c r="AK1246" s="1077">
        <v>1.06</v>
      </c>
      <c r="AM1246" s="1078" t="s">
        <v>656</v>
      </c>
      <c r="AN1246" s="1078" t="s">
        <v>11509</v>
      </c>
      <c r="AO1246" s="1078">
        <f t="shared" si="158"/>
        <v>650</v>
      </c>
      <c r="AP1246" s="1078">
        <f t="shared" si="159"/>
        <v>1.7649999999999999</v>
      </c>
      <c r="AQ1246" s="1078" t="str">
        <f t="shared" si="160"/>
        <v>1-5-1S83°</v>
      </c>
      <c r="AR1246" s="1078" t="str">
        <f t="shared" si="161"/>
        <v>31</v>
      </c>
      <c r="AS1246" s="1078" t="str">
        <f t="shared" si="162"/>
        <v>240/240/OFF</v>
      </c>
      <c r="AT1246" s="1078" t="str">
        <f t="shared" si="163"/>
        <v>1-5-1S83°</v>
      </c>
      <c r="AV1246" s="1078" t="str">
        <f t="shared" si="156"/>
        <v>114.1.3</v>
      </c>
      <c r="AW1246" s="1344">
        <f t="shared" si="157"/>
        <v>45660</v>
      </c>
    </row>
    <row r="1247" spans="1:49">
      <c r="A1247" s="1077" t="s">
        <v>4564</v>
      </c>
      <c r="B1247" s="1077" t="s">
        <v>715</v>
      </c>
      <c r="C1247" s="1077">
        <v>600</v>
      </c>
      <c r="D1247" s="1077">
        <v>1.7</v>
      </c>
      <c r="E1247" s="1077" t="s">
        <v>15095</v>
      </c>
      <c r="F1247" s="1077" t="s">
        <v>1897</v>
      </c>
      <c r="G1247" s="1077" t="s">
        <v>940</v>
      </c>
      <c r="H1247" s="1077" t="s">
        <v>1649</v>
      </c>
      <c r="I1247" s="1077" t="s">
        <v>126</v>
      </c>
      <c r="J1247" s="1077">
        <v>0.9</v>
      </c>
      <c r="K1247" s="1077" t="s">
        <v>4547</v>
      </c>
      <c r="L1247" s="1077" t="s">
        <v>4548</v>
      </c>
      <c r="M1247" s="1077">
        <v>101.5</v>
      </c>
      <c r="N1247" s="1077" t="s">
        <v>945</v>
      </c>
      <c r="O1247" s="1077">
        <v>2.5375000000000001</v>
      </c>
      <c r="P1247" s="1077">
        <v>2.0300000000000002</v>
      </c>
      <c r="Q1247" s="1077">
        <v>4</v>
      </c>
      <c r="R1247" s="1077">
        <v>23</v>
      </c>
      <c r="T1247" s="1077">
        <v>12</v>
      </c>
      <c r="U1247" s="1077">
        <v>4.5</v>
      </c>
      <c r="V1247" s="1077" t="s">
        <v>648</v>
      </c>
      <c r="W1247" s="1077">
        <v>125</v>
      </c>
      <c r="X1247" s="1077">
        <v>80</v>
      </c>
      <c r="Y1247" s="1077">
        <v>1.5</v>
      </c>
      <c r="Z1247" s="1077">
        <v>4</v>
      </c>
      <c r="AA1247" s="1077" t="s">
        <v>4565</v>
      </c>
      <c r="AH1247" s="1077" t="s">
        <v>1588</v>
      </c>
      <c r="AI1247" s="1077">
        <v>94.42</v>
      </c>
      <c r="AJ1247" s="1077">
        <v>-0.93</v>
      </c>
      <c r="AK1247" s="1077">
        <v>2.57</v>
      </c>
      <c r="AM1247" s="1078" t="s">
        <v>11510</v>
      </c>
      <c r="AN1247" s="1078" t="s">
        <v>11511</v>
      </c>
      <c r="AO1247" s="1078">
        <f t="shared" si="158"/>
        <v>600</v>
      </c>
      <c r="AP1247" s="1078">
        <f t="shared" si="159"/>
        <v>1.7</v>
      </c>
      <c r="AQ1247" s="1078" t="str">
        <f t="shared" si="160"/>
        <v>1-5-1S83°</v>
      </c>
      <c r="AR1247" s="1078" t="str">
        <f t="shared" si="161"/>
        <v>30.8</v>
      </c>
      <c r="AS1247" s="1078" t="str">
        <f t="shared" si="162"/>
        <v>225/225/OFF</v>
      </c>
      <c r="AT1247" s="1078" t="str">
        <f t="shared" si="163"/>
        <v>1-5-1S83°</v>
      </c>
      <c r="AV1247" s="1078" t="str">
        <f t="shared" si="156"/>
        <v>114.2.7</v>
      </c>
      <c r="AW1247" s="1344">
        <f t="shared" si="157"/>
        <v>45695</v>
      </c>
    </row>
    <row r="1248" spans="1:49">
      <c r="A1248" s="1077" t="s">
        <v>4566</v>
      </c>
      <c r="B1248" s="1077" t="s">
        <v>4567</v>
      </c>
      <c r="C1248" s="1077">
        <v>500</v>
      </c>
      <c r="D1248" s="1077">
        <v>1.7</v>
      </c>
      <c r="E1248" s="1077" t="s">
        <v>15108</v>
      </c>
      <c r="F1248" s="1077" t="s">
        <v>954</v>
      </c>
      <c r="G1248" s="1077">
        <v>2</v>
      </c>
      <c r="H1248" s="1077" t="s">
        <v>1274</v>
      </c>
      <c r="I1248" s="1077" t="s">
        <v>126</v>
      </c>
      <c r="J1248" s="1077">
        <v>1.1000000000000001</v>
      </c>
      <c r="K1248" s="1077" t="s">
        <v>4568</v>
      </c>
      <c r="L1248" s="1077" t="s">
        <v>1019</v>
      </c>
      <c r="M1248" s="1077">
        <v>97.5</v>
      </c>
      <c r="N1248" s="1077" t="s">
        <v>945</v>
      </c>
      <c r="O1248" s="1077">
        <v>2.4375</v>
      </c>
      <c r="P1248" s="1077">
        <v>1.95</v>
      </c>
      <c r="Q1248" s="1077" t="s">
        <v>2782</v>
      </c>
      <c r="R1248" s="1077">
        <v>26</v>
      </c>
      <c r="T1248" s="1077">
        <v>27</v>
      </c>
      <c r="U1248" s="1077">
        <v>3.3</v>
      </c>
      <c r="V1248" s="1077" t="s">
        <v>648</v>
      </c>
      <c r="W1248" s="1077">
        <v>130</v>
      </c>
      <c r="X1248" s="1077">
        <v>80</v>
      </c>
      <c r="Y1248" s="1077">
        <v>1</v>
      </c>
      <c r="Z1248" s="1077" t="s">
        <v>648</v>
      </c>
      <c r="AA1248" s="1077" t="s">
        <v>4569</v>
      </c>
      <c r="AH1248" s="1077" t="s">
        <v>722</v>
      </c>
      <c r="AM1248" s="1078" t="s">
        <v>11512</v>
      </c>
      <c r="AN1248" s="1078" t="s">
        <v>11513</v>
      </c>
      <c r="AO1248" s="1078">
        <f t="shared" si="158"/>
        <v>500</v>
      </c>
      <c r="AP1248" s="1078">
        <f t="shared" si="159"/>
        <v>1.7</v>
      </c>
      <c r="AQ1248" s="1078" t="str">
        <f t="shared" si="160"/>
        <v>1-4-1S83°Z+S</v>
      </c>
      <c r="AR1248" s="1078" t="str">
        <f t="shared" si="161"/>
        <v>31</v>
      </c>
      <c r="AS1248" s="1078" t="str">
        <f t="shared" si="162"/>
        <v>210/210/OFF</v>
      </c>
      <c r="AT1248" s="1078" t="str">
        <f t="shared" si="163"/>
        <v>1-4-1S83°Z+S</v>
      </c>
      <c r="AU1248" s="1078" t="s">
        <v>15547</v>
      </c>
      <c r="AV1248" s="1078" t="str">
        <f t="shared" si="156"/>
        <v>108.1.2</v>
      </c>
      <c r="AW1248" s="1344">
        <f t="shared" si="157"/>
        <v>43467</v>
      </c>
    </row>
    <row r="1249" spans="1:49">
      <c r="A1249" s="1077" t="s">
        <v>4570</v>
      </c>
      <c r="B1249" s="1077" t="s">
        <v>4083</v>
      </c>
      <c r="C1249" s="1077">
        <v>800</v>
      </c>
      <c r="D1249" s="1077">
        <v>1.75</v>
      </c>
      <c r="E1249" s="1077" t="s">
        <v>15089</v>
      </c>
      <c r="F1249" s="1077" t="s">
        <v>4013</v>
      </c>
      <c r="G1249" s="1077" t="s">
        <v>1767</v>
      </c>
      <c r="H1249" s="1077" t="s">
        <v>4571</v>
      </c>
      <c r="I1249" s="1077" t="s">
        <v>648</v>
      </c>
      <c r="J1249" s="1077">
        <v>0</v>
      </c>
      <c r="K1249" s="1077" t="s">
        <v>4015</v>
      </c>
      <c r="L1249" s="1077" t="s">
        <v>4016</v>
      </c>
      <c r="M1249" s="1077">
        <v>103</v>
      </c>
      <c r="N1249" s="1077" t="s">
        <v>945</v>
      </c>
      <c r="O1249" s="1077">
        <v>2.5750000000000002</v>
      </c>
      <c r="P1249" s="1077">
        <v>2.06</v>
      </c>
      <c r="Q1249" s="1077" t="s">
        <v>956</v>
      </c>
      <c r="R1249" s="1077">
        <v>23.5</v>
      </c>
      <c r="T1249" s="1077">
        <v>18.5</v>
      </c>
      <c r="U1249" s="1077">
        <v>2.1</v>
      </c>
      <c r="V1249" s="1077" t="s">
        <v>648</v>
      </c>
      <c r="W1249" s="1077" t="s">
        <v>648</v>
      </c>
      <c r="X1249" s="1077" t="s">
        <v>648</v>
      </c>
      <c r="Y1249" s="1077">
        <v>1.3</v>
      </c>
      <c r="Z1249" s="1077">
        <v>4</v>
      </c>
      <c r="AA1249" s="1077" t="s">
        <v>4572</v>
      </c>
      <c r="AH1249" s="1077" t="s">
        <v>466</v>
      </c>
      <c r="AM1249" s="1078" t="s">
        <v>11514</v>
      </c>
      <c r="AN1249" s="1078" t="s">
        <v>11515</v>
      </c>
      <c r="AO1249" s="1078">
        <f t="shared" si="158"/>
        <v>800</v>
      </c>
      <c r="AP1249" s="1078">
        <f t="shared" si="159"/>
        <v>1.75</v>
      </c>
      <c r="AQ1249" s="1078" t="str">
        <f t="shared" si="160"/>
        <v>1-4-1S83°</v>
      </c>
      <c r="AR1249" s="1078" t="str">
        <f t="shared" si="161"/>
        <v>30.3</v>
      </c>
      <c r="AS1249" s="1078" t="str">
        <f t="shared" si="162"/>
        <v>342/292/160</v>
      </c>
      <c r="AT1249" s="1078" t="str">
        <f t="shared" si="163"/>
        <v>1-4-1S83°</v>
      </c>
      <c r="AV1249" s="1078" t="str">
        <f t="shared" si="156"/>
        <v>108.1.8</v>
      </c>
      <c r="AW1249" s="1344">
        <f t="shared" si="157"/>
        <v>43473</v>
      </c>
    </row>
    <row r="1250" spans="1:49">
      <c r="A1250" s="1077" t="s">
        <v>4573</v>
      </c>
      <c r="B1250" s="1077" t="s">
        <v>4567</v>
      </c>
      <c r="C1250" s="1077">
        <v>500</v>
      </c>
      <c r="D1250" s="1077">
        <v>1.7</v>
      </c>
      <c r="E1250" s="1077" t="s">
        <v>15108</v>
      </c>
      <c r="F1250" s="1077" t="s">
        <v>954</v>
      </c>
      <c r="G1250" s="1077">
        <v>2</v>
      </c>
      <c r="H1250" s="1077" t="s">
        <v>1445</v>
      </c>
      <c r="I1250" s="1077" t="s">
        <v>126</v>
      </c>
      <c r="J1250" s="1077">
        <v>1.1000000000000001</v>
      </c>
      <c r="K1250" s="1077" t="s">
        <v>4568</v>
      </c>
      <c r="L1250" s="1077" t="s">
        <v>1019</v>
      </c>
      <c r="M1250" s="1077">
        <v>97.5</v>
      </c>
      <c r="N1250" s="1077" t="s">
        <v>945</v>
      </c>
      <c r="O1250" s="1077">
        <v>2.4375</v>
      </c>
      <c r="P1250" s="1077">
        <v>1.95</v>
      </c>
      <c r="Q1250" s="1077" t="s">
        <v>2782</v>
      </c>
      <c r="R1250" s="1077">
        <v>26</v>
      </c>
      <c r="T1250" s="1077">
        <v>27</v>
      </c>
      <c r="U1250" s="1077">
        <v>3.3</v>
      </c>
      <c r="V1250" s="1077" t="s">
        <v>648</v>
      </c>
      <c r="W1250" s="1077">
        <v>130</v>
      </c>
      <c r="X1250" s="1077">
        <v>80</v>
      </c>
      <c r="Y1250" s="1077">
        <v>1</v>
      </c>
      <c r="Z1250" s="1077" t="s">
        <v>648</v>
      </c>
      <c r="AA1250" s="1077" t="s">
        <v>4574</v>
      </c>
      <c r="AH1250" s="1077" t="s">
        <v>3213</v>
      </c>
      <c r="AM1250" s="1078" t="s">
        <v>11516</v>
      </c>
      <c r="AN1250" s="1078" t="s">
        <v>11517</v>
      </c>
      <c r="AO1250" s="1078">
        <f t="shared" si="158"/>
        <v>500</v>
      </c>
      <c r="AP1250" s="1078">
        <f t="shared" si="159"/>
        <v>1.7</v>
      </c>
      <c r="AQ1250" s="1078" t="str">
        <f t="shared" si="160"/>
        <v>1-4-1S83°Z+S</v>
      </c>
      <c r="AR1250" s="1078" t="str">
        <f t="shared" si="161"/>
        <v>31</v>
      </c>
      <c r="AS1250" s="1078" t="str">
        <f t="shared" si="162"/>
        <v>207/207/OFF</v>
      </c>
      <c r="AT1250" s="1078" t="str">
        <f t="shared" si="163"/>
        <v>1-4-1S83°Z+S</v>
      </c>
      <c r="AU1250" s="1078" t="s">
        <v>15547</v>
      </c>
      <c r="AV1250" s="1078" t="str">
        <f t="shared" si="156"/>
        <v>108.1.15</v>
      </c>
      <c r="AW1250" s="1344">
        <f t="shared" si="157"/>
        <v>43480</v>
      </c>
    </row>
    <row r="1251" spans="1:49">
      <c r="A1251" s="1077" t="s">
        <v>4575</v>
      </c>
      <c r="B1251" s="1077" t="s">
        <v>4044</v>
      </c>
      <c r="C1251" s="1077">
        <v>600</v>
      </c>
      <c r="D1251" s="1077">
        <v>1.76</v>
      </c>
      <c r="E1251" s="1077" t="s">
        <v>15099</v>
      </c>
      <c r="F1251" s="1077" t="s">
        <v>984</v>
      </c>
      <c r="G1251" s="1077">
        <v>5</v>
      </c>
      <c r="H1251" s="1077" t="s">
        <v>2540</v>
      </c>
      <c r="I1251" s="1077" t="s">
        <v>126</v>
      </c>
      <c r="J1251" s="1077">
        <v>0.6</v>
      </c>
      <c r="K1251" s="1077" t="s">
        <v>4576</v>
      </c>
      <c r="L1251" s="1077" t="s">
        <v>4047</v>
      </c>
      <c r="M1251" s="1077">
        <v>101.1</v>
      </c>
      <c r="N1251" s="1077" t="s">
        <v>945</v>
      </c>
      <c r="O1251" s="1077">
        <v>2.5274999999999999</v>
      </c>
      <c r="P1251" s="1077">
        <v>2.0219999999999998</v>
      </c>
      <c r="Q1251" s="1077" t="s">
        <v>1037</v>
      </c>
      <c r="R1251" s="1077">
        <v>24</v>
      </c>
      <c r="T1251" s="1077">
        <v>38</v>
      </c>
      <c r="U1251" s="1077">
        <v>3.1</v>
      </c>
      <c r="V1251" s="1077" t="s">
        <v>648</v>
      </c>
      <c r="W1251" s="1077">
        <v>80</v>
      </c>
      <c r="X1251" s="1077">
        <v>10</v>
      </c>
      <c r="Y1251" s="1077">
        <v>1.8</v>
      </c>
      <c r="Z1251" s="1077" t="s">
        <v>4577</v>
      </c>
      <c r="AA1251" s="1077" t="s">
        <v>3039</v>
      </c>
      <c r="AH1251" s="1077" t="s">
        <v>877</v>
      </c>
      <c r="AM1251" s="1078" t="s">
        <v>11518</v>
      </c>
      <c r="AN1251" s="1078" t="s">
        <v>11519</v>
      </c>
      <c r="AO1251" s="1078">
        <f t="shared" si="158"/>
        <v>600</v>
      </c>
      <c r="AP1251" s="1078">
        <f t="shared" si="159"/>
        <v>1.76</v>
      </c>
      <c r="AQ1251" s="1078" t="str">
        <f t="shared" si="160"/>
        <v>1-5-1S87°</v>
      </c>
      <c r="AR1251" s="1078" t="str">
        <f t="shared" si="161"/>
        <v>30</v>
      </c>
      <c r="AS1251" s="1078" t="str">
        <f t="shared" si="162"/>
        <v>300/300/OFF</v>
      </c>
      <c r="AT1251" s="1078" t="str">
        <f t="shared" si="163"/>
        <v>1-5-1S87°</v>
      </c>
      <c r="AV1251" s="1078" t="str">
        <f t="shared" si="156"/>
        <v>108.2.12</v>
      </c>
      <c r="AW1251" s="1344">
        <f t="shared" si="157"/>
        <v>43508</v>
      </c>
    </row>
    <row r="1252" spans="1:49">
      <c r="A1252" s="1077" t="s">
        <v>4578</v>
      </c>
      <c r="B1252" s="1077" t="s">
        <v>4095</v>
      </c>
      <c r="C1252" s="1077">
        <v>700</v>
      </c>
      <c r="D1252" s="1077">
        <v>1.7450000000000001</v>
      </c>
      <c r="E1252" s="1077" t="s">
        <v>15095</v>
      </c>
      <c r="F1252" s="1077" t="s">
        <v>984</v>
      </c>
      <c r="G1252" s="1077">
        <v>5</v>
      </c>
      <c r="H1252" s="1077" t="s">
        <v>4579</v>
      </c>
      <c r="I1252" s="1077" t="s">
        <v>460</v>
      </c>
      <c r="J1252" s="1077">
        <v>2</v>
      </c>
      <c r="K1252" s="1077" t="s">
        <v>4580</v>
      </c>
      <c r="L1252" s="1077" t="s">
        <v>4098</v>
      </c>
      <c r="M1252" s="1077">
        <v>98</v>
      </c>
      <c r="N1252" s="1077" t="s">
        <v>945</v>
      </c>
      <c r="O1252" s="1077">
        <v>2.4500000000000002</v>
      </c>
      <c r="P1252" s="1077">
        <v>1.96</v>
      </c>
      <c r="Q1252" s="1077" t="s">
        <v>1005</v>
      </c>
      <c r="R1252" s="1077">
        <v>27.3</v>
      </c>
      <c r="T1252" s="1077">
        <v>11.6</v>
      </c>
      <c r="U1252" s="1077">
        <v>4.0999999999999996</v>
      </c>
      <c r="V1252" s="1077" t="s">
        <v>2520</v>
      </c>
      <c r="W1252" s="1077">
        <v>100</v>
      </c>
      <c r="X1252" s="1077">
        <v>85</v>
      </c>
      <c r="Y1252" s="1077">
        <v>1.5</v>
      </c>
      <c r="Z1252" s="1077">
        <v>3</v>
      </c>
      <c r="AA1252" s="1077" t="s">
        <v>4581</v>
      </c>
      <c r="AH1252" s="1077" t="s">
        <v>482</v>
      </c>
      <c r="AM1252" s="1078" t="s">
        <v>11520</v>
      </c>
      <c r="AN1252" s="1078" t="s">
        <v>11521</v>
      </c>
      <c r="AO1252" s="1078">
        <f t="shared" si="158"/>
        <v>700</v>
      </c>
      <c r="AP1252" s="1078">
        <f t="shared" si="159"/>
        <v>1.7450000000000001</v>
      </c>
      <c r="AQ1252" s="1078" t="str">
        <f t="shared" si="160"/>
        <v>1-5-1S83°</v>
      </c>
      <c r="AR1252" s="1078" t="str">
        <f t="shared" si="161"/>
        <v>30</v>
      </c>
      <c r="AS1252" s="1078" t="str">
        <f t="shared" si="162"/>
        <v>270/270/155</v>
      </c>
      <c r="AT1252" s="1078" t="str">
        <f t="shared" si="163"/>
        <v>1-5-1S83°</v>
      </c>
      <c r="AV1252" s="1078" t="str">
        <f t="shared" si="156"/>
        <v>108.3.28</v>
      </c>
      <c r="AW1252" s="1344">
        <f t="shared" si="157"/>
        <v>43552</v>
      </c>
    </row>
    <row r="1253" spans="1:49">
      <c r="A1253" s="1077" t="s">
        <v>4582</v>
      </c>
      <c r="B1253" s="1077" t="s">
        <v>4052</v>
      </c>
      <c r="C1253" s="1077">
        <v>650</v>
      </c>
      <c r="D1253" s="1077">
        <v>1.76</v>
      </c>
      <c r="E1253" s="1077" t="s">
        <v>15104</v>
      </c>
      <c r="F1253" s="1077" t="s">
        <v>648</v>
      </c>
      <c r="G1253" s="1077">
        <v>4</v>
      </c>
      <c r="H1253" s="1077" t="s">
        <v>1188</v>
      </c>
      <c r="I1253" s="1077" t="s">
        <v>126</v>
      </c>
      <c r="J1253" s="1077">
        <v>1.1000000000000001</v>
      </c>
      <c r="K1253" s="1077" t="s">
        <v>4278</v>
      </c>
      <c r="L1253" s="1077" t="s">
        <v>987</v>
      </c>
      <c r="M1253" s="1077">
        <v>99</v>
      </c>
      <c r="N1253" s="1077" t="s">
        <v>945</v>
      </c>
      <c r="O1253" s="1077">
        <v>2.4750000000000001</v>
      </c>
      <c r="P1253" s="1077">
        <v>1.98</v>
      </c>
      <c r="Q1253" s="1077" t="s">
        <v>2434</v>
      </c>
      <c r="R1253" s="1077">
        <v>23</v>
      </c>
      <c r="T1253" s="1077">
        <v>16</v>
      </c>
      <c r="U1253" s="1077">
        <v>3.6</v>
      </c>
      <c r="V1253" s="1077" t="s">
        <v>648</v>
      </c>
      <c r="W1253" s="1077">
        <v>120</v>
      </c>
      <c r="X1253" s="1077">
        <v>87</v>
      </c>
      <c r="Y1253" s="1077">
        <v>2.5</v>
      </c>
      <c r="Z1253" s="1077" t="s">
        <v>648</v>
      </c>
      <c r="AA1253" s="1077" t="s">
        <v>4583</v>
      </c>
      <c r="AB1253" s="1077" t="s">
        <v>981</v>
      </c>
      <c r="AH1253" s="1077" t="s">
        <v>712</v>
      </c>
      <c r="AM1253" s="1078" t="s">
        <v>11522</v>
      </c>
      <c r="AN1253" s="1078" t="s">
        <v>11523</v>
      </c>
      <c r="AO1253" s="1078">
        <f t="shared" si="158"/>
        <v>650</v>
      </c>
      <c r="AP1253" s="1078">
        <f t="shared" si="159"/>
        <v>1.76</v>
      </c>
      <c r="AQ1253" s="1078" t="str">
        <f t="shared" si="160"/>
        <v>1-4-1S85°Z+S</v>
      </c>
      <c r="AR1253" s="1078" t="str">
        <f t="shared" si="161"/>
        <v>NA</v>
      </c>
      <c r="AS1253" s="1078" t="str">
        <f t="shared" si="162"/>
        <v>177/OFF</v>
      </c>
      <c r="AT1253" s="1078" t="str">
        <f t="shared" si="163"/>
        <v>1-4-1S85°Z+S</v>
      </c>
      <c r="AU1253" s="1078" t="s">
        <v>15547</v>
      </c>
      <c r="AV1253" s="1078" t="str">
        <f t="shared" si="156"/>
        <v>108.4.2</v>
      </c>
      <c r="AW1253" s="1344">
        <f t="shared" si="157"/>
        <v>43557</v>
      </c>
    </row>
    <row r="1254" spans="1:49">
      <c r="A1254" s="1077" t="s">
        <v>4584</v>
      </c>
      <c r="B1254" s="1077" t="s">
        <v>4052</v>
      </c>
      <c r="C1254" s="1077">
        <v>650</v>
      </c>
      <c r="D1254" s="1077">
        <v>1.76</v>
      </c>
      <c r="E1254" s="1077" t="s">
        <v>15104</v>
      </c>
      <c r="F1254" s="1077" t="s">
        <v>648</v>
      </c>
      <c r="G1254" s="1077">
        <v>4</v>
      </c>
      <c r="H1254" s="1077" t="s">
        <v>1188</v>
      </c>
      <c r="I1254" s="1077" t="s">
        <v>126</v>
      </c>
      <c r="J1254" s="1077">
        <v>1.1000000000000001</v>
      </c>
      <c r="K1254" s="1077" t="s">
        <v>4278</v>
      </c>
      <c r="L1254" s="1077" t="s">
        <v>987</v>
      </c>
      <c r="M1254" s="1077">
        <v>99</v>
      </c>
      <c r="N1254" s="1077" t="s">
        <v>945</v>
      </c>
      <c r="O1254" s="1077">
        <v>2.4750000000000001</v>
      </c>
      <c r="P1254" s="1077">
        <v>1.98</v>
      </c>
      <c r="Q1254" s="1077" t="s">
        <v>2434</v>
      </c>
      <c r="R1254" s="1077">
        <v>23</v>
      </c>
      <c r="T1254" s="1077">
        <v>16</v>
      </c>
      <c r="U1254" s="1077">
        <v>3.6</v>
      </c>
      <c r="V1254" s="1077" t="s">
        <v>648</v>
      </c>
      <c r="W1254" s="1077">
        <v>120</v>
      </c>
      <c r="X1254" s="1077">
        <v>87</v>
      </c>
      <c r="Y1254" s="1077">
        <v>2.5</v>
      </c>
      <c r="Z1254" s="1077" t="s">
        <v>648</v>
      </c>
      <c r="AA1254" s="1077" t="s">
        <v>2577</v>
      </c>
      <c r="AB1254" s="1077" t="s">
        <v>981</v>
      </c>
      <c r="AH1254" s="1077" t="s">
        <v>614</v>
      </c>
      <c r="AM1254" s="1078" t="s">
        <v>11524</v>
      </c>
      <c r="AN1254" s="1078" t="s">
        <v>11525</v>
      </c>
      <c r="AO1254" s="1078">
        <f t="shared" si="158"/>
        <v>650</v>
      </c>
      <c r="AP1254" s="1078">
        <f t="shared" si="159"/>
        <v>1.76</v>
      </c>
      <c r="AQ1254" s="1078" t="str">
        <f t="shared" si="160"/>
        <v>1-4-1S85°Z+S</v>
      </c>
      <c r="AR1254" s="1078" t="str">
        <f t="shared" si="161"/>
        <v>NA</v>
      </c>
      <c r="AS1254" s="1078" t="str">
        <f t="shared" si="162"/>
        <v>177/OFF</v>
      </c>
      <c r="AT1254" s="1078" t="str">
        <f t="shared" si="163"/>
        <v>1-4-1S85°Z+S</v>
      </c>
      <c r="AU1254" s="1078" t="s">
        <v>15547</v>
      </c>
      <c r="AV1254" s="1078" t="str">
        <f t="shared" si="156"/>
        <v>108.4.3</v>
      </c>
      <c r="AW1254" s="1344">
        <f t="shared" si="157"/>
        <v>43558</v>
      </c>
    </row>
    <row r="1255" spans="1:49">
      <c r="A1255" s="1077" t="s">
        <v>4585</v>
      </c>
      <c r="B1255" s="1077" t="s">
        <v>4044</v>
      </c>
      <c r="C1255" s="1077">
        <v>600</v>
      </c>
      <c r="D1255" s="1077">
        <v>1.76</v>
      </c>
      <c r="E1255" s="1077" t="s">
        <v>15099</v>
      </c>
      <c r="F1255" s="1077" t="s">
        <v>984</v>
      </c>
      <c r="G1255" s="1077">
        <v>5</v>
      </c>
      <c r="H1255" s="1077" t="s">
        <v>2540</v>
      </c>
      <c r="I1255" s="1077" t="s">
        <v>126</v>
      </c>
      <c r="J1255" s="1077">
        <v>0.7</v>
      </c>
      <c r="K1255" s="1077" t="s">
        <v>4586</v>
      </c>
      <c r="L1255" s="1077" t="s">
        <v>4047</v>
      </c>
      <c r="M1255" s="1077">
        <v>101.1</v>
      </c>
      <c r="N1255" s="1077" t="s">
        <v>945</v>
      </c>
      <c r="O1255" s="1077">
        <v>2.5274999999999999</v>
      </c>
      <c r="P1255" s="1077">
        <v>2.0219999999999998</v>
      </c>
      <c r="Q1255" s="1077" t="s">
        <v>1037</v>
      </c>
      <c r="R1255" s="1077">
        <v>24</v>
      </c>
      <c r="T1255" s="1077">
        <v>38</v>
      </c>
      <c r="U1255" s="1077">
        <v>3.1</v>
      </c>
      <c r="V1255" s="1077" t="s">
        <v>648</v>
      </c>
      <c r="W1255" s="1077">
        <v>80</v>
      </c>
      <c r="X1255" s="1077">
        <v>10</v>
      </c>
      <c r="Y1255" s="1077">
        <v>1.8</v>
      </c>
      <c r="Z1255" s="1077" t="s">
        <v>4577</v>
      </c>
      <c r="AA1255" s="1077" t="s">
        <v>1041</v>
      </c>
      <c r="AH1255" s="1077" t="s">
        <v>762</v>
      </c>
      <c r="AM1255" s="1078" t="s">
        <v>11526</v>
      </c>
      <c r="AN1255" s="1078" t="s">
        <v>11527</v>
      </c>
      <c r="AO1255" s="1078">
        <f t="shared" si="158"/>
        <v>600</v>
      </c>
      <c r="AP1255" s="1078">
        <f t="shared" si="159"/>
        <v>1.76</v>
      </c>
      <c r="AQ1255" s="1078" t="str">
        <f t="shared" si="160"/>
        <v>1-5-1S87°</v>
      </c>
      <c r="AR1255" s="1078" t="str">
        <f t="shared" si="161"/>
        <v>30</v>
      </c>
      <c r="AS1255" s="1078" t="str">
        <f t="shared" si="162"/>
        <v>300/300/OFF</v>
      </c>
      <c r="AT1255" s="1078" t="str">
        <f t="shared" si="163"/>
        <v>1-5-1S87°</v>
      </c>
      <c r="AV1255" s="1078" t="str">
        <f t="shared" si="156"/>
        <v>108.4.30</v>
      </c>
      <c r="AW1255" s="1344">
        <f t="shared" si="157"/>
        <v>43585</v>
      </c>
    </row>
    <row r="1256" spans="1:49">
      <c r="A1256" s="1077" t="s">
        <v>4587</v>
      </c>
      <c r="B1256" s="1077" t="s">
        <v>4350</v>
      </c>
      <c r="C1256" s="1077">
        <v>600</v>
      </c>
      <c r="D1256" s="1077">
        <v>1.68</v>
      </c>
      <c r="E1256" s="1077" t="s">
        <v>15109</v>
      </c>
      <c r="F1256" s="1077" t="s">
        <v>648</v>
      </c>
      <c r="G1256" s="1077">
        <v>4</v>
      </c>
      <c r="H1256" s="1077" t="s">
        <v>1072</v>
      </c>
      <c r="I1256" s="1077" t="s">
        <v>126</v>
      </c>
      <c r="J1256" s="1077">
        <v>0.8</v>
      </c>
      <c r="K1256" s="1077" t="s">
        <v>4588</v>
      </c>
      <c r="L1256" s="1077" t="s">
        <v>944</v>
      </c>
      <c r="M1256" s="1077">
        <v>102</v>
      </c>
      <c r="N1256" s="1077" t="s">
        <v>945</v>
      </c>
      <c r="O1256" s="1077">
        <v>2.5500000000000003</v>
      </c>
      <c r="P1256" s="1077">
        <v>2.04</v>
      </c>
      <c r="Q1256" s="1077" t="s">
        <v>4589</v>
      </c>
      <c r="R1256" s="1077">
        <v>21.5</v>
      </c>
      <c r="T1256" s="1077">
        <v>15.8</v>
      </c>
      <c r="U1256" s="1077">
        <v>4.0999999999999996</v>
      </c>
      <c r="V1256" s="1077" t="s">
        <v>648</v>
      </c>
      <c r="W1256" s="1077">
        <v>125</v>
      </c>
      <c r="X1256" s="1077">
        <v>80</v>
      </c>
      <c r="Y1256" s="1077">
        <v>2.8</v>
      </c>
      <c r="Z1256" s="1077" t="s">
        <v>648</v>
      </c>
      <c r="AA1256" s="1077" t="s">
        <v>2635</v>
      </c>
      <c r="AH1256" s="1077" t="s">
        <v>681</v>
      </c>
      <c r="AM1256" s="1078" t="s">
        <v>11528</v>
      </c>
      <c r="AN1256" s="1078" t="s">
        <v>11529</v>
      </c>
      <c r="AO1256" s="1078">
        <f t="shared" si="158"/>
        <v>600</v>
      </c>
      <c r="AP1256" s="1078">
        <f t="shared" si="159"/>
        <v>1.68</v>
      </c>
      <c r="AQ1256" s="1078" t="str">
        <f t="shared" si="160"/>
        <v>1-5-1S85°Z+S</v>
      </c>
      <c r="AR1256" s="1078" t="str">
        <f t="shared" si="161"/>
        <v>NA</v>
      </c>
      <c r="AS1256" s="1078" t="str">
        <f t="shared" si="162"/>
        <v>168/OFF</v>
      </c>
      <c r="AT1256" s="1078" t="str">
        <f t="shared" si="163"/>
        <v>1-5-1S85°Z+S</v>
      </c>
      <c r="AU1256" s="1078" t="s">
        <v>15547</v>
      </c>
      <c r="AV1256" s="1078" t="str">
        <f t="shared" si="156"/>
        <v>108.5.2</v>
      </c>
      <c r="AW1256" s="1344">
        <f t="shared" si="157"/>
        <v>43587</v>
      </c>
    </row>
    <row r="1257" spans="1:49">
      <c r="A1257" s="1077" t="s">
        <v>4590</v>
      </c>
      <c r="B1257" s="1077" t="s">
        <v>4591</v>
      </c>
      <c r="C1257" s="1077">
        <v>600</v>
      </c>
      <c r="D1257" s="1077">
        <v>1.72</v>
      </c>
      <c r="E1257" s="1077" t="s">
        <v>15099</v>
      </c>
      <c r="F1257" s="1077" t="s">
        <v>984</v>
      </c>
      <c r="G1257" s="1077">
        <v>5</v>
      </c>
      <c r="H1257" s="1077" t="s">
        <v>2540</v>
      </c>
      <c r="I1257" s="1077" t="s">
        <v>126</v>
      </c>
      <c r="J1257" s="1077">
        <v>1</v>
      </c>
      <c r="K1257" s="1077" t="s">
        <v>4592</v>
      </c>
      <c r="L1257" s="1077" t="s">
        <v>4593</v>
      </c>
      <c r="M1257" s="1077">
        <v>102.5</v>
      </c>
      <c r="N1257" s="1077" t="s">
        <v>945</v>
      </c>
      <c r="O1257" s="1077">
        <v>2.5625</v>
      </c>
      <c r="P1257" s="1077">
        <v>2.0499999999999998</v>
      </c>
      <c r="Q1257" s="1077" t="s">
        <v>1297</v>
      </c>
      <c r="R1257" s="1077">
        <v>20.5</v>
      </c>
      <c r="T1257" s="1077">
        <v>20</v>
      </c>
      <c r="U1257" s="1077">
        <v>3.5</v>
      </c>
      <c r="V1257" s="1077" t="s">
        <v>648</v>
      </c>
      <c r="W1257" s="1077">
        <v>125</v>
      </c>
      <c r="X1257" s="1077">
        <v>80</v>
      </c>
      <c r="Y1257" s="1077">
        <v>1.8</v>
      </c>
      <c r="Z1257" s="1077">
        <v>4.5</v>
      </c>
      <c r="AA1257" s="1077" t="s">
        <v>4594</v>
      </c>
      <c r="AH1257" s="1077" t="s">
        <v>468</v>
      </c>
      <c r="AM1257" s="1078" t="s">
        <v>11530</v>
      </c>
      <c r="AN1257" s="1078" t="s">
        <v>11531</v>
      </c>
      <c r="AO1257" s="1078">
        <f t="shared" si="158"/>
        <v>600</v>
      </c>
      <c r="AP1257" s="1078">
        <f t="shared" si="159"/>
        <v>1.72</v>
      </c>
      <c r="AQ1257" s="1078" t="str">
        <f t="shared" si="160"/>
        <v>1-5-1S87°</v>
      </c>
      <c r="AR1257" s="1078" t="str">
        <f t="shared" si="161"/>
        <v>30</v>
      </c>
      <c r="AS1257" s="1078" t="str">
        <f t="shared" si="162"/>
        <v>300/300/OFF</v>
      </c>
      <c r="AT1257" s="1078" t="str">
        <f t="shared" si="163"/>
        <v>1-5-1S87°</v>
      </c>
      <c r="AV1257" s="1078" t="str">
        <f t="shared" si="156"/>
        <v>108.5.8</v>
      </c>
      <c r="AW1257" s="1344">
        <f t="shared" si="157"/>
        <v>43593</v>
      </c>
    </row>
    <row r="1258" spans="1:49">
      <c r="A1258" s="1077" t="s">
        <v>4595</v>
      </c>
      <c r="B1258" s="1077" t="s">
        <v>715</v>
      </c>
      <c r="C1258" s="1077">
        <v>600</v>
      </c>
      <c r="D1258" s="1077">
        <v>1.7</v>
      </c>
      <c r="E1258" s="1077" t="s">
        <v>15095</v>
      </c>
      <c r="F1258" s="1077" t="s">
        <v>1897</v>
      </c>
      <c r="G1258" s="1077" t="s">
        <v>940</v>
      </c>
      <c r="H1258" s="1077" t="s">
        <v>1649</v>
      </c>
      <c r="I1258" s="1077" t="s">
        <v>126</v>
      </c>
      <c r="J1258" s="1077">
        <v>0.9</v>
      </c>
      <c r="K1258" s="1077" t="s">
        <v>4596</v>
      </c>
      <c r="L1258" s="1077" t="s">
        <v>4548</v>
      </c>
      <c r="M1258" s="1077">
        <v>101.5</v>
      </c>
      <c r="N1258" s="1077" t="s">
        <v>945</v>
      </c>
      <c r="O1258" s="1077">
        <v>2.5375000000000001</v>
      </c>
      <c r="P1258" s="1077">
        <v>2.0300000000000002</v>
      </c>
      <c r="Q1258" s="1077">
        <v>4</v>
      </c>
      <c r="R1258" s="1077">
        <v>23</v>
      </c>
      <c r="T1258" s="1077">
        <v>12</v>
      </c>
      <c r="U1258" s="1077">
        <v>4.5</v>
      </c>
      <c r="V1258" s="1077" t="s">
        <v>648</v>
      </c>
      <c r="W1258" s="1077">
        <v>125</v>
      </c>
      <c r="X1258" s="1077">
        <v>80</v>
      </c>
      <c r="Y1258" s="1077">
        <v>1.5</v>
      </c>
      <c r="Z1258" s="1077">
        <v>4</v>
      </c>
      <c r="AA1258" s="1077" t="s">
        <v>4597</v>
      </c>
      <c r="AH1258" s="1077" t="s">
        <v>758</v>
      </c>
      <c r="AI1258" s="1077">
        <v>94.39</v>
      </c>
      <c r="AJ1258" s="1077">
        <v>-0.99</v>
      </c>
      <c r="AK1258" s="1077">
        <v>2.36</v>
      </c>
      <c r="AM1258" s="1078" t="s">
        <v>755</v>
      </c>
      <c r="AN1258" s="1078" t="s">
        <v>11532</v>
      </c>
      <c r="AO1258" s="1078">
        <f t="shared" si="158"/>
        <v>600</v>
      </c>
      <c r="AP1258" s="1078">
        <f t="shared" si="159"/>
        <v>1.7</v>
      </c>
      <c r="AQ1258" s="1078" t="str">
        <f t="shared" si="160"/>
        <v>1-5-1S83°</v>
      </c>
      <c r="AR1258" s="1078" t="str">
        <f t="shared" si="161"/>
        <v>30.8</v>
      </c>
      <c r="AS1258" s="1078" t="str">
        <f t="shared" si="162"/>
        <v>225/225/OFF</v>
      </c>
      <c r="AT1258" s="1078" t="str">
        <f t="shared" si="163"/>
        <v>1-5-1S83°</v>
      </c>
      <c r="AV1258" s="1078" t="str">
        <f t="shared" si="156"/>
        <v>114.2.17</v>
      </c>
      <c r="AW1258" s="1344">
        <f t="shared" si="157"/>
        <v>45705</v>
      </c>
    </row>
    <row r="1259" spans="1:49">
      <c r="A1259" s="1077" t="s">
        <v>4598</v>
      </c>
      <c r="B1259" s="1077" t="s">
        <v>298</v>
      </c>
      <c r="C1259" s="1077">
        <v>650</v>
      </c>
      <c r="D1259" s="1077">
        <v>1.7649999999999999</v>
      </c>
      <c r="E1259" s="1077" t="s">
        <v>15095</v>
      </c>
      <c r="F1259" s="1077" t="s">
        <v>954</v>
      </c>
      <c r="G1259" s="1077" t="s">
        <v>1767</v>
      </c>
      <c r="H1259" s="1077" t="s">
        <v>1040</v>
      </c>
      <c r="I1259" s="1077" t="s">
        <v>626</v>
      </c>
      <c r="J1259" s="1077">
        <v>2</v>
      </c>
      <c r="K1259" s="1077" t="s">
        <v>4562</v>
      </c>
      <c r="L1259" s="1077" t="s">
        <v>4487</v>
      </c>
      <c r="M1259" s="1077">
        <v>101.5</v>
      </c>
      <c r="N1259" s="1077" t="s">
        <v>945</v>
      </c>
      <c r="O1259" s="1077">
        <v>2.5375000000000001</v>
      </c>
      <c r="P1259" s="1077">
        <v>2.0300000000000002</v>
      </c>
      <c r="Q1259" s="1077">
        <v>3.5</v>
      </c>
      <c r="R1259" s="1077">
        <v>19</v>
      </c>
      <c r="T1259" s="1077">
        <v>24</v>
      </c>
      <c r="U1259" s="1077">
        <v>5.4</v>
      </c>
      <c r="V1259" s="1077" t="s">
        <v>648</v>
      </c>
      <c r="W1259" s="1077">
        <v>135</v>
      </c>
      <c r="X1259" s="1077">
        <v>10</v>
      </c>
      <c r="Y1259" s="1077">
        <v>1.3</v>
      </c>
      <c r="Z1259" s="1077">
        <v>6</v>
      </c>
      <c r="AA1259" s="1077" t="s">
        <v>4599</v>
      </c>
      <c r="AH1259" s="1077" t="s">
        <v>813</v>
      </c>
      <c r="AI1259" s="1077">
        <v>91.49</v>
      </c>
      <c r="AJ1259" s="1077">
        <v>-0.15</v>
      </c>
      <c r="AK1259" s="1077">
        <v>0.79</v>
      </c>
      <c r="AM1259" s="1078" t="s">
        <v>806</v>
      </c>
      <c r="AN1259" s="1078" t="s">
        <v>11533</v>
      </c>
      <c r="AO1259" s="1078">
        <f t="shared" si="158"/>
        <v>650</v>
      </c>
      <c r="AP1259" s="1078">
        <f t="shared" si="159"/>
        <v>1.7649999999999999</v>
      </c>
      <c r="AQ1259" s="1078" t="str">
        <f t="shared" si="160"/>
        <v>1-5-1S83°</v>
      </c>
      <c r="AR1259" s="1078" t="str">
        <f t="shared" si="161"/>
        <v>31</v>
      </c>
      <c r="AS1259" s="1078" t="str">
        <f t="shared" si="162"/>
        <v>240/240/OFF</v>
      </c>
      <c r="AT1259" s="1078" t="str">
        <f t="shared" si="163"/>
        <v>1-5-1S83°</v>
      </c>
      <c r="AV1259" s="1078" t="str">
        <f t="shared" si="156"/>
        <v>114.3.7</v>
      </c>
      <c r="AW1259" s="1344">
        <f t="shared" si="157"/>
        <v>45723</v>
      </c>
    </row>
    <row r="1260" spans="1:49">
      <c r="A1260" s="1077" t="s">
        <v>4600</v>
      </c>
      <c r="B1260" s="1077" t="s">
        <v>4052</v>
      </c>
      <c r="C1260" s="1077">
        <v>650</v>
      </c>
      <c r="D1260" s="1077">
        <v>1.76</v>
      </c>
      <c r="E1260" s="1077" t="s">
        <v>15104</v>
      </c>
      <c r="F1260" s="1077" t="s">
        <v>648</v>
      </c>
      <c r="G1260" s="1077">
        <v>4</v>
      </c>
      <c r="H1260" s="1077" t="s">
        <v>1188</v>
      </c>
      <c r="I1260" s="1077" t="s">
        <v>126</v>
      </c>
      <c r="J1260" s="1077">
        <v>1.1000000000000001</v>
      </c>
      <c r="K1260" s="1077" t="s">
        <v>4104</v>
      </c>
      <c r="L1260" s="1077" t="s">
        <v>987</v>
      </c>
      <c r="M1260" s="1077">
        <v>99</v>
      </c>
      <c r="N1260" s="1077" t="s">
        <v>945</v>
      </c>
      <c r="O1260" s="1077">
        <v>2.4750000000000001</v>
      </c>
      <c r="P1260" s="1077">
        <v>1.98</v>
      </c>
      <c r="Q1260" s="1077" t="s">
        <v>2434</v>
      </c>
      <c r="R1260" s="1077">
        <v>23</v>
      </c>
      <c r="T1260" s="1077">
        <v>16</v>
      </c>
      <c r="U1260" s="1077">
        <v>3.6</v>
      </c>
      <c r="V1260" s="1077" t="s">
        <v>648</v>
      </c>
      <c r="W1260" s="1077">
        <v>120</v>
      </c>
      <c r="X1260" s="1077">
        <v>87</v>
      </c>
      <c r="Y1260" s="1077">
        <v>2.5</v>
      </c>
      <c r="Z1260" s="1077" t="s">
        <v>648</v>
      </c>
      <c r="AA1260" s="1077" t="s">
        <v>2630</v>
      </c>
      <c r="AB1260" s="1077" t="s">
        <v>981</v>
      </c>
      <c r="AH1260" s="1077" t="s">
        <v>646</v>
      </c>
      <c r="AM1260" s="1078" t="s">
        <v>11534</v>
      </c>
      <c r="AN1260" s="1078" t="s">
        <v>11535</v>
      </c>
      <c r="AO1260" s="1078">
        <f t="shared" si="158"/>
        <v>650</v>
      </c>
      <c r="AP1260" s="1078">
        <f t="shared" si="159"/>
        <v>1.76</v>
      </c>
      <c r="AQ1260" s="1078" t="str">
        <f t="shared" si="160"/>
        <v>1-4-1S85°Z+S</v>
      </c>
      <c r="AR1260" s="1078" t="str">
        <f t="shared" si="161"/>
        <v>NA</v>
      </c>
      <c r="AS1260" s="1078" t="str">
        <f t="shared" si="162"/>
        <v>177/OFF</v>
      </c>
      <c r="AT1260" s="1078" t="str">
        <f t="shared" si="163"/>
        <v>1-4-1S85°Z+S</v>
      </c>
      <c r="AU1260" s="1078" t="s">
        <v>15547</v>
      </c>
      <c r="AV1260" s="1078" t="str">
        <f t="shared" si="156"/>
        <v>108.5.10</v>
      </c>
      <c r="AW1260" s="1344">
        <f t="shared" si="157"/>
        <v>43595</v>
      </c>
    </row>
    <row r="1261" spans="1:49">
      <c r="A1261" s="1077" t="s">
        <v>4601</v>
      </c>
      <c r="B1261" s="1077" t="s">
        <v>298</v>
      </c>
      <c r="C1261" s="1077">
        <v>800</v>
      </c>
      <c r="D1261" s="1077">
        <v>1.76</v>
      </c>
      <c r="E1261" s="1077" t="s">
        <v>15089</v>
      </c>
      <c r="F1261" s="1077" t="s">
        <v>4013</v>
      </c>
      <c r="G1261" s="1077" t="s">
        <v>1767</v>
      </c>
      <c r="H1261" s="1077" t="s">
        <v>4021</v>
      </c>
      <c r="I1261" s="1077" t="s">
        <v>648</v>
      </c>
      <c r="J1261" s="1077">
        <v>0</v>
      </c>
      <c r="K1261" s="1077" t="s">
        <v>4024</v>
      </c>
      <c r="L1261" s="1077" t="s">
        <v>4016</v>
      </c>
      <c r="M1261" s="1077">
        <v>103</v>
      </c>
      <c r="N1261" s="1077" t="s">
        <v>945</v>
      </c>
      <c r="O1261" s="1077">
        <v>2.5750000000000002</v>
      </c>
      <c r="P1261" s="1077">
        <v>2.06</v>
      </c>
      <c r="Q1261" s="1077" t="s">
        <v>956</v>
      </c>
      <c r="R1261" s="1077">
        <v>23.5</v>
      </c>
      <c r="T1261" s="1077">
        <v>18.5</v>
      </c>
      <c r="U1261" s="1077">
        <v>2.1</v>
      </c>
      <c r="V1261" s="1077" t="s">
        <v>648</v>
      </c>
      <c r="W1261" s="1077" t="s">
        <v>648</v>
      </c>
      <c r="X1261" s="1077" t="s">
        <v>648</v>
      </c>
      <c r="Y1261" s="1077">
        <v>1.3</v>
      </c>
      <c r="Z1261" s="1077">
        <v>4</v>
      </c>
      <c r="AA1261" s="1077" t="s">
        <v>1056</v>
      </c>
      <c r="AH1261" s="1077" t="s">
        <v>680</v>
      </c>
      <c r="AM1261" s="1078" t="s">
        <v>11536</v>
      </c>
      <c r="AN1261" s="1078" t="s">
        <v>11537</v>
      </c>
      <c r="AO1261" s="1078">
        <f t="shared" si="158"/>
        <v>800</v>
      </c>
      <c r="AP1261" s="1078">
        <f t="shared" si="159"/>
        <v>1.76</v>
      </c>
      <c r="AQ1261" s="1078" t="str">
        <f t="shared" si="160"/>
        <v>1-4-1S83°</v>
      </c>
      <c r="AR1261" s="1078" t="str">
        <f t="shared" si="161"/>
        <v>30.3</v>
      </c>
      <c r="AS1261" s="1078" t="str">
        <f t="shared" si="162"/>
        <v>343/293/157</v>
      </c>
      <c r="AT1261" s="1078" t="str">
        <f t="shared" si="163"/>
        <v>1-4-1S83°</v>
      </c>
      <c r="AV1261" s="1078" t="str">
        <f t="shared" si="156"/>
        <v>108.5.21</v>
      </c>
      <c r="AW1261" s="1344">
        <f t="shared" si="157"/>
        <v>43606</v>
      </c>
    </row>
    <row r="1262" spans="1:49">
      <c r="A1262" s="1077" t="s">
        <v>4602</v>
      </c>
      <c r="B1262" s="1077" t="s">
        <v>4052</v>
      </c>
      <c r="C1262" s="1077">
        <v>650</v>
      </c>
      <c r="D1262" s="1077">
        <v>1.76</v>
      </c>
      <c r="E1262" s="1077" t="s">
        <v>15104</v>
      </c>
      <c r="F1262" s="1077" t="s">
        <v>648</v>
      </c>
      <c r="G1262" s="1077">
        <v>4</v>
      </c>
      <c r="H1262" s="1077" t="s">
        <v>1188</v>
      </c>
      <c r="I1262" s="1077" t="s">
        <v>126</v>
      </c>
      <c r="J1262" s="1077">
        <v>1.1000000000000001</v>
      </c>
      <c r="K1262" s="1077" t="s">
        <v>4278</v>
      </c>
      <c r="L1262" s="1077" t="s">
        <v>987</v>
      </c>
      <c r="M1262" s="1077">
        <v>99</v>
      </c>
      <c r="N1262" s="1077" t="s">
        <v>945</v>
      </c>
      <c r="O1262" s="1077">
        <v>2.4750000000000001</v>
      </c>
      <c r="P1262" s="1077">
        <v>1.98</v>
      </c>
      <c r="Q1262" s="1077" t="s">
        <v>2434</v>
      </c>
      <c r="R1262" s="1077">
        <v>23</v>
      </c>
      <c r="T1262" s="1077">
        <v>16</v>
      </c>
      <c r="U1262" s="1077">
        <v>3.6</v>
      </c>
      <c r="V1262" s="1077" t="s">
        <v>648</v>
      </c>
      <c r="W1262" s="1077">
        <v>120</v>
      </c>
      <c r="X1262" s="1077">
        <v>87</v>
      </c>
      <c r="Y1262" s="1077">
        <v>2.5</v>
      </c>
      <c r="Z1262" s="1077" t="s">
        <v>648</v>
      </c>
      <c r="AA1262" s="1077" t="s">
        <v>2624</v>
      </c>
      <c r="AB1262" s="1077" t="s">
        <v>981</v>
      </c>
      <c r="AH1262" s="1077" t="s">
        <v>712</v>
      </c>
      <c r="AM1262" s="1078" t="s">
        <v>11538</v>
      </c>
      <c r="AN1262" s="1078" t="s">
        <v>11539</v>
      </c>
      <c r="AO1262" s="1078">
        <f t="shared" si="158"/>
        <v>650</v>
      </c>
      <c r="AP1262" s="1078">
        <f t="shared" si="159"/>
        <v>1.76</v>
      </c>
      <c r="AQ1262" s="1078" t="str">
        <f t="shared" si="160"/>
        <v>1-4-1S85°Z+S</v>
      </c>
      <c r="AR1262" s="1078" t="str">
        <f t="shared" si="161"/>
        <v>NA</v>
      </c>
      <c r="AS1262" s="1078" t="str">
        <f t="shared" si="162"/>
        <v>177/OFF</v>
      </c>
      <c r="AT1262" s="1078" t="str">
        <f t="shared" si="163"/>
        <v>1-4-1S85°Z+S</v>
      </c>
      <c r="AU1262" s="1078" t="s">
        <v>15547</v>
      </c>
      <c r="AV1262" s="1078" t="str">
        <f t="shared" si="156"/>
        <v>108.5.27</v>
      </c>
      <c r="AW1262" s="1344">
        <f t="shared" si="157"/>
        <v>43612</v>
      </c>
    </row>
    <row r="1263" spans="1:49">
      <c r="A1263" s="1077" t="s">
        <v>4603</v>
      </c>
      <c r="B1263" s="1077" t="s">
        <v>298</v>
      </c>
      <c r="C1263" s="1077">
        <v>800</v>
      </c>
      <c r="D1263" s="1077">
        <v>1.76</v>
      </c>
      <c r="E1263" s="1077" t="s">
        <v>15089</v>
      </c>
      <c r="F1263" s="1077" t="s">
        <v>4013</v>
      </c>
      <c r="G1263" s="1077" t="s">
        <v>1767</v>
      </c>
      <c r="H1263" s="1077" t="s">
        <v>4021</v>
      </c>
      <c r="I1263" s="1077" t="s">
        <v>648</v>
      </c>
      <c r="J1263" s="1077">
        <v>0</v>
      </c>
      <c r="K1263" s="1077" t="s">
        <v>4604</v>
      </c>
      <c r="L1263" s="1077" t="s">
        <v>4016</v>
      </c>
      <c r="M1263" s="1077">
        <v>103</v>
      </c>
      <c r="N1263" s="1077" t="s">
        <v>945</v>
      </c>
      <c r="O1263" s="1077">
        <v>2.5750000000000002</v>
      </c>
      <c r="P1263" s="1077">
        <v>2.06</v>
      </c>
      <c r="Q1263" s="1077" t="s">
        <v>946</v>
      </c>
      <c r="R1263" s="1077">
        <v>23.5</v>
      </c>
      <c r="T1263" s="1077">
        <v>18.5</v>
      </c>
      <c r="U1263" s="1077">
        <v>2.1</v>
      </c>
      <c r="V1263" s="1077" t="s">
        <v>648</v>
      </c>
      <c r="W1263" s="1077" t="s">
        <v>648</v>
      </c>
      <c r="X1263" s="1077" t="s">
        <v>648</v>
      </c>
      <c r="Y1263" s="1077">
        <v>1.3</v>
      </c>
      <c r="Z1263" s="1077" t="s">
        <v>2824</v>
      </c>
      <c r="AA1263" s="1077" t="s">
        <v>4605</v>
      </c>
      <c r="AH1263" s="1077" t="s">
        <v>1796</v>
      </c>
      <c r="AM1263" s="1078" t="s">
        <v>11540</v>
      </c>
      <c r="AN1263" s="1078" t="s">
        <v>11541</v>
      </c>
      <c r="AO1263" s="1078">
        <f t="shared" si="158"/>
        <v>800</v>
      </c>
      <c r="AP1263" s="1078">
        <f t="shared" si="159"/>
        <v>1.76</v>
      </c>
      <c r="AQ1263" s="1078" t="str">
        <f t="shared" si="160"/>
        <v>1-4-1S83°</v>
      </c>
      <c r="AR1263" s="1078" t="str">
        <f t="shared" si="161"/>
        <v>30.3</v>
      </c>
      <c r="AS1263" s="1078" t="str">
        <f t="shared" si="162"/>
        <v>343/293/157</v>
      </c>
      <c r="AT1263" s="1078" t="str">
        <f t="shared" si="163"/>
        <v>1-4-1S83°</v>
      </c>
      <c r="AV1263" s="1078" t="str">
        <f t="shared" si="156"/>
        <v>108.6.8</v>
      </c>
      <c r="AW1263" s="1344">
        <f t="shared" si="157"/>
        <v>43624</v>
      </c>
    </row>
    <row r="1264" spans="1:49">
      <c r="A1264" s="1077" t="s">
        <v>4606</v>
      </c>
      <c r="B1264" s="1077" t="s">
        <v>4052</v>
      </c>
      <c r="C1264" s="1077">
        <v>550</v>
      </c>
      <c r="D1264" s="1077">
        <v>1.76</v>
      </c>
      <c r="E1264" s="1077" t="s">
        <v>15109</v>
      </c>
      <c r="F1264" s="1077" t="s">
        <v>648</v>
      </c>
      <c r="G1264" s="1077">
        <v>4</v>
      </c>
      <c r="H1264" s="1077" t="s">
        <v>1671</v>
      </c>
      <c r="I1264" s="1077" t="s">
        <v>126</v>
      </c>
      <c r="J1264" s="1077">
        <v>0.9</v>
      </c>
      <c r="K1264" s="1077" t="s">
        <v>4607</v>
      </c>
      <c r="L1264" s="1077" t="s">
        <v>987</v>
      </c>
      <c r="M1264" s="1077">
        <v>99</v>
      </c>
      <c r="N1264" s="1077" t="s">
        <v>945</v>
      </c>
      <c r="O1264" s="1077">
        <v>2.4750000000000001</v>
      </c>
      <c r="P1264" s="1077">
        <v>1.98</v>
      </c>
      <c r="Q1264" s="1077" t="s">
        <v>2434</v>
      </c>
      <c r="R1264" s="1077">
        <v>23</v>
      </c>
      <c r="T1264" s="1077">
        <v>16</v>
      </c>
      <c r="U1264" s="1077">
        <v>3.6</v>
      </c>
      <c r="V1264" s="1077" t="s">
        <v>648</v>
      </c>
      <c r="W1264" s="1077">
        <v>120</v>
      </c>
      <c r="X1264" s="1077">
        <v>87</v>
      </c>
      <c r="Y1264" s="1077">
        <v>2.5</v>
      </c>
      <c r="Z1264" s="1077" t="s">
        <v>648</v>
      </c>
      <c r="AA1264" s="1077" t="s">
        <v>1106</v>
      </c>
      <c r="AB1264" s="1077" t="s">
        <v>981</v>
      </c>
      <c r="AH1264" s="1077" t="s">
        <v>647</v>
      </c>
      <c r="AM1264" s="1078" t="s">
        <v>11542</v>
      </c>
      <c r="AN1264" s="1078" t="s">
        <v>11543</v>
      </c>
      <c r="AO1264" s="1078">
        <f t="shared" si="158"/>
        <v>550</v>
      </c>
      <c r="AP1264" s="1078">
        <f t="shared" si="159"/>
        <v>1.76</v>
      </c>
      <c r="AQ1264" s="1078" t="str">
        <f t="shared" si="160"/>
        <v>1-5-1S85°Z+S</v>
      </c>
      <c r="AR1264" s="1078" t="str">
        <f t="shared" si="161"/>
        <v>NA</v>
      </c>
      <c r="AS1264" s="1078" t="str">
        <f t="shared" si="162"/>
        <v>172/OFF</v>
      </c>
      <c r="AT1264" s="1078" t="str">
        <f t="shared" si="163"/>
        <v>1-5-1S85°Z+S</v>
      </c>
      <c r="AU1264" s="1078" t="s">
        <v>15547</v>
      </c>
      <c r="AV1264" s="1078" t="str">
        <f t="shared" si="156"/>
        <v>108.6.14</v>
      </c>
      <c r="AW1264" s="1344">
        <f t="shared" si="157"/>
        <v>43630</v>
      </c>
    </row>
    <row r="1265" spans="1:49">
      <c r="A1265" s="1077" t="s">
        <v>4608</v>
      </c>
      <c r="B1265" s="1077" t="s">
        <v>4350</v>
      </c>
      <c r="C1265" s="1077">
        <v>600</v>
      </c>
      <c r="D1265" s="1077">
        <v>1.68</v>
      </c>
      <c r="E1265" s="1077" t="s">
        <v>15104</v>
      </c>
      <c r="F1265" s="1077" t="s">
        <v>648</v>
      </c>
      <c r="G1265" s="1077">
        <v>4</v>
      </c>
      <c r="H1265" s="1077" t="s">
        <v>1072</v>
      </c>
      <c r="I1265" s="1077" t="s">
        <v>126</v>
      </c>
      <c r="J1265" s="1077">
        <v>0.8</v>
      </c>
      <c r="K1265" s="1077" t="s">
        <v>4609</v>
      </c>
      <c r="L1265" s="1077" t="s">
        <v>944</v>
      </c>
      <c r="M1265" s="1077">
        <v>102</v>
      </c>
      <c r="N1265" s="1077" t="s">
        <v>945</v>
      </c>
      <c r="O1265" s="1077">
        <v>2.5500000000000003</v>
      </c>
      <c r="P1265" s="1077">
        <v>2.04</v>
      </c>
      <c r="Q1265" s="1077" t="s">
        <v>4589</v>
      </c>
      <c r="R1265" s="1077">
        <v>21.5</v>
      </c>
      <c r="T1265" s="1077">
        <v>15.8</v>
      </c>
      <c r="U1265" s="1077">
        <v>4.0999999999999996</v>
      </c>
      <c r="V1265" s="1077" t="s">
        <v>648</v>
      </c>
      <c r="W1265" s="1077">
        <v>125</v>
      </c>
      <c r="X1265" s="1077">
        <v>80</v>
      </c>
      <c r="Y1265" s="1077">
        <v>2.8</v>
      </c>
      <c r="Z1265" s="1077" t="s">
        <v>648</v>
      </c>
      <c r="AA1265" s="1077" t="s">
        <v>2672</v>
      </c>
      <c r="AH1265" s="1077" t="s">
        <v>948</v>
      </c>
      <c r="AM1265" s="1078" t="s">
        <v>11544</v>
      </c>
      <c r="AN1265" s="1078" t="s">
        <v>11545</v>
      </c>
      <c r="AO1265" s="1078">
        <f t="shared" si="158"/>
        <v>600</v>
      </c>
      <c r="AP1265" s="1078">
        <f t="shared" si="159"/>
        <v>1.68</v>
      </c>
      <c r="AQ1265" s="1078" t="str">
        <f t="shared" si="160"/>
        <v>1-4-1S85°Z+S</v>
      </c>
      <c r="AR1265" s="1078" t="str">
        <f t="shared" si="161"/>
        <v>NA</v>
      </c>
      <c r="AS1265" s="1078" t="str">
        <f t="shared" si="162"/>
        <v>168/OFF</v>
      </c>
      <c r="AT1265" s="1078" t="str">
        <f t="shared" si="163"/>
        <v>1-4-1S85°Z+S</v>
      </c>
      <c r="AU1265" s="1078" t="s">
        <v>15547</v>
      </c>
      <c r="AV1265" s="1078" t="str">
        <f t="shared" si="156"/>
        <v>108.6.24</v>
      </c>
      <c r="AW1265" s="1344">
        <f t="shared" si="157"/>
        <v>43640</v>
      </c>
    </row>
    <row r="1266" spans="1:49">
      <c r="A1266" s="1077" t="s">
        <v>4610</v>
      </c>
      <c r="B1266" s="1077" t="s">
        <v>4062</v>
      </c>
      <c r="C1266" s="1077">
        <v>550</v>
      </c>
      <c r="D1266" s="1077">
        <v>1.69</v>
      </c>
      <c r="E1266" s="1077" t="s">
        <v>15095</v>
      </c>
      <c r="F1266" s="1077" t="s">
        <v>1897</v>
      </c>
      <c r="G1266" s="1077">
        <v>5</v>
      </c>
      <c r="H1266" s="1077" t="s">
        <v>1274</v>
      </c>
      <c r="I1266" s="1077" t="s">
        <v>126</v>
      </c>
      <c r="J1266" s="1077">
        <v>1</v>
      </c>
      <c r="K1266" s="1077" t="s">
        <v>4611</v>
      </c>
      <c r="L1266" s="1077" t="s">
        <v>4064</v>
      </c>
      <c r="M1266" s="1077">
        <v>103.3</v>
      </c>
      <c r="N1266" s="1077" t="s">
        <v>945</v>
      </c>
      <c r="O1266" s="1077">
        <v>2.5825</v>
      </c>
      <c r="P1266" s="1077">
        <v>2.0659999999999998</v>
      </c>
      <c r="Q1266" s="1077" t="s">
        <v>988</v>
      </c>
      <c r="R1266" s="1077">
        <v>25</v>
      </c>
      <c r="T1266" s="1077">
        <v>11.1</v>
      </c>
      <c r="U1266" s="1077">
        <v>5.2</v>
      </c>
      <c r="V1266" s="1077" t="s">
        <v>648</v>
      </c>
      <c r="W1266" s="1077">
        <v>125</v>
      </c>
      <c r="X1266" s="1077">
        <v>80</v>
      </c>
      <c r="Y1266" s="1077">
        <v>1.5</v>
      </c>
      <c r="Z1266" s="1077">
        <v>4</v>
      </c>
      <c r="AA1266" s="1077" t="s">
        <v>4612</v>
      </c>
      <c r="AH1266" s="1077" t="s">
        <v>618</v>
      </c>
      <c r="AM1266" s="1078" t="s">
        <v>11546</v>
      </c>
      <c r="AN1266" s="1078" t="s">
        <v>11547</v>
      </c>
      <c r="AO1266" s="1078">
        <f t="shared" si="158"/>
        <v>550</v>
      </c>
      <c r="AP1266" s="1078">
        <f t="shared" si="159"/>
        <v>1.69</v>
      </c>
      <c r="AQ1266" s="1078" t="str">
        <f t="shared" si="160"/>
        <v>1-5-1S83°</v>
      </c>
      <c r="AR1266" s="1078" t="str">
        <f t="shared" si="161"/>
        <v>30.8</v>
      </c>
      <c r="AS1266" s="1078" t="str">
        <f t="shared" si="162"/>
        <v>210/210/OFF</v>
      </c>
      <c r="AT1266" s="1078" t="str">
        <f t="shared" si="163"/>
        <v>1-5-1S83°</v>
      </c>
      <c r="AV1266" s="1078" t="str">
        <f t="shared" si="156"/>
        <v>108.7.2</v>
      </c>
      <c r="AW1266" s="1344">
        <f t="shared" si="157"/>
        <v>43648</v>
      </c>
    </row>
    <row r="1267" spans="1:49">
      <c r="A1267" s="1077" t="s">
        <v>4613</v>
      </c>
      <c r="B1267" s="1077" t="s">
        <v>4052</v>
      </c>
      <c r="C1267" s="1077">
        <v>650</v>
      </c>
      <c r="D1267" s="1077">
        <v>1.76</v>
      </c>
      <c r="E1267" s="1077" t="s">
        <v>15104</v>
      </c>
      <c r="F1267" s="1077" t="s">
        <v>648</v>
      </c>
      <c r="G1267" s="1077">
        <v>4</v>
      </c>
      <c r="H1267" s="1077" t="s">
        <v>1188</v>
      </c>
      <c r="I1267" s="1077" t="s">
        <v>126</v>
      </c>
      <c r="J1267" s="1077">
        <v>1.1000000000000001</v>
      </c>
      <c r="K1267" s="1077" t="s">
        <v>4260</v>
      </c>
      <c r="L1267" s="1077" t="s">
        <v>987</v>
      </c>
      <c r="M1267" s="1077">
        <v>99</v>
      </c>
      <c r="N1267" s="1077" t="s">
        <v>945</v>
      </c>
      <c r="O1267" s="1077">
        <v>2.4750000000000001</v>
      </c>
      <c r="P1267" s="1077">
        <v>1.98</v>
      </c>
      <c r="Q1267" s="1077" t="s">
        <v>2434</v>
      </c>
      <c r="R1267" s="1077">
        <v>23</v>
      </c>
      <c r="T1267" s="1077">
        <v>16</v>
      </c>
      <c r="U1267" s="1077">
        <v>3.6</v>
      </c>
      <c r="V1267" s="1077" t="s">
        <v>648</v>
      </c>
      <c r="W1267" s="1077">
        <v>120</v>
      </c>
      <c r="X1267" s="1077" t="s">
        <v>4054</v>
      </c>
      <c r="Y1267" s="1077">
        <v>2.5</v>
      </c>
      <c r="Z1267" s="1077" t="s">
        <v>648</v>
      </c>
      <c r="AA1267" s="1077" t="s">
        <v>1127</v>
      </c>
      <c r="AB1267" s="1077" t="s">
        <v>981</v>
      </c>
      <c r="AH1267" s="1077" t="s">
        <v>1178</v>
      </c>
      <c r="AM1267" s="1078" t="s">
        <v>11548</v>
      </c>
      <c r="AN1267" s="1078" t="s">
        <v>11549</v>
      </c>
      <c r="AO1267" s="1078">
        <f t="shared" si="158"/>
        <v>650</v>
      </c>
      <c r="AP1267" s="1078">
        <f t="shared" si="159"/>
        <v>1.76</v>
      </c>
      <c r="AQ1267" s="1078" t="str">
        <f t="shared" si="160"/>
        <v>1-4-1S85°Z+S</v>
      </c>
      <c r="AR1267" s="1078" t="str">
        <f t="shared" si="161"/>
        <v>NA</v>
      </c>
      <c r="AS1267" s="1078" t="str">
        <f t="shared" si="162"/>
        <v>177/OFF</v>
      </c>
      <c r="AT1267" s="1078" t="str">
        <f t="shared" si="163"/>
        <v>1-4-1S85°Z+S</v>
      </c>
      <c r="AU1267" s="1078" t="s">
        <v>15547</v>
      </c>
      <c r="AV1267" s="1078" t="str">
        <f t="shared" si="156"/>
        <v>108.7.8</v>
      </c>
      <c r="AW1267" s="1344">
        <f t="shared" si="157"/>
        <v>43654</v>
      </c>
    </row>
    <row r="1268" spans="1:49">
      <c r="A1268" s="1077" t="s">
        <v>4614</v>
      </c>
      <c r="B1268" s="1077" t="s">
        <v>298</v>
      </c>
      <c r="C1268" s="1077">
        <v>800</v>
      </c>
      <c r="D1268" s="1077">
        <v>1.76</v>
      </c>
      <c r="E1268" s="1077" t="s">
        <v>15089</v>
      </c>
      <c r="F1268" s="1077" t="s">
        <v>4013</v>
      </c>
      <c r="G1268" s="1077" t="s">
        <v>1767</v>
      </c>
      <c r="H1268" s="1077" t="s">
        <v>4615</v>
      </c>
      <c r="I1268" s="1077" t="s">
        <v>648</v>
      </c>
      <c r="J1268" s="1077">
        <v>0</v>
      </c>
      <c r="K1268" s="1077" t="s">
        <v>4604</v>
      </c>
      <c r="L1268" s="1077" t="s">
        <v>4016</v>
      </c>
      <c r="M1268" s="1077">
        <v>103</v>
      </c>
      <c r="N1268" s="1077" t="s">
        <v>945</v>
      </c>
      <c r="O1268" s="1077">
        <v>2.5750000000000002</v>
      </c>
      <c r="P1268" s="1077">
        <v>2.06</v>
      </c>
      <c r="Q1268" s="1077" t="s">
        <v>946</v>
      </c>
      <c r="R1268" s="1077">
        <v>23.5</v>
      </c>
      <c r="T1268" s="1077">
        <v>18.5</v>
      </c>
      <c r="U1268" s="1077">
        <v>2.1</v>
      </c>
      <c r="V1268" s="1077" t="s">
        <v>648</v>
      </c>
      <c r="W1268" s="1077" t="s">
        <v>648</v>
      </c>
      <c r="X1268" s="1077" t="s">
        <v>648</v>
      </c>
      <c r="Y1268" s="1077">
        <v>1.3</v>
      </c>
      <c r="Z1268" s="1077" t="s">
        <v>2824</v>
      </c>
      <c r="AA1268" s="1077" t="s">
        <v>4616</v>
      </c>
      <c r="AH1268" s="1077" t="s">
        <v>1448</v>
      </c>
      <c r="AM1268" s="1078" t="s">
        <v>11550</v>
      </c>
      <c r="AN1268" s="1078" t="s">
        <v>11551</v>
      </c>
      <c r="AO1268" s="1078">
        <f t="shared" si="158"/>
        <v>800</v>
      </c>
      <c r="AP1268" s="1078">
        <f t="shared" si="159"/>
        <v>1.76</v>
      </c>
      <c r="AQ1268" s="1078" t="str">
        <f t="shared" si="160"/>
        <v>1-4-1S83°</v>
      </c>
      <c r="AR1268" s="1078" t="str">
        <f t="shared" si="161"/>
        <v>30.3</v>
      </c>
      <c r="AS1268" s="1078" t="str">
        <f t="shared" si="162"/>
        <v>340/290/157</v>
      </c>
      <c r="AT1268" s="1078" t="str">
        <f t="shared" si="163"/>
        <v>1-4-1S83°</v>
      </c>
      <c r="AV1268" s="1078" t="str">
        <f t="shared" si="156"/>
        <v>108.7.11</v>
      </c>
      <c r="AW1268" s="1344">
        <f t="shared" si="157"/>
        <v>43657</v>
      </c>
    </row>
    <row r="1269" spans="1:49">
      <c r="A1269" s="1077" t="s">
        <v>4617</v>
      </c>
      <c r="B1269" s="1077" t="s">
        <v>298</v>
      </c>
      <c r="C1269" s="1077">
        <v>700</v>
      </c>
      <c r="D1269" s="1077">
        <v>1.73</v>
      </c>
      <c r="E1269" s="1077" t="s">
        <v>15089</v>
      </c>
      <c r="F1269" s="1077" t="s">
        <v>954</v>
      </c>
      <c r="G1269" s="1077" t="s">
        <v>1767</v>
      </c>
      <c r="H1269" s="1077" t="s">
        <v>4035</v>
      </c>
      <c r="I1269" s="1077" t="s">
        <v>126</v>
      </c>
      <c r="J1269" s="1077">
        <v>1.8</v>
      </c>
      <c r="K1269" s="1077" t="s">
        <v>4028</v>
      </c>
      <c r="L1269" s="1077" t="s">
        <v>4029</v>
      </c>
      <c r="M1269" s="1077">
        <v>103.2</v>
      </c>
      <c r="N1269" s="1077" t="s">
        <v>945</v>
      </c>
      <c r="O1269" s="1077">
        <v>2.58</v>
      </c>
      <c r="P1269" s="1077">
        <v>2.0640000000000001</v>
      </c>
      <c r="Q1269" s="1077" t="s">
        <v>946</v>
      </c>
      <c r="R1269" s="1077">
        <v>19.5</v>
      </c>
      <c r="T1269" s="1077">
        <v>27.3</v>
      </c>
      <c r="U1269" s="1077">
        <v>4</v>
      </c>
      <c r="V1269" s="1077" t="s">
        <v>648</v>
      </c>
      <c r="W1269" s="1077">
        <v>120</v>
      </c>
      <c r="X1269" s="1077">
        <v>60</v>
      </c>
      <c r="Y1269" s="1077">
        <v>1.7</v>
      </c>
      <c r="Z1269" s="1077">
        <v>6</v>
      </c>
      <c r="AA1269" s="1077" t="s">
        <v>965</v>
      </c>
      <c r="AB1269" s="1077" t="s">
        <v>981</v>
      </c>
      <c r="AH1269" s="1077" t="s">
        <v>724</v>
      </c>
      <c r="AM1269" s="1078" t="s">
        <v>11552</v>
      </c>
      <c r="AN1269" s="1078" t="s">
        <v>11553</v>
      </c>
      <c r="AO1269" s="1078">
        <f t="shared" si="158"/>
        <v>700</v>
      </c>
      <c r="AP1269" s="1078">
        <f t="shared" si="159"/>
        <v>1.73</v>
      </c>
      <c r="AQ1269" s="1078" t="str">
        <f t="shared" si="160"/>
        <v>1-4-1S83°</v>
      </c>
      <c r="AR1269" s="1078" t="str">
        <f t="shared" si="161"/>
        <v>31</v>
      </c>
      <c r="AS1269" s="1078" t="str">
        <f t="shared" si="162"/>
        <v>320/270/OFF</v>
      </c>
      <c r="AT1269" s="1078" t="str">
        <f t="shared" si="163"/>
        <v>1-4-1S83°</v>
      </c>
      <c r="AV1269" s="1078" t="str">
        <f t="shared" si="156"/>
        <v>109.6.29</v>
      </c>
      <c r="AW1269" s="1344">
        <f t="shared" si="157"/>
        <v>44011</v>
      </c>
    </row>
    <row r="1270" spans="1:49">
      <c r="A1270" s="1077" t="s">
        <v>4618</v>
      </c>
      <c r="B1270" s="1077" t="s">
        <v>298</v>
      </c>
      <c r="C1270" s="1077">
        <v>600</v>
      </c>
      <c r="D1270" s="1077">
        <v>1.74</v>
      </c>
      <c r="E1270" s="1077" t="s">
        <v>15102</v>
      </c>
      <c r="F1270" s="1077" t="s">
        <v>1469</v>
      </c>
      <c r="G1270" s="1077" t="s">
        <v>1767</v>
      </c>
      <c r="H1270" s="1077" t="s">
        <v>4399</v>
      </c>
      <c r="I1270" s="1077" t="s">
        <v>648</v>
      </c>
      <c r="J1270" s="1077">
        <v>0</v>
      </c>
      <c r="K1270" s="1077" t="s">
        <v>4028</v>
      </c>
      <c r="L1270" s="1077" t="s">
        <v>4029</v>
      </c>
      <c r="M1270" s="1077">
        <v>103</v>
      </c>
      <c r="N1270" s="1077" t="s">
        <v>945</v>
      </c>
      <c r="O1270" s="1077">
        <v>2.5750000000000002</v>
      </c>
      <c r="P1270" s="1077">
        <v>2.06</v>
      </c>
      <c r="Q1270" s="1077" t="s">
        <v>946</v>
      </c>
      <c r="R1270" s="1077">
        <v>23.5</v>
      </c>
      <c r="T1270" s="1077">
        <v>18.5</v>
      </c>
      <c r="U1270" s="1077">
        <v>2.1</v>
      </c>
      <c r="V1270" s="1077" t="s">
        <v>648</v>
      </c>
      <c r="W1270" s="1077" t="s">
        <v>648</v>
      </c>
      <c r="X1270" s="1077" t="s">
        <v>648</v>
      </c>
      <c r="Y1270" s="1077">
        <v>1.3</v>
      </c>
      <c r="Z1270" s="1077" t="s">
        <v>2824</v>
      </c>
      <c r="AA1270" s="1077" t="s">
        <v>2423</v>
      </c>
      <c r="AB1270" s="1077" t="s">
        <v>4165</v>
      </c>
      <c r="AH1270" s="1077" t="s">
        <v>726</v>
      </c>
      <c r="AM1270" s="1078" t="s">
        <v>11554</v>
      </c>
      <c r="AN1270" s="1078" t="s">
        <v>11555</v>
      </c>
      <c r="AO1270" s="1078">
        <f t="shared" si="158"/>
        <v>600</v>
      </c>
      <c r="AP1270" s="1078">
        <f t="shared" si="159"/>
        <v>1.74</v>
      </c>
      <c r="AQ1270" s="1078" t="str">
        <f t="shared" si="160"/>
        <v>2-6-1S83°</v>
      </c>
      <c r="AR1270" s="1078" t="str">
        <f t="shared" si="161"/>
        <v>30.5</v>
      </c>
      <c r="AS1270" s="1078" t="str">
        <f t="shared" si="162"/>
        <v>180/175</v>
      </c>
      <c r="AT1270" s="1078" t="str">
        <f t="shared" si="163"/>
        <v>2-6-1S83°</v>
      </c>
      <c r="AV1270" s="1078" t="str">
        <f t="shared" si="156"/>
        <v>109.7.29</v>
      </c>
      <c r="AW1270" s="1344">
        <f t="shared" si="157"/>
        <v>44041</v>
      </c>
    </row>
    <row r="1271" spans="1:49">
      <c r="A1271" s="1077" t="s">
        <v>4619</v>
      </c>
      <c r="B1271" s="1077" t="s">
        <v>298</v>
      </c>
      <c r="C1271" s="1077">
        <v>600</v>
      </c>
      <c r="D1271" s="1077">
        <v>1.74</v>
      </c>
      <c r="E1271" s="1077" t="s">
        <v>15102</v>
      </c>
      <c r="F1271" s="1077" t="s">
        <v>975</v>
      </c>
      <c r="G1271" s="1077" t="s">
        <v>1767</v>
      </c>
      <c r="H1271" s="1077" t="s">
        <v>4163</v>
      </c>
      <c r="I1271" s="1077" t="s">
        <v>648</v>
      </c>
      <c r="J1271" s="1077">
        <v>0</v>
      </c>
      <c r="K1271" s="1077" t="s">
        <v>4028</v>
      </c>
      <c r="L1271" s="1077" t="s">
        <v>4029</v>
      </c>
      <c r="M1271" s="1077">
        <v>103</v>
      </c>
      <c r="N1271" s="1077" t="s">
        <v>945</v>
      </c>
      <c r="O1271" s="1077">
        <v>2.5750000000000002</v>
      </c>
      <c r="P1271" s="1077">
        <v>2.06</v>
      </c>
      <c r="Q1271" s="1077" t="s">
        <v>956</v>
      </c>
      <c r="R1271" s="1077">
        <v>23.5</v>
      </c>
      <c r="T1271" s="1077">
        <v>18.5</v>
      </c>
      <c r="U1271" s="1077">
        <v>2.1</v>
      </c>
      <c r="V1271" s="1077" t="s">
        <v>648</v>
      </c>
      <c r="W1271" s="1077" t="s">
        <v>648</v>
      </c>
      <c r="X1271" s="1077" t="s">
        <v>648</v>
      </c>
      <c r="Y1271" s="1077">
        <v>1.3</v>
      </c>
      <c r="Z1271" s="1077" t="s">
        <v>1195</v>
      </c>
      <c r="AA1271" s="1077" t="s">
        <v>4620</v>
      </c>
      <c r="AB1271" s="1077" t="s">
        <v>4165</v>
      </c>
      <c r="AH1271" s="1077" t="s">
        <v>2836</v>
      </c>
      <c r="AM1271" s="1078" t="s">
        <v>11556</v>
      </c>
      <c r="AN1271" s="1078" t="s">
        <v>11557</v>
      </c>
      <c r="AO1271" s="1078">
        <f t="shared" si="158"/>
        <v>600</v>
      </c>
      <c r="AP1271" s="1078">
        <f t="shared" si="159"/>
        <v>1.74</v>
      </c>
      <c r="AQ1271" s="1078" t="str">
        <f t="shared" si="160"/>
        <v>2-6-1S83°</v>
      </c>
      <c r="AR1271" s="1078" t="str">
        <f t="shared" si="161"/>
        <v>31.5</v>
      </c>
      <c r="AS1271" s="1078" t="str">
        <f t="shared" si="162"/>
        <v>178/175</v>
      </c>
      <c r="AT1271" s="1078" t="str">
        <f t="shared" si="163"/>
        <v>2-6-1S83°</v>
      </c>
      <c r="AV1271" s="1078" t="str">
        <f t="shared" si="156"/>
        <v>109.9.3</v>
      </c>
      <c r="AW1271" s="1344">
        <f t="shared" si="157"/>
        <v>44077</v>
      </c>
    </row>
    <row r="1272" spans="1:49">
      <c r="A1272" s="1077" t="s">
        <v>4621</v>
      </c>
      <c r="B1272" s="1077" t="s">
        <v>298</v>
      </c>
      <c r="C1272" s="1077">
        <v>600</v>
      </c>
      <c r="D1272" s="1077">
        <v>1.74</v>
      </c>
      <c r="E1272" s="1077" t="s">
        <v>15102</v>
      </c>
      <c r="F1272" s="1077" t="s">
        <v>1514</v>
      </c>
      <c r="G1272" s="1077" t="s">
        <v>1767</v>
      </c>
      <c r="H1272" s="1077" t="s">
        <v>4163</v>
      </c>
      <c r="I1272" s="1077" t="s">
        <v>648</v>
      </c>
      <c r="J1272" s="1077">
        <v>0</v>
      </c>
      <c r="K1272" s="1077" t="s">
        <v>4039</v>
      </c>
      <c r="L1272" s="1077" t="s">
        <v>4029</v>
      </c>
      <c r="M1272" s="1077">
        <v>103</v>
      </c>
      <c r="N1272" s="1077" t="s">
        <v>945</v>
      </c>
      <c r="O1272" s="1077">
        <v>2.5750000000000002</v>
      </c>
      <c r="P1272" s="1077">
        <v>2.06</v>
      </c>
      <c r="Q1272" s="1077" t="s">
        <v>988</v>
      </c>
      <c r="R1272" s="1077">
        <v>23.5</v>
      </c>
      <c r="T1272" s="1077">
        <v>18.5</v>
      </c>
      <c r="U1272" s="1077">
        <v>2.1</v>
      </c>
      <c r="V1272" s="1077" t="s">
        <v>648</v>
      </c>
      <c r="W1272" s="1077" t="s">
        <v>648</v>
      </c>
      <c r="X1272" s="1077" t="s">
        <v>648</v>
      </c>
      <c r="Y1272" s="1077">
        <v>1.3</v>
      </c>
      <c r="Z1272" s="1077" t="s">
        <v>1074</v>
      </c>
      <c r="AA1272" s="1077" t="s">
        <v>3352</v>
      </c>
      <c r="AB1272" s="1077" t="s">
        <v>4165</v>
      </c>
      <c r="AH1272" s="1077" t="s">
        <v>803</v>
      </c>
      <c r="AM1272" s="1078" t="s">
        <v>11558</v>
      </c>
      <c r="AN1272" s="1078" t="s">
        <v>11559</v>
      </c>
      <c r="AO1272" s="1078">
        <f t="shared" si="158"/>
        <v>600</v>
      </c>
      <c r="AP1272" s="1078">
        <f t="shared" si="159"/>
        <v>1.74</v>
      </c>
      <c r="AQ1272" s="1078" t="str">
        <f t="shared" si="160"/>
        <v>2-6-1S83°</v>
      </c>
      <c r="AR1272" s="1078" t="str">
        <f t="shared" si="161"/>
        <v>32</v>
      </c>
      <c r="AS1272" s="1078" t="str">
        <f t="shared" si="162"/>
        <v>178/175</v>
      </c>
      <c r="AT1272" s="1078" t="str">
        <f t="shared" si="163"/>
        <v>2-6-1S83°</v>
      </c>
      <c r="AV1272" s="1078" t="str">
        <f t="shared" si="156"/>
        <v>109.9.18</v>
      </c>
      <c r="AW1272" s="1344">
        <f t="shared" si="157"/>
        <v>44092</v>
      </c>
    </row>
    <row r="1273" spans="1:49">
      <c r="A1273" s="1077" t="s">
        <v>4622</v>
      </c>
      <c r="B1273" s="1077" t="s">
        <v>298</v>
      </c>
      <c r="C1273" s="1077">
        <v>600</v>
      </c>
      <c r="D1273" s="1077">
        <v>1.74</v>
      </c>
      <c r="E1273" s="1077" t="s">
        <v>15102</v>
      </c>
      <c r="F1273" s="1077" t="s">
        <v>975</v>
      </c>
      <c r="G1273" s="1077" t="s">
        <v>1767</v>
      </c>
      <c r="H1273" s="1077" t="s">
        <v>4399</v>
      </c>
      <c r="I1273" s="1077" t="s">
        <v>648</v>
      </c>
      <c r="J1273" s="1077">
        <v>0</v>
      </c>
      <c r="K1273" s="1077" t="s">
        <v>4039</v>
      </c>
      <c r="L1273" s="1077" t="s">
        <v>4029</v>
      </c>
      <c r="M1273" s="1077">
        <v>103</v>
      </c>
      <c r="N1273" s="1077" t="s">
        <v>945</v>
      </c>
      <c r="O1273" s="1077">
        <v>2.5750000000000002</v>
      </c>
      <c r="P1273" s="1077">
        <v>2.06</v>
      </c>
      <c r="Q1273" s="1077" t="s">
        <v>956</v>
      </c>
      <c r="R1273" s="1077">
        <v>23.5</v>
      </c>
      <c r="T1273" s="1077">
        <v>18.5</v>
      </c>
      <c r="U1273" s="1077">
        <v>2.1</v>
      </c>
      <c r="V1273" s="1077" t="s">
        <v>648</v>
      </c>
      <c r="W1273" s="1077" t="s">
        <v>648</v>
      </c>
      <c r="X1273" s="1077" t="s">
        <v>648</v>
      </c>
      <c r="Y1273" s="1077">
        <v>1.3</v>
      </c>
      <c r="Z1273" s="1077" t="s">
        <v>1200</v>
      </c>
      <c r="AA1273" s="1077" t="s">
        <v>4623</v>
      </c>
      <c r="AB1273" s="1077" t="s">
        <v>4165</v>
      </c>
      <c r="AH1273" s="1077" t="s">
        <v>812</v>
      </c>
      <c r="AM1273" s="1078" t="s">
        <v>11560</v>
      </c>
      <c r="AN1273" s="1078" t="s">
        <v>11561</v>
      </c>
      <c r="AO1273" s="1078">
        <f t="shared" si="158"/>
        <v>600</v>
      </c>
      <c r="AP1273" s="1078">
        <f t="shared" si="159"/>
        <v>1.74</v>
      </c>
      <c r="AQ1273" s="1078" t="str">
        <f t="shared" si="160"/>
        <v>2-6-1S83°</v>
      </c>
      <c r="AR1273" s="1078" t="str">
        <f t="shared" si="161"/>
        <v>31.5</v>
      </c>
      <c r="AS1273" s="1078" t="str">
        <f t="shared" si="162"/>
        <v>180/175</v>
      </c>
      <c r="AT1273" s="1078" t="str">
        <f t="shared" si="163"/>
        <v>2-6-1S83°</v>
      </c>
      <c r="AV1273" s="1078" t="str">
        <f t="shared" si="156"/>
        <v>109.9.25</v>
      </c>
      <c r="AW1273" s="1344">
        <f t="shared" si="157"/>
        <v>44099</v>
      </c>
    </row>
    <row r="1274" spans="1:49">
      <c r="A1274" s="1077" t="s">
        <v>4624</v>
      </c>
      <c r="B1274" s="1077" t="s">
        <v>298</v>
      </c>
      <c r="C1274" s="1077">
        <v>600</v>
      </c>
      <c r="D1274" s="1077">
        <v>1.75</v>
      </c>
      <c r="E1274" s="1077" t="s">
        <v>15102</v>
      </c>
      <c r="F1274" s="1077" t="s">
        <v>984</v>
      </c>
      <c r="G1274" s="1077" t="s">
        <v>1767</v>
      </c>
      <c r="H1274" s="1077" t="s">
        <v>1484</v>
      </c>
      <c r="I1274" s="1077" t="s">
        <v>1112</v>
      </c>
      <c r="J1274" s="1077">
        <v>1.6</v>
      </c>
      <c r="K1274" s="1077" t="s">
        <v>4625</v>
      </c>
      <c r="L1274" s="1077" t="s">
        <v>4029</v>
      </c>
      <c r="M1274" s="1077">
        <v>103.2</v>
      </c>
      <c r="N1274" s="1077" t="s">
        <v>945</v>
      </c>
      <c r="O1274" s="1077">
        <v>2.58</v>
      </c>
      <c r="P1274" s="1077">
        <v>2.0640000000000001</v>
      </c>
      <c r="Q1274" s="1077" t="s">
        <v>1277</v>
      </c>
      <c r="R1274" s="1077">
        <v>19.5</v>
      </c>
      <c r="T1274" s="1077">
        <v>27.3</v>
      </c>
      <c r="U1274" s="1077">
        <v>4</v>
      </c>
      <c r="V1274" s="1077" t="s">
        <v>648</v>
      </c>
      <c r="W1274" s="1077">
        <v>120</v>
      </c>
      <c r="X1274" s="1077">
        <v>60</v>
      </c>
      <c r="Y1274" s="1077">
        <v>1.7</v>
      </c>
      <c r="Z1274" s="1077" t="s">
        <v>4626</v>
      </c>
      <c r="AA1274" s="1077" t="s">
        <v>4627</v>
      </c>
      <c r="AB1274" s="1077" t="s">
        <v>981</v>
      </c>
      <c r="AH1274" s="1077" t="s">
        <v>618</v>
      </c>
      <c r="AM1274" s="1078" t="s">
        <v>11562</v>
      </c>
      <c r="AN1274" s="1078" t="s">
        <v>11563</v>
      </c>
      <c r="AO1274" s="1078">
        <f t="shared" si="158"/>
        <v>600</v>
      </c>
      <c r="AP1274" s="1078">
        <f t="shared" si="159"/>
        <v>1.75</v>
      </c>
      <c r="AQ1274" s="1078" t="str">
        <f t="shared" si="160"/>
        <v>2-6-1S83°</v>
      </c>
      <c r="AR1274" s="1078" t="str">
        <f t="shared" si="161"/>
        <v>30</v>
      </c>
      <c r="AS1274" s="1078" t="str">
        <f t="shared" si="162"/>
        <v>165/OFF</v>
      </c>
      <c r="AT1274" s="1078" t="str">
        <f t="shared" si="163"/>
        <v>2-6-1S83°</v>
      </c>
      <c r="AV1274" s="1078" t="str">
        <f t="shared" si="156"/>
        <v>109.11.16</v>
      </c>
      <c r="AW1274" s="1344">
        <f t="shared" si="157"/>
        <v>44151</v>
      </c>
    </row>
    <row r="1275" spans="1:49">
      <c r="A1275" s="1077" t="s">
        <v>4628</v>
      </c>
      <c r="B1275" s="1077" t="s">
        <v>298</v>
      </c>
      <c r="C1275" s="1077">
        <v>600</v>
      </c>
      <c r="D1275" s="1077">
        <v>1.74</v>
      </c>
      <c r="E1275" s="1077" t="s">
        <v>15102</v>
      </c>
      <c r="F1275" s="1077" t="s">
        <v>1514</v>
      </c>
      <c r="G1275" s="1077" t="s">
        <v>1767</v>
      </c>
      <c r="H1275" s="1077" t="s">
        <v>4163</v>
      </c>
      <c r="I1275" s="1077" t="s">
        <v>648</v>
      </c>
      <c r="J1275" s="1077">
        <v>0</v>
      </c>
      <c r="K1275" s="1077" t="s">
        <v>4039</v>
      </c>
      <c r="L1275" s="1077" t="s">
        <v>4029</v>
      </c>
      <c r="M1275" s="1077">
        <v>103</v>
      </c>
      <c r="N1275" s="1077" t="s">
        <v>945</v>
      </c>
      <c r="O1275" s="1077">
        <v>2.5750000000000002</v>
      </c>
      <c r="P1275" s="1077">
        <v>2.06</v>
      </c>
      <c r="Q1275" s="1077" t="s">
        <v>946</v>
      </c>
      <c r="R1275" s="1077">
        <v>23.5</v>
      </c>
      <c r="T1275" s="1077">
        <v>18.5</v>
      </c>
      <c r="U1275" s="1077">
        <v>2.1</v>
      </c>
      <c r="V1275" s="1077" t="s">
        <v>648</v>
      </c>
      <c r="W1275" s="1077" t="s">
        <v>648</v>
      </c>
      <c r="X1275" s="1077" t="s">
        <v>648</v>
      </c>
      <c r="Y1275" s="1077">
        <v>1.3</v>
      </c>
      <c r="Z1275" s="1077" t="s">
        <v>4629</v>
      </c>
      <c r="AA1275" s="1077" t="s">
        <v>1201</v>
      </c>
      <c r="AB1275" s="1077" t="s">
        <v>4165</v>
      </c>
      <c r="AH1275" s="1077" t="s">
        <v>4630</v>
      </c>
      <c r="AM1275" s="1078" t="s">
        <v>11564</v>
      </c>
      <c r="AN1275" s="1078" t="s">
        <v>11565</v>
      </c>
      <c r="AO1275" s="1078">
        <f t="shared" si="158"/>
        <v>600</v>
      </c>
      <c r="AP1275" s="1078">
        <f t="shared" si="159"/>
        <v>1.74</v>
      </c>
      <c r="AQ1275" s="1078" t="str">
        <f t="shared" si="160"/>
        <v>2-6-1S83°</v>
      </c>
      <c r="AR1275" s="1078" t="str">
        <f t="shared" si="161"/>
        <v>32</v>
      </c>
      <c r="AS1275" s="1078" t="str">
        <f t="shared" si="162"/>
        <v>178/175</v>
      </c>
      <c r="AT1275" s="1078" t="str">
        <f t="shared" si="163"/>
        <v>2-6-1S83°</v>
      </c>
      <c r="AV1275" s="1078" t="str">
        <f t="shared" si="156"/>
        <v>109.12.12</v>
      </c>
      <c r="AW1275" s="1344">
        <f t="shared" si="157"/>
        <v>44177</v>
      </c>
    </row>
    <row r="1276" spans="1:49">
      <c r="A1276" s="1077" t="s">
        <v>4631</v>
      </c>
      <c r="B1276" s="1077" t="s">
        <v>298</v>
      </c>
      <c r="C1276" s="1077">
        <v>600</v>
      </c>
      <c r="D1276" s="1077">
        <v>1.74</v>
      </c>
      <c r="E1276" s="1077" t="s">
        <v>15102</v>
      </c>
      <c r="F1276" s="1077" t="s">
        <v>954</v>
      </c>
      <c r="G1276" s="1077" t="s">
        <v>1767</v>
      </c>
      <c r="H1276" s="1077" t="s">
        <v>4163</v>
      </c>
      <c r="I1276" s="1077" t="s">
        <v>648</v>
      </c>
      <c r="J1276" s="1077">
        <v>0</v>
      </c>
      <c r="K1276" s="1077" t="s">
        <v>4039</v>
      </c>
      <c r="L1276" s="1077" t="s">
        <v>4029</v>
      </c>
      <c r="M1276" s="1077">
        <v>103</v>
      </c>
      <c r="N1276" s="1077" t="s">
        <v>945</v>
      </c>
      <c r="O1276" s="1077">
        <v>2.5750000000000002</v>
      </c>
      <c r="P1276" s="1077">
        <v>2.06</v>
      </c>
      <c r="Q1276" s="1077">
        <v>4</v>
      </c>
      <c r="R1276" s="1077">
        <v>23.5</v>
      </c>
      <c r="T1276" s="1077">
        <v>18.5</v>
      </c>
      <c r="U1276" s="1077">
        <v>2.1</v>
      </c>
      <c r="V1276" s="1077" t="s">
        <v>648</v>
      </c>
      <c r="W1276" s="1077" t="s">
        <v>648</v>
      </c>
      <c r="X1276" s="1077" t="s">
        <v>648</v>
      </c>
      <c r="Y1276" s="1077">
        <v>1.3</v>
      </c>
      <c r="Z1276" s="1077">
        <v>4</v>
      </c>
      <c r="AA1276" s="1077" t="s">
        <v>3098</v>
      </c>
      <c r="AH1276" s="1077" t="s">
        <v>1448</v>
      </c>
      <c r="AM1276" s="1078" t="s">
        <v>11566</v>
      </c>
      <c r="AN1276" s="1078" t="s">
        <v>11567</v>
      </c>
      <c r="AO1276" s="1078">
        <f t="shared" si="158"/>
        <v>600</v>
      </c>
      <c r="AP1276" s="1078">
        <f t="shared" si="159"/>
        <v>1.74</v>
      </c>
      <c r="AQ1276" s="1078" t="str">
        <f t="shared" si="160"/>
        <v>2-6-1S83°</v>
      </c>
      <c r="AR1276" s="1078" t="str">
        <f t="shared" si="161"/>
        <v>31</v>
      </c>
      <c r="AS1276" s="1078" t="str">
        <f t="shared" si="162"/>
        <v>178/175</v>
      </c>
      <c r="AT1276" s="1078" t="str">
        <f t="shared" si="163"/>
        <v>2-6-1S83°</v>
      </c>
      <c r="AV1276" s="1078" t="str">
        <f t="shared" si="156"/>
        <v>110.1.8</v>
      </c>
      <c r="AW1276" s="1344">
        <f t="shared" si="157"/>
        <v>44204</v>
      </c>
    </row>
    <row r="1277" spans="1:49">
      <c r="A1277" s="1077" t="s">
        <v>4632</v>
      </c>
      <c r="B1277" s="1077" t="s">
        <v>298</v>
      </c>
      <c r="C1277" s="1077">
        <v>600</v>
      </c>
      <c r="D1277" s="1077">
        <v>1.74</v>
      </c>
      <c r="E1277" s="1077" t="s">
        <v>15102</v>
      </c>
      <c r="F1277" s="1077" t="s">
        <v>1398</v>
      </c>
      <c r="G1277" s="1077" t="s">
        <v>1767</v>
      </c>
      <c r="H1277" s="1077" t="s">
        <v>4163</v>
      </c>
      <c r="I1277" s="1077" t="s">
        <v>648</v>
      </c>
      <c r="J1277" s="1077">
        <v>0</v>
      </c>
      <c r="K1277" s="1077" t="s">
        <v>4164</v>
      </c>
      <c r="L1277" s="1077" t="s">
        <v>4029</v>
      </c>
      <c r="M1277" s="1077">
        <v>103</v>
      </c>
      <c r="N1277" s="1077" t="s">
        <v>945</v>
      </c>
      <c r="O1277" s="1077">
        <v>2.5750000000000002</v>
      </c>
      <c r="P1277" s="1077">
        <v>2.06</v>
      </c>
      <c r="Q1277" s="1077">
        <v>4</v>
      </c>
      <c r="R1277" s="1077">
        <v>23.5</v>
      </c>
      <c r="T1277" s="1077">
        <v>18.5</v>
      </c>
      <c r="U1277" s="1077">
        <v>2.1</v>
      </c>
      <c r="V1277" s="1077" t="s">
        <v>648</v>
      </c>
      <c r="W1277" s="1077" t="s">
        <v>648</v>
      </c>
      <c r="X1277" s="1077" t="s">
        <v>648</v>
      </c>
      <c r="Y1277" s="1077">
        <v>1.3</v>
      </c>
      <c r="Z1277" s="1077">
        <v>4</v>
      </c>
      <c r="AA1277" s="1077" t="s">
        <v>3098</v>
      </c>
      <c r="AB1277" s="1077" t="s">
        <v>4165</v>
      </c>
      <c r="AH1277" s="1077" t="s">
        <v>482</v>
      </c>
      <c r="AM1277" s="1078" t="s">
        <v>11568</v>
      </c>
      <c r="AN1277" s="1078" t="s">
        <v>11569</v>
      </c>
      <c r="AO1277" s="1078">
        <f t="shared" si="158"/>
        <v>600</v>
      </c>
      <c r="AP1277" s="1078">
        <f t="shared" si="159"/>
        <v>1.74</v>
      </c>
      <c r="AQ1277" s="1078" t="str">
        <f t="shared" si="160"/>
        <v>2-6-1S83°</v>
      </c>
      <c r="AR1277" s="1078" t="str">
        <f t="shared" si="161"/>
        <v>32.5</v>
      </c>
      <c r="AS1277" s="1078" t="str">
        <f t="shared" si="162"/>
        <v>178/175</v>
      </c>
      <c r="AT1277" s="1078" t="str">
        <f t="shared" si="163"/>
        <v>2-6-1S83°</v>
      </c>
      <c r="AV1277" s="1078" t="str">
        <f t="shared" si="156"/>
        <v>110.1.8</v>
      </c>
      <c r="AW1277" s="1344">
        <f t="shared" si="157"/>
        <v>44204</v>
      </c>
    </row>
    <row r="1278" spans="1:49">
      <c r="A1278" s="1077" t="s">
        <v>4633</v>
      </c>
      <c r="B1278" s="1077" t="s">
        <v>4350</v>
      </c>
      <c r="C1278" s="1077">
        <v>600</v>
      </c>
      <c r="D1278" s="1077">
        <v>1.68</v>
      </c>
      <c r="E1278" s="1077" t="s">
        <v>15104</v>
      </c>
      <c r="F1278" s="1077" t="s">
        <v>648</v>
      </c>
      <c r="G1278" s="1077">
        <v>4</v>
      </c>
      <c r="H1278" s="1077" t="s">
        <v>1072</v>
      </c>
      <c r="I1278" s="1077" t="s">
        <v>126</v>
      </c>
      <c r="J1278" s="1077">
        <v>0.8</v>
      </c>
      <c r="K1278" s="1077" t="s">
        <v>4634</v>
      </c>
      <c r="L1278" s="1077" t="s">
        <v>944</v>
      </c>
      <c r="M1278" s="1077">
        <v>102</v>
      </c>
      <c r="N1278" s="1077" t="s">
        <v>945</v>
      </c>
      <c r="O1278" s="1077">
        <v>2.5500000000000003</v>
      </c>
      <c r="P1278" s="1077">
        <v>2.04</v>
      </c>
      <c r="Q1278" s="1077" t="s">
        <v>2437</v>
      </c>
      <c r="R1278" s="1077">
        <v>21.5</v>
      </c>
      <c r="T1278" s="1077">
        <v>15.8</v>
      </c>
      <c r="U1278" s="1077">
        <v>4.0999999999999996</v>
      </c>
      <c r="V1278" s="1077" t="s">
        <v>648</v>
      </c>
      <c r="W1278" s="1077">
        <v>125</v>
      </c>
      <c r="X1278" s="1077">
        <v>80</v>
      </c>
      <c r="Y1278" s="1077">
        <v>2.8</v>
      </c>
      <c r="Z1278" s="1077" t="s">
        <v>648</v>
      </c>
      <c r="AA1278" s="1077" t="s">
        <v>4030</v>
      </c>
      <c r="AH1278" s="1077" t="s">
        <v>1178</v>
      </c>
      <c r="AM1278" s="1078" t="s">
        <v>11570</v>
      </c>
      <c r="AN1278" s="1078" t="s">
        <v>11571</v>
      </c>
      <c r="AO1278" s="1078">
        <f t="shared" si="158"/>
        <v>600</v>
      </c>
      <c r="AP1278" s="1078">
        <f t="shared" si="159"/>
        <v>1.68</v>
      </c>
      <c r="AQ1278" s="1078" t="str">
        <f t="shared" si="160"/>
        <v>1-4-1S85°Z+S</v>
      </c>
      <c r="AR1278" s="1078" t="str">
        <f t="shared" si="161"/>
        <v>NA</v>
      </c>
      <c r="AS1278" s="1078" t="str">
        <f t="shared" si="162"/>
        <v>168/OFF</v>
      </c>
      <c r="AT1278" s="1078" t="str">
        <f t="shared" si="163"/>
        <v>1-4-1S85°Z+S</v>
      </c>
      <c r="AU1278" s="1078" t="s">
        <v>15547</v>
      </c>
      <c r="AV1278" s="1078" t="str">
        <f t="shared" si="156"/>
        <v>109.1.2</v>
      </c>
      <c r="AW1278" s="1344">
        <f t="shared" si="157"/>
        <v>43832</v>
      </c>
    </row>
    <row r="1279" spans="1:49">
      <c r="A1279" s="1077" t="s">
        <v>4635</v>
      </c>
      <c r="B1279" s="1077" t="s">
        <v>4350</v>
      </c>
      <c r="C1279" s="1077" t="s">
        <v>4636</v>
      </c>
      <c r="D1279" s="1077">
        <v>1.68</v>
      </c>
      <c r="E1279" s="1077" t="s">
        <v>15104</v>
      </c>
      <c r="F1279" s="1077" t="s">
        <v>648</v>
      </c>
      <c r="G1279" s="1077">
        <v>4</v>
      </c>
      <c r="H1279" s="1077" t="s">
        <v>2326</v>
      </c>
      <c r="I1279" s="1077" t="s">
        <v>126</v>
      </c>
      <c r="J1279" s="1077">
        <v>0.9</v>
      </c>
      <c r="K1279" s="1077" t="s">
        <v>4609</v>
      </c>
      <c r="L1279" s="1077" t="s">
        <v>944</v>
      </c>
      <c r="M1279" s="1077">
        <v>102</v>
      </c>
      <c r="N1279" s="1077" t="s">
        <v>945</v>
      </c>
      <c r="O1279" s="1077">
        <v>2.5500000000000003</v>
      </c>
      <c r="P1279" s="1077">
        <v>2.04</v>
      </c>
      <c r="Q1279" s="1077" t="s">
        <v>2434</v>
      </c>
      <c r="R1279" s="1077">
        <v>21.5</v>
      </c>
      <c r="T1279" s="1077">
        <v>15.8</v>
      </c>
      <c r="U1279" s="1077">
        <v>4.0999999999999996</v>
      </c>
      <c r="V1279" s="1077" t="s">
        <v>648</v>
      </c>
      <c r="W1279" s="1077">
        <v>125</v>
      </c>
      <c r="X1279" s="1077">
        <v>80</v>
      </c>
      <c r="Y1279" s="1077">
        <v>2.8</v>
      </c>
      <c r="Z1279" s="1077" t="s">
        <v>648</v>
      </c>
      <c r="AA1279" s="1077" t="s">
        <v>4637</v>
      </c>
      <c r="AH1279" s="1077" t="s">
        <v>647</v>
      </c>
      <c r="AM1279" s="1078" t="s">
        <v>11572</v>
      </c>
      <c r="AN1279" s="1078" t="s">
        <v>11573</v>
      </c>
      <c r="AO1279" s="1078" t="str">
        <f t="shared" si="158"/>
        <v>700↓650(5/13)</v>
      </c>
      <c r="AP1279" s="1078">
        <f t="shared" si="159"/>
        <v>1.68</v>
      </c>
      <c r="AQ1279" s="1078" t="str">
        <f t="shared" si="160"/>
        <v>1-4-1S85°Z+S</v>
      </c>
      <c r="AR1279" s="1078" t="str">
        <f t="shared" si="161"/>
        <v>NA</v>
      </c>
      <c r="AS1279" s="1078" t="str">
        <f t="shared" si="162"/>
        <v>173/OFF</v>
      </c>
      <c r="AT1279" s="1078" t="str">
        <f t="shared" si="163"/>
        <v>1-4-1S85°Z+S</v>
      </c>
      <c r="AU1279" s="1078" t="s">
        <v>15547</v>
      </c>
      <c r="AV1279" s="1078" t="str">
        <f t="shared" si="156"/>
        <v>109.4.10</v>
      </c>
      <c r="AW1279" s="1344">
        <f t="shared" si="157"/>
        <v>43931</v>
      </c>
    </row>
    <row r="1280" spans="1:49">
      <c r="A1280" s="1077" t="s">
        <v>4638</v>
      </c>
      <c r="B1280" s="1077" t="s">
        <v>4350</v>
      </c>
      <c r="C1280" s="1077">
        <v>650</v>
      </c>
      <c r="D1280" s="1077">
        <v>1.68</v>
      </c>
      <c r="E1280" s="1077" t="s">
        <v>15104</v>
      </c>
      <c r="F1280" s="1077" t="s">
        <v>648</v>
      </c>
      <c r="G1280" s="1077">
        <v>4</v>
      </c>
      <c r="H1280" s="1077" t="s">
        <v>2326</v>
      </c>
      <c r="I1280" s="1077" t="s">
        <v>126</v>
      </c>
      <c r="J1280" s="1077">
        <v>1</v>
      </c>
      <c r="K1280" s="1077" t="s">
        <v>4609</v>
      </c>
      <c r="L1280" s="1077" t="s">
        <v>944</v>
      </c>
      <c r="M1280" s="1077">
        <v>102</v>
      </c>
      <c r="N1280" s="1077" t="s">
        <v>945</v>
      </c>
      <c r="O1280" s="1077">
        <v>2.5500000000000003</v>
      </c>
      <c r="P1280" s="1077">
        <v>2.04</v>
      </c>
      <c r="Q1280" s="1077" t="s">
        <v>2434</v>
      </c>
      <c r="R1280" s="1077">
        <v>21.5</v>
      </c>
      <c r="T1280" s="1077">
        <v>15.8</v>
      </c>
      <c r="U1280" s="1077">
        <v>4.0999999999999996</v>
      </c>
      <c r="V1280" s="1077" t="s">
        <v>648</v>
      </c>
      <c r="W1280" s="1077">
        <v>125</v>
      </c>
      <c r="X1280" s="1077">
        <v>80</v>
      </c>
      <c r="Y1280" s="1077">
        <v>2.8</v>
      </c>
      <c r="Z1280" s="1077" t="s">
        <v>648</v>
      </c>
      <c r="AA1280" s="1077" t="s">
        <v>2508</v>
      </c>
      <c r="AH1280" s="1077" t="s">
        <v>868</v>
      </c>
      <c r="AM1280" s="1078" t="s">
        <v>11574</v>
      </c>
      <c r="AN1280" s="1078" t="s">
        <v>11575</v>
      </c>
      <c r="AO1280" s="1078">
        <f t="shared" si="158"/>
        <v>650</v>
      </c>
      <c r="AP1280" s="1078">
        <f t="shared" si="159"/>
        <v>1.68</v>
      </c>
      <c r="AQ1280" s="1078" t="str">
        <f t="shared" si="160"/>
        <v>1-4-1S85°Z+S</v>
      </c>
      <c r="AR1280" s="1078" t="str">
        <f t="shared" si="161"/>
        <v>NA</v>
      </c>
      <c r="AS1280" s="1078" t="str">
        <f t="shared" si="162"/>
        <v>173/OFF</v>
      </c>
      <c r="AT1280" s="1078" t="str">
        <f t="shared" si="163"/>
        <v>1-4-1S85°Z+S</v>
      </c>
      <c r="AU1280" s="1078" t="s">
        <v>15547</v>
      </c>
      <c r="AV1280" s="1078" t="str">
        <f t="shared" si="156"/>
        <v>109.6.22</v>
      </c>
      <c r="AW1280" s="1344">
        <f t="shared" si="157"/>
        <v>44004</v>
      </c>
    </row>
    <row r="1281" spans="1:49">
      <c r="A1281" s="1077" t="s">
        <v>4639</v>
      </c>
      <c r="B1281" s="1077" t="s">
        <v>4350</v>
      </c>
      <c r="C1281" s="1077">
        <v>650</v>
      </c>
      <c r="D1281" s="1077">
        <v>1.66</v>
      </c>
      <c r="E1281" s="1077" t="s">
        <v>15104</v>
      </c>
      <c r="F1281" s="1077" t="s">
        <v>648</v>
      </c>
      <c r="G1281" s="1077">
        <v>4</v>
      </c>
      <c r="H1281" s="1077" t="s">
        <v>2326</v>
      </c>
      <c r="I1281" s="1077" t="s">
        <v>126</v>
      </c>
      <c r="J1281" s="1077">
        <v>1</v>
      </c>
      <c r="K1281" s="1077" t="s">
        <v>4640</v>
      </c>
      <c r="L1281" s="1077" t="s">
        <v>944</v>
      </c>
      <c r="M1281" s="1077">
        <v>102</v>
      </c>
      <c r="N1281" s="1077" t="s">
        <v>945</v>
      </c>
      <c r="O1281" s="1077">
        <v>2.5500000000000003</v>
      </c>
      <c r="P1281" s="1077">
        <v>2.04</v>
      </c>
      <c r="Q1281" s="1077" t="s">
        <v>2441</v>
      </c>
      <c r="R1281" s="1077">
        <v>21.5</v>
      </c>
      <c r="T1281" s="1077">
        <v>15.8</v>
      </c>
      <c r="U1281" s="1077">
        <v>4.0999999999999996</v>
      </c>
      <c r="V1281" s="1077" t="s">
        <v>648</v>
      </c>
      <c r="W1281" s="1077">
        <v>125</v>
      </c>
      <c r="X1281" s="1077">
        <v>80</v>
      </c>
      <c r="Y1281" s="1077">
        <v>2.8</v>
      </c>
      <c r="Z1281" s="1077" t="s">
        <v>648</v>
      </c>
      <c r="AA1281" s="1077" t="s">
        <v>1088</v>
      </c>
      <c r="AH1281" s="1077" t="s">
        <v>1170</v>
      </c>
      <c r="AM1281" s="1078" t="s">
        <v>11576</v>
      </c>
      <c r="AN1281" s="1078" t="s">
        <v>11577</v>
      </c>
      <c r="AO1281" s="1078">
        <f t="shared" si="158"/>
        <v>650</v>
      </c>
      <c r="AP1281" s="1078">
        <f t="shared" si="159"/>
        <v>1.66</v>
      </c>
      <c r="AQ1281" s="1078" t="str">
        <f t="shared" si="160"/>
        <v>1-4-1S85°Z+S</v>
      </c>
      <c r="AR1281" s="1078" t="str">
        <f t="shared" si="161"/>
        <v>NA</v>
      </c>
      <c r="AS1281" s="1078" t="str">
        <f t="shared" si="162"/>
        <v>173/OFF</v>
      </c>
      <c r="AT1281" s="1078" t="str">
        <f t="shared" si="163"/>
        <v>1-4-1S85°Z+S</v>
      </c>
      <c r="AU1281" s="1078" t="s">
        <v>15547</v>
      </c>
      <c r="AV1281" s="1078" t="str">
        <f t="shared" si="156"/>
        <v>109.8.20</v>
      </c>
      <c r="AW1281" s="1344">
        <f t="shared" si="157"/>
        <v>44063</v>
      </c>
    </row>
    <row r="1282" spans="1:49">
      <c r="A1282" s="1077" t="s">
        <v>4641</v>
      </c>
      <c r="B1282" s="1077" t="s">
        <v>4350</v>
      </c>
      <c r="C1282" s="1077">
        <v>650</v>
      </c>
      <c r="D1282" s="1077">
        <v>1.66</v>
      </c>
      <c r="E1282" s="1077" t="s">
        <v>15104</v>
      </c>
      <c r="F1282" s="1077" t="s">
        <v>648</v>
      </c>
      <c r="G1282" s="1077">
        <v>4</v>
      </c>
      <c r="H1282" s="1077" t="s">
        <v>2326</v>
      </c>
      <c r="I1282" s="1077" t="s">
        <v>126</v>
      </c>
      <c r="J1282" s="1077">
        <v>1</v>
      </c>
      <c r="K1282" s="1077" t="s">
        <v>4640</v>
      </c>
      <c r="L1282" s="1077" t="s">
        <v>944</v>
      </c>
      <c r="M1282" s="1077">
        <v>102</v>
      </c>
      <c r="N1282" s="1077" t="s">
        <v>945</v>
      </c>
      <c r="O1282" s="1077">
        <v>2.5500000000000003</v>
      </c>
      <c r="P1282" s="1077">
        <v>2.04</v>
      </c>
      <c r="Q1282" s="1077" t="s">
        <v>2434</v>
      </c>
      <c r="R1282" s="1077">
        <v>21.5</v>
      </c>
      <c r="T1282" s="1077">
        <v>15.8</v>
      </c>
      <c r="U1282" s="1077">
        <v>4.0999999999999996</v>
      </c>
      <c r="V1282" s="1077" t="s">
        <v>648</v>
      </c>
      <c r="W1282" s="1077">
        <v>125</v>
      </c>
      <c r="X1282" s="1077">
        <v>80</v>
      </c>
      <c r="Y1282" s="1077">
        <v>2.8</v>
      </c>
      <c r="Z1282" s="1077" t="s">
        <v>648</v>
      </c>
      <c r="AA1282" s="1077" t="s">
        <v>1198</v>
      </c>
      <c r="AH1282" s="1077" t="s">
        <v>782</v>
      </c>
      <c r="AM1282" s="1078" t="s">
        <v>11578</v>
      </c>
      <c r="AN1282" s="1078" t="s">
        <v>11579</v>
      </c>
      <c r="AO1282" s="1078">
        <f t="shared" si="158"/>
        <v>650</v>
      </c>
      <c r="AP1282" s="1078">
        <f t="shared" si="159"/>
        <v>1.66</v>
      </c>
      <c r="AQ1282" s="1078" t="str">
        <f t="shared" si="160"/>
        <v>1-4-1S85°Z+S</v>
      </c>
      <c r="AR1282" s="1078" t="str">
        <f t="shared" si="161"/>
        <v>NA</v>
      </c>
      <c r="AS1282" s="1078" t="str">
        <f t="shared" si="162"/>
        <v>173/OFF</v>
      </c>
      <c r="AT1282" s="1078" t="str">
        <f t="shared" si="163"/>
        <v>1-4-1S85°Z+S</v>
      </c>
      <c r="AU1282" s="1078" t="s">
        <v>15547</v>
      </c>
      <c r="AV1282" s="1078" t="str">
        <f t="shared" ref="AV1282:AV1345" si="164">AA1282</f>
        <v>109.11.30</v>
      </c>
      <c r="AW1282" s="1344">
        <f t="shared" si="157"/>
        <v>44165</v>
      </c>
    </row>
    <row r="1283" spans="1:49">
      <c r="A1283" s="1077" t="s">
        <v>4642</v>
      </c>
      <c r="B1283" s="1077" t="s">
        <v>4350</v>
      </c>
      <c r="C1283" s="1077">
        <v>650</v>
      </c>
      <c r="D1283" s="1077">
        <v>1.66</v>
      </c>
      <c r="E1283" s="1077" t="s">
        <v>15104</v>
      </c>
      <c r="F1283" s="1077" t="s">
        <v>648</v>
      </c>
      <c r="G1283" s="1077">
        <v>4</v>
      </c>
      <c r="H1283" s="1077" t="s">
        <v>1166</v>
      </c>
      <c r="I1283" s="1077" t="s">
        <v>126</v>
      </c>
      <c r="J1283" s="1077">
        <v>1</v>
      </c>
      <c r="K1283" s="1077" t="s">
        <v>4634</v>
      </c>
      <c r="L1283" s="1077" t="s">
        <v>944</v>
      </c>
      <c r="M1283" s="1077">
        <v>102</v>
      </c>
      <c r="N1283" s="1077" t="s">
        <v>945</v>
      </c>
      <c r="O1283" s="1077">
        <v>2.5500000000000003</v>
      </c>
      <c r="P1283" s="1077">
        <v>2.04</v>
      </c>
      <c r="Q1283" s="1077">
        <v>4.2</v>
      </c>
      <c r="R1283" s="1077">
        <v>21.5</v>
      </c>
      <c r="T1283" s="1077">
        <v>15.8</v>
      </c>
      <c r="U1283" s="1077">
        <v>4.0999999999999996</v>
      </c>
      <c r="V1283" s="1077" t="s">
        <v>648</v>
      </c>
      <c r="W1283" s="1077">
        <v>125</v>
      </c>
      <c r="X1283" s="1077">
        <v>80</v>
      </c>
      <c r="Y1283" s="1077">
        <v>2.8</v>
      </c>
      <c r="Z1283" s="1077" t="s">
        <v>648</v>
      </c>
      <c r="AA1283" s="1077" t="s">
        <v>4643</v>
      </c>
      <c r="AH1283" s="1077" t="s">
        <v>803</v>
      </c>
      <c r="AM1283" s="1078" t="s">
        <v>11580</v>
      </c>
      <c r="AN1283" s="1078" t="s">
        <v>11581</v>
      </c>
      <c r="AO1283" s="1078">
        <f t="shared" si="158"/>
        <v>650</v>
      </c>
      <c r="AP1283" s="1078">
        <f t="shared" si="159"/>
        <v>1.66</v>
      </c>
      <c r="AQ1283" s="1078" t="str">
        <f t="shared" si="160"/>
        <v>1-4-1S85°Z+S</v>
      </c>
      <c r="AR1283" s="1078" t="str">
        <f t="shared" si="161"/>
        <v>NA</v>
      </c>
      <c r="AS1283" s="1078" t="str">
        <f t="shared" si="162"/>
        <v>170/OFF</v>
      </c>
      <c r="AT1283" s="1078" t="str">
        <f t="shared" si="163"/>
        <v>1-4-1S85°Z+S</v>
      </c>
      <c r="AU1283" s="1078" t="s">
        <v>15547</v>
      </c>
      <c r="AV1283" s="1078" t="str">
        <f t="shared" si="164"/>
        <v>110.3.11</v>
      </c>
      <c r="AW1283" s="1344">
        <f t="shared" ref="AW1283:AW1346" si="165">DATE(VALUE(LEFT(AV1283,FIND(".",AV1283)-1))+1911,
       VALUE(MID(AV1283,FIND(".",AV1283)+1,FIND(".",AV1283,FIND(".",AV1283)+1)-FIND(".",AV1283)-1)),
       VALUE(RIGHT(AV1283,LEN(AV1283)-FIND("~",SUBSTITUTE(AV1283,".","~",2)))))</f>
        <v>44266</v>
      </c>
    </row>
    <row r="1284" spans="1:49">
      <c r="A1284" s="1077" t="s">
        <v>4349</v>
      </c>
      <c r="B1284" s="1077" t="s">
        <v>4350</v>
      </c>
      <c r="C1284" s="1077">
        <v>650</v>
      </c>
      <c r="D1284" s="1077">
        <v>1.675</v>
      </c>
      <c r="E1284" s="1077" t="s">
        <v>15109</v>
      </c>
      <c r="F1284" s="1077" t="s">
        <v>648</v>
      </c>
      <c r="G1284" s="1077">
        <v>4</v>
      </c>
      <c r="H1284" s="1077" t="s">
        <v>1166</v>
      </c>
      <c r="I1284" s="1077" t="s">
        <v>126</v>
      </c>
      <c r="J1284" s="1077">
        <v>1</v>
      </c>
      <c r="K1284" s="1077" t="s">
        <v>4351</v>
      </c>
      <c r="L1284" s="1077" t="s">
        <v>944</v>
      </c>
      <c r="M1284" s="1077">
        <v>102</v>
      </c>
      <c r="N1284" s="1077" t="s">
        <v>945</v>
      </c>
      <c r="O1284" s="1077">
        <v>2.5500000000000003</v>
      </c>
      <c r="P1284" s="1077">
        <v>2.04</v>
      </c>
      <c r="Q1284" s="1077">
        <v>4.2</v>
      </c>
      <c r="R1284" s="1077">
        <v>21.5</v>
      </c>
      <c r="T1284" s="1077">
        <v>15.8</v>
      </c>
      <c r="U1284" s="1077">
        <v>4.0999999999999996</v>
      </c>
      <c r="V1284" s="1077" t="s">
        <v>648</v>
      </c>
      <c r="W1284" s="1077">
        <v>125</v>
      </c>
      <c r="X1284" s="1077">
        <v>80</v>
      </c>
      <c r="Y1284" s="1077">
        <v>2.8</v>
      </c>
      <c r="Z1284" s="1077" t="s">
        <v>648</v>
      </c>
      <c r="AA1284" s="1077" t="s">
        <v>4352</v>
      </c>
      <c r="AH1284" s="1077" t="s">
        <v>1827</v>
      </c>
      <c r="AM1284" s="1078" t="s">
        <v>11335</v>
      </c>
      <c r="AN1284" s="1078" t="s">
        <v>11336</v>
      </c>
      <c r="AO1284" s="1078">
        <f t="shared" si="158"/>
        <v>650</v>
      </c>
      <c r="AP1284" s="1078">
        <f t="shared" si="159"/>
        <v>1.675</v>
      </c>
      <c r="AQ1284" s="1078" t="str">
        <f t="shared" si="160"/>
        <v>1-5-1S85°Z+S</v>
      </c>
      <c r="AR1284" s="1078" t="str">
        <f t="shared" si="161"/>
        <v>NA</v>
      </c>
      <c r="AS1284" s="1078" t="str">
        <f t="shared" si="162"/>
        <v>170/OFF</v>
      </c>
      <c r="AT1284" s="1078" t="str">
        <f t="shared" si="163"/>
        <v>1-5-1S85°Z+S</v>
      </c>
      <c r="AU1284" s="1078" t="s">
        <v>15547</v>
      </c>
      <c r="AV1284" s="1078" t="str">
        <f t="shared" si="164"/>
        <v>110.8.2</v>
      </c>
      <c r="AW1284" s="1344">
        <f t="shared" si="165"/>
        <v>44410</v>
      </c>
    </row>
    <row r="1285" spans="1:49">
      <c r="A1285" s="1077" t="s">
        <v>4644</v>
      </c>
      <c r="B1285" s="1077" t="s">
        <v>4052</v>
      </c>
      <c r="C1285" s="1077">
        <v>650</v>
      </c>
      <c r="D1285" s="1077">
        <v>1.76</v>
      </c>
      <c r="E1285" s="1077" t="s">
        <v>15104</v>
      </c>
      <c r="F1285" s="1077" t="s">
        <v>648</v>
      </c>
      <c r="G1285" s="1077">
        <v>4</v>
      </c>
      <c r="H1285" s="1077" t="s">
        <v>2326</v>
      </c>
      <c r="I1285" s="1077" t="s">
        <v>126</v>
      </c>
      <c r="J1285" s="1077">
        <v>1.1000000000000001</v>
      </c>
      <c r="K1285" s="1077" t="s">
        <v>4645</v>
      </c>
      <c r="L1285" s="1077" t="s">
        <v>987</v>
      </c>
      <c r="M1285" s="1077">
        <v>99</v>
      </c>
      <c r="N1285" s="1077" t="s">
        <v>945</v>
      </c>
      <c r="O1285" s="1077">
        <v>2.4750000000000001</v>
      </c>
      <c r="P1285" s="1077">
        <v>1.98</v>
      </c>
      <c r="Q1285" s="1077" t="s">
        <v>2434</v>
      </c>
      <c r="R1285" s="1077">
        <v>23</v>
      </c>
      <c r="T1285" s="1077">
        <v>16</v>
      </c>
      <c r="U1285" s="1077">
        <v>3.6</v>
      </c>
      <c r="V1285" s="1077" t="s">
        <v>648</v>
      </c>
      <c r="W1285" s="1077">
        <v>120</v>
      </c>
      <c r="X1285" s="1077" t="s">
        <v>4054</v>
      </c>
      <c r="Y1285" s="1077">
        <v>2.5</v>
      </c>
      <c r="Z1285" s="1077" t="s">
        <v>648</v>
      </c>
      <c r="AA1285" s="1077" t="s">
        <v>4627</v>
      </c>
      <c r="AB1285" s="1077" t="s">
        <v>981</v>
      </c>
      <c r="AH1285" s="1077" t="s">
        <v>785</v>
      </c>
      <c r="AM1285" s="1078" t="s">
        <v>11582</v>
      </c>
      <c r="AN1285" s="1078" t="s">
        <v>11583</v>
      </c>
      <c r="AO1285" s="1078">
        <f t="shared" si="158"/>
        <v>650</v>
      </c>
      <c r="AP1285" s="1078">
        <f t="shared" si="159"/>
        <v>1.76</v>
      </c>
      <c r="AQ1285" s="1078" t="str">
        <f t="shared" si="160"/>
        <v>1-4-1S85°Z+S</v>
      </c>
      <c r="AR1285" s="1078" t="str">
        <f t="shared" si="161"/>
        <v>NA</v>
      </c>
      <c r="AS1285" s="1078" t="str">
        <f t="shared" si="162"/>
        <v>173/OFF</v>
      </c>
      <c r="AT1285" s="1078" t="str">
        <f t="shared" si="163"/>
        <v>1-4-1S85°Z+S</v>
      </c>
      <c r="AU1285" s="1078" t="s">
        <v>15547</v>
      </c>
      <c r="AV1285" s="1078" t="str">
        <f t="shared" si="164"/>
        <v>109.11.16</v>
      </c>
      <c r="AW1285" s="1344">
        <f t="shared" si="165"/>
        <v>44151</v>
      </c>
    </row>
    <row r="1286" spans="1:49">
      <c r="A1286" s="1077" t="s">
        <v>4646</v>
      </c>
      <c r="B1286" s="1077" t="s">
        <v>4052</v>
      </c>
      <c r="C1286" s="1077">
        <v>650</v>
      </c>
      <c r="D1286" s="1077">
        <v>1.76</v>
      </c>
      <c r="E1286" s="1077" t="s">
        <v>15104</v>
      </c>
      <c r="F1286" s="1077" t="s">
        <v>648</v>
      </c>
      <c r="G1286" s="1077">
        <v>4</v>
      </c>
      <c r="H1286" s="1077" t="s">
        <v>2326</v>
      </c>
      <c r="I1286" s="1077" t="s">
        <v>126</v>
      </c>
      <c r="J1286" s="1077">
        <v>1.1000000000000001</v>
      </c>
      <c r="K1286" s="1077" t="s">
        <v>4257</v>
      </c>
      <c r="L1286" s="1077" t="s">
        <v>987</v>
      </c>
      <c r="M1286" s="1077">
        <v>99</v>
      </c>
      <c r="N1286" s="1077" t="s">
        <v>945</v>
      </c>
      <c r="O1286" s="1077">
        <v>2.4750000000000001</v>
      </c>
      <c r="P1286" s="1077">
        <v>1.98</v>
      </c>
      <c r="Q1286" s="1077" t="s">
        <v>2434</v>
      </c>
      <c r="R1286" s="1077">
        <v>23</v>
      </c>
      <c r="T1286" s="1077">
        <v>16</v>
      </c>
      <c r="U1286" s="1077">
        <v>3.6</v>
      </c>
      <c r="V1286" s="1077" t="s">
        <v>648</v>
      </c>
      <c r="W1286" s="1077">
        <v>120</v>
      </c>
      <c r="X1286" s="1077" t="s">
        <v>4054</v>
      </c>
      <c r="Y1286" s="1077">
        <v>2.5</v>
      </c>
      <c r="Z1286" s="1077" t="s">
        <v>648</v>
      </c>
      <c r="AA1286" s="1077" t="s">
        <v>3073</v>
      </c>
      <c r="AB1286" s="1077" t="s">
        <v>981</v>
      </c>
      <c r="AH1286" s="1077" t="s">
        <v>647</v>
      </c>
      <c r="AM1286" s="1078" t="s">
        <v>11584</v>
      </c>
      <c r="AN1286" s="1078" t="s">
        <v>11585</v>
      </c>
      <c r="AO1286" s="1078">
        <f t="shared" si="158"/>
        <v>650</v>
      </c>
      <c r="AP1286" s="1078">
        <f t="shared" si="159"/>
        <v>1.76</v>
      </c>
      <c r="AQ1286" s="1078" t="str">
        <f t="shared" si="160"/>
        <v>1-4-1S85°Z+S</v>
      </c>
      <c r="AR1286" s="1078" t="str">
        <f t="shared" si="161"/>
        <v>NA</v>
      </c>
      <c r="AS1286" s="1078" t="str">
        <f t="shared" si="162"/>
        <v>173/OFF</v>
      </c>
      <c r="AT1286" s="1078" t="str">
        <f t="shared" si="163"/>
        <v>1-4-1S85°Z+S</v>
      </c>
      <c r="AU1286" s="1078" t="s">
        <v>15547</v>
      </c>
      <c r="AV1286" s="1078" t="str">
        <f t="shared" si="164"/>
        <v>109.9.23</v>
      </c>
      <c r="AW1286" s="1344">
        <f t="shared" si="165"/>
        <v>44097</v>
      </c>
    </row>
    <row r="1287" spans="1:49">
      <c r="A1287" s="1077" t="s">
        <v>4647</v>
      </c>
      <c r="B1287" s="1077" t="s">
        <v>4052</v>
      </c>
      <c r="C1287" s="1077">
        <v>650</v>
      </c>
      <c r="D1287" s="1077">
        <v>1.76</v>
      </c>
      <c r="E1287" s="1077" t="s">
        <v>15104</v>
      </c>
      <c r="F1287" s="1077" t="s">
        <v>648</v>
      </c>
      <c r="G1287" s="1077">
        <v>4</v>
      </c>
      <c r="H1287" s="1077" t="s">
        <v>2326</v>
      </c>
      <c r="I1287" s="1077" t="s">
        <v>126</v>
      </c>
      <c r="J1287" s="1077">
        <v>1.1000000000000001</v>
      </c>
      <c r="K1287" s="1077" t="s">
        <v>4648</v>
      </c>
      <c r="L1287" s="1077" t="s">
        <v>987</v>
      </c>
      <c r="M1287" s="1077">
        <v>99</v>
      </c>
      <c r="N1287" s="1077" t="s">
        <v>945</v>
      </c>
      <c r="O1287" s="1077">
        <v>2.4750000000000001</v>
      </c>
      <c r="P1287" s="1077">
        <v>1.98</v>
      </c>
      <c r="Q1287" s="1077">
        <v>4.2</v>
      </c>
      <c r="R1287" s="1077">
        <v>23</v>
      </c>
      <c r="T1287" s="1077">
        <v>16</v>
      </c>
      <c r="U1287" s="1077">
        <v>3.6</v>
      </c>
      <c r="V1287" s="1077" t="s">
        <v>648</v>
      </c>
      <c r="W1287" s="1077">
        <v>120</v>
      </c>
      <c r="X1287" s="1077" t="s">
        <v>4054</v>
      </c>
      <c r="Y1287" s="1077">
        <v>2.5</v>
      </c>
      <c r="Z1287" s="1077" t="s">
        <v>648</v>
      </c>
      <c r="AA1287" s="1077" t="s">
        <v>1206</v>
      </c>
      <c r="AB1287" s="1077" t="s">
        <v>981</v>
      </c>
      <c r="AH1287" s="1077" t="s">
        <v>1803</v>
      </c>
      <c r="AM1287" s="1078" t="s">
        <v>11586</v>
      </c>
      <c r="AN1287" s="1078" t="s">
        <v>11587</v>
      </c>
      <c r="AO1287" s="1078">
        <f t="shared" si="158"/>
        <v>650</v>
      </c>
      <c r="AP1287" s="1078">
        <f t="shared" si="159"/>
        <v>1.76</v>
      </c>
      <c r="AQ1287" s="1078" t="str">
        <f t="shared" si="160"/>
        <v>1-4-1S85°Z+S</v>
      </c>
      <c r="AR1287" s="1078" t="str">
        <f t="shared" si="161"/>
        <v>NA</v>
      </c>
      <c r="AS1287" s="1078" t="str">
        <f t="shared" si="162"/>
        <v>173/OFF</v>
      </c>
      <c r="AT1287" s="1078" t="str">
        <f t="shared" si="163"/>
        <v>1-4-1S85°Z+S</v>
      </c>
      <c r="AU1287" s="1078" t="s">
        <v>15547</v>
      </c>
      <c r="AV1287" s="1078" t="str">
        <f t="shared" si="164"/>
        <v>109.12.22</v>
      </c>
      <c r="AW1287" s="1344">
        <f t="shared" si="165"/>
        <v>44187</v>
      </c>
    </row>
    <row r="1288" spans="1:49">
      <c r="A1288" s="1077" t="s">
        <v>4649</v>
      </c>
      <c r="B1288" s="1077" t="s">
        <v>4052</v>
      </c>
      <c r="C1288" s="1077">
        <v>650</v>
      </c>
      <c r="D1288" s="1077">
        <v>1.76</v>
      </c>
      <c r="E1288" s="1077" t="s">
        <v>15104</v>
      </c>
      <c r="F1288" s="1077" t="s">
        <v>648</v>
      </c>
      <c r="G1288" s="1077">
        <v>4</v>
      </c>
      <c r="H1288" s="1077" t="s">
        <v>2326</v>
      </c>
      <c r="I1288" s="1077" t="s">
        <v>126</v>
      </c>
      <c r="J1288" s="1077">
        <v>1.1000000000000001</v>
      </c>
      <c r="K1288" s="1077" t="s">
        <v>4327</v>
      </c>
      <c r="L1288" s="1077" t="s">
        <v>987</v>
      </c>
      <c r="M1288" s="1077">
        <v>99</v>
      </c>
      <c r="N1288" s="1077" t="s">
        <v>945</v>
      </c>
      <c r="O1288" s="1077">
        <v>2.4750000000000001</v>
      </c>
      <c r="P1288" s="1077">
        <v>1.98</v>
      </c>
      <c r="Q1288" s="1077">
        <v>4.2</v>
      </c>
      <c r="R1288" s="1077">
        <v>23</v>
      </c>
      <c r="T1288" s="1077">
        <v>16</v>
      </c>
      <c r="U1288" s="1077">
        <v>3.6</v>
      </c>
      <c r="V1288" s="1077" t="s">
        <v>648</v>
      </c>
      <c r="W1288" s="1077">
        <v>120</v>
      </c>
      <c r="X1288" s="1077" t="s">
        <v>4054</v>
      </c>
      <c r="Y1288" s="1077">
        <v>2.5</v>
      </c>
      <c r="Z1288" s="1077" t="s">
        <v>648</v>
      </c>
      <c r="AA1288" s="1077" t="s">
        <v>1204</v>
      </c>
      <c r="AB1288" s="1077" t="s">
        <v>981</v>
      </c>
      <c r="AH1288" s="1077" t="s">
        <v>831</v>
      </c>
      <c r="AM1288" s="1078" t="s">
        <v>11588</v>
      </c>
      <c r="AN1288" s="1078" t="s">
        <v>11589</v>
      </c>
      <c r="AO1288" s="1078">
        <f t="shared" si="158"/>
        <v>650</v>
      </c>
      <c r="AP1288" s="1078">
        <f t="shared" si="159"/>
        <v>1.76</v>
      </c>
      <c r="AQ1288" s="1078" t="str">
        <f t="shared" si="160"/>
        <v>1-4-1S85°Z+S</v>
      </c>
      <c r="AR1288" s="1078" t="str">
        <f t="shared" si="161"/>
        <v>NA</v>
      </c>
      <c r="AS1288" s="1078" t="str">
        <f t="shared" si="162"/>
        <v>173/OFF</v>
      </c>
      <c r="AT1288" s="1078" t="str">
        <f t="shared" si="163"/>
        <v>1-4-1S85°Z+S</v>
      </c>
      <c r="AU1288" s="1078" t="s">
        <v>15547</v>
      </c>
      <c r="AV1288" s="1078" t="str">
        <f t="shared" si="164"/>
        <v>109.12.21</v>
      </c>
      <c r="AW1288" s="1344">
        <f t="shared" si="165"/>
        <v>44186</v>
      </c>
    </row>
    <row r="1289" spans="1:49">
      <c r="A1289" s="1077" t="s">
        <v>4650</v>
      </c>
      <c r="B1289" s="1077" t="s">
        <v>4052</v>
      </c>
      <c r="C1289" s="1077">
        <v>650</v>
      </c>
      <c r="D1289" s="1077">
        <v>1.76</v>
      </c>
      <c r="E1289" s="1077" t="s">
        <v>15104</v>
      </c>
      <c r="F1289" s="1077" t="s">
        <v>648</v>
      </c>
      <c r="G1289" s="1077">
        <v>4</v>
      </c>
      <c r="H1289" s="1077" t="s">
        <v>2326</v>
      </c>
      <c r="I1289" s="1077" t="s">
        <v>126</v>
      </c>
      <c r="J1289" s="1077">
        <v>1.1000000000000001</v>
      </c>
      <c r="K1289" s="1077" t="s">
        <v>4327</v>
      </c>
      <c r="L1289" s="1077" t="s">
        <v>987</v>
      </c>
      <c r="M1289" s="1077">
        <v>99</v>
      </c>
      <c r="N1289" s="1077" t="s">
        <v>945</v>
      </c>
      <c r="O1289" s="1077">
        <v>2.4750000000000001</v>
      </c>
      <c r="P1289" s="1077">
        <v>1.98</v>
      </c>
      <c r="Q1289" s="1077">
        <v>4.2</v>
      </c>
      <c r="R1289" s="1077">
        <v>23</v>
      </c>
      <c r="T1289" s="1077">
        <v>16</v>
      </c>
      <c r="U1289" s="1077">
        <v>3.6</v>
      </c>
      <c r="V1289" s="1077" t="s">
        <v>648</v>
      </c>
      <c r="W1289" s="1077">
        <v>120</v>
      </c>
      <c r="X1289" s="1077" t="s">
        <v>4054</v>
      </c>
      <c r="Y1289" s="1077">
        <v>2.5</v>
      </c>
      <c r="Z1289" s="1077" t="s">
        <v>648</v>
      </c>
      <c r="AA1289" s="1077" t="s">
        <v>3180</v>
      </c>
      <c r="AB1289" s="1077" t="s">
        <v>981</v>
      </c>
      <c r="AH1289" s="1077" t="s">
        <v>650</v>
      </c>
      <c r="AM1289" s="1078" t="s">
        <v>11590</v>
      </c>
      <c r="AN1289" s="1078" t="s">
        <v>11591</v>
      </c>
      <c r="AO1289" s="1078">
        <f t="shared" si="158"/>
        <v>650</v>
      </c>
      <c r="AP1289" s="1078">
        <f t="shared" si="159"/>
        <v>1.76</v>
      </c>
      <c r="AQ1289" s="1078" t="str">
        <f t="shared" si="160"/>
        <v>1-4-1S85°Z+S</v>
      </c>
      <c r="AR1289" s="1078" t="str">
        <f t="shared" si="161"/>
        <v>NA</v>
      </c>
      <c r="AS1289" s="1078" t="str">
        <f t="shared" si="162"/>
        <v>173/OFF</v>
      </c>
      <c r="AT1289" s="1078" t="str">
        <f t="shared" si="163"/>
        <v>1-4-1S85°Z+S</v>
      </c>
      <c r="AU1289" s="1078" t="s">
        <v>15547</v>
      </c>
      <c r="AV1289" s="1078" t="str">
        <f t="shared" si="164"/>
        <v>109.12.29</v>
      </c>
      <c r="AW1289" s="1344">
        <f t="shared" si="165"/>
        <v>44194</v>
      </c>
    </row>
    <row r="1290" spans="1:49">
      <c r="A1290" s="1077" t="s">
        <v>4651</v>
      </c>
      <c r="B1290" s="1077" t="s">
        <v>4052</v>
      </c>
      <c r="C1290" s="1077">
        <v>650</v>
      </c>
      <c r="D1290" s="1077">
        <v>1.76</v>
      </c>
      <c r="E1290" s="1077" t="s">
        <v>15104</v>
      </c>
      <c r="F1290" s="1077" t="s">
        <v>648</v>
      </c>
      <c r="G1290" s="1077">
        <v>4</v>
      </c>
      <c r="H1290" s="1077" t="s">
        <v>2326</v>
      </c>
      <c r="I1290" s="1077" t="s">
        <v>126</v>
      </c>
      <c r="J1290" s="1077">
        <v>1.1000000000000001</v>
      </c>
      <c r="K1290" s="1077" t="s">
        <v>4226</v>
      </c>
      <c r="L1290" s="1077" t="s">
        <v>987</v>
      </c>
      <c r="M1290" s="1077">
        <v>99</v>
      </c>
      <c r="N1290" s="1077" t="s">
        <v>945</v>
      </c>
      <c r="O1290" s="1077">
        <v>2.4750000000000001</v>
      </c>
      <c r="P1290" s="1077">
        <v>1.98</v>
      </c>
      <c r="Q1290" s="1077">
        <v>4.2</v>
      </c>
      <c r="R1290" s="1077">
        <v>23</v>
      </c>
      <c r="T1290" s="1077">
        <v>16</v>
      </c>
      <c r="U1290" s="1077">
        <v>3.6</v>
      </c>
      <c r="V1290" s="1077" t="s">
        <v>648</v>
      </c>
      <c r="W1290" s="1077">
        <v>120</v>
      </c>
      <c r="X1290" s="1077" t="s">
        <v>4054</v>
      </c>
      <c r="Y1290" s="1077">
        <v>2.5</v>
      </c>
      <c r="Z1290" s="1077" t="s">
        <v>648</v>
      </c>
      <c r="AA1290" s="1077" t="s">
        <v>4652</v>
      </c>
      <c r="AB1290" s="1077" t="s">
        <v>981</v>
      </c>
      <c r="AH1290" s="1077" t="s">
        <v>853</v>
      </c>
      <c r="AM1290" s="1078" t="s">
        <v>11592</v>
      </c>
      <c r="AN1290" s="1078" t="s">
        <v>11593</v>
      </c>
      <c r="AO1290" s="1078">
        <f t="shared" si="158"/>
        <v>650</v>
      </c>
      <c r="AP1290" s="1078">
        <f t="shared" si="159"/>
        <v>1.76</v>
      </c>
      <c r="AQ1290" s="1078" t="str">
        <f t="shared" si="160"/>
        <v>1-4-1S85°Z+S</v>
      </c>
      <c r="AR1290" s="1078" t="str">
        <f t="shared" si="161"/>
        <v>NA</v>
      </c>
      <c r="AS1290" s="1078" t="str">
        <f t="shared" si="162"/>
        <v>173/OFF</v>
      </c>
      <c r="AT1290" s="1078" t="str">
        <f t="shared" si="163"/>
        <v>1-4-1S85°Z+S</v>
      </c>
      <c r="AU1290" s="1078" t="s">
        <v>15547</v>
      </c>
      <c r="AV1290" s="1078" t="str">
        <f t="shared" si="164"/>
        <v>110.1.5</v>
      </c>
      <c r="AW1290" s="1344">
        <f t="shared" si="165"/>
        <v>44201</v>
      </c>
    </row>
    <row r="1291" spans="1:49">
      <c r="A1291" s="1077" t="s">
        <v>4653</v>
      </c>
      <c r="B1291" s="1077" t="s">
        <v>4052</v>
      </c>
      <c r="C1291" s="1077">
        <v>650</v>
      </c>
      <c r="D1291" s="1077">
        <v>1.76</v>
      </c>
      <c r="E1291" s="1077" t="s">
        <v>15104</v>
      </c>
      <c r="F1291" s="1077" t="s">
        <v>648</v>
      </c>
      <c r="G1291" s="1077">
        <v>4</v>
      </c>
      <c r="H1291" s="1077" t="s">
        <v>2326</v>
      </c>
      <c r="I1291" s="1077" t="s">
        <v>126</v>
      </c>
      <c r="J1291" s="1077">
        <v>1.1000000000000001</v>
      </c>
      <c r="K1291" s="1077" t="s">
        <v>4226</v>
      </c>
      <c r="L1291" s="1077" t="s">
        <v>987</v>
      </c>
      <c r="M1291" s="1077">
        <v>99</v>
      </c>
      <c r="N1291" s="1077" t="s">
        <v>945</v>
      </c>
      <c r="O1291" s="1077">
        <v>2.4750000000000001</v>
      </c>
      <c r="P1291" s="1077">
        <v>1.98</v>
      </c>
      <c r="Q1291" s="1077">
        <v>4.2</v>
      </c>
      <c r="R1291" s="1077">
        <v>23</v>
      </c>
      <c r="T1291" s="1077">
        <v>16</v>
      </c>
      <c r="U1291" s="1077">
        <v>3.6</v>
      </c>
      <c r="V1291" s="1077" t="s">
        <v>648</v>
      </c>
      <c r="W1291" s="1077">
        <v>120</v>
      </c>
      <c r="X1291" s="1077" t="s">
        <v>4054</v>
      </c>
      <c r="Y1291" s="1077">
        <v>2.5</v>
      </c>
      <c r="Z1291" s="1077" t="s">
        <v>648</v>
      </c>
      <c r="AA1291" s="1077" t="s">
        <v>3123</v>
      </c>
      <c r="AH1291" s="1077" t="s">
        <v>712</v>
      </c>
      <c r="AM1291" s="1078" t="s">
        <v>11594</v>
      </c>
      <c r="AN1291" s="1078" t="s">
        <v>11595</v>
      </c>
      <c r="AO1291" s="1078">
        <f t="shared" ref="AO1291:AO1354" si="166">C1291</f>
        <v>650</v>
      </c>
      <c r="AP1291" s="1078">
        <f t="shared" ref="AP1291:AP1354" si="167">D1291</f>
        <v>1.76</v>
      </c>
      <c r="AQ1291" s="1078" t="str">
        <f t="shared" ref="AQ1291:AQ1354" si="168">E1291</f>
        <v>1-4-1S85°Z+S</v>
      </c>
      <c r="AR1291" s="1078" t="str">
        <f t="shared" ref="AR1291:AR1354" si="169">F1291</f>
        <v>NA</v>
      </c>
      <c r="AS1291" s="1078" t="str">
        <f t="shared" ref="AS1291:AS1354" si="170">H1291</f>
        <v>173/OFF</v>
      </c>
      <c r="AT1291" s="1078" t="str">
        <f t="shared" ref="AT1291:AT1354" si="171">E1291</f>
        <v>1-4-1S85°Z+S</v>
      </c>
      <c r="AU1291" s="1078" t="s">
        <v>15547</v>
      </c>
      <c r="AV1291" s="1078" t="str">
        <f t="shared" si="164"/>
        <v>110.2.22</v>
      </c>
      <c r="AW1291" s="1344">
        <f t="shared" si="165"/>
        <v>44249</v>
      </c>
    </row>
    <row r="1292" spans="1:49">
      <c r="A1292" s="1077" t="s">
        <v>4654</v>
      </c>
      <c r="B1292" s="1077" t="s">
        <v>4052</v>
      </c>
      <c r="C1292" s="1077">
        <v>650</v>
      </c>
      <c r="D1292" s="1077">
        <v>1.76</v>
      </c>
      <c r="E1292" s="1077" t="s">
        <v>15104</v>
      </c>
      <c r="F1292" s="1077" t="s">
        <v>648</v>
      </c>
      <c r="G1292" s="1077">
        <v>4</v>
      </c>
      <c r="H1292" s="1077" t="s">
        <v>2326</v>
      </c>
      <c r="I1292" s="1077" t="s">
        <v>126</v>
      </c>
      <c r="J1292" s="1077">
        <v>1.1000000000000001</v>
      </c>
      <c r="K1292" s="1077" t="s">
        <v>4655</v>
      </c>
      <c r="L1292" s="1077" t="s">
        <v>987</v>
      </c>
      <c r="M1292" s="1077">
        <v>99</v>
      </c>
      <c r="N1292" s="1077" t="s">
        <v>945</v>
      </c>
      <c r="O1292" s="1077">
        <v>2.4750000000000001</v>
      </c>
      <c r="P1292" s="1077">
        <v>1.98</v>
      </c>
      <c r="Q1292" s="1077">
        <v>4.2</v>
      </c>
      <c r="R1292" s="1077">
        <v>23</v>
      </c>
      <c r="T1292" s="1077">
        <v>16</v>
      </c>
      <c r="U1292" s="1077">
        <v>3.6</v>
      </c>
      <c r="V1292" s="1077" t="s">
        <v>648</v>
      </c>
      <c r="W1292" s="1077">
        <v>120</v>
      </c>
      <c r="X1292" s="1077" t="s">
        <v>4054</v>
      </c>
      <c r="Y1292" s="1077">
        <v>2.5</v>
      </c>
      <c r="Z1292" s="1077" t="s">
        <v>648</v>
      </c>
      <c r="AA1292" s="1077" t="s">
        <v>3150</v>
      </c>
      <c r="AB1292" s="1077" t="s">
        <v>981</v>
      </c>
      <c r="AH1292" s="1077" t="s">
        <v>1178</v>
      </c>
      <c r="AM1292" s="1078" t="s">
        <v>11596</v>
      </c>
      <c r="AN1292" s="1078" t="s">
        <v>11597</v>
      </c>
      <c r="AO1292" s="1078">
        <f t="shared" si="166"/>
        <v>650</v>
      </c>
      <c r="AP1292" s="1078">
        <f t="shared" si="167"/>
        <v>1.76</v>
      </c>
      <c r="AQ1292" s="1078" t="str">
        <f t="shared" si="168"/>
        <v>1-4-1S85°Z+S</v>
      </c>
      <c r="AR1292" s="1078" t="str">
        <f t="shared" si="169"/>
        <v>NA</v>
      </c>
      <c r="AS1292" s="1078" t="str">
        <f t="shared" si="170"/>
        <v>173/OFF</v>
      </c>
      <c r="AT1292" s="1078" t="str">
        <f t="shared" si="171"/>
        <v>1-4-1S85°Z+S</v>
      </c>
      <c r="AU1292" s="1078" t="s">
        <v>15547</v>
      </c>
      <c r="AV1292" s="1078" t="str">
        <f t="shared" si="164"/>
        <v>110.3.17</v>
      </c>
      <c r="AW1292" s="1344">
        <f t="shared" si="165"/>
        <v>44272</v>
      </c>
    </row>
    <row r="1293" spans="1:49">
      <c r="A1293" s="1077" t="s">
        <v>4656</v>
      </c>
      <c r="B1293" s="1077" t="s">
        <v>4052</v>
      </c>
      <c r="C1293" s="1077">
        <v>650</v>
      </c>
      <c r="D1293" s="1077">
        <v>1.76</v>
      </c>
      <c r="E1293" s="1077" t="s">
        <v>15104</v>
      </c>
      <c r="F1293" s="1077" t="s">
        <v>648</v>
      </c>
      <c r="G1293" s="1077">
        <v>4</v>
      </c>
      <c r="H1293" s="1077" t="s">
        <v>2326</v>
      </c>
      <c r="I1293" s="1077" t="s">
        <v>126</v>
      </c>
      <c r="J1293" s="1077">
        <v>1.1000000000000001</v>
      </c>
      <c r="K1293" s="1077" t="s">
        <v>4655</v>
      </c>
      <c r="L1293" s="1077" t="s">
        <v>987</v>
      </c>
      <c r="M1293" s="1077">
        <v>99</v>
      </c>
      <c r="N1293" s="1077" t="s">
        <v>945</v>
      </c>
      <c r="O1293" s="1077">
        <v>2.4750000000000001</v>
      </c>
      <c r="P1293" s="1077">
        <v>1.98</v>
      </c>
      <c r="Q1293" s="1077">
        <v>4.2</v>
      </c>
      <c r="R1293" s="1077">
        <v>23</v>
      </c>
      <c r="T1293" s="1077">
        <v>16</v>
      </c>
      <c r="U1293" s="1077">
        <v>3.6</v>
      </c>
      <c r="V1293" s="1077" t="s">
        <v>648</v>
      </c>
      <c r="W1293" s="1077">
        <v>120</v>
      </c>
      <c r="X1293" s="1077" t="s">
        <v>4054</v>
      </c>
      <c r="Y1293" s="1077">
        <v>2.5</v>
      </c>
      <c r="Z1293" s="1077" t="s">
        <v>648</v>
      </c>
      <c r="AA1293" s="1077" t="s">
        <v>1406</v>
      </c>
      <c r="AB1293" s="1077" t="s">
        <v>981</v>
      </c>
      <c r="AH1293" s="1077" t="s">
        <v>1053</v>
      </c>
      <c r="AM1293" s="1078" t="s">
        <v>11598</v>
      </c>
      <c r="AN1293" s="1078" t="s">
        <v>11599</v>
      </c>
      <c r="AO1293" s="1078">
        <f t="shared" si="166"/>
        <v>650</v>
      </c>
      <c r="AP1293" s="1078">
        <f t="shared" si="167"/>
        <v>1.76</v>
      </c>
      <c r="AQ1293" s="1078" t="str">
        <f t="shared" si="168"/>
        <v>1-4-1S85°Z+S</v>
      </c>
      <c r="AR1293" s="1078" t="str">
        <f t="shared" si="169"/>
        <v>NA</v>
      </c>
      <c r="AS1293" s="1078" t="str">
        <f t="shared" si="170"/>
        <v>173/OFF</v>
      </c>
      <c r="AT1293" s="1078" t="str">
        <f t="shared" si="171"/>
        <v>1-4-1S85°Z+S</v>
      </c>
      <c r="AU1293" s="1078" t="s">
        <v>15547</v>
      </c>
      <c r="AV1293" s="1078" t="str">
        <f t="shared" si="164"/>
        <v>110.6.3</v>
      </c>
      <c r="AW1293" s="1344">
        <f t="shared" si="165"/>
        <v>44350</v>
      </c>
    </row>
    <row r="1294" spans="1:49">
      <c r="A1294" s="1077" t="s">
        <v>4657</v>
      </c>
      <c r="B1294" s="1077" t="s">
        <v>4052</v>
      </c>
      <c r="C1294" s="1077">
        <v>650</v>
      </c>
      <c r="D1294" s="1077">
        <v>1.76</v>
      </c>
      <c r="E1294" s="1077" t="s">
        <v>15104</v>
      </c>
      <c r="F1294" s="1077" t="s">
        <v>648</v>
      </c>
      <c r="G1294" s="1077">
        <v>4</v>
      </c>
      <c r="H1294" s="1077" t="s">
        <v>2326</v>
      </c>
      <c r="I1294" s="1077" t="s">
        <v>126</v>
      </c>
      <c r="J1294" s="1077">
        <v>1.1000000000000001</v>
      </c>
      <c r="K1294" s="1077" t="s">
        <v>4655</v>
      </c>
      <c r="L1294" s="1077" t="s">
        <v>987</v>
      </c>
      <c r="M1294" s="1077">
        <v>99</v>
      </c>
      <c r="N1294" s="1077" t="s">
        <v>945</v>
      </c>
      <c r="O1294" s="1077">
        <v>2.4750000000000001</v>
      </c>
      <c r="P1294" s="1077">
        <v>1.98</v>
      </c>
      <c r="Q1294" s="1077">
        <v>4.2</v>
      </c>
      <c r="R1294" s="1077">
        <v>23</v>
      </c>
      <c r="T1294" s="1077">
        <v>16</v>
      </c>
      <c r="U1294" s="1077">
        <v>3.6</v>
      </c>
      <c r="V1294" s="1077" t="s">
        <v>648</v>
      </c>
      <c r="W1294" s="1077">
        <v>120</v>
      </c>
      <c r="X1294" s="1077" t="s">
        <v>4054</v>
      </c>
      <c r="Y1294" s="1077">
        <v>2.5</v>
      </c>
      <c r="Z1294" s="1077" t="s">
        <v>648</v>
      </c>
      <c r="AA1294" s="1077" t="s">
        <v>4658</v>
      </c>
      <c r="AB1294" s="1077" t="s">
        <v>981</v>
      </c>
      <c r="AH1294" s="1077" t="s">
        <v>803</v>
      </c>
      <c r="AM1294" s="1078" t="s">
        <v>11600</v>
      </c>
      <c r="AN1294" s="1078" t="s">
        <v>11601</v>
      </c>
      <c r="AO1294" s="1078">
        <f t="shared" si="166"/>
        <v>650</v>
      </c>
      <c r="AP1294" s="1078">
        <f t="shared" si="167"/>
        <v>1.76</v>
      </c>
      <c r="AQ1294" s="1078" t="str">
        <f t="shared" si="168"/>
        <v>1-4-1S85°Z+S</v>
      </c>
      <c r="AR1294" s="1078" t="str">
        <f t="shared" si="169"/>
        <v>NA</v>
      </c>
      <c r="AS1294" s="1078" t="str">
        <f t="shared" si="170"/>
        <v>173/OFF</v>
      </c>
      <c r="AT1294" s="1078" t="str">
        <f t="shared" si="171"/>
        <v>1-4-1S85°Z+S</v>
      </c>
      <c r="AU1294" s="1078" t="s">
        <v>15547</v>
      </c>
      <c r="AV1294" s="1078" t="str">
        <f t="shared" si="164"/>
        <v>110.6.29</v>
      </c>
      <c r="AW1294" s="1344">
        <f t="shared" si="165"/>
        <v>44376</v>
      </c>
    </row>
    <row r="1295" spans="1:49">
      <c r="A1295" s="1077" t="s">
        <v>4659</v>
      </c>
      <c r="B1295" s="1077" t="s">
        <v>4083</v>
      </c>
      <c r="C1295" s="1077">
        <v>600</v>
      </c>
      <c r="D1295" s="1077">
        <v>1.77</v>
      </c>
      <c r="E1295" s="1077" t="s">
        <v>15095</v>
      </c>
      <c r="F1295" s="1077" t="s">
        <v>2234</v>
      </c>
      <c r="G1295" s="1077" t="s">
        <v>1767</v>
      </c>
      <c r="H1295" s="1077" t="s">
        <v>4660</v>
      </c>
      <c r="I1295" s="1077" t="s">
        <v>126</v>
      </c>
      <c r="J1295" s="1077">
        <v>1.6</v>
      </c>
      <c r="K1295" s="1077" t="s">
        <v>4661</v>
      </c>
      <c r="L1295" s="1077" t="s">
        <v>4085</v>
      </c>
      <c r="M1295" s="1077">
        <v>101.6</v>
      </c>
      <c r="N1295" s="1077" t="s">
        <v>945</v>
      </c>
      <c r="O1295" s="1077">
        <v>2.54</v>
      </c>
      <c r="P1295" s="1077">
        <v>2.032</v>
      </c>
      <c r="Q1295" s="1077" t="s">
        <v>1321</v>
      </c>
      <c r="R1295" s="1077">
        <v>20.5</v>
      </c>
      <c r="T1295" s="1077">
        <v>26.9</v>
      </c>
      <c r="U1295" s="1077">
        <v>4</v>
      </c>
      <c r="V1295" s="1077" t="s">
        <v>648</v>
      </c>
      <c r="W1295" s="1077">
        <v>125</v>
      </c>
      <c r="X1295" s="1077">
        <v>75</v>
      </c>
      <c r="Y1295" s="1077">
        <v>1.5</v>
      </c>
      <c r="Z1295" s="1077" t="s">
        <v>4662</v>
      </c>
      <c r="AA1295" s="1077" t="s">
        <v>4130</v>
      </c>
      <c r="AH1295" s="1077" t="s">
        <v>468</v>
      </c>
      <c r="AM1295" s="1078" t="s">
        <v>11602</v>
      </c>
      <c r="AN1295" s="1078" t="s">
        <v>11603</v>
      </c>
      <c r="AO1295" s="1078">
        <f t="shared" si="166"/>
        <v>600</v>
      </c>
      <c r="AP1295" s="1078">
        <f t="shared" si="167"/>
        <v>1.77</v>
      </c>
      <c r="AQ1295" s="1078" t="str">
        <f t="shared" si="168"/>
        <v>1-5-1S83°</v>
      </c>
      <c r="AR1295" s="1078" t="str">
        <f t="shared" si="169"/>
        <v>33.5</v>
      </c>
      <c r="AS1295" s="1078" t="str">
        <f t="shared" si="170"/>
        <v>260/240/OFF</v>
      </c>
      <c r="AT1295" s="1078" t="str">
        <f t="shared" si="171"/>
        <v>1-5-1S83°</v>
      </c>
      <c r="AV1295" s="1078" t="str">
        <f t="shared" si="164"/>
        <v>109.1.3</v>
      </c>
      <c r="AW1295" s="1344">
        <f t="shared" si="165"/>
        <v>43833</v>
      </c>
    </row>
    <row r="1296" spans="1:49">
      <c r="A1296" s="1077" t="s">
        <v>4663</v>
      </c>
      <c r="B1296" s="1077" t="s">
        <v>210</v>
      </c>
      <c r="C1296" s="1077">
        <v>750</v>
      </c>
      <c r="D1296" s="1077">
        <v>1.76</v>
      </c>
      <c r="E1296" s="1077" t="s">
        <v>15094</v>
      </c>
      <c r="F1296" s="1077" t="s">
        <v>4013</v>
      </c>
      <c r="G1296" s="1077">
        <v>5</v>
      </c>
      <c r="H1296" s="1077" t="s">
        <v>4664</v>
      </c>
      <c r="I1296" s="1077" t="s">
        <v>126</v>
      </c>
      <c r="J1296" s="1077">
        <v>1.5</v>
      </c>
      <c r="K1296" s="1077" t="s">
        <v>4665</v>
      </c>
      <c r="L1296" s="1077" t="s">
        <v>4666</v>
      </c>
      <c r="M1296" s="1077">
        <v>152.19999999999999</v>
      </c>
      <c r="N1296" s="1077" t="s">
        <v>945</v>
      </c>
      <c r="O1296" s="1077">
        <v>3.8049999999999997</v>
      </c>
      <c r="P1296" s="1077">
        <v>3.044</v>
      </c>
      <c r="Q1296" s="1077" t="s">
        <v>961</v>
      </c>
      <c r="R1296" s="1077">
        <v>19</v>
      </c>
      <c r="T1296" s="1077">
        <v>16</v>
      </c>
      <c r="U1296" s="1077">
        <v>4</v>
      </c>
      <c r="V1296" s="1077" t="s">
        <v>648</v>
      </c>
      <c r="W1296" s="1077" t="s">
        <v>4667</v>
      </c>
      <c r="X1296" s="1077">
        <v>10</v>
      </c>
      <c r="Y1296" s="1077">
        <v>1.5</v>
      </c>
      <c r="Z1296" s="1077">
        <v>5</v>
      </c>
      <c r="AA1296" s="1077" t="s">
        <v>4258</v>
      </c>
      <c r="AH1296" s="1077" t="s">
        <v>877</v>
      </c>
      <c r="AM1296" s="1078" t="s">
        <v>11604</v>
      </c>
      <c r="AN1296" s="1078" t="s">
        <v>11605</v>
      </c>
      <c r="AO1296" s="1078">
        <f t="shared" si="166"/>
        <v>750</v>
      </c>
      <c r="AP1296" s="1078">
        <f t="shared" si="167"/>
        <v>1.76</v>
      </c>
      <c r="AQ1296" s="1078" t="str">
        <f t="shared" si="168"/>
        <v>1-5-1S91°</v>
      </c>
      <c r="AR1296" s="1078" t="str">
        <f t="shared" si="169"/>
        <v>30.3</v>
      </c>
      <c r="AS1296" s="1078" t="str">
        <f t="shared" si="170"/>
        <v>343/303/164</v>
      </c>
      <c r="AT1296" s="1078" t="str">
        <f t="shared" si="171"/>
        <v>1-5-1S91°</v>
      </c>
      <c r="AV1296" s="1078" t="str">
        <f t="shared" si="164"/>
        <v>108.1.21</v>
      </c>
      <c r="AW1296" s="1344">
        <f t="shared" si="165"/>
        <v>43486</v>
      </c>
    </row>
    <row r="1297" spans="1:49">
      <c r="A1297" s="1077" t="s">
        <v>4668</v>
      </c>
      <c r="B1297" s="1077" t="s">
        <v>210</v>
      </c>
      <c r="C1297" s="1077">
        <v>750</v>
      </c>
      <c r="D1297" s="1077">
        <v>1.76</v>
      </c>
      <c r="E1297" s="1077" t="s">
        <v>15094</v>
      </c>
      <c r="F1297" s="1077" t="s">
        <v>984</v>
      </c>
      <c r="G1297" s="1077">
        <v>5</v>
      </c>
      <c r="H1297" s="1077" t="s">
        <v>4669</v>
      </c>
      <c r="I1297" s="1077" t="s">
        <v>648</v>
      </c>
      <c r="J1297" s="1077">
        <v>0</v>
      </c>
      <c r="K1297" s="1077" t="s">
        <v>4670</v>
      </c>
      <c r="L1297" s="1077" t="s">
        <v>4666</v>
      </c>
      <c r="M1297" s="1077">
        <v>152.4</v>
      </c>
      <c r="N1297" s="1077" t="s">
        <v>945</v>
      </c>
      <c r="O1297" s="1077">
        <v>3.8100000000000005</v>
      </c>
      <c r="P1297" s="1077">
        <v>3.048</v>
      </c>
      <c r="Q1297" s="1077" t="s">
        <v>946</v>
      </c>
      <c r="R1297" s="1077">
        <v>21.6</v>
      </c>
      <c r="T1297" s="1077">
        <v>17</v>
      </c>
      <c r="U1297" s="1077">
        <v>2.6</v>
      </c>
      <c r="V1297" s="1077" t="s">
        <v>648</v>
      </c>
      <c r="W1297" s="1077" t="s">
        <v>648</v>
      </c>
      <c r="X1297" s="1077" t="s">
        <v>648</v>
      </c>
      <c r="Y1297" s="1077">
        <v>1</v>
      </c>
      <c r="Z1297" s="1077">
        <v>4.5</v>
      </c>
      <c r="AA1297" s="1077" t="s">
        <v>4671</v>
      </c>
      <c r="AH1297" s="1077" t="s">
        <v>1238</v>
      </c>
      <c r="AM1297" s="1078" t="s">
        <v>11606</v>
      </c>
      <c r="AN1297" s="1078" t="s">
        <v>11607</v>
      </c>
      <c r="AO1297" s="1078">
        <f t="shared" si="166"/>
        <v>750</v>
      </c>
      <c r="AP1297" s="1078">
        <f t="shared" si="167"/>
        <v>1.76</v>
      </c>
      <c r="AQ1297" s="1078" t="str">
        <f t="shared" si="168"/>
        <v>1-5-1S91°</v>
      </c>
      <c r="AR1297" s="1078" t="str">
        <f t="shared" si="169"/>
        <v>30</v>
      </c>
      <c r="AS1297" s="1078" t="str">
        <f t="shared" si="170"/>
        <v>357/317/155</v>
      </c>
      <c r="AT1297" s="1078" t="str">
        <f t="shared" si="171"/>
        <v>1-5-1S91°</v>
      </c>
      <c r="AV1297" s="1078" t="str">
        <f t="shared" si="164"/>
        <v>108.2.1</v>
      </c>
      <c r="AW1297" s="1344">
        <f t="shared" si="165"/>
        <v>43497</v>
      </c>
    </row>
    <row r="1298" spans="1:49">
      <c r="A1298" s="1077" t="s">
        <v>4672</v>
      </c>
      <c r="B1298" s="1077" t="s">
        <v>210</v>
      </c>
      <c r="C1298" s="1077">
        <v>750</v>
      </c>
      <c r="D1298" s="1077">
        <v>1.76</v>
      </c>
      <c r="E1298" s="1077" t="s">
        <v>15094</v>
      </c>
      <c r="F1298" s="1077" t="s">
        <v>4013</v>
      </c>
      <c r="G1298" s="1077">
        <v>5</v>
      </c>
      <c r="H1298" s="1077" t="s">
        <v>4673</v>
      </c>
      <c r="I1298" s="1077" t="s">
        <v>126</v>
      </c>
      <c r="J1298" s="1077">
        <v>1.5</v>
      </c>
      <c r="K1298" s="1077" t="s">
        <v>4674</v>
      </c>
      <c r="L1298" s="1077" t="s">
        <v>4675</v>
      </c>
      <c r="M1298" s="1077">
        <v>152.19999999999999</v>
      </c>
      <c r="N1298" s="1077" t="s">
        <v>945</v>
      </c>
      <c r="O1298" s="1077">
        <v>3.8049999999999997</v>
      </c>
      <c r="P1298" s="1077">
        <v>3.044</v>
      </c>
      <c r="Q1298" s="1077" t="s">
        <v>961</v>
      </c>
      <c r="R1298" s="1077">
        <v>19</v>
      </c>
      <c r="T1298" s="1077">
        <v>16</v>
      </c>
      <c r="U1298" s="1077">
        <v>4</v>
      </c>
      <c r="V1298" s="1077" t="s">
        <v>648</v>
      </c>
      <c r="W1298" s="1077" t="s">
        <v>4667</v>
      </c>
      <c r="X1298" s="1077">
        <v>10</v>
      </c>
      <c r="Y1298" s="1077">
        <v>1.5</v>
      </c>
      <c r="Z1298" s="1077">
        <v>5</v>
      </c>
      <c r="AA1298" s="1077" t="s">
        <v>4676</v>
      </c>
      <c r="AH1298" s="1077" t="s">
        <v>813</v>
      </c>
      <c r="AM1298" s="1078" t="s">
        <v>11608</v>
      </c>
      <c r="AN1298" s="1078" t="s">
        <v>11609</v>
      </c>
      <c r="AO1298" s="1078">
        <f t="shared" si="166"/>
        <v>750</v>
      </c>
      <c r="AP1298" s="1078">
        <f t="shared" si="167"/>
        <v>1.76</v>
      </c>
      <c r="AQ1298" s="1078" t="str">
        <f t="shared" si="168"/>
        <v>1-5-1S91°</v>
      </c>
      <c r="AR1298" s="1078" t="str">
        <f t="shared" si="169"/>
        <v>30.3</v>
      </c>
      <c r="AS1298" s="1078" t="str">
        <f t="shared" si="170"/>
        <v>343/303/163</v>
      </c>
      <c r="AT1298" s="1078" t="str">
        <f t="shared" si="171"/>
        <v>1-5-1S91°</v>
      </c>
      <c r="AV1298" s="1078" t="str">
        <f t="shared" si="164"/>
        <v>108.2.4</v>
      </c>
      <c r="AW1298" s="1344">
        <f t="shared" si="165"/>
        <v>43500</v>
      </c>
    </row>
    <row r="1299" spans="1:49">
      <c r="A1299" s="1077" t="s">
        <v>4677</v>
      </c>
      <c r="B1299" s="1077" t="s">
        <v>210</v>
      </c>
      <c r="C1299" s="1077">
        <v>750</v>
      </c>
      <c r="D1299" s="1077">
        <v>1.76</v>
      </c>
      <c r="E1299" s="1077" t="s">
        <v>15094</v>
      </c>
      <c r="F1299" s="1077" t="s">
        <v>4013</v>
      </c>
      <c r="G1299" s="1077">
        <v>5</v>
      </c>
      <c r="H1299" s="1077" t="s">
        <v>4673</v>
      </c>
      <c r="I1299" s="1077" t="s">
        <v>126</v>
      </c>
      <c r="J1299" s="1077">
        <v>1.5</v>
      </c>
      <c r="K1299" s="1077" t="s">
        <v>4678</v>
      </c>
      <c r="L1299" s="1077" t="s">
        <v>4666</v>
      </c>
      <c r="M1299" s="1077">
        <v>152.19999999999999</v>
      </c>
      <c r="N1299" s="1077" t="s">
        <v>945</v>
      </c>
      <c r="O1299" s="1077">
        <v>3.8049999999999997</v>
      </c>
      <c r="P1299" s="1077">
        <v>3.044</v>
      </c>
      <c r="Q1299" s="1077" t="s">
        <v>961</v>
      </c>
      <c r="R1299" s="1077">
        <v>19</v>
      </c>
      <c r="T1299" s="1077">
        <v>16</v>
      </c>
      <c r="U1299" s="1077">
        <v>4</v>
      </c>
      <c r="V1299" s="1077" t="s">
        <v>648</v>
      </c>
      <c r="W1299" s="1077" t="s">
        <v>4667</v>
      </c>
      <c r="X1299" s="1077">
        <v>10</v>
      </c>
      <c r="Y1299" s="1077">
        <v>1.5</v>
      </c>
      <c r="Z1299" s="1077">
        <v>5</v>
      </c>
      <c r="AA1299" s="1077" t="s">
        <v>4679</v>
      </c>
      <c r="AH1299" s="1077" t="s">
        <v>1221</v>
      </c>
      <c r="AM1299" s="1078" t="s">
        <v>11610</v>
      </c>
      <c r="AN1299" s="1078" t="s">
        <v>11611</v>
      </c>
      <c r="AO1299" s="1078">
        <f t="shared" si="166"/>
        <v>750</v>
      </c>
      <c r="AP1299" s="1078">
        <f t="shared" si="167"/>
        <v>1.76</v>
      </c>
      <c r="AQ1299" s="1078" t="str">
        <f t="shared" si="168"/>
        <v>1-5-1S91°</v>
      </c>
      <c r="AR1299" s="1078" t="str">
        <f t="shared" si="169"/>
        <v>30.3</v>
      </c>
      <c r="AS1299" s="1078" t="str">
        <f t="shared" si="170"/>
        <v>343/303/163</v>
      </c>
      <c r="AT1299" s="1078" t="str">
        <f t="shared" si="171"/>
        <v>1-5-1S91°</v>
      </c>
      <c r="AV1299" s="1078" t="str">
        <f t="shared" si="164"/>
        <v>108.3.5</v>
      </c>
      <c r="AW1299" s="1344">
        <f t="shared" si="165"/>
        <v>43529</v>
      </c>
    </row>
    <row r="1300" spans="1:49">
      <c r="A1300" s="1077" t="s">
        <v>4680</v>
      </c>
      <c r="B1300" s="1077" t="s">
        <v>210</v>
      </c>
      <c r="C1300" s="1077">
        <v>750</v>
      </c>
      <c r="D1300" s="1077">
        <v>1.76</v>
      </c>
      <c r="E1300" s="1077" t="s">
        <v>15094</v>
      </c>
      <c r="F1300" s="1077" t="s">
        <v>4013</v>
      </c>
      <c r="G1300" s="1077">
        <v>5</v>
      </c>
      <c r="H1300" s="1077" t="s">
        <v>4681</v>
      </c>
      <c r="I1300" s="1077" t="s">
        <v>126</v>
      </c>
      <c r="J1300" s="1077">
        <v>1.5</v>
      </c>
      <c r="K1300" s="1077" t="s">
        <v>4682</v>
      </c>
      <c r="L1300" s="1077" t="s">
        <v>4666</v>
      </c>
      <c r="M1300" s="1077">
        <v>152.19999999999999</v>
      </c>
      <c r="N1300" s="1077" t="s">
        <v>945</v>
      </c>
      <c r="O1300" s="1077">
        <v>3.8049999999999997</v>
      </c>
      <c r="P1300" s="1077">
        <v>3.044</v>
      </c>
      <c r="Q1300" s="1077" t="s">
        <v>988</v>
      </c>
      <c r="R1300" s="1077">
        <v>19</v>
      </c>
      <c r="T1300" s="1077">
        <v>16</v>
      </c>
      <c r="U1300" s="1077">
        <v>4</v>
      </c>
      <c r="V1300" s="1077" t="s">
        <v>648</v>
      </c>
      <c r="W1300" s="1077">
        <v>85</v>
      </c>
      <c r="X1300" s="1077">
        <v>10</v>
      </c>
      <c r="Y1300" s="1077">
        <v>1.5</v>
      </c>
      <c r="Z1300" s="1077">
        <v>5</v>
      </c>
      <c r="AA1300" s="1077" t="s">
        <v>4683</v>
      </c>
      <c r="AH1300" s="1077" t="s">
        <v>722</v>
      </c>
      <c r="AM1300" s="1078" t="s">
        <v>11612</v>
      </c>
      <c r="AN1300" s="1078" t="s">
        <v>11613</v>
      </c>
      <c r="AO1300" s="1078">
        <f t="shared" si="166"/>
        <v>750</v>
      </c>
      <c r="AP1300" s="1078">
        <f t="shared" si="167"/>
        <v>1.76</v>
      </c>
      <c r="AQ1300" s="1078" t="str">
        <f t="shared" si="168"/>
        <v>1-5-1S91°</v>
      </c>
      <c r="AR1300" s="1078" t="str">
        <f t="shared" si="169"/>
        <v>30.3</v>
      </c>
      <c r="AS1300" s="1078" t="str">
        <f t="shared" si="170"/>
        <v>337/297/165</v>
      </c>
      <c r="AT1300" s="1078" t="str">
        <f t="shared" si="171"/>
        <v>1-5-1S91°</v>
      </c>
      <c r="AV1300" s="1078" t="str">
        <f t="shared" si="164"/>
        <v>109.2.28</v>
      </c>
      <c r="AW1300" s="1344">
        <f t="shared" si="165"/>
        <v>43889</v>
      </c>
    </row>
    <row r="1301" spans="1:49">
      <c r="A1301" s="1077" t="s">
        <v>4684</v>
      </c>
      <c r="B1301" s="1077" t="s">
        <v>210</v>
      </c>
      <c r="C1301" s="1077">
        <v>750</v>
      </c>
      <c r="D1301" s="1077">
        <v>1.76</v>
      </c>
      <c r="E1301" s="1077" t="s">
        <v>15094</v>
      </c>
      <c r="F1301" s="1077" t="s">
        <v>984</v>
      </c>
      <c r="G1301" s="1077">
        <v>5</v>
      </c>
      <c r="H1301" s="1077" t="s">
        <v>4685</v>
      </c>
      <c r="I1301" s="1077" t="s">
        <v>126</v>
      </c>
      <c r="J1301" s="1077">
        <v>0.9</v>
      </c>
      <c r="K1301" s="1077" t="s">
        <v>4682</v>
      </c>
      <c r="L1301" s="1077" t="s">
        <v>4666</v>
      </c>
      <c r="M1301" s="1077">
        <v>151.5</v>
      </c>
      <c r="N1301" s="1077" t="s">
        <v>945</v>
      </c>
      <c r="O1301" s="1077">
        <v>3.7875000000000001</v>
      </c>
      <c r="P1301" s="1077">
        <v>3.0300000000000002</v>
      </c>
      <c r="Q1301" s="1077" t="s">
        <v>956</v>
      </c>
      <c r="R1301" s="1077">
        <v>19.100000000000001</v>
      </c>
      <c r="T1301" s="1077">
        <v>23.7</v>
      </c>
      <c r="U1301" s="1077">
        <v>3.2</v>
      </c>
      <c r="V1301" s="1077" t="s">
        <v>648</v>
      </c>
      <c r="W1301" s="1077">
        <v>35</v>
      </c>
      <c r="X1301" s="1077">
        <v>10</v>
      </c>
      <c r="Y1301" s="1077">
        <v>1</v>
      </c>
      <c r="Z1301" s="1077">
        <v>6</v>
      </c>
      <c r="AA1301" s="1077" t="s">
        <v>4686</v>
      </c>
      <c r="AB1301" s="1077" t="s">
        <v>4165</v>
      </c>
      <c r="AH1301" s="1077" t="s">
        <v>684</v>
      </c>
      <c r="AM1301" s="1078" t="s">
        <v>11614</v>
      </c>
      <c r="AN1301" s="1078" t="s">
        <v>11615</v>
      </c>
      <c r="AO1301" s="1078">
        <f t="shared" si="166"/>
        <v>750</v>
      </c>
      <c r="AP1301" s="1078">
        <f t="shared" si="167"/>
        <v>1.76</v>
      </c>
      <c r="AQ1301" s="1078" t="str">
        <f t="shared" si="168"/>
        <v>1-5-1S91°</v>
      </c>
      <c r="AR1301" s="1078" t="str">
        <f t="shared" si="169"/>
        <v>30</v>
      </c>
      <c r="AS1301" s="1078" t="str">
        <f t="shared" si="170"/>
        <v>390/350/155</v>
      </c>
      <c r="AT1301" s="1078" t="str">
        <f t="shared" si="171"/>
        <v>1-5-1S91°</v>
      </c>
      <c r="AV1301" s="1078" t="str">
        <f t="shared" si="164"/>
        <v>109.2.24</v>
      </c>
      <c r="AW1301" s="1344">
        <f t="shared" si="165"/>
        <v>43885</v>
      </c>
    </row>
    <row r="1302" spans="1:49">
      <c r="A1302" s="1077" t="s">
        <v>4687</v>
      </c>
      <c r="B1302" s="1077" t="s">
        <v>210</v>
      </c>
      <c r="C1302" s="1077">
        <v>750</v>
      </c>
      <c r="D1302" s="1077">
        <v>1.76</v>
      </c>
      <c r="E1302" s="1077" t="s">
        <v>15094</v>
      </c>
      <c r="F1302" s="1077" t="s">
        <v>4013</v>
      </c>
      <c r="G1302" s="1077">
        <v>5</v>
      </c>
      <c r="H1302" s="1077" t="s">
        <v>4681</v>
      </c>
      <c r="I1302" s="1077" t="s">
        <v>126</v>
      </c>
      <c r="J1302" s="1077">
        <v>1.5</v>
      </c>
      <c r="K1302" s="1077" t="s">
        <v>4688</v>
      </c>
      <c r="L1302" s="1077" t="s">
        <v>4675</v>
      </c>
      <c r="M1302" s="1077">
        <v>152.19999999999999</v>
      </c>
      <c r="N1302" s="1077" t="s">
        <v>945</v>
      </c>
      <c r="O1302" s="1077">
        <v>3.8049999999999997</v>
      </c>
      <c r="P1302" s="1077">
        <v>3.044</v>
      </c>
      <c r="Q1302" s="1077" t="s">
        <v>988</v>
      </c>
      <c r="R1302" s="1077">
        <v>19</v>
      </c>
      <c r="T1302" s="1077">
        <v>16</v>
      </c>
      <c r="U1302" s="1077">
        <v>4</v>
      </c>
      <c r="V1302" s="1077" t="s">
        <v>648</v>
      </c>
      <c r="W1302" s="1077">
        <v>85</v>
      </c>
      <c r="X1302" s="1077">
        <v>10</v>
      </c>
      <c r="Y1302" s="1077">
        <v>1.5</v>
      </c>
      <c r="Z1302" s="1077">
        <v>5</v>
      </c>
      <c r="AA1302" s="1077" t="s">
        <v>2966</v>
      </c>
      <c r="AH1302" s="1077" t="s">
        <v>1137</v>
      </c>
      <c r="AM1302" s="1078" t="s">
        <v>11616</v>
      </c>
      <c r="AN1302" s="1078" t="s">
        <v>11617</v>
      </c>
      <c r="AO1302" s="1078">
        <f t="shared" si="166"/>
        <v>750</v>
      </c>
      <c r="AP1302" s="1078">
        <f t="shared" si="167"/>
        <v>1.76</v>
      </c>
      <c r="AQ1302" s="1078" t="str">
        <f t="shared" si="168"/>
        <v>1-5-1S91°</v>
      </c>
      <c r="AR1302" s="1078" t="str">
        <f t="shared" si="169"/>
        <v>30.3</v>
      </c>
      <c r="AS1302" s="1078" t="str">
        <f t="shared" si="170"/>
        <v>337/297/165</v>
      </c>
      <c r="AT1302" s="1078" t="str">
        <f t="shared" si="171"/>
        <v>1-5-1S91°</v>
      </c>
      <c r="AV1302" s="1078" t="str">
        <f t="shared" si="164"/>
        <v>109.5.8</v>
      </c>
      <c r="AW1302" s="1344">
        <f t="shared" si="165"/>
        <v>43959</v>
      </c>
    </row>
    <row r="1303" spans="1:49">
      <c r="A1303" s="1077" t="s">
        <v>4689</v>
      </c>
      <c r="B1303" s="1077" t="s">
        <v>210</v>
      </c>
      <c r="C1303" s="1077">
        <v>800</v>
      </c>
      <c r="D1303" s="1077">
        <v>1.76</v>
      </c>
      <c r="E1303" s="1077" t="s">
        <v>15094</v>
      </c>
      <c r="F1303" s="1077" t="s">
        <v>984</v>
      </c>
      <c r="G1303" s="1077">
        <v>5</v>
      </c>
      <c r="H1303" s="1077" t="s">
        <v>4690</v>
      </c>
      <c r="I1303" s="1077" t="s">
        <v>126</v>
      </c>
      <c r="J1303" s="1077">
        <v>2.9</v>
      </c>
      <c r="K1303" s="1077" t="s">
        <v>4688</v>
      </c>
      <c r="L1303" s="1077" t="s">
        <v>4675</v>
      </c>
      <c r="M1303" s="1077">
        <v>150.80000000000001</v>
      </c>
      <c r="N1303" s="1077" t="s">
        <v>945</v>
      </c>
      <c r="O1303" s="1077">
        <v>3.7700000000000005</v>
      </c>
      <c r="P1303" s="1077">
        <v>3.0160000000000005</v>
      </c>
      <c r="Q1303" s="1077" t="s">
        <v>946</v>
      </c>
      <c r="R1303" s="1077">
        <v>19</v>
      </c>
      <c r="T1303" s="1077">
        <v>28.3</v>
      </c>
      <c r="U1303" s="1077">
        <v>4.3</v>
      </c>
      <c r="V1303" s="1077" t="s">
        <v>648</v>
      </c>
      <c r="W1303" s="1077">
        <v>100</v>
      </c>
      <c r="X1303" s="1077">
        <v>50</v>
      </c>
      <c r="Y1303" s="1077">
        <v>1.5</v>
      </c>
      <c r="Z1303" s="1077">
        <v>6.5</v>
      </c>
      <c r="AA1303" s="1077" t="s">
        <v>2411</v>
      </c>
      <c r="AH1303" s="1077" t="s">
        <v>878</v>
      </c>
      <c r="AM1303" s="1078" t="s">
        <v>11618</v>
      </c>
      <c r="AN1303" s="1078" t="s">
        <v>11619</v>
      </c>
      <c r="AO1303" s="1078">
        <f t="shared" si="166"/>
        <v>800</v>
      </c>
      <c r="AP1303" s="1078">
        <f t="shared" si="167"/>
        <v>1.76</v>
      </c>
      <c r="AQ1303" s="1078" t="str">
        <f t="shared" si="168"/>
        <v>1-5-1S91°</v>
      </c>
      <c r="AR1303" s="1078" t="str">
        <f t="shared" si="169"/>
        <v>30</v>
      </c>
      <c r="AS1303" s="1078" t="str">
        <f t="shared" si="170"/>
        <v>380/340/OFF</v>
      </c>
      <c r="AT1303" s="1078" t="str">
        <f t="shared" si="171"/>
        <v>1-5-1S91°</v>
      </c>
      <c r="AV1303" s="1078" t="str">
        <f t="shared" si="164"/>
        <v>109.5.20</v>
      </c>
      <c r="AW1303" s="1344">
        <f t="shared" si="165"/>
        <v>43971</v>
      </c>
    </row>
    <row r="1304" spans="1:49">
      <c r="A1304" s="1077" t="s">
        <v>4691</v>
      </c>
      <c r="B1304" s="1077" t="s">
        <v>210</v>
      </c>
      <c r="C1304" s="1077">
        <v>750</v>
      </c>
      <c r="D1304" s="1077">
        <v>1.76</v>
      </c>
      <c r="E1304" s="1077" t="s">
        <v>15094</v>
      </c>
      <c r="F1304" s="1077" t="s">
        <v>984</v>
      </c>
      <c r="G1304" s="1077">
        <v>5</v>
      </c>
      <c r="H1304" s="1077" t="s">
        <v>4685</v>
      </c>
      <c r="I1304" s="1077" t="s">
        <v>126</v>
      </c>
      <c r="J1304" s="1077">
        <v>0.8</v>
      </c>
      <c r="K1304" s="1077" t="s">
        <v>4688</v>
      </c>
      <c r="L1304" s="1077" t="s">
        <v>4675</v>
      </c>
      <c r="M1304" s="1077">
        <v>151.5</v>
      </c>
      <c r="N1304" s="1077" t="s">
        <v>945</v>
      </c>
      <c r="O1304" s="1077">
        <v>3.7875000000000001</v>
      </c>
      <c r="P1304" s="1077">
        <v>3.0300000000000002</v>
      </c>
      <c r="Q1304" s="1077" t="s">
        <v>956</v>
      </c>
      <c r="R1304" s="1077">
        <v>19.100000000000001</v>
      </c>
      <c r="T1304" s="1077">
        <v>23.7</v>
      </c>
      <c r="U1304" s="1077">
        <v>3.2</v>
      </c>
      <c r="V1304" s="1077" t="s">
        <v>648</v>
      </c>
      <c r="W1304" s="1077">
        <v>35</v>
      </c>
      <c r="X1304" s="1077">
        <v>10</v>
      </c>
      <c r="Y1304" s="1077">
        <v>1</v>
      </c>
      <c r="Z1304" s="1077">
        <v>6</v>
      </c>
      <c r="AA1304" s="1077" t="s">
        <v>3333</v>
      </c>
      <c r="AB1304" s="1077" t="s">
        <v>4165</v>
      </c>
      <c r="AH1304" s="1077" t="s">
        <v>4692</v>
      </c>
      <c r="AM1304" s="1078" t="s">
        <v>11620</v>
      </c>
      <c r="AN1304" s="1078" t="s">
        <v>11621</v>
      </c>
      <c r="AO1304" s="1078">
        <f t="shared" si="166"/>
        <v>750</v>
      </c>
      <c r="AP1304" s="1078">
        <f t="shared" si="167"/>
        <v>1.76</v>
      </c>
      <c r="AQ1304" s="1078" t="str">
        <f t="shared" si="168"/>
        <v>1-5-1S91°</v>
      </c>
      <c r="AR1304" s="1078" t="str">
        <f t="shared" si="169"/>
        <v>30</v>
      </c>
      <c r="AS1304" s="1078" t="str">
        <f t="shared" si="170"/>
        <v>390/350/155</v>
      </c>
      <c r="AT1304" s="1078" t="str">
        <f t="shared" si="171"/>
        <v>1-5-1S91°</v>
      </c>
      <c r="AV1304" s="1078" t="str">
        <f t="shared" si="164"/>
        <v>109.6.11</v>
      </c>
      <c r="AW1304" s="1344">
        <f t="shared" si="165"/>
        <v>43993</v>
      </c>
    </row>
    <row r="1305" spans="1:49">
      <c r="A1305" s="1077" t="s">
        <v>4693</v>
      </c>
      <c r="B1305" s="1077" t="s">
        <v>4694</v>
      </c>
      <c r="C1305" s="1077">
        <v>600</v>
      </c>
      <c r="D1305" s="1077">
        <v>1.74</v>
      </c>
      <c r="E1305" s="1077" t="s">
        <v>15102</v>
      </c>
      <c r="F1305" s="1077" t="s">
        <v>4695</v>
      </c>
      <c r="G1305" s="1077">
        <v>5</v>
      </c>
      <c r="H1305" s="1077" t="s">
        <v>4696</v>
      </c>
      <c r="I1305" s="1077" t="s">
        <v>1167</v>
      </c>
      <c r="J1305" s="1077">
        <v>2.4</v>
      </c>
      <c r="K1305" s="1077" t="s">
        <v>4697</v>
      </c>
      <c r="L1305" s="1077" t="s">
        <v>4698</v>
      </c>
      <c r="M1305" s="1077">
        <v>151.30000000000001</v>
      </c>
      <c r="N1305" s="1077" t="s">
        <v>945</v>
      </c>
      <c r="O1305" s="1077">
        <v>3.7825000000000006</v>
      </c>
      <c r="P1305" s="1077">
        <v>3.0260000000000002</v>
      </c>
      <c r="Q1305" s="1077" t="s">
        <v>988</v>
      </c>
      <c r="R1305" s="1077">
        <v>20.7</v>
      </c>
      <c r="T1305" s="1077">
        <v>15.5</v>
      </c>
      <c r="U1305" s="1077">
        <v>3</v>
      </c>
      <c r="V1305" s="1077" t="s">
        <v>648</v>
      </c>
      <c r="W1305" s="1077">
        <v>130</v>
      </c>
      <c r="X1305" s="1077">
        <v>75</v>
      </c>
      <c r="Y1305" s="1077">
        <v>1.2</v>
      </c>
      <c r="Z1305" s="1077">
        <v>4.8</v>
      </c>
      <c r="AA1305" s="1077" t="s">
        <v>2492</v>
      </c>
      <c r="AH1305" s="1077" t="s">
        <v>853</v>
      </c>
      <c r="AM1305" s="1078" t="s">
        <v>11622</v>
      </c>
      <c r="AN1305" s="1078" t="s">
        <v>11623</v>
      </c>
      <c r="AO1305" s="1078">
        <f t="shared" si="166"/>
        <v>600</v>
      </c>
      <c r="AP1305" s="1078">
        <f t="shared" si="167"/>
        <v>1.74</v>
      </c>
      <c r="AQ1305" s="1078" t="str">
        <f t="shared" si="168"/>
        <v>2-6-1S83°</v>
      </c>
      <c r="AR1305" s="1078" t="str">
        <f t="shared" si="169"/>
        <v>32.8</v>
      </c>
      <c r="AS1305" s="1078" t="str">
        <f t="shared" si="170"/>
        <v>186/170</v>
      </c>
      <c r="AT1305" s="1078" t="str">
        <f t="shared" si="171"/>
        <v>2-6-1S83°</v>
      </c>
      <c r="AV1305" s="1078" t="str">
        <f t="shared" si="164"/>
        <v>108.3.8</v>
      </c>
      <c r="AW1305" s="1344">
        <f t="shared" si="165"/>
        <v>43532</v>
      </c>
    </row>
    <row r="1306" spans="1:49">
      <c r="A1306" s="1077" t="s">
        <v>4699</v>
      </c>
      <c r="B1306" s="1077" t="s">
        <v>4694</v>
      </c>
      <c r="C1306" s="1077">
        <v>600</v>
      </c>
      <c r="D1306" s="1077">
        <v>1.74</v>
      </c>
      <c r="E1306" s="1077" t="s">
        <v>15102</v>
      </c>
      <c r="F1306" s="1077" t="s">
        <v>4013</v>
      </c>
      <c r="G1306" s="1077">
        <v>5</v>
      </c>
      <c r="H1306" s="1077" t="s">
        <v>4700</v>
      </c>
      <c r="I1306" s="1077" t="s">
        <v>1167</v>
      </c>
      <c r="J1306" s="1077">
        <v>2.6</v>
      </c>
      <c r="K1306" s="1077" t="s">
        <v>4701</v>
      </c>
      <c r="L1306" s="1077" t="s">
        <v>4702</v>
      </c>
      <c r="M1306" s="1077">
        <v>151.30000000000001</v>
      </c>
      <c r="N1306" s="1077" t="s">
        <v>945</v>
      </c>
      <c r="O1306" s="1077">
        <v>3.7825000000000006</v>
      </c>
      <c r="P1306" s="1077">
        <v>3.0260000000000002</v>
      </c>
      <c r="Q1306" s="1077" t="s">
        <v>961</v>
      </c>
      <c r="R1306" s="1077">
        <v>20.7</v>
      </c>
      <c r="T1306" s="1077">
        <v>15.5</v>
      </c>
      <c r="U1306" s="1077">
        <v>3</v>
      </c>
      <c r="V1306" s="1077" t="s">
        <v>648</v>
      </c>
      <c r="W1306" s="1077">
        <v>130</v>
      </c>
      <c r="X1306" s="1077">
        <v>75</v>
      </c>
      <c r="Y1306" s="1077">
        <v>1.2</v>
      </c>
      <c r="Z1306" s="1077" t="s">
        <v>2437</v>
      </c>
      <c r="AA1306" s="1077" t="s">
        <v>4703</v>
      </c>
      <c r="AH1306" s="1077" t="s">
        <v>4704</v>
      </c>
      <c r="AM1306" s="1078" t="s">
        <v>11624</v>
      </c>
      <c r="AN1306" s="1078" t="s">
        <v>11625</v>
      </c>
      <c r="AO1306" s="1078">
        <f t="shared" si="166"/>
        <v>600</v>
      </c>
      <c r="AP1306" s="1078">
        <f t="shared" si="167"/>
        <v>1.74</v>
      </c>
      <c r="AQ1306" s="1078" t="str">
        <f t="shared" si="168"/>
        <v>2-6-1S83°</v>
      </c>
      <c r="AR1306" s="1078" t="str">
        <f t="shared" si="169"/>
        <v>30.3</v>
      </c>
      <c r="AS1306" s="1078" t="str">
        <f t="shared" si="170"/>
        <v>180/168</v>
      </c>
      <c r="AT1306" s="1078" t="str">
        <f t="shared" si="171"/>
        <v>2-6-1S83°</v>
      </c>
      <c r="AV1306" s="1078" t="str">
        <f t="shared" si="164"/>
        <v>109.2.18</v>
      </c>
      <c r="AW1306" s="1344">
        <f t="shared" si="165"/>
        <v>43879</v>
      </c>
    </row>
    <row r="1307" spans="1:49">
      <c r="A1307" s="1077" t="s">
        <v>4705</v>
      </c>
      <c r="B1307" s="1077" t="s">
        <v>4694</v>
      </c>
      <c r="C1307" s="1077">
        <v>600</v>
      </c>
      <c r="D1307" s="1077">
        <v>1.7350000000000001</v>
      </c>
      <c r="E1307" s="1077" t="s">
        <v>15102</v>
      </c>
      <c r="F1307" s="1077" t="s">
        <v>975</v>
      </c>
      <c r="G1307" s="1077">
        <v>5</v>
      </c>
      <c r="H1307" s="1077" t="s">
        <v>4706</v>
      </c>
      <c r="I1307" s="1077" t="s">
        <v>1112</v>
      </c>
      <c r="J1307" s="1077">
        <v>2.6</v>
      </c>
      <c r="K1307" s="1077" t="s">
        <v>4707</v>
      </c>
      <c r="L1307" s="1077" t="s">
        <v>4702</v>
      </c>
      <c r="M1307" s="1077">
        <v>151.30000000000001</v>
      </c>
      <c r="N1307" s="1077" t="s">
        <v>945</v>
      </c>
      <c r="O1307" s="1077">
        <v>3.7825000000000006</v>
      </c>
      <c r="P1307" s="1077">
        <v>3.0260000000000002</v>
      </c>
      <c r="Q1307" s="1077" t="s">
        <v>1037</v>
      </c>
      <c r="R1307" s="1077">
        <v>20.7</v>
      </c>
      <c r="T1307" s="1077">
        <v>15.5</v>
      </c>
      <c r="U1307" s="1077">
        <v>3</v>
      </c>
      <c r="V1307" s="1077" t="s">
        <v>648</v>
      </c>
      <c r="W1307" s="1077">
        <v>130</v>
      </c>
      <c r="X1307" s="1077">
        <v>75</v>
      </c>
      <c r="Y1307" s="1077">
        <v>1.2</v>
      </c>
      <c r="Z1307" s="1077" t="s">
        <v>2437</v>
      </c>
      <c r="AA1307" s="1077" t="s">
        <v>4708</v>
      </c>
      <c r="AH1307" s="1077" t="s">
        <v>812</v>
      </c>
      <c r="AM1307" s="1078" t="s">
        <v>11626</v>
      </c>
      <c r="AN1307" s="1078" t="s">
        <v>11627</v>
      </c>
      <c r="AO1307" s="1078">
        <f t="shared" si="166"/>
        <v>600</v>
      </c>
      <c r="AP1307" s="1078">
        <f t="shared" si="167"/>
        <v>1.7350000000000001</v>
      </c>
      <c r="AQ1307" s="1078" t="str">
        <f t="shared" si="168"/>
        <v>2-6-1S83°</v>
      </c>
      <c r="AR1307" s="1078" t="str">
        <f t="shared" si="169"/>
        <v>31.5</v>
      </c>
      <c r="AS1307" s="1078" t="str">
        <f t="shared" si="170"/>
        <v>185/169</v>
      </c>
      <c r="AT1307" s="1078" t="str">
        <f t="shared" si="171"/>
        <v>2-6-1S83°</v>
      </c>
      <c r="AV1307" s="1078" t="str">
        <f t="shared" si="164"/>
        <v>109.3.5</v>
      </c>
      <c r="AW1307" s="1344">
        <f t="shared" si="165"/>
        <v>43895</v>
      </c>
    </row>
    <row r="1308" spans="1:49">
      <c r="A1308" s="1077" t="s">
        <v>4709</v>
      </c>
      <c r="B1308" s="1077" t="s">
        <v>4694</v>
      </c>
      <c r="C1308" s="1077">
        <v>600</v>
      </c>
      <c r="D1308" s="1077">
        <v>1.7350000000000001</v>
      </c>
      <c r="E1308" s="1077" t="s">
        <v>15102</v>
      </c>
      <c r="F1308" s="1077" t="s">
        <v>1469</v>
      </c>
      <c r="G1308" s="1077">
        <v>5</v>
      </c>
      <c r="H1308" s="1077" t="s">
        <v>4710</v>
      </c>
      <c r="I1308" s="1077" t="s">
        <v>1167</v>
      </c>
      <c r="J1308" s="1077">
        <v>2.6</v>
      </c>
      <c r="K1308" s="1077" t="s">
        <v>4711</v>
      </c>
      <c r="L1308" s="1077" t="s">
        <v>4702</v>
      </c>
      <c r="M1308" s="1077">
        <v>151.30000000000001</v>
      </c>
      <c r="N1308" s="1077" t="s">
        <v>945</v>
      </c>
      <c r="O1308" s="1077">
        <v>3.7825000000000006</v>
      </c>
      <c r="P1308" s="1077">
        <v>3.0260000000000002</v>
      </c>
      <c r="Q1308" s="1077" t="s">
        <v>1037</v>
      </c>
      <c r="R1308" s="1077">
        <v>20.7</v>
      </c>
      <c r="T1308" s="1077">
        <v>15.5</v>
      </c>
      <c r="U1308" s="1077">
        <v>3</v>
      </c>
      <c r="V1308" s="1077" t="s">
        <v>648</v>
      </c>
      <c r="W1308" s="1077">
        <v>130</v>
      </c>
      <c r="X1308" s="1077">
        <v>75</v>
      </c>
      <c r="Y1308" s="1077">
        <v>1.2</v>
      </c>
      <c r="Z1308" s="1077" t="s">
        <v>4712</v>
      </c>
      <c r="AA1308" s="1077" t="s">
        <v>2426</v>
      </c>
      <c r="AH1308" s="1077" t="s">
        <v>1827</v>
      </c>
      <c r="AM1308" s="1078" t="s">
        <v>11628</v>
      </c>
      <c r="AN1308" s="1078" t="s">
        <v>11629</v>
      </c>
      <c r="AO1308" s="1078">
        <f t="shared" si="166"/>
        <v>600</v>
      </c>
      <c r="AP1308" s="1078">
        <f t="shared" si="167"/>
        <v>1.7350000000000001</v>
      </c>
      <c r="AQ1308" s="1078" t="str">
        <f t="shared" si="168"/>
        <v>2-6-1S83°</v>
      </c>
      <c r="AR1308" s="1078" t="str">
        <f t="shared" si="169"/>
        <v>30.5</v>
      </c>
      <c r="AS1308" s="1078" t="str">
        <f t="shared" si="170"/>
        <v>186/169</v>
      </c>
      <c r="AT1308" s="1078" t="str">
        <f t="shared" si="171"/>
        <v>2-6-1S83°</v>
      </c>
      <c r="AV1308" s="1078" t="str">
        <f t="shared" si="164"/>
        <v>109.7.14</v>
      </c>
      <c r="AW1308" s="1344">
        <f t="shared" si="165"/>
        <v>44026</v>
      </c>
    </row>
    <row r="1309" spans="1:49">
      <c r="A1309" s="1077" t="s">
        <v>4713</v>
      </c>
      <c r="B1309" s="1077" t="s">
        <v>4694</v>
      </c>
      <c r="C1309" s="1077">
        <v>600</v>
      </c>
      <c r="D1309" s="1077">
        <v>1.7350000000000001</v>
      </c>
      <c r="E1309" s="1077" t="s">
        <v>15102</v>
      </c>
      <c r="F1309" s="1077" t="s">
        <v>954</v>
      </c>
      <c r="G1309" s="1077">
        <v>5</v>
      </c>
      <c r="H1309" s="1077" t="s">
        <v>4710</v>
      </c>
      <c r="I1309" s="1077" t="s">
        <v>1167</v>
      </c>
      <c r="J1309" s="1077">
        <v>2.6</v>
      </c>
      <c r="K1309" s="1077" t="s">
        <v>4707</v>
      </c>
      <c r="L1309" s="1077" t="s">
        <v>4702</v>
      </c>
      <c r="M1309" s="1077">
        <v>151.30000000000001</v>
      </c>
      <c r="N1309" s="1077" t="s">
        <v>945</v>
      </c>
      <c r="O1309" s="1077">
        <v>3.7825000000000006</v>
      </c>
      <c r="P1309" s="1077">
        <v>3.0260000000000002</v>
      </c>
      <c r="Q1309" s="1077" t="s">
        <v>1321</v>
      </c>
      <c r="R1309" s="1077">
        <v>20.7</v>
      </c>
      <c r="T1309" s="1077">
        <v>15.5</v>
      </c>
      <c r="U1309" s="1077">
        <v>3</v>
      </c>
      <c r="V1309" s="1077" t="s">
        <v>648</v>
      </c>
      <c r="W1309" s="1077">
        <v>130</v>
      </c>
      <c r="X1309" s="1077">
        <v>75</v>
      </c>
      <c r="Y1309" s="1077">
        <v>1.2</v>
      </c>
      <c r="Z1309" s="1077" t="s">
        <v>4714</v>
      </c>
      <c r="AA1309" s="1077" t="s">
        <v>4715</v>
      </c>
      <c r="AH1309" s="1077" t="s">
        <v>646</v>
      </c>
      <c r="AM1309" s="1078" t="s">
        <v>11630</v>
      </c>
      <c r="AN1309" s="1078" t="s">
        <v>11631</v>
      </c>
      <c r="AO1309" s="1078">
        <f t="shared" si="166"/>
        <v>600</v>
      </c>
      <c r="AP1309" s="1078">
        <f t="shared" si="167"/>
        <v>1.7350000000000001</v>
      </c>
      <c r="AQ1309" s="1078" t="str">
        <f t="shared" si="168"/>
        <v>2-6-1S83°</v>
      </c>
      <c r="AR1309" s="1078" t="str">
        <f t="shared" si="169"/>
        <v>31</v>
      </c>
      <c r="AS1309" s="1078" t="str">
        <f t="shared" si="170"/>
        <v>186/169</v>
      </c>
      <c r="AT1309" s="1078" t="str">
        <f t="shared" si="171"/>
        <v>2-6-1S83°</v>
      </c>
      <c r="AV1309" s="1078" t="str">
        <f t="shared" si="164"/>
        <v>109.8.6</v>
      </c>
      <c r="AW1309" s="1344">
        <f t="shared" si="165"/>
        <v>44049</v>
      </c>
    </row>
    <row r="1310" spans="1:49">
      <c r="A1310" s="1077" t="s">
        <v>4716</v>
      </c>
      <c r="B1310" s="1077" t="s">
        <v>4694</v>
      </c>
      <c r="C1310" s="1077">
        <v>600</v>
      </c>
      <c r="D1310" s="1077">
        <v>1.7350000000000001</v>
      </c>
      <c r="E1310" s="1077" t="s">
        <v>15102</v>
      </c>
      <c r="F1310" s="1077" t="s">
        <v>954</v>
      </c>
      <c r="G1310" s="1077">
        <v>5</v>
      </c>
      <c r="H1310" s="1077" t="s">
        <v>4710</v>
      </c>
      <c r="I1310" s="1077" t="s">
        <v>1167</v>
      </c>
      <c r="J1310" s="1077">
        <v>2.6</v>
      </c>
      <c r="K1310" s="1077" t="s">
        <v>4701</v>
      </c>
      <c r="L1310" s="1077" t="s">
        <v>4702</v>
      </c>
      <c r="M1310" s="1077">
        <v>151.30000000000001</v>
      </c>
      <c r="N1310" s="1077" t="s">
        <v>945</v>
      </c>
      <c r="O1310" s="1077">
        <v>3.7825000000000006</v>
      </c>
      <c r="P1310" s="1077">
        <v>3.0260000000000002</v>
      </c>
      <c r="Q1310" s="1077" t="s">
        <v>1037</v>
      </c>
      <c r="R1310" s="1077">
        <v>20.7</v>
      </c>
      <c r="T1310" s="1077">
        <v>15.5</v>
      </c>
      <c r="U1310" s="1077">
        <v>3</v>
      </c>
      <c r="V1310" s="1077" t="s">
        <v>648</v>
      </c>
      <c r="W1310" s="1077">
        <v>130</v>
      </c>
      <c r="X1310" s="1077">
        <v>75</v>
      </c>
      <c r="Y1310" s="1077">
        <v>1.2</v>
      </c>
      <c r="Z1310" s="1077" t="s">
        <v>956</v>
      </c>
      <c r="AA1310" s="1077" t="s">
        <v>3021</v>
      </c>
      <c r="AH1310" s="1077" t="s">
        <v>868</v>
      </c>
      <c r="AM1310" s="1078" t="s">
        <v>11632</v>
      </c>
      <c r="AN1310" s="1078" t="s">
        <v>11633</v>
      </c>
      <c r="AO1310" s="1078">
        <f t="shared" si="166"/>
        <v>600</v>
      </c>
      <c r="AP1310" s="1078">
        <f t="shared" si="167"/>
        <v>1.7350000000000001</v>
      </c>
      <c r="AQ1310" s="1078" t="str">
        <f t="shared" si="168"/>
        <v>2-6-1S83°</v>
      </c>
      <c r="AR1310" s="1078" t="str">
        <f t="shared" si="169"/>
        <v>31</v>
      </c>
      <c r="AS1310" s="1078" t="str">
        <f t="shared" si="170"/>
        <v>186/169</v>
      </c>
      <c r="AT1310" s="1078" t="str">
        <f t="shared" si="171"/>
        <v>2-6-1S83°</v>
      </c>
      <c r="AV1310" s="1078" t="str">
        <f t="shared" si="164"/>
        <v>109.8.19</v>
      </c>
      <c r="AW1310" s="1344">
        <f t="shared" si="165"/>
        <v>44062</v>
      </c>
    </row>
    <row r="1311" spans="1:49">
      <c r="A1311" s="1077" t="s">
        <v>4717</v>
      </c>
      <c r="B1311" s="1077" t="s">
        <v>4694</v>
      </c>
      <c r="C1311" s="1077">
        <v>600</v>
      </c>
      <c r="D1311" s="1077">
        <v>1.7350000000000001</v>
      </c>
      <c r="E1311" s="1077" t="s">
        <v>15102</v>
      </c>
      <c r="F1311" s="1077" t="s">
        <v>4718</v>
      </c>
      <c r="G1311" s="1077">
        <v>5</v>
      </c>
      <c r="H1311" s="1077" t="s">
        <v>4710</v>
      </c>
      <c r="I1311" s="1077" t="s">
        <v>1167</v>
      </c>
      <c r="J1311" s="1077">
        <v>2.6</v>
      </c>
      <c r="K1311" s="1077" t="s">
        <v>4719</v>
      </c>
      <c r="L1311" s="1077" t="s">
        <v>4702</v>
      </c>
      <c r="M1311" s="1077">
        <v>151.30000000000001</v>
      </c>
      <c r="N1311" s="1077" t="s">
        <v>945</v>
      </c>
      <c r="O1311" s="1077">
        <v>3.7825000000000006</v>
      </c>
      <c r="P1311" s="1077">
        <v>3.0260000000000002</v>
      </c>
      <c r="Q1311" s="1077" t="s">
        <v>1037</v>
      </c>
      <c r="R1311" s="1077">
        <v>20.7</v>
      </c>
      <c r="T1311" s="1077">
        <v>15.5</v>
      </c>
      <c r="U1311" s="1077">
        <v>3</v>
      </c>
      <c r="V1311" s="1077" t="s">
        <v>648</v>
      </c>
      <c r="W1311" s="1077">
        <v>130</v>
      </c>
      <c r="X1311" s="1077">
        <v>75</v>
      </c>
      <c r="Y1311" s="1077">
        <v>1.2</v>
      </c>
      <c r="Z1311" s="1077" t="s">
        <v>4714</v>
      </c>
      <c r="AA1311" s="1077" t="s">
        <v>3054</v>
      </c>
      <c r="AH1311" s="1077" t="s">
        <v>783</v>
      </c>
      <c r="AM1311" s="1078" t="s">
        <v>11634</v>
      </c>
      <c r="AN1311" s="1078" t="s">
        <v>11635</v>
      </c>
      <c r="AO1311" s="1078">
        <f t="shared" si="166"/>
        <v>600</v>
      </c>
      <c r="AP1311" s="1078">
        <f t="shared" si="167"/>
        <v>1.7350000000000001</v>
      </c>
      <c r="AQ1311" s="1078" t="str">
        <f t="shared" si="168"/>
        <v>2-6-1S83°</v>
      </c>
      <c r="AR1311" s="1078" t="str">
        <f t="shared" si="169"/>
        <v>31.3</v>
      </c>
      <c r="AS1311" s="1078" t="str">
        <f t="shared" si="170"/>
        <v>186/169</v>
      </c>
      <c r="AT1311" s="1078" t="str">
        <f t="shared" si="171"/>
        <v>2-6-1S83°</v>
      </c>
      <c r="AV1311" s="1078" t="str">
        <f t="shared" si="164"/>
        <v>109.8.26</v>
      </c>
      <c r="AW1311" s="1344">
        <f t="shared" si="165"/>
        <v>44069</v>
      </c>
    </row>
    <row r="1312" spans="1:49">
      <c r="A1312" s="1077" t="s">
        <v>4720</v>
      </c>
      <c r="B1312" s="1077" t="s">
        <v>4694</v>
      </c>
      <c r="C1312" s="1077">
        <v>650</v>
      </c>
      <c r="D1312" s="1077">
        <v>1.7350000000000001</v>
      </c>
      <c r="E1312" s="1077" t="s">
        <v>15094</v>
      </c>
      <c r="F1312" s="1077" t="s">
        <v>984</v>
      </c>
      <c r="G1312" s="1077">
        <v>5</v>
      </c>
      <c r="H1312" s="1077" t="s">
        <v>4721</v>
      </c>
      <c r="I1312" s="1077" t="s">
        <v>126</v>
      </c>
      <c r="J1312" s="1077">
        <v>2.6</v>
      </c>
      <c r="K1312" s="1077" t="s">
        <v>4719</v>
      </c>
      <c r="L1312" s="1077" t="s">
        <v>4702</v>
      </c>
      <c r="M1312" s="1077">
        <v>151.30000000000001</v>
      </c>
      <c r="N1312" s="1077" t="s">
        <v>945</v>
      </c>
      <c r="O1312" s="1077">
        <v>3.7825000000000006</v>
      </c>
      <c r="P1312" s="1077">
        <v>3.0260000000000002</v>
      </c>
      <c r="Q1312" s="1077">
        <v>4</v>
      </c>
      <c r="R1312" s="1077">
        <v>20.7</v>
      </c>
      <c r="T1312" s="1077">
        <v>15.5</v>
      </c>
      <c r="U1312" s="1077">
        <v>3</v>
      </c>
      <c r="V1312" s="1077" t="s">
        <v>648</v>
      </c>
      <c r="W1312" s="1077">
        <v>130</v>
      </c>
      <c r="X1312" s="1077">
        <v>75</v>
      </c>
      <c r="Y1312" s="1077">
        <v>1.2</v>
      </c>
      <c r="Z1312" s="1077">
        <v>4.8</v>
      </c>
      <c r="AA1312" s="1077" t="s">
        <v>4185</v>
      </c>
      <c r="AH1312" s="1077" t="s">
        <v>680</v>
      </c>
      <c r="AM1312" s="1078" t="s">
        <v>11636</v>
      </c>
      <c r="AN1312" s="1078" t="s">
        <v>11637</v>
      </c>
      <c r="AO1312" s="1078">
        <f t="shared" si="166"/>
        <v>650</v>
      </c>
      <c r="AP1312" s="1078">
        <f t="shared" si="167"/>
        <v>1.7350000000000001</v>
      </c>
      <c r="AQ1312" s="1078" t="str">
        <f t="shared" si="168"/>
        <v>1-5-1S91°</v>
      </c>
      <c r="AR1312" s="1078" t="str">
        <f t="shared" si="169"/>
        <v>30</v>
      </c>
      <c r="AS1312" s="1078" t="str">
        <f t="shared" si="170"/>
        <v>325/325/150</v>
      </c>
      <c r="AT1312" s="1078" t="str">
        <f t="shared" si="171"/>
        <v>1-5-1S91°</v>
      </c>
      <c r="AV1312" s="1078" t="str">
        <f t="shared" si="164"/>
        <v>110.3.30</v>
      </c>
      <c r="AW1312" s="1344">
        <f t="shared" si="165"/>
        <v>44285</v>
      </c>
    </row>
    <row r="1313" spans="1:49">
      <c r="A1313" s="1077" t="s">
        <v>4722</v>
      </c>
      <c r="B1313" s="1077" t="s">
        <v>4694</v>
      </c>
      <c r="C1313" s="1077">
        <v>600</v>
      </c>
      <c r="D1313" s="1077">
        <v>1.74</v>
      </c>
      <c r="E1313" s="1077" t="s">
        <v>15102</v>
      </c>
      <c r="F1313" s="1077" t="s">
        <v>2167</v>
      </c>
      <c r="G1313" s="1077">
        <v>5</v>
      </c>
      <c r="H1313" s="1077" t="s">
        <v>4723</v>
      </c>
      <c r="I1313" s="1077" t="s">
        <v>460</v>
      </c>
      <c r="J1313" s="1077">
        <v>1.5</v>
      </c>
      <c r="K1313" s="1077" t="s">
        <v>4724</v>
      </c>
      <c r="L1313" s="1077" t="s">
        <v>4702</v>
      </c>
      <c r="M1313" s="1077">
        <v>151.19999999999999</v>
      </c>
      <c r="N1313" s="1077" t="s">
        <v>945</v>
      </c>
      <c r="O1313" s="1077">
        <v>3.78</v>
      </c>
      <c r="P1313" s="1077">
        <v>3.024</v>
      </c>
      <c r="Q1313" s="1077">
        <v>4</v>
      </c>
      <c r="R1313" s="1077">
        <v>21</v>
      </c>
      <c r="T1313" s="1077">
        <v>20.5</v>
      </c>
      <c r="U1313" s="1077">
        <v>3</v>
      </c>
      <c r="V1313" s="1077" t="s">
        <v>648</v>
      </c>
      <c r="W1313" s="1077">
        <v>100</v>
      </c>
      <c r="X1313" s="1077">
        <v>60</v>
      </c>
      <c r="Y1313" s="1077">
        <v>1</v>
      </c>
      <c r="Z1313" s="1077">
        <v>5.5</v>
      </c>
      <c r="AA1313" s="1077" t="s">
        <v>3627</v>
      </c>
      <c r="AH1313" s="1077" t="s">
        <v>618</v>
      </c>
      <c r="AM1313" s="1078" t="s">
        <v>11638</v>
      </c>
      <c r="AN1313" s="1078" t="s">
        <v>11639</v>
      </c>
      <c r="AO1313" s="1078">
        <f t="shared" si="166"/>
        <v>600</v>
      </c>
      <c r="AP1313" s="1078">
        <f t="shared" si="167"/>
        <v>1.74</v>
      </c>
      <c r="AQ1313" s="1078" t="str">
        <f t="shared" si="168"/>
        <v>2-6-1S83°</v>
      </c>
      <c r="AR1313" s="1078" t="str">
        <f t="shared" si="169"/>
        <v>33</v>
      </c>
      <c r="AS1313" s="1078" t="str">
        <f t="shared" si="170"/>
        <v>195/160</v>
      </c>
      <c r="AT1313" s="1078" t="str">
        <f t="shared" si="171"/>
        <v>2-6-1S83°</v>
      </c>
      <c r="AV1313" s="1078" t="str">
        <f t="shared" si="164"/>
        <v>110.7.13</v>
      </c>
      <c r="AW1313" s="1344">
        <f t="shared" si="165"/>
        <v>44390</v>
      </c>
    </row>
    <row r="1314" spans="1:49">
      <c r="A1314" s="1077" t="s">
        <v>4725</v>
      </c>
      <c r="B1314" s="1077" t="s">
        <v>4694</v>
      </c>
      <c r="C1314" s="1077">
        <v>600</v>
      </c>
      <c r="D1314" s="1077">
        <v>1.74</v>
      </c>
      <c r="E1314" s="1077" t="s">
        <v>15102</v>
      </c>
      <c r="F1314" s="1077" t="s">
        <v>4726</v>
      </c>
      <c r="G1314" s="1077">
        <v>5</v>
      </c>
      <c r="H1314" s="1077" t="s">
        <v>4723</v>
      </c>
      <c r="I1314" s="1077" t="s">
        <v>460</v>
      </c>
      <c r="J1314" s="1077">
        <v>1.5</v>
      </c>
      <c r="K1314" s="1077" t="s">
        <v>4727</v>
      </c>
      <c r="L1314" s="1077" t="s">
        <v>4702</v>
      </c>
      <c r="M1314" s="1077">
        <v>151.19999999999999</v>
      </c>
      <c r="N1314" s="1077" t="s">
        <v>945</v>
      </c>
      <c r="O1314" s="1077">
        <v>3.78</v>
      </c>
      <c r="P1314" s="1077">
        <v>3.024</v>
      </c>
      <c r="Q1314" s="1077">
        <v>4</v>
      </c>
      <c r="R1314" s="1077">
        <v>21</v>
      </c>
      <c r="T1314" s="1077">
        <v>20.5</v>
      </c>
      <c r="U1314" s="1077">
        <v>3</v>
      </c>
      <c r="V1314" s="1077" t="s">
        <v>648</v>
      </c>
      <c r="W1314" s="1077">
        <v>100</v>
      </c>
      <c r="X1314" s="1077">
        <v>60</v>
      </c>
      <c r="Y1314" s="1077">
        <v>1</v>
      </c>
      <c r="Z1314" s="1077">
        <v>5.5</v>
      </c>
      <c r="AA1314" s="1077" t="s">
        <v>1316</v>
      </c>
      <c r="AH1314" s="1077" t="s">
        <v>762</v>
      </c>
      <c r="AM1314" s="1078" t="s">
        <v>11640</v>
      </c>
      <c r="AN1314" s="1078" t="s">
        <v>11641</v>
      </c>
      <c r="AO1314" s="1078">
        <f t="shared" si="166"/>
        <v>600</v>
      </c>
      <c r="AP1314" s="1078">
        <f t="shared" si="167"/>
        <v>1.74</v>
      </c>
      <c r="AQ1314" s="1078" t="str">
        <f t="shared" si="168"/>
        <v>2-6-1S83°</v>
      </c>
      <c r="AR1314" s="1078" t="str">
        <f t="shared" si="169"/>
        <v>32.6</v>
      </c>
      <c r="AS1314" s="1078" t="str">
        <f t="shared" si="170"/>
        <v>195/160</v>
      </c>
      <c r="AT1314" s="1078" t="str">
        <f t="shared" si="171"/>
        <v>2-6-1S83°</v>
      </c>
      <c r="AV1314" s="1078" t="str">
        <f t="shared" si="164"/>
        <v>110.8.11</v>
      </c>
      <c r="AW1314" s="1344">
        <f t="shared" si="165"/>
        <v>44419</v>
      </c>
    </row>
    <row r="1315" spans="1:49">
      <c r="A1315" s="1077" t="s">
        <v>4728</v>
      </c>
      <c r="B1315" s="1077" t="s">
        <v>4729</v>
      </c>
      <c r="C1315" s="1077">
        <v>700</v>
      </c>
      <c r="D1315" s="1077">
        <v>1.72</v>
      </c>
      <c r="E1315" s="1077" t="s">
        <v>15111</v>
      </c>
      <c r="F1315" s="1077" t="s">
        <v>984</v>
      </c>
      <c r="G1315" s="1077">
        <v>5</v>
      </c>
      <c r="H1315" s="1077" t="s">
        <v>2393</v>
      </c>
      <c r="I1315" s="1077" t="s">
        <v>126</v>
      </c>
      <c r="J1315" s="1077">
        <v>1.9</v>
      </c>
      <c r="K1315" s="1077" t="s">
        <v>4730</v>
      </c>
      <c r="L1315" s="1077" t="s">
        <v>4731</v>
      </c>
      <c r="M1315" s="1077">
        <v>153.30000000000001</v>
      </c>
      <c r="N1315" s="1077" t="s">
        <v>945</v>
      </c>
      <c r="O1315" s="1077">
        <v>3.8325000000000005</v>
      </c>
      <c r="P1315" s="1077">
        <v>3.0660000000000003</v>
      </c>
      <c r="Q1315" s="1077" t="s">
        <v>1037</v>
      </c>
      <c r="R1315" s="1077">
        <v>20.8</v>
      </c>
      <c r="T1315" s="1077">
        <v>14.1</v>
      </c>
      <c r="U1315" s="1077">
        <v>4.7</v>
      </c>
      <c r="V1315" s="1077" t="s">
        <v>648</v>
      </c>
      <c r="W1315" s="1077">
        <v>100</v>
      </c>
      <c r="X1315" s="1077">
        <v>60</v>
      </c>
      <c r="Y1315" s="1077">
        <v>1.5</v>
      </c>
      <c r="Z1315" s="1077">
        <v>5.5</v>
      </c>
      <c r="AA1315" s="1077" t="s">
        <v>4732</v>
      </c>
      <c r="AH1315" s="1077" t="s">
        <v>877</v>
      </c>
      <c r="AM1315" s="1078" t="s">
        <v>11642</v>
      </c>
      <c r="AN1315" s="1078" t="s">
        <v>11643</v>
      </c>
      <c r="AO1315" s="1078">
        <f t="shared" si="166"/>
        <v>700</v>
      </c>
      <c r="AP1315" s="1078">
        <f t="shared" si="167"/>
        <v>1.72</v>
      </c>
      <c r="AQ1315" s="1078" t="str">
        <f t="shared" si="168"/>
        <v>1-5-1S91</v>
      </c>
      <c r="AR1315" s="1078" t="str">
        <f t="shared" si="169"/>
        <v>30</v>
      </c>
      <c r="AS1315" s="1078" t="str">
        <f t="shared" si="170"/>
        <v>310/310/OFF</v>
      </c>
      <c r="AT1315" s="1078" t="str">
        <f t="shared" si="171"/>
        <v>1-5-1S91</v>
      </c>
      <c r="AV1315" s="1078" t="str">
        <f t="shared" si="164"/>
        <v>109.3.19</v>
      </c>
      <c r="AW1315" s="1344">
        <f t="shared" si="165"/>
        <v>43909</v>
      </c>
    </row>
    <row r="1316" spans="1:49">
      <c r="A1316" s="1077" t="s">
        <v>4733</v>
      </c>
      <c r="B1316" s="1077" t="s">
        <v>4729</v>
      </c>
      <c r="C1316" s="1077">
        <v>700</v>
      </c>
      <c r="D1316" s="1077">
        <v>1.72</v>
      </c>
      <c r="E1316" s="1077" t="s">
        <v>15111</v>
      </c>
      <c r="F1316" s="1077" t="s">
        <v>984</v>
      </c>
      <c r="G1316" s="1077">
        <v>5</v>
      </c>
      <c r="H1316" s="1077" t="s">
        <v>2540</v>
      </c>
      <c r="I1316" s="1077" t="s">
        <v>126</v>
      </c>
      <c r="J1316" s="1077">
        <v>1.9</v>
      </c>
      <c r="K1316" s="1077" t="s">
        <v>4734</v>
      </c>
      <c r="L1316" s="1077" t="s">
        <v>4731</v>
      </c>
      <c r="M1316" s="1077">
        <v>153.30000000000001</v>
      </c>
      <c r="N1316" s="1077" t="s">
        <v>945</v>
      </c>
      <c r="O1316" s="1077">
        <v>3.8325000000000005</v>
      </c>
      <c r="P1316" s="1077">
        <v>3.0660000000000003</v>
      </c>
      <c r="Q1316" s="1077" t="s">
        <v>946</v>
      </c>
      <c r="R1316" s="1077">
        <v>20.8</v>
      </c>
      <c r="T1316" s="1077">
        <v>14.1</v>
      </c>
      <c r="U1316" s="1077">
        <v>4.7</v>
      </c>
      <c r="V1316" s="1077" t="s">
        <v>648</v>
      </c>
      <c r="W1316" s="1077">
        <v>100</v>
      </c>
      <c r="X1316" s="1077">
        <v>60</v>
      </c>
      <c r="Y1316" s="1077">
        <v>1.5</v>
      </c>
      <c r="Z1316" s="1077">
        <v>5.5</v>
      </c>
      <c r="AA1316" s="1077" t="s">
        <v>4735</v>
      </c>
      <c r="AH1316" s="1077" t="s">
        <v>877</v>
      </c>
      <c r="AM1316" s="1078" t="s">
        <v>11644</v>
      </c>
      <c r="AN1316" s="1078" t="s">
        <v>11645</v>
      </c>
      <c r="AO1316" s="1078">
        <f t="shared" si="166"/>
        <v>700</v>
      </c>
      <c r="AP1316" s="1078">
        <f t="shared" si="167"/>
        <v>1.72</v>
      </c>
      <c r="AQ1316" s="1078" t="str">
        <f t="shared" si="168"/>
        <v>1-5-1S91</v>
      </c>
      <c r="AR1316" s="1078" t="str">
        <f t="shared" si="169"/>
        <v>30</v>
      </c>
      <c r="AS1316" s="1078" t="str">
        <f t="shared" si="170"/>
        <v>300/300/OFF</v>
      </c>
      <c r="AT1316" s="1078" t="str">
        <f t="shared" si="171"/>
        <v>1-5-1S91</v>
      </c>
      <c r="AV1316" s="1078" t="str">
        <f t="shared" si="164"/>
        <v>109.4.9</v>
      </c>
      <c r="AW1316" s="1344">
        <f t="shared" si="165"/>
        <v>43930</v>
      </c>
    </row>
    <row r="1317" spans="1:49">
      <c r="A1317" s="1077" t="s">
        <v>4736</v>
      </c>
      <c r="B1317" s="1077" t="s">
        <v>4729</v>
      </c>
      <c r="C1317" s="1077">
        <v>650</v>
      </c>
      <c r="D1317" s="1077">
        <v>1.72</v>
      </c>
      <c r="E1317" s="1077" t="s">
        <v>15111</v>
      </c>
      <c r="F1317" s="1077" t="s">
        <v>984</v>
      </c>
      <c r="G1317" s="1077">
        <v>5</v>
      </c>
      <c r="H1317" s="1077" t="s">
        <v>2540</v>
      </c>
      <c r="I1317" s="1077" t="s">
        <v>126</v>
      </c>
      <c r="J1317" s="1077">
        <v>1.8</v>
      </c>
      <c r="K1317" s="1077" t="s">
        <v>4737</v>
      </c>
      <c r="L1317" s="1077" t="s">
        <v>4731</v>
      </c>
      <c r="M1317" s="1077">
        <v>153.30000000000001</v>
      </c>
      <c r="N1317" s="1077" t="s">
        <v>945</v>
      </c>
      <c r="O1317" s="1077">
        <v>3.8325000000000005</v>
      </c>
      <c r="P1317" s="1077">
        <v>3.0660000000000003</v>
      </c>
      <c r="Q1317" s="1077" t="s">
        <v>1321</v>
      </c>
      <c r="R1317" s="1077">
        <v>20.8</v>
      </c>
      <c r="T1317" s="1077">
        <v>14.1</v>
      </c>
      <c r="U1317" s="1077">
        <v>4.7</v>
      </c>
      <c r="V1317" s="1077" t="s">
        <v>648</v>
      </c>
      <c r="W1317" s="1077">
        <v>100</v>
      </c>
      <c r="X1317" s="1077">
        <v>60</v>
      </c>
      <c r="Y1317" s="1077">
        <v>1.5</v>
      </c>
      <c r="Z1317" s="1077" t="s">
        <v>3223</v>
      </c>
      <c r="AA1317" s="1077" t="s">
        <v>4738</v>
      </c>
      <c r="AH1317" s="1077" t="s">
        <v>813</v>
      </c>
      <c r="AM1317" s="1078" t="s">
        <v>11646</v>
      </c>
      <c r="AN1317" s="1078" t="s">
        <v>11647</v>
      </c>
      <c r="AO1317" s="1078">
        <f t="shared" si="166"/>
        <v>650</v>
      </c>
      <c r="AP1317" s="1078">
        <f t="shared" si="167"/>
        <v>1.72</v>
      </c>
      <c r="AQ1317" s="1078" t="str">
        <f t="shared" si="168"/>
        <v>1-5-1S91</v>
      </c>
      <c r="AR1317" s="1078" t="str">
        <f t="shared" si="169"/>
        <v>30</v>
      </c>
      <c r="AS1317" s="1078" t="str">
        <f t="shared" si="170"/>
        <v>300/300/OFF</v>
      </c>
      <c r="AT1317" s="1078" t="str">
        <f t="shared" si="171"/>
        <v>1-5-1S91</v>
      </c>
      <c r="AV1317" s="1078" t="str">
        <f t="shared" si="164"/>
        <v>109.7.16</v>
      </c>
      <c r="AW1317" s="1344">
        <f t="shared" si="165"/>
        <v>44028</v>
      </c>
    </row>
    <row r="1318" spans="1:49">
      <c r="A1318" s="1077" t="s">
        <v>4739</v>
      </c>
      <c r="B1318" s="1077" t="s">
        <v>4729</v>
      </c>
      <c r="C1318" s="1077">
        <v>650</v>
      </c>
      <c r="D1318" s="1077">
        <v>1.7350000000000001</v>
      </c>
      <c r="E1318" s="1077" t="s">
        <v>15088</v>
      </c>
      <c r="F1318" s="1077" t="s">
        <v>648</v>
      </c>
      <c r="G1318" s="1077">
        <v>5</v>
      </c>
      <c r="H1318" s="1077" t="s">
        <v>1379</v>
      </c>
      <c r="I1318" s="1077" t="s">
        <v>126</v>
      </c>
      <c r="J1318" s="1077">
        <v>2.2999999999999998</v>
      </c>
      <c r="K1318" s="1077" t="s">
        <v>4740</v>
      </c>
      <c r="L1318" s="1077" t="s">
        <v>4731</v>
      </c>
      <c r="M1318" s="1077">
        <v>153.30000000000001</v>
      </c>
      <c r="N1318" s="1077" t="s">
        <v>945</v>
      </c>
      <c r="O1318" s="1077">
        <v>3.8325000000000005</v>
      </c>
      <c r="P1318" s="1077">
        <v>3.0660000000000003</v>
      </c>
      <c r="Q1318" s="1077" t="s">
        <v>961</v>
      </c>
      <c r="R1318" s="1077">
        <v>20.8</v>
      </c>
      <c r="T1318" s="1077">
        <v>14.1</v>
      </c>
      <c r="U1318" s="1077">
        <v>4.7</v>
      </c>
      <c r="V1318" s="1077" t="s">
        <v>648</v>
      </c>
      <c r="W1318" s="1077">
        <v>100</v>
      </c>
      <c r="X1318" s="1077">
        <v>60</v>
      </c>
      <c r="Y1318" s="1077">
        <v>1.5</v>
      </c>
      <c r="Z1318" s="1077" t="s">
        <v>4741</v>
      </c>
      <c r="AA1318" s="1077" t="s">
        <v>2438</v>
      </c>
      <c r="AH1318" s="1077" t="s">
        <v>647</v>
      </c>
      <c r="AM1318" s="1078" t="s">
        <v>11648</v>
      </c>
      <c r="AN1318" s="1078" t="s">
        <v>11649</v>
      </c>
      <c r="AO1318" s="1078">
        <f t="shared" si="166"/>
        <v>650</v>
      </c>
      <c r="AP1318" s="1078">
        <f t="shared" si="167"/>
        <v>1.7350000000000001</v>
      </c>
      <c r="AQ1318" s="1078" t="str">
        <f t="shared" si="168"/>
        <v>1-4-1S85°</v>
      </c>
      <c r="AR1318" s="1078" t="str">
        <f t="shared" si="169"/>
        <v>NA</v>
      </c>
      <c r="AS1318" s="1078" t="str">
        <f t="shared" si="170"/>
        <v>167/OFF</v>
      </c>
      <c r="AT1318" s="1078" t="str">
        <f t="shared" si="171"/>
        <v>1-4-1S85°</v>
      </c>
      <c r="AV1318" s="1078" t="str">
        <f t="shared" si="164"/>
        <v>109.8.7</v>
      </c>
      <c r="AW1318" s="1344">
        <f t="shared" si="165"/>
        <v>44050</v>
      </c>
    </row>
    <row r="1319" spans="1:49">
      <c r="A1319" s="1077" t="s">
        <v>4742</v>
      </c>
      <c r="B1319" s="1077" t="s">
        <v>4729</v>
      </c>
      <c r="C1319" s="1077">
        <v>700</v>
      </c>
      <c r="D1319" s="1077">
        <v>1.72</v>
      </c>
      <c r="E1319" s="1077" t="s">
        <v>15111</v>
      </c>
      <c r="F1319" s="1077" t="s">
        <v>984</v>
      </c>
      <c r="G1319" s="1077">
        <v>5</v>
      </c>
      <c r="H1319" s="1077" t="s">
        <v>4743</v>
      </c>
      <c r="I1319" s="1077" t="s">
        <v>126</v>
      </c>
      <c r="J1319" s="1077">
        <v>1.6</v>
      </c>
      <c r="K1319" s="1077" t="s">
        <v>4744</v>
      </c>
      <c r="L1319" s="1077" t="s">
        <v>4731</v>
      </c>
      <c r="M1319" s="1077">
        <v>153</v>
      </c>
      <c r="N1319" s="1077" t="s">
        <v>945</v>
      </c>
      <c r="O1319" s="1077">
        <v>3.8250000000000002</v>
      </c>
      <c r="P1319" s="1077">
        <v>3.06</v>
      </c>
      <c r="Q1319" s="1077" t="s">
        <v>988</v>
      </c>
      <c r="R1319" s="1077">
        <v>20.5</v>
      </c>
      <c r="T1319" s="1077">
        <v>11.5</v>
      </c>
      <c r="U1319" s="1077">
        <v>3.7</v>
      </c>
      <c r="V1319" s="1077" t="s">
        <v>648</v>
      </c>
      <c r="W1319" s="1077">
        <v>80</v>
      </c>
      <c r="X1319" s="1077">
        <v>20</v>
      </c>
      <c r="Y1319" s="1077">
        <v>1.7</v>
      </c>
      <c r="Z1319" s="1077">
        <v>5</v>
      </c>
      <c r="AA1319" s="1077" t="s">
        <v>1344</v>
      </c>
      <c r="AB1319" s="1077" t="s">
        <v>981</v>
      </c>
      <c r="AH1319" s="1077" t="s">
        <v>724</v>
      </c>
      <c r="AM1319" s="1078" t="s">
        <v>11650</v>
      </c>
      <c r="AN1319" s="1078" t="s">
        <v>11651</v>
      </c>
      <c r="AO1319" s="1078">
        <f t="shared" si="166"/>
        <v>700</v>
      </c>
      <c r="AP1319" s="1078">
        <f t="shared" si="167"/>
        <v>1.72</v>
      </c>
      <c r="AQ1319" s="1078" t="str">
        <f t="shared" si="168"/>
        <v>1-5-1S91</v>
      </c>
      <c r="AR1319" s="1078" t="str">
        <f t="shared" si="169"/>
        <v>30</v>
      </c>
      <c r="AS1319" s="1078" t="str">
        <f t="shared" si="170"/>
        <v>330/330/172</v>
      </c>
      <c r="AT1319" s="1078" t="str">
        <f t="shared" si="171"/>
        <v>1-5-1S91</v>
      </c>
      <c r="AV1319" s="1078" t="str">
        <f t="shared" si="164"/>
        <v>109.10.7</v>
      </c>
      <c r="AW1319" s="1344">
        <f t="shared" si="165"/>
        <v>44111</v>
      </c>
    </row>
    <row r="1320" spans="1:49">
      <c r="A1320" s="1077" t="s">
        <v>4745</v>
      </c>
      <c r="B1320" s="1077" t="s">
        <v>4729</v>
      </c>
      <c r="C1320" s="1077">
        <v>650</v>
      </c>
      <c r="D1320" s="1077">
        <v>1.72</v>
      </c>
      <c r="E1320" s="1077" t="s">
        <v>15111</v>
      </c>
      <c r="F1320" s="1077" t="s">
        <v>984</v>
      </c>
      <c r="G1320" s="1077">
        <v>5</v>
      </c>
      <c r="H1320" s="1077" t="s">
        <v>2540</v>
      </c>
      <c r="I1320" s="1077" t="s">
        <v>126</v>
      </c>
      <c r="J1320" s="1077">
        <v>1.9</v>
      </c>
      <c r="K1320" s="1077" t="s">
        <v>4744</v>
      </c>
      <c r="L1320" s="1077" t="s">
        <v>4731</v>
      </c>
      <c r="M1320" s="1077">
        <v>153.30000000000001</v>
      </c>
      <c r="N1320" s="1077" t="s">
        <v>945</v>
      </c>
      <c r="O1320" s="1077">
        <v>3.8325000000000005</v>
      </c>
      <c r="P1320" s="1077">
        <v>3.0660000000000003</v>
      </c>
      <c r="Q1320" s="1077" t="s">
        <v>961</v>
      </c>
      <c r="R1320" s="1077">
        <v>20.8</v>
      </c>
      <c r="T1320" s="1077">
        <v>14.1</v>
      </c>
      <c r="U1320" s="1077">
        <v>4.7</v>
      </c>
      <c r="V1320" s="1077" t="s">
        <v>648</v>
      </c>
      <c r="W1320" s="1077">
        <v>100</v>
      </c>
      <c r="X1320" s="1077">
        <v>60</v>
      </c>
      <c r="Y1320" s="1077">
        <v>1.5</v>
      </c>
      <c r="Z1320" s="1077" t="s">
        <v>2396</v>
      </c>
      <c r="AA1320" s="1077" t="s">
        <v>1193</v>
      </c>
      <c r="AH1320" s="1077" t="s">
        <v>758</v>
      </c>
      <c r="AM1320" s="1078" t="s">
        <v>11652</v>
      </c>
      <c r="AN1320" s="1078" t="s">
        <v>11653</v>
      </c>
      <c r="AO1320" s="1078">
        <f t="shared" si="166"/>
        <v>650</v>
      </c>
      <c r="AP1320" s="1078">
        <f t="shared" si="167"/>
        <v>1.72</v>
      </c>
      <c r="AQ1320" s="1078" t="str">
        <f t="shared" si="168"/>
        <v>1-5-1S91</v>
      </c>
      <c r="AR1320" s="1078" t="str">
        <f t="shared" si="169"/>
        <v>30</v>
      </c>
      <c r="AS1320" s="1078" t="str">
        <f t="shared" si="170"/>
        <v>300/300/OFF</v>
      </c>
      <c r="AT1320" s="1078" t="str">
        <f t="shared" si="171"/>
        <v>1-5-1S91</v>
      </c>
      <c r="AV1320" s="1078" t="str">
        <f t="shared" si="164"/>
        <v>109.11.2</v>
      </c>
      <c r="AW1320" s="1344">
        <f t="shared" si="165"/>
        <v>44137</v>
      </c>
    </row>
    <row r="1321" spans="1:49">
      <c r="A1321" s="1077" t="s">
        <v>4746</v>
      </c>
      <c r="B1321" s="1077" t="s">
        <v>4729</v>
      </c>
      <c r="C1321" s="1077">
        <v>700</v>
      </c>
      <c r="D1321" s="1077">
        <v>1.72</v>
      </c>
      <c r="E1321" s="1077" t="s">
        <v>15111</v>
      </c>
      <c r="F1321" s="1077" t="s">
        <v>984</v>
      </c>
      <c r="G1321" s="1077">
        <v>5</v>
      </c>
      <c r="H1321" s="1077" t="s">
        <v>4743</v>
      </c>
      <c r="I1321" s="1077" t="s">
        <v>126</v>
      </c>
      <c r="J1321" s="1077">
        <v>1.6</v>
      </c>
      <c r="K1321" s="1077" t="s">
        <v>4744</v>
      </c>
      <c r="L1321" s="1077" t="s">
        <v>4731</v>
      </c>
      <c r="M1321" s="1077">
        <v>153</v>
      </c>
      <c r="N1321" s="1077" t="s">
        <v>945</v>
      </c>
      <c r="O1321" s="1077">
        <v>3.8250000000000002</v>
      </c>
      <c r="P1321" s="1077">
        <v>3.06</v>
      </c>
      <c r="Q1321" s="1077" t="s">
        <v>988</v>
      </c>
      <c r="R1321" s="1077">
        <v>20.5</v>
      </c>
      <c r="T1321" s="1077">
        <v>11.5</v>
      </c>
      <c r="U1321" s="1077">
        <v>3.7</v>
      </c>
      <c r="V1321" s="1077" t="s">
        <v>648</v>
      </c>
      <c r="W1321" s="1077">
        <v>80</v>
      </c>
      <c r="X1321" s="1077">
        <v>20</v>
      </c>
      <c r="Y1321" s="1077">
        <v>1.7</v>
      </c>
      <c r="Z1321" s="1077" t="s">
        <v>4747</v>
      </c>
      <c r="AA1321" s="1077" t="s">
        <v>4748</v>
      </c>
      <c r="AB1321" s="1077" t="s">
        <v>981</v>
      </c>
      <c r="AH1321" s="1077" t="s">
        <v>483</v>
      </c>
      <c r="AM1321" s="1078" t="s">
        <v>11654</v>
      </c>
      <c r="AN1321" s="1078" t="s">
        <v>11655</v>
      </c>
      <c r="AO1321" s="1078">
        <f t="shared" si="166"/>
        <v>700</v>
      </c>
      <c r="AP1321" s="1078">
        <f t="shared" si="167"/>
        <v>1.72</v>
      </c>
      <c r="AQ1321" s="1078" t="str">
        <f t="shared" si="168"/>
        <v>1-5-1S91</v>
      </c>
      <c r="AR1321" s="1078" t="str">
        <f t="shared" si="169"/>
        <v>30</v>
      </c>
      <c r="AS1321" s="1078" t="str">
        <f t="shared" si="170"/>
        <v>330/330/172</v>
      </c>
      <c r="AT1321" s="1078" t="str">
        <f t="shared" si="171"/>
        <v>1-5-1S91</v>
      </c>
      <c r="AV1321" s="1078" t="str">
        <f t="shared" si="164"/>
        <v>109.11.11</v>
      </c>
      <c r="AW1321" s="1344">
        <f t="shared" si="165"/>
        <v>44146</v>
      </c>
    </row>
    <row r="1322" spans="1:49">
      <c r="A1322" s="1077" t="s">
        <v>4749</v>
      </c>
      <c r="B1322" s="1077" t="s">
        <v>4729</v>
      </c>
      <c r="C1322" s="1077">
        <v>700</v>
      </c>
      <c r="D1322" s="1077">
        <v>1.72</v>
      </c>
      <c r="E1322" s="1077" t="s">
        <v>15111</v>
      </c>
      <c r="F1322" s="1077" t="s">
        <v>984</v>
      </c>
      <c r="G1322" s="1077">
        <v>5</v>
      </c>
      <c r="H1322" s="1077" t="s">
        <v>4743</v>
      </c>
      <c r="I1322" s="1077" t="s">
        <v>126</v>
      </c>
      <c r="J1322" s="1077">
        <v>1.6</v>
      </c>
      <c r="K1322" s="1077" t="s">
        <v>4750</v>
      </c>
      <c r="L1322" s="1077" t="s">
        <v>4731</v>
      </c>
      <c r="M1322" s="1077">
        <v>153</v>
      </c>
      <c r="N1322" s="1077" t="s">
        <v>945</v>
      </c>
      <c r="O1322" s="1077">
        <v>3.8250000000000002</v>
      </c>
      <c r="P1322" s="1077">
        <v>3.06</v>
      </c>
      <c r="Q1322" s="1077" t="s">
        <v>1277</v>
      </c>
      <c r="R1322" s="1077">
        <v>20.5</v>
      </c>
      <c r="T1322" s="1077">
        <v>11.5</v>
      </c>
      <c r="U1322" s="1077">
        <v>3.7</v>
      </c>
      <c r="V1322" s="1077" t="s">
        <v>648</v>
      </c>
      <c r="W1322" s="1077">
        <v>80</v>
      </c>
      <c r="X1322" s="1077">
        <v>20</v>
      </c>
      <c r="Y1322" s="1077">
        <v>1.7</v>
      </c>
      <c r="Z1322" s="1077" t="s">
        <v>4751</v>
      </c>
      <c r="AA1322" s="1077" t="s">
        <v>2467</v>
      </c>
      <c r="AB1322" s="1077" t="s">
        <v>981</v>
      </c>
      <c r="AH1322" s="1077" t="s">
        <v>884</v>
      </c>
      <c r="AM1322" s="1078" t="s">
        <v>11656</v>
      </c>
      <c r="AN1322" s="1078" t="s">
        <v>11657</v>
      </c>
      <c r="AO1322" s="1078">
        <f t="shared" si="166"/>
        <v>700</v>
      </c>
      <c r="AP1322" s="1078">
        <f t="shared" si="167"/>
        <v>1.72</v>
      </c>
      <c r="AQ1322" s="1078" t="str">
        <f t="shared" si="168"/>
        <v>1-5-1S91</v>
      </c>
      <c r="AR1322" s="1078" t="str">
        <f t="shared" si="169"/>
        <v>30</v>
      </c>
      <c r="AS1322" s="1078" t="str">
        <f t="shared" si="170"/>
        <v>330/330/172</v>
      </c>
      <c r="AT1322" s="1078" t="str">
        <f t="shared" si="171"/>
        <v>1-5-1S91</v>
      </c>
      <c r="AV1322" s="1078" t="str">
        <f t="shared" si="164"/>
        <v>109.11.24</v>
      </c>
      <c r="AW1322" s="1344">
        <f t="shared" si="165"/>
        <v>44159</v>
      </c>
    </row>
    <row r="1323" spans="1:49">
      <c r="A1323" s="1077" t="s">
        <v>4752</v>
      </c>
      <c r="B1323" s="1077" t="s">
        <v>4729</v>
      </c>
      <c r="C1323" s="1077">
        <v>700</v>
      </c>
      <c r="D1323" s="1077">
        <v>1.72</v>
      </c>
      <c r="E1323" s="1077" t="s">
        <v>15111</v>
      </c>
      <c r="F1323" s="1077" t="s">
        <v>984</v>
      </c>
      <c r="G1323" s="1077">
        <v>5</v>
      </c>
      <c r="H1323" s="1077" t="s">
        <v>4743</v>
      </c>
      <c r="I1323" s="1077" t="s">
        <v>126</v>
      </c>
      <c r="J1323" s="1077">
        <v>1.6</v>
      </c>
      <c r="K1323" s="1077" t="s">
        <v>4753</v>
      </c>
      <c r="L1323" s="1077" t="s">
        <v>4754</v>
      </c>
      <c r="M1323" s="1077">
        <v>153</v>
      </c>
      <c r="N1323" s="1077" t="s">
        <v>945</v>
      </c>
      <c r="O1323" s="1077">
        <v>3.8250000000000002</v>
      </c>
      <c r="P1323" s="1077">
        <v>3.06</v>
      </c>
      <c r="Q1323" s="1077">
        <v>4</v>
      </c>
      <c r="R1323" s="1077">
        <v>20.5</v>
      </c>
      <c r="T1323" s="1077">
        <v>11.5</v>
      </c>
      <c r="U1323" s="1077">
        <v>3.7</v>
      </c>
      <c r="V1323" s="1077" t="s">
        <v>648</v>
      </c>
      <c r="W1323" s="1077">
        <v>80</v>
      </c>
      <c r="X1323" s="1077">
        <v>20</v>
      </c>
      <c r="Y1323" s="1077">
        <v>1.7</v>
      </c>
      <c r="Z1323" s="1077">
        <v>5</v>
      </c>
      <c r="AA1323" s="1077" t="s">
        <v>4755</v>
      </c>
      <c r="AB1323" s="1077" t="s">
        <v>981</v>
      </c>
      <c r="AH1323" s="1077" t="s">
        <v>1238</v>
      </c>
      <c r="AM1323" s="1078" t="s">
        <v>11658</v>
      </c>
      <c r="AN1323" s="1078" t="s">
        <v>11659</v>
      </c>
      <c r="AO1323" s="1078">
        <f t="shared" si="166"/>
        <v>700</v>
      </c>
      <c r="AP1323" s="1078">
        <f t="shared" si="167"/>
        <v>1.72</v>
      </c>
      <c r="AQ1323" s="1078" t="str">
        <f t="shared" si="168"/>
        <v>1-5-1S91</v>
      </c>
      <c r="AR1323" s="1078" t="str">
        <f t="shared" si="169"/>
        <v>30</v>
      </c>
      <c r="AS1323" s="1078" t="str">
        <f t="shared" si="170"/>
        <v>330/330/172</v>
      </c>
      <c r="AT1323" s="1078" t="str">
        <f t="shared" si="171"/>
        <v>1-5-1S91</v>
      </c>
      <c r="AV1323" s="1078" t="str">
        <f t="shared" si="164"/>
        <v>109.12.15</v>
      </c>
      <c r="AW1323" s="1344">
        <f t="shared" si="165"/>
        <v>44180</v>
      </c>
    </row>
    <row r="1324" spans="1:49">
      <c r="A1324" s="1077" t="s">
        <v>4756</v>
      </c>
      <c r="B1324" s="1077" t="s">
        <v>4729</v>
      </c>
      <c r="C1324" s="1077">
        <v>700</v>
      </c>
      <c r="D1324" s="1077">
        <v>1.72</v>
      </c>
      <c r="E1324" s="1077" t="s">
        <v>15111</v>
      </c>
      <c r="F1324" s="1077" t="s">
        <v>984</v>
      </c>
      <c r="G1324" s="1077">
        <v>5</v>
      </c>
      <c r="H1324" s="1077" t="s">
        <v>4743</v>
      </c>
      <c r="I1324" s="1077" t="s">
        <v>126</v>
      </c>
      <c r="J1324" s="1077">
        <v>1.6</v>
      </c>
      <c r="K1324" s="1077" t="s">
        <v>4757</v>
      </c>
      <c r="L1324" s="1077" t="s">
        <v>4758</v>
      </c>
      <c r="M1324" s="1077">
        <v>153</v>
      </c>
      <c r="N1324" s="1077" t="s">
        <v>945</v>
      </c>
      <c r="O1324" s="1077">
        <v>3.8250000000000002</v>
      </c>
      <c r="P1324" s="1077">
        <v>3.06</v>
      </c>
      <c r="Q1324" s="1077">
        <v>4</v>
      </c>
      <c r="R1324" s="1077">
        <v>20.5</v>
      </c>
      <c r="T1324" s="1077">
        <v>11.5</v>
      </c>
      <c r="U1324" s="1077">
        <v>3.7</v>
      </c>
      <c r="V1324" s="1077" t="s">
        <v>648</v>
      </c>
      <c r="W1324" s="1077">
        <v>80</v>
      </c>
      <c r="X1324" s="1077">
        <v>20</v>
      </c>
      <c r="Y1324" s="1077">
        <v>1.7</v>
      </c>
      <c r="Z1324" s="1077">
        <v>5</v>
      </c>
      <c r="AA1324" s="1077" t="s">
        <v>1208</v>
      </c>
      <c r="AB1324" s="1077" t="s">
        <v>981</v>
      </c>
      <c r="AH1324" s="1077" t="s">
        <v>838</v>
      </c>
      <c r="AM1324" s="1078" t="s">
        <v>11660</v>
      </c>
      <c r="AN1324" s="1078" t="s">
        <v>11661</v>
      </c>
      <c r="AO1324" s="1078">
        <f t="shared" si="166"/>
        <v>700</v>
      </c>
      <c r="AP1324" s="1078">
        <f t="shared" si="167"/>
        <v>1.72</v>
      </c>
      <c r="AQ1324" s="1078" t="str">
        <f t="shared" si="168"/>
        <v>1-5-1S91</v>
      </c>
      <c r="AR1324" s="1078" t="str">
        <f t="shared" si="169"/>
        <v>30</v>
      </c>
      <c r="AS1324" s="1078" t="str">
        <f t="shared" si="170"/>
        <v>330/330/172</v>
      </c>
      <c r="AT1324" s="1078" t="str">
        <f t="shared" si="171"/>
        <v>1-5-1S91</v>
      </c>
      <c r="AV1324" s="1078" t="str">
        <f t="shared" si="164"/>
        <v>109.12.28</v>
      </c>
      <c r="AW1324" s="1344">
        <f t="shared" si="165"/>
        <v>44193</v>
      </c>
    </row>
    <row r="1325" spans="1:49">
      <c r="A1325" s="1077" t="s">
        <v>4759</v>
      </c>
      <c r="B1325" s="1077" t="s">
        <v>4760</v>
      </c>
      <c r="C1325" s="1077">
        <v>600</v>
      </c>
      <c r="D1325" s="1077">
        <v>1.89</v>
      </c>
      <c r="E1325" s="1077" t="s">
        <v>15095</v>
      </c>
      <c r="F1325" s="1077" t="s">
        <v>2234</v>
      </c>
      <c r="G1325" s="1077">
        <v>5</v>
      </c>
      <c r="H1325" s="1077" t="s">
        <v>4761</v>
      </c>
      <c r="I1325" s="1077" t="s">
        <v>460</v>
      </c>
      <c r="J1325" s="1077">
        <v>3.9</v>
      </c>
      <c r="K1325" s="1077" t="s">
        <v>4762</v>
      </c>
      <c r="L1325" s="1077" t="s">
        <v>4763</v>
      </c>
      <c r="M1325" s="1077">
        <v>152.5</v>
      </c>
      <c r="N1325" s="1077" t="s">
        <v>945</v>
      </c>
      <c r="O1325" s="1077">
        <v>3.8125</v>
      </c>
      <c r="P1325" s="1077">
        <v>3.0500000000000003</v>
      </c>
      <c r="Q1325" s="1077" t="s">
        <v>1249</v>
      </c>
      <c r="R1325" s="1077">
        <v>21.5</v>
      </c>
      <c r="T1325" s="1077">
        <v>17.5</v>
      </c>
      <c r="U1325" s="1077">
        <v>2.9</v>
      </c>
      <c r="V1325" s="1077" t="s">
        <v>648</v>
      </c>
      <c r="W1325" s="1077">
        <v>110</v>
      </c>
      <c r="X1325" s="1077">
        <v>90</v>
      </c>
      <c r="Y1325" s="1077">
        <v>1.9</v>
      </c>
      <c r="Z1325" s="1077">
        <v>5.5</v>
      </c>
      <c r="AA1325" s="1077" t="s">
        <v>1013</v>
      </c>
      <c r="AH1325" s="1077" t="s">
        <v>680</v>
      </c>
      <c r="AM1325" s="1078" t="s">
        <v>11662</v>
      </c>
      <c r="AN1325" s="1078" t="s">
        <v>9197</v>
      </c>
      <c r="AO1325" s="1078">
        <f t="shared" si="166"/>
        <v>600</v>
      </c>
      <c r="AP1325" s="1078">
        <f t="shared" si="167"/>
        <v>1.89</v>
      </c>
      <c r="AQ1325" s="1078" t="str">
        <f t="shared" si="168"/>
        <v>1-5-1S83°</v>
      </c>
      <c r="AR1325" s="1078" t="str">
        <f t="shared" si="169"/>
        <v>33.5</v>
      </c>
      <c r="AS1325" s="1078" t="str">
        <f t="shared" si="170"/>
        <v>330/330/155</v>
      </c>
      <c r="AT1325" s="1078" t="str">
        <f t="shared" si="171"/>
        <v>1-5-1S83°</v>
      </c>
      <c r="AV1325" s="1078" t="str">
        <f t="shared" si="164"/>
        <v>108.1.30</v>
      </c>
      <c r="AW1325" s="1344">
        <f t="shared" si="165"/>
        <v>43495</v>
      </c>
    </row>
    <row r="1326" spans="1:49">
      <c r="A1326" s="1077" t="s">
        <v>4764</v>
      </c>
      <c r="B1326" s="1077" t="s">
        <v>210</v>
      </c>
      <c r="C1326" s="1077">
        <v>750</v>
      </c>
      <c r="D1326" s="1077">
        <v>1.76</v>
      </c>
      <c r="E1326" s="1077" t="s">
        <v>15094</v>
      </c>
      <c r="F1326" s="1077" t="s">
        <v>4013</v>
      </c>
      <c r="G1326" s="1077">
        <v>5</v>
      </c>
      <c r="H1326" s="1077" t="s">
        <v>4681</v>
      </c>
      <c r="I1326" s="1077" t="s">
        <v>126</v>
      </c>
      <c r="J1326" s="1077">
        <v>1.5</v>
      </c>
      <c r="K1326" s="1077" t="s">
        <v>4688</v>
      </c>
      <c r="L1326" s="1077" t="s">
        <v>4675</v>
      </c>
      <c r="M1326" s="1077">
        <v>152.19999999999999</v>
      </c>
      <c r="N1326" s="1077" t="s">
        <v>945</v>
      </c>
      <c r="O1326" s="1077">
        <v>3.8049999999999997</v>
      </c>
      <c r="P1326" s="1077">
        <v>3.044</v>
      </c>
      <c r="Q1326" s="1077" t="s">
        <v>988</v>
      </c>
      <c r="R1326" s="1077">
        <v>19</v>
      </c>
      <c r="T1326" s="1077">
        <v>16</v>
      </c>
      <c r="U1326" s="1077">
        <v>4</v>
      </c>
      <c r="V1326" s="1077" t="s">
        <v>648</v>
      </c>
      <c r="W1326" s="1077">
        <v>85</v>
      </c>
      <c r="X1326" s="1077">
        <v>10</v>
      </c>
      <c r="Y1326" s="1077">
        <v>1.5</v>
      </c>
      <c r="Z1326" s="1077">
        <v>5</v>
      </c>
      <c r="AA1326" s="1077" t="s">
        <v>2435</v>
      </c>
      <c r="AH1326" s="1077" t="s">
        <v>3213</v>
      </c>
      <c r="AM1326" s="1078" t="s">
        <v>11663</v>
      </c>
      <c r="AN1326" s="1078" t="s">
        <v>11664</v>
      </c>
      <c r="AO1326" s="1078">
        <f t="shared" si="166"/>
        <v>750</v>
      </c>
      <c r="AP1326" s="1078">
        <f t="shared" si="167"/>
        <v>1.76</v>
      </c>
      <c r="AQ1326" s="1078" t="str">
        <f t="shared" si="168"/>
        <v>1-5-1S91°</v>
      </c>
      <c r="AR1326" s="1078" t="str">
        <f t="shared" si="169"/>
        <v>30.3</v>
      </c>
      <c r="AS1326" s="1078" t="str">
        <f t="shared" si="170"/>
        <v>337/297/165</v>
      </c>
      <c r="AT1326" s="1078" t="str">
        <f t="shared" si="171"/>
        <v>1-5-1S91°</v>
      </c>
      <c r="AV1326" s="1078" t="str">
        <f t="shared" si="164"/>
        <v>109.7.31</v>
      </c>
      <c r="AW1326" s="1344">
        <f t="shared" si="165"/>
        <v>44043</v>
      </c>
    </row>
    <row r="1327" spans="1:49">
      <c r="A1327" s="1077" t="s">
        <v>4765</v>
      </c>
      <c r="B1327" s="1077" t="s">
        <v>210</v>
      </c>
      <c r="C1327" s="1077">
        <v>750</v>
      </c>
      <c r="D1327" s="1077">
        <v>1.76</v>
      </c>
      <c r="E1327" s="1077" t="s">
        <v>15094</v>
      </c>
      <c r="F1327" s="1077" t="s">
        <v>4013</v>
      </c>
      <c r="G1327" s="1077">
        <v>5</v>
      </c>
      <c r="H1327" s="1077" t="s">
        <v>4681</v>
      </c>
      <c r="I1327" s="1077" t="s">
        <v>126</v>
      </c>
      <c r="J1327" s="1077">
        <v>1.5</v>
      </c>
      <c r="K1327" s="1077" t="s">
        <v>4688</v>
      </c>
      <c r="L1327" s="1077" t="s">
        <v>4675</v>
      </c>
      <c r="M1327" s="1077">
        <v>152.19999999999999</v>
      </c>
      <c r="N1327" s="1077" t="s">
        <v>945</v>
      </c>
      <c r="O1327" s="1077">
        <v>3.8049999999999997</v>
      </c>
      <c r="P1327" s="1077">
        <v>3.044</v>
      </c>
      <c r="Q1327" s="1077" t="s">
        <v>988</v>
      </c>
      <c r="R1327" s="1077">
        <v>19</v>
      </c>
      <c r="T1327" s="1077">
        <v>16</v>
      </c>
      <c r="U1327" s="1077">
        <v>4</v>
      </c>
      <c r="V1327" s="1077" t="s">
        <v>648</v>
      </c>
      <c r="W1327" s="1077">
        <v>85</v>
      </c>
      <c r="X1327" s="1077">
        <v>10</v>
      </c>
      <c r="Y1327" s="1077">
        <v>1.5</v>
      </c>
      <c r="Z1327" s="1077">
        <v>5</v>
      </c>
      <c r="AA1327" s="1077" t="s">
        <v>1084</v>
      </c>
      <c r="AH1327" s="1077" t="s">
        <v>684</v>
      </c>
      <c r="AM1327" s="1078" t="s">
        <v>11665</v>
      </c>
      <c r="AN1327" s="1078" t="s">
        <v>11666</v>
      </c>
      <c r="AO1327" s="1078">
        <f t="shared" si="166"/>
        <v>750</v>
      </c>
      <c r="AP1327" s="1078">
        <f t="shared" si="167"/>
        <v>1.76</v>
      </c>
      <c r="AQ1327" s="1078" t="str">
        <f t="shared" si="168"/>
        <v>1-5-1S91°</v>
      </c>
      <c r="AR1327" s="1078" t="str">
        <f t="shared" si="169"/>
        <v>30.3</v>
      </c>
      <c r="AS1327" s="1078" t="str">
        <f t="shared" si="170"/>
        <v>337/297/165</v>
      </c>
      <c r="AT1327" s="1078" t="str">
        <f t="shared" si="171"/>
        <v>1-5-1S91°</v>
      </c>
      <c r="AV1327" s="1078" t="str">
        <f t="shared" si="164"/>
        <v>109.8.3</v>
      </c>
      <c r="AW1327" s="1344">
        <f t="shared" si="165"/>
        <v>44046</v>
      </c>
    </row>
    <row r="1328" spans="1:49">
      <c r="A1328" s="1077" t="s">
        <v>4766</v>
      </c>
      <c r="B1328" s="1077" t="s">
        <v>4767</v>
      </c>
      <c r="C1328" s="1077">
        <v>750</v>
      </c>
      <c r="D1328" s="1077">
        <v>1.7290000000000001</v>
      </c>
      <c r="E1328" s="1077" t="s">
        <v>15104</v>
      </c>
      <c r="F1328" s="1077" t="s">
        <v>648</v>
      </c>
      <c r="G1328" s="1077">
        <v>5</v>
      </c>
      <c r="H1328" s="1077" t="s">
        <v>941</v>
      </c>
      <c r="I1328" s="1077" t="s">
        <v>126</v>
      </c>
      <c r="J1328" s="1077">
        <v>1.8</v>
      </c>
      <c r="K1328" s="1077" t="s">
        <v>4768</v>
      </c>
      <c r="L1328" s="1077" t="s">
        <v>2430</v>
      </c>
      <c r="M1328" s="1077">
        <v>148</v>
      </c>
      <c r="N1328" s="1077" t="s">
        <v>945</v>
      </c>
      <c r="O1328" s="1077">
        <v>3.7</v>
      </c>
      <c r="P1328" s="1077">
        <v>2.96</v>
      </c>
      <c r="Q1328" s="1077" t="s">
        <v>979</v>
      </c>
      <c r="R1328" s="1077">
        <v>20.8</v>
      </c>
      <c r="T1328" s="1077">
        <v>20.399999999999999</v>
      </c>
      <c r="U1328" s="1077">
        <v>3.8</v>
      </c>
      <c r="V1328" s="1077" t="s">
        <v>648</v>
      </c>
      <c r="W1328" s="1077">
        <v>110</v>
      </c>
      <c r="X1328" s="1077">
        <v>60</v>
      </c>
      <c r="Y1328" s="1077">
        <v>1.7</v>
      </c>
      <c r="Z1328" s="1077" t="s">
        <v>648</v>
      </c>
      <c r="AA1328" s="1077" t="s">
        <v>4769</v>
      </c>
      <c r="AH1328" s="1077" t="s">
        <v>1803</v>
      </c>
      <c r="AM1328" s="1078" t="s">
        <v>11667</v>
      </c>
      <c r="AN1328" s="1078" t="s">
        <v>11668</v>
      </c>
      <c r="AO1328" s="1078">
        <f t="shared" si="166"/>
        <v>750</v>
      </c>
      <c r="AP1328" s="1078">
        <f t="shared" si="167"/>
        <v>1.7290000000000001</v>
      </c>
      <c r="AQ1328" s="1078" t="str">
        <f t="shared" si="168"/>
        <v>1-4-1S85°Z+S</v>
      </c>
      <c r="AR1328" s="1078" t="str">
        <f t="shared" si="169"/>
        <v>NA</v>
      </c>
      <c r="AS1328" s="1078" t="str">
        <f t="shared" si="170"/>
        <v>185/OFF</v>
      </c>
      <c r="AT1328" s="1078" t="str">
        <f t="shared" si="171"/>
        <v>1-4-1S85°Z+S</v>
      </c>
      <c r="AU1328" s="1078" t="s">
        <v>15547</v>
      </c>
      <c r="AV1328" s="1078" t="str">
        <f t="shared" si="164"/>
        <v>108.1.16</v>
      </c>
      <c r="AW1328" s="1344">
        <f t="shared" si="165"/>
        <v>43481</v>
      </c>
    </row>
    <row r="1329" spans="1:49">
      <c r="A1329" s="1077" t="s">
        <v>4770</v>
      </c>
      <c r="B1329" s="1077" t="s">
        <v>4767</v>
      </c>
      <c r="C1329" s="1077">
        <v>750</v>
      </c>
      <c r="D1329" s="1077">
        <v>1.7290000000000001</v>
      </c>
      <c r="E1329" s="1077" t="s">
        <v>15104</v>
      </c>
      <c r="F1329" s="1077" t="s">
        <v>648</v>
      </c>
      <c r="G1329" s="1077">
        <v>5</v>
      </c>
      <c r="H1329" s="1077" t="s">
        <v>941</v>
      </c>
      <c r="I1329" s="1077" t="s">
        <v>126</v>
      </c>
      <c r="J1329" s="1077">
        <v>1.8</v>
      </c>
      <c r="K1329" s="1077" t="s">
        <v>4771</v>
      </c>
      <c r="L1329" s="1077" t="s">
        <v>1776</v>
      </c>
      <c r="M1329" s="1077">
        <v>148</v>
      </c>
      <c r="N1329" s="1077" t="s">
        <v>945</v>
      </c>
      <c r="O1329" s="1077">
        <v>3.7</v>
      </c>
      <c r="P1329" s="1077">
        <v>2.96</v>
      </c>
      <c r="Q1329" s="1077" t="s">
        <v>979</v>
      </c>
      <c r="R1329" s="1077">
        <v>20.8</v>
      </c>
      <c r="T1329" s="1077">
        <v>20.399999999999999</v>
      </c>
      <c r="U1329" s="1077">
        <v>3.8</v>
      </c>
      <c r="V1329" s="1077" t="s">
        <v>648</v>
      </c>
      <c r="W1329" s="1077">
        <v>110</v>
      </c>
      <c r="X1329" s="1077">
        <v>60</v>
      </c>
      <c r="Y1329" s="1077">
        <v>1.7</v>
      </c>
      <c r="Z1329" s="1077" t="s">
        <v>648</v>
      </c>
      <c r="AA1329" s="1077" t="s">
        <v>4679</v>
      </c>
      <c r="AH1329" s="1077" t="s">
        <v>1178</v>
      </c>
      <c r="AM1329" s="1078" t="s">
        <v>11669</v>
      </c>
      <c r="AN1329" s="1078" t="s">
        <v>11670</v>
      </c>
      <c r="AO1329" s="1078">
        <f t="shared" si="166"/>
        <v>750</v>
      </c>
      <c r="AP1329" s="1078">
        <f t="shared" si="167"/>
        <v>1.7290000000000001</v>
      </c>
      <c r="AQ1329" s="1078" t="str">
        <f t="shared" si="168"/>
        <v>1-4-1S85°Z+S</v>
      </c>
      <c r="AR1329" s="1078" t="str">
        <f t="shared" si="169"/>
        <v>NA</v>
      </c>
      <c r="AS1329" s="1078" t="str">
        <f t="shared" si="170"/>
        <v>185/OFF</v>
      </c>
      <c r="AT1329" s="1078" t="str">
        <f t="shared" si="171"/>
        <v>1-4-1S85°Z+S</v>
      </c>
      <c r="AU1329" s="1078" t="s">
        <v>15547</v>
      </c>
      <c r="AV1329" s="1078" t="str">
        <f t="shared" si="164"/>
        <v>108.3.5</v>
      </c>
      <c r="AW1329" s="1344">
        <f t="shared" si="165"/>
        <v>43529</v>
      </c>
    </row>
    <row r="1330" spans="1:49">
      <c r="A1330" s="1077" t="s">
        <v>4772</v>
      </c>
      <c r="B1330" s="1077" t="s">
        <v>4767</v>
      </c>
      <c r="C1330" s="1077">
        <v>600</v>
      </c>
      <c r="D1330" s="1077">
        <v>1.7290000000000001</v>
      </c>
      <c r="E1330" s="1077" t="s">
        <v>15104</v>
      </c>
      <c r="F1330" s="1077" t="s">
        <v>648</v>
      </c>
      <c r="G1330" s="1077">
        <v>5</v>
      </c>
      <c r="H1330" s="1077" t="s">
        <v>4773</v>
      </c>
      <c r="I1330" s="1077" t="s">
        <v>126</v>
      </c>
      <c r="J1330" s="1077">
        <v>1.2</v>
      </c>
      <c r="K1330" s="1077" t="s">
        <v>4774</v>
      </c>
      <c r="L1330" s="1077" t="s">
        <v>1776</v>
      </c>
      <c r="M1330" s="1077">
        <v>148</v>
      </c>
      <c r="N1330" s="1077" t="s">
        <v>945</v>
      </c>
      <c r="O1330" s="1077">
        <v>3.7</v>
      </c>
      <c r="P1330" s="1077">
        <v>2.96</v>
      </c>
      <c r="Q1330" s="1077" t="s">
        <v>946</v>
      </c>
      <c r="R1330" s="1077">
        <v>20.8</v>
      </c>
      <c r="T1330" s="1077">
        <v>20.399999999999999</v>
      </c>
      <c r="U1330" s="1077">
        <v>3.8</v>
      </c>
      <c r="V1330" s="1077" t="s">
        <v>648</v>
      </c>
      <c r="W1330" s="1077">
        <v>110</v>
      </c>
      <c r="X1330" s="1077" t="s">
        <v>2395</v>
      </c>
      <c r="Y1330" s="1077">
        <v>1.7</v>
      </c>
      <c r="Z1330" s="1077" t="s">
        <v>648</v>
      </c>
      <c r="AA1330" s="1077" t="s">
        <v>3328</v>
      </c>
      <c r="AH1330" s="1077" t="s">
        <v>726</v>
      </c>
      <c r="AM1330" s="1078" t="s">
        <v>11671</v>
      </c>
      <c r="AN1330" s="1078" t="s">
        <v>11672</v>
      </c>
      <c r="AO1330" s="1078">
        <f t="shared" si="166"/>
        <v>600</v>
      </c>
      <c r="AP1330" s="1078">
        <f t="shared" si="167"/>
        <v>1.7290000000000001</v>
      </c>
      <c r="AQ1330" s="1078" t="str">
        <f t="shared" si="168"/>
        <v>1-4-1S85°Z+S</v>
      </c>
      <c r="AR1330" s="1078" t="str">
        <f t="shared" si="169"/>
        <v>NA</v>
      </c>
      <c r="AS1330" s="1078" t="str">
        <f t="shared" si="170"/>
        <v>176/OFF</v>
      </c>
      <c r="AT1330" s="1078" t="str">
        <f t="shared" si="171"/>
        <v>1-4-1S85°Z+S</v>
      </c>
      <c r="AU1330" s="1078" t="s">
        <v>15547</v>
      </c>
      <c r="AV1330" s="1078" t="str">
        <f t="shared" si="164"/>
        <v>109.1.17</v>
      </c>
      <c r="AW1330" s="1344">
        <f t="shared" si="165"/>
        <v>43847</v>
      </c>
    </row>
    <row r="1331" spans="1:49">
      <c r="A1331" s="1077" t="s">
        <v>4775</v>
      </c>
      <c r="B1331" s="1077" t="s">
        <v>4767</v>
      </c>
      <c r="C1331" s="1077">
        <v>650</v>
      </c>
      <c r="D1331" s="1077">
        <v>1.7290000000000001</v>
      </c>
      <c r="E1331" s="1077" t="s">
        <v>15104</v>
      </c>
      <c r="F1331" s="1077" t="s">
        <v>648</v>
      </c>
      <c r="G1331" s="1077">
        <v>5</v>
      </c>
      <c r="H1331" s="1077" t="s">
        <v>4776</v>
      </c>
      <c r="I1331" s="1077" t="s">
        <v>126</v>
      </c>
      <c r="J1331" s="1077">
        <v>1.3</v>
      </c>
      <c r="K1331" s="1077" t="s">
        <v>4774</v>
      </c>
      <c r="L1331" s="1077" t="s">
        <v>1776</v>
      </c>
      <c r="M1331" s="1077">
        <v>148</v>
      </c>
      <c r="N1331" s="1077" t="s">
        <v>945</v>
      </c>
      <c r="O1331" s="1077">
        <v>3.7</v>
      </c>
      <c r="P1331" s="1077">
        <v>2.96</v>
      </c>
      <c r="Q1331" s="1077" t="s">
        <v>946</v>
      </c>
      <c r="R1331" s="1077">
        <v>20.8</v>
      </c>
      <c r="T1331" s="1077">
        <v>20.399999999999999</v>
      </c>
      <c r="U1331" s="1077">
        <v>3.8</v>
      </c>
      <c r="V1331" s="1077" t="s">
        <v>648</v>
      </c>
      <c r="W1331" s="1077">
        <v>110</v>
      </c>
      <c r="X1331" s="1077" t="s">
        <v>2395</v>
      </c>
      <c r="Y1331" s="1077">
        <v>1.7</v>
      </c>
      <c r="Z1331" s="1077" t="s">
        <v>648</v>
      </c>
      <c r="AA1331" s="1077" t="s">
        <v>3163</v>
      </c>
      <c r="AH1331" s="1077" t="s">
        <v>1417</v>
      </c>
      <c r="AM1331" s="1078" t="s">
        <v>11673</v>
      </c>
      <c r="AN1331" s="1078" t="s">
        <v>11674</v>
      </c>
      <c r="AO1331" s="1078">
        <f t="shared" si="166"/>
        <v>650</v>
      </c>
      <c r="AP1331" s="1078">
        <f t="shared" si="167"/>
        <v>1.7290000000000001</v>
      </c>
      <c r="AQ1331" s="1078" t="str">
        <f t="shared" si="168"/>
        <v>1-4-1S85°Z+S</v>
      </c>
      <c r="AR1331" s="1078" t="str">
        <f t="shared" si="169"/>
        <v>NA</v>
      </c>
      <c r="AS1331" s="1078" t="str">
        <f t="shared" si="170"/>
        <v>178/OFF</v>
      </c>
      <c r="AT1331" s="1078" t="str">
        <f t="shared" si="171"/>
        <v>1-4-1S85°Z+S</v>
      </c>
      <c r="AU1331" s="1078" t="s">
        <v>15547</v>
      </c>
      <c r="AV1331" s="1078" t="str">
        <f t="shared" si="164"/>
        <v>109.1.30</v>
      </c>
      <c r="AW1331" s="1344">
        <f t="shared" si="165"/>
        <v>43860</v>
      </c>
    </row>
    <row r="1332" spans="1:49">
      <c r="A1332" s="1077" t="s">
        <v>4777</v>
      </c>
      <c r="B1332" s="1077" t="s">
        <v>4767</v>
      </c>
      <c r="C1332" s="1077">
        <v>600</v>
      </c>
      <c r="D1332" s="1077">
        <v>1.7290000000000001</v>
      </c>
      <c r="E1332" s="1077" t="s">
        <v>15104</v>
      </c>
      <c r="F1332" s="1077" t="s">
        <v>648</v>
      </c>
      <c r="G1332" s="1077">
        <v>5</v>
      </c>
      <c r="H1332" s="1077" t="s">
        <v>4773</v>
      </c>
      <c r="I1332" s="1077" t="s">
        <v>126</v>
      </c>
      <c r="J1332" s="1077">
        <v>1.2</v>
      </c>
      <c r="K1332" s="1077" t="s">
        <v>4774</v>
      </c>
      <c r="L1332" s="1077" t="s">
        <v>1776</v>
      </c>
      <c r="M1332" s="1077">
        <v>148</v>
      </c>
      <c r="N1332" s="1077" t="s">
        <v>945</v>
      </c>
      <c r="O1332" s="1077">
        <v>3.7</v>
      </c>
      <c r="P1332" s="1077">
        <v>2.96</v>
      </c>
      <c r="Q1332" s="1077" t="s">
        <v>946</v>
      </c>
      <c r="R1332" s="1077">
        <v>20.8</v>
      </c>
      <c r="T1332" s="1077">
        <v>20.399999999999999</v>
      </c>
      <c r="U1332" s="1077">
        <v>3.8</v>
      </c>
      <c r="V1332" s="1077" t="s">
        <v>648</v>
      </c>
      <c r="W1332" s="1077">
        <v>110</v>
      </c>
      <c r="X1332" s="1077" t="s">
        <v>2395</v>
      </c>
      <c r="Y1332" s="1077">
        <v>1.7</v>
      </c>
      <c r="Z1332" s="1077" t="s">
        <v>648</v>
      </c>
      <c r="AA1332" s="1077" t="s">
        <v>4778</v>
      </c>
      <c r="AB1332" s="1077" t="s">
        <v>981</v>
      </c>
      <c r="AH1332" s="1077" t="s">
        <v>831</v>
      </c>
      <c r="AM1332" s="1078" t="s">
        <v>11675</v>
      </c>
      <c r="AN1332" s="1078" t="s">
        <v>11676</v>
      </c>
      <c r="AO1332" s="1078">
        <f t="shared" si="166"/>
        <v>600</v>
      </c>
      <c r="AP1332" s="1078">
        <f t="shared" si="167"/>
        <v>1.7290000000000001</v>
      </c>
      <c r="AQ1332" s="1078" t="str">
        <f t="shared" si="168"/>
        <v>1-4-1S85°Z+S</v>
      </c>
      <c r="AR1332" s="1078" t="str">
        <f t="shared" si="169"/>
        <v>NA</v>
      </c>
      <c r="AS1332" s="1078" t="str">
        <f t="shared" si="170"/>
        <v>176/OFF</v>
      </c>
      <c r="AT1332" s="1078" t="str">
        <f t="shared" si="171"/>
        <v>1-4-1S85°Z+S</v>
      </c>
      <c r="AU1332" s="1078" t="s">
        <v>15547</v>
      </c>
      <c r="AV1332" s="1078" t="str">
        <f t="shared" si="164"/>
        <v>109.3.7</v>
      </c>
      <c r="AW1332" s="1344">
        <f t="shared" si="165"/>
        <v>43897</v>
      </c>
    </row>
    <row r="1333" spans="1:49">
      <c r="A1333" s="1077" t="s">
        <v>4779</v>
      </c>
      <c r="B1333" s="1077" t="s">
        <v>4767</v>
      </c>
      <c r="C1333" s="1077" t="s">
        <v>4780</v>
      </c>
      <c r="D1333" s="1077">
        <v>1.7290000000000001</v>
      </c>
      <c r="E1333" s="1077" t="s">
        <v>15104</v>
      </c>
      <c r="F1333" s="1077" t="s">
        <v>648</v>
      </c>
      <c r="G1333" s="1077">
        <v>5</v>
      </c>
      <c r="H1333" s="1077" t="s">
        <v>2192</v>
      </c>
      <c r="I1333" s="1077" t="s">
        <v>126</v>
      </c>
      <c r="J1333" s="1077">
        <v>1.6</v>
      </c>
      <c r="K1333" s="1077" t="s">
        <v>4781</v>
      </c>
      <c r="L1333" s="1077" t="s">
        <v>1776</v>
      </c>
      <c r="M1333" s="1077">
        <v>148</v>
      </c>
      <c r="N1333" s="1077" t="s">
        <v>945</v>
      </c>
      <c r="O1333" s="1077">
        <v>3.7</v>
      </c>
      <c r="P1333" s="1077">
        <v>2.96</v>
      </c>
      <c r="Q1333" s="1077" t="s">
        <v>946</v>
      </c>
      <c r="R1333" s="1077">
        <v>20.8</v>
      </c>
      <c r="T1333" s="1077">
        <v>20.399999999999999</v>
      </c>
      <c r="U1333" s="1077">
        <v>3.8</v>
      </c>
      <c r="V1333" s="1077" t="s">
        <v>648</v>
      </c>
      <c r="W1333" s="1077">
        <v>110</v>
      </c>
      <c r="X1333" s="1077" t="s">
        <v>2395</v>
      </c>
      <c r="Y1333" s="1077">
        <v>1.7</v>
      </c>
      <c r="Z1333" s="1077" t="s">
        <v>648</v>
      </c>
      <c r="AA1333" s="1077" t="s">
        <v>4782</v>
      </c>
      <c r="AB1333" s="1077" t="s">
        <v>981</v>
      </c>
      <c r="AH1333" s="1077" t="s">
        <v>1827</v>
      </c>
      <c r="AM1333" s="1078" t="s">
        <v>11677</v>
      </c>
      <c r="AN1333" s="1078" t="s">
        <v>11678</v>
      </c>
      <c r="AO1333" s="1078" t="str">
        <f t="shared" si="166"/>
        <v>650↑700(5/21)</v>
      </c>
      <c r="AP1333" s="1078">
        <f t="shared" si="167"/>
        <v>1.7290000000000001</v>
      </c>
      <c r="AQ1333" s="1078" t="str">
        <f t="shared" si="168"/>
        <v>1-4-1S85°Z+S</v>
      </c>
      <c r="AR1333" s="1078" t="str">
        <f t="shared" si="169"/>
        <v>NA</v>
      </c>
      <c r="AS1333" s="1078" t="str">
        <f t="shared" si="170"/>
        <v>180/OFF</v>
      </c>
      <c r="AT1333" s="1078" t="str">
        <f t="shared" si="171"/>
        <v>1-4-1S85°Z+S</v>
      </c>
      <c r="AU1333" s="1078" t="s">
        <v>15547</v>
      </c>
      <c r="AV1333" s="1078" t="str">
        <f t="shared" si="164"/>
        <v>109.5.19</v>
      </c>
      <c r="AW1333" s="1344">
        <f t="shared" si="165"/>
        <v>43970</v>
      </c>
    </row>
    <row r="1334" spans="1:49">
      <c r="A1334" s="1077" t="s">
        <v>4783</v>
      </c>
      <c r="B1334" s="1077" t="s">
        <v>4767</v>
      </c>
      <c r="C1334" s="1077">
        <v>650</v>
      </c>
      <c r="D1334" s="1077">
        <v>1.7290000000000001</v>
      </c>
      <c r="E1334" s="1077" t="s">
        <v>15104</v>
      </c>
      <c r="F1334" s="1077" t="s">
        <v>648</v>
      </c>
      <c r="G1334" s="1077">
        <v>5</v>
      </c>
      <c r="H1334" s="1077" t="s">
        <v>4776</v>
      </c>
      <c r="I1334" s="1077" t="s">
        <v>126</v>
      </c>
      <c r="J1334" s="1077">
        <v>1.3</v>
      </c>
      <c r="K1334" s="1077" t="s">
        <v>4774</v>
      </c>
      <c r="L1334" s="1077" t="s">
        <v>1776</v>
      </c>
      <c r="M1334" s="1077">
        <v>148</v>
      </c>
      <c r="N1334" s="1077" t="s">
        <v>945</v>
      </c>
      <c r="O1334" s="1077">
        <v>3.7</v>
      </c>
      <c r="P1334" s="1077">
        <v>2.96</v>
      </c>
      <c r="Q1334" s="1077" t="s">
        <v>946</v>
      </c>
      <c r="R1334" s="1077">
        <v>20.8</v>
      </c>
      <c r="T1334" s="1077">
        <v>20.399999999999999</v>
      </c>
      <c r="U1334" s="1077">
        <v>3.8</v>
      </c>
      <c r="V1334" s="1077" t="s">
        <v>648</v>
      </c>
      <c r="W1334" s="1077">
        <v>110</v>
      </c>
      <c r="X1334" s="1077" t="s">
        <v>2395</v>
      </c>
      <c r="Y1334" s="1077">
        <v>1.7</v>
      </c>
      <c r="Z1334" s="1077" t="s">
        <v>648</v>
      </c>
      <c r="AA1334" s="1077" t="s">
        <v>4784</v>
      </c>
      <c r="AB1334" s="1077" t="s">
        <v>981</v>
      </c>
      <c r="AH1334" s="1077" t="s">
        <v>812</v>
      </c>
      <c r="AM1334" s="1078" t="s">
        <v>11679</v>
      </c>
      <c r="AN1334" s="1078" t="s">
        <v>11680</v>
      </c>
      <c r="AO1334" s="1078">
        <f t="shared" si="166"/>
        <v>650</v>
      </c>
      <c r="AP1334" s="1078">
        <f t="shared" si="167"/>
        <v>1.7290000000000001</v>
      </c>
      <c r="AQ1334" s="1078" t="str">
        <f t="shared" si="168"/>
        <v>1-4-1S85°Z+S</v>
      </c>
      <c r="AR1334" s="1078" t="str">
        <f t="shared" si="169"/>
        <v>NA</v>
      </c>
      <c r="AS1334" s="1078" t="str">
        <f t="shared" si="170"/>
        <v>178/OFF</v>
      </c>
      <c r="AT1334" s="1078" t="str">
        <f t="shared" si="171"/>
        <v>1-4-1S85°Z+S</v>
      </c>
      <c r="AU1334" s="1078" t="s">
        <v>15547</v>
      </c>
      <c r="AV1334" s="1078" t="str">
        <f t="shared" si="164"/>
        <v>109.5.7</v>
      </c>
      <c r="AW1334" s="1344">
        <f t="shared" si="165"/>
        <v>43958</v>
      </c>
    </row>
    <row r="1335" spans="1:49">
      <c r="A1335" s="1077" t="s">
        <v>4785</v>
      </c>
      <c r="B1335" s="1077" t="s">
        <v>4767</v>
      </c>
      <c r="C1335" s="1077">
        <v>650</v>
      </c>
      <c r="D1335" s="1077">
        <v>1.7290000000000001</v>
      </c>
      <c r="E1335" s="1077" t="s">
        <v>15104</v>
      </c>
      <c r="F1335" s="1077" t="s">
        <v>648</v>
      </c>
      <c r="G1335" s="1077">
        <v>5</v>
      </c>
      <c r="H1335" s="1077" t="s">
        <v>4776</v>
      </c>
      <c r="I1335" s="1077" t="s">
        <v>126</v>
      </c>
      <c r="J1335" s="1077">
        <v>1.3</v>
      </c>
      <c r="K1335" s="1077" t="s">
        <v>4786</v>
      </c>
      <c r="L1335" s="1077" t="s">
        <v>1776</v>
      </c>
      <c r="M1335" s="1077">
        <v>148</v>
      </c>
      <c r="N1335" s="1077" t="s">
        <v>945</v>
      </c>
      <c r="O1335" s="1077">
        <v>3.7</v>
      </c>
      <c r="P1335" s="1077">
        <v>2.96</v>
      </c>
      <c r="Q1335" s="1077" t="s">
        <v>946</v>
      </c>
      <c r="R1335" s="1077">
        <v>20.8</v>
      </c>
      <c r="T1335" s="1077">
        <v>20.399999999999999</v>
      </c>
      <c r="U1335" s="1077">
        <v>3.8</v>
      </c>
      <c r="V1335" s="1077" t="s">
        <v>648</v>
      </c>
      <c r="W1335" s="1077">
        <v>110</v>
      </c>
      <c r="X1335" s="1077" t="s">
        <v>2395</v>
      </c>
      <c r="Y1335" s="1077">
        <v>1.7</v>
      </c>
      <c r="Z1335" s="1077" t="s">
        <v>648</v>
      </c>
      <c r="AA1335" s="1077" t="s">
        <v>4784</v>
      </c>
      <c r="AB1335" s="1077" t="s">
        <v>981</v>
      </c>
      <c r="AH1335" s="1077" t="s">
        <v>803</v>
      </c>
      <c r="AM1335" s="1078" t="s">
        <v>11681</v>
      </c>
      <c r="AN1335" s="1078" t="s">
        <v>11682</v>
      </c>
      <c r="AO1335" s="1078">
        <f t="shared" si="166"/>
        <v>650</v>
      </c>
      <c r="AP1335" s="1078">
        <f t="shared" si="167"/>
        <v>1.7290000000000001</v>
      </c>
      <c r="AQ1335" s="1078" t="str">
        <f t="shared" si="168"/>
        <v>1-4-1S85°Z+S</v>
      </c>
      <c r="AR1335" s="1078" t="str">
        <f t="shared" si="169"/>
        <v>NA</v>
      </c>
      <c r="AS1335" s="1078" t="str">
        <f t="shared" si="170"/>
        <v>178/OFF</v>
      </c>
      <c r="AT1335" s="1078" t="str">
        <f t="shared" si="171"/>
        <v>1-4-1S85°Z+S</v>
      </c>
      <c r="AU1335" s="1078" t="s">
        <v>15547</v>
      </c>
      <c r="AV1335" s="1078" t="str">
        <f t="shared" si="164"/>
        <v>109.5.7</v>
      </c>
      <c r="AW1335" s="1344">
        <f t="shared" si="165"/>
        <v>43958</v>
      </c>
    </row>
    <row r="1336" spans="1:49">
      <c r="A1336" s="1077" t="s">
        <v>4787</v>
      </c>
      <c r="B1336" s="1077" t="s">
        <v>4767</v>
      </c>
      <c r="C1336" s="1077">
        <v>700</v>
      </c>
      <c r="D1336" s="1077">
        <v>1.7290000000000001</v>
      </c>
      <c r="E1336" s="1077" t="s">
        <v>15104</v>
      </c>
      <c r="F1336" s="1077" t="s">
        <v>648</v>
      </c>
      <c r="G1336" s="1077">
        <v>5</v>
      </c>
      <c r="H1336" s="1077" t="s">
        <v>2192</v>
      </c>
      <c r="I1336" s="1077" t="s">
        <v>126</v>
      </c>
      <c r="J1336" s="1077">
        <v>1.6</v>
      </c>
      <c r="K1336" s="1077" t="s">
        <v>4781</v>
      </c>
      <c r="L1336" s="1077" t="s">
        <v>1776</v>
      </c>
      <c r="M1336" s="1077">
        <v>148</v>
      </c>
      <c r="N1336" s="1077" t="s">
        <v>945</v>
      </c>
      <c r="O1336" s="1077">
        <v>3.7</v>
      </c>
      <c r="P1336" s="1077">
        <v>2.96</v>
      </c>
      <c r="Q1336" s="1077" t="s">
        <v>946</v>
      </c>
      <c r="R1336" s="1077">
        <v>20.8</v>
      </c>
      <c r="T1336" s="1077">
        <v>20.399999999999999</v>
      </c>
      <c r="U1336" s="1077">
        <v>3.8</v>
      </c>
      <c r="V1336" s="1077" t="s">
        <v>648</v>
      </c>
      <c r="W1336" s="1077">
        <v>110</v>
      </c>
      <c r="X1336" s="1077" t="s">
        <v>2395</v>
      </c>
      <c r="Y1336" s="1077">
        <v>1.7</v>
      </c>
      <c r="Z1336" s="1077" t="s">
        <v>648</v>
      </c>
      <c r="AA1336" s="1077" t="s">
        <v>957</v>
      </c>
      <c r="AB1336" s="1077" t="s">
        <v>981</v>
      </c>
      <c r="AH1336" s="1077" t="s">
        <v>3067</v>
      </c>
      <c r="AM1336" s="1078" t="s">
        <v>11683</v>
      </c>
      <c r="AN1336" s="1078" t="s">
        <v>11684</v>
      </c>
      <c r="AO1336" s="1078">
        <f t="shared" si="166"/>
        <v>700</v>
      </c>
      <c r="AP1336" s="1078">
        <f t="shared" si="167"/>
        <v>1.7290000000000001</v>
      </c>
      <c r="AQ1336" s="1078" t="str">
        <f t="shared" si="168"/>
        <v>1-4-1S85°Z+S</v>
      </c>
      <c r="AR1336" s="1078" t="str">
        <f t="shared" si="169"/>
        <v>NA</v>
      </c>
      <c r="AS1336" s="1078" t="str">
        <f t="shared" si="170"/>
        <v>180/OFF</v>
      </c>
      <c r="AT1336" s="1078" t="str">
        <f t="shared" si="171"/>
        <v>1-4-1S85°Z+S</v>
      </c>
      <c r="AU1336" s="1078" t="s">
        <v>15547</v>
      </c>
      <c r="AV1336" s="1078" t="str">
        <f t="shared" si="164"/>
        <v>109.6.1</v>
      </c>
      <c r="AW1336" s="1344">
        <f t="shared" si="165"/>
        <v>43983</v>
      </c>
    </row>
    <row r="1337" spans="1:49">
      <c r="A1337" s="1077" t="s">
        <v>4788</v>
      </c>
      <c r="B1337" s="1077" t="s">
        <v>4767</v>
      </c>
      <c r="C1337" s="1077">
        <v>700</v>
      </c>
      <c r="D1337" s="1077">
        <v>1.7290000000000001</v>
      </c>
      <c r="E1337" s="1077" t="s">
        <v>15104</v>
      </c>
      <c r="F1337" s="1077" t="s">
        <v>648</v>
      </c>
      <c r="G1337" s="1077">
        <v>5</v>
      </c>
      <c r="H1337" s="1077" t="s">
        <v>2192</v>
      </c>
      <c r="I1337" s="1077" t="s">
        <v>126</v>
      </c>
      <c r="J1337" s="1077">
        <v>1.6</v>
      </c>
      <c r="K1337" s="1077" t="s">
        <v>4781</v>
      </c>
      <c r="L1337" s="1077" t="s">
        <v>1776</v>
      </c>
      <c r="M1337" s="1077">
        <v>148</v>
      </c>
      <c r="N1337" s="1077" t="s">
        <v>945</v>
      </c>
      <c r="O1337" s="1077">
        <v>3.7</v>
      </c>
      <c r="P1337" s="1077">
        <v>2.96</v>
      </c>
      <c r="Q1337" s="1077" t="s">
        <v>946</v>
      </c>
      <c r="R1337" s="1077">
        <v>20.8</v>
      </c>
      <c r="T1337" s="1077">
        <v>20.399999999999999</v>
      </c>
      <c r="U1337" s="1077">
        <v>3.8</v>
      </c>
      <c r="V1337" s="1077" t="s">
        <v>648</v>
      </c>
      <c r="W1337" s="1077">
        <v>110</v>
      </c>
      <c r="X1337" s="1077" t="s">
        <v>2395</v>
      </c>
      <c r="Y1337" s="1077">
        <v>1.7</v>
      </c>
      <c r="Z1337" s="1077" t="s">
        <v>648</v>
      </c>
      <c r="AA1337" s="1077" t="s">
        <v>957</v>
      </c>
      <c r="AB1337" s="1077" t="s">
        <v>981</v>
      </c>
      <c r="AH1337" s="1077" t="s">
        <v>681</v>
      </c>
      <c r="AM1337" s="1078" t="s">
        <v>11685</v>
      </c>
      <c r="AN1337" s="1078" t="s">
        <v>11686</v>
      </c>
      <c r="AO1337" s="1078">
        <f t="shared" si="166"/>
        <v>700</v>
      </c>
      <c r="AP1337" s="1078">
        <f t="shared" si="167"/>
        <v>1.7290000000000001</v>
      </c>
      <c r="AQ1337" s="1078" t="str">
        <f t="shared" si="168"/>
        <v>1-4-1S85°Z+S</v>
      </c>
      <c r="AR1337" s="1078" t="str">
        <f t="shared" si="169"/>
        <v>NA</v>
      </c>
      <c r="AS1337" s="1078" t="str">
        <f t="shared" si="170"/>
        <v>180/OFF</v>
      </c>
      <c r="AT1337" s="1078" t="str">
        <f t="shared" si="171"/>
        <v>1-4-1S85°Z+S</v>
      </c>
      <c r="AU1337" s="1078" t="s">
        <v>15547</v>
      </c>
      <c r="AV1337" s="1078" t="str">
        <f t="shared" si="164"/>
        <v>109.6.1</v>
      </c>
      <c r="AW1337" s="1344">
        <f t="shared" si="165"/>
        <v>43983</v>
      </c>
    </row>
    <row r="1338" spans="1:49">
      <c r="A1338" s="1077" t="s">
        <v>4789</v>
      </c>
      <c r="B1338" s="1077" t="s">
        <v>210</v>
      </c>
      <c r="C1338" s="1077">
        <v>750</v>
      </c>
      <c r="D1338" s="1077">
        <v>1.74</v>
      </c>
      <c r="E1338" s="1077" t="s">
        <v>15094</v>
      </c>
      <c r="F1338" s="1077" t="s">
        <v>984</v>
      </c>
      <c r="G1338" s="1077">
        <v>5</v>
      </c>
      <c r="H1338" s="1077" t="s">
        <v>4685</v>
      </c>
      <c r="I1338" s="1077" t="s">
        <v>126</v>
      </c>
      <c r="J1338" s="1077">
        <v>0.8</v>
      </c>
      <c r="K1338" s="1077" t="s">
        <v>4688</v>
      </c>
      <c r="L1338" s="1077" t="s">
        <v>4675</v>
      </c>
      <c r="M1338" s="1077">
        <v>151.5</v>
      </c>
      <c r="N1338" s="1077" t="s">
        <v>945</v>
      </c>
      <c r="O1338" s="1077">
        <v>3.7875000000000001</v>
      </c>
      <c r="P1338" s="1077">
        <v>3.0300000000000002</v>
      </c>
      <c r="Q1338" s="1077" t="s">
        <v>1277</v>
      </c>
      <c r="R1338" s="1077">
        <v>19.100000000000001</v>
      </c>
      <c r="T1338" s="1077">
        <v>23.7</v>
      </c>
      <c r="U1338" s="1077">
        <v>3.2</v>
      </c>
      <c r="V1338" s="1077" t="s">
        <v>648</v>
      </c>
      <c r="W1338" s="1077">
        <v>35</v>
      </c>
      <c r="X1338" s="1077">
        <v>10</v>
      </c>
      <c r="Y1338" s="1077">
        <v>1</v>
      </c>
      <c r="Z1338" s="1077">
        <v>6</v>
      </c>
      <c r="AA1338" s="1077" t="s">
        <v>3251</v>
      </c>
      <c r="AB1338" s="1077" t="s">
        <v>4165</v>
      </c>
      <c r="AH1338" s="1077" t="s">
        <v>1482</v>
      </c>
      <c r="AM1338" s="1078" t="s">
        <v>11687</v>
      </c>
      <c r="AN1338" s="1078" t="s">
        <v>11688</v>
      </c>
      <c r="AO1338" s="1078">
        <f t="shared" si="166"/>
        <v>750</v>
      </c>
      <c r="AP1338" s="1078">
        <f t="shared" si="167"/>
        <v>1.74</v>
      </c>
      <c r="AQ1338" s="1078" t="str">
        <f t="shared" si="168"/>
        <v>1-5-1S91°</v>
      </c>
      <c r="AR1338" s="1078" t="str">
        <f t="shared" si="169"/>
        <v>30</v>
      </c>
      <c r="AS1338" s="1078" t="str">
        <f t="shared" si="170"/>
        <v>390/350/155</v>
      </c>
      <c r="AT1338" s="1078" t="str">
        <f t="shared" si="171"/>
        <v>1-5-1S91°</v>
      </c>
      <c r="AV1338" s="1078" t="str">
        <f t="shared" si="164"/>
        <v>109.8.10</v>
      </c>
      <c r="AW1338" s="1344">
        <f t="shared" si="165"/>
        <v>44053</v>
      </c>
    </row>
    <row r="1339" spans="1:49">
      <c r="A1339" s="1077" t="s">
        <v>4790</v>
      </c>
      <c r="B1339" s="1077" t="s">
        <v>210</v>
      </c>
      <c r="C1339" s="1077">
        <v>750</v>
      </c>
      <c r="D1339" s="1077">
        <v>1.74</v>
      </c>
      <c r="E1339" s="1077" t="s">
        <v>15094</v>
      </c>
      <c r="F1339" s="1077" t="s">
        <v>984</v>
      </c>
      <c r="G1339" s="1077">
        <v>5</v>
      </c>
      <c r="H1339" s="1077" t="s">
        <v>4791</v>
      </c>
      <c r="I1339" s="1077" t="s">
        <v>126</v>
      </c>
      <c r="J1339" s="1077">
        <v>0.8</v>
      </c>
      <c r="K1339" s="1077" t="s">
        <v>4792</v>
      </c>
      <c r="L1339" s="1077" t="s">
        <v>4666</v>
      </c>
      <c r="M1339" s="1077">
        <v>151.5</v>
      </c>
      <c r="N1339" s="1077" t="s">
        <v>945</v>
      </c>
      <c r="O1339" s="1077">
        <v>3.7875000000000001</v>
      </c>
      <c r="P1339" s="1077">
        <v>3.0300000000000002</v>
      </c>
      <c r="Q1339" s="1077" t="s">
        <v>988</v>
      </c>
      <c r="R1339" s="1077">
        <v>19.100000000000001</v>
      </c>
      <c r="T1339" s="1077">
        <v>23.7</v>
      </c>
      <c r="U1339" s="1077">
        <v>3.2</v>
      </c>
      <c r="V1339" s="1077" t="s">
        <v>648</v>
      </c>
      <c r="W1339" s="1077">
        <v>35</v>
      </c>
      <c r="X1339" s="1077">
        <v>10</v>
      </c>
      <c r="Y1339" s="1077">
        <v>1</v>
      </c>
      <c r="Z1339" s="1077">
        <v>6</v>
      </c>
      <c r="AA1339" s="1077" t="s">
        <v>4274</v>
      </c>
      <c r="AB1339" s="1077" t="s">
        <v>4165</v>
      </c>
      <c r="AH1339" s="1077" t="s">
        <v>722</v>
      </c>
      <c r="AM1339" s="1078" t="s">
        <v>11689</v>
      </c>
      <c r="AN1339" s="1078" t="s">
        <v>11690</v>
      </c>
      <c r="AO1339" s="1078">
        <f t="shared" si="166"/>
        <v>750</v>
      </c>
      <c r="AP1339" s="1078">
        <f t="shared" si="167"/>
        <v>1.74</v>
      </c>
      <c r="AQ1339" s="1078" t="str">
        <f t="shared" si="168"/>
        <v>1-5-1S91°</v>
      </c>
      <c r="AR1339" s="1078" t="str">
        <f t="shared" si="169"/>
        <v>30</v>
      </c>
      <c r="AS1339" s="1078" t="str">
        <f t="shared" si="170"/>
        <v>385/345/155</v>
      </c>
      <c r="AT1339" s="1078" t="str">
        <f t="shared" si="171"/>
        <v>1-5-1S91°</v>
      </c>
      <c r="AV1339" s="1078" t="str">
        <f t="shared" si="164"/>
        <v>109.9.8</v>
      </c>
      <c r="AW1339" s="1344">
        <f t="shared" si="165"/>
        <v>44082</v>
      </c>
    </row>
    <row r="1340" spans="1:49">
      <c r="A1340" s="1077" t="s">
        <v>4793</v>
      </c>
      <c r="B1340" s="1077" t="s">
        <v>210</v>
      </c>
      <c r="C1340" s="1077">
        <v>750</v>
      </c>
      <c r="D1340" s="1077">
        <v>1.74</v>
      </c>
      <c r="E1340" s="1077" t="s">
        <v>15094</v>
      </c>
      <c r="F1340" s="1077" t="s">
        <v>984</v>
      </c>
      <c r="G1340" s="1077">
        <v>5</v>
      </c>
      <c r="H1340" s="1077" t="s">
        <v>4791</v>
      </c>
      <c r="I1340" s="1077" t="s">
        <v>126</v>
      </c>
      <c r="J1340" s="1077">
        <v>0.8</v>
      </c>
      <c r="K1340" s="1077" t="s">
        <v>4792</v>
      </c>
      <c r="L1340" s="1077" t="s">
        <v>4666</v>
      </c>
      <c r="M1340" s="1077">
        <v>151.5</v>
      </c>
      <c r="N1340" s="1077" t="s">
        <v>945</v>
      </c>
      <c r="O1340" s="1077">
        <v>3.7875000000000001</v>
      </c>
      <c r="P1340" s="1077">
        <v>3.0300000000000002</v>
      </c>
      <c r="Q1340" s="1077" t="s">
        <v>946</v>
      </c>
      <c r="R1340" s="1077">
        <v>19.100000000000001</v>
      </c>
      <c r="T1340" s="1077">
        <v>23.7</v>
      </c>
      <c r="U1340" s="1077">
        <v>3.2</v>
      </c>
      <c r="V1340" s="1077" t="s">
        <v>648</v>
      </c>
      <c r="W1340" s="1077">
        <v>35</v>
      </c>
      <c r="X1340" s="1077">
        <v>10</v>
      </c>
      <c r="Y1340" s="1077" t="s">
        <v>4794</v>
      </c>
      <c r="Z1340" s="1077">
        <v>6</v>
      </c>
      <c r="AA1340" s="1077" t="s">
        <v>3032</v>
      </c>
      <c r="AB1340" s="1077" t="s">
        <v>4165</v>
      </c>
      <c r="AH1340" s="1077" t="s">
        <v>3213</v>
      </c>
      <c r="AM1340" s="1078" t="s">
        <v>11691</v>
      </c>
      <c r="AN1340" s="1078" t="s">
        <v>11692</v>
      </c>
      <c r="AO1340" s="1078">
        <f t="shared" si="166"/>
        <v>750</v>
      </c>
      <c r="AP1340" s="1078">
        <f t="shared" si="167"/>
        <v>1.74</v>
      </c>
      <c r="AQ1340" s="1078" t="str">
        <f t="shared" si="168"/>
        <v>1-5-1S91°</v>
      </c>
      <c r="AR1340" s="1078" t="str">
        <f t="shared" si="169"/>
        <v>30</v>
      </c>
      <c r="AS1340" s="1078" t="str">
        <f t="shared" si="170"/>
        <v>385/345/155</v>
      </c>
      <c r="AT1340" s="1078" t="str">
        <f t="shared" si="171"/>
        <v>1-5-1S91°</v>
      </c>
      <c r="AV1340" s="1078" t="str">
        <f t="shared" si="164"/>
        <v>109.9.9</v>
      </c>
      <c r="AW1340" s="1344">
        <f t="shared" si="165"/>
        <v>44083</v>
      </c>
    </row>
    <row r="1341" spans="1:49">
      <c r="A1341" s="1077" t="s">
        <v>4795</v>
      </c>
      <c r="B1341" s="1077" t="s">
        <v>210</v>
      </c>
      <c r="C1341" s="1077">
        <v>750</v>
      </c>
      <c r="D1341" s="1077">
        <v>1.76</v>
      </c>
      <c r="E1341" s="1077" t="s">
        <v>15094</v>
      </c>
      <c r="F1341" s="1077" t="s">
        <v>4013</v>
      </c>
      <c r="G1341" s="1077">
        <v>5</v>
      </c>
      <c r="H1341" s="1077" t="s">
        <v>4796</v>
      </c>
      <c r="I1341" s="1077" t="s">
        <v>126</v>
      </c>
      <c r="J1341" s="1077">
        <v>1.4</v>
      </c>
      <c r="K1341" s="1077" t="s">
        <v>4792</v>
      </c>
      <c r="L1341" s="1077" t="s">
        <v>4666</v>
      </c>
      <c r="M1341" s="1077">
        <v>152.19999999999999</v>
      </c>
      <c r="N1341" s="1077" t="s">
        <v>945</v>
      </c>
      <c r="O1341" s="1077">
        <v>3.8049999999999997</v>
      </c>
      <c r="P1341" s="1077">
        <v>3.044</v>
      </c>
      <c r="Q1341" s="1077" t="s">
        <v>961</v>
      </c>
      <c r="R1341" s="1077">
        <v>19</v>
      </c>
      <c r="T1341" s="1077">
        <v>16</v>
      </c>
      <c r="U1341" s="1077">
        <v>4</v>
      </c>
      <c r="V1341" s="1077" t="s">
        <v>648</v>
      </c>
      <c r="W1341" s="1077">
        <v>85</v>
      </c>
      <c r="X1341" s="1077">
        <v>10</v>
      </c>
      <c r="Y1341" s="1077" t="s">
        <v>4797</v>
      </c>
      <c r="Z1341" s="1077">
        <v>5</v>
      </c>
      <c r="AA1341" s="1077" t="s">
        <v>3231</v>
      </c>
      <c r="AH1341" s="1077" t="s">
        <v>1482</v>
      </c>
      <c r="AM1341" s="1078" t="s">
        <v>11693</v>
      </c>
      <c r="AN1341" s="1078" t="s">
        <v>11694</v>
      </c>
      <c r="AO1341" s="1078">
        <f t="shared" si="166"/>
        <v>750</v>
      </c>
      <c r="AP1341" s="1078">
        <f t="shared" si="167"/>
        <v>1.76</v>
      </c>
      <c r="AQ1341" s="1078" t="str">
        <f t="shared" si="168"/>
        <v>1-5-1S91°</v>
      </c>
      <c r="AR1341" s="1078" t="str">
        <f t="shared" si="169"/>
        <v>30.3</v>
      </c>
      <c r="AS1341" s="1078" t="str">
        <f t="shared" si="170"/>
        <v>334/294/165</v>
      </c>
      <c r="AT1341" s="1078" t="str">
        <f t="shared" si="171"/>
        <v>1-5-1S91°</v>
      </c>
      <c r="AV1341" s="1078" t="str">
        <f t="shared" si="164"/>
        <v>109.9.11</v>
      </c>
      <c r="AW1341" s="1344">
        <f t="shared" si="165"/>
        <v>44085</v>
      </c>
    </row>
    <row r="1342" spans="1:49">
      <c r="A1342" s="1077" t="s">
        <v>4798</v>
      </c>
      <c r="B1342" s="1077" t="s">
        <v>210</v>
      </c>
      <c r="C1342" s="1077">
        <v>750</v>
      </c>
      <c r="D1342" s="1077">
        <v>1.74</v>
      </c>
      <c r="E1342" s="1077" t="s">
        <v>15094</v>
      </c>
      <c r="F1342" s="1077" t="s">
        <v>984</v>
      </c>
      <c r="G1342" s="1077">
        <v>5</v>
      </c>
      <c r="H1342" s="1077" t="s">
        <v>4791</v>
      </c>
      <c r="I1342" s="1077" t="s">
        <v>126</v>
      </c>
      <c r="J1342" s="1077">
        <v>0.8</v>
      </c>
      <c r="K1342" s="1077" t="s">
        <v>4792</v>
      </c>
      <c r="L1342" s="1077" t="s">
        <v>4666</v>
      </c>
      <c r="M1342" s="1077">
        <v>151.5</v>
      </c>
      <c r="N1342" s="1077" t="s">
        <v>945</v>
      </c>
      <c r="O1342" s="1077">
        <v>3.7875000000000001</v>
      </c>
      <c r="P1342" s="1077">
        <v>3.0300000000000002</v>
      </c>
      <c r="Q1342" s="1077" t="s">
        <v>961</v>
      </c>
      <c r="R1342" s="1077">
        <v>19.100000000000001</v>
      </c>
      <c r="T1342" s="1077">
        <v>23.7</v>
      </c>
      <c r="U1342" s="1077">
        <v>3.2</v>
      </c>
      <c r="V1342" s="1077" t="s">
        <v>648</v>
      </c>
      <c r="W1342" s="1077">
        <v>35</v>
      </c>
      <c r="X1342" s="1077">
        <v>10</v>
      </c>
      <c r="Y1342" s="1077" t="s">
        <v>4794</v>
      </c>
      <c r="Z1342" s="1077">
        <v>6</v>
      </c>
      <c r="AA1342" s="1077" t="s">
        <v>3171</v>
      </c>
      <c r="AB1342" s="1077" t="s">
        <v>4165</v>
      </c>
      <c r="AH1342" s="1077" t="s">
        <v>966</v>
      </c>
      <c r="AM1342" s="1078" t="s">
        <v>11695</v>
      </c>
      <c r="AN1342" s="1078" t="s">
        <v>11696</v>
      </c>
      <c r="AO1342" s="1078">
        <f t="shared" si="166"/>
        <v>750</v>
      </c>
      <c r="AP1342" s="1078">
        <f t="shared" si="167"/>
        <v>1.74</v>
      </c>
      <c r="AQ1342" s="1078" t="str">
        <f t="shared" si="168"/>
        <v>1-5-1S91°</v>
      </c>
      <c r="AR1342" s="1078" t="str">
        <f t="shared" si="169"/>
        <v>30</v>
      </c>
      <c r="AS1342" s="1078" t="str">
        <f t="shared" si="170"/>
        <v>385/345/155</v>
      </c>
      <c r="AT1342" s="1078" t="str">
        <f t="shared" si="171"/>
        <v>1-5-1S91°</v>
      </c>
      <c r="AV1342" s="1078" t="str">
        <f t="shared" si="164"/>
        <v>109.9.17</v>
      </c>
      <c r="AW1342" s="1344">
        <f t="shared" si="165"/>
        <v>44091</v>
      </c>
    </row>
    <row r="1343" spans="1:49">
      <c r="A1343" s="1077" t="s">
        <v>4799</v>
      </c>
      <c r="B1343" s="1077" t="s">
        <v>210</v>
      </c>
      <c r="C1343" s="1077">
        <v>800</v>
      </c>
      <c r="D1343" s="1077">
        <v>1.76</v>
      </c>
      <c r="E1343" s="1077" t="s">
        <v>15094</v>
      </c>
      <c r="F1343" s="1077" t="s">
        <v>984</v>
      </c>
      <c r="G1343" s="1077">
        <v>5</v>
      </c>
      <c r="H1343" s="1077" t="s">
        <v>4690</v>
      </c>
      <c r="I1343" s="1077" t="s">
        <v>126</v>
      </c>
      <c r="J1343" s="1077">
        <v>2.9</v>
      </c>
      <c r="K1343" s="1077" t="s">
        <v>4792</v>
      </c>
      <c r="L1343" s="1077" t="s">
        <v>4666</v>
      </c>
      <c r="M1343" s="1077">
        <v>150.80000000000001</v>
      </c>
      <c r="N1343" s="1077" t="s">
        <v>945</v>
      </c>
      <c r="O1343" s="1077">
        <v>3.7700000000000005</v>
      </c>
      <c r="P1343" s="1077">
        <v>3.0160000000000005</v>
      </c>
      <c r="Q1343" s="1077" t="s">
        <v>961</v>
      </c>
      <c r="R1343" s="1077">
        <v>19</v>
      </c>
      <c r="T1343" s="1077">
        <v>28.3</v>
      </c>
      <c r="U1343" s="1077">
        <v>4.3</v>
      </c>
      <c r="V1343" s="1077" t="s">
        <v>648</v>
      </c>
      <c r="W1343" s="1077">
        <v>100</v>
      </c>
      <c r="X1343" s="1077">
        <v>50</v>
      </c>
      <c r="Y1343" s="1077">
        <v>1.5</v>
      </c>
      <c r="Z1343" s="1077">
        <v>6.5</v>
      </c>
      <c r="AA1343" s="1077" t="s">
        <v>4800</v>
      </c>
      <c r="AH1343" s="1077" t="s">
        <v>622</v>
      </c>
      <c r="AM1343" s="1078" t="s">
        <v>11697</v>
      </c>
      <c r="AN1343" s="1078" t="s">
        <v>11698</v>
      </c>
      <c r="AO1343" s="1078">
        <f t="shared" si="166"/>
        <v>800</v>
      </c>
      <c r="AP1343" s="1078">
        <f t="shared" si="167"/>
        <v>1.76</v>
      </c>
      <c r="AQ1343" s="1078" t="str">
        <f t="shared" si="168"/>
        <v>1-5-1S91°</v>
      </c>
      <c r="AR1343" s="1078" t="str">
        <f t="shared" si="169"/>
        <v>30</v>
      </c>
      <c r="AS1343" s="1078" t="str">
        <f t="shared" si="170"/>
        <v>380/340/OFF</v>
      </c>
      <c r="AT1343" s="1078" t="str">
        <f t="shared" si="171"/>
        <v>1-5-1S91°</v>
      </c>
      <c r="AV1343" s="1078" t="str">
        <f t="shared" si="164"/>
        <v>109.9.21</v>
      </c>
      <c r="AW1343" s="1344">
        <f t="shared" si="165"/>
        <v>44095</v>
      </c>
    </row>
    <row r="1344" spans="1:49">
      <c r="A1344" s="1077" t="s">
        <v>4801</v>
      </c>
      <c r="B1344" s="1077" t="s">
        <v>210</v>
      </c>
      <c r="C1344" s="1077">
        <v>750</v>
      </c>
      <c r="D1344" s="1077">
        <v>1.74</v>
      </c>
      <c r="E1344" s="1077" t="s">
        <v>15094</v>
      </c>
      <c r="F1344" s="1077" t="s">
        <v>984</v>
      </c>
      <c r="G1344" s="1077">
        <v>5</v>
      </c>
      <c r="H1344" s="1077" t="s">
        <v>4791</v>
      </c>
      <c r="I1344" s="1077" t="s">
        <v>126</v>
      </c>
      <c r="J1344" s="1077">
        <v>0.8</v>
      </c>
      <c r="K1344" s="1077" t="s">
        <v>4674</v>
      </c>
      <c r="L1344" s="1077" t="s">
        <v>4666</v>
      </c>
      <c r="M1344" s="1077">
        <v>151.5</v>
      </c>
      <c r="N1344" s="1077" t="s">
        <v>945</v>
      </c>
      <c r="O1344" s="1077">
        <v>3.7875000000000001</v>
      </c>
      <c r="P1344" s="1077">
        <v>3.0300000000000002</v>
      </c>
      <c r="Q1344" s="1077" t="s">
        <v>946</v>
      </c>
      <c r="R1344" s="1077">
        <v>19.100000000000001</v>
      </c>
      <c r="T1344" s="1077">
        <v>23.7</v>
      </c>
      <c r="U1344" s="1077">
        <v>3.2</v>
      </c>
      <c r="V1344" s="1077" t="s">
        <v>648</v>
      </c>
      <c r="W1344" s="1077">
        <v>35</v>
      </c>
      <c r="X1344" s="1077">
        <v>10</v>
      </c>
      <c r="Y1344" s="1077" t="s">
        <v>4794</v>
      </c>
      <c r="Z1344" s="1077">
        <v>6</v>
      </c>
      <c r="AA1344" s="1077" t="s">
        <v>1340</v>
      </c>
      <c r="AB1344" s="1077" t="s">
        <v>4165</v>
      </c>
      <c r="AH1344" s="1077" t="s">
        <v>1482</v>
      </c>
      <c r="AM1344" s="1078" t="s">
        <v>11699</v>
      </c>
      <c r="AN1344" s="1078" t="s">
        <v>11700</v>
      </c>
      <c r="AO1344" s="1078">
        <f t="shared" si="166"/>
        <v>750</v>
      </c>
      <c r="AP1344" s="1078">
        <f t="shared" si="167"/>
        <v>1.74</v>
      </c>
      <c r="AQ1344" s="1078" t="str">
        <f t="shared" si="168"/>
        <v>1-5-1S91°</v>
      </c>
      <c r="AR1344" s="1078" t="str">
        <f t="shared" si="169"/>
        <v>30</v>
      </c>
      <c r="AS1344" s="1078" t="str">
        <f t="shared" si="170"/>
        <v>385/345/155</v>
      </c>
      <c r="AT1344" s="1078" t="str">
        <f t="shared" si="171"/>
        <v>1-5-1S91°</v>
      </c>
      <c r="AV1344" s="1078" t="str">
        <f t="shared" si="164"/>
        <v>109.9.30</v>
      </c>
      <c r="AW1344" s="1344">
        <f t="shared" si="165"/>
        <v>44104</v>
      </c>
    </row>
    <row r="1345" spans="1:49">
      <c r="A1345" s="1077" t="s">
        <v>4802</v>
      </c>
      <c r="B1345" s="1077" t="s">
        <v>210</v>
      </c>
      <c r="C1345" s="1077">
        <v>750</v>
      </c>
      <c r="D1345" s="1077">
        <v>1.74</v>
      </c>
      <c r="E1345" s="1077" t="s">
        <v>15094</v>
      </c>
      <c r="F1345" s="1077" t="s">
        <v>984</v>
      </c>
      <c r="G1345" s="1077">
        <v>5</v>
      </c>
      <c r="H1345" s="1077" t="s">
        <v>4791</v>
      </c>
      <c r="I1345" s="1077" t="s">
        <v>126</v>
      </c>
      <c r="J1345" s="1077">
        <v>0.8</v>
      </c>
      <c r="K1345" s="1077" t="s">
        <v>4674</v>
      </c>
      <c r="L1345" s="1077" t="s">
        <v>4666</v>
      </c>
      <c r="M1345" s="1077">
        <v>151.5</v>
      </c>
      <c r="N1345" s="1077" t="s">
        <v>945</v>
      </c>
      <c r="O1345" s="1077">
        <v>3.7875000000000001</v>
      </c>
      <c r="P1345" s="1077">
        <v>3.0300000000000002</v>
      </c>
      <c r="Q1345" s="1077" t="s">
        <v>1277</v>
      </c>
      <c r="R1345" s="1077">
        <v>19.100000000000001</v>
      </c>
      <c r="T1345" s="1077">
        <v>23.7</v>
      </c>
      <c r="U1345" s="1077">
        <v>3.2</v>
      </c>
      <c r="V1345" s="1077" t="s">
        <v>648</v>
      </c>
      <c r="W1345" s="1077">
        <v>35</v>
      </c>
      <c r="X1345" s="1077">
        <v>10</v>
      </c>
      <c r="Y1345" s="1077" t="s">
        <v>4803</v>
      </c>
      <c r="Z1345" s="1077">
        <v>6</v>
      </c>
      <c r="AA1345" s="1077" t="s">
        <v>4804</v>
      </c>
      <c r="AB1345" s="1077" t="s">
        <v>4165</v>
      </c>
      <c r="AH1345" s="1077" t="s">
        <v>958</v>
      </c>
      <c r="AM1345" s="1078" t="s">
        <v>11701</v>
      </c>
      <c r="AN1345" s="1078" t="s">
        <v>11702</v>
      </c>
      <c r="AO1345" s="1078">
        <f t="shared" si="166"/>
        <v>750</v>
      </c>
      <c r="AP1345" s="1078">
        <f t="shared" si="167"/>
        <v>1.74</v>
      </c>
      <c r="AQ1345" s="1078" t="str">
        <f t="shared" si="168"/>
        <v>1-5-1S91°</v>
      </c>
      <c r="AR1345" s="1078" t="str">
        <f t="shared" si="169"/>
        <v>30</v>
      </c>
      <c r="AS1345" s="1078" t="str">
        <f t="shared" si="170"/>
        <v>385/345/155</v>
      </c>
      <c r="AT1345" s="1078" t="str">
        <f t="shared" si="171"/>
        <v>1-5-1S91°</v>
      </c>
      <c r="AV1345" s="1078" t="str">
        <f t="shared" si="164"/>
        <v>109.10.5</v>
      </c>
      <c r="AW1345" s="1344">
        <f t="shared" si="165"/>
        <v>44109</v>
      </c>
    </row>
    <row r="1346" spans="1:49">
      <c r="A1346" s="1077" t="s">
        <v>4805</v>
      </c>
      <c r="B1346" s="1077" t="s">
        <v>210</v>
      </c>
      <c r="C1346" s="1077">
        <v>650</v>
      </c>
      <c r="D1346" s="1077">
        <v>1.7</v>
      </c>
      <c r="E1346" s="1077" t="s">
        <v>15094</v>
      </c>
      <c r="F1346" s="1077" t="s">
        <v>984</v>
      </c>
      <c r="G1346" s="1077">
        <v>5</v>
      </c>
      <c r="H1346" s="1077" t="s">
        <v>4806</v>
      </c>
      <c r="I1346" s="1077" t="s">
        <v>643</v>
      </c>
      <c r="J1346" s="1077">
        <v>2.8</v>
      </c>
      <c r="K1346" s="1077" t="s">
        <v>4807</v>
      </c>
      <c r="L1346" s="1077" t="s">
        <v>4808</v>
      </c>
      <c r="M1346" s="1077">
        <v>149.5</v>
      </c>
      <c r="N1346" s="1077" t="s">
        <v>945</v>
      </c>
      <c r="O1346" s="1077">
        <v>3.7375000000000003</v>
      </c>
      <c r="P1346" s="1077">
        <v>2.99</v>
      </c>
      <c r="Q1346" s="1077" t="s">
        <v>2553</v>
      </c>
      <c r="R1346" s="1077">
        <v>21.5</v>
      </c>
      <c r="T1346" s="1077">
        <v>19.5</v>
      </c>
      <c r="U1346" s="1077">
        <v>2.9</v>
      </c>
      <c r="V1346" s="1077" t="s">
        <v>648</v>
      </c>
      <c r="W1346" s="1077">
        <v>100</v>
      </c>
      <c r="X1346" s="1077">
        <v>90</v>
      </c>
      <c r="Y1346" s="1077">
        <v>1.8</v>
      </c>
      <c r="Z1346" s="1077">
        <v>5.5</v>
      </c>
      <c r="AA1346" s="1077" t="s">
        <v>4809</v>
      </c>
      <c r="AB1346" s="1077" t="s">
        <v>981</v>
      </c>
      <c r="AH1346" s="1077" t="s">
        <v>680</v>
      </c>
      <c r="AM1346" s="1078" t="s">
        <v>11703</v>
      </c>
      <c r="AN1346" s="1078" t="s">
        <v>11704</v>
      </c>
      <c r="AO1346" s="1078">
        <f t="shared" si="166"/>
        <v>650</v>
      </c>
      <c r="AP1346" s="1078">
        <f t="shared" si="167"/>
        <v>1.7</v>
      </c>
      <c r="AQ1346" s="1078" t="str">
        <f t="shared" si="168"/>
        <v>1-5-1S91°</v>
      </c>
      <c r="AR1346" s="1078" t="str">
        <f t="shared" si="169"/>
        <v>30</v>
      </c>
      <c r="AS1346" s="1078" t="str">
        <f t="shared" si="170"/>
        <v>390/360/175</v>
      </c>
      <c r="AT1346" s="1078" t="str">
        <f t="shared" si="171"/>
        <v>1-5-1S91°</v>
      </c>
      <c r="AV1346" s="1078" t="str">
        <f t="shared" ref="AV1346:AV1409" si="172">AA1346</f>
        <v>109.10.8</v>
      </c>
      <c r="AW1346" s="1344">
        <f t="shared" si="165"/>
        <v>44112</v>
      </c>
    </row>
    <row r="1347" spans="1:49">
      <c r="A1347" s="1077" t="s">
        <v>4810</v>
      </c>
      <c r="B1347" s="1077" t="s">
        <v>210</v>
      </c>
      <c r="C1347" s="1077">
        <v>750</v>
      </c>
      <c r="D1347" s="1077">
        <v>1.74</v>
      </c>
      <c r="E1347" s="1077" t="s">
        <v>15094</v>
      </c>
      <c r="F1347" s="1077" t="s">
        <v>984</v>
      </c>
      <c r="G1347" s="1077">
        <v>5</v>
      </c>
      <c r="H1347" s="1077" t="s">
        <v>4811</v>
      </c>
      <c r="I1347" s="1077" t="s">
        <v>126</v>
      </c>
      <c r="J1347" s="1077">
        <v>0.8</v>
      </c>
      <c r="K1347" s="1077" t="s">
        <v>4792</v>
      </c>
      <c r="L1347" s="1077" t="s">
        <v>4666</v>
      </c>
      <c r="M1347" s="1077">
        <v>151.5</v>
      </c>
      <c r="N1347" s="1077" t="s">
        <v>945</v>
      </c>
      <c r="O1347" s="1077">
        <v>3.7875000000000001</v>
      </c>
      <c r="P1347" s="1077">
        <v>3.0300000000000002</v>
      </c>
      <c r="Q1347" s="1077" t="s">
        <v>1277</v>
      </c>
      <c r="R1347" s="1077">
        <v>19.100000000000001</v>
      </c>
      <c r="T1347" s="1077">
        <v>23.7</v>
      </c>
      <c r="U1347" s="1077">
        <v>3.2</v>
      </c>
      <c r="V1347" s="1077" t="s">
        <v>648</v>
      </c>
      <c r="W1347" s="1077">
        <v>35</v>
      </c>
      <c r="X1347" s="1077">
        <v>10</v>
      </c>
      <c r="Y1347" s="1077">
        <v>1</v>
      </c>
      <c r="Z1347" s="1077">
        <v>6</v>
      </c>
      <c r="AA1347" s="1077" t="s">
        <v>4809</v>
      </c>
      <c r="AB1347" s="1077" t="s">
        <v>4165</v>
      </c>
      <c r="AH1347" s="1077" t="s">
        <v>3213</v>
      </c>
      <c r="AM1347" s="1078" t="s">
        <v>11705</v>
      </c>
      <c r="AN1347" s="1078" t="s">
        <v>11706</v>
      </c>
      <c r="AO1347" s="1078">
        <f t="shared" si="166"/>
        <v>750</v>
      </c>
      <c r="AP1347" s="1078">
        <f t="shared" si="167"/>
        <v>1.74</v>
      </c>
      <c r="AQ1347" s="1078" t="str">
        <f t="shared" si="168"/>
        <v>1-5-1S91°</v>
      </c>
      <c r="AR1347" s="1078" t="str">
        <f t="shared" si="169"/>
        <v>30</v>
      </c>
      <c r="AS1347" s="1078" t="str">
        <f t="shared" si="170"/>
        <v>383/343/155</v>
      </c>
      <c r="AT1347" s="1078" t="str">
        <f t="shared" si="171"/>
        <v>1-5-1S91°</v>
      </c>
      <c r="AV1347" s="1078" t="str">
        <f t="shared" si="172"/>
        <v>109.10.8</v>
      </c>
      <c r="AW1347" s="1344">
        <f t="shared" ref="AW1347:AW1410" si="173">DATE(VALUE(LEFT(AV1347,FIND(".",AV1347)-1))+1911,
       VALUE(MID(AV1347,FIND(".",AV1347)+1,FIND(".",AV1347,FIND(".",AV1347)+1)-FIND(".",AV1347)-1)),
       VALUE(RIGHT(AV1347,LEN(AV1347)-FIND("~",SUBSTITUTE(AV1347,".","~",2)))))</f>
        <v>44112</v>
      </c>
    </row>
    <row r="1348" spans="1:49">
      <c r="A1348" s="1077" t="s">
        <v>4812</v>
      </c>
      <c r="B1348" s="1077" t="s">
        <v>210</v>
      </c>
      <c r="C1348" s="1077">
        <v>750</v>
      </c>
      <c r="D1348" s="1077">
        <v>1.74</v>
      </c>
      <c r="E1348" s="1077" t="s">
        <v>15094</v>
      </c>
      <c r="F1348" s="1077" t="s">
        <v>984</v>
      </c>
      <c r="G1348" s="1077">
        <v>5</v>
      </c>
      <c r="H1348" s="1077" t="s">
        <v>4811</v>
      </c>
      <c r="I1348" s="1077" t="s">
        <v>126</v>
      </c>
      <c r="J1348" s="1077">
        <v>0.8</v>
      </c>
      <c r="K1348" s="1077" t="s">
        <v>4792</v>
      </c>
      <c r="L1348" s="1077" t="s">
        <v>4666</v>
      </c>
      <c r="M1348" s="1077">
        <v>151.5</v>
      </c>
      <c r="N1348" s="1077" t="s">
        <v>945</v>
      </c>
      <c r="O1348" s="1077">
        <v>3.7875000000000001</v>
      </c>
      <c r="P1348" s="1077">
        <v>3.0300000000000002</v>
      </c>
      <c r="Q1348" s="1077" t="s">
        <v>946</v>
      </c>
      <c r="R1348" s="1077">
        <v>19.100000000000001</v>
      </c>
      <c r="T1348" s="1077">
        <v>23.7</v>
      </c>
      <c r="U1348" s="1077">
        <v>3.2</v>
      </c>
      <c r="V1348" s="1077" t="s">
        <v>648</v>
      </c>
      <c r="W1348" s="1077">
        <v>35</v>
      </c>
      <c r="X1348" s="1077">
        <v>10</v>
      </c>
      <c r="Y1348" s="1077">
        <v>1</v>
      </c>
      <c r="Z1348" s="1077">
        <v>6</v>
      </c>
      <c r="AA1348" s="1077" t="s">
        <v>4813</v>
      </c>
      <c r="AB1348" s="1077" t="s">
        <v>4165</v>
      </c>
      <c r="AH1348" s="1077" t="s">
        <v>1137</v>
      </c>
      <c r="AM1348" s="1078" t="s">
        <v>11707</v>
      </c>
      <c r="AN1348" s="1078" t="s">
        <v>11708</v>
      </c>
      <c r="AO1348" s="1078">
        <f t="shared" si="166"/>
        <v>750</v>
      </c>
      <c r="AP1348" s="1078">
        <f t="shared" si="167"/>
        <v>1.74</v>
      </c>
      <c r="AQ1348" s="1078" t="str">
        <f t="shared" si="168"/>
        <v>1-5-1S91°</v>
      </c>
      <c r="AR1348" s="1078" t="str">
        <f t="shared" si="169"/>
        <v>30</v>
      </c>
      <c r="AS1348" s="1078" t="str">
        <f t="shared" si="170"/>
        <v>383/343/155</v>
      </c>
      <c r="AT1348" s="1078" t="str">
        <f t="shared" si="171"/>
        <v>1-5-1S91°</v>
      </c>
      <c r="AV1348" s="1078" t="str">
        <f t="shared" si="172"/>
        <v>109.10.9</v>
      </c>
      <c r="AW1348" s="1344">
        <f t="shared" si="173"/>
        <v>44113</v>
      </c>
    </row>
    <row r="1349" spans="1:49">
      <c r="A1349" s="1077" t="s">
        <v>4814</v>
      </c>
      <c r="B1349" s="1077" t="s">
        <v>210</v>
      </c>
      <c r="C1349" s="1077">
        <v>750</v>
      </c>
      <c r="D1349" s="1077">
        <v>1.74</v>
      </c>
      <c r="E1349" s="1077" t="s">
        <v>15094</v>
      </c>
      <c r="F1349" s="1077" t="s">
        <v>984</v>
      </c>
      <c r="G1349" s="1077">
        <v>5</v>
      </c>
      <c r="H1349" s="1077" t="s">
        <v>4791</v>
      </c>
      <c r="I1349" s="1077" t="s">
        <v>126</v>
      </c>
      <c r="J1349" s="1077">
        <v>0.8</v>
      </c>
      <c r="K1349" s="1077" t="s">
        <v>4792</v>
      </c>
      <c r="L1349" s="1077" t="s">
        <v>4666</v>
      </c>
      <c r="M1349" s="1077">
        <v>151.5</v>
      </c>
      <c r="N1349" s="1077" t="s">
        <v>945</v>
      </c>
      <c r="O1349" s="1077">
        <v>3.7875000000000001</v>
      </c>
      <c r="P1349" s="1077">
        <v>3.0300000000000002</v>
      </c>
      <c r="Q1349" s="1077" t="s">
        <v>1037</v>
      </c>
      <c r="R1349" s="1077">
        <v>19.100000000000001</v>
      </c>
      <c r="T1349" s="1077">
        <v>23.7</v>
      </c>
      <c r="U1349" s="1077">
        <v>3.2</v>
      </c>
      <c r="V1349" s="1077" t="s">
        <v>648</v>
      </c>
      <c r="W1349" s="1077">
        <v>35</v>
      </c>
      <c r="X1349" s="1077">
        <v>10</v>
      </c>
      <c r="Y1349" s="1077">
        <v>1</v>
      </c>
      <c r="Z1349" s="1077">
        <v>6</v>
      </c>
      <c r="AA1349" s="1077" t="s">
        <v>1094</v>
      </c>
      <c r="AB1349" s="1077" t="s">
        <v>4165</v>
      </c>
      <c r="AH1349" s="1077" t="s">
        <v>684</v>
      </c>
      <c r="AM1349" s="1078" t="s">
        <v>11709</v>
      </c>
      <c r="AN1349" s="1078" t="s">
        <v>11710</v>
      </c>
      <c r="AO1349" s="1078">
        <f t="shared" si="166"/>
        <v>750</v>
      </c>
      <c r="AP1349" s="1078">
        <f t="shared" si="167"/>
        <v>1.74</v>
      </c>
      <c r="AQ1349" s="1078" t="str">
        <f t="shared" si="168"/>
        <v>1-5-1S91°</v>
      </c>
      <c r="AR1349" s="1078" t="str">
        <f t="shared" si="169"/>
        <v>30</v>
      </c>
      <c r="AS1349" s="1078" t="str">
        <f t="shared" si="170"/>
        <v>385/345/155</v>
      </c>
      <c r="AT1349" s="1078" t="str">
        <f t="shared" si="171"/>
        <v>1-5-1S91°</v>
      </c>
      <c r="AV1349" s="1078" t="str">
        <f t="shared" si="172"/>
        <v>109.10.12</v>
      </c>
      <c r="AW1349" s="1344">
        <f t="shared" si="173"/>
        <v>44116</v>
      </c>
    </row>
    <row r="1350" spans="1:49">
      <c r="A1350" s="1077" t="s">
        <v>4815</v>
      </c>
      <c r="B1350" s="1077" t="s">
        <v>210</v>
      </c>
      <c r="C1350" s="1077">
        <v>750</v>
      </c>
      <c r="D1350" s="1077">
        <v>1.74</v>
      </c>
      <c r="E1350" s="1077" t="s">
        <v>15094</v>
      </c>
      <c r="F1350" s="1077" t="s">
        <v>984</v>
      </c>
      <c r="G1350" s="1077">
        <v>5</v>
      </c>
      <c r="H1350" s="1077" t="s">
        <v>4791</v>
      </c>
      <c r="I1350" s="1077" t="s">
        <v>126</v>
      </c>
      <c r="J1350" s="1077">
        <v>0.8</v>
      </c>
      <c r="K1350" s="1077" t="s">
        <v>4792</v>
      </c>
      <c r="L1350" s="1077" t="s">
        <v>4666</v>
      </c>
      <c r="M1350" s="1077">
        <v>151.5</v>
      </c>
      <c r="N1350" s="1077" t="s">
        <v>945</v>
      </c>
      <c r="O1350" s="1077">
        <v>3.7875000000000001</v>
      </c>
      <c r="P1350" s="1077">
        <v>3.0300000000000002</v>
      </c>
      <c r="Q1350" s="1077" t="s">
        <v>988</v>
      </c>
      <c r="R1350" s="1077">
        <v>19.100000000000001</v>
      </c>
      <c r="T1350" s="1077">
        <v>23.7</v>
      </c>
      <c r="U1350" s="1077">
        <v>3.2</v>
      </c>
      <c r="V1350" s="1077" t="s">
        <v>648</v>
      </c>
      <c r="W1350" s="1077">
        <v>35</v>
      </c>
      <c r="X1350" s="1077">
        <v>10</v>
      </c>
      <c r="Y1350" s="1077">
        <v>1</v>
      </c>
      <c r="Z1350" s="1077">
        <v>6</v>
      </c>
      <c r="AA1350" s="1077" t="s">
        <v>4816</v>
      </c>
      <c r="AB1350" s="1077" t="s">
        <v>4165</v>
      </c>
      <c r="AH1350" s="1077" t="s">
        <v>722</v>
      </c>
      <c r="AM1350" s="1078" t="s">
        <v>11711</v>
      </c>
      <c r="AN1350" s="1078" t="s">
        <v>11712</v>
      </c>
      <c r="AO1350" s="1078">
        <f t="shared" si="166"/>
        <v>750</v>
      </c>
      <c r="AP1350" s="1078">
        <f t="shared" si="167"/>
        <v>1.74</v>
      </c>
      <c r="AQ1350" s="1078" t="str">
        <f t="shared" si="168"/>
        <v>1-5-1S91°</v>
      </c>
      <c r="AR1350" s="1078" t="str">
        <f t="shared" si="169"/>
        <v>30</v>
      </c>
      <c r="AS1350" s="1078" t="str">
        <f t="shared" si="170"/>
        <v>385/345/155</v>
      </c>
      <c r="AT1350" s="1078" t="str">
        <f t="shared" si="171"/>
        <v>1-5-1S91°</v>
      </c>
      <c r="AV1350" s="1078" t="str">
        <f t="shared" si="172"/>
        <v>109.10.13</v>
      </c>
      <c r="AW1350" s="1344">
        <f t="shared" si="173"/>
        <v>44117</v>
      </c>
    </row>
    <row r="1351" spans="1:49">
      <c r="A1351" s="1077" t="s">
        <v>4817</v>
      </c>
      <c r="B1351" s="1077" t="s">
        <v>210</v>
      </c>
      <c r="C1351" s="1077">
        <v>750</v>
      </c>
      <c r="D1351" s="1077">
        <v>1.74</v>
      </c>
      <c r="E1351" s="1077" t="s">
        <v>15094</v>
      </c>
      <c r="F1351" s="1077" t="s">
        <v>984</v>
      </c>
      <c r="G1351" s="1077">
        <v>5</v>
      </c>
      <c r="H1351" s="1077" t="s">
        <v>4791</v>
      </c>
      <c r="I1351" s="1077" t="s">
        <v>126</v>
      </c>
      <c r="J1351" s="1077">
        <v>0.8</v>
      </c>
      <c r="K1351" s="1077" t="s">
        <v>4818</v>
      </c>
      <c r="L1351" s="1077" t="s">
        <v>4666</v>
      </c>
      <c r="M1351" s="1077">
        <v>151.5</v>
      </c>
      <c r="N1351" s="1077" t="s">
        <v>945</v>
      </c>
      <c r="O1351" s="1077">
        <v>3.7875000000000001</v>
      </c>
      <c r="P1351" s="1077">
        <v>3.0300000000000002</v>
      </c>
      <c r="Q1351" s="1077" t="s">
        <v>1037</v>
      </c>
      <c r="R1351" s="1077">
        <v>19.100000000000001</v>
      </c>
      <c r="T1351" s="1077">
        <v>23.7</v>
      </c>
      <c r="U1351" s="1077">
        <v>3.2</v>
      </c>
      <c r="V1351" s="1077" t="s">
        <v>648</v>
      </c>
      <c r="W1351" s="1077">
        <v>35</v>
      </c>
      <c r="X1351" s="1077">
        <v>10</v>
      </c>
      <c r="Y1351" s="1077">
        <v>1</v>
      </c>
      <c r="Z1351" s="1077">
        <v>6</v>
      </c>
      <c r="AA1351" s="1077" t="s">
        <v>4819</v>
      </c>
      <c r="AB1351" s="1077" t="s">
        <v>4165</v>
      </c>
      <c r="AH1351" s="1077" t="s">
        <v>1482</v>
      </c>
      <c r="AM1351" s="1078" t="s">
        <v>11713</v>
      </c>
      <c r="AN1351" s="1078" t="s">
        <v>11714</v>
      </c>
      <c r="AO1351" s="1078">
        <f t="shared" si="166"/>
        <v>750</v>
      </c>
      <c r="AP1351" s="1078">
        <f t="shared" si="167"/>
        <v>1.74</v>
      </c>
      <c r="AQ1351" s="1078" t="str">
        <f t="shared" si="168"/>
        <v>1-5-1S91°</v>
      </c>
      <c r="AR1351" s="1078" t="str">
        <f t="shared" si="169"/>
        <v>30</v>
      </c>
      <c r="AS1351" s="1078" t="str">
        <f t="shared" si="170"/>
        <v>385/345/155</v>
      </c>
      <c r="AT1351" s="1078" t="str">
        <f t="shared" si="171"/>
        <v>1-5-1S91°</v>
      </c>
      <c r="AV1351" s="1078" t="str">
        <f t="shared" si="172"/>
        <v>109.10.23</v>
      </c>
      <c r="AW1351" s="1344">
        <f t="shared" si="173"/>
        <v>44127</v>
      </c>
    </row>
    <row r="1352" spans="1:49">
      <c r="A1352" s="1077" t="s">
        <v>4820</v>
      </c>
      <c r="B1352" s="1077" t="s">
        <v>210</v>
      </c>
      <c r="C1352" s="1077">
        <v>650</v>
      </c>
      <c r="D1352" s="1077">
        <v>1.75</v>
      </c>
      <c r="E1352" s="1077" t="s">
        <v>15094</v>
      </c>
      <c r="F1352" s="1077" t="s">
        <v>984</v>
      </c>
      <c r="G1352" s="1077">
        <v>5</v>
      </c>
      <c r="H1352" s="1077" t="s">
        <v>4821</v>
      </c>
      <c r="I1352" s="1077" t="s">
        <v>643</v>
      </c>
      <c r="J1352" s="1077">
        <v>2.8</v>
      </c>
      <c r="K1352" s="1077" t="s">
        <v>4807</v>
      </c>
      <c r="L1352" s="1077" t="s">
        <v>4808</v>
      </c>
      <c r="M1352" s="1077">
        <v>149.5</v>
      </c>
      <c r="N1352" s="1077" t="s">
        <v>945</v>
      </c>
      <c r="O1352" s="1077">
        <v>3.7375000000000003</v>
      </c>
      <c r="P1352" s="1077">
        <v>2.99</v>
      </c>
      <c r="Q1352" s="1077" t="s">
        <v>2553</v>
      </c>
      <c r="R1352" s="1077">
        <v>21.5</v>
      </c>
      <c r="T1352" s="1077">
        <v>19.5</v>
      </c>
      <c r="U1352" s="1077">
        <v>2.9</v>
      </c>
      <c r="V1352" s="1077" t="s">
        <v>648</v>
      </c>
      <c r="W1352" s="1077">
        <v>100</v>
      </c>
      <c r="X1352" s="1077">
        <v>90</v>
      </c>
      <c r="Y1352" s="1077" t="s">
        <v>4822</v>
      </c>
      <c r="Z1352" s="1077" t="s">
        <v>3223</v>
      </c>
      <c r="AA1352" s="1077" t="s">
        <v>4823</v>
      </c>
      <c r="AB1352" s="1077" t="s">
        <v>981</v>
      </c>
      <c r="AH1352" s="1077" t="s">
        <v>1137</v>
      </c>
      <c r="AM1352" s="1078" t="s">
        <v>11715</v>
      </c>
      <c r="AN1352" s="1078" t="s">
        <v>11716</v>
      </c>
      <c r="AO1352" s="1078">
        <f t="shared" si="166"/>
        <v>650</v>
      </c>
      <c r="AP1352" s="1078">
        <f t="shared" si="167"/>
        <v>1.75</v>
      </c>
      <c r="AQ1352" s="1078" t="str">
        <f t="shared" si="168"/>
        <v>1-5-1S91°</v>
      </c>
      <c r="AR1352" s="1078" t="str">
        <f t="shared" si="169"/>
        <v>30</v>
      </c>
      <c r="AS1352" s="1078" t="str">
        <f t="shared" si="170"/>
        <v>390/360/155</v>
      </c>
      <c r="AT1352" s="1078" t="str">
        <f t="shared" si="171"/>
        <v>1-5-1S91°</v>
      </c>
      <c r="AV1352" s="1078" t="str">
        <f t="shared" si="172"/>
        <v>109.11.10</v>
      </c>
      <c r="AW1352" s="1344">
        <f t="shared" si="173"/>
        <v>44145</v>
      </c>
    </row>
    <row r="1353" spans="1:49">
      <c r="A1353" s="1077" t="s">
        <v>4824</v>
      </c>
      <c r="B1353" s="1077" t="s">
        <v>4767</v>
      </c>
      <c r="C1353" s="1077">
        <v>650</v>
      </c>
      <c r="D1353" s="1077">
        <v>1.71</v>
      </c>
      <c r="E1353" s="1077" t="s">
        <v>15104</v>
      </c>
      <c r="F1353" s="1077" t="s">
        <v>648</v>
      </c>
      <c r="G1353" s="1077">
        <v>5</v>
      </c>
      <c r="H1353" s="1077" t="s">
        <v>2192</v>
      </c>
      <c r="I1353" s="1077" t="s">
        <v>126</v>
      </c>
      <c r="J1353" s="1077">
        <v>1.5</v>
      </c>
      <c r="K1353" s="1077" t="s">
        <v>4771</v>
      </c>
      <c r="L1353" s="1077" t="s">
        <v>1776</v>
      </c>
      <c r="M1353" s="1077">
        <v>148</v>
      </c>
      <c r="N1353" s="1077" t="s">
        <v>945</v>
      </c>
      <c r="O1353" s="1077">
        <v>3.7</v>
      </c>
      <c r="P1353" s="1077">
        <v>2.96</v>
      </c>
      <c r="Q1353" s="1077" t="s">
        <v>946</v>
      </c>
      <c r="R1353" s="1077">
        <v>20.8</v>
      </c>
      <c r="T1353" s="1077">
        <v>20.399999999999999</v>
      </c>
      <c r="U1353" s="1077">
        <v>3.8</v>
      </c>
      <c r="V1353" s="1077" t="s">
        <v>648</v>
      </c>
      <c r="W1353" s="1077">
        <v>110</v>
      </c>
      <c r="X1353" s="1077" t="s">
        <v>2395</v>
      </c>
      <c r="Y1353" s="1077">
        <v>1.7</v>
      </c>
      <c r="Z1353" s="1077" t="s">
        <v>648</v>
      </c>
      <c r="AA1353" s="1077" t="s">
        <v>2595</v>
      </c>
      <c r="AB1353" s="1077" t="s">
        <v>981</v>
      </c>
      <c r="AH1353" s="1077" t="s">
        <v>614</v>
      </c>
      <c r="AM1353" s="1078" t="s">
        <v>11717</v>
      </c>
      <c r="AN1353" s="1078" t="s">
        <v>11718</v>
      </c>
      <c r="AO1353" s="1078">
        <f t="shared" si="166"/>
        <v>650</v>
      </c>
      <c r="AP1353" s="1078">
        <f t="shared" si="167"/>
        <v>1.71</v>
      </c>
      <c r="AQ1353" s="1078" t="str">
        <f t="shared" si="168"/>
        <v>1-4-1S85°Z+S</v>
      </c>
      <c r="AR1353" s="1078" t="str">
        <f t="shared" si="169"/>
        <v>NA</v>
      </c>
      <c r="AS1353" s="1078" t="str">
        <f t="shared" si="170"/>
        <v>180/OFF</v>
      </c>
      <c r="AT1353" s="1078" t="str">
        <f t="shared" si="171"/>
        <v>1-4-1S85°Z+S</v>
      </c>
      <c r="AU1353" s="1078" t="s">
        <v>15547</v>
      </c>
      <c r="AV1353" s="1078" t="str">
        <f t="shared" si="172"/>
        <v>109.7.2</v>
      </c>
      <c r="AW1353" s="1344">
        <f t="shared" si="173"/>
        <v>44014</v>
      </c>
    </row>
    <row r="1354" spans="1:49">
      <c r="A1354" s="1077" t="s">
        <v>4825</v>
      </c>
      <c r="B1354" s="1077" t="s">
        <v>4767</v>
      </c>
      <c r="C1354" s="1077">
        <v>650</v>
      </c>
      <c r="D1354" s="1077">
        <v>1.71</v>
      </c>
      <c r="E1354" s="1077" t="s">
        <v>15104</v>
      </c>
      <c r="F1354" s="1077" t="s">
        <v>648</v>
      </c>
      <c r="G1354" s="1077">
        <v>5</v>
      </c>
      <c r="H1354" s="1077" t="s">
        <v>2192</v>
      </c>
      <c r="I1354" s="1077" t="s">
        <v>126</v>
      </c>
      <c r="J1354" s="1077">
        <v>1.5</v>
      </c>
      <c r="K1354" s="1077" t="s">
        <v>4771</v>
      </c>
      <c r="L1354" s="1077" t="s">
        <v>1776</v>
      </c>
      <c r="M1354" s="1077">
        <v>148</v>
      </c>
      <c r="N1354" s="1077" t="s">
        <v>945</v>
      </c>
      <c r="O1354" s="1077">
        <v>3.7</v>
      </c>
      <c r="P1354" s="1077">
        <v>2.96</v>
      </c>
      <c r="Q1354" s="1077" t="s">
        <v>946</v>
      </c>
      <c r="R1354" s="1077">
        <v>20.8</v>
      </c>
      <c r="T1354" s="1077">
        <v>20.399999999999999</v>
      </c>
      <c r="U1354" s="1077">
        <v>3.8</v>
      </c>
      <c r="V1354" s="1077" t="s">
        <v>648</v>
      </c>
      <c r="W1354" s="1077">
        <v>110</v>
      </c>
      <c r="X1354" s="1077" t="s">
        <v>2395</v>
      </c>
      <c r="Y1354" s="1077">
        <v>1.7</v>
      </c>
      <c r="Z1354" s="1077" t="s">
        <v>648</v>
      </c>
      <c r="AA1354" s="1077" t="s">
        <v>3335</v>
      </c>
      <c r="AB1354" s="1077" t="s">
        <v>981</v>
      </c>
      <c r="AH1354" s="1077" t="s">
        <v>614</v>
      </c>
      <c r="AM1354" s="1078" t="s">
        <v>11719</v>
      </c>
      <c r="AN1354" s="1078" t="s">
        <v>11720</v>
      </c>
      <c r="AO1354" s="1078">
        <f t="shared" si="166"/>
        <v>650</v>
      </c>
      <c r="AP1354" s="1078">
        <f t="shared" si="167"/>
        <v>1.71</v>
      </c>
      <c r="AQ1354" s="1078" t="str">
        <f t="shared" si="168"/>
        <v>1-4-1S85°Z+S</v>
      </c>
      <c r="AR1354" s="1078" t="str">
        <f t="shared" si="169"/>
        <v>NA</v>
      </c>
      <c r="AS1354" s="1078" t="str">
        <f t="shared" si="170"/>
        <v>180/OFF</v>
      </c>
      <c r="AT1354" s="1078" t="str">
        <f t="shared" si="171"/>
        <v>1-4-1S85°Z+S</v>
      </c>
      <c r="AU1354" s="1078" t="s">
        <v>15547</v>
      </c>
      <c r="AV1354" s="1078" t="str">
        <f t="shared" si="172"/>
        <v>109.7.6</v>
      </c>
      <c r="AW1354" s="1344">
        <f t="shared" si="173"/>
        <v>44018</v>
      </c>
    </row>
    <row r="1355" spans="1:49">
      <c r="A1355" s="1077" t="s">
        <v>4826</v>
      </c>
      <c r="B1355" s="1077" t="s">
        <v>4767</v>
      </c>
      <c r="C1355" s="1077">
        <v>650</v>
      </c>
      <c r="D1355" s="1077">
        <v>1.7150000000000001</v>
      </c>
      <c r="E1355" s="1077" t="s">
        <v>15104</v>
      </c>
      <c r="F1355" s="1077" t="s">
        <v>648</v>
      </c>
      <c r="G1355" s="1077">
        <v>5</v>
      </c>
      <c r="H1355" s="1077" t="s">
        <v>2192</v>
      </c>
      <c r="I1355" s="1077" t="s">
        <v>126</v>
      </c>
      <c r="J1355" s="1077">
        <v>1.5</v>
      </c>
      <c r="K1355" s="1077" t="s">
        <v>4827</v>
      </c>
      <c r="L1355" s="1077" t="s">
        <v>1776</v>
      </c>
      <c r="M1355" s="1077">
        <v>148</v>
      </c>
      <c r="N1355" s="1077" t="s">
        <v>945</v>
      </c>
      <c r="O1355" s="1077">
        <v>3.7</v>
      </c>
      <c r="P1355" s="1077">
        <v>2.96</v>
      </c>
      <c r="Q1355" s="1077" t="s">
        <v>946</v>
      </c>
      <c r="R1355" s="1077">
        <v>20.8</v>
      </c>
      <c r="T1355" s="1077">
        <v>20.399999999999999</v>
      </c>
      <c r="U1355" s="1077">
        <v>3.8</v>
      </c>
      <c r="V1355" s="1077" t="s">
        <v>648</v>
      </c>
      <c r="W1355" s="1077">
        <v>110</v>
      </c>
      <c r="X1355" s="1077" t="s">
        <v>2395</v>
      </c>
      <c r="Y1355" s="1077" t="s">
        <v>4828</v>
      </c>
      <c r="Z1355" s="1077" t="s">
        <v>648</v>
      </c>
      <c r="AA1355" s="1077" t="s">
        <v>4829</v>
      </c>
      <c r="AB1355" s="1077" t="s">
        <v>981</v>
      </c>
      <c r="AH1355" s="1077" t="s">
        <v>803</v>
      </c>
      <c r="AM1355" s="1078" t="s">
        <v>11721</v>
      </c>
      <c r="AN1355" s="1078" t="s">
        <v>11722</v>
      </c>
      <c r="AO1355" s="1078">
        <f t="shared" ref="AO1355:AO1418" si="174">C1355</f>
        <v>650</v>
      </c>
      <c r="AP1355" s="1078">
        <f t="shared" ref="AP1355:AP1418" si="175">D1355</f>
        <v>1.7150000000000001</v>
      </c>
      <c r="AQ1355" s="1078" t="str">
        <f t="shared" ref="AQ1355:AQ1418" si="176">E1355</f>
        <v>1-4-1S85°Z+S</v>
      </c>
      <c r="AR1355" s="1078" t="str">
        <f t="shared" ref="AR1355:AR1418" si="177">F1355</f>
        <v>NA</v>
      </c>
      <c r="AS1355" s="1078" t="str">
        <f t="shared" ref="AS1355:AS1418" si="178">H1355</f>
        <v>180/OFF</v>
      </c>
      <c r="AT1355" s="1078" t="str">
        <f t="shared" ref="AT1355:AT1418" si="179">E1355</f>
        <v>1-4-1S85°Z+S</v>
      </c>
      <c r="AU1355" s="1078" t="s">
        <v>15547</v>
      </c>
      <c r="AV1355" s="1078" t="str">
        <f t="shared" si="172"/>
        <v>109.8.14</v>
      </c>
      <c r="AW1355" s="1344">
        <f t="shared" si="173"/>
        <v>44057</v>
      </c>
    </row>
    <row r="1356" spans="1:49">
      <c r="A1356" s="1077" t="s">
        <v>4830</v>
      </c>
      <c r="B1356" s="1077" t="s">
        <v>4767</v>
      </c>
      <c r="C1356" s="1077">
        <v>650</v>
      </c>
      <c r="D1356" s="1077">
        <v>1.7150000000000001</v>
      </c>
      <c r="E1356" s="1077" t="s">
        <v>15104</v>
      </c>
      <c r="F1356" s="1077" t="s">
        <v>648</v>
      </c>
      <c r="G1356" s="1077">
        <v>5</v>
      </c>
      <c r="H1356" s="1077" t="s">
        <v>2192</v>
      </c>
      <c r="I1356" s="1077" t="s">
        <v>126</v>
      </c>
      <c r="J1356" s="1077">
        <v>1.5</v>
      </c>
      <c r="K1356" s="1077" t="s">
        <v>4831</v>
      </c>
      <c r="L1356" s="1077" t="s">
        <v>1776</v>
      </c>
      <c r="M1356" s="1077">
        <v>148</v>
      </c>
      <c r="N1356" s="1077" t="s">
        <v>945</v>
      </c>
      <c r="O1356" s="1077">
        <v>3.7</v>
      </c>
      <c r="P1356" s="1077">
        <v>2.96</v>
      </c>
      <c r="Q1356" s="1077" t="s">
        <v>946</v>
      </c>
      <c r="R1356" s="1077">
        <v>20.8</v>
      </c>
      <c r="T1356" s="1077">
        <v>20.399999999999999</v>
      </c>
      <c r="U1356" s="1077">
        <v>3.8</v>
      </c>
      <c r="V1356" s="1077" t="s">
        <v>648</v>
      </c>
      <c r="W1356" s="1077">
        <v>110</v>
      </c>
      <c r="X1356" s="1077" t="s">
        <v>2395</v>
      </c>
      <c r="Y1356" s="1077" t="s">
        <v>4828</v>
      </c>
      <c r="Z1356" s="1077" t="s">
        <v>648</v>
      </c>
      <c r="AA1356" s="1077" t="s">
        <v>4832</v>
      </c>
      <c r="AB1356" s="1077" t="s">
        <v>981</v>
      </c>
      <c r="AH1356" s="1077" t="s">
        <v>646</v>
      </c>
      <c r="AM1356" s="1078" t="s">
        <v>11723</v>
      </c>
      <c r="AN1356" s="1078" t="s">
        <v>11724</v>
      </c>
      <c r="AO1356" s="1078">
        <f t="shared" si="174"/>
        <v>650</v>
      </c>
      <c r="AP1356" s="1078">
        <f t="shared" si="175"/>
        <v>1.7150000000000001</v>
      </c>
      <c r="AQ1356" s="1078" t="str">
        <f t="shared" si="176"/>
        <v>1-4-1S85°Z+S</v>
      </c>
      <c r="AR1356" s="1078" t="str">
        <f t="shared" si="177"/>
        <v>NA</v>
      </c>
      <c r="AS1356" s="1078" t="str">
        <f t="shared" si="178"/>
        <v>180/OFF</v>
      </c>
      <c r="AT1356" s="1078" t="str">
        <f t="shared" si="179"/>
        <v>1-4-1S85°Z+S</v>
      </c>
      <c r="AU1356" s="1078" t="s">
        <v>15547</v>
      </c>
      <c r="AV1356" s="1078" t="str">
        <f t="shared" si="172"/>
        <v>109.9.2</v>
      </c>
      <c r="AW1356" s="1344">
        <f t="shared" si="173"/>
        <v>44076</v>
      </c>
    </row>
    <row r="1357" spans="1:49">
      <c r="A1357" s="1077" t="s">
        <v>4833</v>
      </c>
      <c r="B1357" s="1077" t="s">
        <v>4767</v>
      </c>
      <c r="C1357" s="1077">
        <v>650</v>
      </c>
      <c r="D1357" s="1077">
        <v>1.7150000000000001</v>
      </c>
      <c r="E1357" s="1077" t="s">
        <v>15104</v>
      </c>
      <c r="F1357" s="1077" t="s">
        <v>648</v>
      </c>
      <c r="G1357" s="1077">
        <v>5</v>
      </c>
      <c r="H1357" s="1077" t="s">
        <v>2192</v>
      </c>
      <c r="I1357" s="1077" t="s">
        <v>126</v>
      </c>
      <c r="J1357" s="1077">
        <v>1.5</v>
      </c>
      <c r="K1357" s="1077" t="s">
        <v>4831</v>
      </c>
      <c r="L1357" s="1077" t="s">
        <v>1776</v>
      </c>
      <c r="M1357" s="1077">
        <v>148</v>
      </c>
      <c r="N1357" s="1077" t="s">
        <v>945</v>
      </c>
      <c r="O1357" s="1077">
        <v>3.7</v>
      </c>
      <c r="P1357" s="1077">
        <v>2.96</v>
      </c>
      <c r="Q1357" s="1077" t="s">
        <v>946</v>
      </c>
      <c r="R1357" s="1077">
        <v>20.8</v>
      </c>
      <c r="T1357" s="1077">
        <v>20.399999999999999</v>
      </c>
      <c r="U1357" s="1077">
        <v>3.8</v>
      </c>
      <c r="V1357" s="1077" t="s">
        <v>648</v>
      </c>
      <c r="W1357" s="1077">
        <v>110</v>
      </c>
      <c r="X1357" s="1077" t="s">
        <v>2395</v>
      </c>
      <c r="Y1357" s="1077">
        <v>1.7</v>
      </c>
      <c r="Z1357" s="1077" t="s">
        <v>648</v>
      </c>
      <c r="AA1357" s="1077" t="s">
        <v>1193</v>
      </c>
      <c r="AB1357" s="1077" t="s">
        <v>981</v>
      </c>
      <c r="AH1357" s="1077" t="s">
        <v>647</v>
      </c>
      <c r="AM1357" s="1078" t="s">
        <v>11725</v>
      </c>
      <c r="AN1357" s="1078" t="s">
        <v>11726</v>
      </c>
      <c r="AO1357" s="1078">
        <f t="shared" si="174"/>
        <v>650</v>
      </c>
      <c r="AP1357" s="1078">
        <f t="shared" si="175"/>
        <v>1.7150000000000001</v>
      </c>
      <c r="AQ1357" s="1078" t="str">
        <f t="shared" si="176"/>
        <v>1-4-1S85°Z+S</v>
      </c>
      <c r="AR1357" s="1078" t="str">
        <f t="shared" si="177"/>
        <v>NA</v>
      </c>
      <c r="AS1357" s="1078" t="str">
        <f t="shared" si="178"/>
        <v>180/OFF</v>
      </c>
      <c r="AT1357" s="1078" t="str">
        <f t="shared" si="179"/>
        <v>1-4-1S85°Z+S</v>
      </c>
      <c r="AU1357" s="1078" t="s">
        <v>15547</v>
      </c>
      <c r="AV1357" s="1078" t="str">
        <f t="shared" si="172"/>
        <v>109.11.2</v>
      </c>
      <c r="AW1357" s="1344">
        <f t="shared" si="173"/>
        <v>44137</v>
      </c>
    </row>
    <row r="1358" spans="1:49">
      <c r="A1358" s="1077" t="s">
        <v>4834</v>
      </c>
      <c r="B1358" s="1077" t="s">
        <v>4767</v>
      </c>
      <c r="C1358" s="1077">
        <v>650</v>
      </c>
      <c r="D1358" s="1077">
        <v>1.7150000000000001</v>
      </c>
      <c r="E1358" s="1077" t="s">
        <v>15104</v>
      </c>
      <c r="F1358" s="1077" t="s">
        <v>648</v>
      </c>
      <c r="G1358" s="1077">
        <v>5</v>
      </c>
      <c r="H1358" s="1077" t="s">
        <v>2192</v>
      </c>
      <c r="I1358" s="1077" t="s">
        <v>126</v>
      </c>
      <c r="J1358" s="1077">
        <v>1.4</v>
      </c>
      <c r="K1358" s="1077" t="s">
        <v>4768</v>
      </c>
      <c r="L1358" s="1077" t="s">
        <v>1776</v>
      </c>
      <c r="M1358" s="1077">
        <v>148</v>
      </c>
      <c r="N1358" s="1077" t="s">
        <v>945</v>
      </c>
      <c r="O1358" s="1077">
        <v>3.7</v>
      </c>
      <c r="P1358" s="1077">
        <v>2.96</v>
      </c>
      <c r="Q1358" s="1077" t="s">
        <v>961</v>
      </c>
      <c r="R1358" s="1077">
        <v>20.8</v>
      </c>
      <c r="T1358" s="1077">
        <v>20.399999999999999</v>
      </c>
      <c r="U1358" s="1077">
        <v>3.8</v>
      </c>
      <c r="V1358" s="1077" t="s">
        <v>648</v>
      </c>
      <c r="W1358" s="1077">
        <v>110</v>
      </c>
      <c r="X1358" s="1077" t="s">
        <v>2395</v>
      </c>
      <c r="Y1358" s="1077">
        <v>1.7</v>
      </c>
      <c r="Z1358" s="1077" t="s">
        <v>648</v>
      </c>
      <c r="AA1358" s="1077" t="s">
        <v>2455</v>
      </c>
      <c r="AB1358" s="1077" t="s">
        <v>981</v>
      </c>
      <c r="AH1358" s="1077" t="s">
        <v>646</v>
      </c>
      <c r="AM1358" s="1078" t="s">
        <v>11727</v>
      </c>
      <c r="AN1358" s="1078" t="s">
        <v>11728</v>
      </c>
      <c r="AO1358" s="1078">
        <f t="shared" si="174"/>
        <v>650</v>
      </c>
      <c r="AP1358" s="1078">
        <f t="shared" si="175"/>
        <v>1.7150000000000001</v>
      </c>
      <c r="AQ1358" s="1078" t="str">
        <f t="shared" si="176"/>
        <v>1-4-1S85°Z+S</v>
      </c>
      <c r="AR1358" s="1078" t="str">
        <f t="shared" si="177"/>
        <v>NA</v>
      </c>
      <c r="AS1358" s="1078" t="str">
        <f t="shared" si="178"/>
        <v>180/OFF</v>
      </c>
      <c r="AT1358" s="1078" t="str">
        <f t="shared" si="179"/>
        <v>1-4-1S85°Z+S</v>
      </c>
      <c r="AU1358" s="1078" t="s">
        <v>15547</v>
      </c>
      <c r="AV1358" s="1078" t="str">
        <f t="shared" si="172"/>
        <v>109.11.13</v>
      </c>
      <c r="AW1358" s="1344">
        <f t="shared" si="173"/>
        <v>44148</v>
      </c>
    </row>
    <row r="1359" spans="1:49">
      <c r="A1359" s="1077" t="s">
        <v>4835</v>
      </c>
      <c r="B1359" s="1077" t="s">
        <v>4767</v>
      </c>
      <c r="C1359" s="1077">
        <v>650</v>
      </c>
      <c r="D1359" s="1077">
        <v>1.7250000000000001</v>
      </c>
      <c r="E1359" s="1077" t="s">
        <v>15104</v>
      </c>
      <c r="F1359" s="1077" t="s">
        <v>648</v>
      </c>
      <c r="G1359" s="1077">
        <v>5</v>
      </c>
      <c r="H1359" s="1077" t="s">
        <v>2192</v>
      </c>
      <c r="I1359" s="1077" t="s">
        <v>126</v>
      </c>
      <c r="J1359" s="1077">
        <v>1.4</v>
      </c>
      <c r="K1359" s="1077" t="s">
        <v>4836</v>
      </c>
      <c r="L1359" s="1077" t="s">
        <v>1776</v>
      </c>
      <c r="M1359" s="1077">
        <v>148</v>
      </c>
      <c r="N1359" s="1077" t="s">
        <v>945</v>
      </c>
      <c r="O1359" s="1077">
        <v>3.7</v>
      </c>
      <c r="P1359" s="1077">
        <v>2.96</v>
      </c>
      <c r="Q1359" s="1077">
        <v>4</v>
      </c>
      <c r="R1359" s="1077">
        <v>20.8</v>
      </c>
      <c r="T1359" s="1077">
        <v>20.399999999999999</v>
      </c>
      <c r="U1359" s="1077">
        <v>3.8</v>
      </c>
      <c r="V1359" s="1077" t="s">
        <v>648</v>
      </c>
      <c r="W1359" s="1077">
        <v>110</v>
      </c>
      <c r="X1359" s="1077" t="s">
        <v>2395</v>
      </c>
      <c r="Y1359" s="1077">
        <v>1.7</v>
      </c>
      <c r="Z1359" s="1077" t="s">
        <v>648</v>
      </c>
      <c r="AA1359" s="1077" t="s">
        <v>3096</v>
      </c>
      <c r="AB1359" s="1077" t="s">
        <v>981</v>
      </c>
      <c r="AH1359" s="1077" t="s">
        <v>868</v>
      </c>
      <c r="AM1359" s="1078" t="s">
        <v>11729</v>
      </c>
      <c r="AN1359" s="1078" t="s">
        <v>11730</v>
      </c>
      <c r="AO1359" s="1078">
        <f t="shared" si="174"/>
        <v>650</v>
      </c>
      <c r="AP1359" s="1078">
        <f t="shared" si="175"/>
        <v>1.7250000000000001</v>
      </c>
      <c r="AQ1359" s="1078" t="str">
        <f t="shared" si="176"/>
        <v>1-4-1S85°Z+S</v>
      </c>
      <c r="AR1359" s="1078" t="str">
        <f t="shared" si="177"/>
        <v>NA</v>
      </c>
      <c r="AS1359" s="1078" t="str">
        <f t="shared" si="178"/>
        <v>180/OFF</v>
      </c>
      <c r="AT1359" s="1078" t="str">
        <f t="shared" si="179"/>
        <v>1-4-1S85°Z+S</v>
      </c>
      <c r="AU1359" s="1078" t="s">
        <v>15547</v>
      </c>
      <c r="AV1359" s="1078" t="str">
        <f t="shared" si="172"/>
        <v>109.12.17</v>
      </c>
      <c r="AW1359" s="1344">
        <f t="shared" si="173"/>
        <v>44182</v>
      </c>
    </row>
    <row r="1360" spans="1:49">
      <c r="A1360" s="1077" t="s">
        <v>4837</v>
      </c>
      <c r="B1360" s="1077" t="s">
        <v>4767</v>
      </c>
      <c r="C1360" s="1077">
        <v>650</v>
      </c>
      <c r="D1360" s="1077">
        <v>1.7250000000000001</v>
      </c>
      <c r="E1360" s="1077" t="s">
        <v>15104</v>
      </c>
      <c r="F1360" s="1077" t="s">
        <v>648</v>
      </c>
      <c r="G1360" s="1077">
        <v>5</v>
      </c>
      <c r="H1360" s="1077" t="s">
        <v>2192</v>
      </c>
      <c r="I1360" s="1077" t="s">
        <v>126</v>
      </c>
      <c r="J1360" s="1077">
        <v>1.3</v>
      </c>
      <c r="K1360" s="1077" t="s">
        <v>4836</v>
      </c>
      <c r="L1360" s="1077" t="s">
        <v>1776</v>
      </c>
      <c r="M1360" s="1077">
        <v>148</v>
      </c>
      <c r="N1360" s="1077" t="s">
        <v>945</v>
      </c>
      <c r="O1360" s="1077">
        <v>3.7</v>
      </c>
      <c r="P1360" s="1077">
        <v>2.96</v>
      </c>
      <c r="Q1360" s="1077">
        <v>4</v>
      </c>
      <c r="R1360" s="1077">
        <v>20.8</v>
      </c>
      <c r="T1360" s="1077">
        <v>20.399999999999999</v>
      </c>
      <c r="U1360" s="1077">
        <v>3.8</v>
      </c>
      <c r="V1360" s="1077" t="s">
        <v>648</v>
      </c>
      <c r="W1360" s="1077">
        <v>110</v>
      </c>
      <c r="X1360" s="1077" t="s">
        <v>2395</v>
      </c>
      <c r="Y1360" s="1077">
        <v>1.7</v>
      </c>
      <c r="Z1360" s="1077" t="s">
        <v>648</v>
      </c>
      <c r="AA1360" s="1077" t="s">
        <v>2485</v>
      </c>
      <c r="AB1360" s="1077" t="s">
        <v>981</v>
      </c>
      <c r="AH1360" s="1077" t="s">
        <v>1827</v>
      </c>
      <c r="AM1360" s="1078" t="s">
        <v>11731</v>
      </c>
      <c r="AN1360" s="1078" t="s">
        <v>11732</v>
      </c>
      <c r="AO1360" s="1078">
        <f t="shared" si="174"/>
        <v>650</v>
      </c>
      <c r="AP1360" s="1078">
        <f t="shared" si="175"/>
        <v>1.7250000000000001</v>
      </c>
      <c r="AQ1360" s="1078" t="str">
        <f t="shared" si="176"/>
        <v>1-4-1S85°Z+S</v>
      </c>
      <c r="AR1360" s="1078" t="str">
        <f t="shared" si="177"/>
        <v>NA</v>
      </c>
      <c r="AS1360" s="1078" t="str">
        <f t="shared" si="178"/>
        <v>180/OFF</v>
      </c>
      <c r="AT1360" s="1078" t="str">
        <f t="shared" si="179"/>
        <v>1-4-1S85°Z+S</v>
      </c>
      <c r="AU1360" s="1078" t="s">
        <v>15547</v>
      </c>
      <c r="AV1360" s="1078" t="str">
        <f t="shared" si="172"/>
        <v>110.1.15</v>
      </c>
      <c r="AW1360" s="1344">
        <f t="shared" si="173"/>
        <v>44211</v>
      </c>
    </row>
    <row r="1361" spans="1:49">
      <c r="A1361" s="1077" t="s">
        <v>4838</v>
      </c>
      <c r="B1361" s="1077" t="s">
        <v>4767</v>
      </c>
      <c r="C1361" s="1077">
        <v>650</v>
      </c>
      <c r="D1361" s="1077">
        <v>1.7250000000000001</v>
      </c>
      <c r="E1361" s="1077" t="s">
        <v>15104</v>
      </c>
      <c r="F1361" s="1077" t="s">
        <v>648</v>
      </c>
      <c r="G1361" s="1077">
        <v>5</v>
      </c>
      <c r="H1361" s="1077" t="s">
        <v>2192</v>
      </c>
      <c r="I1361" s="1077" t="s">
        <v>126</v>
      </c>
      <c r="J1361" s="1077">
        <v>1.3</v>
      </c>
      <c r="K1361" s="1077" t="s">
        <v>4839</v>
      </c>
      <c r="L1361" s="1077" t="s">
        <v>1776</v>
      </c>
      <c r="M1361" s="1077">
        <v>148</v>
      </c>
      <c r="N1361" s="1077" t="s">
        <v>945</v>
      </c>
      <c r="O1361" s="1077">
        <v>3.7</v>
      </c>
      <c r="P1361" s="1077">
        <v>2.96</v>
      </c>
      <c r="Q1361" s="1077">
        <v>4</v>
      </c>
      <c r="R1361" s="1077">
        <v>20.8</v>
      </c>
      <c r="T1361" s="1077">
        <v>20.399999999999999</v>
      </c>
      <c r="U1361" s="1077">
        <v>3.8</v>
      </c>
      <c r="V1361" s="1077" t="s">
        <v>648</v>
      </c>
      <c r="W1361" s="1077">
        <v>110</v>
      </c>
      <c r="X1361" s="1077" t="s">
        <v>2395</v>
      </c>
      <c r="Y1361" s="1077">
        <v>1.7</v>
      </c>
      <c r="Z1361" s="1077" t="s">
        <v>648</v>
      </c>
      <c r="AA1361" s="1077" t="s">
        <v>1305</v>
      </c>
      <c r="AB1361" s="1077" t="s">
        <v>981</v>
      </c>
      <c r="AH1361" s="1077" t="s">
        <v>614</v>
      </c>
      <c r="AM1361" s="1078" t="s">
        <v>11733</v>
      </c>
      <c r="AN1361" s="1078" t="s">
        <v>11734</v>
      </c>
      <c r="AO1361" s="1078">
        <f t="shared" si="174"/>
        <v>650</v>
      </c>
      <c r="AP1361" s="1078">
        <f t="shared" si="175"/>
        <v>1.7250000000000001</v>
      </c>
      <c r="AQ1361" s="1078" t="str">
        <f t="shared" si="176"/>
        <v>1-4-1S85°Z+S</v>
      </c>
      <c r="AR1361" s="1078" t="str">
        <f t="shared" si="177"/>
        <v>NA</v>
      </c>
      <c r="AS1361" s="1078" t="str">
        <f t="shared" si="178"/>
        <v>180/OFF</v>
      </c>
      <c r="AT1361" s="1078" t="str">
        <f t="shared" si="179"/>
        <v>1-4-1S85°Z+S</v>
      </c>
      <c r="AU1361" s="1078" t="s">
        <v>15547</v>
      </c>
      <c r="AV1361" s="1078" t="str">
        <f t="shared" si="172"/>
        <v>110.2.1</v>
      </c>
      <c r="AW1361" s="1344">
        <f t="shared" si="173"/>
        <v>44228</v>
      </c>
    </row>
    <row r="1362" spans="1:49">
      <c r="A1362" s="1077" t="s">
        <v>4840</v>
      </c>
      <c r="B1362" s="1077" t="s">
        <v>4767</v>
      </c>
      <c r="C1362" s="1077">
        <v>650</v>
      </c>
      <c r="D1362" s="1077">
        <v>1.72</v>
      </c>
      <c r="E1362" s="1077" t="s">
        <v>15109</v>
      </c>
      <c r="F1362" s="1077" t="s">
        <v>648</v>
      </c>
      <c r="G1362" s="1077">
        <v>5</v>
      </c>
      <c r="H1362" s="1077" t="s">
        <v>2192</v>
      </c>
      <c r="I1362" s="1077" t="s">
        <v>126</v>
      </c>
      <c r="J1362" s="1077">
        <v>1.3</v>
      </c>
      <c r="K1362" s="1077" t="s">
        <v>4841</v>
      </c>
      <c r="L1362" s="1077" t="s">
        <v>1776</v>
      </c>
      <c r="M1362" s="1077">
        <v>148</v>
      </c>
      <c r="N1362" s="1077" t="s">
        <v>945</v>
      </c>
      <c r="O1362" s="1077">
        <v>3.7</v>
      </c>
      <c r="P1362" s="1077">
        <v>2.96</v>
      </c>
      <c r="Q1362" s="1077">
        <v>4</v>
      </c>
      <c r="R1362" s="1077">
        <v>20.8</v>
      </c>
      <c r="T1362" s="1077">
        <v>20.399999999999999</v>
      </c>
      <c r="U1362" s="1077">
        <v>3.8</v>
      </c>
      <c r="V1362" s="1077" t="s">
        <v>648</v>
      </c>
      <c r="W1362" s="1077">
        <v>110</v>
      </c>
      <c r="X1362" s="1077" t="s">
        <v>2395</v>
      </c>
      <c r="Y1362" s="1077">
        <v>1.7</v>
      </c>
      <c r="Z1362" s="1077" t="s">
        <v>648</v>
      </c>
      <c r="AA1362" s="1077" t="s">
        <v>3385</v>
      </c>
      <c r="AH1362" s="1077" t="s">
        <v>1178</v>
      </c>
      <c r="AM1362" s="1078" t="s">
        <v>11735</v>
      </c>
      <c r="AN1362" s="1078" t="s">
        <v>11736</v>
      </c>
      <c r="AO1362" s="1078">
        <f t="shared" si="174"/>
        <v>650</v>
      </c>
      <c r="AP1362" s="1078">
        <f t="shared" si="175"/>
        <v>1.72</v>
      </c>
      <c r="AQ1362" s="1078" t="str">
        <f t="shared" si="176"/>
        <v>1-5-1S85°Z+S</v>
      </c>
      <c r="AR1362" s="1078" t="str">
        <f t="shared" si="177"/>
        <v>NA</v>
      </c>
      <c r="AS1362" s="1078" t="str">
        <f t="shared" si="178"/>
        <v>180/OFF</v>
      </c>
      <c r="AT1362" s="1078" t="str">
        <f t="shared" si="179"/>
        <v>1-5-1S85°Z+S</v>
      </c>
      <c r="AU1362" s="1078" t="s">
        <v>15547</v>
      </c>
      <c r="AV1362" s="1078" t="str">
        <f t="shared" si="172"/>
        <v>110.2.9</v>
      </c>
      <c r="AW1362" s="1344">
        <f t="shared" si="173"/>
        <v>44236</v>
      </c>
    </row>
    <row r="1363" spans="1:49">
      <c r="A1363" s="1077" t="s">
        <v>4842</v>
      </c>
      <c r="B1363" s="1077" t="s">
        <v>4767</v>
      </c>
      <c r="C1363" s="1077">
        <v>650</v>
      </c>
      <c r="D1363" s="1077">
        <v>1.7250000000000001</v>
      </c>
      <c r="E1363" s="1077" t="s">
        <v>15109</v>
      </c>
      <c r="F1363" s="1077" t="s">
        <v>648</v>
      </c>
      <c r="G1363" s="1077">
        <v>5</v>
      </c>
      <c r="H1363" s="1077" t="s">
        <v>2192</v>
      </c>
      <c r="I1363" s="1077" t="s">
        <v>126</v>
      </c>
      <c r="J1363" s="1077">
        <v>1.3</v>
      </c>
      <c r="K1363" s="1077" t="s">
        <v>4839</v>
      </c>
      <c r="L1363" s="1077" t="s">
        <v>1776</v>
      </c>
      <c r="M1363" s="1077">
        <v>148</v>
      </c>
      <c r="N1363" s="1077" t="s">
        <v>945</v>
      </c>
      <c r="O1363" s="1077">
        <v>3.7</v>
      </c>
      <c r="P1363" s="1077">
        <v>2.96</v>
      </c>
      <c r="Q1363" s="1077">
        <v>4</v>
      </c>
      <c r="R1363" s="1077">
        <v>20.8</v>
      </c>
      <c r="T1363" s="1077">
        <v>20.399999999999999</v>
      </c>
      <c r="U1363" s="1077">
        <v>3.8</v>
      </c>
      <c r="V1363" s="1077" t="s">
        <v>648</v>
      </c>
      <c r="W1363" s="1077">
        <v>110</v>
      </c>
      <c r="X1363" s="1077" t="s">
        <v>2395</v>
      </c>
      <c r="Y1363" s="1077">
        <v>1.7</v>
      </c>
      <c r="Z1363" s="1077" t="s">
        <v>648</v>
      </c>
      <c r="AA1363" s="1077" t="s">
        <v>4843</v>
      </c>
      <c r="AB1363" s="1077" t="s">
        <v>981</v>
      </c>
      <c r="AH1363" s="1077" t="s">
        <v>782</v>
      </c>
      <c r="AM1363" s="1078" t="s">
        <v>11737</v>
      </c>
      <c r="AN1363" s="1078" t="s">
        <v>11738</v>
      </c>
      <c r="AO1363" s="1078">
        <f t="shared" si="174"/>
        <v>650</v>
      </c>
      <c r="AP1363" s="1078">
        <f t="shared" si="175"/>
        <v>1.7250000000000001</v>
      </c>
      <c r="AQ1363" s="1078" t="str">
        <f t="shared" si="176"/>
        <v>1-5-1S85°Z+S</v>
      </c>
      <c r="AR1363" s="1078" t="str">
        <f t="shared" si="177"/>
        <v>NA</v>
      </c>
      <c r="AS1363" s="1078" t="str">
        <f t="shared" si="178"/>
        <v>180/OFF</v>
      </c>
      <c r="AT1363" s="1078" t="str">
        <f t="shared" si="179"/>
        <v>1-5-1S85°Z+S</v>
      </c>
      <c r="AU1363" s="1078" t="s">
        <v>15547</v>
      </c>
      <c r="AV1363" s="1078" t="str">
        <f t="shared" si="172"/>
        <v>110.3.10</v>
      </c>
      <c r="AW1363" s="1344">
        <f t="shared" si="173"/>
        <v>44265</v>
      </c>
    </row>
    <row r="1364" spans="1:49">
      <c r="A1364" s="1077" t="s">
        <v>4844</v>
      </c>
      <c r="B1364" s="1077" t="s">
        <v>4767</v>
      </c>
      <c r="C1364" s="1077">
        <v>650</v>
      </c>
      <c r="D1364" s="1077">
        <v>1.7250000000000001</v>
      </c>
      <c r="E1364" s="1077" t="s">
        <v>15104</v>
      </c>
      <c r="F1364" s="1077" t="s">
        <v>648</v>
      </c>
      <c r="G1364" s="1077">
        <v>5</v>
      </c>
      <c r="H1364" s="1077" t="s">
        <v>2192</v>
      </c>
      <c r="I1364" s="1077" t="s">
        <v>126</v>
      </c>
      <c r="J1364" s="1077">
        <v>1.4</v>
      </c>
      <c r="K1364" s="1077" t="s">
        <v>4839</v>
      </c>
      <c r="L1364" s="1077" t="s">
        <v>1776</v>
      </c>
      <c r="M1364" s="1077">
        <v>148</v>
      </c>
      <c r="N1364" s="1077" t="s">
        <v>945</v>
      </c>
      <c r="O1364" s="1077">
        <v>3.7</v>
      </c>
      <c r="P1364" s="1077">
        <v>2.96</v>
      </c>
      <c r="Q1364" s="1077">
        <v>4</v>
      </c>
      <c r="R1364" s="1077">
        <v>20.8</v>
      </c>
      <c r="T1364" s="1077">
        <v>20.399999999999999</v>
      </c>
      <c r="U1364" s="1077">
        <v>3.8</v>
      </c>
      <c r="V1364" s="1077" t="s">
        <v>648</v>
      </c>
      <c r="W1364" s="1077">
        <v>110</v>
      </c>
      <c r="X1364" s="1077" t="s">
        <v>2395</v>
      </c>
      <c r="Y1364" s="1077">
        <v>1.7</v>
      </c>
      <c r="Z1364" s="1077" t="s">
        <v>648</v>
      </c>
      <c r="AA1364" s="1077" t="s">
        <v>3320</v>
      </c>
      <c r="AB1364" s="1077" t="s">
        <v>981</v>
      </c>
      <c r="AH1364" s="1077" t="s">
        <v>785</v>
      </c>
      <c r="AM1364" s="1078" t="s">
        <v>11739</v>
      </c>
      <c r="AN1364" s="1078" t="s">
        <v>11740</v>
      </c>
      <c r="AO1364" s="1078">
        <f t="shared" si="174"/>
        <v>650</v>
      </c>
      <c r="AP1364" s="1078">
        <f t="shared" si="175"/>
        <v>1.7250000000000001</v>
      </c>
      <c r="AQ1364" s="1078" t="str">
        <f t="shared" si="176"/>
        <v>1-4-1S85°Z+S</v>
      </c>
      <c r="AR1364" s="1078" t="str">
        <f t="shared" si="177"/>
        <v>NA</v>
      </c>
      <c r="AS1364" s="1078" t="str">
        <f t="shared" si="178"/>
        <v>180/OFF</v>
      </c>
      <c r="AT1364" s="1078" t="str">
        <f t="shared" si="179"/>
        <v>1-4-1S85°Z+S</v>
      </c>
      <c r="AU1364" s="1078" t="s">
        <v>15547</v>
      </c>
      <c r="AV1364" s="1078" t="str">
        <f t="shared" si="172"/>
        <v>110.4.29</v>
      </c>
      <c r="AW1364" s="1344">
        <f t="shared" si="173"/>
        <v>44315</v>
      </c>
    </row>
    <row r="1365" spans="1:49">
      <c r="A1365" s="1077" t="s">
        <v>4845</v>
      </c>
      <c r="B1365" s="1077" t="s">
        <v>4767</v>
      </c>
      <c r="C1365" s="1077">
        <v>650</v>
      </c>
      <c r="D1365" s="1077">
        <v>1.7250000000000001</v>
      </c>
      <c r="E1365" s="1077" t="s">
        <v>15109</v>
      </c>
      <c r="F1365" s="1077" t="s">
        <v>648</v>
      </c>
      <c r="G1365" s="1077">
        <v>5</v>
      </c>
      <c r="H1365" s="1077" t="s">
        <v>2192</v>
      </c>
      <c r="I1365" s="1077" t="s">
        <v>126</v>
      </c>
      <c r="J1365" s="1077">
        <v>1.3</v>
      </c>
      <c r="K1365" s="1077" t="s">
        <v>4839</v>
      </c>
      <c r="L1365" s="1077" t="s">
        <v>1776</v>
      </c>
      <c r="M1365" s="1077">
        <v>148</v>
      </c>
      <c r="N1365" s="1077" t="s">
        <v>945</v>
      </c>
      <c r="O1365" s="1077">
        <v>3.7</v>
      </c>
      <c r="P1365" s="1077">
        <v>2.96</v>
      </c>
      <c r="Q1365" s="1077">
        <v>4</v>
      </c>
      <c r="R1365" s="1077">
        <v>20.8</v>
      </c>
      <c r="T1365" s="1077">
        <v>20.399999999999999</v>
      </c>
      <c r="U1365" s="1077">
        <v>3.8</v>
      </c>
      <c r="V1365" s="1077" t="s">
        <v>648</v>
      </c>
      <c r="W1365" s="1077">
        <v>110</v>
      </c>
      <c r="X1365" s="1077">
        <v>60</v>
      </c>
      <c r="Y1365" s="1077">
        <v>1.7</v>
      </c>
      <c r="Z1365" s="1077" t="s">
        <v>648</v>
      </c>
      <c r="AA1365" s="1077" t="s">
        <v>4846</v>
      </c>
      <c r="AH1365" s="1077" t="s">
        <v>3074</v>
      </c>
      <c r="AM1365" s="1078" t="s">
        <v>11741</v>
      </c>
      <c r="AN1365" s="1078" t="s">
        <v>11742</v>
      </c>
      <c r="AO1365" s="1078">
        <f t="shared" si="174"/>
        <v>650</v>
      </c>
      <c r="AP1365" s="1078">
        <f t="shared" si="175"/>
        <v>1.7250000000000001</v>
      </c>
      <c r="AQ1365" s="1078" t="str">
        <f t="shared" si="176"/>
        <v>1-5-1S85°Z+S</v>
      </c>
      <c r="AR1365" s="1078" t="str">
        <f t="shared" si="177"/>
        <v>NA</v>
      </c>
      <c r="AS1365" s="1078" t="str">
        <f t="shared" si="178"/>
        <v>180/OFF</v>
      </c>
      <c r="AT1365" s="1078" t="str">
        <f t="shared" si="179"/>
        <v>1-5-1S85°Z+S</v>
      </c>
      <c r="AU1365" s="1078" t="s">
        <v>15547</v>
      </c>
      <c r="AV1365" s="1078" t="str">
        <f t="shared" si="172"/>
        <v>110.6.30</v>
      </c>
      <c r="AW1365" s="1344">
        <f t="shared" si="173"/>
        <v>44377</v>
      </c>
    </row>
    <row r="1366" spans="1:49">
      <c r="A1366" s="1077" t="s">
        <v>4847</v>
      </c>
      <c r="B1366" s="1077" t="s">
        <v>4767</v>
      </c>
      <c r="C1366" s="1077">
        <v>650</v>
      </c>
      <c r="D1366" s="1077">
        <v>1.7250000000000001</v>
      </c>
      <c r="E1366" s="1077" t="s">
        <v>15104</v>
      </c>
      <c r="F1366" s="1077" t="s">
        <v>648</v>
      </c>
      <c r="G1366" s="1077">
        <v>5</v>
      </c>
      <c r="H1366" s="1077" t="s">
        <v>2192</v>
      </c>
      <c r="I1366" s="1077" t="s">
        <v>126</v>
      </c>
      <c r="J1366" s="1077">
        <v>1.3</v>
      </c>
      <c r="K1366" s="1077" t="s">
        <v>4839</v>
      </c>
      <c r="L1366" s="1077" t="s">
        <v>1776</v>
      </c>
      <c r="M1366" s="1077">
        <v>148</v>
      </c>
      <c r="N1366" s="1077" t="s">
        <v>945</v>
      </c>
      <c r="O1366" s="1077">
        <v>3.7</v>
      </c>
      <c r="P1366" s="1077">
        <v>2.96</v>
      </c>
      <c r="Q1366" s="1077">
        <v>4</v>
      </c>
      <c r="R1366" s="1077">
        <v>20.8</v>
      </c>
      <c r="T1366" s="1077">
        <v>20.399999999999999</v>
      </c>
      <c r="U1366" s="1077">
        <v>3.8</v>
      </c>
      <c r="V1366" s="1077" t="s">
        <v>648</v>
      </c>
      <c r="W1366" s="1077">
        <v>110</v>
      </c>
      <c r="X1366" s="1077">
        <v>60</v>
      </c>
      <c r="Y1366" s="1077">
        <v>1.7</v>
      </c>
      <c r="Z1366" s="1077" t="s">
        <v>648</v>
      </c>
      <c r="AA1366" s="1077" t="s">
        <v>1436</v>
      </c>
      <c r="AH1366" s="1077" t="s">
        <v>1803</v>
      </c>
      <c r="AM1366" s="1078" t="s">
        <v>11743</v>
      </c>
      <c r="AN1366" s="1078" t="s">
        <v>11744</v>
      </c>
      <c r="AO1366" s="1078">
        <f t="shared" si="174"/>
        <v>650</v>
      </c>
      <c r="AP1366" s="1078">
        <f t="shared" si="175"/>
        <v>1.7250000000000001</v>
      </c>
      <c r="AQ1366" s="1078" t="str">
        <f t="shared" si="176"/>
        <v>1-4-1S85°Z+S</v>
      </c>
      <c r="AR1366" s="1078" t="str">
        <f t="shared" si="177"/>
        <v>NA</v>
      </c>
      <c r="AS1366" s="1078" t="str">
        <f t="shared" si="178"/>
        <v>180/OFF</v>
      </c>
      <c r="AT1366" s="1078" t="str">
        <f t="shared" si="179"/>
        <v>1-4-1S85°Z+S</v>
      </c>
      <c r="AU1366" s="1078" t="s">
        <v>15547</v>
      </c>
      <c r="AV1366" s="1078" t="str">
        <f t="shared" si="172"/>
        <v>110.9.13</v>
      </c>
      <c r="AW1366" s="1344">
        <f t="shared" si="173"/>
        <v>44452</v>
      </c>
    </row>
    <row r="1367" spans="1:49">
      <c r="A1367" s="1077" t="s">
        <v>4848</v>
      </c>
      <c r="B1367" s="1077" t="s">
        <v>4767</v>
      </c>
      <c r="C1367" s="1077">
        <v>650</v>
      </c>
      <c r="D1367" s="1077">
        <v>1.7250000000000001</v>
      </c>
      <c r="E1367" s="1077" t="s">
        <v>15109</v>
      </c>
      <c r="F1367" s="1077" t="s">
        <v>648</v>
      </c>
      <c r="G1367" s="1077">
        <v>5</v>
      </c>
      <c r="H1367" s="1077" t="s">
        <v>2192</v>
      </c>
      <c r="I1367" s="1077" t="s">
        <v>126</v>
      </c>
      <c r="J1367" s="1077">
        <v>1.3</v>
      </c>
      <c r="K1367" s="1077" t="s">
        <v>4839</v>
      </c>
      <c r="L1367" s="1077" t="s">
        <v>1776</v>
      </c>
      <c r="M1367" s="1077">
        <v>148</v>
      </c>
      <c r="N1367" s="1077" t="s">
        <v>945</v>
      </c>
      <c r="O1367" s="1077">
        <v>3.7</v>
      </c>
      <c r="P1367" s="1077">
        <v>2.96</v>
      </c>
      <c r="Q1367" s="1077">
        <v>4</v>
      </c>
      <c r="R1367" s="1077">
        <v>20.8</v>
      </c>
      <c r="T1367" s="1077">
        <v>20.399999999999999</v>
      </c>
      <c r="U1367" s="1077">
        <v>3.8</v>
      </c>
      <c r="V1367" s="1077" t="s">
        <v>648</v>
      </c>
      <c r="W1367" s="1077">
        <v>110</v>
      </c>
      <c r="X1367" s="1077">
        <v>60</v>
      </c>
      <c r="Y1367" s="1077">
        <v>1.7</v>
      </c>
      <c r="Z1367" s="1077" t="s">
        <v>648</v>
      </c>
      <c r="AA1367" s="1077" t="s">
        <v>3182</v>
      </c>
      <c r="AH1367" s="1077" t="s">
        <v>1178</v>
      </c>
      <c r="AM1367" s="1078" t="s">
        <v>11745</v>
      </c>
      <c r="AN1367" s="1078" t="s">
        <v>11746</v>
      </c>
      <c r="AO1367" s="1078">
        <f t="shared" si="174"/>
        <v>650</v>
      </c>
      <c r="AP1367" s="1078">
        <f t="shared" si="175"/>
        <v>1.7250000000000001</v>
      </c>
      <c r="AQ1367" s="1078" t="str">
        <f t="shared" si="176"/>
        <v>1-5-1S85°Z+S</v>
      </c>
      <c r="AR1367" s="1078" t="str">
        <f t="shared" si="177"/>
        <v>NA</v>
      </c>
      <c r="AS1367" s="1078" t="str">
        <f t="shared" si="178"/>
        <v>180/OFF</v>
      </c>
      <c r="AT1367" s="1078" t="str">
        <f t="shared" si="179"/>
        <v>1-5-1S85°Z+S</v>
      </c>
      <c r="AU1367" s="1078" t="s">
        <v>15547</v>
      </c>
      <c r="AV1367" s="1078" t="str">
        <f t="shared" si="172"/>
        <v>110.10.4</v>
      </c>
      <c r="AW1367" s="1344">
        <f t="shared" si="173"/>
        <v>44473</v>
      </c>
    </row>
    <row r="1368" spans="1:49">
      <c r="A1368" s="1077" t="s">
        <v>4849</v>
      </c>
      <c r="B1368" s="1077" t="s">
        <v>4767</v>
      </c>
      <c r="C1368" s="1077">
        <v>650</v>
      </c>
      <c r="D1368" s="1077">
        <v>1.7250000000000001</v>
      </c>
      <c r="E1368" s="1077" t="s">
        <v>15109</v>
      </c>
      <c r="F1368" s="1077" t="s">
        <v>648</v>
      </c>
      <c r="G1368" s="1077">
        <v>5</v>
      </c>
      <c r="H1368" s="1077" t="s">
        <v>2192</v>
      </c>
      <c r="I1368" s="1077" t="s">
        <v>126</v>
      </c>
      <c r="J1368" s="1077">
        <v>1.5</v>
      </c>
      <c r="K1368" s="1077" t="s">
        <v>4836</v>
      </c>
      <c r="L1368" s="1077" t="s">
        <v>1776</v>
      </c>
      <c r="M1368" s="1077">
        <v>148</v>
      </c>
      <c r="N1368" s="1077" t="s">
        <v>945</v>
      </c>
      <c r="O1368" s="1077">
        <v>3.7</v>
      </c>
      <c r="P1368" s="1077">
        <v>2.96</v>
      </c>
      <c r="Q1368" s="1077">
        <v>4</v>
      </c>
      <c r="R1368" s="1077">
        <v>20.8</v>
      </c>
      <c r="T1368" s="1077">
        <v>20.399999999999999</v>
      </c>
      <c r="U1368" s="1077">
        <v>3.8</v>
      </c>
      <c r="V1368" s="1077" t="s">
        <v>648</v>
      </c>
      <c r="W1368" s="1077">
        <v>110</v>
      </c>
      <c r="X1368" s="1077">
        <v>60</v>
      </c>
      <c r="Y1368" s="1077">
        <v>1.7</v>
      </c>
      <c r="Z1368" s="1077" t="s">
        <v>648</v>
      </c>
      <c r="AA1368" s="1077" t="s">
        <v>4850</v>
      </c>
      <c r="AH1368" s="1077" t="s">
        <v>803</v>
      </c>
      <c r="AM1368" s="1078" t="s">
        <v>11747</v>
      </c>
      <c r="AN1368" s="1078" t="s">
        <v>11748</v>
      </c>
      <c r="AO1368" s="1078">
        <f t="shared" si="174"/>
        <v>650</v>
      </c>
      <c r="AP1368" s="1078">
        <f t="shared" si="175"/>
        <v>1.7250000000000001</v>
      </c>
      <c r="AQ1368" s="1078" t="str">
        <f t="shared" si="176"/>
        <v>1-5-1S85°Z+S</v>
      </c>
      <c r="AR1368" s="1078" t="str">
        <f t="shared" si="177"/>
        <v>NA</v>
      </c>
      <c r="AS1368" s="1078" t="str">
        <f t="shared" si="178"/>
        <v>180/OFF</v>
      </c>
      <c r="AT1368" s="1078" t="str">
        <f t="shared" si="179"/>
        <v>1-5-1S85°Z+S</v>
      </c>
      <c r="AU1368" s="1078" t="s">
        <v>15547</v>
      </c>
      <c r="AV1368" s="1078" t="str">
        <f t="shared" si="172"/>
        <v>110.10.30</v>
      </c>
      <c r="AW1368" s="1344">
        <f t="shared" si="173"/>
        <v>44499</v>
      </c>
    </row>
    <row r="1369" spans="1:49">
      <c r="A1369" s="1077" t="s">
        <v>4851</v>
      </c>
      <c r="B1369" s="1077" t="s">
        <v>4767</v>
      </c>
      <c r="C1369" s="1077">
        <v>650</v>
      </c>
      <c r="D1369" s="1077">
        <v>1.7250000000000001</v>
      </c>
      <c r="E1369" s="1077" t="s">
        <v>15109</v>
      </c>
      <c r="F1369" s="1077" t="s">
        <v>648</v>
      </c>
      <c r="G1369" s="1077">
        <v>5</v>
      </c>
      <c r="H1369" s="1077" t="s">
        <v>2192</v>
      </c>
      <c r="I1369" s="1077" t="s">
        <v>126</v>
      </c>
      <c r="J1369" s="1077">
        <v>1.4</v>
      </c>
      <c r="K1369" s="1077" t="s">
        <v>4836</v>
      </c>
      <c r="L1369" s="1077" t="s">
        <v>1776</v>
      </c>
      <c r="M1369" s="1077">
        <v>148</v>
      </c>
      <c r="N1369" s="1077" t="s">
        <v>945</v>
      </c>
      <c r="O1369" s="1077">
        <v>3.7</v>
      </c>
      <c r="P1369" s="1077">
        <v>2.96</v>
      </c>
      <c r="Q1369" s="1077">
        <v>4</v>
      </c>
      <c r="R1369" s="1077">
        <v>20.8</v>
      </c>
      <c r="T1369" s="1077">
        <v>20.399999999999999</v>
      </c>
      <c r="U1369" s="1077">
        <v>3.8</v>
      </c>
      <c r="V1369" s="1077" t="s">
        <v>648</v>
      </c>
      <c r="W1369" s="1077">
        <v>110</v>
      </c>
      <c r="X1369" s="1077">
        <v>60</v>
      </c>
      <c r="Y1369" s="1077">
        <v>1.7</v>
      </c>
      <c r="Z1369" s="1077" t="s">
        <v>648</v>
      </c>
      <c r="AA1369" s="1077" t="s">
        <v>3968</v>
      </c>
      <c r="AH1369" s="1077" t="s">
        <v>1053</v>
      </c>
      <c r="AM1369" s="1078" t="s">
        <v>11749</v>
      </c>
      <c r="AN1369" s="1078" t="s">
        <v>11750</v>
      </c>
      <c r="AO1369" s="1078">
        <f t="shared" si="174"/>
        <v>650</v>
      </c>
      <c r="AP1369" s="1078">
        <f t="shared" si="175"/>
        <v>1.7250000000000001</v>
      </c>
      <c r="AQ1369" s="1078" t="str">
        <f t="shared" si="176"/>
        <v>1-5-1S85°Z+S</v>
      </c>
      <c r="AR1369" s="1078" t="str">
        <f t="shared" si="177"/>
        <v>NA</v>
      </c>
      <c r="AS1369" s="1078" t="str">
        <f t="shared" si="178"/>
        <v>180/OFF</v>
      </c>
      <c r="AT1369" s="1078" t="str">
        <f t="shared" si="179"/>
        <v>1-5-1S85°Z+S</v>
      </c>
      <c r="AU1369" s="1078" t="s">
        <v>15547</v>
      </c>
      <c r="AV1369" s="1078" t="str">
        <f t="shared" si="172"/>
        <v>110.11.10</v>
      </c>
      <c r="AW1369" s="1344">
        <f t="shared" si="173"/>
        <v>44510</v>
      </c>
    </row>
    <row r="1370" spans="1:49">
      <c r="A1370" s="1077" t="s">
        <v>4852</v>
      </c>
      <c r="B1370" s="1077" t="s">
        <v>617</v>
      </c>
      <c r="C1370" s="1077">
        <v>650</v>
      </c>
      <c r="D1370" s="1077">
        <v>1.7949999999999999</v>
      </c>
      <c r="E1370" s="1077" t="s">
        <v>15094</v>
      </c>
      <c r="F1370" s="1077" t="s">
        <v>2234</v>
      </c>
      <c r="G1370" s="1077">
        <v>5</v>
      </c>
      <c r="H1370" s="1077" t="s">
        <v>1793</v>
      </c>
      <c r="I1370" s="1077" t="s">
        <v>126</v>
      </c>
      <c r="J1370" s="1077">
        <v>2.1</v>
      </c>
      <c r="K1370" s="1077" t="s">
        <v>4853</v>
      </c>
      <c r="L1370" s="1077" t="s">
        <v>4854</v>
      </c>
      <c r="M1370" s="1077">
        <v>150.30000000000001</v>
      </c>
      <c r="N1370" s="1077" t="s">
        <v>945</v>
      </c>
      <c r="O1370" s="1077">
        <v>3.7575000000000003</v>
      </c>
      <c r="P1370" s="1077">
        <v>3.0060000000000002</v>
      </c>
      <c r="Q1370" s="1077" t="s">
        <v>2794</v>
      </c>
      <c r="R1370" s="1077">
        <v>29</v>
      </c>
      <c r="T1370" s="1077">
        <v>13</v>
      </c>
      <c r="U1370" s="1077">
        <v>7</v>
      </c>
      <c r="V1370" s="1077" t="s">
        <v>648</v>
      </c>
      <c r="W1370" s="1077">
        <v>115</v>
      </c>
      <c r="X1370" s="1077">
        <v>50</v>
      </c>
      <c r="Y1370" s="1077">
        <v>1.7</v>
      </c>
      <c r="Z1370" s="1077">
        <v>6.5</v>
      </c>
      <c r="AA1370" s="1077" t="s">
        <v>4855</v>
      </c>
      <c r="AH1370" s="1077" t="s">
        <v>998</v>
      </c>
      <c r="AM1370" s="1078" t="s">
        <v>11751</v>
      </c>
      <c r="AN1370" s="1078" t="s">
        <v>11752</v>
      </c>
      <c r="AO1370" s="1078">
        <f t="shared" si="174"/>
        <v>650</v>
      </c>
      <c r="AP1370" s="1078">
        <f t="shared" si="175"/>
        <v>1.7949999999999999</v>
      </c>
      <c r="AQ1370" s="1078" t="str">
        <f t="shared" si="176"/>
        <v>1-5-1S91°</v>
      </c>
      <c r="AR1370" s="1078" t="str">
        <f t="shared" si="177"/>
        <v>33.5</v>
      </c>
      <c r="AS1370" s="1078" t="str">
        <f t="shared" si="178"/>
        <v>270/270/OFF</v>
      </c>
      <c r="AT1370" s="1078" t="str">
        <f t="shared" si="179"/>
        <v>1-5-1S91°</v>
      </c>
      <c r="AV1370" s="1078" t="str">
        <f t="shared" si="172"/>
        <v>108.1.3</v>
      </c>
      <c r="AW1370" s="1344">
        <f t="shared" si="173"/>
        <v>43468</v>
      </c>
    </row>
    <row r="1371" spans="1:49">
      <c r="A1371" s="1077" t="s">
        <v>4856</v>
      </c>
      <c r="B1371" s="1077" t="s">
        <v>4857</v>
      </c>
      <c r="C1371" s="1077">
        <v>600</v>
      </c>
      <c r="D1371" s="1077">
        <v>1.69</v>
      </c>
      <c r="E1371" s="1077" t="s">
        <v>15104</v>
      </c>
      <c r="F1371" s="1077" t="s">
        <v>984</v>
      </c>
      <c r="G1371" s="1077">
        <v>5</v>
      </c>
      <c r="H1371" s="1077" t="s">
        <v>1166</v>
      </c>
      <c r="I1371" s="1077" t="s">
        <v>126</v>
      </c>
      <c r="J1371" s="1077">
        <v>0.8</v>
      </c>
      <c r="K1371" s="1077" t="s">
        <v>4858</v>
      </c>
      <c r="L1371" s="1077" t="s">
        <v>1811</v>
      </c>
      <c r="M1371" s="1077">
        <v>147</v>
      </c>
      <c r="N1371" s="1077" t="s">
        <v>945</v>
      </c>
      <c r="O1371" s="1077">
        <v>3.6750000000000003</v>
      </c>
      <c r="P1371" s="1077">
        <v>2.94</v>
      </c>
      <c r="Q1371" s="1077" t="s">
        <v>2536</v>
      </c>
      <c r="R1371" s="1077">
        <v>23</v>
      </c>
      <c r="T1371" s="1077">
        <v>16</v>
      </c>
      <c r="U1371" s="1077">
        <v>5</v>
      </c>
      <c r="V1371" s="1077" t="s">
        <v>648</v>
      </c>
      <c r="W1371" s="1077">
        <v>50</v>
      </c>
      <c r="X1371" s="1077">
        <v>20</v>
      </c>
      <c r="Y1371" s="1077">
        <v>1.5</v>
      </c>
      <c r="Z1371" s="1077" t="s">
        <v>648</v>
      </c>
      <c r="AA1371" s="1077" t="s">
        <v>4569</v>
      </c>
      <c r="AH1371" s="1077" t="s">
        <v>3067</v>
      </c>
      <c r="AM1371" s="1078" t="s">
        <v>11753</v>
      </c>
      <c r="AN1371" s="1078" t="s">
        <v>11754</v>
      </c>
      <c r="AO1371" s="1078">
        <f t="shared" si="174"/>
        <v>600</v>
      </c>
      <c r="AP1371" s="1078">
        <f t="shared" si="175"/>
        <v>1.69</v>
      </c>
      <c r="AQ1371" s="1078" t="str">
        <f t="shared" si="176"/>
        <v>1-4-1S85°Z+S</v>
      </c>
      <c r="AR1371" s="1078" t="str">
        <f t="shared" si="177"/>
        <v>30</v>
      </c>
      <c r="AS1371" s="1078" t="str">
        <f t="shared" si="178"/>
        <v>170/OFF</v>
      </c>
      <c r="AT1371" s="1078" t="str">
        <f t="shared" si="179"/>
        <v>1-4-1S85°Z+S</v>
      </c>
      <c r="AU1371" s="1078" t="s">
        <v>15547</v>
      </c>
      <c r="AV1371" s="1078" t="str">
        <f t="shared" si="172"/>
        <v>108.1.2</v>
      </c>
      <c r="AW1371" s="1344">
        <f t="shared" si="173"/>
        <v>43467</v>
      </c>
    </row>
    <row r="1372" spans="1:49">
      <c r="A1372" s="1077" t="s">
        <v>4859</v>
      </c>
      <c r="B1372" s="1077" t="s">
        <v>4860</v>
      </c>
      <c r="C1372" s="1077">
        <v>650</v>
      </c>
      <c r="D1372" s="1077">
        <v>1.7589999999999999</v>
      </c>
      <c r="E1372" s="1077" t="s">
        <v>4861</v>
      </c>
      <c r="F1372" s="1077" t="s">
        <v>4070</v>
      </c>
      <c r="G1372" s="1077">
        <v>5</v>
      </c>
      <c r="H1372" s="1077" t="s">
        <v>4862</v>
      </c>
      <c r="I1372" s="1077" t="s">
        <v>643</v>
      </c>
      <c r="J1372" s="1077">
        <v>1.6</v>
      </c>
      <c r="K1372" s="1077" t="s">
        <v>4863</v>
      </c>
      <c r="L1372" s="1077" t="s">
        <v>4864</v>
      </c>
      <c r="M1372" s="1077">
        <v>149.5</v>
      </c>
      <c r="N1372" s="1077" t="s">
        <v>945</v>
      </c>
      <c r="O1372" s="1077">
        <v>3.7375000000000003</v>
      </c>
      <c r="P1372" s="1077">
        <v>2.99</v>
      </c>
      <c r="Q1372" s="1077" t="s">
        <v>946</v>
      </c>
      <c r="R1372" s="1077">
        <v>21</v>
      </c>
      <c r="T1372" s="1077">
        <v>37</v>
      </c>
      <c r="U1372" s="1077">
        <v>3.7</v>
      </c>
      <c r="V1372" s="1077" t="s">
        <v>648</v>
      </c>
      <c r="W1372" s="1077">
        <v>110</v>
      </c>
      <c r="X1372" s="1077">
        <v>40</v>
      </c>
      <c r="Y1372" s="1077">
        <v>2.2000000000000002</v>
      </c>
      <c r="Z1372" s="1077" t="s">
        <v>648</v>
      </c>
      <c r="AA1372" s="1077" t="s">
        <v>2397</v>
      </c>
      <c r="AH1372" s="1077" t="s">
        <v>2384</v>
      </c>
      <c r="AM1372" s="1078" t="s">
        <v>11755</v>
      </c>
      <c r="AN1372" s="1078" t="s">
        <v>11756</v>
      </c>
      <c r="AO1372" s="1078">
        <f t="shared" si="174"/>
        <v>650</v>
      </c>
      <c r="AP1372" s="1078">
        <f t="shared" si="175"/>
        <v>1.7589999999999999</v>
      </c>
      <c r="AQ1372" s="1078" t="str">
        <f t="shared" si="176"/>
        <v>105°</v>
      </c>
      <c r="AR1372" s="1078" t="str">
        <f t="shared" si="177"/>
        <v>15.5</v>
      </c>
      <c r="AS1372" s="1078" t="str">
        <f t="shared" si="178"/>
        <v>360/340/OFF</v>
      </c>
      <c r="AT1372" s="1078" t="str">
        <f t="shared" si="179"/>
        <v>105°</v>
      </c>
      <c r="AV1372" s="1078" t="str">
        <f t="shared" si="172"/>
        <v>109.1.22</v>
      </c>
      <c r="AW1372" s="1344">
        <f t="shared" si="173"/>
        <v>43852</v>
      </c>
    </row>
    <row r="1373" spans="1:49">
      <c r="A1373" s="1077" t="s">
        <v>4865</v>
      </c>
      <c r="B1373" s="1077" t="s">
        <v>4860</v>
      </c>
      <c r="C1373" s="1077">
        <v>750</v>
      </c>
      <c r="D1373" s="1077">
        <v>1.76</v>
      </c>
      <c r="E1373" s="1077" t="s">
        <v>15104</v>
      </c>
      <c r="F1373" s="1077" t="s">
        <v>648</v>
      </c>
      <c r="G1373" s="1077">
        <v>5</v>
      </c>
      <c r="H1373" s="1077" t="s">
        <v>2941</v>
      </c>
      <c r="I1373" s="1077" t="s">
        <v>643</v>
      </c>
      <c r="J1373" s="1077">
        <v>2</v>
      </c>
      <c r="K1373" s="1077" t="s">
        <v>4863</v>
      </c>
      <c r="L1373" s="1077" t="s">
        <v>4864</v>
      </c>
      <c r="M1373" s="1077">
        <v>149.5</v>
      </c>
      <c r="N1373" s="1077" t="s">
        <v>945</v>
      </c>
      <c r="O1373" s="1077">
        <v>3.7375000000000003</v>
      </c>
      <c r="P1373" s="1077">
        <v>2.99</v>
      </c>
      <c r="Q1373" s="1077" t="s">
        <v>956</v>
      </c>
      <c r="R1373" s="1077">
        <v>21</v>
      </c>
      <c r="T1373" s="1077">
        <v>37</v>
      </c>
      <c r="U1373" s="1077">
        <v>3.7</v>
      </c>
      <c r="V1373" s="1077" t="s">
        <v>648</v>
      </c>
      <c r="W1373" s="1077">
        <v>110</v>
      </c>
      <c r="X1373" s="1077">
        <v>40</v>
      </c>
      <c r="Y1373" s="1077">
        <v>2.2000000000000002</v>
      </c>
      <c r="Z1373" s="1077" t="s">
        <v>648</v>
      </c>
      <c r="AA1373" s="1077" t="s">
        <v>4866</v>
      </c>
      <c r="AH1373" s="1077" t="s">
        <v>868</v>
      </c>
      <c r="AM1373" s="1078" t="s">
        <v>11757</v>
      </c>
      <c r="AN1373" s="1078" t="s">
        <v>11758</v>
      </c>
      <c r="AO1373" s="1078">
        <f t="shared" si="174"/>
        <v>750</v>
      </c>
      <c r="AP1373" s="1078">
        <f t="shared" si="175"/>
        <v>1.76</v>
      </c>
      <c r="AQ1373" s="1078" t="str">
        <f t="shared" si="176"/>
        <v>1-4-1S85°Z+S</v>
      </c>
      <c r="AR1373" s="1078" t="str">
        <f t="shared" si="177"/>
        <v>NA</v>
      </c>
      <c r="AS1373" s="1078" t="str">
        <f t="shared" si="178"/>
        <v>190/OFF</v>
      </c>
      <c r="AT1373" s="1078" t="str">
        <f t="shared" si="179"/>
        <v>1-4-1S85°Z+S</v>
      </c>
      <c r="AU1373" s="1078" t="s">
        <v>15547</v>
      </c>
      <c r="AV1373" s="1078" t="str">
        <f t="shared" si="172"/>
        <v>109.5.22</v>
      </c>
      <c r="AW1373" s="1344">
        <f t="shared" si="173"/>
        <v>43973</v>
      </c>
    </row>
    <row r="1374" spans="1:49">
      <c r="A1374" s="1077" t="s">
        <v>4867</v>
      </c>
      <c r="B1374" s="1077" t="s">
        <v>4860</v>
      </c>
      <c r="C1374" s="1077">
        <v>750</v>
      </c>
      <c r="D1374" s="1077">
        <v>1.76</v>
      </c>
      <c r="E1374" s="1077" t="s">
        <v>15104</v>
      </c>
      <c r="F1374" s="1077" t="s">
        <v>648</v>
      </c>
      <c r="G1374" s="1077">
        <v>5</v>
      </c>
      <c r="H1374" s="1077" t="s">
        <v>2941</v>
      </c>
      <c r="I1374" s="1077" t="s">
        <v>643</v>
      </c>
      <c r="J1374" s="1077">
        <v>1.8</v>
      </c>
      <c r="K1374" s="1077" t="s">
        <v>4868</v>
      </c>
      <c r="L1374" s="1077" t="s">
        <v>4864</v>
      </c>
      <c r="M1374" s="1077">
        <v>149.5</v>
      </c>
      <c r="N1374" s="1077" t="s">
        <v>945</v>
      </c>
      <c r="O1374" s="1077">
        <v>3.7375000000000003</v>
      </c>
      <c r="P1374" s="1077">
        <v>2.99</v>
      </c>
      <c r="Q1374" s="1077" t="s">
        <v>961</v>
      </c>
      <c r="R1374" s="1077">
        <v>21</v>
      </c>
      <c r="T1374" s="1077">
        <v>37</v>
      </c>
      <c r="U1374" s="1077">
        <v>3.7</v>
      </c>
      <c r="V1374" s="1077" t="s">
        <v>648</v>
      </c>
      <c r="W1374" s="1077">
        <v>110</v>
      </c>
      <c r="X1374" s="1077">
        <v>40</v>
      </c>
      <c r="Y1374" s="1077" t="s">
        <v>4869</v>
      </c>
      <c r="Z1374" s="1077" t="s">
        <v>648</v>
      </c>
      <c r="AA1374" s="1077" t="s">
        <v>4274</v>
      </c>
      <c r="AH1374" s="1077" t="s">
        <v>1178</v>
      </c>
      <c r="AM1374" s="1078" t="s">
        <v>11759</v>
      </c>
      <c r="AN1374" s="1078" t="s">
        <v>11760</v>
      </c>
      <c r="AO1374" s="1078">
        <f t="shared" si="174"/>
        <v>750</v>
      </c>
      <c r="AP1374" s="1078">
        <f t="shared" si="175"/>
        <v>1.76</v>
      </c>
      <c r="AQ1374" s="1078" t="str">
        <f t="shared" si="176"/>
        <v>1-4-1S85°Z+S</v>
      </c>
      <c r="AR1374" s="1078" t="str">
        <f t="shared" si="177"/>
        <v>NA</v>
      </c>
      <c r="AS1374" s="1078" t="str">
        <f t="shared" si="178"/>
        <v>190/OFF</v>
      </c>
      <c r="AT1374" s="1078" t="str">
        <f t="shared" si="179"/>
        <v>1-4-1S85°Z+S</v>
      </c>
      <c r="AU1374" s="1078" t="s">
        <v>15547</v>
      </c>
      <c r="AV1374" s="1078" t="str">
        <f t="shared" si="172"/>
        <v>109.9.8</v>
      </c>
      <c r="AW1374" s="1344">
        <f t="shared" si="173"/>
        <v>44082</v>
      </c>
    </row>
    <row r="1375" spans="1:49">
      <c r="A1375" s="1077" t="s">
        <v>4870</v>
      </c>
      <c r="B1375" s="1077" t="s">
        <v>4860</v>
      </c>
      <c r="C1375" s="1077">
        <v>750</v>
      </c>
      <c r="D1375" s="1077">
        <v>1.76</v>
      </c>
      <c r="E1375" s="1077" t="s">
        <v>15109</v>
      </c>
      <c r="F1375" s="1077" t="s">
        <v>648</v>
      </c>
      <c r="G1375" s="1077">
        <v>5</v>
      </c>
      <c r="H1375" s="1077" t="s">
        <v>4871</v>
      </c>
      <c r="I1375" s="1077" t="s">
        <v>643</v>
      </c>
      <c r="J1375" s="1077">
        <v>1.8</v>
      </c>
      <c r="K1375" s="1077" t="s">
        <v>4872</v>
      </c>
      <c r="L1375" s="1077" t="s">
        <v>4864</v>
      </c>
      <c r="M1375" s="1077">
        <v>149.5</v>
      </c>
      <c r="N1375" s="1077" t="s">
        <v>945</v>
      </c>
      <c r="O1375" s="1077">
        <v>3.7375000000000003</v>
      </c>
      <c r="P1375" s="1077">
        <v>2.99</v>
      </c>
      <c r="Q1375" s="1077">
        <v>4</v>
      </c>
      <c r="R1375" s="1077">
        <v>21</v>
      </c>
      <c r="T1375" s="1077">
        <v>37</v>
      </c>
      <c r="U1375" s="1077">
        <v>3.7</v>
      </c>
      <c r="V1375" s="1077" t="s">
        <v>648</v>
      </c>
      <c r="W1375" s="1077">
        <v>110</v>
      </c>
      <c r="X1375" s="1077">
        <v>40</v>
      </c>
      <c r="Y1375" s="1077">
        <v>2.2000000000000002</v>
      </c>
      <c r="Z1375" s="1077" t="s">
        <v>648</v>
      </c>
      <c r="AA1375" s="1077" t="s">
        <v>4179</v>
      </c>
      <c r="AH1375" s="1077" t="s">
        <v>3028</v>
      </c>
      <c r="AM1375" s="1078" t="s">
        <v>11761</v>
      </c>
      <c r="AN1375" s="1078" t="s">
        <v>11762</v>
      </c>
      <c r="AO1375" s="1078">
        <f t="shared" si="174"/>
        <v>750</v>
      </c>
      <c r="AP1375" s="1078">
        <f t="shared" si="175"/>
        <v>1.76</v>
      </c>
      <c r="AQ1375" s="1078" t="str">
        <f t="shared" si="176"/>
        <v>1-5-1S85°Z+S</v>
      </c>
      <c r="AR1375" s="1078" t="str">
        <f t="shared" si="177"/>
        <v>NA</v>
      </c>
      <c r="AS1375" s="1078" t="str">
        <f t="shared" si="178"/>
        <v>184/OFF</v>
      </c>
      <c r="AT1375" s="1078" t="str">
        <f t="shared" si="179"/>
        <v>1-5-1S85°Z+S</v>
      </c>
      <c r="AU1375" s="1078" t="s">
        <v>15547</v>
      </c>
      <c r="AV1375" s="1078" t="str">
        <f t="shared" si="172"/>
        <v>110.2.8</v>
      </c>
      <c r="AW1375" s="1344">
        <f t="shared" si="173"/>
        <v>44235</v>
      </c>
    </row>
    <row r="1376" spans="1:49">
      <c r="A1376" s="1077" t="s">
        <v>4873</v>
      </c>
      <c r="B1376" s="1077" t="s">
        <v>4860</v>
      </c>
      <c r="C1376" s="1077">
        <v>750</v>
      </c>
      <c r="D1376" s="1077">
        <v>1.76</v>
      </c>
      <c r="E1376" s="1077" t="s">
        <v>15104</v>
      </c>
      <c r="F1376" s="1077" t="s">
        <v>648</v>
      </c>
      <c r="G1376" s="1077">
        <v>5</v>
      </c>
      <c r="H1376" s="1077" t="s">
        <v>4874</v>
      </c>
      <c r="I1376" s="1077" t="s">
        <v>460</v>
      </c>
      <c r="J1376" s="1077">
        <v>2</v>
      </c>
      <c r="K1376" s="1077" t="s">
        <v>4872</v>
      </c>
      <c r="L1376" s="1077" t="s">
        <v>4864</v>
      </c>
      <c r="M1376" s="1077">
        <v>149.5</v>
      </c>
      <c r="N1376" s="1077" t="s">
        <v>945</v>
      </c>
      <c r="O1376" s="1077">
        <v>3.7375000000000003</v>
      </c>
      <c r="P1376" s="1077">
        <v>2.99</v>
      </c>
      <c r="Q1376" s="1077">
        <v>4</v>
      </c>
      <c r="R1376" s="1077">
        <v>21</v>
      </c>
      <c r="T1376" s="1077">
        <v>37</v>
      </c>
      <c r="U1376" s="1077">
        <v>3.7</v>
      </c>
      <c r="V1376" s="1077" t="s">
        <v>648</v>
      </c>
      <c r="W1376" s="1077">
        <v>110</v>
      </c>
      <c r="X1376" s="1077">
        <v>40</v>
      </c>
      <c r="Y1376" s="1077">
        <v>2.2000000000000002</v>
      </c>
      <c r="Z1376" s="1077" t="s">
        <v>648</v>
      </c>
      <c r="AA1376" s="1077" t="s">
        <v>3153</v>
      </c>
      <c r="AH1376" s="1077" t="s">
        <v>783</v>
      </c>
      <c r="AM1376" s="1078" t="s">
        <v>11763</v>
      </c>
      <c r="AN1376" s="1078" t="s">
        <v>11764</v>
      </c>
      <c r="AO1376" s="1078">
        <f t="shared" si="174"/>
        <v>750</v>
      </c>
      <c r="AP1376" s="1078">
        <f t="shared" si="175"/>
        <v>1.76</v>
      </c>
      <c r="AQ1376" s="1078" t="str">
        <f t="shared" si="176"/>
        <v>1-4-1S85°Z+S</v>
      </c>
      <c r="AR1376" s="1078" t="str">
        <f t="shared" si="177"/>
        <v>NA</v>
      </c>
      <c r="AS1376" s="1078" t="str">
        <f t="shared" si="178"/>
        <v>187/OFF</v>
      </c>
      <c r="AT1376" s="1078" t="str">
        <f t="shared" si="179"/>
        <v>1-4-1S85°Z+S</v>
      </c>
      <c r="AU1376" s="1078" t="s">
        <v>15547</v>
      </c>
      <c r="AV1376" s="1078" t="str">
        <f t="shared" si="172"/>
        <v>110.3.31</v>
      </c>
      <c r="AW1376" s="1344">
        <f t="shared" si="173"/>
        <v>44286</v>
      </c>
    </row>
    <row r="1377" spans="1:49">
      <c r="A1377" s="1077" t="s">
        <v>4875</v>
      </c>
      <c r="B1377" s="1077" t="s">
        <v>4860</v>
      </c>
      <c r="C1377" s="1077">
        <v>750</v>
      </c>
      <c r="D1377" s="1077">
        <v>1.76</v>
      </c>
      <c r="E1377" s="1077" t="s">
        <v>15104</v>
      </c>
      <c r="F1377" s="1077" t="s">
        <v>648</v>
      </c>
      <c r="G1377" s="1077">
        <v>5</v>
      </c>
      <c r="H1377" s="1077" t="s">
        <v>2941</v>
      </c>
      <c r="I1377" s="1077" t="s">
        <v>460</v>
      </c>
      <c r="J1377" s="1077">
        <v>2.1</v>
      </c>
      <c r="K1377" s="1077" t="s">
        <v>4876</v>
      </c>
      <c r="L1377" s="1077" t="s">
        <v>4864</v>
      </c>
      <c r="M1377" s="1077">
        <v>149.5</v>
      </c>
      <c r="N1377" s="1077" t="s">
        <v>945</v>
      </c>
      <c r="O1377" s="1077">
        <v>3.7375000000000003</v>
      </c>
      <c r="P1377" s="1077">
        <v>2.99</v>
      </c>
      <c r="Q1377" s="1077">
        <v>4</v>
      </c>
      <c r="R1377" s="1077">
        <v>21</v>
      </c>
      <c r="T1377" s="1077">
        <v>37</v>
      </c>
      <c r="U1377" s="1077">
        <v>3.7</v>
      </c>
      <c r="V1377" s="1077" t="s">
        <v>648</v>
      </c>
      <c r="W1377" s="1077">
        <v>110</v>
      </c>
      <c r="X1377" s="1077">
        <v>40</v>
      </c>
      <c r="Y1377" s="1077">
        <v>2.2000000000000002</v>
      </c>
      <c r="Z1377" s="1077" t="s">
        <v>648</v>
      </c>
      <c r="AA1377" s="1077" t="s">
        <v>3553</v>
      </c>
      <c r="AH1377" s="1077" t="s">
        <v>647</v>
      </c>
      <c r="AM1377" s="1078" t="s">
        <v>11765</v>
      </c>
      <c r="AN1377" s="1078" t="s">
        <v>11766</v>
      </c>
      <c r="AO1377" s="1078">
        <f t="shared" si="174"/>
        <v>750</v>
      </c>
      <c r="AP1377" s="1078">
        <f t="shared" si="175"/>
        <v>1.76</v>
      </c>
      <c r="AQ1377" s="1078" t="str">
        <f t="shared" si="176"/>
        <v>1-4-1S85°Z+S</v>
      </c>
      <c r="AR1377" s="1078" t="str">
        <f t="shared" si="177"/>
        <v>NA</v>
      </c>
      <c r="AS1377" s="1078" t="str">
        <f t="shared" si="178"/>
        <v>190/OFF</v>
      </c>
      <c r="AT1377" s="1078" t="str">
        <f t="shared" si="179"/>
        <v>1-4-1S85°Z+S</v>
      </c>
      <c r="AU1377" s="1078" t="s">
        <v>15547</v>
      </c>
      <c r="AV1377" s="1078" t="str">
        <f t="shared" si="172"/>
        <v>110.7.5</v>
      </c>
      <c r="AW1377" s="1344">
        <f t="shared" si="173"/>
        <v>44382</v>
      </c>
    </row>
    <row r="1378" spans="1:49">
      <c r="A1378" s="1077" t="s">
        <v>4877</v>
      </c>
      <c r="B1378" s="1077" t="s">
        <v>4860</v>
      </c>
      <c r="C1378" s="1077">
        <v>750</v>
      </c>
      <c r="D1378" s="1077">
        <v>1.76</v>
      </c>
      <c r="E1378" s="1077" t="s">
        <v>15104</v>
      </c>
      <c r="F1378" s="1077" t="s">
        <v>648</v>
      </c>
      <c r="G1378" s="1077">
        <v>5</v>
      </c>
      <c r="H1378" s="1077" t="s">
        <v>2941</v>
      </c>
      <c r="I1378" s="1077" t="s">
        <v>460</v>
      </c>
      <c r="J1378" s="1077">
        <v>2.1</v>
      </c>
      <c r="K1378" s="1077" t="s">
        <v>4878</v>
      </c>
      <c r="L1378" s="1077" t="s">
        <v>4864</v>
      </c>
      <c r="M1378" s="1077">
        <v>149.5</v>
      </c>
      <c r="N1378" s="1077" t="s">
        <v>945</v>
      </c>
      <c r="O1378" s="1077">
        <v>3.7375000000000003</v>
      </c>
      <c r="P1378" s="1077">
        <v>2.99</v>
      </c>
      <c r="Q1378" s="1077">
        <v>4</v>
      </c>
      <c r="R1378" s="1077">
        <v>21</v>
      </c>
      <c r="T1378" s="1077">
        <v>37</v>
      </c>
      <c r="U1378" s="1077">
        <v>3.7</v>
      </c>
      <c r="V1378" s="1077" t="s">
        <v>648</v>
      </c>
      <c r="W1378" s="1077">
        <v>110</v>
      </c>
      <c r="X1378" s="1077">
        <v>40</v>
      </c>
      <c r="Y1378" s="1077">
        <v>2.2000000000000002</v>
      </c>
      <c r="Z1378" s="1077" t="s">
        <v>648</v>
      </c>
      <c r="AA1378" s="1077" t="s">
        <v>3377</v>
      </c>
      <c r="AH1378" s="1077" t="s">
        <v>868</v>
      </c>
      <c r="AM1378" s="1078" t="s">
        <v>11767</v>
      </c>
      <c r="AN1378" s="1078" t="s">
        <v>11768</v>
      </c>
      <c r="AO1378" s="1078">
        <f t="shared" si="174"/>
        <v>750</v>
      </c>
      <c r="AP1378" s="1078">
        <f t="shared" si="175"/>
        <v>1.76</v>
      </c>
      <c r="AQ1378" s="1078" t="str">
        <f t="shared" si="176"/>
        <v>1-4-1S85°Z+S</v>
      </c>
      <c r="AR1378" s="1078" t="str">
        <f t="shared" si="177"/>
        <v>NA</v>
      </c>
      <c r="AS1378" s="1078" t="str">
        <f t="shared" si="178"/>
        <v>190/OFF</v>
      </c>
      <c r="AT1378" s="1078" t="str">
        <f t="shared" si="179"/>
        <v>1-4-1S85°Z+S</v>
      </c>
      <c r="AU1378" s="1078" t="s">
        <v>15547</v>
      </c>
      <c r="AV1378" s="1078" t="str">
        <f t="shared" si="172"/>
        <v>110.10.12</v>
      </c>
      <c r="AW1378" s="1344">
        <f t="shared" si="173"/>
        <v>44481</v>
      </c>
    </row>
    <row r="1379" spans="1:49">
      <c r="A1379" s="1077" t="s">
        <v>4879</v>
      </c>
      <c r="B1379" s="1077" t="s">
        <v>4880</v>
      </c>
      <c r="C1379" s="1077">
        <v>650</v>
      </c>
      <c r="D1379" s="1077">
        <v>1.81</v>
      </c>
      <c r="E1379" s="1077" t="s">
        <v>15094</v>
      </c>
      <c r="F1379" s="1077" t="s">
        <v>2234</v>
      </c>
      <c r="G1379" s="1077">
        <v>5</v>
      </c>
      <c r="H1379" s="1077" t="s">
        <v>4881</v>
      </c>
      <c r="I1379" s="1077" t="s">
        <v>460</v>
      </c>
      <c r="J1379" s="1077">
        <v>2.7</v>
      </c>
      <c r="K1379" s="1077" t="s">
        <v>4882</v>
      </c>
      <c r="L1379" s="1077" t="s">
        <v>4883</v>
      </c>
      <c r="M1379" s="1077">
        <v>158.4</v>
      </c>
      <c r="N1379" s="1077" t="s">
        <v>945</v>
      </c>
      <c r="O1379" s="1077">
        <v>3.9600000000000004</v>
      </c>
      <c r="P1379" s="1077">
        <v>3.1680000000000001</v>
      </c>
      <c r="Q1379" s="1077" t="s">
        <v>2553</v>
      </c>
      <c r="R1379" s="1077">
        <v>20.5</v>
      </c>
      <c r="T1379" s="1077">
        <v>13</v>
      </c>
      <c r="U1379" s="1077">
        <v>3.2</v>
      </c>
      <c r="V1379" s="1077" t="s">
        <v>648</v>
      </c>
      <c r="W1379" s="1077">
        <v>110</v>
      </c>
      <c r="X1379" s="1077">
        <v>90</v>
      </c>
      <c r="Y1379" s="1077">
        <v>1.5</v>
      </c>
      <c r="Z1379" s="1077">
        <v>5</v>
      </c>
      <c r="AA1379" s="1077" t="s">
        <v>989</v>
      </c>
      <c r="AH1379" s="1077" t="s">
        <v>3213</v>
      </c>
      <c r="AM1379" s="1078" t="s">
        <v>11769</v>
      </c>
      <c r="AN1379" s="1078" t="s">
        <v>11770</v>
      </c>
      <c r="AO1379" s="1078">
        <f t="shared" si="174"/>
        <v>650</v>
      </c>
      <c r="AP1379" s="1078">
        <f t="shared" si="175"/>
        <v>1.81</v>
      </c>
      <c r="AQ1379" s="1078" t="str">
        <f t="shared" si="176"/>
        <v>1-5-1S91°</v>
      </c>
      <c r="AR1379" s="1078" t="str">
        <f t="shared" si="177"/>
        <v>33.5</v>
      </c>
      <c r="AS1379" s="1078" t="str">
        <f t="shared" si="178"/>
        <v>340/340/150</v>
      </c>
      <c r="AT1379" s="1078" t="str">
        <f t="shared" si="179"/>
        <v>1-5-1S91°</v>
      </c>
      <c r="AV1379" s="1078" t="str">
        <f t="shared" si="172"/>
        <v>108.1.4</v>
      </c>
      <c r="AW1379" s="1344">
        <f t="shared" si="173"/>
        <v>43469</v>
      </c>
    </row>
    <row r="1380" spans="1:49">
      <c r="A1380" s="1077" t="s">
        <v>4884</v>
      </c>
      <c r="B1380" s="1077" t="s">
        <v>4885</v>
      </c>
      <c r="C1380" s="1077">
        <v>600</v>
      </c>
      <c r="D1380" s="1077">
        <v>1.744</v>
      </c>
      <c r="E1380" s="1077" t="s">
        <v>15102</v>
      </c>
      <c r="F1380" s="1077" t="s">
        <v>4013</v>
      </c>
      <c r="G1380" s="1077">
        <v>5</v>
      </c>
      <c r="H1380" s="1077" t="s">
        <v>4886</v>
      </c>
      <c r="I1380" s="1077" t="s">
        <v>1167</v>
      </c>
      <c r="J1380" s="1077">
        <v>0.8</v>
      </c>
      <c r="K1380" s="1077" t="s">
        <v>4887</v>
      </c>
      <c r="L1380" s="1077" t="s">
        <v>4888</v>
      </c>
      <c r="M1380" s="1077">
        <v>150.9</v>
      </c>
      <c r="N1380" s="1077" t="s">
        <v>945</v>
      </c>
      <c r="O1380" s="1077">
        <v>3.7725000000000004</v>
      </c>
      <c r="P1380" s="1077">
        <v>3.0180000000000002</v>
      </c>
      <c r="Q1380" s="1077" t="s">
        <v>946</v>
      </c>
      <c r="R1380" s="1077">
        <v>21.8</v>
      </c>
      <c r="T1380" s="1077">
        <v>24.1</v>
      </c>
      <c r="U1380" s="1077">
        <v>2.7</v>
      </c>
      <c r="V1380" s="1077" t="s">
        <v>648</v>
      </c>
      <c r="W1380" s="1077">
        <v>45</v>
      </c>
      <c r="X1380" s="1077">
        <v>10</v>
      </c>
      <c r="Y1380" s="1077">
        <v>1.8</v>
      </c>
      <c r="Z1380" s="1077" t="s">
        <v>4889</v>
      </c>
      <c r="AA1380" s="1077" t="s">
        <v>4769</v>
      </c>
      <c r="AH1380" s="1077" t="s">
        <v>1417</v>
      </c>
      <c r="AM1380" s="1078" t="s">
        <v>11771</v>
      </c>
      <c r="AN1380" s="1078" t="s">
        <v>11772</v>
      </c>
      <c r="AO1380" s="1078">
        <f t="shared" si="174"/>
        <v>600</v>
      </c>
      <c r="AP1380" s="1078">
        <f t="shared" si="175"/>
        <v>1.744</v>
      </c>
      <c r="AQ1380" s="1078" t="str">
        <f t="shared" si="176"/>
        <v>2-6-1S83°</v>
      </c>
      <c r="AR1380" s="1078" t="str">
        <f t="shared" si="177"/>
        <v>30.3</v>
      </c>
      <c r="AS1380" s="1078" t="str">
        <f t="shared" si="178"/>
        <v>185/174</v>
      </c>
      <c r="AT1380" s="1078" t="str">
        <f t="shared" si="179"/>
        <v>2-6-1S83°</v>
      </c>
      <c r="AV1380" s="1078" t="str">
        <f t="shared" si="172"/>
        <v>108.1.16</v>
      </c>
      <c r="AW1380" s="1344">
        <f t="shared" si="173"/>
        <v>43481</v>
      </c>
    </row>
    <row r="1381" spans="1:49">
      <c r="A1381" s="1077" t="s">
        <v>4890</v>
      </c>
      <c r="B1381" s="1077" t="s">
        <v>4885</v>
      </c>
      <c r="C1381" s="1077">
        <v>600</v>
      </c>
      <c r="D1381" s="1077">
        <v>1.744</v>
      </c>
      <c r="E1381" s="1077" t="s">
        <v>15102</v>
      </c>
      <c r="F1381" s="1077" t="s">
        <v>984</v>
      </c>
      <c r="G1381" s="1077">
        <v>5</v>
      </c>
      <c r="H1381" s="1077" t="s">
        <v>4891</v>
      </c>
      <c r="I1381" s="1077" t="s">
        <v>1167</v>
      </c>
      <c r="J1381" s="1077">
        <v>3.9</v>
      </c>
      <c r="K1381" s="1077" t="s">
        <v>4887</v>
      </c>
      <c r="L1381" s="1077" t="s">
        <v>4888</v>
      </c>
      <c r="M1381" s="1077">
        <v>152.5</v>
      </c>
      <c r="N1381" s="1077" t="s">
        <v>945</v>
      </c>
      <c r="O1381" s="1077">
        <v>3.8125</v>
      </c>
      <c r="P1381" s="1077">
        <v>3.0500000000000003</v>
      </c>
      <c r="Q1381" s="1077" t="s">
        <v>2950</v>
      </c>
      <c r="R1381" s="1077">
        <v>21.5</v>
      </c>
      <c r="T1381" s="1077">
        <v>17.5</v>
      </c>
      <c r="U1381" s="1077">
        <v>2.9</v>
      </c>
      <c r="V1381" s="1077" t="s">
        <v>648</v>
      </c>
      <c r="W1381" s="1077">
        <v>125</v>
      </c>
      <c r="X1381" s="1077">
        <v>90</v>
      </c>
      <c r="Y1381" s="1077">
        <v>1.9</v>
      </c>
      <c r="Z1381" s="1077" t="s">
        <v>3223</v>
      </c>
      <c r="AA1381" s="1077" t="s">
        <v>4892</v>
      </c>
      <c r="AB1381" s="1077" t="s">
        <v>2680</v>
      </c>
      <c r="AH1381" s="1077" t="s">
        <v>647</v>
      </c>
      <c r="AM1381" s="1078" t="s">
        <v>11773</v>
      </c>
      <c r="AN1381" s="1078" t="s">
        <v>11774</v>
      </c>
      <c r="AO1381" s="1078">
        <f t="shared" si="174"/>
        <v>600</v>
      </c>
      <c r="AP1381" s="1078">
        <f t="shared" si="175"/>
        <v>1.744</v>
      </c>
      <c r="AQ1381" s="1078" t="str">
        <f t="shared" si="176"/>
        <v>2-6-1S83°</v>
      </c>
      <c r="AR1381" s="1078" t="str">
        <f t="shared" si="177"/>
        <v>30</v>
      </c>
      <c r="AS1381" s="1078" t="str">
        <f t="shared" si="178"/>
        <v>182/175</v>
      </c>
      <c r="AT1381" s="1078" t="str">
        <f t="shared" si="179"/>
        <v>2-6-1S83°</v>
      </c>
      <c r="AV1381" s="1078" t="str">
        <f t="shared" si="172"/>
        <v>108.1.24</v>
      </c>
      <c r="AW1381" s="1344">
        <f t="shared" si="173"/>
        <v>43489</v>
      </c>
    </row>
    <row r="1382" spans="1:49">
      <c r="A1382" s="1077" t="s">
        <v>4893</v>
      </c>
      <c r="B1382" s="1077" t="s">
        <v>4894</v>
      </c>
      <c r="C1382" s="1077">
        <v>650</v>
      </c>
      <c r="D1382" s="1077">
        <v>1.778</v>
      </c>
      <c r="E1382" s="1077" t="s">
        <v>15108</v>
      </c>
      <c r="F1382" s="1077" t="s">
        <v>954</v>
      </c>
      <c r="G1382" s="1077" t="s">
        <v>940</v>
      </c>
      <c r="H1382" s="1077" t="s">
        <v>1806</v>
      </c>
      <c r="I1382" s="1077" t="s">
        <v>126</v>
      </c>
      <c r="J1382" s="1077">
        <v>2.2999999999999998</v>
      </c>
      <c r="K1382" s="1077" t="s">
        <v>4895</v>
      </c>
      <c r="L1382" s="1077" t="s">
        <v>2518</v>
      </c>
      <c r="M1382" s="1077">
        <v>154</v>
      </c>
      <c r="N1382" s="1077" t="s">
        <v>945</v>
      </c>
      <c r="O1382" s="1077">
        <v>3.85</v>
      </c>
      <c r="P1382" s="1077">
        <v>3.08</v>
      </c>
      <c r="Q1382" s="1077" t="s">
        <v>4896</v>
      </c>
      <c r="R1382" s="1077">
        <v>21.4</v>
      </c>
      <c r="T1382" s="1077">
        <v>21.8</v>
      </c>
      <c r="U1382" s="1077">
        <v>3.3</v>
      </c>
      <c r="V1382" s="1077" t="s">
        <v>2520</v>
      </c>
      <c r="W1382" s="1077">
        <v>135</v>
      </c>
      <c r="X1382" s="1077">
        <v>85</v>
      </c>
      <c r="Y1382" s="1077">
        <v>1.4</v>
      </c>
      <c r="Z1382" s="1077" t="s">
        <v>648</v>
      </c>
      <c r="AA1382" s="1077" t="s">
        <v>2521</v>
      </c>
      <c r="AH1382" s="1077" t="s">
        <v>722</v>
      </c>
      <c r="AM1382" s="1078" t="s">
        <v>11775</v>
      </c>
      <c r="AN1382" s="1078" t="s">
        <v>11776</v>
      </c>
      <c r="AO1382" s="1078">
        <f t="shared" si="174"/>
        <v>650</v>
      </c>
      <c r="AP1382" s="1078">
        <f t="shared" si="175"/>
        <v>1.778</v>
      </c>
      <c r="AQ1382" s="1078" t="str">
        <f t="shared" si="176"/>
        <v>1-4-1S83°Z+S</v>
      </c>
      <c r="AR1382" s="1078" t="str">
        <f t="shared" si="177"/>
        <v>31</v>
      </c>
      <c r="AS1382" s="1078" t="str">
        <f t="shared" si="178"/>
        <v>280/280/OFF</v>
      </c>
      <c r="AT1382" s="1078" t="str">
        <f t="shared" si="179"/>
        <v>1-4-1S83°Z+S</v>
      </c>
      <c r="AV1382" s="1078" t="str">
        <f t="shared" si="172"/>
        <v>108.1.11</v>
      </c>
      <c r="AW1382" s="1344">
        <f t="shared" si="173"/>
        <v>43476</v>
      </c>
    </row>
    <row r="1383" spans="1:49">
      <c r="A1383" s="1077" t="s">
        <v>4897</v>
      </c>
      <c r="B1383" s="1077" t="s">
        <v>4898</v>
      </c>
      <c r="C1383" s="1077">
        <v>750</v>
      </c>
      <c r="D1383" s="1077">
        <v>1.7290000000000001</v>
      </c>
      <c r="E1383" s="1077" t="s">
        <v>15104</v>
      </c>
      <c r="F1383" s="1077" t="s">
        <v>648</v>
      </c>
      <c r="G1383" s="1077">
        <v>5</v>
      </c>
      <c r="H1383" s="1077" t="s">
        <v>941</v>
      </c>
      <c r="I1383" s="1077" t="s">
        <v>126</v>
      </c>
      <c r="J1383" s="1077">
        <v>1.8</v>
      </c>
      <c r="K1383" s="1077" t="s">
        <v>4768</v>
      </c>
      <c r="L1383" s="1077" t="s">
        <v>2430</v>
      </c>
      <c r="M1383" s="1077">
        <v>148</v>
      </c>
      <c r="N1383" s="1077" t="s">
        <v>945</v>
      </c>
      <c r="O1383" s="1077">
        <v>3.7</v>
      </c>
      <c r="P1383" s="1077">
        <v>2.96</v>
      </c>
      <c r="Q1383" s="1077" t="s">
        <v>979</v>
      </c>
      <c r="R1383" s="1077">
        <v>20.8</v>
      </c>
      <c r="T1383" s="1077">
        <v>20.399999999999999</v>
      </c>
      <c r="U1383" s="1077">
        <v>3.8</v>
      </c>
      <c r="V1383" s="1077" t="s">
        <v>648</v>
      </c>
      <c r="W1383" s="1077">
        <v>110</v>
      </c>
      <c r="X1383" s="1077">
        <v>60</v>
      </c>
      <c r="Y1383" s="1077">
        <v>1.7</v>
      </c>
      <c r="Z1383" s="1077" t="s">
        <v>648</v>
      </c>
      <c r="AA1383" s="1077" t="s">
        <v>4899</v>
      </c>
      <c r="AH1383" s="1077" t="s">
        <v>4900</v>
      </c>
      <c r="AM1383" s="1078" t="s">
        <v>11777</v>
      </c>
      <c r="AN1383" s="1078" t="s">
        <v>11778</v>
      </c>
      <c r="AO1383" s="1078">
        <f t="shared" si="174"/>
        <v>750</v>
      </c>
      <c r="AP1383" s="1078">
        <f t="shared" si="175"/>
        <v>1.7290000000000001</v>
      </c>
      <c r="AQ1383" s="1078" t="str">
        <f t="shared" si="176"/>
        <v>1-4-1S85°Z+S</v>
      </c>
      <c r="AR1383" s="1078" t="str">
        <f t="shared" si="177"/>
        <v>NA</v>
      </c>
      <c r="AS1383" s="1078" t="str">
        <f t="shared" si="178"/>
        <v>185/OFF</v>
      </c>
      <c r="AT1383" s="1078" t="str">
        <f t="shared" si="179"/>
        <v>1-4-1S85°Z+S</v>
      </c>
      <c r="AU1383" s="1078" t="s">
        <v>15547</v>
      </c>
      <c r="AV1383" s="1078" t="str">
        <f t="shared" si="172"/>
        <v>108.1.22</v>
      </c>
      <c r="AW1383" s="1344">
        <f t="shared" si="173"/>
        <v>43487</v>
      </c>
    </row>
    <row r="1384" spans="1:49">
      <c r="A1384" s="1077" t="s">
        <v>4901</v>
      </c>
      <c r="B1384" s="1077" t="s">
        <v>617</v>
      </c>
      <c r="C1384" s="1077">
        <v>650</v>
      </c>
      <c r="D1384" s="1077">
        <v>1.7749999999999999</v>
      </c>
      <c r="E1384" s="1077" t="s">
        <v>15090</v>
      </c>
      <c r="F1384" s="1077" t="s">
        <v>648</v>
      </c>
      <c r="G1384" s="1077">
        <v>5</v>
      </c>
      <c r="H1384" s="1077" t="s">
        <v>1470</v>
      </c>
      <c r="I1384" s="1077" t="s">
        <v>126</v>
      </c>
      <c r="J1384" s="1077">
        <v>1.9</v>
      </c>
      <c r="K1384" s="1077" t="s">
        <v>4853</v>
      </c>
      <c r="L1384" s="1077" t="s">
        <v>4854</v>
      </c>
      <c r="M1384" s="1077">
        <v>150.30000000000001</v>
      </c>
      <c r="N1384" s="1077" t="s">
        <v>945</v>
      </c>
      <c r="O1384" s="1077">
        <v>3.7575000000000003</v>
      </c>
      <c r="P1384" s="1077">
        <v>3.0060000000000002</v>
      </c>
      <c r="Q1384" s="1077" t="s">
        <v>1005</v>
      </c>
      <c r="R1384" s="1077">
        <v>31</v>
      </c>
      <c r="T1384" s="1077">
        <v>15</v>
      </c>
      <c r="U1384" s="1077">
        <v>6.5</v>
      </c>
      <c r="V1384" s="1077" t="s">
        <v>648</v>
      </c>
      <c r="W1384" s="1077">
        <v>115</v>
      </c>
      <c r="X1384" s="1077">
        <v>50</v>
      </c>
      <c r="Y1384" s="1077">
        <v>1.7</v>
      </c>
      <c r="Z1384" s="1077">
        <v>6.5</v>
      </c>
      <c r="AA1384" s="1077" t="s">
        <v>2533</v>
      </c>
      <c r="AH1384" s="1077" t="s">
        <v>2384</v>
      </c>
      <c r="AM1384" s="1078" t="s">
        <v>11779</v>
      </c>
      <c r="AN1384" s="1078" t="s">
        <v>11780</v>
      </c>
      <c r="AO1384" s="1078">
        <f t="shared" si="174"/>
        <v>650</v>
      </c>
      <c r="AP1384" s="1078">
        <f t="shared" si="175"/>
        <v>1.7749999999999999</v>
      </c>
      <c r="AQ1384" s="1078" t="str">
        <f t="shared" si="176"/>
        <v>1-5-1S85°</v>
      </c>
      <c r="AR1384" s="1078" t="str">
        <f t="shared" si="177"/>
        <v>NA</v>
      </c>
      <c r="AS1384" s="1078" t="str">
        <f t="shared" si="178"/>
        <v>160/OFF</v>
      </c>
      <c r="AT1384" s="1078" t="str">
        <f t="shared" si="179"/>
        <v>1-5-1S85°</v>
      </c>
      <c r="AV1384" s="1078" t="str">
        <f t="shared" si="172"/>
        <v>108.1.18</v>
      </c>
      <c r="AW1384" s="1344">
        <f t="shared" si="173"/>
        <v>43483</v>
      </c>
    </row>
    <row r="1385" spans="1:49">
      <c r="A1385" s="1077" t="s">
        <v>4902</v>
      </c>
      <c r="B1385" s="1077" t="s">
        <v>844</v>
      </c>
      <c r="C1385" s="1077">
        <v>550</v>
      </c>
      <c r="D1385" s="1077">
        <v>1.7649999999999999</v>
      </c>
      <c r="E1385" s="1077" t="s">
        <v>15102</v>
      </c>
      <c r="F1385" s="1077" t="s">
        <v>984</v>
      </c>
      <c r="G1385" s="1077">
        <v>5</v>
      </c>
      <c r="H1385" s="1077" t="s">
        <v>4903</v>
      </c>
      <c r="I1385" s="1077" t="s">
        <v>4904</v>
      </c>
      <c r="J1385" s="1077" t="s">
        <v>4905</v>
      </c>
      <c r="K1385" s="1077" t="s">
        <v>4906</v>
      </c>
      <c r="L1385" s="1077" t="s">
        <v>4907</v>
      </c>
      <c r="M1385" s="1077">
        <v>150.9</v>
      </c>
      <c r="N1385" s="1077" t="s">
        <v>945</v>
      </c>
      <c r="O1385" s="1077">
        <v>3.7725000000000004</v>
      </c>
      <c r="P1385" s="1077">
        <v>3.0180000000000002</v>
      </c>
      <c r="Q1385" s="1077" t="s">
        <v>1020</v>
      </c>
      <c r="R1385" s="1077">
        <v>20</v>
      </c>
      <c r="T1385" s="1077">
        <v>12.4</v>
      </c>
      <c r="U1385" s="1077">
        <v>4.3</v>
      </c>
      <c r="V1385" s="1077" t="s">
        <v>648</v>
      </c>
      <c r="W1385" s="1077">
        <v>105</v>
      </c>
      <c r="X1385" s="1077">
        <v>20</v>
      </c>
      <c r="Y1385" s="1077">
        <v>2</v>
      </c>
      <c r="Z1385" s="1077">
        <v>1</v>
      </c>
      <c r="AA1385" s="1077" t="s">
        <v>4258</v>
      </c>
      <c r="AH1385" s="1077" t="s">
        <v>1486</v>
      </c>
      <c r="AM1385" s="1078" t="s">
        <v>11781</v>
      </c>
      <c r="AN1385" s="1078" t="s">
        <v>11782</v>
      </c>
      <c r="AO1385" s="1078">
        <f t="shared" si="174"/>
        <v>550</v>
      </c>
      <c r="AP1385" s="1078">
        <f t="shared" si="175"/>
        <v>1.7649999999999999</v>
      </c>
      <c r="AQ1385" s="1078" t="str">
        <f t="shared" si="176"/>
        <v>2-6-1S83°</v>
      </c>
      <c r="AR1385" s="1078" t="str">
        <f t="shared" si="177"/>
        <v>30</v>
      </c>
      <c r="AS1385" s="1078" t="str">
        <f t="shared" si="178"/>
        <v>170/163</v>
      </c>
      <c r="AT1385" s="1078" t="str">
        <f t="shared" si="179"/>
        <v>2-6-1S83°</v>
      </c>
      <c r="AV1385" s="1078" t="str">
        <f t="shared" si="172"/>
        <v>108.1.21</v>
      </c>
      <c r="AW1385" s="1344">
        <f t="shared" si="173"/>
        <v>43486</v>
      </c>
    </row>
    <row r="1386" spans="1:49">
      <c r="A1386" s="1077" t="s">
        <v>4908</v>
      </c>
      <c r="B1386" s="1077" t="s">
        <v>4909</v>
      </c>
      <c r="C1386" s="1077">
        <v>750</v>
      </c>
      <c r="D1386" s="1077">
        <v>1.76</v>
      </c>
      <c r="E1386" s="1077" t="s">
        <v>15094</v>
      </c>
      <c r="F1386" s="1077" t="s">
        <v>4013</v>
      </c>
      <c r="G1386" s="1077">
        <v>5</v>
      </c>
      <c r="H1386" s="1077" t="s">
        <v>4910</v>
      </c>
      <c r="I1386" s="1077" t="s">
        <v>126</v>
      </c>
      <c r="J1386" s="1077">
        <v>1.5</v>
      </c>
      <c r="K1386" s="1077" t="s">
        <v>4674</v>
      </c>
      <c r="L1386" s="1077" t="s">
        <v>4675</v>
      </c>
      <c r="M1386" s="1077">
        <v>152.19999999999999</v>
      </c>
      <c r="N1386" s="1077" t="s">
        <v>945</v>
      </c>
      <c r="O1386" s="1077">
        <v>3.8049999999999997</v>
      </c>
      <c r="P1386" s="1077">
        <v>3.044</v>
      </c>
      <c r="Q1386" s="1077" t="s">
        <v>961</v>
      </c>
      <c r="R1386" s="1077">
        <v>19</v>
      </c>
      <c r="T1386" s="1077">
        <v>16</v>
      </c>
      <c r="U1386" s="1077">
        <v>4</v>
      </c>
      <c r="V1386" s="1077" t="s">
        <v>648</v>
      </c>
      <c r="W1386" s="1077" t="s">
        <v>4667</v>
      </c>
      <c r="X1386" s="1077">
        <v>10</v>
      </c>
      <c r="Y1386" s="1077">
        <v>1.5</v>
      </c>
      <c r="Z1386" s="1077">
        <v>5</v>
      </c>
      <c r="AA1386" s="1077" t="s">
        <v>989</v>
      </c>
      <c r="AH1386" s="1077" t="s">
        <v>2520</v>
      </c>
      <c r="AM1386" s="1078" t="s">
        <v>11783</v>
      </c>
      <c r="AN1386" s="1078" t="s">
        <v>11784</v>
      </c>
      <c r="AO1386" s="1078">
        <f t="shared" si="174"/>
        <v>750</v>
      </c>
      <c r="AP1386" s="1078">
        <f t="shared" si="175"/>
        <v>1.76</v>
      </c>
      <c r="AQ1386" s="1078" t="str">
        <f t="shared" si="176"/>
        <v>1-5-1S91°</v>
      </c>
      <c r="AR1386" s="1078" t="str">
        <f t="shared" si="177"/>
        <v>30.3</v>
      </c>
      <c r="AS1386" s="1078" t="str">
        <f t="shared" si="178"/>
        <v>342/302/165</v>
      </c>
      <c r="AT1386" s="1078" t="str">
        <f t="shared" si="179"/>
        <v>1-5-1S91°</v>
      </c>
      <c r="AV1386" s="1078" t="str">
        <f t="shared" si="172"/>
        <v>108.1.4</v>
      </c>
      <c r="AW1386" s="1344">
        <f t="shared" si="173"/>
        <v>43469</v>
      </c>
    </row>
    <row r="1387" spans="1:49">
      <c r="A1387" s="1077" t="s">
        <v>4911</v>
      </c>
      <c r="B1387" s="1077" t="s">
        <v>4912</v>
      </c>
      <c r="C1387" s="1077">
        <v>600</v>
      </c>
      <c r="D1387" s="1077">
        <v>1.7310000000000001</v>
      </c>
      <c r="E1387" s="1077" t="s">
        <v>15102</v>
      </c>
      <c r="F1387" s="1077" t="s">
        <v>1119</v>
      </c>
      <c r="G1387" s="1077">
        <v>5</v>
      </c>
      <c r="H1387" s="1077" t="s">
        <v>4913</v>
      </c>
      <c r="I1387" s="1077" t="s">
        <v>1112</v>
      </c>
      <c r="J1387" s="1077">
        <v>1.6</v>
      </c>
      <c r="K1387" s="1077" t="s">
        <v>4914</v>
      </c>
      <c r="L1387" s="1077" t="s">
        <v>4915</v>
      </c>
      <c r="M1387" s="1077">
        <v>155</v>
      </c>
      <c r="N1387" s="1077" t="s">
        <v>945</v>
      </c>
      <c r="O1387" s="1077">
        <v>3.875</v>
      </c>
      <c r="P1387" s="1077">
        <v>3.1</v>
      </c>
      <c r="Q1387" s="1077" t="s">
        <v>1249</v>
      </c>
      <c r="R1387" s="1077">
        <v>21</v>
      </c>
      <c r="T1387" s="1077">
        <v>23</v>
      </c>
      <c r="U1387" s="1077">
        <v>3.2</v>
      </c>
      <c r="V1387" s="1077" t="s">
        <v>648</v>
      </c>
      <c r="W1387" s="1077">
        <v>100</v>
      </c>
      <c r="X1387" s="1077">
        <v>40</v>
      </c>
      <c r="Y1387" s="1077">
        <v>1.4</v>
      </c>
      <c r="Z1387" s="1077" t="s">
        <v>4916</v>
      </c>
      <c r="AA1387" s="1077" t="s">
        <v>1013</v>
      </c>
      <c r="AH1387" s="1077" t="s">
        <v>646</v>
      </c>
      <c r="AM1387" s="1078" t="s">
        <v>11785</v>
      </c>
      <c r="AN1387" s="1078" t="s">
        <v>11786</v>
      </c>
      <c r="AO1387" s="1078">
        <f t="shared" si="174"/>
        <v>600</v>
      </c>
      <c r="AP1387" s="1078">
        <f t="shared" si="175"/>
        <v>1.7310000000000001</v>
      </c>
      <c r="AQ1387" s="1078" t="str">
        <f t="shared" si="176"/>
        <v>2-6-1S83°</v>
      </c>
      <c r="AR1387" s="1078" t="str">
        <f t="shared" si="177"/>
        <v>29</v>
      </c>
      <c r="AS1387" s="1078" t="str">
        <f t="shared" si="178"/>
        <v>181/158</v>
      </c>
      <c r="AT1387" s="1078" t="str">
        <f t="shared" si="179"/>
        <v>2-6-1S83°</v>
      </c>
      <c r="AV1387" s="1078" t="str">
        <f t="shared" si="172"/>
        <v>108.1.30</v>
      </c>
      <c r="AW1387" s="1344">
        <f t="shared" si="173"/>
        <v>43495</v>
      </c>
    </row>
    <row r="1388" spans="1:49">
      <c r="A1388" s="1077" t="s">
        <v>4917</v>
      </c>
      <c r="B1388" s="1077" t="s">
        <v>844</v>
      </c>
      <c r="C1388" s="1077">
        <v>550</v>
      </c>
      <c r="D1388" s="1077">
        <v>1.756</v>
      </c>
      <c r="E1388" s="1077" t="s">
        <v>15102</v>
      </c>
      <c r="F1388" s="1077" t="s">
        <v>984</v>
      </c>
      <c r="G1388" s="1077">
        <v>5</v>
      </c>
      <c r="H1388" s="1077" t="s">
        <v>4918</v>
      </c>
      <c r="I1388" s="1077" t="s">
        <v>648</v>
      </c>
      <c r="J1388" s="1077">
        <v>0</v>
      </c>
      <c r="K1388" s="1077" t="s">
        <v>4919</v>
      </c>
      <c r="L1388" s="1077" t="s">
        <v>4907</v>
      </c>
      <c r="M1388" s="1077">
        <v>148.9</v>
      </c>
      <c r="N1388" s="1077" t="s">
        <v>945</v>
      </c>
      <c r="O1388" s="1077">
        <v>3.7225000000000001</v>
      </c>
      <c r="P1388" s="1077">
        <v>2.9780000000000002</v>
      </c>
      <c r="Q1388" s="1077" t="s">
        <v>2612</v>
      </c>
      <c r="R1388" s="1077">
        <v>23.5</v>
      </c>
      <c r="T1388" s="1077">
        <v>16.399999999999999</v>
      </c>
      <c r="U1388" s="1077">
        <v>4.5999999999999996</v>
      </c>
      <c r="V1388" s="1077" t="s">
        <v>648</v>
      </c>
      <c r="W1388" s="1077" t="s">
        <v>648</v>
      </c>
      <c r="X1388" s="1077" t="s">
        <v>648</v>
      </c>
      <c r="Y1388" s="1077">
        <v>1.6</v>
      </c>
      <c r="Z1388" s="1077">
        <v>5.6</v>
      </c>
      <c r="AA1388" s="1077" t="s">
        <v>4671</v>
      </c>
      <c r="AH1388" s="1077" t="s">
        <v>1417</v>
      </c>
      <c r="AM1388" s="1078" t="s">
        <v>11787</v>
      </c>
      <c r="AN1388" s="1078" t="s">
        <v>11788</v>
      </c>
      <c r="AO1388" s="1078">
        <f t="shared" si="174"/>
        <v>550</v>
      </c>
      <c r="AP1388" s="1078">
        <f t="shared" si="175"/>
        <v>1.756</v>
      </c>
      <c r="AQ1388" s="1078" t="str">
        <f t="shared" si="176"/>
        <v>2-6-1S83°</v>
      </c>
      <c r="AR1388" s="1078" t="str">
        <f t="shared" si="177"/>
        <v>30</v>
      </c>
      <c r="AS1388" s="1078" t="str">
        <f t="shared" si="178"/>
        <v>166/140</v>
      </c>
      <c r="AT1388" s="1078" t="str">
        <f t="shared" si="179"/>
        <v>2-6-1S83°</v>
      </c>
      <c r="AV1388" s="1078" t="str">
        <f t="shared" si="172"/>
        <v>108.2.1</v>
      </c>
      <c r="AW1388" s="1344">
        <f t="shared" si="173"/>
        <v>43497</v>
      </c>
    </row>
    <row r="1389" spans="1:49">
      <c r="A1389" s="1077" t="s">
        <v>4920</v>
      </c>
      <c r="B1389" s="1077" t="s">
        <v>4921</v>
      </c>
      <c r="C1389" s="1077">
        <v>700</v>
      </c>
      <c r="D1389" s="1077">
        <v>1.8</v>
      </c>
      <c r="E1389" s="1077" t="s">
        <v>15099</v>
      </c>
      <c r="F1389" s="1077" t="s">
        <v>975</v>
      </c>
      <c r="G1389" s="1077">
        <v>5</v>
      </c>
      <c r="H1389" s="1077" t="s">
        <v>4922</v>
      </c>
      <c r="I1389" s="1077" t="s">
        <v>648</v>
      </c>
      <c r="J1389" s="1077">
        <v>0</v>
      </c>
      <c r="K1389" s="1077" t="s">
        <v>4923</v>
      </c>
      <c r="L1389" s="1077" t="s">
        <v>4924</v>
      </c>
      <c r="M1389" s="1077">
        <v>145.30000000000001</v>
      </c>
      <c r="N1389" s="1077" t="s">
        <v>945</v>
      </c>
      <c r="O1389" s="1077">
        <v>3.6325000000000003</v>
      </c>
      <c r="P1389" s="1077">
        <v>2.9060000000000001</v>
      </c>
      <c r="Q1389" s="1077" t="s">
        <v>1259</v>
      </c>
      <c r="R1389" s="1077">
        <v>18.5</v>
      </c>
      <c r="T1389" s="1077">
        <v>27</v>
      </c>
      <c r="U1389" s="1077">
        <v>2.2000000000000002</v>
      </c>
      <c r="V1389" s="1077" t="s">
        <v>648</v>
      </c>
      <c r="W1389" s="1077" t="s">
        <v>648</v>
      </c>
      <c r="X1389" s="1077" t="s">
        <v>648</v>
      </c>
      <c r="Y1389" s="1077">
        <v>1.8</v>
      </c>
      <c r="Z1389" s="1077" t="s">
        <v>4925</v>
      </c>
      <c r="AA1389" s="1077" t="s">
        <v>4263</v>
      </c>
      <c r="AH1389" s="1077" t="s">
        <v>875</v>
      </c>
      <c r="AM1389" s="1078" t="s">
        <v>11789</v>
      </c>
      <c r="AN1389" s="1078" t="s">
        <v>11790</v>
      </c>
      <c r="AO1389" s="1078">
        <f t="shared" si="174"/>
        <v>700</v>
      </c>
      <c r="AP1389" s="1078">
        <f t="shared" si="175"/>
        <v>1.8</v>
      </c>
      <c r="AQ1389" s="1078" t="str">
        <f t="shared" si="176"/>
        <v>1-5-1S87°</v>
      </c>
      <c r="AR1389" s="1078" t="str">
        <f t="shared" si="177"/>
        <v>31.5</v>
      </c>
      <c r="AS1389" s="1078" t="str">
        <f t="shared" si="178"/>
        <v>350/350/150</v>
      </c>
      <c r="AT1389" s="1078" t="str">
        <f t="shared" si="179"/>
        <v>1-5-1S87°</v>
      </c>
      <c r="AV1389" s="1078" t="str">
        <f t="shared" si="172"/>
        <v>108.2.11</v>
      </c>
      <c r="AW1389" s="1344">
        <f t="shared" si="173"/>
        <v>43507</v>
      </c>
    </row>
    <row r="1390" spans="1:49">
      <c r="A1390" s="1077" t="s">
        <v>4926</v>
      </c>
      <c r="B1390" s="1077" t="s">
        <v>4927</v>
      </c>
      <c r="C1390" s="1077">
        <v>550</v>
      </c>
      <c r="D1390" s="1077">
        <v>1.74</v>
      </c>
      <c r="E1390" s="1077" t="s">
        <v>15116</v>
      </c>
      <c r="F1390" s="1077" t="s">
        <v>1514</v>
      </c>
      <c r="G1390" s="1077">
        <v>4</v>
      </c>
      <c r="H1390" s="1077" t="s">
        <v>1017</v>
      </c>
      <c r="I1390" s="1077" t="s">
        <v>460</v>
      </c>
      <c r="J1390" s="1077">
        <v>1.2</v>
      </c>
      <c r="K1390" s="1077" t="s">
        <v>4928</v>
      </c>
      <c r="L1390" s="1077" t="s">
        <v>2524</v>
      </c>
      <c r="M1390" s="1077">
        <v>157.6</v>
      </c>
      <c r="N1390" s="1077" t="s">
        <v>945</v>
      </c>
      <c r="O1390" s="1077">
        <v>3.94</v>
      </c>
      <c r="P1390" s="1077">
        <v>3.1520000000000001</v>
      </c>
      <c r="Q1390" s="1077" t="s">
        <v>1012</v>
      </c>
      <c r="R1390" s="1077">
        <v>28.3</v>
      </c>
      <c r="T1390" s="1077">
        <v>11.7</v>
      </c>
      <c r="U1390" s="1077">
        <v>6.3</v>
      </c>
      <c r="V1390" s="1077" t="s">
        <v>648</v>
      </c>
      <c r="W1390" s="1077">
        <v>135</v>
      </c>
      <c r="X1390" s="1077">
        <v>85</v>
      </c>
      <c r="Y1390" s="1077">
        <v>1.4</v>
      </c>
      <c r="Z1390" s="1077" t="s">
        <v>648</v>
      </c>
      <c r="AA1390" s="1077" t="s">
        <v>4263</v>
      </c>
      <c r="AH1390" s="1077" t="s">
        <v>1796</v>
      </c>
      <c r="AM1390" s="1078" t="s">
        <v>11791</v>
      </c>
      <c r="AN1390" s="1078" t="s">
        <v>11792</v>
      </c>
      <c r="AO1390" s="1078">
        <f t="shared" si="174"/>
        <v>550</v>
      </c>
      <c r="AP1390" s="1078">
        <f t="shared" si="175"/>
        <v>1.74</v>
      </c>
      <c r="AQ1390" s="1078" t="str">
        <f t="shared" si="176"/>
        <v>1-5-1S83°Z+S</v>
      </c>
      <c r="AR1390" s="1078" t="str">
        <f t="shared" si="177"/>
        <v>32</v>
      </c>
      <c r="AS1390" s="1078" t="str">
        <f t="shared" si="178"/>
        <v>200/200/OFF</v>
      </c>
      <c r="AT1390" s="1078" t="str">
        <f t="shared" si="179"/>
        <v>1-5-1S83°Z+S</v>
      </c>
      <c r="AU1390" s="1078" t="s">
        <v>15547</v>
      </c>
      <c r="AV1390" s="1078" t="str">
        <f t="shared" si="172"/>
        <v>108.2.11</v>
      </c>
      <c r="AW1390" s="1344">
        <f t="shared" si="173"/>
        <v>43507</v>
      </c>
    </row>
    <row r="1391" spans="1:49">
      <c r="A1391" s="1077" t="s">
        <v>4929</v>
      </c>
      <c r="B1391" s="1077" t="s">
        <v>844</v>
      </c>
      <c r="C1391" s="1077">
        <v>550</v>
      </c>
      <c r="D1391" s="1077">
        <v>1.7649999999999999</v>
      </c>
      <c r="E1391" s="1077" t="s">
        <v>15102</v>
      </c>
      <c r="F1391" s="1077" t="s">
        <v>954</v>
      </c>
      <c r="G1391" s="1077">
        <v>5</v>
      </c>
      <c r="H1391" s="1077" t="s">
        <v>4930</v>
      </c>
      <c r="I1391" s="1077" t="s">
        <v>460</v>
      </c>
      <c r="J1391" s="1077">
        <v>3.4</v>
      </c>
      <c r="K1391" s="1077" t="s">
        <v>4919</v>
      </c>
      <c r="L1391" s="1077" t="s">
        <v>4907</v>
      </c>
      <c r="M1391" s="1077">
        <v>152.5</v>
      </c>
      <c r="N1391" s="1077" t="s">
        <v>945</v>
      </c>
      <c r="O1391" s="1077">
        <v>3.8125</v>
      </c>
      <c r="P1391" s="1077">
        <v>3.0500000000000003</v>
      </c>
      <c r="Q1391" s="1077" t="s">
        <v>1020</v>
      </c>
      <c r="R1391" s="1077">
        <v>21</v>
      </c>
      <c r="T1391" s="1077">
        <v>9.1999999999999993</v>
      </c>
      <c r="U1391" s="1077">
        <v>5.4</v>
      </c>
      <c r="V1391" s="1077" t="s">
        <v>648</v>
      </c>
      <c r="W1391" s="1077">
        <v>110</v>
      </c>
      <c r="X1391" s="1077">
        <v>90</v>
      </c>
      <c r="Y1391" s="1077">
        <v>2</v>
      </c>
      <c r="Z1391" s="1077" t="s">
        <v>2488</v>
      </c>
      <c r="AA1391" s="1077" t="s">
        <v>2548</v>
      </c>
      <c r="AH1391" s="1077" t="s">
        <v>3067</v>
      </c>
      <c r="AM1391" s="1078" t="s">
        <v>11793</v>
      </c>
      <c r="AN1391" s="1078" t="s">
        <v>11794</v>
      </c>
      <c r="AO1391" s="1078">
        <f t="shared" si="174"/>
        <v>550</v>
      </c>
      <c r="AP1391" s="1078">
        <f t="shared" si="175"/>
        <v>1.7649999999999999</v>
      </c>
      <c r="AQ1391" s="1078" t="str">
        <f t="shared" si="176"/>
        <v>2-6-1S83°</v>
      </c>
      <c r="AR1391" s="1078" t="str">
        <f t="shared" si="177"/>
        <v>31</v>
      </c>
      <c r="AS1391" s="1078" t="str">
        <f t="shared" si="178"/>
        <v>160/155</v>
      </c>
      <c r="AT1391" s="1078" t="str">
        <f t="shared" si="179"/>
        <v>2-6-1S83°</v>
      </c>
      <c r="AV1391" s="1078" t="str">
        <f t="shared" si="172"/>
        <v>108.2.13</v>
      </c>
      <c r="AW1391" s="1344">
        <f t="shared" si="173"/>
        <v>43509</v>
      </c>
    </row>
    <row r="1392" spans="1:49">
      <c r="A1392" s="1077" t="s">
        <v>4931</v>
      </c>
      <c r="B1392" s="1077" t="s">
        <v>4932</v>
      </c>
      <c r="C1392" s="1077">
        <v>500</v>
      </c>
      <c r="D1392" s="1077">
        <v>1.7350000000000001</v>
      </c>
      <c r="E1392" s="1077" t="s">
        <v>15104</v>
      </c>
      <c r="F1392" s="1077" t="s">
        <v>648</v>
      </c>
      <c r="G1392" s="1077">
        <v>4</v>
      </c>
      <c r="H1392" s="1077" t="s">
        <v>1624</v>
      </c>
      <c r="I1392" s="1077" t="s">
        <v>4071</v>
      </c>
      <c r="J1392" s="1077">
        <v>0.65</v>
      </c>
      <c r="K1392" s="1077" t="s">
        <v>4933</v>
      </c>
      <c r="L1392" s="1077" t="s">
        <v>4934</v>
      </c>
      <c r="M1392" s="1077">
        <v>150.5</v>
      </c>
      <c r="N1392" s="1077" t="s">
        <v>945</v>
      </c>
      <c r="O1392" s="1077">
        <v>3.7625000000000002</v>
      </c>
      <c r="P1392" s="1077">
        <v>3.0100000000000002</v>
      </c>
      <c r="Q1392" s="1077" t="s">
        <v>2422</v>
      </c>
      <c r="R1392" s="1077">
        <v>20.7</v>
      </c>
      <c r="T1392" s="1077">
        <v>11.5</v>
      </c>
      <c r="U1392" s="1077">
        <v>5.8</v>
      </c>
      <c r="V1392" s="1077" t="s">
        <v>648</v>
      </c>
      <c r="W1392" s="1077" t="s">
        <v>2709</v>
      </c>
      <c r="X1392" s="1077">
        <v>10</v>
      </c>
      <c r="Y1392" s="1077">
        <v>2</v>
      </c>
      <c r="Z1392" s="1077" t="s">
        <v>648</v>
      </c>
      <c r="AA1392" s="1077" t="s">
        <v>2533</v>
      </c>
      <c r="AH1392" s="1077" t="s">
        <v>1170</v>
      </c>
      <c r="AM1392" s="1078" t="s">
        <v>11795</v>
      </c>
      <c r="AN1392" s="1078" t="s">
        <v>11796</v>
      </c>
      <c r="AO1392" s="1078">
        <f t="shared" si="174"/>
        <v>500</v>
      </c>
      <c r="AP1392" s="1078">
        <f t="shared" si="175"/>
        <v>1.7350000000000001</v>
      </c>
      <c r="AQ1392" s="1078" t="str">
        <f t="shared" si="176"/>
        <v>1-4-1S85°Z+S</v>
      </c>
      <c r="AR1392" s="1078" t="str">
        <f t="shared" si="177"/>
        <v>NA</v>
      </c>
      <c r="AS1392" s="1078" t="str">
        <f t="shared" si="178"/>
        <v>155/OFF</v>
      </c>
      <c r="AT1392" s="1078" t="str">
        <f t="shared" si="179"/>
        <v>1-4-1S85°Z+S</v>
      </c>
      <c r="AU1392" s="1078" t="s">
        <v>15547</v>
      </c>
      <c r="AV1392" s="1078" t="str">
        <f t="shared" si="172"/>
        <v>108.1.18</v>
      </c>
      <c r="AW1392" s="1344">
        <f t="shared" si="173"/>
        <v>43483</v>
      </c>
    </row>
    <row r="1393" spans="1:49">
      <c r="A1393" s="1077" t="s">
        <v>4935</v>
      </c>
      <c r="B1393" s="1077" t="s">
        <v>4936</v>
      </c>
      <c r="C1393" s="1077">
        <v>600</v>
      </c>
      <c r="D1393" s="1077">
        <v>1.68</v>
      </c>
      <c r="E1393" s="1077" t="s">
        <v>15112</v>
      </c>
      <c r="F1393" s="1077" t="s">
        <v>954</v>
      </c>
      <c r="G1393" s="1077">
        <v>5</v>
      </c>
      <c r="H1393" s="1077" t="s">
        <v>2540</v>
      </c>
      <c r="I1393" s="1077" t="s">
        <v>460</v>
      </c>
      <c r="J1393" s="1077">
        <v>0.7</v>
      </c>
      <c r="K1393" s="1077" t="s">
        <v>4937</v>
      </c>
      <c r="L1393" s="1077" t="s">
        <v>2132</v>
      </c>
      <c r="M1393" s="1077">
        <v>154.5</v>
      </c>
      <c r="N1393" s="1077" t="s">
        <v>945</v>
      </c>
      <c r="O1393" s="1077">
        <v>3.8625000000000003</v>
      </c>
      <c r="P1393" s="1077">
        <v>3.09</v>
      </c>
      <c r="Q1393" s="1077" t="s">
        <v>2422</v>
      </c>
      <c r="R1393" s="1077">
        <v>21.3</v>
      </c>
      <c r="T1393" s="1077">
        <v>29.8</v>
      </c>
      <c r="U1393" s="1077">
        <v>3.2</v>
      </c>
      <c r="V1393" s="1077" t="s">
        <v>648</v>
      </c>
      <c r="W1393" s="1077">
        <v>50</v>
      </c>
      <c r="X1393" s="1077">
        <v>10</v>
      </c>
      <c r="Y1393" s="1077">
        <v>2</v>
      </c>
      <c r="Z1393" s="1077" t="s">
        <v>648</v>
      </c>
      <c r="AA1393" s="1077" t="s">
        <v>4938</v>
      </c>
      <c r="AH1393" s="1077" t="s">
        <v>1238</v>
      </c>
      <c r="AM1393" s="1078" t="s">
        <v>11797</v>
      </c>
      <c r="AN1393" s="1078" t="s">
        <v>11798</v>
      </c>
      <c r="AO1393" s="1078">
        <f t="shared" si="174"/>
        <v>600</v>
      </c>
      <c r="AP1393" s="1078">
        <f t="shared" si="175"/>
        <v>1.68</v>
      </c>
      <c r="AQ1393" s="1078" t="str">
        <f t="shared" si="176"/>
        <v>1-5-1S87°Z+S</v>
      </c>
      <c r="AR1393" s="1078" t="str">
        <f t="shared" si="177"/>
        <v>31</v>
      </c>
      <c r="AS1393" s="1078" t="str">
        <f t="shared" si="178"/>
        <v>300/300/OFF</v>
      </c>
      <c r="AT1393" s="1078" t="str">
        <f t="shared" si="179"/>
        <v>1-5-1S87°Z+S</v>
      </c>
      <c r="AU1393" s="1078" t="s">
        <v>15547</v>
      </c>
      <c r="AV1393" s="1078" t="str">
        <f t="shared" si="172"/>
        <v>108.2.20</v>
      </c>
      <c r="AW1393" s="1344">
        <f t="shared" si="173"/>
        <v>43516</v>
      </c>
    </row>
    <row r="1394" spans="1:49">
      <c r="A1394" s="1077" t="s">
        <v>4939</v>
      </c>
      <c r="B1394" s="1077" t="s">
        <v>847</v>
      </c>
      <c r="C1394" s="1077">
        <v>550</v>
      </c>
      <c r="D1394" s="1077">
        <v>1.78</v>
      </c>
      <c r="E1394" s="1077" t="s">
        <v>15111</v>
      </c>
      <c r="F1394" s="1077" t="s">
        <v>975</v>
      </c>
      <c r="G1394" s="1077">
        <v>4</v>
      </c>
      <c r="H1394" s="1077" t="s">
        <v>4940</v>
      </c>
      <c r="I1394" s="1077" t="s">
        <v>126</v>
      </c>
      <c r="J1394" s="1077">
        <v>0.8</v>
      </c>
      <c r="K1394" s="1077" t="s">
        <v>4941</v>
      </c>
      <c r="L1394" s="1077" t="s">
        <v>4942</v>
      </c>
      <c r="M1394" s="1077">
        <v>150</v>
      </c>
      <c r="N1394" s="1077" t="s">
        <v>945</v>
      </c>
      <c r="O1394" s="1077">
        <v>3.75</v>
      </c>
      <c r="P1394" s="1077">
        <v>3</v>
      </c>
      <c r="Q1394" s="1077" t="s">
        <v>2553</v>
      </c>
      <c r="R1394" s="1077">
        <v>21.8</v>
      </c>
      <c r="T1394" s="1077">
        <v>19.5</v>
      </c>
      <c r="U1394" s="1077">
        <v>2.5</v>
      </c>
      <c r="V1394" s="1077" t="s">
        <v>648</v>
      </c>
      <c r="W1394" s="1077">
        <v>85</v>
      </c>
      <c r="X1394" s="1077">
        <v>10</v>
      </c>
      <c r="Y1394" s="1077">
        <v>2.1</v>
      </c>
      <c r="Z1394" s="1077">
        <v>5.5</v>
      </c>
      <c r="AA1394" s="1077" t="s">
        <v>2492</v>
      </c>
      <c r="AH1394" s="1077" t="s">
        <v>878</v>
      </c>
      <c r="AM1394" s="1078" t="s">
        <v>11799</v>
      </c>
      <c r="AN1394" s="1078" t="s">
        <v>11800</v>
      </c>
      <c r="AO1394" s="1078">
        <f t="shared" si="174"/>
        <v>550</v>
      </c>
      <c r="AP1394" s="1078">
        <f t="shared" si="175"/>
        <v>1.78</v>
      </c>
      <c r="AQ1394" s="1078" t="str">
        <f t="shared" si="176"/>
        <v>1-5-1S91</v>
      </c>
      <c r="AR1394" s="1078" t="str">
        <f t="shared" si="177"/>
        <v>31.5</v>
      </c>
      <c r="AS1394" s="1078" t="str">
        <f t="shared" si="178"/>
        <v>320/320/155</v>
      </c>
      <c r="AT1394" s="1078" t="str">
        <f t="shared" si="179"/>
        <v>1-5-1S91</v>
      </c>
      <c r="AV1394" s="1078" t="str">
        <f t="shared" si="172"/>
        <v>108.3.8</v>
      </c>
      <c r="AW1394" s="1344">
        <f t="shared" si="173"/>
        <v>43532</v>
      </c>
    </row>
    <row r="1395" spans="1:49">
      <c r="A1395" s="1077" t="s">
        <v>4943</v>
      </c>
      <c r="B1395" s="1077" t="s">
        <v>4944</v>
      </c>
      <c r="C1395" s="1077">
        <v>650</v>
      </c>
      <c r="D1395" s="1077">
        <v>1.74</v>
      </c>
      <c r="E1395" s="1077" t="s">
        <v>15094</v>
      </c>
      <c r="F1395" s="1077" t="s">
        <v>984</v>
      </c>
      <c r="G1395" s="1077">
        <v>5.5</v>
      </c>
      <c r="H1395" s="1077" t="s">
        <v>2668</v>
      </c>
      <c r="I1395" s="1077" t="s">
        <v>126</v>
      </c>
      <c r="J1395" s="1077">
        <v>1.4</v>
      </c>
      <c r="K1395" s="1077" t="s">
        <v>4945</v>
      </c>
      <c r="L1395" s="1077" t="s">
        <v>4946</v>
      </c>
      <c r="M1395" s="1077">
        <v>150.6</v>
      </c>
      <c r="N1395" s="1077" t="s">
        <v>945</v>
      </c>
      <c r="O1395" s="1077">
        <v>3.7650000000000001</v>
      </c>
      <c r="P1395" s="1077">
        <v>3.012</v>
      </c>
      <c r="Q1395" s="1077" t="s">
        <v>1369</v>
      </c>
      <c r="R1395" s="1077">
        <v>26</v>
      </c>
      <c r="T1395" s="1077">
        <v>14.8</v>
      </c>
      <c r="U1395" s="1077">
        <v>6.7</v>
      </c>
      <c r="V1395" s="1077" t="s">
        <v>648</v>
      </c>
      <c r="W1395" s="1077" t="s">
        <v>4947</v>
      </c>
      <c r="X1395" s="1077">
        <v>10</v>
      </c>
      <c r="Y1395" s="1077">
        <v>1.3</v>
      </c>
      <c r="Z1395" s="1077" t="s">
        <v>4948</v>
      </c>
      <c r="AA1395" s="1077" t="s">
        <v>1022</v>
      </c>
      <c r="AH1395" s="1077" t="s">
        <v>619</v>
      </c>
      <c r="AM1395" s="1078" t="s">
        <v>11801</v>
      </c>
      <c r="AN1395" s="1078" t="s">
        <v>11802</v>
      </c>
      <c r="AO1395" s="1078">
        <f t="shared" si="174"/>
        <v>650</v>
      </c>
      <c r="AP1395" s="1078">
        <f t="shared" si="175"/>
        <v>1.74</v>
      </c>
      <c r="AQ1395" s="1078" t="str">
        <f t="shared" si="176"/>
        <v>1-5-1S91°</v>
      </c>
      <c r="AR1395" s="1078" t="str">
        <f t="shared" si="177"/>
        <v>30</v>
      </c>
      <c r="AS1395" s="1078" t="str">
        <f t="shared" si="178"/>
        <v>268/268/OFF</v>
      </c>
      <c r="AT1395" s="1078" t="str">
        <f t="shared" si="179"/>
        <v>1-5-1S91°</v>
      </c>
      <c r="AV1395" s="1078" t="str">
        <f t="shared" si="172"/>
        <v>108.3.11</v>
      </c>
      <c r="AW1395" s="1344">
        <f t="shared" si="173"/>
        <v>43535</v>
      </c>
    </row>
    <row r="1396" spans="1:49">
      <c r="A1396" s="1077" t="s">
        <v>4949</v>
      </c>
      <c r="B1396" s="1077" t="s">
        <v>4950</v>
      </c>
      <c r="C1396" s="1077">
        <v>500</v>
      </c>
      <c r="D1396" s="1077">
        <v>1.7849999999999999</v>
      </c>
      <c r="E1396" s="1077" t="s">
        <v>15111</v>
      </c>
      <c r="F1396" s="1077" t="s">
        <v>984</v>
      </c>
      <c r="G1396" s="1077">
        <v>5</v>
      </c>
      <c r="H1396" s="1077" t="s">
        <v>2130</v>
      </c>
      <c r="I1396" s="1077" t="s">
        <v>460</v>
      </c>
      <c r="J1396" s="1077">
        <v>3.6</v>
      </c>
      <c r="K1396" s="1077" t="s">
        <v>4951</v>
      </c>
      <c r="L1396" s="1077" t="s">
        <v>4952</v>
      </c>
      <c r="M1396" s="1077">
        <v>155.30000000000001</v>
      </c>
      <c r="N1396" s="1077" t="s">
        <v>945</v>
      </c>
      <c r="O1396" s="1077">
        <v>3.8825000000000003</v>
      </c>
      <c r="P1396" s="1077">
        <v>3.1060000000000003</v>
      </c>
      <c r="Q1396" s="1077" t="s">
        <v>1005</v>
      </c>
      <c r="R1396" s="1077">
        <v>25.4</v>
      </c>
      <c r="T1396" s="1077">
        <v>8.4</v>
      </c>
      <c r="U1396" s="1077">
        <v>4.5</v>
      </c>
      <c r="V1396" s="1077" t="s">
        <v>2520</v>
      </c>
      <c r="W1396" s="1077">
        <v>110</v>
      </c>
      <c r="X1396" s="1077">
        <v>90</v>
      </c>
      <c r="Y1396" s="1077">
        <v>1.6</v>
      </c>
      <c r="Z1396" s="1077">
        <v>4</v>
      </c>
      <c r="AA1396" s="1077" t="s">
        <v>4128</v>
      </c>
      <c r="AH1396" s="1077" t="s">
        <v>1238</v>
      </c>
      <c r="AM1396" s="1078" t="s">
        <v>11803</v>
      </c>
      <c r="AN1396" s="1078" t="s">
        <v>11804</v>
      </c>
      <c r="AO1396" s="1078">
        <f t="shared" si="174"/>
        <v>500</v>
      </c>
      <c r="AP1396" s="1078">
        <f t="shared" si="175"/>
        <v>1.7849999999999999</v>
      </c>
      <c r="AQ1396" s="1078" t="str">
        <f t="shared" si="176"/>
        <v>1-5-1S91</v>
      </c>
      <c r="AR1396" s="1078" t="str">
        <f t="shared" si="177"/>
        <v>30</v>
      </c>
      <c r="AS1396" s="1078" t="str">
        <f t="shared" si="178"/>
        <v>270/270/150</v>
      </c>
      <c r="AT1396" s="1078" t="str">
        <f t="shared" si="179"/>
        <v>1-5-1S91</v>
      </c>
      <c r="AV1396" s="1078" t="str">
        <f t="shared" si="172"/>
        <v>108.3.20</v>
      </c>
      <c r="AW1396" s="1344">
        <f t="shared" si="173"/>
        <v>43544</v>
      </c>
    </row>
    <row r="1397" spans="1:49">
      <c r="A1397" s="1077" t="s">
        <v>4953</v>
      </c>
      <c r="B1397" s="1077" t="s">
        <v>617</v>
      </c>
      <c r="C1397" s="1077">
        <v>600</v>
      </c>
      <c r="D1397" s="1077">
        <v>1.77</v>
      </c>
      <c r="E1397" s="1077" t="s">
        <v>15094</v>
      </c>
      <c r="F1397" s="1077" t="s">
        <v>984</v>
      </c>
      <c r="G1397" s="1077">
        <v>5</v>
      </c>
      <c r="H1397" s="1077" t="s">
        <v>955</v>
      </c>
      <c r="I1397" s="1077" t="s">
        <v>126</v>
      </c>
      <c r="J1397" s="1077">
        <v>2.1</v>
      </c>
      <c r="K1397" s="1077" t="s">
        <v>4853</v>
      </c>
      <c r="L1397" s="1077" t="s">
        <v>4854</v>
      </c>
      <c r="M1397" s="1077">
        <v>150.30000000000001</v>
      </c>
      <c r="N1397" s="1077" t="s">
        <v>945</v>
      </c>
      <c r="O1397" s="1077">
        <v>3.7575000000000003</v>
      </c>
      <c r="P1397" s="1077">
        <v>3.0060000000000002</v>
      </c>
      <c r="Q1397" s="1077" t="s">
        <v>1363</v>
      </c>
      <c r="R1397" s="1077">
        <v>29</v>
      </c>
      <c r="T1397" s="1077">
        <v>13</v>
      </c>
      <c r="U1397" s="1077">
        <v>7</v>
      </c>
      <c r="V1397" s="1077" t="s">
        <v>648</v>
      </c>
      <c r="W1397" s="1077">
        <v>115</v>
      </c>
      <c r="X1397" s="1077">
        <v>50</v>
      </c>
      <c r="Y1397" s="1077">
        <v>1.7</v>
      </c>
      <c r="Z1397" s="1077">
        <v>6.5</v>
      </c>
      <c r="AA1397" s="1077" t="s">
        <v>4128</v>
      </c>
      <c r="AH1397" s="1077" t="s">
        <v>618</v>
      </c>
      <c r="AM1397" s="1078" t="s">
        <v>11805</v>
      </c>
      <c r="AN1397" s="1078" t="s">
        <v>11806</v>
      </c>
      <c r="AO1397" s="1078">
        <f t="shared" si="174"/>
        <v>600</v>
      </c>
      <c r="AP1397" s="1078">
        <f t="shared" si="175"/>
        <v>1.77</v>
      </c>
      <c r="AQ1397" s="1078" t="str">
        <f t="shared" si="176"/>
        <v>1-5-1S91°</v>
      </c>
      <c r="AR1397" s="1078" t="str">
        <f t="shared" si="177"/>
        <v>30</v>
      </c>
      <c r="AS1397" s="1078" t="str">
        <f t="shared" si="178"/>
        <v>260/260/OFF</v>
      </c>
      <c r="AT1397" s="1078" t="str">
        <f t="shared" si="179"/>
        <v>1-5-1S91°</v>
      </c>
      <c r="AV1397" s="1078" t="str">
        <f t="shared" si="172"/>
        <v>108.3.20</v>
      </c>
      <c r="AW1397" s="1344">
        <f t="shared" si="173"/>
        <v>43544</v>
      </c>
    </row>
    <row r="1398" spans="1:49">
      <c r="A1398" s="1077" t="s">
        <v>4954</v>
      </c>
      <c r="B1398" s="1077" t="s">
        <v>4880</v>
      </c>
      <c r="C1398" s="1077">
        <v>650</v>
      </c>
      <c r="D1398" s="1077">
        <v>1.77</v>
      </c>
      <c r="E1398" s="1077" t="s">
        <v>15094</v>
      </c>
      <c r="F1398" s="1077" t="s">
        <v>984</v>
      </c>
      <c r="G1398" s="1077">
        <v>5</v>
      </c>
      <c r="H1398" s="1077" t="s">
        <v>4955</v>
      </c>
      <c r="I1398" s="1077" t="s">
        <v>460</v>
      </c>
      <c r="J1398" s="1077">
        <v>3.3</v>
      </c>
      <c r="K1398" s="1077" t="s">
        <v>4882</v>
      </c>
      <c r="L1398" s="1077" t="s">
        <v>4883</v>
      </c>
      <c r="M1398" s="1077">
        <v>158.4</v>
      </c>
      <c r="N1398" s="1077" t="s">
        <v>945</v>
      </c>
      <c r="O1398" s="1077">
        <v>3.9600000000000004</v>
      </c>
      <c r="P1398" s="1077">
        <v>3.1680000000000001</v>
      </c>
      <c r="Q1398" s="1077" t="s">
        <v>2553</v>
      </c>
      <c r="R1398" s="1077">
        <v>20.5</v>
      </c>
      <c r="T1398" s="1077">
        <v>13</v>
      </c>
      <c r="U1398" s="1077">
        <v>3.2</v>
      </c>
      <c r="V1398" s="1077" t="s">
        <v>648</v>
      </c>
      <c r="W1398" s="1077">
        <v>110</v>
      </c>
      <c r="X1398" s="1077">
        <v>90</v>
      </c>
      <c r="Y1398" s="1077">
        <v>1.5</v>
      </c>
      <c r="Z1398" s="1077">
        <v>5</v>
      </c>
      <c r="AA1398" s="1077" t="s">
        <v>4956</v>
      </c>
      <c r="AH1398" s="1077" t="s">
        <v>994</v>
      </c>
      <c r="AM1398" s="1078" t="s">
        <v>11807</v>
      </c>
      <c r="AN1398" s="1078" t="s">
        <v>11808</v>
      </c>
      <c r="AO1398" s="1078">
        <f t="shared" si="174"/>
        <v>650</v>
      </c>
      <c r="AP1398" s="1078">
        <f t="shared" si="175"/>
        <v>1.77</v>
      </c>
      <c r="AQ1398" s="1078" t="str">
        <f t="shared" si="176"/>
        <v>1-5-1S91°</v>
      </c>
      <c r="AR1398" s="1078" t="str">
        <f t="shared" si="177"/>
        <v>30</v>
      </c>
      <c r="AS1398" s="1078" t="str">
        <f t="shared" si="178"/>
        <v>340/340/149</v>
      </c>
      <c r="AT1398" s="1078" t="str">
        <f t="shared" si="179"/>
        <v>1-5-1S91°</v>
      </c>
      <c r="AV1398" s="1078" t="str">
        <f t="shared" si="172"/>
        <v>108.3.27</v>
      </c>
      <c r="AW1398" s="1344">
        <f t="shared" si="173"/>
        <v>43551</v>
      </c>
    </row>
    <row r="1399" spans="1:49">
      <c r="A1399" s="1077" t="s">
        <v>4957</v>
      </c>
      <c r="B1399" s="1077" t="s">
        <v>4898</v>
      </c>
      <c r="C1399" s="1077">
        <v>750</v>
      </c>
      <c r="D1399" s="1077">
        <v>1.7290000000000001</v>
      </c>
      <c r="E1399" s="1077" t="s">
        <v>15104</v>
      </c>
      <c r="F1399" s="1077" t="s">
        <v>648</v>
      </c>
      <c r="G1399" s="1077">
        <v>5</v>
      </c>
      <c r="H1399" s="1077" t="s">
        <v>941</v>
      </c>
      <c r="I1399" s="1077" t="s">
        <v>126</v>
      </c>
      <c r="J1399" s="1077">
        <v>1.8</v>
      </c>
      <c r="K1399" s="1077" t="s">
        <v>4771</v>
      </c>
      <c r="L1399" s="1077" t="s">
        <v>1776</v>
      </c>
      <c r="M1399" s="1077">
        <v>148</v>
      </c>
      <c r="N1399" s="1077" t="s">
        <v>945</v>
      </c>
      <c r="O1399" s="1077">
        <v>3.7</v>
      </c>
      <c r="P1399" s="1077">
        <v>2.96</v>
      </c>
      <c r="Q1399" s="1077" t="s">
        <v>979</v>
      </c>
      <c r="R1399" s="1077">
        <v>20.8</v>
      </c>
      <c r="T1399" s="1077">
        <v>20.399999999999999</v>
      </c>
      <c r="U1399" s="1077">
        <v>3.8</v>
      </c>
      <c r="V1399" s="1077" t="s">
        <v>648</v>
      </c>
      <c r="W1399" s="1077">
        <v>110</v>
      </c>
      <c r="X1399" s="1077">
        <v>60</v>
      </c>
      <c r="Y1399" s="1077">
        <v>1.7</v>
      </c>
      <c r="Z1399" s="1077" t="s">
        <v>648</v>
      </c>
      <c r="AA1399" s="1077" t="s">
        <v>4958</v>
      </c>
      <c r="AH1399" s="1077" t="s">
        <v>681</v>
      </c>
      <c r="AM1399" s="1078" t="s">
        <v>11809</v>
      </c>
      <c r="AN1399" s="1078" t="s">
        <v>11810</v>
      </c>
      <c r="AO1399" s="1078">
        <f t="shared" si="174"/>
        <v>750</v>
      </c>
      <c r="AP1399" s="1078">
        <f t="shared" si="175"/>
        <v>1.7290000000000001</v>
      </c>
      <c r="AQ1399" s="1078" t="str">
        <f t="shared" si="176"/>
        <v>1-4-1S85°Z+S</v>
      </c>
      <c r="AR1399" s="1078" t="str">
        <f t="shared" si="177"/>
        <v>NA</v>
      </c>
      <c r="AS1399" s="1078" t="str">
        <f t="shared" si="178"/>
        <v>185/OFF</v>
      </c>
      <c r="AT1399" s="1078" t="str">
        <f t="shared" si="179"/>
        <v>1-4-1S85°Z+S</v>
      </c>
      <c r="AU1399" s="1078" t="s">
        <v>15547</v>
      </c>
      <c r="AV1399" s="1078" t="str">
        <f t="shared" si="172"/>
        <v>108.3.31</v>
      </c>
      <c r="AW1399" s="1344">
        <f t="shared" si="173"/>
        <v>43555</v>
      </c>
    </row>
    <row r="1400" spans="1:49">
      <c r="A1400" s="1077" t="s">
        <v>4959</v>
      </c>
      <c r="B1400" s="1077" t="s">
        <v>844</v>
      </c>
      <c r="C1400" s="1077">
        <v>550</v>
      </c>
      <c r="D1400" s="1077">
        <v>1.7649999999999999</v>
      </c>
      <c r="E1400" s="1077" t="s">
        <v>15102</v>
      </c>
      <c r="F1400" s="1077" t="s">
        <v>3659</v>
      </c>
      <c r="G1400" s="1077">
        <v>5</v>
      </c>
      <c r="H1400" s="1077" t="s">
        <v>4930</v>
      </c>
      <c r="I1400" s="1077" t="s">
        <v>460</v>
      </c>
      <c r="J1400" s="1077">
        <v>3.4</v>
      </c>
      <c r="K1400" s="1077" t="s">
        <v>4960</v>
      </c>
      <c r="L1400" s="1077" t="s">
        <v>4907</v>
      </c>
      <c r="M1400" s="1077">
        <v>152.5</v>
      </c>
      <c r="N1400" s="1077" t="s">
        <v>945</v>
      </c>
      <c r="O1400" s="1077">
        <v>3.8125</v>
      </c>
      <c r="P1400" s="1077">
        <v>3.0500000000000003</v>
      </c>
      <c r="Q1400" s="1077" t="s">
        <v>1012</v>
      </c>
      <c r="R1400" s="1077">
        <v>21</v>
      </c>
      <c r="T1400" s="1077">
        <v>9.1999999999999993</v>
      </c>
      <c r="U1400" s="1077">
        <v>5.4</v>
      </c>
      <c r="V1400" s="1077" t="s">
        <v>648</v>
      </c>
      <c r="W1400" s="1077">
        <v>110</v>
      </c>
      <c r="X1400" s="1077">
        <v>90</v>
      </c>
      <c r="Y1400" s="1077">
        <v>2</v>
      </c>
      <c r="Z1400" s="1077">
        <v>4.5</v>
      </c>
      <c r="AA1400" s="1077" t="s">
        <v>2583</v>
      </c>
      <c r="AH1400" s="1077" t="s">
        <v>863</v>
      </c>
      <c r="AM1400" s="1078" t="s">
        <v>11811</v>
      </c>
      <c r="AN1400" s="1078" t="s">
        <v>11812</v>
      </c>
      <c r="AO1400" s="1078">
        <f t="shared" si="174"/>
        <v>550</v>
      </c>
      <c r="AP1400" s="1078">
        <f t="shared" si="175"/>
        <v>1.7649999999999999</v>
      </c>
      <c r="AQ1400" s="1078" t="str">
        <f t="shared" si="176"/>
        <v>2-6-1S83°</v>
      </c>
      <c r="AR1400" s="1078" t="str">
        <f t="shared" si="177"/>
        <v>31.4</v>
      </c>
      <c r="AS1400" s="1078" t="str">
        <f t="shared" si="178"/>
        <v>160/155</v>
      </c>
      <c r="AT1400" s="1078" t="str">
        <f t="shared" si="179"/>
        <v>2-6-1S83°</v>
      </c>
      <c r="AV1400" s="1078" t="str">
        <f t="shared" si="172"/>
        <v>108.4.1</v>
      </c>
      <c r="AW1400" s="1344">
        <f t="shared" si="173"/>
        <v>43556</v>
      </c>
    </row>
    <row r="1401" spans="1:49">
      <c r="A1401" s="1077" t="s">
        <v>4961</v>
      </c>
      <c r="B1401" s="1077" t="s">
        <v>4767</v>
      </c>
      <c r="C1401" s="1077">
        <v>750</v>
      </c>
      <c r="D1401" s="1077">
        <v>1.7290000000000001</v>
      </c>
      <c r="E1401" s="1077" t="s">
        <v>15104</v>
      </c>
      <c r="F1401" s="1077" t="s">
        <v>648</v>
      </c>
      <c r="G1401" s="1077">
        <v>5</v>
      </c>
      <c r="H1401" s="1077" t="s">
        <v>941</v>
      </c>
      <c r="I1401" s="1077" t="s">
        <v>126</v>
      </c>
      <c r="J1401" s="1077">
        <v>1.8</v>
      </c>
      <c r="K1401" s="1077" t="s">
        <v>4962</v>
      </c>
      <c r="L1401" s="1077" t="s">
        <v>1776</v>
      </c>
      <c r="M1401" s="1077">
        <v>148</v>
      </c>
      <c r="N1401" s="1077" t="s">
        <v>945</v>
      </c>
      <c r="O1401" s="1077">
        <v>3.7</v>
      </c>
      <c r="P1401" s="1077">
        <v>2.96</v>
      </c>
      <c r="Q1401" s="1077" t="s">
        <v>979</v>
      </c>
      <c r="R1401" s="1077">
        <v>20.8</v>
      </c>
      <c r="T1401" s="1077">
        <v>20.399999999999999</v>
      </c>
      <c r="U1401" s="1077">
        <v>3.8</v>
      </c>
      <c r="V1401" s="1077" t="s">
        <v>648</v>
      </c>
      <c r="W1401" s="1077">
        <v>110</v>
      </c>
      <c r="X1401" s="1077">
        <v>60</v>
      </c>
      <c r="Y1401" s="1077">
        <v>1.7</v>
      </c>
      <c r="Z1401" s="1077" t="s">
        <v>648</v>
      </c>
      <c r="AA1401" s="1077" t="s">
        <v>4583</v>
      </c>
      <c r="AH1401" s="1077" t="s">
        <v>948</v>
      </c>
      <c r="AM1401" s="1078" t="s">
        <v>11813</v>
      </c>
      <c r="AN1401" s="1078" t="s">
        <v>11814</v>
      </c>
      <c r="AO1401" s="1078">
        <f t="shared" si="174"/>
        <v>750</v>
      </c>
      <c r="AP1401" s="1078">
        <f t="shared" si="175"/>
        <v>1.7290000000000001</v>
      </c>
      <c r="AQ1401" s="1078" t="str">
        <f t="shared" si="176"/>
        <v>1-4-1S85°Z+S</v>
      </c>
      <c r="AR1401" s="1078" t="str">
        <f t="shared" si="177"/>
        <v>NA</v>
      </c>
      <c r="AS1401" s="1078" t="str">
        <f t="shared" si="178"/>
        <v>185/OFF</v>
      </c>
      <c r="AT1401" s="1078" t="str">
        <f t="shared" si="179"/>
        <v>1-4-1S85°Z+S</v>
      </c>
      <c r="AU1401" s="1078" t="s">
        <v>15547</v>
      </c>
      <c r="AV1401" s="1078" t="str">
        <f t="shared" si="172"/>
        <v>108.4.2</v>
      </c>
      <c r="AW1401" s="1344">
        <f t="shared" si="173"/>
        <v>43557</v>
      </c>
    </row>
    <row r="1402" spans="1:49">
      <c r="A1402" s="1077" t="s">
        <v>4963</v>
      </c>
      <c r="B1402" s="1077" t="s">
        <v>4898</v>
      </c>
      <c r="C1402" s="1077">
        <v>750</v>
      </c>
      <c r="D1402" s="1077">
        <v>1.7290000000000001</v>
      </c>
      <c r="E1402" s="1077" t="s">
        <v>15104</v>
      </c>
      <c r="F1402" s="1077" t="s">
        <v>648</v>
      </c>
      <c r="G1402" s="1077">
        <v>5</v>
      </c>
      <c r="H1402" s="1077" t="s">
        <v>941</v>
      </c>
      <c r="I1402" s="1077" t="s">
        <v>126</v>
      </c>
      <c r="J1402" s="1077">
        <v>1.8</v>
      </c>
      <c r="K1402" s="1077" t="s">
        <v>4962</v>
      </c>
      <c r="L1402" s="1077" t="s">
        <v>1776</v>
      </c>
      <c r="M1402" s="1077">
        <v>148</v>
      </c>
      <c r="N1402" s="1077" t="s">
        <v>945</v>
      </c>
      <c r="O1402" s="1077">
        <v>3.7</v>
      </c>
      <c r="P1402" s="1077">
        <v>2.96</v>
      </c>
      <c r="Q1402" s="1077" t="s">
        <v>979</v>
      </c>
      <c r="R1402" s="1077">
        <v>20.8</v>
      </c>
      <c r="T1402" s="1077">
        <v>20.399999999999999</v>
      </c>
      <c r="U1402" s="1077">
        <v>3.8</v>
      </c>
      <c r="V1402" s="1077" t="s">
        <v>648</v>
      </c>
      <c r="W1402" s="1077">
        <v>110</v>
      </c>
      <c r="X1402" s="1077">
        <v>60</v>
      </c>
      <c r="Y1402" s="1077">
        <v>1.7</v>
      </c>
      <c r="Z1402" s="1077" t="s">
        <v>648</v>
      </c>
      <c r="AA1402" s="1077" t="s">
        <v>4964</v>
      </c>
      <c r="AH1402" s="1077" t="s">
        <v>4965</v>
      </c>
      <c r="AM1402" s="1078" t="s">
        <v>11815</v>
      </c>
      <c r="AN1402" s="1078" t="s">
        <v>11816</v>
      </c>
      <c r="AO1402" s="1078">
        <f t="shared" si="174"/>
        <v>750</v>
      </c>
      <c r="AP1402" s="1078">
        <f t="shared" si="175"/>
        <v>1.7290000000000001</v>
      </c>
      <c r="AQ1402" s="1078" t="str">
        <f t="shared" si="176"/>
        <v>1-4-1S85°Z+S</v>
      </c>
      <c r="AR1402" s="1078" t="str">
        <f t="shared" si="177"/>
        <v>NA</v>
      </c>
      <c r="AS1402" s="1078" t="str">
        <f t="shared" si="178"/>
        <v>185/OFF</v>
      </c>
      <c r="AT1402" s="1078" t="str">
        <f t="shared" si="179"/>
        <v>1-4-1S85°Z+S</v>
      </c>
      <c r="AU1402" s="1078" t="s">
        <v>15547</v>
      </c>
      <c r="AV1402" s="1078" t="str">
        <f t="shared" si="172"/>
        <v>108.4.5</v>
      </c>
      <c r="AW1402" s="1344">
        <f t="shared" si="173"/>
        <v>43560</v>
      </c>
    </row>
    <row r="1403" spans="1:49">
      <c r="A1403" s="1077" t="s">
        <v>4966</v>
      </c>
      <c r="B1403" s="1077" t="s">
        <v>4694</v>
      </c>
      <c r="C1403" s="1077">
        <v>600</v>
      </c>
      <c r="D1403" s="1077">
        <v>1.74</v>
      </c>
      <c r="E1403" s="1077" t="s">
        <v>15102</v>
      </c>
      <c r="F1403" s="1077" t="s">
        <v>1469</v>
      </c>
      <c r="G1403" s="1077">
        <v>5</v>
      </c>
      <c r="H1403" s="1077" t="s">
        <v>4696</v>
      </c>
      <c r="I1403" s="1077" t="s">
        <v>1112</v>
      </c>
      <c r="J1403" s="1077">
        <v>2.5</v>
      </c>
      <c r="K1403" s="1077" t="s">
        <v>4711</v>
      </c>
      <c r="L1403" s="1077" t="s">
        <v>4702</v>
      </c>
      <c r="M1403" s="1077">
        <v>151.30000000000001</v>
      </c>
      <c r="N1403" s="1077" t="s">
        <v>945</v>
      </c>
      <c r="O1403" s="1077">
        <v>3.7825000000000006</v>
      </c>
      <c r="P1403" s="1077">
        <v>3.0260000000000002</v>
      </c>
      <c r="Q1403" s="1077" t="s">
        <v>988</v>
      </c>
      <c r="R1403" s="1077">
        <v>20.7</v>
      </c>
      <c r="T1403" s="1077">
        <v>15.5</v>
      </c>
      <c r="U1403" s="1077">
        <v>3</v>
      </c>
      <c r="V1403" s="1077" t="s">
        <v>648</v>
      </c>
      <c r="W1403" s="1077">
        <v>130</v>
      </c>
      <c r="X1403" s="1077">
        <v>75</v>
      </c>
      <c r="Y1403" s="1077">
        <v>1.2</v>
      </c>
      <c r="Z1403" s="1077">
        <v>4.8</v>
      </c>
      <c r="AA1403" s="1077" t="s">
        <v>4964</v>
      </c>
      <c r="AH1403" s="1077" t="s">
        <v>783</v>
      </c>
      <c r="AM1403" s="1078" t="s">
        <v>11817</v>
      </c>
      <c r="AN1403" s="1078" t="s">
        <v>11818</v>
      </c>
      <c r="AO1403" s="1078">
        <f t="shared" si="174"/>
        <v>600</v>
      </c>
      <c r="AP1403" s="1078">
        <f t="shared" si="175"/>
        <v>1.74</v>
      </c>
      <c r="AQ1403" s="1078" t="str">
        <f t="shared" si="176"/>
        <v>2-6-1S83°</v>
      </c>
      <c r="AR1403" s="1078" t="str">
        <f t="shared" si="177"/>
        <v>30.5</v>
      </c>
      <c r="AS1403" s="1078" t="str">
        <f t="shared" si="178"/>
        <v>186/170</v>
      </c>
      <c r="AT1403" s="1078" t="str">
        <f t="shared" si="179"/>
        <v>2-6-1S83°</v>
      </c>
      <c r="AV1403" s="1078" t="str">
        <f t="shared" si="172"/>
        <v>108.4.5</v>
      </c>
      <c r="AW1403" s="1344">
        <f t="shared" si="173"/>
        <v>43560</v>
      </c>
    </row>
    <row r="1404" spans="1:49">
      <c r="A1404" s="1077" t="s">
        <v>4967</v>
      </c>
      <c r="B1404" s="1077" t="s">
        <v>4968</v>
      </c>
      <c r="C1404" s="1077">
        <v>750</v>
      </c>
      <c r="D1404" s="1077">
        <v>1.76</v>
      </c>
      <c r="E1404" s="1077" t="s">
        <v>15094</v>
      </c>
      <c r="F1404" s="1077" t="s">
        <v>4013</v>
      </c>
      <c r="G1404" s="1077">
        <v>5</v>
      </c>
      <c r="H1404" s="1077" t="s">
        <v>4910</v>
      </c>
      <c r="I1404" s="1077" t="s">
        <v>126</v>
      </c>
      <c r="J1404" s="1077">
        <v>1.5</v>
      </c>
      <c r="K1404" s="1077" t="s">
        <v>4670</v>
      </c>
      <c r="L1404" s="1077" t="s">
        <v>4675</v>
      </c>
      <c r="M1404" s="1077">
        <v>152.19999999999999</v>
      </c>
      <c r="N1404" s="1077" t="s">
        <v>945</v>
      </c>
      <c r="O1404" s="1077">
        <v>3.8049999999999997</v>
      </c>
      <c r="P1404" s="1077">
        <v>3.044</v>
      </c>
      <c r="Q1404" s="1077" t="s">
        <v>961</v>
      </c>
      <c r="R1404" s="1077">
        <v>19</v>
      </c>
      <c r="T1404" s="1077">
        <v>16</v>
      </c>
      <c r="U1404" s="1077">
        <v>4</v>
      </c>
      <c r="V1404" s="1077" t="s">
        <v>648</v>
      </c>
      <c r="W1404" s="1077" t="s">
        <v>4667</v>
      </c>
      <c r="X1404" s="1077">
        <v>10</v>
      </c>
      <c r="Y1404" s="1077">
        <v>1.5</v>
      </c>
      <c r="Z1404" s="1077">
        <v>5</v>
      </c>
      <c r="AA1404" s="1077" t="s">
        <v>989</v>
      </c>
      <c r="AH1404" s="1077" t="s">
        <v>1588</v>
      </c>
      <c r="AM1404" s="1078" t="s">
        <v>11819</v>
      </c>
      <c r="AN1404" s="1078" t="s">
        <v>11820</v>
      </c>
      <c r="AO1404" s="1078">
        <f t="shared" si="174"/>
        <v>750</v>
      </c>
      <c r="AP1404" s="1078">
        <f t="shared" si="175"/>
        <v>1.76</v>
      </c>
      <c r="AQ1404" s="1078" t="str">
        <f t="shared" si="176"/>
        <v>1-5-1S91°</v>
      </c>
      <c r="AR1404" s="1078" t="str">
        <f t="shared" si="177"/>
        <v>30.3</v>
      </c>
      <c r="AS1404" s="1078" t="str">
        <f t="shared" si="178"/>
        <v>342/302/165</v>
      </c>
      <c r="AT1404" s="1078" t="str">
        <f t="shared" si="179"/>
        <v>1-5-1S91°</v>
      </c>
      <c r="AV1404" s="1078" t="str">
        <f t="shared" si="172"/>
        <v>108.1.4</v>
      </c>
      <c r="AW1404" s="1344">
        <f t="shared" si="173"/>
        <v>43469</v>
      </c>
    </row>
    <row r="1405" spans="1:49">
      <c r="A1405" s="1077" t="s">
        <v>4969</v>
      </c>
      <c r="B1405" s="1077" t="s">
        <v>4968</v>
      </c>
      <c r="C1405" s="1077">
        <v>800</v>
      </c>
      <c r="D1405" s="1077">
        <v>1.76</v>
      </c>
      <c r="E1405" s="1077" t="s">
        <v>15094</v>
      </c>
      <c r="F1405" s="1077" t="s">
        <v>984</v>
      </c>
      <c r="G1405" s="1077">
        <v>5</v>
      </c>
      <c r="H1405" s="1077" t="s">
        <v>4690</v>
      </c>
      <c r="I1405" s="1077" t="s">
        <v>126</v>
      </c>
      <c r="J1405" s="1077">
        <v>2.9</v>
      </c>
      <c r="K1405" s="1077" t="s">
        <v>4670</v>
      </c>
      <c r="L1405" s="1077" t="s">
        <v>4675</v>
      </c>
      <c r="M1405" s="1077">
        <v>150.80000000000001</v>
      </c>
      <c r="N1405" s="1077" t="s">
        <v>945</v>
      </c>
      <c r="O1405" s="1077">
        <v>3.7700000000000005</v>
      </c>
      <c r="P1405" s="1077">
        <v>3.0160000000000005</v>
      </c>
      <c r="Q1405" s="1077" t="s">
        <v>956</v>
      </c>
      <c r="R1405" s="1077">
        <v>19</v>
      </c>
      <c r="T1405" s="1077">
        <v>28.3</v>
      </c>
      <c r="U1405" s="1077">
        <v>4.3</v>
      </c>
      <c r="V1405" s="1077" t="s">
        <v>648</v>
      </c>
      <c r="W1405" s="1077">
        <v>100</v>
      </c>
      <c r="X1405" s="1077">
        <v>50</v>
      </c>
      <c r="Y1405" s="1077">
        <v>1.5</v>
      </c>
      <c r="Z1405" s="1077">
        <v>6.5</v>
      </c>
      <c r="AA1405" s="1077" t="s">
        <v>989</v>
      </c>
      <c r="AH1405" s="1077" t="s">
        <v>1244</v>
      </c>
      <c r="AM1405" s="1078" t="s">
        <v>11821</v>
      </c>
      <c r="AN1405" s="1078" t="s">
        <v>11822</v>
      </c>
      <c r="AO1405" s="1078">
        <f t="shared" si="174"/>
        <v>800</v>
      </c>
      <c r="AP1405" s="1078">
        <f t="shared" si="175"/>
        <v>1.76</v>
      </c>
      <c r="AQ1405" s="1078" t="str">
        <f t="shared" si="176"/>
        <v>1-5-1S91°</v>
      </c>
      <c r="AR1405" s="1078" t="str">
        <f t="shared" si="177"/>
        <v>30</v>
      </c>
      <c r="AS1405" s="1078" t="str">
        <f t="shared" si="178"/>
        <v>380/340/OFF</v>
      </c>
      <c r="AT1405" s="1078" t="str">
        <f t="shared" si="179"/>
        <v>1-5-1S91°</v>
      </c>
      <c r="AV1405" s="1078" t="str">
        <f t="shared" si="172"/>
        <v>108.1.4</v>
      </c>
      <c r="AW1405" s="1344">
        <f t="shared" si="173"/>
        <v>43469</v>
      </c>
    </row>
    <row r="1406" spans="1:49">
      <c r="A1406" s="1077" t="s">
        <v>4970</v>
      </c>
      <c r="B1406" s="1077" t="s">
        <v>4968</v>
      </c>
      <c r="C1406" s="1077">
        <v>750</v>
      </c>
      <c r="D1406" s="1077">
        <v>1.76</v>
      </c>
      <c r="E1406" s="1077" t="s">
        <v>15094</v>
      </c>
      <c r="F1406" s="1077" t="s">
        <v>4013</v>
      </c>
      <c r="G1406" s="1077">
        <v>5</v>
      </c>
      <c r="H1406" s="1077" t="s">
        <v>4910</v>
      </c>
      <c r="I1406" s="1077" t="s">
        <v>126</v>
      </c>
      <c r="J1406" s="1077">
        <v>1.5</v>
      </c>
      <c r="K1406" s="1077" t="s">
        <v>4670</v>
      </c>
      <c r="L1406" s="1077" t="s">
        <v>4675</v>
      </c>
      <c r="M1406" s="1077">
        <v>152.19999999999999</v>
      </c>
      <c r="N1406" s="1077" t="s">
        <v>945</v>
      </c>
      <c r="O1406" s="1077">
        <v>3.8049999999999997</v>
      </c>
      <c r="P1406" s="1077">
        <v>3.044</v>
      </c>
      <c r="Q1406" s="1077" t="s">
        <v>961</v>
      </c>
      <c r="R1406" s="1077">
        <v>19</v>
      </c>
      <c r="T1406" s="1077">
        <v>16</v>
      </c>
      <c r="U1406" s="1077">
        <v>4</v>
      </c>
      <c r="V1406" s="1077" t="s">
        <v>648</v>
      </c>
      <c r="W1406" s="1077" t="s">
        <v>4667</v>
      </c>
      <c r="X1406" s="1077">
        <v>10</v>
      </c>
      <c r="Y1406" s="1077">
        <v>1.5</v>
      </c>
      <c r="Z1406" s="1077">
        <v>5</v>
      </c>
      <c r="AA1406" s="1077" t="s">
        <v>2882</v>
      </c>
      <c r="AH1406" s="1077" t="s">
        <v>1796</v>
      </c>
      <c r="AM1406" s="1078" t="s">
        <v>11823</v>
      </c>
      <c r="AN1406" s="1078" t="s">
        <v>11824</v>
      </c>
      <c r="AO1406" s="1078">
        <f t="shared" si="174"/>
        <v>750</v>
      </c>
      <c r="AP1406" s="1078">
        <f t="shared" si="175"/>
        <v>1.76</v>
      </c>
      <c r="AQ1406" s="1078" t="str">
        <f t="shared" si="176"/>
        <v>1-5-1S91°</v>
      </c>
      <c r="AR1406" s="1078" t="str">
        <f t="shared" si="177"/>
        <v>30.3</v>
      </c>
      <c r="AS1406" s="1078" t="str">
        <f t="shared" si="178"/>
        <v>342/302/165</v>
      </c>
      <c r="AT1406" s="1078" t="str">
        <f t="shared" si="179"/>
        <v>1-5-1S91°</v>
      </c>
      <c r="AV1406" s="1078" t="str">
        <f t="shared" si="172"/>
        <v>108.1.7</v>
      </c>
      <c r="AW1406" s="1344">
        <f t="shared" si="173"/>
        <v>43472</v>
      </c>
    </row>
    <row r="1407" spans="1:49">
      <c r="A1407" s="1077" t="s">
        <v>4971</v>
      </c>
      <c r="B1407" s="1077" t="s">
        <v>4968</v>
      </c>
      <c r="C1407" s="1077">
        <v>750</v>
      </c>
      <c r="D1407" s="1077">
        <v>1.76</v>
      </c>
      <c r="E1407" s="1077" t="s">
        <v>15094</v>
      </c>
      <c r="F1407" s="1077" t="s">
        <v>3950</v>
      </c>
      <c r="G1407" s="1077">
        <v>5</v>
      </c>
      <c r="H1407" s="1077" t="s">
        <v>4972</v>
      </c>
      <c r="I1407" s="1077" t="s">
        <v>126</v>
      </c>
      <c r="J1407" s="1077">
        <v>1.5</v>
      </c>
      <c r="K1407" s="1077" t="s">
        <v>4670</v>
      </c>
      <c r="L1407" s="1077" t="s">
        <v>4675</v>
      </c>
      <c r="M1407" s="1077">
        <v>152.19999999999999</v>
      </c>
      <c r="N1407" s="1077" t="s">
        <v>945</v>
      </c>
      <c r="O1407" s="1077">
        <v>3.8049999999999997</v>
      </c>
      <c r="P1407" s="1077">
        <v>3.044</v>
      </c>
      <c r="Q1407" s="1077" t="s">
        <v>961</v>
      </c>
      <c r="R1407" s="1077">
        <v>19</v>
      </c>
      <c r="T1407" s="1077">
        <v>16</v>
      </c>
      <c r="U1407" s="1077">
        <v>4</v>
      </c>
      <c r="V1407" s="1077" t="s">
        <v>648</v>
      </c>
      <c r="W1407" s="1077" t="s">
        <v>4667</v>
      </c>
      <c r="X1407" s="1077">
        <v>10</v>
      </c>
      <c r="Y1407" s="1077">
        <v>1.5</v>
      </c>
      <c r="Z1407" s="1077">
        <v>5</v>
      </c>
      <c r="AA1407" s="1077" t="s">
        <v>4973</v>
      </c>
      <c r="AH1407" s="1077" t="s">
        <v>963</v>
      </c>
      <c r="AM1407" s="1078" t="s">
        <v>11825</v>
      </c>
      <c r="AN1407" s="1078" t="s">
        <v>11826</v>
      </c>
      <c r="AO1407" s="1078">
        <f t="shared" si="174"/>
        <v>750</v>
      </c>
      <c r="AP1407" s="1078">
        <f t="shared" si="175"/>
        <v>1.76</v>
      </c>
      <c r="AQ1407" s="1078" t="str">
        <f t="shared" si="176"/>
        <v>1-5-1S91°</v>
      </c>
      <c r="AR1407" s="1078" t="str">
        <f t="shared" si="177"/>
        <v>30.1</v>
      </c>
      <c r="AS1407" s="1078" t="str">
        <f t="shared" si="178"/>
        <v>345/305/165</v>
      </c>
      <c r="AT1407" s="1078" t="str">
        <f t="shared" si="179"/>
        <v>1-5-1S91°</v>
      </c>
      <c r="AV1407" s="1078" t="str">
        <f t="shared" si="172"/>
        <v>108.1.5</v>
      </c>
      <c r="AW1407" s="1344">
        <f t="shared" si="173"/>
        <v>43470</v>
      </c>
    </row>
    <row r="1408" spans="1:49">
      <c r="A1408" s="1077" t="s">
        <v>4974</v>
      </c>
      <c r="B1408" s="1077" t="s">
        <v>4968</v>
      </c>
      <c r="C1408" s="1077">
        <v>750</v>
      </c>
      <c r="D1408" s="1077">
        <v>1.76</v>
      </c>
      <c r="E1408" s="1077" t="s">
        <v>15094</v>
      </c>
      <c r="F1408" s="1077" t="s">
        <v>4013</v>
      </c>
      <c r="G1408" s="1077">
        <v>5</v>
      </c>
      <c r="H1408" s="1077" t="s">
        <v>4910</v>
      </c>
      <c r="I1408" s="1077" t="s">
        <v>126</v>
      </c>
      <c r="J1408" s="1077">
        <v>1.5</v>
      </c>
      <c r="K1408" s="1077" t="s">
        <v>4674</v>
      </c>
      <c r="L1408" s="1077" t="s">
        <v>4675</v>
      </c>
      <c r="M1408" s="1077">
        <v>152.19999999999999</v>
      </c>
      <c r="N1408" s="1077" t="s">
        <v>945</v>
      </c>
      <c r="O1408" s="1077">
        <v>3.8049999999999997</v>
      </c>
      <c r="P1408" s="1077">
        <v>3.044</v>
      </c>
      <c r="Q1408" s="1077" t="s">
        <v>961</v>
      </c>
      <c r="R1408" s="1077">
        <v>19</v>
      </c>
      <c r="T1408" s="1077">
        <v>16</v>
      </c>
      <c r="U1408" s="1077">
        <v>4</v>
      </c>
      <c r="V1408" s="1077" t="s">
        <v>648</v>
      </c>
      <c r="W1408" s="1077" t="s">
        <v>4667</v>
      </c>
      <c r="X1408" s="1077">
        <v>10</v>
      </c>
      <c r="Y1408" s="1077">
        <v>1.5</v>
      </c>
      <c r="Z1408" s="1077">
        <v>5</v>
      </c>
      <c r="AA1408" s="1077" t="s">
        <v>989</v>
      </c>
      <c r="AH1408" s="1077" t="s">
        <v>878</v>
      </c>
      <c r="AM1408" s="1078" t="s">
        <v>11827</v>
      </c>
      <c r="AN1408" s="1078" t="s">
        <v>11828</v>
      </c>
      <c r="AO1408" s="1078">
        <f t="shared" si="174"/>
        <v>750</v>
      </c>
      <c r="AP1408" s="1078">
        <f t="shared" si="175"/>
        <v>1.76</v>
      </c>
      <c r="AQ1408" s="1078" t="str">
        <f t="shared" si="176"/>
        <v>1-5-1S91°</v>
      </c>
      <c r="AR1408" s="1078" t="str">
        <f t="shared" si="177"/>
        <v>30.3</v>
      </c>
      <c r="AS1408" s="1078" t="str">
        <f t="shared" si="178"/>
        <v>342/302/165</v>
      </c>
      <c r="AT1408" s="1078" t="str">
        <f t="shared" si="179"/>
        <v>1-5-1S91°</v>
      </c>
      <c r="AV1408" s="1078" t="str">
        <f t="shared" si="172"/>
        <v>108.1.4</v>
      </c>
      <c r="AW1408" s="1344">
        <f t="shared" si="173"/>
        <v>43469</v>
      </c>
    </row>
    <row r="1409" spans="1:49">
      <c r="A1409" s="1077" t="s">
        <v>4975</v>
      </c>
      <c r="B1409" s="1077" t="s">
        <v>4976</v>
      </c>
      <c r="C1409" s="1077">
        <v>650</v>
      </c>
      <c r="D1409" s="1077">
        <v>1.7849999999999999</v>
      </c>
      <c r="E1409" s="1077" t="s">
        <v>15099</v>
      </c>
      <c r="F1409" s="1077" t="s">
        <v>975</v>
      </c>
      <c r="G1409" s="1077">
        <v>5</v>
      </c>
      <c r="H1409" s="1077" t="s">
        <v>4977</v>
      </c>
      <c r="I1409" s="1077" t="s">
        <v>126</v>
      </c>
      <c r="J1409" s="1077">
        <v>0.5</v>
      </c>
      <c r="K1409" s="1077" t="s">
        <v>4978</v>
      </c>
      <c r="L1409" s="1077" t="s">
        <v>4979</v>
      </c>
      <c r="M1409" s="1077">
        <v>146.19999999999999</v>
      </c>
      <c r="N1409" s="1077" t="s">
        <v>945</v>
      </c>
      <c r="O1409" s="1077">
        <v>3.6549999999999998</v>
      </c>
      <c r="P1409" s="1077">
        <v>2.9239999999999999</v>
      </c>
      <c r="Q1409" s="1077" t="s">
        <v>1264</v>
      </c>
      <c r="R1409" s="1077">
        <v>19.100000000000001</v>
      </c>
      <c r="T1409" s="1077">
        <v>26.1</v>
      </c>
      <c r="U1409" s="1077" t="s">
        <v>4980</v>
      </c>
      <c r="V1409" s="1077" t="s">
        <v>648</v>
      </c>
      <c r="W1409" s="1077">
        <v>30</v>
      </c>
      <c r="X1409" s="1077">
        <v>10</v>
      </c>
      <c r="Y1409" s="1077">
        <v>1.6</v>
      </c>
      <c r="Z1409" s="1077">
        <v>5.9</v>
      </c>
      <c r="AA1409" s="1077" t="s">
        <v>4981</v>
      </c>
      <c r="AH1409" s="1077" t="s">
        <v>1221</v>
      </c>
      <c r="AM1409" s="1078" t="s">
        <v>11829</v>
      </c>
      <c r="AN1409" s="1078" t="s">
        <v>11830</v>
      </c>
      <c r="AO1409" s="1078">
        <f t="shared" si="174"/>
        <v>650</v>
      </c>
      <c r="AP1409" s="1078">
        <f t="shared" si="175"/>
        <v>1.7849999999999999</v>
      </c>
      <c r="AQ1409" s="1078" t="str">
        <f t="shared" si="176"/>
        <v>1-5-1S87°</v>
      </c>
      <c r="AR1409" s="1078" t="str">
        <f t="shared" si="177"/>
        <v>31.5</v>
      </c>
      <c r="AS1409" s="1078" t="str">
        <f t="shared" si="178"/>
        <v>340/337/152</v>
      </c>
      <c r="AT1409" s="1078" t="str">
        <f t="shared" si="179"/>
        <v>1-5-1S87°</v>
      </c>
      <c r="AV1409" s="1078" t="str">
        <f t="shared" si="172"/>
        <v>108.4.8</v>
      </c>
      <c r="AW1409" s="1344">
        <f t="shared" si="173"/>
        <v>43563</v>
      </c>
    </row>
    <row r="1410" spans="1:49">
      <c r="A1410" s="1077" t="s">
        <v>4982</v>
      </c>
      <c r="B1410" s="1077" t="s">
        <v>844</v>
      </c>
      <c r="C1410" s="1077">
        <v>550</v>
      </c>
      <c r="D1410" s="1077">
        <v>1.756</v>
      </c>
      <c r="E1410" s="1077" t="s">
        <v>15102</v>
      </c>
      <c r="F1410" s="1077" t="s">
        <v>984</v>
      </c>
      <c r="G1410" s="1077">
        <v>5</v>
      </c>
      <c r="H1410" s="1077" t="s">
        <v>4918</v>
      </c>
      <c r="I1410" s="1077" t="s">
        <v>648</v>
      </c>
      <c r="J1410" s="1077">
        <v>0</v>
      </c>
      <c r="K1410" s="1077" t="s">
        <v>4960</v>
      </c>
      <c r="L1410" s="1077" t="s">
        <v>4907</v>
      </c>
      <c r="M1410" s="1077">
        <v>148.9</v>
      </c>
      <c r="N1410" s="1077" t="s">
        <v>945</v>
      </c>
      <c r="O1410" s="1077">
        <v>3.7225000000000001</v>
      </c>
      <c r="P1410" s="1077">
        <v>2.9780000000000002</v>
      </c>
      <c r="Q1410" s="1077" t="s">
        <v>2612</v>
      </c>
      <c r="R1410" s="1077">
        <v>23.5</v>
      </c>
      <c r="T1410" s="1077">
        <v>16.399999999999999</v>
      </c>
      <c r="U1410" s="1077">
        <v>4.5999999999999996</v>
      </c>
      <c r="V1410" s="1077" t="s">
        <v>648</v>
      </c>
      <c r="W1410" s="1077" t="s">
        <v>648</v>
      </c>
      <c r="X1410" s="1077" t="s">
        <v>648</v>
      </c>
      <c r="Y1410" s="1077">
        <v>1.6</v>
      </c>
      <c r="Z1410" s="1077" t="s">
        <v>4983</v>
      </c>
      <c r="AA1410" s="1077" t="s">
        <v>2614</v>
      </c>
      <c r="AH1410" s="1077" t="s">
        <v>1827</v>
      </c>
      <c r="AM1410" s="1078" t="s">
        <v>11831</v>
      </c>
      <c r="AN1410" s="1078" t="s">
        <v>11832</v>
      </c>
      <c r="AO1410" s="1078">
        <f t="shared" si="174"/>
        <v>550</v>
      </c>
      <c r="AP1410" s="1078">
        <f t="shared" si="175"/>
        <v>1.756</v>
      </c>
      <c r="AQ1410" s="1078" t="str">
        <f t="shared" si="176"/>
        <v>2-6-1S83°</v>
      </c>
      <c r="AR1410" s="1078" t="str">
        <f t="shared" si="177"/>
        <v>30</v>
      </c>
      <c r="AS1410" s="1078" t="str">
        <f t="shared" si="178"/>
        <v>166/140</v>
      </c>
      <c r="AT1410" s="1078" t="str">
        <f t="shared" si="179"/>
        <v>2-6-1S83°</v>
      </c>
      <c r="AV1410" s="1078" t="str">
        <f t="shared" ref="AV1410:AV1473" si="180">AA1410</f>
        <v>108.4.17</v>
      </c>
      <c r="AW1410" s="1344">
        <f t="shared" si="173"/>
        <v>43572</v>
      </c>
    </row>
    <row r="1411" spans="1:49">
      <c r="A1411" s="1077" t="s">
        <v>4984</v>
      </c>
      <c r="B1411" s="1077" t="s">
        <v>4936</v>
      </c>
      <c r="C1411" s="1077">
        <v>600</v>
      </c>
      <c r="D1411" s="1077">
        <v>1.68</v>
      </c>
      <c r="E1411" s="1077" t="s">
        <v>15112</v>
      </c>
      <c r="F1411" s="1077" t="s">
        <v>954</v>
      </c>
      <c r="G1411" s="1077">
        <v>5</v>
      </c>
      <c r="H1411" s="1077" t="s">
        <v>2540</v>
      </c>
      <c r="I1411" s="1077" t="s">
        <v>460</v>
      </c>
      <c r="J1411" s="1077">
        <v>0.7</v>
      </c>
      <c r="K1411" s="1077" t="s">
        <v>4985</v>
      </c>
      <c r="L1411" s="1077" t="s">
        <v>2132</v>
      </c>
      <c r="M1411" s="1077">
        <v>154.5</v>
      </c>
      <c r="N1411" s="1077" t="s">
        <v>945</v>
      </c>
      <c r="O1411" s="1077">
        <v>3.8625000000000003</v>
      </c>
      <c r="P1411" s="1077">
        <v>3.09</v>
      </c>
      <c r="Q1411" s="1077" t="s">
        <v>2422</v>
      </c>
      <c r="R1411" s="1077">
        <v>21.3</v>
      </c>
      <c r="T1411" s="1077">
        <v>29.8</v>
      </c>
      <c r="U1411" s="1077">
        <v>3.2</v>
      </c>
      <c r="V1411" s="1077" t="s">
        <v>648</v>
      </c>
      <c r="W1411" s="1077">
        <v>50</v>
      </c>
      <c r="X1411" s="1077">
        <v>10</v>
      </c>
      <c r="Y1411" s="1077">
        <v>2</v>
      </c>
      <c r="Z1411" s="1077" t="s">
        <v>648</v>
      </c>
      <c r="AA1411" s="1077" t="s">
        <v>2614</v>
      </c>
      <c r="AH1411" s="1077" t="s">
        <v>875</v>
      </c>
      <c r="AM1411" s="1078" t="s">
        <v>11833</v>
      </c>
      <c r="AN1411" s="1078" t="s">
        <v>11834</v>
      </c>
      <c r="AO1411" s="1078">
        <f t="shared" si="174"/>
        <v>600</v>
      </c>
      <c r="AP1411" s="1078">
        <f t="shared" si="175"/>
        <v>1.68</v>
      </c>
      <c r="AQ1411" s="1078" t="str">
        <f t="shared" si="176"/>
        <v>1-5-1S87°Z+S</v>
      </c>
      <c r="AR1411" s="1078" t="str">
        <f t="shared" si="177"/>
        <v>31</v>
      </c>
      <c r="AS1411" s="1078" t="str">
        <f t="shared" si="178"/>
        <v>300/300/OFF</v>
      </c>
      <c r="AT1411" s="1078" t="str">
        <f t="shared" si="179"/>
        <v>1-5-1S87°Z+S</v>
      </c>
      <c r="AU1411" s="1078" t="s">
        <v>15547</v>
      </c>
      <c r="AV1411" s="1078" t="str">
        <f t="shared" si="180"/>
        <v>108.4.17</v>
      </c>
      <c r="AW1411" s="1344">
        <f t="shared" ref="AW1411:AW1474" si="181">DATE(VALUE(LEFT(AV1411,FIND(".",AV1411)-1))+1911,
       VALUE(MID(AV1411,FIND(".",AV1411)+1,FIND(".",AV1411,FIND(".",AV1411)+1)-FIND(".",AV1411)-1)),
       VALUE(RIGHT(AV1411,LEN(AV1411)-FIND("~",SUBSTITUTE(AV1411,".","~",2)))))</f>
        <v>43572</v>
      </c>
    </row>
    <row r="1412" spans="1:49">
      <c r="A1412" s="1077" t="s">
        <v>4986</v>
      </c>
      <c r="B1412" s="1077" t="s">
        <v>4987</v>
      </c>
      <c r="C1412" s="1077">
        <v>550</v>
      </c>
      <c r="D1412" s="1077">
        <v>1.7150000000000001</v>
      </c>
      <c r="E1412" s="1077" t="s">
        <v>15113</v>
      </c>
      <c r="F1412" s="1077" t="s">
        <v>4070</v>
      </c>
      <c r="G1412" s="1077">
        <v>5</v>
      </c>
      <c r="H1412" s="1077" t="s">
        <v>4988</v>
      </c>
      <c r="I1412" s="1077" t="s">
        <v>460</v>
      </c>
      <c r="J1412" s="1077">
        <v>1.9</v>
      </c>
      <c r="K1412" s="1077" t="s">
        <v>4989</v>
      </c>
      <c r="L1412" s="1077" t="s">
        <v>4990</v>
      </c>
      <c r="M1412" s="1077">
        <v>155</v>
      </c>
      <c r="N1412" s="1077" t="s">
        <v>945</v>
      </c>
      <c r="O1412" s="1077">
        <v>3.875</v>
      </c>
      <c r="P1412" s="1077">
        <v>3.1</v>
      </c>
      <c r="Q1412" s="1077" t="s">
        <v>1020</v>
      </c>
      <c r="R1412" s="1077">
        <v>21.3</v>
      </c>
      <c r="T1412" s="1077">
        <v>7.9</v>
      </c>
      <c r="U1412" s="1077">
        <v>5.2</v>
      </c>
      <c r="V1412" s="1077" t="s">
        <v>648</v>
      </c>
      <c r="W1412" s="1077">
        <v>135</v>
      </c>
      <c r="X1412" s="1077">
        <v>95</v>
      </c>
      <c r="Y1412" s="1077">
        <v>1.5</v>
      </c>
      <c r="Z1412" s="1077" t="s">
        <v>648</v>
      </c>
      <c r="AA1412" s="1077" t="s">
        <v>1041</v>
      </c>
      <c r="AH1412" s="1077" t="s">
        <v>869</v>
      </c>
      <c r="AM1412" s="1078" t="s">
        <v>11835</v>
      </c>
      <c r="AN1412" s="1078" t="s">
        <v>11836</v>
      </c>
      <c r="AO1412" s="1078">
        <f t="shared" si="174"/>
        <v>550</v>
      </c>
      <c r="AP1412" s="1078">
        <f t="shared" si="175"/>
        <v>1.7150000000000001</v>
      </c>
      <c r="AQ1412" s="1078" t="str">
        <f t="shared" si="176"/>
        <v>105°Z+S</v>
      </c>
      <c r="AR1412" s="1078" t="str">
        <f t="shared" si="177"/>
        <v>15.5</v>
      </c>
      <c r="AS1412" s="1078" t="str">
        <f t="shared" si="178"/>
        <v>250/270/150</v>
      </c>
      <c r="AT1412" s="1078" t="str">
        <f t="shared" si="179"/>
        <v>105°Z+S</v>
      </c>
      <c r="AU1412" s="1078" t="s">
        <v>15547</v>
      </c>
      <c r="AV1412" s="1078" t="str">
        <f t="shared" si="180"/>
        <v>108.4.30</v>
      </c>
      <c r="AW1412" s="1344">
        <f t="shared" si="181"/>
        <v>43585</v>
      </c>
    </row>
    <row r="1413" spans="1:49">
      <c r="A1413" s="1077" t="s">
        <v>4991</v>
      </c>
      <c r="B1413" s="1077" t="s">
        <v>4992</v>
      </c>
      <c r="C1413" s="1077">
        <v>600</v>
      </c>
      <c r="D1413" s="1077">
        <v>1.69</v>
      </c>
      <c r="E1413" s="1077">
        <v>107.5</v>
      </c>
      <c r="F1413" s="1077" t="s">
        <v>648</v>
      </c>
      <c r="G1413" s="1077" t="s">
        <v>1767</v>
      </c>
      <c r="H1413" s="1077" t="s">
        <v>2876</v>
      </c>
      <c r="I1413" s="1077" t="s">
        <v>126</v>
      </c>
      <c r="J1413" s="1077">
        <v>0.9</v>
      </c>
      <c r="K1413" s="1077" t="s">
        <v>4993</v>
      </c>
      <c r="L1413" s="1077" t="s">
        <v>4994</v>
      </c>
      <c r="M1413" s="1077">
        <v>149</v>
      </c>
      <c r="N1413" s="1077" t="s">
        <v>945</v>
      </c>
      <c r="O1413" s="1077">
        <v>3.7250000000000001</v>
      </c>
      <c r="P1413" s="1077">
        <v>2.98</v>
      </c>
      <c r="Q1413" s="1077" t="s">
        <v>2401</v>
      </c>
      <c r="R1413" s="1077">
        <v>22.2</v>
      </c>
      <c r="T1413" s="1077">
        <v>22</v>
      </c>
      <c r="U1413" s="1077">
        <v>4.7</v>
      </c>
      <c r="V1413" s="1077" t="s">
        <v>648</v>
      </c>
      <c r="W1413" s="1077">
        <v>50</v>
      </c>
      <c r="X1413" s="1077">
        <v>10</v>
      </c>
      <c r="Y1413" s="1077">
        <v>1</v>
      </c>
      <c r="Z1413" s="1077" t="s">
        <v>648</v>
      </c>
      <c r="AA1413" s="1077" t="s">
        <v>4995</v>
      </c>
      <c r="AH1413" s="1077" t="s">
        <v>854</v>
      </c>
      <c r="AM1413" s="1078" t="s">
        <v>11837</v>
      </c>
      <c r="AN1413" s="1078" t="s">
        <v>11838</v>
      </c>
      <c r="AO1413" s="1078">
        <f t="shared" si="174"/>
        <v>600</v>
      </c>
      <c r="AP1413" s="1078">
        <f t="shared" si="175"/>
        <v>1.69</v>
      </c>
      <c r="AQ1413" s="1078">
        <f t="shared" si="176"/>
        <v>107.5</v>
      </c>
      <c r="AR1413" s="1078" t="str">
        <f t="shared" si="177"/>
        <v>NA</v>
      </c>
      <c r="AS1413" s="1078" t="str">
        <f t="shared" si="178"/>
        <v>290/290/OFF</v>
      </c>
      <c r="AT1413" s="1078">
        <f t="shared" si="179"/>
        <v>107.5</v>
      </c>
      <c r="AV1413" s="1078" t="str">
        <f t="shared" si="180"/>
        <v>108.5.7</v>
      </c>
      <c r="AW1413" s="1344">
        <f t="shared" si="181"/>
        <v>43592</v>
      </c>
    </row>
    <row r="1414" spans="1:49">
      <c r="A1414" s="1077" t="s">
        <v>4996</v>
      </c>
      <c r="B1414" s="1077" t="s">
        <v>4767</v>
      </c>
      <c r="C1414" s="1077">
        <v>650</v>
      </c>
      <c r="D1414" s="1077">
        <v>1.71</v>
      </c>
      <c r="E1414" s="1077" t="s">
        <v>4861</v>
      </c>
      <c r="F1414" s="1077" t="s">
        <v>648</v>
      </c>
      <c r="G1414" s="1077">
        <v>5</v>
      </c>
      <c r="H1414" s="1077" t="s">
        <v>4997</v>
      </c>
      <c r="I1414" s="1077" t="s">
        <v>126</v>
      </c>
      <c r="J1414" s="1077">
        <v>1.2</v>
      </c>
      <c r="K1414" s="1077" t="s">
        <v>4998</v>
      </c>
      <c r="L1414" s="1077" t="s">
        <v>1776</v>
      </c>
      <c r="M1414" s="1077">
        <v>148</v>
      </c>
      <c r="N1414" s="1077" t="s">
        <v>945</v>
      </c>
      <c r="O1414" s="1077">
        <v>3.7</v>
      </c>
      <c r="P1414" s="1077">
        <v>2.96</v>
      </c>
      <c r="Q1414" s="1077" t="s">
        <v>956</v>
      </c>
      <c r="R1414" s="1077">
        <v>20.8</v>
      </c>
      <c r="T1414" s="1077">
        <v>20.399999999999999</v>
      </c>
      <c r="U1414" s="1077">
        <v>3.8</v>
      </c>
      <c r="V1414" s="1077" t="s">
        <v>648</v>
      </c>
      <c r="W1414" s="1077">
        <v>110</v>
      </c>
      <c r="X1414" s="1077">
        <v>60</v>
      </c>
      <c r="Y1414" s="1077">
        <v>1.7</v>
      </c>
      <c r="Z1414" s="1077" t="s">
        <v>648</v>
      </c>
      <c r="AA1414" s="1077" t="s">
        <v>4999</v>
      </c>
      <c r="AH1414" s="1077" t="s">
        <v>870</v>
      </c>
      <c r="AM1414" s="1078" t="s">
        <v>11839</v>
      </c>
      <c r="AN1414" s="1078" t="s">
        <v>11840</v>
      </c>
      <c r="AO1414" s="1078">
        <f t="shared" si="174"/>
        <v>650</v>
      </c>
      <c r="AP1414" s="1078">
        <f t="shared" si="175"/>
        <v>1.71</v>
      </c>
      <c r="AQ1414" s="1078" t="str">
        <f t="shared" si="176"/>
        <v>105°</v>
      </c>
      <c r="AR1414" s="1078" t="str">
        <f t="shared" si="177"/>
        <v>NA</v>
      </c>
      <c r="AS1414" s="1078" t="str">
        <f t="shared" si="178"/>
        <v>360/320/OFF</v>
      </c>
      <c r="AT1414" s="1078" t="str">
        <f t="shared" si="179"/>
        <v>105°</v>
      </c>
      <c r="AV1414" s="1078" t="str">
        <f t="shared" si="180"/>
        <v>108.5.9</v>
      </c>
      <c r="AW1414" s="1344">
        <f t="shared" si="181"/>
        <v>43594</v>
      </c>
    </row>
    <row r="1415" spans="1:49">
      <c r="A1415" s="1077" t="s">
        <v>5000</v>
      </c>
      <c r="B1415" s="1077" t="s">
        <v>4912</v>
      </c>
      <c r="C1415" s="1077">
        <v>750</v>
      </c>
      <c r="D1415" s="1077">
        <v>1.78</v>
      </c>
      <c r="E1415" s="1077" t="s">
        <v>15094</v>
      </c>
      <c r="F1415" s="1077" t="s">
        <v>2234</v>
      </c>
      <c r="G1415" s="1077">
        <v>5</v>
      </c>
      <c r="H1415" s="1077" t="s">
        <v>5001</v>
      </c>
      <c r="I1415" s="1077" t="s">
        <v>126</v>
      </c>
      <c r="J1415" s="1077">
        <v>1.9</v>
      </c>
      <c r="K1415" s="1077" t="s">
        <v>5002</v>
      </c>
      <c r="L1415" s="1077" t="s">
        <v>4915</v>
      </c>
      <c r="M1415" s="1077">
        <v>154.5</v>
      </c>
      <c r="N1415" s="1077" t="s">
        <v>945</v>
      </c>
      <c r="O1415" s="1077">
        <v>3.8625000000000003</v>
      </c>
      <c r="P1415" s="1077">
        <v>3.09</v>
      </c>
      <c r="Q1415" s="1077" t="s">
        <v>5003</v>
      </c>
      <c r="R1415" s="1077">
        <v>22</v>
      </c>
      <c r="T1415" s="1077">
        <v>20</v>
      </c>
      <c r="U1415" s="1077">
        <v>3.5</v>
      </c>
      <c r="V1415" s="1077" t="s">
        <v>648</v>
      </c>
      <c r="W1415" s="1077" t="s">
        <v>2532</v>
      </c>
      <c r="X1415" s="1077">
        <v>40</v>
      </c>
      <c r="Y1415" s="1077">
        <v>1.4</v>
      </c>
      <c r="Z1415" s="1077">
        <v>6</v>
      </c>
      <c r="AA1415" s="1077" t="s">
        <v>4999</v>
      </c>
      <c r="AH1415" s="1077" t="s">
        <v>994</v>
      </c>
      <c r="AM1415" s="1078" t="s">
        <v>11841</v>
      </c>
      <c r="AN1415" s="1078" t="s">
        <v>11842</v>
      </c>
      <c r="AO1415" s="1078">
        <f t="shared" si="174"/>
        <v>750</v>
      </c>
      <c r="AP1415" s="1078">
        <f t="shared" si="175"/>
        <v>1.78</v>
      </c>
      <c r="AQ1415" s="1078" t="str">
        <f t="shared" si="176"/>
        <v>1-5-1S91°</v>
      </c>
      <c r="AR1415" s="1078" t="str">
        <f t="shared" si="177"/>
        <v>33.5</v>
      </c>
      <c r="AS1415" s="1078" t="str">
        <f t="shared" si="178"/>
        <v>345/345/150</v>
      </c>
      <c r="AT1415" s="1078" t="str">
        <f t="shared" si="179"/>
        <v>1-5-1S91°</v>
      </c>
      <c r="AV1415" s="1078" t="str">
        <f t="shared" si="180"/>
        <v>108.5.9</v>
      </c>
      <c r="AW1415" s="1344">
        <f t="shared" si="181"/>
        <v>43594</v>
      </c>
    </row>
    <row r="1416" spans="1:49">
      <c r="A1416" s="1077" t="s">
        <v>5004</v>
      </c>
      <c r="B1416" s="1077" t="s">
        <v>5005</v>
      </c>
      <c r="C1416" s="1077">
        <v>500</v>
      </c>
      <c r="D1416" s="1077">
        <v>1.68</v>
      </c>
      <c r="E1416" s="1077" t="s">
        <v>4861</v>
      </c>
      <c r="F1416" s="1077" t="s">
        <v>648</v>
      </c>
      <c r="G1416" s="1077">
        <v>4</v>
      </c>
      <c r="H1416" s="1077" t="s">
        <v>2540</v>
      </c>
      <c r="I1416" s="1077" t="s">
        <v>126</v>
      </c>
      <c r="J1416" s="1077">
        <v>1.5</v>
      </c>
      <c r="K1416" s="1077" t="s">
        <v>5006</v>
      </c>
      <c r="L1416" s="1077" t="s">
        <v>5007</v>
      </c>
      <c r="M1416" s="1077">
        <v>154</v>
      </c>
      <c r="N1416" s="1077" t="s">
        <v>945</v>
      </c>
      <c r="O1416" s="1077">
        <v>3.85</v>
      </c>
      <c r="P1416" s="1077">
        <v>3.08</v>
      </c>
      <c r="Q1416" s="1077" t="s">
        <v>2782</v>
      </c>
      <c r="R1416" s="1077">
        <v>24</v>
      </c>
      <c r="T1416" s="1077">
        <v>15</v>
      </c>
      <c r="U1416" s="1077">
        <v>4.2</v>
      </c>
      <c r="V1416" s="1077" t="s">
        <v>648</v>
      </c>
      <c r="W1416" s="1077">
        <v>140</v>
      </c>
      <c r="X1416" s="1077">
        <v>90</v>
      </c>
      <c r="Y1416" s="1077">
        <v>1.6</v>
      </c>
      <c r="Z1416" s="1077" t="s">
        <v>648</v>
      </c>
      <c r="AA1416" s="1077" t="s">
        <v>2638</v>
      </c>
      <c r="AH1416" s="1077" t="s">
        <v>1643</v>
      </c>
      <c r="AM1416" s="1078" t="s">
        <v>11843</v>
      </c>
      <c r="AN1416" s="1078" t="s">
        <v>11844</v>
      </c>
      <c r="AO1416" s="1078">
        <f t="shared" si="174"/>
        <v>500</v>
      </c>
      <c r="AP1416" s="1078">
        <f t="shared" si="175"/>
        <v>1.68</v>
      </c>
      <c r="AQ1416" s="1078" t="str">
        <f t="shared" si="176"/>
        <v>105°</v>
      </c>
      <c r="AR1416" s="1078" t="str">
        <f t="shared" si="177"/>
        <v>NA</v>
      </c>
      <c r="AS1416" s="1078" t="str">
        <f t="shared" si="178"/>
        <v>300/300/OFF</v>
      </c>
      <c r="AT1416" s="1078" t="str">
        <f t="shared" si="179"/>
        <v>105°</v>
      </c>
      <c r="AV1416" s="1078" t="str">
        <f t="shared" si="180"/>
        <v>108.5.17</v>
      </c>
      <c r="AW1416" s="1344">
        <f t="shared" si="181"/>
        <v>43602</v>
      </c>
    </row>
    <row r="1417" spans="1:49">
      <c r="A1417" s="1077" t="s">
        <v>5008</v>
      </c>
      <c r="B1417" s="1077" t="s">
        <v>4976</v>
      </c>
      <c r="C1417" s="1077">
        <v>650</v>
      </c>
      <c r="D1417" s="1077">
        <v>1.7849999999999999</v>
      </c>
      <c r="E1417" s="1077" t="s">
        <v>15099</v>
      </c>
      <c r="F1417" s="1077" t="s">
        <v>975</v>
      </c>
      <c r="G1417" s="1077">
        <v>5</v>
      </c>
      <c r="H1417" s="1077" t="s">
        <v>4977</v>
      </c>
      <c r="I1417" s="1077" t="s">
        <v>126</v>
      </c>
      <c r="J1417" s="1077">
        <v>0.4</v>
      </c>
      <c r="K1417" s="1077" t="s">
        <v>4978</v>
      </c>
      <c r="L1417" s="1077" t="s">
        <v>4979</v>
      </c>
      <c r="M1417" s="1077">
        <v>146.19999999999999</v>
      </c>
      <c r="N1417" s="1077" t="s">
        <v>945</v>
      </c>
      <c r="O1417" s="1077">
        <v>3.6549999999999998</v>
      </c>
      <c r="P1417" s="1077">
        <v>2.9239999999999999</v>
      </c>
      <c r="Q1417" s="1077" t="s">
        <v>2401</v>
      </c>
      <c r="R1417" s="1077">
        <v>19.100000000000001</v>
      </c>
      <c r="T1417" s="1077">
        <v>26.1</v>
      </c>
      <c r="U1417" s="1077">
        <v>2.6</v>
      </c>
      <c r="V1417" s="1077" t="s">
        <v>648</v>
      </c>
      <c r="W1417" s="1077">
        <v>30</v>
      </c>
      <c r="X1417" s="1077">
        <v>10</v>
      </c>
      <c r="Y1417" s="1077">
        <v>1.6</v>
      </c>
      <c r="Z1417" s="1077" t="s">
        <v>5009</v>
      </c>
      <c r="AA1417" s="1077" t="s">
        <v>5010</v>
      </c>
      <c r="AH1417" s="1077" t="s">
        <v>884</v>
      </c>
      <c r="AM1417" s="1078" t="s">
        <v>11845</v>
      </c>
      <c r="AN1417" s="1078" t="s">
        <v>11846</v>
      </c>
      <c r="AO1417" s="1078">
        <f t="shared" si="174"/>
        <v>650</v>
      </c>
      <c r="AP1417" s="1078">
        <f t="shared" si="175"/>
        <v>1.7849999999999999</v>
      </c>
      <c r="AQ1417" s="1078" t="str">
        <f t="shared" si="176"/>
        <v>1-5-1S87°</v>
      </c>
      <c r="AR1417" s="1078" t="str">
        <f t="shared" si="177"/>
        <v>31.5</v>
      </c>
      <c r="AS1417" s="1078" t="str">
        <f t="shared" si="178"/>
        <v>340/337/152</v>
      </c>
      <c r="AT1417" s="1078" t="str">
        <f t="shared" si="179"/>
        <v>1-5-1S87°</v>
      </c>
      <c r="AV1417" s="1078" t="str">
        <f t="shared" si="180"/>
        <v>108.5.16</v>
      </c>
      <c r="AW1417" s="1344">
        <f t="shared" si="181"/>
        <v>43601</v>
      </c>
    </row>
    <row r="1418" spans="1:49">
      <c r="A1418" s="1077" t="s">
        <v>5011</v>
      </c>
      <c r="B1418" s="1077" t="s">
        <v>5012</v>
      </c>
      <c r="C1418" s="1077">
        <v>550</v>
      </c>
      <c r="D1418" s="1077">
        <v>1.69</v>
      </c>
      <c r="E1418" s="1077" t="s">
        <v>5013</v>
      </c>
      <c r="F1418" s="1077" t="s">
        <v>4070</v>
      </c>
      <c r="G1418" s="1077">
        <v>4</v>
      </c>
      <c r="H1418" s="1077" t="s">
        <v>5014</v>
      </c>
      <c r="I1418" s="1077" t="s">
        <v>126</v>
      </c>
      <c r="J1418" s="1077">
        <v>1.2</v>
      </c>
      <c r="K1418" s="1077" t="s">
        <v>5015</v>
      </c>
      <c r="L1418" s="1077" t="s">
        <v>2586</v>
      </c>
      <c r="M1418" s="1077">
        <v>154</v>
      </c>
      <c r="N1418" s="1077" t="s">
        <v>945</v>
      </c>
      <c r="O1418" s="1077">
        <v>3.85</v>
      </c>
      <c r="P1418" s="1077">
        <v>3.08</v>
      </c>
      <c r="Q1418" s="1077" t="s">
        <v>1037</v>
      </c>
      <c r="R1418" s="1077">
        <v>25</v>
      </c>
      <c r="T1418" s="1077">
        <v>10.5</v>
      </c>
      <c r="U1418" s="1077">
        <v>4.3</v>
      </c>
      <c r="V1418" s="1077" t="s">
        <v>648</v>
      </c>
      <c r="W1418" s="1077">
        <v>125</v>
      </c>
      <c r="X1418" s="1077">
        <v>80</v>
      </c>
      <c r="Y1418" s="1077">
        <v>1.6</v>
      </c>
      <c r="Z1418" s="1077" t="s">
        <v>648</v>
      </c>
      <c r="AA1418" s="1077" t="s">
        <v>1056</v>
      </c>
      <c r="AH1418" s="1077" t="s">
        <v>723</v>
      </c>
      <c r="AM1418" s="1078" t="s">
        <v>11847</v>
      </c>
      <c r="AN1418" s="1078" t="s">
        <v>11848</v>
      </c>
      <c r="AO1418" s="1078">
        <f t="shared" si="174"/>
        <v>550</v>
      </c>
      <c r="AP1418" s="1078">
        <f t="shared" si="175"/>
        <v>1.69</v>
      </c>
      <c r="AQ1418" s="1078" t="str">
        <f t="shared" si="176"/>
        <v>107.5°</v>
      </c>
      <c r="AR1418" s="1078" t="str">
        <f t="shared" si="177"/>
        <v>15.5</v>
      </c>
      <c r="AS1418" s="1078" t="str">
        <f t="shared" si="178"/>
        <v>290/275/OFF</v>
      </c>
      <c r="AT1418" s="1078" t="str">
        <f t="shared" si="179"/>
        <v>107.5°</v>
      </c>
      <c r="AV1418" s="1078" t="str">
        <f t="shared" si="180"/>
        <v>108.5.21</v>
      </c>
      <c r="AW1418" s="1344">
        <f t="shared" si="181"/>
        <v>43606</v>
      </c>
    </row>
    <row r="1419" spans="1:49">
      <c r="A1419" s="1077" t="s">
        <v>5016</v>
      </c>
      <c r="B1419" s="1077" t="s">
        <v>4694</v>
      </c>
      <c r="C1419" s="1077">
        <v>600</v>
      </c>
      <c r="D1419" s="1077">
        <v>1.74</v>
      </c>
      <c r="E1419" s="1077" t="s">
        <v>15102</v>
      </c>
      <c r="F1419" s="1077" t="s">
        <v>1469</v>
      </c>
      <c r="G1419" s="1077">
        <v>5</v>
      </c>
      <c r="H1419" s="1077" t="s">
        <v>5017</v>
      </c>
      <c r="I1419" s="1077" t="s">
        <v>1112</v>
      </c>
      <c r="J1419" s="1077">
        <v>2.5</v>
      </c>
      <c r="K1419" s="1077" t="s">
        <v>5018</v>
      </c>
      <c r="L1419" s="1077" t="s">
        <v>4702</v>
      </c>
      <c r="M1419" s="1077">
        <v>151.30000000000001</v>
      </c>
      <c r="N1419" s="1077" t="s">
        <v>945</v>
      </c>
      <c r="O1419" s="1077">
        <v>3.7825000000000006</v>
      </c>
      <c r="P1419" s="1077">
        <v>3.0260000000000002</v>
      </c>
      <c r="Q1419" s="1077" t="s">
        <v>988</v>
      </c>
      <c r="R1419" s="1077">
        <v>20.7</v>
      </c>
      <c r="T1419" s="1077">
        <v>15.5</v>
      </c>
      <c r="U1419" s="1077">
        <v>3</v>
      </c>
      <c r="V1419" s="1077" t="s">
        <v>648</v>
      </c>
      <c r="W1419" s="1077">
        <v>130</v>
      </c>
      <c r="X1419" s="1077">
        <v>75</v>
      </c>
      <c r="Y1419" s="1077">
        <v>1.2</v>
      </c>
      <c r="Z1419" s="1077">
        <v>4.8</v>
      </c>
      <c r="AA1419" s="1077" t="s">
        <v>2624</v>
      </c>
      <c r="AH1419" s="1077" t="s">
        <v>812</v>
      </c>
      <c r="AM1419" s="1078" t="s">
        <v>11849</v>
      </c>
      <c r="AN1419" s="1078" t="s">
        <v>11850</v>
      </c>
      <c r="AO1419" s="1078">
        <f t="shared" ref="AO1419:AO1482" si="182">C1419</f>
        <v>600</v>
      </c>
      <c r="AP1419" s="1078">
        <f t="shared" ref="AP1419:AP1482" si="183">D1419</f>
        <v>1.74</v>
      </c>
      <c r="AQ1419" s="1078" t="str">
        <f t="shared" ref="AQ1419:AQ1482" si="184">E1419</f>
        <v>2-6-1S83°</v>
      </c>
      <c r="AR1419" s="1078" t="str">
        <f t="shared" ref="AR1419:AR1482" si="185">F1419</f>
        <v>30.5</v>
      </c>
      <c r="AS1419" s="1078" t="str">
        <f t="shared" ref="AS1419:AS1482" si="186">H1419</f>
        <v>187/170</v>
      </c>
      <c r="AT1419" s="1078" t="str">
        <f t="shared" ref="AT1419:AT1482" si="187">E1419</f>
        <v>2-6-1S83°</v>
      </c>
      <c r="AV1419" s="1078" t="str">
        <f t="shared" si="180"/>
        <v>108.5.27</v>
      </c>
      <c r="AW1419" s="1344">
        <f t="shared" si="181"/>
        <v>43612</v>
      </c>
    </row>
    <row r="1420" spans="1:49">
      <c r="A1420" s="1077" t="s">
        <v>5019</v>
      </c>
      <c r="B1420" s="1077" t="s">
        <v>5012</v>
      </c>
      <c r="C1420" s="1077">
        <v>600</v>
      </c>
      <c r="D1420" s="1077">
        <v>1.7</v>
      </c>
      <c r="E1420" s="1077" t="s">
        <v>15114</v>
      </c>
      <c r="F1420" s="1077" t="s">
        <v>648</v>
      </c>
      <c r="G1420" s="1077">
        <v>4</v>
      </c>
      <c r="H1420" s="1077" t="s">
        <v>1166</v>
      </c>
      <c r="I1420" s="1077" t="s">
        <v>126</v>
      </c>
      <c r="J1420" s="1077">
        <v>1.3</v>
      </c>
      <c r="K1420" s="1077" t="s">
        <v>5015</v>
      </c>
      <c r="L1420" s="1077" t="s">
        <v>2586</v>
      </c>
      <c r="M1420" s="1077">
        <v>154.30000000000001</v>
      </c>
      <c r="N1420" s="1077" t="s">
        <v>945</v>
      </c>
      <c r="O1420" s="1077">
        <v>3.8575000000000004</v>
      </c>
      <c r="P1420" s="1077">
        <v>3.0860000000000003</v>
      </c>
      <c r="Q1420" s="1077" t="s">
        <v>988</v>
      </c>
      <c r="R1420" s="1077">
        <v>22.1</v>
      </c>
      <c r="T1420" s="1077">
        <v>10.5</v>
      </c>
      <c r="U1420" s="1077">
        <v>4.0999999999999996</v>
      </c>
      <c r="V1420" s="1077" t="s">
        <v>648</v>
      </c>
      <c r="W1420" s="1077">
        <v>125</v>
      </c>
      <c r="X1420" s="1077">
        <v>80</v>
      </c>
      <c r="Y1420" s="1077">
        <v>2</v>
      </c>
      <c r="Z1420" s="1077" t="s">
        <v>648</v>
      </c>
      <c r="AA1420" s="1077" t="s">
        <v>5020</v>
      </c>
      <c r="AH1420" s="1077" t="s">
        <v>842</v>
      </c>
      <c r="AM1420" s="1078" t="s">
        <v>11851</v>
      </c>
      <c r="AN1420" s="1078" t="s">
        <v>11852</v>
      </c>
      <c r="AO1420" s="1078">
        <f t="shared" si="182"/>
        <v>600</v>
      </c>
      <c r="AP1420" s="1078">
        <f t="shared" si="183"/>
        <v>1.7</v>
      </c>
      <c r="AQ1420" s="1078" t="str">
        <f t="shared" si="184"/>
        <v>1-4-1S85Z+S</v>
      </c>
      <c r="AR1420" s="1078" t="str">
        <f t="shared" si="185"/>
        <v>NA</v>
      </c>
      <c r="AS1420" s="1078" t="str">
        <f t="shared" si="186"/>
        <v>170/OFF</v>
      </c>
      <c r="AT1420" s="1078" t="str">
        <f t="shared" si="187"/>
        <v>1-4-1S85Z+S</v>
      </c>
      <c r="AV1420" s="1078" t="str">
        <f t="shared" si="180"/>
        <v>108.5.24</v>
      </c>
      <c r="AW1420" s="1344">
        <f t="shared" si="181"/>
        <v>43609</v>
      </c>
    </row>
    <row r="1421" spans="1:49">
      <c r="A1421" s="1077" t="s">
        <v>5021</v>
      </c>
      <c r="B1421" s="1077" t="s">
        <v>844</v>
      </c>
      <c r="C1421" s="1077">
        <v>550</v>
      </c>
      <c r="D1421" s="1077">
        <v>1.7649999999999999</v>
      </c>
      <c r="E1421" s="1077" t="s">
        <v>15102</v>
      </c>
      <c r="F1421" s="1077" t="s">
        <v>1398</v>
      </c>
      <c r="G1421" s="1077">
        <v>5</v>
      </c>
      <c r="H1421" s="1077" t="s">
        <v>4930</v>
      </c>
      <c r="I1421" s="1077" t="s">
        <v>460</v>
      </c>
      <c r="J1421" s="1077">
        <v>3.4</v>
      </c>
      <c r="K1421" s="1077" t="s">
        <v>5022</v>
      </c>
      <c r="L1421" s="1077" t="s">
        <v>4907</v>
      </c>
      <c r="M1421" s="1077">
        <v>152.5</v>
      </c>
      <c r="N1421" s="1077" t="s">
        <v>945</v>
      </c>
      <c r="O1421" s="1077">
        <v>3.8125</v>
      </c>
      <c r="P1421" s="1077">
        <v>3.0500000000000003</v>
      </c>
      <c r="Q1421" s="1077" t="s">
        <v>1369</v>
      </c>
      <c r="R1421" s="1077">
        <v>21</v>
      </c>
      <c r="T1421" s="1077">
        <v>9.1999999999999993</v>
      </c>
      <c r="U1421" s="1077">
        <v>5.4</v>
      </c>
      <c r="V1421" s="1077" t="s">
        <v>648</v>
      </c>
      <c r="W1421" s="1077">
        <v>110</v>
      </c>
      <c r="X1421" s="1077">
        <v>90</v>
      </c>
      <c r="Y1421" s="1077">
        <v>2</v>
      </c>
      <c r="Z1421" s="1077">
        <v>4.5</v>
      </c>
      <c r="AA1421" s="1077" t="s">
        <v>5023</v>
      </c>
      <c r="AH1421" s="1077" t="s">
        <v>1417</v>
      </c>
      <c r="AM1421" s="1078" t="s">
        <v>11853</v>
      </c>
      <c r="AN1421" s="1078" t="s">
        <v>11854</v>
      </c>
      <c r="AO1421" s="1078">
        <f t="shared" si="182"/>
        <v>550</v>
      </c>
      <c r="AP1421" s="1078">
        <f t="shared" si="183"/>
        <v>1.7649999999999999</v>
      </c>
      <c r="AQ1421" s="1078" t="str">
        <f t="shared" si="184"/>
        <v>2-6-1S83°</v>
      </c>
      <c r="AR1421" s="1078" t="str">
        <f t="shared" si="185"/>
        <v>32.5</v>
      </c>
      <c r="AS1421" s="1078" t="str">
        <f t="shared" si="186"/>
        <v>160/155</v>
      </c>
      <c r="AT1421" s="1078" t="str">
        <f t="shared" si="187"/>
        <v>2-6-1S83°</v>
      </c>
      <c r="AV1421" s="1078" t="str">
        <f t="shared" si="180"/>
        <v>108.6.17</v>
      </c>
      <c r="AW1421" s="1344">
        <f t="shared" si="181"/>
        <v>43633</v>
      </c>
    </row>
    <row r="1422" spans="1:49">
      <c r="A1422" s="1077" t="s">
        <v>5024</v>
      </c>
      <c r="B1422" s="1077" t="s">
        <v>4944</v>
      </c>
      <c r="C1422" s="1077">
        <v>650</v>
      </c>
      <c r="D1422" s="1077">
        <v>1.76</v>
      </c>
      <c r="E1422" s="1077" t="s">
        <v>15094</v>
      </c>
      <c r="F1422" s="1077" t="s">
        <v>2234</v>
      </c>
      <c r="G1422" s="1077">
        <v>5</v>
      </c>
      <c r="H1422" s="1077" t="s">
        <v>1793</v>
      </c>
      <c r="I1422" s="1077" t="s">
        <v>126</v>
      </c>
      <c r="J1422" s="1077">
        <v>1.4</v>
      </c>
      <c r="K1422" s="1077" t="s">
        <v>5025</v>
      </c>
      <c r="L1422" s="1077" t="s">
        <v>4946</v>
      </c>
      <c r="M1422" s="1077">
        <v>150.6</v>
      </c>
      <c r="N1422" s="1077" t="s">
        <v>945</v>
      </c>
      <c r="O1422" s="1077">
        <v>3.7650000000000001</v>
      </c>
      <c r="P1422" s="1077">
        <v>3.012</v>
      </c>
      <c r="Q1422" s="1077" t="s">
        <v>2794</v>
      </c>
      <c r="R1422" s="1077">
        <v>26</v>
      </c>
      <c r="T1422" s="1077">
        <v>14.8</v>
      </c>
      <c r="U1422" s="1077">
        <v>6.7</v>
      </c>
      <c r="V1422" s="1077" t="s">
        <v>648</v>
      </c>
      <c r="W1422" s="1077">
        <v>90</v>
      </c>
      <c r="X1422" s="1077">
        <v>10</v>
      </c>
      <c r="Y1422" s="1077">
        <v>1.3</v>
      </c>
      <c r="Z1422" s="1077">
        <v>6</v>
      </c>
      <c r="AA1422" s="1077" t="s">
        <v>2651</v>
      </c>
      <c r="AH1422" s="1077" t="s">
        <v>722</v>
      </c>
      <c r="AM1422" s="1078" t="s">
        <v>11855</v>
      </c>
      <c r="AN1422" s="1078" t="s">
        <v>11856</v>
      </c>
      <c r="AO1422" s="1078">
        <f t="shared" si="182"/>
        <v>650</v>
      </c>
      <c r="AP1422" s="1078">
        <f t="shared" si="183"/>
        <v>1.76</v>
      </c>
      <c r="AQ1422" s="1078" t="str">
        <f t="shared" si="184"/>
        <v>1-5-1S91°</v>
      </c>
      <c r="AR1422" s="1078" t="str">
        <f t="shared" si="185"/>
        <v>33.5</v>
      </c>
      <c r="AS1422" s="1078" t="str">
        <f t="shared" si="186"/>
        <v>270/270/OFF</v>
      </c>
      <c r="AT1422" s="1078" t="str">
        <f t="shared" si="187"/>
        <v>1-5-1S91°</v>
      </c>
      <c r="AV1422" s="1078" t="str">
        <f t="shared" si="180"/>
        <v>108.6.3</v>
      </c>
      <c r="AW1422" s="1344">
        <f t="shared" si="181"/>
        <v>43619</v>
      </c>
    </row>
    <row r="1423" spans="1:49">
      <c r="A1423" s="1077" t="s">
        <v>5026</v>
      </c>
      <c r="B1423" s="1077" t="s">
        <v>4885</v>
      </c>
      <c r="C1423" s="1077">
        <v>600</v>
      </c>
      <c r="D1423" s="1077">
        <v>1.79</v>
      </c>
      <c r="E1423" s="1077" t="s">
        <v>15094</v>
      </c>
      <c r="F1423" s="1077" t="s">
        <v>2234</v>
      </c>
      <c r="G1423" s="1077">
        <v>5</v>
      </c>
      <c r="H1423" s="1077" t="s">
        <v>5027</v>
      </c>
      <c r="I1423" s="1077" t="s">
        <v>126</v>
      </c>
      <c r="J1423" s="1077">
        <v>0.6</v>
      </c>
      <c r="K1423" s="1077" t="s">
        <v>4887</v>
      </c>
      <c r="L1423" s="1077" t="s">
        <v>4888</v>
      </c>
      <c r="M1423" s="1077">
        <v>150.9</v>
      </c>
      <c r="N1423" s="1077" t="s">
        <v>945</v>
      </c>
      <c r="O1423" s="1077">
        <v>3.7725000000000004</v>
      </c>
      <c r="P1423" s="1077">
        <v>3.0180000000000002</v>
      </c>
      <c r="Q1423" s="1077" t="s">
        <v>2593</v>
      </c>
      <c r="R1423" s="1077">
        <v>21.8</v>
      </c>
      <c r="T1423" s="1077">
        <v>24.1</v>
      </c>
      <c r="U1423" s="1077">
        <v>2.7</v>
      </c>
      <c r="V1423" s="1077" t="s">
        <v>648</v>
      </c>
      <c r="W1423" s="1077">
        <v>45</v>
      </c>
      <c r="X1423" s="1077">
        <v>10</v>
      </c>
      <c r="Y1423" s="1077">
        <v>1.8</v>
      </c>
      <c r="Z1423" s="1077" t="s">
        <v>5028</v>
      </c>
      <c r="AA1423" s="1077" t="s">
        <v>1106</v>
      </c>
      <c r="AH1423" s="1077" t="s">
        <v>684</v>
      </c>
      <c r="AM1423" s="1078" t="s">
        <v>11857</v>
      </c>
      <c r="AN1423" s="1078" t="s">
        <v>11858</v>
      </c>
      <c r="AO1423" s="1078">
        <f t="shared" si="182"/>
        <v>600</v>
      </c>
      <c r="AP1423" s="1078">
        <f t="shared" si="183"/>
        <v>1.79</v>
      </c>
      <c r="AQ1423" s="1078" t="str">
        <f t="shared" si="184"/>
        <v>1-5-1S91°</v>
      </c>
      <c r="AR1423" s="1078" t="str">
        <f t="shared" si="185"/>
        <v>33.5</v>
      </c>
      <c r="AS1423" s="1078" t="str">
        <f t="shared" si="186"/>
        <v>320/320/140</v>
      </c>
      <c r="AT1423" s="1078" t="str">
        <f t="shared" si="187"/>
        <v>1-5-1S91°</v>
      </c>
      <c r="AV1423" s="1078" t="str">
        <f t="shared" si="180"/>
        <v>108.6.14</v>
      </c>
      <c r="AW1423" s="1344">
        <f t="shared" si="181"/>
        <v>43630</v>
      </c>
    </row>
    <row r="1424" spans="1:49">
      <c r="A1424" s="1077" t="s">
        <v>5029</v>
      </c>
      <c r="B1424" s="1077" t="s">
        <v>4885</v>
      </c>
      <c r="C1424" s="1077">
        <v>600</v>
      </c>
      <c r="D1424" s="1077">
        <v>1.79</v>
      </c>
      <c r="E1424" s="1077" t="s">
        <v>15094</v>
      </c>
      <c r="F1424" s="1077" t="s">
        <v>2234</v>
      </c>
      <c r="G1424" s="1077">
        <v>5</v>
      </c>
      <c r="H1424" s="1077" t="s">
        <v>5030</v>
      </c>
      <c r="I1424" s="1077" t="s">
        <v>126</v>
      </c>
      <c r="J1424" s="1077">
        <v>4</v>
      </c>
      <c r="K1424" s="1077" t="s">
        <v>4887</v>
      </c>
      <c r="L1424" s="1077" t="s">
        <v>4888</v>
      </c>
      <c r="M1424" s="1077">
        <v>152.5</v>
      </c>
      <c r="N1424" s="1077" t="s">
        <v>945</v>
      </c>
      <c r="O1424" s="1077">
        <v>3.8125</v>
      </c>
      <c r="P1424" s="1077">
        <v>3.0500000000000003</v>
      </c>
      <c r="Q1424" s="1077" t="s">
        <v>1264</v>
      </c>
      <c r="R1424" s="1077">
        <v>21.5</v>
      </c>
      <c r="T1424" s="1077">
        <v>17.5</v>
      </c>
      <c r="U1424" s="1077">
        <v>2.9</v>
      </c>
      <c r="V1424" s="1077" t="s">
        <v>648</v>
      </c>
      <c r="W1424" s="1077">
        <v>125</v>
      </c>
      <c r="X1424" s="1077">
        <v>90</v>
      </c>
      <c r="Y1424" s="1077">
        <v>1.9</v>
      </c>
      <c r="Z1424" s="1077">
        <v>5.5</v>
      </c>
      <c r="AA1424" s="1077" t="s">
        <v>5023</v>
      </c>
      <c r="AB1424" s="1077" t="s">
        <v>2680</v>
      </c>
      <c r="AH1424" s="1077" t="s">
        <v>838</v>
      </c>
      <c r="AM1424" s="1078" t="s">
        <v>11859</v>
      </c>
      <c r="AN1424" s="1078" t="s">
        <v>11860</v>
      </c>
      <c r="AO1424" s="1078">
        <f t="shared" si="182"/>
        <v>600</v>
      </c>
      <c r="AP1424" s="1078">
        <f t="shared" si="183"/>
        <v>1.79</v>
      </c>
      <c r="AQ1424" s="1078" t="str">
        <f t="shared" si="184"/>
        <v>1-5-1S91°</v>
      </c>
      <c r="AR1424" s="1078" t="str">
        <f t="shared" si="185"/>
        <v>33.5</v>
      </c>
      <c r="AS1424" s="1078" t="str">
        <f t="shared" si="186"/>
        <v>335/335/155</v>
      </c>
      <c r="AT1424" s="1078" t="str">
        <f t="shared" si="187"/>
        <v>1-5-1S91°</v>
      </c>
      <c r="AV1424" s="1078" t="str">
        <f t="shared" si="180"/>
        <v>108.6.17</v>
      </c>
      <c r="AW1424" s="1344">
        <f t="shared" si="181"/>
        <v>43633</v>
      </c>
    </row>
    <row r="1425" spans="1:49">
      <c r="A1425" s="1077" t="s">
        <v>5031</v>
      </c>
      <c r="B1425" s="1077" t="s">
        <v>4950</v>
      </c>
      <c r="C1425" s="1077">
        <v>500</v>
      </c>
      <c r="D1425" s="1077">
        <v>1.78</v>
      </c>
      <c r="E1425" s="1077" t="s">
        <v>15094</v>
      </c>
      <c r="F1425" s="1077" t="s">
        <v>984</v>
      </c>
      <c r="G1425" s="1077">
        <v>5</v>
      </c>
      <c r="H1425" s="1077" t="s">
        <v>2009</v>
      </c>
      <c r="I1425" s="1077" t="s">
        <v>126</v>
      </c>
      <c r="J1425" s="1077">
        <v>0.5</v>
      </c>
      <c r="K1425" s="1077" t="s">
        <v>5032</v>
      </c>
      <c r="L1425" s="1077" t="s">
        <v>4952</v>
      </c>
      <c r="M1425" s="1077">
        <v>152.5</v>
      </c>
      <c r="N1425" s="1077" t="s">
        <v>945</v>
      </c>
      <c r="O1425" s="1077">
        <v>3.8125</v>
      </c>
      <c r="P1425" s="1077">
        <v>3.0500000000000003</v>
      </c>
      <c r="Q1425" s="1077" t="s">
        <v>1005</v>
      </c>
      <c r="R1425" s="1077">
        <v>28.5</v>
      </c>
      <c r="T1425" s="1077">
        <v>19.2</v>
      </c>
      <c r="U1425" s="1077">
        <v>5.0999999999999996</v>
      </c>
      <c r="V1425" s="1077" t="s">
        <v>648</v>
      </c>
      <c r="W1425" s="1077" t="s">
        <v>2709</v>
      </c>
      <c r="X1425" s="1077">
        <v>10</v>
      </c>
      <c r="Y1425" s="1077">
        <v>1.6</v>
      </c>
      <c r="Z1425" s="1077">
        <v>7</v>
      </c>
      <c r="AA1425" s="1077" t="s">
        <v>5033</v>
      </c>
      <c r="AH1425" s="1077" t="s">
        <v>1221</v>
      </c>
      <c r="AM1425" s="1078" t="s">
        <v>11861</v>
      </c>
      <c r="AN1425" s="1078" t="s">
        <v>11862</v>
      </c>
      <c r="AO1425" s="1078">
        <f t="shared" si="182"/>
        <v>500</v>
      </c>
      <c r="AP1425" s="1078">
        <f t="shared" si="183"/>
        <v>1.78</v>
      </c>
      <c r="AQ1425" s="1078" t="str">
        <f t="shared" si="184"/>
        <v>1-5-1S91°</v>
      </c>
      <c r="AR1425" s="1078" t="str">
        <f t="shared" si="185"/>
        <v>30</v>
      </c>
      <c r="AS1425" s="1078" t="str">
        <f t="shared" si="186"/>
        <v>265/265/OFF</v>
      </c>
      <c r="AT1425" s="1078" t="str">
        <f t="shared" si="187"/>
        <v>1-5-1S91°</v>
      </c>
      <c r="AV1425" s="1078" t="str">
        <f t="shared" si="180"/>
        <v>108.6.18</v>
      </c>
      <c r="AW1425" s="1344">
        <f t="shared" si="181"/>
        <v>43634</v>
      </c>
    </row>
    <row r="1426" spans="1:49">
      <c r="A1426" s="1077" t="s">
        <v>5034</v>
      </c>
      <c r="B1426" s="1077" t="s">
        <v>847</v>
      </c>
      <c r="C1426" s="1077">
        <v>450</v>
      </c>
      <c r="D1426" s="1077">
        <v>1.78</v>
      </c>
      <c r="E1426" s="1077" t="s">
        <v>15102</v>
      </c>
      <c r="F1426" s="1077" t="s">
        <v>1469</v>
      </c>
      <c r="G1426" s="1077">
        <v>4</v>
      </c>
      <c r="H1426" s="1077" t="s">
        <v>5035</v>
      </c>
      <c r="I1426" s="1077" t="s">
        <v>1112</v>
      </c>
      <c r="J1426" s="1077">
        <v>1</v>
      </c>
      <c r="K1426" s="1077" t="s">
        <v>5036</v>
      </c>
      <c r="L1426" s="1077" t="s">
        <v>5037</v>
      </c>
      <c r="M1426" s="1077">
        <v>150</v>
      </c>
      <c r="N1426" s="1077" t="s">
        <v>945</v>
      </c>
      <c r="O1426" s="1077">
        <v>3.75</v>
      </c>
      <c r="P1426" s="1077">
        <v>3</v>
      </c>
      <c r="Q1426" s="1077" t="s">
        <v>2782</v>
      </c>
      <c r="R1426" s="1077">
        <v>21.8</v>
      </c>
      <c r="T1426" s="1077">
        <v>19.5</v>
      </c>
      <c r="U1426" s="1077">
        <v>2.5</v>
      </c>
      <c r="V1426" s="1077" t="s">
        <v>648</v>
      </c>
      <c r="W1426" s="1077">
        <v>85</v>
      </c>
      <c r="X1426" s="1077">
        <v>10</v>
      </c>
      <c r="Y1426" s="1077">
        <v>2.1</v>
      </c>
      <c r="Z1426" s="1077" t="s">
        <v>2396</v>
      </c>
      <c r="AA1426" s="1077" t="s">
        <v>2686</v>
      </c>
      <c r="AH1426" s="1077" t="s">
        <v>868</v>
      </c>
      <c r="AM1426" s="1078" t="s">
        <v>11863</v>
      </c>
      <c r="AN1426" s="1078" t="s">
        <v>11864</v>
      </c>
      <c r="AO1426" s="1078">
        <f t="shared" si="182"/>
        <v>450</v>
      </c>
      <c r="AP1426" s="1078">
        <f t="shared" si="183"/>
        <v>1.78</v>
      </c>
      <c r="AQ1426" s="1078" t="str">
        <f t="shared" si="184"/>
        <v>2-6-1S83°</v>
      </c>
      <c r="AR1426" s="1078" t="str">
        <f t="shared" si="185"/>
        <v>30.5</v>
      </c>
      <c r="AS1426" s="1078" t="str">
        <f t="shared" si="186"/>
        <v>174/159</v>
      </c>
      <c r="AT1426" s="1078" t="str">
        <f t="shared" si="187"/>
        <v>2-6-1S83°</v>
      </c>
      <c r="AV1426" s="1078" t="str">
        <f t="shared" si="180"/>
        <v>108.7.5</v>
      </c>
      <c r="AW1426" s="1344">
        <f t="shared" si="181"/>
        <v>43651</v>
      </c>
    </row>
    <row r="1427" spans="1:49">
      <c r="A1427" s="1077" t="s">
        <v>5038</v>
      </c>
      <c r="B1427" s="1077" t="s">
        <v>210</v>
      </c>
      <c r="C1427" s="1077">
        <v>800</v>
      </c>
      <c r="D1427" s="1077">
        <v>1.76</v>
      </c>
      <c r="E1427" s="1077" t="s">
        <v>15094</v>
      </c>
      <c r="F1427" s="1077" t="s">
        <v>984</v>
      </c>
      <c r="G1427" s="1077">
        <v>5</v>
      </c>
      <c r="H1427" s="1077" t="s">
        <v>4690</v>
      </c>
      <c r="I1427" s="1077" t="s">
        <v>126</v>
      </c>
      <c r="J1427" s="1077">
        <v>2.9</v>
      </c>
      <c r="K1427" s="1077" t="s">
        <v>4670</v>
      </c>
      <c r="L1427" s="1077" t="s">
        <v>4675</v>
      </c>
      <c r="M1427" s="1077">
        <v>150.80000000000001</v>
      </c>
      <c r="N1427" s="1077" t="s">
        <v>945</v>
      </c>
      <c r="O1427" s="1077">
        <v>3.7700000000000005</v>
      </c>
      <c r="P1427" s="1077">
        <v>3.0160000000000005</v>
      </c>
      <c r="Q1427" s="1077" t="s">
        <v>956</v>
      </c>
      <c r="R1427" s="1077">
        <v>19</v>
      </c>
      <c r="T1427" s="1077">
        <v>28.3</v>
      </c>
      <c r="U1427" s="1077">
        <v>4.3</v>
      </c>
      <c r="V1427" s="1077" t="s">
        <v>648</v>
      </c>
      <c r="W1427" s="1077">
        <v>100</v>
      </c>
      <c r="X1427" s="1077">
        <v>50</v>
      </c>
      <c r="Y1427" s="1077">
        <v>1.5</v>
      </c>
      <c r="Z1427" s="1077">
        <v>6.5</v>
      </c>
      <c r="AA1427" s="1077" t="s">
        <v>4616</v>
      </c>
      <c r="AH1427" s="1077" t="s">
        <v>1221</v>
      </c>
      <c r="AM1427" s="1078" t="s">
        <v>11865</v>
      </c>
      <c r="AN1427" s="1078" t="s">
        <v>11866</v>
      </c>
      <c r="AO1427" s="1078">
        <f t="shared" si="182"/>
        <v>800</v>
      </c>
      <c r="AP1427" s="1078">
        <f t="shared" si="183"/>
        <v>1.76</v>
      </c>
      <c r="AQ1427" s="1078" t="str">
        <f t="shared" si="184"/>
        <v>1-5-1S91°</v>
      </c>
      <c r="AR1427" s="1078" t="str">
        <f t="shared" si="185"/>
        <v>30</v>
      </c>
      <c r="AS1427" s="1078" t="str">
        <f t="shared" si="186"/>
        <v>380/340/OFF</v>
      </c>
      <c r="AT1427" s="1078" t="str">
        <f t="shared" si="187"/>
        <v>1-5-1S91°</v>
      </c>
      <c r="AV1427" s="1078" t="str">
        <f t="shared" si="180"/>
        <v>108.7.11</v>
      </c>
      <c r="AW1427" s="1344">
        <f t="shared" si="181"/>
        <v>43657</v>
      </c>
    </row>
    <row r="1428" spans="1:49">
      <c r="A1428" s="1077" t="s">
        <v>5039</v>
      </c>
      <c r="B1428" s="1077" t="s">
        <v>4987</v>
      </c>
      <c r="C1428" s="1077">
        <v>550</v>
      </c>
      <c r="D1428" s="1077">
        <v>1.7150000000000001</v>
      </c>
      <c r="E1428" s="1077" t="s">
        <v>4861</v>
      </c>
      <c r="F1428" s="1077" t="s">
        <v>4070</v>
      </c>
      <c r="G1428" s="1077">
        <v>5</v>
      </c>
      <c r="H1428" s="1077" t="s">
        <v>5040</v>
      </c>
      <c r="I1428" s="1077" t="s">
        <v>460</v>
      </c>
      <c r="J1428" s="1077">
        <v>1.9</v>
      </c>
      <c r="K1428" s="1077" t="s">
        <v>5041</v>
      </c>
      <c r="L1428" s="1077" t="s">
        <v>5042</v>
      </c>
      <c r="M1428" s="1077">
        <v>155</v>
      </c>
      <c r="N1428" s="1077" t="s">
        <v>945</v>
      </c>
      <c r="O1428" s="1077">
        <v>3.875</v>
      </c>
      <c r="P1428" s="1077">
        <v>3.1</v>
      </c>
      <c r="Q1428" s="1077" t="s">
        <v>1059</v>
      </c>
      <c r="R1428" s="1077">
        <v>21.3</v>
      </c>
      <c r="T1428" s="1077">
        <v>7.9</v>
      </c>
      <c r="U1428" s="1077">
        <v>5.2</v>
      </c>
      <c r="V1428" s="1077" t="s">
        <v>648</v>
      </c>
      <c r="W1428" s="1077">
        <v>135</v>
      </c>
      <c r="X1428" s="1077">
        <v>95</v>
      </c>
      <c r="Y1428" s="1077">
        <v>1.5</v>
      </c>
      <c r="Z1428" s="1077" t="s">
        <v>648</v>
      </c>
      <c r="AA1428" s="1077" t="s">
        <v>1099</v>
      </c>
      <c r="AH1428" s="1077" t="s">
        <v>1643</v>
      </c>
      <c r="AM1428" s="1078" t="s">
        <v>11867</v>
      </c>
      <c r="AN1428" s="1078" t="s">
        <v>11868</v>
      </c>
      <c r="AO1428" s="1078">
        <f t="shared" si="182"/>
        <v>550</v>
      </c>
      <c r="AP1428" s="1078">
        <f t="shared" si="183"/>
        <v>1.7150000000000001</v>
      </c>
      <c r="AQ1428" s="1078" t="str">
        <f t="shared" si="184"/>
        <v>105°</v>
      </c>
      <c r="AR1428" s="1078" t="str">
        <f t="shared" si="185"/>
        <v>15.5</v>
      </c>
      <c r="AS1428" s="1078" t="str">
        <f t="shared" si="186"/>
        <v>245/265/150</v>
      </c>
      <c r="AT1428" s="1078" t="str">
        <f t="shared" si="187"/>
        <v>105°</v>
      </c>
      <c r="AV1428" s="1078" t="str">
        <f t="shared" si="180"/>
        <v>108.7.15</v>
      </c>
      <c r="AW1428" s="1344">
        <f t="shared" si="181"/>
        <v>43661</v>
      </c>
    </row>
    <row r="1429" spans="1:49">
      <c r="A1429" s="1077" t="s">
        <v>5043</v>
      </c>
      <c r="B1429" s="1077" t="s">
        <v>844</v>
      </c>
      <c r="C1429" s="1077">
        <v>550</v>
      </c>
      <c r="D1429" s="1077">
        <v>1.756</v>
      </c>
      <c r="E1429" s="1077" t="s">
        <v>15102</v>
      </c>
      <c r="F1429" s="1077" t="s">
        <v>1897</v>
      </c>
      <c r="G1429" s="1077">
        <v>5</v>
      </c>
      <c r="H1429" s="1077" t="s">
        <v>4918</v>
      </c>
      <c r="I1429" s="1077" t="s">
        <v>648</v>
      </c>
      <c r="J1429" s="1077">
        <v>0</v>
      </c>
      <c r="K1429" s="1077" t="s">
        <v>5044</v>
      </c>
      <c r="L1429" s="1077" t="s">
        <v>4907</v>
      </c>
      <c r="M1429" s="1077">
        <v>148.9</v>
      </c>
      <c r="N1429" s="1077" t="s">
        <v>945</v>
      </c>
      <c r="O1429" s="1077">
        <v>3.7225000000000001</v>
      </c>
      <c r="P1429" s="1077">
        <v>2.9780000000000002</v>
      </c>
      <c r="Q1429" s="1077" t="s">
        <v>1020</v>
      </c>
      <c r="R1429" s="1077">
        <v>23.5</v>
      </c>
      <c r="T1429" s="1077">
        <v>16.399999999999999</v>
      </c>
      <c r="U1429" s="1077">
        <v>4.5999999999999996</v>
      </c>
      <c r="V1429" s="1077" t="s">
        <v>648</v>
      </c>
      <c r="W1429" s="1077" t="s">
        <v>648</v>
      </c>
      <c r="X1429" s="1077" t="s">
        <v>648</v>
      </c>
      <c r="Y1429" s="1077">
        <v>1.6</v>
      </c>
      <c r="Z1429" s="1077" t="s">
        <v>5045</v>
      </c>
      <c r="AA1429" s="1077" t="s">
        <v>5046</v>
      </c>
      <c r="AH1429" s="1077" t="s">
        <v>842</v>
      </c>
      <c r="AM1429" s="1078" t="s">
        <v>11869</v>
      </c>
      <c r="AN1429" s="1078" t="s">
        <v>11870</v>
      </c>
      <c r="AO1429" s="1078">
        <f t="shared" si="182"/>
        <v>550</v>
      </c>
      <c r="AP1429" s="1078">
        <f t="shared" si="183"/>
        <v>1.756</v>
      </c>
      <c r="AQ1429" s="1078" t="str">
        <f t="shared" si="184"/>
        <v>2-6-1S83°</v>
      </c>
      <c r="AR1429" s="1078" t="str">
        <f t="shared" si="185"/>
        <v>30.8</v>
      </c>
      <c r="AS1429" s="1078" t="str">
        <f t="shared" si="186"/>
        <v>166/140</v>
      </c>
      <c r="AT1429" s="1078" t="str">
        <f t="shared" si="187"/>
        <v>2-6-1S83°</v>
      </c>
      <c r="AV1429" s="1078" t="str">
        <f t="shared" si="180"/>
        <v>108.7.23</v>
      </c>
      <c r="AW1429" s="1344">
        <f t="shared" si="181"/>
        <v>43669</v>
      </c>
    </row>
    <row r="1430" spans="1:49">
      <c r="A1430" s="1077" t="s">
        <v>5047</v>
      </c>
      <c r="B1430" s="1077" t="s">
        <v>844</v>
      </c>
      <c r="C1430" s="1077">
        <v>600</v>
      </c>
      <c r="D1430" s="1077">
        <v>1.78</v>
      </c>
      <c r="E1430" s="1077" t="s">
        <v>15094</v>
      </c>
      <c r="F1430" s="1077" t="s">
        <v>2234</v>
      </c>
      <c r="G1430" s="1077">
        <v>5</v>
      </c>
      <c r="H1430" s="1077" t="s">
        <v>5048</v>
      </c>
      <c r="I1430" s="1077" t="s">
        <v>460</v>
      </c>
      <c r="J1430" s="1077">
        <v>4</v>
      </c>
      <c r="K1430" s="1077" t="s">
        <v>5044</v>
      </c>
      <c r="L1430" s="1077" t="s">
        <v>4907</v>
      </c>
      <c r="M1430" s="1077">
        <v>151.69999999999999</v>
      </c>
      <c r="N1430" s="1077" t="s">
        <v>945</v>
      </c>
      <c r="O1430" s="1077">
        <v>3.7925</v>
      </c>
      <c r="P1430" s="1077">
        <v>3.0339999999999998</v>
      </c>
      <c r="Q1430" s="1077" t="s">
        <v>1059</v>
      </c>
      <c r="R1430" s="1077">
        <v>19.7</v>
      </c>
      <c r="T1430" s="1077">
        <v>11.5</v>
      </c>
      <c r="U1430" s="1077">
        <v>5.3</v>
      </c>
      <c r="V1430" s="1077" t="s">
        <v>648</v>
      </c>
      <c r="W1430" s="1077">
        <v>105</v>
      </c>
      <c r="X1430" s="1077">
        <v>95</v>
      </c>
      <c r="Y1430" s="1077">
        <v>1.5</v>
      </c>
      <c r="Z1430" s="1077">
        <v>5</v>
      </c>
      <c r="AA1430" s="1077" t="s">
        <v>5049</v>
      </c>
      <c r="AH1430" s="1077" t="s">
        <v>722</v>
      </c>
      <c r="AM1430" s="1078" t="s">
        <v>11871</v>
      </c>
      <c r="AN1430" s="1078" t="s">
        <v>11872</v>
      </c>
      <c r="AO1430" s="1078">
        <f t="shared" si="182"/>
        <v>600</v>
      </c>
      <c r="AP1430" s="1078">
        <f t="shared" si="183"/>
        <v>1.78</v>
      </c>
      <c r="AQ1430" s="1078" t="str">
        <f t="shared" si="184"/>
        <v>1-5-1S91°</v>
      </c>
      <c r="AR1430" s="1078" t="str">
        <f t="shared" si="185"/>
        <v>33.5</v>
      </c>
      <c r="AS1430" s="1078" t="str">
        <f t="shared" si="186"/>
        <v>300/300/130</v>
      </c>
      <c r="AT1430" s="1078" t="str">
        <f t="shared" si="187"/>
        <v>1-5-1S91°</v>
      </c>
      <c r="AV1430" s="1078" t="str">
        <f t="shared" si="180"/>
        <v>108.7.19</v>
      </c>
      <c r="AW1430" s="1344">
        <f t="shared" si="181"/>
        <v>43665</v>
      </c>
    </row>
    <row r="1431" spans="1:49">
      <c r="A1431" s="1077" t="s">
        <v>5050</v>
      </c>
      <c r="B1431" s="1077" t="s">
        <v>210</v>
      </c>
      <c r="C1431" s="1077">
        <v>750</v>
      </c>
      <c r="D1431" s="1077">
        <v>1.78</v>
      </c>
      <c r="E1431" s="1077" t="s">
        <v>15088</v>
      </c>
      <c r="F1431" s="1077" t="s">
        <v>648</v>
      </c>
      <c r="G1431" s="1077">
        <v>5</v>
      </c>
      <c r="H1431" s="1077" t="s">
        <v>2447</v>
      </c>
      <c r="I1431" s="1077" t="s">
        <v>126</v>
      </c>
      <c r="J1431" s="1077">
        <v>1.4</v>
      </c>
      <c r="K1431" s="1077" t="s">
        <v>4665</v>
      </c>
      <c r="L1431" s="1077" t="s">
        <v>4666</v>
      </c>
      <c r="M1431" s="1077">
        <v>150.5</v>
      </c>
      <c r="N1431" s="1077" t="s">
        <v>945</v>
      </c>
      <c r="O1431" s="1077">
        <v>3.7625000000000002</v>
      </c>
      <c r="P1431" s="1077">
        <v>3.0100000000000002</v>
      </c>
      <c r="Q1431" s="1077" t="s">
        <v>1037</v>
      </c>
      <c r="R1431" s="1077">
        <v>22</v>
      </c>
      <c r="T1431" s="1077">
        <v>18.5</v>
      </c>
      <c r="U1431" s="1077">
        <v>3.6</v>
      </c>
      <c r="V1431" s="1077" t="s">
        <v>648</v>
      </c>
      <c r="W1431" s="1077">
        <v>85</v>
      </c>
      <c r="X1431" s="1077">
        <v>10</v>
      </c>
      <c r="Y1431" s="1077">
        <v>1.5</v>
      </c>
      <c r="Z1431" s="1077" t="s">
        <v>3343</v>
      </c>
      <c r="AA1431" s="1077" t="s">
        <v>2713</v>
      </c>
      <c r="AH1431" s="1077" t="s">
        <v>782</v>
      </c>
      <c r="AM1431" s="1078" t="s">
        <v>11873</v>
      </c>
      <c r="AN1431" s="1078" t="s">
        <v>11874</v>
      </c>
      <c r="AO1431" s="1078">
        <f t="shared" si="182"/>
        <v>750</v>
      </c>
      <c r="AP1431" s="1078">
        <f t="shared" si="183"/>
        <v>1.78</v>
      </c>
      <c r="AQ1431" s="1078" t="str">
        <f t="shared" si="184"/>
        <v>1-4-1S85°</v>
      </c>
      <c r="AR1431" s="1078" t="str">
        <f t="shared" si="185"/>
        <v>NA</v>
      </c>
      <c r="AS1431" s="1078" t="str">
        <f t="shared" si="186"/>
        <v>180/165</v>
      </c>
      <c r="AT1431" s="1078" t="str">
        <f t="shared" si="187"/>
        <v>1-4-1S85°</v>
      </c>
      <c r="AV1431" s="1078" t="str">
        <f t="shared" si="180"/>
        <v>108.7.26</v>
      </c>
      <c r="AW1431" s="1344">
        <f t="shared" si="181"/>
        <v>43672</v>
      </c>
    </row>
    <row r="1432" spans="1:49">
      <c r="A1432" s="1077" t="s">
        <v>5051</v>
      </c>
      <c r="B1432" s="1077" t="s">
        <v>4885</v>
      </c>
      <c r="C1432" s="1077">
        <v>600</v>
      </c>
      <c r="D1432" s="1077">
        <v>1.7769999999999999</v>
      </c>
      <c r="E1432" s="1077" t="s">
        <v>15102</v>
      </c>
      <c r="F1432" s="1077" t="s">
        <v>984</v>
      </c>
      <c r="G1432" s="1077">
        <v>5</v>
      </c>
      <c r="H1432" s="1077" t="s">
        <v>5052</v>
      </c>
      <c r="I1432" s="1077" t="s">
        <v>1167</v>
      </c>
      <c r="J1432" s="1077">
        <v>0.8</v>
      </c>
      <c r="K1432" s="1077" t="s">
        <v>5053</v>
      </c>
      <c r="L1432" s="1077" t="s">
        <v>5054</v>
      </c>
      <c r="M1432" s="1077">
        <v>150.9</v>
      </c>
      <c r="N1432" s="1077" t="s">
        <v>945</v>
      </c>
      <c r="O1432" s="1077">
        <v>3.7725000000000004</v>
      </c>
      <c r="P1432" s="1077">
        <v>3.0180000000000002</v>
      </c>
      <c r="Q1432" s="1077" t="s">
        <v>1277</v>
      </c>
      <c r="R1432" s="1077">
        <v>21.8</v>
      </c>
      <c r="T1432" s="1077">
        <v>24.1</v>
      </c>
      <c r="U1432" s="1077">
        <v>2.7</v>
      </c>
      <c r="V1432" s="1077" t="s">
        <v>648</v>
      </c>
      <c r="W1432" s="1077" t="s">
        <v>5055</v>
      </c>
      <c r="X1432" s="1077">
        <v>10</v>
      </c>
      <c r="Y1432" s="1077">
        <v>1.8</v>
      </c>
      <c r="Z1432" s="1077" t="s">
        <v>5056</v>
      </c>
      <c r="AA1432" s="1077" t="s">
        <v>5057</v>
      </c>
      <c r="AH1432" s="1077" t="s">
        <v>785</v>
      </c>
      <c r="AM1432" s="1078" t="s">
        <v>11875</v>
      </c>
      <c r="AN1432" s="1078" t="s">
        <v>11876</v>
      </c>
      <c r="AO1432" s="1078">
        <f t="shared" si="182"/>
        <v>600</v>
      </c>
      <c r="AP1432" s="1078">
        <f t="shared" si="183"/>
        <v>1.7769999999999999</v>
      </c>
      <c r="AQ1432" s="1078" t="str">
        <f t="shared" si="184"/>
        <v>2-6-1S83°</v>
      </c>
      <c r="AR1432" s="1078" t="str">
        <f t="shared" si="185"/>
        <v>30</v>
      </c>
      <c r="AS1432" s="1078" t="str">
        <f t="shared" si="186"/>
        <v>185/175</v>
      </c>
      <c r="AT1432" s="1078" t="str">
        <f t="shared" si="187"/>
        <v>2-6-1S83°</v>
      </c>
      <c r="AV1432" s="1078" t="str">
        <f t="shared" si="180"/>
        <v>108.8.14</v>
      </c>
      <c r="AW1432" s="1344">
        <f t="shared" si="181"/>
        <v>43691</v>
      </c>
    </row>
    <row r="1433" spans="1:49">
      <c r="A1433" s="1077" t="s">
        <v>5058</v>
      </c>
      <c r="B1433" s="1077" t="s">
        <v>210</v>
      </c>
      <c r="C1433" s="1077">
        <v>750</v>
      </c>
      <c r="D1433" s="1077">
        <v>1.76</v>
      </c>
      <c r="E1433" s="1077" t="s">
        <v>15094</v>
      </c>
      <c r="F1433" s="1077" t="s">
        <v>4013</v>
      </c>
      <c r="G1433" s="1077">
        <v>5</v>
      </c>
      <c r="H1433" s="1077" t="s">
        <v>4681</v>
      </c>
      <c r="I1433" s="1077" t="s">
        <v>126</v>
      </c>
      <c r="J1433" s="1077">
        <v>1.5</v>
      </c>
      <c r="K1433" s="1077" t="s">
        <v>5059</v>
      </c>
      <c r="L1433" s="1077" t="s">
        <v>4666</v>
      </c>
      <c r="M1433" s="1077">
        <v>152.19999999999999</v>
      </c>
      <c r="N1433" s="1077" t="s">
        <v>945</v>
      </c>
      <c r="O1433" s="1077">
        <v>3.8049999999999997</v>
      </c>
      <c r="P1433" s="1077">
        <v>3.044</v>
      </c>
      <c r="Q1433" s="1077" t="s">
        <v>961</v>
      </c>
      <c r="R1433" s="1077">
        <v>19</v>
      </c>
      <c r="T1433" s="1077">
        <v>16</v>
      </c>
      <c r="U1433" s="1077">
        <v>4</v>
      </c>
      <c r="V1433" s="1077" t="s">
        <v>648</v>
      </c>
      <c r="W1433" s="1077" t="s">
        <v>4667</v>
      </c>
      <c r="X1433" s="1077">
        <v>10</v>
      </c>
      <c r="Y1433" s="1077">
        <v>1.5</v>
      </c>
      <c r="Z1433" s="1077">
        <v>5</v>
      </c>
      <c r="AA1433" s="1077" t="s">
        <v>5060</v>
      </c>
      <c r="AH1433" s="1077" t="s">
        <v>958</v>
      </c>
      <c r="AM1433" s="1078" t="s">
        <v>11877</v>
      </c>
      <c r="AN1433" s="1078" t="s">
        <v>11878</v>
      </c>
      <c r="AO1433" s="1078">
        <f t="shared" si="182"/>
        <v>750</v>
      </c>
      <c r="AP1433" s="1078">
        <f t="shared" si="183"/>
        <v>1.76</v>
      </c>
      <c r="AQ1433" s="1078" t="str">
        <f t="shared" si="184"/>
        <v>1-5-1S91°</v>
      </c>
      <c r="AR1433" s="1078" t="str">
        <f t="shared" si="185"/>
        <v>30.3</v>
      </c>
      <c r="AS1433" s="1078" t="str">
        <f t="shared" si="186"/>
        <v>337/297/165</v>
      </c>
      <c r="AT1433" s="1078" t="str">
        <f t="shared" si="187"/>
        <v>1-5-1S91°</v>
      </c>
      <c r="AV1433" s="1078" t="str">
        <f t="shared" si="180"/>
        <v>108.8.1</v>
      </c>
      <c r="AW1433" s="1344">
        <f t="shared" si="181"/>
        <v>43678</v>
      </c>
    </row>
    <row r="1434" spans="1:49">
      <c r="A1434" s="1077" t="s">
        <v>5061</v>
      </c>
      <c r="B1434" s="1077" t="s">
        <v>5062</v>
      </c>
      <c r="C1434" s="1077">
        <v>600</v>
      </c>
      <c r="D1434" s="1077">
        <v>1.74</v>
      </c>
      <c r="E1434" s="1077" t="s">
        <v>15102</v>
      </c>
      <c r="F1434" s="1077" t="s">
        <v>2167</v>
      </c>
      <c r="G1434" s="1077">
        <v>5</v>
      </c>
      <c r="H1434" s="1077" t="s">
        <v>5017</v>
      </c>
      <c r="I1434" s="1077" t="s">
        <v>1112</v>
      </c>
      <c r="J1434" s="1077">
        <v>2.5</v>
      </c>
      <c r="K1434" s="1077" t="s">
        <v>4697</v>
      </c>
      <c r="L1434" s="1077" t="s">
        <v>4698</v>
      </c>
      <c r="M1434" s="1077">
        <v>151.30000000000001</v>
      </c>
      <c r="N1434" s="1077" t="s">
        <v>945</v>
      </c>
      <c r="O1434" s="1077">
        <v>3.7825000000000006</v>
      </c>
      <c r="P1434" s="1077">
        <v>3.0260000000000002</v>
      </c>
      <c r="Q1434" s="1077" t="s">
        <v>988</v>
      </c>
      <c r="R1434" s="1077">
        <v>20.7</v>
      </c>
      <c r="T1434" s="1077">
        <v>15.5</v>
      </c>
      <c r="U1434" s="1077">
        <v>3</v>
      </c>
      <c r="V1434" s="1077" t="s">
        <v>648</v>
      </c>
      <c r="W1434" s="1077">
        <v>130</v>
      </c>
      <c r="X1434" s="1077">
        <v>75</v>
      </c>
      <c r="Y1434" s="1077">
        <v>1.2</v>
      </c>
      <c r="Z1434" s="1077">
        <v>4.8</v>
      </c>
      <c r="AA1434" s="1077" t="s">
        <v>989</v>
      </c>
      <c r="AH1434" s="1077" t="s">
        <v>842</v>
      </c>
      <c r="AM1434" s="1078" t="s">
        <v>11879</v>
      </c>
      <c r="AN1434" s="1078" t="s">
        <v>11880</v>
      </c>
      <c r="AO1434" s="1078">
        <f t="shared" si="182"/>
        <v>600</v>
      </c>
      <c r="AP1434" s="1078">
        <f t="shared" si="183"/>
        <v>1.74</v>
      </c>
      <c r="AQ1434" s="1078" t="str">
        <f t="shared" si="184"/>
        <v>2-6-1S83°</v>
      </c>
      <c r="AR1434" s="1078" t="str">
        <f t="shared" si="185"/>
        <v>33</v>
      </c>
      <c r="AS1434" s="1078" t="str">
        <f t="shared" si="186"/>
        <v>187/170</v>
      </c>
      <c r="AT1434" s="1078" t="str">
        <f t="shared" si="187"/>
        <v>2-6-1S83°</v>
      </c>
      <c r="AV1434" s="1078" t="str">
        <f t="shared" si="180"/>
        <v>108.1.4</v>
      </c>
      <c r="AW1434" s="1344">
        <f t="shared" si="181"/>
        <v>43469</v>
      </c>
    </row>
    <row r="1435" spans="1:49">
      <c r="A1435" s="1077" t="s">
        <v>5063</v>
      </c>
      <c r="B1435" s="1077" t="s">
        <v>4694</v>
      </c>
      <c r="C1435" s="1077">
        <v>600</v>
      </c>
      <c r="D1435" s="1077">
        <v>1.74</v>
      </c>
      <c r="E1435" s="1077" t="s">
        <v>15102</v>
      </c>
      <c r="F1435" s="1077" t="s">
        <v>4204</v>
      </c>
      <c r="G1435" s="1077">
        <v>5</v>
      </c>
      <c r="H1435" s="1077" t="s">
        <v>4696</v>
      </c>
      <c r="I1435" s="1077" t="s">
        <v>1112</v>
      </c>
      <c r="J1435" s="1077">
        <v>2.5</v>
      </c>
      <c r="K1435" s="1077" t="s">
        <v>4707</v>
      </c>
      <c r="L1435" s="1077" t="s">
        <v>4698</v>
      </c>
      <c r="M1435" s="1077">
        <v>151.30000000000001</v>
      </c>
      <c r="N1435" s="1077" t="s">
        <v>945</v>
      </c>
      <c r="O1435" s="1077">
        <v>3.7825000000000006</v>
      </c>
      <c r="P1435" s="1077">
        <v>3.0260000000000002</v>
      </c>
      <c r="Q1435" s="1077" t="s">
        <v>1037</v>
      </c>
      <c r="R1435" s="1077">
        <v>20.7</v>
      </c>
      <c r="T1435" s="1077">
        <v>15.5</v>
      </c>
      <c r="U1435" s="1077">
        <v>3</v>
      </c>
      <c r="V1435" s="1077" t="s">
        <v>648</v>
      </c>
      <c r="W1435" s="1077">
        <v>130</v>
      </c>
      <c r="X1435" s="1077">
        <v>75</v>
      </c>
      <c r="Y1435" s="1077">
        <v>1.2</v>
      </c>
      <c r="Z1435" s="1077" t="s">
        <v>5064</v>
      </c>
      <c r="AA1435" s="1077" t="s">
        <v>2725</v>
      </c>
      <c r="AH1435" s="1077" t="s">
        <v>726</v>
      </c>
      <c r="AM1435" s="1078" t="s">
        <v>11881</v>
      </c>
      <c r="AN1435" s="1078" t="s">
        <v>11882</v>
      </c>
      <c r="AO1435" s="1078">
        <f t="shared" si="182"/>
        <v>600</v>
      </c>
      <c r="AP1435" s="1078">
        <f t="shared" si="183"/>
        <v>1.74</v>
      </c>
      <c r="AQ1435" s="1078" t="str">
        <f t="shared" si="184"/>
        <v>2-6-1S83°</v>
      </c>
      <c r="AR1435" s="1078" t="str">
        <f t="shared" si="185"/>
        <v>31.9</v>
      </c>
      <c r="AS1435" s="1078" t="str">
        <f t="shared" si="186"/>
        <v>186/170</v>
      </c>
      <c r="AT1435" s="1078" t="str">
        <f t="shared" si="187"/>
        <v>2-6-1S83°</v>
      </c>
      <c r="AV1435" s="1078" t="str">
        <f t="shared" si="180"/>
        <v>108.8.9</v>
      </c>
      <c r="AW1435" s="1344">
        <f t="shared" si="181"/>
        <v>43686</v>
      </c>
    </row>
    <row r="1436" spans="1:49">
      <c r="A1436" s="1077" t="s">
        <v>5065</v>
      </c>
      <c r="B1436" s="1077" t="s">
        <v>210</v>
      </c>
      <c r="C1436" s="1077">
        <v>750</v>
      </c>
      <c r="D1436" s="1077">
        <v>1.76</v>
      </c>
      <c r="E1436" s="1077" t="s">
        <v>15094</v>
      </c>
      <c r="F1436" s="1077" t="s">
        <v>4013</v>
      </c>
      <c r="G1436" s="1077">
        <v>5</v>
      </c>
      <c r="H1436" s="1077" t="s">
        <v>4681</v>
      </c>
      <c r="I1436" s="1077" t="s">
        <v>126</v>
      </c>
      <c r="J1436" s="1077">
        <v>1.5</v>
      </c>
      <c r="K1436" s="1077" t="s">
        <v>5066</v>
      </c>
      <c r="L1436" s="1077" t="s">
        <v>4666</v>
      </c>
      <c r="M1436" s="1077">
        <v>152.19999999999999</v>
      </c>
      <c r="N1436" s="1077" t="s">
        <v>945</v>
      </c>
      <c r="O1436" s="1077">
        <v>3.8049999999999997</v>
      </c>
      <c r="P1436" s="1077">
        <v>3.044</v>
      </c>
      <c r="Q1436" s="1077" t="s">
        <v>988</v>
      </c>
      <c r="R1436" s="1077">
        <v>19</v>
      </c>
      <c r="T1436" s="1077">
        <v>16</v>
      </c>
      <c r="U1436" s="1077">
        <v>4</v>
      </c>
      <c r="V1436" s="1077" t="s">
        <v>648</v>
      </c>
      <c r="W1436" s="1077" t="s">
        <v>4667</v>
      </c>
      <c r="X1436" s="1077">
        <v>10</v>
      </c>
      <c r="Y1436" s="1077">
        <v>1.5</v>
      </c>
      <c r="Z1436" s="1077">
        <v>5</v>
      </c>
      <c r="AA1436" s="1077" t="s">
        <v>5057</v>
      </c>
      <c r="AH1436" s="1077" t="s">
        <v>724</v>
      </c>
      <c r="AM1436" s="1078" t="s">
        <v>11883</v>
      </c>
      <c r="AN1436" s="1078" t="s">
        <v>11884</v>
      </c>
      <c r="AO1436" s="1078">
        <f t="shared" si="182"/>
        <v>750</v>
      </c>
      <c r="AP1436" s="1078">
        <f t="shared" si="183"/>
        <v>1.76</v>
      </c>
      <c r="AQ1436" s="1078" t="str">
        <f t="shared" si="184"/>
        <v>1-5-1S91°</v>
      </c>
      <c r="AR1436" s="1078" t="str">
        <f t="shared" si="185"/>
        <v>30.3</v>
      </c>
      <c r="AS1436" s="1078" t="str">
        <f t="shared" si="186"/>
        <v>337/297/165</v>
      </c>
      <c r="AT1436" s="1078" t="str">
        <f t="shared" si="187"/>
        <v>1-5-1S91°</v>
      </c>
      <c r="AV1436" s="1078" t="str">
        <f t="shared" si="180"/>
        <v>108.8.14</v>
      </c>
      <c r="AW1436" s="1344">
        <f t="shared" si="181"/>
        <v>43691</v>
      </c>
    </row>
    <row r="1437" spans="1:49">
      <c r="A1437" s="1077" t="s">
        <v>5067</v>
      </c>
      <c r="B1437" s="1077" t="s">
        <v>5068</v>
      </c>
      <c r="C1437" s="1077">
        <v>650</v>
      </c>
      <c r="D1437" s="1077">
        <v>1.75</v>
      </c>
      <c r="E1437" s="1077" t="s">
        <v>15108</v>
      </c>
      <c r="F1437" s="1077" t="s">
        <v>984</v>
      </c>
      <c r="G1437" s="1077">
        <v>5</v>
      </c>
      <c r="H1437" s="1077" t="s">
        <v>1806</v>
      </c>
      <c r="I1437" s="1077" t="s">
        <v>643</v>
      </c>
      <c r="J1437" s="1077">
        <v>1.3</v>
      </c>
      <c r="K1437" s="1077" t="s">
        <v>5069</v>
      </c>
      <c r="L1437" s="1077" t="s">
        <v>1913</v>
      </c>
      <c r="M1437" s="1077">
        <v>150</v>
      </c>
      <c r="N1437" s="1077" t="s">
        <v>945</v>
      </c>
      <c r="O1437" s="1077">
        <v>3.75</v>
      </c>
      <c r="P1437" s="1077">
        <v>3</v>
      </c>
      <c r="Q1437" s="1077" t="s">
        <v>946</v>
      </c>
      <c r="R1437" s="1077">
        <v>20.8</v>
      </c>
      <c r="T1437" s="1077">
        <v>29.1</v>
      </c>
      <c r="U1437" s="1077">
        <v>3.4</v>
      </c>
      <c r="V1437" s="1077" t="s">
        <v>648</v>
      </c>
      <c r="W1437" s="1077">
        <v>80</v>
      </c>
      <c r="X1437" s="1077">
        <v>60</v>
      </c>
      <c r="Y1437" s="1077">
        <v>1.5</v>
      </c>
      <c r="Z1437" s="1077" t="s">
        <v>648</v>
      </c>
      <c r="AA1437" s="1077" t="s">
        <v>5070</v>
      </c>
      <c r="AH1437" s="1077" t="s">
        <v>963</v>
      </c>
      <c r="AM1437" s="1078" t="s">
        <v>11885</v>
      </c>
      <c r="AN1437" s="1078" t="s">
        <v>11886</v>
      </c>
      <c r="AO1437" s="1078">
        <f t="shared" si="182"/>
        <v>650</v>
      </c>
      <c r="AP1437" s="1078">
        <f t="shared" si="183"/>
        <v>1.75</v>
      </c>
      <c r="AQ1437" s="1078" t="str">
        <f t="shared" si="184"/>
        <v>1-4-1S83°Z+S</v>
      </c>
      <c r="AR1437" s="1078" t="str">
        <f t="shared" si="185"/>
        <v>30</v>
      </c>
      <c r="AS1437" s="1078" t="str">
        <f t="shared" si="186"/>
        <v>280/280/OFF</v>
      </c>
      <c r="AT1437" s="1078" t="str">
        <f t="shared" si="187"/>
        <v>1-4-1S83°Z+S</v>
      </c>
      <c r="AU1437" s="1078" t="s">
        <v>15547</v>
      </c>
      <c r="AV1437" s="1078" t="str">
        <f t="shared" si="180"/>
        <v>108.8.23</v>
      </c>
      <c r="AW1437" s="1344">
        <f t="shared" si="181"/>
        <v>43700</v>
      </c>
    </row>
    <row r="1438" spans="1:49">
      <c r="A1438" s="1077" t="s">
        <v>5071</v>
      </c>
      <c r="B1438" s="1077" t="s">
        <v>4694</v>
      </c>
      <c r="C1438" s="1077">
        <v>600</v>
      </c>
      <c r="D1438" s="1077">
        <v>1.74</v>
      </c>
      <c r="E1438" s="1077" t="s">
        <v>15102</v>
      </c>
      <c r="F1438" s="1077" t="s">
        <v>1454</v>
      </c>
      <c r="G1438" s="1077">
        <v>5</v>
      </c>
      <c r="H1438" s="1077" t="s">
        <v>4696</v>
      </c>
      <c r="I1438" s="1077" t="s">
        <v>1112</v>
      </c>
      <c r="J1438" s="1077">
        <v>2.5</v>
      </c>
      <c r="K1438" s="1077" t="s">
        <v>5072</v>
      </c>
      <c r="L1438" s="1077" t="s">
        <v>4702</v>
      </c>
      <c r="M1438" s="1077">
        <v>151.30000000000001</v>
      </c>
      <c r="N1438" s="1077" t="s">
        <v>945</v>
      </c>
      <c r="O1438" s="1077">
        <v>3.7825000000000006</v>
      </c>
      <c r="P1438" s="1077">
        <v>3.0260000000000002</v>
      </c>
      <c r="Q1438" s="1077" t="s">
        <v>988</v>
      </c>
      <c r="R1438" s="1077">
        <v>20.7</v>
      </c>
      <c r="T1438" s="1077">
        <v>15.5</v>
      </c>
      <c r="U1438" s="1077">
        <v>3</v>
      </c>
      <c r="V1438" s="1077" t="s">
        <v>648</v>
      </c>
      <c r="W1438" s="1077">
        <v>130</v>
      </c>
      <c r="X1438" s="1077">
        <v>75</v>
      </c>
      <c r="Y1438" s="1077">
        <v>1.2</v>
      </c>
      <c r="Z1438" s="1077" t="s">
        <v>5073</v>
      </c>
      <c r="AA1438" s="1077" t="s">
        <v>2739</v>
      </c>
      <c r="AH1438" s="1077" t="s">
        <v>646</v>
      </c>
      <c r="AM1438" s="1078" t="s">
        <v>11887</v>
      </c>
      <c r="AN1438" s="1078" t="s">
        <v>11888</v>
      </c>
      <c r="AO1438" s="1078">
        <f t="shared" si="182"/>
        <v>600</v>
      </c>
      <c r="AP1438" s="1078">
        <f t="shared" si="183"/>
        <v>1.74</v>
      </c>
      <c r="AQ1438" s="1078" t="str">
        <f t="shared" si="184"/>
        <v>2-6-1S83°</v>
      </c>
      <c r="AR1438" s="1078" t="str">
        <f t="shared" si="185"/>
        <v>32.2</v>
      </c>
      <c r="AS1438" s="1078" t="str">
        <f t="shared" si="186"/>
        <v>186/170</v>
      </c>
      <c r="AT1438" s="1078" t="str">
        <f t="shared" si="187"/>
        <v>2-6-1S83°</v>
      </c>
      <c r="AV1438" s="1078" t="str">
        <f t="shared" si="180"/>
        <v>108.8.26</v>
      </c>
      <c r="AW1438" s="1344">
        <f t="shared" si="181"/>
        <v>43703</v>
      </c>
    </row>
    <row r="1439" spans="1:49">
      <c r="A1439" s="1077" t="s">
        <v>5074</v>
      </c>
      <c r="B1439" s="1077" t="s">
        <v>4767</v>
      </c>
      <c r="C1439" s="1077">
        <v>700</v>
      </c>
      <c r="D1439" s="1077">
        <v>1.7290000000000001</v>
      </c>
      <c r="E1439" s="1077" t="s">
        <v>15104</v>
      </c>
      <c r="F1439" s="1077" t="s">
        <v>648</v>
      </c>
      <c r="G1439" s="1077">
        <v>5</v>
      </c>
      <c r="H1439" s="1077" t="s">
        <v>4776</v>
      </c>
      <c r="I1439" s="1077" t="s">
        <v>126</v>
      </c>
      <c r="J1439" s="1077">
        <v>1.7</v>
      </c>
      <c r="K1439" s="1077" t="s">
        <v>5075</v>
      </c>
      <c r="L1439" s="1077" t="s">
        <v>1776</v>
      </c>
      <c r="M1439" s="1077">
        <v>148</v>
      </c>
      <c r="N1439" s="1077" t="s">
        <v>945</v>
      </c>
      <c r="O1439" s="1077">
        <v>3.7</v>
      </c>
      <c r="P1439" s="1077">
        <v>2.96</v>
      </c>
      <c r="Q1439" s="1077" t="s">
        <v>946</v>
      </c>
      <c r="R1439" s="1077">
        <v>20.8</v>
      </c>
      <c r="T1439" s="1077">
        <v>20.399999999999999</v>
      </c>
      <c r="U1439" s="1077">
        <v>3.8</v>
      </c>
      <c r="V1439" s="1077" t="s">
        <v>648</v>
      </c>
      <c r="W1439" s="1077">
        <v>110</v>
      </c>
      <c r="X1439" s="1077">
        <v>60</v>
      </c>
      <c r="Y1439" s="1077">
        <v>1.7</v>
      </c>
      <c r="Z1439" s="1077" t="s">
        <v>648</v>
      </c>
      <c r="AA1439" s="1077" t="s">
        <v>5076</v>
      </c>
      <c r="AH1439" s="1077" t="s">
        <v>812</v>
      </c>
      <c r="AM1439" s="1078" t="s">
        <v>11889</v>
      </c>
      <c r="AN1439" s="1078" t="s">
        <v>11890</v>
      </c>
      <c r="AO1439" s="1078">
        <f t="shared" si="182"/>
        <v>700</v>
      </c>
      <c r="AP1439" s="1078">
        <f t="shared" si="183"/>
        <v>1.7290000000000001</v>
      </c>
      <c r="AQ1439" s="1078" t="str">
        <f t="shared" si="184"/>
        <v>1-4-1S85°Z+S</v>
      </c>
      <c r="AR1439" s="1078" t="str">
        <f t="shared" si="185"/>
        <v>NA</v>
      </c>
      <c r="AS1439" s="1078" t="str">
        <f t="shared" si="186"/>
        <v>178/OFF</v>
      </c>
      <c r="AT1439" s="1078" t="str">
        <f t="shared" si="187"/>
        <v>1-4-1S85°Z+S</v>
      </c>
      <c r="AU1439" s="1078" t="s">
        <v>15547</v>
      </c>
      <c r="AV1439" s="1078" t="str">
        <f t="shared" si="180"/>
        <v>108.8.27</v>
      </c>
      <c r="AW1439" s="1344">
        <f t="shared" si="181"/>
        <v>43704</v>
      </c>
    </row>
    <row r="1440" spans="1:49">
      <c r="A1440" s="1077" t="s">
        <v>5077</v>
      </c>
      <c r="B1440" s="1077" t="s">
        <v>5078</v>
      </c>
      <c r="C1440" s="1077">
        <v>650</v>
      </c>
      <c r="D1440" s="1077">
        <v>1.75</v>
      </c>
      <c r="E1440" s="1077" t="s">
        <v>15108</v>
      </c>
      <c r="F1440" s="1077" t="s">
        <v>984</v>
      </c>
      <c r="G1440" s="1077">
        <v>5</v>
      </c>
      <c r="H1440" s="1077" t="s">
        <v>1806</v>
      </c>
      <c r="I1440" s="1077" t="s">
        <v>643</v>
      </c>
      <c r="J1440" s="1077">
        <v>1.3</v>
      </c>
      <c r="K1440" s="1077" t="s">
        <v>5069</v>
      </c>
      <c r="L1440" s="1077" t="s">
        <v>1913</v>
      </c>
      <c r="M1440" s="1077">
        <v>150</v>
      </c>
      <c r="N1440" s="1077" t="s">
        <v>945</v>
      </c>
      <c r="O1440" s="1077">
        <v>3.75</v>
      </c>
      <c r="P1440" s="1077">
        <v>3</v>
      </c>
      <c r="Q1440" s="1077" t="s">
        <v>946</v>
      </c>
      <c r="R1440" s="1077">
        <v>20.8</v>
      </c>
      <c r="T1440" s="1077">
        <v>29.1</v>
      </c>
      <c r="U1440" s="1077">
        <v>3.4</v>
      </c>
      <c r="V1440" s="1077" t="s">
        <v>648</v>
      </c>
      <c r="W1440" s="1077">
        <v>80</v>
      </c>
      <c r="X1440" s="1077">
        <v>60</v>
      </c>
      <c r="Y1440" s="1077">
        <v>1.5</v>
      </c>
      <c r="Z1440" s="1077" t="s">
        <v>648</v>
      </c>
      <c r="AA1440" s="1077" t="s">
        <v>2748</v>
      </c>
      <c r="AH1440" s="1077" t="s">
        <v>621</v>
      </c>
      <c r="AM1440" s="1078" t="s">
        <v>11891</v>
      </c>
      <c r="AN1440" s="1078" t="s">
        <v>11892</v>
      </c>
      <c r="AO1440" s="1078">
        <f t="shared" si="182"/>
        <v>650</v>
      </c>
      <c r="AP1440" s="1078">
        <f t="shared" si="183"/>
        <v>1.75</v>
      </c>
      <c r="AQ1440" s="1078" t="str">
        <f t="shared" si="184"/>
        <v>1-4-1S83°Z+S</v>
      </c>
      <c r="AR1440" s="1078" t="str">
        <f t="shared" si="185"/>
        <v>30</v>
      </c>
      <c r="AS1440" s="1078" t="str">
        <f t="shared" si="186"/>
        <v>280/280/OFF</v>
      </c>
      <c r="AT1440" s="1078" t="str">
        <f t="shared" si="187"/>
        <v>1-4-1S83°Z+S</v>
      </c>
      <c r="AU1440" s="1078" t="s">
        <v>15547</v>
      </c>
      <c r="AV1440" s="1078" t="str">
        <f t="shared" si="180"/>
        <v>108.8.30</v>
      </c>
      <c r="AW1440" s="1344">
        <f t="shared" si="181"/>
        <v>43707</v>
      </c>
    </row>
    <row r="1441" spans="1:49">
      <c r="A1441" s="1077" t="s">
        <v>5079</v>
      </c>
      <c r="B1441" s="1077" t="s">
        <v>4860</v>
      </c>
      <c r="C1441" s="1077">
        <v>650</v>
      </c>
      <c r="D1441" s="1077">
        <v>1.7589999999999999</v>
      </c>
      <c r="E1441" s="1077" t="s">
        <v>4861</v>
      </c>
      <c r="F1441" s="1077" t="s">
        <v>4070</v>
      </c>
      <c r="G1441" s="1077">
        <v>5</v>
      </c>
      <c r="H1441" s="1077" t="s">
        <v>4862</v>
      </c>
      <c r="I1441" s="1077" t="s">
        <v>643</v>
      </c>
      <c r="J1441" s="1077">
        <v>1.6</v>
      </c>
      <c r="K1441" s="1077" t="s">
        <v>5080</v>
      </c>
      <c r="L1441" s="1077" t="s">
        <v>4864</v>
      </c>
      <c r="M1441" s="1077">
        <v>149.5</v>
      </c>
      <c r="N1441" s="1077" t="s">
        <v>945</v>
      </c>
      <c r="O1441" s="1077">
        <v>3.7375000000000003</v>
      </c>
      <c r="P1441" s="1077">
        <v>2.99</v>
      </c>
      <c r="Q1441" s="1077" t="s">
        <v>946</v>
      </c>
      <c r="R1441" s="1077">
        <v>21</v>
      </c>
      <c r="T1441" s="1077">
        <v>37</v>
      </c>
      <c r="U1441" s="1077">
        <v>3.7</v>
      </c>
      <c r="V1441" s="1077" t="s">
        <v>648</v>
      </c>
      <c r="W1441" s="1077">
        <v>110</v>
      </c>
      <c r="X1441" s="1077">
        <v>40</v>
      </c>
      <c r="Y1441" s="1077">
        <v>2.2000000000000002</v>
      </c>
      <c r="Z1441" s="1077" t="s">
        <v>648</v>
      </c>
      <c r="AA1441" s="1077" t="s">
        <v>5081</v>
      </c>
      <c r="AH1441" s="1077" t="s">
        <v>1376</v>
      </c>
      <c r="AM1441" s="1078" t="s">
        <v>11893</v>
      </c>
      <c r="AN1441" s="1078" t="s">
        <v>11894</v>
      </c>
      <c r="AO1441" s="1078">
        <f t="shared" si="182"/>
        <v>650</v>
      </c>
      <c r="AP1441" s="1078">
        <f t="shared" si="183"/>
        <v>1.7589999999999999</v>
      </c>
      <c r="AQ1441" s="1078" t="str">
        <f t="shared" si="184"/>
        <v>105°</v>
      </c>
      <c r="AR1441" s="1078" t="str">
        <f t="shared" si="185"/>
        <v>15.5</v>
      </c>
      <c r="AS1441" s="1078" t="str">
        <f t="shared" si="186"/>
        <v>360/340/OFF</v>
      </c>
      <c r="AT1441" s="1078" t="str">
        <f t="shared" si="187"/>
        <v>105°</v>
      </c>
      <c r="AV1441" s="1078" t="str">
        <f t="shared" si="180"/>
        <v>108.9.3</v>
      </c>
      <c r="AW1441" s="1344">
        <f t="shared" si="181"/>
        <v>43711</v>
      </c>
    </row>
    <row r="1442" spans="1:49">
      <c r="A1442" s="1077" t="s">
        <v>5082</v>
      </c>
      <c r="B1442" s="1077" t="s">
        <v>210</v>
      </c>
      <c r="C1442" s="1077">
        <v>690</v>
      </c>
      <c r="D1442" s="1077">
        <v>1.76</v>
      </c>
      <c r="E1442" s="1077" t="s">
        <v>15094</v>
      </c>
      <c r="F1442" s="1077" t="s">
        <v>4013</v>
      </c>
      <c r="G1442" s="1077">
        <v>5</v>
      </c>
      <c r="H1442" s="1077" t="s">
        <v>5083</v>
      </c>
      <c r="I1442" s="1077" t="s">
        <v>126</v>
      </c>
      <c r="J1442" s="1077">
        <v>1.5</v>
      </c>
      <c r="K1442" s="1077" t="s">
        <v>5084</v>
      </c>
      <c r="L1442" s="1077" t="s">
        <v>4666</v>
      </c>
      <c r="M1442" s="1077">
        <v>152.19999999999999</v>
      </c>
      <c r="N1442" s="1077" t="s">
        <v>945</v>
      </c>
      <c r="O1442" s="1077">
        <v>3.8049999999999997</v>
      </c>
      <c r="P1442" s="1077">
        <v>3.044</v>
      </c>
      <c r="Q1442" s="1077" t="s">
        <v>2593</v>
      </c>
      <c r="R1442" s="1077">
        <v>19</v>
      </c>
      <c r="T1442" s="1077">
        <v>16</v>
      </c>
      <c r="U1442" s="1077">
        <v>4</v>
      </c>
      <c r="V1442" s="1077" t="s">
        <v>648</v>
      </c>
      <c r="W1442" s="1077" t="s">
        <v>4667</v>
      </c>
      <c r="X1442" s="1077">
        <v>10</v>
      </c>
      <c r="Y1442" s="1077">
        <v>1.5</v>
      </c>
      <c r="Z1442" s="1077">
        <v>5</v>
      </c>
      <c r="AA1442" s="1077" t="s">
        <v>2761</v>
      </c>
      <c r="AH1442" s="1077" t="s">
        <v>958</v>
      </c>
      <c r="AM1442" s="1078" t="s">
        <v>11895</v>
      </c>
      <c r="AN1442" s="1078" t="s">
        <v>11896</v>
      </c>
      <c r="AO1442" s="1078">
        <f t="shared" si="182"/>
        <v>690</v>
      </c>
      <c r="AP1442" s="1078">
        <f t="shared" si="183"/>
        <v>1.76</v>
      </c>
      <c r="AQ1442" s="1078" t="str">
        <f t="shared" si="184"/>
        <v>1-5-1S91°</v>
      </c>
      <c r="AR1442" s="1078" t="str">
        <f t="shared" si="185"/>
        <v>30.3</v>
      </c>
      <c r="AS1442" s="1078" t="str">
        <f t="shared" si="186"/>
        <v>325/285/163</v>
      </c>
      <c r="AT1442" s="1078" t="str">
        <f t="shared" si="187"/>
        <v>1-5-1S91°</v>
      </c>
      <c r="AV1442" s="1078" t="str">
        <f t="shared" si="180"/>
        <v>108.9.11</v>
      </c>
      <c r="AW1442" s="1344">
        <f t="shared" si="181"/>
        <v>43719</v>
      </c>
    </row>
    <row r="1443" spans="1:49">
      <c r="A1443" s="1077" t="s">
        <v>5085</v>
      </c>
      <c r="B1443" s="1077" t="s">
        <v>844</v>
      </c>
      <c r="C1443" s="1077">
        <v>550</v>
      </c>
      <c r="D1443" s="1077">
        <v>1.756</v>
      </c>
      <c r="E1443" s="1077" t="s">
        <v>15102</v>
      </c>
      <c r="F1443" s="1077" t="s">
        <v>1469</v>
      </c>
      <c r="G1443" s="1077">
        <v>5</v>
      </c>
      <c r="H1443" s="1077" t="s">
        <v>4918</v>
      </c>
      <c r="I1443" s="1077" t="s">
        <v>648</v>
      </c>
      <c r="J1443" s="1077">
        <v>0</v>
      </c>
      <c r="K1443" s="1077" t="s">
        <v>5086</v>
      </c>
      <c r="L1443" s="1077" t="s">
        <v>4907</v>
      </c>
      <c r="M1443" s="1077">
        <v>148.9</v>
      </c>
      <c r="N1443" s="1077" t="s">
        <v>945</v>
      </c>
      <c r="O1443" s="1077">
        <v>3.7225000000000001</v>
      </c>
      <c r="P1443" s="1077">
        <v>2.9780000000000002</v>
      </c>
      <c r="Q1443" s="1077" t="s">
        <v>1020</v>
      </c>
      <c r="R1443" s="1077">
        <v>23.5</v>
      </c>
      <c r="T1443" s="1077">
        <v>16.399999999999999</v>
      </c>
      <c r="U1443" s="1077">
        <v>4.5999999999999996</v>
      </c>
      <c r="V1443" s="1077" t="s">
        <v>648</v>
      </c>
      <c r="W1443" s="1077" t="s">
        <v>648</v>
      </c>
      <c r="X1443" s="1077" t="s">
        <v>648</v>
      </c>
      <c r="Y1443" s="1077">
        <v>1.6</v>
      </c>
      <c r="Z1443" s="1077" t="s">
        <v>5045</v>
      </c>
      <c r="AA1443" s="1077" t="s">
        <v>2765</v>
      </c>
      <c r="AH1443" s="1077" t="s">
        <v>1417</v>
      </c>
      <c r="AM1443" s="1078" t="s">
        <v>11897</v>
      </c>
      <c r="AN1443" s="1078" t="s">
        <v>11898</v>
      </c>
      <c r="AO1443" s="1078">
        <f t="shared" si="182"/>
        <v>550</v>
      </c>
      <c r="AP1443" s="1078">
        <f t="shared" si="183"/>
        <v>1.756</v>
      </c>
      <c r="AQ1443" s="1078" t="str">
        <f t="shared" si="184"/>
        <v>2-6-1S83°</v>
      </c>
      <c r="AR1443" s="1078" t="str">
        <f t="shared" si="185"/>
        <v>30.5</v>
      </c>
      <c r="AS1443" s="1078" t="str">
        <f t="shared" si="186"/>
        <v>166/140</v>
      </c>
      <c r="AT1443" s="1078" t="str">
        <f t="shared" si="187"/>
        <v>2-6-1S83°</v>
      </c>
      <c r="AV1443" s="1078" t="str">
        <f t="shared" si="180"/>
        <v>108.9.12</v>
      </c>
      <c r="AW1443" s="1344">
        <f t="shared" si="181"/>
        <v>43720</v>
      </c>
    </row>
    <row r="1444" spans="1:49">
      <c r="A1444" s="1077" t="s">
        <v>5087</v>
      </c>
      <c r="B1444" s="1077" t="s">
        <v>210</v>
      </c>
      <c r="C1444" s="1077">
        <v>700</v>
      </c>
      <c r="D1444" s="1077">
        <v>1.8</v>
      </c>
      <c r="E1444" s="1077" t="s">
        <v>15094</v>
      </c>
      <c r="F1444" s="1077" t="s">
        <v>2234</v>
      </c>
      <c r="G1444" s="1077">
        <v>5</v>
      </c>
      <c r="H1444" s="1077" t="s">
        <v>5088</v>
      </c>
      <c r="I1444" s="1077" t="s">
        <v>126</v>
      </c>
      <c r="J1444" s="1077">
        <v>2.7</v>
      </c>
      <c r="K1444" s="1077" t="s">
        <v>4674</v>
      </c>
      <c r="L1444" s="1077" t="s">
        <v>4675</v>
      </c>
      <c r="M1444" s="1077">
        <v>150.80000000000001</v>
      </c>
      <c r="N1444" s="1077" t="s">
        <v>945</v>
      </c>
      <c r="O1444" s="1077">
        <v>3.7700000000000005</v>
      </c>
      <c r="P1444" s="1077">
        <v>3.0160000000000005</v>
      </c>
      <c r="Q1444" s="1077" t="s">
        <v>988</v>
      </c>
      <c r="R1444" s="1077">
        <v>19</v>
      </c>
      <c r="T1444" s="1077">
        <v>28.3</v>
      </c>
      <c r="U1444" s="1077">
        <v>4.3</v>
      </c>
      <c r="V1444" s="1077" t="s">
        <v>648</v>
      </c>
      <c r="W1444" s="1077">
        <v>100</v>
      </c>
      <c r="X1444" s="1077">
        <v>50</v>
      </c>
      <c r="Y1444" s="1077">
        <v>1.5</v>
      </c>
      <c r="Z1444" s="1077" t="s">
        <v>5089</v>
      </c>
      <c r="AA1444" s="1077" t="s">
        <v>2772</v>
      </c>
      <c r="AH1444" s="1077" t="s">
        <v>3213</v>
      </c>
      <c r="AM1444" s="1078" t="s">
        <v>11899</v>
      </c>
      <c r="AN1444" s="1078" t="s">
        <v>11900</v>
      </c>
      <c r="AO1444" s="1078">
        <f t="shared" si="182"/>
        <v>700</v>
      </c>
      <c r="AP1444" s="1078">
        <f t="shared" si="183"/>
        <v>1.8</v>
      </c>
      <c r="AQ1444" s="1078" t="str">
        <f t="shared" si="184"/>
        <v>1-5-1S91°</v>
      </c>
      <c r="AR1444" s="1078" t="str">
        <f t="shared" si="185"/>
        <v>33.5</v>
      </c>
      <c r="AS1444" s="1078" t="str">
        <f t="shared" si="186"/>
        <v>363/323/OFF</v>
      </c>
      <c r="AT1444" s="1078" t="str">
        <f t="shared" si="187"/>
        <v>1-5-1S91°</v>
      </c>
      <c r="AV1444" s="1078" t="str">
        <f t="shared" si="180"/>
        <v>108.9.17</v>
      </c>
      <c r="AW1444" s="1344">
        <f t="shared" si="181"/>
        <v>43725</v>
      </c>
    </row>
    <row r="1445" spans="1:49">
      <c r="A1445" s="1077" t="s">
        <v>5090</v>
      </c>
      <c r="B1445" s="1077" t="s">
        <v>4767</v>
      </c>
      <c r="C1445" s="1077">
        <v>750</v>
      </c>
      <c r="D1445" s="1077">
        <v>1.724</v>
      </c>
      <c r="E1445" s="1077" t="s">
        <v>15104</v>
      </c>
      <c r="F1445" s="1077" t="s">
        <v>648</v>
      </c>
      <c r="G1445" s="1077">
        <v>5</v>
      </c>
      <c r="H1445" s="1077" t="s">
        <v>941</v>
      </c>
      <c r="I1445" s="1077" t="s">
        <v>126</v>
      </c>
      <c r="J1445" s="1077">
        <v>1.8</v>
      </c>
      <c r="K1445" s="1077" t="s">
        <v>5091</v>
      </c>
      <c r="L1445" s="1077" t="s">
        <v>2430</v>
      </c>
      <c r="M1445" s="1077">
        <v>148</v>
      </c>
      <c r="N1445" s="1077" t="s">
        <v>945</v>
      </c>
      <c r="O1445" s="1077">
        <v>3.7</v>
      </c>
      <c r="P1445" s="1077">
        <v>2.96</v>
      </c>
      <c r="Q1445" s="1077" t="s">
        <v>946</v>
      </c>
      <c r="R1445" s="1077">
        <v>20.8</v>
      </c>
      <c r="T1445" s="1077">
        <v>20.399999999999999</v>
      </c>
      <c r="U1445" s="1077">
        <v>3.8</v>
      </c>
      <c r="V1445" s="1077" t="s">
        <v>648</v>
      </c>
      <c r="W1445" s="1077">
        <v>110</v>
      </c>
      <c r="X1445" s="1077">
        <v>60</v>
      </c>
      <c r="Y1445" s="1077">
        <v>1.7</v>
      </c>
      <c r="Z1445" s="1077" t="s">
        <v>648</v>
      </c>
      <c r="AA1445" s="1077" t="s">
        <v>5092</v>
      </c>
      <c r="AH1445" s="1077" t="s">
        <v>782</v>
      </c>
      <c r="AM1445" s="1078" t="s">
        <v>11901</v>
      </c>
      <c r="AN1445" s="1078" t="s">
        <v>11902</v>
      </c>
      <c r="AO1445" s="1078">
        <f t="shared" si="182"/>
        <v>750</v>
      </c>
      <c r="AP1445" s="1078">
        <f t="shared" si="183"/>
        <v>1.724</v>
      </c>
      <c r="AQ1445" s="1078" t="str">
        <f t="shared" si="184"/>
        <v>1-4-1S85°Z+S</v>
      </c>
      <c r="AR1445" s="1078" t="str">
        <f t="shared" si="185"/>
        <v>NA</v>
      </c>
      <c r="AS1445" s="1078" t="str">
        <f t="shared" si="186"/>
        <v>185/OFF</v>
      </c>
      <c r="AT1445" s="1078" t="str">
        <f t="shared" si="187"/>
        <v>1-4-1S85°Z+S</v>
      </c>
      <c r="AU1445" s="1078" t="s">
        <v>15547</v>
      </c>
      <c r="AV1445" s="1078" t="str">
        <f t="shared" si="180"/>
        <v>108.10.5</v>
      </c>
      <c r="AW1445" s="1344">
        <f t="shared" si="181"/>
        <v>43743</v>
      </c>
    </row>
    <row r="1446" spans="1:49">
      <c r="A1446" s="1077" t="s">
        <v>5093</v>
      </c>
      <c r="B1446" s="1077" t="s">
        <v>4694</v>
      </c>
      <c r="C1446" s="1077">
        <v>600</v>
      </c>
      <c r="D1446" s="1077">
        <v>1.74</v>
      </c>
      <c r="E1446" s="1077" t="s">
        <v>15102</v>
      </c>
      <c r="F1446" s="1077" t="s">
        <v>1349</v>
      </c>
      <c r="G1446" s="1077">
        <v>5</v>
      </c>
      <c r="H1446" s="1077" t="s">
        <v>5094</v>
      </c>
      <c r="I1446" s="1077" t="s">
        <v>1112</v>
      </c>
      <c r="J1446" s="1077">
        <v>2.6</v>
      </c>
      <c r="K1446" s="1077" t="s">
        <v>4697</v>
      </c>
      <c r="L1446" s="1077" t="s">
        <v>4702</v>
      </c>
      <c r="M1446" s="1077">
        <v>151.30000000000001</v>
      </c>
      <c r="N1446" s="1077" t="s">
        <v>945</v>
      </c>
      <c r="O1446" s="1077">
        <v>3.7825000000000006</v>
      </c>
      <c r="P1446" s="1077">
        <v>3.0260000000000002</v>
      </c>
      <c r="Q1446" s="1077" t="s">
        <v>1037</v>
      </c>
      <c r="R1446" s="1077">
        <v>20.7</v>
      </c>
      <c r="T1446" s="1077">
        <v>15.5</v>
      </c>
      <c r="U1446" s="1077">
        <v>3</v>
      </c>
      <c r="V1446" s="1077" t="s">
        <v>648</v>
      </c>
      <c r="W1446" s="1077">
        <v>130</v>
      </c>
      <c r="X1446" s="1077">
        <v>75</v>
      </c>
      <c r="Y1446" s="1077">
        <v>1.2</v>
      </c>
      <c r="Z1446" s="1077" t="s">
        <v>5095</v>
      </c>
      <c r="AA1446" s="1077" t="s">
        <v>5096</v>
      </c>
      <c r="AH1446" s="1077" t="s">
        <v>803</v>
      </c>
      <c r="AM1446" s="1078" t="s">
        <v>11903</v>
      </c>
      <c r="AN1446" s="1078" t="s">
        <v>11904</v>
      </c>
      <c r="AO1446" s="1078">
        <f t="shared" si="182"/>
        <v>600</v>
      </c>
      <c r="AP1446" s="1078">
        <f t="shared" si="183"/>
        <v>1.74</v>
      </c>
      <c r="AQ1446" s="1078" t="str">
        <f t="shared" si="184"/>
        <v>2-6-1S83°</v>
      </c>
      <c r="AR1446" s="1078" t="str">
        <f t="shared" si="185"/>
        <v>31.2</v>
      </c>
      <c r="AS1446" s="1078" t="str">
        <f t="shared" si="186"/>
        <v>185/170</v>
      </c>
      <c r="AT1446" s="1078" t="str">
        <f t="shared" si="187"/>
        <v>2-6-1S83°</v>
      </c>
      <c r="AV1446" s="1078" t="str">
        <f t="shared" si="180"/>
        <v>108.9.23</v>
      </c>
      <c r="AW1446" s="1344">
        <f t="shared" si="181"/>
        <v>43731</v>
      </c>
    </row>
    <row r="1447" spans="1:49">
      <c r="A1447" s="1077" t="s">
        <v>5097</v>
      </c>
      <c r="B1447" s="1077" t="s">
        <v>4987</v>
      </c>
      <c r="C1447" s="1077">
        <v>550</v>
      </c>
      <c r="D1447" s="1077">
        <v>1.7250000000000001</v>
      </c>
      <c r="E1447" s="1077" t="s">
        <v>4861</v>
      </c>
      <c r="F1447" s="1077" t="s">
        <v>4070</v>
      </c>
      <c r="G1447" s="1077">
        <v>5</v>
      </c>
      <c r="H1447" s="1077" t="s">
        <v>5098</v>
      </c>
      <c r="I1447" s="1077" t="s">
        <v>460</v>
      </c>
      <c r="J1447" s="1077">
        <v>1.9</v>
      </c>
      <c r="K1447" s="1077" t="s">
        <v>5099</v>
      </c>
      <c r="L1447" s="1077" t="s">
        <v>5100</v>
      </c>
      <c r="M1447" s="1077">
        <v>155</v>
      </c>
      <c r="N1447" s="1077" t="s">
        <v>945</v>
      </c>
      <c r="O1447" s="1077">
        <v>3.875</v>
      </c>
      <c r="P1447" s="1077">
        <v>3.1</v>
      </c>
      <c r="Q1447" s="1077" t="s">
        <v>1059</v>
      </c>
      <c r="R1447" s="1077">
        <v>21.3</v>
      </c>
      <c r="T1447" s="1077">
        <v>7.9</v>
      </c>
      <c r="U1447" s="1077">
        <v>5.2</v>
      </c>
      <c r="V1447" s="1077" t="s">
        <v>648</v>
      </c>
      <c r="W1447" s="1077">
        <v>135</v>
      </c>
      <c r="X1447" s="1077">
        <v>95</v>
      </c>
      <c r="Y1447" s="1077">
        <v>1.5</v>
      </c>
      <c r="Z1447" s="1077" t="s">
        <v>648</v>
      </c>
      <c r="AA1447" s="1077" t="s">
        <v>1099</v>
      </c>
      <c r="AH1447" s="1077" t="s">
        <v>1643</v>
      </c>
      <c r="AM1447" s="1078" t="s">
        <v>11905</v>
      </c>
      <c r="AN1447" s="1078" t="s">
        <v>11906</v>
      </c>
      <c r="AO1447" s="1078">
        <f t="shared" si="182"/>
        <v>550</v>
      </c>
      <c r="AP1447" s="1078">
        <f t="shared" si="183"/>
        <v>1.7250000000000001</v>
      </c>
      <c r="AQ1447" s="1078" t="str">
        <f t="shared" si="184"/>
        <v>105°</v>
      </c>
      <c r="AR1447" s="1078" t="str">
        <f t="shared" si="185"/>
        <v>15.5</v>
      </c>
      <c r="AS1447" s="1078" t="str">
        <f t="shared" si="186"/>
        <v>255/275/150</v>
      </c>
      <c r="AT1447" s="1078" t="str">
        <f t="shared" si="187"/>
        <v>105°</v>
      </c>
      <c r="AV1447" s="1078" t="str">
        <f t="shared" si="180"/>
        <v>108.7.15</v>
      </c>
      <c r="AW1447" s="1344">
        <f t="shared" si="181"/>
        <v>43661</v>
      </c>
    </row>
    <row r="1448" spans="1:49">
      <c r="A1448" s="1077" t="s">
        <v>5101</v>
      </c>
      <c r="B1448" s="1077" t="s">
        <v>844</v>
      </c>
      <c r="C1448" s="1077">
        <v>550</v>
      </c>
      <c r="D1448" s="1077">
        <v>1.7649999999999999</v>
      </c>
      <c r="E1448" s="1077" t="s">
        <v>15102</v>
      </c>
      <c r="F1448" s="1077" t="s">
        <v>984</v>
      </c>
      <c r="G1448" s="1077">
        <v>5</v>
      </c>
      <c r="H1448" s="1077" t="s">
        <v>4930</v>
      </c>
      <c r="I1448" s="1077" t="s">
        <v>460</v>
      </c>
      <c r="J1448" s="1077">
        <v>3.4</v>
      </c>
      <c r="K1448" s="1077" t="s">
        <v>5086</v>
      </c>
      <c r="L1448" s="1077" t="s">
        <v>4907</v>
      </c>
      <c r="M1448" s="1077">
        <v>152.5</v>
      </c>
      <c r="N1448" s="1077" t="s">
        <v>945</v>
      </c>
      <c r="O1448" s="1077">
        <v>3.8125</v>
      </c>
      <c r="P1448" s="1077">
        <v>3.0500000000000003</v>
      </c>
      <c r="Q1448" s="1077" t="s">
        <v>1012</v>
      </c>
      <c r="R1448" s="1077">
        <v>21</v>
      </c>
      <c r="T1448" s="1077">
        <v>9.1999999999999993</v>
      </c>
      <c r="U1448" s="1077">
        <v>5.4</v>
      </c>
      <c r="V1448" s="1077" t="s">
        <v>648</v>
      </c>
      <c r="W1448" s="1077">
        <v>110</v>
      </c>
      <c r="X1448" s="1077">
        <v>90</v>
      </c>
      <c r="Y1448" s="1077">
        <v>2</v>
      </c>
      <c r="Z1448" s="1077" t="s">
        <v>2873</v>
      </c>
      <c r="AA1448" s="1077" t="s">
        <v>5096</v>
      </c>
      <c r="AH1448" s="1077" t="s">
        <v>2836</v>
      </c>
      <c r="AM1448" s="1078" t="s">
        <v>11907</v>
      </c>
      <c r="AN1448" s="1078" t="s">
        <v>11908</v>
      </c>
      <c r="AO1448" s="1078">
        <f t="shared" si="182"/>
        <v>550</v>
      </c>
      <c r="AP1448" s="1078">
        <f t="shared" si="183"/>
        <v>1.7649999999999999</v>
      </c>
      <c r="AQ1448" s="1078" t="str">
        <f t="shared" si="184"/>
        <v>2-6-1S83°</v>
      </c>
      <c r="AR1448" s="1078" t="str">
        <f t="shared" si="185"/>
        <v>30</v>
      </c>
      <c r="AS1448" s="1078" t="str">
        <f t="shared" si="186"/>
        <v>160/155</v>
      </c>
      <c r="AT1448" s="1078" t="str">
        <f t="shared" si="187"/>
        <v>2-6-1S83°</v>
      </c>
      <c r="AV1448" s="1078" t="str">
        <f t="shared" si="180"/>
        <v>108.9.23</v>
      </c>
      <c r="AW1448" s="1344">
        <f t="shared" si="181"/>
        <v>43731</v>
      </c>
    </row>
    <row r="1449" spans="1:49">
      <c r="A1449" s="1077" t="s">
        <v>5102</v>
      </c>
      <c r="B1449" s="1077" t="s">
        <v>210</v>
      </c>
      <c r="C1449" s="1077">
        <v>750</v>
      </c>
      <c r="D1449" s="1077">
        <v>1.76</v>
      </c>
      <c r="E1449" s="1077" t="s">
        <v>15094</v>
      </c>
      <c r="F1449" s="1077" t="s">
        <v>984</v>
      </c>
      <c r="G1449" s="1077">
        <v>5</v>
      </c>
      <c r="H1449" s="1077" t="s">
        <v>5103</v>
      </c>
      <c r="I1449" s="1077" t="s">
        <v>648</v>
      </c>
      <c r="J1449" s="1077">
        <v>0</v>
      </c>
      <c r="K1449" s="1077" t="s">
        <v>5066</v>
      </c>
      <c r="L1449" s="1077" t="s">
        <v>4666</v>
      </c>
      <c r="M1449" s="1077">
        <v>152.4</v>
      </c>
      <c r="N1449" s="1077" t="s">
        <v>945</v>
      </c>
      <c r="O1449" s="1077">
        <v>3.8100000000000005</v>
      </c>
      <c r="P1449" s="1077">
        <v>3.048</v>
      </c>
      <c r="Q1449" s="1077" t="s">
        <v>961</v>
      </c>
      <c r="R1449" s="1077">
        <v>21.6</v>
      </c>
      <c r="T1449" s="1077">
        <v>17</v>
      </c>
      <c r="U1449" s="1077">
        <v>2.6</v>
      </c>
      <c r="V1449" s="1077" t="s">
        <v>648</v>
      </c>
      <c r="W1449" s="1077" t="s">
        <v>648</v>
      </c>
      <c r="X1449" s="1077" t="s">
        <v>648</v>
      </c>
      <c r="Y1449" s="1077">
        <v>1</v>
      </c>
      <c r="Z1449" s="1077">
        <v>4.5</v>
      </c>
      <c r="AA1449" s="1077" t="s">
        <v>5096</v>
      </c>
      <c r="AH1449" s="1077" t="s">
        <v>1238</v>
      </c>
      <c r="AM1449" s="1078" t="s">
        <v>11909</v>
      </c>
      <c r="AN1449" s="1078" t="s">
        <v>11910</v>
      </c>
      <c r="AO1449" s="1078">
        <f t="shared" si="182"/>
        <v>750</v>
      </c>
      <c r="AP1449" s="1078">
        <f t="shared" si="183"/>
        <v>1.76</v>
      </c>
      <c r="AQ1449" s="1078" t="str">
        <f t="shared" si="184"/>
        <v>1-5-1S91°</v>
      </c>
      <c r="AR1449" s="1078" t="str">
        <f t="shared" si="185"/>
        <v>30</v>
      </c>
      <c r="AS1449" s="1078" t="str">
        <f t="shared" si="186"/>
        <v>359/319/155</v>
      </c>
      <c r="AT1449" s="1078" t="str">
        <f t="shared" si="187"/>
        <v>1-5-1S91°</v>
      </c>
      <c r="AV1449" s="1078" t="str">
        <f t="shared" si="180"/>
        <v>108.9.23</v>
      </c>
      <c r="AW1449" s="1344">
        <f t="shared" si="181"/>
        <v>43731</v>
      </c>
    </row>
    <row r="1450" spans="1:49">
      <c r="A1450" s="1077" t="s">
        <v>5104</v>
      </c>
      <c r="B1450" s="1077" t="s">
        <v>4880</v>
      </c>
      <c r="C1450" s="1077">
        <v>650</v>
      </c>
      <c r="D1450" s="1077">
        <v>1.8</v>
      </c>
      <c r="E1450" s="1077" t="s">
        <v>15094</v>
      </c>
      <c r="F1450" s="1077" t="s">
        <v>2234</v>
      </c>
      <c r="G1450" s="1077">
        <v>5</v>
      </c>
      <c r="H1450" s="1077" t="s">
        <v>5105</v>
      </c>
      <c r="I1450" s="1077" t="s">
        <v>460</v>
      </c>
      <c r="J1450" s="1077">
        <v>2.7</v>
      </c>
      <c r="K1450" s="1077" t="s">
        <v>4882</v>
      </c>
      <c r="L1450" s="1077" t="s">
        <v>4883</v>
      </c>
      <c r="M1450" s="1077">
        <v>158.4</v>
      </c>
      <c r="N1450" s="1077" t="s">
        <v>945</v>
      </c>
      <c r="O1450" s="1077">
        <v>3.9600000000000004</v>
      </c>
      <c r="P1450" s="1077">
        <v>3.1680000000000001</v>
      </c>
      <c r="Q1450" s="1077" t="s">
        <v>2553</v>
      </c>
      <c r="R1450" s="1077">
        <v>20.5</v>
      </c>
      <c r="T1450" s="1077">
        <v>13</v>
      </c>
      <c r="U1450" s="1077">
        <v>3.2</v>
      </c>
      <c r="V1450" s="1077" t="s">
        <v>648</v>
      </c>
      <c r="W1450" s="1077">
        <v>110</v>
      </c>
      <c r="X1450" s="1077">
        <v>90</v>
      </c>
      <c r="Y1450" s="1077">
        <v>1.5</v>
      </c>
      <c r="Z1450" s="1077">
        <v>5</v>
      </c>
      <c r="AA1450" s="1077" t="s">
        <v>4077</v>
      </c>
      <c r="AH1450" s="1077" t="s">
        <v>1221</v>
      </c>
      <c r="AM1450" s="1078" t="s">
        <v>11911</v>
      </c>
      <c r="AN1450" s="1078" t="s">
        <v>11912</v>
      </c>
      <c r="AO1450" s="1078">
        <f t="shared" si="182"/>
        <v>650</v>
      </c>
      <c r="AP1450" s="1078">
        <f t="shared" si="183"/>
        <v>1.8</v>
      </c>
      <c r="AQ1450" s="1078" t="str">
        <f t="shared" si="184"/>
        <v>1-5-1S91°</v>
      </c>
      <c r="AR1450" s="1078" t="str">
        <f t="shared" si="185"/>
        <v>33.5</v>
      </c>
      <c r="AS1450" s="1078" t="str">
        <f t="shared" si="186"/>
        <v>340/340/145</v>
      </c>
      <c r="AT1450" s="1078" t="str">
        <f t="shared" si="187"/>
        <v>1-5-1S91°</v>
      </c>
      <c r="AV1450" s="1078" t="str">
        <f t="shared" si="180"/>
        <v>108.9.26</v>
      </c>
      <c r="AW1450" s="1344">
        <f t="shared" si="181"/>
        <v>43734</v>
      </c>
    </row>
    <row r="1451" spans="1:49">
      <c r="A1451" s="1077" t="s">
        <v>5106</v>
      </c>
      <c r="B1451" s="1077" t="s">
        <v>5012</v>
      </c>
      <c r="C1451" s="1077">
        <v>600</v>
      </c>
      <c r="D1451" s="1077">
        <v>1.7</v>
      </c>
      <c r="E1451" s="1077" t="s">
        <v>15114</v>
      </c>
      <c r="F1451" s="1077" t="s">
        <v>648</v>
      </c>
      <c r="G1451" s="1077">
        <v>4</v>
      </c>
      <c r="H1451" s="1077" t="s">
        <v>1166</v>
      </c>
      <c r="I1451" s="1077" t="s">
        <v>126</v>
      </c>
      <c r="J1451" s="1077">
        <v>1.3</v>
      </c>
      <c r="K1451" s="1077" t="s">
        <v>5107</v>
      </c>
      <c r="L1451" s="1077" t="s">
        <v>2586</v>
      </c>
      <c r="M1451" s="1077">
        <v>154.30000000000001</v>
      </c>
      <c r="N1451" s="1077" t="s">
        <v>945</v>
      </c>
      <c r="O1451" s="1077">
        <v>3.8575000000000004</v>
      </c>
      <c r="P1451" s="1077">
        <v>3.0860000000000003</v>
      </c>
      <c r="Q1451" s="1077" t="s">
        <v>1037</v>
      </c>
      <c r="R1451" s="1077">
        <v>22.1</v>
      </c>
      <c r="T1451" s="1077">
        <v>10.5</v>
      </c>
      <c r="U1451" s="1077">
        <v>4.0999999999999996</v>
      </c>
      <c r="V1451" s="1077" t="s">
        <v>648</v>
      </c>
      <c r="W1451" s="1077">
        <v>125</v>
      </c>
      <c r="X1451" s="1077">
        <v>80</v>
      </c>
      <c r="Y1451" s="1077">
        <v>2</v>
      </c>
      <c r="Z1451" s="1077" t="s">
        <v>648</v>
      </c>
      <c r="AA1451" s="1077" t="s">
        <v>4077</v>
      </c>
      <c r="AH1451" s="1077" t="s">
        <v>647</v>
      </c>
      <c r="AM1451" s="1078" t="s">
        <v>11913</v>
      </c>
      <c r="AN1451" s="1078" t="s">
        <v>11914</v>
      </c>
      <c r="AO1451" s="1078">
        <f t="shared" si="182"/>
        <v>600</v>
      </c>
      <c r="AP1451" s="1078">
        <f t="shared" si="183"/>
        <v>1.7</v>
      </c>
      <c r="AQ1451" s="1078" t="str">
        <f t="shared" si="184"/>
        <v>1-4-1S85Z+S</v>
      </c>
      <c r="AR1451" s="1078" t="str">
        <f t="shared" si="185"/>
        <v>NA</v>
      </c>
      <c r="AS1451" s="1078" t="str">
        <f t="shared" si="186"/>
        <v>170/OFF</v>
      </c>
      <c r="AT1451" s="1078" t="str">
        <f t="shared" si="187"/>
        <v>1-4-1S85Z+S</v>
      </c>
      <c r="AV1451" s="1078" t="str">
        <f t="shared" si="180"/>
        <v>108.9.26</v>
      </c>
      <c r="AW1451" s="1344">
        <f t="shared" si="181"/>
        <v>43734</v>
      </c>
    </row>
    <row r="1452" spans="1:49">
      <c r="A1452" s="1077" t="s">
        <v>5108</v>
      </c>
      <c r="B1452" s="1077" t="s">
        <v>5012</v>
      </c>
      <c r="C1452" s="1077">
        <v>550</v>
      </c>
      <c r="D1452" s="1077">
        <v>1.72</v>
      </c>
      <c r="E1452" s="1077" t="s">
        <v>5013</v>
      </c>
      <c r="F1452" s="1077" t="s">
        <v>4070</v>
      </c>
      <c r="G1452" s="1077">
        <v>4</v>
      </c>
      <c r="H1452" s="1077" t="s">
        <v>5014</v>
      </c>
      <c r="I1452" s="1077" t="s">
        <v>126</v>
      </c>
      <c r="J1452" s="1077">
        <v>0.5</v>
      </c>
      <c r="K1452" s="1077" t="s">
        <v>5109</v>
      </c>
      <c r="L1452" s="1077" t="s">
        <v>2590</v>
      </c>
      <c r="M1452" s="1077">
        <v>151</v>
      </c>
      <c r="N1452" s="1077" t="s">
        <v>945</v>
      </c>
      <c r="O1452" s="1077">
        <v>3.7750000000000004</v>
      </c>
      <c r="P1452" s="1077">
        <v>3.02</v>
      </c>
      <c r="Q1452" s="1077" t="s">
        <v>1037</v>
      </c>
      <c r="R1452" s="1077">
        <v>21</v>
      </c>
      <c r="T1452" s="1077">
        <v>10.5</v>
      </c>
      <c r="U1452" s="1077">
        <v>4.3</v>
      </c>
      <c r="V1452" s="1077" t="s">
        <v>648</v>
      </c>
      <c r="W1452" s="1077" t="s">
        <v>4667</v>
      </c>
      <c r="X1452" s="1077">
        <v>35</v>
      </c>
      <c r="Y1452" s="1077">
        <v>1.6</v>
      </c>
      <c r="Z1452" s="1077" t="s">
        <v>648</v>
      </c>
      <c r="AA1452" s="1077" t="s">
        <v>5110</v>
      </c>
      <c r="AH1452" s="1077" t="s">
        <v>830</v>
      </c>
      <c r="AM1452" s="1078" t="s">
        <v>11915</v>
      </c>
      <c r="AN1452" s="1078" t="s">
        <v>11916</v>
      </c>
      <c r="AO1452" s="1078">
        <f t="shared" si="182"/>
        <v>550</v>
      </c>
      <c r="AP1452" s="1078">
        <f t="shared" si="183"/>
        <v>1.72</v>
      </c>
      <c r="AQ1452" s="1078" t="str">
        <f t="shared" si="184"/>
        <v>107.5°</v>
      </c>
      <c r="AR1452" s="1078" t="str">
        <f t="shared" si="185"/>
        <v>15.5</v>
      </c>
      <c r="AS1452" s="1078" t="str">
        <f t="shared" si="186"/>
        <v>290/275/OFF</v>
      </c>
      <c r="AT1452" s="1078" t="str">
        <f t="shared" si="187"/>
        <v>107.5°</v>
      </c>
      <c r="AV1452" s="1078" t="str">
        <f t="shared" si="180"/>
        <v>107.8.9</v>
      </c>
      <c r="AW1452" s="1344">
        <f t="shared" si="181"/>
        <v>43321</v>
      </c>
    </row>
    <row r="1453" spans="1:49">
      <c r="A1453" s="1077" t="s">
        <v>5111</v>
      </c>
      <c r="B1453" s="1077" t="s">
        <v>617</v>
      </c>
      <c r="C1453" s="1077">
        <v>650</v>
      </c>
      <c r="D1453" s="1077">
        <v>1.73</v>
      </c>
      <c r="E1453" s="1077" t="s">
        <v>15094</v>
      </c>
      <c r="F1453" s="1077" t="s">
        <v>984</v>
      </c>
      <c r="G1453" s="1077">
        <v>5</v>
      </c>
      <c r="H1453" s="1077" t="s">
        <v>1793</v>
      </c>
      <c r="I1453" s="1077" t="s">
        <v>126</v>
      </c>
      <c r="J1453" s="1077">
        <v>2.2000000000000002</v>
      </c>
      <c r="K1453" s="1077" t="s">
        <v>5112</v>
      </c>
      <c r="L1453" s="1077" t="s">
        <v>4854</v>
      </c>
      <c r="M1453" s="1077">
        <v>150.30000000000001</v>
      </c>
      <c r="N1453" s="1077" t="s">
        <v>945</v>
      </c>
      <c r="O1453" s="1077">
        <v>3.7575000000000003</v>
      </c>
      <c r="P1453" s="1077">
        <v>3.0060000000000002</v>
      </c>
      <c r="Q1453" s="1077" t="s">
        <v>1363</v>
      </c>
      <c r="R1453" s="1077">
        <v>29</v>
      </c>
      <c r="T1453" s="1077">
        <v>13</v>
      </c>
      <c r="U1453" s="1077">
        <v>7</v>
      </c>
      <c r="V1453" s="1077" t="s">
        <v>648</v>
      </c>
      <c r="W1453" s="1077">
        <v>115</v>
      </c>
      <c r="X1453" s="1077">
        <v>50</v>
      </c>
      <c r="Y1453" s="1077">
        <v>1.7</v>
      </c>
      <c r="Z1453" s="1077">
        <v>6.5</v>
      </c>
      <c r="AA1453" s="1077" t="s">
        <v>2777</v>
      </c>
      <c r="AH1453" s="1077" t="s">
        <v>889</v>
      </c>
      <c r="AM1453" s="1078" t="s">
        <v>11917</v>
      </c>
      <c r="AN1453" s="1078" t="s">
        <v>11918</v>
      </c>
      <c r="AO1453" s="1078">
        <f t="shared" si="182"/>
        <v>650</v>
      </c>
      <c r="AP1453" s="1078">
        <f t="shared" si="183"/>
        <v>1.73</v>
      </c>
      <c r="AQ1453" s="1078" t="str">
        <f t="shared" si="184"/>
        <v>1-5-1S91°</v>
      </c>
      <c r="AR1453" s="1078" t="str">
        <f t="shared" si="185"/>
        <v>30</v>
      </c>
      <c r="AS1453" s="1078" t="str">
        <f t="shared" si="186"/>
        <v>270/270/OFF</v>
      </c>
      <c r="AT1453" s="1078" t="str">
        <f t="shared" si="187"/>
        <v>1-5-1S91°</v>
      </c>
      <c r="AV1453" s="1078" t="str">
        <f t="shared" si="180"/>
        <v>108.9.30</v>
      </c>
      <c r="AW1453" s="1344">
        <f t="shared" si="181"/>
        <v>43738</v>
      </c>
    </row>
    <row r="1454" spans="1:49">
      <c r="A1454" s="1077" t="s">
        <v>5113</v>
      </c>
      <c r="B1454" s="1077" t="s">
        <v>4912</v>
      </c>
      <c r="C1454" s="1077">
        <v>700</v>
      </c>
      <c r="D1454" s="1077">
        <v>1.77</v>
      </c>
      <c r="E1454" s="1077" t="s">
        <v>15094</v>
      </c>
      <c r="F1454" s="1077" t="s">
        <v>2234</v>
      </c>
      <c r="G1454" s="1077">
        <v>5</v>
      </c>
      <c r="H1454" s="1077" t="s">
        <v>5114</v>
      </c>
      <c r="I1454" s="1077" t="s">
        <v>126</v>
      </c>
      <c r="J1454" s="1077">
        <v>1.9</v>
      </c>
      <c r="K1454" s="1077" t="s">
        <v>5115</v>
      </c>
      <c r="L1454" s="1077" t="s">
        <v>4915</v>
      </c>
      <c r="M1454" s="1077">
        <v>154.5</v>
      </c>
      <c r="N1454" s="1077" t="s">
        <v>945</v>
      </c>
      <c r="O1454" s="1077">
        <v>3.8625000000000003</v>
      </c>
      <c r="P1454" s="1077">
        <v>3.09</v>
      </c>
      <c r="Q1454" s="1077" t="s">
        <v>5003</v>
      </c>
      <c r="R1454" s="1077">
        <v>22</v>
      </c>
      <c r="T1454" s="1077">
        <v>20</v>
      </c>
      <c r="U1454" s="1077">
        <v>3.5</v>
      </c>
      <c r="V1454" s="1077" t="s">
        <v>648</v>
      </c>
      <c r="W1454" s="1077" t="s">
        <v>2532</v>
      </c>
      <c r="X1454" s="1077">
        <v>40</v>
      </c>
      <c r="Y1454" s="1077">
        <v>1.4</v>
      </c>
      <c r="Z1454" s="1077" t="s">
        <v>3086</v>
      </c>
      <c r="AA1454" s="1077" t="s">
        <v>5116</v>
      </c>
      <c r="AH1454" s="1077" t="s">
        <v>1482</v>
      </c>
      <c r="AM1454" s="1078" t="s">
        <v>11919</v>
      </c>
      <c r="AN1454" s="1078" t="s">
        <v>11920</v>
      </c>
      <c r="AO1454" s="1078">
        <f t="shared" si="182"/>
        <v>700</v>
      </c>
      <c r="AP1454" s="1078">
        <f t="shared" si="183"/>
        <v>1.77</v>
      </c>
      <c r="AQ1454" s="1078" t="str">
        <f t="shared" si="184"/>
        <v>1-5-1S91°</v>
      </c>
      <c r="AR1454" s="1078" t="str">
        <f t="shared" si="185"/>
        <v>33.5</v>
      </c>
      <c r="AS1454" s="1078" t="str">
        <f t="shared" si="186"/>
        <v>333/333/140</v>
      </c>
      <c r="AT1454" s="1078" t="str">
        <f t="shared" si="187"/>
        <v>1-5-1S91°</v>
      </c>
      <c r="AV1454" s="1078" t="str">
        <f t="shared" si="180"/>
        <v>108.10.8</v>
      </c>
      <c r="AW1454" s="1344">
        <f t="shared" si="181"/>
        <v>43746</v>
      </c>
    </row>
    <row r="1455" spans="1:49">
      <c r="A1455" s="1077" t="s">
        <v>5117</v>
      </c>
      <c r="B1455" s="1077" t="s">
        <v>5005</v>
      </c>
      <c r="C1455" s="1077">
        <v>500</v>
      </c>
      <c r="D1455" s="1077">
        <v>1.71</v>
      </c>
      <c r="E1455" s="1077" t="s">
        <v>4861</v>
      </c>
      <c r="F1455" s="1077" t="s">
        <v>648</v>
      </c>
      <c r="G1455" s="1077">
        <v>4</v>
      </c>
      <c r="H1455" s="1077" t="s">
        <v>2540</v>
      </c>
      <c r="I1455" s="1077" t="s">
        <v>126</v>
      </c>
      <c r="J1455" s="1077">
        <v>1.5</v>
      </c>
      <c r="K1455" s="1077" t="s">
        <v>5118</v>
      </c>
      <c r="L1455" s="1077" t="s">
        <v>5007</v>
      </c>
      <c r="M1455" s="1077">
        <v>154</v>
      </c>
      <c r="N1455" s="1077" t="s">
        <v>945</v>
      </c>
      <c r="O1455" s="1077">
        <v>3.85</v>
      </c>
      <c r="P1455" s="1077">
        <v>3.08</v>
      </c>
      <c r="Q1455" s="1077" t="s">
        <v>2782</v>
      </c>
      <c r="R1455" s="1077">
        <v>24</v>
      </c>
      <c r="T1455" s="1077">
        <v>15</v>
      </c>
      <c r="U1455" s="1077">
        <v>4.2</v>
      </c>
      <c r="V1455" s="1077" t="s">
        <v>648</v>
      </c>
      <c r="W1455" s="1077">
        <v>140</v>
      </c>
      <c r="X1455" s="1077">
        <v>90</v>
      </c>
      <c r="Y1455" s="1077">
        <v>1.6</v>
      </c>
      <c r="Z1455" s="1077" t="s">
        <v>648</v>
      </c>
      <c r="AA1455" s="1077" t="s">
        <v>5119</v>
      </c>
      <c r="AH1455" s="1077" t="s">
        <v>854</v>
      </c>
      <c r="AM1455" s="1078" t="s">
        <v>11921</v>
      </c>
      <c r="AN1455" s="1078" t="s">
        <v>11922</v>
      </c>
      <c r="AO1455" s="1078">
        <f t="shared" si="182"/>
        <v>500</v>
      </c>
      <c r="AP1455" s="1078">
        <f t="shared" si="183"/>
        <v>1.71</v>
      </c>
      <c r="AQ1455" s="1078" t="str">
        <f t="shared" si="184"/>
        <v>105°</v>
      </c>
      <c r="AR1455" s="1078" t="str">
        <f t="shared" si="185"/>
        <v>NA</v>
      </c>
      <c r="AS1455" s="1078" t="str">
        <f t="shared" si="186"/>
        <v>300/300/OFF</v>
      </c>
      <c r="AT1455" s="1078" t="str">
        <f t="shared" si="187"/>
        <v>105°</v>
      </c>
      <c r="AV1455" s="1078" t="str">
        <f t="shared" si="180"/>
        <v>108.10.9</v>
      </c>
      <c r="AW1455" s="1344">
        <f t="shared" si="181"/>
        <v>43747</v>
      </c>
    </row>
    <row r="1456" spans="1:49">
      <c r="A1456" s="1077" t="s">
        <v>5120</v>
      </c>
      <c r="B1456" s="1077" t="s">
        <v>210</v>
      </c>
      <c r="C1456" s="1077">
        <v>800</v>
      </c>
      <c r="D1456" s="1077">
        <v>1.76</v>
      </c>
      <c r="E1456" s="1077" t="s">
        <v>15094</v>
      </c>
      <c r="F1456" s="1077" t="s">
        <v>984</v>
      </c>
      <c r="G1456" s="1077">
        <v>5</v>
      </c>
      <c r="H1456" s="1077" t="s">
        <v>4690</v>
      </c>
      <c r="I1456" s="1077" t="s">
        <v>126</v>
      </c>
      <c r="J1456" s="1077">
        <v>2.9</v>
      </c>
      <c r="K1456" s="1077" t="s">
        <v>5066</v>
      </c>
      <c r="L1456" s="1077" t="s">
        <v>4666</v>
      </c>
      <c r="M1456" s="1077">
        <v>150.80000000000001</v>
      </c>
      <c r="N1456" s="1077" t="s">
        <v>945</v>
      </c>
      <c r="O1456" s="1077">
        <v>3.7700000000000005</v>
      </c>
      <c r="P1456" s="1077">
        <v>3.0160000000000005</v>
      </c>
      <c r="Q1456" s="1077" t="s">
        <v>961</v>
      </c>
      <c r="R1456" s="1077">
        <v>19</v>
      </c>
      <c r="T1456" s="1077">
        <v>28.3</v>
      </c>
      <c r="U1456" s="1077">
        <v>4.3</v>
      </c>
      <c r="V1456" s="1077" t="s">
        <v>648</v>
      </c>
      <c r="W1456" s="1077">
        <v>100</v>
      </c>
      <c r="X1456" s="1077">
        <v>50</v>
      </c>
      <c r="Y1456" s="1077">
        <v>1.5</v>
      </c>
      <c r="Z1456" s="1077">
        <v>6.5</v>
      </c>
      <c r="AA1456" s="1077" t="s">
        <v>5121</v>
      </c>
      <c r="AH1456" s="1077" t="s">
        <v>990</v>
      </c>
      <c r="AM1456" s="1078" t="s">
        <v>11923</v>
      </c>
      <c r="AN1456" s="1078" t="s">
        <v>11924</v>
      </c>
      <c r="AO1456" s="1078">
        <f t="shared" si="182"/>
        <v>800</v>
      </c>
      <c r="AP1456" s="1078">
        <f t="shared" si="183"/>
        <v>1.76</v>
      </c>
      <c r="AQ1456" s="1078" t="str">
        <f t="shared" si="184"/>
        <v>1-5-1S91°</v>
      </c>
      <c r="AR1456" s="1078" t="str">
        <f t="shared" si="185"/>
        <v>30</v>
      </c>
      <c r="AS1456" s="1078" t="str">
        <f t="shared" si="186"/>
        <v>380/340/OFF</v>
      </c>
      <c r="AT1456" s="1078" t="str">
        <f t="shared" si="187"/>
        <v>1-5-1S91°</v>
      </c>
      <c r="AV1456" s="1078" t="str">
        <f t="shared" si="180"/>
        <v>108.10.22</v>
      </c>
      <c r="AW1456" s="1344">
        <f t="shared" si="181"/>
        <v>43760</v>
      </c>
    </row>
    <row r="1457" spans="1:49">
      <c r="A1457" s="1077" t="s">
        <v>5122</v>
      </c>
      <c r="B1457" s="1077" t="s">
        <v>4767</v>
      </c>
      <c r="C1457" s="1077">
        <v>700</v>
      </c>
      <c r="D1457" s="1077">
        <v>1.7290000000000001</v>
      </c>
      <c r="E1457" s="1077" t="s">
        <v>15104</v>
      </c>
      <c r="F1457" s="1077" t="s">
        <v>648</v>
      </c>
      <c r="G1457" s="1077">
        <v>5</v>
      </c>
      <c r="H1457" s="1077" t="s">
        <v>4776</v>
      </c>
      <c r="I1457" s="1077" t="s">
        <v>126</v>
      </c>
      <c r="J1457" s="1077">
        <v>1.7</v>
      </c>
      <c r="K1457" s="1077" t="s">
        <v>5123</v>
      </c>
      <c r="L1457" s="1077" t="s">
        <v>1776</v>
      </c>
      <c r="M1457" s="1077">
        <v>148</v>
      </c>
      <c r="N1457" s="1077" t="s">
        <v>945</v>
      </c>
      <c r="O1457" s="1077">
        <v>3.7</v>
      </c>
      <c r="P1457" s="1077">
        <v>2.96</v>
      </c>
      <c r="Q1457" s="1077" t="s">
        <v>946</v>
      </c>
      <c r="R1457" s="1077">
        <v>20.8</v>
      </c>
      <c r="T1457" s="1077">
        <v>20.399999999999999</v>
      </c>
      <c r="U1457" s="1077">
        <v>3.8</v>
      </c>
      <c r="V1457" s="1077" t="s">
        <v>648</v>
      </c>
      <c r="W1457" s="1077">
        <v>110</v>
      </c>
      <c r="X1457" s="1077">
        <v>60</v>
      </c>
      <c r="Y1457" s="1077">
        <v>1.7</v>
      </c>
      <c r="Z1457" s="1077" t="s">
        <v>648</v>
      </c>
      <c r="AA1457" s="1077" t="s">
        <v>2800</v>
      </c>
      <c r="AB1457" s="1077" t="s">
        <v>981</v>
      </c>
      <c r="AH1457" s="1077" t="s">
        <v>647</v>
      </c>
      <c r="AM1457" s="1078" t="s">
        <v>11925</v>
      </c>
      <c r="AN1457" s="1078" t="s">
        <v>11926</v>
      </c>
      <c r="AO1457" s="1078">
        <f t="shared" si="182"/>
        <v>700</v>
      </c>
      <c r="AP1457" s="1078">
        <f t="shared" si="183"/>
        <v>1.7290000000000001</v>
      </c>
      <c r="AQ1457" s="1078" t="str">
        <f t="shared" si="184"/>
        <v>1-4-1S85°Z+S</v>
      </c>
      <c r="AR1457" s="1078" t="str">
        <f t="shared" si="185"/>
        <v>NA</v>
      </c>
      <c r="AS1457" s="1078" t="str">
        <f t="shared" si="186"/>
        <v>178/OFF</v>
      </c>
      <c r="AT1457" s="1078" t="str">
        <f t="shared" si="187"/>
        <v>1-4-1S85°Z+S</v>
      </c>
      <c r="AU1457" s="1078" t="s">
        <v>15547</v>
      </c>
      <c r="AV1457" s="1078" t="str">
        <f t="shared" si="180"/>
        <v>108.10.23</v>
      </c>
      <c r="AW1457" s="1344">
        <f t="shared" si="181"/>
        <v>43761</v>
      </c>
    </row>
    <row r="1458" spans="1:49">
      <c r="A1458" s="1077" t="s">
        <v>5124</v>
      </c>
      <c r="B1458" s="1077" t="s">
        <v>4944</v>
      </c>
      <c r="C1458" s="1077">
        <v>650</v>
      </c>
      <c r="D1458" s="1077">
        <v>1.74</v>
      </c>
      <c r="E1458" s="1077" t="s">
        <v>15088</v>
      </c>
      <c r="F1458" s="1077" t="s">
        <v>2520</v>
      </c>
      <c r="G1458" s="1077">
        <v>5</v>
      </c>
      <c r="H1458" s="1077" t="s">
        <v>1470</v>
      </c>
      <c r="I1458" s="1077" t="s">
        <v>126</v>
      </c>
      <c r="J1458" s="1077">
        <v>1.4</v>
      </c>
      <c r="K1458" s="1077" t="s">
        <v>4945</v>
      </c>
      <c r="L1458" s="1077" t="s">
        <v>4946</v>
      </c>
      <c r="M1458" s="1077">
        <v>150.6</v>
      </c>
      <c r="N1458" s="1077" t="s">
        <v>945</v>
      </c>
      <c r="O1458" s="1077">
        <v>3.7650000000000001</v>
      </c>
      <c r="P1458" s="1077">
        <v>3.012</v>
      </c>
      <c r="Q1458" s="1077" t="s">
        <v>1363</v>
      </c>
      <c r="R1458" s="1077">
        <v>26</v>
      </c>
      <c r="T1458" s="1077">
        <v>14.8</v>
      </c>
      <c r="U1458" s="1077">
        <v>6.7</v>
      </c>
      <c r="V1458" s="1077" t="s">
        <v>648</v>
      </c>
      <c r="W1458" s="1077">
        <v>90</v>
      </c>
      <c r="X1458" s="1077">
        <v>10</v>
      </c>
      <c r="Y1458" s="1077">
        <v>1.3</v>
      </c>
      <c r="Z1458" s="1077">
        <v>6</v>
      </c>
      <c r="AA1458" s="1077" t="s">
        <v>2800</v>
      </c>
      <c r="AH1458" s="1077" t="s">
        <v>783</v>
      </c>
      <c r="AM1458" s="1078" t="s">
        <v>11927</v>
      </c>
      <c r="AN1458" s="1078" t="s">
        <v>11928</v>
      </c>
      <c r="AO1458" s="1078">
        <f t="shared" si="182"/>
        <v>650</v>
      </c>
      <c r="AP1458" s="1078">
        <f t="shared" si="183"/>
        <v>1.74</v>
      </c>
      <c r="AQ1458" s="1078" t="str">
        <f t="shared" si="184"/>
        <v>1-4-1S85°</v>
      </c>
      <c r="AR1458" s="1078" t="str">
        <f t="shared" si="185"/>
        <v>*</v>
      </c>
      <c r="AS1458" s="1078" t="str">
        <f t="shared" si="186"/>
        <v>160/OFF</v>
      </c>
      <c r="AT1458" s="1078" t="str">
        <f t="shared" si="187"/>
        <v>1-4-1S85°</v>
      </c>
      <c r="AV1458" s="1078" t="str">
        <f t="shared" si="180"/>
        <v>108.10.23</v>
      </c>
      <c r="AW1458" s="1344">
        <f t="shared" si="181"/>
        <v>43761</v>
      </c>
    </row>
    <row r="1459" spans="1:49">
      <c r="A1459" s="1077" t="s">
        <v>5125</v>
      </c>
      <c r="B1459" s="1077" t="s">
        <v>844</v>
      </c>
      <c r="C1459" s="1077">
        <v>600</v>
      </c>
      <c r="D1459" s="1077">
        <v>1.756</v>
      </c>
      <c r="E1459" s="1077" t="s">
        <v>15094</v>
      </c>
      <c r="F1459" s="1077" t="s">
        <v>954</v>
      </c>
      <c r="G1459" s="1077">
        <v>5</v>
      </c>
      <c r="H1459" s="1077" t="s">
        <v>5126</v>
      </c>
      <c r="I1459" s="1077" t="s">
        <v>460</v>
      </c>
      <c r="J1459" s="1077">
        <v>4.0999999999999996</v>
      </c>
      <c r="K1459" s="1077" t="s">
        <v>5127</v>
      </c>
      <c r="L1459" s="1077" t="s">
        <v>4907</v>
      </c>
      <c r="M1459" s="1077">
        <v>151.69999999999999</v>
      </c>
      <c r="N1459" s="1077" t="s">
        <v>945</v>
      </c>
      <c r="O1459" s="1077">
        <v>3.7925</v>
      </c>
      <c r="P1459" s="1077">
        <v>3.0339999999999998</v>
      </c>
      <c r="Q1459" s="1077" t="s">
        <v>1059</v>
      </c>
      <c r="R1459" s="1077">
        <v>19.7</v>
      </c>
      <c r="T1459" s="1077">
        <v>11.5</v>
      </c>
      <c r="U1459" s="1077">
        <v>5.3</v>
      </c>
      <c r="V1459" s="1077" t="s">
        <v>648</v>
      </c>
      <c r="W1459" s="1077">
        <v>105</v>
      </c>
      <c r="X1459" s="1077">
        <v>95</v>
      </c>
      <c r="Y1459" s="1077">
        <v>1.5</v>
      </c>
      <c r="Z1459" s="1077">
        <v>5</v>
      </c>
      <c r="AA1459" s="1077" t="s">
        <v>5128</v>
      </c>
      <c r="AH1459" s="1077" t="s">
        <v>621</v>
      </c>
      <c r="AM1459" s="1078" t="s">
        <v>11929</v>
      </c>
      <c r="AN1459" s="1078" t="s">
        <v>11930</v>
      </c>
      <c r="AO1459" s="1078">
        <f t="shared" si="182"/>
        <v>600</v>
      </c>
      <c r="AP1459" s="1078">
        <f t="shared" si="183"/>
        <v>1.756</v>
      </c>
      <c r="AQ1459" s="1078" t="str">
        <f t="shared" si="184"/>
        <v>1-5-1S91°</v>
      </c>
      <c r="AR1459" s="1078" t="str">
        <f t="shared" si="185"/>
        <v>31</v>
      </c>
      <c r="AS1459" s="1078" t="str">
        <f t="shared" si="186"/>
        <v>300/300/140</v>
      </c>
      <c r="AT1459" s="1078" t="str">
        <f t="shared" si="187"/>
        <v>1-5-1S91°</v>
      </c>
      <c r="AV1459" s="1078" t="str">
        <f t="shared" si="180"/>
        <v>108.10.25</v>
      </c>
      <c r="AW1459" s="1344">
        <f t="shared" si="181"/>
        <v>43763</v>
      </c>
    </row>
    <row r="1460" spans="1:49">
      <c r="A1460" s="1077" t="s">
        <v>5129</v>
      </c>
      <c r="B1460" s="1077" t="s">
        <v>4767</v>
      </c>
      <c r="C1460" s="1077">
        <v>750</v>
      </c>
      <c r="D1460" s="1077">
        <v>1.724</v>
      </c>
      <c r="E1460" s="1077" t="s">
        <v>15104</v>
      </c>
      <c r="F1460" s="1077" t="s">
        <v>648</v>
      </c>
      <c r="G1460" s="1077">
        <v>5</v>
      </c>
      <c r="H1460" s="1077" t="s">
        <v>941</v>
      </c>
      <c r="I1460" s="1077" t="s">
        <v>126</v>
      </c>
      <c r="J1460" s="1077">
        <v>1.8</v>
      </c>
      <c r="K1460" s="1077" t="s">
        <v>5130</v>
      </c>
      <c r="L1460" s="1077" t="s">
        <v>5131</v>
      </c>
      <c r="M1460" s="1077">
        <v>148</v>
      </c>
      <c r="N1460" s="1077" t="s">
        <v>945</v>
      </c>
      <c r="O1460" s="1077">
        <v>3.7</v>
      </c>
      <c r="P1460" s="1077">
        <v>2.96</v>
      </c>
      <c r="Q1460" s="1077" t="s">
        <v>946</v>
      </c>
      <c r="R1460" s="1077">
        <v>20.8</v>
      </c>
      <c r="T1460" s="1077">
        <v>20.399999999999999</v>
      </c>
      <c r="U1460" s="1077">
        <v>3.8</v>
      </c>
      <c r="V1460" s="1077" t="s">
        <v>648</v>
      </c>
      <c r="W1460" s="1077">
        <v>110</v>
      </c>
      <c r="X1460" s="1077">
        <v>60</v>
      </c>
      <c r="Y1460" s="1077">
        <v>1.7</v>
      </c>
      <c r="Z1460" s="1077" t="s">
        <v>648</v>
      </c>
      <c r="AA1460" s="1077" t="s">
        <v>5132</v>
      </c>
      <c r="AH1460" s="1077" t="s">
        <v>842</v>
      </c>
      <c r="AM1460" s="1078" t="s">
        <v>11931</v>
      </c>
      <c r="AN1460" s="1078" t="s">
        <v>11932</v>
      </c>
      <c r="AO1460" s="1078">
        <f t="shared" si="182"/>
        <v>750</v>
      </c>
      <c r="AP1460" s="1078">
        <f t="shared" si="183"/>
        <v>1.724</v>
      </c>
      <c r="AQ1460" s="1078" t="str">
        <f t="shared" si="184"/>
        <v>1-4-1S85°Z+S</v>
      </c>
      <c r="AR1460" s="1078" t="str">
        <f t="shared" si="185"/>
        <v>NA</v>
      </c>
      <c r="AS1460" s="1078" t="str">
        <f t="shared" si="186"/>
        <v>185/OFF</v>
      </c>
      <c r="AT1460" s="1078" t="str">
        <f t="shared" si="187"/>
        <v>1-4-1S85°Z+S</v>
      </c>
      <c r="AU1460" s="1078" t="s">
        <v>15547</v>
      </c>
      <c r="AV1460" s="1078" t="str">
        <f t="shared" si="180"/>
        <v>108.11.13</v>
      </c>
      <c r="AW1460" s="1344">
        <f t="shared" si="181"/>
        <v>43782</v>
      </c>
    </row>
    <row r="1461" spans="1:49">
      <c r="A1461" s="1077" t="s">
        <v>5133</v>
      </c>
      <c r="B1461" s="1077" t="s">
        <v>617</v>
      </c>
      <c r="C1461" s="1077">
        <v>550</v>
      </c>
      <c r="D1461" s="1077">
        <v>1.75</v>
      </c>
      <c r="E1461" s="1077" t="s">
        <v>15115</v>
      </c>
      <c r="F1461" s="1077" t="s">
        <v>5134</v>
      </c>
      <c r="G1461" s="1077">
        <v>5</v>
      </c>
      <c r="H1461" s="1077" t="s">
        <v>5135</v>
      </c>
      <c r="I1461" s="1077" t="s">
        <v>126</v>
      </c>
      <c r="J1461" s="1077">
        <v>1.9</v>
      </c>
      <c r="K1461" s="1077" t="s">
        <v>5136</v>
      </c>
      <c r="L1461" s="1077" t="s">
        <v>4854</v>
      </c>
      <c r="M1461" s="1077">
        <v>150.30000000000001</v>
      </c>
      <c r="N1461" s="1077" t="s">
        <v>945</v>
      </c>
      <c r="O1461" s="1077">
        <v>3.7575000000000003</v>
      </c>
      <c r="P1461" s="1077">
        <v>3.0060000000000002</v>
      </c>
      <c r="Q1461" s="1077" t="s">
        <v>1005</v>
      </c>
      <c r="R1461" s="1077">
        <v>31</v>
      </c>
      <c r="T1461" s="1077">
        <v>15</v>
      </c>
      <c r="U1461" s="1077">
        <v>6.5</v>
      </c>
      <c r="V1461" s="1077" t="s">
        <v>648</v>
      </c>
      <c r="W1461" s="1077">
        <v>115</v>
      </c>
      <c r="X1461" s="1077">
        <v>50</v>
      </c>
      <c r="Y1461" s="1077">
        <v>1.7</v>
      </c>
      <c r="Z1461" s="1077">
        <v>6.5</v>
      </c>
      <c r="AA1461" s="1077" t="s">
        <v>5132</v>
      </c>
      <c r="AH1461" s="1077" t="s">
        <v>870</v>
      </c>
      <c r="AM1461" s="1078" t="s">
        <v>11933</v>
      </c>
      <c r="AN1461" s="1078" t="s">
        <v>11934</v>
      </c>
      <c r="AO1461" s="1078">
        <f t="shared" si="182"/>
        <v>550</v>
      </c>
      <c r="AP1461" s="1078">
        <f t="shared" si="183"/>
        <v>1.75</v>
      </c>
      <c r="AQ1461" s="1078" t="str">
        <f t="shared" si="184"/>
        <v>102.5°Z</v>
      </c>
      <c r="AR1461" s="1078" t="str">
        <f t="shared" si="185"/>
        <v>15.6</v>
      </c>
      <c r="AS1461" s="1078" t="str">
        <f t="shared" si="186"/>
        <v>330/335/OFF</v>
      </c>
      <c r="AT1461" s="1078" t="str">
        <f t="shared" si="187"/>
        <v>102.5°Z</v>
      </c>
      <c r="AU1461" s="1078" t="s">
        <v>15548</v>
      </c>
      <c r="AV1461" s="1078" t="str">
        <f t="shared" si="180"/>
        <v>108.11.13</v>
      </c>
      <c r="AW1461" s="1344">
        <f t="shared" si="181"/>
        <v>43782</v>
      </c>
    </row>
    <row r="1462" spans="1:49">
      <c r="A1462" s="1077" t="s">
        <v>5137</v>
      </c>
      <c r="B1462" s="1077" t="s">
        <v>4880</v>
      </c>
      <c r="C1462" s="1077">
        <v>650</v>
      </c>
      <c r="D1462" s="1077">
        <v>1.77</v>
      </c>
      <c r="E1462" s="1077" t="s">
        <v>15102</v>
      </c>
      <c r="F1462" s="1077" t="s">
        <v>954</v>
      </c>
      <c r="G1462" s="1077">
        <v>5</v>
      </c>
      <c r="H1462" s="1077" t="s">
        <v>3197</v>
      </c>
      <c r="I1462" s="1077" t="s">
        <v>460</v>
      </c>
      <c r="J1462" s="1077">
        <v>2.9</v>
      </c>
      <c r="K1462" s="1077" t="s">
        <v>5138</v>
      </c>
      <c r="L1462" s="1077" t="s">
        <v>4883</v>
      </c>
      <c r="M1462" s="1077">
        <v>158.4</v>
      </c>
      <c r="N1462" s="1077" t="s">
        <v>945</v>
      </c>
      <c r="O1462" s="1077">
        <v>3.9600000000000004</v>
      </c>
      <c r="P1462" s="1077">
        <v>3.1680000000000001</v>
      </c>
      <c r="Q1462" s="1077" t="s">
        <v>2553</v>
      </c>
      <c r="R1462" s="1077">
        <v>20.5</v>
      </c>
      <c r="T1462" s="1077">
        <v>13</v>
      </c>
      <c r="U1462" s="1077">
        <v>3.2</v>
      </c>
      <c r="V1462" s="1077" t="s">
        <v>648</v>
      </c>
      <c r="W1462" s="1077">
        <v>120</v>
      </c>
      <c r="X1462" s="1077">
        <v>90</v>
      </c>
      <c r="Y1462" s="1077">
        <v>1.5</v>
      </c>
      <c r="Z1462" s="1077" t="s">
        <v>5139</v>
      </c>
      <c r="AA1462" s="1077" t="s">
        <v>5140</v>
      </c>
      <c r="AH1462" s="1077" t="s">
        <v>838</v>
      </c>
      <c r="AM1462" s="1078" t="s">
        <v>11935</v>
      </c>
      <c r="AN1462" s="1078" t="s">
        <v>11936</v>
      </c>
      <c r="AO1462" s="1078">
        <f t="shared" si="182"/>
        <v>650</v>
      </c>
      <c r="AP1462" s="1078">
        <f t="shared" si="183"/>
        <v>1.77</v>
      </c>
      <c r="AQ1462" s="1078" t="str">
        <f t="shared" si="184"/>
        <v>2-6-1S83°</v>
      </c>
      <c r="AR1462" s="1078" t="str">
        <f t="shared" si="185"/>
        <v>31</v>
      </c>
      <c r="AS1462" s="1078" t="str">
        <f t="shared" si="186"/>
        <v>175/165</v>
      </c>
      <c r="AT1462" s="1078" t="str">
        <f t="shared" si="187"/>
        <v>2-6-1S83°</v>
      </c>
      <c r="AV1462" s="1078" t="str">
        <f t="shared" si="180"/>
        <v>109.2.14</v>
      </c>
      <c r="AW1462" s="1344">
        <f t="shared" si="181"/>
        <v>43875</v>
      </c>
    </row>
    <row r="1463" spans="1:49">
      <c r="A1463" s="1077" t="s">
        <v>5141</v>
      </c>
      <c r="B1463" s="1077" t="s">
        <v>788</v>
      </c>
      <c r="C1463" s="1077">
        <v>750</v>
      </c>
      <c r="D1463" s="1077">
        <v>1.74</v>
      </c>
      <c r="E1463" s="1077" t="s">
        <v>15104</v>
      </c>
      <c r="F1463" s="1077" t="s">
        <v>648</v>
      </c>
      <c r="G1463" s="1077">
        <v>5</v>
      </c>
      <c r="H1463" s="1077" t="s">
        <v>2851</v>
      </c>
      <c r="I1463" s="1077" t="s">
        <v>126</v>
      </c>
      <c r="J1463" s="1077">
        <v>2.2000000000000002</v>
      </c>
      <c r="K1463" s="1077" t="s">
        <v>5142</v>
      </c>
      <c r="L1463" s="1077" t="s">
        <v>1938</v>
      </c>
      <c r="M1463" s="1077">
        <v>148.5</v>
      </c>
      <c r="N1463" s="1077" t="s">
        <v>945</v>
      </c>
      <c r="O1463" s="1077">
        <v>3.7125000000000004</v>
      </c>
      <c r="P1463" s="1077">
        <v>2.97</v>
      </c>
      <c r="Q1463" s="1077" t="s">
        <v>961</v>
      </c>
      <c r="R1463" s="1077">
        <v>23.6</v>
      </c>
      <c r="T1463" s="1077">
        <v>30.9</v>
      </c>
      <c r="U1463" s="1077">
        <v>4.2</v>
      </c>
      <c r="V1463" s="1077" t="s">
        <v>648</v>
      </c>
      <c r="W1463" s="1077">
        <v>120</v>
      </c>
      <c r="X1463" s="1077">
        <v>55</v>
      </c>
      <c r="Y1463" s="1077">
        <v>1.9</v>
      </c>
      <c r="Z1463" s="1077" t="s">
        <v>648</v>
      </c>
      <c r="AA1463" s="1077" t="s">
        <v>2966</v>
      </c>
      <c r="AH1463" s="1077" t="s">
        <v>782</v>
      </c>
      <c r="AM1463" s="1078" t="s">
        <v>11937</v>
      </c>
      <c r="AN1463" s="1078" t="s">
        <v>11938</v>
      </c>
      <c r="AO1463" s="1078">
        <f t="shared" si="182"/>
        <v>750</v>
      </c>
      <c r="AP1463" s="1078">
        <f t="shared" si="183"/>
        <v>1.74</v>
      </c>
      <c r="AQ1463" s="1078" t="str">
        <f t="shared" si="184"/>
        <v>1-4-1S85°Z+S</v>
      </c>
      <c r="AR1463" s="1078" t="str">
        <f t="shared" si="185"/>
        <v>NA</v>
      </c>
      <c r="AS1463" s="1078" t="str">
        <f t="shared" si="186"/>
        <v>191/OFF</v>
      </c>
      <c r="AT1463" s="1078" t="str">
        <f t="shared" si="187"/>
        <v>1-4-1S85°Z+S</v>
      </c>
      <c r="AU1463" s="1078" t="s">
        <v>15547</v>
      </c>
      <c r="AV1463" s="1078" t="str">
        <f t="shared" si="180"/>
        <v>109.5.8</v>
      </c>
      <c r="AW1463" s="1344">
        <f t="shared" si="181"/>
        <v>43959</v>
      </c>
    </row>
    <row r="1464" spans="1:49">
      <c r="A1464" s="1077" t="s">
        <v>5143</v>
      </c>
      <c r="B1464" s="1077" t="s">
        <v>617</v>
      </c>
      <c r="C1464" s="1077">
        <v>650</v>
      </c>
      <c r="D1464" s="1077">
        <v>1.7649999999999999</v>
      </c>
      <c r="E1464" s="1077" t="s">
        <v>15094</v>
      </c>
      <c r="F1464" s="1077" t="s">
        <v>2234</v>
      </c>
      <c r="G1464" s="1077">
        <v>5</v>
      </c>
      <c r="H1464" s="1077" t="s">
        <v>1806</v>
      </c>
      <c r="I1464" s="1077" t="s">
        <v>126</v>
      </c>
      <c r="J1464" s="1077">
        <v>2.2000000000000002</v>
      </c>
      <c r="K1464" s="1077" t="s">
        <v>5144</v>
      </c>
      <c r="L1464" s="1077" t="s">
        <v>4854</v>
      </c>
      <c r="M1464" s="1077">
        <v>150.30000000000001</v>
      </c>
      <c r="N1464" s="1077" t="s">
        <v>945</v>
      </c>
      <c r="O1464" s="1077">
        <v>3.7575000000000003</v>
      </c>
      <c r="P1464" s="1077">
        <v>3.0060000000000002</v>
      </c>
      <c r="Q1464" s="1077" t="s">
        <v>1369</v>
      </c>
      <c r="R1464" s="1077">
        <v>29</v>
      </c>
      <c r="T1464" s="1077">
        <v>13</v>
      </c>
      <c r="U1464" s="1077">
        <v>7</v>
      </c>
      <c r="V1464" s="1077" t="s">
        <v>648</v>
      </c>
      <c r="W1464" s="1077">
        <v>115</v>
      </c>
      <c r="X1464" s="1077">
        <v>50</v>
      </c>
      <c r="Y1464" s="1077">
        <v>1.7</v>
      </c>
      <c r="Z1464" s="1077" t="s">
        <v>5145</v>
      </c>
      <c r="AA1464" s="1077" t="s">
        <v>5146</v>
      </c>
      <c r="AH1464" s="1077" t="s">
        <v>958</v>
      </c>
      <c r="AM1464" s="1078" t="s">
        <v>11939</v>
      </c>
      <c r="AN1464" s="1078" t="s">
        <v>11940</v>
      </c>
      <c r="AO1464" s="1078">
        <f t="shared" si="182"/>
        <v>650</v>
      </c>
      <c r="AP1464" s="1078">
        <f t="shared" si="183"/>
        <v>1.7649999999999999</v>
      </c>
      <c r="AQ1464" s="1078" t="str">
        <f t="shared" si="184"/>
        <v>1-5-1S91°</v>
      </c>
      <c r="AR1464" s="1078" t="str">
        <f t="shared" si="185"/>
        <v>33.5</v>
      </c>
      <c r="AS1464" s="1078" t="str">
        <f t="shared" si="186"/>
        <v>280/280/OFF</v>
      </c>
      <c r="AT1464" s="1078" t="str">
        <f t="shared" si="187"/>
        <v>1-5-1S91°</v>
      </c>
      <c r="AV1464" s="1078" t="str">
        <f t="shared" si="180"/>
        <v>109.10.17</v>
      </c>
      <c r="AW1464" s="1344">
        <f t="shared" si="181"/>
        <v>44121</v>
      </c>
    </row>
    <row r="1465" spans="1:49">
      <c r="A1465" s="1077" t="s">
        <v>5147</v>
      </c>
      <c r="B1465" s="1077" t="s">
        <v>5148</v>
      </c>
      <c r="C1465" s="1077">
        <v>650</v>
      </c>
      <c r="D1465" s="1077">
        <v>1.7350000000000001</v>
      </c>
      <c r="E1465" s="1077" t="s">
        <v>15102</v>
      </c>
      <c r="F1465" s="1077" t="s">
        <v>5149</v>
      </c>
      <c r="G1465" s="1077">
        <v>5</v>
      </c>
      <c r="H1465" s="1077" t="s">
        <v>5150</v>
      </c>
      <c r="I1465" s="1077" t="s">
        <v>1167</v>
      </c>
      <c r="J1465" s="1077">
        <v>0.8</v>
      </c>
      <c r="K1465" s="1077" t="s">
        <v>5151</v>
      </c>
      <c r="L1465" s="1077" t="s">
        <v>5152</v>
      </c>
      <c r="M1465" s="1077">
        <v>149.9</v>
      </c>
      <c r="N1465" s="1077" t="s">
        <v>945</v>
      </c>
      <c r="O1465" s="1077">
        <v>3.7475000000000005</v>
      </c>
      <c r="P1465" s="1077">
        <v>2.9980000000000002</v>
      </c>
      <c r="Q1465" s="1077">
        <v>4</v>
      </c>
      <c r="R1465" s="1077">
        <v>22</v>
      </c>
      <c r="T1465" s="1077">
        <v>20</v>
      </c>
      <c r="U1465" s="1077">
        <v>2.6</v>
      </c>
      <c r="V1465" s="1077" t="s">
        <v>648</v>
      </c>
      <c r="W1465" s="1077">
        <v>35</v>
      </c>
      <c r="X1465" s="1077">
        <v>10</v>
      </c>
      <c r="Y1465" s="1077">
        <v>1</v>
      </c>
      <c r="Z1465" s="1077">
        <v>6</v>
      </c>
      <c r="AA1465" s="1077" t="s">
        <v>1303</v>
      </c>
      <c r="AH1465" s="1077" t="s">
        <v>1771</v>
      </c>
      <c r="AM1465" s="1078" t="s">
        <v>11941</v>
      </c>
      <c r="AN1465" s="1078" t="s">
        <v>11942</v>
      </c>
      <c r="AO1465" s="1078">
        <f t="shared" si="182"/>
        <v>650</v>
      </c>
      <c r="AP1465" s="1078">
        <f t="shared" si="183"/>
        <v>1.7350000000000001</v>
      </c>
      <c r="AQ1465" s="1078" t="str">
        <f t="shared" si="184"/>
        <v>2-6-1S83°</v>
      </c>
      <c r="AR1465" s="1078" t="str">
        <f t="shared" si="185"/>
        <v>29.3</v>
      </c>
      <c r="AS1465" s="1078" t="str">
        <f t="shared" si="186"/>
        <v>175/175</v>
      </c>
      <c r="AT1465" s="1078" t="str">
        <f t="shared" si="187"/>
        <v>2-6-1S83°</v>
      </c>
      <c r="AV1465" s="1078" t="str">
        <f t="shared" si="180"/>
        <v>110.1.18</v>
      </c>
      <c r="AW1465" s="1344">
        <f t="shared" si="181"/>
        <v>44214</v>
      </c>
    </row>
    <row r="1466" spans="1:49">
      <c r="A1466" s="1077" t="s">
        <v>5153</v>
      </c>
      <c r="B1466" s="1077" t="s">
        <v>5148</v>
      </c>
      <c r="C1466" s="1077">
        <v>650</v>
      </c>
      <c r="D1466" s="1077">
        <v>1.7350000000000001</v>
      </c>
      <c r="E1466" s="1077" t="s">
        <v>15094</v>
      </c>
      <c r="F1466" s="1077" t="s">
        <v>984</v>
      </c>
      <c r="G1466" s="1077">
        <v>5</v>
      </c>
      <c r="H1466" s="1077" t="s">
        <v>5154</v>
      </c>
      <c r="I1466" s="1077" t="s">
        <v>648</v>
      </c>
      <c r="J1466" s="1077">
        <v>0</v>
      </c>
      <c r="K1466" s="1077" t="s">
        <v>5151</v>
      </c>
      <c r="L1466" s="1077" t="s">
        <v>5152</v>
      </c>
      <c r="M1466" s="1077">
        <v>149.9</v>
      </c>
      <c r="N1466" s="1077" t="s">
        <v>945</v>
      </c>
      <c r="O1466" s="1077">
        <v>3.7475000000000005</v>
      </c>
      <c r="P1466" s="1077">
        <v>2.9980000000000002</v>
      </c>
      <c r="Q1466" s="1077">
        <v>4</v>
      </c>
      <c r="R1466" s="1077">
        <v>24</v>
      </c>
      <c r="T1466" s="1077">
        <v>17</v>
      </c>
      <c r="U1466" s="1077">
        <v>2.6</v>
      </c>
      <c r="V1466" s="1077" t="s">
        <v>648</v>
      </c>
      <c r="W1466" s="1077" t="s">
        <v>648</v>
      </c>
      <c r="X1466" s="1077" t="s">
        <v>648</v>
      </c>
      <c r="Y1466" s="1077">
        <v>1</v>
      </c>
      <c r="Z1466" s="1077">
        <v>4.5</v>
      </c>
      <c r="AA1466" s="1077" t="s">
        <v>5155</v>
      </c>
      <c r="AH1466" s="1077" t="s">
        <v>1448</v>
      </c>
      <c r="AM1466" s="1078" t="s">
        <v>11943</v>
      </c>
      <c r="AN1466" s="1078" t="s">
        <v>11944</v>
      </c>
      <c r="AO1466" s="1078">
        <f t="shared" si="182"/>
        <v>650</v>
      </c>
      <c r="AP1466" s="1078">
        <f t="shared" si="183"/>
        <v>1.7350000000000001</v>
      </c>
      <c r="AQ1466" s="1078" t="str">
        <f t="shared" si="184"/>
        <v>1-5-1S91°</v>
      </c>
      <c r="AR1466" s="1078" t="str">
        <f t="shared" si="185"/>
        <v>30</v>
      </c>
      <c r="AS1466" s="1078" t="str">
        <f t="shared" si="186"/>
        <v>350/310/158</v>
      </c>
      <c r="AT1466" s="1078" t="str">
        <f t="shared" si="187"/>
        <v>1-5-1S91°</v>
      </c>
      <c r="AV1466" s="1078" t="str">
        <f t="shared" si="180"/>
        <v>110.3.3</v>
      </c>
      <c r="AW1466" s="1344">
        <f t="shared" si="181"/>
        <v>44258</v>
      </c>
    </row>
    <row r="1467" spans="1:49">
      <c r="A1467" s="1077" t="s">
        <v>5156</v>
      </c>
      <c r="B1467" s="1077" t="s">
        <v>5157</v>
      </c>
      <c r="C1467" s="1077">
        <v>650</v>
      </c>
      <c r="D1467" s="1077">
        <v>1.76</v>
      </c>
      <c r="E1467" s="1077" t="s">
        <v>15094</v>
      </c>
      <c r="F1467" s="1077" t="s">
        <v>984</v>
      </c>
      <c r="G1467" s="1077">
        <v>5</v>
      </c>
      <c r="H1467" s="1077" t="s">
        <v>2130</v>
      </c>
      <c r="I1467" s="1077" t="s">
        <v>460</v>
      </c>
      <c r="J1467" s="1077">
        <v>2.5</v>
      </c>
      <c r="K1467" s="1077" t="s">
        <v>5158</v>
      </c>
      <c r="L1467" s="1077" t="s">
        <v>5159</v>
      </c>
      <c r="M1467" s="1077">
        <v>152</v>
      </c>
      <c r="N1467" s="1077" t="s">
        <v>945</v>
      </c>
      <c r="O1467" s="1077">
        <v>3.8000000000000003</v>
      </c>
      <c r="P1467" s="1077">
        <v>3.04</v>
      </c>
      <c r="Q1467" s="1077">
        <v>3</v>
      </c>
      <c r="R1467" s="1077">
        <v>28</v>
      </c>
      <c r="T1467" s="1077">
        <v>7.2</v>
      </c>
      <c r="U1467" s="1077">
        <v>6.1</v>
      </c>
      <c r="V1467" s="1077" t="s">
        <v>648</v>
      </c>
      <c r="W1467" s="1077">
        <v>100</v>
      </c>
      <c r="X1467" s="1077">
        <v>80</v>
      </c>
      <c r="Y1467" s="1077">
        <v>1.5</v>
      </c>
      <c r="Z1467" s="1077">
        <v>4</v>
      </c>
      <c r="AA1467" s="1077" t="s">
        <v>5160</v>
      </c>
      <c r="AH1467" s="1077" t="s">
        <v>621</v>
      </c>
      <c r="AM1467" s="1078" t="s">
        <v>11945</v>
      </c>
      <c r="AN1467" s="1078" t="s">
        <v>11946</v>
      </c>
      <c r="AO1467" s="1078">
        <f t="shared" si="182"/>
        <v>650</v>
      </c>
      <c r="AP1467" s="1078">
        <f t="shared" si="183"/>
        <v>1.76</v>
      </c>
      <c r="AQ1467" s="1078" t="str">
        <f t="shared" si="184"/>
        <v>1-5-1S91°</v>
      </c>
      <c r="AR1467" s="1078" t="str">
        <f t="shared" si="185"/>
        <v>30</v>
      </c>
      <c r="AS1467" s="1078" t="str">
        <f t="shared" si="186"/>
        <v>270/270/150</v>
      </c>
      <c r="AT1467" s="1078" t="str">
        <f t="shared" si="187"/>
        <v>1-5-1S91°</v>
      </c>
      <c r="AV1467" s="1078" t="str">
        <f t="shared" si="180"/>
        <v>110.5.21</v>
      </c>
      <c r="AW1467" s="1344">
        <f t="shared" si="181"/>
        <v>44337</v>
      </c>
    </row>
    <row r="1468" spans="1:49">
      <c r="A1468" s="1077" t="s">
        <v>5161</v>
      </c>
      <c r="B1468" s="1077" t="s">
        <v>5157</v>
      </c>
      <c r="C1468" s="1077">
        <v>650</v>
      </c>
      <c r="D1468" s="1077">
        <v>1.76</v>
      </c>
      <c r="E1468" s="1077" t="s">
        <v>15094</v>
      </c>
      <c r="F1468" s="1077" t="s">
        <v>984</v>
      </c>
      <c r="G1468" s="1077">
        <v>5</v>
      </c>
      <c r="H1468" s="1077" t="s">
        <v>5162</v>
      </c>
      <c r="I1468" s="1077" t="s">
        <v>460</v>
      </c>
      <c r="J1468" s="1077">
        <v>2.5</v>
      </c>
      <c r="K1468" s="1077" t="s">
        <v>5158</v>
      </c>
      <c r="L1468" s="1077" t="s">
        <v>5159</v>
      </c>
      <c r="M1468" s="1077">
        <v>152</v>
      </c>
      <c r="N1468" s="1077" t="s">
        <v>945</v>
      </c>
      <c r="O1468" s="1077">
        <v>3.8000000000000003</v>
      </c>
      <c r="P1468" s="1077">
        <v>3.04</v>
      </c>
      <c r="Q1468" s="1077">
        <v>3</v>
      </c>
      <c r="R1468" s="1077">
        <v>28</v>
      </c>
      <c r="T1468" s="1077">
        <v>7.2</v>
      </c>
      <c r="U1468" s="1077">
        <v>6.1</v>
      </c>
      <c r="V1468" s="1077" t="s">
        <v>648</v>
      </c>
      <c r="W1468" s="1077">
        <v>100</v>
      </c>
      <c r="X1468" s="1077">
        <v>80</v>
      </c>
      <c r="Y1468" s="1077">
        <v>1.5</v>
      </c>
      <c r="Z1468" s="1077">
        <v>4</v>
      </c>
      <c r="AA1468" s="1077" t="s">
        <v>5163</v>
      </c>
      <c r="AH1468" s="1077" t="s">
        <v>466</v>
      </c>
      <c r="AM1468" s="1078" t="s">
        <v>11947</v>
      </c>
      <c r="AN1468" s="1078" t="s">
        <v>11948</v>
      </c>
      <c r="AO1468" s="1078">
        <f t="shared" si="182"/>
        <v>650</v>
      </c>
      <c r="AP1468" s="1078">
        <f t="shared" si="183"/>
        <v>1.76</v>
      </c>
      <c r="AQ1468" s="1078" t="str">
        <f t="shared" si="184"/>
        <v>1-5-1S91°</v>
      </c>
      <c r="AR1468" s="1078" t="str">
        <f t="shared" si="185"/>
        <v>30</v>
      </c>
      <c r="AS1468" s="1078" t="str">
        <f t="shared" si="186"/>
        <v>277/277/150</v>
      </c>
      <c r="AT1468" s="1078" t="str">
        <f t="shared" si="187"/>
        <v>1-5-1S91°</v>
      </c>
      <c r="AV1468" s="1078" t="str">
        <f t="shared" si="180"/>
        <v>110.7.16</v>
      </c>
      <c r="AW1468" s="1344">
        <f t="shared" si="181"/>
        <v>44393</v>
      </c>
    </row>
    <row r="1469" spans="1:49">
      <c r="A1469" s="1077" t="s">
        <v>5164</v>
      </c>
      <c r="B1469" s="1077" t="s">
        <v>210</v>
      </c>
      <c r="C1469" s="1077">
        <v>700</v>
      </c>
      <c r="D1469" s="1077">
        <v>1.74</v>
      </c>
      <c r="E1469" s="1077" t="s">
        <v>15094</v>
      </c>
      <c r="F1469" s="1077" t="s">
        <v>984</v>
      </c>
      <c r="G1469" s="1077">
        <v>5</v>
      </c>
      <c r="H1469" s="1077" t="s">
        <v>5165</v>
      </c>
      <c r="I1469" s="1077" t="s">
        <v>126</v>
      </c>
      <c r="J1469" s="1077">
        <v>0.7</v>
      </c>
      <c r="K1469" s="1077" t="s">
        <v>5166</v>
      </c>
      <c r="L1469" s="1077" t="s">
        <v>4666</v>
      </c>
      <c r="M1469" s="1077">
        <v>151.5</v>
      </c>
      <c r="N1469" s="1077" t="s">
        <v>945</v>
      </c>
      <c r="O1469" s="1077">
        <v>3.7875000000000001</v>
      </c>
      <c r="P1469" s="1077">
        <v>3.0300000000000002</v>
      </c>
      <c r="Q1469" s="1077">
        <v>4</v>
      </c>
      <c r="R1469" s="1077">
        <v>19.100000000000001</v>
      </c>
      <c r="T1469" s="1077">
        <v>23.7</v>
      </c>
      <c r="U1469" s="1077">
        <v>3.2</v>
      </c>
      <c r="V1469" s="1077" t="s">
        <v>648</v>
      </c>
      <c r="W1469" s="1077">
        <v>35</v>
      </c>
      <c r="X1469" s="1077">
        <v>10</v>
      </c>
      <c r="Y1469" s="1077">
        <v>1</v>
      </c>
      <c r="Z1469" s="1077">
        <v>6</v>
      </c>
      <c r="AA1469" s="1077" t="s">
        <v>3722</v>
      </c>
      <c r="AH1469" s="1077" t="s">
        <v>684</v>
      </c>
      <c r="AM1469" s="1078" t="s">
        <v>11949</v>
      </c>
      <c r="AN1469" s="1078" t="s">
        <v>11950</v>
      </c>
      <c r="AO1469" s="1078">
        <f t="shared" si="182"/>
        <v>700</v>
      </c>
      <c r="AP1469" s="1078">
        <f t="shared" si="183"/>
        <v>1.74</v>
      </c>
      <c r="AQ1469" s="1078" t="str">
        <f t="shared" si="184"/>
        <v>1-5-1S91°</v>
      </c>
      <c r="AR1469" s="1078" t="str">
        <f t="shared" si="185"/>
        <v>30</v>
      </c>
      <c r="AS1469" s="1078" t="str">
        <f t="shared" si="186"/>
        <v>360/320/155</v>
      </c>
      <c r="AT1469" s="1078" t="str">
        <f t="shared" si="187"/>
        <v>1-5-1S91°</v>
      </c>
      <c r="AV1469" s="1078" t="str">
        <f t="shared" si="180"/>
        <v>110.9.8</v>
      </c>
      <c r="AW1469" s="1344">
        <f t="shared" si="181"/>
        <v>44447</v>
      </c>
    </row>
    <row r="1470" spans="1:49">
      <c r="A1470" s="1077" t="s">
        <v>5167</v>
      </c>
      <c r="B1470" s="1077" t="s">
        <v>5148</v>
      </c>
      <c r="C1470" s="1077">
        <v>650</v>
      </c>
      <c r="D1470" s="1077">
        <v>1.7450000000000001</v>
      </c>
      <c r="E1470" s="1077" t="s">
        <v>15094</v>
      </c>
      <c r="F1470" s="1077" t="s">
        <v>984</v>
      </c>
      <c r="G1470" s="1077">
        <v>5</v>
      </c>
      <c r="H1470" s="1077" t="s">
        <v>5154</v>
      </c>
      <c r="I1470" s="1077" t="s">
        <v>648</v>
      </c>
      <c r="J1470" s="1077">
        <v>0</v>
      </c>
      <c r="K1470" s="1077" t="s">
        <v>5151</v>
      </c>
      <c r="L1470" s="1077" t="s">
        <v>5152</v>
      </c>
      <c r="M1470" s="1077">
        <v>149.9</v>
      </c>
      <c r="N1470" s="1077" t="s">
        <v>945</v>
      </c>
      <c r="O1470" s="1077">
        <v>3.7475000000000005</v>
      </c>
      <c r="P1470" s="1077">
        <v>2.9980000000000002</v>
      </c>
      <c r="Q1470" s="1077">
        <v>4</v>
      </c>
      <c r="R1470" s="1077">
        <v>24</v>
      </c>
      <c r="T1470" s="1077">
        <v>17</v>
      </c>
      <c r="U1470" s="1077">
        <v>2.6</v>
      </c>
      <c r="V1470" s="1077" t="s">
        <v>648</v>
      </c>
      <c r="W1470" s="1077" t="s">
        <v>648</v>
      </c>
      <c r="X1470" s="1077" t="s">
        <v>648</v>
      </c>
      <c r="Y1470" s="1077">
        <v>1</v>
      </c>
      <c r="Z1470" s="1077">
        <v>4.5</v>
      </c>
      <c r="AA1470" s="1077" t="s">
        <v>5168</v>
      </c>
      <c r="AH1470" s="1077" t="s">
        <v>1137</v>
      </c>
      <c r="AM1470" s="1078" t="s">
        <v>11951</v>
      </c>
      <c r="AN1470" s="1078" t="s">
        <v>11952</v>
      </c>
      <c r="AO1470" s="1078">
        <f t="shared" si="182"/>
        <v>650</v>
      </c>
      <c r="AP1470" s="1078">
        <f t="shared" si="183"/>
        <v>1.7450000000000001</v>
      </c>
      <c r="AQ1470" s="1078" t="str">
        <f t="shared" si="184"/>
        <v>1-5-1S91°</v>
      </c>
      <c r="AR1470" s="1078" t="str">
        <f t="shared" si="185"/>
        <v>30</v>
      </c>
      <c r="AS1470" s="1078" t="str">
        <f t="shared" si="186"/>
        <v>350/310/158</v>
      </c>
      <c r="AT1470" s="1078" t="str">
        <f t="shared" si="187"/>
        <v>1-5-1S91°</v>
      </c>
      <c r="AV1470" s="1078" t="str">
        <f t="shared" si="180"/>
        <v>110.11.4</v>
      </c>
      <c r="AW1470" s="1344">
        <f t="shared" si="181"/>
        <v>44504</v>
      </c>
    </row>
    <row r="1471" spans="1:49">
      <c r="A1471" s="1077" t="s">
        <v>5169</v>
      </c>
      <c r="B1471" s="1077" t="s">
        <v>5148</v>
      </c>
      <c r="C1471" s="1077">
        <v>700</v>
      </c>
      <c r="D1471" s="1077">
        <v>1.76</v>
      </c>
      <c r="E1471" s="1077" t="s">
        <v>15088</v>
      </c>
      <c r="F1471" s="1077" t="s">
        <v>2520</v>
      </c>
      <c r="G1471" s="1077">
        <v>5</v>
      </c>
      <c r="H1471" s="1077" t="s">
        <v>4874</v>
      </c>
      <c r="I1471" s="1077" t="s">
        <v>126</v>
      </c>
      <c r="J1471" s="1077">
        <v>2.5</v>
      </c>
      <c r="K1471" s="1077" t="s">
        <v>5170</v>
      </c>
      <c r="L1471" s="1077" t="s">
        <v>5152</v>
      </c>
      <c r="M1471" s="1077">
        <v>148.6</v>
      </c>
      <c r="N1471" s="1077" t="s">
        <v>945</v>
      </c>
      <c r="O1471" s="1077">
        <v>3.7149999999999999</v>
      </c>
      <c r="P1471" s="1077">
        <v>2.972</v>
      </c>
      <c r="Q1471" s="1077" t="s">
        <v>1259</v>
      </c>
      <c r="R1471" s="1077">
        <v>20.399999999999999</v>
      </c>
      <c r="T1471" s="1077">
        <v>26</v>
      </c>
      <c r="U1471" s="1077">
        <v>3.7</v>
      </c>
      <c r="V1471" s="1077" t="s">
        <v>648</v>
      </c>
      <c r="W1471" s="1077">
        <v>105</v>
      </c>
      <c r="X1471" s="1077">
        <v>50</v>
      </c>
      <c r="Y1471" s="1077">
        <v>2</v>
      </c>
      <c r="Z1471" s="1077" t="s">
        <v>5171</v>
      </c>
      <c r="AA1471" s="1077" t="s">
        <v>4030</v>
      </c>
      <c r="AH1471" s="1077" t="s">
        <v>647</v>
      </c>
      <c r="AM1471" s="1078" t="s">
        <v>11953</v>
      </c>
      <c r="AN1471" s="1078" t="s">
        <v>11954</v>
      </c>
      <c r="AO1471" s="1078">
        <f t="shared" si="182"/>
        <v>700</v>
      </c>
      <c r="AP1471" s="1078">
        <f t="shared" si="183"/>
        <v>1.76</v>
      </c>
      <c r="AQ1471" s="1078" t="str">
        <f t="shared" si="184"/>
        <v>1-4-1S85°</v>
      </c>
      <c r="AR1471" s="1078" t="str">
        <f t="shared" si="185"/>
        <v>*</v>
      </c>
      <c r="AS1471" s="1078" t="str">
        <f t="shared" si="186"/>
        <v>187/OFF</v>
      </c>
      <c r="AT1471" s="1078" t="str">
        <f t="shared" si="187"/>
        <v>1-4-1S85°</v>
      </c>
      <c r="AV1471" s="1078" t="str">
        <f t="shared" si="180"/>
        <v>109.1.2</v>
      </c>
      <c r="AW1471" s="1344">
        <f t="shared" si="181"/>
        <v>43832</v>
      </c>
    </row>
    <row r="1472" spans="1:49">
      <c r="A1472" s="1077" t="s">
        <v>5172</v>
      </c>
      <c r="B1472" s="1077" t="s">
        <v>5148</v>
      </c>
      <c r="C1472" s="1077">
        <v>700</v>
      </c>
      <c r="D1472" s="1077">
        <v>1.76</v>
      </c>
      <c r="E1472" s="1077" t="s">
        <v>15088</v>
      </c>
      <c r="F1472" s="1077" t="s">
        <v>2520</v>
      </c>
      <c r="G1472" s="1077">
        <v>5</v>
      </c>
      <c r="H1472" s="1077" t="s">
        <v>4874</v>
      </c>
      <c r="I1472" s="1077" t="s">
        <v>126</v>
      </c>
      <c r="J1472" s="1077">
        <v>2.5</v>
      </c>
      <c r="K1472" s="1077" t="s">
        <v>5173</v>
      </c>
      <c r="L1472" s="1077" t="s">
        <v>5152</v>
      </c>
      <c r="M1472" s="1077">
        <v>148.6</v>
      </c>
      <c r="N1472" s="1077" t="s">
        <v>945</v>
      </c>
      <c r="O1472" s="1077">
        <v>3.7149999999999999</v>
      </c>
      <c r="P1472" s="1077">
        <v>2.972</v>
      </c>
      <c r="Q1472" s="1077" t="s">
        <v>1259</v>
      </c>
      <c r="R1472" s="1077">
        <v>20.399999999999999</v>
      </c>
      <c r="T1472" s="1077">
        <v>26</v>
      </c>
      <c r="U1472" s="1077">
        <v>3.7</v>
      </c>
      <c r="V1472" s="1077" t="s">
        <v>648</v>
      </c>
      <c r="W1472" s="1077">
        <v>105</v>
      </c>
      <c r="X1472" s="1077">
        <v>50</v>
      </c>
      <c r="Y1472" s="1077">
        <v>2</v>
      </c>
      <c r="Z1472" s="1077" t="s">
        <v>5174</v>
      </c>
      <c r="AA1472" s="1077" t="s">
        <v>5175</v>
      </c>
      <c r="AH1472" s="1077" t="s">
        <v>1023</v>
      </c>
      <c r="AM1472" s="1078" t="s">
        <v>11955</v>
      </c>
      <c r="AN1472" s="1078" t="s">
        <v>11956</v>
      </c>
      <c r="AO1472" s="1078">
        <f t="shared" si="182"/>
        <v>700</v>
      </c>
      <c r="AP1472" s="1078">
        <f t="shared" si="183"/>
        <v>1.76</v>
      </c>
      <c r="AQ1472" s="1078" t="str">
        <f t="shared" si="184"/>
        <v>1-4-1S85°</v>
      </c>
      <c r="AR1472" s="1078" t="str">
        <f t="shared" si="185"/>
        <v>*</v>
      </c>
      <c r="AS1472" s="1078" t="str">
        <f t="shared" si="186"/>
        <v>187/OFF</v>
      </c>
      <c r="AT1472" s="1078" t="str">
        <f t="shared" si="187"/>
        <v>1-4-1S85°</v>
      </c>
      <c r="AV1472" s="1078" t="str">
        <f t="shared" si="180"/>
        <v>109.1.10</v>
      </c>
      <c r="AW1472" s="1344">
        <f t="shared" si="181"/>
        <v>43840</v>
      </c>
    </row>
    <row r="1473" spans="1:49">
      <c r="A1473" s="1077" t="s">
        <v>5176</v>
      </c>
      <c r="B1473" s="1077" t="s">
        <v>5148</v>
      </c>
      <c r="C1473" s="1077">
        <v>700</v>
      </c>
      <c r="D1473" s="1077">
        <v>1.76</v>
      </c>
      <c r="E1473" s="1077" t="s">
        <v>15094</v>
      </c>
      <c r="F1473" s="1077" t="s">
        <v>975</v>
      </c>
      <c r="G1473" s="1077">
        <v>5</v>
      </c>
      <c r="H1473" s="1077" t="s">
        <v>5177</v>
      </c>
      <c r="I1473" s="1077" t="s">
        <v>126</v>
      </c>
      <c r="J1473" s="1077">
        <v>2.6</v>
      </c>
      <c r="K1473" s="1077" t="s">
        <v>5178</v>
      </c>
      <c r="L1473" s="1077" t="s">
        <v>5152</v>
      </c>
      <c r="M1473" s="1077">
        <v>148.6</v>
      </c>
      <c r="N1473" s="1077" t="s">
        <v>945</v>
      </c>
      <c r="O1473" s="1077">
        <v>3.7149999999999999</v>
      </c>
      <c r="P1473" s="1077">
        <v>2.972</v>
      </c>
      <c r="Q1473" s="1077" t="s">
        <v>1297</v>
      </c>
      <c r="R1473" s="1077">
        <v>20.399999999999999</v>
      </c>
      <c r="T1473" s="1077">
        <v>26</v>
      </c>
      <c r="U1473" s="1077">
        <v>3.7</v>
      </c>
      <c r="V1473" s="1077" t="s">
        <v>648</v>
      </c>
      <c r="W1473" s="1077">
        <v>105</v>
      </c>
      <c r="X1473" s="1077">
        <v>50</v>
      </c>
      <c r="Y1473" s="1077">
        <v>2</v>
      </c>
      <c r="Z1473" s="1077">
        <v>6.5</v>
      </c>
      <c r="AA1473" s="1077" t="s">
        <v>3246</v>
      </c>
      <c r="AH1473" s="1077" t="s">
        <v>838</v>
      </c>
      <c r="AM1473" s="1078" t="s">
        <v>11957</v>
      </c>
      <c r="AN1473" s="1078" t="s">
        <v>11958</v>
      </c>
      <c r="AO1473" s="1078">
        <f t="shared" si="182"/>
        <v>700</v>
      </c>
      <c r="AP1473" s="1078">
        <f t="shared" si="183"/>
        <v>1.76</v>
      </c>
      <c r="AQ1473" s="1078" t="str">
        <f t="shared" si="184"/>
        <v>1-5-1S91°</v>
      </c>
      <c r="AR1473" s="1078" t="str">
        <f t="shared" si="185"/>
        <v>31.5</v>
      </c>
      <c r="AS1473" s="1078" t="str">
        <f t="shared" si="186"/>
        <v>365/325/OFF</v>
      </c>
      <c r="AT1473" s="1078" t="str">
        <f t="shared" si="187"/>
        <v>1-5-1S91°</v>
      </c>
      <c r="AV1473" s="1078" t="str">
        <f t="shared" si="180"/>
        <v>109.1.31</v>
      </c>
      <c r="AW1473" s="1344">
        <f t="shared" si="181"/>
        <v>43861</v>
      </c>
    </row>
    <row r="1474" spans="1:49">
      <c r="A1474" s="1077" t="s">
        <v>5179</v>
      </c>
      <c r="B1474" s="1077" t="s">
        <v>5148</v>
      </c>
      <c r="C1474" s="1077">
        <v>700</v>
      </c>
      <c r="D1474" s="1077">
        <v>1.76</v>
      </c>
      <c r="E1474" s="1077" t="s">
        <v>15094</v>
      </c>
      <c r="F1474" s="1077" t="s">
        <v>975</v>
      </c>
      <c r="G1474" s="1077">
        <v>5</v>
      </c>
      <c r="H1474" s="1077" t="s">
        <v>5177</v>
      </c>
      <c r="I1474" s="1077" t="s">
        <v>126</v>
      </c>
      <c r="J1474" s="1077">
        <v>2.6</v>
      </c>
      <c r="K1474" s="1077" t="s">
        <v>5180</v>
      </c>
      <c r="L1474" s="1077" t="s">
        <v>5152</v>
      </c>
      <c r="M1474" s="1077">
        <v>148.6</v>
      </c>
      <c r="N1474" s="1077" t="s">
        <v>945</v>
      </c>
      <c r="O1474" s="1077">
        <v>3.7149999999999999</v>
      </c>
      <c r="P1474" s="1077">
        <v>2.972</v>
      </c>
      <c r="Q1474" s="1077" t="s">
        <v>1297</v>
      </c>
      <c r="R1474" s="1077">
        <v>20.399999999999999</v>
      </c>
      <c r="T1474" s="1077">
        <v>26</v>
      </c>
      <c r="U1474" s="1077">
        <v>3.7</v>
      </c>
      <c r="V1474" s="1077" t="s">
        <v>648</v>
      </c>
      <c r="W1474" s="1077">
        <v>105</v>
      </c>
      <c r="X1474" s="1077">
        <v>50</v>
      </c>
      <c r="Y1474" s="1077">
        <v>2</v>
      </c>
      <c r="Z1474" s="1077" t="s">
        <v>5181</v>
      </c>
      <c r="AA1474" s="1077" t="s">
        <v>5182</v>
      </c>
      <c r="AH1474" s="1077" t="s">
        <v>618</v>
      </c>
      <c r="AM1474" s="1078" t="s">
        <v>11959</v>
      </c>
      <c r="AN1474" s="1078" t="s">
        <v>11960</v>
      </c>
      <c r="AO1474" s="1078">
        <f t="shared" si="182"/>
        <v>700</v>
      </c>
      <c r="AP1474" s="1078">
        <f t="shared" si="183"/>
        <v>1.76</v>
      </c>
      <c r="AQ1474" s="1078" t="str">
        <f t="shared" si="184"/>
        <v>1-5-1S91°</v>
      </c>
      <c r="AR1474" s="1078" t="str">
        <f t="shared" si="185"/>
        <v>31.5</v>
      </c>
      <c r="AS1474" s="1078" t="str">
        <f t="shared" si="186"/>
        <v>365/325/OFF</v>
      </c>
      <c r="AT1474" s="1078" t="str">
        <f t="shared" si="187"/>
        <v>1-5-1S91°</v>
      </c>
      <c r="AV1474" s="1078" t="str">
        <f t="shared" ref="AV1474:AV1537" si="188">AA1474</f>
        <v>109.2.6</v>
      </c>
      <c r="AW1474" s="1344">
        <f t="shared" si="181"/>
        <v>43867</v>
      </c>
    </row>
    <row r="1475" spans="1:49">
      <c r="A1475" s="1077" t="s">
        <v>5183</v>
      </c>
      <c r="B1475" s="1077" t="s">
        <v>5148</v>
      </c>
      <c r="C1475" s="1077">
        <v>700</v>
      </c>
      <c r="D1475" s="1077">
        <v>1.7549999999999999</v>
      </c>
      <c r="E1475" s="1077" t="s">
        <v>15094</v>
      </c>
      <c r="F1475" s="1077" t="s">
        <v>984</v>
      </c>
      <c r="G1475" s="1077">
        <v>5</v>
      </c>
      <c r="H1475" s="1077" t="s">
        <v>5184</v>
      </c>
      <c r="I1475" s="1077" t="s">
        <v>648</v>
      </c>
      <c r="J1475" s="1077">
        <v>0</v>
      </c>
      <c r="K1475" s="1077" t="s">
        <v>5185</v>
      </c>
      <c r="L1475" s="1077" t="s">
        <v>5152</v>
      </c>
      <c r="M1475" s="1077">
        <v>149.9</v>
      </c>
      <c r="N1475" s="1077" t="s">
        <v>945</v>
      </c>
      <c r="O1475" s="1077">
        <v>3.7475000000000005</v>
      </c>
      <c r="P1475" s="1077">
        <v>2.9980000000000002</v>
      </c>
      <c r="Q1475" s="1077" t="s">
        <v>1037</v>
      </c>
      <c r="R1475" s="1077">
        <v>24</v>
      </c>
      <c r="T1475" s="1077">
        <v>17</v>
      </c>
      <c r="U1475" s="1077">
        <v>2.6</v>
      </c>
      <c r="V1475" s="1077" t="s">
        <v>648</v>
      </c>
      <c r="W1475" s="1077" t="s">
        <v>648</v>
      </c>
      <c r="X1475" s="1077" t="s">
        <v>648</v>
      </c>
      <c r="Y1475" s="1077">
        <v>1</v>
      </c>
      <c r="Z1475" s="1077">
        <v>4.5</v>
      </c>
      <c r="AA1475" s="1077" t="s">
        <v>2944</v>
      </c>
      <c r="AH1475" s="1077" t="s">
        <v>963</v>
      </c>
      <c r="AM1475" s="1078" t="s">
        <v>11961</v>
      </c>
      <c r="AN1475" s="1078" t="s">
        <v>11962</v>
      </c>
      <c r="AO1475" s="1078">
        <f t="shared" si="182"/>
        <v>700</v>
      </c>
      <c r="AP1475" s="1078">
        <f t="shared" si="183"/>
        <v>1.7549999999999999</v>
      </c>
      <c r="AQ1475" s="1078" t="str">
        <f t="shared" si="184"/>
        <v>1-5-1S91°</v>
      </c>
      <c r="AR1475" s="1078" t="str">
        <f t="shared" si="185"/>
        <v>30</v>
      </c>
      <c r="AS1475" s="1078" t="str">
        <f t="shared" si="186"/>
        <v>360/320/158</v>
      </c>
      <c r="AT1475" s="1078" t="str">
        <f t="shared" si="187"/>
        <v>1-5-1S91°</v>
      </c>
      <c r="AV1475" s="1078" t="str">
        <f t="shared" si="188"/>
        <v>109.4.21</v>
      </c>
      <c r="AW1475" s="1344">
        <f t="shared" ref="AW1475:AW1538" si="189">DATE(VALUE(LEFT(AV1475,FIND(".",AV1475)-1))+1911,
       VALUE(MID(AV1475,FIND(".",AV1475)+1,FIND(".",AV1475,FIND(".",AV1475)+1)-FIND(".",AV1475)-1)),
       VALUE(RIGHT(AV1475,LEN(AV1475)-FIND("~",SUBSTITUTE(AV1475,".","~",2)))))</f>
        <v>43942</v>
      </c>
    </row>
    <row r="1476" spans="1:49">
      <c r="A1476" s="1077" t="s">
        <v>5186</v>
      </c>
      <c r="B1476" s="1077" t="s">
        <v>5148</v>
      </c>
      <c r="C1476" s="1077">
        <v>700</v>
      </c>
      <c r="D1476" s="1077">
        <v>1.7549999999999999</v>
      </c>
      <c r="E1476" s="1077" t="s">
        <v>15094</v>
      </c>
      <c r="F1476" s="1077" t="s">
        <v>984</v>
      </c>
      <c r="G1476" s="1077">
        <v>5</v>
      </c>
      <c r="H1476" s="1077" t="s">
        <v>5184</v>
      </c>
      <c r="I1476" s="1077" t="s">
        <v>648</v>
      </c>
      <c r="J1476" s="1077">
        <v>0</v>
      </c>
      <c r="K1476" s="1077" t="s">
        <v>5187</v>
      </c>
      <c r="L1476" s="1077" t="s">
        <v>5152</v>
      </c>
      <c r="M1476" s="1077">
        <v>149.9</v>
      </c>
      <c r="N1476" s="1077" t="s">
        <v>945</v>
      </c>
      <c r="O1476" s="1077">
        <v>3.7475000000000005</v>
      </c>
      <c r="P1476" s="1077">
        <v>2.9980000000000002</v>
      </c>
      <c r="Q1476" s="1077" t="s">
        <v>1037</v>
      </c>
      <c r="R1476" s="1077">
        <v>24</v>
      </c>
      <c r="T1476" s="1077">
        <v>17</v>
      </c>
      <c r="U1476" s="1077">
        <v>2.6</v>
      </c>
      <c r="V1476" s="1077" t="s">
        <v>648</v>
      </c>
      <c r="W1476" s="1077" t="s">
        <v>648</v>
      </c>
      <c r="X1476" s="1077" t="s">
        <v>648</v>
      </c>
      <c r="Y1476" s="1077">
        <v>1</v>
      </c>
      <c r="Z1476" s="1077">
        <v>4.5</v>
      </c>
      <c r="AA1476" s="1077" t="s">
        <v>2961</v>
      </c>
      <c r="AH1476" s="1077" t="s">
        <v>1221</v>
      </c>
      <c r="AM1476" s="1078" t="s">
        <v>11963</v>
      </c>
      <c r="AN1476" s="1078" t="s">
        <v>11964</v>
      </c>
      <c r="AO1476" s="1078">
        <f t="shared" si="182"/>
        <v>700</v>
      </c>
      <c r="AP1476" s="1078">
        <f t="shared" si="183"/>
        <v>1.7549999999999999</v>
      </c>
      <c r="AQ1476" s="1078" t="str">
        <f t="shared" si="184"/>
        <v>1-5-1S91°</v>
      </c>
      <c r="AR1476" s="1078" t="str">
        <f t="shared" si="185"/>
        <v>30</v>
      </c>
      <c r="AS1476" s="1078" t="str">
        <f t="shared" si="186"/>
        <v>360/320/158</v>
      </c>
      <c r="AT1476" s="1078" t="str">
        <f t="shared" si="187"/>
        <v>1-5-1S91°</v>
      </c>
      <c r="AV1476" s="1078" t="str">
        <f t="shared" si="188"/>
        <v>109.4.23</v>
      </c>
      <c r="AW1476" s="1344">
        <f t="shared" si="189"/>
        <v>43944</v>
      </c>
    </row>
    <row r="1477" spans="1:49">
      <c r="A1477" s="1077" t="s">
        <v>5188</v>
      </c>
      <c r="B1477" s="1077" t="s">
        <v>5148</v>
      </c>
      <c r="C1477" s="1077">
        <v>700</v>
      </c>
      <c r="D1477" s="1077">
        <v>1.7549999999999999</v>
      </c>
      <c r="E1477" s="1077" t="s">
        <v>15094</v>
      </c>
      <c r="F1477" s="1077" t="s">
        <v>984</v>
      </c>
      <c r="G1477" s="1077">
        <v>5</v>
      </c>
      <c r="H1477" s="1077" t="s">
        <v>5184</v>
      </c>
      <c r="I1477" s="1077" t="s">
        <v>648</v>
      </c>
      <c r="J1477" s="1077">
        <v>0</v>
      </c>
      <c r="K1477" s="1077" t="s">
        <v>5187</v>
      </c>
      <c r="L1477" s="1077" t="s">
        <v>5152</v>
      </c>
      <c r="M1477" s="1077">
        <v>149.9</v>
      </c>
      <c r="N1477" s="1077" t="s">
        <v>945</v>
      </c>
      <c r="O1477" s="1077">
        <v>3.7475000000000005</v>
      </c>
      <c r="P1477" s="1077">
        <v>2.9980000000000002</v>
      </c>
      <c r="Q1477" s="1077" t="s">
        <v>1037</v>
      </c>
      <c r="R1477" s="1077">
        <v>24</v>
      </c>
      <c r="T1477" s="1077">
        <v>17</v>
      </c>
      <c r="U1477" s="1077">
        <v>2.6</v>
      </c>
      <c r="V1477" s="1077" t="s">
        <v>648</v>
      </c>
      <c r="W1477" s="1077" t="s">
        <v>648</v>
      </c>
      <c r="X1477" s="1077" t="s">
        <v>648</v>
      </c>
      <c r="Y1477" s="1077">
        <v>1</v>
      </c>
      <c r="Z1477" s="1077">
        <v>4.5</v>
      </c>
      <c r="AA1477" s="1077" t="s">
        <v>1070</v>
      </c>
      <c r="AH1477" s="1077" t="s">
        <v>3213</v>
      </c>
      <c r="AM1477" s="1078" t="s">
        <v>11965</v>
      </c>
      <c r="AN1477" s="1078" t="s">
        <v>11966</v>
      </c>
      <c r="AO1477" s="1078">
        <f t="shared" si="182"/>
        <v>700</v>
      </c>
      <c r="AP1477" s="1078">
        <f t="shared" si="183"/>
        <v>1.7549999999999999</v>
      </c>
      <c r="AQ1477" s="1078" t="str">
        <f t="shared" si="184"/>
        <v>1-5-1S91°</v>
      </c>
      <c r="AR1477" s="1078" t="str">
        <f t="shared" si="185"/>
        <v>30</v>
      </c>
      <c r="AS1477" s="1078" t="str">
        <f t="shared" si="186"/>
        <v>360/320/158</v>
      </c>
      <c r="AT1477" s="1078" t="str">
        <f t="shared" si="187"/>
        <v>1-5-1S91°</v>
      </c>
      <c r="AV1477" s="1078" t="str">
        <f t="shared" si="188"/>
        <v>109.5.18</v>
      </c>
      <c r="AW1477" s="1344">
        <f t="shared" si="189"/>
        <v>43969</v>
      </c>
    </row>
    <row r="1478" spans="1:49">
      <c r="A1478" s="1077" t="s">
        <v>5189</v>
      </c>
      <c r="B1478" s="1077" t="s">
        <v>5148</v>
      </c>
      <c r="C1478" s="1077">
        <v>650</v>
      </c>
      <c r="D1478" s="1077">
        <v>1.76</v>
      </c>
      <c r="E1478" s="1077" t="s">
        <v>15094</v>
      </c>
      <c r="F1478" s="1077" t="s">
        <v>975</v>
      </c>
      <c r="G1478" s="1077">
        <v>5</v>
      </c>
      <c r="H1478" s="1077" t="s">
        <v>5190</v>
      </c>
      <c r="I1478" s="1077" t="s">
        <v>126</v>
      </c>
      <c r="J1478" s="1077">
        <v>2.6</v>
      </c>
      <c r="K1478" s="1077" t="s">
        <v>5187</v>
      </c>
      <c r="L1478" s="1077" t="s">
        <v>5152</v>
      </c>
      <c r="M1478" s="1077">
        <v>148.6</v>
      </c>
      <c r="N1478" s="1077" t="s">
        <v>945</v>
      </c>
      <c r="O1478" s="1077">
        <v>3.7149999999999999</v>
      </c>
      <c r="P1478" s="1077">
        <v>2.972</v>
      </c>
      <c r="Q1478" s="1077" t="s">
        <v>1249</v>
      </c>
      <c r="R1478" s="1077">
        <v>20.399999999999999</v>
      </c>
      <c r="T1478" s="1077">
        <v>26</v>
      </c>
      <c r="U1478" s="1077">
        <v>3.7</v>
      </c>
      <c r="V1478" s="1077" t="s">
        <v>648</v>
      </c>
      <c r="W1478" s="1077">
        <v>105</v>
      </c>
      <c r="X1478" s="1077">
        <v>50</v>
      </c>
      <c r="Y1478" s="1077">
        <v>2</v>
      </c>
      <c r="Z1478" s="1077">
        <v>6.5</v>
      </c>
      <c r="AA1478" s="1077" t="s">
        <v>2977</v>
      </c>
      <c r="AH1478" s="1077" t="s">
        <v>758</v>
      </c>
      <c r="AM1478" s="1078" t="s">
        <v>11967</v>
      </c>
      <c r="AN1478" s="1078" t="s">
        <v>11968</v>
      </c>
      <c r="AO1478" s="1078">
        <f t="shared" si="182"/>
        <v>650</v>
      </c>
      <c r="AP1478" s="1078">
        <f t="shared" si="183"/>
        <v>1.76</v>
      </c>
      <c r="AQ1478" s="1078" t="str">
        <f t="shared" si="184"/>
        <v>1-5-1S91°</v>
      </c>
      <c r="AR1478" s="1078" t="str">
        <f t="shared" si="185"/>
        <v>31.5</v>
      </c>
      <c r="AS1478" s="1078" t="str">
        <f t="shared" si="186"/>
        <v>355/315/OFF</v>
      </c>
      <c r="AT1478" s="1078" t="str">
        <f t="shared" si="187"/>
        <v>1-5-1S91°</v>
      </c>
      <c r="AV1478" s="1078" t="str">
        <f t="shared" si="188"/>
        <v>109.5.29</v>
      </c>
      <c r="AW1478" s="1344">
        <f t="shared" si="189"/>
        <v>43980</v>
      </c>
    </row>
    <row r="1479" spans="1:49">
      <c r="A1479" s="1077" t="s">
        <v>5191</v>
      </c>
      <c r="B1479" s="1077" t="s">
        <v>5148</v>
      </c>
      <c r="C1479" s="1077">
        <v>700</v>
      </c>
      <c r="D1479" s="1077">
        <v>1.7549999999999999</v>
      </c>
      <c r="E1479" s="1077" t="s">
        <v>15094</v>
      </c>
      <c r="F1479" s="1077" t="s">
        <v>984</v>
      </c>
      <c r="G1479" s="1077">
        <v>5</v>
      </c>
      <c r="H1479" s="1077" t="s">
        <v>5192</v>
      </c>
      <c r="I1479" s="1077" t="s">
        <v>126</v>
      </c>
      <c r="J1479" s="1077">
        <v>0.6</v>
      </c>
      <c r="K1479" s="1077" t="s">
        <v>5187</v>
      </c>
      <c r="L1479" s="1077" t="s">
        <v>5152</v>
      </c>
      <c r="M1479" s="1077">
        <v>149.9</v>
      </c>
      <c r="N1479" s="1077" t="s">
        <v>945</v>
      </c>
      <c r="O1479" s="1077">
        <v>3.7475000000000005</v>
      </c>
      <c r="P1479" s="1077">
        <v>2.9980000000000002</v>
      </c>
      <c r="Q1479" s="1077" t="s">
        <v>1277</v>
      </c>
      <c r="R1479" s="1077">
        <v>22</v>
      </c>
      <c r="T1479" s="1077">
        <v>20</v>
      </c>
      <c r="U1479" s="1077">
        <v>2.6</v>
      </c>
      <c r="V1479" s="1077" t="s">
        <v>648</v>
      </c>
      <c r="W1479" s="1077">
        <v>35</v>
      </c>
      <c r="X1479" s="1077">
        <v>10</v>
      </c>
      <c r="Y1479" s="1077">
        <v>1</v>
      </c>
      <c r="Z1479" s="1077" t="s">
        <v>5193</v>
      </c>
      <c r="AA1479" s="1077" t="s">
        <v>4738</v>
      </c>
      <c r="AH1479" s="1077" t="s">
        <v>3213</v>
      </c>
      <c r="AM1479" s="1078" t="s">
        <v>11969</v>
      </c>
      <c r="AN1479" s="1078" t="s">
        <v>11970</v>
      </c>
      <c r="AO1479" s="1078">
        <f t="shared" si="182"/>
        <v>700</v>
      </c>
      <c r="AP1479" s="1078">
        <f t="shared" si="183"/>
        <v>1.7549999999999999</v>
      </c>
      <c r="AQ1479" s="1078" t="str">
        <f t="shared" si="184"/>
        <v>1-5-1S91°</v>
      </c>
      <c r="AR1479" s="1078" t="str">
        <f t="shared" si="185"/>
        <v>30</v>
      </c>
      <c r="AS1479" s="1078" t="str">
        <f t="shared" si="186"/>
        <v>355/315/158</v>
      </c>
      <c r="AT1479" s="1078" t="str">
        <f t="shared" si="187"/>
        <v>1-5-1S91°</v>
      </c>
      <c r="AV1479" s="1078" t="str">
        <f t="shared" si="188"/>
        <v>109.7.16</v>
      </c>
      <c r="AW1479" s="1344">
        <f t="shared" si="189"/>
        <v>44028</v>
      </c>
    </row>
    <row r="1480" spans="1:49">
      <c r="A1480" s="1077" t="s">
        <v>5194</v>
      </c>
      <c r="B1480" s="1077" t="s">
        <v>5148</v>
      </c>
      <c r="C1480" s="1077">
        <v>700</v>
      </c>
      <c r="D1480" s="1077">
        <v>1.7350000000000001</v>
      </c>
      <c r="E1480" s="1077" t="s">
        <v>15094</v>
      </c>
      <c r="F1480" s="1077" t="s">
        <v>984</v>
      </c>
      <c r="G1480" s="1077">
        <v>5</v>
      </c>
      <c r="H1480" s="1077" t="s">
        <v>5184</v>
      </c>
      <c r="I1480" s="1077" t="s">
        <v>648</v>
      </c>
      <c r="J1480" s="1077">
        <v>0</v>
      </c>
      <c r="K1480" s="1077" t="s">
        <v>5178</v>
      </c>
      <c r="L1480" s="1077" t="s">
        <v>5152</v>
      </c>
      <c r="M1480" s="1077">
        <v>149.9</v>
      </c>
      <c r="N1480" s="1077" t="s">
        <v>945</v>
      </c>
      <c r="O1480" s="1077">
        <v>3.7475000000000005</v>
      </c>
      <c r="P1480" s="1077">
        <v>2.9980000000000002</v>
      </c>
      <c r="Q1480" s="1077" t="s">
        <v>1321</v>
      </c>
      <c r="R1480" s="1077">
        <v>24</v>
      </c>
      <c r="T1480" s="1077">
        <v>17</v>
      </c>
      <c r="U1480" s="1077">
        <v>2.6</v>
      </c>
      <c r="V1480" s="1077" t="s">
        <v>648</v>
      </c>
      <c r="W1480" s="1077" t="s">
        <v>648</v>
      </c>
      <c r="X1480" s="1077" t="s">
        <v>648</v>
      </c>
      <c r="Y1480" s="1077">
        <v>1</v>
      </c>
      <c r="Z1480" s="1077">
        <v>4.5</v>
      </c>
      <c r="AA1480" s="1077" t="s">
        <v>5195</v>
      </c>
      <c r="AH1480" s="1077" t="s">
        <v>1137</v>
      </c>
      <c r="AM1480" s="1078" t="s">
        <v>11971</v>
      </c>
      <c r="AN1480" s="1078" t="s">
        <v>11972</v>
      </c>
      <c r="AO1480" s="1078">
        <f t="shared" si="182"/>
        <v>700</v>
      </c>
      <c r="AP1480" s="1078">
        <f t="shared" si="183"/>
        <v>1.7350000000000001</v>
      </c>
      <c r="AQ1480" s="1078" t="str">
        <f t="shared" si="184"/>
        <v>1-5-1S91°</v>
      </c>
      <c r="AR1480" s="1078" t="str">
        <f t="shared" si="185"/>
        <v>30</v>
      </c>
      <c r="AS1480" s="1078" t="str">
        <f t="shared" si="186"/>
        <v>360/320/158</v>
      </c>
      <c r="AT1480" s="1078" t="str">
        <f t="shared" si="187"/>
        <v>1-5-1S91°</v>
      </c>
      <c r="AV1480" s="1078" t="str">
        <f t="shared" si="188"/>
        <v>109.7.22</v>
      </c>
      <c r="AW1480" s="1344">
        <f t="shared" si="189"/>
        <v>44034</v>
      </c>
    </row>
    <row r="1481" spans="1:49">
      <c r="A1481" s="1077" t="s">
        <v>5196</v>
      </c>
      <c r="B1481" s="1077" t="s">
        <v>5148</v>
      </c>
      <c r="C1481" s="1077">
        <v>650</v>
      </c>
      <c r="D1481" s="1077">
        <v>1.74</v>
      </c>
      <c r="E1481" s="1077" t="s">
        <v>15094</v>
      </c>
      <c r="F1481" s="1077" t="s">
        <v>975</v>
      </c>
      <c r="G1481" s="1077">
        <v>5</v>
      </c>
      <c r="H1481" s="1077" t="s">
        <v>5190</v>
      </c>
      <c r="I1481" s="1077" t="s">
        <v>126</v>
      </c>
      <c r="J1481" s="1077">
        <v>2.6</v>
      </c>
      <c r="K1481" s="1077" t="s">
        <v>5178</v>
      </c>
      <c r="L1481" s="1077" t="s">
        <v>5152</v>
      </c>
      <c r="M1481" s="1077">
        <v>148.6</v>
      </c>
      <c r="N1481" s="1077" t="s">
        <v>945</v>
      </c>
      <c r="O1481" s="1077">
        <v>3.7149999999999999</v>
      </c>
      <c r="P1481" s="1077">
        <v>2.972</v>
      </c>
      <c r="Q1481" s="1077" t="s">
        <v>1249</v>
      </c>
      <c r="R1481" s="1077">
        <v>20.399999999999999</v>
      </c>
      <c r="T1481" s="1077">
        <v>26</v>
      </c>
      <c r="U1481" s="1077">
        <v>3.7</v>
      </c>
      <c r="V1481" s="1077" t="s">
        <v>648</v>
      </c>
      <c r="W1481" s="1077">
        <v>105</v>
      </c>
      <c r="X1481" s="1077">
        <v>50</v>
      </c>
      <c r="Y1481" s="1077">
        <v>2</v>
      </c>
      <c r="Z1481" s="1077">
        <v>6.5</v>
      </c>
      <c r="AA1481" s="1077" t="s">
        <v>1298</v>
      </c>
      <c r="AH1481" s="1077" t="s">
        <v>878</v>
      </c>
      <c r="AM1481" s="1078" t="s">
        <v>11973</v>
      </c>
      <c r="AN1481" s="1078" t="s">
        <v>11974</v>
      </c>
      <c r="AO1481" s="1078">
        <f t="shared" si="182"/>
        <v>650</v>
      </c>
      <c r="AP1481" s="1078">
        <f t="shared" si="183"/>
        <v>1.74</v>
      </c>
      <c r="AQ1481" s="1078" t="str">
        <f t="shared" si="184"/>
        <v>1-5-1S91°</v>
      </c>
      <c r="AR1481" s="1078" t="str">
        <f t="shared" si="185"/>
        <v>31.5</v>
      </c>
      <c r="AS1481" s="1078" t="str">
        <f t="shared" si="186"/>
        <v>355/315/OFF</v>
      </c>
      <c r="AT1481" s="1078" t="str">
        <f t="shared" si="187"/>
        <v>1-5-1S91°</v>
      </c>
      <c r="AV1481" s="1078" t="str">
        <f t="shared" si="188"/>
        <v>109.7.27</v>
      </c>
      <c r="AW1481" s="1344">
        <f t="shared" si="189"/>
        <v>44039</v>
      </c>
    </row>
    <row r="1482" spans="1:49">
      <c r="A1482" s="1077" t="s">
        <v>5197</v>
      </c>
      <c r="B1482" s="1077" t="s">
        <v>5148</v>
      </c>
      <c r="C1482" s="1077">
        <v>650</v>
      </c>
      <c r="D1482" s="1077">
        <v>1.74</v>
      </c>
      <c r="E1482" s="1077" t="s">
        <v>15094</v>
      </c>
      <c r="F1482" s="1077" t="s">
        <v>975</v>
      </c>
      <c r="G1482" s="1077">
        <v>5</v>
      </c>
      <c r="H1482" s="1077" t="s">
        <v>5190</v>
      </c>
      <c r="I1482" s="1077" t="s">
        <v>126</v>
      </c>
      <c r="J1482" s="1077">
        <v>2.6</v>
      </c>
      <c r="K1482" s="1077" t="s">
        <v>5180</v>
      </c>
      <c r="L1482" s="1077" t="s">
        <v>5152</v>
      </c>
      <c r="M1482" s="1077">
        <v>148.6</v>
      </c>
      <c r="N1482" s="1077" t="s">
        <v>945</v>
      </c>
      <c r="O1482" s="1077">
        <v>3.7149999999999999</v>
      </c>
      <c r="P1482" s="1077">
        <v>2.972</v>
      </c>
      <c r="Q1482" s="1077" t="s">
        <v>1297</v>
      </c>
      <c r="R1482" s="1077">
        <v>20.399999999999999</v>
      </c>
      <c r="T1482" s="1077">
        <v>26</v>
      </c>
      <c r="U1482" s="1077">
        <v>3.7</v>
      </c>
      <c r="V1482" s="1077" t="s">
        <v>648</v>
      </c>
      <c r="W1482" s="1077">
        <v>105</v>
      </c>
      <c r="X1482" s="1077">
        <v>50</v>
      </c>
      <c r="Y1482" s="1077">
        <v>2</v>
      </c>
      <c r="Z1482" s="1077">
        <v>6.5</v>
      </c>
      <c r="AA1482" s="1077" t="s">
        <v>4715</v>
      </c>
      <c r="AH1482" s="1077" t="s">
        <v>1186</v>
      </c>
      <c r="AM1482" s="1078" t="s">
        <v>11975</v>
      </c>
      <c r="AN1482" s="1078" t="s">
        <v>11976</v>
      </c>
      <c r="AO1482" s="1078">
        <f t="shared" si="182"/>
        <v>650</v>
      </c>
      <c r="AP1482" s="1078">
        <f t="shared" si="183"/>
        <v>1.74</v>
      </c>
      <c r="AQ1482" s="1078" t="str">
        <f t="shared" si="184"/>
        <v>1-5-1S91°</v>
      </c>
      <c r="AR1482" s="1078" t="str">
        <f t="shared" si="185"/>
        <v>31.5</v>
      </c>
      <c r="AS1482" s="1078" t="str">
        <f t="shared" si="186"/>
        <v>355/315/OFF</v>
      </c>
      <c r="AT1482" s="1078" t="str">
        <f t="shared" si="187"/>
        <v>1-5-1S91°</v>
      </c>
      <c r="AV1482" s="1078" t="str">
        <f t="shared" si="188"/>
        <v>109.8.6</v>
      </c>
      <c r="AW1482" s="1344">
        <f t="shared" si="189"/>
        <v>44049</v>
      </c>
    </row>
    <row r="1483" spans="1:49">
      <c r="A1483" s="1077" t="s">
        <v>5198</v>
      </c>
      <c r="B1483" s="1077" t="s">
        <v>5148</v>
      </c>
      <c r="C1483" s="1077" t="s">
        <v>5199</v>
      </c>
      <c r="D1483" s="1077">
        <v>1.7350000000000001</v>
      </c>
      <c r="E1483" s="1077" t="s">
        <v>15094</v>
      </c>
      <c r="F1483" s="1077" t="s">
        <v>984</v>
      </c>
      <c r="G1483" s="1077">
        <v>5</v>
      </c>
      <c r="H1483" s="1077" t="s">
        <v>5200</v>
      </c>
      <c r="I1483" s="1077" t="s">
        <v>648</v>
      </c>
      <c r="J1483" s="1077">
        <v>0</v>
      </c>
      <c r="K1483" s="1077" t="s">
        <v>5180</v>
      </c>
      <c r="L1483" s="1077" t="s">
        <v>5152</v>
      </c>
      <c r="M1483" s="1077">
        <v>149.9</v>
      </c>
      <c r="N1483" s="1077" t="s">
        <v>945</v>
      </c>
      <c r="O1483" s="1077">
        <v>3.7475000000000005</v>
      </c>
      <c r="P1483" s="1077">
        <v>2.9980000000000002</v>
      </c>
      <c r="Q1483" s="1077" t="s">
        <v>1037</v>
      </c>
      <c r="R1483" s="1077">
        <v>24</v>
      </c>
      <c r="T1483" s="1077">
        <v>17</v>
      </c>
      <c r="U1483" s="1077">
        <v>2.6</v>
      </c>
      <c r="V1483" s="1077" t="s">
        <v>648</v>
      </c>
      <c r="W1483" s="1077" t="s">
        <v>648</v>
      </c>
      <c r="X1483" s="1077" t="s">
        <v>648</v>
      </c>
      <c r="Y1483" s="1077">
        <v>1</v>
      </c>
      <c r="Z1483" s="1077">
        <v>4.5</v>
      </c>
      <c r="AA1483" s="1077" t="s">
        <v>2438</v>
      </c>
      <c r="AH1483" s="1077" t="s">
        <v>1137</v>
      </c>
      <c r="AM1483" s="1078" t="s">
        <v>11977</v>
      </c>
      <c r="AN1483" s="1078" t="s">
        <v>11978</v>
      </c>
      <c r="AO1483" s="1078" t="str">
        <f t="shared" ref="AO1483:AO1546" si="190">C1483</f>
        <v>700↑750</v>
      </c>
      <c r="AP1483" s="1078">
        <f t="shared" ref="AP1483:AP1546" si="191">D1483</f>
        <v>1.7350000000000001</v>
      </c>
      <c r="AQ1483" s="1078" t="str">
        <f t="shared" ref="AQ1483:AQ1546" si="192">E1483</f>
        <v>1-5-1S91°</v>
      </c>
      <c r="AR1483" s="1078" t="str">
        <f t="shared" ref="AR1483:AR1546" si="193">F1483</f>
        <v>30</v>
      </c>
      <c r="AS1483" s="1078" t="str">
        <f t="shared" ref="AS1483:AS1546" si="194">H1483</f>
        <v>370/330/158</v>
      </c>
      <c r="AT1483" s="1078" t="str">
        <f t="shared" ref="AT1483:AT1546" si="195">E1483</f>
        <v>1-5-1S91°</v>
      </c>
      <c r="AV1483" s="1078" t="str">
        <f t="shared" si="188"/>
        <v>109.8.7</v>
      </c>
      <c r="AW1483" s="1344">
        <f t="shared" si="189"/>
        <v>44050</v>
      </c>
    </row>
    <row r="1484" spans="1:49">
      <c r="A1484" s="1077" t="s">
        <v>5201</v>
      </c>
      <c r="B1484" s="1077" t="s">
        <v>5148</v>
      </c>
      <c r="C1484" s="1077">
        <v>750</v>
      </c>
      <c r="D1484" s="1077">
        <v>1.7549999999999999</v>
      </c>
      <c r="E1484" s="1077" t="s">
        <v>15094</v>
      </c>
      <c r="F1484" s="1077" t="s">
        <v>984</v>
      </c>
      <c r="G1484" s="1077">
        <v>5</v>
      </c>
      <c r="H1484" s="1077" t="s">
        <v>5202</v>
      </c>
      <c r="I1484" s="1077" t="s">
        <v>126</v>
      </c>
      <c r="J1484" s="1077">
        <v>0.6</v>
      </c>
      <c r="K1484" s="1077" t="s">
        <v>5180</v>
      </c>
      <c r="L1484" s="1077" t="s">
        <v>5152</v>
      </c>
      <c r="M1484" s="1077">
        <v>149.9</v>
      </c>
      <c r="N1484" s="1077" t="s">
        <v>945</v>
      </c>
      <c r="O1484" s="1077">
        <v>3.7475000000000005</v>
      </c>
      <c r="P1484" s="1077">
        <v>2.9980000000000002</v>
      </c>
      <c r="Q1484" s="1077" t="s">
        <v>1037</v>
      </c>
      <c r="R1484" s="1077">
        <v>22</v>
      </c>
      <c r="T1484" s="1077">
        <v>20</v>
      </c>
      <c r="U1484" s="1077">
        <v>2.6</v>
      </c>
      <c r="V1484" s="1077" t="s">
        <v>648</v>
      </c>
      <c r="W1484" s="1077">
        <v>35</v>
      </c>
      <c r="X1484" s="1077">
        <v>10</v>
      </c>
      <c r="Y1484" s="1077">
        <v>1</v>
      </c>
      <c r="Z1484" s="1077" t="s">
        <v>5193</v>
      </c>
      <c r="AA1484" s="1077" t="s">
        <v>4832</v>
      </c>
      <c r="AH1484" s="1077" t="s">
        <v>1796</v>
      </c>
      <c r="AM1484" s="1078" t="s">
        <v>11979</v>
      </c>
      <c r="AN1484" s="1078" t="s">
        <v>11980</v>
      </c>
      <c r="AO1484" s="1078">
        <f t="shared" si="190"/>
        <v>750</v>
      </c>
      <c r="AP1484" s="1078">
        <f t="shared" si="191"/>
        <v>1.7549999999999999</v>
      </c>
      <c r="AQ1484" s="1078" t="str">
        <f t="shared" si="192"/>
        <v>1-5-1S91°</v>
      </c>
      <c r="AR1484" s="1078" t="str">
        <f t="shared" si="193"/>
        <v>30</v>
      </c>
      <c r="AS1484" s="1078" t="str">
        <f t="shared" si="194"/>
        <v>365/325/158</v>
      </c>
      <c r="AT1484" s="1078" t="str">
        <f t="shared" si="195"/>
        <v>1-5-1S91°</v>
      </c>
      <c r="AV1484" s="1078" t="str">
        <f t="shared" si="188"/>
        <v>109.9.2</v>
      </c>
      <c r="AW1484" s="1344">
        <f t="shared" si="189"/>
        <v>44076</v>
      </c>
    </row>
    <row r="1485" spans="1:49">
      <c r="A1485" s="1077" t="s">
        <v>5203</v>
      </c>
      <c r="B1485" s="1077" t="s">
        <v>5148</v>
      </c>
      <c r="C1485" s="1077">
        <v>750</v>
      </c>
      <c r="D1485" s="1077">
        <v>1.7549999999999999</v>
      </c>
      <c r="E1485" s="1077" t="s">
        <v>15094</v>
      </c>
      <c r="F1485" s="1077" t="s">
        <v>984</v>
      </c>
      <c r="G1485" s="1077">
        <v>5</v>
      </c>
      <c r="H1485" s="1077" t="s">
        <v>5202</v>
      </c>
      <c r="I1485" s="1077" t="s">
        <v>126</v>
      </c>
      <c r="J1485" s="1077">
        <v>0.6</v>
      </c>
      <c r="K1485" s="1077" t="s">
        <v>5204</v>
      </c>
      <c r="L1485" s="1077" t="s">
        <v>5152</v>
      </c>
      <c r="M1485" s="1077">
        <v>149.9</v>
      </c>
      <c r="N1485" s="1077" t="s">
        <v>945</v>
      </c>
      <c r="O1485" s="1077">
        <v>3.7475000000000005</v>
      </c>
      <c r="P1485" s="1077">
        <v>2.9980000000000002</v>
      </c>
      <c r="Q1485" s="1077" t="s">
        <v>1321</v>
      </c>
      <c r="R1485" s="1077">
        <v>22</v>
      </c>
      <c r="T1485" s="1077">
        <v>20</v>
      </c>
      <c r="U1485" s="1077">
        <v>2.6</v>
      </c>
      <c r="V1485" s="1077" t="s">
        <v>648</v>
      </c>
      <c r="W1485" s="1077">
        <v>35</v>
      </c>
      <c r="X1485" s="1077">
        <v>10</v>
      </c>
      <c r="Y1485" s="1077">
        <v>1</v>
      </c>
      <c r="Z1485" s="1077">
        <v>6</v>
      </c>
      <c r="AA1485" s="1077" t="s">
        <v>1094</v>
      </c>
      <c r="AH1485" s="1077" t="s">
        <v>963</v>
      </c>
      <c r="AM1485" s="1078" t="s">
        <v>11981</v>
      </c>
      <c r="AN1485" s="1078" t="s">
        <v>11982</v>
      </c>
      <c r="AO1485" s="1078">
        <f t="shared" si="190"/>
        <v>750</v>
      </c>
      <c r="AP1485" s="1078">
        <f t="shared" si="191"/>
        <v>1.7549999999999999</v>
      </c>
      <c r="AQ1485" s="1078" t="str">
        <f t="shared" si="192"/>
        <v>1-5-1S91°</v>
      </c>
      <c r="AR1485" s="1078" t="str">
        <f t="shared" si="193"/>
        <v>30</v>
      </c>
      <c r="AS1485" s="1078" t="str">
        <f t="shared" si="194"/>
        <v>365/325/158</v>
      </c>
      <c r="AT1485" s="1078" t="str">
        <f t="shared" si="195"/>
        <v>1-5-1S91°</v>
      </c>
      <c r="AV1485" s="1078" t="str">
        <f t="shared" si="188"/>
        <v>109.10.12</v>
      </c>
      <c r="AW1485" s="1344">
        <f t="shared" si="189"/>
        <v>44116</v>
      </c>
    </row>
    <row r="1486" spans="1:49">
      <c r="A1486" s="1077" t="s">
        <v>5205</v>
      </c>
      <c r="B1486" s="1077" t="s">
        <v>5148</v>
      </c>
      <c r="C1486" s="1077">
        <v>650</v>
      </c>
      <c r="D1486" s="1077">
        <v>1.74</v>
      </c>
      <c r="E1486" s="1077" t="s">
        <v>15094</v>
      </c>
      <c r="F1486" s="1077" t="s">
        <v>975</v>
      </c>
      <c r="G1486" s="1077">
        <v>5</v>
      </c>
      <c r="H1486" s="1077" t="s">
        <v>5190</v>
      </c>
      <c r="I1486" s="1077" t="s">
        <v>126</v>
      </c>
      <c r="J1486" s="1077">
        <v>2.6</v>
      </c>
      <c r="K1486" s="1077" t="s">
        <v>5206</v>
      </c>
      <c r="L1486" s="1077" t="s">
        <v>5152</v>
      </c>
      <c r="M1486" s="1077">
        <v>148.6</v>
      </c>
      <c r="N1486" s="1077" t="s">
        <v>945</v>
      </c>
      <c r="O1486" s="1077">
        <v>3.7149999999999999</v>
      </c>
      <c r="P1486" s="1077">
        <v>2.972</v>
      </c>
      <c r="Q1486" s="1077" t="s">
        <v>1249</v>
      </c>
      <c r="R1486" s="1077">
        <v>20.399999999999999</v>
      </c>
      <c r="T1486" s="1077">
        <v>26</v>
      </c>
      <c r="U1486" s="1077">
        <v>3.7</v>
      </c>
      <c r="V1486" s="1077" t="s">
        <v>648</v>
      </c>
      <c r="W1486" s="1077">
        <v>105</v>
      </c>
      <c r="X1486" s="1077">
        <v>50</v>
      </c>
      <c r="Y1486" s="1077">
        <v>2</v>
      </c>
      <c r="Z1486" s="1077">
        <v>6.5</v>
      </c>
      <c r="AA1486" s="1077" t="s">
        <v>4816</v>
      </c>
      <c r="AH1486" s="1077" t="s">
        <v>1143</v>
      </c>
      <c r="AM1486" s="1078" t="s">
        <v>11983</v>
      </c>
      <c r="AN1486" s="1078" t="s">
        <v>11984</v>
      </c>
      <c r="AO1486" s="1078">
        <f t="shared" si="190"/>
        <v>650</v>
      </c>
      <c r="AP1486" s="1078">
        <f t="shared" si="191"/>
        <v>1.74</v>
      </c>
      <c r="AQ1486" s="1078" t="str">
        <f t="shared" si="192"/>
        <v>1-5-1S91°</v>
      </c>
      <c r="AR1486" s="1078" t="str">
        <f t="shared" si="193"/>
        <v>31.5</v>
      </c>
      <c r="AS1486" s="1078" t="str">
        <f t="shared" si="194"/>
        <v>355/315/OFF</v>
      </c>
      <c r="AT1486" s="1078" t="str">
        <f t="shared" si="195"/>
        <v>1-5-1S91°</v>
      </c>
      <c r="AV1486" s="1078" t="str">
        <f t="shared" si="188"/>
        <v>109.10.13</v>
      </c>
      <c r="AW1486" s="1344">
        <f t="shared" si="189"/>
        <v>44117</v>
      </c>
    </row>
    <row r="1487" spans="1:49">
      <c r="A1487" s="1077" t="s">
        <v>5207</v>
      </c>
      <c r="B1487" s="1077" t="s">
        <v>5148</v>
      </c>
      <c r="C1487" s="1077">
        <v>750</v>
      </c>
      <c r="D1487" s="1077">
        <v>1.7350000000000001</v>
      </c>
      <c r="E1487" s="1077" t="s">
        <v>15094</v>
      </c>
      <c r="F1487" s="1077" t="s">
        <v>984</v>
      </c>
      <c r="G1487" s="1077">
        <v>5</v>
      </c>
      <c r="H1487" s="1077" t="s">
        <v>5200</v>
      </c>
      <c r="I1487" s="1077" t="s">
        <v>648</v>
      </c>
      <c r="J1487" s="1077">
        <v>0</v>
      </c>
      <c r="K1487" s="1077" t="s">
        <v>5206</v>
      </c>
      <c r="L1487" s="1077" t="s">
        <v>5152</v>
      </c>
      <c r="M1487" s="1077">
        <v>149.9</v>
      </c>
      <c r="N1487" s="1077" t="s">
        <v>945</v>
      </c>
      <c r="O1487" s="1077">
        <v>3.7475000000000005</v>
      </c>
      <c r="P1487" s="1077">
        <v>2.9980000000000002</v>
      </c>
      <c r="Q1487" s="1077" t="s">
        <v>1037</v>
      </c>
      <c r="R1487" s="1077">
        <v>24</v>
      </c>
      <c r="T1487" s="1077">
        <v>17</v>
      </c>
      <c r="U1487" s="1077">
        <v>2.6</v>
      </c>
      <c r="V1487" s="1077" t="s">
        <v>648</v>
      </c>
      <c r="W1487" s="1077" t="s">
        <v>648</v>
      </c>
      <c r="X1487" s="1077" t="s">
        <v>648</v>
      </c>
      <c r="Y1487" s="1077">
        <v>1</v>
      </c>
      <c r="Z1487" s="1077">
        <v>4.5</v>
      </c>
      <c r="AA1487" s="1077" t="s">
        <v>3081</v>
      </c>
      <c r="AH1487" s="1077" t="s">
        <v>1186</v>
      </c>
      <c r="AM1487" s="1078" t="s">
        <v>11985</v>
      </c>
      <c r="AN1487" s="1078" t="s">
        <v>11986</v>
      </c>
      <c r="AO1487" s="1078">
        <f t="shared" si="190"/>
        <v>750</v>
      </c>
      <c r="AP1487" s="1078">
        <f t="shared" si="191"/>
        <v>1.7350000000000001</v>
      </c>
      <c r="AQ1487" s="1078" t="str">
        <f t="shared" si="192"/>
        <v>1-5-1S91°</v>
      </c>
      <c r="AR1487" s="1078" t="str">
        <f t="shared" si="193"/>
        <v>30</v>
      </c>
      <c r="AS1487" s="1078" t="str">
        <f t="shared" si="194"/>
        <v>370/330/158</v>
      </c>
      <c r="AT1487" s="1078" t="str">
        <f t="shared" si="195"/>
        <v>1-5-1S91°</v>
      </c>
      <c r="AV1487" s="1078" t="str">
        <f t="shared" si="188"/>
        <v>109.10.14</v>
      </c>
      <c r="AW1487" s="1344">
        <f t="shared" si="189"/>
        <v>44118</v>
      </c>
    </row>
    <row r="1488" spans="1:49">
      <c r="A1488" s="1077" t="s">
        <v>5208</v>
      </c>
      <c r="B1488" s="1077" t="s">
        <v>5148</v>
      </c>
      <c r="C1488" s="1077">
        <v>650</v>
      </c>
      <c r="D1488" s="1077">
        <v>1.74</v>
      </c>
      <c r="E1488" s="1077" t="s">
        <v>15094</v>
      </c>
      <c r="F1488" s="1077" t="s">
        <v>975</v>
      </c>
      <c r="G1488" s="1077">
        <v>5</v>
      </c>
      <c r="H1488" s="1077" t="s">
        <v>5190</v>
      </c>
      <c r="I1488" s="1077" t="s">
        <v>126</v>
      </c>
      <c r="J1488" s="1077">
        <v>2.6</v>
      </c>
      <c r="K1488" s="1077" t="s">
        <v>5209</v>
      </c>
      <c r="L1488" s="1077" t="s">
        <v>5152</v>
      </c>
      <c r="M1488" s="1077">
        <v>148.6</v>
      </c>
      <c r="N1488" s="1077" t="s">
        <v>945</v>
      </c>
      <c r="O1488" s="1077">
        <v>3.7149999999999999</v>
      </c>
      <c r="P1488" s="1077">
        <v>2.972</v>
      </c>
      <c r="Q1488" s="1077" t="s">
        <v>2950</v>
      </c>
      <c r="R1488" s="1077">
        <v>20.399999999999999</v>
      </c>
      <c r="T1488" s="1077">
        <v>26</v>
      </c>
      <c r="U1488" s="1077">
        <v>3.7</v>
      </c>
      <c r="V1488" s="1077" t="s">
        <v>648</v>
      </c>
      <c r="W1488" s="1077">
        <v>105</v>
      </c>
      <c r="X1488" s="1077">
        <v>50</v>
      </c>
      <c r="Y1488" s="1077">
        <v>2</v>
      </c>
      <c r="Z1488" s="1077" t="s">
        <v>5171</v>
      </c>
      <c r="AA1488" s="1077" t="s">
        <v>3087</v>
      </c>
      <c r="AH1488" s="1077" t="s">
        <v>1238</v>
      </c>
      <c r="AM1488" s="1078" t="s">
        <v>11987</v>
      </c>
      <c r="AN1488" s="1078" t="s">
        <v>11988</v>
      </c>
      <c r="AO1488" s="1078">
        <f t="shared" si="190"/>
        <v>650</v>
      </c>
      <c r="AP1488" s="1078">
        <f t="shared" si="191"/>
        <v>1.74</v>
      </c>
      <c r="AQ1488" s="1078" t="str">
        <f t="shared" si="192"/>
        <v>1-5-1S91°</v>
      </c>
      <c r="AR1488" s="1078" t="str">
        <f t="shared" si="193"/>
        <v>31.5</v>
      </c>
      <c r="AS1488" s="1078" t="str">
        <f t="shared" si="194"/>
        <v>355/315/OFF</v>
      </c>
      <c r="AT1488" s="1078" t="str">
        <f t="shared" si="195"/>
        <v>1-5-1S91°</v>
      </c>
      <c r="AV1488" s="1078" t="str">
        <f t="shared" si="188"/>
        <v>109.10.30</v>
      </c>
      <c r="AW1488" s="1344">
        <f t="shared" si="189"/>
        <v>44134</v>
      </c>
    </row>
    <row r="1489" spans="1:49">
      <c r="A1489" s="1077" t="s">
        <v>5210</v>
      </c>
      <c r="B1489" s="1077" t="s">
        <v>5148</v>
      </c>
      <c r="C1489" s="1077">
        <v>650</v>
      </c>
      <c r="D1489" s="1077">
        <v>1.7350000000000001</v>
      </c>
      <c r="E1489" s="1077" t="s">
        <v>15102</v>
      </c>
      <c r="F1489" s="1077" t="s">
        <v>984</v>
      </c>
      <c r="G1489" s="1077">
        <v>5</v>
      </c>
      <c r="H1489" s="1077" t="s">
        <v>5211</v>
      </c>
      <c r="I1489" s="1077" t="s">
        <v>648</v>
      </c>
      <c r="J1489" s="1077">
        <v>0</v>
      </c>
      <c r="K1489" s="1077" t="s">
        <v>5209</v>
      </c>
      <c r="L1489" s="1077" t="s">
        <v>5152</v>
      </c>
      <c r="M1489" s="1077">
        <v>149.9</v>
      </c>
      <c r="N1489" s="1077" t="s">
        <v>945</v>
      </c>
      <c r="O1489" s="1077">
        <v>3.7475000000000005</v>
      </c>
      <c r="P1489" s="1077">
        <v>2.9980000000000002</v>
      </c>
      <c r="Q1489" s="1077" t="s">
        <v>988</v>
      </c>
      <c r="R1489" s="1077">
        <v>24</v>
      </c>
      <c r="T1489" s="1077">
        <v>17</v>
      </c>
      <c r="U1489" s="1077">
        <v>2.6</v>
      </c>
      <c r="V1489" s="1077" t="s">
        <v>648</v>
      </c>
      <c r="W1489" s="1077" t="s">
        <v>648</v>
      </c>
      <c r="X1489" s="1077" t="s">
        <v>648</v>
      </c>
      <c r="Y1489" s="1077">
        <v>1</v>
      </c>
      <c r="Z1489" s="1077">
        <v>4.5</v>
      </c>
      <c r="AA1489" s="1077" t="s">
        <v>5212</v>
      </c>
      <c r="AH1489" s="1077" t="s">
        <v>868</v>
      </c>
      <c r="AM1489" s="1078" t="s">
        <v>11989</v>
      </c>
      <c r="AN1489" s="1078" t="s">
        <v>11990</v>
      </c>
      <c r="AO1489" s="1078">
        <f t="shared" si="190"/>
        <v>650</v>
      </c>
      <c r="AP1489" s="1078">
        <f t="shared" si="191"/>
        <v>1.7350000000000001</v>
      </c>
      <c r="AQ1489" s="1078" t="str">
        <f t="shared" si="192"/>
        <v>2-6-1S83°</v>
      </c>
      <c r="AR1489" s="1078" t="str">
        <f t="shared" si="193"/>
        <v>30</v>
      </c>
      <c r="AS1489" s="1078" t="str">
        <f t="shared" si="194"/>
        <v>170/170</v>
      </c>
      <c r="AT1489" s="1078" t="str">
        <f t="shared" si="195"/>
        <v>2-6-1S83°</v>
      </c>
      <c r="AV1489" s="1078" t="str">
        <f t="shared" si="188"/>
        <v>109.11.5</v>
      </c>
      <c r="AW1489" s="1344">
        <f t="shared" si="189"/>
        <v>44140</v>
      </c>
    </row>
    <row r="1490" spans="1:49">
      <c r="A1490" s="1077" t="s">
        <v>5213</v>
      </c>
      <c r="B1490" s="1077" t="s">
        <v>5148</v>
      </c>
      <c r="C1490" s="1077">
        <v>750</v>
      </c>
      <c r="D1490" s="1077">
        <v>1.7549999999999999</v>
      </c>
      <c r="E1490" s="1077" t="s">
        <v>15094</v>
      </c>
      <c r="F1490" s="1077" t="s">
        <v>984</v>
      </c>
      <c r="G1490" s="1077">
        <v>5</v>
      </c>
      <c r="H1490" s="1077" t="s">
        <v>5202</v>
      </c>
      <c r="I1490" s="1077" t="s">
        <v>126</v>
      </c>
      <c r="J1490" s="1077">
        <v>0.6</v>
      </c>
      <c r="K1490" s="1077" t="s">
        <v>5209</v>
      </c>
      <c r="L1490" s="1077" t="s">
        <v>5152</v>
      </c>
      <c r="M1490" s="1077">
        <v>149.9</v>
      </c>
      <c r="N1490" s="1077" t="s">
        <v>945</v>
      </c>
      <c r="O1490" s="1077">
        <v>3.7475000000000005</v>
      </c>
      <c r="P1490" s="1077">
        <v>2.9980000000000002</v>
      </c>
      <c r="Q1490" s="1077" t="s">
        <v>988</v>
      </c>
      <c r="R1490" s="1077">
        <v>22</v>
      </c>
      <c r="T1490" s="1077">
        <v>20</v>
      </c>
      <c r="U1490" s="1077">
        <v>2.6</v>
      </c>
      <c r="V1490" s="1077" t="s">
        <v>648</v>
      </c>
      <c r="W1490" s="1077">
        <v>35</v>
      </c>
      <c r="X1490" s="1077">
        <v>10</v>
      </c>
      <c r="Y1490" s="1077">
        <v>1</v>
      </c>
      <c r="Z1490" s="1077" t="s">
        <v>5214</v>
      </c>
      <c r="AA1490" s="1077" t="s">
        <v>1365</v>
      </c>
      <c r="AH1490" s="1077" t="s">
        <v>2398</v>
      </c>
      <c r="AM1490" s="1078" t="s">
        <v>11991</v>
      </c>
      <c r="AN1490" s="1078" t="s">
        <v>11992</v>
      </c>
      <c r="AO1490" s="1078">
        <f t="shared" si="190"/>
        <v>750</v>
      </c>
      <c r="AP1490" s="1078">
        <f t="shared" si="191"/>
        <v>1.7549999999999999</v>
      </c>
      <c r="AQ1490" s="1078" t="str">
        <f t="shared" si="192"/>
        <v>1-5-1S91°</v>
      </c>
      <c r="AR1490" s="1078" t="str">
        <f t="shared" si="193"/>
        <v>30</v>
      </c>
      <c r="AS1490" s="1078" t="str">
        <f t="shared" si="194"/>
        <v>365/325/158</v>
      </c>
      <c r="AT1490" s="1078" t="str">
        <f t="shared" si="195"/>
        <v>1-5-1S91°</v>
      </c>
      <c r="AV1490" s="1078" t="str">
        <f t="shared" si="188"/>
        <v>109.11.4</v>
      </c>
      <c r="AW1490" s="1344">
        <f t="shared" si="189"/>
        <v>44139</v>
      </c>
    </row>
    <row r="1491" spans="1:49">
      <c r="A1491" s="1077" t="s">
        <v>5215</v>
      </c>
      <c r="B1491" s="1077" t="s">
        <v>5148</v>
      </c>
      <c r="C1491" s="1077">
        <v>650</v>
      </c>
      <c r="D1491" s="1077">
        <v>1.7350000000000001</v>
      </c>
      <c r="E1491" s="1077" t="s">
        <v>15102</v>
      </c>
      <c r="F1491" s="1077" t="s">
        <v>1119</v>
      </c>
      <c r="G1491" s="1077">
        <v>5</v>
      </c>
      <c r="H1491" s="1077" t="s">
        <v>5211</v>
      </c>
      <c r="I1491" s="1077" t="s">
        <v>648</v>
      </c>
      <c r="J1491" s="1077">
        <v>0</v>
      </c>
      <c r="K1491" s="1077" t="s">
        <v>5216</v>
      </c>
      <c r="L1491" s="1077" t="s">
        <v>5152</v>
      </c>
      <c r="M1491" s="1077">
        <v>149.9</v>
      </c>
      <c r="N1491" s="1077" t="s">
        <v>945</v>
      </c>
      <c r="O1491" s="1077">
        <v>3.7475000000000005</v>
      </c>
      <c r="P1491" s="1077">
        <v>2.9980000000000002</v>
      </c>
      <c r="Q1491" s="1077" t="s">
        <v>1277</v>
      </c>
      <c r="R1491" s="1077">
        <v>24</v>
      </c>
      <c r="T1491" s="1077">
        <v>17</v>
      </c>
      <c r="U1491" s="1077">
        <v>2.6</v>
      </c>
      <c r="V1491" s="1077" t="s">
        <v>648</v>
      </c>
      <c r="W1491" s="1077" t="s">
        <v>648</v>
      </c>
      <c r="X1491" s="1077" t="s">
        <v>648</v>
      </c>
      <c r="Y1491" s="1077">
        <v>1</v>
      </c>
      <c r="Z1491" s="1077" t="s">
        <v>5217</v>
      </c>
      <c r="AA1491" s="1077" t="s">
        <v>2467</v>
      </c>
      <c r="AH1491" s="1077" t="s">
        <v>614</v>
      </c>
      <c r="AM1491" s="1078" t="s">
        <v>11993</v>
      </c>
      <c r="AN1491" s="1078" t="s">
        <v>11994</v>
      </c>
      <c r="AO1491" s="1078">
        <f t="shared" si="190"/>
        <v>650</v>
      </c>
      <c r="AP1491" s="1078">
        <f t="shared" si="191"/>
        <v>1.7350000000000001</v>
      </c>
      <c r="AQ1491" s="1078" t="str">
        <f t="shared" si="192"/>
        <v>2-6-1S83°</v>
      </c>
      <c r="AR1491" s="1078" t="str">
        <f t="shared" si="193"/>
        <v>29</v>
      </c>
      <c r="AS1491" s="1078" t="str">
        <f t="shared" si="194"/>
        <v>170/170</v>
      </c>
      <c r="AT1491" s="1078" t="str">
        <f t="shared" si="195"/>
        <v>2-6-1S83°</v>
      </c>
      <c r="AV1491" s="1078" t="str">
        <f t="shared" si="188"/>
        <v>109.11.24</v>
      </c>
      <c r="AW1491" s="1344">
        <f t="shared" si="189"/>
        <v>44159</v>
      </c>
    </row>
    <row r="1492" spans="1:49">
      <c r="A1492" s="1077" t="s">
        <v>5218</v>
      </c>
      <c r="B1492" s="1077" t="s">
        <v>5148</v>
      </c>
      <c r="C1492" s="1077">
        <v>650</v>
      </c>
      <c r="D1492" s="1077">
        <v>1.74</v>
      </c>
      <c r="E1492" s="1077" t="s">
        <v>15094</v>
      </c>
      <c r="F1492" s="1077" t="s">
        <v>975</v>
      </c>
      <c r="G1492" s="1077">
        <v>5</v>
      </c>
      <c r="H1492" s="1077" t="s">
        <v>5190</v>
      </c>
      <c r="I1492" s="1077" t="s">
        <v>126</v>
      </c>
      <c r="J1492" s="1077">
        <v>2.6</v>
      </c>
      <c r="K1492" s="1077" t="s">
        <v>5216</v>
      </c>
      <c r="L1492" s="1077" t="s">
        <v>5152</v>
      </c>
      <c r="M1492" s="1077">
        <v>148.6</v>
      </c>
      <c r="N1492" s="1077" t="s">
        <v>945</v>
      </c>
      <c r="O1492" s="1077">
        <v>3.7149999999999999</v>
      </c>
      <c r="P1492" s="1077">
        <v>2.972</v>
      </c>
      <c r="Q1492" s="1077" t="s">
        <v>2950</v>
      </c>
      <c r="R1492" s="1077">
        <v>20.399999999999999</v>
      </c>
      <c r="T1492" s="1077">
        <v>26</v>
      </c>
      <c r="U1492" s="1077">
        <v>3.7</v>
      </c>
      <c r="V1492" s="1077" t="s">
        <v>648</v>
      </c>
      <c r="W1492" s="1077">
        <v>105</v>
      </c>
      <c r="X1492" s="1077">
        <v>50</v>
      </c>
      <c r="Y1492" s="1077">
        <v>2</v>
      </c>
      <c r="Z1492" s="1077" t="s">
        <v>5145</v>
      </c>
      <c r="AA1492" s="1077" t="s">
        <v>5219</v>
      </c>
      <c r="AH1492" s="1077" t="s">
        <v>758</v>
      </c>
      <c r="AM1492" s="1078" t="s">
        <v>11995</v>
      </c>
      <c r="AN1492" s="1078" t="s">
        <v>11996</v>
      </c>
      <c r="AO1492" s="1078">
        <f t="shared" si="190"/>
        <v>650</v>
      </c>
      <c r="AP1492" s="1078">
        <f t="shared" si="191"/>
        <v>1.74</v>
      </c>
      <c r="AQ1492" s="1078" t="str">
        <f t="shared" si="192"/>
        <v>1-5-1S91°</v>
      </c>
      <c r="AR1492" s="1078" t="str">
        <f t="shared" si="193"/>
        <v>31.5</v>
      </c>
      <c r="AS1492" s="1078" t="str">
        <f t="shared" si="194"/>
        <v>355/315/OFF</v>
      </c>
      <c r="AT1492" s="1078" t="str">
        <f t="shared" si="195"/>
        <v>1-5-1S91°</v>
      </c>
      <c r="AV1492" s="1078" t="str">
        <f t="shared" si="188"/>
        <v>109.11.26</v>
      </c>
      <c r="AW1492" s="1344">
        <f t="shared" si="189"/>
        <v>44161</v>
      </c>
    </row>
    <row r="1493" spans="1:49">
      <c r="A1493" s="1077" t="s">
        <v>5220</v>
      </c>
      <c r="B1493" s="1077" t="s">
        <v>5148</v>
      </c>
      <c r="C1493" s="1077">
        <v>650</v>
      </c>
      <c r="D1493" s="1077">
        <v>1.7350000000000001</v>
      </c>
      <c r="E1493" s="1077" t="s">
        <v>15102</v>
      </c>
      <c r="F1493" s="1077" t="s">
        <v>984</v>
      </c>
      <c r="G1493" s="1077">
        <v>5</v>
      </c>
      <c r="H1493" s="1077" t="s">
        <v>2192</v>
      </c>
      <c r="I1493" s="1077" t="s">
        <v>460</v>
      </c>
      <c r="J1493" s="1077">
        <v>2</v>
      </c>
      <c r="K1493" s="1077" t="s">
        <v>5216</v>
      </c>
      <c r="L1493" s="1077" t="s">
        <v>5152</v>
      </c>
      <c r="M1493" s="1077">
        <v>148.6</v>
      </c>
      <c r="N1493" s="1077" t="s">
        <v>945</v>
      </c>
      <c r="O1493" s="1077">
        <v>3.7149999999999999</v>
      </c>
      <c r="P1493" s="1077">
        <v>2.972</v>
      </c>
      <c r="Q1493" s="1077" t="s">
        <v>2401</v>
      </c>
      <c r="R1493" s="1077">
        <v>20.399999999999999</v>
      </c>
      <c r="T1493" s="1077">
        <v>26</v>
      </c>
      <c r="U1493" s="1077">
        <v>3.7</v>
      </c>
      <c r="V1493" s="1077" t="s">
        <v>648</v>
      </c>
      <c r="W1493" s="1077">
        <v>105</v>
      </c>
      <c r="X1493" s="1077">
        <v>50</v>
      </c>
      <c r="Y1493" s="1077">
        <v>2</v>
      </c>
      <c r="Z1493" s="1077" t="s">
        <v>5221</v>
      </c>
      <c r="AA1493" s="1077" t="s">
        <v>3093</v>
      </c>
      <c r="AH1493" s="1077" t="s">
        <v>812</v>
      </c>
      <c r="AM1493" s="1078" t="s">
        <v>11997</v>
      </c>
      <c r="AN1493" s="1078" t="s">
        <v>11998</v>
      </c>
      <c r="AO1493" s="1078">
        <f t="shared" si="190"/>
        <v>650</v>
      </c>
      <c r="AP1493" s="1078">
        <f t="shared" si="191"/>
        <v>1.7350000000000001</v>
      </c>
      <c r="AQ1493" s="1078" t="str">
        <f t="shared" si="192"/>
        <v>2-6-1S83°</v>
      </c>
      <c r="AR1493" s="1078" t="str">
        <f t="shared" si="193"/>
        <v>30</v>
      </c>
      <c r="AS1493" s="1078" t="str">
        <f t="shared" si="194"/>
        <v>180/OFF</v>
      </c>
      <c r="AT1493" s="1078" t="str">
        <f t="shared" si="195"/>
        <v>2-6-1S83°</v>
      </c>
      <c r="AV1493" s="1078" t="str">
        <f t="shared" si="188"/>
        <v>109.12.14</v>
      </c>
      <c r="AW1493" s="1344">
        <f t="shared" si="189"/>
        <v>44179</v>
      </c>
    </row>
    <row r="1494" spans="1:49">
      <c r="A1494" s="1077" t="s">
        <v>5222</v>
      </c>
      <c r="B1494" s="1077" t="s">
        <v>5148</v>
      </c>
      <c r="C1494" s="1077">
        <v>650</v>
      </c>
      <c r="D1494" s="1077">
        <v>1.7350000000000001</v>
      </c>
      <c r="E1494" s="1077" t="s">
        <v>15102</v>
      </c>
      <c r="F1494" s="1077" t="s">
        <v>5149</v>
      </c>
      <c r="G1494" s="1077">
        <v>5</v>
      </c>
      <c r="H1494" s="1077" t="s">
        <v>5223</v>
      </c>
      <c r="I1494" s="1077" t="s">
        <v>648</v>
      </c>
      <c r="J1494" s="1077">
        <v>0</v>
      </c>
      <c r="K1494" s="1077" t="s">
        <v>5224</v>
      </c>
      <c r="L1494" s="1077" t="s">
        <v>5152</v>
      </c>
      <c r="M1494" s="1077">
        <v>149.9</v>
      </c>
      <c r="N1494" s="1077" t="s">
        <v>945</v>
      </c>
      <c r="O1494" s="1077">
        <v>3.7475000000000005</v>
      </c>
      <c r="P1494" s="1077">
        <v>2.9980000000000002</v>
      </c>
      <c r="Q1494" s="1077">
        <v>4</v>
      </c>
      <c r="R1494" s="1077">
        <v>24</v>
      </c>
      <c r="T1494" s="1077">
        <v>17</v>
      </c>
      <c r="U1494" s="1077">
        <v>2.6</v>
      </c>
      <c r="V1494" s="1077" t="s">
        <v>648</v>
      </c>
      <c r="W1494" s="1077" t="s">
        <v>648</v>
      </c>
      <c r="X1494" s="1077" t="s">
        <v>648</v>
      </c>
      <c r="Y1494" s="1077">
        <v>1</v>
      </c>
      <c r="Z1494" s="1077">
        <v>4.5</v>
      </c>
      <c r="AA1494" s="1077" t="s">
        <v>3096</v>
      </c>
      <c r="AH1494" s="1077" t="s">
        <v>853</v>
      </c>
      <c r="AM1494" s="1078" t="s">
        <v>11999</v>
      </c>
      <c r="AN1494" s="1078" t="s">
        <v>12000</v>
      </c>
      <c r="AO1494" s="1078">
        <f t="shared" si="190"/>
        <v>650</v>
      </c>
      <c r="AP1494" s="1078">
        <f t="shared" si="191"/>
        <v>1.7350000000000001</v>
      </c>
      <c r="AQ1494" s="1078" t="str">
        <f t="shared" si="192"/>
        <v>2-6-1S83°</v>
      </c>
      <c r="AR1494" s="1078" t="str">
        <f t="shared" si="193"/>
        <v>29.3</v>
      </c>
      <c r="AS1494" s="1078" t="str">
        <f t="shared" si="194"/>
        <v>170/173</v>
      </c>
      <c r="AT1494" s="1078" t="str">
        <f t="shared" si="195"/>
        <v>2-6-1S83°</v>
      </c>
      <c r="AV1494" s="1078" t="str">
        <f t="shared" si="188"/>
        <v>109.12.17</v>
      </c>
      <c r="AW1494" s="1344">
        <f t="shared" si="189"/>
        <v>44182</v>
      </c>
    </row>
    <row r="1495" spans="1:49">
      <c r="A1495" s="1077" t="s">
        <v>5225</v>
      </c>
      <c r="B1495" s="1077" t="s">
        <v>4767</v>
      </c>
      <c r="C1495" s="1077">
        <v>750</v>
      </c>
      <c r="D1495" s="1077">
        <v>1.724</v>
      </c>
      <c r="E1495" s="1077" t="s">
        <v>15104</v>
      </c>
      <c r="F1495" s="1077" t="s">
        <v>648</v>
      </c>
      <c r="G1495" s="1077">
        <v>5</v>
      </c>
      <c r="H1495" s="1077" t="s">
        <v>941</v>
      </c>
      <c r="I1495" s="1077" t="s">
        <v>126</v>
      </c>
      <c r="J1495" s="1077">
        <v>1.8</v>
      </c>
      <c r="K1495" s="1077" t="s">
        <v>5226</v>
      </c>
      <c r="L1495" s="1077" t="s">
        <v>1776</v>
      </c>
      <c r="M1495" s="1077">
        <v>148</v>
      </c>
      <c r="N1495" s="1077" t="s">
        <v>945</v>
      </c>
      <c r="O1495" s="1077">
        <v>3.7</v>
      </c>
      <c r="P1495" s="1077">
        <v>2.96</v>
      </c>
      <c r="Q1495" s="1077" t="s">
        <v>946</v>
      </c>
      <c r="R1495" s="1077">
        <v>20.8</v>
      </c>
      <c r="T1495" s="1077">
        <v>20.399999999999999</v>
      </c>
      <c r="U1495" s="1077">
        <v>3.8</v>
      </c>
      <c r="V1495" s="1077" t="s">
        <v>648</v>
      </c>
      <c r="W1495" s="1077">
        <v>110</v>
      </c>
      <c r="X1495" s="1077">
        <v>60</v>
      </c>
      <c r="Y1495" s="1077">
        <v>1.7</v>
      </c>
      <c r="Z1495" s="1077" t="s">
        <v>648</v>
      </c>
      <c r="AA1495" s="1077" t="s">
        <v>1227</v>
      </c>
      <c r="AH1495" s="1077" t="s">
        <v>1023</v>
      </c>
      <c r="AM1495" s="1078" t="s">
        <v>12001</v>
      </c>
      <c r="AN1495" s="1078" t="s">
        <v>12002</v>
      </c>
      <c r="AO1495" s="1078">
        <f t="shared" si="190"/>
        <v>750</v>
      </c>
      <c r="AP1495" s="1078">
        <f t="shared" si="191"/>
        <v>1.724</v>
      </c>
      <c r="AQ1495" s="1078" t="str">
        <f t="shared" si="192"/>
        <v>1-4-1S85°Z+S</v>
      </c>
      <c r="AR1495" s="1078" t="str">
        <f t="shared" si="193"/>
        <v>NA</v>
      </c>
      <c r="AS1495" s="1078" t="str">
        <f t="shared" si="194"/>
        <v>185/OFF</v>
      </c>
      <c r="AT1495" s="1078" t="str">
        <f t="shared" si="195"/>
        <v>1-4-1S85°Z+S</v>
      </c>
      <c r="AU1495" s="1078" t="s">
        <v>15547</v>
      </c>
      <c r="AV1495" s="1078" t="str">
        <f t="shared" si="188"/>
        <v>108.11.11</v>
      </c>
      <c r="AW1495" s="1344">
        <f t="shared" si="189"/>
        <v>43780</v>
      </c>
    </row>
    <row r="1496" spans="1:49">
      <c r="A1496" s="1077" t="s">
        <v>5227</v>
      </c>
      <c r="B1496" s="1077" t="s">
        <v>4880</v>
      </c>
      <c r="C1496" s="1077">
        <v>650</v>
      </c>
      <c r="D1496" s="1077">
        <v>1.7589999999999999</v>
      </c>
      <c r="E1496" s="1077" t="s">
        <v>15102</v>
      </c>
      <c r="F1496" s="1077" t="s">
        <v>1469</v>
      </c>
      <c r="G1496" s="1077">
        <v>5</v>
      </c>
      <c r="H1496" s="1077" t="s">
        <v>1936</v>
      </c>
      <c r="I1496" s="1077" t="s">
        <v>460</v>
      </c>
      <c r="J1496" s="1077">
        <v>1.3</v>
      </c>
      <c r="K1496" s="1077" t="s">
        <v>5138</v>
      </c>
      <c r="L1496" s="1077" t="s">
        <v>4883</v>
      </c>
      <c r="M1496" s="1077">
        <v>157.19999999999999</v>
      </c>
      <c r="N1496" s="1077" t="s">
        <v>945</v>
      </c>
      <c r="O1496" s="1077">
        <v>3.9299999999999997</v>
      </c>
      <c r="P1496" s="1077">
        <v>3.1439999999999997</v>
      </c>
      <c r="Q1496" s="1077" t="s">
        <v>1264</v>
      </c>
      <c r="R1496" s="1077">
        <v>21.5</v>
      </c>
      <c r="T1496" s="1077">
        <v>22.4</v>
      </c>
      <c r="U1496" s="1077">
        <v>3.6</v>
      </c>
      <c r="V1496" s="1077" t="s">
        <v>648</v>
      </c>
      <c r="W1496" s="1077">
        <v>95</v>
      </c>
      <c r="X1496" s="1077">
        <v>35</v>
      </c>
      <c r="Y1496" s="1077">
        <v>1.9</v>
      </c>
      <c r="Z1496" s="1077" t="s">
        <v>4948</v>
      </c>
      <c r="AA1496" s="1077" t="s">
        <v>5228</v>
      </c>
      <c r="AH1496" s="1077" t="s">
        <v>681</v>
      </c>
      <c r="AM1496" s="1078" t="s">
        <v>12003</v>
      </c>
      <c r="AN1496" s="1078" t="s">
        <v>12004</v>
      </c>
      <c r="AO1496" s="1078">
        <f t="shared" si="190"/>
        <v>650</v>
      </c>
      <c r="AP1496" s="1078">
        <f t="shared" si="191"/>
        <v>1.7589999999999999</v>
      </c>
      <c r="AQ1496" s="1078" t="str">
        <f t="shared" si="192"/>
        <v>2-6-1S83°</v>
      </c>
      <c r="AR1496" s="1078" t="str">
        <f t="shared" si="193"/>
        <v>30.5</v>
      </c>
      <c r="AS1496" s="1078" t="str">
        <f t="shared" si="194"/>
        <v>175/OFF</v>
      </c>
      <c r="AT1496" s="1078" t="str">
        <f t="shared" si="195"/>
        <v>2-6-1S83°</v>
      </c>
      <c r="AV1496" s="1078" t="str">
        <f t="shared" si="188"/>
        <v>109.2.20</v>
      </c>
      <c r="AW1496" s="1344">
        <f t="shared" si="189"/>
        <v>43881</v>
      </c>
    </row>
    <row r="1497" spans="1:49">
      <c r="A1497" s="1077" t="s">
        <v>5229</v>
      </c>
      <c r="B1497" s="1077" t="s">
        <v>4880</v>
      </c>
      <c r="C1497" s="1077">
        <v>650</v>
      </c>
      <c r="D1497" s="1077">
        <v>1.79</v>
      </c>
      <c r="E1497" s="1077" t="s">
        <v>15094</v>
      </c>
      <c r="F1497" s="1077" t="s">
        <v>984</v>
      </c>
      <c r="G1497" s="1077">
        <v>5</v>
      </c>
      <c r="H1497" s="1077" t="s">
        <v>5230</v>
      </c>
      <c r="I1497" s="1077" t="s">
        <v>460</v>
      </c>
      <c r="J1497" s="1077">
        <v>3.4</v>
      </c>
      <c r="K1497" s="1077" t="s">
        <v>5231</v>
      </c>
      <c r="L1497" s="1077" t="s">
        <v>4883</v>
      </c>
      <c r="M1497" s="1077">
        <v>158.4</v>
      </c>
      <c r="N1497" s="1077" t="s">
        <v>945</v>
      </c>
      <c r="O1497" s="1077">
        <v>3.9600000000000004</v>
      </c>
      <c r="P1497" s="1077">
        <v>3.1680000000000001</v>
      </c>
      <c r="Q1497" s="1077" t="s">
        <v>2553</v>
      </c>
      <c r="R1497" s="1077">
        <v>20.5</v>
      </c>
      <c r="T1497" s="1077">
        <v>13</v>
      </c>
      <c r="U1497" s="1077">
        <v>3.2</v>
      </c>
      <c r="V1497" s="1077" t="s">
        <v>648</v>
      </c>
      <c r="W1497" s="1077">
        <v>120</v>
      </c>
      <c r="X1497" s="1077">
        <v>90</v>
      </c>
      <c r="Y1497" s="1077">
        <v>1.5</v>
      </c>
      <c r="Z1497" s="1077" t="s">
        <v>5139</v>
      </c>
      <c r="AA1497" s="1077" t="s">
        <v>2969</v>
      </c>
      <c r="AH1497" s="1077" t="s">
        <v>958</v>
      </c>
      <c r="AM1497" s="1078" t="s">
        <v>12005</v>
      </c>
      <c r="AN1497" s="1078" t="s">
        <v>12006</v>
      </c>
      <c r="AO1497" s="1078">
        <f t="shared" si="190"/>
        <v>650</v>
      </c>
      <c r="AP1497" s="1078">
        <f t="shared" si="191"/>
        <v>1.79</v>
      </c>
      <c r="AQ1497" s="1078" t="str">
        <f t="shared" si="192"/>
        <v>1-5-1S91°</v>
      </c>
      <c r="AR1497" s="1078" t="str">
        <f t="shared" si="193"/>
        <v>30</v>
      </c>
      <c r="AS1497" s="1078" t="str">
        <f t="shared" si="194"/>
        <v>320/320/150</v>
      </c>
      <c r="AT1497" s="1078" t="str">
        <f t="shared" si="195"/>
        <v>1-5-1S91°</v>
      </c>
      <c r="AV1497" s="1078" t="str">
        <f t="shared" si="188"/>
        <v>109.5.11</v>
      </c>
      <c r="AW1497" s="1344">
        <f t="shared" si="189"/>
        <v>43962</v>
      </c>
    </row>
    <row r="1498" spans="1:49">
      <c r="A1498" s="1077" t="s">
        <v>5232</v>
      </c>
      <c r="B1498" s="1077" t="s">
        <v>5233</v>
      </c>
      <c r="C1498" s="1077">
        <v>500</v>
      </c>
      <c r="D1498" s="1077">
        <v>1.71</v>
      </c>
      <c r="E1498" s="1077" t="s">
        <v>15116</v>
      </c>
      <c r="F1498" s="1077" t="s">
        <v>954</v>
      </c>
      <c r="G1498" s="1077">
        <v>3</v>
      </c>
      <c r="H1498" s="1077" t="s">
        <v>1145</v>
      </c>
      <c r="I1498" s="1077" t="s">
        <v>4071</v>
      </c>
      <c r="J1498" s="1077">
        <v>2</v>
      </c>
      <c r="K1498" s="1077" t="s">
        <v>5234</v>
      </c>
      <c r="L1498" s="1077" t="s">
        <v>5235</v>
      </c>
      <c r="M1498" s="1077">
        <v>155.80000000000001</v>
      </c>
      <c r="N1498" s="1077" t="s">
        <v>945</v>
      </c>
      <c r="O1498" s="1077">
        <v>3.8950000000000005</v>
      </c>
      <c r="P1498" s="1077">
        <v>3.1160000000000001</v>
      </c>
      <c r="Q1498" s="1077" t="s">
        <v>1012</v>
      </c>
      <c r="R1498" s="1077">
        <v>22.5</v>
      </c>
      <c r="T1498" s="1077">
        <v>18</v>
      </c>
      <c r="U1498" s="1077">
        <v>4.7</v>
      </c>
      <c r="V1498" s="1077" t="s">
        <v>648</v>
      </c>
      <c r="W1498" s="1077">
        <v>95</v>
      </c>
      <c r="X1498" s="1077">
        <v>90</v>
      </c>
      <c r="Y1498" s="1077">
        <v>2</v>
      </c>
      <c r="Z1498" s="1077" t="s">
        <v>648</v>
      </c>
      <c r="AA1498" s="1077" t="s">
        <v>1193</v>
      </c>
      <c r="AH1498" s="1077" t="s">
        <v>680</v>
      </c>
      <c r="AM1498" s="1078" t="s">
        <v>12007</v>
      </c>
      <c r="AN1498" s="1078" t="s">
        <v>12008</v>
      </c>
      <c r="AO1498" s="1078">
        <f t="shared" si="190"/>
        <v>500</v>
      </c>
      <c r="AP1498" s="1078">
        <f t="shared" si="191"/>
        <v>1.71</v>
      </c>
      <c r="AQ1498" s="1078" t="str">
        <f t="shared" si="192"/>
        <v>1-5-1S83°Z+S</v>
      </c>
      <c r="AR1498" s="1078" t="str">
        <f t="shared" si="193"/>
        <v>31</v>
      </c>
      <c r="AS1498" s="1078" t="str">
        <f t="shared" si="194"/>
        <v>235/235/OFF</v>
      </c>
      <c r="AT1498" s="1078" t="str">
        <f t="shared" si="195"/>
        <v>1-5-1S83°Z+S</v>
      </c>
      <c r="AU1498" s="1078" t="s">
        <v>15547</v>
      </c>
      <c r="AV1498" s="1078" t="str">
        <f t="shared" si="188"/>
        <v>109.11.2</v>
      </c>
      <c r="AW1498" s="1344">
        <f t="shared" si="189"/>
        <v>44137</v>
      </c>
    </row>
    <row r="1499" spans="1:49">
      <c r="A1499" s="1077" t="s">
        <v>5236</v>
      </c>
      <c r="B1499" s="1077" t="s">
        <v>210</v>
      </c>
      <c r="C1499" s="1077">
        <v>650</v>
      </c>
      <c r="D1499" s="1077">
        <v>1.71</v>
      </c>
      <c r="E1499" s="1077" t="s">
        <v>15094</v>
      </c>
      <c r="F1499" s="1077" t="s">
        <v>984</v>
      </c>
      <c r="G1499" s="1077">
        <v>5</v>
      </c>
      <c r="H1499" s="1077" t="s">
        <v>4806</v>
      </c>
      <c r="I1499" s="1077" t="s">
        <v>643</v>
      </c>
      <c r="J1499" s="1077">
        <v>2.8</v>
      </c>
      <c r="K1499" s="1077" t="s">
        <v>5237</v>
      </c>
      <c r="L1499" s="1077" t="s">
        <v>4666</v>
      </c>
      <c r="M1499" s="1077">
        <v>157.4</v>
      </c>
      <c r="N1499" s="1077" t="s">
        <v>945</v>
      </c>
      <c r="O1499" s="1077">
        <v>3.9350000000000005</v>
      </c>
      <c r="P1499" s="1077">
        <v>3.1480000000000001</v>
      </c>
      <c r="Q1499" s="1077" t="s">
        <v>2553</v>
      </c>
      <c r="R1499" s="1077">
        <v>18.2</v>
      </c>
      <c r="T1499" s="1077">
        <v>19.5</v>
      </c>
      <c r="U1499" s="1077">
        <v>2.9</v>
      </c>
      <c r="V1499" s="1077" t="s">
        <v>648</v>
      </c>
      <c r="W1499" s="1077">
        <v>100</v>
      </c>
      <c r="X1499" s="1077">
        <v>90</v>
      </c>
      <c r="Y1499" s="1077">
        <v>1.8</v>
      </c>
      <c r="Z1499" s="1077" t="s">
        <v>2665</v>
      </c>
      <c r="AA1499" s="1077" t="s">
        <v>1303</v>
      </c>
      <c r="AH1499" s="1077" t="s">
        <v>963</v>
      </c>
      <c r="AM1499" s="1078" t="s">
        <v>12009</v>
      </c>
      <c r="AN1499" s="1078" t="s">
        <v>12010</v>
      </c>
      <c r="AO1499" s="1078">
        <f t="shared" si="190"/>
        <v>650</v>
      </c>
      <c r="AP1499" s="1078">
        <f t="shared" si="191"/>
        <v>1.71</v>
      </c>
      <c r="AQ1499" s="1078" t="str">
        <f t="shared" si="192"/>
        <v>1-5-1S91°</v>
      </c>
      <c r="AR1499" s="1078" t="str">
        <f t="shared" si="193"/>
        <v>30</v>
      </c>
      <c r="AS1499" s="1078" t="str">
        <f t="shared" si="194"/>
        <v>390/360/175</v>
      </c>
      <c r="AT1499" s="1078" t="str">
        <f t="shared" si="195"/>
        <v>1-5-1S91°</v>
      </c>
      <c r="AV1499" s="1078" t="str">
        <f t="shared" si="188"/>
        <v>110.1.18</v>
      </c>
      <c r="AW1499" s="1344">
        <f t="shared" si="189"/>
        <v>44214</v>
      </c>
    </row>
    <row r="1500" spans="1:49">
      <c r="A1500" s="1077" t="s">
        <v>5238</v>
      </c>
      <c r="B1500" s="1077" t="s">
        <v>5239</v>
      </c>
      <c r="C1500" s="1077">
        <v>750</v>
      </c>
      <c r="D1500" s="1077">
        <v>1.76</v>
      </c>
      <c r="E1500" s="1077" t="s">
        <v>15094</v>
      </c>
      <c r="F1500" s="1077" t="s">
        <v>954</v>
      </c>
      <c r="G1500" s="1077">
        <v>5</v>
      </c>
      <c r="H1500" s="1077" t="s">
        <v>5240</v>
      </c>
      <c r="I1500" s="1077" t="s">
        <v>460</v>
      </c>
      <c r="J1500" s="1077">
        <v>3.4</v>
      </c>
      <c r="K1500" s="1077" t="s">
        <v>5241</v>
      </c>
      <c r="L1500" s="1077" t="s">
        <v>5242</v>
      </c>
      <c r="M1500" s="1077">
        <v>155</v>
      </c>
      <c r="N1500" s="1077" t="s">
        <v>945</v>
      </c>
      <c r="O1500" s="1077">
        <v>3.875</v>
      </c>
      <c r="P1500" s="1077">
        <v>3.1</v>
      </c>
      <c r="Q1500" s="1077">
        <v>3.5</v>
      </c>
      <c r="R1500" s="1077">
        <v>18</v>
      </c>
      <c r="T1500" s="1077">
        <v>18</v>
      </c>
      <c r="U1500" s="1077">
        <v>4.2</v>
      </c>
      <c r="V1500" s="1077" t="s">
        <v>648</v>
      </c>
      <c r="W1500" s="1077">
        <v>100</v>
      </c>
      <c r="X1500" s="1077">
        <v>90</v>
      </c>
      <c r="Y1500" s="1077">
        <v>1</v>
      </c>
      <c r="Z1500" s="1077">
        <v>6</v>
      </c>
      <c r="AA1500" s="1077" t="s">
        <v>3129</v>
      </c>
      <c r="AH1500" s="1077" t="s">
        <v>2055</v>
      </c>
      <c r="AM1500" s="1078" t="s">
        <v>12011</v>
      </c>
      <c r="AN1500" s="1078" t="s">
        <v>12012</v>
      </c>
      <c r="AO1500" s="1078">
        <f t="shared" si="190"/>
        <v>750</v>
      </c>
      <c r="AP1500" s="1078">
        <f t="shared" si="191"/>
        <v>1.76</v>
      </c>
      <c r="AQ1500" s="1078" t="str">
        <f t="shared" si="192"/>
        <v>1-5-1S91°</v>
      </c>
      <c r="AR1500" s="1078" t="str">
        <f t="shared" si="193"/>
        <v>31</v>
      </c>
      <c r="AS1500" s="1078" t="str">
        <f t="shared" si="194"/>
        <v>360/320/152</v>
      </c>
      <c r="AT1500" s="1078" t="str">
        <f t="shared" si="195"/>
        <v>1-5-1S91°</v>
      </c>
      <c r="AV1500" s="1078" t="str">
        <f t="shared" si="188"/>
        <v>110.3.5</v>
      </c>
      <c r="AW1500" s="1344">
        <f t="shared" si="189"/>
        <v>44260</v>
      </c>
    </row>
    <row r="1501" spans="1:49">
      <c r="A1501" s="1077" t="s">
        <v>5243</v>
      </c>
      <c r="B1501" s="1077" t="s">
        <v>617</v>
      </c>
      <c r="C1501" s="1077">
        <v>650</v>
      </c>
      <c r="D1501" s="1077">
        <v>1.7250000000000001</v>
      </c>
      <c r="E1501" s="1077" t="s">
        <v>15094</v>
      </c>
      <c r="F1501" s="1077" t="s">
        <v>984</v>
      </c>
      <c r="G1501" s="1077">
        <v>5</v>
      </c>
      <c r="H1501" s="1077" t="s">
        <v>1793</v>
      </c>
      <c r="I1501" s="1077" t="s">
        <v>126</v>
      </c>
      <c r="J1501" s="1077">
        <v>2.2000000000000002</v>
      </c>
      <c r="K1501" s="1077" t="s">
        <v>5244</v>
      </c>
      <c r="L1501" s="1077" t="s">
        <v>4854</v>
      </c>
      <c r="M1501" s="1077">
        <v>150.30000000000001</v>
      </c>
      <c r="N1501" s="1077" t="s">
        <v>945</v>
      </c>
      <c r="O1501" s="1077">
        <v>3.7575000000000003</v>
      </c>
      <c r="P1501" s="1077">
        <v>3.0060000000000002</v>
      </c>
      <c r="Q1501" s="1077">
        <v>3</v>
      </c>
      <c r="R1501" s="1077">
        <v>29</v>
      </c>
      <c r="T1501" s="1077">
        <v>13</v>
      </c>
      <c r="U1501" s="1077">
        <v>7</v>
      </c>
      <c r="V1501" s="1077" t="s">
        <v>648</v>
      </c>
      <c r="W1501" s="1077">
        <v>115</v>
      </c>
      <c r="X1501" s="1077">
        <v>50</v>
      </c>
      <c r="Y1501" s="1077">
        <v>1.7</v>
      </c>
      <c r="Z1501" s="1077">
        <v>6.5</v>
      </c>
      <c r="AA1501" s="1077" t="s">
        <v>5160</v>
      </c>
      <c r="AH1501" s="1077" t="s">
        <v>1588</v>
      </c>
      <c r="AM1501" s="1078" t="s">
        <v>12013</v>
      </c>
      <c r="AN1501" s="1078" t="s">
        <v>12014</v>
      </c>
      <c r="AO1501" s="1078">
        <f t="shared" si="190"/>
        <v>650</v>
      </c>
      <c r="AP1501" s="1078">
        <f t="shared" si="191"/>
        <v>1.7250000000000001</v>
      </c>
      <c r="AQ1501" s="1078" t="str">
        <f t="shared" si="192"/>
        <v>1-5-1S91°</v>
      </c>
      <c r="AR1501" s="1078" t="str">
        <f t="shared" si="193"/>
        <v>30</v>
      </c>
      <c r="AS1501" s="1078" t="str">
        <f t="shared" si="194"/>
        <v>270/270/OFF</v>
      </c>
      <c r="AT1501" s="1078" t="str">
        <f t="shared" si="195"/>
        <v>1-5-1S91°</v>
      </c>
      <c r="AV1501" s="1078" t="str">
        <f t="shared" si="188"/>
        <v>110.5.21</v>
      </c>
      <c r="AW1501" s="1344">
        <f t="shared" si="189"/>
        <v>44337</v>
      </c>
    </row>
    <row r="1502" spans="1:49">
      <c r="A1502" s="1077" t="s">
        <v>5245</v>
      </c>
      <c r="B1502" s="1077" t="s">
        <v>847</v>
      </c>
      <c r="C1502" s="1077">
        <v>550</v>
      </c>
      <c r="D1502" s="1077">
        <v>1.79</v>
      </c>
      <c r="E1502" s="1077" t="s">
        <v>15111</v>
      </c>
      <c r="F1502" s="1077" t="s">
        <v>975</v>
      </c>
      <c r="G1502" s="1077">
        <v>4</v>
      </c>
      <c r="H1502" s="1077" t="s">
        <v>5230</v>
      </c>
      <c r="I1502" s="1077" t="s">
        <v>648</v>
      </c>
      <c r="J1502" s="1077">
        <v>0</v>
      </c>
      <c r="K1502" s="1077" t="s">
        <v>5246</v>
      </c>
      <c r="L1502" s="1077" t="s">
        <v>5037</v>
      </c>
      <c r="M1502" s="1077">
        <v>150</v>
      </c>
      <c r="N1502" s="1077" t="s">
        <v>945</v>
      </c>
      <c r="O1502" s="1077">
        <v>3.75</v>
      </c>
      <c r="P1502" s="1077">
        <v>3</v>
      </c>
      <c r="Q1502" s="1077">
        <v>3.5</v>
      </c>
      <c r="R1502" s="1077">
        <v>21.8</v>
      </c>
      <c r="T1502" s="1077">
        <v>19.5</v>
      </c>
      <c r="U1502" s="1077">
        <v>1.8</v>
      </c>
      <c r="V1502" s="1077" t="s">
        <v>648</v>
      </c>
      <c r="W1502" s="1077" t="s">
        <v>648</v>
      </c>
      <c r="X1502" s="1077" t="s">
        <v>648</v>
      </c>
      <c r="Y1502" s="1077">
        <v>2.1</v>
      </c>
      <c r="Z1502" s="1077">
        <v>5</v>
      </c>
      <c r="AA1502" s="1077" t="s">
        <v>3809</v>
      </c>
      <c r="AH1502" s="1077" t="s">
        <v>878</v>
      </c>
      <c r="AM1502" s="1078" t="s">
        <v>12015</v>
      </c>
      <c r="AN1502" s="1078" t="s">
        <v>12016</v>
      </c>
      <c r="AO1502" s="1078">
        <f t="shared" si="190"/>
        <v>550</v>
      </c>
      <c r="AP1502" s="1078">
        <f t="shared" si="191"/>
        <v>1.79</v>
      </c>
      <c r="AQ1502" s="1078" t="str">
        <f t="shared" si="192"/>
        <v>1-5-1S91</v>
      </c>
      <c r="AR1502" s="1078" t="str">
        <f t="shared" si="193"/>
        <v>31.5</v>
      </c>
      <c r="AS1502" s="1078" t="str">
        <f t="shared" si="194"/>
        <v>320/320/150</v>
      </c>
      <c r="AT1502" s="1078" t="str">
        <f t="shared" si="195"/>
        <v>1-5-1S91</v>
      </c>
      <c r="AV1502" s="1078" t="str">
        <f t="shared" si="188"/>
        <v>110.9.22</v>
      </c>
      <c r="AW1502" s="1344">
        <f t="shared" si="189"/>
        <v>44461</v>
      </c>
    </row>
    <row r="1503" spans="1:49">
      <c r="A1503" s="1077" t="s">
        <v>5247</v>
      </c>
      <c r="B1503" s="1077" t="s">
        <v>5148</v>
      </c>
      <c r="C1503" s="1077">
        <v>650</v>
      </c>
      <c r="D1503" s="1077">
        <v>1.7549999999999999</v>
      </c>
      <c r="E1503" s="1077" t="s">
        <v>15094</v>
      </c>
      <c r="F1503" s="1077" t="s">
        <v>984</v>
      </c>
      <c r="G1503" s="1077">
        <v>5</v>
      </c>
      <c r="H1503" s="1077" t="s">
        <v>5248</v>
      </c>
      <c r="I1503" s="1077" t="s">
        <v>126</v>
      </c>
      <c r="J1503" s="1077">
        <v>0.6</v>
      </c>
      <c r="K1503" s="1077" t="s">
        <v>5151</v>
      </c>
      <c r="L1503" s="1077" t="s">
        <v>5152</v>
      </c>
      <c r="M1503" s="1077">
        <v>149.9</v>
      </c>
      <c r="N1503" s="1077" t="s">
        <v>945</v>
      </c>
      <c r="O1503" s="1077">
        <v>3.7475000000000005</v>
      </c>
      <c r="P1503" s="1077">
        <v>2.9980000000000002</v>
      </c>
      <c r="Q1503" s="1077">
        <v>4</v>
      </c>
      <c r="R1503" s="1077">
        <v>22</v>
      </c>
      <c r="T1503" s="1077">
        <v>20</v>
      </c>
      <c r="U1503" s="1077">
        <v>2.6</v>
      </c>
      <c r="V1503" s="1077" t="s">
        <v>648</v>
      </c>
      <c r="W1503" s="1077">
        <v>35</v>
      </c>
      <c r="X1503" s="1077">
        <v>10</v>
      </c>
      <c r="Y1503" s="1077">
        <v>1</v>
      </c>
      <c r="Z1503" s="1077">
        <v>6</v>
      </c>
      <c r="AA1503" s="1077" t="s">
        <v>5168</v>
      </c>
      <c r="AH1503" s="1077" t="s">
        <v>482</v>
      </c>
      <c r="AM1503" s="1078" t="s">
        <v>12017</v>
      </c>
      <c r="AN1503" s="1078" t="s">
        <v>12018</v>
      </c>
      <c r="AO1503" s="1078">
        <f t="shared" si="190"/>
        <v>650</v>
      </c>
      <c r="AP1503" s="1078">
        <f t="shared" si="191"/>
        <v>1.7549999999999999</v>
      </c>
      <c r="AQ1503" s="1078" t="str">
        <f t="shared" si="192"/>
        <v>1-5-1S91°</v>
      </c>
      <c r="AR1503" s="1078" t="str">
        <f t="shared" si="193"/>
        <v>30</v>
      </c>
      <c r="AS1503" s="1078" t="str">
        <f t="shared" si="194"/>
        <v>340/300/155</v>
      </c>
      <c r="AT1503" s="1078" t="str">
        <f t="shared" si="195"/>
        <v>1-5-1S91°</v>
      </c>
      <c r="AV1503" s="1078" t="str">
        <f t="shared" si="188"/>
        <v>110.11.4</v>
      </c>
      <c r="AW1503" s="1344">
        <f t="shared" si="189"/>
        <v>44504</v>
      </c>
    </row>
    <row r="1504" spans="1:49">
      <c r="A1504" s="1077" t="s">
        <v>5249</v>
      </c>
      <c r="B1504" s="1077" t="s">
        <v>5250</v>
      </c>
      <c r="C1504" s="1077">
        <v>600</v>
      </c>
      <c r="D1504" s="1077">
        <v>1.74</v>
      </c>
      <c r="E1504" s="1077" t="s">
        <v>15102</v>
      </c>
      <c r="F1504" s="1077" t="s">
        <v>1514</v>
      </c>
      <c r="G1504" s="1077">
        <v>5</v>
      </c>
      <c r="H1504" s="1077" t="s">
        <v>5251</v>
      </c>
      <c r="I1504" s="1077" t="s">
        <v>1112</v>
      </c>
      <c r="J1504" s="1077">
        <v>2.6</v>
      </c>
      <c r="K1504" s="1077" t="s">
        <v>5252</v>
      </c>
      <c r="L1504" s="1077" t="s">
        <v>5253</v>
      </c>
      <c r="M1504" s="1077">
        <v>151.69999999999999</v>
      </c>
      <c r="N1504" s="1077" t="s">
        <v>945</v>
      </c>
      <c r="O1504" s="1077">
        <v>3.7925</v>
      </c>
      <c r="P1504" s="1077">
        <v>3.0339999999999998</v>
      </c>
      <c r="Q1504" s="1077" t="s">
        <v>961</v>
      </c>
      <c r="R1504" s="1077">
        <v>21.2</v>
      </c>
      <c r="T1504" s="1077">
        <v>15.4</v>
      </c>
      <c r="U1504" s="1077">
        <v>3</v>
      </c>
      <c r="V1504" s="1077" t="s">
        <v>648</v>
      </c>
      <c r="W1504" s="1077">
        <v>130</v>
      </c>
      <c r="X1504" s="1077">
        <v>70</v>
      </c>
      <c r="Y1504" s="1077">
        <v>1.4</v>
      </c>
      <c r="Z1504" s="1077" t="s">
        <v>5217</v>
      </c>
      <c r="AA1504" s="1077" t="s">
        <v>2840</v>
      </c>
      <c r="AH1504" s="1077" t="s">
        <v>1267</v>
      </c>
      <c r="AM1504" s="1078" t="s">
        <v>12019</v>
      </c>
      <c r="AN1504" s="1078" t="s">
        <v>12020</v>
      </c>
      <c r="AO1504" s="1078">
        <f t="shared" si="190"/>
        <v>600</v>
      </c>
      <c r="AP1504" s="1078">
        <f t="shared" si="191"/>
        <v>1.74</v>
      </c>
      <c r="AQ1504" s="1078" t="str">
        <f t="shared" si="192"/>
        <v>2-6-1S83°</v>
      </c>
      <c r="AR1504" s="1078" t="str">
        <f t="shared" si="193"/>
        <v>32</v>
      </c>
      <c r="AS1504" s="1078" t="str">
        <f t="shared" si="194"/>
        <v>188/169</v>
      </c>
      <c r="AT1504" s="1078" t="str">
        <f t="shared" si="195"/>
        <v>2-6-1S83°</v>
      </c>
      <c r="AV1504" s="1078" t="str">
        <f t="shared" si="188"/>
        <v>108.12.5</v>
      </c>
      <c r="AW1504" s="1344">
        <f t="shared" si="189"/>
        <v>43804</v>
      </c>
    </row>
    <row r="1505" spans="1:49">
      <c r="A1505" s="1077" t="s">
        <v>5254</v>
      </c>
      <c r="B1505" s="1077" t="s">
        <v>5250</v>
      </c>
      <c r="C1505" s="1077">
        <v>600</v>
      </c>
      <c r="D1505" s="1077">
        <v>1.74</v>
      </c>
      <c r="E1505" s="1077" t="s">
        <v>15102</v>
      </c>
      <c r="F1505" s="1077" t="s">
        <v>1514</v>
      </c>
      <c r="G1505" s="1077">
        <v>5</v>
      </c>
      <c r="H1505" s="1077" t="s">
        <v>5251</v>
      </c>
      <c r="I1505" s="1077" t="s">
        <v>1112</v>
      </c>
      <c r="J1505" s="1077">
        <v>2.6</v>
      </c>
      <c r="K1505" s="1077" t="s">
        <v>5255</v>
      </c>
      <c r="L1505" s="1077" t="s">
        <v>5253</v>
      </c>
      <c r="M1505" s="1077">
        <v>151.69999999999999</v>
      </c>
      <c r="N1505" s="1077" t="s">
        <v>945</v>
      </c>
      <c r="O1505" s="1077">
        <v>3.7925</v>
      </c>
      <c r="P1505" s="1077">
        <v>3.0339999999999998</v>
      </c>
      <c r="Q1505" s="1077" t="s">
        <v>961</v>
      </c>
      <c r="R1505" s="1077">
        <v>21.2</v>
      </c>
      <c r="T1505" s="1077">
        <v>15.4</v>
      </c>
      <c r="U1505" s="1077">
        <v>3</v>
      </c>
      <c r="V1505" s="1077" t="s">
        <v>648</v>
      </c>
      <c r="W1505" s="1077">
        <v>130</v>
      </c>
      <c r="X1505" s="1077">
        <v>70</v>
      </c>
      <c r="Y1505" s="1077">
        <v>1.4</v>
      </c>
      <c r="Z1505" s="1077" t="s">
        <v>5217</v>
      </c>
      <c r="AA1505" s="1077" t="s">
        <v>2893</v>
      </c>
      <c r="AH1505" s="1077" t="s">
        <v>803</v>
      </c>
      <c r="AM1505" s="1078" t="s">
        <v>12021</v>
      </c>
      <c r="AN1505" s="1078" t="s">
        <v>12022</v>
      </c>
      <c r="AO1505" s="1078">
        <f t="shared" si="190"/>
        <v>600</v>
      </c>
      <c r="AP1505" s="1078">
        <f t="shared" si="191"/>
        <v>1.74</v>
      </c>
      <c r="AQ1505" s="1078" t="str">
        <f t="shared" si="192"/>
        <v>2-6-1S83°</v>
      </c>
      <c r="AR1505" s="1078" t="str">
        <f t="shared" si="193"/>
        <v>32</v>
      </c>
      <c r="AS1505" s="1078" t="str">
        <f t="shared" si="194"/>
        <v>188/169</v>
      </c>
      <c r="AT1505" s="1078" t="str">
        <f t="shared" si="195"/>
        <v>2-6-1S83°</v>
      </c>
      <c r="AV1505" s="1078" t="str">
        <f t="shared" si="188"/>
        <v>109.1.16</v>
      </c>
      <c r="AW1505" s="1344">
        <f t="shared" si="189"/>
        <v>43846</v>
      </c>
    </row>
    <row r="1506" spans="1:49">
      <c r="A1506" s="1077" t="s">
        <v>5256</v>
      </c>
      <c r="B1506" s="1077" t="s">
        <v>5250</v>
      </c>
      <c r="C1506" s="1077">
        <v>600</v>
      </c>
      <c r="D1506" s="1077">
        <v>1.74</v>
      </c>
      <c r="E1506" s="1077" t="s">
        <v>15102</v>
      </c>
      <c r="F1506" s="1077" t="s">
        <v>954</v>
      </c>
      <c r="G1506" s="1077">
        <v>5</v>
      </c>
      <c r="H1506" s="1077" t="s">
        <v>5251</v>
      </c>
      <c r="I1506" s="1077" t="s">
        <v>1112</v>
      </c>
      <c r="J1506" s="1077">
        <v>2.6</v>
      </c>
      <c r="K1506" s="1077" t="s">
        <v>5257</v>
      </c>
      <c r="L1506" s="1077" t="s">
        <v>5253</v>
      </c>
      <c r="M1506" s="1077">
        <v>151.69999999999999</v>
      </c>
      <c r="N1506" s="1077" t="s">
        <v>945</v>
      </c>
      <c r="O1506" s="1077">
        <v>3.7925</v>
      </c>
      <c r="P1506" s="1077">
        <v>3.0339999999999998</v>
      </c>
      <c r="Q1506" s="1077" t="s">
        <v>1277</v>
      </c>
      <c r="R1506" s="1077">
        <v>21.2</v>
      </c>
      <c r="T1506" s="1077">
        <v>15.4</v>
      </c>
      <c r="U1506" s="1077">
        <v>3</v>
      </c>
      <c r="V1506" s="1077" t="s">
        <v>648</v>
      </c>
      <c r="W1506" s="1077">
        <v>130</v>
      </c>
      <c r="X1506" s="1077">
        <v>70</v>
      </c>
      <c r="Y1506" s="1077">
        <v>1.4</v>
      </c>
      <c r="Z1506" s="1077" t="s">
        <v>5258</v>
      </c>
      <c r="AA1506" s="1077" t="s">
        <v>5182</v>
      </c>
      <c r="AH1506" s="1077" t="s">
        <v>647</v>
      </c>
      <c r="AM1506" s="1078" t="s">
        <v>12023</v>
      </c>
      <c r="AN1506" s="1078" t="s">
        <v>12024</v>
      </c>
      <c r="AO1506" s="1078">
        <f t="shared" si="190"/>
        <v>600</v>
      </c>
      <c r="AP1506" s="1078">
        <f t="shared" si="191"/>
        <v>1.74</v>
      </c>
      <c r="AQ1506" s="1078" t="str">
        <f t="shared" si="192"/>
        <v>2-6-1S83°</v>
      </c>
      <c r="AR1506" s="1078" t="str">
        <f t="shared" si="193"/>
        <v>31</v>
      </c>
      <c r="AS1506" s="1078" t="str">
        <f t="shared" si="194"/>
        <v>188/169</v>
      </c>
      <c r="AT1506" s="1078" t="str">
        <f t="shared" si="195"/>
        <v>2-6-1S83°</v>
      </c>
      <c r="AV1506" s="1078" t="str">
        <f t="shared" si="188"/>
        <v>109.2.6</v>
      </c>
      <c r="AW1506" s="1344">
        <f t="shared" si="189"/>
        <v>43867</v>
      </c>
    </row>
    <row r="1507" spans="1:49">
      <c r="A1507" s="1077" t="s">
        <v>5259</v>
      </c>
      <c r="B1507" s="1077" t="s">
        <v>5250</v>
      </c>
      <c r="C1507" s="1077">
        <v>600</v>
      </c>
      <c r="D1507" s="1077">
        <v>1.74</v>
      </c>
      <c r="E1507" s="1077" t="s">
        <v>15102</v>
      </c>
      <c r="F1507" s="1077" t="s">
        <v>1469</v>
      </c>
      <c r="G1507" s="1077">
        <v>5</v>
      </c>
      <c r="H1507" s="1077" t="s">
        <v>5251</v>
      </c>
      <c r="I1507" s="1077" t="s">
        <v>1112</v>
      </c>
      <c r="J1507" s="1077">
        <v>2.6</v>
      </c>
      <c r="K1507" s="1077" t="s">
        <v>5260</v>
      </c>
      <c r="L1507" s="1077" t="s">
        <v>5253</v>
      </c>
      <c r="M1507" s="1077">
        <v>151.69999999999999</v>
      </c>
      <c r="N1507" s="1077" t="s">
        <v>945</v>
      </c>
      <c r="O1507" s="1077">
        <v>3.7925</v>
      </c>
      <c r="P1507" s="1077">
        <v>3.0339999999999998</v>
      </c>
      <c r="Q1507" s="1077" t="s">
        <v>988</v>
      </c>
      <c r="R1507" s="1077">
        <v>21.2</v>
      </c>
      <c r="T1507" s="1077">
        <v>15.4</v>
      </c>
      <c r="U1507" s="1077">
        <v>3</v>
      </c>
      <c r="V1507" s="1077" t="s">
        <v>648</v>
      </c>
      <c r="W1507" s="1077">
        <v>130</v>
      </c>
      <c r="X1507" s="1077">
        <v>70</v>
      </c>
      <c r="Y1507" s="1077">
        <v>1.4</v>
      </c>
      <c r="Z1507" s="1077" t="s">
        <v>5261</v>
      </c>
      <c r="AA1507" s="1077" t="s">
        <v>1287</v>
      </c>
      <c r="AH1507" s="1077" t="s">
        <v>5262</v>
      </c>
      <c r="AM1507" s="1078" t="s">
        <v>12025</v>
      </c>
      <c r="AN1507" s="1078" t="s">
        <v>12026</v>
      </c>
      <c r="AO1507" s="1078">
        <f t="shared" si="190"/>
        <v>600</v>
      </c>
      <c r="AP1507" s="1078">
        <f t="shared" si="191"/>
        <v>1.74</v>
      </c>
      <c r="AQ1507" s="1078" t="str">
        <f t="shared" si="192"/>
        <v>2-6-1S83°</v>
      </c>
      <c r="AR1507" s="1078" t="str">
        <f t="shared" si="193"/>
        <v>30.5</v>
      </c>
      <c r="AS1507" s="1078" t="str">
        <f t="shared" si="194"/>
        <v>188/169</v>
      </c>
      <c r="AT1507" s="1078" t="str">
        <f t="shared" si="195"/>
        <v>2-6-1S83°</v>
      </c>
      <c r="AV1507" s="1078" t="str">
        <f t="shared" si="188"/>
        <v>109.4.6</v>
      </c>
      <c r="AW1507" s="1344">
        <f t="shared" si="189"/>
        <v>43927</v>
      </c>
    </row>
    <row r="1508" spans="1:49">
      <c r="A1508" s="1077" t="s">
        <v>5263</v>
      </c>
      <c r="B1508" s="1077" t="s">
        <v>5250</v>
      </c>
      <c r="C1508" s="1077">
        <v>600</v>
      </c>
      <c r="D1508" s="1077">
        <v>1.74</v>
      </c>
      <c r="E1508" s="1077" t="s">
        <v>15102</v>
      </c>
      <c r="F1508" s="1077" t="s">
        <v>984</v>
      </c>
      <c r="G1508" s="1077">
        <v>5</v>
      </c>
      <c r="H1508" s="1077" t="s">
        <v>5264</v>
      </c>
      <c r="I1508" s="1077" t="s">
        <v>1167</v>
      </c>
      <c r="J1508" s="1077">
        <v>2.6</v>
      </c>
      <c r="K1508" s="1077" t="s">
        <v>5265</v>
      </c>
      <c r="L1508" s="1077" t="s">
        <v>5253</v>
      </c>
      <c r="M1508" s="1077">
        <v>151.69999999999999</v>
      </c>
      <c r="N1508" s="1077" t="s">
        <v>945</v>
      </c>
      <c r="O1508" s="1077">
        <v>3.7925</v>
      </c>
      <c r="P1508" s="1077">
        <v>3.0339999999999998</v>
      </c>
      <c r="Q1508" s="1077" t="s">
        <v>1037</v>
      </c>
      <c r="R1508" s="1077">
        <v>21.2</v>
      </c>
      <c r="T1508" s="1077">
        <v>15.4</v>
      </c>
      <c r="U1508" s="1077">
        <v>3</v>
      </c>
      <c r="V1508" s="1077" t="s">
        <v>648</v>
      </c>
      <c r="W1508" s="1077">
        <v>130</v>
      </c>
      <c r="X1508" s="1077">
        <v>70</v>
      </c>
      <c r="Y1508" s="1077">
        <v>1.4</v>
      </c>
      <c r="Z1508" s="1077" t="s">
        <v>2879</v>
      </c>
      <c r="AA1508" s="1077" t="s">
        <v>4782</v>
      </c>
      <c r="AH1508" s="1077" t="s">
        <v>1486</v>
      </c>
      <c r="AM1508" s="1078" t="s">
        <v>12027</v>
      </c>
      <c r="AN1508" s="1078" t="s">
        <v>12028</v>
      </c>
      <c r="AO1508" s="1078">
        <f t="shared" si="190"/>
        <v>600</v>
      </c>
      <c r="AP1508" s="1078">
        <f t="shared" si="191"/>
        <v>1.74</v>
      </c>
      <c r="AQ1508" s="1078" t="str">
        <f t="shared" si="192"/>
        <v>2-6-1S83°</v>
      </c>
      <c r="AR1508" s="1078" t="str">
        <f t="shared" si="193"/>
        <v>30</v>
      </c>
      <c r="AS1508" s="1078" t="str">
        <f t="shared" si="194"/>
        <v>190/169</v>
      </c>
      <c r="AT1508" s="1078" t="str">
        <f t="shared" si="195"/>
        <v>2-6-1S83°</v>
      </c>
      <c r="AV1508" s="1078" t="str">
        <f t="shared" si="188"/>
        <v>109.5.19</v>
      </c>
      <c r="AW1508" s="1344">
        <f t="shared" si="189"/>
        <v>43970</v>
      </c>
    </row>
    <row r="1509" spans="1:49">
      <c r="A1509" s="1077" t="s">
        <v>5266</v>
      </c>
      <c r="B1509" s="1077" t="s">
        <v>5250</v>
      </c>
      <c r="C1509" s="1077">
        <v>600</v>
      </c>
      <c r="D1509" s="1077">
        <v>1.74</v>
      </c>
      <c r="E1509" s="1077" t="s">
        <v>15102</v>
      </c>
      <c r="F1509" s="1077" t="s">
        <v>1514</v>
      </c>
      <c r="G1509" s="1077">
        <v>5</v>
      </c>
      <c r="H1509" s="1077" t="s">
        <v>5264</v>
      </c>
      <c r="I1509" s="1077" t="s">
        <v>1167</v>
      </c>
      <c r="J1509" s="1077">
        <v>2.6</v>
      </c>
      <c r="K1509" s="1077" t="s">
        <v>5267</v>
      </c>
      <c r="L1509" s="1077" t="s">
        <v>5253</v>
      </c>
      <c r="M1509" s="1077">
        <v>151.69999999999999</v>
      </c>
      <c r="N1509" s="1077" t="s">
        <v>945</v>
      </c>
      <c r="O1509" s="1077">
        <v>3.7925</v>
      </c>
      <c r="P1509" s="1077">
        <v>3.0339999999999998</v>
      </c>
      <c r="Q1509" s="1077" t="s">
        <v>1037</v>
      </c>
      <c r="R1509" s="1077">
        <v>21.2</v>
      </c>
      <c r="T1509" s="1077">
        <v>15.4</v>
      </c>
      <c r="U1509" s="1077">
        <v>3</v>
      </c>
      <c r="V1509" s="1077" t="s">
        <v>648</v>
      </c>
      <c r="W1509" s="1077">
        <v>130</v>
      </c>
      <c r="X1509" s="1077">
        <v>70</v>
      </c>
      <c r="Y1509" s="1077">
        <v>1.4</v>
      </c>
      <c r="Z1509" s="1077" t="s">
        <v>2441</v>
      </c>
      <c r="AA1509" s="1077" t="s">
        <v>3171</v>
      </c>
      <c r="AH1509" s="1077" t="s">
        <v>724</v>
      </c>
      <c r="AM1509" s="1078" t="s">
        <v>12029</v>
      </c>
      <c r="AN1509" s="1078" t="s">
        <v>12030</v>
      </c>
      <c r="AO1509" s="1078">
        <f t="shared" si="190"/>
        <v>600</v>
      </c>
      <c r="AP1509" s="1078">
        <f t="shared" si="191"/>
        <v>1.74</v>
      </c>
      <c r="AQ1509" s="1078" t="str">
        <f t="shared" si="192"/>
        <v>2-6-1S83°</v>
      </c>
      <c r="AR1509" s="1078" t="str">
        <f t="shared" si="193"/>
        <v>32</v>
      </c>
      <c r="AS1509" s="1078" t="str">
        <f t="shared" si="194"/>
        <v>190/169</v>
      </c>
      <c r="AT1509" s="1078" t="str">
        <f t="shared" si="195"/>
        <v>2-6-1S83°</v>
      </c>
      <c r="AV1509" s="1078" t="str">
        <f t="shared" si="188"/>
        <v>109.9.17</v>
      </c>
      <c r="AW1509" s="1344">
        <f t="shared" si="189"/>
        <v>44091</v>
      </c>
    </row>
    <row r="1510" spans="1:49">
      <c r="A1510" s="1077" t="s">
        <v>5268</v>
      </c>
      <c r="B1510" s="1077" t="s">
        <v>5250</v>
      </c>
      <c r="C1510" s="1077">
        <v>600</v>
      </c>
      <c r="D1510" s="1077">
        <v>1.74</v>
      </c>
      <c r="E1510" s="1077" t="s">
        <v>15102</v>
      </c>
      <c r="F1510" s="1077" t="s">
        <v>954</v>
      </c>
      <c r="G1510" s="1077">
        <v>5</v>
      </c>
      <c r="H1510" s="1077" t="s">
        <v>5264</v>
      </c>
      <c r="I1510" s="1077" t="s">
        <v>1167</v>
      </c>
      <c r="J1510" s="1077">
        <v>2.6</v>
      </c>
      <c r="K1510" s="1077" t="s">
        <v>5269</v>
      </c>
      <c r="L1510" s="1077" t="s">
        <v>5253</v>
      </c>
      <c r="M1510" s="1077">
        <v>151.69999999999999</v>
      </c>
      <c r="N1510" s="1077" t="s">
        <v>945</v>
      </c>
      <c r="O1510" s="1077">
        <v>3.7925</v>
      </c>
      <c r="P1510" s="1077">
        <v>3.0339999999999998</v>
      </c>
      <c r="Q1510" s="1077" t="s">
        <v>2593</v>
      </c>
      <c r="R1510" s="1077">
        <v>21.2</v>
      </c>
      <c r="T1510" s="1077">
        <v>15.4</v>
      </c>
      <c r="U1510" s="1077">
        <v>3</v>
      </c>
      <c r="V1510" s="1077" t="s">
        <v>648</v>
      </c>
      <c r="W1510" s="1077">
        <v>130</v>
      </c>
      <c r="X1510" s="1077">
        <v>70</v>
      </c>
      <c r="Y1510" s="1077">
        <v>1.4</v>
      </c>
      <c r="Z1510" s="1077" t="s">
        <v>2879</v>
      </c>
      <c r="AA1510" s="1077" t="s">
        <v>5270</v>
      </c>
      <c r="AH1510" s="1077" t="s">
        <v>782</v>
      </c>
      <c r="AM1510" s="1078" t="s">
        <v>12031</v>
      </c>
      <c r="AN1510" s="1078" t="s">
        <v>12032</v>
      </c>
      <c r="AO1510" s="1078">
        <f t="shared" si="190"/>
        <v>600</v>
      </c>
      <c r="AP1510" s="1078">
        <f t="shared" si="191"/>
        <v>1.74</v>
      </c>
      <c r="AQ1510" s="1078" t="str">
        <f t="shared" si="192"/>
        <v>2-6-1S83°</v>
      </c>
      <c r="AR1510" s="1078" t="str">
        <f t="shared" si="193"/>
        <v>31</v>
      </c>
      <c r="AS1510" s="1078" t="str">
        <f t="shared" si="194"/>
        <v>190/169</v>
      </c>
      <c r="AT1510" s="1078" t="str">
        <f t="shared" si="195"/>
        <v>2-6-1S83°</v>
      </c>
      <c r="AV1510" s="1078" t="str">
        <f t="shared" si="188"/>
        <v>109.8.13</v>
      </c>
      <c r="AW1510" s="1344">
        <f t="shared" si="189"/>
        <v>44056</v>
      </c>
    </row>
    <row r="1511" spans="1:49">
      <c r="A1511" s="1077" t="s">
        <v>5271</v>
      </c>
      <c r="B1511" s="1077" t="s">
        <v>5250</v>
      </c>
      <c r="C1511" s="1077">
        <v>600</v>
      </c>
      <c r="D1511" s="1077">
        <v>1.74</v>
      </c>
      <c r="E1511" s="1077" t="s">
        <v>15102</v>
      </c>
      <c r="F1511" s="1077" t="s">
        <v>1514</v>
      </c>
      <c r="G1511" s="1077">
        <v>5</v>
      </c>
      <c r="H1511" s="1077" t="s">
        <v>5264</v>
      </c>
      <c r="I1511" s="1077" t="s">
        <v>1167</v>
      </c>
      <c r="J1511" s="1077">
        <v>2.6</v>
      </c>
      <c r="K1511" s="1077" t="s">
        <v>5267</v>
      </c>
      <c r="L1511" s="1077" t="s">
        <v>5253</v>
      </c>
      <c r="M1511" s="1077">
        <v>151.69999999999999</v>
      </c>
      <c r="N1511" s="1077" t="s">
        <v>945</v>
      </c>
      <c r="O1511" s="1077">
        <v>3.7925</v>
      </c>
      <c r="P1511" s="1077">
        <v>3.0339999999999998</v>
      </c>
      <c r="Q1511" s="1077">
        <v>4</v>
      </c>
      <c r="R1511" s="1077">
        <v>21.2</v>
      </c>
      <c r="T1511" s="1077">
        <v>15.4</v>
      </c>
      <c r="U1511" s="1077">
        <v>3</v>
      </c>
      <c r="V1511" s="1077" t="s">
        <v>648</v>
      </c>
      <c r="W1511" s="1077">
        <v>130</v>
      </c>
      <c r="X1511" s="1077">
        <v>70</v>
      </c>
      <c r="Y1511" s="1077">
        <v>1.4</v>
      </c>
      <c r="Z1511" s="1077">
        <v>4.5</v>
      </c>
      <c r="AA1511" s="1077" t="s">
        <v>5272</v>
      </c>
      <c r="AH1511" s="1077" t="s">
        <v>2398</v>
      </c>
      <c r="AM1511" s="1078" t="s">
        <v>12033</v>
      </c>
      <c r="AN1511" s="1078" t="s">
        <v>12034</v>
      </c>
      <c r="AO1511" s="1078">
        <f t="shared" si="190"/>
        <v>600</v>
      </c>
      <c r="AP1511" s="1078">
        <f t="shared" si="191"/>
        <v>1.74</v>
      </c>
      <c r="AQ1511" s="1078" t="str">
        <f t="shared" si="192"/>
        <v>2-6-1S83°</v>
      </c>
      <c r="AR1511" s="1078" t="str">
        <f t="shared" si="193"/>
        <v>32</v>
      </c>
      <c r="AS1511" s="1078" t="str">
        <f t="shared" si="194"/>
        <v>190/169</v>
      </c>
      <c r="AT1511" s="1078" t="str">
        <f t="shared" si="195"/>
        <v>2-6-1S83°</v>
      </c>
      <c r="AV1511" s="1078" t="str">
        <f t="shared" si="188"/>
        <v>109.12.16</v>
      </c>
      <c r="AW1511" s="1344">
        <f t="shared" si="189"/>
        <v>44181</v>
      </c>
    </row>
    <row r="1512" spans="1:49">
      <c r="A1512" s="1077" t="s">
        <v>5273</v>
      </c>
      <c r="B1512" s="1077" t="s">
        <v>5250</v>
      </c>
      <c r="C1512" s="1077">
        <v>600</v>
      </c>
      <c r="D1512" s="1077">
        <v>1.74</v>
      </c>
      <c r="E1512" s="1077" t="s">
        <v>15102</v>
      </c>
      <c r="F1512" s="1077" t="s">
        <v>1514</v>
      </c>
      <c r="G1512" s="1077">
        <v>5</v>
      </c>
      <c r="H1512" s="1077" t="s">
        <v>5264</v>
      </c>
      <c r="I1512" s="1077" t="s">
        <v>1167</v>
      </c>
      <c r="J1512" s="1077">
        <v>2.6</v>
      </c>
      <c r="K1512" s="1077" t="s">
        <v>5274</v>
      </c>
      <c r="L1512" s="1077" t="s">
        <v>5253</v>
      </c>
      <c r="M1512" s="1077">
        <v>151.69999999999999</v>
      </c>
      <c r="N1512" s="1077" t="s">
        <v>945</v>
      </c>
      <c r="O1512" s="1077">
        <v>3.7925</v>
      </c>
      <c r="P1512" s="1077">
        <v>3.0339999999999998</v>
      </c>
      <c r="Q1512" s="1077">
        <v>4</v>
      </c>
      <c r="R1512" s="1077">
        <v>21.2</v>
      </c>
      <c r="T1512" s="1077">
        <v>15.4</v>
      </c>
      <c r="U1512" s="1077">
        <v>3</v>
      </c>
      <c r="V1512" s="1077" t="s">
        <v>648</v>
      </c>
      <c r="W1512" s="1077">
        <v>130</v>
      </c>
      <c r="X1512" s="1077">
        <v>70</v>
      </c>
      <c r="Y1512" s="1077">
        <v>1.4</v>
      </c>
      <c r="Z1512" s="1077">
        <v>4.5</v>
      </c>
      <c r="AA1512" s="1077" t="s">
        <v>1206</v>
      </c>
      <c r="AH1512" s="1077" t="s">
        <v>813</v>
      </c>
      <c r="AM1512" s="1078" t="s">
        <v>12035</v>
      </c>
      <c r="AN1512" s="1078" t="s">
        <v>12036</v>
      </c>
      <c r="AO1512" s="1078">
        <f t="shared" si="190"/>
        <v>600</v>
      </c>
      <c r="AP1512" s="1078">
        <f t="shared" si="191"/>
        <v>1.74</v>
      </c>
      <c r="AQ1512" s="1078" t="str">
        <f t="shared" si="192"/>
        <v>2-6-1S83°</v>
      </c>
      <c r="AR1512" s="1078" t="str">
        <f t="shared" si="193"/>
        <v>32</v>
      </c>
      <c r="AS1512" s="1078" t="str">
        <f t="shared" si="194"/>
        <v>190/169</v>
      </c>
      <c r="AT1512" s="1078" t="str">
        <f t="shared" si="195"/>
        <v>2-6-1S83°</v>
      </c>
      <c r="AV1512" s="1078" t="str">
        <f t="shared" si="188"/>
        <v>109.12.22</v>
      </c>
      <c r="AW1512" s="1344">
        <f t="shared" si="189"/>
        <v>44187</v>
      </c>
    </row>
    <row r="1513" spans="1:49">
      <c r="A1513" s="1077" t="s">
        <v>5275</v>
      </c>
      <c r="B1513" s="1077" t="s">
        <v>5250</v>
      </c>
      <c r="C1513" s="1077">
        <v>600</v>
      </c>
      <c r="D1513" s="1077">
        <v>1.74</v>
      </c>
      <c r="E1513" s="1077" t="s">
        <v>15102</v>
      </c>
      <c r="F1513" s="1077" t="s">
        <v>1514</v>
      </c>
      <c r="G1513" s="1077">
        <v>5</v>
      </c>
      <c r="H1513" s="1077" t="s">
        <v>5264</v>
      </c>
      <c r="I1513" s="1077" t="s">
        <v>1167</v>
      </c>
      <c r="J1513" s="1077">
        <v>2.6</v>
      </c>
      <c r="K1513" s="1077" t="s">
        <v>5276</v>
      </c>
      <c r="L1513" s="1077" t="s">
        <v>5253</v>
      </c>
      <c r="M1513" s="1077">
        <v>151.69999999999999</v>
      </c>
      <c r="N1513" s="1077" t="s">
        <v>945</v>
      </c>
      <c r="O1513" s="1077">
        <v>3.7925</v>
      </c>
      <c r="P1513" s="1077">
        <v>3.0339999999999998</v>
      </c>
      <c r="Q1513" s="1077">
        <v>4</v>
      </c>
      <c r="R1513" s="1077">
        <v>21.2</v>
      </c>
      <c r="T1513" s="1077">
        <v>15.4</v>
      </c>
      <c r="U1513" s="1077">
        <v>3</v>
      </c>
      <c r="V1513" s="1077" t="s">
        <v>648</v>
      </c>
      <c r="W1513" s="1077">
        <v>130</v>
      </c>
      <c r="X1513" s="1077">
        <v>70</v>
      </c>
      <c r="Y1513" s="1077">
        <v>1.4</v>
      </c>
      <c r="Z1513" s="1077">
        <v>4.5</v>
      </c>
      <c r="AA1513" s="1077" t="s">
        <v>1206</v>
      </c>
      <c r="AH1513" s="1077" t="s">
        <v>803</v>
      </c>
      <c r="AM1513" s="1078" t="s">
        <v>12037</v>
      </c>
      <c r="AN1513" s="1078" t="s">
        <v>12036</v>
      </c>
      <c r="AO1513" s="1078">
        <f t="shared" si="190"/>
        <v>600</v>
      </c>
      <c r="AP1513" s="1078">
        <f t="shared" si="191"/>
        <v>1.74</v>
      </c>
      <c r="AQ1513" s="1078" t="str">
        <f t="shared" si="192"/>
        <v>2-6-1S83°</v>
      </c>
      <c r="AR1513" s="1078" t="str">
        <f t="shared" si="193"/>
        <v>32</v>
      </c>
      <c r="AS1513" s="1078" t="str">
        <f t="shared" si="194"/>
        <v>190/169</v>
      </c>
      <c r="AT1513" s="1078" t="str">
        <f t="shared" si="195"/>
        <v>2-6-1S83°</v>
      </c>
      <c r="AV1513" s="1078" t="str">
        <f t="shared" si="188"/>
        <v>109.12.22</v>
      </c>
      <c r="AW1513" s="1344">
        <f t="shared" si="189"/>
        <v>44187</v>
      </c>
    </row>
    <row r="1514" spans="1:49">
      <c r="A1514" s="1077" t="s">
        <v>5277</v>
      </c>
      <c r="B1514" s="1077" t="s">
        <v>5250</v>
      </c>
      <c r="C1514" s="1077">
        <v>600</v>
      </c>
      <c r="D1514" s="1077">
        <v>1.74</v>
      </c>
      <c r="E1514" s="1077" t="s">
        <v>15102</v>
      </c>
      <c r="F1514" s="1077" t="s">
        <v>1514</v>
      </c>
      <c r="G1514" s="1077">
        <v>5</v>
      </c>
      <c r="H1514" s="1077" t="s">
        <v>5264</v>
      </c>
      <c r="I1514" s="1077" t="s">
        <v>1167</v>
      </c>
      <c r="J1514" s="1077">
        <v>2.6</v>
      </c>
      <c r="K1514" s="1077" t="s">
        <v>5278</v>
      </c>
      <c r="L1514" s="1077" t="s">
        <v>5253</v>
      </c>
      <c r="M1514" s="1077">
        <v>151.69999999999999</v>
      </c>
      <c r="N1514" s="1077" t="s">
        <v>945</v>
      </c>
      <c r="O1514" s="1077">
        <v>3.7925</v>
      </c>
      <c r="P1514" s="1077">
        <v>3.0339999999999998</v>
      </c>
      <c r="Q1514" s="1077">
        <v>4</v>
      </c>
      <c r="R1514" s="1077">
        <v>21.2</v>
      </c>
      <c r="T1514" s="1077">
        <v>15.4</v>
      </c>
      <c r="U1514" s="1077">
        <v>3</v>
      </c>
      <c r="V1514" s="1077" t="s">
        <v>648</v>
      </c>
      <c r="W1514" s="1077">
        <v>130</v>
      </c>
      <c r="X1514" s="1077">
        <v>70</v>
      </c>
      <c r="Y1514" s="1077">
        <v>1.4</v>
      </c>
      <c r="Z1514" s="1077">
        <v>4.5</v>
      </c>
      <c r="AA1514" s="1077" t="s">
        <v>4652</v>
      </c>
      <c r="AH1514" s="1077" t="s">
        <v>1143</v>
      </c>
      <c r="AM1514" s="1078" t="s">
        <v>12038</v>
      </c>
      <c r="AN1514" s="1078" t="s">
        <v>12039</v>
      </c>
      <c r="AO1514" s="1078">
        <f t="shared" si="190"/>
        <v>600</v>
      </c>
      <c r="AP1514" s="1078">
        <f t="shared" si="191"/>
        <v>1.74</v>
      </c>
      <c r="AQ1514" s="1078" t="str">
        <f t="shared" si="192"/>
        <v>2-6-1S83°</v>
      </c>
      <c r="AR1514" s="1078" t="str">
        <f t="shared" si="193"/>
        <v>32</v>
      </c>
      <c r="AS1514" s="1078" t="str">
        <f t="shared" si="194"/>
        <v>190/169</v>
      </c>
      <c r="AT1514" s="1078" t="str">
        <f t="shared" si="195"/>
        <v>2-6-1S83°</v>
      </c>
      <c r="AV1514" s="1078" t="str">
        <f t="shared" si="188"/>
        <v>110.1.5</v>
      </c>
      <c r="AW1514" s="1344">
        <f t="shared" si="189"/>
        <v>44201</v>
      </c>
    </row>
    <row r="1515" spans="1:49">
      <c r="A1515" s="1077" t="s">
        <v>5279</v>
      </c>
      <c r="B1515" s="1077" t="s">
        <v>5250</v>
      </c>
      <c r="C1515" s="1077">
        <v>600</v>
      </c>
      <c r="D1515" s="1077">
        <v>1.74</v>
      </c>
      <c r="E1515" s="1077" t="s">
        <v>15102</v>
      </c>
      <c r="F1515" s="1077" t="s">
        <v>984</v>
      </c>
      <c r="G1515" s="1077">
        <v>5</v>
      </c>
      <c r="H1515" s="1077" t="s">
        <v>5264</v>
      </c>
      <c r="I1515" s="1077" t="s">
        <v>1167</v>
      </c>
      <c r="J1515" s="1077">
        <v>2.6</v>
      </c>
      <c r="K1515" s="1077" t="s">
        <v>5280</v>
      </c>
      <c r="L1515" s="1077" t="s">
        <v>5253</v>
      </c>
      <c r="M1515" s="1077">
        <v>151.69999999999999</v>
      </c>
      <c r="N1515" s="1077" t="s">
        <v>945</v>
      </c>
      <c r="O1515" s="1077">
        <v>3.7925</v>
      </c>
      <c r="P1515" s="1077">
        <v>3.0339999999999998</v>
      </c>
      <c r="Q1515" s="1077">
        <v>4</v>
      </c>
      <c r="R1515" s="1077">
        <v>21.2</v>
      </c>
      <c r="T1515" s="1077">
        <v>15.4</v>
      </c>
      <c r="U1515" s="1077">
        <v>3</v>
      </c>
      <c r="V1515" s="1077" t="s">
        <v>648</v>
      </c>
      <c r="W1515" s="1077">
        <v>130</v>
      </c>
      <c r="X1515" s="1077">
        <v>70</v>
      </c>
      <c r="Y1515" s="1077">
        <v>1.4</v>
      </c>
      <c r="Z1515" s="1077">
        <v>4.5</v>
      </c>
      <c r="AA1515" s="1077" t="s">
        <v>5281</v>
      </c>
      <c r="AH1515" s="1077" t="s">
        <v>877</v>
      </c>
      <c r="AM1515" s="1078" t="s">
        <v>12040</v>
      </c>
      <c r="AN1515" s="1078" t="s">
        <v>12041</v>
      </c>
      <c r="AO1515" s="1078">
        <f t="shared" si="190"/>
        <v>600</v>
      </c>
      <c r="AP1515" s="1078">
        <f t="shared" si="191"/>
        <v>1.74</v>
      </c>
      <c r="AQ1515" s="1078" t="str">
        <f t="shared" si="192"/>
        <v>2-6-1S83°</v>
      </c>
      <c r="AR1515" s="1078" t="str">
        <f t="shared" si="193"/>
        <v>30</v>
      </c>
      <c r="AS1515" s="1078" t="str">
        <f t="shared" si="194"/>
        <v>190/169</v>
      </c>
      <c r="AT1515" s="1078" t="str">
        <f t="shared" si="195"/>
        <v>2-6-1S83°</v>
      </c>
      <c r="AV1515" s="1078" t="str">
        <f t="shared" si="188"/>
        <v>110.2.4</v>
      </c>
      <c r="AW1515" s="1344">
        <f t="shared" si="189"/>
        <v>44231</v>
      </c>
    </row>
    <row r="1516" spans="1:49">
      <c r="A1516" s="1077" t="s">
        <v>5282</v>
      </c>
      <c r="B1516" s="1077" t="s">
        <v>5250</v>
      </c>
      <c r="C1516" s="1077">
        <v>650</v>
      </c>
      <c r="D1516" s="1077">
        <v>1.73</v>
      </c>
      <c r="E1516" s="1077" t="s">
        <v>15094</v>
      </c>
      <c r="F1516" s="1077" t="s">
        <v>984</v>
      </c>
      <c r="G1516" s="1077">
        <v>5</v>
      </c>
      <c r="H1516" s="1077" t="s">
        <v>5283</v>
      </c>
      <c r="I1516" s="1077" t="s">
        <v>460</v>
      </c>
      <c r="J1516" s="1077">
        <v>1.6</v>
      </c>
      <c r="K1516" s="1077" t="s">
        <v>5284</v>
      </c>
      <c r="L1516" s="1077" t="s">
        <v>5253</v>
      </c>
      <c r="M1516" s="1077">
        <v>151.19999999999999</v>
      </c>
      <c r="N1516" s="1077" t="s">
        <v>945</v>
      </c>
      <c r="O1516" s="1077">
        <v>3.78</v>
      </c>
      <c r="P1516" s="1077">
        <v>3.024</v>
      </c>
      <c r="Q1516" s="1077">
        <v>3.5</v>
      </c>
      <c r="R1516" s="1077">
        <v>21</v>
      </c>
      <c r="T1516" s="1077">
        <v>20.5</v>
      </c>
      <c r="U1516" s="1077">
        <v>3</v>
      </c>
      <c r="V1516" s="1077" t="s">
        <v>648</v>
      </c>
      <c r="W1516" s="1077">
        <v>100</v>
      </c>
      <c r="X1516" s="1077">
        <v>60</v>
      </c>
      <c r="Y1516" s="1077">
        <v>1</v>
      </c>
      <c r="Z1516" s="1077">
        <v>6</v>
      </c>
      <c r="AA1516" s="1077" t="s">
        <v>4179</v>
      </c>
      <c r="AH1516" s="1077" t="s">
        <v>966</v>
      </c>
      <c r="AM1516" s="1078" t="s">
        <v>12042</v>
      </c>
      <c r="AN1516" s="1078" t="s">
        <v>12043</v>
      </c>
      <c r="AO1516" s="1078">
        <f t="shared" si="190"/>
        <v>650</v>
      </c>
      <c r="AP1516" s="1078">
        <f t="shared" si="191"/>
        <v>1.73</v>
      </c>
      <c r="AQ1516" s="1078" t="str">
        <f t="shared" si="192"/>
        <v>1-5-1S91°</v>
      </c>
      <c r="AR1516" s="1078" t="str">
        <f t="shared" si="193"/>
        <v>30</v>
      </c>
      <c r="AS1516" s="1078" t="str">
        <f t="shared" si="194"/>
        <v>345/345/135</v>
      </c>
      <c r="AT1516" s="1078" t="str">
        <f t="shared" si="195"/>
        <v>1-5-1S91°</v>
      </c>
      <c r="AV1516" s="1078" t="str">
        <f t="shared" si="188"/>
        <v>110.2.8</v>
      </c>
      <c r="AW1516" s="1344">
        <f t="shared" si="189"/>
        <v>44235</v>
      </c>
    </row>
    <row r="1517" spans="1:49">
      <c r="A1517" s="1077" t="s">
        <v>5285</v>
      </c>
      <c r="B1517" s="1077" t="s">
        <v>5250</v>
      </c>
      <c r="C1517" s="1077">
        <v>600</v>
      </c>
      <c r="D1517" s="1077">
        <v>1.74</v>
      </c>
      <c r="E1517" s="1077" t="s">
        <v>15102</v>
      </c>
      <c r="F1517" s="1077" t="s">
        <v>975</v>
      </c>
      <c r="G1517" s="1077">
        <v>5</v>
      </c>
      <c r="H1517" s="1077" t="s">
        <v>5264</v>
      </c>
      <c r="I1517" s="1077" t="s">
        <v>1167</v>
      </c>
      <c r="J1517" s="1077">
        <v>2.6</v>
      </c>
      <c r="K1517" s="1077" t="s">
        <v>5286</v>
      </c>
      <c r="L1517" s="1077" t="s">
        <v>5253</v>
      </c>
      <c r="M1517" s="1077">
        <v>151.69999999999999</v>
      </c>
      <c r="N1517" s="1077" t="s">
        <v>945</v>
      </c>
      <c r="O1517" s="1077">
        <v>3.7925</v>
      </c>
      <c r="P1517" s="1077">
        <v>3.0339999999999998</v>
      </c>
      <c r="Q1517" s="1077">
        <v>4</v>
      </c>
      <c r="R1517" s="1077">
        <v>21.2</v>
      </c>
      <c r="T1517" s="1077">
        <v>15.4</v>
      </c>
      <c r="U1517" s="1077">
        <v>3</v>
      </c>
      <c r="V1517" s="1077" t="s">
        <v>648</v>
      </c>
      <c r="W1517" s="1077">
        <v>130</v>
      </c>
      <c r="X1517" s="1077">
        <v>70</v>
      </c>
      <c r="Y1517" s="1077">
        <v>1.4</v>
      </c>
      <c r="Z1517" s="1077">
        <v>4.5</v>
      </c>
      <c r="AA1517" s="1077" t="s">
        <v>1384</v>
      </c>
      <c r="AH1517" s="1077" t="s">
        <v>990</v>
      </c>
      <c r="AM1517" s="1078" t="s">
        <v>12044</v>
      </c>
      <c r="AN1517" s="1078" t="s">
        <v>12045</v>
      </c>
      <c r="AO1517" s="1078">
        <f t="shared" si="190"/>
        <v>600</v>
      </c>
      <c r="AP1517" s="1078">
        <f t="shared" si="191"/>
        <v>1.74</v>
      </c>
      <c r="AQ1517" s="1078" t="str">
        <f t="shared" si="192"/>
        <v>2-6-1S83°</v>
      </c>
      <c r="AR1517" s="1078" t="str">
        <f t="shared" si="193"/>
        <v>31.5</v>
      </c>
      <c r="AS1517" s="1078" t="str">
        <f t="shared" si="194"/>
        <v>190/169</v>
      </c>
      <c r="AT1517" s="1078" t="str">
        <f t="shared" si="195"/>
        <v>2-6-1S83°</v>
      </c>
      <c r="AV1517" s="1078" t="str">
        <f t="shared" si="188"/>
        <v>110.2.17</v>
      </c>
      <c r="AW1517" s="1344">
        <f t="shared" si="189"/>
        <v>44244</v>
      </c>
    </row>
    <row r="1518" spans="1:49">
      <c r="A1518" s="1077" t="s">
        <v>5287</v>
      </c>
      <c r="B1518" s="1077" t="s">
        <v>5250</v>
      </c>
      <c r="C1518" s="1077">
        <v>650</v>
      </c>
      <c r="D1518" s="1077">
        <v>1.73</v>
      </c>
      <c r="E1518" s="1077" t="s">
        <v>15094</v>
      </c>
      <c r="F1518" s="1077" t="s">
        <v>984</v>
      </c>
      <c r="G1518" s="1077">
        <v>5</v>
      </c>
      <c r="H1518" s="1077" t="s">
        <v>4721</v>
      </c>
      <c r="I1518" s="1077" t="s">
        <v>126</v>
      </c>
      <c r="J1518" s="1077">
        <v>2.8</v>
      </c>
      <c r="K1518" s="1077" t="s">
        <v>5276</v>
      </c>
      <c r="L1518" s="1077" t="s">
        <v>5253</v>
      </c>
      <c r="M1518" s="1077">
        <v>151.69999999999999</v>
      </c>
      <c r="N1518" s="1077" t="s">
        <v>945</v>
      </c>
      <c r="O1518" s="1077">
        <v>3.7925</v>
      </c>
      <c r="P1518" s="1077">
        <v>3.0339999999999998</v>
      </c>
      <c r="Q1518" s="1077">
        <v>4</v>
      </c>
      <c r="R1518" s="1077">
        <v>21.2</v>
      </c>
      <c r="T1518" s="1077">
        <v>15.4</v>
      </c>
      <c r="U1518" s="1077">
        <v>3</v>
      </c>
      <c r="V1518" s="1077" t="s">
        <v>648</v>
      </c>
      <c r="W1518" s="1077">
        <v>130</v>
      </c>
      <c r="X1518" s="1077">
        <v>70</v>
      </c>
      <c r="Y1518" s="1077">
        <v>1.4</v>
      </c>
      <c r="Z1518" s="1077">
        <v>4.5</v>
      </c>
      <c r="AA1518" s="1077" t="s">
        <v>5288</v>
      </c>
      <c r="AH1518" s="1077" t="s">
        <v>621</v>
      </c>
      <c r="AM1518" s="1078" t="s">
        <v>12046</v>
      </c>
      <c r="AN1518" s="1078" t="s">
        <v>12047</v>
      </c>
      <c r="AO1518" s="1078">
        <f t="shared" si="190"/>
        <v>650</v>
      </c>
      <c r="AP1518" s="1078">
        <f t="shared" si="191"/>
        <v>1.73</v>
      </c>
      <c r="AQ1518" s="1078" t="str">
        <f t="shared" si="192"/>
        <v>1-5-1S91°</v>
      </c>
      <c r="AR1518" s="1078" t="str">
        <f t="shared" si="193"/>
        <v>30</v>
      </c>
      <c r="AS1518" s="1078" t="str">
        <f t="shared" si="194"/>
        <v>325/325/150</v>
      </c>
      <c r="AT1518" s="1078" t="str">
        <f t="shared" si="195"/>
        <v>1-5-1S91°</v>
      </c>
      <c r="AV1518" s="1078" t="str">
        <f t="shared" si="188"/>
        <v>110.3.29</v>
      </c>
      <c r="AW1518" s="1344">
        <f t="shared" si="189"/>
        <v>44284</v>
      </c>
    </row>
    <row r="1519" spans="1:49">
      <c r="A1519" s="1077" t="s">
        <v>5289</v>
      </c>
      <c r="B1519" s="1077" t="s">
        <v>5250</v>
      </c>
      <c r="C1519" s="1077">
        <v>650</v>
      </c>
      <c r="D1519" s="1077">
        <v>1.71</v>
      </c>
      <c r="E1519" s="1077" t="s">
        <v>15094</v>
      </c>
      <c r="F1519" s="1077" t="s">
        <v>984</v>
      </c>
      <c r="G1519" s="1077">
        <v>5</v>
      </c>
      <c r="H1519" s="1077" t="s">
        <v>5283</v>
      </c>
      <c r="I1519" s="1077" t="s">
        <v>460</v>
      </c>
      <c r="J1519" s="1077">
        <v>1.6</v>
      </c>
      <c r="K1519" s="1077" t="s">
        <v>5290</v>
      </c>
      <c r="L1519" s="1077" t="s">
        <v>5253</v>
      </c>
      <c r="M1519" s="1077">
        <v>151.19999999999999</v>
      </c>
      <c r="N1519" s="1077" t="s">
        <v>945</v>
      </c>
      <c r="O1519" s="1077">
        <v>3.78</v>
      </c>
      <c r="P1519" s="1077">
        <v>3.024</v>
      </c>
      <c r="Q1519" s="1077">
        <v>3.5</v>
      </c>
      <c r="R1519" s="1077">
        <v>21</v>
      </c>
      <c r="T1519" s="1077">
        <v>20.5</v>
      </c>
      <c r="U1519" s="1077">
        <v>3</v>
      </c>
      <c r="V1519" s="1077" t="s">
        <v>648</v>
      </c>
      <c r="W1519" s="1077">
        <v>100</v>
      </c>
      <c r="X1519" s="1077">
        <v>60</v>
      </c>
      <c r="Y1519" s="1077">
        <v>1</v>
      </c>
      <c r="Z1519" s="1077">
        <v>6</v>
      </c>
      <c r="AA1519" s="1077" t="s">
        <v>4191</v>
      </c>
      <c r="AH1519" s="1077" t="s">
        <v>3601</v>
      </c>
      <c r="AM1519" s="1078" t="s">
        <v>12048</v>
      </c>
      <c r="AN1519" s="1078" t="s">
        <v>12049</v>
      </c>
      <c r="AO1519" s="1078">
        <f t="shared" si="190"/>
        <v>650</v>
      </c>
      <c r="AP1519" s="1078">
        <f t="shared" si="191"/>
        <v>1.71</v>
      </c>
      <c r="AQ1519" s="1078" t="str">
        <f t="shared" si="192"/>
        <v>1-5-1S91°</v>
      </c>
      <c r="AR1519" s="1078" t="str">
        <f t="shared" si="193"/>
        <v>30</v>
      </c>
      <c r="AS1519" s="1078" t="str">
        <f t="shared" si="194"/>
        <v>345/345/135</v>
      </c>
      <c r="AT1519" s="1078" t="str">
        <f t="shared" si="195"/>
        <v>1-5-1S91°</v>
      </c>
      <c r="AV1519" s="1078" t="str">
        <f t="shared" si="188"/>
        <v>110.4.15</v>
      </c>
      <c r="AW1519" s="1344">
        <f t="shared" si="189"/>
        <v>44301</v>
      </c>
    </row>
    <row r="1520" spans="1:49">
      <c r="A1520" s="1077" t="s">
        <v>5291</v>
      </c>
      <c r="B1520" s="1077" t="s">
        <v>5250</v>
      </c>
      <c r="C1520" s="1077">
        <v>600</v>
      </c>
      <c r="D1520" s="1077">
        <v>1.74</v>
      </c>
      <c r="E1520" s="1077" t="s">
        <v>15102</v>
      </c>
      <c r="F1520" s="1077" t="s">
        <v>2234</v>
      </c>
      <c r="G1520" s="1077">
        <v>5</v>
      </c>
      <c r="H1520" s="1077" t="s">
        <v>5292</v>
      </c>
      <c r="I1520" s="1077" t="s">
        <v>460</v>
      </c>
      <c r="J1520" s="1077">
        <v>1.6</v>
      </c>
      <c r="K1520" s="1077" t="s">
        <v>5293</v>
      </c>
      <c r="L1520" s="1077" t="s">
        <v>5253</v>
      </c>
      <c r="M1520" s="1077">
        <v>151.19999999999999</v>
      </c>
      <c r="N1520" s="1077" t="s">
        <v>945</v>
      </c>
      <c r="O1520" s="1077">
        <v>3.78</v>
      </c>
      <c r="P1520" s="1077">
        <v>3.024</v>
      </c>
      <c r="Q1520" s="1077">
        <v>4</v>
      </c>
      <c r="R1520" s="1077">
        <v>21</v>
      </c>
      <c r="T1520" s="1077">
        <v>20.5</v>
      </c>
      <c r="U1520" s="1077">
        <v>3</v>
      </c>
      <c r="V1520" s="1077" t="s">
        <v>648</v>
      </c>
      <c r="W1520" s="1077">
        <v>100</v>
      </c>
      <c r="X1520" s="1077">
        <v>60</v>
      </c>
      <c r="Y1520" s="1077">
        <v>1</v>
      </c>
      <c r="Z1520" s="1077">
        <v>5.5</v>
      </c>
      <c r="AA1520" s="1077" t="s">
        <v>5294</v>
      </c>
      <c r="AH1520" s="1077" t="s">
        <v>2398</v>
      </c>
      <c r="AM1520" s="1078" t="s">
        <v>12050</v>
      </c>
      <c r="AN1520" s="1078" t="s">
        <v>12051</v>
      </c>
      <c r="AO1520" s="1078">
        <f t="shared" si="190"/>
        <v>600</v>
      </c>
      <c r="AP1520" s="1078">
        <f t="shared" si="191"/>
        <v>1.74</v>
      </c>
      <c r="AQ1520" s="1078" t="str">
        <f t="shared" si="192"/>
        <v>2-6-1S83°</v>
      </c>
      <c r="AR1520" s="1078" t="str">
        <f t="shared" si="193"/>
        <v>33.5</v>
      </c>
      <c r="AS1520" s="1078" t="str">
        <f t="shared" si="194"/>
        <v>205/152</v>
      </c>
      <c r="AT1520" s="1078" t="str">
        <f t="shared" si="195"/>
        <v>2-6-1S83°</v>
      </c>
      <c r="AV1520" s="1078" t="str">
        <f t="shared" si="188"/>
        <v>110.9.1</v>
      </c>
      <c r="AW1520" s="1344">
        <f t="shared" si="189"/>
        <v>44440</v>
      </c>
    </row>
    <row r="1521" spans="1:49">
      <c r="A1521" s="1077" t="s">
        <v>5295</v>
      </c>
      <c r="B1521" s="1077" t="s">
        <v>5250</v>
      </c>
      <c r="C1521" s="1077" t="s">
        <v>5296</v>
      </c>
      <c r="D1521" s="1077">
        <v>1.74</v>
      </c>
      <c r="E1521" s="1077" t="s">
        <v>15102</v>
      </c>
      <c r="F1521" s="1077" t="s">
        <v>4695</v>
      </c>
      <c r="G1521" s="1077">
        <v>5</v>
      </c>
      <c r="H1521" s="1077" t="s">
        <v>5297</v>
      </c>
      <c r="I1521" s="1077" t="s">
        <v>460</v>
      </c>
      <c r="J1521" s="1077">
        <v>1.5</v>
      </c>
      <c r="K1521" s="1077" t="s">
        <v>5298</v>
      </c>
      <c r="L1521" s="1077" t="s">
        <v>5253</v>
      </c>
      <c r="M1521" s="1077">
        <v>151.19999999999999</v>
      </c>
      <c r="N1521" s="1077" t="s">
        <v>945</v>
      </c>
      <c r="O1521" s="1077">
        <v>3.78</v>
      </c>
      <c r="P1521" s="1077">
        <v>3.024</v>
      </c>
      <c r="Q1521" s="1077">
        <v>4</v>
      </c>
      <c r="R1521" s="1077">
        <v>21</v>
      </c>
      <c r="T1521" s="1077">
        <v>20.5</v>
      </c>
      <c r="U1521" s="1077">
        <v>3</v>
      </c>
      <c r="V1521" s="1077" t="s">
        <v>648</v>
      </c>
      <c r="W1521" s="1077">
        <v>100</v>
      </c>
      <c r="X1521" s="1077">
        <v>60</v>
      </c>
      <c r="Y1521" s="1077">
        <v>1</v>
      </c>
      <c r="Z1521" s="1077">
        <v>5.5</v>
      </c>
      <c r="AA1521" s="1077" t="s">
        <v>3374</v>
      </c>
      <c r="AH1521" s="1077" t="s">
        <v>680</v>
      </c>
      <c r="AM1521" s="1078" t="s">
        <v>12052</v>
      </c>
      <c r="AN1521" s="1078" t="s">
        <v>12053</v>
      </c>
      <c r="AO1521" s="1078" t="str">
        <f t="shared" si="190"/>
        <v>600↓550</v>
      </c>
      <c r="AP1521" s="1078">
        <f t="shared" si="191"/>
        <v>1.74</v>
      </c>
      <c r="AQ1521" s="1078" t="str">
        <f t="shared" si="192"/>
        <v>2-6-1S83°</v>
      </c>
      <c r="AR1521" s="1078" t="str">
        <f t="shared" si="193"/>
        <v>32.8</v>
      </c>
      <c r="AS1521" s="1078" t="str">
        <f t="shared" si="194"/>
        <v>200/152</v>
      </c>
      <c r="AT1521" s="1078" t="str">
        <f t="shared" si="195"/>
        <v>2-6-1S83°</v>
      </c>
      <c r="AV1521" s="1078" t="str">
        <f t="shared" si="188"/>
        <v>110.9.17</v>
      </c>
      <c r="AW1521" s="1344">
        <f t="shared" si="189"/>
        <v>44456</v>
      </c>
    </row>
    <row r="1522" spans="1:49">
      <c r="A1522" s="1077" t="s">
        <v>5299</v>
      </c>
      <c r="B1522" s="1077" t="s">
        <v>210</v>
      </c>
      <c r="C1522" s="1077">
        <v>700</v>
      </c>
      <c r="D1522" s="1077">
        <v>1.75</v>
      </c>
      <c r="E1522" s="1077" t="s">
        <v>15094</v>
      </c>
      <c r="F1522" s="1077" t="s">
        <v>984</v>
      </c>
      <c r="G1522" s="1077">
        <v>5</v>
      </c>
      <c r="H1522" s="1077" t="s">
        <v>5300</v>
      </c>
      <c r="I1522" s="1077" t="s">
        <v>126</v>
      </c>
      <c r="J1522" s="1077">
        <v>0.7</v>
      </c>
      <c r="K1522" s="1077" t="s">
        <v>5301</v>
      </c>
      <c r="L1522" s="1077" t="s">
        <v>4666</v>
      </c>
      <c r="M1522" s="1077">
        <v>151.5</v>
      </c>
      <c r="N1522" s="1077" t="s">
        <v>945</v>
      </c>
      <c r="O1522" s="1077">
        <v>3.7875000000000001</v>
      </c>
      <c r="P1522" s="1077">
        <v>3.0300000000000002</v>
      </c>
      <c r="Q1522" s="1077">
        <v>4</v>
      </c>
      <c r="R1522" s="1077">
        <v>19.100000000000001</v>
      </c>
      <c r="T1522" s="1077">
        <v>23.7</v>
      </c>
      <c r="U1522" s="1077">
        <v>3.2</v>
      </c>
      <c r="V1522" s="1077" t="s">
        <v>648</v>
      </c>
      <c r="W1522" s="1077">
        <v>35</v>
      </c>
      <c r="X1522" s="1077">
        <v>10</v>
      </c>
      <c r="Y1522" s="1077">
        <v>1</v>
      </c>
      <c r="Z1522" s="1077">
        <v>6</v>
      </c>
      <c r="AA1522" s="1077" t="s">
        <v>5302</v>
      </c>
      <c r="AH1522" s="1077" t="s">
        <v>884</v>
      </c>
      <c r="AM1522" s="1078" t="s">
        <v>12054</v>
      </c>
      <c r="AN1522" s="1078" t="s">
        <v>12055</v>
      </c>
      <c r="AO1522" s="1078">
        <f t="shared" si="190"/>
        <v>700</v>
      </c>
      <c r="AP1522" s="1078">
        <f t="shared" si="191"/>
        <v>1.75</v>
      </c>
      <c r="AQ1522" s="1078" t="str">
        <f t="shared" si="192"/>
        <v>1-5-1S91°</v>
      </c>
      <c r="AR1522" s="1078" t="str">
        <f t="shared" si="193"/>
        <v>30</v>
      </c>
      <c r="AS1522" s="1078" t="str">
        <f t="shared" si="194"/>
        <v>370/330/155</v>
      </c>
      <c r="AT1522" s="1078" t="str">
        <f t="shared" si="195"/>
        <v>1-5-1S91°</v>
      </c>
      <c r="AV1522" s="1078" t="str">
        <f t="shared" si="188"/>
        <v>110.12.16</v>
      </c>
      <c r="AW1522" s="1344">
        <f t="shared" si="189"/>
        <v>44546</v>
      </c>
    </row>
    <row r="1523" spans="1:49">
      <c r="A1523" s="1077" t="s">
        <v>5303</v>
      </c>
      <c r="B1523" s="1077" t="s">
        <v>5304</v>
      </c>
      <c r="C1523" s="1077">
        <v>650</v>
      </c>
      <c r="D1523" s="1077">
        <v>1.75</v>
      </c>
      <c r="E1523" s="1077" t="s">
        <v>15094</v>
      </c>
      <c r="F1523" s="1077" t="s">
        <v>975</v>
      </c>
      <c r="G1523" s="1077">
        <v>5</v>
      </c>
      <c r="H1523" s="1077" t="s">
        <v>5305</v>
      </c>
      <c r="I1523" s="1077" t="s">
        <v>126</v>
      </c>
      <c r="J1523" s="1077">
        <v>2.6</v>
      </c>
      <c r="K1523" s="1077" t="s">
        <v>5151</v>
      </c>
      <c r="L1523" s="1077" t="s">
        <v>5152</v>
      </c>
      <c r="M1523" s="1077">
        <v>148.6</v>
      </c>
      <c r="N1523" s="1077" t="s">
        <v>945</v>
      </c>
      <c r="O1523" s="1077">
        <v>3.7149999999999999</v>
      </c>
      <c r="P1523" s="1077">
        <v>2.972</v>
      </c>
      <c r="Q1523" s="1077">
        <v>3.5</v>
      </c>
      <c r="R1523" s="1077">
        <v>20.399999999999999</v>
      </c>
      <c r="T1523" s="1077">
        <v>26</v>
      </c>
      <c r="U1523" s="1077">
        <v>3.7</v>
      </c>
      <c r="V1523" s="1077" t="s">
        <v>648</v>
      </c>
      <c r="W1523" s="1077">
        <v>105</v>
      </c>
      <c r="X1523" s="1077">
        <v>50</v>
      </c>
      <c r="Y1523" s="1077">
        <v>2</v>
      </c>
      <c r="Z1523" s="1077">
        <v>6.5</v>
      </c>
      <c r="AA1523" s="1077" t="s">
        <v>3998</v>
      </c>
      <c r="AH1523" s="1077" t="s">
        <v>466</v>
      </c>
      <c r="AM1523" s="1078" t="s">
        <v>12056</v>
      </c>
      <c r="AN1523" s="1078" t="s">
        <v>12057</v>
      </c>
      <c r="AO1523" s="1078">
        <f t="shared" si="190"/>
        <v>650</v>
      </c>
      <c r="AP1523" s="1078">
        <f t="shared" si="191"/>
        <v>1.75</v>
      </c>
      <c r="AQ1523" s="1078" t="str">
        <f t="shared" si="192"/>
        <v>1-5-1S91°</v>
      </c>
      <c r="AR1523" s="1078" t="str">
        <f t="shared" si="193"/>
        <v>31.5</v>
      </c>
      <c r="AS1523" s="1078" t="str">
        <f t="shared" si="194"/>
        <v>350/320/OFF</v>
      </c>
      <c r="AT1523" s="1078" t="str">
        <f t="shared" si="195"/>
        <v>1-5-1S91°</v>
      </c>
      <c r="AV1523" s="1078" t="str">
        <f t="shared" si="188"/>
        <v>110.12.21</v>
      </c>
      <c r="AW1523" s="1344">
        <f t="shared" si="189"/>
        <v>44551</v>
      </c>
    </row>
    <row r="1524" spans="1:49">
      <c r="A1524" s="1077" t="s">
        <v>5306</v>
      </c>
      <c r="B1524" s="1077" t="s">
        <v>844</v>
      </c>
      <c r="C1524" s="1077">
        <v>600</v>
      </c>
      <c r="D1524" s="1077">
        <v>1.756</v>
      </c>
      <c r="E1524" s="1077" t="s">
        <v>15094</v>
      </c>
      <c r="F1524" s="1077" t="s">
        <v>954</v>
      </c>
      <c r="G1524" s="1077">
        <v>5</v>
      </c>
      <c r="H1524" s="1077" t="s">
        <v>5126</v>
      </c>
      <c r="I1524" s="1077" t="s">
        <v>648</v>
      </c>
      <c r="J1524" s="1077">
        <v>0</v>
      </c>
      <c r="K1524" s="1077" t="s">
        <v>5307</v>
      </c>
      <c r="L1524" s="1077" t="s">
        <v>4907</v>
      </c>
      <c r="M1524" s="1077">
        <v>151</v>
      </c>
      <c r="N1524" s="1077" t="s">
        <v>945</v>
      </c>
      <c r="O1524" s="1077">
        <v>3.7750000000000004</v>
      </c>
      <c r="P1524" s="1077">
        <v>3.02</v>
      </c>
      <c r="Q1524" s="1077">
        <v>3</v>
      </c>
      <c r="R1524" s="1077">
        <v>22.4</v>
      </c>
      <c r="T1524" s="1077">
        <v>15</v>
      </c>
      <c r="U1524" s="1077">
        <v>3.7</v>
      </c>
      <c r="V1524" s="1077" t="s">
        <v>648</v>
      </c>
      <c r="W1524" s="1077" t="s">
        <v>648</v>
      </c>
      <c r="X1524" s="1077" t="s">
        <v>648</v>
      </c>
      <c r="Y1524" s="1077">
        <v>1.5</v>
      </c>
      <c r="Z1524" s="1077">
        <v>5.5</v>
      </c>
      <c r="AA1524" s="1077" t="s">
        <v>3998</v>
      </c>
      <c r="AH1524" s="1077" t="s">
        <v>1143</v>
      </c>
      <c r="AM1524" s="1078" t="s">
        <v>12058</v>
      </c>
      <c r="AN1524" s="1078" t="s">
        <v>12059</v>
      </c>
      <c r="AO1524" s="1078">
        <f t="shared" si="190"/>
        <v>600</v>
      </c>
      <c r="AP1524" s="1078">
        <f t="shared" si="191"/>
        <v>1.756</v>
      </c>
      <c r="AQ1524" s="1078" t="str">
        <f t="shared" si="192"/>
        <v>1-5-1S91°</v>
      </c>
      <c r="AR1524" s="1078" t="str">
        <f t="shared" si="193"/>
        <v>31</v>
      </c>
      <c r="AS1524" s="1078" t="str">
        <f t="shared" si="194"/>
        <v>300/300/140</v>
      </c>
      <c r="AT1524" s="1078" t="str">
        <f t="shared" si="195"/>
        <v>1-5-1S91°</v>
      </c>
      <c r="AV1524" s="1078" t="str">
        <f t="shared" si="188"/>
        <v>110.12.21</v>
      </c>
      <c r="AW1524" s="1344">
        <f t="shared" si="189"/>
        <v>44551</v>
      </c>
    </row>
    <row r="1525" spans="1:49">
      <c r="A1525" s="1077" t="s">
        <v>5308</v>
      </c>
      <c r="B1525" s="1077" t="s">
        <v>5148</v>
      </c>
      <c r="C1525" s="1077">
        <v>650</v>
      </c>
      <c r="D1525" s="1077">
        <v>1.7350000000000001</v>
      </c>
      <c r="E1525" s="1077" t="s">
        <v>15102</v>
      </c>
      <c r="F1525" s="1077" t="s">
        <v>1119</v>
      </c>
      <c r="G1525" s="1077">
        <v>5</v>
      </c>
      <c r="H1525" s="1077" t="s">
        <v>5309</v>
      </c>
      <c r="I1525" s="1077" t="s">
        <v>648</v>
      </c>
      <c r="J1525" s="1077">
        <v>0</v>
      </c>
      <c r="K1525" s="1077" t="s">
        <v>5151</v>
      </c>
      <c r="L1525" s="1077" t="s">
        <v>5152</v>
      </c>
      <c r="M1525" s="1077">
        <v>149.9</v>
      </c>
      <c r="N1525" s="1077" t="s">
        <v>945</v>
      </c>
      <c r="O1525" s="1077">
        <v>3.7475000000000005</v>
      </c>
      <c r="P1525" s="1077">
        <v>2.9980000000000002</v>
      </c>
      <c r="Q1525" s="1077">
        <v>4</v>
      </c>
      <c r="R1525" s="1077">
        <v>24</v>
      </c>
      <c r="T1525" s="1077">
        <v>17</v>
      </c>
      <c r="U1525" s="1077">
        <v>2.6</v>
      </c>
      <c r="V1525" s="1077" t="s">
        <v>648</v>
      </c>
      <c r="W1525" s="1077" t="s">
        <v>648</v>
      </c>
      <c r="X1525" s="1077" t="s">
        <v>648</v>
      </c>
      <c r="Y1525" s="1077">
        <v>1</v>
      </c>
      <c r="Z1525" s="1077">
        <v>5</v>
      </c>
      <c r="AA1525" s="1077" t="s">
        <v>5310</v>
      </c>
      <c r="AB1525" s="1077" t="s">
        <v>5311</v>
      </c>
      <c r="AH1525" s="1077" t="s">
        <v>1486</v>
      </c>
      <c r="AM1525" s="1078" t="s">
        <v>12060</v>
      </c>
      <c r="AN1525" s="1078" t="s">
        <v>12061</v>
      </c>
      <c r="AO1525" s="1078">
        <f t="shared" si="190"/>
        <v>650</v>
      </c>
      <c r="AP1525" s="1078">
        <f t="shared" si="191"/>
        <v>1.7350000000000001</v>
      </c>
      <c r="AQ1525" s="1078" t="str">
        <f t="shared" si="192"/>
        <v>2-6-1S83°</v>
      </c>
      <c r="AR1525" s="1078" t="str">
        <f t="shared" si="193"/>
        <v>29</v>
      </c>
      <c r="AS1525" s="1078" t="str">
        <f t="shared" si="194"/>
        <v>170/178</v>
      </c>
      <c r="AT1525" s="1078" t="str">
        <f t="shared" si="195"/>
        <v>2-6-1S83°</v>
      </c>
      <c r="AV1525" s="1078" t="str">
        <f t="shared" si="188"/>
        <v>110.12.22</v>
      </c>
      <c r="AW1525" s="1344">
        <f t="shared" si="189"/>
        <v>44552</v>
      </c>
    </row>
    <row r="1526" spans="1:49">
      <c r="A1526" s="1077" t="s">
        <v>5312</v>
      </c>
      <c r="B1526" s="1077" t="s">
        <v>5304</v>
      </c>
      <c r="C1526" s="1077">
        <v>650</v>
      </c>
      <c r="D1526" s="1077">
        <v>1.75</v>
      </c>
      <c r="E1526" s="1077" t="s">
        <v>15094</v>
      </c>
      <c r="F1526" s="1077" t="s">
        <v>975</v>
      </c>
      <c r="G1526" s="1077">
        <v>5</v>
      </c>
      <c r="H1526" s="1077" t="s">
        <v>5305</v>
      </c>
      <c r="I1526" s="1077" t="s">
        <v>126</v>
      </c>
      <c r="J1526" s="1077">
        <v>2.6</v>
      </c>
      <c r="K1526" s="1077" t="s">
        <v>5298</v>
      </c>
      <c r="L1526" s="1077" t="s">
        <v>5152</v>
      </c>
      <c r="M1526" s="1077">
        <v>148.6</v>
      </c>
      <c r="N1526" s="1077" t="s">
        <v>945</v>
      </c>
      <c r="O1526" s="1077">
        <v>3.7149999999999999</v>
      </c>
      <c r="P1526" s="1077">
        <v>2.972</v>
      </c>
      <c r="Q1526" s="1077">
        <v>3.5</v>
      </c>
      <c r="R1526" s="1077">
        <v>20.399999999999999</v>
      </c>
      <c r="T1526" s="1077">
        <v>26</v>
      </c>
      <c r="U1526" s="1077">
        <v>3.7</v>
      </c>
      <c r="V1526" s="1077" t="s">
        <v>648</v>
      </c>
      <c r="W1526" s="1077">
        <v>105</v>
      </c>
      <c r="X1526" s="1077">
        <v>50</v>
      </c>
      <c r="Y1526" s="1077">
        <v>2</v>
      </c>
      <c r="Z1526" s="1077">
        <v>6.5</v>
      </c>
      <c r="AA1526" s="1077" t="s">
        <v>4000</v>
      </c>
      <c r="AH1526" s="1077" t="s">
        <v>963</v>
      </c>
      <c r="AM1526" s="1078" t="s">
        <v>12062</v>
      </c>
      <c r="AN1526" s="1078" t="s">
        <v>12063</v>
      </c>
      <c r="AO1526" s="1078">
        <f t="shared" si="190"/>
        <v>650</v>
      </c>
      <c r="AP1526" s="1078">
        <f t="shared" si="191"/>
        <v>1.75</v>
      </c>
      <c r="AQ1526" s="1078" t="str">
        <f t="shared" si="192"/>
        <v>1-5-1S91°</v>
      </c>
      <c r="AR1526" s="1078" t="str">
        <f t="shared" si="193"/>
        <v>31.5</v>
      </c>
      <c r="AS1526" s="1078" t="str">
        <f t="shared" si="194"/>
        <v>350/320/OFF</v>
      </c>
      <c r="AT1526" s="1078" t="str">
        <f t="shared" si="195"/>
        <v>1-5-1S91°</v>
      </c>
      <c r="AV1526" s="1078" t="str">
        <f t="shared" si="188"/>
        <v>110.12.23</v>
      </c>
      <c r="AW1526" s="1344">
        <f t="shared" si="189"/>
        <v>44553</v>
      </c>
    </row>
    <row r="1527" spans="1:49">
      <c r="A1527" s="1077" t="s">
        <v>5313</v>
      </c>
      <c r="B1527" s="1077" t="s">
        <v>5314</v>
      </c>
      <c r="C1527" s="1077">
        <v>600</v>
      </c>
      <c r="D1527" s="1077">
        <v>1.72</v>
      </c>
      <c r="E1527" s="1077" t="s">
        <v>15116</v>
      </c>
      <c r="F1527" s="1077" t="s">
        <v>1514</v>
      </c>
      <c r="G1527" s="1077">
        <v>2</v>
      </c>
      <c r="H1527" s="1077" t="s">
        <v>1017</v>
      </c>
      <c r="I1527" s="1077" t="s">
        <v>126</v>
      </c>
      <c r="J1527" s="1077">
        <v>2.1</v>
      </c>
      <c r="K1527" s="1077" t="s">
        <v>5315</v>
      </c>
      <c r="L1527" s="1077" t="s">
        <v>1924</v>
      </c>
      <c r="M1527" s="1077">
        <v>150</v>
      </c>
      <c r="N1527" s="1077" t="s">
        <v>945</v>
      </c>
      <c r="O1527" s="1077">
        <v>3.75</v>
      </c>
      <c r="P1527" s="1077">
        <v>3</v>
      </c>
      <c r="Q1527" s="1077">
        <v>3</v>
      </c>
      <c r="R1527" s="1077">
        <v>28.5</v>
      </c>
      <c r="T1527" s="1077">
        <v>12.5</v>
      </c>
      <c r="U1527" s="1077">
        <v>7.4</v>
      </c>
      <c r="V1527" s="1077" t="s">
        <v>648</v>
      </c>
      <c r="W1527" s="1077">
        <v>125</v>
      </c>
      <c r="X1527" s="1077">
        <v>80</v>
      </c>
      <c r="Y1527" s="1077">
        <v>1.5</v>
      </c>
      <c r="Z1527" s="1077" t="s">
        <v>648</v>
      </c>
      <c r="AA1527" s="1077" t="s">
        <v>5316</v>
      </c>
      <c r="AH1527" s="1077" t="s">
        <v>1771</v>
      </c>
      <c r="AM1527" s="1078" t="s">
        <v>12064</v>
      </c>
      <c r="AN1527" s="1078" t="s">
        <v>12065</v>
      </c>
      <c r="AO1527" s="1078">
        <f t="shared" si="190"/>
        <v>600</v>
      </c>
      <c r="AP1527" s="1078">
        <f t="shared" si="191"/>
        <v>1.72</v>
      </c>
      <c r="AQ1527" s="1078" t="str">
        <f t="shared" si="192"/>
        <v>1-5-1S83°Z+S</v>
      </c>
      <c r="AR1527" s="1078" t="str">
        <f t="shared" si="193"/>
        <v>32</v>
      </c>
      <c r="AS1527" s="1078" t="str">
        <f t="shared" si="194"/>
        <v>200/200/OFF</v>
      </c>
      <c r="AT1527" s="1078" t="str">
        <f t="shared" si="195"/>
        <v>1-5-1S83°Z+S</v>
      </c>
      <c r="AU1527" s="1078" t="s">
        <v>15547</v>
      </c>
      <c r="AV1527" s="1078" t="str">
        <f t="shared" si="188"/>
        <v>110.12.27</v>
      </c>
      <c r="AW1527" s="1344">
        <f t="shared" si="189"/>
        <v>44557</v>
      </c>
    </row>
    <row r="1528" spans="1:49">
      <c r="A1528" s="1077" t="s">
        <v>5317</v>
      </c>
      <c r="B1528" s="1077" t="s">
        <v>4767</v>
      </c>
      <c r="C1528" s="1077">
        <v>650</v>
      </c>
      <c r="D1528" s="1077">
        <v>1.7250000000000001</v>
      </c>
      <c r="E1528" s="1077" t="s">
        <v>15109</v>
      </c>
      <c r="F1528" s="1077" t="s">
        <v>648</v>
      </c>
      <c r="G1528" s="1077">
        <v>5</v>
      </c>
      <c r="H1528" s="1077" t="s">
        <v>1188</v>
      </c>
      <c r="I1528" s="1077" t="s">
        <v>126</v>
      </c>
      <c r="J1528" s="1077">
        <v>1.5</v>
      </c>
      <c r="K1528" s="1077" t="s">
        <v>5318</v>
      </c>
      <c r="L1528" s="1077" t="s">
        <v>1776</v>
      </c>
      <c r="M1528" s="1077">
        <v>148</v>
      </c>
      <c r="N1528" s="1077" t="s">
        <v>945</v>
      </c>
      <c r="O1528" s="1077">
        <v>3.7</v>
      </c>
      <c r="P1528" s="1077">
        <v>2.96</v>
      </c>
      <c r="Q1528" s="1077">
        <v>4</v>
      </c>
      <c r="R1528" s="1077">
        <v>20.8</v>
      </c>
      <c r="T1528" s="1077">
        <v>20.399999999999999</v>
      </c>
      <c r="U1528" s="1077">
        <v>3.8</v>
      </c>
      <c r="V1528" s="1077" t="s">
        <v>648</v>
      </c>
      <c r="W1528" s="1077">
        <v>110</v>
      </c>
      <c r="X1528" s="1077">
        <v>60</v>
      </c>
      <c r="Y1528" s="1077">
        <v>1.7</v>
      </c>
      <c r="Z1528" s="1077" t="s">
        <v>648</v>
      </c>
      <c r="AA1528" s="1077" t="s">
        <v>5316</v>
      </c>
      <c r="AH1528" s="1077" t="s">
        <v>5319</v>
      </c>
      <c r="AM1528" s="1078" t="s">
        <v>12066</v>
      </c>
      <c r="AN1528" s="1078" t="s">
        <v>12067</v>
      </c>
      <c r="AO1528" s="1078">
        <f t="shared" si="190"/>
        <v>650</v>
      </c>
      <c r="AP1528" s="1078">
        <f t="shared" si="191"/>
        <v>1.7250000000000001</v>
      </c>
      <c r="AQ1528" s="1078" t="str">
        <f t="shared" si="192"/>
        <v>1-5-1S85°Z+S</v>
      </c>
      <c r="AR1528" s="1078" t="str">
        <f t="shared" si="193"/>
        <v>NA</v>
      </c>
      <c r="AS1528" s="1078" t="str">
        <f t="shared" si="194"/>
        <v>177/OFF</v>
      </c>
      <c r="AT1528" s="1078" t="str">
        <f t="shared" si="195"/>
        <v>1-5-1S85°Z+S</v>
      </c>
      <c r="AU1528" s="1078" t="s">
        <v>15547</v>
      </c>
      <c r="AV1528" s="1078" t="str">
        <f t="shared" si="188"/>
        <v>110.12.27</v>
      </c>
      <c r="AW1528" s="1344">
        <f t="shared" si="189"/>
        <v>44557</v>
      </c>
    </row>
    <row r="1529" spans="1:49">
      <c r="A1529" s="1077" t="s">
        <v>5320</v>
      </c>
      <c r="B1529" s="1077" t="s">
        <v>5233</v>
      </c>
      <c r="C1529" s="1077">
        <v>500</v>
      </c>
      <c r="D1529" s="1077">
        <v>1.71</v>
      </c>
      <c r="E1529" s="1077" t="s">
        <v>15116</v>
      </c>
      <c r="F1529" s="1077" t="s">
        <v>954</v>
      </c>
      <c r="G1529" s="1077">
        <v>3</v>
      </c>
      <c r="H1529" s="1077" t="s">
        <v>1145</v>
      </c>
      <c r="I1529" s="1077" t="s">
        <v>4071</v>
      </c>
      <c r="J1529" s="1077">
        <v>2</v>
      </c>
      <c r="K1529" s="1077" t="s">
        <v>5321</v>
      </c>
      <c r="L1529" s="1077" t="s">
        <v>5235</v>
      </c>
      <c r="M1529" s="1077">
        <v>155.80000000000001</v>
      </c>
      <c r="N1529" s="1077" t="s">
        <v>945</v>
      </c>
      <c r="O1529" s="1077">
        <v>3.8950000000000005</v>
      </c>
      <c r="P1529" s="1077">
        <v>3.1160000000000001</v>
      </c>
      <c r="Q1529" s="1077" t="s">
        <v>1369</v>
      </c>
      <c r="R1529" s="1077">
        <v>22.5</v>
      </c>
      <c r="T1529" s="1077">
        <v>18</v>
      </c>
      <c r="U1529" s="1077">
        <v>4.7</v>
      </c>
      <c r="V1529" s="1077" t="s">
        <v>648</v>
      </c>
      <c r="W1529" s="1077">
        <v>95</v>
      </c>
      <c r="X1529" s="1077">
        <v>90</v>
      </c>
      <c r="Y1529" s="1077">
        <v>2</v>
      </c>
      <c r="Z1529" s="1077" t="s">
        <v>648</v>
      </c>
      <c r="AA1529" s="1077" t="s">
        <v>5132</v>
      </c>
      <c r="AH1529" s="1077" t="s">
        <v>2398</v>
      </c>
      <c r="AM1529" s="1078" t="s">
        <v>12068</v>
      </c>
      <c r="AN1529" s="1078" t="s">
        <v>12069</v>
      </c>
      <c r="AO1529" s="1078">
        <f t="shared" si="190"/>
        <v>500</v>
      </c>
      <c r="AP1529" s="1078">
        <f t="shared" si="191"/>
        <v>1.71</v>
      </c>
      <c r="AQ1529" s="1078" t="str">
        <f t="shared" si="192"/>
        <v>1-5-1S83°Z+S</v>
      </c>
      <c r="AR1529" s="1078" t="str">
        <f t="shared" si="193"/>
        <v>31</v>
      </c>
      <c r="AS1529" s="1078" t="str">
        <f t="shared" si="194"/>
        <v>235/235/OFF</v>
      </c>
      <c r="AT1529" s="1078" t="str">
        <f t="shared" si="195"/>
        <v>1-5-1S83°Z+S</v>
      </c>
      <c r="AU1529" s="1078" t="s">
        <v>15547</v>
      </c>
      <c r="AV1529" s="1078" t="str">
        <f t="shared" si="188"/>
        <v>108.11.13</v>
      </c>
      <c r="AW1529" s="1344">
        <f t="shared" si="189"/>
        <v>43782</v>
      </c>
    </row>
    <row r="1530" spans="1:49">
      <c r="A1530" s="1077" t="s">
        <v>5322</v>
      </c>
      <c r="B1530" s="1077" t="s">
        <v>5068</v>
      </c>
      <c r="C1530" s="1077">
        <v>700</v>
      </c>
      <c r="D1530" s="1077">
        <v>1.75</v>
      </c>
      <c r="E1530" s="1077" t="s">
        <v>15104</v>
      </c>
      <c r="F1530" s="1077" t="s">
        <v>648</v>
      </c>
      <c r="G1530" s="1077">
        <v>5</v>
      </c>
      <c r="H1530" s="1077" t="s">
        <v>941</v>
      </c>
      <c r="I1530" s="1077" t="s">
        <v>643</v>
      </c>
      <c r="J1530" s="1077">
        <v>1.5</v>
      </c>
      <c r="K1530" s="1077" t="s">
        <v>5323</v>
      </c>
      <c r="L1530" s="1077" t="s">
        <v>1913</v>
      </c>
      <c r="M1530" s="1077">
        <v>150</v>
      </c>
      <c r="N1530" s="1077" t="s">
        <v>945</v>
      </c>
      <c r="O1530" s="1077">
        <v>3.75</v>
      </c>
      <c r="P1530" s="1077">
        <v>3</v>
      </c>
      <c r="Q1530" s="1077" t="s">
        <v>956</v>
      </c>
      <c r="R1530" s="1077">
        <v>20.8</v>
      </c>
      <c r="T1530" s="1077">
        <v>29.1</v>
      </c>
      <c r="U1530" s="1077">
        <v>3.4</v>
      </c>
      <c r="V1530" s="1077" t="s">
        <v>2520</v>
      </c>
      <c r="W1530" s="1077">
        <v>80</v>
      </c>
      <c r="X1530" s="1077">
        <v>60</v>
      </c>
      <c r="Y1530" s="1077">
        <v>1.5</v>
      </c>
      <c r="Z1530" s="1077" t="s">
        <v>648</v>
      </c>
      <c r="AA1530" s="1077" t="s">
        <v>1278</v>
      </c>
      <c r="AH1530" s="1077" t="s">
        <v>782</v>
      </c>
      <c r="AM1530" s="1078" t="s">
        <v>12070</v>
      </c>
      <c r="AN1530" s="1078" t="s">
        <v>12071</v>
      </c>
      <c r="AO1530" s="1078">
        <f t="shared" si="190"/>
        <v>700</v>
      </c>
      <c r="AP1530" s="1078">
        <f t="shared" si="191"/>
        <v>1.75</v>
      </c>
      <c r="AQ1530" s="1078" t="str">
        <f t="shared" si="192"/>
        <v>1-4-1S85°Z+S</v>
      </c>
      <c r="AR1530" s="1078" t="str">
        <f t="shared" si="193"/>
        <v>NA</v>
      </c>
      <c r="AS1530" s="1078" t="str">
        <f t="shared" si="194"/>
        <v>185/OFF</v>
      </c>
      <c r="AT1530" s="1078" t="str">
        <f t="shared" si="195"/>
        <v>1-4-1S85°Z+S</v>
      </c>
      <c r="AU1530" s="1078" t="s">
        <v>15547</v>
      </c>
      <c r="AV1530" s="1078" t="str">
        <f t="shared" si="188"/>
        <v>109.3.4</v>
      </c>
      <c r="AW1530" s="1344">
        <f t="shared" si="189"/>
        <v>43894</v>
      </c>
    </row>
    <row r="1531" spans="1:49">
      <c r="A1531" s="1077" t="s">
        <v>5324</v>
      </c>
      <c r="B1531" s="1077" t="s">
        <v>844</v>
      </c>
      <c r="C1531" s="1077">
        <v>550</v>
      </c>
      <c r="D1531" s="1077">
        <v>1.7649999999999999</v>
      </c>
      <c r="E1531" s="1077" t="s">
        <v>15102</v>
      </c>
      <c r="F1531" s="1077" t="s">
        <v>975</v>
      </c>
      <c r="G1531" s="1077">
        <v>5</v>
      </c>
      <c r="H1531" s="1077" t="s">
        <v>5325</v>
      </c>
      <c r="I1531" s="1077" t="s">
        <v>460</v>
      </c>
      <c r="J1531" s="1077">
        <v>3.4</v>
      </c>
      <c r="K1531" s="1077" t="s">
        <v>5326</v>
      </c>
      <c r="L1531" s="1077" t="s">
        <v>4907</v>
      </c>
      <c r="M1531" s="1077">
        <v>152.5</v>
      </c>
      <c r="N1531" s="1077" t="s">
        <v>945</v>
      </c>
      <c r="O1531" s="1077">
        <v>3.8125</v>
      </c>
      <c r="P1531" s="1077">
        <v>3.0500000000000003</v>
      </c>
      <c r="Q1531" s="1077" t="s">
        <v>1059</v>
      </c>
      <c r="R1531" s="1077">
        <v>21</v>
      </c>
      <c r="T1531" s="1077">
        <v>9.1999999999999993</v>
      </c>
      <c r="U1531" s="1077">
        <v>5.4</v>
      </c>
      <c r="V1531" s="1077" t="s">
        <v>648</v>
      </c>
      <c r="W1531" s="1077">
        <v>110</v>
      </c>
      <c r="X1531" s="1077">
        <v>90</v>
      </c>
      <c r="Y1531" s="1077">
        <v>2</v>
      </c>
      <c r="Z1531" s="1077" t="s">
        <v>2431</v>
      </c>
      <c r="AA1531" s="1077" t="s">
        <v>4042</v>
      </c>
      <c r="AH1531" s="1077" t="s">
        <v>680</v>
      </c>
      <c r="AM1531" s="1078" t="s">
        <v>12072</v>
      </c>
      <c r="AN1531" s="1078" t="s">
        <v>12073</v>
      </c>
      <c r="AO1531" s="1078">
        <f t="shared" si="190"/>
        <v>550</v>
      </c>
      <c r="AP1531" s="1078">
        <f t="shared" si="191"/>
        <v>1.7649999999999999</v>
      </c>
      <c r="AQ1531" s="1078" t="str">
        <f t="shared" si="192"/>
        <v>2-6-1S83°</v>
      </c>
      <c r="AR1531" s="1078" t="str">
        <f t="shared" si="193"/>
        <v>31.5</v>
      </c>
      <c r="AS1531" s="1078" t="str">
        <f t="shared" si="194"/>
        <v>158/155</v>
      </c>
      <c r="AT1531" s="1078" t="str">
        <f t="shared" si="195"/>
        <v>2-6-1S83°</v>
      </c>
      <c r="AV1531" s="1078" t="str">
        <f t="shared" si="188"/>
        <v>109.5.14</v>
      </c>
      <c r="AW1531" s="1344">
        <f t="shared" si="189"/>
        <v>43965</v>
      </c>
    </row>
    <row r="1532" spans="1:49">
      <c r="A1532" s="1077" t="s">
        <v>5327</v>
      </c>
      <c r="B1532" s="1077" t="s">
        <v>5157</v>
      </c>
      <c r="C1532" s="1077">
        <v>650</v>
      </c>
      <c r="D1532" s="1077">
        <v>1.73</v>
      </c>
      <c r="E1532" s="1077" t="s">
        <v>15088</v>
      </c>
      <c r="F1532" s="1077" t="s">
        <v>648</v>
      </c>
      <c r="G1532" s="1077">
        <v>5</v>
      </c>
      <c r="H1532" s="1077" t="s">
        <v>5328</v>
      </c>
      <c r="I1532" s="1077" t="s">
        <v>460</v>
      </c>
      <c r="J1532" s="1077">
        <v>2.5</v>
      </c>
      <c r="K1532" s="1077" t="s">
        <v>5144</v>
      </c>
      <c r="L1532" s="1077" t="s">
        <v>4854</v>
      </c>
      <c r="M1532" s="1077">
        <v>152</v>
      </c>
      <c r="N1532" s="1077" t="s">
        <v>945</v>
      </c>
      <c r="O1532" s="1077">
        <v>3.8000000000000003</v>
      </c>
      <c r="P1532" s="1077">
        <v>3.04</v>
      </c>
      <c r="Q1532" s="1077" t="s">
        <v>1005</v>
      </c>
      <c r="R1532" s="1077">
        <v>28</v>
      </c>
      <c r="T1532" s="1077">
        <v>7.2</v>
      </c>
      <c r="U1532" s="1077">
        <v>6.1</v>
      </c>
      <c r="V1532" s="1077" t="s">
        <v>648</v>
      </c>
      <c r="W1532" s="1077">
        <v>100</v>
      </c>
      <c r="X1532" s="1077">
        <v>80</v>
      </c>
      <c r="Y1532" s="1077">
        <v>1.5</v>
      </c>
      <c r="Z1532" s="1077" t="s">
        <v>5329</v>
      </c>
      <c r="AA1532" s="1077" t="s">
        <v>4748</v>
      </c>
      <c r="AH1532" s="1077" t="s">
        <v>726</v>
      </c>
      <c r="AM1532" s="1078" t="s">
        <v>12074</v>
      </c>
      <c r="AN1532" s="1078" t="s">
        <v>12075</v>
      </c>
      <c r="AO1532" s="1078">
        <f t="shared" si="190"/>
        <v>650</v>
      </c>
      <c r="AP1532" s="1078">
        <f t="shared" si="191"/>
        <v>1.73</v>
      </c>
      <c r="AQ1532" s="1078" t="str">
        <f t="shared" si="192"/>
        <v>1-4-1S85°</v>
      </c>
      <c r="AR1532" s="1078" t="str">
        <f t="shared" si="193"/>
        <v>NA</v>
      </c>
      <c r="AS1532" s="1078" t="str">
        <f t="shared" si="194"/>
        <v>160/150</v>
      </c>
      <c r="AT1532" s="1078" t="str">
        <f t="shared" si="195"/>
        <v>1-4-1S85°</v>
      </c>
      <c r="AV1532" s="1078" t="str">
        <f t="shared" si="188"/>
        <v>109.11.11</v>
      </c>
      <c r="AW1532" s="1344">
        <f t="shared" si="189"/>
        <v>44146</v>
      </c>
    </row>
    <row r="1533" spans="1:49">
      <c r="A1533" s="1077" t="s">
        <v>5330</v>
      </c>
      <c r="B1533" s="1077" t="s">
        <v>210</v>
      </c>
      <c r="C1533" s="1077">
        <v>650</v>
      </c>
      <c r="D1533" s="1077">
        <v>1.75</v>
      </c>
      <c r="E1533" s="1077" t="s">
        <v>15094</v>
      </c>
      <c r="F1533" s="1077" t="s">
        <v>2167</v>
      </c>
      <c r="G1533" s="1077">
        <v>5</v>
      </c>
      <c r="H1533" s="1077" t="s">
        <v>4821</v>
      </c>
      <c r="I1533" s="1077" t="s">
        <v>643</v>
      </c>
      <c r="J1533" s="1077">
        <v>2.8</v>
      </c>
      <c r="K1533" s="1077" t="s">
        <v>5331</v>
      </c>
      <c r="L1533" s="1077" t="s">
        <v>5332</v>
      </c>
      <c r="M1533" s="1077">
        <v>149.5</v>
      </c>
      <c r="N1533" s="1077" t="s">
        <v>945</v>
      </c>
      <c r="O1533" s="1077">
        <v>3.7375000000000003</v>
      </c>
      <c r="P1533" s="1077">
        <v>2.99</v>
      </c>
      <c r="Q1533" s="1077">
        <v>3.5</v>
      </c>
      <c r="R1533" s="1077">
        <v>21.5</v>
      </c>
      <c r="T1533" s="1077">
        <v>19.5</v>
      </c>
      <c r="U1533" s="1077">
        <v>2.9</v>
      </c>
      <c r="V1533" s="1077" t="s">
        <v>648</v>
      </c>
      <c r="W1533" s="1077">
        <v>100</v>
      </c>
      <c r="X1533" s="1077">
        <v>90</v>
      </c>
      <c r="Y1533" s="1077">
        <v>1.8</v>
      </c>
      <c r="Z1533" s="1077">
        <v>5.5</v>
      </c>
      <c r="AA1533" s="1077" t="s">
        <v>1303</v>
      </c>
      <c r="AB1533" s="1077" t="s">
        <v>981</v>
      </c>
      <c r="AH1533" s="1077" t="s">
        <v>830</v>
      </c>
      <c r="AM1533" s="1078" t="s">
        <v>12076</v>
      </c>
      <c r="AN1533" s="1078" t="s">
        <v>12077</v>
      </c>
      <c r="AO1533" s="1078">
        <f t="shared" si="190"/>
        <v>650</v>
      </c>
      <c r="AP1533" s="1078">
        <f t="shared" si="191"/>
        <v>1.75</v>
      </c>
      <c r="AQ1533" s="1078" t="str">
        <f t="shared" si="192"/>
        <v>1-5-1S91°</v>
      </c>
      <c r="AR1533" s="1078" t="str">
        <f t="shared" si="193"/>
        <v>33</v>
      </c>
      <c r="AS1533" s="1078" t="str">
        <f t="shared" si="194"/>
        <v>390/360/155</v>
      </c>
      <c r="AT1533" s="1078" t="str">
        <f t="shared" si="195"/>
        <v>1-5-1S91°</v>
      </c>
      <c r="AV1533" s="1078" t="str">
        <f t="shared" si="188"/>
        <v>110.1.18</v>
      </c>
      <c r="AW1533" s="1344">
        <f t="shared" si="189"/>
        <v>44214</v>
      </c>
    </row>
    <row r="1534" spans="1:49">
      <c r="A1534" s="1077" t="s">
        <v>5333</v>
      </c>
      <c r="B1534" s="1077" t="s">
        <v>5148</v>
      </c>
      <c r="C1534" s="1077" t="s">
        <v>5334</v>
      </c>
      <c r="D1534" s="1077">
        <v>1.7350000000000001</v>
      </c>
      <c r="E1534" s="1077" t="s">
        <v>15094</v>
      </c>
      <c r="F1534" s="1077" t="s">
        <v>984</v>
      </c>
      <c r="G1534" s="1077">
        <v>5</v>
      </c>
      <c r="H1534" s="1077" t="s">
        <v>5335</v>
      </c>
      <c r="I1534" s="1077" t="s">
        <v>126</v>
      </c>
      <c r="J1534" s="1077">
        <v>0.5</v>
      </c>
      <c r="K1534" s="1077" t="s">
        <v>5336</v>
      </c>
      <c r="L1534" s="1077" t="s">
        <v>5152</v>
      </c>
      <c r="M1534" s="1077">
        <v>149.9</v>
      </c>
      <c r="N1534" s="1077" t="s">
        <v>945</v>
      </c>
      <c r="O1534" s="1077">
        <v>3.7475000000000005</v>
      </c>
      <c r="P1534" s="1077">
        <v>2.9980000000000002</v>
      </c>
      <c r="Q1534" s="1077">
        <v>4</v>
      </c>
      <c r="R1534" s="1077">
        <v>22</v>
      </c>
      <c r="T1534" s="1077">
        <v>20</v>
      </c>
      <c r="U1534" s="1077">
        <v>2.6</v>
      </c>
      <c r="V1534" s="1077" t="s">
        <v>648</v>
      </c>
      <c r="W1534" s="1077">
        <v>35</v>
      </c>
      <c r="X1534" s="1077">
        <v>10</v>
      </c>
      <c r="Y1534" s="1077">
        <v>1</v>
      </c>
      <c r="Z1534" s="1077">
        <v>6</v>
      </c>
      <c r="AA1534" s="1077" t="s">
        <v>4843</v>
      </c>
      <c r="AH1534" s="1077" t="s">
        <v>1452</v>
      </c>
      <c r="AM1534" s="1078" t="s">
        <v>12078</v>
      </c>
      <c r="AN1534" s="1078" t="s">
        <v>12079</v>
      </c>
      <c r="AO1534" s="1078" t="str">
        <f t="shared" si="190"/>
        <v>750↓650</v>
      </c>
      <c r="AP1534" s="1078">
        <f t="shared" si="191"/>
        <v>1.7350000000000001</v>
      </c>
      <c r="AQ1534" s="1078" t="str">
        <f t="shared" si="192"/>
        <v>1-5-1S91°</v>
      </c>
      <c r="AR1534" s="1078" t="str">
        <f t="shared" si="193"/>
        <v>30</v>
      </c>
      <c r="AS1534" s="1078" t="str">
        <f t="shared" si="194"/>
        <v>340/300/158</v>
      </c>
      <c r="AT1534" s="1078" t="str">
        <f t="shared" si="195"/>
        <v>1-5-1S91°</v>
      </c>
      <c r="AV1534" s="1078" t="str">
        <f t="shared" si="188"/>
        <v>110.3.10</v>
      </c>
      <c r="AW1534" s="1344">
        <f t="shared" si="189"/>
        <v>44265</v>
      </c>
    </row>
    <row r="1535" spans="1:49">
      <c r="A1535" s="1077" t="s">
        <v>5337</v>
      </c>
      <c r="B1535" s="1077" t="s">
        <v>5338</v>
      </c>
      <c r="C1535" s="1077">
        <v>500</v>
      </c>
      <c r="D1535" s="1077">
        <v>1.746</v>
      </c>
      <c r="E1535" s="1077" t="s">
        <v>15116</v>
      </c>
      <c r="F1535" s="1077" t="s">
        <v>984</v>
      </c>
      <c r="G1535" s="1077">
        <v>2</v>
      </c>
      <c r="H1535" s="1077" t="s">
        <v>1649</v>
      </c>
      <c r="I1535" s="1077" t="s">
        <v>126</v>
      </c>
      <c r="J1535" s="1077">
        <v>1.4</v>
      </c>
      <c r="K1535" s="1077" t="s">
        <v>5339</v>
      </c>
      <c r="L1535" s="1077" t="s">
        <v>1844</v>
      </c>
      <c r="M1535" s="1077">
        <v>148.1</v>
      </c>
      <c r="N1535" s="1077" t="s">
        <v>945</v>
      </c>
      <c r="O1535" s="1077">
        <v>3.7025000000000001</v>
      </c>
      <c r="P1535" s="1077">
        <v>2.9619999999999997</v>
      </c>
      <c r="Q1535" s="1077">
        <v>3.5</v>
      </c>
      <c r="R1535" s="1077">
        <v>22.4</v>
      </c>
      <c r="T1535" s="1077">
        <v>20.6</v>
      </c>
      <c r="U1535" s="1077">
        <v>3.7</v>
      </c>
      <c r="V1535" s="1077" t="s">
        <v>648</v>
      </c>
      <c r="W1535" s="1077">
        <v>140</v>
      </c>
      <c r="X1535" s="1077">
        <v>75</v>
      </c>
      <c r="Y1535" s="1077">
        <v>1.5</v>
      </c>
      <c r="Z1535" s="1077" t="s">
        <v>648</v>
      </c>
      <c r="AA1535" s="1077" t="s">
        <v>3456</v>
      </c>
      <c r="AH1535" s="1077" t="s">
        <v>1267</v>
      </c>
      <c r="AM1535" s="1078" t="s">
        <v>12080</v>
      </c>
      <c r="AN1535" s="1078" t="s">
        <v>12081</v>
      </c>
      <c r="AO1535" s="1078">
        <f t="shared" si="190"/>
        <v>500</v>
      </c>
      <c r="AP1535" s="1078">
        <f t="shared" si="191"/>
        <v>1.746</v>
      </c>
      <c r="AQ1535" s="1078" t="str">
        <f t="shared" si="192"/>
        <v>1-5-1S83°Z+S</v>
      </c>
      <c r="AR1535" s="1078" t="str">
        <f t="shared" si="193"/>
        <v>30</v>
      </c>
      <c r="AS1535" s="1078" t="str">
        <f t="shared" si="194"/>
        <v>225/225/OFF</v>
      </c>
      <c r="AT1535" s="1078" t="str">
        <f t="shared" si="195"/>
        <v>1-5-1S83°Z+S</v>
      </c>
      <c r="AU1535" s="1078" t="s">
        <v>15547</v>
      </c>
      <c r="AV1535" s="1078" t="str">
        <f t="shared" si="188"/>
        <v>110.5.24</v>
      </c>
      <c r="AW1535" s="1344">
        <f t="shared" si="189"/>
        <v>44340</v>
      </c>
    </row>
    <row r="1536" spans="1:49">
      <c r="A1536" s="1077" t="s">
        <v>5340</v>
      </c>
      <c r="B1536" s="1077" t="s">
        <v>4927</v>
      </c>
      <c r="C1536" s="1077">
        <v>550</v>
      </c>
      <c r="D1536" s="1077">
        <v>1.74</v>
      </c>
      <c r="E1536" s="1077" t="s">
        <v>15116</v>
      </c>
      <c r="F1536" s="1077" t="s">
        <v>1514</v>
      </c>
      <c r="G1536" s="1077">
        <v>4</v>
      </c>
      <c r="H1536" s="1077" t="s">
        <v>5341</v>
      </c>
      <c r="I1536" s="1077" t="s">
        <v>126</v>
      </c>
      <c r="J1536" s="1077">
        <v>1.2</v>
      </c>
      <c r="K1536" s="1077" t="s">
        <v>5342</v>
      </c>
      <c r="L1536" s="1077" t="s">
        <v>1763</v>
      </c>
      <c r="M1536" s="1077">
        <v>159.5</v>
      </c>
      <c r="N1536" s="1077" t="s">
        <v>945</v>
      </c>
      <c r="O1536" s="1077">
        <v>3.9875000000000003</v>
      </c>
      <c r="P1536" s="1077">
        <v>3.19</v>
      </c>
      <c r="Q1536" s="1077">
        <v>3</v>
      </c>
      <c r="R1536" s="1077">
        <v>33</v>
      </c>
      <c r="T1536" s="1077">
        <v>11.7</v>
      </c>
      <c r="U1536" s="1077">
        <v>6.3</v>
      </c>
      <c r="V1536" s="1077" t="s">
        <v>648</v>
      </c>
      <c r="W1536" s="1077">
        <v>135</v>
      </c>
      <c r="X1536" s="1077">
        <v>85</v>
      </c>
      <c r="Y1536" s="1077">
        <v>1.4</v>
      </c>
      <c r="Z1536" s="1077" t="s">
        <v>648</v>
      </c>
      <c r="AA1536" s="1077" t="s">
        <v>5343</v>
      </c>
      <c r="AH1536" s="1077" t="s">
        <v>1244</v>
      </c>
      <c r="AM1536" s="1078" t="s">
        <v>12082</v>
      </c>
      <c r="AN1536" s="1078" t="s">
        <v>12083</v>
      </c>
      <c r="AO1536" s="1078">
        <f t="shared" si="190"/>
        <v>550</v>
      </c>
      <c r="AP1536" s="1078">
        <f t="shared" si="191"/>
        <v>1.74</v>
      </c>
      <c r="AQ1536" s="1078" t="str">
        <f t="shared" si="192"/>
        <v>1-5-1S83°Z+S</v>
      </c>
      <c r="AR1536" s="1078" t="str">
        <f t="shared" si="193"/>
        <v>32</v>
      </c>
      <c r="AS1536" s="1078" t="str">
        <f t="shared" si="194"/>
        <v>202/202/OFF</v>
      </c>
      <c r="AT1536" s="1078" t="str">
        <f t="shared" si="195"/>
        <v>1-5-1S83°Z+S</v>
      </c>
      <c r="AU1536" s="1078" t="s">
        <v>15547</v>
      </c>
      <c r="AV1536" s="1078" t="str">
        <f t="shared" si="188"/>
        <v>110.7.22</v>
      </c>
      <c r="AW1536" s="1344">
        <f t="shared" si="189"/>
        <v>44399</v>
      </c>
    </row>
    <row r="1537" spans="1:49">
      <c r="A1537" s="1077" t="s">
        <v>5344</v>
      </c>
      <c r="B1537" s="1077" t="s">
        <v>5148</v>
      </c>
      <c r="C1537" s="1077">
        <v>650</v>
      </c>
      <c r="D1537" s="1077">
        <v>1.7450000000000001</v>
      </c>
      <c r="E1537" s="1077" t="s">
        <v>15094</v>
      </c>
      <c r="F1537" s="1077" t="s">
        <v>984</v>
      </c>
      <c r="G1537" s="1077">
        <v>5</v>
      </c>
      <c r="H1537" s="1077" t="s">
        <v>5154</v>
      </c>
      <c r="I1537" s="1077" t="s">
        <v>648</v>
      </c>
      <c r="J1537" s="1077">
        <v>0</v>
      </c>
      <c r="K1537" s="1077" t="s">
        <v>5345</v>
      </c>
      <c r="L1537" s="1077" t="s">
        <v>5152</v>
      </c>
      <c r="M1537" s="1077">
        <v>149.9</v>
      </c>
      <c r="N1537" s="1077" t="s">
        <v>945</v>
      </c>
      <c r="O1537" s="1077">
        <v>3.7475000000000005</v>
      </c>
      <c r="P1537" s="1077">
        <v>2.9980000000000002</v>
      </c>
      <c r="Q1537" s="1077">
        <v>4</v>
      </c>
      <c r="R1537" s="1077">
        <v>24</v>
      </c>
      <c r="T1537" s="1077">
        <v>17</v>
      </c>
      <c r="U1537" s="1077">
        <v>2.6</v>
      </c>
      <c r="V1537" s="1077" t="s">
        <v>648</v>
      </c>
      <c r="W1537" s="1077" t="s">
        <v>648</v>
      </c>
      <c r="X1537" s="1077" t="s">
        <v>648</v>
      </c>
      <c r="Y1537" s="1077">
        <v>1</v>
      </c>
      <c r="Z1537" s="1077">
        <v>4.5</v>
      </c>
      <c r="AA1537" s="1077" t="s">
        <v>5346</v>
      </c>
      <c r="AH1537" s="1077" t="s">
        <v>722</v>
      </c>
      <c r="AM1537" s="1078" t="s">
        <v>12084</v>
      </c>
      <c r="AN1537" s="1078" t="s">
        <v>12085</v>
      </c>
      <c r="AO1537" s="1078">
        <f t="shared" si="190"/>
        <v>650</v>
      </c>
      <c r="AP1537" s="1078">
        <f t="shared" si="191"/>
        <v>1.7450000000000001</v>
      </c>
      <c r="AQ1537" s="1078" t="str">
        <f t="shared" si="192"/>
        <v>1-5-1S91°</v>
      </c>
      <c r="AR1537" s="1078" t="str">
        <f t="shared" si="193"/>
        <v>30</v>
      </c>
      <c r="AS1537" s="1078" t="str">
        <f t="shared" si="194"/>
        <v>350/310/158</v>
      </c>
      <c r="AT1537" s="1078" t="str">
        <f t="shared" si="195"/>
        <v>1-5-1S91°</v>
      </c>
      <c r="AV1537" s="1078" t="str">
        <f t="shared" si="188"/>
        <v>110.9.27</v>
      </c>
      <c r="AW1537" s="1344">
        <f t="shared" si="189"/>
        <v>44466</v>
      </c>
    </row>
    <row r="1538" spans="1:49">
      <c r="A1538" s="1077" t="s">
        <v>5347</v>
      </c>
      <c r="B1538" s="1077" t="s">
        <v>5148</v>
      </c>
      <c r="C1538" s="1077">
        <v>650</v>
      </c>
      <c r="D1538" s="1077">
        <v>1.76</v>
      </c>
      <c r="E1538" s="1077" t="s">
        <v>15094</v>
      </c>
      <c r="F1538" s="1077" t="s">
        <v>975</v>
      </c>
      <c r="G1538" s="1077" t="s">
        <v>5348</v>
      </c>
      <c r="H1538" s="1077" t="s">
        <v>5305</v>
      </c>
      <c r="I1538" s="1077" t="s">
        <v>126</v>
      </c>
      <c r="J1538" s="1077">
        <v>2.5</v>
      </c>
      <c r="K1538" s="1077" t="s">
        <v>5151</v>
      </c>
      <c r="L1538" s="1077" t="s">
        <v>5152</v>
      </c>
      <c r="M1538" s="1077">
        <v>148.6</v>
      </c>
      <c r="N1538" s="1077" t="s">
        <v>945</v>
      </c>
      <c r="O1538" s="1077">
        <v>3.7149999999999999</v>
      </c>
      <c r="P1538" s="1077">
        <v>2.972</v>
      </c>
      <c r="Q1538" s="1077">
        <v>3.5</v>
      </c>
      <c r="R1538" s="1077">
        <v>20.399999999999999</v>
      </c>
      <c r="T1538" s="1077">
        <v>26</v>
      </c>
      <c r="U1538" s="1077">
        <v>3.7</v>
      </c>
      <c r="V1538" s="1077" t="s">
        <v>648</v>
      </c>
      <c r="W1538" s="1077">
        <v>105</v>
      </c>
      <c r="X1538" s="1077">
        <v>50</v>
      </c>
      <c r="Y1538" s="1077">
        <v>2</v>
      </c>
      <c r="Z1538" s="1077">
        <v>6.5</v>
      </c>
      <c r="AA1538" s="1077" t="s">
        <v>3965</v>
      </c>
      <c r="AH1538" s="1077" t="s">
        <v>712</v>
      </c>
      <c r="AM1538" s="1078" t="s">
        <v>12086</v>
      </c>
      <c r="AN1538" s="1078" t="s">
        <v>12087</v>
      </c>
      <c r="AO1538" s="1078">
        <f t="shared" si="190"/>
        <v>650</v>
      </c>
      <c r="AP1538" s="1078">
        <f t="shared" si="191"/>
        <v>1.76</v>
      </c>
      <c r="AQ1538" s="1078" t="str">
        <f t="shared" si="192"/>
        <v>1-5-1S91°</v>
      </c>
      <c r="AR1538" s="1078" t="str">
        <f t="shared" si="193"/>
        <v>31.5</v>
      </c>
      <c r="AS1538" s="1078" t="str">
        <f t="shared" si="194"/>
        <v>350/320/OFF</v>
      </c>
      <c r="AT1538" s="1078" t="str">
        <f t="shared" si="195"/>
        <v>1-5-1S91°</v>
      </c>
      <c r="AV1538" s="1078" t="str">
        <f t="shared" ref="AV1538:AV1601" si="196">AA1538</f>
        <v>110.11.5</v>
      </c>
      <c r="AW1538" s="1344">
        <f t="shared" si="189"/>
        <v>44505</v>
      </c>
    </row>
    <row r="1539" spans="1:49">
      <c r="A1539" s="1077" t="s">
        <v>5349</v>
      </c>
      <c r="B1539" s="1077" t="s">
        <v>210</v>
      </c>
      <c r="C1539" s="1077">
        <v>700</v>
      </c>
      <c r="D1539" s="1077">
        <v>1.74</v>
      </c>
      <c r="E1539" s="1077" t="s">
        <v>15094</v>
      </c>
      <c r="F1539" s="1077" t="s">
        <v>984</v>
      </c>
      <c r="G1539" s="1077">
        <v>5</v>
      </c>
      <c r="H1539" s="1077" t="s">
        <v>5300</v>
      </c>
      <c r="I1539" s="1077" t="s">
        <v>126</v>
      </c>
      <c r="J1539" s="1077">
        <v>0.8</v>
      </c>
      <c r="K1539" s="1077" t="s">
        <v>4688</v>
      </c>
      <c r="L1539" s="1077" t="s">
        <v>4666</v>
      </c>
      <c r="M1539" s="1077">
        <v>151.5</v>
      </c>
      <c r="N1539" s="1077" t="s">
        <v>945</v>
      </c>
      <c r="O1539" s="1077">
        <v>3.7875000000000001</v>
      </c>
      <c r="P1539" s="1077">
        <v>3.0300000000000002</v>
      </c>
      <c r="Q1539" s="1077">
        <v>4</v>
      </c>
      <c r="R1539" s="1077">
        <v>19.100000000000001</v>
      </c>
      <c r="T1539" s="1077">
        <v>23.7</v>
      </c>
      <c r="U1539" s="1077">
        <v>3.2</v>
      </c>
      <c r="V1539" s="1077" t="s">
        <v>648</v>
      </c>
      <c r="W1539" s="1077">
        <v>35</v>
      </c>
      <c r="X1539" s="1077">
        <v>10</v>
      </c>
      <c r="Y1539" s="1077">
        <v>1</v>
      </c>
      <c r="Z1539" s="1077">
        <v>6</v>
      </c>
      <c r="AA1539" s="1077" t="s">
        <v>4289</v>
      </c>
      <c r="AH1539" s="1077" t="s">
        <v>994</v>
      </c>
      <c r="AM1539" s="1078" t="s">
        <v>12088</v>
      </c>
      <c r="AN1539" s="1078" t="s">
        <v>12089</v>
      </c>
      <c r="AO1539" s="1078">
        <f t="shared" si="190"/>
        <v>700</v>
      </c>
      <c r="AP1539" s="1078">
        <f t="shared" si="191"/>
        <v>1.74</v>
      </c>
      <c r="AQ1539" s="1078" t="str">
        <f t="shared" si="192"/>
        <v>1-5-1S91°</v>
      </c>
      <c r="AR1539" s="1078" t="str">
        <f t="shared" si="193"/>
        <v>30</v>
      </c>
      <c r="AS1539" s="1078" t="str">
        <f t="shared" si="194"/>
        <v>370/330/155</v>
      </c>
      <c r="AT1539" s="1078" t="str">
        <f t="shared" si="195"/>
        <v>1-5-1S91°</v>
      </c>
      <c r="AV1539" s="1078" t="str">
        <f t="shared" si="196"/>
        <v>110.12.30</v>
      </c>
      <c r="AW1539" s="1344">
        <f t="shared" ref="AW1539:AW1602" si="197">DATE(VALUE(LEFT(AV1539,FIND(".",AV1539)-1))+1911,
       VALUE(MID(AV1539,FIND(".",AV1539)+1,FIND(".",AV1539,FIND(".",AV1539)+1)-FIND(".",AV1539)-1)),
       VALUE(RIGHT(AV1539,LEN(AV1539)-FIND("~",SUBSTITUTE(AV1539,".","~",2)))))</f>
        <v>44560</v>
      </c>
    </row>
    <row r="1540" spans="1:49">
      <c r="A1540" s="1077" t="s">
        <v>5350</v>
      </c>
      <c r="B1540" s="1077" t="s">
        <v>5148</v>
      </c>
      <c r="C1540" s="1077">
        <v>650</v>
      </c>
      <c r="D1540" s="1077">
        <v>1.75</v>
      </c>
      <c r="E1540" s="1077" t="s">
        <v>15094</v>
      </c>
      <c r="F1540" s="1077" t="s">
        <v>975</v>
      </c>
      <c r="G1540" s="1077">
        <v>5</v>
      </c>
      <c r="H1540" s="1077" t="s">
        <v>5305</v>
      </c>
      <c r="I1540" s="1077" t="s">
        <v>126</v>
      </c>
      <c r="J1540" s="1077">
        <v>2.6</v>
      </c>
      <c r="K1540" s="1077" t="s">
        <v>5151</v>
      </c>
      <c r="L1540" s="1077" t="s">
        <v>5152</v>
      </c>
      <c r="M1540" s="1077">
        <v>148.6</v>
      </c>
      <c r="N1540" s="1077" t="s">
        <v>945</v>
      </c>
      <c r="O1540" s="1077">
        <v>3.7149999999999999</v>
      </c>
      <c r="P1540" s="1077">
        <v>2.972</v>
      </c>
      <c r="Q1540" s="1077">
        <v>3.5</v>
      </c>
      <c r="R1540" s="1077">
        <v>20.399999999999999</v>
      </c>
      <c r="T1540" s="1077">
        <v>26</v>
      </c>
      <c r="U1540" s="1077">
        <v>3.7</v>
      </c>
      <c r="V1540" s="1077" t="s">
        <v>648</v>
      </c>
      <c r="W1540" s="1077">
        <v>105</v>
      </c>
      <c r="X1540" s="1077">
        <v>50</v>
      </c>
      <c r="Y1540" s="1077">
        <v>2</v>
      </c>
      <c r="Z1540" s="1077">
        <v>6.5</v>
      </c>
      <c r="AA1540" s="1077" t="s">
        <v>4289</v>
      </c>
      <c r="AH1540" s="1077" t="s">
        <v>482</v>
      </c>
      <c r="AM1540" s="1078" t="s">
        <v>12090</v>
      </c>
      <c r="AN1540" s="1078" t="s">
        <v>12091</v>
      </c>
      <c r="AO1540" s="1078">
        <f t="shared" si="190"/>
        <v>650</v>
      </c>
      <c r="AP1540" s="1078">
        <f t="shared" si="191"/>
        <v>1.75</v>
      </c>
      <c r="AQ1540" s="1078" t="str">
        <f t="shared" si="192"/>
        <v>1-5-1S91°</v>
      </c>
      <c r="AR1540" s="1078" t="str">
        <f t="shared" si="193"/>
        <v>31.5</v>
      </c>
      <c r="AS1540" s="1078" t="str">
        <f t="shared" si="194"/>
        <v>350/320/OFF</v>
      </c>
      <c r="AT1540" s="1078" t="str">
        <f t="shared" si="195"/>
        <v>1-5-1S91°</v>
      </c>
      <c r="AV1540" s="1078" t="str">
        <f t="shared" si="196"/>
        <v>110.12.30</v>
      </c>
      <c r="AW1540" s="1344">
        <f t="shared" si="197"/>
        <v>44560</v>
      </c>
    </row>
    <row r="1541" spans="1:49">
      <c r="A1541" s="1077" t="s">
        <v>5351</v>
      </c>
      <c r="B1541" s="1077" t="s">
        <v>5148</v>
      </c>
      <c r="C1541" s="1077">
        <v>650</v>
      </c>
      <c r="D1541" s="1077">
        <v>1.75</v>
      </c>
      <c r="E1541" s="1077" t="s">
        <v>15094</v>
      </c>
      <c r="F1541" s="1077" t="s">
        <v>975</v>
      </c>
      <c r="G1541" s="1077">
        <v>5</v>
      </c>
      <c r="H1541" s="1077" t="s">
        <v>5305</v>
      </c>
      <c r="I1541" s="1077" t="s">
        <v>126</v>
      </c>
      <c r="J1541" s="1077">
        <v>2.6</v>
      </c>
      <c r="K1541" s="1077" t="s">
        <v>5298</v>
      </c>
      <c r="L1541" s="1077" t="s">
        <v>5152</v>
      </c>
      <c r="M1541" s="1077">
        <v>148.6</v>
      </c>
      <c r="N1541" s="1077" t="s">
        <v>945</v>
      </c>
      <c r="O1541" s="1077">
        <v>3.7149999999999999</v>
      </c>
      <c r="P1541" s="1077">
        <v>2.972</v>
      </c>
      <c r="Q1541" s="1077">
        <v>3.5</v>
      </c>
      <c r="R1541" s="1077">
        <v>20.399999999999999</v>
      </c>
      <c r="T1541" s="1077">
        <v>26</v>
      </c>
      <c r="U1541" s="1077">
        <v>3.7</v>
      </c>
      <c r="V1541" s="1077" t="s">
        <v>648</v>
      </c>
      <c r="W1541" s="1077">
        <v>105</v>
      </c>
      <c r="X1541" s="1077">
        <v>50</v>
      </c>
      <c r="Y1541" s="1077">
        <v>2</v>
      </c>
      <c r="Z1541" s="1077">
        <v>6.5</v>
      </c>
      <c r="AA1541" s="1077" t="s">
        <v>4005</v>
      </c>
      <c r="AH1541" s="1077" t="s">
        <v>2398</v>
      </c>
      <c r="AM1541" s="1078" t="s">
        <v>12092</v>
      </c>
      <c r="AN1541" s="1078" t="s">
        <v>12093</v>
      </c>
      <c r="AO1541" s="1078">
        <f t="shared" si="190"/>
        <v>650</v>
      </c>
      <c r="AP1541" s="1078">
        <f t="shared" si="191"/>
        <v>1.75</v>
      </c>
      <c r="AQ1541" s="1078" t="str">
        <f t="shared" si="192"/>
        <v>1-5-1S91°</v>
      </c>
      <c r="AR1541" s="1078" t="str">
        <f t="shared" si="193"/>
        <v>31.5</v>
      </c>
      <c r="AS1541" s="1078" t="str">
        <f t="shared" si="194"/>
        <v>350/320/OFF</v>
      </c>
      <c r="AT1541" s="1078" t="str">
        <f t="shared" si="195"/>
        <v>1-5-1S91°</v>
      </c>
      <c r="AV1541" s="1078" t="str">
        <f t="shared" si="196"/>
        <v>111.1.3</v>
      </c>
      <c r="AW1541" s="1344">
        <f t="shared" si="197"/>
        <v>44564</v>
      </c>
    </row>
    <row r="1542" spans="1:49">
      <c r="A1542" s="1077" t="s">
        <v>5352</v>
      </c>
      <c r="B1542" s="1077" t="s">
        <v>210</v>
      </c>
      <c r="C1542" s="1077">
        <v>700</v>
      </c>
      <c r="D1542" s="1077">
        <v>1.74</v>
      </c>
      <c r="E1542" s="1077" t="s">
        <v>15094</v>
      </c>
      <c r="F1542" s="1077" t="s">
        <v>984</v>
      </c>
      <c r="G1542" s="1077">
        <v>5</v>
      </c>
      <c r="H1542" s="1077" t="s">
        <v>5300</v>
      </c>
      <c r="I1542" s="1077" t="s">
        <v>126</v>
      </c>
      <c r="J1542" s="1077">
        <v>0.7</v>
      </c>
      <c r="K1542" s="1077" t="s">
        <v>4688</v>
      </c>
      <c r="L1542" s="1077" t="s">
        <v>4666</v>
      </c>
      <c r="M1542" s="1077">
        <v>151.5</v>
      </c>
      <c r="N1542" s="1077" t="s">
        <v>945</v>
      </c>
      <c r="O1542" s="1077">
        <v>3.7875000000000001</v>
      </c>
      <c r="P1542" s="1077">
        <v>3.0300000000000002</v>
      </c>
      <c r="Q1542" s="1077">
        <v>4</v>
      </c>
      <c r="R1542" s="1077">
        <v>19.100000000000001</v>
      </c>
      <c r="T1542" s="1077">
        <v>23.7</v>
      </c>
      <c r="U1542" s="1077">
        <v>3.2</v>
      </c>
      <c r="V1542" s="1077" t="s">
        <v>648</v>
      </c>
      <c r="W1542" s="1077">
        <v>35</v>
      </c>
      <c r="X1542" s="1077">
        <v>10</v>
      </c>
      <c r="Y1542" s="1077">
        <v>1</v>
      </c>
      <c r="Z1542" s="1077">
        <v>6</v>
      </c>
      <c r="AA1542" s="1077" t="s">
        <v>1764</v>
      </c>
      <c r="AH1542" s="1077" t="s">
        <v>1221</v>
      </c>
      <c r="AM1542" s="1078" t="s">
        <v>12094</v>
      </c>
      <c r="AN1542" s="1078" t="s">
        <v>12095</v>
      </c>
      <c r="AO1542" s="1078">
        <f t="shared" si="190"/>
        <v>700</v>
      </c>
      <c r="AP1542" s="1078">
        <f t="shared" si="191"/>
        <v>1.74</v>
      </c>
      <c r="AQ1542" s="1078" t="str">
        <f t="shared" si="192"/>
        <v>1-5-1S91°</v>
      </c>
      <c r="AR1542" s="1078" t="str">
        <f t="shared" si="193"/>
        <v>30</v>
      </c>
      <c r="AS1542" s="1078" t="str">
        <f t="shared" si="194"/>
        <v>370/330/155</v>
      </c>
      <c r="AT1542" s="1078" t="str">
        <f t="shared" si="195"/>
        <v>1-5-1S91°</v>
      </c>
      <c r="AV1542" s="1078" t="str">
        <f t="shared" si="196"/>
        <v>111.1.7</v>
      </c>
      <c r="AW1542" s="1344">
        <f t="shared" si="197"/>
        <v>44568</v>
      </c>
    </row>
    <row r="1543" spans="1:49">
      <c r="A1543" s="1077" t="s">
        <v>5353</v>
      </c>
      <c r="B1543" s="1077" t="s">
        <v>210</v>
      </c>
      <c r="C1543" s="1077">
        <v>700</v>
      </c>
      <c r="D1543" s="1077">
        <v>1.74</v>
      </c>
      <c r="E1543" s="1077" t="s">
        <v>15094</v>
      </c>
      <c r="F1543" s="1077" t="s">
        <v>984</v>
      </c>
      <c r="G1543" s="1077">
        <v>5</v>
      </c>
      <c r="H1543" s="1077" t="s">
        <v>5300</v>
      </c>
      <c r="I1543" s="1077" t="s">
        <v>126</v>
      </c>
      <c r="J1543" s="1077">
        <v>0.7</v>
      </c>
      <c r="K1543" s="1077" t="s">
        <v>4688</v>
      </c>
      <c r="L1543" s="1077" t="s">
        <v>4666</v>
      </c>
      <c r="M1543" s="1077">
        <v>151.5</v>
      </c>
      <c r="N1543" s="1077" t="s">
        <v>945</v>
      </c>
      <c r="O1543" s="1077">
        <v>3.7875000000000001</v>
      </c>
      <c r="P1543" s="1077">
        <v>3.0300000000000002</v>
      </c>
      <c r="Q1543" s="1077">
        <v>4</v>
      </c>
      <c r="R1543" s="1077">
        <v>19.100000000000001</v>
      </c>
      <c r="T1543" s="1077">
        <v>23.7</v>
      </c>
      <c r="U1543" s="1077">
        <v>3.2</v>
      </c>
      <c r="V1543" s="1077" t="s">
        <v>648</v>
      </c>
      <c r="W1543" s="1077">
        <v>35</v>
      </c>
      <c r="X1543" s="1077">
        <v>10</v>
      </c>
      <c r="Y1543" s="1077">
        <v>1</v>
      </c>
      <c r="Z1543" s="1077">
        <v>6</v>
      </c>
      <c r="AA1543" s="1077" t="s">
        <v>1764</v>
      </c>
      <c r="AH1543" s="1077" t="s">
        <v>1482</v>
      </c>
      <c r="AM1543" s="1078" t="s">
        <v>12096</v>
      </c>
      <c r="AN1543" s="1078" t="s">
        <v>12097</v>
      </c>
      <c r="AO1543" s="1078">
        <f t="shared" si="190"/>
        <v>700</v>
      </c>
      <c r="AP1543" s="1078">
        <f t="shared" si="191"/>
        <v>1.74</v>
      </c>
      <c r="AQ1543" s="1078" t="str">
        <f t="shared" si="192"/>
        <v>1-5-1S91°</v>
      </c>
      <c r="AR1543" s="1078" t="str">
        <f t="shared" si="193"/>
        <v>30</v>
      </c>
      <c r="AS1543" s="1078" t="str">
        <f t="shared" si="194"/>
        <v>370/330/155</v>
      </c>
      <c r="AT1543" s="1078" t="str">
        <f t="shared" si="195"/>
        <v>1-5-1S91°</v>
      </c>
      <c r="AV1543" s="1078" t="str">
        <f t="shared" si="196"/>
        <v>111.1.7</v>
      </c>
      <c r="AW1543" s="1344">
        <f t="shared" si="197"/>
        <v>44568</v>
      </c>
    </row>
    <row r="1544" spans="1:49">
      <c r="A1544" s="1077" t="s">
        <v>5354</v>
      </c>
      <c r="B1544" s="1077" t="s">
        <v>5148</v>
      </c>
      <c r="C1544" s="1077">
        <v>650</v>
      </c>
      <c r="D1544" s="1077">
        <v>1.7350000000000001</v>
      </c>
      <c r="E1544" s="1077" t="s">
        <v>15102</v>
      </c>
      <c r="F1544" s="1077" t="s">
        <v>1119</v>
      </c>
      <c r="G1544" s="1077">
        <v>5</v>
      </c>
      <c r="H1544" s="1077" t="s">
        <v>5309</v>
      </c>
      <c r="I1544" s="1077" t="s">
        <v>648</v>
      </c>
      <c r="J1544" s="1077">
        <v>0</v>
      </c>
      <c r="K1544" s="1077" t="s">
        <v>5151</v>
      </c>
      <c r="L1544" s="1077" t="s">
        <v>5152</v>
      </c>
      <c r="M1544" s="1077">
        <v>149.9</v>
      </c>
      <c r="N1544" s="1077" t="s">
        <v>945</v>
      </c>
      <c r="O1544" s="1077">
        <v>3.7475000000000005</v>
      </c>
      <c r="P1544" s="1077">
        <v>2.9980000000000002</v>
      </c>
      <c r="Q1544" s="1077">
        <v>4</v>
      </c>
      <c r="R1544" s="1077">
        <v>24</v>
      </c>
      <c r="T1544" s="1077">
        <v>17</v>
      </c>
      <c r="U1544" s="1077">
        <v>2.6</v>
      </c>
      <c r="V1544" s="1077" t="s">
        <v>648</v>
      </c>
      <c r="W1544" s="1077" t="s">
        <v>648</v>
      </c>
      <c r="X1544" s="1077" t="s">
        <v>648</v>
      </c>
      <c r="Y1544" s="1077">
        <v>1</v>
      </c>
      <c r="Z1544" s="1077">
        <v>5</v>
      </c>
      <c r="AA1544" s="1077" t="s">
        <v>4009</v>
      </c>
      <c r="AB1544" s="1077" t="s">
        <v>5311</v>
      </c>
      <c r="AH1544" s="1077" t="s">
        <v>1417</v>
      </c>
      <c r="AM1544" s="1078" t="s">
        <v>12098</v>
      </c>
      <c r="AN1544" s="1078" t="s">
        <v>12099</v>
      </c>
      <c r="AO1544" s="1078">
        <f t="shared" si="190"/>
        <v>650</v>
      </c>
      <c r="AP1544" s="1078">
        <f t="shared" si="191"/>
        <v>1.7350000000000001</v>
      </c>
      <c r="AQ1544" s="1078" t="str">
        <f t="shared" si="192"/>
        <v>2-6-1S83°</v>
      </c>
      <c r="AR1544" s="1078" t="str">
        <f t="shared" si="193"/>
        <v>29</v>
      </c>
      <c r="AS1544" s="1078" t="str">
        <f t="shared" si="194"/>
        <v>170/178</v>
      </c>
      <c r="AT1544" s="1078" t="str">
        <f t="shared" si="195"/>
        <v>2-6-1S83°</v>
      </c>
      <c r="AV1544" s="1078" t="str">
        <f t="shared" si="196"/>
        <v>111.1.6</v>
      </c>
      <c r="AW1544" s="1344">
        <f t="shared" si="197"/>
        <v>44567</v>
      </c>
    </row>
    <row r="1545" spans="1:49">
      <c r="A1545" s="1077" t="s">
        <v>5355</v>
      </c>
      <c r="B1545" s="1077" t="s">
        <v>5356</v>
      </c>
      <c r="C1545" s="1077">
        <v>500</v>
      </c>
      <c r="D1545" s="1077">
        <v>1.73</v>
      </c>
      <c r="E1545" s="1077" t="s">
        <v>15108</v>
      </c>
      <c r="F1545" s="1077" t="s">
        <v>954</v>
      </c>
      <c r="G1545" s="1077">
        <v>3</v>
      </c>
      <c r="H1545" s="1077" t="s">
        <v>1145</v>
      </c>
      <c r="I1545" s="1077" t="s">
        <v>460</v>
      </c>
      <c r="J1545" s="1077">
        <v>1.2</v>
      </c>
      <c r="K1545" s="1077" t="s">
        <v>5357</v>
      </c>
      <c r="L1545" s="1077" t="s">
        <v>3160</v>
      </c>
      <c r="M1545" s="1077">
        <v>150</v>
      </c>
      <c r="N1545" s="1077" t="s">
        <v>945</v>
      </c>
      <c r="O1545" s="1077">
        <v>3.75</v>
      </c>
      <c r="P1545" s="1077">
        <v>3</v>
      </c>
      <c r="Q1545" s="1077">
        <v>3.5</v>
      </c>
      <c r="R1545" s="1077">
        <v>23</v>
      </c>
      <c r="T1545" s="1077">
        <v>21</v>
      </c>
      <c r="U1545" s="1077">
        <v>3.4</v>
      </c>
      <c r="V1545" s="1077" t="s">
        <v>648</v>
      </c>
      <c r="W1545" s="1077">
        <v>120</v>
      </c>
      <c r="X1545" s="1077">
        <v>80</v>
      </c>
      <c r="Y1545" s="1077">
        <v>2</v>
      </c>
      <c r="Z1545" s="1077" t="s">
        <v>648</v>
      </c>
      <c r="AA1545" s="1077" t="s">
        <v>1764</v>
      </c>
      <c r="AH1545" s="1077" t="s">
        <v>647</v>
      </c>
      <c r="AM1545" s="1078" t="s">
        <v>12100</v>
      </c>
      <c r="AN1545" s="1078" t="s">
        <v>12101</v>
      </c>
      <c r="AO1545" s="1078">
        <f t="shared" si="190"/>
        <v>500</v>
      </c>
      <c r="AP1545" s="1078">
        <f t="shared" si="191"/>
        <v>1.73</v>
      </c>
      <c r="AQ1545" s="1078" t="str">
        <f t="shared" si="192"/>
        <v>1-4-1S83°Z+S</v>
      </c>
      <c r="AR1545" s="1078" t="str">
        <f t="shared" si="193"/>
        <v>31</v>
      </c>
      <c r="AS1545" s="1078" t="str">
        <f t="shared" si="194"/>
        <v>235/235/OFF</v>
      </c>
      <c r="AT1545" s="1078" t="str">
        <f t="shared" si="195"/>
        <v>1-4-1S83°Z+S</v>
      </c>
      <c r="AU1545" s="1078" t="s">
        <v>15547</v>
      </c>
      <c r="AV1545" s="1078" t="str">
        <f t="shared" si="196"/>
        <v>111.1.7</v>
      </c>
      <c r="AW1545" s="1344">
        <f t="shared" si="197"/>
        <v>44568</v>
      </c>
    </row>
    <row r="1546" spans="1:49">
      <c r="A1546" s="1077" t="s">
        <v>5358</v>
      </c>
      <c r="B1546" s="1077" t="s">
        <v>847</v>
      </c>
      <c r="C1546" s="1077">
        <v>550</v>
      </c>
      <c r="D1546" s="1077">
        <v>1.79</v>
      </c>
      <c r="E1546" s="1077" t="s">
        <v>15111</v>
      </c>
      <c r="F1546" s="1077" t="s">
        <v>975</v>
      </c>
      <c r="G1546" s="1077">
        <v>4</v>
      </c>
      <c r="H1546" s="1077" t="s">
        <v>5230</v>
      </c>
      <c r="I1546" s="1077" t="s">
        <v>648</v>
      </c>
      <c r="J1546" s="1077">
        <v>0</v>
      </c>
      <c r="K1546" s="1077" t="s">
        <v>5359</v>
      </c>
      <c r="L1546" s="1077" t="s">
        <v>5037</v>
      </c>
      <c r="M1546" s="1077">
        <v>150</v>
      </c>
      <c r="N1546" s="1077" t="s">
        <v>945</v>
      </c>
      <c r="O1546" s="1077">
        <v>3.75</v>
      </c>
      <c r="P1546" s="1077">
        <v>3</v>
      </c>
      <c r="Q1546" s="1077">
        <v>3.5</v>
      </c>
      <c r="R1546" s="1077">
        <v>21.8</v>
      </c>
      <c r="T1546" s="1077">
        <v>19.5</v>
      </c>
      <c r="U1546" s="1077">
        <v>1.8</v>
      </c>
      <c r="V1546" s="1077" t="s">
        <v>648</v>
      </c>
      <c r="W1546" s="1077" t="s">
        <v>648</v>
      </c>
      <c r="X1546" s="1077" t="s">
        <v>648</v>
      </c>
      <c r="Y1546" s="1077">
        <v>2.1</v>
      </c>
      <c r="Z1546" s="1077">
        <v>5</v>
      </c>
      <c r="AA1546" s="1077" t="s">
        <v>1764</v>
      </c>
      <c r="AH1546" s="1077" t="s">
        <v>1796</v>
      </c>
      <c r="AM1546" s="1078" t="s">
        <v>12102</v>
      </c>
      <c r="AN1546" s="1078" t="s">
        <v>12103</v>
      </c>
      <c r="AO1546" s="1078">
        <f t="shared" si="190"/>
        <v>550</v>
      </c>
      <c r="AP1546" s="1078">
        <f t="shared" si="191"/>
        <v>1.79</v>
      </c>
      <c r="AQ1546" s="1078" t="str">
        <f t="shared" si="192"/>
        <v>1-5-1S91</v>
      </c>
      <c r="AR1546" s="1078" t="str">
        <f t="shared" si="193"/>
        <v>31.5</v>
      </c>
      <c r="AS1546" s="1078" t="str">
        <f t="shared" si="194"/>
        <v>320/320/150</v>
      </c>
      <c r="AT1546" s="1078" t="str">
        <f t="shared" si="195"/>
        <v>1-5-1S91</v>
      </c>
      <c r="AV1546" s="1078" t="str">
        <f t="shared" si="196"/>
        <v>111.1.7</v>
      </c>
      <c r="AW1546" s="1344">
        <f t="shared" si="197"/>
        <v>44568</v>
      </c>
    </row>
    <row r="1547" spans="1:49">
      <c r="A1547" s="1077" t="s">
        <v>5360</v>
      </c>
      <c r="B1547" s="1077" t="s">
        <v>4694</v>
      </c>
      <c r="C1547" s="1077">
        <v>550</v>
      </c>
      <c r="D1547" s="1077">
        <v>1.76</v>
      </c>
      <c r="E1547" s="1077" t="s">
        <v>15102</v>
      </c>
      <c r="F1547" s="1077" t="s">
        <v>4695</v>
      </c>
      <c r="G1547" s="1077">
        <v>5</v>
      </c>
      <c r="H1547" s="1077" t="s">
        <v>5361</v>
      </c>
      <c r="I1547" s="1077" t="s">
        <v>460</v>
      </c>
      <c r="J1547" s="1077">
        <v>1.5</v>
      </c>
      <c r="K1547" s="1077" t="s">
        <v>5362</v>
      </c>
      <c r="L1547" s="1077" t="s">
        <v>5363</v>
      </c>
      <c r="M1547" s="1077">
        <v>151.19999999999999</v>
      </c>
      <c r="N1547" s="1077" t="s">
        <v>945</v>
      </c>
      <c r="O1547" s="1077">
        <v>3.78</v>
      </c>
      <c r="P1547" s="1077">
        <v>3.024</v>
      </c>
      <c r="Q1547" s="1077">
        <v>4</v>
      </c>
      <c r="R1547" s="1077">
        <v>21</v>
      </c>
      <c r="T1547" s="1077">
        <v>20.5</v>
      </c>
      <c r="U1547" s="1077">
        <v>3</v>
      </c>
      <c r="V1547" s="1077" t="s">
        <v>648</v>
      </c>
      <c r="W1547" s="1077">
        <v>100</v>
      </c>
      <c r="X1547" s="1077">
        <v>60</v>
      </c>
      <c r="Y1547" s="1077">
        <v>1</v>
      </c>
      <c r="Z1547" s="1077">
        <v>5.5</v>
      </c>
      <c r="AA1547" s="1077" t="s">
        <v>1777</v>
      </c>
      <c r="AH1547" s="1077" t="s">
        <v>482</v>
      </c>
      <c r="AM1547" s="1078" t="s">
        <v>12104</v>
      </c>
      <c r="AN1547" s="1078" t="s">
        <v>12105</v>
      </c>
      <c r="AO1547" s="1078">
        <f t="shared" ref="AO1547:AO1610" si="198">C1547</f>
        <v>550</v>
      </c>
      <c r="AP1547" s="1078">
        <f t="shared" ref="AP1547:AP1610" si="199">D1547</f>
        <v>1.76</v>
      </c>
      <c r="AQ1547" s="1078" t="str">
        <f t="shared" ref="AQ1547:AQ1610" si="200">E1547</f>
        <v>2-6-1S83°</v>
      </c>
      <c r="AR1547" s="1078" t="str">
        <f t="shared" ref="AR1547:AR1610" si="201">F1547</f>
        <v>32.8</v>
      </c>
      <c r="AS1547" s="1078" t="str">
        <f t="shared" ref="AS1547:AS1610" si="202">H1547</f>
        <v>195/155</v>
      </c>
      <c r="AT1547" s="1078" t="str">
        <f t="shared" ref="AT1547:AT1610" si="203">E1547</f>
        <v>2-6-1S83°</v>
      </c>
      <c r="AV1547" s="1078" t="str">
        <f t="shared" si="196"/>
        <v>111.1.14</v>
      </c>
      <c r="AW1547" s="1344">
        <f t="shared" si="197"/>
        <v>44575</v>
      </c>
    </row>
    <row r="1548" spans="1:49">
      <c r="A1548" s="1077" t="s">
        <v>5364</v>
      </c>
      <c r="B1548" s="1077" t="s">
        <v>210</v>
      </c>
      <c r="C1548" s="1077">
        <v>700</v>
      </c>
      <c r="D1548" s="1077">
        <v>1.74</v>
      </c>
      <c r="E1548" s="1077" t="s">
        <v>15094</v>
      </c>
      <c r="F1548" s="1077" t="s">
        <v>984</v>
      </c>
      <c r="G1548" s="1077">
        <v>5</v>
      </c>
      <c r="H1548" s="1077" t="s">
        <v>5300</v>
      </c>
      <c r="I1548" s="1077" t="s">
        <v>126</v>
      </c>
      <c r="J1548" s="1077">
        <v>0.7</v>
      </c>
      <c r="K1548" s="1077" t="s">
        <v>4688</v>
      </c>
      <c r="L1548" s="1077" t="s">
        <v>4666</v>
      </c>
      <c r="M1548" s="1077">
        <v>151.5</v>
      </c>
      <c r="N1548" s="1077" t="s">
        <v>945</v>
      </c>
      <c r="O1548" s="1077">
        <v>3.7875000000000001</v>
      </c>
      <c r="P1548" s="1077">
        <v>3.0300000000000002</v>
      </c>
      <c r="Q1548" s="1077">
        <v>4</v>
      </c>
      <c r="R1548" s="1077">
        <v>19.100000000000001</v>
      </c>
      <c r="T1548" s="1077">
        <v>23.7</v>
      </c>
      <c r="U1548" s="1077">
        <v>3.2</v>
      </c>
      <c r="V1548" s="1077" t="s">
        <v>648</v>
      </c>
      <c r="W1548" s="1077">
        <v>35</v>
      </c>
      <c r="X1548" s="1077">
        <v>10</v>
      </c>
      <c r="Y1548" s="1077">
        <v>1</v>
      </c>
      <c r="Z1548" s="1077">
        <v>6</v>
      </c>
      <c r="AA1548" s="1077" t="s">
        <v>1777</v>
      </c>
      <c r="AH1548" s="1077" t="s">
        <v>684</v>
      </c>
      <c r="AM1548" s="1078" t="s">
        <v>12106</v>
      </c>
      <c r="AN1548" s="1078" t="s">
        <v>12107</v>
      </c>
      <c r="AO1548" s="1078">
        <f t="shared" si="198"/>
        <v>700</v>
      </c>
      <c r="AP1548" s="1078">
        <f t="shared" si="199"/>
        <v>1.74</v>
      </c>
      <c r="AQ1548" s="1078" t="str">
        <f t="shared" si="200"/>
        <v>1-5-1S91°</v>
      </c>
      <c r="AR1548" s="1078" t="str">
        <f t="shared" si="201"/>
        <v>30</v>
      </c>
      <c r="AS1548" s="1078" t="str">
        <f t="shared" si="202"/>
        <v>370/330/155</v>
      </c>
      <c r="AT1548" s="1078" t="str">
        <f t="shared" si="203"/>
        <v>1-5-1S91°</v>
      </c>
      <c r="AV1548" s="1078" t="str">
        <f t="shared" si="196"/>
        <v>111.1.14</v>
      </c>
      <c r="AW1548" s="1344">
        <f t="shared" si="197"/>
        <v>44575</v>
      </c>
    </row>
    <row r="1549" spans="1:49">
      <c r="A1549" s="1077" t="s">
        <v>5365</v>
      </c>
      <c r="B1549" s="1077" t="s">
        <v>5148</v>
      </c>
      <c r="C1549" s="1077">
        <v>650</v>
      </c>
      <c r="D1549" s="1077">
        <v>1.75</v>
      </c>
      <c r="E1549" s="1077" t="s">
        <v>15094</v>
      </c>
      <c r="F1549" s="1077" t="s">
        <v>975</v>
      </c>
      <c r="G1549" s="1077">
        <v>5</v>
      </c>
      <c r="H1549" s="1077" t="s">
        <v>5305</v>
      </c>
      <c r="I1549" s="1077" t="s">
        <v>126</v>
      </c>
      <c r="J1549" s="1077">
        <v>2.6</v>
      </c>
      <c r="K1549" s="1077" t="s">
        <v>5298</v>
      </c>
      <c r="L1549" s="1077" t="s">
        <v>5152</v>
      </c>
      <c r="M1549" s="1077">
        <v>148.6</v>
      </c>
      <c r="N1549" s="1077" t="s">
        <v>945</v>
      </c>
      <c r="O1549" s="1077">
        <v>3.7149999999999999</v>
      </c>
      <c r="P1549" s="1077">
        <v>2.972</v>
      </c>
      <c r="Q1549" s="1077">
        <v>3.5</v>
      </c>
      <c r="R1549" s="1077">
        <v>20.399999999999999</v>
      </c>
      <c r="T1549" s="1077">
        <v>26</v>
      </c>
      <c r="U1549" s="1077">
        <v>3.7</v>
      </c>
      <c r="V1549" s="1077" t="s">
        <v>648</v>
      </c>
      <c r="W1549" s="1077">
        <v>105</v>
      </c>
      <c r="X1549" s="1077">
        <v>50</v>
      </c>
      <c r="Y1549" s="1077">
        <v>2</v>
      </c>
      <c r="Z1549" s="1077">
        <v>6.5</v>
      </c>
      <c r="AA1549" s="1077" t="s">
        <v>1777</v>
      </c>
      <c r="AH1549" s="1077" t="s">
        <v>2609</v>
      </c>
      <c r="AM1549" s="1078" t="s">
        <v>12108</v>
      </c>
      <c r="AN1549" s="1078" t="s">
        <v>12109</v>
      </c>
      <c r="AO1549" s="1078">
        <f t="shared" si="198"/>
        <v>650</v>
      </c>
      <c r="AP1549" s="1078">
        <f t="shared" si="199"/>
        <v>1.75</v>
      </c>
      <c r="AQ1549" s="1078" t="str">
        <f t="shared" si="200"/>
        <v>1-5-1S91°</v>
      </c>
      <c r="AR1549" s="1078" t="str">
        <f t="shared" si="201"/>
        <v>31.5</v>
      </c>
      <c r="AS1549" s="1078" t="str">
        <f t="shared" si="202"/>
        <v>350/320/OFF</v>
      </c>
      <c r="AT1549" s="1078" t="str">
        <f t="shared" si="203"/>
        <v>1-5-1S91°</v>
      </c>
      <c r="AV1549" s="1078" t="str">
        <f t="shared" si="196"/>
        <v>111.1.14</v>
      </c>
      <c r="AW1549" s="1344">
        <f t="shared" si="197"/>
        <v>44575</v>
      </c>
    </row>
    <row r="1550" spans="1:49">
      <c r="A1550" s="1077" t="s">
        <v>5366</v>
      </c>
      <c r="B1550" s="1077" t="s">
        <v>5148</v>
      </c>
      <c r="C1550" s="1077">
        <v>650</v>
      </c>
      <c r="D1550" s="1077">
        <v>1.7450000000000001</v>
      </c>
      <c r="E1550" s="1077" t="s">
        <v>15094</v>
      </c>
      <c r="F1550" s="1077" t="s">
        <v>984</v>
      </c>
      <c r="G1550" s="1077">
        <v>5</v>
      </c>
      <c r="H1550" s="1077" t="s">
        <v>5154</v>
      </c>
      <c r="I1550" s="1077" t="s">
        <v>648</v>
      </c>
      <c r="J1550" s="1077">
        <v>0</v>
      </c>
      <c r="K1550" s="1077" t="s">
        <v>5151</v>
      </c>
      <c r="L1550" s="1077" t="s">
        <v>5152</v>
      </c>
      <c r="M1550" s="1077">
        <v>149.9</v>
      </c>
      <c r="N1550" s="1077" t="s">
        <v>945</v>
      </c>
      <c r="O1550" s="1077">
        <v>3.7475000000000005</v>
      </c>
      <c r="P1550" s="1077">
        <v>2.9980000000000002</v>
      </c>
      <c r="Q1550" s="1077">
        <v>4</v>
      </c>
      <c r="R1550" s="1077">
        <v>24</v>
      </c>
      <c r="T1550" s="1077">
        <v>17</v>
      </c>
      <c r="U1550" s="1077">
        <v>2.6</v>
      </c>
      <c r="V1550" s="1077" t="s">
        <v>648</v>
      </c>
      <c r="W1550" s="1077" t="s">
        <v>648</v>
      </c>
      <c r="X1550" s="1077" t="s">
        <v>648</v>
      </c>
      <c r="Y1550" s="1077">
        <v>1</v>
      </c>
      <c r="Z1550" s="1077">
        <v>4.5</v>
      </c>
      <c r="AA1550" s="1077" t="s">
        <v>5367</v>
      </c>
      <c r="AH1550" s="1077" t="s">
        <v>466</v>
      </c>
      <c r="AM1550" s="1078" t="s">
        <v>12110</v>
      </c>
      <c r="AN1550" s="1078" t="s">
        <v>12111</v>
      </c>
      <c r="AO1550" s="1078">
        <f t="shared" si="198"/>
        <v>650</v>
      </c>
      <c r="AP1550" s="1078">
        <f t="shared" si="199"/>
        <v>1.7450000000000001</v>
      </c>
      <c r="AQ1550" s="1078" t="str">
        <f t="shared" si="200"/>
        <v>1-5-1S91°</v>
      </c>
      <c r="AR1550" s="1078" t="str">
        <f t="shared" si="201"/>
        <v>30</v>
      </c>
      <c r="AS1550" s="1078" t="str">
        <f t="shared" si="202"/>
        <v>350/310/158</v>
      </c>
      <c r="AT1550" s="1078" t="str">
        <f t="shared" si="203"/>
        <v>1-5-1S91°</v>
      </c>
      <c r="AV1550" s="1078" t="str">
        <f t="shared" si="196"/>
        <v>111.1.17</v>
      </c>
      <c r="AW1550" s="1344">
        <f t="shared" si="197"/>
        <v>44578</v>
      </c>
    </row>
    <row r="1551" spans="1:49">
      <c r="A1551" s="1077" t="s">
        <v>5368</v>
      </c>
      <c r="B1551" s="1077" t="s">
        <v>5157</v>
      </c>
      <c r="C1551" s="1077">
        <v>550</v>
      </c>
      <c r="D1551" s="1077">
        <v>1.77</v>
      </c>
      <c r="E1551" s="1077" t="s">
        <v>15094</v>
      </c>
      <c r="F1551" s="1077" t="s">
        <v>984</v>
      </c>
      <c r="G1551" s="1077">
        <v>5</v>
      </c>
      <c r="H1551" s="1077" t="s">
        <v>1740</v>
      </c>
      <c r="I1551" s="1077" t="s">
        <v>460</v>
      </c>
      <c r="J1551" s="1077">
        <v>2.2999999999999998</v>
      </c>
      <c r="K1551" s="1077" t="s">
        <v>5369</v>
      </c>
      <c r="L1551" s="1077" t="s">
        <v>5159</v>
      </c>
      <c r="M1551" s="1077">
        <v>152</v>
      </c>
      <c r="N1551" s="1077" t="s">
        <v>945</v>
      </c>
      <c r="O1551" s="1077">
        <v>3.8000000000000003</v>
      </c>
      <c r="P1551" s="1077">
        <v>3.04</v>
      </c>
      <c r="Q1551" s="1077">
        <v>3</v>
      </c>
      <c r="R1551" s="1077">
        <v>28</v>
      </c>
      <c r="T1551" s="1077">
        <v>7.2</v>
      </c>
      <c r="U1551" s="1077">
        <v>6.1</v>
      </c>
      <c r="V1551" s="1077" t="s">
        <v>648</v>
      </c>
      <c r="W1551" s="1077">
        <v>100</v>
      </c>
      <c r="X1551" s="1077">
        <v>80</v>
      </c>
      <c r="Y1551" s="1077">
        <v>1.5</v>
      </c>
      <c r="Z1551" s="1077">
        <v>4</v>
      </c>
      <c r="AA1551" s="1077" t="s">
        <v>5370</v>
      </c>
      <c r="AH1551" s="1077" t="s">
        <v>813</v>
      </c>
      <c r="AM1551" s="1078" t="s">
        <v>12112</v>
      </c>
      <c r="AN1551" s="1078" t="s">
        <v>12113</v>
      </c>
      <c r="AO1551" s="1078">
        <f t="shared" si="198"/>
        <v>550</v>
      </c>
      <c r="AP1551" s="1078">
        <f t="shared" si="199"/>
        <v>1.77</v>
      </c>
      <c r="AQ1551" s="1078" t="str">
        <f t="shared" si="200"/>
        <v>1-5-1S91°</v>
      </c>
      <c r="AR1551" s="1078" t="str">
        <f t="shared" si="201"/>
        <v>30</v>
      </c>
      <c r="AS1551" s="1078" t="str">
        <f t="shared" si="202"/>
        <v>245/245/140</v>
      </c>
      <c r="AT1551" s="1078" t="str">
        <f t="shared" si="203"/>
        <v>1-5-1S91°</v>
      </c>
      <c r="AV1551" s="1078" t="str">
        <f t="shared" si="196"/>
        <v>111.1.19</v>
      </c>
      <c r="AW1551" s="1344">
        <f t="shared" si="197"/>
        <v>44580</v>
      </c>
    </row>
    <row r="1552" spans="1:49">
      <c r="A1552" s="1077" t="s">
        <v>5371</v>
      </c>
      <c r="B1552" s="1077" t="s">
        <v>5372</v>
      </c>
      <c r="C1552" s="1077">
        <v>600</v>
      </c>
      <c r="D1552" s="1077">
        <v>1.7250000000000001</v>
      </c>
      <c r="E1552" s="1077" t="s">
        <v>15109</v>
      </c>
      <c r="F1552" s="1077" t="s">
        <v>648</v>
      </c>
      <c r="G1552" s="1077">
        <v>5</v>
      </c>
      <c r="H1552" s="1077" t="s">
        <v>2192</v>
      </c>
      <c r="I1552" s="1077" t="s">
        <v>126</v>
      </c>
      <c r="J1552" s="1077">
        <v>1.4</v>
      </c>
      <c r="K1552" s="1077" t="s">
        <v>5373</v>
      </c>
      <c r="L1552" s="1077" t="s">
        <v>2104</v>
      </c>
      <c r="M1552" s="1077">
        <v>149</v>
      </c>
      <c r="N1552" s="1077" t="s">
        <v>945</v>
      </c>
      <c r="O1552" s="1077">
        <v>3.7250000000000001</v>
      </c>
      <c r="P1552" s="1077">
        <v>2.98</v>
      </c>
      <c r="Q1552" s="1077">
        <v>4</v>
      </c>
      <c r="R1552" s="1077">
        <v>21.8</v>
      </c>
      <c r="T1552" s="1077">
        <v>22.6</v>
      </c>
      <c r="U1552" s="1077">
        <v>3.6</v>
      </c>
      <c r="V1552" s="1077" t="s">
        <v>2520</v>
      </c>
      <c r="W1552" s="1077">
        <v>120</v>
      </c>
      <c r="X1552" s="1077">
        <v>70</v>
      </c>
      <c r="Y1552" s="1077">
        <v>1.5</v>
      </c>
      <c r="Z1552" s="1077" t="s">
        <v>648</v>
      </c>
      <c r="AA1552" s="1077" t="s">
        <v>4300</v>
      </c>
      <c r="AH1552" s="1077" t="s">
        <v>5374</v>
      </c>
      <c r="AM1552" s="1078" t="s">
        <v>12114</v>
      </c>
      <c r="AN1552" s="1078" t="s">
        <v>12115</v>
      </c>
      <c r="AO1552" s="1078">
        <f t="shared" si="198"/>
        <v>600</v>
      </c>
      <c r="AP1552" s="1078">
        <f t="shared" si="199"/>
        <v>1.7250000000000001</v>
      </c>
      <c r="AQ1552" s="1078" t="str">
        <f t="shared" si="200"/>
        <v>1-5-1S85°Z+S</v>
      </c>
      <c r="AR1552" s="1078" t="str">
        <f t="shared" si="201"/>
        <v>NA</v>
      </c>
      <c r="AS1552" s="1078" t="str">
        <f t="shared" si="202"/>
        <v>180/OFF</v>
      </c>
      <c r="AT1552" s="1078" t="str">
        <f t="shared" si="203"/>
        <v>1-5-1S85°Z+S</v>
      </c>
      <c r="AU1552" s="1078" t="s">
        <v>15547</v>
      </c>
      <c r="AV1552" s="1078" t="str">
        <f t="shared" si="196"/>
        <v>111.2.6</v>
      </c>
      <c r="AW1552" s="1344">
        <f t="shared" si="197"/>
        <v>44598</v>
      </c>
    </row>
    <row r="1553" spans="1:49">
      <c r="A1553" s="1077" t="s">
        <v>5375</v>
      </c>
      <c r="B1553" s="1077" t="s">
        <v>617</v>
      </c>
      <c r="C1553" s="1077">
        <v>650</v>
      </c>
      <c r="D1553" s="1077">
        <v>1.75</v>
      </c>
      <c r="E1553" s="1077" t="s">
        <v>15094</v>
      </c>
      <c r="F1553" s="1077" t="s">
        <v>984</v>
      </c>
      <c r="G1553" s="1077">
        <v>5</v>
      </c>
      <c r="H1553" s="1077" t="s">
        <v>1793</v>
      </c>
      <c r="I1553" s="1077" t="s">
        <v>126</v>
      </c>
      <c r="J1553" s="1077">
        <v>2.2000000000000002</v>
      </c>
      <c r="K1553" s="1077" t="s">
        <v>5376</v>
      </c>
      <c r="L1553" s="1077" t="s">
        <v>4854</v>
      </c>
      <c r="M1553" s="1077">
        <v>150.30000000000001</v>
      </c>
      <c r="N1553" s="1077" t="s">
        <v>945</v>
      </c>
      <c r="O1553" s="1077">
        <v>3.7575000000000003</v>
      </c>
      <c r="P1553" s="1077">
        <v>3.0060000000000002</v>
      </c>
      <c r="Q1553" s="1077">
        <v>3</v>
      </c>
      <c r="R1553" s="1077">
        <v>24.5</v>
      </c>
      <c r="T1553" s="1077">
        <v>13</v>
      </c>
      <c r="U1553" s="1077">
        <v>7</v>
      </c>
      <c r="V1553" s="1077" t="s">
        <v>648</v>
      </c>
      <c r="W1553" s="1077">
        <v>115</v>
      </c>
      <c r="X1553" s="1077">
        <v>50</v>
      </c>
      <c r="Y1553" s="1077">
        <v>1.7</v>
      </c>
      <c r="Z1553" s="1077">
        <v>6.5</v>
      </c>
      <c r="AA1553" s="1077" t="s">
        <v>5377</v>
      </c>
      <c r="AH1553" s="1077" t="s">
        <v>877</v>
      </c>
      <c r="AM1553" s="1078" t="s">
        <v>12116</v>
      </c>
      <c r="AN1553" s="1078" t="s">
        <v>12117</v>
      </c>
      <c r="AO1553" s="1078">
        <f t="shared" si="198"/>
        <v>650</v>
      </c>
      <c r="AP1553" s="1078">
        <f t="shared" si="199"/>
        <v>1.75</v>
      </c>
      <c r="AQ1553" s="1078" t="str">
        <f t="shared" si="200"/>
        <v>1-5-1S91°</v>
      </c>
      <c r="AR1553" s="1078" t="str">
        <f t="shared" si="201"/>
        <v>30</v>
      </c>
      <c r="AS1553" s="1078" t="str">
        <f t="shared" si="202"/>
        <v>270/270/OFF</v>
      </c>
      <c r="AT1553" s="1078" t="str">
        <f t="shared" si="203"/>
        <v>1-5-1S91°</v>
      </c>
      <c r="AV1553" s="1078" t="str">
        <f t="shared" si="196"/>
        <v>111.2.8</v>
      </c>
      <c r="AW1553" s="1344">
        <f t="shared" si="197"/>
        <v>44600</v>
      </c>
    </row>
    <row r="1554" spans="1:49">
      <c r="A1554" s="1077" t="s">
        <v>5378</v>
      </c>
      <c r="B1554" s="1077" t="s">
        <v>5148</v>
      </c>
      <c r="C1554" s="1077">
        <v>650</v>
      </c>
      <c r="D1554" s="1077">
        <v>1.75</v>
      </c>
      <c r="E1554" s="1077" t="s">
        <v>15094</v>
      </c>
      <c r="F1554" s="1077" t="s">
        <v>975</v>
      </c>
      <c r="G1554" s="1077">
        <v>5</v>
      </c>
      <c r="H1554" s="1077" t="s">
        <v>5305</v>
      </c>
      <c r="I1554" s="1077" t="s">
        <v>126</v>
      </c>
      <c r="J1554" s="1077">
        <v>2.6</v>
      </c>
      <c r="K1554" s="1077" t="s">
        <v>5298</v>
      </c>
      <c r="L1554" s="1077" t="s">
        <v>5152</v>
      </c>
      <c r="M1554" s="1077">
        <v>148.6</v>
      </c>
      <c r="N1554" s="1077" t="s">
        <v>945</v>
      </c>
      <c r="O1554" s="1077">
        <v>3.7149999999999999</v>
      </c>
      <c r="P1554" s="1077">
        <v>2.972</v>
      </c>
      <c r="Q1554" s="1077">
        <v>3.5</v>
      </c>
      <c r="R1554" s="1077">
        <v>20.399999999999999</v>
      </c>
      <c r="T1554" s="1077">
        <v>26</v>
      </c>
      <c r="U1554" s="1077">
        <v>3.7</v>
      </c>
      <c r="V1554" s="1077" t="s">
        <v>648</v>
      </c>
      <c r="W1554" s="1077">
        <v>105</v>
      </c>
      <c r="X1554" s="1077">
        <v>50</v>
      </c>
      <c r="Y1554" s="1077">
        <v>2</v>
      </c>
      <c r="Z1554" s="1077">
        <v>6.5</v>
      </c>
      <c r="AA1554" s="1077" t="s">
        <v>4300</v>
      </c>
      <c r="AH1554" s="1077" t="s">
        <v>2398</v>
      </c>
      <c r="AM1554" s="1078" t="s">
        <v>12118</v>
      </c>
      <c r="AN1554" s="1078" t="s">
        <v>12119</v>
      </c>
      <c r="AO1554" s="1078">
        <f t="shared" si="198"/>
        <v>650</v>
      </c>
      <c r="AP1554" s="1078">
        <f t="shared" si="199"/>
        <v>1.75</v>
      </c>
      <c r="AQ1554" s="1078" t="str">
        <f t="shared" si="200"/>
        <v>1-5-1S91°</v>
      </c>
      <c r="AR1554" s="1078" t="str">
        <f t="shared" si="201"/>
        <v>31.5</v>
      </c>
      <c r="AS1554" s="1078" t="str">
        <f t="shared" si="202"/>
        <v>350/320/OFF</v>
      </c>
      <c r="AT1554" s="1078" t="str">
        <f t="shared" si="203"/>
        <v>1-5-1S91°</v>
      </c>
      <c r="AV1554" s="1078" t="str">
        <f t="shared" si="196"/>
        <v>111.2.6</v>
      </c>
      <c r="AW1554" s="1344">
        <f t="shared" si="197"/>
        <v>44598</v>
      </c>
    </row>
    <row r="1555" spans="1:49">
      <c r="A1555" s="1077" t="s">
        <v>5379</v>
      </c>
      <c r="B1555" s="1077" t="s">
        <v>4944</v>
      </c>
      <c r="C1555" s="1077">
        <v>650</v>
      </c>
      <c r="D1555" s="1077">
        <v>1.71</v>
      </c>
      <c r="E1555" s="1077" t="s">
        <v>15094</v>
      </c>
      <c r="F1555" s="1077" t="s">
        <v>984</v>
      </c>
      <c r="G1555" s="1077">
        <v>5.5</v>
      </c>
      <c r="H1555" s="1077" t="s">
        <v>955</v>
      </c>
      <c r="I1555" s="1077" t="s">
        <v>126</v>
      </c>
      <c r="J1555" s="1077">
        <v>1.4</v>
      </c>
      <c r="K1555" s="1077" t="s">
        <v>5380</v>
      </c>
      <c r="L1555" s="1077" t="s">
        <v>4946</v>
      </c>
      <c r="M1555" s="1077">
        <v>150.6</v>
      </c>
      <c r="N1555" s="1077" t="s">
        <v>945</v>
      </c>
      <c r="O1555" s="1077">
        <v>3.7650000000000001</v>
      </c>
      <c r="P1555" s="1077">
        <v>3.012</v>
      </c>
      <c r="Q1555" s="1077">
        <v>3</v>
      </c>
      <c r="R1555" s="1077">
        <v>28</v>
      </c>
      <c r="T1555" s="1077">
        <v>14.8</v>
      </c>
      <c r="U1555" s="1077">
        <v>7</v>
      </c>
      <c r="V1555" s="1077" t="s">
        <v>648</v>
      </c>
      <c r="W1555" s="1077" t="s">
        <v>4947</v>
      </c>
      <c r="X1555" s="1077">
        <v>10</v>
      </c>
      <c r="Y1555" s="1077">
        <v>1.3</v>
      </c>
      <c r="Z1555" s="1077">
        <v>6</v>
      </c>
      <c r="AA1555" s="1077" t="s">
        <v>5381</v>
      </c>
      <c r="AH1555" s="1077" t="s">
        <v>1186</v>
      </c>
      <c r="AM1555" s="1078" t="s">
        <v>12120</v>
      </c>
      <c r="AN1555" s="1078" t="s">
        <v>12121</v>
      </c>
      <c r="AO1555" s="1078">
        <f t="shared" si="198"/>
        <v>650</v>
      </c>
      <c r="AP1555" s="1078">
        <f t="shared" si="199"/>
        <v>1.71</v>
      </c>
      <c r="AQ1555" s="1078" t="str">
        <f t="shared" si="200"/>
        <v>1-5-1S91°</v>
      </c>
      <c r="AR1555" s="1078" t="str">
        <f t="shared" si="201"/>
        <v>30</v>
      </c>
      <c r="AS1555" s="1078" t="str">
        <f t="shared" si="202"/>
        <v>260/260/OFF</v>
      </c>
      <c r="AT1555" s="1078" t="str">
        <f t="shared" si="203"/>
        <v>1-5-1S91°</v>
      </c>
      <c r="AV1555" s="1078" t="str">
        <f t="shared" si="196"/>
        <v>111.2.9</v>
      </c>
      <c r="AW1555" s="1344">
        <f t="shared" si="197"/>
        <v>44601</v>
      </c>
    </row>
    <row r="1556" spans="1:49">
      <c r="A1556" s="1077" t="s">
        <v>5382</v>
      </c>
      <c r="B1556" s="1077" t="s">
        <v>210</v>
      </c>
      <c r="C1556" s="1077">
        <v>650</v>
      </c>
      <c r="D1556" s="1077">
        <v>1.76</v>
      </c>
      <c r="E1556" s="1077" t="s">
        <v>15102</v>
      </c>
      <c r="F1556" s="1077" t="s">
        <v>4695</v>
      </c>
      <c r="G1556" s="1077">
        <v>5</v>
      </c>
      <c r="H1556" s="1077" t="s">
        <v>5383</v>
      </c>
      <c r="I1556" s="1077" t="s">
        <v>648</v>
      </c>
      <c r="J1556" s="1077">
        <v>0</v>
      </c>
      <c r="K1556" s="1077" t="s">
        <v>4688</v>
      </c>
      <c r="L1556" s="1077" t="s">
        <v>4666</v>
      </c>
      <c r="M1556" s="1077">
        <v>151.5</v>
      </c>
      <c r="N1556" s="1077" t="s">
        <v>945</v>
      </c>
      <c r="O1556" s="1077">
        <v>3.7875000000000001</v>
      </c>
      <c r="P1556" s="1077">
        <v>3.0300000000000002</v>
      </c>
      <c r="Q1556" s="1077">
        <v>4</v>
      </c>
      <c r="R1556" s="1077">
        <v>19.100000000000001</v>
      </c>
      <c r="T1556" s="1077">
        <v>19</v>
      </c>
      <c r="U1556" s="1077">
        <v>2.5</v>
      </c>
      <c r="V1556" s="1077" t="s">
        <v>648</v>
      </c>
      <c r="W1556" s="1077" t="s">
        <v>648</v>
      </c>
      <c r="X1556" s="1077" t="s">
        <v>648</v>
      </c>
      <c r="Y1556" s="1077">
        <v>1</v>
      </c>
      <c r="Z1556" s="1077">
        <v>5</v>
      </c>
      <c r="AA1556" s="1077" t="s">
        <v>5384</v>
      </c>
      <c r="AH1556" s="1077" t="s">
        <v>712</v>
      </c>
      <c r="AM1556" s="1078" t="s">
        <v>12122</v>
      </c>
      <c r="AN1556" s="1078" t="s">
        <v>12123</v>
      </c>
      <c r="AO1556" s="1078">
        <f t="shared" si="198"/>
        <v>650</v>
      </c>
      <c r="AP1556" s="1078">
        <f t="shared" si="199"/>
        <v>1.76</v>
      </c>
      <c r="AQ1556" s="1078" t="str">
        <f t="shared" si="200"/>
        <v>2-6-1S83°</v>
      </c>
      <c r="AR1556" s="1078" t="str">
        <f t="shared" si="201"/>
        <v>32.8</v>
      </c>
      <c r="AS1556" s="1078" t="str">
        <f t="shared" si="202"/>
        <v>175/178</v>
      </c>
      <c r="AT1556" s="1078" t="str">
        <f t="shared" si="203"/>
        <v>2-6-1S83°</v>
      </c>
      <c r="AV1556" s="1078" t="str">
        <f t="shared" si="196"/>
        <v>111.2.11</v>
      </c>
      <c r="AW1556" s="1344">
        <f t="shared" si="197"/>
        <v>44603</v>
      </c>
    </row>
    <row r="1557" spans="1:49">
      <c r="A1557" s="1077" t="s">
        <v>5385</v>
      </c>
      <c r="B1557" s="1077" t="s">
        <v>4860</v>
      </c>
      <c r="C1557" s="1077">
        <v>750</v>
      </c>
      <c r="D1557" s="1077">
        <v>1.77</v>
      </c>
      <c r="E1557" s="1077" t="s">
        <v>15104</v>
      </c>
      <c r="F1557" s="1077" t="s">
        <v>648</v>
      </c>
      <c r="G1557" s="1077">
        <v>5</v>
      </c>
      <c r="H1557" s="1077" t="s">
        <v>2941</v>
      </c>
      <c r="I1557" s="1077" t="s">
        <v>460</v>
      </c>
      <c r="J1557" s="1077">
        <v>2.1</v>
      </c>
      <c r="K1557" s="1077" t="s">
        <v>5386</v>
      </c>
      <c r="L1557" s="1077" t="s">
        <v>4864</v>
      </c>
      <c r="M1557" s="1077">
        <v>149.5</v>
      </c>
      <c r="N1557" s="1077" t="s">
        <v>945</v>
      </c>
      <c r="O1557" s="1077">
        <v>3.7375000000000003</v>
      </c>
      <c r="P1557" s="1077">
        <v>2.99</v>
      </c>
      <c r="Q1557" s="1077">
        <v>4</v>
      </c>
      <c r="R1557" s="1077">
        <v>21</v>
      </c>
      <c r="T1557" s="1077">
        <v>37</v>
      </c>
      <c r="U1557" s="1077">
        <v>3.7</v>
      </c>
      <c r="V1557" s="1077" t="s">
        <v>648</v>
      </c>
      <c r="W1557" s="1077">
        <v>110</v>
      </c>
      <c r="X1557" s="1077">
        <v>40</v>
      </c>
      <c r="Y1557" s="1077">
        <v>2.2000000000000002</v>
      </c>
      <c r="Z1557" s="1077" t="s">
        <v>648</v>
      </c>
      <c r="AA1557" s="1077" t="s">
        <v>1461</v>
      </c>
      <c r="AH1557" s="1077" t="s">
        <v>647</v>
      </c>
      <c r="AM1557" s="1078" t="s">
        <v>12124</v>
      </c>
      <c r="AN1557" s="1078" t="s">
        <v>12125</v>
      </c>
      <c r="AO1557" s="1078">
        <f t="shared" si="198"/>
        <v>750</v>
      </c>
      <c r="AP1557" s="1078">
        <f t="shared" si="199"/>
        <v>1.77</v>
      </c>
      <c r="AQ1557" s="1078" t="str">
        <f t="shared" si="200"/>
        <v>1-4-1S85°Z+S</v>
      </c>
      <c r="AR1557" s="1078" t="str">
        <f t="shared" si="201"/>
        <v>NA</v>
      </c>
      <c r="AS1557" s="1078" t="str">
        <f t="shared" si="202"/>
        <v>190/OFF</v>
      </c>
      <c r="AT1557" s="1078" t="str">
        <f t="shared" si="203"/>
        <v>1-4-1S85°Z+S</v>
      </c>
      <c r="AU1557" s="1078" t="s">
        <v>15547</v>
      </c>
      <c r="AV1557" s="1078" t="str">
        <f t="shared" si="196"/>
        <v>111.2.14</v>
      </c>
      <c r="AW1557" s="1344">
        <f t="shared" si="197"/>
        <v>44606</v>
      </c>
    </row>
    <row r="1558" spans="1:49">
      <c r="A1558" s="1077" t="s">
        <v>5387</v>
      </c>
      <c r="B1558" s="1077" t="s">
        <v>844</v>
      </c>
      <c r="C1558" s="1077">
        <v>600</v>
      </c>
      <c r="D1558" s="1077">
        <v>1.746</v>
      </c>
      <c r="E1558" s="1077" t="s">
        <v>15094</v>
      </c>
      <c r="F1558" s="1077" t="s">
        <v>954</v>
      </c>
      <c r="G1558" s="1077">
        <v>5</v>
      </c>
      <c r="H1558" s="1077" t="s">
        <v>5126</v>
      </c>
      <c r="I1558" s="1077" t="s">
        <v>648</v>
      </c>
      <c r="J1558" s="1077">
        <v>0</v>
      </c>
      <c r="K1558" s="1077" t="s">
        <v>5388</v>
      </c>
      <c r="L1558" s="1077" t="s">
        <v>4907</v>
      </c>
      <c r="M1558" s="1077">
        <v>151</v>
      </c>
      <c r="N1558" s="1077" t="s">
        <v>945</v>
      </c>
      <c r="O1558" s="1077">
        <v>3.7750000000000004</v>
      </c>
      <c r="P1558" s="1077">
        <v>3.02</v>
      </c>
      <c r="Q1558" s="1077">
        <v>3</v>
      </c>
      <c r="R1558" s="1077">
        <v>22.4</v>
      </c>
      <c r="T1558" s="1077">
        <v>15</v>
      </c>
      <c r="U1558" s="1077">
        <v>3.7</v>
      </c>
      <c r="V1558" s="1077" t="s">
        <v>648</v>
      </c>
      <c r="W1558" s="1077" t="s">
        <v>648</v>
      </c>
      <c r="X1558" s="1077" t="s">
        <v>648</v>
      </c>
      <c r="Y1558" s="1077">
        <v>1.5</v>
      </c>
      <c r="Z1558" s="1077">
        <v>5.5</v>
      </c>
      <c r="AA1558" s="1077" t="s">
        <v>1916</v>
      </c>
      <c r="AH1558" s="1077" t="s">
        <v>468</v>
      </c>
      <c r="AM1558" s="1078" t="s">
        <v>12126</v>
      </c>
      <c r="AN1558" s="1078" t="s">
        <v>12127</v>
      </c>
      <c r="AO1558" s="1078">
        <f t="shared" si="198"/>
        <v>600</v>
      </c>
      <c r="AP1558" s="1078">
        <f t="shared" si="199"/>
        <v>1.746</v>
      </c>
      <c r="AQ1558" s="1078" t="str">
        <f t="shared" si="200"/>
        <v>1-5-1S91°</v>
      </c>
      <c r="AR1558" s="1078" t="str">
        <f t="shared" si="201"/>
        <v>31</v>
      </c>
      <c r="AS1558" s="1078" t="str">
        <f t="shared" si="202"/>
        <v>300/300/140</v>
      </c>
      <c r="AT1558" s="1078" t="str">
        <f t="shared" si="203"/>
        <v>1-5-1S91°</v>
      </c>
      <c r="AV1558" s="1078" t="str">
        <f t="shared" si="196"/>
        <v>111.2.17</v>
      </c>
      <c r="AW1558" s="1344">
        <f t="shared" si="197"/>
        <v>44609</v>
      </c>
    </row>
    <row r="1559" spans="1:49">
      <c r="A1559" s="1077" t="s">
        <v>5389</v>
      </c>
      <c r="B1559" s="1077" t="s">
        <v>4694</v>
      </c>
      <c r="C1559" s="1077">
        <v>550</v>
      </c>
      <c r="D1559" s="1077">
        <v>1.76</v>
      </c>
      <c r="E1559" s="1077" t="s">
        <v>15102</v>
      </c>
      <c r="F1559" s="1077" t="s">
        <v>4695</v>
      </c>
      <c r="G1559" s="1077">
        <v>5</v>
      </c>
      <c r="H1559" s="1077" t="s">
        <v>5361</v>
      </c>
      <c r="I1559" s="1077" t="s">
        <v>460</v>
      </c>
      <c r="J1559" s="1077">
        <v>1.5</v>
      </c>
      <c r="K1559" s="1077" t="s">
        <v>5390</v>
      </c>
      <c r="L1559" s="1077" t="s">
        <v>5363</v>
      </c>
      <c r="M1559" s="1077">
        <v>151.19999999999999</v>
      </c>
      <c r="N1559" s="1077" t="s">
        <v>945</v>
      </c>
      <c r="O1559" s="1077">
        <v>3.78</v>
      </c>
      <c r="P1559" s="1077">
        <v>3.024</v>
      </c>
      <c r="Q1559" s="1077">
        <v>4</v>
      </c>
      <c r="R1559" s="1077">
        <v>21</v>
      </c>
      <c r="T1559" s="1077">
        <v>20.5</v>
      </c>
      <c r="U1559" s="1077">
        <v>3</v>
      </c>
      <c r="V1559" s="1077" t="s">
        <v>648</v>
      </c>
      <c r="W1559" s="1077">
        <v>100</v>
      </c>
      <c r="X1559" s="1077">
        <v>60</v>
      </c>
      <c r="Y1559" s="1077">
        <v>1</v>
      </c>
      <c r="Z1559" s="1077">
        <v>5.5</v>
      </c>
      <c r="AA1559" s="1077" t="s">
        <v>1916</v>
      </c>
      <c r="AH1559" s="1077" t="s">
        <v>878</v>
      </c>
      <c r="AM1559" s="1078" t="s">
        <v>12128</v>
      </c>
      <c r="AN1559" s="1078" t="s">
        <v>12129</v>
      </c>
      <c r="AO1559" s="1078">
        <f t="shared" si="198"/>
        <v>550</v>
      </c>
      <c r="AP1559" s="1078">
        <f t="shared" si="199"/>
        <v>1.76</v>
      </c>
      <c r="AQ1559" s="1078" t="str">
        <f t="shared" si="200"/>
        <v>2-6-1S83°</v>
      </c>
      <c r="AR1559" s="1078" t="str">
        <f t="shared" si="201"/>
        <v>32.8</v>
      </c>
      <c r="AS1559" s="1078" t="str">
        <f t="shared" si="202"/>
        <v>195/155</v>
      </c>
      <c r="AT1559" s="1078" t="str">
        <f t="shared" si="203"/>
        <v>2-6-1S83°</v>
      </c>
      <c r="AV1559" s="1078" t="str">
        <f t="shared" si="196"/>
        <v>111.2.17</v>
      </c>
      <c r="AW1559" s="1344">
        <f t="shared" si="197"/>
        <v>44609</v>
      </c>
    </row>
    <row r="1560" spans="1:49">
      <c r="A1560" s="1077" t="s">
        <v>5391</v>
      </c>
      <c r="B1560" s="1077" t="s">
        <v>847</v>
      </c>
      <c r="C1560" s="1077">
        <v>550</v>
      </c>
      <c r="D1560" s="1077">
        <v>1.8</v>
      </c>
      <c r="E1560" s="1077" t="s">
        <v>15111</v>
      </c>
      <c r="F1560" s="1077" t="s">
        <v>975</v>
      </c>
      <c r="G1560" s="1077">
        <v>4</v>
      </c>
      <c r="H1560" s="1077" t="s">
        <v>5230</v>
      </c>
      <c r="I1560" s="1077" t="s">
        <v>648</v>
      </c>
      <c r="J1560" s="1077">
        <v>0</v>
      </c>
      <c r="K1560" s="1077" t="s">
        <v>5392</v>
      </c>
      <c r="L1560" s="1077" t="s">
        <v>5037</v>
      </c>
      <c r="M1560" s="1077">
        <v>150</v>
      </c>
      <c r="N1560" s="1077" t="s">
        <v>945</v>
      </c>
      <c r="O1560" s="1077">
        <v>3.75</v>
      </c>
      <c r="P1560" s="1077">
        <v>3</v>
      </c>
      <c r="Q1560" s="1077">
        <v>3.5</v>
      </c>
      <c r="R1560" s="1077">
        <v>21.8</v>
      </c>
      <c r="T1560" s="1077">
        <v>19.5</v>
      </c>
      <c r="U1560" s="1077">
        <v>1.8</v>
      </c>
      <c r="V1560" s="1077" t="s">
        <v>648</v>
      </c>
      <c r="W1560" s="1077" t="s">
        <v>648</v>
      </c>
      <c r="X1560" s="1077" t="s">
        <v>648</v>
      </c>
      <c r="Y1560" s="1077">
        <v>2.1</v>
      </c>
      <c r="Z1560" s="1077">
        <v>5</v>
      </c>
      <c r="AA1560" s="1077" t="s">
        <v>5393</v>
      </c>
      <c r="AH1560" s="1077" t="s">
        <v>2398</v>
      </c>
      <c r="AM1560" s="1078" t="s">
        <v>12130</v>
      </c>
      <c r="AN1560" s="1078" t="s">
        <v>12131</v>
      </c>
      <c r="AO1560" s="1078">
        <f t="shared" si="198"/>
        <v>550</v>
      </c>
      <c r="AP1560" s="1078">
        <f t="shared" si="199"/>
        <v>1.8</v>
      </c>
      <c r="AQ1560" s="1078" t="str">
        <f t="shared" si="200"/>
        <v>1-5-1S91</v>
      </c>
      <c r="AR1560" s="1078" t="str">
        <f t="shared" si="201"/>
        <v>31.5</v>
      </c>
      <c r="AS1560" s="1078" t="str">
        <f t="shared" si="202"/>
        <v>320/320/150</v>
      </c>
      <c r="AT1560" s="1078" t="str">
        <f t="shared" si="203"/>
        <v>1-5-1S91</v>
      </c>
      <c r="AV1560" s="1078" t="str">
        <f t="shared" si="196"/>
        <v>111.2.16</v>
      </c>
      <c r="AW1560" s="1344">
        <f t="shared" si="197"/>
        <v>44608</v>
      </c>
    </row>
    <row r="1561" spans="1:49">
      <c r="A1561" s="1077" t="s">
        <v>5394</v>
      </c>
      <c r="B1561" s="1077" t="s">
        <v>4767</v>
      </c>
      <c r="C1561" s="1077">
        <v>600</v>
      </c>
      <c r="D1561" s="1077">
        <v>1.7250000000000001</v>
      </c>
      <c r="E1561" s="1077" t="s">
        <v>15109</v>
      </c>
      <c r="F1561" s="1077" t="s">
        <v>648</v>
      </c>
      <c r="G1561" s="1077">
        <v>5</v>
      </c>
      <c r="H1561" s="1077" t="s">
        <v>4776</v>
      </c>
      <c r="I1561" s="1077" t="s">
        <v>126</v>
      </c>
      <c r="J1561" s="1077">
        <v>1.4</v>
      </c>
      <c r="K1561" s="1077" t="s">
        <v>5395</v>
      </c>
      <c r="L1561" s="1077" t="s">
        <v>1776</v>
      </c>
      <c r="M1561" s="1077">
        <v>148</v>
      </c>
      <c r="N1561" s="1077" t="s">
        <v>945</v>
      </c>
      <c r="O1561" s="1077">
        <v>3.7</v>
      </c>
      <c r="P1561" s="1077">
        <v>2.96</v>
      </c>
      <c r="Q1561" s="1077">
        <v>4</v>
      </c>
      <c r="R1561" s="1077">
        <v>20.8</v>
      </c>
      <c r="T1561" s="1077">
        <v>20.399999999999999</v>
      </c>
      <c r="U1561" s="1077">
        <v>3.8</v>
      </c>
      <c r="V1561" s="1077" t="s">
        <v>648</v>
      </c>
      <c r="W1561" s="1077">
        <v>110</v>
      </c>
      <c r="X1561" s="1077">
        <v>60</v>
      </c>
      <c r="Y1561" s="1077">
        <v>1.7</v>
      </c>
      <c r="Z1561" s="1077" t="s">
        <v>648</v>
      </c>
      <c r="AA1561" s="1077" t="s">
        <v>5396</v>
      </c>
      <c r="AB1561" s="1077" t="s">
        <v>981</v>
      </c>
      <c r="AH1561" s="1077" t="s">
        <v>3074</v>
      </c>
      <c r="AM1561" s="1078" t="s">
        <v>12132</v>
      </c>
      <c r="AN1561" s="1078" t="s">
        <v>12133</v>
      </c>
      <c r="AO1561" s="1078">
        <f t="shared" si="198"/>
        <v>600</v>
      </c>
      <c r="AP1561" s="1078">
        <f t="shared" si="199"/>
        <v>1.7250000000000001</v>
      </c>
      <c r="AQ1561" s="1078" t="str">
        <f t="shared" si="200"/>
        <v>1-5-1S85°Z+S</v>
      </c>
      <c r="AR1561" s="1078" t="str">
        <f t="shared" si="201"/>
        <v>NA</v>
      </c>
      <c r="AS1561" s="1078" t="str">
        <f t="shared" si="202"/>
        <v>178/OFF</v>
      </c>
      <c r="AT1561" s="1078" t="str">
        <f t="shared" si="203"/>
        <v>1-5-1S85°Z+S</v>
      </c>
      <c r="AU1561" s="1078" t="s">
        <v>15547</v>
      </c>
      <c r="AV1561" s="1078" t="str">
        <f t="shared" si="196"/>
        <v>110.2.18</v>
      </c>
      <c r="AW1561" s="1344">
        <f t="shared" si="197"/>
        <v>44245</v>
      </c>
    </row>
    <row r="1562" spans="1:49">
      <c r="A1562" s="1077" t="s">
        <v>5397</v>
      </c>
      <c r="B1562" s="1077" t="s">
        <v>210</v>
      </c>
      <c r="C1562" s="1077" t="s">
        <v>5398</v>
      </c>
      <c r="D1562" s="1077">
        <v>1.77</v>
      </c>
      <c r="E1562" s="1077" t="s">
        <v>15094</v>
      </c>
      <c r="F1562" s="1077" t="s">
        <v>4013</v>
      </c>
      <c r="G1562" s="1077">
        <v>5</v>
      </c>
      <c r="H1562" s="1077" t="s">
        <v>5399</v>
      </c>
      <c r="I1562" s="1077" t="s">
        <v>126</v>
      </c>
      <c r="J1562" s="1077">
        <v>1.6</v>
      </c>
      <c r="K1562" s="1077" t="s">
        <v>5400</v>
      </c>
      <c r="L1562" s="1077" t="s">
        <v>4666</v>
      </c>
      <c r="M1562" s="1077">
        <v>152.19999999999999</v>
      </c>
      <c r="N1562" s="1077" t="s">
        <v>945</v>
      </c>
      <c r="O1562" s="1077">
        <v>3.8049999999999997</v>
      </c>
      <c r="P1562" s="1077">
        <v>3.044</v>
      </c>
      <c r="Q1562" s="1077">
        <v>4</v>
      </c>
      <c r="R1562" s="1077">
        <v>19</v>
      </c>
      <c r="T1562" s="1077">
        <v>16</v>
      </c>
      <c r="U1562" s="1077">
        <v>4</v>
      </c>
      <c r="V1562" s="1077" t="s">
        <v>648</v>
      </c>
      <c r="W1562" s="1077">
        <v>95</v>
      </c>
      <c r="X1562" s="1077">
        <v>20</v>
      </c>
      <c r="Y1562" s="1077">
        <v>1.5</v>
      </c>
      <c r="Z1562" s="1077">
        <v>5</v>
      </c>
      <c r="AA1562" s="1077" t="s">
        <v>5401</v>
      </c>
      <c r="AH1562" s="1077" t="s">
        <v>1643</v>
      </c>
      <c r="AM1562" s="1078" t="s">
        <v>12134</v>
      </c>
      <c r="AN1562" s="1078" t="s">
        <v>12135</v>
      </c>
      <c r="AO1562" s="1078" t="str">
        <f t="shared" si="198"/>
        <v>650↓600-4/11</v>
      </c>
      <c r="AP1562" s="1078">
        <f t="shared" si="199"/>
        <v>1.77</v>
      </c>
      <c r="AQ1562" s="1078" t="str">
        <f t="shared" si="200"/>
        <v>1-5-1S91°</v>
      </c>
      <c r="AR1562" s="1078" t="str">
        <f t="shared" si="201"/>
        <v>30.3</v>
      </c>
      <c r="AS1562" s="1078" t="str">
        <f t="shared" si="202"/>
        <v>303/263/153</v>
      </c>
      <c r="AT1562" s="1078" t="str">
        <f t="shared" si="203"/>
        <v>1-5-1S91°</v>
      </c>
      <c r="AV1562" s="1078" t="str">
        <f t="shared" si="196"/>
        <v>111.3.21</v>
      </c>
      <c r="AW1562" s="1344">
        <f t="shared" si="197"/>
        <v>44641</v>
      </c>
    </row>
    <row r="1563" spans="1:49">
      <c r="A1563" s="1077" t="s">
        <v>5402</v>
      </c>
      <c r="B1563" s="1077" t="s">
        <v>210</v>
      </c>
      <c r="C1563" s="1077">
        <v>700</v>
      </c>
      <c r="D1563" s="1077">
        <v>1.74</v>
      </c>
      <c r="E1563" s="1077" t="s">
        <v>15094</v>
      </c>
      <c r="F1563" s="1077" t="s">
        <v>984</v>
      </c>
      <c r="G1563" s="1077">
        <v>5</v>
      </c>
      <c r="H1563" s="1077" t="s">
        <v>5300</v>
      </c>
      <c r="I1563" s="1077" t="s">
        <v>126</v>
      </c>
      <c r="J1563" s="1077">
        <v>0.7</v>
      </c>
      <c r="K1563" s="1077" t="s">
        <v>4688</v>
      </c>
      <c r="L1563" s="1077" t="s">
        <v>4666</v>
      </c>
      <c r="M1563" s="1077">
        <v>151.5</v>
      </c>
      <c r="N1563" s="1077" t="s">
        <v>945</v>
      </c>
      <c r="O1563" s="1077">
        <v>3.7875000000000001</v>
      </c>
      <c r="P1563" s="1077">
        <v>3.0300000000000002</v>
      </c>
      <c r="Q1563" s="1077">
        <v>4</v>
      </c>
      <c r="R1563" s="1077">
        <v>19.100000000000001</v>
      </c>
      <c r="T1563" s="1077">
        <v>23.7</v>
      </c>
      <c r="U1563" s="1077">
        <v>3.2</v>
      </c>
      <c r="V1563" s="1077" t="s">
        <v>648</v>
      </c>
      <c r="W1563" s="1077">
        <v>35</v>
      </c>
      <c r="X1563" s="1077">
        <v>10</v>
      </c>
      <c r="Y1563" s="1077">
        <v>1</v>
      </c>
      <c r="Z1563" s="1077">
        <v>6</v>
      </c>
      <c r="AA1563" s="1077" t="s">
        <v>1927</v>
      </c>
      <c r="AH1563" s="1077" t="s">
        <v>722</v>
      </c>
      <c r="AM1563" s="1078" t="s">
        <v>12136</v>
      </c>
      <c r="AN1563" s="1078" t="s">
        <v>12137</v>
      </c>
      <c r="AO1563" s="1078">
        <f t="shared" si="198"/>
        <v>700</v>
      </c>
      <c r="AP1563" s="1078">
        <f t="shared" si="199"/>
        <v>1.74</v>
      </c>
      <c r="AQ1563" s="1078" t="str">
        <f t="shared" si="200"/>
        <v>1-5-1S91°</v>
      </c>
      <c r="AR1563" s="1078" t="str">
        <f t="shared" si="201"/>
        <v>30</v>
      </c>
      <c r="AS1563" s="1078" t="str">
        <f t="shared" si="202"/>
        <v>370/330/155</v>
      </c>
      <c r="AT1563" s="1078" t="str">
        <f t="shared" si="203"/>
        <v>1-5-1S91°</v>
      </c>
      <c r="AV1563" s="1078" t="str">
        <f t="shared" si="196"/>
        <v>111.3.7</v>
      </c>
      <c r="AW1563" s="1344">
        <f t="shared" si="197"/>
        <v>44627</v>
      </c>
    </row>
    <row r="1564" spans="1:49">
      <c r="A1564" s="1077" t="s">
        <v>5403</v>
      </c>
      <c r="B1564" s="1077" t="s">
        <v>4729</v>
      </c>
      <c r="C1564" s="1077">
        <v>700</v>
      </c>
      <c r="D1564" s="1077">
        <v>1.72</v>
      </c>
      <c r="E1564" s="1077" t="s">
        <v>15111</v>
      </c>
      <c r="F1564" s="1077" t="s">
        <v>984</v>
      </c>
      <c r="G1564" s="1077">
        <v>5</v>
      </c>
      <c r="H1564" s="1077" t="s">
        <v>2393</v>
      </c>
      <c r="I1564" s="1077" t="s">
        <v>126</v>
      </c>
      <c r="J1564" s="1077">
        <v>1.9</v>
      </c>
      <c r="K1564" s="1077" t="s">
        <v>5404</v>
      </c>
      <c r="L1564" s="1077" t="s">
        <v>4731</v>
      </c>
      <c r="M1564" s="1077">
        <v>153.30000000000001</v>
      </c>
      <c r="N1564" s="1077" t="s">
        <v>945</v>
      </c>
      <c r="O1564" s="1077">
        <v>3.8325000000000005</v>
      </c>
      <c r="P1564" s="1077">
        <v>3.0660000000000003</v>
      </c>
      <c r="Q1564" s="1077" t="s">
        <v>988</v>
      </c>
      <c r="R1564" s="1077">
        <v>20.8</v>
      </c>
      <c r="T1564" s="1077">
        <v>14.1</v>
      </c>
      <c r="U1564" s="1077">
        <v>4.7</v>
      </c>
      <c r="V1564" s="1077" t="s">
        <v>648</v>
      </c>
      <c r="W1564" s="1077">
        <v>100</v>
      </c>
      <c r="X1564" s="1077">
        <v>60</v>
      </c>
      <c r="Y1564" s="1077">
        <v>1.5</v>
      </c>
      <c r="Z1564" s="1077">
        <v>5.5</v>
      </c>
      <c r="AA1564" s="1077" t="s">
        <v>5405</v>
      </c>
      <c r="AH1564" s="1077" t="s">
        <v>1143</v>
      </c>
      <c r="AM1564" s="1078" t="s">
        <v>12138</v>
      </c>
      <c r="AN1564" s="1078" t="s">
        <v>12139</v>
      </c>
      <c r="AO1564" s="1078">
        <f t="shared" si="198"/>
        <v>700</v>
      </c>
      <c r="AP1564" s="1078">
        <f t="shared" si="199"/>
        <v>1.72</v>
      </c>
      <c r="AQ1564" s="1078" t="str">
        <f t="shared" si="200"/>
        <v>1-5-1S91</v>
      </c>
      <c r="AR1564" s="1078" t="str">
        <f t="shared" si="201"/>
        <v>30</v>
      </c>
      <c r="AS1564" s="1078" t="str">
        <f t="shared" si="202"/>
        <v>310/310/OFF</v>
      </c>
      <c r="AT1564" s="1078" t="str">
        <f t="shared" si="203"/>
        <v>1-5-1S91</v>
      </c>
      <c r="AV1564" s="1078" t="str">
        <f t="shared" si="196"/>
        <v>108.11.15</v>
      </c>
      <c r="AW1564" s="1344">
        <f t="shared" si="197"/>
        <v>43784</v>
      </c>
    </row>
    <row r="1565" spans="1:49">
      <c r="A1565" s="1077" t="s">
        <v>5406</v>
      </c>
      <c r="B1565" s="1077" t="s">
        <v>4927</v>
      </c>
      <c r="C1565" s="1077">
        <v>650</v>
      </c>
      <c r="D1565" s="1077">
        <v>1.7290000000000001</v>
      </c>
      <c r="E1565" s="1077" t="s">
        <v>15117</v>
      </c>
      <c r="F1565" s="1077" t="s">
        <v>648</v>
      </c>
      <c r="G1565" s="1077">
        <v>4</v>
      </c>
      <c r="H1565" s="1077" t="s">
        <v>1470</v>
      </c>
      <c r="I1565" s="1077" t="s">
        <v>126</v>
      </c>
      <c r="J1565" s="1077">
        <v>1.6</v>
      </c>
      <c r="K1565" s="1077" t="s">
        <v>5407</v>
      </c>
      <c r="L1565" s="1077" t="s">
        <v>1763</v>
      </c>
      <c r="M1565" s="1077">
        <v>157.6</v>
      </c>
      <c r="N1565" s="1077" t="s">
        <v>945</v>
      </c>
      <c r="O1565" s="1077">
        <v>3.94</v>
      </c>
      <c r="P1565" s="1077">
        <v>3.1520000000000001</v>
      </c>
      <c r="Q1565" s="1077" t="s">
        <v>1005</v>
      </c>
      <c r="R1565" s="1077">
        <v>28.3</v>
      </c>
      <c r="T1565" s="1077">
        <v>11.7</v>
      </c>
      <c r="U1565" s="1077">
        <v>6.3</v>
      </c>
      <c r="V1565" s="1077" t="s">
        <v>648</v>
      </c>
      <c r="W1565" s="1077">
        <v>135</v>
      </c>
      <c r="X1565" s="1077">
        <v>85</v>
      </c>
      <c r="Y1565" s="1077">
        <v>1.4</v>
      </c>
      <c r="Z1565" s="1077" t="s">
        <v>648</v>
      </c>
      <c r="AA1565" s="1077" t="s">
        <v>5408</v>
      </c>
      <c r="AH1565" s="1077" t="s">
        <v>842</v>
      </c>
      <c r="AM1565" s="1078" t="s">
        <v>12140</v>
      </c>
      <c r="AN1565" s="1078" t="s">
        <v>12141</v>
      </c>
      <c r="AO1565" s="1078">
        <f t="shared" si="198"/>
        <v>650</v>
      </c>
      <c r="AP1565" s="1078">
        <f t="shared" si="199"/>
        <v>1.7290000000000001</v>
      </c>
      <c r="AQ1565" s="1078" t="str">
        <f t="shared" si="200"/>
        <v>1-4-1S85°S+Z</v>
      </c>
      <c r="AR1565" s="1078" t="str">
        <f t="shared" si="201"/>
        <v>NA</v>
      </c>
      <c r="AS1565" s="1078" t="str">
        <f t="shared" si="202"/>
        <v>160/OFF</v>
      </c>
      <c r="AT1565" s="1078" t="str">
        <f t="shared" si="203"/>
        <v>1-4-1S85°S+Z</v>
      </c>
      <c r="AU1565" s="1078" t="s">
        <v>15550</v>
      </c>
      <c r="AV1565" s="1078" t="str">
        <f t="shared" si="196"/>
        <v>109.2.25</v>
      </c>
      <c r="AW1565" s="1344">
        <f t="shared" si="197"/>
        <v>43886</v>
      </c>
    </row>
    <row r="1566" spans="1:49">
      <c r="A1566" s="1077" t="s">
        <v>5409</v>
      </c>
      <c r="B1566" s="1077" t="s">
        <v>5410</v>
      </c>
      <c r="C1566" s="1077">
        <v>500</v>
      </c>
      <c r="D1566" s="1077">
        <v>1.726</v>
      </c>
      <c r="E1566" s="1077" t="s">
        <v>15116</v>
      </c>
      <c r="F1566" s="1077" t="s">
        <v>984</v>
      </c>
      <c r="G1566" s="1077">
        <v>2</v>
      </c>
      <c r="H1566" s="1077" t="s">
        <v>1061</v>
      </c>
      <c r="I1566" s="1077" t="s">
        <v>126</v>
      </c>
      <c r="J1566" s="1077">
        <v>0.3</v>
      </c>
      <c r="K1566" s="1077" t="s">
        <v>5411</v>
      </c>
      <c r="L1566" s="1077" t="s">
        <v>1825</v>
      </c>
      <c r="M1566" s="1077">
        <v>150.1</v>
      </c>
      <c r="N1566" s="1077" t="s">
        <v>945</v>
      </c>
      <c r="O1566" s="1077">
        <v>3.7524999999999999</v>
      </c>
      <c r="P1566" s="1077">
        <v>3.0019999999999998</v>
      </c>
      <c r="Q1566" s="1077" t="s">
        <v>1020</v>
      </c>
      <c r="R1566" s="1077">
        <v>20.7</v>
      </c>
      <c r="T1566" s="1077">
        <v>32.6</v>
      </c>
      <c r="U1566" s="1077">
        <v>3</v>
      </c>
      <c r="V1566" s="1077" t="s">
        <v>648</v>
      </c>
      <c r="W1566" s="1077" t="s">
        <v>648</v>
      </c>
      <c r="X1566" s="1077" t="s">
        <v>648</v>
      </c>
      <c r="Y1566" s="1077">
        <v>1.7</v>
      </c>
      <c r="Z1566" s="1077" t="s">
        <v>648</v>
      </c>
      <c r="AA1566" s="1077" t="s">
        <v>5412</v>
      </c>
      <c r="AH1566" s="1077" t="s">
        <v>1803</v>
      </c>
      <c r="AM1566" s="1078" t="s">
        <v>12142</v>
      </c>
      <c r="AN1566" s="1078" t="s">
        <v>12143</v>
      </c>
      <c r="AO1566" s="1078">
        <f t="shared" si="198"/>
        <v>500</v>
      </c>
      <c r="AP1566" s="1078">
        <f t="shared" si="199"/>
        <v>1.726</v>
      </c>
      <c r="AQ1566" s="1078" t="str">
        <f t="shared" si="200"/>
        <v>1-5-1S83°Z+S</v>
      </c>
      <c r="AR1566" s="1078" t="str">
        <f t="shared" si="201"/>
        <v>30</v>
      </c>
      <c r="AS1566" s="1078" t="str">
        <f t="shared" si="202"/>
        <v>255/255/OFF</v>
      </c>
      <c r="AT1566" s="1078" t="str">
        <f t="shared" si="203"/>
        <v>1-5-1S83°Z+S</v>
      </c>
      <c r="AU1566" s="1078" t="s">
        <v>15547</v>
      </c>
      <c r="AV1566" s="1078" t="str">
        <f t="shared" si="196"/>
        <v>109.5.21</v>
      </c>
      <c r="AW1566" s="1344">
        <f t="shared" si="197"/>
        <v>43972</v>
      </c>
    </row>
    <row r="1567" spans="1:49">
      <c r="A1567" s="1077" t="s">
        <v>5413</v>
      </c>
      <c r="B1567" s="1077" t="s">
        <v>844</v>
      </c>
      <c r="C1567" s="1077">
        <v>600</v>
      </c>
      <c r="D1567" s="1077">
        <v>1.756</v>
      </c>
      <c r="E1567" s="1077" t="s">
        <v>15094</v>
      </c>
      <c r="F1567" s="1077" t="s">
        <v>954</v>
      </c>
      <c r="G1567" s="1077">
        <v>5</v>
      </c>
      <c r="H1567" s="1077" t="s">
        <v>5126</v>
      </c>
      <c r="I1567" s="1077" t="s">
        <v>460</v>
      </c>
      <c r="J1567" s="1077">
        <v>4.0999999999999996</v>
      </c>
      <c r="K1567" s="1077" t="s">
        <v>5414</v>
      </c>
      <c r="L1567" s="1077" t="s">
        <v>4907</v>
      </c>
      <c r="M1567" s="1077">
        <v>151.69999999999999</v>
      </c>
      <c r="N1567" s="1077" t="s">
        <v>945</v>
      </c>
      <c r="O1567" s="1077">
        <v>3.7925</v>
      </c>
      <c r="P1567" s="1077">
        <v>3.0339999999999998</v>
      </c>
      <c r="Q1567" s="1077" t="s">
        <v>1059</v>
      </c>
      <c r="R1567" s="1077">
        <v>19.7</v>
      </c>
      <c r="T1567" s="1077">
        <v>11.5</v>
      </c>
      <c r="U1567" s="1077">
        <v>5.3</v>
      </c>
      <c r="V1567" s="1077" t="s">
        <v>648</v>
      </c>
      <c r="W1567" s="1077">
        <v>105</v>
      </c>
      <c r="X1567" s="1077">
        <v>95</v>
      </c>
      <c r="Y1567" s="1077">
        <v>1.5</v>
      </c>
      <c r="Z1567" s="1077">
        <v>5</v>
      </c>
      <c r="AA1567" s="1077" t="s">
        <v>2455</v>
      </c>
      <c r="AH1567" s="1077" t="s">
        <v>963</v>
      </c>
      <c r="AM1567" s="1078" t="s">
        <v>12144</v>
      </c>
      <c r="AN1567" s="1078" t="s">
        <v>12145</v>
      </c>
      <c r="AO1567" s="1078">
        <f t="shared" si="198"/>
        <v>600</v>
      </c>
      <c r="AP1567" s="1078">
        <f t="shared" si="199"/>
        <v>1.756</v>
      </c>
      <c r="AQ1567" s="1078" t="str">
        <f t="shared" si="200"/>
        <v>1-5-1S91°</v>
      </c>
      <c r="AR1567" s="1078" t="str">
        <f t="shared" si="201"/>
        <v>31</v>
      </c>
      <c r="AS1567" s="1078" t="str">
        <f t="shared" si="202"/>
        <v>300/300/140</v>
      </c>
      <c r="AT1567" s="1078" t="str">
        <f t="shared" si="203"/>
        <v>1-5-1S91°</v>
      </c>
      <c r="AV1567" s="1078" t="str">
        <f t="shared" si="196"/>
        <v>109.11.13</v>
      </c>
      <c r="AW1567" s="1344">
        <f t="shared" si="197"/>
        <v>44148</v>
      </c>
    </row>
    <row r="1568" spans="1:49">
      <c r="A1568" s="1077" t="s">
        <v>5415</v>
      </c>
      <c r="B1568" s="1077" t="s">
        <v>5148</v>
      </c>
      <c r="C1568" s="1077">
        <v>650</v>
      </c>
      <c r="D1568" s="1077">
        <v>1.7350000000000001</v>
      </c>
      <c r="E1568" s="1077" t="s">
        <v>15102</v>
      </c>
      <c r="F1568" s="1077" t="s">
        <v>5149</v>
      </c>
      <c r="G1568" s="1077">
        <v>5</v>
      </c>
      <c r="H1568" s="1077" t="s">
        <v>5416</v>
      </c>
      <c r="I1568" s="1077" t="s">
        <v>648</v>
      </c>
      <c r="J1568" s="1077">
        <v>0</v>
      </c>
      <c r="K1568" s="1077" t="s">
        <v>5417</v>
      </c>
      <c r="L1568" s="1077" t="s">
        <v>5152</v>
      </c>
      <c r="M1568" s="1077">
        <v>150</v>
      </c>
      <c r="N1568" s="1077" t="s">
        <v>945</v>
      </c>
      <c r="O1568" s="1077">
        <v>3.75</v>
      </c>
      <c r="P1568" s="1077">
        <v>3</v>
      </c>
      <c r="Q1568" s="1077">
        <v>3.5</v>
      </c>
      <c r="R1568" s="1077">
        <v>24</v>
      </c>
      <c r="T1568" s="1077">
        <v>23.5</v>
      </c>
      <c r="U1568" s="1077">
        <v>1.8</v>
      </c>
      <c r="V1568" s="1077" t="s">
        <v>648</v>
      </c>
      <c r="W1568" s="1077" t="s">
        <v>648</v>
      </c>
      <c r="X1568" s="1077" t="s">
        <v>648</v>
      </c>
      <c r="Y1568" s="1077">
        <v>1.2</v>
      </c>
      <c r="Z1568" s="1077">
        <v>5.5</v>
      </c>
      <c r="AA1568" s="1077" t="s">
        <v>3110</v>
      </c>
      <c r="AH1568" s="1077" t="s">
        <v>726</v>
      </c>
      <c r="AM1568" s="1078" t="s">
        <v>12146</v>
      </c>
      <c r="AN1568" s="1078" t="s">
        <v>12147</v>
      </c>
      <c r="AO1568" s="1078">
        <f t="shared" si="198"/>
        <v>650</v>
      </c>
      <c r="AP1568" s="1078">
        <f t="shared" si="199"/>
        <v>1.7350000000000001</v>
      </c>
      <c r="AQ1568" s="1078" t="str">
        <f t="shared" si="200"/>
        <v>2-6-1S83°</v>
      </c>
      <c r="AR1568" s="1078" t="str">
        <f t="shared" si="201"/>
        <v>29.3</v>
      </c>
      <c r="AS1568" s="1078" t="str">
        <f t="shared" si="202"/>
        <v>180/190</v>
      </c>
      <c r="AT1568" s="1078" t="str">
        <f t="shared" si="203"/>
        <v>2-6-1S83°</v>
      </c>
      <c r="AV1568" s="1078" t="str">
        <f t="shared" si="196"/>
        <v>110.1.25</v>
      </c>
      <c r="AW1568" s="1344">
        <f t="shared" si="197"/>
        <v>44221</v>
      </c>
    </row>
    <row r="1569" spans="1:49">
      <c r="A1569" s="1077" t="s">
        <v>5418</v>
      </c>
      <c r="B1569" s="1077" t="s">
        <v>210</v>
      </c>
      <c r="C1569" s="1077">
        <v>700</v>
      </c>
      <c r="D1569" s="1077">
        <v>1.76</v>
      </c>
      <c r="E1569" s="1077" t="s">
        <v>15094</v>
      </c>
      <c r="F1569" s="1077" t="s">
        <v>984</v>
      </c>
      <c r="G1569" s="1077">
        <v>5</v>
      </c>
      <c r="H1569" s="1077" t="s">
        <v>4997</v>
      </c>
      <c r="I1569" s="1077" t="s">
        <v>126</v>
      </c>
      <c r="J1569" s="1077">
        <v>2.7</v>
      </c>
      <c r="K1569" s="1077" t="s">
        <v>5419</v>
      </c>
      <c r="L1569" s="1077" t="s">
        <v>4666</v>
      </c>
      <c r="M1569" s="1077">
        <v>150.80000000000001</v>
      </c>
      <c r="N1569" s="1077" t="s">
        <v>945</v>
      </c>
      <c r="O1569" s="1077">
        <v>3.7700000000000005</v>
      </c>
      <c r="P1569" s="1077">
        <v>3.0160000000000005</v>
      </c>
      <c r="Q1569" s="1077">
        <v>4</v>
      </c>
      <c r="R1569" s="1077">
        <v>19</v>
      </c>
      <c r="T1569" s="1077">
        <v>28.3</v>
      </c>
      <c r="U1569" s="1077">
        <v>4.3</v>
      </c>
      <c r="V1569" s="1077" t="s">
        <v>648</v>
      </c>
      <c r="W1569" s="1077">
        <v>100</v>
      </c>
      <c r="X1569" s="1077">
        <v>50</v>
      </c>
      <c r="Y1569" s="1077">
        <v>1.5</v>
      </c>
      <c r="Z1569" s="1077">
        <v>6.5</v>
      </c>
      <c r="AA1569" s="1077" t="s">
        <v>4643</v>
      </c>
      <c r="AH1569" s="1077" t="s">
        <v>1588</v>
      </c>
      <c r="AM1569" s="1078" t="s">
        <v>12148</v>
      </c>
      <c r="AN1569" s="1078" t="s">
        <v>12149</v>
      </c>
      <c r="AO1569" s="1078">
        <f t="shared" si="198"/>
        <v>700</v>
      </c>
      <c r="AP1569" s="1078">
        <f t="shared" si="199"/>
        <v>1.76</v>
      </c>
      <c r="AQ1569" s="1078" t="str">
        <f t="shared" si="200"/>
        <v>1-5-1S91°</v>
      </c>
      <c r="AR1569" s="1078" t="str">
        <f t="shared" si="201"/>
        <v>30</v>
      </c>
      <c r="AS1569" s="1078" t="str">
        <f t="shared" si="202"/>
        <v>360/320/OFF</v>
      </c>
      <c r="AT1569" s="1078" t="str">
        <f t="shared" si="203"/>
        <v>1-5-1S91°</v>
      </c>
      <c r="AV1569" s="1078" t="str">
        <f t="shared" si="196"/>
        <v>110.3.11</v>
      </c>
      <c r="AW1569" s="1344">
        <f t="shared" si="197"/>
        <v>44266</v>
      </c>
    </row>
    <row r="1570" spans="1:49">
      <c r="A1570" s="1077" t="s">
        <v>5420</v>
      </c>
      <c r="B1570" s="1077" t="s">
        <v>5005</v>
      </c>
      <c r="C1570" s="1077">
        <v>500</v>
      </c>
      <c r="D1570" s="1077">
        <v>1.69</v>
      </c>
      <c r="E1570" s="1077" t="s">
        <v>15104</v>
      </c>
      <c r="F1570" s="1077" t="s">
        <v>648</v>
      </c>
      <c r="G1570" s="1077">
        <v>4</v>
      </c>
      <c r="H1570" s="1077" t="s">
        <v>1379</v>
      </c>
      <c r="I1570" s="1077" t="s">
        <v>126</v>
      </c>
      <c r="J1570" s="1077">
        <v>1.9</v>
      </c>
      <c r="K1570" s="1077" t="s">
        <v>5421</v>
      </c>
      <c r="L1570" s="1077" t="s">
        <v>5007</v>
      </c>
      <c r="M1570" s="1077">
        <v>154</v>
      </c>
      <c r="N1570" s="1077" t="s">
        <v>945</v>
      </c>
      <c r="O1570" s="1077">
        <v>3.85</v>
      </c>
      <c r="P1570" s="1077">
        <v>3.08</v>
      </c>
      <c r="Q1570" s="1077" t="s">
        <v>4048</v>
      </c>
      <c r="R1570" s="1077">
        <v>21</v>
      </c>
      <c r="T1570" s="1077">
        <v>15</v>
      </c>
      <c r="U1570" s="1077">
        <v>4.2</v>
      </c>
      <c r="V1570" s="1077" t="s">
        <v>648</v>
      </c>
      <c r="W1570" s="1077">
        <v>140</v>
      </c>
      <c r="X1570" s="1077">
        <v>90</v>
      </c>
      <c r="Y1570" s="1077">
        <v>1.6</v>
      </c>
      <c r="Z1570" s="1077" t="s">
        <v>648</v>
      </c>
      <c r="AA1570" s="1077" t="s">
        <v>5422</v>
      </c>
      <c r="AH1570" s="1077" t="s">
        <v>1486</v>
      </c>
      <c r="AM1570" s="1078" t="s">
        <v>12150</v>
      </c>
      <c r="AN1570" s="1078" t="s">
        <v>12151</v>
      </c>
      <c r="AO1570" s="1078">
        <f t="shared" si="198"/>
        <v>500</v>
      </c>
      <c r="AP1570" s="1078">
        <f t="shared" si="199"/>
        <v>1.69</v>
      </c>
      <c r="AQ1570" s="1078" t="str">
        <f t="shared" si="200"/>
        <v>1-4-1S85°Z+S</v>
      </c>
      <c r="AR1570" s="1078" t="str">
        <f t="shared" si="201"/>
        <v>NA</v>
      </c>
      <c r="AS1570" s="1078" t="str">
        <f t="shared" si="202"/>
        <v>167/OFF</v>
      </c>
      <c r="AT1570" s="1078" t="str">
        <f t="shared" si="203"/>
        <v>1-4-1S85°Z+S</v>
      </c>
      <c r="AU1570" s="1078" t="s">
        <v>15547</v>
      </c>
      <c r="AV1570" s="1078" t="str">
        <f t="shared" si="196"/>
        <v>110.5.26</v>
      </c>
      <c r="AW1570" s="1344">
        <f t="shared" si="197"/>
        <v>44342</v>
      </c>
    </row>
    <row r="1571" spans="1:49">
      <c r="A1571" s="1077" t="s">
        <v>5423</v>
      </c>
      <c r="B1571" s="1077" t="s">
        <v>5148</v>
      </c>
      <c r="C1571" s="1077">
        <v>600</v>
      </c>
      <c r="D1571" s="1077">
        <v>1.77</v>
      </c>
      <c r="E1571" s="1077" t="s">
        <v>15088</v>
      </c>
      <c r="F1571" s="1077" t="s">
        <v>648</v>
      </c>
      <c r="G1571" s="1077">
        <v>2</v>
      </c>
      <c r="H1571" s="1077" t="s">
        <v>5424</v>
      </c>
      <c r="I1571" s="1077" t="s">
        <v>126</v>
      </c>
      <c r="J1571" s="1077">
        <v>2</v>
      </c>
      <c r="K1571" s="1077" t="s">
        <v>5425</v>
      </c>
      <c r="L1571" s="1077" t="s">
        <v>5152</v>
      </c>
      <c r="M1571" s="1077">
        <v>150</v>
      </c>
      <c r="N1571" s="1077" t="s">
        <v>945</v>
      </c>
      <c r="O1571" s="1077">
        <v>3.75</v>
      </c>
      <c r="P1571" s="1077">
        <v>3</v>
      </c>
      <c r="Q1571" s="1077">
        <v>4</v>
      </c>
      <c r="R1571" s="1077">
        <v>21.5</v>
      </c>
      <c r="T1571" s="1077">
        <v>21</v>
      </c>
      <c r="U1571" s="1077">
        <v>2.2999999999999998</v>
      </c>
      <c r="V1571" s="1077" t="s">
        <v>648</v>
      </c>
      <c r="W1571" s="1077">
        <v>130</v>
      </c>
      <c r="X1571" s="1077">
        <v>85</v>
      </c>
      <c r="Y1571" s="1077">
        <v>1.2</v>
      </c>
      <c r="Z1571" s="1077">
        <v>5.5</v>
      </c>
      <c r="AA1571" s="1077" t="s">
        <v>5426</v>
      </c>
      <c r="AH1571" s="1077" t="s">
        <v>5427</v>
      </c>
      <c r="AM1571" s="1078" t="s">
        <v>12152</v>
      </c>
      <c r="AN1571" s="1078" t="s">
        <v>12153</v>
      </c>
      <c r="AO1571" s="1078">
        <f t="shared" si="198"/>
        <v>600</v>
      </c>
      <c r="AP1571" s="1078">
        <f t="shared" si="199"/>
        <v>1.77</v>
      </c>
      <c r="AQ1571" s="1078" t="str">
        <f t="shared" si="200"/>
        <v>1-4-1S85°</v>
      </c>
      <c r="AR1571" s="1078" t="str">
        <f t="shared" si="201"/>
        <v>NA</v>
      </c>
      <c r="AS1571" s="1078" t="str">
        <f t="shared" si="202"/>
        <v>200/175</v>
      </c>
      <c r="AT1571" s="1078" t="str">
        <f t="shared" si="203"/>
        <v>1-4-1S85°</v>
      </c>
      <c r="AV1571" s="1078" t="str">
        <f t="shared" si="196"/>
        <v>110.7.20</v>
      </c>
      <c r="AW1571" s="1344">
        <f t="shared" si="197"/>
        <v>44397</v>
      </c>
    </row>
    <row r="1572" spans="1:49">
      <c r="A1572" s="1077" t="s">
        <v>5428</v>
      </c>
      <c r="B1572" s="1077" t="s">
        <v>5429</v>
      </c>
      <c r="C1572" s="1077">
        <v>600</v>
      </c>
      <c r="D1572" s="1077">
        <v>1.75</v>
      </c>
      <c r="E1572" s="1077" t="s">
        <v>15116</v>
      </c>
      <c r="F1572" s="1077" t="s">
        <v>1514</v>
      </c>
      <c r="G1572" s="1077">
        <v>4</v>
      </c>
      <c r="H1572" s="1077" t="s">
        <v>1017</v>
      </c>
      <c r="I1572" s="1077" t="s">
        <v>126</v>
      </c>
      <c r="J1572" s="1077">
        <v>1.9</v>
      </c>
      <c r="K1572" s="1077" t="s">
        <v>5430</v>
      </c>
      <c r="L1572" s="1077" t="s">
        <v>1964</v>
      </c>
      <c r="M1572" s="1077">
        <v>150</v>
      </c>
      <c r="N1572" s="1077" t="s">
        <v>945</v>
      </c>
      <c r="O1572" s="1077">
        <v>3.75</v>
      </c>
      <c r="P1572" s="1077">
        <v>3</v>
      </c>
      <c r="Q1572" s="1077">
        <v>3</v>
      </c>
      <c r="R1572" s="1077">
        <v>28.5</v>
      </c>
      <c r="T1572" s="1077">
        <v>12.5</v>
      </c>
      <c r="U1572" s="1077">
        <v>7.4</v>
      </c>
      <c r="V1572" s="1077" t="s">
        <v>648</v>
      </c>
      <c r="W1572" s="1077">
        <v>125</v>
      </c>
      <c r="X1572" s="1077">
        <v>80</v>
      </c>
      <c r="Y1572" s="1077">
        <v>1.5</v>
      </c>
      <c r="Z1572" s="1077" t="s">
        <v>648</v>
      </c>
      <c r="AA1572" s="1077" t="s">
        <v>5346</v>
      </c>
      <c r="AH1572" s="1077" t="s">
        <v>875</v>
      </c>
      <c r="AM1572" s="1078" t="s">
        <v>12154</v>
      </c>
      <c r="AN1572" s="1078" t="s">
        <v>12155</v>
      </c>
      <c r="AO1572" s="1078">
        <f t="shared" si="198"/>
        <v>600</v>
      </c>
      <c r="AP1572" s="1078">
        <f t="shared" si="199"/>
        <v>1.75</v>
      </c>
      <c r="AQ1572" s="1078" t="str">
        <f t="shared" si="200"/>
        <v>1-5-1S83°Z+S</v>
      </c>
      <c r="AR1572" s="1078" t="str">
        <f t="shared" si="201"/>
        <v>32</v>
      </c>
      <c r="AS1572" s="1078" t="str">
        <f t="shared" si="202"/>
        <v>200/200/OFF</v>
      </c>
      <c r="AT1572" s="1078" t="str">
        <f t="shared" si="203"/>
        <v>1-5-1S83°Z+S</v>
      </c>
      <c r="AU1572" s="1078" t="s">
        <v>15547</v>
      </c>
      <c r="AV1572" s="1078" t="str">
        <f t="shared" si="196"/>
        <v>110.9.27</v>
      </c>
      <c r="AW1572" s="1344">
        <f t="shared" si="197"/>
        <v>44466</v>
      </c>
    </row>
    <row r="1573" spans="1:49">
      <c r="A1573" s="1077" t="s">
        <v>5431</v>
      </c>
      <c r="B1573" s="1077" t="s">
        <v>4729</v>
      </c>
      <c r="C1573" s="1077">
        <v>700</v>
      </c>
      <c r="D1573" s="1077">
        <v>1.73</v>
      </c>
      <c r="E1573" s="1077" t="s">
        <v>15111</v>
      </c>
      <c r="F1573" s="1077" t="s">
        <v>984</v>
      </c>
      <c r="G1573" s="1077">
        <v>5</v>
      </c>
      <c r="H1573" s="1077" t="s">
        <v>5432</v>
      </c>
      <c r="I1573" s="1077" t="s">
        <v>126</v>
      </c>
      <c r="J1573" s="1077">
        <v>1.5</v>
      </c>
      <c r="K1573" s="1077" t="s">
        <v>5433</v>
      </c>
      <c r="L1573" s="1077" t="s">
        <v>4731</v>
      </c>
      <c r="M1573" s="1077">
        <v>153</v>
      </c>
      <c r="N1573" s="1077" t="s">
        <v>945</v>
      </c>
      <c r="O1573" s="1077">
        <v>3.8250000000000002</v>
      </c>
      <c r="P1573" s="1077">
        <v>3.06</v>
      </c>
      <c r="Q1573" s="1077">
        <v>4</v>
      </c>
      <c r="R1573" s="1077">
        <v>20.5</v>
      </c>
      <c r="T1573" s="1077">
        <v>11.5</v>
      </c>
      <c r="U1573" s="1077">
        <v>3.7</v>
      </c>
      <c r="V1573" s="1077" t="s">
        <v>648</v>
      </c>
      <c r="W1573" s="1077">
        <v>80</v>
      </c>
      <c r="X1573" s="1077">
        <v>20</v>
      </c>
      <c r="Y1573" s="1077">
        <v>1.7</v>
      </c>
      <c r="Z1573" s="1077">
        <v>5</v>
      </c>
      <c r="AA1573" s="1077" t="s">
        <v>1443</v>
      </c>
      <c r="AH1573" s="1077" t="s">
        <v>998</v>
      </c>
      <c r="AM1573" s="1078" t="s">
        <v>12156</v>
      </c>
      <c r="AN1573" s="1078" t="s">
        <v>12157</v>
      </c>
      <c r="AO1573" s="1078">
        <f t="shared" si="198"/>
        <v>700</v>
      </c>
      <c r="AP1573" s="1078">
        <f t="shared" si="199"/>
        <v>1.73</v>
      </c>
      <c r="AQ1573" s="1078" t="str">
        <f t="shared" si="200"/>
        <v>1-5-1S91</v>
      </c>
      <c r="AR1573" s="1078" t="str">
        <f t="shared" si="201"/>
        <v>30</v>
      </c>
      <c r="AS1573" s="1078" t="str">
        <f t="shared" si="202"/>
        <v>330/330/170</v>
      </c>
      <c r="AT1573" s="1078" t="str">
        <f t="shared" si="203"/>
        <v>1-5-1S91</v>
      </c>
      <c r="AV1573" s="1078" t="str">
        <f t="shared" si="196"/>
        <v>110.11.8</v>
      </c>
      <c r="AW1573" s="1344">
        <f t="shared" si="197"/>
        <v>44508</v>
      </c>
    </row>
    <row r="1574" spans="1:49">
      <c r="A1574" s="1077" t="s">
        <v>5434</v>
      </c>
      <c r="B1574" s="1077" t="s">
        <v>5372</v>
      </c>
      <c r="C1574" s="1077">
        <v>650</v>
      </c>
      <c r="D1574" s="1077">
        <v>1.7050000000000001</v>
      </c>
      <c r="E1574" s="1077" t="s">
        <v>15104</v>
      </c>
      <c r="F1574" s="1077" t="s">
        <v>648</v>
      </c>
      <c r="G1574" s="1077">
        <v>5</v>
      </c>
      <c r="H1574" s="1077" t="s">
        <v>5435</v>
      </c>
      <c r="I1574" s="1077" t="s">
        <v>126</v>
      </c>
      <c r="J1574" s="1077">
        <v>1.6</v>
      </c>
      <c r="K1574" s="1077" t="s">
        <v>5436</v>
      </c>
      <c r="L1574" s="1077" t="s">
        <v>2104</v>
      </c>
      <c r="M1574" s="1077">
        <v>149</v>
      </c>
      <c r="N1574" s="1077" t="s">
        <v>945</v>
      </c>
      <c r="O1574" s="1077">
        <v>3.7250000000000001</v>
      </c>
      <c r="P1574" s="1077">
        <v>2.98</v>
      </c>
      <c r="Q1574" s="1077" t="s">
        <v>946</v>
      </c>
      <c r="R1574" s="1077">
        <v>21.8</v>
      </c>
      <c r="T1574" s="1077">
        <v>22.6</v>
      </c>
      <c r="U1574" s="1077">
        <v>3.6</v>
      </c>
      <c r="V1574" s="1077" t="s">
        <v>2520</v>
      </c>
      <c r="W1574" s="1077">
        <v>120</v>
      </c>
      <c r="X1574" s="1077">
        <v>70</v>
      </c>
      <c r="Y1574" s="1077">
        <v>1.5</v>
      </c>
      <c r="Z1574" s="1077" t="s">
        <v>648</v>
      </c>
      <c r="AA1574" s="1077" t="s">
        <v>5437</v>
      </c>
      <c r="AH1574" s="1077" t="s">
        <v>3028</v>
      </c>
      <c r="AM1574" s="1078" t="s">
        <v>12158</v>
      </c>
      <c r="AN1574" s="1078" t="s">
        <v>12159</v>
      </c>
      <c r="AO1574" s="1078">
        <f t="shared" si="198"/>
        <v>650</v>
      </c>
      <c r="AP1574" s="1078">
        <f t="shared" si="199"/>
        <v>1.7050000000000001</v>
      </c>
      <c r="AQ1574" s="1078" t="str">
        <f t="shared" si="200"/>
        <v>1-4-1S85°Z+S</v>
      </c>
      <c r="AR1574" s="1078" t="str">
        <f t="shared" si="201"/>
        <v>NA</v>
      </c>
      <c r="AS1574" s="1078" t="str">
        <f t="shared" si="202"/>
        <v>183/OFF</v>
      </c>
      <c r="AT1574" s="1078" t="str">
        <f t="shared" si="203"/>
        <v>1-4-1S85°Z+S</v>
      </c>
      <c r="AU1574" s="1078" t="s">
        <v>15547</v>
      </c>
      <c r="AV1574" s="1078" t="str">
        <f t="shared" si="196"/>
        <v>109.1.14</v>
      </c>
      <c r="AW1574" s="1344">
        <f t="shared" si="197"/>
        <v>43844</v>
      </c>
    </row>
    <row r="1575" spans="1:49">
      <c r="A1575" s="1077" t="s">
        <v>5438</v>
      </c>
      <c r="B1575" s="1077" t="s">
        <v>5372</v>
      </c>
      <c r="C1575" s="1077">
        <v>700</v>
      </c>
      <c r="D1575" s="1077">
        <v>1.7250000000000001</v>
      </c>
      <c r="E1575" s="1077" t="s">
        <v>15104</v>
      </c>
      <c r="F1575" s="1077" t="s">
        <v>648</v>
      </c>
      <c r="G1575" s="1077">
        <v>5</v>
      </c>
      <c r="H1575" s="1077" t="s">
        <v>2192</v>
      </c>
      <c r="I1575" s="1077" t="s">
        <v>126</v>
      </c>
      <c r="J1575" s="1077">
        <v>1.6</v>
      </c>
      <c r="K1575" s="1077" t="s">
        <v>5439</v>
      </c>
      <c r="L1575" s="1077" t="s">
        <v>2104</v>
      </c>
      <c r="M1575" s="1077">
        <v>149</v>
      </c>
      <c r="N1575" s="1077" t="s">
        <v>945</v>
      </c>
      <c r="O1575" s="1077">
        <v>3.7250000000000001</v>
      </c>
      <c r="P1575" s="1077">
        <v>2.98</v>
      </c>
      <c r="Q1575" s="1077" t="s">
        <v>988</v>
      </c>
      <c r="R1575" s="1077">
        <v>21.8</v>
      </c>
      <c r="T1575" s="1077">
        <v>22.6</v>
      </c>
      <c r="U1575" s="1077">
        <v>3.6</v>
      </c>
      <c r="V1575" s="1077" t="s">
        <v>2520</v>
      </c>
      <c r="W1575" s="1077">
        <v>120</v>
      </c>
      <c r="X1575" s="1077">
        <v>70</v>
      </c>
      <c r="Y1575" s="1077">
        <v>1.5</v>
      </c>
      <c r="Z1575" s="1077" t="s">
        <v>648</v>
      </c>
      <c r="AA1575" s="1077" t="s">
        <v>2926</v>
      </c>
      <c r="AH1575" s="1077" t="s">
        <v>842</v>
      </c>
      <c r="AM1575" s="1078" t="s">
        <v>12160</v>
      </c>
      <c r="AN1575" s="1078" t="s">
        <v>12161</v>
      </c>
      <c r="AO1575" s="1078">
        <f t="shared" si="198"/>
        <v>700</v>
      </c>
      <c r="AP1575" s="1078">
        <f t="shared" si="199"/>
        <v>1.7250000000000001</v>
      </c>
      <c r="AQ1575" s="1078" t="str">
        <f t="shared" si="200"/>
        <v>1-4-1S85°Z+S</v>
      </c>
      <c r="AR1575" s="1078" t="str">
        <f t="shared" si="201"/>
        <v>NA</v>
      </c>
      <c r="AS1575" s="1078" t="str">
        <f t="shared" si="202"/>
        <v>180/OFF</v>
      </c>
      <c r="AT1575" s="1078" t="str">
        <f t="shared" si="203"/>
        <v>1-4-1S85°Z+S</v>
      </c>
      <c r="AU1575" s="1078" t="s">
        <v>15547</v>
      </c>
      <c r="AV1575" s="1078" t="str">
        <f t="shared" si="196"/>
        <v>109.3.16</v>
      </c>
      <c r="AW1575" s="1344">
        <f t="shared" si="197"/>
        <v>43906</v>
      </c>
    </row>
    <row r="1576" spans="1:49">
      <c r="A1576" s="1077" t="s">
        <v>5440</v>
      </c>
      <c r="B1576" s="1077" t="s">
        <v>5372</v>
      </c>
      <c r="C1576" s="1077">
        <v>700</v>
      </c>
      <c r="D1576" s="1077">
        <v>1.7150000000000001</v>
      </c>
      <c r="E1576" s="1077" t="s">
        <v>15104</v>
      </c>
      <c r="F1576" s="1077" t="s">
        <v>648</v>
      </c>
      <c r="G1576" s="1077">
        <v>5</v>
      </c>
      <c r="H1576" s="1077" t="s">
        <v>2192</v>
      </c>
      <c r="I1576" s="1077" t="s">
        <v>126</v>
      </c>
      <c r="J1576" s="1077">
        <v>1.7</v>
      </c>
      <c r="K1576" s="1077" t="s">
        <v>5439</v>
      </c>
      <c r="L1576" s="1077" t="s">
        <v>2104</v>
      </c>
      <c r="M1576" s="1077">
        <v>149</v>
      </c>
      <c r="N1576" s="1077" t="s">
        <v>945</v>
      </c>
      <c r="O1576" s="1077">
        <v>3.7250000000000001</v>
      </c>
      <c r="P1576" s="1077">
        <v>2.98</v>
      </c>
      <c r="Q1576" s="1077" t="s">
        <v>961</v>
      </c>
      <c r="R1576" s="1077">
        <v>21.8</v>
      </c>
      <c r="T1576" s="1077">
        <v>22.6</v>
      </c>
      <c r="U1576" s="1077">
        <v>3.6</v>
      </c>
      <c r="V1576" s="1077" t="s">
        <v>2520</v>
      </c>
      <c r="W1576" s="1077">
        <v>120</v>
      </c>
      <c r="X1576" s="1077">
        <v>70</v>
      </c>
      <c r="Y1576" s="1077">
        <v>1.5</v>
      </c>
      <c r="Z1576" s="1077" t="s">
        <v>648</v>
      </c>
      <c r="AA1576" s="1077" t="s">
        <v>3335</v>
      </c>
      <c r="AH1576" s="1077" t="s">
        <v>646</v>
      </c>
      <c r="AM1576" s="1078" t="s">
        <v>12162</v>
      </c>
      <c r="AN1576" s="1078" t="s">
        <v>12163</v>
      </c>
      <c r="AO1576" s="1078">
        <f t="shared" si="198"/>
        <v>700</v>
      </c>
      <c r="AP1576" s="1078">
        <f t="shared" si="199"/>
        <v>1.7150000000000001</v>
      </c>
      <c r="AQ1576" s="1078" t="str">
        <f t="shared" si="200"/>
        <v>1-4-1S85°Z+S</v>
      </c>
      <c r="AR1576" s="1078" t="str">
        <f t="shared" si="201"/>
        <v>NA</v>
      </c>
      <c r="AS1576" s="1078" t="str">
        <f t="shared" si="202"/>
        <v>180/OFF</v>
      </c>
      <c r="AT1576" s="1078" t="str">
        <f t="shared" si="203"/>
        <v>1-4-1S85°Z+S</v>
      </c>
      <c r="AU1576" s="1078" t="s">
        <v>15547</v>
      </c>
      <c r="AV1576" s="1078" t="str">
        <f t="shared" si="196"/>
        <v>109.7.6</v>
      </c>
      <c r="AW1576" s="1344">
        <f t="shared" si="197"/>
        <v>44018</v>
      </c>
    </row>
    <row r="1577" spans="1:49">
      <c r="A1577" s="1077" t="s">
        <v>5441</v>
      </c>
      <c r="B1577" s="1077" t="s">
        <v>5372</v>
      </c>
      <c r="C1577" s="1077">
        <v>700</v>
      </c>
      <c r="D1577" s="1077">
        <v>1.7050000000000001</v>
      </c>
      <c r="E1577" s="1077" t="s">
        <v>15104</v>
      </c>
      <c r="F1577" s="1077" t="s">
        <v>648</v>
      </c>
      <c r="G1577" s="1077">
        <v>5</v>
      </c>
      <c r="H1577" s="1077" t="s">
        <v>941</v>
      </c>
      <c r="I1577" s="1077" t="s">
        <v>126</v>
      </c>
      <c r="J1577" s="1077">
        <v>1.7</v>
      </c>
      <c r="K1577" s="1077" t="s">
        <v>5442</v>
      </c>
      <c r="L1577" s="1077" t="s">
        <v>2104</v>
      </c>
      <c r="M1577" s="1077">
        <v>149</v>
      </c>
      <c r="N1577" s="1077" t="s">
        <v>945</v>
      </c>
      <c r="O1577" s="1077">
        <v>3.7250000000000001</v>
      </c>
      <c r="P1577" s="1077">
        <v>2.98</v>
      </c>
      <c r="Q1577" s="1077" t="s">
        <v>961</v>
      </c>
      <c r="R1577" s="1077">
        <v>21.8</v>
      </c>
      <c r="T1577" s="1077">
        <v>22.6</v>
      </c>
      <c r="U1577" s="1077">
        <v>3.6</v>
      </c>
      <c r="V1577" s="1077" t="s">
        <v>2520</v>
      </c>
      <c r="W1577" s="1077">
        <v>120</v>
      </c>
      <c r="X1577" s="1077">
        <v>70</v>
      </c>
      <c r="Y1577" s="1077">
        <v>1.5</v>
      </c>
      <c r="Z1577" s="1077" t="s">
        <v>648</v>
      </c>
      <c r="AA1577" s="1077" t="s">
        <v>1759</v>
      </c>
      <c r="AH1577" s="1077" t="s">
        <v>1267</v>
      </c>
      <c r="AM1577" s="1078" t="s">
        <v>12164</v>
      </c>
      <c r="AN1577" s="1078" t="s">
        <v>12165</v>
      </c>
      <c r="AO1577" s="1078">
        <f t="shared" si="198"/>
        <v>700</v>
      </c>
      <c r="AP1577" s="1078">
        <f t="shared" si="199"/>
        <v>1.7050000000000001</v>
      </c>
      <c r="AQ1577" s="1078" t="str">
        <f t="shared" si="200"/>
        <v>1-4-1S85°Z+S</v>
      </c>
      <c r="AR1577" s="1078" t="str">
        <f t="shared" si="201"/>
        <v>NA</v>
      </c>
      <c r="AS1577" s="1078" t="str">
        <f t="shared" si="202"/>
        <v>185/OFF</v>
      </c>
      <c r="AT1577" s="1078" t="str">
        <f t="shared" si="203"/>
        <v>1-4-1S85°Z+S</v>
      </c>
      <c r="AU1577" s="1078" t="s">
        <v>15547</v>
      </c>
      <c r="AV1577" s="1078" t="str">
        <f t="shared" si="196"/>
        <v>109.7.28</v>
      </c>
      <c r="AW1577" s="1344">
        <f t="shared" si="197"/>
        <v>44040</v>
      </c>
    </row>
    <row r="1578" spans="1:49">
      <c r="A1578" s="1077" t="s">
        <v>5443</v>
      </c>
      <c r="B1578" s="1077" t="s">
        <v>5372</v>
      </c>
      <c r="C1578" s="1077">
        <v>700</v>
      </c>
      <c r="D1578" s="1077">
        <v>1.7050000000000001</v>
      </c>
      <c r="E1578" s="1077" t="s">
        <v>15104</v>
      </c>
      <c r="F1578" s="1077" t="s">
        <v>648</v>
      </c>
      <c r="G1578" s="1077">
        <v>5</v>
      </c>
      <c r="H1578" s="1077" t="s">
        <v>941</v>
      </c>
      <c r="I1578" s="1077" t="s">
        <v>126</v>
      </c>
      <c r="J1578" s="1077">
        <v>1.7</v>
      </c>
      <c r="K1578" s="1077" t="s">
        <v>5436</v>
      </c>
      <c r="L1578" s="1077" t="s">
        <v>2104</v>
      </c>
      <c r="M1578" s="1077">
        <v>149</v>
      </c>
      <c r="N1578" s="1077" t="s">
        <v>945</v>
      </c>
      <c r="O1578" s="1077">
        <v>3.7250000000000001</v>
      </c>
      <c r="P1578" s="1077">
        <v>2.98</v>
      </c>
      <c r="Q1578" s="1077" t="s">
        <v>956</v>
      </c>
      <c r="R1578" s="1077">
        <v>21.8</v>
      </c>
      <c r="T1578" s="1077">
        <v>22.6</v>
      </c>
      <c r="U1578" s="1077">
        <v>3.6</v>
      </c>
      <c r="V1578" s="1077" t="s">
        <v>2520</v>
      </c>
      <c r="W1578" s="1077">
        <v>120</v>
      </c>
      <c r="X1578" s="1077">
        <v>70</v>
      </c>
      <c r="Y1578" s="1077">
        <v>1.5</v>
      </c>
      <c r="Z1578" s="1077" t="s">
        <v>648</v>
      </c>
      <c r="AA1578" s="1077" t="s">
        <v>3251</v>
      </c>
      <c r="AH1578" s="1077" t="s">
        <v>842</v>
      </c>
      <c r="AM1578" s="1078" t="s">
        <v>12166</v>
      </c>
      <c r="AN1578" s="1078" t="s">
        <v>12167</v>
      </c>
      <c r="AO1578" s="1078">
        <f t="shared" si="198"/>
        <v>700</v>
      </c>
      <c r="AP1578" s="1078">
        <f t="shared" si="199"/>
        <v>1.7050000000000001</v>
      </c>
      <c r="AQ1578" s="1078" t="str">
        <f t="shared" si="200"/>
        <v>1-4-1S85°Z+S</v>
      </c>
      <c r="AR1578" s="1078" t="str">
        <f t="shared" si="201"/>
        <v>NA</v>
      </c>
      <c r="AS1578" s="1078" t="str">
        <f t="shared" si="202"/>
        <v>185/OFF</v>
      </c>
      <c r="AT1578" s="1078" t="str">
        <f t="shared" si="203"/>
        <v>1-4-1S85°Z+S</v>
      </c>
      <c r="AU1578" s="1078" t="s">
        <v>15547</v>
      </c>
      <c r="AV1578" s="1078" t="str">
        <f t="shared" si="196"/>
        <v>109.8.10</v>
      </c>
      <c r="AW1578" s="1344">
        <f t="shared" si="197"/>
        <v>44053</v>
      </c>
    </row>
    <row r="1579" spans="1:49">
      <c r="A1579" s="1077" t="s">
        <v>5444</v>
      </c>
      <c r="B1579" s="1077" t="s">
        <v>5372</v>
      </c>
      <c r="C1579" s="1077">
        <v>650</v>
      </c>
      <c r="D1579" s="1077">
        <v>1.71</v>
      </c>
      <c r="E1579" s="1077" t="s">
        <v>15109</v>
      </c>
      <c r="F1579" s="1077" t="s">
        <v>648</v>
      </c>
      <c r="G1579" s="1077">
        <v>5</v>
      </c>
      <c r="H1579" s="1077" t="s">
        <v>2192</v>
      </c>
      <c r="I1579" s="1077" t="s">
        <v>126</v>
      </c>
      <c r="J1579" s="1077">
        <v>1.7</v>
      </c>
      <c r="K1579" s="1077" t="s">
        <v>5445</v>
      </c>
      <c r="L1579" s="1077" t="s">
        <v>2104</v>
      </c>
      <c r="M1579" s="1077">
        <v>149</v>
      </c>
      <c r="N1579" s="1077" t="s">
        <v>945</v>
      </c>
      <c r="O1579" s="1077">
        <v>3.7250000000000001</v>
      </c>
      <c r="P1579" s="1077">
        <v>2.98</v>
      </c>
      <c r="Q1579" s="1077">
        <v>4</v>
      </c>
      <c r="R1579" s="1077">
        <v>21.8</v>
      </c>
      <c r="T1579" s="1077">
        <v>22.6</v>
      </c>
      <c r="U1579" s="1077">
        <v>3.6</v>
      </c>
      <c r="V1579" s="1077" t="s">
        <v>2520</v>
      </c>
      <c r="W1579" s="1077">
        <v>120</v>
      </c>
      <c r="X1579" s="1077">
        <v>70</v>
      </c>
      <c r="Y1579" s="1077">
        <v>1.5</v>
      </c>
      <c r="Z1579" s="1077" t="s">
        <v>648</v>
      </c>
      <c r="AA1579" s="1077" t="s">
        <v>5446</v>
      </c>
      <c r="AH1579" s="1077" t="s">
        <v>1267</v>
      </c>
      <c r="AM1579" s="1078" t="s">
        <v>12168</v>
      </c>
      <c r="AN1579" s="1078" t="s">
        <v>12169</v>
      </c>
      <c r="AO1579" s="1078">
        <f t="shared" si="198"/>
        <v>650</v>
      </c>
      <c r="AP1579" s="1078">
        <f t="shared" si="199"/>
        <v>1.71</v>
      </c>
      <c r="AQ1579" s="1078" t="str">
        <f t="shared" si="200"/>
        <v>1-5-1S85°Z+S</v>
      </c>
      <c r="AR1579" s="1078" t="str">
        <f t="shared" si="201"/>
        <v>NA</v>
      </c>
      <c r="AS1579" s="1078" t="str">
        <f t="shared" si="202"/>
        <v>180/OFF</v>
      </c>
      <c r="AT1579" s="1078" t="str">
        <f t="shared" si="203"/>
        <v>1-5-1S85°Z+S</v>
      </c>
      <c r="AU1579" s="1078" t="s">
        <v>15547</v>
      </c>
      <c r="AV1579" s="1078" t="str">
        <f t="shared" si="196"/>
        <v>110.7.26</v>
      </c>
      <c r="AW1579" s="1344">
        <f t="shared" si="197"/>
        <v>44403</v>
      </c>
    </row>
    <row r="1580" spans="1:49">
      <c r="A1580" s="1077" t="s">
        <v>5447</v>
      </c>
      <c r="B1580" s="1077" t="s">
        <v>5372</v>
      </c>
      <c r="C1580" s="1077">
        <v>600</v>
      </c>
      <c r="D1580" s="1077">
        <v>1.72</v>
      </c>
      <c r="E1580" s="1077" t="s">
        <v>15109</v>
      </c>
      <c r="F1580" s="1077" t="s">
        <v>648</v>
      </c>
      <c r="G1580" s="1077">
        <v>5</v>
      </c>
      <c r="H1580" s="1077" t="s">
        <v>2192</v>
      </c>
      <c r="I1580" s="1077" t="s">
        <v>126</v>
      </c>
      <c r="J1580" s="1077">
        <v>1.5</v>
      </c>
      <c r="K1580" s="1077" t="s">
        <v>5445</v>
      </c>
      <c r="L1580" s="1077" t="s">
        <v>2104</v>
      </c>
      <c r="M1580" s="1077">
        <v>149</v>
      </c>
      <c r="N1580" s="1077" t="s">
        <v>945</v>
      </c>
      <c r="O1580" s="1077">
        <v>3.7250000000000001</v>
      </c>
      <c r="P1580" s="1077">
        <v>2.98</v>
      </c>
      <c r="Q1580" s="1077">
        <v>4</v>
      </c>
      <c r="R1580" s="1077">
        <v>21.8</v>
      </c>
      <c r="T1580" s="1077">
        <v>22.6</v>
      </c>
      <c r="U1580" s="1077">
        <v>3.6</v>
      </c>
      <c r="V1580" s="1077" t="s">
        <v>2520</v>
      </c>
      <c r="W1580" s="1077">
        <v>120</v>
      </c>
      <c r="X1580" s="1077">
        <v>70</v>
      </c>
      <c r="Y1580" s="1077">
        <v>1.5</v>
      </c>
      <c r="Z1580" s="1077" t="s">
        <v>648</v>
      </c>
      <c r="AA1580" s="1077" t="s">
        <v>3799</v>
      </c>
      <c r="AH1580" s="1077" t="s">
        <v>1486</v>
      </c>
      <c r="AM1580" s="1078" t="s">
        <v>12170</v>
      </c>
      <c r="AN1580" s="1078" t="s">
        <v>12171</v>
      </c>
      <c r="AO1580" s="1078">
        <f t="shared" si="198"/>
        <v>600</v>
      </c>
      <c r="AP1580" s="1078">
        <f t="shared" si="199"/>
        <v>1.72</v>
      </c>
      <c r="AQ1580" s="1078" t="str">
        <f t="shared" si="200"/>
        <v>1-5-1S85°Z+S</v>
      </c>
      <c r="AR1580" s="1078" t="str">
        <f t="shared" si="201"/>
        <v>NA</v>
      </c>
      <c r="AS1580" s="1078" t="str">
        <f t="shared" si="202"/>
        <v>180/OFF</v>
      </c>
      <c r="AT1580" s="1078" t="str">
        <f t="shared" si="203"/>
        <v>1-5-1S85°Z+S</v>
      </c>
      <c r="AU1580" s="1078" t="s">
        <v>15547</v>
      </c>
      <c r="AV1580" s="1078" t="str">
        <f t="shared" si="196"/>
        <v>110.9.16</v>
      </c>
      <c r="AW1580" s="1344">
        <f t="shared" si="197"/>
        <v>44455</v>
      </c>
    </row>
    <row r="1581" spans="1:49">
      <c r="A1581" s="1077" t="s">
        <v>5448</v>
      </c>
      <c r="B1581" s="1077" t="s">
        <v>5372</v>
      </c>
      <c r="C1581" s="1077">
        <v>600</v>
      </c>
      <c r="D1581" s="1077">
        <v>1.72</v>
      </c>
      <c r="E1581" s="1077" t="s">
        <v>15109</v>
      </c>
      <c r="F1581" s="1077" t="s">
        <v>648</v>
      </c>
      <c r="G1581" s="1077">
        <v>5</v>
      </c>
      <c r="H1581" s="1077" t="s">
        <v>2192</v>
      </c>
      <c r="I1581" s="1077" t="s">
        <v>126</v>
      </c>
      <c r="J1581" s="1077">
        <v>1.5</v>
      </c>
      <c r="K1581" s="1077" t="s">
        <v>5445</v>
      </c>
      <c r="L1581" s="1077" t="s">
        <v>2104</v>
      </c>
      <c r="M1581" s="1077">
        <v>149</v>
      </c>
      <c r="N1581" s="1077" t="s">
        <v>945</v>
      </c>
      <c r="O1581" s="1077">
        <v>3.7250000000000001</v>
      </c>
      <c r="P1581" s="1077">
        <v>2.98</v>
      </c>
      <c r="Q1581" s="1077">
        <v>4</v>
      </c>
      <c r="R1581" s="1077">
        <v>21.8</v>
      </c>
      <c r="T1581" s="1077">
        <v>22.6</v>
      </c>
      <c r="U1581" s="1077">
        <v>3.6</v>
      </c>
      <c r="V1581" s="1077" t="s">
        <v>2520</v>
      </c>
      <c r="W1581" s="1077">
        <v>120</v>
      </c>
      <c r="X1581" s="1077">
        <v>70</v>
      </c>
      <c r="Y1581" s="1077">
        <v>1.5</v>
      </c>
      <c r="Z1581" s="1077" t="s">
        <v>648</v>
      </c>
      <c r="AA1581" s="1077" t="s">
        <v>5449</v>
      </c>
      <c r="AH1581" s="1077" t="s">
        <v>782</v>
      </c>
      <c r="AM1581" s="1078" t="s">
        <v>12172</v>
      </c>
      <c r="AN1581" s="1078" t="s">
        <v>12173</v>
      </c>
      <c r="AO1581" s="1078">
        <f t="shared" si="198"/>
        <v>600</v>
      </c>
      <c r="AP1581" s="1078">
        <f t="shared" si="199"/>
        <v>1.72</v>
      </c>
      <c r="AQ1581" s="1078" t="str">
        <f t="shared" si="200"/>
        <v>1-5-1S85°Z+S</v>
      </c>
      <c r="AR1581" s="1078" t="str">
        <f t="shared" si="201"/>
        <v>NA</v>
      </c>
      <c r="AS1581" s="1078" t="str">
        <f t="shared" si="202"/>
        <v>180/OFF</v>
      </c>
      <c r="AT1581" s="1078" t="str">
        <f t="shared" si="203"/>
        <v>1-5-1S85°Z+S</v>
      </c>
      <c r="AU1581" s="1078" t="s">
        <v>15547</v>
      </c>
      <c r="AV1581" s="1078" t="str">
        <f t="shared" si="196"/>
        <v>110.11.9</v>
      </c>
      <c r="AW1581" s="1344">
        <f t="shared" si="197"/>
        <v>44509</v>
      </c>
    </row>
    <row r="1582" spans="1:49">
      <c r="A1582" s="1077" t="s">
        <v>5450</v>
      </c>
      <c r="B1582" s="1077" t="s">
        <v>210</v>
      </c>
      <c r="C1582" s="1077">
        <v>650</v>
      </c>
      <c r="D1582" s="1077">
        <v>1.77</v>
      </c>
      <c r="E1582" s="1077" t="s">
        <v>15094</v>
      </c>
      <c r="F1582" s="1077" t="s">
        <v>4013</v>
      </c>
      <c r="G1582" s="1077">
        <v>5</v>
      </c>
      <c r="H1582" s="1077" t="s">
        <v>5451</v>
      </c>
      <c r="I1582" s="1077" t="s">
        <v>126</v>
      </c>
      <c r="J1582" s="1077">
        <v>1.6</v>
      </c>
      <c r="K1582" s="1077" t="s">
        <v>5452</v>
      </c>
      <c r="L1582" s="1077" t="s">
        <v>4666</v>
      </c>
      <c r="M1582" s="1077">
        <v>152.19999999999999</v>
      </c>
      <c r="N1582" s="1077" t="s">
        <v>945</v>
      </c>
      <c r="O1582" s="1077">
        <v>3.8049999999999997</v>
      </c>
      <c r="P1582" s="1077">
        <v>3.044</v>
      </c>
      <c r="Q1582" s="1077">
        <v>4</v>
      </c>
      <c r="R1582" s="1077">
        <v>19</v>
      </c>
      <c r="T1582" s="1077">
        <v>16</v>
      </c>
      <c r="U1582" s="1077">
        <v>4</v>
      </c>
      <c r="V1582" s="1077" t="s">
        <v>648</v>
      </c>
      <c r="W1582" s="1077">
        <v>95</v>
      </c>
      <c r="X1582" s="1077">
        <v>20</v>
      </c>
      <c r="Y1582" s="1077">
        <v>1.5</v>
      </c>
      <c r="Z1582" s="1077">
        <v>5</v>
      </c>
      <c r="AA1582" s="1077" t="s">
        <v>1927</v>
      </c>
      <c r="AH1582" s="1077" t="s">
        <v>5453</v>
      </c>
      <c r="AM1582" s="1078" t="s">
        <v>12174</v>
      </c>
      <c r="AN1582" s="1078" t="s">
        <v>12175</v>
      </c>
      <c r="AO1582" s="1078">
        <f t="shared" si="198"/>
        <v>650</v>
      </c>
      <c r="AP1582" s="1078">
        <f t="shared" si="199"/>
        <v>1.77</v>
      </c>
      <c r="AQ1582" s="1078" t="str">
        <f t="shared" si="200"/>
        <v>1-5-1S91°</v>
      </c>
      <c r="AR1582" s="1078" t="str">
        <f t="shared" si="201"/>
        <v>30.3</v>
      </c>
      <c r="AS1582" s="1078" t="str">
        <f t="shared" si="202"/>
        <v>315/275/158</v>
      </c>
      <c r="AT1582" s="1078" t="str">
        <f t="shared" si="203"/>
        <v>1-5-1S91°</v>
      </c>
      <c r="AV1582" s="1078" t="str">
        <f t="shared" si="196"/>
        <v>111.3.7</v>
      </c>
      <c r="AW1582" s="1344">
        <f t="shared" si="197"/>
        <v>44627</v>
      </c>
    </row>
    <row r="1583" spans="1:49">
      <c r="A1583" s="1077" t="s">
        <v>5454</v>
      </c>
      <c r="B1583" s="1077" t="s">
        <v>5148</v>
      </c>
      <c r="C1583" s="1077">
        <v>650</v>
      </c>
      <c r="D1583" s="1077">
        <v>1.76</v>
      </c>
      <c r="E1583" s="1077" t="s">
        <v>15094</v>
      </c>
      <c r="F1583" s="1077" t="s">
        <v>975</v>
      </c>
      <c r="G1583" s="1077">
        <v>5</v>
      </c>
      <c r="H1583" s="1077" t="s">
        <v>5455</v>
      </c>
      <c r="I1583" s="1077" t="s">
        <v>126</v>
      </c>
      <c r="J1583" s="1077">
        <v>2.6</v>
      </c>
      <c r="K1583" s="1077" t="s">
        <v>5298</v>
      </c>
      <c r="L1583" s="1077" t="s">
        <v>5152</v>
      </c>
      <c r="M1583" s="1077">
        <v>148.6</v>
      </c>
      <c r="N1583" s="1077" t="s">
        <v>945</v>
      </c>
      <c r="O1583" s="1077">
        <v>3.7149999999999999</v>
      </c>
      <c r="P1583" s="1077">
        <v>2.972</v>
      </c>
      <c r="Q1583" s="1077">
        <v>3.5</v>
      </c>
      <c r="R1583" s="1077">
        <v>20.399999999999999</v>
      </c>
      <c r="T1583" s="1077">
        <v>26</v>
      </c>
      <c r="U1583" s="1077">
        <v>3.7</v>
      </c>
      <c r="V1583" s="1077" t="s">
        <v>648</v>
      </c>
      <c r="W1583" s="1077">
        <v>105</v>
      </c>
      <c r="X1583" s="1077">
        <v>50</v>
      </c>
      <c r="Y1583" s="1077">
        <v>2</v>
      </c>
      <c r="Z1583" s="1077">
        <v>6.5</v>
      </c>
      <c r="AA1583" s="1077" t="s">
        <v>5456</v>
      </c>
      <c r="AH1583" s="1077" t="s">
        <v>878</v>
      </c>
      <c r="AM1583" s="1078" t="s">
        <v>12176</v>
      </c>
      <c r="AN1583" s="1078" t="s">
        <v>12177</v>
      </c>
      <c r="AO1583" s="1078">
        <f t="shared" si="198"/>
        <v>650</v>
      </c>
      <c r="AP1583" s="1078">
        <f t="shared" si="199"/>
        <v>1.76</v>
      </c>
      <c r="AQ1583" s="1078" t="str">
        <f t="shared" si="200"/>
        <v>1-5-1S91°</v>
      </c>
      <c r="AR1583" s="1078" t="str">
        <f t="shared" si="201"/>
        <v>31.5</v>
      </c>
      <c r="AS1583" s="1078" t="str">
        <f t="shared" si="202"/>
        <v>340/310/OFF</v>
      </c>
      <c r="AT1583" s="1078" t="str">
        <f t="shared" si="203"/>
        <v>1-5-1S91°</v>
      </c>
      <c r="AV1583" s="1078" t="str">
        <f t="shared" si="196"/>
        <v>111.3.8</v>
      </c>
      <c r="AW1583" s="1344">
        <f t="shared" si="197"/>
        <v>44628</v>
      </c>
    </row>
    <row r="1584" spans="1:49">
      <c r="A1584" s="1077" t="s">
        <v>5457</v>
      </c>
      <c r="B1584" s="1077" t="s">
        <v>5157</v>
      </c>
      <c r="C1584" s="1077">
        <v>550</v>
      </c>
      <c r="D1584" s="1077">
        <v>1.77</v>
      </c>
      <c r="E1584" s="1077" t="s">
        <v>15094</v>
      </c>
      <c r="F1584" s="1077" t="s">
        <v>984</v>
      </c>
      <c r="G1584" s="1077">
        <v>5</v>
      </c>
      <c r="H1584" s="1077" t="s">
        <v>5458</v>
      </c>
      <c r="I1584" s="1077" t="s">
        <v>460</v>
      </c>
      <c r="J1584" s="1077">
        <v>2.2999999999999998</v>
      </c>
      <c r="K1584" s="1077" t="s">
        <v>5376</v>
      </c>
      <c r="L1584" s="1077" t="s">
        <v>4854</v>
      </c>
      <c r="M1584" s="1077">
        <v>152</v>
      </c>
      <c r="N1584" s="1077" t="s">
        <v>945</v>
      </c>
      <c r="O1584" s="1077">
        <v>3.8000000000000003</v>
      </c>
      <c r="P1584" s="1077">
        <v>3.04</v>
      </c>
      <c r="Q1584" s="1077">
        <v>3</v>
      </c>
      <c r="R1584" s="1077">
        <v>28</v>
      </c>
      <c r="T1584" s="1077">
        <v>7.2</v>
      </c>
      <c r="U1584" s="1077">
        <v>6.1</v>
      </c>
      <c r="V1584" s="1077" t="s">
        <v>648</v>
      </c>
      <c r="W1584" s="1077">
        <v>100</v>
      </c>
      <c r="X1584" s="1077">
        <v>80</v>
      </c>
      <c r="Y1584" s="1077">
        <v>1.5</v>
      </c>
      <c r="Z1584" s="1077">
        <v>4</v>
      </c>
      <c r="AA1584" s="1077" t="s">
        <v>2006</v>
      </c>
      <c r="AH1584" s="1077" t="s">
        <v>1186</v>
      </c>
      <c r="AM1584" s="1078" t="s">
        <v>12178</v>
      </c>
      <c r="AN1584" s="1078" t="s">
        <v>12179</v>
      </c>
      <c r="AO1584" s="1078">
        <f t="shared" si="198"/>
        <v>550</v>
      </c>
      <c r="AP1584" s="1078">
        <f t="shared" si="199"/>
        <v>1.77</v>
      </c>
      <c r="AQ1584" s="1078" t="str">
        <f t="shared" si="200"/>
        <v>1-5-1S91°</v>
      </c>
      <c r="AR1584" s="1078" t="str">
        <f t="shared" si="201"/>
        <v>30</v>
      </c>
      <c r="AS1584" s="1078" t="str">
        <f t="shared" si="202"/>
        <v>255/255/150</v>
      </c>
      <c r="AT1584" s="1078" t="str">
        <f t="shared" si="203"/>
        <v>1-5-1S91°</v>
      </c>
      <c r="AV1584" s="1078" t="str">
        <f t="shared" si="196"/>
        <v>111.3.10</v>
      </c>
      <c r="AW1584" s="1344">
        <f t="shared" si="197"/>
        <v>44630</v>
      </c>
    </row>
    <row r="1585" spans="1:49">
      <c r="A1585" s="1077" t="s">
        <v>5459</v>
      </c>
      <c r="B1585" s="1077" t="s">
        <v>4950</v>
      </c>
      <c r="C1585" s="1077">
        <v>500</v>
      </c>
      <c r="D1585" s="1077">
        <v>1.79</v>
      </c>
      <c r="E1585" s="1077" t="s">
        <v>15094</v>
      </c>
      <c r="F1585" s="1077" t="s">
        <v>984</v>
      </c>
      <c r="G1585" s="1077">
        <v>5</v>
      </c>
      <c r="H1585" s="1077" t="s">
        <v>1061</v>
      </c>
      <c r="I1585" s="1077" t="s">
        <v>126</v>
      </c>
      <c r="J1585" s="1077">
        <v>0.6</v>
      </c>
      <c r="K1585" s="1077" t="s">
        <v>5460</v>
      </c>
      <c r="L1585" s="1077" t="s">
        <v>4952</v>
      </c>
      <c r="M1585" s="1077">
        <v>152.5</v>
      </c>
      <c r="N1585" s="1077" t="s">
        <v>945</v>
      </c>
      <c r="O1585" s="1077">
        <v>3.8125</v>
      </c>
      <c r="P1585" s="1077">
        <v>3.0500000000000003</v>
      </c>
      <c r="Q1585" s="1077">
        <v>3</v>
      </c>
      <c r="R1585" s="1077">
        <v>28.5</v>
      </c>
      <c r="T1585" s="1077">
        <v>19.2</v>
      </c>
      <c r="U1585" s="1077">
        <v>5.0999999999999996</v>
      </c>
      <c r="V1585" s="1077" t="s">
        <v>648</v>
      </c>
      <c r="W1585" s="1077" t="s">
        <v>2709</v>
      </c>
      <c r="X1585" s="1077">
        <v>10</v>
      </c>
      <c r="Y1585" s="1077">
        <v>1.6</v>
      </c>
      <c r="Z1585" s="1077">
        <v>7</v>
      </c>
      <c r="AA1585" s="1077" t="s">
        <v>4316</v>
      </c>
      <c r="AH1585" s="1077" t="s">
        <v>1244</v>
      </c>
      <c r="AM1585" s="1078" t="s">
        <v>12180</v>
      </c>
      <c r="AN1585" s="1078" t="s">
        <v>12181</v>
      </c>
      <c r="AO1585" s="1078">
        <f t="shared" si="198"/>
        <v>500</v>
      </c>
      <c r="AP1585" s="1078">
        <f t="shared" si="199"/>
        <v>1.79</v>
      </c>
      <c r="AQ1585" s="1078" t="str">
        <f t="shared" si="200"/>
        <v>1-5-1S91°</v>
      </c>
      <c r="AR1585" s="1078" t="str">
        <f t="shared" si="201"/>
        <v>30</v>
      </c>
      <c r="AS1585" s="1078" t="str">
        <f t="shared" si="202"/>
        <v>255/255/OFF</v>
      </c>
      <c r="AT1585" s="1078" t="str">
        <f t="shared" si="203"/>
        <v>1-5-1S91°</v>
      </c>
      <c r="AV1585" s="1078" t="str">
        <f t="shared" si="196"/>
        <v>111.3.11</v>
      </c>
      <c r="AW1585" s="1344">
        <f t="shared" si="197"/>
        <v>44631</v>
      </c>
    </row>
    <row r="1586" spans="1:49">
      <c r="A1586" s="1077" t="s">
        <v>5461</v>
      </c>
      <c r="B1586" s="1077" t="s">
        <v>5410</v>
      </c>
      <c r="C1586" s="1077">
        <v>500</v>
      </c>
      <c r="D1586" s="1077">
        <v>1.72</v>
      </c>
      <c r="E1586" s="1077" t="s">
        <v>15116</v>
      </c>
      <c r="F1586" s="1077" t="s">
        <v>984</v>
      </c>
      <c r="G1586" s="1077">
        <v>2</v>
      </c>
      <c r="H1586" s="1077" t="s">
        <v>1061</v>
      </c>
      <c r="I1586" s="1077" t="s">
        <v>126</v>
      </c>
      <c r="J1586" s="1077">
        <v>0.4</v>
      </c>
      <c r="K1586" s="1077" t="s">
        <v>2025</v>
      </c>
      <c r="L1586" s="1077" t="s">
        <v>1825</v>
      </c>
      <c r="M1586" s="1077">
        <v>150.1</v>
      </c>
      <c r="N1586" s="1077" t="s">
        <v>945</v>
      </c>
      <c r="O1586" s="1077">
        <v>3.7524999999999999</v>
      </c>
      <c r="P1586" s="1077">
        <v>3.0019999999999998</v>
      </c>
      <c r="Q1586" s="1077">
        <v>3</v>
      </c>
      <c r="R1586" s="1077">
        <v>20.7</v>
      </c>
      <c r="T1586" s="1077">
        <v>32.6</v>
      </c>
      <c r="U1586" s="1077">
        <v>3</v>
      </c>
      <c r="V1586" s="1077" t="s">
        <v>648</v>
      </c>
      <c r="W1586" s="1077" t="s">
        <v>648</v>
      </c>
      <c r="X1586" s="1077" t="s">
        <v>648</v>
      </c>
      <c r="Y1586" s="1077">
        <v>1.7</v>
      </c>
      <c r="Z1586" s="1077" t="s">
        <v>648</v>
      </c>
      <c r="AA1586" s="1077" t="s">
        <v>4318</v>
      </c>
      <c r="AH1586" s="1077" t="s">
        <v>1486</v>
      </c>
      <c r="AM1586" s="1078" t="s">
        <v>12182</v>
      </c>
      <c r="AN1586" s="1078" t="s">
        <v>12183</v>
      </c>
      <c r="AO1586" s="1078">
        <f t="shared" si="198"/>
        <v>500</v>
      </c>
      <c r="AP1586" s="1078">
        <f t="shared" si="199"/>
        <v>1.72</v>
      </c>
      <c r="AQ1586" s="1078" t="str">
        <f t="shared" si="200"/>
        <v>1-5-1S83°Z+S</v>
      </c>
      <c r="AR1586" s="1078" t="str">
        <f t="shared" si="201"/>
        <v>30</v>
      </c>
      <c r="AS1586" s="1078" t="str">
        <f t="shared" si="202"/>
        <v>255/255/OFF</v>
      </c>
      <c r="AT1586" s="1078" t="str">
        <f t="shared" si="203"/>
        <v>1-5-1S83°Z+S</v>
      </c>
      <c r="AU1586" s="1078" t="s">
        <v>15547</v>
      </c>
      <c r="AV1586" s="1078" t="str">
        <f t="shared" si="196"/>
        <v>111.3.18</v>
      </c>
      <c r="AW1586" s="1344">
        <f t="shared" si="197"/>
        <v>44638</v>
      </c>
    </row>
    <row r="1587" spans="1:49">
      <c r="A1587" s="1077" t="s">
        <v>5462</v>
      </c>
      <c r="B1587" s="1077" t="s">
        <v>5005</v>
      </c>
      <c r="C1587" s="1077">
        <v>500</v>
      </c>
      <c r="D1587" s="1077">
        <v>1.69</v>
      </c>
      <c r="E1587" s="1077" t="s">
        <v>15108</v>
      </c>
      <c r="F1587" s="1077" t="s">
        <v>954</v>
      </c>
      <c r="G1587" s="1077">
        <v>4</v>
      </c>
      <c r="H1587" s="1077" t="s">
        <v>1040</v>
      </c>
      <c r="I1587" s="1077" t="s">
        <v>126</v>
      </c>
      <c r="J1587" s="1077">
        <v>1.7</v>
      </c>
      <c r="K1587" s="1077" t="s">
        <v>5463</v>
      </c>
      <c r="L1587" s="1077" t="s">
        <v>5007</v>
      </c>
      <c r="M1587" s="1077">
        <v>154</v>
      </c>
      <c r="N1587" s="1077" t="s">
        <v>945</v>
      </c>
      <c r="O1587" s="1077">
        <v>3.85</v>
      </c>
      <c r="P1587" s="1077">
        <v>3.08</v>
      </c>
      <c r="Q1587" s="1077">
        <v>3.5</v>
      </c>
      <c r="R1587" s="1077">
        <v>21</v>
      </c>
      <c r="T1587" s="1077">
        <v>15</v>
      </c>
      <c r="U1587" s="1077">
        <v>4.2</v>
      </c>
      <c r="V1587" s="1077" t="s">
        <v>648</v>
      </c>
      <c r="W1587" s="1077">
        <v>140</v>
      </c>
      <c r="X1587" s="1077">
        <v>90</v>
      </c>
      <c r="Y1587" s="1077">
        <v>1.6</v>
      </c>
      <c r="Z1587" s="1077" t="s">
        <v>648</v>
      </c>
      <c r="AA1587" s="1077" t="s">
        <v>4318</v>
      </c>
      <c r="AH1587" s="1077" t="s">
        <v>619</v>
      </c>
      <c r="AM1587" s="1078" t="s">
        <v>12184</v>
      </c>
      <c r="AN1587" s="1078" t="s">
        <v>12185</v>
      </c>
      <c r="AO1587" s="1078">
        <f t="shared" si="198"/>
        <v>500</v>
      </c>
      <c r="AP1587" s="1078">
        <f t="shared" si="199"/>
        <v>1.69</v>
      </c>
      <c r="AQ1587" s="1078" t="str">
        <f t="shared" si="200"/>
        <v>1-4-1S83°Z+S</v>
      </c>
      <c r="AR1587" s="1078" t="str">
        <f t="shared" si="201"/>
        <v>31</v>
      </c>
      <c r="AS1587" s="1078" t="str">
        <f t="shared" si="202"/>
        <v>240/240/OFF</v>
      </c>
      <c r="AT1587" s="1078" t="str">
        <f t="shared" si="203"/>
        <v>1-4-1S83°Z+S</v>
      </c>
      <c r="AU1587" s="1078" t="s">
        <v>15547</v>
      </c>
      <c r="AV1587" s="1078" t="str">
        <f t="shared" si="196"/>
        <v>111.3.18</v>
      </c>
      <c r="AW1587" s="1344">
        <f t="shared" si="197"/>
        <v>44638</v>
      </c>
    </row>
    <row r="1588" spans="1:49">
      <c r="A1588" s="1077" t="s">
        <v>5464</v>
      </c>
      <c r="B1588" s="1077" t="s">
        <v>5250</v>
      </c>
      <c r="C1588" s="1077">
        <v>600</v>
      </c>
      <c r="D1588" s="1077">
        <v>1.74</v>
      </c>
      <c r="E1588" s="1077" t="s">
        <v>15102</v>
      </c>
      <c r="F1588" s="1077" t="s">
        <v>1514</v>
      </c>
      <c r="G1588" s="1077">
        <v>5</v>
      </c>
      <c r="H1588" s="1077" t="s">
        <v>5465</v>
      </c>
      <c r="I1588" s="1077" t="s">
        <v>1112</v>
      </c>
      <c r="J1588" s="1077">
        <v>0.6</v>
      </c>
      <c r="K1588" s="1077" t="s">
        <v>5466</v>
      </c>
      <c r="L1588" s="1077" t="s">
        <v>5253</v>
      </c>
      <c r="M1588" s="1077">
        <v>151.5</v>
      </c>
      <c r="N1588" s="1077" t="s">
        <v>945</v>
      </c>
      <c r="O1588" s="1077">
        <v>3.7875000000000001</v>
      </c>
      <c r="P1588" s="1077">
        <v>3.0300000000000002</v>
      </c>
      <c r="Q1588" s="1077">
        <v>3.5</v>
      </c>
      <c r="R1588" s="1077">
        <v>20</v>
      </c>
      <c r="T1588" s="1077">
        <v>24</v>
      </c>
      <c r="U1588" s="1077">
        <v>3</v>
      </c>
      <c r="V1588" s="1077" t="s">
        <v>648</v>
      </c>
      <c r="W1588" s="1077">
        <v>30</v>
      </c>
      <c r="X1588" s="1077">
        <v>10</v>
      </c>
      <c r="Y1588" s="1077">
        <v>1.5</v>
      </c>
      <c r="Z1588" s="1077">
        <v>6</v>
      </c>
      <c r="AA1588" s="1077" t="s">
        <v>5401</v>
      </c>
      <c r="AH1588" s="1077" t="s">
        <v>646</v>
      </c>
      <c r="AM1588" s="1078" t="s">
        <v>12186</v>
      </c>
      <c r="AN1588" s="1078" t="s">
        <v>12187</v>
      </c>
      <c r="AO1588" s="1078">
        <f t="shared" si="198"/>
        <v>600</v>
      </c>
      <c r="AP1588" s="1078">
        <f t="shared" si="199"/>
        <v>1.74</v>
      </c>
      <c r="AQ1588" s="1078" t="str">
        <f t="shared" si="200"/>
        <v>2-6-1S83°</v>
      </c>
      <c r="AR1588" s="1078" t="str">
        <f t="shared" si="201"/>
        <v>32</v>
      </c>
      <c r="AS1588" s="1078" t="str">
        <f t="shared" si="202"/>
        <v>190/170</v>
      </c>
      <c r="AT1588" s="1078" t="str">
        <f t="shared" si="203"/>
        <v>2-6-1S83°</v>
      </c>
      <c r="AV1588" s="1078" t="str">
        <f t="shared" si="196"/>
        <v>111.3.21</v>
      </c>
      <c r="AW1588" s="1344">
        <f t="shared" si="197"/>
        <v>44641</v>
      </c>
    </row>
    <row r="1589" spans="1:49">
      <c r="A1589" s="1077" t="s">
        <v>5467</v>
      </c>
      <c r="B1589" s="1077" t="s">
        <v>210</v>
      </c>
      <c r="C1589" s="1077">
        <v>650</v>
      </c>
      <c r="D1589" s="1077">
        <v>1.7649999999999999</v>
      </c>
      <c r="E1589" s="1077" t="s">
        <v>15102</v>
      </c>
      <c r="F1589" s="1077" t="s">
        <v>1514</v>
      </c>
      <c r="G1589" s="1077">
        <v>5</v>
      </c>
      <c r="H1589" s="1077" t="s">
        <v>4773</v>
      </c>
      <c r="I1589" s="1077" t="s">
        <v>1167</v>
      </c>
      <c r="J1589" s="1077">
        <v>2.9</v>
      </c>
      <c r="K1589" s="1077" t="s">
        <v>5452</v>
      </c>
      <c r="L1589" s="1077" t="s">
        <v>4666</v>
      </c>
      <c r="M1589" s="1077">
        <v>150.80000000000001</v>
      </c>
      <c r="N1589" s="1077" t="s">
        <v>945</v>
      </c>
      <c r="O1589" s="1077">
        <v>3.7700000000000005</v>
      </c>
      <c r="P1589" s="1077">
        <v>3.0160000000000005</v>
      </c>
      <c r="Q1589" s="1077">
        <v>4</v>
      </c>
      <c r="R1589" s="1077">
        <v>19</v>
      </c>
      <c r="T1589" s="1077">
        <v>28.3</v>
      </c>
      <c r="U1589" s="1077">
        <v>4.3</v>
      </c>
      <c r="V1589" s="1077" t="s">
        <v>648</v>
      </c>
      <c r="W1589" s="1077">
        <v>100</v>
      </c>
      <c r="X1589" s="1077">
        <v>50</v>
      </c>
      <c r="Y1589" s="1077">
        <v>1.5</v>
      </c>
      <c r="Z1589" s="1077">
        <v>6.5</v>
      </c>
      <c r="AA1589" s="1077" t="s">
        <v>5468</v>
      </c>
      <c r="AH1589" s="1077" t="s">
        <v>1827</v>
      </c>
      <c r="AM1589" s="1078" t="s">
        <v>12188</v>
      </c>
      <c r="AN1589" s="1078" t="s">
        <v>12189</v>
      </c>
      <c r="AO1589" s="1078">
        <f t="shared" si="198"/>
        <v>650</v>
      </c>
      <c r="AP1589" s="1078">
        <f t="shared" si="199"/>
        <v>1.7649999999999999</v>
      </c>
      <c r="AQ1589" s="1078" t="str">
        <f t="shared" si="200"/>
        <v>2-6-1S83°</v>
      </c>
      <c r="AR1589" s="1078" t="str">
        <f t="shared" si="201"/>
        <v>32</v>
      </c>
      <c r="AS1589" s="1078" t="str">
        <f t="shared" si="202"/>
        <v>176/OFF</v>
      </c>
      <c r="AT1589" s="1078" t="str">
        <f t="shared" si="203"/>
        <v>2-6-1S83°</v>
      </c>
      <c r="AV1589" s="1078" t="str">
        <f t="shared" si="196"/>
        <v>111.3.22</v>
      </c>
      <c r="AW1589" s="1344">
        <f t="shared" si="197"/>
        <v>44642</v>
      </c>
    </row>
    <row r="1590" spans="1:49">
      <c r="A1590" s="1077" t="s">
        <v>5469</v>
      </c>
      <c r="B1590" s="1077" t="s">
        <v>5250</v>
      </c>
      <c r="C1590" s="1077">
        <v>550</v>
      </c>
      <c r="D1590" s="1077">
        <v>1.74</v>
      </c>
      <c r="E1590" s="1077" t="s">
        <v>15102</v>
      </c>
      <c r="F1590" s="1077" t="s">
        <v>1514</v>
      </c>
      <c r="G1590" s="1077">
        <v>5</v>
      </c>
      <c r="H1590" s="1077" t="s">
        <v>5470</v>
      </c>
      <c r="I1590" s="1077" t="s">
        <v>460</v>
      </c>
      <c r="J1590" s="1077">
        <v>1.5</v>
      </c>
      <c r="K1590" s="1077" t="s">
        <v>5466</v>
      </c>
      <c r="L1590" s="1077" t="s">
        <v>5253</v>
      </c>
      <c r="M1590" s="1077">
        <v>151.19999999999999</v>
      </c>
      <c r="N1590" s="1077" t="s">
        <v>945</v>
      </c>
      <c r="O1590" s="1077">
        <v>3.78</v>
      </c>
      <c r="P1590" s="1077">
        <v>3.024</v>
      </c>
      <c r="Q1590" s="1077">
        <v>4</v>
      </c>
      <c r="R1590" s="1077">
        <v>21</v>
      </c>
      <c r="T1590" s="1077">
        <v>20.5</v>
      </c>
      <c r="U1590" s="1077">
        <v>3</v>
      </c>
      <c r="V1590" s="1077" t="s">
        <v>648</v>
      </c>
      <c r="W1590" s="1077">
        <v>100</v>
      </c>
      <c r="X1590" s="1077">
        <v>60</v>
      </c>
      <c r="Y1590" s="1077">
        <v>1</v>
      </c>
      <c r="Z1590" s="1077">
        <v>5.5</v>
      </c>
      <c r="AA1590" s="1077" t="s">
        <v>5471</v>
      </c>
      <c r="AH1590" s="1077" t="s">
        <v>782</v>
      </c>
      <c r="AM1590" s="1078" t="s">
        <v>12190</v>
      </c>
      <c r="AN1590" s="1078" t="s">
        <v>12191</v>
      </c>
      <c r="AO1590" s="1078">
        <f t="shared" si="198"/>
        <v>550</v>
      </c>
      <c r="AP1590" s="1078">
        <f t="shared" si="199"/>
        <v>1.74</v>
      </c>
      <c r="AQ1590" s="1078" t="str">
        <f t="shared" si="200"/>
        <v>2-6-1S83°</v>
      </c>
      <c r="AR1590" s="1078" t="str">
        <f t="shared" si="201"/>
        <v>32</v>
      </c>
      <c r="AS1590" s="1078" t="str">
        <f t="shared" si="202"/>
        <v>197/160</v>
      </c>
      <c r="AT1590" s="1078" t="str">
        <f t="shared" si="203"/>
        <v>2-6-1S83°</v>
      </c>
      <c r="AV1590" s="1078" t="str">
        <f t="shared" si="196"/>
        <v>111.3.23</v>
      </c>
      <c r="AW1590" s="1344">
        <f t="shared" si="197"/>
        <v>44643</v>
      </c>
    </row>
    <row r="1591" spans="1:49">
      <c r="A1591" s="1077" t="s">
        <v>5472</v>
      </c>
      <c r="B1591" s="1077" t="s">
        <v>4767</v>
      </c>
      <c r="C1591" s="1077">
        <v>600</v>
      </c>
      <c r="D1591" s="1077">
        <v>1.7250000000000001</v>
      </c>
      <c r="E1591" s="1077" t="s">
        <v>15104</v>
      </c>
      <c r="F1591" s="1077" t="s">
        <v>648</v>
      </c>
      <c r="G1591" s="1077">
        <v>5</v>
      </c>
      <c r="H1591" s="1077" t="s">
        <v>1936</v>
      </c>
      <c r="I1591" s="1077" t="s">
        <v>126</v>
      </c>
      <c r="J1591" s="1077">
        <v>1.3</v>
      </c>
      <c r="K1591" s="1077" t="s">
        <v>5473</v>
      </c>
      <c r="L1591" s="1077" t="s">
        <v>1776</v>
      </c>
      <c r="M1591" s="1077">
        <v>148</v>
      </c>
      <c r="N1591" s="1077" t="s">
        <v>945</v>
      </c>
      <c r="O1591" s="1077">
        <v>3.7</v>
      </c>
      <c r="P1591" s="1077">
        <v>2.96</v>
      </c>
      <c r="Q1591" s="1077">
        <v>4</v>
      </c>
      <c r="R1591" s="1077">
        <v>20.8</v>
      </c>
      <c r="T1591" s="1077">
        <v>20.399999999999999</v>
      </c>
      <c r="U1591" s="1077">
        <v>3.8</v>
      </c>
      <c r="V1591" s="1077" t="s">
        <v>648</v>
      </c>
      <c r="W1591" s="1077">
        <v>110</v>
      </c>
      <c r="X1591" s="1077">
        <v>60</v>
      </c>
      <c r="Y1591" s="1077">
        <v>1.7</v>
      </c>
      <c r="Z1591" s="1077" t="s">
        <v>648</v>
      </c>
      <c r="AA1591" s="1077" t="s">
        <v>5474</v>
      </c>
      <c r="AB1591" s="1077" t="s">
        <v>981</v>
      </c>
      <c r="AH1591" s="1077" t="s">
        <v>1023</v>
      </c>
      <c r="AM1591" s="1078" t="s">
        <v>12192</v>
      </c>
      <c r="AN1591" s="1078" t="s">
        <v>12193</v>
      </c>
      <c r="AO1591" s="1078">
        <f t="shared" si="198"/>
        <v>600</v>
      </c>
      <c r="AP1591" s="1078">
        <f t="shared" si="199"/>
        <v>1.7250000000000001</v>
      </c>
      <c r="AQ1591" s="1078" t="str">
        <f t="shared" si="200"/>
        <v>1-4-1S85°Z+S</v>
      </c>
      <c r="AR1591" s="1078" t="str">
        <f t="shared" si="201"/>
        <v>NA</v>
      </c>
      <c r="AS1591" s="1078" t="str">
        <f t="shared" si="202"/>
        <v>175/OFF</v>
      </c>
      <c r="AT1591" s="1078" t="str">
        <f t="shared" si="203"/>
        <v>1-4-1S85°Z+S</v>
      </c>
      <c r="AU1591" s="1078" t="s">
        <v>15547</v>
      </c>
      <c r="AV1591" s="1078" t="str">
        <f t="shared" si="196"/>
        <v>111.3.28</v>
      </c>
      <c r="AW1591" s="1344">
        <f t="shared" si="197"/>
        <v>44648</v>
      </c>
    </row>
    <row r="1592" spans="1:49">
      <c r="A1592" s="1077" t="s">
        <v>5475</v>
      </c>
      <c r="B1592" s="1077" t="s">
        <v>4927</v>
      </c>
      <c r="C1592" s="1077">
        <v>550</v>
      </c>
      <c r="D1592" s="1077">
        <v>1.68</v>
      </c>
      <c r="E1592" s="1077" t="s">
        <v>15116</v>
      </c>
      <c r="F1592" s="1077" t="s">
        <v>1514</v>
      </c>
      <c r="G1592" s="1077">
        <v>4</v>
      </c>
      <c r="H1592" s="1077" t="s">
        <v>1226</v>
      </c>
      <c r="I1592" s="1077" t="s">
        <v>126</v>
      </c>
      <c r="J1592" s="1077">
        <v>1.4</v>
      </c>
      <c r="K1592" s="1077" t="s">
        <v>5476</v>
      </c>
      <c r="L1592" s="1077" t="s">
        <v>1763</v>
      </c>
      <c r="M1592" s="1077">
        <v>159.5</v>
      </c>
      <c r="N1592" s="1077" t="s">
        <v>945</v>
      </c>
      <c r="O1592" s="1077">
        <v>3.9875000000000003</v>
      </c>
      <c r="P1592" s="1077">
        <v>3.19</v>
      </c>
      <c r="Q1592" s="1077">
        <v>3</v>
      </c>
      <c r="R1592" s="1077">
        <v>33</v>
      </c>
      <c r="T1592" s="1077">
        <v>11.7</v>
      </c>
      <c r="U1592" s="1077">
        <v>6.3</v>
      </c>
      <c r="V1592" s="1077" t="s">
        <v>648</v>
      </c>
      <c r="W1592" s="1077">
        <v>135</v>
      </c>
      <c r="X1592" s="1077">
        <v>85</v>
      </c>
      <c r="Y1592" s="1077">
        <v>1.4</v>
      </c>
      <c r="Z1592" s="1077" t="s">
        <v>648</v>
      </c>
      <c r="AA1592" s="1077" t="s">
        <v>2023</v>
      </c>
      <c r="AH1592" s="1077" t="s">
        <v>456</v>
      </c>
      <c r="AM1592" s="1078" t="s">
        <v>12194</v>
      </c>
      <c r="AN1592" s="1078" t="s">
        <v>12195</v>
      </c>
      <c r="AO1592" s="1078">
        <f t="shared" si="198"/>
        <v>550</v>
      </c>
      <c r="AP1592" s="1078">
        <f t="shared" si="199"/>
        <v>1.68</v>
      </c>
      <c r="AQ1592" s="1078" t="str">
        <f t="shared" si="200"/>
        <v>1-5-1S83°Z+S</v>
      </c>
      <c r="AR1592" s="1078" t="str">
        <f t="shared" si="201"/>
        <v>32</v>
      </c>
      <c r="AS1592" s="1078" t="str">
        <f t="shared" si="202"/>
        <v>230/230/OFF</v>
      </c>
      <c r="AT1592" s="1078" t="str">
        <f t="shared" si="203"/>
        <v>1-5-1S83°Z+S</v>
      </c>
      <c r="AU1592" s="1078" t="s">
        <v>15547</v>
      </c>
      <c r="AV1592" s="1078" t="str">
        <f t="shared" si="196"/>
        <v>111.3.31</v>
      </c>
      <c r="AW1592" s="1344">
        <f t="shared" si="197"/>
        <v>44651</v>
      </c>
    </row>
    <row r="1593" spans="1:49">
      <c r="A1593" s="1077" t="s">
        <v>5477</v>
      </c>
      <c r="B1593" s="1077" t="s">
        <v>5429</v>
      </c>
      <c r="C1593" s="1077">
        <v>600</v>
      </c>
      <c r="D1593" s="1077">
        <v>1.75</v>
      </c>
      <c r="E1593" s="1077" t="s">
        <v>15116</v>
      </c>
      <c r="F1593" s="1077" t="s">
        <v>1514</v>
      </c>
      <c r="G1593" s="1077">
        <v>4</v>
      </c>
      <c r="H1593" s="1077" t="s">
        <v>1017</v>
      </c>
      <c r="I1593" s="1077" t="s">
        <v>126</v>
      </c>
      <c r="J1593" s="1077">
        <v>2.1</v>
      </c>
      <c r="K1593" s="1077" t="s">
        <v>5430</v>
      </c>
      <c r="L1593" s="1077" t="s">
        <v>1964</v>
      </c>
      <c r="M1593" s="1077">
        <v>150</v>
      </c>
      <c r="N1593" s="1077" t="s">
        <v>945</v>
      </c>
      <c r="O1593" s="1077">
        <v>3.75</v>
      </c>
      <c r="P1593" s="1077">
        <v>3</v>
      </c>
      <c r="Q1593" s="1077">
        <v>3</v>
      </c>
      <c r="R1593" s="1077">
        <v>28.5</v>
      </c>
      <c r="T1593" s="1077">
        <v>12.5</v>
      </c>
      <c r="U1593" s="1077">
        <v>7.4</v>
      </c>
      <c r="V1593" s="1077" t="s">
        <v>648</v>
      </c>
      <c r="W1593" s="1077">
        <v>125</v>
      </c>
      <c r="X1593" s="1077">
        <v>80</v>
      </c>
      <c r="Y1593" s="1077">
        <v>1.5</v>
      </c>
      <c r="Z1593" s="1077" t="s">
        <v>648</v>
      </c>
      <c r="AA1593" s="1077" t="s">
        <v>2023</v>
      </c>
      <c r="AH1593" s="1077" t="s">
        <v>1143</v>
      </c>
      <c r="AM1593" s="1078" t="s">
        <v>12196</v>
      </c>
      <c r="AN1593" s="1078" t="s">
        <v>12197</v>
      </c>
      <c r="AO1593" s="1078">
        <f t="shared" si="198"/>
        <v>600</v>
      </c>
      <c r="AP1593" s="1078">
        <f t="shared" si="199"/>
        <v>1.75</v>
      </c>
      <c r="AQ1593" s="1078" t="str">
        <f t="shared" si="200"/>
        <v>1-5-1S83°Z+S</v>
      </c>
      <c r="AR1593" s="1078" t="str">
        <f t="shared" si="201"/>
        <v>32</v>
      </c>
      <c r="AS1593" s="1078" t="str">
        <f t="shared" si="202"/>
        <v>200/200/OFF</v>
      </c>
      <c r="AT1593" s="1078" t="str">
        <f t="shared" si="203"/>
        <v>1-5-1S83°Z+S</v>
      </c>
      <c r="AU1593" s="1078" t="s">
        <v>15547</v>
      </c>
      <c r="AV1593" s="1078" t="str">
        <f t="shared" si="196"/>
        <v>111.3.31</v>
      </c>
      <c r="AW1593" s="1344">
        <f t="shared" si="197"/>
        <v>44651</v>
      </c>
    </row>
    <row r="1594" spans="1:49">
      <c r="A1594" s="1077" t="s">
        <v>5478</v>
      </c>
      <c r="B1594" s="1077" t="s">
        <v>210</v>
      </c>
      <c r="C1594" s="1077">
        <v>700</v>
      </c>
      <c r="D1594" s="1077">
        <v>1.76</v>
      </c>
      <c r="E1594" s="1077" t="s">
        <v>15094</v>
      </c>
      <c r="F1594" s="1077" t="s">
        <v>984</v>
      </c>
      <c r="G1594" s="1077">
        <v>5</v>
      </c>
      <c r="H1594" s="1077" t="s">
        <v>5177</v>
      </c>
      <c r="I1594" s="1077" t="s">
        <v>126</v>
      </c>
      <c r="J1594" s="1077">
        <v>2.9</v>
      </c>
      <c r="K1594" s="1077" t="s">
        <v>4688</v>
      </c>
      <c r="L1594" s="1077" t="s">
        <v>4666</v>
      </c>
      <c r="M1594" s="1077">
        <v>150.80000000000001</v>
      </c>
      <c r="N1594" s="1077" t="s">
        <v>945</v>
      </c>
      <c r="O1594" s="1077">
        <v>3.7700000000000005</v>
      </c>
      <c r="P1594" s="1077">
        <v>3.0160000000000005</v>
      </c>
      <c r="Q1594" s="1077">
        <v>4</v>
      </c>
      <c r="R1594" s="1077">
        <v>19</v>
      </c>
      <c r="T1594" s="1077">
        <v>28.3</v>
      </c>
      <c r="U1594" s="1077">
        <v>4.3</v>
      </c>
      <c r="V1594" s="1077" t="s">
        <v>648</v>
      </c>
      <c r="W1594" s="1077">
        <v>100</v>
      </c>
      <c r="X1594" s="1077">
        <v>50</v>
      </c>
      <c r="Y1594" s="1077">
        <v>1.5</v>
      </c>
      <c r="Z1594" s="1077">
        <v>6.5</v>
      </c>
      <c r="AA1594" s="1077" t="s">
        <v>1474</v>
      </c>
      <c r="AH1594" s="1077" t="s">
        <v>966</v>
      </c>
      <c r="AM1594" s="1078" t="s">
        <v>12198</v>
      </c>
      <c r="AN1594" s="1078" t="s">
        <v>12199</v>
      </c>
      <c r="AO1594" s="1078">
        <f t="shared" si="198"/>
        <v>700</v>
      </c>
      <c r="AP1594" s="1078">
        <f t="shared" si="199"/>
        <v>1.76</v>
      </c>
      <c r="AQ1594" s="1078" t="str">
        <f t="shared" si="200"/>
        <v>1-5-1S91°</v>
      </c>
      <c r="AR1594" s="1078" t="str">
        <f t="shared" si="201"/>
        <v>30</v>
      </c>
      <c r="AS1594" s="1078" t="str">
        <f t="shared" si="202"/>
        <v>365/325/OFF</v>
      </c>
      <c r="AT1594" s="1078" t="str">
        <f t="shared" si="203"/>
        <v>1-5-1S91°</v>
      </c>
      <c r="AV1594" s="1078" t="str">
        <f t="shared" si="196"/>
        <v>111.4.1</v>
      </c>
      <c r="AW1594" s="1344">
        <f t="shared" si="197"/>
        <v>44652</v>
      </c>
    </row>
    <row r="1595" spans="1:49">
      <c r="A1595" s="1077" t="s">
        <v>5479</v>
      </c>
      <c r="B1595" s="1077" t="s">
        <v>210</v>
      </c>
      <c r="C1595" s="1077">
        <v>600</v>
      </c>
      <c r="D1595" s="1077">
        <v>1.74</v>
      </c>
      <c r="E1595" s="1077" t="s">
        <v>15094</v>
      </c>
      <c r="F1595" s="1077" t="s">
        <v>984</v>
      </c>
      <c r="G1595" s="1077">
        <v>5</v>
      </c>
      <c r="H1595" s="1077" t="s">
        <v>5480</v>
      </c>
      <c r="I1595" s="1077" t="s">
        <v>126</v>
      </c>
      <c r="J1595" s="1077">
        <v>0.7</v>
      </c>
      <c r="K1595" s="1077" t="s">
        <v>5481</v>
      </c>
      <c r="L1595" s="1077" t="s">
        <v>4666</v>
      </c>
      <c r="M1595" s="1077">
        <v>151.5</v>
      </c>
      <c r="N1595" s="1077" t="s">
        <v>945</v>
      </c>
      <c r="O1595" s="1077">
        <v>3.7875000000000001</v>
      </c>
      <c r="P1595" s="1077">
        <v>3.0300000000000002</v>
      </c>
      <c r="Q1595" s="1077">
        <v>4</v>
      </c>
      <c r="R1595" s="1077">
        <v>19.100000000000001</v>
      </c>
      <c r="T1595" s="1077">
        <v>23.7</v>
      </c>
      <c r="U1595" s="1077">
        <v>3.2</v>
      </c>
      <c r="V1595" s="1077" t="s">
        <v>648</v>
      </c>
      <c r="W1595" s="1077">
        <v>35</v>
      </c>
      <c r="X1595" s="1077">
        <v>10</v>
      </c>
      <c r="Y1595" s="1077">
        <v>1</v>
      </c>
      <c r="Z1595" s="1077">
        <v>6</v>
      </c>
      <c r="AA1595" s="1077" t="s">
        <v>1474</v>
      </c>
      <c r="AH1595" s="1077" t="s">
        <v>684</v>
      </c>
      <c r="AM1595" s="1078" t="s">
        <v>12200</v>
      </c>
      <c r="AN1595" s="1078" t="s">
        <v>12201</v>
      </c>
      <c r="AO1595" s="1078">
        <f t="shared" si="198"/>
        <v>600</v>
      </c>
      <c r="AP1595" s="1078">
        <f t="shared" si="199"/>
        <v>1.74</v>
      </c>
      <c r="AQ1595" s="1078" t="str">
        <f t="shared" si="200"/>
        <v>1-5-1S91°</v>
      </c>
      <c r="AR1595" s="1078" t="str">
        <f t="shared" si="201"/>
        <v>30</v>
      </c>
      <c r="AS1595" s="1078" t="str">
        <f t="shared" si="202"/>
        <v>340/300/145</v>
      </c>
      <c r="AT1595" s="1078" t="str">
        <f t="shared" si="203"/>
        <v>1-5-1S91°</v>
      </c>
      <c r="AV1595" s="1078" t="str">
        <f t="shared" si="196"/>
        <v>111.4.1</v>
      </c>
      <c r="AW1595" s="1344">
        <f t="shared" si="197"/>
        <v>44652</v>
      </c>
    </row>
    <row r="1596" spans="1:49">
      <c r="A1596" s="1077" t="s">
        <v>5482</v>
      </c>
      <c r="B1596" s="1077" t="s">
        <v>210</v>
      </c>
      <c r="C1596" s="1077">
        <v>650</v>
      </c>
      <c r="D1596" s="1077">
        <v>1.74</v>
      </c>
      <c r="E1596" s="1077" t="s">
        <v>15094</v>
      </c>
      <c r="F1596" s="1077" t="s">
        <v>984</v>
      </c>
      <c r="G1596" s="1077">
        <v>5</v>
      </c>
      <c r="H1596" s="1077" t="s">
        <v>5483</v>
      </c>
      <c r="I1596" s="1077" t="s">
        <v>126</v>
      </c>
      <c r="J1596" s="1077">
        <v>0.7</v>
      </c>
      <c r="K1596" s="1077" t="s">
        <v>5481</v>
      </c>
      <c r="L1596" s="1077" t="s">
        <v>4666</v>
      </c>
      <c r="M1596" s="1077">
        <v>151.5</v>
      </c>
      <c r="N1596" s="1077" t="s">
        <v>945</v>
      </c>
      <c r="O1596" s="1077">
        <v>3.7875000000000001</v>
      </c>
      <c r="P1596" s="1077">
        <v>3.0300000000000002</v>
      </c>
      <c r="Q1596" s="1077">
        <v>4</v>
      </c>
      <c r="R1596" s="1077">
        <v>19.100000000000001</v>
      </c>
      <c r="T1596" s="1077">
        <v>23.7</v>
      </c>
      <c r="U1596" s="1077">
        <v>3.2</v>
      </c>
      <c r="V1596" s="1077" t="s">
        <v>648</v>
      </c>
      <c r="W1596" s="1077">
        <v>35</v>
      </c>
      <c r="X1596" s="1077">
        <v>10</v>
      </c>
      <c r="Y1596" s="1077">
        <v>1</v>
      </c>
      <c r="Z1596" s="1077">
        <v>6</v>
      </c>
      <c r="AA1596" s="1077" t="s">
        <v>2023</v>
      </c>
      <c r="AH1596" s="1077" t="s">
        <v>3213</v>
      </c>
      <c r="AM1596" s="1078" t="s">
        <v>12202</v>
      </c>
      <c r="AN1596" s="1078" t="s">
        <v>12203</v>
      </c>
      <c r="AO1596" s="1078">
        <f t="shared" si="198"/>
        <v>650</v>
      </c>
      <c r="AP1596" s="1078">
        <f t="shared" si="199"/>
        <v>1.74</v>
      </c>
      <c r="AQ1596" s="1078" t="str">
        <f t="shared" si="200"/>
        <v>1-5-1S91°</v>
      </c>
      <c r="AR1596" s="1078" t="str">
        <f t="shared" si="201"/>
        <v>30</v>
      </c>
      <c r="AS1596" s="1078" t="str">
        <f t="shared" si="202"/>
        <v>350/310/150</v>
      </c>
      <c r="AT1596" s="1078" t="str">
        <f t="shared" si="203"/>
        <v>1-5-1S91°</v>
      </c>
      <c r="AV1596" s="1078" t="str">
        <f t="shared" si="196"/>
        <v>111.3.31</v>
      </c>
      <c r="AW1596" s="1344">
        <f t="shared" si="197"/>
        <v>44651</v>
      </c>
    </row>
    <row r="1597" spans="1:49">
      <c r="A1597" s="1077" t="s">
        <v>5484</v>
      </c>
      <c r="B1597" s="1077" t="s">
        <v>210</v>
      </c>
      <c r="C1597" s="1077" t="s">
        <v>5485</v>
      </c>
      <c r="D1597" s="1077">
        <v>1.74</v>
      </c>
      <c r="E1597" s="1077" t="s">
        <v>15094</v>
      </c>
      <c r="F1597" s="1077" t="s">
        <v>984</v>
      </c>
      <c r="G1597" s="1077">
        <v>5</v>
      </c>
      <c r="H1597" s="1077" t="s">
        <v>5486</v>
      </c>
      <c r="I1597" s="1077" t="s">
        <v>126</v>
      </c>
      <c r="J1597" s="1077">
        <v>0.7</v>
      </c>
      <c r="K1597" s="1077" t="s">
        <v>5487</v>
      </c>
      <c r="L1597" s="1077" t="s">
        <v>4666</v>
      </c>
      <c r="M1597" s="1077">
        <v>151.5</v>
      </c>
      <c r="N1597" s="1077" t="s">
        <v>945</v>
      </c>
      <c r="O1597" s="1077">
        <v>3.7875000000000001</v>
      </c>
      <c r="P1597" s="1077">
        <v>3.0300000000000002</v>
      </c>
      <c r="Q1597" s="1077">
        <v>4</v>
      </c>
      <c r="R1597" s="1077">
        <v>19.100000000000001</v>
      </c>
      <c r="T1597" s="1077">
        <v>23.7</v>
      </c>
      <c r="U1597" s="1077">
        <v>3.2</v>
      </c>
      <c r="V1597" s="1077" t="s">
        <v>648</v>
      </c>
      <c r="W1597" s="1077">
        <v>35</v>
      </c>
      <c r="X1597" s="1077">
        <v>10</v>
      </c>
      <c r="Y1597" s="1077">
        <v>1</v>
      </c>
      <c r="Z1597" s="1077">
        <v>6</v>
      </c>
      <c r="AA1597" s="1077" t="s">
        <v>1481</v>
      </c>
      <c r="AH1597" s="1077" t="s">
        <v>1221</v>
      </c>
      <c r="AM1597" s="1078" t="s">
        <v>12204</v>
      </c>
      <c r="AN1597" s="1078" t="s">
        <v>12205</v>
      </c>
      <c r="AO1597" s="1078" t="str">
        <f t="shared" si="198"/>
        <v>600↓550-6/13</v>
      </c>
      <c r="AP1597" s="1078">
        <f t="shared" si="199"/>
        <v>1.74</v>
      </c>
      <c r="AQ1597" s="1078" t="str">
        <f t="shared" si="200"/>
        <v>1-5-1S91°</v>
      </c>
      <c r="AR1597" s="1078" t="str">
        <f t="shared" si="201"/>
        <v>30</v>
      </c>
      <c r="AS1597" s="1078" t="str">
        <f t="shared" si="202"/>
        <v>330/290/140</v>
      </c>
      <c r="AT1597" s="1078" t="str">
        <f t="shared" si="203"/>
        <v>1-5-1S91°</v>
      </c>
      <c r="AV1597" s="1078" t="str">
        <f t="shared" si="196"/>
        <v>111.4.22</v>
      </c>
      <c r="AW1597" s="1344">
        <f t="shared" si="197"/>
        <v>44673</v>
      </c>
    </row>
    <row r="1598" spans="1:49">
      <c r="A1598" s="1077" t="s">
        <v>5488</v>
      </c>
      <c r="B1598" s="1077" t="s">
        <v>210</v>
      </c>
      <c r="C1598" s="1077">
        <v>750</v>
      </c>
      <c r="D1598" s="1077">
        <v>1.76</v>
      </c>
      <c r="E1598" s="1077" t="s">
        <v>15094</v>
      </c>
      <c r="F1598" s="1077" t="s">
        <v>4013</v>
      </c>
      <c r="G1598" s="1077">
        <v>5</v>
      </c>
      <c r="H1598" s="1077" t="s">
        <v>4681</v>
      </c>
      <c r="I1598" s="1077" t="s">
        <v>126</v>
      </c>
      <c r="J1598" s="1077">
        <v>1.5</v>
      </c>
      <c r="K1598" s="1077" t="s">
        <v>4682</v>
      </c>
      <c r="L1598" s="1077" t="s">
        <v>4666</v>
      </c>
      <c r="M1598" s="1077">
        <v>152.19999999999999</v>
      </c>
      <c r="N1598" s="1077" t="s">
        <v>945</v>
      </c>
      <c r="O1598" s="1077">
        <v>3.8049999999999997</v>
      </c>
      <c r="P1598" s="1077">
        <v>3.044</v>
      </c>
      <c r="Q1598" s="1077" t="s">
        <v>1277</v>
      </c>
      <c r="R1598" s="1077">
        <v>19</v>
      </c>
      <c r="T1598" s="1077">
        <v>16</v>
      </c>
      <c r="U1598" s="1077">
        <v>4</v>
      </c>
      <c r="V1598" s="1077" t="s">
        <v>648</v>
      </c>
      <c r="W1598" s="1077" t="s">
        <v>4667</v>
      </c>
      <c r="X1598" s="1077">
        <v>10</v>
      </c>
      <c r="Y1598" s="1077">
        <v>1.5</v>
      </c>
      <c r="Z1598" s="1077" t="s">
        <v>5139</v>
      </c>
      <c r="AA1598" s="1077" t="s">
        <v>5489</v>
      </c>
      <c r="AH1598" s="1077" t="s">
        <v>1482</v>
      </c>
      <c r="AM1598" s="1078" t="s">
        <v>12206</v>
      </c>
      <c r="AN1598" s="1078" t="s">
        <v>12207</v>
      </c>
      <c r="AO1598" s="1078">
        <f t="shared" si="198"/>
        <v>750</v>
      </c>
      <c r="AP1598" s="1078">
        <f t="shared" si="199"/>
        <v>1.76</v>
      </c>
      <c r="AQ1598" s="1078" t="str">
        <f t="shared" si="200"/>
        <v>1-5-1S91°</v>
      </c>
      <c r="AR1598" s="1078" t="str">
        <f t="shared" si="201"/>
        <v>30.3</v>
      </c>
      <c r="AS1598" s="1078" t="str">
        <f t="shared" si="202"/>
        <v>337/297/165</v>
      </c>
      <c r="AT1598" s="1078" t="str">
        <f t="shared" si="203"/>
        <v>1-5-1S91°</v>
      </c>
      <c r="AV1598" s="1078" t="str">
        <f t="shared" si="196"/>
        <v>108.11.18</v>
      </c>
      <c r="AW1598" s="1344">
        <f t="shared" si="197"/>
        <v>43787</v>
      </c>
    </row>
    <row r="1599" spans="1:49">
      <c r="A1599" s="1077" t="s">
        <v>5490</v>
      </c>
      <c r="B1599" s="1077" t="s">
        <v>5491</v>
      </c>
      <c r="C1599" s="1077">
        <v>700</v>
      </c>
      <c r="D1599" s="1077">
        <v>1.73</v>
      </c>
      <c r="E1599" s="1077" t="s">
        <v>15117</v>
      </c>
      <c r="F1599" s="1077" t="s">
        <v>648</v>
      </c>
      <c r="G1599" s="1077">
        <v>5</v>
      </c>
      <c r="H1599" s="1077" t="s">
        <v>1936</v>
      </c>
      <c r="I1599" s="1077" t="s">
        <v>126</v>
      </c>
      <c r="J1599" s="1077">
        <v>1.7</v>
      </c>
      <c r="K1599" s="1077" t="s">
        <v>5492</v>
      </c>
      <c r="L1599" s="1077" t="s">
        <v>2209</v>
      </c>
      <c r="M1599" s="1077">
        <v>148</v>
      </c>
      <c r="N1599" s="1077" t="s">
        <v>945</v>
      </c>
      <c r="O1599" s="1077">
        <v>3.7</v>
      </c>
      <c r="P1599" s="1077">
        <v>2.96</v>
      </c>
      <c r="Q1599" s="1077" t="s">
        <v>1277</v>
      </c>
      <c r="R1599" s="1077">
        <v>24</v>
      </c>
      <c r="T1599" s="1077">
        <v>18</v>
      </c>
      <c r="U1599" s="1077">
        <v>3.7</v>
      </c>
      <c r="V1599" s="1077" t="s">
        <v>648</v>
      </c>
      <c r="W1599" s="1077">
        <v>120</v>
      </c>
      <c r="X1599" s="1077">
        <v>75</v>
      </c>
      <c r="Y1599" s="1077">
        <v>1</v>
      </c>
      <c r="Z1599" s="1077" t="s">
        <v>648</v>
      </c>
      <c r="AA1599" s="1077" t="s">
        <v>4686</v>
      </c>
      <c r="AH1599" s="1077" t="s">
        <v>646</v>
      </c>
      <c r="AM1599" s="1078" t="s">
        <v>12208</v>
      </c>
      <c r="AN1599" s="1078" t="s">
        <v>12209</v>
      </c>
      <c r="AO1599" s="1078">
        <f t="shared" si="198"/>
        <v>700</v>
      </c>
      <c r="AP1599" s="1078">
        <f t="shared" si="199"/>
        <v>1.73</v>
      </c>
      <c r="AQ1599" s="1078" t="str">
        <f t="shared" si="200"/>
        <v>1-4-1S85°S+Z</v>
      </c>
      <c r="AR1599" s="1078" t="str">
        <f t="shared" si="201"/>
        <v>NA</v>
      </c>
      <c r="AS1599" s="1078" t="str">
        <f t="shared" si="202"/>
        <v>175/OFF</v>
      </c>
      <c r="AT1599" s="1078" t="str">
        <f t="shared" si="203"/>
        <v>1-4-1S85°S+Z</v>
      </c>
      <c r="AU1599" s="1078" t="s">
        <v>15550</v>
      </c>
      <c r="AV1599" s="1078" t="str">
        <f t="shared" si="196"/>
        <v>109.2.24</v>
      </c>
      <c r="AW1599" s="1344">
        <f t="shared" si="197"/>
        <v>43885</v>
      </c>
    </row>
    <row r="1600" spans="1:49">
      <c r="A1600" s="1077" t="s">
        <v>5493</v>
      </c>
      <c r="B1600" s="1077" t="s">
        <v>844</v>
      </c>
      <c r="C1600" s="1077">
        <v>550</v>
      </c>
      <c r="D1600" s="1077">
        <v>1.7649999999999999</v>
      </c>
      <c r="E1600" s="1077" t="s">
        <v>15102</v>
      </c>
      <c r="F1600" s="1077" t="s">
        <v>1454</v>
      </c>
      <c r="G1600" s="1077">
        <v>5</v>
      </c>
      <c r="H1600" s="1077" t="s">
        <v>5325</v>
      </c>
      <c r="I1600" s="1077" t="s">
        <v>460</v>
      </c>
      <c r="J1600" s="1077">
        <v>3.4</v>
      </c>
      <c r="K1600" s="1077" t="s">
        <v>5494</v>
      </c>
      <c r="L1600" s="1077" t="s">
        <v>4907</v>
      </c>
      <c r="M1600" s="1077">
        <v>152.5</v>
      </c>
      <c r="N1600" s="1077" t="s">
        <v>945</v>
      </c>
      <c r="O1600" s="1077">
        <v>3.8125</v>
      </c>
      <c r="P1600" s="1077">
        <v>3.0500000000000003</v>
      </c>
      <c r="Q1600" s="1077" t="s">
        <v>1059</v>
      </c>
      <c r="R1600" s="1077">
        <v>21</v>
      </c>
      <c r="T1600" s="1077">
        <v>9.1999999999999993</v>
      </c>
      <c r="U1600" s="1077">
        <v>5.4</v>
      </c>
      <c r="V1600" s="1077" t="s">
        <v>648</v>
      </c>
      <c r="W1600" s="1077">
        <v>110</v>
      </c>
      <c r="X1600" s="1077">
        <v>90</v>
      </c>
      <c r="Y1600" s="1077">
        <v>2</v>
      </c>
      <c r="Z1600" s="1077" t="s">
        <v>5495</v>
      </c>
      <c r="AA1600" s="1077" t="s">
        <v>5496</v>
      </c>
      <c r="AH1600" s="1077" t="s">
        <v>994</v>
      </c>
      <c r="AM1600" s="1078" t="s">
        <v>12210</v>
      </c>
      <c r="AN1600" s="1078" t="s">
        <v>12211</v>
      </c>
      <c r="AO1600" s="1078">
        <f t="shared" si="198"/>
        <v>550</v>
      </c>
      <c r="AP1600" s="1078">
        <f t="shared" si="199"/>
        <v>1.7649999999999999</v>
      </c>
      <c r="AQ1600" s="1078" t="str">
        <f t="shared" si="200"/>
        <v>2-6-1S83°</v>
      </c>
      <c r="AR1600" s="1078" t="str">
        <f t="shared" si="201"/>
        <v>32.2</v>
      </c>
      <c r="AS1600" s="1078" t="str">
        <f t="shared" si="202"/>
        <v>158/155</v>
      </c>
      <c r="AT1600" s="1078" t="str">
        <f t="shared" si="203"/>
        <v>2-6-1S83°</v>
      </c>
      <c r="AV1600" s="1078" t="str">
        <f t="shared" si="196"/>
        <v>109.5.28</v>
      </c>
      <c r="AW1600" s="1344">
        <f t="shared" si="197"/>
        <v>43979</v>
      </c>
    </row>
    <row r="1601" spans="1:49">
      <c r="A1601" s="1077" t="s">
        <v>5497</v>
      </c>
      <c r="B1601" s="1077" t="s">
        <v>4944</v>
      </c>
      <c r="C1601" s="1077">
        <v>650</v>
      </c>
      <c r="D1601" s="1077">
        <v>1.72</v>
      </c>
      <c r="E1601" s="1077" t="s">
        <v>15094</v>
      </c>
      <c r="F1601" s="1077" t="s">
        <v>984</v>
      </c>
      <c r="G1601" s="1077">
        <v>5.5</v>
      </c>
      <c r="H1601" s="1077" t="s">
        <v>1061</v>
      </c>
      <c r="I1601" s="1077" t="s">
        <v>126</v>
      </c>
      <c r="J1601" s="1077">
        <v>1.4</v>
      </c>
      <c r="K1601" s="1077" t="s">
        <v>5498</v>
      </c>
      <c r="L1601" s="1077" t="s">
        <v>4946</v>
      </c>
      <c r="M1601" s="1077">
        <v>150.6</v>
      </c>
      <c r="N1601" s="1077" t="s">
        <v>945</v>
      </c>
      <c r="O1601" s="1077">
        <v>3.7650000000000001</v>
      </c>
      <c r="P1601" s="1077">
        <v>3.012</v>
      </c>
      <c r="Q1601" s="1077" t="s">
        <v>1005</v>
      </c>
      <c r="R1601" s="1077">
        <v>28</v>
      </c>
      <c r="T1601" s="1077">
        <v>14.8</v>
      </c>
      <c r="U1601" s="1077">
        <v>7</v>
      </c>
      <c r="V1601" s="1077" t="s">
        <v>648</v>
      </c>
      <c r="W1601" s="1077" t="s">
        <v>4947</v>
      </c>
      <c r="X1601" s="1077">
        <v>10</v>
      </c>
      <c r="Y1601" s="1077">
        <v>1.3</v>
      </c>
      <c r="Z1601" s="1077">
        <v>6</v>
      </c>
      <c r="AA1601" s="1077" t="s">
        <v>5499</v>
      </c>
      <c r="AH1601" s="1077" t="s">
        <v>994</v>
      </c>
      <c r="AM1601" s="1078" t="s">
        <v>12212</v>
      </c>
      <c r="AN1601" s="1078" t="s">
        <v>12213</v>
      </c>
      <c r="AO1601" s="1078">
        <f t="shared" si="198"/>
        <v>650</v>
      </c>
      <c r="AP1601" s="1078">
        <f t="shared" si="199"/>
        <v>1.72</v>
      </c>
      <c r="AQ1601" s="1078" t="str">
        <f t="shared" si="200"/>
        <v>1-5-1S91°</v>
      </c>
      <c r="AR1601" s="1078" t="str">
        <f t="shared" si="201"/>
        <v>30</v>
      </c>
      <c r="AS1601" s="1078" t="str">
        <f t="shared" si="202"/>
        <v>255/255/OFF</v>
      </c>
      <c r="AT1601" s="1078" t="str">
        <f t="shared" si="203"/>
        <v>1-5-1S91°</v>
      </c>
      <c r="AV1601" s="1078" t="str">
        <f t="shared" si="196"/>
        <v>109.11.23</v>
      </c>
      <c r="AW1601" s="1344">
        <f t="shared" si="197"/>
        <v>44158</v>
      </c>
    </row>
    <row r="1602" spans="1:49">
      <c r="A1602" s="1077" t="s">
        <v>5500</v>
      </c>
      <c r="B1602" s="1077" t="s">
        <v>5250</v>
      </c>
      <c r="C1602" s="1077">
        <v>600</v>
      </c>
      <c r="D1602" s="1077">
        <v>1.74</v>
      </c>
      <c r="E1602" s="1077" t="s">
        <v>15102</v>
      </c>
      <c r="F1602" s="1077" t="s">
        <v>1514</v>
      </c>
      <c r="G1602" s="1077">
        <v>5</v>
      </c>
      <c r="H1602" s="1077" t="s">
        <v>5264</v>
      </c>
      <c r="I1602" s="1077" t="s">
        <v>1167</v>
      </c>
      <c r="J1602" s="1077">
        <v>2.6</v>
      </c>
      <c r="K1602" s="1077" t="s">
        <v>5276</v>
      </c>
      <c r="L1602" s="1077" t="s">
        <v>5253</v>
      </c>
      <c r="M1602" s="1077">
        <v>151.69999999999999</v>
      </c>
      <c r="N1602" s="1077" t="s">
        <v>945</v>
      </c>
      <c r="O1602" s="1077">
        <v>3.7925</v>
      </c>
      <c r="P1602" s="1077">
        <v>3.0339999999999998</v>
      </c>
      <c r="Q1602" s="1077">
        <v>4</v>
      </c>
      <c r="R1602" s="1077">
        <v>21.2</v>
      </c>
      <c r="T1602" s="1077">
        <v>15.4</v>
      </c>
      <c r="U1602" s="1077">
        <v>3</v>
      </c>
      <c r="V1602" s="1077" t="s">
        <v>648</v>
      </c>
      <c r="W1602" s="1077">
        <v>130</v>
      </c>
      <c r="X1602" s="1077">
        <v>70</v>
      </c>
      <c r="Y1602" s="1077">
        <v>1.4</v>
      </c>
      <c r="Z1602" s="1077">
        <v>4.5</v>
      </c>
      <c r="AA1602" s="1077" t="s">
        <v>3110</v>
      </c>
      <c r="AH1602" s="1077" t="s">
        <v>958</v>
      </c>
      <c r="AM1602" s="1078" t="s">
        <v>12214</v>
      </c>
      <c r="AN1602" s="1078" t="s">
        <v>12215</v>
      </c>
      <c r="AO1602" s="1078">
        <f t="shared" si="198"/>
        <v>600</v>
      </c>
      <c r="AP1602" s="1078">
        <f t="shared" si="199"/>
        <v>1.74</v>
      </c>
      <c r="AQ1602" s="1078" t="str">
        <f t="shared" si="200"/>
        <v>2-6-1S83°</v>
      </c>
      <c r="AR1602" s="1078" t="str">
        <f t="shared" si="201"/>
        <v>32</v>
      </c>
      <c r="AS1602" s="1078" t="str">
        <f t="shared" si="202"/>
        <v>190/169</v>
      </c>
      <c r="AT1602" s="1078" t="str">
        <f t="shared" si="203"/>
        <v>2-6-1S83°</v>
      </c>
      <c r="AV1602" s="1078" t="str">
        <f t="shared" ref="AV1602:AV1665" si="204">AA1602</f>
        <v>110.1.25</v>
      </c>
      <c r="AW1602" s="1344">
        <f t="shared" si="197"/>
        <v>44221</v>
      </c>
    </row>
    <row r="1603" spans="1:49">
      <c r="A1603" s="1077" t="s">
        <v>5501</v>
      </c>
      <c r="B1603" s="1077" t="s">
        <v>4944</v>
      </c>
      <c r="C1603" s="1077">
        <v>650</v>
      </c>
      <c r="D1603" s="1077">
        <v>1.71</v>
      </c>
      <c r="E1603" s="1077" t="s">
        <v>15094</v>
      </c>
      <c r="F1603" s="1077" t="s">
        <v>984</v>
      </c>
      <c r="G1603" s="1077">
        <v>5.5</v>
      </c>
      <c r="H1603" s="1077" t="s">
        <v>1061</v>
      </c>
      <c r="I1603" s="1077" t="s">
        <v>126</v>
      </c>
      <c r="J1603" s="1077">
        <v>1.4</v>
      </c>
      <c r="K1603" s="1077" t="s">
        <v>5502</v>
      </c>
      <c r="L1603" s="1077" t="s">
        <v>4946</v>
      </c>
      <c r="M1603" s="1077">
        <v>150.6</v>
      </c>
      <c r="N1603" s="1077" t="s">
        <v>945</v>
      </c>
      <c r="O1603" s="1077">
        <v>3.7650000000000001</v>
      </c>
      <c r="P1603" s="1077">
        <v>3.012</v>
      </c>
      <c r="Q1603" s="1077">
        <v>3</v>
      </c>
      <c r="R1603" s="1077">
        <v>28</v>
      </c>
      <c r="T1603" s="1077">
        <v>14.8</v>
      </c>
      <c r="U1603" s="1077">
        <v>7</v>
      </c>
      <c r="V1603" s="1077" t="s">
        <v>648</v>
      </c>
      <c r="W1603" s="1077" t="s">
        <v>4947</v>
      </c>
      <c r="X1603" s="1077">
        <v>10</v>
      </c>
      <c r="Y1603" s="1077">
        <v>1.3</v>
      </c>
      <c r="Z1603" s="1077">
        <v>6</v>
      </c>
      <c r="AA1603" s="1077" t="s">
        <v>5503</v>
      </c>
      <c r="AH1603" s="1077" t="s">
        <v>3601</v>
      </c>
      <c r="AM1603" s="1078" t="s">
        <v>12216</v>
      </c>
      <c r="AN1603" s="1078" t="s">
        <v>12217</v>
      </c>
      <c r="AO1603" s="1078">
        <f t="shared" si="198"/>
        <v>650</v>
      </c>
      <c r="AP1603" s="1078">
        <f t="shared" si="199"/>
        <v>1.71</v>
      </c>
      <c r="AQ1603" s="1078" t="str">
        <f t="shared" si="200"/>
        <v>1-5-1S91°</v>
      </c>
      <c r="AR1603" s="1078" t="str">
        <f t="shared" si="201"/>
        <v>30</v>
      </c>
      <c r="AS1603" s="1078" t="str">
        <f t="shared" si="202"/>
        <v>255/255/OFF</v>
      </c>
      <c r="AT1603" s="1078" t="str">
        <f t="shared" si="203"/>
        <v>1-5-1S91°</v>
      </c>
      <c r="AV1603" s="1078" t="str">
        <f t="shared" si="204"/>
        <v>110.3.13</v>
      </c>
      <c r="AW1603" s="1344">
        <f t="shared" ref="AW1603:AW1666" si="205">DATE(VALUE(LEFT(AV1603,FIND(".",AV1603)-1))+1911,
       VALUE(MID(AV1603,FIND(".",AV1603)+1,FIND(".",AV1603,FIND(".",AV1603)+1)-FIND(".",AV1603)-1)),
       VALUE(RIGHT(AV1603,LEN(AV1603)-FIND("~",SUBSTITUTE(AV1603,".","~",2)))))</f>
        <v>44268</v>
      </c>
    </row>
    <row r="1604" spans="1:49">
      <c r="A1604" s="1077" t="s">
        <v>5504</v>
      </c>
      <c r="B1604" s="1077" t="s">
        <v>5068</v>
      </c>
      <c r="C1604" s="1077">
        <v>700</v>
      </c>
      <c r="D1604" s="1077">
        <v>1.7450000000000001</v>
      </c>
      <c r="E1604" s="1077" t="s">
        <v>15104</v>
      </c>
      <c r="F1604" s="1077" t="s">
        <v>648</v>
      </c>
      <c r="G1604" s="1077">
        <v>5</v>
      </c>
      <c r="H1604" s="1077" t="s">
        <v>5505</v>
      </c>
      <c r="I1604" s="1077" t="s">
        <v>460</v>
      </c>
      <c r="J1604" s="1077">
        <v>1.7</v>
      </c>
      <c r="K1604" s="1077" t="s">
        <v>5506</v>
      </c>
      <c r="L1604" s="1077" t="s">
        <v>1913</v>
      </c>
      <c r="M1604" s="1077">
        <v>150</v>
      </c>
      <c r="N1604" s="1077" t="s">
        <v>945</v>
      </c>
      <c r="O1604" s="1077">
        <v>3.75</v>
      </c>
      <c r="P1604" s="1077">
        <v>3</v>
      </c>
      <c r="Q1604" s="1077">
        <v>4</v>
      </c>
      <c r="R1604" s="1077">
        <v>20.8</v>
      </c>
      <c r="T1604" s="1077">
        <v>29.1</v>
      </c>
      <c r="U1604" s="1077">
        <v>3.4</v>
      </c>
      <c r="V1604" s="1077" t="s">
        <v>648</v>
      </c>
      <c r="W1604" s="1077">
        <v>100</v>
      </c>
      <c r="X1604" s="1077">
        <v>60</v>
      </c>
      <c r="Y1604" s="1077">
        <v>1.5</v>
      </c>
      <c r="Z1604" s="1077" t="s">
        <v>648</v>
      </c>
      <c r="AA1604" s="1077" t="s">
        <v>1404</v>
      </c>
      <c r="AH1604" s="1077" t="s">
        <v>647</v>
      </c>
      <c r="AM1604" s="1078" t="s">
        <v>12218</v>
      </c>
      <c r="AN1604" s="1078" t="s">
        <v>12219</v>
      </c>
      <c r="AO1604" s="1078">
        <f t="shared" si="198"/>
        <v>700</v>
      </c>
      <c r="AP1604" s="1078">
        <f t="shared" si="199"/>
        <v>1.7450000000000001</v>
      </c>
      <c r="AQ1604" s="1078" t="str">
        <f t="shared" si="200"/>
        <v>1-4-1S85°Z+S</v>
      </c>
      <c r="AR1604" s="1078" t="str">
        <f t="shared" si="201"/>
        <v>NA</v>
      </c>
      <c r="AS1604" s="1078" t="str">
        <f t="shared" si="202"/>
        <v>192/OFF</v>
      </c>
      <c r="AT1604" s="1078" t="str">
        <f t="shared" si="203"/>
        <v>1-4-1S85°Z+S</v>
      </c>
      <c r="AU1604" s="1078" t="s">
        <v>15547</v>
      </c>
      <c r="AV1604" s="1078" t="str">
        <f t="shared" si="204"/>
        <v>110.5.31</v>
      </c>
      <c r="AW1604" s="1344">
        <f t="shared" si="205"/>
        <v>44347</v>
      </c>
    </row>
    <row r="1605" spans="1:49">
      <c r="A1605" s="1077" t="s">
        <v>5347</v>
      </c>
      <c r="B1605" s="1077" t="s">
        <v>5148</v>
      </c>
      <c r="C1605" s="1077">
        <v>650</v>
      </c>
      <c r="D1605" s="1077">
        <v>1.76</v>
      </c>
      <c r="E1605" s="1077" t="s">
        <v>15094</v>
      </c>
      <c r="F1605" s="1077" t="s">
        <v>975</v>
      </c>
      <c r="G1605" s="1077" t="s">
        <v>5348</v>
      </c>
      <c r="H1605" s="1077" t="s">
        <v>5305</v>
      </c>
      <c r="I1605" s="1077" t="s">
        <v>126</v>
      </c>
      <c r="J1605" s="1077">
        <v>2.5</v>
      </c>
      <c r="K1605" s="1077" t="s">
        <v>5151</v>
      </c>
      <c r="L1605" s="1077" t="s">
        <v>5152</v>
      </c>
      <c r="M1605" s="1077">
        <v>148.6</v>
      </c>
      <c r="N1605" s="1077" t="s">
        <v>945</v>
      </c>
      <c r="O1605" s="1077">
        <v>3.7149999999999999</v>
      </c>
      <c r="P1605" s="1077">
        <v>2.972</v>
      </c>
      <c r="Q1605" s="1077">
        <v>3.5</v>
      </c>
      <c r="R1605" s="1077">
        <v>20.399999999999999</v>
      </c>
      <c r="T1605" s="1077">
        <v>26</v>
      </c>
      <c r="U1605" s="1077">
        <v>3.7</v>
      </c>
      <c r="V1605" s="1077" t="s">
        <v>648</v>
      </c>
      <c r="W1605" s="1077">
        <v>105</v>
      </c>
      <c r="X1605" s="1077">
        <v>50</v>
      </c>
      <c r="Y1605" s="1077">
        <v>2</v>
      </c>
      <c r="Z1605" s="1077">
        <v>6.5</v>
      </c>
      <c r="AA1605" s="1077" t="s">
        <v>3965</v>
      </c>
      <c r="AH1605" s="1077" t="s">
        <v>712</v>
      </c>
      <c r="AM1605" s="1078" t="s">
        <v>12086</v>
      </c>
      <c r="AN1605" s="1078" t="s">
        <v>12087</v>
      </c>
      <c r="AO1605" s="1078">
        <f t="shared" si="198"/>
        <v>650</v>
      </c>
      <c r="AP1605" s="1078">
        <f t="shared" si="199"/>
        <v>1.76</v>
      </c>
      <c r="AQ1605" s="1078" t="str">
        <f t="shared" si="200"/>
        <v>1-5-1S91°</v>
      </c>
      <c r="AR1605" s="1078" t="str">
        <f t="shared" si="201"/>
        <v>31.5</v>
      </c>
      <c r="AS1605" s="1078" t="str">
        <f t="shared" si="202"/>
        <v>350/320/OFF</v>
      </c>
      <c r="AT1605" s="1078" t="str">
        <f t="shared" si="203"/>
        <v>1-5-1S91°</v>
      </c>
      <c r="AV1605" s="1078" t="str">
        <f t="shared" si="204"/>
        <v>110.11.5</v>
      </c>
      <c r="AW1605" s="1344">
        <f t="shared" si="205"/>
        <v>44505</v>
      </c>
    </row>
    <row r="1606" spans="1:49">
      <c r="A1606" s="1077" t="s">
        <v>5507</v>
      </c>
      <c r="B1606" s="1077" t="s">
        <v>210</v>
      </c>
      <c r="C1606" s="1077">
        <v>700</v>
      </c>
      <c r="D1606" s="1077">
        <v>1.75</v>
      </c>
      <c r="E1606" s="1077" t="s">
        <v>15094</v>
      </c>
      <c r="F1606" s="1077" t="s">
        <v>984</v>
      </c>
      <c r="G1606" s="1077">
        <v>5</v>
      </c>
      <c r="H1606" s="1077" t="s">
        <v>5300</v>
      </c>
      <c r="I1606" s="1077" t="s">
        <v>126</v>
      </c>
      <c r="J1606" s="1077">
        <v>0.8</v>
      </c>
      <c r="K1606" s="1077" t="s">
        <v>5166</v>
      </c>
      <c r="L1606" s="1077" t="s">
        <v>4666</v>
      </c>
      <c r="M1606" s="1077">
        <v>151.5</v>
      </c>
      <c r="N1606" s="1077" t="s">
        <v>945</v>
      </c>
      <c r="O1606" s="1077">
        <v>3.7875000000000001</v>
      </c>
      <c r="P1606" s="1077">
        <v>3.0300000000000002</v>
      </c>
      <c r="Q1606" s="1077">
        <v>4</v>
      </c>
      <c r="R1606" s="1077">
        <v>19.100000000000001</v>
      </c>
      <c r="T1606" s="1077">
        <v>23.7</v>
      </c>
      <c r="U1606" s="1077">
        <v>3.2</v>
      </c>
      <c r="V1606" s="1077" t="s">
        <v>648</v>
      </c>
      <c r="W1606" s="1077">
        <v>35</v>
      </c>
      <c r="X1606" s="1077">
        <v>10</v>
      </c>
      <c r="Y1606" s="1077">
        <v>1</v>
      </c>
      <c r="Z1606" s="1077">
        <v>6</v>
      </c>
      <c r="AA1606" s="1077" t="s">
        <v>5508</v>
      </c>
      <c r="AB1606" s="1077" t="s">
        <v>5509</v>
      </c>
      <c r="AH1606" s="1077" t="s">
        <v>1221</v>
      </c>
      <c r="AM1606" s="1078" t="s">
        <v>12220</v>
      </c>
      <c r="AN1606" s="1078" t="s">
        <v>12221</v>
      </c>
      <c r="AO1606" s="1078">
        <f t="shared" si="198"/>
        <v>700</v>
      </c>
      <c r="AP1606" s="1078">
        <f t="shared" si="199"/>
        <v>1.75</v>
      </c>
      <c r="AQ1606" s="1078" t="str">
        <f t="shared" si="200"/>
        <v>1-5-1S91°</v>
      </c>
      <c r="AR1606" s="1078" t="str">
        <f t="shared" si="201"/>
        <v>30</v>
      </c>
      <c r="AS1606" s="1078" t="str">
        <f t="shared" si="202"/>
        <v>370/330/155</v>
      </c>
      <c r="AT1606" s="1078" t="str">
        <f t="shared" si="203"/>
        <v>1-5-1S91°</v>
      </c>
      <c r="AV1606" s="1078" t="str">
        <f t="shared" si="204"/>
        <v>110.7.23</v>
      </c>
      <c r="AW1606" s="1344">
        <f t="shared" si="205"/>
        <v>44400</v>
      </c>
    </row>
    <row r="1607" spans="1:49">
      <c r="A1607" s="1077" t="s">
        <v>5510</v>
      </c>
      <c r="B1607" s="1077" t="s">
        <v>5511</v>
      </c>
      <c r="C1607" s="1077">
        <v>500</v>
      </c>
      <c r="D1607" s="1077">
        <v>1.7</v>
      </c>
      <c r="E1607" s="1077" t="s">
        <v>15116</v>
      </c>
      <c r="F1607" s="1077" t="s">
        <v>954</v>
      </c>
      <c r="G1607" s="1077">
        <v>3</v>
      </c>
      <c r="H1607" s="1077" t="s">
        <v>1145</v>
      </c>
      <c r="I1607" s="1077" t="s">
        <v>4071</v>
      </c>
      <c r="J1607" s="1077">
        <v>2</v>
      </c>
      <c r="K1607" s="1077" t="s">
        <v>5512</v>
      </c>
      <c r="L1607" s="1077" t="s">
        <v>5513</v>
      </c>
      <c r="M1607" s="1077">
        <v>155.80000000000001</v>
      </c>
      <c r="N1607" s="1077" t="s">
        <v>945</v>
      </c>
      <c r="O1607" s="1077">
        <v>3.8950000000000005</v>
      </c>
      <c r="P1607" s="1077">
        <v>3.1160000000000001</v>
      </c>
      <c r="Q1607" s="1077" t="s">
        <v>1001</v>
      </c>
      <c r="R1607" s="1077">
        <v>22.5</v>
      </c>
      <c r="T1607" s="1077">
        <v>18</v>
      </c>
      <c r="U1607" s="1077">
        <v>4.7</v>
      </c>
      <c r="V1607" s="1077" t="s">
        <v>648</v>
      </c>
      <c r="W1607" s="1077">
        <v>95</v>
      </c>
      <c r="X1607" s="1077">
        <v>90</v>
      </c>
      <c r="Y1607" s="1077">
        <v>2</v>
      </c>
      <c r="Z1607" s="1077" t="s">
        <v>648</v>
      </c>
      <c r="AA1607" s="1077" t="s">
        <v>5346</v>
      </c>
      <c r="AH1607" s="1077" t="s">
        <v>884</v>
      </c>
      <c r="AM1607" s="1078" t="s">
        <v>12222</v>
      </c>
      <c r="AN1607" s="1078" t="s">
        <v>12223</v>
      </c>
      <c r="AO1607" s="1078">
        <f t="shared" si="198"/>
        <v>500</v>
      </c>
      <c r="AP1607" s="1078">
        <f t="shared" si="199"/>
        <v>1.7</v>
      </c>
      <c r="AQ1607" s="1078" t="str">
        <f t="shared" si="200"/>
        <v>1-5-1S83°Z+S</v>
      </c>
      <c r="AR1607" s="1078" t="str">
        <f t="shared" si="201"/>
        <v>31</v>
      </c>
      <c r="AS1607" s="1078" t="str">
        <f t="shared" si="202"/>
        <v>235/235/OFF</v>
      </c>
      <c r="AT1607" s="1078" t="str">
        <f t="shared" si="203"/>
        <v>1-5-1S83°Z+S</v>
      </c>
      <c r="AU1607" s="1078" t="s">
        <v>15547</v>
      </c>
      <c r="AV1607" s="1078" t="str">
        <f t="shared" si="204"/>
        <v>110.9.27</v>
      </c>
      <c r="AW1607" s="1344">
        <f t="shared" si="205"/>
        <v>44466</v>
      </c>
    </row>
    <row r="1608" spans="1:49">
      <c r="A1608" s="1077" t="s">
        <v>5514</v>
      </c>
      <c r="B1608" s="1077" t="s">
        <v>5515</v>
      </c>
      <c r="C1608" s="1077">
        <v>550</v>
      </c>
      <c r="D1608" s="1077">
        <v>1.73</v>
      </c>
      <c r="E1608" s="1077" t="s">
        <v>15116</v>
      </c>
      <c r="F1608" s="1077" t="s">
        <v>1514</v>
      </c>
      <c r="G1608" s="1077">
        <v>4</v>
      </c>
      <c r="H1608" s="1077" t="s">
        <v>5341</v>
      </c>
      <c r="I1608" s="1077" t="s">
        <v>126</v>
      </c>
      <c r="J1608" s="1077">
        <v>1.3</v>
      </c>
      <c r="K1608" s="1077" t="s">
        <v>5516</v>
      </c>
      <c r="L1608" s="1077" t="s">
        <v>3441</v>
      </c>
      <c r="M1608" s="1077">
        <v>159.5</v>
      </c>
      <c r="N1608" s="1077" t="s">
        <v>945</v>
      </c>
      <c r="O1608" s="1077">
        <v>3.9875000000000003</v>
      </c>
      <c r="P1608" s="1077">
        <v>3.19</v>
      </c>
      <c r="Q1608" s="1077">
        <v>3</v>
      </c>
      <c r="R1608" s="1077">
        <v>33</v>
      </c>
      <c r="T1608" s="1077">
        <v>11.7</v>
      </c>
      <c r="U1608" s="1077">
        <v>6.3</v>
      </c>
      <c r="V1608" s="1077" t="s">
        <v>648</v>
      </c>
      <c r="W1608" s="1077">
        <v>135</v>
      </c>
      <c r="X1608" s="1077">
        <v>85</v>
      </c>
      <c r="Y1608" s="1077">
        <v>1.4</v>
      </c>
      <c r="Z1608" s="1077" t="s">
        <v>648</v>
      </c>
      <c r="AA1608" s="1077" t="s">
        <v>1443</v>
      </c>
      <c r="AH1608" s="1077" t="s">
        <v>1448</v>
      </c>
      <c r="AM1608" s="1078" t="s">
        <v>12224</v>
      </c>
      <c r="AN1608" s="1078" t="s">
        <v>12225</v>
      </c>
      <c r="AO1608" s="1078">
        <f t="shared" si="198"/>
        <v>550</v>
      </c>
      <c r="AP1608" s="1078">
        <f t="shared" si="199"/>
        <v>1.73</v>
      </c>
      <c r="AQ1608" s="1078" t="str">
        <f t="shared" si="200"/>
        <v>1-5-1S83°Z+S</v>
      </c>
      <c r="AR1608" s="1078" t="str">
        <f t="shared" si="201"/>
        <v>32</v>
      </c>
      <c r="AS1608" s="1078" t="str">
        <f t="shared" si="202"/>
        <v>202/202/OFF</v>
      </c>
      <c r="AT1608" s="1078" t="str">
        <f t="shared" si="203"/>
        <v>1-5-1S83°Z+S</v>
      </c>
      <c r="AU1608" s="1078" t="s">
        <v>15547</v>
      </c>
      <c r="AV1608" s="1078" t="str">
        <f t="shared" si="204"/>
        <v>110.11.8</v>
      </c>
      <c r="AW1608" s="1344">
        <f t="shared" si="205"/>
        <v>44508</v>
      </c>
    </row>
    <row r="1609" spans="1:49">
      <c r="A1609" s="1077" t="s">
        <v>5517</v>
      </c>
      <c r="B1609" s="1077" t="s">
        <v>5148</v>
      </c>
      <c r="C1609" s="1077">
        <v>650</v>
      </c>
      <c r="D1609" s="1077">
        <v>1.74</v>
      </c>
      <c r="E1609" s="1077" t="s">
        <v>15094</v>
      </c>
      <c r="F1609" s="1077" t="s">
        <v>984</v>
      </c>
      <c r="G1609" s="1077">
        <v>5</v>
      </c>
      <c r="H1609" s="1077" t="s">
        <v>5518</v>
      </c>
      <c r="I1609" s="1077" t="s">
        <v>648</v>
      </c>
      <c r="J1609" s="1077">
        <v>0</v>
      </c>
      <c r="K1609" s="1077" t="s">
        <v>5298</v>
      </c>
      <c r="L1609" s="1077" t="s">
        <v>5152</v>
      </c>
      <c r="M1609" s="1077">
        <v>149.9</v>
      </c>
      <c r="N1609" s="1077" t="s">
        <v>945</v>
      </c>
      <c r="O1609" s="1077">
        <v>3.7475000000000005</v>
      </c>
      <c r="P1609" s="1077">
        <v>2.9980000000000002</v>
      </c>
      <c r="Q1609" s="1077">
        <v>4</v>
      </c>
      <c r="R1609" s="1077">
        <v>24</v>
      </c>
      <c r="T1609" s="1077">
        <v>17</v>
      </c>
      <c r="U1609" s="1077">
        <v>2.6</v>
      </c>
      <c r="V1609" s="1077" t="s">
        <v>648</v>
      </c>
      <c r="W1609" s="1077" t="s">
        <v>648</v>
      </c>
      <c r="X1609" s="1077" t="s">
        <v>648</v>
      </c>
      <c r="Y1609" s="1077">
        <v>1</v>
      </c>
      <c r="Z1609" s="1077">
        <v>4.5</v>
      </c>
      <c r="AA1609" s="1077" t="s">
        <v>2023</v>
      </c>
      <c r="AH1609" s="1077" t="s">
        <v>838</v>
      </c>
      <c r="AM1609" s="1078" t="s">
        <v>12226</v>
      </c>
      <c r="AN1609" s="1078" t="s">
        <v>12227</v>
      </c>
      <c r="AO1609" s="1078">
        <f t="shared" si="198"/>
        <v>650</v>
      </c>
      <c r="AP1609" s="1078">
        <f t="shared" si="199"/>
        <v>1.74</v>
      </c>
      <c r="AQ1609" s="1078" t="str">
        <f t="shared" si="200"/>
        <v>1-5-1S91°</v>
      </c>
      <c r="AR1609" s="1078" t="str">
        <f t="shared" si="201"/>
        <v>30</v>
      </c>
      <c r="AS1609" s="1078" t="str">
        <f t="shared" si="202"/>
        <v>340/300/160</v>
      </c>
      <c r="AT1609" s="1078" t="str">
        <f t="shared" si="203"/>
        <v>1-5-1S91°</v>
      </c>
      <c r="AV1609" s="1078" t="str">
        <f t="shared" si="204"/>
        <v>111.3.31</v>
      </c>
      <c r="AW1609" s="1344">
        <f t="shared" si="205"/>
        <v>44651</v>
      </c>
    </row>
    <row r="1610" spans="1:49">
      <c r="A1610" s="1077" t="s">
        <v>5519</v>
      </c>
      <c r="B1610" s="1077" t="s">
        <v>5520</v>
      </c>
      <c r="C1610" s="1077">
        <v>600</v>
      </c>
      <c r="D1610" s="1077">
        <v>1.7250000000000001</v>
      </c>
      <c r="E1610" s="1077" t="s">
        <v>15104</v>
      </c>
      <c r="F1610" s="1077" t="s">
        <v>648</v>
      </c>
      <c r="G1610" s="1077">
        <v>5</v>
      </c>
      <c r="H1610" s="1077" t="s">
        <v>2192</v>
      </c>
      <c r="I1610" s="1077" t="s">
        <v>126</v>
      </c>
      <c r="J1610" s="1077">
        <v>1.4</v>
      </c>
      <c r="K1610" s="1077" t="s">
        <v>5521</v>
      </c>
      <c r="L1610" s="1077" t="s">
        <v>2104</v>
      </c>
      <c r="M1610" s="1077">
        <v>148</v>
      </c>
      <c r="N1610" s="1077" t="s">
        <v>945</v>
      </c>
      <c r="O1610" s="1077">
        <v>3.7</v>
      </c>
      <c r="P1610" s="1077">
        <v>2.96</v>
      </c>
      <c r="Q1610" s="1077">
        <v>4</v>
      </c>
      <c r="R1610" s="1077">
        <v>20.8</v>
      </c>
      <c r="T1610" s="1077">
        <v>20.399999999999999</v>
      </c>
      <c r="U1610" s="1077">
        <v>3.8</v>
      </c>
      <c r="V1610" s="1077" t="s">
        <v>648</v>
      </c>
      <c r="W1610" s="1077">
        <v>110</v>
      </c>
      <c r="X1610" s="1077">
        <v>60</v>
      </c>
      <c r="Y1610" s="1077">
        <v>1.7</v>
      </c>
      <c r="Z1610" s="1077" t="s">
        <v>648</v>
      </c>
      <c r="AA1610" s="1077" t="s">
        <v>2026</v>
      </c>
      <c r="AH1610" s="1077" t="s">
        <v>783</v>
      </c>
      <c r="AM1610" s="1078" t="s">
        <v>12228</v>
      </c>
      <c r="AN1610" s="1078" t="s">
        <v>12229</v>
      </c>
      <c r="AO1610" s="1078">
        <f t="shared" si="198"/>
        <v>600</v>
      </c>
      <c r="AP1610" s="1078">
        <f t="shared" si="199"/>
        <v>1.7250000000000001</v>
      </c>
      <c r="AQ1610" s="1078" t="str">
        <f t="shared" si="200"/>
        <v>1-4-1S85°Z+S</v>
      </c>
      <c r="AR1610" s="1078" t="str">
        <f t="shared" si="201"/>
        <v>NA</v>
      </c>
      <c r="AS1610" s="1078" t="str">
        <f t="shared" si="202"/>
        <v>180/OFF</v>
      </c>
      <c r="AT1610" s="1078" t="str">
        <f t="shared" si="203"/>
        <v>1-4-1S85°Z+S</v>
      </c>
      <c r="AU1610" s="1078" t="s">
        <v>15547</v>
      </c>
      <c r="AV1610" s="1078" t="str">
        <f t="shared" si="204"/>
        <v>111.4.6</v>
      </c>
      <c r="AW1610" s="1344">
        <f t="shared" si="205"/>
        <v>44657</v>
      </c>
    </row>
    <row r="1611" spans="1:49">
      <c r="A1611" s="1077" t="s">
        <v>5522</v>
      </c>
      <c r="B1611" s="1077" t="s">
        <v>5148</v>
      </c>
      <c r="C1611" s="1077">
        <v>600</v>
      </c>
      <c r="D1611" s="1077">
        <v>1.78</v>
      </c>
      <c r="E1611" s="1077" t="s">
        <v>15090</v>
      </c>
      <c r="F1611" s="1077" t="s">
        <v>648</v>
      </c>
      <c r="G1611" s="1077">
        <v>2</v>
      </c>
      <c r="H1611" s="1077" t="s">
        <v>5424</v>
      </c>
      <c r="I1611" s="1077" t="s">
        <v>126</v>
      </c>
      <c r="J1611" s="1077">
        <v>2</v>
      </c>
      <c r="K1611" s="1077" t="s">
        <v>5425</v>
      </c>
      <c r="L1611" s="1077" t="s">
        <v>5152</v>
      </c>
      <c r="M1611" s="1077">
        <v>150</v>
      </c>
      <c r="N1611" s="1077" t="s">
        <v>945</v>
      </c>
      <c r="O1611" s="1077">
        <v>3.75</v>
      </c>
      <c r="P1611" s="1077">
        <v>3</v>
      </c>
      <c r="Q1611" s="1077">
        <v>4</v>
      </c>
      <c r="R1611" s="1077">
        <v>21.5</v>
      </c>
      <c r="T1611" s="1077">
        <v>21</v>
      </c>
      <c r="U1611" s="1077">
        <v>2.2999999999999998</v>
      </c>
      <c r="V1611" s="1077" t="s">
        <v>648</v>
      </c>
      <c r="W1611" s="1077">
        <v>130</v>
      </c>
      <c r="X1611" s="1077">
        <v>85</v>
      </c>
      <c r="Y1611" s="1077">
        <v>1.2</v>
      </c>
      <c r="Z1611" s="1077">
        <v>5.5</v>
      </c>
      <c r="AA1611" s="1077" t="s">
        <v>1477</v>
      </c>
      <c r="AH1611" s="1077" t="s">
        <v>5523</v>
      </c>
      <c r="AM1611" s="1078" t="s">
        <v>12230</v>
      </c>
      <c r="AN1611" s="1078" t="s">
        <v>12231</v>
      </c>
      <c r="AO1611" s="1078">
        <f t="shared" ref="AO1611:AO1674" si="206">C1611</f>
        <v>600</v>
      </c>
      <c r="AP1611" s="1078">
        <f t="shared" ref="AP1611:AP1674" si="207">D1611</f>
        <v>1.78</v>
      </c>
      <c r="AQ1611" s="1078" t="str">
        <f t="shared" ref="AQ1611:AQ1674" si="208">E1611</f>
        <v>1-5-1S85°</v>
      </c>
      <c r="AR1611" s="1078" t="str">
        <f t="shared" ref="AR1611:AR1674" si="209">F1611</f>
        <v>NA</v>
      </c>
      <c r="AS1611" s="1078" t="str">
        <f t="shared" ref="AS1611:AS1674" si="210">H1611</f>
        <v>200/175</v>
      </c>
      <c r="AT1611" s="1078" t="str">
        <f t="shared" ref="AT1611:AT1674" si="211">E1611</f>
        <v>1-5-1S85°</v>
      </c>
      <c r="AV1611" s="1078" t="str">
        <f t="shared" si="204"/>
        <v>111.4.8</v>
      </c>
      <c r="AW1611" s="1344">
        <f t="shared" si="205"/>
        <v>44659</v>
      </c>
    </row>
    <row r="1612" spans="1:49">
      <c r="A1612" s="1077" t="s">
        <v>5524</v>
      </c>
      <c r="B1612" s="1077" t="s">
        <v>210</v>
      </c>
      <c r="C1612" s="1077">
        <v>600</v>
      </c>
      <c r="D1612" s="1077">
        <v>1.75</v>
      </c>
      <c r="E1612" s="1077" t="s">
        <v>15094</v>
      </c>
      <c r="F1612" s="1077" t="s">
        <v>984</v>
      </c>
      <c r="G1612" s="1077">
        <v>5</v>
      </c>
      <c r="H1612" s="1077" t="s">
        <v>5525</v>
      </c>
      <c r="I1612" s="1077" t="s">
        <v>648</v>
      </c>
      <c r="J1612" s="1077">
        <v>0</v>
      </c>
      <c r="K1612" s="1077" t="s">
        <v>5526</v>
      </c>
      <c r="L1612" s="1077" t="s">
        <v>4666</v>
      </c>
      <c r="M1612" s="1077">
        <v>151.5</v>
      </c>
      <c r="N1612" s="1077" t="s">
        <v>945</v>
      </c>
      <c r="O1612" s="1077">
        <v>3.7875000000000001</v>
      </c>
      <c r="P1612" s="1077">
        <v>3.0300000000000002</v>
      </c>
      <c r="Q1612" s="1077">
        <v>4</v>
      </c>
      <c r="R1612" s="1077">
        <v>19.100000000000001</v>
      </c>
      <c r="T1612" s="1077">
        <v>19</v>
      </c>
      <c r="U1612" s="1077">
        <v>2.5</v>
      </c>
      <c r="V1612" s="1077" t="s">
        <v>648</v>
      </c>
      <c r="W1612" s="1077" t="s">
        <v>648</v>
      </c>
      <c r="X1612" s="1077" t="s">
        <v>648</v>
      </c>
      <c r="Y1612" s="1077">
        <v>1</v>
      </c>
      <c r="Z1612" s="1077">
        <v>5</v>
      </c>
      <c r="AA1612" s="1077" t="s">
        <v>2029</v>
      </c>
      <c r="AH1612" s="1077" t="s">
        <v>1137</v>
      </c>
      <c r="AM1612" s="1078" t="s">
        <v>12232</v>
      </c>
      <c r="AN1612" s="1078" t="s">
        <v>12233</v>
      </c>
      <c r="AO1612" s="1078">
        <f t="shared" si="206"/>
        <v>600</v>
      </c>
      <c r="AP1612" s="1078">
        <f t="shared" si="207"/>
        <v>1.75</v>
      </c>
      <c r="AQ1612" s="1078" t="str">
        <f t="shared" si="208"/>
        <v>1-5-1S91°</v>
      </c>
      <c r="AR1612" s="1078" t="str">
        <f t="shared" si="209"/>
        <v>30</v>
      </c>
      <c r="AS1612" s="1078" t="str">
        <f t="shared" si="210"/>
        <v>345/305/145</v>
      </c>
      <c r="AT1612" s="1078" t="str">
        <f t="shared" si="211"/>
        <v>1-5-1S91°</v>
      </c>
      <c r="AV1612" s="1078" t="str">
        <f t="shared" si="204"/>
        <v>111.4.7</v>
      </c>
      <c r="AW1612" s="1344">
        <f t="shared" si="205"/>
        <v>44658</v>
      </c>
    </row>
    <row r="1613" spans="1:49">
      <c r="A1613" s="1077" t="s">
        <v>5527</v>
      </c>
      <c r="B1613" s="1077" t="s">
        <v>5148</v>
      </c>
      <c r="C1613" s="1077">
        <v>650</v>
      </c>
      <c r="D1613" s="1077">
        <v>1.7350000000000001</v>
      </c>
      <c r="E1613" s="1077" t="s">
        <v>15102</v>
      </c>
      <c r="F1613" s="1077" t="s">
        <v>984</v>
      </c>
      <c r="G1613" s="1077">
        <v>5</v>
      </c>
      <c r="H1613" s="1077" t="s">
        <v>4773</v>
      </c>
      <c r="I1613" s="1077" t="s">
        <v>460</v>
      </c>
      <c r="J1613" s="1077">
        <v>2</v>
      </c>
      <c r="K1613" s="1077" t="s">
        <v>5298</v>
      </c>
      <c r="L1613" s="1077" t="s">
        <v>5152</v>
      </c>
      <c r="M1613" s="1077">
        <v>148.6</v>
      </c>
      <c r="N1613" s="1077" t="s">
        <v>945</v>
      </c>
      <c r="O1613" s="1077">
        <v>3.7149999999999999</v>
      </c>
      <c r="P1613" s="1077">
        <v>2.972</v>
      </c>
      <c r="Q1613" s="1077">
        <v>3.5</v>
      </c>
      <c r="R1613" s="1077">
        <v>20.399999999999999</v>
      </c>
      <c r="T1613" s="1077">
        <v>26</v>
      </c>
      <c r="U1613" s="1077">
        <v>3.7</v>
      </c>
      <c r="V1613" s="1077" t="s">
        <v>648</v>
      </c>
      <c r="W1613" s="1077">
        <v>105</v>
      </c>
      <c r="X1613" s="1077">
        <v>50</v>
      </c>
      <c r="Y1613" s="1077">
        <v>2</v>
      </c>
      <c r="Z1613" s="1077">
        <v>6.5</v>
      </c>
      <c r="AA1613" s="1077" t="s">
        <v>2029</v>
      </c>
      <c r="AH1613" s="1077" t="s">
        <v>1827</v>
      </c>
      <c r="AM1613" s="1078" t="s">
        <v>12234</v>
      </c>
      <c r="AN1613" s="1078" t="s">
        <v>12235</v>
      </c>
      <c r="AO1613" s="1078">
        <f t="shared" si="206"/>
        <v>650</v>
      </c>
      <c r="AP1613" s="1078">
        <f t="shared" si="207"/>
        <v>1.7350000000000001</v>
      </c>
      <c r="AQ1613" s="1078" t="str">
        <f t="shared" si="208"/>
        <v>2-6-1S83°</v>
      </c>
      <c r="AR1613" s="1078" t="str">
        <f t="shared" si="209"/>
        <v>30</v>
      </c>
      <c r="AS1613" s="1078" t="str">
        <f t="shared" si="210"/>
        <v>176/OFF</v>
      </c>
      <c r="AT1613" s="1078" t="str">
        <f t="shared" si="211"/>
        <v>2-6-1S83°</v>
      </c>
      <c r="AV1613" s="1078" t="str">
        <f t="shared" si="204"/>
        <v>111.4.7</v>
      </c>
      <c r="AW1613" s="1344">
        <f t="shared" si="205"/>
        <v>44658</v>
      </c>
    </row>
    <row r="1614" spans="1:49">
      <c r="A1614" s="1077" t="s">
        <v>5528</v>
      </c>
      <c r="B1614" s="1077" t="s">
        <v>4767</v>
      </c>
      <c r="C1614" s="1077">
        <v>600</v>
      </c>
      <c r="D1614" s="1077">
        <v>1.72</v>
      </c>
      <c r="E1614" s="1077" t="s">
        <v>15109</v>
      </c>
      <c r="F1614" s="1077" t="s">
        <v>648</v>
      </c>
      <c r="G1614" s="1077">
        <v>5</v>
      </c>
      <c r="H1614" s="1077" t="s">
        <v>4776</v>
      </c>
      <c r="I1614" s="1077" t="s">
        <v>126</v>
      </c>
      <c r="J1614" s="1077">
        <v>1.3</v>
      </c>
      <c r="K1614" s="1077" t="s">
        <v>5529</v>
      </c>
      <c r="L1614" s="1077" t="s">
        <v>1776</v>
      </c>
      <c r="M1614" s="1077">
        <v>148</v>
      </c>
      <c r="N1614" s="1077" t="s">
        <v>945</v>
      </c>
      <c r="O1614" s="1077">
        <v>3.7</v>
      </c>
      <c r="P1614" s="1077">
        <v>2.96</v>
      </c>
      <c r="Q1614" s="1077">
        <v>4</v>
      </c>
      <c r="R1614" s="1077">
        <v>20.8</v>
      </c>
      <c r="T1614" s="1077">
        <v>20.399999999999999</v>
      </c>
      <c r="U1614" s="1077">
        <v>3.8</v>
      </c>
      <c r="V1614" s="1077" t="s">
        <v>648</v>
      </c>
      <c r="W1614" s="1077">
        <v>110</v>
      </c>
      <c r="X1614" s="1077">
        <v>60</v>
      </c>
      <c r="Y1614" s="1077">
        <v>1.7</v>
      </c>
      <c r="Z1614" s="1077" t="s">
        <v>648</v>
      </c>
      <c r="AA1614" s="1077" t="s">
        <v>5530</v>
      </c>
      <c r="AB1614" s="1077" t="s">
        <v>981</v>
      </c>
      <c r="AH1614" s="1077" t="s">
        <v>831</v>
      </c>
      <c r="AM1614" s="1078" t="s">
        <v>12236</v>
      </c>
      <c r="AN1614" s="1078" t="s">
        <v>12237</v>
      </c>
      <c r="AO1614" s="1078">
        <f t="shared" si="206"/>
        <v>600</v>
      </c>
      <c r="AP1614" s="1078">
        <f t="shared" si="207"/>
        <v>1.72</v>
      </c>
      <c r="AQ1614" s="1078" t="str">
        <f t="shared" si="208"/>
        <v>1-5-1S85°Z+S</v>
      </c>
      <c r="AR1614" s="1078" t="str">
        <f t="shared" si="209"/>
        <v>NA</v>
      </c>
      <c r="AS1614" s="1078" t="str">
        <f t="shared" si="210"/>
        <v>178/OFF</v>
      </c>
      <c r="AT1614" s="1078" t="str">
        <f t="shared" si="211"/>
        <v>1-5-1S85°Z+S</v>
      </c>
      <c r="AU1614" s="1078" t="s">
        <v>15547</v>
      </c>
      <c r="AV1614" s="1078" t="str">
        <f t="shared" si="204"/>
        <v>111.4.15</v>
      </c>
      <c r="AW1614" s="1344">
        <f t="shared" si="205"/>
        <v>44666</v>
      </c>
    </row>
    <row r="1615" spans="1:49">
      <c r="A1615" s="1077" t="s">
        <v>5531</v>
      </c>
      <c r="B1615" s="1077" t="s">
        <v>4860</v>
      </c>
      <c r="C1615" s="1077">
        <v>600</v>
      </c>
      <c r="D1615" s="1077">
        <v>1.77</v>
      </c>
      <c r="E1615" s="1077" t="s">
        <v>15104</v>
      </c>
      <c r="F1615" s="1077" t="s">
        <v>648</v>
      </c>
      <c r="G1615" s="1077">
        <v>5</v>
      </c>
      <c r="H1615" s="1077" t="s">
        <v>3356</v>
      </c>
      <c r="I1615" s="1077" t="s">
        <v>460</v>
      </c>
      <c r="J1615" s="1077">
        <v>1.9</v>
      </c>
      <c r="K1615" s="1077" t="s">
        <v>5532</v>
      </c>
      <c r="L1615" s="1077" t="s">
        <v>4864</v>
      </c>
      <c r="M1615" s="1077">
        <v>149.5</v>
      </c>
      <c r="N1615" s="1077" t="s">
        <v>945</v>
      </c>
      <c r="O1615" s="1077">
        <v>3.7375000000000003</v>
      </c>
      <c r="P1615" s="1077">
        <v>2.99</v>
      </c>
      <c r="Q1615" s="1077">
        <v>4</v>
      </c>
      <c r="R1615" s="1077">
        <v>21</v>
      </c>
      <c r="T1615" s="1077">
        <v>37</v>
      </c>
      <c r="U1615" s="1077">
        <v>3.7</v>
      </c>
      <c r="V1615" s="1077" t="s">
        <v>648</v>
      </c>
      <c r="W1615" s="1077">
        <v>110</v>
      </c>
      <c r="X1615" s="1077">
        <v>40</v>
      </c>
      <c r="Y1615" s="1077">
        <v>2.2000000000000002</v>
      </c>
      <c r="Z1615" s="1077" t="s">
        <v>648</v>
      </c>
      <c r="AA1615" s="1077" t="s">
        <v>5530</v>
      </c>
      <c r="AH1615" s="1077" t="s">
        <v>1053</v>
      </c>
      <c r="AM1615" s="1078" t="s">
        <v>12238</v>
      </c>
      <c r="AN1615" s="1078" t="s">
        <v>12239</v>
      </c>
      <c r="AO1615" s="1078">
        <f t="shared" si="206"/>
        <v>600</v>
      </c>
      <c r="AP1615" s="1078">
        <f t="shared" si="207"/>
        <v>1.77</v>
      </c>
      <c r="AQ1615" s="1078" t="str">
        <f t="shared" si="208"/>
        <v>1-4-1S85°Z+S</v>
      </c>
      <c r="AR1615" s="1078" t="str">
        <f t="shared" si="209"/>
        <v>NA</v>
      </c>
      <c r="AS1615" s="1078" t="str">
        <f t="shared" si="210"/>
        <v>182/OFF</v>
      </c>
      <c r="AT1615" s="1078" t="str">
        <f t="shared" si="211"/>
        <v>1-4-1S85°Z+S</v>
      </c>
      <c r="AU1615" s="1078" t="s">
        <v>15547</v>
      </c>
      <c r="AV1615" s="1078" t="str">
        <f t="shared" si="204"/>
        <v>111.4.15</v>
      </c>
      <c r="AW1615" s="1344">
        <f t="shared" si="205"/>
        <v>44666</v>
      </c>
    </row>
    <row r="1616" spans="1:49">
      <c r="A1616" s="1077" t="s">
        <v>5533</v>
      </c>
      <c r="B1616" s="1077" t="s">
        <v>4729</v>
      </c>
      <c r="C1616" s="1077">
        <v>700</v>
      </c>
      <c r="D1616" s="1077">
        <v>1.73</v>
      </c>
      <c r="E1616" s="1077" t="s">
        <v>15111</v>
      </c>
      <c r="F1616" s="1077" t="s">
        <v>984</v>
      </c>
      <c r="G1616" s="1077">
        <v>5</v>
      </c>
      <c r="H1616" s="1077" t="s">
        <v>5432</v>
      </c>
      <c r="I1616" s="1077" t="s">
        <v>126</v>
      </c>
      <c r="J1616" s="1077">
        <v>1.5</v>
      </c>
      <c r="K1616" s="1077" t="s">
        <v>5534</v>
      </c>
      <c r="L1616" s="1077" t="s">
        <v>4731</v>
      </c>
      <c r="M1616" s="1077">
        <v>153</v>
      </c>
      <c r="N1616" s="1077" t="s">
        <v>945</v>
      </c>
      <c r="O1616" s="1077">
        <v>3.8250000000000002</v>
      </c>
      <c r="P1616" s="1077">
        <v>3.06</v>
      </c>
      <c r="Q1616" s="1077">
        <v>4</v>
      </c>
      <c r="R1616" s="1077">
        <v>20.5</v>
      </c>
      <c r="T1616" s="1077">
        <v>11.5</v>
      </c>
      <c r="U1616" s="1077">
        <v>3.7</v>
      </c>
      <c r="V1616" s="1077" t="s">
        <v>648</v>
      </c>
      <c r="W1616" s="1077">
        <v>80</v>
      </c>
      <c r="X1616" s="1077" t="s">
        <v>5535</v>
      </c>
      <c r="Y1616" s="1077">
        <v>1.7</v>
      </c>
      <c r="Z1616" s="1077">
        <v>5</v>
      </c>
      <c r="AA1616" s="1077" t="s">
        <v>5536</v>
      </c>
      <c r="AB1616" s="1077" t="s">
        <v>5537</v>
      </c>
      <c r="AH1616" s="1077" t="s">
        <v>884</v>
      </c>
      <c r="AM1616" s="1078" t="s">
        <v>12240</v>
      </c>
      <c r="AN1616" s="1078" t="s">
        <v>12241</v>
      </c>
      <c r="AO1616" s="1078">
        <f t="shared" si="206"/>
        <v>700</v>
      </c>
      <c r="AP1616" s="1078">
        <f t="shared" si="207"/>
        <v>1.73</v>
      </c>
      <c r="AQ1616" s="1078" t="str">
        <f t="shared" si="208"/>
        <v>1-5-1S91</v>
      </c>
      <c r="AR1616" s="1078" t="str">
        <f t="shared" si="209"/>
        <v>30</v>
      </c>
      <c r="AS1616" s="1078" t="str">
        <f t="shared" si="210"/>
        <v>330/330/170</v>
      </c>
      <c r="AT1616" s="1078" t="str">
        <f t="shared" si="211"/>
        <v>1-5-1S91</v>
      </c>
      <c r="AV1616" s="1078" t="str">
        <f t="shared" si="204"/>
        <v>111.4.18</v>
      </c>
      <c r="AW1616" s="1344">
        <f t="shared" si="205"/>
        <v>44669</v>
      </c>
    </row>
    <row r="1617" spans="1:49">
      <c r="A1617" s="1077" t="s">
        <v>5538</v>
      </c>
      <c r="B1617" s="1077" t="s">
        <v>847</v>
      </c>
      <c r="C1617" s="1077">
        <v>550</v>
      </c>
      <c r="D1617" s="1077">
        <v>1.78</v>
      </c>
      <c r="E1617" s="1077" t="s">
        <v>15111</v>
      </c>
      <c r="F1617" s="1077" t="s">
        <v>975</v>
      </c>
      <c r="G1617" s="1077">
        <v>5</v>
      </c>
      <c r="H1617" s="1077" t="s">
        <v>4940</v>
      </c>
      <c r="I1617" s="1077" t="s">
        <v>126</v>
      </c>
      <c r="J1617" s="1077">
        <v>2.2999999999999998</v>
      </c>
      <c r="K1617" s="1077" t="s">
        <v>5392</v>
      </c>
      <c r="L1617" s="1077" t="s">
        <v>5037</v>
      </c>
      <c r="M1617" s="1077">
        <v>150</v>
      </c>
      <c r="N1617" s="1077" t="s">
        <v>945</v>
      </c>
      <c r="O1617" s="1077">
        <v>3.75</v>
      </c>
      <c r="P1617" s="1077">
        <v>3</v>
      </c>
      <c r="Q1617" s="1077">
        <v>3.5</v>
      </c>
      <c r="R1617" s="1077">
        <v>21.8</v>
      </c>
      <c r="T1617" s="1077">
        <v>19.5</v>
      </c>
      <c r="U1617" s="1077">
        <v>2.5</v>
      </c>
      <c r="V1617" s="1077" t="s">
        <v>648</v>
      </c>
      <c r="W1617" s="1077">
        <v>110</v>
      </c>
      <c r="X1617" s="1077">
        <v>60</v>
      </c>
      <c r="Y1617" s="1077">
        <v>2.1</v>
      </c>
      <c r="Z1617" s="1077">
        <v>5</v>
      </c>
      <c r="AA1617" s="1077" t="s">
        <v>5536</v>
      </c>
      <c r="AH1617" s="1077" t="s">
        <v>990</v>
      </c>
      <c r="AM1617" s="1078" t="s">
        <v>12242</v>
      </c>
      <c r="AN1617" s="1078" t="s">
        <v>12243</v>
      </c>
      <c r="AO1617" s="1078">
        <f t="shared" si="206"/>
        <v>550</v>
      </c>
      <c r="AP1617" s="1078">
        <f t="shared" si="207"/>
        <v>1.78</v>
      </c>
      <c r="AQ1617" s="1078" t="str">
        <f t="shared" si="208"/>
        <v>1-5-1S91</v>
      </c>
      <c r="AR1617" s="1078" t="str">
        <f t="shared" si="209"/>
        <v>31.5</v>
      </c>
      <c r="AS1617" s="1078" t="str">
        <f t="shared" si="210"/>
        <v>320/320/155</v>
      </c>
      <c r="AT1617" s="1078" t="str">
        <f t="shared" si="211"/>
        <v>1-5-1S91</v>
      </c>
      <c r="AV1617" s="1078" t="str">
        <f t="shared" si="204"/>
        <v>111.4.18</v>
      </c>
      <c r="AW1617" s="1344">
        <f t="shared" si="205"/>
        <v>44669</v>
      </c>
    </row>
    <row r="1618" spans="1:49">
      <c r="A1618" s="1077" t="s">
        <v>5539</v>
      </c>
      <c r="B1618" s="1077" t="s">
        <v>828</v>
      </c>
      <c r="C1618" s="1077">
        <v>700</v>
      </c>
      <c r="D1618" s="1077">
        <v>1.7649999999999999</v>
      </c>
      <c r="E1618" s="1077" t="s">
        <v>15109</v>
      </c>
      <c r="F1618" s="1077" t="s">
        <v>648</v>
      </c>
      <c r="G1618" s="1077">
        <v>5</v>
      </c>
      <c r="H1618" s="1077" t="s">
        <v>2941</v>
      </c>
      <c r="I1618" s="1077" t="s">
        <v>126</v>
      </c>
      <c r="J1618" s="1077">
        <v>1.9</v>
      </c>
      <c r="K1618" s="1077" t="s">
        <v>5540</v>
      </c>
      <c r="L1618" s="1077" t="s">
        <v>1943</v>
      </c>
      <c r="M1618" s="1077">
        <v>150</v>
      </c>
      <c r="N1618" s="1077" t="s">
        <v>945</v>
      </c>
      <c r="O1618" s="1077">
        <v>3.75</v>
      </c>
      <c r="P1618" s="1077">
        <v>3</v>
      </c>
      <c r="Q1618" s="1077">
        <v>4</v>
      </c>
      <c r="R1618" s="1077">
        <v>20.8</v>
      </c>
      <c r="T1618" s="1077">
        <v>29.1</v>
      </c>
      <c r="U1618" s="1077">
        <v>3.4</v>
      </c>
      <c r="V1618" s="1077" t="s">
        <v>648</v>
      </c>
      <c r="W1618" s="1077">
        <v>110</v>
      </c>
      <c r="X1618" s="1077">
        <v>70</v>
      </c>
      <c r="Y1618" s="1077">
        <v>1.5</v>
      </c>
      <c r="Z1618" s="1077" t="s">
        <v>648</v>
      </c>
      <c r="AA1618" s="1077" t="s">
        <v>5536</v>
      </c>
      <c r="AH1618" s="1077" t="s">
        <v>853</v>
      </c>
      <c r="AM1618" s="1078" t="s">
        <v>12244</v>
      </c>
      <c r="AN1618" s="1078" t="s">
        <v>12245</v>
      </c>
      <c r="AO1618" s="1078">
        <f t="shared" si="206"/>
        <v>700</v>
      </c>
      <c r="AP1618" s="1078">
        <f t="shared" si="207"/>
        <v>1.7649999999999999</v>
      </c>
      <c r="AQ1618" s="1078" t="str">
        <f t="shared" si="208"/>
        <v>1-5-1S85°Z+S</v>
      </c>
      <c r="AR1618" s="1078" t="str">
        <f t="shared" si="209"/>
        <v>NA</v>
      </c>
      <c r="AS1618" s="1078" t="str">
        <f t="shared" si="210"/>
        <v>190/OFF</v>
      </c>
      <c r="AT1618" s="1078" t="str">
        <f t="shared" si="211"/>
        <v>1-5-1S85°Z+S</v>
      </c>
      <c r="AU1618" s="1078" t="s">
        <v>15547</v>
      </c>
      <c r="AV1618" s="1078" t="str">
        <f t="shared" si="204"/>
        <v>111.4.18</v>
      </c>
      <c r="AW1618" s="1344">
        <f t="shared" si="205"/>
        <v>44669</v>
      </c>
    </row>
    <row r="1619" spans="1:49">
      <c r="A1619" s="1077" t="s">
        <v>5541</v>
      </c>
      <c r="B1619" s="1077" t="s">
        <v>844</v>
      </c>
      <c r="C1619" s="1077">
        <v>600</v>
      </c>
      <c r="D1619" s="1077">
        <v>1.76</v>
      </c>
      <c r="E1619" s="1077" t="s">
        <v>15094</v>
      </c>
      <c r="F1619" s="1077" t="s">
        <v>954</v>
      </c>
      <c r="G1619" s="1077">
        <v>5</v>
      </c>
      <c r="H1619" s="1077" t="s">
        <v>5126</v>
      </c>
      <c r="I1619" s="1077" t="s">
        <v>460</v>
      </c>
      <c r="J1619" s="1077">
        <v>3.8</v>
      </c>
      <c r="K1619" s="1077" t="s">
        <v>5542</v>
      </c>
      <c r="L1619" s="1077" t="s">
        <v>4907</v>
      </c>
      <c r="M1619" s="1077">
        <v>151.69999999999999</v>
      </c>
      <c r="N1619" s="1077" t="s">
        <v>945</v>
      </c>
      <c r="O1619" s="1077">
        <v>3.7925</v>
      </c>
      <c r="P1619" s="1077">
        <v>3.0339999999999998</v>
      </c>
      <c r="Q1619" s="1077">
        <v>3</v>
      </c>
      <c r="R1619" s="1077">
        <v>19.7</v>
      </c>
      <c r="T1619" s="1077">
        <v>11.5</v>
      </c>
      <c r="U1619" s="1077">
        <v>5.3</v>
      </c>
      <c r="V1619" s="1077" t="s">
        <v>648</v>
      </c>
      <c r="W1619" s="1077">
        <v>105</v>
      </c>
      <c r="X1619" s="1077">
        <v>95</v>
      </c>
      <c r="Y1619" s="1077">
        <v>1.5</v>
      </c>
      <c r="Z1619" s="1077">
        <v>5</v>
      </c>
      <c r="AA1619" s="1077" t="s">
        <v>2100</v>
      </c>
      <c r="AH1619" s="1077" t="s">
        <v>483</v>
      </c>
      <c r="AM1619" s="1078" t="s">
        <v>12246</v>
      </c>
      <c r="AN1619" s="1078" t="s">
        <v>12247</v>
      </c>
      <c r="AO1619" s="1078">
        <f t="shared" si="206"/>
        <v>600</v>
      </c>
      <c r="AP1619" s="1078">
        <f t="shared" si="207"/>
        <v>1.76</v>
      </c>
      <c r="AQ1619" s="1078" t="str">
        <f t="shared" si="208"/>
        <v>1-5-1S91°</v>
      </c>
      <c r="AR1619" s="1078" t="str">
        <f t="shared" si="209"/>
        <v>31</v>
      </c>
      <c r="AS1619" s="1078" t="str">
        <f t="shared" si="210"/>
        <v>300/300/140</v>
      </c>
      <c r="AT1619" s="1078" t="str">
        <f t="shared" si="211"/>
        <v>1-5-1S91°</v>
      </c>
      <c r="AV1619" s="1078" t="str">
        <f t="shared" si="204"/>
        <v>111.4.21</v>
      </c>
      <c r="AW1619" s="1344">
        <f t="shared" si="205"/>
        <v>44672</v>
      </c>
    </row>
    <row r="1620" spans="1:49">
      <c r="A1620" s="1077" t="s">
        <v>5543</v>
      </c>
      <c r="B1620" s="1077" t="s">
        <v>4860</v>
      </c>
      <c r="C1620" s="1077">
        <v>600</v>
      </c>
      <c r="D1620" s="1077">
        <v>1.77</v>
      </c>
      <c r="E1620" s="1077" t="s">
        <v>15104</v>
      </c>
      <c r="F1620" s="1077" t="s">
        <v>648</v>
      </c>
      <c r="G1620" s="1077">
        <v>5</v>
      </c>
      <c r="H1620" s="1077" t="s">
        <v>3356</v>
      </c>
      <c r="I1620" s="1077" t="s">
        <v>460</v>
      </c>
      <c r="J1620" s="1077">
        <v>1.9</v>
      </c>
      <c r="K1620" s="1077" t="s">
        <v>5544</v>
      </c>
      <c r="L1620" s="1077" t="s">
        <v>4864</v>
      </c>
      <c r="M1620" s="1077">
        <v>149.5</v>
      </c>
      <c r="N1620" s="1077" t="s">
        <v>945</v>
      </c>
      <c r="O1620" s="1077">
        <v>3.7375000000000003</v>
      </c>
      <c r="P1620" s="1077">
        <v>2.99</v>
      </c>
      <c r="Q1620" s="1077">
        <v>4</v>
      </c>
      <c r="R1620" s="1077">
        <v>21</v>
      </c>
      <c r="T1620" s="1077">
        <v>37</v>
      </c>
      <c r="U1620" s="1077">
        <v>3.7</v>
      </c>
      <c r="V1620" s="1077" t="s">
        <v>648</v>
      </c>
      <c r="W1620" s="1077">
        <v>110</v>
      </c>
      <c r="X1620" s="1077">
        <v>40</v>
      </c>
      <c r="Y1620" s="1077">
        <v>2.2000000000000002</v>
      </c>
      <c r="Z1620" s="1077" t="s">
        <v>648</v>
      </c>
      <c r="AA1620" s="1077" t="s">
        <v>2100</v>
      </c>
      <c r="AH1620" s="1077" t="s">
        <v>647</v>
      </c>
      <c r="AM1620" s="1078" t="s">
        <v>12248</v>
      </c>
      <c r="AN1620" s="1078" t="s">
        <v>12249</v>
      </c>
      <c r="AO1620" s="1078">
        <f t="shared" si="206"/>
        <v>600</v>
      </c>
      <c r="AP1620" s="1078">
        <f t="shared" si="207"/>
        <v>1.77</v>
      </c>
      <c r="AQ1620" s="1078" t="str">
        <f t="shared" si="208"/>
        <v>1-4-1S85°Z+S</v>
      </c>
      <c r="AR1620" s="1078" t="str">
        <f t="shared" si="209"/>
        <v>NA</v>
      </c>
      <c r="AS1620" s="1078" t="str">
        <f t="shared" si="210"/>
        <v>182/OFF</v>
      </c>
      <c r="AT1620" s="1078" t="str">
        <f t="shared" si="211"/>
        <v>1-4-1S85°Z+S</v>
      </c>
      <c r="AU1620" s="1078" t="s">
        <v>15547</v>
      </c>
      <c r="AV1620" s="1078" t="str">
        <f t="shared" si="204"/>
        <v>111.4.21</v>
      </c>
      <c r="AW1620" s="1344">
        <f t="shared" si="205"/>
        <v>44672</v>
      </c>
    </row>
    <row r="1621" spans="1:49">
      <c r="A1621" s="1077" t="s">
        <v>5545</v>
      </c>
      <c r="B1621" s="1077" t="s">
        <v>5148</v>
      </c>
      <c r="C1621" s="1077" t="s">
        <v>5546</v>
      </c>
      <c r="D1621" s="1077">
        <v>1.74</v>
      </c>
      <c r="E1621" s="1077" t="s">
        <v>15094</v>
      </c>
      <c r="F1621" s="1077" t="s">
        <v>984</v>
      </c>
      <c r="G1621" s="1077">
        <v>5</v>
      </c>
      <c r="H1621" s="1077" t="s">
        <v>5547</v>
      </c>
      <c r="I1621" s="1077" t="s">
        <v>648</v>
      </c>
      <c r="J1621" s="1077">
        <v>0</v>
      </c>
      <c r="K1621" s="1077" t="s">
        <v>5548</v>
      </c>
      <c r="L1621" s="1077" t="s">
        <v>5152</v>
      </c>
      <c r="M1621" s="1077">
        <v>149.9</v>
      </c>
      <c r="N1621" s="1077" t="s">
        <v>945</v>
      </c>
      <c r="O1621" s="1077">
        <v>3.7475000000000005</v>
      </c>
      <c r="P1621" s="1077">
        <v>2.9980000000000002</v>
      </c>
      <c r="Q1621" s="1077">
        <v>4</v>
      </c>
      <c r="R1621" s="1077">
        <v>24</v>
      </c>
      <c r="T1621" s="1077">
        <v>17</v>
      </c>
      <c r="U1621" s="1077">
        <v>2.6</v>
      </c>
      <c r="V1621" s="1077" t="s">
        <v>648</v>
      </c>
      <c r="W1621" s="1077" t="s">
        <v>648</v>
      </c>
      <c r="X1621" s="1077" t="s">
        <v>648</v>
      </c>
      <c r="Y1621" s="1077">
        <v>1</v>
      </c>
      <c r="Z1621" s="1077">
        <v>4.5</v>
      </c>
      <c r="AA1621" s="1077" t="s">
        <v>2114</v>
      </c>
      <c r="AH1621" s="1077" t="s">
        <v>722</v>
      </c>
      <c r="AM1621" s="1078" t="s">
        <v>12250</v>
      </c>
      <c r="AN1621" s="1078" t="s">
        <v>12251</v>
      </c>
      <c r="AO1621" s="1078" t="str">
        <f t="shared" si="206"/>
        <v>650↓550-6/14</v>
      </c>
      <c r="AP1621" s="1078">
        <f t="shared" si="207"/>
        <v>1.74</v>
      </c>
      <c r="AQ1621" s="1078" t="str">
        <f t="shared" si="208"/>
        <v>1-5-1S91°</v>
      </c>
      <c r="AR1621" s="1078" t="str">
        <f t="shared" si="209"/>
        <v>30</v>
      </c>
      <c r="AS1621" s="1078" t="str">
        <f t="shared" si="210"/>
        <v>320/280/150</v>
      </c>
      <c r="AT1621" s="1078" t="str">
        <f t="shared" si="211"/>
        <v>1-5-1S91°</v>
      </c>
      <c r="AV1621" s="1078" t="str">
        <f t="shared" si="204"/>
        <v>111.4.25</v>
      </c>
      <c r="AW1621" s="1344">
        <f t="shared" si="205"/>
        <v>44676</v>
      </c>
    </row>
    <row r="1622" spans="1:49">
      <c r="A1622" s="1077" t="s">
        <v>5549</v>
      </c>
      <c r="B1622" s="1077" t="s">
        <v>5148</v>
      </c>
      <c r="C1622" s="1077">
        <v>650</v>
      </c>
      <c r="D1622" s="1077">
        <v>1.75</v>
      </c>
      <c r="E1622" s="1077" t="s">
        <v>15102</v>
      </c>
      <c r="F1622" s="1077" t="s">
        <v>1514</v>
      </c>
      <c r="G1622" s="1077">
        <v>5</v>
      </c>
      <c r="H1622" s="1077" t="s">
        <v>1671</v>
      </c>
      <c r="I1622" s="1077" t="s">
        <v>460</v>
      </c>
      <c r="J1622" s="1077">
        <v>2</v>
      </c>
      <c r="K1622" s="1077" t="s">
        <v>5548</v>
      </c>
      <c r="L1622" s="1077" t="s">
        <v>5152</v>
      </c>
      <c r="M1622" s="1077">
        <v>148.6</v>
      </c>
      <c r="N1622" s="1077" t="s">
        <v>945</v>
      </c>
      <c r="O1622" s="1077">
        <v>3.7149999999999999</v>
      </c>
      <c r="P1622" s="1077">
        <v>2.972</v>
      </c>
      <c r="Q1622" s="1077">
        <v>3.5</v>
      </c>
      <c r="R1622" s="1077">
        <v>20.399999999999999</v>
      </c>
      <c r="T1622" s="1077">
        <v>26</v>
      </c>
      <c r="U1622" s="1077">
        <v>3.7</v>
      </c>
      <c r="V1622" s="1077" t="s">
        <v>648</v>
      </c>
      <c r="W1622" s="1077">
        <v>105</v>
      </c>
      <c r="X1622" s="1077">
        <v>50</v>
      </c>
      <c r="Y1622" s="1077">
        <v>2</v>
      </c>
      <c r="Z1622" s="1077">
        <v>6.5</v>
      </c>
      <c r="AA1622" s="1077" t="s">
        <v>5550</v>
      </c>
      <c r="AH1622" s="1077" t="s">
        <v>785</v>
      </c>
      <c r="AM1622" s="1078" t="s">
        <v>12252</v>
      </c>
      <c r="AN1622" s="1078" t="s">
        <v>12253</v>
      </c>
      <c r="AO1622" s="1078">
        <f t="shared" si="206"/>
        <v>650</v>
      </c>
      <c r="AP1622" s="1078">
        <f t="shared" si="207"/>
        <v>1.75</v>
      </c>
      <c r="AQ1622" s="1078" t="str">
        <f t="shared" si="208"/>
        <v>2-6-1S83°</v>
      </c>
      <c r="AR1622" s="1078" t="str">
        <f t="shared" si="209"/>
        <v>32</v>
      </c>
      <c r="AS1622" s="1078" t="str">
        <f t="shared" si="210"/>
        <v>172/OFF</v>
      </c>
      <c r="AT1622" s="1078" t="str">
        <f t="shared" si="211"/>
        <v>2-6-1S83°</v>
      </c>
      <c r="AV1622" s="1078" t="str">
        <f t="shared" si="204"/>
        <v>111.4.26</v>
      </c>
      <c r="AW1622" s="1344">
        <f t="shared" si="205"/>
        <v>44677</v>
      </c>
    </row>
    <row r="1623" spans="1:49">
      <c r="A1623" s="1077" t="s">
        <v>5551</v>
      </c>
      <c r="B1623" s="1077" t="s">
        <v>4860</v>
      </c>
      <c r="C1623" s="1077">
        <v>500</v>
      </c>
      <c r="D1623" s="1077">
        <v>1.77</v>
      </c>
      <c r="E1623" s="1077" t="s">
        <v>15109</v>
      </c>
      <c r="F1623" s="1077" t="s">
        <v>648</v>
      </c>
      <c r="G1623" s="1077">
        <v>5</v>
      </c>
      <c r="H1623" s="1077" t="s">
        <v>4773</v>
      </c>
      <c r="I1623" s="1077" t="s">
        <v>460</v>
      </c>
      <c r="J1623" s="1077">
        <v>1.8</v>
      </c>
      <c r="K1623" s="1077" t="s">
        <v>5532</v>
      </c>
      <c r="L1623" s="1077" t="s">
        <v>4864</v>
      </c>
      <c r="M1623" s="1077">
        <v>149.5</v>
      </c>
      <c r="N1623" s="1077" t="s">
        <v>945</v>
      </c>
      <c r="O1623" s="1077">
        <v>3.7375000000000003</v>
      </c>
      <c r="P1623" s="1077">
        <v>2.99</v>
      </c>
      <c r="Q1623" s="1077">
        <v>4</v>
      </c>
      <c r="R1623" s="1077">
        <v>21</v>
      </c>
      <c r="T1623" s="1077">
        <v>37</v>
      </c>
      <c r="U1623" s="1077">
        <v>3.7</v>
      </c>
      <c r="V1623" s="1077" t="s">
        <v>648</v>
      </c>
      <c r="W1623" s="1077">
        <v>110</v>
      </c>
      <c r="X1623" s="1077">
        <v>40</v>
      </c>
      <c r="Y1623" s="1077">
        <v>2.2000000000000002</v>
      </c>
      <c r="Z1623" s="1077" t="s">
        <v>648</v>
      </c>
      <c r="AA1623" s="1077" t="s">
        <v>2121</v>
      </c>
      <c r="AH1623" s="1077" t="s">
        <v>646</v>
      </c>
      <c r="AM1623" s="1078" t="s">
        <v>12254</v>
      </c>
      <c r="AN1623" s="1078" t="s">
        <v>12255</v>
      </c>
      <c r="AO1623" s="1078">
        <f t="shared" si="206"/>
        <v>500</v>
      </c>
      <c r="AP1623" s="1078">
        <f t="shared" si="207"/>
        <v>1.77</v>
      </c>
      <c r="AQ1623" s="1078" t="str">
        <f t="shared" si="208"/>
        <v>1-5-1S85°Z+S</v>
      </c>
      <c r="AR1623" s="1078" t="str">
        <f t="shared" si="209"/>
        <v>NA</v>
      </c>
      <c r="AS1623" s="1078" t="str">
        <f t="shared" si="210"/>
        <v>176/OFF</v>
      </c>
      <c r="AT1623" s="1078" t="str">
        <f t="shared" si="211"/>
        <v>1-5-1S85°Z+S</v>
      </c>
      <c r="AU1623" s="1078" t="s">
        <v>15547</v>
      </c>
      <c r="AV1623" s="1078" t="str">
        <f t="shared" si="204"/>
        <v>111.4.28</v>
      </c>
      <c r="AW1623" s="1344">
        <f t="shared" si="205"/>
        <v>44679</v>
      </c>
    </row>
    <row r="1624" spans="1:49">
      <c r="A1624" s="1077" t="s">
        <v>5552</v>
      </c>
      <c r="B1624" s="1077" t="s">
        <v>210</v>
      </c>
      <c r="C1624" s="1077">
        <v>600</v>
      </c>
      <c r="D1624" s="1077">
        <v>1.75</v>
      </c>
      <c r="E1624" s="1077" t="s">
        <v>15094</v>
      </c>
      <c r="F1624" s="1077" t="s">
        <v>984</v>
      </c>
      <c r="G1624" s="1077">
        <v>5</v>
      </c>
      <c r="H1624" s="1077" t="s">
        <v>5525</v>
      </c>
      <c r="I1624" s="1077" t="s">
        <v>648</v>
      </c>
      <c r="J1624" s="1077">
        <v>0</v>
      </c>
      <c r="K1624" s="1077" t="s">
        <v>5553</v>
      </c>
      <c r="L1624" s="1077" t="s">
        <v>4666</v>
      </c>
      <c r="M1624" s="1077">
        <v>151.5</v>
      </c>
      <c r="N1624" s="1077" t="s">
        <v>945</v>
      </c>
      <c r="O1624" s="1077">
        <v>3.7875000000000001</v>
      </c>
      <c r="P1624" s="1077">
        <v>3.0300000000000002</v>
      </c>
      <c r="Q1624" s="1077">
        <v>4</v>
      </c>
      <c r="R1624" s="1077">
        <v>19.100000000000001</v>
      </c>
      <c r="T1624" s="1077">
        <v>19</v>
      </c>
      <c r="U1624" s="1077">
        <v>2.5</v>
      </c>
      <c r="V1624" s="1077" t="s">
        <v>648</v>
      </c>
      <c r="W1624" s="1077" t="s">
        <v>648</v>
      </c>
      <c r="X1624" s="1077" t="s">
        <v>648</v>
      </c>
      <c r="Y1624" s="1077">
        <v>1</v>
      </c>
      <c r="Z1624" s="1077">
        <v>5</v>
      </c>
      <c r="AA1624" s="1077" t="s">
        <v>2121</v>
      </c>
      <c r="AH1624" s="1077" t="s">
        <v>889</v>
      </c>
      <c r="AM1624" s="1078" t="s">
        <v>12256</v>
      </c>
      <c r="AN1624" s="1078" t="s">
        <v>12257</v>
      </c>
      <c r="AO1624" s="1078">
        <f t="shared" si="206"/>
        <v>600</v>
      </c>
      <c r="AP1624" s="1078">
        <f t="shared" si="207"/>
        <v>1.75</v>
      </c>
      <c r="AQ1624" s="1078" t="str">
        <f t="shared" si="208"/>
        <v>1-5-1S91°</v>
      </c>
      <c r="AR1624" s="1078" t="str">
        <f t="shared" si="209"/>
        <v>30</v>
      </c>
      <c r="AS1624" s="1078" t="str">
        <f t="shared" si="210"/>
        <v>345/305/145</v>
      </c>
      <c r="AT1624" s="1078" t="str">
        <f t="shared" si="211"/>
        <v>1-5-1S91°</v>
      </c>
      <c r="AV1624" s="1078" t="str">
        <f t="shared" si="204"/>
        <v>111.4.28</v>
      </c>
      <c r="AW1624" s="1344">
        <f t="shared" si="205"/>
        <v>44679</v>
      </c>
    </row>
    <row r="1625" spans="1:49">
      <c r="A1625" s="1077" t="s">
        <v>5554</v>
      </c>
      <c r="B1625" s="1077" t="s">
        <v>886</v>
      </c>
      <c r="C1625" s="1077">
        <v>600</v>
      </c>
      <c r="D1625" s="1077">
        <v>1.74</v>
      </c>
      <c r="E1625" s="1077" t="s">
        <v>15094</v>
      </c>
      <c r="F1625" s="1077" t="s">
        <v>984</v>
      </c>
      <c r="G1625" s="1077">
        <v>5</v>
      </c>
      <c r="H1625" s="1077" t="s">
        <v>2885</v>
      </c>
      <c r="I1625" s="1077" t="s">
        <v>126</v>
      </c>
      <c r="J1625" s="1077">
        <v>2.9</v>
      </c>
      <c r="K1625" s="1077" t="s">
        <v>5555</v>
      </c>
      <c r="L1625" s="1077" t="s">
        <v>5556</v>
      </c>
      <c r="M1625" s="1077">
        <v>152</v>
      </c>
      <c r="N1625" s="1077" t="s">
        <v>945</v>
      </c>
      <c r="O1625" s="1077">
        <v>3.8000000000000003</v>
      </c>
      <c r="P1625" s="1077">
        <v>3.04</v>
      </c>
      <c r="Q1625" s="1077">
        <v>4</v>
      </c>
      <c r="R1625" s="1077">
        <v>23.5</v>
      </c>
      <c r="T1625" s="1077">
        <v>30</v>
      </c>
      <c r="U1625" s="1077">
        <v>3.5</v>
      </c>
      <c r="V1625" s="1077" t="s">
        <v>648</v>
      </c>
      <c r="W1625" s="1077">
        <v>115</v>
      </c>
      <c r="X1625" s="1077">
        <v>50</v>
      </c>
      <c r="Y1625" s="1077">
        <v>1.5</v>
      </c>
      <c r="Z1625" s="1077">
        <v>7</v>
      </c>
      <c r="AA1625" s="1077" t="s">
        <v>2124</v>
      </c>
      <c r="AH1625" s="1077" t="s">
        <v>966</v>
      </c>
      <c r="AM1625" s="1078" t="s">
        <v>12258</v>
      </c>
      <c r="AN1625" s="1078" t="s">
        <v>12259</v>
      </c>
      <c r="AO1625" s="1078">
        <f t="shared" si="206"/>
        <v>600</v>
      </c>
      <c r="AP1625" s="1078">
        <f t="shared" si="207"/>
        <v>1.74</v>
      </c>
      <c r="AQ1625" s="1078" t="str">
        <f t="shared" si="208"/>
        <v>1-5-1S91°</v>
      </c>
      <c r="AR1625" s="1078" t="str">
        <f t="shared" si="209"/>
        <v>30</v>
      </c>
      <c r="AS1625" s="1078" t="str">
        <f t="shared" si="210"/>
        <v>335/335/OFF</v>
      </c>
      <c r="AT1625" s="1078" t="str">
        <f t="shared" si="211"/>
        <v>1-5-1S91°</v>
      </c>
      <c r="AV1625" s="1078" t="str">
        <f t="shared" si="204"/>
        <v>111.4.29</v>
      </c>
      <c r="AW1625" s="1344">
        <f t="shared" si="205"/>
        <v>44680</v>
      </c>
    </row>
    <row r="1626" spans="1:49">
      <c r="A1626" s="1077" t="s">
        <v>5557</v>
      </c>
      <c r="B1626" s="1077" t="s">
        <v>5250</v>
      </c>
      <c r="C1626" s="1077">
        <v>550</v>
      </c>
      <c r="D1626" s="1077">
        <v>1.74</v>
      </c>
      <c r="E1626" s="1077" t="s">
        <v>15102</v>
      </c>
      <c r="F1626" s="1077" t="s">
        <v>1514</v>
      </c>
      <c r="G1626" s="1077">
        <v>5</v>
      </c>
      <c r="H1626" s="1077" t="s">
        <v>5470</v>
      </c>
      <c r="I1626" s="1077" t="s">
        <v>460</v>
      </c>
      <c r="J1626" s="1077">
        <v>1.5</v>
      </c>
      <c r="K1626" s="1077" t="s">
        <v>5558</v>
      </c>
      <c r="L1626" s="1077" t="s">
        <v>5253</v>
      </c>
      <c r="M1626" s="1077">
        <v>151.19999999999999</v>
      </c>
      <c r="N1626" s="1077" t="s">
        <v>945</v>
      </c>
      <c r="O1626" s="1077">
        <v>3.78</v>
      </c>
      <c r="P1626" s="1077">
        <v>3.024</v>
      </c>
      <c r="Q1626" s="1077">
        <v>4</v>
      </c>
      <c r="R1626" s="1077">
        <v>21</v>
      </c>
      <c r="T1626" s="1077">
        <v>20.5</v>
      </c>
      <c r="U1626" s="1077">
        <v>3</v>
      </c>
      <c r="V1626" s="1077" t="s">
        <v>648</v>
      </c>
      <c r="W1626" s="1077">
        <v>100</v>
      </c>
      <c r="X1626" s="1077">
        <v>60</v>
      </c>
      <c r="Y1626" s="1077">
        <v>1</v>
      </c>
      <c r="Z1626" s="1077">
        <v>5.5</v>
      </c>
      <c r="AA1626" s="1077" t="s">
        <v>1489</v>
      </c>
      <c r="AH1626" s="1077" t="s">
        <v>650</v>
      </c>
      <c r="AM1626" s="1078" t="s">
        <v>12260</v>
      </c>
      <c r="AN1626" s="1078" t="s">
        <v>12261</v>
      </c>
      <c r="AO1626" s="1078">
        <f t="shared" si="206"/>
        <v>550</v>
      </c>
      <c r="AP1626" s="1078">
        <f t="shared" si="207"/>
        <v>1.74</v>
      </c>
      <c r="AQ1626" s="1078" t="str">
        <f t="shared" si="208"/>
        <v>2-6-1S83°</v>
      </c>
      <c r="AR1626" s="1078" t="str">
        <f t="shared" si="209"/>
        <v>32</v>
      </c>
      <c r="AS1626" s="1078" t="str">
        <f t="shared" si="210"/>
        <v>197/160</v>
      </c>
      <c r="AT1626" s="1078" t="str">
        <f t="shared" si="211"/>
        <v>2-6-1S83°</v>
      </c>
      <c r="AV1626" s="1078" t="str">
        <f t="shared" si="204"/>
        <v>111.5.4</v>
      </c>
      <c r="AW1626" s="1344">
        <f t="shared" si="205"/>
        <v>44685</v>
      </c>
    </row>
    <row r="1627" spans="1:49">
      <c r="A1627" s="1077" t="s">
        <v>5559</v>
      </c>
      <c r="B1627" s="1077" t="s">
        <v>210</v>
      </c>
      <c r="C1627" s="1077">
        <v>650</v>
      </c>
      <c r="D1627" s="1077">
        <v>1.7</v>
      </c>
      <c r="E1627" s="1077" t="s">
        <v>15094</v>
      </c>
      <c r="F1627" s="1077" t="s">
        <v>984</v>
      </c>
      <c r="G1627" s="1077">
        <v>5</v>
      </c>
      <c r="H1627" s="1077" t="s">
        <v>4806</v>
      </c>
      <c r="I1627" s="1077" t="s">
        <v>643</v>
      </c>
      <c r="J1627" s="1077">
        <v>2.9</v>
      </c>
      <c r="K1627" s="1077" t="s">
        <v>5560</v>
      </c>
      <c r="L1627" s="1077" t="s">
        <v>5332</v>
      </c>
      <c r="M1627" s="1077">
        <v>149.5</v>
      </c>
      <c r="N1627" s="1077" t="s">
        <v>945</v>
      </c>
      <c r="O1627" s="1077">
        <v>3.7375000000000003</v>
      </c>
      <c r="P1627" s="1077">
        <v>2.99</v>
      </c>
      <c r="Q1627" s="1077">
        <v>3.5</v>
      </c>
      <c r="R1627" s="1077">
        <v>21.5</v>
      </c>
      <c r="T1627" s="1077">
        <v>19.5</v>
      </c>
      <c r="U1627" s="1077">
        <v>2.9</v>
      </c>
      <c r="V1627" s="1077" t="s">
        <v>648</v>
      </c>
      <c r="W1627" s="1077">
        <v>100</v>
      </c>
      <c r="X1627" s="1077">
        <v>90</v>
      </c>
      <c r="Y1627" s="1077">
        <v>1.8</v>
      </c>
      <c r="Z1627" s="1077">
        <v>5.5</v>
      </c>
      <c r="AA1627" s="1077" t="s">
        <v>1489</v>
      </c>
      <c r="AB1627" s="1077" t="s">
        <v>981</v>
      </c>
      <c r="AH1627" s="1077" t="s">
        <v>5561</v>
      </c>
      <c r="AM1627" s="1078" t="s">
        <v>12262</v>
      </c>
      <c r="AN1627" s="1078" t="s">
        <v>12263</v>
      </c>
      <c r="AO1627" s="1078">
        <f t="shared" si="206"/>
        <v>650</v>
      </c>
      <c r="AP1627" s="1078">
        <f t="shared" si="207"/>
        <v>1.7</v>
      </c>
      <c r="AQ1627" s="1078" t="str">
        <f t="shared" si="208"/>
        <v>1-5-1S91°</v>
      </c>
      <c r="AR1627" s="1078" t="str">
        <f t="shared" si="209"/>
        <v>30</v>
      </c>
      <c r="AS1627" s="1078" t="str">
        <f t="shared" si="210"/>
        <v>390/360/175</v>
      </c>
      <c r="AT1627" s="1078" t="str">
        <f t="shared" si="211"/>
        <v>1-5-1S91°</v>
      </c>
      <c r="AV1627" s="1078" t="str">
        <f t="shared" si="204"/>
        <v>111.5.4</v>
      </c>
      <c r="AW1627" s="1344">
        <f t="shared" si="205"/>
        <v>44685</v>
      </c>
    </row>
    <row r="1628" spans="1:49">
      <c r="A1628" s="1077" t="s">
        <v>5562</v>
      </c>
      <c r="B1628" s="1077" t="s">
        <v>210</v>
      </c>
      <c r="C1628" s="1077">
        <v>600</v>
      </c>
      <c r="D1628" s="1077">
        <v>1.74</v>
      </c>
      <c r="E1628" s="1077" t="s">
        <v>15094</v>
      </c>
      <c r="F1628" s="1077" t="s">
        <v>984</v>
      </c>
      <c r="G1628" s="1077">
        <v>5</v>
      </c>
      <c r="H1628" s="1077" t="s">
        <v>5480</v>
      </c>
      <c r="I1628" s="1077" t="s">
        <v>126</v>
      </c>
      <c r="J1628" s="1077">
        <v>0.7</v>
      </c>
      <c r="K1628" s="1077" t="s">
        <v>5400</v>
      </c>
      <c r="L1628" s="1077" t="s">
        <v>4666</v>
      </c>
      <c r="M1628" s="1077">
        <v>151.5</v>
      </c>
      <c r="N1628" s="1077" t="s">
        <v>945</v>
      </c>
      <c r="O1628" s="1077">
        <v>3.7875000000000001</v>
      </c>
      <c r="P1628" s="1077">
        <v>3.0300000000000002</v>
      </c>
      <c r="Q1628" s="1077">
        <v>4</v>
      </c>
      <c r="R1628" s="1077">
        <v>19.100000000000001</v>
      </c>
      <c r="T1628" s="1077">
        <v>23.7</v>
      </c>
      <c r="U1628" s="1077">
        <v>3.2</v>
      </c>
      <c r="V1628" s="1077" t="s">
        <v>648</v>
      </c>
      <c r="W1628" s="1077">
        <v>35</v>
      </c>
      <c r="X1628" s="1077">
        <v>10</v>
      </c>
      <c r="Y1628" s="1077">
        <v>1</v>
      </c>
      <c r="Z1628" s="1077">
        <v>6</v>
      </c>
      <c r="AA1628" s="1077" t="s">
        <v>2188</v>
      </c>
      <c r="AH1628" s="1077" t="s">
        <v>1137</v>
      </c>
      <c r="AM1628" s="1078" t="s">
        <v>12264</v>
      </c>
      <c r="AN1628" s="1078" t="s">
        <v>12265</v>
      </c>
      <c r="AO1628" s="1078">
        <f t="shared" si="206"/>
        <v>600</v>
      </c>
      <c r="AP1628" s="1078">
        <f t="shared" si="207"/>
        <v>1.74</v>
      </c>
      <c r="AQ1628" s="1078" t="str">
        <f t="shared" si="208"/>
        <v>1-5-1S91°</v>
      </c>
      <c r="AR1628" s="1078" t="str">
        <f t="shared" si="209"/>
        <v>30</v>
      </c>
      <c r="AS1628" s="1078" t="str">
        <f t="shared" si="210"/>
        <v>340/300/145</v>
      </c>
      <c r="AT1628" s="1078" t="str">
        <f t="shared" si="211"/>
        <v>1-5-1S91°</v>
      </c>
      <c r="AV1628" s="1078" t="str">
        <f t="shared" si="204"/>
        <v>111.5.6</v>
      </c>
      <c r="AW1628" s="1344">
        <f t="shared" si="205"/>
        <v>44687</v>
      </c>
    </row>
    <row r="1629" spans="1:49">
      <c r="A1629" s="1077" t="s">
        <v>5563</v>
      </c>
      <c r="B1629" s="1077" t="s">
        <v>5520</v>
      </c>
      <c r="C1629" s="1077">
        <v>600</v>
      </c>
      <c r="D1629" s="1077">
        <v>1.7350000000000001</v>
      </c>
      <c r="E1629" s="1077" t="s">
        <v>15109</v>
      </c>
      <c r="F1629" s="1077" t="s">
        <v>648</v>
      </c>
      <c r="G1629" s="1077">
        <v>5</v>
      </c>
      <c r="H1629" s="1077" t="s">
        <v>2192</v>
      </c>
      <c r="I1629" s="1077" t="s">
        <v>126</v>
      </c>
      <c r="J1629" s="1077">
        <v>1.4</v>
      </c>
      <c r="K1629" s="1077" t="s">
        <v>5521</v>
      </c>
      <c r="L1629" s="1077" t="s">
        <v>2104</v>
      </c>
      <c r="M1629" s="1077">
        <v>148</v>
      </c>
      <c r="N1629" s="1077" t="s">
        <v>945</v>
      </c>
      <c r="O1629" s="1077">
        <v>3.7</v>
      </c>
      <c r="P1629" s="1077">
        <v>2.96</v>
      </c>
      <c r="Q1629" s="1077">
        <v>4</v>
      </c>
      <c r="R1629" s="1077">
        <v>20.8</v>
      </c>
      <c r="T1629" s="1077">
        <v>20.399999999999999</v>
      </c>
      <c r="U1629" s="1077">
        <v>3.8</v>
      </c>
      <c r="V1629" s="1077" t="s">
        <v>648</v>
      </c>
      <c r="W1629" s="1077">
        <v>110</v>
      </c>
      <c r="X1629" s="1077">
        <v>60</v>
      </c>
      <c r="Y1629" s="1077">
        <v>1.7</v>
      </c>
      <c r="Z1629" s="1077" t="s">
        <v>648</v>
      </c>
      <c r="AA1629" s="1077" t="s">
        <v>2188</v>
      </c>
      <c r="AH1629" s="1077" t="s">
        <v>681</v>
      </c>
      <c r="AM1629" s="1078" t="s">
        <v>12266</v>
      </c>
      <c r="AN1629" s="1078" t="s">
        <v>12267</v>
      </c>
      <c r="AO1629" s="1078">
        <f t="shared" si="206"/>
        <v>600</v>
      </c>
      <c r="AP1629" s="1078">
        <f t="shared" si="207"/>
        <v>1.7350000000000001</v>
      </c>
      <c r="AQ1629" s="1078" t="str">
        <f t="shared" si="208"/>
        <v>1-5-1S85°Z+S</v>
      </c>
      <c r="AR1629" s="1078" t="str">
        <f t="shared" si="209"/>
        <v>NA</v>
      </c>
      <c r="AS1629" s="1078" t="str">
        <f t="shared" si="210"/>
        <v>180/OFF</v>
      </c>
      <c r="AT1629" s="1078" t="str">
        <f t="shared" si="211"/>
        <v>1-5-1S85°Z+S</v>
      </c>
      <c r="AU1629" s="1078" t="s">
        <v>15547</v>
      </c>
      <c r="AV1629" s="1078" t="str">
        <f t="shared" si="204"/>
        <v>111.5.6</v>
      </c>
      <c r="AW1629" s="1344">
        <f t="shared" si="205"/>
        <v>44687</v>
      </c>
    </row>
    <row r="1630" spans="1:49">
      <c r="A1630" s="1077" t="s">
        <v>5564</v>
      </c>
      <c r="B1630" s="1077" t="s">
        <v>5565</v>
      </c>
      <c r="C1630" s="1077">
        <v>600</v>
      </c>
      <c r="D1630" s="1077">
        <v>1.7</v>
      </c>
      <c r="E1630" s="1077" t="s">
        <v>15104</v>
      </c>
      <c r="F1630" s="1077" t="s">
        <v>648</v>
      </c>
      <c r="G1630" s="1077">
        <v>5</v>
      </c>
      <c r="H1630" s="1077" t="s">
        <v>1166</v>
      </c>
      <c r="I1630" s="1077" t="s">
        <v>126</v>
      </c>
      <c r="J1630" s="1077">
        <v>1.2</v>
      </c>
      <c r="K1630" s="1077" t="s">
        <v>5566</v>
      </c>
      <c r="L1630" s="1077" t="s">
        <v>3572</v>
      </c>
      <c r="M1630" s="1077">
        <v>153</v>
      </c>
      <c r="N1630" s="1077" t="s">
        <v>945</v>
      </c>
      <c r="O1630" s="1077">
        <v>3.8250000000000002</v>
      </c>
      <c r="P1630" s="1077">
        <v>3.06</v>
      </c>
      <c r="Q1630" s="1077">
        <v>4</v>
      </c>
      <c r="R1630" s="1077">
        <v>18</v>
      </c>
      <c r="T1630" s="1077">
        <v>14</v>
      </c>
      <c r="U1630" s="1077">
        <v>4.5</v>
      </c>
      <c r="V1630" s="1077" t="s">
        <v>648</v>
      </c>
      <c r="W1630" s="1077">
        <v>110</v>
      </c>
      <c r="X1630" s="1077">
        <v>60</v>
      </c>
      <c r="Y1630" s="1077">
        <v>1.8</v>
      </c>
      <c r="Z1630" s="1077" t="s">
        <v>648</v>
      </c>
      <c r="AA1630" s="1077" t="s">
        <v>5567</v>
      </c>
      <c r="AH1630" s="1077" t="s">
        <v>812</v>
      </c>
      <c r="AM1630" s="1078" t="s">
        <v>12268</v>
      </c>
      <c r="AN1630" s="1078" t="s">
        <v>10155</v>
      </c>
      <c r="AO1630" s="1078">
        <f t="shared" si="206"/>
        <v>600</v>
      </c>
      <c r="AP1630" s="1078">
        <f t="shared" si="207"/>
        <v>1.7</v>
      </c>
      <c r="AQ1630" s="1078" t="str">
        <f t="shared" si="208"/>
        <v>1-4-1S85°Z+S</v>
      </c>
      <c r="AR1630" s="1078" t="str">
        <f t="shared" si="209"/>
        <v>NA</v>
      </c>
      <c r="AS1630" s="1078" t="str">
        <f t="shared" si="210"/>
        <v>170/OFF</v>
      </c>
      <c r="AT1630" s="1078" t="str">
        <f t="shared" si="211"/>
        <v>1-4-1S85°Z+S</v>
      </c>
      <c r="AU1630" s="1078" t="s">
        <v>15547</v>
      </c>
      <c r="AV1630" s="1078" t="str">
        <f t="shared" si="204"/>
        <v>111.5.10</v>
      </c>
      <c r="AW1630" s="1344">
        <f t="shared" si="205"/>
        <v>44691</v>
      </c>
    </row>
    <row r="1631" spans="1:49">
      <c r="A1631" s="1077" t="s">
        <v>5568</v>
      </c>
      <c r="B1631" s="1077" t="s">
        <v>617</v>
      </c>
      <c r="C1631" s="1077">
        <v>600</v>
      </c>
      <c r="D1631" s="1077">
        <v>1.75</v>
      </c>
      <c r="E1631" s="1077" t="s">
        <v>15094</v>
      </c>
      <c r="F1631" s="1077" t="s">
        <v>984</v>
      </c>
      <c r="G1631" s="1077">
        <v>5</v>
      </c>
      <c r="H1631" s="1077" t="s">
        <v>955</v>
      </c>
      <c r="I1631" s="1077" t="s">
        <v>126</v>
      </c>
      <c r="J1631" s="1077">
        <v>2.1</v>
      </c>
      <c r="K1631" s="1077" t="s">
        <v>5376</v>
      </c>
      <c r="L1631" s="1077" t="s">
        <v>4854</v>
      </c>
      <c r="M1631" s="1077">
        <v>150.30000000000001</v>
      </c>
      <c r="N1631" s="1077" t="s">
        <v>945</v>
      </c>
      <c r="O1631" s="1077">
        <v>3.7575000000000003</v>
      </c>
      <c r="P1631" s="1077">
        <v>3.0060000000000002</v>
      </c>
      <c r="Q1631" s="1077">
        <v>3</v>
      </c>
      <c r="R1631" s="1077">
        <v>24.5</v>
      </c>
      <c r="T1631" s="1077">
        <v>13</v>
      </c>
      <c r="U1631" s="1077">
        <v>7</v>
      </c>
      <c r="V1631" s="1077" t="s">
        <v>648</v>
      </c>
      <c r="W1631" s="1077">
        <v>115</v>
      </c>
      <c r="X1631" s="1077">
        <v>50</v>
      </c>
      <c r="Y1631" s="1077">
        <v>1.7</v>
      </c>
      <c r="Z1631" s="1077">
        <v>6.5</v>
      </c>
      <c r="AA1631" s="1077" t="s">
        <v>1494</v>
      </c>
      <c r="AH1631" s="1077" t="s">
        <v>813</v>
      </c>
      <c r="AM1631" s="1078" t="s">
        <v>12269</v>
      </c>
      <c r="AN1631" s="1078" t="s">
        <v>12270</v>
      </c>
      <c r="AO1631" s="1078">
        <f t="shared" si="206"/>
        <v>600</v>
      </c>
      <c r="AP1631" s="1078">
        <f t="shared" si="207"/>
        <v>1.75</v>
      </c>
      <c r="AQ1631" s="1078" t="str">
        <f t="shared" si="208"/>
        <v>1-5-1S91°</v>
      </c>
      <c r="AR1631" s="1078" t="str">
        <f t="shared" si="209"/>
        <v>30</v>
      </c>
      <c r="AS1631" s="1078" t="str">
        <f t="shared" si="210"/>
        <v>260/260/OFF</v>
      </c>
      <c r="AT1631" s="1078" t="str">
        <f t="shared" si="211"/>
        <v>1-5-1S91°</v>
      </c>
      <c r="AV1631" s="1078" t="str">
        <f t="shared" si="204"/>
        <v>111.5.13</v>
      </c>
      <c r="AW1631" s="1344">
        <f t="shared" si="205"/>
        <v>44694</v>
      </c>
    </row>
    <row r="1632" spans="1:49">
      <c r="A1632" s="1077" t="s">
        <v>5569</v>
      </c>
      <c r="B1632" s="1077" t="s">
        <v>4694</v>
      </c>
      <c r="C1632" s="1077">
        <v>600</v>
      </c>
      <c r="D1632" s="1077">
        <v>1.74</v>
      </c>
      <c r="E1632" s="1077" t="s">
        <v>15102</v>
      </c>
      <c r="F1632" s="1077" t="s">
        <v>1514</v>
      </c>
      <c r="G1632" s="1077">
        <v>5</v>
      </c>
      <c r="H1632" s="1077" t="s">
        <v>4706</v>
      </c>
      <c r="I1632" s="1077" t="s">
        <v>1112</v>
      </c>
      <c r="J1632" s="1077">
        <v>2.6</v>
      </c>
      <c r="K1632" s="1077" t="s">
        <v>5570</v>
      </c>
      <c r="L1632" s="1077" t="s">
        <v>4702</v>
      </c>
      <c r="M1632" s="1077">
        <v>151.30000000000001</v>
      </c>
      <c r="N1632" s="1077" t="s">
        <v>945</v>
      </c>
      <c r="O1632" s="1077">
        <v>3.7825000000000006</v>
      </c>
      <c r="P1632" s="1077">
        <v>3.0260000000000002</v>
      </c>
      <c r="Q1632" s="1077" t="s">
        <v>988</v>
      </c>
      <c r="R1632" s="1077">
        <v>20.7</v>
      </c>
      <c r="T1632" s="1077">
        <v>15.5</v>
      </c>
      <c r="U1632" s="1077">
        <v>3</v>
      </c>
      <c r="V1632" s="1077" t="s">
        <v>648</v>
      </c>
      <c r="W1632" s="1077">
        <v>130</v>
      </c>
      <c r="X1632" s="1077">
        <v>75</v>
      </c>
      <c r="Y1632" s="1077">
        <v>1.2</v>
      </c>
      <c r="Z1632" s="1077" t="s">
        <v>2437</v>
      </c>
      <c r="AA1632" s="1077" t="s">
        <v>5571</v>
      </c>
      <c r="AH1632" s="1077" t="s">
        <v>4704</v>
      </c>
      <c r="AM1632" s="1078" t="s">
        <v>12271</v>
      </c>
      <c r="AN1632" s="1078" t="s">
        <v>12272</v>
      </c>
      <c r="AO1632" s="1078">
        <f t="shared" si="206"/>
        <v>600</v>
      </c>
      <c r="AP1632" s="1078">
        <f t="shared" si="207"/>
        <v>1.74</v>
      </c>
      <c r="AQ1632" s="1078" t="str">
        <f t="shared" si="208"/>
        <v>2-6-1S83°</v>
      </c>
      <c r="AR1632" s="1078" t="str">
        <f t="shared" si="209"/>
        <v>32</v>
      </c>
      <c r="AS1632" s="1078" t="str">
        <f t="shared" si="210"/>
        <v>185/169</v>
      </c>
      <c r="AT1632" s="1078" t="str">
        <f t="shared" si="211"/>
        <v>2-6-1S83°</v>
      </c>
      <c r="AV1632" s="1078" t="str">
        <f t="shared" si="204"/>
        <v>108.11.19</v>
      </c>
      <c r="AW1632" s="1344">
        <f t="shared" si="205"/>
        <v>43788</v>
      </c>
    </row>
    <row r="1633" spans="1:49">
      <c r="A1633" s="1077" t="s">
        <v>5572</v>
      </c>
      <c r="B1633" s="1077" t="s">
        <v>4885</v>
      </c>
      <c r="C1633" s="1077">
        <v>600</v>
      </c>
      <c r="D1633" s="1077">
        <v>1.7769999999999999</v>
      </c>
      <c r="E1633" s="1077" t="s">
        <v>15102</v>
      </c>
      <c r="F1633" s="1077" t="s">
        <v>984</v>
      </c>
      <c r="G1633" s="1077">
        <v>5</v>
      </c>
      <c r="H1633" s="1077" t="s">
        <v>5573</v>
      </c>
      <c r="I1633" s="1077" t="s">
        <v>1167</v>
      </c>
      <c r="J1633" s="1077">
        <v>0.8</v>
      </c>
      <c r="K1633" s="1077" t="s">
        <v>5053</v>
      </c>
      <c r="L1633" s="1077" t="s">
        <v>5054</v>
      </c>
      <c r="M1633" s="1077">
        <v>150.9</v>
      </c>
      <c r="N1633" s="1077" t="s">
        <v>945</v>
      </c>
      <c r="O1633" s="1077">
        <v>3.7725000000000004</v>
      </c>
      <c r="P1633" s="1077">
        <v>3.0180000000000002</v>
      </c>
      <c r="Q1633" s="1077" t="s">
        <v>961</v>
      </c>
      <c r="R1633" s="1077">
        <v>21.8</v>
      </c>
      <c r="T1633" s="1077">
        <v>24.1</v>
      </c>
      <c r="U1633" s="1077">
        <v>2.7</v>
      </c>
      <c r="V1633" s="1077" t="s">
        <v>648</v>
      </c>
      <c r="W1633" s="1077" t="s">
        <v>5055</v>
      </c>
      <c r="X1633" s="1077">
        <v>10</v>
      </c>
      <c r="Y1633" s="1077">
        <v>1.8</v>
      </c>
      <c r="Z1633" s="1077" t="s">
        <v>5574</v>
      </c>
      <c r="AA1633" s="1077" t="s">
        <v>5408</v>
      </c>
      <c r="AH1633" s="1077" t="s">
        <v>1053</v>
      </c>
      <c r="AM1633" s="1078" t="s">
        <v>12273</v>
      </c>
      <c r="AN1633" s="1078" t="s">
        <v>12274</v>
      </c>
      <c r="AO1633" s="1078">
        <f t="shared" si="206"/>
        <v>600</v>
      </c>
      <c r="AP1633" s="1078">
        <f t="shared" si="207"/>
        <v>1.7769999999999999</v>
      </c>
      <c r="AQ1633" s="1078" t="str">
        <f t="shared" si="208"/>
        <v>2-6-1S83°</v>
      </c>
      <c r="AR1633" s="1078" t="str">
        <f t="shared" si="209"/>
        <v>30</v>
      </c>
      <c r="AS1633" s="1078" t="str">
        <f t="shared" si="210"/>
        <v>188/175</v>
      </c>
      <c r="AT1633" s="1078" t="str">
        <f t="shared" si="211"/>
        <v>2-6-1S83°</v>
      </c>
      <c r="AV1633" s="1078" t="str">
        <f t="shared" si="204"/>
        <v>109.2.25</v>
      </c>
      <c r="AW1633" s="1344">
        <f t="shared" si="205"/>
        <v>43886</v>
      </c>
    </row>
    <row r="1634" spans="1:49">
      <c r="A1634" s="1077" t="s">
        <v>5575</v>
      </c>
      <c r="B1634" s="1077" t="s">
        <v>5576</v>
      </c>
      <c r="C1634" s="1077">
        <v>550</v>
      </c>
      <c r="D1634" s="1077">
        <v>1.71</v>
      </c>
      <c r="E1634" s="1077" t="s">
        <v>15102</v>
      </c>
      <c r="F1634" s="1077" t="s">
        <v>984</v>
      </c>
      <c r="G1634" s="1077">
        <v>5</v>
      </c>
      <c r="H1634" s="1077" t="s">
        <v>1624</v>
      </c>
      <c r="I1634" s="1077" t="s">
        <v>1112</v>
      </c>
      <c r="J1634" s="1077">
        <v>0.7</v>
      </c>
      <c r="K1634" s="1077" t="s">
        <v>5577</v>
      </c>
      <c r="L1634" s="1077" t="s">
        <v>5578</v>
      </c>
      <c r="M1634" s="1077">
        <v>152.5</v>
      </c>
      <c r="N1634" s="1077" t="s">
        <v>945</v>
      </c>
      <c r="O1634" s="1077">
        <v>3.8125</v>
      </c>
      <c r="P1634" s="1077">
        <v>3.0500000000000003</v>
      </c>
      <c r="Q1634" s="1077" t="s">
        <v>1059</v>
      </c>
      <c r="R1634" s="1077">
        <v>21.5</v>
      </c>
      <c r="T1634" s="1077">
        <v>11</v>
      </c>
      <c r="U1634" s="1077">
        <v>5.9</v>
      </c>
      <c r="V1634" s="1077" t="s">
        <v>648</v>
      </c>
      <c r="W1634" s="1077">
        <v>30</v>
      </c>
      <c r="X1634" s="1077">
        <v>10</v>
      </c>
      <c r="Y1634" s="1077">
        <v>1.5</v>
      </c>
      <c r="Z1634" s="1077" t="s">
        <v>5579</v>
      </c>
      <c r="AA1634" s="1077" t="s">
        <v>5496</v>
      </c>
      <c r="AH1634" s="1077" t="s">
        <v>842</v>
      </c>
      <c r="AM1634" s="1078" t="s">
        <v>12275</v>
      </c>
      <c r="AN1634" s="1078" t="s">
        <v>12276</v>
      </c>
      <c r="AO1634" s="1078">
        <f t="shared" si="206"/>
        <v>550</v>
      </c>
      <c r="AP1634" s="1078">
        <f t="shared" si="207"/>
        <v>1.71</v>
      </c>
      <c r="AQ1634" s="1078" t="str">
        <f t="shared" si="208"/>
        <v>2-6-1S83°</v>
      </c>
      <c r="AR1634" s="1078" t="str">
        <f t="shared" si="209"/>
        <v>30</v>
      </c>
      <c r="AS1634" s="1078" t="str">
        <f t="shared" si="210"/>
        <v>155/OFF</v>
      </c>
      <c r="AT1634" s="1078" t="str">
        <f t="shared" si="211"/>
        <v>2-6-1S83°</v>
      </c>
      <c r="AV1634" s="1078" t="str">
        <f t="shared" si="204"/>
        <v>109.5.28</v>
      </c>
      <c r="AW1634" s="1344">
        <f t="shared" si="205"/>
        <v>43979</v>
      </c>
    </row>
    <row r="1635" spans="1:49">
      <c r="A1635" s="1077" t="s">
        <v>5580</v>
      </c>
      <c r="B1635" s="1077" t="s">
        <v>5429</v>
      </c>
      <c r="C1635" s="1077">
        <v>600</v>
      </c>
      <c r="D1635" s="1077">
        <v>1.73</v>
      </c>
      <c r="E1635" s="1077" t="s">
        <v>15108</v>
      </c>
      <c r="F1635" s="1077" t="s">
        <v>2167</v>
      </c>
      <c r="G1635" s="1077">
        <v>4</v>
      </c>
      <c r="H1635" s="1077" t="s">
        <v>1017</v>
      </c>
      <c r="I1635" s="1077" t="s">
        <v>460</v>
      </c>
      <c r="J1635" s="1077">
        <v>1.8</v>
      </c>
      <c r="K1635" s="1077" t="s">
        <v>5581</v>
      </c>
      <c r="L1635" s="1077" t="s">
        <v>2904</v>
      </c>
      <c r="M1635" s="1077">
        <v>150</v>
      </c>
      <c r="N1635" s="1077" t="s">
        <v>945</v>
      </c>
      <c r="O1635" s="1077">
        <v>3.75</v>
      </c>
      <c r="P1635" s="1077">
        <v>3</v>
      </c>
      <c r="Q1635" s="1077" t="s">
        <v>1005</v>
      </c>
      <c r="R1635" s="1077">
        <v>28.5</v>
      </c>
      <c r="T1635" s="1077">
        <v>12.5</v>
      </c>
      <c r="U1635" s="1077">
        <v>7.4</v>
      </c>
      <c r="V1635" s="1077" t="s">
        <v>648</v>
      </c>
      <c r="W1635" s="1077">
        <v>125</v>
      </c>
      <c r="X1635" s="1077">
        <v>80</v>
      </c>
      <c r="Y1635" s="1077">
        <v>1.5</v>
      </c>
      <c r="Z1635" s="1077" t="s">
        <v>648</v>
      </c>
      <c r="AA1635" s="1077" t="s">
        <v>5582</v>
      </c>
      <c r="AH1635" s="1077" t="s">
        <v>1221</v>
      </c>
      <c r="AM1635" s="1078" t="s">
        <v>12277</v>
      </c>
      <c r="AN1635" s="1078" t="s">
        <v>12278</v>
      </c>
      <c r="AO1635" s="1078">
        <f t="shared" si="206"/>
        <v>600</v>
      </c>
      <c r="AP1635" s="1078">
        <f t="shared" si="207"/>
        <v>1.73</v>
      </c>
      <c r="AQ1635" s="1078" t="str">
        <f t="shared" si="208"/>
        <v>1-4-1S83°Z+S</v>
      </c>
      <c r="AR1635" s="1078" t="str">
        <f t="shared" si="209"/>
        <v>33</v>
      </c>
      <c r="AS1635" s="1078" t="str">
        <f t="shared" si="210"/>
        <v>200/200/OFF</v>
      </c>
      <c r="AT1635" s="1078" t="str">
        <f t="shared" si="211"/>
        <v>1-4-1S83°Z+S</v>
      </c>
      <c r="AV1635" s="1078" t="str">
        <f t="shared" si="204"/>
        <v>109.11.25</v>
      </c>
      <c r="AW1635" s="1344">
        <f t="shared" si="205"/>
        <v>44160</v>
      </c>
    </row>
    <row r="1636" spans="1:49">
      <c r="A1636" s="1077" t="s">
        <v>5583</v>
      </c>
      <c r="B1636" s="1077" t="s">
        <v>210</v>
      </c>
      <c r="C1636" s="1077">
        <v>700</v>
      </c>
      <c r="D1636" s="1077">
        <v>1.74</v>
      </c>
      <c r="E1636" s="1077" t="s">
        <v>15094</v>
      </c>
      <c r="F1636" s="1077" t="s">
        <v>984</v>
      </c>
      <c r="G1636" s="1077">
        <v>5</v>
      </c>
      <c r="H1636" s="1077" t="s">
        <v>5584</v>
      </c>
      <c r="I1636" s="1077" t="s">
        <v>126</v>
      </c>
      <c r="J1636" s="1077">
        <v>0.7</v>
      </c>
      <c r="K1636" s="1077" t="s">
        <v>5301</v>
      </c>
      <c r="L1636" s="1077" t="s">
        <v>4666</v>
      </c>
      <c r="M1636" s="1077">
        <v>151.5</v>
      </c>
      <c r="N1636" s="1077" t="s">
        <v>945</v>
      </c>
      <c r="O1636" s="1077">
        <v>3.7875000000000001</v>
      </c>
      <c r="P1636" s="1077">
        <v>3.0300000000000002</v>
      </c>
      <c r="Q1636" s="1077">
        <v>4</v>
      </c>
      <c r="R1636" s="1077">
        <v>19.100000000000001</v>
      </c>
      <c r="T1636" s="1077">
        <v>23.7</v>
      </c>
      <c r="U1636" s="1077">
        <v>3.2</v>
      </c>
      <c r="V1636" s="1077" t="s">
        <v>648</v>
      </c>
      <c r="W1636" s="1077">
        <v>35</v>
      </c>
      <c r="X1636" s="1077">
        <v>10</v>
      </c>
      <c r="Y1636" s="1077">
        <v>1</v>
      </c>
      <c r="Z1636" s="1077">
        <v>6</v>
      </c>
      <c r="AA1636" s="1077" t="s">
        <v>3115</v>
      </c>
      <c r="AB1636" s="1077" t="s">
        <v>4165</v>
      </c>
      <c r="AH1636" s="1077" t="s">
        <v>684</v>
      </c>
      <c r="AM1636" s="1078" t="s">
        <v>12279</v>
      </c>
      <c r="AN1636" s="1078" t="s">
        <v>12280</v>
      </c>
      <c r="AO1636" s="1078">
        <f t="shared" si="206"/>
        <v>700</v>
      </c>
      <c r="AP1636" s="1078">
        <f t="shared" si="207"/>
        <v>1.74</v>
      </c>
      <c r="AQ1636" s="1078" t="str">
        <f t="shared" si="208"/>
        <v>1-5-1S91°</v>
      </c>
      <c r="AR1636" s="1078" t="str">
        <f t="shared" si="209"/>
        <v>30</v>
      </c>
      <c r="AS1636" s="1078" t="str">
        <f t="shared" si="210"/>
        <v>370/338/155</v>
      </c>
      <c r="AT1636" s="1078" t="str">
        <f t="shared" si="211"/>
        <v>1-5-1S91°</v>
      </c>
      <c r="AV1636" s="1078" t="str">
        <f t="shared" si="204"/>
        <v>110.1.28</v>
      </c>
      <c r="AW1636" s="1344">
        <f t="shared" si="205"/>
        <v>44224</v>
      </c>
    </row>
    <row r="1637" spans="1:49">
      <c r="A1637" s="1077" t="s">
        <v>5585</v>
      </c>
      <c r="B1637" s="1077" t="s">
        <v>617</v>
      </c>
      <c r="C1637" s="1077">
        <v>650</v>
      </c>
      <c r="D1637" s="1077">
        <v>1.7050000000000001</v>
      </c>
      <c r="E1637" s="1077" t="s">
        <v>15094</v>
      </c>
      <c r="F1637" s="1077" t="s">
        <v>984</v>
      </c>
      <c r="G1637" s="1077">
        <v>5</v>
      </c>
      <c r="H1637" s="1077" t="s">
        <v>1793</v>
      </c>
      <c r="I1637" s="1077" t="s">
        <v>126</v>
      </c>
      <c r="J1637" s="1077">
        <v>2.2000000000000002</v>
      </c>
      <c r="K1637" s="1077" t="s">
        <v>5586</v>
      </c>
      <c r="L1637" s="1077" t="s">
        <v>4854</v>
      </c>
      <c r="M1637" s="1077">
        <v>150.30000000000001</v>
      </c>
      <c r="N1637" s="1077" t="s">
        <v>945</v>
      </c>
      <c r="O1637" s="1077">
        <v>3.7575000000000003</v>
      </c>
      <c r="P1637" s="1077">
        <v>3.0060000000000002</v>
      </c>
      <c r="Q1637" s="1077">
        <v>3</v>
      </c>
      <c r="R1637" s="1077">
        <v>29</v>
      </c>
      <c r="T1637" s="1077">
        <v>13</v>
      </c>
      <c r="U1637" s="1077">
        <v>7</v>
      </c>
      <c r="V1637" s="1077" t="s">
        <v>648</v>
      </c>
      <c r="W1637" s="1077">
        <v>115</v>
      </c>
      <c r="X1637" s="1077">
        <v>50</v>
      </c>
      <c r="Y1637" s="1077">
        <v>1.7</v>
      </c>
      <c r="Z1637" s="1077">
        <v>6.5</v>
      </c>
      <c r="AA1637" s="1077" t="s">
        <v>5587</v>
      </c>
      <c r="AH1637" s="1077" t="s">
        <v>966</v>
      </c>
      <c r="AM1637" s="1078" t="s">
        <v>12281</v>
      </c>
      <c r="AN1637" s="1078" t="s">
        <v>12282</v>
      </c>
      <c r="AO1637" s="1078">
        <f t="shared" si="206"/>
        <v>650</v>
      </c>
      <c r="AP1637" s="1078">
        <f t="shared" si="207"/>
        <v>1.7050000000000001</v>
      </c>
      <c r="AQ1637" s="1078" t="str">
        <f t="shared" si="208"/>
        <v>1-5-1S91°</v>
      </c>
      <c r="AR1637" s="1078" t="str">
        <f t="shared" si="209"/>
        <v>30</v>
      </c>
      <c r="AS1637" s="1078" t="str">
        <f t="shared" si="210"/>
        <v>270/270/OFF</v>
      </c>
      <c r="AT1637" s="1078" t="str">
        <f t="shared" si="211"/>
        <v>1-5-1S91°</v>
      </c>
      <c r="AV1637" s="1078" t="str">
        <f t="shared" si="204"/>
        <v>110.3.26</v>
      </c>
      <c r="AW1637" s="1344">
        <f t="shared" si="205"/>
        <v>44281</v>
      </c>
    </row>
    <row r="1638" spans="1:49">
      <c r="A1638" s="1077" t="s">
        <v>5588</v>
      </c>
      <c r="B1638" s="1077" t="s">
        <v>4898</v>
      </c>
      <c r="C1638" s="1077">
        <v>650</v>
      </c>
      <c r="D1638" s="1077">
        <v>1.7250000000000001</v>
      </c>
      <c r="E1638" s="1077" t="s">
        <v>15104</v>
      </c>
      <c r="F1638" s="1077" t="s">
        <v>648</v>
      </c>
      <c r="G1638" s="1077">
        <v>5</v>
      </c>
      <c r="H1638" s="1077" t="s">
        <v>2192</v>
      </c>
      <c r="I1638" s="1077" t="s">
        <v>126</v>
      </c>
      <c r="J1638" s="1077">
        <v>1.4</v>
      </c>
      <c r="K1638" s="1077" t="s">
        <v>4839</v>
      </c>
      <c r="L1638" s="1077" t="s">
        <v>1776</v>
      </c>
      <c r="M1638" s="1077">
        <v>148</v>
      </c>
      <c r="N1638" s="1077" t="s">
        <v>945</v>
      </c>
      <c r="O1638" s="1077">
        <v>3.7</v>
      </c>
      <c r="P1638" s="1077">
        <v>2.96</v>
      </c>
      <c r="Q1638" s="1077">
        <v>4</v>
      </c>
      <c r="R1638" s="1077">
        <v>20.8</v>
      </c>
      <c r="T1638" s="1077">
        <v>20.399999999999999</v>
      </c>
      <c r="U1638" s="1077">
        <v>3.8</v>
      </c>
      <c r="V1638" s="1077" t="s">
        <v>648</v>
      </c>
      <c r="W1638" s="1077">
        <v>110</v>
      </c>
      <c r="X1638" s="1077">
        <v>60</v>
      </c>
      <c r="Y1638" s="1077">
        <v>1.7</v>
      </c>
      <c r="Z1638" s="1077" t="s">
        <v>648</v>
      </c>
      <c r="AA1638" s="1077" t="s">
        <v>3474</v>
      </c>
      <c r="AH1638" s="1077" t="s">
        <v>1360</v>
      </c>
      <c r="AM1638" s="1078" t="s">
        <v>12283</v>
      </c>
      <c r="AN1638" s="1078" t="s">
        <v>12284</v>
      </c>
      <c r="AO1638" s="1078">
        <f t="shared" si="206"/>
        <v>650</v>
      </c>
      <c r="AP1638" s="1078">
        <f t="shared" si="207"/>
        <v>1.7250000000000001</v>
      </c>
      <c r="AQ1638" s="1078" t="str">
        <f t="shared" si="208"/>
        <v>1-4-1S85°Z+S</v>
      </c>
      <c r="AR1638" s="1078" t="str">
        <f t="shared" si="209"/>
        <v>NA</v>
      </c>
      <c r="AS1638" s="1078" t="str">
        <f t="shared" si="210"/>
        <v>180/OFF</v>
      </c>
      <c r="AT1638" s="1078" t="str">
        <f t="shared" si="211"/>
        <v>1-4-1S85°Z+S</v>
      </c>
      <c r="AU1638" s="1078" t="s">
        <v>15547</v>
      </c>
      <c r="AV1638" s="1078" t="str">
        <f t="shared" si="204"/>
        <v>110.6.7</v>
      </c>
      <c r="AW1638" s="1344">
        <f t="shared" si="205"/>
        <v>44354</v>
      </c>
    </row>
    <row r="1639" spans="1:49">
      <c r="A1639" s="1077" t="s">
        <v>5589</v>
      </c>
      <c r="B1639" s="1077" t="s">
        <v>210</v>
      </c>
      <c r="C1639" s="1077">
        <v>700</v>
      </c>
      <c r="D1639" s="1077">
        <v>1.74</v>
      </c>
      <c r="E1639" s="1077" t="s">
        <v>15094</v>
      </c>
      <c r="F1639" s="1077" t="s">
        <v>984</v>
      </c>
      <c r="G1639" s="1077">
        <v>5</v>
      </c>
      <c r="H1639" s="1077" t="s">
        <v>5300</v>
      </c>
      <c r="I1639" s="1077" t="s">
        <v>126</v>
      </c>
      <c r="J1639" s="1077">
        <v>0.7</v>
      </c>
      <c r="K1639" s="1077" t="s">
        <v>5590</v>
      </c>
      <c r="L1639" s="1077" t="s">
        <v>4666</v>
      </c>
      <c r="M1639" s="1077">
        <v>151.5</v>
      </c>
      <c r="N1639" s="1077" t="s">
        <v>945</v>
      </c>
      <c r="O1639" s="1077">
        <v>3.7875000000000001</v>
      </c>
      <c r="P1639" s="1077">
        <v>3.0300000000000002</v>
      </c>
      <c r="Q1639" s="1077">
        <v>4</v>
      </c>
      <c r="R1639" s="1077">
        <v>19.100000000000001</v>
      </c>
      <c r="T1639" s="1077">
        <v>23.7</v>
      </c>
      <c r="U1639" s="1077">
        <v>3.2</v>
      </c>
      <c r="V1639" s="1077" t="s">
        <v>648</v>
      </c>
      <c r="W1639" s="1077">
        <v>35</v>
      </c>
      <c r="X1639" s="1077">
        <v>10</v>
      </c>
      <c r="Y1639" s="1077">
        <v>1</v>
      </c>
      <c r="Z1639" s="1077">
        <v>6</v>
      </c>
      <c r="AA1639" s="1077" t="s">
        <v>5446</v>
      </c>
      <c r="AB1639" s="1077" t="s">
        <v>4165</v>
      </c>
      <c r="AH1639" s="1077" t="s">
        <v>3601</v>
      </c>
      <c r="AM1639" s="1078" t="s">
        <v>12285</v>
      </c>
      <c r="AN1639" s="1078" t="s">
        <v>12286</v>
      </c>
      <c r="AO1639" s="1078">
        <f t="shared" si="206"/>
        <v>700</v>
      </c>
      <c r="AP1639" s="1078">
        <f t="shared" si="207"/>
        <v>1.74</v>
      </c>
      <c r="AQ1639" s="1078" t="str">
        <f t="shared" si="208"/>
        <v>1-5-1S91°</v>
      </c>
      <c r="AR1639" s="1078" t="str">
        <f t="shared" si="209"/>
        <v>30</v>
      </c>
      <c r="AS1639" s="1078" t="str">
        <f t="shared" si="210"/>
        <v>370/330/155</v>
      </c>
      <c r="AT1639" s="1078" t="str">
        <f t="shared" si="211"/>
        <v>1-5-1S91°</v>
      </c>
      <c r="AV1639" s="1078" t="str">
        <f t="shared" si="204"/>
        <v>110.7.26</v>
      </c>
      <c r="AW1639" s="1344">
        <f t="shared" si="205"/>
        <v>44403</v>
      </c>
    </row>
    <row r="1640" spans="1:49">
      <c r="A1640" s="1077" t="s">
        <v>5591</v>
      </c>
      <c r="B1640" s="1077" t="s">
        <v>210</v>
      </c>
      <c r="C1640" s="1077">
        <v>650</v>
      </c>
      <c r="D1640" s="1077">
        <v>1.77</v>
      </c>
      <c r="E1640" s="1077" t="s">
        <v>15094</v>
      </c>
      <c r="F1640" s="1077" t="s">
        <v>4013</v>
      </c>
      <c r="G1640" s="1077">
        <v>5</v>
      </c>
      <c r="H1640" s="1077" t="s">
        <v>5451</v>
      </c>
      <c r="I1640" s="1077" t="s">
        <v>126</v>
      </c>
      <c r="J1640" s="1077">
        <v>1.6</v>
      </c>
      <c r="K1640" s="1077" t="s">
        <v>5592</v>
      </c>
      <c r="L1640" s="1077" t="s">
        <v>4666</v>
      </c>
      <c r="M1640" s="1077">
        <v>152.19999999999999</v>
      </c>
      <c r="N1640" s="1077" t="s">
        <v>945</v>
      </c>
      <c r="O1640" s="1077">
        <v>3.8049999999999997</v>
      </c>
      <c r="P1640" s="1077">
        <v>3.044</v>
      </c>
      <c r="Q1640" s="1077">
        <v>4</v>
      </c>
      <c r="R1640" s="1077">
        <v>19</v>
      </c>
      <c r="T1640" s="1077">
        <v>16</v>
      </c>
      <c r="U1640" s="1077">
        <v>4</v>
      </c>
      <c r="V1640" s="1077" t="s">
        <v>648</v>
      </c>
      <c r="W1640" s="1077">
        <v>95</v>
      </c>
      <c r="X1640" s="1077">
        <v>20</v>
      </c>
      <c r="Y1640" s="1077">
        <v>1.5</v>
      </c>
      <c r="Z1640" s="1077">
        <v>5</v>
      </c>
      <c r="AA1640" s="1077" t="s">
        <v>3815</v>
      </c>
      <c r="AH1640" s="1077" t="s">
        <v>1238</v>
      </c>
      <c r="AM1640" s="1078" t="s">
        <v>12287</v>
      </c>
      <c r="AN1640" s="1078" t="s">
        <v>12288</v>
      </c>
      <c r="AO1640" s="1078">
        <f t="shared" si="206"/>
        <v>650</v>
      </c>
      <c r="AP1640" s="1078">
        <f t="shared" si="207"/>
        <v>1.77</v>
      </c>
      <c r="AQ1640" s="1078" t="str">
        <f t="shared" si="208"/>
        <v>1-5-1S91°</v>
      </c>
      <c r="AR1640" s="1078" t="str">
        <f t="shared" si="209"/>
        <v>30.3</v>
      </c>
      <c r="AS1640" s="1078" t="str">
        <f t="shared" si="210"/>
        <v>315/275/158</v>
      </c>
      <c r="AT1640" s="1078" t="str">
        <f t="shared" si="211"/>
        <v>1-5-1S91°</v>
      </c>
      <c r="AV1640" s="1078" t="str">
        <f t="shared" si="204"/>
        <v>110.10.1</v>
      </c>
      <c r="AW1640" s="1344">
        <f t="shared" si="205"/>
        <v>44470</v>
      </c>
    </row>
    <row r="1641" spans="1:49">
      <c r="A1641" s="1077" t="s">
        <v>5593</v>
      </c>
      <c r="B1641" s="1077" t="s">
        <v>5239</v>
      </c>
      <c r="C1641" s="1077">
        <v>650</v>
      </c>
      <c r="D1641" s="1077">
        <v>1.81</v>
      </c>
      <c r="E1641" s="1077" t="s">
        <v>15102</v>
      </c>
      <c r="F1641" s="1077" t="s">
        <v>4695</v>
      </c>
      <c r="G1641" s="1077">
        <v>5</v>
      </c>
      <c r="H1641" s="1077" t="s">
        <v>5383</v>
      </c>
      <c r="I1641" s="1077" t="s">
        <v>648</v>
      </c>
      <c r="J1641" s="1077">
        <v>0</v>
      </c>
      <c r="K1641" s="1077" t="s">
        <v>5241</v>
      </c>
      <c r="L1641" s="1077" t="s">
        <v>5242</v>
      </c>
      <c r="M1641" s="1077">
        <v>151.5</v>
      </c>
      <c r="N1641" s="1077" t="s">
        <v>945</v>
      </c>
      <c r="O1641" s="1077">
        <v>3.7875000000000001</v>
      </c>
      <c r="P1641" s="1077">
        <v>3.0300000000000002</v>
      </c>
      <c r="Q1641" s="1077">
        <v>4</v>
      </c>
      <c r="R1641" s="1077">
        <v>19.100000000000001</v>
      </c>
      <c r="T1641" s="1077">
        <v>19</v>
      </c>
      <c r="U1641" s="1077">
        <v>2.5</v>
      </c>
      <c r="V1641" s="1077" t="s">
        <v>648</v>
      </c>
      <c r="W1641" s="1077" t="s">
        <v>648</v>
      </c>
      <c r="X1641" s="1077" t="s">
        <v>648</v>
      </c>
      <c r="Y1641" s="1077">
        <v>1</v>
      </c>
      <c r="Z1641" s="1077">
        <v>5</v>
      </c>
      <c r="AA1641" s="1077" t="s">
        <v>5449</v>
      </c>
      <c r="AH1641" s="1077" t="s">
        <v>3830</v>
      </c>
      <c r="AM1641" s="1078" t="s">
        <v>12289</v>
      </c>
      <c r="AN1641" s="1078" t="s">
        <v>12290</v>
      </c>
      <c r="AO1641" s="1078">
        <f t="shared" si="206"/>
        <v>650</v>
      </c>
      <c r="AP1641" s="1078">
        <f t="shared" si="207"/>
        <v>1.81</v>
      </c>
      <c r="AQ1641" s="1078" t="str">
        <f t="shared" si="208"/>
        <v>2-6-1S83°</v>
      </c>
      <c r="AR1641" s="1078" t="str">
        <f t="shared" si="209"/>
        <v>32.8</v>
      </c>
      <c r="AS1641" s="1078" t="str">
        <f t="shared" si="210"/>
        <v>175/178</v>
      </c>
      <c r="AT1641" s="1078" t="str">
        <f t="shared" si="211"/>
        <v>2-6-1S83°</v>
      </c>
      <c r="AV1641" s="1078" t="str">
        <f t="shared" si="204"/>
        <v>110.11.9</v>
      </c>
      <c r="AW1641" s="1344">
        <f t="shared" si="205"/>
        <v>44509</v>
      </c>
    </row>
    <row r="1642" spans="1:49">
      <c r="A1642" s="1077" t="s">
        <v>5594</v>
      </c>
      <c r="B1642" s="1077" t="s">
        <v>4729</v>
      </c>
      <c r="C1642" s="1077">
        <v>700</v>
      </c>
      <c r="D1642" s="1077">
        <v>1.73</v>
      </c>
      <c r="E1642" s="1077" t="s">
        <v>15111</v>
      </c>
      <c r="F1642" s="1077" t="s">
        <v>984</v>
      </c>
      <c r="G1642" s="1077">
        <v>5</v>
      </c>
      <c r="H1642" s="1077" t="s">
        <v>5432</v>
      </c>
      <c r="I1642" s="1077" t="s">
        <v>126</v>
      </c>
      <c r="J1642" s="1077">
        <v>1.5</v>
      </c>
      <c r="K1642" s="1077" t="s">
        <v>5595</v>
      </c>
      <c r="L1642" s="1077" t="s">
        <v>4731</v>
      </c>
      <c r="M1642" s="1077">
        <v>153</v>
      </c>
      <c r="N1642" s="1077" t="s">
        <v>945</v>
      </c>
      <c r="O1642" s="1077">
        <v>3.8250000000000002</v>
      </c>
      <c r="P1642" s="1077">
        <v>3.06</v>
      </c>
      <c r="Q1642" s="1077">
        <v>4</v>
      </c>
      <c r="R1642" s="1077">
        <v>20.5</v>
      </c>
      <c r="T1642" s="1077">
        <v>11.5</v>
      </c>
      <c r="U1642" s="1077">
        <v>3.7</v>
      </c>
      <c r="V1642" s="1077" t="s">
        <v>648</v>
      </c>
      <c r="W1642" s="1077">
        <v>80</v>
      </c>
      <c r="X1642" s="1077" t="s">
        <v>5535</v>
      </c>
      <c r="Y1642" s="1077">
        <v>1.7</v>
      </c>
      <c r="Z1642" s="1077">
        <v>5</v>
      </c>
      <c r="AA1642" s="1077" t="s">
        <v>2202</v>
      </c>
      <c r="AB1642" s="1077" t="s">
        <v>981</v>
      </c>
      <c r="AH1642" s="1077" t="s">
        <v>877</v>
      </c>
      <c r="AM1642" s="1078" t="s">
        <v>12291</v>
      </c>
      <c r="AN1642" s="1078" t="s">
        <v>12292</v>
      </c>
      <c r="AO1642" s="1078">
        <f t="shared" si="206"/>
        <v>700</v>
      </c>
      <c r="AP1642" s="1078">
        <f t="shared" si="207"/>
        <v>1.73</v>
      </c>
      <c r="AQ1642" s="1078" t="str">
        <f t="shared" si="208"/>
        <v>1-5-1S91</v>
      </c>
      <c r="AR1642" s="1078" t="str">
        <f t="shared" si="209"/>
        <v>30</v>
      </c>
      <c r="AS1642" s="1078" t="str">
        <f t="shared" si="210"/>
        <v>330/330/170</v>
      </c>
      <c r="AT1642" s="1078" t="str">
        <f t="shared" si="211"/>
        <v>1-5-1S91</v>
      </c>
      <c r="AV1642" s="1078" t="str">
        <f t="shared" si="204"/>
        <v>111.5.16</v>
      </c>
      <c r="AW1642" s="1344">
        <f t="shared" si="205"/>
        <v>44697</v>
      </c>
    </row>
    <row r="1643" spans="1:49">
      <c r="A1643" s="1077" t="s">
        <v>5596</v>
      </c>
      <c r="B1643" s="1077" t="s">
        <v>210</v>
      </c>
      <c r="C1643" s="1077" t="s">
        <v>5597</v>
      </c>
      <c r="D1643" s="1077">
        <v>1.74</v>
      </c>
      <c r="E1643" s="1077" t="s">
        <v>15094</v>
      </c>
      <c r="F1643" s="1077" t="s">
        <v>984</v>
      </c>
      <c r="G1643" s="1077">
        <v>5</v>
      </c>
      <c r="H1643" s="1077" t="s">
        <v>5486</v>
      </c>
      <c r="I1643" s="1077" t="s">
        <v>126</v>
      </c>
      <c r="J1643" s="1077">
        <v>0.7</v>
      </c>
      <c r="K1643" s="1077" t="s">
        <v>5526</v>
      </c>
      <c r="L1643" s="1077" t="s">
        <v>4666</v>
      </c>
      <c r="M1643" s="1077">
        <v>151.5</v>
      </c>
      <c r="N1643" s="1077" t="s">
        <v>945</v>
      </c>
      <c r="O1643" s="1077">
        <v>3.7875000000000001</v>
      </c>
      <c r="P1643" s="1077">
        <v>3.0300000000000002</v>
      </c>
      <c r="Q1643" s="1077">
        <v>4</v>
      </c>
      <c r="R1643" s="1077">
        <v>19.100000000000001</v>
      </c>
      <c r="T1643" s="1077">
        <v>23.7</v>
      </c>
      <c r="U1643" s="1077">
        <v>3.2</v>
      </c>
      <c r="V1643" s="1077" t="s">
        <v>648</v>
      </c>
      <c r="W1643" s="1077">
        <v>35</v>
      </c>
      <c r="X1643" s="1077">
        <v>10</v>
      </c>
      <c r="Y1643" s="1077">
        <v>1</v>
      </c>
      <c r="Z1643" s="1077">
        <v>6</v>
      </c>
      <c r="AA1643" s="1077" t="s">
        <v>2212</v>
      </c>
      <c r="AH1643" s="1077" t="s">
        <v>1143</v>
      </c>
      <c r="AM1643" s="1078" t="s">
        <v>12293</v>
      </c>
      <c r="AN1643" s="1078" t="s">
        <v>12294</v>
      </c>
      <c r="AO1643" s="1078" t="str">
        <f t="shared" si="206"/>
        <v>600↓550-6/15</v>
      </c>
      <c r="AP1643" s="1078">
        <f t="shared" si="207"/>
        <v>1.74</v>
      </c>
      <c r="AQ1643" s="1078" t="str">
        <f t="shared" si="208"/>
        <v>1-5-1S91°</v>
      </c>
      <c r="AR1643" s="1078" t="str">
        <f t="shared" si="209"/>
        <v>30</v>
      </c>
      <c r="AS1643" s="1078" t="str">
        <f t="shared" si="210"/>
        <v>330/290/140</v>
      </c>
      <c r="AT1643" s="1078" t="str">
        <f t="shared" si="211"/>
        <v>1-5-1S91°</v>
      </c>
      <c r="AV1643" s="1078" t="str">
        <f t="shared" si="204"/>
        <v>111.5.30</v>
      </c>
      <c r="AW1643" s="1344">
        <f t="shared" si="205"/>
        <v>44711</v>
      </c>
    </row>
    <row r="1644" spans="1:49">
      <c r="A1644" s="1077" t="s">
        <v>5598</v>
      </c>
      <c r="B1644" s="1077" t="s">
        <v>5372</v>
      </c>
      <c r="C1644" s="1077">
        <v>600</v>
      </c>
      <c r="D1644" s="1077">
        <v>1.7350000000000001</v>
      </c>
      <c r="E1644" s="1077" t="s">
        <v>15109</v>
      </c>
      <c r="F1644" s="1077" t="s">
        <v>648</v>
      </c>
      <c r="G1644" s="1077">
        <v>5</v>
      </c>
      <c r="H1644" s="1077" t="s">
        <v>2192</v>
      </c>
      <c r="I1644" s="1077" t="s">
        <v>126</v>
      </c>
      <c r="J1644" s="1077">
        <v>1.5</v>
      </c>
      <c r="K1644" s="1077" t="s">
        <v>5373</v>
      </c>
      <c r="L1644" s="1077" t="s">
        <v>2104</v>
      </c>
      <c r="M1644" s="1077">
        <v>149</v>
      </c>
      <c r="N1644" s="1077" t="s">
        <v>945</v>
      </c>
      <c r="O1644" s="1077">
        <v>3.7250000000000001</v>
      </c>
      <c r="P1644" s="1077">
        <v>2.98</v>
      </c>
      <c r="Q1644" s="1077">
        <v>4</v>
      </c>
      <c r="R1644" s="1077">
        <v>21.8</v>
      </c>
      <c r="T1644" s="1077">
        <v>22.6</v>
      </c>
      <c r="U1644" s="1077">
        <v>3.6</v>
      </c>
      <c r="V1644" s="1077" t="s">
        <v>2520</v>
      </c>
      <c r="W1644" s="1077">
        <v>120</v>
      </c>
      <c r="X1644" s="1077">
        <v>70</v>
      </c>
      <c r="Y1644" s="1077">
        <v>1.5</v>
      </c>
      <c r="Z1644" s="1077" t="s">
        <v>648</v>
      </c>
      <c r="AA1644" s="1077" t="s">
        <v>1494</v>
      </c>
      <c r="AH1644" s="1077" t="s">
        <v>948</v>
      </c>
      <c r="AM1644" s="1078" t="s">
        <v>12295</v>
      </c>
      <c r="AN1644" s="1078" t="s">
        <v>12296</v>
      </c>
      <c r="AO1644" s="1078">
        <f t="shared" si="206"/>
        <v>600</v>
      </c>
      <c r="AP1644" s="1078">
        <f t="shared" si="207"/>
        <v>1.7350000000000001</v>
      </c>
      <c r="AQ1644" s="1078" t="str">
        <f t="shared" si="208"/>
        <v>1-5-1S85°Z+S</v>
      </c>
      <c r="AR1644" s="1078" t="str">
        <f t="shared" si="209"/>
        <v>NA</v>
      </c>
      <c r="AS1644" s="1078" t="str">
        <f t="shared" si="210"/>
        <v>180/OFF</v>
      </c>
      <c r="AT1644" s="1078" t="str">
        <f t="shared" si="211"/>
        <v>1-5-1S85°Z+S</v>
      </c>
      <c r="AU1644" s="1078" t="s">
        <v>15547</v>
      </c>
      <c r="AV1644" s="1078" t="str">
        <f t="shared" si="204"/>
        <v>111.5.13</v>
      </c>
      <c r="AW1644" s="1344">
        <f t="shared" si="205"/>
        <v>44694</v>
      </c>
    </row>
    <row r="1645" spans="1:49">
      <c r="A1645" s="1077" t="s">
        <v>5599</v>
      </c>
      <c r="B1645" s="1077" t="s">
        <v>5148</v>
      </c>
      <c r="C1645" s="1077">
        <v>650</v>
      </c>
      <c r="D1645" s="1077">
        <v>1.7350000000000001</v>
      </c>
      <c r="E1645" s="1077" t="s">
        <v>15102</v>
      </c>
      <c r="F1645" s="1077" t="s">
        <v>1349</v>
      </c>
      <c r="G1645" s="1077">
        <v>5</v>
      </c>
      <c r="H1645" s="1077" t="s">
        <v>5600</v>
      </c>
      <c r="I1645" s="1077" t="s">
        <v>648</v>
      </c>
      <c r="J1645" s="1077">
        <v>0</v>
      </c>
      <c r="K1645" s="1077" t="s">
        <v>5601</v>
      </c>
      <c r="L1645" s="1077" t="s">
        <v>5152</v>
      </c>
      <c r="M1645" s="1077">
        <v>149.9</v>
      </c>
      <c r="N1645" s="1077" t="s">
        <v>945</v>
      </c>
      <c r="O1645" s="1077">
        <v>3.7475000000000005</v>
      </c>
      <c r="P1645" s="1077">
        <v>2.9980000000000002</v>
      </c>
      <c r="Q1645" s="1077">
        <v>4</v>
      </c>
      <c r="R1645" s="1077">
        <v>24</v>
      </c>
      <c r="T1645" s="1077">
        <v>17</v>
      </c>
      <c r="U1645" s="1077">
        <v>2.6</v>
      </c>
      <c r="V1645" s="1077" t="s">
        <v>648</v>
      </c>
      <c r="W1645" s="1077" t="s">
        <v>648</v>
      </c>
      <c r="X1645" s="1077" t="s">
        <v>648</v>
      </c>
      <c r="Y1645" s="1077">
        <v>1</v>
      </c>
      <c r="Z1645" s="1077">
        <v>5</v>
      </c>
      <c r="AA1645" s="1077" t="s">
        <v>2202</v>
      </c>
      <c r="AB1645" s="1077" t="s">
        <v>5311</v>
      </c>
      <c r="AH1645" s="1077" t="s">
        <v>812</v>
      </c>
      <c r="AM1645" s="1078" t="s">
        <v>12297</v>
      </c>
      <c r="AN1645" s="1078" t="s">
        <v>12298</v>
      </c>
      <c r="AO1645" s="1078">
        <f t="shared" si="206"/>
        <v>650</v>
      </c>
      <c r="AP1645" s="1078">
        <f t="shared" si="207"/>
        <v>1.7350000000000001</v>
      </c>
      <c r="AQ1645" s="1078" t="str">
        <f t="shared" si="208"/>
        <v>2-6-1S83°</v>
      </c>
      <c r="AR1645" s="1078" t="str">
        <f t="shared" si="209"/>
        <v>31.2</v>
      </c>
      <c r="AS1645" s="1078" t="str">
        <f t="shared" si="210"/>
        <v>165/178</v>
      </c>
      <c r="AT1645" s="1078" t="str">
        <f t="shared" si="211"/>
        <v>2-6-1S83°</v>
      </c>
      <c r="AV1645" s="1078" t="str">
        <f t="shared" si="204"/>
        <v>111.5.16</v>
      </c>
      <c r="AW1645" s="1344">
        <f t="shared" si="205"/>
        <v>44697</v>
      </c>
    </row>
    <row r="1646" spans="1:49">
      <c r="A1646" s="1077" t="s">
        <v>5602</v>
      </c>
      <c r="B1646" s="1077" t="s">
        <v>4860</v>
      </c>
      <c r="C1646" s="1077">
        <v>700</v>
      </c>
      <c r="D1646" s="1077">
        <v>1.77</v>
      </c>
      <c r="E1646" s="1077" t="s">
        <v>15109</v>
      </c>
      <c r="F1646" s="1077" t="s">
        <v>648</v>
      </c>
      <c r="G1646" s="1077">
        <v>5</v>
      </c>
      <c r="H1646" s="1077" t="s">
        <v>4874</v>
      </c>
      <c r="I1646" s="1077" t="s">
        <v>460</v>
      </c>
      <c r="J1646" s="1077">
        <v>2</v>
      </c>
      <c r="K1646" s="1077" t="s">
        <v>5603</v>
      </c>
      <c r="L1646" s="1077" t="s">
        <v>4864</v>
      </c>
      <c r="M1646" s="1077">
        <v>149.5</v>
      </c>
      <c r="N1646" s="1077" t="s">
        <v>945</v>
      </c>
      <c r="O1646" s="1077">
        <v>3.7375000000000003</v>
      </c>
      <c r="P1646" s="1077">
        <v>2.99</v>
      </c>
      <c r="Q1646" s="1077">
        <v>4</v>
      </c>
      <c r="R1646" s="1077">
        <v>21</v>
      </c>
      <c r="T1646" s="1077">
        <v>37</v>
      </c>
      <c r="U1646" s="1077">
        <v>3.7</v>
      </c>
      <c r="V1646" s="1077" t="s">
        <v>648</v>
      </c>
      <c r="W1646" s="1077">
        <v>110</v>
      </c>
      <c r="X1646" s="1077">
        <v>40</v>
      </c>
      <c r="Y1646" s="1077">
        <v>2.2000000000000002</v>
      </c>
      <c r="Z1646" s="1077" t="s">
        <v>648</v>
      </c>
      <c r="AA1646" s="1077" t="s">
        <v>5604</v>
      </c>
      <c r="AH1646" s="1077" t="s">
        <v>782</v>
      </c>
      <c r="AM1646" s="1078" t="s">
        <v>12299</v>
      </c>
      <c r="AN1646" s="1078" t="s">
        <v>12300</v>
      </c>
      <c r="AO1646" s="1078">
        <f t="shared" si="206"/>
        <v>700</v>
      </c>
      <c r="AP1646" s="1078">
        <f t="shared" si="207"/>
        <v>1.77</v>
      </c>
      <c r="AQ1646" s="1078" t="str">
        <f t="shared" si="208"/>
        <v>1-5-1S85°Z+S</v>
      </c>
      <c r="AR1646" s="1078" t="str">
        <f t="shared" si="209"/>
        <v>NA</v>
      </c>
      <c r="AS1646" s="1078" t="str">
        <f t="shared" si="210"/>
        <v>187/OFF</v>
      </c>
      <c r="AT1646" s="1078" t="str">
        <f t="shared" si="211"/>
        <v>1-5-1S85°Z+S</v>
      </c>
      <c r="AU1646" s="1078" t="s">
        <v>15547</v>
      </c>
      <c r="AV1646" s="1078" t="str">
        <f t="shared" si="204"/>
        <v>111.5.21</v>
      </c>
      <c r="AW1646" s="1344">
        <f t="shared" si="205"/>
        <v>44702</v>
      </c>
    </row>
    <row r="1647" spans="1:49">
      <c r="A1647" s="1077" t="s">
        <v>5605</v>
      </c>
      <c r="B1647" s="1077" t="s">
        <v>886</v>
      </c>
      <c r="C1647" s="1077">
        <v>600</v>
      </c>
      <c r="D1647" s="1077">
        <v>1.72</v>
      </c>
      <c r="E1647" s="1077" t="s">
        <v>15094</v>
      </c>
      <c r="F1647" s="1077" t="s">
        <v>984</v>
      </c>
      <c r="G1647" s="1077">
        <v>5</v>
      </c>
      <c r="H1647" s="1077" t="s">
        <v>2885</v>
      </c>
      <c r="I1647" s="1077" t="s">
        <v>126</v>
      </c>
      <c r="J1647" s="1077">
        <v>2.8</v>
      </c>
      <c r="K1647" s="1077" t="s">
        <v>5606</v>
      </c>
      <c r="L1647" s="1077" t="s">
        <v>5556</v>
      </c>
      <c r="M1647" s="1077">
        <v>152</v>
      </c>
      <c r="N1647" s="1077" t="s">
        <v>945</v>
      </c>
      <c r="O1647" s="1077">
        <v>3.8000000000000003</v>
      </c>
      <c r="P1647" s="1077">
        <v>3.04</v>
      </c>
      <c r="Q1647" s="1077">
        <v>4</v>
      </c>
      <c r="R1647" s="1077">
        <v>23.5</v>
      </c>
      <c r="T1647" s="1077">
        <v>30</v>
      </c>
      <c r="U1647" s="1077">
        <v>3.5</v>
      </c>
      <c r="V1647" s="1077" t="s">
        <v>648</v>
      </c>
      <c r="W1647" s="1077">
        <v>115</v>
      </c>
      <c r="X1647" s="1077">
        <v>50</v>
      </c>
      <c r="Y1647" s="1077">
        <v>1.5</v>
      </c>
      <c r="Z1647" s="1077">
        <v>7</v>
      </c>
      <c r="AA1647" s="1077" t="s">
        <v>5607</v>
      </c>
      <c r="AH1647" s="1077" t="s">
        <v>456</v>
      </c>
      <c r="AM1647" s="1078" t="s">
        <v>12301</v>
      </c>
      <c r="AN1647" s="1078" t="s">
        <v>12302</v>
      </c>
      <c r="AO1647" s="1078">
        <f t="shared" si="206"/>
        <v>600</v>
      </c>
      <c r="AP1647" s="1078">
        <f t="shared" si="207"/>
        <v>1.72</v>
      </c>
      <c r="AQ1647" s="1078" t="str">
        <f t="shared" si="208"/>
        <v>1-5-1S91°</v>
      </c>
      <c r="AR1647" s="1078" t="str">
        <f t="shared" si="209"/>
        <v>30</v>
      </c>
      <c r="AS1647" s="1078" t="str">
        <f t="shared" si="210"/>
        <v>335/335/OFF</v>
      </c>
      <c r="AT1647" s="1078" t="str">
        <f t="shared" si="211"/>
        <v>1-5-1S91°</v>
      </c>
      <c r="AV1647" s="1078" t="str">
        <f t="shared" si="204"/>
        <v>111.5.20</v>
      </c>
      <c r="AW1647" s="1344">
        <f t="shared" si="205"/>
        <v>44701</v>
      </c>
    </row>
    <row r="1648" spans="1:49">
      <c r="A1648" s="1077" t="s">
        <v>5608</v>
      </c>
      <c r="B1648" s="1077" t="s">
        <v>5148</v>
      </c>
      <c r="C1648" s="1077">
        <v>600</v>
      </c>
      <c r="D1648" s="1077">
        <v>1.78</v>
      </c>
      <c r="E1648" s="1077" t="s">
        <v>15088</v>
      </c>
      <c r="F1648" s="1077" t="s">
        <v>648</v>
      </c>
      <c r="G1648" s="1077">
        <v>2</v>
      </c>
      <c r="H1648" s="1077" t="s">
        <v>5424</v>
      </c>
      <c r="I1648" s="1077" t="s">
        <v>126</v>
      </c>
      <c r="J1648" s="1077">
        <v>2</v>
      </c>
      <c r="K1648" s="1077" t="s">
        <v>5609</v>
      </c>
      <c r="L1648" s="1077" t="s">
        <v>5152</v>
      </c>
      <c r="M1648" s="1077">
        <v>150</v>
      </c>
      <c r="N1648" s="1077" t="s">
        <v>945</v>
      </c>
      <c r="O1648" s="1077">
        <v>3.75</v>
      </c>
      <c r="P1648" s="1077">
        <v>3</v>
      </c>
      <c r="Q1648" s="1077">
        <v>4</v>
      </c>
      <c r="R1648" s="1077">
        <v>21.5</v>
      </c>
      <c r="T1648" s="1077">
        <v>21</v>
      </c>
      <c r="U1648" s="1077">
        <v>2.2999999999999998</v>
      </c>
      <c r="V1648" s="1077" t="s">
        <v>648</v>
      </c>
      <c r="W1648" s="1077">
        <v>130</v>
      </c>
      <c r="X1648" s="1077">
        <v>85</v>
      </c>
      <c r="Y1648" s="1077">
        <v>1.2</v>
      </c>
      <c r="Z1648" s="1077">
        <v>5.5</v>
      </c>
      <c r="AA1648" s="1077" t="s">
        <v>1497</v>
      </c>
      <c r="AH1648" s="1077" t="s">
        <v>5523</v>
      </c>
      <c r="AM1648" s="1078" t="s">
        <v>12303</v>
      </c>
      <c r="AN1648" s="1078" t="s">
        <v>12304</v>
      </c>
      <c r="AO1648" s="1078">
        <f t="shared" si="206"/>
        <v>600</v>
      </c>
      <c r="AP1648" s="1078">
        <f t="shared" si="207"/>
        <v>1.78</v>
      </c>
      <c r="AQ1648" s="1078" t="str">
        <f t="shared" si="208"/>
        <v>1-4-1S85°</v>
      </c>
      <c r="AR1648" s="1078" t="str">
        <f t="shared" si="209"/>
        <v>NA</v>
      </c>
      <c r="AS1648" s="1078" t="str">
        <f t="shared" si="210"/>
        <v>200/175</v>
      </c>
      <c r="AT1648" s="1078" t="str">
        <f t="shared" si="211"/>
        <v>1-4-1S85°</v>
      </c>
      <c r="AV1648" s="1078" t="str">
        <f t="shared" si="204"/>
        <v>111.5.31</v>
      </c>
      <c r="AW1648" s="1344">
        <f t="shared" si="205"/>
        <v>44712</v>
      </c>
    </row>
    <row r="1649" spans="1:49">
      <c r="A1649" s="1077" t="s">
        <v>5610</v>
      </c>
      <c r="B1649" s="1077" t="s">
        <v>210</v>
      </c>
      <c r="C1649" s="1077" t="s">
        <v>5611</v>
      </c>
      <c r="D1649" s="1077">
        <v>1.74</v>
      </c>
      <c r="E1649" s="1077" t="s">
        <v>15094</v>
      </c>
      <c r="F1649" s="1077" t="s">
        <v>984</v>
      </c>
      <c r="G1649" s="1077">
        <v>5</v>
      </c>
      <c r="H1649" s="1077" t="s">
        <v>5486</v>
      </c>
      <c r="I1649" s="1077" t="s">
        <v>126</v>
      </c>
      <c r="J1649" s="1077">
        <v>0.8</v>
      </c>
      <c r="K1649" s="1077" t="s">
        <v>5612</v>
      </c>
      <c r="L1649" s="1077" t="s">
        <v>4666</v>
      </c>
      <c r="M1649" s="1077">
        <v>151.5</v>
      </c>
      <c r="N1649" s="1077" t="s">
        <v>945</v>
      </c>
      <c r="O1649" s="1077">
        <v>3.7875000000000001</v>
      </c>
      <c r="P1649" s="1077">
        <v>3.0300000000000002</v>
      </c>
      <c r="Q1649" s="1077">
        <v>4</v>
      </c>
      <c r="R1649" s="1077">
        <v>19.100000000000001</v>
      </c>
      <c r="T1649" s="1077">
        <v>23.7</v>
      </c>
      <c r="U1649" s="1077">
        <v>3.2</v>
      </c>
      <c r="V1649" s="1077" t="s">
        <v>648</v>
      </c>
      <c r="W1649" s="1077">
        <v>35</v>
      </c>
      <c r="X1649" s="1077">
        <v>10</v>
      </c>
      <c r="Y1649" s="1077">
        <v>1</v>
      </c>
      <c r="Z1649" s="1077">
        <v>6</v>
      </c>
      <c r="AA1649" s="1077" t="s">
        <v>1497</v>
      </c>
      <c r="AH1649" s="1077" t="s">
        <v>990</v>
      </c>
      <c r="AM1649" s="1078" t="s">
        <v>12305</v>
      </c>
      <c r="AN1649" s="1078" t="s">
        <v>12306</v>
      </c>
      <c r="AO1649" s="1078" t="str">
        <f t="shared" si="206"/>
        <v>600↓550-6/9</v>
      </c>
      <c r="AP1649" s="1078">
        <f t="shared" si="207"/>
        <v>1.74</v>
      </c>
      <c r="AQ1649" s="1078" t="str">
        <f t="shared" si="208"/>
        <v>1-5-1S91°</v>
      </c>
      <c r="AR1649" s="1078" t="str">
        <f t="shared" si="209"/>
        <v>30</v>
      </c>
      <c r="AS1649" s="1078" t="str">
        <f t="shared" si="210"/>
        <v>330/290/140</v>
      </c>
      <c r="AT1649" s="1078" t="str">
        <f t="shared" si="211"/>
        <v>1-5-1S91°</v>
      </c>
      <c r="AV1649" s="1078" t="str">
        <f t="shared" si="204"/>
        <v>111.5.31</v>
      </c>
      <c r="AW1649" s="1344">
        <f t="shared" si="205"/>
        <v>44712</v>
      </c>
    </row>
    <row r="1650" spans="1:49">
      <c r="A1650" s="1077" t="s">
        <v>5613</v>
      </c>
      <c r="B1650" s="1077" t="s">
        <v>5614</v>
      </c>
      <c r="C1650" s="1077">
        <v>600</v>
      </c>
      <c r="D1650" s="1077">
        <v>1.79</v>
      </c>
      <c r="E1650" s="1077" t="s">
        <v>15118</v>
      </c>
      <c r="F1650" s="1077" t="s">
        <v>2234</v>
      </c>
      <c r="G1650" s="1077">
        <v>4</v>
      </c>
      <c r="H1650" s="1077" t="s">
        <v>5126</v>
      </c>
      <c r="I1650" s="1077" t="s">
        <v>648</v>
      </c>
      <c r="J1650" s="1077">
        <v>0</v>
      </c>
      <c r="K1650" s="1077" t="s">
        <v>5615</v>
      </c>
      <c r="L1650" s="1077" t="s">
        <v>5616</v>
      </c>
      <c r="M1650" s="1077">
        <v>150</v>
      </c>
      <c r="N1650" s="1077" t="s">
        <v>945</v>
      </c>
      <c r="O1650" s="1077">
        <v>3.75</v>
      </c>
      <c r="P1650" s="1077">
        <v>3</v>
      </c>
      <c r="Q1650" s="1077">
        <v>3.5</v>
      </c>
      <c r="R1650" s="1077">
        <v>21.8</v>
      </c>
      <c r="T1650" s="1077">
        <v>21.5</v>
      </c>
      <c r="U1650" s="1077">
        <v>2.4</v>
      </c>
      <c r="V1650" s="1077" t="s">
        <v>648</v>
      </c>
      <c r="W1650" s="1077" t="s">
        <v>648</v>
      </c>
      <c r="X1650" s="1077" t="s">
        <v>648</v>
      </c>
      <c r="Y1650" s="1077">
        <v>1.8</v>
      </c>
      <c r="Z1650" s="1077">
        <v>5.5</v>
      </c>
      <c r="AA1650" s="1077" t="s">
        <v>1497</v>
      </c>
      <c r="AH1650" s="1077" t="s">
        <v>5617</v>
      </c>
      <c r="AM1650" s="1078" t="s">
        <v>12307</v>
      </c>
      <c r="AN1650" s="1078" t="s">
        <v>12308</v>
      </c>
      <c r="AO1650" s="1078">
        <f t="shared" si="206"/>
        <v>600</v>
      </c>
      <c r="AP1650" s="1078">
        <f t="shared" si="207"/>
        <v>1.79</v>
      </c>
      <c r="AQ1650" s="1078" t="str">
        <f t="shared" si="208"/>
        <v>1-5-1S83</v>
      </c>
      <c r="AR1650" s="1078" t="str">
        <f t="shared" si="209"/>
        <v>33.5</v>
      </c>
      <c r="AS1650" s="1078" t="str">
        <f t="shared" si="210"/>
        <v>300/300/140</v>
      </c>
      <c r="AT1650" s="1078" t="str">
        <f t="shared" si="211"/>
        <v>1-5-1S83</v>
      </c>
      <c r="AV1650" s="1078" t="str">
        <f t="shared" si="204"/>
        <v>111.5.31</v>
      </c>
      <c r="AW1650" s="1344">
        <f t="shared" si="205"/>
        <v>44712</v>
      </c>
    </row>
    <row r="1651" spans="1:49">
      <c r="A1651" s="1077" t="s">
        <v>5618</v>
      </c>
      <c r="B1651" s="1077" t="s">
        <v>5250</v>
      </c>
      <c r="C1651" s="1077">
        <v>600</v>
      </c>
      <c r="D1651" s="1077">
        <v>1.74</v>
      </c>
      <c r="E1651" s="1077" t="s">
        <v>15102</v>
      </c>
      <c r="F1651" s="1077" t="s">
        <v>984</v>
      </c>
      <c r="G1651" s="1077">
        <v>5</v>
      </c>
      <c r="H1651" s="1077" t="s">
        <v>5017</v>
      </c>
      <c r="I1651" s="1077" t="s">
        <v>1112</v>
      </c>
      <c r="J1651" s="1077">
        <v>0.7</v>
      </c>
      <c r="K1651" s="1077" t="s">
        <v>5558</v>
      </c>
      <c r="L1651" s="1077" t="s">
        <v>5253</v>
      </c>
      <c r="M1651" s="1077">
        <v>151.5</v>
      </c>
      <c r="N1651" s="1077" t="s">
        <v>945</v>
      </c>
      <c r="O1651" s="1077">
        <v>3.7875000000000001</v>
      </c>
      <c r="P1651" s="1077">
        <v>3.0300000000000002</v>
      </c>
      <c r="Q1651" s="1077">
        <v>3.5</v>
      </c>
      <c r="R1651" s="1077">
        <v>20</v>
      </c>
      <c r="T1651" s="1077">
        <v>24</v>
      </c>
      <c r="U1651" s="1077">
        <v>3</v>
      </c>
      <c r="V1651" s="1077" t="s">
        <v>648</v>
      </c>
      <c r="W1651" s="1077">
        <v>30</v>
      </c>
      <c r="X1651" s="1077">
        <v>10</v>
      </c>
      <c r="Y1651" s="1077">
        <v>1.5</v>
      </c>
      <c r="Z1651" s="1077">
        <v>6</v>
      </c>
      <c r="AA1651" s="1077" t="s">
        <v>5619</v>
      </c>
      <c r="AH1651" s="1077" t="s">
        <v>5620</v>
      </c>
      <c r="AM1651" s="1078" t="s">
        <v>12309</v>
      </c>
      <c r="AN1651" s="1078" t="s">
        <v>12310</v>
      </c>
      <c r="AO1651" s="1078">
        <f t="shared" si="206"/>
        <v>600</v>
      </c>
      <c r="AP1651" s="1078">
        <f t="shared" si="207"/>
        <v>1.74</v>
      </c>
      <c r="AQ1651" s="1078" t="str">
        <f t="shared" si="208"/>
        <v>2-6-1S83°</v>
      </c>
      <c r="AR1651" s="1078" t="str">
        <f t="shared" si="209"/>
        <v>30</v>
      </c>
      <c r="AS1651" s="1078" t="str">
        <f t="shared" si="210"/>
        <v>187/170</v>
      </c>
      <c r="AT1651" s="1078" t="str">
        <f t="shared" si="211"/>
        <v>2-6-1S83°</v>
      </c>
      <c r="AV1651" s="1078" t="str">
        <f t="shared" si="204"/>
        <v>111.6.1</v>
      </c>
      <c r="AW1651" s="1344">
        <f t="shared" si="205"/>
        <v>44713</v>
      </c>
    </row>
    <row r="1652" spans="1:49">
      <c r="A1652" s="1077" t="s">
        <v>5621</v>
      </c>
      <c r="B1652" s="1077" t="s">
        <v>617</v>
      </c>
      <c r="C1652" s="1077">
        <v>600</v>
      </c>
      <c r="D1652" s="1077">
        <v>1.75</v>
      </c>
      <c r="E1652" s="1077" t="s">
        <v>15094</v>
      </c>
      <c r="F1652" s="1077" t="s">
        <v>984</v>
      </c>
      <c r="G1652" s="1077">
        <v>5</v>
      </c>
      <c r="H1652" s="1077" t="s">
        <v>955</v>
      </c>
      <c r="I1652" s="1077" t="s">
        <v>126</v>
      </c>
      <c r="J1652" s="1077">
        <v>2.1</v>
      </c>
      <c r="K1652" s="1077" t="s">
        <v>5622</v>
      </c>
      <c r="L1652" s="1077" t="s">
        <v>4854</v>
      </c>
      <c r="M1652" s="1077">
        <v>150.30000000000001</v>
      </c>
      <c r="N1652" s="1077" t="s">
        <v>945</v>
      </c>
      <c r="O1652" s="1077">
        <v>3.7575000000000003</v>
      </c>
      <c r="P1652" s="1077">
        <v>3.0060000000000002</v>
      </c>
      <c r="Q1652" s="1077">
        <v>3</v>
      </c>
      <c r="R1652" s="1077">
        <v>24.5</v>
      </c>
      <c r="T1652" s="1077">
        <v>13</v>
      </c>
      <c r="U1652" s="1077">
        <v>7</v>
      </c>
      <c r="V1652" s="1077" t="s">
        <v>648</v>
      </c>
      <c r="W1652" s="1077">
        <v>115</v>
      </c>
      <c r="X1652" s="1077">
        <v>50</v>
      </c>
      <c r="Y1652" s="1077">
        <v>1.7</v>
      </c>
      <c r="Z1652" s="1077">
        <v>6.5</v>
      </c>
      <c r="AA1652" s="1077" t="s">
        <v>2218</v>
      </c>
      <c r="AH1652" s="1077" t="s">
        <v>758</v>
      </c>
      <c r="AM1652" s="1078" t="s">
        <v>12311</v>
      </c>
      <c r="AN1652" s="1078" t="s">
        <v>12312</v>
      </c>
      <c r="AO1652" s="1078">
        <f t="shared" si="206"/>
        <v>600</v>
      </c>
      <c r="AP1652" s="1078">
        <f t="shared" si="207"/>
        <v>1.75</v>
      </c>
      <c r="AQ1652" s="1078" t="str">
        <f t="shared" si="208"/>
        <v>1-5-1S91°</v>
      </c>
      <c r="AR1652" s="1078" t="str">
        <f t="shared" si="209"/>
        <v>30</v>
      </c>
      <c r="AS1652" s="1078" t="str">
        <f t="shared" si="210"/>
        <v>260/260/OFF</v>
      </c>
      <c r="AT1652" s="1078" t="str">
        <f t="shared" si="211"/>
        <v>1-5-1S91°</v>
      </c>
      <c r="AV1652" s="1078" t="str">
        <f t="shared" si="204"/>
        <v>111.6.6</v>
      </c>
      <c r="AW1652" s="1344">
        <f t="shared" si="205"/>
        <v>44718</v>
      </c>
    </row>
    <row r="1653" spans="1:49">
      <c r="A1653" s="1077" t="s">
        <v>5623</v>
      </c>
      <c r="B1653" s="1077" t="s">
        <v>210</v>
      </c>
      <c r="C1653" s="1077" t="s">
        <v>5624</v>
      </c>
      <c r="D1653" s="1077">
        <v>1.74</v>
      </c>
      <c r="E1653" s="1077" t="s">
        <v>15094</v>
      </c>
      <c r="F1653" s="1077" t="s">
        <v>984</v>
      </c>
      <c r="G1653" s="1077">
        <v>5</v>
      </c>
      <c r="H1653" s="1077" t="s">
        <v>5480</v>
      </c>
      <c r="I1653" s="1077" t="s">
        <v>126</v>
      </c>
      <c r="J1653" s="1077">
        <v>0.8</v>
      </c>
      <c r="K1653" s="1077" t="s">
        <v>5625</v>
      </c>
      <c r="L1653" s="1077" t="s">
        <v>4666</v>
      </c>
      <c r="M1653" s="1077">
        <v>151.5</v>
      </c>
      <c r="N1653" s="1077" t="s">
        <v>945</v>
      </c>
      <c r="O1653" s="1077">
        <v>3.7875000000000001</v>
      </c>
      <c r="P1653" s="1077">
        <v>3.0300000000000002</v>
      </c>
      <c r="Q1653" s="1077">
        <v>4</v>
      </c>
      <c r="R1653" s="1077">
        <v>19.100000000000001</v>
      </c>
      <c r="T1653" s="1077">
        <v>23.7</v>
      </c>
      <c r="U1653" s="1077">
        <v>3.2</v>
      </c>
      <c r="V1653" s="1077" t="s">
        <v>648</v>
      </c>
      <c r="W1653" s="1077">
        <v>35</v>
      </c>
      <c r="X1653" s="1077">
        <v>10</v>
      </c>
      <c r="Y1653" s="1077">
        <v>1</v>
      </c>
      <c r="Z1653" s="1077">
        <v>6</v>
      </c>
      <c r="AA1653" s="1077" t="s">
        <v>2221</v>
      </c>
      <c r="AH1653" s="1077" t="s">
        <v>958</v>
      </c>
      <c r="AM1653" s="1078" t="s">
        <v>12313</v>
      </c>
      <c r="AN1653" s="1078" t="s">
        <v>12314</v>
      </c>
      <c r="AO1653" s="1078" t="str">
        <f t="shared" si="206"/>
        <v>600↓550-6/9↑600-10/20</v>
      </c>
      <c r="AP1653" s="1078">
        <f t="shared" si="207"/>
        <v>1.74</v>
      </c>
      <c r="AQ1653" s="1078" t="str">
        <f t="shared" si="208"/>
        <v>1-5-1S91°</v>
      </c>
      <c r="AR1653" s="1078" t="str">
        <f t="shared" si="209"/>
        <v>30</v>
      </c>
      <c r="AS1653" s="1078" t="str">
        <f t="shared" si="210"/>
        <v>340/300/145</v>
      </c>
      <c r="AT1653" s="1078" t="str">
        <f t="shared" si="211"/>
        <v>1-5-1S91°</v>
      </c>
      <c r="AV1653" s="1078" t="str">
        <f t="shared" si="204"/>
        <v>111.6.9</v>
      </c>
      <c r="AW1653" s="1344">
        <f t="shared" si="205"/>
        <v>44721</v>
      </c>
    </row>
    <row r="1654" spans="1:49">
      <c r="A1654" s="1077" t="s">
        <v>5626</v>
      </c>
      <c r="B1654" s="1077" t="s">
        <v>844</v>
      </c>
      <c r="C1654" s="1077">
        <v>550</v>
      </c>
      <c r="D1654" s="1077">
        <v>1.75</v>
      </c>
      <c r="E1654" s="1077" t="s">
        <v>15102</v>
      </c>
      <c r="F1654" s="1077" t="s">
        <v>1689</v>
      </c>
      <c r="G1654" s="1077">
        <v>5</v>
      </c>
      <c r="H1654" s="1077" t="s">
        <v>5328</v>
      </c>
      <c r="I1654" s="1077" t="s">
        <v>460</v>
      </c>
      <c r="J1654" s="1077">
        <v>3.6</v>
      </c>
      <c r="K1654" s="1077" t="s">
        <v>5627</v>
      </c>
      <c r="L1654" s="1077" t="s">
        <v>4907</v>
      </c>
      <c r="M1654" s="1077">
        <v>151.69999999999999</v>
      </c>
      <c r="N1654" s="1077" t="s">
        <v>945</v>
      </c>
      <c r="O1654" s="1077">
        <v>3.7925</v>
      </c>
      <c r="P1654" s="1077">
        <v>3.0339999999999998</v>
      </c>
      <c r="Q1654" s="1077">
        <v>3</v>
      </c>
      <c r="R1654" s="1077">
        <v>19.7</v>
      </c>
      <c r="T1654" s="1077">
        <v>11.5</v>
      </c>
      <c r="U1654" s="1077">
        <v>5.3</v>
      </c>
      <c r="V1654" s="1077" t="s">
        <v>648</v>
      </c>
      <c r="W1654" s="1077">
        <v>105</v>
      </c>
      <c r="X1654" s="1077">
        <v>95</v>
      </c>
      <c r="Y1654" s="1077">
        <v>1.5</v>
      </c>
      <c r="Z1654" s="1077">
        <v>5</v>
      </c>
      <c r="AA1654" s="1077" t="s">
        <v>5628</v>
      </c>
      <c r="AH1654" s="1077" t="s">
        <v>948</v>
      </c>
      <c r="AM1654" s="1078" t="s">
        <v>12315</v>
      </c>
      <c r="AN1654" s="1078" t="s">
        <v>12316</v>
      </c>
      <c r="AO1654" s="1078">
        <f t="shared" si="206"/>
        <v>550</v>
      </c>
      <c r="AP1654" s="1078">
        <f t="shared" si="207"/>
        <v>1.75</v>
      </c>
      <c r="AQ1654" s="1078" t="str">
        <f t="shared" si="208"/>
        <v>2-6-1S83°</v>
      </c>
      <c r="AR1654" s="1078" t="str">
        <f t="shared" si="209"/>
        <v>29.5</v>
      </c>
      <c r="AS1654" s="1078" t="str">
        <f t="shared" si="210"/>
        <v>160/150</v>
      </c>
      <c r="AT1654" s="1078" t="str">
        <f t="shared" si="211"/>
        <v>2-6-1S83°</v>
      </c>
      <c r="AV1654" s="1078" t="str">
        <f t="shared" si="204"/>
        <v>111.6.15</v>
      </c>
      <c r="AW1654" s="1344">
        <f t="shared" si="205"/>
        <v>44727</v>
      </c>
    </row>
    <row r="1655" spans="1:49">
      <c r="A1655" s="1077" t="s">
        <v>5629</v>
      </c>
      <c r="B1655" s="1077" t="s">
        <v>210</v>
      </c>
      <c r="C1655" s="1077" t="s">
        <v>5630</v>
      </c>
      <c r="D1655" s="1077">
        <v>1.74</v>
      </c>
      <c r="E1655" s="1077" t="s">
        <v>15094</v>
      </c>
      <c r="F1655" s="1077" t="s">
        <v>984</v>
      </c>
      <c r="G1655" s="1077">
        <v>5</v>
      </c>
      <c r="H1655" s="1077" t="s">
        <v>5631</v>
      </c>
      <c r="I1655" s="1077" t="s">
        <v>126</v>
      </c>
      <c r="J1655" s="1077">
        <v>0.7</v>
      </c>
      <c r="K1655" s="1077" t="s">
        <v>5632</v>
      </c>
      <c r="L1655" s="1077" t="s">
        <v>4666</v>
      </c>
      <c r="M1655" s="1077">
        <v>151.5</v>
      </c>
      <c r="N1655" s="1077" t="s">
        <v>945</v>
      </c>
      <c r="O1655" s="1077">
        <v>3.7875000000000001</v>
      </c>
      <c r="P1655" s="1077">
        <v>3.0300000000000002</v>
      </c>
      <c r="Q1655" s="1077">
        <v>4</v>
      </c>
      <c r="R1655" s="1077">
        <v>19.100000000000001</v>
      </c>
      <c r="T1655" s="1077">
        <v>23.7</v>
      </c>
      <c r="U1655" s="1077">
        <v>3.2</v>
      </c>
      <c r="V1655" s="1077" t="s">
        <v>648</v>
      </c>
      <c r="W1655" s="1077">
        <v>35</v>
      </c>
      <c r="X1655" s="1077">
        <v>10</v>
      </c>
      <c r="Y1655" s="1077">
        <v>1</v>
      </c>
      <c r="Z1655" s="1077">
        <v>6</v>
      </c>
      <c r="AA1655" s="1077" t="s">
        <v>5633</v>
      </c>
      <c r="AH1655" s="1077" t="s">
        <v>1482</v>
      </c>
      <c r="AM1655" s="1078" t="s">
        <v>12317</v>
      </c>
      <c r="AN1655" s="1078" t="s">
        <v>12318</v>
      </c>
      <c r="AO1655" s="1078" t="str">
        <f t="shared" si="206"/>
        <v>550↑600-10/21</v>
      </c>
      <c r="AP1655" s="1078">
        <f t="shared" si="207"/>
        <v>1.74</v>
      </c>
      <c r="AQ1655" s="1078" t="str">
        <f t="shared" si="208"/>
        <v>1-5-1S91°</v>
      </c>
      <c r="AR1655" s="1078" t="str">
        <f t="shared" si="209"/>
        <v>30</v>
      </c>
      <c r="AS1655" s="1078" t="str">
        <f t="shared" si="210"/>
        <v>342/302/145</v>
      </c>
      <c r="AT1655" s="1078" t="str">
        <f t="shared" si="211"/>
        <v>1-5-1S91°</v>
      </c>
      <c r="AV1655" s="1078" t="str">
        <f t="shared" si="204"/>
        <v>111.6.13</v>
      </c>
      <c r="AW1655" s="1344">
        <f t="shared" si="205"/>
        <v>44725</v>
      </c>
    </row>
    <row r="1656" spans="1:49">
      <c r="A1656" s="1077" t="s">
        <v>5634</v>
      </c>
      <c r="B1656" s="1077" t="s">
        <v>210</v>
      </c>
      <c r="C1656" s="1077">
        <v>550</v>
      </c>
      <c r="D1656" s="1077">
        <v>1.74</v>
      </c>
      <c r="E1656" s="1077" t="s">
        <v>15094</v>
      </c>
      <c r="F1656" s="1077" t="s">
        <v>984</v>
      </c>
      <c r="G1656" s="1077">
        <v>5</v>
      </c>
      <c r="H1656" s="1077" t="s">
        <v>5486</v>
      </c>
      <c r="I1656" s="1077" t="s">
        <v>126</v>
      </c>
      <c r="J1656" s="1077">
        <v>0.7</v>
      </c>
      <c r="K1656" s="1077" t="s">
        <v>5632</v>
      </c>
      <c r="L1656" s="1077" t="s">
        <v>4666</v>
      </c>
      <c r="M1656" s="1077">
        <v>151.5</v>
      </c>
      <c r="N1656" s="1077" t="s">
        <v>945</v>
      </c>
      <c r="O1656" s="1077">
        <v>3.7875000000000001</v>
      </c>
      <c r="P1656" s="1077">
        <v>3.0300000000000002</v>
      </c>
      <c r="Q1656" s="1077">
        <v>4</v>
      </c>
      <c r="R1656" s="1077">
        <v>19.100000000000001</v>
      </c>
      <c r="T1656" s="1077">
        <v>23.7</v>
      </c>
      <c r="U1656" s="1077">
        <v>3.2</v>
      </c>
      <c r="V1656" s="1077" t="s">
        <v>648</v>
      </c>
      <c r="W1656" s="1077">
        <v>35</v>
      </c>
      <c r="X1656" s="1077">
        <v>10</v>
      </c>
      <c r="Y1656" s="1077">
        <v>1</v>
      </c>
      <c r="Z1656" s="1077">
        <v>6</v>
      </c>
      <c r="AA1656" s="1077" t="s">
        <v>2227</v>
      </c>
      <c r="AH1656" s="1077" t="s">
        <v>1137</v>
      </c>
      <c r="AM1656" s="1078" t="s">
        <v>12319</v>
      </c>
      <c r="AN1656" s="1078" t="s">
        <v>12320</v>
      </c>
      <c r="AO1656" s="1078">
        <f t="shared" si="206"/>
        <v>550</v>
      </c>
      <c r="AP1656" s="1078">
        <f t="shared" si="207"/>
        <v>1.74</v>
      </c>
      <c r="AQ1656" s="1078" t="str">
        <f t="shared" si="208"/>
        <v>1-5-1S91°</v>
      </c>
      <c r="AR1656" s="1078" t="str">
        <f t="shared" si="209"/>
        <v>30</v>
      </c>
      <c r="AS1656" s="1078" t="str">
        <f t="shared" si="210"/>
        <v>330/290/140</v>
      </c>
      <c r="AT1656" s="1078" t="str">
        <f t="shared" si="211"/>
        <v>1-5-1S91°</v>
      </c>
      <c r="AV1656" s="1078" t="str">
        <f t="shared" si="204"/>
        <v>111.6.14</v>
      </c>
      <c r="AW1656" s="1344">
        <f t="shared" si="205"/>
        <v>44726</v>
      </c>
    </row>
    <row r="1657" spans="1:49">
      <c r="A1657" s="1077" t="s">
        <v>5635</v>
      </c>
      <c r="B1657" s="1077" t="s">
        <v>847</v>
      </c>
      <c r="C1657" s="1077">
        <v>550</v>
      </c>
      <c r="D1657" s="1077">
        <v>1.79</v>
      </c>
      <c r="E1657" s="1077" t="s">
        <v>15119</v>
      </c>
      <c r="F1657" s="1077" t="s">
        <v>975</v>
      </c>
      <c r="G1657" s="1077">
        <v>4</v>
      </c>
      <c r="H1657" s="1077" t="s">
        <v>4940</v>
      </c>
      <c r="I1657" s="1077" t="s">
        <v>648</v>
      </c>
      <c r="J1657" s="1077">
        <v>0</v>
      </c>
      <c r="K1657" s="1077" t="s">
        <v>5636</v>
      </c>
      <c r="L1657" s="1077" t="s">
        <v>5037</v>
      </c>
      <c r="M1657" s="1077">
        <v>150</v>
      </c>
      <c r="N1657" s="1077" t="s">
        <v>945</v>
      </c>
      <c r="O1657" s="1077">
        <v>3.75</v>
      </c>
      <c r="P1657" s="1077">
        <v>3</v>
      </c>
      <c r="Q1657" s="1077">
        <v>3.5</v>
      </c>
      <c r="R1657" s="1077">
        <v>21.8</v>
      </c>
      <c r="T1657" s="1077">
        <v>19.5</v>
      </c>
      <c r="U1657" s="1077">
        <v>1.8</v>
      </c>
      <c r="V1657" s="1077" t="s">
        <v>648</v>
      </c>
      <c r="W1657" s="1077" t="s">
        <v>648</v>
      </c>
      <c r="X1657" s="1077" t="s">
        <v>648</v>
      </c>
      <c r="Y1657" s="1077">
        <v>2.1</v>
      </c>
      <c r="Z1657" s="1077">
        <v>5</v>
      </c>
      <c r="AA1657" s="1077" t="s">
        <v>1506</v>
      </c>
      <c r="AH1657" s="1077" t="s">
        <v>884</v>
      </c>
      <c r="AM1657" s="1078" t="s">
        <v>12321</v>
      </c>
      <c r="AN1657" s="1078" t="s">
        <v>12322</v>
      </c>
      <c r="AO1657" s="1078">
        <f t="shared" si="206"/>
        <v>550</v>
      </c>
      <c r="AP1657" s="1078">
        <f t="shared" si="207"/>
        <v>1.79</v>
      </c>
      <c r="AQ1657" s="1078" t="str">
        <f t="shared" si="208"/>
        <v>1-5-1S87</v>
      </c>
      <c r="AR1657" s="1078" t="str">
        <f t="shared" si="209"/>
        <v>31.5</v>
      </c>
      <c r="AS1657" s="1078" t="str">
        <f t="shared" si="210"/>
        <v>320/320/155</v>
      </c>
      <c r="AT1657" s="1078" t="str">
        <f t="shared" si="211"/>
        <v>1-5-1S87</v>
      </c>
      <c r="AV1657" s="1078" t="str">
        <f t="shared" si="204"/>
        <v>111.6.16</v>
      </c>
      <c r="AW1657" s="1344">
        <f t="shared" si="205"/>
        <v>44728</v>
      </c>
    </row>
    <row r="1658" spans="1:49">
      <c r="A1658" s="1077" t="s">
        <v>5637</v>
      </c>
      <c r="B1658" s="1077" t="s">
        <v>847</v>
      </c>
      <c r="C1658" s="1077" t="s">
        <v>5638</v>
      </c>
      <c r="D1658" s="1077">
        <v>1.78</v>
      </c>
      <c r="E1658" s="1077" t="s">
        <v>15119</v>
      </c>
      <c r="F1658" s="1077" t="s">
        <v>975</v>
      </c>
      <c r="G1658" s="1077">
        <v>4</v>
      </c>
      <c r="H1658" s="1077" t="s">
        <v>5639</v>
      </c>
      <c r="I1658" s="1077" t="s">
        <v>648</v>
      </c>
      <c r="J1658" s="1077">
        <v>0</v>
      </c>
      <c r="K1658" s="1077" t="s">
        <v>5640</v>
      </c>
      <c r="L1658" s="1077" t="s">
        <v>5037</v>
      </c>
      <c r="M1658" s="1077">
        <v>150</v>
      </c>
      <c r="N1658" s="1077" t="s">
        <v>945</v>
      </c>
      <c r="O1658" s="1077">
        <v>3.75</v>
      </c>
      <c r="P1658" s="1077">
        <v>3</v>
      </c>
      <c r="Q1658" s="1077">
        <v>3.5</v>
      </c>
      <c r="R1658" s="1077">
        <v>21.8</v>
      </c>
      <c r="T1658" s="1077">
        <v>19.5</v>
      </c>
      <c r="U1658" s="1077">
        <v>1.8</v>
      </c>
      <c r="V1658" s="1077" t="s">
        <v>648</v>
      </c>
      <c r="W1658" s="1077" t="s">
        <v>648</v>
      </c>
      <c r="X1658" s="1077" t="s">
        <v>648</v>
      </c>
      <c r="Y1658" s="1077">
        <v>2.1</v>
      </c>
      <c r="Z1658" s="1077">
        <v>5</v>
      </c>
      <c r="AA1658" s="1077" t="s">
        <v>1506</v>
      </c>
      <c r="AH1658" s="1077" t="s">
        <v>813</v>
      </c>
      <c r="AM1658" s="1078" t="s">
        <v>12323</v>
      </c>
      <c r="AN1658" s="1078" t="s">
        <v>12324</v>
      </c>
      <c r="AO1658" s="1078" t="str">
        <f t="shared" si="206"/>
        <v>550↓450-7/12</v>
      </c>
      <c r="AP1658" s="1078">
        <f t="shared" si="207"/>
        <v>1.78</v>
      </c>
      <c r="AQ1658" s="1078" t="str">
        <f t="shared" si="208"/>
        <v>1-5-1S87</v>
      </c>
      <c r="AR1658" s="1078" t="str">
        <f t="shared" si="209"/>
        <v>31.5</v>
      </c>
      <c r="AS1658" s="1078" t="str">
        <f t="shared" si="210"/>
        <v>300/300/145</v>
      </c>
      <c r="AT1658" s="1078" t="str">
        <f t="shared" si="211"/>
        <v>1-5-1S87</v>
      </c>
      <c r="AV1658" s="1078" t="str">
        <f t="shared" si="204"/>
        <v>111.6.16</v>
      </c>
      <c r="AW1658" s="1344">
        <f t="shared" si="205"/>
        <v>44728</v>
      </c>
    </row>
    <row r="1659" spans="1:49">
      <c r="A1659" s="1077" t="s">
        <v>5641</v>
      </c>
      <c r="B1659" s="1077" t="s">
        <v>828</v>
      </c>
      <c r="C1659" s="1077">
        <v>700</v>
      </c>
      <c r="D1659" s="1077">
        <v>1.7649999999999999</v>
      </c>
      <c r="E1659" s="1077" t="s">
        <v>15109</v>
      </c>
      <c r="F1659" s="1077" t="s">
        <v>648</v>
      </c>
      <c r="G1659" s="1077">
        <v>5</v>
      </c>
      <c r="H1659" s="1077" t="s">
        <v>2941</v>
      </c>
      <c r="I1659" s="1077" t="s">
        <v>126</v>
      </c>
      <c r="J1659" s="1077">
        <v>2</v>
      </c>
      <c r="K1659" s="1077" t="s">
        <v>5540</v>
      </c>
      <c r="L1659" s="1077" t="s">
        <v>1943</v>
      </c>
      <c r="M1659" s="1077">
        <v>150</v>
      </c>
      <c r="N1659" s="1077" t="s">
        <v>945</v>
      </c>
      <c r="O1659" s="1077">
        <v>3.75</v>
      </c>
      <c r="P1659" s="1077">
        <v>3</v>
      </c>
      <c r="Q1659" s="1077">
        <v>4</v>
      </c>
      <c r="R1659" s="1077">
        <v>20.8</v>
      </c>
      <c r="T1659" s="1077">
        <v>29.1</v>
      </c>
      <c r="U1659" s="1077">
        <v>3.4</v>
      </c>
      <c r="V1659" s="1077" t="s">
        <v>648</v>
      </c>
      <c r="W1659" s="1077">
        <v>110</v>
      </c>
      <c r="X1659" s="1077">
        <v>70</v>
      </c>
      <c r="Y1659" s="1077">
        <v>1.5</v>
      </c>
      <c r="Z1659" s="1077" t="s">
        <v>648</v>
      </c>
      <c r="AA1659" s="1077" t="s">
        <v>2230</v>
      </c>
      <c r="AH1659" s="1077" t="s">
        <v>1376</v>
      </c>
      <c r="AM1659" s="1078" t="s">
        <v>12325</v>
      </c>
      <c r="AN1659" s="1078" t="s">
        <v>12326</v>
      </c>
      <c r="AO1659" s="1078">
        <f t="shared" si="206"/>
        <v>700</v>
      </c>
      <c r="AP1659" s="1078">
        <f t="shared" si="207"/>
        <v>1.7649999999999999</v>
      </c>
      <c r="AQ1659" s="1078" t="str">
        <f t="shared" si="208"/>
        <v>1-5-1S85°Z+S</v>
      </c>
      <c r="AR1659" s="1078" t="str">
        <f t="shared" si="209"/>
        <v>NA</v>
      </c>
      <c r="AS1659" s="1078" t="str">
        <f t="shared" si="210"/>
        <v>190/OFF</v>
      </c>
      <c r="AT1659" s="1078" t="str">
        <f t="shared" si="211"/>
        <v>1-5-1S85°Z+S</v>
      </c>
      <c r="AU1659" s="1078" t="s">
        <v>15547</v>
      </c>
      <c r="AV1659" s="1078" t="str">
        <f t="shared" si="204"/>
        <v>111.6.17</v>
      </c>
      <c r="AW1659" s="1344">
        <f t="shared" si="205"/>
        <v>44729</v>
      </c>
    </row>
    <row r="1660" spans="1:49">
      <c r="A1660" s="1077" t="s">
        <v>5642</v>
      </c>
      <c r="B1660" s="1077" t="s">
        <v>5148</v>
      </c>
      <c r="C1660" s="1077">
        <v>550</v>
      </c>
      <c r="D1660" s="1077">
        <v>1.74</v>
      </c>
      <c r="E1660" s="1077" t="s">
        <v>15094</v>
      </c>
      <c r="F1660" s="1077" t="s">
        <v>984</v>
      </c>
      <c r="G1660" s="1077">
        <v>5</v>
      </c>
      <c r="H1660" s="1077" t="s">
        <v>5547</v>
      </c>
      <c r="I1660" s="1077" t="s">
        <v>648</v>
      </c>
      <c r="J1660" s="1077">
        <v>0</v>
      </c>
      <c r="K1660" s="1077" t="s">
        <v>5643</v>
      </c>
      <c r="L1660" s="1077" t="s">
        <v>5152</v>
      </c>
      <c r="M1660" s="1077">
        <v>149.9</v>
      </c>
      <c r="N1660" s="1077" t="s">
        <v>945</v>
      </c>
      <c r="O1660" s="1077">
        <v>3.7475000000000005</v>
      </c>
      <c r="P1660" s="1077">
        <v>2.9980000000000002</v>
      </c>
      <c r="Q1660" s="1077">
        <v>4</v>
      </c>
      <c r="R1660" s="1077">
        <v>24</v>
      </c>
      <c r="T1660" s="1077">
        <v>17</v>
      </c>
      <c r="U1660" s="1077">
        <v>2.6</v>
      </c>
      <c r="V1660" s="1077" t="s">
        <v>648</v>
      </c>
      <c r="W1660" s="1077" t="s">
        <v>648</v>
      </c>
      <c r="X1660" s="1077" t="s">
        <v>648</v>
      </c>
      <c r="Y1660" s="1077">
        <v>1</v>
      </c>
      <c r="Z1660" s="1077">
        <v>4.5</v>
      </c>
      <c r="AA1660" s="1077" t="s">
        <v>2230</v>
      </c>
      <c r="AH1660" s="1077" t="s">
        <v>813</v>
      </c>
      <c r="AM1660" s="1078" t="s">
        <v>12327</v>
      </c>
      <c r="AN1660" s="1078" t="s">
        <v>12328</v>
      </c>
      <c r="AO1660" s="1078">
        <f t="shared" si="206"/>
        <v>550</v>
      </c>
      <c r="AP1660" s="1078">
        <f t="shared" si="207"/>
        <v>1.74</v>
      </c>
      <c r="AQ1660" s="1078" t="str">
        <f t="shared" si="208"/>
        <v>1-5-1S91°</v>
      </c>
      <c r="AR1660" s="1078" t="str">
        <f t="shared" si="209"/>
        <v>30</v>
      </c>
      <c r="AS1660" s="1078" t="str">
        <f t="shared" si="210"/>
        <v>320/280/150</v>
      </c>
      <c r="AT1660" s="1078" t="str">
        <f t="shared" si="211"/>
        <v>1-5-1S91°</v>
      </c>
      <c r="AV1660" s="1078" t="str">
        <f t="shared" si="204"/>
        <v>111.6.17</v>
      </c>
      <c r="AW1660" s="1344">
        <f t="shared" si="205"/>
        <v>44729</v>
      </c>
    </row>
    <row r="1661" spans="1:49">
      <c r="A1661" s="1077" t="s">
        <v>5644</v>
      </c>
      <c r="B1661" s="1077" t="s">
        <v>5250</v>
      </c>
      <c r="C1661" s="1077">
        <v>600</v>
      </c>
      <c r="D1661" s="1077">
        <v>1.71</v>
      </c>
      <c r="E1661" s="1077" t="s">
        <v>15094</v>
      </c>
      <c r="F1661" s="1077" t="s">
        <v>984</v>
      </c>
      <c r="G1661" s="1077">
        <v>5</v>
      </c>
      <c r="H1661" s="1077" t="s">
        <v>5645</v>
      </c>
      <c r="I1661" s="1077" t="s">
        <v>460</v>
      </c>
      <c r="J1661" s="1077">
        <v>1.6</v>
      </c>
      <c r="K1661" s="1077" t="s">
        <v>5646</v>
      </c>
      <c r="L1661" s="1077" t="s">
        <v>5253</v>
      </c>
      <c r="M1661" s="1077">
        <v>151.19999999999999</v>
      </c>
      <c r="N1661" s="1077" t="s">
        <v>945</v>
      </c>
      <c r="O1661" s="1077">
        <v>3.78</v>
      </c>
      <c r="P1661" s="1077">
        <v>3.024</v>
      </c>
      <c r="Q1661" s="1077">
        <v>3.5</v>
      </c>
      <c r="R1661" s="1077">
        <v>21</v>
      </c>
      <c r="T1661" s="1077">
        <v>20.5</v>
      </c>
      <c r="U1661" s="1077">
        <v>3</v>
      </c>
      <c r="V1661" s="1077" t="s">
        <v>648</v>
      </c>
      <c r="W1661" s="1077">
        <v>100</v>
      </c>
      <c r="X1661" s="1077">
        <v>60</v>
      </c>
      <c r="Y1661" s="1077">
        <v>1</v>
      </c>
      <c r="Z1661" s="1077">
        <v>6</v>
      </c>
      <c r="AA1661" s="1077" t="s">
        <v>5647</v>
      </c>
      <c r="AH1661" s="1077" t="s">
        <v>618</v>
      </c>
      <c r="AM1661" s="1078" t="s">
        <v>12329</v>
      </c>
      <c r="AN1661" s="1078" t="s">
        <v>12330</v>
      </c>
      <c r="AO1661" s="1078">
        <f t="shared" si="206"/>
        <v>600</v>
      </c>
      <c r="AP1661" s="1078">
        <f t="shared" si="207"/>
        <v>1.71</v>
      </c>
      <c r="AQ1661" s="1078" t="str">
        <f t="shared" si="208"/>
        <v>1-5-1S91°</v>
      </c>
      <c r="AR1661" s="1078" t="str">
        <f t="shared" si="209"/>
        <v>30</v>
      </c>
      <c r="AS1661" s="1078" t="str">
        <f t="shared" si="210"/>
        <v>335/335/130</v>
      </c>
      <c r="AT1661" s="1078" t="str">
        <f t="shared" si="211"/>
        <v>1-5-1S91°</v>
      </c>
      <c r="AV1661" s="1078" t="str">
        <f t="shared" si="204"/>
        <v>110.6.20</v>
      </c>
      <c r="AW1661" s="1344">
        <f t="shared" si="205"/>
        <v>44367</v>
      </c>
    </row>
    <row r="1662" spans="1:49">
      <c r="A1662" s="1077" t="s">
        <v>5648</v>
      </c>
      <c r="B1662" s="1077" t="s">
        <v>4860</v>
      </c>
      <c r="C1662" s="1077" t="s">
        <v>5649</v>
      </c>
      <c r="D1662" s="1077">
        <v>1.77</v>
      </c>
      <c r="E1662" s="1077" t="s">
        <v>15104</v>
      </c>
      <c r="F1662" s="1077" t="s">
        <v>648</v>
      </c>
      <c r="G1662" s="1077">
        <v>5</v>
      </c>
      <c r="H1662" s="1077" t="s">
        <v>4776</v>
      </c>
      <c r="I1662" s="1077" t="s">
        <v>460</v>
      </c>
      <c r="J1662" s="1077">
        <v>1.7</v>
      </c>
      <c r="K1662" s="1077" t="s">
        <v>5650</v>
      </c>
      <c r="L1662" s="1077" t="s">
        <v>4864</v>
      </c>
      <c r="M1662" s="1077">
        <v>149.5</v>
      </c>
      <c r="N1662" s="1077" t="s">
        <v>945</v>
      </c>
      <c r="O1662" s="1077">
        <v>3.7375000000000003</v>
      </c>
      <c r="P1662" s="1077">
        <v>2.99</v>
      </c>
      <c r="Q1662" s="1077">
        <v>4</v>
      </c>
      <c r="R1662" s="1077">
        <v>21</v>
      </c>
      <c r="T1662" s="1077">
        <v>37</v>
      </c>
      <c r="U1662" s="1077">
        <v>3.7</v>
      </c>
      <c r="V1662" s="1077" t="s">
        <v>648</v>
      </c>
      <c r="W1662" s="1077">
        <v>110</v>
      </c>
      <c r="X1662" s="1077">
        <v>40</v>
      </c>
      <c r="Y1662" s="1077">
        <v>2.2000000000000002</v>
      </c>
      <c r="Z1662" s="1077" t="s">
        <v>648</v>
      </c>
      <c r="AA1662" s="1077" t="s">
        <v>2239</v>
      </c>
      <c r="AH1662" s="1077" t="s">
        <v>842</v>
      </c>
      <c r="AM1662" s="1078" t="s">
        <v>12331</v>
      </c>
      <c r="AN1662" s="1078" t="s">
        <v>12332</v>
      </c>
      <c r="AO1662" s="1078" t="str">
        <f t="shared" si="206"/>
        <v>600↓500-7/8</v>
      </c>
      <c r="AP1662" s="1078">
        <f t="shared" si="207"/>
        <v>1.77</v>
      </c>
      <c r="AQ1662" s="1078" t="str">
        <f t="shared" si="208"/>
        <v>1-4-1S85°Z+S</v>
      </c>
      <c r="AR1662" s="1078" t="str">
        <f t="shared" si="209"/>
        <v>NA</v>
      </c>
      <c r="AS1662" s="1078" t="str">
        <f t="shared" si="210"/>
        <v>178/OFF</v>
      </c>
      <c r="AT1662" s="1078" t="str">
        <f t="shared" si="211"/>
        <v>1-4-1S85°Z+S</v>
      </c>
      <c r="AU1662" s="1078" t="s">
        <v>15547</v>
      </c>
      <c r="AV1662" s="1078" t="str">
        <f t="shared" si="204"/>
        <v>111.6.21</v>
      </c>
      <c r="AW1662" s="1344">
        <f t="shared" si="205"/>
        <v>44733</v>
      </c>
    </row>
    <row r="1663" spans="1:49">
      <c r="A1663" s="1077" t="s">
        <v>5651</v>
      </c>
      <c r="B1663" s="1077" t="s">
        <v>210</v>
      </c>
      <c r="C1663" s="1077">
        <v>550</v>
      </c>
      <c r="D1663" s="1077">
        <v>1.74</v>
      </c>
      <c r="E1663" s="1077" t="s">
        <v>15094</v>
      </c>
      <c r="F1663" s="1077" t="s">
        <v>984</v>
      </c>
      <c r="G1663" s="1077">
        <v>5</v>
      </c>
      <c r="H1663" s="1077" t="s">
        <v>5486</v>
      </c>
      <c r="I1663" s="1077" t="s">
        <v>126</v>
      </c>
      <c r="J1663" s="1077">
        <v>0.7</v>
      </c>
      <c r="K1663" s="1077" t="s">
        <v>5632</v>
      </c>
      <c r="L1663" s="1077" t="s">
        <v>4666</v>
      </c>
      <c r="M1663" s="1077">
        <v>151.5</v>
      </c>
      <c r="N1663" s="1077" t="s">
        <v>945</v>
      </c>
      <c r="O1663" s="1077">
        <v>3.7875000000000001</v>
      </c>
      <c r="P1663" s="1077">
        <v>3.0300000000000002</v>
      </c>
      <c r="Q1663" s="1077">
        <v>4</v>
      </c>
      <c r="R1663" s="1077">
        <v>19.100000000000001</v>
      </c>
      <c r="T1663" s="1077">
        <v>23.7</v>
      </c>
      <c r="U1663" s="1077">
        <v>3.2</v>
      </c>
      <c r="V1663" s="1077" t="s">
        <v>648</v>
      </c>
      <c r="W1663" s="1077">
        <v>35</v>
      </c>
      <c r="X1663" s="1077">
        <v>10</v>
      </c>
      <c r="Y1663" s="1077">
        <v>1</v>
      </c>
      <c r="Z1663" s="1077">
        <v>6</v>
      </c>
      <c r="AA1663" s="1077" t="s">
        <v>5652</v>
      </c>
      <c r="AH1663" s="1077" t="s">
        <v>3213</v>
      </c>
      <c r="AM1663" s="1078" t="s">
        <v>12333</v>
      </c>
      <c r="AN1663" s="1078" t="s">
        <v>12334</v>
      </c>
      <c r="AO1663" s="1078">
        <f t="shared" si="206"/>
        <v>550</v>
      </c>
      <c r="AP1663" s="1078">
        <f t="shared" si="207"/>
        <v>1.74</v>
      </c>
      <c r="AQ1663" s="1078" t="str">
        <f t="shared" si="208"/>
        <v>1-5-1S91°</v>
      </c>
      <c r="AR1663" s="1078" t="str">
        <f t="shared" si="209"/>
        <v>30</v>
      </c>
      <c r="AS1663" s="1078" t="str">
        <f t="shared" si="210"/>
        <v>330/290/140</v>
      </c>
      <c r="AT1663" s="1078" t="str">
        <f t="shared" si="211"/>
        <v>1-5-1S91°</v>
      </c>
      <c r="AV1663" s="1078" t="str">
        <f t="shared" si="204"/>
        <v>111.6.22</v>
      </c>
      <c r="AW1663" s="1344">
        <f t="shared" si="205"/>
        <v>44734</v>
      </c>
    </row>
    <row r="1664" spans="1:49">
      <c r="A1664" s="1077" t="s">
        <v>5653</v>
      </c>
      <c r="B1664" s="1077" t="s">
        <v>5654</v>
      </c>
      <c r="C1664" s="1077">
        <v>550</v>
      </c>
      <c r="D1664" s="1077">
        <v>1.74</v>
      </c>
      <c r="E1664" s="1077" t="s">
        <v>15094</v>
      </c>
      <c r="F1664" s="1077" t="s">
        <v>984</v>
      </c>
      <c r="G1664" s="1077">
        <v>5</v>
      </c>
      <c r="H1664" s="1077" t="s">
        <v>5655</v>
      </c>
      <c r="I1664" s="1077" t="s">
        <v>126</v>
      </c>
      <c r="J1664" s="1077">
        <v>0.3</v>
      </c>
      <c r="K1664" s="1077" t="s">
        <v>5656</v>
      </c>
      <c r="L1664" s="1077" t="s">
        <v>5556</v>
      </c>
      <c r="M1664" s="1077">
        <v>151.5</v>
      </c>
      <c r="N1664" s="1077" t="s">
        <v>945</v>
      </c>
      <c r="O1664" s="1077">
        <v>3.7875000000000001</v>
      </c>
      <c r="P1664" s="1077">
        <v>3.0300000000000002</v>
      </c>
      <c r="Q1664" s="1077">
        <v>4</v>
      </c>
      <c r="R1664" s="1077">
        <v>22.5</v>
      </c>
      <c r="T1664" s="1077">
        <v>22.2</v>
      </c>
      <c r="U1664" s="1077">
        <v>2.6</v>
      </c>
      <c r="V1664" s="1077" t="s">
        <v>648</v>
      </c>
      <c r="W1664" s="1077" t="s">
        <v>5657</v>
      </c>
      <c r="X1664" s="1077">
        <v>0</v>
      </c>
      <c r="Y1664" s="1077">
        <v>1.4</v>
      </c>
      <c r="Z1664" s="1077">
        <v>6</v>
      </c>
      <c r="AA1664" s="1077" t="s">
        <v>5658</v>
      </c>
      <c r="AH1664" s="1077" t="s">
        <v>813</v>
      </c>
      <c r="AM1664" s="1078" t="s">
        <v>12335</v>
      </c>
      <c r="AN1664" s="1078" t="s">
        <v>12336</v>
      </c>
      <c r="AO1664" s="1078">
        <f t="shared" si="206"/>
        <v>550</v>
      </c>
      <c r="AP1664" s="1078">
        <f t="shared" si="207"/>
        <v>1.74</v>
      </c>
      <c r="AQ1664" s="1078" t="str">
        <f t="shared" si="208"/>
        <v>1-5-1S91°</v>
      </c>
      <c r="AR1664" s="1078" t="str">
        <f t="shared" si="209"/>
        <v>30</v>
      </c>
      <c r="AS1664" s="1078" t="str">
        <f t="shared" si="210"/>
        <v>345/305/150</v>
      </c>
      <c r="AT1664" s="1078" t="str">
        <f t="shared" si="211"/>
        <v>1-5-1S91°</v>
      </c>
      <c r="AV1664" s="1078" t="str">
        <f t="shared" si="204"/>
        <v>111.6.29</v>
      </c>
      <c r="AW1664" s="1344">
        <f t="shared" si="205"/>
        <v>44741</v>
      </c>
    </row>
    <row r="1665" spans="1:49">
      <c r="A1665" s="1077" t="s">
        <v>5659</v>
      </c>
      <c r="B1665" s="1077" t="s">
        <v>5660</v>
      </c>
      <c r="C1665" s="1077" t="s">
        <v>5661</v>
      </c>
      <c r="D1665" s="1077">
        <v>1.78</v>
      </c>
      <c r="E1665" s="1077" t="s">
        <v>15102</v>
      </c>
      <c r="F1665" s="1077" t="s">
        <v>1398</v>
      </c>
      <c r="G1665" s="1077">
        <v>4</v>
      </c>
      <c r="H1665" s="1077" t="s">
        <v>5662</v>
      </c>
      <c r="I1665" s="1077" t="s">
        <v>648</v>
      </c>
      <c r="J1665" s="1077">
        <v>0</v>
      </c>
      <c r="K1665" s="1077" t="s">
        <v>5640</v>
      </c>
      <c r="L1665" s="1077" t="s">
        <v>5037</v>
      </c>
      <c r="M1665" s="1077">
        <v>150</v>
      </c>
      <c r="N1665" s="1077" t="s">
        <v>945</v>
      </c>
      <c r="O1665" s="1077">
        <v>3.75</v>
      </c>
      <c r="P1665" s="1077">
        <v>3</v>
      </c>
      <c r="Q1665" s="1077">
        <v>3.5</v>
      </c>
      <c r="R1665" s="1077">
        <v>21.8</v>
      </c>
      <c r="T1665" s="1077">
        <v>19.5</v>
      </c>
      <c r="U1665" s="1077">
        <v>1.8</v>
      </c>
      <c r="V1665" s="1077" t="s">
        <v>648</v>
      </c>
      <c r="W1665" s="1077" t="s">
        <v>648</v>
      </c>
      <c r="X1665" s="1077" t="s">
        <v>648</v>
      </c>
      <c r="Y1665" s="1077">
        <v>2.1</v>
      </c>
      <c r="Z1665" s="1077">
        <v>5</v>
      </c>
      <c r="AA1665" s="1077" t="s">
        <v>1511</v>
      </c>
      <c r="AH1665" s="1077" t="s">
        <v>1178</v>
      </c>
      <c r="AM1665" s="1078" t="s">
        <v>12337</v>
      </c>
      <c r="AN1665" s="1078" t="s">
        <v>12338</v>
      </c>
      <c r="AO1665" s="1078" t="str">
        <f t="shared" si="206"/>
        <v>500↓450-7/14</v>
      </c>
      <c r="AP1665" s="1078">
        <f t="shared" si="207"/>
        <v>1.78</v>
      </c>
      <c r="AQ1665" s="1078" t="str">
        <f t="shared" si="208"/>
        <v>2-6-1S83°</v>
      </c>
      <c r="AR1665" s="1078" t="str">
        <f t="shared" si="209"/>
        <v>32.5</v>
      </c>
      <c r="AS1665" s="1078" t="str">
        <f t="shared" si="210"/>
        <v>174/158</v>
      </c>
      <c r="AT1665" s="1078" t="str">
        <f t="shared" si="211"/>
        <v>2-6-1S83°</v>
      </c>
      <c r="AV1665" s="1078" t="str">
        <f t="shared" si="204"/>
        <v>111.7.1</v>
      </c>
      <c r="AW1665" s="1344">
        <f t="shared" si="205"/>
        <v>44743</v>
      </c>
    </row>
    <row r="1666" spans="1:49">
      <c r="A1666" s="1077" t="s">
        <v>5663</v>
      </c>
      <c r="B1666" s="1077" t="s">
        <v>4912</v>
      </c>
      <c r="C1666" s="1077">
        <v>600</v>
      </c>
      <c r="D1666" s="1077">
        <v>1.7310000000000001</v>
      </c>
      <c r="E1666" s="1077" t="s">
        <v>15102</v>
      </c>
      <c r="F1666" s="1077" t="s">
        <v>3763</v>
      </c>
      <c r="G1666" s="1077">
        <v>5</v>
      </c>
      <c r="H1666" s="1077" t="s">
        <v>5664</v>
      </c>
      <c r="I1666" s="1077" t="s">
        <v>1167</v>
      </c>
      <c r="J1666" s="1077">
        <v>1.7</v>
      </c>
      <c r="K1666" s="1077" t="s">
        <v>5665</v>
      </c>
      <c r="L1666" s="1077" t="s">
        <v>4915</v>
      </c>
      <c r="M1666" s="1077">
        <v>155</v>
      </c>
      <c r="N1666" s="1077" t="s">
        <v>945</v>
      </c>
      <c r="O1666" s="1077">
        <v>3.875</v>
      </c>
      <c r="P1666" s="1077">
        <v>3.1</v>
      </c>
      <c r="Q1666" s="1077" t="s">
        <v>1264</v>
      </c>
      <c r="R1666" s="1077">
        <v>21</v>
      </c>
      <c r="T1666" s="1077">
        <v>23</v>
      </c>
      <c r="U1666" s="1077">
        <v>3.2</v>
      </c>
      <c r="V1666" s="1077" t="s">
        <v>648</v>
      </c>
      <c r="W1666" s="1077">
        <v>100</v>
      </c>
      <c r="X1666" s="1077">
        <v>40</v>
      </c>
      <c r="Y1666" s="1077">
        <v>1.4</v>
      </c>
      <c r="Z1666" s="1077" t="s">
        <v>5666</v>
      </c>
      <c r="AA1666" s="1077" t="s">
        <v>5667</v>
      </c>
      <c r="AH1666" s="1077" t="s">
        <v>948</v>
      </c>
      <c r="AM1666" s="1078" t="s">
        <v>12339</v>
      </c>
      <c r="AN1666" s="1078" t="s">
        <v>12340</v>
      </c>
      <c r="AO1666" s="1078">
        <f t="shared" si="206"/>
        <v>600</v>
      </c>
      <c r="AP1666" s="1078">
        <f t="shared" si="207"/>
        <v>1.7310000000000001</v>
      </c>
      <c r="AQ1666" s="1078" t="str">
        <f t="shared" si="208"/>
        <v>2-6-1S83°</v>
      </c>
      <c r="AR1666" s="1078" t="str">
        <f t="shared" si="209"/>
        <v>29.2</v>
      </c>
      <c r="AS1666" s="1078" t="str">
        <f t="shared" si="210"/>
        <v>181/157</v>
      </c>
      <c r="AT1666" s="1078" t="str">
        <f t="shared" si="211"/>
        <v>2-6-1S83°</v>
      </c>
      <c r="AV1666" s="1078" t="str">
        <f t="shared" ref="AV1666:AV1729" si="212">AA1666</f>
        <v>109.3.2</v>
      </c>
      <c r="AW1666" s="1344">
        <f t="shared" si="205"/>
        <v>43892</v>
      </c>
    </row>
    <row r="1667" spans="1:49">
      <c r="A1667" s="1077" t="s">
        <v>5668</v>
      </c>
      <c r="B1667" s="1077" t="s">
        <v>788</v>
      </c>
      <c r="C1667" s="1077">
        <v>750</v>
      </c>
      <c r="D1667" s="1077">
        <v>1.74</v>
      </c>
      <c r="E1667" s="1077" t="s">
        <v>15104</v>
      </c>
      <c r="F1667" s="1077" t="s">
        <v>648</v>
      </c>
      <c r="G1667" s="1077">
        <v>5</v>
      </c>
      <c r="H1667" s="1077" t="s">
        <v>2851</v>
      </c>
      <c r="I1667" s="1077" t="s">
        <v>126</v>
      </c>
      <c r="J1667" s="1077">
        <v>2.2000000000000002</v>
      </c>
      <c r="K1667" s="1077" t="s">
        <v>5669</v>
      </c>
      <c r="L1667" s="1077" t="s">
        <v>1938</v>
      </c>
      <c r="M1667" s="1077">
        <v>148.5</v>
      </c>
      <c r="N1667" s="1077" t="s">
        <v>945</v>
      </c>
      <c r="O1667" s="1077">
        <v>3.7125000000000004</v>
      </c>
      <c r="P1667" s="1077">
        <v>2.97</v>
      </c>
      <c r="Q1667" s="1077" t="s">
        <v>961</v>
      </c>
      <c r="R1667" s="1077">
        <v>23.6</v>
      </c>
      <c r="T1667" s="1077">
        <v>30.9</v>
      </c>
      <c r="U1667" s="1077">
        <v>4.2</v>
      </c>
      <c r="V1667" s="1077" t="s">
        <v>648</v>
      </c>
      <c r="W1667" s="1077">
        <v>120</v>
      </c>
      <c r="X1667" s="1077">
        <v>55</v>
      </c>
      <c r="Y1667" s="1077">
        <v>1.9</v>
      </c>
      <c r="Z1667" s="1077" t="s">
        <v>648</v>
      </c>
      <c r="AA1667" s="1077" t="s">
        <v>2979</v>
      </c>
      <c r="AH1667" s="1077" t="s">
        <v>2836</v>
      </c>
      <c r="AM1667" s="1078" t="s">
        <v>12341</v>
      </c>
      <c r="AN1667" s="1078" t="s">
        <v>12342</v>
      </c>
      <c r="AO1667" s="1078">
        <f t="shared" si="206"/>
        <v>750</v>
      </c>
      <c r="AP1667" s="1078">
        <f t="shared" si="207"/>
        <v>1.74</v>
      </c>
      <c r="AQ1667" s="1078" t="str">
        <f t="shared" si="208"/>
        <v>1-4-1S85°Z+S</v>
      </c>
      <c r="AR1667" s="1078" t="str">
        <f t="shared" si="209"/>
        <v>NA</v>
      </c>
      <c r="AS1667" s="1078" t="str">
        <f t="shared" si="210"/>
        <v>191/OFF</v>
      </c>
      <c r="AT1667" s="1078" t="str">
        <f t="shared" si="211"/>
        <v>1-4-1S85°Z+S</v>
      </c>
      <c r="AU1667" s="1078" t="s">
        <v>15547</v>
      </c>
      <c r="AV1667" s="1078" t="str">
        <f t="shared" si="212"/>
        <v>109.6.8</v>
      </c>
      <c r="AW1667" s="1344">
        <f t="shared" ref="AW1667:AW1730" si="213">DATE(VALUE(LEFT(AV1667,FIND(".",AV1667)-1))+1911,
       VALUE(MID(AV1667,FIND(".",AV1667)+1,FIND(".",AV1667,FIND(".",AV1667)+1)-FIND(".",AV1667)-1)),
       VALUE(RIGHT(AV1667,LEN(AV1667)-FIND("~",SUBSTITUTE(AV1667,".","~",2)))))</f>
        <v>43990</v>
      </c>
    </row>
    <row r="1668" spans="1:49">
      <c r="A1668" s="1077" t="s">
        <v>5670</v>
      </c>
      <c r="B1668" s="1077" t="s">
        <v>4976</v>
      </c>
      <c r="C1668" s="1077">
        <v>650</v>
      </c>
      <c r="D1668" s="1077">
        <v>1.7849999999999999</v>
      </c>
      <c r="E1668" s="1077" t="s">
        <v>15120</v>
      </c>
      <c r="F1668" s="1077" t="s">
        <v>984</v>
      </c>
      <c r="G1668" s="1077">
        <v>5</v>
      </c>
      <c r="H1668" s="1077" t="s">
        <v>5671</v>
      </c>
      <c r="I1668" s="1077" t="s">
        <v>460</v>
      </c>
      <c r="J1668" s="1077">
        <v>0.7</v>
      </c>
      <c r="K1668" s="1077" t="s">
        <v>5672</v>
      </c>
      <c r="L1668" s="1077" t="s">
        <v>4979</v>
      </c>
      <c r="M1668" s="1077">
        <v>148.6</v>
      </c>
      <c r="N1668" s="1077" t="s">
        <v>945</v>
      </c>
      <c r="O1668" s="1077">
        <v>3.7149999999999999</v>
      </c>
      <c r="P1668" s="1077">
        <v>2.972</v>
      </c>
      <c r="Q1668" s="1077" t="s">
        <v>2422</v>
      </c>
      <c r="R1668" s="1077">
        <v>20.5</v>
      </c>
      <c r="T1668" s="1077">
        <v>23</v>
      </c>
      <c r="U1668" s="1077">
        <v>2.2000000000000002</v>
      </c>
      <c r="V1668" s="1077" t="s">
        <v>648</v>
      </c>
      <c r="W1668" s="1077" t="s">
        <v>5673</v>
      </c>
      <c r="X1668" s="1077">
        <v>10</v>
      </c>
      <c r="Y1668" s="1077">
        <v>1.8</v>
      </c>
      <c r="Z1668" s="1077" t="s">
        <v>5674</v>
      </c>
      <c r="AA1668" s="1077" t="s">
        <v>5582</v>
      </c>
      <c r="AH1668" s="1077" t="s">
        <v>842</v>
      </c>
      <c r="AM1668" s="1078" t="s">
        <v>12343</v>
      </c>
      <c r="AN1668" s="1078" t="s">
        <v>12344</v>
      </c>
      <c r="AO1668" s="1078">
        <f t="shared" si="206"/>
        <v>650</v>
      </c>
      <c r="AP1668" s="1078">
        <f t="shared" si="207"/>
        <v>1.7849999999999999</v>
      </c>
      <c r="AQ1668" s="1078" t="str">
        <f t="shared" si="208"/>
        <v>2-6-1S83</v>
      </c>
      <c r="AR1668" s="1078" t="str">
        <f t="shared" si="209"/>
        <v>30</v>
      </c>
      <c r="AS1668" s="1078" t="str">
        <f t="shared" si="210"/>
        <v>197/187</v>
      </c>
      <c r="AT1668" s="1078" t="str">
        <f t="shared" si="211"/>
        <v>2-6-1S83</v>
      </c>
      <c r="AV1668" s="1078" t="str">
        <f t="shared" si="212"/>
        <v>109.11.25</v>
      </c>
      <c r="AW1668" s="1344">
        <f t="shared" si="213"/>
        <v>44160</v>
      </c>
    </row>
    <row r="1669" spans="1:49">
      <c r="A1669" s="1077" t="s">
        <v>5675</v>
      </c>
      <c r="B1669" s="1077" t="s">
        <v>210</v>
      </c>
      <c r="C1669" s="1077">
        <v>700</v>
      </c>
      <c r="D1669" s="1077">
        <v>1.74</v>
      </c>
      <c r="E1669" s="1077" t="s">
        <v>15094</v>
      </c>
      <c r="F1669" s="1077" t="s">
        <v>984</v>
      </c>
      <c r="G1669" s="1077">
        <v>5</v>
      </c>
      <c r="H1669" s="1077" t="s">
        <v>5300</v>
      </c>
      <c r="I1669" s="1077" t="s">
        <v>126</v>
      </c>
      <c r="J1669" s="1077">
        <v>0.7</v>
      </c>
      <c r="K1669" s="1077" t="s">
        <v>5301</v>
      </c>
      <c r="L1669" s="1077" t="s">
        <v>4666</v>
      </c>
      <c r="M1669" s="1077">
        <v>151.5</v>
      </c>
      <c r="N1669" s="1077" t="s">
        <v>945</v>
      </c>
      <c r="O1669" s="1077">
        <v>3.7875000000000001</v>
      </c>
      <c r="P1669" s="1077">
        <v>3.0300000000000002</v>
      </c>
      <c r="Q1669" s="1077">
        <v>4</v>
      </c>
      <c r="R1669" s="1077">
        <v>19.100000000000001</v>
      </c>
      <c r="T1669" s="1077">
        <v>23.7</v>
      </c>
      <c r="U1669" s="1077">
        <v>3.2</v>
      </c>
      <c r="V1669" s="1077" t="s">
        <v>648</v>
      </c>
      <c r="W1669" s="1077">
        <v>35</v>
      </c>
      <c r="X1669" s="1077">
        <v>10</v>
      </c>
      <c r="Y1669" s="1077">
        <v>1</v>
      </c>
      <c r="Z1669" s="1077">
        <v>6</v>
      </c>
      <c r="AA1669" s="1077" t="s">
        <v>5676</v>
      </c>
      <c r="AB1669" s="1077" t="s">
        <v>4165</v>
      </c>
      <c r="AH1669" s="1077" t="s">
        <v>1137</v>
      </c>
      <c r="AM1669" s="1078" t="s">
        <v>12345</v>
      </c>
      <c r="AN1669" s="1078" t="s">
        <v>12346</v>
      </c>
      <c r="AO1669" s="1078">
        <f t="shared" si="206"/>
        <v>700</v>
      </c>
      <c r="AP1669" s="1078">
        <f t="shared" si="207"/>
        <v>1.74</v>
      </c>
      <c r="AQ1669" s="1078" t="str">
        <f t="shared" si="208"/>
        <v>1-5-1S91°</v>
      </c>
      <c r="AR1669" s="1078" t="str">
        <f t="shared" si="209"/>
        <v>30</v>
      </c>
      <c r="AS1669" s="1078" t="str">
        <f t="shared" si="210"/>
        <v>370/330/155</v>
      </c>
      <c r="AT1669" s="1078" t="str">
        <f t="shared" si="211"/>
        <v>1-5-1S91°</v>
      </c>
      <c r="AV1669" s="1078" t="str">
        <f t="shared" si="212"/>
        <v>110.1.29</v>
      </c>
      <c r="AW1669" s="1344">
        <f t="shared" si="213"/>
        <v>44225</v>
      </c>
    </row>
    <row r="1670" spans="1:49">
      <c r="A1670" s="1077" t="s">
        <v>5677</v>
      </c>
      <c r="B1670" s="1077" t="s">
        <v>5678</v>
      </c>
      <c r="C1670" s="1077">
        <v>600</v>
      </c>
      <c r="D1670" s="1077">
        <v>1.65</v>
      </c>
      <c r="E1670" s="1077" t="s">
        <v>15104</v>
      </c>
      <c r="F1670" s="1077" t="s">
        <v>648</v>
      </c>
      <c r="G1670" s="1077">
        <v>5</v>
      </c>
      <c r="H1670" s="1077" t="s">
        <v>1470</v>
      </c>
      <c r="I1670" s="1077" t="s">
        <v>460</v>
      </c>
      <c r="J1670" s="1077">
        <v>3.3</v>
      </c>
      <c r="K1670" s="1077" t="s">
        <v>5679</v>
      </c>
      <c r="L1670" s="1077" t="s">
        <v>5680</v>
      </c>
      <c r="M1670" s="1077">
        <v>159.69999999999999</v>
      </c>
      <c r="N1670" s="1077" t="s">
        <v>945</v>
      </c>
      <c r="O1670" s="1077">
        <v>3.9924999999999997</v>
      </c>
      <c r="P1670" s="1077">
        <v>3.194</v>
      </c>
      <c r="Q1670" s="1077">
        <v>3</v>
      </c>
      <c r="R1670" s="1077">
        <v>25.6</v>
      </c>
      <c r="T1670" s="1077">
        <v>33.9</v>
      </c>
      <c r="U1670" s="1077">
        <v>6.3</v>
      </c>
      <c r="V1670" s="1077" t="s">
        <v>648</v>
      </c>
      <c r="W1670" s="1077">
        <v>110</v>
      </c>
      <c r="X1670" s="1077">
        <v>95</v>
      </c>
      <c r="Y1670" s="1077">
        <v>1.5</v>
      </c>
      <c r="Z1670" s="1077" t="s">
        <v>648</v>
      </c>
      <c r="AA1670" s="1077" t="s">
        <v>3141</v>
      </c>
      <c r="AH1670" s="1077" t="s">
        <v>5681</v>
      </c>
      <c r="AM1670" s="1078" t="s">
        <v>12347</v>
      </c>
      <c r="AN1670" s="1078" t="s">
        <v>12348</v>
      </c>
      <c r="AO1670" s="1078">
        <f t="shared" si="206"/>
        <v>600</v>
      </c>
      <c r="AP1670" s="1078">
        <f t="shared" si="207"/>
        <v>1.65</v>
      </c>
      <c r="AQ1670" s="1078" t="str">
        <f t="shared" si="208"/>
        <v>1-4-1S85°Z+S</v>
      </c>
      <c r="AR1670" s="1078" t="str">
        <f t="shared" si="209"/>
        <v>NA</v>
      </c>
      <c r="AS1670" s="1078" t="str">
        <f t="shared" si="210"/>
        <v>160/OFF</v>
      </c>
      <c r="AT1670" s="1078" t="str">
        <f t="shared" si="211"/>
        <v>1-4-1S85°Z+S</v>
      </c>
      <c r="AU1670" s="1078" t="s">
        <v>15547</v>
      </c>
      <c r="AV1670" s="1078" t="str">
        <f t="shared" si="212"/>
        <v>110.3.18</v>
      </c>
      <c r="AW1670" s="1344">
        <f t="shared" si="213"/>
        <v>44273</v>
      </c>
    </row>
    <row r="1671" spans="1:49">
      <c r="A1671" s="1077" t="s">
        <v>5682</v>
      </c>
      <c r="B1671" s="1077" t="s">
        <v>5148</v>
      </c>
      <c r="C1671" s="1077">
        <v>650</v>
      </c>
      <c r="D1671" s="1077">
        <v>1.7450000000000001</v>
      </c>
      <c r="E1671" s="1077" t="s">
        <v>15094</v>
      </c>
      <c r="F1671" s="1077" t="s">
        <v>984</v>
      </c>
      <c r="G1671" s="1077">
        <v>5</v>
      </c>
      <c r="H1671" s="1077" t="s">
        <v>5335</v>
      </c>
      <c r="I1671" s="1077" t="s">
        <v>126</v>
      </c>
      <c r="J1671" s="1077">
        <v>0.6</v>
      </c>
      <c r="K1671" s="1077" t="s">
        <v>5151</v>
      </c>
      <c r="L1671" s="1077" t="s">
        <v>5152</v>
      </c>
      <c r="M1671" s="1077">
        <v>149.9</v>
      </c>
      <c r="N1671" s="1077" t="s">
        <v>945</v>
      </c>
      <c r="O1671" s="1077">
        <v>3.7475000000000005</v>
      </c>
      <c r="P1671" s="1077">
        <v>2.9980000000000002</v>
      </c>
      <c r="Q1671" s="1077">
        <v>4</v>
      </c>
      <c r="R1671" s="1077">
        <v>22</v>
      </c>
      <c r="T1671" s="1077">
        <v>20</v>
      </c>
      <c r="U1671" s="1077">
        <v>2.6</v>
      </c>
      <c r="V1671" s="1077" t="s">
        <v>648</v>
      </c>
      <c r="W1671" s="1077">
        <v>35</v>
      </c>
      <c r="X1671" s="1077">
        <v>10</v>
      </c>
      <c r="Y1671" s="1077">
        <v>1</v>
      </c>
      <c r="Z1671" s="1077">
        <v>6</v>
      </c>
      <c r="AA1671" s="1077" t="s">
        <v>3260</v>
      </c>
      <c r="AH1671" s="1077" t="s">
        <v>3213</v>
      </c>
      <c r="AM1671" s="1078" t="s">
        <v>12349</v>
      </c>
      <c r="AN1671" s="1078" t="s">
        <v>12350</v>
      </c>
      <c r="AO1671" s="1078">
        <f t="shared" si="206"/>
        <v>650</v>
      </c>
      <c r="AP1671" s="1078">
        <f t="shared" si="207"/>
        <v>1.7450000000000001</v>
      </c>
      <c r="AQ1671" s="1078" t="str">
        <f t="shared" si="208"/>
        <v>1-5-1S91°</v>
      </c>
      <c r="AR1671" s="1078" t="str">
        <f t="shared" si="209"/>
        <v>30</v>
      </c>
      <c r="AS1671" s="1078" t="str">
        <f t="shared" si="210"/>
        <v>340/300/158</v>
      </c>
      <c r="AT1671" s="1078" t="str">
        <f t="shared" si="211"/>
        <v>1-5-1S91°</v>
      </c>
      <c r="AV1671" s="1078" t="str">
        <f t="shared" si="212"/>
        <v>110.6.18</v>
      </c>
      <c r="AW1671" s="1344">
        <f t="shared" si="213"/>
        <v>44365</v>
      </c>
    </row>
    <row r="1672" spans="1:49">
      <c r="A1672" s="1077" t="s">
        <v>5683</v>
      </c>
      <c r="B1672" s="1077" t="s">
        <v>5157</v>
      </c>
      <c r="C1672" s="1077">
        <v>650</v>
      </c>
      <c r="D1672" s="1077">
        <v>1.7350000000000001</v>
      </c>
      <c r="E1672" s="1077" t="s">
        <v>15094</v>
      </c>
      <c r="F1672" s="1077" t="s">
        <v>984</v>
      </c>
      <c r="G1672" s="1077">
        <v>5</v>
      </c>
      <c r="H1672" s="1077" t="s">
        <v>1793</v>
      </c>
      <c r="I1672" s="1077" t="s">
        <v>126</v>
      </c>
      <c r="J1672" s="1077">
        <v>2.2000000000000002</v>
      </c>
      <c r="K1672" s="1077" t="s">
        <v>5684</v>
      </c>
      <c r="L1672" s="1077" t="s">
        <v>4854</v>
      </c>
      <c r="M1672" s="1077">
        <v>150.30000000000001</v>
      </c>
      <c r="N1672" s="1077" t="s">
        <v>945</v>
      </c>
      <c r="O1672" s="1077">
        <v>3.7575000000000003</v>
      </c>
      <c r="P1672" s="1077">
        <v>3.0060000000000002</v>
      </c>
      <c r="Q1672" s="1077">
        <v>3</v>
      </c>
      <c r="R1672" s="1077">
        <v>29</v>
      </c>
      <c r="T1672" s="1077">
        <v>13</v>
      </c>
      <c r="U1672" s="1077">
        <v>7</v>
      </c>
      <c r="V1672" s="1077" t="s">
        <v>648</v>
      </c>
      <c r="W1672" s="1077">
        <v>115</v>
      </c>
      <c r="X1672" s="1077">
        <v>50</v>
      </c>
      <c r="Y1672" s="1077">
        <v>1.7</v>
      </c>
      <c r="Z1672" s="1077">
        <v>6.5</v>
      </c>
      <c r="AA1672" s="1077" t="s">
        <v>5685</v>
      </c>
      <c r="AH1672" s="1077" t="s">
        <v>1186</v>
      </c>
      <c r="AM1672" s="1078" t="s">
        <v>12351</v>
      </c>
      <c r="AN1672" s="1078" t="s">
        <v>12352</v>
      </c>
      <c r="AO1672" s="1078">
        <f t="shared" si="206"/>
        <v>650</v>
      </c>
      <c r="AP1672" s="1078">
        <f t="shared" si="207"/>
        <v>1.7350000000000001</v>
      </c>
      <c r="AQ1672" s="1078" t="str">
        <f t="shared" si="208"/>
        <v>1-5-1S91°</v>
      </c>
      <c r="AR1672" s="1078" t="str">
        <f t="shared" si="209"/>
        <v>30</v>
      </c>
      <c r="AS1672" s="1078" t="str">
        <f t="shared" si="210"/>
        <v>270/270/OFF</v>
      </c>
      <c r="AT1672" s="1078" t="str">
        <f t="shared" si="211"/>
        <v>1-5-1S91°</v>
      </c>
      <c r="AV1672" s="1078" t="str">
        <f t="shared" si="212"/>
        <v>110.7.29</v>
      </c>
      <c r="AW1672" s="1344">
        <f t="shared" si="213"/>
        <v>44406</v>
      </c>
    </row>
    <row r="1673" spans="1:49">
      <c r="A1673" s="1077" t="s">
        <v>5686</v>
      </c>
      <c r="B1673" s="1077" t="s">
        <v>617</v>
      </c>
      <c r="C1673" s="1077">
        <v>650</v>
      </c>
      <c r="D1673" s="1077">
        <v>1.75</v>
      </c>
      <c r="E1673" s="1077" t="s">
        <v>15094</v>
      </c>
      <c r="F1673" s="1077" t="s">
        <v>984</v>
      </c>
      <c r="G1673" s="1077">
        <v>5</v>
      </c>
      <c r="H1673" s="1077" t="s">
        <v>1806</v>
      </c>
      <c r="I1673" s="1077" t="s">
        <v>126</v>
      </c>
      <c r="J1673" s="1077">
        <v>1.4</v>
      </c>
      <c r="K1673" s="1077" t="s">
        <v>5687</v>
      </c>
      <c r="L1673" s="1077" t="s">
        <v>4854</v>
      </c>
      <c r="M1673" s="1077">
        <v>150.6</v>
      </c>
      <c r="N1673" s="1077" t="s">
        <v>945</v>
      </c>
      <c r="O1673" s="1077">
        <v>3.7650000000000001</v>
      </c>
      <c r="P1673" s="1077">
        <v>3.012</v>
      </c>
      <c r="Q1673" s="1077" t="s">
        <v>1369</v>
      </c>
      <c r="R1673" s="1077">
        <v>26</v>
      </c>
      <c r="T1673" s="1077">
        <v>14.8</v>
      </c>
      <c r="U1673" s="1077">
        <v>6.7</v>
      </c>
      <c r="V1673" s="1077" t="s">
        <v>648</v>
      </c>
      <c r="W1673" s="1077">
        <v>90</v>
      </c>
      <c r="X1673" s="1077">
        <v>10</v>
      </c>
      <c r="Y1673" s="1077">
        <v>1.3</v>
      </c>
      <c r="Z1673" s="1077">
        <v>6</v>
      </c>
      <c r="AA1673" s="1077" t="s">
        <v>3815</v>
      </c>
      <c r="AH1673" s="1077" t="s">
        <v>1137</v>
      </c>
      <c r="AM1673" s="1078" t="s">
        <v>12353</v>
      </c>
      <c r="AN1673" s="1078" t="s">
        <v>12354</v>
      </c>
      <c r="AO1673" s="1078">
        <f t="shared" si="206"/>
        <v>650</v>
      </c>
      <c r="AP1673" s="1078">
        <f t="shared" si="207"/>
        <v>1.75</v>
      </c>
      <c r="AQ1673" s="1078" t="str">
        <f t="shared" si="208"/>
        <v>1-5-1S91°</v>
      </c>
      <c r="AR1673" s="1078" t="str">
        <f t="shared" si="209"/>
        <v>30</v>
      </c>
      <c r="AS1673" s="1078" t="str">
        <f t="shared" si="210"/>
        <v>280/280/OFF</v>
      </c>
      <c r="AT1673" s="1078" t="str">
        <f t="shared" si="211"/>
        <v>1-5-1S91°</v>
      </c>
      <c r="AV1673" s="1078" t="str">
        <f t="shared" si="212"/>
        <v>110.10.1</v>
      </c>
      <c r="AW1673" s="1344">
        <f t="shared" si="213"/>
        <v>44470</v>
      </c>
    </row>
    <row r="1674" spans="1:49">
      <c r="A1674" s="1077" t="s">
        <v>5688</v>
      </c>
      <c r="B1674" s="1077" t="s">
        <v>5314</v>
      </c>
      <c r="C1674" s="1077">
        <v>550</v>
      </c>
      <c r="D1674" s="1077">
        <v>1.77</v>
      </c>
      <c r="E1674" s="1077" t="s">
        <v>15116</v>
      </c>
      <c r="F1674" s="1077" t="s">
        <v>1514</v>
      </c>
      <c r="G1674" s="1077">
        <v>2</v>
      </c>
      <c r="H1674" s="1077" t="s">
        <v>5689</v>
      </c>
      <c r="I1674" s="1077" t="s">
        <v>126</v>
      </c>
      <c r="J1674" s="1077">
        <v>2.1</v>
      </c>
      <c r="K1674" s="1077" t="s">
        <v>5690</v>
      </c>
      <c r="L1674" s="1077" t="s">
        <v>1901</v>
      </c>
      <c r="M1674" s="1077">
        <v>150</v>
      </c>
      <c r="N1674" s="1077" t="s">
        <v>945</v>
      </c>
      <c r="O1674" s="1077">
        <v>3.75</v>
      </c>
      <c r="P1674" s="1077">
        <v>3</v>
      </c>
      <c r="Q1674" s="1077">
        <v>3</v>
      </c>
      <c r="R1674" s="1077">
        <v>28.5</v>
      </c>
      <c r="T1674" s="1077">
        <v>12.5</v>
      </c>
      <c r="U1674" s="1077">
        <v>7.4</v>
      </c>
      <c r="V1674" s="1077" t="s">
        <v>648</v>
      </c>
      <c r="W1674" s="1077">
        <v>125</v>
      </c>
      <c r="X1674" s="1077">
        <v>80</v>
      </c>
      <c r="Y1674" s="1077">
        <v>1.5</v>
      </c>
      <c r="Z1674" s="1077" t="s">
        <v>648</v>
      </c>
      <c r="AA1674" s="1077" t="s">
        <v>3968</v>
      </c>
      <c r="AH1674" s="1077" t="s">
        <v>1360</v>
      </c>
      <c r="AM1674" s="1078" t="s">
        <v>12355</v>
      </c>
      <c r="AN1674" s="1078" t="s">
        <v>12356</v>
      </c>
      <c r="AO1674" s="1078">
        <f t="shared" si="206"/>
        <v>550</v>
      </c>
      <c r="AP1674" s="1078">
        <f t="shared" si="207"/>
        <v>1.77</v>
      </c>
      <c r="AQ1674" s="1078" t="str">
        <f t="shared" si="208"/>
        <v>1-5-1S83°Z+S</v>
      </c>
      <c r="AR1674" s="1078" t="str">
        <f t="shared" si="209"/>
        <v>32</v>
      </c>
      <c r="AS1674" s="1078" t="str">
        <f t="shared" si="210"/>
        <v>186/186/OFF</v>
      </c>
      <c r="AT1674" s="1078" t="str">
        <f t="shared" si="211"/>
        <v>1-5-1S83°Z+S</v>
      </c>
      <c r="AU1674" s="1078" t="s">
        <v>15547</v>
      </c>
      <c r="AV1674" s="1078" t="str">
        <f t="shared" si="212"/>
        <v>110.11.10</v>
      </c>
      <c r="AW1674" s="1344">
        <f t="shared" si="213"/>
        <v>44510</v>
      </c>
    </row>
    <row r="1675" spans="1:49">
      <c r="A1675" s="1077" t="s">
        <v>5691</v>
      </c>
      <c r="B1675" s="1077" t="s">
        <v>5565</v>
      </c>
      <c r="C1675" s="1077">
        <v>600</v>
      </c>
      <c r="D1675" s="1077">
        <v>1.7</v>
      </c>
      <c r="E1675" s="1077" t="s">
        <v>15104</v>
      </c>
      <c r="F1675" s="1077" t="s">
        <v>648</v>
      </c>
      <c r="G1675" s="1077">
        <v>5</v>
      </c>
      <c r="H1675" s="1077" t="s">
        <v>1166</v>
      </c>
      <c r="I1675" s="1077" t="s">
        <v>126</v>
      </c>
      <c r="J1675" s="1077">
        <v>1.2</v>
      </c>
      <c r="K1675" s="1077" t="s">
        <v>5566</v>
      </c>
      <c r="L1675" s="1077" t="s">
        <v>3572</v>
      </c>
      <c r="M1675" s="1077">
        <v>153</v>
      </c>
      <c r="N1675" s="1077" t="s">
        <v>945</v>
      </c>
      <c r="O1675" s="1077">
        <v>3.8250000000000002</v>
      </c>
      <c r="P1675" s="1077">
        <v>3.06</v>
      </c>
      <c r="Q1675" s="1077">
        <v>4</v>
      </c>
      <c r="R1675" s="1077">
        <v>18</v>
      </c>
      <c r="T1675" s="1077">
        <v>14</v>
      </c>
      <c r="U1675" s="1077">
        <v>4.5</v>
      </c>
      <c r="V1675" s="1077" t="s">
        <v>648</v>
      </c>
      <c r="W1675" s="1077">
        <v>110</v>
      </c>
      <c r="X1675" s="1077">
        <v>60</v>
      </c>
      <c r="Y1675" s="1077">
        <v>1.8</v>
      </c>
      <c r="Z1675" s="1077" t="s">
        <v>648</v>
      </c>
      <c r="AA1675" s="1077" t="s">
        <v>4344</v>
      </c>
      <c r="AH1675" s="1077" t="s">
        <v>803</v>
      </c>
      <c r="AM1675" s="1078" t="s">
        <v>12357</v>
      </c>
      <c r="AN1675" s="1078" t="s">
        <v>12358</v>
      </c>
      <c r="AO1675" s="1078">
        <f t="shared" ref="AO1675:AO1738" si="214">C1675</f>
        <v>600</v>
      </c>
      <c r="AP1675" s="1078">
        <f t="shared" ref="AP1675:AP1738" si="215">D1675</f>
        <v>1.7</v>
      </c>
      <c r="AQ1675" s="1078" t="str">
        <f t="shared" ref="AQ1675:AQ1738" si="216">E1675</f>
        <v>1-4-1S85°Z+S</v>
      </c>
      <c r="AR1675" s="1078" t="str">
        <f t="shared" ref="AR1675:AR1738" si="217">F1675</f>
        <v>NA</v>
      </c>
      <c r="AS1675" s="1078" t="str">
        <f t="shared" ref="AS1675:AS1738" si="218">H1675</f>
        <v>170/OFF</v>
      </c>
      <c r="AT1675" s="1078" t="str">
        <f t="shared" ref="AT1675:AT1738" si="219">E1675</f>
        <v>1-4-1S85°Z+S</v>
      </c>
      <c r="AU1675" s="1078" t="s">
        <v>15547</v>
      </c>
      <c r="AV1675" s="1078" t="str">
        <f t="shared" si="212"/>
        <v>111.6.30</v>
      </c>
      <c r="AW1675" s="1344">
        <f t="shared" si="213"/>
        <v>44742</v>
      </c>
    </row>
    <row r="1676" spans="1:49">
      <c r="A1676" s="1077" t="s">
        <v>5692</v>
      </c>
      <c r="B1676" s="1077" t="s">
        <v>210</v>
      </c>
      <c r="C1676" s="1077">
        <v>550</v>
      </c>
      <c r="D1676" s="1077">
        <v>1.75</v>
      </c>
      <c r="E1676" s="1077" t="s">
        <v>15094</v>
      </c>
      <c r="F1676" s="1077" t="s">
        <v>984</v>
      </c>
      <c r="G1676" s="1077">
        <v>5</v>
      </c>
      <c r="H1676" s="1077" t="s">
        <v>5693</v>
      </c>
      <c r="I1676" s="1077" t="s">
        <v>648</v>
      </c>
      <c r="J1676" s="1077">
        <v>0</v>
      </c>
      <c r="K1676" s="1077" t="s">
        <v>5694</v>
      </c>
      <c r="L1676" s="1077" t="s">
        <v>4666</v>
      </c>
      <c r="M1676" s="1077">
        <v>151.5</v>
      </c>
      <c r="N1676" s="1077" t="s">
        <v>945</v>
      </c>
      <c r="O1676" s="1077">
        <v>3.7875000000000001</v>
      </c>
      <c r="P1676" s="1077">
        <v>3.0300000000000002</v>
      </c>
      <c r="Q1676" s="1077">
        <v>4</v>
      </c>
      <c r="R1676" s="1077">
        <v>19.100000000000001</v>
      </c>
      <c r="T1676" s="1077">
        <v>19</v>
      </c>
      <c r="U1676" s="1077">
        <v>2.5</v>
      </c>
      <c r="V1676" s="1077" t="s">
        <v>648</v>
      </c>
      <c r="W1676" s="1077" t="s">
        <v>648</v>
      </c>
      <c r="X1676" s="1077" t="s">
        <v>648</v>
      </c>
      <c r="Y1676" s="1077">
        <v>1</v>
      </c>
      <c r="Z1676" s="1077">
        <v>5</v>
      </c>
      <c r="AA1676" s="1077" t="s">
        <v>2304</v>
      </c>
      <c r="AH1676" s="1077" t="s">
        <v>684</v>
      </c>
      <c r="AM1676" s="1078" t="s">
        <v>12359</v>
      </c>
      <c r="AN1676" s="1078" t="s">
        <v>12360</v>
      </c>
      <c r="AO1676" s="1078">
        <f t="shared" si="214"/>
        <v>550</v>
      </c>
      <c r="AP1676" s="1078">
        <f t="shared" si="215"/>
        <v>1.75</v>
      </c>
      <c r="AQ1676" s="1078" t="str">
        <f t="shared" si="216"/>
        <v>1-5-1S91°</v>
      </c>
      <c r="AR1676" s="1078" t="str">
        <f t="shared" si="217"/>
        <v>30</v>
      </c>
      <c r="AS1676" s="1078" t="str">
        <f t="shared" si="218"/>
        <v>325/285/145</v>
      </c>
      <c r="AT1676" s="1078" t="str">
        <f t="shared" si="219"/>
        <v>1-5-1S91°</v>
      </c>
      <c r="AV1676" s="1078" t="str">
        <f t="shared" si="212"/>
        <v>111.7.4</v>
      </c>
      <c r="AW1676" s="1344">
        <f t="shared" si="213"/>
        <v>44746</v>
      </c>
    </row>
    <row r="1677" spans="1:49">
      <c r="A1677" s="1077" t="s">
        <v>5695</v>
      </c>
      <c r="B1677" s="1077" t="s">
        <v>5338</v>
      </c>
      <c r="C1677" s="1077">
        <v>500</v>
      </c>
      <c r="D1677" s="1077">
        <v>1.74</v>
      </c>
      <c r="E1677" s="1077" t="s">
        <v>15116</v>
      </c>
      <c r="F1677" s="1077" t="s">
        <v>984</v>
      </c>
      <c r="G1677" s="1077">
        <v>2</v>
      </c>
      <c r="H1677" s="1077" t="s">
        <v>1649</v>
      </c>
      <c r="I1677" s="1077" t="s">
        <v>126</v>
      </c>
      <c r="J1677" s="1077">
        <v>1.4</v>
      </c>
      <c r="K1677" s="1077" t="s">
        <v>5696</v>
      </c>
      <c r="L1677" s="1077" t="s">
        <v>1844</v>
      </c>
      <c r="M1677" s="1077">
        <v>148.1</v>
      </c>
      <c r="N1677" s="1077" t="s">
        <v>945</v>
      </c>
      <c r="O1677" s="1077">
        <v>3.7025000000000001</v>
      </c>
      <c r="P1677" s="1077">
        <v>2.9619999999999997</v>
      </c>
      <c r="Q1677" s="1077">
        <v>3.5</v>
      </c>
      <c r="R1677" s="1077">
        <v>22.4</v>
      </c>
      <c r="T1677" s="1077">
        <v>20.6</v>
      </c>
      <c r="U1677" s="1077">
        <v>3.7</v>
      </c>
      <c r="V1677" s="1077" t="s">
        <v>648</v>
      </c>
      <c r="W1677" s="1077">
        <v>140</v>
      </c>
      <c r="X1677" s="1077">
        <v>75</v>
      </c>
      <c r="Y1677" s="1077">
        <v>1.5</v>
      </c>
      <c r="Z1677" s="1077" t="s">
        <v>648</v>
      </c>
      <c r="AA1677" s="1077" t="s">
        <v>2304</v>
      </c>
      <c r="AH1677" s="1077" t="s">
        <v>726</v>
      </c>
      <c r="AM1677" s="1078" t="s">
        <v>12361</v>
      </c>
      <c r="AN1677" s="1078" t="s">
        <v>12362</v>
      </c>
      <c r="AO1677" s="1078">
        <f t="shared" si="214"/>
        <v>500</v>
      </c>
      <c r="AP1677" s="1078">
        <f t="shared" si="215"/>
        <v>1.74</v>
      </c>
      <c r="AQ1677" s="1078" t="str">
        <f t="shared" si="216"/>
        <v>1-5-1S83°Z+S</v>
      </c>
      <c r="AR1677" s="1078" t="str">
        <f t="shared" si="217"/>
        <v>30</v>
      </c>
      <c r="AS1677" s="1078" t="str">
        <f t="shared" si="218"/>
        <v>225/225/OFF</v>
      </c>
      <c r="AT1677" s="1078" t="str">
        <f t="shared" si="219"/>
        <v>1-5-1S83°Z+S</v>
      </c>
      <c r="AU1677" s="1078" t="s">
        <v>15547</v>
      </c>
      <c r="AV1677" s="1078" t="str">
        <f t="shared" si="212"/>
        <v>111.7.4</v>
      </c>
      <c r="AW1677" s="1344">
        <f t="shared" si="213"/>
        <v>44746</v>
      </c>
    </row>
    <row r="1678" spans="1:49">
      <c r="A1678" s="1077" t="s">
        <v>5697</v>
      </c>
      <c r="B1678" s="1077" t="s">
        <v>5148</v>
      </c>
      <c r="C1678" s="1077">
        <v>650</v>
      </c>
      <c r="D1678" s="1077">
        <v>1.75</v>
      </c>
      <c r="E1678" s="1077" t="s">
        <v>15102</v>
      </c>
      <c r="F1678" s="1077" t="s">
        <v>1469</v>
      </c>
      <c r="G1678" s="1077">
        <v>5</v>
      </c>
      <c r="H1678" s="1077" t="s">
        <v>1936</v>
      </c>
      <c r="I1678" s="1077" t="s">
        <v>460</v>
      </c>
      <c r="J1678" s="1077">
        <v>2</v>
      </c>
      <c r="K1678" s="1077" t="s">
        <v>5548</v>
      </c>
      <c r="L1678" s="1077" t="s">
        <v>5152</v>
      </c>
      <c r="M1678" s="1077">
        <v>148.6</v>
      </c>
      <c r="N1678" s="1077" t="s">
        <v>945</v>
      </c>
      <c r="O1678" s="1077">
        <v>3.7149999999999999</v>
      </c>
      <c r="P1678" s="1077">
        <v>2.972</v>
      </c>
      <c r="Q1678" s="1077">
        <v>3.5</v>
      </c>
      <c r="R1678" s="1077">
        <v>20.399999999999999</v>
      </c>
      <c r="T1678" s="1077">
        <v>26</v>
      </c>
      <c r="U1678" s="1077">
        <v>3.7</v>
      </c>
      <c r="V1678" s="1077" t="s">
        <v>648</v>
      </c>
      <c r="W1678" s="1077">
        <v>105</v>
      </c>
      <c r="X1678" s="1077">
        <v>50</v>
      </c>
      <c r="Y1678" s="1077">
        <v>2</v>
      </c>
      <c r="Z1678" s="1077">
        <v>6.5</v>
      </c>
      <c r="AA1678" s="1077" t="s">
        <v>5698</v>
      </c>
      <c r="AH1678" s="1077" t="s">
        <v>614</v>
      </c>
      <c r="AM1678" s="1078" t="s">
        <v>12363</v>
      </c>
      <c r="AN1678" s="1078" t="s">
        <v>12364</v>
      </c>
      <c r="AO1678" s="1078">
        <f t="shared" si="214"/>
        <v>650</v>
      </c>
      <c r="AP1678" s="1078">
        <f t="shared" si="215"/>
        <v>1.75</v>
      </c>
      <c r="AQ1678" s="1078" t="str">
        <f t="shared" si="216"/>
        <v>2-6-1S83°</v>
      </c>
      <c r="AR1678" s="1078" t="str">
        <f t="shared" si="217"/>
        <v>30.5</v>
      </c>
      <c r="AS1678" s="1078" t="str">
        <f t="shared" si="218"/>
        <v>175/OFF</v>
      </c>
      <c r="AT1678" s="1078" t="str">
        <f t="shared" si="219"/>
        <v>2-6-1S83°</v>
      </c>
      <c r="AV1678" s="1078" t="str">
        <f t="shared" si="212"/>
        <v>111.7.7</v>
      </c>
      <c r="AW1678" s="1344">
        <f t="shared" si="213"/>
        <v>44749</v>
      </c>
    </row>
    <row r="1679" spans="1:49">
      <c r="A1679" s="1077" t="s">
        <v>5699</v>
      </c>
      <c r="B1679" s="1077" t="s">
        <v>5068</v>
      </c>
      <c r="C1679" s="1077">
        <v>650</v>
      </c>
      <c r="D1679" s="1077">
        <v>1.76</v>
      </c>
      <c r="E1679" s="1077" t="s">
        <v>15108</v>
      </c>
      <c r="F1679" s="1077" t="s">
        <v>984</v>
      </c>
      <c r="G1679" s="1077">
        <v>5</v>
      </c>
      <c r="H1679" s="1077" t="s">
        <v>1806</v>
      </c>
      <c r="I1679" s="1077" t="s">
        <v>460</v>
      </c>
      <c r="J1679" s="1077">
        <v>1.7</v>
      </c>
      <c r="K1679" s="1077" t="s">
        <v>5700</v>
      </c>
      <c r="L1679" s="1077" t="s">
        <v>1913</v>
      </c>
      <c r="M1679" s="1077">
        <v>150</v>
      </c>
      <c r="N1679" s="1077" t="s">
        <v>945</v>
      </c>
      <c r="O1679" s="1077">
        <v>3.75</v>
      </c>
      <c r="P1679" s="1077">
        <v>3</v>
      </c>
      <c r="Q1679" s="1077">
        <v>4</v>
      </c>
      <c r="R1679" s="1077">
        <v>20.8</v>
      </c>
      <c r="T1679" s="1077">
        <v>29.1</v>
      </c>
      <c r="U1679" s="1077">
        <v>3.4</v>
      </c>
      <c r="V1679" s="1077" t="s">
        <v>648</v>
      </c>
      <c r="W1679" s="1077">
        <v>100</v>
      </c>
      <c r="X1679" s="1077">
        <v>60</v>
      </c>
      <c r="Y1679" s="1077">
        <v>1.5</v>
      </c>
      <c r="Z1679" s="1077" t="s">
        <v>648</v>
      </c>
      <c r="AA1679" s="1077" t="s">
        <v>5698</v>
      </c>
      <c r="AH1679" s="1077" t="s">
        <v>1186</v>
      </c>
      <c r="AM1679" s="1078" t="s">
        <v>12365</v>
      </c>
      <c r="AN1679" s="1078" t="s">
        <v>12366</v>
      </c>
      <c r="AO1679" s="1078">
        <f t="shared" si="214"/>
        <v>650</v>
      </c>
      <c r="AP1679" s="1078">
        <f t="shared" si="215"/>
        <v>1.76</v>
      </c>
      <c r="AQ1679" s="1078" t="str">
        <f t="shared" si="216"/>
        <v>1-4-1S83°Z+S</v>
      </c>
      <c r="AR1679" s="1078" t="str">
        <f t="shared" si="217"/>
        <v>30</v>
      </c>
      <c r="AS1679" s="1078" t="str">
        <f t="shared" si="218"/>
        <v>280/280/OFF</v>
      </c>
      <c r="AT1679" s="1078" t="str">
        <f t="shared" si="219"/>
        <v>1-4-1S83°Z+S</v>
      </c>
      <c r="AU1679" s="1078" t="s">
        <v>15547</v>
      </c>
      <c r="AV1679" s="1078" t="str">
        <f t="shared" si="212"/>
        <v>111.7.7</v>
      </c>
      <c r="AW1679" s="1344">
        <f t="shared" si="213"/>
        <v>44749</v>
      </c>
    </row>
    <row r="1680" spans="1:49">
      <c r="A1680" s="1077" t="s">
        <v>5701</v>
      </c>
      <c r="B1680" s="1077" t="s">
        <v>886</v>
      </c>
      <c r="C1680" s="1077">
        <v>550</v>
      </c>
      <c r="D1680" s="1077">
        <v>1.71</v>
      </c>
      <c r="E1680" s="1077" t="s">
        <v>15094</v>
      </c>
      <c r="F1680" s="1077" t="s">
        <v>984</v>
      </c>
      <c r="G1680" s="1077">
        <v>5</v>
      </c>
      <c r="H1680" s="1077" t="s">
        <v>5525</v>
      </c>
      <c r="I1680" s="1077" t="s">
        <v>648</v>
      </c>
      <c r="J1680" s="1077">
        <v>0</v>
      </c>
      <c r="K1680" s="1077" t="s">
        <v>5606</v>
      </c>
      <c r="L1680" s="1077" t="s">
        <v>5556</v>
      </c>
      <c r="M1680" s="1077">
        <v>156</v>
      </c>
      <c r="N1680" s="1077" t="s">
        <v>945</v>
      </c>
      <c r="O1680" s="1077">
        <v>3.9000000000000004</v>
      </c>
      <c r="P1680" s="1077">
        <v>3.12</v>
      </c>
      <c r="Q1680" s="1077">
        <v>3.5</v>
      </c>
      <c r="R1680" s="1077">
        <v>24.5</v>
      </c>
      <c r="T1680" s="1077">
        <v>24</v>
      </c>
      <c r="U1680" s="1077">
        <v>2.5</v>
      </c>
      <c r="V1680" s="1077" t="s">
        <v>648</v>
      </c>
      <c r="W1680" s="1077" t="s">
        <v>648</v>
      </c>
      <c r="X1680" s="1077" t="s">
        <v>648</v>
      </c>
      <c r="Y1680" s="1077">
        <v>1.4</v>
      </c>
      <c r="Z1680" s="1077">
        <v>7</v>
      </c>
      <c r="AA1680" s="1077" t="s">
        <v>5698</v>
      </c>
      <c r="AH1680" s="1077" t="s">
        <v>482</v>
      </c>
      <c r="AM1680" s="1078" t="s">
        <v>12367</v>
      </c>
      <c r="AN1680" s="1078" t="s">
        <v>12368</v>
      </c>
      <c r="AO1680" s="1078">
        <f t="shared" si="214"/>
        <v>550</v>
      </c>
      <c r="AP1680" s="1078">
        <f t="shared" si="215"/>
        <v>1.71</v>
      </c>
      <c r="AQ1680" s="1078" t="str">
        <f t="shared" si="216"/>
        <v>1-5-1S91°</v>
      </c>
      <c r="AR1680" s="1078" t="str">
        <f t="shared" si="217"/>
        <v>30</v>
      </c>
      <c r="AS1680" s="1078" t="str">
        <f t="shared" si="218"/>
        <v>345/305/145</v>
      </c>
      <c r="AT1680" s="1078" t="str">
        <f t="shared" si="219"/>
        <v>1-5-1S91°</v>
      </c>
      <c r="AV1680" s="1078" t="str">
        <f t="shared" si="212"/>
        <v>111.7.7</v>
      </c>
      <c r="AW1680" s="1344">
        <f t="shared" si="213"/>
        <v>44749</v>
      </c>
    </row>
    <row r="1681" spans="1:49">
      <c r="A1681" s="1077" t="s">
        <v>5702</v>
      </c>
      <c r="B1681" s="1077" t="s">
        <v>617</v>
      </c>
      <c r="C1681" s="1077">
        <v>600</v>
      </c>
      <c r="D1681" s="1077">
        <v>1.75</v>
      </c>
      <c r="E1681" s="1077" t="s">
        <v>15094</v>
      </c>
      <c r="F1681" s="1077" t="s">
        <v>984</v>
      </c>
      <c r="G1681" s="1077">
        <v>5</v>
      </c>
      <c r="H1681" s="1077" t="s">
        <v>955</v>
      </c>
      <c r="I1681" s="1077" t="s">
        <v>126</v>
      </c>
      <c r="J1681" s="1077">
        <v>2.1</v>
      </c>
      <c r="K1681" s="1077" t="s">
        <v>5622</v>
      </c>
      <c r="L1681" s="1077" t="s">
        <v>4854</v>
      </c>
      <c r="M1681" s="1077">
        <v>150.30000000000001</v>
      </c>
      <c r="N1681" s="1077" t="s">
        <v>945</v>
      </c>
      <c r="O1681" s="1077">
        <v>3.7575000000000003</v>
      </c>
      <c r="P1681" s="1077">
        <v>3.0060000000000002</v>
      </c>
      <c r="Q1681" s="1077">
        <v>3</v>
      </c>
      <c r="R1681" s="1077">
        <v>24.5</v>
      </c>
      <c r="T1681" s="1077">
        <v>13</v>
      </c>
      <c r="U1681" s="1077">
        <v>7</v>
      </c>
      <c r="V1681" s="1077" t="s">
        <v>648</v>
      </c>
      <c r="W1681" s="1077">
        <v>115</v>
      </c>
      <c r="X1681" s="1077">
        <v>50</v>
      </c>
      <c r="Y1681" s="1077">
        <v>1.7</v>
      </c>
      <c r="Z1681" s="1077">
        <v>6.5</v>
      </c>
      <c r="AA1681" s="1077" t="s">
        <v>2310</v>
      </c>
      <c r="AH1681" s="1077" t="s">
        <v>878</v>
      </c>
      <c r="AM1681" s="1078" t="s">
        <v>12369</v>
      </c>
      <c r="AN1681" s="1078" t="s">
        <v>12370</v>
      </c>
      <c r="AO1681" s="1078">
        <f t="shared" si="214"/>
        <v>600</v>
      </c>
      <c r="AP1681" s="1078">
        <f t="shared" si="215"/>
        <v>1.75</v>
      </c>
      <c r="AQ1681" s="1078" t="str">
        <f t="shared" si="216"/>
        <v>1-5-1S91°</v>
      </c>
      <c r="AR1681" s="1078" t="str">
        <f t="shared" si="217"/>
        <v>30</v>
      </c>
      <c r="AS1681" s="1078" t="str">
        <f t="shared" si="218"/>
        <v>260/260/OFF</v>
      </c>
      <c r="AT1681" s="1078" t="str">
        <f t="shared" si="219"/>
        <v>1-5-1S91°</v>
      </c>
      <c r="AV1681" s="1078" t="str">
        <f t="shared" si="212"/>
        <v>111.7.11</v>
      </c>
      <c r="AW1681" s="1344">
        <f t="shared" si="213"/>
        <v>44753</v>
      </c>
    </row>
    <row r="1682" spans="1:49">
      <c r="A1682" s="1077" t="s">
        <v>5703</v>
      </c>
      <c r="B1682" s="1077" t="s">
        <v>5565</v>
      </c>
      <c r="C1682" s="1077">
        <v>500</v>
      </c>
      <c r="D1682" s="1077">
        <v>1.7</v>
      </c>
      <c r="E1682" s="1077" t="s">
        <v>15104</v>
      </c>
      <c r="F1682" s="1077" t="s">
        <v>648</v>
      </c>
      <c r="G1682" s="1077">
        <v>5</v>
      </c>
      <c r="H1682" s="1077" t="s">
        <v>3349</v>
      </c>
      <c r="I1682" s="1077" t="s">
        <v>126</v>
      </c>
      <c r="J1682" s="1077">
        <v>1</v>
      </c>
      <c r="K1682" s="1077" t="s">
        <v>5566</v>
      </c>
      <c r="L1682" s="1077" t="s">
        <v>3572</v>
      </c>
      <c r="M1682" s="1077">
        <v>153</v>
      </c>
      <c r="N1682" s="1077" t="s">
        <v>945</v>
      </c>
      <c r="O1682" s="1077">
        <v>3.8250000000000002</v>
      </c>
      <c r="P1682" s="1077">
        <v>3.06</v>
      </c>
      <c r="Q1682" s="1077">
        <v>4</v>
      </c>
      <c r="R1682" s="1077">
        <v>18</v>
      </c>
      <c r="T1682" s="1077">
        <v>14</v>
      </c>
      <c r="U1682" s="1077">
        <v>4.5</v>
      </c>
      <c r="V1682" s="1077" t="s">
        <v>648</v>
      </c>
      <c r="W1682" s="1077">
        <v>110</v>
      </c>
      <c r="X1682" s="1077">
        <v>60</v>
      </c>
      <c r="Y1682" s="1077">
        <v>1.8</v>
      </c>
      <c r="Z1682" s="1077" t="s">
        <v>648</v>
      </c>
      <c r="AA1682" s="1077" t="s">
        <v>2307</v>
      </c>
      <c r="AH1682" s="1077" t="s">
        <v>1023</v>
      </c>
      <c r="AM1682" s="1078" t="s">
        <v>12371</v>
      </c>
      <c r="AN1682" s="1078" t="s">
        <v>12372</v>
      </c>
      <c r="AO1682" s="1078">
        <f t="shared" si="214"/>
        <v>500</v>
      </c>
      <c r="AP1682" s="1078">
        <f t="shared" si="215"/>
        <v>1.7</v>
      </c>
      <c r="AQ1682" s="1078" t="str">
        <f t="shared" si="216"/>
        <v>1-4-1S85°Z+S</v>
      </c>
      <c r="AR1682" s="1078" t="str">
        <f t="shared" si="217"/>
        <v>NA</v>
      </c>
      <c r="AS1682" s="1078" t="str">
        <f t="shared" si="218"/>
        <v>164/OFF</v>
      </c>
      <c r="AT1682" s="1078" t="str">
        <f t="shared" si="219"/>
        <v>1-4-1S85°Z+S</v>
      </c>
      <c r="AU1682" s="1078" t="s">
        <v>15547</v>
      </c>
      <c r="AV1682" s="1078" t="str">
        <f t="shared" si="212"/>
        <v>111.7.8</v>
      </c>
      <c r="AW1682" s="1344">
        <f t="shared" si="213"/>
        <v>44750</v>
      </c>
    </row>
    <row r="1683" spans="1:49">
      <c r="A1683" s="1077" t="s">
        <v>5704</v>
      </c>
      <c r="B1683" s="1077" t="s">
        <v>4767</v>
      </c>
      <c r="C1683" s="1077">
        <v>600</v>
      </c>
      <c r="D1683" s="1077">
        <v>1.72</v>
      </c>
      <c r="E1683" s="1077" t="s">
        <v>15109</v>
      </c>
      <c r="F1683" s="1077" t="s">
        <v>648</v>
      </c>
      <c r="G1683" s="1077">
        <v>5</v>
      </c>
      <c r="H1683" s="1077" t="s">
        <v>4776</v>
      </c>
      <c r="I1683" s="1077" t="s">
        <v>126</v>
      </c>
      <c r="J1683" s="1077">
        <v>1.3</v>
      </c>
      <c r="K1683" s="1077" t="s">
        <v>5705</v>
      </c>
      <c r="L1683" s="1077" t="s">
        <v>1776</v>
      </c>
      <c r="M1683" s="1077">
        <v>148</v>
      </c>
      <c r="N1683" s="1077" t="s">
        <v>945</v>
      </c>
      <c r="O1683" s="1077">
        <v>3.7</v>
      </c>
      <c r="P1683" s="1077">
        <v>2.96</v>
      </c>
      <c r="Q1683" s="1077">
        <v>4</v>
      </c>
      <c r="R1683" s="1077">
        <v>20.8</v>
      </c>
      <c r="T1683" s="1077">
        <v>20.399999999999999</v>
      </c>
      <c r="U1683" s="1077">
        <v>3.8</v>
      </c>
      <c r="V1683" s="1077" t="s">
        <v>648</v>
      </c>
      <c r="W1683" s="1077">
        <v>110</v>
      </c>
      <c r="X1683" s="1077">
        <v>60</v>
      </c>
      <c r="Y1683" s="1077">
        <v>1.7</v>
      </c>
      <c r="Z1683" s="1077" t="s">
        <v>648</v>
      </c>
      <c r="AA1683" s="1077" t="s">
        <v>2315</v>
      </c>
      <c r="AB1683" s="1077" t="s">
        <v>981</v>
      </c>
      <c r="AH1683" s="1077" t="s">
        <v>853</v>
      </c>
      <c r="AM1683" s="1078" t="s">
        <v>12373</v>
      </c>
      <c r="AN1683" s="1078" t="s">
        <v>12374</v>
      </c>
      <c r="AO1683" s="1078">
        <f t="shared" si="214"/>
        <v>600</v>
      </c>
      <c r="AP1683" s="1078">
        <f t="shared" si="215"/>
        <v>1.72</v>
      </c>
      <c r="AQ1683" s="1078" t="str">
        <f t="shared" si="216"/>
        <v>1-5-1S85°Z+S</v>
      </c>
      <c r="AR1683" s="1078" t="str">
        <f t="shared" si="217"/>
        <v>NA</v>
      </c>
      <c r="AS1683" s="1078" t="str">
        <f t="shared" si="218"/>
        <v>178/OFF</v>
      </c>
      <c r="AT1683" s="1078" t="str">
        <f t="shared" si="219"/>
        <v>1-5-1S85°Z+S</v>
      </c>
      <c r="AU1683" s="1078" t="s">
        <v>15547</v>
      </c>
      <c r="AV1683" s="1078" t="str">
        <f t="shared" si="212"/>
        <v>111.7.15</v>
      </c>
      <c r="AW1683" s="1344">
        <f t="shared" si="213"/>
        <v>44757</v>
      </c>
    </row>
    <row r="1684" spans="1:49">
      <c r="A1684" s="1077" t="s">
        <v>5706</v>
      </c>
      <c r="B1684" s="1077" t="s">
        <v>5068</v>
      </c>
      <c r="C1684" s="1077">
        <v>650</v>
      </c>
      <c r="D1684" s="1077">
        <v>1.75</v>
      </c>
      <c r="E1684" s="1077" t="s">
        <v>15108</v>
      </c>
      <c r="F1684" s="1077" t="s">
        <v>984</v>
      </c>
      <c r="G1684" s="1077">
        <v>5</v>
      </c>
      <c r="H1684" s="1077" t="s">
        <v>1806</v>
      </c>
      <c r="I1684" s="1077" t="s">
        <v>460</v>
      </c>
      <c r="J1684" s="1077">
        <v>1.7</v>
      </c>
      <c r="K1684" s="1077" t="s">
        <v>5707</v>
      </c>
      <c r="L1684" s="1077" t="s">
        <v>1913</v>
      </c>
      <c r="M1684" s="1077">
        <v>150</v>
      </c>
      <c r="N1684" s="1077" t="s">
        <v>945</v>
      </c>
      <c r="O1684" s="1077">
        <v>3.75</v>
      </c>
      <c r="P1684" s="1077">
        <v>3</v>
      </c>
      <c r="Q1684" s="1077">
        <v>4</v>
      </c>
      <c r="R1684" s="1077">
        <v>20.8</v>
      </c>
      <c r="T1684" s="1077">
        <v>29.1</v>
      </c>
      <c r="U1684" s="1077">
        <v>3.4</v>
      </c>
      <c r="V1684" s="1077" t="s">
        <v>648</v>
      </c>
      <c r="W1684" s="1077">
        <v>100</v>
      </c>
      <c r="X1684" s="1077">
        <v>60</v>
      </c>
      <c r="Y1684" s="1077">
        <v>1.5</v>
      </c>
      <c r="Z1684" s="1077" t="s">
        <v>648</v>
      </c>
      <c r="AA1684" s="1077" t="s">
        <v>2315</v>
      </c>
      <c r="AH1684" s="1077" t="s">
        <v>889</v>
      </c>
      <c r="AM1684" s="1078" t="s">
        <v>12375</v>
      </c>
      <c r="AN1684" s="1078" t="s">
        <v>12376</v>
      </c>
      <c r="AO1684" s="1078">
        <f t="shared" si="214"/>
        <v>650</v>
      </c>
      <c r="AP1684" s="1078">
        <f t="shared" si="215"/>
        <v>1.75</v>
      </c>
      <c r="AQ1684" s="1078" t="str">
        <f t="shared" si="216"/>
        <v>1-4-1S83°Z+S</v>
      </c>
      <c r="AR1684" s="1078" t="str">
        <f t="shared" si="217"/>
        <v>30</v>
      </c>
      <c r="AS1684" s="1078" t="str">
        <f t="shared" si="218"/>
        <v>280/280/OFF</v>
      </c>
      <c r="AT1684" s="1078" t="str">
        <f t="shared" si="219"/>
        <v>1-4-1S83°Z+S</v>
      </c>
      <c r="AU1684" s="1078" t="s">
        <v>15547</v>
      </c>
      <c r="AV1684" s="1078" t="str">
        <f t="shared" si="212"/>
        <v>111.7.15</v>
      </c>
      <c r="AW1684" s="1344">
        <f t="shared" si="213"/>
        <v>44757</v>
      </c>
    </row>
    <row r="1685" spans="1:49">
      <c r="A1685" s="1077" t="s">
        <v>5708</v>
      </c>
      <c r="B1685" s="1077" t="s">
        <v>5148</v>
      </c>
      <c r="C1685" s="1077" t="s">
        <v>5709</v>
      </c>
      <c r="D1685" s="1077">
        <v>1.7350000000000001</v>
      </c>
      <c r="E1685" s="1077" t="s">
        <v>15102</v>
      </c>
      <c r="F1685" s="1077" t="s">
        <v>1119</v>
      </c>
      <c r="G1685" s="1077">
        <v>5</v>
      </c>
      <c r="H1685" s="1077" t="s">
        <v>5710</v>
      </c>
      <c r="I1685" s="1077" t="s">
        <v>1112</v>
      </c>
      <c r="J1685" s="1077">
        <v>0.6</v>
      </c>
      <c r="K1685" s="1077" t="s">
        <v>5601</v>
      </c>
      <c r="L1685" s="1077" t="s">
        <v>5152</v>
      </c>
      <c r="M1685" s="1077">
        <v>149.9</v>
      </c>
      <c r="N1685" s="1077" t="s">
        <v>945</v>
      </c>
      <c r="O1685" s="1077">
        <v>3.7475000000000005</v>
      </c>
      <c r="P1685" s="1077">
        <v>2.9980000000000002</v>
      </c>
      <c r="Q1685" s="1077">
        <v>4</v>
      </c>
      <c r="R1685" s="1077">
        <v>22</v>
      </c>
      <c r="T1685" s="1077">
        <v>20</v>
      </c>
      <c r="U1685" s="1077">
        <v>2.6</v>
      </c>
      <c r="V1685" s="1077" t="s">
        <v>648</v>
      </c>
      <c r="W1685" s="1077">
        <v>35</v>
      </c>
      <c r="X1685" s="1077">
        <v>10</v>
      </c>
      <c r="Y1685" s="1077">
        <v>1</v>
      </c>
      <c r="Z1685" s="1077">
        <v>6</v>
      </c>
      <c r="AA1685" s="1077" t="s">
        <v>5711</v>
      </c>
      <c r="AH1685" s="1077" t="s">
        <v>5712</v>
      </c>
      <c r="AM1685" s="1078" t="s">
        <v>12377</v>
      </c>
      <c r="AN1685" s="1078" t="s">
        <v>12378</v>
      </c>
      <c r="AO1685" s="1078" t="str">
        <f t="shared" si="214"/>
        <v>650↓500-7/20</v>
      </c>
      <c r="AP1685" s="1078">
        <f t="shared" si="215"/>
        <v>1.7350000000000001</v>
      </c>
      <c r="AQ1685" s="1078" t="str">
        <f t="shared" si="216"/>
        <v>2-6-1S83°</v>
      </c>
      <c r="AR1685" s="1078" t="str">
        <f t="shared" si="217"/>
        <v>29</v>
      </c>
      <c r="AS1685" s="1078" t="str">
        <f t="shared" si="218"/>
        <v>168/170</v>
      </c>
      <c r="AT1685" s="1078" t="str">
        <f t="shared" si="219"/>
        <v>2-6-1S83°</v>
      </c>
      <c r="AV1685" s="1078" t="str">
        <f t="shared" si="212"/>
        <v>111.7.16</v>
      </c>
      <c r="AW1685" s="1344">
        <f t="shared" si="213"/>
        <v>44758</v>
      </c>
    </row>
    <row r="1686" spans="1:49">
      <c r="A1686" s="1077" t="s">
        <v>5713</v>
      </c>
      <c r="B1686" s="1077" t="s">
        <v>210</v>
      </c>
      <c r="C1686" s="1077" t="s">
        <v>5714</v>
      </c>
      <c r="D1686" s="1077">
        <v>1.75</v>
      </c>
      <c r="E1686" s="1077" t="s">
        <v>15094</v>
      </c>
      <c r="F1686" s="1077" t="s">
        <v>984</v>
      </c>
      <c r="G1686" s="1077">
        <v>5</v>
      </c>
      <c r="H1686" s="1077" t="s">
        <v>5483</v>
      </c>
      <c r="I1686" s="1077" t="s">
        <v>126</v>
      </c>
      <c r="J1686" s="1077">
        <v>0.8</v>
      </c>
      <c r="K1686" s="1077" t="s">
        <v>5694</v>
      </c>
      <c r="L1686" s="1077" t="s">
        <v>4666</v>
      </c>
      <c r="M1686" s="1077">
        <v>151.5</v>
      </c>
      <c r="N1686" s="1077" t="s">
        <v>945</v>
      </c>
      <c r="O1686" s="1077">
        <v>3.7875000000000001</v>
      </c>
      <c r="P1686" s="1077">
        <v>3.0300000000000002</v>
      </c>
      <c r="Q1686" s="1077">
        <v>4</v>
      </c>
      <c r="R1686" s="1077">
        <v>19.100000000000001</v>
      </c>
      <c r="T1686" s="1077">
        <v>23.7</v>
      </c>
      <c r="U1686" s="1077">
        <v>3.2</v>
      </c>
      <c r="V1686" s="1077" t="s">
        <v>648</v>
      </c>
      <c r="W1686" s="1077">
        <v>35</v>
      </c>
      <c r="X1686" s="1077">
        <v>10</v>
      </c>
      <c r="Y1686" s="1077">
        <v>1</v>
      </c>
      <c r="Z1686" s="1077">
        <v>6</v>
      </c>
      <c r="AA1686" s="1077" t="s">
        <v>2319</v>
      </c>
      <c r="AH1686" s="1077" t="s">
        <v>1221</v>
      </c>
      <c r="AM1686" s="1078" t="s">
        <v>12379</v>
      </c>
      <c r="AN1686" s="1078" t="s">
        <v>12380</v>
      </c>
      <c r="AO1686" s="1078" t="str">
        <f t="shared" si="214"/>
        <v>550↑600-10/19↑650-12/5</v>
      </c>
      <c r="AP1686" s="1078">
        <f t="shared" si="215"/>
        <v>1.75</v>
      </c>
      <c r="AQ1686" s="1078" t="str">
        <f t="shared" si="216"/>
        <v>1-5-1S91°</v>
      </c>
      <c r="AR1686" s="1078" t="str">
        <f t="shared" si="217"/>
        <v>30</v>
      </c>
      <c r="AS1686" s="1078" t="str">
        <f t="shared" si="218"/>
        <v>350/310/150</v>
      </c>
      <c r="AT1686" s="1078" t="str">
        <f t="shared" si="219"/>
        <v>1-5-1S91°</v>
      </c>
      <c r="AV1686" s="1078" t="str">
        <f t="shared" si="212"/>
        <v>111.7.19</v>
      </c>
      <c r="AW1686" s="1344">
        <f t="shared" si="213"/>
        <v>44761</v>
      </c>
    </row>
    <row r="1687" spans="1:49">
      <c r="A1687" s="1077" t="s">
        <v>5715</v>
      </c>
      <c r="B1687" s="1077" t="s">
        <v>844</v>
      </c>
      <c r="C1687" s="1077">
        <v>550</v>
      </c>
      <c r="D1687" s="1077">
        <v>1.74</v>
      </c>
      <c r="E1687" s="1077" t="s">
        <v>15102</v>
      </c>
      <c r="F1687" s="1077" t="s">
        <v>1469</v>
      </c>
      <c r="G1687" s="1077">
        <v>5</v>
      </c>
      <c r="H1687" s="1077" t="s">
        <v>5328</v>
      </c>
      <c r="I1687" s="1077" t="s">
        <v>460</v>
      </c>
      <c r="J1687" s="1077">
        <v>3.6</v>
      </c>
      <c r="K1687" s="1077" t="s">
        <v>5716</v>
      </c>
      <c r="L1687" s="1077" t="s">
        <v>4907</v>
      </c>
      <c r="M1687" s="1077">
        <v>151.69999999999999</v>
      </c>
      <c r="N1687" s="1077" t="s">
        <v>945</v>
      </c>
      <c r="O1687" s="1077">
        <v>3.7925</v>
      </c>
      <c r="P1687" s="1077">
        <v>3.0339999999999998</v>
      </c>
      <c r="Q1687" s="1077">
        <v>3</v>
      </c>
      <c r="R1687" s="1077">
        <v>19.7</v>
      </c>
      <c r="T1687" s="1077">
        <v>11.5</v>
      </c>
      <c r="U1687" s="1077">
        <v>5.3</v>
      </c>
      <c r="V1687" s="1077" t="s">
        <v>648</v>
      </c>
      <c r="W1687" s="1077">
        <v>105</v>
      </c>
      <c r="X1687" s="1077">
        <v>95</v>
      </c>
      <c r="Y1687" s="1077">
        <v>1.5</v>
      </c>
      <c r="Z1687" s="1077">
        <v>5</v>
      </c>
      <c r="AA1687" s="1077" t="s">
        <v>2317</v>
      </c>
      <c r="AH1687" s="1077" t="s">
        <v>456</v>
      </c>
      <c r="AM1687" s="1078" t="s">
        <v>12381</v>
      </c>
      <c r="AN1687" s="1078" t="s">
        <v>12382</v>
      </c>
      <c r="AO1687" s="1078">
        <f t="shared" si="214"/>
        <v>550</v>
      </c>
      <c r="AP1687" s="1078">
        <f t="shared" si="215"/>
        <v>1.74</v>
      </c>
      <c r="AQ1687" s="1078" t="str">
        <f t="shared" si="216"/>
        <v>2-6-1S83°</v>
      </c>
      <c r="AR1687" s="1078" t="str">
        <f t="shared" si="217"/>
        <v>30.5</v>
      </c>
      <c r="AS1687" s="1078" t="str">
        <f t="shared" si="218"/>
        <v>160/150</v>
      </c>
      <c r="AT1687" s="1078" t="str">
        <f t="shared" si="219"/>
        <v>2-6-1S83°</v>
      </c>
      <c r="AV1687" s="1078" t="str">
        <f t="shared" si="212"/>
        <v>111.7.25</v>
      </c>
      <c r="AW1687" s="1344">
        <f t="shared" si="213"/>
        <v>44767</v>
      </c>
    </row>
    <row r="1688" spans="1:49">
      <c r="A1688" s="1077" t="s">
        <v>5717</v>
      </c>
      <c r="B1688" s="1077" t="s">
        <v>210</v>
      </c>
      <c r="C1688" s="1077">
        <v>550</v>
      </c>
      <c r="D1688" s="1077">
        <v>1.75</v>
      </c>
      <c r="E1688" s="1077" t="s">
        <v>15094</v>
      </c>
      <c r="F1688" s="1077" t="s">
        <v>984</v>
      </c>
      <c r="G1688" s="1077">
        <v>5</v>
      </c>
      <c r="H1688" s="1077" t="s">
        <v>5486</v>
      </c>
      <c r="I1688" s="1077" t="s">
        <v>126</v>
      </c>
      <c r="J1688" s="1077">
        <v>0.7</v>
      </c>
      <c r="K1688" s="1077" t="s">
        <v>5694</v>
      </c>
      <c r="L1688" s="1077" t="s">
        <v>4666</v>
      </c>
      <c r="M1688" s="1077">
        <v>151.5</v>
      </c>
      <c r="N1688" s="1077" t="s">
        <v>945</v>
      </c>
      <c r="O1688" s="1077">
        <v>3.7875000000000001</v>
      </c>
      <c r="P1688" s="1077">
        <v>3.0300000000000002</v>
      </c>
      <c r="Q1688" s="1077">
        <v>4</v>
      </c>
      <c r="R1688" s="1077">
        <v>19.100000000000001</v>
      </c>
      <c r="T1688" s="1077">
        <v>23.7</v>
      </c>
      <c r="U1688" s="1077">
        <v>3.2</v>
      </c>
      <c r="V1688" s="1077" t="s">
        <v>648</v>
      </c>
      <c r="W1688" s="1077">
        <v>35</v>
      </c>
      <c r="X1688" s="1077">
        <v>10</v>
      </c>
      <c r="Y1688" s="1077">
        <v>1</v>
      </c>
      <c r="Z1688" s="1077">
        <v>6</v>
      </c>
      <c r="AA1688" s="1077" t="s">
        <v>2330</v>
      </c>
      <c r="AH1688" s="1077" t="s">
        <v>722</v>
      </c>
      <c r="AM1688" s="1078" t="s">
        <v>12383</v>
      </c>
      <c r="AN1688" s="1078" t="s">
        <v>12384</v>
      </c>
      <c r="AO1688" s="1078">
        <f t="shared" si="214"/>
        <v>550</v>
      </c>
      <c r="AP1688" s="1078">
        <f t="shared" si="215"/>
        <v>1.75</v>
      </c>
      <c r="AQ1688" s="1078" t="str">
        <f t="shared" si="216"/>
        <v>1-5-1S91°</v>
      </c>
      <c r="AR1688" s="1078" t="str">
        <f t="shared" si="217"/>
        <v>30</v>
      </c>
      <c r="AS1688" s="1078" t="str">
        <f t="shared" si="218"/>
        <v>330/290/140</v>
      </c>
      <c r="AT1688" s="1078" t="str">
        <f t="shared" si="219"/>
        <v>1-5-1S91°</v>
      </c>
      <c r="AV1688" s="1078" t="str">
        <f t="shared" si="212"/>
        <v>111.8.1</v>
      </c>
      <c r="AW1688" s="1344">
        <f t="shared" si="213"/>
        <v>44774</v>
      </c>
    </row>
    <row r="1689" spans="1:49">
      <c r="A1689" s="1077" t="s">
        <v>5718</v>
      </c>
      <c r="B1689" s="1077" t="s">
        <v>5614</v>
      </c>
      <c r="C1689" s="1077">
        <v>600</v>
      </c>
      <c r="D1689" s="1077">
        <v>1.8</v>
      </c>
      <c r="E1689" s="1077" t="s">
        <v>15118</v>
      </c>
      <c r="F1689" s="1077" t="s">
        <v>2234</v>
      </c>
      <c r="G1689" s="1077">
        <v>4</v>
      </c>
      <c r="H1689" s="1077" t="s">
        <v>5126</v>
      </c>
      <c r="I1689" s="1077" t="s">
        <v>648</v>
      </c>
      <c r="J1689" s="1077">
        <v>0</v>
      </c>
      <c r="K1689" s="1077" t="s">
        <v>5719</v>
      </c>
      <c r="L1689" s="1077" t="s">
        <v>5616</v>
      </c>
      <c r="M1689" s="1077">
        <v>150</v>
      </c>
      <c r="N1689" s="1077" t="s">
        <v>945</v>
      </c>
      <c r="O1689" s="1077">
        <v>3.75</v>
      </c>
      <c r="P1689" s="1077">
        <v>3</v>
      </c>
      <c r="Q1689" s="1077">
        <v>3.5</v>
      </c>
      <c r="R1689" s="1077">
        <v>21.8</v>
      </c>
      <c r="T1689" s="1077">
        <v>21.5</v>
      </c>
      <c r="U1689" s="1077">
        <v>2.4</v>
      </c>
      <c r="V1689" s="1077" t="s">
        <v>648</v>
      </c>
      <c r="W1689" s="1077" t="s">
        <v>648</v>
      </c>
      <c r="X1689" s="1077" t="s">
        <v>648</v>
      </c>
      <c r="Y1689" s="1077">
        <v>1.8</v>
      </c>
      <c r="Z1689" s="1077">
        <v>5.5</v>
      </c>
      <c r="AA1689" s="1077" t="s">
        <v>2330</v>
      </c>
      <c r="AH1689" s="1077" t="s">
        <v>468</v>
      </c>
      <c r="AM1689" s="1078" t="s">
        <v>12385</v>
      </c>
      <c r="AN1689" s="1078" t="s">
        <v>12386</v>
      </c>
      <c r="AO1689" s="1078">
        <f t="shared" si="214"/>
        <v>600</v>
      </c>
      <c r="AP1689" s="1078">
        <f t="shared" si="215"/>
        <v>1.8</v>
      </c>
      <c r="AQ1689" s="1078" t="str">
        <f t="shared" si="216"/>
        <v>1-5-1S83</v>
      </c>
      <c r="AR1689" s="1078" t="str">
        <f t="shared" si="217"/>
        <v>33.5</v>
      </c>
      <c r="AS1689" s="1078" t="str">
        <f t="shared" si="218"/>
        <v>300/300/140</v>
      </c>
      <c r="AT1689" s="1078" t="str">
        <f t="shared" si="219"/>
        <v>1-5-1S83</v>
      </c>
      <c r="AV1689" s="1078" t="str">
        <f t="shared" si="212"/>
        <v>111.8.1</v>
      </c>
      <c r="AW1689" s="1344">
        <f t="shared" si="213"/>
        <v>44774</v>
      </c>
    </row>
    <row r="1690" spans="1:49">
      <c r="A1690" s="1077" t="s">
        <v>5720</v>
      </c>
      <c r="B1690" s="1077" t="s">
        <v>844</v>
      </c>
      <c r="C1690" s="1077">
        <v>550</v>
      </c>
      <c r="D1690" s="1077">
        <v>1.74</v>
      </c>
      <c r="E1690" s="1077" t="s">
        <v>15102</v>
      </c>
      <c r="F1690" s="1077" t="s">
        <v>1773</v>
      </c>
      <c r="G1690" s="1077">
        <v>5</v>
      </c>
      <c r="H1690" s="1077" t="s">
        <v>5328</v>
      </c>
      <c r="I1690" s="1077" t="s">
        <v>460</v>
      </c>
      <c r="J1690" s="1077">
        <v>3.6</v>
      </c>
      <c r="K1690" s="1077" t="s">
        <v>5716</v>
      </c>
      <c r="L1690" s="1077" t="s">
        <v>4907</v>
      </c>
      <c r="M1690" s="1077">
        <v>151.69999999999999</v>
      </c>
      <c r="N1690" s="1077" t="s">
        <v>945</v>
      </c>
      <c r="O1690" s="1077">
        <v>3.7925</v>
      </c>
      <c r="P1690" s="1077">
        <v>3.0339999999999998</v>
      </c>
      <c r="Q1690" s="1077">
        <v>3</v>
      </c>
      <c r="R1690" s="1077">
        <v>19.7</v>
      </c>
      <c r="T1690" s="1077">
        <v>11.5</v>
      </c>
      <c r="U1690" s="1077">
        <v>5.3</v>
      </c>
      <c r="V1690" s="1077" t="s">
        <v>648</v>
      </c>
      <c r="W1690" s="1077">
        <v>105</v>
      </c>
      <c r="X1690" s="1077">
        <v>95</v>
      </c>
      <c r="Y1690" s="1077">
        <v>1.5</v>
      </c>
      <c r="Z1690" s="1077">
        <v>5</v>
      </c>
      <c r="AA1690" s="1077" t="s">
        <v>5721</v>
      </c>
      <c r="AH1690" s="1077" t="s">
        <v>1143</v>
      </c>
      <c r="AM1690" s="1078" t="s">
        <v>12387</v>
      </c>
      <c r="AN1690" s="1078" t="s">
        <v>12388</v>
      </c>
      <c r="AO1690" s="1078">
        <f t="shared" si="214"/>
        <v>550</v>
      </c>
      <c r="AP1690" s="1078">
        <f t="shared" si="215"/>
        <v>1.74</v>
      </c>
      <c r="AQ1690" s="1078" t="str">
        <f t="shared" si="216"/>
        <v>2-6-1S83°</v>
      </c>
      <c r="AR1690" s="1078" t="str">
        <f t="shared" si="217"/>
        <v>30.2</v>
      </c>
      <c r="AS1690" s="1078" t="str">
        <f t="shared" si="218"/>
        <v>160/150</v>
      </c>
      <c r="AT1690" s="1078" t="str">
        <f t="shared" si="219"/>
        <v>2-6-1S83°</v>
      </c>
      <c r="AV1690" s="1078" t="str">
        <f t="shared" si="212"/>
        <v>111.8.4</v>
      </c>
      <c r="AW1690" s="1344">
        <f t="shared" si="213"/>
        <v>44777</v>
      </c>
    </row>
    <row r="1691" spans="1:49">
      <c r="A1691" s="1077" t="s">
        <v>5722</v>
      </c>
      <c r="B1691" s="1077" t="s">
        <v>617</v>
      </c>
      <c r="C1691" s="1077">
        <v>600</v>
      </c>
      <c r="D1691" s="1077">
        <v>1.75</v>
      </c>
      <c r="E1691" s="1077" t="s">
        <v>15094</v>
      </c>
      <c r="F1691" s="1077" t="s">
        <v>984</v>
      </c>
      <c r="G1691" s="1077">
        <v>5</v>
      </c>
      <c r="H1691" s="1077" t="s">
        <v>955</v>
      </c>
      <c r="I1691" s="1077" t="s">
        <v>126</v>
      </c>
      <c r="J1691" s="1077">
        <v>2.1</v>
      </c>
      <c r="K1691" s="1077" t="s">
        <v>5723</v>
      </c>
      <c r="L1691" s="1077" t="s">
        <v>4854</v>
      </c>
      <c r="M1691" s="1077">
        <v>150.30000000000001</v>
      </c>
      <c r="N1691" s="1077" t="s">
        <v>945</v>
      </c>
      <c r="O1691" s="1077">
        <v>3.7575000000000003</v>
      </c>
      <c r="P1691" s="1077">
        <v>3.0060000000000002</v>
      </c>
      <c r="Q1691" s="1077">
        <v>3</v>
      </c>
      <c r="R1691" s="1077">
        <v>24.5</v>
      </c>
      <c r="T1691" s="1077">
        <v>13</v>
      </c>
      <c r="U1691" s="1077">
        <v>7</v>
      </c>
      <c r="V1691" s="1077" t="s">
        <v>648</v>
      </c>
      <c r="W1691" s="1077">
        <v>115</v>
      </c>
      <c r="X1691" s="1077">
        <v>50</v>
      </c>
      <c r="Y1691" s="1077">
        <v>1.7</v>
      </c>
      <c r="Z1691" s="1077">
        <v>6.5</v>
      </c>
      <c r="AA1691" s="1077" t="s">
        <v>2336</v>
      </c>
      <c r="AH1691" s="1077" t="s">
        <v>724</v>
      </c>
      <c r="AM1691" s="1078" t="s">
        <v>12389</v>
      </c>
      <c r="AN1691" s="1078" t="s">
        <v>12390</v>
      </c>
      <c r="AO1691" s="1078">
        <f t="shared" si="214"/>
        <v>600</v>
      </c>
      <c r="AP1691" s="1078">
        <f t="shared" si="215"/>
        <v>1.75</v>
      </c>
      <c r="AQ1691" s="1078" t="str">
        <f t="shared" si="216"/>
        <v>1-5-1S91°</v>
      </c>
      <c r="AR1691" s="1078" t="str">
        <f t="shared" si="217"/>
        <v>30</v>
      </c>
      <c r="AS1691" s="1078" t="str">
        <f t="shared" si="218"/>
        <v>260/260/OFF</v>
      </c>
      <c r="AT1691" s="1078" t="str">
        <f t="shared" si="219"/>
        <v>1-5-1S91°</v>
      </c>
      <c r="AV1691" s="1078" t="str">
        <f t="shared" si="212"/>
        <v>111.8.8</v>
      </c>
      <c r="AW1691" s="1344">
        <f t="shared" si="213"/>
        <v>44781</v>
      </c>
    </row>
    <row r="1692" spans="1:49">
      <c r="A1692" s="1077" t="s">
        <v>5724</v>
      </c>
      <c r="B1692" s="1077" t="s">
        <v>5157</v>
      </c>
      <c r="C1692" s="1077">
        <v>550</v>
      </c>
      <c r="D1692" s="1077">
        <v>1.77</v>
      </c>
      <c r="E1692" s="1077" t="s">
        <v>15094</v>
      </c>
      <c r="F1692" s="1077" t="s">
        <v>984</v>
      </c>
      <c r="G1692" s="1077">
        <v>5</v>
      </c>
      <c r="H1692" s="1077" t="s">
        <v>5458</v>
      </c>
      <c r="I1692" s="1077" t="s">
        <v>460</v>
      </c>
      <c r="J1692" s="1077">
        <v>2.2999999999999998</v>
      </c>
      <c r="K1692" s="1077" t="s">
        <v>5725</v>
      </c>
      <c r="L1692" s="1077" t="s">
        <v>5159</v>
      </c>
      <c r="M1692" s="1077">
        <v>152</v>
      </c>
      <c r="N1692" s="1077" t="s">
        <v>945</v>
      </c>
      <c r="O1692" s="1077">
        <v>3.8000000000000003</v>
      </c>
      <c r="P1692" s="1077">
        <v>3.04</v>
      </c>
      <c r="Q1692" s="1077">
        <v>3</v>
      </c>
      <c r="R1692" s="1077">
        <v>28</v>
      </c>
      <c r="T1692" s="1077">
        <v>7.2</v>
      </c>
      <c r="U1692" s="1077">
        <v>6.1</v>
      </c>
      <c r="V1692" s="1077" t="s">
        <v>648</v>
      </c>
      <c r="W1692" s="1077">
        <v>100</v>
      </c>
      <c r="X1692" s="1077">
        <v>80</v>
      </c>
      <c r="Y1692" s="1077">
        <v>1.5</v>
      </c>
      <c r="Z1692" s="1077">
        <v>4</v>
      </c>
      <c r="AA1692" s="1077" t="s">
        <v>5726</v>
      </c>
      <c r="AH1692" s="1077" t="s">
        <v>680</v>
      </c>
      <c r="AM1692" s="1078" t="s">
        <v>12391</v>
      </c>
      <c r="AN1692" s="1078" t="s">
        <v>12392</v>
      </c>
      <c r="AO1692" s="1078">
        <f t="shared" si="214"/>
        <v>550</v>
      </c>
      <c r="AP1692" s="1078">
        <f t="shared" si="215"/>
        <v>1.77</v>
      </c>
      <c r="AQ1692" s="1078" t="str">
        <f t="shared" si="216"/>
        <v>1-5-1S91°</v>
      </c>
      <c r="AR1692" s="1078" t="str">
        <f t="shared" si="217"/>
        <v>30</v>
      </c>
      <c r="AS1692" s="1078" t="str">
        <f t="shared" si="218"/>
        <v>255/255/150</v>
      </c>
      <c r="AT1692" s="1078" t="str">
        <f t="shared" si="219"/>
        <v>1-5-1S91°</v>
      </c>
      <c r="AV1692" s="1078" t="str">
        <f t="shared" si="212"/>
        <v>111.8.5</v>
      </c>
      <c r="AW1692" s="1344">
        <f t="shared" si="213"/>
        <v>44778</v>
      </c>
    </row>
    <row r="1693" spans="1:49">
      <c r="A1693" s="1077" t="s">
        <v>5727</v>
      </c>
      <c r="B1693" s="1077" t="s">
        <v>5250</v>
      </c>
      <c r="C1693" s="1077">
        <v>600</v>
      </c>
      <c r="D1693" s="1077">
        <v>1.74</v>
      </c>
      <c r="E1693" s="1077" t="s">
        <v>15102</v>
      </c>
      <c r="F1693" s="1077" t="s">
        <v>984</v>
      </c>
      <c r="G1693" s="1077">
        <v>5</v>
      </c>
      <c r="H1693" s="1077" t="s">
        <v>5017</v>
      </c>
      <c r="I1693" s="1077" t="s">
        <v>1112</v>
      </c>
      <c r="J1693" s="1077">
        <v>0.7</v>
      </c>
      <c r="K1693" s="1077" t="s">
        <v>5558</v>
      </c>
      <c r="L1693" s="1077" t="s">
        <v>5253</v>
      </c>
      <c r="M1693" s="1077">
        <v>151.5</v>
      </c>
      <c r="N1693" s="1077" t="s">
        <v>945</v>
      </c>
      <c r="O1693" s="1077">
        <v>3.7875000000000001</v>
      </c>
      <c r="P1693" s="1077">
        <v>3.0300000000000002</v>
      </c>
      <c r="Q1693" s="1077">
        <v>3.5</v>
      </c>
      <c r="R1693" s="1077">
        <v>20</v>
      </c>
      <c r="T1693" s="1077">
        <v>24</v>
      </c>
      <c r="U1693" s="1077">
        <v>3</v>
      </c>
      <c r="V1693" s="1077" t="s">
        <v>648</v>
      </c>
      <c r="W1693" s="1077">
        <v>30</v>
      </c>
      <c r="X1693" s="1077">
        <v>10</v>
      </c>
      <c r="Y1693" s="1077">
        <v>1.5</v>
      </c>
      <c r="Z1693" s="1077">
        <v>6</v>
      </c>
      <c r="AA1693" s="1077" t="s">
        <v>5726</v>
      </c>
      <c r="AH1693" s="1077" t="s">
        <v>831</v>
      </c>
      <c r="AM1693" s="1078" t="s">
        <v>12393</v>
      </c>
      <c r="AN1693" s="1078" t="s">
        <v>12394</v>
      </c>
      <c r="AO1693" s="1078">
        <f t="shared" si="214"/>
        <v>600</v>
      </c>
      <c r="AP1693" s="1078">
        <f t="shared" si="215"/>
        <v>1.74</v>
      </c>
      <c r="AQ1693" s="1078" t="str">
        <f t="shared" si="216"/>
        <v>2-6-1S83°</v>
      </c>
      <c r="AR1693" s="1078" t="str">
        <f t="shared" si="217"/>
        <v>30</v>
      </c>
      <c r="AS1693" s="1078" t="str">
        <f t="shared" si="218"/>
        <v>187/170</v>
      </c>
      <c r="AT1693" s="1078" t="str">
        <f t="shared" si="219"/>
        <v>2-6-1S83°</v>
      </c>
      <c r="AV1693" s="1078" t="str">
        <f t="shared" si="212"/>
        <v>111.8.5</v>
      </c>
      <c r="AW1693" s="1344">
        <f t="shared" si="213"/>
        <v>44778</v>
      </c>
    </row>
    <row r="1694" spans="1:49">
      <c r="A1694" s="1077" t="s">
        <v>5728</v>
      </c>
      <c r="B1694" s="1077" t="s">
        <v>4767</v>
      </c>
      <c r="C1694" s="1077">
        <v>600</v>
      </c>
      <c r="D1694" s="1077">
        <v>1.72</v>
      </c>
      <c r="E1694" s="1077" t="s">
        <v>15109</v>
      </c>
      <c r="F1694" s="1077" t="s">
        <v>648</v>
      </c>
      <c r="G1694" s="1077">
        <v>5</v>
      </c>
      <c r="H1694" s="1077" t="s">
        <v>1188</v>
      </c>
      <c r="I1694" s="1077" t="s">
        <v>126</v>
      </c>
      <c r="J1694" s="1077">
        <v>1.5</v>
      </c>
      <c r="K1694" s="1077" t="s">
        <v>5729</v>
      </c>
      <c r="L1694" s="1077" t="s">
        <v>1776</v>
      </c>
      <c r="M1694" s="1077">
        <v>148.19999999999999</v>
      </c>
      <c r="N1694" s="1077" t="s">
        <v>945</v>
      </c>
      <c r="O1694" s="1077">
        <v>3.7050000000000001</v>
      </c>
      <c r="P1694" s="1077">
        <v>2.964</v>
      </c>
      <c r="Q1694" s="1077">
        <v>4</v>
      </c>
      <c r="R1694" s="1077">
        <v>20.8</v>
      </c>
      <c r="T1694" s="1077">
        <v>19.399999999999999</v>
      </c>
      <c r="U1694" s="1077">
        <v>3.6</v>
      </c>
      <c r="V1694" s="1077" t="s">
        <v>2520</v>
      </c>
      <c r="W1694" s="1077">
        <v>120</v>
      </c>
      <c r="X1694" s="1077">
        <v>80</v>
      </c>
      <c r="Y1694" s="1077">
        <v>1.5</v>
      </c>
      <c r="Z1694" s="1077" t="s">
        <v>648</v>
      </c>
      <c r="AA1694" s="1077" t="s">
        <v>5730</v>
      </c>
      <c r="AH1694" s="1077" t="s">
        <v>681</v>
      </c>
      <c r="AM1694" s="1078" t="s">
        <v>12395</v>
      </c>
      <c r="AN1694" s="1078" t="s">
        <v>12396</v>
      </c>
      <c r="AO1694" s="1078">
        <f t="shared" si="214"/>
        <v>600</v>
      </c>
      <c r="AP1694" s="1078">
        <f t="shared" si="215"/>
        <v>1.72</v>
      </c>
      <c r="AQ1694" s="1078" t="str">
        <f t="shared" si="216"/>
        <v>1-5-1S85°Z+S</v>
      </c>
      <c r="AR1694" s="1078" t="str">
        <f t="shared" si="217"/>
        <v>NA</v>
      </c>
      <c r="AS1694" s="1078" t="str">
        <f t="shared" si="218"/>
        <v>177/OFF</v>
      </c>
      <c r="AT1694" s="1078" t="str">
        <f t="shared" si="219"/>
        <v>1-5-1S85°Z+S</v>
      </c>
      <c r="AU1694" s="1078" t="s">
        <v>15547</v>
      </c>
      <c r="AV1694" s="1078" t="str">
        <f t="shared" si="212"/>
        <v>111.8.6</v>
      </c>
      <c r="AW1694" s="1344">
        <f t="shared" si="213"/>
        <v>44779</v>
      </c>
    </row>
    <row r="1695" spans="1:49">
      <c r="A1695" s="1077" t="s">
        <v>5731</v>
      </c>
      <c r="B1695" s="1077" t="s">
        <v>847</v>
      </c>
      <c r="C1695" s="1077">
        <v>450</v>
      </c>
      <c r="D1695" s="1077">
        <v>1.78</v>
      </c>
      <c r="E1695" s="1077" t="s">
        <v>15102</v>
      </c>
      <c r="F1695" s="1077" t="s">
        <v>984</v>
      </c>
      <c r="G1695" s="1077">
        <v>4</v>
      </c>
      <c r="H1695" s="1077" t="s">
        <v>5732</v>
      </c>
      <c r="I1695" s="1077" t="s">
        <v>648</v>
      </c>
      <c r="J1695" s="1077">
        <v>0</v>
      </c>
      <c r="K1695" s="1077" t="s">
        <v>5733</v>
      </c>
      <c r="L1695" s="1077" t="s">
        <v>5037</v>
      </c>
      <c r="M1695" s="1077">
        <v>150</v>
      </c>
      <c r="N1695" s="1077" t="s">
        <v>945</v>
      </c>
      <c r="O1695" s="1077">
        <v>3.75</v>
      </c>
      <c r="P1695" s="1077">
        <v>3</v>
      </c>
      <c r="Q1695" s="1077">
        <v>3.5</v>
      </c>
      <c r="R1695" s="1077">
        <v>21.8</v>
      </c>
      <c r="T1695" s="1077">
        <v>19.5</v>
      </c>
      <c r="U1695" s="1077">
        <v>1.8</v>
      </c>
      <c r="V1695" s="1077" t="s">
        <v>648</v>
      </c>
      <c r="W1695" s="1077" t="s">
        <v>648</v>
      </c>
      <c r="X1695" s="1077" t="s">
        <v>648</v>
      </c>
      <c r="Y1695" s="1077">
        <v>2.1</v>
      </c>
      <c r="Z1695" s="1077">
        <v>5</v>
      </c>
      <c r="AA1695" s="1077" t="s">
        <v>2336</v>
      </c>
      <c r="AH1695" s="1077" t="s">
        <v>1178</v>
      </c>
      <c r="AM1695" s="1078" t="s">
        <v>12397</v>
      </c>
      <c r="AN1695" s="1078" t="s">
        <v>12398</v>
      </c>
      <c r="AO1695" s="1078">
        <f t="shared" si="214"/>
        <v>450</v>
      </c>
      <c r="AP1695" s="1078">
        <f t="shared" si="215"/>
        <v>1.78</v>
      </c>
      <c r="AQ1695" s="1078" t="str">
        <f t="shared" si="216"/>
        <v>2-6-1S83°</v>
      </c>
      <c r="AR1695" s="1078" t="str">
        <f t="shared" si="217"/>
        <v>30</v>
      </c>
      <c r="AS1695" s="1078" t="str">
        <f t="shared" si="218"/>
        <v>183/170</v>
      </c>
      <c r="AT1695" s="1078" t="str">
        <f t="shared" si="219"/>
        <v>2-6-1S83°</v>
      </c>
      <c r="AV1695" s="1078" t="str">
        <f t="shared" si="212"/>
        <v>111.8.8</v>
      </c>
      <c r="AW1695" s="1344">
        <f t="shared" si="213"/>
        <v>44781</v>
      </c>
    </row>
    <row r="1696" spans="1:49">
      <c r="A1696" s="1077" t="s">
        <v>5734</v>
      </c>
      <c r="B1696" s="1077" t="s">
        <v>210</v>
      </c>
      <c r="C1696" s="1077">
        <v>550</v>
      </c>
      <c r="D1696" s="1077">
        <v>1.76</v>
      </c>
      <c r="E1696" s="1077" t="s">
        <v>15094</v>
      </c>
      <c r="F1696" s="1077" t="s">
        <v>984</v>
      </c>
      <c r="G1696" s="1077">
        <v>5</v>
      </c>
      <c r="H1696" s="1077" t="s">
        <v>5486</v>
      </c>
      <c r="I1696" s="1077" t="s">
        <v>126</v>
      </c>
      <c r="J1696" s="1077">
        <v>0.7</v>
      </c>
      <c r="K1696" s="1077" t="s">
        <v>5735</v>
      </c>
      <c r="L1696" s="1077" t="s">
        <v>4666</v>
      </c>
      <c r="M1696" s="1077">
        <v>151.5</v>
      </c>
      <c r="N1696" s="1077" t="s">
        <v>945</v>
      </c>
      <c r="O1696" s="1077">
        <v>3.7875000000000001</v>
      </c>
      <c r="P1696" s="1077">
        <v>3.0300000000000002</v>
      </c>
      <c r="Q1696" s="1077">
        <v>4</v>
      </c>
      <c r="R1696" s="1077" t="s">
        <v>5736</v>
      </c>
      <c r="T1696" s="1077">
        <v>23.7</v>
      </c>
      <c r="U1696" s="1077">
        <v>3.2</v>
      </c>
      <c r="V1696" s="1077" t="s">
        <v>648</v>
      </c>
      <c r="W1696" s="1077">
        <v>35</v>
      </c>
      <c r="X1696" s="1077">
        <v>10</v>
      </c>
      <c r="Y1696" s="1077">
        <v>1</v>
      </c>
      <c r="Z1696" s="1077">
        <v>6</v>
      </c>
      <c r="AA1696" s="1077" t="s">
        <v>2336</v>
      </c>
      <c r="AH1696" s="1077" t="s">
        <v>684</v>
      </c>
      <c r="AM1696" s="1078" t="s">
        <v>12399</v>
      </c>
      <c r="AN1696" s="1078" t="s">
        <v>12400</v>
      </c>
      <c r="AO1696" s="1078">
        <f t="shared" si="214"/>
        <v>550</v>
      </c>
      <c r="AP1696" s="1078">
        <f t="shared" si="215"/>
        <v>1.76</v>
      </c>
      <c r="AQ1696" s="1078" t="str">
        <f t="shared" si="216"/>
        <v>1-5-1S91°</v>
      </c>
      <c r="AR1696" s="1078" t="str">
        <f t="shared" si="217"/>
        <v>30</v>
      </c>
      <c r="AS1696" s="1078" t="str">
        <f t="shared" si="218"/>
        <v>330/290/140</v>
      </c>
      <c r="AT1696" s="1078" t="str">
        <f t="shared" si="219"/>
        <v>1-5-1S91°</v>
      </c>
      <c r="AV1696" s="1078" t="str">
        <f t="shared" si="212"/>
        <v>111.8.8</v>
      </c>
      <c r="AW1696" s="1344">
        <f t="shared" si="213"/>
        <v>44781</v>
      </c>
    </row>
    <row r="1697" spans="1:49">
      <c r="A1697" s="1077" t="s">
        <v>5737</v>
      </c>
      <c r="B1697" s="1077" t="s">
        <v>844</v>
      </c>
      <c r="C1697" s="1077">
        <v>550</v>
      </c>
      <c r="D1697" s="1077">
        <v>1.74</v>
      </c>
      <c r="E1697" s="1077" t="s">
        <v>15102</v>
      </c>
      <c r="F1697" s="1077" t="s">
        <v>1469</v>
      </c>
      <c r="G1697" s="1077">
        <v>5</v>
      </c>
      <c r="H1697" s="1077" t="s">
        <v>5738</v>
      </c>
      <c r="I1697" s="1077" t="s">
        <v>648</v>
      </c>
      <c r="J1697" s="1077">
        <v>0</v>
      </c>
      <c r="K1697" s="1077" t="s">
        <v>5716</v>
      </c>
      <c r="L1697" s="1077" t="s">
        <v>4907</v>
      </c>
      <c r="M1697" s="1077">
        <v>151</v>
      </c>
      <c r="N1697" s="1077" t="s">
        <v>945</v>
      </c>
      <c r="O1697" s="1077">
        <v>3.7750000000000004</v>
      </c>
      <c r="P1697" s="1077">
        <v>3.02</v>
      </c>
      <c r="Q1697" s="1077">
        <v>3</v>
      </c>
      <c r="R1697" s="1077" t="s">
        <v>5739</v>
      </c>
      <c r="T1697" s="1077">
        <v>15</v>
      </c>
      <c r="U1697" s="1077">
        <v>3.7</v>
      </c>
      <c r="V1697" s="1077" t="s">
        <v>648</v>
      </c>
      <c r="W1697" s="1077" t="s">
        <v>648</v>
      </c>
      <c r="X1697" s="1077" t="s">
        <v>648</v>
      </c>
      <c r="Y1697" s="1077">
        <v>1.5</v>
      </c>
      <c r="Z1697" s="1077">
        <v>5.5</v>
      </c>
      <c r="AA1697" s="1077" t="s">
        <v>4363</v>
      </c>
      <c r="AH1697" s="1077" t="s">
        <v>1827</v>
      </c>
      <c r="AM1697" s="1078" t="s">
        <v>12401</v>
      </c>
      <c r="AN1697" s="1078" t="s">
        <v>12402</v>
      </c>
      <c r="AO1697" s="1078">
        <f t="shared" si="214"/>
        <v>550</v>
      </c>
      <c r="AP1697" s="1078">
        <f t="shared" si="215"/>
        <v>1.74</v>
      </c>
      <c r="AQ1697" s="1078" t="str">
        <f t="shared" si="216"/>
        <v>2-6-1S83°</v>
      </c>
      <c r="AR1697" s="1078" t="str">
        <f t="shared" si="217"/>
        <v>30.5</v>
      </c>
      <c r="AS1697" s="1078" t="str">
        <f t="shared" si="218"/>
        <v>167/145</v>
      </c>
      <c r="AT1697" s="1078" t="str">
        <f t="shared" si="219"/>
        <v>2-6-1S83°</v>
      </c>
      <c r="AV1697" s="1078" t="str">
        <f t="shared" si="212"/>
        <v>111.8.10</v>
      </c>
      <c r="AW1697" s="1344">
        <f t="shared" si="213"/>
        <v>44783</v>
      </c>
    </row>
    <row r="1698" spans="1:49">
      <c r="A1698" s="1077" t="s">
        <v>5740</v>
      </c>
      <c r="B1698" s="1077" t="s">
        <v>847</v>
      </c>
      <c r="C1698" s="1077">
        <v>450</v>
      </c>
      <c r="D1698" s="1077">
        <v>1.78</v>
      </c>
      <c r="E1698" s="1077" t="s">
        <v>15119</v>
      </c>
      <c r="F1698" s="1077" t="s">
        <v>975</v>
      </c>
      <c r="G1698" s="1077">
        <v>5</v>
      </c>
      <c r="H1698" s="1077" t="s">
        <v>5639</v>
      </c>
      <c r="I1698" s="1077" t="s">
        <v>126</v>
      </c>
      <c r="J1698" s="1077">
        <v>2.2999999999999998</v>
      </c>
      <c r="K1698" s="1077" t="s">
        <v>5741</v>
      </c>
      <c r="L1698" s="1077" t="s">
        <v>5037</v>
      </c>
      <c r="M1698" s="1077">
        <v>150</v>
      </c>
      <c r="N1698" s="1077" t="s">
        <v>945</v>
      </c>
      <c r="O1698" s="1077">
        <v>3.75</v>
      </c>
      <c r="P1698" s="1077">
        <v>3</v>
      </c>
      <c r="Q1698" s="1077">
        <v>3.5</v>
      </c>
      <c r="R1698" s="1077">
        <v>21.8</v>
      </c>
      <c r="T1698" s="1077">
        <v>19.5</v>
      </c>
      <c r="U1698" s="1077">
        <v>2.5</v>
      </c>
      <c r="V1698" s="1077" t="s">
        <v>648</v>
      </c>
      <c r="W1698" s="1077">
        <v>110</v>
      </c>
      <c r="X1698" s="1077">
        <v>60</v>
      </c>
      <c r="Y1698" s="1077">
        <v>2.1</v>
      </c>
      <c r="Z1698" s="1077">
        <v>5</v>
      </c>
      <c r="AA1698" s="1077" t="s">
        <v>4369</v>
      </c>
      <c r="AH1698" s="1077" t="s">
        <v>878</v>
      </c>
      <c r="AM1698" s="1078" t="s">
        <v>12403</v>
      </c>
      <c r="AN1698" s="1078" t="s">
        <v>12404</v>
      </c>
      <c r="AO1698" s="1078">
        <f t="shared" si="214"/>
        <v>450</v>
      </c>
      <c r="AP1698" s="1078">
        <f t="shared" si="215"/>
        <v>1.78</v>
      </c>
      <c r="AQ1698" s="1078" t="str">
        <f t="shared" si="216"/>
        <v>1-5-1S87</v>
      </c>
      <c r="AR1698" s="1078" t="str">
        <f t="shared" si="217"/>
        <v>31.5</v>
      </c>
      <c r="AS1698" s="1078" t="str">
        <f t="shared" si="218"/>
        <v>300/300/145</v>
      </c>
      <c r="AT1698" s="1078" t="str">
        <f t="shared" si="219"/>
        <v>1-5-1S87</v>
      </c>
      <c r="AV1698" s="1078" t="str">
        <f t="shared" si="212"/>
        <v>111.8.12</v>
      </c>
      <c r="AW1698" s="1344">
        <f t="shared" si="213"/>
        <v>44785</v>
      </c>
    </row>
    <row r="1699" spans="1:49">
      <c r="A1699" s="1077" t="s">
        <v>5742</v>
      </c>
      <c r="B1699" s="1077" t="s">
        <v>210</v>
      </c>
      <c r="C1699" s="1077">
        <v>800</v>
      </c>
      <c r="D1699" s="1077">
        <v>1.76</v>
      </c>
      <c r="E1699" s="1077" t="s">
        <v>15094</v>
      </c>
      <c r="F1699" s="1077" t="s">
        <v>984</v>
      </c>
      <c r="G1699" s="1077">
        <v>5</v>
      </c>
      <c r="H1699" s="1077" t="s">
        <v>4690</v>
      </c>
      <c r="I1699" s="1077" t="s">
        <v>126</v>
      </c>
      <c r="J1699" s="1077">
        <v>2.9</v>
      </c>
      <c r="K1699" s="1077" t="s">
        <v>4682</v>
      </c>
      <c r="L1699" s="1077" t="s">
        <v>4666</v>
      </c>
      <c r="M1699" s="1077">
        <v>150.80000000000001</v>
      </c>
      <c r="N1699" s="1077" t="s">
        <v>945</v>
      </c>
      <c r="O1699" s="1077">
        <v>3.7700000000000005</v>
      </c>
      <c r="P1699" s="1077">
        <v>3.0160000000000005</v>
      </c>
      <c r="Q1699" s="1077" t="s">
        <v>961</v>
      </c>
      <c r="R1699" s="1077">
        <v>19</v>
      </c>
      <c r="T1699" s="1077">
        <v>28.3</v>
      </c>
      <c r="U1699" s="1077">
        <v>4.3</v>
      </c>
      <c r="V1699" s="1077" t="s">
        <v>648</v>
      </c>
      <c r="W1699" s="1077">
        <v>100</v>
      </c>
      <c r="X1699" s="1077">
        <v>50</v>
      </c>
      <c r="Y1699" s="1077">
        <v>1.5</v>
      </c>
      <c r="Z1699" s="1077">
        <v>6.5</v>
      </c>
      <c r="AA1699" s="1077" t="s">
        <v>1232</v>
      </c>
      <c r="AH1699" s="1077" t="s">
        <v>958</v>
      </c>
      <c r="AM1699" s="1078" t="s">
        <v>12405</v>
      </c>
      <c r="AN1699" s="1078" t="s">
        <v>12406</v>
      </c>
      <c r="AO1699" s="1078">
        <f t="shared" si="214"/>
        <v>800</v>
      </c>
      <c r="AP1699" s="1078">
        <f t="shared" si="215"/>
        <v>1.76</v>
      </c>
      <c r="AQ1699" s="1078" t="str">
        <f t="shared" si="216"/>
        <v>1-5-1S91°</v>
      </c>
      <c r="AR1699" s="1078" t="str">
        <f t="shared" si="217"/>
        <v>30</v>
      </c>
      <c r="AS1699" s="1078" t="str">
        <f t="shared" si="218"/>
        <v>380/340/OFF</v>
      </c>
      <c r="AT1699" s="1078" t="str">
        <f t="shared" si="219"/>
        <v>1-5-1S91°</v>
      </c>
      <c r="AV1699" s="1078" t="str">
        <f t="shared" si="212"/>
        <v>108.11.21</v>
      </c>
      <c r="AW1699" s="1344">
        <f t="shared" si="213"/>
        <v>43790</v>
      </c>
    </row>
    <row r="1700" spans="1:49">
      <c r="A1700" s="1077" t="s">
        <v>5743</v>
      </c>
      <c r="B1700" s="1077" t="s">
        <v>844</v>
      </c>
      <c r="C1700" s="1077">
        <v>550</v>
      </c>
      <c r="D1700" s="1077">
        <v>1.756</v>
      </c>
      <c r="E1700" s="1077" t="s">
        <v>15102</v>
      </c>
      <c r="F1700" s="1077" t="s">
        <v>954</v>
      </c>
      <c r="G1700" s="1077">
        <v>5</v>
      </c>
      <c r="H1700" s="1077" t="s">
        <v>5744</v>
      </c>
      <c r="I1700" s="1077" t="s">
        <v>648</v>
      </c>
      <c r="J1700" s="1077">
        <v>0</v>
      </c>
      <c r="K1700" s="1077" t="s">
        <v>5745</v>
      </c>
      <c r="L1700" s="1077" t="s">
        <v>4907</v>
      </c>
      <c r="M1700" s="1077">
        <v>148.9</v>
      </c>
      <c r="N1700" s="1077" t="s">
        <v>945</v>
      </c>
      <c r="O1700" s="1077">
        <v>3.7225000000000001</v>
      </c>
      <c r="P1700" s="1077">
        <v>2.9780000000000002</v>
      </c>
      <c r="Q1700" s="1077" t="s">
        <v>2536</v>
      </c>
      <c r="R1700" s="1077">
        <v>23.5</v>
      </c>
      <c r="T1700" s="1077">
        <v>16.399999999999999</v>
      </c>
      <c r="U1700" s="1077">
        <v>4.5999999999999996</v>
      </c>
      <c r="V1700" s="1077" t="s">
        <v>648</v>
      </c>
      <c r="W1700" s="1077" t="s">
        <v>648</v>
      </c>
      <c r="X1700" s="1077" t="s">
        <v>648</v>
      </c>
      <c r="Y1700" s="1077">
        <v>1.6</v>
      </c>
      <c r="Z1700" s="1077" t="s">
        <v>5746</v>
      </c>
      <c r="AA1700" s="1077" t="s">
        <v>5667</v>
      </c>
      <c r="AH1700" s="1077" t="s">
        <v>948</v>
      </c>
      <c r="AM1700" s="1078" t="s">
        <v>12407</v>
      </c>
      <c r="AN1700" s="1078" t="s">
        <v>12408</v>
      </c>
      <c r="AO1700" s="1078">
        <f t="shared" si="214"/>
        <v>550</v>
      </c>
      <c r="AP1700" s="1078">
        <f t="shared" si="215"/>
        <v>1.756</v>
      </c>
      <c r="AQ1700" s="1078" t="str">
        <f t="shared" si="216"/>
        <v>2-6-1S83°</v>
      </c>
      <c r="AR1700" s="1078" t="str">
        <f t="shared" si="217"/>
        <v>31</v>
      </c>
      <c r="AS1700" s="1078" t="str">
        <f t="shared" si="218"/>
        <v>164/140</v>
      </c>
      <c r="AT1700" s="1078" t="str">
        <f t="shared" si="219"/>
        <v>2-6-1S83°</v>
      </c>
      <c r="AV1700" s="1078" t="str">
        <f t="shared" si="212"/>
        <v>109.3.2</v>
      </c>
      <c r="AW1700" s="1344">
        <f t="shared" si="213"/>
        <v>43892</v>
      </c>
    </row>
    <row r="1701" spans="1:49">
      <c r="A1701" s="1077" t="s">
        <v>5747</v>
      </c>
      <c r="B1701" s="1077" t="s">
        <v>5410</v>
      </c>
      <c r="C1701" s="1077">
        <v>500</v>
      </c>
      <c r="D1701" s="1077">
        <v>1.726</v>
      </c>
      <c r="E1701" s="1077" t="s">
        <v>15116</v>
      </c>
      <c r="F1701" s="1077" t="s">
        <v>984</v>
      </c>
      <c r="G1701" s="1077">
        <v>2</v>
      </c>
      <c r="H1701" s="1077" t="s">
        <v>2259</v>
      </c>
      <c r="I1701" s="1077" t="s">
        <v>126</v>
      </c>
      <c r="J1701" s="1077">
        <v>0.3</v>
      </c>
      <c r="K1701" s="1077" t="s">
        <v>5748</v>
      </c>
      <c r="L1701" s="1077" t="s">
        <v>1825</v>
      </c>
      <c r="M1701" s="1077">
        <v>150.1</v>
      </c>
      <c r="N1701" s="1077" t="s">
        <v>945</v>
      </c>
      <c r="O1701" s="1077">
        <v>3.7524999999999999</v>
      </c>
      <c r="P1701" s="1077">
        <v>3.0019999999999998</v>
      </c>
      <c r="Q1701" s="1077" t="s">
        <v>1020</v>
      </c>
      <c r="R1701" s="1077">
        <v>20.7</v>
      </c>
      <c r="T1701" s="1077">
        <v>32.6</v>
      </c>
      <c r="U1701" s="1077">
        <v>3</v>
      </c>
      <c r="V1701" s="1077" t="s">
        <v>648</v>
      </c>
      <c r="W1701" s="1077" t="s">
        <v>648</v>
      </c>
      <c r="X1701" s="1077" t="s">
        <v>648</v>
      </c>
      <c r="Y1701" s="1077">
        <v>1.7</v>
      </c>
      <c r="Z1701" s="1077" t="s">
        <v>648</v>
      </c>
      <c r="AA1701" s="1077" t="s">
        <v>5749</v>
      </c>
      <c r="AH1701" s="1077" t="s">
        <v>1360</v>
      </c>
      <c r="AM1701" s="1078" t="s">
        <v>12409</v>
      </c>
      <c r="AN1701" s="1078" t="s">
        <v>12410</v>
      </c>
      <c r="AO1701" s="1078">
        <f t="shared" si="214"/>
        <v>500</v>
      </c>
      <c r="AP1701" s="1078">
        <f t="shared" si="215"/>
        <v>1.726</v>
      </c>
      <c r="AQ1701" s="1078" t="str">
        <f t="shared" si="216"/>
        <v>1-5-1S83°Z+S</v>
      </c>
      <c r="AR1701" s="1078" t="str">
        <f t="shared" si="217"/>
        <v>30</v>
      </c>
      <c r="AS1701" s="1078" t="str">
        <f t="shared" si="218"/>
        <v>275/275/OFF</v>
      </c>
      <c r="AT1701" s="1078" t="str">
        <f t="shared" si="219"/>
        <v>1-5-1S83°Z+S</v>
      </c>
      <c r="AU1701" s="1078" t="s">
        <v>15547</v>
      </c>
      <c r="AV1701" s="1078" t="str">
        <f t="shared" si="212"/>
        <v>109.6.15</v>
      </c>
      <c r="AW1701" s="1344">
        <f t="shared" si="213"/>
        <v>43997</v>
      </c>
    </row>
    <row r="1702" spans="1:49">
      <c r="A1702" s="1077" t="s">
        <v>5750</v>
      </c>
      <c r="B1702" s="1077" t="s">
        <v>210</v>
      </c>
      <c r="C1702" s="1077">
        <v>650</v>
      </c>
      <c r="D1702" s="1077">
        <v>1.75</v>
      </c>
      <c r="E1702" s="1077" t="s">
        <v>15094</v>
      </c>
      <c r="F1702" s="1077" t="s">
        <v>2167</v>
      </c>
      <c r="G1702" s="1077">
        <v>5</v>
      </c>
      <c r="H1702" s="1077" t="s">
        <v>4821</v>
      </c>
      <c r="I1702" s="1077" t="s">
        <v>643</v>
      </c>
      <c r="J1702" s="1077">
        <v>2.8</v>
      </c>
      <c r="K1702" s="1077" t="s">
        <v>5751</v>
      </c>
      <c r="L1702" s="1077" t="s">
        <v>4808</v>
      </c>
      <c r="M1702" s="1077">
        <v>149.5</v>
      </c>
      <c r="N1702" s="1077" t="s">
        <v>945</v>
      </c>
      <c r="O1702" s="1077">
        <v>3.7375000000000003</v>
      </c>
      <c r="P1702" s="1077">
        <v>2.99</v>
      </c>
      <c r="Q1702" s="1077" t="s">
        <v>2422</v>
      </c>
      <c r="R1702" s="1077">
        <v>21.5</v>
      </c>
      <c r="T1702" s="1077">
        <v>19.5</v>
      </c>
      <c r="U1702" s="1077">
        <v>2.9</v>
      </c>
      <c r="V1702" s="1077" t="s">
        <v>648</v>
      </c>
      <c r="W1702" s="1077">
        <v>100</v>
      </c>
      <c r="X1702" s="1077">
        <v>90</v>
      </c>
      <c r="Y1702" s="1077">
        <v>1.8</v>
      </c>
      <c r="Z1702" s="1077" t="s">
        <v>5752</v>
      </c>
      <c r="AA1702" s="1077" t="s">
        <v>5582</v>
      </c>
      <c r="AB1702" s="1077" t="s">
        <v>981</v>
      </c>
      <c r="AH1702" s="1077" t="s">
        <v>1482</v>
      </c>
      <c r="AM1702" s="1078" t="s">
        <v>12411</v>
      </c>
      <c r="AN1702" s="1078" t="s">
        <v>12412</v>
      </c>
      <c r="AO1702" s="1078">
        <f t="shared" si="214"/>
        <v>650</v>
      </c>
      <c r="AP1702" s="1078">
        <f t="shared" si="215"/>
        <v>1.75</v>
      </c>
      <c r="AQ1702" s="1078" t="str">
        <f t="shared" si="216"/>
        <v>1-5-1S91°</v>
      </c>
      <c r="AR1702" s="1078" t="str">
        <f t="shared" si="217"/>
        <v>33</v>
      </c>
      <c r="AS1702" s="1078" t="str">
        <f t="shared" si="218"/>
        <v>390/360/155</v>
      </c>
      <c r="AT1702" s="1078" t="str">
        <f t="shared" si="219"/>
        <v>1-5-1S91°</v>
      </c>
      <c r="AV1702" s="1078" t="str">
        <f t="shared" si="212"/>
        <v>109.11.25</v>
      </c>
      <c r="AW1702" s="1344">
        <f t="shared" si="213"/>
        <v>44160</v>
      </c>
    </row>
    <row r="1703" spans="1:49">
      <c r="A1703" s="1077" t="s">
        <v>5753</v>
      </c>
      <c r="B1703" s="1077" t="s">
        <v>4880</v>
      </c>
      <c r="C1703" s="1077">
        <v>650</v>
      </c>
      <c r="D1703" s="1077">
        <v>1.78</v>
      </c>
      <c r="E1703" s="1077" t="s">
        <v>15094</v>
      </c>
      <c r="F1703" s="1077" t="s">
        <v>984</v>
      </c>
      <c r="G1703" s="1077">
        <v>5</v>
      </c>
      <c r="H1703" s="1077" t="s">
        <v>5230</v>
      </c>
      <c r="I1703" s="1077" t="s">
        <v>460</v>
      </c>
      <c r="J1703" s="1077">
        <v>3.4</v>
      </c>
      <c r="K1703" s="1077" t="s">
        <v>5754</v>
      </c>
      <c r="L1703" s="1077" t="s">
        <v>4883</v>
      </c>
      <c r="M1703" s="1077">
        <v>158.4</v>
      </c>
      <c r="N1703" s="1077" t="s">
        <v>945</v>
      </c>
      <c r="O1703" s="1077">
        <v>3.9600000000000004</v>
      </c>
      <c r="P1703" s="1077">
        <v>3.1680000000000001</v>
      </c>
      <c r="Q1703" s="1077">
        <v>3.5</v>
      </c>
      <c r="R1703" s="1077">
        <v>20.5</v>
      </c>
      <c r="T1703" s="1077">
        <v>13</v>
      </c>
      <c r="U1703" s="1077">
        <v>3.2</v>
      </c>
      <c r="V1703" s="1077" t="s">
        <v>648</v>
      </c>
      <c r="W1703" s="1077">
        <v>120</v>
      </c>
      <c r="X1703" s="1077">
        <v>90</v>
      </c>
      <c r="Y1703" s="1077">
        <v>1.5</v>
      </c>
      <c r="Z1703" s="1077">
        <v>5</v>
      </c>
      <c r="AA1703" s="1077" t="s">
        <v>5676</v>
      </c>
      <c r="AH1703" s="1077" t="s">
        <v>621</v>
      </c>
      <c r="AM1703" s="1078" t="s">
        <v>12413</v>
      </c>
      <c r="AN1703" s="1078" t="s">
        <v>12414</v>
      </c>
      <c r="AO1703" s="1078">
        <f t="shared" si="214"/>
        <v>650</v>
      </c>
      <c r="AP1703" s="1078">
        <f t="shared" si="215"/>
        <v>1.78</v>
      </c>
      <c r="AQ1703" s="1078" t="str">
        <f t="shared" si="216"/>
        <v>1-5-1S91°</v>
      </c>
      <c r="AR1703" s="1078" t="str">
        <f t="shared" si="217"/>
        <v>30</v>
      </c>
      <c r="AS1703" s="1078" t="str">
        <f t="shared" si="218"/>
        <v>320/320/150</v>
      </c>
      <c r="AT1703" s="1078" t="str">
        <f t="shared" si="219"/>
        <v>1-5-1S91°</v>
      </c>
      <c r="AV1703" s="1078" t="str">
        <f t="shared" si="212"/>
        <v>110.1.29</v>
      </c>
      <c r="AW1703" s="1344">
        <f t="shared" si="213"/>
        <v>44225</v>
      </c>
    </row>
    <row r="1704" spans="1:49">
      <c r="A1704" s="1077" t="s">
        <v>5755</v>
      </c>
      <c r="B1704" s="1077" t="s">
        <v>210</v>
      </c>
      <c r="C1704" s="1077">
        <v>700</v>
      </c>
      <c r="D1704" s="1077">
        <v>1.74</v>
      </c>
      <c r="E1704" s="1077" t="s">
        <v>15094</v>
      </c>
      <c r="F1704" s="1077" t="s">
        <v>984</v>
      </c>
      <c r="G1704" s="1077">
        <v>5</v>
      </c>
      <c r="H1704" s="1077" t="s">
        <v>5300</v>
      </c>
      <c r="I1704" s="1077" t="s">
        <v>126</v>
      </c>
      <c r="J1704" s="1077">
        <v>0.8</v>
      </c>
      <c r="K1704" s="1077" t="s">
        <v>5419</v>
      </c>
      <c r="L1704" s="1077" t="s">
        <v>4666</v>
      </c>
      <c r="M1704" s="1077">
        <v>151.5</v>
      </c>
      <c r="N1704" s="1077" t="s">
        <v>945</v>
      </c>
      <c r="O1704" s="1077">
        <v>3.7875000000000001</v>
      </c>
      <c r="P1704" s="1077">
        <v>3.0300000000000002</v>
      </c>
      <c r="Q1704" s="1077">
        <v>4</v>
      </c>
      <c r="R1704" s="1077">
        <v>19.100000000000001</v>
      </c>
      <c r="T1704" s="1077">
        <v>23.7</v>
      </c>
      <c r="U1704" s="1077">
        <v>3.2</v>
      </c>
      <c r="V1704" s="1077" t="s">
        <v>648</v>
      </c>
      <c r="W1704" s="1077">
        <v>35</v>
      </c>
      <c r="X1704" s="1077">
        <v>10</v>
      </c>
      <c r="Y1704" s="1077">
        <v>1</v>
      </c>
      <c r="Z1704" s="1077">
        <v>6</v>
      </c>
      <c r="AA1704" s="1077" t="s">
        <v>1406</v>
      </c>
      <c r="AB1704" s="1077" t="s">
        <v>4165</v>
      </c>
      <c r="AH1704" s="1077" t="s">
        <v>684</v>
      </c>
      <c r="AM1704" s="1078" t="s">
        <v>12415</v>
      </c>
      <c r="AN1704" s="1078" t="s">
        <v>12416</v>
      </c>
      <c r="AO1704" s="1078">
        <f t="shared" si="214"/>
        <v>700</v>
      </c>
      <c r="AP1704" s="1078">
        <f t="shared" si="215"/>
        <v>1.74</v>
      </c>
      <c r="AQ1704" s="1078" t="str">
        <f t="shared" si="216"/>
        <v>1-5-1S91°</v>
      </c>
      <c r="AR1704" s="1078" t="str">
        <f t="shared" si="217"/>
        <v>30</v>
      </c>
      <c r="AS1704" s="1078" t="str">
        <f t="shared" si="218"/>
        <v>370/330/155</v>
      </c>
      <c r="AT1704" s="1078" t="str">
        <f t="shared" si="219"/>
        <v>1-5-1S91°</v>
      </c>
      <c r="AV1704" s="1078" t="str">
        <f t="shared" si="212"/>
        <v>110.6.3</v>
      </c>
      <c r="AW1704" s="1344">
        <f t="shared" si="213"/>
        <v>44350</v>
      </c>
    </row>
    <row r="1705" spans="1:49">
      <c r="A1705" s="1077" t="s">
        <v>5756</v>
      </c>
      <c r="B1705" s="1077" t="s">
        <v>617</v>
      </c>
      <c r="C1705" s="1077">
        <v>650</v>
      </c>
      <c r="D1705" s="1077">
        <v>1.73</v>
      </c>
      <c r="E1705" s="1077" t="s">
        <v>15094</v>
      </c>
      <c r="F1705" s="1077" t="s">
        <v>984</v>
      </c>
      <c r="G1705" s="1077">
        <v>5</v>
      </c>
      <c r="H1705" s="1077" t="s">
        <v>1793</v>
      </c>
      <c r="I1705" s="1077" t="s">
        <v>126</v>
      </c>
      <c r="J1705" s="1077">
        <v>2.2000000000000002</v>
      </c>
      <c r="K1705" s="1077" t="s">
        <v>5757</v>
      </c>
      <c r="L1705" s="1077" t="s">
        <v>4854</v>
      </c>
      <c r="M1705" s="1077">
        <v>150.30000000000001</v>
      </c>
      <c r="N1705" s="1077" t="s">
        <v>945</v>
      </c>
      <c r="O1705" s="1077">
        <v>3.7575000000000003</v>
      </c>
      <c r="P1705" s="1077">
        <v>3.0060000000000002</v>
      </c>
      <c r="Q1705" s="1077">
        <v>3</v>
      </c>
      <c r="R1705" s="1077">
        <v>29</v>
      </c>
      <c r="T1705" s="1077">
        <v>13</v>
      </c>
      <c r="U1705" s="1077">
        <v>7</v>
      </c>
      <c r="V1705" s="1077" t="s">
        <v>648</v>
      </c>
      <c r="W1705" s="1077">
        <v>115</v>
      </c>
      <c r="X1705" s="1077">
        <v>50</v>
      </c>
      <c r="Y1705" s="1077">
        <v>1.7</v>
      </c>
      <c r="Z1705" s="1077">
        <v>6.5</v>
      </c>
      <c r="AA1705" s="1077" t="s">
        <v>5758</v>
      </c>
      <c r="AH1705" s="1077" t="s">
        <v>5759</v>
      </c>
      <c r="AM1705" s="1078" t="s">
        <v>12417</v>
      </c>
      <c r="AN1705" s="1078" t="s">
        <v>12418</v>
      </c>
      <c r="AO1705" s="1078">
        <f t="shared" si="214"/>
        <v>650</v>
      </c>
      <c r="AP1705" s="1078">
        <f t="shared" si="215"/>
        <v>1.73</v>
      </c>
      <c r="AQ1705" s="1078" t="str">
        <f t="shared" si="216"/>
        <v>1-5-1S91°</v>
      </c>
      <c r="AR1705" s="1078" t="str">
        <f t="shared" si="217"/>
        <v>30</v>
      </c>
      <c r="AS1705" s="1078" t="str">
        <f t="shared" si="218"/>
        <v>270/270/OFF</v>
      </c>
      <c r="AT1705" s="1078" t="str">
        <f t="shared" si="219"/>
        <v>1-5-1S91°</v>
      </c>
      <c r="AV1705" s="1078" t="str">
        <f t="shared" si="212"/>
        <v>110.8.13</v>
      </c>
      <c r="AW1705" s="1344">
        <f t="shared" si="213"/>
        <v>44421</v>
      </c>
    </row>
    <row r="1706" spans="1:49">
      <c r="A1706" s="1077" t="s">
        <v>5760</v>
      </c>
      <c r="B1706" s="1077" t="s">
        <v>5148</v>
      </c>
      <c r="C1706" s="1077">
        <v>650</v>
      </c>
      <c r="D1706" s="1077">
        <v>1.7450000000000001</v>
      </c>
      <c r="E1706" s="1077" t="s">
        <v>15094</v>
      </c>
      <c r="F1706" s="1077" t="s">
        <v>984</v>
      </c>
      <c r="G1706" s="1077">
        <v>5</v>
      </c>
      <c r="H1706" s="1077" t="s">
        <v>5154</v>
      </c>
      <c r="I1706" s="1077" t="s">
        <v>648</v>
      </c>
      <c r="J1706" s="1077">
        <v>0</v>
      </c>
      <c r="K1706" s="1077" t="s">
        <v>5151</v>
      </c>
      <c r="L1706" s="1077" t="s">
        <v>5152</v>
      </c>
      <c r="M1706" s="1077">
        <v>149.9</v>
      </c>
      <c r="N1706" s="1077" t="s">
        <v>945</v>
      </c>
      <c r="O1706" s="1077">
        <v>3.7475000000000005</v>
      </c>
      <c r="P1706" s="1077">
        <v>2.9980000000000002</v>
      </c>
      <c r="Q1706" s="1077">
        <v>4</v>
      </c>
      <c r="R1706" s="1077">
        <v>24</v>
      </c>
      <c r="T1706" s="1077">
        <v>17</v>
      </c>
      <c r="U1706" s="1077">
        <v>2.6</v>
      </c>
      <c r="V1706" s="1077" t="s">
        <v>648</v>
      </c>
      <c r="W1706" s="1077" t="s">
        <v>648</v>
      </c>
      <c r="X1706" s="1077" t="s">
        <v>648</v>
      </c>
      <c r="Y1706" s="1077">
        <v>1</v>
      </c>
      <c r="Z1706" s="1077">
        <v>4.5</v>
      </c>
      <c r="AA1706" s="1077" t="s">
        <v>3815</v>
      </c>
      <c r="AH1706" s="1077" t="s">
        <v>3213</v>
      </c>
      <c r="AM1706" s="1078" t="s">
        <v>12419</v>
      </c>
      <c r="AN1706" s="1078" t="s">
        <v>12420</v>
      </c>
      <c r="AO1706" s="1078">
        <f t="shared" si="214"/>
        <v>650</v>
      </c>
      <c r="AP1706" s="1078">
        <f t="shared" si="215"/>
        <v>1.7450000000000001</v>
      </c>
      <c r="AQ1706" s="1078" t="str">
        <f t="shared" si="216"/>
        <v>1-5-1S91°</v>
      </c>
      <c r="AR1706" s="1078" t="str">
        <f t="shared" si="217"/>
        <v>30</v>
      </c>
      <c r="AS1706" s="1078" t="str">
        <f t="shared" si="218"/>
        <v>350/310/158</v>
      </c>
      <c r="AT1706" s="1078" t="str">
        <f t="shared" si="219"/>
        <v>1-5-1S91°</v>
      </c>
      <c r="AV1706" s="1078" t="str">
        <f t="shared" si="212"/>
        <v>110.10.1</v>
      </c>
      <c r="AW1706" s="1344">
        <f t="shared" si="213"/>
        <v>44470</v>
      </c>
    </row>
    <row r="1707" spans="1:49">
      <c r="A1707" s="1077" t="s">
        <v>5761</v>
      </c>
      <c r="B1707" s="1077" t="s">
        <v>4767</v>
      </c>
      <c r="C1707" s="1077" t="s">
        <v>5762</v>
      </c>
      <c r="D1707" s="1077">
        <v>1.7290000000000001</v>
      </c>
      <c r="E1707" s="1077" t="s">
        <v>15104</v>
      </c>
      <c r="F1707" s="1077" t="s">
        <v>648</v>
      </c>
      <c r="G1707" s="1077">
        <v>5</v>
      </c>
      <c r="H1707" s="1077" t="s">
        <v>1936</v>
      </c>
      <c r="I1707" s="1077" t="s">
        <v>126</v>
      </c>
      <c r="J1707" s="1077">
        <v>1.5</v>
      </c>
      <c r="K1707" s="1077" t="s">
        <v>5763</v>
      </c>
      <c r="L1707" s="1077" t="s">
        <v>1776</v>
      </c>
      <c r="M1707" s="1077">
        <v>148</v>
      </c>
      <c r="N1707" s="1077" t="s">
        <v>945</v>
      </c>
      <c r="O1707" s="1077">
        <v>3.7</v>
      </c>
      <c r="P1707" s="1077">
        <v>2.96</v>
      </c>
      <c r="Q1707" s="1077" t="s">
        <v>946</v>
      </c>
      <c r="R1707" s="1077">
        <v>20.8</v>
      </c>
      <c r="T1707" s="1077">
        <v>20.399999999999999</v>
      </c>
      <c r="U1707" s="1077">
        <v>3.8</v>
      </c>
      <c r="V1707" s="1077" t="s">
        <v>648</v>
      </c>
      <c r="W1707" s="1077">
        <v>110</v>
      </c>
      <c r="X1707" s="1077" t="s">
        <v>2395</v>
      </c>
      <c r="Y1707" s="1077">
        <v>1.7</v>
      </c>
      <c r="Z1707" s="1077" t="s">
        <v>648</v>
      </c>
      <c r="AA1707" s="1077" t="s">
        <v>1229</v>
      </c>
      <c r="AB1707" s="1077" t="s">
        <v>981</v>
      </c>
      <c r="AH1707" s="1077" t="s">
        <v>712</v>
      </c>
      <c r="AM1707" s="1078" t="s">
        <v>12421</v>
      </c>
      <c r="AN1707" s="1078" t="s">
        <v>12422</v>
      </c>
      <c r="AO1707" s="1078" t="str">
        <f t="shared" si="214"/>
        <v>700↓600(108.12/4)</v>
      </c>
      <c r="AP1707" s="1078">
        <f t="shared" si="215"/>
        <v>1.7290000000000001</v>
      </c>
      <c r="AQ1707" s="1078" t="str">
        <f t="shared" si="216"/>
        <v>1-4-1S85°Z+S</v>
      </c>
      <c r="AR1707" s="1078" t="str">
        <f t="shared" si="217"/>
        <v>NA</v>
      </c>
      <c r="AS1707" s="1078" t="str">
        <f t="shared" si="218"/>
        <v>175/OFF</v>
      </c>
      <c r="AT1707" s="1078" t="str">
        <f t="shared" si="219"/>
        <v>1-4-1S85°Z+S</v>
      </c>
      <c r="AU1707" s="1078" t="s">
        <v>15547</v>
      </c>
      <c r="AV1707" s="1078" t="str">
        <f t="shared" si="212"/>
        <v>108.11.25</v>
      </c>
      <c r="AW1707" s="1344">
        <f t="shared" si="213"/>
        <v>43794</v>
      </c>
    </row>
    <row r="1708" spans="1:49">
      <c r="A1708" s="1077" t="s">
        <v>5764</v>
      </c>
      <c r="B1708" s="1077" t="s">
        <v>5410</v>
      </c>
      <c r="C1708" s="1077">
        <v>500</v>
      </c>
      <c r="D1708" s="1077">
        <v>1.746</v>
      </c>
      <c r="E1708" s="1077" t="s">
        <v>15116</v>
      </c>
      <c r="F1708" s="1077" t="s">
        <v>984</v>
      </c>
      <c r="G1708" s="1077">
        <v>2</v>
      </c>
      <c r="H1708" s="1077" t="s">
        <v>1649</v>
      </c>
      <c r="I1708" s="1077" t="s">
        <v>126</v>
      </c>
      <c r="J1708" s="1077">
        <v>1.4</v>
      </c>
      <c r="K1708" s="1077" t="s">
        <v>5765</v>
      </c>
      <c r="L1708" s="1077" t="s">
        <v>1825</v>
      </c>
      <c r="M1708" s="1077">
        <v>148.1</v>
      </c>
      <c r="N1708" s="1077" t="s">
        <v>945</v>
      </c>
      <c r="O1708" s="1077">
        <v>3.7025000000000001</v>
      </c>
      <c r="P1708" s="1077">
        <v>2.9619999999999997</v>
      </c>
      <c r="Q1708" s="1077" t="s">
        <v>2553</v>
      </c>
      <c r="R1708" s="1077">
        <v>22.4</v>
      </c>
      <c r="T1708" s="1077">
        <v>20.6</v>
      </c>
      <c r="U1708" s="1077">
        <v>3.7</v>
      </c>
      <c r="V1708" s="1077" t="s">
        <v>648</v>
      </c>
      <c r="W1708" s="1077">
        <v>140</v>
      </c>
      <c r="X1708" s="1077">
        <v>75</v>
      </c>
      <c r="Y1708" s="1077">
        <v>1.5</v>
      </c>
      <c r="Z1708" s="1077" t="s">
        <v>648</v>
      </c>
      <c r="AA1708" s="1077" t="s">
        <v>5766</v>
      </c>
      <c r="AH1708" s="1077" t="s">
        <v>5262</v>
      </c>
      <c r="AM1708" s="1078" t="s">
        <v>12423</v>
      </c>
      <c r="AN1708" s="1078" t="s">
        <v>12424</v>
      </c>
      <c r="AO1708" s="1078">
        <f t="shared" si="214"/>
        <v>500</v>
      </c>
      <c r="AP1708" s="1078">
        <f t="shared" si="215"/>
        <v>1.746</v>
      </c>
      <c r="AQ1708" s="1078" t="str">
        <f t="shared" si="216"/>
        <v>1-5-1S83°Z+S</v>
      </c>
      <c r="AR1708" s="1078" t="str">
        <f t="shared" si="217"/>
        <v>30</v>
      </c>
      <c r="AS1708" s="1078" t="str">
        <f t="shared" si="218"/>
        <v>225/225/OFF</v>
      </c>
      <c r="AT1708" s="1078" t="str">
        <f t="shared" si="219"/>
        <v>1-5-1S83°Z+S</v>
      </c>
      <c r="AU1708" s="1078" t="s">
        <v>15547</v>
      </c>
      <c r="AV1708" s="1078" t="str">
        <f t="shared" si="212"/>
        <v>109.3.6</v>
      </c>
      <c r="AW1708" s="1344">
        <f t="shared" si="213"/>
        <v>43896</v>
      </c>
    </row>
    <row r="1709" spans="1:49">
      <c r="A1709" s="1077" t="s">
        <v>5767</v>
      </c>
      <c r="B1709" s="1077" t="s">
        <v>5005</v>
      </c>
      <c r="C1709" s="1077">
        <v>500</v>
      </c>
      <c r="D1709" s="1077">
        <v>1.702</v>
      </c>
      <c r="E1709" s="1077" t="s">
        <v>15104</v>
      </c>
      <c r="F1709" s="1077" t="s">
        <v>648</v>
      </c>
      <c r="G1709" s="1077">
        <v>4</v>
      </c>
      <c r="H1709" s="1077" t="s">
        <v>1470</v>
      </c>
      <c r="I1709" s="1077" t="s">
        <v>126</v>
      </c>
      <c r="J1709" s="1077">
        <v>1.9</v>
      </c>
      <c r="K1709" s="1077" t="s">
        <v>5768</v>
      </c>
      <c r="L1709" s="1077" t="s">
        <v>5769</v>
      </c>
      <c r="M1709" s="1077">
        <v>154</v>
      </c>
      <c r="N1709" s="1077" t="s">
        <v>945</v>
      </c>
      <c r="O1709" s="1077">
        <v>3.85</v>
      </c>
      <c r="P1709" s="1077">
        <v>3.08</v>
      </c>
      <c r="Q1709" s="1077" t="s">
        <v>2782</v>
      </c>
      <c r="R1709" s="1077">
        <v>24</v>
      </c>
      <c r="T1709" s="1077">
        <v>15</v>
      </c>
      <c r="U1709" s="1077">
        <v>4.2</v>
      </c>
      <c r="V1709" s="1077" t="s">
        <v>648</v>
      </c>
      <c r="W1709" s="1077">
        <v>140</v>
      </c>
      <c r="X1709" s="1077">
        <v>90</v>
      </c>
      <c r="Y1709" s="1077">
        <v>1.6</v>
      </c>
      <c r="Z1709" s="1077" t="s">
        <v>648</v>
      </c>
      <c r="AA1709" s="1077" t="s">
        <v>5770</v>
      </c>
      <c r="AH1709" s="1077" t="s">
        <v>812</v>
      </c>
      <c r="AM1709" s="1078" t="s">
        <v>12425</v>
      </c>
      <c r="AN1709" s="1078" t="s">
        <v>12426</v>
      </c>
      <c r="AO1709" s="1078">
        <f t="shared" si="214"/>
        <v>500</v>
      </c>
      <c r="AP1709" s="1078">
        <f t="shared" si="215"/>
        <v>1.702</v>
      </c>
      <c r="AQ1709" s="1078" t="str">
        <f t="shared" si="216"/>
        <v>1-4-1S85°Z+S</v>
      </c>
      <c r="AR1709" s="1078" t="str">
        <f t="shared" si="217"/>
        <v>NA</v>
      </c>
      <c r="AS1709" s="1078" t="str">
        <f t="shared" si="218"/>
        <v>160/OFF</v>
      </c>
      <c r="AT1709" s="1078" t="str">
        <f t="shared" si="219"/>
        <v>1-4-1S85°Z+S</v>
      </c>
      <c r="AU1709" s="1078" t="s">
        <v>15547</v>
      </c>
      <c r="AV1709" s="1078" t="str">
        <f t="shared" si="212"/>
        <v>109.6.16</v>
      </c>
      <c r="AW1709" s="1344">
        <f t="shared" si="213"/>
        <v>43998</v>
      </c>
    </row>
    <row r="1710" spans="1:49">
      <c r="A1710" s="1077" t="s">
        <v>5771</v>
      </c>
      <c r="B1710" s="1077" t="s">
        <v>847</v>
      </c>
      <c r="C1710" s="1077">
        <v>550</v>
      </c>
      <c r="D1710" s="1077">
        <v>1.78</v>
      </c>
      <c r="E1710" s="1077" t="s">
        <v>15111</v>
      </c>
      <c r="F1710" s="1077" t="s">
        <v>975</v>
      </c>
      <c r="G1710" s="1077">
        <v>4</v>
      </c>
      <c r="H1710" s="1077" t="s">
        <v>4940</v>
      </c>
      <c r="I1710" s="1077" t="s">
        <v>126</v>
      </c>
      <c r="J1710" s="1077">
        <v>0.8</v>
      </c>
      <c r="K1710" s="1077" t="s">
        <v>5772</v>
      </c>
      <c r="L1710" s="1077" t="s">
        <v>5037</v>
      </c>
      <c r="M1710" s="1077">
        <v>150</v>
      </c>
      <c r="N1710" s="1077" t="s">
        <v>945</v>
      </c>
      <c r="O1710" s="1077">
        <v>3.75</v>
      </c>
      <c r="P1710" s="1077">
        <v>3</v>
      </c>
      <c r="Q1710" s="1077" t="s">
        <v>2422</v>
      </c>
      <c r="R1710" s="1077">
        <v>21.8</v>
      </c>
      <c r="T1710" s="1077">
        <v>19.5</v>
      </c>
      <c r="U1710" s="1077">
        <v>2.5</v>
      </c>
      <c r="V1710" s="1077" t="s">
        <v>648</v>
      </c>
      <c r="W1710" s="1077">
        <v>85</v>
      </c>
      <c r="X1710" s="1077">
        <v>10</v>
      </c>
      <c r="Y1710" s="1077">
        <v>2.1</v>
      </c>
      <c r="Z1710" s="1077" t="s">
        <v>5773</v>
      </c>
      <c r="AA1710" s="1077" t="s">
        <v>1198</v>
      </c>
      <c r="AH1710" s="1077" t="s">
        <v>994</v>
      </c>
      <c r="AM1710" s="1078" t="s">
        <v>12427</v>
      </c>
      <c r="AN1710" s="1078" t="s">
        <v>12428</v>
      </c>
      <c r="AO1710" s="1078">
        <f t="shared" si="214"/>
        <v>550</v>
      </c>
      <c r="AP1710" s="1078">
        <f t="shared" si="215"/>
        <v>1.78</v>
      </c>
      <c r="AQ1710" s="1078" t="str">
        <f t="shared" si="216"/>
        <v>1-5-1S91</v>
      </c>
      <c r="AR1710" s="1078" t="str">
        <f t="shared" si="217"/>
        <v>31.5</v>
      </c>
      <c r="AS1710" s="1078" t="str">
        <f t="shared" si="218"/>
        <v>320/320/155</v>
      </c>
      <c r="AT1710" s="1078" t="str">
        <f t="shared" si="219"/>
        <v>1-5-1S91</v>
      </c>
      <c r="AV1710" s="1078" t="str">
        <f t="shared" si="212"/>
        <v>109.11.30</v>
      </c>
      <c r="AW1710" s="1344">
        <f t="shared" si="213"/>
        <v>44165</v>
      </c>
    </row>
    <row r="1711" spans="1:49">
      <c r="A1711" s="1077" t="s">
        <v>5774</v>
      </c>
      <c r="B1711" s="1077" t="s">
        <v>4729</v>
      </c>
      <c r="C1711" s="1077">
        <v>700</v>
      </c>
      <c r="D1711" s="1077">
        <v>1.72</v>
      </c>
      <c r="E1711" s="1077" t="s">
        <v>15111</v>
      </c>
      <c r="F1711" s="1077" t="s">
        <v>984</v>
      </c>
      <c r="G1711" s="1077">
        <v>5</v>
      </c>
      <c r="H1711" s="1077" t="s">
        <v>4743</v>
      </c>
      <c r="I1711" s="1077" t="s">
        <v>126</v>
      </c>
      <c r="J1711" s="1077">
        <v>1.5</v>
      </c>
      <c r="K1711" s="1077" t="s">
        <v>5775</v>
      </c>
      <c r="L1711" s="1077" t="s">
        <v>4731</v>
      </c>
      <c r="M1711" s="1077">
        <v>153</v>
      </c>
      <c r="N1711" s="1077" t="s">
        <v>945</v>
      </c>
      <c r="O1711" s="1077">
        <v>3.8250000000000002</v>
      </c>
      <c r="P1711" s="1077">
        <v>3.06</v>
      </c>
      <c r="Q1711" s="1077">
        <v>4</v>
      </c>
      <c r="R1711" s="1077">
        <v>20.5</v>
      </c>
      <c r="T1711" s="1077">
        <v>11.5</v>
      </c>
      <c r="U1711" s="1077">
        <v>3.7</v>
      </c>
      <c r="V1711" s="1077" t="s">
        <v>648</v>
      </c>
      <c r="W1711" s="1077" t="s">
        <v>5776</v>
      </c>
      <c r="X1711" s="1077" t="s">
        <v>5777</v>
      </c>
      <c r="Y1711" s="1077">
        <v>1.7</v>
      </c>
      <c r="Z1711" s="1077">
        <v>5</v>
      </c>
      <c r="AA1711" s="1077" t="s">
        <v>5778</v>
      </c>
      <c r="AB1711" s="1077" t="s">
        <v>981</v>
      </c>
      <c r="AH1711" s="1077" t="s">
        <v>884</v>
      </c>
      <c r="AM1711" s="1078" t="s">
        <v>12429</v>
      </c>
      <c r="AN1711" s="1078" t="s">
        <v>12430</v>
      </c>
      <c r="AO1711" s="1078">
        <f t="shared" si="214"/>
        <v>700</v>
      </c>
      <c r="AP1711" s="1078">
        <f t="shared" si="215"/>
        <v>1.72</v>
      </c>
      <c r="AQ1711" s="1078" t="str">
        <f t="shared" si="216"/>
        <v>1-5-1S91</v>
      </c>
      <c r="AR1711" s="1078" t="str">
        <f t="shared" si="217"/>
        <v>30</v>
      </c>
      <c r="AS1711" s="1078" t="str">
        <f t="shared" si="218"/>
        <v>330/330/172</v>
      </c>
      <c r="AT1711" s="1078" t="str">
        <f t="shared" si="219"/>
        <v>1-5-1S91</v>
      </c>
      <c r="AV1711" s="1078" t="str">
        <f t="shared" si="212"/>
        <v>110.1.30</v>
      </c>
      <c r="AW1711" s="1344">
        <f t="shared" si="213"/>
        <v>44226</v>
      </c>
    </row>
    <row r="1712" spans="1:49">
      <c r="A1712" s="1077" t="s">
        <v>5779</v>
      </c>
      <c r="B1712" s="1077" t="s">
        <v>5148</v>
      </c>
      <c r="C1712" s="1077">
        <v>650</v>
      </c>
      <c r="D1712" s="1077">
        <v>1.7450000000000001</v>
      </c>
      <c r="E1712" s="1077" t="s">
        <v>15102</v>
      </c>
      <c r="F1712" s="1077" t="s">
        <v>1514</v>
      </c>
      <c r="G1712" s="1077">
        <v>5</v>
      </c>
      <c r="H1712" s="1077" t="s">
        <v>5309</v>
      </c>
      <c r="I1712" s="1077" t="s">
        <v>648</v>
      </c>
      <c r="J1712" s="1077">
        <v>0</v>
      </c>
      <c r="K1712" s="1077" t="s">
        <v>5780</v>
      </c>
      <c r="L1712" s="1077" t="s">
        <v>5152</v>
      </c>
      <c r="M1712" s="1077">
        <v>150</v>
      </c>
      <c r="N1712" s="1077" t="s">
        <v>945</v>
      </c>
      <c r="O1712" s="1077">
        <v>3.75</v>
      </c>
      <c r="P1712" s="1077">
        <v>3</v>
      </c>
      <c r="Q1712" s="1077">
        <v>3.5</v>
      </c>
      <c r="R1712" s="1077">
        <v>24</v>
      </c>
      <c r="T1712" s="1077">
        <v>17</v>
      </c>
      <c r="U1712" s="1077">
        <v>2.6</v>
      </c>
      <c r="V1712" s="1077" t="s">
        <v>648</v>
      </c>
      <c r="W1712" s="1077" t="s">
        <v>648</v>
      </c>
      <c r="X1712" s="1077" t="s">
        <v>648</v>
      </c>
      <c r="Y1712" s="1077">
        <v>1</v>
      </c>
      <c r="Z1712" s="1077">
        <v>5</v>
      </c>
      <c r="AA1712" s="1077" t="s">
        <v>5587</v>
      </c>
      <c r="AH1712" s="1077" t="s">
        <v>3199</v>
      </c>
      <c r="AM1712" s="1078" t="s">
        <v>12431</v>
      </c>
      <c r="AN1712" s="1078" t="s">
        <v>12432</v>
      </c>
      <c r="AO1712" s="1078">
        <f t="shared" si="214"/>
        <v>650</v>
      </c>
      <c r="AP1712" s="1078">
        <f t="shared" si="215"/>
        <v>1.7450000000000001</v>
      </c>
      <c r="AQ1712" s="1078" t="str">
        <f t="shared" si="216"/>
        <v>2-6-1S83°</v>
      </c>
      <c r="AR1712" s="1078" t="str">
        <f t="shared" si="217"/>
        <v>32</v>
      </c>
      <c r="AS1712" s="1078" t="str">
        <f t="shared" si="218"/>
        <v>170/178</v>
      </c>
      <c r="AT1712" s="1078" t="str">
        <f t="shared" si="219"/>
        <v>2-6-1S83°</v>
      </c>
      <c r="AV1712" s="1078" t="str">
        <f t="shared" si="212"/>
        <v>110.3.26</v>
      </c>
      <c r="AW1712" s="1344">
        <f t="shared" si="213"/>
        <v>44281</v>
      </c>
    </row>
    <row r="1713" spans="1:49">
      <c r="A1713" s="1077" t="s">
        <v>5781</v>
      </c>
      <c r="B1713" s="1077" t="s">
        <v>210</v>
      </c>
      <c r="C1713" s="1077">
        <v>650</v>
      </c>
      <c r="D1713" s="1077">
        <v>1.7</v>
      </c>
      <c r="E1713" s="1077" t="s">
        <v>15094</v>
      </c>
      <c r="F1713" s="1077" t="s">
        <v>984</v>
      </c>
      <c r="G1713" s="1077">
        <v>5</v>
      </c>
      <c r="H1713" s="1077" t="s">
        <v>4806</v>
      </c>
      <c r="I1713" s="1077" t="s">
        <v>460</v>
      </c>
      <c r="J1713" s="1077">
        <v>3.2</v>
      </c>
      <c r="K1713" s="1077" t="s">
        <v>5560</v>
      </c>
      <c r="L1713" s="1077" t="s">
        <v>5332</v>
      </c>
      <c r="M1713" s="1077">
        <v>149.5</v>
      </c>
      <c r="N1713" s="1077" t="s">
        <v>945</v>
      </c>
      <c r="O1713" s="1077">
        <v>3.7375000000000003</v>
      </c>
      <c r="P1713" s="1077">
        <v>2.99</v>
      </c>
      <c r="Q1713" s="1077">
        <v>3.5</v>
      </c>
      <c r="R1713" s="1077">
        <v>21.5</v>
      </c>
      <c r="T1713" s="1077">
        <v>19.5</v>
      </c>
      <c r="U1713" s="1077">
        <v>2.9</v>
      </c>
      <c r="V1713" s="1077" t="s">
        <v>648</v>
      </c>
      <c r="W1713" s="1077">
        <v>100</v>
      </c>
      <c r="X1713" s="1077">
        <v>90</v>
      </c>
      <c r="Y1713" s="1077">
        <v>1.8</v>
      </c>
      <c r="Z1713" s="1077">
        <v>5.5</v>
      </c>
      <c r="AA1713" s="1077" t="s">
        <v>3472</v>
      </c>
      <c r="AB1713" s="1077" t="s">
        <v>981</v>
      </c>
      <c r="AH1713" s="1077" t="s">
        <v>618</v>
      </c>
      <c r="AM1713" s="1078" t="s">
        <v>12433</v>
      </c>
      <c r="AN1713" s="1078" t="s">
        <v>12434</v>
      </c>
      <c r="AO1713" s="1078">
        <f t="shared" si="214"/>
        <v>650</v>
      </c>
      <c r="AP1713" s="1078">
        <f t="shared" si="215"/>
        <v>1.7</v>
      </c>
      <c r="AQ1713" s="1078" t="str">
        <f t="shared" si="216"/>
        <v>1-5-1S91°</v>
      </c>
      <c r="AR1713" s="1078" t="str">
        <f t="shared" si="217"/>
        <v>30</v>
      </c>
      <c r="AS1713" s="1078" t="str">
        <f t="shared" si="218"/>
        <v>390/360/175</v>
      </c>
      <c r="AT1713" s="1078" t="str">
        <f t="shared" si="219"/>
        <v>1-5-1S91°</v>
      </c>
      <c r="AV1713" s="1078" t="str">
        <f t="shared" si="212"/>
        <v>110.6.4</v>
      </c>
      <c r="AW1713" s="1344">
        <f t="shared" si="213"/>
        <v>44351</v>
      </c>
    </row>
    <row r="1714" spans="1:49">
      <c r="A1714" s="1077" t="s">
        <v>5782</v>
      </c>
      <c r="B1714" s="1077" t="s">
        <v>847</v>
      </c>
      <c r="C1714" s="1077">
        <v>550</v>
      </c>
      <c r="D1714" s="1077">
        <v>1.78</v>
      </c>
      <c r="E1714" s="1077" t="s">
        <v>15111</v>
      </c>
      <c r="F1714" s="1077" t="s">
        <v>975</v>
      </c>
      <c r="G1714" s="1077">
        <v>4</v>
      </c>
      <c r="H1714" s="1077" t="s">
        <v>5230</v>
      </c>
      <c r="I1714" s="1077" t="s">
        <v>648</v>
      </c>
      <c r="J1714" s="1077">
        <v>0</v>
      </c>
      <c r="K1714" s="1077" t="s">
        <v>5783</v>
      </c>
      <c r="L1714" s="1077" t="s">
        <v>5037</v>
      </c>
      <c r="M1714" s="1077">
        <v>150</v>
      </c>
      <c r="N1714" s="1077" t="s">
        <v>945</v>
      </c>
      <c r="O1714" s="1077">
        <v>3.75</v>
      </c>
      <c r="P1714" s="1077">
        <v>3</v>
      </c>
      <c r="Q1714" s="1077" t="s">
        <v>5784</v>
      </c>
      <c r="R1714" s="1077">
        <v>21.8</v>
      </c>
      <c r="T1714" s="1077">
        <v>19.5</v>
      </c>
      <c r="U1714" s="1077">
        <v>1.8</v>
      </c>
      <c r="V1714" s="1077" t="s">
        <v>648</v>
      </c>
      <c r="W1714" s="1077" t="s">
        <v>648</v>
      </c>
      <c r="X1714" s="1077" t="s">
        <v>648</v>
      </c>
      <c r="Y1714" s="1077">
        <v>2.1</v>
      </c>
      <c r="Z1714" s="1077">
        <v>5</v>
      </c>
      <c r="AA1714" s="1077" t="s">
        <v>5785</v>
      </c>
      <c r="AH1714" s="1077" t="s">
        <v>877</v>
      </c>
      <c r="AM1714" s="1078" t="s">
        <v>12435</v>
      </c>
      <c r="AN1714" s="1078" t="s">
        <v>12436</v>
      </c>
      <c r="AO1714" s="1078">
        <f t="shared" si="214"/>
        <v>550</v>
      </c>
      <c r="AP1714" s="1078">
        <f t="shared" si="215"/>
        <v>1.78</v>
      </c>
      <c r="AQ1714" s="1078" t="str">
        <f t="shared" si="216"/>
        <v>1-5-1S91</v>
      </c>
      <c r="AR1714" s="1078" t="str">
        <f t="shared" si="217"/>
        <v>31.5</v>
      </c>
      <c r="AS1714" s="1078" t="str">
        <f t="shared" si="218"/>
        <v>320/320/150</v>
      </c>
      <c r="AT1714" s="1078" t="str">
        <f t="shared" si="219"/>
        <v>1-5-1S91</v>
      </c>
      <c r="AV1714" s="1078" t="str">
        <f t="shared" si="212"/>
        <v>110.7.30</v>
      </c>
      <c r="AW1714" s="1344">
        <f t="shared" si="213"/>
        <v>44407</v>
      </c>
    </row>
    <row r="1715" spans="1:49">
      <c r="A1715" s="1077" t="s">
        <v>5786</v>
      </c>
      <c r="B1715" s="1077" t="s">
        <v>5654</v>
      </c>
      <c r="C1715" s="1077">
        <v>600</v>
      </c>
      <c r="D1715" s="1077">
        <v>1.81</v>
      </c>
      <c r="E1715" s="1077" t="s">
        <v>15094</v>
      </c>
      <c r="F1715" s="1077" t="s">
        <v>2234</v>
      </c>
      <c r="G1715" s="1077">
        <v>5</v>
      </c>
      <c r="H1715" s="1077" t="s">
        <v>5126</v>
      </c>
      <c r="I1715" s="1077" t="s">
        <v>126</v>
      </c>
      <c r="J1715" s="1077">
        <v>1.4</v>
      </c>
      <c r="K1715" s="1077" t="s">
        <v>5656</v>
      </c>
      <c r="L1715" s="1077" t="s">
        <v>5787</v>
      </c>
      <c r="M1715" s="1077">
        <v>149.5</v>
      </c>
      <c r="N1715" s="1077" t="s">
        <v>945</v>
      </c>
      <c r="O1715" s="1077">
        <v>3.7375000000000003</v>
      </c>
      <c r="P1715" s="1077">
        <v>2.99</v>
      </c>
      <c r="Q1715" s="1077">
        <v>3.5</v>
      </c>
      <c r="R1715" s="1077">
        <v>25</v>
      </c>
      <c r="T1715" s="1077">
        <v>16</v>
      </c>
      <c r="U1715" s="1077">
        <v>4</v>
      </c>
      <c r="V1715" s="1077" t="s">
        <v>648</v>
      </c>
      <c r="W1715" s="1077">
        <v>85</v>
      </c>
      <c r="X1715" s="1077">
        <v>10</v>
      </c>
      <c r="Y1715" s="1077">
        <v>1.4</v>
      </c>
      <c r="Z1715" s="1077">
        <v>6</v>
      </c>
      <c r="AA1715" s="1077" t="s">
        <v>3817</v>
      </c>
      <c r="AH1715" s="1077" t="s">
        <v>5681</v>
      </c>
      <c r="AM1715" s="1078" t="s">
        <v>12437</v>
      </c>
      <c r="AN1715" s="1078" t="s">
        <v>12438</v>
      </c>
      <c r="AO1715" s="1078">
        <f t="shared" si="214"/>
        <v>600</v>
      </c>
      <c r="AP1715" s="1078">
        <f t="shared" si="215"/>
        <v>1.81</v>
      </c>
      <c r="AQ1715" s="1078" t="str">
        <f t="shared" si="216"/>
        <v>1-5-1S91°</v>
      </c>
      <c r="AR1715" s="1078" t="str">
        <f t="shared" si="217"/>
        <v>33.5</v>
      </c>
      <c r="AS1715" s="1078" t="str">
        <f t="shared" si="218"/>
        <v>300/300/140</v>
      </c>
      <c r="AT1715" s="1078" t="str">
        <f t="shared" si="219"/>
        <v>1-5-1S91°</v>
      </c>
      <c r="AV1715" s="1078" t="str">
        <f t="shared" si="212"/>
        <v>110.10.7</v>
      </c>
      <c r="AW1715" s="1344">
        <f t="shared" si="213"/>
        <v>44476</v>
      </c>
    </row>
    <row r="1716" spans="1:49">
      <c r="A1716" s="1077" t="s">
        <v>5788</v>
      </c>
      <c r="B1716" s="1077" t="s">
        <v>5148</v>
      </c>
      <c r="C1716" s="1077">
        <v>650</v>
      </c>
      <c r="D1716" s="1077">
        <v>1.75</v>
      </c>
      <c r="E1716" s="1077" t="s">
        <v>15094</v>
      </c>
      <c r="F1716" s="1077" t="s">
        <v>975</v>
      </c>
      <c r="G1716" s="1077">
        <v>5</v>
      </c>
      <c r="H1716" s="1077" t="s">
        <v>5305</v>
      </c>
      <c r="I1716" s="1077" t="s">
        <v>126</v>
      </c>
      <c r="J1716" s="1077">
        <v>2.6</v>
      </c>
      <c r="K1716" s="1077" t="s">
        <v>5298</v>
      </c>
      <c r="L1716" s="1077" t="s">
        <v>5152</v>
      </c>
      <c r="M1716" s="1077">
        <v>148.6</v>
      </c>
      <c r="N1716" s="1077" t="s">
        <v>945</v>
      </c>
      <c r="O1716" s="1077">
        <v>3.7149999999999999</v>
      </c>
      <c r="P1716" s="1077">
        <v>2.972</v>
      </c>
      <c r="Q1716" s="1077">
        <v>3.5</v>
      </c>
      <c r="R1716" s="1077">
        <v>20.399999999999999</v>
      </c>
      <c r="T1716" s="1077">
        <v>26</v>
      </c>
      <c r="U1716" s="1077">
        <v>3.7</v>
      </c>
      <c r="V1716" s="1077" t="s">
        <v>648</v>
      </c>
      <c r="W1716" s="1077">
        <v>105</v>
      </c>
      <c r="X1716" s="1077">
        <v>50</v>
      </c>
      <c r="Y1716" s="1077">
        <v>2</v>
      </c>
      <c r="Z1716" s="1077">
        <v>6.5</v>
      </c>
      <c r="AA1716" s="1077" t="s">
        <v>5789</v>
      </c>
      <c r="AH1716" s="1077" t="s">
        <v>1186</v>
      </c>
      <c r="AM1716" s="1078" t="s">
        <v>12439</v>
      </c>
      <c r="AN1716" s="1078" t="s">
        <v>12440</v>
      </c>
      <c r="AO1716" s="1078">
        <f t="shared" si="214"/>
        <v>650</v>
      </c>
      <c r="AP1716" s="1078">
        <f t="shared" si="215"/>
        <v>1.75</v>
      </c>
      <c r="AQ1716" s="1078" t="str">
        <f t="shared" si="216"/>
        <v>1-5-1S91°</v>
      </c>
      <c r="AR1716" s="1078" t="str">
        <f t="shared" si="217"/>
        <v>31.5</v>
      </c>
      <c r="AS1716" s="1078" t="str">
        <f t="shared" si="218"/>
        <v>350/320/OFF</v>
      </c>
      <c r="AT1716" s="1078" t="str">
        <f t="shared" si="219"/>
        <v>1-5-1S91°</v>
      </c>
      <c r="AV1716" s="1078" t="str">
        <f t="shared" si="212"/>
        <v>110.11.17</v>
      </c>
      <c r="AW1716" s="1344">
        <f t="shared" si="213"/>
        <v>44517</v>
      </c>
    </row>
    <row r="1717" spans="1:49">
      <c r="A1717" s="1077" t="s">
        <v>5790</v>
      </c>
      <c r="B1717" s="1077" t="s">
        <v>5372</v>
      </c>
      <c r="C1717" s="1077">
        <v>600</v>
      </c>
      <c r="D1717" s="1077">
        <v>1.7350000000000001</v>
      </c>
      <c r="E1717" s="1077" t="s">
        <v>15104</v>
      </c>
      <c r="F1717" s="1077" t="s">
        <v>648</v>
      </c>
      <c r="G1717" s="1077">
        <v>5</v>
      </c>
      <c r="H1717" s="1077" t="s">
        <v>2192</v>
      </c>
      <c r="I1717" s="1077" t="s">
        <v>126</v>
      </c>
      <c r="J1717" s="1077">
        <v>1.5</v>
      </c>
      <c r="K1717" s="1077" t="s">
        <v>5791</v>
      </c>
      <c r="L1717" s="1077" t="s">
        <v>2104</v>
      </c>
      <c r="M1717" s="1077">
        <v>149</v>
      </c>
      <c r="N1717" s="1077" t="s">
        <v>945</v>
      </c>
      <c r="O1717" s="1077">
        <v>3.7250000000000001</v>
      </c>
      <c r="P1717" s="1077">
        <v>2.98</v>
      </c>
      <c r="Q1717" s="1077">
        <v>4</v>
      </c>
      <c r="R1717" s="1077">
        <v>21.8</v>
      </c>
      <c r="T1717" s="1077">
        <v>22.6</v>
      </c>
      <c r="U1717" s="1077">
        <v>3.6</v>
      </c>
      <c r="V1717" s="1077" t="s">
        <v>2520</v>
      </c>
      <c r="W1717" s="1077">
        <v>120</v>
      </c>
      <c r="X1717" s="1077">
        <v>70</v>
      </c>
      <c r="Y1717" s="1077">
        <v>1.5</v>
      </c>
      <c r="Z1717" s="1077" t="s">
        <v>648</v>
      </c>
      <c r="AA1717" s="1077" t="s">
        <v>4367</v>
      </c>
      <c r="AH1717" s="1077" t="s">
        <v>646</v>
      </c>
      <c r="AM1717" s="1078" t="s">
        <v>12441</v>
      </c>
      <c r="AN1717" s="1078" t="s">
        <v>12442</v>
      </c>
      <c r="AO1717" s="1078">
        <f t="shared" si="214"/>
        <v>600</v>
      </c>
      <c r="AP1717" s="1078">
        <f t="shared" si="215"/>
        <v>1.7350000000000001</v>
      </c>
      <c r="AQ1717" s="1078" t="str">
        <f t="shared" si="216"/>
        <v>1-4-1S85°Z+S</v>
      </c>
      <c r="AR1717" s="1078" t="str">
        <f t="shared" si="217"/>
        <v>NA</v>
      </c>
      <c r="AS1717" s="1078" t="str">
        <f t="shared" si="218"/>
        <v>180/OFF</v>
      </c>
      <c r="AT1717" s="1078" t="str">
        <f t="shared" si="219"/>
        <v>1-4-1S85°Z+S</v>
      </c>
      <c r="AU1717" s="1078" t="s">
        <v>15547</v>
      </c>
      <c r="AV1717" s="1078" t="str">
        <f t="shared" si="212"/>
        <v>111.8.11</v>
      </c>
      <c r="AW1717" s="1344">
        <f t="shared" si="213"/>
        <v>44784</v>
      </c>
    </row>
    <row r="1718" spans="1:49">
      <c r="A1718" s="1077" t="s">
        <v>5792</v>
      </c>
      <c r="B1718" s="1077" t="s">
        <v>4767</v>
      </c>
      <c r="C1718" s="1077">
        <v>600</v>
      </c>
      <c r="D1718" s="1077">
        <v>1.72</v>
      </c>
      <c r="E1718" s="1077" t="s">
        <v>15109</v>
      </c>
      <c r="F1718" s="1077" t="s">
        <v>648</v>
      </c>
      <c r="G1718" s="1077">
        <v>5</v>
      </c>
      <c r="H1718" s="1077" t="s">
        <v>1188</v>
      </c>
      <c r="I1718" s="1077" t="s">
        <v>126</v>
      </c>
      <c r="J1718" s="1077">
        <v>1.5</v>
      </c>
      <c r="K1718" s="1077" t="s">
        <v>5793</v>
      </c>
      <c r="L1718" s="1077" t="s">
        <v>1776</v>
      </c>
      <c r="M1718" s="1077">
        <v>148.19999999999999</v>
      </c>
      <c r="N1718" s="1077" t="s">
        <v>945</v>
      </c>
      <c r="O1718" s="1077">
        <v>3.7050000000000001</v>
      </c>
      <c r="P1718" s="1077">
        <v>2.964</v>
      </c>
      <c r="Q1718" s="1077">
        <v>4</v>
      </c>
      <c r="R1718" s="1077">
        <v>20.8</v>
      </c>
      <c r="T1718" s="1077">
        <v>19.399999999999999</v>
      </c>
      <c r="U1718" s="1077">
        <v>3.6</v>
      </c>
      <c r="V1718" s="1077" t="s">
        <v>2520</v>
      </c>
      <c r="W1718" s="1077">
        <v>120</v>
      </c>
      <c r="X1718" s="1077">
        <v>80</v>
      </c>
      <c r="Y1718" s="1077">
        <v>1.5</v>
      </c>
      <c r="Z1718" s="1077" t="s">
        <v>648</v>
      </c>
      <c r="AA1718" s="1077" t="s">
        <v>5794</v>
      </c>
      <c r="AH1718" s="1077" t="s">
        <v>5795</v>
      </c>
      <c r="AM1718" s="1078" t="s">
        <v>12443</v>
      </c>
      <c r="AN1718" s="1078" t="s">
        <v>12444</v>
      </c>
      <c r="AO1718" s="1078">
        <f t="shared" si="214"/>
        <v>600</v>
      </c>
      <c r="AP1718" s="1078">
        <f t="shared" si="215"/>
        <v>1.72</v>
      </c>
      <c r="AQ1718" s="1078" t="str">
        <f t="shared" si="216"/>
        <v>1-5-1S85°Z+S</v>
      </c>
      <c r="AR1718" s="1078" t="str">
        <f t="shared" si="217"/>
        <v>NA</v>
      </c>
      <c r="AS1718" s="1078" t="str">
        <f t="shared" si="218"/>
        <v>177/OFF</v>
      </c>
      <c r="AT1718" s="1078" t="str">
        <f t="shared" si="219"/>
        <v>1-5-1S85°Z+S</v>
      </c>
      <c r="AU1718" s="1078" t="s">
        <v>15547</v>
      </c>
      <c r="AV1718" s="1078" t="str">
        <f t="shared" si="212"/>
        <v>111.9.8</v>
      </c>
      <c r="AW1718" s="1344">
        <f t="shared" si="213"/>
        <v>44812</v>
      </c>
    </row>
    <row r="1719" spans="1:49">
      <c r="A1719" s="1077" t="s">
        <v>5796</v>
      </c>
      <c r="B1719" s="1077" t="s">
        <v>617</v>
      </c>
      <c r="C1719" s="1077">
        <v>600</v>
      </c>
      <c r="D1719" s="1077">
        <v>1.76</v>
      </c>
      <c r="E1719" s="1077" t="s">
        <v>15094</v>
      </c>
      <c r="F1719" s="1077" t="s">
        <v>984</v>
      </c>
      <c r="G1719" s="1077">
        <v>5</v>
      </c>
      <c r="H1719" s="1077" t="s">
        <v>955</v>
      </c>
      <c r="I1719" s="1077" t="s">
        <v>126</v>
      </c>
      <c r="J1719" s="1077">
        <v>2.2000000000000002</v>
      </c>
      <c r="K1719" s="1077" t="s">
        <v>5797</v>
      </c>
      <c r="L1719" s="1077" t="s">
        <v>4854</v>
      </c>
      <c r="M1719" s="1077">
        <v>150.30000000000001</v>
      </c>
      <c r="N1719" s="1077" t="s">
        <v>945</v>
      </c>
      <c r="O1719" s="1077">
        <v>3.7575000000000003</v>
      </c>
      <c r="P1719" s="1077">
        <v>3.0060000000000002</v>
      </c>
      <c r="Q1719" s="1077">
        <v>3</v>
      </c>
      <c r="R1719" s="1077" t="s">
        <v>5798</v>
      </c>
      <c r="T1719" s="1077">
        <v>13</v>
      </c>
      <c r="U1719" s="1077">
        <v>7</v>
      </c>
      <c r="V1719" s="1077" t="s">
        <v>648</v>
      </c>
      <c r="W1719" s="1077">
        <v>115</v>
      </c>
      <c r="X1719" s="1077">
        <v>50</v>
      </c>
      <c r="Y1719" s="1077">
        <v>1.7</v>
      </c>
      <c r="Z1719" s="1077">
        <v>6.5</v>
      </c>
      <c r="AA1719" s="1077" t="s">
        <v>5799</v>
      </c>
      <c r="AH1719" s="1077" t="s">
        <v>990</v>
      </c>
      <c r="AM1719" s="1078" t="s">
        <v>12445</v>
      </c>
      <c r="AN1719" s="1078" t="s">
        <v>12446</v>
      </c>
      <c r="AO1719" s="1078">
        <f t="shared" si="214"/>
        <v>600</v>
      </c>
      <c r="AP1719" s="1078">
        <f t="shared" si="215"/>
        <v>1.76</v>
      </c>
      <c r="AQ1719" s="1078" t="str">
        <f t="shared" si="216"/>
        <v>1-5-1S91°</v>
      </c>
      <c r="AR1719" s="1078" t="str">
        <f t="shared" si="217"/>
        <v>30</v>
      </c>
      <c r="AS1719" s="1078" t="str">
        <f t="shared" si="218"/>
        <v>260/260/OFF</v>
      </c>
      <c r="AT1719" s="1078" t="str">
        <f t="shared" si="219"/>
        <v>1-5-1S91°</v>
      </c>
      <c r="AV1719" s="1078" t="str">
        <f t="shared" si="212"/>
        <v>111.9.12</v>
      </c>
      <c r="AW1719" s="1344">
        <f t="shared" si="213"/>
        <v>44816</v>
      </c>
    </row>
    <row r="1720" spans="1:49">
      <c r="A1720" s="1077" t="s">
        <v>5800</v>
      </c>
      <c r="B1720" s="1077" t="s">
        <v>4927</v>
      </c>
      <c r="C1720" s="1077">
        <v>550</v>
      </c>
      <c r="D1720" s="1077">
        <v>1.7</v>
      </c>
      <c r="E1720" s="1077" t="s">
        <v>15116</v>
      </c>
      <c r="F1720" s="1077" t="s">
        <v>1514</v>
      </c>
      <c r="G1720" s="1077">
        <v>4</v>
      </c>
      <c r="H1720" s="1077" t="s">
        <v>1226</v>
      </c>
      <c r="I1720" s="1077" t="s">
        <v>126</v>
      </c>
      <c r="J1720" s="1077">
        <v>1.4</v>
      </c>
      <c r="K1720" s="1077" t="s">
        <v>5801</v>
      </c>
      <c r="L1720" s="1077" t="s">
        <v>1763</v>
      </c>
      <c r="M1720" s="1077">
        <v>159.5</v>
      </c>
      <c r="N1720" s="1077" t="s">
        <v>945</v>
      </c>
      <c r="O1720" s="1077">
        <v>3.9875000000000003</v>
      </c>
      <c r="P1720" s="1077">
        <v>3.19</v>
      </c>
      <c r="Q1720" s="1077">
        <v>3</v>
      </c>
      <c r="R1720" s="1077">
        <v>33</v>
      </c>
      <c r="T1720" s="1077">
        <v>11.7</v>
      </c>
      <c r="U1720" s="1077">
        <v>6.3</v>
      </c>
      <c r="V1720" s="1077" t="s">
        <v>648</v>
      </c>
      <c r="W1720" s="1077">
        <v>135</v>
      </c>
      <c r="X1720" s="1077">
        <v>85</v>
      </c>
      <c r="Y1720" s="1077">
        <v>1.4</v>
      </c>
      <c r="Z1720" s="1077" t="s">
        <v>648</v>
      </c>
      <c r="AA1720" s="1077" t="s">
        <v>5799</v>
      </c>
      <c r="AH1720" s="1077" t="s">
        <v>889</v>
      </c>
      <c r="AM1720" s="1078" t="s">
        <v>12447</v>
      </c>
      <c r="AN1720" s="1078" t="s">
        <v>12448</v>
      </c>
      <c r="AO1720" s="1078">
        <f t="shared" si="214"/>
        <v>550</v>
      </c>
      <c r="AP1720" s="1078">
        <f t="shared" si="215"/>
        <v>1.7</v>
      </c>
      <c r="AQ1720" s="1078" t="str">
        <f t="shared" si="216"/>
        <v>1-5-1S83°Z+S</v>
      </c>
      <c r="AR1720" s="1078" t="str">
        <f t="shared" si="217"/>
        <v>32</v>
      </c>
      <c r="AS1720" s="1078" t="str">
        <f t="shared" si="218"/>
        <v>230/230/OFF</v>
      </c>
      <c r="AT1720" s="1078" t="str">
        <f t="shared" si="219"/>
        <v>1-5-1S83°Z+S</v>
      </c>
      <c r="AU1720" s="1078" t="s">
        <v>15547</v>
      </c>
      <c r="AV1720" s="1078" t="str">
        <f t="shared" si="212"/>
        <v>111.9.12</v>
      </c>
      <c r="AW1720" s="1344">
        <f t="shared" si="213"/>
        <v>44816</v>
      </c>
    </row>
    <row r="1721" spans="1:49">
      <c r="A1721" s="1077" t="s">
        <v>5802</v>
      </c>
      <c r="B1721" s="1077" t="s">
        <v>4860</v>
      </c>
      <c r="C1721" s="1077">
        <v>500</v>
      </c>
      <c r="D1721" s="1077">
        <v>1.77</v>
      </c>
      <c r="E1721" s="1077" t="s">
        <v>15104</v>
      </c>
      <c r="F1721" s="1077" t="s">
        <v>648</v>
      </c>
      <c r="G1721" s="1077">
        <v>5</v>
      </c>
      <c r="H1721" s="1077" t="s">
        <v>4776</v>
      </c>
      <c r="I1721" s="1077" t="s">
        <v>460</v>
      </c>
      <c r="J1721" s="1077">
        <v>1.7</v>
      </c>
      <c r="K1721" s="1077" t="s">
        <v>5803</v>
      </c>
      <c r="L1721" s="1077" t="s">
        <v>4864</v>
      </c>
      <c r="M1721" s="1077">
        <v>149.5</v>
      </c>
      <c r="N1721" s="1077" t="s">
        <v>945</v>
      </c>
      <c r="O1721" s="1077">
        <v>3.7375000000000003</v>
      </c>
      <c r="P1721" s="1077">
        <v>2.99</v>
      </c>
      <c r="Q1721" s="1077">
        <v>4</v>
      </c>
      <c r="R1721" s="1077">
        <v>21</v>
      </c>
      <c r="T1721" s="1077">
        <v>37</v>
      </c>
      <c r="U1721" s="1077">
        <v>3.7</v>
      </c>
      <c r="V1721" s="1077" t="s">
        <v>648</v>
      </c>
      <c r="W1721" s="1077">
        <v>110</v>
      </c>
      <c r="X1721" s="1077">
        <v>40</v>
      </c>
      <c r="Y1721" s="1077">
        <v>2.2000000000000002</v>
      </c>
      <c r="Z1721" s="1077" t="s">
        <v>648</v>
      </c>
      <c r="AA1721" s="1077" t="s">
        <v>5799</v>
      </c>
      <c r="AH1721" s="1077" t="s">
        <v>1486</v>
      </c>
      <c r="AM1721" s="1078" t="s">
        <v>12449</v>
      </c>
      <c r="AN1721" s="1078" t="s">
        <v>12450</v>
      </c>
      <c r="AO1721" s="1078">
        <f t="shared" si="214"/>
        <v>500</v>
      </c>
      <c r="AP1721" s="1078">
        <f t="shared" si="215"/>
        <v>1.77</v>
      </c>
      <c r="AQ1721" s="1078" t="str">
        <f t="shared" si="216"/>
        <v>1-4-1S85°Z+S</v>
      </c>
      <c r="AR1721" s="1078" t="str">
        <f t="shared" si="217"/>
        <v>NA</v>
      </c>
      <c r="AS1721" s="1078" t="str">
        <f t="shared" si="218"/>
        <v>178/OFF</v>
      </c>
      <c r="AT1721" s="1078" t="str">
        <f t="shared" si="219"/>
        <v>1-4-1S85°Z+S</v>
      </c>
      <c r="AU1721" s="1078" t="s">
        <v>15547</v>
      </c>
      <c r="AV1721" s="1078" t="str">
        <f t="shared" si="212"/>
        <v>111.9.12</v>
      </c>
      <c r="AW1721" s="1344">
        <f t="shared" si="213"/>
        <v>44816</v>
      </c>
    </row>
    <row r="1722" spans="1:49">
      <c r="A1722" s="1077" t="s">
        <v>5804</v>
      </c>
      <c r="B1722" s="1077" t="s">
        <v>847</v>
      </c>
      <c r="C1722" s="1077">
        <v>450</v>
      </c>
      <c r="D1722" s="1077">
        <v>1.78</v>
      </c>
      <c r="E1722" s="1077" t="s">
        <v>15119</v>
      </c>
      <c r="F1722" s="1077" t="s">
        <v>975</v>
      </c>
      <c r="G1722" s="1077">
        <v>5</v>
      </c>
      <c r="H1722" s="1077" t="s">
        <v>5639</v>
      </c>
      <c r="I1722" s="1077" t="s">
        <v>126</v>
      </c>
      <c r="J1722" s="1077">
        <v>2.2000000000000002</v>
      </c>
      <c r="K1722" s="1077" t="s">
        <v>5741</v>
      </c>
      <c r="L1722" s="1077" t="s">
        <v>5037</v>
      </c>
      <c r="M1722" s="1077">
        <v>150</v>
      </c>
      <c r="N1722" s="1077" t="s">
        <v>945</v>
      </c>
      <c r="O1722" s="1077">
        <v>3.75</v>
      </c>
      <c r="P1722" s="1077">
        <v>3</v>
      </c>
      <c r="Q1722" s="1077">
        <v>3.5</v>
      </c>
      <c r="R1722" s="1077">
        <v>21.8</v>
      </c>
      <c r="T1722" s="1077">
        <v>19.5</v>
      </c>
      <c r="U1722" s="1077">
        <v>2.5</v>
      </c>
      <c r="V1722" s="1077" t="s">
        <v>648</v>
      </c>
      <c r="W1722" s="1077">
        <v>110</v>
      </c>
      <c r="X1722" s="1077">
        <v>60</v>
      </c>
      <c r="Y1722" s="1077">
        <v>2.1</v>
      </c>
      <c r="Z1722" s="1077">
        <v>5</v>
      </c>
      <c r="AA1722" s="1077" t="s">
        <v>5805</v>
      </c>
      <c r="AH1722" s="1077" t="s">
        <v>456</v>
      </c>
      <c r="AM1722" s="1078" t="s">
        <v>12451</v>
      </c>
      <c r="AN1722" s="1078" t="s">
        <v>12452</v>
      </c>
      <c r="AO1722" s="1078">
        <f t="shared" si="214"/>
        <v>450</v>
      </c>
      <c r="AP1722" s="1078">
        <f t="shared" si="215"/>
        <v>1.78</v>
      </c>
      <c r="AQ1722" s="1078" t="str">
        <f t="shared" si="216"/>
        <v>1-5-1S87</v>
      </c>
      <c r="AR1722" s="1078" t="str">
        <f t="shared" si="217"/>
        <v>31.5</v>
      </c>
      <c r="AS1722" s="1078" t="str">
        <f t="shared" si="218"/>
        <v>300/300/145</v>
      </c>
      <c r="AT1722" s="1078" t="str">
        <f t="shared" si="219"/>
        <v>1-5-1S87</v>
      </c>
      <c r="AV1722" s="1078" t="str">
        <f t="shared" si="212"/>
        <v>111.9.13</v>
      </c>
      <c r="AW1722" s="1344">
        <f t="shared" si="213"/>
        <v>44817</v>
      </c>
    </row>
    <row r="1723" spans="1:49">
      <c r="A1723" s="1077" t="s">
        <v>5806</v>
      </c>
      <c r="B1723" s="1077" t="s">
        <v>5654</v>
      </c>
      <c r="C1723" s="1077">
        <v>550</v>
      </c>
      <c r="D1723" s="1077">
        <v>1.79</v>
      </c>
      <c r="E1723" s="1077" t="s">
        <v>15094</v>
      </c>
      <c r="F1723" s="1077" t="s">
        <v>2234</v>
      </c>
      <c r="G1723" s="1077">
        <v>5</v>
      </c>
      <c r="H1723" s="1077" t="s">
        <v>5027</v>
      </c>
      <c r="I1723" s="1077" t="s">
        <v>126</v>
      </c>
      <c r="J1723" s="1077">
        <v>0.5</v>
      </c>
      <c r="K1723" s="1077" t="s">
        <v>5807</v>
      </c>
      <c r="L1723" s="1077" t="s">
        <v>5808</v>
      </c>
      <c r="M1723" s="1077">
        <v>151.5</v>
      </c>
      <c r="N1723" s="1077" t="s">
        <v>945</v>
      </c>
      <c r="O1723" s="1077">
        <v>3.7875000000000001</v>
      </c>
      <c r="P1723" s="1077">
        <v>3.0300000000000002</v>
      </c>
      <c r="Q1723" s="1077">
        <v>4</v>
      </c>
      <c r="R1723" s="1077" t="s">
        <v>5809</v>
      </c>
      <c r="T1723" s="1077">
        <v>22.2</v>
      </c>
      <c r="U1723" s="1077">
        <v>2.6</v>
      </c>
      <c r="V1723" s="1077" t="s">
        <v>648</v>
      </c>
      <c r="W1723" s="1077" t="s">
        <v>5657</v>
      </c>
      <c r="X1723" s="1077">
        <v>0</v>
      </c>
      <c r="Y1723" s="1077">
        <v>1.4</v>
      </c>
      <c r="Z1723" s="1077">
        <v>6</v>
      </c>
      <c r="AA1723" s="1077" t="s">
        <v>5805</v>
      </c>
      <c r="AH1723" s="1077" t="s">
        <v>722</v>
      </c>
      <c r="AM1723" s="1078" t="s">
        <v>12453</v>
      </c>
      <c r="AN1723" s="1078" t="s">
        <v>12454</v>
      </c>
      <c r="AO1723" s="1078">
        <f t="shared" si="214"/>
        <v>550</v>
      </c>
      <c r="AP1723" s="1078">
        <f t="shared" si="215"/>
        <v>1.79</v>
      </c>
      <c r="AQ1723" s="1078" t="str">
        <f t="shared" si="216"/>
        <v>1-5-1S91°</v>
      </c>
      <c r="AR1723" s="1078" t="str">
        <f t="shared" si="217"/>
        <v>33.5</v>
      </c>
      <c r="AS1723" s="1078" t="str">
        <f t="shared" si="218"/>
        <v>320/320/140</v>
      </c>
      <c r="AT1723" s="1078" t="str">
        <f t="shared" si="219"/>
        <v>1-5-1S91°</v>
      </c>
      <c r="AV1723" s="1078" t="str">
        <f t="shared" si="212"/>
        <v>111.9.13</v>
      </c>
      <c r="AW1723" s="1344">
        <f t="shared" si="213"/>
        <v>44817</v>
      </c>
    </row>
    <row r="1724" spans="1:49">
      <c r="A1724" s="1077" t="s">
        <v>5810</v>
      </c>
      <c r="B1724" s="1077" t="s">
        <v>847</v>
      </c>
      <c r="C1724" s="1077">
        <v>450</v>
      </c>
      <c r="D1724" s="1077">
        <v>1.78</v>
      </c>
      <c r="E1724" s="1077" t="s">
        <v>15102</v>
      </c>
      <c r="F1724" s="1077" t="s">
        <v>954</v>
      </c>
      <c r="G1724" s="1077">
        <v>4</v>
      </c>
      <c r="H1724" s="1077" t="s">
        <v>5732</v>
      </c>
      <c r="I1724" s="1077" t="s">
        <v>648</v>
      </c>
      <c r="J1724" s="1077">
        <v>0</v>
      </c>
      <c r="K1724" s="1077" t="s">
        <v>5811</v>
      </c>
      <c r="L1724" s="1077" t="s">
        <v>5037</v>
      </c>
      <c r="M1724" s="1077">
        <v>150</v>
      </c>
      <c r="N1724" s="1077" t="s">
        <v>945</v>
      </c>
      <c r="O1724" s="1077">
        <v>3.75</v>
      </c>
      <c r="P1724" s="1077">
        <v>3</v>
      </c>
      <c r="Q1724" s="1077">
        <v>3.5</v>
      </c>
      <c r="R1724" s="1077">
        <v>21.8</v>
      </c>
      <c r="T1724" s="1077">
        <v>19.5</v>
      </c>
      <c r="U1724" s="1077">
        <v>1.8</v>
      </c>
      <c r="V1724" s="1077" t="s">
        <v>648</v>
      </c>
      <c r="W1724" s="1077" t="s">
        <v>648</v>
      </c>
      <c r="X1724" s="1077" t="s">
        <v>648</v>
      </c>
      <c r="Y1724" s="1077">
        <v>2.1</v>
      </c>
      <c r="Z1724" s="1077">
        <v>5</v>
      </c>
      <c r="AA1724" s="1077" t="s">
        <v>2377</v>
      </c>
      <c r="AH1724" s="1077" t="s">
        <v>681</v>
      </c>
      <c r="AM1724" s="1078" t="s">
        <v>12455</v>
      </c>
      <c r="AN1724" s="1078" t="s">
        <v>12456</v>
      </c>
      <c r="AO1724" s="1078">
        <f t="shared" si="214"/>
        <v>450</v>
      </c>
      <c r="AP1724" s="1078">
        <f t="shared" si="215"/>
        <v>1.78</v>
      </c>
      <c r="AQ1724" s="1078" t="str">
        <f t="shared" si="216"/>
        <v>2-6-1S83°</v>
      </c>
      <c r="AR1724" s="1078" t="str">
        <f t="shared" si="217"/>
        <v>31</v>
      </c>
      <c r="AS1724" s="1078" t="str">
        <f t="shared" si="218"/>
        <v>183/170</v>
      </c>
      <c r="AT1724" s="1078" t="str">
        <f t="shared" si="219"/>
        <v>2-6-1S83°</v>
      </c>
      <c r="AV1724" s="1078" t="str">
        <f t="shared" si="212"/>
        <v>111.9.15</v>
      </c>
      <c r="AW1724" s="1344">
        <f t="shared" si="213"/>
        <v>44819</v>
      </c>
    </row>
    <row r="1725" spans="1:49">
      <c r="A1725" s="1077" t="s">
        <v>5812</v>
      </c>
      <c r="B1725" s="1077" t="s">
        <v>5148</v>
      </c>
      <c r="C1725" s="1077">
        <v>650</v>
      </c>
      <c r="D1725" s="1077">
        <v>1.7350000000000001</v>
      </c>
      <c r="E1725" s="1077" t="s">
        <v>15102</v>
      </c>
      <c r="F1725" s="1077" t="s">
        <v>5813</v>
      </c>
      <c r="G1725" s="1077">
        <v>5</v>
      </c>
      <c r="H1725" s="1077" t="s">
        <v>5150</v>
      </c>
      <c r="I1725" s="1077" t="s">
        <v>1112</v>
      </c>
      <c r="J1725" s="1077">
        <v>0.8</v>
      </c>
      <c r="K1725" s="1077" t="s">
        <v>5548</v>
      </c>
      <c r="L1725" s="1077" t="s">
        <v>5152</v>
      </c>
      <c r="M1725" s="1077">
        <v>149.9</v>
      </c>
      <c r="N1725" s="1077" t="s">
        <v>945</v>
      </c>
      <c r="O1725" s="1077">
        <v>3.7475000000000005</v>
      </c>
      <c r="P1725" s="1077">
        <v>2.9980000000000002</v>
      </c>
      <c r="Q1725" s="1077">
        <v>4</v>
      </c>
      <c r="R1725" s="1077">
        <v>22</v>
      </c>
      <c r="T1725" s="1077">
        <v>20</v>
      </c>
      <c r="U1725" s="1077">
        <v>2.6</v>
      </c>
      <c r="V1725" s="1077" t="s">
        <v>648</v>
      </c>
      <c r="W1725" s="1077">
        <v>35</v>
      </c>
      <c r="X1725" s="1077">
        <v>10</v>
      </c>
      <c r="Y1725" s="1077">
        <v>1</v>
      </c>
      <c r="Z1725" s="1077">
        <v>6</v>
      </c>
      <c r="AA1725" s="1077" t="s">
        <v>2374</v>
      </c>
      <c r="AH1725" s="1077" t="s">
        <v>1417</v>
      </c>
      <c r="AM1725" s="1078" t="s">
        <v>12457</v>
      </c>
      <c r="AN1725" s="1078" t="s">
        <v>12458</v>
      </c>
      <c r="AO1725" s="1078">
        <f t="shared" si="214"/>
        <v>650</v>
      </c>
      <c r="AP1725" s="1078">
        <f t="shared" si="215"/>
        <v>1.7350000000000001</v>
      </c>
      <c r="AQ1725" s="1078" t="str">
        <f t="shared" si="216"/>
        <v>2-6-1S83°</v>
      </c>
      <c r="AR1725" s="1078" t="str">
        <f t="shared" si="217"/>
        <v>29.4</v>
      </c>
      <c r="AS1725" s="1078" t="str">
        <f t="shared" si="218"/>
        <v>175/175</v>
      </c>
      <c r="AT1725" s="1078" t="str">
        <f t="shared" si="219"/>
        <v>2-6-1S83°</v>
      </c>
      <c r="AV1725" s="1078" t="str">
        <f t="shared" si="212"/>
        <v>111.9.16</v>
      </c>
      <c r="AW1725" s="1344">
        <f t="shared" si="213"/>
        <v>44820</v>
      </c>
    </row>
    <row r="1726" spans="1:49">
      <c r="A1726" s="1077" t="s">
        <v>5814</v>
      </c>
      <c r="B1726" s="1077" t="s">
        <v>5410</v>
      </c>
      <c r="C1726" s="1077">
        <v>500</v>
      </c>
      <c r="D1726" s="1077">
        <v>1.74</v>
      </c>
      <c r="E1726" s="1077" t="s">
        <v>15116</v>
      </c>
      <c r="F1726" s="1077" t="s">
        <v>984</v>
      </c>
      <c r="G1726" s="1077">
        <v>2</v>
      </c>
      <c r="H1726" s="1077" t="s">
        <v>1061</v>
      </c>
      <c r="I1726" s="1077" t="s">
        <v>126</v>
      </c>
      <c r="J1726" s="1077">
        <v>0.4</v>
      </c>
      <c r="K1726" s="1077" t="s">
        <v>2338</v>
      </c>
      <c r="L1726" s="1077" t="s">
        <v>1825</v>
      </c>
      <c r="M1726" s="1077">
        <v>150.1</v>
      </c>
      <c r="N1726" s="1077" t="s">
        <v>945</v>
      </c>
      <c r="O1726" s="1077">
        <v>3.7524999999999999</v>
      </c>
      <c r="P1726" s="1077">
        <v>3.0019999999999998</v>
      </c>
      <c r="Q1726" s="1077">
        <v>3</v>
      </c>
      <c r="R1726" s="1077">
        <v>20.7</v>
      </c>
      <c r="T1726" s="1077">
        <v>32.6</v>
      </c>
      <c r="U1726" s="1077">
        <v>3</v>
      </c>
      <c r="V1726" s="1077" t="s">
        <v>648</v>
      </c>
      <c r="W1726" s="1077" t="s">
        <v>648</v>
      </c>
      <c r="X1726" s="1077" t="s">
        <v>648</v>
      </c>
      <c r="Y1726" s="1077">
        <v>1.7</v>
      </c>
      <c r="Z1726" s="1077" t="s">
        <v>648</v>
      </c>
      <c r="AA1726" s="1077" t="s">
        <v>5815</v>
      </c>
      <c r="AH1726" s="1077" t="s">
        <v>831</v>
      </c>
      <c r="AM1726" s="1078" t="s">
        <v>12459</v>
      </c>
      <c r="AN1726" s="1078" t="s">
        <v>12460</v>
      </c>
      <c r="AO1726" s="1078">
        <f t="shared" si="214"/>
        <v>500</v>
      </c>
      <c r="AP1726" s="1078">
        <f t="shared" si="215"/>
        <v>1.74</v>
      </c>
      <c r="AQ1726" s="1078" t="str">
        <f t="shared" si="216"/>
        <v>1-5-1S83°Z+S</v>
      </c>
      <c r="AR1726" s="1078" t="str">
        <f t="shared" si="217"/>
        <v>30</v>
      </c>
      <c r="AS1726" s="1078" t="str">
        <f t="shared" si="218"/>
        <v>255/255/OFF</v>
      </c>
      <c r="AT1726" s="1078" t="str">
        <f t="shared" si="219"/>
        <v>1-5-1S83°Z+S</v>
      </c>
      <c r="AU1726" s="1078" t="s">
        <v>15547</v>
      </c>
      <c r="AV1726" s="1078" t="str">
        <f t="shared" si="212"/>
        <v>111.9.30</v>
      </c>
      <c r="AW1726" s="1344">
        <f t="shared" si="213"/>
        <v>44834</v>
      </c>
    </row>
    <row r="1727" spans="1:49">
      <c r="A1727" s="1077" t="s">
        <v>5816</v>
      </c>
      <c r="B1727" s="1077" t="s">
        <v>5565</v>
      </c>
      <c r="C1727" s="1077">
        <v>500</v>
      </c>
      <c r="D1727" s="1077">
        <v>1.72</v>
      </c>
      <c r="E1727" s="1077" t="s">
        <v>15104</v>
      </c>
      <c r="F1727" s="1077" t="s">
        <v>648</v>
      </c>
      <c r="G1727" s="1077">
        <v>5</v>
      </c>
      <c r="H1727" s="1077" t="s">
        <v>3349</v>
      </c>
      <c r="I1727" s="1077" t="s">
        <v>126</v>
      </c>
      <c r="J1727" s="1077">
        <v>1</v>
      </c>
      <c r="K1727" s="1077" t="s">
        <v>5817</v>
      </c>
      <c r="L1727" s="1077" t="s">
        <v>3572</v>
      </c>
      <c r="M1727" s="1077">
        <v>153</v>
      </c>
      <c r="N1727" s="1077" t="s">
        <v>945</v>
      </c>
      <c r="O1727" s="1077">
        <v>3.8250000000000002</v>
      </c>
      <c r="P1727" s="1077">
        <v>3.06</v>
      </c>
      <c r="Q1727" s="1077">
        <v>4</v>
      </c>
      <c r="R1727" s="1077">
        <v>18</v>
      </c>
      <c r="T1727" s="1077">
        <v>14</v>
      </c>
      <c r="U1727" s="1077">
        <v>4.5</v>
      </c>
      <c r="V1727" s="1077" t="s">
        <v>648</v>
      </c>
      <c r="W1727" s="1077">
        <v>110</v>
      </c>
      <c r="X1727" s="1077">
        <v>60</v>
      </c>
      <c r="Y1727" s="1077">
        <v>1.8</v>
      </c>
      <c r="Z1727" s="1077" t="s">
        <v>648</v>
      </c>
      <c r="AA1727" s="1077" t="s">
        <v>5818</v>
      </c>
      <c r="AB1727" s="1077" t="s">
        <v>1520</v>
      </c>
      <c r="AH1727" s="1077" t="s">
        <v>1360</v>
      </c>
      <c r="AM1727" s="1078" t="s">
        <v>12461</v>
      </c>
      <c r="AN1727" s="1078" t="s">
        <v>12462</v>
      </c>
      <c r="AO1727" s="1078">
        <f t="shared" si="214"/>
        <v>500</v>
      </c>
      <c r="AP1727" s="1078">
        <f t="shared" si="215"/>
        <v>1.72</v>
      </c>
      <c r="AQ1727" s="1078" t="str">
        <f t="shared" si="216"/>
        <v>1-4-1S85°Z+S</v>
      </c>
      <c r="AR1727" s="1078" t="str">
        <f t="shared" si="217"/>
        <v>NA</v>
      </c>
      <c r="AS1727" s="1078" t="str">
        <f t="shared" si="218"/>
        <v>164/OFF</v>
      </c>
      <c r="AT1727" s="1078" t="str">
        <f t="shared" si="219"/>
        <v>1-4-1S85°Z+S</v>
      </c>
      <c r="AU1727" s="1078" t="s">
        <v>15547</v>
      </c>
      <c r="AV1727" s="1078" t="str">
        <f t="shared" si="212"/>
        <v>111.9.26</v>
      </c>
      <c r="AW1727" s="1344">
        <f t="shared" si="213"/>
        <v>44830</v>
      </c>
    </row>
    <row r="1728" spans="1:49">
      <c r="A1728" s="1077" t="s">
        <v>5819</v>
      </c>
      <c r="B1728" s="1077" t="s">
        <v>5148</v>
      </c>
      <c r="C1728" s="1077">
        <v>650</v>
      </c>
      <c r="D1728" s="1077">
        <v>1.7350000000000001</v>
      </c>
      <c r="E1728" s="1077" t="s">
        <v>15102</v>
      </c>
      <c r="F1728" s="1077" t="s">
        <v>1689</v>
      </c>
      <c r="G1728" s="1077">
        <v>5</v>
      </c>
      <c r="H1728" s="1077" t="s">
        <v>5309</v>
      </c>
      <c r="I1728" s="1077" t="s">
        <v>648</v>
      </c>
      <c r="J1728" s="1077">
        <v>0</v>
      </c>
      <c r="K1728" s="1077" t="s">
        <v>5548</v>
      </c>
      <c r="L1728" s="1077" t="s">
        <v>5152</v>
      </c>
      <c r="M1728" s="1077">
        <v>149.9</v>
      </c>
      <c r="N1728" s="1077" t="s">
        <v>945</v>
      </c>
      <c r="O1728" s="1077">
        <v>3.7475000000000005</v>
      </c>
      <c r="P1728" s="1077">
        <v>2.9980000000000002</v>
      </c>
      <c r="Q1728" s="1077">
        <v>4</v>
      </c>
      <c r="R1728" s="1077">
        <v>24</v>
      </c>
      <c r="T1728" s="1077">
        <v>17</v>
      </c>
      <c r="U1728" s="1077">
        <v>2.6</v>
      </c>
      <c r="V1728" s="1077" t="s">
        <v>648</v>
      </c>
      <c r="W1728" s="1077" t="s">
        <v>648</v>
      </c>
      <c r="X1728" s="1077" t="s">
        <v>648</v>
      </c>
      <c r="Y1728" s="1077">
        <v>1</v>
      </c>
      <c r="Z1728" s="1077">
        <v>5</v>
      </c>
      <c r="AA1728" s="1077" t="s">
        <v>5815</v>
      </c>
      <c r="AH1728" s="1077" t="s">
        <v>5820</v>
      </c>
      <c r="AM1728" s="1078" t="s">
        <v>12463</v>
      </c>
      <c r="AN1728" s="1078" t="s">
        <v>12464</v>
      </c>
      <c r="AO1728" s="1078">
        <f t="shared" si="214"/>
        <v>650</v>
      </c>
      <c r="AP1728" s="1078">
        <f t="shared" si="215"/>
        <v>1.7350000000000001</v>
      </c>
      <c r="AQ1728" s="1078" t="str">
        <f t="shared" si="216"/>
        <v>2-6-1S83°</v>
      </c>
      <c r="AR1728" s="1078" t="str">
        <f t="shared" si="217"/>
        <v>29.5</v>
      </c>
      <c r="AS1728" s="1078" t="str">
        <f t="shared" si="218"/>
        <v>170/178</v>
      </c>
      <c r="AT1728" s="1078" t="str">
        <f t="shared" si="219"/>
        <v>2-6-1S83°</v>
      </c>
      <c r="AV1728" s="1078" t="str">
        <f t="shared" si="212"/>
        <v>111.9.30</v>
      </c>
      <c r="AW1728" s="1344">
        <f t="shared" si="213"/>
        <v>44834</v>
      </c>
    </row>
    <row r="1729" spans="1:49">
      <c r="A1729" s="1077" t="s">
        <v>5821</v>
      </c>
      <c r="B1729" s="1077" t="s">
        <v>210</v>
      </c>
      <c r="C1729" s="1077" t="s">
        <v>5822</v>
      </c>
      <c r="D1729" s="1077">
        <v>1.74</v>
      </c>
      <c r="E1729" s="1077" t="s">
        <v>15094</v>
      </c>
      <c r="F1729" s="1077" t="s">
        <v>984</v>
      </c>
      <c r="G1729" s="1077">
        <v>5</v>
      </c>
      <c r="H1729" s="1077" t="s">
        <v>5480</v>
      </c>
      <c r="I1729" s="1077" t="s">
        <v>126</v>
      </c>
      <c r="J1729" s="1077">
        <v>0.7</v>
      </c>
      <c r="K1729" s="1077" t="s">
        <v>5632</v>
      </c>
      <c r="L1729" s="1077" t="s">
        <v>4666</v>
      </c>
      <c r="M1729" s="1077">
        <v>151.5</v>
      </c>
      <c r="N1729" s="1077" t="s">
        <v>945</v>
      </c>
      <c r="O1729" s="1077">
        <v>3.7875000000000001</v>
      </c>
      <c r="P1729" s="1077">
        <v>3.0300000000000002</v>
      </c>
      <c r="Q1729" s="1077">
        <v>4</v>
      </c>
      <c r="R1729" s="1077">
        <v>19.100000000000001</v>
      </c>
      <c r="T1729" s="1077">
        <v>23.7</v>
      </c>
      <c r="U1729" s="1077">
        <v>3.2</v>
      </c>
      <c r="V1729" s="1077" t="s">
        <v>648</v>
      </c>
      <c r="W1729" s="1077">
        <v>35</v>
      </c>
      <c r="X1729" s="1077">
        <v>10</v>
      </c>
      <c r="Y1729" s="1077">
        <v>1</v>
      </c>
      <c r="Z1729" s="1077">
        <v>6</v>
      </c>
      <c r="AA1729" s="1077" t="s">
        <v>3192</v>
      </c>
      <c r="AH1729" s="1077" t="s">
        <v>722</v>
      </c>
      <c r="AM1729" s="1078" t="s">
        <v>12465</v>
      </c>
      <c r="AN1729" s="1078" t="s">
        <v>12466</v>
      </c>
      <c r="AO1729" s="1078" t="str">
        <f t="shared" si="214"/>
        <v>550↑600-10/14</v>
      </c>
      <c r="AP1729" s="1078">
        <f t="shared" si="215"/>
        <v>1.74</v>
      </c>
      <c r="AQ1729" s="1078" t="str">
        <f t="shared" si="216"/>
        <v>1-5-1S91°</v>
      </c>
      <c r="AR1729" s="1078" t="str">
        <f t="shared" si="217"/>
        <v>30</v>
      </c>
      <c r="AS1729" s="1078" t="str">
        <f t="shared" si="218"/>
        <v>340/300/145</v>
      </c>
      <c r="AT1729" s="1078" t="str">
        <f t="shared" si="219"/>
        <v>1-5-1S91°</v>
      </c>
      <c r="AV1729" s="1078" t="str">
        <f t="shared" si="212"/>
        <v>111.10.4</v>
      </c>
      <c r="AW1729" s="1344">
        <f t="shared" si="213"/>
        <v>44838</v>
      </c>
    </row>
    <row r="1730" spans="1:49">
      <c r="A1730" s="1077" t="s">
        <v>5823</v>
      </c>
      <c r="B1730" s="1077" t="s">
        <v>210</v>
      </c>
      <c r="C1730" s="1077">
        <v>600</v>
      </c>
      <c r="D1730" s="1077">
        <v>1.74</v>
      </c>
      <c r="E1730" s="1077" t="s">
        <v>15094</v>
      </c>
      <c r="F1730" s="1077" t="s">
        <v>984</v>
      </c>
      <c r="G1730" s="1077">
        <v>5</v>
      </c>
      <c r="H1730" s="1077" t="s">
        <v>5480</v>
      </c>
      <c r="I1730" s="1077" t="s">
        <v>126</v>
      </c>
      <c r="J1730" s="1077">
        <v>0.7</v>
      </c>
      <c r="K1730" s="1077" t="s">
        <v>5632</v>
      </c>
      <c r="L1730" s="1077" t="s">
        <v>4666</v>
      </c>
      <c r="M1730" s="1077">
        <v>151.5</v>
      </c>
      <c r="N1730" s="1077" t="s">
        <v>945</v>
      </c>
      <c r="O1730" s="1077">
        <v>3.7875000000000001</v>
      </c>
      <c r="P1730" s="1077">
        <v>3.0300000000000002</v>
      </c>
      <c r="Q1730" s="1077">
        <v>4</v>
      </c>
      <c r="R1730" s="1077">
        <v>19.100000000000001</v>
      </c>
      <c r="T1730" s="1077">
        <v>23.7</v>
      </c>
      <c r="U1730" s="1077">
        <v>3.2</v>
      </c>
      <c r="V1730" s="1077" t="s">
        <v>648</v>
      </c>
      <c r="W1730" s="1077">
        <v>35</v>
      </c>
      <c r="X1730" s="1077">
        <v>10</v>
      </c>
      <c r="Y1730" s="1077">
        <v>1</v>
      </c>
      <c r="Z1730" s="1077">
        <v>6</v>
      </c>
      <c r="AA1730" s="1077" t="s">
        <v>3198</v>
      </c>
      <c r="AH1730" s="1077" t="s">
        <v>684</v>
      </c>
      <c r="AM1730" s="1078" t="s">
        <v>12467</v>
      </c>
      <c r="AN1730" s="1078" t="s">
        <v>12468</v>
      </c>
      <c r="AO1730" s="1078">
        <f t="shared" si="214"/>
        <v>600</v>
      </c>
      <c r="AP1730" s="1078">
        <f t="shared" si="215"/>
        <v>1.74</v>
      </c>
      <c r="AQ1730" s="1078" t="str">
        <f t="shared" si="216"/>
        <v>1-5-1S91°</v>
      </c>
      <c r="AR1730" s="1078" t="str">
        <f t="shared" si="217"/>
        <v>30</v>
      </c>
      <c r="AS1730" s="1078" t="str">
        <f t="shared" si="218"/>
        <v>340/300/145</v>
      </c>
      <c r="AT1730" s="1078" t="str">
        <f t="shared" si="219"/>
        <v>1-5-1S91°</v>
      </c>
      <c r="AV1730" s="1078" t="str">
        <f t="shared" ref="AV1730:AV1793" si="220">AA1730</f>
        <v>111.10.6</v>
      </c>
      <c r="AW1730" s="1344">
        <f t="shared" si="213"/>
        <v>44840</v>
      </c>
    </row>
    <row r="1731" spans="1:49">
      <c r="A1731" s="1077" t="s">
        <v>5824</v>
      </c>
      <c r="B1731" s="1077" t="s">
        <v>4729</v>
      </c>
      <c r="C1731" s="1077">
        <v>700</v>
      </c>
      <c r="D1731" s="1077">
        <v>1.73</v>
      </c>
      <c r="E1731" s="1077" t="s">
        <v>15111</v>
      </c>
      <c r="F1731" s="1077" t="s">
        <v>984</v>
      </c>
      <c r="G1731" s="1077">
        <v>5</v>
      </c>
      <c r="H1731" s="1077" t="s">
        <v>5432</v>
      </c>
      <c r="I1731" s="1077" t="s">
        <v>126</v>
      </c>
      <c r="J1731" s="1077">
        <v>1.6</v>
      </c>
      <c r="K1731" s="1077" t="s">
        <v>5825</v>
      </c>
      <c r="L1731" s="1077" t="s">
        <v>4731</v>
      </c>
      <c r="M1731" s="1077">
        <v>153</v>
      </c>
      <c r="N1731" s="1077" t="s">
        <v>945</v>
      </c>
      <c r="O1731" s="1077">
        <v>3.8250000000000002</v>
      </c>
      <c r="P1731" s="1077">
        <v>3.06</v>
      </c>
      <c r="Q1731" s="1077">
        <v>4</v>
      </c>
      <c r="R1731" s="1077">
        <v>20.5</v>
      </c>
      <c r="T1731" s="1077">
        <v>11.5</v>
      </c>
      <c r="U1731" s="1077">
        <v>3.7</v>
      </c>
      <c r="V1731" s="1077" t="s">
        <v>648</v>
      </c>
      <c r="W1731" s="1077">
        <v>80</v>
      </c>
      <c r="X1731" s="1077">
        <v>20</v>
      </c>
      <c r="Y1731" s="1077">
        <v>1.7</v>
      </c>
      <c r="Z1731" s="1077">
        <v>5</v>
      </c>
      <c r="AA1731" s="1077" t="s">
        <v>3198</v>
      </c>
      <c r="AH1731" s="1077" t="s">
        <v>2720</v>
      </c>
      <c r="AM1731" s="1078" t="s">
        <v>12469</v>
      </c>
      <c r="AN1731" s="1078" t="s">
        <v>12470</v>
      </c>
      <c r="AO1731" s="1078">
        <f t="shared" si="214"/>
        <v>700</v>
      </c>
      <c r="AP1731" s="1078">
        <f t="shared" si="215"/>
        <v>1.73</v>
      </c>
      <c r="AQ1731" s="1078" t="str">
        <f t="shared" si="216"/>
        <v>1-5-1S91</v>
      </c>
      <c r="AR1731" s="1078" t="str">
        <f t="shared" si="217"/>
        <v>30</v>
      </c>
      <c r="AS1731" s="1078" t="str">
        <f t="shared" si="218"/>
        <v>330/330/170</v>
      </c>
      <c r="AT1731" s="1078" t="str">
        <f t="shared" si="219"/>
        <v>1-5-1S91</v>
      </c>
      <c r="AV1731" s="1078" t="str">
        <f t="shared" si="220"/>
        <v>111.10.6</v>
      </c>
      <c r="AW1731" s="1344">
        <f t="shared" ref="AW1731:AW1794" si="221">DATE(VALUE(LEFT(AV1731,FIND(".",AV1731)-1))+1911,
       VALUE(MID(AV1731,FIND(".",AV1731)+1,FIND(".",AV1731,FIND(".",AV1731)+1)-FIND(".",AV1731)-1)),
       VALUE(RIGHT(AV1731,LEN(AV1731)-FIND("~",SUBSTITUTE(AV1731,".","~",2)))))</f>
        <v>44840</v>
      </c>
    </row>
    <row r="1732" spans="1:49">
      <c r="A1732" s="1077" t="s">
        <v>5826</v>
      </c>
      <c r="B1732" s="1077" t="s">
        <v>4694</v>
      </c>
      <c r="C1732" s="1077">
        <v>600</v>
      </c>
      <c r="D1732" s="1077">
        <v>1.74</v>
      </c>
      <c r="E1732" s="1077" t="s">
        <v>15102</v>
      </c>
      <c r="F1732" s="1077" t="s">
        <v>984</v>
      </c>
      <c r="G1732" s="1077">
        <v>5</v>
      </c>
      <c r="H1732" s="1077" t="s">
        <v>5827</v>
      </c>
      <c r="I1732" s="1077" t="s">
        <v>1112</v>
      </c>
      <c r="J1732" s="1077">
        <v>2.7</v>
      </c>
      <c r="K1732" s="1077" t="s">
        <v>5828</v>
      </c>
      <c r="L1732" s="1077" t="s">
        <v>4702</v>
      </c>
      <c r="M1732" s="1077">
        <v>151.30000000000001</v>
      </c>
      <c r="N1732" s="1077" t="s">
        <v>945</v>
      </c>
      <c r="O1732" s="1077">
        <v>3.7825000000000006</v>
      </c>
      <c r="P1732" s="1077">
        <v>3.0260000000000002</v>
      </c>
      <c r="Q1732" s="1077">
        <v>4</v>
      </c>
      <c r="R1732" s="1077">
        <v>20.7</v>
      </c>
      <c r="T1732" s="1077">
        <v>15.5</v>
      </c>
      <c r="U1732" s="1077">
        <v>3</v>
      </c>
      <c r="V1732" s="1077" t="s">
        <v>648</v>
      </c>
      <c r="W1732" s="1077">
        <v>130</v>
      </c>
      <c r="X1732" s="1077">
        <v>75</v>
      </c>
      <c r="Y1732" s="1077">
        <v>1.2</v>
      </c>
      <c r="Z1732" s="1077">
        <v>4.8</v>
      </c>
      <c r="AA1732" s="1077" t="s">
        <v>3198</v>
      </c>
      <c r="AH1732" s="1077" t="s">
        <v>5262</v>
      </c>
      <c r="AM1732" s="1078" t="s">
        <v>12471</v>
      </c>
      <c r="AN1732" s="1078" t="s">
        <v>12472</v>
      </c>
      <c r="AO1732" s="1078">
        <f t="shared" si="214"/>
        <v>600</v>
      </c>
      <c r="AP1732" s="1078">
        <f t="shared" si="215"/>
        <v>1.74</v>
      </c>
      <c r="AQ1732" s="1078" t="str">
        <f t="shared" si="216"/>
        <v>2-6-1S83°</v>
      </c>
      <c r="AR1732" s="1078" t="str">
        <f t="shared" si="217"/>
        <v>30</v>
      </c>
      <c r="AS1732" s="1078" t="str">
        <f t="shared" si="218"/>
        <v>173/165</v>
      </c>
      <c r="AT1732" s="1078" t="str">
        <f t="shared" si="219"/>
        <v>2-6-1S83°</v>
      </c>
      <c r="AV1732" s="1078" t="str">
        <f t="shared" si="220"/>
        <v>111.10.6</v>
      </c>
      <c r="AW1732" s="1344">
        <f t="shared" si="221"/>
        <v>44840</v>
      </c>
    </row>
    <row r="1733" spans="1:49">
      <c r="A1733" s="1077" t="s">
        <v>5829</v>
      </c>
      <c r="B1733" s="1077" t="s">
        <v>4860</v>
      </c>
      <c r="C1733" s="1077">
        <v>500</v>
      </c>
      <c r="D1733" s="1077">
        <v>1.77</v>
      </c>
      <c r="E1733" s="1077" t="s">
        <v>15104</v>
      </c>
      <c r="F1733" s="1077" t="s">
        <v>648</v>
      </c>
      <c r="G1733" s="1077">
        <v>5</v>
      </c>
      <c r="H1733" s="1077" t="s">
        <v>4776</v>
      </c>
      <c r="I1733" s="1077" t="s">
        <v>460</v>
      </c>
      <c r="J1733" s="1077">
        <v>1.7</v>
      </c>
      <c r="K1733" s="1077" t="s">
        <v>5650</v>
      </c>
      <c r="L1733" s="1077" t="s">
        <v>4864</v>
      </c>
      <c r="M1733" s="1077">
        <v>149.5</v>
      </c>
      <c r="N1733" s="1077" t="s">
        <v>945</v>
      </c>
      <c r="O1733" s="1077">
        <v>3.7375000000000003</v>
      </c>
      <c r="P1733" s="1077">
        <v>2.99</v>
      </c>
      <c r="Q1733" s="1077">
        <v>4</v>
      </c>
      <c r="R1733" s="1077">
        <v>21</v>
      </c>
      <c r="T1733" s="1077">
        <v>37</v>
      </c>
      <c r="U1733" s="1077">
        <v>3.7</v>
      </c>
      <c r="V1733" s="1077" t="s">
        <v>648</v>
      </c>
      <c r="W1733" s="1077">
        <v>110</v>
      </c>
      <c r="X1733" s="1077">
        <v>40</v>
      </c>
      <c r="Y1733" s="1077">
        <v>2.2000000000000002</v>
      </c>
      <c r="Z1733" s="1077" t="s">
        <v>648</v>
      </c>
      <c r="AA1733" s="1077" t="s">
        <v>3208</v>
      </c>
      <c r="AH1733" s="1077" t="s">
        <v>650</v>
      </c>
      <c r="AM1733" s="1078" t="s">
        <v>12473</v>
      </c>
      <c r="AN1733" s="1078" t="s">
        <v>12474</v>
      </c>
      <c r="AO1733" s="1078">
        <f t="shared" si="214"/>
        <v>500</v>
      </c>
      <c r="AP1733" s="1078">
        <f t="shared" si="215"/>
        <v>1.77</v>
      </c>
      <c r="AQ1733" s="1078" t="str">
        <f t="shared" si="216"/>
        <v>1-4-1S85°Z+S</v>
      </c>
      <c r="AR1733" s="1078" t="str">
        <f t="shared" si="217"/>
        <v>NA</v>
      </c>
      <c r="AS1733" s="1078" t="str">
        <f t="shared" si="218"/>
        <v>178/OFF</v>
      </c>
      <c r="AT1733" s="1078" t="str">
        <f t="shared" si="219"/>
        <v>1-4-1S85°Z+S</v>
      </c>
      <c r="AU1733" s="1078" t="s">
        <v>15547</v>
      </c>
      <c r="AV1733" s="1078" t="str">
        <f t="shared" si="220"/>
        <v>111.10.11</v>
      </c>
      <c r="AW1733" s="1344">
        <f t="shared" si="221"/>
        <v>44845</v>
      </c>
    </row>
    <row r="1734" spans="1:49">
      <c r="A1734" s="1077" t="s">
        <v>5830</v>
      </c>
      <c r="B1734" s="1077" t="s">
        <v>5565</v>
      </c>
      <c r="C1734" s="1077">
        <v>500</v>
      </c>
      <c r="D1734" s="1077">
        <v>1.72</v>
      </c>
      <c r="E1734" s="1077" t="s">
        <v>15104</v>
      </c>
      <c r="F1734" s="1077" t="s">
        <v>648</v>
      </c>
      <c r="G1734" s="1077">
        <v>5</v>
      </c>
      <c r="H1734" s="1077" t="s">
        <v>2039</v>
      </c>
      <c r="I1734" s="1077" t="s">
        <v>126</v>
      </c>
      <c r="J1734" s="1077">
        <v>1</v>
      </c>
      <c r="K1734" s="1077" t="s">
        <v>5831</v>
      </c>
      <c r="L1734" s="1077" t="s">
        <v>3572</v>
      </c>
      <c r="M1734" s="1077">
        <v>153</v>
      </c>
      <c r="N1734" s="1077" t="s">
        <v>945</v>
      </c>
      <c r="O1734" s="1077">
        <v>3.8250000000000002</v>
      </c>
      <c r="P1734" s="1077">
        <v>3.06</v>
      </c>
      <c r="Q1734" s="1077">
        <v>4</v>
      </c>
      <c r="R1734" s="1077">
        <v>18</v>
      </c>
      <c r="T1734" s="1077">
        <v>14</v>
      </c>
      <c r="U1734" s="1077">
        <v>4.5</v>
      </c>
      <c r="V1734" s="1077" t="s">
        <v>648</v>
      </c>
      <c r="W1734" s="1077">
        <v>110</v>
      </c>
      <c r="X1734" s="1077">
        <v>60</v>
      </c>
      <c r="Y1734" s="1077">
        <v>1.8</v>
      </c>
      <c r="Z1734" s="1077" t="s">
        <v>648</v>
      </c>
      <c r="AA1734" s="1077" t="s">
        <v>1530</v>
      </c>
      <c r="AB1734" s="1077" t="s">
        <v>1520</v>
      </c>
      <c r="AH1734" s="1077" t="s">
        <v>812</v>
      </c>
      <c r="AM1734" s="1078" t="s">
        <v>12475</v>
      </c>
      <c r="AN1734" s="1078" t="s">
        <v>12476</v>
      </c>
      <c r="AO1734" s="1078">
        <f t="shared" si="214"/>
        <v>500</v>
      </c>
      <c r="AP1734" s="1078">
        <f t="shared" si="215"/>
        <v>1.72</v>
      </c>
      <c r="AQ1734" s="1078" t="str">
        <f t="shared" si="216"/>
        <v>1-4-1S85°Z+S</v>
      </c>
      <c r="AR1734" s="1078" t="str">
        <f t="shared" si="217"/>
        <v>NA</v>
      </c>
      <c r="AS1734" s="1078" t="str">
        <f t="shared" si="218"/>
        <v>162/OFF</v>
      </c>
      <c r="AT1734" s="1078" t="str">
        <f t="shared" si="219"/>
        <v>1-4-1S85°Z+S</v>
      </c>
      <c r="AU1734" s="1078" t="s">
        <v>15547</v>
      </c>
      <c r="AV1734" s="1078" t="str">
        <f t="shared" si="220"/>
        <v>111.10.17</v>
      </c>
      <c r="AW1734" s="1344">
        <f t="shared" si="221"/>
        <v>44851</v>
      </c>
    </row>
    <row r="1735" spans="1:49">
      <c r="A1735" s="1077" t="s">
        <v>5832</v>
      </c>
      <c r="B1735" s="1077" t="s">
        <v>5005</v>
      </c>
      <c r="C1735" s="1077">
        <v>500</v>
      </c>
      <c r="D1735" s="1077">
        <v>1.7</v>
      </c>
      <c r="E1735" s="1077" t="s">
        <v>15108</v>
      </c>
      <c r="F1735" s="1077" t="s">
        <v>954</v>
      </c>
      <c r="G1735" s="1077">
        <v>4</v>
      </c>
      <c r="H1735" s="1077" t="s">
        <v>1040</v>
      </c>
      <c r="I1735" s="1077" t="s">
        <v>126</v>
      </c>
      <c r="J1735" s="1077">
        <v>1.7</v>
      </c>
      <c r="K1735" s="1077" t="s">
        <v>5833</v>
      </c>
      <c r="L1735" s="1077" t="s">
        <v>5007</v>
      </c>
      <c r="M1735" s="1077">
        <v>154</v>
      </c>
      <c r="N1735" s="1077" t="s">
        <v>945</v>
      </c>
      <c r="O1735" s="1077">
        <v>3.85</v>
      </c>
      <c r="P1735" s="1077">
        <v>3.08</v>
      </c>
      <c r="Q1735" s="1077">
        <v>3.5</v>
      </c>
      <c r="R1735" s="1077">
        <v>21</v>
      </c>
      <c r="T1735" s="1077">
        <v>15</v>
      </c>
      <c r="U1735" s="1077">
        <v>4.2</v>
      </c>
      <c r="V1735" s="1077" t="s">
        <v>648</v>
      </c>
      <c r="W1735" s="1077">
        <v>140</v>
      </c>
      <c r="X1735" s="1077">
        <v>90</v>
      </c>
      <c r="Y1735" s="1077">
        <v>1.6</v>
      </c>
      <c r="Z1735" s="1077" t="s">
        <v>648</v>
      </c>
      <c r="AA1735" s="1077" t="s">
        <v>1530</v>
      </c>
      <c r="AH1735" s="1077" t="s">
        <v>963</v>
      </c>
      <c r="AM1735" s="1078" t="s">
        <v>12477</v>
      </c>
      <c r="AN1735" s="1078" t="s">
        <v>12478</v>
      </c>
      <c r="AO1735" s="1078">
        <f t="shared" si="214"/>
        <v>500</v>
      </c>
      <c r="AP1735" s="1078">
        <f t="shared" si="215"/>
        <v>1.7</v>
      </c>
      <c r="AQ1735" s="1078" t="str">
        <f t="shared" si="216"/>
        <v>1-4-1S83°Z+S</v>
      </c>
      <c r="AR1735" s="1078" t="str">
        <f t="shared" si="217"/>
        <v>31</v>
      </c>
      <c r="AS1735" s="1078" t="str">
        <f t="shared" si="218"/>
        <v>240/240/OFF</v>
      </c>
      <c r="AT1735" s="1078" t="str">
        <f t="shared" si="219"/>
        <v>1-4-1S83°Z+S</v>
      </c>
      <c r="AU1735" s="1078" t="s">
        <v>15547</v>
      </c>
      <c r="AV1735" s="1078" t="str">
        <f t="shared" si="220"/>
        <v>111.10.17</v>
      </c>
      <c r="AW1735" s="1344">
        <f t="shared" si="221"/>
        <v>44851</v>
      </c>
    </row>
    <row r="1736" spans="1:49">
      <c r="A1736" s="1077" t="s">
        <v>5834</v>
      </c>
      <c r="B1736" s="1077" t="s">
        <v>210</v>
      </c>
      <c r="C1736" s="1077">
        <v>600</v>
      </c>
      <c r="D1736" s="1077">
        <v>1.74</v>
      </c>
      <c r="E1736" s="1077" t="s">
        <v>15094</v>
      </c>
      <c r="F1736" s="1077" t="s">
        <v>984</v>
      </c>
      <c r="G1736" s="1077">
        <v>5</v>
      </c>
      <c r="H1736" s="1077" t="s">
        <v>5480</v>
      </c>
      <c r="I1736" s="1077" t="s">
        <v>126</v>
      </c>
      <c r="J1736" s="1077">
        <v>0.7</v>
      </c>
      <c r="K1736" s="1077" t="s">
        <v>5632</v>
      </c>
      <c r="L1736" s="1077" t="s">
        <v>4666</v>
      </c>
      <c r="M1736" s="1077">
        <v>151.5</v>
      </c>
      <c r="N1736" s="1077" t="s">
        <v>945</v>
      </c>
      <c r="O1736" s="1077">
        <v>3.7875000000000001</v>
      </c>
      <c r="P1736" s="1077">
        <v>3.0300000000000002</v>
      </c>
      <c r="Q1736" s="1077">
        <v>4</v>
      </c>
      <c r="R1736" s="1077">
        <v>19.100000000000001</v>
      </c>
      <c r="T1736" s="1077">
        <v>23.7</v>
      </c>
      <c r="U1736" s="1077">
        <v>3.2</v>
      </c>
      <c r="V1736" s="1077" t="s">
        <v>648</v>
      </c>
      <c r="W1736" s="1077">
        <v>35</v>
      </c>
      <c r="X1736" s="1077">
        <v>10</v>
      </c>
      <c r="Y1736" s="1077">
        <v>1</v>
      </c>
      <c r="Z1736" s="1077">
        <v>6</v>
      </c>
      <c r="AA1736" s="1077" t="s">
        <v>1530</v>
      </c>
      <c r="AH1736" s="1077" t="s">
        <v>1137</v>
      </c>
      <c r="AM1736" s="1078" t="s">
        <v>12479</v>
      </c>
      <c r="AN1736" s="1078" t="s">
        <v>12480</v>
      </c>
      <c r="AO1736" s="1078">
        <f t="shared" si="214"/>
        <v>600</v>
      </c>
      <c r="AP1736" s="1078">
        <f t="shared" si="215"/>
        <v>1.74</v>
      </c>
      <c r="AQ1736" s="1078" t="str">
        <f t="shared" si="216"/>
        <v>1-5-1S91°</v>
      </c>
      <c r="AR1736" s="1078" t="str">
        <f t="shared" si="217"/>
        <v>30</v>
      </c>
      <c r="AS1736" s="1078" t="str">
        <f t="shared" si="218"/>
        <v>340/300/145</v>
      </c>
      <c r="AT1736" s="1078" t="str">
        <f t="shared" si="219"/>
        <v>1-5-1S91°</v>
      </c>
      <c r="AV1736" s="1078" t="str">
        <f t="shared" si="220"/>
        <v>111.10.17</v>
      </c>
      <c r="AW1736" s="1344">
        <f t="shared" si="221"/>
        <v>44851</v>
      </c>
    </row>
    <row r="1737" spans="1:49">
      <c r="A1737" s="1077" t="s">
        <v>5835</v>
      </c>
      <c r="B1737" s="1077" t="s">
        <v>617</v>
      </c>
      <c r="C1737" s="1077">
        <v>600</v>
      </c>
      <c r="D1737" s="1077">
        <v>1.75</v>
      </c>
      <c r="E1737" s="1077" t="s">
        <v>15094</v>
      </c>
      <c r="F1737" s="1077" t="s">
        <v>984</v>
      </c>
      <c r="G1737" s="1077">
        <v>5</v>
      </c>
      <c r="H1737" s="1077" t="s">
        <v>955</v>
      </c>
      <c r="I1737" s="1077" t="s">
        <v>126</v>
      </c>
      <c r="J1737" s="1077">
        <v>2.2000000000000002</v>
      </c>
      <c r="K1737" s="1077" t="s">
        <v>5836</v>
      </c>
      <c r="L1737" s="1077" t="s">
        <v>4854</v>
      </c>
      <c r="M1737" s="1077">
        <v>150.30000000000001</v>
      </c>
      <c r="N1737" s="1077" t="s">
        <v>945</v>
      </c>
      <c r="O1737" s="1077">
        <v>3.7575000000000003</v>
      </c>
      <c r="P1737" s="1077">
        <v>3.0060000000000002</v>
      </c>
      <c r="Q1737" s="1077">
        <v>3</v>
      </c>
      <c r="R1737" s="1077">
        <v>30</v>
      </c>
      <c r="T1737" s="1077">
        <v>13</v>
      </c>
      <c r="U1737" s="1077">
        <v>7</v>
      </c>
      <c r="V1737" s="1077" t="s">
        <v>648</v>
      </c>
      <c r="W1737" s="1077">
        <v>115</v>
      </c>
      <c r="X1737" s="1077">
        <v>50</v>
      </c>
      <c r="Y1737" s="1077">
        <v>1.7</v>
      </c>
      <c r="Z1737" s="1077">
        <v>6.5</v>
      </c>
      <c r="AA1737" s="1077" t="s">
        <v>3397</v>
      </c>
      <c r="AH1737" s="1077" t="s">
        <v>1600</v>
      </c>
      <c r="AM1737" s="1078" t="s">
        <v>12481</v>
      </c>
      <c r="AN1737" s="1078" t="s">
        <v>12482</v>
      </c>
      <c r="AO1737" s="1078">
        <f t="shared" si="214"/>
        <v>600</v>
      </c>
      <c r="AP1737" s="1078">
        <f t="shared" si="215"/>
        <v>1.75</v>
      </c>
      <c r="AQ1737" s="1078" t="str">
        <f t="shared" si="216"/>
        <v>1-5-1S91°</v>
      </c>
      <c r="AR1737" s="1078" t="str">
        <f t="shared" si="217"/>
        <v>30</v>
      </c>
      <c r="AS1737" s="1078" t="str">
        <f t="shared" si="218"/>
        <v>260/260/OFF</v>
      </c>
      <c r="AT1737" s="1078" t="str">
        <f t="shared" si="219"/>
        <v>1-5-1S91°</v>
      </c>
      <c r="AV1737" s="1078" t="str">
        <f t="shared" si="220"/>
        <v>111.12.23</v>
      </c>
      <c r="AW1737" s="1344">
        <f t="shared" si="221"/>
        <v>44918</v>
      </c>
    </row>
    <row r="1738" spans="1:49">
      <c r="A1738" s="1077" t="s">
        <v>5837</v>
      </c>
      <c r="B1738" s="1077" t="s">
        <v>210</v>
      </c>
      <c r="C1738" s="1077">
        <v>600</v>
      </c>
      <c r="D1738" s="1077">
        <v>1.74</v>
      </c>
      <c r="E1738" s="1077" t="s">
        <v>15094</v>
      </c>
      <c r="F1738" s="1077" t="s">
        <v>984</v>
      </c>
      <c r="G1738" s="1077">
        <v>5</v>
      </c>
      <c r="H1738" s="1077" t="s">
        <v>5480</v>
      </c>
      <c r="I1738" s="1077" t="s">
        <v>126</v>
      </c>
      <c r="J1738" s="1077">
        <v>0.7</v>
      </c>
      <c r="K1738" s="1077" t="s">
        <v>5838</v>
      </c>
      <c r="L1738" s="1077" t="s">
        <v>4666</v>
      </c>
      <c r="M1738" s="1077">
        <v>151.5</v>
      </c>
      <c r="N1738" s="1077" t="s">
        <v>945</v>
      </c>
      <c r="O1738" s="1077">
        <v>3.7875000000000001</v>
      </c>
      <c r="P1738" s="1077">
        <v>3.0300000000000002</v>
      </c>
      <c r="Q1738" s="1077">
        <v>4</v>
      </c>
      <c r="R1738" s="1077">
        <v>19.100000000000001</v>
      </c>
      <c r="T1738" s="1077">
        <v>23.7</v>
      </c>
      <c r="U1738" s="1077">
        <v>3.2</v>
      </c>
      <c r="V1738" s="1077" t="s">
        <v>648</v>
      </c>
      <c r="W1738" s="1077">
        <v>35</v>
      </c>
      <c r="X1738" s="1077">
        <v>10</v>
      </c>
      <c r="Y1738" s="1077">
        <v>1</v>
      </c>
      <c r="Z1738" s="1077">
        <v>6</v>
      </c>
      <c r="AA1738" s="1077" t="s">
        <v>5839</v>
      </c>
      <c r="AH1738" s="1077" t="s">
        <v>877</v>
      </c>
      <c r="AM1738" s="1078" t="s">
        <v>12483</v>
      </c>
      <c r="AN1738" s="1078" t="s">
        <v>12484</v>
      </c>
      <c r="AO1738" s="1078">
        <f t="shared" si="214"/>
        <v>600</v>
      </c>
      <c r="AP1738" s="1078">
        <f t="shared" si="215"/>
        <v>1.74</v>
      </c>
      <c r="AQ1738" s="1078" t="str">
        <f t="shared" si="216"/>
        <v>1-5-1S91°</v>
      </c>
      <c r="AR1738" s="1078" t="str">
        <f t="shared" si="217"/>
        <v>30</v>
      </c>
      <c r="AS1738" s="1078" t="str">
        <f t="shared" si="218"/>
        <v>340/300/145</v>
      </c>
      <c r="AT1738" s="1078" t="str">
        <f t="shared" si="219"/>
        <v>1-5-1S91°</v>
      </c>
      <c r="AV1738" s="1078" t="str">
        <f t="shared" si="220"/>
        <v>111.10.25</v>
      </c>
      <c r="AW1738" s="1344">
        <f t="shared" si="221"/>
        <v>44859</v>
      </c>
    </row>
    <row r="1739" spans="1:49">
      <c r="A1739" s="1077" t="s">
        <v>5840</v>
      </c>
      <c r="B1739" s="1077" t="s">
        <v>4767</v>
      </c>
      <c r="C1739" s="1077">
        <v>650</v>
      </c>
      <c r="D1739" s="1077">
        <v>1.72</v>
      </c>
      <c r="E1739" s="1077" t="s">
        <v>15104</v>
      </c>
      <c r="F1739" s="1077" t="s">
        <v>648</v>
      </c>
      <c r="G1739" s="1077">
        <v>5</v>
      </c>
      <c r="H1739" s="1077" t="s">
        <v>2192</v>
      </c>
      <c r="I1739" s="1077" t="s">
        <v>126</v>
      </c>
      <c r="J1739" s="1077">
        <v>1.4</v>
      </c>
      <c r="K1739" s="1077" t="s">
        <v>5529</v>
      </c>
      <c r="L1739" s="1077" t="s">
        <v>1776</v>
      </c>
      <c r="M1739" s="1077">
        <v>148</v>
      </c>
      <c r="N1739" s="1077" t="s">
        <v>945</v>
      </c>
      <c r="O1739" s="1077">
        <v>3.7</v>
      </c>
      <c r="P1739" s="1077">
        <v>2.96</v>
      </c>
      <c r="Q1739" s="1077">
        <v>4</v>
      </c>
      <c r="R1739" s="1077">
        <v>20.8</v>
      </c>
      <c r="T1739" s="1077">
        <v>20.399999999999999</v>
      </c>
      <c r="U1739" s="1077">
        <v>3.8</v>
      </c>
      <c r="V1739" s="1077" t="s">
        <v>648</v>
      </c>
      <c r="W1739" s="1077">
        <v>110</v>
      </c>
      <c r="X1739" s="1077">
        <v>60</v>
      </c>
      <c r="Y1739" s="1077">
        <v>1.7</v>
      </c>
      <c r="Z1739" s="1077" t="s">
        <v>648</v>
      </c>
      <c r="AA1739" s="1077" t="s">
        <v>5841</v>
      </c>
      <c r="AB1739" s="1077" t="s">
        <v>981</v>
      </c>
      <c r="AH1739" s="1077" t="s">
        <v>1053</v>
      </c>
      <c r="AM1739" s="1078" t="s">
        <v>12485</v>
      </c>
      <c r="AN1739" s="1078" t="s">
        <v>12486</v>
      </c>
      <c r="AO1739" s="1078">
        <f t="shared" ref="AO1739:AO1802" si="222">C1739</f>
        <v>650</v>
      </c>
      <c r="AP1739" s="1078">
        <f t="shared" ref="AP1739:AP1802" si="223">D1739</f>
        <v>1.72</v>
      </c>
      <c r="AQ1739" s="1078" t="str">
        <f t="shared" ref="AQ1739:AQ1802" si="224">E1739</f>
        <v>1-4-1S85°Z+S</v>
      </c>
      <c r="AR1739" s="1078" t="str">
        <f t="shared" ref="AR1739:AR1802" si="225">F1739</f>
        <v>NA</v>
      </c>
      <c r="AS1739" s="1078" t="str">
        <f t="shared" ref="AS1739:AS1802" si="226">H1739</f>
        <v>180/OFF</v>
      </c>
      <c r="AT1739" s="1078" t="str">
        <f t="shared" ref="AT1739:AT1802" si="227">E1739</f>
        <v>1-4-1S85°Z+S</v>
      </c>
      <c r="AU1739" s="1078" t="s">
        <v>15547</v>
      </c>
      <c r="AV1739" s="1078" t="str">
        <f t="shared" si="220"/>
        <v>111.11.1</v>
      </c>
      <c r="AW1739" s="1344">
        <f t="shared" si="221"/>
        <v>44866</v>
      </c>
    </row>
    <row r="1740" spans="1:49">
      <c r="A1740" s="1077" t="s">
        <v>5842</v>
      </c>
      <c r="B1740" s="1077" t="s">
        <v>886</v>
      </c>
      <c r="C1740" s="1077">
        <v>600</v>
      </c>
      <c r="D1740" s="1077">
        <v>1.72</v>
      </c>
      <c r="E1740" s="1077" t="s">
        <v>15094</v>
      </c>
      <c r="F1740" s="1077" t="s">
        <v>984</v>
      </c>
      <c r="G1740" s="1077">
        <v>5</v>
      </c>
      <c r="H1740" s="1077" t="s">
        <v>2885</v>
      </c>
      <c r="I1740" s="1077" t="s">
        <v>126</v>
      </c>
      <c r="J1740" s="1077">
        <v>2.8</v>
      </c>
      <c r="K1740" s="1077" t="s">
        <v>5606</v>
      </c>
      <c r="L1740" s="1077" t="s">
        <v>5556</v>
      </c>
      <c r="M1740" s="1077">
        <v>152</v>
      </c>
      <c r="N1740" s="1077" t="s">
        <v>945</v>
      </c>
      <c r="O1740" s="1077">
        <v>3.8000000000000003</v>
      </c>
      <c r="P1740" s="1077">
        <v>3.04</v>
      </c>
      <c r="Q1740" s="1077">
        <v>4</v>
      </c>
      <c r="R1740" s="1077">
        <v>23.5</v>
      </c>
      <c r="T1740" s="1077">
        <v>30</v>
      </c>
      <c r="U1740" s="1077">
        <v>3.5</v>
      </c>
      <c r="V1740" s="1077" t="s">
        <v>648</v>
      </c>
      <c r="W1740" s="1077">
        <v>115</v>
      </c>
      <c r="X1740" s="1077">
        <v>50</v>
      </c>
      <c r="Y1740" s="1077">
        <v>1.5</v>
      </c>
      <c r="Z1740" s="1077">
        <v>7</v>
      </c>
      <c r="AA1740" s="1077" t="s">
        <v>5843</v>
      </c>
      <c r="AH1740" s="1077" t="s">
        <v>1186</v>
      </c>
      <c r="AM1740" s="1078" t="s">
        <v>12487</v>
      </c>
      <c r="AN1740" s="1078" t="s">
        <v>12488</v>
      </c>
      <c r="AO1740" s="1078">
        <f t="shared" si="222"/>
        <v>600</v>
      </c>
      <c r="AP1740" s="1078">
        <f t="shared" si="223"/>
        <v>1.72</v>
      </c>
      <c r="AQ1740" s="1078" t="str">
        <f t="shared" si="224"/>
        <v>1-5-1S91°</v>
      </c>
      <c r="AR1740" s="1078" t="str">
        <f t="shared" si="225"/>
        <v>30</v>
      </c>
      <c r="AS1740" s="1078" t="str">
        <f t="shared" si="226"/>
        <v>335/335/OFF</v>
      </c>
      <c r="AT1740" s="1078" t="str">
        <f t="shared" si="227"/>
        <v>1-5-1S91°</v>
      </c>
      <c r="AV1740" s="1078" t="str">
        <f t="shared" si="220"/>
        <v>111.10.31</v>
      </c>
      <c r="AW1740" s="1344">
        <f t="shared" si="221"/>
        <v>44865</v>
      </c>
    </row>
    <row r="1741" spans="1:49">
      <c r="A1741" s="1077" t="s">
        <v>5844</v>
      </c>
      <c r="B1741" s="1077" t="s">
        <v>828</v>
      </c>
      <c r="C1741" s="1077">
        <v>700</v>
      </c>
      <c r="D1741" s="1077">
        <v>1.7649999999999999</v>
      </c>
      <c r="E1741" s="1077" t="s">
        <v>15109</v>
      </c>
      <c r="F1741" s="1077" t="s">
        <v>648</v>
      </c>
      <c r="G1741" s="1077">
        <v>5</v>
      </c>
      <c r="H1741" s="1077" t="s">
        <v>2941</v>
      </c>
      <c r="I1741" s="1077" t="s">
        <v>126</v>
      </c>
      <c r="J1741" s="1077">
        <v>2</v>
      </c>
      <c r="K1741" s="1077" t="s">
        <v>5845</v>
      </c>
      <c r="L1741" s="1077" t="s">
        <v>1943</v>
      </c>
      <c r="M1741" s="1077">
        <v>150</v>
      </c>
      <c r="N1741" s="1077" t="s">
        <v>945</v>
      </c>
      <c r="O1741" s="1077">
        <v>3.75</v>
      </c>
      <c r="P1741" s="1077">
        <v>3</v>
      </c>
      <c r="Q1741" s="1077">
        <v>4</v>
      </c>
      <c r="R1741" s="1077">
        <v>20.8</v>
      </c>
      <c r="T1741" s="1077">
        <v>29.1</v>
      </c>
      <c r="U1741" s="1077">
        <v>3.4</v>
      </c>
      <c r="V1741" s="1077" t="s">
        <v>648</v>
      </c>
      <c r="W1741" s="1077">
        <v>110</v>
      </c>
      <c r="X1741" s="1077" t="s">
        <v>5846</v>
      </c>
      <c r="Y1741" s="1077">
        <v>1.5</v>
      </c>
      <c r="Z1741" s="1077" t="s">
        <v>648</v>
      </c>
      <c r="AA1741" s="1077" t="s">
        <v>1535</v>
      </c>
      <c r="AH1741" s="1077" t="s">
        <v>646</v>
      </c>
      <c r="AM1741" s="1078" t="s">
        <v>12489</v>
      </c>
      <c r="AN1741" s="1078" t="s">
        <v>12490</v>
      </c>
      <c r="AO1741" s="1078">
        <f t="shared" si="222"/>
        <v>700</v>
      </c>
      <c r="AP1741" s="1078">
        <f t="shared" si="223"/>
        <v>1.7649999999999999</v>
      </c>
      <c r="AQ1741" s="1078" t="str">
        <f t="shared" si="224"/>
        <v>1-5-1S85°Z+S</v>
      </c>
      <c r="AR1741" s="1078" t="str">
        <f t="shared" si="225"/>
        <v>NA</v>
      </c>
      <c r="AS1741" s="1078" t="str">
        <f t="shared" si="226"/>
        <v>190/OFF</v>
      </c>
      <c r="AT1741" s="1078" t="str">
        <f t="shared" si="227"/>
        <v>1-5-1S85°Z+S</v>
      </c>
      <c r="AU1741" s="1078" t="s">
        <v>15547</v>
      </c>
      <c r="AV1741" s="1078" t="str">
        <f t="shared" si="220"/>
        <v>111.11.3</v>
      </c>
      <c r="AW1741" s="1344">
        <f t="shared" si="221"/>
        <v>44868</v>
      </c>
    </row>
    <row r="1742" spans="1:49">
      <c r="A1742" s="1077" t="s">
        <v>5847</v>
      </c>
      <c r="B1742" s="1077" t="s">
        <v>4950</v>
      </c>
      <c r="C1742" s="1077">
        <v>450</v>
      </c>
      <c r="D1742" s="1077">
        <v>1.78</v>
      </c>
      <c r="E1742" s="1077" t="s">
        <v>15102</v>
      </c>
      <c r="F1742" s="1077" t="s">
        <v>1469</v>
      </c>
      <c r="G1742" s="1077">
        <v>5</v>
      </c>
      <c r="H1742" s="1077" t="s">
        <v>5848</v>
      </c>
      <c r="I1742" s="1077" t="s">
        <v>1112</v>
      </c>
      <c r="J1742" s="1077">
        <v>0.5</v>
      </c>
      <c r="K1742" s="1077" t="s">
        <v>5849</v>
      </c>
      <c r="L1742" s="1077" t="s">
        <v>4952</v>
      </c>
      <c r="M1742" s="1077">
        <v>152.5</v>
      </c>
      <c r="N1742" s="1077" t="s">
        <v>945</v>
      </c>
      <c r="O1742" s="1077">
        <v>3.8125</v>
      </c>
      <c r="P1742" s="1077">
        <v>3.0500000000000003</v>
      </c>
      <c r="Q1742" s="1077" t="s">
        <v>1005</v>
      </c>
      <c r="R1742" s="1077">
        <v>28.5</v>
      </c>
      <c r="T1742" s="1077">
        <v>19.2</v>
      </c>
      <c r="U1742" s="1077">
        <v>5.0999999999999996</v>
      </c>
      <c r="V1742" s="1077" t="s">
        <v>648</v>
      </c>
      <c r="W1742" s="1077" t="s">
        <v>2709</v>
      </c>
      <c r="X1742" s="1077">
        <v>10</v>
      </c>
      <c r="Y1742" s="1077">
        <v>1.6</v>
      </c>
      <c r="Z1742" s="1077">
        <v>7</v>
      </c>
      <c r="AA1742" s="1077" t="s">
        <v>2828</v>
      </c>
      <c r="AH1742" s="1077" t="s">
        <v>831</v>
      </c>
      <c r="AM1742" s="1078" t="s">
        <v>12491</v>
      </c>
      <c r="AN1742" s="1078" t="s">
        <v>12492</v>
      </c>
      <c r="AO1742" s="1078">
        <f t="shared" si="222"/>
        <v>450</v>
      </c>
      <c r="AP1742" s="1078">
        <f t="shared" si="223"/>
        <v>1.78</v>
      </c>
      <c r="AQ1742" s="1078" t="str">
        <f t="shared" si="224"/>
        <v>2-6-1S83°</v>
      </c>
      <c r="AR1742" s="1078" t="str">
        <f t="shared" si="225"/>
        <v>30.5</v>
      </c>
      <c r="AS1742" s="1078" t="str">
        <f t="shared" si="226"/>
        <v>156/OFF</v>
      </c>
      <c r="AT1742" s="1078" t="str">
        <f t="shared" si="227"/>
        <v>2-6-1S83°</v>
      </c>
      <c r="AV1742" s="1078" t="str">
        <f t="shared" si="220"/>
        <v>108.12.2</v>
      </c>
      <c r="AW1742" s="1344">
        <f t="shared" si="221"/>
        <v>43801</v>
      </c>
    </row>
    <row r="1743" spans="1:49">
      <c r="A1743" s="1077" t="s">
        <v>5850</v>
      </c>
      <c r="B1743" s="1077" t="s">
        <v>844</v>
      </c>
      <c r="C1743" s="1077">
        <v>550</v>
      </c>
      <c r="D1743" s="1077">
        <v>1.7649999999999999</v>
      </c>
      <c r="E1743" s="1077" t="s">
        <v>15102</v>
      </c>
      <c r="F1743" s="1077" t="s">
        <v>984</v>
      </c>
      <c r="G1743" s="1077">
        <v>5</v>
      </c>
      <c r="H1743" s="1077" t="s">
        <v>4930</v>
      </c>
      <c r="I1743" s="1077" t="s">
        <v>460</v>
      </c>
      <c r="J1743" s="1077">
        <v>3.4</v>
      </c>
      <c r="K1743" s="1077" t="s">
        <v>5851</v>
      </c>
      <c r="L1743" s="1077" t="s">
        <v>4907</v>
      </c>
      <c r="M1743" s="1077">
        <v>152.5</v>
      </c>
      <c r="N1743" s="1077" t="s">
        <v>945</v>
      </c>
      <c r="O1743" s="1077">
        <v>3.8125</v>
      </c>
      <c r="P1743" s="1077">
        <v>3.0500000000000003</v>
      </c>
      <c r="Q1743" s="1077" t="s">
        <v>1059</v>
      </c>
      <c r="R1743" s="1077">
        <v>21</v>
      </c>
      <c r="T1743" s="1077">
        <v>9.1999999999999993</v>
      </c>
      <c r="U1743" s="1077">
        <v>5.4</v>
      </c>
      <c r="V1743" s="1077" t="s">
        <v>648</v>
      </c>
      <c r="W1743" s="1077">
        <v>110</v>
      </c>
      <c r="X1743" s="1077">
        <v>90</v>
      </c>
      <c r="Y1743" s="1077">
        <v>2</v>
      </c>
      <c r="Z1743" s="1077" t="s">
        <v>2441</v>
      </c>
      <c r="AA1743" s="1077" t="s">
        <v>5852</v>
      </c>
      <c r="AH1743" s="1077" t="s">
        <v>483</v>
      </c>
      <c r="AM1743" s="1078" t="s">
        <v>12493</v>
      </c>
      <c r="AN1743" s="1078" t="s">
        <v>12494</v>
      </c>
      <c r="AO1743" s="1078">
        <f t="shared" si="222"/>
        <v>550</v>
      </c>
      <c r="AP1743" s="1078">
        <f t="shared" si="223"/>
        <v>1.7649999999999999</v>
      </c>
      <c r="AQ1743" s="1078" t="str">
        <f t="shared" si="224"/>
        <v>2-6-1S83°</v>
      </c>
      <c r="AR1743" s="1078" t="str">
        <f t="shared" si="225"/>
        <v>30</v>
      </c>
      <c r="AS1743" s="1078" t="str">
        <f t="shared" si="226"/>
        <v>160/155</v>
      </c>
      <c r="AT1743" s="1078" t="str">
        <f t="shared" si="227"/>
        <v>2-6-1S83°</v>
      </c>
      <c r="AV1743" s="1078" t="str">
        <f t="shared" si="220"/>
        <v>109.3.11</v>
      </c>
      <c r="AW1743" s="1344">
        <f t="shared" si="221"/>
        <v>43901</v>
      </c>
    </row>
    <row r="1744" spans="1:49">
      <c r="A1744" s="1077" t="s">
        <v>5853</v>
      </c>
      <c r="B1744" s="1077" t="s">
        <v>5854</v>
      </c>
      <c r="C1744" s="1077">
        <v>650</v>
      </c>
      <c r="D1744" s="1077">
        <v>1.77</v>
      </c>
      <c r="E1744" s="1077" t="s">
        <v>4861</v>
      </c>
      <c r="F1744" s="1077" t="s">
        <v>648</v>
      </c>
      <c r="G1744" s="1077">
        <v>5</v>
      </c>
      <c r="H1744" s="1077" t="s">
        <v>5855</v>
      </c>
      <c r="I1744" s="1077" t="s">
        <v>126</v>
      </c>
      <c r="J1744" s="1077">
        <v>1.6</v>
      </c>
      <c r="K1744" s="1077" t="s">
        <v>5856</v>
      </c>
      <c r="L1744" s="1077" t="s">
        <v>2256</v>
      </c>
      <c r="M1744" s="1077">
        <v>149</v>
      </c>
      <c r="N1744" s="1077" t="s">
        <v>945</v>
      </c>
      <c r="O1744" s="1077">
        <v>3.7250000000000001</v>
      </c>
      <c r="P1744" s="1077">
        <v>2.98</v>
      </c>
      <c r="Q1744" s="1077" t="s">
        <v>956</v>
      </c>
      <c r="R1744" s="1077">
        <v>20.2</v>
      </c>
      <c r="T1744" s="1077">
        <v>15.7</v>
      </c>
      <c r="U1744" s="1077">
        <v>4.7</v>
      </c>
      <c r="V1744" s="1077" t="s">
        <v>648</v>
      </c>
      <c r="W1744" s="1077">
        <v>115</v>
      </c>
      <c r="X1744" s="1077">
        <v>55</v>
      </c>
      <c r="Y1744" s="1077">
        <v>1</v>
      </c>
      <c r="Z1744" s="1077" t="s">
        <v>648</v>
      </c>
      <c r="AA1744" s="1077" t="s">
        <v>5857</v>
      </c>
      <c r="AB1744" s="1077" t="s">
        <v>5858</v>
      </c>
      <c r="AH1744" s="1077" t="s">
        <v>1376</v>
      </c>
      <c r="AM1744" s="1078" t="s">
        <v>12495</v>
      </c>
      <c r="AN1744" s="1078" t="s">
        <v>12496</v>
      </c>
      <c r="AO1744" s="1078">
        <f t="shared" si="222"/>
        <v>650</v>
      </c>
      <c r="AP1744" s="1078">
        <f t="shared" si="223"/>
        <v>1.77</v>
      </c>
      <c r="AQ1744" s="1078" t="str">
        <f t="shared" si="224"/>
        <v>105°</v>
      </c>
      <c r="AR1744" s="1078" t="str">
        <f t="shared" si="225"/>
        <v>NA</v>
      </c>
      <c r="AS1744" s="1078" t="str">
        <f t="shared" si="226"/>
        <v>320/280/OFF</v>
      </c>
      <c r="AT1744" s="1078" t="str">
        <f t="shared" si="227"/>
        <v>105°</v>
      </c>
      <c r="AV1744" s="1078" t="str">
        <f t="shared" si="220"/>
        <v>109.6.25</v>
      </c>
      <c r="AW1744" s="1344">
        <f t="shared" si="221"/>
        <v>44007</v>
      </c>
    </row>
    <row r="1745" spans="1:49">
      <c r="A1745" s="1077" t="s">
        <v>5859</v>
      </c>
      <c r="B1745" s="1077" t="s">
        <v>844</v>
      </c>
      <c r="C1745" s="1077">
        <v>650</v>
      </c>
      <c r="D1745" s="1077">
        <v>1.78</v>
      </c>
      <c r="E1745" s="1077" t="s">
        <v>15088</v>
      </c>
      <c r="F1745" s="1077" t="s">
        <v>648</v>
      </c>
      <c r="G1745" s="1077">
        <v>5</v>
      </c>
      <c r="H1745" s="1077" t="s">
        <v>5860</v>
      </c>
      <c r="I1745" s="1077" t="s">
        <v>460</v>
      </c>
      <c r="J1745" s="1077">
        <v>3.9</v>
      </c>
      <c r="K1745" s="1077" t="s">
        <v>5414</v>
      </c>
      <c r="L1745" s="1077" t="s">
        <v>4907</v>
      </c>
      <c r="M1745" s="1077">
        <v>151.69999999999999</v>
      </c>
      <c r="N1745" s="1077" t="s">
        <v>945</v>
      </c>
      <c r="O1745" s="1077">
        <v>3.7925</v>
      </c>
      <c r="P1745" s="1077">
        <v>3.0339999999999998</v>
      </c>
      <c r="Q1745" s="1077" t="s">
        <v>1012</v>
      </c>
      <c r="R1745" s="1077">
        <v>19.7</v>
      </c>
      <c r="T1745" s="1077">
        <v>11.5</v>
      </c>
      <c r="U1745" s="1077">
        <v>5.3</v>
      </c>
      <c r="V1745" s="1077" t="s">
        <v>648</v>
      </c>
      <c r="W1745" s="1077">
        <v>105</v>
      </c>
      <c r="X1745" s="1077">
        <v>95</v>
      </c>
      <c r="Y1745" s="1077">
        <v>1.5</v>
      </c>
      <c r="Z1745" s="1077" t="s">
        <v>5861</v>
      </c>
      <c r="AA1745" s="1077" t="s">
        <v>1201</v>
      </c>
      <c r="AH1745" s="1077" t="s">
        <v>1023</v>
      </c>
      <c r="AM1745" s="1078" t="s">
        <v>12497</v>
      </c>
      <c r="AN1745" s="1078" t="s">
        <v>12498</v>
      </c>
      <c r="AO1745" s="1078">
        <f t="shared" si="222"/>
        <v>650</v>
      </c>
      <c r="AP1745" s="1078">
        <f t="shared" si="223"/>
        <v>1.78</v>
      </c>
      <c r="AQ1745" s="1078" t="str">
        <f t="shared" si="224"/>
        <v>1-4-1S85°</v>
      </c>
      <c r="AR1745" s="1078" t="str">
        <f t="shared" si="225"/>
        <v>NA</v>
      </c>
      <c r="AS1745" s="1078" t="str">
        <f t="shared" si="226"/>
        <v>175/160</v>
      </c>
      <c r="AT1745" s="1078" t="str">
        <f t="shared" si="227"/>
        <v>1-4-1S85°</v>
      </c>
      <c r="AV1745" s="1078" t="str">
        <f t="shared" si="220"/>
        <v>109.12.12</v>
      </c>
      <c r="AW1745" s="1344">
        <f t="shared" si="221"/>
        <v>44177</v>
      </c>
    </row>
    <row r="1746" spans="1:49">
      <c r="A1746" s="1077" t="s">
        <v>5862</v>
      </c>
      <c r="B1746" s="1077" t="s">
        <v>5005</v>
      </c>
      <c r="C1746" s="1077">
        <v>500</v>
      </c>
      <c r="D1746" s="1077">
        <v>1.7050000000000001</v>
      </c>
      <c r="E1746" s="1077" t="s">
        <v>4861</v>
      </c>
      <c r="F1746" s="1077" t="s">
        <v>648</v>
      </c>
      <c r="G1746" s="1077">
        <v>4</v>
      </c>
      <c r="H1746" s="1077" t="s">
        <v>5863</v>
      </c>
      <c r="I1746" s="1077" t="s">
        <v>126</v>
      </c>
      <c r="J1746" s="1077">
        <v>1.5</v>
      </c>
      <c r="K1746" s="1077" t="s">
        <v>5864</v>
      </c>
      <c r="L1746" s="1077" t="s">
        <v>5007</v>
      </c>
      <c r="M1746" s="1077">
        <v>154</v>
      </c>
      <c r="N1746" s="1077" t="s">
        <v>945</v>
      </c>
      <c r="O1746" s="1077">
        <v>3.85</v>
      </c>
      <c r="P1746" s="1077">
        <v>3.08</v>
      </c>
      <c r="Q1746" s="1077">
        <v>3.5</v>
      </c>
      <c r="R1746" s="1077">
        <v>24</v>
      </c>
      <c r="T1746" s="1077">
        <v>15</v>
      </c>
      <c r="U1746" s="1077">
        <v>4.2</v>
      </c>
      <c r="V1746" s="1077" t="s">
        <v>648</v>
      </c>
      <c r="W1746" s="1077">
        <v>140</v>
      </c>
      <c r="X1746" s="1077">
        <v>90</v>
      </c>
      <c r="Y1746" s="1077">
        <v>1.6</v>
      </c>
      <c r="Z1746" s="1077" t="s">
        <v>648</v>
      </c>
      <c r="AA1746" s="1077" t="s">
        <v>1305</v>
      </c>
      <c r="AH1746" s="1077" t="s">
        <v>5681</v>
      </c>
      <c r="AM1746" s="1078" t="s">
        <v>12499</v>
      </c>
      <c r="AN1746" s="1078" t="s">
        <v>12500</v>
      </c>
      <c r="AO1746" s="1078">
        <f t="shared" si="222"/>
        <v>500</v>
      </c>
      <c r="AP1746" s="1078">
        <f t="shared" si="223"/>
        <v>1.7050000000000001</v>
      </c>
      <c r="AQ1746" s="1078" t="str">
        <f t="shared" si="224"/>
        <v>105°</v>
      </c>
      <c r="AR1746" s="1078" t="str">
        <f t="shared" si="225"/>
        <v>NA</v>
      </c>
      <c r="AS1746" s="1078" t="str">
        <f t="shared" si="226"/>
        <v>305/305/OFF</v>
      </c>
      <c r="AT1746" s="1078" t="str">
        <f t="shared" si="227"/>
        <v>105°</v>
      </c>
      <c r="AV1746" s="1078" t="str">
        <f t="shared" si="220"/>
        <v>110.2.1</v>
      </c>
      <c r="AW1746" s="1344">
        <f t="shared" si="221"/>
        <v>44228</v>
      </c>
    </row>
    <row r="1747" spans="1:49">
      <c r="A1747" s="1077" t="s">
        <v>5865</v>
      </c>
      <c r="B1747" s="1077" t="s">
        <v>5148</v>
      </c>
      <c r="C1747" s="1077">
        <v>650</v>
      </c>
      <c r="D1747" s="1077">
        <v>1.73</v>
      </c>
      <c r="E1747" s="1077" t="s">
        <v>15094</v>
      </c>
      <c r="F1747" s="1077" t="s">
        <v>984</v>
      </c>
      <c r="G1747" s="1077">
        <v>5</v>
      </c>
      <c r="H1747" s="1077" t="s">
        <v>5866</v>
      </c>
      <c r="I1747" s="1077" t="s">
        <v>648</v>
      </c>
      <c r="J1747" s="1077">
        <v>0</v>
      </c>
      <c r="K1747" s="1077" t="s">
        <v>5867</v>
      </c>
      <c r="L1747" s="1077" t="s">
        <v>5152</v>
      </c>
      <c r="M1747" s="1077">
        <v>150</v>
      </c>
      <c r="N1747" s="1077" t="s">
        <v>945</v>
      </c>
      <c r="O1747" s="1077">
        <v>3.75</v>
      </c>
      <c r="P1747" s="1077">
        <v>3</v>
      </c>
      <c r="Q1747" s="1077">
        <v>3.5</v>
      </c>
      <c r="R1747" s="1077">
        <v>24</v>
      </c>
      <c r="T1747" s="1077">
        <v>23.5</v>
      </c>
      <c r="U1747" s="1077">
        <v>1.8</v>
      </c>
      <c r="V1747" s="1077" t="s">
        <v>648</v>
      </c>
      <c r="W1747" s="1077" t="s">
        <v>648</v>
      </c>
      <c r="X1747" s="1077" t="s">
        <v>648</v>
      </c>
      <c r="Y1747" s="1077">
        <v>1.2</v>
      </c>
      <c r="Z1747" s="1077">
        <v>5.5</v>
      </c>
      <c r="AA1747" s="1077" t="s">
        <v>5288</v>
      </c>
      <c r="AH1747" s="1077" t="s">
        <v>877</v>
      </c>
      <c r="AM1747" s="1078" t="s">
        <v>12501</v>
      </c>
      <c r="AN1747" s="1078" t="s">
        <v>12502</v>
      </c>
      <c r="AO1747" s="1078">
        <f t="shared" si="222"/>
        <v>650</v>
      </c>
      <c r="AP1747" s="1078">
        <f t="shared" si="223"/>
        <v>1.73</v>
      </c>
      <c r="AQ1747" s="1078" t="str">
        <f t="shared" si="224"/>
        <v>1-5-1S91°</v>
      </c>
      <c r="AR1747" s="1078" t="str">
        <f t="shared" si="225"/>
        <v>30</v>
      </c>
      <c r="AS1747" s="1078" t="str">
        <f t="shared" si="226"/>
        <v>380/350/150</v>
      </c>
      <c r="AT1747" s="1078" t="str">
        <f t="shared" si="227"/>
        <v>1-5-1S91°</v>
      </c>
      <c r="AV1747" s="1078" t="str">
        <f t="shared" si="220"/>
        <v>110.3.29</v>
      </c>
      <c r="AW1747" s="1344">
        <f t="shared" si="221"/>
        <v>44284</v>
      </c>
    </row>
    <row r="1748" spans="1:49">
      <c r="A1748" s="1077" t="s">
        <v>5868</v>
      </c>
      <c r="B1748" s="1077" t="s">
        <v>210</v>
      </c>
      <c r="C1748" s="1077">
        <v>650</v>
      </c>
      <c r="D1748" s="1077">
        <v>1.76</v>
      </c>
      <c r="E1748" s="1077" t="s">
        <v>15094</v>
      </c>
      <c r="F1748" s="1077" t="s">
        <v>4013</v>
      </c>
      <c r="G1748" s="1077">
        <v>5</v>
      </c>
      <c r="H1748" s="1077" t="s">
        <v>5869</v>
      </c>
      <c r="I1748" s="1077" t="s">
        <v>126</v>
      </c>
      <c r="J1748" s="1077">
        <v>1.6</v>
      </c>
      <c r="K1748" s="1077" t="s">
        <v>5870</v>
      </c>
      <c r="L1748" s="1077" t="s">
        <v>4666</v>
      </c>
      <c r="M1748" s="1077">
        <v>152.19999999999999</v>
      </c>
      <c r="N1748" s="1077" t="s">
        <v>945</v>
      </c>
      <c r="O1748" s="1077">
        <v>3.8049999999999997</v>
      </c>
      <c r="P1748" s="1077">
        <v>3.044</v>
      </c>
      <c r="Q1748" s="1077">
        <v>4</v>
      </c>
      <c r="R1748" s="1077">
        <v>19</v>
      </c>
      <c r="T1748" s="1077">
        <v>16</v>
      </c>
      <c r="U1748" s="1077">
        <v>4</v>
      </c>
      <c r="V1748" s="1077" t="s">
        <v>648</v>
      </c>
      <c r="W1748" s="1077">
        <v>95</v>
      </c>
      <c r="X1748" s="1077">
        <v>20</v>
      </c>
      <c r="Y1748" s="1077">
        <v>1.5</v>
      </c>
      <c r="Z1748" s="1077">
        <v>5</v>
      </c>
      <c r="AA1748" s="1077" t="s">
        <v>4352</v>
      </c>
      <c r="AH1748" s="1077" t="s">
        <v>1137</v>
      </c>
      <c r="AM1748" s="1078" t="s">
        <v>12503</v>
      </c>
      <c r="AN1748" s="1078" t="s">
        <v>12504</v>
      </c>
      <c r="AO1748" s="1078">
        <f t="shared" si="222"/>
        <v>650</v>
      </c>
      <c r="AP1748" s="1078">
        <f t="shared" si="223"/>
        <v>1.76</v>
      </c>
      <c r="AQ1748" s="1078" t="str">
        <f t="shared" si="224"/>
        <v>1-5-1S91°</v>
      </c>
      <c r="AR1748" s="1078" t="str">
        <f t="shared" si="225"/>
        <v>30.3</v>
      </c>
      <c r="AS1748" s="1078" t="str">
        <f t="shared" si="226"/>
        <v>315/275/160</v>
      </c>
      <c r="AT1748" s="1078" t="str">
        <f t="shared" si="227"/>
        <v>1-5-1S91°</v>
      </c>
      <c r="AV1748" s="1078" t="str">
        <f t="shared" si="220"/>
        <v>110.8.2</v>
      </c>
      <c r="AW1748" s="1344">
        <f t="shared" si="221"/>
        <v>44410</v>
      </c>
    </row>
    <row r="1749" spans="1:49">
      <c r="A1749" s="1077" t="s">
        <v>5871</v>
      </c>
      <c r="B1749" s="1077" t="s">
        <v>4767</v>
      </c>
      <c r="C1749" s="1077">
        <v>600</v>
      </c>
      <c r="D1749" s="1077">
        <v>1.7250000000000001</v>
      </c>
      <c r="E1749" s="1077" t="s">
        <v>15109</v>
      </c>
      <c r="F1749" s="1077" t="s">
        <v>648</v>
      </c>
      <c r="G1749" s="1077">
        <v>5</v>
      </c>
      <c r="H1749" s="1077" t="s">
        <v>4776</v>
      </c>
      <c r="I1749" s="1077" t="s">
        <v>126</v>
      </c>
      <c r="J1749" s="1077">
        <v>1.4</v>
      </c>
      <c r="K1749" s="1077" t="s">
        <v>4836</v>
      </c>
      <c r="L1749" s="1077" t="s">
        <v>1776</v>
      </c>
      <c r="M1749" s="1077">
        <v>148</v>
      </c>
      <c r="N1749" s="1077" t="s">
        <v>945</v>
      </c>
      <c r="O1749" s="1077">
        <v>3.7</v>
      </c>
      <c r="P1749" s="1077">
        <v>2.96</v>
      </c>
      <c r="Q1749" s="1077">
        <v>4</v>
      </c>
      <c r="R1749" s="1077">
        <v>20.8</v>
      </c>
      <c r="T1749" s="1077">
        <v>20.399999999999999</v>
      </c>
      <c r="U1749" s="1077">
        <v>3.8</v>
      </c>
      <c r="V1749" s="1077" t="s">
        <v>648</v>
      </c>
      <c r="W1749" s="1077">
        <v>110</v>
      </c>
      <c r="X1749" s="1077">
        <v>60</v>
      </c>
      <c r="Y1749" s="1077">
        <v>1.7</v>
      </c>
      <c r="Z1749" s="1077" t="s">
        <v>648</v>
      </c>
      <c r="AA1749" s="1077" t="s">
        <v>4241</v>
      </c>
      <c r="AB1749" s="1077" t="s">
        <v>981</v>
      </c>
      <c r="AH1749" s="1077" t="s">
        <v>646</v>
      </c>
      <c r="AM1749" s="1078" t="s">
        <v>12505</v>
      </c>
      <c r="AN1749" s="1078" t="s">
        <v>12506</v>
      </c>
      <c r="AO1749" s="1078">
        <f t="shared" si="222"/>
        <v>600</v>
      </c>
      <c r="AP1749" s="1078">
        <f t="shared" si="223"/>
        <v>1.7250000000000001</v>
      </c>
      <c r="AQ1749" s="1078" t="str">
        <f t="shared" si="224"/>
        <v>1-5-1S85°Z+S</v>
      </c>
      <c r="AR1749" s="1078" t="str">
        <f t="shared" si="225"/>
        <v>NA</v>
      </c>
      <c r="AS1749" s="1078" t="str">
        <f t="shared" si="226"/>
        <v>178/OFF</v>
      </c>
      <c r="AT1749" s="1078" t="str">
        <f t="shared" si="227"/>
        <v>1-5-1S85°Z+S</v>
      </c>
      <c r="AU1749" s="1078" t="s">
        <v>15547</v>
      </c>
      <c r="AV1749" s="1078" t="str">
        <f t="shared" si="220"/>
        <v>110.11.15</v>
      </c>
      <c r="AW1749" s="1344">
        <f t="shared" si="221"/>
        <v>44515</v>
      </c>
    </row>
    <row r="1750" spans="1:49">
      <c r="A1750" s="1077" t="s">
        <v>5872</v>
      </c>
      <c r="B1750" s="1077" t="s">
        <v>5873</v>
      </c>
      <c r="C1750" s="1077">
        <v>650</v>
      </c>
      <c r="D1750" s="1077">
        <v>1.77</v>
      </c>
      <c r="E1750" s="1077" t="s">
        <v>15095</v>
      </c>
      <c r="F1750" s="1077" t="s">
        <v>2234</v>
      </c>
      <c r="G1750" s="1077">
        <v>5</v>
      </c>
      <c r="H1750" s="1077" t="s">
        <v>5874</v>
      </c>
      <c r="I1750" s="1077" t="s">
        <v>460</v>
      </c>
      <c r="J1750" s="1077">
        <v>2.4</v>
      </c>
      <c r="K1750" s="1077" t="s">
        <v>5875</v>
      </c>
      <c r="L1750" s="1077" t="s">
        <v>5876</v>
      </c>
      <c r="M1750" s="1077">
        <v>152</v>
      </c>
      <c r="N1750" s="1077" t="s">
        <v>945</v>
      </c>
      <c r="O1750" s="1077">
        <v>3.8000000000000003</v>
      </c>
      <c r="P1750" s="1077">
        <v>3.04</v>
      </c>
      <c r="Q1750" s="1077">
        <v>3.5</v>
      </c>
      <c r="R1750" s="1077">
        <v>22</v>
      </c>
      <c r="T1750" s="1077">
        <v>29</v>
      </c>
      <c r="U1750" s="1077">
        <v>3.8</v>
      </c>
      <c r="V1750" s="1077" t="s">
        <v>648</v>
      </c>
      <c r="W1750" s="1077">
        <v>110</v>
      </c>
      <c r="X1750" s="1077">
        <v>60</v>
      </c>
      <c r="Y1750" s="1077">
        <v>1.5</v>
      </c>
      <c r="Z1750" s="1077">
        <v>6</v>
      </c>
      <c r="AA1750" s="1077" t="s">
        <v>5877</v>
      </c>
      <c r="AH1750" s="1077" t="s">
        <v>887</v>
      </c>
      <c r="AM1750" s="1078" t="s">
        <v>12507</v>
      </c>
      <c r="AN1750" s="1078" t="s">
        <v>12508</v>
      </c>
      <c r="AO1750" s="1078">
        <f t="shared" si="222"/>
        <v>650</v>
      </c>
      <c r="AP1750" s="1078">
        <f t="shared" si="223"/>
        <v>1.77</v>
      </c>
      <c r="AQ1750" s="1078" t="str">
        <f t="shared" si="224"/>
        <v>1-5-1S83°</v>
      </c>
      <c r="AR1750" s="1078" t="str">
        <f t="shared" si="225"/>
        <v>33.5</v>
      </c>
      <c r="AS1750" s="1078" t="str">
        <f t="shared" si="226"/>
        <v>345/345/OFF</v>
      </c>
      <c r="AT1750" s="1078" t="str">
        <f t="shared" si="227"/>
        <v>1-5-1S83°</v>
      </c>
      <c r="AV1750" s="1078" t="str">
        <f t="shared" si="220"/>
        <v>111.11.8</v>
      </c>
      <c r="AW1750" s="1344">
        <f t="shared" si="221"/>
        <v>44873</v>
      </c>
    </row>
    <row r="1751" spans="1:49">
      <c r="A1751" s="1077" t="s">
        <v>5878</v>
      </c>
      <c r="B1751" s="1077" t="s">
        <v>5372</v>
      </c>
      <c r="C1751" s="1077">
        <v>600</v>
      </c>
      <c r="D1751" s="1077">
        <v>1.7250000000000001</v>
      </c>
      <c r="E1751" s="1077" t="s">
        <v>15108</v>
      </c>
      <c r="F1751" s="1077" t="s">
        <v>648</v>
      </c>
      <c r="G1751" s="1077">
        <v>5</v>
      </c>
      <c r="H1751" s="1077" t="s">
        <v>955</v>
      </c>
      <c r="I1751" s="1077" t="s">
        <v>126</v>
      </c>
      <c r="J1751" s="1077">
        <v>1.5</v>
      </c>
      <c r="K1751" s="1077" t="s">
        <v>5791</v>
      </c>
      <c r="L1751" s="1077" t="s">
        <v>2104</v>
      </c>
      <c r="M1751" s="1077">
        <v>149</v>
      </c>
      <c r="N1751" s="1077" t="s">
        <v>945</v>
      </c>
      <c r="O1751" s="1077">
        <v>3.7250000000000001</v>
      </c>
      <c r="P1751" s="1077">
        <v>2.98</v>
      </c>
      <c r="Q1751" s="1077">
        <v>4</v>
      </c>
      <c r="R1751" s="1077">
        <v>21.8</v>
      </c>
      <c r="T1751" s="1077">
        <v>22.6</v>
      </c>
      <c r="U1751" s="1077">
        <v>3.6</v>
      </c>
      <c r="V1751" s="1077" t="s">
        <v>648</v>
      </c>
      <c r="W1751" s="1077">
        <v>120</v>
      </c>
      <c r="X1751" s="1077" t="s">
        <v>5846</v>
      </c>
      <c r="Y1751" s="1077">
        <v>1.5</v>
      </c>
      <c r="Z1751" s="1077" t="s">
        <v>648</v>
      </c>
      <c r="AA1751" s="1077" t="s">
        <v>5879</v>
      </c>
      <c r="AH1751" s="1077" t="s">
        <v>994</v>
      </c>
      <c r="AM1751" s="1078" t="s">
        <v>12509</v>
      </c>
      <c r="AN1751" s="1078" t="s">
        <v>12510</v>
      </c>
      <c r="AO1751" s="1078">
        <f t="shared" si="222"/>
        <v>600</v>
      </c>
      <c r="AP1751" s="1078">
        <f t="shared" si="223"/>
        <v>1.7250000000000001</v>
      </c>
      <c r="AQ1751" s="1078" t="str">
        <f t="shared" si="224"/>
        <v>1-4-1S83°Z+S</v>
      </c>
      <c r="AR1751" s="1078" t="str">
        <f t="shared" si="225"/>
        <v>NA</v>
      </c>
      <c r="AS1751" s="1078" t="str">
        <f t="shared" si="226"/>
        <v>260/260/OFF</v>
      </c>
      <c r="AT1751" s="1078" t="str">
        <f t="shared" si="227"/>
        <v>1-4-1S83°Z+S</v>
      </c>
      <c r="AU1751" s="1078" t="s">
        <v>15547</v>
      </c>
      <c r="AV1751" s="1078" t="str">
        <f t="shared" si="220"/>
        <v>111.11.10</v>
      </c>
      <c r="AW1751" s="1344">
        <f t="shared" si="221"/>
        <v>44875</v>
      </c>
    </row>
    <row r="1752" spans="1:49">
      <c r="A1752" s="1077" t="s">
        <v>5880</v>
      </c>
      <c r="B1752" s="1077" t="s">
        <v>210</v>
      </c>
      <c r="C1752" s="1077" t="s">
        <v>3206</v>
      </c>
      <c r="D1752" s="1077">
        <v>1.77</v>
      </c>
      <c r="E1752" s="1077" t="s">
        <v>15094</v>
      </c>
      <c r="F1752" s="1077" t="s">
        <v>4013</v>
      </c>
      <c r="G1752" s="1077">
        <v>5</v>
      </c>
      <c r="H1752" s="1077" t="s">
        <v>5881</v>
      </c>
      <c r="I1752" s="1077" t="s">
        <v>126</v>
      </c>
      <c r="J1752" s="1077">
        <v>1.6</v>
      </c>
      <c r="K1752" s="1077" t="s">
        <v>5632</v>
      </c>
      <c r="L1752" s="1077" t="s">
        <v>4666</v>
      </c>
      <c r="M1752" s="1077">
        <v>152.19999999999999</v>
      </c>
      <c r="N1752" s="1077" t="s">
        <v>945</v>
      </c>
      <c r="O1752" s="1077">
        <v>3.8049999999999997</v>
      </c>
      <c r="P1752" s="1077">
        <v>3.044</v>
      </c>
      <c r="Q1752" s="1077">
        <v>4</v>
      </c>
      <c r="R1752" s="1077">
        <v>19</v>
      </c>
      <c r="T1752" s="1077">
        <v>16</v>
      </c>
      <c r="U1752" s="1077">
        <v>4</v>
      </c>
      <c r="V1752" s="1077" t="s">
        <v>648</v>
      </c>
      <c r="W1752" s="1077">
        <v>95</v>
      </c>
      <c r="X1752" s="1077">
        <v>20</v>
      </c>
      <c r="Y1752" s="1077">
        <v>1.5</v>
      </c>
      <c r="Z1752" s="1077">
        <v>5</v>
      </c>
      <c r="AA1752" s="1077" t="s">
        <v>3282</v>
      </c>
      <c r="AH1752" s="1077" t="s">
        <v>3213</v>
      </c>
      <c r="AM1752" s="1078" t="s">
        <v>12511</v>
      </c>
      <c r="AN1752" s="1078" t="s">
        <v>12512</v>
      </c>
      <c r="AO1752" s="1078" t="str">
        <f t="shared" si="222"/>
        <v>600↑650-12/5</v>
      </c>
      <c r="AP1752" s="1078">
        <f t="shared" si="223"/>
        <v>1.77</v>
      </c>
      <c r="AQ1752" s="1078" t="str">
        <f t="shared" si="224"/>
        <v>1-5-1S91°</v>
      </c>
      <c r="AR1752" s="1078" t="str">
        <f t="shared" si="225"/>
        <v>30.3</v>
      </c>
      <c r="AS1752" s="1078" t="str">
        <f t="shared" si="226"/>
        <v>309/269/158</v>
      </c>
      <c r="AT1752" s="1078" t="str">
        <f t="shared" si="227"/>
        <v>1-5-1S91°</v>
      </c>
      <c r="AV1752" s="1078" t="str">
        <f t="shared" si="220"/>
        <v>111.11.14</v>
      </c>
      <c r="AW1752" s="1344">
        <f t="shared" si="221"/>
        <v>44879</v>
      </c>
    </row>
    <row r="1753" spans="1:49">
      <c r="A1753" s="1077" t="s">
        <v>5882</v>
      </c>
      <c r="B1753" s="1077" t="s">
        <v>4767</v>
      </c>
      <c r="C1753" s="1077">
        <v>650</v>
      </c>
      <c r="D1753" s="1077">
        <v>1.73</v>
      </c>
      <c r="E1753" s="1077" t="s">
        <v>15121</v>
      </c>
      <c r="F1753" s="1077" t="s">
        <v>648</v>
      </c>
      <c r="G1753" s="1077">
        <v>5</v>
      </c>
      <c r="H1753" s="1077" t="s">
        <v>2192</v>
      </c>
      <c r="I1753" s="1077" t="s">
        <v>126</v>
      </c>
      <c r="J1753" s="1077">
        <v>1.4</v>
      </c>
      <c r="K1753" s="1077" t="s">
        <v>5529</v>
      </c>
      <c r="L1753" s="1077" t="s">
        <v>1776</v>
      </c>
      <c r="M1753" s="1077">
        <v>148</v>
      </c>
      <c r="N1753" s="1077" t="s">
        <v>945</v>
      </c>
      <c r="O1753" s="1077">
        <v>3.7</v>
      </c>
      <c r="P1753" s="1077">
        <v>2.96</v>
      </c>
      <c r="Q1753" s="1077">
        <v>4</v>
      </c>
      <c r="R1753" s="1077">
        <v>20.8</v>
      </c>
      <c r="T1753" s="1077">
        <v>20.399999999999999</v>
      </c>
      <c r="U1753" s="1077">
        <v>3.8</v>
      </c>
      <c r="V1753" s="1077" t="s">
        <v>648</v>
      </c>
      <c r="W1753" s="1077">
        <v>110</v>
      </c>
      <c r="X1753" s="1077">
        <v>60</v>
      </c>
      <c r="Y1753" s="1077">
        <v>1.7</v>
      </c>
      <c r="Z1753" s="1077" t="s">
        <v>648</v>
      </c>
      <c r="AA1753" s="1077" t="s">
        <v>1541</v>
      </c>
      <c r="AB1753" s="1077" t="s">
        <v>981</v>
      </c>
      <c r="AH1753" s="1077" t="s">
        <v>647</v>
      </c>
      <c r="AM1753" s="1078" t="s">
        <v>12513</v>
      </c>
      <c r="AN1753" s="1078" t="s">
        <v>12514</v>
      </c>
      <c r="AO1753" s="1078">
        <f t="shared" si="222"/>
        <v>650</v>
      </c>
      <c r="AP1753" s="1078">
        <f t="shared" si="223"/>
        <v>1.73</v>
      </c>
      <c r="AQ1753" s="1078" t="str">
        <f t="shared" si="224"/>
        <v>1-5-1S85°S+Z</v>
      </c>
      <c r="AR1753" s="1078" t="str">
        <f t="shared" si="225"/>
        <v>NA</v>
      </c>
      <c r="AS1753" s="1078" t="str">
        <f t="shared" si="226"/>
        <v>180/OFF</v>
      </c>
      <c r="AT1753" s="1078" t="str">
        <f t="shared" si="227"/>
        <v>1-5-1S85°S+Z</v>
      </c>
      <c r="AU1753" s="1078" t="s">
        <v>15550</v>
      </c>
      <c r="AV1753" s="1078" t="str">
        <f t="shared" si="220"/>
        <v>111.11.11</v>
      </c>
      <c r="AW1753" s="1344">
        <f t="shared" si="221"/>
        <v>44876</v>
      </c>
    </row>
    <row r="1754" spans="1:49">
      <c r="A1754" s="1077" t="s">
        <v>5883</v>
      </c>
      <c r="B1754" s="1077" t="s">
        <v>4767</v>
      </c>
      <c r="C1754" s="1077">
        <v>600</v>
      </c>
      <c r="D1754" s="1077">
        <v>1.7250000000000001</v>
      </c>
      <c r="E1754" s="1077" t="s">
        <v>15108</v>
      </c>
      <c r="F1754" s="1077" t="s">
        <v>648</v>
      </c>
      <c r="G1754" s="1077">
        <v>5</v>
      </c>
      <c r="H1754" s="1077" t="s">
        <v>1029</v>
      </c>
      <c r="I1754" s="1077" t="s">
        <v>126</v>
      </c>
      <c r="J1754" s="1077">
        <v>1.7</v>
      </c>
      <c r="K1754" s="1077" t="s">
        <v>5884</v>
      </c>
      <c r="L1754" s="1077" t="s">
        <v>1776</v>
      </c>
      <c r="M1754" s="1077">
        <v>148.19999999999999</v>
      </c>
      <c r="N1754" s="1077" t="s">
        <v>945</v>
      </c>
      <c r="O1754" s="1077">
        <v>3.7050000000000001</v>
      </c>
      <c r="P1754" s="1077">
        <v>2.964</v>
      </c>
      <c r="Q1754" s="1077">
        <v>4</v>
      </c>
      <c r="R1754" s="1077">
        <v>20.8</v>
      </c>
      <c r="T1754" s="1077">
        <v>19.399999999999999</v>
      </c>
      <c r="U1754" s="1077">
        <v>3.6</v>
      </c>
      <c r="V1754" s="1077" t="s">
        <v>648</v>
      </c>
      <c r="W1754" s="1077">
        <v>120</v>
      </c>
      <c r="X1754" s="1077" t="s">
        <v>5885</v>
      </c>
      <c r="Y1754" s="1077">
        <v>1.5</v>
      </c>
      <c r="Z1754" s="1077" t="s">
        <v>648</v>
      </c>
      <c r="AA1754" s="1077" t="s">
        <v>3282</v>
      </c>
      <c r="AH1754" s="1077" t="s">
        <v>762</v>
      </c>
      <c r="AM1754" s="1078" t="s">
        <v>12515</v>
      </c>
      <c r="AN1754" s="1078" t="s">
        <v>12516</v>
      </c>
      <c r="AO1754" s="1078">
        <f t="shared" si="222"/>
        <v>600</v>
      </c>
      <c r="AP1754" s="1078">
        <f t="shared" si="223"/>
        <v>1.7250000000000001</v>
      </c>
      <c r="AQ1754" s="1078" t="str">
        <f t="shared" si="224"/>
        <v>1-4-1S83°Z+S</v>
      </c>
      <c r="AR1754" s="1078" t="str">
        <f t="shared" si="225"/>
        <v>NA</v>
      </c>
      <c r="AS1754" s="1078" t="str">
        <f t="shared" si="226"/>
        <v>250/250/OFF</v>
      </c>
      <c r="AT1754" s="1078" t="str">
        <f t="shared" si="227"/>
        <v>1-4-1S83°Z+S</v>
      </c>
      <c r="AU1754" s="1078" t="s">
        <v>15547</v>
      </c>
      <c r="AV1754" s="1078" t="str">
        <f t="shared" si="220"/>
        <v>111.11.14</v>
      </c>
      <c r="AW1754" s="1344">
        <f t="shared" si="221"/>
        <v>44879</v>
      </c>
    </row>
    <row r="1755" spans="1:49">
      <c r="A1755" s="1077" t="s">
        <v>5886</v>
      </c>
      <c r="B1755" s="1077" t="s">
        <v>5887</v>
      </c>
      <c r="C1755" s="1077">
        <v>600</v>
      </c>
      <c r="D1755" s="1077">
        <v>1.8049999999999999</v>
      </c>
      <c r="E1755" s="1077" t="s">
        <v>15094</v>
      </c>
      <c r="F1755" s="1077" t="s">
        <v>2234</v>
      </c>
      <c r="G1755" s="1077">
        <v>5</v>
      </c>
      <c r="H1755" s="1077" t="s">
        <v>5888</v>
      </c>
      <c r="I1755" s="1077" t="s">
        <v>126</v>
      </c>
      <c r="J1755" s="1077">
        <v>3</v>
      </c>
      <c r="K1755" s="1077" t="s">
        <v>5889</v>
      </c>
      <c r="L1755" s="1077" t="s">
        <v>5787</v>
      </c>
      <c r="M1755" s="1077">
        <v>150.19999999999999</v>
      </c>
      <c r="N1755" s="1077" t="s">
        <v>945</v>
      </c>
      <c r="O1755" s="1077">
        <v>3.7549999999999999</v>
      </c>
      <c r="P1755" s="1077">
        <v>3.004</v>
      </c>
      <c r="Q1755" s="1077">
        <v>4</v>
      </c>
      <c r="R1755" s="1077">
        <v>21.7</v>
      </c>
      <c r="T1755" s="1077">
        <v>30.1</v>
      </c>
      <c r="U1755" s="1077">
        <v>3.1</v>
      </c>
      <c r="V1755" s="1077" t="s">
        <v>648</v>
      </c>
      <c r="W1755" s="1077" t="s">
        <v>1549</v>
      </c>
      <c r="X1755" s="1077" t="s">
        <v>3552</v>
      </c>
      <c r="Y1755" s="1077">
        <v>2</v>
      </c>
      <c r="Z1755" s="1077">
        <v>7</v>
      </c>
      <c r="AA1755" s="1077" t="s">
        <v>5890</v>
      </c>
      <c r="AH1755" s="1077" t="s">
        <v>830</v>
      </c>
      <c r="AM1755" s="1078" t="s">
        <v>12517</v>
      </c>
      <c r="AN1755" s="1078" t="s">
        <v>12518</v>
      </c>
      <c r="AO1755" s="1078">
        <f t="shared" si="222"/>
        <v>600</v>
      </c>
      <c r="AP1755" s="1078">
        <f t="shared" si="223"/>
        <v>1.8049999999999999</v>
      </c>
      <c r="AQ1755" s="1078" t="str">
        <f t="shared" si="224"/>
        <v>1-5-1S91°</v>
      </c>
      <c r="AR1755" s="1078" t="str">
        <f t="shared" si="225"/>
        <v>33.5</v>
      </c>
      <c r="AS1755" s="1078" t="str">
        <f t="shared" si="226"/>
        <v>340/340/OFF</v>
      </c>
      <c r="AT1755" s="1078" t="str">
        <f t="shared" si="227"/>
        <v>1-5-1S91°</v>
      </c>
      <c r="AV1755" s="1078" t="str">
        <f t="shared" si="220"/>
        <v>111.11.18</v>
      </c>
      <c r="AW1755" s="1344">
        <f t="shared" si="221"/>
        <v>44883</v>
      </c>
    </row>
    <row r="1756" spans="1:49">
      <c r="A1756" s="1077" t="s">
        <v>5891</v>
      </c>
      <c r="B1756" s="1077" t="s">
        <v>210</v>
      </c>
      <c r="C1756" s="1077">
        <v>600</v>
      </c>
      <c r="D1756" s="1077">
        <v>1.78</v>
      </c>
      <c r="E1756" s="1077" t="s">
        <v>15102</v>
      </c>
      <c r="F1756" s="1077" t="s">
        <v>4718</v>
      </c>
      <c r="G1756" s="1077">
        <v>5</v>
      </c>
      <c r="H1756" s="1077" t="s">
        <v>5892</v>
      </c>
      <c r="I1756" s="1077" t="s">
        <v>1112</v>
      </c>
      <c r="J1756" s="1077">
        <v>1.4</v>
      </c>
      <c r="K1756" s="1077" t="s">
        <v>5632</v>
      </c>
      <c r="L1756" s="1077" t="s">
        <v>4666</v>
      </c>
      <c r="M1756" s="1077">
        <v>152.19999999999999</v>
      </c>
      <c r="N1756" s="1077" t="s">
        <v>945</v>
      </c>
      <c r="O1756" s="1077">
        <v>3.8049999999999997</v>
      </c>
      <c r="P1756" s="1077">
        <v>3.044</v>
      </c>
      <c r="Q1756" s="1077">
        <v>3.5</v>
      </c>
      <c r="R1756" s="1077">
        <v>19</v>
      </c>
      <c r="T1756" s="1077">
        <v>16</v>
      </c>
      <c r="U1756" s="1077">
        <v>4</v>
      </c>
      <c r="V1756" s="1077" t="s">
        <v>648</v>
      </c>
      <c r="W1756" s="1077">
        <v>95</v>
      </c>
      <c r="X1756" s="1077">
        <v>20</v>
      </c>
      <c r="Y1756" s="1077">
        <v>1.3</v>
      </c>
      <c r="Z1756" s="1077">
        <v>5</v>
      </c>
      <c r="AA1756" s="1077" t="s">
        <v>5893</v>
      </c>
      <c r="AH1756" s="1077" t="s">
        <v>948</v>
      </c>
      <c r="AM1756" s="1078" t="s">
        <v>12519</v>
      </c>
      <c r="AN1756" s="1078" t="s">
        <v>12520</v>
      </c>
      <c r="AO1756" s="1078">
        <f t="shared" si="222"/>
        <v>600</v>
      </c>
      <c r="AP1756" s="1078">
        <f t="shared" si="223"/>
        <v>1.78</v>
      </c>
      <c r="AQ1756" s="1078" t="str">
        <f t="shared" si="224"/>
        <v>2-6-1S83°</v>
      </c>
      <c r="AR1756" s="1078" t="str">
        <f t="shared" si="225"/>
        <v>31.3</v>
      </c>
      <c r="AS1756" s="1078" t="str">
        <f t="shared" si="226"/>
        <v>163/165</v>
      </c>
      <c r="AT1756" s="1078" t="str">
        <f t="shared" si="227"/>
        <v>2-6-1S83°</v>
      </c>
      <c r="AV1756" s="1078" t="str">
        <f t="shared" si="220"/>
        <v>111.12.5</v>
      </c>
      <c r="AW1756" s="1344">
        <f t="shared" si="221"/>
        <v>44900</v>
      </c>
    </row>
    <row r="1757" spans="1:49">
      <c r="A1757" s="1077" t="s">
        <v>5894</v>
      </c>
      <c r="B1757" s="1077" t="s">
        <v>4860</v>
      </c>
      <c r="C1757" s="1077">
        <v>500</v>
      </c>
      <c r="D1757" s="1077">
        <v>1.76</v>
      </c>
      <c r="E1757" s="1077" t="s">
        <v>15108</v>
      </c>
      <c r="F1757" s="1077" t="s">
        <v>4236</v>
      </c>
      <c r="G1757" s="1077">
        <v>5</v>
      </c>
      <c r="H1757" s="1077" t="s">
        <v>1061</v>
      </c>
      <c r="I1757" s="1077" t="s">
        <v>460</v>
      </c>
      <c r="J1757" s="1077">
        <v>1.8</v>
      </c>
      <c r="K1757" s="1077" t="s">
        <v>5895</v>
      </c>
      <c r="L1757" s="1077" t="s">
        <v>4864</v>
      </c>
      <c r="M1757" s="1077">
        <v>149.5</v>
      </c>
      <c r="N1757" s="1077" t="s">
        <v>945</v>
      </c>
      <c r="O1757" s="1077">
        <v>3.7375000000000003</v>
      </c>
      <c r="P1757" s="1077">
        <v>2.99</v>
      </c>
      <c r="Q1757" s="1077">
        <v>4</v>
      </c>
      <c r="R1757" s="1077">
        <v>21</v>
      </c>
      <c r="T1757" s="1077">
        <v>37</v>
      </c>
      <c r="U1757" s="1077">
        <v>3.7</v>
      </c>
      <c r="V1757" s="1077" t="s">
        <v>648</v>
      </c>
      <c r="W1757" s="1077">
        <v>110</v>
      </c>
      <c r="X1757" s="1077" t="s">
        <v>5896</v>
      </c>
      <c r="Y1757" s="1077">
        <v>2.2000000000000002</v>
      </c>
      <c r="Z1757" s="1077" t="s">
        <v>648</v>
      </c>
      <c r="AA1757" s="1077" t="s">
        <v>5893</v>
      </c>
      <c r="AH1757" s="1077" t="s">
        <v>1238</v>
      </c>
      <c r="AM1757" s="1078" t="s">
        <v>12521</v>
      </c>
      <c r="AN1757" s="1078" t="s">
        <v>12522</v>
      </c>
      <c r="AO1757" s="1078">
        <f t="shared" si="222"/>
        <v>500</v>
      </c>
      <c r="AP1757" s="1078">
        <f t="shared" si="223"/>
        <v>1.76</v>
      </c>
      <c r="AQ1757" s="1078" t="str">
        <f t="shared" si="224"/>
        <v>1-4-1S83°Z+S</v>
      </c>
      <c r="AR1757" s="1078" t="str">
        <f t="shared" si="225"/>
        <v>34</v>
      </c>
      <c r="AS1757" s="1078" t="str">
        <f t="shared" si="226"/>
        <v>255/255/OFF</v>
      </c>
      <c r="AT1757" s="1078" t="str">
        <f t="shared" si="227"/>
        <v>1-4-1S83°Z+S</v>
      </c>
      <c r="AU1757" s="1078" t="s">
        <v>15547</v>
      </c>
      <c r="AV1757" s="1078" t="str">
        <f t="shared" si="220"/>
        <v>111.12.5</v>
      </c>
      <c r="AW1757" s="1344">
        <f t="shared" si="221"/>
        <v>44900</v>
      </c>
    </row>
    <row r="1758" spans="1:49">
      <c r="A1758" s="1077" t="s">
        <v>5897</v>
      </c>
      <c r="B1758" s="1077" t="s">
        <v>4767</v>
      </c>
      <c r="C1758" s="1077">
        <v>650</v>
      </c>
      <c r="D1758" s="1077">
        <v>1.72</v>
      </c>
      <c r="E1758" s="1077" t="s">
        <v>15104</v>
      </c>
      <c r="F1758" s="1077" t="s">
        <v>648</v>
      </c>
      <c r="G1758" s="1077">
        <v>5</v>
      </c>
      <c r="H1758" s="1077" t="s">
        <v>2192</v>
      </c>
      <c r="I1758" s="1077" t="s">
        <v>126</v>
      </c>
      <c r="J1758" s="1077">
        <v>1.6</v>
      </c>
      <c r="K1758" s="1077" t="s">
        <v>5898</v>
      </c>
      <c r="L1758" s="1077" t="s">
        <v>1776</v>
      </c>
      <c r="M1758" s="1077">
        <v>148</v>
      </c>
      <c r="N1758" s="1077" t="s">
        <v>945</v>
      </c>
      <c r="O1758" s="1077">
        <v>3.7</v>
      </c>
      <c r="P1758" s="1077">
        <v>2.96</v>
      </c>
      <c r="Q1758" s="1077">
        <v>4</v>
      </c>
      <c r="R1758" s="1077">
        <v>20.8</v>
      </c>
      <c r="T1758" s="1077">
        <v>20.399999999999999</v>
      </c>
      <c r="U1758" s="1077">
        <v>3.8</v>
      </c>
      <c r="V1758" s="1077" t="s">
        <v>648</v>
      </c>
      <c r="W1758" s="1077">
        <v>110</v>
      </c>
      <c r="X1758" s="1077" t="s">
        <v>3396</v>
      </c>
      <c r="Y1758" s="1077">
        <v>1.7</v>
      </c>
      <c r="Z1758" s="1077" t="s">
        <v>648</v>
      </c>
      <c r="AA1758" s="1077" t="s">
        <v>5841</v>
      </c>
      <c r="AB1758" s="1077" t="s">
        <v>981</v>
      </c>
      <c r="AH1758" s="1077" t="s">
        <v>1827</v>
      </c>
      <c r="AM1758" s="1078" t="s">
        <v>12523</v>
      </c>
      <c r="AN1758" s="1078" t="s">
        <v>12524</v>
      </c>
      <c r="AO1758" s="1078">
        <f t="shared" si="222"/>
        <v>650</v>
      </c>
      <c r="AP1758" s="1078">
        <f t="shared" si="223"/>
        <v>1.72</v>
      </c>
      <c r="AQ1758" s="1078" t="str">
        <f t="shared" si="224"/>
        <v>1-4-1S85°Z+S</v>
      </c>
      <c r="AR1758" s="1078" t="str">
        <f t="shared" si="225"/>
        <v>NA</v>
      </c>
      <c r="AS1758" s="1078" t="str">
        <f t="shared" si="226"/>
        <v>180/OFF</v>
      </c>
      <c r="AT1758" s="1078" t="str">
        <f t="shared" si="227"/>
        <v>1-4-1S85°Z+S</v>
      </c>
      <c r="AU1758" s="1078" t="s">
        <v>15547</v>
      </c>
      <c r="AV1758" s="1078" t="str">
        <f t="shared" si="220"/>
        <v>111.11.1</v>
      </c>
      <c r="AW1758" s="1344">
        <f t="shared" si="221"/>
        <v>44866</v>
      </c>
    </row>
    <row r="1759" spans="1:49">
      <c r="A1759" s="1077" t="s">
        <v>5899</v>
      </c>
      <c r="B1759" s="1077" t="s">
        <v>4860</v>
      </c>
      <c r="C1759" s="1077">
        <v>500</v>
      </c>
      <c r="D1759" s="1077">
        <v>1.76</v>
      </c>
      <c r="E1759" s="1077" t="s">
        <v>15108</v>
      </c>
      <c r="F1759" s="1077" t="s">
        <v>984</v>
      </c>
      <c r="G1759" s="1077">
        <v>5</v>
      </c>
      <c r="H1759" s="1077" t="s">
        <v>1061</v>
      </c>
      <c r="I1759" s="1077" t="s">
        <v>460</v>
      </c>
      <c r="J1759" s="1077">
        <v>1.8</v>
      </c>
      <c r="K1759" s="1077" t="s">
        <v>5650</v>
      </c>
      <c r="L1759" s="1077" t="s">
        <v>4864</v>
      </c>
      <c r="M1759" s="1077">
        <v>149.5</v>
      </c>
      <c r="N1759" s="1077" t="s">
        <v>945</v>
      </c>
      <c r="O1759" s="1077">
        <v>3.7375000000000003</v>
      </c>
      <c r="P1759" s="1077">
        <v>2.99</v>
      </c>
      <c r="Q1759" s="1077">
        <v>4</v>
      </c>
      <c r="R1759" s="1077">
        <v>21</v>
      </c>
      <c r="T1759" s="1077">
        <v>37</v>
      </c>
      <c r="U1759" s="1077">
        <v>3.7</v>
      </c>
      <c r="V1759" s="1077" t="s">
        <v>648</v>
      </c>
      <c r="W1759" s="1077">
        <v>110</v>
      </c>
      <c r="X1759" s="1077" t="s">
        <v>5900</v>
      </c>
      <c r="Y1759" s="1077">
        <v>2.2000000000000002</v>
      </c>
      <c r="Z1759" s="1077" t="s">
        <v>648</v>
      </c>
      <c r="AA1759" s="1077" t="s">
        <v>5893</v>
      </c>
      <c r="AH1759" s="1077" t="s">
        <v>758</v>
      </c>
      <c r="AM1759" s="1078" t="s">
        <v>12525</v>
      </c>
      <c r="AN1759" s="1078" t="s">
        <v>12526</v>
      </c>
      <c r="AO1759" s="1078">
        <f t="shared" si="222"/>
        <v>500</v>
      </c>
      <c r="AP1759" s="1078">
        <f t="shared" si="223"/>
        <v>1.76</v>
      </c>
      <c r="AQ1759" s="1078" t="str">
        <f t="shared" si="224"/>
        <v>1-4-1S83°Z+S</v>
      </c>
      <c r="AR1759" s="1078" t="str">
        <f t="shared" si="225"/>
        <v>30</v>
      </c>
      <c r="AS1759" s="1078" t="str">
        <f t="shared" si="226"/>
        <v>255/255/OFF</v>
      </c>
      <c r="AT1759" s="1078" t="str">
        <f t="shared" si="227"/>
        <v>1-4-1S83°Z+S</v>
      </c>
      <c r="AU1759" s="1078" t="s">
        <v>15547</v>
      </c>
      <c r="AV1759" s="1078" t="str">
        <f t="shared" si="220"/>
        <v>111.12.5</v>
      </c>
      <c r="AW1759" s="1344">
        <f t="shared" si="221"/>
        <v>44900</v>
      </c>
    </row>
    <row r="1760" spans="1:49">
      <c r="A1760" s="1077" t="s">
        <v>5901</v>
      </c>
      <c r="B1760" s="1077" t="s">
        <v>4950</v>
      </c>
      <c r="C1760" s="1077">
        <v>500</v>
      </c>
      <c r="D1760" s="1077">
        <v>1.79</v>
      </c>
      <c r="E1760" s="1077" t="s">
        <v>15099</v>
      </c>
      <c r="F1760" s="1077" t="s">
        <v>984</v>
      </c>
      <c r="G1760" s="1077">
        <v>5</v>
      </c>
      <c r="H1760" s="1077" t="s">
        <v>1061</v>
      </c>
      <c r="I1760" s="1077" t="s">
        <v>126</v>
      </c>
      <c r="J1760" s="1077">
        <v>0.6</v>
      </c>
      <c r="K1760" s="1077" t="s">
        <v>5902</v>
      </c>
      <c r="L1760" s="1077" t="s">
        <v>4952</v>
      </c>
      <c r="M1760" s="1077">
        <v>152.5</v>
      </c>
      <c r="N1760" s="1077" t="s">
        <v>945</v>
      </c>
      <c r="O1760" s="1077">
        <v>3.8125</v>
      </c>
      <c r="P1760" s="1077">
        <v>3.0500000000000003</v>
      </c>
      <c r="Q1760" s="1077">
        <v>3</v>
      </c>
      <c r="R1760" s="1077">
        <v>28.5</v>
      </c>
      <c r="T1760" s="1077">
        <v>19.2</v>
      </c>
      <c r="U1760" s="1077">
        <v>5.0999999999999996</v>
      </c>
      <c r="V1760" s="1077" t="s">
        <v>648</v>
      </c>
      <c r="W1760" s="1077" t="s">
        <v>3416</v>
      </c>
      <c r="X1760" s="1077">
        <v>10</v>
      </c>
      <c r="Y1760" s="1077">
        <v>1.6</v>
      </c>
      <c r="Z1760" s="1077">
        <v>7</v>
      </c>
      <c r="AA1760" s="1077" t="s">
        <v>3298</v>
      </c>
      <c r="AH1760" s="1077" t="s">
        <v>2055</v>
      </c>
      <c r="AM1760" s="1078" t="s">
        <v>12527</v>
      </c>
      <c r="AN1760" s="1078" t="s">
        <v>12528</v>
      </c>
      <c r="AO1760" s="1078">
        <f t="shared" si="222"/>
        <v>500</v>
      </c>
      <c r="AP1760" s="1078">
        <f t="shared" si="223"/>
        <v>1.79</v>
      </c>
      <c r="AQ1760" s="1078" t="str">
        <f t="shared" si="224"/>
        <v>1-5-1S87°</v>
      </c>
      <c r="AR1760" s="1078" t="str">
        <f t="shared" si="225"/>
        <v>30</v>
      </c>
      <c r="AS1760" s="1078" t="str">
        <f t="shared" si="226"/>
        <v>255/255/OFF</v>
      </c>
      <c r="AT1760" s="1078" t="str">
        <f t="shared" si="227"/>
        <v>1-5-1S87°</v>
      </c>
      <c r="AV1760" s="1078" t="str">
        <f t="shared" si="220"/>
        <v>111.12.6</v>
      </c>
      <c r="AW1760" s="1344">
        <f t="shared" si="221"/>
        <v>44901</v>
      </c>
    </row>
    <row r="1761" spans="1:49">
      <c r="A1761" s="1077" t="s">
        <v>5903</v>
      </c>
      <c r="B1761" s="1077" t="s">
        <v>4767</v>
      </c>
      <c r="C1761" s="1077">
        <v>650</v>
      </c>
      <c r="D1761" s="1077">
        <v>1.73</v>
      </c>
      <c r="E1761" s="1077" t="s">
        <v>15121</v>
      </c>
      <c r="F1761" s="1077" t="s">
        <v>648</v>
      </c>
      <c r="G1761" s="1077">
        <v>5</v>
      </c>
      <c r="H1761" s="1077" t="s">
        <v>2192</v>
      </c>
      <c r="I1761" s="1077" t="s">
        <v>126</v>
      </c>
      <c r="J1761" s="1077">
        <v>1.6</v>
      </c>
      <c r="K1761" s="1077" t="s">
        <v>5898</v>
      </c>
      <c r="L1761" s="1077" t="s">
        <v>1776</v>
      </c>
      <c r="M1761" s="1077">
        <v>148</v>
      </c>
      <c r="N1761" s="1077" t="s">
        <v>945</v>
      </c>
      <c r="O1761" s="1077">
        <v>3.7</v>
      </c>
      <c r="P1761" s="1077">
        <v>2.96</v>
      </c>
      <c r="Q1761" s="1077">
        <v>4</v>
      </c>
      <c r="R1761" s="1077">
        <v>20.8</v>
      </c>
      <c r="T1761" s="1077">
        <v>20.399999999999999</v>
      </c>
      <c r="U1761" s="1077">
        <v>3.8</v>
      </c>
      <c r="V1761" s="1077" t="s">
        <v>648</v>
      </c>
      <c r="W1761" s="1077">
        <v>110</v>
      </c>
      <c r="X1761" s="1077" t="s">
        <v>3396</v>
      </c>
      <c r="Y1761" s="1077">
        <v>1.7</v>
      </c>
      <c r="Z1761" s="1077" t="s">
        <v>648</v>
      </c>
      <c r="AA1761" s="1077" t="s">
        <v>5893</v>
      </c>
      <c r="AB1761" s="1077" t="s">
        <v>981</v>
      </c>
      <c r="AH1761" s="1077" t="s">
        <v>1486</v>
      </c>
      <c r="AM1761" s="1078" t="s">
        <v>12529</v>
      </c>
      <c r="AN1761" s="1078" t="s">
        <v>12530</v>
      </c>
      <c r="AO1761" s="1078">
        <f t="shared" si="222"/>
        <v>650</v>
      </c>
      <c r="AP1761" s="1078">
        <f t="shared" si="223"/>
        <v>1.73</v>
      </c>
      <c r="AQ1761" s="1078" t="str">
        <f t="shared" si="224"/>
        <v>1-5-1S85°S+Z</v>
      </c>
      <c r="AR1761" s="1078" t="str">
        <f t="shared" si="225"/>
        <v>NA</v>
      </c>
      <c r="AS1761" s="1078" t="str">
        <f t="shared" si="226"/>
        <v>180/OFF</v>
      </c>
      <c r="AT1761" s="1078" t="str">
        <f t="shared" si="227"/>
        <v>1-5-1S85°S+Z</v>
      </c>
      <c r="AU1761" s="1078" t="s">
        <v>15550</v>
      </c>
      <c r="AV1761" s="1078" t="str">
        <f t="shared" si="220"/>
        <v>111.12.5</v>
      </c>
      <c r="AW1761" s="1344">
        <f t="shared" si="221"/>
        <v>44900</v>
      </c>
    </row>
    <row r="1762" spans="1:49">
      <c r="A1762" s="1077" t="s">
        <v>5904</v>
      </c>
      <c r="B1762" s="1077" t="s">
        <v>210</v>
      </c>
      <c r="C1762" s="1077">
        <v>600</v>
      </c>
      <c r="D1762" s="1077">
        <v>1.78</v>
      </c>
      <c r="E1762" s="1077" t="s">
        <v>15102</v>
      </c>
      <c r="F1762" s="1077" t="s">
        <v>1469</v>
      </c>
      <c r="G1762" s="1077">
        <v>5</v>
      </c>
      <c r="H1762" s="1077" t="s">
        <v>5905</v>
      </c>
      <c r="I1762" s="1077" t="s">
        <v>1112</v>
      </c>
      <c r="J1762" s="1077" t="s">
        <v>5906</v>
      </c>
      <c r="K1762" s="1077" t="s">
        <v>5632</v>
      </c>
      <c r="L1762" s="1077" t="s">
        <v>4666</v>
      </c>
      <c r="M1762" s="1077">
        <v>152.19999999999999</v>
      </c>
      <c r="N1762" s="1077" t="s">
        <v>945</v>
      </c>
      <c r="O1762" s="1077">
        <v>3.8049999999999997</v>
      </c>
      <c r="P1762" s="1077">
        <v>3.044</v>
      </c>
      <c r="Q1762" s="1077">
        <v>3.5</v>
      </c>
      <c r="R1762" s="1077">
        <v>19</v>
      </c>
      <c r="T1762" s="1077">
        <v>16</v>
      </c>
      <c r="U1762" s="1077">
        <v>4</v>
      </c>
      <c r="V1762" s="1077" t="s">
        <v>648</v>
      </c>
      <c r="W1762" s="1077">
        <v>95</v>
      </c>
      <c r="X1762" s="1077" t="s">
        <v>5907</v>
      </c>
      <c r="Y1762" s="1077">
        <v>1.3</v>
      </c>
      <c r="Z1762" s="1077">
        <v>5</v>
      </c>
      <c r="AA1762" s="1077" t="s">
        <v>3298</v>
      </c>
      <c r="AB1762" s="1077" t="s">
        <v>5908</v>
      </c>
      <c r="AH1762" s="1077" t="s">
        <v>1023</v>
      </c>
      <c r="AM1762" s="1078" t="s">
        <v>12531</v>
      </c>
      <c r="AN1762" s="1078" t="s">
        <v>12532</v>
      </c>
      <c r="AO1762" s="1078">
        <f t="shared" si="222"/>
        <v>600</v>
      </c>
      <c r="AP1762" s="1078">
        <f t="shared" si="223"/>
        <v>1.78</v>
      </c>
      <c r="AQ1762" s="1078" t="str">
        <f t="shared" si="224"/>
        <v>2-6-1S83°</v>
      </c>
      <c r="AR1762" s="1078" t="str">
        <f t="shared" si="225"/>
        <v>30.5</v>
      </c>
      <c r="AS1762" s="1078" t="str">
        <f t="shared" si="226"/>
        <v>161/165</v>
      </c>
      <c r="AT1762" s="1078" t="str">
        <f t="shared" si="227"/>
        <v>2-6-1S83°</v>
      </c>
      <c r="AV1762" s="1078" t="str">
        <f t="shared" si="220"/>
        <v>111.12.6</v>
      </c>
      <c r="AW1762" s="1344">
        <f t="shared" si="221"/>
        <v>44901</v>
      </c>
    </row>
    <row r="1763" spans="1:49">
      <c r="A1763" s="1077" t="s">
        <v>5909</v>
      </c>
      <c r="B1763" s="1077" t="s">
        <v>210</v>
      </c>
      <c r="C1763" s="1077">
        <v>600</v>
      </c>
      <c r="D1763" s="1077">
        <v>1.78</v>
      </c>
      <c r="E1763" s="1077" t="s">
        <v>15102</v>
      </c>
      <c r="F1763" s="1077" t="s">
        <v>4236</v>
      </c>
      <c r="G1763" s="1077">
        <v>5</v>
      </c>
      <c r="H1763" s="1077" t="s">
        <v>5892</v>
      </c>
      <c r="I1763" s="1077" t="s">
        <v>1112</v>
      </c>
      <c r="J1763" s="1077" t="s">
        <v>5910</v>
      </c>
      <c r="K1763" s="1077" t="s">
        <v>5632</v>
      </c>
      <c r="L1763" s="1077" t="s">
        <v>4666</v>
      </c>
      <c r="M1763" s="1077">
        <v>152.19999999999999</v>
      </c>
      <c r="N1763" s="1077" t="s">
        <v>945</v>
      </c>
      <c r="O1763" s="1077">
        <v>3.8049999999999997</v>
      </c>
      <c r="P1763" s="1077">
        <v>3.044</v>
      </c>
      <c r="Q1763" s="1077">
        <v>3.5</v>
      </c>
      <c r="R1763" s="1077">
        <v>19</v>
      </c>
      <c r="T1763" s="1077">
        <v>16</v>
      </c>
      <c r="U1763" s="1077">
        <v>4</v>
      </c>
      <c r="V1763" s="1077" t="s">
        <v>648</v>
      </c>
      <c r="W1763" s="1077">
        <v>95</v>
      </c>
      <c r="X1763" s="1077" t="s">
        <v>5907</v>
      </c>
      <c r="Y1763" s="1077">
        <v>1.3</v>
      </c>
      <c r="Z1763" s="1077">
        <v>5</v>
      </c>
      <c r="AA1763" s="1077" t="s">
        <v>5893</v>
      </c>
      <c r="AB1763" s="1077" t="s">
        <v>5908</v>
      </c>
      <c r="AH1763" s="1077" t="s">
        <v>646</v>
      </c>
      <c r="AM1763" s="1078" t="s">
        <v>12533</v>
      </c>
      <c r="AN1763" s="1078" t="s">
        <v>12534</v>
      </c>
      <c r="AO1763" s="1078">
        <f t="shared" si="222"/>
        <v>600</v>
      </c>
      <c r="AP1763" s="1078">
        <f t="shared" si="223"/>
        <v>1.78</v>
      </c>
      <c r="AQ1763" s="1078" t="str">
        <f t="shared" si="224"/>
        <v>2-6-1S83°</v>
      </c>
      <c r="AR1763" s="1078" t="str">
        <f t="shared" si="225"/>
        <v>34</v>
      </c>
      <c r="AS1763" s="1078" t="str">
        <f t="shared" si="226"/>
        <v>163/165</v>
      </c>
      <c r="AT1763" s="1078" t="str">
        <f t="shared" si="227"/>
        <v>2-6-1S83°</v>
      </c>
      <c r="AV1763" s="1078" t="str">
        <f t="shared" si="220"/>
        <v>111.12.5</v>
      </c>
      <c r="AW1763" s="1344">
        <f t="shared" si="221"/>
        <v>44900</v>
      </c>
    </row>
    <row r="1764" spans="1:49">
      <c r="A1764" s="1077" t="s">
        <v>5911</v>
      </c>
      <c r="B1764" s="1077" t="s">
        <v>844</v>
      </c>
      <c r="C1764" s="1077">
        <v>600</v>
      </c>
      <c r="D1764" s="1077">
        <v>1.76</v>
      </c>
      <c r="E1764" s="1077" t="s">
        <v>15094</v>
      </c>
      <c r="F1764" s="1077" t="s">
        <v>954</v>
      </c>
      <c r="G1764" s="1077">
        <v>5</v>
      </c>
      <c r="H1764" s="1077" t="s">
        <v>5126</v>
      </c>
      <c r="I1764" s="1077" t="s">
        <v>460</v>
      </c>
      <c r="J1764" s="1077">
        <v>3.9</v>
      </c>
      <c r="K1764" s="1077" t="s">
        <v>5912</v>
      </c>
      <c r="L1764" s="1077" t="s">
        <v>4907</v>
      </c>
      <c r="M1764" s="1077">
        <v>151.69999999999999</v>
      </c>
      <c r="N1764" s="1077" t="s">
        <v>945</v>
      </c>
      <c r="O1764" s="1077">
        <v>3.7925</v>
      </c>
      <c r="P1764" s="1077">
        <v>3.0339999999999998</v>
      </c>
      <c r="Q1764" s="1077">
        <v>3</v>
      </c>
      <c r="R1764" s="1077">
        <v>19.7</v>
      </c>
      <c r="T1764" s="1077">
        <v>11.5</v>
      </c>
      <c r="U1764" s="1077">
        <v>5.3</v>
      </c>
      <c r="V1764" s="1077" t="s">
        <v>648</v>
      </c>
      <c r="W1764" s="1077">
        <v>105</v>
      </c>
      <c r="X1764" s="1077">
        <v>95</v>
      </c>
      <c r="Y1764" s="1077" t="s">
        <v>5913</v>
      </c>
      <c r="Z1764" s="1077">
        <v>5</v>
      </c>
      <c r="AA1764" s="1077" t="s">
        <v>3298</v>
      </c>
      <c r="AH1764" s="1077" t="s">
        <v>877</v>
      </c>
      <c r="AM1764" s="1078" t="s">
        <v>12535</v>
      </c>
      <c r="AN1764" s="1078" t="s">
        <v>12536</v>
      </c>
      <c r="AO1764" s="1078">
        <f t="shared" si="222"/>
        <v>600</v>
      </c>
      <c r="AP1764" s="1078">
        <f t="shared" si="223"/>
        <v>1.76</v>
      </c>
      <c r="AQ1764" s="1078" t="str">
        <f t="shared" si="224"/>
        <v>1-5-1S91°</v>
      </c>
      <c r="AR1764" s="1078" t="str">
        <f t="shared" si="225"/>
        <v>31</v>
      </c>
      <c r="AS1764" s="1078" t="str">
        <f t="shared" si="226"/>
        <v>300/300/140</v>
      </c>
      <c r="AT1764" s="1078" t="str">
        <f t="shared" si="227"/>
        <v>1-5-1S91°</v>
      </c>
      <c r="AV1764" s="1078" t="str">
        <f t="shared" si="220"/>
        <v>111.12.6</v>
      </c>
      <c r="AW1764" s="1344">
        <f t="shared" si="221"/>
        <v>44901</v>
      </c>
    </row>
    <row r="1765" spans="1:49">
      <c r="A1765" s="1077" t="s">
        <v>5914</v>
      </c>
      <c r="B1765" s="1077" t="s">
        <v>4767</v>
      </c>
      <c r="C1765" s="1077">
        <v>600</v>
      </c>
      <c r="D1765" s="1077">
        <v>1.73</v>
      </c>
      <c r="E1765" s="1077" t="s">
        <v>15108</v>
      </c>
      <c r="F1765" s="1077" t="s">
        <v>648</v>
      </c>
      <c r="G1765" s="1077">
        <v>5</v>
      </c>
      <c r="H1765" s="1077" t="s">
        <v>1029</v>
      </c>
      <c r="I1765" s="1077" t="s">
        <v>126</v>
      </c>
      <c r="J1765" s="1077">
        <v>2.1</v>
      </c>
      <c r="K1765" s="1077" t="s">
        <v>5915</v>
      </c>
      <c r="L1765" s="1077" t="s">
        <v>1776</v>
      </c>
      <c r="M1765" s="1077">
        <v>148.19999999999999</v>
      </c>
      <c r="N1765" s="1077" t="s">
        <v>945</v>
      </c>
      <c r="O1765" s="1077">
        <v>3.7050000000000001</v>
      </c>
      <c r="P1765" s="1077">
        <v>2.964</v>
      </c>
      <c r="Q1765" s="1077">
        <v>4</v>
      </c>
      <c r="R1765" s="1077">
        <v>20.8</v>
      </c>
      <c r="T1765" s="1077">
        <v>19.399999999999999</v>
      </c>
      <c r="U1765" s="1077">
        <v>3.6</v>
      </c>
      <c r="V1765" s="1077" t="s">
        <v>648</v>
      </c>
      <c r="W1765" s="1077">
        <v>120</v>
      </c>
      <c r="X1765" s="1077">
        <v>80</v>
      </c>
      <c r="Y1765" s="1077">
        <v>1.5</v>
      </c>
      <c r="Z1765" s="1077" t="s">
        <v>648</v>
      </c>
      <c r="AA1765" s="1077" t="s">
        <v>5916</v>
      </c>
      <c r="AH1765" s="1077" t="s">
        <v>5917</v>
      </c>
      <c r="AM1765" s="1078" t="s">
        <v>12537</v>
      </c>
      <c r="AN1765" s="1078" t="s">
        <v>12538</v>
      </c>
      <c r="AO1765" s="1078">
        <f t="shared" si="222"/>
        <v>600</v>
      </c>
      <c r="AP1765" s="1078">
        <f t="shared" si="223"/>
        <v>1.73</v>
      </c>
      <c r="AQ1765" s="1078" t="str">
        <f t="shared" si="224"/>
        <v>1-4-1S83°Z+S</v>
      </c>
      <c r="AR1765" s="1078" t="str">
        <f t="shared" si="225"/>
        <v>NA</v>
      </c>
      <c r="AS1765" s="1078" t="str">
        <f t="shared" si="226"/>
        <v>250/250/OFF</v>
      </c>
      <c r="AT1765" s="1078" t="str">
        <f t="shared" si="227"/>
        <v>1-4-1S83°Z+S</v>
      </c>
      <c r="AU1765" s="1078" t="s">
        <v>15547</v>
      </c>
      <c r="AV1765" s="1078" t="str">
        <f t="shared" si="220"/>
        <v>111.12.16</v>
      </c>
      <c r="AW1765" s="1344">
        <f t="shared" si="221"/>
        <v>44911</v>
      </c>
    </row>
    <row r="1766" spans="1:49">
      <c r="A1766" s="1077" t="s">
        <v>5918</v>
      </c>
      <c r="B1766" s="1077" t="s">
        <v>4729</v>
      </c>
      <c r="C1766" s="1077">
        <v>700</v>
      </c>
      <c r="D1766" s="1077">
        <v>1.73</v>
      </c>
      <c r="E1766" s="1077" t="s">
        <v>15111</v>
      </c>
      <c r="F1766" s="1077" t="s">
        <v>984</v>
      </c>
      <c r="G1766" s="1077">
        <v>5</v>
      </c>
      <c r="H1766" s="1077" t="s">
        <v>5432</v>
      </c>
      <c r="I1766" s="1077" t="s">
        <v>126</v>
      </c>
      <c r="J1766" s="1077">
        <v>1.6</v>
      </c>
      <c r="K1766" s="1077" t="s">
        <v>5919</v>
      </c>
      <c r="L1766" s="1077" t="s">
        <v>4731</v>
      </c>
      <c r="M1766" s="1077">
        <v>153</v>
      </c>
      <c r="N1766" s="1077" t="s">
        <v>945</v>
      </c>
      <c r="O1766" s="1077">
        <v>3.8250000000000002</v>
      </c>
      <c r="P1766" s="1077">
        <v>3.06</v>
      </c>
      <c r="Q1766" s="1077">
        <v>4</v>
      </c>
      <c r="R1766" s="1077">
        <v>20.5</v>
      </c>
      <c r="T1766" s="1077">
        <v>11.5</v>
      </c>
      <c r="U1766" s="1077">
        <v>3.7</v>
      </c>
      <c r="V1766" s="1077" t="s">
        <v>648</v>
      </c>
      <c r="W1766" s="1077">
        <v>80</v>
      </c>
      <c r="X1766" s="1077">
        <v>20</v>
      </c>
      <c r="Y1766" s="1077">
        <v>1.7</v>
      </c>
      <c r="Z1766" s="1077">
        <v>5</v>
      </c>
      <c r="AA1766" s="1077" t="s">
        <v>3399</v>
      </c>
      <c r="AH1766" s="1077" t="s">
        <v>889</v>
      </c>
      <c r="AM1766" s="1078" t="s">
        <v>12539</v>
      </c>
      <c r="AN1766" s="1078" t="s">
        <v>12540</v>
      </c>
      <c r="AO1766" s="1078">
        <f t="shared" si="222"/>
        <v>700</v>
      </c>
      <c r="AP1766" s="1078">
        <f t="shared" si="223"/>
        <v>1.73</v>
      </c>
      <c r="AQ1766" s="1078" t="str">
        <f t="shared" si="224"/>
        <v>1-5-1S91</v>
      </c>
      <c r="AR1766" s="1078" t="str">
        <f t="shared" si="225"/>
        <v>30</v>
      </c>
      <c r="AS1766" s="1078" t="str">
        <f t="shared" si="226"/>
        <v>330/330/170</v>
      </c>
      <c r="AT1766" s="1078" t="str">
        <f t="shared" si="227"/>
        <v>1-5-1S91</v>
      </c>
      <c r="AV1766" s="1078" t="str">
        <f t="shared" si="220"/>
        <v>111.12.21</v>
      </c>
      <c r="AW1766" s="1344">
        <f t="shared" si="221"/>
        <v>44916</v>
      </c>
    </row>
    <row r="1767" spans="1:49">
      <c r="A1767" s="1077" t="s">
        <v>5920</v>
      </c>
      <c r="B1767" s="1077" t="s">
        <v>210</v>
      </c>
      <c r="C1767" s="1077">
        <v>650</v>
      </c>
      <c r="D1767" s="1077">
        <v>1.75</v>
      </c>
      <c r="E1767" s="1077" t="s">
        <v>15094</v>
      </c>
      <c r="F1767" s="1077" t="s">
        <v>984</v>
      </c>
      <c r="G1767" s="1077">
        <v>5</v>
      </c>
      <c r="H1767" s="1077" t="s">
        <v>5483</v>
      </c>
      <c r="I1767" s="1077" t="s">
        <v>126</v>
      </c>
      <c r="J1767" s="1077">
        <v>0.8</v>
      </c>
      <c r="K1767" s="1077" t="s">
        <v>5694</v>
      </c>
      <c r="L1767" s="1077" t="s">
        <v>4666</v>
      </c>
      <c r="M1767" s="1077">
        <v>151.5</v>
      </c>
      <c r="N1767" s="1077" t="s">
        <v>945</v>
      </c>
      <c r="O1767" s="1077">
        <v>3.7875000000000001</v>
      </c>
      <c r="P1767" s="1077">
        <v>3.0300000000000002</v>
      </c>
      <c r="Q1767" s="1077">
        <v>4</v>
      </c>
      <c r="R1767" s="1077">
        <v>19.100000000000001</v>
      </c>
      <c r="T1767" s="1077">
        <v>23.7</v>
      </c>
      <c r="U1767" s="1077">
        <v>3.2</v>
      </c>
      <c r="V1767" s="1077" t="s">
        <v>648</v>
      </c>
      <c r="W1767" s="1077">
        <v>35</v>
      </c>
      <c r="X1767" s="1077">
        <v>10</v>
      </c>
      <c r="Y1767" s="1077">
        <v>1</v>
      </c>
      <c r="Z1767" s="1077">
        <v>6</v>
      </c>
      <c r="AA1767" s="1077" t="s">
        <v>3399</v>
      </c>
      <c r="AH1767" s="1077" t="s">
        <v>722</v>
      </c>
      <c r="AM1767" s="1078" t="s">
        <v>12541</v>
      </c>
      <c r="AN1767" s="1078" t="s">
        <v>12542</v>
      </c>
      <c r="AO1767" s="1078">
        <f t="shared" si="222"/>
        <v>650</v>
      </c>
      <c r="AP1767" s="1078">
        <f t="shared" si="223"/>
        <v>1.75</v>
      </c>
      <c r="AQ1767" s="1078" t="str">
        <f t="shared" si="224"/>
        <v>1-5-1S91°</v>
      </c>
      <c r="AR1767" s="1078" t="str">
        <f t="shared" si="225"/>
        <v>30</v>
      </c>
      <c r="AS1767" s="1078" t="str">
        <f t="shared" si="226"/>
        <v>350/310/150</v>
      </c>
      <c r="AT1767" s="1078" t="str">
        <f t="shared" si="227"/>
        <v>1-5-1S91°</v>
      </c>
      <c r="AV1767" s="1078" t="str">
        <f t="shared" si="220"/>
        <v>111.12.21</v>
      </c>
      <c r="AW1767" s="1344">
        <f t="shared" si="221"/>
        <v>44916</v>
      </c>
    </row>
    <row r="1768" spans="1:49">
      <c r="A1768" s="1077" t="s">
        <v>5921</v>
      </c>
      <c r="B1768" s="1077" t="s">
        <v>5372</v>
      </c>
      <c r="C1768" s="1077">
        <v>600</v>
      </c>
      <c r="D1768" s="1077">
        <v>1.7250000000000001</v>
      </c>
      <c r="E1768" s="1077" t="s">
        <v>15108</v>
      </c>
      <c r="F1768" s="1077" t="s">
        <v>648</v>
      </c>
      <c r="G1768" s="1077">
        <v>5</v>
      </c>
      <c r="H1768" s="1077" t="s">
        <v>955</v>
      </c>
      <c r="I1768" s="1077" t="s">
        <v>126</v>
      </c>
      <c r="J1768" s="1077">
        <v>1.8</v>
      </c>
      <c r="K1768" s="1077" t="s">
        <v>5791</v>
      </c>
      <c r="L1768" s="1077" t="s">
        <v>2104</v>
      </c>
      <c r="M1768" s="1077">
        <v>149</v>
      </c>
      <c r="N1768" s="1077" t="s">
        <v>945</v>
      </c>
      <c r="O1768" s="1077">
        <v>3.7250000000000001</v>
      </c>
      <c r="P1768" s="1077">
        <v>2.98</v>
      </c>
      <c r="Q1768" s="1077">
        <v>4</v>
      </c>
      <c r="R1768" s="1077">
        <v>21.8</v>
      </c>
      <c r="T1768" s="1077">
        <v>22.6</v>
      </c>
      <c r="U1768" s="1077">
        <v>3.6</v>
      </c>
      <c r="V1768" s="1077" t="s">
        <v>648</v>
      </c>
      <c r="W1768" s="1077" t="s">
        <v>5922</v>
      </c>
      <c r="X1768" s="1077">
        <v>70</v>
      </c>
      <c r="Y1768" s="1077">
        <v>1.5</v>
      </c>
      <c r="Z1768" s="1077" t="s">
        <v>648</v>
      </c>
      <c r="AA1768" s="1077" t="s">
        <v>3397</v>
      </c>
      <c r="AH1768" s="1077" t="s">
        <v>1143</v>
      </c>
      <c r="AM1768" s="1078" t="s">
        <v>12543</v>
      </c>
      <c r="AN1768" s="1078" t="s">
        <v>12544</v>
      </c>
      <c r="AO1768" s="1078">
        <f t="shared" si="222"/>
        <v>600</v>
      </c>
      <c r="AP1768" s="1078">
        <f t="shared" si="223"/>
        <v>1.7250000000000001</v>
      </c>
      <c r="AQ1768" s="1078" t="str">
        <f t="shared" si="224"/>
        <v>1-4-1S83°Z+S</v>
      </c>
      <c r="AR1768" s="1078" t="str">
        <f t="shared" si="225"/>
        <v>NA</v>
      </c>
      <c r="AS1768" s="1078" t="str">
        <f t="shared" si="226"/>
        <v>260/260/OFF</v>
      </c>
      <c r="AT1768" s="1078" t="str">
        <f t="shared" si="227"/>
        <v>1-4-1S83°Z+S</v>
      </c>
      <c r="AU1768" s="1078" t="s">
        <v>15547</v>
      </c>
      <c r="AV1768" s="1078" t="str">
        <f t="shared" si="220"/>
        <v>111.12.23</v>
      </c>
      <c r="AW1768" s="1344">
        <f t="shared" si="221"/>
        <v>44918</v>
      </c>
    </row>
    <row r="1769" spans="1:49">
      <c r="A1769" s="1077" t="s">
        <v>5923</v>
      </c>
      <c r="B1769" s="1077" t="s">
        <v>4767</v>
      </c>
      <c r="C1769" s="1077">
        <v>650</v>
      </c>
      <c r="D1769" s="1077">
        <v>1.73</v>
      </c>
      <c r="E1769" s="1077" t="s">
        <v>15104</v>
      </c>
      <c r="F1769" s="1077" t="s">
        <v>648</v>
      </c>
      <c r="G1769" s="1077">
        <v>5</v>
      </c>
      <c r="H1769" s="1077" t="s">
        <v>2192</v>
      </c>
      <c r="I1769" s="1077" t="s">
        <v>126</v>
      </c>
      <c r="J1769" s="1077">
        <v>1.5</v>
      </c>
      <c r="K1769" s="1077" t="s">
        <v>5924</v>
      </c>
      <c r="L1769" s="1077" t="s">
        <v>2104</v>
      </c>
      <c r="M1769" s="1077">
        <v>148</v>
      </c>
      <c r="N1769" s="1077" t="s">
        <v>945</v>
      </c>
      <c r="O1769" s="1077">
        <v>3.7</v>
      </c>
      <c r="P1769" s="1077">
        <v>2.96</v>
      </c>
      <c r="Q1769" s="1077">
        <v>4</v>
      </c>
      <c r="R1769" s="1077">
        <v>20.8</v>
      </c>
      <c r="T1769" s="1077">
        <v>20.399999999999999</v>
      </c>
      <c r="U1769" s="1077">
        <v>3.8</v>
      </c>
      <c r="V1769" s="1077" t="s">
        <v>648</v>
      </c>
      <c r="W1769" s="1077">
        <v>110</v>
      </c>
      <c r="X1769" s="1077" t="s">
        <v>3396</v>
      </c>
      <c r="Y1769" s="1077">
        <v>1.7</v>
      </c>
      <c r="Z1769" s="1077" t="s">
        <v>648</v>
      </c>
      <c r="AA1769" s="1077" t="s">
        <v>4396</v>
      </c>
      <c r="AB1769" s="1077" t="s">
        <v>981</v>
      </c>
      <c r="AH1769" s="1077" t="s">
        <v>681</v>
      </c>
      <c r="AM1769" s="1078" t="s">
        <v>12545</v>
      </c>
      <c r="AN1769" s="1078" t="s">
        <v>12546</v>
      </c>
      <c r="AO1769" s="1078">
        <f t="shared" si="222"/>
        <v>650</v>
      </c>
      <c r="AP1769" s="1078">
        <f t="shared" si="223"/>
        <v>1.73</v>
      </c>
      <c r="AQ1769" s="1078" t="str">
        <f t="shared" si="224"/>
        <v>1-4-1S85°Z+S</v>
      </c>
      <c r="AR1769" s="1078" t="str">
        <f t="shared" si="225"/>
        <v>NA</v>
      </c>
      <c r="AS1769" s="1078" t="str">
        <f t="shared" si="226"/>
        <v>180/OFF</v>
      </c>
      <c r="AT1769" s="1078" t="str">
        <f t="shared" si="227"/>
        <v>1-4-1S85°Z+S</v>
      </c>
      <c r="AU1769" s="1078" t="s">
        <v>15547</v>
      </c>
      <c r="AV1769" s="1078" t="str">
        <f t="shared" si="220"/>
        <v>111.12.30</v>
      </c>
      <c r="AW1769" s="1344">
        <f t="shared" si="221"/>
        <v>44925</v>
      </c>
    </row>
    <row r="1770" spans="1:49">
      <c r="A1770" s="1077" t="s">
        <v>5925</v>
      </c>
      <c r="B1770" s="1077" t="s">
        <v>5873</v>
      </c>
      <c r="C1770" s="1077">
        <v>650</v>
      </c>
      <c r="D1770" s="1077">
        <v>1.78</v>
      </c>
      <c r="E1770" s="1077" t="s">
        <v>15095</v>
      </c>
      <c r="F1770" s="1077" t="s">
        <v>2234</v>
      </c>
      <c r="G1770" s="1077">
        <v>5</v>
      </c>
      <c r="H1770" s="1077" t="s">
        <v>5888</v>
      </c>
      <c r="I1770" s="1077" t="s">
        <v>460</v>
      </c>
      <c r="J1770" s="1077">
        <v>2.4</v>
      </c>
      <c r="K1770" s="1077" t="s">
        <v>5926</v>
      </c>
      <c r="L1770" s="1077" t="s">
        <v>5876</v>
      </c>
      <c r="M1770" s="1077">
        <v>152</v>
      </c>
      <c r="N1770" s="1077" t="s">
        <v>945</v>
      </c>
      <c r="O1770" s="1077">
        <v>3.8000000000000003</v>
      </c>
      <c r="P1770" s="1077">
        <v>3.04</v>
      </c>
      <c r="Q1770" s="1077">
        <v>3.5</v>
      </c>
      <c r="R1770" s="1077">
        <v>22</v>
      </c>
      <c r="T1770" s="1077">
        <v>29</v>
      </c>
      <c r="U1770" s="1077">
        <v>3.8</v>
      </c>
      <c r="V1770" s="1077" t="s">
        <v>648</v>
      </c>
      <c r="W1770" s="1077">
        <v>110</v>
      </c>
      <c r="X1770" s="1077">
        <v>60</v>
      </c>
      <c r="Y1770" s="1077">
        <v>1.5</v>
      </c>
      <c r="Z1770" s="1077">
        <v>6</v>
      </c>
      <c r="AA1770" s="1077" t="s">
        <v>5927</v>
      </c>
      <c r="AH1770" s="1077" t="s">
        <v>1482</v>
      </c>
      <c r="AM1770" s="1078" t="s">
        <v>12547</v>
      </c>
      <c r="AN1770" s="1078" t="s">
        <v>12548</v>
      </c>
      <c r="AO1770" s="1078">
        <f t="shared" si="222"/>
        <v>650</v>
      </c>
      <c r="AP1770" s="1078">
        <f t="shared" si="223"/>
        <v>1.78</v>
      </c>
      <c r="AQ1770" s="1078" t="str">
        <f t="shared" si="224"/>
        <v>1-5-1S83°</v>
      </c>
      <c r="AR1770" s="1078" t="str">
        <f t="shared" si="225"/>
        <v>33.5</v>
      </c>
      <c r="AS1770" s="1078" t="str">
        <f t="shared" si="226"/>
        <v>340/340/OFF</v>
      </c>
      <c r="AT1770" s="1078" t="str">
        <f t="shared" si="227"/>
        <v>1-5-1S83°</v>
      </c>
      <c r="AV1770" s="1078" t="str">
        <f t="shared" si="220"/>
        <v>111.12.29</v>
      </c>
      <c r="AW1770" s="1344">
        <f t="shared" si="221"/>
        <v>44924</v>
      </c>
    </row>
    <row r="1771" spans="1:49">
      <c r="A1771" s="1077" t="s">
        <v>5928</v>
      </c>
      <c r="B1771" s="1077" t="s">
        <v>210</v>
      </c>
      <c r="C1771" s="1077">
        <v>650</v>
      </c>
      <c r="D1771" s="1077">
        <v>1.75</v>
      </c>
      <c r="E1771" s="1077" t="s">
        <v>15094</v>
      </c>
      <c r="F1771" s="1077" t="s">
        <v>984</v>
      </c>
      <c r="G1771" s="1077">
        <v>5</v>
      </c>
      <c r="H1771" s="1077" t="s">
        <v>5483</v>
      </c>
      <c r="I1771" s="1077" t="s">
        <v>126</v>
      </c>
      <c r="J1771" s="1077">
        <v>0.8</v>
      </c>
      <c r="K1771" s="1077" t="s">
        <v>5625</v>
      </c>
      <c r="L1771" s="1077" t="s">
        <v>4666</v>
      </c>
      <c r="M1771" s="1077">
        <v>151.5</v>
      </c>
      <c r="N1771" s="1077" t="s">
        <v>945</v>
      </c>
      <c r="O1771" s="1077">
        <v>3.7875000000000001</v>
      </c>
      <c r="P1771" s="1077">
        <v>3.0300000000000002</v>
      </c>
      <c r="Q1771" s="1077">
        <v>4</v>
      </c>
      <c r="R1771" s="1077">
        <v>19.100000000000001</v>
      </c>
      <c r="T1771" s="1077">
        <v>23.7</v>
      </c>
      <c r="U1771" s="1077">
        <v>3.2</v>
      </c>
      <c r="V1771" s="1077" t="s">
        <v>648</v>
      </c>
      <c r="W1771" s="1077">
        <v>35</v>
      </c>
      <c r="X1771" s="1077">
        <v>10</v>
      </c>
      <c r="Y1771" s="1077">
        <v>1</v>
      </c>
      <c r="Z1771" s="1077">
        <v>6</v>
      </c>
      <c r="AA1771" s="1077" t="s">
        <v>3401</v>
      </c>
      <c r="AH1771" s="1077" t="s">
        <v>684</v>
      </c>
      <c r="AM1771" s="1078" t="s">
        <v>12549</v>
      </c>
      <c r="AN1771" s="1078" t="s">
        <v>12550</v>
      </c>
      <c r="AO1771" s="1078">
        <f t="shared" si="222"/>
        <v>650</v>
      </c>
      <c r="AP1771" s="1078">
        <f t="shared" si="223"/>
        <v>1.75</v>
      </c>
      <c r="AQ1771" s="1078" t="str">
        <f t="shared" si="224"/>
        <v>1-5-1S91°</v>
      </c>
      <c r="AR1771" s="1078" t="str">
        <f t="shared" si="225"/>
        <v>30</v>
      </c>
      <c r="AS1771" s="1078" t="str">
        <f t="shared" si="226"/>
        <v>350/310/150</v>
      </c>
      <c r="AT1771" s="1078" t="str">
        <f t="shared" si="227"/>
        <v>1-5-1S91°</v>
      </c>
      <c r="AV1771" s="1078" t="str">
        <f t="shared" si="220"/>
        <v>112.1.3</v>
      </c>
      <c r="AW1771" s="1344">
        <f t="shared" si="221"/>
        <v>44929</v>
      </c>
    </row>
    <row r="1772" spans="1:49">
      <c r="A1772" s="1077" t="s">
        <v>5929</v>
      </c>
      <c r="B1772" s="1077" t="s">
        <v>210</v>
      </c>
      <c r="C1772" s="1077">
        <v>650</v>
      </c>
      <c r="D1772" s="1077">
        <v>1.74</v>
      </c>
      <c r="E1772" s="1077" t="s">
        <v>15094</v>
      </c>
      <c r="F1772" s="1077" t="s">
        <v>984</v>
      </c>
      <c r="G1772" s="1077">
        <v>5</v>
      </c>
      <c r="H1772" s="1077" t="s">
        <v>5483</v>
      </c>
      <c r="I1772" s="1077" t="s">
        <v>126</v>
      </c>
      <c r="J1772" s="1077">
        <v>0.8</v>
      </c>
      <c r="K1772" s="1077" t="s">
        <v>5632</v>
      </c>
      <c r="L1772" s="1077" t="s">
        <v>4666</v>
      </c>
      <c r="M1772" s="1077">
        <v>151.5</v>
      </c>
      <c r="N1772" s="1077" t="s">
        <v>945</v>
      </c>
      <c r="O1772" s="1077">
        <v>3.7875000000000001</v>
      </c>
      <c r="P1772" s="1077">
        <v>3.0300000000000002</v>
      </c>
      <c r="Q1772" s="1077">
        <v>4</v>
      </c>
      <c r="R1772" s="1077">
        <v>19.100000000000001</v>
      </c>
      <c r="T1772" s="1077">
        <v>23.7</v>
      </c>
      <c r="U1772" s="1077">
        <v>3.2</v>
      </c>
      <c r="V1772" s="1077" t="s">
        <v>648</v>
      </c>
      <c r="W1772" s="1077">
        <v>35</v>
      </c>
      <c r="X1772" s="1077">
        <v>10</v>
      </c>
      <c r="Y1772" s="1077">
        <v>1</v>
      </c>
      <c r="Z1772" s="1077">
        <v>6</v>
      </c>
      <c r="AA1772" s="1077" t="s">
        <v>3401</v>
      </c>
      <c r="AH1772" s="1077" t="s">
        <v>1137</v>
      </c>
      <c r="AM1772" s="1078" t="s">
        <v>12551</v>
      </c>
      <c r="AN1772" s="1078" t="s">
        <v>12552</v>
      </c>
      <c r="AO1772" s="1078">
        <f t="shared" si="222"/>
        <v>650</v>
      </c>
      <c r="AP1772" s="1078">
        <f t="shared" si="223"/>
        <v>1.74</v>
      </c>
      <c r="AQ1772" s="1078" t="str">
        <f t="shared" si="224"/>
        <v>1-5-1S91°</v>
      </c>
      <c r="AR1772" s="1078" t="str">
        <f t="shared" si="225"/>
        <v>30</v>
      </c>
      <c r="AS1772" s="1078" t="str">
        <f t="shared" si="226"/>
        <v>350/310/150</v>
      </c>
      <c r="AT1772" s="1078" t="str">
        <f t="shared" si="227"/>
        <v>1-5-1S91°</v>
      </c>
      <c r="AV1772" s="1078" t="str">
        <f t="shared" si="220"/>
        <v>112.1.3</v>
      </c>
      <c r="AW1772" s="1344">
        <f t="shared" si="221"/>
        <v>44929</v>
      </c>
    </row>
    <row r="1773" spans="1:49">
      <c r="A1773" s="1077" t="s">
        <v>5930</v>
      </c>
      <c r="B1773" s="1077" t="s">
        <v>210</v>
      </c>
      <c r="C1773" s="1077" t="s">
        <v>5931</v>
      </c>
      <c r="D1773" s="1077">
        <v>1.75</v>
      </c>
      <c r="E1773" s="1077" t="s">
        <v>15094</v>
      </c>
      <c r="F1773" s="1077" t="s">
        <v>984</v>
      </c>
      <c r="G1773" s="1077">
        <v>5</v>
      </c>
      <c r="H1773" s="1077" t="s">
        <v>5480</v>
      </c>
      <c r="I1773" s="1077" t="s">
        <v>126</v>
      </c>
      <c r="J1773" s="1077">
        <v>0.8</v>
      </c>
      <c r="K1773" s="1077" t="s">
        <v>5632</v>
      </c>
      <c r="L1773" s="1077" t="s">
        <v>4666</v>
      </c>
      <c r="M1773" s="1077">
        <v>151.5</v>
      </c>
      <c r="N1773" s="1077" t="s">
        <v>945</v>
      </c>
      <c r="O1773" s="1077">
        <v>3.7875000000000001</v>
      </c>
      <c r="P1773" s="1077">
        <v>3.0300000000000002</v>
      </c>
      <c r="Q1773" s="1077">
        <v>4</v>
      </c>
      <c r="R1773" s="1077">
        <v>19.100000000000001</v>
      </c>
      <c r="T1773" s="1077">
        <v>23.7</v>
      </c>
      <c r="U1773" s="1077">
        <v>3.2</v>
      </c>
      <c r="V1773" s="1077" t="s">
        <v>648</v>
      </c>
      <c r="W1773" s="1077">
        <v>35</v>
      </c>
      <c r="X1773" s="1077">
        <v>10</v>
      </c>
      <c r="Y1773" s="1077">
        <v>1</v>
      </c>
      <c r="Z1773" s="1077">
        <v>6</v>
      </c>
      <c r="AA1773" s="1077" t="s">
        <v>3401</v>
      </c>
      <c r="AH1773" s="1077" t="s">
        <v>1221</v>
      </c>
      <c r="AM1773" s="1078" t="s">
        <v>12553</v>
      </c>
      <c r="AN1773" s="1078" t="s">
        <v>12554</v>
      </c>
      <c r="AO1773" s="1078" t="str">
        <f t="shared" si="222"/>
        <v>650↓600-2/23</v>
      </c>
      <c r="AP1773" s="1078">
        <f t="shared" si="223"/>
        <v>1.75</v>
      </c>
      <c r="AQ1773" s="1078" t="str">
        <f t="shared" si="224"/>
        <v>1-5-1S91°</v>
      </c>
      <c r="AR1773" s="1078" t="str">
        <f t="shared" si="225"/>
        <v>30</v>
      </c>
      <c r="AS1773" s="1078" t="str">
        <f t="shared" si="226"/>
        <v>340/300/145</v>
      </c>
      <c r="AT1773" s="1078" t="str">
        <f t="shared" si="227"/>
        <v>1-5-1S91°</v>
      </c>
      <c r="AV1773" s="1078" t="str">
        <f t="shared" si="220"/>
        <v>112.1.3</v>
      </c>
      <c r="AW1773" s="1344">
        <f t="shared" si="221"/>
        <v>44929</v>
      </c>
    </row>
    <row r="1774" spans="1:49">
      <c r="A1774" s="1077" t="s">
        <v>5932</v>
      </c>
      <c r="B1774" s="1077" t="s">
        <v>4767</v>
      </c>
      <c r="C1774" s="1077">
        <v>600</v>
      </c>
      <c r="D1774" s="1077">
        <v>1.73</v>
      </c>
      <c r="E1774" s="1077" t="s">
        <v>15108</v>
      </c>
      <c r="F1774" s="1077" t="s">
        <v>648</v>
      </c>
      <c r="G1774" s="1077">
        <v>5</v>
      </c>
      <c r="H1774" s="1077" t="s">
        <v>1029</v>
      </c>
      <c r="I1774" s="1077" t="s">
        <v>126</v>
      </c>
      <c r="J1774" s="1077">
        <v>2.1</v>
      </c>
      <c r="K1774" s="1077" t="s">
        <v>5915</v>
      </c>
      <c r="L1774" s="1077" t="s">
        <v>1776</v>
      </c>
      <c r="M1774" s="1077">
        <v>148.19999999999999</v>
      </c>
      <c r="N1774" s="1077" t="s">
        <v>945</v>
      </c>
      <c r="O1774" s="1077">
        <v>3.7050000000000001</v>
      </c>
      <c r="P1774" s="1077">
        <v>2.964</v>
      </c>
      <c r="Q1774" s="1077">
        <v>4</v>
      </c>
      <c r="R1774" s="1077">
        <v>20.8</v>
      </c>
      <c r="T1774" s="1077">
        <v>19.399999999999999</v>
      </c>
      <c r="U1774" s="1077">
        <v>3.6</v>
      </c>
      <c r="V1774" s="1077" t="s">
        <v>648</v>
      </c>
      <c r="W1774" s="1077">
        <v>120</v>
      </c>
      <c r="X1774" s="1077" t="s">
        <v>3411</v>
      </c>
      <c r="Y1774" s="1077">
        <v>1.5</v>
      </c>
      <c r="Z1774" s="1077" t="s">
        <v>648</v>
      </c>
      <c r="AA1774" s="1077" t="s">
        <v>5933</v>
      </c>
      <c r="AH1774" s="1077" t="s">
        <v>884</v>
      </c>
      <c r="AM1774" s="1078" t="s">
        <v>12555</v>
      </c>
      <c r="AN1774" s="1078" t="s">
        <v>12556</v>
      </c>
      <c r="AO1774" s="1078">
        <f t="shared" si="222"/>
        <v>600</v>
      </c>
      <c r="AP1774" s="1078">
        <f t="shared" si="223"/>
        <v>1.73</v>
      </c>
      <c r="AQ1774" s="1078" t="str">
        <f t="shared" si="224"/>
        <v>1-4-1S83°Z+S</v>
      </c>
      <c r="AR1774" s="1078" t="str">
        <f t="shared" si="225"/>
        <v>NA</v>
      </c>
      <c r="AS1774" s="1078" t="str">
        <f t="shared" si="226"/>
        <v>250/250/OFF</v>
      </c>
      <c r="AT1774" s="1078" t="str">
        <f t="shared" si="227"/>
        <v>1-4-1S83°Z+S</v>
      </c>
      <c r="AU1774" s="1078" t="s">
        <v>15547</v>
      </c>
      <c r="AV1774" s="1078" t="str">
        <f t="shared" si="220"/>
        <v>112.1.11</v>
      </c>
      <c r="AW1774" s="1344">
        <f t="shared" si="221"/>
        <v>44937</v>
      </c>
    </row>
    <row r="1775" spans="1:49">
      <c r="A1775" s="1077" t="s">
        <v>5934</v>
      </c>
      <c r="B1775" s="1077" t="s">
        <v>844</v>
      </c>
      <c r="C1775" s="1077">
        <v>550</v>
      </c>
      <c r="D1775" s="1077">
        <v>1.756</v>
      </c>
      <c r="E1775" s="1077" t="s">
        <v>15102</v>
      </c>
      <c r="F1775" s="1077" t="s">
        <v>1398</v>
      </c>
      <c r="G1775" s="1077">
        <v>5</v>
      </c>
      <c r="H1775" s="1077" t="s">
        <v>4918</v>
      </c>
      <c r="I1775" s="1077" t="s">
        <v>648</v>
      </c>
      <c r="J1775" s="1077">
        <v>0</v>
      </c>
      <c r="K1775" s="1077" t="s">
        <v>5127</v>
      </c>
      <c r="L1775" s="1077" t="s">
        <v>4907</v>
      </c>
      <c r="M1775" s="1077">
        <v>148.9</v>
      </c>
      <c r="N1775" s="1077" t="s">
        <v>945</v>
      </c>
      <c r="O1775" s="1077">
        <v>3.7225000000000001</v>
      </c>
      <c r="P1775" s="1077">
        <v>2.9780000000000002</v>
      </c>
      <c r="Q1775" s="1077" t="s">
        <v>2536</v>
      </c>
      <c r="R1775" s="1077">
        <v>23.5</v>
      </c>
      <c r="T1775" s="1077">
        <v>16.399999999999999</v>
      </c>
      <c r="U1775" s="1077">
        <v>4.5999999999999996</v>
      </c>
      <c r="V1775" s="1077" t="s">
        <v>648</v>
      </c>
      <c r="W1775" s="1077" t="s">
        <v>648</v>
      </c>
      <c r="X1775" s="1077" t="s">
        <v>648</v>
      </c>
      <c r="Y1775" s="1077">
        <v>1.6</v>
      </c>
      <c r="Z1775" s="1077" t="s">
        <v>5935</v>
      </c>
      <c r="AA1775" s="1077" t="s">
        <v>1237</v>
      </c>
      <c r="AH1775" s="1077" t="s">
        <v>853</v>
      </c>
      <c r="AM1775" s="1078" t="s">
        <v>12557</v>
      </c>
      <c r="AN1775" s="1078" t="s">
        <v>12558</v>
      </c>
      <c r="AO1775" s="1078">
        <f t="shared" si="222"/>
        <v>550</v>
      </c>
      <c r="AP1775" s="1078">
        <f t="shared" si="223"/>
        <v>1.756</v>
      </c>
      <c r="AQ1775" s="1078" t="str">
        <f t="shared" si="224"/>
        <v>2-6-1S83°</v>
      </c>
      <c r="AR1775" s="1078" t="str">
        <f t="shared" si="225"/>
        <v>32.5</v>
      </c>
      <c r="AS1775" s="1078" t="str">
        <f t="shared" si="226"/>
        <v>166/140</v>
      </c>
      <c r="AT1775" s="1078" t="str">
        <f t="shared" si="227"/>
        <v>2-6-1S83°</v>
      </c>
      <c r="AV1775" s="1078" t="str">
        <f t="shared" si="220"/>
        <v>108.12.6</v>
      </c>
      <c r="AW1775" s="1344">
        <f t="shared" si="221"/>
        <v>43805</v>
      </c>
    </row>
    <row r="1776" spans="1:49">
      <c r="A1776" s="1077" t="s">
        <v>5936</v>
      </c>
      <c r="B1776" s="1077" t="s">
        <v>4976</v>
      </c>
      <c r="C1776" s="1077">
        <v>650</v>
      </c>
      <c r="D1776" s="1077">
        <v>1.7849999999999999</v>
      </c>
      <c r="E1776" s="1077" t="s">
        <v>15120</v>
      </c>
      <c r="F1776" s="1077" t="s">
        <v>984</v>
      </c>
      <c r="G1776" s="1077">
        <v>5</v>
      </c>
      <c r="H1776" s="1077" t="s">
        <v>5937</v>
      </c>
      <c r="I1776" s="1077" t="s">
        <v>460</v>
      </c>
      <c r="J1776" s="1077">
        <v>0.7</v>
      </c>
      <c r="K1776" s="1077" t="s">
        <v>5938</v>
      </c>
      <c r="L1776" s="1077" t="s">
        <v>4979</v>
      </c>
      <c r="M1776" s="1077">
        <v>148.6</v>
      </c>
      <c r="N1776" s="1077" t="s">
        <v>945</v>
      </c>
      <c r="O1776" s="1077">
        <v>3.7149999999999999</v>
      </c>
      <c r="P1776" s="1077">
        <v>2.972</v>
      </c>
      <c r="Q1776" s="1077" t="s">
        <v>2950</v>
      </c>
      <c r="R1776" s="1077">
        <v>20.5</v>
      </c>
      <c r="T1776" s="1077">
        <v>23</v>
      </c>
      <c r="U1776" s="1077">
        <v>2.2000000000000002</v>
      </c>
      <c r="V1776" s="1077" t="s">
        <v>648</v>
      </c>
      <c r="W1776" s="1077" t="s">
        <v>5673</v>
      </c>
      <c r="X1776" s="1077">
        <v>10</v>
      </c>
      <c r="Y1776" s="1077">
        <v>1.8</v>
      </c>
      <c r="Z1776" s="1077" t="s">
        <v>5939</v>
      </c>
      <c r="AA1776" s="1077" t="s">
        <v>2929</v>
      </c>
      <c r="AH1776" s="1077" t="s">
        <v>650</v>
      </c>
      <c r="AM1776" s="1078" t="s">
        <v>12559</v>
      </c>
      <c r="AN1776" s="1078" t="s">
        <v>12560</v>
      </c>
      <c r="AO1776" s="1078">
        <f t="shared" si="222"/>
        <v>650</v>
      </c>
      <c r="AP1776" s="1078">
        <f t="shared" si="223"/>
        <v>1.7849999999999999</v>
      </c>
      <c r="AQ1776" s="1078" t="str">
        <f t="shared" si="224"/>
        <v>2-6-1S83</v>
      </c>
      <c r="AR1776" s="1078" t="str">
        <f t="shared" si="225"/>
        <v>30</v>
      </c>
      <c r="AS1776" s="1078" t="str">
        <f t="shared" si="226"/>
        <v>192/187</v>
      </c>
      <c r="AT1776" s="1078" t="str">
        <f t="shared" si="227"/>
        <v>2-6-1S83</v>
      </c>
      <c r="AV1776" s="1078" t="str">
        <f t="shared" si="220"/>
        <v>109.3.31</v>
      </c>
      <c r="AW1776" s="1344">
        <f t="shared" si="221"/>
        <v>43921</v>
      </c>
    </row>
    <row r="1777" spans="1:49">
      <c r="A1777" s="1077" t="s">
        <v>5940</v>
      </c>
      <c r="B1777" s="1077" t="s">
        <v>788</v>
      </c>
      <c r="C1777" s="1077">
        <v>750</v>
      </c>
      <c r="D1777" s="1077">
        <v>1.74</v>
      </c>
      <c r="E1777" s="1077" t="s">
        <v>15104</v>
      </c>
      <c r="F1777" s="1077" t="s">
        <v>648</v>
      </c>
      <c r="G1777" s="1077">
        <v>5</v>
      </c>
      <c r="H1777" s="1077" t="s">
        <v>2941</v>
      </c>
      <c r="I1777" s="1077" t="s">
        <v>126</v>
      </c>
      <c r="J1777" s="1077">
        <v>2.2999999999999998</v>
      </c>
      <c r="K1777" s="1077" t="s">
        <v>5669</v>
      </c>
      <c r="L1777" s="1077" t="s">
        <v>1938</v>
      </c>
      <c r="M1777" s="1077">
        <v>148.5</v>
      </c>
      <c r="N1777" s="1077" t="s">
        <v>945</v>
      </c>
      <c r="O1777" s="1077">
        <v>3.7125000000000004</v>
      </c>
      <c r="P1777" s="1077">
        <v>2.97</v>
      </c>
      <c r="Q1777" s="1077" t="s">
        <v>961</v>
      </c>
      <c r="R1777" s="1077">
        <v>23.6</v>
      </c>
      <c r="T1777" s="1077">
        <v>30.9</v>
      </c>
      <c r="U1777" s="1077">
        <v>4.2</v>
      </c>
      <c r="V1777" s="1077" t="s">
        <v>648</v>
      </c>
      <c r="W1777" s="1077">
        <v>120</v>
      </c>
      <c r="X1777" s="1077">
        <v>55</v>
      </c>
      <c r="Y1777" s="1077">
        <v>1.9</v>
      </c>
      <c r="Z1777" s="1077" t="s">
        <v>648</v>
      </c>
      <c r="AA1777" s="1077" t="s">
        <v>2595</v>
      </c>
      <c r="AH1777" s="1077" t="s">
        <v>712</v>
      </c>
      <c r="AM1777" s="1078" t="s">
        <v>12561</v>
      </c>
      <c r="AN1777" s="1078" t="s">
        <v>12562</v>
      </c>
      <c r="AO1777" s="1078">
        <f t="shared" si="222"/>
        <v>750</v>
      </c>
      <c r="AP1777" s="1078">
        <f t="shared" si="223"/>
        <v>1.74</v>
      </c>
      <c r="AQ1777" s="1078" t="str">
        <f t="shared" si="224"/>
        <v>1-4-1S85°Z+S</v>
      </c>
      <c r="AR1777" s="1078" t="str">
        <f t="shared" si="225"/>
        <v>NA</v>
      </c>
      <c r="AS1777" s="1078" t="str">
        <f t="shared" si="226"/>
        <v>190/OFF</v>
      </c>
      <c r="AT1777" s="1078" t="str">
        <f t="shared" si="227"/>
        <v>1-4-1S85°Z+S</v>
      </c>
      <c r="AU1777" s="1078" t="s">
        <v>15547</v>
      </c>
      <c r="AV1777" s="1078" t="str">
        <f t="shared" si="220"/>
        <v>109.7.2</v>
      </c>
      <c r="AW1777" s="1344">
        <f t="shared" si="221"/>
        <v>44014</v>
      </c>
    </row>
    <row r="1778" spans="1:49">
      <c r="A1778" s="1077" t="s">
        <v>5941</v>
      </c>
      <c r="B1778" s="1077" t="s">
        <v>5148</v>
      </c>
      <c r="C1778" s="1077">
        <v>750</v>
      </c>
      <c r="D1778" s="1077">
        <v>1.7350000000000001</v>
      </c>
      <c r="E1778" s="1077" t="s">
        <v>15094</v>
      </c>
      <c r="F1778" s="1077" t="s">
        <v>984</v>
      </c>
      <c r="G1778" s="1077">
        <v>5</v>
      </c>
      <c r="H1778" s="1077" t="s">
        <v>5200</v>
      </c>
      <c r="I1778" s="1077" t="s">
        <v>648</v>
      </c>
      <c r="J1778" s="1077">
        <v>0</v>
      </c>
      <c r="K1778" s="1077" t="s">
        <v>5224</v>
      </c>
      <c r="L1778" s="1077" t="s">
        <v>5152</v>
      </c>
      <c r="M1778" s="1077">
        <v>149.9</v>
      </c>
      <c r="N1778" s="1077" t="s">
        <v>945</v>
      </c>
      <c r="O1778" s="1077">
        <v>3.7475000000000005</v>
      </c>
      <c r="P1778" s="1077">
        <v>2.9980000000000002</v>
      </c>
      <c r="Q1778" s="1077">
        <v>4</v>
      </c>
      <c r="R1778" s="1077">
        <v>24</v>
      </c>
      <c r="T1778" s="1077">
        <v>17</v>
      </c>
      <c r="U1778" s="1077">
        <v>2.6</v>
      </c>
      <c r="V1778" s="1077" t="s">
        <v>648</v>
      </c>
      <c r="W1778" s="1077" t="s">
        <v>648</v>
      </c>
      <c r="X1778" s="1077" t="s">
        <v>648</v>
      </c>
      <c r="Y1778" s="1077">
        <v>1</v>
      </c>
      <c r="Z1778" s="1077">
        <v>4.5</v>
      </c>
      <c r="AA1778" s="1077" t="s">
        <v>3096</v>
      </c>
      <c r="AH1778" s="1077" t="s">
        <v>456</v>
      </c>
      <c r="AM1778" s="1078" t="s">
        <v>12563</v>
      </c>
      <c r="AN1778" s="1078" t="s">
        <v>12564</v>
      </c>
      <c r="AO1778" s="1078">
        <f t="shared" si="222"/>
        <v>750</v>
      </c>
      <c r="AP1778" s="1078">
        <f t="shared" si="223"/>
        <v>1.7350000000000001</v>
      </c>
      <c r="AQ1778" s="1078" t="str">
        <f t="shared" si="224"/>
        <v>1-5-1S91°</v>
      </c>
      <c r="AR1778" s="1078" t="str">
        <f t="shared" si="225"/>
        <v>30</v>
      </c>
      <c r="AS1778" s="1078" t="str">
        <f t="shared" si="226"/>
        <v>370/330/158</v>
      </c>
      <c r="AT1778" s="1078" t="str">
        <f t="shared" si="227"/>
        <v>1-5-1S91°</v>
      </c>
      <c r="AV1778" s="1078" t="str">
        <f t="shared" si="220"/>
        <v>109.12.17</v>
      </c>
      <c r="AW1778" s="1344">
        <f t="shared" si="221"/>
        <v>44182</v>
      </c>
    </row>
    <row r="1779" spans="1:49">
      <c r="A1779" s="1077" t="s">
        <v>5942</v>
      </c>
      <c r="B1779" s="1077" t="s">
        <v>210</v>
      </c>
      <c r="C1779" s="1077">
        <v>750</v>
      </c>
      <c r="D1779" s="1077">
        <v>1.74</v>
      </c>
      <c r="E1779" s="1077" t="s">
        <v>15094</v>
      </c>
      <c r="F1779" s="1077" t="s">
        <v>984</v>
      </c>
      <c r="G1779" s="1077">
        <v>5</v>
      </c>
      <c r="H1779" s="1077" t="s">
        <v>5943</v>
      </c>
      <c r="I1779" s="1077" t="s">
        <v>126</v>
      </c>
      <c r="J1779" s="1077">
        <v>0.9</v>
      </c>
      <c r="K1779" s="1077" t="s">
        <v>5301</v>
      </c>
      <c r="L1779" s="1077" t="s">
        <v>4666</v>
      </c>
      <c r="M1779" s="1077">
        <v>151.5</v>
      </c>
      <c r="N1779" s="1077" t="s">
        <v>945</v>
      </c>
      <c r="O1779" s="1077">
        <v>3.7875000000000001</v>
      </c>
      <c r="P1779" s="1077">
        <v>3.0300000000000002</v>
      </c>
      <c r="Q1779" s="1077">
        <v>4</v>
      </c>
      <c r="R1779" s="1077">
        <v>19.100000000000001</v>
      </c>
      <c r="T1779" s="1077">
        <v>23.7</v>
      </c>
      <c r="U1779" s="1077">
        <v>3.2</v>
      </c>
      <c r="V1779" s="1077" t="s">
        <v>648</v>
      </c>
      <c r="W1779" s="1077">
        <v>35</v>
      </c>
      <c r="X1779" s="1077">
        <v>10</v>
      </c>
      <c r="Y1779" s="1077">
        <v>1</v>
      </c>
      <c r="Z1779" s="1077">
        <v>6</v>
      </c>
      <c r="AA1779" s="1077" t="s">
        <v>1380</v>
      </c>
      <c r="AB1779" s="1077" t="s">
        <v>4165</v>
      </c>
      <c r="AH1779" s="1077" t="s">
        <v>1482</v>
      </c>
      <c r="AM1779" s="1078" t="s">
        <v>12565</v>
      </c>
      <c r="AN1779" s="1078" t="s">
        <v>12566</v>
      </c>
      <c r="AO1779" s="1078">
        <f t="shared" si="222"/>
        <v>750</v>
      </c>
      <c r="AP1779" s="1078">
        <f t="shared" si="223"/>
        <v>1.74</v>
      </c>
      <c r="AQ1779" s="1078" t="str">
        <f t="shared" si="224"/>
        <v>1-5-1S91°</v>
      </c>
      <c r="AR1779" s="1078" t="str">
        <f t="shared" si="225"/>
        <v>30</v>
      </c>
      <c r="AS1779" s="1078" t="str">
        <f t="shared" si="226"/>
        <v>381/341/155</v>
      </c>
      <c r="AT1779" s="1078" t="str">
        <f t="shared" si="227"/>
        <v>1-5-1S91°</v>
      </c>
      <c r="AV1779" s="1078" t="str">
        <f t="shared" si="220"/>
        <v>110.2.2</v>
      </c>
      <c r="AW1779" s="1344">
        <f t="shared" si="221"/>
        <v>44229</v>
      </c>
    </row>
    <row r="1780" spans="1:49">
      <c r="A1780" s="1077" t="s">
        <v>5944</v>
      </c>
      <c r="B1780" s="1077" t="s">
        <v>5068</v>
      </c>
      <c r="C1780" s="1077">
        <v>700</v>
      </c>
      <c r="D1780" s="1077">
        <v>1.7450000000000001</v>
      </c>
      <c r="E1780" s="1077" t="s">
        <v>15104</v>
      </c>
      <c r="F1780" s="1077" t="s">
        <v>648</v>
      </c>
      <c r="G1780" s="1077">
        <v>5</v>
      </c>
      <c r="H1780" s="1077" t="s">
        <v>5505</v>
      </c>
      <c r="I1780" s="1077" t="s">
        <v>460</v>
      </c>
      <c r="J1780" s="1077">
        <v>1.7</v>
      </c>
      <c r="K1780" s="1077" t="s">
        <v>5945</v>
      </c>
      <c r="L1780" s="1077" t="s">
        <v>1913</v>
      </c>
      <c r="M1780" s="1077">
        <v>150</v>
      </c>
      <c r="N1780" s="1077" t="s">
        <v>945</v>
      </c>
      <c r="O1780" s="1077">
        <v>3.75</v>
      </c>
      <c r="P1780" s="1077">
        <v>3</v>
      </c>
      <c r="Q1780" s="1077" t="s">
        <v>956</v>
      </c>
      <c r="R1780" s="1077">
        <v>20.8</v>
      </c>
      <c r="T1780" s="1077">
        <v>29.1</v>
      </c>
      <c r="U1780" s="1077">
        <v>3.4</v>
      </c>
      <c r="V1780" s="1077" t="s">
        <v>648</v>
      </c>
      <c r="W1780" s="1077">
        <v>100</v>
      </c>
      <c r="X1780" s="1077">
        <v>60</v>
      </c>
      <c r="Y1780" s="1077">
        <v>1.5</v>
      </c>
      <c r="Z1780" s="1077" t="s">
        <v>648</v>
      </c>
      <c r="AA1780" s="1077" t="s">
        <v>1392</v>
      </c>
      <c r="AH1780" s="1077" t="s">
        <v>1417</v>
      </c>
      <c r="AM1780" s="1078" t="s">
        <v>12567</v>
      </c>
      <c r="AN1780" s="1078" t="s">
        <v>12568</v>
      </c>
      <c r="AO1780" s="1078">
        <f t="shared" si="222"/>
        <v>700</v>
      </c>
      <c r="AP1780" s="1078">
        <f t="shared" si="223"/>
        <v>1.7450000000000001</v>
      </c>
      <c r="AQ1780" s="1078" t="str">
        <f t="shared" si="224"/>
        <v>1-4-1S85°Z+S</v>
      </c>
      <c r="AR1780" s="1078" t="str">
        <f t="shared" si="225"/>
        <v>NA</v>
      </c>
      <c r="AS1780" s="1078" t="str">
        <f t="shared" si="226"/>
        <v>192/OFF</v>
      </c>
      <c r="AT1780" s="1078" t="str">
        <f t="shared" si="227"/>
        <v>1-4-1S85°Z+S</v>
      </c>
      <c r="AU1780" s="1078" t="s">
        <v>15547</v>
      </c>
      <c r="AV1780" s="1078" t="str">
        <f t="shared" si="220"/>
        <v>110.4.6</v>
      </c>
      <c r="AW1780" s="1344">
        <f t="shared" si="221"/>
        <v>44292</v>
      </c>
    </row>
    <row r="1781" spans="1:49">
      <c r="A1781" s="1077" t="s">
        <v>5946</v>
      </c>
      <c r="B1781" s="1077" t="s">
        <v>5148</v>
      </c>
      <c r="C1781" s="1077">
        <v>600</v>
      </c>
      <c r="D1781" s="1077">
        <v>1.77</v>
      </c>
      <c r="E1781" s="1077" t="s">
        <v>15088</v>
      </c>
      <c r="F1781" s="1077" t="s">
        <v>648</v>
      </c>
      <c r="G1781" s="1077">
        <v>2</v>
      </c>
      <c r="H1781" s="1077" t="s">
        <v>5424</v>
      </c>
      <c r="I1781" s="1077" t="s">
        <v>126</v>
      </c>
      <c r="J1781" s="1077">
        <v>2</v>
      </c>
      <c r="K1781" s="1077" t="s">
        <v>5425</v>
      </c>
      <c r="L1781" s="1077" t="s">
        <v>5152</v>
      </c>
      <c r="M1781" s="1077">
        <v>150</v>
      </c>
      <c r="N1781" s="1077" t="s">
        <v>945</v>
      </c>
      <c r="O1781" s="1077">
        <v>3.75</v>
      </c>
      <c r="P1781" s="1077">
        <v>3</v>
      </c>
      <c r="Q1781" s="1077" t="s">
        <v>988</v>
      </c>
      <c r="R1781" s="1077">
        <v>21.5</v>
      </c>
      <c r="T1781" s="1077">
        <v>21</v>
      </c>
      <c r="U1781" s="1077">
        <v>2.2999999999999998</v>
      </c>
      <c r="V1781" s="1077" t="s">
        <v>648</v>
      </c>
      <c r="W1781" s="1077">
        <v>130</v>
      </c>
      <c r="X1781" s="1077">
        <v>85</v>
      </c>
      <c r="Y1781" s="1077">
        <v>1.2</v>
      </c>
      <c r="Z1781" s="1077">
        <v>5.5</v>
      </c>
      <c r="AA1781" s="1077" t="s">
        <v>4213</v>
      </c>
      <c r="AH1781" s="1077" t="s">
        <v>5523</v>
      </c>
      <c r="AM1781" s="1078" t="s">
        <v>12569</v>
      </c>
      <c r="AN1781" s="1078" t="s">
        <v>12570</v>
      </c>
      <c r="AO1781" s="1078">
        <f t="shared" si="222"/>
        <v>600</v>
      </c>
      <c r="AP1781" s="1078">
        <f t="shared" si="223"/>
        <v>1.77</v>
      </c>
      <c r="AQ1781" s="1078" t="str">
        <f t="shared" si="224"/>
        <v>1-4-1S85°</v>
      </c>
      <c r="AR1781" s="1078" t="str">
        <f t="shared" si="225"/>
        <v>NA</v>
      </c>
      <c r="AS1781" s="1078" t="str">
        <f t="shared" si="226"/>
        <v>200/175</v>
      </c>
      <c r="AT1781" s="1078" t="str">
        <f t="shared" si="227"/>
        <v>1-4-1S85°</v>
      </c>
      <c r="AV1781" s="1078" t="str">
        <f t="shared" si="220"/>
        <v>110.6.16</v>
      </c>
      <c r="AW1781" s="1344">
        <f t="shared" si="221"/>
        <v>44363</v>
      </c>
    </row>
    <row r="1782" spans="1:49">
      <c r="A1782" s="1077" t="s">
        <v>5947</v>
      </c>
      <c r="B1782" s="1077" t="s">
        <v>5148</v>
      </c>
      <c r="C1782" s="1077">
        <v>700</v>
      </c>
      <c r="D1782" s="1077">
        <v>1.7350000000000001</v>
      </c>
      <c r="E1782" s="1077" t="s">
        <v>15094</v>
      </c>
      <c r="F1782" s="1077" t="s">
        <v>984</v>
      </c>
      <c r="G1782" s="1077">
        <v>5</v>
      </c>
      <c r="H1782" s="1077" t="s">
        <v>5184</v>
      </c>
      <c r="I1782" s="1077" t="s">
        <v>648</v>
      </c>
      <c r="J1782" s="1077">
        <v>0</v>
      </c>
      <c r="K1782" s="1077" t="s">
        <v>5345</v>
      </c>
      <c r="L1782" s="1077" t="s">
        <v>5152</v>
      </c>
      <c r="M1782" s="1077">
        <v>149.9</v>
      </c>
      <c r="N1782" s="1077" t="s">
        <v>945</v>
      </c>
      <c r="O1782" s="1077">
        <v>3.7475000000000005</v>
      </c>
      <c r="P1782" s="1077">
        <v>2.9980000000000002</v>
      </c>
      <c r="Q1782" s="1077">
        <v>3.5</v>
      </c>
      <c r="R1782" s="1077">
        <v>24</v>
      </c>
      <c r="T1782" s="1077">
        <v>17</v>
      </c>
      <c r="U1782" s="1077">
        <v>2.6</v>
      </c>
      <c r="V1782" s="1077" t="s">
        <v>648</v>
      </c>
      <c r="W1782" s="1077" t="s">
        <v>648</v>
      </c>
      <c r="X1782" s="1077" t="s">
        <v>648</v>
      </c>
      <c r="Y1782" s="1077">
        <v>1</v>
      </c>
      <c r="Z1782" s="1077">
        <v>4.5</v>
      </c>
      <c r="AA1782" s="1077" t="s">
        <v>1420</v>
      </c>
      <c r="AH1782" s="1077" t="s">
        <v>877</v>
      </c>
      <c r="AM1782" s="1078" t="s">
        <v>12571</v>
      </c>
      <c r="AN1782" s="1078" t="s">
        <v>12572</v>
      </c>
      <c r="AO1782" s="1078">
        <f t="shared" si="222"/>
        <v>700</v>
      </c>
      <c r="AP1782" s="1078">
        <f t="shared" si="223"/>
        <v>1.7350000000000001</v>
      </c>
      <c r="AQ1782" s="1078" t="str">
        <f t="shared" si="224"/>
        <v>1-5-1S91°</v>
      </c>
      <c r="AR1782" s="1078" t="str">
        <f t="shared" si="225"/>
        <v>30</v>
      </c>
      <c r="AS1782" s="1078" t="str">
        <f t="shared" si="226"/>
        <v>360/320/158</v>
      </c>
      <c r="AT1782" s="1078" t="str">
        <f t="shared" si="227"/>
        <v>1-5-1S91°</v>
      </c>
      <c r="AV1782" s="1078" t="str">
        <f t="shared" si="220"/>
        <v>110.8.3</v>
      </c>
      <c r="AW1782" s="1344">
        <f t="shared" si="221"/>
        <v>44411</v>
      </c>
    </row>
    <row r="1783" spans="1:49">
      <c r="A1783" s="1077" t="s">
        <v>5948</v>
      </c>
      <c r="B1783" s="1077" t="s">
        <v>5157</v>
      </c>
      <c r="C1783" s="1077">
        <v>650</v>
      </c>
      <c r="D1783" s="1077">
        <v>1.77</v>
      </c>
      <c r="E1783" s="1077" t="s">
        <v>15094</v>
      </c>
      <c r="F1783" s="1077" t="s">
        <v>984</v>
      </c>
      <c r="G1783" s="1077">
        <v>5</v>
      </c>
      <c r="H1783" s="1077" t="s">
        <v>5162</v>
      </c>
      <c r="I1783" s="1077" t="s">
        <v>460</v>
      </c>
      <c r="J1783" s="1077">
        <v>2.2999999999999998</v>
      </c>
      <c r="K1783" s="1077" t="s">
        <v>5369</v>
      </c>
      <c r="L1783" s="1077" t="s">
        <v>5159</v>
      </c>
      <c r="M1783" s="1077">
        <v>152</v>
      </c>
      <c r="N1783" s="1077" t="s">
        <v>945</v>
      </c>
      <c r="O1783" s="1077">
        <v>3.8000000000000003</v>
      </c>
      <c r="P1783" s="1077">
        <v>3.04</v>
      </c>
      <c r="Q1783" s="1077">
        <v>3</v>
      </c>
      <c r="R1783" s="1077">
        <v>28</v>
      </c>
      <c r="T1783" s="1077">
        <v>7.2</v>
      </c>
      <c r="U1783" s="1077">
        <v>6.1</v>
      </c>
      <c r="V1783" s="1077" t="s">
        <v>648</v>
      </c>
      <c r="W1783" s="1077">
        <v>100</v>
      </c>
      <c r="X1783" s="1077">
        <v>80</v>
      </c>
      <c r="Y1783" s="1077">
        <v>1.5</v>
      </c>
      <c r="Z1783" s="1077">
        <v>4</v>
      </c>
      <c r="AA1783" s="1077" t="s">
        <v>5949</v>
      </c>
      <c r="AH1783" s="1077" t="s">
        <v>619</v>
      </c>
      <c r="AM1783" s="1078" t="s">
        <v>12573</v>
      </c>
      <c r="AN1783" s="1078" t="s">
        <v>12574</v>
      </c>
      <c r="AO1783" s="1078">
        <f t="shared" si="222"/>
        <v>650</v>
      </c>
      <c r="AP1783" s="1078">
        <f t="shared" si="223"/>
        <v>1.77</v>
      </c>
      <c r="AQ1783" s="1078" t="str">
        <f t="shared" si="224"/>
        <v>1-5-1S91°</v>
      </c>
      <c r="AR1783" s="1078" t="str">
        <f t="shared" si="225"/>
        <v>30</v>
      </c>
      <c r="AS1783" s="1078" t="str">
        <f t="shared" si="226"/>
        <v>277/277/150</v>
      </c>
      <c r="AT1783" s="1078" t="str">
        <f t="shared" si="227"/>
        <v>1-5-1S91°</v>
      </c>
      <c r="AV1783" s="1078" t="str">
        <f t="shared" si="220"/>
        <v>110.10.5</v>
      </c>
      <c r="AW1783" s="1344">
        <f t="shared" si="221"/>
        <v>44474</v>
      </c>
    </row>
    <row r="1784" spans="1:49">
      <c r="A1784" s="1077" t="s">
        <v>5950</v>
      </c>
      <c r="B1784" s="1077" t="s">
        <v>4729</v>
      </c>
      <c r="C1784" s="1077">
        <v>700</v>
      </c>
      <c r="D1784" s="1077">
        <v>1.73</v>
      </c>
      <c r="E1784" s="1077" t="s">
        <v>15111</v>
      </c>
      <c r="F1784" s="1077" t="s">
        <v>984</v>
      </c>
      <c r="G1784" s="1077">
        <v>5</v>
      </c>
      <c r="H1784" s="1077" t="s">
        <v>5432</v>
      </c>
      <c r="I1784" s="1077" t="s">
        <v>126</v>
      </c>
      <c r="J1784" s="1077">
        <v>1.5</v>
      </c>
      <c r="K1784" s="1077" t="s">
        <v>5534</v>
      </c>
      <c r="L1784" s="1077" t="s">
        <v>4731</v>
      </c>
      <c r="M1784" s="1077">
        <v>153</v>
      </c>
      <c r="N1784" s="1077" t="s">
        <v>945</v>
      </c>
      <c r="O1784" s="1077">
        <v>3.8250000000000002</v>
      </c>
      <c r="P1784" s="1077">
        <v>3.06</v>
      </c>
      <c r="Q1784" s="1077">
        <v>4</v>
      </c>
      <c r="R1784" s="1077">
        <v>20.5</v>
      </c>
      <c r="T1784" s="1077">
        <v>11.5</v>
      </c>
      <c r="U1784" s="1077">
        <v>3.7</v>
      </c>
      <c r="V1784" s="1077" t="s">
        <v>648</v>
      </c>
      <c r="W1784" s="1077">
        <v>80</v>
      </c>
      <c r="X1784" s="1077">
        <v>20</v>
      </c>
      <c r="Y1784" s="1077">
        <v>1.7</v>
      </c>
      <c r="Z1784" s="1077">
        <v>5</v>
      </c>
      <c r="AA1784" s="1077" t="s">
        <v>4241</v>
      </c>
      <c r="AB1784" s="1077" t="s">
        <v>981</v>
      </c>
      <c r="AH1784" s="1077" t="s">
        <v>875</v>
      </c>
      <c r="AM1784" s="1078" t="s">
        <v>12575</v>
      </c>
      <c r="AN1784" s="1078" t="s">
        <v>12576</v>
      </c>
      <c r="AO1784" s="1078">
        <f t="shared" si="222"/>
        <v>700</v>
      </c>
      <c r="AP1784" s="1078">
        <f t="shared" si="223"/>
        <v>1.73</v>
      </c>
      <c r="AQ1784" s="1078" t="str">
        <f t="shared" si="224"/>
        <v>1-5-1S91</v>
      </c>
      <c r="AR1784" s="1078" t="str">
        <f t="shared" si="225"/>
        <v>30</v>
      </c>
      <c r="AS1784" s="1078" t="str">
        <f t="shared" si="226"/>
        <v>330/330/170</v>
      </c>
      <c r="AT1784" s="1078" t="str">
        <f t="shared" si="227"/>
        <v>1-5-1S91</v>
      </c>
      <c r="AV1784" s="1078" t="str">
        <f t="shared" si="220"/>
        <v>110.11.15</v>
      </c>
      <c r="AW1784" s="1344">
        <f t="shared" si="221"/>
        <v>44515</v>
      </c>
    </row>
    <row r="1785" spans="1:49">
      <c r="A1785" s="1077" t="s">
        <v>5951</v>
      </c>
      <c r="B1785" s="1077" t="s">
        <v>210</v>
      </c>
      <c r="C1785" s="1077">
        <v>750</v>
      </c>
      <c r="D1785" s="1077">
        <v>1.76</v>
      </c>
      <c r="E1785" s="1077" t="s">
        <v>15094</v>
      </c>
      <c r="F1785" s="1077" t="s">
        <v>984</v>
      </c>
      <c r="G1785" s="1077">
        <v>5</v>
      </c>
      <c r="H1785" s="1077" t="s">
        <v>5165</v>
      </c>
      <c r="I1785" s="1077" t="s">
        <v>648</v>
      </c>
      <c r="J1785" s="1077">
        <v>0</v>
      </c>
      <c r="K1785" s="1077" t="s">
        <v>4682</v>
      </c>
      <c r="L1785" s="1077" t="s">
        <v>4666</v>
      </c>
      <c r="M1785" s="1077">
        <v>152.4</v>
      </c>
      <c r="N1785" s="1077" t="s">
        <v>945</v>
      </c>
      <c r="O1785" s="1077">
        <v>3.8100000000000005</v>
      </c>
      <c r="P1785" s="1077">
        <v>3.048</v>
      </c>
      <c r="Q1785" s="1077" t="s">
        <v>961</v>
      </c>
      <c r="R1785" s="1077">
        <v>21.6</v>
      </c>
      <c r="T1785" s="1077">
        <v>17</v>
      </c>
      <c r="U1785" s="1077">
        <v>2.6</v>
      </c>
      <c r="V1785" s="1077" t="s">
        <v>648</v>
      </c>
      <c r="W1785" s="1077" t="s">
        <v>648</v>
      </c>
      <c r="X1785" s="1077" t="s">
        <v>648</v>
      </c>
      <c r="Y1785" s="1077">
        <v>1</v>
      </c>
      <c r="Z1785" s="1077">
        <v>4.5</v>
      </c>
      <c r="AA1785" s="1077" t="s">
        <v>2840</v>
      </c>
      <c r="AH1785" s="1077" t="s">
        <v>684</v>
      </c>
      <c r="AM1785" s="1078" t="s">
        <v>12577</v>
      </c>
      <c r="AN1785" s="1078" t="s">
        <v>12578</v>
      </c>
      <c r="AO1785" s="1078">
        <f t="shared" si="222"/>
        <v>750</v>
      </c>
      <c r="AP1785" s="1078">
        <f t="shared" si="223"/>
        <v>1.76</v>
      </c>
      <c r="AQ1785" s="1078" t="str">
        <f t="shared" si="224"/>
        <v>1-5-1S91°</v>
      </c>
      <c r="AR1785" s="1078" t="str">
        <f t="shared" si="225"/>
        <v>30</v>
      </c>
      <c r="AS1785" s="1078" t="str">
        <f t="shared" si="226"/>
        <v>360/320/155</v>
      </c>
      <c r="AT1785" s="1078" t="str">
        <f t="shared" si="227"/>
        <v>1-5-1S91°</v>
      </c>
      <c r="AV1785" s="1078" t="str">
        <f t="shared" si="220"/>
        <v>108.12.5</v>
      </c>
      <c r="AW1785" s="1344">
        <f t="shared" si="221"/>
        <v>43804</v>
      </c>
    </row>
    <row r="1786" spans="1:49">
      <c r="A1786" s="1077" t="s">
        <v>5952</v>
      </c>
      <c r="B1786" s="1077" t="s">
        <v>5005</v>
      </c>
      <c r="C1786" s="1077">
        <v>500</v>
      </c>
      <c r="D1786" s="1077">
        <v>1.73</v>
      </c>
      <c r="E1786" s="1077" t="s">
        <v>15108</v>
      </c>
      <c r="F1786" s="1077" t="s">
        <v>2234</v>
      </c>
      <c r="G1786" s="1077">
        <v>4</v>
      </c>
      <c r="H1786" s="1077" t="s">
        <v>1226</v>
      </c>
      <c r="I1786" s="1077" t="s">
        <v>126</v>
      </c>
      <c r="J1786" s="1077">
        <v>1.5</v>
      </c>
      <c r="K1786" s="1077" t="s">
        <v>5768</v>
      </c>
      <c r="L1786" s="1077" t="s">
        <v>5769</v>
      </c>
      <c r="M1786" s="1077">
        <v>154</v>
      </c>
      <c r="N1786" s="1077" t="s">
        <v>945</v>
      </c>
      <c r="O1786" s="1077">
        <v>3.85</v>
      </c>
      <c r="P1786" s="1077">
        <v>3.08</v>
      </c>
      <c r="Q1786" s="1077" t="s">
        <v>3010</v>
      </c>
      <c r="R1786" s="1077">
        <v>24</v>
      </c>
      <c r="T1786" s="1077">
        <v>15</v>
      </c>
      <c r="U1786" s="1077">
        <v>4.2</v>
      </c>
      <c r="V1786" s="1077" t="s">
        <v>648</v>
      </c>
      <c r="W1786" s="1077">
        <v>140</v>
      </c>
      <c r="X1786" s="1077">
        <v>90</v>
      </c>
      <c r="Y1786" s="1077">
        <v>1.6</v>
      </c>
      <c r="Z1786" s="1077" t="s">
        <v>648</v>
      </c>
      <c r="AA1786" s="1077" t="s">
        <v>2922</v>
      </c>
      <c r="AH1786" s="1077" t="s">
        <v>830</v>
      </c>
      <c r="AM1786" s="1078" t="s">
        <v>12579</v>
      </c>
      <c r="AN1786" s="1078" t="s">
        <v>12580</v>
      </c>
      <c r="AO1786" s="1078">
        <f t="shared" si="222"/>
        <v>500</v>
      </c>
      <c r="AP1786" s="1078">
        <f t="shared" si="223"/>
        <v>1.73</v>
      </c>
      <c r="AQ1786" s="1078" t="str">
        <f t="shared" si="224"/>
        <v>1-4-1S83°Z+S</v>
      </c>
      <c r="AR1786" s="1078" t="str">
        <f t="shared" si="225"/>
        <v>33.5</v>
      </c>
      <c r="AS1786" s="1078" t="str">
        <f t="shared" si="226"/>
        <v>230/230/OFF</v>
      </c>
      <c r="AT1786" s="1078" t="str">
        <f t="shared" si="227"/>
        <v>1-4-1S83°Z+S</v>
      </c>
      <c r="AU1786" s="1078" t="s">
        <v>15547</v>
      </c>
      <c r="AV1786" s="1078" t="str">
        <f t="shared" si="220"/>
        <v>109.3.23</v>
      </c>
      <c r="AW1786" s="1344">
        <f t="shared" si="221"/>
        <v>43913</v>
      </c>
    </row>
    <row r="1787" spans="1:49">
      <c r="A1787" s="1077" t="s">
        <v>5953</v>
      </c>
      <c r="B1787" s="1077" t="s">
        <v>4880</v>
      </c>
      <c r="C1787" s="1077">
        <v>650</v>
      </c>
      <c r="D1787" s="1077">
        <v>1.77</v>
      </c>
      <c r="E1787" s="1077" t="s">
        <v>15102</v>
      </c>
      <c r="F1787" s="1077" t="s">
        <v>954</v>
      </c>
      <c r="G1787" s="1077">
        <v>5</v>
      </c>
      <c r="H1787" s="1077" t="s">
        <v>5954</v>
      </c>
      <c r="I1787" s="1077" t="s">
        <v>460</v>
      </c>
      <c r="J1787" s="1077">
        <v>2.9</v>
      </c>
      <c r="K1787" s="1077" t="s">
        <v>5754</v>
      </c>
      <c r="L1787" s="1077" t="s">
        <v>4883</v>
      </c>
      <c r="M1787" s="1077">
        <v>158.4</v>
      </c>
      <c r="N1787" s="1077" t="s">
        <v>945</v>
      </c>
      <c r="O1787" s="1077">
        <v>3.9600000000000004</v>
      </c>
      <c r="P1787" s="1077">
        <v>3.1680000000000001</v>
      </c>
      <c r="Q1787" s="1077" t="s">
        <v>2401</v>
      </c>
      <c r="R1787" s="1077">
        <v>20.5</v>
      </c>
      <c r="T1787" s="1077">
        <v>13</v>
      </c>
      <c r="U1787" s="1077">
        <v>3.2</v>
      </c>
      <c r="V1787" s="1077" t="s">
        <v>648</v>
      </c>
      <c r="W1787" s="1077">
        <v>120</v>
      </c>
      <c r="X1787" s="1077">
        <v>90</v>
      </c>
      <c r="Y1787" s="1077">
        <v>1.5</v>
      </c>
      <c r="Z1787" s="1077" t="s">
        <v>5955</v>
      </c>
      <c r="AA1787" s="1077" t="s">
        <v>3335</v>
      </c>
      <c r="AH1787" s="1077" t="s">
        <v>1238</v>
      </c>
      <c r="AM1787" s="1078" t="s">
        <v>12581</v>
      </c>
      <c r="AN1787" s="1078" t="s">
        <v>12582</v>
      </c>
      <c r="AO1787" s="1078">
        <f t="shared" si="222"/>
        <v>650</v>
      </c>
      <c r="AP1787" s="1078">
        <f t="shared" si="223"/>
        <v>1.77</v>
      </c>
      <c r="AQ1787" s="1078" t="str">
        <f t="shared" si="224"/>
        <v>2-6-1S83°</v>
      </c>
      <c r="AR1787" s="1078" t="str">
        <f t="shared" si="225"/>
        <v>31</v>
      </c>
      <c r="AS1787" s="1078" t="str">
        <f t="shared" si="226"/>
        <v>175/168</v>
      </c>
      <c r="AT1787" s="1078" t="str">
        <f t="shared" si="227"/>
        <v>2-6-1S83°</v>
      </c>
      <c r="AV1787" s="1078" t="str">
        <f t="shared" si="220"/>
        <v>109.7.6</v>
      </c>
      <c r="AW1787" s="1344">
        <f t="shared" si="221"/>
        <v>44018</v>
      </c>
    </row>
    <row r="1788" spans="1:49">
      <c r="A1788" s="1077" t="s">
        <v>5956</v>
      </c>
      <c r="B1788" s="1077" t="s">
        <v>5148</v>
      </c>
      <c r="C1788" s="1077">
        <v>650</v>
      </c>
      <c r="D1788" s="1077">
        <v>1.7350000000000001</v>
      </c>
      <c r="E1788" s="1077" t="s">
        <v>15102</v>
      </c>
      <c r="F1788" s="1077" t="s">
        <v>2167</v>
      </c>
      <c r="G1788" s="1077">
        <v>5</v>
      </c>
      <c r="H1788" s="1077" t="s">
        <v>2192</v>
      </c>
      <c r="I1788" s="1077" t="s">
        <v>460</v>
      </c>
      <c r="J1788" s="1077">
        <v>2</v>
      </c>
      <c r="K1788" s="1077" t="s">
        <v>5151</v>
      </c>
      <c r="L1788" s="1077" t="s">
        <v>5152</v>
      </c>
      <c r="M1788" s="1077">
        <v>148.6</v>
      </c>
      <c r="N1788" s="1077" t="s">
        <v>945</v>
      </c>
      <c r="O1788" s="1077">
        <v>3.7149999999999999</v>
      </c>
      <c r="P1788" s="1077">
        <v>2.972</v>
      </c>
      <c r="Q1788" s="1077">
        <v>3.5</v>
      </c>
      <c r="R1788" s="1077">
        <v>20.399999999999999</v>
      </c>
      <c r="T1788" s="1077">
        <v>26</v>
      </c>
      <c r="U1788" s="1077">
        <v>3.7</v>
      </c>
      <c r="V1788" s="1077" t="s">
        <v>648</v>
      </c>
      <c r="W1788" s="1077">
        <v>105</v>
      </c>
      <c r="X1788" s="1077">
        <v>50</v>
      </c>
      <c r="Y1788" s="1077">
        <v>2</v>
      </c>
      <c r="Z1788" s="1077">
        <v>6.5</v>
      </c>
      <c r="AA1788" s="1077" t="s">
        <v>5957</v>
      </c>
      <c r="AH1788" s="1077" t="s">
        <v>5958</v>
      </c>
      <c r="AM1788" s="1078" t="s">
        <v>12583</v>
      </c>
      <c r="AN1788" s="1078" t="s">
        <v>12584</v>
      </c>
      <c r="AO1788" s="1078">
        <f t="shared" si="222"/>
        <v>650</v>
      </c>
      <c r="AP1788" s="1078">
        <f t="shared" si="223"/>
        <v>1.7350000000000001</v>
      </c>
      <c r="AQ1788" s="1078" t="str">
        <f t="shared" si="224"/>
        <v>2-6-1S83°</v>
      </c>
      <c r="AR1788" s="1078" t="str">
        <f t="shared" si="225"/>
        <v>33</v>
      </c>
      <c r="AS1788" s="1078" t="str">
        <f t="shared" si="226"/>
        <v>180/OFF</v>
      </c>
      <c r="AT1788" s="1078" t="str">
        <f t="shared" si="227"/>
        <v>2-6-1S83°</v>
      </c>
      <c r="AV1788" s="1078" t="str">
        <f t="shared" si="220"/>
        <v>109.12.23</v>
      </c>
      <c r="AW1788" s="1344">
        <f t="shared" si="221"/>
        <v>44188</v>
      </c>
    </row>
    <row r="1789" spans="1:49">
      <c r="A1789" s="1077" t="s">
        <v>5959</v>
      </c>
      <c r="B1789" s="1077" t="s">
        <v>4729</v>
      </c>
      <c r="C1789" s="1077">
        <v>650</v>
      </c>
      <c r="D1789" s="1077">
        <v>1.7150000000000001</v>
      </c>
      <c r="E1789" s="1077" t="s">
        <v>15111</v>
      </c>
      <c r="F1789" s="1077" t="s">
        <v>984</v>
      </c>
      <c r="G1789" s="1077">
        <v>5</v>
      </c>
      <c r="H1789" s="1077" t="s">
        <v>2540</v>
      </c>
      <c r="I1789" s="1077" t="s">
        <v>126</v>
      </c>
      <c r="J1789" s="1077">
        <v>1.9</v>
      </c>
      <c r="K1789" s="1077" t="s">
        <v>5775</v>
      </c>
      <c r="L1789" s="1077" t="s">
        <v>4731</v>
      </c>
      <c r="M1789" s="1077">
        <v>153.30000000000001</v>
      </c>
      <c r="N1789" s="1077" t="s">
        <v>945</v>
      </c>
      <c r="O1789" s="1077">
        <v>3.8325000000000005</v>
      </c>
      <c r="P1789" s="1077">
        <v>3.0660000000000003</v>
      </c>
      <c r="Q1789" s="1077">
        <v>4</v>
      </c>
      <c r="R1789" s="1077">
        <v>20.8</v>
      </c>
      <c r="T1789" s="1077">
        <v>14.1</v>
      </c>
      <c r="U1789" s="1077">
        <v>4.7</v>
      </c>
      <c r="V1789" s="1077" t="s">
        <v>648</v>
      </c>
      <c r="W1789" s="1077">
        <v>100</v>
      </c>
      <c r="X1789" s="1077">
        <v>60</v>
      </c>
      <c r="Y1789" s="1077">
        <v>1.5</v>
      </c>
      <c r="Z1789" s="1077">
        <v>5.5</v>
      </c>
      <c r="AA1789" s="1077" t="s">
        <v>1380</v>
      </c>
      <c r="AH1789" s="1077" t="s">
        <v>1684</v>
      </c>
      <c r="AM1789" s="1078" t="s">
        <v>12585</v>
      </c>
      <c r="AN1789" s="1078" t="s">
        <v>12586</v>
      </c>
      <c r="AO1789" s="1078">
        <f t="shared" si="222"/>
        <v>650</v>
      </c>
      <c r="AP1789" s="1078">
        <f t="shared" si="223"/>
        <v>1.7150000000000001</v>
      </c>
      <c r="AQ1789" s="1078" t="str">
        <f t="shared" si="224"/>
        <v>1-5-1S91</v>
      </c>
      <c r="AR1789" s="1078" t="str">
        <f t="shared" si="225"/>
        <v>30</v>
      </c>
      <c r="AS1789" s="1078" t="str">
        <f t="shared" si="226"/>
        <v>300/300/OFF</v>
      </c>
      <c r="AT1789" s="1078" t="str">
        <f t="shared" si="227"/>
        <v>1-5-1S91</v>
      </c>
      <c r="AV1789" s="1078" t="str">
        <f t="shared" si="220"/>
        <v>110.2.2</v>
      </c>
      <c r="AW1789" s="1344">
        <f t="shared" si="221"/>
        <v>44229</v>
      </c>
    </row>
    <row r="1790" spans="1:49">
      <c r="A1790" s="1077" t="s">
        <v>5960</v>
      </c>
      <c r="B1790" s="1077" t="s">
        <v>4950</v>
      </c>
      <c r="C1790" s="1077">
        <v>500</v>
      </c>
      <c r="D1790" s="1077">
        <v>1.79</v>
      </c>
      <c r="E1790" s="1077" t="s">
        <v>15094</v>
      </c>
      <c r="F1790" s="1077" t="s">
        <v>984</v>
      </c>
      <c r="G1790" s="1077">
        <v>5</v>
      </c>
      <c r="H1790" s="1077" t="s">
        <v>1793</v>
      </c>
      <c r="I1790" s="1077" t="s">
        <v>126</v>
      </c>
      <c r="J1790" s="1077">
        <v>0.6</v>
      </c>
      <c r="K1790" s="1077" t="s">
        <v>5961</v>
      </c>
      <c r="L1790" s="1077" t="s">
        <v>4952</v>
      </c>
      <c r="M1790" s="1077">
        <v>152.5</v>
      </c>
      <c r="N1790" s="1077" t="s">
        <v>945</v>
      </c>
      <c r="O1790" s="1077">
        <v>3.8125</v>
      </c>
      <c r="P1790" s="1077">
        <v>3.0500000000000003</v>
      </c>
      <c r="Q1790" s="1077">
        <v>3</v>
      </c>
      <c r="R1790" s="1077">
        <v>28.5</v>
      </c>
      <c r="T1790" s="1077">
        <v>19.2</v>
      </c>
      <c r="U1790" s="1077">
        <v>5.0999999999999996</v>
      </c>
      <c r="V1790" s="1077" t="s">
        <v>648</v>
      </c>
      <c r="W1790" s="1077" t="s">
        <v>2709</v>
      </c>
      <c r="X1790" s="1077">
        <v>10</v>
      </c>
      <c r="Y1790" s="1077">
        <v>1.6</v>
      </c>
      <c r="Z1790" s="1077">
        <v>7</v>
      </c>
      <c r="AA1790" s="1077" t="s">
        <v>1307</v>
      </c>
      <c r="AH1790" s="1077" t="s">
        <v>1837</v>
      </c>
      <c r="AM1790" s="1078" t="s">
        <v>12587</v>
      </c>
      <c r="AN1790" s="1078" t="s">
        <v>12588</v>
      </c>
      <c r="AO1790" s="1078">
        <f t="shared" si="222"/>
        <v>500</v>
      </c>
      <c r="AP1790" s="1078">
        <f t="shared" si="223"/>
        <v>1.79</v>
      </c>
      <c r="AQ1790" s="1078" t="str">
        <f t="shared" si="224"/>
        <v>1-5-1S91°</v>
      </c>
      <c r="AR1790" s="1078" t="str">
        <f t="shared" si="225"/>
        <v>30</v>
      </c>
      <c r="AS1790" s="1078" t="str">
        <f t="shared" si="226"/>
        <v>270/270/OFF</v>
      </c>
      <c r="AT1790" s="1078" t="str">
        <f t="shared" si="227"/>
        <v>1-5-1S91°</v>
      </c>
      <c r="AV1790" s="1078" t="str">
        <f t="shared" si="220"/>
        <v>110.4.14</v>
      </c>
      <c r="AW1790" s="1344">
        <f t="shared" si="221"/>
        <v>44300</v>
      </c>
    </row>
    <row r="1791" spans="1:49">
      <c r="A1791" s="1077" t="s">
        <v>5962</v>
      </c>
      <c r="B1791" s="1077" t="s">
        <v>5410</v>
      </c>
      <c r="C1791" s="1077">
        <v>500</v>
      </c>
      <c r="D1791" s="1077">
        <v>1.726</v>
      </c>
      <c r="E1791" s="1077" t="s">
        <v>15116</v>
      </c>
      <c r="F1791" s="1077" t="s">
        <v>984</v>
      </c>
      <c r="G1791" s="1077">
        <v>2</v>
      </c>
      <c r="H1791" s="1077" t="s">
        <v>1061</v>
      </c>
      <c r="I1791" s="1077" t="s">
        <v>126</v>
      </c>
      <c r="J1791" s="1077">
        <v>0.4</v>
      </c>
      <c r="K1791" s="1077" t="s">
        <v>5963</v>
      </c>
      <c r="L1791" s="1077" t="s">
        <v>1825</v>
      </c>
      <c r="M1791" s="1077">
        <v>150.1</v>
      </c>
      <c r="N1791" s="1077" t="s">
        <v>945</v>
      </c>
      <c r="O1791" s="1077">
        <v>3.7524999999999999</v>
      </c>
      <c r="P1791" s="1077">
        <v>3.0019999999999998</v>
      </c>
      <c r="Q1791" s="1077" t="s">
        <v>1020</v>
      </c>
      <c r="R1791" s="1077">
        <v>20.7</v>
      </c>
      <c r="T1791" s="1077">
        <v>32.6</v>
      </c>
      <c r="U1791" s="1077">
        <v>3</v>
      </c>
      <c r="V1791" s="1077" t="s">
        <v>648</v>
      </c>
      <c r="W1791" s="1077" t="s">
        <v>648</v>
      </c>
      <c r="X1791" s="1077" t="s">
        <v>648</v>
      </c>
      <c r="Y1791" s="1077">
        <v>1.7</v>
      </c>
      <c r="Z1791" s="1077" t="s">
        <v>648</v>
      </c>
      <c r="AA1791" s="1077" t="s">
        <v>1420</v>
      </c>
      <c r="AH1791" s="1077" t="s">
        <v>1178</v>
      </c>
      <c r="AM1791" s="1078" t="s">
        <v>12589</v>
      </c>
      <c r="AN1791" s="1078" t="s">
        <v>12590</v>
      </c>
      <c r="AO1791" s="1078">
        <f t="shared" si="222"/>
        <v>500</v>
      </c>
      <c r="AP1791" s="1078">
        <f t="shared" si="223"/>
        <v>1.726</v>
      </c>
      <c r="AQ1791" s="1078" t="str">
        <f t="shared" si="224"/>
        <v>1-5-1S83°Z+S</v>
      </c>
      <c r="AR1791" s="1078" t="str">
        <f t="shared" si="225"/>
        <v>30</v>
      </c>
      <c r="AS1791" s="1078" t="str">
        <f t="shared" si="226"/>
        <v>255/255/OFF</v>
      </c>
      <c r="AT1791" s="1078" t="str">
        <f t="shared" si="227"/>
        <v>1-5-1S83°Z+S</v>
      </c>
      <c r="AU1791" s="1078" t="s">
        <v>15547</v>
      </c>
      <c r="AV1791" s="1078" t="str">
        <f t="shared" si="220"/>
        <v>110.8.3</v>
      </c>
      <c r="AW1791" s="1344">
        <f t="shared" si="221"/>
        <v>44411</v>
      </c>
    </row>
    <row r="1792" spans="1:49">
      <c r="A1792" s="1077" t="s">
        <v>5964</v>
      </c>
      <c r="B1792" s="1077" t="s">
        <v>5148</v>
      </c>
      <c r="C1792" s="1077">
        <v>650</v>
      </c>
      <c r="D1792" s="1077">
        <v>1.7649999999999999</v>
      </c>
      <c r="E1792" s="1077" t="s">
        <v>15102</v>
      </c>
      <c r="F1792" s="1077" t="s">
        <v>2167</v>
      </c>
      <c r="G1792" s="1077">
        <v>5</v>
      </c>
      <c r="H1792" s="1077" t="s">
        <v>2192</v>
      </c>
      <c r="I1792" s="1077" t="s">
        <v>460</v>
      </c>
      <c r="J1792" s="1077">
        <v>1.7</v>
      </c>
      <c r="K1792" s="1077" t="s">
        <v>5151</v>
      </c>
      <c r="L1792" s="1077" t="s">
        <v>5152</v>
      </c>
      <c r="M1792" s="1077">
        <v>148.6</v>
      </c>
      <c r="N1792" s="1077" t="s">
        <v>945</v>
      </c>
      <c r="O1792" s="1077">
        <v>3.7149999999999999</v>
      </c>
      <c r="P1792" s="1077">
        <v>2.972</v>
      </c>
      <c r="Q1792" s="1077">
        <v>3.5</v>
      </c>
      <c r="R1792" s="1077">
        <v>20.399999999999999</v>
      </c>
      <c r="T1792" s="1077" t="s">
        <v>5965</v>
      </c>
      <c r="U1792" s="1077">
        <v>3.7</v>
      </c>
      <c r="V1792" s="1077" t="s">
        <v>648</v>
      </c>
      <c r="W1792" s="1077">
        <v>105</v>
      </c>
      <c r="X1792" s="1077">
        <v>50</v>
      </c>
      <c r="Y1792" s="1077">
        <v>2</v>
      </c>
      <c r="Z1792" s="1077">
        <v>6.5</v>
      </c>
      <c r="AA1792" s="1077" t="s">
        <v>5949</v>
      </c>
      <c r="AH1792" s="1077" t="s">
        <v>958</v>
      </c>
      <c r="AM1792" s="1078" t="s">
        <v>12591</v>
      </c>
      <c r="AN1792" s="1078" t="s">
        <v>12592</v>
      </c>
      <c r="AO1792" s="1078">
        <f t="shared" si="222"/>
        <v>650</v>
      </c>
      <c r="AP1792" s="1078">
        <f t="shared" si="223"/>
        <v>1.7649999999999999</v>
      </c>
      <c r="AQ1792" s="1078" t="str">
        <f t="shared" si="224"/>
        <v>2-6-1S83°</v>
      </c>
      <c r="AR1792" s="1078" t="str">
        <f t="shared" si="225"/>
        <v>33</v>
      </c>
      <c r="AS1792" s="1078" t="str">
        <f t="shared" si="226"/>
        <v>180/OFF</v>
      </c>
      <c r="AT1792" s="1078" t="str">
        <f t="shared" si="227"/>
        <v>2-6-1S83°</v>
      </c>
      <c r="AV1792" s="1078" t="str">
        <f t="shared" si="220"/>
        <v>110.10.5</v>
      </c>
      <c r="AW1792" s="1344">
        <f t="shared" si="221"/>
        <v>44474</v>
      </c>
    </row>
    <row r="1793" spans="1:49">
      <c r="A1793" s="1077" t="s">
        <v>5966</v>
      </c>
      <c r="B1793" s="1077" t="s">
        <v>5250</v>
      </c>
      <c r="C1793" s="1077">
        <v>550</v>
      </c>
      <c r="D1793" s="1077">
        <v>1.74</v>
      </c>
      <c r="E1793" s="1077" t="s">
        <v>15102</v>
      </c>
      <c r="F1793" s="1077" t="s">
        <v>4695</v>
      </c>
      <c r="G1793" s="1077">
        <v>5</v>
      </c>
      <c r="H1793" s="1077" t="s">
        <v>5967</v>
      </c>
      <c r="I1793" s="1077" t="s">
        <v>460</v>
      </c>
      <c r="J1793" s="1077">
        <v>1.5</v>
      </c>
      <c r="K1793" s="1077" t="s">
        <v>5466</v>
      </c>
      <c r="L1793" s="1077" t="s">
        <v>5253</v>
      </c>
      <c r="M1793" s="1077">
        <v>151.19999999999999</v>
      </c>
      <c r="N1793" s="1077" t="s">
        <v>945</v>
      </c>
      <c r="O1793" s="1077">
        <v>3.78</v>
      </c>
      <c r="P1793" s="1077">
        <v>3.024</v>
      </c>
      <c r="Q1793" s="1077">
        <v>4</v>
      </c>
      <c r="R1793" s="1077">
        <v>21</v>
      </c>
      <c r="T1793" s="1077">
        <v>20.5</v>
      </c>
      <c r="U1793" s="1077">
        <v>3</v>
      </c>
      <c r="V1793" s="1077" t="s">
        <v>648</v>
      </c>
      <c r="W1793" s="1077">
        <v>100</v>
      </c>
      <c r="X1793" s="1077">
        <v>60</v>
      </c>
      <c r="Y1793" s="1077">
        <v>1</v>
      </c>
      <c r="Z1793" s="1077">
        <v>5.5</v>
      </c>
      <c r="AA1793" s="1077" t="s">
        <v>5968</v>
      </c>
      <c r="AH1793" s="1077" t="s">
        <v>1588</v>
      </c>
      <c r="AM1793" s="1078" t="s">
        <v>12593</v>
      </c>
      <c r="AN1793" s="1078" t="s">
        <v>12594</v>
      </c>
      <c r="AO1793" s="1078">
        <f t="shared" si="222"/>
        <v>550</v>
      </c>
      <c r="AP1793" s="1078">
        <f t="shared" si="223"/>
        <v>1.74</v>
      </c>
      <c r="AQ1793" s="1078" t="str">
        <f t="shared" si="224"/>
        <v>2-6-1S83°</v>
      </c>
      <c r="AR1793" s="1078" t="str">
        <f t="shared" si="225"/>
        <v>32.8</v>
      </c>
      <c r="AS1793" s="1078" t="str">
        <f t="shared" si="226"/>
        <v>197/152</v>
      </c>
      <c r="AT1793" s="1078" t="str">
        <f t="shared" si="227"/>
        <v>2-6-1S83°</v>
      </c>
      <c r="AV1793" s="1078" t="str">
        <f t="shared" si="220"/>
        <v>110.11.22</v>
      </c>
      <c r="AW1793" s="1344">
        <f t="shared" si="221"/>
        <v>44522</v>
      </c>
    </row>
    <row r="1794" spans="1:49">
      <c r="A1794" s="1077" t="s">
        <v>5969</v>
      </c>
      <c r="B1794" s="1077" t="s">
        <v>4767</v>
      </c>
      <c r="C1794" s="1077">
        <v>600</v>
      </c>
      <c r="D1794" s="1077">
        <v>1.7290000000000001</v>
      </c>
      <c r="E1794" s="1077" t="s">
        <v>15104</v>
      </c>
      <c r="F1794" s="1077" t="s">
        <v>648</v>
      </c>
      <c r="G1794" s="1077">
        <v>5</v>
      </c>
      <c r="H1794" s="1077" t="s">
        <v>1936</v>
      </c>
      <c r="I1794" s="1077" t="s">
        <v>126</v>
      </c>
      <c r="J1794" s="1077">
        <v>1.4</v>
      </c>
      <c r="K1794" s="1077" t="s">
        <v>5970</v>
      </c>
      <c r="L1794" s="1077" t="s">
        <v>1776</v>
      </c>
      <c r="M1794" s="1077">
        <v>148</v>
      </c>
      <c r="N1794" s="1077" t="s">
        <v>945</v>
      </c>
      <c r="O1794" s="1077">
        <v>3.7</v>
      </c>
      <c r="P1794" s="1077">
        <v>2.96</v>
      </c>
      <c r="Q1794" s="1077" t="s">
        <v>946</v>
      </c>
      <c r="R1794" s="1077">
        <v>20.8</v>
      </c>
      <c r="T1794" s="1077">
        <v>20.399999999999999</v>
      </c>
      <c r="U1794" s="1077">
        <v>3.8</v>
      </c>
      <c r="V1794" s="1077" t="s">
        <v>648</v>
      </c>
      <c r="W1794" s="1077">
        <v>110</v>
      </c>
      <c r="X1794" s="1077" t="s">
        <v>2395</v>
      </c>
      <c r="Y1794" s="1077">
        <v>1.7</v>
      </c>
      <c r="Z1794" s="1077" t="s">
        <v>648</v>
      </c>
      <c r="AA1794" s="1077" t="s">
        <v>2842</v>
      </c>
      <c r="AB1794" s="1077" t="s">
        <v>981</v>
      </c>
      <c r="AH1794" s="1077" t="s">
        <v>1827</v>
      </c>
      <c r="AM1794" s="1078" t="s">
        <v>12595</v>
      </c>
      <c r="AN1794" s="1078" t="s">
        <v>12596</v>
      </c>
      <c r="AO1794" s="1078">
        <f t="shared" si="222"/>
        <v>600</v>
      </c>
      <c r="AP1794" s="1078">
        <f t="shared" si="223"/>
        <v>1.7290000000000001</v>
      </c>
      <c r="AQ1794" s="1078" t="str">
        <f t="shared" si="224"/>
        <v>1-4-1S85°Z+S</v>
      </c>
      <c r="AR1794" s="1078" t="str">
        <f t="shared" si="225"/>
        <v>NA</v>
      </c>
      <c r="AS1794" s="1078" t="str">
        <f t="shared" si="226"/>
        <v>175/OFF</v>
      </c>
      <c r="AT1794" s="1078" t="str">
        <f t="shared" si="227"/>
        <v>1-4-1S85°Z+S</v>
      </c>
      <c r="AU1794" s="1078" t="s">
        <v>15547</v>
      </c>
      <c r="AV1794" s="1078" t="str">
        <f t="shared" ref="AV1794:AV1857" si="228">AA1794</f>
        <v>108.12.9</v>
      </c>
      <c r="AW1794" s="1344">
        <f t="shared" si="221"/>
        <v>43808</v>
      </c>
    </row>
    <row r="1795" spans="1:49">
      <c r="A1795" s="1077" t="s">
        <v>5971</v>
      </c>
      <c r="B1795" s="1077" t="s">
        <v>617</v>
      </c>
      <c r="C1795" s="1077">
        <v>650</v>
      </c>
      <c r="D1795" s="1077">
        <v>1.73</v>
      </c>
      <c r="E1795" s="1077" t="s">
        <v>15094</v>
      </c>
      <c r="F1795" s="1077" t="s">
        <v>984</v>
      </c>
      <c r="G1795" s="1077">
        <v>5</v>
      </c>
      <c r="H1795" s="1077" t="s">
        <v>1793</v>
      </c>
      <c r="I1795" s="1077" t="s">
        <v>126</v>
      </c>
      <c r="J1795" s="1077">
        <v>2.2000000000000002</v>
      </c>
      <c r="K1795" s="1077" t="s">
        <v>5972</v>
      </c>
      <c r="L1795" s="1077" t="s">
        <v>4854</v>
      </c>
      <c r="M1795" s="1077">
        <v>150.30000000000001</v>
      </c>
      <c r="N1795" s="1077" t="s">
        <v>945</v>
      </c>
      <c r="O1795" s="1077">
        <v>3.7575000000000003</v>
      </c>
      <c r="P1795" s="1077">
        <v>3.0060000000000002</v>
      </c>
      <c r="Q1795" s="1077" t="s">
        <v>1005</v>
      </c>
      <c r="R1795" s="1077">
        <v>29</v>
      </c>
      <c r="T1795" s="1077">
        <v>13</v>
      </c>
      <c r="U1795" s="1077">
        <v>7</v>
      </c>
      <c r="V1795" s="1077" t="s">
        <v>648</v>
      </c>
      <c r="W1795" s="1077">
        <v>115</v>
      </c>
      <c r="X1795" s="1077">
        <v>50</v>
      </c>
      <c r="Y1795" s="1077">
        <v>1.7</v>
      </c>
      <c r="Z1795" s="1077">
        <v>6.5</v>
      </c>
      <c r="AA1795" s="1077" t="s">
        <v>2922</v>
      </c>
      <c r="AH1795" s="1077" t="s">
        <v>1186</v>
      </c>
      <c r="AM1795" s="1078" t="s">
        <v>12597</v>
      </c>
      <c r="AN1795" s="1078" t="s">
        <v>12598</v>
      </c>
      <c r="AO1795" s="1078">
        <f t="shared" si="222"/>
        <v>650</v>
      </c>
      <c r="AP1795" s="1078">
        <f t="shared" si="223"/>
        <v>1.73</v>
      </c>
      <c r="AQ1795" s="1078" t="str">
        <f t="shared" si="224"/>
        <v>1-5-1S91°</v>
      </c>
      <c r="AR1795" s="1078" t="str">
        <f t="shared" si="225"/>
        <v>30</v>
      </c>
      <c r="AS1795" s="1078" t="str">
        <f t="shared" si="226"/>
        <v>270/270/OFF</v>
      </c>
      <c r="AT1795" s="1078" t="str">
        <f t="shared" si="227"/>
        <v>1-5-1S91°</v>
      </c>
      <c r="AV1795" s="1078" t="str">
        <f t="shared" si="228"/>
        <v>109.3.23</v>
      </c>
      <c r="AW1795" s="1344">
        <f t="shared" ref="AW1795:AW1858" si="229">DATE(VALUE(LEFT(AV1795,FIND(".",AV1795)-1))+1911,
       VALUE(MID(AV1795,FIND(".",AV1795)+1,FIND(".",AV1795,FIND(".",AV1795)+1)-FIND(".",AV1795)-1)),
       VALUE(RIGHT(AV1795,LEN(AV1795)-FIND("~",SUBSTITUTE(AV1795,".","~",2)))))</f>
        <v>43913</v>
      </c>
    </row>
    <row r="1796" spans="1:49">
      <c r="A1796" s="1077" t="s">
        <v>5973</v>
      </c>
      <c r="B1796" s="1077" t="s">
        <v>4936</v>
      </c>
      <c r="C1796" s="1077">
        <v>600</v>
      </c>
      <c r="D1796" s="1077">
        <v>1.68</v>
      </c>
      <c r="E1796" s="1077" t="s">
        <v>15108</v>
      </c>
      <c r="F1796" s="1077" t="s">
        <v>954</v>
      </c>
      <c r="G1796" s="1077">
        <v>5</v>
      </c>
      <c r="H1796" s="1077" t="s">
        <v>2540</v>
      </c>
      <c r="I1796" s="1077" t="s">
        <v>460</v>
      </c>
      <c r="J1796" s="1077">
        <v>1</v>
      </c>
      <c r="K1796" s="1077" t="s">
        <v>2972</v>
      </c>
      <c r="L1796" s="1077" t="s">
        <v>2132</v>
      </c>
      <c r="M1796" s="1077">
        <v>155.69999999999999</v>
      </c>
      <c r="N1796" s="1077" t="s">
        <v>945</v>
      </c>
      <c r="O1796" s="1077">
        <v>3.8925000000000001</v>
      </c>
      <c r="P1796" s="1077">
        <v>3.1139999999999999</v>
      </c>
      <c r="Q1796" s="1077" t="s">
        <v>1264</v>
      </c>
      <c r="R1796" s="1077">
        <v>25</v>
      </c>
      <c r="T1796" s="1077">
        <v>25.5</v>
      </c>
      <c r="U1796" s="1077">
        <v>3.3</v>
      </c>
      <c r="V1796" s="1077" t="s">
        <v>648</v>
      </c>
      <c r="W1796" s="1077">
        <v>100</v>
      </c>
      <c r="X1796" s="1077">
        <v>30</v>
      </c>
      <c r="Y1796" s="1077">
        <v>2</v>
      </c>
      <c r="Z1796" s="1077" t="s">
        <v>648</v>
      </c>
      <c r="AA1796" s="1077" t="s">
        <v>2994</v>
      </c>
      <c r="AH1796" s="1077" t="s">
        <v>877</v>
      </c>
      <c r="AM1796" s="1078" t="s">
        <v>12599</v>
      </c>
      <c r="AN1796" s="1078" t="s">
        <v>12600</v>
      </c>
      <c r="AO1796" s="1078">
        <f t="shared" si="222"/>
        <v>600</v>
      </c>
      <c r="AP1796" s="1078">
        <f t="shared" si="223"/>
        <v>1.68</v>
      </c>
      <c r="AQ1796" s="1078" t="str">
        <f t="shared" si="224"/>
        <v>1-4-1S83°Z+S</v>
      </c>
      <c r="AR1796" s="1078" t="str">
        <f t="shared" si="225"/>
        <v>31</v>
      </c>
      <c r="AS1796" s="1078" t="str">
        <f t="shared" si="226"/>
        <v>300/300/OFF</v>
      </c>
      <c r="AT1796" s="1078" t="str">
        <f t="shared" si="227"/>
        <v>1-4-1S83°Z+S</v>
      </c>
      <c r="AU1796" s="1078" t="s">
        <v>15547</v>
      </c>
      <c r="AV1796" s="1078" t="str">
        <f t="shared" si="228"/>
        <v>109.7.8</v>
      </c>
      <c r="AW1796" s="1344">
        <f t="shared" si="229"/>
        <v>44020</v>
      </c>
    </row>
    <row r="1797" spans="1:49">
      <c r="A1797" s="1077" t="s">
        <v>5974</v>
      </c>
      <c r="B1797" s="1077" t="s">
        <v>5157</v>
      </c>
      <c r="C1797" s="1077">
        <v>650</v>
      </c>
      <c r="D1797" s="1077">
        <v>1.76</v>
      </c>
      <c r="E1797" s="1077" t="s">
        <v>15094</v>
      </c>
      <c r="F1797" s="1077" t="s">
        <v>2234</v>
      </c>
      <c r="G1797" s="1077">
        <v>5</v>
      </c>
      <c r="H1797" s="1077" t="s">
        <v>5975</v>
      </c>
      <c r="I1797" s="1077" t="s">
        <v>460</v>
      </c>
      <c r="J1797" s="1077">
        <v>2.2000000000000002</v>
      </c>
      <c r="K1797" s="1077" t="s">
        <v>5976</v>
      </c>
      <c r="L1797" s="1077" t="s">
        <v>4854</v>
      </c>
      <c r="M1797" s="1077">
        <v>152</v>
      </c>
      <c r="N1797" s="1077" t="s">
        <v>945</v>
      </c>
      <c r="O1797" s="1077">
        <v>3.8000000000000003</v>
      </c>
      <c r="P1797" s="1077">
        <v>3.04</v>
      </c>
      <c r="Q1797" s="1077">
        <v>3</v>
      </c>
      <c r="R1797" s="1077">
        <v>28</v>
      </c>
      <c r="T1797" s="1077">
        <v>7.2</v>
      </c>
      <c r="U1797" s="1077">
        <v>6.1</v>
      </c>
      <c r="V1797" s="1077" t="s">
        <v>648</v>
      </c>
      <c r="W1797" s="1077">
        <v>100</v>
      </c>
      <c r="X1797" s="1077">
        <v>80</v>
      </c>
      <c r="Y1797" s="1077">
        <v>1.5</v>
      </c>
      <c r="Z1797" s="1077">
        <v>4.5999999999999996</v>
      </c>
      <c r="AA1797" s="1077" t="s">
        <v>2478</v>
      </c>
      <c r="AH1797" s="1077" t="s">
        <v>684</v>
      </c>
      <c r="AM1797" s="1078" t="s">
        <v>12601</v>
      </c>
      <c r="AN1797" s="1078" t="s">
        <v>12602</v>
      </c>
      <c r="AO1797" s="1078">
        <f t="shared" si="222"/>
        <v>650</v>
      </c>
      <c r="AP1797" s="1078">
        <f t="shared" si="223"/>
        <v>1.76</v>
      </c>
      <c r="AQ1797" s="1078" t="str">
        <f t="shared" si="224"/>
        <v>1-5-1S91°</v>
      </c>
      <c r="AR1797" s="1078" t="str">
        <f t="shared" si="225"/>
        <v>33.5</v>
      </c>
      <c r="AS1797" s="1078" t="str">
        <f t="shared" si="226"/>
        <v>280/280/140</v>
      </c>
      <c r="AT1797" s="1078" t="str">
        <f t="shared" si="227"/>
        <v>1-5-1S91°</v>
      </c>
      <c r="AV1797" s="1078" t="str">
        <f t="shared" si="228"/>
        <v>109.12.25</v>
      </c>
      <c r="AW1797" s="1344">
        <f t="shared" si="229"/>
        <v>44190</v>
      </c>
    </row>
    <row r="1798" spans="1:49">
      <c r="A1798" s="1077" t="s">
        <v>5977</v>
      </c>
      <c r="B1798" s="1077" t="s">
        <v>5654</v>
      </c>
      <c r="C1798" s="1077">
        <v>600</v>
      </c>
      <c r="D1798" s="1077">
        <v>1.76</v>
      </c>
      <c r="E1798" s="1077" t="s">
        <v>15094</v>
      </c>
      <c r="F1798" s="1077" t="s">
        <v>984</v>
      </c>
      <c r="G1798" s="1077">
        <v>5</v>
      </c>
      <c r="H1798" s="1077" t="s">
        <v>5874</v>
      </c>
      <c r="I1798" s="1077" t="s">
        <v>126</v>
      </c>
      <c r="J1798" s="1077">
        <v>3.2</v>
      </c>
      <c r="K1798" s="1077" t="s">
        <v>5978</v>
      </c>
      <c r="L1798" s="1077" t="s">
        <v>5808</v>
      </c>
      <c r="M1798" s="1077">
        <v>150.19999999999999</v>
      </c>
      <c r="N1798" s="1077" t="s">
        <v>945</v>
      </c>
      <c r="O1798" s="1077">
        <v>3.7549999999999999</v>
      </c>
      <c r="P1798" s="1077">
        <v>3.004</v>
      </c>
      <c r="Q1798" s="1077">
        <v>4</v>
      </c>
      <c r="R1798" s="1077">
        <v>21.7</v>
      </c>
      <c r="T1798" s="1077">
        <v>30.1</v>
      </c>
      <c r="U1798" s="1077">
        <v>3.1</v>
      </c>
      <c r="V1798" s="1077" t="s">
        <v>648</v>
      </c>
      <c r="W1798" s="1077">
        <v>110</v>
      </c>
      <c r="X1798" s="1077">
        <v>65</v>
      </c>
      <c r="Y1798" s="1077">
        <v>2</v>
      </c>
      <c r="Z1798" s="1077">
        <v>7</v>
      </c>
      <c r="AA1798" s="1077" t="s">
        <v>1380</v>
      </c>
      <c r="AH1798" s="1077" t="s">
        <v>1186</v>
      </c>
      <c r="AM1798" s="1078" t="s">
        <v>12603</v>
      </c>
      <c r="AN1798" s="1078" t="s">
        <v>12604</v>
      </c>
      <c r="AO1798" s="1078">
        <f t="shared" si="222"/>
        <v>600</v>
      </c>
      <c r="AP1798" s="1078">
        <f t="shared" si="223"/>
        <v>1.76</v>
      </c>
      <c r="AQ1798" s="1078" t="str">
        <f t="shared" si="224"/>
        <v>1-5-1S91°</v>
      </c>
      <c r="AR1798" s="1078" t="str">
        <f t="shared" si="225"/>
        <v>30</v>
      </c>
      <c r="AS1798" s="1078" t="str">
        <f t="shared" si="226"/>
        <v>345/345/OFF</v>
      </c>
      <c r="AT1798" s="1078" t="str">
        <f t="shared" si="227"/>
        <v>1-5-1S91°</v>
      </c>
      <c r="AV1798" s="1078" t="str">
        <f t="shared" si="228"/>
        <v>110.2.2</v>
      </c>
      <c r="AW1798" s="1344">
        <f t="shared" si="229"/>
        <v>44229</v>
      </c>
    </row>
    <row r="1799" spans="1:49">
      <c r="A1799" s="1077" t="s">
        <v>5979</v>
      </c>
      <c r="B1799" s="1077" t="s">
        <v>5654</v>
      </c>
      <c r="C1799" s="1077">
        <v>600</v>
      </c>
      <c r="D1799" s="1077">
        <v>1.8049999999999999</v>
      </c>
      <c r="E1799" s="1077" t="s">
        <v>15094</v>
      </c>
      <c r="F1799" s="1077" t="s">
        <v>984</v>
      </c>
      <c r="G1799" s="1077">
        <v>5</v>
      </c>
      <c r="H1799" s="1077" t="s">
        <v>5980</v>
      </c>
      <c r="I1799" s="1077" t="s">
        <v>126</v>
      </c>
      <c r="J1799" s="1077">
        <v>2.8</v>
      </c>
      <c r="K1799" s="1077" t="s">
        <v>5807</v>
      </c>
      <c r="L1799" s="1077" t="s">
        <v>5808</v>
      </c>
      <c r="M1799" s="1077">
        <v>150.19999999999999</v>
      </c>
      <c r="N1799" s="1077" t="s">
        <v>945</v>
      </c>
      <c r="O1799" s="1077">
        <v>3.7549999999999999</v>
      </c>
      <c r="P1799" s="1077">
        <v>3.004</v>
      </c>
      <c r="Q1799" s="1077" t="s">
        <v>1277</v>
      </c>
      <c r="R1799" s="1077">
        <v>25</v>
      </c>
      <c r="T1799" s="1077">
        <v>30.1</v>
      </c>
      <c r="U1799" s="1077">
        <v>3.5</v>
      </c>
      <c r="V1799" s="1077" t="s">
        <v>648</v>
      </c>
      <c r="W1799" s="1077">
        <v>110</v>
      </c>
      <c r="X1799" s="1077">
        <v>65</v>
      </c>
      <c r="Y1799" s="1077">
        <v>2</v>
      </c>
      <c r="Z1799" s="1077" t="s">
        <v>5981</v>
      </c>
      <c r="AA1799" s="1077" t="s">
        <v>5982</v>
      </c>
      <c r="AH1799" s="1077" t="s">
        <v>887</v>
      </c>
      <c r="AM1799" s="1078" t="s">
        <v>12605</v>
      </c>
      <c r="AN1799" s="1078" t="s">
        <v>12606</v>
      </c>
      <c r="AO1799" s="1078">
        <f t="shared" si="222"/>
        <v>600</v>
      </c>
      <c r="AP1799" s="1078">
        <f t="shared" si="223"/>
        <v>1.8049999999999999</v>
      </c>
      <c r="AQ1799" s="1078" t="str">
        <f t="shared" si="224"/>
        <v>1-5-1S91°</v>
      </c>
      <c r="AR1799" s="1078" t="str">
        <f t="shared" si="225"/>
        <v>30</v>
      </c>
      <c r="AS1799" s="1078" t="str">
        <f t="shared" si="226"/>
        <v>360/360/OFF</v>
      </c>
      <c r="AT1799" s="1078" t="str">
        <f t="shared" si="227"/>
        <v>1-5-1S91°</v>
      </c>
      <c r="AV1799" s="1078" t="str">
        <f t="shared" si="228"/>
        <v>110.8.31</v>
      </c>
      <c r="AW1799" s="1344">
        <f t="shared" si="229"/>
        <v>44439</v>
      </c>
    </row>
    <row r="1800" spans="1:49">
      <c r="A1800" s="1077" t="s">
        <v>5983</v>
      </c>
      <c r="B1800" s="1077" t="s">
        <v>4729</v>
      </c>
      <c r="C1800" s="1077">
        <v>700</v>
      </c>
      <c r="D1800" s="1077">
        <v>1.73</v>
      </c>
      <c r="E1800" s="1077" t="s">
        <v>15111</v>
      </c>
      <c r="F1800" s="1077" t="s">
        <v>984</v>
      </c>
      <c r="G1800" s="1077">
        <v>5</v>
      </c>
      <c r="H1800" s="1077" t="s">
        <v>4743</v>
      </c>
      <c r="I1800" s="1077" t="s">
        <v>126</v>
      </c>
      <c r="J1800" s="1077">
        <v>1.5</v>
      </c>
      <c r="K1800" s="1077" t="s">
        <v>5984</v>
      </c>
      <c r="L1800" s="1077" t="s">
        <v>4731</v>
      </c>
      <c r="M1800" s="1077">
        <v>153</v>
      </c>
      <c r="N1800" s="1077" t="s">
        <v>945</v>
      </c>
      <c r="O1800" s="1077">
        <v>3.8250000000000002</v>
      </c>
      <c r="P1800" s="1077">
        <v>3.06</v>
      </c>
      <c r="Q1800" s="1077">
        <v>4</v>
      </c>
      <c r="R1800" s="1077">
        <v>20.5</v>
      </c>
      <c r="T1800" s="1077">
        <v>11.5</v>
      </c>
      <c r="U1800" s="1077">
        <v>3.7</v>
      </c>
      <c r="V1800" s="1077" t="s">
        <v>648</v>
      </c>
      <c r="W1800" s="1077">
        <v>80</v>
      </c>
      <c r="X1800" s="1077">
        <v>20</v>
      </c>
      <c r="Y1800" s="1077">
        <v>1.7</v>
      </c>
      <c r="Z1800" s="1077">
        <v>5</v>
      </c>
      <c r="AA1800" s="1077" t="s">
        <v>5985</v>
      </c>
      <c r="AB1800" s="1077" t="s">
        <v>981</v>
      </c>
      <c r="AH1800" s="1077" t="s">
        <v>1452</v>
      </c>
      <c r="AM1800" s="1078" t="s">
        <v>12607</v>
      </c>
      <c r="AN1800" s="1078" t="s">
        <v>12608</v>
      </c>
      <c r="AO1800" s="1078">
        <f t="shared" si="222"/>
        <v>700</v>
      </c>
      <c r="AP1800" s="1078">
        <f t="shared" si="223"/>
        <v>1.73</v>
      </c>
      <c r="AQ1800" s="1078" t="str">
        <f t="shared" si="224"/>
        <v>1-5-1S91</v>
      </c>
      <c r="AR1800" s="1078" t="str">
        <f t="shared" si="225"/>
        <v>30</v>
      </c>
      <c r="AS1800" s="1078" t="str">
        <f t="shared" si="226"/>
        <v>330/330/172</v>
      </c>
      <c r="AT1800" s="1078" t="str">
        <f t="shared" si="227"/>
        <v>1-5-1S91</v>
      </c>
      <c r="AV1800" s="1078" t="str">
        <f t="shared" si="228"/>
        <v>110.4.16</v>
      </c>
      <c r="AW1800" s="1344">
        <f t="shared" si="229"/>
        <v>44302</v>
      </c>
    </row>
    <row r="1801" spans="1:49">
      <c r="A1801" s="1077" t="s">
        <v>5986</v>
      </c>
      <c r="B1801" s="1077" t="s">
        <v>5148</v>
      </c>
      <c r="C1801" s="1077">
        <v>650</v>
      </c>
      <c r="D1801" s="1077">
        <v>1.73</v>
      </c>
      <c r="E1801" s="1077" t="s">
        <v>15094</v>
      </c>
      <c r="F1801" s="1077" t="s">
        <v>984</v>
      </c>
      <c r="G1801" s="1077">
        <v>5</v>
      </c>
      <c r="H1801" s="1077" t="s">
        <v>5866</v>
      </c>
      <c r="I1801" s="1077" t="s">
        <v>648</v>
      </c>
      <c r="J1801" s="1077">
        <v>0</v>
      </c>
      <c r="K1801" s="1077" t="s">
        <v>5987</v>
      </c>
      <c r="L1801" s="1077" t="s">
        <v>5152</v>
      </c>
      <c r="M1801" s="1077">
        <v>150</v>
      </c>
      <c r="N1801" s="1077" t="s">
        <v>945</v>
      </c>
      <c r="O1801" s="1077">
        <v>3.75</v>
      </c>
      <c r="P1801" s="1077">
        <v>3</v>
      </c>
      <c r="Q1801" s="1077">
        <v>3.5</v>
      </c>
      <c r="R1801" s="1077">
        <v>24</v>
      </c>
      <c r="T1801" s="1077">
        <v>23.5</v>
      </c>
      <c r="U1801" s="1077">
        <v>1.8</v>
      </c>
      <c r="V1801" s="1077" t="s">
        <v>648</v>
      </c>
      <c r="W1801" s="1077" t="s">
        <v>648</v>
      </c>
      <c r="X1801" s="1077" t="s">
        <v>648</v>
      </c>
      <c r="Y1801" s="1077">
        <v>1.2</v>
      </c>
      <c r="Z1801" s="1077">
        <v>5.5</v>
      </c>
      <c r="AA1801" s="1077" t="s">
        <v>3536</v>
      </c>
      <c r="AH1801" s="1077" t="s">
        <v>1221</v>
      </c>
      <c r="AM1801" s="1078" t="s">
        <v>12609</v>
      </c>
      <c r="AN1801" s="1078" t="s">
        <v>12610</v>
      </c>
      <c r="AO1801" s="1078">
        <f t="shared" si="222"/>
        <v>650</v>
      </c>
      <c r="AP1801" s="1078">
        <f t="shared" si="223"/>
        <v>1.73</v>
      </c>
      <c r="AQ1801" s="1078" t="str">
        <f t="shared" si="224"/>
        <v>1-5-1S91°</v>
      </c>
      <c r="AR1801" s="1078" t="str">
        <f t="shared" si="225"/>
        <v>30</v>
      </c>
      <c r="AS1801" s="1078" t="str">
        <f t="shared" si="226"/>
        <v>380/350/150</v>
      </c>
      <c r="AT1801" s="1078" t="str">
        <f t="shared" si="227"/>
        <v>1-5-1S91°</v>
      </c>
      <c r="AV1801" s="1078" t="str">
        <f t="shared" si="228"/>
        <v>110.6.15</v>
      </c>
      <c r="AW1801" s="1344">
        <f t="shared" si="229"/>
        <v>44362</v>
      </c>
    </row>
    <row r="1802" spans="1:49">
      <c r="A1802" s="1077" t="s">
        <v>5988</v>
      </c>
      <c r="B1802" s="1077" t="s">
        <v>210</v>
      </c>
      <c r="C1802" s="1077">
        <v>700</v>
      </c>
      <c r="D1802" s="1077">
        <v>1.74</v>
      </c>
      <c r="E1802" s="1077" t="s">
        <v>15094</v>
      </c>
      <c r="F1802" s="1077" t="s">
        <v>984</v>
      </c>
      <c r="G1802" s="1077">
        <v>5</v>
      </c>
      <c r="H1802" s="1077" t="s">
        <v>5165</v>
      </c>
      <c r="I1802" s="1077" t="s">
        <v>126</v>
      </c>
      <c r="J1802" s="1077">
        <v>0.7</v>
      </c>
      <c r="K1802" s="1077" t="s">
        <v>5166</v>
      </c>
      <c r="L1802" s="1077" t="s">
        <v>4666</v>
      </c>
      <c r="M1802" s="1077">
        <v>151.5</v>
      </c>
      <c r="N1802" s="1077" t="s">
        <v>945</v>
      </c>
      <c r="O1802" s="1077">
        <v>3.7875000000000001</v>
      </c>
      <c r="P1802" s="1077">
        <v>3.0300000000000002</v>
      </c>
      <c r="Q1802" s="1077">
        <v>4</v>
      </c>
      <c r="R1802" s="1077">
        <v>19.100000000000001</v>
      </c>
      <c r="T1802" s="1077">
        <v>23.7</v>
      </c>
      <c r="U1802" s="1077">
        <v>3.2</v>
      </c>
      <c r="V1802" s="1077" t="s">
        <v>648</v>
      </c>
      <c r="W1802" s="1077">
        <v>35</v>
      </c>
      <c r="X1802" s="1077">
        <v>10</v>
      </c>
      <c r="Y1802" s="1077">
        <v>1</v>
      </c>
      <c r="Z1802" s="1077">
        <v>6</v>
      </c>
      <c r="AA1802" s="1077" t="s">
        <v>3636</v>
      </c>
      <c r="AH1802" s="1077" t="s">
        <v>1837</v>
      </c>
      <c r="AM1802" s="1078" t="s">
        <v>12611</v>
      </c>
      <c r="AN1802" s="1078" t="s">
        <v>12612</v>
      </c>
      <c r="AO1802" s="1078">
        <f t="shared" si="222"/>
        <v>700</v>
      </c>
      <c r="AP1802" s="1078">
        <f t="shared" si="223"/>
        <v>1.74</v>
      </c>
      <c r="AQ1802" s="1078" t="str">
        <f t="shared" si="224"/>
        <v>1-5-1S91°</v>
      </c>
      <c r="AR1802" s="1078" t="str">
        <f t="shared" si="225"/>
        <v>30</v>
      </c>
      <c r="AS1802" s="1078" t="str">
        <f t="shared" si="226"/>
        <v>360/320/155</v>
      </c>
      <c r="AT1802" s="1078" t="str">
        <f t="shared" si="227"/>
        <v>1-5-1S91°</v>
      </c>
      <c r="AV1802" s="1078" t="str">
        <f t="shared" si="228"/>
        <v>110.8.4</v>
      </c>
      <c r="AW1802" s="1344">
        <f t="shared" si="229"/>
        <v>44412</v>
      </c>
    </row>
    <row r="1803" spans="1:49">
      <c r="A1803" s="1077" t="s">
        <v>5989</v>
      </c>
      <c r="B1803" s="1077" t="s">
        <v>210</v>
      </c>
      <c r="C1803" s="1077">
        <v>700</v>
      </c>
      <c r="D1803" s="1077">
        <v>1.76</v>
      </c>
      <c r="E1803" s="1077" t="s">
        <v>15094</v>
      </c>
      <c r="F1803" s="1077" t="s">
        <v>984</v>
      </c>
      <c r="G1803" s="1077">
        <v>5</v>
      </c>
      <c r="H1803" s="1077" t="s">
        <v>4997</v>
      </c>
      <c r="I1803" s="1077" t="s">
        <v>126</v>
      </c>
      <c r="J1803" s="1077">
        <v>2.8</v>
      </c>
      <c r="K1803" s="1077" t="s">
        <v>5990</v>
      </c>
      <c r="L1803" s="1077" t="s">
        <v>4666</v>
      </c>
      <c r="M1803" s="1077">
        <v>150.80000000000001</v>
      </c>
      <c r="N1803" s="1077" t="s">
        <v>945</v>
      </c>
      <c r="O1803" s="1077">
        <v>3.7700000000000005</v>
      </c>
      <c r="P1803" s="1077">
        <v>3.0160000000000005</v>
      </c>
      <c r="Q1803" s="1077">
        <v>4</v>
      </c>
      <c r="R1803" s="1077">
        <v>19</v>
      </c>
      <c r="T1803" s="1077">
        <v>28.3</v>
      </c>
      <c r="U1803" s="1077">
        <v>4.3</v>
      </c>
      <c r="V1803" s="1077" t="s">
        <v>648</v>
      </c>
      <c r="W1803" s="1077">
        <v>100</v>
      </c>
      <c r="X1803" s="1077">
        <v>50</v>
      </c>
      <c r="Y1803" s="1077">
        <v>1.5</v>
      </c>
      <c r="Z1803" s="1077">
        <v>6.5</v>
      </c>
      <c r="AA1803" s="1077" t="s">
        <v>3817</v>
      </c>
      <c r="AH1803" s="1077" t="s">
        <v>889</v>
      </c>
      <c r="AM1803" s="1078" t="s">
        <v>12613</v>
      </c>
      <c r="AN1803" s="1078" t="s">
        <v>12614</v>
      </c>
      <c r="AO1803" s="1078">
        <f t="shared" ref="AO1803:AO1866" si="230">C1803</f>
        <v>700</v>
      </c>
      <c r="AP1803" s="1078">
        <f t="shared" ref="AP1803:AP1866" si="231">D1803</f>
        <v>1.76</v>
      </c>
      <c r="AQ1803" s="1078" t="str">
        <f t="shared" ref="AQ1803:AQ1866" si="232">E1803</f>
        <v>1-5-1S91°</v>
      </c>
      <c r="AR1803" s="1078" t="str">
        <f t="shared" ref="AR1803:AR1866" si="233">F1803</f>
        <v>30</v>
      </c>
      <c r="AS1803" s="1078" t="str">
        <f t="shared" ref="AS1803:AS1866" si="234">H1803</f>
        <v>360/320/OFF</v>
      </c>
      <c r="AT1803" s="1078" t="str">
        <f t="shared" ref="AT1803:AT1866" si="235">E1803</f>
        <v>1-5-1S91°</v>
      </c>
      <c r="AV1803" s="1078" t="str">
        <f t="shared" si="228"/>
        <v>110.10.7</v>
      </c>
      <c r="AW1803" s="1344">
        <f t="shared" si="229"/>
        <v>44476</v>
      </c>
    </row>
    <row r="1804" spans="1:49">
      <c r="A1804" s="1077" t="s">
        <v>5991</v>
      </c>
      <c r="B1804" s="1077" t="s">
        <v>847</v>
      </c>
      <c r="C1804" s="1077">
        <v>550</v>
      </c>
      <c r="D1804" s="1077">
        <v>1.78</v>
      </c>
      <c r="E1804" s="1077" t="s">
        <v>15111</v>
      </c>
      <c r="F1804" s="1077" t="s">
        <v>975</v>
      </c>
      <c r="G1804" s="1077">
        <v>5</v>
      </c>
      <c r="H1804" s="1077" t="s">
        <v>4940</v>
      </c>
      <c r="I1804" s="1077" t="s">
        <v>126</v>
      </c>
      <c r="J1804" s="1077">
        <v>2.2000000000000002</v>
      </c>
      <c r="K1804" s="1077" t="s">
        <v>5359</v>
      </c>
      <c r="L1804" s="1077" t="s">
        <v>5037</v>
      </c>
      <c r="M1804" s="1077">
        <v>150</v>
      </c>
      <c r="N1804" s="1077" t="s">
        <v>945</v>
      </c>
      <c r="O1804" s="1077">
        <v>3.75</v>
      </c>
      <c r="P1804" s="1077">
        <v>3</v>
      </c>
      <c r="Q1804" s="1077">
        <v>3.5</v>
      </c>
      <c r="R1804" s="1077">
        <v>21.8</v>
      </c>
      <c r="T1804" s="1077">
        <v>19.5</v>
      </c>
      <c r="U1804" s="1077">
        <v>2.5</v>
      </c>
      <c r="V1804" s="1077" t="s">
        <v>648</v>
      </c>
      <c r="W1804" s="1077">
        <v>110</v>
      </c>
      <c r="X1804" s="1077">
        <v>60</v>
      </c>
      <c r="Y1804" s="1077">
        <v>2.1</v>
      </c>
      <c r="Z1804" s="1077">
        <v>5</v>
      </c>
      <c r="AA1804" s="1077" t="s">
        <v>3976</v>
      </c>
      <c r="AH1804" s="1077" t="s">
        <v>1421</v>
      </c>
      <c r="AM1804" s="1078" t="s">
        <v>12615</v>
      </c>
      <c r="AN1804" s="1078" t="s">
        <v>12616</v>
      </c>
      <c r="AO1804" s="1078">
        <f t="shared" si="230"/>
        <v>550</v>
      </c>
      <c r="AP1804" s="1078">
        <f t="shared" si="231"/>
        <v>1.78</v>
      </c>
      <c r="AQ1804" s="1078" t="str">
        <f t="shared" si="232"/>
        <v>1-5-1S91</v>
      </c>
      <c r="AR1804" s="1078" t="str">
        <f t="shared" si="233"/>
        <v>31.5</v>
      </c>
      <c r="AS1804" s="1078" t="str">
        <f t="shared" si="234"/>
        <v>320/320/155</v>
      </c>
      <c r="AT1804" s="1078" t="str">
        <f t="shared" si="235"/>
        <v>1-5-1S91</v>
      </c>
      <c r="AV1804" s="1078" t="str">
        <f t="shared" si="228"/>
        <v>110.11.19</v>
      </c>
      <c r="AW1804" s="1344">
        <f t="shared" si="229"/>
        <v>44519</v>
      </c>
    </row>
    <row r="1805" spans="1:49">
      <c r="A1805" s="1077" t="s">
        <v>5992</v>
      </c>
      <c r="B1805" s="1077" t="s">
        <v>4921</v>
      </c>
      <c r="C1805" s="1077">
        <v>600</v>
      </c>
      <c r="D1805" s="1077">
        <v>1.79</v>
      </c>
      <c r="E1805" s="1077" t="s">
        <v>15102</v>
      </c>
      <c r="F1805" s="1077" t="s">
        <v>954</v>
      </c>
      <c r="G1805" s="1077">
        <v>5</v>
      </c>
      <c r="H1805" s="1077" t="s">
        <v>5993</v>
      </c>
      <c r="I1805" s="1077" t="s">
        <v>648</v>
      </c>
      <c r="J1805" s="1077">
        <v>0</v>
      </c>
      <c r="K1805" s="1077" t="s">
        <v>4923</v>
      </c>
      <c r="L1805" s="1077" t="s">
        <v>4924</v>
      </c>
      <c r="M1805" s="1077">
        <v>149.5</v>
      </c>
      <c r="N1805" s="1077" t="s">
        <v>945</v>
      </c>
      <c r="O1805" s="1077">
        <v>3.7375000000000003</v>
      </c>
      <c r="P1805" s="1077">
        <v>2.99</v>
      </c>
      <c r="Q1805" s="1077" t="s">
        <v>988</v>
      </c>
      <c r="R1805" s="1077">
        <v>22.5</v>
      </c>
      <c r="T1805" s="1077">
        <v>19.899999999999999</v>
      </c>
      <c r="U1805" s="1077">
        <v>1.5</v>
      </c>
      <c r="V1805" s="1077" t="s">
        <v>648</v>
      </c>
      <c r="W1805" s="1077" t="s">
        <v>648</v>
      </c>
      <c r="X1805" s="1077" t="s">
        <v>648</v>
      </c>
      <c r="Y1805" s="1077">
        <v>2.5</v>
      </c>
      <c r="Z1805" s="1077" t="s">
        <v>5994</v>
      </c>
      <c r="AA1805" s="1077" t="s">
        <v>5995</v>
      </c>
      <c r="AH1805" s="1077" t="s">
        <v>712</v>
      </c>
      <c r="AM1805" s="1078" t="s">
        <v>12617</v>
      </c>
      <c r="AN1805" s="1078" t="s">
        <v>12618</v>
      </c>
      <c r="AO1805" s="1078">
        <f t="shared" si="230"/>
        <v>600</v>
      </c>
      <c r="AP1805" s="1078">
        <f t="shared" si="231"/>
        <v>1.79</v>
      </c>
      <c r="AQ1805" s="1078" t="str">
        <f t="shared" si="232"/>
        <v>2-6-1S83°</v>
      </c>
      <c r="AR1805" s="1078" t="str">
        <f t="shared" si="233"/>
        <v>31</v>
      </c>
      <c r="AS1805" s="1078" t="str">
        <f t="shared" si="234"/>
        <v>192/196</v>
      </c>
      <c r="AT1805" s="1078" t="str">
        <f t="shared" si="235"/>
        <v>2-6-1S83°</v>
      </c>
      <c r="AV1805" s="1078" t="str">
        <f t="shared" si="228"/>
        <v>108.12.12</v>
      </c>
      <c r="AW1805" s="1344">
        <f t="shared" si="229"/>
        <v>43811</v>
      </c>
    </row>
    <row r="1806" spans="1:49">
      <c r="A1806" s="1077" t="s">
        <v>5996</v>
      </c>
      <c r="B1806" s="1077" t="s">
        <v>4936</v>
      </c>
      <c r="C1806" s="1077">
        <v>600</v>
      </c>
      <c r="D1806" s="1077">
        <v>1.68</v>
      </c>
      <c r="E1806" s="1077" t="s">
        <v>15108</v>
      </c>
      <c r="F1806" s="1077" t="s">
        <v>954</v>
      </c>
      <c r="G1806" s="1077">
        <v>5</v>
      </c>
      <c r="H1806" s="1077" t="s">
        <v>2540</v>
      </c>
      <c r="I1806" s="1077" t="s">
        <v>460</v>
      </c>
      <c r="J1806" s="1077">
        <v>1</v>
      </c>
      <c r="K1806" s="1077" t="s">
        <v>5997</v>
      </c>
      <c r="L1806" s="1077" t="s">
        <v>2756</v>
      </c>
      <c r="M1806" s="1077">
        <v>155.69999999999999</v>
      </c>
      <c r="N1806" s="1077" t="s">
        <v>945</v>
      </c>
      <c r="O1806" s="1077">
        <v>3.8925000000000001</v>
      </c>
      <c r="P1806" s="1077">
        <v>3.1139999999999999</v>
      </c>
      <c r="Q1806" s="1077" t="s">
        <v>1264</v>
      </c>
      <c r="R1806" s="1077">
        <v>25</v>
      </c>
      <c r="T1806" s="1077">
        <v>25.5</v>
      </c>
      <c r="U1806" s="1077">
        <v>3.3</v>
      </c>
      <c r="V1806" s="1077" t="s">
        <v>648</v>
      </c>
      <c r="W1806" s="1077">
        <v>100</v>
      </c>
      <c r="X1806" s="1077">
        <v>30</v>
      </c>
      <c r="Y1806" s="1077">
        <v>2</v>
      </c>
      <c r="Z1806" s="1077" t="s">
        <v>648</v>
      </c>
      <c r="AA1806" s="1077" t="s">
        <v>2937</v>
      </c>
      <c r="AH1806" s="1077" t="s">
        <v>1684</v>
      </c>
      <c r="AM1806" s="1078" t="s">
        <v>12619</v>
      </c>
      <c r="AN1806" s="1078" t="s">
        <v>12620</v>
      </c>
      <c r="AO1806" s="1078">
        <f t="shared" si="230"/>
        <v>600</v>
      </c>
      <c r="AP1806" s="1078">
        <f t="shared" si="231"/>
        <v>1.68</v>
      </c>
      <c r="AQ1806" s="1078" t="str">
        <f t="shared" si="232"/>
        <v>1-4-1S83°Z+S</v>
      </c>
      <c r="AR1806" s="1078" t="str">
        <f t="shared" si="233"/>
        <v>31</v>
      </c>
      <c r="AS1806" s="1078" t="str">
        <f t="shared" si="234"/>
        <v>300/300/OFF</v>
      </c>
      <c r="AT1806" s="1078" t="str">
        <f t="shared" si="235"/>
        <v>1-4-1S83°Z+S</v>
      </c>
      <c r="AU1806" s="1078" t="s">
        <v>15547</v>
      </c>
      <c r="AV1806" s="1078" t="str">
        <f t="shared" si="228"/>
        <v>109.3.30</v>
      </c>
      <c r="AW1806" s="1344">
        <f t="shared" si="229"/>
        <v>43920</v>
      </c>
    </row>
    <row r="1807" spans="1:49">
      <c r="A1807" s="1077" t="s">
        <v>5998</v>
      </c>
      <c r="B1807" s="1077" t="s">
        <v>847</v>
      </c>
      <c r="C1807" s="1077">
        <v>600</v>
      </c>
      <c r="D1807" s="1077">
        <v>1.7849999999999999</v>
      </c>
      <c r="E1807" s="1077" t="s">
        <v>15111</v>
      </c>
      <c r="F1807" s="1077" t="s">
        <v>975</v>
      </c>
      <c r="G1807" s="1077">
        <v>4</v>
      </c>
      <c r="H1807" s="1077" t="s">
        <v>2570</v>
      </c>
      <c r="I1807" s="1077" t="s">
        <v>126</v>
      </c>
      <c r="J1807" s="1077">
        <v>2.4</v>
      </c>
      <c r="K1807" s="1077" t="s">
        <v>5999</v>
      </c>
      <c r="L1807" s="1077" t="s">
        <v>5037</v>
      </c>
      <c r="M1807" s="1077">
        <v>146.6</v>
      </c>
      <c r="N1807" s="1077" t="s">
        <v>945</v>
      </c>
      <c r="O1807" s="1077">
        <v>3.665</v>
      </c>
      <c r="P1807" s="1077">
        <v>2.9319999999999999</v>
      </c>
      <c r="Q1807" s="1077" t="s">
        <v>2401</v>
      </c>
      <c r="R1807" s="1077">
        <v>20.5</v>
      </c>
      <c r="T1807" s="1077">
        <v>24.6</v>
      </c>
      <c r="U1807" s="1077">
        <v>4</v>
      </c>
      <c r="V1807" s="1077" t="s">
        <v>648</v>
      </c>
      <c r="W1807" s="1077">
        <v>100</v>
      </c>
      <c r="X1807" s="1077">
        <v>60</v>
      </c>
      <c r="Y1807" s="1077">
        <v>2</v>
      </c>
      <c r="Z1807" s="1077">
        <v>6.5</v>
      </c>
      <c r="AA1807" s="1077" t="s">
        <v>3046</v>
      </c>
      <c r="AH1807" s="1077" t="s">
        <v>1588</v>
      </c>
      <c r="AM1807" s="1078" t="s">
        <v>12621</v>
      </c>
      <c r="AN1807" s="1078" t="s">
        <v>12622</v>
      </c>
      <c r="AO1807" s="1078">
        <f t="shared" si="230"/>
        <v>600</v>
      </c>
      <c r="AP1807" s="1078">
        <f t="shared" si="231"/>
        <v>1.7849999999999999</v>
      </c>
      <c r="AQ1807" s="1078" t="str">
        <f t="shared" si="232"/>
        <v>1-5-1S91</v>
      </c>
      <c r="AR1807" s="1078" t="str">
        <f t="shared" si="233"/>
        <v>31.5</v>
      </c>
      <c r="AS1807" s="1078" t="str">
        <f t="shared" si="234"/>
        <v>330/330/OFF</v>
      </c>
      <c r="AT1807" s="1078" t="str">
        <f t="shared" si="235"/>
        <v>1-5-1S91</v>
      </c>
      <c r="AV1807" s="1078" t="str">
        <f t="shared" si="228"/>
        <v>109.7.23</v>
      </c>
      <c r="AW1807" s="1344">
        <f t="shared" si="229"/>
        <v>44035</v>
      </c>
    </row>
    <row r="1808" spans="1:49">
      <c r="A1808" s="1077" t="s">
        <v>6000</v>
      </c>
      <c r="B1808" s="1077" t="s">
        <v>210</v>
      </c>
      <c r="C1808" s="1077">
        <v>650</v>
      </c>
      <c r="D1808" s="1077">
        <v>1.75</v>
      </c>
      <c r="E1808" s="1077" t="s">
        <v>15094</v>
      </c>
      <c r="F1808" s="1077" t="s">
        <v>2167</v>
      </c>
      <c r="G1808" s="1077">
        <v>5</v>
      </c>
      <c r="H1808" s="1077" t="s">
        <v>4821</v>
      </c>
      <c r="I1808" s="1077" t="s">
        <v>643</v>
      </c>
      <c r="J1808" s="1077">
        <v>2.8</v>
      </c>
      <c r="K1808" s="1077" t="s">
        <v>6001</v>
      </c>
      <c r="L1808" s="1077" t="s">
        <v>4808</v>
      </c>
      <c r="M1808" s="1077">
        <v>149.5</v>
      </c>
      <c r="N1808" s="1077" t="s">
        <v>945</v>
      </c>
      <c r="O1808" s="1077">
        <v>3.7375000000000003</v>
      </c>
      <c r="P1808" s="1077">
        <v>2.99</v>
      </c>
      <c r="Q1808" s="1077">
        <v>3.5</v>
      </c>
      <c r="R1808" s="1077">
        <v>21.5</v>
      </c>
      <c r="T1808" s="1077">
        <v>19.5</v>
      </c>
      <c r="U1808" s="1077">
        <v>2.9</v>
      </c>
      <c r="V1808" s="1077" t="s">
        <v>648</v>
      </c>
      <c r="W1808" s="1077">
        <v>100</v>
      </c>
      <c r="X1808" s="1077">
        <v>90</v>
      </c>
      <c r="Y1808" s="1077">
        <v>1.8</v>
      </c>
      <c r="Z1808" s="1077">
        <v>5.5</v>
      </c>
      <c r="AA1808" s="1077" t="s">
        <v>6002</v>
      </c>
      <c r="AB1808" s="1077" t="s">
        <v>981</v>
      </c>
      <c r="AH1808" s="1077" t="s">
        <v>1643</v>
      </c>
      <c r="AM1808" s="1078" t="s">
        <v>12623</v>
      </c>
      <c r="AN1808" s="1078" t="s">
        <v>12624</v>
      </c>
      <c r="AO1808" s="1078">
        <f t="shared" si="230"/>
        <v>650</v>
      </c>
      <c r="AP1808" s="1078">
        <f t="shared" si="231"/>
        <v>1.75</v>
      </c>
      <c r="AQ1808" s="1078" t="str">
        <f t="shared" si="232"/>
        <v>1-5-1S91°</v>
      </c>
      <c r="AR1808" s="1078" t="str">
        <f t="shared" si="233"/>
        <v>33</v>
      </c>
      <c r="AS1808" s="1078" t="str">
        <f t="shared" si="234"/>
        <v>390/360/155</v>
      </c>
      <c r="AT1808" s="1078" t="str">
        <f t="shared" si="235"/>
        <v>1-5-1S91°</v>
      </c>
      <c r="AV1808" s="1078" t="str">
        <f t="shared" si="228"/>
        <v>109.12.30</v>
      </c>
      <c r="AW1808" s="1344">
        <f t="shared" si="229"/>
        <v>44195</v>
      </c>
    </row>
    <row r="1809" spans="1:49">
      <c r="A1809" s="1077" t="s">
        <v>6003</v>
      </c>
      <c r="B1809" s="1077" t="s">
        <v>5678</v>
      </c>
      <c r="C1809" s="1077">
        <v>500</v>
      </c>
      <c r="D1809" s="1077">
        <v>1.645</v>
      </c>
      <c r="E1809" s="1077" t="s">
        <v>5013</v>
      </c>
      <c r="F1809" s="1077">
        <v>15.5</v>
      </c>
      <c r="G1809" s="1077">
        <v>5</v>
      </c>
      <c r="H1809" s="1077" t="s">
        <v>6004</v>
      </c>
      <c r="I1809" s="1077" t="s">
        <v>460</v>
      </c>
      <c r="J1809" s="1077">
        <v>2.6</v>
      </c>
      <c r="K1809" s="1077" t="s">
        <v>5679</v>
      </c>
      <c r="L1809" s="1077" t="s">
        <v>5680</v>
      </c>
      <c r="M1809" s="1077">
        <v>159.69999999999999</v>
      </c>
      <c r="N1809" s="1077" t="s">
        <v>945</v>
      </c>
      <c r="O1809" s="1077">
        <v>3.9924999999999997</v>
      </c>
      <c r="P1809" s="1077">
        <v>3.194</v>
      </c>
      <c r="Q1809" s="1077">
        <v>3</v>
      </c>
      <c r="R1809" s="1077">
        <v>25.6</v>
      </c>
      <c r="T1809" s="1077">
        <v>33.9</v>
      </c>
      <c r="U1809" s="1077">
        <v>6.3</v>
      </c>
      <c r="V1809" s="1077" t="s">
        <v>648</v>
      </c>
      <c r="W1809" s="1077">
        <v>110</v>
      </c>
      <c r="X1809" s="1077">
        <v>95</v>
      </c>
      <c r="Y1809" s="1077">
        <v>1.5</v>
      </c>
      <c r="Z1809" s="1077" t="s">
        <v>648</v>
      </c>
      <c r="AA1809" s="1077" t="s">
        <v>4179</v>
      </c>
      <c r="AH1809" s="1077" t="s">
        <v>723</v>
      </c>
      <c r="AM1809" s="1078" t="s">
        <v>12625</v>
      </c>
      <c r="AN1809" s="1078" t="s">
        <v>12626</v>
      </c>
      <c r="AO1809" s="1078">
        <f t="shared" si="230"/>
        <v>500</v>
      </c>
      <c r="AP1809" s="1078">
        <f t="shared" si="231"/>
        <v>1.645</v>
      </c>
      <c r="AQ1809" s="1078" t="str">
        <f t="shared" si="232"/>
        <v>107.5°</v>
      </c>
      <c r="AR1809" s="1078">
        <f t="shared" si="233"/>
        <v>15.5</v>
      </c>
      <c r="AS1809" s="1078" t="str">
        <f t="shared" si="234"/>
        <v>299/299/OFF</v>
      </c>
      <c r="AT1809" s="1078" t="str">
        <f t="shared" si="235"/>
        <v>107.5°</v>
      </c>
      <c r="AV1809" s="1078" t="str">
        <f t="shared" si="228"/>
        <v>110.2.8</v>
      </c>
      <c r="AW1809" s="1344">
        <f t="shared" si="229"/>
        <v>44235</v>
      </c>
    </row>
    <row r="1810" spans="1:49">
      <c r="A1810" s="1077" t="s">
        <v>6005</v>
      </c>
      <c r="B1810" s="1077" t="s">
        <v>5314</v>
      </c>
      <c r="C1810" s="1077">
        <v>600</v>
      </c>
      <c r="D1810" s="1077">
        <v>1.72</v>
      </c>
      <c r="E1810" s="1077" t="s">
        <v>15104</v>
      </c>
      <c r="F1810" s="1077" t="s">
        <v>648</v>
      </c>
      <c r="G1810" s="1077">
        <v>2</v>
      </c>
      <c r="H1810" s="1077" t="s">
        <v>6006</v>
      </c>
      <c r="I1810" s="1077" t="s">
        <v>460</v>
      </c>
      <c r="J1810" s="1077">
        <v>1.8</v>
      </c>
      <c r="K1810" s="1077" t="s">
        <v>6007</v>
      </c>
      <c r="L1810" s="1077" t="s">
        <v>1924</v>
      </c>
      <c r="M1810" s="1077">
        <v>149</v>
      </c>
      <c r="N1810" s="1077" t="s">
        <v>945</v>
      </c>
      <c r="O1810" s="1077">
        <v>3.7250000000000001</v>
      </c>
      <c r="P1810" s="1077">
        <v>2.98</v>
      </c>
      <c r="Q1810" s="1077" t="s">
        <v>1369</v>
      </c>
      <c r="R1810" s="1077">
        <v>32</v>
      </c>
      <c r="T1810" s="1077">
        <v>14.3</v>
      </c>
      <c r="U1810" s="1077">
        <v>7.2</v>
      </c>
      <c r="V1810" s="1077" t="s">
        <v>648</v>
      </c>
      <c r="W1810" s="1077">
        <v>125</v>
      </c>
      <c r="X1810" s="1077">
        <v>80</v>
      </c>
      <c r="Y1810" s="1077">
        <v>1.5</v>
      </c>
      <c r="Z1810" s="1077" t="s">
        <v>648</v>
      </c>
      <c r="AA1810" s="1077" t="s">
        <v>3312</v>
      </c>
      <c r="AH1810" s="1077" t="s">
        <v>712</v>
      </c>
      <c r="AM1810" s="1078" t="s">
        <v>12627</v>
      </c>
      <c r="AN1810" s="1078" t="s">
        <v>11214</v>
      </c>
      <c r="AO1810" s="1078">
        <f t="shared" si="230"/>
        <v>600</v>
      </c>
      <c r="AP1810" s="1078">
        <f t="shared" si="231"/>
        <v>1.72</v>
      </c>
      <c r="AQ1810" s="1078" t="str">
        <f t="shared" si="232"/>
        <v>1-4-1S85°Z+S</v>
      </c>
      <c r="AR1810" s="1078" t="str">
        <f t="shared" si="233"/>
        <v>NA</v>
      </c>
      <c r="AS1810" s="1078" t="str">
        <f t="shared" si="234"/>
        <v>147/OFF</v>
      </c>
      <c r="AT1810" s="1078" t="str">
        <f t="shared" si="235"/>
        <v>1-4-1S85°Z+S</v>
      </c>
      <c r="AU1810" s="1078" t="s">
        <v>15547</v>
      </c>
      <c r="AV1810" s="1078" t="str">
        <f t="shared" si="228"/>
        <v>110.4.21</v>
      </c>
      <c r="AW1810" s="1344">
        <f t="shared" si="229"/>
        <v>44307</v>
      </c>
    </row>
    <row r="1811" spans="1:49">
      <c r="A1811" s="1077" t="s">
        <v>6008</v>
      </c>
      <c r="B1811" s="1077" t="s">
        <v>210</v>
      </c>
      <c r="C1811" s="1077">
        <v>700</v>
      </c>
      <c r="D1811" s="1077">
        <v>1.75</v>
      </c>
      <c r="E1811" s="1077" t="s">
        <v>15094</v>
      </c>
      <c r="F1811" s="1077" t="s">
        <v>984</v>
      </c>
      <c r="G1811" s="1077">
        <v>5</v>
      </c>
      <c r="H1811" s="1077" t="s">
        <v>5300</v>
      </c>
      <c r="I1811" s="1077" t="s">
        <v>126</v>
      </c>
      <c r="J1811" s="1077">
        <v>0.7</v>
      </c>
      <c r="K1811" s="1077" t="s">
        <v>5990</v>
      </c>
      <c r="L1811" s="1077" t="s">
        <v>4666</v>
      </c>
      <c r="M1811" s="1077">
        <v>151.5</v>
      </c>
      <c r="N1811" s="1077" t="s">
        <v>945</v>
      </c>
      <c r="O1811" s="1077">
        <v>3.7875000000000001</v>
      </c>
      <c r="P1811" s="1077">
        <v>3.0300000000000002</v>
      </c>
      <c r="Q1811" s="1077">
        <v>4</v>
      </c>
      <c r="R1811" s="1077">
        <v>19.100000000000001</v>
      </c>
      <c r="T1811" s="1077">
        <v>23.7</v>
      </c>
      <c r="U1811" s="1077">
        <v>3.2</v>
      </c>
      <c r="V1811" s="1077" t="s">
        <v>648</v>
      </c>
      <c r="W1811" s="1077">
        <v>35</v>
      </c>
      <c r="X1811" s="1077">
        <v>10</v>
      </c>
      <c r="Y1811" s="1077">
        <v>1</v>
      </c>
      <c r="Z1811" s="1077">
        <v>6</v>
      </c>
      <c r="AA1811" s="1077" t="s">
        <v>3536</v>
      </c>
      <c r="AB1811" s="1077" t="s">
        <v>4165</v>
      </c>
      <c r="AH1811" s="1077" t="s">
        <v>1482</v>
      </c>
      <c r="AM1811" s="1078" t="s">
        <v>12628</v>
      </c>
      <c r="AN1811" s="1078" t="s">
        <v>12629</v>
      </c>
      <c r="AO1811" s="1078">
        <f t="shared" si="230"/>
        <v>700</v>
      </c>
      <c r="AP1811" s="1078">
        <f t="shared" si="231"/>
        <v>1.75</v>
      </c>
      <c r="AQ1811" s="1078" t="str">
        <f t="shared" si="232"/>
        <v>1-5-1S91°</v>
      </c>
      <c r="AR1811" s="1078" t="str">
        <f t="shared" si="233"/>
        <v>30</v>
      </c>
      <c r="AS1811" s="1078" t="str">
        <f t="shared" si="234"/>
        <v>370/330/155</v>
      </c>
      <c r="AT1811" s="1078" t="str">
        <f t="shared" si="235"/>
        <v>1-5-1S91°</v>
      </c>
      <c r="AV1811" s="1078" t="str">
        <f t="shared" si="228"/>
        <v>110.6.15</v>
      </c>
      <c r="AW1811" s="1344">
        <f t="shared" si="229"/>
        <v>44362</v>
      </c>
    </row>
    <row r="1812" spans="1:49">
      <c r="A1812" s="1077" t="s">
        <v>6009</v>
      </c>
      <c r="B1812" s="1077" t="s">
        <v>5148</v>
      </c>
      <c r="C1812" s="1077">
        <v>650</v>
      </c>
      <c r="D1812" s="1077">
        <v>1.7450000000000001</v>
      </c>
      <c r="E1812" s="1077" t="s">
        <v>15094</v>
      </c>
      <c r="F1812" s="1077" t="s">
        <v>984</v>
      </c>
      <c r="G1812" s="1077">
        <v>5</v>
      </c>
      <c r="H1812" s="1077" t="s">
        <v>5248</v>
      </c>
      <c r="I1812" s="1077" t="s">
        <v>126</v>
      </c>
      <c r="J1812" s="1077">
        <v>0.6</v>
      </c>
      <c r="K1812" s="1077" t="s">
        <v>5345</v>
      </c>
      <c r="L1812" s="1077" t="s">
        <v>5152</v>
      </c>
      <c r="M1812" s="1077">
        <v>149.9</v>
      </c>
      <c r="N1812" s="1077" t="s">
        <v>945</v>
      </c>
      <c r="O1812" s="1077">
        <v>3.7475000000000005</v>
      </c>
      <c r="P1812" s="1077">
        <v>2.9980000000000002</v>
      </c>
      <c r="Q1812" s="1077">
        <v>4</v>
      </c>
      <c r="R1812" s="1077">
        <v>22</v>
      </c>
      <c r="T1812" s="1077">
        <v>20</v>
      </c>
      <c r="U1812" s="1077">
        <v>2.6</v>
      </c>
      <c r="V1812" s="1077" t="s">
        <v>648</v>
      </c>
      <c r="W1812" s="1077">
        <v>35</v>
      </c>
      <c r="X1812" s="1077">
        <v>10</v>
      </c>
      <c r="Y1812" s="1077">
        <v>1</v>
      </c>
      <c r="Z1812" s="1077">
        <v>6</v>
      </c>
      <c r="AA1812" s="1077" t="s">
        <v>3639</v>
      </c>
      <c r="AH1812" s="1077" t="s">
        <v>966</v>
      </c>
      <c r="AM1812" s="1078" t="s">
        <v>12630</v>
      </c>
      <c r="AN1812" s="1078" t="s">
        <v>12631</v>
      </c>
      <c r="AO1812" s="1078">
        <f t="shared" si="230"/>
        <v>650</v>
      </c>
      <c r="AP1812" s="1078">
        <f t="shared" si="231"/>
        <v>1.7450000000000001</v>
      </c>
      <c r="AQ1812" s="1078" t="str">
        <f t="shared" si="232"/>
        <v>1-5-1S91°</v>
      </c>
      <c r="AR1812" s="1078" t="str">
        <f t="shared" si="233"/>
        <v>30</v>
      </c>
      <c r="AS1812" s="1078" t="str">
        <f t="shared" si="234"/>
        <v>340/300/155</v>
      </c>
      <c r="AT1812" s="1078" t="str">
        <f t="shared" si="235"/>
        <v>1-5-1S91°</v>
      </c>
      <c r="AV1812" s="1078" t="str">
        <f t="shared" si="228"/>
        <v>110.8.6</v>
      </c>
      <c r="AW1812" s="1344">
        <f t="shared" si="229"/>
        <v>44414</v>
      </c>
    </row>
    <row r="1813" spans="1:49">
      <c r="A1813" s="1077" t="s">
        <v>6010</v>
      </c>
      <c r="B1813" s="1077" t="s">
        <v>210</v>
      </c>
      <c r="C1813" s="1077">
        <v>650</v>
      </c>
      <c r="D1813" s="1077">
        <v>1.76</v>
      </c>
      <c r="E1813" s="1077" t="s">
        <v>15094</v>
      </c>
      <c r="F1813" s="1077" t="s">
        <v>984</v>
      </c>
      <c r="G1813" s="1077">
        <v>5</v>
      </c>
      <c r="H1813" s="1077" t="s">
        <v>6011</v>
      </c>
      <c r="I1813" s="1077" t="s">
        <v>648</v>
      </c>
      <c r="J1813" s="1077">
        <v>0</v>
      </c>
      <c r="K1813" s="1077" t="s">
        <v>5592</v>
      </c>
      <c r="L1813" s="1077" t="s">
        <v>4666</v>
      </c>
      <c r="M1813" s="1077">
        <v>151.5</v>
      </c>
      <c r="N1813" s="1077" t="s">
        <v>945</v>
      </c>
      <c r="O1813" s="1077">
        <v>3.7875000000000001</v>
      </c>
      <c r="P1813" s="1077">
        <v>3.0300000000000002</v>
      </c>
      <c r="Q1813" s="1077">
        <v>4</v>
      </c>
      <c r="R1813" s="1077">
        <v>19.100000000000001</v>
      </c>
      <c r="T1813" s="1077">
        <v>19</v>
      </c>
      <c r="U1813" s="1077">
        <v>2.5</v>
      </c>
      <c r="V1813" s="1077" t="s">
        <v>648</v>
      </c>
      <c r="W1813" s="1077" t="s">
        <v>648</v>
      </c>
      <c r="X1813" s="1077" t="s">
        <v>648</v>
      </c>
      <c r="Y1813" s="1077">
        <v>1</v>
      </c>
      <c r="Z1813" s="1077">
        <v>5</v>
      </c>
      <c r="AA1813" s="1077" t="s">
        <v>3884</v>
      </c>
      <c r="AH1813" s="1077" t="s">
        <v>1137</v>
      </c>
      <c r="AM1813" s="1078" t="s">
        <v>12632</v>
      </c>
      <c r="AN1813" s="1078" t="s">
        <v>12633</v>
      </c>
      <c r="AO1813" s="1078">
        <f t="shared" si="230"/>
        <v>650</v>
      </c>
      <c r="AP1813" s="1078">
        <f t="shared" si="231"/>
        <v>1.76</v>
      </c>
      <c r="AQ1813" s="1078" t="str">
        <f t="shared" si="232"/>
        <v>1-5-1S91°</v>
      </c>
      <c r="AR1813" s="1078" t="str">
        <f t="shared" si="233"/>
        <v>30</v>
      </c>
      <c r="AS1813" s="1078" t="str">
        <f t="shared" si="234"/>
        <v>350/310/152</v>
      </c>
      <c r="AT1813" s="1078" t="str">
        <f t="shared" si="235"/>
        <v>1-5-1S91°</v>
      </c>
      <c r="AV1813" s="1078" t="str">
        <f t="shared" si="228"/>
        <v>110.10.13</v>
      </c>
      <c r="AW1813" s="1344">
        <f t="shared" si="229"/>
        <v>44482</v>
      </c>
    </row>
    <row r="1814" spans="1:49">
      <c r="A1814" s="1077" t="s">
        <v>6012</v>
      </c>
      <c r="B1814" s="1077" t="s">
        <v>4767</v>
      </c>
      <c r="C1814" s="1077">
        <v>650</v>
      </c>
      <c r="D1814" s="1077">
        <v>1.7290000000000001</v>
      </c>
      <c r="E1814" s="1077" t="s">
        <v>15104</v>
      </c>
      <c r="F1814" s="1077" t="s">
        <v>648</v>
      </c>
      <c r="G1814" s="1077">
        <v>5</v>
      </c>
      <c r="H1814" s="1077" t="s">
        <v>4773</v>
      </c>
      <c r="I1814" s="1077" t="s">
        <v>126</v>
      </c>
      <c r="J1814" s="1077">
        <v>1.5</v>
      </c>
      <c r="K1814" s="1077" t="s">
        <v>5763</v>
      </c>
      <c r="L1814" s="1077" t="s">
        <v>1776</v>
      </c>
      <c r="M1814" s="1077">
        <v>148</v>
      </c>
      <c r="N1814" s="1077" t="s">
        <v>945</v>
      </c>
      <c r="O1814" s="1077">
        <v>3.7</v>
      </c>
      <c r="P1814" s="1077">
        <v>2.96</v>
      </c>
      <c r="Q1814" s="1077" t="s">
        <v>946</v>
      </c>
      <c r="R1814" s="1077">
        <v>20.8</v>
      </c>
      <c r="T1814" s="1077">
        <v>20.399999999999999</v>
      </c>
      <c r="U1814" s="1077">
        <v>3.8</v>
      </c>
      <c r="V1814" s="1077" t="s">
        <v>648</v>
      </c>
      <c r="W1814" s="1077">
        <v>110</v>
      </c>
      <c r="X1814" s="1077" t="s">
        <v>2395</v>
      </c>
      <c r="Y1814" s="1077">
        <v>1.7</v>
      </c>
      <c r="Z1814" s="1077" t="s">
        <v>648</v>
      </c>
      <c r="AA1814" s="1077" t="s">
        <v>6013</v>
      </c>
      <c r="AB1814" s="1077" t="s">
        <v>981</v>
      </c>
      <c r="AH1814" s="1077" t="s">
        <v>1178</v>
      </c>
      <c r="AM1814" s="1078" t="s">
        <v>12634</v>
      </c>
      <c r="AN1814" s="1078" t="s">
        <v>12635</v>
      </c>
      <c r="AO1814" s="1078">
        <f t="shared" si="230"/>
        <v>650</v>
      </c>
      <c r="AP1814" s="1078">
        <f t="shared" si="231"/>
        <v>1.7290000000000001</v>
      </c>
      <c r="AQ1814" s="1078" t="str">
        <f t="shared" si="232"/>
        <v>1-4-1S85°Z+S</v>
      </c>
      <c r="AR1814" s="1078" t="str">
        <f t="shared" si="233"/>
        <v>NA</v>
      </c>
      <c r="AS1814" s="1078" t="str">
        <f t="shared" si="234"/>
        <v>176/OFF</v>
      </c>
      <c r="AT1814" s="1078" t="str">
        <f t="shared" si="235"/>
        <v>1-4-1S85°Z+S</v>
      </c>
      <c r="AU1814" s="1078" t="s">
        <v>15547</v>
      </c>
      <c r="AV1814" s="1078" t="str">
        <f t="shared" si="228"/>
        <v>108.12.15</v>
      </c>
      <c r="AW1814" s="1344">
        <f t="shared" si="229"/>
        <v>43814</v>
      </c>
    </row>
    <row r="1815" spans="1:49">
      <c r="A1815" s="1077" t="s">
        <v>6014</v>
      </c>
      <c r="B1815" s="1077" t="s">
        <v>4921</v>
      </c>
      <c r="C1815" s="1077">
        <v>600</v>
      </c>
      <c r="D1815" s="1077">
        <v>1.79</v>
      </c>
      <c r="E1815" s="1077" t="s">
        <v>15102</v>
      </c>
      <c r="F1815" s="1077" t="s">
        <v>984</v>
      </c>
      <c r="G1815" s="1077">
        <v>5</v>
      </c>
      <c r="H1815" s="1077" t="s">
        <v>5993</v>
      </c>
      <c r="I1815" s="1077" t="s">
        <v>648</v>
      </c>
      <c r="J1815" s="1077">
        <v>0</v>
      </c>
      <c r="K1815" s="1077" t="s">
        <v>6015</v>
      </c>
      <c r="L1815" s="1077" t="s">
        <v>4924</v>
      </c>
      <c r="M1815" s="1077">
        <v>149.5</v>
      </c>
      <c r="N1815" s="1077" t="s">
        <v>945</v>
      </c>
      <c r="O1815" s="1077">
        <v>3.7375000000000003</v>
      </c>
      <c r="P1815" s="1077">
        <v>2.99</v>
      </c>
      <c r="Q1815" s="1077" t="s">
        <v>1277</v>
      </c>
      <c r="R1815" s="1077">
        <v>22.5</v>
      </c>
      <c r="T1815" s="1077">
        <v>19.899999999999999</v>
      </c>
      <c r="U1815" s="1077">
        <v>1.5</v>
      </c>
      <c r="V1815" s="1077" t="s">
        <v>648</v>
      </c>
      <c r="W1815" s="1077" t="s">
        <v>648</v>
      </c>
      <c r="X1815" s="1077" t="s">
        <v>648</v>
      </c>
      <c r="Y1815" s="1077">
        <v>2.5</v>
      </c>
      <c r="Z1815" s="1077" t="s">
        <v>6016</v>
      </c>
      <c r="AA1815" s="1077" t="s">
        <v>1287</v>
      </c>
      <c r="AH1815" s="1077" t="s">
        <v>853</v>
      </c>
      <c r="AM1815" s="1078" t="s">
        <v>12636</v>
      </c>
      <c r="AN1815" s="1078" t="s">
        <v>12637</v>
      </c>
      <c r="AO1815" s="1078">
        <f t="shared" si="230"/>
        <v>600</v>
      </c>
      <c r="AP1815" s="1078">
        <f t="shared" si="231"/>
        <v>1.79</v>
      </c>
      <c r="AQ1815" s="1078" t="str">
        <f t="shared" si="232"/>
        <v>2-6-1S83°</v>
      </c>
      <c r="AR1815" s="1078" t="str">
        <f t="shared" si="233"/>
        <v>30</v>
      </c>
      <c r="AS1815" s="1078" t="str">
        <f t="shared" si="234"/>
        <v>192/196</v>
      </c>
      <c r="AT1815" s="1078" t="str">
        <f t="shared" si="235"/>
        <v>2-6-1S83°</v>
      </c>
      <c r="AV1815" s="1078" t="str">
        <f t="shared" si="228"/>
        <v>109.4.6</v>
      </c>
      <c r="AW1815" s="1344">
        <f t="shared" si="229"/>
        <v>43927</v>
      </c>
    </row>
    <row r="1816" spans="1:49">
      <c r="A1816" s="1077" t="s">
        <v>6017</v>
      </c>
      <c r="B1816" s="1077" t="s">
        <v>5410</v>
      </c>
      <c r="C1816" s="1077">
        <v>500</v>
      </c>
      <c r="D1816" s="1077">
        <v>1.71</v>
      </c>
      <c r="E1816" s="1077" t="s">
        <v>15116</v>
      </c>
      <c r="F1816" s="1077" t="s">
        <v>984</v>
      </c>
      <c r="G1816" s="1077">
        <v>2</v>
      </c>
      <c r="H1816" s="1077" t="s">
        <v>1793</v>
      </c>
      <c r="I1816" s="1077" t="s">
        <v>126</v>
      </c>
      <c r="J1816" s="1077">
        <v>0.3</v>
      </c>
      <c r="K1816" s="1077" t="s">
        <v>6018</v>
      </c>
      <c r="L1816" s="1077" t="s">
        <v>1825</v>
      </c>
      <c r="M1816" s="1077">
        <v>150.1</v>
      </c>
      <c r="N1816" s="1077" t="s">
        <v>945</v>
      </c>
      <c r="O1816" s="1077">
        <v>3.7524999999999999</v>
      </c>
      <c r="P1816" s="1077">
        <v>3.0019999999999998</v>
      </c>
      <c r="Q1816" s="1077" t="s">
        <v>1020</v>
      </c>
      <c r="R1816" s="1077">
        <v>20.7</v>
      </c>
      <c r="T1816" s="1077">
        <v>32.6</v>
      </c>
      <c r="U1816" s="1077">
        <v>3</v>
      </c>
      <c r="V1816" s="1077" t="s">
        <v>648</v>
      </c>
      <c r="W1816" s="1077" t="s">
        <v>648</v>
      </c>
      <c r="X1816" s="1077" t="s">
        <v>648</v>
      </c>
      <c r="Y1816" s="1077">
        <v>1.7</v>
      </c>
      <c r="Z1816" s="1077" t="s">
        <v>648</v>
      </c>
      <c r="AA1816" s="1077" t="s">
        <v>2435</v>
      </c>
      <c r="AH1816" s="1077" t="s">
        <v>783</v>
      </c>
      <c r="AM1816" s="1078" t="s">
        <v>12638</v>
      </c>
      <c r="AN1816" s="1078" t="s">
        <v>12639</v>
      </c>
      <c r="AO1816" s="1078">
        <f t="shared" si="230"/>
        <v>500</v>
      </c>
      <c r="AP1816" s="1078">
        <f t="shared" si="231"/>
        <v>1.71</v>
      </c>
      <c r="AQ1816" s="1078" t="str">
        <f t="shared" si="232"/>
        <v>1-5-1S83°Z+S</v>
      </c>
      <c r="AR1816" s="1078" t="str">
        <f t="shared" si="233"/>
        <v>30</v>
      </c>
      <c r="AS1816" s="1078" t="str">
        <f t="shared" si="234"/>
        <v>270/270/OFF</v>
      </c>
      <c r="AT1816" s="1078" t="str">
        <f t="shared" si="235"/>
        <v>1-5-1S83°Z+S</v>
      </c>
      <c r="AU1816" s="1078" t="s">
        <v>15547</v>
      </c>
      <c r="AV1816" s="1078" t="str">
        <f t="shared" si="228"/>
        <v>109.7.31</v>
      </c>
      <c r="AW1816" s="1344">
        <f t="shared" si="229"/>
        <v>44043</v>
      </c>
    </row>
    <row r="1817" spans="1:49">
      <c r="A1817" s="1077" t="s">
        <v>6019</v>
      </c>
      <c r="B1817" s="1077" t="s">
        <v>5148</v>
      </c>
      <c r="C1817" s="1077">
        <v>650</v>
      </c>
      <c r="D1817" s="1077">
        <v>1.74</v>
      </c>
      <c r="E1817" s="1077" t="s">
        <v>15094</v>
      </c>
      <c r="F1817" s="1077" t="s">
        <v>975</v>
      </c>
      <c r="G1817" s="1077">
        <v>5</v>
      </c>
      <c r="H1817" s="1077" t="s">
        <v>5190</v>
      </c>
      <c r="I1817" s="1077" t="s">
        <v>126</v>
      </c>
      <c r="J1817" s="1077">
        <v>2.5</v>
      </c>
      <c r="K1817" s="1077" t="s">
        <v>5151</v>
      </c>
      <c r="L1817" s="1077" t="s">
        <v>5152</v>
      </c>
      <c r="M1817" s="1077">
        <v>148.6</v>
      </c>
      <c r="N1817" s="1077" t="s">
        <v>945</v>
      </c>
      <c r="O1817" s="1077">
        <v>3.7149999999999999</v>
      </c>
      <c r="P1817" s="1077">
        <v>2.972</v>
      </c>
      <c r="Q1817" s="1077">
        <v>3.5</v>
      </c>
      <c r="R1817" s="1077">
        <v>20.399999999999999</v>
      </c>
      <c r="T1817" s="1077">
        <v>26</v>
      </c>
      <c r="U1817" s="1077">
        <v>3.7</v>
      </c>
      <c r="V1817" s="1077" t="s">
        <v>648</v>
      </c>
      <c r="W1817" s="1077">
        <v>105</v>
      </c>
      <c r="X1817" s="1077">
        <v>50</v>
      </c>
      <c r="Y1817" s="1077">
        <v>2</v>
      </c>
      <c r="Z1817" s="1077">
        <v>6.5</v>
      </c>
      <c r="AA1817" s="1077" t="s">
        <v>1375</v>
      </c>
      <c r="AH1817" s="1077" t="s">
        <v>884</v>
      </c>
      <c r="AM1817" s="1078" t="s">
        <v>12640</v>
      </c>
      <c r="AN1817" s="1078" t="s">
        <v>12641</v>
      </c>
      <c r="AO1817" s="1078">
        <f t="shared" si="230"/>
        <v>650</v>
      </c>
      <c r="AP1817" s="1078">
        <f t="shared" si="231"/>
        <v>1.74</v>
      </c>
      <c r="AQ1817" s="1078" t="str">
        <f t="shared" si="232"/>
        <v>1-5-1S91°</v>
      </c>
      <c r="AR1817" s="1078" t="str">
        <f t="shared" si="233"/>
        <v>31.5</v>
      </c>
      <c r="AS1817" s="1078" t="str">
        <f t="shared" si="234"/>
        <v>355/315/OFF</v>
      </c>
      <c r="AT1817" s="1078" t="str">
        <f t="shared" si="235"/>
        <v>1-5-1S91°</v>
      </c>
      <c r="AV1817" s="1078" t="str">
        <f t="shared" si="228"/>
        <v>109.12.24</v>
      </c>
      <c r="AW1817" s="1344">
        <f t="shared" si="229"/>
        <v>44189</v>
      </c>
    </row>
    <row r="1818" spans="1:49">
      <c r="A1818" s="1077" t="s">
        <v>6020</v>
      </c>
      <c r="B1818" s="1077" t="s">
        <v>5148</v>
      </c>
      <c r="C1818" s="1077">
        <v>650</v>
      </c>
      <c r="D1818" s="1077">
        <v>1.7350000000000001</v>
      </c>
      <c r="E1818" s="1077" t="s">
        <v>15102</v>
      </c>
      <c r="F1818" s="1077" t="s">
        <v>5149</v>
      </c>
      <c r="G1818" s="1077">
        <v>5</v>
      </c>
      <c r="H1818" s="1077" t="s">
        <v>5309</v>
      </c>
      <c r="I1818" s="1077" t="s">
        <v>648</v>
      </c>
      <c r="J1818" s="1077">
        <v>0</v>
      </c>
      <c r="K1818" s="1077" t="s">
        <v>5151</v>
      </c>
      <c r="L1818" s="1077" t="s">
        <v>5152</v>
      </c>
      <c r="M1818" s="1077">
        <v>149.9</v>
      </c>
      <c r="N1818" s="1077" t="s">
        <v>945</v>
      </c>
      <c r="O1818" s="1077">
        <v>3.7475000000000005</v>
      </c>
      <c r="P1818" s="1077">
        <v>2.9980000000000002</v>
      </c>
      <c r="Q1818" s="1077">
        <v>4</v>
      </c>
      <c r="R1818" s="1077">
        <v>24</v>
      </c>
      <c r="T1818" s="1077">
        <v>17</v>
      </c>
      <c r="U1818" s="1077">
        <v>2.6</v>
      </c>
      <c r="V1818" s="1077" t="s">
        <v>648</v>
      </c>
      <c r="W1818" s="1077" t="s">
        <v>648</v>
      </c>
      <c r="X1818" s="1077" t="s">
        <v>648</v>
      </c>
      <c r="Y1818" s="1077">
        <v>1</v>
      </c>
      <c r="Z1818" s="1077">
        <v>4.5</v>
      </c>
      <c r="AA1818" s="1077" t="s">
        <v>6021</v>
      </c>
      <c r="AH1818" s="1077" t="s">
        <v>647</v>
      </c>
      <c r="AM1818" s="1078" t="s">
        <v>12642</v>
      </c>
      <c r="AN1818" s="1078" t="s">
        <v>12643</v>
      </c>
      <c r="AO1818" s="1078">
        <f t="shared" si="230"/>
        <v>650</v>
      </c>
      <c r="AP1818" s="1078">
        <f t="shared" si="231"/>
        <v>1.7350000000000001</v>
      </c>
      <c r="AQ1818" s="1078" t="str">
        <f t="shared" si="232"/>
        <v>2-6-1S83°</v>
      </c>
      <c r="AR1818" s="1078" t="str">
        <f t="shared" si="233"/>
        <v>29.3</v>
      </c>
      <c r="AS1818" s="1078" t="str">
        <f t="shared" si="234"/>
        <v>170/178</v>
      </c>
      <c r="AT1818" s="1078" t="str">
        <f t="shared" si="235"/>
        <v>2-6-1S83°</v>
      </c>
      <c r="AV1818" s="1078" t="str">
        <f t="shared" si="228"/>
        <v>110.2.5</v>
      </c>
      <c r="AW1818" s="1344">
        <f t="shared" si="229"/>
        <v>44232</v>
      </c>
    </row>
    <row r="1819" spans="1:49">
      <c r="A1819" s="1077" t="s">
        <v>6022</v>
      </c>
      <c r="B1819" s="1077" t="s">
        <v>5148</v>
      </c>
      <c r="C1819" s="1077">
        <v>650</v>
      </c>
      <c r="D1819" s="1077">
        <v>1.74</v>
      </c>
      <c r="E1819" s="1077" t="s">
        <v>15094</v>
      </c>
      <c r="F1819" s="1077" t="s">
        <v>975</v>
      </c>
      <c r="G1819" s="1077">
        <v>5</v>
      </c>
      <c r="H1819" s="1077" t="s">
        <v>6023</v>
      </c>
      <c r="I1819" s="1077" t="s">
        <v>126</v>
      </c>
      <c r="J1819" s="1077">
        <v>2.5</v>
      </c>
      <c r="K1819" s="1077" t="s">
        <v>5780</v>
      </c>
      <c r="L1819" s="1077" t="s">
        <v>5152</v>
      </c>
      <c r="M1819" s="1077">
        <v>148.6</v>
      </c>
      <c r="N1819" s="1077" t="s">
        <v>945</v>
      </c>
      <c r="O1819" s="1077">
        <v>3.7149999999999999</v>
      </c>
      <c r="P1819" s="1077">
        <v>2.972</v>
      </c>
      <c r="Q1819" s="1077">
        <v>3.5</v>
      </c>
      <c r="R1819" s="1077">
        <v>20.399999999999999</v>
      </c>
      <c r="T1819" s="1077">
        <v>26</v>
      </c>
      <c r="U1819" s="1077">
        <v>3.7</v>
      </c>
      <c r="V1819" s="1077" t="s">
        <v>648</v>
      </c>
      <c r="W1819" s="1077">
        <v>105</v>
      </c>
      <c r="X1819" s="1077">
        <v>50</v>
      </c>
      <c r="Y1819" s="1077">
        <v>2</v>
      </c>
      <c r="Z1819" s="1077">
        <v>6.5</v>
      </c>
      <c r="AA1819" s="1077" t="s">
        <v>3312</v>
      </c>
      <c r="AH1819" s="1077" t="s">
        <v>2720</v>
      </c>
      <c r="AM1819" s="1078" t="s">
        <v>12644</v>
      </c>
      <c r="AN1819" s="1078" t="s">
        <v>12645</v>
      </c>
      <c r="AO1819" s="1078">
        <f t="shared" si="230"/>
        <v>650</v>
      </c>
      <c r="AP1819" s="1078">
        <f t="shared" si="231"/>
        <v>1.74</v>
      </c>
      <c r="AQ1819" s="1078" t="str">
        <f t="shared" si="232"/>
        <v>1-5-1S91°</v>
      </c>
      <c r="AR1819" s="1078" t="str">
        <f t="shared" si="233"/>
        <v>31.5</v>
      </c>
      <c r="AS1819" s="1078" t="str">
        <f t="shared" si="234"/>
        <v>350/310/OFF</v>
      </c>
      <c r="AT1819" s="1078" t="str">
        <f t="shared" si="235"/>
        <v>1-5-1S91°</v>
      </c>
      <c r="AV1819" s="1078" t="str">
        <f t="shared" si="228"/>
        <v>110.4.21</v>
      </c>
      <c r="AW1819" s="1344">
        <f t="shared" si="229"/>
        <v>44307</v>
      </c>
    </row>
    <row r="1820" spans="1:49">
      <c r="A1820" s="1077" t="s">
        <v>6024</v>
      </c>
      <c r="B1820" s="1077" t="s">
        <v>210</v>
      </c>
      <c r="C1820" s="1077">
        <v>700</v>
      </c>
      <c r="D1820" s="1077">
        <v>1.75</v>
      </c>
      <c r="E1820" s="1077" t="s">
        <v>15094</v>
      </c>
      <c r="F1820" s="1077" t="s">
        <v>984</v>
      </c>
      <c r="G1820" s="1077">
        <v>5</v>
      </c>
      <c r="H1820" s="1077" t="s">
        <v>5300</v>
      </c>
      <c r="I1820" s="1077" t="s">
        <v>126</v>
      </c>
      <c r="J1820" s="1077">
        <v>0.8</v>
      </c>
      <c r="K1820" s="1077" t="s">
        <v>6025</v>
      </c>
      <c r="L1820" s="1077" t="s">
        <v>4666</v>
      </c>
      <c r="M1820" s="1077">
        <v>151.5</v>
      </c>
      <c r="N1820" s="1077" t="s">
        <v>945</v>
      </c>
      <c r="O1820" s="1077">
        <v>3.7875000000000001</v>
      </c>
      <c r="P1820" s="1077">
        <v>3.0300000000000002</v>
      </c>
      <c r="Q1820" s="1077">
        <v>4</v>
      </c>
      <c r="R1820" s="1077">
        <v>19.100000000000001</v>
      </c>
      <c r="T1820" s="1077">
        <v>23.7</v>
      </c>
      <c r="U1820" s="1077">
        <v>3.2</v>
      </c>
      <c r="V1820" s="1077" t="s">
        <v>648</v>
      </c>
      <c r="W1820" s="1077">
        <v>35</v>
      </c>
      <c r="X1820" s="1077">
        <v>10</v>
      </c>
      <c r="Y1820" s="1077">
        <v>1</v>
      </c>
      <c r="Z1820" s="1077">
        <v>6</v>
      </c>
      <c r="AA1820" s="1077" t="s">
        <v>3260</v>
      </c>
      <c r="AB1820" s="1077" t="s">
        <v>5509</v>
      </c>
      <c r="AH1820" s="1077" t="s">
        <v>1137</v>
      </c>
      <c r="AM1820" s="1078" t="s">
        <v>12646</v>
      </c>
      <c r="AN1820" s="1078" t="s">
        <v>12647</v>
      </c>
      <c r="AO1820" s="1078">
        <f t="shared" si="230"/>
        <v>700</v>
      </c>
      <c r="AP1820" s="1078">
        <f t="shared" si="231"/>
        <v>1.75</v>
      </c>
      <c r="AQ1820" s="1078" t="str">
        <f t="shared" si="232"/>
        <v>1-5-1S91°</v>
      </c>
      <c r="AR1820" s="1078" t="str">
        <f t="shared" si="233"/>
        <v>30</v>
      </c>
      <c r="AS1820" s="1078" t="str">
        <f t="shared" si="234"/>
        <v>370/330/155</v>
      </c>
      <c r="AT1820" s="1078" t="str">
        <f t="shared" si="235"/>
        <v>1-5-1S91°</v>
      </c>
      <c r="AV1820" s="1078" t="str">
        <f t="shared" si="228"/>
        <v>110.6.18</v>
      </c>
      <c r="AW1820" s="1344">
        <f t="shared" si="229"/>
        <v>44365</v>
      </c>
    </row>
    <row r="1821" spans="1:49">
      <c r="A1821" s="1077" t="s">
        <v>6026</v>
      </c>
      <c r="B1821" s="1077" t="s">
        <v>5515</v>
      </c>
      <c r="C1821" s="1077">
        <v>550</v>
      </c>
      <c r="D1821" s="1077">
        <v>1.74</v>
      </c>
      <c r="E1821" s="1077" t="s">
        <v>15116</v>
      </c>
      <c r="F1821" s="1077" t="s">
        <v>1514</v>
      </c>
      <c r="G1821" s="1077">
        <v>4</v>
      </c>
      <c r="H1821" s="1077" t="s">
        <v>5341</v>
      </c>
      <c r="I1821" s="1077" t="s">
        <v>126</v>
      </c>
      <c r="J1821" s="1077">
        <v>1.2</v>
      </c>
      <c r="K1821" s="1077" t="s">
        <v>5342</v>
      </c>
      <c r="L1821" s="1077" t="s">
        <v>1763</v>
      </c>
      <c r="M1821" s="1077">
        <v>159.5</v>
      </c>
      <c r="N1821" s="1077" t="s">
        <v>945</v>
      </c>
      <c r="O1821" s="1077">
        <v>3.9875000000000003</v>
      </c>
      <c r="P1821" s="1077">
        <v>3.19</v>
      </c>
      <c r="Q1821" s="1077">
        <v>3</v>
      </c>
      <c r="R1821" s="1077">
        <v>33</v>
      </c>
      <c r="T1821" s="1077">
        <v>11.7</v>
      </c>
      <c r="U1821" s="1077">
        <v>6.3</v>
      </c>
      <c r="V1821" s="1077" t="s">
        <v>648</v>
      </c>
      <c r="W1821" s="1077">
        <v>135</v>
      </c>
      <c r="X1821" s="1077">
        <v>85</v>
      </c>
      <c r="Y1821" s="1077">
        <v>1.4</v>
      </c>
      <c r="Z1821" s="1077" t="s">
        <v>648</v>
      </c>
      <c r="AA1821" s="1077" t="s">
        <v>5343</v>
      </c>
      <c r="AH1821" s="1077" t="s">
        <v>1244</v>
      </c>
      <c r="AM1821" s="1078" t="s">
        <v>12648</v>
      </c>
      <c r="AN1821" s="1078" t="s">
        <v>12649</v>
      </c>
      <c r="AO1821" s="1078">
        <f t="shared" si="230"/>
        <v>550</v>
      </c>
      <c r="AP1821" s="1078">
        <f t="shared" si="231"/>
        <v>1.74</v>
      </c>
      <c r="AQ1821" s="1078" t="str">
        <f t="shared" si="232"/>
        <v>1-5-1S83°Z+S</v>
      </c>
      <c r="AR1821" s="1078" t="str">
        <f t="shared" si="233"/>
        <v>32</v>
      </c>
      <c r="AS1821" s="1078" t="str">
        <f t="shared" si="234"/>
        <v>202/202/OFF</v>
      </c>
      <c r="AT1821" s="1078" t="str">
        <f t="shared" si="235"/>
        <v>1-5-1S83°Z+S</v>
      </c>
      <c r="AU1821" s="1078" t="s">
        <v>15547</v>
      </c>
      <c r="AV1821" s="1078" t="str">
        <f t="shared" si="228"/>
        <v>110.7.22</v>
      </c>
      <c r="AW1821" s="1344">
        <f t="shared" si="229"/>
        <v>44399</v>
      </c>
    </row>
    <row r="1822" spans="1:49">
      <c r="A1822" s="1077" t="s">
        <v>6027</v>
      </c>
      <c r="B1822" s="1077" t="s">
        <v>844</v>
      </c>
      <c r="C1822" s="1077">
        <v>550</v>
      </c>
      <c r="D1822" s="1077">
        <v>1.7749999999999999</v>
      </c>
      <c r="E1822" s="1077" t="s">
        <v>15102</v>
      </c>
      <c r="F1822" s="1077" t="s">
        <v>1398</v>
      </c>
      <c r="G1822" s="1077">
        <v>5</v>
      </c>
      <c r="H1822" s="1077" t="s">
        <v>4930</v>
      </c>
      <c r="I1822" s="1077" t="s">
        <v>460</v>
      </c>
      <c r="J1822" s="1077">
        <v>3.4</v>
      </c>
      <c r="K1822" s="1077" t="s">
        <v>6028</v>
      </c>
      <c r="L1822" s="1077" t="s">
        <v>4907</v>
      </c>
      <c r="M1822" s="1077">
        <v>151.69999999999999</v>
      </c>
      <c r="N1822" s="1077" t="s">
        <v>945</v>
      </c>
      <c r="O1822" s="1077">
        <v>3.7925</v>
      </c>
      <c r="P1822" s="1077">
        <v>3.0339999999999998</v>
      </c>
      <c r="Q1822" s="1077">
        <v>3</v>
      </c>
      <c r="R1822" s="1077">
        <v>19.7</v>
      </c>
      <c r="T1822" s="1077">
        <v>11.5</v>
      </c>
      <c r="U1822" s="1077">
        <v>5.3</v>
      </c>
      <c r="V1822" s="1077" t="s">
        <v>648</v>
      </c>
      <c r="W1822" s="1077">
        <v>105</v>
      </c>
      <c r="X1822" s="1077">
        <v>95</v>
      </c>
      <c r="Y1822" s="1077">
        <v>1.5</v>
      </c>
      <c r="Z1822" s="1077">
        <v>5</v>
      </c>
      <c r="AA1822" s="1077" t="s">
        <v>6029</v>
      </c>
      <c r="AH1822" s="1077" t="s">
        <v>1143</v>
      </c>
      <c r="AM1822" s="1078" t="s">
        <v>12650</v>
      </c>
      <c r="AN1822" s="1078" t="s">
        <v>12651</v>
      </c>
      <c r="AO1822" s="1078">
        <f t="shared" si="230"/>
        <v>550</v>
      </c>
      <c r="AP1822" s="1078">
        <f t="shared" si="231"/>
        <v>1.7749999999999999</v>
      </c>
      <c r="AQ1822" s="1078" t="str">
        <f t="shared" si="232"/>
        <v>2-6-1S83°</v>
      </c>
      <c r="AR1822" s="1078" t="str">
        <f t="shared" si="233"/>
        <v>32.5</v>
      </c>
      <c r="AS1822" s="1078" t="str">
        <f t="shared" si="234"/>
        <v>160/155</v>
      </c>
      <c r="AT1822" s="1078" t="str">
        <f t="shared" si="235"/>
        <v>2-6-1S83°</v>
      </c>
      <c r="AV1822" s="1078" t="str">
        <f t="shared" si="228"/>
        <v>110.10.15</v>
      </c>
      <c r="AW1822" s="1344">
        <f t="shared" si="229"/>
        <v>44484</v>
      </c>
    </row>
    <row r="1823" spans="1:49">
      <c r="A1823" s="1077" t="s">
        <v>6030</v>
      </c>
      <c r="B1823" s="1077" t="s">
        <v>5429</v>
      </c>
      <c r="C1823" s="1077">
        <v>600</v>
      </c>
      <c r="D1823" s="1077">
        <v>1.75</v>
      </c>
      <c r="E1823" s="1077" t="s">
        <v>15116</v>
      </c>
      <c r="F1823" s="1077" t="s">
        <v>1514</v>
      </c>
      <c r="G1823" s="1077">
        <v>4</v>
      </c>
      <c r="H1823" s="1077" t="s">
        <v>1017</v>
      </c>
      <c r="I1823" s="1077" t="s">
        <v>126</v>
      </c>
      <c r="J1823" s="1077">
        <v>1.9</v>
      </c>
      <c r="K1823" s="1077" t="s">
        <v>5430</v>
      </c>
      <c r="L1823" s="1077" t="s">
        <v>1964</v>
      </c>
      <c r="M1823" s="1077">
        <v>150</v>
      </c>
      <c r="N1823" s="1077" t="s">
        <v>945</v>
      </c>
      <c r="O1823" s="1077">
        <v>3.75</v>
      </c>
      <c r="P1823" s="1077">
        <v>3</v>
      </c>
      <c r="Q1823" s="1077">
        <v>3</v>
      </c>
      <c r="R1823" s="1077">
        <v>28.5</v>
      </c>
      <c r="T1823" s="1077">
        <v>12.5</v>
      </c>
      <c r="U1823" s="1077">
        <v>7.4</v>
      </c>
      <c r="V1823" s="1077" t="s">
        <v>648</v>
      </c>
      <c r="W1823" s="1077">
        <v>125</v>
      </c>
      <c r="X1823" s="1077">
        <v>80</v>
      </c>
      <c r="Y1823" s="1077">
        <v>1.5</v>
      </c>
      <c r="Z1823" s="1077" t="s">
        <v>648</v>
      </c>
      <c r="AA1823" s="1077" t="s">
        <v>3976</v>
      </c>
      <c r="AH1823" s="1077" t="s">
        <v>621</v>
      </c>
      <c r="AM1823" s="1078" t="s">
        <v>12652</v>
      </c>
      <c r="AN1823" s="1078" t="s">
        <v>12653</v>
      </c>
      <c r="AO1823" s="1078">
        <f t="shared" si="230"/>
        <v>600</v>
      </c>
      <c r="AP1823" s="1078">
        <f t="shared" si="231"/>
        <v>1.75</v>
      </c>
      <c r="AQ1823" s="1078" t="str">
        <f t="shared" si="232"/>
        <v>1-5-1S83°Z+S</v>
      </c>
      <c r="AR1823" s="1078" t="str">
        <f t="shared" si="233"/>
        <v>32</v>
      </c>
      <c r="AS1823" s="1078" t="str">
        <f t="shared" si="234"/>
        <v>200/200/OFF</v>
      </c>
      <c r="AT1823" s="1078" t="str">
        <f t="shared" si="235"/>
        <v>1-5-1S83°Z+S</v>
      </c>
      <c r="AU1823" s="1078" t="s">
        <v>15547</v>
      </c>
      <c r="AV1823" s="1078" t="str">
        <f t="shared" si="228"/>
        <v>110.11.19</v>
      </c>
      <c r="AW1823" s="1344">
        <f t="shared" si="229"/>
        <v>44519</v>
      </c>
    </row>
    <row r="1824" spans="1:49">
      <c r="A1824" s="1077" t="s">
        <v>6031</v>
      </c>
      <c r="B1824" s="1077" t="s">
        <v>4767</v>
      </c>
      <c r="C1824" s="1077">
        <v>650</v>
      </c>
      <c r="D1824" s="1077">
        <v>1.73</v>
      </c>
      <c r="E1824" s="1077" t="s">
        <v>15121</v>
      </c>
      <c r="F1824" s="1077" t="s">
        <v>648</v>
      </c>
      <c r="G1824" s="1077">
        <v>5</v>
      </c>
      <c r="H1824" s="1077" t="s">
        <v>2192</v>
      </c>
      <c r="I1824" s="1077" t="s">
        <v>126</v>
      </c>
      <c r="J1824" s="1077">
        <v>1.5</v>
      </c>
      <c r="K1824" s="1077" t="s">
        <v>6032</v>
      </c>
      <c r="L1824" s="1077" t="s">
        <v>1776</v>
      </c>
      <c r="M1824" s="1077">
        <v>148</v>
      </c>
      <c r="N1824" s="1077" t="s">
        <v>945</v>
      </c>
      <c r="O1824" s="1077">
        <v>3.7</v>
      </c>
      <c r="P1824" s="1077">
        <v>2.96</v>
      </c>
      <c r="Q1824" s="1077">
        <v>4</v>
      </c>
      <c r="R1824" s="1077" t="s">
        <v>6033</v>
      </c>
      <c r="T1824" s="1077">
        <v>20.399999999999999</v>
      </c>
      <c r="U1824" s="1077">
        <v>3.8</v>
      </c>
      <c r="V1824" s="1077" t="s">
        <v>648</v>
      </c>
      <c r="W1824" s="1077">
        <v>110</v>
      </c>
      <c r="X1824" s="1077">
        <v>60</v>
      </c>
      <c r="Y1824" s="1077">
        <v>1.7</v>
      </c>
      <c r="Z1824" s="1077" t="s">
        <v>648</v>
      </c>
      <c r="AA1824" s="1077" t="s">
        <v>6034</v>
      </c>
      <c r="AB1824" s="1077" t="s">
        <v>981</v>
      </c>
      <c r="AH1824" s="1077" t="s">
        <v>1827</v>
      </c>
      <c r="AM1824" s="1078" t="s">
        <v>12654</v>
      </c>
      <c r="AN1824" s="1078" t="s">
        <v>12655</v>
      </c>
      <c r="AO1824" s="1078">
        <f t="shared" si="230"/>
        <v>650</v>
      </c>
      <c r="AP1824" s="1078">
        <f t="shared" si="231"/>
        <v>1.73</v>
      </c>
      <c r="AQ1824" s="1078" t="str">
        <f t="shared" si="232"/>
        <v>1-5-1S85°S+Z</v>
      </c>
      <c r="AR1824" s="1078" t="str">
        <f t="shared" si="233"/>
        <v>NA</v>
      </c>
      <c r="AS1824" s="1078" t="str">
        <f t="shared" si="234"/>
        <v>180/OFF</v>
      </c>
      <c r="AT1824" s="1078" t="str">
        <f t="shared" si="235"/>
        <v>1-5-1S85°S+Z</v>
      </c>
      <c r="AU1824" s="1078" t="s">
        <v>15550</v>
      </c>
      <c r="AV1824" s="1078" t="str">
        <f t="shared" si="228"/>
        <v>112.1.6</v>
      </c>
      <c r="AW1824" s="1344">
        <f t="shared" si="229"/>
        <v>44932</v>
      </c>
    </row>
    <row r="1825" spans="1:49">
      <c r="A1825" s="1077" t="s">
        <v>6035</v>
      </c>
      <c r="B1825" s="1077" t="s">
        <v>210</v>
      </c>
      <c r="C1825" s="1077">
        <v>600</v>
      </c>
      <c r="D1825" s="1077">
        <v>1.78</v>
      </c>
      <c r="E1825" s="1077" t="s">
        <v>15102</v>
      </c>
      <c r="F1825" s="1077" t="s">
        <v>1514</v>
      </c>
      <c r="G1825" s="1077">
        <v>5</v>
      </c>
      <c r="H1825" s="1077" t="s">
        <v>5892</v>
      </c>
      <c r="I1825" s="1077" t="s">
        <v>1112</v>
      </c>
      <c r="J1825" s="1077">
        <v>1.6</v>
      </c>
      <c r="K1825" s="1077" t="s">
        <v>6036</v>
      </c>
      <c r="L1825" s="1077" t="s">
        <v>4666</v>
      </c>
      <c r="M1825" s="1077">
        <v>152.19999999999999</v>
      </c>
      <c r="N1825" s="1077" t="s">
        <v>945</v>
      </c>
      <c r="O1825" s="1077">
        <v>3.8049999999999997</v>
      </c>
      <c r="P1825" s="1077">
        <v>3.044</v>
      </c>
      <c r="Q1825" s="1077">
        <v>3.5</v>
      </c>
      <c r="R1825" s="1077">
        <v>19</v>
      </c>
      <c r="T1825" s="1077">
        <v>16</v>
      </c>
      <c r="U1825" s="1077">
        <v>4</v>
      </c>
      <c r="V1825" s="1077" t="s">
        <v>648</v>
      </c>
      <c r="W1825" s="1077">
        <v>95</v>
      </c>
      <c r="X1825" s="1077">
        <v>20</v>
      </c>
      <c r="Y1825" s="1077">
        <v>1.3</v>
      </c>
      <c r="Z1825" s="1077">
        <v>5</v>
      </c>
      <c r="AA1825" s="1077" t="s">
        <v>6037</v>
      </c>
      <c r="AH1825" s="1077" t="s">
        <v>1643</v>
      </c>
      <c r="AM1825" s="1078" t="s">
        <v>12656</v>
      </c>
      <c r="AN1825" s="1078" t="s">
        <v>12657</v>
      </c>
      <c r="AO1825" s="1078">
        <f t="shared" si="230"/>
        <v>600</v>
      </c>
      <c r="AP1825" s="1078">
        <f t="shared" si="231"/>
        <v>1.78</v>
      </c>
      <c r="AQ1825" s="1078" t="str">
        <f t="shared" si="232"/>
        <v>2-6-1S83°</v>
      </c>
      <c r="AR1825" s="1078" t="str">
        <f t="shared" si="233"/>
        <v>32</v>
      </c>
      <c r="AS1825" s="1078" t="str">
        <f t="shared" si="234"/>
        <v>163/165</v>
      </c>
      <c r="AT1825" s="1078" t="str">
        <f t="shared" si="235"/>
        <v>2-6-1S83°</v>
      </c>
      <c r="AV1825" s="1078" t="str">
        <f t="shared" si="228"/>
        <v>112.1.5</v>
      </c>
      <c r="AW1825" s="1344">
        <f t="shared" si="229"/>
        <v>44931</v>
      </c>
    </row>
    <row r="1826" spans="1:49">
      <c r="A1826" s="1077" t="s">
        <v>6038</v>
      </c>
      <c r="B1826" s="1077" t="s">
        <v>5250</v>
      </c>
      <c r="C1826" s="1077">
        <v>600</v>
      </c>
      <c r="D1826" s="1077">
        <v>1.74</v>
      </c>
      <c r="E1826" s="1077" t="s">
        <v>15102</v>
      </c>
      <c r="F1826" s="1077" t="s">
        <v>954</v>
      </c>
      <c r="G1826" s="1077">
        <v>5</v>
      </c>
      <c r="H1826" s="1077" t="s">
        <v>6039</v>
      </c>
      <c r="I1826" s="1077" t="s">
        <v>460</v>
      </c>
      <c r="J1826" s="1077">
        <v>1.7</v>
      </c>
      <c r="K1826" s="1077" t="s">
        <v>5558</v>
      </c>
      <c r="L1826" s="1077" t="s">
        <v>5253</v>
      </c>
      <c r="M1826" s="1077">
        <v>151.19999999999999</v>
      </c>
      <c r="N1826" s="1077" t="s">
        <v>945</v>
      </c>
      <c r="O1826" s="1077">
        <v>3.78</v>
      </c>
      <c r="P1826" s="1077">
        <v>3.024</v>
      </c>
      <c r="Q1826" s="1077">
        <v>4</v>
      </c>
      <c r="R1826" s="1077">
        <v>21</v>
      </c>
      <c r="T1826" s="1077">
        <v>20.5</v>
      </c>
      <c r="U1826" s="1077">
        <v>3</v>
      </c>
      <c r="V1826" s="1077" t="s">
        <v>648</v>
      </c>
      <c r="W1826" s="1077">
        <v>100</v>
      </c>
      <c r="X1826" s="1077">
        <v>60</v>
      </c>
      <c r="Y1826" s="1077">
        <v>1</v>
      </c>
      <c r="Z1826" s="1077">
        <v>5.5</v>
      </c>
      <c r="AA1826" s="1077" t="s">
        <v>4390</v>
      </c>
      <c r="AH1826" s="1077" t="s">
        <v>1178</v>
      </c>
      <c r="AM1826" s="1078" t="s">
        <v>12658</v>
      </c>
      <c r="AN1826" s="1078" t="s">
        <v>12659</v>
      </c>
      <c r="AO1826" s="1078">
        <f t="shared" si="230"/>
        <v>600</v>
      </c>
      <c r="AP1826" s="1078">
        <f t="shared" si="231"/>
        <v>1.74</v>
      </c>
      <c r="AQ1826" s="1078" t="str">
        <f t="shared" si="232"/>
        <v>2-6-1S83°</v>
      </c>
      <c r="AR1826" s="1078" t="str">
        <f t="shared" si="233"/>
        <v>31</v>
      </c>
      <c r="AS1826" s="1078" t="str">
        <f t="shared" si="234"/>
        <v>198/165</v>
      </c>
      <c r="AT1826" s="1078" t="str">
        <f t="shared" si="235"/>
        <v>2-6-1S83°</v>
      </c>
      <c r="AV1826" s="1078" t="str">
        <f t="shared" si="228"/>
        <v>112.1.10</v>
      </c>
      <c r="AW1826" s="1344">
        <f t="shared" si="229"/>
        <v>44936</v>
      </c>
    </row>
    <row r="1827" spans="1:49">
      <c r="A1827" s="1077" t="s">
        <v>6040</v>
      </c>
      <c r="B1827" s="1077" t="s">
        <v>6041</v>
      </c>
      <c r="C1827" s="1077">
        <v>500</v>
      </c>
      <c r="D1827" s="1077">
        <v>1.82</v>
      </c>
      <c r="E1827" s="1077" t="s">
        <v>15094</v>
      </c>
      <c r="F1827" s="1077" t="s">
        <v>2167</v>
      </c>
      <c r="G1827" s="1077">
        <v>5</v>
      </c>
      <c r="H1827" s="1077" t="s">
        <v>4096</v>
      </c>
      <c r="I1827" s="1077" t="s">
        <v>126</v>
      </c>
      <c r="J1827" s="1077">
        <v>2</v>
      </c>
      <c r="K1827" s="1077" t="s">
        <v>6042</v>
      </c>
      <c r="L1827" s="1077" t="s">
        <v>6043</v>
      </c>
      <c r="M1827" s="1077">
        <v>153</v>
      </c>
      <c r="N1827" s="1077" t="s">
        <v>945</v>
      </c>
      <c r="O1827" s="1077">
        <v>3.8250000000000002</v>
      </c>
      <c r="P1827" s="1077">
        <v>3.06</v>
      </c>
      <c r="Q1827" s="1077">
        <v>4</v>
      </c>
      <c r="R1827" s="1077">
        <v>21</v>
      </c>
      <c r="T1827" s="1077">
        <v>18</v>
      </c>
      <c r="U1827" s="1077">
        <v>3</v>
      </c>
      <c r="V1827" s="1077" t="s">
        <v>648</v>
      </c>
      <c r="W1827" s="1077">
        <v>130</v>
      </c>
      <c r="X1827" s="1077" t="s">
        <v>6044</v>
      </c>
      <c r="Y1827" s="1077">
        <v>1.5</v>
      </c>
      <c r="Z1827" s="1077">
        <v>4.5</v>
      </c>
      <c r="AA1827" s="1077" t="s">
        <v>4390</v>
      </c>
      <c r="AH1827" s="1077" t="s">
        <v>870</v>
      </c>
      <c r="AM1827" s="1078" t="s">
        <v>12660</v>
      </c>
      <c r="AN1827" s="1078" t="s">
        <v>9197</v>
      </c>
      <c r="AO1827" s="1078">
        <f t="shared" si="230"/>
        <v>500</v>
      </c>
      <c r="AP1827" s="1078">
        <f t="shared" si="231"/>
        <v>1.82</v>
      </c>
      <c r="AQ1827" s="1078" t="str">
        <f t="shared" si="232"/>
        <v>1-5-1S91°</v>
      </c>
      <c r="AR1827" s="1078" t="str">
        <f t="shared" si="233"/>
        <v>33</v>
      </c>
      <c r="AS1827" s="1078" t="str">
        <f t="shared" si="234"/>
        <v>320/300/150</v>
      </c>
      <c r="AT1827" s="1078" t="str">
        <f t="shared" si="235"/>
        <v>1-5-1S91°</v>
      </c>
      <c r="AV1827" s="1078" t="str">
        <f t="shared" si="228"/>
        <v>112.1.10</v>
      </c>
      <c r="AW1827" s="1344">
        <f t="shared" si="229"/>
        <v>44936</v>
      </c>
    </row>
    <row r="1828" spans="1:49">
      <c r="A1828" s="1077" t="s">
        <v>6045</v>
      </c>
      <c r="B1828" s="1077" t="s">
        <v>210</v>
      </c>
      <c r="C1828" s="1077">
        <v>650</v>
      </c>
      <c r="D1828" s="1077">
        <v>1.75</v>
      </c>
      <c r="E1828" s="1077" t="s">
        <v>15094</v>
      </c>
      <c r="F1828" s="1077" t="s">
        <v>984</v>
      </c>
      <c r="G1828" s="1077">
        <v>5</v>
      </c>
      <c r="H1828" s="1077" t="s">
        <v>5483</v>
      </c>
      <c r="I1828" s="1077" t="s">
        <v>126</v>
      </c>
      <c r="J1828" s="1077">
        <v>0.8</v>
      </c>
      <c r="K1828" s="1077" t="s">
        <v>5625</v>
      </c>
      <c r="L1828" s="1077" t="s">
        <v>4666</v>
      </c>
      <c r="M1828" s="1077">
        <v>151.5</v>
      </c>
      <c r="N1828" s="1077" t="s">
        <v>945</v>
      </c>
      <c r="O1828" s="1077">
        <v>3.7875000000000001</v>
      </c>
      <c r="P1828" s="1077">
        <v>3.0300000000000002</v>
      </c>
      <c r="Q1828" s="1077">
        <v>4</v>
      </c>
      <c r="R1828" s="1077">
        <v>19.100000000000001</v>
      </c>
      <c r="T1828" s="1077">
        <v>23.7</v>
      </c>
      <c r="U1828" s="1077">
        <v>3.2</v>
      </c>
      <c r="V1828" s="1077" t="s">
        <v>648</v>
      </c>
      <c r="W1828" s="1077">
        <v>35</v>
      </c>
      <c r="X1828" s="1077">
        <v>10</v>
      </c>
      <c r="Y1828" s="1077">
        <v>1</v>
      </c>
      <c r="Z1828" s="1077">
        <v>6</v>
      </c>
      <c r="AA1828" s="1077" t="s">
        <v>5933</v>
      </c>
      <c r="AH1828" s="1077" t="s">
        <v>3213</v>
      </c>
      <c r="AM1828" s="1078" t="s">
        <v>12661</v>
      </c>
      <c r="AN1828" s="1078" t="s">
        <v>12662</v>
      </c>
      <c r="AO1828" s="1078">
        <f t="shared" si="230"/>
        <v>650</v>
      </c>
      <c r="AP1828" s="1078">
        <f t="shared" si="231"/>
        <v>1.75</v>
      </c>
      <c r="AQ1828" s="1078" t="str">
        <f t="shared" si="232"/>
        <v>1-5-1S91°</v>
      </c>
      <c r="AR1828" s="1078" t="str">
        <f t="shared" si="233"/>
        <v>30</v>
      </c>
      <c r="AS1828" s="1078" t="str">
        <f t="shared" si="234"/>
        <v>350/310/150</v>
      </c>
      <c r="AT1828" s="1078" t="str">
        <f t="shared" si="235"/>
        <v>1-5-1S91°</v>
      </c>
      <c r="AV1828" s="1078" t="str">
        <f t="shared" si="228"/>
        <v>112.1.11</v>
      </c>
      <c r="AW1828" s="1344">
        <f t="shared" si="229"/>
        <v>44937</v>
      </c>
    </row>
    <row r="1829" spans="1:49">
      <c r="A1829" s="1077" t="s">
        <v>6046</v>
      </c>
      <c r="B1829" s="1077" t="s">
        <v>4767</v>
      </c>
      <c r="C1829" s="1077">
        <v>650</v>
      </c>
      <c r="D1829" s="1077">
        <v>1.7350000000000001</v>
      </c>
      <c r="E1829" s="1077" t="s">
        <v>15117</v>
      </c>
      <c r="F1829" s="1077" t="s">
        <v>648</v>
      </c>
      <c r="G1829" s="1077">
        <v>5</v>
      </c>
      <c r="H1829" s="1077" t="s">
        <v>2192</v>
      </c>
      <c r="I1829" s="1077" t="s">
        <v>126</v>
      </c>
      <c r="J1829" s="1077">
        <v>1.5</v>
      </c>
      <c r="K1829" s="1077" t="s">
        <v>6032</v>
      </c>
      <c r="L1829" s="1077" t="s">
        <v>1776</v>
      </c>
      <c r="M1829" s="1077">
        <v>148</v>
      </c>
      <c r="N1829" s="1077" t="s">
        <v>945</v>
      </c>
      <c r="O1829" s="1077">
        <v>3.7</v>
      </c>
      <c r="P1829" s="1077">
        <v>2.96</v>
      </c>
      <c r="Q1829" s="1077">
        <v>4</v>
      </c>
      <c r="R1829" s="1077">
        <v>20.8</v>
      </c>
      <c r="T1829" s="1077">
        <v>20.399999999999999</v>
      </c>
      <c r="U1829" s="1077">
        <v>3.8</v>
      </c>
      <c r="V1829" s="1077" t="s">
        <v>648</v>
      </c>
      <c r="W1829" s="1077">
        <v>110</v>
      </c>
      <c r="X1829" s="1077" t="s">
        <v>6047</v>
      </c>
      <c r="Y1829" s="1077">
        <v>1.7</v>
      </c>
      <c r="Z1829" s="1077" t="s">
        <v>648</v>
      </c>
      <c r="AA1829" s="1077" t="s">
        <v>6048</v>
      </c>
      <c r="AB1829" s="1077" t="s">
        <v>981</v>
      </c>
      <c r="AH1829" s="1077" t="s">
        <v>853</v>
      </c>
      <c r="AM1829" s="1078" t="s">
        <v>12663</v>
      </c>
      <c r="AN1829" s="1078" t="s">
        <v>12664</v>
      </c>
      <c r="AO1829" s="1078">
        <f t="shared" si="230"/>
        <v>650</v>
      </c>
      <c r="AP1829" s="1078">
        <f t="shared" si="231"/>
        <v>1.7350000000000001</v>
      </c>
      <c r="AQ1829" s="1078" t="str">
        <f t="shared" si="232"/>
        <v>1-4-1S85°S+Z</v>
      </c>
      <c r="AR1829" s="1078" t="str">
        <f t="shared" si="233"/>
        <v>NA</v>
      </c>
      <c r="AS1829" s="1078" t="str">
        <f t="shared" si="234"/>
        <v>180/OFF</v>
      </c>
      <c r="AT1829" s="1078" t="str">
        <f t="shared" si="235"/>
        <v>1-4-1S85°S+Z</v>
      </c>
      <c r="AU1829" s="1078" t="s">
        <v>15550</v>
      </c>
      <c r="AV1829" s="1078" t="str">
        <f t="shared" si="228"/>
        <v>112.1.19</v>
      </c>
      <c r="AW1829" s="1344">
        <f t="shared" si="229"/>
        <v>44945</v>
      </c>
    </row>
    <row r="1830" spans="1:49">
      <c r="A1830" s="1077" t="s">
        <v>6049</v>
      </c>
      <c r="B1830" s="1077" t="s">
        <v>210</v>
      </c>
      <c r="C1830" s="1077">
        <v>650</v>
      </c>
      <c r="D1830" s="1077">
        <v>1.81</v>
      </c>
      <c r="E1830" s="1077" t="s">
        <v>15094</v>
      </c>
      <c r="F1830" s="1077" t="s">
        <v>2167</v>
      </c>
      <c r="G1830" s="1077">
        <v>5</v>
      </c>
      <c r="H1830" s="1077" t="s">
        <v>6050</v>
      </c>
      <c r="I1830" s="1077" t="s">
        <v>126</v>
      </c>
      <c r="J1830" s="1077">
        <v>0.6</v>
      </c>
      <c r="K1830" s="1077" t="s">
        <v>6051</v>
      </c>
      <c r="L1830" s="1077" t="s">
        <v>4666</v>
      </c>
      <c r="M1830" s="1077">
        <v>151.5</v>
      </c>
      <c r="N1830" s="1077" t="s">
        <v>945</v>
      </c>
      <c r="O1830" s="1077">
        <v>3.7875000000000001</v>
      </c>
      <c r="P1830" s="1077">
        <v>3.0300000000000002</v>
      </c>
      <c r="Q1830" s="1077">
        <v>4</v>
      </c>
      <c r="R1830" s="1077">
        <v>19.100000000000001</v>
      </c>
      <c r="T1830" s="1077">
        <v>23.7</v>
      </c>
      <c r="U1830" s="1077">
        <v>3.2</v>
      </c>
      <c r="V1830" s="1077" t="s">
        <v>648</v>
      </c>
      <c r="W1830" s="1077">
        <v>35</v>
      </c>
      <c r="X1830" s="1077">
        <v>10</v>
      </c>
      <c r="Y1830" s="1077">
        <v>1</v>
      </c>
      <c r="Z1830" s="1077">
        <v>6</v>
      </c>
      <c r="AA1830" s="1077" t="s">
        <v>4408</v>
      </c>
      <c r="AH1830" s="1077" t="s">
        <v>1482</v>
      </c>
      <c r="AM1830" s="1078" t="s">
        <v>12665</v>
      </c>
      <c r="AN1830" s="1078" t="s">
        <v>12666</v>
      </c>
      <c r="AO1830" s="1078">
        <f t="shared" si="230"/>
        <v>650</v>
      </c>
      <c r="AP1830" s="1078">
        <f t="shared" si="231"/>
        <v>1.81</v>
      </c>
      <c r="AQ1830" s="1078" t="str">
        <f t="shared" si="232"/>
        <v>1-5-1S91°</v>
      </c>
      <c r="AR1830" s="1078" t="str">
        <f t="shared" si="233"/>
        <v>33</v>
      </c>
      <c r="AS1830" s="1078" t="str">
        <f t="shared" si="234"/>
        <v>340/300/150</v>
      </c>
      <c r="AT1830" s="1078" t="str">
        <f t="shared" si="235"/>
        <v>1-5-1S91°</v>
      </c>
      <c r="AV1830" s="1078" t="str">
        <f t="shared" si="228"/>
        <v>112.1.30</v>
      </c>
      <c r="AW1830" s="1344">
        <f t="shared" si="229"/>
        <v>44956</v>
      </c>
    </row>
    <row r="1831" spans="1:49">
      <c r="A1831" s="1077" t="s">
        <v>6052</v>
      </c>
      <c r="B1831" s="1077" t="s">
        <v>4767</v>
      </c>
      <c r="C1831" s="1077">
        <v>600</v>
      </c>
      <c r="D1831" s="1077">
        <v>1.73</v>
      </c>
      <c r="E1831" s="1077" t="s">
        <v>15108</v>
      </c>
      <c r="F1831" s="1077" t="s">
        <v>648</v>
      </c>
      <c r="G1831" s="1077">
        <v>5</v>
      </c>
      <c r="H1831" s="1077" t="s">
        <v>1029</v>
      </c>
      <c r="I1831" s="1077" t="s">
        <v>126</v>
      </c>
      <c r="J1831" s="1077">
        <v>2</v>
      </c>
      <c r="K1831" s="1077" t="s">
        <v>6053</v>
      </c>
      <c r="L1831" s="1077" t="s">
        <v>1776</v>
      </c>
      <c r="M1831" s="1077">
        <v>148.19999999999999</v>
      </c>
      <c r="N1831" s="1077" t="s">
        <v>945</v>
      </c>
      <c r="O1831" s="1077">
        <v>3.7050000000000001</v>
      </c>
      <c r="P1831" s="1077">
        <v>2.964</v>
      </c>
      <c r="Q1831" s="1077">
        <v>4</v>
      </c>
      <c r="R1831" s="1077" t="s">
        <v>6054</v>
      </c>
      <c r="T1831" s="1077">
        <v>19.399999999999999</v>
      </c>
      <c r="U1831" s="1077">
        <v>3.6</v>
      </c>
      <c r="V1831" s="1077" t="s">
        <v>648</v>
      </c>
      <c r="W1831" s="1077">
        <v>120</v>
      </c>
      <c r="X1831" s="1077" t="s">
        <v>5885</v>
      </c>
      <c r="Y1831" s="1077">
        <v>1.5</v>
      </c>
      <c r="Z1831" s="1077" t="s">
        <v>648</v>
      </c>
      <c r="AA1831" s="1077" t="s">
        <v>6055</v>
      </c>
      <c r="AH1831" s="1077" t="s">
        <v>621</v>
      </c>
      <c r="AM1831" s="1078" t="s">
        <v>12667</v>
      </c>
      <c r="AN1831" s="1078" t="s">
        <v>12668</v>
      </c>
      <c r="AO1831" s="1078">
        <f t="shared" si="230"/>
        <v>600</v>
      </c>
      <c r="AP1831" s="1078">
        <f t="shared" si="231"/>
        <v>1.73</v>
      </c>
      <c r="AQ1831" s="1078" t="str">
        <f t="shared" si="232"/>
        <v>1-4-1S83°Z+S</v>
      </c>
      <c r="AR1831" s="1078" t="str">
        <f t="shared" si="233"/>
        <v>NA</v>
      </c>
      <c r="AS1831" s="1078" t="str">
        <f t="shared" si="234"/>
        <v>250/250/OFF</v>
      </c>
      <c r="AT1831" s="1078" t="str">
        <f t="shared" si="235"/>
        <v>1-4-1S83°Z+S</v>
      </c>
      <c r="AU1831" s="1078" t="s">
        <v>15547</v>
      </c>
      <c r="AV1831" s="1078" t="str">
        <f t="shared" si="228"/>
        <v>112.2.4</v>
      </c>
      <c r="AW1831" s="1344">
        <f t="shared" si="229"/>
        <v>44961</v>
      </c>
    </row>
    <row r="1832" spans="1:49">
      <c r="A1832" s="1077" t="s">
        <v>6056</v>
      </c>
      <c r="B1832" s="1077" t="s">
        <v>210</v>
      </c>
      <c r="C1832" s="1077">
        <v>650</v>
      </c>
      <c r="D1832" s="1077">
        <v>1.81</v>
      </c>
      <c r="E1832" s="1077" t="s">
        <v>15094</v>
      </c>
      <c r="F1832" s="1077" t="s">
        <v>2167</v>
      </c>
      <c r="G1832" s="1077">
        <v>5</v>
      </c>
      <c r="H1832" s="1077" t="s">
        <v>5483</v>
      </c>
      <c r="I1832" s="1077" t="s">
        <v>126</v>
      </c>
      <c r="J1832" s="1077">
        <v>0.8</v>
      </c>
      <c r="K1832" s="1077" t="s">
        <v>6057</v>
      </c>
      <c r="L1832" s="1077" t="s">
        <v>4666</v>
      </c>
      <c r="M1832" s="1077">
        <v>151.5</v>
      </c>
      <c r="N1832" s="1077" t="s">
        <v>945</v>
      </c>
      <c r="O1832" s="1077">
        <v>3.7875000000000001</v>
      </c>
      <c r="P1832" s="1077">
        <v>3.0300000000000002</v>
      </c>
      <c r="Q1832" s="1077">
        <v>4</v>
      </c>
      <c r="R1832" s="1077">
        <v>19.100000000000001</v>
      </c>
      <c r="T1832" s="1077">
        <v>23.7</v>
      </c>
      <c r="U1832" s="1077">
        <v>3.2</v>
      </c>
      <c r="V1832" s="1077" t="s">
        <v>648</v>
      </c>
      <c r="W1832" s="1077">
        <v>35</v>
      </c>
      <c r="X1832" s="1077">
        <v>10</v>
      </c>
      <c r="Y1832" s="1077">
        <v>1</v>
      </c>
      <c r="Z1832" s="1077">
        <v>6</v>
      </c>
      <c r="AA1832" s="1077" t="s">
        <v>1560</v>
      </c>
      <c r="AH1832" s="1077" t="s">
        <v>2055</v>
      </c>
      <c r="AM1832" s="1078" t="s">
        <v>12669</v>
      </c>
      <c r="AN1832" s="1078" t="s">
        <v>12670</v>
      </c>
      <c r="AO1832" s="1078">
        <f t="shared" si="230"/>
        <v>650</v>
      </c>
      <c r="AP1832" s="1078">
        <f t="shared" si="231"/>
        <v>1.81</v>
      </c>
      <c r="AQ1832" s="1078" t="str">
        <f t="shared" si="232"/>
        <v>1-5-1S91°</v>
      </c>
      <c r="AR1832" s="1078" t="str">
        <f t="shared" si="233"/>
        <v>33</v>
      </c>
      <c r="AS1832" s="1078" t="str">
        <f t="shared" si="234"/>
        <v>350/310/150</v>
      </c>
      <c r="AT1832" s="1078" t="str">
        <f t="shared" si="235"/>
        <v>1-5-1S91°</v>
      </c>
      <c r="AV1832" s="1078" t="str">
        <f t="shared" si="228"/>
        <v>112.2.6</v>
      </c>
      <c r="AW1832" s="1344">
        <f t="shared" si="229"/>
        <v>44963</v>
      </c>
    </row>
    <row r="1833" spans="1:49">
      <c r="A1833" s="1077" t="s">
        <v>6058</v>
      </c>
      <c r="B1833" s="1077" t="s">
        <v>210</v>
      </c>
      <c r="C1833" s="1077">
        <v>650</v>
      </c>
      <c r="D1833" s="1077">
        <v>1.75</v>
      </c>
      <c r="E1833" s="1077" t="s">
        <v>15094</v>
      </c>
      <c r="F1833" s="1077" t="s">
        <v>984</v>
      </c>
      <c r="G1833" s="1077">
        <v>5</v>
      </c>
      <c r="H1833" s="1077" t="s">
        <v>5483</v>
      </c>
      <c r="I1833" s="1077" t="s">
        <v>126</v>
      </c>
      <c r="J1833" s="1077">
        <v>0.8</v>
      </c>
      <c r="K1833" s="1077" t="s">
        <v>6059</v>
      </c>
      <c r="L1833" s="1077" t="s">
        <v>4666</v>
      </c>
      <c r="M1833" s="1077">
        <v>151.5</v>
      </c>
      <c r="N1833" s="1077" t="s">
        <v>945</v>
      </c>
      <c r="O1833" s="1077">
        <v>3.7875000000000001</v>
      </c>
      <c r="P1833" s="1077">
        <v>3.0300000000000002</v>
      </c>
      <c r="Q1833" s="1077">
        <v>4</v>
      </c>
      <c r="R1833" s="1077">
        <v>19.100000000000001</v>
      </c>
      <c r="T1833" s="1077">
        <v>23.7</v>
      </c>
      <c r="U1833" s="1077">
        <v>3.2</v>
      </c>
      <c r="V1833" s="1077" t="s">
        <v>648</v>
      </c>
      <c r="W1833" s="1077">
        <v>35</v>
      </c>
      <c r="X1833" s="1077">
        <v>10</v>
      </c>
      <c r="Y1833" s="1077">
        <v>1</v>
      </c>
      <c r="Z1833" s="1077">
        <v>6</v>
      </c>
      <c r="AA1833" s="1077" t="s">
        <v>3435</v>
      </c>
      <c r="AH1833" s="1077" t="s">
        <v>680</v>
      </c>
      <c r="AM1833" s="1078" t="s">
        <v>12671</v>
      </c>
      <c r="AN1833" s="1078" t="s">
        <v>12672</v>
      </c>
      <c r="AO1833" s="1078">
        <f t="shared" si="230"/>
        <v>650</v>
      </c>
      <c r="AP1833" s="1078">
        <f t="shared" si="231"/>
        <v>1.75</v>
      </c>
      <c r="AQ1833" s="1078" t="str">
        <f t="shared" si="232"/>
        <v>1-5-1S91°</v>
      </c>
      <c r="AR1833" s="1078" t="str">
        <f t="shared" si="233"/>
        <v>30</v>
      </c>
      <c r="AS1833" s="1078" t="str">
        <f t="shared" si="234"/>
        <v>350/310/150</v>
      </c>
      <c r="AT1833" s="1078" t="str">
        <f t="shared" si="235"/>
        <v>1-5-1S91°</v>
      </c>
      <c r="AV1833" s="1078" t="str">
        <f t="shared" si="228"/>
        <v>112.2.8</v>
      </c>
      <c r="AW1833" s="1344">
        <f t="shared" si="229"/>
        <v>44965</v>
      </c>
    </row>
    <row r="1834" spans="1:49">
      <c r="A1834" s="1077" t="s">
        <v>6060</v>
      </c>
      <c r="B1834" s="1077" t="s">
        <v>210</v>
      </c>
      <c r="C1834" s="1077" t="s">
        <v>6061</v>
      </c>
      <c r="D1834" s="1077">
        <v>1.75</v>
      </c>
      <c r="E1834" s="1077" t="s">
        <v>15094</v>
      </c>
      <c r="F1834" s="1077" t="s">
        <v>984</v>
      </c>
      <c r="G1834" s="1077">
        <v>5</v>
      </c>
      <c r="H1834" s="1077" t="s">
        <v>5480</v>
      </c>
      <c r="I1834" s="1077" t="s">
        <v>126</v>
      </c>
      <c r="J1834" s="1077">
        <v>0.8</v>
      </c>
      <c r="K1834" s="1077" t="s">
        <v>5632</v>
      </c>
      <c r="L1834" s="1077" t="s">
        <v>4666</v>
      </c>
      <c r="M1834" s="1077">
        <v>151.5</v>
      </c>
      <c r="N1834" s="1077" t="s">
        <v>945</v>
      </c>
      <c r="O1834" s="1077">
        <v>3.7875000000000001</v>
      </c>
      <c r="P1834" s="1077">
        <v>3.0300000000000002</v>
      </c>
      <c r="Q1834" s="1077">
        <v>4</v>
      </c>
      <c r="R1834" s="1077">
        <v>19.100000000000001</v>
      </c>
      <c r="T1834" s="1077">
        <v>23.7</v>
      </c>
      <c r="U1834" s="1077">
        <v>3.2</v>
      </c>
      <c r="V1834" s="1077" t="s">
        <v>648</v>
      </c>
      <c r="W1834" s="1077">
        <v>35</v>
      </c>
      <c r="X1834" s="1077">
        <v>10</v>
      </c>
      <c r="Y1834" s="1077">
        <v>1</v>
      </c>
      <c r="Z1834" s="1077">
        <v>6</v>
      </c>
      <c r="AA1834" s="1077" t="s">
        <v>3435</v>
      </c>
      <c r="AH1834" s="1077" t="s">
        <v>722</v>
      </c>
      <c r="AM1834" s="1078" t="s">
        <v>12673</v>
      </c>
      <c r="AN1834" s="1078" t="s">
        <v>12674</v>
      </c>
      <c r="AO1834" s="1078" t="str">
        <f t="shared" si="230"/>
        <v>650↓600-2/20</v>
      </c>
      <c r="AP1834" s="1078">
        <f t="shared" si="231"/>
        <v>1.75</v>
      </c>
      <c r="AQ1834" s="1078" t="str">
        <f t="shared" si="232"/>
        <v>1-5-1S91°</v>
      </c>
      <c r="AR1834" s="1078" t="str">
        <f t="shared" si="233"/>
        <v>30</v>
      </c>
      <c r="AS1834" s="1078" t="str">
        <f t="shared" si="234"/>
        <v>340/300/145</v>
      </c>
      <c r="AT1834" s="1078" t="str">
        <f t="shared" si="235"/>
        <v>1-5-1S91°</v>
      </c>
      <c r="AV1834" s="1078" t="str">
        <f t="shared" si="228"/>
        <v>112.2.8</v>
      </c>
      <c r="AW1834" s="1344">
        <f t="shared" si="229"/>
        <v>44965</v>
      </c>
    </row>
    <row r="1835" spans="1:49">
      <c r="A1835" s="1077" t="s">
        <v>6062</v>
      </c>
      <c r="B1835" s="1077" t="s">
        <v>5372</v>
      </c>
      <c r="C1835" s="1077">
        <v>600</v>
      </c>
      <c r="D1835" s="1077">
        <v>1.7250000000000001</v>
      </c>
      <c r="E1835" s="1077" t="s">
        <v>15108</v>
      </c>
      <c r="F1835" s="1077" t="s">
        <v>648</v>
      </c>
      <c r="G1835" s="1077">
        <v>5</v>
      </c>
      <c r="H1835" s="1077" t="s">
        <v>955</v>
      </c>
      <c r="I1835" s="1077" t="s">
        <v>126</v>
      </c>
      <c r="J1835" s="1077">
        <v>1.8</v>
      </c>
      <c r="K1835" s="1077" t="s">
        <v>6063</v>
      </c>
      <c r="L1835" s="1077" t="s">
        <v>2104</v>
      </c>
      <c r="M1835" s="1077">
        <v>149</v>
      </c>
      <c r="N1835" s="1077" t="s">
        <v>945</v>
      </c>
      <c r="O1835" s="1077">
        <v>3.7250000000000001</v>
      </c>
      <c r="P1835" s="1077">
        <v>2.98</v>
      </c>
      <c r="Q1835" s="1077">
        <v>4</v>
      </c>
      <c r="R1835" s="1077">
        <v>21.8</v>
      </c>
      <c r="T1835" s="1077">
        <v>22.6</v>
      </c>
      <c r="U1835" s="1077">
        <v>3.6</v>
      </c>
      <c r="V1835" s="1077" t="s">
        <v>648</v>
      </c>
      <c r="W1835" s="1077">
        <v>120</v>
      </c>
      <c r="X1835" s="1077">
        <v>70</v>
      </c>
      <c r="Y1835" s="1077">
        <v>1.5</v>
      </c>
      <c r="Z1835" s="1077" t="s">
        <v>648</v>
      </c>
      <c r="AA1835" s="1077" t="s">
        <v>6064</v>
      </c>
      <c r="AH1835" s="1077" t="s">
        <v>875</v>
      </c>
      <c r="AM1835" s="1078" t="s">
        <v>12675</v>
      </c>
      <c r="AN1835" s="1078" t="s">
        <v>12676</v>
      </c>
      <c r="AO1835" s="1078">
        <f t="shared" si="230"/>
        <v>600</v>
      </c>
      <c r="AP1835" s="1078">
        <f t="shared" si="231"/>
        <v>1.7250000000000001</v>
      </c>
      <c r="AQ1835" s="1078" t="str">
        <f t="shared" si="232"/>
        <v>1-4-1S83°Z+S</v>
      </c>
      <c r="AR1835" s="1078" t="str">
        <f t="shared" si="233"/>
        <v>NA</v>
      </c>
      <c r="AS1835" s="1078" t="str">
        <f t="shared" si="234"/>
        <v>260/260/OFF</v>
      </c>
      <c r="AT1835" s="1078" t="str">
        <f t="shared" si="235"/>
        <v>1-4-1S83°Z+S</v>
      </c>
      <c r="AU1835" s="1078" t="s">
        <v>15547</v>
      </c>
      <c r="AV1835" s="1078" t="str">
        <f t="shared" si="228"/>
        <v>112.2.15</v>
      </c>
      <c r="AW1835" s="1344">
        <f t="shared" si="229"/>
        <v>44972</v>
      </c>
    </row>
    <row r="1836" spans="1:49">
      <c r="A1836" s="1077" t="s">
        <v>6065</v>
      </c>
      <c r="B1836" s="1077" t="s">
        <v>210</v>
      </c>
      <c r="C1836" s="1077">
        <v>600</v>
      </c>
      <c r="D1836" s="1077">
        <v>1.75</v>
      </c>
      <c r="E1836" s="1077" t="s">
        <v>15094</v>
      </c>
      <c r="F1836" s="1077" t="s">
        <v>984</v>
      </c>
      <c r="G1836" s="1077">
        <v>5</v>
      </c>
      <c r="H1836" s="1077" t="s">
        <v>5480</v>
      </c>
      <c r="I1836" s="1077" t="s">
        <v>126</v>
      </c>
      <c r="J1836" s="1077">
        <v>0.7</v>
      </c>
      <c r="K1836" s="1077" t="s">
        <v>5632</v>
      </c>
      <c r="L1836" s="1077" t="s">
        <v>4666</v>
      </c>
      <c r="M1836" s="1077">
        <v>151.5</v>
      </c>
      <c r="N1836" s="1077" t="s">
        <v>945</v>
      </c>
      <c r="O1836" s="1077">
        <v>3.7875000000000001</v>
      </c>
      <c r="P1836" s="1077">
        <v>3.0300000000000002</v>
      </c>
      <c r="Q1836" s="1077">
        <v>4</v>
      </c>
      <c r="R1836" s="1077">
        <v>19.100000000000001</v>
      </c>
      <c r="T1836" s="1077">
        <v>23.7</v>
      </c>
      <c r="U1836" s="1077">
        <v>3.2</v>
      </c>
      <c r="V1836" s="1077" t="s">
        <v>648</v>
      </c>
      <c r="W1836" s="1077">
        <v>35</v>
      </c>
      <c r="X1836" s="1077">
        <v>10</v>
      </c>
      <c r="Y1836" s="1077">
        <v>1</v>
      </c>
      <c r="Z1836" s="1077">
        <v>6</v>
      </c>
      <c r="AA1836" s="1077" t="s">
        <v>3442</v>
      </c>
      <c r="AH1836" s="1077" t="s">
        <v>884</v>
      </c>
      <c r="AI1836" s="1077">
        <v>92.04</v>
      </c>
      <c r="AJ1836" s="1077">
        <v>-0.47</v>
      </c>
      <c r="AK1836" s="1077">
        <v>0.82</v>
      </c>
      <c r="AM1836" s="1078" t="s">
        <v>12677</v>
      </c>
      <c r="AN1836" s="1078" t="s">
        <v>12678</v>
      </c>
      <c r="AO1836" s="1078">
        <f t="shared" si="230"/>
        <v>600</v>
      </c>
      <c r="AP1836" s="1078">
        <f t="shared" si="231"/>
        <v>1.75</v>
      </c>
      <c r="AQ1836" s="1078" t="str">
        <f t="shared" si="232"/>
        <v>1-5-1S91°</v>
      </c>
      <c r="AR1836" s="1078" t="str">
        <f t="shared" si="233"/>
        <v>30</v>
      </c>
      <c r="AS1836" s="1078" t="str">
        <f t="shared" si="234"/>
        <v>340/300/145</v>
      </c>
      <c r="AT1836" s="1078" t="str">
        <f t="shared" si="235"/>
        <v>1-5-1S91°</v>
      </c>
      <c r="AV1836" s="1078" t="str">
        <f t="shared" si="228"/>
        <v>112.2.17</v>
      </c>
      <c r="AW1836" s="1344">
        <f t="shared" si="229"/>
        <v>44974</v>
      </c>
    </row>
    <row r="1837" spans="1:49">
      <c r="A1837" s="1077" t="s">
        <v>6066</v>
      </c>
      <c r="B1837" s="1077" t="s">
        <v>4860</v>
      </c>
      <c r="C1837" s="1077">
        <v>500</v>
      </c>
      <c r="D1837" s="1077">
        <v>1.76</v>
      </c>
      <c r="E1837" s="1077" t="s">
        <v>15108</v>
      </c>
      <c r="F1837" s="1077" t="s">
        <v>984</v>
      </c>
      <c r="G1837" s="1077">
        <v>5</v>
      </c>
      <c r="H1837" s="1077" t="s">
        <v>1061</v>
      </c>
      <c r="I1837" s="1077" t="s">
        <v>460</v>
      </c>
      <c r="J1837" s="1077">
        <v>1.8</v>
      </c>
      <c r="K1837" s="1077" t="s">
        <v>6067</v>
      </c>
      <c r="L1837" s="1077" t="s">
        <v>4864</v>
      </c>
      <c r="M1837" s="1077">
        <v>149.5</v>
      </c>
      <c r="N1837" s="1077" t="s">
        <v>945</v>
      </c>
      <c r="O1837" s="1077">
        <v>3.7375000000000003</v>
      </c>
      <c r="P1837" s="1077">
        <v>2.99</v>
      </c>
      <c r="Q1837" s="1077">
        <v>4</v>
      </c>
      <c r="R1837" s="1077">
        <v>21</v>
      </c>
      <c r="T1837" s="1077">
        <v>37</v>
      </c>
      <c r="U1837" s="1077">
        <v>3.7</v>
      </c>
      <c r="V1837" s="1077" t="s">
        <v>648</v>
      </c>
      <c r="W1837" s="1077">
        <v>110</v>
      </c>
      <c r="X1837" s="1077">
        <v>40</v>
      </c>
      <c r="Y1837" s="1077">
        <v>2.2000000000000002</v>
      </c>
      <c r="Z1837" s="1077" t="s">
        <v>648</v>
      </c>
      <c r="AA1837" s="1077" t="s">
        <v>6068</v>
      </c>
      <c r="AH1837" s="1077" t="s">
        <v>889</v>
      </c>
      <c r="AM1837" s="1078" t="s">
        <v>12679</v>
      </c>
      <c r="AN1837" s="1078" t="s">
        <v>12680</v>
      </c>
      <c r="AO1837" s="1078">
        <f t="shared" si="230"/>
        <v>500</v>
      </c>
      <c r="AP1837" s="1078">
        <f t="shared" si="231"/>
        <v>1.76</v>
      </c>
      <c r="AQ1837" s="1078" t="str">
        <f t="shared" si="232"/>
        <v>1-4-1S83°Z+S</v>
      </c>
      <c r="AR1837" s="1078" t="str">
        <f t="shared" si="233"/>
        <v>30</v>
      </c>
      <c r="AS1837" s="1078" t="str">
        <f t="shared" si="234"/>
        <v>255/255/OFF</v>
      </c>
      <c r="AT1837" s="1078" t="str">
        <f t="shared" si="235"/>
        <v>1-4-1S83°Z+S</v>
      </c>
      <c r="AU1837" s="1078" t="s">
        <v>15547</v>
      </c>
      <c r="AV1837" s="1078" t="str">
        <f t="shared" si="228"/>
        <v>112.2.20</v>
      </c>
      <c r="AW1837" s="1344">
        <f t="shared" si="229"/>
        <v>44977</v>
      </c>
    </row>
    <row r="1838" spans="1:49">
      <c r="A1838" s="1077" t="s">
        <v>6069</v>
      </c>
      <c r="B1838" s="1077" t="s">
        <v>210</v>
      </c>
      <c r="C1838" s="1077">
        <v>600</v>
      </c>
      <c r="D1838" s="1077">
        <v>1.81</v>
      </c>
      <c r="E1838" s="1077" t="s">
        <v>15094</v>
      </c>
      <c r="F1838" s="1077" t="s">
        <v>2167</v>
      </c>
      <c r="G1838" s="1077">
        <v>5</v>
      </c>
      <c r="H1838" s="1077" t="s">
        <v>6070</v>
      </c>
      <c r="I1838" s="1077" t="s">
        <v>126</v>
      </c>
      <c r="J1838" s="1077">
        <v>1.8</v>
      </c>
      <c r="K1838" s="1077" t="s">
        <v>6071</v>
      </c>
      <c r="L1838" s="1077" t="s">
        <v>4666</v>
      </c>
      <c r="M1838" s="1077">
        <v>152.19999999999999</v>
      </c>
      <c r="N1838" s="1077" t="s">
        <v>945</v>
      </c>
      <c r="O1838" s="1077">
        <v>3.8049999999999997</v>
      </c>
      <c r="P1838" s="1077">
        <v>3.044</v>
      </c>
      <c r="Q1838" s="1077">
        <v>4</v>
      </c>
      <c r="R1838" s="1077">
        <v>19</v>
      </c>
      <c r="T1838" s="1077">
        <v>16</v>
      </c>
      <c r="U1838" s="1077">
        <v>4</v>
      </c>
      <c r="V1838" s="1077" t="s">
        <v>648</v>
      </c>
      <c r="W1838" s="1077">
        <v>95</v>
      </c>
      <c r="X1838" s="1077">
        <v>20</v>
      </c>
      <c r="Y1838" s="1077">
        <v>1.5</v>
      </c>
      <c r="Z1838" s="1077">
        <v>5</v>
      </c>
      <c r="AA1838" s="1077" t="s">
        <v>6072</v>
      </c>
      <c r="AH1838" s="1077" t="s">
        <v>684</v>
      </c>
      <c r="AM1838" s="1078" t="s">
        <v>12681</v>
      </c>
      <c r="AN1838" s="1078" t="s">
        <v>12682</v>
      </c>
      <c r="AO1838" s="1078">
        <f t="shared" si="230"/>
        <v>600</v>
      </c>
      <c r="AP1838" s="1078">
        <f t="shared" si="231"/>
        <v>1.81</v>
      </c>
      <c r="AQ1838" s="1078" t="str">
        <f t="shared" si="232"/>
        <v>1-5-1S91°</v>
      </c>
      <c r="AR1838" s="1078" t="str">
        <f t="shared" si="233"/>
        <v>33</v>
      </c>
      <c r="AS1838" s="1078" t="str">
        <f t="shared" si="234"/>
        <v>315/275/150</v>
      </c>
      <c r="AT1838" s="1078" t="str">
        <f t="shared" si="235"/>
        <v>1-5-1S91°</v>
      </c>
      <c r="AV1838" s="1078" t="str">
        <f t="shared" si="228"/>
        <v>112.2.21</v>
      </c>
      <c r="AW1838" s="1344">
        <f t="shared" si="229"/>
        <v>44978</v>
      </c>
    </row>
    <row r="1839" spans="1:49">
      <c r="A1839" s="1077" t="s">
        <v>6073</v>
      </c>
      <c r="B1839" s="1077" t="s">
        <v>210</v>
      </c>
      <c r="C1839" s="1077">
        <v>600</v>
      </c>
      <c r="D1839" s="1077">
        <v>1.825</v>
      </c>
      <c r="E1839" s="1077" t="s">
        <v>15094</v>
      </c>
      <c r="F1839" s="1077" t="s">
        <v>2167</v>
      </c>
      <c r="G1839" s="1077">
        <v>5</v>
      </c>
      <c r="H1839" s="1077" t="s">
        <v>6070</v>
      </c>
      <c r="I1839" s="1077" t="s">
        <v>126</v>
      </c>
      <c r="J1839" s="1077">
        <v>1.8</v>
      </c>
      <c r="K1839" s="1077" t="s">
        <v>5452</v>
      </c>
      <c r="L1839" s="1077" t="s">
        <v>4666</v>
      </c>
      <c r="M1839" s="1077">
        <v>152.19999999999999</v>
      </c>
      <c r="N1839" s="1077" t="s">
        <v>945</v>
      </c>
      <c r="O1839" s="1077">
        <v>3.8049999999999997</v>
      </c>
      <c r="P1839" s="1077">
        <v>3.044</v>
      </c>
      <c r="Q1839" s="1077">
        <v>4</v>
      </c>
      <c r="R1839" s="1077">
        <v>19</v>
      </c>
      <c r="T1839" s="1077">
        <v>16</v>
      </c>
      <c r="U1839" s="1077">
        <v>4</v>
      </c>
      <c r="V1839" s="1077" t="s">
        <v>648</v>
      </c>
      <c r="W1839" s="1077">
        <v>95</v>
      </c>
      <c r="X1839" s="1077">
        <v>20</v>
      </c>
      <c r="Y1839" s="1077">
        <v>1.5</v>
      </c>
      <c r="Z1839" s="1077">
        <v>5</v>
      </c>
      <c r="AA1839" s="1077" t="s">
        <v>4411</v>
      </c>
      <c r="AH1839" s="1077" t="s">
        <v>3213</v>
      </c>
      <c r="AM1839" s="1078" t="s">
        <v>12683</v>
      </c>
      <c r="AN1839" s="1078" t="s">
        <v>12684</v>
      </c>
      <c r="AO1839" s="1078">
        <f t="shared" si="230"/>
        <v>600</v>
      </c>
      <c r="AP1839" s="1078">
        <f t="shared" si="231"/>
        <v>1.825</v>
      </c>
      <c r="AQ1839" s="1078" t="str">
        <f t="shared" si="232"/>
        <v>1-5-1S91°</v>
      </c>
      <c r="AR1839" s="1078" t="str">
        <f t="shared" si="233"/>
        <v>33</v>
      </c>
      <c r="AS1839" s="1078" t="str">
        <f t="shared" si="234"/>
        <v>315/275/150</v>
      </c>
      <c r="AT1839" s="1078" t="str">
        <f t="shared" si="235"/>
        <v>1-5-1S91°</v>
      </c>
      <c r="AV1839" s="1078" t="str">
        <f t="shared" si="228"/>
        <v>112.2.23</v>
      </c>
      <c r="AW1839" s="1344">
        <f t="shared" si="229"/>
        <v>44980</v>
      </c>
    </row>
    <row r="1840" spans="1:49">
      <c r="A1840" s="1077" t="s">
        <v>6074</v>
      </c>
      <c r="B1840" s="1077" t="s">
        <v>4767</v>
      </c>
      <c r="C1840" s="1077">
        <v>650</v>
      </c>
      <c r="D1840" s="1077">
        <v>1.7350000000000001</v>
      </c>
      <c r="E1840" s="1077" t="s">
        <v>15117</v>
      </c>
      <c r="F1840" s="1077" t="s">
        <v>648</v>
      </c>
      <c r="G1840" s="1077">
        <v>5</v>
      </c>
      <c r="H1840" s="1077" t="s">
        <v>2192</v>
      </c>
      <c r="I1840" s="1077" t="s">
        <v>126</v>
      </c>
      <c r="J1840" s="1077">
        <v>1.5</v>
      </c>
      <c r="K1840" s="1077" t="s">
        <v>6032</v>
      </c>
      <c r="L1840" s="1077" t="s">
        <v>1776</v>
      </c>
      <c r="M1840" s="1077">
        <v>148</v>
      </c>
      <c r="N1840" s="1077" t="s">
        <v>945</v>
      </c>
      <c r="O1840" s="1077">
        <v>3.7</v>
      </c>
      <c r="P1840" s="1077">
        <v>2.96</v>
      </c>
      <c r="Q1840" s="1077">
        <v>4</v>
      </c>
      <c r="R1840" s="1077">
        <v>20.8</v>
      </c>
      <c r="T1840" s="1077">
        <v>20.399999999999999</v>
      </c>
      <c r="U1840" s="1077">
        <v>3.8</v>
      </c>
      <c r="V1840" s="1077" t="s">
        <v>648</v>
      </c>
      <c r="W1840" s="1077">
        <v>110</v>
      </c>
      <c r="X1840" s="1077" t="s">
        <v>6047</v>
      </c>
      <c r="Y1840" s="1077">
        <v>1.7</v>
      </c>
      <c r="Z1840" s="1077" t="s">
        <v>648</v>
      </c>
      <c r="AA1840" s="1077" t="s">
        <v>6075</v>
      </c>
      <c r="AB1840" s="1077" t="s">
        <v>981</v>
      </c>
      <c r="AH1840" s="1077" t="s">
        <v>1417</v>
      </c>
      <c r="AI1840" s="1077" t="s">
        <v>1597</v>
      </c>
      <c r="AJ1840" s="1077" t="s">
        <v>1597</v>
      </c>
      <c r="AK1840" s="1077" t="s">
        <v>1597</v>
      </c>
      <c r="AM1840" s="1078" t="s">
        <v>12685</v>
      </c>
      <c r="AN1840" s="1078" t="s">
        <v>12686</v>
      </c>
      <c r="AO1840" s="1078">
        <f t="shared" si="230"/>
        <v>650</v>
      </c>
      <c r="AP1840" s="1078">
        <f t="shared" si="231"/>
        <v>1.7350000000000001</v>
      </c>
      <c r="AQ1840" s="1078" t="str">
        <f t="shared" si="232"/>
        <v>1-4-1S85°S+Z</v>
      </c>
      <c r="AR1840" s="1078" t="str">
        <f t="shared" si="233"/>
        <v>NA</v>
      </c>
      <c r="AS1840" s="1078" t="str">
        <f t="shared" si="234"/>
        <v>180/OFF</v>
      </c>
      <c r="AT1840" s="1078" t="str">
        <f t="shared" si="235"/>
        <v>1-4-1S85°S+Z</v>
      </c>
      <c r="AU1840" s="1078" t="s">
        <v>15550</v>
      </c>
      <c r="AV1840" s="1078" t="str">
        <f t="shared" si="228"/>
        <v>112.5.5</v>
      </c>
      <c r="AW1840" s="1344">
        <f t="shared" si="229"/>
        <v>45051</v>
      </c>
    </row>
    <row r="1841" spans="1:49">
      <c r="A1841" s="1077" t="s">
        <v>6076</v>
      </c>
      <c r="B1841" s="1077" t="s">
        <v>617</v>
      </c>
      <c r="C1841" s="1077">
        <v>600</v>
      </c>
      <c r="D1841" s="1077">
        <v>1.75</v>
      </c>
      <c r="E1841" s="1077" t="s">
        <v>15094</v>
      </c>
      <c r="F1841" s="1077" t="s">
        <v>984</v>
      </c>
      <c r="G1841" s="1077">
        <v>5</v>
      </c>
      <c r="H1841" s="1077" t="s">
        <v>955</v>
      </c>
      <c r="I1841" s="1077" t="s">
        <v>126</v>
      </c>
      <c r="J1841" s="1077">
        <v>2.2000000000000002</v>
      </c>
      <c r="K1841" s="1077" t="s">
        <v>5836</v>
      </c>
      <c r="L1841" s="1077" t="s">
        <v>4854</v>
      </c>
      <c r="M1841" s="1077">
        <v>150.30000000000001</v>
      </c>
      <c r="N1841" s="1077" t="s">
        <v>945</v>
      </c>
      <c r="O1841" s="1077">
        <v>3.7575000000000003</v>
      </c>
      <c r="P1841" s="1077">
        <v>3.0060000000000002</v>
      </c>
      <c r="Q1841" s="1077">
        <v>3</v>
      </c>
      <c r="R1841" s="1077">
        <v>30</v>
      </c>
      <c r="T1841" s="1077">
        <v>13</v>
      </c>
      <c r="U1841" s="1077">
        <v>7</v>
      </c>
      <c r="V1841" s="1077" t="s">
        <v>648</v>
      </c>
      <c r="W1841" s="1077">
        <v>115</v>
      </c>
      <c r="X1841" s="1077">
        <v>50</v>
      </c>
      <c r="Y1841" s="1077">
        <v>1.7</v>
      </c>
      <c r="Z1841" s="1077">
        <v>6.5</v>
      </c>
      <c r="AA1841" s="1077" t="s">
        <v>3483</v>
      </c>
      <c r="AH1841" s="1077" t="s">
        <v>2055</v>
      </c>
      <c r="AM1841" s="1078" t="s">
        <v>12687</v>
      </c>
      <c r="AN1841" s="1078" t="s">
        <v>12688</v>
      </c>
      <c r="AO1841" s="1078">
        <f t="shared" si="230"/>
        <v>600</v>
      </c>
      <c r="AP1841" s="1078">
        <f t="shared" si="231"/>
        <v>1.75</v>
      </c>
      <c r="AQ1841" s="1078" t="str">
        <f t="shared" si="232"/>
        <v>1-5-1S91°</v>
      </c>
      <c r="AR1841" s="1078" t="str">
        <f t="shared" si="233"/>
        <v>30</v>
      </c>
      <c r="AS1841" s="1078" t="str">
        <f t="shared" si="234"/>
        <v>260/260/OFF</v>
      </c>
      <c r="AT1841" s="1078" t="str">
        <f t="shared" si="235"/>
        <v>1-5-1S91°</v>
      </c>
      <c r="AV1841" s="1078" t="str">
        <f t="shared" si="228"/>
        <v>112.3.3</v>
      </c>
      <c r="AW1841" s="1344">
        <f t="shared" si="229"/>
        <v>44988</v>
      </c>
    </row>
    <row r="1842" spans="1:49">
      <c r="A1842" s="1077" t="s">
        <v>6077</v>
      </c>
      <c r="B1842" s="1077" t="s">
        <v>4860</v>
      </c>
      <c r="C1842" s="1077">
        <v>700</v>
      </c>
      <c r="D1842" s="1077">
        <v>1.77</v>
      </c>
      <c r="E1842" s="1077" t="s">
        <v>15104</v>
      </c>
      <c r="F1842" s="1077" t="s">
        <v>648</v>
      </c>
      <c r="G1842" s="1077">
        <v>5</v>
      </c>
      <c r="H1842" s="1077" t="s">
        <v>4874</v>
      </c>
      <c r="I1842" s="1077" t="s">
        <v>460</v>
      </c>
      <c r="J1842" s="1077">
        <v>2</v>
      </c>
      <c r="K1842" s="1077" t="s">
        <v>6067</v>
      </c>
      <c r="L1842" s="1077" t="s">
        <v>4864</v>
      </c>
      <c r="M1842" s="1077">
        <v>149.5</v>
      </c>
      <c r="N1842" s="1077" t="s">
        <v>945</v>
      </c>
      <c r="O1842" s="1077">
        <v>3.7375000000000003</v>
      </c>
      <c r="P1842" s="1077">
        <v>2.99</v>
      </c>
      <c r="Q1842" s="1077">
        <v>4</v>
      </c>
      <c r="R1842" s="1077">
        <v>21</v>
      </c>
      <c r="T1842" s="1077">
        <v>37</v>
      </c>
      <c r="U1842" s="1077">
        <v>3.7</v>
      </c>
      <c r="V1842" s="1077" t="s">
        <v>648</v>
      </c>
      <c r="W1842" s="1077">
        <v>110</v>
      </c>
      <c r="X1842" s="1077">
        <v>40</v>
      </c>
      <c r="Y1842" s="1077">
        <v>2.2000000000000002</v>
      </c>
      <c r="Z1842" s="1077" t="s">
        <v>648</v>
      </c>
      <c r="AA1842" s="1077" t="s">
        <v>6078</v>
      </c>
      <c r="AH1842" s="1077" t="s">
        <v>614</v>
      </c>
      <c r="AM1842" s="1078" t="s">
        <v>12689</v>
      </c>
      <c r="AN1842" s="1078" t="s">
        <v>12690</v>
      </c>
      <c r="AO1842" s="1078">
        <f t="shared" si="230"/>
        <v>700</v>
      </c>
      <c r="AP1842" s="1078">
        <f t="shared" si="231"/>
        <v>1.77</v>
      </c>
      <c r="AQ1842" s="1078" t="str">
        <f t="shared" si="232"/>
        <v>1-4-1S85°Z+S</v>
      </c>
      <c r="AR1842" s="1078" t="str">
        <f t="shared" si="233"/>
        <v>NA</v>
      </c>
      <c r="AS1842" s="1078" t="str">
        <f t="shared" si="234"/>
        <v>187/OFF</v>
      </c>
      <c r="AT1842" s="1078" t="str">
        <f t="shared" si="235"/>
        <v>1-4-1S85°Z+S</v>
      </c>
      <c r="AU1842" s="1078" t="s">
        <v>15547</v>
      </c>
      <c r="AV1842" s="1078" t="str">
        <f t="shared" si="228"/>
        <v>111.3.15</v>
      </c>
      <c r="AW1842" s="1344">
        <f t="shared" si="229"/>
        <v>44635</v>
      </c>
    </row>
    <row r="1843" spans="1:49">
      <c r="A1843" s="1077" t="s">
        <v>6079</v>
      </c>
      <c r="B1843" s="1077" t="s">
        <v>210</v>
      </c>
      <c r="C1843" s="1077">
        <v>600</v>
      </c>
      <c r="D1843" s="1077">
        <v>1.75</v>
      </c>
      <c r="E1843" s="1077" t="s">
        <v>15094</v>
      </c>
      <c r="F1843" s="1077" t="s">
        <v>984</v>
      </c>
      <c r="G1843" s="1077">
        <v>5</v>
      </c>
      <c r="H1843" s="1077" t="s">
        <v>5480</v>
      </c>
      <c r="I1843" s="1077" t="s">
        <v>126</v>
      </c>
      <c r="J1843" s="1077">
        <v>0.7</v>
      </c>
      <c r="K1843" s="1077" t="s">
        <v>5632</v>
      </c>
      <c r="L1843" s="1077" t="s">
        <v>4666</v>
      </c>
      <c r="M1843" s="1077">
        <v>151.5</v>
      </c>
      <c r="N1843" s="1077" t="s">
        <v>945</v>
      </c>
      <c r="O1843" s="1077">
        <v>3.7875000000000001</v>
      </c>
      <c r="P1843" s="1077">
        <v>3.0300000000000002</v>
      </c>
      <c r="Q1843" s="1077">
        <v>4</v>
      </c>
      <c r="R1843" s="1077">
        <v>19.100000000000001</v>
      </c>
      <c r="T1843" s="1077">
        <v>23.7</v>
      </c>
      <c r="U1843" s="1077">
        <v>3.2</v>
      </c>
      <c r="V1843" s="1077" t="s">
        <v>648</v>
      </c>
      <c r="W1843" s="1077">
        <v>35</v>
      </c>
      <c r="X1843" s="1077">
        <v>10</v>
      </c>
      <c r="Y1843" s="1077">
        <v>1</v>
      </c>
      <c r="Z1843" s="1077">
        <v>6</v>
      </c>
      <c r="AA1843" s="1077" t="s">
        <v>3506</v>
      </c>
      <c r="AH1843" s="1077" t="s">
        <v>3213</v>
      </c>
      <c r="AM1843" s="1078" t="s">
        <v>12691</v>
      </c>
      <c r="AN1843" s="1078" t="s">
        <v>12692</v>
      </c>
      <c r="AO1843" s="1078">
        <f t="shared" si="230"/>
        <v>600</v>
      </c>
      <c r="AP1843" s="1078">
        <f t="shared" si="231"/>
        <v>1.75</v>
      </c>
      <c r="AQ1843" s="1078" t="str">
        <f t="shared" si="232"/>
        <v>1-5-1S91°</v>
      </c>
      <c r="AR1843" s="1078" t="str">
        <f t="shared" si="233"/>
        <v>30</v>
      </c>
      <c r="AS1843" s="1078" t="str">
        <f t="shared" si="234"/>
        <v>340/300/145</v>
      </c>
      <c r="AT1843" s="1078" t="str">
        <f t="shared" si="235"/>
        <v>1-5-1S91°</v>
      </c>
      <c r="AV1843" s="1078" t="str">
        <f t="shared" si="228"/>
        <v>112.4.7</v>
      </c>
      <c r="AW1843" s="1344">
        <f t="shared" si="229"/>
        <v>45023</v>
      </c>
    </row>
    <row r="1844" spans="1:49">
      <c r="A1844" s="1077" t="s">
        <v>6080</v>
      </c>
      <c r="B1844" s="1077" t="s">
        <v>844</v>
      </c>
      <c r="C1844" s="1077">
        <v>600</v>
      </c>
      <c r="D1844" s="1077">
        <v>1.76</v>
      </c>
      <c r="E1844" s="1077" t="s">
        <v>15094</v>
      </c>
      <c r="F1844" s="1077" t="s">
        <v>954</v>
      </c>
      <c r="G1844" s="1077">
        <v>5</v>
      </c>
      <c r="H1844" s="1077" t="s">
        <v>5126</v>
      </c>
      <c r="I1844" s="1077" t="s">
        <v>460</v>
      </c>
      <c r="J1844" s="1077">
        <v>3.9</v>
      </c>
      <c r="K1844" s="1077" t="s">
        <v>6081</v>
      </c>
      <c r="L1844" s="1077" t="s">
        <v>4907</v>
      </c>
      <c r="M1844" s="1077">
        <v>151.69999999999999</v>
      </c>
      <c r="N1844" s="1077" t="s">
        <v>945</v>
      </c>
      <c r="O1844" s="1077">
        <v>3.7925</v>
      </c>
      <c r="P1844" s="1077">
        <v>3.0339999999999998</v>
      </c>
      <c r="Q1844" s="1077">
        <v>3</v>
      </c>
      <c r="R1844" s="1077">
        <v>19.7</v>
      </c>
      <c r="T1844" s="1077">
        <v>11.5</v>
      </c>
      <c r="U1844" s="1077">
        <v>5.3</v>
      </c>
      <c r="V1844" s="1077" t="s">
        <v>648</v>
      </c>
      <c r="W1844" s="1077">
        <v>105</v>
      </c>
      <c r="X1844" s="1077">
        <v>95</v>
      </c>
      <c r="Y1844" s="1077">
        <v>1.5</v>
      </c>
      <c r="Z1844" s="1077">
        <v>5</v>
      </c>
      <c r="AA1844" s="1077" t="s">
        <v>3504</v>
      </c>
      <c r="AH1844" s="1077" t="s">
        <v>483</v>
      </c>
      <c r="AM1844" s="1078" t="s">
        <v>12693</v>
      </c>
      <c r="AN1844" s="1078" t="s">
        <v>12694</v>
      </c>
      <c r="AO1844" s="1078">
        <f t="shared" si="230"/>
        <v>600</v>
      </c>
      <c r="AP1844" s="1078">
        <f t="shared" si="231"/>
        <v>1.76</v>
      </c>
      <c r="AQ1844" s="1078" t="str">
        <f t="shared" si="232"/>
        <v>1-5-1S91°</v>
      </c>
      <c r="AR1844" s="1078" t="str">
        <f t="shared" si="233"/>
        <v>31</v>
      </c>
      <c r="AS1844" s="1078" t="str">
        <f t="shared" si="234"/>
        <v>300/300/140</v>
      </c>
      <c r="AT1844" s="1078" t="str">
        <f t="shared" si="235"/>
        <v>1-5-1S91°</v>
      </c>
      <c r="AV1844" s="1078" t="str">
        <f t="shared" si="228"/>
        <v>112.4.6</v>
      </c>
      <c r="AW1844" s="1344">
        <f t="shared" si="229"/>
        <v>45022</v>
      </c>
    </row>
    <row r="1845" spans="1:49">
      <c r="A1845" s="1077" t="s">
        <v>6082</v>
      </c>
      <c r="B1845" s="1077" t="s">
        <v>5012</v>
      </c>
      <c r="C1845" s="1077">
        <v>600</v>
      </c>
      <c r="D1845" s="1077">
        <v>1.68</v>
      </c>
      <c r="E1845" s="1077" t="s">
        <v>15114</v>
      </c>
      <c r="F1845" s="1077" t="s">
        <v>648</v>
      </c>
      <c r="G1845" s="1077">
        <v>4</v>
      </c>
      <c r="H1845" s="1077" t="s">
        <v>1484</v>
      </c>
      <c r="I1845" s="1077" t="s">
        <v>126</v>
      </c>
      <c r="J1845" s="1077">
        <v>0.8</v>
      </c>
      <c r="K1845" s="1077" t="s">
        <v>6083</v>
      </c>
      <c r="L1845" s="1077" t="s">
        <v>1787</v>
      </c>
      <c r="M1845" s="1077">
        <v>151</v>
      </c>
      <c r="N1845" s="1077" t="s">
        <v>945</v>
      </c>
      <c r="O1845" s="1077">
        <v>3.7750000000000004</v>
      </c>
      <c r="P1845" s="1077">
        <v>3.02</v>
      </c>
      <c r="Q1845" s="1077">
        <v>4</v>
      </c>
      <c r="R1845" s="1077">
        <v>21</v>
      </c>
      <c r="T1845" s="1077">
        <v>10.5</v>
      </c>
      <c r="U1845" s="1077">
        <v>4.3</v>
      </c>
      <c r="V1845" s="1077" t="s">
        <v>648</v>
      </c>
      <c r="W1845" s="1077">
        <v>85</v>
      </c>
      <c r="X1845" s="1077">
        <v>35</v>
      </c>
      <c r="Y1845" s="1077">
        <v>1.6</v>
      </c>
      <c r="Z1845" s="1077" t="s">
        <v>648</v>
      </c>
      <c r="AA1845" s="1077" t="s">
        <v>6084</v>
      </c>
      <c r="AH1845" s="1077" t="s">
        <v>853</v>
      </c>
      <c r="AM1845" s="1078" t="s">
        <v>12695</v>
      </c>
      <c r="AN1845" s="1078" t="s">
        <v>12696</v>
      </c>
      <c r="AO1845" s="1078">
        <f t="shared" si="230"/>
        <v>600</v>
      </c>
      <c r="AP1845" s="1078">
        <f t="shared" si="231"/>
        <v>1.68</v>
      </c>
      <c r="AQ1845" s="1078" t="str">
        <f t="shared" si="232"/>
        <v>1-4-1S85Z+S</v>
      </c>
      <c r="AR1845" s="1078" t="str">
        <f t="shared" si="233"/>
        <v>NA</v>
      </c>
      <c r="AS1845" s="1078" t="str">
        <f t="shared" si="234"/>
        <v>165/OFF</v>
      </c>
      <c r="AT1845" s="1078" t="str">
        <f t="shared" si="235"/>
        <v>1-4-1S85Z+S</v>
      </c>
      <c r="AV1845" s="1078" t="str">
        <f t="shared" si="228"/>
        <v>112.4.8</v>
      </c>
      <c r="AW1845" s="1344">
        <f t="shared" si="229"/>
        <v>45024</v>
      </c>
    </row>
    <row r="1846" spans="1:49">
      <c r="A1846" s="1077" t="s">
        <v>6085</v>
      </c>
      <c r="B1846" s="1077" t="s">
        <v>4950</v>
      </c>
      <c r="C1846" s="1077">
        <v>500</v>
      </c>
      <c r="D1846" s="1077">
        <v>1.78</v>
      </c>
      <c r="E1846" s="1077" t="s">
        <v>15099</v>
      </c>
      <c r="F1846" s="1077" t="s">
        <v>984</v>
      </c>
      <c r="G1846" s="1077">
        <v>5</v>
      </c>
      <c r="H1846" s="1077" t="s">
        <v>955</v>
      </c>
      <c r="I1846" s="1077" t="s">
        <v>126</v>
      </c>
      <c r="J1846" s="1077">
        <v>0.6</v>
      </c>
      <c r="K1846" s="1077" t="s">
        <v>6086</v>
      </c>
      <c r="L1846" s="1077" t="s">
        <v>4952</v>
      </c>
      <c r="M1846" s="1077">
        <v>152.5</v>
      </c>
      <c r="N1846" s="1077" t="s">
        <v>945</v>
      </c>
      <c r="O1846" s="1077">
        <v>3.8125</v>
      </c>
      <c r="P1846" s="1077">
        <v>3.0500000000000003</v>
      </c>
      <c r="Q1846" s="1077">
        <v>3</v>
      </c>
      <c r="R1846" s="1077">
        <v>28.5</v>
      </c>
      <c r="T1846" s="1077">
        <v>19.2</v>
      </c>
      <c r="U1846" s="1077">
        <v>5.0999999999999996</v>
      </c>
      <c r="V1846" s="1077" t="s">
        <v>648</v>
      </c>
      <c r="W1846" s="1077">
        <v>30</v>
      </c>
      <c r="X1846" s="1077">
        <v>10</v>
      </c>
      <c r="Y1846" s="1077">
        <v>1.6</v>
      </c>
      <c r="Z1846" s="1077">
        <v>7</v>
      </c>
      <c r="AA1846" s="1077" t="s">
        <v>4422</v>
      </c>
      <c r="AH1846" s="1077" t="s">
        <v>4208</v>
      </c>
      <c r="AM1846" s="1078" t="s">
        <v>12697</v>
      </c>
      <c r="AN1846" s="1078" t="s">
        <v>12698</v>
      </c>
      <c r="AO1846" s="1078">
        <f t="shared" si="230"/>
        <v>500</v>
      </c>
      <c r="AP1846" s="1078">
        <f t="shared" si="231"/>
        <v>1.78</v>
      </c>
      <c r="AQ1846" s="1078" t="str">
        <f t="shared" si="232"/>
        <v>1-5-1S87°</v>
      </c>
      <c r="AR1846" s="1078" t="str">
        <f t="shared" si="233"/>
        <v>30</v>
      </c>
      <c r="AS1846" s="1078" t="str">
        <f t="shared" si="234"/>
        <v>260/260/OFF</v>
      </c>
      <c r="AT1846" s="1078" t="str">
        <f t="shared" si="235"/>
        <v>1-5-1S87°</v>
      </c>
      <c r="AV1846" s="1078" t="str">
        <f t="shared" si="228"/>
        <v>112.4.11</v>
      </c>
      <c r="AW1846" s="1344">
        <f t="shared" si="229"/>
        <v>45027</v>
      </c>
    </row>
    <row r="1847" spans="1:49">
      <c r="A1847" s="1077" t="s">
        <v>6087</v>
      </c>
      <c r="B1847" s="1077" t="s">
        <v>847</v>
      </c>
      <c r="C1847" s="1077">
        <v>550</v>
      </c>
      <c r="D1847" s="1077">
        <v>1.77</v>
      </c>
      <c r="E1847" s="1077" t="s">
        <v>15119</v>
      </c>
      <c r="F1847" s="1077" t="s">
        <v>975</v>
      </c>
      <c r="G1847" s="1077">
        <v>4</v>
      </c>
      <c r="H1847" s="1077" t="s">
        <v>6088</v>
      </c>
      <c r="I1847" s="1077" t="s">
        <v>648</v>
      </c>
      <c r="J1847" s="1077">
        <v>0</v>
      </c>
      <c r="K1847" s="1077" t="s">
        <v>6089</v>
      </c>
      <c r="L1847" s="1077" t="s">
        <v>5037</v>
      </c>
      <c r="M1847" s="1077">
        <v>150</v>
      </c>
      <c r="N1847" s="1077" t="s">
        <v>945</v>
      </c>
      <c r="O1847" s="1077">
        <v>3.75</v>
      </c>
      <c r="P1847" s="1077">
        <v>3</v>
      </c>
      <c r="Q1847" s="1077">
        <v>3.5</v>
      </c>
      <c r="R1847" s="1077">
        <v>21.8</v>
      </c>
      <c r="T1847" s="1077">
        <v>19.5</v>
      </c>
      <c r="U1847" s="1077">
        <v>1.8</v>
      </c>
      <c r="V1847" s="1077" t="s">
        <v>648</v>
      </c>
      <c r="W1847" s="1077" t="s">
        <v>648</v>
      </c>
      <c r="X1847" s="1077" t="s">
        <v>648</v>
      </c>
      <c r="Y1847" s="1077">
        <v>2.1</v>
      </c>
      <c r="Z1847" s="1077">
        <v>5</v>
      </c>
      <c r="AA1847" s="1077" t="s">
        <v>4422</v>
      </c>
      <c r="AH1847" s="1077" t="s">
        <v>2055</v>
      </c>
      <c r="AM1847" s="1078" t="s">
        <v>12699</v>
      </c>
      <c r="AN1847" s="1078" t="s">
        <v>12700</v>
      </c>
      <c r="AO1847" s="1078">
        <f t="shared" si="230"/>
        <v>550</v>
      </c>
      <c r="AP1847" s="1078">
        <f t="shared" si="231"/>
        <v>1.77</v>
      </c>
      <c r="AQ1847" s="1078" t="str">
        <f t="shared" si="232"/>
        <v>1-5-1S87</v>
      </c>
      <c r="AR1847" s="1078" t="str">
        <f t="shared" si="233"/>
        <v>31.5</v>
      </c>
      <c r="AS1847" s="1078" t="str">
        <f t="shared" si="234"/>
        <v>310/310/155</v>
      </c>
      <c r="AT1847" s="1078" t="str">
        <f t="shared" si="235"/>
        <v>1-5-1S87</v>
      </c>
      <c r="AV1847" s="1078" t="str">
        <f t="shared" si="228"/>
        <v>112.4.11</v>
      </c>
      <c r="AW1847" s="1344">
        <f t="shared" si="229"/>
        <v>45027</v>
      </c>
    </row>
    <row r="1848" spans="1:49">
      <c r="A1848" s="1077" t="s">
        <v>6090</v>
      </c>
      <c r="B1848" s="1077" t="s">
        <v>210</v>
      </c>
      <c r="C1848" s="1077">
        <v>650</v>
      </c>
      <c r="D1848" s="1077">
        <v>1.7</v>
      </c>
      <c r="E1848" s="1077" t="s">
        <v>15094</v>
      </c>
      <c r="F1848" s="1077" t="s">
        <v>984</v>
      </c>
      <c r="G1848" s="1077">
        <v>5</v>
      </c>
      <c r="H1848" s="1077" t="s">
        <v>4806</v>
      </c>
      <c r="I1848" s="1077" t="s">
        <v>460</v>
      </c>
      <c r="J1848" s="1077">
        <v>3.2</v>
      </c>
      <c r="K1848" s="1077" t="s">
        <v>5560</v>
      </c>
      <c r="L1848" s="1077" t="s">
        <v>5332</v>
      </c>
      <c r="M1848" s="1077">
        <v>149.5</v>
      </c>
      <c r="N1848" s="1077" t="s">
        <v>945</v>
      </c>
      <c r="O1848" s="1077">
        <v>3.7375000000000003</v>
      </c>
      <c r="P1848" s="1077">
        <v>2.99</v>
      </c>
      <c r="Q1848" s="1077">
        <v>3.5</v>
      </c>
      <c r="R1848" s="1077">
        <v>21.5</v>
      </c>
      <c r="T1848" s="1077">
        <v>19.5</v>
      </c>
      <c r="U1848" s="1077">
        <v>2.9</v>
      </c>
      <c r="V1848" s="1077" t="s">
        <v>648</v>
      </c>
      <c r="W1848" s="1077">
        <v>100</v>
      </c>
      <c r="X1848" s="1077">
        <v>90</v>
      </c>
      <c r="Y1848" s="1077">
        <v>1.8</v>
      </c>
      <c r="Z1848" s="1077">
        <v>5.5</v>
      </c>
      <c r="AA1848" s="1077" t="s">
        <v>3513</v>
      </c>
      <c r="AB1848" s="1077" t="s">
        <v>981</v>
      </c>
      <c r="AH1848" s="1077" t="s">
        <v>994</v>
      </c>
      <c r="AM1848" s="1078" t="s">
        <v>12701</v>
      </c>
      <c r="AN1848" s="1078" t="s">
        <v>12702</v>
      </c>
      <c r="AO1848" s="1078">
        <f t="shared" si="230"/>
        <v>650</v>
      </c>
      <c r="AP1848" s="1078">
        <f t="shared" si="231"/>
        <v>1.7</v>
      </c>
      <c r="AQ1848" s="1078" t="str">
        <f t="shared" si="232"/>
        <v>1-5-1S91°</v>
      </c>
      <c r="AR1848" s="1078" t="str">
        <f t="shared" si="233"/>
        <v>30</v>
      </c>
      <c r="AS1848" s="1078" t="str">
        <f t="shared" si="234"/>
        <v>390/360/175</v>
      </c>
      <c r="AT1848" s="1078" t="str">
        <f t="shared" si="235"/>
        <v>1-5-1S91°</v>
      </c>
      <c r="AV1848" s="1078" t="str">
        <f t="shared" si="228"/>
        <v>112.4.17</v>
      </c>
      <c r="AW1848" s="1344">
        <f t="shared" si="229"/>
        <v>45033</v>
      </c>
    </row>
    <row r="1849" spans="1:49">
      <c r="A1849" s="1077" t="s">
        <v>6091</v>
      </c>
      <c r="B1849" s="1077" t="s">
        <v>844</v>
      </c>
      <c r="C1849" s="1077">
        <v>550</v>
      </c>
      <c r="D1849" s="1077">
        <v>1.756</v>
      </c>
      <c r="E1849" s="1077" t="s">
        <v>15102</v>
      </c>
      <c r="F1849" s="1077" t="s">
        <v>954</v>
      </c>
      <c r="G1849" s="1077">
        <v>5</v>
      </c>
      <c r="H1849" s="1077" t="s">
        <v>5744</v>
      </c>
      <c r="I1849" s="1077" t="s">
        <v>648</v>
      </c>
      <c r="J1849" s="1077">
        <v>0</v>
      </c>
      <c r="K1849" s="1077" t="s">
        <v>6092</v>
      </c>
      <c r="L1849" s="1077" t="s">
        <v>4907</v>
      </c>
      <c r="M1849" s="1077">
        <v>148.9</v>
      </c>
      <c r="N1849" s="1077" t="s">
        <v>945</v>
      </c>
      <c r="O1849" s="1077">
        <v>3.7225000000000001</v>
      </c>
      <c r="P1849" s="1077">
        <v>2.9780000000000002</v>
      </c>
      <c r="Q1849" s="1077" t="s">
        <v>2612</v>
      </c>
      <c r="R1849" s="1077">
        <v>23.5</v>
      </c>
      <c r="T1849" s="1077">
        <v>16.399999999999999</v>
      </c>
      <c r="U1849" s="1077">
        <v>4.5999999999999996</v>
      </c>
      <c r="V1849" s="1077" t="s">
        <v>648</v>
      </c>
      <c r="W1849" s="1077" t="s">
        <v>648</v>
      </c>
      <c r="X1849" s="1077" t="s">
        <v>648</v>
      </c>
      <c r="Y1849" s="1077">
        <v>1.6</v>
      </c>
      <c r="Z1849" s="1077" t="s">
        <v>6093</v>
      </c>
      <c r="AA1849" s="1077" t="s">
        <v>6094</v>
      </c>
      <c r="AH1849" s="1077" t="s">
        <v>1486</v>
      </c>
      <c r="AM1849" s="1078" t="s">
        <v>12703</v>
      </c>
      <c r="AN1849" s="1078" t="s">
        <v>12704</v>
      </c>
      <c r="AO1849" s="1078">
        <f t="shared" si="230"/>
        <v>550</v>
      </c>
      <c r="AP1849" s="1078">
        <f t="shared" si="231"/>
        <v>1.756</v>
      </c>
      <c r="AQ1849" s="1078" t="str">
        <f t="shared" si="232"/>
        <v>2-6-1S83°</v>
      </c>
      <c r="AR1849" s="1078" t="str">
        <f t="shared" si="233"/>
        <v>31</v>
      </c>
      <c r="AS1849" s="1078" t="str">
        <f t="shared" si="234"/>
        <v>164/140</v>
      </c>
      <c r="AT1849" s="1078" t="str">
        <f t="shared" si="235"/>
        <v>2-6-1S83°</v>
      </c>
      <c r="AV1849" s="1078" t="str">
        <f t="shared" si="228"/>
        <v>108.12.26</v>
      </c>
      <c r="AW1849" s="1344">
        <f t="shared" si="229"/>
        <v>43825</v>
      </c>
    </row>
    <row r="1850" spans="1:49">
      <c r="A1850" s="1077" t="s">
        <v>6095</v>
      </c>
      <c r="B1850" s="1077" t="s">
        <v>5068</v>
      </c>
      <c r="C1850" s="1077">
        <v>700</v>
      </c>
      <c r="D1850" s="1077">
        <v>1.75</v>
      </c>
      <c r="E1850" s="1077" t="s">
        <v>15104</v>
      </c>
      <c r="F1850" s="1077" t="s">
        <v>648</v>
      </c>
      <c r="G1850" s="1077">
        <v>5</v>
      </c>
      <c r="H1850" s="1077" t="s">
        <v>941</v>
      </c>
      <c r="I1850" s="1077" t="s">
        <v>643</v>
      </c>
      <c r="J1850" s="1077">
        <v>1.5</v>
      </c>
      <c r="K1850" s="1077" t="s">
        <v>5323</v>
      </c>
      <c r="L1850" s="1077" t="s">
        <v>1913</v>
      </c>
      <c r="M1850" s="1077">
        <v>150</v>
      </c>
      <c r="N1850" s="1077" t="s">
        <v>945</v>
      </c>
      <c r="O1850" s="1077">
        <v>3.75</v>
      </c>
      <c r="P1850" s="1077">
        <v>3</v>
      </c>
      <c r="Q1850" s="1077" t="s">
        <v>956</v>
      </c>
      <c r="R1850" s="1077">
        <v>20.8</v>
      </c>
      <c r="T1850" s="1077">
        <v>29.1</v>
      </c>
      <c r="U1850" s="1077">
        <v>3.4</v>
      </c>
      <c r="V1850" s="1077" t="s">
        <v>2520</v>
      </c>
      <c r="W1850" s="1077">
        <v>80</v>
      </c>
      <c r="X1850" s="1077">
        <v>60</v>
      </c>
      <c r="Y1850" s="1077">
        <v>1.5</v>
      </c>
      <c r="Z1850" s="1077" t="s">
        <v>648</v>
      </c>
      <c r="AA1850" s="1077" t="s">
        <v>3165</v>
      </c>
      <c r="AH1850" s="1077" t="s">
        <v>1417</v>
      </c>
      <c r="AM1850" s="1078" t="s">
        <v>12705</v>
      </c>
      <c r="AN1850" s="1078" t="s">
        <v>12706</v>
      </c>
      <c r="AO1850" s="1078">
        <f t="shared" si="230"/>
        <v>700</v>
      </c>
      <c r="AP1850" s="1078">
        <f t="shared" si="231"/>
        <v>1.75</v>
      </c>
      <c r="AQ1850" s="1078" t="str">
        <f t="shared" si="232"/>
        <v>1-4-1S85°Z+S</v>
      </c>
      <c r="AR1850" s="1078" t="str">
        <f t="shared" si="233"/>
        <v>NA</v>
      </c>
      <c r="AS1850" s="1078" t="str">
        <f t="shared" si="234"/>
        <v>185/OFF</v>
      </c>
      <c r="AT1850" s="1078" t="str">
        <f t="shared" si="235"/>
        <v>1-4-1S85°Z+S</v>
      </c>
      <c r="AU1850" s="1078" t="s">
        <v>15547</v>
      </c>
      <c r="AV1850" s="1078" t="str">
        <f t="shared" si="228"/>
        <v>109.4.1</v>
      </c>
      <c r="AW1850" s="1344">
        <f t="shared" si="229"/>
        <v>43922</v>
      </c>
    </row>
    <row r="1851" spans="1:49">
      <c r="A1851" s="1077" t="s">
        <v>6096</v>
      </c>
      <c r="B1851" s="1077" t="s">
        <v>788</v>
      </c>
      <c r="C1851" s="1077">
        <v>650</v>
      </c>
      <c r="D1851" s="1077">
        <v>1.74</v>
      </c>
      <c r="E1851" s="1077" t="s">
        <v>15104</v>
      </c>
      <c r="F1851" s="1077" t="s">
        <v>648</v>
      </c>
      <c r="G1851" s="1077">
        <v>5</v>
      </c>
      <c r="H1851" s="1077" t="s">
        <v>1048</v>
      </c>
      <c r="I1851" s="1077" t="s">
        <v>648</v>
      </c>
      <c r="J1851" s="1077">
        <v>0</v>
      </c>
      <c r="K1851" s="1077" t="s">
        <v>5669</v>
      </c>
      <c r="L1851" s="1077" t="s">
        <v>1938</v>
      </c>
      <c r="M1851" s="1077">
        <v>151.5</v>
      </c>
      <c r="N1851" s="1077" t="s">
        <v>945</v>
      </c>
      <c r="O1851" s="1077">
        <v>3.7875000000000001</v>
      </c>
      <c r="P1851" s="1077">
        <v>3.0300000000000002</v>
      </c>
      <c r="Q1851" s="1077" t="s">
        <v>946</v>
      </c>
      <c r="R1851" s="1077">
        <v>21.5</v>
      </c>
      <c r="T1851" s="1077">
        <v>45</v>
      </c>
      <c r="U1851" s="1077">
        <v>3.5</v>
      </c>
      <c r="V1851" s="1077" t="s">
        <v>648</v>
      </c>
      <c r="W1851" s="1077" t="s">
        <v>648</v>
      </c>
      <c r="X1851" s="1077" t="s">
        <v>648</v>
      </c>
      <c r="Y1851" s="1077">
        <v>2</v>
      </c>
      <c r="Z1851" s="1077" t="s">
        <v>648</v>
      </c>
      <c r="AA1851" s="1077" t="s">
        <v>4715</v>
      </c>
      <c r="AH1851" s="1077" t="s">
        <v>3028</v>
      </c>
      <c r="AM1851" s="1078" t="s">
        <v>12707</v>
      </c>
      <c r="AN1851" s="1078" t="s">
        <v>12708</v>
      </c>
      <c r="AO1851" s="1078">
        <f t="shared" si="230"/>
        <v>650</v>
      </c>
      <c r="AP1851" s="1078">
        <f t="shared" si="231"/>
        <v>1.74</v>
      </c>
      <c r="AQ1851" s="1078" t="str">
        <f t="shared" si="232"/>
        <v>1-4-1S85°Z+S</v>
      </c>
      <c r="AR1851" s="1078" t="str">
        <f t="shared" si="233"/>
        <v>NA</v>
      </c>
      <c r="AS1851" s="1078" t="str">
        <f t="shared" si="234"/>
        <v>188/OFF</v>
      </c>
      <c r="AT1851" s="1078" t="str">
        <f t="shared" si="235"/>
        <v>1-4-1S85°Z+S</v>
      </c>
      <c r="AU1851" s="1078" t="s">
        <v>15547</v>
      </c>
      <c r="AV1851" s="1078" t="str">
        <f t="shared" si="228"/>
        <v>109.8.6</v>
      </c>
      <c r="AW1851" s="1344">
        <f t="shared" si="229"/>
        <v>44049</v>
      </c>
    </row>
    <row r="1852" spans="1:49">
      <c r="A1852" s="1077" t="s">
        <v>6097</v>
      </c>
      <c r="B1852" s="1077" t="s">
        <v>5678</v>
      </c>
      <c r="C1852" s="1077">
        <v>600</v>
      </c>
      <c r="D1852" s="1077">
        <v>1.65</v>
      </c>
      <c r="E1852" s="1077" t="s">
        <v>15104</v>
      </c>
      <c r="F1852" s="1077" t="s">
        <v>648</v>
      </c>
      <c r="G1852" s="1077">
        <v>5</v>
      </c>
      <c r="H1852" s="1077" t="s">
        <v>1470</v>
      </c>
      <c r="I1852" s="1077" t="s">
        <v>460</v>
      </c>
      <c r="J1852" s="1077">
        <v>3.3</v>
      </c>
      <c r="K1852" s="1077" t="s">
        <v>6098</v>
      </c>
      <c r="L1852" s="1077" t="s">
        <v>5680</v>
      </c>
      <c r="M1852" s="1077">
        <v>159.69999999999999</v>
      </c>
      <c r="N1852" s="1077" t="s">
        <v>945</v>
      </c>
      <c r="O1852" s="1077">
        <v>3.9924999999999997</v>
      </c>
      <c r="P1852" s="1077">
        <v>3.194</v>
      </c>
      <c r="Q1852" s="1077">
        <v>3</v>
      </c>
      <c r="R1852" s="1077">
        <v>25.6</v>
      </c>
      <c r="T1852" s="1077">
        <v>33.9</v>
      </c>
      <c r="U1852" s="1077">
        <v>6.3</v>
      </c>
      <c r="V1852" s="1077" t="s">
        <v>648</v>
      </c>
      <c r="W1852" s="1077">
        <v>110</v>
      </c>
      <c r="X1852" s="1077">
        <v>95</v>
      </c>
      <c r="Y1852" s="1077">
        <v>1.5</v>
      </c>
      <c r="Z1852" s="1077" t="s">
        <v>648</v>
      </c>
      <c r="AA1852" s="1077" t="s">
        <v>2478</v>
      </c>
      <c r="AH1852" s="1077" t="s">
        <v>646</v>
      </c>
      <c r="AM1852" s="1078" t="s">
        <v>12709</v>
      </c>
      <c r="AN1852" s="1078" t="s">
        <v>12710</v>
      </c>
      <c r="AO1852" s="1078">
        <f t="shared" si="230"/>
        <v>600</v>
      </c>
      <c r="AP1852" s="1078">
        <f t="shared" si="231"/>
        <v>1.65</v>
      </c>
      <c r="AQ1852" s="1078" t="str">
        <f t="shared" si="232"/>
        <v>1-4-1S85°Z+S</v>
      </c>
      <c r="AR1852" s="1078" t="str">
        <f t="shared" si="233"/>
        <v>NA</v>
      </c>
      <c r="AS1852" s="1078" t="str">
        <f t="shared" si="234"/>
        <v>160/OFF</v>
      </c>
      <c r="AT1852" s="1078" t="str">
        <f t="shared" si="235"/>
        <v>1-4-1S85°Z+S</v>
      </c>
      <c r="AU1852" s="1078" t="s">
        <v>15547</v>
      </c>
      <c r="AV1852" s="1078" t="str">
        <f t="shared" si="228"/>
        <v>109.12.25</v>
      </c>
      <c r="AW1852" s="1344">
        <f t="shared" si="229"/>
        <v>44190</v>
      </c>
    </row>
    <row r="1853" spans="1:49">
      <c r="A1853" s="1077" t="s">
        <v>6099</v>
      </c>
      <c r="B1853" s="1077" t="s">
        <v>5654</v>
      </c>
      <c r="C1853" s="1077">
        <v>600</v>
      </c>
      <c r="D1853" s="1077">
        <v>1.78</v>
      </c>
      <c r="E1853" s="1077" t="s">
        <v>15094</v>
      </c>
      <c r="F1853" s="1077" t="s">
        <v>984</v>
      </c>
      <c r="G1853" s="1077">
        <v>5</v>
      </c>
      <c r="H1853" s="1077" t="s">
        <v>6100</v>
      </c>
      <c r="I1853" s="1077" t="s">
        <v>126</v>
      </c>
      <c r="J1853" s="1077">
        <v>1.3</v>
      </c>
      <c r="K1853" s="1077" t="s">
        <v>5978</v>
      </c>
      <c r="L1853" s="1077" t="s">
        <v>5808</v>
      </c>
      <c r="M1853" s="1077">
        <v>149.5</v>
      </c>
      <c r="N1853" s="1077" t="s">
        <v>945</v>
      </c>
      <c r="O1853" s="1077">
        <v>3.7375000000000003</v>
      </c>
      <c r="P1853" s="1077">
        <v>2.99</v>
      </c>
      <c r="Q1853" s="1077">
        <v>3.5</v>
      </c>
      <c r="R1853" s="1077">
        <v>25</v>
      </c>
      <c r="T1853" s="1077">
        <v>16</v>
      </c>
      <c r="U1853" s="1077">
        <v>4</v>
      </c>
      <c r="V1853" s="1077" t="s">
        <v>648</v>
      </c>
      <c r="W1853" s="1077" t="s">
        <v>6101</v>
      </c>
      <c r="X1853" s="1077">
        <v>10</v>
      </c>
      <c r="Y1853" s="1077">
        <v>1.4</v>
      </c>
      <c r="Z1853" s="1077">
        <v>6</v>
      </c>
      <c r="AA1853" s="1077" t="s">
        <v>6021</v>
      </c>
      <c r="AH1853" s="1077" t="s">
        <v>3213</v>
      </c>
      <c r="AM1853" s="1078" t="s">
        <v>12711</v>
      </c>
      <c r="AN1853" s="1078" t="s">
        <v>12712</v>
      </c>
      <c r="AO1853" s="1078">
        <f t="shared" si="230"/>
        <v>600</v>
      </c>
      <c r="AP1853" s="1078">
        <f t="shared" si="231"/>
        <v>1.78</v>
      </c>
      <c r="AQ1853" s="1078" t="str">
        <f t="shared" si="232"/>
        <v>1-5-1S91°</v>
      </c>
      <c r="AR1853" s="1078" t="str">
        <f t="shared" si="233"/>
        <v>30</v>
      </c>
      <c r="AS1853" s="1078" t="str">
        <f t="shared" si="234"/>
        <v>300/300/150</v>
      </c>
      <c r="AT1853" s="1078" t="str">
        <f t="shared" si="235"/>
        <v>1-5-1S91°</v>
      </c>
      <c r="AV1853" s="1078" t="str">
        <f t="shared" si="228"/>
        <v>110.2.5</v>
      </c>
      <c r="AW1853" s="1344">
        <f t="shared" si="229"/>
        <v>44232</v>
      </c>
    </row>
    <row r="1854" spans="1:49">
      <c r="A1854" s="1077" t="s">
        <v>6102</v>
      </c>
      <c r="B1854" s="1077" t="s">
        <v>5157</v>
      </c>
      <c r="C1854" s="1077">
        <v>650</v>
      </c>
      <c r="D1854" s="1077">
        <v>1.76</v>
      </c>
      <c r="E1854" s="1077" t="s">
        <v>15094</v>
      </c>
      <c r="F1854" s="1077" t="s">
        <v>984</v>
      </c>
      <c r="G1854" s="1077">
        <v>5</v>
      </c>
      <c r="H1854" s="1077" t="s">
        <v>2130</v>
      </c>
      <c r="I1854" s="1077" t="s">
        <v>460</v>
      </c>
      <c r="J1854" s="1077">
        <v>2.5</v>
      </c>
      <c r="K1854" s="1077" t="s">
        <v>6103</v>
      </c>
      <c r="L1854" s="1077" t="s">
        <v>5159</v>
      </c>
      <c r="M1854" s="1077">
        <v>152</v>
      </c>
      <c r="N1854" s="1077" t="s">
        <v>945</v>
      </c>
      <c r="O1854" s="1077">
        <v>3.8000000000000003</v>
      </c>
      <c r="P1854" s="1077">
        <v>3.04</v>
      </c>
      <c r="Q1854" s="1077" t="s">
        <v>1005</v>
      </c>
      <c r="R1854" s="1077">
        <v>28</v>
      </c>
      <c r="T1854" s="1077">
        <v>7.2</v>
      </c>
      <c r="U1854" s="1077">
        <v>6.1</v>
      </c>
      <c r="V1854" s="1077" t="s">
        <v>648</v>
      </c>
      <c r="W1854" s="1077">
        <v>100</v>
      </c>
      <c r="X1854" s="1077">
        <v>80</v>
      </c>
      <c r="Y1854" s="1077">
        <v>1.5</v>
      </c>
      <c r="Z1854" s="1077" t="s">
        <v>6104</v>
      </c>
      <c r="AA1854" s="1077" t="s">
        <v>2961</v>
      </c>
      <c r="AH1854" s="1077" t="s">
        <v>838</v>
      </c>
      <c r="AM1854" s="1078" t="s">
        <v>12713</v>
      </c>
      <c r="AN1854" s="1078" t="s">
        <v>12714</v>
      </c>
      <c r="AO1854" s="1078">
        <f t="shared" si="230"/>
        <v>650</v>
      </c>
      <c r="AP1854" s="1078">
        <f t="shared" si="231"/>
        <v>1.76</v>
      </c>
      <c r="AQ1854" s="1078" t="str">
        <f t="shared" si="232"/>
        <v>1-5-1S91°</v>
      </c>
      <c r="AR1854" s="1078" t="str">
        <f t="shared" si="233"/>
        <v>30</v>
      </c>
      <c r="AS1854" s="1078" t="str">
        <f t="shared" si="234"/>
        <v>270/270/150</v>
      </c>
      <c r="AT1854" s="1078" t="str">
        <f t="shared" si="235"/>
        <v>1-5-1S91°</v>
      </c>
      <c r="AV1854" s="1078" t="str">
        <f t="shared" si="228"/>
        <v>109.4.23</v>
      </c>
      <c r="AW1854" s="1344">
        <f t="shared" si="229"/>
        <v>43944</v>
      </c>
    </row>
    <row r="1855" spans="1:49">
      <c r="A1855" s="1077" t="s">
        <v>6105</v>
      </c>
      <c r="B1855" s="1077" t="s">
        <v>210</v>
      </c>
      <c r="C1855" s="1077">
        <v>700</v>
      </c>
      <c r="D1855" s="1077">
        <v>1.74</v>
      </c>
      <c r="E1855" s="1077" t="s">
        <v>15094</v>
      </c>
      <c r="F1855" s="1077" t="s">
        <v>984</v>
      </c>
      <c r="G1855" s="1077">
        <v>5</v>
      </c>
      <c r="H1855" s="1077" t="s">
        <v>5300</v>
      </c>
      <c r="I1855" s="1077" t="s">
        <v>126</v>
      </c>
      <c r="J1855" s="1077">
        <v>0.7</v>
      </c>
      <c r="K1855" s="1077" t="s">
        <v>6106</v>
      </c>
      <c r="L1855" s="1077" t="s">
        <v>4666</v>
      </c>
      <c r="M1855" s="1077">
        <v>151.5</v>
      </c>
      <c r="N1855" s="1077" t="s">
        <v>945</v>
      </c>
      <c r="O1855" s="1077">
        <v>3.7875000000000001</v>
      </c>
      <c r="P1855" s="1077">
        <v>3.0300000000000002</v>
      </c>
      <c r="Q1855" s="1077">
        <v>4</v>
      </c>
      <c r="R1855" s="1077">
        <v>19.100000000000001</v>
      </c>
      <c r="T1855" s="1077">
        <v>23.7</v>
      </c>
      <c r="U1855" s="1077">
        <v>3.2</v>
      </c>
      <c r="V1855" s="1077" t="s">
        <v>648</v>
      </c>
      <c r="W1855" s="1077">
        <v>35</v>
      </c>
      <c r="X1855" s="1077">
        <v>10</v>
      </c>
      <c r="Y1855" s="1077">
        <v>1</v>
      </c>
      <c r="Z1855" s="1077">
        <v>6</v>
      </c>
      <c r="AA1855" s="1077" t="s">
        <v>3546</v>
      </c>
      <c r="AB1855" s="1077" t="s">
        <v>4165</v>
      </c>
      <c r="AH1855" s="1077" t="s">
        <v>877</v>
      </c>
      <c r="AM1855" s="1078" t="s">
        <v>12715</v>
      </c>
      <c r="AN1855" s="1078" t="s">
        <v>12716</v>
      </c>
      <c r="AO1855" s="1078">
        <f t="shared" si="230"/>
        <v>700</v>
      </c>
      <c r="AP1855" s="1078">
        <f t="shared" si="231"/>
        <v>1.74</v>
      </c>
      <c r="AQ1855" s="1078" t="str">
        <f t="shared" si="232"/>
        <v>1-5-1S91°</v>
      </c>
      <c r="AR1855" s="1078" t="str">
        <f t="shared" si="233"/>
        <v>30</v>
      </c>
      <c r="AS1855" s="1078" t="str">
        <f t="shared" si="234"/>
        <v>370/330/155</v>
      </c>
      <c r="AT1855" s="1078" t="str">
        <f t="shared" si="235"/>
        <v>1-5-1S91°</v>
      </c>
      <c r="AV1855" s="1078" t="str">
        <f t="shared" si="228"/>
        <v>110.6.22</v>
      </c>
      <c r="AW1855" s="1344">
        <f t="shared" si="229"/>
        <v>44369</v>
      </c>
    </row>
    <row r="1856" spans="1:49">
      <c r="A1856" s="1077" t="s">
        <v>6107</v>
      </c>
      <c r="B1856" s="1077" t="s">
        <v>617</v>
      </c>
      <c r="C1856" s="1077">
        <v>650</v>
      </c>
      <c r="D1856" s="1077">
        <v>1.7250000000000001</v>
      </c>
      <c r="E1856" s="1077" t="s">
        <v>15094</v>
      </c>
      <c r="F1856" s="1077" t="s">
        <v>984</v>
      </c>
      <c r="G1856" s="1077">
        <v>5</v>
      </c>
      <c r="H1856" s="1077" t="s">
        <v>1793</v>
      </c>
      <c r="I1856" s="1077" t="s">
        <v>126</v>
      </c>
      <c r="J1856" s="1077">
        <v>2.2000000000000002</v>
      </c>
      <c r="K1856" s="1077" t="s">
        <v>5757</v>
      </c>
      <c r="L1856" s="1077" t="s">
        <v>4854</v>
      </c>
      <c r="M1856" s="1077">
        <v>150.30000000000001</v>
      </c>
      <c r="N1856" s="1077" t="s">
        <v>945</v>
      </c>
      <c r="O1856" s="1077">
        <v>3.7575000000000003</v>
      </c>
      <c r="P1856" s="1077">
        <v>3.0060000000000002</v>
      </c>
      <c r="Q1856" s="1077">
        <v>3</v>
      </c>
      <c r="R1856" s="1077">
        <v>29</v>
      </c>
      <c r="T1856" s="1077">
        <v>13</v>
      </c>
      <c r="U1856" s="1077">
        <v>7</v>
      </c>
      <c r="V1856" s="1077" t="s">
        <v>648</v>
      </c>
      <c r="W1856" s="1077">
        <v>115</v>
      </c>
      <c r="X1856" s="1077">
        <v>50</v>
      </c>
      <c r="Y1856" s="1077">
        <v>1.7</v>
      </c>
      <c r="Z1856" s="1077">
        <v>6.5</v>
      </c>
      <c r="AA1856" s="1077" t="s">
        <v>6108</v>
      </c>
      <c r="AH1856" s="1077" t="s">
        <v>4208</v>
      </c>
      <c r="AM1856" s="1078" t="s">
        <v>12717</v>
      </c>
      <c r="AN1856" s="1078" t="s">
        <v>12718</v>
      </c>
      <c r="AO1856" s="1078">
        <f t="shared" si="230"/>
        <v>650</v>
      </c>
      <c r="AP1856" s="1078">
        <f t="shared" si="231"/>
        <v>1.7250000000000001</v>
      </c>
      <c r="AQ1856" s="1078" t="str">
        <f t="shared" si="232"/>
        <v>1-5-1S91°</v>
      </c>
      <c r="AR1856" s="1078" t="str">
        <f t="shared" si="233"/>
        <v>30</v>
      </c>
      <c r="AS1856" s="1078" t="str">
        <f t="shared" si="234"/>
        <v>270/270/OFF</v>
      </c>
      <c r="AT1856" s="1078" t="str">
        <f t="shared" si="235"/>
        <v>1-5-1S91°</v>
      </c>
      <c r="AV1856" s="1078" t="str">
        <f t="shared" si="228"/>
        <v>110.8.9</v>
      </c>
      <c r="AW1856" s="1344">
        <f t="shared" si="229"/>
        <v>44417</v>
      </c>
    </row>
    <row r="1857" spans="1:49">
      <c r="A1857" s="1077" t="s">
        <v>6109</v>
      </c>
      <c r="B1857" s="1077" t="s">
        <v>5520</v>
      </c>
      <c r="C1857" s="1077">
        <v>650</v>
      </c>
      <c r="D1857" s="1077">
        <v>1.7250000000000001</v>
      </c>
      <c r="E1857" s="1077" t="s">
        <v>15109</v>
      </c>
      <c r="F1857" s="1077" t="s">
        <v>648</v>
      </c>
      <c r="G1857" s="1077">
        <v>5</v>
      </c>
      <c r="H1857" s="1077" t="s">
        <v>2192</v>
      </c>
      <c r="I1857" s="1077" t="s">
        <v>126</v>
      </c>
      <c r="J1857" s="1077">
        <v>1.3</v>
      </c>
      <c r="K1857" s="1077" t="s">
        <v>4836</v>
      </c>
      <c r="L1857" s="1077" t="s">
        <v>1776</v>
      </c>
      <c r="M1857" s="1077">
        <v>148</v>
      </c>
      <c r="N1857" s="1077" t="s">
        <v>945</v>
      </c>
      <c r="O1857" s="1077">
        <v>3.7</v>
      </c>
      <c r="P1857" s="1077">
        <v>2.96</v>
      </c>
      <c r="Q1857" s="1077">
        <v>4</v>
      </c>
      <c r="R1857" s="1077">
        <v>20.8</v>
      </c>
      <c r="T1857" s="1077">
        <v>20.399999999999999</v>
      </c>
      <c r="U1857" s="1077">
        <v>3.8</v>
      </c>
      <c r="V1857" s="1077" t="s">
        <v>648</v>
      </c>
      <c r="W1857" s="1077">
        <v>110</v>
      </c>
      <c r="X1857" s="1077">
        <v>60</v>
      </c>
      <c r="Y1857" s="1077">
        <v>1.7</v>
      </c>
      <c r="Z1857" s="1077" t="s">
        <v>648</v>
      </c>
      <c r="AA1857" s="1077" t="s">
        <v>6110</v>
      </c>
      <c r="AH1857" s="1077" t="s">
        <v>1053</v>
      </c>
      <c r="AM1857" s="1078" t="s">
        <v>12719</v>
      </c>
      <c r="AN1857" s="1078" t="s">
        <v>12720</v>
      </c>
      <c r="AO1857" s="1078">
        <f t="shared" si="230"/>
        <v>650</v>
      </c>
      <c r="AP1857" s="1078">
        <f t="shared" si="231"/>
        <v>1.7250000000000001</v>
      </c>
      <c r="AQ1857" s="1078" t="str">
        <f t="shared" si="232"/>
        <v>1-5-1S85°Z+S</v>
      </c>
      <c r="AR1857" s="1078" t="str">
        <f t="shared" si="233"/>
        <v>NA</v>
      </c>
      <c r="AS1857" s="1078" t="str">
        <f t="shared" si="234"/>
        <v>180/OFF</v>
      </c>
      <c r="AT1857" s="1078" t="str">
        <f t="shared" si="235"/>
        <v>1-5-1S85°Z+S</v>
      </c>
      <c r="AU1857" s="1078" t="s">
        <v>15547</v>
      </c>
      <c r="AV1857" s="1078" t="str">
        <f t="shared" si="228"/>
        <v>110.10.25</v>
      </c>
      <c r="AW1857" s="1344">
        <f t="shared" si="229"/>
        <v>44494</v>
      </c>
    </row>
    <row r="1858" spans="1:49">
      <c r="A1858" s="1077" t="s">
        <v>6111</v>
      </c>
      <c r="B1858" s="1077" t="s">
        <v>886</v>
      </c>
      <c r="C1858" s="1077">
        <v>600</v>
      </c>
      <c r="D1858" s="1077">
        <v>1.7549999999999999</v>
      </c>
      <c r="E1858" s="1077" t="s">
        <v>15094</v>
      </c>
      <c r="F1858" s="1077" t="s">
        <v>2234</v>
      </c>
      <c r="G1858" s="1077">
        <v>5</v>
      </c>
      <c r="H1858" s="1077" t="s">
        <v>2570</v>
      </c>
      <c r="I1858" s="1077" t="s">
        <v>126</v>
      </c>
      <c r="J1858" s="1077">
        <v>2.5</v>
      </c>
      <c r="K1858" s="1077" t="s">
        <v>5555</v>
      </c>
      <c r="L1858" s="1077" t="s">
        <v>5556</v>
      </c>
      <c r="M1858" s="1077">
        <v>152</v>
      </c>
      <c r="N1858" s="1077" t="s">
        <v>945</v>
      </c>
      <c r="O1858" s="1077">
        <v>3.8000000000000003</v>
      </c>
      <c r="P1858" s="1077">
        <v>3.04</v>
      </c>
      <c r="Q1858" s="1077">
        <v>4</v>
      </c>
      <c r="R1858" s="1077">
        <v>23.5</v>
      </c>
      <c r="T1858" s="1077">
        <v>30</v>
      </c>
      <c r="U1858" s="1077">
        <v>3.5</v>
      </c>
      <c r="V1858" s="1077" t="s">
        <v>648</v>
      </c>
      <c r="W1858" s="1077">
        <v>115</v>
      </c>
      <c r="X1858" s="1077">
        <v>50</v>
      </c>
      <c r="Y1858" s="1077">
        <v>1.5</v>
      </c>
      <c r="Z1858" s="1077">
        <v>7</v>
      </c>
      <c r="AA1858" s="1077" t="s">
        <v>6112</v>
      </c>
      <c r="AH1858" s="1077" t="s">
        <v>622</v>
      </c>
      <c r="AM1858" s="1078" t="s">
        <v>12721</v>
      </c>
      <c r="AN1858" s="1078" t="s">
        <v>9197</v>
      </c>
      <c r="AO1858" s="1078">
        <f t="shared" si="230"/>
        <v>600</v>
      </c>
      <c r="AP1858" s="1078">
        <f t="shared" si="231"/>
        <v>1.7549999999999999</v>
      </c>
      <c r="AQ1858" s="1078" t="str">
        <f t="shared" si="232"/>
        <v>1-5-1S91°</v>
      </c>
      <c r="AR1858" s="1078" t="str">
        <f t="shared" si="233"/>
        <v>33.5</v>
      </c>
      <c r="AS1858" s="1078" t="str">
        <f t="shared" si="234"/>
        <v>330/330/OFF</v>
      </c>
      <c r="AT1858" s="1078" t="str">
        <f t="shared" si="235"/>
        <v>1-5-1S91°</v>
      </c>
      <c r="AV1858" s="1078" t="str">
        <f t="shared" ref="AV1858:AV1921" si="236">AA1858</f>
        <v>110.11.25</v>
      </c>
      <c r="AW1858" s="1344">
        <f t="shared" si="229"/>
        <v>44525</v>
      </c>
    </row>
    <row r="1859" spans="1:49">
      <c r="A1859" s="1077" t="s">
        <v>6113</v>
      </c>
      <c r="B1859" s="1077" t="s">
        <v>4729</v>
      </c>
      <c r="C1859" s="1077">
        <v>700</v>
      </c>
      <c r="D1859" s="1077">
        <v>1.73</v>
      </c>
      <c r="E1859" s="1077" t="s">
        <v>15111</v>
      </c>
      <c r="F1859" s="1077" t="s">
        <v>984</v>
      </c>
      <c r="G1859" s="1077">
        <v>5</v>
      </c>
      <c r="H1859" s="1077" t="s">
        <v>5432</v>
      </c>
      <c r="I1859" s="1077" t="s">
        <v>126</v>
      </c>
      <c r="J1859" s="1077">
        <v>1.6</v>
      </c>
      <c r="K1859" s="1077" t="s">
        <v>5919</v>
      </c>
      <c r="L1859" s="1077" t="s">
        <v>4731</v>
      </c>
      <c r="M1859" s="1077">
        <v>153</v>
      </c>
      <c r="N1859" s="1077" t="s">
        <v>945</v>
      </c>
      <c r="O1859" s="1077">
        <v>3.8250000000000002</v>
      </c>
      <c r="P1859" s="1077">
        <v>3.06</v>
      </c>
      <c r="Q1859" s="1077">
        <v>4</v>
      </c>
      <c r="R1859" s="1077">
        <v>20.5</v>
      </c>
      <c r="T1859" s="1077">
        <v>11.5</v>
      </c>
      <c r="U1859" s="1077">
        <v>3.7</v>
      </c>
      <c r="V1859" s="1077" t="s">
        <v>648</v>
      </c>
      <c r="W1859" s="1077">
        <v>80</v>
      </c>
      <c r="X1859" s="1077">
        <v>20</v>
      </c>
      <c r="Y1859" s="1077">
        <v>1.7</v>
      </c>
      <c r="Z1859" s="1077">
        <v>5</v>
      </c>
      <c r="AA1859" s="1077" t="s">
        <v>4425</v>
      </c>
      <c r="AH1859" s="1077" t="s">
        <v>958</v>
      </c>
      <c r="AM1859" s="1078" t="s">
        <v>12722</v>
      </c>
      <c r="AN1859" s="1078" t="s">
        <v>12723</v>
      </c>
      <c r="AO1859" s="1078">
        <f t="shared" si="230"/>
        <v>700</v>
      </c>
      <c r="AP1859" s="1078">
        <f t="shared" si="231"/>
        <v>1.73</v>
      </c>
      <c r="AQ1859" s="1078" t="str">
        <f t="shared" si="232"/>
        <v>1-5-1S91</v>
      </c>
      <c r="AR1859" s="1078" t="str">
        <f t="shared" si="233"/>
        <v>30</v>
      </c>
      <c r="AS1859" s="1078" t="str">
        <f t="shared" si="234"/>
        <v>330/330/170</v>
      </c>
      <c r="AT1859" s="1078" t="str">
        <f t="shared" si="235"/>
        <v>1-5-1S91</v>
      </c>
      <c r="AV1859" s="1078" t="str">
        <f t="shared" si="236"/>
        <v>112.4.18</v>
      </c>
      <c r="AW1859" s="1344">
        <f t="shared" ref="AW1859:AW1922" si="237">DATE(VALUE(LEFT(AV1859,FIND(".",AV1859)-1))+1911,
       VALUE(MID(AV1859,FIND(".",AV1859)+1,FIND(".",AV1859,FIND(".",AV1859)+1)-FIND(".",AV1859)-1)),
       VALUE(RIGHT(AV1859,LEN(AV1859)-FIND("~",SUBSTITUTE(AV1859,".","~",2)))))</f>
        <v>45034</v>
      </c>
    </row>
    <row r="1860" spans="1:49">
      <c r="A1860" s="1077" t="s">
        <v>6114</v>
      </c>
      <c r="B1860" s="1077" t="s">
        <v>757</v>
      </c>
      <c r="C1860" s="1077" t="s">
        <v>6115</v>
      </c>
      <c r="D1860" s="1077">
        <v>1.76</v>
      </c>
      <c r="E1860" s="1077" t="s">
        <v>15119</v>
      </c>
      <c r="F1860" s="1077" t="s">
        <v>975</v>
      </c>
      <c r="G1860" s="1077">
        <v>4</v>
      </c>
      <c r="H1860" s="1077" t="s">
        <v>6116</v>
      </c>
      <c r="I1860" s="1077" t="s">
        <v>126</v>
      </c>
      <c r="J1860" s="1077">
        <v>3.3</v>
      </c>
      <c r="K1860" s="1077" t="s">
        <v>6117</v>
      </c>
      <c r="L1860" s="1077" t="s">
        <v>6118</v>
      </c>
      <c r="M1860" s="1077">
        <v>148.5</v>
      </c>
      <c r="N1860" s="1077" t="s">
        <v>945</v>
      </c>
      <c r="O1860" s="1077">
        <v>3.7125000000000004</v>
      </c>
      <c r="P1860" s="1077">
        <v>2.97</v>
      </c>
      <c r="Q1860" s="1077" t="s">
        <v>2553</v>
      </c>
      <c r="R1860" s="1077">
        <v>21.5</v>
      </c>
      <c r="T1860" s="1077">
        <v>30</v>
      </c>
      <c r="U1860" s="1077">
        <v>3.6</v>
      </c>
      <c r="V1860" s="1077" t="s">
        <v>648</v>
      </c>
      <c r="W1860" s="1077">
        <v>120</v>
      </c>
      <c r="X1860" s="1077">
        <v>70</v>
      </c>
      <c r="Y1860" s="1077">
        <v>1.8</v>
      </c>
      <c r="Z1860" s="1077">
        <v>6.5</v>
      </c>
      <c r="AA1860" s="1077" t="s">
        <v>6119</v>
      </c>
      <c r="AH1860" s="1077" t="s">
        <v>483</v>
      </c>
      <c r="AM1860" s="1078" t="s">
        <v>12724</v>
      </c>
      <c r="AN1860" s="1078" t="s">
        <v>12725</v>
      </c>
      <c r="AO1860" s="1078" t="str">
        <f t="shared" si="230"/>
        <v>550↓500-5/3</v>
      </c>
      <c r="AP1860" s="1078">
        <f t="shared" si="231"/>
        <v>1.76</v>
      </c>
      <c r="AQ1860" s="1078" t="str">
        <f t="shared" si="232"/>
        <v>1-5-1S87</v>
      </c>
      <c r="AR1860" s="1078" t="str">
        <f t="shared" si="233"/>
        <v>31.5</v>
      </c>
      <c r="AS1860" s="1078" t="str">
        <f t="shared" si="234"/>
        <v>320/320/OFF</v>
      </c>
      <c r="AT1860" s="1078" t="str">
        <f t="shared" si="235"/>
        <v>1-5-1S87</v>
      </c>
      <c r="AV1860" s="1078" t="str">
        <f t="shared" si="236"/>
        <v>112.4.26</v>
      </c>
      <c r="AW1860" s="1344">
        <f t="shared" si="237"/>
        <v>45042</v>
      </c>
    </row>
    <row r="1861" spans="1:49">
      <c r="A1861" s="1077" t="s">
        <v>6120</v>
      </c>
      <c r="B1861" s="1077" t="s">
        <v>5372</v>
      </c>
      <c r="C1861" s="1077">
        <v>600</v>
      </c>
      <c r="D1861" s="1077">
        <v>1.7250000000000001</v>
      </c>
      <c r="E1861" s="1077" t="s">
        <v>15108</v>
      </c>
      <c r="F1861" s="1077" t="s">
        <v>648</v>
      </c>
      <c r="G1861" s="1077">
        <v>5</v>
      </c>
      <c r="H1861" s="1077" t="s">
        <v>955</v>
      </c>
      <c r="I1861" s="1077" t="s">
        <v>126</v>
      </c>
      <c r="J1861" s="1077">
        <v>1.8</v>
      </c>
      <c r="K1861" s="1077" t="s">
        <v>6063</v>
      </c>
      <c r="L1861" s="1077" t="s">
        <v>2104</v>
      </c>
      <c r="M1861" s="1077">
        <v>149</v>
      </c>
      <c r="N1861" s="1077" t="s">
        <v>945</v>
      </c>
      <c r="O1861" s="1077">
        <v>3.7250000000000001</v>
      </c>
      <c r="P1861" s="1077">
        <v>2.98</v>
      </c>
      <c r="Q1861" s="1077">
        <v>4</v>
      </c>
      <c r="R1861" s="1077">
        <v>21.8</v>
      </c>
      <c r="T1861" s="1077">
        <v>22.6</v>
      </c>
      <c r="U1861" s="1077">
        <v>3.6</v>
      </c>
      <c r="V1861" s="1077" t="s">
        <v>648</v>
      </c>
      <c r="W1861" s="1077">
        <v>120</v>
      </c>
      <c r="X1861" s="1077">
        <v>70</v>
      </c>
      <c r="Y1861" s="1077">
        <v>1.5</v>
      </c>
      <c r="Z1861" s="1077" t="s">
        <v>648</v>
      </c>
      <c r="AA1861" s="1077" t="s">
        <v>6121</v>
      </c>
      <c r="AH1861" s="1077" t="s">
        <v>994</v>
      </c>
      <c r="AI1861" s="1077">
        <v>93.72</v>
      </c>
      <c r="AJ1861" s="1077">
        <v>-0.09</v>
      </c>
      <c r="AK1861" s="1077">
        <v>4.93</v>
      </c>
      <c r="AM1861" s="1078" t="s">
        <v>12726</v>
      </c>
      <c r="AN1861" s="1078" t="s">
        <v>12727</v>
      </c>
      <c r="AO1861" s="1078">
        <f t="shared" si="230"/>
        <v>600</v>
      </c>
      <c r="AP1861" s="1078">
        <f t="shared" si="231"/>
        <v>1.7250000000000001</v>
      </c>
      <c r="AQ1861" s="1078" t="str">
        <f t="shared" si="232"/>
        <v>1-4-1S83°Z+S</v>
      </c>
      <c r="AR1861" s="1078" t="str">
        <f t="shared" si="233"/>
        <v>NA</v>
      </c>
      <c r="AS1861" s="1078" t="str">
        <f t="shared" si="234"/>
        <v>260/260/OFF</v>
      </c>
      <c r="AT1861" s="1078" t="str">
        <f t="shared" si="235"/>
        <v>1-4-1S83°Z+S</v>
      </c>
      <c r="AU1861" s="1078" t="s">
        <v>15547</v>
      </c>
      <c r="AV1861" s="1078" t="str">
        <f t="shared" si="236"/>
        <v>112.5.4</v>
      </c>
      <c r="AW1861" s="1344">
        <f t="shared" si="237"/>
        <v>45050</v>
      </c>
    </row>
    <row r="1862" spans="1:49">
      <c r="A1862" s="1077" t="s">
        <v>6122</v>
      </c>
      <c r="B1862" s="1077" t="s">
        <v>210</v>
      </c>
      <c r="C1862" s="1077">
        <v>550</v>
      </c>
      <c r="D1862" s="1077">
        <v>1.75</v>
      </c>
      <c r="E1862" s="1077" t="s">
        <v>15094</v>
      </c>
      <c r="F1862" s="1077" t="s">
        <v>984</v>
      </c>
      <c r="G1862" s="1077">
        <v>5</v>
      </c>
      <c r="H1862" s="1077" t="s">
        <v>5693</v>
      </c>
      <c r="I1862" s="1077" t="s">
        <v>648</v>
      </c>
      <c r="J1862" s="1077">
        <v>0</v>
      </c>
      <c r="K1862" s="1077" t="s">
        <v>5632</v>
      </c>
      <c r="L1862" s="1077" t="s">
        <v>4666</v>
      </c>
      <c r="M1862" s="1077">
        <v>151.5</v>
      </c>
      <c r="N1862" s="1077" t="s">
        <v>945</v>
      </c>
      <c r="O1862" s="1077">
        <v>3.7875000000000001</v>
      </c>
      <c r="P1862" s="1077">
        <v>3.0300000000000002</v>
      </c>
      <c r="Q1862" s="1077">
        <v>4</v>
      </c>
      <c r="R1862" s="1077">
        <v>19.100000000000001</v>
      </c>
      <c r="T1862" s="1077">
        <v>19</v>
      </c>
      <c r="U1862" s="1077">
        <v>2.5</v>
      </c>
      <c r="V1862" s="1077" t="s">
        <v>648</v>
      </c>
      <c r="W1862" s="1077" t="s">
        <v>648</v>
      </c>
      <c r="X1862" s="1077" t="s">
        <v>648</v>
      </c>
      <c r="Y1862" s="1077">
        <v>1</v>
      </c>
      <c r="Z1862" s="1077">
        <v>5</v>
      </c>
      <c r="AA1862" s="1077" t="s">
        <v>3524</v>
      </c>
      <c r="AH1862" s="1077" t="s">
        <v>1221</v>
      </c>
      <c r="AI1862" s="1077">
        <v>91.76</v>
      </c>
      <c r="AJ1862" s="1077">
        <v>-0.21</v>
      </c>
      <c r="AK1862" s="1077">
        <v>0.56999999999999995</v>
      </c>
      <c r="AM1862" s="1078" t="s">
        <v>12728</v>
      </c>
      <c r="AN1862" s="1078" t="s">
        <v>12729</v>
      </c>
      <c r="AO1862" s="1078">
        <f t="shared" si="230"/>
        <v>550</v>
      </c>
      <c r="AP1862" s="1078">
        <f t="shared" si="231"/>
        <v>1.75</v>
      </c>
      <c r="AQ1862" s="1078" t="str">
        <f t="shared" si="232"/>
        <v>1-5-1S91°</v>
      </c>
      <c r="AR1862" s="1078" t="str">
        <f t="shared" si="233"/>
        <v>30</v>
      </c>
      <c r="AS1862" s="1078" t="str">
        <f t="shared" si="234"/>
        <v>325/285/145</v>
      </c>
      <c r="AT1862" s="1078" t="str">
        <f t="shared" si="235"/>
        <v>1-5-1S91°</v>
      </c>
      <c r="AV1862" s="1078" t="str">
        <f t="shared" si="236"/>
        <v>112.5.2</v>
      </c>
      <c r="AW1862" s="1344">
        <f t="shared" si="237"/>
        <v>45048</v>
      </c>
    </row>
    <row r="1863" spans="1:49">
      <c r="A1863" s="1077" t="s">
        <v>6123</v>
      </c>
      <c r="B1863" s="1077" t="s">
        <v>210</v>
      </c>
      <c r="C1863" s="1077">
        <v>600</v>
      </c>
      <c r="D1863" s="1077">
        <v>1.75</v>
      </c>
      <c r="E1863" s="1077" t="s">
        <v>15094</v>
      </c>
      <c r="F1863" s="1077" t="s">
        <v>984</v>
      </c>
      <c r="G1863" s="1077">
        <v>5</v>
      </c>
      <c r="H1863" s="1077" t="s">
        <v>5480</v>
      </c>
      <c r="I1863" s="1077" t="s">
        <v>126</v>
      </c>
      <c r="J1863" s="1077">
        <v>0.7</v>
      </c>
      <c r="K1863" s="1077" t="s">
        <v>6124</v>
      </c>
      <c r="L1863" s="1077" t="s">
        <v>4666</v>
      </c>
      <c r="M1863" s="1077">
        <v>151.5</v>
      </c>
      <c r="N1863" s="1077" t="s">
        <v>945</v>
      </c>
      <c r="O1863" s="1077">
        <v>3.7875000000000001</v>
      </c>
      <c r="P1863" s="1077">
        <v>3.0300000000000002</v>
      </c>
      <c r="Q1863" s="1077">
        <v>4</v>
      </c>
      <c r="R1863" s="1077">
        <v>19.100000000000001</v>
      </c>
      <c r="T1863" s="1077">
        <v>23.7</v>
      </c>
      <c r="U1863" s="1077">
        <v>3.2</v>
      </c>
      <c r="V1863" s="1077" t="s">
        <v>648</v>
      </c>
      <c r="W1863" s="1077">
        <v>35</v>
      </c>
      <c r="X1863" s="1077">
        <v>10</v>
      </c>
      <c r="Y1863" s="1077">
        <v>1</v>
      </c>
      <c r="Z1863" s="1077">
        <v>6</v>
      </c>
      <c r="AA1863" s="1077" t="s">
        <v>3524</v>
      </c>
      <c r="AH1863" s="1077" t="s">
        <v>1137</v>
      </c>
      <c r="AI1863" s="1077">
        <v>91.68</v>
      </c>
      <c r="AJ1863" s="1077">
        <v>-0.27</v>
      </c>
      <c r="AK1863" s="1077">
        <v>1.1499999999999999</v>
      </c>
      <c r="AM1863" s="1078" t="s">
        <v>12730</v>
      </c>
      <c r="AN1863" s="1078" t="s">
        <v>12731</v>
      </c>
      <c r="AO1863" s="1078">
        <f t="shared" si="230"/>
        <v>600</v>
      </c>
      <c r="AP1863" s="1078">
        <f t="shared" si="231"/>
        <v>1.75</v>
      </c>
      <c r="AQ1863" s="1078" t="str">
        <f t="shared" si="232"/>
        <v>1-5-1S91°</v>
      </c>
      <c r="AR1863" s="1078" t="str">
        <f t="shared" si="233"/>
        <v>30</v>
      </c>
      <c r="AS1863" s="1078" t="str">
        <f t="shared" si="234"/>
        <v>340/300/145</v>
      </c>
      <c r="AT1863" s="1078" t="str">
        <f t="shared" si="235"/>
        <v>1-5-1S91°</v>
      </c>
      <c r="AV1863" s="1078" t="str">
        <f t="shared" si="236"/>
        <v>112.5.2</v>
      </c>
      <c r="AW1863" s="1344">
        <f t="shared" si="237"/>
        <v>45048</v>
      </c>
    </row>
    <row r="1864" spans="1:49">
      <c r="A1864" s="1077" t="s">
        <v>6125</v>
      </c>
      <c r="B1864" s="1077" t="s">
        <v>210</v>
      </c>
      <c r="C1864" s="1077">
        <v>650</v>
      </c>
      <c r="D1864" s="1077">
        <v>1.76</v>
      </c>
      <c r="E1864" s="1077" t="s">
        <v>15094</v>
      </c>
      <c r="F1864" s="1077" t="s">
        <v>4013</v>
      </c>
      <c r="G1864" s="1077">
        <v>5</v>
      </c>
      <c r="H1864" s="1077" t="s">
        <v>6126</v>
      </c>
      <c r="I1864" s="1077" t="s">
        <v>126</v>
      </c>
      <c r="J1864" s="1077">
        <v>1.7</v>
      </c>
      <c r="K1864" s="1077" t="s">
        <v>5481</v>
      </c>
      <c r="L1864" s="1077" t="s">
        <v>4666</v>
      </c>
      <c r="M1864" s="1077">
        <v>152.19999999999999</v>
      </c>
      <c r="N1864" s="1077" t="s">
        <v>945</v>
      </c>
      <c r="O1864" s="1077">
        <v>3.8049999999999997</v>
      </c>
      <c r="P1864" s="1077">
        <v>3.044</v>
      </c>
      <c r="Q1864" s="1077">
        <v>4</v>
      </c>
      <c r="R1864" s="1077">
        <v>19</v>
      </c>
      <c r="T1864" s="1077">
        <v>16</v>
      </c>
      <c r="U1864" s="1077">
        <v>4</v>
      </c>
      <c r="V1864" s="1077" t="s">
        <v>648</v>
      </c>
      <c r="W1864" s="1077">
        <v>95</v>
      </c>
      <c r="X1864" s="1077">
        <v>20</v>
      </c>
      <c r="Y1864" s="1077">
        <v>1.5</v>
      </c>
      <c r="Z1864" s="1077">
        <v>5</v>
      </c>
      <c r="AA1864" s="1077" t="s">
        <v>6121</v>
      </c>
      <c r="AH1864" s="1077" t="s">
        <v>722</v>
      </c>
      <c r="AI1864" s="1077">
        <v>88.61</v>
      </c>
      <c r="AJ1864" s="1077">
        <v>-0.11</v>
      </c>
      <c r="AK1864" s="1077">
        <v>0.69</v>
      </c>
      <c r="AM1864" s="1078" t="s">
        <v>12732</v>
      </c>
      <c r="AN1864" s="1078" t="s">
        <v>12733</v>
      </c>
      <c r="AO1864" s="1078">
        <f t="shared" si="230"/>
        <v>650</v>
      </c>
      <c r="AP1864" s="1078">
        <f t="shared" si="231"/>
        <v>1.76</v>
      </c>
      <c r="AQ1864" s="1078" t="str">
        <f t="shared" si="232"/>
        <v>1-5-1S91°</v>
      </c>
      <c r="AR1864" s="1078" t="str">
        <f t="shared" si="233"/>
        <v>30.3</v>
      </c>
      <c r="AS1864" s="1078" t="str">
        <f t="shared" si="234"/>
        <v>310/270/158</v>
      </c>
      <c r="AT1864" s="1078" t="str">
        <f t="shared" si="235"/>
        <v>1-5-1S91°</v>
      </c>
      <c r="AV1864" s="1078" t="str">
        <f t="shared" si="236"/>
        <v>112.5.4</v>
      </c>
      <c r="AW1864" s="1344">
        <f t="shared" si="237"/>
        <v>45050</v>
      </c>
    </row>
    <row r="1865" spans="1:49">
      <c r="A1865" s="1077" t="s">
        <v>6127</v>
      </c>
      <c r="B1865" s="1077" t="s">
        <v>5005</v>
      </c>
      <c r="C1865" s="1077">
        <v>500</v>
      </c>
      <c r="D1865" s="1077">
        <v>1.7</v>
      </c>
      <c r="E1865" s="1077" t="s">
        <v>15108</v>
      </c>
      <c r="F1865" s="1077" t="s">
        <v>954</v>
      </c>
      <c r="G1865" s="1077">
        <v>4</v>
      </c>
      <c r="H1865" s="1077" t="s">
        <v>1226</v>
      </c>
      <c r="I1865" s="1077" t="s">
        <v>126</v>
      </c>
      <c r="J1865" s="1077">
        <v>1.9</v>
      </c>
      <c r="K1865" s="1077" t="s">
        <v>6128</v>
      </c>
      <c r="L1865" s="1077" t="s">
        <v>6129</v>
      </c>
      <c r="M1865" s="1077">
        <v>154</v>
      </c>
      <c r="N1865" s="1077" t="s">
        <v>945</v>
      </c>
      <c r="O1865" s="1077">
        <v>3.85</v>
      </c>
      <c r="P1865" s="1077">
        <v>3.08</v>
      </c>
      <c r="Q1865" s="1077">
        <v>3.5</v>
      </c>
      <c r="R1865" s="1077">
        <v>21</v>
      </c>
      <c r="T1865" s="1077">
        <v>15</v>
      </c>
      <c r="U1865" s="1077">
        <v>4.2</v>
      </c>
      <c r="V1865" s="1077" t="s">
        <v>648</v>
      </c>
      <c r="W1865" s="1077">
        <v>140</v>
      </c>
      <c r="X1865" s="1077">
        <v>90</v>
      </c>
      <c r="Y1865" s="1077">
        <v>1.6</v>
      </c>
      <c r="Z1865" s="1077" t="s">
        <v>648</v>
      </c>
      <c r="AA1865" s="1077" t="s">
        <v>6130</v>
      </c>
      <c r="AH1865" s="1077" t="s">
        <v>618</v>
      </c>
      <c r="AI1865" s="1077">
        <v>94.95</v>
      </c>
      <c r="AJ1865" s="1077">
        <v>-1.05</v>
      </c>
      <c r="AK1865" s="1077">
        <v>2.57</v>
      </c>
      <c r="AM1865" s="1078" t="s">
        <v>12734</v>
      </c>
      <c r="AN1865" s="1078" t="s">
        <v>12735</v>
      </c>
      <c r="AO1865" s="1078">
        <f t="shared" si="230"/>
        <v>500</v>
      </c>
      <c r="AP1865" s="1078">
        <f t="shared" si="231"/>
        <v>1.7</v>
      </c>
      <c r="AQ1865" s="1078" t="str">
        <f t="shared" si="232"/>
        <v>1-4-1S83°Z+S</v>
      </c>
      <c r="AR1865" s="1078" t="str">
        <f t="shared" si="233"/>
        <v>31</v>
      </c>
      <c r="AS1865" s="1078" t="str">
        <f t="shared" si="234"/>
        <v>230/230/OFF</v>
      </c>
      <c r="AT1865" s="1078" t="str">
        <f t="shared" si="235"/>
        <v>1-4-1S83°Z+S</v>
      </c>
      <c r="AU1865" s="1078" t="s">
        <v>15547</v>
      </c>
      <c r="AV1865" s="1078" t="str">
        <f t="shared" si="236"/>
        <v>112.5.15</v>
      </c>
      <c r="AW1865" s="1344">
        <f t="shared" si="237"/>
        <v>45061</v>
      </c>
    </row>
    <row r="1866" spans="1:49">
      <c r="A1866" s="1077" t="s">
        <v>6131</v>
      </c>
      <c r="B1866" s="1077" t="s">
        <v>210</v>
      </c>
      <c r="C1866" s="1077">
        <v>600</v>
      </c>
      <c r="D1866" s="1077">
        <v>1.78</v>
      </c>
      <c r="E1866" s="1077" t="s">
        <v>15102</v>
      </c>
      <c r="F1866" s="1077" t="s">
        <v>4236</v>
      </c>
      <c r="G1866" s="1077">
        <v>5</v>
      </c>
      <c r="H1866" s="1077" t="s">
        <v>5892</v>
      </c>
      <c r="I1866" s="1077" t="s">
        <v>1112</v>
      </c>
      <c r="J1866" s="1077" t="s">
        <v>5910</v>
      </c>
      <c r="K1866" s="1077" t="s">
        <v>5632</v>
      </c>
      <c r="L1866" s="1077" t="s">
        <v>4666</v>
      </c>
      <c r="M1866" s="1077">
        <v>152.19999999999999</v>
      </c>
      <c r="N1866" s="1077" t="s">
        <v>945</v>
      </c>
      <c r="O1866" s="1077">
        <v>3.8049999999999997</v>
      </c>
      <c r="P1866" s="1077">
        <v>3.044</v>
      </c>
      <c r="Q1866" s="1077">
        <v>3.5</v>
      </c>
      <c r="R1866" s="1077">
        <v>19</v>
      </c>
      <c r="T1866" s="1077">
        <v>16</v>
      </c>
      <c r="U1866" s="1077">
        <v>4</v>
      </c>
      <c r="V1866" s="1077" t="s">
        <v>648</v>
      </c>
      <c r="W1866" s="1077">
        <v>95</v>
      </c>
      <c r="X1866" s="1077">
        <v>20</v>
      </c>
      <c r="Y1866" s="1077">
        <v>1.3</v>
      </c>
      <c r="Z1866" s="1077">
        <v>5</v>
      </c>
      <c r="AA1866" s="1077" t="s">
        <v>6132</v>
      </c>
      <c r="AB1866" s="1077" t="s">
        <v>6133</v>
      </c>
      <c r="AH1866" s="1077" t="s">
        <v>614</v>
      </c>
      <c r="AI1866" s="1077">
        <v>91.5</v>
      </c>
      <c r="AJ1866" s="1077">
        <v>-0.55000000000000004</v>
      </c>
      <c r="AK1866" s="1077">
        <v>1.0900000000000001</v>
      </c>
      <c r="AM1866" s="1078" t="s">
        <v>12736</v>
      </c>
      <c r="AN1866" s="1078" t="s">
        <v>12737</v>
      </c>
      <c r="AO1866" s="1078">
        <f t="shared" si="230"/>
        <v>600</v>
      </c>
      <c r="AP1866" s="1078">
        <f t="shared" si="231"/>
        <v>1.78</v>
      </c>
      <c r="AQ1866" s="1078" t="str">
        <f t="shared" si="232"/>
        <v>2-6-1S83°</v>
      </c>
      <c r="AR1866" s="1078" t="str">
        <f t="shared" si="233"/>
        <v>34</v>
      </c>
      <c r="AS1866" s="1078" t="str">
        <f t="shared" si="234"/>
        <v>163/165</v>
      </c>
      <c r="AT1866" s="1078" t="str">
        <f t="shared" si="235"/>
        <v>2-6-1S83°</v>
      </c>
      <c r="AV1866" s="1078" t="str">
        <f t="shared" si="236"/>
        <v>112.5.17</v>
      </c>
      <c r="AW1866" s="1344">
        <f t="shared" si="237"/>
        <v>45063</v>
      </c>
    </row>
    <row r="1867" spans="1:49">
      <c r="A1867" s="1077" t="s">
        <v>6134</v>
      </c>
      <c r="B1867" s="1077" t="s">
        <v>617</v>
      </c>
      <c r="C1867" s="1077">
        <v>600</v>
      </c>
      <c r="D1867" s="1077">
        <v>1.75</v>
      </c>
      <c r="E1867" s="1077" t="s">
        <v>15094</v>
      </c>
      <c r="F1867" s="1077" t="s">
        <v>984</v>
      </c>
      <c r="G1867" s="1077">
        <v>5</v>
      </c>
      <c r="H1867" s="1077" t="s">
        <v>955</v>
      </c>
      <c r="I1867" s="1077" t="s">
        <v>126</v>
      </c>
      <c r="J1867" s="1077">
        <v>2.5</v>
      </c>
      <c r="K1867" s="1077" t="s">
        <v>5725</v>
      </c>
      <c r="L1867" s="1077" t="s">
        <v>5159</v>
      </c>
      <c r="M1867" s="1077">
        <v>150.30000000000001</v>
      </c>
      <c r="N1867" s="1077" t="s">
        <v>945</v>
      </c>
      <c r="O1867" s="1077">
        <v>3.7575000000000003</v>
      </c>
      <c r="P1867" s="1077">
        <v>3.0060000000000002</v>
      </c>
      <c r="Q1867" s="1077">
        <v>3</v>
      </c>
      <c r="R1867" s="1077">
        <v>30</v>
      </c>
      <c r="T1867" s="1077">
        <v>13</v>
      </c>
      <c r="U1867" s="1077">
        <v>7</v>
      </c>
      <c r="V1867" s="1077" t="s">
        <v>648</v>
      </c>
      <c r="W1867" s="1077">
        <v>115</v>
      </c>
      <c r="X1867" s="1077">
        <v>50</v>
      </c>
      <c r="Y1867" s="1077">
        <v>1.7</v>
      </c>
      <c r="Z1867" s="1077">
        <v>6.5</v>
      </c>
      <c r="AA1867" s="1077" t="s">
        <v>1580</v>
      </c>
      <c r="AH1867" s="1077" t="s">
        <v>5759</v>
      </c>
      <c r="AI1867" s="1077">
        <v>91.05</v>
      </c>
      <c r="AJ1867" s="1077">
        <v>-0.96</v>
      </c>
      <c r="AK1867" s="1077">
        <v>4.32</v>
      </c>
      <c r="AM1867" s="1078" t="s">
        <v>12738</v>
      </c>
      <c r="AN1867" s="1078" t="s">
        <v>12739</v>
      </c>
      <c r="AO1867" s="1078">
        <f t="shared" ref="AO1867:AO1930" si="238">C1867</f>
        <v>600</v>
      </c>
      <c r="AP1867" s="1078">
        <f t="shared" ref="AP1867:AP1930" si="239">D1867</f>
        <v>1.75</v>
      </c>
      <c r="AQ1867" s="1078" t="str">
        <f t="shared" ref="AQ1867:AQ1930" si="240">E1867</f>
        <v>1-5-1S91°</v>
      </c>
      <c r="AR1867" s="1078" t="str">
        <f t="shared" ref="AR1867:AR1930" si="241">F1867</f>
        <v>30</v>
      </c>
      <c r="AS1867" s="1078" t="str">
        <f t="shared" ref="AS1867:AS1930" si="242">H1867</f>
        <v>260/260/OFF</v>
      </c>
      <c r="AT1867" s="1078" t="str">
        <f t="shared" ref="AT1867:AT1930" si="243">E1867</f>
        <v>1-5-1S91°</v>
      </c>
      <c r="AV1867" s="1078" t="str">
        <f t="shared" si="236"/>
        <v>112.6.1</v>
      </c>
      <c r="AW1867" s="1344">
        <f t="shared" si="237"/>
        <v>45078</v>
      </c>
    </row>
    <row r="1868" spans="1:49">
      <c r="A1868" s="1077" t="s">
        <v>6135</v>
      </c>
      <c r="B1868" s="1077" t="s">
        <v>210</v>
      </c>
      <c r="C1868" s="1077">
        <v>600</v>
      </c>
      <c r="D1868" s="1077">
        <v>1.75</v>
      </c>
      <c r="E1868" s="1077" t="s">
        <v>15094</v>
      </c>
      <c r="F1868" s="1077" t="s">
        <v>984</v>
      </c>
      <c r="G1868" s="1077">
        <v>5</v>
      </c>
      <c r="H1868" s="1077" t="s">
        <v>5480</v>
      </c>
      <c r="I1868" s="1077" t="s">
        <v>126</v>
      </c>
      <c r="J1868" s="1077">
        <v>0.7</v>
      </c>
      <c r="K1868" s="1077" t="s">
        <v>6124</v>
      </c>
      <c r="L1868" s="1077" t="s">
        <v>4666</v>
      </c>
      <c r="M1868" s="1077">
        <v>151.5</v>
      </c>
      <c r="N1868" s="1077" t="s">
        <v>945</v>
      </c>
      <c r="O1868" s="1077">
        <v>3.7875000000000001</v>
      </c>
      <c r="P1868" s="1077">
        <v>3.0300000000000002</v>
      </c>
      <c r="Q1868" s="1077">
        <v>4</v>
      </c>
      <c r="R1868" s="1077">
        <v>19.100000000000001</v>
      </c>
      <c r="T1868" s="1077">
        <v>23.7</v>
      </c>
      <c r="U1868" s="1077">
        <v>3.2</v>
      </c>
      <c r="V1868" s="1077" t="s">
        <v>648</v>
      </c>
      <c r="W1868" s="1077">
        <v>35</v>
      </c>
      <c r="X1868" s="1077">
        <v>10</v>
      </c>
      <c r="Y1868" s="1077">
        <v>1</v>
      </c>
      <c r="Z1868" s="1077">
        <v>6</v>
      </c>
      <c r="AA1868" s="1077" t="s">
        <v>3582</v>
      </c>
      <c r="AH1868" s="1077" t="s">
        <v>1221</v>
      </c>
      <c r="AI1868" s="1077">
        <v>91.58</v>
      </c>
      <c r="AJ1868" s="1077">
        <v>-0.4</v>
      </c>
      <c r="AK1868" s="1077">
        <v>0.99</v>
      </c>
      <c r="AM1868" s="1078" t="s">
        <v>12740</v>
      </c>
      <c r="AN1868" s="1078" t="s">
        <v>12741</v>
      </c>
      <c r="AO1868" s="1078">
        <f t="shared" si="238"/>
        <v>600</v>
      </c>
      <c r="AP1868" s="1078">
        <f t="shared" si="239"/>
        <v>1.75</v>
      </c>
      <c r="AQ1868" s="1078" t="str">
        <f t="shared" si="240"/>
        <v>1-5-1S91°</v>
      </c>
      <c r="AR1868" s="1078" t="str">
        <f t="shared" si="241"/>
        <v>30</v>
      </c>
      <c r="AS1868" s="1078" t="str">
        <f t="shared" si="242"/>
        <v>340/300/145</v>
      </c>
      <c r="AT1868" s="1078" t="str">
        <f t="shared" si="243"/>
        <v>1-5-1S91°</v>
      </c>
      <c r="AV1868" s="1078" t="str">
        <f t="shared" si="236"/>
        <v>112.6.5</v>
      </c>
      <c r="AW1868" s="1344">
        <f t="shared" si="237"/>
        <v>45082</v>
      </c>
    </row>
    <row r="1869" spans="1:49">
      <c r="A1869" s="1077" t="s">
        <v>6136</v>
      </c>
      <c r="B1869" s="1077" t="s">
        <v>5520</v>
      </c>
      <c r="C1869" s="1077">
        <v>600</v>
      </c>
      <c r="D1869" s="1077">
        <v>1.7250000000000001</v>
      </c>
      <c r="E1869" s="1077" t="s">
        <v>15108</v>
      </c>
      <c r="F1869" s="1077" t="s">
        <v>648</v>
      </c>
      <c r="G1869" s="1077">
        <v>5</v>
      </c>
      <c r="H1869" s="1077" t="s">
        <v>955</v>
      </c>
      <c r="I1869" s="1077" t="s">
        <v>126</v>
      </c>
      <c r="J1869" s="1077">
        <v>1.8</v>
      </c>
      <c r="K1869" s="1077" t="s">
        <v>6063</v>
      </c>
      <c r="L1869" s="1077" t="s">
        <v>2104</v>
      </c>
      <c r="M1869" s="1077">
        <v>149</v>
      </c>
      <c r="N1869" s="1077" t="s">
        <v>945</v>
      </c>
      <c r="O1869" s="1077">
        <v>3.7250000000000001</v>
      </c>
      <c r="P1869" s="1077">
        <v>2.98</v>
      </c>
      <c r="Q1869" s="1077">
        <v>4</v>
      </c>
      <c r="R1869" s="1077">
        <v>21.8</v>
      </c>
      <c r="T1869" s="1077">
        <v>22.6</v>
      </c>
      <c r="U1869" s="1077">
        <v>3.6</v>
      </c>
      <c r="V1869" s="1077" t="s">
        <v>648</v>
      </c>
      <c r="W1869" s="1077">
        <v>120</v>
      </c>
      <c r="X1869" s="1077">
        <v>70</v>
      </c>
      <c r="Y1869" s="1077">
        <v>1.5</v>
      </c>
      <c r="Z1869" s="1077" t="s">
        <v>648</v>
      </c>
      <c r="AA1869" s="1077" t="s">
        <v>4429</v>
      </c>
      <c r="AH1869" s="1077" t="s">
        <v>622</v>
      </c>
      <c r="AI1869" s="1077">
        <v>93.49</v>
      </c>
      <c r="AJ1869" s="1077">
        <v>-0.4</v>
      </c>
      <c r="AK1869" s="1077">
        <v>4.4800000000000004</v>
      </c>
      <c r="AM1869" s="1078" t="s">
        <v>12742</v>
      </c>
      <c r="AN1869" s="1078" t="s">
        <v>12743</v>
      </c>
      <c r="AO1869" s="1078">
        <f t="shared" si="238"/>
        <v>600</v>
      </c>
      <c r="AP1869" s="1078">
        <f t="shared" si="239"/>
        <v>1.7250000000000001</v>
      </c>
      <c r="AQ1869" s="1078" t="str">
        <f t="shared" si="240"/>
        <v>1-4-1S83°Z+S</v>
      </c>
      <c r="AR1869" s="1078" t="str">
        <f t="shared" si="241"/>
        <v>NA</v>
      </c>
      <c r="AS1869" s="1078" t="str">
        <f t="shared" si="242"/>
        <v>260/260/OFF</v>
      </c>
      <c r="AT1869" s="1078" t="str">
        <f t="shared" si="243"/>
        <v>1-4-1S83°Z+S</v>
      </c>
      <c r="AU1869" s="1078" t="s">
        <v>15547</v>
      </c>
      <c r="AV1869" s="1078" t="str">
        <f t="shared" si="236"/>
        <v>112.6.8</v>
      </c>
      <c r="AW1869" s="1344">
        <f t="shared" si="237"/>
        <v>45085</v>
      </c>
    </row>
    <row r="1870" spans="1:49">
      <c r="A1870" s="1077" t="s">
        <v>6137</v>
      </c>
      <c r="B1870" s="1077" t="s">
        <v>4860</v>
      </c>
      <c r="C1870" s="1077">
        <v>700</v>
      </c>
      <c r="D1870" s="1077">
        <v>1.77</v>
      </c>
      <c r="E1870" s="1077" t="s">
        <v>15109</v>
      </c>
      <c r="F1870" s="1077" t="s">
        <v>648</v>
      </c>
      <c r="G1870" s="1077">
        <v>5</v>
      </c>
      <c r="H1870" s="1077" t="s">
        <v>4874</v>
      </c>
      <c r="I1870" s="1077" t="s">
        <v>460</v>
      </c>
      <c r="J1870" s="1077">
        <v>1.9</v>
      </c>
      <c r="K1870" s="1077" t="s">
        <v>6138</v>
      </c>
      <c r="L1870" s="1077" t="s">
        <v>4864</v>
      </c>
      <c r="M1870" s="1077">
        <v>149.5</v>
      </c>
      <c r="N1870" s="1077" t="s">
        <v>945</v>
      </c>
      <c r="O1870" s="1077">
        <v>3.7375000000000003</v>
      </c>
      <c r="P1870" s="1077">
        <v>2.99</v>
      </c>
      <c r="Q1870" s="1077">
        <v>4</v>
      </c>
      <c r="R1870" s="1077">
        <v>21</v>
      </c>
      <c r="T1870" s="1077">
        <v>37</v>
      </c>
      <c r="U1870" s="1077">
        <v>3.7</v>
      </c>
      <c r="V1870" s="1077" t="s">
        <v>648</v>
      </c>
      <c r="W1870" s="1077">
        <v>110</v>
      </c>
      <c r="X1870" s="1077">
        <v>40</v>
      </c>
      <c r="Y1870" s="1077">
        <v>2.2000000000000002</v>
      </c>
      <c r="Z1870" s="1077" t="s">
        <v>648</v>
      </c>
      <c r="AA1870" s="1077" t="s">
        <v>4429</v>
      </c>
      <c r="AH1870" s="1077" t="s">
        <v>650</v>
      </c>
      <c r="AI1870" s="1077">
        <v>91.91</v>
      </c>
      <c r="AJ1870" s="1077">
        <v>-0.15</v>
      </c>
      <c r="AK1870" s="1077">
        <v>0.86</v>
      </c>
      <c r="AM1870" s="1078" t="s">
        <v>12744</v>
      </c>
      <c r="AN1870" s="1078" t="s">
        <v>12745</v>
      </c>
      <c r="AO1870" s="1078">
        <f t="shared" si="238"/>
        <v>700</v>
      </c>
      <c r="AP1870" s="1078">
        <f t="shared" si="239"/>
        <v>1.77</v>
      </c>
      <c r="AQ1870" s="1078" t="str">
        <f t="shared" si="240"/>
        <v>1-5-1S85°Z+S</v>
      </c>
      <c r="AR1870" s="1078" t="str">
        <f t="shared" si="241"/>
        <v>NA</v>
      </c>
      <c r="AS1870" s="1078" t="str">
        <f t="shared" si="242"/>
        <v>187/OFF</v>
      </c>
      <c r="AT1870" s="1078" t="str">
        <f t="shared" si="243"/>
        <v>1-5-1S85°Z+S</v>
      </c>
      <c r="AU1870" s="1078" t="s">
        <v>15547</v>
      </c>
      <c r="AV1870" s="1078" t="str">
        <f t="shared" si="236"/>
        <v>112.6.8</v>
      </c>
      <c r="AW1870" s="1344">
        <f t="shared" si="237"/>
        <v>45085</v>
      </c>
    </row>
    <row r="1871" spans="1:49">
      <c r="A1871" s="1077" t="s">
        <v>6139</v>
      </c>
      <c r="B1871" s="1077" t="s">
        <v>617</v>
      </c>
      <c r="C1871" s="1077">
        <v>600</v>
      </c>
      <c r="D1871" s="1077">
        <v>1.75</v>
      </c>
      <c r="E1871" s="1077" t="s">
        <v>15094</v>
      </c>
      <c r="F1871" s="1077" t="s">
        <v>984</v>
      </c>
      <c r="G1871" s="1077">
        <v>5</v>
      </c>
      <c r="H1871" s="1077" t="s">
        <v>955</v>
      </c>
      <c r="I1871" s="1077" t="s">
        <v>126</v>
      </c>
      <c r="J1871" s="1077">
        <v>2.5</v>
      </c>
      <c r="K1871" s="1077" t="s">
        <v>5725</v>
      </c>
      <c r="L1871" s="1077" t="s">
        <v>5159</v>
      </c>
      <c r="M1871" s="1077">
        <v>150.30000000000001</v>
      </c>
      <c r="N1871" s="1077" t="s">
        <v>945</v>
      </c>
      <c r="O1871" s="1077">
        <v>3.7575000000000003</v>
      </c>
      <c r="P1871" s="1077">
        <v>3.0060000000000002</v>
      </c>
      <c r="Q1871" s="1077">
        <v>3</v>
      </c>
      <c r="R1871" s="1077">
        <v>30</v>
      </c>
      <c r="T1871" s="1077">
        <v>13</v>
      </c>
      <c r="U1871" s="1077">
        <v>7</v>
      </c>
      <c r="V1871" s="1077" t="s">
        <v>648</v>
      </c>
      <c r="W1871" s="1077">
        <v>115</v>
      </c>
      <c r="X1871" s="1077">
        <v>50</v>
      </c>
      <c r="Y1871" s="1077">
        <v>1.7</v>
      </c>
      <c r="Z1871" s="1077">
        <v>6.5</v>
      </c>
      <c r="AA1871" s="1077" t="s">
        <v>4429</v>
      </c>
      <c r="AH1871" s="1077" t="s">
        <v>2398</v>
      </c>
      <c r="AI1871" s="1077">
        <v>92.42</v>
      </c>
      <c r="AJ1871" s="1077">
        <v>-0.99</v>
      </c>
      <c r="AK1871" s="1077">
        <v>4.08</v>
      </c>
      <c r="AM1871" s="1078" t="s">
        <v>12746</v>
      </c>
      <c r="AN1871" s="1078" t="s">
        <v>12747</v>
      </c>
      <c r="AO1871" s="1078">
        <f t="shared" si="238"/>
        <v>600</v>
      </c>
      <c r="AP1871" s="1078">
        <f t="shared" si="239"/>
        <v>1.75</v>
      </c>
      <c r="AQ1871" s="1078" t="str">
        <f t="shared" si="240"/>
        <v>1-5-1S91°</v>
      </c>
      <c r="AR1871" s="1078" t="str">
        <f t="shared" si="241"/>
        <v>30</v>
      </c>
      <c r="AS1871" s="1078" t="str">
        <f t="shared" si="242"/>
        <v>260/260/OFF</v>
      </c>
      <c r="AT1871" s="1078" t="str">
        <f t="shared" si="243"/>
        <v>1-5-1S91°</v>
      </c>
      <c r="AV1871" s="1078" t="str">
        <f t="shared" si="236"/>
        <v>112.6.8</v>
      </c>
      <c r="AW1871" s="1344">
        <f t="shared" si="237"/>
        <v>45085</v>
      </c>
    </row>
    <row r="1872" spans="1:49">
      <c r="A1872" s="1077" t="s">
        <v>6140</v>
      </c>
      <c r="B1872" s="1077" t="s">
        <v>844</v>
      </c>
      <c r="C1872" s="1077">
        <v>600</v>
      </c>
      <c r="D1872" s="1077">
        <v>1.76</v>
      </c>
      <c r="E1872" s="1077" t="s">
        <v>15094</v>
      </c>
      <c r="F1872" s="1077" t="s">
        <v>954</v>
      </c>
      <c r="G1872" s="1077">
        <v>5</v>
      </c>
      <c r="H1872" s="1077" t="s">
        <v>5126</v>
      </c>
      <c r="I1872" s="1077" t="s">
        <v>460</v>
      </c>
      <c r="J1872" s="1077">
        <v>3.9</v>
      </c>
      <c r="K1872" s="1077" t="s">
        <v>6081</v>
      </c>
      <c r="L1872" s="1077" t="s">
        <v>4907</v>
      </c>
      <c r="M1872" s="1077">
        <v>151.69999999999999</v>
      </c>
      <c r="N1872" s="1077" t="s">
        <v>945</v>
      </c>
      <c r="O1872" s="1077">
        <v>3.7925</v>
      </c>
      <c r="P1872" s="1077">
        <v>3.0339999999999998</v>
      </c>
      <c r="Q1872" s="1077">
        <v>3</v>
      </c>
      <c r="R1872" s="1077">
        <v>19.7</v>
      </c>
      <c r="T1872" s="1077">
        <v>11.5</v>
      </c>
      <c r="U1872" s="1077">
        <v>5.3</v>
      </c>
      <c r="V1872" s="1077" t="s">
        <v>648</v>
      </c>
      <c r="W1872" s="1077">
        <v>105</v>
      </c>
      <c r="X1872" s="1077">
        <v>95</v>
      </c>
      <c r="Y1872" s="1077">
        <v>1.5</v>
      </c>
      <c r="Z1872" s="1077">
        <v>5</v>
      </c>
      <c r="AA1872" s="1077" t="s">
        <v>6141</v>
      </c>
      <c r="AB1872" s="1077" t="s">
        <v>6142</v>
      </c>
      <c r="AH1872" s="1077" t="s">
        <v>2055</v>
      </c>
      <c r="AI1872" s="1077">
        <v>91.45</v>
      </c>
      <c r="AJ1872" s="1077">
        <v>-1.45</v>
      </c>
      <c r="AK1872" s="1077">
        <v>6.65</v>
      </c>
      <c r="AM1872" s="1078" t="s">
        <v>12748</v>
      </c>
      <c r="AN1872" s="1078" t="s">
        <v>12749</v>
      </c>
      <c r="AO1872" s="1078">
        <f t="shared" si="238"/>
        <v>600</v>
      </c>
      <c r="AP1872" s="1078">
        <f t="shared" si="239"/>
        <v>1.76</v>
      </c>
      <c r="AQ1872" s="1078" t="str">
        <f t="shared" si="240"/>
        <v>1-5-1S91°</v>
      </c>
      <c r="AR1872" s="1078" t="str">
        <f t="shared" si="241"/>
        <v>31</v>
      </c>
      <c r="AS1872" s="1078" t="str">
        <f t="shared" si="242"/>
        <v>300/300/140</v>
      </c>
      <c r="AT1872" s="1078" t="str">
        <f t="shared" si="243"/>
        <v>1-5-1S91°</v>
      </c>
      <c r="AV1872" s="1078" t="str">
        <f t="shared" si="236"/>
        <v>112.6.13</v>
      </c>
      <c r="AW1872" s="1344">
        <f t="shared" si="237"/>
        <v>45090</v>
      </c>
    </row>
    <row r="1873" spans="1:49">
      <c r="A1873" s="1077" t="s">
        <v>6143</v>
      </c>
      <c r="B1873" s="1077" t="s">
        <v>5565</v>
      </c>
      <c r="C1873" s="1077">
        <v>600</v>
      </c>
      <c r="D1873" s="1077">
        <v>1.7150000000000001</v>
      </c>
      <c r="E1873" s="1077" t="s">
        <v>15104</v>
      </c>
      <c r="F1873" s="1077" t="s">
        <v>648</v>
      </c>
      <c r="G1873" s="1077">
        <v>5</v>
      </c>
      <c r="H1873" s="1077" t="s">
        <v>1166</v>
      </c>
      <c r="I1873" s="1077" t="s">
        <v>126</v>
      </c>
      <c r="J1873" s="1077">
        <v>1.2</v>
      </c>
      <c r="K1873" s="1077" t="s">
        <v>6144</v>
      </c>
      <c r="L1873" s="1077" t="s">
        <v>3572</v>
      </c>
      <c r="M1873" s="1077">
        <v>153</v>
      </c>
      <c r="N1873" s="1077" t="s">
        <v>945</v>
      </c>
      <c r="O1873" s="1077">
        <v>3.8250000000000002</v>
      </c>
      <c r="P1873" s="1077">
        <v>3.06</v>
      </c>
      <c r="Q1873" s="1077">
        <v>4</v>
      </c>
      <c r="R1873" s="1077">
        <v>18</v>
      </c>
      <c r="T1873" s="1077">
        <v>14</v>
      </c>
      <c r="U1873" s="1077">
        <v>4.5</v>
      </c>
      <c r="V1873" s="1077" t="s">
        <v>648</v>
      </c>
      <c r="W1873" s="1077">
        <v>110</v>
      </c>
      <c r="X1873" s="1077">
        <v>60</v>
      </c>
      <c r="Y1873" s="1077">
        <v>1.8</v>
      </c>
      <c r="Z1873" s="1077" t="s">
        <v>648</v>
      </c>
      <c r="AA1873" s="1077" t="s">
        <v>6145</v>
      </c>
      <c r="AB1873" s="1077" t="s">
        <v>6146</v>
      </c>
      <c r="AH1873" s="1077" t="s">
        <v>1267</v>
      </c>
      <c r="AI1873" s="1077">
        <v>95.34</v>
      </c>
      <c r="AJ1873" s="1077">
        <v>-0.57999999999999996</v>
      </c>
      <c r="AK1873" s="1077">
        <v>1.57</v>
      </c>
      <c r="AM1873" s="1078" t="s">
        <v>12750</v>
      </c>
      <c r="AN1873" s="1078" t="s">
        <v>12751</v>
      </c>
      <c r="AO1873" s="1078">
        <f t="shared" si="238"/>
        <v>600</v>
      </c>
      <c r="AP1873" s="1078">
        <f t="shared" si="239"/>
        <v>1.7150000000000001</v>
      </c>
      <c r="AQ1873" s="1078" t="str">
        <f t="shared" si="240"/>
        <v>1-4-1S85°Z+S</v>
      </c>
      <c r="AR1873" s="1078" t="str">
        <f t="shared" si="241"/>
        <v>NA</v>
      </c>
      <c r="AS1873" s="1078" t="str">
        <f t="shared" si="242"/>
        <v>170/OFF</v>
      </c>
      <c r="AT1873" s="1078" t="str">
        <f t="shared" si="243"/>
        <v>1-4-1S85°Z+S</v>
      </c>
      <c r="AU1873" s="1078" t="s">
        <v>15547</v>
      </c>
      <c r="AV1873" s="1078" t="str">
        <f t="shared" si="236"/>
        <v>112.6.15</v>
      </c>
      <c r="AW1873" s="1344">
        <f t="shared" si="237"/>
        <v>45092</v>
      </c>
    </row>
    <row r="1874" spans="1:49">
      <c r="A1874" s="1077" t="s">
        <v>6147</v>
      </c>
      <c r="B1874" s="1077" t="s">
        <v>5873</v>
      </c>
      <c r="C1874" s="1077">
        <v>600</v>
      </c>
      <c r="D1874" s="1077">
        <v>1.75</v>
      </c>
      <c r="E1874" s="1077" t="s">
        <v>15099</v>
      </c>
      <c r="F1874" s="1077" t="s">
        <v>975</v>
      </c>
      <c r="G1874" s="1077">
        <v>5</v>
      </c>
      <c r="H1874" s="1077" t="s">
        <v>5888</v>
      </c>
      <c r="I1874" s="1077" t="s">
        <v>460</v>
      </c>
      <c r="J1874" s="1077">
        <v>2.6</v>
      </c>
      <c r="K1874" s="1077" t="s">
        <v>6148</v>
      </c>
      <c r="L1874" s="1077" t="s">
        <v>5876</v>
      </c>
      <c r="M1874" s="1077">
        <v>152</v>
      </c>
      <c r="N1874" s="1077" t="s">
        <v>945</v>
      </c>
      <c r="O1874" s="1077">
        <v>3.8000000000000003</v>
      </c>
      <c r="P1874" s="1077">
        <v>3.04</v>
      </c>
      <c r="Q1874" s="1077">
        <v>3.5</v>
      </c>
      <c r="R1874" s="1077">
        <v>22</v>
      </c>
      <c r="T1874" s="1077">
        <v>29</v>
      </c>
      <c r="U1874" s="1077">
        <v>3.8</v>
      </c>
      <c r="V1874" s="1077" t="s">
        <v>648</v>
      </c>
      <c r="W1874" s="1077">
        <v>110</v>
      </c>
      <c r="X1874" s="1077">
        <v>60</v>
      </c>
      <c r="Y1874" s="1077">
        <v>1.5</v>
      </c>
      <c r="Z1874" s="1077">
        <v>6</v>
      </c>
      <c r="AA1874" s="1077" t="s">
        <v>3605</v>
      </c>
      <c r="AH1874" s="1077" t="s">
        <v>5759</v>
      </c>
      <c r="AI1874" s="1077">
        <v>18.190000000000001</v>
      </c>
      <c r="AJ1874" s="1077">
        <v>-0.4</v>
      </c>
      <c r="AK1874" s="1077">
        <v>0.3</v>
      </c>
      <c r="AM1874" s="1078" t="s">
        <v>12752</v>
      </c>
      <c r="AN1874" s="1078" t="s">
        <v>12753</v>
      </c>
      <c r="AO1874" s="1078">
        <f t="shared" si="238"/>
        <v>600</v>
      </c>
      <c r="AP1874" s="1078">
        <f t="shared" si="239"/>
        <v>1.75</v>
      </c>
      <c r="AQ1874" s="1078" t="str">
        <f t="shared" si="240"/>
        <v>1-5-1S87°</v>
      </c>
      <c r="AR1874" s="1078" t="str">
        <f t="shared" si="241"/>
        <v>31.5</v>
      </c>
      <c r="AS1874" s="1078" t="str">
        <f t="shared" si="242"/>
        <v>340/340/OFF</v>
      </c>
      <c r="AT1874" s="1078" t="str">
        <f t="shared" si="243"/>
        <v>1-5-1S87°</v>
      </c>
      <c r="AV1874" s="1078" t="str">
        <f t="shared" si="236"/>
        <v>112.6.19</v>
      </c>
      <c r="AW1874" s="1344">
        <f t="shared" si="237"/>
        <v>45096</v>
      </c>
    </row>
    <row r="1875" spans="1:49">
      <c r="A1875" s="1077" t="s">
        <v>6149</v>
      </c>
      <c r="B1875" s="1077" t="s">
        <v>210</v>
      </c>
      <c r="C1875" s="1077">
        <v>650</v>
      </c>
      <c r="D1875" s="1077">
        <v>1.76</v>
      </c>
      <c r="E1875" s="1077" t="s">
        <v>15094</v>
      </c>
      <c r="F1875" s="1077" t="s">
        <v>984</v>
      </c>
      <c r="G1875" s="1077">
        <v>5</v>
      </c>
      <c r="H1875" s="1077" t="s">
        <v>5483</v>
      </c>
      <c r="I1875" s="1077" t="s">
        <v>126</v>
      </c>
      <c r="J1875" s="1077">
        <v>0.8</v>
      </c>
      <c r="K1875" s="1077" t="s">
        <v>5481</v>
      </c>
      <c r="L1875" s="1077" t="s">
        <v>4666</v>
      </c>
      <c r="M1875" s="1077">
        <v>151.5</v>
      </c>
      <c r="N1875" s="1077" t="s">
        <v>945</v>
      </c>
      <c r="O1875" s="1077">
        <v>3.7875000000000001</v>
      </c>
      <c r="P1875" s="1077">
        <v>3.0300000000000002</v>
      </c>
      <c r="Q1875" s="1077">
        <v>4</v>
      </c>
      <c r="R1875" s="1077">
        <v>19.100000000000001</v>
      </c>
      <c r="T1875" s="1077">
        <v>23.7</v>
      </c>
      <c r="U1875" s="1077">
        <v>3.2</v>
      </c>
      <c r="V1875" s="1077" t="s">
        <v>648</v>
      </c>
      <c r="W1875" s="1077">
        <v>35</v>
      </c>
      <c r="X1875" s="1077">
        <v>10</v>
      </c>
      <c r="Y1875" s="1077">
        <v>1</v>
      </c>
      <c r="Z1875" s="1077">
        <v>6</v>
      </c>
      <c r="AA1875" s="1077" t="s">
        <v>3605</v>
      </c>
      <c r="AH1875" s="1077" t="s">
        <v>722</v>
      </c>
      <c r="AI1875" s="1077">
        <v>91.72</v>
      </c>
      <c r="AJ1875" s="1077">
        <v>-0.6</v>
      </c>
      <c r="AK1875" s="1077">
        <v>1.04</v>
      </c>
      <c r="AM1875" s="1078" t="s">
        <v>12754</v>
      </c>
      <c r="AN1875" s="1078" t="s">
        <v>12755</v>
      </c>
      <c r="AO1875" s="1078">
        <f t="shared" si="238"/>
        <v>650</v>
      </c>
      <c r="AP1875" s="1078">
        <f t="shared" si="239"/>
        <v>1.76</v>
      </c>
      <c r="AQ1875" s="1078" t="str">
        <f t="shared" si="240"/>
        <v>1-5-1S91°</v>
      </c>
      <c r="AR1875" s="1078" t="str">
        <f t="shared" si="241"/>
        <v>30</v>
      </c>
      <c r="AS1875" s="1078" t="str">
        <f t="shared" si="242"/>
        <v>350/310/150</v>
      </c>
      <c r="AT1875" s="1078" t="str">
        <f t="shared" si="243"/>
        <v>1-5-1S91°</v>
      </c>
      <c r="AV1875" s="1078" t="str">
        <f t="shared" si="236"/>
        <v>112.6.19</v>
      </c>
      <c r="AW1875" s="1344">
        <f t="shared" si="237"/>
        <v>45096</v>
      </c>
    </row>
    <row r="1876" spans="1:49">
      <c r="A1876" s="1077" t="s">
        <v>6150</v>
      </c>
      <c r="B1876" s="1077" t="s">
        <v>6151</v>
      </c>
      <c r="C1876" s="1077">
        <v>600</v>
      </c>
      <c r="D1876" s="1077">
        <v>1.76</v>
      </c>
      <c r="E1876" s="1077" t="s">
        <v>15094</v>
      </c>
      <c r="F1876" s="1077" t="s">
        <v>954</v>
      </c>
      <c r="G1876" s="1077">
        <v>5</v>
      </c>
      <c r="H1876" s="1077" t="s">
        <v>5126</v>
      </c>
      <c r="I1876" s="1077" t="s">
        <v>460</v>
      </c>
      <c r="J1876" s="1077">
        <v>3.9</v>
      </c>
      <c r="K1876" s="1077" t="s">
        <v>6152</v>
      </c>
      <c r="L1876" s="1077" t="s">
        <v>6153</v>
      </c>
      <c r="M1876" s="1077">
        <v>151.69999999999999</v>
      </c>
      <c r="N1876" s="1077" t="s">
        <v>945</v>
      </c>
      <c r="O1876" s="1077">
        <v>3.7925</v>
      </c>
      <c r="P1876" s="1077">
        <v>3.0339999999999998</v>
      </c>
      <c r="Q1876" s="1077">
        <v>3</v>
      </c>
      <c r="R1876" s="1077">
        <v>19.7</v>
      </c>
      <c r="T1876" s="1077">
        <v>11.5</v>
      </c>
      <c r="U1876" s="1077">
        <v>5.3</v>
      </c>
      <c r="V1876" s="1077" t="s">
        <v>648</v>
      </c>
      <c r="W1876" s="1077">
        <v>105</v>
      </c>
      <c r="X1876" s="1077">
        <v>95</v>
      </c>
      <c r="Y1876" s="1077">
        <v>1.5</v>
      </c>
      <c r="Z1876" s="1077">
        <v>5</v>
      </c>
      <c r="AA1876" s="1077" t="s">
        <v>3605</v>
      </c>
      <c r="AB1876" s="1077" t="s">
        <v>6154</v>
      </c>
      <c r="AH1876" s="1077" t="s">
        <v>990</v>
      </c>
      <c r="AI1876" s="1077">
        <v>91.66</v>
      </c>
      <c r="AJ1876" s="1077">
        <v>-1.38</v>
      </c>
      <c r="AK1876" s="1077">
        <v>0.73</v>
      </c>
      <c r="AM1876" s="1078" t="s">
        <v>12756</v>
      </c>
      <c r="AN1876" s="1078" t="s">
        <v>12757</v>
      </c>
      <c r="AO1876" s="1078">
        <f t="shared" si="238"/>
        <v>600</v>
      </c>
      <c r="AP1876" s="1078">
        <f t="shared" si="239"/>
        <v>1.76</v>
      </c>
      <c r="AQ1876" s="1078" t="str">
        <f t="shared" si="240"/>
        <v>1-5-1S91°</v>
      </c>
      <c r="AR1876" s="1078" t="str">
        <f t="shared" si="241"/>
        <v>31</v>
      </c>
      <c r="AS1876" s="1078" t="str">
        <f t="shared" si="242"/>
        <v>300/300/140</v>
      </c>
      <c r="AT1876" s="1078" t="str">
        <f t="shared" si="243"/>
        <v>1-5-1S91°</v>
      </c>
      <c r="AV1876" s="1078" t="str">
        <f t="shared" si="236"/>
        <v>112.6.19</v>
      </c>
      <c r="AW1876" s="1344">
        <f t="shared" si="237"/>
        <v>45096</v>
      </c>
    </row>
    <row r="1877" spans="1:49">
      <c r="A1877" s="1077" t="s">
        <v>6155</v>
      </c>
      <c r="B1877" s="1077" t="s">
        <v>5887</v>
      </c>
      <c r="C1877" s="1077">
        <v>600</v>
      </c>
      <c r="D1877" s="1077">
        <v>1.8049999999999999</v>
      </c>
      <c r="E1877" s="1077" t="s">
        <v>15094</v>
      </c>
      <c r="F1877" s="1077" t="s">
        <v>2234</v>
      </c>
      <c r="G1877" s="1077">
        <v>5</v>
      </c>
      <c r="H1877" s="1077" t="s">
        <v>5888</v>
      </c>
      <c r="I1877" s="1077" t="s">
        <v>460</v>
      </c>
      <c r="J1877" s="1077">
        <v>2.7</v>
      </c>
      <c r="K1877" s="1077" t="s">
        <v>6156</v>
      </c>
      <c r="L1877" s="1077" t="s">
        <v>5787</v>
      </c>
      <c r="M1877" s="1077">
        <v>150.19999999999999</v>
      </c>
      <c r="N1877" s="1077" t="s">
        <v>945</v>
      </c>
      <c r="O1877" s="1077">
        <v>3.7549999999999999</v>
      </c>
      <c r="P1877" s="1077">
        <v>3.004</v>
      </c>
      <c r="Q1877" s="1077">
        <v>4</v>
      </c>
      <c r="R1877" s="1077">
        <v>21.7</v>
      </c>
      <c r="T1877" s="1077">
        <v>30.1</v>
      </c>
      <c r="U1877" s="1077">
        <v>3.1</v>
      </c>
      <c r="V1877" s="1077" t="s">
        <v>648</v>
      </c>
      <c r="W1877" s="1077">
        <v>110</v>
      </c>
      <c r="X1877" s="1077">
        <v>65</v>
      </c>
      <c r="Y1877" s="1077">
        <v>2</v>
      </c>
      <c r="Z1877" s="1077">
        <v>7</v>
      </c>
      <c r="AA1877" s="1077" t="s">
        <v>6157</v>
      </c>
      <c r="AH1877" s="1077" t="s">
        <v>6158</v>
      </c>
      <c r="AI1877" s="1077">
        <v>93.68</v>
      </c>
      <c r="AJ1877" s="1077">
        <v>-0.38</v>
      </c>
      <c r="AK1877" s="1077">
        <v>1.43</v>
      </c>
      <c r="AM1877" s="1078" t="s">
        <v>12758</v>
      </c>
      <c r="AN1877" s="1078" t="s">
        <v>12759</v>
      </c>
      <c r="AO1877" s="1078">
        <f t="shared" si="238"/>
        <v>600</v>
      </c>
      <c r="AP1877" s="1078">
        <f t="shared" si="239"/>
        <v>1.8049999999999999</v>
      </c>
      <c r="AQ1877" s="1078" t="str">
        <f t="shared" si="240"/>
        <v>1-5-1S91°</v>
      </c>
      <c r="AR1877" s="1078" t="str">
        <f t="shared" si="241"/>
        <v>33.5</v>
      </c>
      <c r="AS1877" s="1078" t="str">
        <f t="shared" si="242"/>
        <v>340/340/OFF</v>
      </c>
      <c r="AT1877" s="1078" t="str">
        <f t="shared" si="243"/>
        <v>1-5-1S91°</v>
      </c>
      <c r="AV1877" s="1078" t="str">
        <f t="shared" si="236"/>
        <v>112.6.27</v>
      </c>
      <c r="AW1877" s="1344">
        <f t="shared" si="237"/>
        <v>45104</v>
      </c>
    </row>
    <row r="1878" spans="1:49">
      <c r="A1878" s="1077" t="s">
        <v>6159</v>
      </c>
      <c r="B1878" s="1077" t="s">
        <v>5372</v>
      </c>
      <c r="C1878" s="1077">
        <v>600</v>
      </c>
      <c r="D1878" s="1077">
        <v>1.7250000000000001</v>
      </c>
      <c r="E1878" s="1077" t="s">
        <v>15104</v>
      </c>
      <c r="F1878" s="1077" t="s">
        <v>648</v>
      </c>
      <c r="G1878" s="1077">
        <v>5</v>
      </c>
      <c r="H1878" s="1077" t="s">
        <v>2192</v>
      </c>
      <c r="I1878" s="1077" t="s">
        <v>126</v>
      </c>
      <c r="J1878" s="1077">
        <v>1.4</v>
      </c>
      <c r="K1878" s="1077" t="s">
        <v>6160</v>
      </c>
      <c r="L1878" s="1077" t="s">
        <v>1776</v>
      </c>
      <c r="M1878" s="1077">
        <v>149</v>
      </c>
      <c r="N1878" s="1077" t="s">
        <v>945</v>
      </c>
      <c r="O1878" s="1077">
        <v>3.7250000000000001</v>
      </c>
      <c r="P1878" s="1077">
        <v>2.98</v>
      </c>
      <c r="Q1878" s="1077">
        <v>4</v>
      </c>
      <c r="R1878" s="1077">
        <v>21.8</v>
      </c>
      <c r="T1878" s="1077">
        <v>22.6</v>
      </c>
      <c r="U1878" s="1077">
        <v>3.6</v>
      </c>
      <c r="V1878" s="1077" t="s">
        <v>2520</v>
      </c>
      <c r="W1878" s="1077">
        <v>120</v>
      </c>
      <c r="X1878" s="1077">
        <v>70</v>
      </c>
      <c r="Y1878" s="1077">
        <v>1.5</v>
      </c>
      <c r="Z1878" s="1077" t="s">
        <v>648</v>
      </c>
      <c r="AA1878" s="1077" t="s">
        <v>3580</v>
      </c>
      <c r="AH1878" s="1077" t="s">
        <v>948</v>
      </c>
      <c r="AI1878" s="1077">
        <v>92.66</v>
      </c>
      <c r="AJ1878" s="1077">
        <v>-0.56000000000000005</v>
      </c>
      <c r="AK1878" s="1077">
        <v>0.86</v>
      </c>
      <c r="AM1878" s="1078" t="s">
        <v>12760</v>
      </c>
      <c r="AN1878" s="1078" t="s">
        <v>12761</v>
      </c>
      <c r="AO1878" s="1078">
        <f t="shared" si="238"/>
        <v>600</v>
      </c>
      <c r="AP1878" s="1078">
        <f t="shared" si="239"/>
        <v>1.7250000000000001</v>
      </c>
      <c r="AQ1878" s="1078" t="str">
        <f t="shared" si="240"/>
        <v>1-4-1S85°Z+S</v>
      </c>
      <c r="AR1878" s="1078" t="str">
        <f t="shared" si="241"/>
        <v>NA</v>
      </c>
      <c r="AS1878" s="1078" t="str">
        <f t="shared" si="242"/>
        <v>180/OFF</v>
      </c>
      <c r="AT1878" s="1078" t="str">
        <f t="shared" si="243"/>
        <v>1-4-1S85°Z+S</v>
      </c>
      <c r="AU1878" s="1078" t="s">
        <v>15547</v>
      </c>
      <c r="AV1878" s="1078" t="str">
        <f t="shared" si="236"/>
        <v>112.6.26</v>
      </c>
      <c r="AW1878" s="1344">
        <f t="shared" si="237"/>
        <v>45103</v>
      </c>
    </row>
    <row r="1879" spans="1:49">
      <c r="A1879" s="1077" t="s">
        <v>6161</v>
      </c>
      <c r="B1879" s="1077" t="s">
        <v>757</v>
      </c>
      <c r="C1879" s="1077">
        <v>500</v>
      </c>
      <c r="D1879" s="1077">
        <v>1.76</v>
      </c>
      <c r="E1879" s="1077" t="s">
        <v>15119</v>
      </c>
      <c r="F1879" s="1077" t="s">
        <v>975</v>
      </c>
      <c r="G1879" s="1077">
        <v>4</v>
      </c>
      <c r="H1879" s="1077" t="s">
        <v>6116</v>
      </c>
      <c r="I1879" s="1077" t="s">
        <v>126</v>
      </c>
      <c r="J1879" s="1077">
        <v>3.3</v>
      </c>
      <c r="K1879" s="1077" t="s">
        <v>6117</v>
      </c>
      <c r="L1879" s="1077" t="s">
        <v>6118</v>
      </c>
      <c r="M1879" s="1077">
        <v>148.5</v>
      </c>
      <c r="N1879" s="1077" t="s">
        <v>945</v>
      </c>
      <c r="O1879" s="1077">
        <v>3.7125000000000004</v>
      </c>
      <c r="P1879" s="1077">
        <v>2.97</v>
      </c>
      <c r="Q1879" s="1077">
        <v>3.5</v>
      </c>
      <c r="R1879" s="1077">
        <v>21.5</v>
      </c>
      <c r="T1879" s="1077">
        <v>30</v>
      </c>
      <c r="U1879" s="1077">
        <v>3.6</v>
      </c>
      <c r="V1879" s="1077" t="s">
        <v>648</v>
      </c>
      <c r="W1879" s="1077">
        <v>120</v>
      </c>
      <c r="X1879" s="1077">
        <v>70</v>
      </c>
      <c r="Y1879" s="1077">
        <v>1.8</v>
      </c>
      <c r="Z1879" s="1077">
        <v>6.5</v>
      </c>
      <c r="AA1879" s="1077" t="s">
        <v>6157</v>
      </c>
      <c r="AH1879" s="1077" t="s">
        <v>884</v>
      </c>
      <c r="AI1879" s="1077">
        <v>13.41</v>
      </c>
      <c r="AJ1879" s="1077">
        <v>0.04</v>
      </c>
      <c r="AK1879" s="1077">
        <v>0.34</v>
      </c>
      <c r="AM1879" s="1078" t="s">
        <v>12762</v>
      </c>
      <c r="AN1879" s="1078" t="s">
        <v>12763</v>
      </c>
      <c r="AO1879" s="1078">
        <f t="shared" si="238"/>
        <v>500</v>
      </c>
      <c r="AP1879" s="1078">
        <f t="shared" si="239"/>
        <v>1.76</v>
      </c>
      <c r="AQ1879" s="1078" t="str">
        <f t="shared" si="240"/>
        <v>1-5-1S87</v>
      </c>
      <c r="AR1879" s="1078" t="str">
        <f t="shared" si="241"/>
        <v>31.5</v>
      </c>
      <c r="AS1879" s="1078" t="str">
        <f t="shared" si="242"/>
        <v>320/320/OFF</v>
      </c>
      <c r="AT1879" s="1078" t="str">
        <f t="shared" si="243"/>
        <v>1-5-1S87</v>
      </c>
      <c r="AV1879" s="1078" t="str">
        <f t="shared" si="236"/>
        <v>112.6.27</v>
      </c>
      <c r="AW1879" s="1344">
        <f t="shared" si="237"/>
        <v>45104</v>
      </c>
    </row>
    <row r="1880" spans="1:49">
      <c r="A1880" s="1077" t="s">
        <v>6162</v>
      </c>
      <c r="B1880" s="1077" t="s">
        <v>210</v>
      </c>
      <c r="C1880" s="1077">
        <v>650</v>
      </c>
      <c r="D1880" s="1077">
        <v>1.76</v>
      </c>
      <c r="E1880" s="1077" t="s">
        <v>15094</v>
      </c>
      <c r="F1880" s="1077" t="s">
        <v>984</v>
      </c>
      <c r="G1880" s="1077">
        <v>5</v>
      </c>
      <c r="H1880" s="1077" t="s">
        <v>5483</v>
      </c>
      <c r="I1880" s="1077" t="s">
        <v>126</v>
      </c>
      <c r="J1880" s="1077">
        <v>0.8</v>
      </c>
      <c r="K1880" s="1077" t="s">
        <v>5481</v>
      </c>
      <c r="L1880" s="1077" t="s">
        <v>4666</v>
      </c>
      <c r="M1880" s="1077">
        <v>151.5</v>
      </c>
      <c r="N1880" s="1077" t="s">
        <v>945</v>
      </c>
      <c r="O1880" s="1077">
        <v>3.7875000000000001</v>
      </c>
      <c r="P1880" s="1077">
        <v>3.0300000000000002</v>
      </c>
      <c r="Q1880" s="1077">
        <v>4</v>
      </c>
      <c r="R1880" s="1077">
        <v>19.100000000000001</v>
      </c>
      <c r="T1880" s="1077">
        <v>23.7</v>
      </c>
      <c r="U1880" s="1077">
        <v>3.2</v>
      </c>
      <c r="V1880" s="1077" t="s">
        <v>648</v>
      </c>
      <c r="W1880" s="1077">
        <v>35</v>
      </c>
      <c r="X1880" s="1077">
        <v>10</v>
      </c>
      <c r="Y1880" s="1077">
        <v>1</v>
      </c>
      <c r="Z1880" s="1077">
        <v>6</v>
      </c>
      <c r="AA1880" s="1077" t="s">
        <v>6163</v>
      </c>
      <c r="AH1880" s="1077" t="s">
        <v>684</v>
      </c>
      <c r="AI1880" s="1077">
        <v>91.55</v>
      </c>
      <c r="AJ1880" s="1077">
        <v>-0.18</v>
      </c>
      <c r="AK1880" s="1077">
        <v>1.1200000000000001</v>
      </c>
      <c r="AM1880" s="1078" t="s">
        <v>12764</v>
      </c>
      <c r="AN1880" s="1078" t="s">
        <v>12765</v>
      </c>
      <c r="AO1880" s="1078">
        <f t="shared" si="238"/>
        <v>650</v>
      </c>
      <c r="AP1880" s="1078">
        <f t="shared" si="239"/>
        <v>1.76</v>
      </c>
      <c r="AQ1880" s="1078" t="str">
        <f t="shared" si="240"/>
        <v>1-5-1S91°</v>
      </c>
      <c r="AR1880" s="1078" t="str">
        <f t="shared" si="241"/>
        <v>30</v>
      </c>
      <c r="AS1880" s="1078" t="str">
        <f t="shared" si="242"/>
        <v>350/310/150</v>
      </c>
      <c r="AT1880" s="1078" t="str">
        <f t="shared" si="243"/>
        <v>1-5-1S91°</v>
      </c>
      <c r="AV1880" s="1078" t="str">
        <f t="shared" si="236"/>
        <v>112.6.29</v>
      </c>
      <c r="AW1880" s="1344">
        <f t="shared" si="237"/>
        <v>45106</v>
      </c>
    </row>
    <row r="1881" spans="1:49">
      <c r="A1881" s="1077" t="s">
        <v>6164</v>
      </c>
      <c r="B1881" s="1077" t="s">
        <v>617</v>
      </c>
      <c r="C1881" s="1077">
        <v>600</v>
      </c>
      <c r="D1881" s="1077">
        <v>1.75</v>
      </c>
      <c r="E1881" s="1077" t="s">
        <v>15094</v>
      </c>
      <c r="F1881" s="1077" t="s">
        <v>984</v>
      </c>
      <c r="G1881" s="1077">
        <v>5</v>
      </c>
      <c r="H1881" s="1077" t="s">
        <v>955</v>
      </c>
      <c r="I1881" s="1077" t="s">
        <v>126</v>
      </c>
      <c r="J1881" s="1077">
        <v>2.5</v>
      </c>
      <c r="K1881" s="1077" t="s">
        <v>6165</v>
      </c>
      <c r="L1881" s="1077" t="s">
        <v>4854</v>
      </c>
      <c r="M1881" s="1077">
        <v>150.30000000000001</v>
      </c>
      <c r="N1881" s="1077" t="s">
        <v>945</v>
      </c>
      <c r="O1881" s="1077">
        <v>3.7575000000000003</v>
      </c>
      <c r="P1881" s="1077">
        <v>3.0060000000000002</v>
      </c>
      <c r="Q1881" s="1077">
        <v>3</v>
      </c>
      <c r="R1881" s="1077">
        <v>30</v>
      </c>
      <c r="T1881" s="1077">
        <v>13</v>
      </c>
      <c r="U1881" s="1077">
        <v>7</v>
      </c>
      <c r="V1881" s="1077" t="s">
        <v>648</v>
      </c>
      <c r="W1881" s="1077">
        <v>115</v>
      </c>
      <c r="X1881" s="1077">
        <v>50</v>
      </c>
      <c r="Y1881" s="1077">
        <v>1.7</v>
      </c>
      <c r="Z1881" s="1077">
        <v>6.5</v>
      </c>
      <c r="AA1881" s="1077" t="s">
        <v>6166</v>
      </c>
      <c r="AH1881" s="1077" t="s">
        <v>877</v>
      </c>
      <c r="AI1881" s="1077">
        <v>91.85</v>
      </c>
      <c r="AJ1881" s="1077">
        <v>-0.95</v>
      </c>
      <c r="AK1881" s="1077">
        <v>5.15</v>
      </c>
      <c r="AM1881" s="1078" t="s">
        <v>12766</v>
      </c>
      <c r="AN1881" s="1078" t="s">
        <v>12767</v>
      </c>
      <c r="AO1881" s="1078">
        <f t="shared" si="238"/>
        <v>600</v>
      </c>
      <c r="AP1881" s="1078">
        <f t="shared" si="239"/>
        <v>1.75</v>
      </c>
      <c r="AQ1881" s="1078" t="str">
        <f t="shared" si="240"/>
        <v>1-5-1S91°</v>
      </c>
      <c r="AR1881" s="1078" t="str">
        <f t="shared" si="241"/>
        <v>30</v>
      </c>
      <c r="AS1881" s="1078" t="str">
        <f t="shared" si="242"/>
        <v>260/260/OFF</v>
      </c>
      <c r="AT1881" s="1078" t="str">
        <f t="shared" si="243"/>
        <v>1-5-1S91°</v>
      </c>
      <c r="AV1881" s="1078" t="str">
        <f t="shared" si="236"/>
        <v>112.7.3</v>
      </c>
      <c r="AW1881" s="1344">
        <f t="shared" si="237"/>
        <v>45110</v>
      </c>
    </row>
    <row r="1882" spans="1:49">
      <c r="A1882" s="1077" t="s">
        <v>6167</v>
      </c>
      <c r="B1882" s="1077" t="s">
        <v>5068</v>
      </c>
      <c r="C1882" s="1077">
        <v>700</v>
      </c>
      <c r="D1882" s="1077">
        <v>1.75</v>
      </c>
      <c r="E1882" s="1077" t="s">
        <v>15104</v>
      </c>
      <c r="F1882" s="1077" t="s">
        <v>648</v>
      </c>
      <c r="G1882" s="1077">
        <v>5</v>
      </c>
      <c r="H1882" s="1077" t="s">
        <v>941</v>
      </c>
      <c r="I1882" s="1077" t="s">
        <v>643</v>
      </c>
      <c r="J1882" s="1077">
        <v>1.5</v>
      </c>
      <c r="K1882" s="1077" t="s">
        <v>6168</v>
      </c>
      <c r="L1882" s="1077" t="s">
        <v>1913</v>
      </c>
      <c r="M1882" s="1077">
        <v>150</v>
      </c>
      <c r="N1882" s="1077" t="s">
        <v>945</v>
      </c>
      <c r="O1882" s="1077">
        <v>3.75</v>
      </c>
      <c r="P1882" s="1077">
        <v>3</v>
      </c>
      <c r="Q1882" s="1077" t="s">
        <v>956</v>
      </c>
      <c r="R1882" s="1077">
        <v>20.8</v>
      </c>
      <c r="T1882" s="1077">
        <v>29.1</v>
      </c>
      <c r="U1882" s="1077">
        <v>3.4</v>
      </c>
      <c r="V1882" s="1077" t="s">
        <v>2520</v>
      </c>
      <c r="W1882" s="1077">
        <v>80</v>
      </c>
      <c r="X1882" s="1077">
        <v>60</v>
      </c>
      <c r="Y1882" s="1077">
        <v>1.5</v>
      </c>
      <c r="Z1882" s="1077" t="s">
        <v>648</v>
      </c>
      <c r="AA1882" s="1077" t="s">
        <v>5175</v>
      </c>
      <c r="AH1882" s="1077" t="s">
        <v>842</v>
      </c>
      <c r="AM1882" s="1078" t="s">
        <v>12768</v>
      </c>
      <c r="AN1882" s="1078" t="s">
        <v>12769</v>
      </c>
      <c r="AO1882" s="1078">
        <f t="shared" si="238"/>
        <v>700</v>
      </c>
      <c r="AP1882" s="1078">
        <f t="shared" si="239"/>
        <v>1.75</v>
      </c>
      <c r="AQ1882" s="1078" t="str">
        <f t="shared" si="240"/>
        <v>1-4-1S85°Z+S</v>
      </c>
      <c r="AR1882" s="1078" t="str">
        <f t="shared" si="241"/>
        <v>NA</v>
      </c>
      <c r="AS1882" s="1078" t="str">
        <f t="shared" si="242"/>
        <v>185/OFF</v>
      </c>
      <c r="AT1882" s="1078" t="str">
        <f t="shared" si="243"/>
        <v>1-4-1S85°Z+S</v>
      </c>
      <c r="AU1882" s="1078" t="s">
        <v>15547</v>
      </c>
      <c r="AV1882" s="1078" t="str">
        <f t="shared" si="236"/>
        <v>109.1.10</v>
      </c>
      <c r="AW1882" s="1344">
        <f t="shared" si="237"/>
        <v>43840</v>
      </c>
    </row>
    <row r="1883" spans="1:49">
      <c r="A1883" s="1077" t="s">
        <v>6169</v>
      </c>
      <c r="B1883" s="1077" t="s">
        <v>4885</v>
      </c>
      <c r="C1883" s="1077">
        <v>600</v>
      </c>
      <c r="D1883" s="1077">
        <v>1.772</v>
      </c>
      <c r="E1883" s="1077" t="s">
        <v>15094</v>
      </c>
      <c r="F1883" s="1077" t="s">
        <v>1119</v>
      </c>
      <c r="G1883" s="1077">
        <v>5</v>
      </c>
      <c r="H1883" s="1077" t="s">
        <v>6170</v>
      </c>
      <c r="I1883" s="1077" t="s">
        <v>126</v>
      </c>
      <c r="J1883" s="1077">
        <v>4.0999999999999996</v>
      </c>
      <c r="K1883" s="1077" t="s">
        <v>5053</v>
      </c>
      <c r="L1883" s="1077" t="s">
        <v>5054</v>
      </c>
      <c r="M1883" s="1077">
        <v>152.5</v>
      </c>
      <c r="N1883" s="1077" t="s">
        <v>945</v>
      </c>
      <c r="O1883" s="1077">
        <v>3.8125</v>
      </c>
      <c r="P1883" s="1077">
        <v>3.0500000000000003</v>
      </c>
      <c r="Q1883" s="1077" t="s">
        <v>2950</v>
      </c>
      <c r="R1883" s="1077">
        <v>21.5</v>
      </c>
      <c r="T1883" s="1077">
        <v>17.5</v>
      </c>
      <c r="U1883" s="1077">
        <v>2.9</v>
      </c>
      <c r="V1883" s="1077" t="s">
        <v>648</v>
      </c>
      <c r="W1883" s="1077">
        <v>125</v>
      </c>
      <c r="X1883" s="1077">
        <v>90</v>
      </c>
      <c r="Y1883" s="1077">
        <v>1.9</v>
      </c>
      <c r="Z1883" s="1077">
        <v>5.5</v>
      </c>
      <c r="AA1883" s="1077" t="s">
        <v>4637</v>
      </c>
      <c r="AH1883" s="1077" t="s">
        <v>884</v>
      </c>
      <c r="AM1883" s="1078" t="s">
        <v>12770</v>
      </c>
      <c r="AN1883" s="1078" t="s">
        <v>12771</v>
      </c>
      <c r="AO1883" s="1078">
        <f t="shared" si="238"/>
        <v>600</v>
      </c>
      <c r="AP1883" s="1078">
        <f t="shared" si="239"/>
        <v>1.772</v>
      </c>
      <c r="AQ1883" s="1078" t="str">
        <f t="shared" si="240"/>
        <v>1-5-1S91°</v>
      </c>
      <c r="AR1883" s="1078" t="str">
        <f t="shared" si="241"/>
        <v>29</v>
      </c>
      <c r="AS1883" s="1078" t="str">
        <f t="shared" si="242"/>
        <v>335/335/152</v>
      </c>
      <c r="AT1883" s="1078" t="str">
        <f t="shared" si="243"/>
        <v>1-5-1S91°</v>
      </c>
      <c r="AV1883" s="1078" t="str">
        <f t="shared" si="236"/>
        <v>109.4.10</v>
      </c>
      <c r="AW1883" s="1344">
        <f t="shared" si="237"/>
        <v>43931</v>
      </c>
    </row>
    <row r="1884" spans="1:49">
      <c r="A1884" s="1077" t="s">
        <v>6171</v>
      </c>
      <c r="B1884" s="1077" t="s">
        <v>4950</v>
      </c>
      <c r="C1884" s="1077">
        <v>500</v>
      </c>
      <c r="D1884" s="1077">
        <v>1.78</v>
      </c>
      <c r="E1884" s="1077" t="s">
        <v>15094</v>
      </c>
      <c r="F1884" s="1077" t="s">
        <v>984</v>
      </c>
      <c r="G1884" s="1077">
        <v>5</v>
      </c>
      <c r="H1884" s="1077" t="s">
        <v>1793</v>
      </c>
      <c r="I1884" s="1077" t="s">
        <v>126</v>
      </c>
      <c r="J1884" s="1077">
        <v>0.6</v>
      </c>
      <c r="K1884" s="1077" t="s">
        <v>5961</v>
      </c>
      <c r="L1884" s="1077" t="s">
        <v>4952</v>
      </c>
      <c r="M1884" s="1077">
        <v>152.5</v>
      </c>
      <c r="N1884" s="1077" t="s">
        <v>945</v>
      </c>
      <c r="O1884" s="1077">
        <v>3.8125</v>
      </c>
      <c r="P1884" s="1077">
        <v>3.0500000000000003</v>
      </c>
      <c r="Q1884" s="1077" t="s">
        <v>1005</v>
      </c>
      <c r="R1884" s="1077">
        <v>28.5</v>
      </c>
      <c r="T1884" s="1077">
        <v>19.2</v>
      </c>
      <c r="U1884" s="1077">
        <v>5.0999999999999996</v>
      </c>
      <c r="V1884" s="1077" t="s">
        <v>648</v>
      </c>
      <c r="W1884" s="1077" t="s">
        <v>2709</v>
      </c>
      <c r="X1884" s="1077">
        <v>10</v>
      </c>
      <c r="Y1884" s="1077">
        <v>1.6</v>
      </c>
      <c r="Z1884" s="1077">
        <v>7</v>
      </c>
      <c r="AA1884" s="1077" t="s">
        <v>3011</v>
      </c>
      <c r="AH1884" s="1077" t="s">
        <v>618</v>
      </c>
      <c r="AM1884" s="1078" t="s">
        <v>12772</v>
      </c>
      <c r="AN1884" s="1078" t="s">
        <v>12773</v>
      </c>
      <c r="AO1884" s="1078">
        <f t="shared" si="238"/>
        <v>500</v>
      </c>
      <c r="AP1884" s="1078">
        <f t="shared" si="239"/>
        <v>1.78</v>
      </c>
      <c r="AQ1884" s="1078" t="str">
        <f t="shared" si="240"/>
        <v>1-5-1S91°</v>
      </c>
      <c r="AR1884" s="1078" t="str">
        <f t="shared" si="241"/>
        <v>30</v>
      </c>
      <c r="AS1884" s="1078" t="str">
        <f t="shared" si="242"/>
        <v>270/270/OFF</v>
      </c>
      <c r="AT1884" s="1078" t="str">
        <f t="shared" si="243"/>
        <v>1-5-1S91°</v>
      </c>
      <c r="AV1884" s="1078" t="str">
        <f t="shared" si="236"/>
        <v>109.8.5</v>
      </c>
      <c r="AW1884" s="1344">
        <f t="shared" si="237"/>
        <v>44048</v>
      </c>
    </row>
    <row r="1885" spans="1:49">
      <c r="A1885" s="1077" t="s">
        <v>6172</v>
      </c>
      <c r="B1885" s="1077" t="s">
        <v>210</v>
      </c>
      <c r="C1885" s="1077">
        <v>800</v>
      </c>
      <c r="D1885" s="1077">
        <v>1.76</v>
      </c>
      <c r="E1885" s="1077" t="s">
        <v>15094</v>
      </c>
      <c r="F1885" s="1077" t="s">
        <v>984</v>
      </c>
      <c r="G1885" s="1077">
        <v>5</v>
      </c>
      <c r="H1885" s="1077" t="s">
        <v>6173</v>
      </c>
      <c r="I1885" s="1077" t="s">
        <v>126</v>
      </c>
      <c r="J1885" s="1077">
        <v>2.9</v>
      </c>
      <c r="K1885" s="1077" t="s">
        <v>5237</v>
      </c>
      <c r="L1885" s="1077" t="s">
        <v>4666</v>
      </c>
      <c r="M1885" s="1077">
        <v>150.80000000000001</v>
      </c>
      <c r="N1885" s="1077" t="s">
        <v>945</v>
      </c>
      <c r="O1885" s="1077">
        <v>3.7700000000000005</v>
      </c>
      <c r="P1885" s="1077">
        <v>3.0160000000000005</v>
      </c>
      <c r="Q1885" s="1077">
        <v>4</v>
      </c>
      <c r="R1885" s="1077">
        <v>19</v>
      </c>
      <c r="T1885" s="1077">
        <v>28.3</v>
      </c>
      <c r="U1885" s="1077">
        <v>4.3</v>
      </c>
      <c r="V1885" s="1077" t="s">
        <v>648</v>
      </c>
      <c r="W1885" s="1077">
        <v>100</v>
      </c>
      <c r="X1885" s="1077" t="s">
        <v>6174</v>
      </c>
      <c r="Y1885" s="1077">
        <v>1.5</v>
      </c>
      <c r="Z1885" s="1077">
        <v>6.5</v>
      </c>
      <c r="AA1885" s="1077" t="s">
        <v>1208</v>
      </c>
      <c r="AH1885" s="1077" t="s">
        <v>758</v>
      </c>
      <c r="AM1885" s="1078" t="s">
        <v>12774</v>
      </c>
      <c r="AN1885" s="1078" t="s">
        <v>12775</v>
      </c>
      <c r="AO1885" s="1078">
        <f t="shared" si="238"/>
        <v>800</v>
      </c>
      <c r="AP1885" s="1078">
        <f t="shared" si="239"/>
        <v>1.76</v>
      </c>
      <c r="AQ1885" s="1078" t="str">
        <f t="shared" si="240"/>
        <v>1-5-1S91°</v>
      </c>
      <c r="AR1885" s="1078" t="str">
        <f t="shared" si="241"/>
        <v>30</v>
      </c>
      <c r="AS1885" s="1078" t="str">
        <f t="shared" si="242"/>
        <v>383/343/OFF</v>
      </c>
      <c r="AT1885" s="1078" t="str">
        <f t="shared" si="243"/>
        <v>1-5-1S91°</v>
      </c>
      <c r="AV1885" s="1078" t="str">
        <f t="shared" si="236"/>
        <v>109.12.28</v>
      </c>
      <c r="AW1885" s="1344">
        <f t="shared" si="237"/>
        <v>44193</v>
      </c>
    </row>
    <row r="1886" spans="1:49">
      <c r="A1886" s="1077" t="s">
        <v>6175</v>
      </c>
      <c r="B1886" s="1077" t="s">
        <v>5148</v>
      </c>
      <c r="C1886" s="1077">
        <v>650</v>
      </c>
      <c r="D1886" s="1077">
        <v>1.7350000000000001</v>
      </c>
      <c r="E1886" s="1077" t="s">
        <v>15102</v>
      </c>
      <c r="F1886" s="1077" t="s">
        <v>1173</v>
      </c>
      <c r="G1886" s="1077">
        <v>5</v>
      </c>
      <c r="H1886" s="1077" t="s">
        <v>5309</v>
      </c>
      <c r="I1886" s="1077" t="s">
        <v>648</v>
      </c>
      <c r="J1886" s="1077">
        <v>0</v>
      </c>
      <c r="K1886" s="1077" t="s">
        <v>5151</v>
      </c>
      <c r="L1886" s="1077" t="s">
        <v>5152</v>
      </c>
      <c r="M1886" s="1077">
        <v>149.9</v>
      </c>
      <c r="N1886" s="1077" t="s">
        <v>945</v>
      </c>
      <c r="O1886" s="1077">
        <v>3.7475000000000005</v>
      </c>
      <c r="P1886" s="1077">
        <v>2.9980000000000002</v>
      </c>
      <c r="Q1886" s="1077">
        <v>4</v>
      </c>
      <c r="R1886" s="1077">
        <v>24</v>
      </c>
      <c r="T1886" s="1077">
        <v>17</v>
      </c>
      <c r="U1886" s="1077">
        <v>2.6</v>
      </c>
      <c r="V1886" s="1077" t="s">
        <v>648</v>
      </c>
      <c r="W1886" s="1077" t="s">
        <v>648</v>
      </c>
      <c r="X1886" s="1077" t="s">
        <v>648</v>
      </c>
      <c r="Y1886" s="1077">
        <v>1</v>
      </c>
      <c r="Z1886" s="1077">
        <v>4.5</v>
      </c>
      <c r="AA1886" s="1077" t="s">
        <v>3385</v>
      </c>
      <c r="AH1886" s="1077" t="s">
        <v>948</v>
      </c>
      <c r="AM1886" s="1078" t="s">
        <v>12776</v>
      </c>
      <c r="AN1886" s="1078" t="s">
        <v>12777</v>
      </c>
      <c r="AO1886" s="1078">
        <f t="shared" si="238"/>
        <v>650</v>
      </c>
      <c r="AP1886" s="1078">
        <f t="shared" si="239"/>
        <v>1.7350000000000001</v>
      </c>
      <c r="AQ1886" s="1078" t="str">
        <f t="shared" si="240"/>
        <v>2-6-1S83°</v>
      </c>
      <c r="AR1886" s="1078" t="str">
        <f t="shared" si="241"/>
        <v>28.5</v>
      </c>
      <c r="AS1886" s="1078" t="str">
        <f t="shared" si="242"/>
        <v>170/178</v>
      </c>
      <c r="AT1886" s="1078" t="str">
        <f t="shared" si="243"/>
        <v>2-6-1S83°</v>
      </c>
      <c r="AV1886" s="1078" t="str">
        <f t="shared" si="236"/>
        <v>110.2.9</v>
      </c>
      <c r="AW1886" s="1344">
        <f t="shared" si="237"/>
        <v>44236</v>
      </c>
    </row>
    <row r="1887" spans="1:49">
      <c r="A1887" s="1077" t="s">
        <v>6176</v>
      </c>
      <c r="B1887" s="1077" t="s">
        <v>844</v>
      </c>
      <c r="C1887" s="1077">
        <v>600</v>
      </c>
      <c r="D1887" s="1077">
        <v>1.756</v>
      </c>
      <c r="E1887" s="1077" t="s">
        <v>15094</v>
      </c>
      <c r="F1887" s="1077" t="s">
        <v>954</v>
      </c>
      <c r="G1887" s="1077">
        <v>5</v>
      </c>
      <c r="H1887" s="1077" t="s">
        <v>5126</v>
      </c>
      <c r="I1887" s="1077" t="s">
        <v>648</v>
      </c>
      <c r="J1887" s="1077">
        <v>0</v>
      </c>
      <c r="K1887" s="1077" t="s">
        <v>6177</v>
      </c>
      <c r="L1887" s="1077" t="s">
        <v>4907</v>
      </c>
      <c r="M1887" s="1077">
        <v>151</v>
      </c>
      <c r="N1887" s="1077" t="s">
        <v>945</v>
      </c>
      <c r="O1887" s="1077">
        <v>3.7750000000000004</v>
      </c>
      <c r="P1887" s="1077">
        <v>3.02</v>
      </c>
      <c r="Q1887" s="1077">
        <v>3</v>
      </c>
      <c r="R1887" s="1077">
        <v>22.4</v>
      </c>
      <c r="T1887" s="1077">
        <v>15</v>
      </c>
      <c r="U1887" s="1077">
        <v>3.7</v>
      </c>
      <c r="V1887" s="1077" t="s">
        <v>2520</v>
      </c>
      <c r="W1887" s="1077" t="s">
        <v>648</v>
      </c>
      <c r="X1887" s="1077" t="s">
        <v>648</v>
      </c>
      <c r="Y1887" s="1077">
        <v>1.5</v>
      </c>
      <c r="Z1887" s="1077">
        <v>5.5</v>
      </c>
      <c r="AA1887" s="1077" t="s">
        <v>6178</v>
      </c>
      <c r="AH1887" s="1077" t="s">
        <v>966</v>
      </c>
      <c r="AM1887" s="1078" t="s">
        <v>12778</v>
      </c>
      <c r="AN1887" s="1078" t="s">
        <v>12779</v>
      </c>
      <c r="AO1887" s="1078">
        <f t="shared" si="238"/>
        <v>600</v>
      </c>
      <c r="AP1887" s="1078">
        <f t="shared" si="239"/>
        <v>1.756</v>
      </c>
      <c r="AQ1887" s="1078" t="str">
        <f t="shared" si="240"/>
        <v>1-5-1S91°</v>
      </c>
      <c r="AR1887" s="1078" t="str">
        <f t="shared" si="241"/>
        <v>31</v>
      </c>
      <c r="AS1887" s="1078" t="str">
        <f t="shared" si="242"/>
        <v>300/300/140</v>
      </c>
      <c r="AT1887" s="1078" t="str">
        <f t="shared" si="243"/>
        <v>1-5-1S91°</v>
      </c>
      <c r="AV1887" s="1078" t="str">
        <f t="shared" si="236"/>
        <v>110.4.27</v>
      </c>
      <c r="AW1887" s="1344">
        <f t="shared" si="237"/>
        <v>44313</v>
      </c>
    </row>
    <row r="1888" spans="1:49">
      <c r="A1888" s="1077" t="s">
        <v>6179</v>
      </c>
      <c r="B1888" s="1077" t="s">
        <v>4950</v>
      </c>
      <c r="C1888" s="1077">
        <v>500</v>
      </c>
      <c r="D1888" s="1077">
        <v>1.79</v>
      </c>
      <c r="E1888" s="1077" t="s">
        <v>15094</v>
      </c>
      <c r="F1888" s="1077" t="s">
        <v>984</v>
      </c>
      <c r="G1888" s="1077">
        <v>5</v>
      </c>
      <c r="H1888" s="1077" t="s">
        <v>1793</v>
      </c>
      <c r="I1888" s="1077" t="s">
        <v>126</v>
      </c>
      <c r="J1888" s="1077">
        <v>0.6</v>
      </c>
      <c r="K1888" s="1077" t="s">
        <v>6180</v>
      </c>
      <c r="L1888" s="1077" t="s">
        <v>4952</v>
      </c>
      <c r="M1888" s="1077">
        <v>152.5</v>
      </c>
      <c r="N1888" s="1077" t="s">
        <v>945</v>
      </c>
      <c r="O1888" s="1077">
        <v>3.8125</v>
      </c>
      <c r="P1888" s="1077">
        <v>3.0500000000000003</v>
      </c>
      <c r="Q1888" s="1077">
        <v>3</v>
      </c>
      <c r="R1888" s="1077">
        <v>28.5</v>
      </c>
      <c r="T1888" s="1077">
        <v>19.2</v>
      </c>
      <c r="U1888" s="1077">
        <v>5.0999999999999996</v>
      </c>
      <c r="V1888" s="1077" t="s">
        <v>648</v>
      </c>
      <c r="W1888" s="1077" t="s">
        <v>2709</v>
      </c>
      <c r="X1888" s="1077">
        <v>10</v>
      </c>
      <c r="Y1888" s="1077">
        <v>1.6</v>
      </c>
      <c r="Z1888" s="1077">
        <v>7</v>
      </c>
      <c r="AA1888" s="1077" t="s">
        <v>6181</v>
      </c>
      <c r="AH1888" s="1077" t="s">
        <v>3601</v>
      </c>
      <c r="AM1888" s="1078" t="s">
        <v>12780</v>
      </c>
      <c r="AN1888" s="1078" t="s">
        <v>12781</v>
      </c>
      <c r="AO1888" s="1078">
        <f t="shared" si="238"/>
        <v>500</v>
      </c>
      <c r="AP1888" s="1078">
        <f t="shared" si="239"/>
        <v>1.79</v>
      </c>
      <c r="AQ1888" s="1078" t="str">
        <f t="shared" si="240"/>
        <v>1-5-1S91°</v>
      </c>
      <c r="AR1888" s="1078" t="str">
        <f t="shared" si="241"/>
        <v>30</v>
      </c>
      <c r="AS1888" s="1078" t="str">
        <f t="shared" si="242"/>
        <v>270/270/OFF</v>
      </c>
      <c r="AT1888" s="1078" t="str">
        <f t="shared" si="243"/>
        <v>1-5-1S91°</v>
      </c>
      <c r="AV1888" s="1078" t="str">
        <f t="shared" si="236"/>
        <v>110.6.28</v>
      </c>
      <c r="AW1888" s="1344">
        <f t="shared" si="237"/>
        <v>44375</v>
      </c>
    </row>
    <row r="1889" spans="1:49">
      <c r="A1889" s="1077" t="s">
        <v>6182</v>
      </c>
      <c r="B1889" s="1077" t="s">
        <v>210</v>
      </c>
      <c r="C1889" s="1077">
        <v>650</v>
      </c>
      <c r="D1889" s="1077">
        <v>1.76</v>
      </c>
      <c r="E1889" s="1077" t="s">
        <v>15094</v>
      </c>
      <c r="F1889" s="1077" t="s">
        <v>984</v>
      </c>
      <c r="G1889" s="1077">
        <v>5</v>
      </c>
      <c r="H1889" s="1077" t="s">
        <v>6011</v>
      </c>
      <c r="I1889" s="1077" t="s">
        <v>648</v>
      </c>
      <c r="J1889" s="1077">
        <v>0</v>
      </c>
      <c r="K1889" s="1077" t="s">
        <v>5166</v>
      </c>
      <c r="L1889" s="1077" t="s">
        <v>4666</v>
      </c>
      <c r="M1889" s="1077">
        <v>151.5</v>
      </c>
      <c r="N1889" s="1077" t="s">
        <v>945</v>
      </c>
      <c r="O1889" s="1077">
        <v>3.7875000000000001</v>
      </c>
      <c r="P1889" s="1077">
        <v>3.0300000000000002</v>
      </c>
      <c r="Q1889" s="1077">
        <v>4</v>
      </c>
      <c r="R1889" s="1077">
        <v>19.100000000000001</v>
      </c>
      <c r="T1889" s="1077">
        <v>19</v>
      </c>
      <c r="U1889" s="1077">
        <v>2.5</v>
      </c>
      <c r="V1889" s="1077" t="s">
        <v>648</v>
      </c>
      <c r="W1889" s="1077" t="s">
        <v>648</v>
      </c>
      <c r="X1889" s="1077" t="s">
        <v>648</v>
      </c>
      <c r="Y1889" s="1077">
        <v>1</v>
      </c>
      <c r="Z1889" s="1077">
        <v>5</v>
      </c>
      <c r="AA1889" s="1077" t="s">
        <v>6183</v>
      </c>
      <c r="AH1889" s="1077" t="s">
        <v>722</v>
      </c>
      <c r="AM1889" s="1078" t="s">
        <v>12782</v>
      </c>
      <c r="AN1889" s="1078" t="s">
        <v>12783</v>
      </c>
      <c r="AO1889" s="1078">
        <f t="shared" si="238"/>
        <v>650</v>
      </c>
      <c r="AP1889" s="1078">
        <f t="shared" si="239"/>
        <v>1.76</v>
      </c>
      <c r="AQ1889" s="1078" t="str">
        <f t="shared" si="240"/>
        <v>1-5-1S91°</v>
      </c>
      <c r="AR1889" s="1078" t="str">
        <f t="shared" si="241"/>
        <v>30</v>
      </c>
      <c r="AS1889" s="1078" t="str">
        <f t="shared" si="242"/>
        <v>350/310/152</v>
      </c>
      <c r="AT1889" s="1078" t="str">
        <f t="shared" si="243"/>
        <v>1-5-1S91°</v>
      </c>
      <c r="AV1889" s="1078" t="str">
        <f t="shared" si="236"/>
        <v>110.8.18</v>
      </c>
      <c r="AW1889" s="1344">
        <f t="shared" si="237"/>
        <v>44426</v>
      </c>
    </row>
    <row r="1890" spans="1:49">
      <c r="A1890" s="1077" t="s">
        <v>6184</v>
      </c>
      <c r="B1890" s="1077" t="s">
        <v>210</v>
      </c>
      <c r="C1890" s="1077">
        <v>700</v>
      </c>
      <c r="D1890" s="1077">
        <v>1.75</v>
      </c>
      <c r="E1890" s="1077" t="s">
        <v>15094</v>
      </c>
      <c r="F1890" s="1077" t="s">
        <v>984</v>
      </c>
      <c r="G1890" s="1077">
        <v>5</v>
      </c>
      <c r="H1890" s="1077" t="s">
        <v>5300</v>
      </c>
      <c r="I1890" s="1077" t="s">
        <v>126</v>
      </c>
      <c r="J1890" s="1077">
        <v>0.7</v>
      </c>
      <c r="K1890" s="1077" t="s">
        <v>6185</v>
      </c>
      <c r="L1890" s="1077" t="s">
        <v>4666</v>
      </c>
      <c r="M1890" s="1077">
        <v>151.5</v>
      </c>
      <c r="N1890" s="1077" t="s">
        <v>945</v>
      </c>
      <c r="O1890" s="1077">
        <v>3.7875000000000001</v>
      </c>
      <c r="P1890" s="1077">
        <v>3.0300000000000002</v>
      </c>
      <c r="Q1890" s="1077">
        <v>4</v>
      </c>
      <c r="R1890" s="1077">
        <v>19.100000000000001</v>
      </c>
      <c r="T1890" s="1077">
        <v>23.7</v>
      </c>
      <c r="U1890" s="1077">
        <v>3.2</v>
      </c>
      <c r="V1890" s="1077" t="s">
        <v>648</v>
      </c>
      <c r="W1890" s="1077">
        <v>35</v>
      </c>
      <c r="X1890" s="1077">
        <v>10</v>
      </c>
      <c r="Y1890" s="1077">
        <v>1</v>
      </c>
      <c r="Z1890" s="1077">
        <v>6</v>
      </c>
      <c r="AA1890" s="1077" t="s">
        <v>6186</v>
      </c>
      <c r="AH1890" s="1077" t="s">
        <v>4208</v>
      </c>
      <c r="AM1890" s="1078" t="s">
        <v>12784</v>
      </c>
      <c r="AN1890" s="1078" t="s">
        <v>12785</v>
      </c>
      <c r="AO1890" s="1078">
        <f t="shared" si="238"/>
        <v>700</v>
      </c>
      <c r="AP1890" s="1078">
        <f t="shared" si="239"/>
        <v>1.75</v>
      </c>
      <c r="AQ1890" s="1078" t="str">
        <f t="shared" si="240"/>
        <v>1-5-1S91°</v>
      </c>
      <c r="AR1890" s="1078" t="str">
        <f t="shared" si="241"/>
        <v>30</v>
      </c>
      <c r="AS1890" s="1078" t="str">
        <f t="shared" si="242"/>
        <v>370/330/155</v>
      </c>
      <c r="AT1890" s="1078" t="str">
        <f t="shared" si="243"/>
        <v>1-5-1S91°</v>
      </c>
      <c r="AV1890" s="1078" t="str">
        <f t="shared" si="236"/>
        <v>110.10.18</v>
      </c>
      <c r="AW1890" s="1344">
        <f t="shared" si="237"/>
        <v>44487</v>
      </c>
    </row>
    <row r="1891" spans="1:49">
      <c r="A1891" s="1077" t="s">
        <v>6187</v>
      </c>
      <c r="B1891" s="1077" t="s">
        <v>5250</v>
      </c>
      <c r="C1891" s="1077">
        <v>550</v>
      </c>
      <c r="D1891" s="1077">
        <v>1.75</v>
      </c>
      <c r="E1891" s="1077" t="s">
        <v>15102</v>
      </c>
      <c r="F1891" s="1077" t="s">
        <v>4695</v>
      </c>
      <c r="G1891" s="1077">
        <v>5</v>
      </c>
      <c r="H1891" s="1077" t="s">
        <v>5297</v>
      </c>
      <c r="I1891" s="1077" t="s">
        <v>460</v>
      </c>
      <c r="J1891" s="1077">
        <v>1.5</v>
      </c>
      <c r="K1891" s="1077" t="s">
        <v>6188</v>
      </c>
      <c r="L1891" s="1077" t="s">
        <v>5253</v>
      </c>
      <c r="M1891" s="1077">
        <v>151.19999999999999</v>
      </c>
      <c r="N1891" s="1077" t="s">
        <v>945</v>
      </c>
      <c r="O1891" s="1077">
        <v>3.78</v>
      </c>
      <c r="P1891" s="1077">
        <v>3.024</v>
      </c>
      <c r="Q1891" s="1077">
        <v>4</v>
      </c>
      <c r="R1891" s="1077">
        <v>21</v>
      </c>
      <c r="T1891" s="1077">
        <v>20.5</v>
      </c>
      <c r="U1891" s="1077">
        <v>3</v>
      </c>
      <c r="V1891" s="1077" t="s">
        <v>648</v>
      </c>
      <c r="W1891" s="1077">
        <v>100</v>
      </c>
      <c r="X1891" s="1077">
        <v>60</v>
      </c>
      <c r="Y1891" s="1077">
        <v>1</v>
      </c>
      <c r="Z1891" s="1077">
        <v>5.5</v>
      </c>
      <c r="AA1891" s="1077" t="s">
        <v>3984</v>
      </c>
      <c r="AH1891" s="1077" t="s">
        <v>958</v>
      </c>
      <c r="AM1891" s="1078" t="s">
        <v>12786</v>
      </c>
      <c r="AN1891" s="1078" t="s">
        <v>12787</v>
      </c>
      <c r="AO1891" s="1078">
        <f t="shared" si="238"/>
        <v>550</v>
      </c>
      <c r="AP1891" s="1078">
        <f t="shared" si="239"/>
        <v>1.75</v>
      </c>
      <c r="AQ1891" s="1078" t="str">
        <f t="shared" si="240"/>
        <v>2-6-1S83°</v>
      </c>
      <c r="AR1891" s="1078" t="str">
        <f t="shared" si="241"/>
        <v>32.8</v>
      </c>
      <c r="AS1891" s="1078" t="str">
        <f t="shared" si="242"/>
        <v>200/152</v>
      </c>
      <c r="AT1891" s="1078" t="str">
        <f t="shared" si="243"/>
        <v>2-6-1S83°</v>
      </c>
      <c r="AV1891" s="1078" t="str">
        <f t="shared" si="236"/>
        <v>110.11.29</v>
      </c>
      <c r="AW1891" s="1344">
        <f t="shared" si="237"/>
        <v>44529</v>
      </c>
    </row>
    <row r="1892" spans="1:49">
      <c r="A1892" s="1077" t="s">
        <v>6189</v>
      </c>
      <c r="B1892" s="1077" t="s">
        <v>844</v>
      </c>
      <c r="C1892" s="1077">
        <v>550</v>
      </c>
      <c r="D1892" s="1077">
        <v>1.7649999999999999</v>
      </c>
      <c r="E1892" s="1077" t="s">
        <v>15102</v>
      </c>
      <c r="F1892" s="1077" t="s">
        <v>984</v>
      </c>
      <c r="G1892" s="1077">
        <v>5</v>
      </c>
      <c r="H1892" s="1077" t="s">
        <v>4930</v>
      </c>
      <c r="I1892" s="1077" t="s">
        <v>460</v>
      </c>
      <c r="J1892" s="1077">
        <v>3.4</v>
      </c>
      <c r="K1892" s="1077" t="s">
        <v>6092</v>
      </c>
      <c r="L1892" s="1077" t="s">
        <v>4907</v>
      </c>
      <c r="M1892" s="1077">
        <v>152.5</v>
      </c>
      <c r="N1892" s="1077" t="s">
        <v>945</v>
      </c>
      <c r="O1892" s="1077">
        <v>3.8125</v>
      </c>
      <c r="P1892" s="1077">
        <v>3.0500000000000003</v>
      </c>
      <c r="Q1892" s="1077" t="s">
        <v>1020</v>
      </c>
      <c r="R1892" s="1077">
        <v>21</v>
      </c>
      <c r="T1892" s="1077">
        <v>9.1999999999999993</v>
      </c>
      <c r="U1892" s="1077">
        <v>5.4</v>
      </c>
      <c r="V1892" s="1077" t="s">
        <v>648</v>
      </c>
      <c r="W1892" s="1077">
        <v>110</v>
      </c>
      <c r="X1892" s="1077">
        <v>90</v>
      </c>
      <c r="Y1892" s="1077">
        <v>2</v>
      </c>
      <c r="Z1892" s="1077" t="s">
        <v>2488</v>
      </c>
      <c r="AA1892" s="1077" t="s">
        <v>4030</v>
      </c>
      <c r="AH1892" s="1077" t="s">
        <v>838</v>
      </c>
      <c r="AM1892" s="1078" t="s">
        <v>12788</v>
      </c>
      <c r="AN1892" s="1078" t="s">
        <v>12789</v>
      </c>
      <c r="AO1892" s="1078">
        <f t="shared" si="238"/>
        <v>550</v>
      </c>
      <c r="AP1892" s="1078">
        <f t="shared" si="239"/>
        <v>1.7649999999999999</v>
      </c>
      <c r="AQ1892" s="1078" t="str">
        <f t="shared" si="240"/>
        <v>2-6-1S83°</v>
      </c>
      <c r="AR1892" s="1078" t="str">
        <f t="shared" si="241"/>
        <v>30</v>
      </c>
      <c r="AS1892" s="1078" t="str">
        <f t="shared" si="242"/>
        <v>160/155</v>
      </c>
      <c r="AT1892" s="1078" t="str">
        <f t="shared" si="243"/>
        <v>2-6-1S83°</v>
      </c>
      <c r="AV1892" s="1078" t="str">
        <f t="shared" si="236"/>
        <v>109.1.2</v>
      </c>
      <c r="AW1892" s="1344">
        <f t="shared" si="237"/>
        <v>43832</v>
      </c>
    </row>
    <row r="1893" spans="1:49">
      <c r="A1893" s="1077" t="s">
        <v>6190</v>
      </c>
      <c r="B1893" s="1077" t="s">
        <v>4944</v>
      </c>
      <c r="C1893" s="1077">
        <v>650</v>
      </c>
      <c r="D1893" s="1077">
        <v>1.77</v>
      </c>
      <c r="E1893" s="1077" t="s">
        <v>15088</v>
      </c>
      <c r="F1893" s="1077" t="s">
        <v>2520</v>
      </c>
      <c r="G1893" s="1077">
        <v>5.5</v>
      </c>
      <c r="H1893" s="1077" t="s">
        <v>1263</v>
      </c>
      <c r="I1893" s="1077" t="s">
        <v>126</v>
      </c>
      <c r="J1893" s="1077">
        <v>1.4</v>
      </c>
      <c r="K1893" s="1077" t="s">
        <v>6191</v>
      </c>
      <c r="L1893" s="1077" t="s">
        <v>6192</v>
      </c>
      <c r="M1893" s="1077">
        <v>150.6</v>
      </c>
      <c r="N1893" s="1077" t="s">
        <v>945</v>
      </c>
      <c r="O1893" s="1077">
        <v>3.7650000000000001</v>
      </c>
      <c r="P1893" s="1077">
        <v>3.012</v>
      </c>
      <c r="Q1893" s="1077" t="s">
        <v>2794</v>
      </c>
      <c r="R1893" s="1077">
        <v>26</v>
      </c>
      <c r="T1893" s="1077">
        <v>14.8</v>
      </c>
      <c r="U1893" s="1077">
        <v>6.7</v>
      </c>
      <c r="V1893" s="1077" t="s">
        <v>648</v>
      </c>
      <c r="W1893" s="1077">
        <v>90</v>
      </c>
      <c r="X1893" s="1077">
        <v>10</v>
      </c>
      <c r="Y1893" s="1077">
        <v>1.3</v>
      </c>
      <c r="Z1893" s="1077">
        <v>6</v>
      </c>
      <c r="AA1893" s="1077" t="s">
        <v>4735</v>
      </c>
      <c r="AH1893" s="1077" t="s">
        <v>803</v>
      </c>
      <c r="AM1893" s="1078" t="s">
        <v>12790</v>
      </c>
      <c r="AN1893" s="1078" t="s">
        <v>12791</v>
      </c>
      <c r="AO1893" s="1078">
        <f t="shared" si="238"/>
        <v>650</v>
      </c>
      <c r="AP1893" s="1078">
        <f t="shared" si="239"/>
        <v>1.77</v>
      </c>
      <c r="AQ1893" s="1078" t="str">
        <f t="shared" si="240"/>
        <v>1-4-1S85°</v>
      </c>
      <c r="AR1893" s="1078" t="str">
        <f t="shared" si="241"/>
        <v>*</v>
      </c>
      <c r="AS1893" s="1078" t="str">
        <f t="shared" si="242"/>
        <v>163/OFF</v>
      </c>
      <c r="AT1893" s="1078" t="str">
        <f t="shared" si="243"/>
        <v>1-4-1S85°</v>
      </c>
      <c r="AV1893" s="1078" t="str">
        <f t="shared" si="236"/>
        <v>109.4.9</v>
      </c>
      <c r="AW1893" s="1344">
        <f t="shared" si="237"/>
        <v>43930</v>
      </c>
    </row>
    <row r="1894" spans="1:49">
      <c r="A1894" s="1077" t="s">
        <v>6193</v>
      </c>
      <c r="B1894" s="1077" t="s">
        <v>4921</v>
      </c>
      <c r="C1894" s="1077">
        <v>700</v>
      </c>
      <c r="D1894" s="1077">
        <v>1.8</v>
      </c>
      <c r="E1894" s="1077" t="s">
        <v>15094</v>
      </c>
      <c r="F1894" s="1077" t="s">
        <v>975</v>
      </c>
      <c r="G1894" s="1077">
        <v>5</v>
      </c>
      <c r="H1894" s="1077" t="s">
        <v>6194</v>
      </c>
      <c r="I1894" s="1077" t="s">
        <v>648</v>
      </c>
      <c r="J1894" s="1077">
        <v>0</v>
      </c>
      <c r="K1894" s="1077" t="s">
        <v>6195</v>
      </c>
      <c r="L1894" s="1077" t="s">
        <v>4924</v>
      </c>
      <c r="M1894" s="1077">
        <v>145.30000000000001</v>
      </c>
      <c r="N1894" s="1077" t="s">
        <v>945</v>
      </c>
      <c r="O1894" s="1077">
        <v>3.6325000000000003</v>
      </c>
      <c r="P1894" s="1077">
        <v>2.9060000000000001</v>
      </c>
      <c r="Q1894" s="1077" t="s">
        <v>2950</v>
      </c>
      <c r="R1894" s="1077">
        <v>18.5</v>
      </c>
      <c r="T1894" s="1077">
        <v>27</v>
      </c>
      <c r="U1894" s="1077">
        <v>2.2000000000000002</v>
      </c>
      <c r="V1894" s="1077" t="s">
        <v>648</v>
      </c>
      <c r="W1894" s="1077" t="s">
        <v>648</v>
      </c>
      <c r="X1894" s="1077" t="s">
        <v>648</v>
      </c>
      <c r="Y1894" s="1077">
        <v>1.8</v>
      </c>
      <c r="Z1894" s="1077" t="s">
        <v>5193</v>
      </c>
      <c r="AA1894" s="1077" t="s">
        <v>1325</v>
      </c>
      <c r="AH1894" s="1077" t="s">
        <v>1421</v>
      </c>
      <c r="AM1894" s="1078" t="s">
        <v>12792</v>
      </c>
      <c r="AN1894" s="1078" t="s">
        <v>12793</v>
      </c>
      <c r="AO1894" s="1078">
        <f t="shared" si="238"/>
        <v>700</v>
      </c>
      <c r="AP1894" s="1078">
        <f t="shared" si="239"/>
        <v>1.8</v>
      </c>
      <c r="AQ1894" s="1078" t="str">
        <f t="shared" si="240"/>
        <v>1-5-1S91°</v>
      </c>
      <c r="AR1894" s="1078" t="str">
        <f t="shared" si="241"/>
        <v>31.5</v>
      </c>
      <c r="AS1894" s="1078" t="str">
        <f t="shared" si="242"/>
        <v>355/355/150</v>
      </c>
      <c r="AT1894" s="1078" t="str">
        <f t="shared" si="243"/>
        <v>1-5-1S91°</v>
      </c>
      <c r="AV1894" s="1078" t="str">
        <f t="shared" si="236"/>
        <v>109.8.17</v>
      </c>
      <c r="AW1894" s="1344">
        <f t="shared" si="237"/>
        <v>44060</v>
      </c>
    </row>
    <row r="1895" spans="1:49">
      <c r="A1895" s="1077" t="s">
        <v>6196</v>
      </c>
      <c r="B1895" s="1077" t="s">
        <v>617</v>
      </c>
      <c r="C1895" s="1077">
        <v>650</v>
      </c>
      <c r="D1895" s="1077">
        <v>1.7649999999999999</v>
      </c>
      <c r="E1895" s="1077" t="s">
        <v>15094</v>
      </c>
      <c r="F1895" s="1077" t="s">
        <v>2234</v>
      </c>
      <c r="G1895" s="1077">
        <v>5</v>
      </c>
      <c r="H1895" s="1077" t="s">
        <v>1806</v>
      </c>
      <c r="I1895" s="1077" t="s">
        <v>126</v>
      </c>
      <c r="J1895" s="1077">
        <v>2.2000000000000002</v>
      </c>
      <c r="K1895" s="1077" t="s">
        <v>5976</v>
      </c>
      <c r="L1895" s="1077" t="s">
        <v>4854</v>
      </c>
      <c r="M1895" s="1077">
        <v>150.30000000000001</v>
      </c>
      <c r="N1895" s="1077" t="s">
        <v>945</v>
      </c>
      <c r="O1895" s="1077">
        <v>3.7575000000000003</v>
      </c>
      <c r="P1895" s="1077">
        <v>3.0060000000000002</v>
      </c>
      <c r="Q1895" s="1077">
        <v>3</v>
      </c>
      <c r="R1895" s="1077">
        <v>29</v>
      </c>
      <c r="T1895" s="1077">
        <v>13</v>
      </c>
      <c r="U1895" s="1077">
        <v>7</v>
      </c>
      <c r="V1895" s="1077" t="s">
        <v>648</v>
      </c>
      <c r="W1895" s="1077">
        <v>115</v>
      </c>
      <c r="X1895" s="1077">
        <v>50</v>
      </c>
      <c r="Y1895" s="1077">
        <v>1.7</v>
      </c>
      <c r="Z1895" s="1077">
        <v>6.5</v>
      </c>
      <c r="AA1895" s="1077" t="s">
        <v>6002</v>
      </c>
      <c r="AH1895" s="1077" t="s">
        <v>842</v>
      </c>
      <c r="AM1895" s="1078" t="s">
        <v>12794</v>
      </c>
      <c r="AN1895" s="1078" t="s">
        <v>12795</v>
      </c>
      <c r="AO1895" s="1078">
        <f t="shared" si="238"/>
        <v>650</v>
      </c>
      <c r="AP1895" s="1078">
        <f t="shared" si="239"/>
        <v>1.7649999999999999</v>
      </c>
      <c r="AQ1895" s="1078" t="str">
        <f t="shared" si="240"/>
        <v>1-5-1S91°</v>
      </c>
      <c r="AR1895" s="1078" t="str">
        <f t="shared" si="241"/>
        <v>33.5</v>
      </c>
      <c r="AS1895" s="1078" t="str">
        <f t="shared" si="242"/>
        <v>280/280/OFF</v>
      </c>
      <c r="AT1895" s="1078" t="str">
        <f t="shared" si="243"/>
        <v>1-5-1S91°</v>
      </c>
      <c r="AV1895" s="1078" t="str">
        <f t="shared" si="236"/>
        <v>109.12.30</v>
      </c>
      <c r="AW1895" s="1344">
        <f t="shared" si="237"/>
        <v>44195</v>
      </c>
    </row>
    <row r="1896" spans="1:49">
      <c r="A1896" s="1077" t="s">
        <v>6197</v>
      </c>
      <c r="B1896" s="1077" t="s">
        <v>844</v>
      </c>
      <c r="C1896" s="1077">
        <v>600</v>
      </c>
      <c r="D1896" s="1077">
        <v>1.73</v>
      </c>
      <c r="E1896" s="1077" t="s">
        <v>15094</v>
      </c>
      <c r="F1896" s="1077" t="s">
        <v>954</v>
      </c>
      <c r="G1896" s="1077">
        <v>5</v>
      </c>
      <c r="H1896" s="1077" t="s">
        <v>5126</v>
      </c>
      <c r="I1896" s="1077" t="s">
        <v>460</v>
      </c>
      <c r="J1896" s="1077">
        <v>4.2</v>
      </c>
      <c r="K1896" s="1077" t="s">
        <v>6177</v>
      </c>
      <c r="L1896" s="1077" t="s">
        <v>4907</v>
      </c>
      <c r="M1896" s="1077">
        <v>151.69999999999999</v>
      </c>
      <c r="N1896" s="1077" t="s">
        <v>945</v>
      </c>
      <c r="O1896" s="1077">
        <v>3.7925</v>
      </c>
      <c r="P1896" s="1077">
        <v>3.0339999999999998</v>
      </c>
      <c r="Q1896" s="1077">
        <v>3</v>
      </c>
      <c r="R1896" s="1077">
        <v>19.7</v>
      </c>
      <c r="T1896" s="1077">
        <v>11.5</v>
      </c>
      <c r="U1896" s="1077">
        <v>5.3</v>
      </c>
      <c r="V1896" s="1077" t="s">
        <v>648</v>
      </c>
      <c r="W1896" s="1077">
        <v>105</v>
      </c>
      <c r="X1896" s="1077">
        <v>95</v>
      </c>
      <c r="Y1896" s="1077">
        <v>1.5</v>
      </c>
      <c r="Z1896" s="1077">
        <v>5</v>
      </c>
      <c r="AA1896" s="1077" t="s">
        <v>6198</v>
      </c>
      <c r="AH1896" s="1077" t="s">
        <v>621</v>
      </c>
      <c r="AM1896" s="1078" t="s">
        <v>12796</v>
      </c>
      <c r="AN1896" s="1078" t="s">
        <v>12797</v>
      </c>
      <c r="AO1896" s="1078">
        <f t="shared" si="238"/>
        <v>600</v>
      </c>
      <c r="AP1896" s="1078">
        <f t="shared" si="239"/>
        <v>1.73</v>
      </c>
      <c r="AQ1896" s="1078" t="str">
        <f t="shared" si="240"/>
        <v>1-5-1S91°</v>
      </c>
      <c r="AR1896" s="1078" t="str">
        <f t="shared" si="241"/>
        <v>31</v>
      </c>
      <c r="AS1896" s="1078" t="str">
        <f t="shared" si="242"/>
        <v>300/300/140</v>
      </c>
      <c r="AT1896" s="1078" t="str">
        <f t="shared" si="243"/>
        <v>1-5-1S91°</v>
      </c>
      <c r="AV1896" s="1078" t="str">
        <f t="shared" si="236"/>
        <v>110.2.10</v>
      </c>
      <c r="AW1896" s="1344">
        <f t="shared" si="237"/>
        <v>44237</v>
      </c>
    </row>
    <row r="1897" spans="1:49">
      <c r="A1897" s="1077" t="s">
        <v>6199</v>
      </c>
      <c r="B1897" s="1077" t="s">
        <v>617</v>
      </c>
      <c r="C1897" s="1077">
        <v>650</v>
      </c>
      <c r="D1897" s="1077">
        <v>1.7250000000000001</v>
      </c>
      <c r="E1897" s="1077" t="s">
        <v>15094</v>
      </c>
      <c r="F1897" s="1077" t="s">
        <v>984</v>
      </c>
      <c r="G1897" s="1077">
        <v>5</v>
      </c>
      <c r="H1897" s="1077" t="s">
        <v>1793</v>
      </c>
      <c r="I1897" s="1077" t="s">
        <v>126</v>
      </c>
      <c r="J1897" s="1077">
        <v>2.2000000000000002</v>
      </c>
      <c r="K1897" s="1077" t="s">
        <v>6200</v>
      </c>
      <c r="L1897" s="1077" t="s">
        <v>4854</v>
      </c>
      <c r="M1897" s="1077">
        <v>150.30000000000001</v>
      </c>
      <c r="N1897" s="1077" t="s">
        <v>945</v>
      </c>
      <c r="O1897" s="1077">
        <v>3.7575000000000003</v>
      </c>
      <c r="P1897" s="1077">
        <v>3.0060000000000002</v>
      </c>
      <c r="Q1897" s="1077">
        <v>3</v>
      </c>
      <c r="R1897" s="1077">
        <v>29</v>
      </c>
      <c r="T1897" s="1077">
        <v>13</v>
      </c>
      <c r="U1897" s="1077">
        <v>7</v>
      </c>
      <c r="V1897" s="1077" t="s">
        <v>648</v>
      </c>
      <c r="W1897" s="1077">
        <v>115</v>
      </c>
      <c r="X1897" s="1077">
        <v>50</v>
      </c>
      <c r="Y1897" s="1077">
        <v>1.7</v>
      </c>
      <c r="Z1897" s="1077">
        <v>6.5</v>
      </c>
      <c r="AA1897" s="1077" t="s">
        <v>6201</v>
      </c>
      <c r="AH1897" s="1077" t="s">
        <v>958</v>
      </c>
      <c r="AM1897" s="1078" t="s">
        <v>12798</v>
      </c>
      <c r="AN1897" s="1078" t="s">
        <v>12799</v>
      </c>
      <c r="AO1897" s="1078">
        <f t="shared" si="238"/>
        <v>650</v>
      </c>
      <c r="AP1897" s="1078">
        <f t="shared" si="239"/>
        <v>1.7250000000000001</v>
      </c>
      <c r="AQ1897" s="1078" t="str">
        <f t="shared" si="240"/>
        <v>1-5-1S91°</v>
      </c>
      <c r="AR1897" s="1078" t="str">
        <f t="shared" si="241"/>
        <v>30</v>
      </c>
      <c r="AS1897" s="1078" t="str">
        <f t="shared" si="242"/>
        <v>270/270/OFF</v>
      </c>
      <c r="AT1897" s="1078" t="str">
        <f t="shared" si="243"/>
        <v>1-5-1S91°</v>
      </c>
      <c r="AV1897" s="1078" t="str">
        <f t="shared" si="236"/>
        <v>110.5.28</v>
      </c>
      <c r="AW1897" s="1344">
        <f t="shared" si="237"/>
        <v>44344</v>
      </c>
    </row>
    <row r="1898" spans="1:49">
      <c r="A1898" s="1077" t="s">
        <v>6202</v>
      </c>
      <c r="B1898" s="1077" t="s">
        <v>210</v>
      </c>
      <c r="C1898" s="1077">
        <v>700</v>
      </c>
      <c r="D1898" s="1077">
        <v>1.74</v>
      </c>
      <c r="E1898" s="1077" t="s">
        <v>15094</v>
      </c>
      <c r="F1898" s="1077" t="s">
        <v>984</v>
      </c>
      <c r="G1898" s="1077">
        <v>5</v>
      </c>
      <c r="H1898" s="1077" t="s">
        <v>5165</v>
      </c>
      <c r="I1898" s="1077" t="s">
        <v>126</v>
      </c>
      <c r="J1898" s="1077">
        <v>0.7</v>
      </c>
      <c r="K1898" s="1077" t="s">
        <v>6203</v>
      </c>
      <c r="L1898" s="1077" t="s">
        <v>4666</v>
      </c>
      <c r="M1898" s="1077">
        <v>151.5</v>
      </c>
      <c r="N1898" s="1077" t="s">
        <v>945</v>
      </c>
      <c r="O1898" s="1077">
        <v>3.7875000000000001</v>
      </c>
      <c r="P1898" s="1077">
        <v>3.0300000000000002</v>
      </c>
      <c r="Q1898" s="1077">
        <v>4</v>
      </c>
      <c r="R1898" s="1077">
        <v>19.100000000000001</v>
      </c>
      <c r="T1898" s="1077">
        <v>23.7</v>
      </c>
      <c r="U1898" s="1077">
        <v>3.2</v>
      </c>
      <c r="V1898" s="1077" t="s">
        <v>648</v>
      </c>
      <c r="W1898" s="1077">
        <v>35</v>
      </c>
      <c r="X1898" s="1077">
        <v>10</v>
      </c>
      <c r="Y1898" s="1077">
        <v>1</v>
      </c>
      <c r="Z1898" s="1077">
        <v>6</v>
      </c>
      <c r="AA1898" s="1077" t="s">
        <v>4658</v>
      </c>
      <c r="AH1898" s="1077" t="s">
        <v>684</v>
      </c>
      <c r="AM1898" s="1078" t="s">
        <v>12800</v>
      </c>
      <c r="AN1898" s="1078" t="s">
        <v>12801</v>
      </c>
      <c r="AO1898" s="1078">
        <f t="shared" si="238"/>
        <v>700</v>
      </c>
      <c r="AP1898" s="1078">
        <f t="shared" si="239"/>
        <v>1.74</v>
      </c>
      <c r="AQ1898" s="1078" t="str">
        <f t="shared" si="240"/>
        <v>1-5-1S91°</v>
      </c>
      <c r="AR1898" s="1078" t="str">
        <f t="shared" si="241"/>
        <v>30</v>
      </c>
      <c r="AS1898" s="1078" t="str">
        <f t="shared" si="242"/>
        <v>360/320/155</v>
      </c>
      <c r="AT1898" s="1078" t="str">
        <f t="shared" si="243"/>
        <v>1-5-1S91°</v>
      </c>
      <c r="AV1898" s="1078" t="str">
        <f t="shared" si="236"/>
        <v>110.6.29</v>
      </c>
      <c r="AW1898" s="1344">
        <f t="shared" si="237"/>
        <v>44376</v>
      </c>
    </row>
    <row r="1899" spans="1:49">
      <c r="A1899" s="1077" t="s">
        <v>6204</v>
      </c>
      <c r="B1899" s="1077" t="s">
        <v>617</v>
      </c>
      <c r="C1899" s="1077">
        <v>650</v>
      </c>
      <c r="D1899" s="1077">
        <v>1.74</v>
      </c>
      <c r="E1899" s="1077" t="s">
        <v>15094</v>
      </c>
      <c r="F1899" s="1077" t="s">
        <v>984</v>
      </c>
      <c r="G1899" s="1077">
        <v>5</v>
      </c>
      <c r="H1899" s="1077" t="s">
        <v>1793</v>
      </c>
      <c r="I1899" s="1077" t="s">
        <v>126</v>
      </c>
      <c r="J1899" s="1077">
        <v>2.2000000000000002</v>
      </c>
      <c r="K1899" s="1077" t="s">
        <v>6205</v>
      </c>
      <c r="L1899" s="1077" t="s">
        <v>4854</v>
      </c>
      <c r="M1899" s="1077">
        <v>150.30000000000001</v>
      </c>
      <c r="N1899" s="1077" t="s">
        <v>945</v>
      </c>
      <c r="O1899" s="1077">
        <v>3.7575000000000003</v>
      </c>
      <c r="P1899" s="1077">
        <v>3.0060000000000002</v>
      </c>
      <c r="Q1899" s="1077">
        <v>3</v>
      </c>
      <c r="R1899" s="1077">
        <v>29</v>
      </c>
      <c r="T1899" s="1077">
        <v>13</v>
      </c>
      <c r="U1899" s="1077">
        <v>7</v>
      </c>
      <c r="V1899" s="1077" t="s">
        <v>648</v>
      </c>
      <c r="W1899" s="1077">
        <v>115</v>
      </c>
      <c r="X1899" s="1077">
        <v>50</v>
      </c>
      <c r="Y1899" s="1077">
        <v>1.7</v>
      </c>
      <c r="Z1899" s="1077">
        <v>6.5</v>
      </c>
      <c r="AA1899" s="1077" t="s">
        <v>3372</v>
      </c>
      <c r="AH1899" s="1077" t="s">
        <v>963</v>
      </c>
      <c r="AM1899" s="1078" t="s">
        <v>12802</v>
      </c>
      <c r="AN1899" s="1078" t="s">
        <v>12803</v>
      </c>
      <c r="AO1899" s="1078">
        <f t="shared" si="238"/>
        <v>650</v>
      </c>
      <c r="AP1899" s="1078">
        <f t="shared" si="239"/>
        <v>1.74</v>
      </c>
      <c r="AQ1899" s="1078" t="str">
        <f t="shared" si="240"/>
        <v>1-5-1S91°</v>
      </c>
      <c r="AR1899" s="1078" t="str">
        <f t="shared" si="241"/>
        <v>30</v>
      </c>
      <c r="AS1899" s="1078" t="str">
        <f t="shared" si="242"/>
        <v>270/270/OFF</v>
      </c>
      <c r="AT1899" s="1078" t="str">
        <f t="shared" si="243"/>
        <v>1-5-1S91°</v>
      </c>
      <c r="AV1899" s="1078" t="str">
        <f t="shared" si="236"/>
        <v>110.8.19</v>
      </c>
      <c r="AW1899" s="1344">
        <f t="shared" si="237"/>
        <v>44427</v>
      </c>
    </row>
    <row r="1900" spans="1:49">
      <c r="A1900" s="1077" t="s">
        <v>6206</v>
      </c>
      <c r="B1900" s="1077" t="s">
        <v>5314</v>
      </c>
      <c r="C1900" s="1077" t="s">
        <v>5296</v>
      </c>
      <c r="D1900" s="1077">
        <v>1.77</v>
      </c>
      <c r="E1900" s="1077" t="s">
        <v>15116</v>
      </c>
      <c r="F1900" s="1077" t="s">
        <v>1514</v>
      </c>
      <c r="G1900" s="1077">
        <v>2</v>
      </c>
      <c r="H1900" s="1077" t="s">
        <v>5689</v>
      </c>
      <c r="I1900" s="1077" t="s">
        <v>126</v>
      </c>
      <c r="J1900" s="1077">
        <v>2.1</v>
      </c>
      <c r="K1900" s="1077" t="s">
        <v>5690</v>
      </c>
      <c r="L1900" s="1077" t="s">
        <v>1901</v>
      </c>
      <c r="M1900" s="1077">
        <v>150</v>
      </c>
      <c r="N1900" s="1077" t="s">
        <v>945</v>
      </c>
      <c r="O1900" s="1077">
        <v>3.75</v>
      </c>
      <c r="P1900" s="1077">
        <v>3</v>
      </c>
      <c r="Q1900" s="1077">
        <v>3</v>
      </c>
      <c r="R1900" s="1077">
        <v>28.5</v>
      </c>
      <c r="T1900" s="1077">
        <v>12.5</v>
      </c>
      <c r="U1900" s="1077">
        <v>7.4</v>
      </c>
      <c r="V1900" s="1077" t="s">
        <v>648</v>
      </c>
      <c r="W1900" s="1077">
        <v>125</v>
      </c>
      <c r="X1900" s="1077">
        <v>80</v>
      </c>
      <c r="Y1900" s="1077">
        <v>1.5</v>
      </c>
      <c r="Z1900" s="1077" t="s">
        <v>648</v>
      </c>
      <c r="AA1900" s="1077" t="s">
        <v>6207</v>
      </c>
      <c r="AH1900" s="1077" t="s">
        <v>1827</v>
      </c>
      <c r="AM1900" s="1078" t="s">
        <v>12804</v>
      </c>
      <c r="AN1900" s="1078" t="s">
        <v>12805</v>
      </c>
      <c r="AO1900" s="1078" t="str">
        <f t="shared" si="238"/>
        <v>600↓550</v>
      </c>
      <c r="AP1900" s="1078">
        <f t="shared" si="239"/>
        <v>1.77</v>
      </c>
      <c r="AQ1900" s="1078" t="str">
        <f t="shared" si="240"/>
        <v>1-5-1S83°Z+S</v>
      </c>
      <c r="AR1900" s="1078" t="str">
        <f t="shared" si="241"/>
        <v>32</v>
      </c>
      <c r="AS1900" s="1078" t="str">
        <f t="shared" si="242"/>
        <v>186/186/OFF</v>
      </c>
      <c r="AT1900" s="1078" t="str">
        <f t="shared" si="243"/>
        <v>1-5-1S83°Z+S</v>
      </c>
      <c r="AU1900" s="1078" t="s">
        <v>15547</v>
      </c>
      <c r="AV1900" s="1078" t="str">
        <f t="shared" si="236"/>
        <v>110.10.19</v>
      </c>
      <c r="AW1900" s="1344">
        <f t="shared" si="237"/>
        <v>44488</v>
      </c>
    </row>
    <row r="1901" spans="1:49">
      <c r="A1901" s="1077" t="s">
        <v>6208</v>
      </c>
      <c r="B1901" s="1077" t="s">
        <v>4767</v>
      </c>
      <c r="C1901" s="1077">
        <v>600</v>
      </c>
      <c r="D1901" s="1077">
        <v>1.7250000000000001</v>
      </c>
      <c r="E1901" s="1077" t="s">
        <v>15104</v>
      </c>
      <c r="F1901" s="1077" t="s">
        <v>648</v>
      </c>
      <c r="G1901" s="1077">
        <v>5</v>
      </c>
      <c r="H1901" s="1077" t="s">
        <v>1936</v>
      </c>
      <c r="I1901" s="1077" t="s">
        <v>126</v>
      </c>
      <c r="J1901" s="1077">
        <v>1.3</v>
      </c>
      <c r="K1901" s="1077" t="s">
        <v>6209</v>
      </c>
      <c r="L1901" s="1077" t="s">
        <v>1776</v>
      </c>
      <c r="M1901" s="1077">
        <v>148</v>
      </c>
      <c r="N1901" s="1077" t="s">
        <v>945</v>
      </c>
      <c r="O1901" s="1077">
        <v>3.7</v>
      </c>
      <c r="P1901" s="1077">
        <v>2.96</v>
      </c>
      <c r="Q1901" s="1077">
        <v>4</v>
      </c>
      <c r="R1901" s="1077">
        <v>20.8</v>
      </c>
      <c r="T1901" s="1077">
        <v>20.399999999999999</v>
      </c>
      <c r="U1901" s="1077">
        <v>3.8</v>
      </c>
      <c r="V1901" s="1077" t="s">
        <v>648</v>
      </c>
      <c r="W1901" s="1077">
        <v>110</v>
      </c>
      <c r="X1901" s="1077">
        <v>60</v>
      </c>
      <c r="Y1901" s="1077">
        <v>1.7</v>
      </c>
      <c r="Z1901" s="1077" t="s">
        <v>648</v>
      </c>
      <c r="AA1901" s="1077" t="s">
        <v>3984</v>
      </c>
      <c r="AB1901" s="1077" t="s">
        <v>981</v>
      </c>
      <c r="AH1901" s="1077" t="s">
        <v>863</v>
      </c>
      <c r="AM1901" s="1078" t="s">
        <v>12806</v>
      </c>
      <c r="AN1901" s="1078" t="s">
        <v>12807</v>
      </c>
      <c r="AO1901" s="1078">
        <f t="shared" si="238"/>
        <v>600</v>
      </c>
      <c r="AP1901" s="1078">
        <f t="shared" si="239"/>
        <v>1.7250000000000001</v>
      </c>
      <c r="AQ1901" s="1078" t="str">
        <f t="shared" si="240"/>
        <v>1-4-1S85°Z+S</v>
      </c>
      <c r="AR1901" s="1078" t="str">
        <f t="shared" si="241"/>
        <v>NA</v>
      </c>
      <c r="AS1901" s="1078" t="str">
        <f t="shared" si="242"/>
        <v>175/OFF</v>
      </c>
      <c r="AT1901" s="1078" t="str">
        <f t="shared" si="243"/>
        <v>1-4-1S85°Z+S</v>
      </c>
      <c r="AU1901" s="1078" t="s">
        <v>15547</v>
      </c>
      <c r="AV1901" s="1078" t="str">
        <f t="shared" si="236"/>
        <v>110.11.29</v>
      </c>
      <c r="AW1901" s="1344">
        <f t="shared" si="237"/>
        <v>44529</v>
      </c>
    </row>
    <row r="1902" spans="1:49">
      <c r="A1902" s="1077" t="s">
        <v>6210</v>
      </c>
      <c r="B1902" s="1077" t="s">
        <v>5565</v>
      </c>
      <c r="C1902" s="1077">
        <v>600</v>
      </c>
      <c r="D1902" s="1077">
        <v>1.7150000000000001</v>
      </c>
      <c r="E1902" s="1077" t="s">
        <v>15104</v>
      </c>
      <c r="F1902" s="1077" t="s">
        <v>648</v>
      </c>
      <c r="G1902" s="1077">
        <v>5</v>
      </c>
      <c r="H1902" s="1077" t="s">
        <v>1166</v>
      </c>
      <c r="I1902" s="1077" t="s">
        <v>126</v>
      </c>
      <c r="J1902" s="1077">
        <v>1.1000000000000001</v>
      </c>
      <c r="K1902" s="1077" t="s">
        <v>5831</v>
      </c>
      <c r="L1902" s="1077" t="s">
        <v>3572</v>
      </c>
      <c r="M1902" s="1077">
        <v>153</v>
      </c>
      <c r="N1902" s="1077" t="s">
        <v>945</v>
      </c>
      <c r="O1902" s="1077">
        <v>3.8250000000000002</v>
      </c>
      <c r="P1902" s="1077">
        <v>3.06</v>
      </c>
      <c r="Q1902" s="1077">
        <v>4</v>
      </c>
      <c r="R1902" s="1077">
        <v>18</v>
      </c>
      <c r="T1902" s="1077">
        <v>14</v>
      </c>
      <c r="U1902" s="1077">
        <v>4.5</v>
      </c>
      <c r="V1902" s="1077" t="s">
        <v>648</v>
      </c>
      <c r="W1902" s="1077">
        <v>110</v>
      </c>
      <c r="X1902" s="1077" t="s">
        <v>2395</v>
      </c>
      <c r="Y1902" s="1077">
        <v>1.8</v>
      </c>
      <c r="Z1902" s="1077" t="s">
        <v>648</v>
      </c>
      <c r="AA1902" s="1077" t="s">
        <v>6211</v>
      </c>
      <c r="AB1902" s="1077" t="s">
        <v>6212</v>
      </c>
      <c r="AH1902" s="1077" t="s">
        <v>783</v>
      </c>
      <c r="AI1902" s="1077">
        <v>94.18</v>
      </c>
      <c r="AJ1902" s="1077">
        <v>-0.85</v>
      </c>
      <c r="AK1902" s="1077">
        <v>1.22</v>
      </c>
      <c r="AM1902" s="1078" t="s">
        <v>12808</v>
      </c>
      <c r="AN1902" s="1078" t="s">
        <v>12809</v>
      </c>
      <c r="AO1902" s="1078">
        <f t="shared" si="238"/>
        <v>600</v>
      </c>
      <c r="AP1902" s="1078">
        <f t="shared" si="239"/>
        <v>1.7150000000000001</v>
      </c>
      <c r="AQ1902" s="1078" t="str">
        <f t="shared" si="240"/>
        <v>1-4-1S85°Z+S</v>
      </c>
      <c r="AR1902" s="1078" t="str">
        <f t="shared" si="241"/>
        <v>NA</v>
      </c>
      <c r="AS1902" s="1078" t="str">
        <f t="shared" si="242"/>
        <v>170/OFF</v>
      </c>
      <c r="AT1902" s="1078" t="str">
        <f t="shared" si="243"/>
        <v>1-4-1S85°Z+S</v>
      </c>
      <c r="AU1902" s="1078" t="s">
        <v>15547</v>
      </c>
      <c r="AV1902" s="1078" t="str">
        <f t="shared" si="236"/>
        <v>112.7.6</v>
      </c>
      <c r="AW1902" s="1344">
        <f t="shared" si="237"/>
        <v>45113</v>
      </c>
    </row>
    <row r="1903" spans="1:49">
      <c r="A1903" s="1077" t="s">
        <v>6213</v>
      </c>
      <c r="B1903" s="1077" t="s">
        <v>5887</v>
      </c>
      <c r="C1903" s="1077">
        <v>600</v>
      </c>
      <c r="D1903" s="1077">
        <v>1.78</v>
      </c>
      <c r="E1903" s="1077" t="s">
        <v>15094</v>
      </c>
      <c r="F1903" s="1077" t="s">
        <v>984</v>
      </c>
      <c r="G1903" s="1077">
        <v>5</v>
      </c>
      <c r="H1903" s="1077" t="s">
        <v>6100</v>
      </c>
      <c r="I1903" s="1077" t="s">
        <v>126</v>
      </c>
      <c r="J1903" s="1077">
        <v>1.3</v>
      </c>
      <c r="K1903" s="1077" t="s">
        <v>6156</v>
      </c>
      <c r="L1903" s="1077" t="s">
        <v>5787</v>
      </c>
      <c r="M1903" s="1077">
        <v>149.5</v>
      </c>
      <c r="N1903" s="1077" t="s">
        <v>945</v>
      </c>
      <c r="O1903" s="1077">
        <v>3.7375000000000003</v>
      </c>
      <c r="P1903" s="1077">
        <v>2.99</v>
      </c>
      <c r="Q1903" s="1077">
        <v>3.5</v>
      </c>
      <c r="R1903" s="1077" t="s">
        <v>6214</v>
      </c>
      <c r="T1903" s="1077">
        <v>16</v>
      </c>
      <c r="U1903" s="1077">
        <v>4</v>
      </c>
      <c r="V1903" s="1077" t="s">
        <v>648</v>
      </c>
      <c r="W1903" s="1077">
        <v>85</v>
      </c>
      <c r="X1903" s="1077">
        <v>10</v>
      </c>
      <c r="Y1903" s="1077">
        <v>1.4</v>
      </c>
      <c r="Z1903" s="1077">
        <v>6</v>
      </c>
      <c r="AA1903" s="1077" t="s">
        <v>3656</v>
      </c>
      <c r="AH1903" s="1077" t="s">
        <v>1482</v>
      </c>
      <c r="AI1903" s="1077">
        <v>93.71</v>
      </c>
      <c r="AJ1903" s="1077">
        <v>-0.32</v>
      </c>
      <c r="AK1903" s="1077">
        <v>1.39</v>
      </c>
      <c r="AM1903" s="1078" t="s">
        <v>12810</v>
      </c>
      <c r="AN1903" s="1078" t="s">
        <v>12811</v>
      </c>
      <c r="AO1903" s="1078">
        <f t="shared" si="238"/>
        <v>600</v>
      </c>
      <c r="AP1903" s="1078">
        <f t="shared" si="239"/>
        <v>1.78</v>
      </c>
      <c r="AQ1903" s="1078" t="str">
        <f t="shared" si="240"/>
        <v>1-5-1S91°</v>
      </c>
      <c r="AR1903" s="1078" t="str">
        <f t="shared" si="241"/>
        <v>30</v>
      </c>
      <c r="AS1903" s="1078" t="str">
        <f t="shared" si="242"/>
        <v>300/300/150</v>
      </c>
      <c r="AT1903" s="1078" t="str">
        <f t="shared" si="243"/>
        <v>1-5-1S91°</v>
      </c>
      <c r="AV1903" s="1078" t="str">
        <f t="shared" si="236"/>
        <v>112.7.14</v>
      </c>
      <c r="AW1903" s="1344">
        <f t="shared" si="237"/>
        <v>45121</v>
      </c>
    </row>
    <row r="1904" spans="1:49">
      <c r="A1904" s="1077" t="s">
        <v>6215</v>
      </c>
      <c r="B1904" s="1077" t="s">
        <v>4767</v>
      </c>
      <c r="C1904" s="1077">
        <v>600</v>
      </c>
      <c r="D1904" s="1077">
        <v>1.7250000000000001</v>
      </c>
      <c r="E1904" s="1077" t="s">
        <v>15117</v>
      </c>
      <c r="F1904" s="1077" t="s">
        <v>648</v>
      </c>
      <c r="G1904" s="1077">
        <v>5</v>
      </c>
      <c r="H1904" s="1077" t="s">
        <v>2192</v>
      </c>
      <c r="I1904" s="1077" t="s">
        <v>126</v>
      </c>
      <c r="J1904" s="1077">
        <v>1.5</v>
      </c>
      <c r="K1904" s="1077" t="s">
        <v>6216</v>
      </c>
      <c r="L1904" s="1077" t="s">
        <v>1776</v>
      </c>
      <c r="M1904" s="1077">
        <v>148</v>
      </c>
      <c r="N1904" s="1077" t="s">
        <v>945</v>
      </c>
      <c r="O1904" s="1077">
        <v>3.7</v>
      </c>
      <c r="P1904" s="1077">
        <v>2.96</v>
      </c>
      <c r="Q1904" s="1077">
        <v>4</v>
      </c>
      <c r="R1904" s="1077">
        <v>20.8</v>
      </c>
      <c r="T1904" s="1077">
        <v>20.399999999999999</v>
      </c>
      <c r="U1904" s="1077">
        <v>3.8</v>
      </c>
      <c r="V1904" s="1077" t="s">
        <v>648</v>
      </c>
      <c r="W1904" s="1077">
        <v>110</v>
      </c>
      <c r="X1904" s="1077" t="s">
        <v>2395</v>
      </c>
      <c r="Y1904" s="1077">
        <v>1.7</v>
      </c>
      <c r="Z1904" s="1077" t="s">
        <v>648</v>
      </c>
      <c r="AA1904" s="1077" t="s">
        <v>1599</v>
      </c>
      <c r="AB1904" s="1077" t="s">
        <v>981</v>
      </c>
      <c r="AH1904" s="1077" t="s">
        <v>1827</v>
      </c>
      <c r="AI1904" s="1077">
        <v>93.05</v>
      </c>
      <c r="AJ1904" s="1077">
        <v>0.37</v>
      </c>
      <c r="AK1904" s="1077">
        <v>0.6</v>
      </c>
      <c r="AM1904" s="1078" t="s">
        <v>12812</v>
      </c>
      <c r="AN1904" s="1078" t="s">
        <v>12813</v>
      </c>
      <c r="AO1904" s="1078">
        <f t="shared" si="238"/>
        <v>600</v>
      </c>
      <c r="AP1904" s="1078">
        <f t="shared" si="239"/>
        <v>1.7250000000000001</v>
      </c>
      <c r="AQ1904" s="1078" t="str">
        <f t="shared" si="240"/>
        <v>1-4-1S85°S+Z</v>
      </c>
      <c r="AR1904" s="1078" t="str">
        <f t="shared" si="241"/>
        <v>NA</v>
      </c>
      <c r="AS1904" s="1078" t="str">
        <f t="shared" si="242"/>
        <v>180/OFF</v>
      </c>
      <c r="AT1904" s="1078" t="str">
        <f t="shared" si="243"/>
        <v>1-4-1S85°S+Z</v>
      </c>
      <c r="AU1904" s="1078" t="s">
        <v>15550</v>
      </c>
      <c r="AV1904" s="1078" t="str">
        <f t="shared" si="236"/>
        <v>112.7.11</v>
      </c>
      <c r="AW1904" s="1344">
        <f t="shared" si="237"/>
        <v>45118</v>
      </c>
    </row>
    <row r="1905" spans="1:49">
      <c r="A1905" s="1077" t="s">
        <v>6217</v>
      </c>
      <c r="B1905" s="1077" t="s">
        <v>210</v>
      </c>
      <c r="C1905" s="1077" t="s">
        <v>6218</v>
      </c>
      <c r="D1905" s="1077">
        <v>1.75</v>
      </c>
      <c r="E1905" s="1077" t="s">
        <v>15094</v>
      </c>
      <c r="F1905" s="1077" t="s">
        <v>984</v>
      </c>
      <c r="G1905" s="1077">
        <v>5</v>
      </c>
      <c r="H1905" s="1077" t="s">
        <v>5480</v>
      </c>
      <c r="I1905" s="1077" t="s">
        <v>126</v>
      </c>
      <c r="J1905" s="1077">
        <v>0.7</v>
      </c>
      <c r="K1905" s="1077" t="s">
        <v>6124</v>
      </c>
      <c r="L1905" s="1077" t="s">
        <v>4666</v>
      </c>
      <c r="M1905" s="1077">
        <v>151.5</v>
      </c>
      <c r="N1905" s="1077" t="s">
        <v>945</v>
      </c>
      <c r="O1905" s="1077">
        <v>3.7875000000000001</v>
      </c>
      <c r="P1905" s="1077">
        <v>3.0300000000000002</v>
      </c>
      <c r="Q1905" s="1077">
        <v>4</v>
      </c>
      <c r="R1905" s="1077">
        <v>19.100000000000001</v>
      </c>
      <c r="T1905" s="1077">
        <v>23.7</v>
      </c>
      <c r="U1905" s="1077">
        <v>3.2</v>
      </c>
      <c r="V1905" s="1077" t="s">
        <v>648</v>
      </c>
      <c r="W1905" s="1077">
        <v>35</v>
      </c>
      <c r="X1905" s="1077">
        <v>10</v>
      </c>
      <c r="Y1905" s="1077">
        <v>1</v>
      </c>
      <c r="Z1905" s="1077">
        <v>6</v>
      </c>
      <c r="AA1905" s="1077" t="s">
        <v>3646</v>
      </c>
      <c r="AH1905" s="1077" t="s">
        <v>3213</v>
      </c>
      <c r="AI1905" s="1077">
        <v>92.07</v>
      </c>
      <c r="AJ1905" s="1077">
        <v>-0.34</v>
      </c>
      <c r="AK1905" s="1077">
        <v>0.98</v>
      </c>
      <c r="AM1905" s="1078" t="s">
        <v>12814</v>
      </c>
      <c r="AN1905" s="1078" t="s">
        <v>12815</v>
      </c>
      <c r="AO1905" s="1078" t="str">
        <f t="shared" si="238"/>
        <v>650↓600-8/14</v>
      </c>
      <c r="AP1905" s="1078">
        <f t="shared" si="239"/>
        <v>1.75</v>
      </c>
      <c r="AQ1905" s="1078" t="str">
        <f t="shared" si="240"/>
        <v>1-5-1S91°</v>
      </c>
      <c r="AR1905" s="1078" t="str">
        <f t="shared" si="241"/>
        <v>30</v>
      </c>
      <c r="AS1905" s="1078" t="str">
        <f t="shared" si="242"/>
        <v>340/300/145</v>
      </c>
      <c r="AT1905" s="1078" t="str">
        <f t="shared" si="243"/>
        <v>1-5-1S91°</v>
      </c>
      <c r="AV1905" s="1078" t="str">
        <f t="shared" si="236"/>
        <v>112.7.12</v>
      </c>
      <c r="AW1905" s="1344">
        <f t="shared" si="237"/>
        <v>45119</v>
      </c>
    </row>
    <row r="1906" spans="1:49">
      <c r="A1906" s="1077" t="s">
        <v>6219</v>
      </c>
      <c r="B1906" s="1077" t="s">
        <v>4767</v>
      </c>
      <c r="C1906" s="1077">
        <v>650</v>
      </c>
      <c r="D1906" s="1077">
        <v>1.73</v>
      </c>
      <c r="E1906" s="1077" t="s">
        <v>15121</v>
      </c>
      <c r="F1906" s="1077" t="s">
        <v>648</v>
      </c>
      <c r="G1906" s="1077">
        <v>5</v>
      </c>
      <c r="H1906" s="1077" t="s">
        <v>2192</v>
      </c>
      <c r="I1906" s="1077" t="s">
        <v>126</v>
      </c>
      <c r="J1906" s="1077">
        <v>1.5</v>
      </c>
      <c r="K1906" s="1077" t="s">
        <v>6220</v>
      </c>
      <c r="L1906" s="1077" t="s">
        <v>1776</v>
      </c>
      <c r="M1906" s="1077">
        <v>148</v>
      </c>
      <c r="N1906" s="1077" t="s">
        <v>945</v>
      </c>
      <c r="O1906" s="1077">
        <v>3.7</v>
      </c>
      <c r="P1906" s="1077">
        <v>2.96</v>
      </c>
      <c r="Q1906" s="1077">
        <v>4</v>
      </c>
      <c r="R1906" s="1077">
        <v>20.8</v>
      </c>
      <c r="T1906" s="1077">
        <v>20.399999999999999</v>
      </c>
      <c r="U1906" s="1077">
        <v>3.8</v>
      </c>
      <c r="V1906" s="1077" t="s">
        <v>648</v>
      </c>
      <c r="W1906" s="1077">
        <v>110</v>
      </c>
      <c r="X1906" s="1077" t="s">
        <v>2395</v>
      </c>
      <c r="Y1906" s="1077">
        <v>1.7</v>
      </c>
      <c r="Z1906" s="1077" t="s">
        <v>648</v>
      </c>
      <c r="AA1906" s="1077" t="s">
        <v>6221</v>
      </c>
      <c r="AB1906" s="1077" t="s">
        <v>981</v>
      </c>
      <c r="AH1906" s="1077" t="s">
        <v>782</v>
      </c>
      <c r="AI1906" s="1077">
        <v>93.36</v>
      </c>
      <c r="AJ1906" s="1077">
        <v>-0.1</v>
      </c>
      <c r="AK1906" s="1077">
        <v>0.56000000000000005</v>
      </c>
      <c r="AM1906" s="1078" t="s">
        <v>12816</v>
      </c>
      <c r="AN1906" s="1078" t="s">
        <v>12817</v>
      </c>
      <c r="AO1906" s="1078">
        <f t="shared" si="238"/>
        <v>650</v>
      </c>
      <c r="AP1906" s="1078">
        <f t="shared" si="239"/>
        <v>1.73</v>
      </c>
      <c r="AQ1906" s="1078" t="str">
        <f t="shared" si="240"/>
        <v>1-5-1S85°S+Z</v>
      </c>
      <c r="AR1906" s="1078" t="str">
        <f t="shared" si="241"/>
        <v>NA</v>
      </c>
      <c r="AS1906" s="1078" t="str">
        <f t="shared" si="242"/>
        <v>180/OFF</v>
      </c>
      <c r="AT1906" s="1078" t="str">
        <f t="shared" si="243"/>
        <v>1-5-1S85°S+Z</v>
      </c>
      <c r="AU1906" s="1078" t="s">
        <v>15550</v>
      </c>
      <c r="AV1906" s="1078" t="str">
        <f t="shared" si="236"/>
        <v>112.7.17</v>
      </c>
      <c r="AW1906" s="1344">
        <f t="shared" si="237"/>
        <v>45124</v>
      </c>
    </row>
    <row r="1907" spans="1:49">
      <c r="A1907" s="1077" t="s">
        <v>6222</v>
      </c>
      <c r="B1907" s="1077" t="s">
        <v>5372</v>
      </c>
      <c r="C1907" s="1077">
        <v>600</v>
      </c>
      <c r="D1907" s="1077">
        <v>1.7150000000000001</v>
      </c>
      <c r="E1907" s="1077" t="s">
        <v>15108</v>
      </c>
      <c r="F1907" s="1077" t="s">
        <v>648</v>
      </c>
      <c r="G1907" s="1077">
        <v>5</v>
      </c>
      <c r="H1907" s="1077" t="s">
        <v>955</v>
      </c>
      <c r="I1907" s="1077" t="s">
        <v>126</v>
      </c>
      <c r="J1907" s="1077">
        <v>1.8</v>
      </c>
      <c r="K1907" s="1077" t="s">
        <v>6223</v>
      </c>
      <c r="L1907" s="1077" t="s">
        <v>2104</v>
      </c>
      <c r="M1907" s="1077">
        <v>149</v>
      </c>
      <c r="N1907" s="1077" t="s">
        <v>945</v>
      </c>
      <c r="O1907" s="1077">
        <v>3.7250000000000001</v>
      </c>
      <c r="P1907" s="1077">
        <v>2.98</v>
      </c>
      <c r="Q1907" s="1077">
        <v>4</v>
      </c>
      <c r="R1907" s="1077">
        <v>21.8</v>
      </c>
      <c r="T1907" s="1077">
        <v>22.6</v>
      </c>
      <c r="U1907" s="1077">
        <v>3.6</v>
      </c>
      <c r="V1907" s="1077" t="s">
        <v>648</v>
      </c>
      <c r="W1907" s="1077">
        <v>120</v>
      </c>
      <c r="X1907" s="1077">
        <v>70</v>
      </c>
      <c r="Y1907" s="1077">
        <v>1.5</v>
      </c>
      <c r="Z1907" s="1077" t="s">
        <v>648</v>
      </c>
      <c r="AA1907" s="1077" t="s">
        <v>3660</v>
      </c>
      <c r="AH1907" s="1077" t="s">
        <v>619</v>
      </c>
      <c r="AI1907" s="1077">
        <v>91.62</v>
      </c>
      <c r="AJ1907" s="1077">
        <v>-1.47</v>
      </c>
      <c r="AK1907" s="1077">
        <v>4.5</v>
      </c>
      <c r="AM1907" s="1078" t="s">
        <v>12818</v>
      </c>
      <c r="AN1907" s="1078" t="s">
        <v>12819</v>
      </c>
      <c r="AO1907" s="1078">
        <f t="shared" si="238"/>
        <v>600</v>
      </c>
      <c r="AP1907" s="1078">
        <f t="shared" si="239"/>
        <v>1.7150000000000001</v>
      </c>
      <c r="AQ1907" s="1078" t="str">
        <f t="shared" si="240"/>
        <v>1-4-1S83°Z+S</v>
      </c>
      <c r="AR1907" s="1078" t="str">
        <f t="shared" si="241"/>
        <v>NA</v>
      </c>
      <c r="AS1907" s="1078" t="str">
        <f t="shared" si="242"/>
        <v>260/260/OFF</v>
      </c>
      <c r="AT1907" s="1078" t="str">
        <f t="shared" si="243"/>
        <v>1-4-1S83°Z+S</v>
      </c>
      <c r="AU1907" s="1078" t="s">
        <v>15547</v>
      </c>
      <c r="AV1907" s="1078" t="str">
        <f t="shared" si="236"/>
        <v>112.7.20</v>
      </c>
      <c r="AW1907" s="1344">
        <f t="shared" si="237"/>
        <v>45127</v>
      </c>
    </row>
    <row r="1908" spans="1:49">
      <c r="A1908" s="1077" t="s">
        <v>6224</v>
      </c>
      <c r="B1908" s="1077" t="s">
        <v>5520</v>
      </c>
      <c r="C1908" s="1077">
        <v>600</v>
      </c>
      <c r="D1908" s="1077">
        <v>1.7250000000000001</v>
      </c>
      <c r="E1908" s="1077" t="s">
        <v>15117</v>
      </c>
      <c r="F1908" s="1077" t="s">
        <v>648</v>
      </c>
      <c r="G1908" s="1077">
        <v>5</v>
      </c>
      <c r="H1908" s="1077" t="s">
        <v>2192</v>
      </c>
      <c r="I1908" s="1077" t="s">
        <v>126</v>
      </c>
      <c r="J1908" s="1077">
        <v>1.5</v>
      </c>
      <c r="K1908" s="1077" t="s">
        <v>6216</v>
      </c>
      <c r="L1908" s="1077" t="s">
        <v>1776</v>
      </c>
      <c r="M1908" s="1077">
        <v>148</v>
      </c>
      <c r="N1908" s="1077" t="s">
        <v>945</v>
      </c>
      <c r="O1908" s="1077">
        <v>3.7</v>
      </c>
      <c r="P1908" s="1077">
        <v>2.96</v>
      </c>
      <c r="Q1908" s="1077">
        <v>4</v>
      </c>
      <c r="R1908" s="1077">
        <v>20.8</v>
      </c>
      <c r="T1908" s="1077">
        <v>20.399999999999999</v>
      </c>
      <c r="U1908" s="1077">
        <v>3.8</v>
      </c>
      <c r="V1908" s="1077" t="s">
        <v>648</v>
      </c>
      <c r="W1908" s="1077">
        <v>110</v>
      </c>
      <c r="X1908" s="1077" t="s">
        <v>2395</v>
      </c>
      <c r="Y1908" s="1077">
        <v>1.7</v>
      </c>
      <c r="Z1908" s="1077" t="s">
        <v>648</v>
      </c>
      <c r="AA1908" s="1077" t="s">
        <v>6225</v>
      </c>
      <c r="AH1908" s="1077" t="s">
        <v>1178</v>
      </c>
      <c r="AI1908" s="1077">
        <v>92.48</v>
      </c>
      <c r="AJ1908" s="1077">
        <v>-0.1</v>
      </c>
      <c r="AK1908" s="1077">
        <v>0.85</v>
      </c>
      <c r="AM1908" s="1078" t="s">
        <v>12820</v>
      </c>
      <c r="AN1908" s="1078" t="s">
        <v>12821</v>
      </c>
      <c r="AO1908" s="1078">
        <f t="shared" si="238"/>
        <v>600</v>
      </c>
      <c r="AP1908" s="1078">
        <f t="shared" si="239"/>
        <v>1.7250000000000001</v>
      </c>
      <c r="AQ1908" s="1078" t="str">
        <f t="shared" si="240"/>
        <v>1-4-1S85°S+Z</v>
      </c>
      <c r="AR1908" s="1078" t="str">
        <f t="shared" si="241"/>
        <v>NA</v>
      </c>
      <c r="AS1908" s="1078" t="str">
        <f t="shared" si="242"/>
        <v>180/OFF</v>
      </c>
      <c r="AT1908" s="1078" t="str">
        <f t="shared" si="243"/>
        <v>1-4-1S85°S+Z</v>
      </c>
      <c r="AU1908" s="1078" t="s">
        <v>15550</v>
      </c>
      <c r="AV1908" s="1078" t="str">
        <f t="shared" si="236"/>
        <v>112.7.19</v>
      </c>
      <c r="AW1908" s="1344">
        <f t="shared" si="237"/>
        <v>45126</v>
      </c>
    </row>
    <row r="1909" spans="1:49">
      <c r="A1909" s="1077" t="s">
        <v>6226</v>
      </c>
      <c r="B1909" s="1077" t="s">
        <v>5873</v>
      </c>
      <c r="C1909" s="1077">
        <v>600</v>
      </c>
      <c r="D1909" s="1077">
        <v>1.75</v>
      </c>
      <c r="E1909" s="1077" t="s">
        <v>15099</v>
      </c>
      <c r="F1909" s="1077" t="s">
        <v>975</v>
      </c>
      <c r="G1909" s="1077">
        <v>5</v>
      </c>
      <c r="H1909" s="1077" t="s">
        <v>5888</v>
      </c>
      <c r="I1909" s="1077" t="s">
        <v>460</v>
      </c>
      <c r="J1909" s="1077">
        <v>2.6</v>
      </c>
      <c r="K1909" s="1077" t="s">
        <v>6148</v>
      </c>
      <c r="L1909" s="1077" t="s">
        <v>5876</v>
      </c>
      <c r="M1909" s="1077">
        <v>152</v>
      </c>
      <c r="N1909" s="1077" t="s">
        <v>945</v>
      </c>
      <c r="O1909" s="1077">
        <v>3.8000000000000003</v>
      </c>
      <c r="P1909" s="1077">
        <v>3.04</v>
      </c>
      <c r="Q1909" s="1077">
        <v>3.5</v>
      </c>
      <c r="R1909" s="1077">
        <v>22</v>
      </c>
      <c r="T1909" s="1077">
        <v>29</v>
      </c>
      <c r="U1909" s="1077">
        <v>3.8</v>
      </c>
      <c r="V1909" s="1077" t="s">
        <v>648</v>
      </c>
      <c r="W1909" s="1077">
        <v>110</v>
      </c>
      <c r="X1909" s="1077">
        <v>60</v>
      </c>
      <c r="Y1909" s="1077">
        <v>1.5</v>
      </c>
      <c r="Z1909" s="1077">
        <v>6</v>
      </c>
      <c r="AA1909" s="1077" t="s">
        <v>3660</v>
      </c>
      <c r="AH1909" s="1077" t="s">
        <v>958</v>
      </c>
      <c r="AI1909" s="1077">
        <v>19.010000000000002</v>
      </c>
      <c r="AJ1909" s="1077">
        <v>-0.13</v>
      </c>
      <c r="AK1909" s="1077">
        <v>0.19</v>
      </c>
      <c r="AM1909" s="1078" t="s">
        <v>12822</v>
      </c>
      <c r="AN1909" s="1078" t="s">
        <v>12823</v>
      </c>
      <c r="AO1909" s="1078">
        <f t="shared" si="238"/>
        <v>600</v>
      </c>
      <c r="AP1909" s="1078">
        <f t="shared" si="239"/>
        <v>1.75</v>
      </c>
      <c r="AQ1909" s="1078" t="str">
        <f t="shared" si="240"/>
        <v>1-5-1S87°</v>
      </c>
      <c r="AR1909" s="1078" t="str">
        <f t="shared" si="241"/>
        <v>31.5</v>
      </c>
      <c r="AS1909" s="1078" t="str">
        <f t="shared" si="242"/>
        <v>340/340/OFF</v>
      </c>
      <c r="AT1909" s="1078" t="str">
        <f t="shared" si="243"/>
        <v>1-5-1S87°</v>
      </c>
      <c r="AV1909" s="1078" t="str">
        <f t="shared" si="236"/>
        <v>112.7.20</v>
      </c>
      <c r="AW1909" s="1344">
        <f t="shared" si="237"/>
        <v>45127</v>
      </c>
    </row>
    <row r="1910" spans="1:49">
      <c r="A1910" s="1077" t="s">
        <v>6227</v>
      </c>
      <c r="B1910" s="1077" t="s">
        <v>4767</v>
      </c>
      <c r="C1910" s="1077">
        <v>650</v>
      </c>
      <c r="D1910" s="1077">
        <v>1.71</v>
      </c>
      <c r="E1910" s="1077" t="s">
        <v>15121</v>
      </c>
      <c r="F1910" s="1077" t="s">
        <v>648</v>
      </c>
      <c r="G1910" s="1077">
        <v>5</v>
      </c>
      <c r="H1910" s="1077" t="s">
        <v>2192</v>
      </c>
      <c r="I1910" s="1077" t="s">
        <v>126</v>
      </c>
      <c r="J1910" s="1077">
        <v>1.5</v>
      </c>
      <c r="K1910" s="1077" t="s">
        <v>6220</v>
      </c>
      <c r="L1910" s="1077" t="s">
        <v>1776</v>
      </c>
      <c r="M1910" s="1077">
        <v>148</v>
      </c>
      <c r="N1910" s="1077" t="s">
        <v>945</v>
      </c>
      <c r="O1910" s="1077">
        <v>3.7</v>
      </c>
      <c r="P1910" s="1077">
        <v>2.96</v>
      </c>
      <c r="Q1910" s="1077">
        <v>4</v>
      </c>
      <c r="R1910" s="1077">
        <v>20.8</v>
      </c>
      <c r="T1910" s="1077">
        <v>20.399999999999999</v>
      </c>
      <c r="U1910" s="1077">
        <v>3.8</v>
      </c>
      <c r="V1910" s="1077" t="s">
        <v>648</v>
      </c>
      <c r="W1910" s="1077">
        <v>110</v>
      </c>
      <c r="X1910" s="1077" t="s">
        <v>2395</v>
      </c>
      <c r="Y1910" s="1077">
        <v>1.7</v>
      </c>
      <c r="Z1910" s="1077" t="s">
        <v>648</v>
      </c>
      <c r="AA1910" s="1077" t="s">
        <v>3670</v>
      </c>
      <c r="AB1910" s="1077" t="s">
        <v>981</v>
      </c>
      <c r="AH1910" s="1077" t="s">
        <v>712</v>
      </c>
      <c r="AI1910" s="1077">
        <v>93.16</v>
      </c>
      <c r="AJ1910" s="1077">
        <v>-0.24</v>
      </c>
      <c r="AK1910" s="1077">
        <v>0.68</v>
      </c>
      <c r="AM1910" s="1078" t="s">
        <v>12824</v>
      </c>
      <c r="AN1910" s="1078" t="s">
        <v>12825</v>
      </c>
      <c r="AO1910" s="1078">
        <f t="shared" si="238"/>
        <v>650</v>
      </c>
      <c r="AP1910" s="1078">
        <f t="shared" si="239"/>
        <v>1.71</v>
      </c>
      <c r="AQ1910" s="1078" t="str">
        <f t="shared" si="240"/>
        <v>1-5-1S85°S+Z</v>
      </c>
      <c r="AR1910" s="1078" t="str">
        <f t="shared" si="241"/>
        <v>NA</v>
      </c>
      <c r="AS1910" s="1078" t="str">
        <f t="shared" si="242"/>
        <v>180/OFF</v>
      </c>
      <c r="AT1910" s="1078" t="str">
        <f t="shared" si="243"/>
        <v>1-5-1S85°S+Z</v>
      </c>
      <c r="AU1910" s="1078" t="s">
        <v>15550</v>
      </c>
      <c r="AV1910" s="1078" t="str">
        <f t="shared" si="236"/>
        <v>112.7.31</v>
      </c>
      <c r="AW1910" s="1344">
        <f t="shared" si="237"/>
        <v>45138</v>
      </c>
    </row>
    <row r="1911" spans="1:49">
      <c r="A1911" s="1077" t="s">
        <v>6228</v>
      </c>
      <c r="B1911" s="1077" t="s">
        <v>4860</v>
      </c>
      <c r="C1911" s="1077">
        <v>750</v>
      </c>
      <c r="D1911" s="1077">
        <v>1.77</v>
      </c>
      <c r="E1911" s="1077" t="s">
        <v>15109</v>
      </c>
      <c r="F1911" s="1077" t="s">
        <v>648</v>
      </c>
      <c r="G1911" s="1077">
        <v>5</v>
      </c>
      <c r="H1911" s="1077" t="s">
        <v>2941</v>
      </c>
      <c r="I1911" s="1077" t="s">
        <v>6229</v>
      </c>
      <c r="J1911" s="1077" t="s">
        <v>6230</v>
      </c>
      <c r="K1911" s="1077" t="s">
        <v>6231</v>
      </c>
      <c r="L1911" s="1077" t="s">
        <v>6232</v>
      </c>
      <c r="M1911" s="1077">
        <v>149.5</v>
      </c>
      <c r="N1911" s="1077" t="s">
        <v>945</v>
      </c>
      <c r="O1911" s="1077">
        <v>3.7375000000000003</v>
      </c>
      <c r="P1911" s="1077">
        <v>2.99</v>
      </c>
      <c r="Q1911" s="1077">
        <v>4</v>
      </c>
      <c r="R1911" s="1077">
        <v>21</v>
      </c>
      <c r="T1911" s="1077">
        <v>37</v>
      </c>
      <c r="U1911" s="1077">
        <v>3.7</v>
      </c>
      <c r="V1911" s="1077" t="s">
        <v>648</v>
      </c>
      <c r="W1911" s="1077">
        <v>110</v>
      </c>
      <c r="X1911" s="1077">
        <v>40</v>
      </c>
      <c r="Y1911" s="1077">
        <v>2.2000000000000002</v>
      </c>
      <c r="Z1911" s="1077" t="s">
        <v>648</v>
      </c>
      <c r="AA1911" s="1077" t="s">
        <v>3670</v>
      </c>
      <c r="AH1911" s="1077" t="s">
        <v>783</v>
      </c>
      <c r="AI1911" s="1077">
        <v>91.67</v>
      </c>
      <c r="AJ1911" s="1077">
        <v>-0.11</v>
      </c>
      <c r="AK1911" s="1077">
        <v>0.95</v>
      </c>
      <c r="AM1911" s="1078" t="s">
        <v>12826</v>
      </c>
      <c r="AN1911" s="1078" t="s">
        <v>12827</v>
      </c>
      <c r="AO1911" s="1078">
        <f t="shared" si="238"/>
        <v>750</v>
      </c>
      <c r="AP1911" s="1078">
        <f t="shared" si="239"/>
        <v>1.77</v>
      </c>
      <c r="AQ1911" s="1078" t="str">
        <f t="shared" si="240"/>
        <v>1-5-1S85°Z+S</v>
      </c>
      <c r="AR1911" s="1078" t="str">
        <f t="shared" si="241"/>
        <v>NA</v>
      </c>
      <c r="AS1911" s="1078" t="str">
        <f t="shared" si="242"/>
        <v>190/OFF</v>
      </c>
      <c r="AT1911" s="1078" t="str">
        <f t="shared" si="243"/>
        <v>1-5-1S85°Z+S</v>
      </c>
      <c r="AU1911" s="1078" t="s">
        <v>15547</v>
      </c>
      <c r="AV1911" s="1078" t="str">
        <f t="shared" si="236"/>
        <v>112.7.31</v>
      </c>
      <c r="AW1911" s="1344">
        <f t="shared" si="237"/>
        <v>45138</v>
      </c>
    </row>
    <row r="1912" spans="1:49">
      <c r="A1912" s="1077" t="s">
        <v>6233</v>
      </c>
      <c r="B1912" s="1077" t="s">
        <v>4944</v>
      </c>
      <c r="C1912" s="1077">
        <v>500</v>
      </c>
      <c r="D1912" s="1077">
        <v>1.74</v>
      </c>
      <c r="E1912" s="1077" t="s">
        <v>15094</v>
      </c>
      <c r="F1912" s="1077" t="s">
        <v>984</v>
      </c>
      <c r="G1912" s="1077">
        <v>5.5</v>
      </c>
      <c r="H1912" s="1077" t="s">
        <v>1029</v>
      </c>
      <c r="I1912" s="1077" t="s">
        <v>126</v>
      </c>
      <c r="J1912" s="1077">
        <v>1.4</v>
      </c>
      <c r="K1912" s="1077" t="s">
        <v>6234</v>
      </c>
      <c r="L1912" s="1077" t="s">
        <v>4946</v>
      </c>
      <c r="M1912" s="1077">
        <v>150.6</v>
      </c>
      <c r="N1912" s="1077" t="s">
        <v>945</v>
      </c>
      <c r="O1912" s="1077">
        <v>3.7650000000000001</v>
      </c>
      <c r="P1912" s="1077">
        <v>3.012</v>
      </c>
      <c r="Q1912" s="1077">
        <v>3</v>
      </c>
      <c r="R1912" s="1077" t="s">
        <v>6235</v>
      </c>
      <c r="T1912" s="1077">
        <v>14.8</v>
      </c>
      <c r="U1912" s="1077">
        <v>7</v>
      </c>
      <c r="V1912" s="1077" t="s">
        <v>648</v>
      </c>
      <c r="W1912" s="1077" t="s">
        <v>4947</v>
      </c>
      <c r="X1912" s="1077">
        <v>10</v>
      </c>
      <c r="Y1912" s="1077">
        <v>1.3</v>
      </c>
      <c r="Z1912" s="1077">
        <v>6</v>
      </c>
      <c r="AA1912" s="1077" t="s">
        <v>3641</v>
      </c>
      <c r="AH1912" s="1077" t="s">
        <v>1143</v>
      </c>
      <c r="AI1912" s="1077">
        <v>92.39</v>
      </c>
      <c r="AJ1912" s="1077">
        <v>-1.6</v>
      </c>
      <c r="AK1912" s="1077">
        <v>7.01</v>
      </c>
      <c r="AM1912" s="1078" t="s">
        <v>12828</v>
      </c>
      <c r="AN1912" s="1078" t="s">
        <v>12829</v>
      </c>
      <c r="AO1912" s="1078">
        <f t="shared" si="238"/>
        <v>500</v>
      </c>
      <c r="AP1912" s="1078">
        <f t="shared" si="239"/>
        <v>1.74</v>
      </c>
      <c r="AQ1912" s="1078" t="str">
        <f t="shared" si="240"/>
        <v>1-5-1S91°</v>
      </c>
      <c r="AR1912" s="1078" t="str">
        <f t="shared" si="241"/>
        <v>30</v>
      </c>
      <c r="AS1912" s="1078" t="str">
        <f t="shared" si="242"/>
        <v>250/250/OFF</v>
      </c>
      <c r="AT1912" s="1078" t="str">
        <f t="shared" si="243"/>
        <v>1-5-1S91°</v>
      </c>
      <c r="AV1912" s="1078" t="str">
        <f t="shared" si="236"/>
        <v>112.7.27</v>
      </c>
      <c r="AW1912" s="1344">
        <f t="shared" si="237"/>
        <v>45134</v>
      </c>
    </row>
    <row r="1913" spans="1:49">
      <c r="A1913" s="1077" t="s">
        <v>6236</v>
      </c>
      <c r="B1913" s="1077" t="s">
        <v>844</v>
      </c>
      <c r="C1913" s="1077">
        <v>600</v>
      </c>
      <c r="D1913" s="1077">
        <v>1.79</v>
      </c>
      <c r="E1913" s="1077" t="s">
        <v>15094</v>
      </c>
      <c r="F1913" s="1077" t="s">
        <v>954</v>
      </c>
      <c r="G1913" s="1077">
        <v>5</v>
      </c>
      <c r="H1913" s="1077" t="s">
        <v>5126</v>
      </c>
      <c r="I1913" s="1077" t="s">
        <v>460</v>
      </c>
      <c r="J1913" s="1077">
        <v>3.9</v>
      </c>
      <c r="K1913" s="1077" t="s">
        <v>6237</v>
      </c>
      <c r="L1913" s="1077" t="s">
        <v>6238</v>
      </c>
      <c r="M1913" s="1077">
        <v>151.69999999999999</v>
      </c>
      <c r="N1913" s="1077" t="s">
        <v>945</v>
      </c>
      <c r="O1913" s="1077">
        <v>3.7925</v>
      </c>
      <c r="P1913" s="1077">
        <v>3.0339999999999998</v>
      </c>
      <c r="Q1913" s="1077">
        <v>3</v>
      </c>
      <c r="R1913" s="1077">
        <v>19.7</v>
      </c>
      <c r="T1913" s="1077">
        <v>11.5</v>
      </c>
      <c r="U1913" s="1077">
        <v>5.3</v>
      </c>
      <c r="V1913" s="1077" t="s">
        <v>648</v>
      </c>
      <c r="W1913" s="1077">
        <v>105</v>
      </c>
      <c r="X1913" s="1077">
        <v>95</v>
      </c>
      <c r="Y1913" s="1077">
        <v>1.5</v>
      </c>
      <c r="Z1913" s="1077">
        <v>5</v>
      </c>
      <c r="AA1913" s="1077" t="s">
        <v>3664</v>
      </c>
      <c r="AB1913" s="1077" t="s">
        <v>3738</v>
      </c>
      <c r="AH1913" s="1077" t="s">
        <v>813</v>
      </c>
      <c r="AI1913" s="1077">
        <v>91.63</v>
      </c>
      <c r="AJ1913" s="1077">
        <v>-1.68</v>
      </c>
      <c r="AK1913" s="1077">
        <v>4.87</v>
      </c>
      <c r="AM1913" s="1078" t="s">
        <v>12830</v>
      </c>
      <c r="AN1913" s="1078" t="s">
        <v>12831</v>
      </c>
      <c r="AO1913" s="1078">
        <f t="shared" si="238"/>
        <v>600</v>
      </c>
      <c r="AP1913" s="1078">
        <f t="shared" si="239"/>
        <v>1.79</v>
      </c>
      <c r="AQ1913" s="1078" t="str">
        <f t="shared" si="240"/>
        <v>1-5-1S91°</v>
      </c>
      <c r="AR1913" s="1078" t="str">
        <f t="shared" si="241"/>
        <v>31</v>
      </c>
      <c r="AS1913" s="1078" t="str">
        <f t="shared" si="242"/>
        <v>300/300/140</v>
      </c>
      <c r="AT1913" s="1078" t="str">
        <f t="shared" si="243"/>
        <v>1-5-1S91°</v>
      </c>
      <c r="AV1913" s="1078" t="str">
        <f t="shared" si="236"/>
        <v>112.7.28</v>
      </c>
      <c r="AW1913" s="1344">
        <f t="shared" si="237"/>
        <v>45135</v>
      </c>
    </row>
    <row r="1914" spans="1:49">
      <c r="A1914" s="1077" t="s">
        <v>6239</v>
      </c>
      <c r="B1914" s="1077" t="s">
        <v>210</v>
      </c>
      <c r="C1914" s="1077">
        <v>650</v>
      </c>
      <c r="D1914" s="1077">
        <v>1.76</v>
      </c>
      <c r="E1914" s="1077" t="s">
        <v>15094</v>
      </c>
      <c r="F1914" s="1077" t="s">
        <v>984</v>
      </c>
      <c r="G1914" s="1077">
        <v>5</v>
      </c>
      <c r="H1914" s="1077" t="s">
        <v>5483</v>
      </c>
      <c r="I1914" s="1077" t="s">
        <v>126</v>
      </c>
      <c r="J1914" s="1077">
        <v>0.8</v>
      </c>
      <c r="K1914" s="1077" t="s">
        <v>5481</v>
      </c>
      <c r="L1914" s="1077" t="s">
        <v>4666</v>
      </c>
      <c r="M1914" s="1077">
        <v>151.5</v>
      </c>
      <c r="N1914" s="1077" t="s">
        <v>945</v>
      </c>
      <c r="O1914" s="1077">
        <v>3.7875000000000001</v>
      </c>
      <c r="P1914" s="1077">
        <v>3.0300000000000002</v>
      </c>
      <c r="Q1914" s="1077">
        <v>4</v>
      </c>
      <c r="R1914" s="1077">
        <v>19.100000000000001</v>
      </c>
      <c r="T1914" s="1077">
        <v>23.7</v>
      </c>
      <c r="U1914" s="1077">
        <v>3.2</v>
      </c>
      <c r="V1914" s="1077" t="s">
        <v>648</v>
      </c>
      <c r="W1914" s="1077">
        <v>35</v>
      </c>
      <c r="X1914" s="1077">
        <v>10</v>
      </c>
      <c r="Y1914" s="1077">
        <v>1</v>
      </c>
      <c r="Z1914" s="1077">
        <v>6</v>
      </c>
      <c r="AA1914" s="1077" t="s">
        <v>3664</v>
      </c>
      <c r="AH1914" s="1077" t="s">
        <v>722</v>
      </c>
      <c r="AI1914" s="1077">
        <v>91.64</v>
      </c>
      <c r="AJ1914" s="1077">
        <v>-0.28000000000000003</v>
      </c>
      <c r="AK1914" s="1077">
        <v>0.82</v>
      </c>
      <c r="AM1914" s="1078" t="s">
        <v>12832</v>
      </c>
      <c r="AN1914" s="1078" t="s">
        <v>12833</v>
      </c>
      <c r="AO1914" s="1078">
        <f t="shared" si="238"/>
        <v>650</v>
      </c>
      <c r="AP1914" s="1078">
        <f t="shared" si="239"/>
        <v>1.76</v>
      </c>
      <c r="AQ1914" s="1078" t="str">
        <f t="shared" si="240"/>
        <v>1-5-1S91°</v>
      </c>
      <c r="AR1914" s="1078" t="str">
        <f t="shared" si="241"/>
        <v>30</v>
      </c>
      <c r="AS1914" s="1078" t="str">
        <f t="shared" si="242"/>
        <v>350/310/150</v>
      </c>
      <c r="AT1914" s="1078" t="str">
        <f t="shared" si="243"/>
        <v>1-5-1S91°</v>
      </c>
      <c r="AV1914" s="1078" t="str">
        <f t="shared" si="236"/>
        <v>112.7.28</v>
      </c>
      <c r="AW1914" s="1344">
        <f t="shared" si="237"/>
        <v>45135</v>
      </c>
    </row>
    <row r="1915" spans="1:49">
      <c r="A1915" s="1077" t="s">
        <v>6240</v>
      </c>
      <c r="B1915" s="1077" t="s">
        <v>210</v>
      </c>
      <c r="C1915" s="1077">
        <v>650</v>
      </c>
      <c r="D1915" s="1077">
        <v>1.77</v>
      </c>
      <c r="E1915" s="1077" t="s">
        <v>15094</v>
      </c>
      <c r="F1915" s="1077" t="s">
        <v>984</v>
      </c>
      <c r="G1915" s="1077">
        <v>5</v>
      </c>
      <c r="H1915" s="1077" t="s">
        <v>6241</v>
      </c>
      <c r="I1915" s="1077" t="s">
        <v>648</v>
      </c>
      <c r="J1915" s="1077">
        <v>0</v>
      </c>
      <c r="K1915" s="1077" t="s">
        <v>6242</v>
      </c>
      <c r="L1915" s="1077" t="s">
        <v>4666</v>
      </c>
      <c r="M1915" s="1077">
        <v>151.5</v>
      </c>
      <c r="N1915" s="1077" t="s">
        <v>945</v>
      </c>
      <c r="O1915" s="1077">
        <v>3.7875000000000001</v>
      </c>
      <c r="P1915" s="1077">
        <v>3.0300000000000002</v>
      </c>
      <c r="Q1915" s="1077">
        <v>4</v>
      </c>
      <c r="R1915" s="1077">
        <v>19.100000000000001</v>
      </c>
      <c r="T1915" s="1077">
        <v>19</v>
      </c>
      <c r="U1915" s="1077">
        <v>2.5</v>
      </c>
      <c r="V1915" s="1077" t="s">
        <v>648</v>
      </c>
      <c r="W1915" s="1077" t="s">
        <v>648</v>
      </c>
      <c r="X1915" s="1077" t="s">
        <v>648</v>
      </c>
      <c r="Y1915" s="1077">
        <v>1</v>
      </c>
      <c r="Z1915" s="1077">
        <v>5</v>
      </c>
      <c r="AA1915" s="1077" t="s">
        <v>6243</v>
      </c>
      <c r="AH1915" s="1077" t="s">
        <v>1137</v>
      </c>
      <c r="AI1915" s="1077">
        <v>91.73</v>
      </c>
      <c r="AJ1915" s="1077">
        <v>-0.43</v>
      </c>
      <c r="AK1915" s="1077">
        <v>1.24</v>
      </c>
      <c r="AM1915" s="1078" t="s">
        <v>12834</v>
      </c>
      <c r="AN1915" s="1078" t="s">
        <v>12835</v>
      </c>
      <c r="AO1915" s="1078">
        <f t="shared" si="238"/>
        <v>650</v>
      </c>
      <c r="AP1915" s="1078">
        <f t="shared" si="239"/>
        <v>1.77</v>
      </c>
      <c r="AQ1915" s="1078" t="str">
        <f t="shared" si="240"/>
        <v>1-5-1S91°</v>
      </c>
      <c r="AR1915" s="1078" t="str">
        <f t="shared" si="241"/>
        <v>30</v>
      </c>
      <c r="AS1915" s="1078" t="str">
        <f t="shared" si="242"/>
        <v>345/305/155</v>
      </c>
      <c r="AT1915" s="1078" t="str">
        <f t="shared" si="243"/>
        <v>1-5-1S91°</v>
      </c>
      <c r="AV1915" s="1078" t="str">
        <f t="shared" si="236"/>
        <v>112.8.3</v>
      </c>
      <c r="AW1915" s="1344">
        <f t="shared" si="237"/>
        <v>45141</v>
      </c>
    </row>
    <row r="1916" spans="1:49">
      <c r="A1916" s="1077" t="s">
        <v>6244</v>
      </c>
      <c r="B1916" s="1077" t="s">
        <v>5005</v>
      </c>
      <c r="C1916" s="1077">
        <v>500</v>
      </c>
      <c r="D1916" s="1077">
        <v>1.7</v>
      </c>
      <c r="E1916" s="1077" t="s">
        <v>15108</v>
      </c>
      <c r="F1916" s="1077" t="s">
        <v>954</v>
      </c>
      <c r="G1916" s="1077">
        <v>4</v>
      </c>
      <c r="H1916" s="1077" t="s">
        <v>1226</v>
      </c>
      <c r="I1916" s="1077" t="s">
        <v>126</v>
      </c>
      <c r="J1916" s="1077">
        <v>1.9</v>
      </c>
      <c r="K1916" s="1077" t="s">
        <v>6245</v>
      </c>
      <c r="L1916" s="1077" t="s">
        <v>6246</v>
      </c>
      <c r="M1916" s="1077">
        <v>154</v>
      </c>
      <c r="N1916" s="1077" t="s">
        <v>945</v>
      </c>
      <c r="O1916" s="1077">
        <v>3.85</v>
      </c>
      <c r="P1916" s="1077">
        <v>3.08</v>
      </c>
      <c r="Q1916" s="1077">
        <v>3.5</v>
      </c>
      <c r="R1916" s="1077">
        <v>21</v>
      </c>
      <c r="T1916" s="1077">
        <v>15</v>
      </c>
      <c r="U1916" s="1077">
        <v>4.2</v>
      </c>
      <c r="V1916" s="1077" t="s">
        <v>648</v>
      </c>
      <c r="W1916" s="1077">
        <v>140</v>
      </c>
      <c r="X1916" s="1077">
        <v>90</v>
      </c>
      <c r="Y1916" s="1077">
        <v>1.6</v>
      </c>
      <c r="Z1916" s="1077" t="s">
        <v>648</v>
      </c>
      <c r="AA1916" s="1077" t="s">
        <v>6247</v>
      </c>
      <c r="AH1916" s="1077" t="s">
        <v>724</v>
      </c>
      <c r="AI1916" s="1077">
        <v>95.21</v>
      </c>
      <c r="AJ1916" s="1077">
        <v>-0.61</v>
      </c>
      <c r="AK1916" s="1077">
        <v>1.85</v>
      </c>
      <c r="AM1916" s="1078" t="s">
        <v>12836</v>
      </c>
      <c r="AN1916" s="1078" t="s">
        <v>12837</v>
      </c>
      <c r="AO1916" s="1078">
        <f t="shared" si="238"/>
        <v>500</v>
      </c>
      <c r="AP1916" s="1078">
        <f t="shared" si="239"/>
        <v>1.7</v>
      </c>
      <c r="AQ1916" s="1078" t="str">
        <f t="shared" si="240"/>
        <v>1-4-1S83°Z+S</v>
      </c>
      <c r="AR1916" s="1078" t="str">
        <f t="shared" si="241"/>
        <v>31</v>
      </c>
      <c r="AS1916" s="1078" t="str">
        <f t="shared" si="242"/>
        <v>230/230/OFF</v>
      </c>
      <c r="AT1916" s="1078" t="str">
        <f t="shared" si="243"/>
        <v>1-4-1S83°Z+S</v>
      </c>
      <c r="AU1916" s="1078" t="s">
        <v>15547</v>
      </c>
      <c r="AV1916" s="1078" t="str">
        <f t="shared" si="236"/>
        <v>112.8.7</v>
      </c>
      <c r="AW1916" s="1344">
        <f t="shared" si="237"/>
        <v>45145</v>
      </c>
    </row>
    <row r="1917" spans="1:49">
      <c r="A1917" s="1077" t="s">
        <v>6248</v>
      </c>
      <c r="B1917" s="1077" t="s">
        <v>5148</v>
      </c>
      <c r="C1917" s="1077">
        <v>650</v>
      </c>
      <c r="D1917" s="1077">
        <v>1.75</v>
      </c>
      <c r="E1917" s="1077" t="s">
        <v>15102</v>
      </c>
      <c r="F1917" s="1077" t="s">
        <v>984</v>
      </c>
      <c r="G1917" s="1077">
        <v>5</v>
      </c>
      <c r="H1917" s="1077" t="s">
        <v>1936</v>
      </c>
      <c r="I1917" s="1077" t="s">
        <v>460</v>
      </c>
      <c r="J1917" s="1077">
        <v>1.9</v>
      </c>
      <c r="K1917" s="1077" t="s">
        <v>5548</v>
      </c>
      <c r="L1917" s="1077" t="s">
        <v>5152</v>
      </c>
      <c r="M1917" s="1077">
        <v>148.6</v>
      </c>
      <c r="N1917" s="1077" t="s">
        <v>945</v>
      </c>
      <c r="O1917" s="1077">
        <v>3.7149999999999999</v>
      </c>
      <c r="P1917" s="1077">
        <v>2.972</v>
      </c>
      <c r="Q1917" s="1077">
        <v>3.5</v>
      </c>
      <c r="R1917" s="1077">
        <v>20.399999999999999</v>
      </c>
      <c r="T1917" s="1077">
        <v>26</v>
      </c>
      <c r="U1917" s="1077">
        <v>3.7</v>
      </c>
      <c r="V1917" s="1077" t="s">
        <v>648</v>
      </c>
      <c r="W1917" s="1077">
        <v>105</v>
      </c>
      <c r="X1917" s="1077">
        <v>50</v>
      </c>
      <c r="Y1917" s="1077">
        <v>2</v>
      </c>
      <c r="Z1917" s="1077">
        <v>6.5</v>
      </c>
      <c r="AA1917" s="1077" t="s">
        <v>6249</v>
      </c>
      <c r="AH1917" s="1077" t="s">
        <v>650</v>
      </c>
      <c r="AI1917" s="1077">
        <v>92.15</v>
      </c>
      <c r="AJ1917" s="1077">
        <v>-0.76</v>
      </c>
      <c r="AK1917" s="1077">
        <v>6.2</v>
      </c>
      <c r="AM1917" s="1078" t="s">
        <v>12838</v>
      </c>
      <c r="AN1917" s="1078" t="s">
        <v>12839</v>
      </c>
      <c r="AO1917" s="1078">
        <f t="shared" si="238"/>
        <v>650</v>
      </c>
      <c r="AP1917" s="1078">
        <f t="shared" si="239"/>
        <v>1.75</v>
      </c>
      <c r="AQ1917" s="1078" t="str">
        <f t="shared" si="240"/>
        <v>2-6-1S83°</v>
      </c>
      <c r="AR1917" s="1078" t="str">
        <f t="shared" si="241"/>
        <v>30</v>
      </c>
      <c r="AS1917" s="1078" t="str">
        <f t="shared" si="242"/>
        <v>175/OFF</v>
      </c>
      <c r="AT1917" s="1078" t="str">
        <f t="shared" si="243"/>
        <v>2-6-1S83°</v>
      </c>
      <c r="AV1917" s="1078" t="str">
        <f t="shared" si="236"/>
        <v>112.8.8</v>
      </c>
      <c r="AW1917" s="1344">
        <f t="shared" si="237"/>
        <v>45146</v>
      </c>
    </row>
    <row r="1918" spans="1:49">
      <c r="A1918" s="1077" t="s">
        <v>6250</v>
      </c>
      <c r="B1918" s="1077" t="s">
        <v>844</v>
      </c>
      <c r="C1918" s="1077">
        <v>600</v>
      </c>
      <c r="D1918" s="1077">
        <v>1.79</v>
      </c>
      <c r="E1918" s="1077" t="s">
        <v>15094</v>
      </c>
      <c r="F1918" s="1077" t="s">
        <v>954</v>
      </c>
      <c r="G1918" s="1077">
        <v>5</v>
      </c>
      <c r="H1918" s="1077" t="s">
        <v>5126</v>
      </c>
      <c r="I1918" s="1077" t="s">
        <v>460</v>
      </c>
      <c r="J1918" s="1077">
        <v>3.9</v>
      </c>
      <c r="K1918" s="1077" t="s">
        <v>6251</v>
      </c>
      <c r="L1918" s="1077" t="s">
        <v>6238</v>
      </c>
      <c r="M1918" s="1077">
        <v>151.69999999999999</v>
      </c>
      <c r="N1918" s="1077" t="s">
        <v>945</v>
      </c>
      <c r="O1918" s="1077">
        <v>3.7925</v>
      </c>
      <c r="P1918" s="1077">
        <v>3.0339999999999998</v>
      </c>
      <c r="Q1918" s="1077">
        <v>3</v>
      </c>
      <c r="R1918" s="1077">
        <v>19.7</v>
      </c>
      <c r="T1918" s="1077">
        <v>11.5</v>
      </c>
      <c r="U1918" s="1077">
        <v>5.3</v>
      </c>
      <c r="V1918" s="1077" t="s">
        <v>648</v>
      </c>
      <c r="W1918" s="1077">
        <v>105</v>
      </c>
      <c r="X1918" s="1077">
        <v>95</v>
      </c>
      <c r="Y1918" s="1077">
        <v>1.5</v>
      </c>
      <c r="Z1918" s="1077">
        <v>5</v>
      </c>
      <c r="AA1918" s="1077" t="s">
        <v>3680</v>
      </c>
      <c r="AB1918" s="1077" t="s">
        <v>6252</v>
      </c>
      <c r="AH1918" s="1077" t="s">
        <v>963</v>
      </c>
      <c r="AI1918" s="1077">
        <v>91.38</v>
      </c>
      <c r="AJ1918" s="1077">
        <v>-1.0900000000000001</v>
      </c>
      <c r="AK1918" s="1077">
        <v>5.01</v>
      </c>
      <c r="AM1918" s="1078" t="s">
        <v>12840</v>
      </c>
      <c r="AN1918" s="1078" t="s">
        <v>12841</v>
      </c>
      <c r="AO1918" s="1078">
        <f t="shared" si="238"/>
        <v>600</v>
      </c>
      <c r="AP1918" s="1078">
        <f t="shared" si="239"/>
        <v>1.79</v>
      </c>
      <c r="AQ1918" s="1078" t="str">
        <f t="shared" si="240"/>
        <v>1-5-1S91°</v>
      </c>
      <c r="AR1918" s="1078" t="str">
        <f t="shared" si="241"/>
        <v>31</v>
      </c>
      <c r="AS1918" s="1078" t="str">
        <f t="shared" si="242"/>
        <v>300/300/140</v>
      </c>
      <c r="AT1918" s="1078" t="str">
        <f t="shared" si="243"/>
        <v>1-5-1S91°</v>
      </c>
      <c r="AV1918" s="1078" t="str">
        <f t="shared" si="236"/>
        <v>112.8.10</v>
      </c>
      <c r="AW1918" s="1344">
        <f t="shared" si="237"/>
        <v>45148</v>
      </c>
    </row>
    <row r="1919" spans="1:49">
      <c r="A1919" s="1077" t="s">
        <v>6253</v>
      </c>
      <c r="B1919" s="1077" t="s">
        <v>617</v>
      </c>
      <c r="C1919" s="1077">
        <v>500</v>
      </c>
      <c r="D1919" s="1077">
        <v>1.77</v>
      </c>
      <c r="E1919" s="1077" t="s">
        <v>15094</v>
      </c>
      <c r="F1919" s="1077" t="s">
        <v>984</v>
      </c>
      <c r="G1919" s="1077">
        <v>5</v>
      </c>
      <c r="H1919" s="1077" t="s">
        <v>1040</v>
      </c>
      <c r="I1919" s="1077" t="s">
        <v>126</v>
      </c>
      <c r="J1919" s="1077">
        <v>2.6</v>
      </c>
      <c r="K1919" s="1077" t="s">
        <v>6254</v>
      </c>
      <c r="L1919" s="1077" t="s">
        <v>4854</v>
      </c>
      <c r="M1919" s="1077">
        <v>150.30000000000001</v>
      </c>
      <c r="N1919" s="1077" t="s">
        <v>945</v>
      </c>
      <c r="O1919" s="1077">
        <v>3.7575000000000003</v>
      </c>
      <c r="P1919" s="1077">
        <v>3.0060000000000002</v>
      </c>
      <c r="Q1919" s="1077">
        <v>3</v>
      </c>
      <c r="R1919" s="1077">
        <v>30</v>
      </c>
      <c r="T1919" s="1077">
        <v>13</v>
      </c>
      <c r="U1919" s="1077">
        <v>7</v>
      </c>
      <c r="V1919" s="1077" t="s">
        <v>648</v>
      </c>
      <c r="W1919" s="1077">
        <v>115</v>
      </c>
      <c r="X1919" s="1077">
        <v>50</v>
      </c>
      <c r="Y1919" s="1077">
        <v>1.7</v>
      </c>
      <c r="Z1919" s="1077">
        <v>6.5</v>
      </c>
      <c r="AA1919" s="1077" t="s">
        <v>3680</v>
      </c>
      <c r="AH1919" s="1077" t="s">
        <v>994</v>
      </c>
      <c r="AI1919" s="1077">
        <v>92.12</v>
      </c>
      <c r="AJ1919" s="1077">
        <v>-0.92</v>
      </c>
      <c r="AK1919" s="1077">
        <v>6.12</v>
      </c>
      <c r="AM1919" s="1078" t="s">
        <v>12842</v>
      </c>
      <c r="AN1919" s="1078" t="s">
        <v>12843</v>
      </c>
      <c r="AO1919" s="1078">
        <f t="shared" si="238"/>
        <v>500</v>
      </c>
      <c r="AP1919" s="1078">
        <f t="shared" si="239"/>
        <v>1.77</v>
      </c>
      <c r="AQ1919" s="1078" t="str">
        <f t="shared" si="240"/>
        <v>1-5-1S91°</v>
      </c>
      <c r="AR1919" s="1078" t="str">
        <f t="shared" si="241"/>
        <v>30</v>
      </c>
      <c r="AS1919" s="1078" t="str">
        <f t="shared" si="242"/>
        <v>240/240/OFF</v>
      </c>
      <c r="AT1919" s="1078" t="str">
        <f t="shared" si="243"/>
        <v>1-5-1S91°</v>
      </c>
      <c r="AV1919" s="1078" t="str">
        <f t="shared" si="236"/>
        <v>112.8.10</v>
      </c>
      <c r="AW1919" s="1344">
        <f t="shared" si="237"/>
        <v>45148</v>
      </c>
    </row>
    <row r="1920" spans="1:49">
      <c r="A1920" s="1077" t="s">
        <v>6255</v>
      </c>
      <c r="B1920" s="1077" t="s">
        <v>4992</v>
      </c>
      <c r="C1920" s="1077">
        <v>600</v>
      </c>
      <c r="D1920" s="1077">
        <v>1.71</v>
      </c>
      <c r="E1920" s="1077">
        <v>107.5</v>
      </c>
      <c r="F1920" s="1077" t="s">
        <v>648</v>
      </c>
      <c r="G1920" s="1077" t="s">
        <v>1767</v>
      </c>
      <c r="H1920" s="1077" t="s">
        <v>2708</v>
      </c>
      <c r="I1920" s="1077" t="s">
        <v>126</v>
      </c>
      <c r="J1920" s="1077">
        <v>0.9</v>
      </c>
      <c r="K1920" s="1077" t="s">
        <v>6256</v>
      </c>
      <c r="L1920" s="1077" t="s">
        <v>6257</v>
      </c>
      <c r="M1920" s="1077">
        <v>149</v>
      </c>
      <c r="N1920" s="1077" t="s">
        <v>945</v>
      </c>
      <c r="O1920" s="1077">
        <v>3.7250000000000001</v>
      </c>
      <c r="P1920" s="1077">
        <v>2.98</v>
      </c>
      <c r="Q1920" s="1077">
        <v>3.5</v>
      </c>
      <c r="R1920" s="1077">
        <v>22.2</v>
      </c>
      <c r="T1920" s="1077">
        <v>22</v>
      </c>
      <c r="U1920" s="1077">
        <v>4.7</v>
      </c>
      <c r="V1920" s="1077" t="s">
        <v>648</v>
      </c>
      <c r="W1920" s="1077">
        <v>50</v>
      </c>
      <c r="X1920" s="1077">
        <v>10</v>
      </c>
      <c r="Y1920" s="1077">
        <v>1</v>
      </c>
      <c r="Z1920" s="1077" t="s">
        <v>648</v>
      </c>
      <c r="AA1920" s="1077" t="s">
        <v>6258</v>
      </c>
      <c r="AH1920" s="1077" t="s">
        <v>1376</v>
      </c>
      <c r="AI1920" s="1077">
        <v>95</v>
      </c>
      <c r="AJ1920" s="1077">
        <v>-0.64</v>
      </c>
      <c r="AK1920" s="1077">
        <v>5.05</v>
      </c>
      <c r="AM1920" s="1078" t="s">
        <v>12844</v>
      </c>
      <c r="AN1920" s="1078" t="s">
        <v>12845</v>
      </c>
      <c r="AO1920" s="1078">
        <f t="shared" si="238"/>
        <v>600</v>
      </c>
      <c r="AP1920" s="1078">
        <f t="shared" si="239"/>
        <v>1.71</v>
      </c>
      <c r="AQ1920" s="1078">
        <f t="shared" si="240"/>
        <v>107.5</v>
      </c>
      <c r="AR1920" s="1078" t="str">
        <f t="shared" si="241"/>
        <v>NA</v>
      </c>
      <c r="AS1920" s="1078" t="str">
        <f t="shared" si="242"/>
        <v>295/295/OFF</v>
      </c>
      <c r="AT1920" s="1078">
        <f t="shared" si="243"/>
        <v>107.5</v>
      </c>
      <c r="AV1920" s="1078" t="str">
        <f t="shared" si="236"/>
        <v>112.8.11</v>
      </c>
      <c r="AW1920" s="1344">
        <f t="shared" si="237"/>
        <v>45149</v>
      </c>
    </row>
    <row r="1921" spans="1:49">
      <c r="A1921" s="1077" t="s">
        <v>6259</v>
      </c>
      <c r="B1921" s="1077" t="s">
        <v>210</v>
      </c>
      <c r="C1921" s="1077">
        <v>650</v>
      </c>
      <c r="D1921" s="1077">
        <v>1.7749999999999999</v>
      </c>
      <c r="E1921" s="1077" t="s">
        <v>15094</v>
      </c>
      <c r="F1921" s="1077" t="s">
        <v>984</v>
      </c>
      <c r="G1921" s="1077">
        <v>5</v>
      </c>
      <c r="H1921" s="1077" t="s">
        <v>5483</v>
      </c>
      <c r="I1921" s="1077" t="s">
        <v>126</v>
      </c>
      <c r="J1921" s="1077">
        <v>0.8</v>
      </c>
      <c r="K1921" s="1077" t="s">
        <v>6242</v>
      </c>
      <c r="L1921" s="1077" t="s">
        <v>4666</v>
      </c>
      <c r="M1921" s="1077">
        <v>151.5</v>
      </c>
      <c r="N1921" s="1077" t="s">
        <v>945</v>
      </c>
      <c r="O1921" s="1077">
        <v>3.7875000000000001</v>
      </c>
      <c r="P1921" s="1077">
        <v>3.0300000000000002</v>
      </c>
      <c r="Q1921" s="1077">
        <v>4</v>
      </c>
      <c r="R1921" s="1077">
        <v>19.100000000000001</v>
      </c>
      <c r="T1921" s="1077">
        <v>23.7</v>
      </c>
      <c r="U1921" s="1077">
        <v>3.2</v>
      </c>
      <c r="V1921" s="1077" t="s">
        <v>648</v>
      </c>
      <c r="W1921" s="1077">
        <v>35</v>
      </c>
      <c r="X1921" s="1077">
        <v>10</v>
      </c>
      <c r="Y1921" s="1077">
        <v>1</v>
      </c>
      <c r="Z1921" s="1077">
        <v>6</v>
      </c>
      <c r="AA1921" s="1077" t="s">
        <v>4445</v>
      </c>
      <c r="AH1921" s="1077" t="s">
        <v>1221</v>
      </c>
      <c r="AI1921" s="1077">
        <v>91.76</v>
      </c>
      <c r="AJ1921" s="1077">
        <v>-0.56000000000000005</v>
      </c>
      <c r="AK1921" s="1077">
        <v>1.45</v>
      </c>
      <c r="AM1921" s="1078" t="s">
        <v>12846</v>
      </c>
      <c r="AN1921" s="1078" t="s">
        <v>12847</v>
      </c>
      <c r="AO1921" s="1078">
        <f t="shared" si="238"/>
        <v>650</v>
      </c>
      <c r="AP1921" s="1078">
        <f t="shared" si="239"/>
        <v>1.7749999999999999</v>
      </c>
      <c r="AQ1921" s="1078" t="str">
        <f t="shared" si="240"/>
        <v>1-5-1S91°</v>
      </c>
      <c r="AR1921" s="1078" t="str">
        <f t="shared" si="241"/>
        <v>30</v>
      </c>
      <c r="AS1921" s="1078" t="str">
        <f t="shared" si="242"/>
        <v>350/310/150</v>
      </c>
      <c r="AT1921" s="1078" t="str">
        <f t="shared" si="243"/>
        <v>1-5-1S91°</v>
      </c>
      <c r="AV1921" s="1078" t="str">
        <f t="shared" si="236"/>
        <v>112.8.14</v>
      </c>
      <c r="AW1921" s="1344">
        <f t="shared" si="237"/>
        <v>45152</v>
      </c>
    </row>
    <row r="1922" spans="1:49">
      <c r="A1922" s="1077" t="s">
        <v>6260</v>
      </c>
      <c r="B1922" s="1077" t="s">
        <v>4694</v>
      </c>
      <c r="C1922" s="1077">
        <v>600</v>
      </c>
      <c r="D1922" s="1077">
        <v>1.74</v>
      </c>
      <c r="E1922" s="1077" t="s">
        <v>15102</v>
      </c>
      <c r="F1922" s="1077" t="s">
        <v>984</v>
      </c>
      <c r="G1922" s="1077">
        <v>5</v>
      </c>
      <c r="H1922" s="1077" t="s">
        <v>6039</v>
      </c>
      <c r="I1922" s="1077" t="s">
        <v>460</v>
      </c>
      <c r="J1922" s="1077">
        <v>1.9</v>
      </c>
      <c r="K1922" s="1077" t="s">
        <v>5558</v>
      </c>
      <c r="L1922" s="1077" t="s">
        <v>5253</v>
      </c>
      <c r="M1922" s="1077">
        <v>151.19999999999999</v>
      </c>
      <c r="N1922" s="1077" t="s">
        <v>945</v>
      </c>
      <c r="O1922" s="1077">
        <v>3.78</v>
      </c>
      <c r="P1922" s="1077">
        <v>3.024</v>
      </c>
      <c r="Q1922" s="1077">
        <v>4</v>
      </c>
      <c r="R1922" s="1077">
        <v>21</v>
      </c>
      <c r="T1922" s="1077">
        <v>20.5</v>
      </c>
      <c r="U1922" s="1077">
        <v>3</v>
      </c>
      <c r="V1922" s="1077" t="s">
        <v>648</v>
      </c>
      <c r="W1922" s="1077">
        <v>100</v>
      </c>
      <c r="X1922" s="1077">
        <v>60</v>
      </c>
      <c r="Y1922" s="1077">
        <v>1</v>
      </c>
      <c r="Z1922" s="1077">
        <v>5.5</v>
      </c>
      <c r="AA1922" s="1077" t="s">
        <v>3692</v>
      </c>
      <c r="AH1922" s="1077" t="s">
        <v>1486</v>
      </c>
      <c r="AI1922" s="1077">
        <v>92.42</v>
      </c>
      <c r="AJ1922" s="1077">
        <v>-0.6</v>
      </c>
      <c r="AK1922" s="1077">
        <v>6.44</v>
      </c>
      <c r="AM1922" s="1078" t="s">
        <v>12848</v>
      </c>
      <c r="AN1922" s="1078" t="s">
        <v>12849</v>
      </c>
      <c r="AO1922" s="1078">
        <f t="shared" si="238"/>
        <v>600</v>
      </c>
      <c r="AP1922" s="1078">
        <f t="shared" si="239"/>
        <v>1.74</v>
      </c>
      <c r="AQ1922" s="1078" t="str">
        <f t="shared" si="240"/>
        <v>2-6-1S83°</v>
      </c>
      <c r="AR1922" s="1078" t="str">
        <f t="shared" si="241"/>
        <v>30</v>
      </c>
      <c r="AS1922" s="1078" t="str">
        <f t="shared" si="242"/>
        <v>198/165</v>
      </c>
      <c r="AT1922" s="1078" t="str">
        <f t="shared" si="243"/>
        <v>2-6-1S83°</v>
      </c>
      <c r="AV1922" s="1078" t="str">
        <f t="shared" ref="AV1922:AV1985" si="244">AA1922</f>
        <v>112.8.17</v>
      </c>
      <c r="AW1922" s="1344">
        <f t="shared" si="237"/>
        <v>45155</v>
      </c>
    </row>
    <row r="1923" spans="1:49">
      <c r="A1923" s="1077" t="s">
        <v>6261</v>
      </c>
      <c r="B1923" s="1077" t="s">
        <v>210</v>
      </c>
      <c r="C1923" s="1077">
        <v>650</v>
      </c>
      <c r="D1923" s="1077">
        <v>1.7649999999999999</v>
      </c>
      <c r="E1923" s="1077" t="s">
        <v>15094</v>
      </c>
      <c r="F1923" s="1077" t="s">
        <v>984</v>
      </c>
      <c r="G1923" s="1077">
        <v>5</v>
      </c>
      <c r="H1923" s="1077" t="s">
        <v>5483</v>
      </c>
      <c r="I1923" s="1077" t="s">
        <v>126</v>
      </c>
      <c r="J1923" s="1077">
        <v>0.8</v>
      </c>
      <c r="K1923" s="1077" t="s">
        <v>6262</v>
      </c>
      <c r="L1923" s="1077" t="s">
        <v>4666</v>
      </c>
      <c r="M1923" s="1077">
        <v>151.5</v>
      </c>
      <c r="N1923" s="1077" t="s">
        <v>945</v>
      </c>
      <c r="O1923" s="1077">
        <v>3.7875000000000001</v>
      </c>
      <c r="P1923" s="1077">
        <v>3.0300000000000002</v>
      </c>
      <c r="Q1923" s="1077">
        <v>4</v>
      </c>
      <c r="R1923" s="1077">
        <v>19.100000000000001</v>
      </c>
      <c r="T1923" s="1077">
        <v>23.7</v>
      </c>
      <c r="U1923" s="1077">
        <v>3.2</v>
      </c>
      <c r="V1923" s="1077" t="s">
        <v>648</v>
      </c>
      <c r="W1923" s="1077">
        <v>35</v>
      </c>
      <c r="X1923" s="1077">
        <v>10</v>
      </c>
      <c r="Y1923" s="1077">
        <v>1</v>
      </c>
      <c r="Z1923" s="1077">
        <v>6</v>
      </c>
      <c r="AA1923" s="1077" t="s">
        <v>1613</v>
      </c>
      <c r="AH1923" s="1077" t="s">
        <v>1137</v>
      </c>
      <c r="AI1923" s="1077">
        <v>91.25</v>
      </c>
      <c r="AJ1923" s="1077">
        <v>-0.33</v>
      </c>
      <c r="AK1923" s="1077">
        <v>0.86</v>
      </c>
      <c r="AM1923" s="1078" t="s">
        <v>12850</v>
      </c>
      <c r="AN1923" s="1078" t="s">
        <v>12851</v>
      </c>
      <c r="AO1923" s="1078">
        <f t="shared" si="238"/>
        <v>650</v>
      </c>
      <c r="AP1923" s="1078">
        <f t="shared" si="239"/>
        <v>1.7649999999999999</v>
      </c>
      <c r="AQ1923" s="1078" t="str">
        <f t="shared" si="240"/>
        <v>1-5-1S91°</v>
      </c>
      <c r="AR1923" s="1078" t="str">
        <f t="shared" si="241"/>
        <v>30</v>
      </c>
      <c r="AS1923" s="1078" t="str">
        <f t="shared" si="242"/>
        <v>350/310/150</v>
      </c>
      <c r="AT1923" s="1078" t="str">
        <f t="shared" si="243"/>
        <v>1-5-1S91°</v>
      </c>
      <c r="AV1923" s="1078" t="str">
        <f t="shared" si="244"/>
        <v>112.8.23</v>
      </c>
      <c r="AW1923" s="1344">
        <f t="shared" ref="AW1923:AW1986" si="245">DATE(VALUE(LEFT(AV1923,FIND(".",AV1923)-1))+1911,
       VALUE(MID(AV1923,FIND(".",AV1923)+1,FIND(".",AV1923,FIND(".",AV1923)+1)-FIND(".",AV1923)-1)),
       VALUE(RIGHT(AV1923,LEN(AV1923)-FIND("~",SUBSTITUTE(AV1923,".","~",2)))))</f>
        <v>45161</v>
      </c>
    </row>
    <row r="1924" spans="1:49">
      <c r="A1924" s="1077" t="s">
        <v>6263</v>
      </c>
      <c r="B1924" s="1077" t="s">
        <v>210</v>
      </c>
      <c r="C1924" s="1077">
        <v>650</v>
      </c>
      <c r="D1924" s="1077">
        <v>1.7749999999999999</v>
      </c>
      <c r="E1924" s="1077" t="s">
        <v>15094</v>
      </c>
      <c r="F1924" s="1077" t="s">
        <v>984</v>
      </c>
      <c r="G1924" s="1077">
        <v>5</v>
      </c>
      <c r="H1924" s="1077" t="s">
        <v>5483</v>
      </c>
      <c r="I1924" s="1077" t="s">
        <v>126</v>
      </c>
      <c r="J1924" s="1077">
        <v>0.8</v>
      </c>
      <c r="K1924" s="1077" t="s">
        <v>5400</v>
      </c>
      <c r="L1924" s="1077" t="s">
        <v>4666</v>
      </c>
      <c r="M1924" s="1077">
        <v>151.5</v>
      </c>
      <c r="N1924" s="1077" t="s">
        <v>945</v>
      </c>
      <c r="O1924" s="1077">
        <v>3.7875000000000001</v>
      </c>
      <c r="P1924" s="1077">
        <v>3.0300000000000002</v>
      </c>
      <c r="Q1924" s="1077">
        <v>4</v>
      </c>
      <c r="R1924" s="1077">
        <v>19.100000000000001</v>
      </c>
      <c r="T1924" s="1077">
        <v>23.7</v>
      </c>
      <c r="U1924" s="1077">
        <v>3.2</v>
      </c>
      <c r="V1924" s="1077" t="s">
        <v>648</v>
      </c>
      <c r="W1924" s="1077">
        <v>35</v>
      </c>
      <c r="X1924" s="1077">
        <v>10</v>
      </c>
      <c r="Y1924" s="1077">
        <v>1</v>
      </c>
      <c r="Z1924" s="1077">
        <v>6</v>
      </c>
      <c r="AA1924" s="1077" t="s">
        <v>3692</v>
      </c>
      <c r="AH1924" s="1077" t="s">
        <v>1482</v>
      </c>
      <c r="AI1924" s="1077">
        <v>91.33</v>
      </c>
      <c r="AJ1924" s="1077">
        <v>-0.06</v>
      </c>
      <c r="AK1924" s="1077">
        <v>0.63</v>
      </c>
      <c r="AM1924" s="1078" t="s">
        <v>12852</v>
      </c>
      <c r="AN1924" s="1078" t="s">
        <v>12853</v>
      </c>
      <c r="AO1924" s="1078">
        <f t="shared" si="238"/>
        <v>650</v>
      </c>
      <c r="AP1924" s="1078">
        <f t="shared" si="239"/>
        <v>1.7749999999999999</v>
      </c>
      <c r="AQ1924" s="1078" t="str">
        <f t="shared" si="240"/>
        <v>1-5-1S91°</v>
      </c>
      <c r="AR1924" s="1078" t="str">
        <f t="shared" si="241"/>
        <v>30</v>
      </c>
      <c r="AS1924" s="1078" t="str">
        <f t="shared" si="242"/>
        <v>350/310/150</v>
      </c>
      <c r="AT1924" s="1078" t="str">
        <f t="shared" si="243"/>
        <v>1-5-1S91°</v>
      </c>
      <c r="AV1924" s="1078" t="str">
        <f t="shared" si="244"/>
        <v>112.8.17</v>
      </c>
      <c r="AW1924" s="1344">
        <f t="shared" si="245"/>
        <v>45155</v>
      </c>
    </row>
    <row r="1925" spans="1:49">
      <c r="A1925" s="1077" t="s">
        <v>6264</v>
      </c>
      <c r="B1925" s="1077" t="s">
        <v>6265</v>
      </c>
      <c r="C1925" s="1077">
        <v>500</v>
      </c>
      <c r="D1925" s="1077">
        <v>1.74</v>
      </c>
      <c r="E1925" s="1077" t="s">
        <v>15116</v>
      </c>
      <c r="F1925" s="1077" t="s">
        <v>954</v>
      </c>
      <c r="G1925" s="1077">
        <v>4</v>
      </c>
      <c r="H1925" s="1077" t="s">
        <v>1040</v>
      </c>
      <c r="I1925" s="1077" t="s">
        <v>126</v>
      </c>
      <c r="J1925" s="1077">
        <v>1.2</v>
      </c>
      <c r="K1925" s="1077" t="s">
        <v>6266</v>
      </c>
      <c r="L1925" s="1077" t="s">
        <v>1933</v>
      </c>
      <c r="M1925" s="1077">
        <v>148.5</v>
      </c>
      <c r="N1925" s="1077" t="s">
        <v>945</v>
      </c>
      <c r="O1925" s="1077">
        <v>3.7125000000000004</v>
      </c>
      <c r="P1925" s="1077">
        <v>2.97</v>
      </c>
      <c r="Q1925" s="1077">
        <v>4</v>
      </c>
      <c r="R1925" s="1077">
        <v>25</v>
      </c>
      <c r="T1925" s="1077">
        <v>22.5</v>
      </c>
      <c r="U1925" s="1077">
        <v>3.2</v>
      </c>
      <c r="V1925" s="1077" t="s">
        <v>648</v>
      </c>
      <c r="W1925" s="1077">
        <v>120</v>
      </c>
      <c r="X1925" s="1077">
        <v>60</v>
      </c>
      <c r="Y1925" s="1077">
        <v>1.8</v>
      </c>
      <c r="Z1925" s="1077" t="s">
        <v>648</v>
      </c>
      <c r="AA1925" s="1077" t="s">
        <v>3692</v>
      </c>
      <c r="AH1925" s="1077" t="s">
        <v>990</v>
      </c>
      <c r="AI1925" s="1077">
        <v>95.16</v>
      </c>
      <c r="AJ1925" s="1077">
        <v>-0.43</v>
      </c>
      <c r="AK1925" s="1077">
        <v>2.16</v>
      </c>
      <c r="AM1925" s="1078" t="s">
        <v>12854</v>
      </c>
      <c r="AN1925" s="1078" t="s">
        <v>9426</v>
      </c>
      <c r="AO1925" s="1078">
        <f t="shared" si="238"/>
        <v>500</v>
      </c>
      <c r="AP1925" s="1078">
        <f t="shared" si="239"/>
        <v>1.74</v>
      </c>
      <c r="AQ1925" s="1078" t="str">
        <f t="shared" si="240"/>
        <v>1-5-1S83°Z+S</v>
      </c>
      <c r="AR1925" s="1078" t="str">
        <f t="shared" si="241"/>
        <v>31</v>
      </c>
      <c r="AS1925" s="1078" t="str">
        <f t="shared" si="242"/>
        <v>240/240/OFF</v>
      </c>
      <c r="AT1925" s="1078" t="str">
        <f t="shared" si="243"/>
        <v>1-5-1S83°Z+S</v>
      </c>
      <c r="AU1925" s="1078" t="s">
        <v>15547</v>
      </c>
      <c r="AV1925" s="1078" t="str">
        <f t="shared" si="244"/>
        <v>112.8.17</v>
      </c>
      <c r="AW1925" s="1344">
        <f t="shared" si="245"/>
        <v>45155</v>
      </c>
    </row>
    <row r="1926" spans="1:49">
      <c r="A1926" s="1077" t="s">
        <v>6267</v>
      </c>
      <c r="B1926" s="1077" t="s">
        <v>4912</v>
      </c>
      <c r="C1926" s="1077">
        <v>750</v>
      </c>
      <c r="D1926" s="1077">
        <v>1.78</v>
      </c>
      <c r="E1926" s="1077" t="s">
        <v>15094</v>
      </c>
      <c r="F1926" s="1077" t="s">
        <v>2234</v>
      </c>
      <c r="G1926" s="1077">
        <v>5</v>
      </c>
      <c r="H1926" s="1077" t="s">
        <v>5001</v>
      </c>
      <c r="I1926" s="1077" t="s">
        <v>126</v>
      </c>
      <c r="J1926" s="1077">
        <v>1.9</v>
      </c>
      <c r="K1926" s="1077" t="s">
        <v>6268</v>
      </c>
      <c r="L1926" s="1077" t="s">
        <v>4915</v>
      </c>
      <c r="M1926" s="1077">
        <v>154.5</v>
      </c>
      <c r="N1926" s="1077" t="s">
        <v>945</v>
      </c>
      <c r="O1926" s="1077">
        <v>3.8625000000000003</v>
      </c>
      <c r="P1926" s="1077">
        <v>3.09</v>
      </c>
      <c r="Q1926" s="1077" t="s">
        <v>6269</v>
      </c>
      <c r="R1926" s="1077">
        <v>22</v>
      </c>
      <c r="T1926" s="1077">
        <v>20</v>
      </c>
      <c r="U1926" s="1077">
        <v>3.5</v>
      </c>
      <c r="V1926" s="1077" t="s">
        <v>648</v>
      </c>
      <c r="W1926" s="1077" t="s">
        <v>2532</v>
      </c>
      <c r="X1926" s="1077">
        <v>40</v>
      </c>
      <c r="Y1926" s="1077">
        <v>1.4</v>
      </c>
      <c r="Z1926" s="1077" t="s">
        <v>6270</v>
      </c>
      <c r="AA1926" s="1077" t="s">
        <v>4130</v>
      </c>
      <c r="AH1926" s="1077" t="s">
        <v>680</v>
      </c>
      <c r="AM1926" s="1078" t="s">
        <v>12855</v>
      </c>
      <c r="AN1926" s="1078" t="s">
        <v>12856</v>
      </c>
      <c r="AO1926" s="1078">
        <f t="shared" si="238"/>
        <v>750</v>
      </c>
      <c r="AP1926" s="1078">
        <f t="shared" si="239"/>
        <v>1.78</v>
      </c>
      <c r="AQ1926" s="1078" t="str">
        <f t="shared" si="240"/>
        <v>1-5-1S91°</v>
      </c>
      <c r="AR1926" s="1078" t="str">
        <f t="shared" si="241"/>
        <v>33.5</v>
      </c>
      <c r="AS1926" s="1078" t="str">
        <f t="shared" si="242"/>
        <v>345/345/150</v>
      </c>
      <c r="AT1926" s="1078" t="str">
        <f t="shared" si="243"/>
        <v>1-5-1S91°</v>
      </c>
      <c r="AV1926" s="1078" t="str">
        <f t="shared" si="244"/>
        <v>109.1.3</v>
      </c>
      <c r="AW1926" s="1344">
        <f t="shared" si="245"/>
        <v>43833</v>
      </c>
    </row>
    <row r="1927" spans="1:49">
      <c r="A1927" s="1077" t="s">
        <v>6271</v>
      </c>
      <c r="B1927" s="1077" t="s">
        <v>4880</v>
      </c>
      <c r="C1927" s="1077">
        <v>750</v>
      </c>
      <c r="D1927" s="1077">
        <v>1.76</v>
      </c>
      <c r="E1927" s="1077" t="s">
        <v>15094</v>
      </c>
      <c r="F1927" s="1077" t="s">
        <v>984</v>
      </c>
      <c r="G1927" s="1077">
        <v>5</v>
      </c>
      <c r="H1927" s="1077" t="s">
        <v>6272</v>
      </c>
      <c r="I1927" s="1077" t="s">
        <v>460</v>
      </c>
      <c r="J1927" s="1077">
        <v>1.5</v>
      </c>
      <c r="K1927" s="1077" t="s">
        <v>5231</v>
      </c>
      <c r="L1927" s="1077" t="s">
        <v>4883</v>
      </c>
      <c r="M1927" s="1077">
        <v>157.19999999999999</v>
      </c>
      <c r="N1927" s="1077" t="s">
        <v>945</v>
      </c>
      <c r="O1927" s="1077">
        <v>3.9299999999999997</v>
      </c>
      <c r="P1927" s="1077">
        <v>3.1439999999999997</v>
      </c>
      <c r="Q1927" s="1077" t="s">
        <v>2401</v>
      </c>
      <c r="R1927" s="1077">
        <v>21.5</v>
      </c>
      <c r="T1927" s="1077">
        <v>22.4</v>
      </c>
      <c r="U1927" s="1077">
        <v>3.6</v>
      </c>
      <c r="V1927" s="1077" t="s">
        <v>648</v>
      </c>
      <c r="W1927" s="1077">
        <v>95</v>
      </c>
      <c r="X1927" s="1077">
        <v>35</v>
      </c>
      <c r="Y1927" s="1077">
        <v>1.9</v>
      </c>
      <c r="Z1927" s="1077">
        <v>6</v>
      </c>
      <c r="AA1927" s="1077" t="s">
        <v>6273</v>
      </c>
      <c r="AH1927" s="1077" t="s">
        <v>990</v>
      </c>
      <c r="AM1927" s="1078" t="s">
        <v>12857</v>
      </c>
      <c r="AN1927" s="1078" t="s">
        <v>12858</v>
      </c>
      <c r="AO1927" s="1078">
        <f t="shared" si="238"/>
        <v>750</v>
      </c>
      <c r="AP1927" s="1078">
        <f t="shared" si="239"/>
        <v>1.76</v>
      </c>
      <c r="AQ1927" s="1078" t="str">
        <f t="shared" si="240"/>
        <v>1-5-1S91°</v>
      </c>
      <c r="AR1927" s="1078" t="str">
        <f t="shared" si="241"/>
        <v>30</v>
      </c>
      <c r="AS1927" s="1078" t="str">
        <f t="shared" si="242"/>
        <v>360/350/OFF</v>
      </c>
      <c r="AT1927" s="1078" t="str">
        <f t="shared" si="243"/>
        <v>1-5-1S91°</v>
      </c>
      <c r="AV1927" s="1078" t="str">
        <f t="shared" si="244"/>
        <v>109.4.24</v>
      </c>
      <c r="AW1927" s="1344">
        <f t="shared" si="245"/>
        <v>43945</v>
      </c>
    </row>
    <row r="1928" spans="1:49">
      <c r="A1928" s="1077" t="s">
        <v>6274</v>
      </c>
      <c r="B1928" s="1077" t="s">
        <v>617</v>
      </c>
      <c r="C1928" s="1077">
        <v>650</v>
      </c>
      <c r="D1928" s="1077">
        <v>1.7949999999999999</v>
      </c>
      <c r="E1928" s="1077" t="s">
        <v>15094</v>
      </c>
      <c r="F1928" s="1077" t="s">
        <v>2234</v>
      </c>
      <c r="G1928" s="1077">
        <v>5</v>
      </c>
      <c r="H1928" s="1077" t="s">
        <v>1806</v>
      </c>
      <c r="I1928" s="1077" t="s">
        <v>126</v>
      </c>
      <c r="J1928" s="1077">
        <v>2.2999999999999998</v>
      </c>
      <c r="K1928" s="1077" t="s">
        <v>6275</v>
      </c>
      <c r="L1928" s="1077" t="s">
        <v>4854</v>
      </c>
      <c r="M1928" s="1077">
        <v>150.30000000000001</v>
      </c>
      <c r="N1928" s="1077" t="s">
        <v>945</v>
      </c>
      <c r="O1928" s="1077">
        <v>3.7575000000000003</v>
      </c>
      <c r="P1928" s="1077">
        <v>3.0060000000000002</v>
      </c>
      <c r="Q1928" s="1077" t="s">
        <v>1363</v>
      </c>
      <c r="R1928" s="1077">
        <v>31</v>
      </c>
      <c r="T1928" s="1077">
        <v>15</v>
      </c>
      <c r="U1928" s="1077">
        <v>6.5</v>
      </c>
      <c r="V1928" s="1077" t="s">
        <v>648</v>
      </c>
      <c r="W1928" s="1077">
        <v>115</v>
      </c>
      <c r="X1928" s="1077">
        <v>50</v>
      </c>
      <c r="Y1928" s="1077">
        <v>1.7</v>
      </c>
      <c r="Z1928" s="1077" t="s">
        <v>6276</v>
      </c>
      <c r="AA1928" s="1077" t="s">
        <v>6277</v>
      </c>
      <c r="AH1928" s="1077" t="s">
        <v>684</v>
      </c>
      <c r="AM1928" s="1078" t="s">
        <v>12859</v>
      </c>
      <c r="AN1928" s="1078" t="s">
        <v>12860</v>
      </c>
      <c r="AO1928" s="1078">
        <f t="shared" si="238"/>
        <v>650</v>
      </c>
      <c r="AP1928" s="1078">
        <f t="shared" si="239"/>
        <v>1.7949999999999999</v>
      </c>
      <c r="AQ1928" s="1078" t="str">
        <f t="shared" si="240"/>
        <v>1-5-1S91°</v>
      </c>
      <c r="AR1928" s="1078" t="str">
        <f t="shared" si="241"/>
        <v>33.5</v>
      </c>
      <c r="AS1928" s="1078" t="str">
        <f t="shared" si="242"/>
        <v>280/280/OFF</v>
      </c>
      <c r="AT1928" s="1078" t="str">
        <f t="shared" si="243"/>
        <v>1-5-1S91°</v>
      </c>
      <c r="AV1928" s="1078" t="str">
        <f t="shared" si="244"/>
        <v>109.9.15</v>
      </c>
      <c r="AW1928" s="1344">
        <f t="shared" si="245"/>
        <v>44089</v>
      </c>
    </row>
    <row r="1929" spans="1:49">
      <c r="A1929" s="1077" t="s">
        <v>6278</v>
      </c>
      <c r="B1929" s="1077" t="s">
        <v>5148</v>
      </c>
      <c r="C1929" s="1077">
        <v>650</v>
      </c>
      <c r="D1929" s="1077">
        <v>1.7350000000000001</v>
      </c>
      <c r="E1929" s="1077" t="s">
        <v>15102</v>
      </c>
      <c r="F1929" s="1077" t="s">
        <v>5149</v>
      </c>
      <c r="G1929" s="1077">
        <v>5</v>
      </c>
      <c r="H1929" s="1077" t="s">
        <v>6279</v>
      </c>
      <c r="I1929" s="1077" t="s">
        <v>648</v>
      </c>
      <c r="J1929" s="1077">
        <v>0</v>
      </c>
      <c r="K1929" s="1077" t="s">
        <v>5298</v>
      </c>
      <c r="L1929" s="1077" t="s">
        <v>5152</v>
      </c>
      <c r="M1929" s="1077">
        <v>149.9</v>
      </c>
      <c r="N1929" s="1077" t="s">
        <v>945</v>
      </c>
      <c r="O1929" s="1077">
        <v>3.7475000000000005</v>
      </c>
      <c r="P1929" s="1077">
        <v>2.9980000000000002</v>
      </c>
      <c r="Q1929" s="1077">
        <v>4</v>
      </c>
      <c r="R1929" s="1077">
        <v>24</v>
      </c>
      <c r="T1929" s="1077">
        <v>17</v>
      </c>
      <c r="U1929" s="1077">
        <v>2.6</v>
      </c>
      <c r="V1929" s="1077" t="s">
        <v>648</v>
      </c>
      <c r="W1929" s="1077" t="s">
        <v>648</v>
      </c>
      <c r="X1929" s="1077" t="s">
        <v>648</v>
      </c>
      <c r="Y1929" s="1077">
        <v>1</v>
      </c>
      <c r="Z1929" s="1077">
        <v>4.5</v>
      </c>
      <c r="AA1929" s="1077" t="s">
        <v>6002</v>
      </c>
      <c r="AH1929" s="1077" t="s">
        <v>647</v>
      </c>
      <c r="AM1929" s="1078" t="s">
        <v>12861</v>
      </c>
      <c r="AN1929" s="1078" t="s">
        <v>12862</v>
      </c>
      <c r="AO1929" s="1078">
        <f t="shared" si="238"/>
        <v>650</v>
      </c>
      <c r="AP1929" s="1078">
        <f t="shared" si="239"/>
        <v>1.7350000000000001</v>
      </c>
      <c r="AQ1929" s="1078" t="str">
        <f t="shared" si="240"/>
        <v>2-6-1S83°</v>
      </c>
      <c r="AR1929" s="1078" t="str">
        <f t="shared" si="241"/>
        <v>29.3</v>
      </c>
      <c r="AS1929" s="1078" t="str">
        <f t="shared" si="242"/>
        <v>170/175</v>
      </c>
      <c r="AT1929" s="1078" t="str">
        <f t="shared" si="243"/>
        <v>2-6-1S83°</v>
      </c>
      <c r="AV1929" s="1078" t="str">
        <f t="shared" si="244"/>
        <v>109.12.30</v>
      </c>
      <c r="AW1929" s="1344">
        <f t="shared" si="245"/>
        <v>44195</v>
      </c>
    </row>
    <row r="1930" spans="1:49">
      <c r="A1930" s="1077" t="s">
        <v>6280</v>
      </c>
      <c r="B1930" s="1077" t="s">
        <v>210</v>
      </c>
      <c r="C1930" s="1077">
        <v>700</v>
      </c>
      <c r="D1930" s="1077">
        <v>1.74</v>
      </c>
      <c r="E1930" s="1077" t="s">
        <v>15094</v>
      </c>
      <c r="F1930" s="1077" t="s">
        <v>984</v>
      </c>
      <c r="G1930" s="1077">
        <v>5</v>
      </c>
      <c r="H1930" s="1077" t="s">
        <v>5300</v>
      </c>
      <c r="I1930" s="1077" t="s">
        <v>126</v>
      </c>
      <c r="J1930" s="1077">
        <v>0.8</v>
      </c>
      <c r="K1930" s="1077" t="s">
        <v>5301</v>
      </c>
      <c r="L1930" s="1077" t="s">
        <v>4666</v>
      </c>
      <c r="M1930" s="1077">
        <v>151.5</v>
      </c>
      <c r="N1930" s="1077" t="s">
        <v>945</v>
      </c>
      <c r="O1930" s="1077">
        <v>3.7875000000000001</v>
      </c>
      <c r="P1930" s="1077">
        <v>3.0300000000000002</v>
      </c>
      <c r="Q1930" s="1077">
        <v>4</v>
      </c>
      <c r="R1930" s="1077">
        <v>19.100000000000001</v>
      </c>
      <c r="T1930" s="1077">
        <v>23.7</v>
      </c>
      <c r="U1930" s="1077">
        <v>3.2</v>
      </c>
      <c r="V1930" s="1077" t="s">
        <v>648</v>
      </c>
      <c r="W1930" s="1077">
        <v>35</v>
      </c>
      <c r="X1930" s="1077">
        <v>10</v>
      </c>
      <c r="Y1930" s="1077">
        <v>1</v>
      </c>
      <c r="Z1930" s="1077">
        <v>6</v>
      </c>
      <c r="AA1930" s="1077" t="s">
        <v>1384</v>
      </c>
      <c r="AB1930" s="1077" t="s">
        <v>4165</v>
      </c>
      <c r="AH1930" s="1077" t="s">
        <v>963</v>
      </c>
      <c r="AM1930" s="1078" t="s">
        <v>12863</v>
      </c>
      <c r="AN1930" s="1078" t="s">
        <v>12864</v>
      </c>
      <c r="AO1930" s="1078">
        <f t="shared" si="238"/>
        <v>700</v>
      </c>
      <c r="AP1930" s="1078">
        <f t="shared" si="239"/>
        <v>1.74</v>
      </c>
      <c r="AQ1930" s="1078" t="str">
        <f t="shared" si="240"/>
        <v>1-5-1S91°</v>
      </c>
      <c r="AR1930" s="1078" t="str">
        <f t="shared" si="241"/>
        <v>30</v>
      </c>
      <c r="AS1930" s="1078" t="str">
        <f t="shared" si="242"/>
        <v>370/330/155</v>
      </c>
      <c r="AT1930" s="1078" t="str">
        <f t="shared" si="243"/>
        <v>1-5-1S91°</v>
      </c>
      <c r="AV1930" s="1078" t="str">
        <f t="shared" si="244"/>
        <v>110.2.17</v>
      </c>
      <c r="AW1930" s="1344">
        <f t="shared" si="245"/>
        <v>44244</v>
      </c>
    </row>
    <row r="1931" spans="1:49">
      <c r="A1931" s="1077" t="s">
        <v>6281</v>
      </c>
      <c r="B1931" s="1077" t="s">
        <v>210</v>
      </c>
      <c r="C1931" s="1077">
        <v>700</v>
      </c>
      <c r="D1931" s="1077">
        <v>1.74</v>
      </c>
      <c r="E1931" s="1077" t="s">
        <v>15094</v>
      </c>
      <c r="F1931" s="1077" t="s">
        <v>984</v>
      </c>
      <c r="G1931" s="1077">
        <v>5</v>
      </c>
      <c r="H1931" s="1077" t="s">
        <v>5300</v>
      </c>
      <c r="I1931" s="1077" t="s">
        <v>126</v>
      </c>
      <c r="J1931" s="1077">
        <v>0.7</v>
      </c>
      <c r="K1931" s="1077" t="s">
        <v>5590</v>
      </c>
      <c r="L1931" s="1077" t="s">
        <v>4666</v>
      </c>
      <c r="M1931" s="1077">
        <v>151.5</v>
      </c>
      <c r="N1931" s="1077" t="s">
        <v>945</v>
      </c>
      <c r="O1931" s="1077">
        <v>3.7875000000000001</v>
      </c>
      <c r="P1931" s="1077">
        <v>3.0300000000000002</v>
      </c>
      <c r="Q1931" s="1077">
        <v>4</v>
      </c>
      <c r="R1931" s="1077">
        <v>19.100000000000001</v>
      </c>
      <c r="T1931" s="1077">
        <v>23.7</v>
      </c>
      <c r="U1931" s="1077">
        <v>3.2</v>
      </c>
      <c r="V1931" s="1077" t="s">
        <v>648</v>
      </c>
      <c r="W1931" s="1077">
        <v>35</v>
      </c>
      <c r="X1931" s="1077">
        <v>10</v>
      </c>
      <c r="Y1931" s="1077">
        <v>1</v>
      </c>
      <c r="Z1931" s="1077">
        <v>6</v>
      </c>
      <c r="AA1931" s="1077" t="s">
        <v>6282</v>
      </c>
      <c r="AB1931" s="1077" t="s">
        <v>4165</v>
      </c>
      <c r="AH1931" s="1077" t="s">
        <v>722</v>
      </c>
      <c r="AM1931" s="1078" t="s">
        <v>12865</v>
      </c>
      <c r="AN1931" s="1078" t="s">
        <v>12866</v>
      </c>
      <c r="AO1931" s="1078">
        <f t="shared" ref="AO1931:AO1994" si="246">C1931</f>
        <v>700</v>
      </c>
      <c r="AP1931" s="1078">
        <f t="shared" ref="AP1931:AP1994" si="247">D1931</f>
        <v>1.74</v>
      </c>
      <c r="AQ1931" s="1078" t="str">
        <f t="shared" ref="AQ1931:AQ1994" si="248">E1931</f>
        <v>1-5-1S91°</v>
      </c>
      <c r="AR1931" s="1078" t="str">
        <f t="shared" ref="AR1931:AR1994" si="249">F1931</f>
        <v>30</v>
      </c>
      <c r="AS1931" s="1078" t="str">
        <f t="shared" ref="AS1931:AS1994" si="250">H1931</f>
        <v>370/330/155</v>
      </c>
      <c r="AT1931" s="1078" t="str">
        <f t="shared" ref="AT1931:AT1994" si="251">E1931</f>
        <v>1-5-1S91°</v>
      </c>
      <c r="AV1931" s="1078" t="str">
        <f t="shared" si="244"/>
        <v>110.5.3</v>
      </c>
      <c r="AW1931" s="1344">
        <f t="shared" si="245"/>
        <v>44319</v>
      </c>
    </row>
    <row r="1932" spans="1:49">
      <c r="A1932" s="1077" t="s">
        <v>6283</v>
      </c>
      <c r="B1932" s="1077" t="s">
        <v>210</v>
      </c>
      <c r="C1932" s="1077">
        <v>700</v>
      </c>
      <c r="D1932" s="1077">
        <v>1.73</v>
      </c>
      <c r="E1932" s="1077" t="s">
        <v>15094</v>
      </c>
      <c r="F1932" s="1077" t="s">
        <v>984</v>
      </c>
      <c r="G1932" s="1077">
        <v>5</v>
      </c>
      <c r="H1932" s="1077" t="s">
        <v>4997</v>
      </c>
      <c r="I1932" s="1077" t="s">
        <v>126</v>
      </c>
      <c r="J1932" s="1077">
        <v>2.7</v>
      </c>
      <c r="K1932" s="1077" t="s">
        <v>6284</v>
      </c>
      <c r="L1932" s="1077" t="s">
        <v>4666</v>
      </c>
      <c r="M1932" s="1077">
        <v>150.80000000000001</v>
      </c>
      <c r="N1932" s="1077" t="s">
        <v>945</v>
      </c>
      <c r="O1932" s="1077">
        <v>3.7700000000000005</v>
      </c>
      <c r="P1932" s="1077">
        <v>3.0160000000000005</v>
      </c>
      <c r="Q1932" s="1077">
        <v>4</v>
      </c>
      <c r="R1932" s="1077">
        <v>19</v>
      </c>
      <c r="T1932" s="1077">
        <v>28.3</v>
      </c>
      <c r="U1932" s="1077">
        <v>4.3</v>
      </c>
      <c r="V1932" s="1077" t="s">
        <v>648</v>
      </c>
      <c r="W1932" s="1077">
        <v>100</v>
      </c>
      <c r="X1932" s="1077">
        <v>50</v>
      </c>
      <c r="Y1932" s="1077">
        <v>1.5</v>
      </c>
      <c r="Z1932" s="1077">
        <v>6.5</v>
      </c>
      <c r="AA1932" s="1077" t="s">
        <v>1312</v>
      </c>
      <c r="AH1932" s="1077" t="s">
        <v>2609</v>
      </c>
      <c r="AM1932" s="1078" t="s">
        <v>12867</v>
      </c>
      <c r="AN1932" s="1078" t="s">
        <v>12868</v>
      </c>
      <c r="AO1932" s="1078">
        <f t="shared" si="246"/>
        <v>700</v>
      </c>
      <c r="AP1932" s="1078">
        <f t="shared" si="247"/>
        <v>1.73</v>
      </c>
      <c r="AQ1932" s="1078" t="str">
        <f t="shared" si="248"/>
        <v>1-5-1S91°</v>
      </c>
      <c r="AR1932" s="1078" t="str">
        <f t="shared" si="249"/>
        <v>30</v>
      </c>
      <c r="AS1932" s="1078" t="str">
        <f t="shared" si="250"/>
        <v>360/320/OFF</v>
      </c>
      <c r="AT1932" s="1078" t="str">
        <f t="shared" si="251"/>
        <v>1-5-1S91°</v>
      </c>
      <c r="AV1932" s="1078" t="str">
        <f t="shared" si="244"/>
        <v>110.7.1</v>
      </c>
      <c r="AW1932" s="1344">
        <f t="shared" si="245"/>
        <v>44378</v>
      </c>
    </row>
    <row r="1933" spans="1:49">
      <c r="A1933" s="1077" t="s">
        <v>6285</v>
      </c>
      <c r="B1933" s="1077" t="s">
        <v>4694</v>
      </c>
      <c r="C1933" s="1077">
        <v>600</v>
      </c>
      <c r="D1933" s="1077">
        <v>1.74</v>
      </c>
      <c r="E1933" s="1077" t="s">
        <v>15102</v>
      </c>
      <c r="F1933" s="1077" t="s">
        <v>4236</v>
      </c>
      <c r="G1933" s="1077">
        <v>5</v>
      </c>
      <c r="H1933" s="1077" t="s">
        <v>5292</v>
      </c>
      <c r="I1933" s="1077" t="s">
        <v>460</v>
      </c>
      <c r="J1933" s="1077">
        <v>1.6</v>
      </c>
      <c r="K1933" s="1077" t="s">
        <v>4727</v>
      </c>
      <c r="L1933" s="1077" t="s">
        <v>4702</v>
      </c>
      <c r="M1933" s="1077">
        <v>151.19999999999999</v>
      </c>
      <c r="N1933" s="1077" t="s">
        <v>945</v>
      </c>
      <c r="O1933" s="1077">
        <v>3.78</v>
      </c>
      <c r="P1933" s="1077">
        <v>3.024</v>
      </c>
      <c r="Q1933" s="1077">
        <v>4</v>
      </c>
      <c r="R1933" s="1077">
        <v>21</v>
      </c>
      <c r="T1933" s="1077">
        <v>20.5</v>
      </c>
      <c r="U1933" s="1077">
        <v>3</v>
      </c>
      <c r="V1933" s="1077" t="s">
        <v>648</v>
      </c>
      <c r="W1933" s="1077">
        <v>100</v>
      </c>
      <c r="X1933" s="1077">
        <v>60</v>
      </c>
      <c r="Y1933" s="1077">
        <v>1</v>
      </c>
      <c r="Z1933" s="1077">
        <v>5.5</v>
      </c>
      <c r="AA1933" s="1077" t="s">
        <v>1426</v>
      </c>
      <c r="AH1933" s="1077" t="s">
        <v>466</v>
      </c>
      <c r="AM1933" s="1078" t="s">
        <v>12869</v>
      </c>
      <c r="AN1933" s="1078" t="s">
        <v>12870</v>
      </c>
      <c r="AO1933" s="1078">
        <f t="shared" si="246"/>
        <v>600</v>
      </c>
      <c r="AP1933" s="1078">
        <f t="shared" si="247"/>
        <v>1.74</v>
      </c>
      <c r="AQ1933" s="1078" t="str">
        <f t="shared" si="248"/>
        <v>2-6-1S83°</v>
      </c>
      <c r="AR1933" s="1078" t="str">
        <f t="shared" si="249"/>
        <v>34</v>
      </c>
      <c r="AS1933" s="1078" t="str">
        <f t="shared" si="250"/>
        <v>205/152</v>
      </c>
      <c r="AT1933" s="1078" t="str">
        <f t="shared" si="251"/>
        <v>2-6-1S83°</v>
      </c>
      <c r="AV1933" s="1078" t="str">
        <f t="shared" si="244"/>
        <v>110.8.27</v>
      </c>
      <c r="AW1933" s="1344">
        <f t="shared" si="245"/>
        <v>44435</v>
      </c>
    </row>
    <row r="1934" spans="1:49">
      <c r="A1934" s="1077" t="s">
        <v>6286</v>
      </c>
      <c r="B1934" s="1077" t="s">
        <v>5148</v>
      </c>
      <c r="C1934" s="1077">
        <v>650</v>
      </c>
      <c r="D1934" s="1077">
        <v>1.76</v>
      </c>
      <c r="E1934" s="1077" t="s">
        <v>15094</v>
      </c>
      <c r="F1934" s="1077" t="s">
        <v>975</v>
      </c>
      <c r="G1934" s="1077" t="s">
        <v>5348</v>
      </c>
      <c r="H1934" s="1077" t="s">
        <v>5305</v>
      </c>
      <c r="I1934" s="1077" t="s">
        <v>126</v>
      </c>
      <c r="J1934" s="1077">
        <v>2.5</v>
      </c>
      <c r="K1934" s="1077" t="s">
        <v>5151</v>
      </c>
      <c r="L1934" s="1077" t="s">
        <v>5152</v>
      </c>
      <c r="M1934" s="1077">
        <v>148.6</v>
      </c>
      <c r="N1934" s="1077" t="s">
        <v>945</v>
      </c>
      <c r="O1934" s="1077">
        <v>3.7149999999999999</v>
      </c>
      <c r="P1934" s="1077">
        <v>2.972</v>
      </c>
      <c r="Q1934" s="1077">
        <v>3.5</v>
      </c>
      <c r="R1934" s="1077">
        <v>20.399999999999999</v>
      </c>
      <c r="T1934" s="1077">
        <v>26</v>
      </c>
      <c r="U1934" s="1077">
        <v>3.7</v>
      </c>
      <c r="V1934" s="1077" t="s">
        <v>648</v>
      </c>
      <c r="W1934" s="1077">
        <v>105</v>
      </c>
      <c r="X1934" s="1077">
        <v>50</v>
      </c>
      <c r="Y1934" s="1077">
        <v>2</v>
      </c>
      <c r="Z1934" s="1077">
        <v>6.5</v>
      </c>
      <c r="AA1934" s="1077" t="s">
        <v>3892</v>
      </c>
      <c r="AH1934" s="1077" t="s">
        <v>1482</v>
      </c>
      <c r="AM1934" s="1078" t="s">
        <v>12871</v>
      </c>
      <c r="AN1934" s="1078" t="s">
        <v>12872</v>
      </c>
      <c r="AO1934" s="1078">
        <f t="shared" si="246"/>
        <v>650</v>
      </c>
      <c r="AP1934" s="1078">
        <f t="shared" si="247"/>
        <v>1.76</v>
      </c>
      <c r="AQ1934" s="1078" t="str">
        <f t="shared" si="248"/>
        <v>1-5-1S91°</v>
      </c>
      <c r="AR1934" s="1078" t="str">
        <f t="shared" si="249"/>
        <v>31.5</v>
      </c>
      <c r="AS1934" s="1078" t="str">
        <f t="shared" si="250"/>
        <v>350/320/OFF</v>
      </c>
      <c r="AT1934" s="1078" t="str">
        <f t="shared" si="251"/>
        <v>1-5-1S91°</v>
      </c>
      <c r="AV1934" s="1078" t="str">
        <f t="shared" si="244"/>
        <v>110.10.20</v>
      </c>
      <c r="AW1934" s="1344">
        <f t="shared" si="245"/>
        <v>44489</v>
      </c>
    </row>
    <row r="1935" spans="1:49">
      <c r="A1935" s="1077" t="s">
        <v>6287</v>
      </c>
      <c r="B1935" s="1077" t="s">
        <v>210</v>
      </c>
      <c r="C1935" s="1077">
        <v>700</v>
      </c>
      <c r="D1935" s="1077">
        <v>1.75</v>
      </c>
      <c r="E1935" s="1077" t="s">
        <v>15094</v>
      </c>
      <c r="F1935" s="1077" t="s">
        <v>984</v>
      </c>
      <c r="G1935" s="1077">
        <v>5</v>
      </c>
      <c r="H1935" s="1077" t="s">
        <v>5300</v>
      </c>
      <c r="I1935" s="1077" t="s">
        <v>126</v>
      </c>
      <c r="J1935" s="1077">
        <v>0.8</v>
      </c>
      <c r="K1935" s="1077" t="s">
        <v>5166</v>
      </c>
      <c r="L1935" s="1077" t="s">
        <v>4666</v>
      </c>
      <c r="M1935" s="1077">
        <v>151.5</v>
      </c>
      <c r="N1935" s="1077" t="s">
        <v>945</v>
      </c>
      <c r="O1935" s="1077">
        <v>3.7875000000000001</v>
      </c>
      <c r="P1935" s="1077">
        <v>3.0300000000000002</v>
      </c>
      <c r="Q1935" s="1077">
        <v>4</v>
      </c>
      <c r="R1935" s="1077">
        <v>19.100000000000001</v>
      </c>
      <c r="T1935" s="1077">
        <v>23.7</v>
      </c>
      <c r="U1935" s="1077">
        <v>3.2</v>
      </c>
      <c r="V1935" s="1077" t="s">
        <v>648</v>
      </c>
      <c r="W1935" s="1077">
        <v>35</v>
      </c>
      <c r="X1935" s="1077">
        <v>10</v>
      </c>
      <c r="Y1935" s="1077">
        <v>1</v>
      </c>
      <c r="Z1935" s="1077">
        <v>6</v>
      </c>
      <c r="AA1935" s="1077" t="s">
        <v>3986</v>
      </c>
      <c r="AH1935" s="1077" t="s">
        <v>1482</v>
      </c>
      <c r="AM1935" s="1078" t="s">
        <v>12873</v>
      </c>
      <c r="AN1935" s="1078" t="s">
        <v>12874</v>
      </c>
      <c r="AO1935" s="1078">
        <f t="shared" si="246"/>
        <v>700</v>
      </c>
      <c r="AP1935" s="1078">
        <f t="shared" si="247"/>
        <v>1.75</v>
      </c>
      <c r="AQ1935" s="1078" t="str">
        <f t="shared" si="248"/>
        <v>1-5-1S91°</v>
      </c>
      <c r="AR1935" s="1078" t="str">
        <f t="shared" si="249"/>
        <v>30</v>
      </c>
      <c r="AS1935" s="1078" t="str">
        <f t="shared" si="250"/>
        <v>370/330/155</v>
      </c>
      <c r="AT1935" s="1078" t="str">
        <f t="shared" si="251"/>
        <v>1-5-1S91°</v>
      </c>
      <c r="AV1935" s="1078" t="str">
        <f t="shared" si="244"/>
        <v>110.12.2</v>
      </c>
      <c r="AW1935" s="1344">
        <f t="shared" si="245"/>
        <v>44532</v>
      </c>
    </row>
    <row r="1936" spans="1:49">
      <c r="A1936" s="1077" t="s">
        <v>6288</v>
      </c>
      <c r="B1936" s="1077" t="s">
        <v>210</v>
      </c>
      <c r="C1936" s="1077">
        <v>650</v>
      </c>
      <c r="D1936" s="1077">
        <v>1.7749999999999999</v>
      </c>
      <c r="E1936" s="1077" t="s">
        <v>15094</v>
      </c>
      <c r="F1936" s="1077" t="s">
        <v>4013</v>
      </c>
      <c r="G1936" s="1077">
        <v>5</v>
      </c>
      <c r="H1936" s="1077" t="s">
        <v>6126</v>
      </c>
      <c r="I1936" s="1077" t="s">
        <v>126</v>
      </c>
      <c r="J1936" s="1077">
        <v>1.7</v>
      </c>
      <c r="K1936" s="1077" t="s">
        <v>6262</v>
      </c>
      <c r="L1936" s="1077" t="s">
        <v>4666</v>
      </c>
      <c r="M1936" s="1077">
        <v>152.19999999999999</v>
      </c>
      <c r="N1936" s="1077" t="s">
        <v>945</v>
      </c>
      <c r="O1936" s="1077">
        <v>3.8049999999999997</v>
      </c>
      <c r="P1936" s="1077">
        <v>3.044</v>
      </c>
      <c r="Q1936" s="1077">
        <v>4</v>
      </c>
      <c r="R1936" s="1077">
        <v>19</v>
      </c>
      <c r="T1936" s="1077">
        <v>16</v>
      </c>
      <c r="U1936" s="1077">
        <v>4</v>
      </c>
      <c r="V1936" s="1077" t="s">
        <v>648</v>
      </c>
      <c r="W1936" s="1077">
        <v>95</v>
      </c>
      <c r="X1936" s="1077">
        <v>20</v>
      </c>
      <c r="Y1936" s="1077">
        <v>1.5</v>
      </c>
      <c r="Z1936" s="1077">
        <v>5</v>
      </c>
      <c r="AA1936" s="1077" t="s">
        <v>4457</v>
      </c>
      <c r="AH1936" s="1077" t="s">
        <v>1482</v>
      </c>
      <c r="AI1936" s="1077">
        <v>90.9</v>
      </c>
      <c r="AJ1936" s="1077">
        <v>-0.04</v>
      </c>
      <c r="AK1936" s="1077">
        <v>0.37</v>
      </c>
      <c r="AM1936" s="1078" t="s">
        <v>12875</v>
      </c>
      <c r="AN1936" s="1078" t="s">
        <v>12876</v>
      </c>
      <c r="AO1936" s="1078">
        <f t="shared" si="246"/>
        <v>650</v>
      </c>
      <c r="AP1936" s="1078">
        <f t="shared" si="247"/>
        <v>1.7749999999999999</v>
      </c>
      <c r="AQ1936" s="1078" t="str">
        <f t="shared" si="248"/>
        <v>1-5-1S91°</v>
      </c>
      <c r="AR1936" s="1078" t="str">
        <f t="shared" si="249"/>
        <v>30.3</v>
      </c>
      <c r="AS1936" s="1078" t="str">
        <f t="shared" si="250"/>
        <v>310/270/158</v>
      </c>
      <c r="AT1936" s="1078" t="str">
        <f t="shared" si="251"/>
        <v>1-5-1S91°</v>
      </c>
      <c r="AV1936" s="1078" t="str">
        <f t="shared" si="244"/>
        <v>112.8.25</v>
      </c>
      <c r="AW1936" s="1344">
        <f t="shared" si="245"/>
        <v>45163</v>
      </c>
    </row>
    <row r="1937" spans="1:49">
      <c r="A1937" s="1077" t="s">
        <v>6289</v>
      </c>
      <c r="B1937" s="1077" t="s">
        <v>210</v>
      </c>
      <c r="C1937" s="1077">
        <v>650</v>
      </c>
      <c r="D1937" s="1077">
        <v>1.76</v>
      </c>
      <c r="E1937" s="1077" t="s">
        <v>15094</v>
      </c>
      <c r="F1937" s="1077" t="s">
        <v>984</v>
      </c>
      <c r="G1937" s="1077">
        <v>5</v>
      </c>
      <c r="H1937" s="1077" t="s">
        <v>5483</v>
      </c>
      <c r="I1937" s="1077" t="s">
        <v>126</v>
      </c>
      <c r="J1937" s="1077">
        <v>0.8</v>
      </c>
      <c r="K1937" s="1077" t="s">
        <v>6290</v>
      </c>
      <c r="L1937" s="1077" t="s">
        <v>6291</v>
      </c>
      <c r="M1937" s="1077">
        <v>151.5</v>
      </c>
      <c r="N1937" s="1077" t="s">
        <v>945</v>
      </c>
      <c r="O1937" s="1077">
        <v>3.7875000000000001</v>
      </c>
      <c r="P1937" s="1077">
        <v>3.0300000000000002</v>
      </c>
      <c r="Q1937" s="1077">
        <v>4</v>
      </c>
      <c r="R1937" s="1077">
        <v>19.100000000000001</v>
      </c>
      <c r="T1937" s="1077">
        <v>23.7</v>
      </c>
      <c r="U1937" s="1077">
        <v>3.2</v>
      </c>
      <c r="V1937" s="1077" t="s">
        <v>648</v>
      </c>
      <c r="W1937" s="1077">
        <v>35</v>
      </c>
      <c r="X1937" s="1077">
        <v>10</v>
      </c>
      <c r="Y1937" s="1077">
        <v>1</v>
      </c>
      <c r="Z1937" s="1077">
        <v>6</v>
      </c>
      <c r="AA1937" s="1077" t="s">
        <v>3735</v>
      </c>
      <c r="AH1937" s="1077" t="s">
        <v>878</v>
      </c>
      <c r="AI1937" s="1077">
        <v>91.63</v>
      </c>
      <c r="AJ1937" s="1077">
        <v>-0.73</v>
      </c>
      <c r="AK1937" s="1077">
        <v>1.1599999999999999</v>
      </c>
      <c r="AM1937" s="1078" t="s">
        <v>12877</v>
      </c>
      <c r="AN1937" s="1078" t="s">
        <v>12878</v>
      </c>
      <c r="AO1937" s="1078">
        <f t="shared" si="246"/>
        <v>650</v>
      </c>
      <c r="AP1937" s="1078">
        <f t="shared" si="247"/>
        <v>1.76</v>
      </c>
      <c r="AQ1937" s="1078" t="str">
        <f t="shared" si="248"/>
        <v>1-5-1S91°</v>
      </c>
      <c r="AR1937" s="1078" t="str">
        <f t="shared" si="249"/>
        <v>30</v>
      </c>
      <c r="AS1937" s="1078" t="str">
        <f t="shared" si="250"/>
        <v>350/310/150</v>
      </c>
      <c r="AT1937" s="1078" t="str">
        <f t="shared" si="251"/>
        <v>1-5-1S91°</v>
      </c>
      <c r="AV1937" s="1078" t="str">
        <f t="shared" si="244"/>
        <v>112.9.1</v>
      </c>
      <c r="AW1937" s="1344">
        <f t="shared" si="245"/>
        <v>45170</v>
      </c>
    </row>
    <row r="1938" spans="1:49">
      <c r="A1938" s="1077" t="s">
        <v>6292</v>
      </c>
      <c r="B1938" s="1077" t="s">
        <v>4767</v>
      </c>
      <c r="C1938" s="1077">
        <v>650</v>
      </c>
      <c r="D1938" s="1077">
        <v>1.71</v>
      </c>
      <c r="E1938" s="1077" t="s">
        <v>15121</v>
      </c>
      <c r="F1938" s="1077" t="s">
        <v>648</v>
      </c>
      <c r="G1938" s="1077">
        <v>5</v>
      </c>
      <c r="H1938" s="1077" t="s">
        <v>5435</v>
      </c>
      <c r="I1938" s="1077" t="s">
        <v>126</v>
      </c>
      <c r="J1938" s="1077">
        <v>1.4</v>
      </c>
      <c r="K1938" s="1077" t="s">
        <v>6293</v>
      </c>
      <c r="L1938" s="1077" t="s">
        <v>1821</v>
      </c>
      <c r="M1938" s="1077">
        <v>148</v>
      </c>
      <c r="N1938" s="1077" t="s">
        <v>945</v>
      </c>
      <c r="O1938" s="1077">
        <v>3.7</v>
      </c>
      <c r="P1938" s="1077">
        <v>2.96</v>
      </c>
      <c r="Q1938" s="1077">
        <v>4</v>
      </c>
      <c r="R1938" s="1077">
        <v>20.8</v>
      </c>
      <c r="T1938" s="1077">
        <v>20.399999999999999</v>
      </c>
      <c r="U1938" s="1077">
        <v>3.8</v>
      </c>
      <c r="V1938" s="1077" t="s">
        <v>648</v>
      </c>
      <c r="W1938" s="1077">
        <v>110</v>
      </c>
      <c r="X1938" s="1077" t="s">
        <v>2395</v>
      </c>
      <c r="Y1938" s="1077">
        <v>1.7</v>
      </c>
      <c r="Z1938" s="1077" t="s">
        <v>648</v>
      </c>
      <c r="AA1938" s="1077" t="s">
        <v>6294</v>
      </c>
      <c r="AB1938" s="1077" t="s">
        <v>981</v>
      </c>
      <c r="AH1938" s="1077" t="s">
        <v>1053</v>
      </c>
      <c r="AI1938" s="1077">
        <v>93.14</v>
      </c>
      <c r="AJ1938" s="1077">
        <v>-7.0000000000000007E-2</v>
      </c>
      <c r="AK1938" s="1077">
        <v>0.89</v>
      </c>
      <c r="AM1938" s="1078" t="s">
        <v>12879</v>
      </c>
      <c r="AN1938" s="1078" t="s">
        <v>12880</v>
      </c>
      <c r="AO1938" s="1078">
        <f t="shared" si="246"/>
        <v>650</v>
      </c>
      <c r="AP1938" s="1078">
        <f t="shared" si="247"/>
        <v>1.71</v>
      </c>
      <c r="AQ1938" s="1078" t="str">
        <f t="shared" si="248"/>
        <v>1-5-1S85°S+Z</v>
      </c>
      <c r="AR1938" s="1078" t="str">
        <f t="shared" si="249"/>
        <v>NA</v>
      </c>
      <c r="AS1938" s="1078" t="str">
        <f t="shared" si="250"/>
        <v>183/OFF</v>
      </c>
      <c r="AT1938" s="1078" t="str">
        <f t="shared" si="251"/>
        <v>1-5-1S85°S+Z</v>
      </c>
      <c r="AU1938" s="1078" t="s">
        <v>15550</v>
      </c>
      <c r="AV1938" s="1078" t="str">
        <f t="shared" si="244"/>
        <v>112.9.7</v>
      </c>
      <c r="AW1938" s="1344">
        <f t="shared" si="245"/>
        <v>45176</v>
      </c>
    </row>
    <row r="1939" spans="1:49">
      <c r="A1939" s="1077" t="s">
        <v>6295</v>
      </c>
      <c r="B1939" s="1077" t="s">
        <v>416</v>
      </c>
      <c r="C1939" s="1077">
        <v>650</v>
      </c>
      <c r="D1939" s="1077">
        <v>1.75</v>
      </c>
      <c r="E1939" s="1077" t="s">
        <v>15094</v>
      </c>
      <c r="F1939" s="1077" t="s">
        <v>984</v>
      </c>
      <c r="G1939" s="1077">
        <v>5</v>
      </c>
      <c r="H1939" s="1077" t="s">
        <v>5483</v>
      </c>
      <c r="I1939" s="1077" t="s">
        <v>126</v>
      </c>
      <c r="J1939" s="1077">
        <v>0.8</v>
      </c>
      <c r="K1939" s="1077" t="s">
        <v>6290</v>
      </c>
      <c r="L1939" s="1077" t="s">
        <v>6291</v>
      </c>
      <c r="M1939" s="1077">
        <v>151.5</v>
      </c>
      <c r="N1939" s="1077" t="s">
        <v>945</v>
      </c>
      <c r="O1939" s="1077">
        <v>3.7875000000000001</v>
      </c>
      <c r="P1939" s="1077">
        <v>3.0300000000000002</v>
      </c>
      <c r="Q1939" s="1077">
        <v>4</v>
      </c>
      <c r="R1939" s="1077">
        <v>19.100000000000001</v>
      </c>
      <c r="T1939" s="1077">
        <v>23.7</v>
      </c>
      <c r="U1939" s="1077">
        <v>3.2</v>
      </c>
      <c r="V1939" s="1077" t="s">
        <v>648</v>
      </c>
      <c r="W1939" s="1077">
        <v>35</v>
      </c>
      <c r="X1939" s="1077">
        <v>10</v>
      </c>
      <c r="Y1939" s="1077">
        <v>1</v>
      </c>
      <c r="Z1939" s="1077">
        <v>6</v>
      </c>
      <c r="AA1939" s="1077" t="s">
        <v>6296</v>
      </c>
      <c r="AH1939" s="1077" t="s">
        <v>1186</v>
      </c>
      <c r="AI1939" s="1077">
        <v>91.59</v>
      </c>
      <c r="AJ1939" s="1077">
        <v>-0.34</v>
      </c>
      <c r="AK1939" s="1077">
        <v>0.84</v>
      </c>
      <c r="AM1939" s="1078" t="s">
        <v>12881</v>
      </c>
      <c r="AN1939" s="1078" t="s">
        <v>12882</v>
      </c>
      <c r="AO1939" s="1078">
        <f t="shared" si="246"/>
        <v>650</v>
      </c>
      <c r="AP1939" s="1078">
        <f t="shared" si="247"/>
        <v>1.75</v>
      </c>
      <c r="AQ1939" s="1078" t="str">
        <f t="shared" si="248"/>
        <v>1-5-1S91°</v>
      </c>
      <c r="AR1939" s="1078" t="str">
        <f t="shared" si="249"/>
        <v>30</v>
      </c>
      <c r="AS1939" s="1078" t="str">
        <f t="shared" si="250"/>
        <v>350/310/150</v>
      </c>
      <c r="AT1939" s="1078" t="str">
        <f t="shared" si="251"/>
        <v>1-5-1S91°</v>
      </c>
      <c r="AV1939" s="1078" t="str">
        <f t="shared" si="244"/>
        <v>112.9.6</v>
      </c>
      <c r="AW1939" s="1344">
        <f t="shared" si="245"/>
        <v>45175</v>
      </c>
    </row>
    <row r="1940" spans="1:49">
      <c r="A1940" s="1077" t="s">
        <v>6297</v>
      </c>
      <c r="B1940" s="1077" t="s">
        <v>210</v>
      </c>
      <c r="C1940" s="1077">
        <v>650</v>
      </c>
      <c r="D1940" s="1077">
        <v>1.77</v>
      </c>
      <c r="E1940" s="1077" t="s">
        <v>15094</v>
      </c>
      <c r="F1940" s="1077" t="s">
        <v>984</v>
      </c>
      <c r="G1940" s="1077">
        <v>5</v>
      </c>
      <c r="H1940" s="1077" t="s">
        <v>5483</v>
      </c>
      <c r="I1940" s="1077" t="s">
        <v>126</v>
      </c>
      <c r="J1940" s="1077">
        <v>0.8</v>
      </c>
      <c r="K1940" s="1077" t="s">
        <v>6298</v>
      </c>
      <c r="L1940" s="1077" t="s">
        <v>4666</v>
      </c>
      <c r="M1940" s="1077">
        <v>151.5</v>
      </c>
      <c r="N1940" s="1077" t="s">
        <v>945</v>
      </c>
      <c r="O1940" s="1077">
        <v>3.7875000000000001</v>
      </c>
      <c r="P1940" s="1077">
        <v>3.0300000000000002</v>
      </c>
      <c r="Q1940" s="1077">
        <v>4</v>
      </c>
      <c r="R1940" s="1077">
        <v>19.100000000000001</v>
      </c>
      <c r="T1940" s="1077">
        <v>23.7</v>
      </c>
      <c r="U1940" s="1077">
        <v>3.2</v>
      </c>
      <c r="V1940" s="1077" t="s">
        <v>648</v>
      </c>
      <c r="W1940" s="1077">
        <v>35</v>
      </c>
      <c r="X1940" s="1077">
        <v>10</v>
      </c>
      <c r="Y1940" s="1077">
        <v>1</v>
      </c>
      <c r="Z1940" s="1077">
        <v>6</v>
      </c>
      <c r="AA1940" s="1077" t="s">
        <v>3732</v>
      </c>
      <c r="AH1940" s="1077" t="s">
        <v>884</v>
      </c>
      <c r="AI1940" s="1077">
        <v>91.43</v>
      </c>
      <c r="AJ1940" s="1077">
        <v>-0.27</v>
      </c>
      <c r="AK1940" s="1077">
        <v>0.82</v>
      </c>
      <c r="AM1940" s="1078" t="s">
        <v>12883</v>
      </c>
      <c r="AN1940" s="1078" t="s">
        <v>12884</v>
      </c>
      <c r="AO1940" s="1078">
        <f t="shared" si="246"/>
        <v>650</v>
      </c>
      <c r="AP1940" s="1078">
        <f t="shared" si="247"/>
        <v>1.77</v>
      </c>
      <c r="AQ1940" s="1078" t="str">
        <f t="shared" si="248"/>
        <v>1-5-1S91°</v>
      </c>
      <c r="AR1940" s="1078" t="str">
        <f t="shared" si="249"/>
        <v>30</v>
      </c>
      <c r="AS1940" s="1078" t="str">
        <f t="shared" si="250"/>
        <v>350/310/150</v>
      </c>
      <c r="AT1940" s="1078" t="str">
        <f t="shared" si="251"/>
        <v>1-5-1S91°</v>
      </c>
      <c r="AV1940" s="1078" t="str">
        <f t="shared" si="244"/>
        <v>112.9.4</v>
      </c>
      <c r="AW1940" s="1344">
        <f t="shared" si="245"/>
        <v>45173</v>
      </c>
    </row>
    <row r="1941" spans="1:49">
      <c r="A1941" s="1077" t="s">
        <v>6299</v>
      </c>
      <c r="B1941" s="1077" t="s">
        <v>210</v>
      </c>
      <c r="C1941" s="1077">
        <v>650</v>
      </c>
      <c r="D1941" s="1077">
        <v>1.77</v>
      </c>
      <c r="E1941" s="1077" t="s">
        <v>15094</v>
      </c>
      <c r="F1941" s="1077" t="s">
        <v>984</v>
      </c>
      <c r="G1941" s="1077">
        <v>5</v>
      </c>
      <c r="H1941" s="1077" t="s">
        <v>5483</v>
      </c>
      <c r="I1941" s="1077" t="s">
        <v>126</v>
      </c>
      <c r="J1941" s="1077">
        <v>0.8</v>
      </c>
      <c r="K1941" s="1077" t="s">
        <v>6298</v>
      </c>
      <c r="L1941" s="1077" t="s">
        <v>4666</v>
      </c>
      <c r="M1941" s="1077">
        <v>151.5</v>
      </c>
      <c r="N1941" s="1077" t="s">
        <v>945</v>
      </c>
      <c r="O1941" s="1077">
        <v>3.7875000000000001</v>
      </c>
      <c r="P1941" s="1077">
        <v>3.0300000000000002</v>
      </c>
      <c r="Q1941" s="1077">
        <v>4</v>
      </c>
      <c r="R1941" s="1077">
        <v>19.100000000000001</v>
      </c>
      <c r="T1941" s="1077">
        <v>23.7</v>
      </c>
      <c r="U1941" s="1077">
        <v>3.2</v>
      </c>
      <c r="V1941" s="1077" t="s">
        <v>648</v>
      </c>
      <c r="W1941" s="1077" t="s">
        <v>6300</v>
      </c>
      <c r="X1941" s="1077">
        <v>10</v>
      </c>
      <c r="Y1941" s="1077">
        <v>1</v>
      </c>
      <c r="Z1941" s="1077">
        <v>6</v>
      </c>
      <c r="AH1941" s="1077" t="s">
        <v>884</v>
      </c>
      <c r="AM1941" s="1078" t="s">
        <v>12885</v>
      </c>
      <c r="AN1941" s="1078" t="s">
        <v>12886</v>
      </c>
      <c r="AO1941" s="1078">
        <f t="shared" si="246"/>
        <v>650</v>
      </c>
      <c r="AP1941" s="1078">
        <f t="shared" si="247"/>
        <v>1.77</v>
      </c>
      <c r="AQ1941" s="1078" t="str">
        <f t="shared" si="248"/>
        <v>1-5-1S91°</v>
      </c>
      <c r="AR1941" s="1078" t="str">
        <f t="shared" si="249"/>
        <v>30</v>
      </c>
      <c r="AS1941" s="1078" t="str">
        <f t="shared" si="250"/>
        <v>350/310/150</v>
      </c>
      <c r="AT1941" s="1078" t="str">
        <f t="shared" si="251"/>
        <v>1-5-1S91°</v>
      </c>
      <c r="AV1941" s="1078">
        <f t="shared" si="244"/>
        <v>0</v>
      </c>
      <c r="AW1941" s="1344" t="e">
        <f t="shared" si="245"/>
        <v>#VALUE!</v>
      </c>
    </row>
    <row r="1942" spans="1:49">
      <c r="A1942" s="1077" t="s">
        <v>6301</v>
      </c>
      <c r="B1942" s="1077" t="s">
        <v>5250</v>
      </c>
      <c r="C1942" s="1077">
        <v>600</v>
      </c>
      <c r="D1942" s="1077">
        <v>1.74</v>
      </c>
      <c r="E1942" s="1077" t="s">
        <v>15102</v>
      </c>
      <c r="F1942" s="1077" t="s">
        <v>984</v>
      </c>
      <c r="G1942" s="1077">
        <v>5</v>
      </c>
      <c r="H1942" s="1077" t="s">
        <v>6039</v>
      </c>
      <c r="I1942" s="1077" t="s">
        <v>460</v>
      </c>
      <c r="J1942" s="1077">
        <v>1.7</v>
      </c>
      <c r="K1942" s="1077" t="s">
        <v>5558</v>
      </c>
      <c r="L1942" s="1077" t="s">
        <v>5253</v>
      </c>
      <c r="M1942" s="1077">
        <v>151.19999999999999</v>
      </c>
      <c r="N1942" s="1077" t="s">
        <v>945</v>
      </c>
      <c r="O1942" s="1077">
        <v>3.78</v>
      </c>
      <c r="P1942" s="1077">
        <v>3.024</v>
      </c>
      <c r="Q1942" s="1077">
        <v>4</v>
      </c>
      <c r="R1942" s="1077">
        <v>21</v>
      </c>
      <c r="T1942" s="1077">
        <v>20.5</v>
      </c>
      <c r="U1942" s="1077">
        <v>3</v>
      </c>
      <c r="V1942" s="1077" t="s">
        <v>648</v>
      </c>
      <c r="W1942" s="1077">
        <v>100</v>
      </c>
      <c r="X1942" s="1077">
        <v>60</v>
      </c>
      <c r="Y1942" s="1077">
        <v>1</v>
      </c>
      <c r="Z1942" s="1077">
        <v>5.5</v>
      </c>
      <c r="AA1942" s="1077" t="s">
        <v>6296</v>
      </c>
      <c r="AH1942" s="1077" t="s">
        <v>646</v>
      </c>
      <c r="AI1942" s="1077">
        <v>92.82</v>
      </c>
      <c r="AJ1942" s="1077">
        <v>-0.54</v>
      </c>
      <c r="AK1942" s="1077">
        <v>6.16</v>
      </c>
      <c r="AM1942" s="1078" t="s">
        <v>12887</v>
      </c>
      <c r="AN1942" s="1078" t="s">
        <v>12888</v>
      </c>
      <c r="AO1942" s="1078">
        <f t="shared" si="246"/>
        <v>600</v>
      </c>
      <c r="AP1942" s="1078">
        <f t="shared" si="247"/>
        <v>1.74</v>
      </c>
      <c r="AQ1942" s="1078" t="str">
        <f t="shared" si="248"/>
        <v>2-6-1S83°</v>
      </c>
      <c r="AR1942" s="1078" t="str">
        <f t="shared" si="249"/>
        <v>30</v>
      </c>
      <c r="AS1942" s="1078" t="str">
        <f t="shared" si="250"/>
        <v>198/165</v>
      </c>
      <c r="AT1942" s="1078" t="str">
        <f t="shared" si="251"/>
        <v>2-6-1S83°</v>
      </c>
      <c r="AV1942" s="1078" t="str">
        <f t="shared" si="244"/>
        <v>112.9.6</v>
      </c>
      <c r="AW1942" s="1344">
        <f t="shared" si="245"/>
        <v>45175</v>
      </c>
    </row>
    <row r="1943" spans="1:49">
      <c r="A1943" s="1077" t="s">
        <v>6302</v>
      </c>
      <c r="B1943" s="1077" t="s">
        <v>210</v>
      </c>
      <c r="C1943" s="1077">
        <v>650</v>
      </c>
      <c r="D1943" s="1077">
        <v>1.7549999999999999</v>
      </c>
      <c r="E1943" s="1077" t="s">
        <v>15094</v>
      </c>
      <c r="F1943" s="1077" t="s">
        <v>4013</v>
      </c>
      <c r="G1943" s="1077">
        <v>5</v>
      </c>
      <c r="H1943" s="1077" t="s">
        <v>6126</v>
      </c>
      <c r="I1943" s="1077" t="s">
        <v>126</v>
      </c>
      <c r="J1943" s="1077">
        <v>1.8</v>
      </c>
      <c r="K1943" s="1077" t="s">
        <v>6290</v>
      </c>
      <c r="L1943" s="1077" t="s">
        <v>6291</v>
      </c>
      <c r="M1943" s="1077">
        <v>152.19999999999999</v>
      </c>
      <c r="N1943" s="1077" t="s">
        <v>945</v>
      </c>
      <c r="O1943" s="1077">
        <v>3.8049999999999997</v>
      </c>
      <c r="P1943" s="1077">
        <v>3.044</v>
      </c>
      <c r="Q1943" s="1077">
        <v>4</v>
      </c>
      <c r="R1943" s="1077">
        <v>19</v>
      </c>
      <c r="T1943" s="1077">
        <v>16</v>
      </c>
      <c r="U1943" s="1077">
        <v>4</v>
      </c>
      <c r="V1943" s="1077" t="s">
        <v>648</v>
      </c>
      <c r="W1943" s="1077">
        <v>95</v>
      </c>
      <c r="X1943" s="1077">
        <v>20</v>
      </c>
      <c r="Y1943" s="1077">
        <v>1.5</v>
      </c>
      <c r="Z1943" s="1077">
        <v>5</v>
      </c>
      <c r="AA1943" s="1077" t="s">
        <v>4465</v>
      </c>
      <c r="AH1943" s="1077" t="s">
        <v>3213</v>
      </c>
      <c r="AI1943" s="1077">
        <v>90.94</v>
      </c>
      <c r="AJ1943" s="1077">
        <v>-0.8</v>
      </c>
      <c r="AK1943" s="1077">
        <v>0.89</v>
      </c>
      <c r="AM1943" s="1078" t="s">
        <v>12889</v>
      </c>
      <c r="AN1943" s="1078" t="s">
        <v>12890</v>
      </c>
      <c r="AO1943" s="1078">
        <f t="shared" si="246"/>
        <v>650</v>
      </c>
      <c r="AP1943" s="1078">
        <f t="shared" si="247"/>
        <v>1.7549999999999999</v>
      </c>
      <c r="AQ1943" s="1078" t="str">
        <f t="shared" si="248"/>
        <v>1-5-1S91°</v>
      </c>
      <c r="AR1943" s="1078" t="str">
        <f t="shared" si="249"/>
        <v>30.3</v>
      </c>
      <c r="AS1943" s="1078" t="str">
        <f t="shared" si="250"/>
        <v>310/270/158</v>
      </c>
      <c r="AT1943" s="1078" t="str">
        <f t="shared" si="251"/>
        <v>1-5-1S91°</v>
      </c>
      <c r="AV1943" s="1078" t="str">
        <f t="shared" si="244"/>
        <v>112.9.8</v>
      </c>
      <c r="AW1943" s="1344">
        <f t="shared" si="245"/>
        <v>45177</v>
      </c>
    </row>
    <row r="1944" spans="1:49">
      <c r="A1944" s="1077" t="s">
        <v>6303</v>
      </c>
      <c r="B1944" s="1077" t="s">
        <v>416</v>
      </c>
      <c r="C1944" s="1077">
        <v>650</v>
      </c>
      <c r="D1944" s="1077">
        <v>1.7649999999999999</v>
      </c>
      <c r="E1944" s="1077" t="s">
        <v>15094</v>
      </c>
      <c r="F1944" s="1077" t="s">
        <v>984</v>
      </c>
      <c r="G1944" s="1077">
        <v>5</v>
      </c>
      <c r="H1944" s="1077" t="s">
        <v>5483</v>
      </c>
      <c r="I1944" s="1077" t="s">
        <v>126</v>
      </c>
      <c r="J1944" s="1077">
        <v>0.8</v>
      </c>
      <c r="K1944" s="1077" t="s">
        <v>6304</v>
      </c>
      <c r="L1944" s="1077" t="s">
        <v>4666</v>
      </c>
      <c r="M1944" s="1077">
        <v>151.5</v>
      </c>
      <c r="N1944" s="1077" t="s">
        <v>945</v>
      </c>
      <c r="O1944" s="1077">
        <v>3.7875000000000001</v>
      </c>
      <c r="P1944" s="1077">
        <v>3.0300000000000002</v>
      </c>
      <c r="Q1944" s="1077">
        <v>4</v>
      </c>
      <c r="R1944" s="1077">
        <v>19.100000000000001</v>
      </c>
      <c r="T1944" s="1077">
        <v>23.7</v>
      </c>
      <c r="U1944" s="1077">
        <v>3.2</v>
      </c>
      <c r="V1944" s="1077" t="s">
        <v>648</v>
      </c>
      <c r="W1944" s="1077">
        <v>35</v>
      </c>
      <c r="X1944" s="1077">
        <v>10</v>
      </c>
      <c r="Y1944" s="1077">
        <v>1</v>
      </c>
      <c r="Z1944" s="1077">
        <v>6</v>
      </c>
      <c r="AA1944" s="1077" t="s">
        <v>3737</v>
      </c>
      <c r="AH1944" s="1077" t="s">
        <v>618</v>
      </c>
      <c r="AI1944" s="1077">
        <v>91.4</v>
      </c>
      <c r="AJ1944" s="1077">
        <v>-0.18</v>
      </c>
      <c r="AK1944" s="1077">
        <v>0.75</v>
      </c>
      <c r="AM1944" s="1078" t="s">
        <v>12891</v>
      </c>
      <c r="AN1944" s="1078" t="s">
        <v>12892</v>
      </c>
      <c r="AO1944" s="1078">
        <f t="shared" si="246"/>
        <v>650</v>
      </c>
      <c r="AP1944" s="1078">
        <f t="shared" si="247"/>
        <v>1.7649999999999999</v>
      </c>
      <c r="AQ1944" s="1078" t="str">
        <f t="shared" si="248"/>
        <v>1-5-1S91°</v>
      </c>
      <c r="AR1944" s="1078" t="str">
        <f t="shared" si="249"/>
        <v>30</v>
      </c>
      <c r="AS1944" s="1078" t="str">
        <f t="shared" si="250"/>
        <v>350/310/150</v>
      </c>
      <c r="AT1944" s="1078" t="str">
        <f t="shared" si="251"/>
        <v>1-5-1S91°</v>
      </c>
      <c r="AV1944" s="1078" t="str">
        <f t="shared" si="244"/>
        <v>112.9.12</v>
      </c>
      <c r="AW1944" s="1344">
        <f t="shared" si="245"/>
        <v>45181</v>
      </c>
    </row>
    <row r="1945" spans="1:49">
      <c r="A1945" s="1077" t="s">
        <v>6305</v>
      </c>
      <c r="B1945" s="1077" t="s">
        <v>210</v>
      </c>
      <c r="C1945" s="1077">
        <v>650</v>
      </c>
      <c r="D1945" s="1077">
        <v>1.76</v>
      </c>
      <c r="E1945" s="1077" t="s">
        <v>15094</v>
      </c>
      <c r="F1945" s="1077" t="s">
        <v>4013</v>
      </c>
      <c r="G1945" s="1077">
        <v>5</v>
      </c>
      <c r="H1945" s="1077" t="s">
        <v>6126</v>
      </c>
      <c r="I1945" s="1077" t="s">
        <v>126</v>
      </c>
      <c r="J1945" s="1077">
        <v>1.7</v>
      </c>
      <c r="K1945" s="1077" t="s">
        <v>6306</v>
      </c>
      <c r="L1945" s="1077" t="s">
        <v>4666</v>
      </c>
      <c r="M1945" s="1077">
        <v>152.19999999999999</v>
      </c>
      <c r="N1945" s="1077" t="s">
        <v>945</v>
      </c>
      <c r="O1945" s="1077">
        <v>3.8049999999999997</v>
      </c>
      <c r="P1945" s="1077">
        <v>3.044</v>
      </c>
      <c r="Q1945" s="1077">
        <v>4</v>
      </c>
      <c r="R1945" s="1077">
        <v>19</v>
      </c>
      <c r="T1945" s="1077">
        <v>16</v>
      </c>
      <c r="U1945" s="1077">
        <v>4</v>
      </c>
      <c r="V1945" s="1077" t="s">
        <v>648</v>
      </c>
      <c r="W1945" s="1077">
        <v>95</v>
      </c>
      <c r="X1945" s="1077">
        <v>20</v>
      </c>
      <c r="Y1945" s="1077">
        <v>1.5</v>
      </c>
      <c r="Z1945" s="1077">
        <v>5</v>
      </c>
      <c r="AA1945" s="1077" t="s">
        <v>3737</v>
      </c>
      <c r="AH1945" s="1077" t="s">
        <v>724</v>
      </c>
      <c r="AI1945" s="1077">
        <v>94.05</v>
      </c>
      <c r="AJ1945" s="1077">
        <v>-0.28999999999999998</v>
      </c>
      <c r="AK1945" s="1077">
        <v>0.79</v>
      </c>
      <c r="AM1945" s="1078" t="s">
        <v>12893</v>
      </c>
      <c r="AN1945" s="1078" t="s">
        <v>12894</v>
      </c>
      <c r="AO1945" s="1078">
        <f t="shared" si="246"/>
        <v>650</v>
      </c>
      <c r="AP1945" s="1078">
        <f t="shared" si="247"/>
        <v>1.76</v>
      </c>
      <c r="AQ1945" s="1078" t="str">
        <f t="shared" si="248"/>
        <v>1-5-1S91°</v>
      </c>
      <c r="AR1945" s="1078" t="str">
        <f t="shared" si="249"/>
        <v>30.3</v>
      </c>
      <c r="AS1945" s="1078" t="str">
        <f t="shared" si="250"/>
        <v>310/270/158</v>
      </c>
      <c r="AT1945" s="1078" t="str">
        <f t="shared" si="251"/>
        <v>1-5-1S91°</v>
      </c>
      <c r="AV1945" s="1078" t="str">
        <f t="shared" si="244"/>
        <v>112.9.12</v>
      </c>
      <c r="AW1945" s="1344">
        <f t="shared" si="245"/>
        <v>45181</v>
      </c>
    </row>
    <row r="1946" spans="1:49">
      <c r="A1946" s="1077" t="s">
        <v>6307</v>
      </c>
      <c r="B1946" s="1077" t="s">
        <v>5372</v>
      </c>
      <c r="C1946" s="1077">
        <v>600</v>
      </c>
      <c r="D1946" s="1077">
        <v>1.71</v>
      </c>
      <c r="E1946" s="1077" t="s">
        <v>15108</v>
      </c>
      <c r="F1946" s="1077" t="s">
        <v>648</v>
      </c>
      <c r="G1946" s="1077">
        <v>5</v>
      </c>
      <c r="H1946" s="1077" t="s">
        <v>955</v>
      </c>
      <c r="I1946" s="1077" t="s">
        <v>126</v>
      </c>
      <c r="J1946" s="1077">
        <v>1.8</v>
      </c>
      <c r="K1946" s="1077" t="s">
        <v>6223</v>
      </c>
      <c r="L1946" s="1077" t="s">
        <v>2104</v>
      </c>
      <c r="M1946" s="1077">
        <v>149</v>
      </c>
      <c r="N1946" s="1077" t="s">
        <v>945</v>
      </c>
      <c r="O1946" s="1077">
        <v>3.7250000000000001</v>
      </c>
      <c r="P1946" s="1077">
        <v>2.98</v>
      </c>
      <c r="Q1946" s="1077">
        <v>4</v>
      </c>
      <c r="R1946" s="1077">
        <v>21.8</v>
      </c>
      <c r="T1946" s="1077">
        <v>22.6</v>
      </c>
      <c r="U1946" s="1077">
        <v>3.6</v>
      </c>
      <c r="V1946" s="1077" t="s">
        <v>648</v>
      </c>
      <c r="W1946" s="1077">
        <v>120</v>
      </c>
      <c r="X1946" s="1077">
        <v>70</v>
      </c>
      <c r="Y1946" s="1077">
        <v>1.5</v>
      </c>
      <c r="Z1946" s="1077" t="s">
        <v>648</v>
      </c>
      <c r="AA1946" s="1077" t="s">
        <v>6308</v>
      </c>
      <c r="AH1946" s="1077" t="s">
        <v>875</v>
      </c>
      <c r="AI1946" s="1077">
        <v>90.91</v>
      </c>
      <c r="AJ1946" s="1077">
        <v>-0.18</v>
      </c>
      <c r="AK1946" s="1077">
        <v>1.1499999999999999</v>
      </c>
      <c r="AM1946" s="1078" t="s">
        <v>12895</v>
      </c>
      <c r="AN1946" s="1078" t="s">
        <v>12896</v>
      </c>
      <c r="AO1946" s="1078">
        <f t="shared" si="246"/>
        <v>600</v>
      </c>
      <c r="AP1946" s="1078">
        <f t="shared" si="247"/>
        <v>1.71</v>
      </c>
      <c r="AQ1946" s="1078" t="str">
        <f t="shared" si="248"/>
        <v>1-4-1S83°Z+S</v>
      </c>
      <c r="AR1946" s="1078" t="str">
        <f t="shared" si="249"/>
        <v>NA</v>
      </c>
      <c r="AS1946" s="1078" t="str">
        <f t="shared" si="250"/>
        <v>260/260/OFF</v>
      </c>
      <c r="AT1946" s="1078" t="str">
        <f t="shared" si="251"/>
        <v>1-4-1S83°Z+S</v>
      </c>
      <c r="AU1946" s="1078" t="s">
        <v>15547</v>
      </c>
      <c r="AV1946" s="1078" t="str">
        <f t="shared" si="244"/>
        <v>112.9.11</v>
      </c>
      <c r="AW1946" s="1344">
        <f t="shared" si="245"/>
        <v>45180</v>
      </c>
    </row>
    <row r="1947" spans="1:49">
      <c r="A1947" s="1077" t="s">
        <v>6309</v>
      </c>
      <c r="B1947" s="1077" t="s">
        <v>5565</v>
      </c>
      <c r="C1947" s="1077">
        <v>600</v>
      </c>
      <c r="D1947" s="1077">
        <v>1.7150000000000001</v>
      </c>
      <c r="E1947" s="1077" t="s">
        <v>15109</v>
      </c>
      <c r="F1947" s="1077" t="s">
        <v>648</v>
      </c>
      <c r="G1947" s="1077">
        <v>5</v>
      </c>
      <c r="H1947" s="1077" t="s">
        <v>1166</v>
      </c>
      <c r="I1947" s="1077" t="s">
        <v>126</v>
      </c>
      <c r="J1947" s="1077">
        <v>1.2</v>
      </c>
      <c r="K1947" s="1077" t="s">
        <v>6310</v>
      </c>
      <c r="L1947" s="1077" t="s">
        <v>3572</v>
      </c>
      <c r="M1947" s="1077">
        <v>153</v>
      </c>
      <c r="N1947" s="1077" t="s">
        <v>945</v>
      </c>
      <c r="O1947" s="1077">
        <v>3.8250000000000002</v>
      </c>
      <c r="P1947" s="1077">
        <v>3.06</v>
      </c>
      <c r="Q1947" s="1077">
        <v>4</v>
      </c>
      <c r="R1947" s="1077">
        <v>18</v>
      </c>
      <c r="T1947" s="1077">
        <v>14</v>
      </c>
      <c r="U1947" s="1077">
        <v>4.5</v>
      </c>
      <c r="V1947" s="1077" t="s">
        <v>648</v>
      </c>
      <c r="W1947" s="1077">
        <v>110</v>
      </c>
      <c r="X1947" s="1077" t="s">
        <v>2395</v>
      </c>
      <c r="Y1947" s="1077">
        <v>1.8</v>
      </c>
      <c r="Z1947" s="1077" t="s">
        <v>648</v>
      </c>
      <c r="AA1947" s="1077" t="s">
        <v>6211</v>
      </c>
      <c r="AB1947" s="1077" t="s">
        <v>6311</v>
      </c>
      <c r="AH1947" s="1077" t="s">
        <v>785</v>
      </c>
      <c r="AI1947" s="1077">
        <v>93.62</v>
      </c>
      <c r="AJ1947" s="1077">
        <v>-0.25</v>
      </c>
      <c r="AK1947" s="1077">
        <v>1.23</v>
      </c>
      <c r="AM1947" s="1078" t="s">
        <v>12897</v>
      </c>
      <c r="AN1947" s="1078" t="s">
        <v>12898</v>
      </c>
      <c r="AO1947" s="1078">
        <f t="shared" si="246"/>
        <v>600</v>
      </c>
      <c r="AP1947" s="1078">
        <f t="shared" si="247"/>
        <v>1.7150000000000001</v>
      </c>
      <c r="AQ1947" s="1078" t="str">
        <f t="shared" si="248"/>
        <v>1-5-1S85°Z+S</v>
      </c>
      <c r="AR1947" s="1078" t="str">
        <f t="shared" si="249"/>
        <v>NA</v>
      </c>
      <c r="AS1947" s="1078" t="str">
        <f t="shared" si="250"/>
        <v>170/OFF</v>
      </c>
      <c r="AT1947" s="1078" t="str">
        <f t="shared" si="251"/>
        <v>1-5-1S85°Z+S</v>
      </c>
      <c r="AU1947" s="1078" t="s">
        <v>15547</v>
      </c>
      <c r="AV1947" s="1078" t="str">
        <f t="shared" si="244"/>
        <v>112.7.6</v>
      </c>
      <c r="AW1947" s="1344">
        <f t="shared" si="245"/>
        <v>45113</v>
      </c>
    </row>
    <row r="1948" spans="1:49">
      <c r="A1948" s="1077" t="s">
        <v>6312</v>
      </c>
      <c r="B1948" s="1077" t="s">
        <v>416</v>
      </c>
      <c r="C1948" s="1077">
        <v>650</v>
      </c>
      <c r="D1948" s="1077">
        <v>1.75</v>
      </c>
      <c r="E1948" s="1077" t="s">
        <v>15094</v>
      </c>
      <c r="F1948" s="1077" t="s">
        <v>984</v>
      </c>
      <c r="G1948" s="1077">
        <v>5</v>
      </c>
      <c r="H1948" s="1077" t="s">
        <v>5483</v>
      </c>
      <c r="I1948" s="1077" t="s">
        <v>126</v>
      </c>
      <c r="J1948" s="1077">
        <v>0.8</v>
      </c>
      <c r="K1948" s="1077" t="s">
        <v>6290</v>
      </c>
      <c r="L1948" s="1077" t="s">
        <v>6291</v>
      </c>
      <c r="M1948" s="1077">
        <v>151.5</v>
      </c>
      <c r="N1948" s="1077" t="s">
        <v>945</v>
      </c>
      <c r="O1948" s="1077">
        <v>3.7875000000000001</v>
      </c>
      <c r="P1948" s="1077">
        <v>3.0300000000000002</v>
      </c>
      <c r="Q1948" s="1077">
        <v>4</v>
      </c>
      <c r="R1948" s="1077">
        <v>19.100000000000001</v>
      </c>
      <c r="T1948" s="1077">
        <v>23.7</v>
      </c>
      <c r="U1948" s="1077">
        <v>3.2</v>
      </c>
      <c r="V1948" s="1077" t="s">
        <v>648</v>
      </c>
      <c r="W1948" s="1077">
        <v>35</v>
      </c>
      <c r="X1948" s="1077">
        <v>10</v>
      </c>
      <c r="Y1948" s="1077">
        <v>1</v>
      </c>
      <c r="Z1948" s="1077">
        <v>6</v>
      </c>
      <c r="AA1948" s="1077" t="s">
        <v>3746</v>
      </c>
      <c r="AH1948" s="1077" t="s">
        <v>1221</v>
      </c>
      <c r="AI1948" s="1077">
        <v>91.48</v>
      </c>
      <c r="AJ1948" s="1077">
        <v>-0.92</v>
      </c>
      <c r="AK1948" s="1077">
        <v>1.1200000000000001</v>
      </c>
      <c r="AM1948" s="1078" t="s">
        <v>12899</v>
      </c>
      <c r="AN1948" s="1078" t="s">
        <v>12900</v>
      </c>
      <c r="AO1948" s="1078">
        <f t="shared" si="246"/>
        <v>650</v>
      </c>
      <c r="AP1948" s="1078">
        <f t="shared" si="247"/>
        <v>1.75</v>
      </c>
      <c r="AQ1948" s="1078" t="str">
        <f t="shared" si="248"/>
        <v>1-5-1S91°</v>
      </c>
      <c r="AR1948" s="1078" t="str">
        <f t="shared" si="249"/>
        <v>30</v>
      </c>
      <c r="AS1948" s="1078" t="str">
        <f t="shared" si="250"/>
        <v>350/310/150</v>
      </c>
      <c r="AT1948" s="1078" t="str">
        <f t="shared" si="251"/>
        <v>1-5-1S91°</v>
      </c>
      <c r="AV1948" s="1078" t="str">
        <f t="shared" si="244"/>
        <v>112.9.15</v>
      </c>
      <c r="AW1948" s="1344">
        <f t="shared" si="245"/>
        <v>45184</v>
      </c>
    </row>
    <row r="1949" spans="1:49">
      <c r="A1949" s="1077" t="s">
        <v>6313</v>
      </c>
      <c r="B1949" s="1077" t="s">
        <v>416</v>
      </c>
      <c r="C1949" s="1077">
        <v>650</v>
      </c>
      <c r="D1949" s="1077">
        <v>1.76</v>
      </c>
      <c r="E1949" s="1077" t="s">
        <v>15094</v>
      </c>
      <c r="F1949" s="1077" t="s">
        <v>984</v>
      </c>
      <c r="G1949" s="1077">
        <v>5</v>
      </c>
      <c r="H1949" s="1077" t="s">
        <v>5483</v>
      </c>
      <c r="I1949" s="1077" t="s">
        <v>126</v>
      </c>
      <c r="J1949" s="1077">
        <v>0.8</v>
      </c>
      <c r="K1949" s="1077" t="s">
        <v>6304</v>
      </c>
      <c r="L1949" s="1077" t="s">
        <v>4666</v>
      </c>
      <c r="M1949" s="1077">
        <v>151.5</v>
      </c>
      <c r="N1949" s="1077" t="s">
        <v>945</v>
      </c>
      <c r="O1949" s="1077">
        <v>3.7875000000000001</v>
      </c>
      <c r="P1949" s="1077">
        <v>3.0300000000000002</v>
      </c>
      <c r="Q1949" s="1077">
        <v>4</v>
      </c>
      <c r="R1949" s="1077">
        <v>19.100000000000001</v>
      </c>
      <c r="T1949" s="1077">
        <v>23.7</v>
      </c>
      <c r="U1949" s="1077">
        <v>3.2</v>
      </c>
      <c r="V1949" s="1077" t="s">
        <v>648</v>
      </c>
      <c r="W1949" s="1077">
        <v>35</v>
      </c>
      <c r="X1949" s="1077">
        <v>10</v>
      </c>
      <c r="Y1949" s="1077">
        <v>1</v>
      </c>
      <c r="Z1949" s="1077">
        <v>6</v>
      </c>
      <c r="AA1949" s="1077" t="s">
        <v>3746</v>
      </c>
      <c r="AH1949" s="1077" t="s">
        <v>958</v>
      </c>
      <c r="AI1949" s="1077">
        <v>91.61</v>
      </c>
      <c r="AJ1949" s="1077">
        <v>-0.06</v>
      </c>
      <c r="AK1949" s="1077">
        <v>0.56999999999999995</v>
      </c>
      <c r="AM1949" s="1078" t="s">
        <v>12901</v>
      </c>
      <c r="AN1949" s="1078" t="s">
        <v>12902</v>
      </c>
      <c r="AO1949" s="1078">
        <f t="shared" si="246"/>
        <v>650</v>
      </c>
      <c r="AP1949" s="1078">
        <f t="shared" si="247"/>
        <v>1.76</v>
      </c>
      <c r="AQ1949" s="1078" t="str">
        <f t="shared" si="248"/>
        <v>1-5-1S91°</v>
      </c>
      <c r="AR1949" s="1078" t="str">
        <f t="shared" si="249"/>
        <v>30</v>
      </c>
      <c r="AS1949" s="1078" t="str">
        <f t="shared" si="250"/>
        <v>350/310/150</v>
      </c>
      <c r="AT1949" s="1078" t="str">
        <f t="shared" si="251"/>
        <v>1-5-1S91°</v>
      </c>
      <c r="AV1949" s="1078" t="str">
        <f t="shared" si="244"/>
        <v>112.9.15</v>
      </c>
      <c r="AW1949" s="1344">
        <f t="shared" si="245"/>
        <v>45184</v>
      </c>
    </row>
    <row r="1950" spans="1:49">
      <c r="A1950" s="1077" t="s">
        <v>6314</v>
      </c>
      <c r="B1950" s="1077" t="s">
        <v>416</v>
      </c>
      <c r="C1950" s="1077">
        <v>650</v>
      </c>
      <c r="D1950" s="1077">
        <v>1.76</v>
      </c>
      <c r="E1950" s="1077" t="s">
        <v>15094</v>
      </c>
      <c r="F1950" s="1077" t="s">
        <v>984</v>
      </c>
      <c r="G1950" s="1077">
        <v>5</v>
      </c>
      <c r="H1950" s="1077" t="s">
        <v>5483</v>
      </c>
      <c r="I1950" s="1077" t="s">
        <v>126</v>
      </c>
      <c r="J1950" s="1077">
        <v>0.8</v>
      </c>
      <c r="K1950" s="1077" t="s">
        <v>6304</v>
      </c>
      <c r="L1950" s="1077" t="s">
        <v>4666</v>
      </c>
      <c r="M1950" s="1077">
        <v>151.5</v>
      </c>
      <c r="N1950" s="1077" t="s">
        <v>945</v>
      </c>
      <c r="O1950" s="1077">
        <v>3.7875000000000001</v>
      </c>
      <c r="P1950" s="1077">
        <v>3.0300000000000002</v>
      </c>
      <c r="Q1950" s="1077">
        <v>4</v>
      </c>
      <c r="R1950" s="1077">
        <v>19.100000000000001</v>
      </c>
      <c r="T1950" s="1077">
        <v>23.7</v>
      </c>
      <c r="U1950" s="1077">
        <v>3.2</v>
      </c>
      <c r="V1950" s="1077" t="s">
        <v>648</v>
      </c>
      <c r="W1950" s="1077">
        <v>35</v>
      </c>
      <c r="X1950" s="1077">
        <v>10</v>
      </c>
      <c r="Y1950" s="1077">
        <v>1</v>
      </c>
      <c r="Z1950" s="1077">
        <v>6</v>
      </c>
      <c r="AA1950" s="1077" t="s">
        <v>6315</v>
      </c>
      <c r="AH1950" s="1077" t="s">
        <v>483</v>
      </c>
      <c r="AI1950" s="1077">
        <v>91.6</v>
      </c>
      <c r="AJ1950" s="1077">
        <v>-0.02</v>
      </c>
      <c r="AK1950" s="1077">
        <v>0.5</v>
      </c>
      <c r="AM1950" s="1078" t="s">
        <v>12903</v>
      </c>
      <c r="AN1950" s="1078" t="s">
        <v>12904</v>
      </c>
      <c r="AO1950" s="1078">
        <f t="shared" si="246"/>
        <v>650</v>
      </c>
      <c r="AP1950" s="1078">
        <f t="shared" si="247"/>
        <v>1.76</v>
      </c>
      <c r="AQ1950" s="1078" t="str">
        <f t="shared" si="248"/>
        <v>1-5-1S91°</v>
      </c>
      <c r="AR1950" s="1078" t="str">
        <f t="shared" si="249"/>
        <v>30</v>
      </c>
      <c r="AS1950" s="1078" t="str">
        <f t="shared" si="250"/>
        <v>350/310/150</v>
      </c>
      <c r="AT1950" s="1078" t="str">
        <f t="shared" si="251"/>
        <v>1-5-1S91°</v>
      </c>
      <c r="AV1950" s="1078" t="str">
        <f t="shared" si="244"/>
        <v>112.9.22</v>
      </c>
      <c r="AW1950" s="1344">
        <f t="shared" si="245"/>
        <v>45191</v>
      </c>
    </row>
    <row r="1951" spans="1:49">
      <c r="A1951" s="1077" t="s">
        <v>6316</v>
      </c>
      <c r="B1951" s="1077" t="s">
        <v>210</v>
      </c>
      <c r="C1951" s="1077">
        <v>650</v>
      </c>
      <c r="D1951" s="1077">
        <v>1.7549999999999999</v>
      </c>
      <c r="E1951" s="1077" t="s">
        <v>15094</v>
      </c>
      <c r="F1951" s="1077" t="s">
        <v>4013</v>
      </c>
      <c r="G1951" s="1077">
        <v>5</v>
      </c>
      <c r="H1951" s="1077" t="s">
        <v>6126</v>
      </c>
      <c r="I1951" s="1077" t="s">
        <v>126</v>
      </c>
      <c r="J1951" s="1077">
        <v>1.8</v>
      </c>
      <c r="K1951" s="1077" t="s">
        <v>6290</v>
      </c>
      <c r="L1951" s="1077" t="s">
        <v>6291</v>
      </c>
      <c r="M1951" s="1077">
        <v>152.19999999999999</v>
      </c>
      <c r="N1951" s="1077" t="s">
        <v>945</v>
      </c>
      <c r="O1951" s="1077">
        <v>3.8049999999999997</v>
      </c>
      <c r="P1951" s="1077">
        <v>3.044</v>
      </c>
      <c r="Q1951" s="1077">
        <v>4</v>
      </c>
      <c r="R1951" s="1077">
        <v>19</v>
      </c>
      <c r="T1951" s="1077">
        <v>16</v>
      </c>
      <c r="U1951" s="1077">
        <v>4</v>
      </c>
      <c r="V1951" s="1077" t="s">
        <v>648</v>
      </c>
      <c r="W1951" s="1077">
        <v>95</v>
      </c>
      <c r="X1951" s="1077" t="s">
        <v>5535</v>
      </c>
      <c r="Y1951" s="1077">
        <v>1.5</v>
      </c>
      <c r="Z1951" s="1077">
        <v>5</v>
      </c>
      <c r="AA1951" s="1077" t="s">
        <v>4465</v>
      </c>
      <c r="AB1951" s="1077" t="s">
        <v>981</v>
      </c>
      <c r="AH1951" s="1077" t="s">
        <v>1137</v>
      </c>
      <c r="AI1951" s="1077">
        <v>91.25</v>
      </c>
      <c r="AJ1951" s="1077">
        <v>-0.27</v>
      </c>
      <c r="AK1951" s="1077">
        <v>1.26</v>
      </c>
      <c r="AM1951" s="1078" t="s">
        <v>12905</v>
      </c>
      <c r="AN1951" s="1078" t="s">
        <v>12906</v>
      </c>
      <c r="AO1951" s="1078">
        <f t="shared" si="246"/>
        <v>650</v>
      </c>
      <c r="AP1951" s="1078">
        <f t="shared" si="247"/>
        <v>1.7549999999999999</v>
      </c>
      <c r="AQ1951" s="1078" t="str">
        <f t="shared" si="248"/>
        <v>1-5-1S91°</v>
      </c>
      <c r="AR1951" s="1078" t="str">
        <f t="shared" si="249"/>
        <v>30.3</v>
      </c>
      <c r="AS1951" s="1078" t="str">
        <f t="shared" si="250"/>
        <v>310/270/158</v>
      </c>
      <c r="AT1951" s="1078" t="str">
        <f t="shared" si="251"/>
        <v>1-5-1S91°</v>
      </c>
      <c r="AV1951" s="1078" t="str">
        <f t="shared" si="244"/>
        <v>112.9.8</v>
      </c>
      <c r="AW1951" s="1344">
        <f t="shared" si="245"/>
        <v>45177</v>
      </c>
    </row>
    <row r="1952" spans="1:49">
      <c r="A1952" s="1077" t="s">
        <v>6317</v>
      </c>
      <c r="B1952" s="1077" t="s">
        <v>4767</v>
      </c>
      <c r="C1952" s="1077">
        <v>650</v>
      </c>
      <c r="D1952" s="1077">
        <v>1.7050000000000001</v>
      </c>
      <c r="E1952" s="1077" t="s">
        <v>15117</v>
      </c>
      <c r="F1952" s="1077" t="s">
        <v>648</v>
      </c>
      <c r="G1952" s="1077">
        <v>5</v>
      </c>
      <c r="H1952" s="1077" t="s">
        <v>2192</v>
      </c>
      <c r="I1952" s="1077" t="s">
        <v>126</v>
      </c>
      <c r="J1952" s="1077">
        <v>1.5</v>
      </c>
      <c r="K1952" s="1077" t="s">
        <v>6318</v>
      </c>
      <c r="L1952" s="1077" t="s">
        <v>6319</v>
      </c>
      <c r="M1952" s="1077">
        <v>158</v>
      </c>
      <c r="N1952" s="1077" t="s">
        <v>945</v>
      </c>
      <c r="O1952" s="1077">
        <v>3.95</v>
      </c>
      <c r="P1952" s="1077">
        <v>3.16</v>
      </c>
      <c r="Q1952" s="1077">
        <v>4</v>
      </c>
      <c r="R1952" s="1077">
        <v>20.8</v>
      </c>
      <c r="T1952" s="1077">
        <v>20.399999999999999</v>
      </c>
      <c r="U1952" s="1077">
        <v>3.8</v>
      </c>
      <c r="V1952" s="1077" t="s">
        <v>648</v>
      </c>
      <c r="W1952" s="1077">
        <v>110</v>
      </c>
      <c r="X1952" s="1077">
        <v>60</v>
      </c>
      <c r="Y1952" s="1077">
        <v>1.7</v>
      </c>
      <c r="Z1952" s="1077" t="s">
        <v>648</v>
      </c>
      <c r="AA1952" s="1077" t="s">
        <v>6315</v>
      </c>
      <c r="AH1952" s="1077" t="s">
        <v>646</v>
      </c>
      <c r="AI1952" s="1077">
        <v>92.74</v>
      </c>
      <c r="AJ1952" s="1077">
        <v>-0.24</v>
      </c>
      <c r="AK1952" s="1077">
        <v>1.04</v>
      </c>
      <c r="AM1952" s="1078" t="s">
        <v>12907</v>
      </c>
      <c r="AN1952" s="1078" t="s">
        <v>12908</v>
      </c>
      <c r="AO1952" s="1078">
        <f t="shared" si="246"/>
        <v>650</v>
      </c>
      <c r="AP1952" s="1078">
        <f t="shared" si="247"/>
        <v>1.7050000000000001</v>
      </c>
      <c r="AQ1952" s="1078" t="str">
        <f t="shared" si="248"/>
        <v>1-4-1S85°S+Z</v>
      </c>
      <c r="AR1952" s="1078" t="str">
        <f t="shared" si="249"/>
        <v>NA</v>
      </c>
      <c r="AS1952" s="1078" t="str">
        <f t="shared" si="250"/>
        <v>180/OFF</v>
      </c>
      <c r="AT1952" s="1078" t="str">
        <f t="shared" si="251"/>
        <v>1-4-1S85°S+Z</v>
      </c>
      <c r="AU1952" s="1078" t="s">
        <v>15550</v>
      </c>
      <c r="AV1952" s="1078" t="str">
        <f t="shared" si="244"/>
        <v>112.9.22</v>
      </c>
      <c r="AW1952" s="1344">
        <f t="shared" si="245"/>
        <v>45191</v>
      </c>
    </row>
    <row r="1953" spans="1:49">
      <c r="A1953" s="1077" t="s">
        <v>6320</v>
      </c>
      <c r="B1953" s="1077" t="s">
        <v>617</v>
      </c>
      <c r="C1953" s="1077">
        <v>600</v>
      </c>
      <c r="D1953" s="1077">
        <v>1.75</v>
      </c>
      <c r="E1953" s="1077" t="s">
        <v>15094</v>
      </c>
      <c r="F1953" s="1077" t="s">
        <v>984</v>
      </c>
      <c r="G1953" s="1077">
        <v>5</v>
      </c>
      <c r="H1953" s="1077" t="s">
        <v>955</v>
      </c>
      <c r="I1953" s="1077" t="s">
        <v>126</v>
      </c>
      <c r="J1953" s="1077">
        <v>2.5</v>
      </c>
      <c r="K1953" s="1077" t="s">
        <v>6321</v>
      </c>
      <c r="L1953" s="1077" t="s">
        <v>4854</v>
      </c>
      <c r="M1953" s="1077">
        <v>150.30000000000001</v>
      </c>
      <c r="N1953" s="1077" t="s">
        <v>945</v>
      </c>
      <c r="O1953" s="1077">
        <v>3.7575000000000003</v>
      </c>
      <c r="P1953" s="1077">
        <v>3.0060000000000002</v>
      </c>
      <c r="Q1953" s="1077">
        <v>3</v>
      </c>
      <c r="R1953" s="1077" t="s">
        <v>6322</v>
      </c>
      <c r="T1953" s="1077">
        <v>13</v>
      </c>
      <c r="U1953" s="1077">
        <v>7</v>
      </c>
      <c r="V1953" s="1077" t="s">
        <v>648</v>
      </c>
      <c r="W1953" s="1077">
        <v>115</v>
      </c>
      <c r="X1953" s="1077">
        <v>50</v>
      </c>
      <c r="Y1953" s="1077">
        <v>1.7</v>
      </c>
      <c r="Z1953" s="1077">
        <v>6.5</v>
      </c>
      <c r="AA1953" s="1077" t="s">
        <v>6323</v>
      </c>
      <c r="AH1953" s="1077" t="s">
        <v>762</v>
      </c>
      <c r="AI1953" s="1077">
        <v>92.58</v>
      </c>
      <c r="AJ1953" s="1077">
        <v>-1.07</v>
      </c>
      <c r="AK1953" s="1077">
        <v>4.2699999999999996</v>
      </c>
      <c r="AM1953" s="1078" t="s">
        <v>12909</v>
      </c>
      <c r="AN1953" s="1078" t="s">
        <v>12910</v>
      </c>
      <c r="AO1953" s="1078">
        <f t="shared" si="246"/>
        <v>600</v>
      </c>
      <c r="AP1953" s="1078">
        <f t="shared" si="247"/>
        <v>1.75</v>
      </c>
      <c r="AQ1953" s="1078" t="str">
        <f t="shared" si="248"/>
        <v>1-5-1S91°</v>
      </c>
      <c r="AR1953" s="1078" t="str">
        <f t="shared" si="249"/>
        <v>30</v>
      </c>
      <c r="AS1953" s="1078" t="str">
        <f t="shared" si="250"/>
        <v>260/260/OFF</v>
      </c>
      <c r="AT1953" s="1078" t="str">
        <f t="shared" si="251"/>
        <v>1-5-1S91°</v>
      </c>
      <c r="AV1953" s="1078" t="str">
        <f t="shared" si="244"/>
        <v>112.9.28</v>
      </c>
      <c r="AW1953" s="1344">
        <f t="shared" si="245"/>
        <v>45197</v>
      </c>
    </row>
    <row r="1954" spans="1:49">
      <c r="A1954" s="1077" t="s">
        <v>6324</v>
      </c>
      <c r="B1954" s="1077" t="s">
        <v>210</v>
      </c>
      <c r="C1954" s="1077">
        <v>650</v>
      </c>
      <c r="D1954" s="1077">
        <v>1.7</v>
      </c>
      <c r="E1954" s="1077" t="s">
        <v>15094</v>
      </c>
      <c r="F1954" s="1077" t="s">
        <v>984</v>
      </c>
      <c r="G1954" s="1077">
        <v>5</v>
      </c>
      <c r="H1954" s="1077" t="s">
        <v>4806</v>
      </c>
      <c r="I1954" s="1077" t="s">
        <v>460</v>
      </c>
      <c r="J1954" s="1077">
        <v>3.5</v>
      </c>
      <c r="K1954" s="1077" t="s">
        <v>5560</v>
      </c>
      <c r="L1954" s="1077" t="s">
        <v>5332</v>
      </c>
      <c r="M1954" s="1077">
        <v>149.5</v>
      </c>
      <c r="N1954" s="1077" t="s">
        <v>945</v>
      </c>
      <c r="O1954" s="1077">
        <v>3.7375000000000003</v>
      </c>
      <c r="P1954" s="1077">
        <v>2.99</v>
      </c>
      <c r="Q1954" s="1077">
        <v>3.5</v>
      </c>
      <c r="R1954" s="1077">
        <v>21.5</v>
      </c>
      <c r="T1954" s="1077">
        <v>19.5</v>
      </c>
      <c r="U1954" s="1077">
        <v>2.9</v>
      </c>
      <c r="V1954" s="1077" t="s">
        <v>648</v>
      </c>
      <c r="W1954" s="1077">
        <v>100</v>
      </c>
      <c r="X1954" s="1077">
        <v>90</v>
      </c>
      <c r="Y1954" s="1077">
        <v>1.8</v>
      </c>
      <c r="Z1954" s="1077">
        <v>5.5</v>
      </c>
      <c r="AA1954" s="1077" t="s">
        <v>6325</v>
      </c>
      <c r="AH1954" s="1077" t="s">
        <v>884</v>
      </c>
      <c r="AI1954" s="1077">
        <v>91.53</v>
      </c>
      <c r="AJ1954" s="1077">
        <v>-0.78</v>
      </c>
      <c r="AK1954" s="1077">
        <v>4.7699999999999996</v>
      </c>
      <c r="AM1954" s="1078" t="s">
        <v>12911</v>
      </c>
      <c r="AN1954" s="1078" t="s">
        <v>12912</v>
      </c>
      <c r="AO1954" s="1078">
        <f t="shared" si="246"/>
        <v>650</v>
      </c>
      <c r="AP1954" s="1078">
        <f t="shared" si="247"/>
        <v>1.7</v>
      </c>
      <c r="AQ1954" s="1078" t="str">
        <f t="shared" si="248"/>
        <v>1-5-1S91°</v>
      </c>
      <c r="AR1954" s="1078" t="str">
        <f t="shared" si="249"/>
        <v>30</v>
      </c>
      <c r="AS1954" s="1078" t="str">
        <f t="shared" si="250"/>
        <v>390/360/175</v>
      </c>
      <c r="AT1954" s="1078" t="str">
        <f t="shared" si="251"/>
        <v>1-5-1S91°</v>
      </c>
      <c r="AV1954" s="1078" t="str">
        <f t="shared" si="244"/>
        <v>112.10.4</v>
      </c>
      <c r="AW1954" s="1344">
        <f t="shared" si="245"/>
        <v>45203</v>
      </c>
    </row>
    <row r="1955" spans="1:49">
      <c r="A1955" s="1077" t="s">
        <v>6326</v>
      </c>
      <c r="B1955" s="1077" t="s">
        <v>4729</v>
      </c>
      <c r="C1955" s="1077">
        <v>600</v>
      </c>
      <c r="D1955" s="1077">
        <v>1.71</v>
      </c>
      <c r="E1955" s="1077" t="s">
        <v>15111</v>
      </c>
      <c r="F1955" s="1077" t="s">
        <v>984</v>
      </c>
      <c r="G1955" s="1077">
        <v>5</v>
      </c>
      <c r="H1955" s="1077" t="s">
        <v>3143</v>
      </c>
      <c r="I1955" s="1077" t="s">
        <v>126</v>
      </c>
      <c r="J1955" s="1077">
        <v>1.3</v>
      </c>
      <c r="K1955" s="1077" t="s">
        <v>6327</v>
      </c>
      <c r="L1955" s="1077" t="s">
        <v>4731</v>
      </c>
      <c r="M1955" s="1077">
        <v>157</v>
      </c>
      <c r="N1955" s="1077" t="s">
        <v>945</v>
      </c>
      <c r="O1955" s="1077">
        <v>3.9250000000000003</v>
      </c>
      <c r="P1955" s="1077">
        <v>3.14</v>
      </c>
      <c r="Q1955" s="1077">
        <v>3.5</v>
      </c>
      <c r="R1955" s="1077">
        <v>22</v>
      </c>
      <c r="T1955" s="1077">
        <v>11.5</v>
      </c>
      <c r="U1955" s="1077">
        <v>3.5</v>
      </c>
      <c r="V1955" s="1077" t="s">
        <v>648</v>
      </c>
      <c r="W1955" s="1077">
        <v>80</v>
      </c>
      <c r="X1955" s="1077">
        <v>20</v>
      </c>
      <c r="Y1955" s="1077">
        <v>1.5</v>
      </c>
      <c r="Z1955" s="1077">
        <v>5</v>
      </c>
      <c r="AA1955" s="1077" t="s">
        <v>6328</v>
      </c>
      <c r="AH1955" s="1077" t="s">
        <v>966</v>
      </c>
      <c r="AI1955" s="1077">
        <v>94.89</v>
      </c>
      <c r="AJ1955" s="1077">
        <v>-0.18</v>
      </c>
      <c r="AK1955" s="1077">
        <v>0.7</v>
      </c>
      <c r="AM1955" s="1078" t="s">
        <v>12913</v>
      </c>
      <c r="AN1955" s="1078" t="s">
        <v>12914</v>
      </c>
      <c r="AO1955" s="1078">
        <f t="shared" si="246"/>
        <v>600</v>
      </c>
      <c r="AP1955" s="1078">
        <f t="shared" si="247"/>
        <v>1.71</v>
      </c>
      <c r="AQ1955" s="1078" t="str">
        <f t="shared" si="248"/>
        <v>1-5-1S91</v>
      </c>
      <c r="AR1955" s="1078" t="str">
        <f t="shared" si="249"/>
        <v>30</v>
      </c>
      <c r="AS1955" s="1078" t="str">
        <f t="shared" si="250"/>
        <v>300/300/160</v>
      </c>
      <c r="AT1955" s="1078" t="str">
        <f t="shared" si="251"/>
        <v>1-5-1S91</v>
      </c>
      <c r="AV1955" s="1078" t="str">
        <f t="shared" si="244"/>
        <v>112.10.11</v>
      </c>
      <c r="AW1955" s="1344">
        <f t="shared" si="245"/>
        <v>45210</v>
      </c>
    </row>
    <row r="1956" spans="1:49">
      <c r="A1956" s="1077" t="s">
        <v>6329</v>
      </c>
      <c r="B1956" s="1077" t="s">
        <v>416</v>
      </c>
      <c r="C1956" s="1077">
        <v>650</v>
      </c>
      <c r="D1956" s="1077">
        <v>1.76</v>
      </c>
      <c r="E1956" s="1077" t="s">
        <v>15094</v>
      </c>
      <c r="F1956" s="1077" t="s">
        <v>984</v>
      </c>
      <c r="G1956" s="1077">
        <v>5</v>
      </c>
      <c r="H1956" s="1077" t="s">
        <v>5483</v>
      </c>
      <c r="I1956" s="1077" t="s">
        <v>126</v>
      </c>
      <c r="J1956" s="1077">
        <v>0.8</v>
      </c>
      <c r="K1956" s="1077" t="s">
        <v>6330</v>
      </c>
      <c r="L1956" s="1077" t="s">
        <v>4666</v>
      </c>
      <c r="M1956" s="1077">
        <v>151.5</v>
      </c>
      <c r="N1956" s="1077" t="s">
        <v>945</v>
      </c>
      <c r="O1956" s="1077">
        <v>3.7875000000000001</v>
      </c>
      <c r="P1956" s="1077">
        <v>3.0300000000000002</v>
      </c>
      <c r="Q1956" s="1077">
        <v>4</v>
      </c>
      <c r="R1956" s="1077">
        <v>19.100000000000001</v>
      </c>
      <c r="T1956" s="1077">
        <v>23.7</v>
      </c>
      <c r="U1956" s="1077">
        <v>3.2</v>
      </c>
      <c r="V1956" s="1077" t="s">
        <v>648</v>
      </c>
      <c r="W1956" s="1077">
        <v>35</v>
      </c>
      <c r="X1956" s="1077">
        <v>10</v>
      </c>
      <c r="Y1956" s="1077">
        <v>1</v>
      </c>
      <c r="Z1956" s="1077">
        <v>6</v>
      </c>
      <c r="AA1956" s="1077" t="s">
        <v>6331</v>
      </c>
      <c r="AH1956" s="1077" t="s">
        <v>3213</v>
      </c>
      <c r="AI1956" s="1077">
        <v>92.63</v>
      </c>
      <c r="AJ1956" s="1077">
        <v>-0.85</v>
      </c>
      <c r="AK1956" s="1077">
        <v>5.52</v>
      </c>
      <c r="AM1956" s="1078" t="s">
        <v>12915</v>
      </c>
      <c r="AN1956" s="1078" t="s">
        <v>12916</v>
      </c>
      <c r="AO1956" s="1078">
        <f t="shared" si="246"/>
        <v>650</v>
      </c>
      <c r="AP1956" s="1078">
        <f t="shared" si="247"/>
        <v>1.76</v>
      </c>
      <c r="AQ1956" s="1078" t="str">
        <f t="shared" si="248"/>
        <v>1-5-1S91°</v>
      </c>
      <c r="AR1956" s="1078" t="str">
        <f t="shared" si="249"/>
        <v>30</v>
      </c>
      <c r="AS1956" s="1078" t="str">
        <f t="shared" si="250"/>
        <v>350/310/150</v>
      </c>
      <c r="AT1956" s="1078" t="str">
        <f t="shared" si="251"/>
        <v>1-5-1S91°</v>
      </c>
      <c r="AV1956" s="1078" t="str">
        <f t="shared" si="244"/>
        <v>112.10.18</v>
      </c>
      <c r="AW1956" s="1344">
        <f t="shared" si="245"/>
        <v>45217</v>
      </c>
    </row>
    <row r="1957" spans="1:49">
      <c r="A1957" s="1077" t="s">
        <v>6332</v>
      </c>
      <c r="B1957" s="1077" t="s">
        <v>416</v>
      </c>
      <c r="C1957" s="1077">
        <v>650</v>
      </c>
      <c r="D1957" s="1077">
        <v>1.76</v>
      </c>
      <c r="E1957" s="1077" t="s">
        <v>15094</v>
      </c>
      <c r="F1957" s="1077" t="s">
        <v>984</v>
      </c>
      <c r="G1957" s="1077">
        <v>5</v>
      </c>
      <c r="H1957" s="1077" t="s">
        <v>5483</v>
      </c>
      <c r="I1957" s="1077" t="s">
        <v>126</v>
      </c>
      <c r="J1957" s="1077">
        <v>0.8</v>
      </c>
      <c r="K1957" s="1077" t="s">
        <v>6330</v>
      </c>
      <c r="L1957" s="1077" t="s">
        <v>4666</v>
      </c>
      <c r="M1957" s="1077">
        <v>151.5</v>
      </c>
      <c r="N1957" s="1077" t="s">
        <v>945</v>
      </c>
      <c r="O1957" s="1077">
        <v>3.7875000000000001</v>
      </c>
      <c r="P1957" s="1077">
        <v>3.0300000000000002</v>
      </c>
      <c r="Q1957" s="1077">
        <v>4</v>
      </c>
      <c r="R1957" s="1077">
        <v>19.100000000000001</v>
      </c>
      <c r="T1957" s="1077">
        <v>23.7</v>
      </c>
      <c r="U1957" s="1077">
        <v>3.2</v>
      </c>
      <c r="V1957" s="1077" t="s">
        <v>648</v>
      </c>
      <c r="W1957" s="1077">
        <v>35</v>
      </c>
      <c r="X1957" s="1077">
        <v>10</v>
      </c>
      <c r="Y1957" s="1077">
        <v>1</v>
      </c>
      <c r="Z1957" s="1077">
        <v>6</v>
      </c>
      <c r="AA1957" s="1077" t="s">
        <v>6331</v>
      </c>
      <c r="AH1957" s="1077" t="s">
        <v>684</v>
      </c>
      <c r="AI1957" s="1077">
        <v>92.76</v>
      </c>
      <c r="AJ1957" s="1077">
        <v>-0.78</v>
      </c>
      <c r="AK1957" s="1077">
        <v>5.33</v>
      </c>
      <c r="AM1957" s="1078" t="s">
        <v>12917</v>
      </c>
      <c r="AN1957" s="1078" t="s">
        <v>12918</v>
      </c>
      <c r="AO1957" s="1078">
        <f t="shared" si="246"/>
        <v>650</v>
      </c>
      <c r="AP1957" s="1078">
        <f t="shared" si="247"/>
        <v>1.76</v>
      </c>
      <c r="AQ1957" s="1078" t="str">
        <f t="shared" si="248"/>
        <v>1-5-1S91°</v>
      </c>
      <c r="AR1957" s="1078" t="str">
        <f t="shared" si="249"/>
        <v>30</v>
      </c>
      <c r="AS1957" s="1078" t="str">
        <f t="shared" si="250"/>
        <v>350/310/150</v>
      </c>
      <c r="AT1957" s="1078" t="str">
        <f t="shared" si="251"/>
        <v>1-5-1S91°</v>
      </c>
      <c r="AV1957" s="1078" t="str">
        <f t="shared" si="244"/>
        <v>112.10.18</v>
      </c>
      <c r="AW1957" s="1344">
        <f t="shared" si="245"/>
        <v>45217</v>
      </c>
    </row>
    <row r="1958" spans="1:49">
      <c r="A1958" s="1077" t="s">
        <v>6333</v>
      </c>
      <c r="B1958" s="1077" t="s">
        <v>4860</v>
      </c>
      <c r="C1958" s="1077">
        <v>750</v>
      </c>
      <c r="D1958" s="1077">
        <v>1.77</v>
      </c>
      <c r="E1958" s="1077" t="s">
        <v>15104</v>
      </c>
      <c r="F1958" s="1077" t="s">
        <v>648</v>
      </c>
      <c r="G1958" s="1077">
        <v>5</v>
      </c>
      <c r="H1958" s="1077" t="s">
        <v>2851</v>
      </c>
      <c r="I1958" s="1077" t="s">
        <v>471</v>
      </c>
      <c r="J1958" s="1077">
        <v>2.1</v>
      </c>
      <c r="K1958" s="1077" t="s">
        <v>6334</v>
      </c>
      <c r="L1958" s="1077" t="s">
        <v>6335</v>
      </c>
      <c r="M1958" s="1077">
        <v>149.5</v>
      </c>
      <c r="N1958" s="1077" t="s">
        <v>945</v>
      </c>
      <c r="O1958" s="1077">
        <v>3.7375000000000003</v>
      </c>
      <c r="P1958" s="1077">
        <v>2.99</v>
      </c>
      <c r="Q1958" s="1077">
        <v>4</v>
      </c>
      <c r="R1958" s="1077">
        <v>21</v>
      </c>
      <c r="T1958" s="1077">
        <v>37</v>
      </c>
      <c r="U1958" s="1077">
        <v>3.7</v>
      </c>
      <c r="V1958" s="1077" t="s">
        <v>648</v>
      </c>
      <c r="W1958" s="1077">
        <v>110</v>
      </c>
      <c r="X1958" s="1077">
        <v>40</v>
      </c>
      <c r="Y1958" s="1077">
        <v>2.2000000000000002</v>
      </c>
      <c r="Z1958" s="1077" t="s">
        <v>648</v>
      </c>
      <c r="AA1958" s="1077" t="s">
        <v>1622</v>
      </c>
      <c r="AH1958" s="1077" t="s">
        <v>712</v>
      </c>
      <c r="AI1958" s="1077">
        <v>91.7</v>
      </c>
      <c r="AJ1958" s="1077">
        <v>-0.15</v>
      </c>
      <c r="AK1958" s="1077">
        <v>0.77</v>
      </c>
      <c r="AM1958" s="1078" t="s">
        <v>12919</v>
      </c>
      <c r="AN1958" s="1078" t="s">
        <v>12920</v>
      </c>
      <c r="AO1958" s="1078">
        <f t="shared" si="246"/>
        <v>750</v>
      </c>
      <c r="AP1958" s="1078">
        <f t="shared" si="247"/>
        <v>1.77</v>
      </c>
      <c r="AQ1958" s="1078" t="str">
        <f t="shared" si="248"/>
        <v>1-4-1S85°Z+S</v>
      </c>
      <c r="AR1958" s="1078" t="str">
        <f t="shared" si="249"/>
        <v>NA</v>
      </c>
      <c r="AS1958" s="1078" t="str">
        <f t="shared" si="250"/>
        <v>191/OFF</v>
      </c>
      <c r="AT1958" s="1078" t="str">
        <f t="shared" si="251"/>
        <v>1-4-1S85°Z+S</v>
      </c>
      <c r="AU1958" s="1078" t="s">
        <v>15547</v>
      </c>
      <c r="AV1958" s="1078" t="str">
        <f t="shared" si="244"/>
        <v>112.10.16</v>
      </c>
      <c r="AW1958" s="1344">
        <f t="shared" si="245"/>
        <v>45215</v>
      </c>
    </row>
    <row r="1959" spans="1:49">
      <c r="A1959" s="1077" t="s">
        <v>6336</v>
      </c>
      <c r="B1959" s="1077" t="s">
        <v>416</v>
      </c>
      <c r="C1959" s="1077">
        <v>650</v>
      </c>
      <c r="D1959" s="1077">
        <v>1.76</v>
      </c>
      <c r="E1959" s="1077" t="s">
        <v>15094</v>
      </c>
      <c r="F1959" s="1077" t="s">
        <v>984</v>
      </c>
      <c r="G1959" s="1077">
        <v>5</v>
      </c>
      <c r="H1959" s="1077" t="s">
        <v>5483</v>
      </c>
      <c r="I1959" s="1077" t="s">
        <v>126</v>
      </c>
      <c r="J1959" s="1077">
        <v>0.8</v>
      </c>
      <c r="K1959" s="1077" t="s">
        <v>6337</v>
      </c>
      <c r="L1959" s="1077" t="s">
        <v>6291</v>
      </c>
      <c r="M1959" s="1077">
        <v>151.5</v>
      </c>
      <c r="N1959" s="1077" t="s">
        <v>945</v>
      </c>
      <c r="O1959" s="1077">
        <v>3.7875000000000001</v>
      </c>
      <c r="P1959" s="1077">
        <v>3.0300000000000002</v>
      </c>
      <c r="Q1959" s="1077">
        <v>4</v>
      </c>
      <c r="R1959" s="1077">
        <v>19.100000000000001</v>
      </c>
      <c r="T1959" s="1077">
        <v>23.7</v>
      </c>
      <c r="U1959" s="1077">
        <v>3.2</v>
      </c>
      <c r="V1959" s="1077" t="s">
        <v>648</v>
      </c>
      <c r="W1959" s="1077">
        <v>35</v>
      </c>
      <c r="X1959" s="1077">
        <v>10</v>
      </c>
      <c r="Y1959" s="1077">
        <v>1</v>
      </c>
      <c r="Z1959" s="1077">
        <v>6</v>
      </c>
      <c r="AA1959" s="1077" t="s">
        <v>1625</v>
      </c>
      <c r="AH1959" s="1077" t="s">
        <v>1482</v>
      </c>
      <c r="AI1959" s="1077">
        <v>92.07</v>
      </c>
      <c r="AJ1959" s="1077">
        <v>-0.04</v>
      </c>
      <c r="AK1959" s="1077">
        <v>0.96</v>
      </c>
      <c r="AM1959" s="1078" t="s">
        <v>12921</v>
      </c>
      <c r="AN1959" s="1078" t="s">
        <v>12922</v>
      </c>
      <c r="AO1959" s="1078">
        <f t="shared" si="246"/>
        <v>650</v>
      </c>
      <c r="AP1959" s="1078">
        <f t="shared" si="247"/>
        <v>1.76</v>
      </c>
      <c r="AQ1959" s="1078" t="str">
        <f t="shared" si="248"/>
        <v>1-5-1S91°</v>
      </c>
      <c r="AR1959" s="1078" t="str">
        <f t="shared" si="249"/>
        <v>30</v>
      </c>
      <c r="AS1959" s="1078" t="str">
        <f t="shared" si="250"/>
        <v>350/310/150</v>
      </c>
      <c r="AT1959" s="1078" t="str">
        <f t="shared" si="251"/>
        <v>1-5-1S91°</v>
      </c>
      <c r="AV1959" s="1078" t="str">
        <f t="shared" si="244"/>
        <v>112.10.19</v>
      </c>
      <c r="AW1959" s="1344">
        <f t="shared" si="245"/>
        <v>45218</v>
      </c>
    </row>
    <row r="1960" spans="1:49">
      <c r="A1960" s="1077" t="s">
        <v>6338</v>
      </c>
      <c r="B1960" s="1077" t="s">
        <v>4885</v>
      </c>
      <c r="C1960" s="1077">
        <v>600</v>
      </c>
      <c r="D1960" s="1077">
        <v>1.772</v>
      </c>
      <c r="E1960" s="1077" t="s">
        <v>15102</v>
      </c>
      <c r="F1960" s="1077" t="s">
        <v>984</v>
      </c>
      <c r="G1960" s="1077">
        <v>5</v>
      </c>
      <c r="H1960" s="1077" t="s">
        <v>4891</v>
      </c>
      <c r="I1960" s="1077" t="s">
        <v>1112</v>
      </c>
      <c r="J1960" s="1077">
        <v>3.9</v>
      </c>
      <c r="K1960" s="1077" t="s">
        <v>5053</v>
      </c>
      <c r="L1960" s="1077" t="s">
        <v>5054</v>
      </c>
      <c r="M1960" s="1077">
        <v>152.5</v>
      </c>
      <c r="N1960" s="1077" t="s">
        <v>945</v>
      </c>
      <c r="O1960" s="1077">
        <v>3.8125</v>
      </c>
      <c r="P1960" s="1077">
        <v>3.0500000000000003</v>
      </c>
      <c r="Q1960" s="1077" t="s">
        <v>1249</v>
      </c>
      <c r="R1960" s="1077">
        <v>21.5</v>
      </c>
      <c r="T1960" s="1077">
        <v>17.5</v>
      </c>
      <c r="U1960" s="1077">
        <v>2.9</v>
      </c>
      <c r="V1960" s="1077" t="s">
        <v>648</v>
      </c>
      <c r="W1960" s="1077">
        <v>125</v>
      </c>
      <c r="X1960" s="1077">
        <v>90</v>
      </c>
      <c r="Y1960" s="1077">
        <v>1.9</v>
      </c>
      <c r="Z1960" s="1077" t="s">
        <v>3343</v>
      </c>
      <c r="AA1960" s="1077" t="s">
        <v>6339</v>
      </c>
      <c r="AB1960" s="1077" t="s">
        <v>2680</v>
      </c>
      <c r="AH1960" s="1077" t="s">
        <v>966</v>
      </c>
      <c r="AM1960" s="1078" t="s">
        <v>12923</v>
      </c>
      <c r="AN1960" s="1078" t="s">
        <v>12924</v>
      </c>
      <c r="AO1960" s="1078">
        <f t="shared" si="246"/>
        <v>600</v>
      </c>
      <c r="AP1960" s="1078">
        <f t="shared" si="247"/>
        <v>1.772</v>
      </c>
      <c r="AQ1960" s="1078" t="str">
        <f t="shared" si="248"/>
        <v>2-6-1S83°</v>
      </c>
      <c r="AR1960" s="1078" t="str">
        <f t="shared" si="249"/>
        <v>30</v>
      </c>
      <c r="AS1960" s="1078" t="str">
        <f t="shared" si="250"/>
        <v>182/175</v>
      </c>
      <c r="AT1960" s="1078" t="str">
        <f t="shared" si="251"/>
        <v>2-6-1S83°</v>
      </c>
      <c r="AV1960" s="1078" t="str">
        <f t="shared" si="244"/>
        <v>109.1.9</v>
      </c>
      <c r="AW1960" s="1344">
        <f t="shared" si="245"/>
        <v>43839</v>
      </c>
    </row>
    <row r="1961" spans="1:49">
      <c r="A1961" s="1077" t="s">
        <v>6340</v>
      </c>
      <c r="B1961" s="1077" t="s">
        <v>4976</v>
      </c>
      <c r="C1961" s="1077">
        <v>650</v>
      </c>
      <c r="D1961" s="1077">
        <v>1.7849999999999999</v>
      </c>
      <c r="E1961" s="1077" t="s">
        <v>15099</v>
      </c>
      <c r="F1961" s="1077" t="s">
        <v>975</v>
      </c>
      <c r="G1961" s="1077">
        <v>5</v>
      </c>
      <c r="H1961" s="1077" t="s">
        <v>4977</v>
      </c>
      <c r="I1961" s="1077" t="s">
        <v>126</v>
      </c>
      <c r="J1961" s="1077">
        <v>0.6</v>
      </c>
      <c r="K1961" s="1077" t="s">
        <v>5938</v>
      </c>
      <c r="L1961" s="1077" t="s">
        <v>4979</v>
      </c>
      <c r="M1961" s="1077">
        <v>146.19999999999999</v>
      </c>
      <c r="N1961" s="1077" t="s">
        <v>945</v>
      </c>
      <c r="O1961" s="1077">
        <v>3.6549999999999998</v>
      </c>
      <c r="P1961" s="1077">
        <v>2.9239999999999999</v>
      </c>
      <c r="Q1961" s="1077" t="s">
        <v>1264</v>
      </c>
      <c r="R1961" s="1077">
        <v>19.100000000000001</v>
      </c>
      <c r="T1961" s="1077">
        <v>26.1</v>
      </c>
      <c r="U1961" s="1077">
        <v>2.6</v>
      </c>
      <c r="V1961" s="1077" t="s">
        <v>648</v>
      </c>
      <c r="W1961" s="1077">
        <v>30</v>
      </c>
      <c r="X1961" s="1077">
        <v>10</v>
      </c>
      <c r="Y1961" s="1077">
        <v>1.6</v>
      </c>
      <c r="Z1961" s="1077">
        <v>5.9</v>
      </c>
      <c r="AA1961" s="1077" t="s">
        <v>2948</v>
      </c>
      <c r="AH1961" s="1077" t="s">
        <v>884</v>
      </c>
      <c r="AM1961" s="1078" t="s">
        <v>12925</v>
      </c>
      <c r="AN1961" s="1078" t="s">
        <v>12926</v>
      </c>
      <c r="AO1961" s="1078">
        <f t="shared" si="246"/>
        <v>650</v>
      </c>
      <c r="AP1961" s="1078">
        <f t="shared" si="247"/>
        <v>1.7849999999999999</v>
      </c>
      <c r="AQ1961" s="1078" t="str">
        <f t="shared" si="248"/>
        <v>1-5-1S87°</v>
      </c>
      <c r="AR1961" s="1078" t="str">
        <f t="shared" si="249"/>
        <v>31.5</v>
      </c>
      <c r="AS1961" s="1078" t="str">
        <f t="shared" si="250"/>
        <v>340/337/152</v>
      </c>
      <c r="AT1961" s="1078" t="str">
        <f t="shared" si="251"/>
        <v>1-5-1S87°</v>
      </c>
      <c r="AV1961" s="1078" t="str">
        <f t="shared" si="244"/>
        <v>109.4.17</v>
      </c>
      <c r="AW1961" s="1344">
        <f t="shared" si="245"/>
        <v>43938</v>
      </c>
    </row>
    <row r="1962" spans="1:49">
      <c r="A1962" s="1077" t="s">
        <v>6341</v>
      </c>
      <c r="B1962" s="1077" t="s">
        <v>4927</v>
      </c>
      <c r="C1962" s="1077">
        <v>650</v>
      </c>
      <c r="D1962" s="1077">
        <v>1.7290000000000001</v>
      </c>
      <c r="E1962" s="1077" t="s">
        <v>15117</v>
      </c>
      <c r="F1962" s="1077" t="s">
        <v>648</v>
      </c>
      <c r="G1962" s="1077">
        <v>4</v>
      </c>
      <c r="H1962" s="1077" t="s">
        <v>1470</v>
      </c>
      <c r="I1962" s="1077" t="s">
        <v>126</v>
      </c>
      <c r="J1962" s="1077">
        <v>1.7</v>
      </c>
      <c r="K1962" s="1077" t="s">
        <v>6342</v>
      </c>
      <c r="L1962" s="1077" t="s">
        <v>1763</v>
      </c>
      <c r="M1962" s="1077">
        <v>157.6</v>
      </c>
      <c r="N1962" s="1077" t="s">
        <v>945</v>
      </c>
      <c r="O1962" s="1077">
        <v>3.94</v>
      </c>
      <c r="P1962" s="1077">
        <v>3.1520000000000001</v>
      </c>
      <c r="Q1962" s="1077" t="s">
        <v>1005</v>
      </c>
      <c r="R1962" s="1077">
        <v>28.3</v>
      </c>
      <c r="T1962" s="1077">
        <v>11.7</v>
      </c>
      <c r="U1962" s="1077">
        <v>6.3</v>
      </c>
      <c r="V1962" s="1077" t="s">
        <v>648</v>
      </c>
      <c r="W1962" s="1077">
        <v>135</v>
      </c>
      <c r="X1962" s="1077">
        <v>85</v>
      </c>
      <c r="Y1962" s="1077">
        <v>1.4</v>
      </c>
      <c r="Z1962" s="1077" t="s">
        <v>648</v>
      </c>
      <c r="AA1962" s="1077" t="s">
        <v>2481</v>
      </c>
      <c r="AH1962" s="1077" t="s">
        <v>1023</v>
      </c>
      <c r="AM1962" s="1078" t="s">
        <v>12927</v>
      </c>
      <c r="AN1962" s="1078" t="s">
        <v>12928</v>
      </c>
      <c r="AO1962" s="1078">
        <f t="shared" si="246"/>
        <v>650</v>
      </c>
      <c r="AP1962" s="1078">
        <f t="shared" si="247"/>
        <v>1.7290000000000001</v>
      </c>
      <c r="AQ1962" s="1078" t="str">
        <f t="shared" si="248"/>
        <v>1-4-1S85°S+Z</v>
      </c>
      <c r="AR1962" s="1078" t="str">
        <f t="shared" si="249"/>
        <v>NA</v>
      </c>
      <c r="AS1962" s="1078" t="str">
        <f t="shared" si="250"/>
        <v>160/OFF</v>
      </c>
      <c r="AT1962" s="1078" t="str">
        <f t="shared" si="251"/>
        <v>1-4-1S85°S+Z</v>
      </c>
      <c r="AU1962" s="1078" t="s">
        <v>15550</v>
      </c>
      <c r="AV1962" s="1078" t="str">
        <f t="shared" si="244"/>
        <v>109.12.31</v>
      </c>
      <c r="AW1962" s="1344">
        <f t="shared" si="245"/>
        <v>44196</v>
      </c>
    </row>
    <row r="1963" spans="1:49">
      <c r="A1963" s="1077" t="s">
        <v>6343</v>
      </c>
      <c r="B1963" s="1077" t="s">
        <v>210</v>
      </c>
      <c r="C1963" s="1077">
        <v>650</v>
      </c>
      <c r="D1963" s="1077">
        <v>1.7</v>
      </c>
      <c r="E1963" s="1077" t="s">
        <v>15094</v>
      </c>
      <c r="F1963" s="1077" t="s">
        <v>984</v>
      </c>
      <c r="G1963" s="1077">
        <v>5</v>
      </c>
      <c r="H1963" s="1077" t="s">
        <v>4806</v>
      </c>
      <c r="I1963" s="1077" t="s">
        <v>643</v>
      </c>
      <c r="J1963" s="1077">
        <v>2.8</v>
      </c>
      <c r="K1963" s="1077" t="s">
        <v>5331</v>
      </c>
      <c r="L1963" s="1077" t="s">
        <v>5332</v>
      </c>
      <c r="M1963" s="1077">
        <v>149.5</v>
      </c>
      <c r="N1963" s="1077" t="s">
        <v>945</v>
      </c>
      <c r="O1963" s="1077">
        <v>3.7375000000000003</v>
      </c>
      <c r="P1963" s="1077">
        <v>2.99</v>
      </c>
      <c r="Q1963" s="1077">
        <v>3.5</v>
      </c>
      <c r="R1963" s="1077">
        <v>21.5</v>
      </c>
      <c r="T1963" s="1077">
        <v>19.5</v>
      </c>
      <c r="U1963" s="1077">
        <v>2.9</v>
      </c>
      <c r="V1963" s="1077" t="s">
        <v>648</v>
      </c>
      <c r="W1963" s="1077">
        <v>100</v>
      </c>
      <c r="X1963" s="1077">
        <v>90</v>
      </c>
      <c r="Y1963" s="1077">
        <v>1.8</v>
      </c>
      <c r="Z1963" s="1077">
        <v>5.5</v>
      </c>
      <c r="AA1963" s="1077" t="s">
        <v>6344</v>
      </c>
      <c r="AB1963" s="1077" t="s">
        <v>981</v>
      </c>
      <c r="AH1963" s="1077" t="s">
        <v>1186</v>
      </c>
      <c r="AM1963" s="1078" t="s">
        <v>12929</v>
      </c>
      <c r="AN1963" s="1078" t="s">
        <v>12930</v>
      </c>
      <c r="AO1963" s="1078">
        <f t="shared" si="246"/>
        <v>650</v>
      </c>
      <c r="AP1963" s="1078">
        <f t="shared" si="247"/>
        <v>1.7</v>
      </c>
      <c r="AQ1963" s="1078" t="str">
        <f t="shared" si="248"/>
        <v>1-5-1S91°</v>
      </c>
      <c r="AR1963" s="1078" t="str">
        <f t="shared" si="249"/>
        <v>30</v>
      </c>
      <c r="AS1963" s="1078" t="str">
        <f t="shared" si="250"/>
        <v>390/360/175</v>
      </c>
      <c r="AT1963" s="1078" t="str">
        <f t="shared" si="251"/>
        <v>1-5-1S91°</v>
      </c>
      <c r="AV1963" s="1078" t="str">
        <f t="shared" si="244"/>
        <v>110.2.19</v>
      </c>
      <c r="AW1963" s="1344">
        <f t="shared" si="245"/>
        <v>44246</v>
      </c>
    </row>
    <row r="1964" spans="1:49">
      <c r="A1964" s="1077" t="s">
        <v>6345</v>
      </c>
      <c r="B1964" s="1077" t="s">
        <v>5068</v>
      </c>
      <c r="C1964" s="1077">
        <v>700</v>
      </c>
      <c r="D1964" s="1077">
        <v>1.7450000000000001</v>
      </c>
      <c r="E1964" s="1077" t="s">
        <v>15104</v>
      </c>
      <c r="F1964" s="1077" t="s">
        <v>648</v>
      </c>
      <c r="G1964" s="1077">
        <v>5</v>
      </c>
      <c r="H1964" s="1077" t="s">
        <v>5505</v>
      </c>
      <c r="I1964" s="1077" t="s">
        <v>460</v>
      </c>
      <c r="J1964" s="1077">
        <v>1.7</v>
      </c>
      <c r="K1964" s="1077" t="s">
        <v>5945</v>
      </c>
      <c r="L1964" s="1077" t="s">
        <v>1913</v>
      </c>
      <c r="M1964" s="1077">
        <v>150</v>
      </c>
      <c r="N1964" s="1077" t="s">
        <v>945</v>
      </c>
      <c r="O1964" s="1077">
        <v>3.75</v>
      </c>
      <c r="P1964" s="1077">
        <v>3</v>
      </c>
      <c r="Q1964" s="1077">
        <v>4</v>
      </c>
      <c r="R1964" s="1077">
        <v>20.8</v>
      </c>
      <c r="T1964" s="1077">
        <v>29.1</v>
      </c>
      <c r="U1964" s="1077">
        <v>3.4</v>
      </c>
      <c r="V1964" s="1077" t="s">
        <v>648</v>
      </c>
      <c r="W1964" s="1077">
        <v>100</v>
      </c>
      <c r="X1964" s="1077">
        <v>60</v>
      </c>
      <c r="Y1964" s="1077">
        <v>1.5</v>
      </c>
      <c r="Z1964" s="1077" t="s">
        <v>648</v>
      </c>
      <c r="AA1964" s="1077" t="s">
        <v>6346</v>
      </c>
      <c r="AH1964" s="1077" t="s">
        <v>1827</v>
      </c>
      <c r="AM1964" s="1078" t="s">
        <v>12931</v>
      </c>
      <c r="AN1964" s="1078" t="s">
        <v>12932</v>
      </c>
      <c r="AO1964" s="1078">
        <f t="shared" si="246"/>
        <v>700</v>
      </c>
      <c r="AP1964" s="1078">
        <f t="shared" si="247"/>
        <v>1.7450000000000001</v>
      </c>
      <c r="AQ1964" s="1078" t="str">
        <f t="shared" si="248"/>
        <v>1-4-1S85°Z+S</v>
      </c>
      <c r="AR1964" s="1078" t="str">
        <f t="shared" si="249"/>
        <v>NA</v>
      </c>
      <c r="AS1964" s="1078" t="str">
        <f t="shared" si="250"/>
        <v>192/OFF</v>
      </c>
      <c r="AT1964" s="1078" t="str">
        <f t="shared" si="251"/>
        <v>1-4-1S85°Z+S</v>
      </c>
      <c r="AU1964" s="1078" t="s">
        <v>15547</v>
      </c>
      <c r="AV1964" s="1078" t="str">
        <f t="shared" si="244"/>
        <v>110.5.5</v>
      </c>
      <c r="AW1964" s="1344">
        <f t="shared" si="245"/>
        <v>44321</v>
      </c>
    </row>
    <row r="1965" spans="1:49">
      <c r="A1965" s="1077" t="s">
        <v>6347</v>
      </c>
      <c r="B1965" s="1077" t="s">
        <v>617</v>
      </c>
      <c r="C1965" s="1077">
        <v>650</v>
      </c>
      <c r="D1965" s="1077">
        <v>1.7250000000000001</v>
      </c>
      <c r="E1965" s="1077" t="s">
        <v>15094</v>
      </c>
      <c r="F1965" s="1077" t="s">
        <v>984</v>
      </c>
      <c r="G1965" s="1077">
        <v>5</v>
      </c>
      <c r="H1965" s="1077" t="s">
        <v>1793</v>
      </c>
      <c r="I1965" s="1077" t="s">
        <v>126</v>
      </c>
      <c r="J1965" s="1077">
        <v>2.2000000000000002</v>
      </c>
      <c r="K1965" s="1077" t="s">
        <v>6200</v>
      </c>
      <c r="L1965" s="1077" t="s">
        <v>4854</v>
      </c>
      <c r="M1965" s="1077">
        <v>150.30000000000001</v>
      </c>
      <c r="N1965" s="1077" t="s">
        <v>945</v>
      </c>
      <c r="O1965" s="1077">
        <v>3.7575000000000003</v>
      </c>
      <c r="P1965" s="1077">
        <v>3.0060000000000002</v>
      </c>
      <c r="Q1965" s="1077">
        <v>3</v>
      </c>
      <c r="R1965" s="1077">
        <v>29</v>
      </c>
      <c r="T1965" s="1077">
        <v>13</v>
      </c>
      <c r="U1965" s="1077">
        <v>7</v>
      </c>
      <c r="V1965" s="1077" t="s">
        <v>648</v>
      </c>
      <c r="W1965" s="1077">
        <v>115</v>
      </c>
      <c r="X1965" s="1077">
        <v>50</v>
      </c>
      <c r="Y1965" s="1077">
        <v>1.7</v>
      </c>
      <c r="Z1965" s="1077">
        <v>6.5</v>
      </c>
      <c r="AA1965" s="1077" t="s">
        <v>1409</v>
      </c>
      <c r="AH1965" s="1077" t="s">
        <v>622</v>
      </c>
      <c r="AM1965" s="1078" t="s">
        <v>12933</v>
      </c>
      <c r="AN1965" s="1078" t="s">
        <v>12934</v>
      </c>
      <c r="AO1965" s="1078">
        <f t="shared" si="246"/>
        <v>650</v>
      </c>
      <c r="AP1965" s="1078">
        <f t="shared" si="247"/>
        <v>1.7250000000000001</v>
      </c>
      <c r="AQ1965" s="1078" t="str">
        <f t="shared" si="248"/>
        <v>1-5-1S91°</v>
      </c>
      <c r="AR1965" s="1078" t="str">
        <f t="shared" si="249"/>
        <v>30</v>
      </c>
      <c r="AS1965" s="1078" t="str">
        <f t="shared" si="250"/>
        <v>270/270/OFF</v>
      </c>
      <c r="AT1965" s="1078" t="str">
        <f t="shared" si="251"/>
        <v>1-5-1S91°</v>
      </c>
      <c r="AV1965" s="1078" t="str">
        <f t="shared" si="244"/>
        <v>110.7.2</v>
      </c>
      <c r="AW1965" s="1344">
        <f t="shared" si="245"/>
        <v>44379</v>
      </c>
    </row>
    <row r="1966" spans="1:49">
      <c r="A1966" s="1077" t="s">
        <v>6348</v>
      </c>
      <c r="B1966" s="1077" t="s">
        <v>5148</v>
      </c>
      <c r="C1966" s="1077">
        <v>650</v>
      </c>
      <c r="D1966" s="1077">
        <v>1.75</v>
      </c>
      <c r="E1966" s="1077" t="s">
        <v>15094</v>
      </c>
      <c r="F1966" s="1077" t="s">
        <v>975</v>
      </c>
      <c r="G1966" s="1077">
        <v>5</v>
      </c>
      <c r="H1966" s="1077" t="s">
        <v>5305</v>
      </c>
      <c r="I1966" s="1077" t="s">
        <v>126</v>
      </c>
      <c r="J1966" s="1077">
        <v>2.4</v>
      </c>
      <c r="K1966" s="1077" t="s">
        <v>5345</v>
      </c>
      <c r="L1966" s="1077" t="s">
        <v>5152</v>
      </c>
      <c r="M1966" s="1077">
        <v>148.6</v>
      </c>
      <c r="N1966" s="1077" t="s">
        <v>945</v>
      </c>
      <c r="O1966" s="1077">
        <v>3.7149999999999999</v>
      </c>
      <c r="P1966" s="1077">
        <v>2.972</v>
      </c>
      <c r="Q1966" s="1077">
        <v>3.5</v>
      </c>
      <c r="R1966" s="1077">
        <v>20.399999999999999</v>
      </c>
      <c r="T1966" s="1077">
        <v>26</v>
      </c>
      <c r="U1966" s="1077">
        <v>3.7</v>
      </c>
      <c r="V1966" s="1077" t="s">
        <v>648</v>
      </c>
      <c r="W1966" s="1077">
        <v>105</v>
      </c>
      <c r="X1966" s="1077">
        <v>50</v>
      </c>
      <c r="Y1966" s="1077">
        <v>2</v>
      </c>
      <c r="Z1966" s="1077">
        <v>6.5</v>
      </c>
      <c r="AA1966" s="1077" t="s">
        <v>1432</v>
      </c>
      <c r="AH1966" s="1077" t="s">
        <v>838</v>
      </c>
      <c r="AM1966" s="1078" t="s">
        <v>12935</v>
      </c>
      <c r="AN1966" s="1078" t="s">
        <v>12936</v>
      </c>
      <c r="AO1966" s="1078">
        <f t="shared" si="246"/>
        <v>650</v>
      </c>
      <c r="AP1966" s="1078">
        <f t="shared" si="247"/>
        <v>1.75</v>
      </c>
      <c r="AQ1966" s="1078" t="str">
        <f t="shared" si="248"/>
        <v>1-5-1S91°</v>
      </c>
      <c r="AR1966" s="1078" t="str">
        <f t="shared" si="249"/>
        <v>31.5</v>
      </c>
      <c r="AS1966" s="1078" t="str">
        <f t="shared" si="250"/>
        <v>350/320/OFF</v>
      </c>
      <c r="AT1966" s="1078" t="str">
        <f t="shared" si="251"/>
        <v>1-5-1S91°</v>
      </c>
      <c r="AV1966" s="1078" t="str">
        <f t="shared" si="244"/>
        <v>110.8.30</v>
      </c>
      <c r="AW1966" s="1344">
        <f t="shared" si="245"/>
        <v>44438</v>
      </c>
    </row>
    <row r="1967" spans="1:49">
      <c r="A1967" s="1077" t="s">
        <v>6349</v>
      </c>
      <c r="B1967" s="1077" t="s">
        <v>5148</v>
      </c>
      <c r="C1967" s="1077">
        <v>650</v>
      </c>
      <c r="D1967" s="1077">
        <v>1.7549999999999999</v>
      </c>
      <c r="E1967" s="1077" t="s">
        <v>15094</v>
      </c>
      <c r="F1967" s="1077" t="s">
        <v>984</v>
      </c>
      <c r="G1967" s="1077">
        <v>5</v>
      </c>
      <c r="H1967" s="1077" t="s">
        <v>5248</v>
      </c>
      <c r="I1967" s="1077" t="s">
        <v>126</v>
      </c>
      <c r="J1967" s="1077">
        <v>0.6</v>
      </c>
      <c r="K1967" s="1077" t="s">
        <v>5151</v>
      </c>
      <c r="L1967" s="1077" t="s">
        <v>5152</v>
      </c>
      <c r="M1967" s="1077">
        <v>149.9</v>
      </c>
      <c r="N1967" s="1077" t="s">
        <v>945</v>
      </c>
      <c r="O1967" s="1077">
        <v>3.7475000000000005</v>
      </c>
      <c r="P1967" s="1077">
        <v>2.9980000000000002</v>
      </c>
      <c r="Q1967" s="1077">
        <v>4</v>
      </c>
      <c r="R1967" s="1077">
        <v>22</v>
      </c>
      <c r="T1967" s="1077">
        <v>20</v>
      </c>
      <c r="U1967" s="1077">
        <v>2.6</v>
      </c>
      <c r="V1967" s="1077" t="s">
        <v>648</v>
      </c>
      <c r="W1967" s="1077">
        <v>35</v>
      </c>
      <c r="X1967" s="1077">
        <v>10</v>
      </c>
      <c r="Y1967" s="1077">
        <v>1</v>
      </c>
      <c r="Z1967" s="1077">
        <v>6</v>
      </c>
      <c r="AA1967" s="1077" t="s">
        <v>6350</v>
      </c>
      <c r="AH1967" s="1077" t="s">
        <v>878</v>
      </c>
      <c r="AM1967" s="1078" t="s">
        <v>12937</v>
      </c>
      <c r="AN1967" s="1078" t="s">
        <v>12938</v>
      </c>
      <c r="AO1967" s="1078">
        <f t="shared" si="246"/>
        <v>650</v>
      </c>
      <c r="AP1967" s="1078">
        <f t="shared" si="247"/>
        <v>1.7549999999999999</v>
      </c>
      <c r="AQ1967" s="1078" t="str">
        <f t="shared" si="248"/>
        <v>1-5-1S91°</v>
      </c>
      <c r="AR1967" s="1078" t="str">
        <f t="shared" si="249"/>
        <v>30</v>
      </c>
      <c r="AS1967" s="1078" t="str">
        <f t="shared" si="250"/>
        <v>340/300/155</v>
      </c>
      <c r="AT1967" s="1078" t="str">
        <f t="shared" si="251"/>
        <v>1-5-1S91°</v>
      </c>
      <c r="AV1967" s="1078" t="str">
        <f t="shared" si="244"/>
        <v>110.10.21</v>
      </c>
      <c r="AW1967" s="1344">
        <f t="shared" si="245"/>
        <v>44490</v>
      </c>
    </row>
    <row r="1968" spans="1:49">
      <c r="A1968" s="1077" t="s">
        <v>6351</v>
      </c>
      <c r="B1968" s="1077" t="s">
        <v>210</v>
      </c>
      <c r="C1968" s="1077">
        <v>700</v>
      </c>
      <c r="D1968" s="1077">
        <v>1.75</v>
      </c>
      <c r="E1968" s="1077" t="s">
        <v>15094</v>
      </c>
      <c r="F1968" s="1077" t="s">
        <v>984</v>
      </c>
      <c r="G1968" s="1077">
        <v>5</v>
      </c>
      <c r="H1968" s="1077" t="s">
        <v>5300</v>
      </c>
      <c r="I1968" s="1077" t="s">
        <v>126</v>
      </c>
      <c r="J1968" s="1077">
        <v>0.7</v>
      </c>
      <c r="K1968" s="1077" t="s">
        <v>5301</v>
      </c>
      <c r="L1968" s="1077" t="s">
        <v>4666</v>
      </c>
      <c r="M1968" s="1077">
        <v>151.5</v>
      </c>
      <c r="N1968" s="1077" t="s">
        <v>945</v>
      </c>
      <c r="O1968" s="1077">
        <v>3.7875000000000001</v>
      </c>
      <c r="P1968" s="1077">
        <v>3.0300000000000002</v>
      </c>
      <c r="Q1968" s="1077">
        <v>4</v>
      </c>
      <c r="R1968" s="1077">
        <v>19.100000000000001</v>
      </c>
      <c r="T1968" s="1077">
        <v>23.7</v>
      </c>
      <c r="U1968" s="1077">
        <v>3.2</v>
      </c>
      <c r="V1968" s="1077" t="s">
        <v>648</v>
      </c>
      <c r="W1968" s="1077">
        <v>35</v>
      </c>
      <c r="X1968" s="1077">
        <v>10</v>
      </c>
      <c r="Y1968" s="1077">
        <v>1</v>
      </c>
      <c r="Z1968" s="1077">
        <v>6</v>
      </c>
      <c r="AA1968" s="1077" t="s">
        <v>3986</v>
      </c>
      <c r="AH1968" s="1077" t="s">
        <v>684</v>
      </c>
      <c r="AM1968" s="1078" t="s">
        <v>12939</v>
      </c>
      <c r="AN1968" s="1078" t="s">
        <v>12940</v>
      </c>
      <c r="AO1968" s="1078">
        <f t="shared" si="246"/>
        <v>700</v>
      </c>
      <c r="AP1968" s="1078">
        <f t="shared" si="247"/>
        <v>1.75</v>
      </c>
      <c r="AQ1968" s="1078" t="str">
        <f t="shared" si="248"/>
        <v>1-5-1S91°</v>
      </c>
      <c r="AR1968" s="1078" t="str">
        <f t="shared" si="249"/>
        <v>30</v>
      </c>
      <c r="AS1968" s="1078" t="str">
        <f t="shared" si="250"/>
        <v>370/330/155</v>
      </c>
      <c r="AT1968" s="1078" t="str">
        <f t="shared" si="251"/>
        <v>1-5-1S91°</v>
      </c>
      <c r="AV1968" s="1078" t="str">
        <f t="shared" si="244"/>
        <v>110.12.2</v>
      </c>
      <c r="AW1968" s="1344">
        <f t="shared" si="245"/>
        <v>44532</v>
      </c>
    </row>
    <row r="1969" spans="1:49">
      <c r="A1969" s="1077" t="s">
        <v>6352</v>
      </c>
      <c r="B1969" s="1077" t="s">
        <v>844</v>
      </c>
      <c r="C1969" s="1077">
        <v>550</v>
      </c>
      <c r="D1969" s="1077">
        <v>1.756</v>
      </c>
      <c r="E1969" s="1077" t="s">
        <v>15102</v>
      </c>
      <c r="F1969" s="1077" t="s">
        <v>954</v>
      </c>
      <c r="G1969" s="1077">
        <v>5</v>
      </c>
      <c r="H1969" s="1077" t="s">
        <v>5744</v>
      </c>
      <c r="I1969" s="1077" t="s">
        <v>648</v>
      </c>
      <c r="J1969" s="1077">
        <v>0</v>
      </c>
      <c r="K1969" s="1077" t="s">
        <v>5745</v>
      </c>
      <c r="L1969" s="1077" t="s">
        <v>4907</v>
      </c>
      <c r="M1969" s="1077">
        <v>148.9</v>
      </c>
      <c r="N1969" s="1077" t="s">
        <v>945</v>
      </c>
      <c r="O1969" s="1077">
        <v>3.7225000000000001</v>
      </c>
      <c r="P1969" s="1077">
        <v>2.9780000000000002</v>
      </c>
      <c r="Q1969" s="1077" t="s">
        <v>1020</v>
      </c>
      <c r="R1969" s="1077">
        <v>23.5</v>
      </c>
      <c r="T1969" s="1077">
        <v>16.399999999999999</v>
      </c>
      <c r="U1969" s="1077">
        <v>4.5999999999999996</v>
      </c>
      <c r="V1969" s="1077" t="s">
        <v>648</v>
      </c>
      <c r="W1969" s="1077" t="s">
        <v>648</v>
      </c>
      <c r="X1969" s="1077" t="s">
        <v>648</v>
      </c>
      <c r="Y1969" s="1077">
        <v>1.6</v>
      </c>
      <c r="Z1969" s="1077" t="s">
        <v>5935</v>
      </c>
      <c r="AA1969" s="1077" t="s">
        <v>3163</v>
      </c>
      <c r="AH1969" s="1077" t="s">
        <v>842</v>
      </c>
      <c r="AM1969" s="1078" t="s">
        <v>12941</v>
      </c>
      <c r="AN1969" s="1078" t="s">
        <v>12942</v>
      </c>
      <c r="AO1969" s="1078">
        <f t="shared" si="246"/>
        <v>550</v>
      </c>
      <c r="AP1969" s="1078">
        <f t="shared" si="247"/>
        <v>1.756</v>
      </c>
      <c r="AQ1969" s="1078" t="str">
        <f t="shared" si="248"/>
        <v>2-6-1S83°</v>
      </c>
      <c r="AR1969" s="1078" t="str">
        <f t="shared" si="249"/>
        <v>31</v>
      </c>
      <c r="AS1969" s="1078" t="str">
        <f t="shared" si="250"/>
        <v>164/140</v>
      </c>
      <c r="AT1969" s="1078" t="str">
        <f t="shared" si="251"/>
        <v>2-6-1S83°</v>
      </c>
      <c r="AV1969" s="1078" t="str">
        <f t="shared" si="244"/>
        <v>109.1.30</v>
      </c>
      <c r="AW1969" s="1344">
        <f t="shared" si="245"/>
        <v>43860</v>
      </c>
    </row>
    <row r="1970" spans="1:49">
      <c r="A1970" s="1077" t="s">
        <v>6353</v>
      </c>
      <c r="B1970" s="1077" t="s">
        <v>4944</v>
      </c>
      <c r="C1970" s="1077">
        <v>650</v>
      </c>
      <c r="D1970" s="1077">
        <v>1.75</v>
      </c>
      <c r="E1970" s="1077" t="s">
        <v>15088</v>
      </c>
      <c r="F1970" s="1077" t="s">
        <v>2520</v>
      </c>
      <c r="G1970" s="1077">
        <v>5.5</v>
      </c>
      <c r="H1970" s="1077" t="s">
        <v>1470</v>
      </c>
      <c r="I1970" s="1077" t="s">
        <v>126</v>
      </c>
      <c r="J1970" s="1077">
        <v>1.4</v>
      </c>
      <c r="K1970" s="1077" t="s">
        <v>4945</v>
      </c>
      <c r="L1970" s="1077" t="s">
        <v>4946</v>
      </c>
      <c r="M1970" s="1077">
        <v>150.6</v>
      </c>
      <c r="N1970" s="1077" t="s">
        <v>945</v>
      </c>
      <c r="O1970" s="1077">
        <v>3.7650000000000001</v>
      </c>
      <c r="P1970" s="1077">
        <v>3.012</v>
      </c>
      <c r="Q1970" s="1077" t="s">
        <v>1012</v>
      </c>
      <c r="R1970" s="1077">
        <v>26</v>
      </c>
      <c r="T1970" s="1077">
        <v>14.8</v>
      </c>
      <c r="U1970" s="1077">
        <v>6.7</v>
      </c>
      <c r="V1970" s="1077" t="s">
        <v>648</v>
      </c>
      <c r="W1970" s="1077">
        <v>90</v>
      </c>
      <c r="X1970" s="1077">
        <v>10</v>
      </c>
      <c r="Y1970" s="1077">
        <v>1.3</v>
      </c>
      <c r="Z1970" s="1077" t="s">
        <v>4948</v>
      </c>
      <c r="AA1970" s="1077" t="s">
        <v>6354</v>
      </c>
      <c r="AH1970" s="1077" t="s">
        <v>853</v>
      </c>
      <c r="AM1970" s="1078" t="s">
        <v>12943</v>
      </c>
      <c r="AN1970" s="1078" t="s">
        <v>12944</v>
      </c>
      <c r="AO1970" s="1078">
        <f t="shared" si="246"/>
        <v>650</v>
      </c>
      <c r="AP1970" s="1078">
        <f t="shared" si="247"/>
        <v>1.75</v>
      </c>
      <c r="AQ1970" s="1078" t="str">
        <f t="shared" si="248"/>
        <v>1-4-1S85°</v>
      </c>
      <c r="AR1970" s="1078" t="str">
        <f t="shared" si="249"/>
        <v>*</v>
      </c>
      <c r="AS1970" s="1078" t="str">
        <f t="shared" si="250"/>
        <v>160/OFF</v>
      </c>
      <c r="AT1970" s="1078" t="str">
        <f t="shared" si="251"/>
        <v>1-4-1S85°</v>
      </c>
      <c r="AV1970" s="1078" t="str">
        <f t="shared" si="244"/>
        <v>109.4.16</v>
      </c>
      <c r="AW1970" s="1344">
        <f t="shared" si="245"/>
        <v>43937</v>
      </c>
    </row>
    <row r="1971" spans="1:49">
      <c r="A1971" s="1077" t="s">
        <v>6355</v>
      </c>
      <c r="B1971" s="1077" t="s">
        <v>4927</v>
      </c>
      <c r="C1971" s="1077">
        <v>650</v>
      </c>
      <c r="D1971" s="1077">
        <v>1.704</v>
      </c>
      <c r="E1971" s="1077" t="s">
        <v>15117</v>
      </c>
      <c r="F1971" s="1077" t="s">
        <v>648</v>
      </c>
      <c r="G1971" s="1077">
        <v>4</v>
      </c>
      <c r="H1971" s="1077" t="s">
        <v>2833</v>
      </c>
      <c r="I1971" s="1077" t="s">
        <v>126</v>
      </c>
      <c r="J1971" s="1077">
        <v>1.7</v>
      </c>
      <c r="K1971" s="1077" t="s">
        <v>6342</v>
      </c>
      <c r="L1971" s="1077" t="s">
        <v>1763</v>
      </c>
      <c r="M1971" s="1077">
        <v>159.5</v>
      </c>
      <c r="N1971" s="1077" t="s">
        <v>945</v>
      </c>
      <c r="O1971" s="1077">
        <v>3.9875000000000003</v>
      </c>
      <c r="P1971" s="1077">
        <v>3.19</v>
      </c>
      <c r="Q1971" s="1077" t="s">
        <v>1012</v>
      </c>
      <c r="R1971" s="1077">
        <v>35</v>
      </c>
      <c r="T1971" s="1077">
        <v>11.7</v>
      </c>
      <c r="U1971" s="1077">
        <v>6.3</v>
      </c>
      <c r="V1971" s="1077" t="s">
        <v>648</v>
      </c>
      <c r="W1971" s="1077">
        <v>135</v>
      </c>
      <c r="X1971" s="1077">
        <v>85</v>
      </c>
      <c r="Y1971" s="1077">
        <v>1.4</v>
      </c>
      <c r="Z1971" s="1077" t="s">
        <v>648</v>
      </c>
      <c r="AA1971" s="1077" t="s">
        <v>1211</v>
      </c>
      <c r="AH1971" s="1077" t="s">
        <v>614</v>
      </c>
      <c r="AM1971" s="1078" t="s">
        <v>12945</v>
      </c>
      <c r="AN1971" s="1078" t="s">
        <v>12946</v>
      </c>
      <c r="AO1971" s="1078">
        <f t="shared" si="246"/>
        <v>650</v>
      </c>
      <c r="AP1971" s="1078">
        <f t="shared" si="247"/>
        <v>1.704</v>
      </c>
      <c r="AQ1971" s="1078" t="str">
        <f t="shared" si="248"/>
        <v>1-4-1S85°S+Z</v>
      </c>
      <c r="AR1971" s="1078" t="str">
        <f t="shared" si="249"/>
        <v>NA</v>
      </c>
      <c r="AS1971" s="1078" t="str">
        <f t="shared" si="250"/>
        <v>150/OFF</v>
      </c>
      <c r="AT1971" s="1078" t="str">
        <f t="shared" si="251"/>
        <v>1-4-1S85°S+Z</v>
      </c>
      <c r="AU1971" s="1078" t="s">
        <v>15550</v>
      </c>
      <c r="AV1971" s="1078" t="str">
        <f t="shared" si="244"/>
        <v>110.1.4</v>
      </c>
      <c r="AW1971" s="1344">
        <f t="shared" si="245"/>
        <v>44200</v>
      </c>
    </row>
    <row r="1972" spans="1:49">
      <c r="A1972" s="1077" t="s">
        <v>6356</v>
      </c>
      <c r="B1972" s="1077" t="s">
        <v>5148</v>
      </c>
      <c r="C1972" s="1077" t="s">
        <v>5334</v>
      </c>
      <c r="D1972" s="1077">
        <v>1.7350000000000001</v>
      </c>
      <c r="E1972" s="1077" t="s">
        <v>15094</v>
      </c>
      <c r="F1972" s="1077" t="s">
        <v>984</v>
      </c>
      <c r="G1972" s="1077">
        <v>5</v>
      </c>
      <c r="H1972" s="1077" t="s">
        <v>5154</v>
      </c>
      <c r="I1972" s="1077" t="s">
        <v>648</v>
      </c>
      <c r="J1972" s="1077">
        <v>0</v>
      </c>
      <c r="K1972" s="1077" t="s">
        <v>5336</v>
      </c>
      <c r="L1972" s="1077" t="s">
        <v>5152</v>
      </c>
      <c r="M1972" s="1077">
        <v>149.9</v>
      </c>
      <c r="N1972" s="1077" t="s">
        <v>945</v>
      </c>
      <c r="O1972" s="1077">
        <v>3.7475000000000005</v>
      </c>
      <c r="P1972" s="1077">
        <v>2.9980000000000002</v>
      </c>
      <c r="Q1972" s="1077">
        <v>4</v>
      </c>
      <c r="R1972" s="1077">
        <v>24</v>
      </c>
      <c r="T1972" s="1077">
        <v>17</v>
      </c>
      <c r="U1972" s="1077">
        <v>2.6</v>
      </c>
      <c r="V1972" s="1077" t="s">
        <v>648</v>
      </c>
      <c r="W1972" s="1077" t="s">
        <v>648</v>
      </c>
      <c r="X1972" s="1077" t="s">
        <v>648</v>
      </c>
      <c r="Y1972" s="1077">
        <v>1</v>
      </c>
      <c r="Z1972" s="1077">
        <v>4.5</v>
      </c>
      <c r="AA1972" s="1077" t="s">
        <v>3123</v>
      </c>
      <c r="AH1972" s="1077" t="s">
        <v>3213</v>
      </c>
      <c r="AM1972" s="1078" t="s">
        <v>12947</v>
      </c>
      <c r="AN1972" s="1078" t="s">
        <v>12948</v>
      </c>
      <c r="AO1972" s="1078" t="str">
        <f t="shared" si="246"/>
        <v>750↓650</v>
      </c>
      <c r="AP1972" s="1078">
        <f t="shared" si="247"/>
        <v>1.7350000000000001</v>
      </c>
      <c r="AQ1972" s="1078" t="str">
        <f t="shared" si="248"/>
        <v>1-5-1S91°</v>
      </c>
      <c r="AR1972" s="1078" t="str">
        <f t="shared" si="249"/>
        <v>30</v>
      </c>
      <c r="AS1972" s="1078" t="str">
        <f t="shared" si="250"/>
        <v>350/310/158</v>
      </c>
      <c r="AT1972" s="1078" t="str">
        <f t="shared" si="251"/>
        <v>1-5-1S91°</v>
      </c>
      <c r="AV1972" s="1078" t="str">
        <f t="shared" si="244"/>
        <v>110.2.22</v>
      </c>
      <c r="AW1972" s="1344">
        <f t="shared" si="245"/>
        <v>44249</v>
      </c>
    </row>
    <row r="1973" spans="1:49">
      <c r="A1973" s="1077" t="s">
        <v>6357</v>
      </c>
      <c r="B1973" s="1077" t="s">
        <v>5654</v>
      </c>
      <c r="C1973" s="1077">
        <v>600</v>
      </c>
      <c r="D1973" s="1077">
        <v>1.76</v>
      </c>
      <c r="E1973" s="1077" t="s">
        <v>15094</v>
      </c>
      <c r="F1973" s="1077" t="s">
        <v>984</v>
      </c>
      <c r="G1973" s="1077">
        <v>1.5</v>
      </c>
      <c r="H1973" s="1077" t="s">
        <v>5874</v>
      </c>
      <c r="I1973" s="1077" t="s">
        <v>126</v>
      </c>
      <c r="J1973" s="1077">
        <v>3.2</v>
      </c>
      <c r="K1973" s="1077" t="s">
        <v>5978</v>
      </c>
      <c r="L1973" s="1077" t="s">
        <v>5808</v>
      </c>
      <c r="M1973" s="1077">
        <v>150.19999999999999</v>
      </c>
      <c r="N1973" s="1077" t="s">
        <v>945</v>
      </c>
      <c r="O1973" s="1077">
        <v>3.7549999999999999</v>
      </c>
      <c r="P1973" s="1077">
        <v>3.004</v>
      </c>
      <c r="Q1973" s="1077">
        <v>4</v>
      </c>
      <c r="R1973" s="1077">
        <v>21.7</v>
      </c>
      <c r="T1973" s="1077" t="s">
        <v>6358</v>
      </c>
      <c r="U1973" s="1077">
        <v>3.1</v>
      </c>
      <c r="V1973" s="1077" t="s">
        <v>648</v>
      </c>
      <c r="W1973" s="1077">
        <v>110</v>
      </c>
      <c r="X1973" s="1077">
        <v>65</v>
      </c>
      <c r="Y1973" s="1077">
        <v>2</v>
      </c>
      <c r="Z1973" s="1077">
        <v>7</v>
      </c>
      <c r="AA1973" s="1077" t="s">
        <v>6359</v>
      </c>
      <c r="AH1973" s="1077" t="s">
        <v>684</v>
      </c>
      <c r="AM1973" s="1078" t="s">
        <v>12949</v>
      </c>
      <c r="AN1973" s="1078" t="s">
        <v>12950</v>
      </c>
      <c r="AO1973" s="1078">
        <f t="shared" si="246"/>
        <v>600</v>
      </c>
      <c r="AP1973" s="1078">
        <f t="shared" si="247"/>
        <v>1.76</v>
      </c>
      <c r="AQ1973" s="1078" t="str">
        <f t="shared" si="248"/>
        <v>1-5-1S91°</v>
      </c>
      <c r="AR1973" s="1078" t="str">
        <f t="shared" si="249"/>
        <v>30</v>
      </c>
      <c r="AS1973" s="1078" t="str">
        <f t="shared" si="250"/>
        <v>345/345/OFF</v>
      </c>
      <c r="AT1973" s="1078" t="str">
        <f t="shared" si="251"/>
        <v>1-5-1S91°</v>
      </c>
      <c r="AV1973" s="1078" t="str">
        <f t="shared" si="244"/>
        <v>110.5.10</v>
      </c>
      <c r="AW1973" s="1344">
        <f t="shared" si="245"/>
        <v>44326</v>
      </c>
    </row>
    <row r="1974" spans="1:49">
      <c r="A1974" s="1077" t="s">
        <v>6360</v>
      </c>
      <c r="B1974" s="1077" t="s">
        <v>6361</v>
      </c>
      <c r="C1974" s="1077">
        <v>650</v>
      </c>
      <c r="D1974" s="1077">
        <v>1.7</v>
      </c>
      <c r="E1974" s="1077" t="s">
        <v>15094</v>
      </c>
      <c r="F1974" s="1077" t="s">
        <v>975</v>
      </c>
      <c r="G1974" s="1077">
        <v>5</v>
      </c>
      <c r="H1974" s="1077" t="s">
        <v>5980</v>
      </c>
      <c r="I1974" s="1077" t="s">
        <v>460</v>
      </c>
      <c r="J1974" s="1077">
        <v>2</v>
      </c>
      <c r="K1974" s="1077" t="s">
        <v>6362</v>
      </c>
      <c r="L1974" s="1077" t="s">
        <v>6363</v>
      </c>
      <c r="M1974" s="1077">
        <v>151.5</v>
      </c>
      <c r="N1974" s="1077" t="s">
        <v>945</v>
      </c>
      <c r="O1974" s="1077">
        <v>3.7875000000000001</v>
      </c>
      <c r="P1974" s="1077">
        <v>3.0300000000000002</v>
      </c>
      <c r="Q1974" s="1077" t="s">
        <v>2422</v>
      </c>
      <c r="R1974" s="1077">
        <v>21.2</v>
      </c>
      <c r="T1974" s="1077">
        <v>31.5</v>
      </c>
      <c r="U1974" s="1077">
        <v>3.5</v>
      </c>
      <c r="V1974" s="1077" t="s">
        <v>648</v>
      </c>
      <c r="W1974" s="1077">
        <v>110</v>
      </c>
      <c r="X1974" s="1077">
        <v>40</v>
      </c>
      <c r="Y1974" s="1077">
        <v>1.5</v>
      </c>
      <c r="Z1974" s="1077">
        <v>6.5</v>
      </c>
      <c r="AA1974" s="1077" t="s">
        <v>6364</v>
      </c>
      <c r="AH1974" s="1077" t="s">
        <v>1244</v>
      </c>
      <c r="AM1974" s="1078" t="s">
        <v>12951</v>
      </c>
      <c r="AN1974" s="1078" t="s">
        <v>12952</v>
      </c>
      <c r="AO1974" s="1078">
        <f t="shared" si="246"/>
        <v>650</v>
      </c>
      <c r="AP1974" s="1078">
        <f t="shared" si="247"/>
        <v>1.7</v>
      </c>
      <c r="AQ1974" s="1078" t="str">
        <f t="shared" si="248"/>
        <v>1-5-1S91°</v>
      </c>
      <c r="AR1974" s="1078" t="str">
        <f t="shared" si="249"/>
        <v>31.5</v>
      </c>
      <c r="AS1974" s="1078" t="str">
        <f t="shared" si="250"/>
        <v>360/360/OFF</v>
      </c>
      <c r="AT1974" s="1078" t="str">
        <f t="shared" si="251"/>
        <v>1-5-1S91°</v>
      </c>
      <c r="AV1974" s="1078" t="str">
        <f t="shared" si="244"/>
        <v>110.7.7</v>
      </c>
      <c r="AW1974" s="1344">
        <f t="shared" si="245"/>
        <v>44384</v>
      </c>
    </row>
    <row r="1975" spans="1:49">
      <c r="A1975" s="1077" t="s">
        <v>5979</v>
      </c>
      <c r="B1975" s="1077" t="s">
        <v>5654</v>
      </c>
      <c r="C1975" s="1077">
        <v>600</v>
      </c>
      <c r="D1975" s="1077">
        <v>1.8049999999999999</v>
      </c>
      <c r="E1975" s="1077" t="s">
        <v>15094</v>
      </c>
      <c r="F1975" s="1077" t="s">
        <v>984</v>
      </c>
      <c r="G1975" s="1077">
        <v>5</v>
      </c>
      <c r="H1975" s="1077" t="s">
        <v>5980</v>
      </c>
      <c r="I1975" s="1077" t="s">
        <v>126</v>
      </c>
      <c r="J1975" s="1077">
        <v>2.8</v>
      </c>
      <c r="K1975" s="1077" t="s">
        <v>5807</v>
      </c>
      <c r="L1975" s="1077" t="s">
        <v>5808</v>
      </c>
      <c r="M1975" s="1077">
        <v>150.19999999999999</v>
      </c>
      <c r="N1975" s="1077" t="s">
        <v>945</v>
      </c>
      <c r="O1975" s="1077">
        <v>3.7549999999999999</v>
      </c>
      <c r="P1975" s="1077">
        <v>3.004</v>
      </c>
      <c r="Q1975" s="1077" t="s">
        <v>1277</v>
      </c>
      <c r="R1975" s="1077">
        <v>25</v>
      </c>
      <c r="T1975" s="1077">
        <v>30.1</v>
      </c>
      <c r="U1975" s="1077">
        <v>3.5</v>
      </c>
      <c r="V1975" s="1077" t="s">
        <v>648</v>
      </c>
      <c r="W1975" s="1077">
        <v>110</v>
      </c>
      <c r="X1975" s="1077">
        <v>65</v>
      </c>
      <c r="Y1975" s="1077">
        <v>2</v>
      </c>
      <c r="Z1975" s="1077" t="s">
        <v>5981</v>
      </c>
      <c r="AA1975" s="1077" t="s">
        <v>5982</v>
      </c>
      <c r="AH1975" s="1077" t="s">
        <v>887</v>
      </c>
      <c r="AM1975" s="1078" t="s">
        <v>12605</v>
      </c>
      <c r="AN1975" s="1078" t="s">
        <v>12606</v>
      </c>
      <c r="AO1975" s="1078">
        <f t="shared" si="246"/>
        <v>600</v>
      </c>
      <c r="AP1975" s="1078">
        <f t="shared" si="247"/>
        <v>1.8049999999999999</v>
      </c>
      <c r="AQ1975" s="1078" t="str">
        <f t="shared" si="248"/>
        <v>1-5-1S91°</v>
      </c>
      <c r="AR1975" s="1078" t="str">
        <f t="shared" si="249"/>
        <v>30</v>
      </c>
      <c r="AS1975" s="1078" t="str">
        <f t="shared" si="250"/>
        <v>360/360/OFF</v>
      </c>
      <c r="AT1975" s="1078" t="str">
        <f t="shared" si="251"/>
        <v>1-5-1S91°</v>
      </c>
      <c r="AV1975" s="1078" t="str">
        <f t="shared" si="244"/>
        <v>110.8.31</v>
      </c>
      <c r="AW1975" s="1344">
        <f t="shared" si="245"/>
        <v>44439</v>
      </c>
    </row>
    <row r="1976" spans="1:49">
      <c r="A1976" s="1077" t="s">
        <v>6365</v>
      </c>
      <c r="B1976" s="1077" t="s">
        <v>844</v>
      </c>
      <c r="C1976" s="1077">
        <v>550</v>
      </c>
      <c r="D1976" s="1077">
        <v>1.7749999999999999</v>
      </c>
      <c r="E1976" s="1077" t="s">
        <v>15102</v>
      </c>
      <c r="F1976" s="1077" t="s">
        <v>4695</v>
      </c>
      <c r="G1976" s="1077">
        <v>5</v>
      </c>
      <c r="H1976" s="1077" t="s">
        <v>4930</v>
      </c>
      <c r="I1976" s="1077" t="s">
        <v>460</v>
      </c>
      <c r="J1976" s="1077">
        <v>3.4</v>
      </c>
      <c r="K1976" s="1077" t="s">
        <v>6366</v>
      </c>
      <c r="L1976" s="1077" t="s">
        <v>4907</v>
      </c>
      <c r="M1976" s="1077">
        <v>151.69999999999999</v>
      </c>
      <c r="N1976" s="1077" t="s">
        <v>945</v>
      </c>
      <c r="O1976" s="1077">
        <v>3.7925</v>
      </c>
      <c r="P1976" s="1077">
        <v>3.0339999999999998</v>
      </c>
      <c r="Q1976" s="1077">
        <v>3</v>
      </c>
      <c r="R1976" s="1077">
        <v>19.7</v>
      </c>
      <c r="T1976" s="1077">
        <v>11.5</v>
      </c>
      <c r="U1976" s="1077">
        <v>5.3</v>
      </c>
      <c r="V1976" s="1077" t="s">
        <v>648</v>
      </c>
      <c r="W1976" s="1077">
        <v>105</v>
      </c>
      <c r="X1976" s="1077">
        <v>95</v>
      </c>
      <c r="Y1976" s="1077">
        <v>1.5</v>
      </c>
      <c r="Z1976" s="1077">
        <v>5</v>
      </c>
      <c r="AA1976" s="1077" t="s">
        <v>3894</v>
      </c>
      <c r="AH1976" s="1077" t="s">
        <v>1238</v>
      </c>
      <c r="AM1976" s="1078" t="s">
        <v>12953</v>
      </c>
      <c r="AN1976" s="1078" t="s">
        <v>12954</v>
      </c>
      <c r="AO1976" s="1078">
        <f t="shared" si="246"/>
        <v>550</v>
      </c>
      <c r="AP1976" s="1078">
        <f t="shared" si="247"/>
        <v>1.7749999999999999</v>
      </c>
      <c r="AQ1976" s="1078" t="str">
        <f t="shared" si="248"/>
        <v>2-6-1S83°</v>
      </c>
      <c r="AR1976" s="1078" t="str">
        <f t="shared" si="249"/>
        <v>32.8</v>
      </c>
      <c r="AS1976" s="1078" t="str">
        <f t="shared" si="250"/>
        <v>160/155</v>
      </c>
      <c r="AT1976" s="1078" t="str">
        <f t="shared" si="251"/>
        <v>2-6-1S83°</v>
      </c>
      <c r="AV1976" s="1078" t="str">
        <f t="shared" si="244"/>
        <v>110.10.22</v>
      </c>
      <c r="AW1976" s="1344">
        <f t="shared" si="245"/>
        <v>44491</v>
      </c>
    </row>
    <row r="1977" spans="1:49">
      <c r="A1977" s="1077" t="s">
        <v>6367</v>
      </c>
      <c r="B1977" s="1077" t="s">
        <v>416</v>
      </c>
      <c r="C1977" s="1077">
        <v>700</v>
      </c>
      <c r="D1977" s="1077">
        <v>1.76</v>
      </c>
      <c r="E1977" s="1077" t="s">
        <v>15094</v>
      </c>
      <c r="F1977" s="1077" t="s">
        <v>984</v>
      </c>
      <c r="G1977" s="1077">
        <v>5</v>
      </c>
      <c r="H1977" s="1077" t="s">
        <v>5165</v>
      </c>
      <c r="I1977" s="1077" t="s">
        <v>126</v>
      </c>
      <c r="J1977" s="1077">
        <v>0.8</v>
      </c>
      <c r="K1977" s="1077" t="s">
        <v>6337</v>
      </c>
      <c r="L1977" s="1077" t="s">
        <v>6291</v>
      </c>
      <c r="M1977" s="1077">
        <v>151.5</v>
      </c>
      <c r="N1977" s="1077" t="s">
        <v>945</v>
      </c>
      <c r="O1977" s="1077">
        <v>3.7875000000000001</v>
      </c>
      <c r="P1977" s="1077">
        <v>3.0300000000000002</v>
      </c>
      <c r="Q1977" s="1077">
        <v>4</v>
      </c>
      <c r="R1977" s="1077">
        <v>19.100000000000001</v>
      </c>
      <c r="T1977" s="1077">
        <v>23.7</v>
      </c>
      <c r="U1977" s="1077">
        <v>3.2</v>
      </c>
      <c r="V1977" s="1077" t="s">
        <v>648</v>
      </c>
      <c r="W1977" s="1077">
        <v>35</v>
      </c>
      <c r="X1977" s="1077">
        <v>10</v>
      </c>
      <c r="Y1977" s="1077">
        <v>1</v>
      </c>
      <c r="Z1977" s="1077">
        <v>6</v>
      </c>
      <c r="AA1977" s="1077" t="s">
        <v>1625</v>
      </c>
      <c r="AH1977" s="1077" t="s">
        <v>1421</v>
      </c>
      <c r="AI1977" s="1077">
        <v>91.92</v>
      </c>
      <c r="AJ1977" s="1077">
        <v>-0.01</v>
      </c>
      <c r="AK1977" s="1077">
        <v>0.67</v>
      </c>
      <c r="AM1977" s="1078" t="s">
        <v>12955</v>
      </c>
      <c r="AN1977" s="1078" t="s">
        <v>12956</v>
      </c>
      <c r="AO1977" s="1078">
        <f t="shared" si="246"/>
        <v>700</v>
      </c>
      <c r="AP1977" s="1078">
        <f t="shared" si="247"/>
        <v>1.76</v>
      </c>
      <c r="AQ1977" s="1078" t="str">
        <f t="shared" si="248"/>
        <v>1-5-1S91°</v>
      </c>
      <c r="AR1977" s="1078" t="str">
        <f t="shared" si="249"/>
        <v>30</v>
      </c>
      <c r="AS1977" s="1078" t="str">
        <f t="shared" si="250"/>
        <v>360/320/155</v>
      </c>
      <c r="AT1977" s="1078" t="str">
        <f t="shared" si="251"/>
        <v>1-5-1S91°</v>
      </c>
      <c r="AV1977" s="1078" t="str">
        <f t="shared" si="244"/>
        <v>112.10.19</v>
      </c>
      <c r="AW1977" s="1344">
        <f t="shared" si="245"/>
        <v>45218</v>
      </c>
    </row>
    <row r="1978" spans="1:49">
      <c r="A1978" s="1077" t="s">
        <v>6368</v>
      </c>
      <c r="B1978" s="1077" t="s">
        <v>210</v>
      </c>
      <c r="C1978" s="1077">
        <v>650</v>
      </c>
      <c r="D1978" s="1077">
        <v>1.75</v>
      </c>
      <c r="E1978" s="1077" t="s">
        <v>15094</v>
      </c>
      <c r="F1978" s="1077" t="s">
        <v>984</v>
      </c>
      <c r="G1978" s="1077">
        <v>5</v>
      </c>
      <c r="H1978" s="1077" t="s">
        <v>6369</v>
      </c>
      <c r="I1978" s="1077" t="s">
        <v>1167</v>
      </c>
      <c r="J1978" s="1077">
        <v>1.8</v>
      </c>
      <c r="K1978" s="1077" t="s">
        <v>6370</v>
      </c>
      <c r="L1978" s="1077" t="s">
        <v>6291</v>
      </c>
      <c r="M1978" s="1077">
        <v>152.19999999999999</v>
      </c>
      <c r="N1978" s="1077" t="s">
        <v>945</v>
      </c>
      <c r="O1978" s="1077">
        <v>3.8049999999999997</v>
      </c>
      <c r="P1978" s="1077">
        <v>3.044</v>
      </c>
      <c r="Q1978" s="1077">
        <v>4</v>
      </c>
      <c r="R1978" s="1077">
        <v>19</v>
      </c>
      <c r="T1978" s="1077">
        <v>16</v>
      </c>
      <c r="U1978" s="1077">
        <v>4</v>
      </c>
      <c r="V1978" s="1077" t="s">
        <v>648</v>
      </c>
      <c r="W1978" s="1077">
        <v>95</v>
      </c>
      <c r="X1978" s="1077">
        <v>20</v>
      </c>
      <c r="Y1978" s="1077">
        <v>1.5</v>
      </c>
      <c r="Z1978" s="1077">
        <v>5</v>
      </c>
      <c r="AA1978" s="1077" t="s">
        <v>6371</v>
      </c>
      <c r="AH1978" s="1077" t="s">
        <v>614</v>
      </c>
      <c r="AI1978" s="1077">
        <v>91.59</v>
      </c>
      <c r="AJ1978" s="1077">
        <v>-0.66</v>
      </c>
      <c r="AK1978" s="1077">
        <v>0.76</v>
      </c>
      <c r="AM1978" s="1078" t="s">
        <v>12957</v>
      </c>
      <c r="AN1978" s="1078" t="s">
        <v>12958</v>
      </c>
      <c r="AO1978" s="1078">
        <f t="shared" si="246"/>
        <v>650</v>
      </c>
      <c r="AP1978" s="1078">
        <f t="shared" si="247"/>
        <v>1.75</v>
      </c>
      <c r="AQ1978" s="1078" t="str">
        <f t="shared" si="248"/>
        <v>1-5-1S91°</v>
      </c>
      <c r="AR1978" s="1078" t="str">
        <f t="shared" si="249"/>
        <v>30</v>
      </c>
      <c r="AS1978" s="1078" t="str">
        <f t="shared" si="250"/>
        <v>168/165</v>
      </c>
      <c r="AT1978" s="1078" t="str">
        <f t="shared" si="251"/>
        <v>1-5-1S91°</v>
      </c>
      <c r="AV1978" s="1078" t="str">
        <f t="shared" si="244"/>
        <v>112.11.1</v>
      </c>
      <c r="AW1978" s="1344">
        <f t="shared" si="245"/>
        <v>45231</v>
      </c>
    </row>
    <row r="1979" spans="1:49">
      <c r="A1979" s="1077" t="s">
        <v>6372</v>
      </c>
      <c r="B1979" s="1077" t="s">
        <v>416</v>
      </c>
      <c r="C1979" s="1077">
        <v>650</v>
      </c>
      <c r="D1979" s="1077">
        <v>1.76</v>
      </c>
      <c r="E1979" s="1077" t="s">
        <v>15094</v>
      </c>
      <c r="F1979" s="1077" t="s">
        <v>984</v>
      </c>
      <c r="G1979" s="1077">
        <v>5</v>
      </c>
      <c r="H1979" s="1077" t="s">
        <v>5483</v>
      </c>
      <c r="I1979" s="1077" t="s">
        <v>126</v>
      </c>
      <c r="J1979" s="1077">
        <v>0.8</v>
      </c>
      <c r="K1979" s="1077" t="s">
        <v>6337</v>
      </c>
      <c r="L1979" s="1077" t="s">
        <v>6291</v>
      </c>
      <c r="M1979" s="1077">
        <v>151.5</v>
      </c>
      <c r="N1979" s="1077" t="s">
        <v>945</v>
      </c>
      <c r="O1979" s="1077">
        <v>3.7875000000000001</v>
      </c>
      <c r="P1979" s="1077">
        <v>3.0300000000000002</v>
      </c>
      <c r="Q1979" s="1077">
        <v>4</v>
      </c>
      <c r="R1979" s="1077">
        <v>19.100000000000001</v>
      </c>
      <c r="T1979" s="1077">
        <v>23.7</v>
      </c>
      <c r="U1979" s="1077">
        <v>3.2</v>
      </c>
      <c r="V1979" s="1077" t="s">
        <v>648</v>
      </c>
      <c r="W1979" s="1077">
        <v>35</v>
      </c>
      <c r="X1979" s="1077">
        <v>10</v>
      </c>
      <c r="Y1979" s="1077">
        <v>1</v>
      </c>
      <c r="Z1979" s="1077">
        <v>6</v>
      </c>
      <c r="AA1979" s="1077" t="s">
        <v>6373</v>
      </c>
      <c r="AH1979" s="1077" t="s">
        <v>1221</v>
      </c>
      <c r="AI1979" s="1077">
        <v>91.67</v>
      </c>
      <c r="AJ1979" s="1077">
        <v>-0.43</v>
      </c>
      <c r="AK1979" s="1077">
        <v>1.1000000000000001</v>
      </c>
      <c r="AM1979" s="1078" t="s">
        <v>12959</v>
      </c>
      <c r="AN1979" s="1078" t="s">
        <v>12960</v>
      </c>
      <c r="AO1979" s="1078">
        <f t="shared" si="246"/>
        <v>650</v>
      </c>
      <c r="AP1979" s="1078">
        <f t="shared" si="247"/>
        <v>1.76</v>
      </c>
      <c r="AQ1979" s="1078" t="str">
        <f t="shared" si="248"/>
        <v>1-5-1S91°</v>
      </c>
      <c r="AR1979" s="1078" t="str">
        <f t="shared" si="249"/>
        <v>30</v>
      </c>
      <c r="AS1979" s="1078" t="str">
        <f t="shared" si="250"/>
        <v>350/310/150</v>
      </c>
      <c r="AT1979" s="1078" t="str">
        <f t="shared" si="251"/>
        <v>1-5-1S91°</v>
      </c>
      <c r="AV1979" s="1078" t="str">
        <f t="shared" si="244"/>
        <v>112.10.30</v>
      </c>
      <c r="AW1979" s="1344">
        <f t="shared" si="245"/>
        <v>45229</v>
      </c>
    </row>
    <row r="1980" spans="1:49">
      <c r="A1980" s="1077" t="s">
        <v>6374</v>
      </c>
      <c r="B1980" s="1077" t="s">
        <v>4767</v>
      </c>
      <c r="C1980" s="1077">
        <v>650</v>
      </c>
      <c r="D1980" s="1077">
        <v>1.71</v>
      </c>
      <c r="E1980" s="1077" t="s">
        <v>15121</v>
      </c>
      <c r="F1980" s="1077" t="s">
        <v>648</v>
      </c>
      <c r="G1980" s="1077">
        <v>5</v>
      </c>
      <c r="H1980" s="1077" t="s">
        <v>6375</v>
      </c>
      <c r="I1980" s="1077" t="s">
        <v>126</v>
      </c>
      <c r="J1980" s="1077">
        <v>1.4</v>
      </c>
      <c r="K1980" s="1077" t="s">
        <v>6293</v>
      </c>
      <c r="L1980" s="1077" t="s">
        <v>1821</v>
      </c>
      <c r="M1980" s="1077">
        <v>148</v>
      </c>
      <c r="N1980" s="1077" t="s">
        <v>945</v>
      </c>
      <c r="O1980" s="1077">
        <v>3.7</v>
      </c>
      <c r="P1980" s="1077">
        <v>2.96</v>
      </c>
      <c r="Q1980" s="1077">
        <v>4</v>
      </c>
      <c r="R1980" s="1077">
        <v>20.8</v>
      </c>
      <c r="T1980" s="1077">
        <v>20.399999999999999</v>
      </c>
      <c r="U1980" s="1077">
        <v>3.8</v>
      </c>
      <c r="V1980" s="1077" t="s">
        <v>648</v>
      </c>
      <c r="W1980" s="1077">
        <v>110</v>
      </c>
      <c r="X1980" s="1077" t="s">
        <v>2395</v>
      </c>
      <c r="Y1980" s="1077">
        <v>1.7</v>
      </c>
      <c r="Z1980" s="1077" t="s">
        <v>648</v>
      </c>
      <c r="AA1980" s="1077" t="s">
        <v>6376</v>
      </c>
      <c r="AB1980" s="1077" t="s">
        <v>981</v>
      </c>
      <c r="AH1980" s="1077" t="s">
        <v>853</v>
      </c>
      <c r="AI1980" s="1077">
        <v>90.91</v>
      </c>
      <c r="AJ1980" s="1077">
        <v>0.22</v>
      </c>
      <c r="AK1980" s="1077">
        <v>0.95</v>
      </c>
      <c r="AM1980" s="1078" t="s">
        <v>12961</v>
      </c>
      <c r="AN1980" s="1078" t="s">
        <v>12962</v>
      </c>
      <c r="AO1980" s="1078">
        <f t="shared" si="246"/>
        <v>650</v>
      </c>
      <c r="AP1980" s="1078">
        <f t="shared" si="247"/>
        <v>1.71</v>
      </c>
      <c r="AQ1980" s="1078" t="str">
        <f t="shared" si="248"/>
        <v>1-5-1S85°S+Z</v>
      </c>
      <c r="AR1980" s="1078" t="str">
        <f t="shared" si="249"/>
        <v>NA</v>
      </c>
      <c r="AS1980" s="1078" t="str">
        <f t="shared" si="250"/>
        <v>181/OFF</v>
      </c>
      <c r="AT1980" s="1078" t="str">
        <f t="shared" si="251"/>
        <v>1-5-1S85°S+Z</v>
      </c>
      <c r="AU1980" s="1078" t="s">
        <v>15550</v>
      </c>
      <c r="AV1980" s="1078" t="str">
        <f t="shared" si="244"/>
        <v>112.11.7</v>
      </c>
      <c r="AW1980" s="1344">
        <f t="shared" si="245"/>
        <v>45237</v>
      </c>
    </row>
    <row r="1981" spans="1:49">
      <c r="A1981" s="1077" t="s">
        <v>6377</v>
      </c>
      <c r="B1981" s="1077" t="s">
        <v>210</v>
      </c>
      <c r="C1981" s="1077">
        <v>650</v>
      </c>
      <c r="D1981" s="1077">
        <v>1.75</v>
      </c>
      <c r="E1981" s="1077" t="s">
        <v>15094</v>
      </c>
      <c r="F1981" s="1077" t="s">
        <v>984</v>
      </c>
      <c r="G1981" s="1077">
        <v>5</v>
      </c>
      <c r="H1981" s="1077" t="s">
        <v>6369</v>
      </c>
      <c r="I1981" s="1077" t="s">
        <v>1167</v>
      </c>
      <c r="J1981" s="1077">
        <v>1.8</v>
      </c>
      <c r="K1981" s="1077" t="s">
        <v>6290</v>
      </c>
      <c r="L1981" s="1077" t="s">
        <v>6291</v>
      </c>
      <c r="M1981" s="1077">
        <v>152.19999999999999</v>
      </c>
      <c r="N1981" s="1077" t="s">
        <v>945</v>
      </c>
      <c r="O1981" s="1077">
        <v>3.8049999999999997</v>
      </c>
      <c r="P1981" s="1077">
        <v>3.044</v>
      </c>
      <c r="Q1981" s="1077" t="s">
        <v>2592</v>
      </c>
      <c r="R1981" s="1077">
        <v>19</v>
      </c>
      <c r="T1981" s="1077">
        <v>16</v>
      </c>
      <c r="U1981" s="1077">
        <v>4</v>
      </c>
      <c r="V1981" s="1077" t="s">
        <v>648</v>
      </c>
      <c r="W1981" s="1077">
        <v>95</v>
      </c>
      <c r="X1981" s="1077">
        <v>20</v>
      </c>
      <c r="Y1981" s="1077">
        <v>1.3</v>
      </c>
      <c r="Z1981" s="1077">
        <v>5</v>
      </c>
      <c r="AA1981" s="1077" t="s">
        <v>6378</v>
      </c>
      <c r="AH1981" s="1077" t="s">
        <v>1643</v>
      </c>
      <c r="AI1981" s="1077">
        <v>91.34</v>
      </c>
      <c r="AJ1981" s="1077">
        <v>-0.14000000000000001</v>
      </c>
      <c r="AK1981" s="1077">
        <v>0.79</v>
      </c>
      <c r="AM1981" s="1078" t="s">
        <v>12963</v>
      </c>
      <c r="AN1981" s="1078" t="s">
        <v>12964</v>
      </c>
      <c r="AO1981" s="1078">
        <f t="shared" si="246"/>
        <v>650</v>
      </c>
      <c r="AP1981" s="1078">
        <f t="shared" si="247"/>
        <v>1.75</v>
      </c>
      <c r="AQ1981" s="1078" t="str">
        <f t="shared" si="248"/>
        <v>1-5-1S91°</v>
      </c>
      <c r="AR1981" s="1078" t="str">
        <f t="shared" si="249"/>
        <v>30</v>
      </c>
      <c r="AS1981" s="1078" t="str">
        <f t="shared" si="250"/>
        <v>168/165</v>
      </c>
      <c r="AT1981" s="1078" t="str">
        <f t="shared" si="251"/>
        <v>1-5-1S91°</v>
      </c>
      <c r="AV1981" s="1078" t="str">
        <f t="shared" si="244"/>
        <v>112.11.14</v>
      </c>
      <c r="AW1981" s="1344">
        <f t="shared" si="245"/>
        <v>45244</v>
      </c>
    </row>
    <row r="1982" spans="1:49">
      <c r="A1982" s="1077" t="s">
        <v>6379</v>
      </c>
      <c r="B1982" s="1077" t="s">
        <v>416</v>
      </c>
      <c r="C1982" s="1077">
        <v>650</v>
      </c>
      <c r="D1982" s="1077">
        <v>1.76</v>
      </c>
      <c r="E1982" s="1077" t="s">
        <v>15094</v>
      </c>
      <c r="F1982" s="1077" t="s">
        <v>984</v>
      </c>
      <c r="G1982" s="1077">
        <v>5</v>
      </c>
      <c r="H1982" s="1077" t="s">
        <v>5483</v>
      </c>
      <c r="I1982" s="1077" t="s">
        <v>126</v>
      </c>
      <c r="J1982" s="1077">
        <v>0.7</v>
      </c>
      <c r="K1982" s="1077" t="s">
        <v>6380</v>
      </c>
      <c r="L1982" s="1077" t="s">
        <v>6291</v>
      </c>
      <c r="M1982" s="1077">
        <v>151.5</v>
      </c>
      <c r="N1982" s="1077" t="s">
        <v>945</v>
      </c>
      <c r="O1982" s="1077">
        <v>3.7875000000000001</v>
      </c>
      <c r="P1982" s="1077">
        <v>3.0300000000000002</v>
      </c>
      <c r="Q1982" s="1077">
        <v>4</v>
      </c>
      <c r="R1982" s="1077">
        <v>19.100000000000001</v>
      </c>
      <c r="T1982" s="1077">
        <v>23.7</v>
      </c>
      <c r="U1982" s="1077">
        <v>3.2</v>
      </c>
      <c r="V1982" s="1077" t="s">
        <v>648</v>
      </c>
      <c r="W1982" s="1077">
        <v>35</v>
      </c>
      <c r="X1982" s="1077">
        <v>10</v>
      </c>
      <c r="Y1982" s="1077">
        <v>1</v>
      </c>
      <c r="Z1982" s="1077">
        <v>6</v>
      </c>
      <c r="AA1982" s="1077" t="s">
        <v>3827</v>
      </c>
      <c r="AH1982" s="1077" t="s">
        <v>1137</v>
      </c>
      <c r="AI1982" s="1077">
        <v>91.97</v>
      </c>
      <c r="AJ1982" s="1077">
        <v>-0.36</v>
      </c>
      <c r="AK1982" s="1077">
        <v>1.05</v>
      </c>
      <c r="AM1982" s="1078" t="s">
        <v>12965</v>
      </c>
      <c r="AN1982" s="1078" t="s">
        <v>12966</v>
      </c>
      <c r="AO1982" s="1078">
        <f t="shared" si="246"/>
        <v>650</v>
      </c>
      <c r="AP1982" s="1078">
        <f t="shared" si="247"/>
        <v>1.76</v>
      </c>
      <c r="AQ1982" s="1078" t="str">
        <f t="shared" si="248"/>
        <v>1-5-1S91°</v>
      </c>
      <c r="AR1982" s="1078" t="str">
        <f t="shared" si="249"/>
        <v>30</v>
      </c>
      <c r="AS1982" s="1078" t="str">
        <f t="shared" si="250"/>
        <v>350/310/150</v>
      </c>
      <c r="AT1982" s="1078" t="str">
        <f t="shared" si="251"/>
        <v>1-5-1S91°</v>
      </c>
      <c r="AV1982" s="1078" t="str">
        <f t="shared" si="244"/>
        <v>112.11.17</v>
      </c>
      <c r="AW1982" s="1344">
        <f t="shared" si="245"/>
        <v>45247</v>
      </c>
    </row>
    <row r="1983" spans="1:49">
      <c r="A1983" s="1077" t="s">
        <v>6381</v>
      </c>
      <c r="B1983" s="1077" t="s">
        <v>5614</v>
      </c>
      <c r="C1983" s="1077">
        <v>600</v>
      </c>
      <c r="D1983" s="1077">
        <v>1.79</v>
      </c>
      <c r="E1983" s="1077" t="s">
        <v>15118</v>
      </c>
      <c r="F1983" s="1077" t="s">
        <v>2234</v>
      </c>
      <c r="G1983" s="1077">
        <v>4</v>
      </c>
      <c r="H1983" s="1077" t="s">
        <v>6382</v>
      </c>
      <c r="I1983" s="1077" t="s">
        <v>648</v>
      </c>
      <c r="J1983" s="1077">
        <v>0</v>
      </c>
      <c r="K1983" s="1077" t="s">
        <v>6383</v>
      </c>
      <c r="L1983" s="1077" t="s">
        <v>5616</v>
      </c>
      <c r="M1983" s="1077">
        <v>150</v>
      </c>
      <c r="N1983" s="1077" t="s">
        <v>945</v>
      </c>
      <c r="O1983" s="1077">
        <v>3.75</v>
      </c>
      <c r="P1983" s="1077">
        <v>3</v>
      </c>
      <c r="Q1983" s="1077">
        <v>3.5</v>
      </c>
      <c r="R1983" s="1077">
        <v>21.8</v>
      </c>
      <c r="T1983" s="1077">
        <v>21.5</v>
      </c>
      <c r="U1983" s="1077">
        <v>2.4</v>
      </c>
      <c r="V1983" s="1077" t="s">
        <v>648</v>
      </c>
      <c r="W1983" s="1077" t="s">
        <v>648</v>
      </c>
      <c r="X1983" s="1077" t="s">
        <v>648</v>
      </c>
      <c r="Y1983" s="1077">
        <v>1.8</v>
      </c>
      <c r="Z1983" s="1077">
        <v>5.5</v>
      </c>
      <c r="AA1983" s="1077" t="s">
        <v>3829</v>
      </c>
      <c r="AH1983" s="1077" t="s">
        <v>722</v>
      </c>
      <c r="AI1983" s="1077">
        <v>87.38</v>
      </c>
      <c r="AJ1983" s="1077">
        <v>0.69</v>
      </c>
      <c r="AK1983" s="1077">
        <v>-4.9800000000000004</v>
      </c>
      <c r="AM1983" s="1078" t="s">
        <v>12967</v>
      </c>
      <c r="AN1983" s="1078" t="s">
        <v>12968</v>
      </c>
      <c r="AO1983" s="1078">
        <f t="shared" si="246"/>
        <v>600</v>
      </c>
      <c r="AP1983" s="1078">
        <f t="shared" si="247"/>
        <v>1.79</v>
      </c>
      <c r="AQ1983" s="1078" t="str">
        <f t="shared" si="248"/>
        <v>1-5-1S83</v>
      </c>
      <c r="AR1983" s="1078" t="str">
        <f t="shared" si="249"/>
        <v>33.5</v>
      </c>
      <c r="AS1983" s="1078" t="str">
        <f t="shared" si="250"/>
        <v>315/315/140</v>
      </c>
      <c r="AT1983" s="1078" t="str">
        <f t="shared" si="251"/>
        <v>1-5-1S83</v>
      </c>
      <c r="AV1983" s="1078" t="str">
        <f t="shared" si="244"/>
        <v>112.11.16</v>
      </c>
      <c r="AW1983" s="1344">
        <f t="shared" si="245"/>
        <v>45246</v>
      </c>
    </row>
    <row r="1984" spans="1:49">
      <c r="A1984" s="1077" t="s">
        <v>6384</v>
      </c>
      <c r="B1984" s="1077" t="s">
        <v>416</v>
      </c>
      <c r="C1984" s="1077">
        <v>650</v>
      </c>
      <c r="D1984" s="1077">
        <v>1.76</v>
      </c>
      <c r="E1984" s="1077" t="s">
        <v>15094</v>
      </c>
      <c r="F1984" s="1077" t="s">
        <v>984</v>
      </c>
      <c r="G1984" s="1077">
        <v>5</v>
      </c>
      <c r="H1984" s="1077" t="s">
        <v>5483</v>
      </c>
      <c r="I1984" s="1077" t="s">
        <v>126</v>
      </c>
      <c r="J1984" s="1077">
        <v>0.8</v>
      </c>
      <c r="K1984" s="1077" t="s">
        <v>6380</v>
      </c>
      <c r="L1984" s="1077" t="s">
        <v>6291</v>
      </c>
      <c r="M1984" s="1077">
        <v>151.5</v>
      </c>
      <c r="N1984" s="1077" t="s">
        <v>945</v>
      </c>
      <c r="O1984" s="1077">
        <v>3.7875000000000001</v>
      </c>
      <c r="P1984" s="1077">
        <v>3.0300000000000002</v>
      </c>
      <c r="Q1984" s="1077">
        <v>4</v>
      </c>
      <c r="R1984" s="1077">
        <v>19.100000000000001</v>
      </c>
      <c r="T1984" s="1077">
        <v>23.7</v>
      </c>
      <c r="U1984" s="1077">
        <v>3.2</v>
      </c>
      <c r="V1984" s="1077" t="s">
        <v>648</v>
      </c>
      <c r="W1984" s="1077">
        <v>35</v>
      </c>
      <c r="X1984" s="1077">
        <v>10</v>
      </c>
      <c r="Y1984" s="1077">
        <v>1</v>
      </c>
      <c r="Z1984" s="1077">
        <v>6</v>
      </c>
      <c r="AA1984" s="1077" t="s">
        <v>6385</v>
      </c>
      <c r="AH1984" s="1077" t="s">
        <v>680</v>
      </c>
      <c r="AI1984" s="1077">
        <v>91.95</v>
      </c>
      <c r="AJ1984" s="1077">
        <v>-0.15</v>
      </c>
      <c r="AK1984" s="1077">
        <v>0.81</v>
      </c>
      <c r="AM1984" s="1078" t="s">
        <v>12969</v>
      </c>
      <c r="AN1984" s="1078" t="s">
        <v>12970</v>
      </c>
      <c r="AO1984" s="1078">
        <f t="shared" si="246"/>
        <v>650</v>
      </c>
      <c r="AP1984" s="1078">
        <f t="shared" si="247"/>
        <v>1.76</v>
      </c>
      <c r="AQ1984" s="1078" t="str">
        <f t="shared" si="248"/>
        <v>1-5-1S91°</v>
      </c>
      <c r="AR1984" s="1078" t="str">
        <f t="shared" si="249"/>
        <v>30</v>
      </c>
      <c r="AS1984" s="1078" t="str">
        <f t="shared" si="250"/>
        <v>350/310/150</v>
      </c>
      <c r="AT1984" s="1078" t="str">
        <f t="shared" si="251"/>
        <v>1-5-1S91°</v>
      </c>
      <c r="AV1984" s="1078" t="str">
        <f t="shared" si="244"/>
        <v>112.11.23</v>
      </c>
      <c r="AW1984" s="1344">
        <f t="shared" si="245"/>
        <v>45253</v>
      </c>
    </row>
    <row r="1985" spans="1:49">
      <c r="A1985" s="1077" t="s">
        <v>6386</v>
      </c>
      <c r="B1985" s="1077" t="s">
        <v>844</v>
      </c>
      <c r="C1985" s="1077">
        <v>600</v>
      </c>
      <c r="D1985" s="1077">
        <v>1.79</v>
      </c>
      <c r="E1985" s="1077" t="s">
        <v>15094</v>
      </c>
      <c r="F1985" s="1077" t="s">
        <v>954</v>
      </c>
      <c r="G1985" s="1077">
        <v>5</v>
      </c>
      <c r="H1985" s="1077" t="s">
        <v>5126</v>
      </c>
      <c r="I1985" s="1077" t="s">
        <v>460</v>
      </c>
      <c r="J1985" s="1077">
        <v>3.9</v>
      </c>
      <c r="K1985" s="1077" t="s">
        <v>6237</v>
      </c>
      <c r="L1985" s="1077" t="s">
        <v>6238</v>
      </c>
      <c r="M1985" s="1077">
        <v>151.69999999999999</v>
      </c>
      <c r="N1985" s="1077" t="s">
        <v>945</v>
      </c>
      <c r="O1985" s="1077">
        <v>3.7925</v>
      </c>
      <c r="P1985" s="1077">
        <v>3.0339999999999998</v>
      </c>
      <c r="Q1985" s="1077">
        <v>3</v>
      </c>
      <c r="R1985" s="1077">
        <v>19.7</v>
      </c>
      <c r="T1985" s="1077">
        <v>11.5</v>
      </c>
      <c r="U1985" s="1077">
        <v>5.3</v>
      </c>
      <c r="V1985" s="1077" t="s">
        <v>648</v>
      </c>
      <c r="W1985" s="1077">
        <v>105</v>
      </c>
      <c r="X1985" s="1077">
        <v>95</v>
      </c>
      <c r="Y1985" s="1077">
        <v>1.5</v>
      </c>
      <c r="Z1985" s="1077">
        <v>5</v>
      </c>
      <c r="AA1985" s="1077" t="s">
        <v>6387</v>
      </c>
      <c r="AB1985" s="1077" t="s">
        <v>6388</v>
      </c>
      <c r="AH1985" s="1077" t="s">
        <v>468</v>
      </c>
      <c r="AI1985" s="1077">
        <v>91.7</v>
      </c>
      <c r="AJ1985" s="1077">
        <v>-1.93</v>
      </c>
      <c r="AK1985" s="1077">
        <v>5.72</v>
      </c>
      <c r="AM1985" s="1078" t="s">
        <v>12971</v>
      </c>
      <c r="AN1985" s="1078" t="s">
        <v>12972</v>
      </c>
      <c r="AO1985" s="1078">
        <f t="shared" si="246"/>
        <v>600</v>
      </c>
      <c r="AP1985" s="1078">
        <f t="shared" si="247"/>
        <v>1.79</v>
      </c>
      <c r="AQ1985" s="1078" t="str">
        <f t="shared" si="248"/>
        <v>1-5-1S91°</v>
      </c>
      <c r="AR1985" s="1078" t="str">
        <f t="shared" si="249"/>
        <v>31</v>
      </c>
      <c r="AS1985" s="1078" t="str">
        <f t="shared" si="250"/>
        <v>300/300/140</v>
      </c>
      <c r="AT1985" s="1078" t="str">
        <f t="shared" si="251"/>
        <v>1-5-1S91°</v>
      </c>
      <c r="AV1985" s="1078" t="str">
        <f t="shared" si="244"/>
        <v>112.11.24</v>
      </c>
      <c r="AW1985" s="1344">
        <f t="shared" si="245"/>
        <v>45254</v>
      </c>
    </row>
    <row r="1986" spans="1:49">
      <c r="A1986" s="1077" t="s">
        <v>6389</v>
      </c>
      <c r="B1986" s="1077" t="s">
        <v>5614</v>
      </c>
      <c r="C1986" s="1077">
        <v>600</v>
      </c>
      <c r="D1986" s="1077">
        <v>1.7949999999999999</v>
      </c>
      <c r="E1986" s="1077" t="s">
        <v>15118</v>
      </c>
      <c r="F1986" s="1077" t="s">
        <v>2234</v>
      </c>
      <c r="G1986" s="1077">
        <v>4</v>
      </c>
      <c r="H1986" s="1077" t="s">
        <v>6390</v>
      </c>
      <c r="I1986" s="1077" t="s">
        <v>648</v>
      </c>
      <c r="J1986" s="1077">
        <v>0</v>
      </c>
      <c r="K1986" s="1077" t="s">
        <v>6391</v>
      </c>
      <c r="L1986" s="1077" t="s">
        <v>5616</v>
      </c>
      <c r="M1986" s="1077">
        <v>150</v>
      </c>
      <c r="N1986" s="1077" t="s">
        <v>945</v>
      </c>
      <c r="O1986" s="1077">
        <v>3.75</v>
      </c>
      <c r="P1986" s="1077">
        <v>3</v>
      </c>
      <c r="Q1986" s="1077">
        <v>3.5</v>
      </c>
      <c r="R1986" s="1077">
        <v>21.8</v>
      </c>
      <c r="T1986" s="1077">
        <v>21.5</v>
      </c>
      <c r="U1986" s="1077">
        <v>2.4</v>
      </c>
      <c r="V1986" s="1077" t="s">
        <v>648</v>
      </c>
      <c r="W1986" s="1077" t="s">
        <v>648</v>
      </c>
      <c r="X1986" s="1077" t="s">
        <v>648</v>
      </c>
      <c r="Y1986" s="1077">
        <v>1.8</v>
      </c>
      <c r="Z1986" s="1077">
        <v>5.5</v>
      </c>
      <c r="AA1986" s="1077" t="s">
        <v>6392</v>
      </c>
      <c r="AH1986" s="1077" t="s">
        <v>5759</v>
      </c>
      <c r="AI1986" s="1077">
        <v>87.47</v>
      </c>
      <c r="AJ1986" s="1077">
        <v>0.91</v>
      </c>
      <c r="AK1986" s="1077">
        <v>-5.26</v>
      </c>
      <c r="AM1986" s="1078" t="s">
        <v>12973</v>
      </c>
      <c r="AN1986" s="1078" t="s">
        <v>12974</v>
      </c>
      <c r="AO1986" s="1078">
        <f t="shared" si="246"/>
        <v>600</v>
      </c>
      <c r="AP1986" s="1078">
        <f t="shared" si="247"/>
        <v>1.7949999999999999</v>
      </c>
      <c r="AQ1986" s="1078" t="str">
        <f t="shared" si="248"/>
        <v>1-5-1S83</v>
      </c>
      <c r="AR1986" s="1078" t="str">
        <f t="shared" si="249"/>
        <v>33.5</v>
      </c>
      <c r="AS1986" s="1078" t="str">
        <f t="shared" si="250"/>
        <v>305/305/140</v>
      </c>
      <c r="AT1986" s="1078" t="str">
        <f t="shared" si="251"/>
        <v>1-5-1S83</v>
      </c>
      <c r="AV1986" s="1078" t="str">
        <f t="shared" ref="AV1986:AV2049" si="252">AA1986</f>
        <v>112.11.21</v>
      </c>
      <c r="AW1986" s="1344">
        <f t="shared" si="245"/>
        <v>45251</v>
      </c>
    </row>
    <row r="1987" spans="1:49">
      <c r="A1987" s="1077" t="s">
        <v>6393</v>
      </c>
      <c r="B1987" s="1077" t="s">
        <v>847</v>
      </c>
      <c r="C1987" s="1077">
        <v>550</v>
      </c>
      <c r="D1987" s="1077">
        <v>1.78</v>
      </c>
      <c r="E1987" s="1077" t="s">
        <v>15119</v>
      </c>
      <c r="F1987" s="1077" t="s">
        <v>975</v>
      </c>
      <c r="G1987" s="1077">
        <v>4</v>
      </c>
      <c r="H1987" s="1077" t="s">
        <v>6088</v>
      </c>
      <c r="I1987" s="1077" t="s">
        <v>648</v>
      </c>
      <c r="J1987" s="1077">
        <v>0</v>
      </c>
      <c r="K1987" s="1077" t="s">
        <v>5811</v>
      </c>
      <c r="L1987" s="1077" t="s">
        <v>5037</v>
      </c>
      <c r="M1987" s="1077">
        <v>150</v>
      </c>
      <c r="N1987" s="1077" t="s">
        <v>945</v>
      </c>
      <c r="O1987" s="1077">
        <v>3.75</v>
      </c>
      <c r="P1987" s="1077">
        <v>3</v>
      </c>
      <c r="Q1987" s="1077">
        <v>3.5</v>
      </c>
      <c r="R1987" s="1077">
        <v>21.8</v>
      </c>
      <c r="T1987" s="1077">
        <v>19.5</v>
      </c>
      <c r="U1987" s="1077">
        <v>1.8</v>
      </c>
      <c r="V1987" s="1077" t="s">
        <v>648</v>
      </c>
      <c r="W1987" s="1077" t="s">
        <v>648</v>
      </c>
      <c r="X1987" s="1077" t="s">
        <v>648</v>
      </c>
      <c r="Y1987" s="1077">
        <v>2.1</v>
      </c>
      <c r="Z1987" s="1077">
        <v>5</v>
      </c>
      <c r="AA1987" s="1077" t="s">
        <v>6385</v>
      </c>
      <c r="AH1987" s="1077" t="s">
        <v>963</v>
      </c>
      <c r="AI1987" s="1077">
        <v>13.11</v>
      </c>
      <c r="AJ1987" s="1077">
        <v>0.28000000000000003</v>
      </c>
      <c r="AK1987" s="1077">
        <v>0.62</v>
      </c>
      <c r="AM1987" s="1078" t="s">
        <v>12975</v>
      </c>
      <c r="AN1987" s="1078" t="s">
        <v>12976</v>
      </c>
      <c r="AO1987" s="1078">
        <f t="shared" si="246"/>
        <v>550</v>
      </c>
      <c r="AP1987" s="1078">
        <f t="shared" si="247"/>
        <v>1.78</v>
      </c>
      <c r="AQ1987" s="1078" t="str">
        <f t="shared" si="248"/>
        <v>1-5-1S87</v>
      </c>
      <c r="AR1987" s="1078" t="str">
        <f t="shared" si="249"/>
        <v>31.5</v>
      </c>
      <c r="AS1987" s="1078" t="str">
        <f t="shared" si="250"/>
        <v>310/310/155</v>
      </c>
      <c r="AT1987" s="1078" t="str">
        <f t="shared" si="251"/>
        <v>1-5-1S87</v>
      </c>
      <c r="AV1987" s="1078" t="str">
        <f t="shared" si="252"/>
        <v>112.11.23</v>
      </c>
      <c r="AW1987" s="1344">
        <f t="shared" ref="AW1987:AW2050" si="253">DATE(VALUE(LEFT(AV1987,FIND(".",AV1987)-1))+1911,
       VALUE(MID(AV1987,FIND(".",AV1987)+1,FIND(".",AV1987,FIND(".",AV1987)+1)-FIND(".",AV1987)-1)),
       VALUE(RIGHT(AV1987,LEN(AV1987)-FIND("~",SUBSTITUTE(AV1987,".","~",2)))))</f>
        <v>45253</v>
      </c>
    </row>
    <row r="1988" spans="1:49">
      <c r="A1988" s="1077" t="s">
        <v>6394</v>
      </c>
      <c r="B1988" s="1077" t="s">
        <v>416</v>
      </c>
      <c r="C1988" s="1077">
        <v>650</v>
      </c>
      <c r="D1988" s="1077">
        <v>1.76</v>
      </c>
      <c r="E1988" s="1077" t="s">
        <v>15094</v>
      </c>
      <c r="F1988" s="1077" t="s">
        <v>984</v>
      </c>
      <c r="G1988" s="1077">
        <v>5</v>
      </c>
      <c r="H1988" s="1077" t="s">
        <v>5483</v>
      </c>
      <c r="I1988" s="1077" t="s">
        <v>126</v>
      </c>
      <c r="J1988" s="1077">
        <v>0.8</v>
      </c>
      <c r="K1988" s="1077" t="s">
        <v>6337</v>
      </c>
      <c r="L1988" s="1077" t="s">
        <v>6291</v>
      </c>
      <c r="M1988" s="1077">
        <v>151.5</v>
      </c>
      <c r="N1988" s="1077" t="s">
        <v>945</v>
      </c>
      <c r="O1988" s="1077">
        <v>3.7875000000000001</v>
      </c>
      <c r="P1988" s="1077">
        <v>3.0300000000000002</v>
      </c>
      <c r="Q1988" s="1077">
        <v>4</v>
      </c>
      <c r="R1988" s="1077">
        <v>19.100000000000001</v>
      </c>
      <c r="T1988" s="1077">
        <v>23.7</v>
      </c>
      <c r="U1988" s="1077">
        <v>3.2</v>
      </c>
      <c r="V1988" s="1077" t="s">
        <v>648</v>
      </c>
      <c r="W1988" s="1077">
        <v>35</v>
      </c>
      <c r="X1988" s="1077">
        <v>10</v>
      </c>
      <c r="Y1988" s="1077">
        <v>1</v>
      </c>
      <c r="Z1988" s="1077">
        <v>6</v>
      </c>
      <c r="AA1988" s="1077" t="s">
        <v>6395</v>
      </c>
      <c r="AH1988" s="1077" t="s">
        <v>3213</v>
      </c>
      <c r="AI1988" s="1077">
        <v>91.26</v>
      </c>
      <c r="AJ1988" s="1077">
        <v>-0.15</v>
      </c>
      <c r="AK1988" s="1077">
        <v>0.93</v>
      </c>
      <c r="AM1988" s="1078" t="s">
        <v>12977</v>
      </c>
      <c r="AN1988" s="1078" t="s">
        <v>12978</v>
      </c>
      <c r="AO1988" s="1078">
        <f t="shared" si="246"/>
        <v>650</v>
      </c>
      <c r="AP1988" s="1078">
        <f t="shared" si="247"/>
        <v>1.76</v>
      </c>
      <c r="AQ1988" s="1078" t="str">
        <f t="shared" si="248"/>
        <v>1-5-1S91°</v>
      </c>
      <c r="AR1988" s="1078" t="str">
        <f t="shared" si="249"/>
        <v>30</v>
      </c>
      <c r="AS1988" s="1078" t="str">
        <f t="shared" si="250"/>
        <v>350/310/150</v>
      </c>
      <c r="AT1988" s="1078" t="str">
        <f t="shared" si="251"/>
        <v>1-5-1S91°</v>
      </c>
      <c r="AV1988" s="1078" t="str">
        <f t="shared" si="252"/>
        <v>112.11.30</v>
      </c>
      <c r="AW1988" s="1344">
        <f t="shared" si="253"/>
        <v>45260</v>
      </c>
    </row>
    <row r="1989" spans="1:49">
      <c r="A1989" s="1077" t="s">
        <v>6396</v>
      </c>
      <c r="B1989" s="1077" t="s">
        <v>5873</v>
      </c>
      <c r="C1989" s="1077">
        <v>600</v>
      </c>
      <c r="D1989" s="1077">
        <v>1.77</v>
      </c>
      <c r="E1989" s="1077" t="s">
        <v>15099</v>
      </c>
      <c r="F1989" s="1077" t="s">
        <v>975</v>
      </c>
      <c r="G1989" s="1077">
        <v>5</v>
      </c>
      <c r="H1989" s="1077" t="s">
        <v>6397</v>
      </c>
      <c r="I1989" s="1077" t="s">
        <v>126</v>
      </c>
      <c r="J1989" s="1077">
        <v>0.7</v>
      </c>
      <c r="K1989" s="1077" t="s">
        <v>6398</v>
      </c>
      <c r="L1989" s="1077" t="s">
        <v>5876</v>
      </c>
      <c r="M1989" s="1077">
        <v>151</v>
      </c>
      <c r="N1989" s="1077" t="s">
        <v>945</v>
      </c>
      <c r="O1989" s="1077">
        <v>3.7750000000000004</v>
      </c>
      <c r="P1989" s="1077">
        <v>3.02</v>
      </c>
      <c r="Q1989" s="1077">
        <v>3.5</v>
      </c>
      <c r="R1989" s="1077">
        <v>20.5</v>
      </c>
      <c r="T1989" s="1077">
        <v>26.5</v>
      </c>
      <c r="U1989" s="1077">
        <v>2.7</v>
      </c>
      <c r="V1989" s="1077" t="s">
        <v>648</v>
      </c>
      <c r="W1989" s="1077">
        <v>35</v>
      </c>
      <c r="X1989" s="1077">
        <v>10</v>
      </c>
      <c r="Y1989" s="1077">
        <v>1</v>
      </c>
      <c r="Z1989" s="1077">
        <v>6</v>
      </c>
      <c r="AA1989" s="1077" t="s">
        <v>3845</v>
      </c>
      <c r="AH1989" s="1077" t="s">
        <v>758</v>
      </c>
      <c r="AI1989" s="1077">
        <v>19.350000000000001</v>
      </c>
      <c r="AJ1989" s="1077">
        <v>-0.1</v>
      </c>
      <c r="AK1989" s="1077">
        <v>0.34</v>
      </c>
      <c r="AM1989" s="1078" t="s">
        <v>12979</v>
      </c>
      <c r="AN1989" s="1078" t="s">
        <v>11446</v>
      </c>
      <c r="AO1989" s="1078">
        <f t="shared" si="246"/>
        <v>600</v>
      </c>
      <c r="AP1989" s="1078">
        <f t="shared" si="247"/>
        <v>1.77</v>
      </c>
      <c r="AQ1989" s="1078" t="str">
        <f t="shared" si="248"/>
        <v>1-5-1S87°</v>
      </c>
      <c r="AR1989" s="1078" t="str">
        <f t="shared" si="249"/>
        <v>31.5</v>
      </c>
      <c r="AS1989" s="1078" t="str">
        <f t="shared" si="250"/>
        <v>330/330/150</v>
      </c>
      <c r="AT1989" s="1078" t="str">
        <f t="shared" si="251"/>
        <v>1-5-1S87°</v>
      </c>
      <c r="AV1989" s="1078" t="str">
        <f t="shared" si="252"/>
        <v>112.12.1</v>
      </c>
      <c r="AW1989" s="1344">
        <f t="shared" si="253"/>
        <v>45261</v>
      </c>
    </row>
    <row r="1990" spans="1:49">
      <c r="A1990" s="1077" t="s">
        <v>6399</v>
      </c>
      <c r="B1990" s="1077" t="s">
        <v>5565</v>
      </c>
      <c r="C1990" s="1077">
        <v>600</v>
      </c>
      <c r="D1990" s="1077">
        <v>1.7150000000000001</v>
      </c>
      <c r="E1990" s="1077" t="s">
        <v>15104</v>
      </c>
      <c r="F1990" s="1077" t="s">
        <v>648</v>
      </c>
      <c r="G1990" s="1077">
        <v>5</v>
      </c>
      <c r="H1990" s="1077" t="s">
        <v>1166</v>
      </c>
      <c r="I1990" s="1077" t="s">
        <v>126</v>
      </c>
      <c r="J1990" s="1077">
        <v>1.3</v>
      </c>
      <c r="K1990" s="1077" t="s">
        <v>6400</v>
      </c>
      <c r="L1990" s="1077" t="s">
        <v>6401</v>
      </c>
      <c r="M1990" s="1077">
        <v>153</v>
      </c>
      <c r="N1990" s="1077" t="s">
        <v>945</v>
      </c>
      <c r="O1990" s="1077">
        <v>3.8250000000000002</v>
      </c>
      <c r="P1990" s="1077">
        <v>3.06</v>
      </c>
      <c r="Q1990" s="1077">
        <v>4</v>
      </c>
      <c r="R1990" s="1077">
        <v>18</v>
      </c>
      <c r="T1990" s="1077">
        <v>14</v>
      </c>
      <c r="U1990" s="1077">
        <v>4.5</v>
      </c>
      <c r="V1990" s="1077" t="s">
        <v>648</v>
      </c>
      <c r="W1990" s="1077">
        <v>110</v>
      </c>
      <c r="X1990" s="1077">
        <v>60</v>
      </c>
      <c r="Y1990" s="1077">
        <v>1.8</v>
      </c>
      <c r="Z1990" s="1077" t="s">
        <v>648</v>
      </c>
      <c r="AA1990" s="1077" t="s">
        <v>6211</v>
      </c>
      <c r="AB1990" s="1077" t="s">
        <v>6311</v>
      </c>
      <c r="AH1990" s="1077" t="s">
        <v>1486</v>
      </c>
      <c r="AI1990" s="1077">
        <v>93.55</v>
      </c>
      <c r="AJ1990" s="1077">
        <v>-0.26</v>
      </c>
      <c r="AK1990" s="1077">
        <v>1.52</v>
      </c>
      <c r="AM1990" s="1078" t="s">
        <v>12980</v>
      </c>
      <c r="AN1990" s="1078" t="s">
        <v>12981</v>
      </c>
      <c r="AO1990" s="1078">
        <f t="shared" si="246"/>
        <v>600</v>
      </c>
      <c r="AP1990" s="1078">
        <f t="shared" si="247"/>
        <v>1.7150000000000001</v>
      </c>
      <c r="AQ1990" s="1078" t="str">
        <f t="shared" si="248"/>
        <v>1-4-1S85°Z+S</v>
      </c>
      <c r="AR1990" s="1078" t="str">
        <f t="shared" si="249"/>
        <v>NA</v>
      </c>
      <c r="AS1990" s="1078" t="str">
        <f t="shared" si="250"/>
        <v>170/OFF</v>
      </c>
      <c r="AT1990" s="1078" t="str">
        <f t="shared" si="251"/>
        <v>1-4-1S85°Z+S</v>
      </c>
      <c r="AU1990" s="1078" t="s">
        <v>15547</v>
      </c>
      <c r="AV1990" s="1078" t="str">
        <f t="shared" si="252"/>
        <v>112.7.6</v>
      </c>
      <c r="AW1990" s="1344">
        <f t="shared" si="253"/>
        <v>45113</v>
      </c>
    </row>
    <row r="1991" spans="1:49">
      <c r="A1991" s="1077" t="s">
        <v>6402</v>
      </c>
      <c r="B1991" s="1077" t="s">
        <v>6265</v>
      </c>
      <c r="C1991" s="1077" t="s">
        <v>6403</v>
      </c>
      <c r="D1991" s="1077">
        <v>1.7150000000000001</v>
      </c>
      <c r="E1991" s="1077" t="s">
        <v>15121</v>
      </c>
      <c r="F1991" s="1077" t="s">
        <v>648</v>
      </c>
      <c r="G1991" s="1077">
        <v>4</v>
      </c>
      <c r="H1991" s="1077" t="s">
        <v>4776</v>
      </c>
      <c r="I1991" s="1077" t="s">
        <v>126</v>
      </c>
      <c r="J1991" s="1077">
        <v>1.2</v>
      </c>
      <c r="K1991" s="1077" t="s">
        <v>6404</v>
      </c>
      <c r="L1991" s="1077" t="s">
        <v>1933</v>
      </c>
      <c r="M1991" s="1077">
        <v>148.5</v>
      </c>
      <c r="N1991" s="1077" t="s">
        <v>945</v>
      </c>
      <c r="O1991" s="1077">
        <v>3.7125000000000004</v>
      </c>
      <c r="P1991" s="1077">
        <v>2.97</v>
      </c>
      <c r="Q1991" s="1077">
        <v>4</v>
      </c>
      <c r="R1991" s="1077">
        <v>25</v>
      </c>
      <c r="T1991" s="1077">
        <v>22.5</v>
      </c>
      <c r="U1991" s="1077">
        <v>3.2</v>
      </c>
      <c r="V1991" s="1077" t="s">
        <v>648</v>
      </c>
      <c r="W1991" s="1077">
        <v>120</v>
      </c>
      <c r="X1991" s="1077">
        <v>60</v>
      </c>
      <c r="Y1991" s="1077">
        <v>1.8</v>
      </c>
      <c r="Z1991" s="1077" t="s">
        <v>648</v>
      </c>
      <c r="AA1991" s="1077" t="s">
        <v>3845</v>
      </c>
      <c r="AH1991" s="1077" t="s">
        <v>712</v>
      </c>
      <c r="AI1991" s="1077">
        <v>95.52</v>
      </c>
      <c r="AJ1991" s="1077">
        <v>-0.23</v>
      </c>
      <c r="AK1991" s="1077">
        <v>2.71</v>
      </c>
      <c r="AM1991" s="1078" t="s">
        <v>12982</v>
      </c>
      <c r="AN1991" s="1078" t="s">
        <v>12983</v>
      </c>
      <c r="AO1991" s="1078" t="str">
        <f t="shared" si="246"/>
        <v>600↓500-12/5</v>
      </c>
      <c r="AP1991" s="1078">
        <f t="shared" si="247"/>
        <v>1.7150000000000001</v>
      </c>
      <c r="AQ1991" s="1078" t="str">
        <f t="shared" si="248"/>
        <v>1-5-1S85°S+Z</v>
      </c>
      <c r="AR1991" s="1078" t="str">
        <f t="shared" si="249"/>
        <v>NA</v>
      </c>
      <c r="AS1991" s="1078" t="str">
        <f t="shared" si="250"/>
        <v>178/OFF</v>
      </c>
      <c r="AT1991" s="1078" t="str">
        <f t="shared" si="251"/>
        <v>1-5-1S85°S+Z</v>
      </c>
      <c r="AU1991" s="1078" t="s">
        <v>15550</v>
      </c>
      <c r="AV1991" s="1078" t="str">
        <f t="shared" si="252"/>
        <v>112.12.1</v>
      </c>
      <c r="AW1991" s="1344">
        <f t="shared" si="253"/>
        <v>45261</v>
      </c>
    </row>
    <row r="1992" spans="1:49">
      <c r="A1992" s="1077" t="s">
        <v>6405</v>
      </c>
      <c r="B1992" s="1077" t="s">
        <v>617</v>
      </c>
      <c r="C1992" s="1077">
        <v>600</v>
      </c>
      <c r="D1992" s="1077">
        <v>1.75</v>
      </c>
      <c r="E1992" s="1077" t="s">
        <v>15094</v>
      </c>
      <c r="F1992" s="1077" t="s">
        <v>984</v>
      </c>
      <c r="G1992" s="1077">
        <v>5</v>
      </c>
      <c r="H1992" s="1077" t="s">
        <v>955</v>
      </c>
      <c r="I1992" s="1077" t="s">
        <v>126</v>
      </c>
      <c r="J1992" s="1077">
        <v>2.5</v>
      </c>
      <c r="K1992" s="1077" t="s">
        <v>6406</v>
      </c>
      <c r="L1992" s="1077" t="s">
        <v>4854</v>
      </c>
      <c r="M1992" s="1077">
        <v>150.30000000000001</v>
      </c>
      <c r="N1992" s="1077" t="s">
        <v>945</v>
      </c>
      <c r="O1992" s="1077">
        <v>3.7575000000000003</v>
      </c>
      <c r="P1992" s="1077">
        <v>3.0060000000000002</v>
      </c>
      <c r="Q1992" s="1077">
        <v>3</v>
      </c>
      <c r="R1992" s="1077">
        <v>25.5</v>
      </c>
      <c r="T1992" s="1077">
        <v>13</v>
      </c>
      <c r="U1992" s="1077">
        <v>7</v>
      </c>
      <c r="V1992" s="1077" t="s">
        <v>648</v>
      </c>
      <c r="W1992" s="1077">
        <v>115</v>
      </c>
      <c r="X1992" s="1077">
        <v>50</v>
      </c>
      <c r="Y1992" s="1077">
        <v>1.7</v>
      </c>
      <c r="Z1992" s="1077">
        <v>6.5</v>
      </c>
      <c r="AA1992" s="1077" t="s">
        <v>6407</v>
      </c>
      <c r="AH1992" s="1077" t="s">
        <v>1186</v>
      </c>
      <c r="AI1992" s="1077">
        <v>93.11</v>
      </c>
      <c r="AJ1992" s="1077">
        <v>-1.1100000000000001</v>
      </c>
      <c r="AK1992" s="1077">
        <v>4.92</v>
      </c>
      <c r="AM1992" s="1078" t="s">
        <v>12984</v>
      </c>
      <c r="AN1992" s="1078" t="s">
        <v>12985</v>
      </c>
      <c r="AO1992" s="1078">
        <f t="shared" si="246"/>
        <v>600</v>
      </c>
      <c r="AP1992" s="1078">
        <f t="shared" si="247"/>
        <v>1.75</v>
      </c>
      <c r="AQ1992" s="1078" t="str">
        <f t="shared" si="248"/>
        <v>1-5-1S91°</v>
      </c>
      <c r="AR1992" s="1078" t="str">
        <f t="shared" si="249"/>
        <v>30</v>
      </c>
      <c r="AS1992" s="1078" t="str">
        <f t="shared" si="250"/>
        <v>260/260/OFF</v>
      </c>
      <c r="AT1992" s="1078" t="str">
        <f t="shared" si="251"/>
        <v>1-5-1S91°</v>
      </c>
      <c r="AV1992" s="1078" t="str">
        <f t="shared" si="252"/>
        <v>112.12.6</v>
      </c>
      <c r="AW1992" s="1344">
        <f t="shared" si="253"/>
        <v>45266</v>
      </c>
    </row>
    <row r="1993" spans="1:49">
      <c r="A1993" s="1077" t="s">
        <v>6408</v>
      </c>
      <c r="B1993" s="1077" t="s">
        <v>6409</v>
      </c>
      <c r="C1993" s="1077">
        <v>600</v>
      </c>
      <c r="D1993" s="1077">
        <v>1.77</v>
      </c>
      <c r="E1993" s="1077" t="s">
        <v>15116</v>
      </c>
      <c r="F1993" s="1077" t="s">
        <v>1514</v>
      </c>
      <c r="G1993" s="1077">
        <v>4</v>
      </c>
      <c r="H1993" s="1077" t="s">
        <v>6410</v>
      </c>
      <c r="I1993" s="1077" t="s">
        <v>460</v>
      </c>
      <c r="J1993" s="1077">
        <v>2.1</v>
      </c>
      <c r="K1993" s="1077" t="s">
        <v>6411</v>
      </c>
      <c r="L1993" s="1077" t="s">
        <v>6412</v>
      </c>
      <c r="M1993" s="1077">
        <v>152.69999999999999</v>
      </c>
      <c r="N1993" s="1077" t="s">
        <v>945</v>
      </c>
      <c r="O1993" s="1077">
        <v>3.8174999999999999</v>
      </c>
      <c r="P1993" s="1077">
        <v>3.0539999999999998</v>
      </c>
      <c r="Q1993" s="1077">
        <v>3</v>
      </c>
      <c r="R1993" s="1077">
        <v>23.5</v>
      </c>
      <c r="T1993" s="1077">
        <v>16</v>
      </c>
      <c r="U1993" s="1077">
        <v>5.5</v>
      </c>
      <c r="V1993" s="1077" t="s">
        <v>648</v>
      </c>
      <c r="W1993" s="1077">
        <v>130</v>
      </c>
      <c r="X1993" s="1077">
        <v>80</v>
      </c>
      <c r="Y1993" s="1077">
        <v>1.4</v>
      </c>
      <c r="Z1993" s="1077" t="s">
        <v>648</v>
      </c>
      <c r="AA1993" s="1077" t="s">
        <v>6407</v>
      </c>
      <c r="AH1993" s="1077" t="s">
        <v>1244</v>
      </c>
      <c r="AI1993" s="1077">
        <v>91.57</v>
      </c>
      <c r="AJ1993" s="1077">
        <v>-1.25</v>
      </c>
      <c r="AK1993" s="1077">
        <v>5.0199999999999996</v>
      </c>
      <c r="AM1993" s="1078" t="s">
        <v>12986</v>
      </c>
      <c r="AN1993" s="1078" t="s">
        <v>12987</v>
      </c>
      <c r="AO1993" s="1078">
        <f t="shared" si="246"/>
        <v>600</v>
      </c>
      <c r="AP1993" s="1078">
        <f t="shared" si="247"/>
        <v>1.77</v>
      </c>
      <c r="AQ1993" s="1078" t="str">
        <f t="shared" si="248"/>
        <v>1-5-1S83°Z+S</v>
      </c>
      <c r="AR1993" s="1078" t="str">
        <f t="shared" si="249"/>
        <v>32</v>
      </c>
      <c r="AS1993" s="1078" t="str">
        <f t="shared" si="250"/>
        <v>215/215/150</v>
      </c>
      <c r="AT1993" s="1078" t="str">
        <f t="shared" si="251"/>
        <v>1-5-1S83°Z+S</v>
      </c>
      <c r="AU1993" s="1078" t="s">
        <v>15547</v>
      </c>
      <c r="AV1993" s="1078" t="str">
        <f t="shared" si="252"/>
        <v>112.12.6</v>
      </c>
      <c r="AW1993" s="1344">
        <f t="shared" si="253"/>
        <v>45266</v>
      </c>
    </row>
    <row r="1994" spans="1:49">
      <c r="A1994" s="1077" t="s">
        <v>6413</v>
      </c>
      <c r="B1994" s="1077" t="s">
        <v>416</v>
      </c>
      <c r="C1994" s="1077">
        <v>650</v>
      </c>
      <c r="D1994" s="1077">
        <v>1.76</v>
      </c>
      <c r="E1994" s="1077" t="s">
        <v>15094</v>
      </c>
      <c r="F1994" s="1077" t="s">
        <v>984</v>
      </c>
      <c r="G1994" s="1077">
        <v>5</v>
      </c>
      <c r="H1994" s="1077" t="s">
        <v>5483</v>
      </c>
      <c r="I1994" s="1077" t="s">
        <v>126</v>
      </c>
      <c r="J1994" s="1077">
        <v>0.7</v>
      </c>
      <c r="K1994" s="1077" t="s">
        <v>6414</v>
      </c>
      <c r="L1994" s="1077" t="s">
        <v>6291</v>
      </c>
      <c r="M1994" s="1077">
        <v>151.5</v>
      </c>
      <c r="N1994" s="1077" t="s">
        <v>945</v>
      </c>
      <c r="O1994" s="1077">
        <v>3.7875000000000001</v>
      </c>
      <c r="P1994" s="1077">
        <v>3.0300000000000002</v>
      </c>
      <c r="Q1994" s="1077">
        <v>4</v>
      </c>
      <c r="R1994" s="1077">
        <v>19.100000000000001</v>
      </c>
      <c r="T1994" s="1077">
        <v>23.7</v>
      </c>
      <c r="U1994" s="1077">
        <v>3.2</v>
      </c>
      <c r="V1994" s="1077" t="s">
        <v>648</v>
      </c>
      <c r="W1994" s="1077">
        <v>35</v>
      </c>
      <c r="X1994" s="1077">
        <v>10</v>
      </c>
      <c r="Y1994" s="1077">
        <v>1</v>
      </c>
      <c r="Z1994" s="1077">
        <v>6</v>
      </c>
      <c r="AA1994" s="1077" t="s">
        <v>1631</v>
      </c>
      <c r="AH1994" s="1077" t="s">
        <v>684</v>
      </c>
      <c r="AI1994" s="1077">
        <v>91.16</v>
      </c>
      <c r="AJ1994" s="1077">
        <v>-0.2</v>
      </c>
      <c r="AK1994" s="1077">
        <v>1.26</v>
      </c>
      <c r="AM1994" s="1078" t="s">
        <v>12988</v>
      </c>
      <c r="AN1994" s="1078" t="s">
        <v>12989</v>
      </c>
      <c r="AO1994" s="1078">
        <f t="shared" si="246"/>
        <v>650</v>
      </c>
      <c r="AP1994" s="1078">
        <f t="shared" si="247"/>
        <v>1.76</v>
      </c>
      <c r="AQ1994" s="1078" t="str">
        <f t="shared" si="248"/>
        <v>1-5-1S91°</v>
      </c>
      <c r="AR1994" s="1078" t="str">
        <f t="shared" si="249"/>
        <v>30</v>
      </c>
      <c r="AS1994" s="1078" t="str">
        <f t="shared" si="250"/>
        <v>350/310/150</v>
      </c>
      <c r="AT1994" s="1078" t="str">
        <f t="shared" si="251"/>
        <v>1-5-1S91°</v>
      </c>
      <c r="AV1994" s="1078" t="str">
        <f t="shared" si="252"/>
        <v>112.12.11</v>
      </c>
      <c r="AW1994" s="1344">
        <f t="shared" si="253"/>
        <v>45271</v>
      </c>
    </row>
    <row r="1995" spans="1:49">
      <c r="A1995" s="1077" t="s">
        <v>6415</v>
      </c>
      <c r="B1995" s="1077" t="s">
        <v>6416</v>
      </c>
      <c r="C1995" s="1077">
        <v>500</v>
      </c>
      <c r="D1995" s="1077">
        <v>1.7050000000000001</v>
      </c>
      <c r="E1995" s="1077" t="s">
        <v>15121</v>
      </c>
      <c r="F1995" s="1077" t="s">
        <v>648</v>
      </c>
      <c r="G1995" s="1077">
        <v>4</v>
      </c>
      <c r="H1995" s="1077" t="s">
        <v>6417</v>
      </c>
      <c r="I1995" s="1077" t="s">
        <v>126</v>
      </c>
      <c r="J1995" s="1077">
        <v>1</v>
      </c>
      <c r="K1995" s="1077" t="s">
        <v>6418</v>
      </c>
      <c r="L1995" s="1077" t="s">
        <v>1933</v>
      </c>
      <c r="M1995" s="1077">
        <v>148.5</v>
      </c>
      <c r="N1995" s="1077" t="s">
        <v>945</v>
      </c>
      <c r="O1995" s="1077">
        <v>3.7125000000000004</v>
      </c>
      <c r="P1995" s="1077">
        <v>2.97</v>
      </c>
      <c r="Q1995" s="1077">
        <v>4</v>
      </c>
      <c r="R1995" s="1077">
        <v>20</v>
      </c>
      <c r="T1995" s="1077">
        <v>28</v>
      </c>
      <c r="U1995" s="1077">
        <v>3</v>
      </c>
      <c r="V1995" s="1077" t="s">
        <v>648</v>
      </c>
      <c r="W1995" s="1077">
        <v>120</v>
      </c>
      <c r="X1995" s="1077">
        <v>60</v>
      </c>
      <c r="Y1995" s="1077">
        <v>1</v>
      </c>
      <c r="Z1995" s="1077" t="s">
        <v>648</v>
      </c>
      <c r="AA1995" s="1077" t="s">
        <v>3863</v>
      </c>
      <c r="AH1995" s="1077" t="s">
        <v>6419</v>
      </c>
      <c r="AI1995" s="1077">
        <v>95.56</v>
      </c>
      <c r="AJ1995" s="1077">
        <v>-0.97</v>
      </c>
      <c r="AK1995" s="1077">
        <v>3.14</v>
      </c>
      <c r="AM1995" s="1078" t="s">
        <v>12990</v>
      </c>
      <c r="AN1995" s="1078" t="s">
        <v>12991</v>
      </c>
      <c r="AO1995" s="1078">
        <f t="shared" ref="AO1995:AO2058" si="254">C1995</f>
        <v>500</v>
      </c>
      <c r="AP1995" s="1078">
        <f t="shared" ref="AP1995:AP2058" si="255">D1995</f>
        <v>1.7050000000000001</v>
      </c>
      <c r="AQ1995" s="1078" t="str">
        <f t="shared" ref="AQ1995:AQ2058" si="256">E1995</f>
        <v>1-5-1S85°S+Z</v>
      </c>
      <c r="AR1995" s="1078" t="str">
        <f t="shared" ref="AR1995:AR2058" si="257">F1995</f>
        <v>NA</v>
      </c>
      <c r="AS1995" s="1078" t="str">
        <f t="shared" ref="AS1995:AS2058" si="258">H1995</f>
        <v>205/OFF</v>
      </c>
      <c r="AT1995" s="1078" t="str">
        <f t="shared" ref="AT1995:AT2058" si="259">E1995</f>
        <v>1-5-1S85°S+Z</v>
      </c>
      <c r="AU1995" s="1078" t="s">
        <v>15550</v>
      </c>
      <c r="AV1995" s="1078" t="str">
        <f t="shared" si="252"/>
        <v>112.12.20</v>
      </c>
      <c r="AW1995" s="1344">
        <f t="shared" si="253"/>
        <v>45280</v>
      </c>
    </row>
    <row r="1996" spans="1:49">
      <c r="A1996" s="1077" t="s">
        <v>6420</v>
      </c>
      <c r="B1996" s="1077" t="s">
        <v>6265</v>
      </c>
      <c r="C1996" s="1077">
        <v>500</v>
      </c>
      <c r="D1996" s="1077">
        <v>1.7150000000000001</v>
      </c>
      <c r="E1996" s="1077" t="s">
        <v>15121</v>
      </c>
      <c r="F1996" s="1077" t="s">
        <v>648</v>
      </c>
      <c r="G1996" s="1077">
        <v>4</v>
      </c>
      <c r="H1996" s="1077" t="s">
        <v>1936</v>
      </c>
      <c r="I1996" s="1077" t="s">
        <v>126</v>
      </c>
      <c r="J1996" s="1077">
        <v>1</v>
      </c>
      <c r="K1996" s="1077" t="s">
        <v>6418</v>
      </c>
      <c r="L1996" s="1077" t="s">
        <v>1933</v>
      </c>
      <c r="M1996" s="1077">
        <v>148.5</v>
      </c>
      <c r="N1996" s="1077" t="s">
        <v>945</v>
      </c>
      <c r="O1996" s="1077">
        <v>3.7125000000000004</v>
      </c>
      <c r="P1996" s="1077">
        <v>2.97</v>
      </c>
      <c r="Q1996" s="1077">
        <v>4</v>
      </c>
      <c r="R1996" s="1077" t="s">
        <v>6421</v>
      </c>
      <c r="T1996" s="1077">
        <v>22.5</v>
      </c>
      <c r="U1996" s="1077">
        <v>3.2</v>
      </c>
      <c r="V1996" s="1077" t="s">
        <v>648</v>
      </c>
      <c r="W1996" s="1077">
        <v>120</v>
      </c>
      <c r="X1996" s="1077">
        <v>60</v>
      </c>
      <c r="Y1996" s="1077">
        <v>1.8</v>
      </c>
      <c r="Z1996" s="1077" t="s">
        <v>648</v>
      </c>
      <c r="AA1996" s="1077" t="s">
        <v>1633</v>
      </c>
      <c r="AH1996" s="1077" t="s">
        <v>5620</v>
      </c>
      <c r="AI1996" s="1077">
        <v>94.88</v>
      </c>
      <c r="AJ1996" s="1077">
        <v>-0.76</v>
      </c>
      <c r="AK1996" s="1077">
        <v>3.03</v>
      </c>
      <c r="AM1996" s="1078" t="s">
        <v>12992</v>
      </c>
      <c r="AN1996" s="1078" t="s">
        <v>12993</v>
      </c>
      <c r="AO1996" s="1078">
        <f t="shared" si="254"/>
        <v>500</v>
      </c>
      <c r="AP1996" s="1078">
        <f t="shared" si="255"/>
        <v>1.7150000000000001</v>
      </c>
      <c r="AQ1996" s="1078" t="str">
        <f t="shared" si="256"/>
        <v>1-5-1S85°S+Z</v>
      </c>
      <c r="AR1996" s="1078" t="str">
        <f t="shared" si="257"/>
        <v>NA</v>
      </c>
      <c r="AS1996" s="1078" t="str">
        <f t="shared" si="258"/>
        <v>175/OFF</v>
      </c>
      <c r="AT1996" s="1078" t="str">
        <f t="shared" si="259"/>
        <v>1-5-1S85°S+Z</v>
      </c>
      <c r="AU1996" s="1078" t="s">
        <v>15550</v>
      </c>
      <c r="AV1996" s="1078" t="str">
        <f t="shared" si="252"/>
        <v>112.12.25</v>
      </c>
      <c r="AW1996" s="1344">
        <f t="shared" si="253"/>
        <v>45285</v>
      </c>
    </row>
    <row r="1997" spans="1:49">
      <c r="A1997" s="1077" t="s">
        <v>6422</v>
      </c>
      <c r="B1997" s="1077" t="s">
        <v>210</v>
      </c>
      <c r="C1997" s="1077">
        <v>650</v>
      </c>
      <c r="D1997" s="1077">
        <v>1.77</v>
      </c>
      <c r="E1997" s="1077" t="s">
        <v>15094</v>
      </c>
      <c r="F1997" s="1077" t="s">
        <v>984</v>
      </c>
      <c r="G1997" s="1077">
        <v>5</v>
      </c>
      <c r="H1997" s="1077" t="s">
        <v>6241</v>
      </c>
      <c r="I1997" s="1077" t="s">
        <v>648</v>
      </c>
      <c r="J1997" s="1077">
        <v>0</v>
      </c>
      <c r="K1997" s="1077" t="s">
        <v>6242</v>
      </c>
      <c r="L1997" s="1077" t="s">
        <v>4666</v>
      </c>
      <c r="M1997" s="1077">
        <v>151.5</v>
      </c>
      <c r="N1997" s="1077" t="s">
        <v>945</v>
      </c>
      <c r="O1997" s="1077">
        <v>3.7875000000000001</v>
      </c>
      <c r="P1997" s="1077">
        <v>3.0300000000000002</v>
      </c>
      <c r="Q1997" s="1077">
        <v>4</v>
      </c>
      <c r="R1997" s="1077">
        <v>19.100000000000001</v>
      </c>
      <c r="T1997" s="1077">
        <v>19</v>
      </c>
      <c r="U1997" s="1077">
        <v>2.5</v>
      </c>
      <c r="V1997" s="1077" t="s">
        <v>648</v>
      </c>
      <c r="W1997" s="1077" t="s">
        <v>648</v>
      </c>
      <c r="X1997" s="1077" t="s">
        <v>648</v>
      </c>
      <c r="Y1997" s="1077">
        <v>1</v>
      </c>
      <c r="Z1997" s="1077">
        <v>5</v>
      </c>
      <c r="AA1997" s="1077" t="s">
        <v>1633</v>
      </c>
      <c r="AH1997" s="1077" t="s">
        <v>722</v>
      </c>
      <c r="AI1997" s="1077">
        <v>91.39</v>
      </c>
      <c r="AJ1997" s="1077">
        <v>-0.44</v>
      </c>
      <c r="AK1997" s="1077">
        <v>1.5</v>
      </c>
      <c r="AM1997" s="1078" t="s">
        <v>12994</v>
      </c>
      <c r="AN1997" s="1078" t="s">
        <v>12995</v>
      </c>
      <c r="AO1997" s="1078">
        <f t="shared" si="254"/>
        <v>650</v>
      </c>
      <c r="AP1997" s="1078">
        <f t="shared" si="255"/>
        <v>1.77</v>
      </c>
      <c r="AQ1997" s="1078" t="str">
        <f t="shared" si="256"/>
        <v>1-5-1S91°</v>
      </c>
      <c r="AR1997" s="1078" t="str">
        <f t="shared" si="257"/>
        <v>30</v>
      </c>
      <c r="AS1997" s="1078" t="str">
        <f t="shared" si="258"/>
        <v>345/305/155</v>
      </c>
      <c r="AT1997" s="1078" t="str">
        <f t="shared" si="259"/>
        <v>1-5-1S91°</v>
      </c>
      <c r="AV1997" s="1078" t="str">
        <f t="shared" si="252"/>
        <v>112.12.25</v>
      </c>
      <c r="AW1997" s="1344">
        <f t="shared" si="253"/>
        <v>45285</v>
      </c>
    </row>
    <row r="1998" spans="1:49">
      <c r="A1998" s="1077" t="s">
        <v>6423</v>
      </c>
      <c r="B1998" s="1077" t="s">
        <v>4767</v>
      </c>
      <c r="C1998" s="1077">
        <v>650</v>
      </c>
      <c r="D1998" s="1077">
        <v>1.71</v>
      </c>
      <c r="E1998" s="1077" t="s">
        <v>15121</v>
      </c>
      <c r="F1998" s="1077" t="s">
        <v>648</v>
      </c>
      <c r="G1998" s="1077">
        <v>5</v>
      </c>
      <c r="H1998" s="1077" t="s">
        <v>2192</v>
      </c>
      <c r="I1998" s="1077" t="s">
        <v>126</v>
      </c>
      <c r="J1998" s="1077">
        <v>1.3</v>
      </c>
      <c r="K1998" s="1077" t="s">
        <v>6424</v>
      </c>
      <c r="L1998" s="1077" t="s">
        <v>1821</v>
      </c>
      <c r="M1998" s="1077">
        <v>148</v>
      </c>
      <c r="N1998" s="1077" t="s">
        <v>945</v>
      </c>
      <c r="O1998" s="1077">
        <v>3.7</v>
      </c>
      <c r="P1998" s="1077">
        <v>2.96</v>
      </c>
      <c r="Q1998" s="1077">
        <v>4</v>
      </c>
      <c r="R1998" s="1077">
        <v>20.8</v>
      </c>
      <c r="T1998" s="1077">
        <v>20.399999999999999</v>
      </c>
      <c r="U1998" s="1077">
        <v>3.8</v>
      </c>
      <c r="V1998" s="1077" t="s">
        <v>648</v>
      </c>
      <c r="W1998" s="1077">
        <v>110</v>
      </c>
      <c r="X1998" s="1077" t="s">
        <v>2395</v>
      </c>
      <c r="Y1998" s="1077">
        <v>1.7</v>
      </c>
      <c r="Z1998" s="1077" t="s">
        <v>648</v>
      </c>
      <c r="AA1998" s="1077" t="s">
        <v>3900</v>
      </c>
      <c r="AB1998" s="1077" t="s">
        <v>981</v>
      </c>
      <c r="AH1998" s="1077" t="s">
        <v>1053</v>
      </c>
      <c r="AI1998" s="1077">
        <v>93.46</v>
      </c>
      <c r="AJ1998" s="1077">
        <v>-0.61</v>
      </c>
      <c r="AK1998" s="1077">
        <v>1.1399999999999999</v>
      </c>
      <c r="AM1998" s="1078" t="s">
        <v>12996</v>
      </c>
      <c r="AN1998" s="1078" t="s">
        <v>12997</v>
      </c>
      <c r="AO1998" s="1078">
        <f t="shared" si="254"/>
        <v>650</v>
      </c>
      <c r="AP1998" s="1078">
        <f t="shared" si="255"/>
        <v>1.71</v>
      </c>
      <c r="AQ1998" s="1078" t="str">
        <f t="shared" si="256"/>
        <v>1-5-1S85°S+Z</v>
      </c>
      <c r="AR1998" s="1078" t="str">
        <f t="shared" si="257"/>
        <v>NA</v>
      </c>
      <c r="AS1998" s="1078" t="str">
        <f t="shared" si="258"/>
        <v>180/OFF</v>
      </c>
      <c r="AT1998" s="1078" t="str">
        <f t="shared" si="259"/>
        <v>1-5-1S85°S+Z</v>
      </c>
      <c r="AU1998" s="1078" t="s">
        <v>15550</v>
      </c>
      <c r="AV1998" s="1078" t="str">
        <f t="shared" si="252"/>
        <v>113.1.4</v>
      </c>
      <c r="AW1998" s="1344">
        <f t="shared" si="253"/>
        <v>45295</v>
      </c>
    </row>
    <row r="1999" spans="1:49">
      <c r="A1999" s="1077" t="s">
        <v>6425</v>
      </c>
      <c r="B1999" s="1077" t="s">
        <v>847</v>
      </c>
      <c r="C1999" s="1077">
        <v>550</v>
      </c>
      <c r="D1999" s="1077">
        <v>1.7749999999999999</v>
      </c>
      <c r="E1999" s="1077" t="s">
        <v>15119</v>
      </c>
      <c r="F1999" s="1077" t="s">
        <v>975</v>
      </c>
      <c r="G1999" s="1077">
        <v>4</v>
      </c>
      <c r="H1999" s="1077" t="s">
        <v>3143</v>
      </c>
      <c r="I1999" s="1077" t="s">
        <v>648</v>
      </c>
      <c r="J1999" s="1077">
        <v>0</v>
      </c>
      <c r="K1999" s="1077" t="s">
        <v>6426</v>
      </c>
      <c r="L1999" s="1077" t="s">
        <v>5037</v>
      </c>
      <c r="M1999" s="1077">
        <v>150</v>
      </c>
      <c r="N1999" s="1077" t="s">
        <v>945</v>
      </c>
      <c r="O1999" s="1077">
        <v>3.75</v>
      </c>
      <c r="P1999" s="1077">
        <v>3</v>
      </c>
      <c r="Q1999" s="1077">
        <v>3.5</v>
      </c>
      <c r="R1999" s="1077">
        <v>21.8</v>
      </c>
      <c r="T1999" s="1077">
        <v>19.5</v>
      </c>
      <c r="U1999" s="1077">
        <v>1.8</v>
      </c>
      <c r="V1999" s="1077" t="s">
        <v>648</v>
      </c>
      <c r="W1999" s="1077" t="s">
        <v>648</v>
      </c>
      <c r="X1999" s="1077" t="s">
        <v>648</v>
      </c>
      <c r="Y1999" s="1077">
        <v>2.1</v>
      </c>
      <c r="Z1999" s="1077">
        <v>5</v>
      </c>
      <c r="AA1999" s="1077" t="s">
        <v>6427</v>
      </c>
      <c r="AH1999" s="1077" t="s">
        <v>1143</v>
      </c>
      <c r="AI1999" s="1077">
        <v>13.83</v>
      </c>
      <c r="AJ1999" s="1077">
        <v>7.0000000000000007E-2</v>
      </c>
      <c r="AK1999" s="1077">
        <v>0.78</v>
      </c>
      <c r="AM1999" s="1078" t="s">
        <v>12998</v>
      </c>
      <c r="AN1999" s="1078" t="s">
        <v>12999</v>
      </c>
      <c r="AO1999" s="1078">
        <f t="shared" si="254"/>
        <v>550</v>
      </c>
      <c r="AP1999" s="1078">
        <f t="shared" si="255"/>
        <v>1.7749999999999999</v>
      </c>
      <c r="AQ1999" s="1078" t="str">
        <f t="shared" si="256"/>
        <v>1-5-1S87</v>
      </c>
      <c r="AR1999" s="1078" t="str">
        <f t="shared" si="257"/>
        <v>31.5</v>
      </c>
      <c r="AS1999" s="1078" t="str">
        <f t="shared" si="258"/>
        <v>300/300/160</v>
      </c>
      <c r="AT1999" s="1078" t="str">
        <f t="shared" si="259"/>
        <v>1-5-1S87</v>
      </c>
      <c r="AV1999" s="1078" t="str">
        <f t="shared" si="252"/>
        <v>113.1.8</v>
      </c>
      <c r="AW1999" s="1344">
        <f t="shared" si="253"/>
        <v>45299</v>
      </c>
    </row>
    <row r="2000" spans="1:49">
      <c r="A2000" s="1077" t="s">
        <v>6428</v>
      </c>
      <c r="B2000" s="1077" t="s">
        <v>210</v>
      </c>
      <c r="C2000" s="1077">
        <v>650</v>
      </c>
      <c r="D2000" s="1077">
        <v>1.73</v>
      </c>
      <c r="E2000" s="1077" t="s">
        <v>15102</v>
      </c>
      <c r="F2000" s="1077" t="s">
        <v>975</v>
      </c>
      <c r="G2000" s="1077">
        <v>5</v>
      </c>
      <c r="H2000" s="1077" t="s">
        <v>1671</v>
      </c>
      <c r="I2000" s="1077" t="s">
        <v>460</v>
      </c>
      <c r="J2000" s="1077">
        <v>1.7</v>
      </c>
      <c r="K2000" s="1077" t="s">
        <v>6370</v>
      </c>
      <c r="L2000" s="1077" t="s">
        <v>6291</v>
      </c>
      <c r="M2000" s="1077">
        <v>155</v>
      </c>
      <c r="N2000" s="1077" t="s">
        <v>945</v>
      </c>
      <c r="O2000" s="1077">
        <v>3.875</v>
      </c>
      <c r="P2000" s="1077">
        <v>3.1</v>
      </c>
      <c r="Q2000" s="1077">
        <v>4</v>
      </c>
      <c r="R2000" s="1077">
        <v>19</v>
      </c>
      <c r="T2000" s="1077">
        <v>23</v>
      </c>
      <c r="U2000" s="1077">
        <v>4.3</v>
      </c>
      <c r="V2000" s="1077" t="s">
        <v>648</v>
      </c>
      <c r="W2000" s="1077">
        <v>100</v>
      </c>
      <c r="X2000" s="1077">
        <v>50</v>
      </c>
      <c r="Y2000" s="1077">
        <v>1.5</v>
      </c>
      <c r="Z2000" s="1077">
        <v>6.5</v>
      </c>
      <c r="AA2000" s="1077" t="s">
        <v>1635</v>
      </c>
      <c r="AH2000" s="1077" t="s">
        <v>831</v>
      </c>
      <c r="AI2000" s="1077">
        <v>91.86</v>
      </c>
      <c r="AJ2000" s="1077">
        <v>-0.79</v>
      </c>
      <c r="AK2000" s="1077">
        <v>1.52</v>
      </c>
      <c r="AM2000" s="1078" t="s">
        <v>13000</v>
      </c>
      <c r="AN2000" s="1078" t="s">
        <v>13001</v>
      </c>
      <c r="AO2000" s="1078">
        <f t="shared" si="254"/>
        <v>650</v>
      </c>
      <c r="AP2000" s="1078">
        <f t="shared" si="255"/>
        <v>1.73</v>
      </c>
      <c r="AQ2000" s="1078" t="str">
        <f t="shared" si="256"/>
        <v>2-6-1S83°</v>
      </c>
      <c r="AR2000" s="1078" t="str">
        <f t="shared" si="257"/>
        <v>31.5</v>
      </c>
      <c r="AS2000" s="1078" t="str">
        <f t="shared" si="258"/>
        <v>172/OFF</v>
      </c>
      <c r="AT2000" s="1078" t="str">
        <f t="shared" si="259"/>
        <v>2-6-1S83°</v>
      </c>
      <c r="AV2000" s="1078" t="str">
        <f t="shared" si="252"/>
        <v>113.1.10</v>
      </c>
      <c r="AW2000" s="1344">
        <f t="shared" si="253"/>
        <v>45301</v>
      </c>
    </row>
    <row r="2001" spans="1:49">
      <c r="A2001" s="1077" t="s">
        <v>6429</v>
      </c>
      <c r="B2001" s="1077" t="s">
        <v>416</v>
      </c>
      <c r="C2001" s="1077">
        <v>650</v>
      </c>
      <c r="D2001" s="1077">
        <v>1.76</v>
      </c>
      <c r="E2001" s="1077" t="s">
        <v>15094</v>
      </c>
      <c r="F2001" s="1077" t="s">
        <v>984</v>
      </c>
      <c r="G2001" s="1077">
        <v>5</v>
      </c>
      <c r="H2001" s="1077" t="s">
        <v>5483</v>
      </c>
      <c r="I2001" s="1077" t="s">
        <v>126</v>
      </c>
      <c r="J2001" s="1077">
        <v>0.7</v>
      </c>
      <c r="K2001" s="1077" t="s">
        <v>6370</v>
      </c>
      <c r="L2001" s="1077" t="s">
        <v>6291</v>
      </c>
      <c r="M2001" s="1077">
        <v>151.5</v>
      </c>
      <c r="N2001" s="1077" t="s">
        <v>945</v>
      </c>
      <c r="O2001" s="1077">
        <v>3.7875000000000001</v>
      </c>
      <c r="P2001" s="1077">
        <v>3.0300000000000002</v>
      </c>
      <c r="Q2001" s="1077">
        <v>4</v>
      </c>
      <c r="R2001" s="1077">
        <v>19.100000000000001</v>
      </c>
      <c r="T2001" s="1077">
        <v>23.7</v>
      </c>
      <c r="U2001" s="1077">
        <v>3.2</v>
      </c>
      <c r="V2001" s="1077" t="s">
        <v>648</v>
      </c>
      <c r="W2001" s="1077">
        <v>35</v>
      </c>
      <c r="X2001" s="1077">
        <v>10</v>
      </c>
      <c r="Y2001" s="1077">
        <v>1</v>
      </c>
      <c r="Z2001" s="1077">
        <v>6</v>
      </c>
      <c r="AA2001" s="1077" t="s">
        <v>3907</v>
      </c>
      <c r="AH2001" s="1077" t="s">
        <v>1137</v>
      </c>
      <c r="AI2001" s="1077">
        <v>91.31</v>
      </c>
      <c r="AJ2001" s="1077">
        <v>-0.48</v>
      </c>
      <c r="AK2001" s="1077">
        <v>0.67</v>
      </c>
      <c r="AM2001" s="1078" t="s">
        <v>13002</v>
      </c>
      <c r="AN2001" s="1078" t="s">
        <v>13003</v>
      </c>
      <c r="AO2001" s="1078">
        <f t="shared" si="254"/>
        <v>650</v>
      </c>
      <c r="AP2001" s="1078">
        <f t="shared" si="255"/>
        <v>1.76</v>
      </c>
      <c r="AQ2001" s="1078" t="str">
        <f t="shared" si="256"/>
        <v>1-5-1S91°</v>
      </c>
      <c r="AR2001" s="1078" t="str">
        <f t="shared" si="257"/>
        <v>30</v>
      </c>
      <c r="AS2001" s="1078" t="str">
        <f t="shared" si="258"/>
        <v>350/310/150</v>
      </c>
      <c r="AT2001" s="1078" t="str">
        <f t="shared" si="259"/>
        <v>1-5-1S91°</v>
      </c>
      <c r="AV2001" s="1078" t="str">
        <f t="shared" si="252"/>
        <v>113.1.15</v>
      </c>
      <c r="AW2001" s="1344">
        <f t="shared" si="253"/>
        <v>45306</v>
      </c>
    </row>
    <row r="2002" spans="1:49">
      <c r="A2002" s="1077" t="s">
        <v>6430</v>
      </c>
      <c r="B2002" s="1077" t="s">
        <v>617</v>
      </c>
      <c r="C2002" s="1077">
        <v>650</v>
      </c>
      <c r="D2002" s="1077">
        <v>1.75</v>
      </c>
      <c r="E2002" s="1077" t="s">
        <v>15088</v>
      </c>
      <c r="F2002" s="1077" t="s">
        <v>648</v>
      </c>
      <c r="G2002" s="1077">
        <v>5</v>
      </c>
      <c r="H2002" s="1077" t="s">
        <v>1470</v>
      </c>
      <c r="I2002" s="1077" t="s">
        <v>126</v>
      </c>
      <c r="J2002" s="1077">
        <v>1.95</v>
      </c>
      <c r="K2002" s="1077" t="s">
        <v>6431</v>
      </c>
      <c r="L2002" s="1077" t="s">
        <v>4854</v>
      </c>
      <c r="M2002" s="1077">
        <v>150.30000000000001</v>
      </c>
      <c r="N2002" s="1077" t="s">
        <v>945</v>
      </c>
      <c r="O2002" s="1077">
        <v>3.7575000000000003</v>
      </c>
      <c r="P2002" s="1077">
        <v>3.0060000000000002</v>
      </c>
      <c r="Q2002" s="1077" t="s">
        <v>1369</v>
      </c>
      <c r="R2002" s="1077">
        <v>31</v>
      </c>
      <c r="T2002" s="1077">
        <v>15</v>
      </c>
      <c r="U2002" s="1077">
        <v>6.5</v>
      </c>
      <c r="V2002" s="1077" t="s">
        <v>648</v>
      </c>
      <c r="W2002" s="1077">
        <v>115</v>
      </c>
      <c r="X2002" s="1077">
        <v>50</v>
      </c>
      <c r="Y2002" s="1077">
        <v>1.7</v>
      </c>
      <c r="Z2002" s="1077" t="s">
        <v>5171</v>
      </c>
      <c r="AA2002" s="1077" t="s">
        <v>3163</v>
      </c>
      <c r="AH2002" s="1077" t="s">
        <v>782</v>
      </c>
      <c r="AM2002" s="1078" t="s">
        <v>13004</v>
      </c>
      <c r="AN2002" s="1078" t="s">
        <v>13005</v>
      </c>
      <c r="AO2002" s="1078">
        <f t="shared" si="254"/>
        <v>650</v>
      </c>
      <c r="AP2002" s="1078">
        <f t="shared" si="255"/>
        <v>1.75</v>
      </c>
      <c r="AQ2002" s="1078" t="str">
        <f t="shared" si="256"/>
        <v>1-4-1S85°</v>
      </c>
      <c r="AR2002" s="1078" t="str">
        <f t="shared" si="257"/>
        <v>NA</v>
      </c>
      <c r="AS2002" s="1078" t="str">
        <f t="shared" si="258"/>
        <v>160/OFF</v>
      </c>
      <c r="AT2002" s="1078" t="str">
        <f t="shared" si="259"/>
        <v>1-4-1S85°</v>
      </c>
      <c r="AV2002" s="1078" t="str">
        <f t="shared" si="252"/>
        <v>109.1.30</v>
      </c>
      <c r="AW2002" s="1344">
        <f t="shared" si="253"/>
        <v>43860</v>
      </c>
    </row>
    <row r="2003" spans="1:49">
      <c r="A2003" s="1077" t="s">
        <v>6432</v>
      </c>
      <c r="B2003" s="1077" t="s">
        <v>844</v>
      </c>
      <c r="C2003" s="1077">
        <v>600</v>
      </c>
      <c r="D2003" s="1077">
        <v>1.756</v>
      </c>
      <c r="E2003" s="1077" t="s">
        <v>15094</v>
      </c>
      <c r="F2003" s="1077" t="s">
        <v>954</v>
      </c>
      <c r="G2003" s="1077">
        <v>5</v>
      </c>
      <c r="H2003" s="1077" t="s">
        <v>5126</v>
      </c>
      <c r="I2003" s="1077" t="s">
        <v>648</v>
      </c>
      <c r="J2003" s="1077">
        <v>0</v>
      </c>
      <c r="K2003" s="1077" t="s">
        <v>5326</v>
      </c>
      <c r="L2003" s="1077" t="s">
        <v>4907</v>
      </c>
      <c r="M2003" s="1077">
        <v>151</v>
      </c>
      <c r="N2003" s="1077" t="s">
        <v>945</v>
      </c>
      <c r="O2003" s="1077">
        <v>3.7750000000000004</v>
      </c>
      <c r="P2003" s="1077">
        <v>3.02</v>
      </c>
      <c r="Q2003" s="1077" t="s">
        <v>1020</v>
      </c>
      <c r="R2003" s="1077">
        <v>22.4</v>
      </c>
      <c r="T2003" s="1077">
        <v>15</v>
      </c>
      <c r="U2003" s="1077">
        <v>3.7</v>
      </c>
      <c r="V2003" s="1077" t="s">
        <v>2520</v>
      </c>
      <c r="W2003" s="1077" t="s">
        <v>648</v>
      </c>
      <c r="X2003" s="1077" t="s">
        <v>648</v>
      </c>
      <c r="Y2003" s="1077">
        <v>1.5</v>
      </c>
      <c r="Z2003" s="1077">
        <v>5.5</v>
      </c>
      <c r="AA2003" s="1077" t="s">
        <v>2948</v>
      </c>
      <c r="AH2003" s="1077" t="s">
        <v>722</v>
      </c>
      <c r="AM2003" s="1078" t="s">
        <v>13006</v>
      </c>
      <c r="AN2003" s="1078" t="s">
        <v>13007</v>
      </c>
      <c r="AO2003" s="1078">
        <f t="shared" si="254"/>
        <v>600</v>
      </c>
      <c r="AP2003" s="1078">
        <f t="shared" si="255"/>
        <v>1.756</v>
      </c>
      <c r="AQ2003" s="1078" t="str">
        <f t="shared" si="256"/>
        <v>1-5-1S91°</v>
      </c>
      <c r="AR2003" s="1078" t="str">
        <f t="shared" si="257"/>
        <v>31</v>
      </c>
      <c r="AS2003" s="1078" t="str">
        <f t="shared" si="258"/>
        <v>300/300/140</v>
      </c>
      <c r="AT2003" s="1078" t="str">
        <f t="shared" si="259"/>
        <v>1-5-1S91°</v>
      </c>
      <c r="AV2003" s="1078" t="str">
        <f t="shared" si="252"/>
        <v>109.4.17</v>
      </c>
      <c r="AW2003" s="1344">
        <f t="shared" si="253"/>
        <v>43938</v>
      </c>
    </row>
    <row r="2004" spans="1:49">
      <c r="A2004" s="1077" t="s">
        <v>6433</v>
      </c>
      <c r="B2004" s="1077" t="s">
        <v>4927</v>
      </c>
      <c r="C2004" s="1077">
        <v>650</v>
      </c>
      <c r="D2004" s="1077">
        <v>1.7290000000000001</v>
      </c>
      <c r="E2004" s="1077" t="s">
        <v>15117</v>
      </c>
      <c r="F2004" s="1077" t="s">
        <v>648</v>
      </c>
      <c r="G2004" s="1077">
        <v>4</v>
      </c>
      <c r="H2004" s="1077" t="s">
        <v>1470</v>
      </c>
      <c r="I2004" s="1077" t="s">
        <v>126</v>
      </c>
      <c r="J2004" s="1077">
        <v>1.6</v>
      </c>
      <c r="K2004" s="1077" t="s">
        <v>6434</v>
      </c>
      <c r="L2004" s="1077" t="s">
        <v>1763</v>
      </c>
      <c r="M2004" s="1077">
        <v>157.6</v>
      </c>
      <c r="N2004" s="1077" t="s">
        <v>945</v>
      </c>
      <c r="O2004" s="1077">
        <v>3.94</v>
      </c>
      <c r="P2004" s="1077">
        <v>3.1520000000000001</v>
      </c>
      <c r="Q2004" s="1077" t="s">
        <v>1005</v>
      </c>
      <c r="R2004" s="1077">
        <v>28.3</v>
      </c>
      <c r="T2004" s="1077">
        <v>11.7</v>
      </c>
      <c r="U2004" s="1077">
        <v>6.3</v>
      </c>
      <c r="V2004" s="1077" t="s">
        <v>648</v>
      </c>
      <c r="W2004" s="1077">
        <v>135</v>
      </c>
      <c r="X2004" s="1077">
        <v>85</v>
      </c>
      <c r="Y2004" s="1077">
        <v>1.4</v>
      </c>
      <c r="Z2004" s="1077" t="s">
        <v>648</v>
      </c>
      <c r="AA2004" s="1077" t="s">
        <v>6435</v>
      </c>
      <c r="AH2004" s="1077" t="s">
        <v>1053</v>
      </c>
      <c r="AM2004" s="1078" t="s">
        <v>13008</v>
      </c>
      <c r="AN2004" s="1078" t="s">
        <v>13009</v>
      </c>
      <c r="AO2004" s="1078">
        <f t="shared" si="254"/>
        <v>650</v>
      </c>
      <c r="AP2004" s="1078">
        <f t="shared" si="255"/>
        <v>1.7290000000000001</v>
      </c>
      <c r="AQ2004" s="1078" t="str">
        <f t="shared" si="256"/>
        <v>1-4-1S85°S+Z</v>
      </c>
      <c r="AR2004" s="1078" t="str">
        <f t="shared" si="257"/>
        <v>NA</v>
      </c>
      <c r="AS2004" s="1078" t="str">
        <f t="shared" si="258"/>
        <v>160/OFF</v>
      </c>
      <c r="AT2004" s="1078" t="str">
        <f t="shared" si="259"/>
        <v>1-4-1S85°S+Z</v>
      </c>
      <c r="AU2004" s="1078" t="s">
        <v>15550</v>
      </c>
      <c r="AV2004" s="1078" t="str">
        <f t="shared" si="252"/>
        <v>109.10.6</v>
      </c>
      <c r="AW2004" s="1344">
        <f t="shared" si="253"/>
        <v>44110</v>
      </c>
    </row>
    <row r="2005" spans="1:49">
      <c r="A2005" s="1077" t="s">
        <v>6436</v>
      </c>
      <c r="B2005" s="1077" t="s">
        <v>4729</v>
      </c>
      <c r="C2005" s="1077">
        <v>650</v>
      </c>
      <c r="D2005" s="1077">
        <v>1.72</v>
      </c>
      <c r="E2005" s="1077" t="s">
        <v>15111</v>
      </c>
      <c r="F2005" s="1077" t="s">
        <v>984</v>
      </c>
      <c r="G2005" s="1077">
        <v>5</v>
      </c>
      <c r="H2005" s="1077" t="s">
        <v>2540</v>
      </c>
      <c r="I2005" s="1077" t="s">
        <v>126</v>
      </c>
      <c r="J2005" s="1077">
        <v>1.9</v>
      </c>
      <c r="K2005" s="1077" t="s">
        <v>4757</v>
      </c>
      <c r="L2005" s="1077" t="s">
        <v>4758</v>
      </c>
      <c r="M2005" s="1077">
        <v>153.30000000000001</v>
      </c>
      <c r="N2005" s="1077" t="s">
        <v>945</v>
      </c>
      <c r="O2005" s="1077">
        <v>3.8325000000000005</v>
      </c>
      <c r="P2005" s="1077">
        <v>3.0660000000000003</v>
      </c>
      <c r="Q2005" s="1077">
        <v>4</v>
      </c>
      <c r="R2005" s="1077">
        <v>20.8</v>
      </c>
      <c r="T2005" s="1077">
        <v>14.1</v>
      </c>
      <c r="U2005" s="1077">
        <v>4.7</v>
      </c>
      <c r="V2005" s="1077" t="s">
        <v>648</v>
      </c>
      <c r="W2005" s="1077">
        <v>100</v>
      </c>
      <c r="X2005" s="1077">
        <v>60</v>
      </c>
      <c r="Y2005" s="1077">
        <v>1.5</v>
      </c>
      <c r="Z2005" s="1077">
        <v>5.5</v>
      </c>
      <c r="AA2005" s="1077" t="s">
        <v>4652</v>
      </c>
      <c r="AH2005" s="1077" t="s">
        <v>884</v>
      </c>
      <c r="AM2005" s="1078" t="s">
        <v>13010</v>
      </c>
      <c r="AN2005" s="1078" t="s">
        <v>13011</v>
      </c>
      <c r="AO2005" s="1078">
        <f t="shared" si="254"/>
        <v>650</v>
      </c>
      <c r="AP2005" s="1078">
        <f t="shared" si="255"/>
        <v>1.72</v>
      </c>
      <c r="AQ2005" s="1078" t="str">
        <f t="shared" si="256"/>
        <v>1-5-1S91</v>
      </c>
      <c r="AR2005" s="1078" t="str">
        <f t="shared" si="257"/>
        <v>30</v>
      </c>
      <c r="AS2005" s="1078" t="str">
        <f t="shared" si="258"/>
        <v>300/300/OFF</v>
      </c>
      <c r="AT2005" s="1078" t="str">
        <f t="shared" si="259"/>
        <v>1-5-1S91</v>
      </c>
      <c r="AV2005" s="1078" t="str">
        <f t="shared" si="252"/>
        <v>110.1.5</v>
      </c>
      <c r="AW2005" s="1344">
        <f t="shared" si="253"/>
        <v>44201</v>
      </c>
    </row>
    <row r="2006" spans="1:49">
      <c r="A2006" s="1077" t="s">
        <v>6437</v>
      </c>
      <c r="B2006" s="1077" t="s">
        <v>210</v>
      </c>
      <c r="C2006" s="1077">
        <v>700</v>
      </c>
      <c r="D2006" s="1077">
        <v>1.76</v>
      </c>
      <c r="E2006" s="1077" t="s">
        <v>15094</v>
      </c>
      <c r="F2006" s="1077" t="s">
        <v>984</v>
      </c>
      <c r="G2006" s="1077">
        <v>5</v>
      </c>
      <c r="H2006" s="1077" t="s">
        <v>4997</v>
      </c>
      <c r="I2006" s="1077" t="s">
        <v>126</v>
      </c>
      <c r="J2006" s="1077">
        <v>2.7</v>
      </c>
      <c r="K2006" s="1077" t="s">
        <v>5301</v>
      </c>
      <c r="L2006" s="1077" t="s">
        <v>4666</v>
      </c>
      <c r="M2006" s="1077">
        <v>150.80000000000001</v>
      </c>
      <c r="N2006" s="1077" t="s">
        <v>945</v>
      </c>
      <c r="O2006" s="1077">
        <v>3.7700000000000005</v>
      </c>
      <c r="P2006" s="1077">
        <v>3.0160000000000005</v>
      </c>
      <c r="Q2006" s="1077">
        <v>4</v>
      </c>
      <c r="R2006" s="1077">
        <v>19</v>
      </c>
      <c r="T2006" s="1077">
        <v>28.3</v>
      </c>
      <c r="U2006" s="1077">
        <v>4.3</v>
      </c>
      <c r="V2006" s="1077" t="s">
        <v>648</v>
      </c>
      <c r="W2006" s="1077">
        <v>100</v>
      </c>
      <c r="X2006" s="1077">
        <v>50</v>
      </c>
      <c r="Y2006" s="1077">
        <v>1.5</v>
      </c>
      <c r="Z2006" s="1077">
        <v>6.5</v>
      </c>
      <c r="AA2006" s="1077" t="s">
        <v>4182</v>
      </c>
      <c r="AH2006" s="1077" t="s">
        <v>966</v>
      </c>
      <c r="AM2006" s="1078" t="s">
        <v>13012</v>
      </c>
      <c r="AN2006" s="1078" t="s">
        <v>13013</v>
      </c>
      <c r="AO2006" s="1078">
        <f t="shared" si="254"/>
        <v>700</v>
      </c>
      <c r="AP2006" s="1078">
        <f t="shared" si="255"/>
        <v>1.76</v>
      </c>
      <c r="AQ2006" s="1078" t="str">
        <f t="shared" si="256"/>
        <v>1-5-1S91°</v>
      </c>
      <c r="AR2006" s="1078" t="str">
        <f t="shared" si="257"/>
        <v>30</v>
      </c>
      <c r="AS2006" s="1078" t="str">
        <f t="shared" si="258"/>
        <v>360/320/OFF</v>
      </c>
      <c r="AT2006" s="1078" t="str">
        <f t="shared" si="259"/>
        <v>1-5-1S91°</v>
      </c>
      <c r="AV2006" s="1078" t="str">
        <f t="shared" si="252"/>
        <v>110.2.26</v>
      </c>
      <c r="AW2006" s="1344">
        <f t="shared" si="253"/>
        <v>44253</v>
      </c>
    </row>
    <row r="2007" spans="1:49">
      <c r="A2007" s="1077" t="s">
        <v>6438</v>
      </c>
      <c r="B2007" s="1077" t="s">
        <v>4729</v>
      </c>
      <c r="C2007" s="1077">
        <v>700</v>
      </c>
      <c r="D2007" s="1077">
        <v>1.73</v>
      </c>
      <c r="E2007" s="1077" t="s">
        <v>15111</v>
      </c>
      <c r="F2007" s="1077" t="s">
        <v>984</v>
      </c>
      <c r="G2007" s="1077">
        <v>5</v>
      </c>
      <c r="H2007" s="1077" t="s">
        <v>4743</v>
      </c>
      <c r="I2007" s="1077" t="s">
        <v>126</v>
      </c>
      <c r="J2007" s="1077">
        <v>1.5</v>
      </c>
      <c r="K2007" s="1077" t="s">
        <v>6439</v>
      </c>
      <c r="L2007" s="1077" t="s">
        <v>4731</v>
      </c>
      <c r="M2007" s="1077">
        <v>153</v>
      </c>
      <c r="N2007" s="1077" t="s">
        <v>945</v>
      </c>
      <c r="O2007" s="1077">
        <v>3.8250000000000002</v>
      </c>
      <c r="P2007" s="1077">
        <v>3.06</v>
      </c>
      <c r="Q2007" s="1077">
        <v>4</v>
      </c>
      <c r="R2007" s="1077">
        <v>20.5</v>
      </c>
      <c r="T2007" s="1077">
        <v>11.5</v>
      </c>
      <c r="U2007" s="1077">
        <v>3.7</v>
      </c>
      <c r="V2007" s="1077" t="s">
        <v>648</v>
      </c>
      <c r="W2007" s="1077">
        <v>80</v>
      </c>
      <c r="X2007" s="1077">
        <v>20</v>
      </c>
      <c r="Y2007" s="1077">
        <v>1.7</v>
      </c>
      <c r="Z2007" s="1077">
        <v>5</v>
      </c>
      <c r="AA2007" s="1077" t="s">
        <v>4199</v>
      </c>
      <c r="AB2007" s="1077" t="s">
        <v>981</v>
      </c>
      <c r="AH2007" s="1077" t="s">
        <v>468</v>
      </c>
      <c r="AM2007" s="1078" t="s">
        <v>13014</v>
      </c>
      <c r="AN2007" s="1078" t="s">
        <v>13015</v>
      </c>
      <c r="AO2007" s="1078">
        <f t="shared" si="254"/>
        <v>700</v>
      </c>
      <c r="AP2007" s="1078">
        <f t="shared" si="255"/>
        <v>1.73</v>
      </c>
      <c r="AQ2007" s="1078" t="str">
        <f t="shared" si="256"/>
        <v>1-5-1S91</v>
      </c>
      <c r="AR2007" s="1078" t="str">
        <f t="shared" si="257"/>
        <v>30</v>
      </c>
      <c r="AS2007" s="1078" t="str">
        <f t="shared" si="258"/>
        <v>330/330/172</v>
      </c>
      <c r="AT2007" s="1078" t="str">
        <f t="shared" si="259"/>
        <v>1-5-1S91</v>
      </c>
      <c r="AV2007" s="1078" t="str">
        <f t="shared" si="252"/>
        <v>110.5.11</v>
      </c>
      <c r="AW2007" s="1344">
        <f t="shared" si="253"/>
        <v>44327</v>
      </c>
    </row>
    <row r="2008" spans="1:49">
      <c r="A2008" s="1077" t="s">
        <v>6440</v>
      </c>
      <c r="B2008" s="1077" t="s">
        <v>210</v>
      </c>
      <c r="C2008" s="1077">
        <v>650</v>
      </c>
      <c r="D2008" s="1077">
        <v>1.76</v>
      </c>
      <c r="E2008" s="1077" t="s">
        <v>15094</v>
      </c>
      <c r="F2008" s="1077" t="s">
        <v>4013</v>
      </c>
      <c r="G2008" s="1077">
        <v>5</v>
      </c>
      <c r="H2008" s="1077" t="s">
        <v>5869</v>
      </c>
      <c r="I2008" s="1077" t="s">
        <v>126</v>
      </c>
      <c r="J2008" s="1077">
        <v>1.6</v>
      </c>
      <c r="K2008" s="1077" t="s">
        <v>6284</v>
      </c>
      <c r="L2008" s="1077" t="s">
        <v>4666</v>
      </c>
      <c r="M2008" s="1077">
        <v>152.19999999999999</v>
      </c>
      <c r="N2008" s="1077" t="s">
        <v>945</v>
      </c>
      <c r="O2008" s="1077">
        <v>3.8049999999999997</v>
      </c>
      <c r="P2008" s="1077">
        <v>3.044</v>
      </c>
      <c r="Q2008" s="1077">
        <v>4</v>
      </c>
      <c r="R2008" s="1077">
        <v>19</v>
      </c>
      <c r="T2008" s="1077">
        <v>16</v>
      </c>
      <c r="U2008" s="1077">
        <v>4</v>
      </c>
      <c r="V2008" s="1077" t="s">
        <v>648</v>
      </c>
      <c r="W2008" s="1077">
        <v>95</v>
      </c>
      <c r="X2008" s="1077">
        <v>20</v>
      </c>
      <c r="Y2008" s="1077">
        <v>1.5</v>
      </c>
      <c r="Z2008" s="1077">
        <v>5</v>
      </c>
      <c r="AA2008" s="1077" t="s">
        <v>1412</v>
      </c>
      <c r="AH2008" s="1077" t="s">
        <v>722</v>
      </c>
      <c r="AM2008" s="1078" t="s">
        <v>13016</v>
      </c>
      <c r="AN2008" s="1078" t="s">
        <v>13017</v>
      </c>
      <c r="AO2008" s="1078">
        <f t="shared" si="254"/>
        <v>650</v>
      </c>
      <c r="AP2008" s="1078">
        <f t="shared" si="255"/>
        <v>1.76</v>
      </c>
      <c r="AQ2008" s="1078" t="str">
        <f t="shared" si="256"/>
        <v>1-5-1S91°</v>
      </c>
      <c r="AR2008" s="1078" t="str">
        <f t="shared" si="257"/>
        <v>30.3</v>
      </c>
      <c r="AS2008" s="1078" t="str">
        <f t="shared" si="258"/>
        <v>315/275/160</v>
      </c>
      <c r="AT2008" s="1078" t="str">
        <f t="shared" si="259"/>
        <v>1-5-1S91°</v>
      </c>
      <c r="AV2008" s="1078" t="str">
        <f t="shared" si="252"/>
        <v>110.7.6</v>
      </c>
      <c r="AW2008" s="1344">
        <f t="shared" si="253"/>
        <v>44383</v>
      </c>
    </row>
    <row r="2009" spans="1:49">
      <c r="A2009" s="1077" t="s">
        <v>6441</v>
      </c>
      <c r="B2009" s="1077" t="s">
        <v>4950</v>
      </c>
      <c r="C2009" s="1077">
        <v>500</v>
      </c>
      <c r="D2009" s="1077">
        <v>1.79</v>
      </c>
      <c r="E2009" s="1077" t="s">
        <v>15094</v>
      </c>
      <c r="F2009" s="1077" t="s">
        <v>984</v>
      </c>
      <c r="G2009" s="1077">
        <v>5</v>
      </c>
      <c r="H2009" s="1077" t="s">
        <v>1793</v>
      </c>
      <c r="I2009" s="1077" t="s">
        <v>126</v>
      </c>
      <c r="J2009" s="1077">
        <v>0.6</v>
      </c>
      <c r="K2009" s="1077" t="s">
        <v>6180</v>
      </c>
      <c r="L2009" s="1077" t="s">
        <v>4952</v>
      </c>
      <c r="M2009" s="1077">
        <v>152.5</v>
      </c>
      <c r="N2009" s="1077" t="s">
        <v>945</v>
      </c>
      <c r="O2009" s="1077">
        <v>3.8125</v>
      </c>
      <c r="P2009" s="1077">
        <v>3.0500000000000003</v>
      </c>
      <c r="Q2009" s="1077">
        <v>3</v>
      </c>
      <c r="R2009" s="1077">
        <v>28.5</v>
      </c>
      <c r="T2009" s="1077">
        <v>19.2</v>
      </c>
      <c r="U2009" s="1077">
        <v>5.0999999999999996</v>
      </c>
      <c r="V2009" s="1077" t="s">
        <v>648</v>
      </c>
      <c r="W2009" s="1077" t="s">
        <v>2709</v>
      </c>
      <c r="X2009" s="1077">
        <v>10</v>
      </c>
      <c r="Y2009" s="1077">
        <v>1.6</v>
      </c>
      <c r="Z2009" s="1077">
        <v>7</v>
      </c>
      <c r="AA2009" s="1077" t="s">
        <v>6442</v>
      </c>
      <c r="AH2009" s="1077" t="s">
        <v>762</v>
      </c>
      <c r="AM2009" s="1078" t="s">
        <v>13018</v>
      </c>
      <c r="AN2009" s="1078" t="s">
        <v>13019</v>
      </c>
      <c r="AO2009" s="1078">
        <f t="shared" si="254"/>
        <v>500</v>
      </c>
      <c r="AP2009" s="1078">
        <f t="shared" si="255"/>
        <v>1.79</v>
      </c>
      <c r="AQ2009" s="1078" t="str">
        <f t="shared" si="256"/>
        <v>1-5-1S91°</v>
      </c>
      <c r="AR2009" s="1078" t="str">
        <f t="shared" si="257"/>
        <v>30</v>
      </c>
      <c r="AS2009" s="1078" t="str">
        <f t="shared" si="258"/>
        <v>270/270/OFF</v>
      </c>
      <c r="AT2009" s="1078" t="str">
        <f t="shared" si="259"/>
        <v>1-5-1S91°</v>
      </c>
      <c r="AV2009" s="1078" t="str">
        <f t="shared" si="252"/>
        <v>110.9.2</v>
      </c>
      <c r="AW2009" s="1344">
        <f t="shared" si="253"/>
        <v>44441</v>
      </c>
    </row>
    <row r="2010" spans="1:49">
      <c r="A2010" s="1077" t="s">
        <v>6443</v>
      </c>
      <c r="B2010" s="1077" t="s">
        <v>210</v>
      </c>
      <c r="C2010" s="1077">
        <v>650</v>
      </c>
      <c r="D2010" s="1077">
        <v>1.76</v>
      </c>
      <c r="E2010" s="1077" t="s">
        <v>15094</v>
      </c>
      <c r="F2010" s="1077" t="s">
        <v>984</v>
      </c>
      <c r="G2010" s="1077">
        <v>5</v>
      </c>
      <c r="H2010" s="1077" t="s">
        <v>6011</v>
      </c>
      <c r="I2010" s="1077" t="s">
        <v>648</v>
      </c>
      <c r="J2010" s="1077">
        <v>0</v>
      </c>
      <c r="K2010" s="1077" t="s">
        <v>6444</v>
      </c>
      <c r="L2010" s="1077" t="s">
        <v>4666</v>
      </c>
      <c r="M2010" s="1077">
        <v>151.5</v>
      </c>
      <c r="N2010" s="1077" t="s">
        <v>945</v>
      </c>
      <c r="O2010" s="1077">
        <v>3.7875000000000001</v>
      </c>
      <c r="P2010" s="1077">
        <v>3.0300000000000002</v>
      </c>
      <c r="Q2010" s="1077">
        <v>4</v>
      </c>
      <c r="R2010" s="1077">
        <v>19.100000000000001</v>
      </c>
      <c r="T2010" s="1077">
        <v>19</v>
      </c>
      <c r="U2010" s="1077">
        <v>2.5</v>
      </c>
      <c r="V2010" s="1077" t="s">
        <v>648</v>
      </c>
      <c r="W2010" s="1077" t="s">
        <v>648</v>
      </c>
      <c r="X2010" s="1077" t="s">
        <v>648</v>
      </c>
      <c r="Y2010" s="1077">
        <v>1</v>
      </c>
      <c r="Z2010" s="1077">
        <v>5</v>
      </c>
      <c r="AA2010" s="1077" t="s">
        <v>3894</v>
      </c>
      <c r="AH2010" s="1077" t="s">
        <v>684</v>
      </c>
      <c r="AM2010" s="1078" t="s">
        <v>13020</v>
      </c>
      <c r="AN2010" s="1078" t="s">
        <v>13021</v>
      </c>
      <c r="AO2010" s="1078">
        <f t="shared" si="254"/>
        <v>650</v>
      </c>
      <c r="AP2010" s="1078">
        <f t="shared" si="255"/>
        <v>1.76</v>
      </c>
      <c r="AQ2010" s="1078" t="str">
        <f t="shared" si="256"/>
        <v>1-5-1S91°</v>
      </c>
      <c r="AR2010" s="1078" t="str">
        <f t="shared" si="257"/>
        <v>30</v>
      </c>
      <c r="AS2010" s="1078" t="str">
        <f t="shared" si="258"/>
        <v>350/310/152</v>
      </c>
      <c r="AT2010" s="1078" t="str">
        <f t="shared" si="259"/>
        <v>1-5-1S91°</v>
      </c>
      <c r="AV2010" s="1078" t="str">
        <f t="shared" si="252"/>
        <v>110.10.22</v>
      </c>
      <c r="AW2010" s="1344">
        <f t="shared" si="253"/>
        <v>44491</v>
      </c>
    </row>
    <row r="2011" spans="1:49">
      <c r="A2011" s="1077" t="s">
        <v>6445</v>
      </c>
      <c r="B2011" s="1077" t="s">
        <v>4944</v>
      </c>
      <c r="C2011" s="1077">
        <v>650</v>
      </c>
      <c r="D2011" s="1077">
        <v>1.71</v>
      </c>
      <c r="E2011" s="1077" t="s">
        <v>15094</v>
      </c>
      <c r="F2011" s="1077" t="s">
        <v>984</v>
      </c>
      <c r="G2011" s="1077">
        <v>5.5</v>
      </c>
      <c r="H2011" s="1077" t="s">
        <v>1061</v>
      </c>
      <c r="I2011" s="1077" t="s">
        <v>126</v>
      </c>
      <c r="J2011" s="1077">
        <v>1.4</v>
      </c>
      <c r="K2011" s="1077" t="s">
        <v>6446</v>
      </c>
      <c r="L2011" s="1077" t="s">
        <v>4946</v>
      </c>
      <c r="M2011" s="1077">
        <v>150.6</v>
      </c>
      <c r="N2011" s="1077" t="s">
        <v>945</v>
      </c>
      <c r="O2011" s="1077">
        <v>3.7650000000000001</v>
      </c>
      <c r="P2011" s="1077">
        <v>3.012</v>
      </c>
      <c r="Q2011" s="1077">
        <v>3</v>
      </c>
      <c r="R2011" s="1077">
        <v>28</v>
      </c>
      <c r="T2011" s="1077">
        <v>14.8</v>
      </c>
      <c r="U2011" s="1077">
        <v>7</v>
      </c>
      <c r="V2011" s="1077" t="s">
        <v>648</v>
      </c>
      <c r="W2011" s="1077" t="s">
        <v>4947</v>
      </c>
      <c r="X2011" s="1077">
        <v>10</v>
      </c>
      <c r="Y2011" s="1077">
        <v>1.3</v>
      </c>
      <c r="Z2011" s="1077">
        <v>6</v>
      </c>
      <c r="AA2011" s="1077" t="s">
        <v>3991</v>
      </c>
      <c r="AH2011" s="1077" t="s">
        <v>994</v>
      </c>
      <c r="AM2011" s="1078" t="s">
        <v>13022</v>
      </c>
      <c r="AN2011" s="1078" t="s">
        <v>13023</v>
      </c>
      <c r="AO2011" s="1078">
        <f t="shared" si="254"/>
        <v>650</v>
      </c>
      <c r="AP2011" s="1078">
        <f t="shared" si="255"/>
        <v>1.71</v>
      </c>
      <c r="AQ2011" s="1078" t="str">
        <f t="shared" si="256"/>
        <v>1-5-1S91°</v>
      </c>
      <c r="AR2011" s="1078" t="str">
        <f t="shared" si="257"/>
        <v>30</v>
      </c>
      <c r="AS2011" s="1078" t="str">
        <f t="shared" si="258"/>
        <v>255/255/OFF</v>
      </c>
      <c r="AT2011" s="1078" t="str">
        <f t="shared" si="259"/>
        <v>1-5-1S91°</v>
      </c>
      <c r="AV2011" s="1078" t="str">
        <f t="shared" si="252"/>
        <v>110.12.6</v>
      </c>
      <c r="AW2011" s="1344">
        <f t="shared" si="253"/>
        <v>44536</v>
      </c>
    </row>
    <row r="2012" spans="1:49">
      <c r="A2012" s="1077" t="s">
        <v>6447</v>
      </c>
      <c r="B2012" s="1077" t="s">
        <v>416</v>
      </c>
      <c r="C2012" s="1077" t="s">
        <v>6448</v>
      </c>
      <c r="D2012" s="1077">
        <v>1.76</v>
      </c>
      <c r="E2012" s="1077" t="s">
        <v>15094</v>
      </c>
      <c r="F2012" s="1077" t="s">
        <v>984</v>
      </c>
      <c r="G2012" s="1077">
        <v>5</v>
      </c>
      <c r="H2012" s="1077" t="s">
        <v>5655</v>
      </c>
      <c r="I2012" s="1077" t="s">
        <v>126</v>
      </c>
      <c r="J2012" s="1077">
        <v>0.7</v>
      </c>
      <c r="K2012" s="1077" t="s">
        <v>6370</v>
      </c>
      <c r="L2012" s="1077" t="s">
        <v>6291</v>
      </c>
      <c r="M2012" s="1077">
        <v>151.5</v>
      </c>
      <c r="N2012" s="1077" t="s">
        <v>945</v>
      </c>
      <c r="O2012" s="1077">
        <v>3.7875000000000001</v>
      </c>
      <c r="P2012" s="1077">
        <v>3.0300000000000002</v>
      </c>
      <c r="Q2012" s="1077">
        <v>4</v>
      </c>
      <c r="R2012" s="1077">
        <v>19.100000000000001</v>
      </c>
      <c r="T2012" s="1077">
        <v>23.7</v>
      </c>
      <c r="U2012" s="1077">
        <v>3.2</v>
      </c>
      <c r="V2012" s="1077" t="s">
        <v>648</v>
      </c>
      <c r="W2012" s="1077">
        <v>35</v>
      </c>
      <c r="X2012" s="1077">
        <v>10</v>
      </c>
      <c r="Y2012" s="1077">
        <v>1</v>
      </c>
      <c r="Z2012" s="1077">
        <v>6</v>
      </c>
      <c r="AA2012" s="1077" t="s">
        <v>3907</v>
      </c>
      <c r="AH2012" s="1077" t="s">
        <v>1482</v>
      </c>
      <c r="AI2012" s="1077">
        <v>91.72</v>
      </c>
      <c r="AJ2012" s="1077">
        <v>-0.21</v>
      </c>
      <c r="AK2012" s="1077">
        <v>1.06</v>
      </c>
      <c r="AM2012" s="1078" t="s">
        <v>13024</v>
      </c>
      <c r="AN2012" s="1078" t="s">
        <v>13025</v>
      </c>
      <c r="AO2012" s="1078" t="str">
        <f t="shared" si="254"/>
        <v>650↓600-113.5/16</v>
      </c>
      <c r="AP2012" s="1078">
        <f t="shared" si="255"/>
        <v>1.76</v>
      </c>
      <c r="AQ2012" s="1078" t="str">
        <f t="shared" si="256"/>
        <v>1-5-1S91°</v>
      </c>
      <c r="AR2012" s="1078" t="str">
        <f t="shared" si="257"/>
        <v>30</v>
      </c>
      <c r="AS2012" s="1078" t="str">
        <f t="shared" si="258"/>
        <v>345/305/150</v>
      </c>
      <c r="AT2012" s="1078" t="str">
        <f t="shared" si="259"/>
        <v>1-5-1S91°</v>
      </c>
      <c r="AV2012" s="1078" t="str">
        <f t="shared" si="252"/>
        <v>113.1.15</v>
      </c>
      <c r="AW2012" s="1344">
        <f t="shared" si="253"/>
        <v>45306</v>
      </c>
    </row>
    <row r="2013" spans="1:49">
      <c r="A2013" s="1077" t="s">
        <v>6449</v>
      </c>
      <c r="B2013" s="1077" t="s">
        <v>5005</v>
      </c>
      <c r="C2013" s="1077">
        <v>500</v>
      </c>
      <c r="D2013" s="1077">
        <v>1.71</v>
      </c>
      <c r="E2013" s="1077" t="s">
        <v>15108</v>
      </c>
      <c r="F2013" s="1077" t="s">
        <v>954</v>
      </c>
      <c r="G2013" s="1077">
        <v>4</v>
      </c>
      <c r="H2013" s="1077" t="s">
        <v>1226</v>
      </c>
      <c r="I2013" s="1077" t="s">
        <v>126</v>
      </c>
      <c r="J2013" s="1077">
        <v>1.9</v>
      </c>
      <c r="K2013" s="1077" t="s">
        <v>6450</v>
      </c>
      <c r="L2013" s="1077" t="s">
        <v>6451</v>
      </c>
      <c r="M2013" s="1077">
        <v>154</v>
      </c>
      <c r="N2013" s="1077" t="s">
        <v>945</v>
      </c>
      <c r="O2013" s="1077">
        <v>3.85</v>
      </c>
      <c r="P2013" s="1077">
        <v>3.08</v>
      </c>
      <c r="Q2013" s="1077">
        <v>3.5</v>
      </c>
      <c r="R2013" s="1077">
        <v>21</v>
      </c>
      <c r="T2013" s="1077">
        <v>15</v>
      </c>
      <c r="U2013" s="1077">
        <v>4.2</v>
      </c>
      <c r="V2013" s="1077" t="s">
        <v>648</v>
      </c>
      <c r="W2013" s="1077">
        <v>140</v>
      </c>
      <c r="X2013" s="1077">
        <v>90</v>
      </c>
      <c r="Y2013" s="1077">
        <v>1.6</v>
      </c>
      <c r="Z2013" s="1077" t="s">
        <v>648</v>
      </c>
      <c r="AA2013" s="1077" t="s">
        <v>1637</v>
      </c>
      <c r="AH2013" s="1077" t="s">
        <v>966</v>
      </c>
      <c r="AI2013" s="1077">
        <v>95.04</v>
      </c>
      <c r="AJ2013" s="1077">
        <v>-1.24</v>
      </c>
      <c r="AK2013" s="1077">
        <v>3.75</v>
      </c>
      <c r="AM2013" s="1078" t="s">
        <v>13026</v>
      </c>
      <c r="AN2013" s="1078" t="s">
        <v>13027</v>
      </c>
      <c r="AO2013" s="1078">
        <f t="shared" si="254"/>
        <v>500</v>
      </c>
      <c r="AP2013" s="1078">
        <f t="shared" si="255"/>
        <v>1.71</v>
      </c>
      <c r="AQ2013" s="1078" t="str">
        <f t="shared" si="256"/>
        <v>1-4-1S83°Z+S</v>
      </c>
      <c r="AR2013" s="1078" t="str">
        <f t="shared" si="257"/>
        <v>31</v>
      </c>
      <c r="AS2013" s="1078" t="str">
        <f t="shared" si="258"/>
        <v>230/230/OFF</v>
      </c>
      <c r="AT2013" s="1078" t="str">
        <f t="shared" si="259"/>
        <v>1-4-1S83°Z+S</v>
      </c>
      <c r="AU2013" s="1078" t="s">
        <v>15547</v>
      </c>
      <c r="AV2013" s="1078" t="str">
        <f t="shared" si="252"/>
        <v>113.1.16</v>
      </c>
      <c r="AW2013" s="1344">
        <f t="shared" si="253"/>
        <v>45307</v>
      </c>
    </row>
    <row r="2014" spans="1:49">
      <c r="A2014" s="1077" t="s">
        <v>6452</v>
      </c>
      <c r="B2014" s="1077" t="s">
        <v>617</v>
      </c>
      <c r="C2014" s="1077">
        <v>600</v>
      </c>
      <c r="D2014" s="1077">
        <v>1.74</v>
      </c>
      <c r="E2014" s="1077" t="s">
        <v>15094</v>
      </c>
      <c r="F2014" s="1077" t="s">
        <v>984</v>
      </c>
      <c r="G2014" s="1077">
        <v>5</v>
      </c>
      <c r="H2014" s="1077" t="s">
        <v>955</v>
      </c>
      <c r="I2014" s="1077" t="s">
        <v>126</v>
      </c>
      <c r="J2014" s="1077">
        <v>2.5</v>
      </c>
      <c r="K2014" s="1077" t="s">
        <v>6453</v>
      </c>
      <c r="L2014" s="1077" t="s">
        <v>4854</v>
      </c>
      <c r="M2014" s="1077">
        <v>150.30000000000001</v>
      </c>
      <c r="N2014" s="1077" t="s">
        <v>945</v>
      </c>
      <c r="O2014" s="1077">
        <v>3.7575000000000003</v>
      </c>
      <c r="P2014" s="1077">
        <v>3.0060000000000002</v>
      </c>
      <c r="Q2014" s="1077">
        <v>3</v>
      </c>
      <c r="R2014" s="1077">
        <v>25.5</v>
      </c>
      <c r="T2014" s="1077">
        <v>13</v>
      </c>
      <c r="U2014" s="1077">
        <v>7</v>
      </c>
      <c r="V2014" s="1077" t="s">
        <v>648</v>
      </c>
      <c r="W2014" s="1077">
        <v>115</v>
      </c>
      <c r="X2014" s="1077">
        <v>50</v>
      </c>
      <c r="Y2014" s="1077">
        <v>1.7</v>
      </c>
      <c r="Z2014" s="1077">
        <v>6.5</v>
      </c>
      <c r="AA2014" s="1077" t="s">
        <v>3904</v>
      </c>
      <c r="AH2014" s="1077" t="s">
        <v>838</v>
      </c>
      <c r="AI2014" s="1077">
        <v>93.06</v>
      </c>
      <c r="AJ2014" s="1077">
        <v>-0.8</v>
      </c>
      <c r="AK2014" s="1077">
        <v>4.8600000000000003</v>
      </c>
      <c r="AM2014" s="1078" t="s">
        <v>13028</v>
      </c>
      <c r="AN2014" s="1078" t="s">
        <v>13029</v>
      </c>
      <c r="AO2014" s="1078">
        <f t="shared" si="254"/>
        <v>600</v>
      </c>
      <c r="AP2014" s="1078">
        <f t="shared" si="255"/>
        <v>1.74</v>
      </c>
      <c r="AQ2014" s="1078" t="str">
        <f t="shared" si="256"/>
        <v>1-5-1S91°</v>
      </c>
      <c r="AR2014" s="1078" t="str">
        <f t="shared" si="257"/>
        <v>30</v>
      </c>
      <c r="AS2014" s="1078" t="str">
        <f t="shared" si="258"/>
        <v>260/260/OFF</v>
      </c>
      <c r="AT2014" s="1078" t="str">
        <f t="shared" si="259"/>
        <v>1-5-1S91°</v>
      </c>
      <c r="AV2014" s="1078" t="str">
        <f t="shared" si="252"/>
        <v>113.1.12</v>
      </c>
      <c r="AW2014" s="1344">
        <f t="shared" si="253"/>
        <v>45303</v>
      </c>
    </row>
    <row r="2015" spans="1:49">
      <c r="A2015" s="1077" t="s">
        <v>6454</v>
      </c>
      <c r="B2015" s="1077" t="s">
        <v>416</v>
      </c>
      <c r="C2015" s="1077">
        <v>650</v>
      </c>
      <c r="D2015" s="1077">
        <v>1.76</v>
      </c>
      <c r="E2015" s="1077" t="s">
        <v>15094</v>
      </c>
      <c r="F2015" s="1077" t="s">
        <v>984</v>
      </c>
      <c r="G2015" s="1077">
        <v>5</v>
      </c>
      <c r="H2015" s="1077" t="s">
        <v>5483</v>
      </c>
      <c r="I2015" s="1077" t="s">
        <v>126</v>
      </c>
      <c r="J2015" s="1077">
        <v>0.7</v>
      </c>
      <c r="K2015" s="1077" t="s">
        <v>6370</v>
      </c>
      <c r="L2015" s="1077" t="s">
        <v>6291</v>
      </c>
      <c r="M2015" s="1077">
        <v>151.5</v>
      </c>
      <c r="N2015" s="1077" t="s">
        <v>945</v>
      </c>
      <c r="O2015" s="1077">
        <v>3.7875000000000001</v>
      </c>
      <c r="P2015" s="1077">
        <v>3.0300000000000002</v>
      </c>
      <c r="Q2015" s="1077">
        <v>4</v>
      </c>
      <c r="R2015" s="1077">
        <v>19.100000000000001</v>
      </c>
      <c r="T2015" s="1077">
        <v>23.7</v>
      </c>
      <c r="U2015" s="1077">
        <v>3.2</v>
      </c>
      <c r="V2015" s="1077" t="s">
        <v>648</v>
      </c>
      <c r="W2015" s="1077">
        <v>35</v>
      </c>
      <c r="X2015" s="1077">
        <v>10</v>
      </c>
      <c r="Y2015" s="1077">
        <v>1</v>
      </c>
      <c r="Z2015" s="1077">
        <v>6</v>
      </c>
      <c r="AA2015" s="1077" t="s">
        <v>4489</v>
      </c>
      <c r="AH2015" s="1077" t="s">
        <v>3213</v>
      </c>
      <c r="AI2015" s="1077">
        <v>91.3</v>
      </c>
      <c r="AJ2015" s="1077">
        <v>0.56999999999999995</v>
      </c>
      <c r="AK2015" s="1077">
        <v>0.64</v>
      </c>
      <c r="AM2015" s="1078" t="s">
        <v>13030</v>
      </c>
      <c r="AN2015" s="1078" t="s">
        <v>13031</v>
      </c>
      <c r="AO2015" s="1078">
        <f t="shared" si="254"/>
        <v>650</v>
      </c>
      <c r="AP2015" s="1078">
        <f t="shared" si="255"/>
        <v>1.76</v>
      </c>
      <c r="AQ2015" s="1078" t="str">
        <f t="shared" si="256"/>
        <v>1-5-1S91°</v>
      </c>
      <c r="AR2015" s="1078" t="str">
        <f t="shared" si="257"/>
        <v>30</v>
      </c>
      <c r="AS2015" s="1078" t="str">
        <f t="shared" si="258"/>
        <v>350/310/150</v>
      </c>
      <c r="AT2015" s="1078" t="str">
        <f t="shared" si="259"/>
        <v>1-5-1S91°</v>
      </c>
      <c r="AV2015" s="1078" t="str">
        <f t="shared" si="252"/>
        <v>113.1.18</v>
      </c>
      <c r="AW2015" s="1344">
        <f t="shared" si="253"/>
        <v>45309</v>
      </c>
    </row>
    <row r="2016" spans="1:49">
      <c r="A2016" s="1077" t="s">
        <v>6455</v>
      </c>
      <c r="B2016" s="1077" t="s">
        <v>4729</v>
      </c>
      <c r="C2016" s="1077">
        <v>600</v>
      </c>
      <c r="D2016" s="1077">
        <v>1.7050000000000001</v>
      </c>
      <c r="E2016" s="1077" t="s">
        <v>15111</v>
      </c>
      <c r="F2016" s="1077" t="s">
        <v>984</v>
      </c>
      <c r="G2016" s="1077">
        <v>5</v>
      </c>
      <c r="H2016" s="1077" t="s">
        <v>3143</v>
      </c>
      <c r="I2016" s="1077" t="s">
        <v>126</v>
      </c>
      <c r="J2016" s="1077">
        <v>1.1000000000000001</v>
      </c>
      <c r="K2016" s="1077" t="s">
        <v>6456</v>
      </c>
      <c r="L2016" s="1077" t="s">
        <v>4731</v>
      </c>
      <c r="M2016" s="1077">
        <v>157</v>
      </c>
      <c r="N2016" s="1077" t="s">
        <v>945</v>
      </c>
      <c r="O2016" s="1077">
        <v>3.9250000000000003</v>
      </c>
      <c r="P2016" s="1077">
        <v>3.14</v>
      </c>
      <c r="Q2016" s="1077">
        <v>3.5</v>
      </c>
      <c r="R2016" s="1077">
        <v>22</v>
      </c>
      <c r="T2016" s="1077">
        <v>11.5</v>
      </c>
      <c r="U2016" s="1077">
        <v>3.5</v>
      </c>
      <c r="V2016" s="1077" t="s">
        <v>648</v>
      </c>
      <c r="W2016" s="1077">
        <v>80</v>
      </c>
      <c r="X2016" s="1077">
        <v>20</v>
      </c>
      <c r="Y2016" s="1077">
        <v>1.5</v>
      </c>
      <c r="Z2016" s="1077">
        <v>5</v>
      </c>
      <c r="AA2016" s="1077" t="s">
        <v>3911</v>
      </c>
      <c r="AH2016" s="1077" t="s">
        <v>875</v>
      </c>
      <c r="AI2016" s="1077">
        <v>93.78</v>
      </c>
      <c r="AJ2016" s="1077">
        <v>-0.05</v>
      </c>
      <c r="AK2016" s="1077">
        <v>0.71</v>
      </c>
      <c r="AM2016" s="1078" t="s">
        <v>13032</v>
      </c>
      <c r="AN2016" s="1078" t="s">
        <v>13033</v>
      </c>
      <c r="AO2016" s="1078">
        <f t="shared" si="254"/>
        <v>600</v>
      </c>
      <c r="AP2016" s="1078">
        <f t="shared" si="255"/>
        <v>1.7050000000000001</v>
      </c>
      <c r="AQ2016" s="1078" t="str">
        <f t="shared" si="256"/>
        <v>1-5-1S91</v>
      </c>
      <c r="AR2016" s="1078" t="str">
        <f t="shared" si="257"/>
        <v>30</v>
      </c>
      <c r="AS2016" s="1078" t="str">
        <f t="shared" si="258"/>
        <v>300/300/160</v>
      </c>
      <c r="AT2016" s="1078" t="str">
        <f t="shared" si="259"/>
        <v>1-5-1S91</v>
      </c>
      <c r="AV2016" s="1078" t="str">
        <f t="shared" si="252"/>
        <v>113.1.19</v>
      </c>
      <c r="AW2016" s="1344">
        <f t="shared" si="253"/>
        <v>45310</v>
      </c>
    </row>
    <row r="2017" spans="1:49">
      <c r="A2017" s="1077" t="s">
        <v>6457</v>
      </c>
      <c r="B2017" s="1077" t="s">
        <v>4767</v>
      </c>
      <c r="C2017" s="1077" t="s">
        <v>5931</v>
      </c>
      <c r="D2017" s="1077">
        <v>1.7050000000000001</v>
      </c>
      <c r="E2017" s="1077" t="s">
        <v>15121</v>
      </c>
      <c r="F2017" s="1077" t="s">
        <v>648</v>
      </c>
      <c r="G2017" s="1077">
        <v>5</v>
      </c>
      <c r="H2017" s="1077" t="s">
        <v>1188</v>
      </c>
      <c r="I2017" s="1077" t="s">
        <v>126</v>
      </c>
      <c r="J2017" s="1077">
        <v>1.3</v>
      </c>
      <c r="K2017" s="1077" t="s">
        <v>6458</v>
      </c>
      <c r="L2017" s="1077" t="s">
        <v>1821</v>
      </c>
      <c r="M2017" s="1077">
        <v>148</v>
      </c>
      <c r="N2017" s="1077" t="s">
        <v>945</v>
      </c>
      <c r="O2017" s="1077">
        <v>3.7</v>
      </c>
      <c r="P2017" s="1077">
        <v>2.96</v>
      </c>
      <c r="Q2017" s="1077">
        <v>4</v>
      </c>
      <c r="R2017" s="1077">
        <v>20.8</v>
      </c>
      <c r="T2017" s="1077">
        <v>20.399999999999999</v>
      </c>
      <c r="U2017" s="1077">
        <v>3.8</v>
      </c>
      <c r="V2017" s="1077" t="s">
        <v>648</v>
      </c>
      <c r="W2017" s="1077">
        <v>110</v>
      </c>
      <c r="X2017" s="1077" t="s">
        <v>2395</v>
      </c>
      <c r="Y2017" s="1077">
        <v>1.7</v>
      </c>
      <c r="Z2017" s="1077" t="s">
        <v>648</v>
      </c>
      <c r="AA2017" s="1077" t="s">
        <v>3913</v>
      </c>
      <c r="AB2017" s="1077" t="s">
        <v>981</v>
      </c>
      <c r="AH2017" s="1077" t="s">
        <v>842</v>
      </c>
      <c r="AI2017" s="1077">
        <v>93.37</v>
      </c>
      <c r="AJ2017" s="1077">
        <v>-0.1</v>
      </c>
      <c r="AK2017" s="1077">
        <v>1.05</v>
      </c>
      <c r="AM2017" s="1078" t="s">
        <v>13034</v>
      </c>
      <c r="AN2017" s="1078" t="s">
        <v>13035</v>
      </c>
      <c r="AO2017" s="1078" t="str">
        <f t="shared" si="254"/>
        <v>650↓600-2/23</v>
      </c>
      <c r="AP2017" s="1078">
        <f t="shared" si="255"/>
        <v>1.7050000000000001</v>
      </c>
      <c r="AQ2017" s="1078" t="str">
        <f t="shared" si="256"/>
        <v>1-5-1S85°S+Z</v>
      </c>
      <c r="AR2017" s="1078" t="str">
        <f t="shared" si="257"/>
        <v>NA</v>
      </c>
      <c r="AS2017" s="1078" t="str">
        <f t="shared" si="258"/>
        <v>177/OFF</v>
      </c>
      <c r="AT2017" s="1078" t="str">
        <f t="shared" si="259"/>
        <v>1-5-1S85°S+Z</v>
      </c>
      <c r="AU2017" s="1078" t="s">
        <v>15550</v>
      </c>
      <c r="AV2017" s="1078" t="str">
        <f t="shared" si="252"/>
        <v>113.1.22</v>
      </c>
      <c r="AW2017" s="1344">
        <f t="shared" si="253"/>
        <v>45313</v>
      </c>
    </row>
    <row r="2018" spans="1:49">
      <c r="A2018" s="1077" t="s">
        <v>6459</v>
      </c>
      <c r="B2018" s="1077" t="s">
        <v>416</v>
      </c>
      <c r="C2018" s="1077">
        <v>650</v>
      </c>
      <c r="D2018" s="1077">
        <v>1.7549999999999999</v>
      </c>
      <c r="E2018" s="1077" t="s">
        <v>15094</v>
      </c>
      <c r="F2018" s="1077" t="s">
        <v>984</v>
      </c>
      <c r="G2018" s="1077">
        <v>5</v>
      </c>
      <c r="H2018" s="1077" t="s">
        <v>5483</v>
      </c>
      <c r="I2018" s="1077" t="s">
        <v>126</v>
      </c>
      <c r="J2018" s="1077">
        <v>0.7</v>
      </c>
      <c r="K2018" s="1077" t="s">
        <v>6370</v>
      </c>
      <c r="L2018" s="1077" t="s">
        <v>6291</v>
      </c>
      <c r="M2018" s="1077">
        <v>151.5</v>
      </c>
      <c r="N2018" s="1077" t="s">
        <v>945</v>
      </c>
      <c r="O2018" s="1077">
        <v>3.7875000000000001</v>
      </c>
      <c r="P2018" s="1077">
        <v>3.0300000000000002</v>
      </c>
      <c r="Q2018" s="1077">
        <v>4</v>
      </c>
      <c r="R2018" s="1077">
        <v>19.100000000000001</v>
      </c>
      <c r="T2018" s="1077">
        <v>23.7</v>
      </c>
      <c r="U2018" s="1077">
        <v>3.2</v>
      </c>
      <c r="V2018" s="1077" t="s">
        <v>648</v>
      </c>
      <c r="W2018" s="1077">
        <v>35</v>
      </c>
      <c r="X2018" s="1077">
        <v>10</v>
      </c>
      <c r="Y2018" s="1077">
        <v>1</v>
      </c>
      <c r="Z2018" s="1077">
        <v>6</v>
      </c>
      <c r="AA2018" s="1077" t="s">
        <v>3913</v>
      </c>
      <c r="AH2018" s="1077" t="s">
        <v>1244</v>
      </c>
      <c r="AI2018" s="1077">
        <v>91.6</v>
      </c>
      <c r="AJ2018" s="1077">
        <v>-0.14000000000000001</v>
      </c>
      <c r="AK2018" s="1077">
        <v>1.21</v>
      </c>
      <c r="AM2018" s="1078" t="s">
        <v>13036</v>
      </c>
      <c r="AN2018" s="1078" t="s">
        <v>13037</v>
      </c>
      <c r="AO2018" s="1078">
        <f t="shared" si="254"/>
        <v>650</v>
      </c>
      <c r="AP2018" s="1078">
        <f t="shared" si="255"/>
        <v>1.7549999999999999</v>
      </c>
      <c r="AQ2018" s="1078" t="str">
        <f t="shared" si="256"/>
        <v>1-5-1S91°</v>
      </c>
      <c r="AR2018" s="1078" t="str">
        <f t="shared" si="257"/>
        <v>30</v>
      </c>
      <c r="AS2018" s="1078" t="str">
        <f t="shared" si="258"/>
        <v>350/310/150</v>
      </c>
      <c r="AT2018" s="1078" t="str">
        <f t="shared" si="259"/>
        <v>1-5-1S91°</v>
      </c>
      <c r="AV2018" s="1078" t="str">
        <f t="shared" si="252"/>
        <v>113.1.22</v>
      </c>
      <c r="AW2018" s="1344">
        <f t="shared" si="253"/>
        <v>45313</v>
      </c>
    </row>
    <row r="2019" spans="1:49">
      <c r="A2019" s="1077" t="s">
        <v>6460</v>
      </c>
      <c r="B2019" s="1077" t="s">
        <v>210</v>
      </c>
      <c r="C2019" s="1077">
        <v>650</v>
      </c>
      <c r="D2019" s="1077">
        <v>1.76</v>
      </c>
      <c r="E2019" s="1077" t="s">
        <v>15094</v>
      </c>
      <c r="F2019" s="1077" t="s">
        <v>984</v>
      </c>
      <c r="G2019" s="1077">
        <v>5</v>
      </c>
      <c r="H2019" s="1077" t="s">
        <v>6241</v>
      </c>
      <c r="I2019" s="1077" t="s">
        <v>648</v>
      </c>
      <c r="J2019" s="1077">
        <v>0</v>
      </c>
      <c r="K2019" s="1077" t="s">
        <v>6461</v>
      </c>
      <c r="L2019" s="1077" t="s">
        <v>6291</v>
      </c>
      <c r="M2019" s="1077">
        <v>151.5</v>
      </c>
      <c r="N2019" s="1077" t="s">
        <v>945</v>
      </c>
      <c r="O2019" s="1077">
        <v>3.7875000000000001</v>
      </c>
      <c r="P2019" s="1077">
        <v>3.0300000000000002</v>
      </c>
      <c r="Q2019" s="1077">
        <v>4</v>
      </c>
      <c r="R2019" s="1077">
        <v>19.100000000000001</v>
      </c>
      <c r="T2019" s="1077">
        <v>19</v>
      </c>
      <c r="U2019" s="1077">
        <v>2.5</v>
      </c>
      <c r="V2019" s="1077" t="s">
        <v>648</v>
      </c>
      <c r="W2019" s="1077" t="s">
        <v>648</v>
      </c>
      <c r="X2019" s="1077" t="s">
        <v>648</v>
      </c>
      <c r="Y2019" s="1077">
        <v>1</v>
      </c>
      <c r="Z2019" s="1077">
        <v>5</v>
      </c>
      <c r="AA2019" s="1077" t="s">
        <v>6462</v>
      </c>
      <c r="AH2019" s="1077" t="s">
        <v>619</v>
      </c>
      <c r="AI2019" s="1077">
        <v>91.64</v>
      </c>
      <c r="AJ2019" s="1077">
        <v>-0.12</v>
      </c>
      <c r="AK2019" s="1077">
        <v>0.88</v>
      </c>
      <c r="AM2019" s="1078" t="s">
        <v>13038</v>
      </c>
      <c r="AN2019" s="1078" t="s">
        <v>13039</v>
      </c>
      <c r="AO2019" s="1078">
        <f t="shared" si="254"/>
        <v>650</v>
      </c>
      <c r="AP2019" s="1078">
        <f t="shared" si="255"/>
        <v>1.76</v>
      </c>
      <c r="AQ2019" s="1078" t="str">
        <f t="shared" si="256"/>
        <v>1-5-1S91°</v>
      </c>
      <c r="AR2019" s="1078" t="str">
        <f t="shared" si="257"/>
        <v>30</v>
      </c>
      <c r="AS2019" s="1078" t="str">
        <f t="shared" si="258"/>
        <v>345/305/155</v>
      </c>
      <c r="AT2019" s="1078" t="str">
        <f t="shared" si="259"/>
        <v>1-5-1S91°</v>
      </c>
      <c r="AV2019" s="1078" t="str">
        <f t="shared" si="252"/>
        <v>113.1.23</v>
      </c>
      <c r="AW2019" s="1344">
        <f t="shared" si="253"/>
        <v>45314</v>
      </c>
    </row>
    <row r="2020" spans="1:49">
      <c r="A2020" s="1077" t="s">
        <v>6463</v>
      </c>
      <c r="B2020" s="1077" t="s">
        <v>4860</v>
      </c>
      <c r="C2020" s="1077" t="s">
        <v>6464</v>
      </c>
      <c r="D2020" s="1077">
        <v>1.77</v>
      </c>
      <c r="E2020" s="1077" t="s">
        <v>15109</v>
      </c>
      <c r="F2020" s="1077" t="s">
        <v>648</v>
      </c>
      <c r="G2020" s="1077">
        <v>5</v>
      </c>
      <c r="H2020" s="1077" t="s">
        <v>4874</v>
      </c>
      <c r="I2020" s="1077" t="s">
        <v>6229</v>
      </c>
      <c r="J2020" s="1077" t="s">
        <v>6465</v>
      </c>
      <c r="K2020" s="1077" t="s">
        <v>6466</v>
      </c>
      <c r="L2020" s="1077" t="s">
        <v>6335</v>
      </c>
      <c r="M2020" s="1077">
        <v>149.5</v>
      </c>
      <c r="N2020" s="1077" t="s">
        <v>945</v>
      </c>
      <c r="O2020" s="1077">
        <v>3.7375000000000003</v>
      </c>
      <c r="P2020" s="1077">
        <v>2.99</v>
      </c>
      <c r="Q2020" s="1077">
        <v>4</v>
      </c>
      <c r="R2020" s="1077">
        <v>21</v>
      </c>
      <c r="T2020" s="1077">
        <v>37</v>
      </c>
      <c r="U2020" s="1077">
        <v>3.7</v>
      </c>
      <c r="V2020" s="1077" t="s">
        <v>648</v>
      </c>
      <c r="W2020" s="1077">
        <v>110</v>
      </c>
      <c r="X2020" s="1077">
        <v>40</v>
      </c>
      <c r="Y2020" s="1077">
        <v>2.2000000000000002</v>
      </c>
      <c r="Z2020" s="1077" t="s">
        <v>648</v>
      </c>
      <c r="AA2020" s="1077" t="s">
        <v>6467</v>
      </c>
      <c r="AH2020" s="1077" t="s">
        <v>614</v>
      </c>
      <c r="AI2020" s="1077">
        <v>91.51</v>
      </c>
      <c r="AJ2020" s="1077">
        <v>-0.47</v>
      </c>
      <c r="AK2020" s="1077">
        <v>1.26</v>
      </c>
      <c r="AM2020" s="1078" t="s">
        <v>13040</v>
      </c>
      <c r="AN2020" s="1078" t="s">
        <v>13041</v>
      </c>
      <c r="AO2020" s="1078" t="str">
        <f t="shared" si="254"/>
        <v>750↓700-5/13</v>
      </c>
      <c r="AP2020" s="1078">
        <f t="shared" si="255"/>
        <v>1.77</v>
      </c>
      <c r="AQ2020" s="1078" t="str">
        <f t="shared" si="256"/>
        <v>1-5-1S85°Z+S</v>
      </c>
      <c r="AR2020" s="1078" t="str">
        <f t="shared" si="257"/>
        <v>NA</v>
      </c>
      <c r="AS2020" s="1078" t="str">
        <f t="shared" si="258"/>
        <v>187/OFF</v>
      </c>
      <c r="AT2020" s="1078" t="str">
        <f t="shared" si="259"/>
        <v>1-5-1S85°Z+S</v>
      </c>
      <c r="AU2020" s="1078" t="s">
        <v>15547</v>
      </c>
      <c r="AV2020" s="1078" t="str">
        <f t="shared" si="252"/>
        <v>113.1.24</v>
      </c>
      <c r="AW2020" s="1344">
        <f t="shared" si="253"/>
        <v>45315</v>
      </c>
    </row>
    <row r="2021" spans="1:49">
      <c r="A2021" s="1077" t="s">
        <v>6468</v>
      </c>
      <c r="B2021" s="1077" t="s">
        <v>844</v>
      </c>
      <c r="C2021" s="1077">
        <v>600</v>
      </c>
      <c r="D2021" s="1077">
        <v>1.79</v>
      </c>
      <c r="E2021" s="1077" t="s">
        <v>15094</v>
      </c>
      <c r="F2021" s="1077" t="s">
        <v>954</v>
      </c>
      <c r="G2021" s="1077">
        <v>5</v>
      </c>
      <c r="H2021" s="1077" t="s">
        <v>5126</v>
      </c>
      <c r="I2021" s="1077" t="s">
        <v>460</v>
      </c>
      <c r="J2021" s="1077">
        <v>3.9</v>
      </c>
      <c r="K2021" s="1077" t="s">
        <v>6237</v>
      </c>
      <c r="L2021" s="1077" t="s">
        <v>6238</v>
      </c>
      <c r="M2021" s="1077">
        <v>151.69999999999999</v>
      </c>
      <c r="N2021" s="1077" t="s">
        <v>945</v>
      </c>
      <c r="O2021" s="1077">
        <v>3.7925</v>
      </c>
      <c r="P2021" s="1077">
        <v>3.0339999999999998</v>
      </c>
      <c r="Q2021" s="1077">
        <v>3</v>
      </c>
      <c r="R2021" s="1077">
        <v>19.7</v>
      </c>
      <c r="T2021" s="1077">
        <v>11.5</v>
      </c>
      <c r="U2021" s="1077">
        <v>5.3</v>
      </c>
      <c r="V2021" s="1077" t="s">
        <v>648</v>
      </c>
      <c r="W2021" s="1077">
        <v>105</v>
      </c>
      <c r="X2021" s="1077">
        <v>95</v>
      </c>
      <c r="Y2021" s="1077">
        <v>1.5</v>
      </c>
      <c r="Z2021" s="1077">
        <v>5</v>
      </c>
      <c r="AA2021" s="1077" t="s">
        <v>6387</v>
      </c>
      <c r="AB2021" s="1077" t="s">
        <v>2184</v>
      </c>
      <c r="AH2021" s="1077" t="s">
        <v>762</v>
      </c>
      <c r="AI2021" s="1077">
        <v>91.14</v>
      </c>
      <c r="AJ2021" s="1077">
        <v>-1.66</v>
      </c>
      <c r="AK2021" s="1077">
        <v>5.17</v>
      </c>
      <c r="AM2021" s="1078" t="s">
        <v>13042</v>
      </c>
      <c r="AN2021" s="1078" t="s">
        <v>13043</v>
      </c>
      <c r="AO2021" s="1078">
        <f t="shared" si="254"/>
        <v>600</v>
      </c>
      <c r="AP2021" s="1078">
        <f t="shared" si="255"/>
        <v>1.79</v>
      </c>
      <c r="AQ2021" s="1078" t="str">
        <f t="shared" si="256"/>
        <v>1-5-1S91°</v>
      </c>
      <c r="AR2021" s="1078" t="str">
        <f t="shared" si="257"/>
        <v>31</v>
      </c>
      <c r="AS2021" s="1078" t="str">
        <f t="shared" si="258"/>
        <v>300/300/140</v>
      </c>
      <c r="AT2021" s="1078" t="str">
        <f t="shared" si="259"/>
        <v>1-5-1S91°</v>
      </c>
      <c r="AV2021" s="1078" t="str">
        <f t="shared" si="252"/>
        <v>112.11.24</v>
      </c>
      <c r="AW2021" s="1344">
        <f t="shared" si="253"/>
        <v>45254</v>
      </c>
    </row>
    <row r="2022" spans="1:49">
      <c r="A2022" s="1077" t="s">
        <v>6469</v>
      </c>
      <c r="B2022" s="1077" t="s">
        <v>210</v>
      </c>
      <c r="C2022" s="1077">
        <v>650</v>
      </c>
      <c r="D2022" s="1077">
        <v>1.7549999999999999</v>
      </c>
      <c r="E2022" s="1077" t="s">
        <v>15094</v>
      </c>
      <c r="F2022" s="1077" t="s">
        <v>984</v>
      </c>
      <c r="G2022" s="1077">
        <v>5</v>
      </c>
      <c r="H2022" s="1077" t="s">
        <v>5483</v>
      </c>
      <c r="I2022" s="1077" t="s">
        <v>126</v>
      </c>
      <c r="J2022" s="1077">
        <v>0.7</v>
      </c>
      <c r="K2022" s="1077" t="s">
        <v>6461</v>
      </c>
      <c r="L2022" s="1077" t="s">
        <v>6291</v>
      </c>
      <c r="M2022" s="1077">
        <v>151.5</v>
      </c>
      <c r="N2022" s="1077" t="s">
        <v>945</v>
      </c>
      <c r="O2022" s="1077">
        <v>3.7875000000000001</v>
      </c>
      <c r="P2022" s="1077">
        <v>3.0300000000000002</v>
      </c>
      <c r="Q2022" s="1077">
        <v>4</v>
      </c>
      <c r="R2022" s="1077">
        <v>19.100000000000001</v>
      </c>
      <c r="T2022" s="1077">
        <v>23.7</v>
      </c>
      <c r="U2022" s="1077">
        <v>3.2</v>
      </c>
      <c r="V2022" s="1077" t="s">
        <v>648</v>
      </c>
      <c r="W2022" s="1077">
        <v>35</v>
      </c>
      <c r="X2022" s="1077">
        <v>10</v>
      </c>
      <c r="Y2022" s="1077">
        <v>1</v>
      </c>
      <c r="Z2022" s="1077">
        <v>6</v>
      </c>
      <c r="AA2022" s="1077" t="s">
        <v>6470</v>
      </c>
      <c r="AH2022" s="1077" t="s">
        <v>722</v>
      </c>
      <c r="AI2022" s="1077">
        <v>91.63</v>
      </c>
      <c r="AJ2022" s="1077">
        <v>-0.08</v>
      </c>
      <c r="AK2022" s="1077">
        <v>0.82</v>
      </c>
      <c r="AM2022" s="1078" t="s">
        <v>13044</v>
      </c>
      <c r="AN2022" s="1078" t="s">
        <v>13045</v>
      </c>
      <c r="AO2022" s="1078">
        <f t="shared" si="254"/>
        <v>650</v>
      </c>
      <c r="AP2022" s="1078">
        <f t="shared" si="255"/>
        <v>1.7549999999999999</v>
      </c>
      <c r="AQ2022" s="1078" t="str">
        <f t="shared" si="256"/>
        <v>1-5-1S91°</v>
      </c>
      <c r="AR2022" s="1078" t="str">
        <f t="shared" si="257"/>
        <v>30</v>
      </c>
      <c r="AS2022" s="1078" t="str">
        <f t="shared" si="258"/>
        <v>350/310/150</v>
      </c>
      <c r="AT2022" s="1078" t="str">
        <f t="shared" si="259"/>
        <v>1-5-1S91°</v>
      </c>
      <c r="AV2022" s="1078" t="str">
        <f t="shared" si="252"/>
        <v>113.1.29</v>
      </c>
      <c r="AW2022" s="1344">
        <f t="shared" si="253"/>
        <v>45320</v>
      </c>
    </row>
    <row r="2023" spans="1:49">
      <c r="A2023" s="1077" t="s">
        <v>6471</v>
      </c>
      <c r="B2023" s="1077" t="s">
        <v>4694</v>
      </c>
      <c r="C2023" s="1077">
        <v>650</v>
      </c>
      <c r="D2023" s="1077">
        <v>1.74</v>
      </c>
      <c r="E2023" s="1077" t="s">
        <v>15094</v>
      </c>
      <c r="F2023" s="1077" t="s">
        <v>984</v>
      </c>
      <c r="G2023" s="1077">
        <v>5</v>
      </c>
      <c r="H2023" s="1077" t="s">
        <v>6194</v>
      </c>
      <c r="I2023" s="1077" t="s">
        <v>460</v>
      </c>
      <c r="J2023" s="1077">
        <v>2.1</v>
      </c>
      <c r="K2023" s="1077" t="s">
        <v>5828</v>
      </c>
      <c r="L2023" s="1077" t="s">
        <v>4702</v>
      </c>
      <c r="M2023" s="1077">
        <v>151.19999999999999</v>
      </c>
      <c r="N2023" s="1077" t="s">
        <v>945</v>
      </c>
      <c r="O2023" s="1077">
        <v>3.78</v>
      </c>
      <c r="P2023" s="1077">
        <v>3.024</v>
      </c>
      <c r="Q2023" s="1077">
        <v>4</v>
      </c>
      <c r="R2023" s="1077">
        <v>21</v>
      </c>
      <c r="T2023" s="1077">
        <v>20.5</v>
      </c>
      <c r="U2023" s="1077">
        <v>3</v>
      </c>
      <c r="V2023" s="1077" t="s">
        <v>648</v>
      </c>
      <c r="W2023" s="1077">
        <v>100</v>
      </c>
      <c r="X2023" s="1077">
        <v>60</v>
      </c>
      <c r="Y2023" s="1077">
        <v>1</v>
      </c>
      <c r="Z2023" s="1077">
        <v>5.5</v>
      </c>
      <c r="AA2023" s="1077" t="s">
        <v>3918</v>
      </c>
      <c r="AH2023" s="1077" t="s">
        <v>1600</v>
      </c>
      <c r="AI2023" s="1077">
        <v>92.38</v>
      </c>
      <c r="AJ2023" s="1077">
        <v>-0.23</v>
      </c>
      <c r="AK2023" s="1077">
        <v>2.06</v>
      </c>
      <c r="AM2023" s="1078" t="s">
        <v>13046</v>
      </c>
      <c r="AN2023" s="1078" t="s">
        <v>13047</v>
      </c>
      <c r="AO2023" s="1078">
        <f t="shared" si="254"/>
        <v>650</v>
      </c>
      <c r="AP2023" s="1078">
        <f t="shared" si="255"/>
        <v>1.74</v>
      </c>
      <c r="AQ2023" s="1078" t="str">
        <f t="shared" si="256"/>
        <v>1-5-1S91°</v>
      </c>
      <c r="AR2023" s="1078" t="str">
        <f t="shared" si="257"/>
        <v>30</v>
      </c>
      <c r="AS2023" s="1078" t="str">
        <f t="shared" si="258"/>
        <v>355/355/150</v>
      </c>
      <c r="AT2023" s="1078" t="str">
        <f t="shared" si="259"/>
        <v>1-5-1S91°</v>
      </c>
      <c r="AV2023" s="1078" t="str">
        <f t="shared" si="252"/>
        <v>113.1.31</v>
      </c>
      <c r="AW2023" s="1344">
        <f t="shared" si="253"/>
        <v>45322</v>
      </c>
    </row>
    <row r="2024" spans="1:49">
      <c r="A2024" s="1077" t="s">
        <v>6472</v>
      </c>
      <c r="B2024" s="1077" t="s">
        <v>416</v>
      </c>
      <c r="C2024" s="1077">
        <v>650</v>
      </c>
      <c r="D2024" s="1077">
        <v>1.7549999999999999</v>
      </c>
      <c r="E2024" s="1077" t="s">
        <v>15094</v>
      </c>
      <c r="F2024" s="1077" t="s">
        <v>984</v>
      </c>
      <c r="G2024" s="1077">
        <v>5</v>
      </c>
      <c r="H2024" s="1077" t="s">
        <v>5483</v>
      </c>
      <c r="I2024" s="1077" t="s">
        <v>126</v>
      </c>
      <c r="J2024" s="1077">
        <v>0.8</v>
      </c>
      <c r="K2024" s="1077" t="s">
        <v>6473</v>
      </c>
      <c r="L2024" s="1077" t="s">
        <v>6291</v>
      </c>
      <c r="M2024" s="1077">
        <v>151.5</v>
      </c>
      <c r="N2024" s="1077" t="s">
        <v>945</v>
      </c>
      <c r="O2024" s="1077">
        <v>3.7875000000000001</v>
      </c>
      <c r="P2024" s="1077">
        <v>3.0300000000000002</v>
      </c>
      <c r="Q2024" s="1077">
        <v>4</v>
      </c>
      <c r="R2024" s="1077">
        <v>19.100000000000001</v>
      </c>
      <c r="T2024" s="1077">
        <v>23.7</v>
      </c>
      <c r="U2024" s="1077">
        <v>3.2</v>
      </c>
      <c r="V2024" s="1077" t="s">
        <v>648</v>
      </c>
      <c r="W2024" s="1077">
        <v>35</v>
      </c>
      <c r="X2024" s="1077">
        <v>10</v>
      </c>
      <c r="Y2024" s="1077">
        <v>1</v>
      </c>
      <c r="Z2024" s="1077">
        <v>6</v>
      </c>
      <c r="AA2024" s="1077" t="s">
        <v>1642</v>
      </c>
      <c r="AH2024" s="1077" t="s">
        <v>684</v>
      </c>
      <c r="AI2024" s="1077">
        <v>92.12</v>
      </c>
      <c r="AJ2024" s="1077">
        <v>-0.33</v>
      </c>
      <c r="AK2024" s="1077">
        <v>1.25</v>
      </c>
      <c r="AM2024" s="1078" t="s">
        <v>13048</v>
      </c>
      <c r="AN2024" s="1078" t="s">
        <v>13049</v>
      </c>
      <c r="AO2024" s="1078">
        <f t="shared" si="254"/>
        <v>650</v>
      </c>
      <c r="AP2024" s="1078">
        <f t="shared" si="255"/>
        <v>1.7549999999999999</v>
      </c>
      <c r="AQ2024" s="1078" t="str">
        <f t="shared" si="256"/>
        <v>1-5-1S91°</v>
      </c>
      <c r="AR2024" s="1078" t="str">
        <f t="shared" si="257"/>
        <v>30</v>
      </c>
      <c r="AS2024" s="1078" t="str">
        <f t="shared" si="258"/>
        <v>350/310/150</v>
      </c>
      <c r="AT2024" s="1078" t="str">
        <f t="shared" si="259"/>
        <v>1-5-1S91°</v>
      </c>
      <c r="AV2024" s="1078" t="str">
        <f t="shared" si="252"/>
        <v>113.2.2</v>
      </c>
      <c r="AW2024" s="1344">
        <f t="shared" si="253"/>
        <v>45324</v>
      </c>
    </row>
    <row r="2025" spans="1:49">
      <c r="A2025" s="1077" t="s">
        <v>6474</v>
      </c>
      <c r="B2025" s="1077" t="s">
        <v>847</v>
      </c>
      <c r="C2025" s="1077">
        <v>550</v>
      </c>
      <c r="D2025" s="1077">
        <v>1.78</v>
      </c>
      <c r="E2025" s="1077" t="s">
        <v>15119</v>
      </c>
      <c r="F2025" s="1077" t="s">
        <v>975</v>
      </c>
      <c r="G2025" s="1077">
        <v>4</v>
      </c>
      <c r="H2025" s="1077" t="s">
        <v>3143</v>
      </c>
      <c r="I2025" s="1077" t="s">
        <v>648</v>
      </c>
      <c r="J2025" s="1077">
        <v>0</v>
      </c>
      <c r="K2025" s="1077" t="s">
        <v>6426</v>
      </c>
      <c r="L2025" s="1077" t="s">
        <v>5037</v>
      </c>
      <c r="M2025" s="1077">
        <v>150</v>
      </c>
      <c r="N2025" s="1077" t="s">
        <v>945</v>
      </c>
      <c r="O2025" s="1077">
        <v>3.75</v>
      </c>
      <c r="P2025" s="1077">
        <v>3</v>
      </c>
      <c r="Q2025" s="1077">
        <v>3.5</v>
      </c>
      <c r="R2025" s="1077">
        <v>21.8</v>
      </c>
      <c r="T2025" s="1077">
        <v>19.5</v>
      </c>
      <c r="U2025" s="1077">
        <v>1.8</v>
      </c>
      <c r="V2025" s="1077" t="s">
        <v>648</v>
      </c>
      <c r="W2025" s="1077" t="s">
        <v>648</v>
      </c>
      <c r="X2025" s="1077" t="s">
        <v>648</v>
      </c>
      <c r="Y2025" s="1077">
        <v>2.1</v>
      </c>
      <c r="Z2025" s="1077">
        <v>5</v>
      </c>
      <c r="AA2025" s="1077" t="s">
        <v>6475</v>
      </c>
      <c r="AH2025" s="1077" t="s">
        <v>1238</v>
      </c>
      <c r="AI2025" s="1077">
        <v>14.06</v>
      </c>
      <c r="AJ2025" s="1077">
        <v>0.09</v>
      </c>
      <c r="AK2025" s="1077">
        <v>0.66</v>
      </c>
      <c r="AM2025" s="1078" t="s">
        <v>13050</v>
      </c>
      <c r="AN2025" s="1078" t="s">
        <v>13051</v>
      </c>
      <c r="AO2025" s="1078">
        <f t="shared" si="254"/>
        <v>550</v>
      </c>
      <c r="AP2025" s="1078">
        <f t="shared" si="255"/>
        <v>1.78</v>
      </c>
      <c r="AQ2025" s="1078" t="str">
        <f t="shared" si="256"/>
        <v>1-5-1S87</v>
      </c>
      <c r="AR2025" s="1078" t="str">
        <f t="shared" si="257"/>
        <v>31.5</v>
      </c>
      <c r="AS2025" s="1078" t="str">
        <f t="shared" si="258"/>
        <v>300/300/160</v>
      </c>
      <c r="AT2025" s="1078" t="str">
        <f t="shared" si="259"/>
        <v>1-5-1S87</v>
      </c>
      <c r="AV2025" s="1078" t="str">
        <f t="shared" si="252"/>
        <v>113.2.5</v>
      </c>
      <c r="AW2025" s="1344">
        <f t="shared" si="253"/>
        <v>45327</v>
      </c>
    </row>
    <row r="2026" spans="1:49">
      <c r="A2026" s="1077" t="s">
        <v>6476</v>
      </c>
      <c r="B2026" s="1077" t="s">
        <v>4767</v>
      </c>
      <c r="C2026" s="1077">
        <v>650</v>
      </c>
      <c r="D2026" s="1077">
        <v>1.7050000000000001</v>
      </c>
      <c r="E2026" s="1077" t="s">
        <v>15121</v>
      </c>
      <c r="F2026" s="1077" t="s">
        <v>648</v>
      </c>
      <c r="G2026" s="1077">
        <v>5</v>
      </c>
      <c r="H2026" s="1077" t="s">
        <v>2192</v>
      </c>
      <c r="I2026" s="1077" t="s">
        <v>126</v>
      </c>
      <c r="J2026" s="1077">
        <v>1.3</v>
      </c>
      <c r="K2026" s="1077" t="s">
        <v>6458</v>
      </c>
      <c r="L2026" s="1077" t="s">
        <v>1821</v>
      </c>
      <c r="M2026" s="1077">
        <v>148</v>
      </c>
      <c r="N2026" s="1077" t="s">
        <v>945</v>
      </c>
      <c r="O2026" s="1077">
        <v>3.7</v>
      </c>
      <c r="P2026" s="1077">
        <v>2.96</v>
      </c>
      <c r="Q2026" s="1077">
        <v>4</v>
      </c>
      <c r="R2026" s="1077">
        <v>20.8</v>
      </c>
      <c r="T2026" s="1077">
        <v>20.399999999999999</v>
      </c>
      <c r="U2026" s="1077">
        <v>3.8</v>
      </c>
      <c r="V2026" s="1077" t="s">
        <v>648</v>
      </c>
      <c r="W2026" s="1077">
        <v>110</v>
      </c>
      <c r="X2026" s="1077" t="s">
        <v>2395</v>
      </c>
      <c r="Y2026" s="1077">
        <v>1.7</v>
      </c>
      <c r="Z2026" s="1077" t="s">
        <v>648</v>
      </c>
      <c r="AA2026" s="1077" t="s">
        <v>3925</v>
      </c>
      <c r="AB2026" s="1077" t="s">
        <v>981</v>
      </c>
      <c r="AH2026" s="1077" t="s">
        <v>1023</v>
      </c>
      <c r="AI2026" s="1077">
        <v>92.82</v>
      </c>
      <c r="AJ2026" s="1077">
        <v>-7.0000000000000007E-2</v>
      </c>
      <c r="AK2026" s="1077">
        <v>1.41</v>
      </c>
      <c r="AM2026" s="1078" t="s">
        <v>13052</v>
      </c>
      <c r="AN2026" s="1078" t="s">
        <v>13053</v>
      </c>
      <c r="AO2026" s="1078">
        <f t="shared" si="254"/>
        <v>650</v>
      </c>
      <c r="AP2026" s="1078">
        <f t="shared" si="255"/>
        <v>1.7050000000000001</v>
      </c>
      <c r="AQ2026" s="1078" t="str">
        <f t="shared" si="256"/>
        <v>1-5-1S85°S+Z</v>
      </c>
      <c r="AR2026" s="1078" t="str">
        <f t="shared" si="257"/>
        <v>NA</v>
      </c>
      <c r="AS2026" s="1078" t="str">
        <f t="shared" si="258"/>
        <v>180/OFF</v>
      </c>
      <c r="AT2026" s="1078" t="str">
        <f t="shared" si="259"/>
        <v>1-5-1S85°S+Z</v>
      </c>
      <c r="AU2026" s="1078" t="s">
        <v>15550</v>
      </c>
      <c r="AV2026" s="1078" t="str">
        <f t="shared" si="252"/>
        <v>113.2.15</v>
      </c>
      <c r="AW2026" s="1344">
        <f t="shared" si="253"/>
        <v>45337</v>
      </c>
    </row>
    <row r="2027" spans="1:49">
      <c r="A2027" s="1077" t="s">
        <v>6477</v>
      </c>
      <c r="B2027" s="1077" t="s">
        <v>828</v>
      </c>
      <c r="C2027" s="1077">
        <v>700</v>
      </c>
      <c r="D2027" s="1077">
        <v>1.7649999999999999</v>
      </c>
      <c r="E2027" s="1077" t="s">
        <v>15109</v>
      </c>
      <c r="F2027" s="1077" t="s">
        <v>648</v>
      </c>
      <c r="G2027" s="1077">
        <v>5</v>
      </c>
      <c r="H2027" s="1077" t="s">
        <v>2941</v>
      </c>
      <c r="I2027" s="1077" t="s">
        <v>460</v>
      </c>
      <c r="J2027" s="1077">
        <v>1.7</v>
      </c>
      <c r="K2027" s="1077" t="s">
        <v>6478</v>
      </c>
      <c r="L2027" s="1077" t="s">
        <v>1943</v>
      </c>
      <c r="M2027" s="1077">
        <v>150</v>
      </c>
      <c r="N2027" s="1077" t="s">
        <v>945</v>
      </c>
      <c r="O2027" s="1077">
        <v>3.75</v>
      </c>
      <c r="P2027" s="1077">
        <v>3</v>
      </c>
      <c r="Q2027" s="1077">
        <v>4</v>
      </c>
      <c r="R2027" s="1077">
        <v>20.8</v>
      </c>
      <c r="T2027" s="1077">
        <v>29.1</v>
      </c>
      <c r="U2027" s="1077">
        <v>3.4</v>
      </c>
      <c r="V2027" s="1077" t="s">
        <v>648</v>
      </c>
      <c r="W2027" s="1077">
        <v>100</v>
      </c>
      <c r="X2027" s="1077">
        <v>60</v>
      </c>
      <c r="Y2027" s="1077">
        <v>1.5</v>
      </c>
      <c r="Z2027" s="1077" t="s">
        <v>648</v>
      </c>
      <c r="AA2027" s="1077" t="s">
        <v>3925</v>
      </c>
      <c r="AB2027" s="1077" t="s">
        <v>981</v>
      </c>
      <c r="AH2027" s="1077" t="s">
        <v>831</v>
      </c>
      <c r="AI2027" s="1077">
        <v>92.32</v>
      </c>
      <c r="AJ2027" s="1077">
        <v>-0.39</v>
      </c>
      <c r="AK2027" s="1077">
        <v>1.75</v>
      </c>
      <c r="AM2027" s="1078" t="s">
        <v>13054</v>
      </c>
      <c r="AN2027" s="1078" t="s">
        <v>13055</v>
      </c>
      <c r="AO2027" s="1078">
        <f t="shared" si="254"/>
        <v>700</v>
      </c>
      <c r="AP2027" s="1078">
        <f t="shared" si="255"/>
        <v>1.7649999999999999</v>
      </c>
      <c r="AQ2027" s="1078" t="str">
        <f t="shared" si="256"/>
        <v>1-5-1S85°Z+S</v>
      </c>
      <c r="AR2027" s="1078" t="str">
        <f t="shared" si="257"/>
        <v>NA</v>
      </c>
      <c r="AS2027" s="1078" t="str">
        <f t="shared" si="258"/>
        <v>190/OFF</v>
      </c>
      <c r="AT2027" s="1078" t="str">
        <f t="shared" si="259"/>
        <v>1-5-1S85°Z+S</v>
      </c>
      <c r="AU2027" s="1078" t="s">
        <v>15547</v>
      </c>
      <c r="AV2027" s="1078" t="str">
        <f t="shared" si="252"/>
        <v>113.2.15</v>
      </c>
      <c r="AW2027" s="1344">
        <f t="shared" si="253"/>
        <v>45337</v>
      </c>
    </row>
    <row r="2028" spans="1:49">
      <c r="A2028" s="1077" t="s">
        <v>6479</v>
      </c>
      <c r="B2028" s="1077" t="s">
        <v>210</v>
      </c>
      <c r="C2028" s="1077">
        <v>650</v>
      </c>
      <c r="D2028" s="1077">
        <v>1.7050000000000001</v>
      </c>
      <c r="E2028" s="1077" t="s">
        <v>15094</v>
      </c>
      <c r="F2028" s="1077" t="s">
        <v>984</v>
      </c>
      <c r="G2028" s="1077">
        <v>5</v>
      </c>
      <c r="H2028" s="1077" t="s">
        <v>6480</v>
      </c>
      <c r="I2028" s="1077" t="s">
        <v>460</v>
      </c>
      <c r="J2028" s="1077">
        <v>3.2</v>
      </c>
      <c r="K2028" s="1077" t="s">
        <v>6481</v>
      </c>
      <c r="L2028" s="1077" t="s">
        <v>6482</v>
      </c>
      <c r="M2028" s="1077">
        <v>149.5</v>
      </c>
      <c r="N2028" s="1077" t="s">
        <v>945</v>
      </c>
      <c r="O2028" s="1077">
        <v>3.7375000000000003</v>
      </c>
      <c r="P2028" s="1077">
        <v>2.99</v>
      </c>
      <c r="Q2028" s="1077">
        <v>3.5</v>
      </c>
      <c r="R2028" s="1077">
        <v>21.5</v>
      </c>
      <c r="T2028" s="1077">
        <v>19.5</v>
      </c>
      <c r="U2028" s="1077">
        <v>2.9</v>
      </c>
      <c r="V2028" s="1077" t="s">
        <v>648</v>
      </c>
      <c r="W2028" s="1077">
        <v>100</v>
      </c>
      <c r="X2028" s="1077">
        <v>90</v>
      </c>
      <c r="Y2028" s="1077">
        <v>1.8</v>
      </c>
      <c r="Z2028" s="1077">
        <v>5.5</v>
      </c>
      <c r="AA2028" s="1077" t="s">
        <v>3930</v>
      </c>
      <c r="AB2028" s="1077" t="s">
        <v>981</v>
      </c>
      <c r="AH2028" s="1077" t="s">
        <v>619</v>
      </c>
      <c r="AI2028" s="1077">
        <v>91.14</v>
      </c>
      <c r="AJ2028" s="1077">
        <v>-0.26</v>
      </c>
      <c r="AK2028" s="1077">
        <v>1.22</v>
      </c>
      <c r="AM2028" s="1078" t="s">
        <v>13056</v>
      </c>
      <c r="AN2028" s="1078" t="s">
        <v>13057</v>
      </c>
      <c r="AO2028" s="1078">
        <f t="shared" si="254"/>
        <v>650</v>
      </c>
      <c r="AP2028" s="1078">
        <f t="shared" si="255"/>
        <v>1.7050000000000001</v>
      </c>
      <c r="AQ2028" s="1078" t="str">
        <f t="shared" si="256"/>
        <v>1-5-1S91°</v>
      </c>
      <c r="AR2028" s="1078" t="str">
        <f t="shared" si="257"/>
        <v>30</v>
      </c>
      <c r="AS2028" s="1078" t="str">
        <f t="shared" si="258"/>
        <v>380/350/175</v>
      </c>
      <c r="AT2028" s="1078" t="str">
        <f t="shared" si="259"/>
        <v>1-5-1S91°</v>
      </c>
      <c r="AV2028" s="1078" t="str">
        <f t="shared" si="252"/>
        <v>113.2.19</v>
      </c>
      <c r="AW2028" s="1344">
        <f t="shared" si="253"/>
        <v>45341</v>
      </c>
    </row>
    <row r="2029" spans="1:49">
      <c r="A2029" s="1077" t="s">
        <v>6483</v>
      </c>
      <c r="B2029" s="1077" t="s">
        <v>5565</v>
      </c>
      <c r="C2029" s="1077">
        <v>600</v>
      </c>
      <c r="D2029" s="1077">
        <v>1.7050000000000001</v>
      </c>
      <c r="E2029" s="1077" t="s">
        <v>15104</v>
      </c>
      <c r="F2029" s="1077" t="s">
        <v>648</v>
      </c>
      <c r="G2029" s="1077">
        <v>5</v>
      </c>
      <c r="H2029" s="1077" t="s">
        <v>1166</v>
      </c>
      <c r="I2029" s="1077" t="s">
        <v>126</v>
      </c>
      <c r="J2029" s="1077">
        <v>1.3</v>
      </c>
      <c r="K2029" s="1077" t="s">
        <v>6484</v>
      </c>
      <c r="L2029" s="1077" t="s">
        <v>3572</v>
      </c>
      <c r="M2029" s="1077">
        <v>153</v>
      </c>
      <c r="N2029" s="1077" t="s">
        <v>945</v>
      </c>
      <c r="O2029" s="1077">
        <v>3.8250000000000002</v>
      </c>
      <c r="P2029" s="1077">
        <v>3.06</v>
      </c>
      <c r="Q2029" s="1077">
        <v>4</v>
      </c>
      <c r="R2029" s="1077">
        <v>18</v>
      </c>
      <c r="T2029" s="1077">
        <v>14</v>
      </c>
      <c r="U2029" s="1077">
        <v>4.5</v>
      </c>
      <c r="V2029" s="1077" t="s">
        <v>648</v>
      </c>
      <c r="W2029" s="1077">
        <v>110</v>
      </c>
      <c r="X2029" s="1077" t="s">
        <v>2395</v>
      </c>
      <c r="Y2029" s="1077">
        <v>1.8</v>
      </c>
      <c r="Z2029" s="1077" t="s">
        <v>648</v>
      </c>
      <c r="AA2029" s="1077" t="s">
        <v>3930</v>
      </c>
      <c r="AB2029" s="1077" t="s">
        <v>6212</v>
      </c>
      <c r="AH2029" s="1077" t="s">
        <v>646</v>
      </c>
      <c r="AI2029" s="1077">
        <v>94</v>
      </c>
      <c r="AJ2029" s="1077">
        <v>-0.3</v>
      </c>
      <c r="AK2029" s="1077">
        <v>1.51</v>
      </c>
      <c r="AM2029" s="1078" t="s">
        <v>13058</v>
      </c>
      <c r="AN2029" s="1078" t="s">
        <v>13059</v>
      </c>
      <c r="AO2029" s="1078">
        <f t="shared" si="254"/>
        <v>600</v>
      </c>
      <c r="AP2029" s="1078">
        <f t="shared" si="255"/>
        <v>1.7050000000000001</v>
      </c>
      <c r="AQ2029" s="1078" t="str">
        <f t="shared" si="256"/>
        <v>1-4-1S85°Z+S</v>
      </c>
      <c r="AR2029" s="1078" t="str">
        <f t="shared" si="257"/>
        <v>NA</v>
      </c>
      <c r="AS2029" s="1078" t="str">
        <f t="shared" si="258"/>
        <v>170/OFF</v>
      </c>
      <c r="AT2029" s="1078" t="str">
        <f t="shared" si="259"/>
        <v>1-4-1S85°Z+S</v>
      </c>
      <c r="AU2029" s="1078" t="s">
        <v>15547</v>
      </c>
      <c r="AV2029" s="1078" t="str">
        <f t="shared" si="252"/>
        <v>113.2.19</v>
      </c>
      <c r="AW2029" s="1344">
        <f t="shared" si="253"/>
        <v>45341</v>
      </c>
    </row>
    <row r="2030" spans="1:49">
      <c r="A2030" s="1077" t="s">
        <v>6485</v>
      </c>
      <c r="B2030" s="1077" t="s">
        <v>757</v>
      </c>
      <c r="C2030" s="1077">
        <v>500</v>
      </c>
      <c r="D2030" s="1077">
        <v>1.76</v>
      </c>
      <c r="E2030" s="1077" t="s">
        <v>15119</v>
      </c>
      <c r="F2030" s="1077" t="s">
        <v>975</v>
      </c>
      <c r="G2030" s="1077">
        <v>4</v>
      </c>
      <c r="H2030" s="1077" t="s">
        <v>6116</v>
      </c>
      <c r="I2030" s="1077" t="s">
        <v>126</v>
      </c>
      <c r="J2030" s="1077">
        <v>3.1</v>
      </c>
      <c r="K2030" s="1077" t="s">
        <v>6486</v>
      </c>
      <c r="L2030" s="1077" t="s">
        <v>6118</v>
      </c>
      <c r="M2030" s="1077">
        <v>148.5</v>
      </c>
      <c r="N2030" s="1077" t="s">
        <v>945</v>
      </c>
      <c r="O2030" s="1077">
        <v>3.7125000000000004</v>
      </c>
      <c r="P2030" s="1077">
        <v>2.97</v>
      </c>
      <c r="Q2030" s="1077">
        <v>3.5</v>
      </c>
      <c r="R2030" s="1077">
        <v>21.5</v>
      </c>
      <c r="T2030" s="1077">
        <v>30</v>
      </c>
      <c r="U2030" s="1077">
        <v>3.6</v>
      </c>
      <c r="V2030" s="1077" t="s">
        <v>648</v>
      </c>
      <c r="W2030" s="1077">
        <v>120</v>
      </c>
      <c r="X2030" s="1077">
        <v>70</v>
      </c>
      <c r="Y2030" s="1077">
        <v>1.8</v>
      </c>
      <c r="Z2030" s="1077">
        <v>6.5</v>
      </c>
      <c r="AA2030" s="1077" t="s">
        <v>3933</v>
      </c>
      <c r="AH2030" s="1077" t="s">
        <v>1186</v>
      </c>
      <c r="AI2030" s="1077">
        <v>13.65</v>
      </c>
      <c r="AJ2030" s="1077">
        <v>0.06</v>
      </c>
      <c r="AK2030" s="1077">
        <v>0.21</v>
      </c>
      <c r="AM2030" s="1078" t="s">
        <v>13060</v>
      </c>
      <c r="AN2030" s="1078" t="s">
        <v>13061</v>
      </c>
      <c r="AO2030" s="1078">
        <f t="shared" si="254"/>
        <v>500</v>
      </c>
      <c r="AP2030" s="1078">
        <f t="shared" si="255"/>
        <v>1.76</v>
      </c>
      <c r="AQ2030" s="1078" t="str">
        <f t="shared" si="256"/>
        <v>1-5-1S87</v>
      </c>
      <c r="AR2030" s="1078" t="str">
        <f t="shared" si="257"/>
        <v>31.5</v>
      </c>
      <c r="AS2030" s="1078" t="str">
        <f t="shared" si="258"/>
        <v>320/320/OFF</v>
      </c>
      <c r="AT2030" s="1078" t="str">
        <f t="shared" si="259"/>
        <v>1-5-1S87</v>
      </c>
      <c r="AV2030" s="1078" t="str">
        <f t="shared" si="252"/>
        <v>113.2.26</v>
      </c>
      <c r="AW2030" s="1344">
        <f t="shared" si="253"/>
        <v>45348</v>
      </c>
    </row>
    <row r="2031" spans="1:49">
      <c r="A2031" s="1077" t="s">
        <v>6487</v>
      </c>
      <c r="B2031" s="1077" t="s">
        <v>4767</v>
      </c>
      <c r="C2031" s="1077">
        <v>600</v>
      </c>
      <c r="D2031" s="1077">
        <v>1.7150000000000001</v>
      </c>
      <c r="E2031" s="1077" t="s">
        <v>15121</v>
      </c>
      <c r="F2031" s="1077" t="s">
        <v>648</v>
      </c>
      <c r="G2031" s="1077">
        <v>5</v>
      </c>
      <c r="H2031" s="1077" t="s">
        <v>1936</v>
      </c>
      <c r="I2031" s="1077" t="s">
        <v>126</v>
      </c>
      <c r="J2031" s="1077">
        <v>1.4</v>
      </c>
      <c r="K2031" s="1077" t="s">
        <v>6488</v>
      </c>
      <c r="L2031" s="1077" t="s">
        <v>1821</v>
      </c>
      <c r="M2031" s="1077">
        <v>148</v>
      </c>
      <c r="N2031" s="1077" t="s">
        <v>945</v>
      </c>
      <c r="O2031" s="1077">
        <v>3.7</v>
      </c>
      <c r="P2031" s="1077">
        <v>2.96</v>
      </c>
      <c r="Q2031" s="1077">
        <v>4</v>
      </c>
      <c r="R2031" s="1077">
        <v>20.8</v>
      </c>
      <c r="T2031" s="1077">
        <v>20.399999999999999</v>
      </c>
      <c r="U2031" s="1077">
        <v>3.8</v>
      </c>
      <c r="V2031" s="1077" t="s">
        <v>648</v>
      </c>
      <c r="W2031" s="1077">
        <v>110</v>
      </c>
      <c r="X2031" s="1077" t="s">
        <v>2395</v>
      </c>
      <c r="Y2031" s="1077">
        <v>1.7</v>
      </c>
      <c r="Z2031" s="1077" t="s">
        <v>648</v>
      </c>
      <c r="AA2031" s="1077" t="s">
        <v>3933</v>
      </c>
      <c r="AB2031" s="1077" t="s">
        <v>981</v>
      </c>
      <c r="AH2031" s="1077" t="s">
        <v>681</v>
      </c>
      <c r="AI2031" s="1077">
        <v>93.22</v>
      </c>
      <c r="AJ2031" s="1077">
        <v>-0.31</v>
      </c>
      <c r="AK2031" s="1077">
        <v>1.2</v>
      </c>
      <c r="AM2031" s="1078" t="s">
        <v>13062</v>
      </c>
      <c r="AN2031" s="1078" t="s">
        <v>13063</v>
      </c>
      <c r="AO2031" s="1078">
        <f t="shared" si="254"/>
        <v>600</v>
      </c>
      <c r="AP2031" s="1078">
        <f t="shared" si="255"/>
        <v>1.7150000000000001</v>
      </c>
      <c r="AQ2031" s="1078" t="str">
        <f t="shared" si="256"/>
        <v>1-5-1S85°S+Z</v>
      </c>
      <c r="AR2031" s="1078" t="str">
        <f t="shared" si="257"/>
        <v>NA</v>
      </c>
      <c r="AS2031" s="1078" t="str">
        <f t="shared" si="258"/>
        <v>175/OFF</v>
      </c>
      <c r="AT2031" s="1078" t="str">
        <f t="shared" si="259"/>
        <v>1-5-1S85°S+Z</v>
      </c>
      <c r="AU2031" s="1078" t="s">
        <v>15550</v>
      </c>
      <c r="AV2031" s="1078" t="str">
        <f t="shared" si="252"/>
        <v>113.2.26</v>
      </c>
      <c r="AW2031" s="1344">
        <f t="shared" si="253"/>
        <v>45348</v>
      </c>
    </row>
    <row r="2032" spans="1:49">
      <c r="A2032" s="1077" t="s">
        <v>6489</v>
      </c>
      <c r="B2032" s="1077" t="s">
        <v>4767</v>
      </c>
      <c r="C2032" s="1077">
        <v>600</v>
      </c>
      <c r="D2032" s="1077">
        <v>1.7150000000000001</v>
      </c>
      <c r="E2032" s="1077" t="s">
        <v>15121</v>
      </c>
      <c r="F2032" s="1077" t="s">
        <v>648</v>
      </c>
      <c r="G2032" s="1077">
        <v>5</v>
      </c>
      <c r="H2032" s="1077" t="s">
        <v>1936</v>
      </c>
      <c r="I2032" s="1077" t="s">
        <v>126</v>
      </c>
      <c r="J2032" s="1077">
        <v>1.3</v>
      </c>
      <c r="K2032" s="1077" t="s">
        <v>6488</v>
      </c>
      <c r="L2032" s="1077" t="s">
        <v>1821</v>
      </c>
      <c r="M2032" s="1077">
        <v>148</v>
      </c>
      <c r="N2032" s="1077" t="s">
        <v>945</v>
      </c>
      <c r="O2032" s="1077">
        <v>3.7</v>
      </c>
      <c r="P2032" s="1077">
        <v>2.96</v>
      </c>
      <c r="Q2032" s="1077">
        <v>4</v>
      </c>
      <c r="R2032" s="1077">
        <v>20.8</v>
      </c>
      <c r="T2032" s="1077">
        <v>20.399999999999999</v>
      </c>
      <c r="U2032" s="1077">
        <v>3.8</v>
      </c>
      <c r="V2032" s="1077" t="s">
        <v>648</v>
      </c>
      <c r="W2032" s="1077">
        <v>110</v>
      </c>
      <c r="X2032" s="1077" t="s">
        <v>2395</v>
      </c>
      <c r="Y2032" s="1077">
        <v>1.7</v>
      </c>
      <c r="Z2032" s="1077" t="s">
        <v>648</v>
      </c>
      <c r="AA2032" s="1077" t="s">
        <v>1657</v>
      </c>
      <c r="AB2032" s="1077" t="s">
        <v>981</v>
      </c>
      <c r="AH2032" s="1077" t="s">
        <v>1023</v>
      </c>
      <c r="AI2032" s="1077">
        <v>92.95</v>
      </c>
      <c r="AJ2032" s="1077">
        <v>-0.22</v>
      </c>
      <c r="AK2032" s="1077">
        <v>1.1200000000000001</v>
      </c>
      <c r="AM2032" s="1078" t="s">
        <v>13064</v>
      </c>
      <c r="AN2032" s="1078" t="s">
        <v>13065</v>
      </c>
      <c r="AO2032" s="1078">
        <f t="shared" si="254"/>
        <v>600</v>
      </c>
      <c r="AP2032" s="1078">
        <f t="shared" si="255"/>
        <v>1.7150000000000001</v>
      </c>
      <c r="AQ2032" s="1078" t="str">
        <f t="shared" si="256"/>
        <v>1-5-1S85°S+Z</v>
      </c>
      <c r="AR2032" s="1078" t="str">
        <f t="shared" si="257"/>
        <v>NA</v>
      </c>
      <c r="AS2032" s="1078" t="str">
        <f t="shared" si="258"/>
        <v>175/OFF</v>
      </c>
      <c r="AT2032" s="1078" t="str">
        <f t="shared" si="259"/>
        <v>1-5-1S85°S+Z</v>
      </c>
      <c r="AU2032" s="1078" t="s">
        <v>15550</v>
      </c>
      <c r="AV2032" s="1078" t="str">
        <f t="shared" si="252"/>
        <v>113.3.5</v>
      </c>
      <c r="AW2032" s="1344">
        <f t="shared" si="253"/>
        <v>45356</v>
      </c>
    </row>
    <row r="2033" spans="1:49">
      <c r="A2033" s="1077" t="s">
        <v>6490</v>
      </c>
      <c r="B2033" s="1077" t="s">
        <v>210</v>
      </c>
      <c r="C2033" s="1077">
        <v>650</v>
      </c>
      <c r="D2033" s="1077">
        <v>1.7549999999999999</v>
      </c>
      <c r="E2033" s="1077" t="s">
        <v>15094</v>
      </c>
      <c r="F2033" s="1077" t="s">
        <v>984</v>
      </c>
      <c r="G2033" s="1077">
        <v>5</v>
      </c>
      <c r="H2033" s="1077" t="s">
        <v>5483</v>
      </c>
      <c r="I2033" s="1077" t="s">
        <v>126</v>
      </c>
      <c r="J2033" s="1077">
        <v>0.8</v>
      </c>
      <c r="K2033" s="1077" t="s">
        <v>6491</v>
      </c>
      <c r="L2033" s="1077" t="s">
        <v>4666</v>
      </c>
      <c r="M2033" s="1077">
        <v>151.5</v>
      </c>
      <c r="N2033" s="1077" t="s">
        <v>945</v>
      </c>
      <c r="O2033" s="1077">
        <v>3.7875000000000001</v>
      </c>
      <c r="P2033" s="1077">
        <v>3.0300000000000002</v>
      </c>
      <c r="Q2033" s="1077">
        <v>4</v>
      </c>
      <c r="R2033" s="1077">
        <v>19.100000000000001</v>
      </c>
      <c r="T2033" s="1077">
        <v>23.7</v>
      </c>
      <c r="U2033" s="1077">
        <v>3.2</v>
      </c>
      <c r="V2033" s="1077" t="s">
        <v>648</v>
      </c>
      <c r="W2033" s="1077">
        <v>35</v>
      </c>
      <c r="X2033" s="1077">
        <v>10</v>
      </c>
      <c r="Y2033" s="1077">
        <v>1</v>
      </c>
      <c r="Z2033" s="1077">
        <v>6</v>
      </c>
      <c r="AA2033" s="1077" t="s">
        <v>6492</v>
      </c>
      <c r="AH2033" s="1077" t="s">
        <v>1221</v>
      </c>
      <c r="AI2033" s="1077">
        <v>92.5</v>
      </c>
      <c r="AJ2033" s="1077">
        <v>-0.35</v>
      </c>
      <c r="AK2033" s="1077">
        <v>1.17</v>
      </c>
      <c r="AM2033" s="1078" t="s">
        <v>13066</v>
      </c>
      <c r="AN2033" s="1078" t="s">
        <v>13067</v>
      </c>
      <c r="AO2033" s="1078">
        <f t="shared" si="254"/>
        <v>650</v>
      </c>
      <c r="AP2033" s="1078">
        <f t="shared" si="255"/>
        <v>1.7549999999999999</v>
      </c>
      <c r="AQ2033" s="1078" t="str">
        <f t="shared" si="256"/>
        <v>1-5-1S91°</v>
      </c>
      <c r="AR2033" s="1078" t="str">
        <f t="shared" si="257"/>
        <v>30</v>
      </c>
      <c r="AS2033" s="1078" t="str">
        <f t="shared" si="258"/>
        <v>350/310/150</v>
      </c>
      <c r="AT2033" s="1078" t="str">
        <f t="shared" si="259"/>
        <v>1-5-1S91°</v>
      </c>
      <c r="AV2033" s="1078" t="str">
        <f t="shared" si="252"/>
        <v>113.3.6</v>
      </c>
      <c r="AW2033" s="1344">
        <f t="shared" si="253"/>
        <v>45357</v>
      </c>
    </row>
    <row r="2034" spans="1:49">
      <c r="A2034" s="1077" t="s">
        <v>6493</v>
      </c>
      <c r="B2034" s="1077" t="s">
        <v>847</v>
      </c>
      <c r="C2034" s="1077">
        <v>550</v>
      </c>
      <c r="D2034" s="1077">
        <v>1.77</v>
      </c>
      <c r="E2034" s="1077" t="s">
        <v>15119</v>
      </c>
      <c r="F2034" s="1077" t="s">
        <v>975</v>
      </c>
      <c r="G2034" s="1077">
        <v>4</v>
      </c>
      <c r="H2034" s="1077" t="s">
        <v>6088</v>
      </c>
      <c r="I2034" s="1077" t="s">
        <v>648</v>
      </c>
      <c r="J2034" s="1077">
        <v>0</v>
      </c>
      <c r="K2034" s="1077" t="s">
        <v>6089</v>
      </c>
      <c r="L2034" s="1077" t="s">
        <v>5037</v>
      </c>
      <c r="M2034" s="1077">
        <v>150</v>
      </c>
      <c r="N2034" s="1077" t="s">
        <v>945</v>
      </c>
      <c r="O2034" s="1077">
        <v>3.75</v>
      </c>
      <c r="P2034" s="1077">
        <v>3</v>
      </c>
      <c r="Q2034" s="1077">
        <v>3.5</v>
      </c>
      <c r="R2034" s="1077">
        <v>21.8</v>
      </c>
      <c r="T2034" s="1077">
        <v>19.5</v>
      </c>
      <c r="U2034" s="1077">
        <v>1.8</v>
      </c>
      <c r="V2034" s="1077" t="s">
        <v>648</v>
      </c>
      <c r="W2034" s="1077" t="s">
        <v>648</v>
      </c>
      <c r="X2034" s="1077" t="s">
        <v>648</v>
      </c>
      <c r="Y2034" s="1077">
        <v>2.1</v>
      </c>
      <c r="Z2034" s="1077">
        <v>5</v>
      </c>
      <c r="AA2034" s="1077" t="s">
        <v>6494</v>
      </c>
      <c r="AH2034" s="1077" t="s">
        <v>889</v>
      </c>
      <c r="AI2034" s="1077">
        <v>14.34</v>
      </c>
      <c r="AJ2034" s="1077">
        <v>-0.14000000000000001</v>
      </c>
      <c r="AK2034" s="1077">
        <v>-0.11</v>
      </c>
      <c r="AM2034" s="1078" t="s">
        <v>13068</v>
      </c>
      <c r="AN2034" s="1078" t="s">
        <v>13069</v>
      </c>
      <c r="AO2034" s="1078">
        <f t="shared" si="254"/>
        <v>550</v>
      </c>
      <c r="AP2034" s="1078">
        <f t="shared" si="255"/>
        <v>1.77</v>
      </c>
      <c r="AQ2034" s="1078" t="str">
        <f t="shared" si="256"/>
        <v>1-5-1S87</v>
      </c>
      <c r="AR2034" s="1078" t="str">
        <f t="shared" si="257"/>
        <v>31.5</v>
      </c>
      <c r="AS2034" s="1078" t="str">
        <f t="shared" si="258"/>
        <v>310/310/155</v>
      </c>
      <c r="AT2034" s="1078" t="str">
        <f t="shared" si="259"/>
        <v>1-5-1S87</v>
      </c>
      <c r="AV2034" s="1078" t="str">
        <f t="shared" si="252"/>
        <v>113.3.8</v>
      </c>
      <c r="AW2034" s="1344">
        <f t="shared" si="253"/>
        <v>45359</v>
      </c>
    </row>
    <row r="2035" spans="1:49">
      <c r="A2035" s="1077" t="s">
        <v>6495</v>
      </c>
      <c r="B2035" s="1077" t="s">
        <v>5148</v>
      </c>
      <c r="C2035" s="1077">
        <v>650</v>
      </c>
      <c r="D2035" s="1077">
        <v>1.76</v>
      </c>
      <c r="E2035" s="1077" t="s">
        <v>15094</v>
      </c>
      <c r="F2035" s="1077" t="s">
        <v>975</v>
      </c>
      <c r="G2035" s="1077">
        <v>5</v>
      </c>
      <c r="H2035" s="1077" t="s">
        <v>5455</v>
      </c>
      <c r="I2035" s="1077" t="s">
        <v>126</v>
      </c>
      <c r="J2035" s="1077">
        <v>2.7</v>
      </c>
      <c r="K2035" s="1077" t="s">
        <v>5548</v>
      </c>
      <c r="L2035" s="1077" t="s">
        <v>5152</v>
      </c>
      <c r="M2035" s="1077">
        <v>148.6</v>
      </c>
      <c r="N2035" s="1077" t="s">
        <v>945</v>
      </c>
      <c r="O2035" s="1077">
        <v>3.7149999999999999</v>
      </c>
      <c r="P2035" s="1077">
        <v>2.972</v>
      </c>
      <c r="Q2035" s="1077">
        <v>3.5</v>
      </c>
      <c r="R2035" s="1077">
        <v>20.399999999999999</v>
      </c>
      <c r="T2035" s="1077">
        <v>26</v>
      </c>
      <c r="U2035" s="1077">
        <v>3.7</v>
      </c>
      <c r="V2035" s="1077" t="s">
        <v>648</v>
      </c>
      <c r="W2035" s="1077">
        <v>105</v>
      </c>
      <c r="X2035" s="1077">
        <v>50</v>
      </c>
      <c r="Y2035" s="1077">
        <v>2</v>
      </c>
      <c r="Z2035" s="1077">
        <v>6.5</v>
      </c>
      <c r="AA2035" s="1077" t="s">
        <v>6496</v>
      </c>
      <c r="AH2035" s="1077" t="s">
        <v>990</v>
      </c>
      <c r="AI2035" s="1077">
        <v>91.47</v>
      </c>
      <c r="AJ2035" s="1077">
        <v>-0.25</v>
      </c>
      <c r="AK2035" s="1077">
        <v>6.63</v>
      </c>
      <c r="AM2035" s="1078" t="s">
        <v>13070</v>
      </c>
      <c r="AN2035" s="1078" t="s">
        <v>13071</v>
      </c>
      <c r="AO2035" s="1078">
        <f t="shared" si="254"/>
        <v>650</v>
      </c>
      <c r="AP2035" s="1078">
        <f t="shared" si="255"/>
        <v>1.76</v>
      </c>
      <c r="AQ2035" s="1078" t="str">
        <f t="shared" si="256"/>
        <v>1-5-1S91°</v>
      </c>
      <c r="AR2035" s="1078" t="str">
        <f t="shared" si="257"/>
        <v>31.5</v>
      </c>
      <c r="AS2035" s="1078" t="str">
        <f t="shared" si="258"/>
        <v>340/310/OFF</v>
      </c>
      <c r="AT2035" s="1078" t="str">
        <f t="shared" si="259"/>
        <v>1-5-1S91°</v>
      </c>
      <c r="AV2035" s="1078" t="str">
        <f t="shared" si="252"/>
        <v>113.3.20</v>
      </c>
      <c r="AW2035" s="1344">
        <f t="shared" si="253"/>
        <v>45371</v>
      </c>
    </row>
    <row r="2036" spans="1:49">
      <c r="A2036" s="1077" t="s">
        <v>6497</v>
      </c>
      <c r="B2036" s="1077" t="s">
        <v>847</v>
      </c>
      <c r="C2036" s="1077">
        <v>550</v>
      </c>
      <c r="D2036" s="1077">
        <v>1.77</v>
      </c>
      <c r="E2036" s="1077" t="s">
        <v>15119</v>
      </c>
      <c r="F2036" s="1077" t="s">
        <v>975</v>
      </c>
      <c r="G2036" s="1077">
        <v>4</v>
      </c>
      <c r="H2036" s="1077" t="s">
        <v>3143</v>
      </c>
      <c r="I2036" s="1077" t="s">
        <v>648</v>
      </c>
      <c r="J2036" s="1077">
        <v>0</v>
      </c>
      <c r="K2036" s="1077" t="s">
        <v>6498</v>
      </c>
      <c r="L2036" s="1077" t="s">
        <v>5037</v>
      </c>
      <c r="M2036" s="1077">
        <v>150</v>
      </c>
      <c r="N2036" s="1077" t="s">
        <v>945</v>
      </c>
      <c r="O2036" s="1077">
        <v>3.75</v>
      </c>
      <c r="P2036" s="1077">
        <v>3</v>
      </c>
      <c r="Q2036" s="1077">
        <v>3.5</v>
      </c>
      <c r="R2036" s="1077">
        <v>21.8</v>
      </c>
      <c r="T2036" s="1077">
        <v>19.5</v>
      </c>
      <c r="U2036" s="1077">
        <v>1.8</v>
      </c>
      <c r="V2036" s="1077" t="s">
        <v>648</v>
      </c>
      <c r="W2036" s="1077" t="s">
        <v>648</v>
      </c>
      <c r="X2036" s="1077" t="s">
        <v>648</v>
      </c>
      <c r="Y2036" s="1077">
        <v>2.1</v>
      </c>
      <c r="Z2036" s="1077">
        <v>5</v>
      </c>
      <c r="AA2036" s="1077" t="s">
        <v>3947</v>
      </c>
      <c r="AH2036" s="1077" t="s">
        <v>6499</v>
      </c>
      <c r="AI2036" s="1077">
        <v>14.06</v>
      </c>
      <c r="AJ2036" s="1077">
        <v>0.09</v>
      </c>
      <c r="AK2036" s="1077">
        <v>0.66</v>
      </c>
      <c r="AM2036" s="1078" t="s">
        <v>13072</v>
      </c>
      <c r="AN2036" s="1078" t="s">
        <v>13073</v>
      </c>
      <c r="AO2036" s="1078">
        <f t="shared" si="254"/>
        <v>550</v>
      </c>
      <c r="AP2036" s="1078">
        <f t="shared" si="255"/>
        <v>1.77</v>
      </c>
      <c r="AQ2036" s="1078" t="str">
        <f t="shared" si="256"/>
        <v>1-5-1S87</v>
      </c>
      <c r="AR2036" s="1078" t="str">
        <f t="shared" si="257"/>
        <v>31.5</v>
      </c>
      <c r="AS2036" s="1078" t="str">
        <f t="shared" si="258"/>
        <v>300/300/160</v>
      </c>
      <c r="AT2036" s="1078" t="str">
        <f t="shared" si="259"/>
        <v>1-5-1S87</v>
      </c>
      <c r="AV2036" s="1078" t="str">
        <f t="shared" si="252"/>
        <v>113.3.29</v>
      </c>
      <c r="AW2036" s="1344">
        <f t="shared" si="253"/>
        <v>45380</v>
      </c>
    </row>
    <row r="2037" spans="1:49">
      <c r="A2037" s="1077" t="s">
        <v>6500</v>
      </c>
      <c r="B2037" s="1077" t="s">
        <v>5678</v>
      </c>
      <c r="C2037" s="1077">
        <v>600</v>
      </c>
      <c r="D2037" s="1077">
        <v>1.65</v>
      </c>
      <c r="E2037" s="1077" t="s">
        <v>15104</v>
      </c>
      <c r="F2037" s="1077" t="s">
        <v>648</v>
      </c>
      <c r="G2037" s="1077">
        <v>5</v>
      </c>
      <c r="H2037" s="1077" t="s">
        <v>1470</v>
      </c>
      <c r="I2037" s="1077" t="s">
        <v>460</v>
      </c>
      <c r="J2037" s="1077">
        <v>3.3</v>
      </c>
      <c r="K2037" s="1077" t="s">
        <v>6501</v>
      </c>
      <c r="L2037" s="1077" t="s">
        <v>5680</v>
      </c>
      <c r="M2037" s="1077">
        <v>159.69999999999999</v>
      </c>
      <c r="N2037" s="1077" t="s">
        <v>945</v>
      </c>
      <c r="O2037" s="1077">
        <v>3.9924999999999997</v>
      </c>
      <c r="P2037" s="1077">
        <v>3.194</v>
      </c>
      <c r="Q2037" s="1077" t="s">
        <v>1005</v>
      </c>
      <c r="R2037" s="1077">
        <v>25.6</v>
      </c>
      <c r="T2037" s="1077">
        <v>33.9</v>
      </c>
      <c r="U2037" s="1077">
        <v>6.3</v>
      </c>
      <c r="V2037" s="1077" t="s">
        <v>648</v>
      </c>
      <c r="W2037" s="1077">
        <v>110</v>
      </c>
      <c r="X2037" s="1077">
        <v>95</v>
      </c>
      <c r="Y2037" s="1077">
        <v>1.5</v>
      </c>
      <c r="Z2037" s="1077" t="s">
        <v>648</v>
      </c>
      <c r="AA2037" s="1077" t="s">
        <v>3246</v>
      </c>
      <c r="AH2037" s="1077" t="s">
        <v>831</v>
      </c>
      <c r="AM2037" s="1078" t="s">
        <v>13074</v>
      </c>
      <c r="AN2037" s="1078" t="s">
        <v>13075</v>
      </c>
      <c r="AO2037" s="1078">
        <f t="shared" si="254"/>
        <v>600</v>
      </c>
      <c r="AP2037" s="1078">
        <f t="shared" si="255"/>
        <v>1.65</v>
      </c>
      <c r="AQ2037" s="1078" t="str">
        <f t="shared" si="256"/>
        <v>1-4-1S85°Z+S</v>
      </c>
      <c r="AR2037" s="1078" t="str">
        <f t="shared" si="257"/>
        <v>NA</v>
      </c>
      <c r="AS2037" s="1078" t="str">
        <f t="shared" si="258"/>
        <v>160/OFF</v>
      </c>
      <c r="AT2037" s="1078" t="str">
        <f t="shared" si="259"/>
        <v>1-4-1S85°Z+S</v>
      </c>
      <c r="AU2037" s="1078" t="s">
        <v>15547</v>
      </c>
      <c r="AV2037" s="1078" t="str">
        <f t="shared" si="252"/>
        <v>109.1.31</v>
      </c>
      <c r="AW2037" s="1344">
        <f t="shared" si="253"/>
        <v>43861</v>
      </c>
    </row>
    <row r="2038" spans="1:49">
      <c r="A2038" s="1077" t="s">
        <v>6502</v>
      </c>
      <c r="B2038" s="1077" t="s">
        <v>5239</v>
      </c>
      <c r="C2038" s="1077">
        <v>750</v>
      </c>
      <c r="D2038" s="1077">
        <v>1.7609999999999999</v>
      </c>
      <c r="E2038" s="1077" t="s">
        <v>15094</v>
      </c>
      <c r="F2038" s="1077" t="s">
        <v>5149</v>
      </c>
      <c r="G2038" s="1077">
        <v>5</v>
      </c>
      <c r="H2038" s="1077" t="s">
        <v>6503</v>
      </c>
      <c r="I2038" s="1077" t="s">
        <v>648</v>
      </c>
      <c r="J2038" s="1077" t="s">
        <v>648</v>
      </c>
      <c r="K2038" s="1077" t="s">
        <v>6504</v>
      </c>
      <c r="L2038" s="1077" t="s">
        <v>5242</v>
      </c>
      <c r="M2038" s="1077">
        <v>154.6</v>
      </c>
      <c r="N2038" s="1077" t="s">
        <v>945</v>
      </c>
      <c r="O2038" s="1077">
        <v>3.8650000000000002</v>
      </c>
      <c r="P2038" s="1077">
        <v>3.0920000000000001</v>
      </c>
      <c r="Q2038" s="1077" t="s">
        <v>961</v>
      </c>
      <c r="R2038" s="1077">
        <v>20.5</v>
      </c>
      <c r="T2038" s="1077">
        <v>21.7</v>
      </c>
      <c r="U2038" s="1077">
        <v>1.8</v>
      </c>
      <c r="V2038" s="1077" t="s">
        <v>2520</v>
      </c>
      <c r="W2038" s="1077" t="s">
        <v>648</v>
      </c>
      <c r="X2038" s="1077" t="s">
        <v>648</v>
      </c>
      <c r="Y2038" s="1077">
        <v>1.1000000000000001</v>
      </c>
      <c r="Z2038" s="1077">
        <v>5</v>
      </c>
      <c r="AA2038" s="1077" t="s">
        <v>6505</v>
      </c>
      <c r="AH2038" s="1077" t="s">
        <v>1143</v>
      </c>
      <c r="AM2038" s="1078" t="s">
        <v>13076</v>
      </c>
      <c r="AN2038" s="1078" t="s">
        <v>13077</v>
      </c>
      <c r="AO2038" s="1078">
        <f t="shared" si="254"/>
        <v>750</v>
      </c>
      <c r="AP2038" s="1078">
        <f t="shared" si="255"/>
        <v>1.7609999999999999</v>
      </c>
      <c r="AQ2038" s="1078" t="str">
        <f t="shared" si="256"/>
        <v>1-5-1S91°</v>
      </c>
      <c r="AR2038" s="1078" t="str">
        <f t="shared" si="257"/>
        <v>29.3</v>
      </c>
      <c r="AS2038" s="1078" t="str">
        <f t="shared" si="258"/>
        <v>380/350/155</v>
      </c>
      <c r="AT2038" s="1078" t="str">
        <f t="shared" si="259"/>
        <v>1-5-1S91°</v>
      </c>
      <c r="AV2038" s="1078" t="str">
        <f t="shared" si="252"/>
        <v>109.3.22</v>
      </c>
      <c r="AW2038" s="1344">
        <f t="shared" si="253"/>
        <v>43912</v>
      </c>
    </row>
    <row r="2039" spans="1:49">
      <c r="A2039" s="1077" t="s">
        <v>6506</v>
      </c>
      <c r="B2039" s="1077" t="s">
        <v>5410</v>
      </c>
      <c r="C2039" s="1077">
        <v>500</v>
      </c>
      <c r="D2039" s="1077">
        <v>1.726</v>
      </c>
      <c r="E2039" s="1077" t="s">
        <v>15116</v>
      </c>
      <c r="F2039" s="1077" t="s">
        <v>984</v>
      </c>
      <c r="G2039" s="1077">
        <v>2</v>
      </c>
      <c r="H2039" s="1077" t="s">
        <v>1061</v>
      </c>
      <c r="I2039" s="1077" t="s">
        <v>126</v>
      </c>
      <c r="J2039" s="1077">
        <v>0.4</v>
      </c>
      <c r="K2039" s="1077" t="s">
        <v>6507</v>
      </c>
      <c r="L2039" s="1077" t="s">
        <v>1825</v>
      </c>
      <c r="M2039" s="1077">
        <v>150.1</v>
      </c>
      <c r="N2039" s="1077" t="s">
        <v>945</v>
      </c>
      <c r="O2039" s="1077">
        <v>3.7524999999999999</v>
      </c>
      <c r="P2039" s="1077">
        <v>3.0019999999999998</v>
      </c>
      <c r="Q2039" s="1077" t="s">
        <v>1020</v>
      </c>
      <c r="R2039" s="1077">
        <v>20.7</v>
      </c>
      <c r="T2039" s="1077">
        <v>32.6</v>
      </c>
      <c r="U2039" s="1077">
        <v>3</v>
      </c>
      <c r="V2039" s="1077" t="s">
        <v>648</v>
      </c>
      <c r="W2039" s="1077" t="s">
        <v>648</v>
      </c>
      <c r="X2039" s="1077" t="s">
        <v>648</v>
      </c>
      <c r="Y2039" s="1077" t="s">
        <v>4828</v>
      </c>
      <c r="Z2039" s="1077" t="s">
        <v>648</v>
      </c>
      <c r="AA2039" s="1077" t="s">
        <v>4804</v>
      </c>
      <c r="AH2039" s="1077" t="s">
        <v>681</v>
      </c>
      <c r="AM2039" s="1078" t="s">
        <v>13078</v>
      </c>
      <c r="AN2039" s="1078" t="s">
        <v>12410</v>
      </c>
      <c r="AO2039" s="1078">
        <f t="shared" si="254"/>
        <v>500</v>
      </c>
      <c r="AP2039" s="1078">
        <f t="shared" si="255"/>
        <v>1.726</v>
      </c>
      <c r="AQ2039" s="1078" t="str">
        <f t="shared" si="256"/>
        <v>1-5-1S83°Z+S</v>
      </c>
      <c r="AR2039" s="1078" t="str">
        <f t="shared" si="257"/>
        <v>30</v>
      </c>
      <c r="AS2039" s="1078" t="str">
        <f t="shared" si="258"/>
        <v>255/255/OFF</v>
      </c>
      <c r="AT2039" s="1078" t="str">
        <f t="shared" si="259"/>
        <v>1-5-1S83°Z+S</v>
      </c>
      <c r="AU2039" s="1078" t="s">
        <v>15547</v>
      </c>
      <c r="AV2039" s="1078" t="str">
        <f t="shared" si="252"/>
        <v>109.10.5</v>
      </c>
      <c r="AW2039" s="1344">
        <f t="shared" si="253"/>
        <v>44109</v>
      </c>
    </row>
    <row r="2040" spans="1:49">
      <c r="A2040" s="1077" t="s">
        <v>6508</v>
      </c>
      <c r="B2040" s="1077" t="s">
        <v>5148</v>
      </c>
      <c r="C2040" s="1077">
        <v>750</v>
      </c>
      <c r="D2040" s="1077">
        <v>1.7350000000000001</v>
      </c>
      <c r="E2040" s="1077" t="s">
        <v>15094</v>
      </c>
      <c r="F2040" s="1077" t="s">
        <v>984</v>
      </c>
      <c r="G2040" s="1077">
        <v>5</v>
      </c>
      <c r="H2040" s="1077" t="s">
        <v>5200</v>
      </c>
      <c r="I2040" s="1077" t="s">
        <v>648</v>
      </c>
      <c r="J2040" s="1077">
        <v>0</v>
      </c>
      <c r="K2040" s="1077" t="s">
        <v>5298</v>
      </c>
      <c r="L2040" s="1077" t="s">
        <v>5152</v>
      </c>
      <c r="M2040" s="1077">
        <v>149.9</v>
      </c>
      <c r="N2040" s="1077" t="s">
        <v>945</v>
      </c>
      <c r="O2040" s="1077">
        <v>3.7475000000000005</v>
      </c>
      <c r="P2040" s="1077">
        <v>2.9980000000000002</v>
      </c>
      <c r="Q2040" s="1077">
        <v>4</v>
      </c>
      <c r="R2040" s="1077">
        <v>24</v>
      </c>
      <c r="T2040" s="1077">
        <v>17</v>
      </c>
      <c r="U2040" s="1077">
        <v>2.6</v>
      </c>
      <c r="V2040" s="1077" t="s">
        <v>648</v>
      </c>
      <c r="W2040" s="1077" t="s">
        <v>648</v>
      </c>
      <c r="X2040" s="1077" t="s">
        <v>648</v>
      </c>
      <c r="Y2040" s="1077">
        <v>1</v>
      </c>
      <c r="Z2040" s="1077">
        <v>4.5</v>
      </c>
      <c r="AA2040" s="1077" t="s">
        <v>6509</v>
      </c>
      <c r="AH2040" s="1077" t="s">
        <v>1221</v>
      </c>
      <c r="AM2040" s="1078" t="s">
        <v>13079</v>
      </c>
      <c r="AN2040" s="1078" t="s">
        <v>13080</v>
      </c>
      <c r="AO2040" s="1078">
        <f t="shared" si="254"/>
        <v>750</v>
      </c>
      <c r="AP2040" s="1078">
        <f t="shared" si="255"/>
        <v>1.7350000000000001</v>
      </c>
      <c r="AQ2040" s="1078" t="str">
        <f t="shared" si="256"/>
        <v>1-5-1S91°</v>
      </c>
      <c r="AR2040" s="1078" t="str">
        <f t="shared" si="257"/>
        <v>30</v>
      </c>
      <c r="AS2040" s="1078" t="str">
        <f t="shared" si="258"/>
        <v>370/330/158</v>
      </c>
      <c r="AT2040" s="1078" t="str">
        <f t="shared" si="259"/>
        <v>1-5-1S91°</v>
      </c>
      <c r="AV2040" s="1078" t="str">
        <f t="shared" si="252"/>
        <v>110.1.6</v>
      </c>
      <c r="AW2040" s="1344">
        <f t="shared" si="253"/>
        <v>44202</v>
      </c>
    </row>
    <row r="2041" spans="1:49">
      <c r="A2041" s="1077" t="s">
        <v>6510</v>
      </c>
      <c r="B2041" s="1077" t="s">
        <v>4898</v>
      </c>
      <c r="C2041" s="1077">
        <v>650</v>
      </c>
      <c r="D2041" s="1077">
        <v>1.72</v>
      </c>
      <c r="E2041" s="1077" t="s">
        <v>15109</v>
      </c>
      <c r="F2041" s="1077" t="s">
        <v>648</v>
      </c>
      <c r="G2041" s="1077">
        <v>5</v>
      </c>
      <c r="H2041" s="1077" t="s">
        <v>2192</v>
      </c>
      <c r="I2041" s="1077" t="s">
        <v>126</v>
      </c>
      <c r="J2041" s="1077">
        <v>1.3</v>
      </c>
      <c r="K2041" s="1077" t="s">
        <v>4841</v>
      </c>
      <c r="L2041" s="1077" t="s">
        <v>1776</v>
      </c>
      <c r="M2041" s="1077">
        <v>148</v>
      </c>
      <c r="N2041" s="1077" t="s">
        <v>945</v>
      </c>
      <c r="O2041" s="1077">
        <v>3.7</v>
      </c>
      <c r="P2041" s="1077">
        <v>2.96</v>
      </c>
      <c r="Q2041" s="1077">
        <v>4</v>
      </c>
      <c r="R2041" s="1077">
        <v>20.8</v>
      </c>
      <c r="T2041" s="1077">
        <v>20.399999999999999</v>
      </c>
      <c r="U2041" s="1077">
        <v>3.8</v>
      </c>
      <c r="V2041" s="1077" t="s">
        <v>648</v>
      </c>
      <c r="W2041" s="1077">
        <v>110</v>
      </c>
      <c r="X2041" s="1077">
        <v>60</v>
      </c>
      <c r="Y2041" s="1077">
        <v>1.7</v>
      </c>
      <c r="Z2041" s="1077" t="s">
        <v>648</v>
      </c>
      <c r="AA2041" s="1077" t="s">
        <v>6511</v>
      </c>
      <c r="AH2041" s="1077" t="s">
        <v>647</v>
      </c>
      <c r="AM2041" s="1078" t="s">
        <v>13081</v>
      </c>
      <c r="AN2041" s="1078" t="s">
        <v>13082</v>
      </c>
      <c r="AO2041" s="1078">
        <f t="shared" si="254"/>
        <v>650</v>
      </c>
      <c r="AP2041" s="1078">
        <f t="shared" si="255"/>
        <v>1.72</v>
      </c>
      <c r="AQ2041" s="1078" t="str">
        <f t="shared" si="256"/>
        <v>1-5-1S85°Z+S</v>
      </c>
      <c r="AR2041" s="1078" t="str">
        <f t="shared" si="257"/>
        <v>NA</v>
      </c>
      <c r="AS2041" s="1078" t="str">
        <f t="shared" si="258"/>
        <v>180/OFF</v>
      </c>
      <c r="AT2041" s="1078" t="str">
        <f t="shared" si="259"/>
        <v>1-5-1S85°Z+S</v>
      </c>
      <c r="AU2041" s="1078" t="s">
        <v>15547</v>
      </c>
      <c r="AV2041" s="1078" t="str">
        <f t="shared" si="252"/>
        <v>110.3.2</v>
      </c>
      <c r="AW2041" s="1344">
        <f t="shared" si="253"/>
        <v>44257</v>
      </c>
    </row>
    <row r="2042" spans="1:49">
      <c r="A2042" s="1077" t="s">
        <v>6512</v>
      </c>
      <c r="B2042" s="1077" t="s">
        <v>5148</v>
      </c>
      <c r="C2042" s="1077">
        <v>650</v>
      </c>
      <c r="D2042" s="1077">
        <v>1.74</v>
      </c>
      <c r="E2042" s="1077" t="s">
        <v>15094</v>
      </c>
      <c r="F2042" s="1077" t="s">
        <v>975</v>
      </c>
      <c r="G2042" s="1077">
        <v>5</v>
      </c>
      <c r="H2042" s="1077" t="s">
        <v>5305</v>
      </c>
      <c r="I2042" s="1077" t="s">
        <v>126</v>
      </c>
      <c r="J2042" s="1077">
        <v>2.6</v>
      </c>
      <c r="K2042" s="1077" t="s">
        <v>5867</v>
      </c>
      <c r="L2042" s="1077" t="s">
        <v>5152</v>
      </c>
      <c r="M2042" s="1077">
        <v>148.6</v>
      </c>
      <c r="N2042" s="1077" t="s">
        <v>945</v>
      </c>
      <c r="O2042" s="1077">
        <v>3.7149999999999999</v>
      </c>
      <c r="P2042" s="1077">
        <v>2.972</v>
      </c>
      <c r="Q2042" s="1077">
        <v>3.5</v>
      </c>
      <c r="R2042" s="1077">
        <v>20.399999999999999</v>
      </c>
      <c r="T2042" s="1077">
        <v>26</v>
      </c>
      <c r="U2042" s="1077">
        <v>3.7</v>
      </c>
      <c r="V2042" s="1077" t="s">
        <v>648</v>
      </c>
      <c r="W2042" s="1077">
        <v>105</v>
      </c>
      <c r="X2042" s="1077">
        <v>50</v>
      </c>
      <c r="Y2042" s="1077">
        <v>2</v>
      </c>
      <c r="Z2042" s="1077">
        <v>6.5</v>
      </c>
      <c r="AA2042" s="1077" t="s">
        <v>969</v>
      </c>
      <c r="AH2042" s="1077" t="s">
        <v>1238</v>
      </c>
      <c r="AM2042" s="1078" t="s">
        <v>13083</v>
      </c>
      <c r="AN2042" s="1078" t="s">
        <v>13084</v>
      </c>
      <c r="AO2042" s="1078">
        <f t="shared" si="254"/>
        <v>650</v>
      </c>
      <c r="AP2042" s="1078">
        <f t="shared" si="255"/>
        <v>1.74</v>
      </c>
      <c r="AQ2042" s="1078" t="str">
        <f t="shared" si="256"/>
        <v>1-5-1S91°</v>
      </c>
      <c r="AR2042" s="1078" t="str">
        <f t="shared" si="257"/>
        <v>31.5</v>
      </c>
      <c r="AS2042" s="1078" t="str">
        <f t="shared" si="258"/>
        <v>350/320/OFF</v>
      </c>
      <c r="AT2042" s="1078" t="str">
        <f t="shared" si="259"/>
        <v>1-5-1S91°</v>
      </c>
      <c r="AV2042" s="1078" t="str">
        <f t="shared" si="252"/>
        <v>110.5.12</v>
      </c>
      <c r="AW2042" s="1344">
        <f t="shared" si="253"/>
        <v>44328</v>
      </c>
    </row>
    <row r="2043" spans="1:49">
      <c r="A2043" s="1077" t="s">
        <v>6513</v>
      </c>
      <c r="B2043" s="1077" t="s">
        <v>210</v>
      </c>
      <c r="C2043" s="1077">
        <v>650</v>
      </c>
      <c r="D2043" s="1077">
        <v>1.76</v>
      </c>
      <c r="E2043" s="1077" t="s">
        <v>15094</v>
      </c>
      <c r="F2043" s="1077" t="s">
        <v>984</v>
      </c>
      <c r="G2043" s="1077">
        <v>5</v>
      </c>
      <c r="H2043" s="1077" t="s">
        <v>6011</v>
      </c>
      <c r="I2043" s="1077" t="s">
        <v>648</v>
      </c>
      <c r="J2043" s="1077">
        <v>0</v>
      </c>
      <c r="K2043" s="1077" t="s">
        <v>6284</v>
      </c>
      <c r="L2043" s="1077" t="s">
        <v>4666</v>
      </c>
      <c r="M2043" s="1077">
        <v>151.5</v>
      </c>
      <c r="N2043" s="1077" t="s">
        <v>945</v>
      </c>
      <c r="O2043" s="1077">
        <v>3.7875000000000001</v>
      </c>
      <c r="P2043" s="1077">
        <v>3.0300000000000002</v>
      </c>
      <c r="Q2043" s="1077" t="s">
        <v>1037</v>
      </c>
      <c r="R2043" s="1077">
        <v>19.100000000000001</v>
      </c>
      <c r="T2043" s="1077">
        <v>19</v>
      </c>
      <c r="U2043" s="1077">
        <v>2.5</v>
      </c>
      <c r="V2043" s="1077" t="s">
        <v>648</v>
      </c>
      <c r="W2043" s="1077" t="s">
        <v>648</v>
      </c>
      <c r="X2043" s="1077" t="s">
        <v>648</v>
      </c>
      <c r="Y2043" s="1077">
        <v>1</v>
      </c>
      <c r="Z2043" s="1077">
        <v>5</v>
      </c>
      <c r="AA2043" s="1077" t="s">
        <v>4220</v>
      </c>
      <c r="AH2043" s="1077" t="s">
        <v>3213</v>
      </c>
      <c r="AM2043" s="1078" t="s">
        <v>13085</v>
      </c>
      <c r="AN2043" s="1078" t="s">
        <v>13086</v>
      </c>
      <c r="AO2043" s="1078">
        <f t="shared" si="254"/>
        <v>650</v>
      </c>
      <c r="AP2043" s="1078">
        <f t="shared" si="255"/>
        <v>1.76</v>
      </c>
      <c r="AQ2043" s="1078" t="str">
        <f t="shared" si="256"/>
        <v>1-5-1S91°</v>
      </c>
      <c r="AR2043" s="1078" t="str">
        <f t="shared" si="257"/>
        <v>30</v>
      </c>
      <c r="AS2043" s="1078" t="str">
        <f t="shared" si="258"/>
        <v>350/310/152</v>
      </c>
      <c r="AT2043" s="1078" t="str">
        <f t="shared" si="259"/>
        <v>1-5-1S91°</v>
      </c>
      <c r="AV2043" s="1078" t="str">
        <f t="shared" si="252"/>
        <v>110.7.12</v>
      </c>
      <c r="AW2043" s="1344">
        <f t="shared" si="253"/>
        <v>44389</v>
      </c>
    </row>
    <row r="2044" spans="1:49">
      <c r="A2044" s="1077" t="s">
        <v>6514</v>
      </c>
      <c r="B2044" s="1077" t="s">
        <v>5356</v>
      </c>
      <c r="C2044" s="1077">
        <v>500</v>
      </c>
      <c r="D2044" s="1077">
        <v>1.72</v>
      </c>
      <c r="E2044" s="1077" t="s">
        <v>15108</v>
      </c>
      <c r="F2044" s="1077" t="s">
        <v>954</v>
      </c>
      <c r="G2044" s="1077">
        <v>3</v>
      </c>
      <c r="H2044" s="1077" t="s">
        <v>1145</v>
      </c>
      <c r="I2044" s="1077" t="s">
        <v>460</v>
      </c>
      <c r="J2044" s="1077">
        <v>1.2</v>
      </c>
      <c r="K2044" s="1077" t="s">
        <v>6515</v>
      </c>
      <c r="L2044" s="1077" t="s">
        <v>3160</v>
      </c>
      <c r="M2044" s="1077">
        <v>150</v>
      </c>
      <c r="N2044" s="1077" t="s">
        <v>945</v>
      </c>
      <c r="O2044" s="1077">
        <v>3.75</v>
      </c>
      <c r="P2044" s="1077">
        <v>3</v>
      </c>
      <c r="Q2044" s="1077" t="s">
        <v>2950</v>
      </c>
      <c r="R2044" s="1077">
        <v>23</v>
      </c>
      <c r="T2044" s="1077">
        <v>21</v>
      </c>
      <c r="U2044" s="1077">
        <v>3.4</v>
      </c>
      <c r="V2044" s="1077" t="s">
        <v>648</v>
      </c>
      <c r="W2044" s="1077">
        <v>120</v>
      </c>
      <c r="X2044" s="1077">
        <v>80</v>
      </c>
      <c r="Y2044" s="1077">
        <v>2</v>
      </c>
      <c r="Z2044" s="1077" t="s">
        <v>648</v>
      </c>
      <c r="AA2044" s="1077" t="s">
        <v>3716</v>
      </c>
      <c r="AH2044" s="1077" t="s">
        <v>2384</v>
      </c>
      <c r="AM2044" s="1078" t="s">
        <v>13087</v>
      </c>
      <c r="AN2044" s="1078" t="s">
        <v>13088</v>
      </c>
      <c r="AO2044" s="1078">
        <f t="shared" si="254"/>
        <v>500</v>
      </c>
      <c r="AP2044" s="1078">
        <f t="shared" si="255"/>
        <v>1.72</v>
      </c>
      <c r="AQ2044" s="1078" t="str">
        <f t="shared" si="256"/>
        <v>1-4-1S83°Z+S</v>
      </c>
      <c r="AR2044" s="1078" t="str">
        <f t="shared" si="257"/>
        <v>31</v>
      </c>
      <c r="AS2044" s="1078" t="str">
        <f t="shared" si="258"/>
        <v>235/235/OFF</v>
      </c>
      <c r="AT2044" s="1078" t="str">
        <f t="shared" si="259"/>
        <v>1-4-1S83°Z+S</v>
      </c>
      <c r="AU2044" s="1078" t="s">
        <v>15547</v>
      </c>
      <c r="AV2044" s="1078" t="str">
        <f t="shared" si="252"/>
        <v>110.9.3</v>
      </c>
      <c r="AW2044" s="1344">
        <f t="shared" si="253"/>
        <v>44442</v>
      </c>
    </row>
    <row r="2045" spans="1:49">
      <c r="A2045" s="1077" t="s">
        <v>6516</v>
      </c>
      <c r="B2045" s="1077" t="s">
        <v>5148</v>
      </c>
      <c r="C2045" s="1077">
        <v>650</v>
      </c>
      <c r="D2045" s="1077">
        <v>1.75</v>
      </c>
      <c r="E2045" s="1077" t="s">
        <v>15094</v>
      </c>
      <c r="F2045" s="1077" t="s">
        <v>975</v>
      </c>
      <c r="G2045" s="1077">
        <v>5</v>
      </c>
      <c r="H2045" s="1077" t="s">
        <v>5305</v>
      </c>
      <c r="I2045" s="1077" t="s">
        <v>126</v>
      </c>
      <c r="J2045" s="1077">
        <v>2.6</v>
      </c>
      <c r="K2045" s="1077" t="s">
        <v>6517</v>
      </c>
      <c r="L2045" s="1077" t="s">
        <v>5152</v>
      </c>
      <c r="M2045" s="1077">
        <v>148.6</v>
      </c>
      <c r="N2045" s="1077" t="s">
        <v>945</v>
      </c>
      <c r="O2045" s="1077">
        <v>3.7149999999999999</v>
      </c>
      <c r="P2045" s="1077">
        <v>2.972</v>
      </c>
      <c r="Q2045" s="1077">
        <v>3.5</v>
      </c>
      <c r="R2045" s="1077">
        <v>20.399999999999999</v>
      </c>
      <c r="T2045" s="1077">
        <v>26</v>
      </c>
      <c r="U2045" s="1077">
        <v>3.7</v>
      </c>
      <c r="V2045" s="1077" t="s">
        <v>648</v>
      </c>
      <c r="W2045" s="1077">
        <v>105</v>
      </c>
      <c r="X2045" s="1077">
        <v>50</v>
      </c>
      <c r="Y2045" s="1077">
        <v>2</v>
      </c>
      <c r="Z2045" s="1077">
        <v>6.5</v>
      </c>
      <c r="AA2045" s="1077" t="s">
        <v>6518</v>
      </c>
      <c r="AH2045" s="1077" t="s">
        <v>994</v>
      </c>
      <c r="AM2045" s="1078" t="s">
        <v>13089</v>
      </c>
      <c r="AN2045" s="1078" t="s">
        <v>13090</v>
      </c>
      <c r="AO2045" s="1078">
        <f t="shared" si="254"/>
        <v>650</v>
      </c>
      <c r="AP2045" s="1078">
        <f t="shared" si="255"/>
        <v>1.75</v>
      </c>
      <c r="AQ2045" s="1078" t="str">
        <f t="shared" si="256"/>
        <v>1-5-1S91°</v>
      </c>
      <c r="AR2045" s="1078" t="str">
        <f t="shared" si="257"/>
        <v>31.5</v>
      </c>
      <c r="AS2045" s="1078" t="str">
        <f t="shared" si="258"/>
        <v>350/320/OFF</v>
      </c>
      <c r="AT2045" s="1078" t="str">
        <f t="shared" si="259"/>
        <v>1-5-1S91°</v>
      </c>
      <c r="AV2045" s="1078" t="str">
        <f t="shared" si="252"/>
        <v>110.11.1</v>
      </c>
      <c r="AW2045" s="1344">
        <f t="shared" si="253"/>
        <v>44501</v>
      </c>
    </row>
    <row r="2046" spans="1:49">
      <c r="A2046" s="1077" t="s">
        <v>6519</v>
      </c>
      <c r="B2046" s="1077" t="s">
        <v>210</v>
      </c>
      <c r="C2046" s="1077">
        <v>700</v>
      </c>
      <c r="D2046" s="1077">
        <v>1.75</v>
      </c>
      <c r="E2046" s="1077" t="s">
        <v>15094</v>
      </c>
      <c r="F2046" s="1077" t="s">
        <v>984</v>
      </c>
      <c r="G2046" s="1077">
        <v>5</v>
      </c>
      <c r="H2046" s="1077" t="s">
        <v>5300</v>
      </c>
      <c r="I2046" s="1077" t="s">
        <v>126</v>
      </c>
      <c r="J2046" s="1077">
        <v>0.7</v>
      </c>
      <c r="K2046" s="1077" t="s">
        <v>5990</v>
      </c>
      <c r="L2046" s="1077" t="s">
        <v>4666</v>
      </c>
      <c r="M2046" s="1077">
        <v>151.5</v>
      </c>
      <c r="N2046" s="1077" t="s">
        <v>945</v>
      </c>
      <c r="O2046" s="1077">
        <v>3.7875000000000001</v>
      </c>
      <c r="P2046" s="1077">
        <v>3.0300000000000002</v>
      </c>
      <c r="Q2046" s="1077">
        <v>4</v>
      </c>
      <c r="R2046" s="1077">
        <v>19.100000000000001</v>
      </c>
      <c r="T2046" s="1077">
        <v>23.7</v>
      </c>
      <c r="U2046" s="1077">
        <v>3.2</v>
      </c>
      <c r="V2046" s="1077" t="s">
        <v>648</v>
      </c>
      <c r="W2046" s="1077">
        <v>35</v>
      </c>
      <c r="X2046" s="1077">
        <v>10</v>
      </c>
      <c r="Y2046" s="1077">
        <v>1</v>
      </c>
      <c r="Z2046" s="1077">
        <v>6</v>
      </c>
      <c r="AA2046" s="1077" t="s">
        <v>3991</v>
      </c>
      <c r="AH2046" s="1077" t="s">
        <v>3213</v>
      </c>
      <c r="AM2046" s="1078" t="s">
        <v>13091</v>
      </c>
      <c r="AN2046" s="1078" t="s">
        <v>13092</v>
      </c>
      <c r="AO2046" s="1078">
        <f t="shared" si="254"/>
        <v>700</v>
      </c>
      <c r="AP2046" s="1078">
        <f t="shared" si="255"/>
        <v>1.75</v>
      </c>
      <c r="AQ2046" s="1078" t="str">
        <f t="shared" si="256"/>
        <v>1-5-1S91°</v>
      </c>
      <c r="AR2046" s="1078" t="str">
        <f t="shared" si="257"/>
        <v>30</v>
      </c>
      <c r="AS2046" s="1078" t="str">
        <f t="shared" si="258"/>
        <v>370/330/155</v>
      </c>
      <c r="AT2046" s="1078" t="str">
        <f t="shared" si="259"/>
        <v>1-5-1S91°</v>
      </c>
      <c r="AV2046" s="1078" t="str">
        <f t="shared" si="252"/>
        <v>110.12.6</v>
      </c>
      <c r="AW2046" s="1344">
        <f t="shared" si="253"/>
        <v>44536</v>
      </c>
    </row>
    <row r="2047" spans="1:49">
      <c r="A2047" s="1077" t="s">
        <v>6520</v>
      </c>
      <c r="B2047" s="1077" t="s">
        <v>210</v>
      </c>
      <c r="C2047" s="1077">
        <v>650</v>
      </c>
      <c r="D2047" s="1077">
        <v>1.76</v>
      </c>
      <c r="E2047" s="1077" t="s">
        <v>15094</v>
      </c>
      <c r="F2047" s="1077" t="s">
        <v>984</v>
      </c>
      <c r="G2047" s="1077">
        <v>5</v>
      </c>
      <c r="H2047" s="1077" t="s">
        <v>6521</v>
      </c>
      <c r="I2047" s="1077" t="s">
        <v>126</v>
      </c>
      <c r="J2047" s="1077">
        <v>2.8</v>
      </c>
      <c r="K2047" s="1077" t="s">
        <v>6370</v>
      </c>
      <c r="L2047" s="1077" t="s">
        <v>6291</v>
      </c>
      <c r="M2047" s="1077">
        <v>150.80000000000001</v>
      </c>
      <c r="N2047" s="1077" t="s">
        <v>945</v>
      </c>
      <c r="O2047" s="1077">
        <v>3.7700000000000005</v>
      </c>
      <c r="P2047" s="1077">
        <v>3.0160000000000005</v>
      </c>
      <c r="Q2047" s="1077">
        <v>4</v>
      </c>
      <c r="R2047" s="1077">
        <v>19</v>
      </c>
      <c r="T2047" s="1077">
        <v>28.3</v>
      </c>
      <c r="U2047" s="1077">
        <v>4.3</v>
      </c>
      <c r="V2047" s="1077" t="s">
        <v>648</v>
      </c>
      <c r="W2047" s="1077">
        <v>100</v>
      </c>
      <c r="X2047" s="1077">
        <v>50</v>
      </c>
      <c r="Y2047" s="1077">
        <v>1.5</v>
      </c>
      <c r="Z2047" s="1077">
        <v>6.5</v>
      </c>
      <c r="AA2047" s="1077" t="s">
        <v>3947</v>
      </c>
      <c r="AH2047" s="1077" t="s">
        <v>1238</v>
      </c>
      <c r="AI2047" s="1077">
        <v>91.33</v>
      </c>
      <c r="AJ2047" s="1077">
        <v>0.03</v>
      </c>
      <c r="AK2047" s="1077">
        <v>0.68</v>
      </c>
      <c r="AM2047" s="1078" t="s">
        <v>13093</v>
      </c>
      <c r="AN2047" s="1078" t="s">
        <v>13094</v>
      </c>
      <c r="AO2047" s="1078">
        <f t="shared" si="254"/>
        <v>650</v>
      </c>
      <c r="AP2047" s="1078">
        <f t="shared" si="255"/>
        <v>1.76</v>
      </c>
      <c r="AQ2047" s="1078" t="str">
        <f t="shared" si="256"/>
        <v>1-5-1S91°</v>
      </c>
      <c r="AR2047" s="1078" t="str">
        <f t="shared" si="257"/>
        <v>30</v>
      </c>
      <c r="AS2047" s="1078" t="str">
        <f t="shared" si="258"/>
        <v>345/305/OFF</v>
      </c>
      <c r="AT2047" s="1078" t="str">
        <f t="shared" si="259"/>
        <v>1-5-1S91°</v>
      </c>
      <c r="AV2047" s="1078" t="str">
        <f t="shared" si="252"/>
        <v>113.3.29</v>
      </c>
      <c r="AW2047" s="1344">
        <f t="shared" si="253"/>
        <v>45380</v>
      </c>
    </row>
    <row r="2048" spans="1:49">
      <c r="A2048" s="1077" t="s">
        <v>6522</v>
      </c>
      <c r="B2048" s="1077" t="s">
        <v>757</v>
      </c>
      <c r="C2048" s="1077">
        <v>500</v>
      </c>
      <c r="D2048" s="1077">
        <v>1.7649999999999999</v>
      </c>
      <c r="E2048" s="1077" t="s">
        <v>15111</v>
      </c>
      <c r="F2048" s="1077" t="s">
        <v>975</v>
      </c>
      <c r="G2048" s="1077">
        <v>4</v>
      </c>
      <c r="H2048" s="1077" t="s">
        <v>6116</v>
      </c>
      <c r="I2048" s="1077" t="s">
        <v>126</v>
      </c>
      <c r="J2048" s="1077">
        <v>3.1</v>
      </c>
      <c r="K2048" s="1077" t="s">
        <v>6486</v>
      </c>
      <c r="L2048" s="1077" t="s">
        <v>6118</v>
      </c>
      <c r="M2048" s="1077">
        <v>148.5</v>
      </c>
      <c r="N2048" s="1077" t="s">
        <v>945</v>
      </c>
      <c r="O2048" s="1077">
        <v>3.7125000000000004</v>
      </c>
      <c r="P2048" s="1077">
        <v>2.97</v>
      </c>
      <c r="Q2048" s="1077">
        <v>3.5</v>
      </c>
      <c r="R2048" s="1077">
        <v>21.5</v>
      </c>
      <c r="T2048" s="1077">
        <v>30</v>
      </c>
      <c r="U2048" s="1077">
        <v>3.6</v>
      </c>
      <c r="V2048" s="1077" t="s">
        <v>648</v>
      </c>
      <c r="W2048" s="1077">
        <v>120</v>
      </c>
      <c r="X2048" s="1077">
        <v>70</v>
      </c>
      <c r="Y2048" s="1077">
        <v>1.8</v>
      </c>
      <c r="Z2048" s="1077">
        <v>6.5</v>
      </c>
      <c r="AA2048" s="1077" t="s">
        <v>1674</v>
      </c>
      <c r="AH2048" s="1077" t="s">
        <v>456</v>
      </c>
      <c r="AI2048" s="1077">
        <v>12.86</v>
      </c>
      <c r="AJ2048" s="1077">
        <v>-0.01</v>
      </c>
      <c r="AK2048" s="1077">
        <v>0.65</v>
      </c>
      <c r="AM2048" s="1078" t="s">
        <v>13095</v>
      </c>
      <c r="AN2048" s="1078" t="s">
        <v>13096</v>
      </c>
      <c r="AO2048" s="1078">
        <f t="shared" si="254"/>
        <v>500</v>
      </c>
      <c r="AP2048" s="1078">
        <f t="shared" si="255"/>
        <v>1.7649999999999999</v>
      </c>
      <c r="AQ2048" s="1078" t="str">
        <f t="shared" si="256"/>
        <v>1-5-1S91</v>
      </c>
      <c r="AR2048" s="1078" t="str">
        <f t="shared" si="257"/>
        <v>31.5</v>
      </c>
      <c r="AS2048" s="1078" t="str">
        <f t="shared" si="258"/>
        <v>320/320/OFF</v>
      </c>
      <c r="AT2048" s="1078" t="str">
        <f t="shared" si="259"/>
        <v>1-5-1S91</v>
      </c>
      <c r="AV2048" s="1078" t="str">
        <f t="shared" si="252"/>
        <v>113.4.8</v>
      </c>
      <c r="AW2048" s="1344">
        <f t="shared" si="253"/>
        <v>45390</v>
      </c>
    </row>
    <row r="2049" spans="1:49">
      <c r="A2049" s="1077" t="s">
        <v>6523</v>
      </c>
      <c r="B2049" s="1077" t="s">
        <v>5565</v>
      </c>
      <c r="C2049" s="1077">
        <v>600</v>
      </c>
      <c r="D2049" s="1077">
        <v>1.7050000000000001</v>
      </c>
      <c r="E2049" s="1077" t="s">
        <v>15109</v>
      </c>
      <c r="F2049" s="1077" t="s">
        <v>648</v>
      </c>
      <c r="G2049" s="1077">
        <v>5</v>
      </c>
      <c r="H2049" s="1077" t="s">
        <v>1072</v>
      </c>
      <c r="I2049" s="1077" t="s">
        <v>126</v>
      </c>
      <c r="J2049" s="1077">
        <v>1.3</v>
      </c>
      <c r="K2049" s="1077" t="s">
        <v>6484</v>
      </c>
      <c r="L2049" s="1077" t="s">
        <v>3572</v>
      </c>
      <c r="M2049" s="1077">
        <v>153</v>
      </c>
      <c r="N2049" s="1077" t="s">
        <v>945</v>
      </c>
      <c r="O2049" s="1077">
        <v>3.8250000000000002</v>
      </c>
      <c r="P2049" s="1077">
        <v>3.06</v>
      </c>
      <c r="Q2049" s="1077">
        <v>4</v>
      </c>
      <c r="R2049" s="1077">
        <v>18</v>
      </c>
      <c r="T2049" s="1077">
        <v>14</v>
      </c>
      <c r="U2049" s="1077">
        <v>4.5</v>
      </c>
      <c r="V2049" s="1077" t="s">
        <v>648</v>
      </c>
      <c r="W2049" s="1077">
        <v>110</v>
      </c>
      <c r="X2049" s="1077">
        <v>60</v>
      </c>
      <c r="Y2049" s="1077">
        <v>1.8</v>
      </c>
      <c r="Z2049" s="1077" t="s">
        <v>648</v>
      </c>
      <c r="AA2049" s="1077" t="s">
        <v>1674</v>
      </c>
      <c r="AH2049" s="1077" t="s">
        <v>726</v>
      </c>
      <c r="AI2049" s="1077">
        <v>93.55</v>
      </c>
      <c r="AJ2049" s="1077">
        <v>-0.26</v>
      </c>
      <c r="AK2049" s="1077">
        <v>1.52</v>
      </c>
      <c r="AM2049" s="1078" t="s">
        <v>13097</v>
      </c>
      <c r="AN2049" s="1078" t="s">
        <v>13098</v>
      </c>
      <c r="AO2049" s="1078">
        <f t="shared" si="254"/>
        <v>600</v>
      </c>
      <c r="AP2049" s="1078">
        <f t="shared" si="255"/>
        <v>1.7050000000000001</v>
      </c>
      <c r="AQ2049" s="1078" t="str">
        <f t="shared" si="256"/>
        <v>1-5-1S85°Z+S</v>
      </c>
      <c r="AR2049" s="1078" t="str">
        <f t="shared" si="257"/>
        <v>NA</v>
      </c>
      <c r="AS2049" s="1078" t="str">
        <f t="shared" si="258"/>
        <v>168/OFF</v>
      </c>
      <c r="AT2049" s="1078" t="str">
        <f t="shared" si="259"/>
        <v>1-5-1S85°Z+S</v>
      </c>
      <c r="AU2049" s="1078" t="s">
        <v>15547</v>
      </c>
      <c r="AV2049" s="1078" t="str">
        <f t="shared" si="252"/>
        <v>113.4.8</v>
      </c>
      <c r="AW2049" s="1344">
        <f t="shared" si="253"/>
        <v>45390</v>
      </c>
    </row>
    <row r="2050" spans="1:49">
      <c r="A2050" s="1077" t="s">
        <v>6524</v>
      </c>
      <c r="B2050" s="1077" t="s">
        <v>210</v>
      </c>
      <c r="C2050" s="1077">
        <v>650</v>
      </c>
      <c r="D2050" s="1077">
        <v>1.7450000000000001</v>
      </c>
      <c r="E2050" s="1077" t="s">
        <v>15094</v>
      </c>
      <c r="F2050" s="1077" t="s">
        <v>984</v>
      </c>
      <c r="G2050" s="1077">
        <v>5</v>
      </c>
      <c r="H2050" s="1077" t="s">
        <v>5483</v>
      </c>
      <c r="I2050" s="1077" t="s">
        <v>126</v>
      </c>
      <c r="J2050" s="1077">
        <v>0.8</v>
      </c>
      <c r="K2050" s="1077" t="s">
        <v>6525</v>
      </c>
      <c r="L2050" s="1077" t="s">
        <v>6291</v>
      </c>
      <c r="M2050" s="1077">
        <v>151.5</v>
      </c>
      <c r="N2050" s="1077" t="s">
        <v>945</v>
      </c>
      <c r="O2050" s="1077">
        <v>3.7875000000000001</v>
      </c>
      <c r="P2050" s="1077">
        <v>3.0300000000000002</v>
      </c>
      <c r="Q2050" s="1077">
        <v>4</v>
      </c>
      <c r="R2050" s="1077">
        <v>19.100000000000001</v>
      </c>
      <c r="T2050" s="1077">
        <v>23.7</v>
      </c>
      <c r="U2050" s="1077">
        <v>3.2</v>
      </c>
      <c r="V2050" s="1077" t="s">
        <v>648</v>
      </c>
      <c r="W2050" s="1077">
        <v>35</v>
      </c>
      <c r="X2050" s="1077">
        <v>10</v>
      </c>
      <c r="Y2050" s="1077">
        <v>1</v>
      </c>
      <c r="Z2050" s="1077">
        <v>6</v>
      </c>
      <c r="AA2050" s="1077" t="s">
        <v>6526</v>
      </c>
      <c r="AH2050" s="1077" t="s">
        <v>1221</v>
      </c>
      <c r="AI2050" s="1077">
        <v>98.07</v>
      </c>
      <c r="AJ2050" s="1077">
        <v>-0.36</v>
      </c>
      <c r="AK2050" s="1077">
        <v>0.2</v>
      </c>
      <c r="AM2050" s="1078" t="s">
        <v>13099</v>
      </c>
      <c r="AN2050" s="1078" t="s">
        <v>13100</v>
      </c>
      <c r="AO2050" s="1078">
        <f t="shared" si="254"/>
        <v>650</v>
      </c>
      <c r="AP2050" s="1078">
        <f t="shared" si="255"/>
        <v>1.7450000000000001</v>
      </c>
      <c r="AQ2050" s="1078" t="str">
        <f t="shared" si="256"/>
        <v>1-5-1S91°</v>
      </c>
      <c r="AR2050" s="1078" t="str">
        <f t="shared" si="257"/>
        <v>30</v>
      </c>
      <c r="AS2050" s="1078" t="str">
        <f t="shared" si="258"/>
        <v>350/310/150</v>
      </c>
      <c r="AT2050" s="1078" t="str">
        <f t="shared" si="259"/>
        <v>1-5-1S91°</v>
      </c>
      <c r="AV2050" s="1078" t="str">
        <f t="shared" ref="AV2050:AV2113" si="260">AA2050</f>
        <v>113.4.11</v>
      </c>
      <c r="AW2050" s="1344">
        <f t="shared" si="253"/>
        <v>45393</v>
      </c>
    </row>
    <row r="2051" spans="1:49">
      <c r="A2051" s="1077" t="s">
        <v>6527</v>
      </c>
      <c r="B2051" s="1077" t="s">
        <v>844</v>
      </c>
      <c r="C2051" s="1077">
        <v>600</v>
      </c>
      <c r="D2051" s="1077">
        <v>1.7849999999999999</v>
      </c>
      <c r="E2051" s="1077" t="s">
        <v>15094</v>
      </c>
      <c r="F2051" s="1077" t="s">
        <v>954</v>
      </c>
      <c r="G2051" s="1077">
        <v>5</v>
      </c>
      <c r="H2051" s="1077" t="s">
        <v>5126</v>
      </c>
      <c r="I2051" s="1077" t="s">
        <v>460</v>
      </c>
      <c r="J2051" s="1077">
        <v>3.9</v>
      </c>
      <c r="K2051" s="1077" t="s">
        <v>6251</v>
      </c>
      <c r="L2051" s="1077" t="s">
        <v>6238</v>
      </c>
      <c r="M2051" s="1077">
        <v>151.69999999999999</v>
      </c>
      <c r="N2051" s="1077" t="s">
        <v>945</v>
      </c>
      <c r="O2051" s="1077">
        <v>3.7925</v>
      </c>
      <c r="P2051" s="1077">
        <v>3.0339999999999998</v>
      </c>
      <c r="Q2051" s="1077">
        <v>3</v>
      </c>
      <c r="R2051" s="1077">
        <v>19.7</v>
      </c>
      <c r="T2051" s="1077">
        <v>11.5</v>
      </c>
      <c r="U2051" s="1077">
        <v>5.3</v>
      </c>
      <c r="V2051" s="1077" t="s">
        <v>648</v>
      </c>
      <c r="W2051" s="1077">
        <v>105</v>
      </c>
      <c r="X2051" s="1077">
        <v>95</v>
      </c>
      <c r="Y2051" s="1077">
        <v>1.5</v>
      </c>
      <c r="Z2051" s="1077">
        <v>5</v>
      </c>
      <c r="AA2051" s="1077" t="s">
        <v>6528</v>
      </c>
      <c r="AB2051" s="1077" t="s">
        <v>6529</v>
      </c>
      <c r="AH2051" s="1077" t="s">
        <v>838</v>
      </c>
      <c r="AI2051" s="1077">
        <v>90.87</v>
      </c>
      <c r="AJ2051" s="1077">
        <v>-1.67</v>
      </c>
      <c r="AK2051" s="1077">
        <v>5.61</v>
      </c>
      <c r="AM2051" s="1078" t="s">
        <v>13101</v>
      </c>
      <c r="AN2051" s="1078" t="s">
        <v>13102</v>
      </c>
      <c r="AO2051" s="1078">
        <f t="shared" si="254"/>
        <v>600</v>
      </c>
      <c r="AP2051" s="1078">
        <f t="shared" si="255"/>
        <v>1.7849999999999999</v>
      </c>
      <c r="AQ2051" s="1078" t="str">
        <f t="shared" si="256"/>
        <v>1-5-1S91°</v>
      </c>
      <c r="AR2051" s="1078" t="str">
        <f t="shared" si="257"/>
        <v>31</v>
      </c>
      <c r="AS2051" s="1078" t="str">
        <f t="shared" si="258"/>
        <v>300/300/140</v>
      </c>
      <c r="AT2051" s="1078" t="str">
        <f t="shared" si="259"/>
        <v>1-5-1S91°</v>
      </c>
      <c r="AV2051" s="1078" t="str">
        <f t="shared" si="260"/>
        <v>113.4.16</v>
      </c>
      <c r="AW2051" s="1344">
        <f t="shared" ref="AW2051:AW2114" si="261">DATE(VALUE(LEFT(AV2051,FIND(".",AV2051)-1))+1911,
       VALUE(MID(AV2051,FIND(".",AV2051)+1,FIND(".",AV2051,FIND(".",AV2051)+1)-FIND(".",AV2051)-1)),
       VALUE(RIGHT(AV2051,LEN(AV2051)-FIND("~",SUBSTITUTE(AV2051,".","~",2)))))</f>
        <v>45398</v>
      </c>
    </row>
    <row r="2052" spans="1:49">
      <c r="A2052" s="1077" t="s">
        <v>6530</v>
      </c>
      <c r="B2052" s="1077" t="s">
        <v>4767</v>
      </c>
      <c r="C2052" s="1077">
        <v>600</v>
      </c>
      <c r="D2052" s="1077">
        <v>1.73</v>
      </c>
      <c r="E2052" s="1077" t="s">
        <v>15108</v>
      </c>
      <c r="F2052" s="1077" t="s">
        <v>648</v>
      </c>
      <c r="G2052" s="1077">
        <v>5</v>
      </c>
      <c r="H2052" s="1077" t="s">
        <v>1029</v>
      </c>
      <c r="I2052" s="1077" t="s">
        <v>126</v>
      </c>
      <c r="J2052" s="1077">
        <v>1.9</v>
      </c>
      <c r="K2052" s="1077" t="s">
        <v>6531</v>
      </c>
      <c r="L2052" s="1077" t="s">
        <v>1821</v>
      </c>
      <c r="M2052" s="1077">
        <v>148</v>
      </c>
      <c r="N2052" s="1077" t="s">
        <v>945</v>
      </c>
      <c r="O2052" s="1077">
        <v>3.7</v>
      </c>
      <c r="P2052" s="1077">
        <v>2.96</v>
      </c>
      <c r="Q2052" s="1077">
        <v>4</v>
      </c>
      <c r="R2052" s="1077">
        <v>20.8</v>
      </c>
      <c r="T2052" s="1077">
        <v>20.399999999999999</v>
      </c>
      <c r="U2052" s="1077">
        <v>3.8</v>
      </c>
      <c r="V2052" s="1077" t="s">
        <v>648</v>
      </c>
      <c r="W2052" s="1077">
        <v>110</v>
      </c>
      <c r="X2052" s="1077">
        <v>60</v>
      </c>
      <c r="Y2052" s="1077">
        <v>1.7</v>
      </c>
      <c r="Z2052" s="1077" t="s">
        <v>648</v>
      </c>
      <c r="AA2052" s="1077" t="s">
        <v>6532</v>
      </c>
      <c r="AH2052" s="1077" t="s">
        <v>762</v>
      </c>
      <c r="AI2052" s="1077">
        <v>92.83</v>
      </c>
      <c r="AJ2052" s="1077">
        <v>-0.05</v>
      </c>
      <c r="AK2052" s="1077">
        <v>0.88</v>
      </c>
      <c r="AM2052" s="1078" t="s">
        <v>13103</v>
      </c>
      <c r="AN2052" s="1078" t="s">
        <v>13104</v>
      </c>
      <c r="AO2052" s="1078">
        <f t="shared" si="254"/>
        <v>600</v>
      </c>
      <c r="AP2052" s="1078">
        <f t="shared" si="255"/>
        <v>1.73</v>
      </c>
      <c r="AQ2052" s="1078" t="str">
        <f t="shared" si="256"/>
        <v>1-4-1S83°Z+S</v>
      </c>
      <c r="AR2052" s="1078" t="str">
        <f t="shared" si="257"/>
        <v>NA</v>
      </c>
      <c r="AS2052" s="1078" t="str">
        <f t="shared" si="258"/>
        <v>250/250/OFF</v>
      </c>
      <c r="AT2052" s="1078" t="str">
        <f t="shared" si="259"/>
        <v>1-4-1S83°Z+S</v>
      </c>
      <c r="AU2052" s="1078" t="s">
        <v>15547</v>
      </c>
      <c r="AV2052" s="1078" t="str">
        <f t="shared" si="260"/>
        <v>113.4.19</v>
      </c>
      <c r="AW2052" s="1344">
        <f t="shared" si="261"/>
        <v>45401</v>
      </c>
    </row>
    <row r="2053" spans="1:49">
      <c r="A2053" s="1077" t="s">
        <v>6533</v>
      </c>
      <c r="B2053" s="1077" t="s">
        <v>5005</v>
      </c>
      <c r="C2053" s="1077">
        <v>500</v>
      </c>
      <c r="D2053" s="1077">
        <v>1.69</v>
      </c>
      <c r="E2053" s="1077" t="s">
        <v>15109</v>
      </c>
      <c r="F2053" s="1077" t="s">
        <v>648</v>
      </c>
      <c r="G2053" s="1077">
        <v>4</v>
      </c>
      <c r="H2053" s="1077" t="s">
        <v>1379</v>
      </c>
      <c r="I2053" s="1077" t="s">
        <v>126</v>
      </c>
      <c r="J2053" s="1077">
        <v>1.8</v>
      </c>
      <c r="K2053" s="1077" t="s">
        <v>6534</v>
      </c>
      <c r="L2053" s="1077" t="s">
        <v>6535</v>
      </c>
      <c r="M2053" s="1077">
        <v>154</v>
      </c>
      <c r="N2053" s="1077" t="s">
        <v>945</v>
      </c>
      <c r="O2053" s="1077">
        <v>3.85</v>
      </c>
      <c r="P2053" s="1077">
        <v>3.08</v>
      </c>
      <c r="Q2053" s="1077">
        <v>3.5</v>
      </c>
      <c r="R2053" s="1077" t="s">
        <v>6536</v>
      </c>
      <c r="T2053" s="1077">
        <v>15</v>
      </c>
      <c r="U2053" s="1077">
        <v>4.2</v>
      </c>
      <c r="V2053" s="1077" t="s">
        <v>648</v>
      </c>
      <c r="W2053" s="1077">
        <v>140</v>
      </c>
      <c r="X2053" s="1077">
        <v>90</v>
      </c>
      <c r="Y2053" s="1077">
        <v>1.6</v>
      </c>
      <c r="Z2053" s="1077" t="s">
        <v>648</v>
      </c>
      <c r="AA2053" s="1077" t="s">
        <v>1840</v>
      </c>
      <c r="AH2053" s="1077" t="s">
        <v>647</v>
      </c>
      <c r="AI2053" s="1077">
        <v>94.73</v>
      </c>
      <c r="AJ2053" s="1077">
        <v>-0.27</v>
      </c>
      <c r="AK2053" s="1077">
        <v>3.17</v>
      </c>
      <c r="AM2053" s="1078" t="s">
        <v>13105</v>
      </c>
      <c r="AN2053" s="1078" t="s">
        <v>13106</v>
      </c>
      <c r="AO2053" s="1078">
        <f t="shared" si="254"/>
        <v>500</v>
      </c>
      <c r="AP2053" s="1078">
        <f t="shared" si="255"/>
        <v>1.69</v>
      </c>
      <c r="AQ2053" s="1078" t="str">
        <f t="shared" si="256"/>
        <v>1-5-1S85°Z+S</v>
      </c>
      <c r="AR2053" s="1078" t="str">
        <f t="shared" si="257"/>
        <v>NA</v>
      </c>
      <c r="AS2053" s="1078" t="str">
        <f t="shared" si="258"/>
        <v>167/OFF</v>
      </c>
      <c r="AT2053" s="1078" t="str">
        <f t="shared" si="259"/>
        <v>1-5-1S85°Z+S</v>
      </c>
      <c r="AU2053" s="1078" t="s">
        <v>15547</v>
      </c>
      <c r="AV2053" s="1078" t="str">
        <f t="shared" si="260"/>
        <v>113.4.29</v>
      </c>
      <c r="AW2053" s="1344">
        <f t="shared" si="261"/>
        <v>45411</v>
      </c>
    </row>
    <row r="2054" spans="1:49">
      <c r="A2054" s="1077" t="s">
        <v>6537</v>
      </c>
      <c r="B2054" s="1077" t="s">
        <v>210</v>
      </c>
      <c r="C2054" s="1077">
        <v>650</v>
      </c>
      <c r="D2054" s="1077">
        <v>1.76</v>
      </c>
      <c r="E2054" s="1077" t="s">
        <v>15094</v>
      </c>
      <c r="F2054" s="1077" t="s">
        <v>984</v>
      </c>
      <c r="G2054" s="1077">
        <v>5</v>
      </c>
      <c r="H2054" s="1077" t="s">
        <v>6241</v>
      </c>
      <c r="I2054" s="1077" t="s">
        <v>648</v>
      </c>
      <c r="J2054" s="1077">
        <v>0</v>
      </c>
      <c r="K2054" s="1077" t="s">
        <v>6370</v>
      </c>
      <c r="L2054" s="1077" t="s">
        <v>6291</v>
      </c>
      <c r="M2054" s="1077">
        <v>151.5</v>
      </c>
      <c r="N2054" s="1077" t="s">
        <v>945</v>
      </c>
      <c r="O2054" s="1077">
        <v>3.7875000000000001</v>
      </c>
      <c r="P2054" s="1077">
        <v>3.0300000000000002</v>
      </c>
      <c r="Q2054" s="1077">
        <v>4</v>
      </c>
      <c r="R2054" s="1077">
        <v>19.100000000000001</v>
      </c>
      <c r="T2054" s="1077">
        <v>19</v>
      </c>
      <c r="U2054" s="1077">
        <v>2.5</v>
      </c>
      <c r="V2054" s="1077" t="s">
        <v>648</v>
      </c>
      <c r="W2054" s="1077" t="s">
        <v>648</v>
      </c>
      <c r="X2054" s="1077" t="s">
        <v>648</v>
      </c>
      <c r="Y2054" s="1077">
        <v>1</v>
      </c>
      <c r="Z2054" s="1077">
        <v>5</v>
      </c>
      <c r="AA2054" s="1077" t="s">
        <v>1849</v>
      </c>
      <c r="AH2054" s="1077" t="s">
        <v>1137</v>
      </c>
      <c r="AI2054" s="1077">
        <v>91.41</v>
      </c>
      <c r="AJ2054" s="1077">
        <v>-0.38</v>
      </c>
      <c r="AK2054" s="1077">
        <v>1.1200000000000001</v>
      </c>
      <c r="AM2054" s="1078" t="s">
        <v>13107</v>
      </c>
      <c r="AN2054" s="1078" t="s">
        <v>13108</v>
      </c>
      <c r="AO2054" s="1078">
        <f t="shared" si="254"/>
        <v>650</v>
      </c>
      <c r="AP2054" s="1078">
        <f t="shared" si="255"/>
        <v>1.76</v>
      </c>
      <c r="AQ2054" s="1078" t="str">
        <f t="shared" si="256"/>
        <v>1-5-1S91°</v>
      </c>
      <c r="AR2054" s="1078" t="str">
        <f t="shared" si="257"/>
        <v>30</v>
      </c>
      <c r="AS2054" s="1078" t="str">
        <f t="shared" si="258"/>
        <v>345/305/155</v>
      </c>
      <c r="AT2054" s="1078" t="str">
        <f t="shared" si="259"/>
        <v>1-5-1S91°</v>
      </c>
      <c r="AV2054" s="1078" t="str">
        <f t="shared" si="260"/>
        <v>113.4.30</v>
      </c>
      <c r="AW2054" s="1344">
        <f t="shared" si="261"/>
        <v>45412</v>
      </c>
    </row>
    <row r="2055" spans="1:49">
      <c r="A2055" s="1077" t="s">
        <v>6538</v>
      </c>
      <c r="B2055" s="1077" t="s">
        <v>828</v>
      </c>
      <c r="C2055" s="1077">
        <v>650</v>
      </c>
      <c r="D2055" s="1077">
        <v>1.77</v>
      </c>
      <c r="E2055" s="1077" t="s">
        <v>15109</v>
      </c>
      <c r="F2055" s="1077" t="s">
        <v>648</v>
      </c>
      <c r="G2055" s="1077">
        <v>5</v>
      </c>
      <c r="H2055" s="1077" t="s">
        <v>941</v>
      </c>
      <c r="I2055" s="1077" t="s">
        <v>460</v>
      </c>
      <c r="J2055" s="1077">
        <v>1.7</v>
      </c>
      <c r="K2055" s="1077" t="s">
        <v>6539</v>
      </c>
      <c r="L2055" s="1077" t="s">
        <v>2174</v>
      </c>
      <c r="M2055" s="1077">
        <v>150</v>
      </c>
      <c r="N2055" s="1077" t="s">
        <v>945</v>
      </c>
      <c r="O2055" s="1077">
        <v>3.75</v>
      </c>
      <c r="P2055" s="1077">
        <v>3</v>
      </c>
      <c r="Q2055" s="1077">
        <v>4</v>
      </c>
      <c r="R2055" s="1077">
        <v>20.8</v>
      </c>
      <c r="T2055" s="1077">
        <v>29.1</v>
      </c>
      <c r="U2055" s="1077">
        <v>3.4</v>
      </c>
      <c r="V2055" s="1077" t="s">
        <v>648</v>
      </c>
      <c r="W2055" s="1077">
        <v>110</v>
      </c>
      <c r="X2055" s="1077">
        <v>70</v>
      </c>
      <c r="Y2055" s="1077">
        <v>1.5</v>
      </c>
      <c r="Z2055" s="1077" t="s">
        <v>648</v>
      </c>
      <c r="AA2055" s="1077" t="s">
        <v>1852</v>
      </c>
      <c r="AH2055" s="1077" t="s">
        <v>650</v>
      </c>
      <c r="AI2055" s="1077">
        <v>91.94</v>
      </c>
      <c r="AJ2055" s="1077">
        <v>-7.0000000000000007E-2</v>
      </c>
      <c r="AK2055" s="1077">
        <v>1.52</v>
      </c>
      <c r="AM2055" s="1078" t="s">
        <v>13109</v>
      </c>
      <c r="AN2055" s="1078" t="s">
        <v>13110</v>
      </c>
      <c r="AO2055" s="1078">
        <f t="shared" si="254"/>
        <v>650</v>
      </c>
      <c r="AP2055" s="1078">
        <f t="shared" si="255"/>
        <v>1.77</v>
      </c>
      <c r="AQ2055" s="1078" t="str">
        <f t="shared" si="256"/>
        <v>1-5-1S85°Z+S</v>
      </c>
      <c r="AR2055" s="1078" t="str">
        <f t="shared" si="257"/>
        <v>NA</v>
      </c>
      <c r="AS2055" s="1078" t="str">
        <f t="shared" si="258"/>
        <v>185/OFF</v>
      </c>
      <c r="AT2055" s="1078" t="str">
        <f t="shared" si="259"/>
        <v>1-5-1S85°Z+S</v>
      </c>
      <c r="AU2055" s="1078" t="s">
        <v>15547</v>
      </c>
      <c r="AV2055" s="1078" t="str">
        <f t="shared" si="260"/>
        <v>113.5.2</v>
      </c>
      <c r="AW2055" s="1344">
        <f t="shared" si="261"/>
        <v>45414</v>
      </c>
    </row>
    <row r="2056" spans="1:49">
      <c r="A2056" s="1077" t="s">
        <v>6540</v>
      </c>
      <c r="B2056" s="1077" t="s">
        <v>882</v>
      </c>
      <c r="C2056" s="1077">
        <v>650</v>
      </c>
      <c r="D2056" s="1077">
        <v>1.7390000000000001</v>
      </c>
      <c r="E2056" s="1077" t="s">
        <v>15116</v>
      </c>
      <c r="F2056" s="1077" t="s">
        <v>1514</v>
      </c>
      <c r="G2056" s="1077">
        <v>2</v>
      </c>
      <c r="H2056" s="1077" t="s">
        <v>6541</v>
      </c>
      <c r="I2056" s="1077" t="s">
        <v>126</v>
      </c>
      <c r="J2056" s="1077">
        <v>1.5</v>
      </c>
      <c r="K2056" s="1077" t="s">
        <v>6542</v>
      </c>
      <c r="L2056" s="1077" t="s">
        <v>6543</v>
      </c>
      <c r="M2056" s="1077">
        <v>155</v>
      </c>
      <c r="N2056" s="1077" t="s">
        <v>945</v>
      </c>
      <c r="O2056" s="1077">
        <v>3.875</v>
      </c>
      <c r="P2056" s="1077">
        <v>3.1</v>
      </c>
      <c r="Q2056" s="1077">
        <v>3.5</v>
      </c>
      <c r="R2056" s="1077">
        <v>24</v>
      </c>
      <c r="T2056" s="1077">
        <v>26</v>
      </c>
      <c r="U2056" s="1077">
        <v>3.1</v>
      </c>
      <c r="V2056" s="1077" t="s">
        <v>648</v>
      </c>
      <c r="W2056" s="1077">
        <v>90</v>
      </c>
      <c r="X2056" s="1077">
        <v>10</v>
      </c>
      <c r="Y2056" s="1077">
        <v>1.52</v>
      </c>
      <c r="Z2056" s="1077" t="s">
        <v>648</v>
      </c>
      <c r="AA2056" s="1077" t="s">
        <v>1868</v>
      </c>
      <c r="AH2056" s="1077" t="s">
        <v>722</v>
      </c>
      <c r="AI2056" s="1077">
        <v>16.8</v>
      </c>
      <c r="AJ2056" s="1077">
        <v>3.6</v>
      </c>
      <c r="AK2056" s="1077">
        <v>-15.21</v>
      </c>
      <c r="AM2056" s="1078" t="s">
        <v>13111</v>
      </c>
      <c r="AN2056" s="1078" t="s">
        <v>13112</v>
      </c>
      <c r="AO2056" s="1078">
        <f t="shared" si="254"/>
        <v>650</v>
      </c>
      <c r="AP2056" s="1078">
        <f t="shared" si="255"/>
        <v>1.7390000000000001</v>
      </c>
      <c r="AQ2056" s="1078" t="str">
        <f t="shared" si="256"/>
        <v>1-5-1S83°Z+S</v>
      </c>
      <c r="AR2056" s="1078" t="str">
        <f t="shared" si="257"/>
        <v>32</v>
      </c>
      <c r="AS2056" s="1078" t="str">
        <f t="shared" si="258"/>
        <v>265/265/155</v>
      </c>
      <c r="AT2056" s="1078" t="str">
        <f t="shared" si="259"/>
        <v>1-5-1S83°Z+S</v>
      </c>
      <c r="AU2056" s="1078" t="s">
        <v>15547</v>
      </c>
      <c r="AV2056" s="1078" t="str">
        <f t="shared" si="260"/>
        <v>113.5.13</v>
      </c>
      <c r="AW2056" s="1344">
        <f t="shared" si="261"/>
        <v>45425</v>
      </c>
    </row>
    <row r="2057" spans="1:49">
      <c r="A2057" s="1077" t="s">
        <v>6544</v>
      </c>
      <c r="B2057" s="1077" t="s">
        <v>210</v>
      </c>
      <c r="C2057" s="1077">
        <v>650</v>
      </c>
      <c r="D2057" s="1077">
        <v>1.72</v>
      </c>
      <c r="E2057" s="1077" t="s">
        <v>15094</v>
      </c>
      <c r="F2057" s="1077" t="s">
        <v>984</v>
      </c>
      <c r="G2057" s="1077">
        <v>5</v>
      </c>
      <c r="H2057" s="1077" t="s">
        <v>6480</v>
      </c>
      <c r="I2057" s="1077" t="s">
        <v>460</v>
      </c>
      <c r="J2057" s="1077">
        <v>3.2</v>
      </c>
      <c r="K2057" s="1077" t="s">
        <v>6545</v>
      </c>
      <c r="L2057" s="1077" t="s">
        <v>6482</v>
      </c>
      <c r="M2057" s="1077">
        <v>149.5</v>
      </c>
      <c r="N2057" s="1077" t="s">
        <v>945</v>
      </c>
      <c r="O2057" s="1077">
        <v>3.7375000000000003</v>
      </c>
      <c r="P2057" s="1077">
        <v>2.99</v>
      </c>
      <c r="Q2057" s="1077">
        <v>3.5</v>
      </c>
      <c r="R2057" s="1077">
        <v>21.5</v>
      </c>
      <c r="T2057" s="1077">
        <v>19.5</v>
      </c>
      <c r="U2057" s="1077">
        <v>2.9</v>
      </c>
      <c r="V2057" s="1077" t="s">
        <v>648</v>
      </c>
      <c r="W2057" s="1077">
        <v>100</v>
      </c>
      <c r="X2057" s="1077">
        <v>90</v>
      </c>
      <c r="Y2057" s="1077">
        <v>1.8</v>
      </c>
      <c r="Z2057" s="1077">
        <v>5.5</v>
      </c>
      <c r="AA2057" s="1077" t="s">
        <v>6546</v>
      </c>
      <c r="AB2057" s="1077" t="s">
        <v>981</v>
      </c>
      <c r="AH2057" s="1077" t="s">
        <v>468</v>
      </c>
      <c r="AI2057" s="1077">
        <v>91.11</v>
      </c>
      <c r="AJ2057" s="1077">
        <v>-0.54</v>
      </c>
      <c r="AK2057" s="1077">
        <v>1.43</v>
      </c>
      <c r="AM2057" s="1078" t="s">
        <v>13113</v>
      </c>
      <c r="AN2057" s="1078" t="s">
        <v>13114</v>
      </c>
      <c r="AO2057" s="1078">
        <f t="shared" si="254"/>
        <v>650</v>
      </c>
      <c r="AP2057" s="1078">
        <f t="shared" si="255"/>
        <v>1.72</v>
      </c>
      <c r="AQ2057" s="1078" t="str">
        <f t="shared" si="256"/>
        <v>1-5-1S91°</v>
      </c>
      <c r="AR2057" s="1078" t="str">
        <f t="shared" si="257"/>
        <v>30</v>
      </c>
      <c r="AS2057" s="1078" t="str">
        <f t="shared" si="258"/>
        <v>380/350/175</v>
      </c>
      <c r="AT2057" s="1078" t="str">
        <f t="shared" si="259"/>
        <v>1-5-1S91°</v>
      </c>
      <c r="AV2057" s="1078" t="str">
        <f t="shared" si="260"/>
        <v>113.5.6</v>
      </c>
      <c r="AW2057" s="1344">
        <f t="shared" si="261"/>
        <v>45418</v>
      </c>
    </row>
    <row r="2058" spans="1:49">
      <c r="A2058" s="1077" t="s">
        <v>6547</v>
      </c>
      <c r="B2058" s="1077" t="s">
        <v>6548</v>
      </c>
      <c r="C2058" s="1077">
        <v>600</v>
      </c>
      <c r="D2058" s="1077">
        <v>1.74</v>
      </c>
      <c r="E2058" s="1077" t="s">
        <v>15094</v>
      </c>
      <c r="F2058" s="1077" t="s">
        <v>975</v>
      </c>
      <c r="G2058" s="1077">
        <v>5</v>
      </c>
      <c r="H2058" s="1077" t="s">
        <v>5888</v>
      </c>
      <c r="I2058" s="1077" t="s">
        <v>460</v>
      </c>
      <c r="J2058" s="1077">
        <v>2.6</v>
      </c>
      <c r="K2058" s="1077" t="s">
        <v>6549</v>
      </c>
      <c r="L2058" s="1077" t="s">
        <v>6550</v>
      </c>
      <c r="M2058" s="1077">
        <v>152</v>
      </c>
      <c r="N2058" s="1077" t="s">
        <v>945</v>
      </c>
      <c r="O2058" s="1077">
        <v>3.8000000000000003</v>
      </c>
      <c r="P2058" s="1077">
        <v>3.04</v>
      </c>
      <c r="Q2058" s="1077">
        <v>3.5</v>
      </c>
      <c r="R2058" s="1077">
        <v>22</v>
      </c>
      <c r="T2058" s="1077">
        <v>29</v>
      </c>
      <c r="U2058" s="1077">
        <v>3.8</v>
      </c>
      <c r="V2058" s="1077" t="s">
        <v>648</v>
      </c>
      <c r="W2058" s="1077">
        <v>110</v>
      </c>
      <c r="X2058" s="1077">
        <v>60</v>
      </c>
      <c r="Y2058" s="1077">
        <v>1.5</v>
      </c>
      <c r="Z2058" s="1077">
        <v>6</v>
      </c>
      <c r="AA2058" s="1077" t="s">
        <v>4500</v>
      </c>
      <c r="AH2058" s="1077" t="s">
        <v>877</v>
      </c>
      <c r="AI2058" s="1077">
        <v>16.309999999999999</v>
      </c>
      <c r="AJ2058" s="1077">
        <v>-0.4</v>
      </c>
      <c r="AK2058" s="1077">
        <v>0.62</v>
      </c>
      <c r="AM2058" s="1078" t="s">
        <v>13115</v>
      </c>
      <c r="AN2058" s="1078" t="s">
        <v>13116</v>
      </c>
      <c r="AO2058" s="1078">
        <f t="shared" si="254"/>
        <v>600</v>
      </c>
      <c r="AP2058" s="1078">
        <f t="shared" si="255"/>
        <v>1.74</v>
      </c>
      <c r="AQ2058" s="1078" t="str">
        <f t="shared" si="256"/>
        <v>1-5-1S91°</v>
      </c>
      <c r="AR2058" s="1078" t="str">
        <f t="shared" si="257"/>
        <v>31.5</v>
      </c>
      <c r="AS2058" s="1078" t="str">
        <f t="shared" si="258"/>
        <v>340/340/OFF</v>
      </c>
      <c r="AT2058" s="1078" t="str">
        <f t="shared" si="259"/>
        <v>1-5-1S91°</v>
      </c>
      <c r="AV2058" s="1078" t="str">
        <f t="shared" si="260"/>
        <v>113.5.10</v>
      </c>
      <c r="AW2058" s="1344">
        <f t="shared" si="261"/>
        <v>45422</v>
      </c>
    </row>
    <row r="2059" spans="1:49">
      <c r="A2059" s="1077" t="s">
        <v>6551</v>
      </c>
      <c r="B2059" s="1077" t="s">
        <v>847</v>
      </c>
      <c r="C2059" s="1077">
        <v>550</v>
      </c>
      <c r="D2059" s="1077">
        <v>1.77</v>
      </c>
      <c r="E2059" s="1077" t="s">
        <v>15111</v>
      </c>
      <c r="F2059" s="1077" t="s">
        <v>975</v>
      </c>
      <c r="G2059" s="1077">
        <v>4</v>
      </c>
      <c r="H2059" s="1077" t="s">
        <v>3143</v>
      </c>
      <c r="I2059" s="1077" t="s">
        <v>648</v>
      </c>
      <c r="J2059" s="1077">
        <v>0</v>
      </c>
      <c r="K2059" s="1077" t="s">
        <v>6498</v>
      </c>
      <c r="L2059" s="1077" t="s">
        <v>5037</v>
      </c>
      <c r="M2059" s="1077">
        <v>150</v>
      </c>
      <c r="N2059" s="1077" t="s">
        <v>945</v>
      </c>
      <c r="O2059" s="1077">
        <v>3.75</v>
      </c>
      <c r="P2059" s="1077">
        <v>3</v>
      </c>
      <c r="Q2059" s="1077">
        <v>3.5</v>
      </c>
      <c r="R2059" s="1077">
        <v>21.8</v>
      </c>
      <c r="T2059" s="1077">
        <v>19.5</v>
      </c>
      <c r="U2059" s="1077">
        <v>1.8</v>
      </c>
      <c r="V2059" s="1077" t="s">
        <v>648</v>
      </c>
      <c r="W2059" s="1077" t="s">
        <v>648</v>
      </c>
      <c r="X2059" s="1077" t="s">
        <v>648</v>
      </c>
      <c r="Y2059" s="1077">
        <v>2.1</v>
      </c>
      <c r="Z2059" s="1077">
        <v>5</v>
      </c>
      <c r="AA2059" s="1077" t="s">
        <v>1877</v>
      </c>
      <c r="AH2059" s="1077" t="s">
        <v>963</v>
      </c>
      <c r="AI2059" s="1077">
        <v>13.23</v>
      </c>
      <c r="AJ2059" s="1077">
        <v>0.28999999999999998</v>
      </c>
      <c r="AK2059" s="1077">
        <v>0.55000000000000004</v>
      </c>
      <c r="AM2059" s="1078" t="s">
        <v>13117</v>
      </c>
      <c r="AN2059" s="1078" t="s">
        <v>13118</v>
      </c>
      <c r="AO2059" s="1078">
        <f t="shared" ref="AO2059:AO2122" si="262">C2059</f>
        <v>550</v>
      </c>
      <c r="AP2059" s="1078">
        <f t="shared" ref="AP2059:AP2122" si="263">D2059</f>
        <v>1.77</v>
      </c>
      <c r="AQ2059" s="1078" t="str">
        <f t="shared" ref="AQ2059:AQ2122" si="264">E2059</f>
        <v>1-5-1S91</v>
      </c>
      <c r="AR2059" s="1078" t="str">
        <f t="shared" ref="AR2059:AR2122" si="265">F2059</f>
        <v>31.5</v>
      </c>
      <c r="AS2059" s="1078" t="str">
        <f t="shared" ref="AS2059:AS2122" si="266">H2059</f>
        <v>300/300/160</v>
      </c>
      <c r="AT2059" s="1078" t="str">
        <f t="shared" ref="AT2059:AT2122" si="267">E2059</f>
        <v>1-5-1S91</v>
      </c>
      <c r="AV2059" s="1078" t="str">
        <f t="shared" si="260"/>
        <v>113.5.20</v>
      </c>
      <c r="AW2059" s="1344">
        <f t="shared" si="261"/>
        <v>45432</v>
      </c>
    </row>
    <row r="2060" spans="1:49">
      <c r="A2060" s="1077" t="s">
        <v>6552</v>
      </c>
      <c r="B2060" s="1077" t="s">
        <v>6553</v>
      </c>
      <c r="C2060" s="1077">
        <v>600</v>
      </c>
      <c r="D2060" s="1077">
        <v>1.65</v>
      </c>
      <c r="E2060" s="1077" t="s">
        <v>15094</v>
      </c>
      <c r="F2060" s="1077" t="s">
        <v>984</v>
      </c>
      <c r="G2060" s="1077">
        <v>5</v>
      </c>
      <c r="H2060" s="1077" t="s">
        <v>6116</v>
      </c>
      <c r="I2060" s="1077" t="s">
        <v>126</v>
      </c>
      <c r="J2060" s="1077">
        <v>1.8</v>
      </c>
      <c r="K2060" s="1077" t="s">
        <v>6554</v>
      </c>
      <c r="L2060" s="1077" t="s">
        <v>6555</v>
      </c>
      <c r="M2060" s="1077">
        <v>154</v>
      </c>
      <c r="N2060" s="1077" t="s">
        <v>945</v>
      </c>
      <c r="O2060" s="1077">
        <v>3.85</v>
      </c>
      <c r="P2060" s="1077">
        <v>3.08</v>
      </c>
      <c r="Q2060" s="1077">
        <v>4</v>
      </c>
      <c r="R2060" s="1077">
        <v>25</v>
      </c>
      <c r="T2060" s="1077">
        <v>13</v>
      </c>
      <c r="U2060" s="1077">
        <v>4</v>
      </c>
      <c r="V2060" s="1077" t="s">
        <v>648</v>
      </c>
      <c r="W2060" s="1077">
        <v>120</v>
      </c>
      <c r="X2060" s="1077">
        <v>80</v>
      </c>
      <c r="Y2060" s="1077">
        <v>1.5</v>
      </c>
      <c r="Z2060" s="1077">
        <v>5</v>
      </c>
      <c r="AA2060" s="1077" t="s">
        <v>6556</v>
      </c>
      <c r="AH2060" s="1077" t="s">
        <v>813</v>
      </c>
      <c r="AI2060" s="1077">
        <v>92.7</v>
      </c>
      <c r="AJ2060" s="1077">
        <v>-0.08</v>
      </c>
      <c r="AK2060" s="1077">
        <v>0.78</v>
      </c>
      <c r="AM2060" s="1078" t="s">
        <v>13119</v>
      </c>
      <c r="AN2060" s="1078" t="s">
        <v>13120</v>
      </c>
      <c r="AO2060" s="1078">
        <f t="shared" si="262"/>
        <v>600</v>
      </c>
      <c r="AP2060" s="1078">
        <f t="shared" si="263"/>
        <v>1.65</v>
      </c>
      <c r="AQ2060" s="1078" t="str">
        <f t="shared" si="264"/>
        <v>1-5-1S91°</v>
      </c>
      <c r="AR2060" s="1078" t="str">
        <f t="shared" si="265"/>
        <v>30</v>
      </c>
      <c r="AS2060" s="1078" t="str">
        <f t="shared" si="266"/>
        <v>320/320/OFF</v>
      </c>
      <c r="AT2060" s="1078" t="str">
        <f t="shared" si="267"/>
        <v>1-5-1S91°</v>
      </c>
      <c r="AV2060" s="1078" t="str">
        <f t="shared" si="260"/>
        <v>113.5.28</v>
      </c>
      <c r="AW2060" s="1344">
        <f t="shared" si="261"/>
        <v>45440</v>
      </c>
    </row>
    <row r="2061" spans="1:49">
      <c r="A2061" s="1077" t="s">
        <v>6557</v>
      </c>
      <c r="B2061" s="1077" t="s">
        <v>6548</v>
      </c>
      <c r="C2061" s="1077">
        <v>600</v>
      </c>
      <c r="D2061" s="1077">
        <v>1.77</v>
      </c>
      <c r="E2061" s="1077" t="s">
        <v>15095</v>
      </c>
      <c r="F2061" s="1077" t="s">
        <v>2234</v>
      </c>
      <c r="G2061" s="1077">
        <v>5</v>
      </c>
      <c r="H2061" s="1077" t="s">
        <v>5874</v>
      </c>
      <c r="I2061" s="1077" t="s">
        <v>460</v>
      </c>
      <c r="J2061" s="1077">
        <v>2.2000000000000002</v>
      </c>
      <c r="K2061" s="1077" t="s">
        <v>6558</v>
      </c>
      <c r="L2061" s="1077" t="s">
        <v>6550</v>
      </c>
      <c r="M2061" s="1077">
        <v>152</v>
      </c>
      <c r="N2061" s="1077" t="s">
        <v>945</v>
      </c>
      <c r="O2061" s="1077">
        <v>3.8000000000000003</v>
      </c>
      <c r="P2061" s="1077">
        <v>3.04</v>
      </c>
      <c r="Q2061" s="1077">
        <v>3.5</v>
      </c>
      <c r="R2061" s="1077">
        <v>22</v>
      </c>
      <c r="T2061" s="1077">
        <v>29</v>
      </c>
      <c r="U2061" s="1077">
        <v>3.8</v>
      </c>
      <c r="V2061" s="1077" t="s">
        <v>648</v>
      </c>
      <c r="W2061" s="1077">
        <v>110</v>
      </c>
      <c r="X2061" s="1077">
        <v>60</v>
      </c>
      <c r="Y2061" s="1077">
        <v>1.5</v>
      </c>
      <c r="Z2061" s="1077">
        <v>6</v>
      </c>
      <c r="AA2061" s="1077" t="s">
        <v>1939</v>
      </c>
      <c r="AH2061" s="1077" t="s">
        <v>1137</v>
      </c>
      <c r="AI2061" s="1077">
        <v>15.75</v>
      </c>
      <c r="AJ2061" s="1077">
        <v>-0.47</v>
      </c>
      <c r="AK2061" s="1077">
        <v>0.79</v>
      </c>
      <c r="AM2061" s="1078" t="s">
        <v>13121</v>
      </c>
      <c r="AN2061" s="1078" t="s">
        <v>13122</v>
      </c>
      <c r="AO2061" s="1078">
        <f t="shared" si="262"/>
        <v>600</v>
      </c>
      <c r="AP2061" s="1078">
        <f t="shared" si="263"/>
        <v>1.77</v>
      </c>
      <c r="AQ2061" s="1078" t="str">
        <f t="shared" si="264"/>
        <v>1-5-1S83°</v>
      </c>
      <c r="AR2061" s="1078" t="str">
        <f t="shared" si="265"/>
        <v>33.5</v>
      </c>
      <c r="AS2061" s="1078" t="str">
        <f t="shared" si="266"/>
        <v>345/345/OFF</v>
      </c>
      <c r="AT2061" s="1078" t="str">
        <f t="shared" si="267"/>
        <v>1-5-1S83°</v>
      </c>
      <c r="AV2061" s="1078" t="str">
        <f t="shared" si="260"/>
        <v>113.6.4</v>
      </c>
      <c r="AW2061" s="1344">
        <f t="shared" si="261"/>
        <v>45447</v>
      </c>
    </row>
    <row r="2062" spans="1:49">
      <c r="A2062" s="1077" t="s">
        <v>6559</v>
      </c>
      <c r="B2062" s="1077" t="s">
        <v>210</v>
      </c>
      <c r="C2062" s="1077">
        <v>650</v>
      </c>
      <c r="D2062" s="1077">
        <v>1.77</v>
      </c>
      <c r="E2062" s="1077" t="s">
        <v>15094</v>
      </c>
      <c r="F2062" s="1077" t="s">
        <v>984</v>
      </c>
      <c r="G2062" s="1077">
        <v>5</v>
      </c>
      <c r="H2062" s="1077" t="s">
        <v>6560</v>
      </c>
      <c r="I2062" s="1077" t="s">
        <v>648</v>
      </c>
      <c r="J2062" s="1077">
        <v>0</v>
      </c>
      <c r="K2062" s="1077" t="s">
        <v>6370</v>
      </c>
      <c r="L2062" s="1077" t="s">
        <v>6291</v>
      </c>
      <c r="M2062" s="1077">
        <v>151.5</v>
      </c>
      <c r="N2062" s="1077" t="s">
        <v>945</v>
      </c>
      <c r="O2062" s="1077">
        <v>3.7875000000000001</v>
      </c>
      <c r="P2062" s="1077">
        <v>3.0300000000000002</v>
      </c>
      <c r="Q2062" s="1077">
        <v>4</v>
      </c>
      <c r="R2062" s="1077">
        <v>19.100000000000001</v>
      </c>
      <c r="T2062" s="1077">
        <v>19</v>
      </c>
      <c r="U2062" s="1077">
        <v>2.5</v>
      </c>
      <c r="V2062" s="1077" t="s">
        <v>648</v>
      </c>
      <c r="W2062" s="1077" t="s">
        <v>648</v>
      </c>
      <c r="X2062" s="1077" t="s">
        <v>648</v>
      </c>
      <c r="Y2062" s="1077">
        <v>1</v>
      </c>
      <c r="Z2062" s="1077">
        <v>5</v>
      </c>
      <c r="AA2062" s="1077" t="s">
        <v>6561</v>
      </c>
      <c r="AH2062" s="1077" t="s">
        <v>722</v>
      </c>
      <c r="AI2062" s="1077">
        <v>91.6</v>
      </c>
      <c r="AJ2062" s="1077">
        <v>-0.42</v>
      </c>
      <c r="AK2062" s="1077">
        <v>1.25</v>
      </c>
      <c r="AM2062" s="1078" t="s">
        <v>13123</v>
      </c>
      <c r="AN2062" s="1078" t="s">
        <v>13124</v>
      </c>
      <c r="AO2062" s="1078">
        <f t="shared" si="262"/>
        <v>650</v>
      </c>
      <c r="AP2062" s="1078">
        <f t="shared" si="263"/>
        <v>1.77</v>
      </c>
      <c r="AQ2062" s="1078" t="str">
        <f t="shared" si="264"/>
        <v>1-5-1S91°</v>
      </c>
      <c r="AR2062" s="1078" t="str">
        <f t="shared" si="265"/>
        <v>30</v>
      </c>
      <c r="AS2062" s="1078" t="str">
        <f t="shared" si="266"/>
        <v>350/310/155</v>
      </c>
      <c r="AT2062" s="1078" t="str">
        <f t="shared" si="267"/>
        <v>1-5-1S91°</v>
      </c>
      <c r="AV2062" s="1078" t="str">
        <f t="shared" si="260"/>
        <v>113.6.5</v>
      </c>
      <c r="AW2062" s="1344">
        <f t="shared" si="261"/>
        <v>45448</v>
      </c>
    </row>
    <row r="2063" spans="1:49">
      <c r="A2063" s="1077" t="s">
        <v>6562</v>
      </c>
      <c r="B2063" s="1077" t="s">
        <v>465</v>
      </c>
      <c r="C2063" s="1077" t="s">
        <v>6563</v>
      </c>
      <c r="D2063" s="1077">
        <v>1.77</v>
      </c>
      <c r="E2063" s="1077" t="s">
        <v>15109</v>
      </c>
      <c r="F2063" s="1077" t="s">
        <v>648</v>
      </c>
      <c r="G2063" s="1077">
        <v>5</v>
      </c>
      <c r="H2063" s="1077" t="s">
        <v>2192</v>
      </c>
      <c r="I2063" s="1077" t="s">
        <v>6229</v>
      </c>
      <c r="J2063" s="1077" t="s">
        <v>6564</v>
      </c>
      <c r="K2063" s="1077" t="s">
        <v>6466</v>
      </c>
      <c r="L2063" s="1077" t="s">
        <v>6335</v>
      </c>
      <c r="M2063" s="1077">
        <v>149.5</v>
      </c>
      <c r="N2063" s="1077" t="s">
        <v>945</v>
      </c>
      <c r="O2063" s="1077">
        <v>3.7375000000000003</v>
      </c>
      <c r="P2063" s="1077">
        <v>2.99</v>
      </c>
      <c r="Q2063" s="1077">
        <v>4</v>
      </c>
      <c r="R2063" s="1077">
        <v>21</v>
      </c>
      <c r="T2063" s="1077">
        <v>37</v>
      </c>
      <c r="U2063" s="1077">
        <v>3.7</v>
      </c>
      <c r="V2063" s="1077" t="s">
        <v>648</v>
      </c>
      <c r="W2063" s="1077">
        <v>110</v>
      </c>
      <c r="X2063" s="1077">
        <v>40</v>
      </c>
      <c r="Y2063" s="1077">
        <v>2.2000000000000002</v>
      </c>
      <c r="Z2063" s="1077" t="s">
        <v>648</v>
      </c>
      <c r="AA2063" s="1077" t="s">
        <v>1944</v>
      </c>
      <c r="AH2063" s="1077" t="s">
        <v>712</v>
      </c>
      <c r="AI2063" s="1077">
        <v>91.52</v>
      </c>
      <c r="AJ2063" s="1077">
        <v>-0.35</v>
      </c>
      <c r="AK2063" s="1077">
        <v>1.58</v>
      </c>
      <c r="AM2063" s="1078" t="s">
        <v>13125</v>
      </c>
      <c r="AN2063" s="1078" t="s">
        <v>13126</v>
      </c>
      <c r="AO2063" s="1078" t="str">
        <f t="shared" si="262"/>
        <v>700↓650-7/4.5↓600-9/13</v>
      </c>
      <c r="AP2063" s="1078">
        <f t="shared" si="263"/>
        <v>1.77</v>
      </c>
      <c r="AQ2063" s="1078" t="str">
        <f t="shared" si="264"/>
        <v>1-5-1S85°Z+S</v>
      </c>
      <c r="AR2063" s="1078" t="str">
        <f t="shared" si="265"/>
        <v>NA</v>
      </c>
      <c r="AS2063" s="1078" t="str">
        <f t="shared" si="266"/>
        <v>180/OFF</v>
      </c>
      <c r="AT2063" s="1078" t="str">
        <f t="shared" si="267"/>
        <v>1-5-1S85°Z+S</v>
      </c>
      <c r="AU2063" s="1078" t="s">
        <v>15547</v>
      </c>
      <c r="AV2063" s="1078" t="str">
        <f t="shared" si="260"/>
        <v>113.6.6</v>
      </c>
      <c r="AW2063" s="1344">
        <f t="shared" si="261"/>
        <v>45449</v>
      </c>
    </row>
    <row r="2064" spans="1:49">
      <c r="A2064" s="1077" t="s">
        <v>6565</v>
      </c>
      <c r="B2064" s="1077" t="s">
        <v>465</v>
      </c>
      <c r="C2064" s="1077" t="s">
        <v>6566</v>
      </c>
      <c r="D2064" s="1077">
        <v>1.77</v>
      </c>
      <c r="E2064" s="1077" t="s">
        <v>15109</v>
      </c>
      <c r="F2064" s="1077" t="s">
        <v>648</v>
      </c>
      <c r="G2064" s="1077">
        <v>5</v>
      </c>
      <c r="H2064" s="1077" t="s">
        <v>2192</v>
      </c>
      <c r="I2064" s="1077" t="s">
        <v>460</v>
      </c>
      <c r="J2064" s="1077">
        <v>1.7</v>
      </c>
      <c r="K2064" s="1077" t="s">
        <v>6567</v>
      </c>
      <c r="L2064" s="1077" t="s">
        <v>6335</v>
      </c>
      <c r="M2064" s="1077">
        <v>149.5</v>
      </c>
      <c r="N2064" s="1077" t="s">
        <v>945</v>
      </c>
      <c r="O2064" s="1077">
        <v>3.7375000000000003</v>
      </c>
      <c r="P2064" s="1077">
        <v>2.99</v>
      </c>
      <c r="Q2064" s="1077">
        <v>4</v>
      </c>
      <c r="R2064" s="1077">
        <v>21</v>
      </c>
      <c r="T2064" s="1077">
        <v>37</v>
      </c>
      <c r="U2064" s="1077">
        <v>3.7</v>
      </c>
      <c r="V2064" s="1077" t="s">
        <v>648</v>
      </c>
      <c r="W2064" s="1077">
        <v>110</v>
      </c>
      <c r="X2064" s="1077">
        <v>40</v>
      </c>
      <c r="Y2064" s="1077">
        <v>2.2000000000000002</v>
      </c>
      <c r="Z2064" s="1077" t="s">
        <v>648</v>
      </c>
      <c r="AA2064" s="1077" t="s">
        <v>6568</v>
      </c>
      <c r="AH2064" s="1077" t="s">
        <v>650</v>
      </c>
      <c r="AI2064" s="1077">
        <v>91.46</v>
      </c>
      <c r="AJ2064" s="1077">
        <v>-0.49</v>
      </c>
      <c r="AK2064" s="1077">
        <v>1.46</v>
      </c>
      <c r="AM2064" s="1078" t="s">
        <v>13127</v>
      </c>
      <c r="AN2064" s="1078" t="s">
        <v>13128</v>
      </c>
      <c r="AO2064" s="1078" t="str">
        <f t="shared" si="262"/>
        <v>700↓650-6/25↓600-7/5</v>
      </c>
      <c r="AP2064" s="1078">
        <f t="shared" si="263"/>
        <v>1.77</v>
      </c>
      <c r="AQ2064" s="1078" t="str">
        <f t="shared" si="264"/>
        <v>1-5-1S85°Z+S</v>
      </c>
      <c r="AR2064" s="1078" t="str">
        <f t="shared" si="265"/>
        <v>NA</v>
      </c>
      <c r="AS2064" s="1078" t="str">
        <f t="shared" si="266"/>
        <v>180/OFF</v>
      </c>
      <c r="AT2064" s="1078" t="str">
        <f t="shared" si="267"/>
        <v>1-5-1S85°Z+S</v>
      </c>
      <c r="AU2064" s="1078" t="s">
        <v>15547</v>
      </c>
      <c r="AV2064" s="1078" t="str">
        <f t="shared" si="260"/>
        <v>113.6.12</v>
      </c>
      <c r="AW2064" s="1344">
        <f t="shared" si="261"/>
        <v>45455</v>
      </c>
    </row>
    <row r="2065" spans="1:49">
      <c r="A2065" s="1077" t="s">
        <v>6569</v>
      </c>
      <c r="B2065" s="1077" t="s">
        <v>416</v>
      </c>
      <c r="C2065" s="1077">
        <v>650</v>
      </c>
      <c r="D2065" s="1077">
        <v>1.7549999999999999</v>
      </c>
      <c r="E2065" s="1077" t="s">
        <v>15094</v>
      </c>
      <c r="F2065" s="1077" t="s">
        <v>984</v>
      </c>
      <c r="G2065" s="1077">
        <v>5</v>
      </c>
      <c r="H2065" s="1077" t="s">
        <v>5483</v>
      </c>
      <c r="I2065" s="1077" t="s">
        <v>126</v>
      </c>
      <c r="J2065" s="1077">
        <v>0.7</v>
      </c>
      <c r="K2065" s="1077" t="s">
        <v>6370</v>
      </c>
      <c r="L2065" s="1077" t="s">
        <v>6291</v>
      </c>
      <c r="M2065" s="1077">
        <v>151.5</v>
      </c>
      <c r="N2065" s="1077" t="s">
        <v>945</v>
      </c>
      <c r="O2065" s="1077">
        <v>3.7875000000000001</v>
      </c>
      <c r="P2065" s="1077">
        <v>3.0300000000000002</v>
      </c>
      <c r="Q2065" s="1077">
        <v>4</v>
      </c>
      <c r="R2065" s="1077">
        <v>19.100000000000001</v>
      </c>
      <c r="T2065" s="1077">
        <v>23.7</v>
      </c>
      <c r="U2065" s="1077">
        <v>3.2</v>
      </c>
      <c r="V2065" s="1077" t="s">
        <v>648</v>
      </c>
      <c r="W2065" s="1077">
        <v>35</v>
      </c>
      <c r="X2065" s="1077">
        <v>10</v>
      </c>
      <c r="Y2065" s="1077">
        <v>1</v>
      </c>
      <c r="Z2065" s="1077">
        <v>6</v>
      </c>
      <c r="AA2065" s="1077" t="s">
        <v>6568</v>
      </c>
      <c r="AH2065" s="1077" t="s">
        <v>1137</v>
      </c>
      <c r="AI2065" s="1077">
        <v>91.29</v>
      </c>
      <c r="AJ2065" s="1077">
        <v>-0.47</v>
      </c>
      <c r="AK2065" s="1077">
        <v>1.1599999999999999</v>
      </c>
      <c r="AM2065" s="1078" t="s">
        <v>13129</v>
      </c>
      <c r="AN2065" s="1078" t="s">
        <v>13130</v>
      </c>
      <c r="AO2065" s="1078">
        <f t="shared" si="262"/>
        <v>650</v>
      </c>
      <c r="AP2065" s="1078">
        <f t="shared" si="263"/>
        <v>1.7549999999999999</v>
      </c>
      <c r="AQ2065" s="1078" t="str">
        <f t="shared" si="264"/>
        <v>1-5-1S91°</v>
      </c>
      <c r="AR2065" s="1078" t="str">
        <f t="shared" si="265"/>
        <v>30</v>
      </c>
      <c r="AS2065" s="1078" t="str">
        <f t="shared" si="266"/>
        <v>350/310/150</v>
      </c>
      <c r="AT2065" s="1078" t="str">
        <f t="shared" si="267"/>
        <v>1-5-1S91°</v>
      </c>
      <c r="AV2065" s="1078" t="str">
        <f t="shared" si="260"/>
        <v>113.6.12</v>
      </c>
      <c r="AW2065" s="1344">
        <f t="shared" si="261"/>
        <v>45455</v>
      </c>
    </row>
    <row r="2066" spans="1:49">
      <c r="A2066" s="1077" t="s">
        <v>6570</v>
      </c>
      <c r="B2066" s="1077" t="s">
        <v>5565</v>
      </c>
      <c r="C2066" s="1077">
        <v>600</v>
      </c>
      <c r="D2066" s="1077">
        <v>1.7050000000000001</v>
      </c>
      <c r="E2066" s="1077" t="s">
        <v>15109</v>
      </c>
      <c r="F2066" s="1077" t="s">
        <v>648</v>
      </c>
      <c r="G2066" s="1077">
        <v>5</v>
      </c>
      <c r="H2066" s="1077" t="s">
        <v>1072</v>
      </c>
      <c r="I2066" s="1077" t="s">
        <v>126</v>
      </c>
      <c r="J2066" s="1077">
        <v>1.4</v>
      </c>
      <c r="K2066" s="1077" t="s">
        <v>6571</v>
      </c>
      <c r="L2066" s="1077" t="s">
        <v>3572</v>
      </c>
      <c r="M2066" s="1077">
        <v>153</v>
      </c>
      <c r="N2066" s="1077" t="s">
        <v>945</v>
      </c>
      <c r="O2066" s="1077">
        <v>3.8250000000000002</v>
      </c>
      <c r="P2066" s="1077">
        <v>3.06</v>
      </c>
      <c r="Q2066" s="1077">
        <v>4</v>
      </c>
      <c r="R2066" s="1077">
        <v>18</v>
      </c>
      <c r="T2066" s="1077">
        <v>14</v>
      </c>
      <c r="U2066" s="1077">
        <v>4.5</v>
      </c>
      <c r="V2066" s="1077" t="s">
        <v>648</v>
      </c>
      <c r="W2066" s="1077">
        <v>110</v>
      </c>
      <c r="X2066" s="1077">
        <v>60</v>
      </c>
      <c r="Y2066" s="1077">
        <v>1.8</v>
      </c>
      <c r="Z2066" s="1077" t="s">
        <v>648</v>
      </c>
      <c r="AA2066" s="1077" t="s">
        <v>1705</v>
      </c>
      <c r="AH2066" s="1077" t="s">
        <v>803</v>
      </c>
      <c r="AI2066" s="1077">
        <v>95.24</v>
      </c>
      <c r="AJ2066" s="1077">
        <v>0.28000000000000003</v>
      </c>
      <c r="AK2066" s="1077">
        <v>1.08</v>
      </c>
      <c r="AM2066" s="1078" t="s">
        <v>13131</v>
      </c>
      <c r="AN2066" s="1078" t="s">
        <v>13132</v>
      </c>
      <c r="AO2066" s="1078">
        <f t="shared" si="262"/>
        <v>600</v>
      </c>
      <c r="AP2066" s="1078">
        <f t="shared" si="263"/>
        <v>1.7050000000000001</v>
      </c>
      <c r="AQ2066" s="1078" t="str">
        <f t="shared" si="264"/>
        <v>1-5-1S85°Z+S</v>
      </c>
      <c r="AR2066" s="1078" t="str">
        <f t="shared" si="265"/>
        <v>NA</v>
      </c>
      <c r="AS2066" s="1078" t="str">
        <f t="shared" si="266"/>
        <v>168/OFF</v>
      </c>
      <c r="AT2066" s="1078" t="str">
        <f t="shared" si="267"/>
        <v>1-5-1S85°Z+S</v>
      </c>
      <c r="AU2066" s="1078" t="s">
        <v>15547</v>
      </c>
      <c r="AV2066" s="1078" t="str">
        <f t="shared" si="260"/>
        <v>113.6.18</v>
      </c>
      <c r="AW2066" s="1344">
        <f t="shared" si="261"/>
        <v>45461</v>
      </c>
    </row>
    <row r="2067" spans="1:49">
      <c r="A2067" s="1077" t="s">
        <v>6572</v>
      </c>
      <c r="B2067" s="1077" t="s">
        <v>5565</v>
      </c>
      <c r="M2067" s="1077">
        <v>153</v>
      </c>
      <c r="N2067" s="1077" t="s">
        <v>945</v>
      </c>
      <c r="O2067" s="1077">
        <v>3.8250000000000002</v>
      </c>
      <c r="P2067" s="1077">
        <v>3.06</v>
      </c>
      <c r="Q2067" s="1077">
        <v>4</v>
      </c>
      <c r="R2067" s="1077">
        <v>18</v>
      </c>
      <c r="T2067" s="1077">
        <v>14</v>
      </c>
      <c r="U2067" s="1077">
        <v>4.5</v>
      </c>
      <c r="V2067" s="1077" t="s">
        <v>648</v>
      </c>
      <c r="W2067" s="1077">
        <v>100</v>
      </c>
      <c r="X2067" s="1077">
        <v>80</v>
      </c>
      <c r="Y2067" s="1077">
        <v>1.8</v>
      </c>
      <c r="Z2067" s="1077" t="s">
        <v>648</v>
      </c>
      <c r="AA2067" s="1077" t="s">
        <v>6573</v>
      </c>
      <c r="AI2067" s="1077">
        <v>95.22</v>
      </c>
      <c r="AJ2067" s="1077">
        <v>-0.65</v>
      </c>
      <c r="AK2067" s="1077">
        <v>1.86</v>
      </c>
      <c r="AM2067" s="1078" t="s">
        <v>13133</v>
      </c>
      <c r="AN2067" s="1078" t="s">
        <v>13134</v>
      </c>
      <c r="AO2067" s="1078">
        <f t="shared" si="262"/>
        <v>0</v>
      </c>
      <c r="AP2067" s="1078">
        <f t="shared" si="263"/>
        <v>0</v>
      </c>
      <c r="AQ2067" s="1078">
        <f t="shared" si="264"/>
        <v>0</v>
      </c>
      <c r="AR2067" s="1078">
        <f t="shared" si="265"/>
        <v>0</v>
      </c>
      <c r="AS2067" s="1078">
        <f t="shared" si="266"/>
        <v>0</v>
      </c>
      <c r="AT2067" s="1078">
        <f t="shared" si="267"/>
        <v>0</v>
      </c>
      <c r="AV2067" s="1078" t="str">
        <f t="shared" si="260"/>
        <v>113.11.12</v>
      </c>
      <c r="AW2067" s="1344">
        <f t="shared" si="261"/>
        <v>45608</v>
      </c>
    </row>
    <row r="2068" spans="1:49">
      <c r="A2068" s="1077" t="s">
        <v>6574</v>
      </c>
      <c r="B2068" s="1077" t="s">
        <v>847</v>
      </c>
      <c r="C2068" s="1077">
        <v>550</v>
      </c>
      <c r="D2068" s="1077">
        <v>1.78</v>
      </c>
      <c r="E2068" s="1077" t="s">
        <v>15111</v>
      </c>
      <c r="F2068" s="1077" t="s">
        <v>975</v>
      </c>
      <c r="G2068" s="1077">
        <v>4</v>
      </c>
      <c r="H2068" s="1077" t="s">
        <v>3143</v>
      </c>
      <c r="I2068" s="1077" t="s">
        <v>648</v>
      </c>
      <c r="J2068" s="1077">
        <v>0</v>
      </c>
      <c r="K2068" s="1077" t="s">
        <v>6575</v>
      </c>
      <c r="L2068" s="1077" t="s">
        <v>5037</v>
      </c>
      <c r="M2068" s="1077">
        <v>150</v>
      </c>
      <c r="N2068" s="1077" t="s">
        <v>945</v>
      </c>
      <c r="O2068" s="1077">
        <v>3.75</v>
      </c>
      <c r="P2068" s="1077">
        <v>3</v>
      </c>
      <c r="Q2068" s="1077">
        <v>3.5</v>
      </c>
      <c r="R2068" s="1077">
        <v>21.8</v>
      </c>
      <c r="T2068" s="1077">
        <v>19.5</v>
      </c>
      <c r="U2068" s="1077">
        <v>1.8</v>
      </c>
      <c r="V2068" s="1077" t="s">
        <v>648</v>
      </c>
      <c r="W2068" s="1077" t="s">
        <v>648</v>
      </c>
      <c r="X2068" s="1077" t="s">
        <v>648</v>
      </c>
      <c r="Y2068" s="1077">
        <v>2.1</v>
      </c>
      <c r="Z2068" s="1077">
        <v>5</v>
      </c>
      <c r="AA2068" s="1077" t="s">
        <v>6576</v>
      </c>
      <c r="AH2068" s="1077" t="s">
        <v>813</v>
      </c>
      <c r="AI2068" s="1077">
        <v>13.71</v>
      </c>
      <c r="AJ2068" s="1077">
        <v>0.32</v>
      </c>
      <c r="AK2068" s="1077">
        <v>0.75</v>
      </c>
      <c r="AM2068" s="1078" t="s">
        <v>13135</v>
      </c>
      <c r="AN2068" s="1078" t="s">
        <v>13136</v>
      </c>
      <c r="AO2068" s="1078">
        <f t="shared" si="262"/>
        <v>550</v>
      </c>
      <c r="AP2068" s="1078">
        <f t="shared" si="263"/>
        <v>1.78</v>
      </c>
      <c r="AQ2068" s="1078" t="str">
        <f t="shared" si="264"/>
        <v>1-5-1S91</v>
      </c>
      <c r="AR2068" s="1078" t="str">
        <f t="shared" si="265"/>
        <v>31.5</v>
      </c>
      <c r="AS2068" s="1078" t="str">
        <f t="shared" si="266"/>
        <v>300/300/160</v>
      </c>
      <c r="AT2068" s="1078" t="str">
        <f t="shared" si="267"/>
        <v>1-5-1S91</v>
      </c>
      <c r="AV2068" s="1078" t="str">
        <f t="shared" si="260"/>
        <v>113.6.20</v>
      </c>
      <c r="AW2068" s="1344">
        <f t="shared" si="261"/>
        <v>45463</v>
      </c>
    </row>
    <row r="2069" spans="1:49">
      <c r="A2069" s="1077" t="s">
        <v>6577</v>
      </c>
      <c r="B2069" s="1077" t="s">
        <v>416</v>
      </c>
      <c r="C2069" s="1077">
        <v>650</v>
      </c>
      <c r="D2069" s="1077">
        <v>1.76</v>
      </c>
      <c r="E2069" s="1077" t="s">
        <v>15094</v>
      </c>
      <c r="F2069" s="1077" t="s">
        <v>984</v>
      </c>
      <c r="G2069" s="1077">
        <v>5</v>
      </c>
      <c r="H2069" s="1077" t="s">
        <v>5483</v>
      </c>
      <c r="I2069" s="1077" t="s">
        <v>126</v>
      </c>
      <c r="J2069" s="1077">
        <v>0.6</v>
      </c>
      <c r="K2069" s="1077" t="s">
        <v>6525</v>
      </c>
      <c r="L2069" s="1077" t="s">
        <v>6291</v>
      </c>
      <c r="M2069" s="1077">
        <v>151.5</v>
      </c>
      <c r="N2069" s="1077" t="s">
        <v>945</v>
      </c>
      <c r="O2069" s="1077">
        <v>3.7875000000000001</v>
      </c>
      <c r="P2069" s="1077">
        <v>3.0300000000000002</v>
      </c>
      <c r="Q2069" s="1077">
        <v>4</v>
      </c>
      <c r="R2069" s="1077">
        <v>19.100000000000001</v>
      </c>
      <c r="T2069" s="1077">
        <v>23.7</v>
      </c>
      <c r="U2069" s="1077">
        <v>3.2</v>
      </c>
      <c r="V2069" s="1077" t="s">
        <v>648</v>
      </c>
      <c r="W2069" s="1077">
        <v>35</v>
      </c>
      <c r="X2069" s="1077">
        <v>10</v>
      </c>
      <c r="Y2069" s="1077">
        <v>1</v>
      </c>
      <c r="Z2069" s="1077">
        <v>6</v>
      </c>
      <c r="AA2069" s="1077" t="s">
        <v>1642</v>
      </c>
      <c r="AH2069" s="1077" t="s">
        <v>722</v>
      </c>
      <c r="AI2069" s="1077">
        <v>91.68</v>
      </c>
      <c r="AJ2069" s="1077">
        <v>-0.33</v>
      </c>
      <c r="AK2069" s="1077">
        <v>1.1200000000000001</v>
      </c>
      <c r="AM2069" s="1078" t="s">
        <v>899</v>
      </c>
      <c r="AN2069" s="1078" t="s">
        <v>13137</v>
      </c>
      <c r="AO2069" s="1078">
        <f t="shared" si="262"/>
        <v>650</v>
      </c>
      <c r="AP2069" s="1078">
        <f t="shared" si="263"/>
        <v>1.76</v>
      </c>
      <c r="AQ2069" s="1078" t="str">
        <f t="shared" si="264"/>
        <v>1-5-1S91°</v>
      </c>
      <c r="AR2069" s="1078" t="str">
        <f t="shared" si="265"/>
        <v>30</v>
      </c>
      <c r="AS2069" s="1078" t="str">
        <f t="shared" si="266"/>
        <v>350/310/150</v>
      </c>
      <c r="AT2069" s="1078" t="str">
        <f t="shared" si="267"/>
        <v>1-5-1S91°</v>
      </c>
      <c r="AV2069" s="1078" t="str">
        <f t="shared" si="260"/>
        <v>113.2.2</v>
      </c>
      <c r="AW2069" s="1344">
        <f t="shared" si="261"/>
        <v>45324</v>
      </c>
    </row>
    <row r="2070" spans="1:49">
      <c r="A2070" s="1077" t="s">
        <v>6578</v>
      </c>
      <c r="B2070" s="1077" t="s">
        <v>847</v>
      </c>
      <c r="C2070" s="1077">
        <v>550</v>
      </c>
      <c r="D2070" s="1077">
        <v>1.77</v>
      </c>
      <c r="E2070" s="1077" t="s">
        <v>15111</v>
      </c>
      <c r="F2070" s="1077" t="s">
        <v>975</v>
      </c>
      <c r="G2070" s="1077">
        <v>4</v>
      </c>
      <c r="H2070" s="1077" t="s">
        <v>3143</v>
      </c>
      <c r="I2070" s="1077" t="s">
        <v>648</v>
      </c>
      <c r="J2070" s="1077">
        <v>0</v>
      </c>
      <c r="K2070" s="1077" t="s">
        <v>6579</v>
      </c>
      <c r="L2070" s="1077" t="s">
        <v>5037</v>
      </c>
      <c r="M2070" s="1077">
        <v>150</v>
      </c>
      <c r="N2070" s="1077" t="s">
        <v>945</v>
      </c>
      <c r="O2070" s="1077">
        <v>3.75</v>
      </c>
      <c r="P2070" s="1077">
        <v>3</v>
      </c>
      <c r="Q2070" s="1077">
        <v>3.5</v>
      </c>
      <c r="R2070" s="1077">
        <v>21.8</v>
      </c>
      <c r="T2070" s="1077">
        <v>19.5</v>
      </c>
      <c r="U2070" s="1077">
        <v>1.8</v>
      </c>
      <c r="V2070" s="1077" t="s">
        <v>648</v>
      </c>
      <c r="W2070" s="1077" t="s">
        <v>648</v>
      </c>
      <c r="X2070" s="1077" t="s">
        <v>648</v>
      </c>
      <c r="Y2070" s="1077">
        <v>2.1</v>
      </c>
      <c r="Z2070" s="1077">
        <v>5</v>
      </c>
      <c r="AA2070" s="1077" t="s">
        <v>1711</v>
      </c>
      <c r="AH2070" s="1077" t="s">
        <v>1421</v>
      </c>
      <c r="AI2070" s="1077">
        <v>14.12</v>
      </c>
      <c r="AJ2070" s="1077">
        <v>0.09</v>
      </c>
      <c r="AK2070" s="1077">
        <v>0.84</v>
      </c>
      <c r="AM2070" s="1078" t="s">
        <v>13138</v>
      </c>
      <c r="AN2070" s="1078" t="s">
        <v>13139</v>
      </c>
      <c r="AO2070" s="1078">
        <f t="shared" si="262"/>
        <v>550</v>
      </c>
      <c r="AP2070" s="1078">
        <f t="shared" si="263"/>
        <v>1.77</v>
      </c>
      <c r="AQ2070" s="1078" t="str">
        <f t="shared" si="264"/>
        <v>1-5-1S91</v>
      </c>
      <c r="AR2070" s="1078" t="str">
        <f t="shared" si="265"/>
        <v>31.5</v>
      </c>
      <c r="AS2070" s="1078" t="str">
        <f t="shared" si="266"/>
        <v>300/300/160</v>
      </c>
      <c r="AT2070" s="1078" t="str">
        <f t="shared" si="267"/>
        <v>1-5-1S91</v>
      </c>
      <c r="AV2070" s="1078" t="str">
        <f t="shared" si="260"/>
        <v>113.7.1</v>
      </c>
      <c r="AW2070" s="1344">
        <f t="shared" si="261"/>
        <v>45474</v>
      </c>
    </row>
    <row r="2071" spans="1:49">
      <c r="A2071" s="1077" t="s">
        <v>6580</v>
      </c>
      <c r="B2071" s="1077" t="s">
        <v>6548</v>
      </c>
      <c r="C2071" s="1077">
        <v>600</v>
      </c>
      <c r="D2071" s="1077">
        <v>1.77</v>
      </c>
      <c r="E2071" s="1077" t="s">
        <v>15095</v>
      </c>
      <c r="F2071" s="1077" t="s">
        <v>2234</v>
      </c>
      <c r="G2071" s="1077">
        <v>5</v>
      </c>
      <c r="H2071" s="1077" t="s">
        <v>5874</v>
      </c>
      <c r="I2071" s="1077" t="s">
        <v>460</v>
      </c>
      <c r="J2071" s="1077">
        <v>2.2000000000000002</v>
      </c>
      <c r="K2071" s="1077" t="s">
        <v>6581</v>
      </c>
      <c r="L2071" s="1077" t="s">
        <v>6550</v>
      </c>
      <c r="M2071" s="1077">
        <v>152</v>
      </c>
      <c r="N2071" s="1077" t="s">
        <v>945</v>
      </c>
      <c r="O2071" s="1077">
        <v>3.8000000000000003</v>
      </c>
      <c r="P2071" s="1077">
        <v>3.04</v>
      </c>
      <c r="Q2071" s="1077">
        <v>3.5</v>
      </c>
      <c r="R2071" s="1077">
        <v>22</v>
      </c>
      <c r="T2071" s="1077">
        <v>29</v>
      </c>
      <c r="U2071" s="1077">
        <v>3.8</v>
      </c>
      <c r="V2071" s="1077" t="s">
        <v>648</v>
      </c>
      <c r="W2071" s="1077">
        <v>110</v>
      </c>
      <c r="X2071" s="1077">
        <v>60</v>
      </c>
      <c r="Y2071" s="1077">
        <v>1.5</v>
      </c>
      <c r="Z2071" s="1077">
        <v>6</v>
      </c>
      <c r="AA2071" s="1077" t="s">
        <v>1969</v>
      </c>
      <c r="AH2071" s="1077" t="s">
        <v>684</v>
      </c>
      <c r="AI2071" s="1077">
        <v>16.649999999999999</v>
      </c>
      <c r="AJ2071" s="1077">
        <v>-0.37</v>
      </c>
      <c r="AK2071" s="1077">
        <v>0.91</v>
      </c>
      <c r="AM2071" s="1078" t="s">
        <v>13140</v>
      </c>
      <c r="AN2071" s="1078" t="s">
        <v>13141</v>
      </c>
      <c r="AO2071" s="1078">
        <f t="shared" si="262"/>
        <v>600</v>
      </c>
      <c r="AP2071" s="1078">
        <f t="shared" si="263"/>
        <v>1.77</v>
      </c>
      <c r="AQ2071" s="1078" t="str">
        <f t="shared" si="264"/>
        <v>1-5-1S83°</v>
      </c>
      <c r="AR2071" s="1078" t="str">
        <f t="shared" si="265"/>
        <v>33.5</v>
      </c>
      <c r="AS2071" s="1078" t="str">
        <f t="shared" si="266"/>
        <v>345/345/OFF</v>
      </c>
      <c r="AT2071" s="1078" t="str">
        <f t="shared" si="267"/>
        <v>1-5-1S83°</v>
      </c>
      <c r="AV2071" s="1078" t="str">
        <f t="shared" si="260"/>
        <v>113.7.3</v>
      </c>
      <c r="AW2071" s="1344">
        <f t="shared" si="261"/>
        <v>45476</v>
      </c>
    </row>
    <row r="2072" spans="1:49">
      <c r="A2072" s="1077" t="s">
        <v>6582</v>
      </c>
      <c r="B2072" s="1077" t="s">
        <v>5410</v>
      </c>
      <c r="C2072" s="1077">
        <v>500</v>
      </c>
      <c r="D2072" s="1077">
        <v>1.74</v>
      </c>
      <c r="E2072" s="1077" t="s">
        <v>15116</v>
      </c>
      <c r="F2072" s="1077" t="s">
        <v>984</v>
      </c>
      <c r="G2072" s="1077">
        <v>2</v>
      </c>
      <c r="H2072" s="1077" t="s">
        <v>1061</v>
      </c>
      <c r="I2072" s="1077" t="s">
        <v>126</v>
      </c>
      <c r="J2072" s="1077">
        <v>0.4</v>
      </c>
      <c r="K2072" s="1077" t="s">
        <v>6583</v>
      </c>
      <c r="L2072" s="1077" t="s">
        <v>1825</v>
      </c>
      <c r="M2072" s="1077">
        <v>150.1</v>
      </c>
      <c r="N2072" s="1077" t="s">
        <v>945</v>
      </c>
      <c r="O2072" s="1077">
        <v>3.7524999999999999</v>
      </c>
      <c r="P2072" s="1077">
        <v>3.0019999999999998</v>
      </c>
      <c r="Q2072" s="1077">
        <v>3</v>
      </c>
      <c r="R2072" s="1077">
        <v>20.7</v>
      </c>
      <c r="T2072" s="1077">
        <v>32.6</v>
      </c>
      <c r="U2072" s="1077">
        <v>3</v>
      </c>
      <c r="V2072" s="1077" t="s">
        <v>648</v>
      </c>
      <c r="W2072" s="1077" t="s">
        <v>648</v>
      </c>
      <c r="X2072" s="1077" t="s">
        <v>648</v>
      </c>
      <c r="Y2072" s="1077">
        <v>1.7</v>
      </c>
      <c r="Z2072" s="1077" t="s">
        <v>648</v>
      </c>
      <c r="AA2072" s="1077" t="s">
        <v>6584</v>
      </c>
      <c r="AH2072" s="1077" t="s">
        <v>812</v>
      </c>
      <c r="AI2072" s="1077">
        <v>83.16</v>
      </c>
      <c r="AJ2072" s="1077">
        <v>0.89</v>
      </c>
      <c r="AK2072" s="1077">
        <v>8.07</v>
      </c>
      <c r="AM2072" s="1078" t="s">
        <v>13142</v>
      </c>
      <c r="AN2072" s="1078" t="s">
        <v>13143</v>
      </c>
      <c r="AO2072" s="1078">
        <f t="shared" si="262"/>
        <v>500</v>
      </c>
      <c r="AP2072" s="1078">
        <f t="shared" si="263"/>
        <v>1.74</v>
      </c>
      <c r="AQ2072" s="1078" t="str">
        <f t="shared" si="264"/>
        <v>1-5-1S83°Z+S</v>
      </c>
      <c r="AR2072" s="1078" t="str">
        <f t="shared" si="265"/>
        <v>30</v>
      </c>
      <c r="AS2072" s="1078" t="str">
        <f t="shared" si="266"/>
        <v>255/255/OFF</v>
      </c>
      <c r="AT2072" s="1078" t="str">
        <f t="shared" si="267"/>
        <v>1-5-1S83°Z+S</v>
      </c>
      <c r="AU2072" s="1078" t="s">
        <v>15547</v>
      </c>
      <c r="AV2072" s="1078" t="str">
        <f t="shared" si="260"/>
        <v>113.7.2</v>
      </c>
      <c r="AW2072" s="1344">
        <f t="shared" si="261"/>
        <v>45475</v>
      </c>
    </row>
    <row r="2073" spans="1:49">
      <c r="A2073" s="1077" t="s">
        <v>6585</v>
      </c>
      <c r="B2073" s="1077" t="s">
        <v>847</v>
      </c>
      <c r="C2073" s="1077">
        <v>450</v>
      </c>
      <c r="D2073" s="1077">
        <v>1.78</v>
      </c>
      <c r="E2073" s="1077" t="s">
        <v>15102</v>
      </c>
      <c r="F2073" s="1077" t="s">
        <v>1469</v>
      </c>
      <c r="G2073" s="1077">
        <v>4</v>
      </c>
      <c r="H2073" s="1077" t="s">
        <v>6586</v>
      </c>
      <c r="I2073" s="1077" t="s">
        <v>1112</v>
      </c>
      <c r="J2073" s="1077">
        <v>0.9</v>
      </c>
      <c r="K2073" s="1077" t="s">
        <v>6587</v>
      </c>
      <c r="L2073" s="1077" t="s">
        <v>5037</v>
      </c>
      <c r="M2073" s="1077">
        <v>150</v>
      </c>
      <c r="N2073" s="1077" t="s">
        <v>945</v>
      </c>
      <c r="O2073" s="1077">
        <v>3.75</v>
      </c>
      <c r="P2073" s="1077">
        <v>3</v>
      </c>
      <c r="Q2073" s="1077" t="s">
        <v>2950</v>
      </c>
      <c r="R2073" s="1077">
        <v>21.8</v>
      </c>
      <c r="T2073" s="1077">
        <v>19.5</v>
      </c>
      <c r="U2073" s="1077">
        <v>2.5</v>
      </c>
      <c r="V2073" s="1077" t="s">
        <v>648</v>
      </c>
      <c r="W2073" s="1077">
        <v>85</v>
      </c>
      <c r="X2073" s="1077">
        <v>10</v>
      </c>
      <c r="Y2073" s="1077">
        <v>2.1</v>
      </c>
      <c r="Z2073" s="1077" t="s">
        <v>3223</v>
      </c>
      <c r="AA2073" s="1077" t="s">
        <v>6588</v>
      </c>
      <c r="AH2073" s="1077" t="s">
        <v>1486</v>
      </c>
      <c r="AM2073" s="1078" t="s">
        <v>13144</v>
      </c>
      <c r="AN2073" s="1078" t="s">
        <v>13145</v>
      </c>
      <c r="AO2073" s="1078">
        <f t="shared" si="262"/>
        <v>450</v>
      </c>
      <c r="AP2073" s="1078">
        <f t="shared" si="263"/>
        <v>1.78</v>
      </c>
      <c r="AQ2073" s="1078" t="str">
        <f t="shared" si="264"/>
        <v>2-6-1S83°</v>
      </c>
      <c r="AR2073" s="1078" t="str">
        <f t="shared" si="265"/>
        <v>30.5</v>
      </c>
      <c r="AS2073" s="1078" t="str">
        <f t="shared" si="266"/>
        <v>176/159</v>
      </c>
      <c r="AT2073" s="1078" t="str">
        <f t="shared" si="267"/>
        <v>2-6-1S83°</v>
      </c>
      <c r="AV2073" s="1078" t="str">
        <f t="shared" si="260"/>
        <v>109.2.1</v>
      </c>
      <c r="AW2073" s="1344">
        <f t="shared" si="261"/>
        <v>43862</v>
      </c>
    </row>
    <row r="2074" spans="1:49">
      <c r="A2074" s="1077" t="s">
        <v>6589</v>
      </c>
      <c r="B2074" s="1077" t="s">
        <v>4950</v>
      </c>
      <c r="C2074" s="1077">
        <v>500</v>
      </c>
      <c r="D2074" s="1077">
        <v>1.78</v>
      </c>
      <c r="E2074" s="1077" t="s">
        <v>15094</v>
      </c>
      <c r="F2074" s="1077" t="s">
        <v>984</v>
      </c>
      <c r="G2074" s="1077">
        <v>5</v>
      </c>
      <c r="H2074" s="1077" t="s">
        <v>1793</v>
      </c>
      <c r="I2074" s="1077" t="s">
        <v>126</v>
      </c>
      <c r="J2074" s="1077">
        <v>0.6</v>
      </c>
      <c r="K2074" s="1077" t="s">
        <v>6590</v>
      </c>
      <c r="L2074" s="1077" t="s">
        <v>4952</v>
      </c>
      <c r="M2074" s="1077">
        <v>152.5</v>
      </c>
      <c r="N2074" s="1077" t="s">
        <v>945</v>
      </c>
      <c r="O2074" s="1077">
        <v>3.8125</v>
      </c>
      <c r="P2074" s="1077">
        <v>3.0500000000000003</v>
      </c>
      <c r="Q2074" s="1077" t="s">
        <v>1012</v>
      </c>
      <c r="R2074" s="1077">
        <v>28.5</v>
      </c>
      <c r="T2074" s="1077">
        <v>19.2</v>
      </c>
      <c r="U2074" s="1077">
        <v>5.0999999999999996</v>
      </c>
      <c r="V2074" s="1077" t="s">
        <v>648</v>
      </c>
      <c r="W2074" s="1077" t="s">
        <v>2709</v>
      </c>
      <c r="X2074" s="1077">
        <v>10</v>
      </c>
      <c r="Y2074" s="1077">
        <v>1.6</v>
      </c>
      <c r="Z2074" s="1077">
        <v>7</v>
      </c>
      <c r="AA2074" s="1077" t="s">
        <v>2961</v>
      </c>
      <c r="AH2074" s="1077" t="s">
        <v>958</v>
      </c>
      <c r="AM2074" s="1078" t="s">
        <v>13146</v>
      </c>
      <c r="AN2074" s="1078" t="s">
        <v>13147</v>
      </c>
      <c r="AO2074" s="1078">
        <f t="shared" si="262"/>
        <v>500</v>
      </c>
      <c r="AP2074" s="1078">
        <f t="shared" si="263"/>
        <v>1.78</v>
      </c>
      <c r="AQ2074" s="1078" t="str">
        <f t="shared" si="264"/>
        <v>1-5-1S91°</v>
      </c>
      <c r="AR2074" s="1078" t="str">
        <f t="shared" si="265"/>
        <v>30</v>
      </c>
      <c r="AS2074" s="1078" t="str">
        <f t="shared" si="266"/>
        <v>270/270/OFF</v>
      </c>
      <c r="AT2074" s="1078" t="str">
        <f t="shared" si="267"/>
        <v>1-5-1S91°</v>
      </c>
      <c r="AV2074" s="1078" t="str">
        <f t="shared" si="260"/>
        <v>109.4.23</v>
      </c>
      <c r="AW2074" s="1344">
        <f t="shared" si="261"/>
        <v>43944</v>
      </c>
    </row>
    <row r="2075" spans="1:49">
      <c r="A2075" s="1077" t="s">
        <v>6591</v>
      </c>
      <c r="B2075" s="1077" t="s">
        <v>5356</v>
      </c>
      <c r="C2075" s="1077">
        <v>600</v>
      </c>
      <c r="D2075" s="1077">
        <v>1.786</v>
      </c>
      <c r="E2075" s="1077" t="s">
        <v>15108</v>
      </c>
      <c r="F2075" s="1077" t="s">
        <v>954</v>
      </c>
      <c r="G2075" s="1077">
        <v>3</v>
      </c>
      <c r="H2075" s="1077" t="s">
        <v>1061</v>
      </c>
      <c r="I2075" s="1077" t="s">
        <v>460</v>
      </c>
      <c r="J2075" s="1077">
        <v>1.2</v>
      </c>
      <c r="K2075" s="1077" t="s">
        <v>6592</v>
      </c>
      <c r="L2075" s="1077" t="s">
        <v>2565</v>
      </c>
      <c r="M2075" s="1077">
        <v>155.19999999999999</v>
      </c>
      <c r="N2075" s="1077" t="s">
        <v>945</v>
      </c>
      <c r="O2075" s="1077">
        <v>3.88</v>
      </c>
      <c r="P2075" s="1077">
        <v>3.1039999999999996</v>
      </c>
      <c r="Q2075" s="1077" t="s">
        <v>988</v>
      </c>
      <c r="R2075" s="1077">
        <v>22</v>
      </c>
      <c r="T2075" s="1077">
        <v>21</v>
      </c>
      <c r="U2075" s="1077">
        <v>3.4</v>
      </c>
      <c r="V2075" s="1077" t="s">
        <v>648</v>
      </c>
      <c r="W2075" s="1077">
        <v>120</v>
      </c>
      <c r="X2075" s="1077">
        <v>80</v>
      </c>
      <c r="Y2075" s="1077">
        <v>1.1000000000000001</v>
      </c>
      <c r="Z2075" s="1077" t="s">
        <v>648</v>
      </c>
      <c r="AA2075" s="1077" t="s">
        <v>1344</v>
      </c>
      <c r="AH2075" s="1077" t="s">
        <v>889</v>
      </c>
      <c r="AM2075" s="1078" t="s">
        <v>13148</v>
      </c>
      <c r="AN2075" s="1078" t="s">
        <v>13149</v>
      </c>
      <c r="AO2075" s="1078">
        <f t="shared" si="262"/>
        <v>600</v>
      </c>
      <c r="AP2075" s="1078">
        <f t="shared" si="263"/>
        <v>1.786</v>
      </c>
      <c r="AQ2075" s="1078" t="str">
        <f t="shared" si="264"/>
        <v>1-4-1S83°Z+S</v>
      </c>
      <c r="AR2075" s="1078" t="str">
        <f t="shared" si="265"/>
        <v>31</v>
      </c>
      <c r="AS2075" s="1078" t="str">
        <f t="shared" si="266"/>
        <v>255/255/OFF</v>
      </c>
      <c r="AT2075" s="1078" t="str">
        <f t="shared" si="267"/>
        <v>1-4-1S83°Z+S</v>
      </c>
      <c r="AU2075" s="1078" t="s">
        <v>15547</v>
      </c>
      <c r="AV2075" s="1078" t="str">
        <f t="shared" si="260"/>
        <v>109.10.7</v>
      </c>
      <c r="AW2075" s="1344">
        <f t="shared" si="261"/>
        <v>44111</v>
      </c>
    </row>
    <row r="2076" spans="1:49">
      <c r="A2076" s="1077" t="s">
        <v>6593</v>
      </c>
      <c r="B2076" s="1077" t="s">
        <v>4927</v>
      </c>
      <c r="C2076" s="1077">
        <v>650</v>
      </c>
      <c r="D2076" s="1077">
        <v>1.704</v>
      </c>
      <c r="E2076" s="1077" t="s">
        <v>15117</v>
      </c>
      <c r="F2076" s="1077" t="s">
        <v>648</v>
      </c>
      <c r="G2076" s="1077">
        <v>4</v>
      </c>
      <c r="H2076" s="1077" t="s">
        <v>4393</v>
      </c>
      <c r="I2076" s="1077" t="s">
        <v>126</v>
      </c>
      <c r="J2076" s="1077">
        <v>1.7</v>
      </c>
      <c r="K2076" s="1077" t="s">
        <v>6342</v>
      </c>
      <c r="L2076" s="1077" t="s">
        <v>1763</v>
      </c>
      <c r="M2076" s="1077">
        <v>159.5</v>
      </c>
      <c r="N2076" s="1077" t="s">
        <v>945</v>
      </c>
      <c r="O2076" s="1077">
        <v>3.9875000000000003</v>
      </c>
      <c r="P2076" s="1077">
        <v>3.19</v>
      </c>
      <c r="Q2076" s="1077">
        <v>3</v>
      </c>
      <c r="R2076" s="1077">
        <v>33</v>
      </c>
      <c r="T2076" s="1077">
        <v>11.7</v>
      </c>
      <c r="U2076" s="1077" t="s">
        <v>6594</v>
      </c>
      <c r="V2076" s="1077" t="s">
        <v>648</v>
      </c>
      <c r="W2076" s="1077">
        <v>135</v>
      </c>
      <c r="X2076" s="1077">
        <v>85</v>
      </c>
      <c r="Y2076" s="1077">
        <v>1.4</v>
      </c>
      <c r="Z2076" s="1077" t="s">
        <v>648</v>
      </c>
      <c r="AA2076" s="1077" t="s">
        <v>2485</v>
      </c>
      <c r="AH2076" s="1077" t="s">
        <v>1486</v>
      </c>
      <c r="AM2076" s="1078" t="s">
        <v>13150</v>
      </c>
      <c r="AN2076" s="1078" t="s">
        <v>13151</v>
      </c>
      <c r="AO2076" s="1078">
        <f t="shared" si="262"/>
        <v>650</v>
      </c>
      <c r="AP2076" s="1078">
        <f t="shared" si="263"/>
        <v>1.704</v>
      </c>
      <c r="AQ2076" s="1078" t="str">
        <f t="shared" si="264"/>
        <v>1-4-1S85°S+Z</v>
      </c>
      <c r="AR2076" s="1078" t="str">
        <f t="shared" si="265"/>
        <v>NA</v>
      </c>
      <c r="AS2076" s="1078" t="str">
        <f t="shared" si="266"/>
        <v>145/OFF</v>
      </c>
      <c r="AT2076" s="1078" t="str">
        <f t="shared" si="267"/>
        <v>1-4-1S85°S+Z</v>
      </c>
      <c r="AU2076" s="1078" t="s">
        <v>15550</v>
      </c>
      <c r="AV2076" s="1078" t="str">
        <f t="shared" si="260"/>
        <v>110.1.15</v>
      </c>
      <c r="AW2076" s="1344">
        <f t="shared" si="261"/>
        <v>44211</v>
      </c>
    </row>
    <row r="2077" spans="1:49">
      <c r="A2077" s="1077" t="s">
        <v>6595</v>
      </c>
      <c r="B2077" s="1077" t="s">
        <v>844</v>
      </c>
      <c r="C2077" s="1077">
        <v>600</v>
      </c>
      <c r="D2077" s="1077">
        <v>1.756</v>
      </c>
      <c r="E2077" s="1077" t="s">
        <v>15094</v>
      </c>
      <c r="F2077" s="1077" t="s">
        <v>954</v>
      </c>
      <c r="G2077" s="1077">
        <v>5</v>
      </c>
      <c r="H2077" s="1077" t="s">
        <v>5126</v>
      </c>
      <c r="I2077" s="1077" t="s">
        <v>648</v>
      </c>
      <c r="J2077" s="1077">
        <v>0</v>
      </c>
      <c r="K2077" s="1077" t="s">
        <v>6177</v>
      </c>
      <c r="L2077" s="1077" t="s">
        <v>4907</v>
      </c>
      <c r="M2077" s="1077">
        <v>151</v>
      </c>
      <c r="N2077" s="1077" t="s">
        <v>945</v>
      </c>
      <c r="O2077" s="1077">
        <v>3.7750000000000004</v>
      </c>
      <c r="P2077" s="1077">
        <v>3.02</v>
      </c>
      <c r="Q2077" s="1077">
        <v>3</v>
      </c>
      <c r="R2077" s="1077">
        <v>22.4</v>
      </c>
      <c r="T2077" s="1077">
        <v>15</v>
      </c>
      <c r="U2077" s="1077">
        <v>3.7</v>
      </c>
      <c r="V2077" s="1077" t="s">
        <v>2520</v>
      </c>
      <c r="W2077" s="1077" t="s">
        <v>648</v>
      </c>
      <c r="X2077" s="1077" t="s">
        <v>648</v>
      </c>
      <c r="Y2077" s="1077">
        <v>1.5</v>
      </c>
      <c r="Z2077" s="1077">
        <v>5.5</v>
      </c>
      <c r="AA2077" s="1077" t="s">
        <v>6511</v>
      </c>
      <c r="AH2077" s="1077" t="s">
        <v>680</v>
      </c>
      <c r="AM2077" s="1078" t="s">
        <v>13152</v>
      </c>
      <c r="AN2077" s="1078" t="s">
        <v>13153</v>
      </c>
      <c r="AO2077" s="1078">
        <f t="shared" si="262"/>
        <v>600</v>
      </c>
      <c r="AP2077" s="1078">
        <f t="shared" si="263"/>
        <v>1.756</v>
      </c>
      <c r="AQ2077" s="1078" t="str">
        <f t="shared" si="264"/>
        <v>1-5-1S91°</v>
      </c>
      <c r="AR2077" s="1078" t="str">
        <f t="shared" si="265"/>
        <v>31</v>
      </c>
      <c r="AS2077" s="1078" t="str">
        <f t="shared" si="266"/>
        <v>300/300/140</v>
      </c>
      <c r="AT2077" s="1078" t="str">
        <f t="shared" si="267"/>
        <v>1-5-1S91°</v>
      </c>
      <c r="AV2077" s="1078" t="str">
        <f t="shared" si="260"/>
        <v>110.3.2</v>
      </c>
      <c r="AW2077" s="1344">
        <f t="shared" si="261"/>
        <v>44257</v>
      </c>
    </row>
    <row r="2078" spans="1:49">
      <c r="A2078" s="1077" t="s">
        <v>6596</v>
      </c>
      <c r="B2078" s="1077" t="s">
        <v>844</v>
      </c>
      <c r="C2078" s="1077">
        <v>600</v>
      </c>
      <c r="D2078" s="1077">
        <v>1.75</v>
      </c>
      <c r="E2078" s="1077" t="s">
        <v>15094</v>
      </c>
      <c r="F2078" s="1077" t="s">
        <v>954</v>
      </c>
      <c r="G2078" s="1077">
        <v>5</v>
      </c>
      <c r="H2078" s="1077" t="s">
        <v>5126</v>
      </c>
      <c r="I2078" s="1077" t="s">
        <v>460</v>
      </c>
      <c r="J2078" s="1077">
        <v>4.2</v>
      </c>
      <c r="K2078" s="1077" t="s">
        <v>6597</v>
      </c>
      <c r="L2078" s="1077" t="s">
        <v>4907</v>
      </c>
      <c r="M2078" s="1077">
        <v>151.69999999999999</v>
      </c>
      <c r="N2078" s="1077" t="s">
        <v>945</v>
      </c>
      <c r="O2078" s="1077">
        <v>3.7925</v>
      </c>
      <c r="P2078" s="1077">
        <v>3.0339999999999998</v>
      </c>
      <c r="Q2078" s="1077">
        <v>3</v>
      </c>
      <c r="R2078" s="1077">
        <v>19.7</v>
      </c>
      <c r="T2078" s="1077">
        <v>11.5</v>
      </c>
      <c r="U2078" s="1077">
        <v>5.3</v>
      </c>
      <c r="V2078" s="1077" t="s">
        <v>648</v>
      </c>
      <c r="W2078" s="1077">
        <v>105</v>
      </c>
      <c r="X2078" s="1077">
        <v>95</v>
      </c>
      <c r="Y2078" s="1077">
        <v>1.5</v>
      </c>
      <c r="Z2078" s="1077">
        <v>5</v>
      </c>
      <c r="AA2078" s="1077" t="s">
        <v>4133</v>
      </c>
      <c r="AH2078" s="1077" t="s">
        <v>762</v>
      </c>
      <c r="AM2078" s="1078" t="s">
        <v>13154</v>
      </c>
      <c r="AN2078" s="1078" t="s">
        <v>13155</v>
      </c>
      <c r="AO2078" s="1078">
        <f t="shared" si="262"/>
        <v>600</v>
      </c>
      <c r="AP2078" s="1078">
        <f t="shared" si="263"/>
        <v>1.75</v>
      </c>
      <c r="AQ2078" s="1078" t="str">
        <f t="shared" si="264"/>
        <v>1-5-1S91°</v>
      </c>
      <c r="AR2078" s="1078" t="str">
        <f t="shared" si="265"/>
        <v>31</v>
      </c>
      <c r="AS2078" s="1078" t="str">
        <f t="shared" si="266"/>
        <v>300/300/140</v>
      </c>
      <c r="AT2078" s="1078" t="str">
        <f t="shared" si="267"/>
        <v>1-5-1S91°</v>
      </c>
      <c r="AV2078" s="1078" t="str">
        <f t="shared" si="260"/>
        <v>110.5.17</v>
      </c>
      <c r="AW2078" s="1344">
        <f t="shared" si="261"/>
        <v>44333</v>
      </c>
    </row>
    <row r="2079" spans="1:49">
      <c r="A2079" s="1077" t="s">
        <v>6598</v>
      </c>
      <c r="B2079" s="1077" t="s">
        <v>4921</v>
      </c>
      <c r="C2079" s="1077">
        <v>700</v>
      </c>
      <c r="D2079" s="1077">
        <v>1.8049999999999999</v>
      </c>
      <c r="E2079" s="1077" t="s">
        <v>15094</v>
      </c>
      <c r="F2079" s="1077" t="s">
        <v>975</v>
      </c>
      <c r="G2079" s="1077">
        <v>5</v>
      </c>
      <c r="H2079" s="1077" t="s">
        <v>6194</v>
      </c>
      <c r="I2079" s="1077" t="s">
        <v>648</v>
      </c>
      <c r="J2079" s="1077">
        <v>0</v>
      </c>
      <c r="K2079" s="1077" t="s">
        <v>6599</v>
      </c>
      <c r="L2079" s="1077" t="s">
        <v>4924</v>
      </c>
      <c r="M2079" s="1077">
        <v>145.30000000000001</v>
      </c>
      <c r="N2079" s="1077" t="s">
        <v>945</v>
      </c>
      <c r="O2079" s="1077">
        <v>3.6325000000000003</v>
      </c>
      <c r="P2079" s="1077">
        <v>2.9060000000000001</v>
      </c>
      <c r="Q2079" s="1077">
        <v>3.5</v>
      </c>
      <c r="R2079" s="1077">
        <v>18.5</v>
      </c>
      <c r="T2079" s="1077">
        <v>27</v>
      </c>
      <c r="U2079" s="1077">
        <v>2.2000000000000002</v>
      </c>
      <c r="V2079" s="1077" t="s">
        <v>648</v>
      </c>
      <c r="W2079" s="1077" t="s">
        <v>648</v>
      </c>
      <c r="X2079" s="1077" t="s">
        <v>648</v>
      </c>
      <c r="Y2079" s="1077">
        <v>1.8</v>
      </c>
      <c r="Z2079" s="1077">
        <v>6</v>
      </c>
      <c r="AA2079" s="1077" t="s">
        <v>4220</v>
      </c>
      <c r="AH2079" s="1077" t="s">
        <v>1837</v>
      </c>
      <c r="AM2079" s="1078" t="s">
        <v>13156</v>
      </c>
      <c r="AN2079" s="1078" t="s">
        <v>13157</v>
      </c>
      <c r="AO2079" s="1078">
        <f t="shared" si="262"/>
        <v>700</v>
      </c>
      <c r="AP2079" s="1078">
        <f t="shared" si="263"/>
        <v>1.8049999999999999</v>
      </c>
      <c r="AQ2079" s="1078" t="str">
        <f t="shared" si="264"/>
        <v>1-5-1S91°</v>
      </c>
      <c r="AR2079" s="1078" t="str">
        <f t="shared" si="265"/>
        <v>31.5</v>
      </c>
      <c r="AS2079" s="1078" t="str">
        <f t="shared" si="266"/>
        <v>355/355/150</v>
      </c>
      <c r="AT2079" s="1078" t="str">
        <f t="shared" si="267"/>
        <v>1-5-1S91°</v>
      </c>
      <c r="AV2079" s="1078" t="str">
        <f t="shared" si="260"/>
        <v>110.7.12</v>
      </c>
      <c r="AW2079" s="1344">
        <f t="shared" si="261"/>
        <v>44389</v>
      </c>
    </row>
    <row r="2080" spans="1:49">
      <c r="A2080" s="1077" t="s">
        <v>6600</v>
      </c>
      <c r="B2080" s="1077" t="s">
        <v>617</v>
      </c>
      <c r="C2080" s="1077">
        <v>650</v>
      </c>
      <c r="D2080" s="1077">
        <v>1.75</v>
      </c>
      <c r="E2080" s="1077" t="s">
        <v>15094</v>
      </c>
      <c r="F2080" s="1077" t="s">
        <v>984</v>
      </c>
      <c r="G2080" s="1077">
        <v>5</v>
      </c>
      <c r="H2080" s="1077" t="s">
        <v>1793</v>
      </c>
      <c r="I2080" s="1077" t="s">
        <v>126</v>
      </c>
      <c r="J2080" s="1077">
        <v>2.2000000000000002</v>
      </c>
      <c r="K2080" s="1077" t="s">
        <v>5687</v>
      </c>
      <c r="L2080" s="1077" t="s">
        <v>4854</v>
      </c>
      <c r="M2080" s="1077">
        <v>150.30000000000001</v>
      </c>
      <c r="N2080" s="1077" t="s">
        <v>945</v>
      </c>
      <c r="O2080" s="1077">
        <v>3.7575000000000003</v>
      </c>
      <c r="P2080" s="1077">
        <v>3.0060000000000002</v>
      </c>
      <c r="Q2080" s="1077">
        <v>3</v>
      </c>
      <c r="R2080" s="1077">
        <v>29</v>
      </c>
      <c r="T2080" s="1077">
        <v>13</v>
      </c>
      <c r="U2080" s="1077">
        <v>7</v>
      </c>
      <c r="V2080" s="1077" t="s">
        <v>648</v>
      </c>
      <c r="W2080" s="1077">
        <v>115</v>
      </c>
      <c r="X2080" s="1077">
        <v>50</v>
      </c>
      <c r="Y2080" s="1077">
        <v>1.7</v>
      </c>
      <c r="Z2080" s="1077">
        <v>6.5</v>
      </c>
      <c r="AA2080" s="1077" t="s">
        <v>3722</v>
      </c>
      <c r="AH2080" s="1077" t="s">
        <v>621</v>
      </c>
      <c r="AM2080" s="1078" t="s">
        <v>13158</v>
      </c>
      <c r="AN2080" s="1078" t="s">
        <v>13159</v>
      </c>
      <c r="AO2080" s="1078">
        <f t="shared" si="262"/>
        <v>650</v>
      </c>
      <c r="AP2080" s="1078">
        <f t="shared" si="263"/>
        <v>1.75</v>
      </c>
      <c r="AQ2080" s="1078" t="str">
        <f t="shared" si="264"/>
        <v>1-5-1S91°</v>
      </c>
      <c r="AR2080" s="1078" t="str">
        <f t="shared" si="265"/>
        <v>30</v>
      </c>
      <c r="AS2080" s="1078" t="str">
        <f t="shared" si="266"/>
        <v>270/270/OFF</v>
      </c>
      <c r="AT2080" s="1078" t="str">
        <f t="shared" si="267"/>
        <v>1-5-1S91°</v>
      </c>
      <c r="AV2080" s="1078" t="str">
        <f t="shared" si="260"/>
        <v>110.9.8</v>
      </c>
      <c r="AW2080" s="1344">
        <f t="shared" si="261"/>
        <v>44447</v>
      </c>
    </row>
    <row r="2081" spans="1:49">
      <c r="A2081" s="1077" t="s">
        <v>6601</v>
      </c>
      <c r="B2081" s="1077" t="s">
        <v>210</v>
      </c>
      <c r="C2081" s="1077">
        <v>700</v>
      </c>
      <c r="D2081" s="1077">
        <v>1.75</v>
      </c>
      <c r="E2081" s="1077" t="s">
        <v>15094</v>
      </c>
      <c r="F2081" s="1077" t="s">
        <v>984</v>
      </c>
      <c r="G2081" s="1077">
        <v>5</v>
      </c>
      <c r="H2081" s="1077" t="s">
        <v>5300</v>
      </c>
      <c r="I2081" s="1077" t="s">
        <v>126</v>
      </c>
      <c r="J2081" s="1077">
        <v>0.7</v>
      </c>
      <c r="K2081" s="1077" t="s">
        <v>5990</v>
      </c>
      <c r="L2081" s="1077" t="s">
        <v>4666</v>
      </c>
      <c r="M2081" s="1077">
        <v>151.5</v>
      </c>
      <c r="N2081" s="1077" t="s">
        <v>945</v>
      </c>
      <c r="O2081" s="1077">
        <v>3.7875000000000001</v>
      </c>
      <c r="P2081" s="1077">
        <v>3.0300000000000002</v>
      </c>
      <c r="Q2081" s="1077">
        <v>4</v>
      </c>
      <c r="R2081" s="1077">
        <v>19.100000000000001</v>
      </c>
      <c r="T2081" s="1077">
        <v>23.7</v>
      </c>
      <c r="U2081" s="1077">
        <v>3.2</v>
      </c>
      <c r="V2081" s="1077" t="s">
        <v>648</v>
      </c>
      <c r="W2081" s="1077">
        <v>35</v>
      </c>
      <c r="X2081" s="1077">
        <v>10</v>
      </c>
      <c r="Y2081" s="1077">
        <v>1</v>
      </c>
      <c r="Z2081" s="1077">
        <v>6</v>
      </c>
      <c r="AA2081" s="1077" t="s">
        <v>6518</v>
      </c>
      <c r="AH2081" s="1077" t="s">
        <v>722</v>
      </c>
      <c r="AM2081" s="1078" t="s">
        <v>13160</v>
      </c>
      <c r="AN2081" s="1078" t="s">
        <v>13161</v>
      </c>
      <c r="AO2081" s="1078">
        <f t="shared" si="262"/>
        <v>700</v>
      </c>
      <c r="AP2081" s="1078">
        <f t="shared" si="263"/>
        <v>1.75</v>
      </c>
      <c r="AQ2081" s="1078" t="str">
        <f t="shared" si="264"/>
        <v>1-5-1S91°</v>
      </c>
      <c r="AR2081" s="1078" t="str">
        <f t="shared" si="265"/>
        <v>30</v>
      </c>
      <c r="AS2081" s="1078" t="str">
        <f t="shared" si="266"/>
        <v>370/330/155</v>
      </c>
      <c r="AT2081" s="1078" t="str">
        <f t="shared" si="267"/>
        <v>1-5-1S91°</v>
      </c>
      <c r="AV2081" s="1078" t="str">
        <f t="shared" si="260"/>
        <v>110.11.1</v>
      </c>
      <c r="AW2081" s="1344">
        <f t="shared" si="261"/>
        <v>44501</v>
      </c>
    </row>
    <row r="2082" spans="1:49">
      <c r="A2082" s="1077" t="s">
        <v>6602</v>
      </c>
      <c r="B2082" s="1077" t="s">
        <v>844</v>
      </c>
      <c r="C2082" s="1077">
        <v>600</v>
      </c>
      <c r="D2082" s="1077">
        <v>1.75</v>
      </c>
      <c r="E2082" s="1077" t="s">
        <v>15094</v>
      </c>
      <c r="F2082" s="1077" t="s">
        <v>954</v>
      </c>
      <c r="G2082" s="1077">
        <v>5</v>
      </c>
      <c r="H2082" s="1077" t="s">
        <v>5126</v>
      </c>
      <c r="I2082" s="1077" t="s">
        <v>460</v>
      </c>
      <c r="J2082" s="1077">
        <v>3.8</v>
      </c>
      <c r="K2082" s="1077" t="s">
        <v>5307</v>
      </c>
      <c r="L2082" s="1077" t="s">
        <v>4907</v>
      </c>
      <c r="M2082" s="1077">
        <v>151.69999999999999</v>
      </c>
      <c r="N2082" s="1077" t="s">
        <v>945</v>
      </c>
      <c r="O2082" s="1077">
        <v>3.7925</v>
      </c>
      <c r="P2082" s="1077">
        <v>3.0339999999999998</v>
      </c>
      <c r="Q2082" s="1077">
        <v>3</v>
      </c>
      <c r="R2082" s="1077">
        <v>19.7</v>
      </c>
      <c r="T2082" s="1077">
        <v>11.5</v>
      </c>
      <c r="U2082" s="1077">
        <v>5.3</v>
      </c>
      <c r="V2082" s="1077" t="s">
        <v>648</v>
      </c>
      <c r="W2082" s="1077">
        <v>105</v>
      </c>
      <c r="X2082" s="1077">
        <v>95</v>
      </c>
      <c r="Y2082" s="1077">
        <v>1.5</v>
      </c>
      <c r="Z2082" s="1077">
        <v>5</v>
      </c>
      <c r="AA2082" s="1077" t="s">
        <v>4251</v>
      </c>
      <c r="AH2082" s="1077" t="s">
        <v>619</v>
      </c>
      <c r="AM2082" s="1078" t="s">
        <v>13162</v>
      </c>
      <c r="AN2082" s="1078" t="s">
        <v>13163</v>
      </c>
      <c r="AO2082" s="1078">
        <f t="shared" si="262"/>
        <v>600</v>
      </c>
      <c r="AP2082" s="1078">
        <f t="shared" si="263"/>
        <v>1.75</v>
      </c>
      <c r="AQ2082" s="1078" t="str">
        <f t="shared" si="264"/>
        <v>1-5-1S91°</v>
      </c>
      <c r="AR2082" s="1078" t="str">
        <f t="shared" si="265"/>
        <v>31</v>
      </c>
      <c r="AS2082" s="1078" t="str">
        <f t="shared" si="266"/>
        <v>300/300/140</v>
      </c>
      <c r="AT2082" s="1078" t="str">
        <f t="shared" si="267"/>
        <v>1-5-1S91°</v>
      </c>
      <c r="AV2082" s="1078" t="str">
        <f t="shared" si="260"/>
        <v>110.12.7</v>
      </c>
      <c r="AW2082" s="1344">
        <f t="shared" si="261"/>
        <v>44537</v>
      </c>
    </row>
    <row r="2083" spans="1:49">
      <c r="A2083" s="1077" t="s">
        <v>6603</v>
      </c>
      <c r="B2083" s="1077" t="s">
        <v>844</v>
      </c>
      <c r="C2083" s="1077">
        <v>600</v>
      </c>
      <c r="D2083" s="1077">
        <v>1.79</v>
      </c>
      <c r="E2083" s="1077" t="s">
        <v>15094</v>
      </c>
      <c r="F2083" s="1077" t="s">
        <v>954</v>
      </c>
      <c r="G2083" s="1077">
        <v>5</v>
      </c>
      <c r="H2083" s="1077" t="s">
        <v>5126</v>
      </c>
      <c r="I2083" s="1077" t="s">
        <v>460</v>
      </c>
      <c r="J2083" s="1077">
        <v>3.9</v>
      </c>
      <c r="K2083" s="1077" t="s">
        <v>6251</v>
      </c>
      <c r="L2083" s="1077" t="s">
        <v>6238</v>
      </c>
      <c r="M2083" s="1077">
        <v>151.69999999999999</v>
      </c>
      <c r="N2083" s="1077" t="s">
        <v>945</v>
      </c>
      <c r="O2083" s="1077">
        <v>3.7925</v>
      </c>
      <c r="P2083" s="1077">
        <v>3.0339999999999998</v>
      </c>
      <c r="Q2083" s="1077">
        <v>3</v>
      </c>
      <c r="R2083" s="1077">
        <v>19.7</v>
      </c>
      <c r="T2083" s="1077">
        <v>11.5</v>
      </c>
      <c r="U2083" s="1077">
        <v>5.3</v>
      </c>
      <c r="V2083" s="1077" t="s">
        <v>648</v>
      </c>
      <c r="W2083" s="1077">
        <v>105</v>
      </c>
      <c r="X2083" s="1077">
        <v>95</v>
      </c>
      <c r="Y2083" s="1077">
        <v>1.5</v>
      </c>
      <c r="Z2083" s="1077">
        <v>5</v>
      </c>
      <c r="AA2083" s="1077" t="s">
        <v>1969</v>
      </c>
      <c r="AB2083" s="1077" t="s">
        <v>6604</v>
      </c>
      <c r="AH2083" s="1077" t="s">
        <v>889</v>
      </c>
      <c r="AI2083" s="1077">
        <v>90.66</v>
      </c>
      <c r="AJ2083" s="1077">
        <v>-1.37</v>
      </c>
      <c r="AK2083" s="1077">
        <v>6.22</v>
      </c>
      <c r="AM2083" s="1078" t="s">
        <v>13164</v>
      </c>
      <c r="AN2083" s="1078" t="s">
        <v>13165</v>
      </c>
      <c r="AO2083" s="1078">
        <f t="shared" si="262"/>
        <v>600</v>
      </c>
      <c r="AP2083" s="1078">
        <f t="shared" si="263"/>
        <v>1.79</v>
      </c>
      <c r="AQ2083" s="1078" t="str">
        <f t="shared" si="264"/>
        <v>1-5-1S91°</v>
      </c>
      <c r="AR2083" s="1078" t="str">
        <f t="shared" si="265"/>
        <v>31</v>
      </c>
      <c r="AS2083" s="1078" t="str">
        <f t="shared" si="266"/>
        <v>300/300/140</v>
      </c>
      <c r="AT2083" s="1078" t="str">
        <f t="shared" si="267"/>
        <v>1-5-1S91°</v>
      </c>
      <c r="AV2083" s="1078" t="str">
        <f t="shared" si="260"/>
        <v>113.7.3</v>
      </c>
      <c r="AW2083" s="1344">
        <f t="shared" si="261"/>
        <v>45476</v>
      </c>
    </row>
    <row r="2084" spans="1:49">
      <c r="A2084" s="1077" t="s">
        <v>6605</v>
      </c>
      <c r="B2084" s="1077" t="s">
        <v>882</v>
      </c>
      <c r="C2084" s="1077">
        <v>650</v>
      </c>
      <c r="D2084" s="1077">
        <v>1.7390000000000001</v>
      </c>
      <c r="E2084" s="1077" t="s">
        <v>15116</v>
      </c>
      <c r="F2084" s="1077" t="s">
        <v>1514</v>
      </c>
      <c r="G2084" s="1077">
        <v>2</v>
      </c>
      <c r="H2084" s="1077" t="s">
        <v>6541</v>
      </c>
      <c r="I2084" s="1077" t="s">
        <v>126</v>
      </c>
      <c r="J2084" s="1077">
        <v>1.7</v>
      </c>
      <c r="K2084" s="1077" t="s">
        <v>6542</v>
      </c>
      <c r="L2084" s="1077" t="s">
        <v>6543</v>
      </c>
      <c r="M2084" s="1077">
        <v>155</v>
      </c>
      <c r="N2084" s="1077" t="s">
        <v>945</v>
      </c>
      <c r="O2084" s="1077">
        <v>3.875</v>
      </c>
      <c r="P2084" s="1077">
        <v>3.1</v>
      </c>
      <c r="Q2084" s="1077">
        <v>3.5</v>
      </c>
      <c r="R2084" s="1077">
        <v>24</v>
      </c>
      <c r="T2084" s="1077">
        <v>26</v>
      </c>
      <c r="U2084" s="1077">
        <v>3.1</v>
      </c>
      <c r="V2084" s="1077" t="s">
        <v>648</v>
      </c>
      <c r="W2084" s="1077">
        <v>90</v>
      </c>
      <c r="X2084" s="1077">
        <v>10</v>
      </c>
      <c r="Y2084" s="1077">
        <v>1.52</v>
      </c>
      <c r="Z2084" s="1077" t="s">
        <v>648</v>
      </c>
      <c r="AA2084" s="1077" t="s">
        <v>1868</v>
      </c>
      <c r="AH2084" s="1077" t="s">
        <v>6606</v>
      </c>
      <c r="AI2084" s="1077">
        <v>18.579999999999998</v>
      </c>
      <c r="AJ2084" s="1077">
        <v>3.02</v>
      </c>
      <c r="AK2084" s="1077">
        <v>-15.83</v>
      </c>
      <c r="AM2084" s="1078" t="s">
        <v>13166</v>
      </c>
      <c r="AN2084" s="1078" t="s">
        <v>13167</v>
      </c>
      <c r="AO2084" s="1078">
        <f t="shared" si="262"/>
        <v>650</v>
      </c>
      <c r="AP2084" s="1078">
        <f t="shared" si="263"/>
        <v>1.7390000000000001</v>
      </c>
      <c r="AQ2084" s="1078" t="str">
        <f t="shared" si="264"/>
        <v>1-5-1S83°Z+S</v>
      </c>
      <c r="AR2084" s="1078" t="str">
        <f t="shared" si="265"/>
        <v>32</v>
      </c>
      <c r="AS2084" s="1078" t="str">
        <f t="shared" si="266"/>
        <v>265/265/155</v>
      </c>
      <c r="AT2084" s="1078" t="str">
        <f t="shared" si="267"/>
        <v>1-5-1S83°Z+S</v>
      </c>
      <c r="AU2084" s="1078" t="s">
        <v>15547</v>
      </c>
      <c r="AV2084" s="1078" t="str">
        <f t="shared" si="260"/>
        <v>113.5.13</v>
      </c>
      <c r="AW2084" s="1344">
        <f t="shared" si="261"/>
        <v>45425</v>
      </c>
    </row>
    <row r="2085" spans="1:49">
      <c r="A2085" s="1077" t="s">
        <v>6607</v>
      </c>
      <c r="B2085" s="1077" t="s">
        <v>6041</v>
      </c>
      <c r="C2085" s="1077">
        <v>550</v>
      </c>
      <c r="D2085" s="1077">
        <v>1.78</v>
      </c>
      <c r="E2085" s="1077" t="s">
        <v>15090</v>
      </c>
      <c r="F2085" s="1077" t="s">
        <v>648</v>
      </c>
      <c r="G2085" s="1077">
        <v>5</v>
      </c>
      <c r="H2085" s="1077" t="s">
        <v>6608</v>
      </c>
      <c r="I2085" s="1077" t="s">
        <v>126</v>
      </c>
      <c r="J2085" s="1077">
        <v>1.7</v>
      </c>
      <c r="K2085" s="1077" t="s">
        <v>6609</v>
      </c>
      <c r="L2085" s="1077" t="s">
        <v>6043</v>
      </c>
      <c r="M2085" s="1077">
        <v>153</v>
      </c>
      <c r="N2085" s="1077" t="s">
        <v>945</v>
      </c>
      <c r="O2085" s="1077">
        <v>3.8250000000000002</v>
      </c>
      <c r="P2085" s="1077">
        <v>3.06</v>
      </c>
      <c r="Q2085" s="1077">
        <v>4</v>
      </c>
      <c r="R2085" s="1077">
        <v>21</v>
      </c>
      <c r="T2085" s="1077">
        <v>18</v>
      </c>
      <c r="U2085" s="1077">
        <v>3</v>
      </c>
      <c r="V2085" s="1077" t="s">
        <v>648</v>
      </c>
      <c r="W2085" s="1077">
        <v>130</v>
      </c>
      <c r="X2085" s="1077">
        <v>70</v>
      </c>
      <c r="Y2085" s="1077">
        <v>1.5</v>
      </c>
      <c r="Z2085" s="1077">
        <v>4.5</v>
      </c>
      <c r="AA2085" s="1077" t="s">
        <v>1972</v>
      </c>
      <c r="AH2085" s="1077" t="s">
        <v>782</v>
      </c>
      <c r="AI2085" s="1077">
        <v>93.79</v>
      </c>
      <c r="AJ2085" s="1077">
        <v>-0.6</v>
      </c>
      <c r="AK2085" s="1077">
        <v>0.96</v>
      </c>
      <c r="AM2085" s="1078" t="s">
        <v>13168</v>
      </c>
      <c r="AN2085" s="1078" t="s">
        <v>13169</v>
      </c>
      <c r="AO2085" s="1078">
        <f t="shared" si="262"/>
        <v>550</v>
      </c>
      <c r="AP2085" s="1078">
        <f t="shared" si="263"/>
        <v>1.78</v>
      </c>
      <c r="AQ2085" s="1078" t="str">
        <f t="shared" si="264"/>
        <v>1-5-1S85°</v>
      </c>
      <c r="AR2085" s="1078" t="str">
        <f t="shared" si="265"/>
        <v>NA</v>
      </c>
      <c r="AS2085" s="1078" t="str">
        <f t="shared" si="266"/>
        <v>170/150</v>
      </c>
      <c r="AT2085" s="1078" t="str">
        <f t="shared" si="267"/>
        <v>1-5-1S85°</v>
      </c>
      <c r="AV2085" s="1078" t="str">
        <f t="shared" si="260"/>
        <v>113.7.8</v>
      </c>
      <c r="AW2085" s="1344">
        <f t="shared" si="261"/>
        <v>45481</v>
      </c>
    </row>
    <row r="2086" spans="1:49">
      <c r="A2086" s="1077" t="s">
        <v>6610</v>
      </c>
      <c r="B2086" s="1077" t="s">
        <v>617</v>
      </c>
      <c r="C2086" s="1077">
        <v>550</v>
      </c>
      <c r="D2086" s="1077">
        <v>1.76</v>
      </c>
      <c r="E2086" s="1077" t="s">
        <v>15090</v>
      </c>
      <c r="F2086" s="1077" t="s">
        <v>648</v>
      </c>
      <c r="G2086" s="1077">
        <v>5</v>
      </c>
      <c r="H2086" s="1077" t="s">
        <v>2833</v>
      </c>
      <c r="I2086" s="1077" t="s">
        <v>126</v>
      </c>
      <c r="J2086" s="1077">
        <v>2.4</v>
      </c>
      <c r="K2086" s="1077" t="s">
        <v>6611</v>
      </c>
      <c r="L2086" s="1077" t="s">
        <v>4854</v>
      </c>
      <c r="M2086" s="1077">
        <v>150.30000000000001</v>
      </c>
      <c r="N2086" s="1077" t="s">
        <v>945</v>
      </c>
      <c r="O2086" s="1077">
        <v>3.7575000000000003</v>
      </c>
      <c r="P2086" s="1077">
        <v>3.0060000000000002</v>
      </c>
      <c r="Q2086" s="1077">
        <v>3</v>
      </c>
      <c r="R2086" s="1077" t="s">
        <v>6612</v>
      </c>
      <c r="T2086" s="1077">
        <v>13</v>
      </c>
      <c r="U2086" s="1077">
        <v>7</v>
      </c>
      <c r="V2086" s="1077" t="s">
        <v>648</v>
      </c>
      <c r="W2086" s="1077">
        <v>115</v>
      </c>
      <c r="X2086" s="1077">
        <v>50</v>
      </c>
      <c r="Y2086" s="1077">
        <v>1.7</v>
      </c>
      <c r="Z2086" s="1077">
        <v>6.5</v>
      </c>
      <c r="AA2086" s="1077" t="s">
        <v>6613</v>
      </c>
      <c r="AH2086" s="1077" t="s">
        <v>868</v>
      </c>
      <c r="AI2086" s="1077">
        <v>92.19</v>
      </c>
      <c r="AJ2086" s="1077">
        <v>-1.0900000000000001</v>
      </c>
      <c r="AK2086" s="1077">
        <v>3.98</v>
      </c>
      <c r="AM2086" s="1078" t="s">
        <v>13170</v>
      </c>
      <c r="AN2086" s="1078" t="s">
        <v>13171</v>
      </c>
      <c r="AO2086" s="1078">
        <f t="shared" si="262"/>
        <v>550</v>
      </c>
      <c r="AP2086" s="1078">
        <f t="shared" si="263"/>
        <v>1.76</v>
      </c>
      <c r="AQ2086" s="1078" t="str">
        <f t="shared" si="264"/>
        <v>1-5-1S85°</v>
      </c>
      <c r="AR2086" s="1078" t="str">
        <f t="shared" si="265"/>
        <v>NA</v>
      </c>
      <c r="AS2086" s="1078" t="str">
        <f t="shared" si="266"/>
        <v>150/OFF</v>
      </c>
      <c r="AT2086" s="1078" t="str">
        <f t="shared" si="267"/>
        <v>1-5-1S85°</v>
      </c>
      <c r="AV2086" s="1078" t="str">
        <f t="shared" si="260"/>
        <v>113.7.12</v>
      </c>
      <c r="AW2086" s="1344">
        <f t="shared" si="261"/>
        <v>45485</v>
      </c>
    </row>
    <row r="2087" spans="1:49">
      <c r="A2087" s="1077" t="s">
        <v>6614</v>
      </c>
      <c r="B2087" s="1077" t="s">
        <v>210</v>
      </c>
      <c r="C2087" s="1077">
        <v>600</v>
      </c>
      <c r="D2087" s="1077">
        <v>1.75</v>
      </c>
      <c r="E2087" s="1077" t="s">
        <v>15102</v>
      </c>
      <c r="F2087" s="1077" t="s">
        <v>984</v>
      </c>
      <c r="G2087" s="1077">
        <v>5</v>
      </c>
      <c r="H2087" s="1077" t="s">
        <v>3482</v>
      </c>
      <c r="I2087" s="1077" t="s">
        <v>1112</v>
      </c>
      <c r="J2087" s="1077">
        <v>0.8</v>
      </c>
      <c r="K2087" s="1077" t="s">
        <v>6473</v>
      </c>
      <c r="L2087" s="1077" t="s">
        <v>6291</v>
      </c>
      <c r="M2087" s="1077">
        <v>151.5</v>
      </c>
      <c r="N2087" s="1077" t="s">
        <v>945</v>
      </c>
      <c r="O2087" s="1077">
        <v>3.7875000000000001</v>
      </c>
      <c r="P2087" s="1077">
        <v>3.0300000000000002</v>
      </c>
      <c r="Q2087" s="1077">
        <v>3.5</v>
      </c>
      <c r="R2087" s="1077">
        <v>19.100000000000001</v>
      </c>
      <c r="T2087" s="1077">
        <v>23.7</v>
      </c>
      <c r="U2087" s="1077">
        <v>3.2</v>
      </c>
      <c r="V2087" s="1077" t="s">
        <v>648</v>
      </c>
      <c r="W2087" s="1077">
        <v>35</v>
      </c>
      <c r="X2087" s="1077">
        <v>10</v>
      </c>
      <c r="Y2087" s="1077">
        <v>1</v>
      </c>
      <c r="Z2087" s="1077">
        <v>6</v>
      </c>
      <c r="AA2087" s="1077" t="s">
        <v>1714</v>
      </c>
      <c r="AH2087" s="1077" t="s">
        <v>783</v>
      </c>
      <c r="AI2087" s="1077">
        <v>91.36</v>
      </c>
      <c r="AJ2087" s="1077">
        <v>-0.2</v>
      </c>
      <c r="AK2087" s="1077">
        <v>1.26</v>
      </c>
      <c r="AM2087" s="1078" t="s">
        <v>13172</v>
      </c>
      <c r="AN2087" s="1078" t="s">
        <v>13173</v>
      </c>
      <c r="AO2087" s="1078">
        <f t="shared" si="262"/>
        <v>600</v>
      </c>
      <c r="AP2087" s="1078">
        <f t="shared" si="263"/>
        <v>1.75</v>
      </c>
      <c r="AQ2087" s="1078" t="str">
        <f t="shared" si="264"/>
        <v>2-6-1S83°</v>
      </c>
      <c r="AR2087" s="1078" t="str">
        <f t="shared" si="265"/>
        <v>30</v>
      </c>
      <c r="AS2087" s="1078" t="str">
        <f t="shared" si="266"/>
        <v>170/160</v>
      </c>
      <c r="AT2087" s="1078" t="str">
        <f t="shared" si="267"/>
        <v>2-6-1S83°</v>
      </c>
      <c r="AV2087" s="1078" t="str">
        <f t="shared" si="260"/>
        <v>113.7.15</v>
      </c>
      <c r="AW2087" s="1344">
        <f t="shared" si="261"/>
        <v>45488</v>
      </c>
    </row>
    <row r="2088" spans="1:49">
      <c r="A2088" s="1077" t="s">
        <v>6615</v>
      </c>
      <c r="B2088" s="1077" t="s">
        <v>844</v>
      </c>
      <c r="C2088" s="1077">
        <v>600</v>
      </c>
      <c r="D2088" s="1077">
        <v>1.79</v>
      </c>
      <c r="E2088" s="1077" t="s">
        <v>15094</v>
      </c>
      <c r="F2088" s="1077" t="s">
        <v>954</v>
      </c>
      <c r="G2088" s="1077">
        <v>5</v>
      </c>
      <c r="H2088" s="1077" t="s">
        <v>5126</v>
      </c>
      <c r="I2088" s="1077" t="s">
        <v>460</v>
      </c>
      <c r="J2088" s="1077">
        <v>3.9</v>
      </c>
      <c r="K2088" s="1077" t="s">
        <v>6616</v>
      </c>
      <c r="L2088" s="1077" t="s">
        <v>6238</v>
      </c>
      <c r="M2088" s="1077">
        <v>151.69999999999999</v>
      </c>
      <c r="N2088" s="1077" t="s">
        <v>945</v>
      </c>
      <c r="O2088" s="1077">
        <v>3.7925</v>
      </c>
      <c r="P2088" s="1077">
        <v>3.0339999999999998</v>
      </c>
      <c r="Q2088" s="1077">
        <v>3</v>
      </c>
      <c r="R2088" s="1077">
        <v>19.7</v>
      </c>
      <c r="T2088" s="1077">
        <v>11.5</v>
      </c>
      <c r="U2088" s="1077">
        <v>5.3</v>
      </c>
      <c r="V2088" s="1077" t="s">
        <v>648</v>
      </c>
      <c r="W2088" s="1077">
        <v>105</v>
      </c>
      <c r="X2088" s="1077">
        <v>95</v>
      </c>
      <c r="Y2088" s="1077">
        <v>1.5</v>
      </c>
      <c r="Z2088" s="1077">
        <v>5</v>
      </c>
      <c r="AA2088" s="1077" t="s">
        <v>1969</v>
      </c>
      <c r="AB2088" s="1077" t="s">
        <v>6617</v>
      </c>
      <c r="AH2088" s="1077" t="s">
        <v>877</v>
      </c>
      <c r="AI2088" s="1077">
        <v>90.16</v>
      </c>
      <c r="AJ2088" s="1077">
        <v>-1.37</v>
      </c>
      <c r="AK2088" s="1077">
        <v>5.72</v>
      </c>
      <c r="AM2088" s="1078" t="s">
        <v>13174</v>
      </c>
      <c r="AN2088" s="1078" t="s">
        <v>13175</v>
      </c>
      <c r="AO2088" s="1078">
        <f t="shared" si="262"/>
        <v>600</v>
      </c>
      <c r="AP2088" s="1078">
        <f t="shared" si="263"/>
        <v>1.79</v>
      </c>
      <c r="AQ2088" s="1078" t="str">
        <f t="shared" si="264"/>
        <v>1-5-1S91°</v>
      </c>
      <c r="AR2088" s="1078" t="str">
        <f t="shared" si="265"/>
        <v>31</v>
      </c>
      <c r="AS2088" s="1078" t="str">
        <f t="shared" si="266"/>
        <v>300/300/140</v>
      </c>
      <c r="AT2088" s="1078" t="str">
        <f t="shared" si="267"/>
        <v>1-5-1S91°</v>
      </c>
      <c r="AV2088" s="1078" t="str">
        <f t="shared" si="260"/>
        <v>113.7.3</v>
      </c>
      <c r="AW2088" s="1344">
        <f t="shared" si="261"/>
        <v>45476</v>
      </c>
    </row>
    <row r="2089" spans="1:49">
      <c r="A2089" s="1077" t="s">
        <v>6618</v>
      </c>
      <c r="B2089" s="1077" t="s">
        <v>6151</v>
      </c>
      <c r="C2089" s="1077">
        <v>550</v>
      </c>
      <c r="D2089" s="1077">
        <v>1.78</v>
      </c>
      <c r="E2089" s="1077" t="s">
        <v>15090</v>
      </c>
      <c r="F2089" s="1077" t="s">
        <v>648</v>
      </c>
      <c r="G2089" s="1077">
        <v>5</v>
      </c>
      <c r="H2089" s="1077" t="s">
        <v>6619</v>
      </c>
      <c r="I2089" s="1077" t="s">
        <v>460</v>
      </c>
      <c r="J2089" s="1077">
        <v>3.7</v>
      </c>
      <c r="K2089" s="1077" t="s">
        <v>6620</v>
      </c>
      <c r="L2089" s="1077" t="s">
        <v>6153</v>
      </c>
      <c r="M2089" s="1077">
        <v>151.69999999999999</v>
      </c>
      <c r="N2089" s="1077" t="s">
        <v>945</v>
      </c>
      <c r="O2089" s="1077">
        <v>3.7925</v>
      </c>
      <c r="P2089" s="1077">
        <v>3.0339999999999998</v>
      </c>
      <c r="Q2089" s="1077">
        <v>3</v>
      </c>
      <c r="R2089" s="1077">
        <v>19.7</v>
      </c>
      <c r="T2089" s="1077">
        <v>11.5</v>
      </c>
      <c r="U2089" s="1077">
        <v>5.3</v>
      </c>
      <c r="V2089" s="1077" t="s">
        <v>648</v>
      </c>
      <c r="W2089" s="1077">
        <v>105</v>
      </c>
      <c r="X2089" s="1077">
        <v>95</v>
      </c>
      <c r="Y2089" s="1077">
        <v>1.5</v>
      </c>
      <c r="Z2089" s="1077">
        <v>5</v>
      </c>
      <c r="AA2089" s="1077" t="s">
        <v>6621</v>
      </c>
      <c r="AB2089" s="1077" t="s">
        <v>6622</v>
      </c>
      <c r="AH2089" s="1077" t="s">
        <v>726</v>
      </c>
      <c r="AI2089" s="1077">
        <v>90.57</v>
      </c>
      <c r="AJ2089" s="1077">
        <v>-1</v>
      </c>
      <c r="AK2089" s="1077">
        <v>5.3</v>
      </c>
      <c r="AM2089" s="1078" t="s">
        <v>13176</v>
      </c>
      <c r="AN2089" s="1078" t="s">
        <v>13177</v>
      </c>
      <c r="AO2089" s="1078">
        <f t="shared" si="262"/>
        <v>550</v>
      </c>
      <c r="AP2089" s="1078">
        <f t="shared" si="263"/>
        <v>1.78</v>
      </c>
      <c r="AQ2089" s="1078" t="str">
        <f t="shared" si="264"/>
        <v>1-5-1S85°</v>
      </c>
      <c r="AR2089" s="1078" t="str">
        <f t="shared" si="265"/>
        <v>NA</v>
      </c>
      <c r="AS2089" s="1078" t="str">
        <f t="shared" si="266"/>
        <v>178/150</v>
      </c>
      <c r="AT2089" s="1078" t="str">
        <f t="shared" si="267"/>
        <v>1-5-1S85°</v>
      </c>
      <c r="AV2089" s="1078" t="str">
        <f t="shared" si="260"/>
        <v>112.7.26</v>
      </c>
      <c r="AW2089" s="1344">
        <f t="shared" si="261"/>
        <v>45133</v>
      </c>
    </row>
    <row r="2090" spans="1:49">
      <c r="A2090" s="1077" t="s">
        <v>6623</v>
      </c>
      <c r="B2090" s="1077" t="s">
        <v>4767</v>
      </c>
      <c r="C2090" s="1077">
        <v>650</v>
      </c>
      <c r="D2090" s="1077">
        <v>1.73</v>
      </c>
      <c r="E2090" s="1077" t="s">
        <v>15121</v>
      </c>
      <c r="F2090" s="1077" t="s">
        <v>648</v>
      </c>
      <c r="G2090" s="1077">
        <v>5</v>
      </c>
      <c r="H2090" s="1077" t="s">
        <v>2192</v>
      </c>
      <c r="I2090" s="1077" t="s">
        <v>126</v>
      </c>
      <c r="J2090" s="1077">
        <v>1.5</v>
      </c>
      <c r="K2090" s="1077" t="s">
        <v>6624</v>
      </c>
      <c r="L2090" s="1077" t="s">
        <v>6319</v>
      </c>
      <c r="M2090" s="1077">
        <v>158</v>
      </c>
      <c r="N2090" s="1077" t="s">
        <v>945</v>
      </c>
      <c r="O2090" s="1077">
        <v>3.95</v>
      </c>
      <c r="P2090" s="1077">
        <v>3.16</v>
      </c>
      <c r="Q2090" s="1077">
        <v>4</v>
      </c>
      <c r="R2090" s="1077">
        <v>20.8</v>
      </c>
      <c r="T2090" s="1077">
        <v>20.399999999999999</v>
      </c>
      <c r="U2090" s="1077">
        <v>3.8</v>
      </c>
      <c r="V2090" s="1077" t="s">
        <v>648</v>
      </c>
      <c r="W2090" s="1077">
        <v>110</v>
      </c>
      <c r="X2090" s="1077">
        <v>60</v>
      </c>
      <c r="Y2090" s="1077">
        <v>1.7</v>
      </c>
      <c r="Z2090" s="1077" t="s">
        <v>648</v>
      </c>
      <c r="AA2090" s="1077" t="s">
        <v>6625</v>
      </c>
      <c r="AH2090" s="1077" t="s">
        <v>1170</v>
      </c>
      <c r="AI2090" s="1077">
        <v>93.09</v>
      </c>
      <c r="AJ2090" s="1077">
        <v>-0.3</v>
      </c>
      <c r="AK2090" s="1077">
        <v>1.1200000000000001</v>
      </c>
      <c r="AM2090" s="1078" t="s">
        <v>13178</v>
      </c>
      <c r="AN2090" s="1078" t="s">
        <v>13179</v>
      </c>
      <c r="AO2090" s="1078">
        <f t="shared" si="262"/>
        <v>650</v>
      </c>
      <c r="AP2090" s="1078">
        <f t="shared" si="263"/>
        <v>1.73</v>
      </c>
      <c r="AQ2090" s="1078" t="str">
        <f t="shared" si="264"/>
        <v>1-5-1S85°S+Z</v>
      </c>
      <c r="AR2090" s="1078" t="str">
        <f t="shared" si="265"/>
        <v>NA</v>
      </c>
      <c r="AS2090" s="1078" t="str">
        <f t="shared" si="266"/>
        <v>180/OFF</v>
      </c>
      <c r="AT2090" s="1078" t="str">
        <f t="shared" si="267"/>
        <v>1-5-1S85°S+Z</v>
      </c>
      <c r="AU2090" s="1078" t="s">
        <v>15550</v>
      </c>
      <c r="AV2090" s="1078" t="str">
        <f t="shared" si="260"/>
        <v>113.8.6</v>
      </c>
      <c r="AW2090" s="1344">
        <f t="shared" si="261"/>
        <v>45510</v>
      </c>
    </row>
    <row r="2091" spans="1:49">
      <c r="A2091" s="1077" t="s">
        <v>6626</v>
      </c>
      <c r="B2091" s="1077" t="s">
        <v>210</v>
      </c>
      <c r="C2091" s="1077">
        <v>650</v>
      </c>
      <c r="D2091" s="1077">
        <v>1.7549999999999999</v>
      </c>
      <c r="E2091" s="1077" t="s">
        <v>15094</v>
      </c>
      <c r="F2091" s="1077" t="s">
        <v>4013</v>
      </c>
      <c r="G2091" s="1077">
        <v>5</v>
      </c>
      <c r="H2091" s="1077" t="s">
        <v>6126</v>
      </c>
      <c r="I2091" s="1077" t="s">
        <v>126</v>
      </c>
      <c r="J2091" s="1077">
        <v>1.7</v>
      </c>
      <c r="K2091" s="1077" t="s">
        <v>6627</v>
      </c>
      <c r="L2091" s="1077" t="s">
        <v>4666</v>
      </c>
      <c r="M2091" s="1077">
        <v>152.19999999999999</v>
      </c>
      <c r="N2091" s="1077" t="s">
        <v>945</v>
      </c>
      <c r="O2091" s="1077">
        <v>3.8049999999999997</v>
      </c>
      <c r="P2091" s="1077">
        <v>3.044</v>
      </c>
      <c r="Q2091" s="1077">
        <v>4</v>
      </c>
      <c r="R2091" s="1077">
        <v>19</v>
      </c>
      <c r="T2091" s="1077">
        <v>16</v>
      </c>
      <c r="U2091" s="1077">
        <v>4</v>
      </c>
      <c r="V2091" s="1077" t="s">
        <v>648</v>
      </c>
      <c r="W2091" s="1077">
        <v>95</v>
      </c>
      <c r="X2091" s="1077">
        <v>20</v>
      </c>
      <c r="Y2091" s="1077">
        <v>1.5</v>
      </c>
      <c r="Z2091" s="1077">
        <v>5</v>
      </c>
      <c r="AA2091" s="1077" t="s">
        <v>6628</v>
      </c>
      <c r="AH2091" s="1077" t="s">
        <v>684</v>
      </c>
      <c r="AI2091" s="1077">
        <v>92.72</v>
      </c>
      <c r="AJ2091" s="1077">
        <v>-0.47</v>
      </c>
      <c r="AK2091" s="1077">
        <v>1.38</v>
      </c>
      <c r="AM2091" s="1078" t="s">
        <v>13180</v>
      </c>
      <c r="AN2091" s="1078" t="s">
        <v>13181</v>
      </c>
      <c r="AO2091" s="1078">
        <f t="shared" si="262"/>
        <v>650</v>
      </c>
      <c r="AP2091" s="1078">
        <f t="shared" si="263"/>
        <v>1.7549999999999999</v>
      </c>
      <c r="AQ2091" s="1078" t="str">
        <f t="shared" si="264"/>
        <v>1-5-1S91°</v>
      </c>
      <c r="AR2091" s="1078" t="str">
        <f t="shared" si="265"/>
        <v>30.3</v>
      </c>
      <c r="AS2091" s="1078" t="str">
        <f t="shared" si="266"/>
        <v>310/270/158</v>
      </c>
      <c r="AT2091" s="1078" t="str">
        <f t="shared" si="267"/>
        <v>1-5-1S91°</v>
      </c>
      <c r="AV2091" s="1078" t="str">
        <f t="shared" si="260"/>
        <v>113.8.5</v>
      </c>
      <c r="AW2091" s="1344">
        <f t="shared" si="261"/>
        <v>45509</v>
      </c>
    </row>
    <row r="2092" spans="1:49">
      <c r="A2092" s="1077" t="s">
        <v>6629</v>
      </c>
      <c r="B2092" s="1077" t="s">
        <v>6630</v>
      </c>
      <c r="C2092" s="1077">
        <v>500</v>
      </c>
      <c r="D2092" s="1077">
        <v>1.655</v>
      </c>
      <c r="E2092" s="1077" t="s">
        <v>15108</v>
      </c>
      <c r="F2092" s="1077" t="s">
        <v>984</v>
      </c>
      <c r="G2092" s="1077">
        <v>5</v>
      </c>
      <c r="H2092" s="1077" t="s">
        <v>1649</v>
      </c>
      <c r="I2092" s="1077" t="s">
        <v>126</v>
      </c>
      <c r="J2092" s="1077">
        <v>2</v>
      </c>
      <c r="K2092" s="1077" t="s">
        <v>6631</v>
      </c>
      <c r="L2092" s="1077" t="s">
        <v>1976</v>
      </c>
      <c r="M2092" s="1077">
        <v>155</v>
      </c>
      <c r="N2092" s="1077" t="s">
        <v>945</v>
      </c>
      <c r="O2092" s="1077">
        <v>3.875</v>
      </c>
      <c r="P2092" s="1077">
        <v>3.1</v>
      </c>
      <c r="Q2092" s="1077">
        <v>4</v>
      </c>
      <c r="R2092" s="1077">
        <v>22</v>
      </c>
      <c r="T2092" s="1077">
        <v>18</v>
      </c>
      <c r="U2092" s="1077">
        <v>3.8</v>
      </c>
      <c r="V2092" s="1077" t="s">
        <v>648</v>
      </c>
      <c r="W2092" s="1077">
        <v>135</v>
      </c>
      <c r="X2092" s="1077">
        <v>80</v>
      </c>
      <c r="Y2092" s="1077">
        <v>1.2</v>
      </c>
      <c r="Z2092" s="1077" t="s">
        <v>648</v>
      </c>
      <c r="AA2092" s="1077" t="s">
        <v>6625</v>
      </c>
      <c r="AH2092" s="1077" t="s">
        <v>994</v>
      </c>
      <c r="AI2092" s="1077">
        <v>94.47</v>
      </c>
      <c r="AJ2092" s="1077">
        <v>-0.68</v>
      </c>
      <c r="AK2092" s="1077">
        <v>3.58</v>
      </c>
      <c r="AM2092" s="1078" t="s">
        <v>13182</v>
      </c>
      <c r="AN2092" s="1078" t="s">
        <v>13183</v>
      </c>
      <c r="AO2092" s="1078">
        <f t="shared" si="262"/>
        <v>500</v>
      </c>
      <c r="AP2092" s="1078">
        <f t="shared" si="263"/>
        <v>1.655</v>
      </c>
      <c r="AQ2092" s="1078" t="str">
        <f t="shared" si="264"/>
        <v>1-4-1S83°Z+S</v>
      </c>
      <c r="AR2092" s="1078" t="str">
        <f t="shared" si="265"/>
        <v>30</v>
      </c>
      <c r="AS2092" s="1078" t="str">
        <f t="shared" si="266"/>
        <v>225/225/OFF</v>
      </c>
      <c r="AT2092" s="1078" t="str">
        <f t="shared" si="267"/>
        <v>1-4-1S83°Z+S</v>
      </c>
      <c r="AU2092" s="1078" t="s">
        <v>15547</v>
      </c>
      <c r="AV2092" s="1078" t="str">
        <f t="shared" si="260"/>
        <v>113.8.6</v>
      </c>
      <c r="AW2092" s="1344">
        <f t="shared" si="261"/>
        <v>45510</v>
      </c>
    </row>
    <row r="2093" spans="1:49">
      <c r="A2093" s="1077" t="s">
        <v>6632</v>
      </c>
      <c r="B2093" s="1077" t="s">
        <v>210</v>
      </c>
      <c r="C2093" s="1077">
        <v>650</v>
      </c>
      <c r="D2093" s="1077">
        <v>1.75</v>
      </c>
      <c r="E2093" s="1077" t="s">
        <v>15094</v>
      </c>
      <c r="F2093" s="1077" t="s">
        <v>984</v>
      </c>
      <c r="G2093" s="1077">
        <v>5</v>
      </c>
      <c r="H2093" s="1077" t="s">
        <v>5483</v>
      </c>
      <c r="I2093" s="1077" t="s">
        <v>126</v>
      </c>
      <c r="J2093" s="1077">
        <v>0.7</v>
      </c>
      <c r="K2093" s="1077" t="s">
        <v>6525</v>
      </c>
      <c r="L2093" s="1077" t="s">
        <v>6291</v>
      </c>
      <c r="M2093" s="1077">
        <v>151.5</v>
      </c>
      <c r="N2093" s="1077" t="s">
        <v>945</v>
      </c>
      <c r="O2093" s="1077">
        <v>3.7875000000000001</v>
      </c>
      <c r="P2093" s="1077">
        <v>3.0300000000000002</v>
      </c>
      <c r="Q2093" s="1077">
        <v>4</v>
      </c>
      <c r="R2093" s="1077">
        <v>19.100000000000001</v>
      </c>
      <c r="T2093" s="1077">
        <v>23.7</v>
      </c>
      <c r="U2093" s="1077">
        <v>3.2</v>
      </c>
      <c r="V2093" s="1077" t="s">
        <v>648</v>
      </c>
      <c r="W2093" s="1077">
        <v>35</v>
      </c>
      <c r="X2093" s="1077">
        <v>10</v>
      </c>
      <c r="Y2093" s="1077">
        <v>1</v>
      </c>
      <c r="Z2093" s="1077">
        <v>6</v>
      </c>
      <c r="AA2093" s="1077" t="s">
        <v>6633</v>
      </c>
      <c r="AH2093" s="1077" t="s">
        <v>1482</v>
      </c>
      <c r="AI2093" s="1077">
        <v>91.54</v>
      </c>
      <c r="AJ2093" s="1077">
        <v>-0.27</v>
      </c>
      <c r="AK2093" s="1077">
        <v>1.17</v>
      </c>
      <c r="AM2093" s="1078" t="s">
        <v>13184</v>
      </c>
      <c r="AN2093" s="1078" t="s">
        <v>13185</v>
      </c>
      <c r="AO2093" s="1078">
        <f t="shared" si="262"/>
        <v>650</v>
      </c>
      <c r="AP2093" s="1078">
        <f t="shared" si="263"/>
        <v>1.75</v>
      </c>
      <c r="AQ2093" s="1078" t="str">
        <f t="shared" si="264"/>
        <v>1-5-1S91°</v>
      </c>
      <c r="AR2093" s="1078" t="str">
        <f t="shared" si="265"/>
        <v>30</v>
      </c>
      <c r="AS2093" s="1078" t="str">
        <f t="shared" si="266"/>
        <v>350/310/150</v>
      </c>
      <c r="AT2093" s="1078" t="str">
        <f t="shared" si="267"/>
        <v>1-5-1S91°</v>
      </c>
      <c r="AV2093" s="1078" t="str">
        <f t="shared" si="260"/>
        <v>113.8.9</v>
      </c>
      <c r="AW2093" s="1344">
        <f t="shared" si="261"/>
        <v>45513</v>
      </c>
    </row>
    <row r="2094" spans="1:49">
      <c r="A2094" s="1077" t="s">
        <v>6634</v>
      </c>
      <c r="B2094" s="1077" t="s">
        <v>210</v>
      </c>
      <c r="C2094" s="1077">
        <v>600</v>
      </c>
      <c r="D2094" s="1077">
        <v>1.72</v>
      </c>
      <c r="E2094" s="1077" t="s">
        <v>15102</v>
      </c>
      <c r="F2094" s="1077" t="s">
        <v>1454</v>
      </c>
      <c r="G2094" s="1077">
        <v>5</v>
      </c>
      <c r="H2094" s="1077" t="s">
        <v>3482</v>
      </c>
      <c r="I2094" s="1077" t="s">
        <v>1112</v>
      </c>
      <c r="J2094" s="1077">
        <v>0.8</v>
      </c>
      <c r="K2094" s="1077" t="s">
        <v>5987</v>
      </c>
      <c r="L2094" s="1077" t="s">
        <v>5152</v>
      </c>
      <c r="M2094" s="1077">
        <v>151.5</v>
      </c>
      <c r="N2094" s="1077" t="s">
        <v>945</v>
      </c>
      <c r="O2094" s="1077">
        <v>3.7875000000000001</v>
      </c>
      <c r="P2094" s="1077">
        <v>3.0300000000000002</v>
      </c>
      <c r="Q2094" s="1077">
        <v>3.5</v>
      </c>
      <c r="R2094" s="1077" t="s">
        <v>6635</v>
      </c>
      <c r="T2094" s="1077">
        <v>23.7</v>
      </c>
      <c r="U2094" s="1077">
        <v>3.2</v>
      </c>
      <c r="V2094" s="1077" t="s">
        <v>648</v>
      </c>
      <c r="W2094" s="1077">
        <v>35</v>
      </c>
      <c r="X2094" s="1077">
        <v>10</v>
      </c>
      <c r="Y2094" s="1077">
        <v>1</v>
      </c>
      <c r="Z2094" s="1077">
        <v>6</v>
      </c>
      <c r="AA2094" s="1077" t="s">
        <v>2049</v>
      </c>
      <c r="AH2094" s="1077" t="s">
        <v>726</v>
      </c>
      <c r="AI2094" s="1077">
        <v>91.59</v>
      </c>
      <c r="AJ2094" s="1077">
        <v>-0.52</v>
      </c>
      <c r="AK2094" s="1077">
        <v>5.46</v>
      </c>
      <c r="AM2094" s="1078" t="s">
        <v>13186</v>
      </c>
      <c r="AN2094" s="1078" t="s">
        <v>13187</v>
      </c>
      <c r="AO2094" s="1078">
        <f t="shared" si="262"/>
        <v>600</v>
      </c>
      <c r="AP2094" s="1078">
        <f t="shared" si="263"/>
        <v>1.72</v>
      </c>
      <c r="AQ2094" s="1078" t="str">
        <f t="shared" si="264"/>
        <v>2-6-1S83°</v>
      </c>
      <c r="AR2094" s="1078" t="str">
        <f t="shared" si="265"/>
        <v>32.2</v>
      </c>
      <c r="AS2094" s="1078" t="str">
        <f t="shared" si="266"/>
        <v>170/160</v>
      </c>
      <c r="AT2094" s="1078" t="str">
        <f t="shared" si="267"/>
        <v>2-6-1S83°</v>
      </c>
      <c r="AV2094" s="1078" t="str">
        <f t="shared" si="260"/>
        <v>113.8.12</v>
      </c>
      <c r="AW2094" s="1344">
        <f t="shared" si="261"/>
        <v>45516</v>
      </c>
    </row>
    <row r="2095" spans="1:49">
      <c r="A2095" s="1077" t="s">
        <v>6636</v>
      </c>
      <c r="B2095" s="1077" t="s">
        <v>210</v>
      </c>
      <c r="C2095" s="1077">
        <v>600</v>
      </c>
      <c r="D2095" s="1077">
        <v>1.6919999999999999</v>
      </c>
      <c r="E2095" s="1077" t="s">
        <v>15102</v>
      </c>
      <c r="F2095" s="1077" t="s">
        <v>975</v>
      </c>
      <c r="G2095" s="1077">
        <v>5</v>
      </c>
      <c r="H2095" s="1077" t="s">
        <v>3482</v>
      </c>
      <c r="I2095" s="1077" t="s">
        <v>1112</v>
      </c>
      <c r="J2095" s="1077">
        <v>0.8</v>
      </c>
      <c r="K2095" s="1077" t="s">
        <v>6637</v>
      </c>
      <c r="L2095" s="1077" t="s">
        <v>6638</v>
      </c>
      <c r="M2095" s="1077">
        <v>151.5</v>
      </c>
      <c r="N2095" s="1077" t="s">
        <v>945</v>
      </c>
      <c r="O2095" s="1077">
        <v>3.7875000000000001</v>
      </c>
      <c r="P2095" s="1077">
        <v>3.0300000000000002</v>
      </c>
      <c r="Q2095" s="1077">
        <v>3.5</v>
      </c>
      <c r="R2095" s="1077" t="s">
        <v>6639</v>
      </c>
      <c r="T2095" s="1077">
        <v>23.7</v>
      </c>
      <c r="U2095" s="1077">
        <v>3.2</v>
      </c>
      <c r="V2095" s="1077" t="s">
        <v>648</v>
      </c>
      <c r="W2095" s="1077">
        <v>35</v>
      </c>
      <c r="X2095" s="1077">
        <v>10</v>
      </c>
      <c r="Y2095" s="1077">
        <v>1</v>
      </c>
      <c r="Z2095" s="1077">
        <v>6</v>
      </c>
      <c r="AA2095" s="1077" t="s">
        <v>1721</v>
      </c>
      <c r="AH2095" s="1077" t="s">
        <v>785</v>
      </c>
      <c r="AI2095" s="1077">
        <v>93.97</v>
      </c>
      <c r="AJ2095" s="1077">
        <v>-0.39</v>
      </c>
      <c r="AK2095" s="1077">
        <v>0.82</v>
      </c>
      <c r="AM2095" s="1078" t="s">
        <v>13188</v>
      </c>
      <c r="AN2095" s="1078" t="s">
        <v>13187</v>
      </c>
      <c r="AO2095" s="1078">
        <f t="shared" si="262"/>
        <v>600</v>
      </c>
      <c r="AP2095" s="1078">
        <f t="shared" si="263"/>
        <v>1.6919999999999999</v>
      </c>
      <c r="AQ2095" s="1078" t="str">
        <f t="shared" si="264"/>
        <v>2-6-1S83°</v>
      </c>
      <c r="AR2095" s="1078" t="str">
        <f t="shared" si="265"/>
        <v>31.5</v>
      </c>
      <c r="AS2095" s="1078" t="str">
        <f t="shared" si="266"/>
        <v>170/160</v>
      </c>
      <c r="AT2095" s="1078" t="str">
        <f t="shared" si="267"/>
        <v>2-6-1S83°</v>
      </c>
      <c r="AV2095" s="1078" t="str">
        <f t="shared" si="260"/>
        <v>113.8.19</v>
      </c>
      <c r="AW2095" s="1344">
        <f t="shared" si="261"/>
        <v>45523</v>
      </c>
    </row>
    <row r="2096" spans="1:49">
      <c r="A2096" s="1077" t="s">
        <v>6640</v>
      </c>
      <c r="B2096" s="1077" t="s">
        <v>416</v>
      </c>
      <c r="C2096" s="1077">
        <v>650</v>
      </c>
      <c r="D2096" s="1077">
        <v>1.7549999999999999</v>
      </c>
      <c r="E2096" s="1077" t="s">
        <v>15094</v>
      </c>
      <c r="F2096" s="1077" t="s">
        <v>984</v>
      </c>
      <c r="G2096" s="1077">
        <v>5</v>
      </c>
      <c r="H2096" s="1077" t="s">
        <v>5483</v>
      </c>
      <c r="I2096" s="1077" t="s">
        <v>126</v>
      </c>
      <c r="J2096" s="1077">
        <v>0.7</v>
      </c>
      <c r="K2096" s="1077" t="s">
        <v>6641</v>
      </c>
      <c r="L2096" s="1077" t="s">
        <v>6291</v>
      </c>
      <c r="M2096" s="1077">
        <v>151.5</v>
      </c>
      <c r="N2096" s="1077" t="s">
        <v>945</v>
      </c>
      <c r="O2096" s="1077">
        <v>3.7875000000000001</v>
      </c>
      <c r="P2096" s="1077">
        <v>3.0300000000000002</v>
      </c>
      <c r="Q2096" s="1077">
        <v>4</v>
      </c>
      <c r="R2096" s="1077">
        <v>19.100000000000001</v>
      </c>
      <c r="T2096" s="1077">
        <v>23.7</v>
      </c>
      <c r="U2096" s="1077">
        <v>3.2</v>
      </c>
      <c r="V2096" s="1077" t="s">
        <v>648</v>
      </c>
      <c r="W2096" s="1077">
        <v>35</v>
      </c>
      <c r="X2096" s="1077">
        <v>10</v>
      </c>
      <c r="Y2096" s="1077">
        <v>1</v>
      </c>
      <c r="Z2096" s="1077">
        <v>6</v>
      </c>
      <c r="AA2096" s="1077" t="s">
        <v>6633</v>
      </c>
      <c r="AH2096" s="1077" t="s">
        <v>3213</v>
      </c>
      <c r="AI2096" s="1077">
        <v>92.82</v>
      </c>
      <c r="AJ2096" s="1077">
        <v>-0.44</v>
      </c>
      <c r="AK2096" s="1077">
        <v>0.96</v>
      </c>
      <c r="AM2096" s="1078" t="s">
        <v>13189</v>
      </c>
      <c r="AN2096" s="1078" t="s">
        <v>13190</v>
      </c>
      <c r="AO2096" s="1078">
        <f t="shared" si="262"/>
        <v>650</v>
      </c>
      <c r="AP2096" s="1078">
        <f t="shared" si="263"/>
        <v>1.7549999999999999</v>
      </c>
      <c r="AQ2096" s="1078" t="str">
        <f t="shared" si="264"/>
        <v>1-5-1S91°</v>
      </c>
      <c r="AR2096" s="1078" t="str">
        <f t="shared" si="265"/>
        <v>30</v>
      </c>
      <c r="AS2096" s="1078" t="str">
        <f t="shared" si="266"/>
        <v>350/310/150</v>
      </c>
      <c r="AT2096" s="1078" t="str">
        <f t="shared" si="267"/>
        <v>1-5-1S91°</v>
      </c>
      <c r="AV2096" s="1078" t="str">
        <f t="shared" si="260"/>
        <v>113.8.9</v>
      </c>
      <c r="AW2096" s="1344">
        <f t="shared" si="261"/>
        <v>45513</v>
      </c>
    </row>
    <row r="2097" spans="1:49">
      <c r="A2097" s="1077" t="s">
        <v>6642</v>
      </c>
      <c r="B2097" s="1077" t="s">
        <v>617</v>
      </c>
      <c r="C2097" s="1077">
        <v>600</v>
      </c>
      <c r="D2097" s="1077">
        <v>1.74</v>
      </c>
      <c r="E2097" s="1077" t="s">
        <v>15094</v>
      </c>
      <c r="F2097" s="1077" t="s">
        <v>984</v>
      </c>
      <c r="G2097" s="1077">
        <v>5</v>
      </c>
      <c r="H2097" s="1077" t="s">
        <v>955</v>
      </c>
      <c r="I2097" s="1077" t="s">
        <v>126</v>
      </c>
      <c r="J2097" s="1077">
        <v>2.5</v>
      </c>
      <c r="K2097" s="1077" t="s">
        <v>6611</v>
      </c>
      <c r="L2097" s="1077" t="s">
        <v>4854</v>
      </c>
      <c r="M2097" s="1077">
        <v>150.30000000000001</v>
      </c>
      <c r="N2097" s="1077" t="s">
        <v>945</v>
      </c>
      <c r="O2097" s="1077">
        <v>3.7575000000000003</v>
      </c>
      <c r="P2097" s="1077">
        <v>3.0060000000000002</v>
      </c>
      <c r="Q2097" s="1077">
        <v>3</v>
      </c>
      <c r="R2097" s="1077" t="s">
        <v>6643</v>
      </c>
      <c r="T2097" s="1077">
        <v>13</v>
      </c>
      <c r="U2097" s="1077">
        <v>7</v>
      </c>
      <c r="V2097" s="1077" t="s">
        <v>648</v>
      </c>
      <c r="W2097" s="1077">
        <v>115</v>
      </c>
      <c r="X2097" s="1077">
        <v>50</v>
      </c>
      <c r="Y2097" s="1077">
        <v>1.7</v>
      </c>
      <c r="Z2097" s="1077">
        <v>6.5</v>
      </c>
      <c r="AA2097" s="1077" t="s">
        <v>1721</v>
      </c>
      <c r="AH2097" s="1077" t="s">
        <v>1588</v>
      </c>
      <c r="AI2097" s="1077">
        <v>93.33</v>
      </c>
      <c r="AJ2097" s="1077">
        <v>-1.05</v>
      </c>
      <c r="AK2097" s="1077">
        <v>4.55</v>
      </c>
      <c r="AM2097" s="1078" t="s">
        <v>13191</v>
      </c>
      <c r="AN2097" s="1078" t="s">
        <v>13192</v>
      </c>
      <c r="AO2097" s="1078">
        <f t="shared" si="262"/>
        <v>600</v>
      </c>
      <c r="AP2097" s="1078">
        <f t="shared" si="263"/>
        <v>1.74</v>
      </c>
      <c r="AQ2097" s="1078" t="str">
        <f t="shared" si="264"/>
        <v>1-5-1S91°</v>
      </c>
      <c r="AR2097" s="1078" t="str">
        <f t="shared" si="265"/>
        <v>30</v>
      </c>
      <c r="AS2097" s="1078" t="str">
        <f t="shared" si="266"/>
        <v>260/260/OFF</v>
      </c>
      <c r="AT2097" s="1078" t="str">
        <f t="shared" si="267"/>
        <v>1-5-1S91°</v>
      </c>
      <c r="AV2097" s="1078" t="str">
        <f t="shared" si="260"/>
        <v>113.8.19</v>
      </c>
      <c r="AW2097" s="1344">
        <f t="shared" si="261"/>
        <v>45523</v>
      </c>
    </row>
    <row r="2098" spans="1:49">
      <c r="A2098" s="1077" t="s">
        <v>6644</v>
      </c>
      <c r="B2098" s="1077" t="s">
        <v>880</v>
      </c>
      <c r="C2098" s="1077">
        <v>600</v>
      </c>
      <c r="D2098" s="1077">
        <v>1.78</v>
      </c>
      <c r="E2098" s="1077" t="s">
        <v>15116</v>
      </c>
      <c r="F2098" s="1077" t="s">
        <v>2234</v>
      </c>
      <c r="G2098" s="1077">
        <v>5</v>
      </c>
      <c r="H2098" s="1077" t="s">
        <v>2144</v>
      </c>
      <c r="I2098" s="1077" t="s">
        <v>460</v>
      </c>
      <c r="J2098" s="1077">
        <v>1.3</v>
      </c>
      <c r="K2098" s="1077" t="s">
        <v>6645</v>
      </c>
      <c r="L2098" s="1077" t="s">
        <v>6646</v>
      </c>
      <c r="M2098" s="1077">
        <v>152</v>
      </c>
      <c r="N2098" s="1077" t="s">
        <v>945</v>
      </c>
      <c r="O2098" s="1077">
        <v>3.8000000000000003</v>
      </c>
      <c r="P2098" s="1077">
        <v>3.04</v>
      </c>
      <c r="Q2098" s="1077">
        <v>3.5</v>
      </c>
      <c r="R2098" s="1077">
        <v>24.5</v>
      </c>
      <c r="T2098" s="1077">
        <v>22</v>
      </c>
      <c r="U2098" s="1077">
        <v>3</v>
      </c>
      <c r="V2098" s="1077" t="s">
        <v>648</v>
      </c>
      <c r="W2098" s="1077">
        <v>60</v>
      </c>
      <c r="X2098" s="1077">
        <v>10</v>
      </c>
      <c r="Y2098" s="1077">
        <v>1.5</v>
      </c>
      <c r="Z2098" s="1077" t="s">
        <v>648</v>
      </c>
      <c r="AA2098" s="1077" t="s">
        <v>2060</v>
      </c>
      <c r="AH2098" s="1077" t="s">
        <v>1376</v>
      </c>
      <c r="AI2098" s="1077">
        <v>57.8</v>
      </c>
      <c r="AJ2098" s="1077">
        <v>43.58</v>
      </c>
      <c r="AK2098" s="1077">
        <v>57.74</v>
      </c>
      <c r="AM2098" s="1078" t="s">
        <v>13193</v>
      </c>
      <c r="AN2098" s="1078" t="s">
        <v>13194</v>
      </c>
      <c r="AO2098" s="1078">
        <f t="shared" si="262"/>
        <v>600</v>
      </c>
      <c r="AP2098" s="1078">
        <f t="shared" si="263"/>
        <v>1.78</v>
      </c>
      <c r="AQ2098" s="1078" t="str">
        <f t="shared" si="264"/>
        <v>1-5-1S83°Z+S</v>
      </c>
      <c r="AR2098" s="1078" t="str">
        <f t="shared" si="265"/>
        <v>33.5</v>
      </c>
      <c r="AS2098" s="1078" t="str">
        <f t="shared" si="266"/>
        <v>250/250/155</v>
      </c>
      <c r="AT2098" s="1078" t="str">
        <f t="shared" si="267"/>
        <v>1-5-1S83°Z+S</v>
      </c>
      <c r="AU2098" s="1078" t="s">
        <v>15547</v>
      </c>
      <c r="AV2098" s="1078" t="str">
        <f t="shared" si="260"/>
        <v>113.8.20</v>
      </c>
      <c r="AW2098" s="1344">
        <f t="shared" si="261"/>
        <v>45524</v>
      </c>
    </row>
    <row r="2099" spans="1:49">
      <c r="A2099" s="1077" t="s">
        <v>6647</v>
      </c>
      <c r="B2099" s="1077" t="s">
        <v>6548</v>
      </c>
      <c r="C2099" s="1077">
        <v>600</v>
      </c>
      <c r="D2099" s="1077">
        <v>1.74</v>
      </c>
      <c r="E2099" s="1077" t="s">
        <v>15094</v>
      </c>
      <c r="F2099" s="1077" t="s">
        <v>975</v>
      </c>
      <c r="G2099" s="1077">
        <v>5</v>
      </c>
      <c r="H2099" s="1077" t="s">
        <v>5888</v>
      </c>
      <c r="I2099" s="1077" t="s">
        <v>460</v>
      </c>
      <c r="J2099" s="1077">
        <v>2.5</v>
      </c>
      <c r="K2099" s="1077" t="s">
        <v>6648</v>
      </c>
      <c r="L2099" s="1077" t="s">
        <v>6550</v>
      </c>
      <c r="M2099" s="1077">
        <v>152</v>
      </c>
      <c r="N2099" s="1077" t="s">
        <v>945</v>
      </c>
      <c r="O2099" s="1077">
        <v>3.8000000000000003</v>
      </c>
      <c r="P2099" s="1077">
        <v>3.04</v>
      </c>
      <c r="Q2099" s="1077">
        <v>3.5</v>
      </c>
      <c r="R2099" s="1077">
        <v>22</v>
      </c>
      <c r="T2099" s="1077">
        <v>29</v>
      </c>
      <c r="U2099" s="1077">
        <v>3.8</v>
      </c>
      <c r="V2099" s="1077" t="s">
        <v>648</v>
      </c>
      <c r="W2099" s="1077">
        <v>110</v>
      </c>
      <c r="X2099" s="1077">
        <v>60</v>
      </c>
      <c r="Y2099" s="1077">
        <v>1.5</v>
      </c>
      <c r="Z2099" s="1077">
        <v>6</v>
      </c>
      <c r="AA2099" s="1077" t="s">
        <v>6649</v>
      </c>
      <c r="AH2099" s="1077" t="s">
        <v>680</v>
      </c>
      <c r="AI2099" s="1077">
        <v>15.95</v>
      </c>
      <c r="AJ2099" s="1077">
        <v>-0.44</v>
      </c>
      <c r="AK2099" s="1077">
        <v>0.31</v>
      </c>
      <c r="AM2099" s="1078" t="s">
        <v>13195</v>
      </c>
      <c r="AN2099" s="1078" t="s">
        <v>13196</v>
      </c>
      <c r="AO2099" s="1078">
        <f t="shared" si="262"/>
        <v>600</v>
      </c>
      <c r="AP2099" s="1078">
        <f t="shared" si="263"/>
        <v>1.74</v>
      </c>
      <c r="AQ2099" s="1078" t="str">
        <f t="shared" si="264"/>
        <v>1-5-1S91°</v>
      </c>
      <c r="AR2099" s="1078" t="str">
        <f t="shared" si="265"/>
        <v>31.5</v>
      </c>
      <c r="AS2099" s="1078" t="str">
        <f t="shared" si="266"/>
        <v>340/340/OFF</v>
      </c>
      <c r="AT2099" s="1078" t="str">
        <f t="shared" si="267"/>
        <v>1-5-1S91°</v>
      </c>
      <c r="AV2099" s="1078" t="str">
        <f t="shared" si="260"/>
        <v>113.8.27</v>
      </c>
      <c r="AW2099" s="1344">
        <f t="shared" si="261"/>
        <v>45531</v>
      </c>
    </row>
    <row r="2100" spans="1:49">
      <c r="A2100" s="1077" t="s">
        <v>6650</v>
      </c>
      <c r="B2100" s="1077" t="s">
        <v>828</v>
      </c>
      <c r="C2100" s="1077">
        <v>650</v>
      </c>
      <c r="D2100" s="1077">
        <v>1.76</v>
      </c>
      <c r="E2100" s="1077" t="s">
        <v>15109</v>
      </c>
      <c r="F2100" s="1077" t="s">
        <v>648</v>
      </c>
      <c r="G2100" s="1077">
        <v>5</v>
      </c>
      <c r="H2100" s="1077" t="s">
        <v>1048</v>
      </c>
      <c r="I2100" s="1077" t="s">
        <v>460</v>
      </c>
      <c r="J2100" s="1077">
        <v>1.7</v>
      </c>
      <c r="K2100" s="1077" t="s">
        <v>6539</v>
      </c>
      <c r="L2100" s="1077" t="s">
        <v>2174</v>
      </c>
      <c r="M2100" s="1077">
        <v>150</v>
      </c>
      <c r="N2100" s="1077" t="s">
        <v>945</v>
      </c>
      <c r="O2100" s="1077">
        <v>3.75</v>
      </c>
      <c r="P2100" s="1077">
        <v>3</v>
      </c>
      <c r="Q2100" s="1077">
        <v>4</v>
      </c>
      <c r="R2100" s="1077">
        <v>20.8</v>
      </c>
      <c r="T2100" s="1077">
        <v>29.1</v>
      </c>
      <c r="U2100" s="1077">
        <v>3.4</v>
      </c>
      <c r="V2100" s="1077" t="s">
        <v>648</v>
      </c>
      <c r="W2100" s="1077">
        <v>110</v>
      </c>
      <c r="X2100" s="1077">
        <v>70</v>
      </c>
      <c r="Y2100" s="1077">
        <v>1.5</v>
      </c>
      <c r="Z2100" s="1077" t="s">
        <v>648</v>
      </c>
      <c r="AA2100" s="1077" t="s">
        <v>2063</v>
      </c>
      <c r="AH2100" s="1077" t="s">
        <v>812</v>
      </c>
      <c r="AI2100" s="1077">
        <v>92.22</v>
      </c>
      <c r="AJ2100" s="1077">
        <v>-0.36</v>
      </c>
      <c r="AK2100" s="1077">
        <v>1.71</v>
      </c>
      <c r="AM2100" s="1078" t="s">
        <v>13197</v>
      </c>
      <c r="AN2100" s="1078" t="s">
        <v>13198</v>
      </c>
      <c r="AO2100" s="1078">
        <f t="shared" si="262"/>
        <v>650</v>
      </c>
      <c r="AP2100" s="1078">
        <f t="shared" si="263"/>
        <v>1.76</v>
      </c>
      <c r="AQ2100" s="1078" t="str">
        <f t="shared" si="264"/>
        <v>1-5-1S85°Z+S</v>
      </c>
      <c r="AR2100" s="1078" t="str">
        <f t="shared" si="265"/>
        <v>NA</v>
      </c>
      <c r="AS2100" s="1078" t="str">
        <f t="shared" si="266"/>
        <v>188/OFF</v>
      </c>
      <c r="AT2100" s="1078" t="str">
        <f t="shared" si="267"/>
        <v>1-5-1S85°Z+S</v>
      </c>
      <c r="AU2100" s="1078" t="s">
        <v>15547</v>
      </c>
      <c r="AV2100" s="1078" t="str">
        <f t="shared" si="260"/>
        <v>113.9.2</v>
      </c>
      <c r="AW2100" s="1344">
        <f t="shared" si="261"/>
        <v>45537</v>
      </c>
    </row>
    <row r="2101" spans="1:49">
      <c r="A2101" s="1077" t="s">
        <v>6651</v>
      </c>
      <c r="B2101" s="1077" t="s">
        <v>210</v>
      </c>
      <c r="C2101" s="1077">
        <v>650</v>
      </c>
      <c r="D2101" s="1077">
        <v>1.72</v>
      </c>
      <c r="E2101" s="1077" t="s">
        <v>15094</v>
      </c>
      <c r="F2101" s="1077" t="s">
        <v>984</v>
      </c>
      <c r="G2101" s="1077">
        <v>5</v>
      </c>
      <c r="H2101" s="1077" t="s">
        <v>6480</v>
      </c>
      <c r="I2101" s="1077" t="s">
        <v>460</v>
      </c>
      <c r="J2101" s="1077">
        <v>3.4</v>
      </c>
      <c r="K2101" s="1077" t="s">
        <v>6545</v>
      </c>
      <c r="L2101" s="1077" t="s">
        <v>6482</v>
      </c>
      <c r="M2101" s="1077">
        <v>149.5</v>
      </c>
      <c r="N2101" s="1077" t="s">
        <v>945</v>
      </c>
      <c r="O2101" s="1077">
        <v>3.7375000000000003</v>
      </c>
      <c r="P2101" s="1077">
        <v>2.99</v>
      </c>
      <c r="Q2101" s="1077">
        <v>3.5</v>
      </c>
      <c r="R2101" s="1077">
        <v>21.5</v>
      </c>
      <c r="T2101" s="1077">
        <v>19.5</v>
      </c>
      <c r="U2101" s="1077">
        <v>2.9</v>
      </c>
      <c r="V2101" s="1077" t="s">
        <v>648</v>
      </c>
      <c r="W2101" s="1077">
        <v>100</v>
      </c>
      <c r="X2101" s="1077">
        <v>90</v>
      </c>
      <c r="Y2101" s="1077">
        <v>1.8</v>
      </c>
      <c r="Z2101" s="1077">
        <v>5.5</v>
      </c>
      <c r="AA2101" s="1077" t="s">
        <v>6546</v>
      </c>
      <c r="AH2101" s="1077" t="s">
        <v>622</v>
      </c>
      <c r="AI2101" s="1077">
        <v>91.19</v>
      </c>
      <c r="AJ2101" s="1077">
        <v>-0.66</v>
      </c>
      <c r="AK2101" s="1077">
        <v>1.24</v>
      </c>
      <c r="AM2101" s="1078" t="s">
        <v>13199</v>
      </c>
      <c r="AN2101" s="1078" t="s">
        <v>13200</v>
      </c>
      <c r="AO2101" s="1078">
        <f t="shared" si="262"/>
        <v>650</v>
      </c>
      <c r="AP2101" s="1078">
        <f t="shared" si="263"/>
        <v>1.72</v>
      </c>
      <c r="AQ2101" s="1078" t="str">
        <f t="shared" si="264"/>
        <v>1-5-1S91°</v>
      </c>
      <c r="AR2101" s="1078" t="str">
        <f t="shared" si="265"/>
        <v>30</v>
      </c>
      <c r="AS2101" s="1078" t="str">
        <f t="shared" si="266"/>
        <v>380/350/175</v>
      </c>
      <c r="AT2101" s="1078" t="str">
        <f t="shared" si="267"/>
        <v>1-5-1S91°</v>
      </c>
      <c r="AV2101" s="1078" t="str">
        <f t="shared" si="260"/>
        <v>113.5.6</v>
      </c>
      <c r="AW2101" s="1344">
        <f t="shared" si="261"/>
        <v>45418</v>
      </c>
    </row>
    <row r="2102" spans="1:49">
      <c r="A2102" s="1077" t="s">
        <v>6652</v>
      </c>
      <c r="B2102" s="1077" t="s">
        <v>416</v>
      </c>
      <c r="C2102" s="1077">
        <v>650</v>
      </c>
      <c r="D2102" s="1077">
        <v>1.76</v>
      </c>
      <c r="E2102" s="1077" t="s">
        <v>15094</v>
      </c>
      <c r="F2102" s="1077" t="s">
        <v>984</v>
      </c>
      <c r="G2102" s="1077">
        <v>5</v>
      </c>
      <c r="H2102" s="1077" t="s">
        <v>5483</v>
      </c>
      <c r="I2102" s="1077" t="s">
        <v>126</v>
      </c>
      <c r="J2102" s="1077">
        <v>0.7</v>
      </c>
      <c r="K2102" s="1077" t="s">
        <v>6641</v>
      </c>
      <c r="L2102" s="1077" t="s">
        <v>6291</v>
      </c>
      <c r="M2102" s="1077">
        <v>151.5</v>
      </c>
      <c r="N2102" s="1077" t="s">
        <v>945</v>
      </c>
      <c r="O2102" s="1077">
        <v>3.7875000000000001</v>
      </c>
      <c r="P2102" s="1077">
        <v>3.0300000000000002</v>
      </c>
      <c r="Q2102" s="1077">
        <v>4</v>
      </c>
      <c r="R2102" s="1077">
        <v>19.100000000000001</v>
      </c>
      <c r="T2102" s="1077">
        <v>23.7</v>
      </c>
      <c r="U2102" s="1077">
        <v>3.2</v>
      </c>
      <c r="V2102" s="1077" t="s">
        <v>648</v>
      </c>
      <c r="W2102" s="1077">
        <v>35</v>
      </c>
      <c r="X2102" s="1077">
        <v>10</v>
      </c>
      <c r="Y2102" s="1077">
        <v>1</v>
      </c>
      <c r="Z2102" s="1077">
        <v>6</v>
      </c>
      <c r="AA2102" s="1077" t="s">
        <v>2063</v>
      </c>
      <c r="AH2102" s="1077" t="s">
        <v>684</v>
      </c>
      <c r="AI2102" s="1077">
        <v>92.77</v>
      </c>
      <c r="AJ2102" s="1077">
        <v>-0.52</v>
      </c>
      <c r="AK2102" s="1077">
        <v>1.17</v>
      </c>
      <c r="AM2102" s="1078" t="s">
        <v>13201</v>
      </c>
      <c r="AN2102" s="1078" t="s">
        <v>13202</v>
      </c>
      <c r="AO2102" s="1078">
        <f t="shared" si="262"/>
        <v>650</v>
      </c>
      <c r="AP2102" s="1078">
        <f t="shared" si="263"/>
        <v>1.76</v>
      </c>
      <c r="AQ2102" s="1078" t="str">
        <f t="shared" si="264"/>
        <v>1-5-1S91°</v>
      </c>
      <c r="AR2102" s="1078" t="str">
        <f t="shared" si="265"/>
        <v>30</v>
      </c>
      <c r="AS2102" s="1078" t="str">
        <f t="shared" si="266"/>
        <v>350/310/150</v>
      </c>
      <c r="AT2102" s="1078" t="str">
        <f t="shared" si="267"/>
        <v>1-5-1S91°</v>
      </c>
      <c r="AV2102" s="1078" t="str">
        <f t="shared" si="260"/>
        <v>113.9.2</v>
      </c>
      <c r="AW2102" s="1344">
        <f t="shared" si="261"/>
        <v>45537</v>
      </c>
    </row>
    <row r="2103" spans="1:49">
      <c r="A2103" s="1077" t="s">
        <v>6653</v>
      </c>
      <c r="B2103" s="1077" t="s">
        <v>210</v>
      </c>
      <c r="C2103" s="1077">
        <v>650</v>
      </c>
      <c r="D2103" s="1077">
        <v>1.77</v>
      </c>
      <c r="E2103" s="1077" t="s">
        <v>15094</v>
      </c>
      <c r="F2103" s="1077" t="s">
        <v>4013</v>
      </c>
      <c r="G2103" s="1077">
        <v>5</v>
      </c>
      <c r="H2103" s="1077" t="s">
        <v>6126</v>
      </c>
      <c r="I2103" s="1077" t="s">
        <v>126</v>
      </c>
      <c r="J2103" s="1077">
        <v>1.5</v>
      </c>
      <c r="K2103" s="1077" t="s">
        <v>6627</v>
      </c>
      <c r="L2103" s="1077" t="s">
        <v>4666</v>
      </c>
      <c r="M2103" s="1077">
        <v>152.19999999999999</v>
      </c>
      <c r="N2103" s="1077" t="s">
        <v>945</v>
      </c>
      <c r="O2103" s="1077">
        <v>3.8049999999999997</v>
      </c>
      <c r="P2103" s="1077">
        <v>3.044</v>
      </c>
      <c r="Q2103" s="1077">
        <v>4</v>
      </c>
      <c r="R2103" s="1077">
        <v>19</v>
      </c>
      <c r="T2103" s="1077">
        <v>16</v>
      </c>
      <c r="U2103" s="1077">
        <v>4</v>
      </c>
      <c r="V2103" s="1077" t="s">
        <v>648</v>
      </c>
      <c r="W2103" s="1077">
        <v>95</v>
      </c>
      <c r="X2103" s="1077">
        <v>20</v>
      </c>
      <c r="Y2103" s="1077">
        <v>1.5</v>
      </c>
      <c r="Z2103" s="1077">
        <v>5</v>
      </c>
      <c r="AA2103" s="1077" t="s">
        <v>2063</v>
      </c>
      <c r="AH2103" s="1077" t="s">
        <v>994</v>
      </c>
      <c r="AI2103" s="1077">
        <v>93.2</v>
      </c>
      <c r="AJ2103" s="1077">
        <v>-0.71</v>
      </c>
      <c r="AK2103" s="1077">
        <v>1.36</v>
      </c>
      <c r="AM2103" s="1078" t="s">
        <v>13203</v>
      </c>
      <c r="AN2103" s="1078" t="s">
        <v>13204</v>
      </c>
      <c r="AO2103" s="1078">
        <f t="shared" si="262"/>
        <v>650</v>
      </c>
      <c r="AP2103" s="1078">
        <f t="shared" si="263"/>
        <v>1.77</v>
      </c>
      <c r="AQ2103" s="1078" t="str">
        <f t="shared" si="264"/>
        <v>1-5-1S91°</v>
      </c>
      <c r="AR2103" s="1078" t="str">
        <f t="shared" si="265"/>
        <v>30.3</v>
      </c>
      <c r="AS2103" s="1078" t="str">
        <f t="shared" si="266"/>
        <v>310/270/158</v>
      </c>
      <c r="AT2103" s="1078" t="str">
        <f t="shared" si="267"/>
        <v>1-5-1S91°</v>
      </c>
      <c r="AV2103" s="1078" t="str">
        <f t="shared" si="260"/>
        <v>113.9.2</v>
      </c>
      <c r="AW2103" s="1344">
        <f t="shared" si="261"/>
        <v>45537</v>
      </c>
    </row>
    <row r="2104" spans="1:49">
      <c r="A2104" s="1077" t="s">
        <v>6654</v>
      </c>
      <c r="B2104" s="1077" t="s">
        <v>416</v>
      </c>
      <c r="C2104" s="1077">
        <v>650</v>
      </c>
      <c r="D2104" s="1077">
        <v>1.76</v>
      </c>
      <c r="E2104" s="1077" t="s">
        <v>15094</v>
      </c>
      <c r="F2104" s="1077" t="s">
        <v>984</v>
      </c>
      <c r="G2104" s="1077">
        <v>5</v>
      </c>
      <c r="H2104" s="1077" t="s">
        <v>5483</v>
      </c>
      <c r="I2104" s="1077" t="s">
        <v>126</v>
      </c>
      <c r="J2104" s="1077">
        <v>0.7</v>
      </c>
      <c r="K2104" s="1077" t="s">
        <v>6641</v>
      </c>
      <c r="L2104" s="1077" t="s">
        <v>6291</v>
      </c>
      <c r="M2104" s="1077">
        <v>151.5</v>
      </c>
      <c r="N2104" s="1077" t="s">
        <v>945</v>
      </c>
      <c r="O2104" s="1077">
        <v>3.7875000000000001</v>
      </c>
      <c r="P2104" s="1077">
        <v>3.0300000000000002</v>
      </c>
      <c r="Q2104" s="1077">
        <v>4</v>
      </c>
      <c r="R2104" s="1077">
        <v>19.100000000000001</v>
      </c>
      <c r="T2104" s="1077">
        <v>23.7</v>
      </c>
      <c r="U2104" s="1077">
        <v>3.2</v>
      </c>
      <c r="V2104" s="1077" t="s">
        <v>648</v>
      </c>
      <c r="W2104" s="1077">
        <v>35</v>
      </c>
      <c r="X2104" s="1077">
        <v>10</v>
      </c>
      <c r="Y2104" s="1077">
        <v>1</v>
      </c>
      <c r="Z2104" s="1077">
        <v>6</v>
      </c>
      <c r="AA2104" s="1077" t="s">
        <v>2072</v>
      </c>
      <c r="AH2104" s="1077" t="s">
        <v>813</v>
      </c>
      <c r="AI2104" s="1077">
        <v>92.77</v>
      </c>
      <c r="AJ2104" s="1077">
        <v>-0.7</v>
      </c>
      <c r="AK2104" s="1077">
        <v>1.5</v>
      </c>
      <c r="AM2104" s="1078" t="s">
        <v>13205</v>
      </c>
      <c r="AN2104" s="1078" t="s">
        <v>13206</v>
      </c>
      <c r="AO2104" s="1078">
        <f t="shared" si="262"/>
        <v>650</v>
      </c>
      <c r="AP2104" s="1078">
        <f t="shared" si="263"/>
        <v>1.76</v>
      </c>
      <c r="AQ2104" s="1078" t="str">
        <f t="shared" si="264"/>
        <v>1-5-1S91°</v>
      </c>
      <c r="AR2104" s="1078" t="str">
        <f t="shared" si="265"/>
        <v>30</v>
      </c>
      <c r="AS2104" s="1078" t="str">
        <f t="shared" si="266"/>
        <v>350/310/150</v>
      </c>
      <c r="AT2104" s="1078" t="str">
        <f t="shared" si="267"/>
        <v>1-5-1S91°</v>
      </c>
      <c r="AV2104" s="1078" t="str">
        <f t="shared" si="260"/>
        <v>113.9.4</v>
      </c>
      <c r="AW2104" s="1344">
        <f t="shared" si="261"/>
        <v>45539</v>
      </c>
    </row>
    <row r="2105" spans="1:49">
      <c r="A2105" s="1077" t="s">
        <v>6655</v>
      </c>
      <c r="B2105" s="1077" t="s">
        <v>6630</v>
      </c>
      <c r="C2105" s="1077">
        <v>500</v>
      </c>
      <c r="D2105" s="1077">
        <v>1.65</v>
      </c>
      <c r="E2105" s="1077" t="s">
        <v>15121</v>
      </c>
      <c r="F2105" s="1077" t="s">
        <v>648</v>
      </c>
      <c r="G2105" s="1077">
        <v>5</v>
      </c>
      <c r="H2105" s="1077" t="s">
        <v>1072</v>
      </c>
      <c r="I2105" s="1077" t="s">
        <v>126</v>
      </c>
      <c r="J2105" s="1077">
        <v>1.7</v>
      </c>
      <c r="K2105" s="1077" t="s">
        <v>6656</v>
      </c>
      <c r="L2105" s="1077" t="s">
        <v>1976</v>
      </c>
      <c r="M2105" s="1077">
        <v>155</v>
      </c>
      <c r="N2105" s="1077" t="s">
        <v>945</v>
      </c>
      <c r="O2105" s="1077">
        <v>3.875</v>
      </c>
      <c r="P2105" s="1077">
        <v>3.1</v>
      </c>
      <c r="Q2105" s="1077">
        <v>4</v>
      </c>
      <c r="R2105" s="1077">
        <v>22</v>
      </c>
      <c r="T2105" s="1077">
        <v>18</v>
      </c>
      <c r="U2105" s="1077">
        <v>3.8</v>
      </c>
      <c r="V2105" s="1077" t="s">
        <v>648</v>
      </c>
      <c r="W2105" s="1077">
        <v>135</v>
      </c>
      <c r="X2105" s="1077">
        <v>80</v>
      </c>
      <c r="Y2105" s="1077">
        <v>1.2</v>
      </c>
      <c r="Z2105" s="1077" t="s">
        <v>648</v>
      </c>
      <c r="AA2105" s="1077" t="s">
        <v>1723</v>
      </c>
      <c r="AH2105" s="1077" t="s">
        <v>681</v>
      </c>
      <c r="AI2105" s="1077">
        <v>95.66</v>
      </c>
      <c r="AJ2105" s="1077">
        <v>-0.2</v>
      </c>
      <c r="AK2105" s="1077">
        <v>1.22</v>
      </c>
      <c r="AM2105" s="1078" t="s">
        <v>13207</v>
      </c>
      <c r="AN2105" s="1078" t="s">
        <v>13208</v>
      </c>
      <c r="AO2105" s="1078">
        <f t="shared" si="262"/>
        <v>500</v>
      </c>
      <c r="AP2105" s="1078">
        <f t="shared" si="263"/>
        <v>1.65</v>
      </c>
      <c r="AQ2105" s="1078" t="str">
        <f t="shared" si="264"/>
        <v>1-5-1S85°S+Z</v>
      </c>
      <c r="AR2105" s="1078" t="str">
        <f t="shared" si="265"/>
        <v>NA</v>
      </c>
      <c r="AS2105" s="1078" t="str">
        <f t="shared" si="266"/>
        <v>168/OFF</v>
      </c>
      <c r="AT2105" s="1078" t="str">
        <f t="shared" si="267"/>
        <v>1-5-1S85°S+Z</v>
      </c>
      <c r="AU2105" s="1078" t="s">
        <v>15550</v>
      </c>
      <c r="AV2105" s="1078" t="str">
        <f t="shared" si="260"/>
        <v>113.9.9</v>
      </c>
      <c r="AW2105" s="1344">
        <f t="shared" si="261"/>
        <v>45544</v>
      </c>
    </row>
    <row r="2106" spans="1:49">
      <c r="A2106" s="1077" t="s">
        <v>6657</v>
      </c>
      <c r="B2106" s="1077" t="s">
        <v>210</v>
      </c>
      <c r="C2106" s="1077">
        <v>650</v>
      </c>
      <c r="D2106" s="1077">
        <v>1.75</v>
      </c>
      <c r="E2106" s="1077" t="s">
        <v>15094</v>
      </c>
      <c r="F2106" s="1077" t="s">
        <v>984</v>
      </c>
      <c r="G2106" s="1077">
        <v>5</v>
      </c>
      <c r="H2106" s="1077" t="s">
        <v>6521</v>
      </c>
      <c r="I2106" s="1077" t="s">
        <v>126</v>
      </c>
      <c r="J2106" s="1077">
        <v>2.9</v>
      </c>
      <c r="K2106" s="1077" t="s">
        <v>6627</v>
      </c>
      <c r="L2106" s="1077" t="s">
        <v>4666</v>
      </c>
      <c r="M2106" s="1077">
        <v>150.80000000000001</v>
      </c>
      <c r="N2106" s="1077" t="s">
        <v>945</v>
      </c>
      <c r="O2106" s="1077">
        <v>3.7700000000000005</v>
      </c>
      <c r="P2106" s="1077">
        <v>3.0160000000000005</v>
      </c>
      <c r="Q2106" s="1077">
        <v>4</v>
      </c>
      <c r="R2106" s="1077">
        <v>19</v>
      </c>
      <c r="T2106" s="1077">
        <v>28.3</v>
      </c>
      <c r="U2106" s="1077">
        <v>4.3</v>
      </c>
      <c r="V2106" s="1077" t="s">
        <v>648</v>
      </c>
      <c r="W2106" s="1077">
        <v>100</v>
      </c>
      <c r="X2106" s="1077">
        <v>50</v>
      </c>
      <c r="Y2106" s="1077">
        <v>1.5</v>
      </c>
      <c r="Z2106" s="1077">
        <v>6.5</v>
      </c>
      <c r="AA2106" s="1077" t="s">
        <v>6658</v>
      </c>
      <c r="AH2106" s="1077" t="s">
        <v>838</v>
      </c>
      <c r="AI2106" s="1077">
        <v>93.73</v>
      </c>
      <c r="AJ2106" s="1077">
        <v>-0.79</v>
      </c>
      <c r="AK2106" s="1077">
        <v>1.1200000000000001</v>
      </c>
      <c r="AM2106" s="1078" t="s">
        <v>13209</v>
      </c>
      <c r="AN2106" s="1078" t="s">
        <v>13210</v>
      </c>
      <c r="AO2106" s="1078">
        <f t="shared" si="262"/>
        <v>650</v>
      </c>
      <c r="AP2106" s="1078">
        <f t="shared" si="263"/>
        <v>1.75</v>
      </c>
      <c r="AQ2106" s="1078" t="str">
        <f t="shared" si="264"/>
        <v>1-5-1S91°</v>
      </c>
      <c r="AR2106" s="1078" t="str">
        <f t="shared" si="265"/>
        <v>30</v>
      </c>
      <c r="AS2106" s="1078" t="str">
        <f t="shared" si="266"/>
        <v>345/305/OFF</v>
      </c>
      <c r="AT2106" s="1078" t="str">
        <f t="shared" si="267"/>
        <v>1-5-1S91°</v>
      </c>
      <c r="AV2106" s="1078" t="str">
        <f t="shared" si="260"/>
        <v>113.9.10</v>
      </c>
      <c r="AW2106" s="1344">
        <f t="shared" si="261"/>
        <v>45545</v>
      </c>
    </row>
    <row r="2107" spans="1:49">
      <c r="A2107" s="1077" t="s">
        <v>6659</v>
      </c>
      <c r="B2107" s="1077" t="s">
        <v>844</v>
      </c>
      <c r="C2107" s="1077">
        <v>550</v>
      </c>
      <c r="D2107" s="1077">
        <v>1.7649999999999999</v>
      </c>
      <c r="E2107" s="1077" t="s">
        <v>15102</v>
      </c>
      <c r="F2107" s="1077" t="s">
        <v>984</v>
      </c>
      <c r="G2107" s="1077">
        <v>5</v>
      </c>
      <c r="H2107" s="1077" t="s">
        <v>4930</v>
      </c>
      <c r="I2107" s="1077" t="s">
        <v>460</v>
      </c>
      <c r="J2107" s="1077">
        <v>3.4</v>
      </c>
      <c r="K2107" s="1077" t="s">
        <v>5745</v>
      </c>
      <c r="L2107" s="1077" t="s">
        <v>4907</v>
      </c>
      <c r="M2107" s="1077">
        <v>152.5</v>
      </c>
      <c r="N2107" s="1077" t="s">
        <v>945</v>
      </c>
      <c r="O2107" s="1077">
        <v>3.8125</v>
      </c>
      <c r="P2107" s="1077">
        <v>3.0500000000000003</v>
      </c>
      <c r="Q2107" s="1077" t="s">
        <v>1020</v>
      </c>
      <c r="R2107" s="1077">
        <v>21</v>
      </c>
      <c r="T2107" s="1077">
        <v>9.1999999999999993</v>
      </c>
      <c r="U2107" s="1077">
        <v>5.4</v>
      </c>
      <c r="V2107" s="1077" t="s">
        <v>648</v>
      </c>
      <c r="W2107" s="1077">
        <v>110</v>
      </c>
      <c r="X2107" s="1077">
        <v>90</v>
      </c>
      <c r="Y2107" s="1077">
        <v>2</v>
      </c>
      <c r="Z2107" s="1077" t="s">
        <v>988</v>
      </c>
      <c r="AA2107" s="1077" t="s">
        <v>6660</v>
      </c>
      <c r="AH2107" s="1077" t="s">
        <v>762</v>
      </c>
      <c r="AM2107" s="1078" t="s">
        <v>13211</v>
      </c>
      <c r="AN2107" s="1078" t="s">
        <v>13212</v>
      </c>
      <c r="AO2107" s="1078">
        <f t="shared" si="262"/>
        <v>550</v>
      </c>
      <c r="AP2107" s="1078">
        <f t="shared" si="263"/>
        <v>1.7649999999999999</v>
      </c>
      <c r="AQ2107" s="1078" t="str">
        <f t="shared" si="264"/>
        <v>2-6-1S83°</v>
      </c>
      <c r="AR2107" s="1078" t="str">
        <f t="shared" si="265"/>
        <v>30</v>
      </c>
      <c r="AS2107" s="1078" t="str">
        <f t="shared" si="266"/>
        <v>160/155</v>
      </c>
      <c r="AT2107" s="1078" t="str">
        <f t="shared" si="267"/>
        <v>2-6-1S83°</v>
      </c>
      <c r="AV2107" s="1078" t="str">
        <f t="shared" si="260"/>
        <v>109.2.5</v>
      </c>
      <c r="AW2107" s="1344">
        <f t="shared" si="261"/>
        <v>43866</v>
      </c>
    </row>
    <row r="2108" spans="1:49">
      <c r="A2108" s="1077" t="s">
        <v>6661</v>
      </c>
      <c r="B2108" s="1077" t="s">
        <v>4921</v>
      </c>
      <c r="C2108" s="1077">
        <v>700</v>
      </c>
      <c r="D2108" s="1077">
        <v>1.8</v>
      </c>
      <c r="E2108" s="1077" t="s">
        <v>15094</v>
      </c>
      <c r="F2108" s="1077" t="s">
        <v>975</v>
      </c>
      <c r="G2108" s="1077">
        <v>5</v>
      </c>
      <c r="H2108" s="1077" t="s">
        <v>6194</v>
      </c>
      <c r="I2108" s="1077" t="s">
        <v>648</v>
      </c>
      <c r="J2108" s="1077">
        <v>0</v>
      </c>
      <c r="K2108" s="1077" t="s">
        <v>5494</v>
      </c>
      <c r="L2108" s="1077" t="s">
        <v>4924</v>
      </c>
      <c r="M2108" s="1077">
        <v>145.30000000000001</v>
      </c>
      <c r="N2108" s="1077" t="s">
        <v>945</v>
      </c>
      <c r="O2108" s="1077">
        <v>3.6325000000000003</v>
      </c>
      <c r="P2108" s="1077">
        <v>2.9060000000000001</v>
      </c>
      <c r="Q2108" s="1077" t="s">
        <v>2401</v>
      </c>
      <c r="R2108" s="1077">
        <v>18.5</v>
      </c>
      <c r="T2108" s="1077">
        <v>27</v>
      </c>
      <c r="U2108" s="1077">
        <v>2.2000000000000002</v>
      </c>
      <c r="V2108" s="1077" t="s">
        <v>648</v>
      </c>
      <c r="W2108" s="1077" t="s">
        <v>648</v>
      </c>
      <c r="X2108" s="1077" t="s">
        <v>648</v>
      </c>
      <c r="Y2108" s="1077">
        <v>1.8</v>
      </c>
      <c r="Z2108" s="1077">
        <v>6</v>
      </c>
      <c r="AA2108" s="1077" t="s">
        <v>4816</v>
      </c>
      <c r="AH2108" s="1077" t="s">
        <v>1238</v>
      </c>
      <c r="AM2108" s="1078" t="s">
        <v>13213</v>
      </c>
      <c r="AN2108" s="1078" t="s">
        <v>13214</v>
      </c>
      <c r="AO2108" s="1078">
        <f t="shared" si="262"/>
        <v>700</v>
      </c>
      <c r="AP2108" s="1078">
        <f t="shared" si="263"/>
        <v>1.8</v>
      </c>
      <c r="AQ2108" s="1078" t="str">
        <f t="shared" si="264"/>
        <v>1-5-1S91°</v>
      </c>
      <c r="AR2108" s="1078" t="str">
        <f t="shared" si="265"/>
        <v>31.5</v>
      </c>
      <c r="AS2108" s="1078" t="str">
        <f t="shared" si="266"/>
        <v>355/355/150</v>
      </c>
      <c r="AT2108" s="1078" t="str">
        <f t="shared" si="267"/>
        <v>1-5-1S91°</v>
      </c>
      <c r="AV2108" s="1078" t="str">
        <f t="shared" si="260"/>
        <v>109.10.13</v>
      </c>
      <c r="AW2108" s="1344">
        <f t="shared" si="261"/>
        <v>44117</v>
      </c>
    </row>
    <row r="2109" spans="1:49">
      <c r="A2109" s="1077" t="s">
        <v>6662</v>
      </c>
      <c r="B2109" s="1077" t="s">
        <v>5233</v>
      </c>
      <c r="C2109" s="1077">
        <v>500</v>
      </c>
      <c r="D2109" s="1077">
        <v>1.71</v>
      </c>
      <c r="E2109" s="1077" t="s">
        <v>15116</v>
      </c>
      <c r="F2109" s="1077" t="s">
        <v>954</v>
      </c>
      <c r="G2109" s="1077">
        <v>3</v>
      </c>
      <c r="H2109" s="1077" t="s">
        <v>1145</v>
      </c>
      <c r="I2109" s="1077" t="s">
        <v>4071</v>
      </c>
      <c r="J2109" s="1077">
        <v>2</v>
      </c>
      <c r="K2109" s="1077" t="s">
        <v>6663</v>
      </c>
      <c r="L2109" s="1077" t="s">
        <v>5235</v>
      </c>
      <c r="M2109" s="1077">
        <v>155.80000000000001</v>
      </c>
      <c r="N2109" s="1077" t="s">
        <v>945</v>
      </c>
      <c r="O2109" s="1077">
        <v>3.8950000000000005</v>
      </c>
      <c r="P2109" s="1077">
        <v>3.1160000000000001</v>
      </c>
      <c r="Q2109" s="1077" t="s">
        <v>1001</v>
      </c>
      <c r="R2109" s="1077">
        <v>22.5</v>
      </c>
      <c r="T2109" s="1077">
        <v>18</v>
      </c>
      <c r="U2109" s="1077">
        <v>4.7</v>
      </c>
      <c r="V2109" s="1077" t="s">
        <v>648</v>
      </c>
      <c r="W2109" s="1077">
        <v>95</v>
      </c>
      <c r="X2109" s="1077">
        <v>90</v>
      </c>
      <c r="Y2109" s="1077">
        <v>2</v>
      </c>
      <c r="Z2109" s="1077" t="s">
        <v>648</v>
      </c>
      <c r="AA2109" s="1077" t="s">
        <v>2485</v>
      </c>
      <c r="AH2109" s="1077" t="s">
        <v>1023</v>
      </c>
      <c r="AM2109" s="1078" t="s">
        <v>13215</v>
      </c>
      <c r="AN2109" s="1078" t="s">
        <v>12223</v>
      </c>
      <c r="AO2109" s="1078">
        <f t="shared" si="262"/>
        <v>500</v>
      </c>
      <c r="AP2109" s="1078">
        <f t="shared" si="263"/>
        <v>1.71</v>
      </c>
      <c r="AQ2109" s="1078" t="str">
        <f t="shared" si="264"/>
        <v>1-5-1S83°Z+S</v>
      </c>
      <c r="AR2109" s="1078" t="str">
        <f t="shared" si="265"/>
        <v>31</v>
      </c>
      <c r="AS2109" s="1078" t="str">
        <f t="shared" si="266"/>
        <v>235/235/OFF</v>
      </c>
      <c r="AT2109" s="1078" t="str">
        <f t="shared" si="267"/>
        <v>1-5-1S83°Z+S</v>
      </c>
      <c r="AU2109" s="1078" t="s">
        <v>15547</v>
      </c>
      <c r="AV2109" s="1078" t="str">
        <f t="shared" si="260"/>
        <v>110.1.15</v>
      </c>
      <c r="AW2109" s="1344">
        <f t="shared" si="261"/>
        <v>44211</v>
      </c>
    </row>
    <row r="2110" spans="1:49">
      <c r="A2110" s="1077" t="s">
        <v>6664</v>
      </c>
      <c r="B2110" s="1077" t="s">
        <v>210</v>
      </c>
      <c r="C2110" s="1077">
        <v>750</v>
      </c>
      <c r="D2110" s="1077">
        <v>1.76</v>
      </c>
      <c r="E2110" s="1077" t="s">
        <v>15094</v>
      </c>
      <c r="F2110" s="1077" t="s">
        <v>4013</v>
      </c>
      <c r="G2110" s="1077">
        <v>5</v>
      </c>
      <c r="H2110" s="1077" t="s">
        <v>4796</v>
      </c>
      <c r="I2110" s="1077" t="s">
        <v>126</v>
      </c>
      <c r="J2110" s="1077">
        <v>1.5</v>
      </c>
      <c r="K2110" s="1077" t="s">
        <v>5419</v>
      </c>
      <c r="L2110" s="1077" t="s">
        <v>4666</v>
      </c>
      <c r="M2110" s="1077">
        <v>152.19999999999999</v>
      </c>
      <c r="N2110" s="1077" t="s">
        <v>945</v>
      </c>
      <c r="O2110" s="1077">
        <v>3.8049999999999997</v>
      </c>
      <c r="P2110" s="1077">
        <v>3.044</v>
      </c>
      <c r="Q2110" s="1077" t="s">
        <v>940</v>
      </c>
      <c r="R2110" s="1077">
        <v>19</v>
      </c>
      <c r="T2110" s="1077">
        <v>16</v>
      </c>
      <c r="U2110" s="1077">
        <v>4</v>
      </c>
      <c r="V2110" s="1077" t="s">
        <v>648</v>
      </c>
      <c r="W2110" s="1077">
        <v>85</v>
      </c>
      <c r="X2110" s="1077">
        <v>10</v>
      </c>
      <c r="Y2110" s="1077">
        <v>1.5</v>
      </c>
      <c r="Z2110" s="1077">
        <v>5</v>
      </c>
      <c r="AA2110" s="1077" t="s">
        <v>5155</v>
      </c>
      <c r="AH2110" s="1077" t="s">
        <v>1221</v>
      </c>
      <c r="AM2110" s="1078" t="s">
        <v>13216</v>
      </c>
      <c r="AN2110" s="1078" t="s">
        <v>13217</v>
      </c>
      <c r="AO2110" s="1078">
        <f t="shared" si="262"/>
        <v>750</v>
      </c>
      <c r="AP2110" s="1078">
        <f t="shared" si="263"/>
        <v>1.76</v>
      </c>
      <c r="AQ2110" s="1078" t="str">
        <f t="shared" si="264"/>
        <v>1-5-1S91°</v>
      </c>
      <c r="AR2110" s="1078" t="str">
        <f t="shared" si="265"/>
        <v>30.3</v>
      </c>
      <c r="AS2110" s="1078" t="str">
        <f t="shared" si="266"/>
        <v>334/294/165</v>
      </c>
      <c r="AT2110" s="1078" t="str">
        <f t="shared" si="267"/>
        <v>1-5-1S91°</v>
      </c>
      <c r="AV2110" s="1078" t="str">
        <f t="shared" si="260"/>
        <v>110.3.3</v>
      </c>
      <c r="AW2110" s="1344">
        <f t="shared" si="261"/>
        <v>44258</v>
      </c>
    </row>
    <row r="2111" spans="1:49">
      <c r="A2111" s="1077" t="s">
        <v>6665</v>
      </c>
      <c r="B2111" s="1077" t="s">
        <v>210</v>
      </c>
      <c r="C2111" s="1077">
        <v>650</v>
      </c>
      <c r="D2111" s="1077">
        <v>1.7</v>
      </c>
      <c r="E2111" s="1077" t="s">
        <v>15094</v>
      </c>
      <c r="F2111" s="1077" t="s">
        <v>984</v>
      </c>
      <c r="G2111" s="1077">
        <v>5</v>
      </c>
      <c r="H2111" s="1077" t="s">
        <v>4806</v>
      </c>
      <c r="I2111" s="1077" t="s">
        <v>460</v>
      </c>
      <c r="J2111" s="1077">
        <v>3.2</v>
      </c>
      <c r="K2111" s="1077" t="s">
        <v>6666</v>
      </c>
      <c r="L2111" s="1077" t="s">
        <v>5332</v>
      </c>
      <c r="M2111" s="1077">
        <v>149.5</v>
      </c>
      <c r="N2111" s="1077" t="s">
        <v>945</v>
      </c>
      <c r="O2111" s="1077">
        <v>3.7375000000000003</v>
      </c>
      <c r="P2111" s="1077">
        <v>2.99</v>
      </c>
      <c r="Q2111" s="1077">
        <v>3.5</v>
      </c>
      <c r="R2111" s="1077">
        <v>21.5</v>
      </c>
      <c r="T2111" s="1077">
        <v>19.5</v>
      </c>
      <c r="U2111" s="1077">
        <v>2.9</v>
      </c>
      <c r="V2111" s="1077" t="s">
        <v>648</v>
      </c>
      <c r="W2111" s="1077">
        <v>100</v>
      </c>
      <c r="X2111" s="1077">
        <v>90</v>
      </c>
      <c r="Y2111" s="1077">
        <v>1.8</v>
      </c>
      <c r="Z2111" s="1077">
        <v>5.5</v>
      </c>
      <c r="AA2111" s="1077" t="s">
        <v>5160</v>
      </c>
      <c r="AB2111" s="1077" t="s">
        <v>981</v>
      </c>
      <c r="AH2111" s="1077" t="s">
        <v>758</v>
      </c>
      <c r="AM2111" s="1078" t="s">
        <v>13218</v>
      </c>
      <c r="AN2111" s="1078" t="s">
        <v>13219</v>
      </c>
      <c r="AO2111" s="1078">
        <f t="shared" si="262"/>
        <v>650</v>
      </c>
      <c r="AP2111" s="1078">
        <f t="shared" si="263"/>
        <v>1.7</v>
      </c>
      <c r="AQ2111" s="1078" t="str">
        <f t="shared" si="264"/>
        <v>1-5-1S91°</v>
      </c>
      <c r="AR2111" s="1078" t="str">
        <f t="shared" si="265"/>
        <v>30</v>
      </c>
      <c r="AS2111" s="1078" t="str">
        <f t="shared" si="266"/>
        <v>390/360/175</v>
      </c>
      <c r="AT2111" s="1078" t="str">
        <f t="shared" si="267"/>
        <v>1-5-1S91°</v>
      </c>
      <c r="AV2111" s="1078" t="str">
        <f t="shared" si="260"/>
        <v>110.5.21</v>
      </c>
      <c r="AW2111" s="1344">
        <f t="shared" si="261"/>
        <v>44337</v>
      </c>
    </row>
    <row r="2112" spans="1:49">
      <c r="A2112" s="1077" t="s">
        <v>6667</v>
      </c>
      <c r="B2112" s="1077" t="s">
        <v>847</v>
      </c>
      <c r="C2112" s="1077">
        <v>550</v>
      </c>
      <c r="D2112" s="1077">
        <v>1.78</v>
      </c>
      <c r="E2112" s="1077" t="s">
        <v>15111</v>
      </c>
      <c r="F2112" s="1077" t="s">
        <v>975</v>
      </c>
      <c r="G2112" s="1077">
        <v>4</v>
      </c>
      <c r="H2112" s="1077" t="s">
        <v>4940</v>
      </c>
      <c r="I2112" s="1077" t="s">
        <v>126</v>
      </c>
      <c r="J2112" s="1077">
        <v>0.9</v>
      </c>
      <c r="K2112" s="1077" t="s">
        <v>5783</v>
      </c>
      <c r="L2112" s="1077" t="s">
        <v>5037</v>
      </c>
      <c r="M2112" s="1077">
        <v>150</v>
      </c>
      <c r="N2112" s="1077" t="s">
        <v>945</v>
      </c>
      <c r="O2112" s="1077">
        <v>3.75</v>
      </c>
      <c r="P2112" s="1077">
        <v>3</v>
      </c>
      <c r="Q2112" s="1077">
        <v>3.5</v>
      </c>
      <c r="R2112" s="1077">
        <v>21.8</v>
      </c>
      <c r="T2112" s="1077">
        <v>19.5</v>
      </c>
      <c r="U2112" s="1077">
        <v>2.5</v>
      </c>
      <c r="V2112" s="1077" t="s">
        <v>648</v>
      </c>
      <c r="W2112" s="1077">
        <v>85</v>
      </c>
      <c r="X2112" s="1077">
        <v>10</v>
      </c>
      <c r="Y2112" s="1077">
        <v>2.1</v>
      </c>
      <c r="Z2112" s="1077">
        <v>5.5</v>
      </c>
      <c r="AA2112" s="1077" t="s">
        <v>3627</v>
      </c>
      <c r="AH2112" s="1077" t="s">
        <v>884</v>
      </c>
      <c r="AM2112" s="1078" t="s">
        <v>13220</v>
      </c>
      <c r="AN2112" s="1078" t="s">
        <v>13221</v>
      </c>
      <c r="AO2112" s="1078">
        <f t="shared" si="262"/>
        <v>550</v>
      </c>
      <c r="AP2112" s="1078">
        <f t="shared" si="263"/>
        <v>1.78</v>
      </c>
      <c r="AQ2112" s="1078" t="str">
        <f t="shared" si="264"/>
        <v>1-5-1S91</v>
      </c>
      <c r="AR2112" s="1078" t="str">
        <f t="shared" si="265"/>
        <v>31.5</v>
      </c>
      <c r="AS2112" s="1078" t="str">
        <f t="shared" si="266"/>
        <v>320/320/155</v>
      </c>
      <c r="AT2112" s="1078" t="str">
        <f t="shared" si="267"/>
        <v>1-5-1S91</v>
      </c>
      <c r="AV2112" s="1078" t="str">
        <f t="shared" si="260"/>
        <v>110.7.13</v>
      </c>
      <c r="AW2112" s="1344">
        <f t="shared" si="261"/>
        <v>44390</v>
      </c>
    </row>
    <row r="2113" spans="1:49">
      <c r="A2113" s="1077" t="s">
        <v>6668</v>
      </c>
      <c r="B2113" s="1077" t="s">
        <v>5314</v>
      </c>
      <c r="C2113" s="1077">
        <v>600</v>
      </c>
      <c r="D2113" s="1077">
        <v>1.73</v>
      </c>
      <c r="E2113" s="1077" t="s">
        <v>15116</v>
      </c>
      <c r="F2113" s="1077" t="s">
        <v>1514</v>
      </c>
      <c r="G2113" s="1077">
        <v>2</v>
      </c>
      <c r="H2113" s="1077" t="s">
        <v>1017</v>
      </c>
      <c r="I2113" s="1077" t="s">
        <v>126</v>
      </c>
      <c r="J2113" s="1077">
        <v>2</v>
      </c>
      <c r="K2113" s="1077" t="s">
        <v>6669</v>
      </c>
      <c r="L2113" s="1077" t="s">
        <v>1924</v>
      </c>
      <c r="M2113" s="1077">
        <v>150</v>
      </c>
      <c r="N2113" s="1077" t="s">
        <v>945</v>
      </c>
      <c r="O2113" s="1077">
        <v>3.75</v>
      </c>
      <c r="P2113" s="1077">
        <v>3</v>
      </c>
      <c r="Q2113" s="1077">
        <v>3</v>
      </c>
      <c r="R2113" s="1077">
        <v>28.5</v>
      </c>
      <c r="T2113" s="1077">
        <v>12.5</v>
      </c>
      <c r="U2113" s="1077">
        <v>7.4</v>
      </c>
      <c r="V2113" s="1077" t="s">
        <v>648</v>
      </c>
      <c r="W2113" s="1077">
        <v>125</v>
      </c>
      <c r="X2113" s="1077">
        <v>80</v>
      </c>
      <c r="Y2113" s="1077">
        <v>1.5</v>
      </c>
      <c r="Z2113" s="1077" t="s">
        <v>648</v>
      </c>
      <c r="AA2113" s="1077" t="s">
        <v>3722</v>
      </c>
      <c r="AH2113" s="1077" t="s">
        <v>1486</v>
      </c>
      <c r="AM2113" s="1078" t="s">
        <v>13222</v>
      </c>
      <c r="AN2113" s="1078" t="s">
        <v>13223</v>
      </c>
      <c r="AO2113" s="1078">
        <f t="shared" si="262"/>
        <v>600</v>
      </c>
      <c r="AP2113" s="1078">
        <f t="shared" si="263"/>
        <v>1.73</v>
      </c>
      <c r="AQ2113" s="1078" t="str">
        <f t="shared" si="264"/>
        <v>1-5-1S83°Z+S</v>
      </c>
      <c r="AR2113" s="1078" t="str">
        <f t="shared" si="265"/>
        <v>32</v>
      </c>
      <c r="AS2113" s="1078" t="str">
        <f t="shared" si="266"/>
        <v>200/200/OFF</v>
      </c>
      <c r="AT2113" s="1078" t="str">
        <f t="shared" si="267"/>
        <v>1-5-1S83°Z+S</v>
      </c>
      <c r="AU2113" s="1078" t="s">
        <v>15547</v>
      </c>
      <c r="AV2113" s="1078" t="str">
        <f t="shared" si="260"/>
        <v>110.9.8</v>
      </c>
      <c r="AW2113" s="1344">
        <f t="shared" si="261"/>
        <v>44447</v>
      </c>
    </row>
    <row r="2114" spans="1:49">
      <c r="A2114" s="1077" t="s">
        <v>6670</v>
      </c>
      <c r="B2114" s="1077" t="s">
        <v>5148</v>
      </c>
      <c r="C2114" s="1077">
        <v>650</v>
      </c>
      <c r="D2114" s="1077">
        <v>1.7649999999999999</v>
      </c>
      <c r="E2114" s="1077" t="s">
        <v>15102</v>
      </c>
      <c r="F2114" s="1077" t="s">
        <v>6671</v>
      </c>
      <c r="G2114" s="1077">
        <v>5</v>
      </c>
      <c r="H2114" s="1077" t="s">
        <v>1188</v>
      </c>
      <c r="I2114" s="1077" t="s">
        <v>460</v>
      </c>
      <c r="J2114" s="1077">
        <v>1.9</v>
      </c>
      <c r="K2114" s="1077" t="s">
        <v>5151</v>
      </c>
      <c r="L2114" s="1077" t="s">
        <v>5152</v>
      </c>
      <c r="M2114" s="1077">
        <v>148.6</v>
      </c>
      <c r="N2114" s="1077" t="s">
        <v>945</v>
      </c>
      <c r="O2114" s="1077">
        <v>3.7149999999999999</v>
      </c>
      <c r="P2114" s="1077">
        <v>2.972</v>
      </c>
      <c r="Q2114" s="1077">
        <v>3.5</v>
      </c>
      <c r="R2114" s="1077">
        <v>20.399999999999999</v>
      </c>
      <c r="T2114" s="1077" t="s">
        <v>5965</v>
      </c>
      <c r="U2114" s="1077">
        <v>3.7</v>
      </c>
      <c r="V2114" s="1077" t="s">
        <v>648</v>
      </c>
      <c r="W2114" s="1077">
        <v>105</v>
      </c>
      <c r="X2114" s="1077">
        <v>50</v>
      </c>
      <c r="Y2114" s="1077">
        <v>2</v>
      </c>
      <c r="Z2114" s="1077">
        <v>6.5</v>
      </c>
      <c r="AA2114" s="1077" t="s">
        <v>3960</v>
      </c>
      <c r="AH2114" s="1077" t="s">
        <v>1803</v>
      </c>
      <c r="AM2114" s="1078" t="s">
        <v>13224</v>
      </c>
      <c r="AN2114" s="1078" t="s">
        <v>13225</v>
      </c>
      <c r="AO2114" s="1078">
        <f t="shared" si="262"/>
        <v>650</v>
      </c>
      <c r="AP2114" s="1078">
        <f t="shared" si="263"/>
        <v>1.7649999999999999</v>
      </c>
      <c r="AQ2114" s="1078" t="str">
        <f t="shared" si="264"/>
        <v>2-6-1S83°</v>
      </c>
      <c r="AR2114" s="1078" t="str">
        <f t="shared" si="265"/>
        <v>33.3</v>
      </c>
      <c r="AS2114" s="1078" t="str">
        <f t="shared" si="266"/>
        <v>177/OFF</v>
      </c>
      <c r="AT2114" s="1078" t="str">
        <f t="shared" si="267"/>
        <v>2-6-1S83°</v>
      </c>
      <c r="AV2114" s="1078" t="str">
        <f t="shared" ref="AV2114:AV2177" si="268">AA2114</f>
        <v>110.11.3</v>
      </c>
      <c r="AW2114" s="1344">
        <f t="shared" si="261"/>
        <v>44503</v>
      </c>
    </row>
    <row r="2115" spans="1:49">
      <c r="A2115" s="1077" t="s">
        <v>6672</v>
      </c>
      <c r="B2115" s="1077" t="s">
        <v>5515</v>
      </c>
      <c r="C2115" s="1077">
        <v>550</v>
      </c>
      <c r="D2115" s="1077">
        <v>1.79</v>
      </c>
      <c r="E2115" s="1077" t="s">
        <v>15116</v>
      </c>
      <c r="F2115" s="1077" t="s">
        <v>2167</v>
      </c>
      <c r="G2115" s="1077">
        <v>4</v>
      </c>
      <c r="H2115" s="1077" t="s">
        <v>2295</v>
      </c>
      <c r="I2115" s="1077" t="s">
        <v>126</v>
      </c>
      <c r="J2115" s="1077">
        <v>1.8</v>
      </c>
      <c r="K2115" s="1077" t="s">
        <v>6673</v>
      </c>
      <c r="L2115" s="1077" t="s">
        <v>3441</v>
      </c>
      <c r="M2115" s="1077">
        <v>159.5</v>
      </c>
      <c r="N2115" s="1077" t="s">
        <v>945</v>
      </c>
      <c r="O2115" s="1077">
        <v>3.9875000000000003</v>
      </c>
      <c r="P2115" s="1077">
        <v>3.19</v>
      </c>
      <c r="Q2115" s="1077">
        <v>3</v>
      </c>
      <c r="R2115" s="1077">
        <v>33</v>
      </c>
      <c r="T2115" s="1077">
        <v>11.7</v>
      </c>
      <c r="U2115" s="1077">
        <v>6.3</v>
      </c>
      <c r="V2115" s="1077" t="s">
        <v>648</v>
      </c>
      <c r="W2115" s="1077">
        <v>135</v>
      </c>
      <c r="X2115" s="1077">
        <v>85</v>
      </c>
      <c r="Y2115" s="1077">
        <v>1.4</v>
      </c>
      <c r="Z2115" s="1077" t="s">
        <v>648</v>
      </c>
      <c r="AA2115" s="1077" t="s">
        <v>4254</v>
      </c>
      <c r="AH2115" s="1077" t="s">
        <v>722</v>
      </c>
      <c r="AM2115" s="1078" t="s">
        <v>13226</v>
      </c>
      <c r="AN2115" s="1078" t="s">
        <v>13227</v>
      </c>
      <c r="AO2115" s="1078">
        <f t="shared" si="262"/>
        <v>550</v>
      </c>
      <c r="AP2115" s="1078">
        <f t="shared" si="263"/>
        <v>1.79</v>
      </c>
      <c r="AQ2115" s="1078" t="str">
        <f t="shared" si="264"/>
        <v>1-5-1S83°Z+S</v>
      </c>
      <c r="AR2115" s="1078" t="str">
        <f t="shared" si="265"/>
        <v>33</v>
      </c>
      <c r="AS2115" s="1078" t="str">
        <f t="shared" si="266"/>
        <v>205/205/OFF</v>
      </c>
      <c r="AT2115" s="1078" t="str">
        <f t="shared" si="267"/>
        <v>1-5-1S83°Z+S</v>
      </c>
      <c r="AU2115" s="1078" t="s">
        <v>15547</v>
      </c>
      <c r="AV2115" s="1078" t="str">
        <f t="shared" si="268"/>
        <v>110.12.14</v>
      </c>
      <c r="AW2115" s="1344">
        <f t="shared" ref="AW2115:AW2178" si="269">DATE(VALUE(LEFT(AV2115,FIND(".",AV2115)-1))+1911,
       VALUE(MID(AV2115,FIND(".",AV2115)+1,FIND(".",AV2115,FIND(".",AV2115)+1)-FIND(".",AV2115)-1)),
       VALUE(RIGHT(AV2115,LEN(AV2115)-FIND("~",SUBSTITUTE(AV2115,".","~",2)))))</f>
        <v>44544</v>
      </c>
    </row>
    <row r="2116" spans="1:49">
      <c r="A2116" s="1077" t="s">
        <v>6674</v>
      </c>
      <c r="B2116" s="1077" t="s">
        <v>210</v>
      </c>
      <c r="C2116" s="1077">
        <v>600</v>
      </c>
      <c r="D2116" s="1077">
        <v>1.75</v>
      </c>
      <c r="E2116" s="1077" t="s">
        <v>15102</v>
      </c>
      <c r="F2116" s="1077" t="s">
        <v>984</v>
      </c>
      <c r="G2116" s="1077">
        <v>5</v>
      </c>
      <c r="H2116" s="1077" t="s">
        <v>3482</v>
      </c>
      <c r="I2116" s="1077" t="s">
        <v>1112</v>
      </c>
      <c r="J2116" s="1077">
        <v>0.8</v>
      </c>
      <c r="K2116" s="1077" t="s">
        <v>6380</v>
      </c>
      <c r="L2116" s="1077" t="s">
        <v>6291</v>
      </c>
      <c r="M2116" s="1077">
        <v>151.5</v>
      </c>
      <c r="N2116" s="1077" t="s">
        <v>945</v>
      </c>
      <c r="O2116" s="1077">
        <v>3.7875000000000001</v>
      </c>
      <c r="P2116" s="1077">
        <v>3.0300000000000002</v>
      </c>
      <c r="Q2116" s="1077">
        <v>3.5</v>
      </c>
      <c r="R2116" s="1077" t="s">
        <v>6675</v>
      </c>
      <c r="T2116" s="1077">
        <v>23.7</v>
      </c>
      <c r="U2116" s="1077">
        <v>3.2</v>
      </c>
      <c r="V2116" s="1077" t="s">
        <v>648</v>
      </c>
      <c r="W2116" s="1077">
        <v>35</v>
      </c>
      <c r="X2116" s="1077">
        <v>10</v>
      </c>
      <c r="Y2116" s="1077">
        <v>1</v>
      </c>
      <c r="Z2116" s="1077">
        <v>6</v>
      </c>
      <c r="AA2116" s="1077" t="s">
        <v>2078</v>
      </c>
      <c r="AH2116" s="1077" t="s">
        <v>853</v>
      </c>
      <c r="AI2116" s="1077">
        <v>91.59</v>
      </c>
      <c r="AJ2116" s="1077">
        <v>-0.44</v>
      </c>
      <c r="AK2116" s="1077">
        <v>1.04</v>
      </c>
      <c r="AM2116" s="1078" t="s">
        <v>13228</v>
      </c>
      <c r="AN2116" s="1078" t="s">
        <v>13229</v>
      </c>
      <c r="AO2116" s="1078">
        <f t="shared" si="262"/>
        <v>600</v>
      </c>
      <c r="AP2116" s="1078">
        <f t="shared" si="263"/>
        <v>1.75</v>
      </c>
      <c r="AQ2116" s="1078" t="str">
        <f t="shared" si="264"/>
        <v>2-6-1S83°</v>
      </c>
      <c r="AR2116" s="1078" t="str">
        <f t="shared" si="265"/>
        <v>30</v>
      </c>
      <c r="AS2116" s="1078" t="str">
        <f t="shared" si="266"/>
        <v>170/160</v>
      </c>
      <c r="AT2116" s="1078" t="str">
        <f t="shared" si="267"/>
        <v>2-6-1S83°</v>
      </c>
      <c r="AV2116" s="1078" t="str">
        <f t="shared" si="268"/>
        <v>113.9.11</v>
      </c>
      <c r="AW2116" s="1344">
        <f t="shared" si="269"/>
        <v>45546</v>
      </c>
    </row>
    <row r="2117" spans="1:49">
      <c r="A2117" s="1077" t="s">
        <v>6676</v>
      </c>
      <c r="B2117" s="1077" t="s">
        <v>5887</v>
      </c>
      <c r="C2117" s="1077">
        <v>600</v>
      </c>
      <c r="D2117" s="1077">
        <v>1.81</v>
      </c>
      <c r="E2117" s="1077" t="s">
        <v>15095</v>
      </c>
      <c r="F2117" s="1077" t="s">
        <v>2234</v>
      </c>
      <c r="G2117" s="1077">
        <v>5</v>
      </c>
      <c r="H2117" s="1077" t="s">
        <v>5126</v>
      </c>
      <c r="I2117" s="1077" t="s">
        <v>126</v>
      </c>
      <c r="J2117" s="1077">
        <v>1.6</v>
      </c>
      <c r="K2117" s="1077" t="s">
        <v>6677</v>
      </c>
      <c r="L2117" s="1077" t="s">
        <v>5787</v>
      </c>
      <c r="M2117" s="1077">
        <v>149.5</v>
      </c>
      <c r="N2117" s="1077" t="s">
        <v>945</v>
      </c>
      <c r="O2117" s="1077">
        <v>3.7375000000000003</v>
      </c>
      <c r="P2117" s="1077">
        <v>2.99</v>
      </c>
      <c r="Q2117" s="1077">
        <v>3.5</v>
      </c>
      <c r="R2117" s="1077">
        <v>22</v>
      </c>
      <c r="T2117" s="1077">
        <v>16</v>
      </c>
      <c r="U2117" s="1077">
        <v>4</v>
      </c>
      <c r="V2117" s="1077" t="s">
        <v>648</v>
      </c>
      <c r="W2117" s="1077">
        <v>85</v>
      </c>
      <c r="X2117" s="1077">
        <v>10</v>
      </c>
      <c r="Y2117" s="1077">
        <v>1.4</v>
      </c>
      <c r="Z2117" s="1077">
        <v>6</v>
      </c>
      <c r="AA2117" s="1077" t="s">
        <v>2080</v>
      </c>
      <c r="AH2117" s="1077" t="s">
        <v>1137</v>
      </c>
      <c r="AI2117" s="1077">
        <v>93.59</v>
      </c>
      <c r="AJ2117" s="1077">
        <v>-0.28000000000000003</v>
      </c>
      <c r="AK2117" s="1077">
        <v>1.24</v>
      </c>
      <c r="AM2117" s="1078" t="s">
        <v>13230</v>
      </c>
      <c r="AN2117" s="1078" t="s">
        <v>13231</v>
      </c>
      <c r="AO2117" s="1078">
        <f t="shared" si="262"/>
        <v>600</v>
      </c>
      <c r="AP2117" s="1078">
        <f t="shared" si="263"/>
        <v>1.81</v>
      </c>
      <c r="AQ2117" s="1078" t="str">
        <f t="shared" si="264"/>
        <v>1-5-1S83°</v>
      </c>
      <c r="AR2117" s="1078" t="str">
        <f t="shared" si="265"/>
        <v>33.5</v>
      </c>
      <c r="AS2117" s="1078" t="str">
        <f t="shared" si="266"/>
        <v>300/300/140</v>
      </c>
      <c r="AT2117" s="1078" t="str">
        <f t="shared" si="267"/>
        <v>1-5-1S83°</v>
      </c>
      <c r="AV2117" s="1078" t="str">
        <f t="shared" si="268"/>
        <v>113.9.12</v>
      </c>
      <c r="AW2117" s="1344">
        <f t="shared" si="269"/>
        <v>45547</v>
      </c>
    </row>
    <row r="2118" spans="1:49">
      <c r="A2118" s="1077" t="s">
        <v>6678</v>
      </c>
      <c r="B2118" s="1077" t="s">
        <v>880</v>
      </c>
      <c r="C2118" s="1077">
        <v>600</v>
      </c>
      <c r="D2118" s="1077">
        <v>1.78</v>
      </c>
      <c r="E2118" s="1077" t="s">
        <v>15116</v>
      </c>
      <c r="F2118" s="1077" t="s">
        <v>2234</v>
      </c>
      <c r="G2118" s="1077">
        <v>5</v>
      </c>
      <c r="H2118" s="1077" t="s">
        <v>2144</v>
      </c>
      <c r="I2118" s="1077" t="s">
        <v>460</v>
      </c>
      <c r="J2118" s="1077">
        <v>1.3</v>
      </c>
      <c r="K2118" s="1077" t="s">
        <v>6679</v>
      </c>
      <c r="L2118" s="1077" t="s">
        <v>6646</v>
      </c>
      <c r="M2118" s="1077">
        <v>152</v>
      </c>
      <c r="N2118" s="1077" t="s">
        <v>945</v>
      </c>
      <c r="O2118" s="1077">
        <v>3.8000000000000003</v>
      </c>
      <c r="P2118" s="1077">
        <v>3.04</v>
      </c>
      <c r="Q2118" s="1077">
        <v>3.5</v>
      </c>
      <c r="R2118" s="1077">
        <v>24.5</v>
      </c>
      <c r="T2118" s="1077">
        <v>22</v>
      </c>
      <c r="U2118" s="1077">
        <v>3</v>
      </c>
      <c r="V2118" s="1077" t="s">
        <v>648</v>
      </c>
      <c r="W2118" s="1077">
        <v>60</v>
      </c>
      <c r="X2118" s="1077">
        <v>10</v>
      </c>
      <c r="Y2118" s="1077">
        <v>1.5</v>
      </c>
      <c r="Z2118" s="1077" t="s">
        <v>648</v>
      </c>
      <c r="AA2118" s="1077" t="s">
        <v>2080</v>
      </c>
      <c r="AH2118" s="1077" t="s">
        <v>830</v>
      </c>
      <c r="AI2118" s="1077">
        <v>58.19</v>
      </c>
      <c r="AJ2118" s="1077">
        <v>44.03</v>
      </c>
      <c r="AK2118" s="1077">
        <v>57.95</v>
      </c>
      <c r="AM2118" s="1078" t="s">
        <v>13232</v>
      </c>
      <c r="AN2118" s="1078" t="s">
        <v>13233</v>
      </c>
      <c r="AO2118" s="1078">
        <f t="shared" si="262"/>
        <v>600</v>
      </c>
      <c r="AP2118" s="1078">
        <f t="shared" si="263"/>
        <v>1.78</v>
      </c>
      <c r="AQ2118" s="1078" t="str">
        <f t="shared" si="264"/>
        <v>1-5-1S83°Z+S</v>
      </c>
      <c r="AR2118" s="1078" t="str">
        <f t="shared" si="265"/>
        <v>33.5</v>
      </c>
      <c r="AS2118" s="1078" t="str">
        <f t="shared" si="266"/>
        <v>250/250/155</v>
      </c>
      <c r="AT2118" s="1078" t="str">
        <f t="shared" si="267"/>
        <v>1-5-1S83°Z+S</v>
      </c>
      <c r="AU2118" s="1078" t="s">
        <v>15547</v>
      </c>
      <c r="AV2118" s="1078" t="str">
        <f t="shared" si="268"/>
        <v>113.9.12</v>
      </c>
      <c r="AW2118" s="1344">
        <f t="shared" si="269"/>
        <v>45547</v>
      </c>
    </row>
    <row r="2119" spans="1:49">
      <c r="A2119" s="1077" t="s">
        <v>6680</v>
      </c>
      <c r="B2119" s="1077" t="s">
        <v>210</v>
      </c>
      <c r="C2119" s="1077">
        <v>650</v>
      </c>
      <c r="D2119" s="1077">
        <v>1.77</v>
      </c>
      <c r="E2119" s="1077" t="s">
        <v>15094</v>
      </c>
      <c r="F2119" s="1077" t="s">
        <v>984</v>
      </c>
      <c r="G2119" s="1077">
        <v>5</v>
      </c>
      <c r="H2119" s="1077" t="s">
        <v>6560</v>
      </c>
      <c r="I2119" s="1077" t="s">
        <v>648</v>
      </c>
      <c r="J2119" s="1077">
        <v>0</v>
      </c>
      <c r="K2119" s="1077" t="s">
        <v>6461</v>
      </c>
      <c r="L2119" s="1077" t="s">
        <v>6291</v>
      </c>
      <c r="M2119" s="1077">
        <v>151.5</v>
      </c>
      <c r="N2119" s="1077" t="s">
        <v>945</v>
      </c>
      <c r="O2119" s="1077">
        <v>3.7875000000000001</v>
      </c>
      <c r="P2119" s="1077">
        <v>3.0300000000000002</v>
      </c>
      <c r="Q2119" s="1077">
        <v>4</v>
      </c>
      <c r="R2119" s="1077">
        <v>19.100000000000001</v>
      </c>
      <c r="T2119" s="1077">
        <v>19</v>
      </c>
      <c r="U2119" s="1077">
        <v>2.5</v>
      </c>
      <c r="V2119" s="1077" t="s">
        <v>648</v>
      </c>
      <c r="W2119" s="1077" t="s">
        <v>648</v>
      </c>
      <c r="X2119" s="1077" t="s">
        <v>648</v>
      </c>
      <c r="Y2119" s="1077">
        <v>1</v>
      </c>
      <c r="Z2119" s="1077">
        <v>5</v>
      </c>
      <c r="AA2119" s="1077" t="s">
        <v>2082</v>
      </c>
      <c r="AH2119" s="1077" t="s">
        <v>878</v>
      </c>
      <c r="AI2119" s="1077">
        <v>91.62</v>
      </c>
      <c r="AJ2119" s="1077">
        <v>-0.47</v>
      </c>
      <c r="AK2119" s="1077">
        <v>1.1599999999999999</v>
      </c>
      <c r="AM2119" s="1078" t="s">
        <v>13234</v>
      </c>
      <c r="AN2119" s="1078" t="s">
        <v>13235</v>
      </c>
      <c r="AO2119" s="1078">
        <f t="shared" si="262"/>
        <v>650</v>
      </c>
      <c r="AP2119" s="1078">
        <f t="shared" si="263"/>
        <v>1.77</v>
      </c>
      <c r="AQ2119" s="1078" t="str">
        <f t="shared" si="264"/>
        <v>1-5-1S91°</v>
      </c>
      <c r="AR2119" s="1078" t="str">
        <f t="shared" si="265"/>
        <v>30</v>
      </c>
      <c r="AS2119" s="1078" t="str">
        <f t="shared" si="266"/>
        <v>350/310/155</v>
      </c>
      <c r="AT2119" s="1078" t="str">
        <f t="shared" si="267"/>
        <v>1-5-1S91°</v>
      </c>
      <c r="AV2119" s="1078" t="str">
        <f t="shared" si="268"/>
        <v>113.9.13</v>
      </c>
      <c r="AW2119" s="1344">
        <f t="shared" si="269"/>
        <v>45548</v>
      </c>
    </row>
    <row r="2120" spans="1:49">
      <c r="A2120" s="1077" t="s">
        <v>6681</v>
      </c>
      <c r="B2120" s="1077" t="s">
        <v>210</v>
      </c>
      <c r="C2120" s="1077">
        <v>650</v>
      </c>
      <c r="D2120" s="1077">
        <v>1.72</v>
      </c>
      <c r="E2120" s="1077" t="s">
        <v>15094</v>
      </c>
      <c r="F2120" s="1077" t="s">
        <v>984</v>
      </c>
      <c r="G2120" s="1077">
        <v>5</v>
      </c>
      <c r="H2120" s="1077" t="s">
        <v>6682</v>
      </c>
      <c r="I2120" s="1077" t="s">
        <v>1112</v>
      </c>
      <c r="J2120" s="1077">
        <v>1.8</v>
      </c>
      <c r="K2120" s="1077" t="s">
        <v>6683</v>
      </c>
      <c r="L2120" s="1077" t="s">
        <v>6684</v>
      </c>
      <c r="M2120" s="1077">
        <v>152.19999999999999</v>
      </c>
      <c r="N2120" s="1077" t="s">
        <v>945</v>
      </c>
      <c r="O2120" s="1077">
        <v>3.8049999999999997</v>
      </c>
      <c r="P2120" s="1077">
        <v>3.044</v>
      </c>
      <c r="Q2120" s="1077">
        <v>4</v>
      </c>
      <c r="R2120" s="1077" t="s">
        <v>6685</v>
      </c>
      <c r="T2120" s="1077">
        <v>16</v>
      </c>
      <c r="U2120" s="1077">
        <v>4</v>
      </c>
      <c r="V2120" s="1077" t="s">
        <v>648</v>
      </c>
      <c r="W2120" s="1077">
        <v>95</v>
      </c>
      <c r="X2120" s="1077">
        <v>20</v>
      </c>
      <c r="Y2120" s="1077">
        <v>1.5</v>
      </c>
      <c r="Z2120" s="1077">
        <v>5</v>
      </c>
      <c r="AA2120" s="1077" t="s">
        <v>6686</v>
      </c>
      <c r="AH2120" s="1077" t="s">
        <v>1053</v>
      </c>
      <c r="AI2120" s="1077">
        <v>91.31</v>
      </c>
      <c r="AJ2120" s="1077">
        <v>-0.41</v>
      </c>
      <c r="AK2120" s="1077">
        <v>2.17</v>
      </c>
      <c r="AM2120" s="1078" t="s">
        <v>13236</v>
      </c>
      <c r="AN2120" s="1078" t="s">
        <v>12964</v>
      </c>
      <c r="AO2120" s="1078">
        <f t="shared" si="262"/>
        <v>650</v>
      </c>
      <c r="AP2120" s="1078">
        <f t="shared" si="263"/>
        <v>1.72</v>
      </c>
      <c r="AQ2120" s="1078" t="str">
        <f t="shared" si="264"/>
        <v>1-5-1S91°</v>
      </c>
      <c r="AR2120" s="1078" t="str">
        <f t="shared" si="265"/>
        <v>30</v>
      </c>
      <c r="AS2120" s="1078" t="str">
        <f t="shared" si="266"/>
        <v>170/165</v>
      </c>
      <c r="AT2120" s="1078" t="str">
        <f t="shared" si="267"/>
        <v>1-5-1S91°</v>
      </c>
      <c r="AV2120" s="1078" t="str">
        <f t="shared" si="268"/>
        <v>113.9.18</v>
      </c>
      <c r="AW2120" s="1344">
        <f t="shared" si="269"/>
        <v>45553</v>
      </c>
    </row>
    <row r="2121" spans="1:49">
      <c r="A2121" s="1077" t="s">
        <v>6687</v>
      </c>
      <c r="B2121" s="1077" t="s">
        <v>6688</v>
      </c>
      <c r="C2121" s="1077">
        <v>500</v>
      </c>
      <c r="D2121" s="1077">
        <v>1.77</v>
      </c>
      <c r="E2121" s="1077" t="s">
        <v>15094</v>
      </c>
      <c r="F2121" s="1077" t="s">
        <v>984</v>
      </c>
      <c r="G2121" s="1077">
        <v>5</v>
      </c>
      <c r="H2121" s="1077" t="s">
        <v>5458</v>
      </c>
      <c r="I2121" s="1077" t="s">
        <v>126</v>
      </c>
      <c r="J2121" s="1077">
        <v>0.5</v>
      </c>
      <c r="K2121" s="1077" t="s">
        <v>6689</v>
      </c>
      <c r="L2121" s="1077" t="s">
        <v>6690</v>
      </c>
      <c r="M2121" s="1077">
        <v>150</v>
      </c>
      <c r="N2121" s="1077" t="s">
        <v>945</v>
      </c>
      <c r="O2121" s="1077">
        <v>3.75</v>
      </c>
      <c r="P2121" s="1077">
        <v>3</v>
      </c>
      <c r="Q2121" s="1077">
        <v>2.5</v>
      </c>
      <c r="R2121" s="1077">
        <v>33</v>
      </c>
      <c r="T2121" s="1077">
        <v>8</v>
      </c>
      <c r="U2121" s="1077">
        <v>3.8</v>
      </c>
      <c r="V2121" s="1077" t="s">
        <v>648</v>
      </c>
      <c r="W2121" s="1077">
        <v>30</v>
      </c>
      <c r="X2121" s="1077">
        <v>10</v>
      </c>
      <c r="Y2121" s="1077">
        <v>1.5</v>
      </c>
      <c r="Z2121" s="1077">
        <v>4</v>
      </c>
      <c r="AA2121" s="1077" t="s">
        <v>6691</v>
      </c>
      <c r="AB2121" s="1077" t="s">
        <v>6692</v>
      </c>
      <c r="AH2121" s="1077" t="s">
        <v>1238</v>
      </c>
      <c r="AI2121" s="1077">
        <v>90.93</v>
      </c>
      <c r="AJ2121" s="1077">
        <v>-0.86</v>
      </c>
      <c r="AK2121" s="1077">
        <v>6.64</v>
      </c>
      <c r="AM2121" s="1078" t="s">
        <v>13237</v>
      </c>
      <c r="AN2121" s="1078" t="s">
        <v>13238</v>
      </c>
      <c r="AO2121" s="1078">
        <f t="shared" si="262"/>
        <v>500</v>
      </c>
      <c r="AP2121" s="1078">
        <f t="shared" si="263"/>
        <v>1.77</v>
      </c>
      <c r="AQ2121" s="1078" t="str">
        <f t="shared" si="264"/>
        <v>1-5-1S91°</v>
      </c>
      <c r="AR2121" s="1078" t="str">
        <f t="shared" si="265"/>
        <v>30</v>
      </c>
      <c r="AS2121" s="1078" t="str">
        <f t="shared" si="266"/>
        <v>255/255/150</v>
      </c>
      <c r="AT2121" s="1078" t="str">
        <f t="shared" si="267"/>
        <v>1-5-1S91°</v>
      </c>
      <c r="AV2121" s="1078" t="str">
        <f t="shared" si="268"/>
        <v>113.9.20</v>
      </c>
      <c r="AW2121" s="1344">
        <f t="shared" si="269"/>
        <v>45555</v>
      </c>
    </row>
    <row r="2122" spans="1:49">
      <c r="A2122" s="1077" t="s">
        <v>6693</v>
      </c>
      <c r="B2122" s="1077" t="s">
        <v>210</v>
      </c>
      <c r="C2122" s="1077">
        <v>650</v>
      </c>
      <c r="D2122" s="1077">
        <v>1.75</v>
      </c>
      <c r="E2122" s="1077" t="s">
        <v>15094</v>
      </c>
      <c r="F2122" s="1077" t="s">
        <v>984</v>
      </c>
      <c r="G2122" s="1077" t="s">
        <v>6694</v>
      </c>
      <c r="H2122" s="1077" t="s">
        <v>6369</v>
      </c>
      <c r="I2122" s="1077" t="s">
        <v>1112</v>
      </c>
      <c r="J2122" s="1077">
        <v>1.8</v>
      </c>
      <c r="K2122" s="1077" t="s">
        <v>6627</v>
      </c>
      <c r="L2122" s="1077" t="s">
        <v>4666</v>
      </c>
      <c r="M2122" s="1077">
        <v>152.19999999999999</v>
      </c>
      <c r="N2122" s="1077" t="s">
        <v>945</v>
      </c>
      <c r="O2122" s="1077">
        <v>3.8049999999999997</v>
      </c>
      <c r="P2122" s="1077">
        <v>3.044</v>
      </c>
      <c r="Q2122" s="1077">
        <v>4</v>
      </c>
      <c r="R2122" s="1077">
        <v>19</v>
      </c>
      <c r="T2122" s="1077">
        <v>16</v>
      </c>
      <c r="U2122" s="1077">
        <v>4</v>
      </c>
      <c r="V2122" s="1077" t="s">
        <v>648</v>
      </c>
      <c r="W2122" s="1077">
        <v>95</v>
      </c>
      <c r="X2122" s="1077">
        <v>20</v>
      </c>
      <c r="Y2122" s="1077">
        <v>1.5</v>
      </c>
      <c r="Z2122" s="1077">
        <v>5</v>
      </c>
      <c r="AA2122" s="1077" t="s">
        <v>6695</v>
      </c>
      <c r="AH2122" s="1077" t="s">
        <v>6696</v>
      </c>
      <c r="AI2122" s="1077">
        <v>94.3</v>
      </c>
      <c r="AJ2122" s="1077">
        <v>-0.53</v>
      </c>
      <c r="AK2122" s="1077">
        <v>1.1299999999999999</v>
      </c>
      <c r="AM2122" s="1078" t="s">
        <v>13239</v>
      </c>
      <c r="AN2122" s="1078" t="s">
        <v>13240</v>
      </c>
      <c r="AO2122" s="1078">
        <f t="shared" si="262"/>
        <v>650</v>
      </c>
      <c r="AP2122" s="1078">
        <f t="shared" si="263"/>
        <v>1.75</v>
      </c>
      <c r="AQ2122" s="1078" t="str">
        <f t="shared" si="264"/>
        <v>1-5-1S91°</v>
      </c>
      <c r="AR2122" s="1078" t="str">
        <f t="shared" si="265"/>
        <v>30</v>
      </c>
      <c r="AS2122" s="1078" t="str">
        <f t="shared" si="266"/>
        <v>168/165</v>
      </c>
      <c r="AT2122" s="1078" t="str">
        <f t="shared" si="267"/>
        <v>1-5-1S91°</v>
      </c>
      <c r="AV2122" s="1078" t="str">
        <f t="shared" si="268"/>
        <v>113.9.24</v>
      </c>
      <c r="AW2122" s="1344">
        <f t="shared" si="269"/>
        <v>45559</v>
      </c>
    </row>
    <row r="2123" spans="1:49">
      <c r="A2123" s="1077" t="s">
        <v>6697</v>
      </c>
      <c r="B2123" s="1077" t="s">
        <v>682</v>
      </c>
      <c r="C2123" s="1077">
        <v>600</v>
      </c>
      <c r="D2123" s="1077">
        <v>1.78</v>
      </c>
      <c r="E2123" s="1077" t="s">
        <v>15116</v>
      </c>
      <c r="F2123" s="1077" t="s">
        <v>2234</v>
      </c>
      <c r="G2123" s="1077">
        <v>2</v>
      </c>
      <c r="H2123" s="1077" t="s">
        <v>6698</v>
      </c>
      <c r="I2123" s="1077" t="s">
        <v>460</v>
      </c>
      <c r="J2123" s="1077">
        <v>1.3</v>
      </c>
      <c r="K2123" s="1077" t="s">
        <v>6699</v>
      </c>
      <c r="L2123" s="1077" t="s">
        <v>6700</v>
      </c>
      <c r="M2123" s="1077">
        <v>152</v>
      </c>
      <c r="N2123" s="1077" t="s">
        <v>945</v>
      </c>
      <c r="O2123" s="1077">
        <v>3.8000000000000003</v>
      </c>
      <c r="P2123" s="1077">
        <v>3.04</v>
      </c>
      <c r="Q2123" s="1077">
        <v>3.5</v>
      </c>
      <c r="R2123" s="1077">
        <v>24.5</v>
      </c>
      <c r="T2123" s="1077">
        <v>22</v>
      </c>
      <c r="U2123" s="1077">
        <v>3</v>
      </c>
      <c r="V2123" s="1077" t="s">
        <v>648</v>
      </c>
      <c r="W2123" s="1077">
        <v>60</v>
      </c>
      <c r="X2123" s="1077">
        <v>10</v>
      </c>
      <c r="Y2123" s="1077">
        <v>1.5</v>
      </c>
      <c r="Z2123" s="1077" t="s">
        <v>648</v>
      </c>
      <c r="AA2123" s="1077" t="s">
        <v>6695</v>
      </c>
      <c r="AH2123" s="1077" t="s">
        <v>887</v>
      </c>
      <c r="AI2123" s="1077">
        <v>98.07</v>
      </c>
      <c r="AJ2123" s="1077">
        <v>-0.2</v>
      </c>
      <c r="AK2123" s="1077">
        <v>0.1</v>
      </c>
      <c r="AM2123" s="1078" t="s">
        <v>13241</v>
      </c>
      <c r="AN2123" s="1078" t="s">
        <v>13242</v>
      </c>
      <c r="AO2123" s="1078">
        <f t="shared" ref="AO2123:AO2186" si="270">C2123</f>
        <v>600</v>
      </c>
      <c r="AP2123" s="1078">
        <f t="shared" ref="AP2123:AP2186" si="271">D2123</f>
        <v>1.78</v>
      </c>
      <c r="AQ2123" s="1078" t="str">
        <f t="shared" ref="AQ2123:AQ2186" si="272">E2123</f>
        <v>1-5-1S83°Z+S</v>
      </c>
      <c r="AR2123" s="1078" t="str">
        <f t="shared" ref="AR2123:AR2186" si="273">F2123</f>
        <v>33.5</v>
      </c>
      <c r="AS2123" s="1078" t="str">
        <f t="shared" ref="AS2123:AS2186" si="274">H2123</f>
        <v>250/250/145</v>
      </c>
      <c r="AT2123" s="1078" t="str">
        <f t="shared" ref="AT2123:AT2186" si="275">E2123</f>
        <v>1-5-1S83°Z+S</v>
      </c>
      <c r="AU2123" s="1078" t="s">
        <v>15547</v>
      </c>
      <c r="AV2123" s="1078" t="str">
        <f t="shared" si="268"/>
        <v>113.9.24</v>
      </c>
      <c r="AW2123" s="1344">
        <f t="shared" si="269"/>
        <v>45559</v>
      </c>
    </row>
    <row r="2124" spans="1:49">
      <c r="A2124" s="1077" t="s">
        <v>6701</v>
      </c>
      <c r="B2124" s="1077" t="s">
        <v>6702</v>
      </c>
      <c r="C2124" s="1077">
        <v>600</v>
      </c>
      <c r="D2124" s="1077">
        <v>1.76</v>
      </c>
      <c r="E2124" s="1077" t="s">
        <v>15116</v>
      </c>
      <c r="F2124" s="1077" t="s">
        <v>2234</v>
      </c>
      <c r="G2124" s="1077">
        <v>2</v>
      </c>
      <c r="H2124" s="1077" t="s">
        <v>2144</v>
      </c>
      <c r="I2124" s="1077" t="s">
        <v>460</v>
      </c>
      <c r="J2124" s="1077">
        <v>1.5</v>
      </c>
      <c r="K2124" s="1077" t="s">
        <v>6703</v>
      </c>
      <c r="L2124" s="1077" t="s">
        <v>6704</v>
      </c>
      <c r="M2124" s="1077">
        <v>152</v>
      </c>
      <c r="N2124" s="1077" t="s">
        <v>945</v>
      </c>
      <c r="O2124" s="1077">
        <v>3.8000000000000003</v>
      </c>
      <c r="P2124" s="1077">
        <v>3.04</v>
      </c>
      <c r="Q2124" s="1077">
        <v>3.5</v>
      </c>
      <c r="R2124" s="1077">
        <v>24.5</v>
      </c>
      <c r="T2124" s="1077">
        <v>22</v>
      </c>
      <c r="U2124" s="1077">
        <v>3</v>
      </c>
      <c r="V2124" s="1077" t="s">
        <v>648</v>
      </c>
      <c r="W2124" s="1077">
        <v>60</v>
      </c>
      <c r="X2124" s="1077">
        <v>10</v>
      </c>
      <c r="Y2124" s="1077">
        <v>1.5</v>
      </c>
      <c r="Z2124" s="1077" t="s">
        <v>648</v>
      </c>
      <c r="AA2124" s="1077" t="s">
        <v>2093</v>
      </c>
      <c r="AH2124" s="1077" t="s">
        <v>869</v>
      </c>
      <c r="AI2124" s="1077">
        <v>84.3</v>
      </c>
      <c r="AJ2124" s="1077">
        <v>-9.1300000000000008</v>
      </c>
      <c r="AK2124" s="1077">
        <v>83.48</v>
      </c>
      <c r="AM2124" s="1078" t="s">
        <v>13243</v>
      </c>
      <c r="AN2124" s="1078" t="s">
        <v>13244</v>
      </c>
      <c r="AO2124" s="1078">
        <f t="shared" si="270"/>
        <v>600</v>
      </c>
      <c r="AP2124" s="1078">
        <f t="shared" si="271"/>
        <v>1.76</v>
      </c>
      <c r="AQ2124" s="1078" t="str">
        <f t="shared" si="272"/>
        <v>1-5-1S83°Z+S</v>
      </c>
      <c r="AR2124" s="1078" t="str">
        <f t="shared" si="273"/>
        <v>33.5</v>
      </c>
      <c r="AS2124" s="1078" t="str">
        <f t="shared" si="274"/>
        <v>250/250/155</v>
      </c>
      <c r="AT2124" s="1078" t="str">
        <f t="shared" si="275"/>
        <v>1-5-1S83°Z+S</v>
      </c>
      <c r="AU2124" s="1078" t="s">
        <v>15547</v>
      </c>
      <c r="AV2124" s="1078" t="str">
        <f t="shared" si="268"/>
        <v>113.9.26</v>
      </c>
      <c r="AW2124" s="1344">
        <f t="shared" si="269"/>
        <v>45561</v>
      </c>
    </row>
    <row r="2125" spans="1:49">
      <c r="A2125" s="1077" t="s">
        <v>6705</v>
      </c>
      <c r="B2125" s="1077" t="s">
        <v>882</v>
      </c>
      <c r="C2125" s="1077">
        <v>650</v>
      </c>
      <c r="D2125" s="1077">
        <v>1.76</v>
      </c>
      <c r="E2125" s="1077" t="s">
        <v>15116</v>
      </c>
      <c r="F2125" s="1077" t="s">
        <v>1514</v>
      </c>
      <c r="G2125" s="1077">
        <v>2</v>
      </c>
      <c r="H2125" s="1077" t="s">
        <v>6541</v>
      </c>
      <c r="I2125" s="1077" t="s">
        <v>126</v>
      </c>
      <c r="J2125" s="1077">
        <v>1.9</v>
      </c>
      <c r="K2125" s="1077" t="s">
        <v>6706</v>
      </c>
      <c r="L2125" s="1077" t="s">
        <v>6543</v>
      </c>
      <c r="M2125" s="1077">
        <v>155</v>
      </c>
      <c r="N2125" s="1077" t="s">
        <v>945</v>
      </c>
      <c r="O2125" s="1077">
        <v>3.875</v>
      </c>
      <c r="P2125" s="1077">
        <v>3.1</v>
      </c>
      <c r="Q2125" s="1077">
        <v>3.5</v>
      </c>
      <c r="R2125" s="1077">
        <v>24</v>
      </c>
      <c r="T2125" s="1077">
        <v>26</v>
      </c>
      <c r="U2125" s="1077">
        <v>3.1</v>
      </c>
      <c r="V2125" s="1077" t="s">
        <v>648</v>
      </c>
      <c r="W2125" s="1077">
        <v>90</v>
      </c>
      <c r="X2125" s="1077">
        <v>10</v>
      </c>
      <c r="Y2125" s="1077">
        <v>1.52</v>
      </c>
      <c r="Z2125" s="1077" t="s">
        <v>648</v>
      </c>
      <c r="AA2125" s="1077" t="s">
        <v>2093</v>
      </c>
      <c r="AH2125" s="1077" t="s">
        <v>1376</v>
      </c>
      <c r="AI2125" s="1077">
        <v>18.84</v>
      </c>
      <c r="AJ2125" s="1077">
        <v>-2.63</v>
      </c>
      <c r="AK2125" s="1077">
        <v>14.9</v>
      </c>
      <c r="AM2125" s="1078" t="s">
        <v>13245</v>
      </c>
      <c r="AN2125" s="1078" t="s">
        <v>13246</v>
      </c>
      <c r="AO2125" s="1078">
        <f t="shared" si="270"/>
        <v>650</v>
      </c>
      <c r="AP2125" s="1078">
        <f t="shared" si="271"/>
        <v>1.76</v>
      </c>
      <c r="AQ2125" s="1078" t="str">
        <f t="shared" si="272"/>
        <v>1-5-1S83°Z+S</v>
      </c>
      <c r="AR2125" s="1078" t="str">
        <f t="shared" si="273"/>
        <v>32</v>
      </c>
      <c r="AS2125" s="1078" t="str">
        <f t="shared" si="274"/>
        <v>265/265/155</v>
      </c>
      <c r="AT2125" s="1078" t="str">
        <f t="shared" si="275"/>
        <v>1-5-1S83°Z+S</v>
      </c>
      <c r="AU2125" s="1078" t="s">
        <v>15547</v>
      </c>
      <c r="AV2125" s="1078" t="str">
        <f t="shared" si="268"/>
        <v>113.9.26</v>
      </c>
      <c r="AW2125" s="1344">
        <f t="shared" si="269"/>
        <v>45561</v>
      </c>
    </row>
    <row r="2126" spans="1:49">
      <c r="A2126" s="1077" t="s">
        <v>6707</v>
      </c>
      <c r="B2126" s="1077" t="s">
        <v>844</v>
      </c>
      <c r="C2126" s="1077">
        <v>600</v>
      </c>
      <c r="D2126" s="1077">
        <v>1.8</v>
      </c>
      <c r="E2126" s="1077" t="s">
        <v>15094</v>
      </c>
      <c r="F2126" s="1077" t="s">
        <v>954</v>
      </c>
      <c r="G2126" s="1077">
        <v>5</v>
      </c>
      <c r="H2126" s="1077" t="s">
        <v>5126</v>
      </c>
      <c r="I2126" s="1077" t="s">
        <v>460</v>
      </c>
      <c r="J2126" s="1077">
        <v>3.9</v>
      </c>
      <c r="K2126" s="1077" t="s">
        <v>6708</v>
      </c>
      <c r="L2126" s="1077" t="s">
        <v>6238</v>
      </c>
      <c r="M2126" s="1077">
        <v>151.69999999999999</v>
      </c>
      <c r="N2126" s="1077" t="s">
        <v>945</v>
      </c>
      <c r="O2126" s="1077">
        <v>3.7925</v>
      </c>
      <c r="P2126" s="1077">
        <v>3.0339999999999998</v>
      </c>
      <c r="Q2126" s="1077">
        <v>3</v>
      </c>
      <c r="R2126" s="1077">
        <v>19.7</v>
      </c>
      <c r="T2126" s="1077">
        <v>11.5</v>
      </c>
      <c r="U2126" s="1077">
        <v>5.3</v>
      </c>
      <c r="V2126" s="1077" t="s">
        <v>648</v>
      </c>
      <c r="W2126" s="1077">
        <v>105</v>
      </c>
      <c r="X2126" s="1077">
        <v>95</v>
      </c>
      <c r="Y2126" s="1077">
        <v>1.5</v>
      </c>
      <c r="Z2126" s="1077">
        <v>5</v>
      </c>
      <c r="AA2126" s="1077" t="s">
        <v>6709</v>
      </c>
      <c r="AB2126" s="1077" t="s">
        <v>6710</v>
      </c>
      <c r="AH2126" s="1077" t="s">
        <v>875</v>
      </c>
      <c r="AI2126" s="1077">
        <v>90.82</v>
      </c>
      <c r="AJ2126" s="1077">
        <v>-1.7</v>
      </c>
      <c r="AK2126" s="1077">
        <v>5.5</v>
      </c>
      <c r="AM2126" s="1078" t="s">
        <v>13247</v>
      </c>
      <c r="AN2126" s="1078" t="s">
        <v>13248</v>
      </c>
      <c r="AO2126" s="1078">
        <f t="shared" si="270"/>
        <v>600</v>
      </c>
      <c r="AP2126" s="1078">
        <f t="shared" si="271"/>
        <v>1.8</v>
      </c>
      <c r="AQ2126" s="1078" t="str">
        <f t="shared" si="272"/>
        <v>1-5-1S91°</v>
      </c>
      <c r="AR2126" s="1078" t="str">
        <f t="shared" si="273"/>
        <v>31</v>
      </c>
      <c r="AS2126" s="1078" t="str">
        <f t="shared" si="274"/>
        <v>300/300/140</v>
      </c>
      <c r="AT2126" s="1078" t="str">
        <f t="shared" si="275"/>
        <v>1-5-1S91°</v>
      </c>
      <c r="AV2126" s="1078" t="str">
        <f t="shared" si="268"/>
        <v>113.9.30</v>
      </c>
      <c r="AW2126" s="1344">
        <f t="shared" si="269"/>
        <v>45565</v>
      </c>
    </row>
    <row r="2127" spans="1:49">
      <c r="A2127" s="1077" t="s">
        <v>6711</v>
      </c>
      <c r="B2127" s="1077" t="s">
        <v>210</v>
      </c>
      <c r="C2127" s="1077">
        <v>650</v>
      </c>
      <c r="D2127" s="1077">
        <v>1.7649999999999999</v>
      </c>
      <c r="E2127" s="1077" t="s">
        <v>15094</v>
      </c>
      <c r="F2127" s="1077" t="s">
        <v>4013</v>
      </c>
      <c r="G2127" s="1077">
        <v>5</v>
      </c>
      <c r="H2127" s="1077" t="s">
        <v>6126</v>
      </c>
      <c r="I2127" s="1077" t="s">
        <v>126</v>
      </c>
      <c r="J2127" s="1077">
        <v>1.5</v>
      </c>
      <c r="K2127" s="1077" t="s">
        <v>6712</v>
      </c>
      <c r="L2127" s="1077" t="s">
        <v>4666</v>
      </c>
      <c r="M2127" s="1077">
        <v>152.19999999999999</v>
      </c>
      <c r="N2127" s="1077" t="s">
        <v>945</v>
      </c>
      <c r="O2127" s="1077">
        <v>3.8049999999999997</v>
      </c>
      <c r="P2127" s="1077">
        <v>3.044</v>
      </c>
      <c r="Q2127" s="1077">
        <v>4</v>
      </c>
      <c r="R2127" s="1077">
        <v>19</v>
      </c>
      <c r="T2127" s="1077">
        <v>16</v>
      </c>
      <c r="U2127" s="1077">
        <v>4</v>
      </c>
      <c r="V2127" s="1077" t="s">
        <v>648</v>
      </c>
      <c r="W2127" s="1077">
        <v>95</v>
      </c>
      <c r="X2127" s="1077">
        <v>20</v>
      </c>
      <c r="Y2127" s="1077">
        <v>1.5</v>
      </c>
      <c r="Z2127" s="1077">
        <v>5</v>
      </c>
      <c r="AA2127" s="1077" t="s">
        <v>2133</v>
      </c>
      <c r="AH2127" s="1077" t="s">
        <v>482</v>
      </c>
      <c r="AI2127" s="1077">
        <v>93.82</v>
      </c>
      <c r="AJ2127" s="1077">
        <v>-0.23</v>
      </c>
      <c r="AK2127" s="1077">
        <v>0.87</v>
      </c>
      <c r="AM2127" s="1078" t="s">
        <v>13249</v>
      </c>
      <c r="AN2127" s="1078" t="s">
        <v>13250</v>
      </c>
      <c r="AO2127" s="1078">
        <f t="shared" si="270"/>
        <v>650</v>
      </c>
      <c r="AP2127" s="1078">
        <f t="shared" si="271"/>
        <v>1.7649999999999999</v>
      </c>
      <c r="AQ2127" s="1078" t="str">
        <f t="shared" si="272"/>
        <v>1-5-1S91°</v>
      </c>
      <c r="AR2127" s="1078" t="str">
        <f t="shared" si="273"/>
        <v>30.3</v>
      </c>
      <c r="AS2127" s="1078" t="str">
        <f t="shared" si="274"/>
        <v>310/270/158</v>
      </c>
      <c r="AT2127" s="1078" t="str">
        <f t="shared" si="275"/>
        <v>1-5-1S91°</v>
      </c>
      <c r="AV2127" s="1078" t="str">
        <f t="shared" si="268"/>
        <v>113.10.7</v>
      </c>
      <c r="AW2127" s="1344">
        <f t="shared" si="269"/>
        <v>45572</v>
      </c>
    </row>
    <row r="2128" spans="1:49">
      <c r="A2128" s="1077" t="s">
        <v>6713</v>
      </c>
      <c r="B2128" s="1077" t="s">
        <v>465</v>
      </c>
      <c r="C2128" s="1077">
        <v>650</v>
      </c>
      <c r="D2128" s="1077">
        <v>1.77</v>
      </c>
      <c r="E2128" s="1077" t="s">
        <v>15109</v>
      </c>
      <c r="F2128" s="1077" t="s">
        <v>648</v>
      </c>
      <c r="G2128" s="1077">
        <v>5</v>
      </c>
      <c r="H2128" s="1077" t="s">
        <v>3356</v>
      </c>
      <c r="I2128" s="1077" t="s">
        <v>460</v>
      </c>
      <c r="J2128" s="1077">
        <v>1.9</v>
      </c>
      <c r="K2128" s="1077" t="s">
        <v>6714</v>
      </c>
      <c r="L2128" s="1077" t="s">
        <v>6335</v>
      </c>
      <c r="M2128" s="1077">
        <v>149.5</v>
      </c>
      <c r="N2128" s="1077" t="s">
        <v>945</v>
      </c>
      <c r="O2128" s="1077">
        <v>3.7375000000000003</v>
      </c>
      <c r="P2128" s="1077">
        <v>2.99</v>
      </c>
      <c r="Q2128" s="1077">
        <v>4</v>
      </c>
      <c r="R2128" s="1077">
        <v>21</v>
      </c>
      <c r="T2128" s="1077">
        <v>37</v>
      </c>
      <c r="U2128" s="1077">
        <v>3.7</v>
      </c>
      <c r="V2128" s="1077" t="s">
        <v>648</v>
      </c>
      <c r="W2128" s="1077">
        <v>110</v>
      </c>
      <c r="X2128" s="1077">
        <v>40</v>
      </c>
      <c r="Y2128" s="1077">
        <v>2.2000000000000002</v>
      </c>
      <c r="Z2128" s="1077" t="s">
        <v>648</v>
      </c>
      <c r="AA2128" s="1077" t="s">
        <v>6715</v>
      </c>
      <c r="AH2128" s="1077" t="s">
        <v>853</v>
      </c>
      <c r="AI2128" s="1077">
        <v>91.8</v>
      </c>
      <c r="AJ2128" s="1077">
        <v>-0.3</v>
      </c>
      <c r="AK2128" s="1077">
        <v>1.36</v>
      </c>
      <c r="AM2128" s="1078" t="s">
        <v>13251</v>
      </c>
      <c r="AN2128" s="1078" t="s">
        <v>13252</v>
      </c>
      <c r="AO2128" s="1078">
        <f t="shared" si="270"/>
        <v>650</v>
      </c>
      <c r="AP2128" s="1078">
        <f t="shared" si="271"/>
        <v>1.77</v>
      </c>
      <c r="AQ2128" s="1078" t="str">
        <f t="shared" si="272"/>
        <v>1-5-1S85°Z+S</v>
      </c>
      <c r="AR2128" s="1078" t="str">
        <f t="shared" si="273"/>
        <v>NA</v>
      </c>
      <c r="AS2128" s="1078" t="str">
        <f t="shared" si="274"/>
        <v>182/OFF</v>
      </c>
      <c r="AT2128" s="1078" t="str">
        <f t="shared" si="275"/>
        <v>1-5-1S85°Z+S</v>
      </c>
      <c r="AU2128" s="1078" t="s">
        <v>15547</v>
      </c>
      <c r="AV2128" s="1078" t="str">
        <f t="shared" si="268"/>
        <v>113.10.11</v>
      </c>
      <c r="AW2128" s="1344">
        <f t="shared" si="269"/>
        <v>45576</v>
      </c>
    </row>
    <row r="2129" spans="1:49">
      <c r="A2129" s="1077" t="s">
        <v>6716</v>
      </c>
      <c r="B2129" s="1077" t="s">
        <v>416</v>
      </c>
      <c r="C2129" s="1077">
        <v>650</v>
      </c>
      <c r="D2129" s="1077">
        <v>1.7549999999999999</v>
      </c>
      <c r="E2129" s="1077" t="s">
        <v>15094</v>
      </c>
      <c r="F2129" s="1077" t="s">
        <v>984</v>
      </c>
      <c r="G2129" s="1077">
        <v>5</v>
      </c>
      <c r="H2129" s="1077" t="s">
        <v>5483</v>
      </c>
      <c r="I2129" s="1077" t="s">
        <v>126</v>
      </c>
      <c r="J2129" s="1077">
        <v>0.8</v>
      </c>
      <c r="K2129" s="1077" t="s">
        <v>6717</v>
      </c>
      <c r="L2129" s="1077" t="s">
        <v>4666</v>
      </c>
      <c r="M2129" s="1077">
        <v>151.5</v>
      </c>
      <c r="N2129" s="1077" t="s">
        <v>945</v>
      </c>
      <c r="O2129" s="1077">
        <v>3.7875000000000001</v>
      </c>
      <c r="P2129" s="1077">
        <v>3.0300000000000002</v>
      </c>
      <c r="Q2129" s="1077">
        <v>4</v>
      </c>
      <c r="R2129" s="1077">
        <v>19.100000000000001</v>
      </c>
      <c r="T2129" s="1077">
        <v>23.7</v>
      </c>
      <c r="U2129" s="1077">
        <v>3.2</v>
      </c>
      <c r="V2129" s="1077" t="s">
        <v>648</v>
      </c>
      <c r="W2129" s="1077">
        <v>35</v>
      </c>
      <c r="X2129" s="1077">
        <v>10</v>
      </c>
      <c r="Y2129" s="1077">
        <v>1</v>
      </c>
      <c r="Z2129" s="1077">
        <v>6</v>
      </c>
      <c r="AA2129" s="1077" t="s">
        <v>1731</v>
      </c>
      <c r="AH2129" s="1077" t="s">
        <v>1137</v>
      </c>
      <c r="AI2129" s="1077">
        <v>91.93</v>
      </c>
      <c r="AJ2129" s="1077">
        <v>-1.23</v>
      </c>
      <c r="AK2129" s="1077">
        <v>0.85</v>
      </c>
      <c r="AM2129" s="1078" t="s">
        <v>13253</v>
      </c>
      <c r="AN2129" s="1078" t="s">
        <v>13254</v>
      </c>
      <c r="AO2129" s="1078">
        <f t="shared" si="270"/>
        <v>650</v>
      </c>
      <c r="AP2129" s="1078">
        <f t="shared" si="271"/>
        <v>1.7549999999999999</v>
      </c>
      <c r="AQ2129" s="1078" t="str">
        <f t="shared" si="272"/>
        <v>1-5-1S91°</v>
      </c>
      <c r="AR2129" s="1078" t="str">
        <f t="shared" si="273"/>
        <v>30</v>
      </c>
      <c r="AS2129" s="1078" t="str">
        <f t="shared" si="274"/>
        <v>350/310/150</v>
      </c>
      <c r="AT2129" s="1078" t="str">
        <f t="shared" si="275"/>
        <v>1-5-1S91°</v>
      </c>
      <c r="AV2129" s="1078" t="str">
        <f t="shared" si="268"/>
        <v>113.10.16</v>
      </c>
      <c r="AW2129" s="1344">
        <f t="shared" si="269"/>
        <v>45581</v>
      </c>
    </row>
    <row r="2130" spans="1:49">
      <c r="A2130" s="1077" t="s">
        <v>6718</v>
      </c>
      <c r="B2130" s="1077" t="s">
        <v>416</v>
      </c>
      <c r="C2130" s="1077">
        <v>650</v>
      </c>
      <c r="D2130" s="1077">
        <v>1.76</v>
      </c>
      <c r="E2130" s="1077" t="s">
        <v>15094</v>
      </c>
      <c r="F2130" s="1077" t="s">
        <v>984</v>
      </c>
      <c r="G2130" s="1077">
        <v>5</v>
      </c>
      <c r="H2130" s="1077" t="s">
        <v>5483</v>
      </c>
      <c r="I2130" s="1077" t="s">
        <v>126</v>
      </c>
      <c r="J2130" s="1077">
        <v>0.8</v>
      </c>
      <c r="K2130" s="1077" t="s">
        <v>6717</v>
      </c>
      <c r="L2130" s="1077" t="s">
        <v>4666</v>
      </c>
      <c r="M2130" s="1077">
        <v>151.5</v>
      </c>
      <c r="N2130" s="1077" t="s">
        <v>945</v>
      </c>
      <c r="O2130" s="1077">
        <v>3.7875000000000001</v>
      </c>
      <c r="P2130" s="1077">
        <v>3.0300000000000002</v>
      </c>
      <c r="Q2130" s="1077">
        <v>4</v>
      </c>
      <c r="R2130" s="1077">
        <v>19.100000000000001</v>
      </c>
      <c r="T2130" s="1077">
        <v>23.7</v>
      </c>
      <c r="U2130" s="1077">
        <v>3.2</v>
      </c>
      <c r="V2130" s="1077" t="s">
        <v>648</v>
      </c>
      <c r="W2130" s="1077">
        <v>35</v>
      </c>
      <c r="X2130" s="1077">
        <v>10</v>
      </c>
      <c r="Y2130" s="1077">
        <v>1</v>
      </c>
      <c r="Z2130" s="1077">
        <v>6</v>
      </c>
      <c r="AA2130" s="1077" t="s">
        <v>6719</v>
      </c>
      <c r="AH2130" s="1077" t="s">
        <v>994</v>
      </c>
      <c r="AI2130" s="1077">
        <v>91.53</v>
      </c>
      <c r="AJ2130" s="1077">
        <v>-1.66</v>
      </c>
      <c r="AK2130" s="1077">
        <v>0.98</v>
      </c>
      <c r="AM2130" s="1078" t="s">
        <v>13255</v>
      </c>
      <c r="AN2130" s="1078" t="s">
        <v>13256</v>
      </c>
      <c r="AO2130" s="1078">
        <f t="shared" si="270"/>
        <v>650</v>
      </c>
      <c r="AP2130" s="1078">
        <f t="shared" si="271"/>
        <v>1.76</v>
      </c>
      <c r="AQ2130" s="1078" t="str">
        <f t="shared" si="272"/>
        <v>1-5-1S91°</v>
      </c>
      <c r="AR2130" s="1078" t="str">
        <f t="shared" si="273"/>
        <v>30</v>
      </c>
      <c r="AS2130" s="1078" t="str">
        <f t="shared" si="274"/>
        <v>350/310/150</v>
      </c>
      <c r="AT2130" s="1078" t="str">
        <f t="shared" si="275"/>
        <v>1-5-1S91°</v>
      </c>
      <c r="AV2130" s="1078" t="str">
        <f t="shared" si="268"/>
        <v>113.10.21</v>
      </c>
      <c r="AW2130" s="1344">
        <f t="shared" si="269"/>
        <v>45586</v>
      </c>
    </row>
    <row r="2131" spans="1:49">
      <c r="A2131" s="1077" t="s">
        <v>6720</v>
      </c>
      <c r="B2131" s="1077" t="s">
        <v>416</v>
      </c>
      <c r="C2131" s="1077">
        <v>600</v>
      </c>
      <c r="D2131" s="1077">
        <v>1.75</v>
      </c>
      <c r="E2131" s="1077" t="s">
        <v>15102</v>
      </c>
      <c r="F2131" s="1077" t="s">
        <v>2167</v>
      </c>
      <c r="G2131" s="1077">
        <v>5</v>
      </c>
      <c r="H2131" s="1077" t="s">
        <v>6721</v>
      </c>
      <c r="I2131" s="1077" t="s">
        <v>1167</v>
      </c>
      <c r="J2131" s="1077">
        <v>0.6</v>
      </c>
      <c r="K2131" s="1077" t="s">
        <v>6717</v>
      </c>
      <c r="L2131" s="1077" t="s">
        <v>4666</v>
      </c>
      <c r="M2131" s="1077">
        <v>151.5</v>
      </c>
      <c r="N2131" s="1077" t="s">
        <v>945</v>
      </c>
      <c r="O2131" s="1077">
        <v>3.7875000000000001</v>
      </c>
      <c r="P2131" s="1077">
        <v>3.0300000000000002</v>
      </c>
      <c r="Q2131" s="1077">
        <v>3.5</v>
      </c>
      <c r="R2131" s="1077">
        <v>19.100000000000001</v>
      </c>
      <c r="T2131" s="1077">
        <v>23.7</v>
      </c>
      <c r="U2131" s="1077">
        <v>3.2</v>
      </c>
      <c r="V2131" s="1077" t="s">
        <v>648</v>
      </c>
      <c r="W2131" s="1077">
        <v>35</v>
      </c>
      <c r="X2131" s="1077">
        <v>10</v>
      </c>
      <c r="Y2131" s="1077">
        <v>1</v>
      </c>
      <c r="Z2131" s="1077">
        <v>6</v>
      </c>
      <c r="AA2131" s="1077" t="s">
        <v>6719</v>
      </c>
      <c r="AH2131" s="1077" t="s">
        <v>1417</v>
      </c>
      <c r="AI2131" s="1077">
        <v>91.37</v>
      </c>
      <c r="AJ2131" s="1077">
        <v>-1.53</v>
      </c>
      <c r="AK2131" s="1077">
        <v>1</v>
      </c>
      <c r="AM2131" s="1078" t="s">
        <v>13257</v>
      </c>
      <c r="AN2131" s="1078" t="s">
        <v>13258</v>
      </c>
      <c r="AO2131" s="1078">
        <f t="shared" si="270"/>
        <v>600</v>
      </c>
      <c r="AP2131" s="1078">
        <f t="shared" si="271"/>
        <v>1.75</v>
      </c>
      <c r="AQ2131" s="1078" t="str">
        <f t="shared" si="272"/>
        <v>2-6-1S83°</v>
      </c>
      <c r="AR2131" s="1078" t="str">
        <f t="shared" si="273"/>
        <v>33</v>
      </c>
      <c r="AS2131" s="1078" t="str">
        <f t="shared" si="274"/>
        <v>171/160</v>
      </c>
      <c r="AT2131" s="1078" t="str">
        <f t="shared" si="275"/>
        <v>2-6-1S83°</v>
      </c>
      <c r="AV2131" s="1078" t="str">
        <f t="shared" si="268"/>
        <v>113.10.21</v>
      </c>
      <c r="AW2131" s="1344">
        <f t="shared" si="269"/>
        <v>45586</v>
      </c>
    </row>
    <row r="2132" spans="1:49">
      <c r="A2132" s="1077" t="s">
        <v>6722</v>
      </c>
      <c r="B2132" s="1077" t="s">
        <v>844</v>
      </c>
      <c r="C2132" s="1077">
        <v>600</v>
      </c>
      <c r="D2132" s="1077">
        <v>1.74</v>
      </c>
      <c r="E2132" s="1077" t="s">
        <v>15094</v>
      </c>
      <c r="F2132" s="1077" t="s">
        <v>954</v>
      </c>
      <c r="G2132" s="1077">
        <v>5</v>
      </c>
      <c r="H2132" s="1077" t="s">
        <v>5126</v>
      </c>
      <c r="I2132" s="1077" t="s">
        <v>648</v>
      </c>
      <c r="J2132" s="1077">
        <v>0</v>
      </c>
      <c r="K2132" s="1077" t="s">
        <v>6723</v>
      </c>
      <c r="L2132" s="1077" t="s">
        <v>6238</v>
      </c>
      <c r="M2132" s="1077">
        <v>151</v>
      </c>
      <c r="N2132" s="1077" t="s">
        <v>945</v>
      </c>
      <c r="O2132" s="1077">
        <v>3.7750000000000004</v>
      </c>
      <c r="P2132" s="1077">
        <v>3.02</v>
      </c>
      <c r="Q2132" s="1077">
        <v>3</v>
      </c>
      <c r="R2132" s="1077">
        <v>22.4</v>
      </c>
      <c r="T2132" s="1077">
        <v>15</v>
      </c>
      <c r="U2132" s="1077">
        <v>3.7</v>
      </c>
      <c r="V2132" s="1077" t="s">
        <v>648</v>
      </c>
      <c r="W2132" s="1077" t="s">
        <v>648</v>
      </c>
      <c r="X2132" s="1077" t="s">
        <v>648</v>
      </c>
      <c r="Y2132" s="1077">
        <v>1.5</v>
      </c>
      <c r="Z2132" s="1077">
        <v>5.5</v>
      </c>
      <c r="AA2132" s="1077" t="s">
        <v>2151</v>
      </c>
      <c r="AB2132" s="1077" t="s">
        <v>2158</v>
      </c>
      <c r="AH2132" s="1077" t="s">
        <v>618</v>
      </c>
      <c r="AI2132" s="1077">
        <v>91.38</v>
      </c>
      <c r="AJ2132" s="1077">
        <v>-1.51</v>
      </c>
      <c r="AK2132" s="1077">
        <v>5.36</v>
      </c>
      <c r="AM2132" s="1078" t="s">
        <v>13259</v>
      </c>
      <c r="AN2132" s="1078" t="s">
        <v>13260</v>
      </c>
      <c r="AO2132" s="1078">
        <f t="shared" si="270"/>
        <v>600</v>
      </c>
      <c r="AP2132" s="1078">
        <f t="shared" si="271"/>
        <v>1.74</v>
      </c>
      <c r="AQ2132" s="1078" t="str">
        <f t="shared" si="272"/>
        <v>1-5-1S91°</v>
      </c>
      <c r="AR2132" s="1078" t="str">
        <f t="shared" si="273"/>
        <v>31</v>
      </c>
      <c r="AS2132" s="1078" t="str">
        <f t="shared" si="274"/>
        <v>300/300/140</v>
      </c>
      <c r="AT2132" s="1078" t="str">
        <f t="shared" si="275"/>
        <v>1-5-1S91°</v>
      </c>
      <c r="AV2132" s="1078" t="str">
        <f t="shared" si="268"/>
        <v>113.11.5</v>
      </c>
      <c r="AW2132" s="1344">
        <f t="shared" si="269"/>
        <v>45601</v>
      </c>
    </row>
    <row r="2133" spans="1:49">
      <c r="A2133" s="1077" t="s">
        <v>6724</v>
      </c>
      <c r="B2133" s="1077" t="s">
        <v>799</v>
      </c>
      <c r="C2133" s="1077">
        <v>650</v>
      </c>
      <c r="D2133" s="1077">
        <v>1.76</v>
      </c>
      <c r="E2133" s="1077" t="s">
        <v>15094</v>
      </c>
      <c r="F2133" s="1077" t="s">
        <v>984</v>
      </c>
      <c r="G2133" s="1077">
        <v>5</v>
      </c>
      <c r="H2133" s="1077" t="s">
        <v>5483</v>
      </c>
      <c r="I2133" s="1077" t="s">
        <v>126</v>
      </c>
      <c r="J2133" s="1077">
        <v>0.7</v>
      </c>
      <c r="K2133" s="1077" t="s">
        <v>6725</v>
      </c>
      <c r="L2133" s="1077" t="s">
        <v>6291</v>
      </c>
      <c r="M2133" s="1077">
        <v>151.5</v>
      </c>
      <c r="N2133" s="1077" t="s">
        <v>945</v>
      </c>
      <c r="O2133" s="1077">
        <v>3.7875000000000001</v>
      </c>
      <c r="P2133" s="1077">
        <v>3.0300000000000002</v>
      </c>
      <c r="Q2133" s="1077">
        <v>4</v>
      </c>
      <c r="R2133" s="1077">
        <v>19.100000000000001</v>
      </c>
      <c r="T2133" s="1077">
        <v>23.7</v>
      </c>
      <c r="U2133" s="1077">
        <v>3.2</v>
      </c>
      <c r="V2133" s="1077" t="s">
        <v>648</v>
      </c>
      <c r="W2133" s="1077">
        <v>35</v>
      </c>
      <c r="X2133" s="1077">
        <v>10</v>
      </c>
      <c r="Y2133" s="1077">
        <v>1</v>
      </c>
      <c r="Z2133" s="1077">
        <v>6</v>
      </c>
      <c r="AA2133" s="1077" t="s">
        <v>2063</v>
      </c>
      <c r="AH2133" s="1077" t="s">
        <v>466</v>
      </c>
      <c r="AI2133" s="1077">
        <v>91.35</v>
      </c>
      <c r="AJ2133" s="1077">
        <v>-0.2</v>
      </c>
      <c r="AK2133" s="1077">
        <v>1.06</v>
      </c>
      <c r="AM2133" s="1078" t="s">
        <v>13261</v>
      </c>
      <c r="AN2133" s="1078" t="s">
        <v>13262</v>
      </c>
      <c r="AO2133" s="1078">
        <f t="shared" si="270"/>
        <v>650</v>
      </c>
      <c r="AP2133" s="1078">
        <f t="shared" si="271"/>
        <v>1.76</v>
      </c>
      <c r="AQ2133" s="1078" t="str">
        <f t="shared" si="272"/>
        <v>1-5-1S91°</v>
      </c>
      <c r="AR2133" s="1078" t="str">
        <f t="shared" si="273"/>
        <v>30</v>
      </c>
      <c r="AS2133" s="1078" t="str">
        <f t="shared" si="274"/>
        <v>350/310/150</v>
      </c>
      <c r="AT2133" s="1078" t="str">
        <f t="shared" si="275"/>
        <v>1-5-1S91°</v>
      </c>
      <c r="AV2133" s="1078" t="str">
        <f t="shared" si="268"/>
        <v>113.9.2</v>
      </c>
      <c r="AW2133" s="1344">
        <f t="shared" si="269"/>
        <v>45537</v>
      </c>
    </row>
    <row r="2134" spans="1:49">
      <c r="A2134" s="1077" t="s">
        <v>6726</v>
      </c>
      <c r="B2134" s="1077" t="s">
        <v>828</v>
      </c>
      <c r="C2134" s="1077">
        <v>650</v>
      </c>
      <c r="D2134" s="1077">
        <v>1.7549999999999999</v>
      </c>
      <c r="E2134" s="1077" t="s">
        <v>15109</v>
      </c>
      <c r="F2134" s="1077" t="s">
        <v>648</v>
      </c>
      <c r="G2134" s="1077">
        <v>5</v>
      </c>
      <c r="H2134" s="1077" t="s">
        <v>1048</v>
      </c>
      <c r="I2134" s="1077" t="s">
        <v>460</v>
      </c>
      <c r="J2134" s="1077">
        <v>1.7</v>
      </c>
      <c r="K2134" s="1077" t="s">
        <v>6727</v>
      </c>
      <c r="L2134" s="1077" t="s">
        <v>1943</v>
      </c>
      <c r="M2134" s="1077">
        <v>150</v>
      </c>
      <c r="N2134" s="1077" t="s">
        <v>945</v>
      </c>
      <c r="O2134" s="1077">
        <v>3.75</v>
      </c>
      <c r="P2134" s="1077">
        <v>3</v>
      </c>
      <c r="Q2134" s="1077">
        <v>4</v>
      </c>
      <c r="R2134" s="1077">
        <v>20.8</v>
      </c>
      <c r="T2134" s="1077">
        <v>29.1</v>
      </c>
      <c r="U2134" s="1077">
        <v>3.4</v>
      </c>
      <c r="V2134" s="1077" t="s">
        <v>648</v>
      </c>
      <c r="W2134" s="1077">
        <v>110</v>
      </c>
      <c r="X2134" s="1077">
        <v>70</v>
      </c>
      <c r="Y2134" s="1077">
        <v>1.5</v>
      </c>
      <c r="Z2134" s="1077" t="s">
        <v>648</v>
      </c>
      <c r="AA2134" s="1077" t="s">
        <v>2149</v>
      </c>
      <c r="AH2134" s="1077" t="s">
        <v>1827</v>
      </c>
      <c r="AI2134" s="1077">
        <v>94.84</v>
      </c>
      <c r="AJ2134" s="1077">
        <v>-0.48</v>
      </c>
      <c r="AK2134" s="1077">
        <v>1.47</v>
      </c>
      <c r="AM2134" s="1078" t="s">
        <v>13263</v>
      </c>
      <c r="AN2134" s="1078" t="s">
        <v>13264</v>
      </c>
      <c r="AO2134" s="1078">
        <f t="shared" si="270"/>
        <v>650</v>
      </c>
      <c r="AP2134" s="1078">
        <f t="shared" si="271"/>
        <v>1.7549999999999999</v>
      </c>
      <c r="AQ2134" s="1078" t="str">
        <f t="shared" si="272"/>
        <v>1-5-1S85°Z+S</v>
      </c>
      <c r="AR2134" s="1078" t="str">
        <f t="shared" si="273"/>
        <v>NA</v>
      </c>
      <c r="AS2134" s="1078" t="str">
        <f t="shared" si="274"/>
        <v>188/OFF</v>
      </c>
      <c r="AT2134" s="1078" t="str">
        <f t="shared" si="275"/>
        <v>1-5-1S85°Z+S</v>
      </c>
      <c r="AU2134" s="1078" t="s">
        <v>15547</v>
      </c>
      <c r="AV2134" s="1078" t="str">
        <f t="shared" si="268"/>
        <v>113.11.4</v>
      </c>
      <c r="AW2134" s="1344">
        <f t="shared" si="269"/>
        <v>45600</v>
      </c>
    </row>
    <row r="2135" spans="1:49">
      <c r="A2135" s="1077" t="s">
        <v>6728</v>
      </c>
      <c r="B2135" s="1077" t="s">
        <v>617</v>
      </c>
      <c r="C2135" s="1077">
        <v>600</v>
      </c>
      <c r="D2135" s="1077">
        <v>1.75</v>
      </c>
      <c r="E2135" s="1077" t="s">
        <v>15094</v>
      </c>
      <c r="F2135" s="1077" t="s">
        <v>984</v>
      </c>
      <c r="G2135" s="1077">
        <v>5</v>
      </c>
      <c r="H2135" s="1077" t="s">
        <v>955</v>
      </c>
      <c r="I2135" s="1077" t="s">
        <v>126</v>
      </c>
      <c r="J2135" s="1077">
        <v>2.5</v>
      </c>
      <c r="K2135" s="1077" t="s">
        <v>6729</v>
      </c>
      <c r="L2135" s="1077" t="s">
        <v>5159</v>
      </c>
      <c r="M2135" s="1077">
        <v>150.30000000000001</v>
      </c>
      <c r="N2135" s="1077" t="s">
        <v>945</v>
      </c>
      <c r="O2135" s="1077">
        <v>3.7575000000000003</v>
      </c>
      <c r="P2135" s="1077">
        <v>3.0060000000000002</v>
      </c>
      <c r="Q2135" s="1077">
        <v>3</v>
      </c>
      <c r="R2135" s="1077" t="s">
        <v>6730</v>
      </c>
      <c r="T2135" s="1077">
        <v>13</v>
      </c>
      <c r="U2135" s="1077">
        <v>7</v>
      </c>
      <c r="V2135" s="1077" t="s">
        <v>648</v>
      </c>
      <c r="W2135" s="1077">
        <v>115</v>
      </c>
      <c r="X2135" s="1077">
        <v>50</v>
      </c>
      <c r="Y2135" s="1077">
        <v>1.7</v>
      </c>
      <c r="Z2135" s="1077">
        <v>6.5</v>
      </c>
      <c r="AA2135" s="1077" t="s">
        <v>6731</v>
      </c>
      <c r="AH2135" s="1077" t="s">
        <v>990</v>
      </c>
      <c r="AI2135" s="1077">
        <v>91</v>
      </c>
      <c r="AJ2135" s="1077">
        <v>-0.65</v>
      </c>
      <c r="AK2135" s="1077">
        <v>7.66</v>
      </c>
      <c r="AM2135" s="1078" t="s">
        <v>13265</v>
      </c>
      <c r="AN2135" s="1078" t="s">
        <v>13266</v>
      </c>
      <c r="AO2135" s="1078">
        <f t="shared" si="270"/>
        <v>600</v>
      </c>
      <c r="AP2135" s="1078">
        <f t="shared" si="271"/>
        <v>1.75</v>
      </c>
      <c r="AQ2135" s="1078" t="str">
        <f t="shared" si="272"/>
        <v>1-5-1S91°</v>
      </c>
      <c r="AR2135" s="1078" t="str">
        <f t="shared" si="273"/>
        <v>30</v>
      </c>
      <c r="AS2135" s="1078" t="str">
        <f t="shared" si="274"/>
        <v>260/260/OFF</v>
      </c>
      <c r="AT2135" s="1078" t="str">
        <f t="shared" si="275"/>
        <v>1-5-1S91°</v>
      </c>
      <c r="AV2135" s="1078" t="str">
        <f t="shared" si="268"/>
        <v>113.11.1</v>
      </c>
      <c r="AW2135" s="1344">
        <f t="shared" si="269"/>
        <v>45597</v>
      </c>
    </row>
    <row r="2136" spans="1:49">
      <c r="A2136" s="1077" t="s">
        <v>6732</v>
      </c>
      <c r="B2136" s="1077" t="s">
        <v>465</v>
      </c>
      <c r="C2136" s="1077">
        <v>650</v>
      </c>
      <c r="D2136" s="1077">
        <v>1.77</v>
      </c>
      <c r="E2136" s="1077" t="s">
        <v>15109</v>
      </c>
      <c r="F2136" s="1077" t="s">
        <v>648</v>
      </c>
      <c r="G2136" s="1077">
        <v>5</v>
      </c>
      <c r="H2136" s="1077" t="s">
        <v>3356</v>
      </c>
      <c r="I2136" s="1077" t="s">
        <v>460</v>
      </c>
      <c r="J2136" s="1077">
        <v>1.8</v>
      </c>
      <c r="K2136" s="1077" t="s">
        <v>6733</v>
      </c>
      <c r="L2136" s="1077" t="s">
        <v>4864</v>
      </c>
      <c r="M2136" s="1077">
        <v>149.5</v>
      </c>
      <c r="N2136" s="1077" t="s">
        <v>945</v>
      </c>
      <c r="O2136" s="1077">
        <v>3.7375000000000003</v>
      </c>
      <c r="P2136" s="1077">
        <v>2.99</v>
      </c>
      <c r="Q2136" s="1077">
        <v>4</v>
      </c>
      <c r="R2136" s="1077">
        <v>21</v>
      </c>
      <c r="T2136" s="1077">
        <v>37</v>
      </c>
      <c r="U2136" s="1077">
        <v>3.7</v>
      </c>
      <c r="V2136" s="1077" t="s">
        <v>648</v>
      </c>
      <c r="W2136" s="1077">
        <v>110</v>
      </c>
      <c r="X2136" s="1077">
        <v>40</v>
      </c>
      <c r="Y2136" s="1077">
        <v>2.2000000000000002</v>
      </c>
      <c r="Z2136" s="1077" t="s">
        <v>648</v>
      </c>
      <c r="AA2136" s="1077" t="s">
        <v>6715</v>
      </c>
      <c r="AH2136" s="1077" t="s">
        <v>853</v>
      </c>
      <c r="AI2136" s="1077">
        <v>94.22</v>
      </c>
      <c r="AJ2136" s="1077">
        <v>-0.16</v>
      </c>
      <c r="AK2136" s="1077">
        <v>0.96</v>
      </c>
      <c r="AM2136" s="1078" t="s">
        <v>13267</v>
      </c>
      <c r="AN2136" s="1078" t="s">
        <v>13268</v>
      </c>
      <c r="AO2136" s="1078">
        <f t="shared" si="270"/>
        <v>650</v>
      </c>
      <c r="AP2136" s="1078">
        <f t="shared" si="271"/>
        <v>1.77</v>
      </c>
      <c r="AQ2136" s="1078" t="str">
        <f t="shared" si="272"/>
        <v>1-5-1S85°Z+S</v>
      </c>
      <c r="AR2136" s="1078" t="str">
        <f t="shared" si="273"/>
        <v>NA</v>
      </c>
      <c r="AS2136" s="1078" t="str">
        <f t="shared" si="274"/>
        <v>182/OFF</v>
      </c>
      <c r="AT2136" s="1078" t="str">
        <f t="shared" si="275"/>
        <v>1-5-1S85°Z+S</v>
      </c>
      <c r="AU2136" s="1078" t="s">
        <v>15547</v>
      </c>
      <c r="AV2136" s="1078" t="str">
        <f t="shared" si="268"/>
        <v>113.10.11</v>
      </c>
      <c r="AW2136" s="1344">
        <f t="shared" si="269"/>
        <v>45576</v>
      </c>
    </row>
    <row r="2137" spans="1:49">
      <c r="A2137" s="1077" t="s">
        <v>6734</v>
      </c>
      <c r="B2137" s="1077" t="s">
        <v>5410</v>
      </c>
      <c r="C2137" s="1077">
        <v>500</v>
      </c>
      <c r="D2137" s="1077">
        <v>1.74</v>
      </c>
      <c r="E2137" s="1077" t="s">
        <v>15116</v>
      </c>
      <c r="F2137" s="1077" t="s">
        <v>984</v>
      </c>
      <c r="G2137" s="1077">
        <v>2</v>
      </c>
      <c r="H2137" s="1077" t="s">
        <v>955</v>
      </c>
      <c r="I2137" s="1077" t="s">
        <v>126</v>
      </c>
      <c r="J2137" s="1077">
        <v>0.4</v>
      </c>
      <c r="K2137" s="1077" t="s">
        <v>6583</v>
      </c>
      <c r="L2137" s="1077" t="s">
        <v>1825</v>
      </c>
      <c r="M2137" s="1077">
        <v>150.1</v>
      </c>
      <c r="N2137" s="1077" t="s">
        <v>945</v>
      </c>
      <c r="O2137" s="1077">
        <v>3.7524999999999999</v>
      </c>
      <c r="P2137" s="1077">
        <v>3.0019999999999998</v>
      </c>
      <c r="Q2137" s="1077">
        <v>3</v>
      </c>
      <c r="R2137" s="1077">
        <v>20.7</v>
      </c>
      <c r="T2137" s="1077">
        <v>32.6</v>
      </c>
      <c r="U2137" s="1077">
        <v>3</v>
      </c>
      <c r="V2137" s="1077" t="s">
        <v>648</v>
      </c>
      <c r="W2137" s="1077" t="s">
        <v>648</v>
      </c>
      <c r="X2137" s="1077" t="s">
        <v>648</v>
      </c>
      <c r="Y2137" s="1077">
        <v>1.7</v>
      </c>
      <c r="Z2137" s="1077" t="s">
        <v>648</v>
      </c>
      <c r="AA2137" s="1077" t="s">
        <v>6735</v>
      </c>
      <c r="AH2137" s="1077" t="s">
        <v>646</v>
      </c>
      <c r="AI2137" s="1077">
        <v>83.07</v>
      </c>
      <c r="AJ2137" s="1077">
        <v>1.21</v>
      </c>
      <c r="AK2137" s="1077">
        <v>7.76</v>
      </c>
      <c r="AM2137" s="1078" t="s">
        <v>13269</v>
      </c>
      <c r="AN2137" s="1078" t="s">
        <v>13270</v>
      </c>
      <c r="AO2137" s="1078">
        <f t="shared" si="270"/>
        <v>500</v>
      </c>
      <c r="AP2137" s="1078">
        <f t="shared" si="271"/>
        <v>1.74</v>
      </c>
      <c r="AQ2137" s="1078" t="str">
        <f t="shared" si="272"/>
        <v>1-5-1S83°Z+S</v>
      </c>
      <c r="AR2137" s="1078" t="str">
        <f t="shared" si="273"/>
        <v>30</v>
      </c>
      <c r="AS2137" s="1078" t="str">
        <f t="shared" si="274"/>
        <v>260/260/OFF</v>
      </c>
      <c r="AT2137" s="1078" t="str">
        <f t="shared" si="275"/>
        <v>1-5-1S83°Z+S</v>
      </c>
      <c r="AU2137" s="1078" t="s">
        <v>15547</v>
      </c>
      <c r="AV2137" s="1078" t="str">
        <f t="shared" si="268"/>
        <v>113.11.9</v>
      </c>
      <c r="AW2137" s="1344">
        <f t="shared" si="269"/>
        <v>45605</v>
      </c>
    </row>
    <row r="2138" spans="1:49">
      <c r="A2138" s="1077" t="s">
        <v>6736</v>
      </c>
      <c r="B2138" s="1077" t="s">
        <v>210</v>
      </c>
      <c r="C2138" s="1077">
        <v>650</v>
      </c>
      <c r="D2138" s="1077">
        <v>1.72</v>
      </c>
      <c r="E2138" s="1077" t="s">
        <v>15094</v>
      </c>
      <c r="F2138" s="1077" t="s">
        <v>984</v>
      </c>
      <c r="G2138" s="1077">
        <v>5</v>
      </c>
      <c r="H2138" s="1077" t="s">
        <v>6737</v>
      </c>
      <c r="I2138" s="1077" t="s">
        <v>460</v>
      </c>
      <c r="J2138" s="1077">
        <v>3.2</v>
      </c>
      <c r="K2138" s="1077" t="s">
        <v>6738</v>
      </c>
      <c r="L2138" s="1077" t="s">
        <v>4808</v>
      </c>
      <c r="M2138" s="1077">
        <v>149.5</v>
      </c>
      <c r="N2138" s="1077" t="s">
        <v>945</v>
      </c>
      <c r="O2138" s="1077">
        <v>3.7375000000000003</v>
      </c>
      <c r="P2138" s="1077">
        <v>2.99</v>
      </c>
      <c r="Q2138" s="1077">
        <v>3.5</v>
      </c>
      <c r="R2138" s="1077">
        <v>21.5</v>
      </c>
      <c r="T2138" s="1077">
        <v>19.5</v>
      </c>
      <c r="U2138" s="1077">
        <v>2.9</v>
      </c>
      <c r="V2138" s="1077" t="s">
        <v>648</v>
      </c>
      <c r="W2138" s="1077">
        <v>100</v>
      </c>
      <c r="X2138" s="1077">
        <v>90</v>
      </c>
      <c r="Y2138" s="1077">
        <v>1.8</v>
      </c>
      <c r="Z2138" s="1077">
        <v>5.5</v>
      </c>
      <c r="AA2138" s="1077" t="s">
        <v>6573</v>
      </c>
      <c r="AH2138" s="1077" t="s">
        <v>875</v>
      </c>
      <c r="AI2138" s="1077">
        <v>91.57</v>
      </c>
      <c r="AJ2138" s="1077">
        <v>-0.34</v>
      </c>
      <c r="AK2138" s="1077">
        <v>3.73</v>
      </c>
      <c r="AM2138" s="1078" t="s">
        <v>13271</v>
      </c>
      <c r="AN2138" s="1078" t="s">
        <v>13272</v>
      </c>
      <c r="AO2138" s="1078">
        <f t="shared" si="270"/>
        <v>650</v>
      </c>
      <c r="AP2138" s="1078">
        <f t="shared" si="271"/>
        <v>1.72</v>
      </c>
      <c r="AQ2138" s="1078" t="str">
        <f t="shared" si="272"/>
        <v>1-5-1S91°</v>
      </c>
      <c r="AR2138" s="1078" t="str">
        <f t="shared" si="273"/>
        <v>30</v>
      </c>
      <c r="AS2138" s="1078" t="str">
        <f t="shared" si="274"/>
        <v>385/355/175</v>
      </c>
      <c r="AT2138" s="1078" t="str">
        <f t="shared" si="275"/>
        <v>1-5-1S91°</v>
      </c>
      <c r="AV2138" s="1078" t="str">
        <f t="shared" si="268"/>
        <v>113.11.12</v>
      </c>
      <c r="AW2138" s="1344">
        <f t="shared" si="269"/>
        <v>45608</v>
      </c>
    </row>
    <row r="2139" spans="1:49">
      <c r="A2139" s="1077" t="s">
        <v>6739</v>
      </c>
      <c r="B2139" s="1077" t="s">
        <v>416</v>
      </c>
      <c r="C2139" s="1077">
        <v>650</v>
      </c>
      <c r="D2139" s="1077">
        <v>1.7649999999999999</v>
      </c>
      <c r="E2139" s="1077" t="s">
        <v>15094</v>
      </c>
      <c r="F2139" s="1077" t="s">
        <v>984</v>
      </c>
      <c r="G2139" s="1077">
        <v>5</v>
      </c>
      <c r="H2139" s="1077" t="s">
        <v>5483</v>
      </c>
      <c r="I2139" s="1077" t="s">
        <v>126</v>
      </c>
      <c r="J2139" s="1077">
        <v>0.7</v>
      </c>
      <c r="K2139" s="1077" t="s">
        <v>6725</v>
      </c>
      <c r="L2139" s="1077" t="s">
        <v>6291</v>
      </c>
      <c r="M2139" s="1077">
        <v>151.5</v>
      </c>
      <c r="N2139" s="1077" t="s">
        <v>945</v>
      </c>
      <c r="O2139" s="1077">
        <v>3.7875000000000001</v>
      </c>
      <c r="P2139" s="1077">
        <v>3.0300000000000002</v>
      </c>
      <c r="Q2139" s="1077">
        <v>4</v>
      </c>
      <c r="R2139" s="1077">
        <v>19.100000000000001</v>
      </c>
      <c r="T2139" s="1077">
        <v>23.7</v>
      </c>
      <c r="U2139" s="1077">
        <v>3.2</v>
      </c>
      <c r="V2139" s="1077" t="s">
        <v>648</v>
      </c>
      <c r="W2139" s="1077">
        <v>35</v>
      </c>
      <c r="X2139" s="1077">
        <v>10</v>
      </c>
      <c r="Y2139" s="1077">
        <v>1</v>
      </c>
      <c r="Z2139" s="1077">
        <v>6</v>
      </c>
      <c r="AA2139" s="1077" t="s">
        <v>1738</v>
      </c>
      <c r="AH2139" s="1077" t="s">
        <v>878</v>
      </c>
      <c r="AI2139" s="1077">
        <v>91.44</v>
      </c>
      <c r="AJ2139" s="1077">
        <v>-0.08</v>
      </c>
      <c r="AK2139" s="1077">
        <v>0.83</v>
      </c>
      <c r="AM2139" s="1078" t="s">
        <v>13273</v>
      </c>
      <c r="AN2139" s="1078" t="s">
        <v>13274</v>
      </c>
      <c r="AO2139" s="1078">
        <f t="shared" si="270"/>
        <v>650</v>
      </c>
      <c r="AP2139" s="1078">
        <f t="shared" si="271"/>
        <v>1.7649999999999999</v>
      </c>
      <c r="AQ2139" s="1078" t="str">
        <f t="shared" si="272"/>
        <v>1-5-1S91°</v>
      </c>
      <c r="AR2139" s="1078" t="str">
        <f t="shared" si="273"/>
        <v>30</v>
      </c>
      <c r="AS2139" s="1078" t="str">
        <f t="shared" si="274"/>
        <v>350/310/150</v>
      </c>
      <c r="AT2139" s="1078" t="str">
        <f t="shared" si="275"/>
        <v>1-5-1S91°</v>
      </c>
      <c r="AV2139" s="1078" t="str">
        <f t="shared" si="268"/>
        <v>113.11.15</v>
      </c>
      <c r="AW2139" s="1344">
        <f t="shared" si="269"/>
        <v>45611</v>
      </c>
    </row>
    <row r="2140" spans="1:49">
      <c r="A2140" s="1077" t="s">
        <v>6740</v>
      </c>
      <c r="B2140" s="1077" t="s">
        <v>754</v>
      </c>
      <c r="C2140" s="1077">
        <v>500</v>
      </c>
      <c r="D2140" s="1077">
        <v>1.65</v>
      </c>
      <c r="E2140" s="1077" t="s">
        <v>15121</v>
      </c>
      <c r="F2140" s="1077" t="s">
        <v>648</v>
      </c>
      <c r="G2140" s="1077">
        <v>4</v>
      </c>
      <c r="H2140" s="1077" t="s">
        <v>1072</v>
      </c>
      <c r="I2140" s="1077" t="s">
        <v>126</v>
      </c>
      <c r="J2140" s="1077">
        <v>1.6</v>
      </c>
      <c r="K2140" s="1077" t="s">
        <v>6741</v>
      </c>
      <c r="L2140" s="1077" t="s">
        <v>6742</v>
      </c>
      <c r="M2140" s="1077">
        <v>155</v>
      </c>
      <c r="N2140" s="1077" t="s">
        <v>945</v>
      </c>
      <c r="O2140" s="1077">
        <v>3.875</v>
      </c>
      <c r="P2140" s="1077">
        <v>3.1</v>
      </c>
      <c r="Q2140" s="1077">
        <v>4</v>
      </c>
      <c r="R2140" s="1077">
        <v>22</v>
      </c>
      <c r="T2140" s="1077">
        <v>18</v>
      </c>
      <c r="U2140" s="1077">
        <v>3.8</v>
      </c>
      <c r="V2140" s="1077" t="s">
        <v>648</v>
      </c>
      <c r="W2140" s="1077">
        <v>135</v>
      </c>
      <c r="X2140" s="1077">
        <v>80</v>
      </c>
      <c r="Y2140" s="1077">
        <v>1.2</v>
      </c>
      <c r="Z2140" s="1077" t="s">
        <v>648</v>
      </c>
      <c r="AA2140" s="1077" t="s">
        <v>4553</v>
      </c>
      <c r="AH2140" s="1077" t="s">
        <v>1486</v>
      </c>
      <c r="AI2140" s="1077">
        <v>95.12</v>
      </c>
      <c r="AJ2140" s="1077">
        <v>-0.73</v>
      </c>
      <c r="AK2140" s="1077">
        <v>1.61</v>
      </c>
      <c r="AM2140" s="1078" t="s">
        <v>13275</v>
      </c>
      <c r="AN2140" s="1078" t="s">
        <v>13276</v>
      </c>
      <c r="AO2140" s="1078">
        <f t="shared" si="270"/>
        <v>500</v>
      </c>
      <c r="AP2140" s="1078">
        <f t="shared" si="271"/>
        <v>1.65</v>
      </c>
      <c r="AQ2140" s="1078" t="str">
        <f t="shared" si="272"/>
        <v>1-5-1S85°S+Z</v>
      </c>
      <c r="AR2140" s="1078" t="str">
        <f t="shared" si="273"/>
        <v>NA</v>
      </c>
      <c r="AS2140" s="1078" t="str">
        <f t="shared" si="274"/>
        <v>168/OFF</v>
      </c>
      <c r="AT2140" s="1078" t="str">
        <f t="shared" si="275"/>
        <v>1-5-1S85°S+Z</v>
      </c>
      <c r="AU2140" s="1078" t="s">
        <v>15550</v>
      </c>
      <c r="AV2140" s="1078" t="str">
        <f t="shared" si="268"/>
        <v>113.11.13</v>
      </c>
      <c r="AW2140" s="1344">
        <f t="shared" si="269"/>
        <v>45609</v>
      </c>
    </row>
    <row r="2141" spans="1:49">
      <c r="A2141" s="1077" t="s">
        <v>6743</v>
      </c>
      <c r="B2141" s="1077" t="s">
        <v>844</v>
      </c>
      <c r="C2141" s="1077">
        <v>600</v>
      </c>
      <c r="D2141" s="1077">
        <v>1.79</v>
      </c>
      <c r="E2141" s="1077" t="s">
        <v>15094</v>
      </c>
      <c r="F2141" s="1077" t="s">
        <v>954</v>
      </c>
      <c r="G2141" s="1077">
        <v>5</v>
      </c>
      <c r="H2141" s="1077" t="s">
        <v>5126</v>
      </c>
      <c r="I2141" s="1077" t="s">
        <v>460</v>
      </c>
      <c r="J2141" s="1077">
        <v>3.7</v>
      </c>
      <c r="K2141" s="1077" t="s">
        <v>6708</v>
      </c>
      <c r="L2141" s="1077" t="s">
        <v>6238</v>
      </c>
      <c r="M2141" s="1077">
        <v>151.69999999999999</v>
      </c>
      <c r="N2141" s="1077" t="s">
        <v>945</v>
      </c>
      <c r="O2141" s="1077">
        <v>3.7925</v>
      </c>
      <c r="P2141" s="1077">
        <v>3.0339999999999998</v>
      </c>
      <c r="Q2141" s="1077">
        <v>3</v>
      </c>
      <c r="R2141" s="1077">
        <v>19.7</v>
      </c>
      <c r="T2141" s="1077">
        <v>11.5</v>
      </c>
      <c r="U2141" s="1077">
        <v>5.3</v>
      </c>
      <c r="V2141" s="1077" t="s">
        <v>648</v>
      </c>
      <c r="W2141" s="1077">
        <v>105</v>
      </c>
      <c r="X2141" s="1077">
        <v>95</v>
      </c>
      <c r="Y2141" s="1077">
        <v>1.5</v>
      </c>
      <c r="Z2141" s="1077">
        <v>5</v>
      </c>
      <c r="AA2141" s="1077" t="s">
        <v>4551</v>
      </c>
      <c r="AB2141" s="1077" t="s">
        <v>2162</v>
      </c>
      <c r="AH2141" s="1077" t="s">
        <v>966</v>
      </c>
      <c r="AI2141" s="1077">
        <v>90.55</v>
      </c>
      <c r="AJ2141" s="1077">
        <v>-1.22</v>
      </c>
      <c r="AK2141" s="1077">
        <v>5.46</v>
      </c>
      <c r="AM2141" s="1078" t="s">
        <v>13277</v>
      </c>
      <c r="AN2141" s="1078" t="s">
        <v>13278</v>
      </c>
      <c r="AO2141" s="1078">
        <f t="shared" si="270"/>
        <v>600</v>
      </c>
      <c r="AP2141" s="1078">
        <f t="shared" si="271"/>
        <v>1.79</v>
      </c>
      <c r="AQ2141" s="1078" t="str">
        <f t="shared" si="272"/>
        <v>1-5-1S91°</v>
      </c>
      <c r="AR2141" s="1078" t="str">
        <f t="shared" si="273"/>
        <v>31</v>
      </c>
      <c r="AS2141" s="1078" t="str">
        <f t="shared" si="274"/>
        <v>300/300/140</v>
      </c>
      <c r="AT2141" s="1078" t="str">
        <f t="shared" si="275"/>
        <v>1-5-1S91°</v>
      </c>
      <c r="AV2141" s="1078" t="str">
        <f t="shared" si="268"/>
        <v>113.11.14</v>
      </c>
      <c r="AW2141" s="1344">
        <f t="shared" si="269"/>
        <v>45610</v>
      </c>
    </row>
    <row r="2142" spans="1:49">
      <c r="A2142" s="1077" t="s">
        <v>6744</v>
      </c>
      <c r="B2142" s="1077" t="s">
        <v>416</v>
      </c>
      <c r="C2142" s="1077">
        <v>650</v>
      </c>
      <c r="D2142" s="1077">
        <v>1.7549999999999999</v>
      </c>
      <c r="E2142" s="1077" t="s">
        <v>15094</v>
      </c>
      <c r="F2142" s="1077" t="s">
        <v>984</v>
      </c>
      <c r="G2142" s="1077">
        <v>5</v>
      </c>
      <c r="H2142" s="1077" t="s">
        <v>5483</v>
      </c>
      <c r="I2142" s="1077" t="s">
        <v>126</v>
      </c>
      <c r="J2142" s="1077">
        <v>0.7</v>
      </c>
      <c r="K2142" s="1077" t="s">
        <v>6725</v>
      </c>
      <c r="L2142" s="1077" t="s">
        <v>6291</v>
      </c>
      <c r="M2142" s="1077">
        <v>151.5</v>
      </c>
      <c r="N2142" s="1077" t="s">
        <v>945</v>
      </c>
      <c r="O2142" s="1077">
        <v>3.7875000000000001</v>
      </c>
      <c r="P2142" s="1077">
        <v>3.0300000000000002</v>
      </c>
      <c r="Q2142" s="1077">
        <v>4</v>
      </c>
      <c r="R2142" s="1077">
        <v>19.100000000000001</v>
      </c>
      <c r="T2142" s="1077">
        <v>23.7</v>
      </c>
      <c r="U2142" s="1077">
        <v>3.2</v>
      </c>
      <c r="V2142" s="1077" t="s">
        <v>648</v>
      </c>
      <c r="W2142" s="1077">
        <v>35</v>
      </c>
      <c r="X2142" s="1077">
        <v>10</v>
      </c>
      <c r="Y2142" s="1077">
        <v>1</v>
      </c>
      <c r="Z2142" s="1077">
        <v>6</v>
      </c>
      <c r="AA2142" s="1077" t="s">
        <v>6745</v>
      </c>
      <c r="AH2142" s="1077" t="s">
        <v>468</v>
      </c>
      <c r="AI2142" s="1077">
        <v>91.38</v>
      </c>
      <c r="AJ2142" s="1077">
        <v>-0.34</v>
      </c>
      <c r="AK2142" s="1077">
        <v>0.93</v>
      </c>
      <c r="AM2142" s="1078" t="s">
        <v>13279</v>
      </c>
      <c r="AN2142" s="1078" t="s">
        <v>13280</v>
      </c>
      <c r="AO2142" s="1078">
        <f t="shared" si="270"/>
        <v>650</v>
      </c>
      <c r="AP2142" s="1078">
        <f t="shared" si="271"/>
        <v>1.7549999999999999</v>
      </c>
      <c r="AQ2142" s="1078" t="str">
        <f t="shared" si="272"/>
        <v>1-5-1S91°</v>
      </c>
      <c r="AR2142" s="1078" t="str">
        <f t="shared" si="273"/>
        <v>30</v>
      </c>
      <c r="AS2142" s="1078" t="str">
        <f t="shared" si="274"/>
        <v>350/310/150</v>
      </c>
      <c r="AT2142" s="1078" t="str">
        <f t="shared" si="275"/>
        <v>1-5-1S91°</v>
      </c>
      <c r="AV2142" s="1078" t="str">
        <f t="shared" si="268"/>
        <v>113.11.18</v>
      </c>
      <c r="AW2142" s="1344">
        <f t="shared" si="269"/>
        <v>45614</v>
      </c>
    </row>
    <row r="2143" spans="1:49">
      <c r="A2143" s="1077" t="s">
        <v>6746</v>
      </c>
      <c r="B2143" s="1077" t="s">
        <v>416</v>
      </c>
      <c r="C2143" s="1077">
        <v>650</v>
      </c>
      <c r="D2143" s="1077">
        <v>1.76</v>
      </c>
      <c r="E2143" s="1077" t="s">
        <v>15094</v>
      </c>
      <c r="F2143" s="1077" t="s">
        <v>984</v>
      </c>
      <c r="G2143" s="1077">
        <v>5</v>
      </c>
      <c r="H2143" s="1077" t="s">
        <v>5483</v>
      </c>
      <c r="I2143" s="1077" t="s">
        <v>126</v>
      </c>
      <c r="J2143" s="1077">
        <v>0.7</v>
      </c>
      <c r="K2143" s="1077" t="s">
        <v>6725</v>
      </c>
      <c r="L2143" s="1077" t="s">
        <v>6291</v>
      </c>
      <c r="M2143" s="1077">
        <v>151.5</v>
      </c>
      <c r="N2143" s="1077" t="s">
        <v>945</v>
      </c>
      <c r="O2143" s="1077">
        <v>3.7875000000000001</v>
      </c>
      <c r="P2143" s="1077">
        <v>3.0300000000000002</v>
      </c>
      <c r="Q2143" s="1077">
        <v>4</v>
      </c>
      <c r="R2143" s="1077">
        <v>19.100000000000001</v>
      </c>
      <c r="T2143" s="1077">
        <v>23.7</v>
      </c>
      <c r="U2143" s="1077">
        <v>3.2</v>
      </c>
      <c r="V2143" s="1077" t="s">
        <v>648</v>
      </c>
      <c r="W2143" s="1077">
        <v>35</v>
      </c>
      <c r="X2143" s="1077">
        <v>10</v>
      </c>
      <c r="Y2143" s="1077">
        <v>1</v>
      </c>
      <c r="Z2143" s="1077">
        <v>6</v>
      </c>
      <c r="AA2143" s="1077" t="s">
        <v>6745</v>
      </c>
      <c r="AH2143" s="1077" t="s">
        <v>483</v>
      </c>
      <c r="AI2143" s="1077">
        <v>91.33</v>
      </c>
      <c r="AJ2143" s="1077">
        <v>0.53</v>
      </c>
      <c r="AK2143" s="1077">
        <v>0.43</v>
      </c>
      <c r="AM2143" s="1078" t="s">
        <v>13281</v>
      </c>
      <c r="AN2143" s="1078" t="s">
        <v>13282</v>
      </c>
      <c r="AO2143" s="1078">
        <f t="shared" si="270"/>
        <v>650</v>
      </c>
      <c r="AP2143" s="1078">
        <f t="shared" si="271"/>
        <v>1.76</v>
      </c>
      <c r="AQ2143" s="1078" t="str">
        <f t="shared" si="272"/>
        <v>1-5-1S91°</v>
      </c>
      <c r="AR2143" s="1078" t="str">
        <f t="shared" si="273"/>
        <v>30</v>
      </c>
      <c r="AS2143" s="1078" t="str">
        <f t="shared" si="274"/>
        <v>350/310/150</v>
      </c>
      <c r="AT2143" s="1078" t="str">
        <f t="shared" si="275"/>
        <v>1-5-1S91°</v>
      </c>
      <c r="AV2143" s="1078" t="str">
        <f t="shared" si="268"/>
        <v>113.11.18</v>
      </c>
      <c r="AW2143" s="1344">
        <f t="shared" si="269"/>
        <v>45614</v>
      </c>
    </row>
    <row r="2144" spans="1:49">
      <c r="A2144" s="1077" t="s">
        <v>6747</v>
      </c>
      <c r="B2144" s="1077" t="s">
        <v>617</v>
      </c>
      <c r="C2144" s="1077">
        <v>600</v>
      </c>
      <c r="D2144" s="1077">
        <v>1.75</v>
      </c>
      <c r="E2144" s="1077" t="s">
        <v>15094</v>
      </c>
      <c r="F2144" s="1077" t="s">
        <v>984</v>
      </c>
      <c r="G2144" s="1077">
        <v>5</v>
      </c>
      <c r="H2144" s="1077" t="s">
        <v>955</v>
      </c>
      <c r="I2144" s="1077" t="s">
        <v>126</v>
      </c>
      <c r="J2144" s="1077">
        <v>2.5</v>
      </c>
      <c r="K2144" s="1077" t="s">
        <v>6611</v>
      </c>
      <c r="L2144" s="1077" t="s">
        <v>4854</v>
      </c>
      <c r="M2144" s="1077">
        <v>150.30000000000001</v>
      </c>
      <c r="N2144" s="1077" t="s">
        <v>945</v>
      </c>
      <c r="O2144" s="1077">
        <v>3.7575000000000003</v>
      </c>
      <c r="P2144" s="1077">
        <v>3.0060000000000002</v>
      </c>
      <c r="Q2144" s="1077">
        <v>3</v>
      </c>
      <c r="R2144" s="1077">
        <v>31</v>
      </c>
      <c r="T2144" s="1077">
        <v>13</v>
      </c>
      <c r="U2144" s="1077">
        <v>7</v>
      </c>
      <c r="V2144" s="1077" t="s">
        <v>648</v>
      </c>
      <c r="W2144" s="1077">
        <v>115</v>
      </c>
      <c r="X2144" s="1077">
        <v>50</v>
      </c>
      <c r="Y2144" s="1077">
        <v>1.7</v>
      </c>
      <c r="Z2144" s="1077">
        <v>6.5</v>
      </c>
      <c r="AA2144" s="1077" t="s">
        <v>6748</v>
      </c>
      <c r="AH2144" s="1077" t="s">
        <v>838</v>
      </c>
      <c r="AI2144" s="1077">
        <v>93.4</v>
      </c>
      <c r="AJ2144" s="1077">
        <v>-1.1000000000000001</v>
      </c>
      <c r="AK2144" s="1077">
        <v>5.23</v>
      </c>
      <c r="AM2144" s="1078" t="s">
        <v>13283</v>
      </c>
      <c r="AN2144" s="1078" t="s">
        <v>13284</v>
      </c>
      <c r="AO2144" s="1078">
        <f t="shared" si="270"/>
        <v>600</v>
      </c>
      <c r="AP2144" s="1078">
        <f t="shared" si="271"/>
        <v>1.75</v>
      </c>
      <c r="AQ2144" s="1078" t="str">
        <f t="shared" si="272"/>
        <v>1-5-1S91°</v>
      </c>
      <c r="AR2144" s="1078" t="str">
        <f t="shared" si="273"/>
        <v>30</v>
      </c>
      <c r="AS2144" s="1078" t="str">
        <f t="shared" si="274"/>
        <v>260/260/OFF</v>
      </c>
      <c r="AT2144" s="1078" t="str">
        <f t="shared" si="275"/>
        <v>1-5-1S91°</v>
      </c>
      <c r="AV2144" s="1078" t="str">
        <f t="shared" si="268"/>
        <v>113.11.19</v>
      </c>
      <c r="AW2144" s="1344">
        <f t="shared" si="269"/>
        <v>45615</v>
      </c>
    </row>
    <row r="2145" spans="1:49">
      <c r="A2145" s="1077" t="s">
        <v>6749</v>
      </c>
      <c r="B2145" s="1077" t="s">
        <v>210</v>
      </c>
      <c r="C2145" s="1077">
        <v>650</v>
      </c>
      <c r="D2145" s="1077">
        <v>1.74</v>
      </c>
      <c r="E2145" s="1077" t="s">
        <v>15094</v>
      </c>
      <c r="F2145" s="1077" t="s">
        <v>984</v>
      </c>
      <c r="G2145" s="1077">
        <v>5</v>
      </c>
      <c r="H2145" s="1077" t="s">
        <v>4997</v>
      </c>
      <c r="I2145" s="1077" t="s">
        <v>126</v>
      </c>
      <c r="J2145" s="1077">
        <v>2.7</v>
      </c>
      <c r="K2145" s="1077" t="s">
        <v>6750</v>
      </c>
      <c r="L2145" s="1077" t="s">
        <v>4666</v>
      </c>
      <c r="M2145" s="1077">
        <v>150.80000000000001</v>
      </c>
      <c r="N2145" s="1077" t="s">
        <v>945</v>
      </c>
      <c r="O2145" s="1077">
        <v>3.7700000000000005</v>
      </c>
      <c r="P2145" s="1077">
        <v>3.0160000000000005</v>
      </c>
      <c r="Q2145" s="1077">
        <v>4</v>
      </c>
      <c r="R2145" s="1077">
        <v>19</v>
      </c>
      <c r="T2145" s="1077">
        <v>28.3</v>
      </c>
      <c r="U2145" s="1077">
        <v>4.3</v>
      </c>
      <c r="V2145" s="1077" t="s">
        <v>648</v>
      </c>
      <c r="W2145" s="1077">
        <v>100</v>
      </c>
      <c r="X2145" s="1077">
        <v>50</v>
      </c>
      <c r="Y2145" s="1077">
        <v>1.5</v>
      </c>
      <c r="Z2145" s="1077">
        <v>6.5</v>
      </c>
      <c r="AA2145" s="1077" t="s">
        <v>2157</v>
      </c>
      <c r="AH2145" s="1077" t="s">
        <v>958</v>
      </c>
      <c r="AI2145" s="1077">
        <v>93.78</v>
      </c>
      <c r="AJ2145" s="1077">
        <v>-0.41</v>
      </c>
      <c r="AK2145" s="1077">
        <v>1.1299999999999999</v>
      </c>
      <c r="AM2145" s="1078" t="s">
        <v>624</v>
      </c>
      <c r="AN2145" s="1078" t="s">
        <v>13285</v>
      </c>
      <c r="AO2145" s="1078">
        <f t="shared" si="270"/>
        <v>650</v>
      </c>
      <c r="AP2145" s="1078">
        <f t="shared" si="271"/>
        <v>1.74</v>
      </c>
      <c r="AQ2145" s="1078" t="str">
        <f t="shared" si="272"/>
        <v>1-5-1S91°</v>
      </c>
      <c r="AR2145" s="1078" t="str">
        <f t="shared" si="273"/>
        <v>30</v>
      </c>
      <c r="AS2145" s="1078" t="str">
        <f t="shared" si="274"/>
        <v>360/320/OFF</v>
      </c>
      <c r="AT2145" s="1078" t="str">
        <f t="shared" si="275"/>
        <v>1-5-1S91°</v>
      </c>
      <c r="AV2145" s="1078" t="str">
        <f t="shared" si="268"/>
        <v>113.11.22</v>
      </c>
      <c r="AW2145" s="1344">
        <f t="shared" si="269"/>
        <v>45618</v>
      </c>
    </row>
    <row r="2146" spans="1:49">
      <c r="A2146" s="1077" t="s">
        <v>6751</v>
      </c>
      <c r="B2146" s="1077" t="s">
        <v>882</v>
      </c>
      <c r="C2146" s="1077">
        <v>650</v>
      </c>
      <c r="D2146" s="1077">
        <v>1.76</v>
      </c>
      <c r="E2146" s="1077" t="s">
        <v>15116</v>
      </c>
      <c r="F2146" s="1077" t="s">
        <v>1514</v>
      </c>
      <c r="G2146" s="1077">
        <v>2</v>
      </c>
      <c r="H2146" s="1077" t="s">
        <v>6541</v>
      </c>
      <c r="I2146" s="1077" t="s">
        <v>126</v>
      </c>
      <c r="J2146" s="1077">
        <v>1.5</v>
      </c>
      <c r="K2146" s="1077" t="s">
        <v>6752</v>
      </c>
      <c r="L2146" s="1077" t="s">
        <v>6543</v>
      </c>
      <c r="M2146" s="1077">
        <v>155</v>
      </c>
      <c r="N2146" s="1077" t="s">
        <v>945</v>
      </c>
      <c r="O2146" s="1077">
        <v>3.875</v>
      </c>
      <c r="P2146" s="1077">
        <v>3.1</v>
      </c>
      <c r="Q2146" s="1077">
        <v>3.5</v>
      </c>
      <c r="R2146" s="1077">
        <v>24</v>
      </c>
      <c r="T2146" s="1077">
        <v>26</v>
      </c>
      <c r="U2146" s="1077">
        <v>3.1</v>
      </c>
      <c r="V2146" s="1077" t="s">
        <v>648</v>
      </c>
      <c r="W2146" s="1077">
        <v>90</v>
      </c>
      <c r="X2146" s="1077">
        <v>10</v>
      </c>
      <c r="Y2146" s="1077">
        <v>1.52</v>
      </c>
      <c r="Z2146" s="1077" t="s">
        <v>648</v>
      </c>
      <c r="AA2146" s="1077" t="s">
        <v>2160</v>
      </c>
      <c r="AH2146" s="1077" t="s">
        <v>869</v>
      </c>
      <c r="AI2146" s="1077">
        <v>18.32</v>
      </c>
      <c r="AJ2146" s="1077">
        <v>2.86</v>
      </c>
      <c r="AK2146" s="1077">
        <v>-14.83</v>
      </c>
      <c r="AM2146" s="1078" t="s">
        <v>13286</v>
      </c>
      <c r="AN2146" s="1078" t="s">
        <v>13287</v>
      </c>
      <c r="AO2146" s="1078">
        <f t="shared" si="270"/>
        <v>650</v>
      </c>
      <c r="AP2146" s="1078">
        <f t="shared" si="271"/>
        <v>1.76</v>
      </c>
      <c r="AQ2146" s="1078" t="str">
        <f t="shared" si="272"/>
        <v>1-5-1S83°Z+S</v>
      </c>
      <c r="AR2146" s="1078" t="str">
        <f t="shared" si="273"/>
        <v>32</v>
      </c>
      <c r="AS2146" s="1078" t="str">
        <f t="shared" si="274"/>
        <v>265/265/155</v>
      </c>
      <c r="AT2146" s="1078" t="str">
        <f t="shared" si="275"/>
        <v>1-5-1S83°Z+S</v>
      </c>
      <c r="AU2146" s="1078" t="s">
        <v>15547</v>
      </c>
      <c r="AV2146" s="1078" t="str">
        <f t="shared" si="268"/>
        <v>113.11.28</v>
      </c>
      <c r="AW2146" s="1344">
        <f t="shared" si="269"/>
        <v>45624</v>
      </c>
    </row>
    <row r="2147" spans="1:49">
      <c r="A2147" s="1077" t="s">
        <v>6753</v>
      </c>
      <c r="B2147" s="1077" t="s">
        <v>5239</v>
      </c>
      <c r="C2147" s="1077">
        <v>650</v>
      </c>
      <c r="D2147" s="1077">
        <v>1.76</v>
      </c>
      <c r="E2147" s="1077" t="s">
        <v>15094</v>
      </c>
      <c r="F2147" s="1077" t="s">
        <v>984</v>
      </c>
      <c r="G2147" s="1077">
        <v>5</v>
      </c>
      <c r="H2147" s="1077" t="s">
        <v>6754</v>
      </c>
      <c r="I2147" s="1077" t="s">
        <v>648</v>
      </c>
      <c r="J2147" s="1077">
        <v>0</v>
      </c>
      <c r="K2147" s="1077" t="s">
        <v>6712</v>
      </c>
      <c r="L2147" s="1077" t="s">
        <v>4666</v>
      </c>
      <c r="M2147" s="1077">
        <v>151.5</v>
      </c>
      <c r="N2147" s="1077" t="s">
        <v>945</v>
      </c>
      <c r="O2147" s="1077">
        <v>3.7875000000000001</v>
      </c>
      <c r="P2147" s="1077">
        <v>3.0300000000000002</v>
      </c>
      <c r="Q2147" s="1077">
        <v>4</v>
      </c>
      <c r="R2147" s="1077">
        <v>23</v>
      </c>
      <c r="T2147" s="1077">
        <v>21</v>
      </c>
      <c r="U2147" s="1077">
        <v>2.8</v>
      </c>
      <c r="V2147" s="1077" t="s">
        <v>648</v>
      </c>
      <c r="W2147" s="1077" t="s">
        <v>648</v>
      </c>
      <c r="X2147" s="1077">
        <v>0</v>
      </c>
      <c r="Y2147" s="1077">
        <v>1.5</v>
      </c>
      <c r="Z2147" s="1077">
        <v>6</v>
      </c>
      <c r="AA2147" s="1077" t="s">
        <v>4560</v>
      </c>
      <c r="AH2147" s="1077" t="s">
        <v>1186</v>
      </c>
      <c r="AI2147" s="1077">
        <v>93.92</v>
      </c>
      <c r="AJ2147" s="1077">
        <v>-0.38</v>
      </c>
      <c r="AK2147" s="1077">
        <v>0.91</v>
      </c>
      <c r="AM2147" s="1078" t="s">
        <v>13288</v>
      </c>
      <c r="AN2147" s="1078" t="s">
        <v>9434</v>
      </c>
      <c r="AO2147" s="1078">
        <f t="shared" si="270"/>
        <v>650</v>
      </c>
      <c r="AP2147" s="1078">
        <f t="shared" si="271"/>
        <v>1.76</v>
      </c>
      <c r="AQ2147" s="1078" t="str">
        <f t="shared" si="272"/>
        <v>1-5-1S91°</v>
      </c>
      <c r="AR2147" s="1078" t="str">
        <f t="shared" si="273"/>
        <v>30</v>
      </c>
      <c r="AS2147" s="1078" t="str">
        <f t="shared" si="274"/>
        <v>315/305/135</v>
      </c>
      <c r="AT2147" s="1078" t="str">
        <f t="shared" si="275"/>
        <v>1-5-1S91°</v>
      </c>
      <c r="AV2147" s="1078" t="str">
        <f t="shared" si="268"/>
        <v>113.12.11</v>
      </c>
      <c r="AW2147" s="1344">
        <f t="shared" si="269"/>
        <v>45637</v>
      </c>
    </row>
    <row r="2148" spans="1:49">
      <c r="A2148" s="1077" t="s">
        <v>6755</v>
      </c>
      <c r="B2148" s="1077" t="s">
        <v>4767</v>
      </c>
      <c r="C2148" s="1077">
        <v>650</v>
      </c>
      <c r="D2148" s="1077">
        <v>1.74</v>
      </c>
      <c r="E2148" s="1077" t="s">
        <v>15121</v>
      </c>
      <c r="F2148" s="1077" t="s">
        <v>648</v>
      </c>
      <c r="G2148" s="1077">
        <v>5</v>
      </c>
      <c r="H2148" s="1077" t="s">
        <v>2192</v>
      </c>
      <c r="I2148" s="1077" t="s">
        <v>126</v>
      </c>
      <c r="J2148" s="1077">
        <v>1.4</v>
      </c>
      <c r="K2148" s="1077" t="s">
        <v>6624</v>
      </c>
      <c r="L2148" s="1077" t="s">
        <v>6319</v>
      </c>
      <c r="M2148" s="1077">
        <v>158</v>
      </c>
      <c r="N2148" s="1077" t="s">
        <v>945</v>
      </c>
      <c r="O2148" s="1077">
        <v>3.95</v>
      </c>
      <c r="P2148" s="1077">
        <v>3.16</v>
      </c>
      <c r="Q2148" s="1077">
        <v>4</v>
      </c>
      <c r="R2148" s="1077">
        <v>20.8</v>
      </c>
      <c r="T2148" s="1077">
        <v>20.399999999999999</v>
      </c>
      <c r="U2148" s="1077">
        <v>3.8</v>
      </c>
      <c r="V2148" s="1077" t="s">
        <v>648</v>
      </c>
      <c r="W2148" s="1077">
        <v>110</v>
      </c>
      <c r="X2148" s="1077">
        <v>60</v>
      </c>
      <c r="Y2148" s="1077">
        <v>1.7</v>
      </c>
      <c r="Z2148" s="1077" t="s">
        <v>648</v>
      </c>
      <c r="AA2148" s="1077" t="s">
        <v>2168</v>
      </c>
      <c r="AH2148" s="1077" t="s">
        <v>712</v>
      </c>
      <c r="AI2148" s="1077">
        <v>92.83</v>
      </c>
      <c r="AJ2148" s="1077">
        <v>-0.19</v>
      </c>
      <c r="AK2148" s="1077">
        <v>0.77</v>
      </c>
      <c r="AM2148" s="1078" t="s">
        <v>13289</v>
      </c>
      <c r="AN2148" s="1078" t="s">
        <v>13290</v>
      </c>
      <c r="AO2148" s="1078">
        <f t="shared" si="270"/>
        <v>650</v>
      </c>
      <c r="AP2148" s="1078">
        <f t="shared" si="271"/>
        <v>1.74</v>
      </c>
      <c r="AQ2148" s="1078" t="str">
        <f t="shared" si="272"/>
        <v>1-5-1S85°S+Z</v>
      </c>
      <c r="AR2148" s="1078" t="str">
        <f t="shared" si="273"/>
        <v>NA</v>
      </c>
      <c r="AS2148" s="1078" t="str">
        <f t="shared" si="274"/>
        <v>180/OFF</v>
      </c>
      <c r="AT2148" s="1078" t="str">
        <f t="shared" si="275"/>
        <v>1-5-1S85°S+Z</v>
      </c>
      <c r="AU2148" s="1078" t="s">
        <v>15550</v>
      </c>
      <c r="AV2148" s="1078" t="str">
        <f t="shared" si="268"/>
        <v>113.12.9</v>
      </c>
      <c r="AW2148" s="1344">
        <f t="shared" si="269"/>
        <v>45635</v>
      </c>
    </row>
    <row r="2149" spans="1:49">
      <c r="A2149" s="1077" t="s">
        <v>6756</v>
      </c>
      <c r="B2149" s="1077" t="s">
        <v>465</v>
      </c>
      <c r="C2149" s="1077">
        <v>650</v>
      </c>
      <c r="D2149" s="1077">
        <v>1.78</v>
      </c>
      <c r="E2149" s="1077" t="s">
        <v>15109</v>
      </c>
      <c r="F2149" s="1077" t="s">
        <v>648</v>
      </c>
      <c r="G2149" s="1077">
        <v>5</v>
      </c>
      <c r="H2149" s="1077" t="s">
        <v>3356</v>
      </c>
      <c r="I2149" s="1077" t="s">
        <v>460</v>
      </c>
      <c r="J2149" s="1077">
        <v>1.6</v>
      </c>
      <c r="K2149" s="1077" t="s">
        <v>6757</v>
      </c>
      <c r="L2149" s="1077" t="s">
        <v>6335</v>
      </c>
      <c r="M2149" s="1077">
        <v>149.5</v>
      </c>
      <c r="N2149" s="1077" t="s">
        <v>945</v>
      </c>
      <c r="O2149" s="1077">
        <v>3.7375000000000003</v>
      </c>
      <c r="P2149" s="1077">
        <v>2.99</v>
      </c>
      <c r="Q2149" s="1077">
        <v>4</v>
      </c>
      <c r="R2149" s="1077">
        <v>21</v>
      </c>
      <c r="T2149" s="1077">
        <v>37</v>
      </c>
      <c r="U2149" s="1077">
        <v>3.7</v>
      </c>
      <c r="V2149" s="1077" t="s">
        <v>648</v>
      </c>
      <c r="W2149" s="1077">
        <v>110</v>
      </c>
      <c r="X2149" s="1077">
        <v>40</v>
      </c>
      <c r="Y2149" s="1077">
        <v>2.2000000000000002</v>
      </c>
      <c r="Z2149" s="1077" t="s">
        <v>648</v>
      </c>
      <c r="AA2149" s="1077" t="s">
        <v>2171</v>
      </c>
      <c r="AH2149" s="1077" t="s">
        <v>650</v>
      </c>
      <c r="AI2149" s="1077">
        <v>91.89</v>
      </c>
      <c r="AJ2149" s="1077">
        <v>-0.56999999999999995</v>
      </c>
      <c r="AK2149" s="1077">
        <v>1.2</v>
      </c>
      <c r="AM2149" s="1078" t="s">
        <v>649</v>
      </c>
      <c r="AN2149" s="1078" t="s">
        <v>13291</v>
      </c>
      <c r="AO2149" s="1078">
        <f t="shared" si="270"/>
        <v>650</v>
      </c>
      <c r="AP2149" s="1078">
        <f t="shared" si="271"/>
        <v>1.78</v>
      </c>
      <c r="AQ2149" s="1078" t="str">
        <f t="shared" si="272"/>
        <v>1-5-1S85°Z+S</v>
      </c>
      <c r="AR2149" s="1078" t="str">
        <f t="shared" si="273"/>
        <v>NA</v>
      </c>
      <c r="AS2149" s="1078" t="str">
        <f t="shared" si="274"/>
        <v>182/OFF</v>
      </c>
      <c r="AT2149" s="1078" t="str">
        <f t="shared" si="275"/>
        <v>1-5-1S85°Z+S</v>
      </c>
      <c r="AU2149" s="1078" t="s">
        <v>15547</v>
      </c>
      <c r="AV2149" s="1078" t="str">
        <f t="shared" si="268"/>
        <v>113.12.13</v>
      </c>
      <c r="AW2149" s="1344">
        <f t="shared" si="269"/>
        <v>45639</v>
      </c>
    </row>
    <row r="2150" spans="1:49">
      <c r="A2150" s="1077" t="s">
        <v>6758</v>
      </c>
      <c r="B2150" s="1077" t="s">
        <v>754</v>
      </c>
      <c r="C2150" s="1077">
        <v>500</v>
      </c>
      <c r="D2150" s="1077">
        <v>1.65</v>
      </c>
      <c r="E2150" s="1077" t="s">
        <v>15121</v>
      </c>
      <c r="F2150" s="1077" t="s">
        <v>648</v>
      </c>
      <c r="G2150" s="1077">
        <v>4</v>
      </c>
      <c r="H2150" s="1077" t="s">
        <v>1072</v>
      </c>
      <c r="I2150" s="1077" t="s">
        <v>126</v>
      </c>
      <c r="J2150" s="1077">
        <v>1.5</v>
      </c>
      <c r="K2150" s="1077" t="s">
        <v>6759</v>
      </c>
      <c r="L2150" s="1077" t="s">
        <v>6742</v>
      </c>
      <c r="M2150" s="1077">
        <v>155</v>
      </c>
      <c r="N2150" s="1077" t="s">
        <v>945</v>
      </c>
      <c r="O2150" s="1077">
        <v>3.875</v>
      </c>
      <c r="P2150" s="1077">
        <v>3.1</v>
      </c>
      <c r="Q2150" s="1077">
        <v>4</v>
      </c>
      <c r="R2150" s="1077" t="s">
        <v>6760</v>
      </c>
      <c r="T2150" s="1077">
        <v>18</v>
      </c>
      <c r="U2150" s="1077">
        <v>3.8</v>
      </c>
      <c r="V2150" s="1077" t="s">
        <v>648</v>
      </c>
      <c r="W2150" s="1077">
        <v>135</v>
      </c>
      <c r="X2150" s="1077">
        <v>80</v>
      </c>
      <c r="Y2150" s="1077">
        <v>1.2</v>
      </c>
      <c r="Z2150" s="1077" t="s">
        <v>648</v>
      </c>
      <c r="AA2150" s="1077" t="s">
        <v>2171</v>
      </c>
      <c r="AH2150" s="1077" t="s">
        <v>1178</v>
      </c>
      <c r="AI2150" s="1077">
        <v>95.46</v>
      </c>
      <c r="AJ2150" s="1077">
        <v>-0.76</v>
      </c>
      <c r="AK2150" s="1077">
        <v>1.58</v>
      </c>
      <c r="AM2150" s="1078" t="s">
        <v>13292</v>
      </c>
      <c r="AN2150" s="1078" t="s">
        <v>13293</v>
      </c>
      <c r="AO2150" s="1078">
        <f t="shared" si="270"/>
        <v>500</v>
      </c>
      <c r="AP2150" s="1078">
        <f t="shared" si="271"/>
        <v>1.65</v>
      </c>
      <c r="AQ2150" s="1078" t="str">
        <f t="shared" si="272"/>
        <v>1-5-1S85°S+Z</v>
      </c>
      <c r="AR2150" s="1078" t="str">
        <f t="shared" si="273"/>
        <v>NA</v>
      </c>
      <c r="AS2150" s="1078" t="str">
        <f t="shared" si="274"/>
        <v>168/OFF</v>
      </c>
      <c r="AT2150" s="1078" t="str">
        <f t="shared" si="275"/>
        <v>1-5-1S85°S+Z</v>
      </c>
      <c r="AU2150" s="1078" t="s">
        <v>15550</v>
      </c>
      <c r="AV2150" s="1078" t="str">
        <f t="shared" si="268"/>
        <v>113.12.13</v>
      </c>
      <c r="AW2150" s="1344">
        <f t="shared" si="269"/>
        <v>45639</v>
      </c>
    </row>
    <row r="2151" spans="1:49">
      <c r="A2151" s="1077" t="s">
        <v>6761</v>
      </c>
      <c r="B2151" s="1077" t="s">
        <v>882</v>
      </c>
      <c r="C2151" s="1077">
        <v>650</v>
      </c>
      <c r="D2151" s="1077">
        <v>1.76</v>
      </c>
      <c r="E2151" s="1077" t="s">
        <v>15116</v>
      </c>
      <c r="F2151" s="1077" t="s">
        <v>1514</v>
      </c>
      <c r="G2151" s="1077">
        <v>2</v>
      </c>
      <c r="H2151" s="1077" t="s">
        <v>6541</v>
      </c>
      <c r="I2151" s="1077" t="s">
        <v>126</v>
      </c>
      <c r="J2151" s="1077">
        <v>1.5</v>
      </c>
      <c r="K2151" s="1077" t="s">
        <v>6752</v>
      </c>
      <c r="L2151" s="1077" t="s">
        <v>6543</v>
      </c>
      <c r="M2151" s="1077">
        <v>155</v>
      </c>
      <c r="N2151" s="1077" t="s">
        <v>945</v>
      </c>
      <c r="O2151" s="1077">
        <v>3.875</v>
      </c>
      <c r="P2151" s="1077">
        <v>3.1</v>
      </c>
      <c r="Q2151" s="1077">
        <v>3.5</v>
      </c>
      <c r="R2151" s="1077">
        <v>24</v>
      </c>
      <c r="T2151" s="1077">
        <v>26</v>
      </c>
      <c r="U2151" s="1077">
        <v>3.1</v>
      </c>
      <c r="V2151" s="1077" t="s">
        <v>648</v>
      </c>
      <c r="W2151" s="1077">
        <v>90</v>
      </c>
      <c r="X2151" s="1077">
        <v>10</v>
      </c>
      <c r="Y2151" s="1077">
        <v>1.52</v>
      </c>
      <c r="Z2151" s="1077" t="s">
        <v>648</v>
      </c>
      <c r="AA2151" s="1077" t="s">
        <v>2160</v>
      </c>
      <c r="AH2151" s="1077" t="s">
        <v>870</v>
      </c>
      <c r="AI2151" s="1077">
        <v>17.55</v>
      </c>
      <c r="AJ2151" s="1077">
        <v>3.7</v>
      </c>
      <c r="AK2151" s="1077">
        <v>-15.28</v>
      </c>
      <c r="AM2151" s="1078" t="s">
        <v>13294</v>
      </c>
      <c r="AN2151" s="1078" t="s">
        <v>13295</v>
      </c>
      <c r="AO2151" s="1078">
        <f t="shared" si="270"/>
        <v>650</v>
      </c>
      <c r="AP2151" s="1078">
        <f t="shared" si="271"/>
        <v>1.76</v>
      </c>
      <c r="AQ2151" s="1078" t="str">
        <f t="shared" si="272"/>
        <v>1-5-1S83°Z+S</v>
      </c>
      <c r="AR2151" s="1078" t="str">
        <f t="shared" si="273"/>
        <v>32</v>
      </c>
      <c r="AS2151" s="1078" t="str">
        <f t="shared" si="274"/>
        <v>265/265/155</v>
      </c>
      <c r="AT2151" s="1078" t="str">
        <f t="shared" si="275"/>
        <v>1-5-1S83°Z+S</v>
      </c>
      <c r="AU2151" s="1078" t="s">
        <v>15547</v>
      </c>
      <c r="AV2151" s="1078" t="str">
        <f t="shared" si="268"/>
        <v>113.11.28</v>
      </c>
      <c r="AW2151" s="1344">
        <f t="shared" si="269"/>
        <v>45624</v>
      </c>
    </row>
    <row r="2152" spans="1:49">
      <c r="A2152" s="1077" t="s">
        <v>6762</v>
      </c>
      <c r="B2152" s="1077" t="s">
        <v>617</v>
      </c>
      <c r="C2152" s="1077">
        <v>600</v>
      </c>
      <c r="D2152" s="1077">
        <v>1.75</v>
      </c>
      <c r="E2152" s="1077" t="s">
        <v>15094</v>
      </c>
      <c r="F2152" s="1077" t="s">
        <v>984</v>
      </c>
      <c r="G2152" s="1077">
        <v>5</v>
      </c>
      <c r="H2152" s="1077" t="s">
        <v>955</v>
      </c>
      <c r="I2152" s="1077" t="s">
        <v>126</v>
      </c>
      <c r="J2152" s="1077">
        <v>2.5</v>
      </c>
      <c r="K2152" s="1077" t="s">
        <v>6763</v>
      </c>
      <c r="L2152" s="1077" t="s">
        <v>4946</v>
      </c>
      <c r="M2152" s="1077">
        <v>150.30000000000001</v>
      </c>
      <c r="N2152" s="1077" t="s">
        <v>945</v>
      </c>
      <c r="O2152" s="1077">
        <v>3.7575000000000003</v>
      </c>
      <c r="P2152" s="1077">
        <v>3.0060000000000002</v>
      </c>
      <c r="Q2152" s="1077">
        <v>3</v>
      </c>
      <c r="R2152" s="1077">
        <v>31</v>
      </c>
      <c r="T2152" s="1077">
        <v>13</v>
      </c>
      <c r="U2152" s="1077">
        <v>7</v>
      </c>
      <c r="V2152" s="1077" t="s">
        <v>648</v>
      </c>
      <c r="W2152" s="1077">
        <v>115</v>
      </c>
      <c r="X2152" s="1077">
        <v>50</v>
      </c>
      <c r="Y2152" s="1077">
        <v>1.7</v>
      </c>
      <c r="Z2152" s="1077">
        <v>6.5</v>
      </c>
      <c r="AA2152" s="1077" t="s">
        <v>6764</v>
      </c>
      <c r="AH2152" s="1077" t="s">
        <v>889</v>
      </c>
      <c r="AI2152" s="1077">
        <v>93.4</v>
      </c>
      <c r="AJ2152" s="1077">
        <v>-1.17</v>
      </c>
      <c r="AK2152" s="1077">
        <v>5.15</v>
      </c>
      <c r="AM2152" s="1078" t="s">
        <v>13296</v>
      </c>
      <c r="AN2152" s="1078" t="s">
        <v>13297</v>
      </c>
      <c r="AO2152" s="1078">
        <f t="shared" si="270"/>
        <v>600</v>
      </c>
      <c r="AP2152" s="1078">
        <f t="shared" si="271"/>
        <v>1.75</v>
      </c>
      <c r="AQ2152" s="1078" t="str">
        <f t="shared" si="272"/>
        <v>1-5-1S91°</v>
      </c>
      <c r="AR2152" s="1078" t="str">
        <f t="shared" si="273"/>
        <v>30</v>
      </c>
      <c r="AS2152" s="1078" t="str">
        <f t="shared" si="274"/>
        <v>260/260/OFF</v>
      </c>
      <c r="AT2152" s="1078" t="str">
        <f t="shared" si="275"/>
        <v>1-5-1S91°</v>
      </c>
      <c r="AV2152" s="1078" t="str">
        <f t="shared" si="268"/>
        <v>113.12.12</v>
      </c>
      <c r="AW2152" s="1344">
        <f t="shared" si="269"/>
        <v>45638</v>
      </c>
    </row>
    <row r="2153" spans="1:49">
      <c r="A2153" s="1077" t="s">
        <v>6765</v>
      </c>
      <c r="B2153" s="1077" t="s">
        <v>757</v>
      </c>
      <c r="C2153" s="1077">
        <v>500</v>
      </c>
      <c r="D2153" s="1077">
        <v>1.76</v>
      </c>
      <c r="E2153" s="1077" t="s">
        <v>15111</v>
      </c>
      <c r="F2153" s="1077" t="s">
        <v>975</v>
      </c>
      <c r="G2153" s="1077">
        <v>4</v>
      </c>
      <c r="H2153" s="1077" t="s">
        <v>6766</v>
      </c>
      <c r="I2153" s="1077" t="s">
        <v>126</v>
      </c>
      <c r="J2153" s="1077">
        <v>2.9</v>
      </c>
      <c r="K2153" s="1077" t="s">
        <v>6486</v>
      </c>
      <c r="L2153" s="1077" t="s">
        <v>6118</v>
      </c>
      <c r="M2153" s="1077">
        <v>148.5</v>
      </c>
      <c r="N2153" s="1077" t="s">
        <v>945</v>
      </c>
      <c r="O2153" s="1077">
        <v>3.7125000000000004</v>
      </c>
      <c r="P2153" s="1077">
        <v>2.97</v>
      </c>
      <c r="Q2153" s="1077">
        <v>3.5</v>
      </c>
      <c r="R2153" s="1077">
        <v>21.5</v>
      </c>
      <c r="T2153" s="1077">
        <v>30</v>
      </c>
      <c r="U2153" s="1077">
        <v>3.6</v>
      </c>
      <c r="V2153" s="1077" t="s">
        <v>648</v>
      </c>
      <c r="W2153" s="1077">
        <v>120</v>
      </c>
      <c r="X2153" s="1077">
        <v>70</v>
      </c>
      <c r="Y2153" s="1077">
        <v>1.8</v>
      </c>
      <c r="Z2153" s="1077">
        <v>6.5</v>
      </c>
      <c r="AA2153" s="1077" t="s">
        <v>6767</v>
      </c>
      <c r="AH2153" s="1077" t="s">
        <v>619</v>
      </c>
      <c r="AI2153" s="1077">
        <v>13.17</v>
      </c>
      <c r="AJ2153" s="1077">
        <v>0.28999999999999998</v>
      </c>
      <c r="AK2153" s="1077">
        <v>0.45</v>
      </c>
      <c r="AM2153" s="1078" t="s">
        <v>13298</v>
      </c>
      <c r="AN2153" s="1078" t="s">
        <v>13299</v>
      </c>
      <c r="AO2153" s="1078">
        <f t="shared" si="270"/>
        <v>500</v>
      </c>
      <c r="AP2153" s="1078">
        <f t="shared" si="271"/>
        <v>1.76</v>
      </c>
      <c r="AQ2153" s="1078" t="str">
        <f t="shared" si="272"/>
        <v>1-5-1S91</v>
      </c>
      <c r="AR2153" s="1078" t="str">
        <f t="shared" si="273"/>
        <v>31.5</v>
      </c>
      <c r="AS2153" s="1078" t="str">
        <f t="shared" si="274"/>
        <v>325/325/OFF</v>
      </c>
      <c r="AT2153" s="1078" t="str">
        <f t="shared" si="275"/>
        <v>1-5-1S91</v>
      </c>
      <c r="AV2153" s="1078" t="str">
        <f t="shared" si="268"/>
        <v>113.12.16</v>
      </c>
      <c r="AW2153" s="1344">
        <f t="shared" si="269"/>
        <v>45642</v>
      </c>
    </row>
    <row r="2154" spans="1:49">
      <c r="A2154" s="1077" t="s">
        <v>6768</v>
      </c>
      <c r="B2154" s="1077" t="s">
        <v>416</v>
      </c>
      <c r="C2154" s="1077">
        <v>600</v>
      </c>
      <c r="D2154" s="1077">
        <v>1.75</v>
      </c>
      <c r="E2154" s="1077" t="s">
        <v>15102</v>
      </c>
      <c r="F2154" s="1077" t="s">
        <v>954</v>
      </c>
      <c r="G2154" s="1077">
        <v>5</v>
      </c>
      <c r="H2154" s="1077" t="s">
        <v>6721</v>
      </c>
      <c r="I2154" s="1077" t="s">
        <v>1167</v>
      </c>
      <c r="J2154" s="1077">
        <v>0.6</v>
      </c>
      <c r="K2154" s="1077" t="s">
        <v>6750</v>
      </c>
      <c r="L2154" s="1077" t="s">
        <v>4666</v>
      </c>
      <c r="M2154" s="1077">
        <v>151.5</v>
      </c>
      <c r="N2154" s="1077" t="s">
        <v>945</v>
      </c>
      <c r="O2154" s="1077">
        <v>3.7875000000000001</v>
      </c>
      <c r="P2154" s="1077">
        <v>3.0300000000000002</v>
      </c>
      <c r="Q2154" s="1077">
        <v>3.5</v>
      </c>
      <c r="R2154" s="1077">
        <v>19.100000000000001</v>
      </c>
      <c r="T2154" s="1077">
        <v>23.7</v>
      </c>
      <c r="U2154" s="1077">
        <v>3.2</v>
      </c>
      <c r="V2154" s="1077" t="s">
        <v>648</v>
      </c>
      <c r="W2154" s="1077">
        <v>35</v>
      </c>
      <c r="X2154" s="1077">
        <v>10</v>
      </c>
      <c r="Y2154" s="1077">
        <v>1</v>
      </c>
      <c r="Z2154" s="1077">
        <v>6</v>
      </c>
      <c r="AA2154" s="1077" t="s">
        <v>6769</v>
      </c>
      <c r="AH2154" s="1077" t="s">
        <v>812</v>
      </c>
      <c r="AI2154" s="1077">
        <v>93.94</v>
      </c>
      <c r="AJ2154" s="1077">
        <v>-0.62</v>
      </c>
      <c r="AK2154" s="1077">
        <v>1.23</v>
      </c>
      <c r="AM2154" s="1078" t="s">
        <v>13300</v>
      </c>
      <c r="AN2154" s="1078" t="s">
        <v>13301</v>
      </c>
      <c r="AO2154" s="1078">
        <f t="shared" si="270"/>
        <v>600</v>
      </c>
      <c r="AP2154" s="1078">
        <f t="shared" si="271"/>
        <v>1.75</v>
      </c>
      <c r="AQ2154" s="1078" t="str">
        <f t="shared" si="272"/>
        <v>2-6-1S83°</v>
      </c>
      <c r="AR2154" s="1078" t="str">
        <f t="shared" si="273"/>
        <v>31</v>
      </c>
      <c r="AS2154" s="1078" t="str">
        <f t="shared" si="274"/>
        <v>171/160</v>
      </c>
      <c r="AT2154" s="1078" t="str">
        <f t="shared" si="275"/>
        <v>2-6-1S83°</v>
      </c>
      <c r="AV2154" s="1078" t="str">
        <f t="shared" si="268"/>
        <v>113.12.17</v>
      </c>
      <c r="AW2154" s="1344">
        <f t="shared" si="269"/>
        <v>45643</v>
      </c>
    </row>
    <row r="2155" spans="1:49">
      <c r="A2155" s="1077" t="s">
        <v>6770</v>
      </c>
      <c r="B2155" s="1077" t="s">
        <v>799</v>
      </c>
      <c r="C2155" s="1077">
        <v>650</v>
      </c>
      <c r="D2155" s="1077">
        <v>1.76</v>
      </c>
      <c r="E2155" s="1077" t="s">
        <v>15094</v>
      </c>
      <c r="F2155" s="1077" t="s">
        <v>984</v>
      </c>
      <c r="G2155" s="1077">
        <v>5</v>
      </c>
      <c r="H2155" s="1077" t="s">
        <v>5483</v>
      </c>
      <c r="I2155" s="1077" t="s">
        <v>126</v>
      </c>
      <c r="J2155" s="1077">
        <v>0.6</v>
      </c>
      <c r="K2155" s="1077" t="s">
        <v>6771</v>
      </c>
      <c r="L2155" s="1077" t="s">
        <v>6291</v>
      </c>
      <c r="M2155" s="1077">
        <v>151.5</v>
      </c>
      <c r="N2155" s="1077" t="s">
        <v>945</v>
      </c>
      <c r="O2155" s="1077">
        <v>3.7875000000000001</v>
      </c>
      <c r="P2155" s="1077">
        <v>3.0300000000000002</v>
      </c>
      <c r="Q2155" s="1077">
        <v>4</v>
      </c>
      <c r="R2155" s="1077">
        <v>19.100000000000001</v>
      </c>
      <c r="T2155" s="1077">
        <v>23.7</v>
      </c>
      <c r="U2155" s="1077">
        <v>3.2</v>
      </c>
      <c r="V2155" s="1077" t="s">
        <v>648</v>
      </c>
      <c r="W2155" s="1077">
        <v>35</v>
      </c>
      <c r="X2155" s="1077">
        <v>10</v>
      </c>
      <c r="Y2155" s="1077">
        <v>1</v>
      </c>
      <c r="Z2155" s="1077">
        <v>6</v>
      </c>
      <c r="AA2155" s="1077" t="s">
        <v>6772</v>
      </c>
      <c r="AH2155" s="1077" t="s">
        <v>884</v>
      </c>
      <c r="AI2155" s="1077">
        <v>91.52</v>
      </c>
      <c r="AJ2155" s="1077">
        <v>-0.19</v>
      </c>
      <c r="AK2155" s="1077">
        <v>1.1299999999999999</v>
      </c>
      <c r="AM2155" s="1078" t="s">
        <v>13302</v>
      </c>
      <c r="AN2155" s="1078" t="s">
        <v>13303</v>
      </c>
      <c r="AO2155" s="1078">
        <f t="shared" si="270"/>
        <v>650</v>
      </c>
      <c r="AP2155" s="1078">
        <f t="shared" si="271"/>
        <v>1.76</v>
      </c>
      <c r="AQ2155" s="1078" t="str">
        <f t="shared" si="272"/>
        <v>1-5-1S91°</v>
      </c>
      <c r="AR2155" s="1078" t="str">
        <f t="shared" si="273"/>
        <v>30</v>
      </c>
      <c r="AS2155" s="1078" t="str">
        <f t="shared" si="274"/>
        <v>350/310/150</v>
      </c>
      <c r="AT2155" s="1078" t="str">
        <f t="shared" si="275"/>
        <v>1-5-1S91°</v>
      </c>
      <c r="AV2155" s="1078" t="str">
        <f t="shared" si="268"/>
        <v>113.12.18</v>
      </c>
      <c r="AW2155" s="1344">
        <f t="shared" si="269"/>
        <v>45644</v>
      </c>
    </row>
    <row r="2156" spans="1:49">
      <c r="A2156" s="1077" t="s">
        <v>6773</v>
      </c>
      <c r="B2156" s="1077" t="s">
        <v>416</v>
      </c>
      <c r="C2156" s="1077">
        <v>650</v>
      </c>
      <c r="D2156" s="1077">
        <v>1.7649999999999999</v>
      </c>
      <c r="E2156" s="1077" t="s">
        <v>15094</v>
      </c>
      <c r="F2156" s="1077" t="s">
        <v>984</v>
      </c>
      <c r="G2156" s="1077">
        <v>5</v>
      </c>
      <c r="H2156" s="1077" t="s">
        <v>5483</v>
      </c>
      <c r="I2156" s="1077" t="s">
        <v>126</v>
      </c>
      <c r="J2156" s="1077">
        <v>0.6</v>
      </c>
      <c r="K2156" s="1077" t="s">
        <v>6771</v>
      </c>
      <c r="L2156" s="1077" t="s">
        <v>6291</v>
      </c>
      <c r="M2156" s="1077">
        <v>151.5</v>
      </c>
      <c r="N2156" s="1077" t="s">
        <v>945</v>
      </c>
      <c r="O2156" s="1077">
        <v>3.7875000000000001</v>
      </c>
      <c r="P2156" s="1077">
        <v>3.0300000000000002</v>
      </c>
      <c r="Q2156" s="1077">
        <v>4</v>
      </c>
      <c r="R2156" s="1077">
        <v>19.100000000000001</v>
      </c>
      <c r="T2156" s="1077">
        <v>23.7</v>
      </c>
      <c r="U2156" s="1077">
        <v>3.2</v>
      </c>
      <c r="V2156" s="1077" t="s">
        <v>648</v>
      </c>
      <c r="W2156" s="1077">
        <v>35</v>
      </c>
      <c r="X2156" s="1077">
        <v>10</v>
      </c>
      <c r="Y2156" s="1077">
        <v>1</v>
      </c>
      <c r="Z2156" s="1077">
        <v>6</v>
      </c>
      <c r="AA2156" s="1077" t="s">
        <v>1747</v>
      </c>
      <c r="AH2156" s="1077" t="s">
        <v>684</v>
      </c>
      <c r="AI2156" s="1077">
        <v>91.41</v>
      </c>
      <c r="AJ2156" s="1077">
        <v>-0.32</v>
      </c>
      <c r="AK2156" s="1077">
        <v>0.89</v>
      </c>
      <c r="AM2156" s="1078" t="s">
        <v>13304</v>
      </c>
      <c r="AN2156" s="1078" t="s">
        <v>13305</v>
      </c>
      <c r="AO2156" s="1078">
        <f t="shared" si="270"/>
        <v>650</v>
      </c>
      <c r="AP2156" s="1078">
        <f t="shared" si="271"/>
        <v>1.7649999999999999</v>
      </c>
      <c r="AQ2156" s="1078" t="str">
        <f t="shared" si="272"/>
        <v>1-5-1S91°</v>
      </c>
      <c r="AR2156" s="1078" t="str">
        <f t="shared" si="273"/>
        <v>30</v>
      </c>
      <c r="AS2156" s="1078" t="str">
        <f t="shared" si="274"/>
        <v>350/310/150</v>
      </c>
      <c r="AT2156" s="1078" t="str">
        <f t="shared" si="275"/>
        <v>1-5-1S91°</v>
      </c>
      <c r="AV2156" s="1078" t="str">
        <f t="shared" si="268"/>
        <v>113.12.19</v>
      </c>
      <c r="AW2156" s="1344">
        <f t="shared" si="269"/>
        <v>45645</v>
      </c>
    </row>
    <row r="2157" spans="1:49">
      <c r="A2157" s="1077" t="s">
        <v>6774</v>
      </c>
      <c r="B2157" s="1077" t="s">
        <v>416</v>
      </c>
      <c r="C2157" s="1077">
        <v>650</v>
      </c>
      <c r="D2157" s="1077">
        <v>1.7549999999999999</v>
      </c>
      <c r="E2157" s="1077" t="s">
        <v>15094</v>
      </c>
      <c r="F2157" s="1077" t="s">
        <v>984</v>
      </c>
      <c r="G2157" s="1077">
        <v>5</v>
      </c>
      <c r="H2157" s="1077" t="s">
        <v>5483</v>
      </c>
      <c r="I2157" s="1077" t="s">
        <v>126</v>
      </c>
      <c r="J2157" s="1077">
        <v>0.7</v>
      </c>
      <c r="K2157" s="1077" t="s">
        <v>6775</v>
      </c>
      <c r="L2157" s="1077" t="s">
        <v>4666</v>
      </c>
      <c r="M2157" s="1077">
        <v>151.5</v>
      </c>
      <c r="N2157" s="1077" t="s">
        <v>945</v>
      </c>
      <c r="O2157" s="1077">
        <v>3.7875000000000001</v>
      </c>
      <c r="P2157" s="1077">
        <v>3.0300000000000002</v>
      </c>
      <c r="Q2157" s="1077">
        <v>4</v>
      </c>
      <c r="R2157" s="1077">
        <v>19.100000000000001</v>
      </c>
      <c r="T2157" s="1077">
        <v>23.7</v>
      </c>
      <c r="U2157" s="1077">
        <v>3.2</v>
      </c>
      <c r="V2157" s="1077" t="s">
        <v>648</v>
      </c>
      <c r="W2157" s="1077">
        <v>35</v>
      </c>
      <c r="X2157" s="1077">
        <v>10</v>
      </c>
      <c r="Y2157" s="1077">
        <v>1</v>
      </c>
      <c r="Z2157" s="1077">
        <v>6</v>
      </c>
      <c r="AA2157" s="1077" t="s">
        <v>2175</v>
      </c>
      <c r="AH2157" s="1077" t="s">
        <v>1452</v>
      </c>
      <c r="AI2157" s="1077">
        <v>91.95</v>
      </c>
      <c r="AJ2157" s="1077">
        <v>-1.37</v>
      </c>
      <c r="AK2157" s="1077">
        <v>1.07</v>
      </c>
      <c r="AM2157" s="1078" t="s">
        <v>13306</v>
      </c>
      <c r="AN2157" s="1078" t="s">
        <v>13307</v>
      </c>
      <c r="AO2157" s="1078">
        <f t="shared" si="270"/>
        <v>650</v>
      </c>
      <c r="AP2157" s="1078">
        <f t="shared" si="271"/>
        <v>1.7549999999999999</v>
      </c>
      <c r="AQ2157" s="1078" t="str">
        <f t="shared" si="272"/>
        <v>1-5-1S91°</v>
      </c>
      <c r="AR2157" s="1078" t="str">
        <f t="shared" si="273"/>
        <v>30</v>
      </c>
      <c r="AS2157" s="1078" t="str">
        <f t="shared" si="274"/>
        <v>350/310/150</v>
      </c>
      <c r="AT2157" s="1078" t="str">
        <f t="shared" si="275"/>
        <v>1-5-1S91°</v>
      </c>
      <c r="AV2157" s="1078" t="str">
        <f t="shared" si="268"/>
        <v>113.12.20</v>
      </c>
      <c r="AW2157" s="1344">
        <f t="shared" si="269"/>
        <v>45646</v>
      </c>
    </row>
    <row r="2158" spans="1:49">
      <c r="A2158" s="1077" t="s">
        <v>6776</v>
      </c>
      <c r="B2158" s="1077" t="s">
        <v>6548</v>
      </c>
      <c r="C2158" s="1077">
        <v>600</v>
      </c>
      <c r="D2158" s="1077">
        <v>1.75</v>
      </c>
      <c r="E2158" s="1077" t="s">
        <v>15094</v>
      </c>
      <c r="F2158" s="1077" t="s">
        <v>975</v>
      </c>
      <c r="G2158" s="1077">
        <v>5</v>
      </c>
      <c r="H2158" s="1077" t="s">
        <v>5888</v>
      </c>
      <c r="I2158" s="1077" t="s">
        <v>126</v>
      </c>
      <c r="J2158" s="1077">
        <v>3</v>
      </c>
      <c r="K2158" s="1077" t="s">
        <v>6777</v>
      </c>
      <c r="L2158" s="1077" t="s">
        <v>6550</v>
      </c>
      <c r="M2158" s="1077">
        <v>152</v>
      </c>
      <c r="N2158" s="1077" t="s">
        <v>945</v>
      </c>
      <c r="O2158" s="1077">
        <v>3.8000000000000003</v>
      </c>
      <c r="P2158" s="1077">
        <v>3.04</v>
      </c>
      <c r="Q2158" s="1077">
        <v>3.5</v>
      </c>
      <c r="R2158" s="1077">
        <v>22</v>
      </c>
      <c r="T2158" s="1077">
        <v>29</v>
      </c>
      <c r="U2158" s="1077">
        <v>3.8</v>
      </c>
      <c r="V2158" s="1077" t="s">
        <v>648</v>
      </c>
      <c r="W2158" s="1077">
        <v>110</v>
      </c>
      <c r="X2158" s="1077">
        <v>60</v>
      </c>
      <c r="Y2158" s="1077">
        <v>1.5</v>
      </c>
      <c r="Z2158" s="1077">
        <v>6</v>
      </c>
      <c r="AA2158" s="1077" t="s">
        <v>2175</v>
      </c>
      <c r="AH2158" s="1077" t="s">
        <v>998</v>
      </c>
      <c r="AI2158" s="1077">
        <v>16.7</v>
      </c>
      <c r="AJ2158" s="1077">
        <v>-0.57999999999999996</v>
      </c>
      <c r="AK2158" s="1077">
        <v>0.71</v>
      </c>
      <c r="AM2158" s="1078" t="s">
        <v>892</v>
      </c>
      <c r="AN2158" s="1078" t="s">
        <v>13308</v>
      </c>
      <c r="AO2158" s="1078">
        <f t="shared" si="270"/>
        <v>600</v>
      </c>
      <c r="AP2158" s="1078">
        <f t="shared" si="271"/>
        <v>1.75</v>
      </c>
      <c r="AQ2158" s="1078" t="str">
        <f t="shared" si="272"/>
        <v>1-5-1S91°</v>
      </c>
      <c r="AR2158" s="1078" t="str">
        <f t="shared" si="273"/>
        <v>31.5</v>
      </c>
      <c r="AS2158" s="1078" t="str">
        <f t="shared" si="274"/>
        <v>340/340/OFF</v>
      </c>
      <c r="AT2158" s="1078" t="str">
        <f t="shared" si="275"/>
        <v>1-5-1S91°</v>
      </c>
      <c r="AV2158" s="1078" t="str">
        <f t="shared" si="268"/>
        <v>113.12.20</v>
      </c>
      <c r="AW2158" s="1344">
        <f t="shared" si="269"/>
        <v>45646</v>
      </c>
    </row>
    <row r="2159" spans="1:49">
      <c r="A2159" s="1077" t="s">
        <v>6778</v>
      </c>
      <c r="B2159" s="1077" t="s">
        <v>617</v>
      </c>
      <c r="C2159" s="1077">
        <v>600</v>
      </c>
      <c r="D2159" s="1077">
        <v>1.75</v>
      </c>
      <c r="E2159" s="1077" t="s">
        <v>15094</v>
      </c>
      <c r="F2159" s="1077" t="s">
        <v>984</v>
      </c>
      <c r="G2159" s="1077">
        <v>5</v>
      </c>
      <c r="H2159" s="1077" t="s">
        <v>955</v>
      </c>
      <c r="I2159" s="1077" t="s">
        <v>126</v>
      </c>
      <c r="J2159" s="1077">
        <v>2.7</v>
      </c>
      <c r="K2159" s="1077" t="s">
        <v>6763</v>
      </c>
      <c r="L2159" s="1077" t="s">
        <v>4946</v>
      </c>
      <c r="M2159" s="1077">
        <v>150.30000000000001</v>
      </c>
      <c r="N2159" s="1077" t="s">
        <v>945</v>
      </c>
      <c r="O2159" s="1077">
        <v>3.7575000000000003</v>
      </c>
      <c r="P2159" s="1077">
        <v>3.0060000000000002</v>
      </c>
      <c r="Q2159" s="1077">
        <v>3</v>
      </c>
      <c r="R2159" s="1077">
        <v>31</v>
      </c>
      <c r="T2159" s="1077">
        <v>13</v>
      </c>
      <c r="U2159" s="1077">
        <v>7</v>
      </c>
      <c r="V2159" s="1077" t="s">
        <v>648</v>
      </c>
      <c r="W2159" s="1077">
        <v>115</v>
      </c>
      <c r="X2159" s="1077">
        <v>50</v>
      </c>
      <c r="Y2159" s="1077">
        <v>1.7</v>
      </c>
      <c r="Z2159" s="1077">
        <v>6.5</v>
      </c>
      <c r="AA2159" s="1077" t="s">
        <v>2180</v>
      </c>
      <c r="AH2159" s="1077" t="s">
        <v>466</v>
      </c>
      <c r="AI2159" s="1077">
        <v>93.08</v>
      </c>
      <c r="AJ2159" s="1077">
        <v>-0.94</v>
      </c>
      <c r="AK2159" s="1077">
        <v>5.01</v>
      </c>
      <c r="AM2159" s="1078" t="s">
        <v>13309</v>
      </c>
      <c r="AN2159" s="1078" t="s">
        <v>13310</v>
      </c>
      <c r="AO2159" s="1078">
        <f t="shared" si="270"/>
        <v>600</v>
      </c>
      <c r="AP2159" s="1078">
        <f t="shared" si="271"/>
        <v>1.75</v>
      </c>
      <c r="AQ2159" s="1078" t="str">
        <f t="shared" si="272"/>
        <v>1-5-1S91°</v>
      </c>
      <c r="AR2159" s="1078" t="str">
        <f t="shared" si="273"/>
        <v>30</v>
      </c>
      <c r="AS2159" s="1078" t="str">
        <f t="shared" si="274"/>
        <v>260/260/OFF</v>
      </c>
      <c r="AT2159" s="1078" t="str">
        <f t="shared" si="275"/>
        <v>1-5-1S91°</v>
      </c>
      <c r="AV2159" s="1078" t="str">
        <f t="shared" si="268"/>
        <v>113.12.23</v>
      </c>
      <c r="AW2159" s="1344">
        <f t="shared" si="269"/>
        <v>45649</v>
      </c>
    </row>
    <row r="2160" spans="1:49">
      <c r="A2160" s="1077" t="s">
        <v>6779</v>
      </c>
      <c r="B2160" s="1077" t="s">
        <v>210</v>
      </c>
      <c r="C2160" s="1077">
        <v>650</v>
      </c>
      <c r="D2160" s="1077">
        <v>1.78</v>
      </c>
      <c r="E2160" s="1077" t="s">
        <v>15094</v>
      </c>
      <c r="F2160" s="1077" t="s">
        <v>984</v>
      </c>
      <c r="G2160" s="1077">
        <v>5</v>
      </c>
      <c r="H2160" s="1077" t="s">
        <v>6560</v>
      </c>
      <c r="I2160" s="1077" t="s">
        <v>648</v>
      </c>
      <c r="J2160" s="1077">
        <v>0</v>
      </c>
      <c r="K2160" s="1077" t="s">
        <v>6712</v>
      </c>
      <c r="L2160" s="1077" t="s">
        <v>4666</v>
      </c>
      <c r="M2160" s="1077">
        <v>151.5</v>
      </c>
      <c r="N2160" s="1077" t="s">
        <v>945</v>
      </c>
      <c r="O2160" s="1077">
        <v>3.7875000000000001</v>
      </c>
      <c r="P2160" s="1077">
        <v>3.0300000000000002</v>
      </c>
      <c r="Q2160" s="1077">
        <v>4</v>
      </c>
      <c r="R2160" s="1077">
        <v>19.100000000000001</v>
      </c>
      <c r="T2160" s="1077">
        <v>19</v>
      </c>
      <c r="U2160" s="1077">
        <v>2.5</v>
      </c>
      <c r="V2160" s="1077" t="s">
        <v>648</v>
      </c>
      <c r="W2160" s="1077" t="s">
        <v>648</v>
      </c>
      <c r="X2160" s="1077" t="s">
        <v>648</v>
      </c>
      <c r="Y2160" s="1077">
        <v>1</v>
      </c>
      <c r="Z2160" s="1077">
        <v>5</v>
      </c>
      <c r="AA2160" s="1077" t="s">
        <v>2180</v>
      </c>
      <c r="AH2160" s="1077" t="s">
        <v>482</v>
      </c>
      <c r="AI2160" s="1077">
        <v>93.72</v>
      </c>
      <c r="AJ2160" s="1077">
        <v>-0.17</v>
      </c>
      <c r="AK2160" s="1077">
        <v>1.02</v>
      </c>
      <c r="AM2160" s="1078" t="s">
        <v>13311</v>
      </c>
      <c r="AN2160" s="1078" t="s">
        <v>13312</v>
      </c>
      <c r="AO2160" s="1078">
        <f t="shared" si="270"/>
        <v>650</v>
      </c>
      <c r="AP2160" s="1078">
        <f t="shared" si="271"/>
        <v>1.78</v>
      </c>
      <c r="AQ2160" s="1078" t="str">
        <f t="shared" si="272"/>
        <v>1-5-1S91°</v>
      </c>
      <c r="AR2160" s="1078" t="str">
        <f t="shared" si="273"/>
        <v>30</v>
      </c>
      <c r="AS2160" s="1078" t="str">
        <f t="shared" si="274"/>
        <v>350/310/155</v>
      </c>
      <c r="AT2160" s="1078" t="str">
        <f t="shared" si="275"/>
        <v>1-5-1S91°</v>
      </c>
      <c r="AV2160" s="1078" t="str">
        <f t="shared" si="268"/>
        <v>113.12.23</v>
      </c>
      <c r="AW2160" s="1344">
        <f t="shared" si="269"/>
        <v>45649</v>
      </c>
    </row>
    <row r="2161" spans="1:49">
      <c r="A2161" s="1077" t="s">
        <v>6780</v>
      </c>
      <c r="B2161" s="1077" t="s">
        <v>416</v>
      </c>
      <c r="C2161" s="1077">
        <v>650</v>
      </c>
      <c r="D2161" s="1077">
        <v>1.7649999999999999</v>
      </c>
      <c r="E2161" s="1077" t="s">
        <v>15094</v>
      </c>
      <c r="F2161" s="1077" t="s">
        <v>984</v>
      </c>
      <c r="G2161" s="1077">
        <v>5</v>
      </c>
      <c r="H2161" s="1077" t="s">
        <v>5483</v>
      </c>
      <c r="I2161" s="1077" t="s">
        <v>126</v>
      </c>
      <c r="J2161" s="1077">
        <v>0.7</v>
      </c>
      <c r="K2161" s="1077" t="s">
        <v>6771</v>
      </c>
      <c r="L2161" s="1077" t="s">
        <v>6291</v>
      </c>
      <c r="M2161" s="1077">
        <v>151.5</v>
      </c>
      <c r="N2161" s="1077" t="s">
        <v>945</v>
      </c>
      <c r="O2161" s="1077">
        <v>3.7875000000000001</v>
      </c>
      <c r="P2161" s="1077">
        <v>3.0300000000000002</v>
      </c>
      <c r="Q2161" s="1077">
        <v>4</v>
      </c>
      <c r="R2161" s="1077">
        <v>19.100000000000001</v>
      </c>
      <c r="T2161" s="1077">
        <v>23.7</v>
      </c>
      <c r="U2161" s="1077">
        <v>3.2</v>
      </c>
      <c r="V2161" s="1077" t="s">
        <v>648</v>
      </c>
      <c r="W2161" s="1077">
        <v>35</v>
      </c>
      <c r="X2161" s="1077">
        <v>10</v>
      </c>
      <c r="Y2161" s="1077">
        <v>1</v>
      </c>
      <c r="Z2161" s="1077">
        <v>6</v>
      </c>
      <c r="AA2161" s="1077" t="s">
        <v>2183</v>
      </c>
      <c r="AH2161" s="1077" t="s">
        <v>1137</v>
      </c>
      <c r="AI2161" s="1077" t="s">
        <v>2185</v>
      </c>
      <c r="AM2161" s="1078" t="s">
        <v>653</v>
      </c>
      <c r="AN2161" s="1078" t="s">
        <v>13313</v>
      </c>
      <c r="AO2161" s="1078">
        <f t="shared" si="270"/>
        <v>650</v>
      </c>
      <c r="AP2161" s="1078">
        <f t="shared" si="271"/>
        <v>1.7649999999999999</v>
      </c>
      <c r="AQ2161" s="1078" t="str">
        <f t="shared" si="272"/>
        <v>1-5-1S91°</v>
      </c>
      <c r="AR2161" s="1078" t="str">
        <f t="shared" si="273"/>
        <v>30</v>
      </c>
      <c r="AS2161" s="1078" t="str">
        <f t="shared" si="274"/>
        <v>350/310/150</v>
      </c>
      <c r="AT2161" s="1078" t="str">
        <f t="shared" si="275"/>
        <v>1-5-1S91°</v>
      </c>
      <c r="AV2161" s="1078" t="str">
        <f t="shared" si="268"/>
        <v>113.12.24</v>
      </c>
      <c r="AW2161" s="1344">
        <f t="shared" si="269"/>
        <v>45650</v>
      </c>
    </row>
    <row r="2162" spans="1:49">
      <c r="A2162" s="1077" t="s">
        <v>6781</v>
      </c>
      <c r="B2162" s="1077" t="s">
        <v>416</v>
      </c>
      <c r="C2162" s="1077">
        <v>650</v>
      </c>
      <c r="D2162" s="1077">
        <v>1.76</v>
      </c>
      <c r="E2162" s="1077" t="s">
        <v>15094</v>
      </c>
      <c r="F2162" s="1077" t="s">
        <v>984</v>
      </c>
      <c r="G2162" s="1077">
        <v>5</v>
      </c>
      <c r="H2162" s="1077" t="s">
        <v>5483</v>
      </c>
      <c r="I2162" s="1077" t="s">
        <v>126</v>
      </c>
      <c r="J2162" s="1077">
        <v>0.7</v>
      </c>
      <c r="K2162" s="1077" t="s">
        <v>6782</v>
      </c>
      <c r="L2162" s="1077" t="s">
        <v>6291</v>
      </c>
      <c r="M2162" s="1077">
        <v>151.5</v>
      </c>
      <c r="N2162" s="1077" t="s">
        <v>945</v>
      </c>
      <c r="O2162" s="1077">
        <v>3.7875000000000001</v>
      </c>
      <c r="P2162" s="1077">
        <v>3.0300000000000002</v>
      </c>
      <c r="Q2162" s="1077">
        <v>4</v>
      </c>
      <c r="R2162" s="1077">
        <v>19.100000000000001</v>
      </c>
      <c r="T2162" s="1077">
        <v>23.7</v>
      </c>
      <c r="U2162" s="1077">
        <v>3.2</v>
      </c>
      <c r="V2162" s="1077" t="s">
        <v>648</v>
      </c>
      <c r="W2162" s="1077">
        <v>35</v>
      </c>
      <c r="X2162" s="1077">
        <v>10</v>
      </c>
      <c r="Y2162" s="1077">
        <v>1</v>
      </c>
      <c r="Z2162" s="1077">
        <v>6</v>
      </c>
      <c r="AA2162" s="1077" t="s">
        <v>6719</v>
      </c>
      <c r="AH2162" s="1077" t="s">
        <v>468</v>
      </c>
      <c r="AI2162" s="1077">
        <v>90.85</v>
      </c>
      <c r="AJ2162" s="1077">
        <v>-0.39</v>
      </c>
      <c r="AK2162" s="1077">
        <v>1.54</v>
      </c>
      <c r="AM2162" s="1078" t="s">
        <v>655</v>
      </c>
      <c r="AN2162" s="1078" t="s">
        <v>13314</v>
      </c>
      <c r="AO2162" s="1078">
        <f t="shared" si="270"/>
        <v>650</v>
      </c>
      <c r="AP2162" s="1078">
        <f t="shared" si="271"/>
        <v>1.76</v>
      </c>
      <c r="AQ2162" s="1078" t="str">
        <f t="shared" si="272"/>
        <v>1-5-1S91°</v>
      </c>
      <c r="AR2162" s="1078" t="str">
        <f t="shared" si="273"/>
        <v>30</v>
      </c>
      <c r="AS2162" s="1078" t="str">
        <f t="shared" si="274"/>
        <v>350/310/150</v>
      </c>
      <c r="AT2162" s="1078" t="str">
        <f t="shared" si="275"/>
        <v>1-5-1S91°</v>
      </c>
      <c r="AV2162" s="1078" t="str">
        <f t="shared" si="268"/>
        <v>113.10.21</v>
      </c>
      <c r="AW2162" s="1344">
        <f t="shared" si="269"/>
        <v>45586</v>
      </c>
    </row>
    <row r="2163" spans="1:49">
      <c r="A2163" s="1077" t="s">
        <v>6783</v>
      </c>
      <c r="B2163" s="1077" t="s">
        <v>657</v>
      </c>
      <c r="C2163" s="1077">
        <v>600</v>
      </c>
      <c r="D2163" s="1077">
        <v>1.76</v>
      </c>
      <c r="E2163" s="1077" t="s">
        <v>15116</v>
      </c>
      <c r="F2163" s="1077" t="s">
        <v>2234</v>
      </c>
      <c r="G2163" s="1077">
        <v>2</v>
      </c>
      <c r="H2163" s="1077" t="s">
        <v>2144</v>
      </c>
      <c r="I2163" s="1077" t="s">
        <v>460</v>
      </c>
      <c r="J2163" s="1077">
        <v>1.2</v>
      </c>
      <c r="K2163" s="1077" t="s">
        <v>6784</v>
      </c>
      <c r="L2163" s="1077" t="s">
        <v>6704</v>
      </c>
      <c r="M2163" s="1077">
        <v>152</v>
      </c>
      <c r="N2163" s="1077" t="s">
        <v>945</v>
      </c>
      <c r="O2163" s="1077">
        <v>3.8000000000000003</v>
      </c>
      <c r="P2163" s="1077">
        <v>3.04</v>
      </c>
      <c r="Q2163" s="1077">
        <v>3.5</v>
      </c>
      <c r="R2163" s="1077">
        <v>24.5</v>
      </c>
      <c r="T2163" s="1077">
        <v>22</v>
      </c>
      <c r="U2163" s="1077">
        <v>3</v>
      </c>
      <c r="V2163" s="1077" t="s">
        <v>648</v>
      </c>
      <c r="W2163" s="1077">
        <v>60</v>
      </c>
      <c r="X2163" s="1077">
        <v>10</v>
      </c>
      <c r="Y2163" s="1077">
        <v>1.5</v>
      </c>
      <c r="Z2163" s="1077" t="s">
        <v>648</v>
      </c>
      <c r="AA2163" s="1077" t="s">
        <v>6785</v>
      </c>
      <c r="AH2163" s="1077" t="s">
        <v>862</v>
      </c>
      <c r="AI2163" s="1077">
        <v>83.68</v>
      </c>
      <c r="AJ2163" s="1077">
        <v>-8.8000000000000007</v>
      </c>
      <c r="AK2163" s="1077">
        <v>84.58</v>
      </c>
      <c r="AM2163" s="1078" t="s">
        <v>13315</v>
      </c>
      <c r="AN2163" s="1078" t="s">
        <v>13316</v>
      </c>
      <c r="AO2163" s="1078">
        <f t="shared" si="270"/>
        <v>600</v>
      </c>
      <c r="AP2163" s="1078">
        <f t="shared" si="271"/>
        <v>1.76</v>
      </c>
      <c r="AQ2163" s="1078" t="str">
        <f t="shared" si="272"/>
        <v>1-5-1S83°Z+S</v>
      </c>
      <c r="AR2163" s="1078" t="str">
        <f t="shared" si="273"/>
        <v>33.5</v>
      </c>
      <c r="AS2163" s="1078" t="str">
        <f t="shared" si="274"/>
        <v>250/250/155</v>
      </c>
      <c r="AT2163" s="1078" t="str">
        <f t="shared" si="275"/>
        <v>1-5-1S83°Z+S</v>
      </c>
      <c r="AU2163" s="1078" t="s">
        <v>15547</v>
      </c>
      <c r="AV2163" s="1078" t="str">
        <f t="shared" si="268"/>
        <v>114.1.2</v>
      </c>
      <c r="AW2163" s="1344">
        <f t="shared" si="269"/>
        <v>45659</v>
      </c>
    </row>
    <row r="2164" spans="1:49">
      <c r="A2164" s="1077" t="s">
        <v>6786</v>
      </c>
      <c r="B2164" s="1077" t="s">
        <v>210</v>
      </c>
      <c r="C2164" s="1077">
        <v>650</v>
      </c>
      <c r="D2164" s="1077">
        <v>1.77</v>
      </c>
      <c r="E2164" s="1077" t="s">
        <v>15094</v>
      </c>
      <c r="F2164" s="1077" t="s">
        <v>4013</v>
      </c>
      <c r="G2164" s="1077">
        <v>5</v>
      </c>
      <c r="H2164" s="1077" t="s">
        <v>6126</v>
      </c>
      <c r="I2164" s="1077" t="s">
        <v>126</v>
      </c>
      <c r="J2164" s="1077">
        <v>1.5</v>
      </c>
      <c r="K2164" s="1077" t="s">
        <v>6712</v>
      </c>
      <c r="L2164" s="1077" t="s">
        <v>4666</v>
      </c>
      <c r="M2164" s="1077">
        <v>152.19999999999999</v>
      </c>
      <c r="N2164" s="1077" t="s">
        <v>945</v>
      </c>
      <c r="O2164" s="1077">
        <v>3.8049999999999997</v>
      </c>
      <c r="P2164" s="1077">
        <v>3.044</v>
      </c>
      <c r="Q2164" s="1077">
        <v>4</v>
      </c>
      <c r="R2164" s="1077">
        <v>19</v>
      </c>
      <c r="T2164" s="1077">
        <v>16</v>
      </c>
      <c r="U2164" s="1077">
        <v>4</v>
      </c>
      <c r="V2164" s="1077" t="s">
        <v>648</v>
      </c>
      <c r="W2164" s="1077">
        <v>95</v>
      </c>
      <c r="X2164" s="1077">
        <v>20</v>
      </c>
      <c r="Y2164" s="1077">
        <v>1.5</v>
      </c>
      <c r="Z2164" s="1077">
        <v>5</v>
      </c>
      <c r="AA2164" s="1077" t="s">
        <v>1750</v>
      </c>
      <c r="AH2164" s="1077" t="s">
        <v>878</v>
      </c>
      <c r="AI2164" s="1077">
        <v>93.68</v>
      </c>
      <c r="AJ2164" s="1077">
        <v>-0.56999999999999995</v>
      </c>
      <c r="AK2164" s="1077">
        <v>0.98</v>
      </c>
      <c r="AM2164" s="1078" t="s">
        <v>898</v>
      </c>
      <c r="AN2164" s="1078" t="s">
        <v>13317</v>
      </c>
      <c r="AO2164" s="1078">
        <f t="shared" si="270"/>
        <v>650</v>
      </c>
      <c r="AP2164" s="1078">
        <f t="shared" si="271"/>
        <v>1.77</v>
      </c>
      <c r="AQ2164" s="1078" t="str">
        <f t="shared" si="272"/>
        <v>1-5-1S91°</v>
      </c>
      <c r="AR2164" s="1078" t="str">
        <f t="shared" si="273"/>
        <v>30.3</v>
      </c>
      <c r="AS2164" s="1078" t="str">
        <f t="shared" si="274"/>
        <v>310/270/158</v>
      </c>
      <c r="AT2164" s="1078" t="str">
        <f t="shared" si="275"/>
        <v>1-5-1S91°</v>
      </c>
      <c r="AV2164" s="1078" t="str">
        <f t="shared" si="268"/>
        <v>114.1.6</v>
      </c>
      <c r="AW2164" s="1344">
        <f t="shared" si="269"/>
        <v>45663</v>
      </c>
    </row>
    <row r="2165" spans="1:49">
      <c r="A2165" s="1077" t="s">
        <v>6787</v>
      </c>
      <c r="B2165" s="1077" t="s">
        <v>844</v>
      </c>
      <c r="C2165" s="1077">
        <v>600</v>
      </c>
      <c r="D2165" s="1077">
        <v>1.7949999999999999</v>
      </c>
      <c r="E2165" s="1077" t="s">
        <v>15094</v>
      </c>
      <c r="F2165" s="1077" t="s">
        <v>954</v>
      </c>
      <c r="G2165" s="1077">
        <v>5</v>
      </c>
      <c r="H2165" s="1077" t="s">
        <v>5126</v>
      </c>
      <c r="I2165" s="1077" t="s">
        <v>460</v>
      </c>
      <c r="J2165" s="1077">
        <v>3.7</v>
      </c>
      <c r="K2165" s="1077" t="s">
        <v>6788</v>
      </c>
      <c r="L2165" s="1077" t="s">
        <v>6238</v>
      </c>
      <c r="M2165" s="1077">
        <v>151.69999999999999</v>
      </c>
      <c r="N2165" s="1077" t="s">
        <v>945</v>
      </c>
      <c r="O2165" s="1077">
        <v>3.7925</v>
      </c>
      <c r="P2165" s="1077">
        <v>3.0339999999999998</v>
      </c>
      <c r="Q2165" s="1077">
        <v>3</v>
      </c>
      <c r="R2165" s="1077">
        <v>19.7</v>
      </c>
      <c r="T2165" s="1077">
        <v>11.5</v>
      </c>
      <c r="U2165" s="1077">
        <v>5.3</v>
      </c>
      <c r="V2165" s="1077" t="s">
        <v>648</v>
      </c>
      <c r="W2165" s="1077">
        <v>105</v>
      </c>
      <c r="X2165" s="1077">
        <v>95</v>
      </c>
      <c r="Y2165" s="1077">
        <v>1.5</v>
      </c>
      <c r="Z2165" s="1077">
        <v>5</v>
      </c>
      <c r="AA2165" s="1077" t="s">
        <v>1750</v>
      </c>
      <c r="AB2165" s="1077" t="s">
        <v>2162</v>
      </c>
      <c r="AH2165" s="1077" t="s">
        <v>483</v>
      </c>
      <c r="AI2165" s="1077">
        <v>90.69</v>
      </c>
      <c r="AJ2165" s="1077">
        <v>-1.63</v>
      </c>
      <c r="AK2165" s="1077">
        <v>5.59</v>
      </c>
      <c r="AM2165" s="1078" t="s">
        <v>13318</v>
      </c>
      <c r="AN2165" s="1078" t="s">
        <v>13319</v>
      </c>
      <c r="AO2165" s="1078">
        <f t="shared" si="270"/>
        <v>600</v>
      </c>
      <c r="AP2165" s="1078">
        <f t="shared" si="271"/>
        <v>1.7949999999999999</v>
      </c>
      <c r="AQ2165" s="1078" t="str">
        <f t="shared" si="272"/>
        <v>1-5-1S91°</v>
      </c>
      <c r="AR2165" s="1078" t="str">
        <f t="shared" si="273"/>
        <v>31</v>
      </c>
      <c r="AS2165" s="1078" t="str">
        <f t="shared" si="274"/>
        <v>300/300/140</v>
      </c>
      <c r="AT2165" s="1078" t="str">
        <f t="shared" si="275"/>
        <v>1-5-1S91°</v>
      </c>
      <c r="AV2165" s="1078" t="str">
        <f t="shared" si="268"/>
        <v>114.1.6</v>
      </c>
      <c r="AW2165" s="1344">
        <f t="shared" si="269"/>
        <v>45663</v>
      </c>
    </row>
    <row r="2166" spans="1:49">
      <c r="A2166" s="1077" t="s">
        <v>6789</v>
      </c>
      <c r="B2166" s="1077" t="s">
        <v>210</v>
      </c>
      <c r="C2166" s="1077">
        <v>650</v>
      </c>
      <c r="D2166" s="1077">
        <v>1.7649999999999999</v>
      </c>
      <c r="E2166" s="1077" t="s">
        <v>15094</v>
      </c>
      <c r="F2166" s="1077" t="s">
        <v>4013</v>
      </c>
      <c r="G2166" s="1077">
        <v>5</v>
      </c>
      <c r="H2166" s="1077" t="s">
        <v>6126</v>
      </c>
      <c r="I2166" s="1077" t="s">
        <v>126</v>
      </c>
      <c r="J2166" s="1077">
        <v>1.6</v>
      </c>
      <c r="K2166" s="1077" t="s">
        <v>6750</v>
      </c>
      <c r="L2166" s="1077" t="s">
        <v>4666</v>
      </c>
      <c r="M2166" s="1077">
        <v>152.19999999999999</v>
      </c>
      <c r="N2166" s="1077" t="s">
        <v>945</v>
      </c>
      <c r="O2166" s="1077">
        <v>3.8049999999999997</v>
      </c>
      <c r="P2166" s="1077">
        <v>3.044</v>
      </c>
      <c r="Q2166" s="1077">
        <v>4</v>
      </c>
      <c r="R2166" s="1077">
        <v>19</v>
      </c>
      <c r="T2166" s="1077">
        <v>16</v>
      </c>
      <c r="U2166" s="1077">
        <v>4</v>
      </c>
      <c r="V2166" s="1077" t="s">
        <v>648</v>
      </c>
      <c r="W2166" s="1077">
        <v>95</v>
      </c>
      <c r="X2166" s="1077">
        <v>20</v>
      </c>
      <c r="Y2166" s="1077">
        <v>1.5</v>
      </c>
      <c r="Z2166" s="1077">
        <v>5</v>
      </c>
      <c r="AA2166" s="1077" t="s">
        <v>6790</v>
      </c>
      <c r="AH2166" s="1077" t="s">
        <v>994</v>
      </c>
      <c r="AI2166" s="1077">
        <v>93.61</v>
      </c>
      <c r="AJ2166" s="1077">
        <v>-0.37</v>
      </c>
      <c r="AK2166" s="1077">
        <v>0.9</v>
      </c>
      <c r="AM2166" s="1078" t="s">
        <v>893</v>
      </c>
      <c r="AN2166" s="1078" t="s">
        <v>13320</v>
      </c>
      <c r="AO2166" s="1078">
        <f t="shared" si="270"/>
        <v>650</v>
      </c>
      <c r="AP2166" s="1078">
        <f t="shared" si="271"/>
        <v>1.7649999999999999</v>
      </c>
      <c r="AQ2166" s="1078" t="str">
        <f t="shared" si="272"/>
        <v>1-5-1S91°</v>
      </c>
      <c r="AR2166" s="1078" t="str">
        <f t="shared" si="273"/>
        <v>30.3</v>
      </c>
      <c r="AS2166" s="1078" t="str">
        <f t="shared" si="274"/>
        <v>310/270/158</v>
      </c>
      <c r="AT2166" s="1078" t="str">
        <f t="shared" si="275"/>
        <v>1-5-1S91°</v>
      </c>
      <c r="AV2166" s="1078" t="str">
        <f t="shared" si="268"/>
        <v>114.1.7</v>
      </c>
      <c r="AW2166" s="1344">
        <f t="shared" si="269"/>
        <v>45664</v>
      </c>
    </row>
    <row r="2167" spans="1:49">
      <c r="A2167" s="1077" t="s">
        <v>6791</v>
      </c>
      <c r="B2167" s="1077" t="s">
        <v>210</v>
      </c>
      <c r="C2167" s="1077">
        <v>650</v>
      </c>
      <c r="D2167" s="1077">
        <v>1.7549999999999999</v>
      </c>
      <c r="E2167" s="1077" t="s">
        <v>15094</v>
      </c>
      <c r="F2167" s="1077" t="s">
        <v>4013</v>
      </c>
      <c r="G2167" s="1077">
        <v>5</v>
      </c>
      <c r="H2167" s="1077" t="s">
        <v>6126</v>
      </c>
      <c r="I2167" s="1077" t="s">
        <v>126</v>
      </c>
      <c r="J2167" s="1077">
        <v>1.8</v>
      </c>
      <c r="K2167" s="1077" t="s">
        <v>6771</v>
      </c>
      <c r="L2167" s="1077" t="s">
        <v>6291</v>
      </c>
      <c r="M2167" s="1077">
        <v>152.19999999999999</v>
      </c>
      <c r="N2167" s="1077" t="s">
        <v>945</v>
      </c>
      <c r="O2167" s="1077">
        <v>3.8049999999999997</v>
      </c>
      <c r="P2167" s="1077">
        <v>3.044</v>
      </c>
      <c r="Q2167" s="1077">
        <v>4</v>
      </c>
      <c r="R2167" s="1077">
        <v>19</v>
      </c>
      <c r="T2167" s="1077">
        <v>16</v>
      </c>
      <c r="U2167" s="1077">
        <v>4</v>
      </c>
      <c r="V2167" s="1077" t="s">
        <v>648</v>
      </c>
      <c r="W2167" s="1077">
        <v>95</v>
      </c>
      <c r="X2167" s="1077">
        <v>20</v>
      </c>
      <c r="Y2167" s="1077">
        <v>1.5</v>
      </c>
      <c r="Z2167" s="1077">
        <v>5</v>
      </c>
      <c r="AA2167" s="1077" t="s">
        <v>6792</v>
      </c>
      <c r="AH2167" s="1077" t="s">
        <v>619</v>
      </c>
      <c r="AI2167" s="1077">
        <v>91.14</v>
      </c>
      <c r="AJ2167" s="1077">
        <v>-0.1</v>
      </c>
      <c r="AK2167" s="1077">
        <v>0.82</v>
      </c>
      <c r="AM2167" s="1078" t="s">
        <v>895</v>
      </c>
      <c r="AN2167" s="1078" t="s">
        <v>13321</v>
      </c>
      <c r="AO2167" s="1078">
        <f t="shared" si="270"/>
        <v>650</v>
      </c>
      <c r="AP2167" s="1078">
        <f t="shared" si="271"/>
        <v>1.7549999999999999</v>
      </c>
      <c r="AQ2167" s="1078" t="str">
        <f t="shared" si="272"/>
        <v>1-5-1S91°</v>
      </c>
      <c r="AR2167" s="1078" t="str">
        <f t="shared" si="273"/>
        <v>30.3</v>
      </c>
      <c r="AS2167" s="1078" t="str">
        <f t="shared" si="274"/>
        <v>310/270/158</v>
      </c>
      <c r="AT2167" s="1078" t="str">
        <f t="shared" si="275"/>
        <v>1-5-1S91°</v>
      </c>
      <c r="AV2167" s="1078" t="str">
        <f t="shared" si="268"/>
        <v>114.1.8</v>
      </c>
      <c r="AW2167" s="1344">
        <f t="shared" si="269"/>
        <v>45665</v>
      </c>
    </row>
    <row r="2168" spans="1:49">
      <c r="A2168" s="1077" t="s">
        <v>6793</v>
      </c>
      <c r="B2168" s="1077" t="s">
        <v>617</v>
      </c>
      <c r="C2168" s="1077">
        <v>600</v>
      </c>
      <c r="D2168" s="1077">
        <v>1.75</v>
      </c>
      <c r="E2168" s="1077" t="s">
        <v>15094</v>
      </c>
      <c r="F2168" s="1077" t="s">
        <v>984</v>
      </c>
      <c r="G2168" s="1077">
        <v>5</v>
      </c>
      <c r="H2168" s="1077" t="s">
        <v>955</v>
      </c>
      <c r="I2168" s="1077" t="s">
        <v>126</v>
      </c>
      <c r="J2168" s="1077">
        <v>2.7</v>
      </c>
      <c r="K2168" s="1077" t="s">
        <v>6794</v>
      </c>
      <c r="L2168" s="1077" t="s">
        <v>4946</v>
      </c>
      <c r="M2168" s="1077">
        <v>150.30000000000001</v>
      </c>
      <c r="N2168" s="1077" t="s">
        <v>945</v>
      </c>
      <c r="O2168" s="1077">
        <v>3.7575000000000003</v>
      </c>
      <c r="P2168" s="1077">
        <v>3.0060000000000002</v>
      </c>
      <c r="Q2168" s="1077">
        <v>3</v>
      </c>
      <c r="R2168" s="1077">
        <v>31</v>
      </c>
      <c r="T2168" s="1077">
        <v>13</v>
      </c>
      <c r="U2168" s="1077">
        <v>7</v>
      </c>
      <c r="V2168" s="1077" t="s">
        <v>648</v>
      </c>
      <c r="W2168" s="1077">
        <v>115</v>
      </c>
      <c r="X2168" s="1077">
        <v>50</v>
      </c>
      <c r="Y2168" s="1077">
        <v>1.7</v>
      </c>
      <c r="Z2168" s="1077">
        <v>6.5</v>
      </c>
      <c r="AA2168" s="1077" t="s">
        <v>2252</v>
      </c>
      <c r="AH2168" s="1077" t="s">
        <v>963</v>
      </c>
      <c r="AI2168" s="1077">
        <v>93.26</v>
      </c>
      <c r="AJ2168" s="1077">
        <v>-0.77</v>
      </c>
      <c r="AK2168" s="1077">
        <v>4.41</v>
      </c>
      <c r="AM2168" s="1078" t="s">
        <v>660</v>
      </c>
      <c r="AN2168" s="1078" t="s">
        <v>13322</v>
      </c>
      <c r="AO2168" s="1078">
        <f t="shared" si="270"/>
        <v>600</v>
      </c>
      <c r="AP2168" s="1078">
        <f t="shared" si="271"/>
        <v>1.75</v>
      </c>
      <c r="AQ2168" s="1078" t="str">
        <f t="shared" si="272"/>
        <v>1-5-1S91°</v>
      </c>
      <c r="AR2168" s="1078" t="str">
        <f t="shared" si="273"/>
        <v>30</v>
      </c>
      <c r="AS2168" s="1078" t="str">
        <f t="shared" si="274"/>
        <v>260/260/OFF</v>
      </c>
      <c r="AT2168" s="1078" t="str">
        <f t="shared" si="275"/>
        <v>1-5-1S91°</v>
      </c>
      <c r="AV2168" s="1078" t="str">
        <f t="shared" si="268"/>
        <v>114.1.9</v>
      </c>
      <c r="AW2168" s="1344">
        <f t="shared" si="269"/>
        <v>45666</v>
      </c>
    </row>
    <row r="2169" spans="1:49">
      <c r="A2169" s="1077" t="s">
        <v>6795</v>
      </c>
      <c r="B2169" s="1077" t="s">
        <v>880</v>
      </c>
      <c r="C2169" s="1077">
        <v>600</v>
      </c>
      <c r="D2169" s="1077">
        <v>1.74</v>
      </c>
      <c r="E2169" s="1077" t="s">
        <v>15116</v>
      </c>
      <c r="F2169" s="1077" t="s">
        <v>984</v>
      </c>
      <c r="G2169" s="1077">
        <v>5</v>
      </c>
      <c r="H2169" s="1077" t="s">
        <v>6796</v>
      </c>
      <c r="I2169" s="1077" t="s">
        <v>460</v>
      </c>
      <c r="J2169" s="1077">
        <v>1</v>
      </c>
      <c r="K2169" s="1077" t="s">
        <v>6797</v>
      </c>
      <c r="L2169" s="1077" t="s">
        <v>6646</v>
      </c>
      <c r="M2169" s="1077">
        <v>152</v>
      </c>
      <c r="N2169" s="1077" t="s">
        <v>945</v>
      </c>
      <c r="O2169" s="1077">
        <v>3.8000000000000003</v>
      </c>
      <c r="P2169" s="1077">
        <v>3.04</v>
      </c>
      <c r="Q2169" s="1077">
        <v>3.5</v>
      </c>
      <c r="R2169" s="1077">
        <v>24.5</v>
      </c>
      <c r="T2169" s="1077">
        <v>22</v>
      </c>
      <c r="U2169" s="1077">
        <v>3</v>
      </c>
      <c r="V2169" s="1077" t="s">
        <v>648</v>
      </c>
      <c r="W2169" s="1077">
        <v>60</v>
      </c>
      <c r="X2169" s="1077">
        <v>10</v>
      </c>
      <c r="Y2169" s="1077">
        <v>1.5</v>
      </c>
      <c r="Z2169" s="1077" t="s">
        <v>648</v>
      </c>
      <c r="AA2169" s="1077" t="s">
        <v>2257</v>
      </c>
      <c r="AH2169" s="1077" t="s">
        <v>889</v>
      </c>
      <c r="AI2169" s="1077">
        <v>58.7</v>
      </c>
      <c r="AJ2169" s="1077">
        <v>44.27</v>
      </c>
      <c r="AK2169" s="1077">
        <v>59.81</v>
      </c>
      <c r="AM2169" s="1078" t="s">
        <v>879</v>
      </c>
      <c r="AN2169" s="1078" t="s">
        <v>13323</v>
      </c>
      <c r="AO2169" s="1078">
        <f t="shared" si="270"/>
        <v>600</v>
      </c>
      <c r="AP2169" s="1078">
        <f t="shared" si="271"/>
        <v>1.74</v>
      </c>
      <c r="AQ2169" s="1078" t="str">
        <f t="shared" si="272"/>
        <v>1-5-1S83°Z+S</v>
      </c>
      <c r="AR2169" s="1078" t="str">
        <f t="shared" si="273"/>
        <v>30</v>
      </c>
      <c r="AS2169" s="1078" t="str">
        <f t="shared" si="274"/>
        <v>240/240/160</v>
      </c>
      <c r="AT2169" s="1078" t="str">
        <f t="shared" si="275"/>
        <v>1-5-1S83°Z+S</v>
      </c>
      <c r="AU2169" s="1078" t="s">
        <v>15547</v>
      </c>
      <c r="AV2169" s="1078" t="str">
        <f t="shared" si="268"/>
        <v>114.1.10</v>
      </c>
      <c r="AW2169" s="1344">
        <f t="shared" si="269"/>
        <v>45667</v>
      </c>
    </row>
    <row r="2170" spans="1:49">
      <c r="A2170" s="1077" t="s">
        <v>6798</v>
      </c>
      <c r="B2170" s="1077" t="s">
        <v>882</v>
      </c>
      <c r="C2170" s="1077">
        <v>650</v>
      </c>
      <c r="D2170" s="1077">
        <v>1.72</v>
      </c>
      <c r="E2170" s="1077" t="s">
        <v>15116</v>
      </c>
      <c r="F2170" s="1077" t="s">
        <v>984</v>
      </c>
      <c r="G2170" s="1077">
        <v>2</v>
      </c>
      <c r="H2170" s="1077" t="s">
        <v>6541</v>
      </c>
      <c r="I2170" s="1077" t="s">
        <v>126</v>
      </c>
      <c r="J2170" s="1077">
        <v>1.2</v>
      </c>
      <c r="K2170" s="1077" t="s">
        <v>6799</v>
      </c>
      <c r="L2170" s="1077" t="s">
        <v>6543</v>
      </c>
      <c r="M2170" s="1077">
        <v>155</v>
      </c>
      <c r="N2170" s="1077" t="s">
        <v>945</v>
      </c>
      <c r="O2170" s="1077">
        <v>3.875</v>
      </c>
      <c r="P2170" s="1077">
        <v>3.1</v>
      </c>
      <c r="Q2170" s="1077">
        <v>3.5</v>
      </c>
      <c r="R2170" s="1077">
        <v>24</v>
      </c>
      <c r="T2170" s="1077">
        <v>26</v>
      </c>
      <c r="U2170" s="1077">
        <v>3.1</v>
      </c>
      <c r="V2170" s="1077" t="s">
        <v>648</v>
      </c>
      <c r="W2170" s="1077">
        <v>90</v>
      </c>
      <c r="X2170" s="1077">
        <v>10</v>
      </c>
      <c r="Y2170" s="1077">
        <v>1.52</v>
      </c>
      <c r="Z2170" s="1077" t="s">
        <v>648</v>
      </c>
      <c r="AA2170" s="1077" t="s">
        <v>2257</v>
      </c>
      <c r="AH2170" s="1077" t="s">
        <v>681</v>
      </c>
      <c r="AI2170" s="1077">
        <v>17.78</v>
      </c>
      <c r="AJ2170" s="1077">
        <v>3.28</v>
      </c>
      <c r="AK2170" s="1077">
        <v>-15.64</v>
      </c>
      <c r="AM2170" s="1078" t="s">
        <v>881</v>
      </c>
      <c r="AN2170" s="1078" t="s">
        <v>13324</v>
      </c>
      <c r="AO2170" s="1078">
        <f t="shared" si="270"/>
        <v>650</v>
      </c>
      <c r="AP2170" s="1078">
        <f t="shared" si="271"/>
        <v>1.72</v>
      </c>
      <c r="AQ2170" s="1078" t="str">
        <f t="shared" si="272"/>
        <v>1-5-1S83°Z+S</v>
      </c>
      <c r="AR2170" s="1078" t="str">
        <f t="shared" si="273"/>
        <v>30</v>
      </c>
      <c r="AS2170" s="1078" t="str">
        <f t="shared" si="274"/>
        <v>265/265/155</v>
      </c>
      <c r="AT2170" s="1078" t="str">
        <f t="shared" si="275"/>
        <v>1-5-1S83°Z+S</v>
      </c>
      <c r="AU2170" s="1078" t="s">
        <v>15547</v>
      </c>
      <c r="AV2170" s="1078" t="str">
        <f t="shared" si="268"/>
        <v>114.1.10</v>
      </c>
      <c r="AW2170" s="1344">
        <f t="shared" si="269"/>
        <v>45667</v>
      </c>
    </row>
    <row r="2171" spans="1:49">
      <c r="A2171" s="1077" t="s">
        <v>6800</v>
      </c>
      <c r="B2171" s="1077" t="s">
        <v>682</v>
      </c>
      <c r="C2171" s="1077">
        <v>600</v>
      </c>
      <c r="D2171" s="1077">
        <v>1.78</v>
      </c>
      <c r="E2171" s="1077" t="s">
        <v>15116</v>
      </c>
      <c r="F2171" s="1077" t="s">
        <v>2234</v>
      </c>
      <c r="G2171" s="1077">
        <v>2</v>
      </c>
      <c r="H2171" s="1077" t="s">
        <v>6698</v>
      </c>
      <c r="I2171" s="1077" t="s">
        <v>460</v>
      </c>
      <c r="J2171" s="1077">
        <v>1.3</v>
      </c>
      <c r="K2171" s="1077" t="s">
        <v>6801</v>
      </c>
      <c r="L2171" s="1077" t="s">
        <v>6700</v>
      </c>
      <c r="M2171" s="1077">
        <v>152</v>
      </c>
      <c r="N2171" s="1077" t="s">
        <v>945</v>
      </c>
      <c r="O2171" s="1077">
        <v>3.8000000000000003</v>
      </c>
      <c r="P2171" s="1077">
        <v>3.04</v>
      </c>
      <c r="Q2171" s="1077">
        <v>3.5</v>
      </c>
      <c r="R2171" s="1077">
        <v>24.5</v>
      </c>
      <c r="T2171" s="1077">
        <v>22</v>
      </c>
      <c r="U2171" s="1077">
        <v>3</v>
      </c>
      <c r="V2171" s="1077" t="s">
        <v>648</v>
      </c>
      <c r="W2171" s="1077">
        <v>60</v>
      </c>
      <c r="X2171" s="1077">
        <v>10</v>
      </c>
      <c r="Y2171" s="1077">
        <v>1.5</v>
      </c>
      <c r="Z2171" s="1077" t="s">
        <v>648</v>
      </c>
      <c r="AA2171" s="1077" t="s">
        <v>6802</v>
      </c>
      <c r="AH2171" s="1077" t="s">
        <v>482</v>
      </c>
      <c r="AI2171" s="1077">
        <v>86.58</v>
      </c>
      <c r="AJ2171" s="1077">
        <v>-0.78</v>
      </c>
      <c r="AK2171" s="1077">
        <v>6.47</v>
      </c>
      <c r="AM2171" s="1078" t="s">
        <v>907</v>
      </c>
      <c r="AN2171" s="1078" t="s">
        <v>13325</v>
      </c>
      <c r="AO2171" s="1078">
        <f t="shared" si="270"/>
        <v>600</v>
      </c>
      <c r="AP2171" s="1078">
        <f t="shared" si="271"/>
        <v>1.78</v>
      </c>
      <c r="AQ2171" s="1078" t="str">
        <f t="shared" si="272"/>
        <v>1-5-1S83°Z+S</v>
      </c>
      <c r="AR2171" s="1078" t="str">
        <f t="shared" si="273"/>
        <v>33.5</v>
      </c>
      <c r="AS2171" s="1078" t="str">
        <f t="shared" si="274"/>
        <v>250/250/145</v>
      </c>
      <c r="AT2171" s="1078" t="str">
        <f t="shared" si="275"/>
        <v>1-5-1S83°Z+S</v>
      </c>
      <c r="AU2171" s="1078" t="s">
        <v>15547</v>
      </c>
      <c r="AV2171" s="1078" t="str">
        <f t="shared" si="268"/>
        <v>114.1.13</v>
      </c>
      <c r="AW2171" s="1344">
        <f t="shared" si="269"/>
        <v>45670</v>
      </c>
    </row>
    <row r="2172" spans="1:49">
      <c r="A2172" s="1077" t="s">
        <v>6803</v>
      </c>
      <c r="B2172" s="1077" t="s">
        <v>880</v>
      </c>
      <c r="C2172" s="1077">
        <v>600</v>
      </c>
      <c r="D2172" s="1077">
        <v>1.75</v>
      </c>
      <c r="E2172" s="1077" t="s">
        <v>15116</v>
      </c>
      <c r="F2172" s="1077" t="s">
        <v>984</v>
      </c>
      <c r="G2172" s="1077">
        <v>5</v>
      </c>
      <c r="H2172" s="1077" t="s">
        <v>6804</v>
      </c>
      <c r="I2172" s="1077" t="s">
        <v>460</v>
      </c>
      <c r="J2172" s="1077">
        <v>1</v>
      </c>
      <c r="K2172" s="1077" t="s">
        <v>6805</v>
      </c>
      <c r="L2172" s="1077" t="s">
        <v>6646</v>
      </c>
      <c r="M2172" s="1077">
        <v>152</v>
      </c>
      <c r="N2172" s="1077" t="s">
        <v>945</v>
      </c>
      <c r="O2172" s="1077">
        <v>3.8000000000000003</v>
      </c>
      <c r="P2172" s="1077">
        <v>3.04</v>
      </c>
      <c r="Q2172" s="1077">
        <v>3.5</v>
      </c>
      <c r="R2172" s="1077">
        <v>24.5</v>
      </c>
      <c r="T2172" s="1077">
        <v>22</v>
      </c>
      <c r="U2172" s="1077">
        <v>3</v>
      </c>
      <c r="V2172" s="1077" t="s">
        <v>648</v>
      </c>
      <c r="W2172" s="1077">
        <v>60</v>
      </c>
      <c r="X2172" s="1077">
        <v>10</v>
      </c>
      <c r="Y2172" s="1077">
        <v>1.5</v>
      </c>
      <c r="Z2172" s="1077" t="s">
        <v>648</v>
      </c>
      <c r="AA2172" s="1077" t="s">
        <v>6806</v>
      </c>
      <c r="AH2172" s="1077" t="s">
        <v>1143</v>
      </c>
      <c r="AI2172" s="1077" t="s">
        <v>2185</v>
      </c>
      <c r="AM2172" s="1078" t="s">
        <v>900</v>
      </c>
      <c r="AN2172" s="1078" t="s">
        <v>13326</v>
      </c>
      <c r="AO2172" s="1078">
        <f t="shared" si="270"/>
        <v>600</v>
      </c>
      <c r="AP2172" s="1078">
        <f t="shared" si="271"/>
        <v>1.75</v>
      </c>
      <c r="AQ2172" s="1078" t="str">
        <f t="shared" si="272"/>
        <v>1-5-1S83°Z+S</v>
      </c>
      <c r="AR2172" s="1078" t="str">
        <f t="shared" si="273"/>
        <v>30</v>
      </c>
      <c r="AS2172" s="1078" t="str">
        <f t="shared" si="274"/>
        <v>250/250/160</v>
      </c>
      <c r="AT2172" s="1078" t="str">
        <f t="shared" si="275"/>
        <v>1-5-1S83°Z+S</v>
      </c>
      <c r="AU2172" s="1078" t="s">
        <v>15547</v>
      </c>
      <c r="AV2172" s="1078" t="str">
        <f t="shared" si="268"/>
        <v>114.1.17</v>
      </c>
      <c r="AW2172" s="1344">
        <f t="shared" si="269"/>
        <v>45674</v>
      </c>
    </row>
    <row r="2173" spans="1:49">
      <c r="A2173" s="1077" t="s">
        <v>6807</v>
      </c>
      <c r="B2173" s="1077" t="s">
        <v>882</v>
      </c>
      <c r="C2173" s="1077">
        <v>650</v>
      </c>
      <c r="D2173" s="1077">
        <v>1.73</v>
      </c>
      <c r="E2173" s="1077" t="s">
        <v>15116</v>
      </c>
      <c r="F2173" s="1077" t="s">
        <v>984</v>
      </c>
      <c r="G2173" s="1077">
        <v>2</v>
      </c>
      <c r="H2173" s="1077" t="s">
        <v>6541</v>
      </c>
      <c r="I2173" s="1077" t="s">
        <v>126</v>
      </c>
      <c r="J2173" s="1077">
        <v>1.1000000000000001</v>
      </c>
      <c r="K2173" s="1077" t="s">
        <v>6808</v>
      </c>
      <c r="L2173" s="1077" t="s">
        <v>6543</v>
      </c>
      <c r="M2173" s="1077" t="s">
        <v>6809</v>
      </c>
      <c r="N2173" s="1077" t="s">
        <v>945</v>
      </c>
      <c r="O2173" s="1077">
        <v>3.8</v>
      </c>
      <c r="P2173" s="1077">
        <v>3</v>
      </c>
      <c r="Q2173" s="1077">
        <v>3.5</v>
      </c>
      <c r="R2173" s="1077">
        <v>24</v>
      </c>
      <c r="T2173" s="1077">
        <v>26</v>
      </c>
      <c r="U2173" s="1077">
        <v>3.1</v>
      </c>
      <c r="V2173" s="1077" t="s">
        <v>648</v>
      </c>
      <c r="W2173" s="1077">
        <v>90</v>
      </c>
      <c r="X2173" s="1077">
        <v>10</v>
      </c>
      <c r="Y2173" s="1077">
        <v>1.52</v>
      </c>
      <c r="Z2173" s="1077" t="s">
        <v>648</v>
      </c>
      <c r="AA2173" s="1077" t="s">
        <v>2262</v>
      </c>
      <c r="AH2173" s="1077" t="s">
        <v>614</v>
      </c>
      <c r="AI2173" s="1077" t="s">
        <v>2185</v>
      </c>
      <c r="AM2173" s="1078" t="s">
        <v>901</v>
      </c>
      <c r="AN2173" s="1078" t="s">
        <v>13327</v>
      </c>
      <c r="AO2173" s="1078">
        <f t="shared" si="270"/>
        <v>650</v>
      </c>
      <c r="AP2173" s="1078">
        <f t="shared" si="271"/>
        <v>1.73</v>
      </c>
      <c r="AQ2173" s="1078" t="str">
        <f t="shared" si="272"/>
        <v>1-5-1S83°Z+S</v>
      </c>
      <c r="AR2173" s="1078" t="str">
        <f t="shared" si="273"/>
        <v>30</v>
      </c>
      <c r="AS2173" s="1078" t="str">
        <f t="shared" si="274"/>
        <v>265/265/155</v>
      </c>
      <c r="AT2173" s="1078" t="str">
        <f t="shared" si="275"/>
        <v>1-5-1S83°Z+S</v>
      </c>
      <c r="AU2173" s="1078" t="s">
        <v>15547</v>
      </c>
      <c r="AV2173" s="1078" t="str">
        <f t="shared" si="268"/>
        <v>114.1.16</v>
      </c>
      <c r="AW2173" s="1344">
        <f t="shared" si="269"/>
        <v>45673</v>
      </c>
    </row>
    <row r="2174" spans="1:49">
      <c r="A2174" s="1077" t="s">
        <v>6810</v>
      </c>
      <c r="B2174" s="1077" t="s">
        <v>657</v>
      </c>
      <c r="C2174" s="1077">
        <v>600</v>
      </c>
      <c r="D2174" s="1077">
        <v>1.76</v>
      </c>
      <c r="E2174" s="1077" t="s">
        <v>15116</v>
      </c>
      <c r="F2174" s="1077" t="s">
        <v>2234</v>
      </c>
      <c r="G2174" s="1077">
        <v>2</v>
      </c>
      <c r="H2174" s="1077" t="s">
        <v>2144</v>
      </c>
      <c r="I2174" s="1077" t="s">
        <v>460</v>
      </c>
      <c r="J2174" s="1077">
        <v>1.2</v>
      </c>
      <c r="K2174" s="1077" t="s">
        <v>6811</v>
      </c>
      <c r="L2174" s="1077" t="s">
        <v>6704</v>
      </c>
      <c r="M2174" s="1077">
        <v>152</v>
      </c>
      <c r="N2174" s="1077" t="s">
        <v>945</v>
      </c>
      <c r="O2174" s="1077">
        <v>3.8000000000000003</v>
      </c>
      <c r="P2174" s="1077">
        <v>3.04</v>
      </c>
      <c r="Q2174" s="1077">
        <v>3.5</v>
      </c>
      <c r="R2174" s="1077">
        <v>24.5</v>
      </c>
      <c r="T2174" s="1077">
        <v>22</v>
      </c>
      <c r="U2174" s="1077">
        <v>3</v>
      </c>
      <c r="V2174" s="1077" t="s">
        <v>648</v>
      </c>
      <c r="W2174" s="1077">
        <v>60</v>
      </c>
      <c r="X2174" s="1077">
        <v>10</v>
      </c>
      <c r="Y2174" s="1077">
        <v>1.5</v>
      </c>
      <c r="Z2174" s="1077" t="s">
        <v>648</v>
      </c>
      <c r="AA2174" s="1077" t="s">
        <v>1753</v>
      </c>
      <c r="AH2174" s="1077" t="s">
        <v>647</v>
      </c>
      <c r="AI2174" s="1077">
        <v>85.1</v>
      </c>
      <c r="AJ2174" s="1077">
        <v>-9.6999999999999993</v>
      </c>
      <c r="AK2174" s="1077">
        <v>86.75</v>
      </c>
      <c r="AM2174" s="1078" t="s">
        <v>686</v>
      </c>
      <c r="AN2174" s="1078" t="s">
        <v>13328</v>
      </c>
      <c r="AO2174" s="1078">
        <f t="shared" si="270"/>
        <v>600</v>
      </c>
      <c r="AP2174" s="1078">
        <f t="shared" si="271"/>
        <v>1.76</v>
      </c>
      <c r="AQ2174" s="1078" t="str">
        <f t="shared" si="272"/>
        <v>1-5-1S83°Z+S</v>
      </c>
      <c r="AR2174" s="1078" t="str">
        <f t="shared" si="273"/>
        <v>33.5</v>
      </c>
      <c r="AS2174" s="1078" t="str">
        <f t="shared" si="274"/>
        <v>250/250/155</v>
      </c>
      <c r="AT2174" s="1078" t="str">
        <f t="shared" si="275"/>
        <v>1-5-1S83°Z+S</v>
      </c>
      <c r="AU2174" s="1078" t="s">
        <v>15547</v>
      </c>
      <c r="AV2174" s="1078" t="str">
        <f t="shared" si="268"/>
        <v>114.1.27</v>
      </c>
      <c r="AW2174" s="1344">
        <f t="shared" si="269"/>
        <v>45684</v>
      </c>
    </row>
    <row r="2175" spans="1:49">
      <c r="A2175" s="1077" t="s">
        <v>6812</v>
      </c>
      <c r="B2175" s="1077" t="s">
        <v>416</v>
      </c>
      <c r="C2175" s="1077">
        <v>650</v>
      </c>
      <c r="D2175" s="1077">
        <v>1.7549999999999999</v>
      </c>
      <c r="E2175" s="1077" t="s">
        <v>15094</v>
      </c>
      <c r="F2175" s="1077" t="s">
        <v>984</v>
      </c>
      <c r="G2175" s="1077">
        <v>5</v>
      </c>
      <c r="H2175" s="1077" t="s">
        <v>5483</v>
      </c>
      <c r="I2175" s="1077" t="s">
        <v>126</v>
      </c>
      <c r="J2175" s="1077">
        <v>0.7</v>
      </c>
      <c r="K2175" s="1077" t="s">
        <v>6813</v>
      </c>
      <c r="L2175" s="1077" t="s">
        <v>4666</v>
      </c>
      <c r="M2175" s="1077">
        <v>151.5</v>
      </c>
      <c r="N2175" s="1077" t="s">
        <v>945</v>
      </c>
      <c r="O2175" s="1077">
        <v>3.7875000000000001</v>
      </c>
      <c r="P2175" s="1077">
        <v>3.0300000000000002</v>
      </c>
      <c r="Q2175" s="1077">
        <v>4</v>
      </c>
      <c r="R2175" s="1077">
        <v>19.100000000000001</v>
      </c>
      <c r="T2175" s="1077">
        <v>23.7</v>
      </c>
      <c r="U2175" s="1077">
        <v>3.2</v>
      </c>
      <c r="V2175" s="1077" t="s">
        <v>648</v>
      </c>
      <c r="W2175" s="1077">
        <v>35</v>
      </c>
      <c r="X2175" s="1077">
        <v>10</v>
      </c>
      <c r="Y2175" s="1077">
        <v>1</v>
      </c>
      <c r="Z2175" s="1077">
        <v>6</v>
      </c>
      <c r="AA2175" s="1077" t="s">
        <v>1753</v>
      </c>
      <c r="AH2175" s="1077" t="s">
        <v>884</v>
      </c>
      <c r="AI2175" s="1077">
        <v>91.76</v>
      </c>
      <c r="AJ2175" s="1077">
        <v>-1.47</v>
      </c>
      <c r="AK2175" s="1077">
        <v>1.51</v>
      </c>
      <c r="AM2175" s="1078" t="s">
        <v>883</v>
      </c>
      <c r="AN2175" s="1078" t="s">
        <v>13329</v>
      </c>
      <c r="AO2175" s="1078">
        <f t="shared" si="270"/>
        <v>650</v>
      </c>
      <c r="AP2175" s="1078">
        <f t="shared" si="271"/>
        <v>1.7549999999999999</v>
      </c>
      <c r="AQ2175" s="1078" t="str">
        <f t="shared" si="272"/>
        <v>1-5-1S91°</v>
      </c>
      <c r="AR2175" s="1078" t="str">
        <f t="shared" si="273"/>
        <v>30</v>
      </c>
      <c r="AS2175" s="1078" t="str">
        <f t="shared" si="274"/>
        <v>350/310/150</v>
      </c>
      <c r="AT2175" s="1078" t="str">
        <f t="shared" si="275"/>
        <v>1-5-1S91°</v>
      </c>
      <c r="AV2175" s="1078" t="str">
        <f t="shared" si="268"/>
        <v>114.1.27</v>
      </c>
      <c r="AW2175" s="1344">
        <f t="shared" si="269"/>
        <v>45684</v>
      </c>
    </row>
    <row r="2176" spans="1:49">
      <c r="A2176" s="1077" t="s">
        <v>6814</v>
      </c>
      <c r="B2176" s="1077" t="s">
        <v>416</v>
      </c>
      <c r="C2176" s="1077">
        <v>650</v>
      </c>
      <c r="D2176" s="1077">
        <v>1.77</v>
      </c>
      <c r="E2176" s="1077" t="s">
        <v>15094</v>
      </c>
      <c r="F2176" s="1077" t="s">
        <v>984</v>
      </c>
      <c r="G2176" s="1077">
        <v>5</v>
      </c>
      <c r="H2176" s="1077" t="s">
        <v>5483</v>
      </c>
      <c r="I2176" s="1077" t="s">
        <v>126</v>
      </c>
      <c r="J2176" s="1077">
        <v>0.7</v>
      </c>
      <c r="K2176" s="1077" t="s">
        <v>6813</v>
      </c>
      <c r="L2176" s="1077" t="s">
        <v>4666</v>
      </c>
      <c r="M2176" s="1077">
        <v>151.5</v>
      </c>
      <c r="N2176" s="1077" t="s">
        <v>945</v>
      </c>
      <c r="O2176" s="1077">
        <v>3.7875000000000001</v>
      </c>
      <c r="P2176" s="1077">
        <v>3.0300000000000002</v>
      </c>
      <c r="Q2176" s="1077">
        <v>4</v>
      </c>
      <c r="R2176" s="1077">
        <v>19.100000000000001</v>
      </c>
      <c r="T2176" s="1077">
        <v>23.7</v>
      </c>
      <c r="U2176" s="1077">
        <v>3.2</v>
      </c>
      <c r="V2176" s="1077" t="s">
        <v>648</v>
      </c>
      <c r="W2176" s="1077">
        <v>35</v>
      </c>
      <c r="X2176" s="1077">
        <v>10</v>
      </c>
      <c r="Y2176" s="1077">
        <v>1</v>
      </c>
      <c r="Z2176" s="1077">
        <v>6</v>
      </c>
      <c r="AA2176" s="1077" t="s">
        <v>1753</v>
      </c>
      <c r="AH2176" s="1077" t="s">
        <v>483</v>
      </c>
      <c r="AI2176" s="1077">
        <v>91.51</v>
      </c>
      <c r="AJ2176" s="1077">
        <v>-0.82</v>
      </c>
      <c r="AK2176" s="1077">
        <v>0.89</v>
      </c>
      <c r="AM2176" s="1078" t="s">
        <v>687</v>
      </c>
      <c r="AN2176" s="1078" t="s">
        <v>13330</v>
      </c>
      <c r="AO2176" s="1078">
        <f t="shared" si="270"/>
        <v>650</v>
      </c>
      <c r="AP2176" s="1078">
        <f t="shared" si="271"/>
        <v>1.77</v>
      </c>
      <c r="AQ2176" s="1078" t="str">
        <f t="shared" si="272"/>
        <v>1-5-1S91°</v>
      </c>
      <c r="AR2176" s="1078" t="str">
        <f t="shared" si="273"/>
        <v>30</v>
      </c>
      <c r="AS2176" s="1078" t="str">
        <f t="shared" si="274"/>
        <v>350/310/150</v>
      </c>
      <c r="AT2176" s="1078" t="str">
        <f t="shared" si="275"/>
        <v>1-5-1S91°</v>
      </c>
      <c r="AV2176" s="1078" t="str">
        <f t="shared" si="268"/>
        <v>114.1.27</v>
      </c>
      <c r="AW2176" s="1344">
        <f t="shared" si="269"/>
        <v>45684</v>
      </c>
    </row>
    <row r="2177" spans="1:49">
      <c r="A2177" s="1077" t="s">
        <v>6815</v>
      </c>
      <c r="B2177" s="1077" t="s">
        <v>416</v>
      </c>
      <c r="C2177" s="1077">
        <v>670</v>
      </c>
      <c r="D2177" s="1077">
        <v>1.76</v>
      </c>
      <c r="E2177" s="1077" t="s">
        <v>15094</v>
      </c>
      <c r="F2177" s="1077" t="s">
        <v>984</v>
      </c>
      <c r="G2177" s="1077">
        <v>5</v>
      </c>
      <c r="H2177" s="1077" t="s">
        <v>6816</v>
      </c>
      <c r="I2177" s="1077" t="s">
        <v>126</v>
      </c>
      <c r="J2177" s="1077">
        <v>0.7</v>
      </c>
      <c r="K2177" s="1077" t="s">
        <v>6750</v>
      </c>
      <c r="L2177" s="1077" t="s">
        <v>4666</v>
      </c>
      <c r="M2177" s="1077">
        <v>151.5</v>
      </c>
      <c r="N2177" s="1077" t="s">
        <v>945</v>
      </c>
      <c r="O2177" s="1077">
        <v>3.7875000000000001</v>
      </c>
      <c r="P2177" s="1077">
        <v>3.0300000000000002</v>
      </c>
      <c r="Q2177" s="1077">
        <v>3.5</v>
      </c>
      <c r="R2177" s="1077">
        <v>19.100000000000001</v>
      </c>
      <c r="T2177" s="1077">
        <v>23.7</v>
      </c>
      <c r="U2177" s="1077">
        <v>3.2</v>
      </c>
      <c r="V2177" s="1077" t="s">
        <v>648</v>
      </c>
      <c r="W2177" s="1077">
        <v>35</v>
      </c>
      <c r="X2177" s="1077">
        <v>10</v>
      </c>
      <c r="Y2177" s="1077">
        <v>1</v>
      </c>
      <c r="Z2177" s="1077">
        <v>6</v>
      </c>
      <c r="AA2177" s="1077" t="s">
        <v>6817</v>
      </c>
      <c r="AH2177" s="1077" t="s">
        <v>3213</v>
      </c>
      <c r="AI2177" s="1077">
        <v>94.07</v>
      </c>
      <c r="AJ2177" s="1077">
        <v>-0.44</v>
      </c>
      <c r="AK2177" s="1077">
        <v>1</v>
      </c>
      <c r="AM2177" s="1078" t="s">
        <v>711</v>
      </c>
      <c r="AN2177" s="1078" t="s">
        <v>13331</v>
      </c>
      <c r="AO2177" s="1078">
        <f t="shared" si="270"/>
        <v>670</v>
      </c>
      <c r="AP2177" s="1078">
        <f t="shared" si="271"/>
        <v>1.76</v>
      </c>
      <c r="AQ2177" s="1078" t="str">
        <f t="shared" si="272"/>
        <v>1-5-1S91°</v>
      </c>
      <c r="AR2177" s="1078" t="str">
        <f t="shared" si="273"/>
        <v>30</v>
      </c>
      <c r="AS2177" s="1078" t="str">
        <f t="shared" si="274"/>
        <v>353/313/150</v>
      </c>
      <c r="AT2177" s="1078" t="str">
        <f t="shared" si="275"/>
        <v>1-5-1S91°</v>
      </c>
      <c r="AV2177" s="1078" t="str">
        <f t="shared" si="268"/>
        <v>114.2.3</v>
      </c>
      <c r="AW2177" s="1344">
        <f t="shared" si="269"/>
        <v>45691</v>
      </c>
    </row>
    <row r="2178" spans="1:49">
      <c r="A2178" s="1077" t="s">
        <v>6818</v>
      </c>
      <c r="B2178" s="1077" t="s">
        <v>465</v>
      </c>
      <c r="C2178" s="1077">
        <v>650</v>
      </c>
      <c r="D2178" s="1077">
        <v>1.78</v>
      </c>
      <c r="E2178" s="1077" t="s">
        <v>15109</v>
      </c>
      <c r="F2178" s="1077" t="s">
        <v>648</v>
      </c>
      <c r="G2178" s="1077">
        <v>5</v>
      </c>
      <c r="H2178" s="1077" t="s">
        <v>3356</v>
      </c>
      <c r="I2178" s="1077" t="s">
        <v>460</v>
      </c>
      <c r="J2178" s="1077">
        <v>1.7</v>
      </c>
      <c r="K2178" s="1077" t="s">
        <v>6819</v>
      </c>
      <c r="L2178" s="1077" t="s">
        <v>6335</v>
      </c>
      <c r="M2178" s="1077">
        <v>149.5</v>
      </c>
      <c r="N2178" s="1077" t="s">
        <v>945</v>
      </c>
      <c r="O2178" s="1077">
        <v>3.7375000000000003</v>
      </c>
      <c r="P2178" s="1077">
        <v>2.99</v>
      </c>
      <c r="Q2178" s="1077">
        <v>4</v>
      </c>
      <c r="R2178" s="1077">
        <v>21</v>
      </c>
      <c r="T2178" s="1077">
        <v>37</v>
      </c>
      <c r="U2178" s="1077">
        <v>3.7</v>
      </c>
      <c r="V2178" s="1077" t="s">
        <v>648</v>
      </c>
      <c r="W2178" s="1077">
        <v>110</v>
      </c>
      <c r="X2178" s="1077">
        <v>40</v>
      </c>
      <c r="Y2178" s="1077">
        <v>2.2000000000000002</v>
      </c>
      <c r="Z2178" s="1077" t="s">
        <v>648</v>
      </c>
      <c r="AA2178" s="1077" t="s">
        <v>6817</v>
      </c>
      <c r="AH2178" s="1077" t="s">
        <v>681</v>
      </c>
      <c r="AI2178" s="1077">
        <v>92.07</v>
      </c>
      <c r="AJ2178" s="1077">
        <v>-0.39</v>
      </c>
      <c r="AK2178" s="1077">
        <v>1.26</v>
      </c>
      <c r="AM2178" s="1078" t="s">
        <v>710</v>
      </c>
      <c r="AN2178" s="1078" t="s">
        <v>13332</v>
      </c>
      <c r="AO2178" s="1078">
        <f t="shared" si="270"/>
        <v>650</v>
      </c>
      <c r="AP2178" s="1078">
        <f t="shared" si="271"/>
        <v>1.78</v>
      </c>
      <c r="AQ2178" s="1078" t="str">
        <f t="shared" si="272"/>
        <v>1-5-1S85°Z+S</v>
      </c>
      <c r="AR2178" s="1078" t="str">
        <f t="shared" si="273"/>
        <v>NA</v>
      </c>
      <c r="AS2178" s="1078" t="str">
        <f t="shared" si="274"/>
        <v>182/OFF</v>
      </c>
      <c r="AT2178" s="1078" t="str">
        <f t="shared" si="275"/>
        <v>1-5-1S85°Z+S</v>
      </c>
      <c r="AU2178" s="1078" t="s">
        <v>15547</v>
      </c>
      <c r="AV2178" s="1078" t="str">
        <f t="shared" ref="AV2178:AV2241" si="276">AA2178</f>
        <v>114.2.3</v>
      </c>
      <c r="AW2178" s="1344">
        <f t="shared" si="269"/>
        <v>45691</v>
      </c>
    </row>
    <row r="2179" spans="1:49">
      <c r="A2179" s="1077" t="s">
        <v>6820</v>
      </c>
      <c r="B2179" s="1077" t="s">
        <v>682</v>
      </c>
      <c r="C2179" s="1077">
        <v>600</v>
      </c>
      <c r="D2179" s="1077">
        <v>1.78</v>
      </c>
      <c r="E2179" s="1077" t="s">
        <v>15116</v>
      </c>
      <c r="F2179" s="1077" t="s">
        <v>2234</v>
      </c>
      <c r="G2179" s="1077">
        <v>2</v>
      </c>
      <c r="H2179" s="1077" t="s">
        <v>6698</v>
      </c>
      <c r="I2179" s="1077" t="s">
        <v>460</v>
      </c>
      <c r="J2179" s="1077">
        <v>1.3</v>
      </c>
      <c r="K2179" s="1077" t="s">
        <v>6821</v>
      </c>
      <c r="L2179" s="1077" t="s">
        <v>6700</v>
      </c>
      <c r="M2179" s="1077">
        <v>152</v>
      </c>
      <c r="N2179" s="1077" t="s">
        <v>945</v>
      </c>
      <c r="O2179" s="1077">
        <v>3.8000000000000003</v>
      </c>
      <c r="P2179" s="1077">
        <v>3.04</v>
      </c>
      <c r="Q2179" s="1077">
        <v>3.5</v>
      </c>
      <c r="R2179" s="1077">
        <v>24.5</v>
      </c>
      <c r="T2179" s="1077">
        <v>22</v>
      </c>
      <c r="U2179" s="1077">
        <v>3</v>
      </c>
      <c r="V2179" s="1077" t="s">
        <v>648</v>
      </c>
      <c r="W2179" s="1077">
        <v>60</v>
      </c>
      <c r="X2179" s="1077">
        <v>10</v>
      </c>
      <c r="Y2179" s="1077">
        <v>1.5</v>
      </c>
      <c r="Z2179" s="1077" t="s">
        <v>648</v>
      </c>
      <c r="AA2179" s="1077" t="s">
        <v>6817</v>
      </c>
      <c r="AH2179" s="1077" t="s">
        <v>712</v>
      </c>
      <c r="AI2179" s="1077">
        <v>86.72</v>
      </c>
      <c r="AJ2179" s="1077">
        <v>-0.68</v>
      </c>
      <c r="AK2179" s="1077">
        <v>6.87</v>
      </c>
      <c r="AM2179" s="1078" t="s">
        <v>709</v>
      </c>
      <c r="AN2179" s="1078" t="s">
        <v>13333</v>
      </c>
      <c r="AO2179" s="1078">
        <f t="shared" si="270"/>
        <v>600</v>
      </c>
      <c r="AP2179" s="1078">
        <f t="shared" si="271"/>
        <v>1.78</v>
      </c>
      <c r="AQ2179" s="1078" t="str">
        <f t="shared" si="272"/>
        <v>1-5-1S83°Z+S</v>
      </c>
      <c r="AR2179" s="1078" t="str">
        <f t="shared" si="273"/>
        <v>33.5</v>
      </c>
      <c r="AS2179" s="1078" t="str">
        <f t="shared" si="274"/>
        <v>250/250/145</v>
      </c>
      <c r="AT2179" s="1078" t="str">
        <f t="shared" si="275"/>
        <v>1-5-1S83°Z+S</v>
      </c>
      <c r="AU2179" s="1078" t="s">
        <v>15547</v>
      </c>
      <c r="AV2179" s="1078" t="str">
        <f t="shared" si="276"/>
        <v>114.2.3</v>
      </c>
      <c r="AW2179" s="1344">
        <f t="shared" ref="AW2179:AW2242" si="277">DATE(VALUE(LEFT(AV2179,FIND(".",AV2179)-1))+1911,
       VALUE(MID(AV2179,FIND(".",AV2179)+1,FIND(".",AV2179,FIND(".",AV2179)+1)-FIND(".",AV2179)-1)),
       VALUE(RIGHT(AV2179,LEN(AV2179)-FIND("~",SUBSTITUTE(AV2179,".","~",2)))))</f>
        <v>45691</v>
      </c>
    </row>
    <row r="2180" spans="1:49">
      <c r="A2180" s="1077" t="s">
        <v>6822</v>
      </c>
      <c r="B2180" s="1077" t="s">
        <v>5239</v>
      </c>
      <c r="C2180" s="1077">
        <v>670</v>
      </c>
      <c r="D2180" s="1077">
        <v>1.76</v>
      </c>
      <c r="E2180" s="1077" t="s">
        <v>15094</v>
      </c>
      <c r="F2180" s="1077" t="s">
        <v>984</v>
      </c>
      <c r="G2180" s="1077">
        <v>5</v>
      </c>
      <c r="H2180" s="1077" t="s">
        <v>6754</v>
      </c>
      <c r="I2180" s="1077" t="s">
        <v>648</v>
      </c>
      <c r="J2180" s="1077">
        <v>0</v>
      </c>
      <c r="K2180" s="1077" t="s">
        <v>6750</v>
      </c>
      <c r="L2180" s="1077" t="s">
        <v>4666</v>
      </c>
      <c r="M2180" s="1077">
        <v>151.5</v>
      </c>
      <c r="N2180" s="1077" t="s">
        <v>945</v>
      </c>
      <c r="O2180" s="1077">
        <v>3.7875000000000001</v>
      </c>
      <c r="P2180" s="1077">
        <v>3.0300000000000002</v>
      </c>
      <c r="Q2180" s="1077">
        <v>4</v>
      </c>
      <c r="R2180" s="1077">
        <v>23</v>
      </c>
      <c r="T2180" s="1077">
        <v>21</v>
      </c>
      <c r="U2180" s="1077">
        <v>2.8</v>
      </c>
      <c r="V2180" s="1077" t="s">
        <v>648</v>
      </c>
      <c r="W2180" s="1077" t="s">
        <v>648</v>
      </c>
      <c r="X2180" s="1077">
        <v>0</v>
      </c>
      <c r="Y2180" s="1077">
        <v>1.5</v>
      </c>
      <c r="Z2180" s="1077">
        <v>6</v>
      </c>
      <c r="AA2180" s="1077" t="s">
        <v>6817</v>
      </c>
      <c r="AH2180" s="1077" t="s">
        <v>456</v>
      </c>
      <c r="AI2180" s="1077">
        <v>94.3</v>
      </c>
      <c r="AJ2180" s="1077">
        <v>-0.34</v>
      </c>
      <c r="AK2180" s="1077">
        <v>0.85</v>
      </c>
      <c r="AM2180" s="1078" t="s">
        <v>13334</v>
      </c>
      <c r="AN2180" s="1078" t="s">
        <v>13335</v>
      </c>
      <c r="AO2180" s="1078">
        <f t="shared" si="270"/>
        <v>670</v>
      </c>
      <c r="AP2180" s="1078">
        <f t="shared" si="271"/>
        <v>1.76</v>
      </c>
      <c r="AQ2180" s="1078" t="str">
        <f t="shared" si="272"/>
        <v>1-5-1S91°</v>
      </c>
      <c r="AR2180" s="1078" t="str">
        <f t="shared" si="273"/>
        <v>30</v>
      </c>
      <c r="AS2180" s="1078" t="str">
        <f t="shared" si="274"/>
        <v>315/305/135</v>
      </c>
      <c r="AT2180" s="1078" t="str">
        <f t="shared" si="275"/>
        <v>1-5-1S91°</v>
      </c>
      <c r="AV2180" s="1078" t="str">
        <f t="shared" si="276"/>
        <v>114.2.3</v>
      </c>
      <c r="AW2180" s="1344">
        <f t="shared" si="277"/>
        <v>45691</v>
      </c>
    </row>
    <row r="2181" spans="1:49">
      <c r="A2181" s="1077" t="s">
        <v>6823</v>
      </c>
      <c r="B2181" s="1077" t="s">
        <v>886</v>
      </c>
      <c r="C2181" s="1077">
        <v>600</v>
      </c>
      <c r="D2181" s="1077">
        <v>1.79</v>
      </c>
      <c r="E2181" s="1077" t="s">
        <v>15094</v>
      </c>
      <c r="F2181" s="1077" t="s">
        <v>2234</v>
      </c>
      <c r="G2181" s="1077">
        <v>5</v>
      </c>
      <c r="H2181" s="1077" t="s">
        <v>2570</v>
      </c>
      <c r="I2181" s="1077" t="s">
        <v>126</v>
      </c>
      <c r="J2181" s="1077">
        <v>2.5</v>
      </c>
      <c r="K2181" s="1077" t="s">
        <v>5606</v>
      </c>
      <c r="L2181" s="1077" t="s">
        <v>5556</v>
      </c>
      <c r="M2181" s="1077">
        <v>152</v>
      </c>
      <c r="N2181" s="1077" t="s">
        <v>945</v>
      </c>
      <c r="O2181" s="1077">
        <v>3.8000000000000003</v>
      </c>
      <c r="P2181" s="1077">
        <v>3.04</v>
      </c>
      <c r="Q2181" s="1077">
        <v>4</v>
      </c>
      <c r="R2181" s="1077">
        <v>23.5</v>
      </c>
      <c r="T2181" s="1077">
        <v>30</v>
      </c>
      <c r="U2181" s="1077">
        <v>3.5</v>
      </c>
      <c r="V2181" s="1077" t="s">
        <v>648</v>
      </c>
      <c r="W2181" s="1077">
        <v>115</v>
      </c>
      <c r="X2181" s="1077">
        <v>50</v>
      </c>
      <c r="Y2181" s="1077">
        <v>1.5</v>
      </c>
      <c r="Z2181" s="1077">
        <v>7</v>
      </c>
      <c r="AA2181" s="1077" t="s">
        <v>4565</v>
      </c>
      <c r="AH2181" s="1077" t="s">
        <v>887</v>
      </c>
      <c r="AI2181" s="1077">
        <v>94.06</v>
      </c>
      <c r="AJ2181" s="1077">
        <v>-0.37</v>
      </c>
      <c r="AK2181" s="1077">
        <v>0.96</v>
      </c>
      <c r="AM2181" s="1078" t="s">
        <v>885</v>
      </c>
      <c r="AN2181" s="1078" t="s">
        <v>13336</v>
      </c>
      <c r="AO2181" s="1078">
        <f t="shared" si="270"/>
        <v>600</v>
      </c>
      <c r="AP2181" s="1078">
        <f t="shared" si="271"/>
        <v>1.79</v>
      </c>
      <c r="AQ2181" s="1078" t="str">
        <f t="shared" si="272"/>
        <v>1-5-1S91°</v>
      </c>
      <c r="AR2181" s="1078" t="str">
        <f t="shared" si="273"/>
        <v>33.5</v>
      </c>
      <c r="AS2181" s="1078" t="str">
        <f t="shared" si="274"/>
        <v>330/330/OFF</v>
      </c>
      <c r="AT2181" s="1078" t="str">
        <f t="shared" si="275"/>
        <v>1-5-1S91°</v>
      </c>
      <c r="AV2181" s="1078" t="str">
        <f t="shared" si="276"/>
        <v>114.2.7</v>
      </c>
      <c r="AW2181" s="1344">
        <f t="shared" si="277"/>
        <v>45695</v>
      </c>
    </row>
    <row r="2182" spans="1:49">
      <c r="A2182" s="1077" t="s">
        <v>6824</v>
      </c>
      <c r="B2182" s="1077" t="s">
        <v>844</v>
      </c>
      <c r="C2182" s="1077">
        <v>600</v>
      </c>
      <c r="D2182" s="1077">
        <v>1.7949999999999999</v>
      </c>
      <c r="E2182" s="1077" t="s">
        <v>15094</v>
      </c>
      <c r="F2182" s="1077" t="s">
        <v>954</v>
      </c>
      <c r="G2182" s="1077">
        <v>5</v>
      </c>
      <c r="H2182" s="1077" t="s">
        <v>5126</v>
      </c>
      <c r="I2182" s="1077" t="s">
        <v>460</v>
      </c>
      <c r="J2182" s="1077">
        <v>3.8</v>
      </c>
      <c r="K2182" s="1077" t="s">
        <v>6788</v>
      </c>
      <c r="L2182" s="1077" t="s">
        <v>6238</v>
      </c>
      <c r="M2182" s="1077">
        <v>151.69999999999999</v>
      </c>
      <c r="N2182" s="1077" t="s">
        <v>945</v>
      </c>
      <c r="O2182" s="1077">
        <v>3.7925</v>
      </c>
      <c r="P2182" s="1077">
        <v>3.0339999999999998</v>
      </c>
      <c r="Q2182" s="1077">
        <v>3</v>
      </c>
      <c r="R2182" s="1077">
        <v>19.7</v>
      </c>
      <c r="T2182" s="1077">
        <v>11.5</v>
      </c>
      <c r="U2182" s="1077">
        <v>5.3</v>
      </c>
      <c r="V2182" s="1077" t="s">
        <v>648</v>
      </c>
      <c r="W2182" s="1077">
        <v>105</v>
      </c>
      <c r="X2182" s="1077">
        <v>95</v>
      </c>
      <c r="Y2182" s="1077">
        <v>1.5</v>
      </c>
      <c r="Z2182" s="1077">
        <v>5</v>
      </c>
      <c r="AA2182" s="1077" t="s">
        <v>4597</v>
      </c>
      <c r="AB2182" s="1077" t="s">
        <v>1813</v>
      </c>
      <c r="AH2182" s="1077" t="s">
        <v>878</v>
      </c>
      <c r="AI2182" s="1077">
        <v>90.48</v>
      </c>
      <c r="AJ2182" s="1077">
        <v>-1.35</v>
      </c>
      <c r="AK2182" s="1077">
        <v>5.55</v>
      </c>
      <c r="AM2182" s="1078" t="s">
        <v>13337</v>
      </c>
      <c r="AN2182" s="1078" t="s">
        <v>13338</v>
      </c>
      <c r="AO2182" s="1078">
        <f t="shared" si="270"/>
        <v>600</v>
      </c>
      <c r="AP2182" s="1078">
        <f t="shared" si="271"/>
        <v>1.7949999999999999</v>
      </c>
      <c r="AQ2182" s="1078" t="str">
        <f t="shared" si="272"/>
        <v>1-5-1S91°</v>
      </c>
      <c r="AR2182" s="1078" t="str">
        <f t="shared" si="273"/>
        <v>31</v>
      </c>
      <c r="AS2182" s="1078" t="str">
        <f t="shared" si="274"/>
        <v>300/300/140</v>
      </c>
      <c r="AT2182" s="1078" t="str">
        <f t="shared" si="275"/>
        <v>1-5-1S91°</v>
      </c>
      <c r="AV2182" s="1078" t="str">
        <f t="shared" si="276"/>
        <v>114.2.17</v>
      </c>
      <c r="AW2182" s="1344">
        <f t="shared" si="277"/>
        <v>45705</v>
      </c>
    </row>
    <row r="2183" spans="1:49">
      <c r="A2183" s="1077" t="s">
        <v>6825</v>
      </c>
      <c r="B2183" s="1077" t="s">
        <v>754</v>
      </c>
      <c r="C2183" s="1077">
        <v>500</v>
      </c>
      <c r="D2183" s="1077">
        <v>1.65</v>
      </c>
      <c r="E2183" s="1077" t="s">
        <v>15121</v>
      </c>
      <c r="F2183" s="1077" t="s">
        <v>648</v>
      </c>
      <c r="G2183" s="1077">
        <v>4</v>
      </c>
      <c r="H2183" s="1077" t="s">
        <v>1072</v>
      </c>
      <c r="I2183" s="1077" t="s">
        <v>126</v>
      </c>
      <c r="J2183" s="1077">
        <v>1.4</v>
      </c>
      <c r="K2183" s="1077" t="s">
        <v>6759</v>
      </c>
      <c r="L2183" s="1077" t="s">
        <v>6742</v>
      </c>
      <c r="M2183" s="1077">
        <v>155</v>
      </c>
      <c r="N2183" s="1077" t="s">
        <v>945</v>
      </c>
      <c r="O2183" s="1077">
        <v>3.875</v>
      </c>
      <c r="P2183" s="1077">
        <v>3.1</v>
      </c>
      <c r="Q2183" s="1077">
        <v>4</v>
      </c>
      <c r="R2183" s="1077">
        <v>25</v>
      </c>
      <c r="T2183" s="1077">
        <v>18</v>
      </c>
      <c r="U2183" s="1077">
        <v>3.8</v>
      </c>
      <c r="V2183" s="1077" t="s">
        <v>648</v>
      </c>
      <c r="W2183" s="1077">
        <v>135</v>
      </c>
      <c r="X2183" s="1077">
        <v>80</v>
      </c>
      <c r="Y2183" s="1077">
        <v>1.2</v>
      </c>
      <c r="Z2183" s="1077" t="s">
        <v>648</v>
      </c>
      <c r="AA2183" s="1077" t="s">
        <v>4597</v>
      </c>
      <c r="AH2183" s="1077" t="s">
        <v>1417</v>
      </c>
      <c r="AI2183" s="1077">
        <v>95.43</v>
      </c>
      <c r="AJ2183" s="1077">
        <v>-0.26</v>
      </c>
      <c r="AK2183" s="1077">
        <v>1.28</v>
      </c>
      <c r="AM2183" s="1078" t="s">
        <v>753</v>
      </c>
      <c r="AN2183" s="1078" t="s">
        <v>13339</v>
      </c>
      <c r="AO2183" s="1078">
        <f t="shared" si="270"/>
        <v>500</v>
      </c>
      <c r="AP2183" s="1078">
        <f t="shared" si="271"/>
        <v>1.65</v>
      </c>
      <c r="AQ2183" s="1078" t="str">
        <f t="shared" si="272"/>
        <v>1-5-1S85°S+Z</v>
      </c>
      <c r="AR2183" s="1078" t="str">
        <f t="shared" si="273"/>
        <v>NA</v>
      </c>
      <c r="AS2183" s="1078" t="str">
        <f t="shared" si="274"/>
        <v>168/OFF</v>
      </c>
      <c r="AT2183" s="1078" t="str">
        <f t="shared" si="275"/>
        <v>1-5-1S85°S+Z</v>
      </c>
      <c r="AU2183" s="1078" t="s">
        <v>15550</v>
      </c>
      <c r="AV2183" s="1078" t="str">
        <f t="shared" si="276"/>
        <v>114.2.17</v>
      </c>
      <c r="AW2183" s="1344">
        <f t="shared" si="277"/>
        <v>45705</v>
      </c>
    </row>
    <row r="2184" spans="1:49">
      <c r="A2184" s="1077" t="s">
        <v>6826</v>
      </c>
      <c r="B2184" s="1077" t="s">
        <v>757</v>
      </c>
      <c r="C2184" s="1077">
        <v>500</v>
      </c>
      <c r="D2184" s="1077">
        <v>1.78</v>
      </c>
      <c r="E2184" s="1077" t="s">
        <v>15111</v>
      </c>
      <c r="F2184" s="1077" t="s">
        <v>975</v>
      </c>
      <c r="G2184" s="1077">
        <v>4</v>
      </c>
      <c r="H2184" s="1077" t="s">
        <v>6766</v>
      </c>
      <c r="I2184" s="1077" t="s">
        <v>126</v>
      </c>
      <c r="J2184" s="1077">
        <v>3</v>
      </c>
      <c r="K2184" s="1077" t="s">
        <v>6486</v>
      </c>
      <c r="L2184" s="1077" t="s">
        <v>6118</v>
      </c>
      <c r="M2184" s="1077">
        <v>148.5</v>
      </c>
      <c r="N2184" s="1077" t="s">
        <v>945</v>
      </c>
      <c r="O2184" s="1077">
        <v>3.7125000000000004</v>
      </c>
      <c r="P2184" s="1077">
        <v>2.97</v>
      </c>
      <c r="Q2184" s="1077">
        <v>3.5</v>
      </c>
      <c r="R2184" s="1077" t="s">
        <v>6827</v>
      </c>
      <c r="T2184" s="1077">
        <v>30</v>
      </c>
      <c r="U2184" s="1077">
        <v>3.6</v>
      </c>
      <c r="V2184" s="1077" t="s">
        <v>648</v>
      </c>
      <c r="W2184" s="1077">
        <v>120</v>
      </c>
      <c r="X2184" s="1077">
        <v>70</v>
      </c>
      <c r="Y2184" s="1077">
        <v>1.8</v>
      </c>
      <c r="Z2184" s="1077">
        <v>6.5</v>
      </c>
      <c r="AA2184" s="1077" t="s">
        <v>6828</v>
      </c>
      <c r="AH2184" s="1077" t="s">
        <v>722</v>
      </c>
      <c r="AI2184" s="1077">
        <v>13.29</v>
      </c>
      <c r="AJ2184" s="1077">
        <v>0.28999999999999998</v>
      </c>
      <c r="AK2184" s="1077">
        <v>0.39</v>
      </c>
      <c r="AM2184" s="1078" t="s">
        <v>756</v>
      </c>
      <c r="AN2184" s="1078" t="s">
        <v>13340</v>
      </c>
      <c r="AO2184" s="1078">
        <f t="shared" si="270"/>
        <v>500</v>
      </c>
      <c r="AP2184" s="1078">
        <f t="shared" si="271"/>
        <v>1.78</v>
      </c>
      <c r="AQ2184" s="1078" t="str">
        <f t="shared" si="272"/>
        <v>1-5-1S91</v>
      </c>
      <c r="AR2184" s="1078" t="str">
        <f t="shared" si="273"/>
        <v>31.5</v>
      </c>
      <c r="AS2184" s="1078" t="str">
        <f t="shared" si="274"/>
        <v>325/325/OFF</v>
      </c>
      <c r="AT2184" s="1078" t="str">
        <f t="shared" si="275"/>
        <v>1-5-1S91</v>
      </c>
      <c r="AV2184" s="1078" t="str">
        <f t="shared" si="276"/>
        <v>114.2.18</v>
      </c>
      <c r="AW2184" s="1344">
        <f t="shared" si="277"/>
        <v>45706</v>
      </c>
    </row>
    <row r="2185" spans="1:49">
      <c r="A2185" s="1077" t="s">
        <v>6829</v>
      </c>
      <c r="B2185" s="1077" t="s">
        <v>210</v>
      </c>
      <c r="C2185" s="1077">
        <v>650</v>
      </c>
      <c r="D2185" s="1077">
        <v>1.72</v>
      </c>
      <c r="E2185" s="1077" t="s">
        <v>15094</v>
      </c>
      <c r="F2185" s="1077" t="s">
        <v>984</v>
      </c>
      <c r="G2185" s="1077">
        <v>5</v>
      </c>
      <c r="H2185" s="1077" t="s">
        <v>6737</v>
      </c>
      <c r="I2185" s="1077" t="s">
        <v>460</v>
      </c>
      <c r="J2185" s="1077">
        <v>3.1</v>
      </c>
      <c r="K2185" s="1077" t="s">
        <v>6830</v>
      </c>
      <c r="L2185" s="1077" t="s">
        <v>6482</v>
      </c>
      <c r="M2185" s="1077">
        <v>149.5</v>
      </c>
      <c r="N2185" s="1077" t="s">
        <v>945</v>
      </c>
      <c r="O2185" s="1077">
        <v>3.7375000000000003</v>
      </c>
      <c r="P2185" s="1077">
        <v>2.99</v>
      </c>
      <c r="Q2185" s="1077">
        <v>3.5</v>
      </c>
      <c r="R2185" s="1077">
        <v>21.5</v>
      </c>
      <c r="T2185" s="1077">
        <v>19.5</v>
      </c>
      <c r="U2185" s="1077">
        <v>2.9</v>
      </c>
      <c r="V2185" s="1077" t="s">
        <v>648</v>
      </c>
      <c r="W2185" s="1077">
        <v>100</v>
      </c>
      <c r="X2185" s="1077">
        <v>90</v>
      </c>
      <c r="Y2185" s="1077">
        <v>1.8</v>
      </c>
      <c r="Z2185" s="1077">
        <v>5.5</v>
      </c>
      <c r="AA2185" s="1077" t="s">
        <v>2268</v>
      </c>
      <c r="AH2185" s="1077" t="s">
        <v>1143</v>
      </c>
      <c r="AI2185" s="1077">
        <v>91.45</v>
      </c>
      <c r="AJ2185" s="1077">
        <v>-0.51</v>
      </c>
      <c r="AK2185" s="1077">
        <v>1.43</v>
      </c>
      <c r="AM2185" s="1078" t="s">
        <v>888</v>
      </c>
      <c r="AN2185" s="1078" t="s">
        <v>13341</v>
      </c>
      <c r="AO2185" s="1078">
        <f t="shared" si="270"/>
        <v>650</v>
      </c>
      <c r="AP2185" s="1078">
        <f t="shared" si="271"/>
        <v>1.72</v>
      </c>
      <c r="AQ2185" s="1078" t="str">
        <f t="shared" si="272"/>
        <v>1-5-1S91°</v>
      </c>
      <c r="AR2185" s="1078" t="str">
        <f t="shared" si="273"/>
        <v>30</v>
      </c>
      <c r="AS2185" s="1078" t="str">
        <f t="shared" si="274"/>
        <v>385/355/175</v>
      </c>
      <c r="AT2185" s="1078" t="str">
        <f t="shared" si="275"/>
        <v>1-5-1S91°</v>
      </c>
      <c r="AV2185" s="1078" t="str">
        <f t="shared" si="276"/>
        <v>114.2.19</v>
      </c>
      <c r="AW2185" s="1344">
        <f t="shared" si="277"/>
        <v>45707</v>
      </c>
    </row>
    <row r="2186" spans="1:49">
      <c r="A2186" s="1077" t="s">
        <v>6831</v>
      </c>
      <c r="B2186" s="1077" t="s">
        <v>465</v>
      </c>
      <c r="C2186" s="1077">
        <v>650</v>
      </c>
      <c r="D2186" s="1077">
        <v>1.8</v>
      </c>
      <c r="E2186" s="1077" t="s">
        <v>15109</v>
      </c>
      <c r="F2186" s="1077" t="s">
        <v>648</v>
      </c>
      <c r="G2186" s="1077">
        <v>5</v>
      </c>
      <c r="H2186" s="1077" t="s">
        <v>3356</v>
      </c>
      <c r="I2186" s="1077" t="s">
        <v>460</v>
      </c>
      <c r="J2186" s="1077">
        <v>1.7</v>
      </c>
      <c r="K2186" s="1077" t="s">
        <v>6832</v>
      </c>
      <c r="L2186" s="1077" t="s">
        <v>6335</v>
      </c>
      <c r="M2186" s="1077">
        <v>149.5</v>
      </c>
      <c r="N2186" s="1077" t="s">
        <v>945</v>
      </c>
      <c r="O2186" s="1077">
        <v>3.7375000000000003</v>
      </c>
      <c r="P2186" s="1077">
        <v>2.99</v>
      </c>
      <c r="Q2186" s="1077">
        <v>4</v>
      </c>
      <c r="R2186" s="1077">
        <v>21</v>
      </c>
      <c r="T2186" s="1077">
        <v>37</v>
      </c>
      <c r="U2186" s="1077">
        <v>3.7</v>
      </c>
      <c r="V2186" s="1077" t="s">
        <v>648</v>
      </c>
      <c r="W2186" s="1077">
        <v>110</v>
      </c>
      <c r="X2186" s="1077">
        <v>40</v>
      </c>
      <c r="Y2186" s="1077">
        <v>2.2000000000000002</v>
      </c>
      <c r="Z2186" s="1077" t="s">
        <v>648</v>
      </c>
      <c r="AA2186" s="1077" t="s">
        <v>6833</v>
      </c>
      <c r="AH2186" s="1077" t="s">
        <v>614</v>
      </c>
      <c r="AI2186" s="1077">
        <v>91.22</v>
      </c>
      <c r="AJ2186" s="1077">
        <v>-0.13</v>
      </c>
      <c r="AK2186" s="1077">
        <v>1.57</v>
      </c>
      <c r="AM2186" s="1078" t="s">
        <v>763</v>
      </c>
      <c r="AN2186" s="1078" t="s">
        <v>13342</v>
      </c>
      <c r="AO2186" s="1078">
        <f t="shared" si="270"/>
        <v>650</v>
      </c>
      <c r="AP2186" s="1078">
        <f t="shared" si="271"/>
        <v>1.8</v>
      </c>
      <c r="AQ2186" s="1078" t="str">
        <f t="shared" si="272"/>
        <v>1-5-1S85°Z+S</v>
      </c>
      <c r="AR2186" s="1078" t="str">
        <f t="shared" si="273"/>
        <v>NA</v>
      </c>
      <c r="AS2186" s="1078" t="str">
        <f t="shared" si="274"/>
        <v>182/OFF</v>
      </c>
      <c r="AT2186" s="1078" t="str">
        <f t="shared" si="275"/>
        <v>1-5-1S85°Z+S</v>
      </c>
      <c r="AU2186" s="1078" t="s">
        <v>15547</v>
      </c>
      <c r="AV2186" s="1078" t="str">
        <f t="shared" si="276"/>
        <v>114.2.20</v>
      </c>
      <c r="AW2186" s="1344">
        <f t="shared" si="277"/>
        <v>45708</v>
      </c>
    </row>
    <row r="2187" spans="1:49">
      <c r="A2187" s="1077" t="s">
        <v>6834</v>
      </c>
      <c r="B2187" s="1077" t="s">
        <v>617</v>
      </c>
      <c r="C2187" s="1077">
        <v>600</v>
      </c>
      <c r="D2187" s="1077">
        <v>1.75</v>
      </c>
      <c r="E2187" s="1077" t="s">
        <v>15094</v>
      </c>
      <c r="F2187" s="1077" t="s">
        <v>984</v>
      </c>
      <c r="G2187" s="1077">
        <v>5</v>
      </c>
      <c r="H2187" s="1077" t="s">
        <v>955</v>
      </c>
      <c r="I2187" s="1077" t="s">
        <v>126</v>
      </c>
      <c r="J2187" s="1077">
        <v>2.7</v>
      </c>
      <c r="K2187" s="1077" t="s">
        <v>6835</v>
      </c>
      <c r="L2187" s="1077" t="s">
        <v>4854</v>
      </c>
      <c r="M2187" s="1077">
        <v>150.30000000000001</v>
      </c>
      <c r="N2187" s="1077" t="s">
        <v>945</v>
      </c>
      <c r="O2187" s="1077">
        <v>3.7575000000000003</v>
      </c>
      <c r="P2187" s="1077">
        <v>3.0060000000000002</v>
      </c>
      <c r="Q2187" s="1077">
        <v>3</v>
      </c>
      <c r="R2187" s="1077">
        <v>31</v>
      </c>
      <c r="T2187" s="1077">
        <v>13</v>
      </c>
      <c r="U2187" s="1077">
        <v>7</v>
      </c>
      <c r="V2187" s="1077" t="s">
        <v>648</v>
      </c>
      <c r="W2187" s="1077">
        <v>115</v>
      </c>
      <c r="X2187" s="1077">
        <v>50</v>
      </c>
      <c r="Y2187" s="1077">
        <v>1.7</v>
      </c>
      <c r="Z2187" s="1077">
        <v>6.5</v>
      </c>
      <c r="AA2187" s="1077" t="s">
        <v>4599</v>
      </c>
      <c r="AH2187" s="1077" t="s">
        <v>863</v>
      </c>
      <c r="AI2187" s="1077">
        <v>93.32</v>
      </c>
      <c r="AJ2187" s="1077">
        <v>-0.84</v>
      </c>
      <c r="AK2187" s="1077">
        <v>4.46</v>
      </c>
      <c r="AM2187" s="1078" t="s">
        <v>805</v>
      </c>
      <c r="AN2187" s="1078" t="s">
        <v>13343</v>
      </c>
      <c r="AO2187" s="1078">
        <f t="shared" ref="AO2187:AO2250" si="278">C2187</f>
        <v>600</v>
      </c>
      <c r="AP2187" s="1078">
        <f t="shared" ref="AP2187:AP2250" si="279">D2187</f>
        <v>1.75</v>
      </c>
      <c r="AQ2187" s="1078" t="str">
        <f t="shared" ref="AQ2187:AQ2250" si="280">E2187</f>
        <v>1-5-1S91°</v>
      </c>
      <c r="AR2187" s="1078" t="str">
        <f t="shared" ref="AR2187:AR2250" si="281">F2187</f>
        <v>30</v>
      </c>
      <c r="AS2187" s="1078" t="str">
        <f t="shared" ref="AS2187:AS2250" si="282">H2187</f>
        <v>260/260/OFF</v>
      </c>
      <c r="AT2187" s="1078" t="str">
        <f t="shared" ref="AT2187:AT2250" si="283">E2187</f>
        <v>1-5-1S91°</v>
      </c>
      <c r="AV2187" s="1078" t="str">
        <f t="shared" si="276"/>
        <v>114.3.7</v>
      </c>
      <c r="AW2187" s="1344">
        <f t="shared" si="277"/>
        <v>45723</v>
      </c>
    </row>
    <row r="2188" spans="1:49">
      <c r="A2188" s="1077" t="s">
        <v>6836</v>
      </c>
      <c r="B2188" s="1077" t="s">
        <v>416</v>
      </c>
      <c r="C2188" s="1077">
        <v>650</v>
      </c>
      <c r="D2188" s="1077">
        <v>1.76</v>
      </c>
      <c r="E2188" s="1077" t="s">
        <v>15094</v>
      </c>
      <c r="F2188" s="1077" t="s">
        <v>984</v>
      </c>
      <c r="G2188" s="1077">
        <v>5</v>
      </c>
      <c r="H2188" s="1077" t="s">
        <v>5483</v>
      </c>
      <c r="I2188" s="1077" t="s">
        <v>126</v>
      </c>
      <c r="J2188" s="1077">
        <v>0.7</v>
      </c>
      <c r="K2188" s="1077" t="s">
        <v>6837</v>
      </c>
      <c r="L2188" s="1077" t="s">
        <v>6291</v>
      </c>
      <c r="M2188" s="1077">
        <v>151.5</v>
      </c>
      <c r="N2188" s="1077" t="s">
        <v>945</v>
      </c>
      <c r="O2188" s="1077">
        <v>3.7875000000000001</v>
      </c>
      <c r="P2188" s="1077">
        <v>3.0300000000000002</v>
      </c>
      <c r="Q2188" s="1077">
        <v>3.5</v>
      </c>
      <c r="R2188" s="1077">
        <v>19.100000000000001</v>
      </c>
      <c r="T2188" s="1077">
        <v>23.7</v>
      </c>
      <c r="U2188" s="1077">
        <v>3.2</v>
      </c>
      <c r="V2188" s="1077" t="s">
        <v>648</v>
      </c>
      <c r="W2188" s="1077">
        <v>35</v>
      </c>
      <c r="X2188" s="1077">
        <v>10</v>
      </c>
      <c r="Y2188" s="1077">
        <v>1</v>
      </c>
      <c r="Z2188" s="1077">
        <v>6</v>
      </c>
      <c r="AA2188" s="1077" t="s">
        <v>2277</v>
      </c>
      <c r="AH2188" s="1077" t="s">
        <v>466</v>
      </c>
      <c r="AI2188" s="1077">
        <v>91.76</v>
      </c>
      <c r="AJ2188" s="1077">
        <v>-0.46</v>
      </c>
      <c r="AK2188" s="1077">
        <v>1.37</v>
      </c>
      <c r="AM2188" s="1078" t="s">
        <v>773</v>
      </c>
      <c r="AN2188" s="1078" t="s">
        <v>13344</v>
      </c>
      <c r="AO2188" s="1078">
        <f t="shared" si="278"/>
        <v>650</v>
      </c>
      <c r="AP2188" s="1078">
        <f t="shared" si="279"/>
        <v>1.76</v>
      </c>
      <c r="AQ2188" s="1078" t="str">
        <f t="shared" si="280"/>
        <v>1-5-1S91°</v>
      </c>
      <c r="AR2188" s="1078" t="str">
        <f t="shared" si="281"/>
        <v>30</v>
      </c>
      <c r="AS2188" s="1078" t="str">
        <f t="shared" si="282"/>
        <v>350/310/150</v>
      </c>
      <c r="AT2188" s="1078" t="str">
        <f t="shared" si="283"/>
        <v>1-5-1S91°</v>
      </c>
      <c r="AV2188" s="1078" t="str">
        <f t="shared" si="276"/>
        <v>114.2.27</v>
      </c>
      <c r="AW2188" s="1344">
        <f t="shared" si="277"/>
        <v>45715</v>
      </c>
    </row>
    <row r="2189" spans="1:49">
      <c r="A2189" s="1077" t="s">
        <v>6838</v>
      </c>
      <c r="B2189" s="1077" t="s">
        <v>210</v>
      </c>
      <c r="C2189" s="1077" t="s">
        <v>6839</v>
      </c>
      <c r="D2189" s="1077">
        <v>1.75</v>
      </c>
      <c r="E2189" s="1077" t="s">
        <v>15094</v>
      </c>
      <c r="F2189" s="1077" t="s">
        <v>984</v>
      </c>
      <c r="G2189" s="1077">
        <v>5</v>
      </c>
      <c r="H2189" s="1077" t="s">
        <v>6840</v>
      </c>
      <c r="I2189" s="1077" t="s">
        <v>126</v>
      </c>
      <c r="J2189" s="1077">
        <v>2.7</v>
      </c>
      <c r="K2189" s="1077" t="s">
        <v>6841</v>
      </c>
      <c r="L2189" s="1077" t="s">
        <v>6291</v>
      </c>
      <c r="M2189" s="1077">
        <v>150.80000000000001</v>
      </c>
      <c r="N2189" s="1077" t="s">
        <v>945</v>
      </c>
      <c r="O2189" s="1077">
        <v>3.7700000000000005</v>
      </c>
      <c r="P2189" s="1077">
        <v>3.0160000000000005</v>
      </c>
      <c r="Q2189" s="1077">
        <v>4</v>
      </c>
      <c r="R2189" s="1077">
        <v>19</v>
      </c>
      <c r="T2189" s="1077">
        <v>28.3</v>
      </c>
      <c r="U2189" s="1077">
        <v>4.3</v>
      </c>
      <c r="V2189" s="1077" t="s">
        <v>648</v>
      </c>
      <c r="W2189" s="1077">
        <v>100</v>
      </c>
      <c r="X2189" s="1077">
        <v>50</v>
      </c>
      <c r="Y2189" s="1077">
        <v>1.5</v>
      </c>
      <c r="Z2189" s="1077">
        <v>6.5</v>
      </c>
      <c r="AA2189" s="1077" t="s">
        <v>2274</v>
      </c>
      <c r="AH2189" s="1077" t="s">
        <v>783</v>
      </c>
      <c r="AI2189" s="1077">
        <v>91.26</v>
      </c>
      <c r="AJ2189" s="1077">
        <v>-0.56999999999999995</v>
      </c>
      <c r="AK2189" s="1077">
        <v>1.54</v>
      </c>
      <c r="AM2189" s="1078" t="s">
        <v>778</v>
      </c>
      <c r="AN2189" s="1078" t="s">
        <v>13345</v>
      </c>
      <c r="AO2189" s="1078" t="str">
        <f t="shared" si="278"/>
        <v>650↓600-3/14</v>
      </c>
      <c r="AP2189" s="1078">
        <f t="shared" si="279"/>
        <v>1.75</v>
      </c>
      <c r="AQ2189" s="1078" t="str">
        <f t="shared" si="280"/>
        <v>1-5-1S91°</v>
      </c>
      <c r="AR2189" s="1078" t="str">
        <f t="shared" si="281"/>
        <v>30</v>
      </c>
      <c r="AS2189" s="1078" t="str">
        <f t="shared" si="282"/>
        <v>353/313/OFF</v>
      </c>
      <c r="AT2189" s="1078" t="str">
        <f t="shared" si="283"/>
        <v>1-5-1S91°</v>
      </c>
      <c r="AV2189" s="1078" t="str">
        <f t="shared" si="276"/>
        <v>114.3.3</v>
      </c>
      <c r="AW2189" s="1344">
        <f t="shared" si="277"/>
        <v>45719</v>
      </c>
    </row>
    <row r="2190" spans="1:49">
      <c r="A2190" s="1077" t="s">
        <v>6842</v>
      </c>
      <c r="B2190" s="1077" t="s">
        <v>416</v>
      </c>
      <c r="C2190" s="1077">
        <v>650</v>
      </c>
      <c r="D2190" s="1077">
        <v>1.7549999999999999</v>
      </c>
      <c r="E2190" s="1077" t="s">
        <v>15094</v>
      </c>
      <c r="F2190" s="1077" t="s">
        <v>984</v>
      </c>
      <c r="G2190" s="1077">
        <v>5</v>
      </c>
      <c r="H2190" s="1077" t="s">
        <v>5483</v>
      </c>
      <c r="I2190" s="1077" t="s">
        <v>126</v>
      </c>
      <c r="J2190" s="1077">
        <v>0.7</v>
      </c>
      <c r="K2190" s="1077" t="s">
        <v>6843</v>
      </c>
      <c r="L2190" s="1077" t="s">
        <v>6291</v>
      </c>
      <c r="M2190" s="1077">
        <v>151.5</v>
      </c>
      <c r="N2190" s="1077" t="s">
        <v>945</v>
      </c>
      <c r="O2190" s="1077">
        <v>3.7875000000000001</v>
      </c>
      <c r="P2190" s="1077">
        <v>3.0300000000000002</v>
      </c>
      <c r="Q2190" s="1077">
        <v>4</v>
      </c>
      <c r="R2190" s="1077">
        <v>19.100000000000001</v>
      </c>
      <c r="T2190" s="1077">
        <v>23.7</v>
      </c>
      <c r="U2190" s="1077">
        <v>3.2</v>
      </c>
      <c r="V2190" s="1077" t="s">
        <v>648</v>
      </c>
      <c r="W2190" s="1077">
        <v>35</v>
      </c>
      <c r="X2190" s="1077">
        <v>10</v>
      </c>
      <c r="Y2190" s="1077">
        <v>1</v>
      </c>
      <c r="Z2190" s="1077">
        <v>6</v>
      </c>
      <c r="AA2190" s="1077" t="s">
        <v>2277</v>
      </c>
      <c r="AH2190" s="1077" t="s">
        <v>456</v>
      </c>
      <c r="AI2190" s="1077">
        <v>92.21</v>
      </c>
      <c r="AJ2190" s="1077">
        <v>-0.2</v>
      </c>
      <c r="AK2190" s="1077">
        <v>0.96</v>
      </c>
      <c r="AM2190" s="1078" t="s">
        <v>769</v>
      </c>
      <c r="AN2190" s="1078" t="s">
        <v>13346</v>
      </c>
      <c r="AO2190" s="1078">
        <f t="shared" si="278"/>
        <v>650</v>
      </c>
      <c r="AP2190" s="1078">
        <f t="shared" si="279"/>
        <v>1.7549999999999999</v>
      </c>
      <c r="AQ2190" s="1078" t="str">
        <f t="shared" si="280"/>
        <v>1-5-1S91°</v>
      </c>
      <c r="AR2190" s="1078" t="str">
        <f t="shared" si="281"/>
        <v>30</v>
      </c>
      <c r="AS2190" s="1078" t="str">
        <f t="shared" si="282"/>
        <v>350/310/150</v>
      </c>
      <c r="AT2190" s="1078" t="str">
        <f t="shared" si="283"/>
        <v>1-5-1S91°</v>
      </c>
      <c r="AV2190" s="1078" t="str">
        <f t="shared" si="276"/>
        <v>114.2.27</v>
      </c>
      <c r="AW2190" s="1344">
        <f t="shared" si="277"/>
        <v>45715</v>
      </c>
    </row>
    <row r="2191" spans="1:49">
      <c r="A2191" s="1077" t="s">
        <v>6844</v>
      </c>
      <c r="B2191" s="1077" t="s">
        <v>799</v>
      </c>
      <c r="C2191" s="1077">
        <v>650</v>
      </c>
      <c r="D2191" s="1077">
        <v>1.7749999999999999</v>
      </c>
      <c r="E2191" s="1077" t="s">
        <v>15094</v>
      </c>
      <c r="F2191" s="1077" t="s">
        <v>984</v>
      </c>
      <c r="G2191" s="1077">
        <v>5</v>
      </c>
      <c r="H2191" s="1077" t="s">
        <v>5483</v>
      </c>
      <c r="I2191" s="1077" t="s">
        <v>126</v>
      </c>
      <c r="J2191" s="1077">
        <v>0.7</v>
      </c>
      <c r="K2191" s="1077" t="s">
        <v>6843</v>
      </c>
      <c r="L2191" s="1077" t="s">
        <v>6291</v>
      </c>
      <c r="M2191" s="1077">
        <v>151.5</v>
      </c>
      <c r="N2191" s="1077" t="s">
        <v>945</v>
      </c>
      <c r="O2191" s="1077">
        <v>3.7875000000000001</v>
      </c>
      <c r="P2191" s="1077">
        <v>3.0300000000000002</v>
      </c>
      <c r="Q2191" s="1077">
        <v>4</v>
      </c>
      <c r="R2191" s="1077">
        <v>19.100000000000001</v>
      </c>
      <c r="T2191" s="1077">
        <v>23.7</v>
      </c>
      <c r="U2191" s="1077">
        <v>3.2</v>
      </c>
      <c r="V2191" s="1077" t="s">
        <v>648</v>
      </c>
      <c r="W2191" s="1077">
        <v>35</v>
      </c>
      <c r="X2191" s="1077">
        <v>10</v>
      </c>
      <c r="Y2191" s="1077">
        <v>1</v>
      </c>
      <c r="Z2191" s="1077">
        <v>6</v>
      </c>
      <c r="AA2191" s="1077" t="s">
        <v>2280</v>
      </c>
      <c r="AH2191" s="1077" t="s">
        <v>803</v>
      </c>
      <c r="AI2191" s="1077">
        <v>92.16</v>
      </c>
      <c r="AJ2191" s="1077">
        <v>-0.35</v>
      </c>
      <c r="AK2191" s="1077">
        <v>0.99</v>
      </c>
      <c r="AM2191" s="1078" t="s">
        <v>798</v>
      </c>
      <c r="AN2191" s="1078" t="s">
        <v>13347</v>
      </c>
      <c r="AO2191" s="1078">
        <f t="shared" si="278"/>
        <v>650</v>
      </c>
      <c r="AP2191" s="1078">
        <f t="shared" si="279"/>
        <v>1.7749999999999999</v>
      </c>
      <c r="AQ2191" s="1078" t="str">
        <f t="shared" si="280"/>
        <v>1-5-1S91°</v>
      </c>
      <c r="AR2191" s="1078" t="str">
        <f t="shared" si="281"/>
        <v>30</v>
      </c>
      <c r="AS2191" s="1078" t="str">
        <f t="shared" si="282"/>
        <v>350/310/150</v>
      </c>
      <c r="AT2191" s="1078" t="str">
        <f t="shared" si="283"/>
        <v>1-5-1S91°</v>
      </c>
      <c r="AV2191" s="1078" t="str">
        <f t="shared" si="276"/>
        <v>114.3.6</v>
      </c>
      <c r="AW2191" s="1344">
        <f t="shared" si="277"/>
        <v>45722</v>
      </c>
    </row>
    <row r="2192" spans="1:49">
      <c r="A2192" s="1077" t="s">
        <v>6845</v>
      </c>
      <c r="B2192" s="1077" t="s">
        <v>416</v>
      </c>
      <c r="C2192" s="1077">
        <v>650</v>
      </c>
      <c r="D2192" s="1077">
        <v>1.77</v>
      </c>
      <c r="E2192" s="1077" t="s">
        <v>15094</v>
      </c>
      <c r="F2192" s="1077" t="s">
        <v>984</v>
      </c>
      <c r="G2192" s="1077">
        <v>5</v>
      </c>
      <c r="H2192" s="1077" t="s">
        <v>5483</v>
      </c>
      <c r="I2192" s="1077" t="s">
        <v>126</v>
      </c>
      <c r="J2192" s="1077">
        <v>0.7</v>
      </c>
      <c r="K2192" s="1077" t="s">
        <v>6843</v>
      </c>
      <c r="L2192" s="1077" t="s">
        <v>6291</v>
      </c>
      <c r="M2192" s="1077">
        <v>151.5</v>
      </c>
      <c r="N2192" s="1077" t="s">
        <v>945</v>
      </c>
      <c r="O2192" s="1077">
        <v>3.7875000000000001</v>
      </c>
      <c r="P2192" s="1077">
        <v>3.0300000000000002</v>
      </c>
      <c r="Q2192" s="1077">
        <v>4</v>
      </c>
      <c r="R2192" s="1077">
        <v>19.100000000000001</v>
      </c>
      <c r="T2192" s="1077">
        <v>23.7</v>
      </c>
      <c r="U2192" s="1077">
        <v>3.2</v>
      </c>
      <c r="V2192" s="1077" t="s">
        <v>648</v>
      </c>
      <c r="W2192" s="1077">
        <v>35</v>
      </c>
      <c r="X2192" s="1077">
        <v>10</v>
      </c>
      <c r="Y2192" s="1077">
        <v>1</v>
      </c>
      <c r="Z2192" s="1077">
        <v>6</v>
      </c>
      <c r="AA2192" s="1077" t="s">
        <v>2274</v>
      </c>
      <c r="AH2192" s="1077" t="s">
        <v>785</v>
      </c>
      <c r="AI2192" s="1077">
        <v>91.42</v>
      </c>
      <c r="AJ2192" s="1077">
        <v>-0.28000000000000003</v>
      </c>
      <c r="AK2192" s="1077">
        <v>0.81</v>
      </c>
      <c r="AM2192" s="1078" t="s">
        <v>784</v>
      </c>
      <c r="AN2192" s="1078" t="s">
        <v>13348</v>
      </c>
      <c r="AO2192" s="1078">
        <f t="shared" si="278"/>
        <v>650</v>
      </c>
      <c r="AP2192" s="1078">
        <f t="shared" si="279"/>
        <v>1.77</v>
      </c>
      <c r="AQ2192" s="1078" t="str">
        <f t="shared" si="280"/>
        <v>1-5-1S91°</v>
      </c>
      <c r="AR2192" s="1078" t="str">
        <f t="shared" si="281"/>
        <v>30</v>
      </c>
      <c r="AS2192" s="1078" t="str">
        <f t="shared" si="282"/>
        <v>350/310/150</v>
      </c>
      <c r="AT2192" s="1078" t="str">
        <f t="shared" si="283"/>
        <v>1-5-1S91°</v>
      </c>
      <c r="AV2192" s="1078" t="str">
        <f t="shared" si="276"/>
        <v>114.3.3</v>
      </c>
      <c r="AW2192" s="1344">
        <f t="shared" si="277"/>
        <v>45719</v>
      </c>
    </row>
    <row r="2193" spans="1:49">
      <c r="A2193" s="1077" t="s">
        <v>6846</v>
      </c>
      <c r="B2193" s="1077" t="s">
        <v>210</v>
      </c>
      <c r="C2193" s="1077">
        <v>650</v>
      </c>
      <c r="D2193" s="1077">
        <v>1.78</v>
      </c>
      <c r="E2193" s="1077" t="s">
        <v>15094</v>
      </c>
      <c r="F2193" s="1077" t="s">
        <v>984</v>
      </c>
      <c r="G2193" s="1077">
        <v>5</v>
      </c>
      <c r="H2193" s="1077" t="s">
        <v>6560</v>
      </c>
      <c r="I2193" s="1077" t="s">
        <v>648</v>
      </c>
      <c r="J2193" s="1077">
        <v>0</v>
      </c>
      <c r="K2193" s="1077" t="s">
        <v>6837</v>
      </c>
      <c r="L2193" s="1077" t="s">
        <v>6291</v>
      </c>
      <c r="M2193" s="1077">
        <v>151.5</v>
      </c>
      <c r="N2193" s="1077" t="s">
        <v>945</v>
      </c>
      <c r="O2193" s="1077">
        <v>3.7875000000000001</v>
      </c>
      <c r="P2193" s="1077">
        <v>3.0300000000000002</v>
      </c>
      <c r="Q2193" s="1077">
        <v>4</v>
      </c>
      <c r="R2193" s="1077">
        <v>19.100000000000001</v>
      </c>
      <c r="T2193" s="1077">
        <v>19</v>
      </c>
      <c r="U2193" s="1077">
        <v>2.5</v>
      </c>
      <c r="V2193" s="1077" t="s">
        <v>648</v>
      </c>
      <c r="W2193" s="1077" t="s">
        <v>648</v>
      </c>
      <c r="X2193" s="1077" t="s">
        <v>648</v>
      </c>
      <c r="Y2193" s="1077">
        <v>1</v>
      </c>
      <c r="Z2193" s="1077">
        <v>5</v>
      </c>
      <c r="AA2193" s="1077" t="s">
        <v>6847</v>
      </c>
      <c r="AH2193" s="1077" t="s">
        <v>966</v>
      </c>
      <c r="AI2193" s="1077">
        <v>91.19</v>
      </c>
      <c r="AJ2193" s="1077">
        <v>-0.56000000000000005</v>
      </c>
      <c r="AK2193" s="1077">
        <v>1.75</v>
      </c>
      <c r="AM2193" s="1078" t="s">
        <v>786</v>
      </c>
      <c r="AN2193" s="1078" t="s">
        <v>13349</v>
      </c>
      <c r="AO2193" s="1078">
        <f t="shared" si="278"/>
        <v>650</v>
      </c>
      <c r="AP2193" s="1078">
        <f t="shared" si="279"/>
        <v>1.78</v>
      </c>
      <c r="AQ2193" s="1078" t="str">
        <f t="shared" si="280"/>
        <v>1-5-1S91°</v>
      </c>
      <c r="AR2193" s="1078" t="str">
        <f t="shared" si="281"/>
        <v>30</v>
      </c>
      <c r="AS2193" s="1078" t="str">
        <f t="shared" si="282"/>
        <v>350/310/155</v>
      </c>
      <c r="AT2193" s="1078" t="str">
        <f t="shared" si="283"/>
        <v>1-5-1S91°</v>
      </c>
      <c r="AV2193" s="1078" t="str">
        <f t="shared" si="276"/>
        <v>114.3.4</v>
      </c>
      <c r="AW2193" s="1344">
        <f t="shared" si="277"/>
        <v>45720</v>
      </c>
    </row>
    <row r="2194" spans="1:49">
      <c r="A2194" s="1077" t="s">
        <v>6848</v>
      </c>
      <c r="B2194" s="1077" t="s">
        <v>788</v>
      </c>
      <c r="C2194" s="1077">
        <v>750</v>
      </c>
      <c r="D2194" s="1077">
        <v>1.75</v>
      </c>
      <c r="E2194" s="1077" t="s">
        <v>15109</v>
      </c>
      <c r="F2194" s="1077" t="s">
        <v>648</v>
      </c>
      <c r="G2194" s="1077">
        <v>4</v>
      </c>
      <c r="H2194" s="1077" t="s">
        <v>4874</v>
      </c>
      <c r="I2194" s="1077" t="s">
        <v>460</v>
      </c>
      <c r="J2194" s="1077">
        <v>0.8</v>
      </c>
      <c r="K2194" s="1077" t="s">
        <v>6849</v>
      </c>
      <c r="L2194" s="1077" t="s">
        <v>1968</v>
      </c>
      <c r="M2194" s="1077">
        <v>151.5</v>
      </c>
      <c r="N2194" s="1077" t="s">
        <v>945</v>
      </c>
      <c r="O2194" s="1077">
        <v>3.7875000000000001</v>
      </c>
      <c r="P2194" s="1077">
        <v>3.0300000000000002</v>
      </c>
      <c r="Q2194" s="1077">
        <v>4</v>
      </c>
      <c r="R2194" s="1077">
        <v>26.3</v>
      </c>
      <c r="T2194" s="1077">
        <v>40.700000000000003</v>
      </c>
      <c r="U2194" s="1077">
        <v>3.4</v>
      </c>
      <c r="V2194" s="1077" t="s">
        <v>648</v>
      </c>
      <c r="W2194" s="1077">
        <v>30</v>
      </c>
      <c r="X2194" s="1077">
        <v>10</v>
      </c>
      <c r="Y2194" s="1077">
        <v>1.7</v>
      </c>
      <c r="Z2194" s="1077" t="s">
        <v>648</v>
      </c>
      <c r="AA2194" s="1077" t="s">
        <v>6847</v>
      </c>
      <c r="AH2194" s="1077" t="s">
        <v>1053</v>
      </c>
      <c r="AI2194" s="1077">
        <v>92.51</v>
      </c>
      <c r="AJ2194" s="1077">
        <v>-0.06</v>
      </c>
      <c r="AK2194" s="1077">
        <v>1.1200000000000001</v>
      </c>
      <c r="AM2194" s="1078" t="s">
        <v>787</v>
      </c>
      <c r="AN2194" s="1078" t="s">
        <v>13350</v>
      </c>
      <c r="AO2194" s="1078">
        <f t="shared" si="278"/>
        <v>750</v>
      </c>
      <c r="AP2194" s="1078">
        <f t="shared" si="279"/>
        <v>1.75</v>
      </c>
      <c r="AQ2194" s="1078" t="str">
        <f t="shared" si="280"/>
        <v>1-5-1S85°Z+S</v>
      </c>
      <c r="AR2194" s="1078" t="str">
        <f t="shared" si="281"/>
        <v>NA</v>
      </c>
      <c r="AS2194" s="1078" t="str">
        <f t="shared" si="282"/>
        <v>187/OFF</v>
      </c>
      <c r="AT2194" s="1078" t="str">
        <f t="shared" si="283"/>
        <v>1-5-1S85°Z+S</v>
      </c>
      <c r="AU2194" s="1078" t="s">
        <v>15547</v>
      </c>
      <c r="AV2194" s="1078" t="str">
        <f t="shared" si="276"/>
        <v>114.3.4</v>
      </c>
      <c r="AW2194" s="1344">
        <f t="shared" si="277"/>
        <v>45720</v>
      </c>
    </row>
    <row r="2195" spans="1:49">
      <c r="A2195" s="1077" t="s">
        <v>6850</v>
      </c>
      <c r="B2195" s="1077" t="s">
        <v>828</v>
      </c>
      <c r="C2195" s="1077">
        <v>650</v>
      </c>
      <c r="D2195" s="1077">
        <v>1.77</v>
      </c>
      <c r="E2195" s="1077" t="s">
        <v>15109</v>
      </c>
      <c r="F2195" s="1077" t="s">
        <v>648</v>
      </c>
      <c r="G2195" s="1077">
        <v>5</v>
      </c>
      <c r="H2195" s="1077" t="s">
        <v>2941</v>
      </c>
      <c r="I2195" s="1077" t="s">
        <v>460</v>
      </c>
      <c r="J2195" s="1077">
        <v>1.7</v>
      </c>
      <c r="K2195" s="1077" t="s">
        <v>6851</v>
      </c>
      <c r="L2195" s="1077" t="s">
        <v>2174</v>
      </c>
      <c r="M2195" s="1077">
        <v>150</v>
      </c>
      <c r="N2195" s="1077" t="s">
        <v>945</v>
      </c>
      <c r="O2195" s="1077">
        <v>3.75</v>
      </c>
      <c r="P2195" s="1077">
        <v>3</v>
      </c>
      <c r="Q2195" s="1077">
        <v>4</v>
      </c>
      <c r="R2195" s="1077">
        <v>20.8</v>
      </c>
      <c r="T2195" s="1077">
        <v>29.1</v>
      </c>
      <c r="U2195" s="1077">
        <v>3.4</v>
      </c>
      <c r="V2195" s="1077" t="s">
        <v>648</v>
      </c>
      <c r="W2195" s="1077">
        <v>110</v>
      </c>
      <c r="X2195" s="1077">
        <v>70</v>
      </c>
      <c r="Y2195" s="1077">
        <v>1.5</v>
      </c>
      <c r="Z2195" s="1077" t="s">
        <v>648</v>
      </c>
      <c r="AA2195" s="1077" t="s">
        <v>6852</v>
      </c>
      <c r="AH2195" s="1077" t="s">
        <v>831</v>
      </c>
      <c r="AI2195" s="1077">
        <v>92.44</v>
      </c>
      <c r="AJ2195" s="1077">
        <v>-0.4</v>
      </c>
      <c r="AK2195" s="1077">
        <v>1.48</v>
      </c>
      <c r="AM2195" s="1078" t="s">
        <v>827</v>
      </c>
      <c r="AN2195" s="1078" t="s">
        <v>13351</v>
      </c>
      <c r="AO2195" s="1078">
        <f t="shared" si="278"/>
        <v>650</v>
      </c>
      <c r="AP2195" s="1078">
        <f t="shared" si="279"/>
        <v>1.77</v>
      </c>
      <c r="AQ2195" s="1078" t="str">
        <f t="shared" si="280"/>
        <v>1-5-1S85°Z+S</v>
      </c>
      <c r="AR2195" s="1078" t="str">
        <f t="shared" si="281"/>
        <v>NA</v>
      </c>
      <c r="AS2195" s="1078" t="str">
        <f t="shared" si="282"/>
        <v>190/OFF</v>
      </c>
      <c r="AT2195" s="1078" t="str">
        <f t="shared" si="283"/>
        <v>1-5-1S85°Z+S</v>
      </c>
      <c r="AU2195" s="1078" t="s">
        <v>15547</v>
      </c>
      <c r="AV2195" s="1078" t="str">
        <f t="shared" si="276"/>
        <v>114.3.10</v>
      </c>
      <c r="AW2195" s="1344">
        <f t="shared" si="277"/>
        <v>45726</v>
      </c>
    </row>
    <row r="2196" spans="1:49">
      <c r="A2196" s="1077" t="s">
        <v>6853</v>
      </c>
      <c r="B2196" s="1077" t="s">
        <v>210</v>
      </c>
      <c r="C2196" s="1077">
        <v>650</v>
      </c>
      <c r="D2196" s="1077">
        <v>1.76</v>
      </c>
      <c r="E2196" s="1077" t="s">
        <v>15094</v>
      </c>
      <c r="F2196" s="1077" t="s">
        <v>4013</v>
      </c>
      <c r="G2196" s="1077">
        <v>5</v>
      </c>
      <c r="H2196" s="1077" t="s">
        <v>6126</v>
      </c>
      <c r="I2196" s="1077" t="s">
        <v>126</v>
      </c>
      <c r="J2196" s="1077">
        <v>1.8</v>
      </c>
      <c r="K2196" s="1077" t="s">
        <v>6843</v>
      </c>
      <c r="L2196" s="1077" t="s">
        <v>6291</v>
      </c>
      <c r="M2196" s="1077">
        <v>152.19999999999999</v>
      </c>
      <c r="N2196" s="1077" t="s">
        <v>945</v>
      </c>
      <c r="O2196" s="1077">
        <v>3.8049999999999997</v>
      </c>
      <c r="P2196" s="1077">
        <v>3.044</v>
      </c>
      <c r="Q2196" s="1077">
        <v>4</v>
      </c>
      <c r="R2196" s="1077">
        <v>19</v>
      </c>
      <c r="T2196" s="1077">
        <v>16</v>
      </c>
      <c r="U2196" s="1077">
        <v>4</v>
      </c>
      <c r="V2196" s="1077" t="s">
        <v>648</v>
      </c>
      <c r="W2196" s="1077">
        <v>95</v>
      </c>
      <c r="X2196" s="1077">
        <v>20</v>
      </c>
      <c r="Y2196" s="1077">
        <v>1.5</v>
      </c>
      <c r="Z2196" s="1077">
        <v>5</v>
      </c>
      <c r="AA2196" s="1077" t="s">
        <v>6854</v>
      </c>
      <c r="AH2196" s="1077" t="s">
        <v>958</v>
      </c>
      <c r="AI2196" s="1077">
        <v>91.84</v>
      </c>
      <c r="AJ2196" s="1077">
        <v>-0.02</v>
      </c>
      <c r="AK2196" s="1077">
        <v>0.93</v>
      </c>
      <c r="AM2196" s="1078" t="s">
        <v>832</v>
      </c>
      <c r="AN2196" s="1078" t="s">
        <v>13352</v>
      </c>
      <c r="AO2196" s="1078">
        <f t="shared" si="278"/>
        <v>650</v>
      </c>
      <c r="AP2196" s="1078">
        <f t="shared" si="279"/>
        <v>1.76</v>
      </c>
      <c r="AQ2196" s="1078" t="str">
        <f t="shared" si="280"/>
        <v>1-5-1S91°</v>
      </c>
      <c r="AR2196" s="1078" t="str">
        <f t="shared" si="281"/>
        <v>30.3</v>
      </c>
      <c r="AS2196" s="1078" t="str">
        <f t="shared" si="282"/>
        <v>310/270/158</v>
      </c>
      <c r="AT2196" s="1078" t="str">
        <f t="shared" si="283"/>
        <v>1-5-1S91°</v>
      </c>
      <c r="AV2196" s="1078" t="str">
        <f t="shared" si="276"/>
        <v>114.3.12</v>
      </c>
      <c r="AW2196" s="1344">
        <f t="shared" si="277"/>
        <v>45728</v>
      </c>
    </row>
    <row r="2197" spans="1:49">
      <c r="A2197" s="1077" t="s">
        <v>6855</v>
      </c>
      <c r="B2197" s="1077" t="s">
        <v>799</v>
      </c>
      <c r="C2197" s="1077">
        <v>650</v>
      </c>
      <c r="D2197" s="1077">
        <v>1.76</v>
      </c>
      <c r="E2197" s="1077" t="s">
        <v>15094</v>
      </c>
      <c r="F2197" s="1077" t="s">
        <v>984</v>
      </c>
      <c r="G2197" s="1077">
        <v>5</v>
      </c>
      <c r="H2197" s="1077" t="s">
        <v>5483</v>
      </c>
      <c r="I2197" s="1077" t="s">
        <v>126</v>
      </c>
      <c r="J2197" s="1077">
        <v>0.7</v>
      </c>
      <c r="K2197" s="1077" t="s">
        <v>6856</v>
      </c>
      <c r="L2197" s="1077" t="s">
        <v>4666</v>
      </c>
      <c r="M2197" s="1077">
        <v>151.5</v>
      </c>
      <c r="N2197" s="1077" t="s">
        <v>945</v>
      </c>
      <c r="O2197" s="1077">
        <v>3.7875000000000001</v>
      </c>
      <c r="P2197" s="1077">
        <v>3.0300000000000002</v>
      </c>
      <c r="Q2197" s="1077">
        <v>3.5</v>
      </c>
      <c r="R2197" s="1077">
        <v>19.100000000000001</v>
      </c>
      <c r="T2197" s="1077">
        <v>23.7</v>
      </c>
      <c r="U2197" s="1077">
        <v>3.2</v>
      </c>
      <c r="V2197" s="1077" t="s">
        <v>648</v>
      </c>
      <c r="W2197" s="1077">
        <v>35</v>
      </c>
      <c r="X2197" s="1077">
        <v>10</v>
      </c>
      <c r="Y2197" s="1077">
        <v>1</v>
      </c>
      <c r="Z2197" s="1077">
        <v>6</v>
      </c>
      <c r="AA2197" s="1077" t="s">
        <v>6857</v>
      </c>
      <c r="AH2197" s="1077" t="s">
        <v>1588</v>
      </c>
      <c r="AI2197" s="1077">
        <v>93.92</v>
      </c>
      <c r="AJ2197" s="1077">
        <v>-0.49</v>
      </c>
      <c r="AK2197" s="1077">
        <v>1.67</v>
      </c>
      <c r="AM2197" s="1078" t="s">
        <v>834</v>
      </c>
      <c r="AN2197" s="1078" t="s">
        <v>13353</v>
      </c>
      <c r="AO2197" s="1078">
        <f t="shared" si="278"/>
        <v>650</v>
      </c>
      <c r="AP2197" s="1078">
        <f t="shared" si="279"/>
        <v>1.76</v>
      </c>
      <c r="AQ2197" s="1078" t="str">
        <f t="shared" si="280"/>
        <v>1-5-1S91°</v>
      </c>
      <c r="AR2197" s="1078" t="str">
        <f t="shared" si="281"/>
        <v>30</v>
      </c>
      <c r="AS2197" s="1078" t="str">
        <f t="shared" si="282"/>
        <v>350/310/150</v>
      </c>
      <c r="AT2197" s="1078" t="str">
        <f t="shared" si="283"/>
        <v>1-5-1S91°</v>
      </c>
      <c r="AV2197" s="1078" t="str">
        <f t="shared" si="276"/>
        <v>114.3.13</v>
      </c>
      <c r="AW2197" s="1344">
        <f t="shared" si="277"/>
        <v>45729</v>
      </c>
    </row>
    <row r="2198" spans="1:49">
      <c r="A2198" s="1077" t="s">
        <v>6858</v>
      </c>
      <c r="B2198" s="1077" t="s">
        <v>844</v>
      </c>
      <c r="C2198" s="1077">
        <v>600</v>
      </c>
      <c r="D2198" s="1077">
        <v>1.81</v>
      </c>
      <c r="E2198" s="1077" t="s">
        <v>15094</v>
      </c>
      <c r="F2198" s="1077" t="s">
        <v>2234</v>
      </c>
      <c r="G2198" s="1077">
        <v>5</v>
      </c>
      <c r="H2198" s="1077" t="s">
        <v>5048</v>
      </c>
      <c r="I2198" s="1077" t="s">
        <v>460</v>
      </c>
      <c r="J2198" s="1077">
        <v>3</v>
      </c>
      <c r="K2198" s="1077" t="s">
        <v>6708</v>
      </c>
      <c r="L2198" s="1077" t="s">
        <v>6238</v>
      </c>
      <c r="M2198" s="1077">
        <v>151.69999999999999</v>
      </c>
      <c r="N2198" s="1077" t="s">
        <v>945</v>
      </c>
      <c r="O2198" s="1077">
        <v>3.7925</v>
      </c>
      <c r="P2198" s="1077">
        <v>3.0339999999999998</v>
      </c>
      <c r="Q2198" s="1077">
        <v>3</v>
      </c>
      <c r="R2198" s="1077">
        <v>19.7</v>
      </c>
      <c r="T2198" s="1077">
        <v>11.5</v>
      </c>
      <c r="U2198" s="1077">
        <v>5.3</v>
      </c>
      <c r="V2198" s="1077" t="s">
        <v>648</v>
      </c>
      <c r="W2198" s="1077">
        <v>105</v>
      </c>
      <c r="X2198" s="1077">
        <v>95</v>
      </c>
      <c r="Y2198" s="1077">
        <v>1.5</v>
      </c>
      <c r="Z2198" s="1077">
        <v>5</v>
      </c>
      <c r="AA2198" s="1077" t="s">
        <v>6859</v>
      </c>
      <c r="AB2198" s="1077" t="s">
        <v>2162</v>
      </c>
      <c r="AH2198" s="1077" t="s">
        <v>3213</v>
      </c>
      <c r="AM2198" s="1078" t="s">
        <v>843</v>
      </c>
      <c r="AN2198" s="1078" t="s">
        <v>13354</v>
      </c>
      <c r="AO2198" s="1078">
        <f t="shared" si="278"/>
        <v>600</v>
      </c>
      <c r="AP2198" s="1078">
        <f t="shared" si="279"/>
        <v>1.81</v>
      </c>
      <c r="AQ2198" s="1078" t="str">
        <f t="shared" si="280"/>
        <v>1-5-1S91°</v>
      </c>
      <c r="AR2198" s="1078" t="str">
        <f t="shared" si="281"/>
        <v>33.5</v>
      </c>
      <c r="AS2198" s="1078" t="str">
        <f t="shared" si="282"/>
        <v>300/300/130</v>
      </c>
      <c r="AT2198" s="1078" t="str">
        <f t="shared" si="283"/>
        <v>1-5-1S91°</v>
      </c>
      <c r="AV2198" s="1078" t="str">
        <f t="shared" si="276"/>
        <v>114.3.19</v>
      </c>
      <c r="AW2198" s="1344">
        <f t="shared" si="277"/>
        <v>45735</v>
      </c>
    </row>
    <row r="2199" spans="1:49">
      <c r="A2199" s="1077" t="s">
        <v>6860</v>
      </c>
      <c r="B2199" s="1077" t="s">
        <v>210</v>
      </c>
      <c r="C2199" s="1077">
        <v>550</v>
      </c>
      <c r="D2199" s="1077">
        <v>1.76</v>
      </c>
      <c r="E2199" s="1077" t="s">
        <v>15094</v>
      </c>
      <c r="F2199" s="1077" t="s">
        <v>2001</v>
      </c>
      <c r="G2199" s="1077">
        <v>5</v>
      </c>
      <c r="H2199" s="1077" t="s">
        <v>6861</v>
      </c>
      <c r="I2199" s="1077" t="s">
        <v>126</v>
      </c>
      <c r="J2199" s="1077">
        <v>2.7</v>
      </c>
      <c r="K2199" s="1077" t="s">
        <v>6841</v>
      </c>
      <c r="L2199" s="1077" t="s">
        <v>6291</v>
      </c>
      <c r="M2199" s="1077">
        <v>150.80000000000001</v>
      </c>
      <c r="N2199" s="1077" t="s">
        <v>945</v>
      </c>
      <c r="O2199" s="1077">
        <v>3.7700000000000005</v>
      </c>
      <c r="P2199" s="1077">
        <v>3.0160000000000005</v>
      </c>
      <c r="Q2199" s="1077">
        <v>4</v>
      </c>
      <c r="R2199" s="1077">
        <v>19</v>
      </c>
      <c r="T2199" s="1077">
        <v>28.3</v>
      </c>
      <c r="U2199" s="1077">
        <v>4.3</v>
      </c>
      <c r="V2199" s="1077" t="s">
        <v>648</v>
      </c>
      <c r="W2199" s="1077">
        <v>100</v>
      </c>
      <c r="X2199" s="1077">
        <v>50</v>
      </c>
      <c r="Y2199" s="1077">
        <v>1.5</v>
      </c>
      <c r="Z2199" s="1077">
        <v>6.5</v>
      </c>
      <c r="AA2199" s="1077" t="s">
        <v>6859</v>
      </c>
      <c r="AH2199" s="1077" t="s">
        <v>842</v>
      </c>
      <c r="AM2199" s="1078" t="s">
        <v>841</v>
      </c>
      <c r="AN2199" s="1078" t="s">
        <v>13355</v>
      </c>
      <c r="AO2199" s="1078">
        <f t="shared" si="278"/>
        <v>550</v>
      </c>
      <c r="AP2199" s="1078">
        <f t="shared" si="279"/>
        <v>1.76</v>
      </c>
      <c r="AQ2199" s="1078" t="str">
        <f t="shared" si="280"/>
        <v>1-5-1S91°</v>
      </c>
      <c r="AR2199" s="1078" t="str">
        <f t="shared" si="281"/>
        <v>29.9</v>
      </c>
      <c r="AS2199" s="1078" t="str">
        <f t="shared" si="282"/>
        <v>340/300/OFF</v>
      </c>
      <c r="AT2199" s="1078" t="str">
        <f t="shared" si="283"/>
        <v>1-5-1S91°</v>
      </c>
      <c r="AV2199" s="1078" t="str">
        <f t="shared" si="276"/>
        <v>114.3.19</v>
      </c>
      <c r="AW2199" s="1344">
        <f t="shared" si="277"/>
        <v>45735</v>
      </c>
    </row>
    <row r="2200" spans="1:49">
      <c r="A2200" s="1077" t="s">
        <v>6862</v>
      </c>
      <c r="B2200" s="1077" t="s">
        <v>847</v>
      </c>
      <c r="C2200" s="1077">
        <v>550</v>
      </c>
      <c r="D2200" s="1077">
        <v>1.78</v>
      </c>
      <c r="E2200" s="1077" t="s">
        <v>15111</v>
      </c>
      <c r="F2200" s="1077" t="s">
        <v>975</v>
      </c>
      <c r="G2200" s="1077">
        <v>4</v>
      </c>
      <c r="H2200" s="1077" t="s">
        <v>3143</v>
      </c>
      <c r="I2200" s="1077" t="s">
        <v>648</v>
      </c>
      <c r="J2200" s="1077">
        <v>0</v>
      </c>
      <c r="K2200" s="1077" t="s">
        <v>6863</v>
      </c>
      <c r="L2200" s="1077" t="s">
        <v>5037</v>
      </c>
      <c r="M2200" s="1077">
        <v>150</v>
      </c>
      <c r="N2200" s="1077" t="s">
        <v>945</v>
      </c>
      <c r="O2200" s="1077">
        <v>3.75</v>
      </c>
      <c r="P2200" s="1077">
        <v>3</v>
      </c>
      <c r="Q2200" s="1077">
        <v>3.5</v>
      </c>
      <c r="R2200" s="1077">
        <v>21.8</v>
      </c>
      <c r="T2200" s="1077">
        <v>19.5</v>
      </c>
      <c r="U2200" s="1077">
        <v>1.8</v>
      </c>
      <c r="V2200" s="1077" t="s">
        <v>648</v>
      </c>
      <c r="W2200" s="1077" t="s">
        <v>648</v>
      </c>
      <c r="X2200" s="1077" t="s">
        <v>648</v>
      </c>
      <c r="Y2200" s="1077">
        <v>2.1</v>
      </c>
      <c r="Z2200" s="1077">
        <v>5</v>
      </c>
      <c r="AA2200" s="1077" t="s">
        <v>2289</v>
      </c>
      <c r="AH2200" s="1077" t="s">
        <v>853</v>
      </c>
      <c r="AM2200" s="1078" t="s">
        <v>846</v>
      </c>
      <c r="AN2200" s="1078" t="s">
        <v>13356</v>
      </c>
      <c r="AO2200" s="1078">
        <f t="shared" si="278"/>
        <v>550</v>
      </c>
      <c r="AP2200" s="1078">
        <f t="shared" si="279"/>
        <v>1.78</v>
      </c>
      <c r="AQ2200" s="1078" t="str">
        <f t="shared" si="280"/>
        <v>1-5-1S91</v>
      </c>
      <c r="AR2200" s="1078" t="str">
        <f t="shared" si="281"/>
        <v>31.5</v>
      </c>
      <c r="AS2200" s="1078" t="str">
        <f t="shared" si="282"/>
        <v>300/300/160</v>
      </c>
      <c r="AT2200" s="1078" t="str">
        <f t="shared" si="283"/>
        <v>1-5-1S91</v>
      </c>
      <c r="AV2200" s="1078" t="str">
        <f t="shared" si="276"/>
        <v>114.3.21</v>
      </c>
      <c r="AW2200" s="1344">
        <f t="shared" si="277"/>
        <v>45737</v>
      </c>
    </row>
    <row r="2201" spans="1:49">
      <c r="A2201" s="1077" t="s">
        <v>6864</v>
      </c>
      <c r="B2201" s="1077" t="s">
        <v>714</v>
      </c>
      <c r="C2201" s="1077">
        <v>550</v>
      </c>
      <c r="D2201" s="1077">
        <v>1.7669999999999999</v>
      </c>
      <c r="E2201" s="1077">
        <v>102.5</v>
      </c>
      <c r="F2201" s="1077" t="s">
        <v>4070</v>
      </c>
      <c r="G2201" s="1077" t="s">
        <v>6865</v>
      </c>
      <c r="H2201" s="1077" t="s">
        <v>6866</v>
      </c>
      <c r="I2201" s="1077" t="s">
        <v>6867</v>
      </c>
      <c r="J2201" s="1077">
        <v>3.7</v>
      </c>
      <c r="K2201" s="1077" t="s">
        <v>6868</v>
      </c>
      <c r="L2201" s="1077" t="s">
        <v>4666</v>
      </c>
      <c r="M2201" s="1077">
        <v>300.8</v>
      </c>
      <c r="N2201" s="1077" t="s">
        <v>945</v>
      </c>
      <c r="O2201" s="1077">
        <v>7.5200000000000005</v>
      </c>
      <c r="P2201" s="1077">
        <v>6.016</v>
      </c>
      <c r="Q2201" s="1077" t="s">
        <v>2685</v>
      </c>
      <c r="R2201" s="1077">
        <v>17</v>
      </c>
      <c r="T2201" s="1077">
        <v>31.4</v>
      </c>
      <c r="U2201" s="1077">
        <v>3.6</v>
      </c>
      <c r="V2201" s="1077" t="s">
        <v>648</v>
      </c>
      <c r="W2201" s="1077" t="s">
        <v>6869</v>
      </c>
      <c r="X2201" s="1077">
        <v>10</v>
      </c>
      <c r="Y2201" s="1077">
        <v>1.5</v>
      </c>
      <c r="Z2201" s="1077" t="s">
        <v>648</v>
      </c>
      <c r="AA2201" s="1077" t="s">
        <v>2525</v>
      </c>
      <c r="AH2201" s="1077" t="s">
        <v>1376</v>
      </c>
      <c r="AM2201" s="1078" t="s">
        <v>13357</v>
      </c>
      <c r="AN2201" s="1078" t="s">
        <v>13358</v>
      </c>
      <c r="AO2201" s="1078">
        <f t="shared" si="278"/>
        <v>550</v>
      </c>
      <c r="AP2201" s="1078">
        <f t="shared" si="279"/>
        <v>1.7669999999999999</v>
      </c>
      <c r="AQ2201" s="1078">
        <f t="shared" si="280"/>
        <v>102.5</v>
      </c>
      <c r="AR2201" s="1078" t="str">
        <f t="shared" si="281"/>
        <v>15.5</v>
      </c>
      <c r="AS2201" s="1078" t="str">
        <f t="shared" si="282"/>
        <v>478/438/OFF</v>
      </c>
      <c r="AT2201" s="1078">
        <f t="shared" si="283"/>
        <v>102.5</v>
      </c>
      <c r="AV2201" s="1078" t="str">
        <f t="shared" si="276"/>
        <v>108.1.14</v>
      </c>
      <c r="AW2201" s="1344">
        <f t="shared" si="277"/>
        <v>43479</v>
      </c>
    </row>
    <row r="2202" spans="1:49">
      <c r="A2202" s="1077" t="s">
        <v>6870</v>
      </c>
      <c r="B2202" s="1077" t="s">
        <v>6871</v>
      </c>
      <c r="C2202" s="1077">
        <v>550</v>
      </c>
      <c r="D2202" s="1077">
        <v>1.75</v>
      </c>
      <c r="E2202" s="1077">
        <v>102.5</v>
      </c>
      <c r="F2202" s="1077" t="s">
        <v>4070</v>
      </c>
      <c r="G2202" s="1077" t="s">
        <v>6865</v>
      </c>
      <c r="H2202" s="1077" t="s">
        <v>6872</v>
      </c>
      <c r="I2202" s="1077" t="s">
        <v>6873</v>
      </c>
      <c r="J2202" s="1077">
        <v>3.7</v>
      </c>
      <c r="K2202" s="1077" t="s">
        <v>6874</v>
      </c>
      <c r="L2202" s="1077" t="s">
        <v>6875</v>
      </c>
      <c r="M2202" s="1077">
        <v>283</v>
      </c>
      <c r="N2202" s="1077" t="s">
        <v>945</v>
      </c>
      <c r="O2202" s="1077">
        <v>7.0750000000000002</v>
      </c>
      <c r="P2202" s="1077">
        <v>5.66</v>
      </c>
      <c r="Q2202" s="1077" t="s">
        <v>979</v>
      </c>
      <c r="R2202" s="1077">
        <v>20</v>
      </c>
      <c r="T2202" s="1077">
        <v>30.8</v>
      </c>
      <c r="U2202" s="1077">
        <v>3.5</v>
      </c>
      <c r="V2202" s="1077" t="s">
        <v>648</v>
      </c>
      <c r="W2202" s="1077" t="s">
        <v>6869</v>
      </c>
      <c r="X2202" s="1077">
        <v>10</v>
      </c>
      <c r="Y2202" s="1077">
        <v>1.6</v>
      </c>
      <c r="Z2202" s="1077" t="s">
        <v>648</v>
      </c>
      <c r="AA2202" s="1077" t="s">
        <v>2521</v>
      </c>
      <c r="AH2202" s="1077" t="s">
        <v>854</v>
      </c>
      <c r="AM2202" s="1078" t="s">
        <v>13359</v>
      </c>
      <c r="AN2202" s="1078" t="s">
        <v>13360</v>
      </c>
      <c r="AO2202" s="1078">
        <f t="shared" si="278"/>
        <v>550</v>
      </c>
      <c r="AP2202" s="1078">
        <f t="shared" si="279"/>
        <v>1.75</v>
      </c>
      <c r="AQ2202" s="1078">
        <f t="shared" si="280"/>
        <v>102.5</v>
      </c>
      <c r="AR2202" s="1078" t="str">
        <f t="shared" si="281"/>
        <v>15.5</v>
      </c>
      <c r="AS2202" s="1078" t="str">
        <f t="shared" si="282"/>
        <v>475/435/OFF</v>
      </c>
      <c r="AT2202" s="1078">
        <f t="shared" si="283"/>
        <v>102.5</v>
      </c>
      <c r="AV2202" s="1078" t="str">
        <f t="shared" si="276"/>
        <v>108.1.11</v>
      </c>
      <c r="AW2202" s="1344">
        <f t="shared" si="277"/>
        <v>43476</v>
      </c>
    </row>
    <row r="2203" spans="1:49">
      <c r="A2203" s="1077" t="s">
        <v>6876</v>
      </c>
      <c r="B2203" s="1077" t="s">
        <v>714</v>
      </c>
      <c r="C2203" s="1077">
        <v>700</v>
      </c>
      <c r="D2203" s="1077">
        <v>1.7669999999999999</v>
      </c>
      <c r="E2203" s="1077" t="s">
        <v>15109</v>
      </c>
      <c r="F2203" s="1077" t="s">
        <v>648</v>
      </c>
      <c r="G2203" s="1077" t="s">
        <v>6865</v>
      </c>
      <c r="H2203" s="1077" t="s">
        <v>6877</v>
      </c>
      <c r="I2203" s="1077" t="s">
        <v>6878</v>
      </c>
      <c r="J2203" s="1077">
        <v>3.7</v>
      </c>
      <c r="K2203" s="1077" t="s">
        <v>6879</v>
      </c>
      <c r="L2203" s="1077" t="s">
        <v>4675</v>
      </c>
      <c r="M2203" s="1077">
        <v>295.10000000000002</v>
      </c>
      <c r="N2203" s="1077" t="s">
        <v>945</v>
      </c>
      <c r="O2203" s="1077">
        <v>7.3775000000000013</v>
      </c>
      <c r="P2203" s="1077">
        <v>5.9020000000000001</v>
      </c>
      <c r="Q2203" s="1077" t="s">
        <v>979</v>
      </c>
      <c r="R2203" s="1077">
        <v>17.399999999999999</v>
      </c>
      <c r="T2203" s="1077">
        <v>31</v>
      </c>
      <c r="U2203" s="1077">
        <v>3.5</v>
      </c>
      <c r="V2203" s="1077" t="s">
        <v>648</v>
      </c>
      <c r="W2203" s="1077" t="s">
        <v>6880</v>
      </c>
      <c r="X2203" s="1077">
        <v>40</v>
      </c>
      <c r="Y2203" s="1077">
        <v>1</v>
      </c>
      <c r="Z2203" s="1077" t="s">
        <v>648</v>
      </c>
      <c r="AA2203" s="1077" t="s">
        <v>2391</v>
      </c>
      <c r="AH2203" s="1077" t="s">
        <v>614</v>
      </c>
      <c r="AM2203" s="1078" t="s">
        <v>13361</v>
      </c>
      <c r="AN2203" s="1078" t="s">
        <v>13362</v>
      </c>
      <c r="AO2203" s="1078">
        <f t="shared" si="278"/>
        <v>700</v>
      </c>
      <c r="AP2203" s="1078">
        <f t="shared" si="279"/>
        <v>1.7669999999999999</v>
      </c>
      <c r="AQ2203" s="1078" t="str">
        <f t="shared" si="280"/>
        <v>1-5-1S85°Z+S</v>
      </c>
      <c r="AR2203" s="1078" t="str">
        <f t="shared" si="281"/>
        <v>NA</v>
      </c>
      <c r="AS2203" s="1078" t="str">
        <f t="shared" si="282"/>
        <v>200/OFF</v>
      </c>
      <c r="AT2203" s="1078" t="str">
        <f t="shared" si="283"/>
        <v>1-5-1S85°Z+S</v>
      </c>
      <c r="AU2203" s="1078" t="s">
        <v>15547</v>
      </c>
      <c r="AV2203" s="1078" t="str">
        <f t="shared" si="276"/>
        <v>108.1.17</v>
      </c>
      <c r="AW2203" s="1344">
        <f t="shared" si="277"/>
        <v>43482</v>
      </c>
    </row>
    <row r="2204" spans="1:49">
      <c r="A2204" s="1077" t="s">
        <v>6881</v>
      </c>
      <c r="B2204" s="1077" t="s">
        <v>714</v>
      </c>
      <c r="C2204" s="1077">
        <v>550</v>
      </c>
      <c r="D2204" s="1077">
        <v>1.7669999999999999</v>
      </c>
      <c r="E2204" s="1077">
        <v>102.5</v>
      </c>
      <c r="F2204" s="1077" t="s">
        <v>4070</v>
      </c>
      <c r="G2204" s="1077" t="s">
        <v>6865</v>
      </c>
      <c r="H2204" s="1077" t="s">
        <v>6872</v>
      </c>
      <c r="I2204" s="1077" t="s">
        <v>6867</v>
      </c>
      <c r="J2204" s="1077">
        <v>3.7</v>
      </c>
      <c r="K2204" s="1077" t="s">
        <v>6882</v>
      </c>
      <c r="L2204" s="1077" t="s">
        <v>4666</v>
      </c>
      <c r="M2204" s="1077">
        <v>300.8</v>
      </c>
      <c r="N2204" s="1077" t="s">
        <v>945</v>
      </c>
      <c r="O2204" s="1077">
        <v>7.5200000000000005</v>
      </c>
      <c r="P2204" s="1077">
        <v>6.016</v>
      </c>
      <c r="Q2204" s="1077" t="s">
        <v>2685</v>
      </c>
      <c r="R2204" s="1077">
        <v>17</v>
      </c>
      <c r="T2204" s="1077">
        <v>31.4</v>
      </c>
      <c r="U2204" s="1077">
        <v>3.6</v>
      </c>
      <c r="V2204" s="1077" t="s">
        <v>648</v>
      </c>
      <c r="W2204" s="1077">
        <v>65</v>
      </c>
      <c r="X2204" s="1077">
        <v>10</v>
      </c>
      <c r="Y2204" s="1077">
        <v>1.5</v>
      </c>
      <c r="Z2204" s="1077" t="s">
        <v>648</v>
      </c>
      <c r="AA2204" s="1077" t="s">
        <v>4671</v>
      </c>
      <c r="AH2204" s="1077" t="s">
        <v>1643</v>
      </c>
      <c r="AM2204" s="1078" t="s">
        <v>13363</v>
      </c>
      <c r="AN2204" s="1078" t="s">
        <v>13364</v>
      </c>
      <c r="AO2204" s="1078">
        <f t="shared" si="278"/>
        <v>550</v>
      </c>
      <c r="AP2204" s="1078">
        <f t="shared" si="279"/>
        <v>1.7669999999999999</v>
      </c>
      <c r="AQ2204" s="1078">
        <f t="shared" si="280"/>
        <v>102.5</v>
      </c>
      <c r="AR2204" s="1078" t="str">
        <f t="shared" si="281"/>
        <v>15.5</v>
      </c>
      <c r="AS2204" s="1078" t="str">
        <f t="shared" si="282"/>
        <v>475/435/OFF</v>
      </c>
      <c r="AT2204" s="1078">
        <f t="shared" si="283"/>
        <v>102.5</v>
      </c>
      <c r="AV2204" s="1078" t="str">
        <f t="shared" si="276"/>
        <v>108.2.1</v>
      </c>
      <c r="AW2204" s="1344">
        <f t="shared" si="277"/>
        <v>43497</v>
      </c>
    </row>
    <row r="2205" spans="1:49">
      <c r="A2205" s="1077" t="s">
        <v>6883</v>
      </c>
      <c r="B2205" s="1077" t="s">
        <v>714</v>
      </c>
      <c r="C2205" s="1077">
        <v>700</v>
      </c>
      <c r="D2205" s="1077">
        <v>1.7669999999999999</v>
      </c>
      <c r="E2205" s="1077" t="s">
        <v>15109</v>
      </c>
      <c r="F2205" s="1077" t="s">
        <v>648</v>
      </c>
      <c r="G2205" s="1077" t="s">
        <v>6865</v>
      </c>
      <c r="H2205" s="1077" t="s">
        <v>6877</v>
      </c>
      <c r="I2205" s="1077" t="s">
        <v>6884</v>
      </c>
      <c r="J2205" s="1077">
        <v>3.7</v>
      </c>
      <c r="K2205" s="1077" t="s">
        <v>6879</v>
      </c>
      <c r="L2205" s="1077" t="s">
        <v>4675</v>
      </c>
      <c r="M2205" s="1077">
        <v>300.8</v>
      </c>
      <c r="N2205" s="1077" t="s">
        <v>945</v>
      </c>
      <c r="O2205" s="1077">
        <v>7.5200000000000005</v>
      </c>
      <c r="P2205" s="1077">
        <v>6.016</v>
      </c>
      <c r="Q2205" s="1077" t="s">
        <v>2685</v>
      </c>
      <c r="R2205" s="1077">
        <v>17</v>
      </c>
      <c r="T2205" s="1077">
        <v>31.4</v>
      </c>
      <c r="U2205" s="1077">
        <v>3.6</v>
      </c>
      <c r="V2205" s="1077" t="s">
        <v>648</v>
      </c>
      <c r="W2205" s="1077">
        <v>65</v>
      </c>
      <c r="X2205" s="1077">
        <v>10</v>
      </c>
      <c r="Y2205" s="1077">
        <v>1.5</v>
      </c>
      <c r="Z2205" s="1077" t="s">
        <v>648</v>
      </c>
      <c r="AA2205" s="1077" t="s">
        <v>6885</v>
      </c>
      <c r="AH2205" s="1077" t="s">
        <v>646</v>
      </c>
      <c r="AM2205" s="1078" t="s">
        <v>13365</v>
      </c>
      <c r="AN2205" s="1078" t="s">
        <v>13366</v>
      </c>
      <c r="AO2205" s="1078">
        <f t="shared" si="278"/>
        <v>700</v>
      </c>
      <c r="AP2205" s="1078">
        <f t="shared" si="279"/>
        <v>1.7669999999999999</v>
      </c>
      <c r="AQ2205" s="1078" t="str">
        <f t="shared" si="280"/>
        <v>1-5-1S85°Z+S</v>
      </c>
      <c r="AR2205" s="1078" t="str">
        <f t="shared" si="281"/>
        <v>NA</v>
      </c>
      <c r="AS2205" s="1078" t="str">
        <f t="shared" si="282"/>
        <v>200/OFF</v>
      </c>
      <c r="AT2205" s="1078" t="str">
        <f t="shared" si="283"/>
        <v>1-5-1S85°Z+S</v>
      </c>
      <c r="AU2205" s="1078" t="s">
        <v>15547</v>
      </c>
      <c r="AV2205" s="1078" t="str">
        <f t="shared" si="276"/>
        <v>108.2.18</v>
      </c>
      <c r="AW2205" s="1344">
        <f t="shared" si="277"/>
        <v>43514</v>
      </c>
    </row>
    <row r="2206" spans="1:49">
      <c r="A2206" s="1077" t="s">
        <v>6886</v>
      </c>
      <c r="B2206" s="1077" t="s">
        <v>714</v>
      </c>
      <c r="C2206" s="1077">
        <v>550</v>
      </c>
      <c r="D2206" s="1077">
        <v>1.7669999999999999</v>
      </c>
      <c r="E2206" s="1077">
        <v>102.5</v>
      </c>
      <c r="F2206" s="1077" t="s">
        <v>4070</v>
      </c>
      <c r="G2206" s="1077" t="s">
        <v>6865</v>
      </c>
      <c r="H2206" s="1077" t="s">
        <v>6872</v>
      </c>
      <c r="I2206" s="1077" t="s">
        <v>6867</v>
      </c>
      <c r="J2206" s="1077">
        <v>3.7</v>
      </c>
      <c r="K2206" s="1077" t="s">
        <v>6882</v>
      </c>
      <c r="L2206" s="1077" t="s">
        <v>4666</v>
      </c>
      <c r="M2206" s="1077">
        <v>300.8</v>
      </c>
      <c r="N2206" s="1077" t="s">
        <v>945</v>
      </c>
      <c r="O2206" s="1077">
        <v>7.5200000000000005</v>
      </c>
      <c r="P2206" s="1077">
        <v>6.016</v>
      </c>
      <c r="Q2206" s="1077" t="s">
        <v>2685</v>
      </c>
      <c r="R2206" s="1077">
        <v>17</v>
      </c>
      <c r="T2206" s="1077">
        <v>31.4</v>
      </c>
      <c r="U2206" s="1077">
        <v>3.6</v>
      </c>
      <c r="V2206" s="1077" t="s">
        <v>648</v>
      </c>
      <c r="W2206" s="1077">
        <v>65</v>
      </c>
      <c r="X2206" s="1077">
        <v>10</v>
      </c>
      <c r="Y2206" s="1077">
        <v>1.5</v>
      </c>
      <c r="Z2206" s="1077" t="s">
        <v>648</v>
      </c>
      <c r="AA2206" s="1077" t="s">
        <v>6887</v>
      </c>
      <c r="AH2206" s="1077" t="s">
        <v>854</v>
      </c>
      <c r="AM2206" s="1078" t="s">
        <v>13367</v>
      </c>
      <c r="AN2206" s="1078" t="s">
        <v>13368</v>
      </c>
      <c r="AO2206" s="1078">
        <f t="shared" si="278"/>
        <v>550</v>
      </c>
      <c r="AP2206" s="1078">
        <f t="shared" si="279"/>
        <v>1.7669999999999999</v>
      </c>
      <c r="AQ2206" s="1078">
        <f t="shared" si="280"/>
        <v>102.5</v>
      </c>
      <c r="AR2206" s="1078" t="str">
        <f t="shared" si="281"/>
        <v>15.5</v>
      </c>
      <c r="AS2206" s="1078" t="str">
        <f t="shared" si="282"/>
        <v>475/435/OFF</v>
      </c>
      <c r="AT2206" s="1078">
        <f t="shared" si="283"/>
        <v>102.5</v>
      </c>
      <c r="AV2206" s="1078" t="str">
        <f t="shared" si="276"/>
        <v>108.2.19</v>
      </c>
      <c r="AW2206" s="1344">
        <f t="shared" si="277"/>
        <v>43515</v>
      </c>
    </row>
    <row r="2207" spans="1:49">
      <c r="A2207" s="1077" t="s">
        <v>6888</v>
      </c>
      <c r="B2207" s="1077" t="s">
        <v>714</v>
      </c>
      <c r="C2207" s="1077">
        <v>700</v>
      </c>
      <c r="D2207" s="1077">
        <v>1.7569999999999999</v>
      </c>
      <c r="E2207" s="1077" t="s">
        <v>15109</v>
      </c>
      <c r="F2207" s="1077" t="s">
        <v>648</v>
      </c>
      <c r="G2207" s="1077" t="s">
        <v>6865</v>
      </c>
      <c r="H2207" s="1077" t="s">
        <v>6877</v>
      </c>
      <c r="I2207" s="1077" t="s">
        <v>6884</v>
      </c>
      <c r="J2207" s="1077">
        <v>3.7</v>
      </c>
      <c r="K2207" s="1077" t="s">
        <v>6889</v>
      </c>
      <c r="L2207" s="1077" t="s">
        <v>4675</v>
      </c>
      <c r="M2207" s="1077">
        <v>300.8</v>
      </c>
      <c r="N2207" s="1077" t="s">
        <v>945</v>
      </c>
      <c r="O2207" s="1077">
        <v>7.5200000000000005</v>
      </c>
      <c r="P2207" s="1077">
        <v>6.016</v>
      </c>
      <c r="Q2207" s="1077" t="s">
        <v>2685</v>
      </c>
      <c r="R2207" s="1077">
        <v>17</v>
      </c>
      <c r="T2207" s="1077">
        <v>31.4</v>
      </c>
      <c r="U2207" s="1077">
        <v>3.6</v>
      </c>
      <c r="V2207" s="1077" t="s">
        <v>648</v>
      </c>
      <c r="W2207" s="1077">
        <v>65</v>
      </c>
      <c r="X2207" s="1077">
        <v>10</v>
      </c>
      <c r="Y2207" s="1077">
        <v>1.5</v>
      </c>
      <c r="Z2207" s="1077" t="s">
        <v>648</v>
      </c>
      <c r="AA2207" s="1077" t="s">
        <v>4025</v>
      </c>
      <c r="AH2207" s="1077" t="s">
        <v>681</v>
      </c>
      <c r="AM2207" s="1078" t="s">
        <v>13369</v>
      </c>
      <c r="AN2207" s="1078" t="s">
        <v>13370</v>
      </c>
      <c r="AO2207" s="1078">
        <f t="shared" si="278"/>
        <v>700</v>
      </c>
      <c r="AP2207" s="1078">
        <f t="shared" si="279"/>
        <v>1.7569999999999999</v>
      </c>
      <c r="AQ2207" s="1078" t="str">
        <f t="shared" si="280"/>
        <v>1-5-1S85°Z+S</v>
      </c>
      <c r="AR2207" s="1078" t="str">
        <f t="shared" si="281"/>
        <v>NA</v>
      </c>
      <c r="AS2207" s="1078" t="str">
        <f t="shared" si="282"/>
        <v>200/OFF</v>
      </c>
      <c r="AT2207" s="1078" t="str">
        <f t="shared" si="283"/>
        <v>1-5-1S85°Z+S</v>
      </c>
      <c r="AU2207" s="1078" t="s">
        <v>15547</v>
      </c>
      <c r="AV2207" s="1078" t="str">
        <f t="shared" si="276"/>
        <v>108.3.14</v>
      </c>
      <c r="AW2207" s="1344">
        <f t="shared" si="277"/>
        <v>43538</v>
      </c>
    </row>
    <row r="2208" spans="1:49">
      <c r="A2208" s="1077" t="s">
        <v>6890</v>
      </c>
      <c r="B2208" s="1077" t="s">
        <v>714</v>
      </c>
      <c r="C2208" s="1077">
        <v>550</v>
      </c>
      <c r="D2208" s="1077">
        <v>1.7669999999999999</v>
      </c>
      <c r="E2208" s="1077">
        <v>102.5</v>
      </c>
      <c r="F2208" s="1077" t="s">
        <v>4070</v>
      </c>
      <c r="G2208" s="1077" t="s">
        <v>6865</v>
      </c>
      <c r="H2208" s="1077" t="s">
        <v>6891</v>
      </c>
      <c r="I2208" s="1077" t="s">
        <v>6867</v>
      </c>
      <c r="J2208" s="1077">
        <v>3.7</v>
      </c>
      <c r="K2208" s="1077" t="s">
        <v>6892</v>
      </c>
      <c r="L2208" s="1077" t="s">
        <v>4666</v>
      </c>
      <c r="M2208" s="1077">
        <v>300.8</v>
      </c>
      <c r="N2208" s="1077" t="s">
        <v>945</v>
      </c>
      <c r="O2208" s="1077">
        <v>7.5200000000000005</v>
      </c>
      <c r="P2208" s="1077">
        <v>6.016</v>
      </c>
      <c r="Q2208" s="1077" t="s">
        <v>2685</v>
      </c>
      <c r="R2208" s="1077">
        <v>17</v>
      </c>
      <c r="T2208" s="1077">
        <v>31.4</v>
      </c>
      <c r="U2208" s="1077">
        <v>3.6</v>
      </c>
      <c r="V2208" s="1077" t="s">
        <v>648</v>
      </c>
      <c r="W2208" s="1077" t="s">
        <v>6869</v>
      </c>
      <c r="X2208" s="1077">
        <v>10</v>
      </c>
      <c r="Y2208" s="1077">
        <v>1.5</v>
      </c>
      <c r="Z2208" s="1077" t="s">
        <v>648</v>
      </c>
      <c r="AA2208" s="1077" t="s">
        <v>6893</v>
      </c>
      <c r="AH2208" s="1077" t="s">
        <v>854</v>
      </c>
      <c r="AM2208" s="1078" t="s">
        <v>13371</v>
      </c>
      <c r="AN2208" s="1078" t="s">
        <v>13372</v>
      </c>
      <c r="AO2208" s="1078">
        <f t="shared" si="278"/>
        <v>550</v>
      </c>
      <c r="AP2208" s="1078">
        <f t="shared" si="279"/>
        <v>1.7669999999999999</v>
      </c>
      <c r="AQ2208" s="1078">
        <f t="shared" si="280"/>
        <v>102.5</v>
      </c>
      <c r="AR2208" s="1078" t="str">
        <f t="shared" si="281"/>
        <v>15.5</v>
      </c>
      <c r="AS2208" s="1078" t="str">
        <f t="shared" si="282"/>
        <v>481/441/OFF</v>
      </c>
      <c r="AT2208" s="1078">
        <f t="shared" si="283"/>
        <v>102.5</v>
      </c>
      <c r="AV2208" s="1078" t="str">
        <f t="shared" si="276"/>
        <v>108.3.19</v>
      </c>
      <c r="AW2208" s="1344">
        <f t="shared" si="277"/>
        <v>43543</v>
      </c>
    </row>
    <row r="2209" spans="1:49">
      <c r="A2209" s="1077" t="s">
        <v>6894</v>
      </c>
      <c r="B2209" s="1077" t="s">
        <v>714</v>
      </c>
      <c r="C2209" s="1077">
        <v>600</v>
      </c>
      <c r="D2209" s="1077">
        <v>1.7769999999999999</v>
      </c>
      <c r="E2209" s="1077">
        <v>102.5</v>
      </c>
      <c r="F2209" s="1077" t="s">
        <v>4070</v>
      </c>
      <c r="G2209" s="1077">
        <v>5.5</v>
      </c>
      <c r="H2209" s="1077" t="s">
        <v>6895</v>
      </c>
      <c r="I2209" s="1077" t="s">
        <v>6896</v>
      </c>
      <c r="J2209" s="1077">
        <v>3.7</v>
      </c>
      <c r="K2209" s="1077" t="s">
        <v>6897</v>
      </c>
      <c r="L2209" s="1077" t="s">
        <v>4666</v>
      </c>
      <c r="M2209" s="1077">
        <v>295.10000000000002</v>
      </c>
      <c r="N2209" s="1077" t="s">
        <v>945</v>
      </c>
      <c r="O2209" s="1077">
        <v>7.3775000000000013</v>
      </c>
      <c r="P2209" s="1077">
        <v>5.9020000000000001</v>
      </c>
      <c r="Q2209" s="1077" t="s">
        <v>956</v>
      </c>
      <c r="R2209" s="1077">
        <v>17.399999999999999</v>
      </c>
      <c r="T2209" s="1077">
        <v>31</v>
      </c>
      <c r="U2209" s="1077">
        <v>3.5</v>
      </c>
      <c r="V2209" s="1077" t="s">
        <v>648</v>
      </c>
      <c r="W2209" s="1077" t="s">
        <v>6880</v>
      </c>
      <c r="X2209" s="1077">
        <v>40</v>
      </c>
      <c r="Y2209" s="1077">
        <v>1</v>
      </c>
      <c r="Z2209" s="1077" t="s">
        <v>648</v>
      </c>
      <c r="AA2209" s="1077" t="s">
        <v>6273</v>
      </c>
      <c r="AH2209" s="1077" t="s">
        <v>870</v>
      </c>
      <c r="AM2209" s="1078" t="s">
        <v>13373</v>
      </c>
      <c r="AN2209" s="1078" t="s">
        <v>13374</v>
      </c>
      <c r="AO2209" s="1078">
        <f t="shared" si="278"/>
        <v>600</v>
      </c>
      <c r="AP2209" s="1078">
        <f t="shared" si="279"/>
        <v>1.7769999999999999</v>
      </c>
      <c r="AQ2209" s="1078">
        <f t="shared" si="280"/>
        <v>102.5</v>
      </c>
      <c r="AR2209" s="1078" t="str">
        <f t="shared" si="281"/>
        <v>15.5</v>
      </c>
      <c r="AS2209" s="1078" t="str">
        <f t="shared" si="282"/>
        <v>507/467/OFF</v>
      </c>
      <c r="AT2209" s="1078">
        <f t="shared" si="283"/>
        <v>102.5</v>
      </c>
      <c r="AV2209" s="1078" t="str">
        <f t="shared" si="276"/>
        <v>109.4.24</v>
      </c>
      <c r="AW2209" s="1344">
        <f t="shared" si="277"/>
        <v>43945</v>
      </c>
    </row>
    <row r="2210" spans="1:49">
      <c r="A2210" s="1077" t="s">
        <v>6898</v>
      </c>
      <c r="B2210" s="1077" t="s">
        <v>714</v>
      </c>
      <c r="C2210" s="1077">
        <v>700</v>
      </c>
      <c r="D2210" s="1077">
        <v>1.7669999999999999</v>
      </c>
      <c r="E2210" s="1077" t="s">
        <v>15104</v>
      </c>
      <c r="F2210" s="1077" t="s">
        <v>648</v>
      </c>
      <c r="G2210" s="1077" t="s">
        <v>6865</v>
      </c>
      <c r="H2210" s="1077" t="s">
        <v>6877</v>
      </c>
      <c r="I2210" s="1077" t="s">
        <v>6878</v>
      </c>
      <c r="J2210" s="1077">
        <v>3.7</v>
      </c>
      <c r="K2210" s="1077" t="s">
        <v>6899</v>
      </c>
      <c r="L2210" s="1077" t="s">
        <v>4666</v>
      </c>
      <c r="M2210" s="1077">
        <v>295.10000000000002</v>
      </c>
      <c r="N2210" s="1077" t="s">
        <v>945</v>
      </c>
      <c r="O2210" s="1077">
        <v>7.3775000000000013</v>
      </c>
      <c r="P2210" s="1077">
        <v>5.9020000000000001</v>
      </c>
      <c r="Q2210" s="1077" t="s">
        <v>956</v>
      </c>
      <c r="R2210" s="1077">
        <v>17.399999999999999</v>
      </c>
      <c r="T2210" s="1077">
        <v>31</v>
      </c>
      <c r="U2210" s="1077">
        <v>3.5</v>
      </c>
      <c r="V2210" s="1077" t="s">
        <v>648</v>
      </c>
      <c r="W2210" s="1077" t="s">
        <v>6880</v>
      </c>
      <c r="X2210" s="1077">
        <v>40</v>
      </c>
      <c r="Y2210" s="1077">
        <v>1</v>
      </c>
      <c r="Z2210" s="1077" t="s">
        <v>648</v>
      </c>
      <c r="AA2210" s="1077" t="s">
        <v>951</v>
      </c>
      <c r="AH2210" s="1077" t="s">
        <v>1417</v>
      </c>
      <c r="AM2210" s="1078" t="s">
        <v>13375</v>
      </c>
      <c r="AN2210" s="1078" t="s">
        <v>13376</v>
      </c>
      <c r="AO2210" s="1078">
        <f t="shared" si="278"/>
        <v>700</v>
      </c>
      <c r="AP2210" s="1078">
        <f t="shared" si="279"/>
        <v>1.7669999999999999</v>
      </c>
      <c r="AQ2210" s="1078" t="str">
        <f t="shared" si="280"/>
        <v>1-4-1S85°Z+S</v>
      </c>
      <c r="AR2210" s="1078" t="str">
        <f t="shared" si="281"/>
        <v>NA</v>
      </c>
      <c r="AS2210" s="1078" t="str">
        <f t="shared" si="282"/>
        <v>200/OFF</v>
      </c>
      <c r="AT2210" s="1078" t="str">
        <f t="shared" si="283"/>
        <v>1-4-1S85°Z+S</v>
      </c>
      <c r="AU2210" s="1078" t="s">
        <v>15547</v>
      </c>
      <c r="AV2210" s="1078" t="str">
        <f t="shared" si="276"/>
        <v>109.5.13</v>
      </c>
      <c r="AW2210" s="1344">
        <f t="shared" si="277"/>
        <v>43964</v>
      </c>
    </row>
    <row r="2211" spans="1:49">
      <c r="A2211" s="1077" t="s">
        <v>6900</v>
      </c>
      <c r="B2211" s="1077" t="s">
        <v>836</v>
      </c>
      <c r="C2211" s="1077">
        <v>600</v>
      </c>
      <c r="D2211" s="1077">
        <v>1.78</v>
      </c>
      <c r="E2211" s="1077" t="s">
        <v>15116</v>
      </c>
      <c r="F2211" s="1077" t="s">
        <v>6901</v>
      </c>
      <c r="G2211" s="1077">
        <v>4</v>
      </c>
      <c r="H2211" s="1077" t="s">
        <v>6902</v>
      </c>
      <c r="I2211" s="1077" t="s">
        <v>6903</v>
      </c>
      <c r="K2211" s="1077" t="s">
        <v>6904</v>
      </c>
      <c r="L2211" s="1077" t="s">
        <v>6905</v>
      </c>
      <c r="M2211" s="1077">
        <v>303.89999999999998</v>
      </c>
      <c r="N2211" s="1077" t="s">
        <v>945</v>
      </c>
      <c r="O2211" s="1077">
        <v>7.5975000000000001</v>
      </c>
      <c r="P2211" s="1077">
        <v>6.0779999999999994</v>
      </c>
      <c r="Q2211" s="1077" t="s">
        <v>2553</v>
      </c>
      <c r="R2211" s="1077">
        <v>24.5</v>
      </c>
      <c r="T2211" s="1077">
        <v>12.7</v>
      </c>
      <c r="U2211" s="1077">
        <v>2.6</v>
      </c>
      <c r="V2211" s="1077" t="s">
        <v>648</v>
      </c>
      <c r="W2211" s="1077" t="s">
        <v>2532</v>
      </c>
      <c r="X2211" s="1077">
        <v>10</v>
      </c>
      <c r="Y2211" s="1077">
        <v>1.5</v>
      </c>
      <c r="Z2211" s="1077" t="s">
        <v>648</v>
      </c>
      <c r="AA2211" s="1077" t="s">
        <v>4581</v>
      </c>
      <c r="AH2211" s="1077" t="s">
        <v>966</v>
      </c>
      <c r="AM2211" s="1078" t="s">
        <v>13377</v>
      </c>
      <c r="AN2211" s="1078" t="s">
        <v>13378</v>
      </c>
      <c r="AO2211" s="1078">
        <f t="shared" si="278"/>
        <v>600</v>
      </c>
      <c r="AP2211" s="1078">
        <f t="shared" si="279"/>
        <v>1.78</v>
      </c>
      <c r="AQ2211" s="1078" t="str">
        <f t="shared" si="280"/>
        <v>1-5-1S83°Z+S</v>
      </c>
      <c r="AR2211" s="1078" t="str">
        <f t="shared" si="281"/>
        <v>33.6</v>
      </c>
      <c r="AS2211" s="1078" t="str">
        <f t="shared" si="282"/>
        <v>310/310/190</v>
      </c>
      <c r="AT2211" s="1078" t="str">
        <f t="shared" si="283"/>
        <v>1-5-1S83°Z+S</v>
      </c>
      <c r="AU2211" s="1078" t="s">
        <v>15547</v>
      </c>
      <c r="AV2211" s="1078" t="str">
        <f t="shared" si="276"/>
        <v>108.3.28</v>
      </c>
      <c r="AW2211" s="1344">
        <f t="shared" si="277"/>
        <v>43552</v>
      </c>
    </row>
    <row r="2212" spans="1:49">
      <c r="A2212" s="1077" t="s">
        <v>6906</v>
      </c>
      <c r="B2212" s="1077" t="s">
        <v>6907</v>
      </c>
      <c r="C2212" s="1077">
        <v>600</v>
      </c>
      <c r="D2212" s="1077">
        <v>1.91</v>
      </c>
      <c r="E2212" s="1077" t="s">
        <v>15116</v>
      </c>
      <c r="F2212" s="1077" t="s">
        <v>2234</v>
      </c>
      <c r="G2212" s="1077" t="s">
        <v>1767</v>
      </c>
      <c r="H2212" s="1077" t="s">
        <v>6908</v>
      </c>
      <c r="I2212" s="1077" t="s">
        <v>6909</v>
      </c>
      <c r="J2212" s="1077">
        <v>3.7</v>
      </c>
      <c r="K2212" s="1077" t="s">
        <v>6910</v>
      </c>
      <c r="L2212" s="1077" t="s">
        <v>4763</v>
      </c>
      <c r="M2212" s="1077">
        <v>297.39999999999998</v>
      </c>
      <c r="N2212" s="1077" t="s">
        <v>945</v>
      </c>
      <c r="O2212" s="1077">
        <v>7.4349999999999996</v>
      </c>
      <c r="P2212" s="1077">
        <v>5.9479999999999995</v>
      </c>
      <c r="Q2212" s="1077" t="s">
        <v>1277</v>
      </c>
      <c r="R2212" s="1077">
        <v>21.3</v>
      </c>
      <c r="T2212" s="1077">
        <v>18</v>
      </c>
      <c r="U2212" s="1077">
        <v>3.1</v>
      </c>
      <c r="V2212" s="1077" t="s">
        <v>648</v>
      </c>
      <c r="W2212" s="1077">
        <v>65</v>
      </c>
      <c r="X2212" s="1077">
        <v>10</v>
      </c>
      <c r="Y2212" s="1077">
        <v>1.3</v>
      </c>
      <c r="Z2212" s="1077" t="s">
        <v>648</v>
      </c>
      <c r="AA2212" s="1077" t="s">
        <v>6911</v>
      </c>
      <c r="AH2212" s="1077" t="s">
        <v>722</v>
      </c>
      <c r="AM2212" s="1078" t="s">
        <v>13379</v>
      </c>
      <c r="AN2212" s="1078" t="s">
        <v>13380</v>
      </c>
      <c r="AO2212" s="1078">
        <f t="shared" si="278"/>
        <v>600</v>
      </c>
      <c r="AP2212" s="1078">
        <f t="shared" si="279"/>
        <v>1.91</v>
      </c>
      <c r="AQ2212" s="1078" t="str">
        <f t="shared" si="280"/>
        <v>1-5-1S83°Z+S</v>
      </c>
      <c r="AR2212" s="1078" t="str">
        <f t="shared" si="281"/>
        <v>33.5</v>
      </c>
      <c r="AS2212" s="1078" t="str">
        <f t="shared" si="282"/>
        <v>310/310/180</v>
      </c>
      <c r="AT2212" s="1078" t="str">
        <f t="shared" si="283"/>
        <v>1-5-1S83°Z+S</v>
      </c>
      <c r="AU2212" s="1078" t="s">
        <v>15547</v>
      </c>
      <c r="AV2212" s="1078" t="str">
        <f t="shared" si="276"/>
        <v>108.3.29</v>
      </c>
      <c r="AW2212" s="1344">
        <f t="shared" si="277"/>
        <v>43553</v>
      </c>
    </row>
    <row r="2213" spans="1:49">
      <c r="A2213" s="1077" t="s">
        <v>6912</v>
      </c>
      <c r="B2213" s="1077" t="s">
        <v>6913</v>
      </c>
      <c r="C2213" s="1077">
        <v>500</v>
      </c>
      <c r="D2213" s="1077">
        <v>1.73</v>
      </c>
      <c r="E2213" s="1077" t="s">
        <v>15122</v>
      </c>
      <c r="F2213" s="1077" t="s">
        <v>954</v>
      </c>
      <c r="G2213" s="1077">
        <v>3</v>
      </c>
      <c r="H2213" s="1077" t="s">
        <v>2259</v>
      </c>
      <c r="I2213" s="1077" t="s">
        <v>6914</v>
      </c>
      <c r="J2213" s="1077">
        <v>3</v>
      </c>
      <c r="K2213" s="1077" t="s">
        <v>6915</v>
      </c>
      <c r="L2213" s="1077" t="s">
        <v>6916</v>
      </c>
      <c r="M2213" s="1077">
        <v>296.5</v>
      </c>
      <c r="N2213" s="1077" t="s">
        <v>945</v>
      </c>
      <c r="O2213" s="1077">
        <v>7.4125000000000005</v>
      </c>
      <c r="P2213" s="1077">
        <v>5.93</v>
      </c>
      <c r="Q2213" s="1077" t="s">
        <v>2422</v>
      </c>
      <c r="R2213" s="1077">
        <v>28</v>
      </c>
      <c r="T2213" s="1077">
        <v>18</v>
      </c>
      <c r="U2213" s="1077">
        <v>4.0999999999999996</v>
      </c>
      <c r="V2213" s="1077" t="s">
        <v>648</v>
      </c>
      <c r="W2213" s="1077">
        <v>120</v>
      </c>
      <c r="X2213" s="1077">
        <v>90</v>
      </c>
      <c r="Y2213" s="1077">
        <v>1.4</v>
      </c>
      <c r="Z2213" s="1077" t="s">
        <v>648</v>
      </c>
      <c r="AA2213" s="1077" t="s">
        <v>4583</v>
      </c>
      <c r="AH2213" s="1077" t="s">
        <v>994</v>
      </c>
      <c r="AM2213" s="1078" t="s">
        <v>13381</v>
      </c>
      <c r="AN2213" s="1078" t="s">
        <v>13382</v>
      </c>
      <c r="AO2213" s="1078">
        <f t="shared" si="278"/>
        <v>500</v>
      </c>
      <c r="AP2213" s="1078">
        <f t="shared" si="279"/>
        <v>1.73</v>
      </c>
      <c r="AQ2213" s="1078" t="str">
        <f t="shared" si="280"/>
        <v>1-5-1S91°Z+S</v>
      </c>
      <c r="AR2213" s="1078" t="str">
        <f t="shared" si="281"/>
        <v>31</v>
      </c>
      <c r="AS2213" s="1078" t="str">
        <f t="shared" si="282"/>
        <v>275/275/OFF</v>
      </c>
      <c r="AT2213" s="1078" t="str">
        <f t="shared" si="283"/>
        <v>1-5-1S91°Z+S</v>
      </c>
      <c r="AU2213" s="1078" t="s">
        <v>15547</v>
      </c>
      <c r="AV2213" s="1078" t="str">
        <f t="shared" si="276"/>
        <v>108.4.2</v>
      </c>
      <c r="AW2213" s="1344">
        <f t="shared" si="277"/>
        <v>43557</v>
      </c>
    </row>
    <row r="2214" spans="1:49">
      <c r="A2214" s="1077" t="s">
        <v>6917</v>
      </c>
      <c r="B2214" s="1077" t="s">
        <v>717</v>
      </c>
      <c r="C2214" s="1077">
        <v>600</v>
      </c>
      <c r="D2214" s="1077">
        <v>1.8</v>
      </c>
      <c r="E2214" s="1077" t="s">
        <v>15116</v>
      </c>
      <c r="F2214" s="1077" t="s">
        <v>2234</v>
      </c>
      <c r="G2214" s="1077">
        <v>4</v>
      </c>
      <c r="H2214" s="1077" t="s">
        <v>6902</v>
      </c>
      <c r="I2214" s="1077" t="s">
        <v>6918</v>
      </c>
      <c r="K2214" s="1077" t="s">
        <v>6919</v>
      </c>
      <c r="L2214" s="1077" t="s">
        <v>6920</v>
      </c>
      <c r="M2214" s="1077">
        <v>303.5</v>
      </c>
      <c r="N2214" s="1077" t="s">
        <v>945</v>
      </c>
      <c r="O2214" s="1077">
        <v>7.5875000000000004</v>
      </c>
      <c r="P2214" s="1077">
        <v>6.07</v>
      </c>
      <c r="Q2214" s="1077" t="s">
        <v>1264</v>
      </c>
      <c r="R2214" s="1077">
        <v>25</v>
      </c>
      <c r="T2214" s="1077">
        <v>13.5</v>
      </c>
      <c r="U2214" s="1077">
        <v>2.5</v>
      </c>
      <c r="V2214" s="1077" t="s">
        <v>648</v>
      </c>
      <c r="W2214" s="1077" t="s">
        <v>4947</v>
      </c>
      <c r="X2214" s="1077">
        <v>10</v>
      </c>
      <c r="Y2214" s="1077">
        <v>1.6</v>
      </c>
      <c r="Z2214" s="1077" t="s">
        <v>648</v>
      </c>
      <c r="AA2214" s="1077" t="s">
        <v>4981</v>
      </c>
      <c r="AH2214" s="1077" t="s">
        <v>1221</v>
      </c>
      <c r="AM2214" s="1078" t="s">
        <v>13383</v>
      </c>
      <c r="AN2214" s="1078" t="s">
        <v>13384</v>
      </c>
      <c r="AO2214" s="1078">
        <f t="shared" si="278"/>
        <v>600</v>
      </c>
      <c r="AP2214" s="1078">
        <f t="shared" si="279"/>
        <v>1.8</v>
      </c>
      <c r="AQ2214" s="1078" t="str">
        <f t="shared" si="280"/>
        <v>1-5-1S83°Z+S</v>
      </c>
      <c r="AR2214" s="1078" t="str">
        <f t="shared" si="281"/>
        <v>33.5</v>
      </c>
      <c r="AS2214" s="1078" t="str">
        <f t="shared" si="282"/>
        <v>310/310/190</v>
      </c>
      <c r="AT2214" s="1078" t="str">
        <f t="shared" si="283"/>
        <v>1-5-1S83°Z+S</v>
      </c>
      <c r="AU2214" s="1078" t="s">
        <v>15547</v>
      </c>
      <c r="AV2214" s="1078" t="str">
        <f t="shared" si="276"/>
        <v>108.4.8</v>
      </c>
      <c r="AW2214" s="1344">
        <f t="shared" si="277"/>
        <v>43563</v>
      </c>
    </row>
    <row r="2215" spans="1:49">
      <c r="A2215" s="1077" t="s">
        <v>6921</v>
      </c>
      <c r="B2215" s="1077" t="s">
        <v>6922</v>
      </c>
      <c r="C2215" s="1077">
        <v>480</v>
      </c>
      <c r="D2215" s="1077">
        <v>1.617</v>
      </c>
      <c r="E2215" s="1077" t="s">
        <v>15123</v>
      </c>
      <c r="F2215" s="1077" t="s">
        <v>1281</v>
      </c>
      <c r="G2215" s="1077">
        <v>5</v>
      </c>
      <c r="H2215" s="1077" t="s">
        <v>6923</v>
      </c>
      <c r="I2215" s="1077" t="s">
        <v>648</v>
      </c>
      <c r="J2215" s="1077">
        <v>1</v>
      </c>
      <c r="K2215" s="1077" t="s">
        <v>6924</v>
      </c>
      <c r="L2215" s="1077" t="s">
        <v>6925</v>
      </c>
      <c r="M2215" s="1077">
        <v>317</v>
      </c>
      <c r="N2215" s="1077" t="s">
        <v>945</v>
      </c>
      <c r="O2215" s="1077">
        <v>7.9250000000000007</v>
      </c>
      <c r="P2215" s="1077">
        <v>6.34</v>
      </c>
      <c r="Q2215" s="1077" t="s">
        <v>1059</v>
      </c>
      <c r="R2215" s="1077">
        <v>31.5</v>
      </c>
      <c r="T2215" s="1077">
        <v>19</v>
      </c>
      <c r="U2215" s="1077">
        <v>2.6</v>
      </c>
      <c r="V2215" s="1077" t="s">
        <v>648</v>
      </c>
      <c r="W2215" s="1077" t="s">
        <v>648</v>
      </c>
      <c r="X2215" s="1077" t="s">
        <v>648</v>
      </c>
      <c r="Y2215" s="1077">
        <v>1.6</v>
      </c>
      <c r="Z2215" s="1077">
        <v>7.2</v>
      </c>
      <c r="AA2215" s="1077" t="s">
        <v>6926</v>
      </c>
      <c r="AH2215" s="1077" t="s">
        <v>853</v>
      </c>
      <c r="AM2215" s="1078" t="s">
        <v>13385</v>
      </c>
      <c r="AN2215" s="1078" t="s">
        <v>13386</v>
      </c>
      <c r="AO2215" s="1078">
        <f t="shared" si="278"/>
        <v>480</v>
      </c>
      <c r="AP2215" s="1078">
        <f t="shared" si="279"/>
        <v>1.617</v>
      </c>
      <c r="AQ2215" s="1078" t="str">
        <f t="shared" si="280"/>
        <v>1-7-1S83°</v>
      </c>
      <c r="AR2215" s="1078" t="str">
        <f t="shared" si="281"/>
        <v>31.8</v>
      </c>
      <c r="AS2215" s="1078" t="str">
        <f t="shared" si="282"/>
        <v>185/160</v>
      </c>
      <c r="AT2215" s="1078" t="str">
        <f t="shared" si="283"/>
        <v>1-7-1S83°</v>
      </c>
      <c r="AV2215" s="1078" t="str">
        <f t="shared" si="276"/>
        <v>108.4.11</v>
      </c>
      <c r="AW2215" s="1344">
        <f t="shared" si="277"/>
        <v>43566</v>
      </c>
    </row>
    <row r="2216" spans="1:49">
      <c r="A2216" s="1077" t="s">
        <v>6927</v>
      </c>
      <c r="B2216" s="1077" t="s">
        <v>663</v>
      </c>
      <c r="C2216" s="1077">
        <v>500</v>
      </c>
      <c r="D2216" s="1077">
        <v>1.77</v>
      </c>
      <c r="E2216" s="1077">
        <v>102.5</v>
      </c>
      <c r="F2216" s="1077" t="s">
        <v>4070</v>
      </c>
      <c r="G2216" s="1077">
        <v>5.5</v>
      </c>
      <c r="H2216" s="1077" t="s">
        <v>6928</v>
      </c>
      <c r="I2216" s="1077" t="s">
        <v>6929</v>
      </c>
      <c r="K2216" s="1077" t="s">
        <v>6930</v>
      </c>
      <c r="L2216" s="1077" t="s">
        <v>4907</v>
      </c>
      <c r="M2216" s="1077">
        <v>296</v>
      </c>
      <c r="N2216" s="1077" t="s">
        <v>945</v>
      </c>
      <c r="O2216" s="1077">
        <v>7.4</v>
      </c>
      <c r="P2216" s="1077">
        <v>5.92</v>
      </c>
      <c r="Q2216" s="1077" t="s">
        <v>3010</v>
      </c>
      <c r="R2216" s="1077">
        <v>17</v>
      </c>
      <c r="T2216" s="1077">
        <v>10.5</v>
      </c>
      <c r="U2216" s="1077">
        <v>6.1</v>
      </c>
      <c r="V2216" s="1077" t="s">
        <v>648</v>
      </c>
      <c r="W2216" s="1077">
        <v>120</v>
      </c>
      <c r="X2216" s="1077">
        <v>90</v>
      </c>
      <c r="Y2216" s="1077">
        <v>1.1000000000000001</v>
      </c>
      <c r="Z2216" s="1077" t="s">
        <v>648</v>
      </c>
      <c r="AA2216" s="1077" t="s">
        <v>2608</v>
      </c>
      <c r="AH2216" s="1077" t="s">
        <v>854</v>
      </c>
      <c r="AM2216" s="1078" t="s">
        <v>13387</v>
      </c>
      <c r="AN2216" s="1078" t="s">
        <v>13388</v>
      </c>
      <c r="AO2216" s="1078">
        <f t="shared" si="278"/>
        <v>500</v>
      </c>
      <c r="AP2216" s="1078">
        <f t="shared" si="279"/>
        <v>1.77</v>
      </c>
      <c r="AQ2216" s="1078">
        <f t="shared" si="280"/>
        <v>102.5</v>
      </c>
      <c r="AR2216" s="1078" t="str">
        <f t="shared" si="281"/>
        <v>15.5</v>
      </c>
      <c r="AS2216" s="1078" t="str">
        <f t="shared" si="282"/>
        <v>370/355/153</v>
      </c>
      <c r="AT2216" s="1078">
        <f t="shared" si="283"/>
        <v>102.5</v>
      </c>
      <c r="AV2216" s="1078" t="str">
        <f t="shared" si="276"/>
        <v>108.4.15</v>
      </c>
      <c r="AW2216" s="1344">
        <f t="shared" si="277"/>
        <v>43570</v>
      </c>
    </row>
    <row r="2217" spans="1:49">
      <c r="A2217" s="1077" t="s">
        <v>6931</v>
      </c>
      <c r="B2217" s="1077" t="s">
        <v>775</v>
      </c>
      <c r="C2217" s="1077">
        <v>600</v>
      </c>
      <c r="D2217" s="1077">
        <v>1.8</v>
      </c>
      <c r="E2217" s="1077" t="s">
        <v>15116</v>
      </c>
      <c r="F2217" s="1077" t="s">
        <v>2234</v>
      </c>
      <c r="G2217" s="1077">
        <v>4</v>
      </c>
      <c r="H2217" s="1077" t="s">
        <v>6902</v>
      </c>
      <c r="I2217" s="1077" t="s">
        <v>6903</v>
      </c>
      <c r="K2217" s="1077" t="s">
        <v>6932</v>
      </c>
      <c r="L2217" s="1077" t="s">
        <v>6933</v>
      </c>
      <c r="M2217" s="1077">
        <v>302</v>
      </c>
      <c r="N2217" s="1077" t="s">
        <v>945</v>
      </c>
      <c r="O2217" s="1077">
        <v>7.5500000000000007</v>
      </c>
      <c r="P2217" s="1077">
        <v>6.04</v>
      </c>
      <c r="Q2217" s="1077" t="s">
        <v>1264</v>
      </c>
      <c r="R2217" s="1077">
        <v>27.3</v>
      </c>
      <c r="T2217" s="1077">
        <v>13.3</v>
      </c>
      <c r="U2217" s="1077">
        <v>2.2999999999999998</v>
      </c>
      <c r="V2217" s="1077" t="s">
        <v>648</v>
      </c>
      <c r="W2217" s="1077" t="s">
        <v>4947</v>
      </c>
      <c r="X2217" s="1077">
        <v>10</v>
      </c>
      <c r="Y2217" s="1077">
        <v>1.6</v>
      </c>
      <c r="Z2217" s="1077" t="s">
        <v>648</v>
      </c>
      <c r="AA2217" s="1077" t="s">
        <v>6934</v>
      </c>
      <c r="AH2217" s="1077" t="s">
        <v>722</v>
      </c>
      <c r="AM2217" s="1078" t="s">
        <v>13389</v>
      </c>
      <c r="AN2217" s="1078" t="s">
        <v>13390</v>
      </c>
      <c r="AO2217" s="1078">
        <f t="shared" si="278"/>
        <v>600</v>
      </c>
      <c r="AP2217" s="1078">
        <f t="shared" si="279"/>
        <v>1.8</v>
      </c>
      <c r="AQ2217" s="1078" t="str">
        <f t="shared" si="280"/>
        <v>1-5-1S83°Z+S</v>
      </c>
      <c r="AR2217" s="1078" t="str">
        <f t="shared" si="281"/>
        <v>33.5</v>
      </c>
      <c r="AS2217" s="1078" t="str">
        <f t="shared" si="282"/>
        <v>310/310/190</v>
      </c>
      <c r="AT2217" s="1078" t="str">
        <f t="shared" si="283"/>
        <v>1-5-1S83°Z+S</v>
      </c>
      <c r="AU2217" s="1078" t="s">
        <v>15547</v>
      </c>
      <c r="AV2217" s="1078" t="str">
        <f t="shared" si="276"/>
        <v>108.4.16</v>
      </c>
      <c r="AW2217" s="1344">
        <f t="shared" si="277"/>
        <v>43571</v>
      </c>
    </row>
    <row r="2218" spans="1:49">
      <c r="A2218" s="1077" t="s">
        <v>6935</v>
      </c>
      <c r="B2218" s="1077" t="s">
        <v>663</v>
      </c>
      <c r="C2218" s="1077">
        <v>500</v>
      </c>
      <c r="D2218" s="1077">
        <v>1.76</v>
      </c>
      <c r="E2218" s="1077">
        <v>102.5</v>
      </c>
      <c r="F2218" s="1077" t="s">
        <v>4070</v>
      </c>
      <c r="G2218" s="1077">
        <v>5.5</v>
      </c>
      <c r="H2218" s="1077" t="s">
        <v>6936</v>
      </c>
      <c r="I2218" s="1077" t="s">
        <v>6937</v>
      </c>
      <c r="K2218" s="1077" t="s">
        <v>6930</v>
      </c>
      <c r="L2218" s="1077" t="s">
        <v>4907</v>
      </c>
      <c r="M2218" s="1077">
        <v>294</v>
      </c>
      <c r="N2218" s="1077" t="s">
        <v>945</v>
      </c>
      <c r="O2218" s="1077">
        <v>7.3500000000000005</v>
      </c>
      <c r="P2218" s="1077">
        <v>5.88</v>
      </c>
      <c r="Q2218" s="1077" t="s">
        <v>2422</v>
      </c>
      <c r="R2218" s="1077">
        <v>19</v>
      </c>
      <c r="T2218" s="1077">
        <v>16.399999999999999</v>
      </c>
      <c r="U2218" s="1077">
        <v>5.4</v>
      </c>
      <c r="V2218" s="1077" t="s">
        <v>648</v>
      </c>
      <c r="W2218" s="1077" t="s">
        <v>4667</v>
      </c>
      <c r="X2218" s="1077">
        <v>20</v>
      </c>
      <c r="Y2218" s="1077">
        <v>1.4</v>
      </c>
      <c r="Z2218" s="1077" t="s">
        <v>648</v>
      </c>
      <c r="AA2218" s="1077" t="s">
        <v>6938</v>
      </c>
      <c r="AH2218" s="1077" t="s">
        <v>723</v>
      </c>
      <c r="AM2218" s="1078" t="s">
        <v>13391</v>
      </c>
      <c r="AN2218" s="1078" t="s">
        <v>13392</v>
      </c>
      <c r="AO2218" s="1078">
        <f t="shared" si="278"/>
        <v>500</v>
      </c>
      <c r="AP2218" s="1078">
        <f t="shared" si="279"/>
        <v>1.76</v>
      </c>
      <c r="AQ2218" s="1078">
        <f t="shared" si="280"/>
        <v>102.5</v>
      </c>
      <c r="AR2218" s="1078" t="str">
        <f t="shared" si="281"/>
        <v>15.5</v>
      </c>
      <c r="AS2218" s="1078" t="str">
        <f t="shared" si="282"/>
        <v>369/354/153</v>
      </c>
      <c r="AT2218" s="1078">
        <f t="shared" si="283"/>
        <v>102.5</v>
      </c>
      <c r="AV2218" s="1078" t="str">
        <f t="shared" si="276"/>
        <v>108.4.29</v>
      </c>
      <c r="AW2218" s="1344">
        <f t="shared" si="277"/>
        <v>43584</v>
      </c>
    </row>
    <row r="2219" spans="1:49">
      <c r="A2219" s="1077" t="s">
        <v>6939</v>
      </c>
      <c r="B2219" s="1077" t="s">
        <v>6940</v>
      </c>
      <c r="C2219" s="1077">
        <v>500</v>
      </c>
      <c r="D2219" s="1077">
        <v>1.78</v>
      </c>
      <c r="E2219" s="1077" t="s">
        <v>15124</v>
      </c>
      <c r="F2219" s="1077" t="s">
        <v>1514</v>
      </c>
      <c r="G2219" s="1077">
        <v>5</v>
      </c>
      <c r="H2219" s="1077" t="s">
        <v>1624</v>
      </c>
      <c r="I2219" s="1077" t="s">
        <v>6941</v>
      </c>
      <c r="J2219" s="1077">
        <v>1</v>
      </c>
      <c r="K2219" s="1077" t="s">
        <v>6942</v>
      </c>
      <c r="L2219" s="1077" t="s">
        <v>4952</v>
      </c>
      <c r="M2219" s="1077">
        <v>308.7</v>
      </c>
      <c r="N2219" s="1077" t="s">
        <v>945</v>
      </c>
      <c r="O2219" s="1077">
        <v>7.7175000000000002</v>
      </c>
      <c r="P2219" s="1077">
        <v>6.1739999999999995</v>
      </c>
      <c r="Q2219" s="1077" t="s">
        <v>6943</v>
      </c>
      <c r="R2219" s="1077">
        <v>25.5</v>
      </c>
      <c r="T2219" s="1077">
        <v>18</v>
      </c>
      <c r="U2219" s="1077">
        <v>5.0999999999999996</v>
      </c>
      <c r="V2219" s="1077" t="s">
        <v>648</v>
      </c>
      <c r="W2219" s="1077" t="s">
        <v>2816</v>
      </c>
      <c r="X2219" s="1077">
        <v>10</v>
      </c>
      <c r="Y2219" s="1077">
        <v>1.7</v>
      </c>
      <c r="Z2219" s="1077" t="s">
        <v>648</v>
      </c>
      <c r="AA2219" s="1077" t="s">
        <v>2635</v>
      </c>
      <c r="AH2219" s="1077" t="s">
        <v>1827</v>
      </c>
      <c r="AM2219" s="1078" t="s">
        <v>13393</v>
      </c>
      <c r="AN2219" s="1078" t="s">
        <v>13394</v>
      </c>
      <c r="AO2219" s="1078">
        <f t="shared" si="278"/>
        <v>500</v>
      </c>
      <c r="AP2219" s="1078">
        <f t="shared" si="279"/>
        <v>1.78</v>
      </c>
      <c r="AQ2219" s="1078" t="str">
        <f t="shared" si="280"/>
        <v>2-6-1S83°Z+S</v>
      </c>
      <c r="AR2219" s="1078" t="str">
        <f t="shared" si="281"/>
        <v>32</v>
      </c>
      <c r="AS2219" s="1078" t="str">
        <f t="shared" si="282"/>
        <v>155/OFF</v>
      </c>
      <c r="AT2219" s="1078" t="str">
        <f t="shared" si="283"/>
        <v>2-6-1S83°Z+S</v>
      </c>
      <c r="AU2219" s="1078" t="s">
        <v>15547</v>
      </c>
      <c r="AV2219" s="1078" t="str">
        <f t="shared" si="276"/>
        <v>108.5.2</v>
      </c>
      <c r="AW2219" s="1344">
        <f t="shared" si="277"/>
        <v>43587</v>
      </c>
    </row>
    <row r="2220" spans="1:49">
      <c r="A2220" s="1077" t="s">
        <v>6944</v>
      </c>
      <c r="B2220" s="1077" t="s">
        <v>6945</v>
      </c>
      <c r="C2220" s="1077">
        <v>500</v>
      </c>
      <c r="D2220" s="1077">
        <v>1.78</v>
      </c>
      <c r="E2220" s="1077" t="s">
        <v>15122</v>
      </c>
      <c r="F2220" s="1077" t="s">
        <v>1514</v>
      </c>
      <c r="G2220" s="1077">
        <v>5</v>
      </c>
      <c r="H2220" s="1077" t="s">
        <v>6946</v>
      </c>
      <c r="I2220" s="1077" t="s">
        <v>6947</v>
      </c>
      <c r="J2220" s="1077">
        <v>3</v>
      </c>
      <c r="K2220" s="1077" t="s">
        <v>6948</v>
      </c>
      <c r="L2220" s="1077" t="s">
        <v>6949</v>
      </c>
      <c r="M2220" s="1077">
        <v>303</v>
      </c>
      <c r="N2220" s="1077" t="s">
        <v>945</v>
      </c>
      <c r="O2220" s="1077">
        <v>7.5750000000000002</v>
      </c>
      <c r="P2220" s="1077">
        <v>6.0600000000000005</v>
      </c>
      <c r="Q2220" s="1077" t="s">
        <v>1369</v>
      </c>
      <c r="R2220" s="1077">
        <v>23</v>
      </c>
      <c r="T2220" s="1077">
        <v>13.2</v>
      </c>
      <c r="U2220" s="1077">
        <v>5</v>
      </c>
      <c r="V2220" s="1077" t="s">
        <v>648</v>
      </c>
      <c r="W2220" s="1077">
        <v>125</v>
      </c>
      <c r="X2220" s="1077">
        <v>85</v>
      </c>
      <c r="Y2220" s="1077">
        <v>1.3</v>
      </c>
      <c r="Z2220" s="1077" t="s">
        <v>648</v>
      </c>
      <c r="AA2220" s="1077" t="s">
        <v>1038</v>
      </c>
      <c r="AH2220" s="1077" t="s">
        <v>1482</v>
      </c>
      <c r="AM2220" s="1078" t="s">
        <v>13395</v>
      </c>
      <c r="AN2220" s="1078" t="s">
        <v>13396</v>
      </c>
      <c r="AO2220" s="1078">
        <f t="shared" si="278"/>
        <v>500</v>
      </c>
      <c r="AP2220" s="1078">
        <f t="shared" si="279"/>
        <v>1.78</v>
      </c>
      <c r="AQ2220" s="1078" t="str">
        <f t="shared" si="280"/>
        <v>1-5-1S91°Z+S</v>
      </c>
      <c r="AR2220" s="1078" t="str">
        <f t="shared" si="281"/>
        <v>32</v>
      </c>
      <c r="AS2220" s="1078" t="str">
        <f t="shared" si="282"/>
        <v>320/300/158</v>
      </c>
      <c r="AT2220" s="1078" t="str">
        <f t="shared" si="283"/>
        <v>1-5-1S91°Z+S</v>
      </c>
      <c r="AU2220" s="1078" t="s">
        <v>15547</v>
      </c>
      <c r="AV2220" s="1078" t="str">
        <f t="shared" si="276"/>
        <v>108.5.3</v>
      </c>
      <c r="AW2220" s="1344">
        <f t="shared" si="277"/>
        <v>43588</v>
      </c>
    </row>
    <row r="2221" spans="1:49">
      <c r="A2221" s="1077" t="s">
        <v>6950</v>
      </c>
      <c r="B2221" s="1077" t="s">
        <v>6951</v>
      </c>
      <c r="C2221" s="1077">
        <v>600</v>
      </c>
      <c r="D2221" s="1077">
        <v>1.8</v>
      </c>
      <c r="E2221" s="1077" t="s">
        <v>15116</v>
      </c>
      <c r="F2221" s="1077" t="s">
        <v>2234</v>
      </c>
      <c r="G2221" s="1077">
        <v>3.5</v>
      </c>
      <c r="H2221" s="1077" t="s">
        <v>6952</v>
      </c>
      <c r="I2221" s="1077" t="s">
        <v>6953</v>
      </c>
      <c r="K2221" s="1077" t="s">
        <v>6954</v>
      </c>
      <c r="L2221" s="1077" t="s">
        <v>6955</v>
      </c>
      <c r="M2221" s="1077">
        <v>303</v>
      </c>
      <c r="N2221" s="1077" t="s">
        <v>945</v>
      </c>
      <c r="O2221" s="1077">
        <v>7.5750000000000002</v>
      </c>
      <c r="P2221" s="1077">
        <v>6.0600000000000005</v>
      </c>
      <c r="Q2221" s="1077" t="s">
        <v>1264</v>
      </c>
      <c r="R2221" s="1077">
        <v>24</v>
      </c>
      <c r="T2221" s="1077">
        <v>23</v>
      </c>
      <c r="U2221" s="1077">
        <v>3.2</v>
      </c>
      <c r="V2221" s="1077" t="s">
        <v>648</v>
      </c>
      <c r="W2221" s="1077">
        <v>115</v>
      </c>
      <c r="X2221" s="1077">
        <v>85</v>
      </c>
      <c r="Y2221" s="1077">
        <v>1.2</v>
      </c>
      <c r="Z2221" s="1077" t="s">
        <v>648</v>
      </c>
      <c r="AA2221" s="1077" t="s">
        <v>2638</v>
      </c>
      <c r="AH2221" s="1077" t="s">
        <v>722</v>
      </c>
      <c r="AM2221" s="1078" t="s">
        <v>13397</v>
      </c>
      <c r="AN2221" s="1078" t="s">
        <v>13398</v>
      </c>
      <c r="AO2221" s="1078">
        <f t="shared" si="278"/>
        <v>600</v>
      </c>
      <c r="AP2221" s="1078">
        <f t="shared" si="279"/>
        <v>1.8</v>
      </c>
      <c r="AQ2221" s="1078" t="str">
        <f t="shared" si="280"/>
        <v>1-5-1S83°Z+S</v>
      </c>
      <c r="AR2221" s="1078" t="str">
        <f t="shared" si="281"/>
        <v>33.5</v>
      </c>
      <c r="AS2221" s="1078" t="str">
        <f t="shared" si="282"/>
        <v>340/340/140</v>
      </c>
      <c r="AT2221" s="1078" t="str">
        <f t="shared" si="283"/>
        <v>1-5-1S83°Z+S</v>
      </c>
      <c r="AU2221" s="1078" t="s">
        <v>15547</v>
      </c>
      <c r="AV2221" s="1078" t="str">
        <f t="shared" si="276"/>
        <v>108.5.17</v>
      </c>
      <c r="AW2221" s="1344">
        <f t="shared" si="277"/>
        <v>43602</v>
      </c>
    </row>
    <row r="2222" spans="1:49">
      <c r="A2222" s="1077" t="s">
        <v>6956</v>
      </c>
      <c r="B2222" s="1077" t="s">
        <v>6957</v>
      </c>
      <c r="C2222" s="1077">
        <v>550</v>
      </c>
      <c r="D2222" s="1077">
        <v>1.8049999999999999</v>
      </c>
      <c r="E2222" s="1077" t="s">
        <v>15125</v>
      </c>
      <c r="F2222" s="1077" t="s">
        <v>1514</v>
      </c>
      <c r="G2222" s="1077">
        <v>5</v>
      </c>
      <c r="H2222" s="1077" t="s">
        <v>6958</v>
      </c>
      <c r="I2222" s="1077" t="s">
        <v>6918</v>
      </c>
      <c r="J2222" s="1077">
        <v>2.9</v>
      </c>
      <c r="K2222" s="1077" t="s">
        <v>6959</v>
      </c>
      <c r="L2222" s="1077" t="s">
        <v>6960</v>
      </c>
      <c r="M2222" s="1077">
        <v>300.5</v>
      </c>
      <c r="N2222" s="1077" t="s">
        <v>945</v>
      </c>
      <c r="O2222" s="1077">
        <v>7.5125000000000002</v>
      </c>
      <c r="P2222" s="1077">
        <v>6.01</v>
      </c>
      <c r="Q2222" s="1077" t="s">
        <v>2553</v>
      </c>
      <c r="R2222" s="1077">
        <v>23.7</v>
      </c>
      <c r="T2222" s="1077">
        <v>23.2</v>
      </c>
      <c r="U2222" s="1077">
        <v>2.7</v>
      </c>
      <c r="V2222" s="1077" t="s">
        <v>648</v>
      </c>
      <c r="W2222" s="1077" t="s">
        <v>6880</v>
      </c>
      <c r="X2222" s="1077">
        <v>10</v>
      </c>
      <c r="Y2222" s="1077">
        <v>1.6</v>
      </c>
      <c r="Z2222" s="1077" t="s">
        <v>648</v>
      </c>
      <c r="AA2222" s="1077" t="s">
        <v>2644</v>
      </c>
      <c r="AH2222" s="1077" t="s">
        <v>1137</v>
      </c>
      <c r="AM2222" s="1078" t="s">
        <v>13399</v>
      </c>
      <c r="AN2222" s="1078" t="s">
        <v>13400</v>
      </c>
      <c r="AO2222" s="1078">
        <f t="shared" si="278"/>
        <v>550</v>
      </c>
      <c r="AP2222" s="1078">
        <f t="shared" si="279"/>
        <v>1.8049999999999999</v>
      </c>
      <c r="AQ2222" s="1078" t="str">
        <f t="shared" si="280"/>
        <v>1-5-1S83°S+Z</v>
      </c>
      <c r="AR2222" s="1078" t="str">
        <f t="shared" si="281"/>
        <v>32</v>
      </c>
      <c r="AS2222" s="1078" t="str">
        <f t="shared" si="282"/>
        <v>320/340/160</v>
      </c>
      <c r="AT2222" s="1078" t="str">
        <f t="shared" si="283"/>
        <v>1-5-1S83°S+Z</v>
      </c>
      <c r="AU2222" s="1078" t="s">
        <v>15550</v>
      </c>
      <c r="AV2222" s="1078" t="str">
        <f t="shared" si="276"/>
        <v>108.5.23</v>
      </c>
      <c r="AW2222" s="1344">
        <f t="shared" si="277"/>
        <v>43608</v>
      </c>
    </row>
    <row r="2223" spans="1:49">
      <c r="A2223" s="1077" t="s">
        <v>6961</v>
      </c>
      <c r="B2223" s="1077" t="s">
        <v>6962</v>
      </c>
      <c r="C2223" s="1077">
        <v>550</v>
      </c>
      <c r="D2223" s="1077">
        <v>1.8049999999999999</v>
      </c>
      <c r="E2223" s="1077" t="s">
        <v>15125</v>
      </c>
      <c r="F2223" s="1077" t="s">
        <v>1514</v>
      </c>
      <c r="G2223" s="1077">
        <v>5</v>
      </c>
      <c r="H2223" s="1077" t="s">
        <v>6958</v>
      </c>
      <c r="I2223" s="1077" t="s">
        <v>6918</v>
      </c>
      <c r="J2223" s="1077">
        <v>2.9</v>
      </c>
      <c r="K2223" s="1077" t="s">
        <v>6963</v>
      </c>
      <c r="L2223" s="1077" t="s">
        <v>6964</v>
      </c>
      <c r="M2223" s="1077">
        <v>300.5</v>
      </c>
      <c r="N2223" s="1077" t="s">
        <v>945</v>
      </c>
      <c r="O2223" s="1077">
        <v>7.5125000000000002</v>
      </c>
      <c r="P2223" s="1077">
        <v>6.01</v>
      </c>
      <c r="Q2223" s="1077" t="s">
        <v>2553</v>
      </c>
      <c r="R2223" s="1077">
        <v>23.7</v>
      </c>
      <c r="T2223" s="1077">
        <v>23.2</v>
      </c>
      <c r="U2223" s="1077">
        <v>2.7</v>
      </c>
      <c r="V2223" s="1077" t="s">
        <v>648</v>
      </c>
      <c r="W2223" s="1077" t="s">
        <v>6880</v>
      </c>
      <c r="X2223" s="1077">
        <v>10</v>
      </c>
      <c r="Y2223" s="1077">
        <v>1.6</v>
      </c>
      <c r="Z2223" s="1077" t="s">
        <v>648</v>
      </c>
      <c r="AA2223" s="1077" t="s">
        <v>2644</v>
      </c>
      <c r="AH2223" s="1077" t="s">
        <v>684</v>
      </c>
      <c r="AM2223" s="1078" t="s">
        <v>13401</v>
      </c>
      <c r="AN2223" s="1078" t="s">
        <v>13402</v>
      </c>
      <c r="AO2223" s="1078">
        <f t="shared" si="278"/>
        <v>550</v>
      </c>
      <c r="AP2223" s="1078">
        <f t="shared" si="279"/>
        <v>1.8049999999999999</v>
      </c>
      <c r="AQ2223" s="1078" t="str">
        <f t="shared" si="280"/>
        <v>1-5-1S83°S+Z</v>
      </c>
      <c r="AR2223" s="1078" t="str">
        <f t="shared" si="281"/>
        <v>32</v>
      </c>
      <c r="AS2223" s="1078" t="str">
        <f t="shared" si="282"/>
        <v>320/340/160</v>
      </c>
      <c r="AT2223" s="1078" t="str">
        <f t="shared" si="283"/>
        <v>1-5-1S83°S+Z</v>
      </c>
      <c r="AU2223" s="1078" t="s">
        <v>15550</v>
      </c>
      <c r="AV2223" s="1078" t="str">
        <f t="shared" si="276"/>
        <v>108.5.23</v>
      </c>
      <c r="AW2223" s="1344">
        <f t="shared" si="277"/>
        <v>43608</v>
      </c>
    </row>
    <row r="2224" spans="1:49">
      <c r="A2224" s="1077" t="s">
        <v>6965</v>
      </c>
      <c r="B2224" s="1077" t="s">
        <v>663</v>
      </c>
      <c r="C2224" s="1077">
        <v>500</v>
      </c>
      <c r="D2224" s="1077">
        <v>1.76</v>
      </c>
      <c r="E2224" s="1077">
        <v>102.5</v>
      </c>
      <c r="F2224" s="1077" t="s">
        <v>4070</v>
      </c>
      <c r="G2224" s="1077">
        <v>5.5</v>
      </c>
      <c r="H2224" s="1077" t="s">
        <v>6966</v>
      </c>
      <c r="I2224" s="1077" t="s">
        <v>6967</v>
      </c>
      <c r="K2224" s="1077" t="s">
        <v>6968</v>
      </c>
      <c r="L2224" s="1077" t="s">
        <v>4907</v>
      </c>
      <c r="M2224" s="1077">
        <v>294</v>
      </c>
      <c r="N2224" s="1077" t="s">
        <v>945</v>
      </c>
      <c r="O2224" s="1077">
        <v>7.3500000000000005</v>
      </c>
      <c r="P2224" s="1077">
        <v>5.88</v>
      </c>
      <c r="Q2224" s="1077" t="s">
        <v>2422</v>
      </c>
      <c r="R2224" s="1077">
        <v>19</v>
      </c>
      <c r="T2224" s="1077">
        <v>16.399999999999999</v>
      </c>
      <c r="U2224" s="1077">
        <v>5.4</v>
      </c>
      <c r="V2224" s="1077" t="s">
        <v>648</v>
      </c>
      <c r="W2224" s="1077" t="s">
        <v>4667</v>
      </c>
      <c r="X2224" s="1077">
        <v>20</v>
      </c>
      <c r="Y2224" s="1077">
        <v>1.4</v>
      </c>
      <c r="Z2224" s="1077" t="s">
        <v>648</v>
      </c>
      <c r="AA2224" s="1077" t="s">
        <v>2624</v>
      </c>
      <c r="AH2224" s="1077" t="s">
        <v>830</v>
      </c>
      <c r="AM2224" s="1078" t="s">
        <v>13403</v>
      </c>
      <c r="AN2224" s="1078" t="s">
        <v>13404</v>
      </c>
      <c r="AO2224" s="1078">
        <f t="shared" si="278"/>
        <v>500</v>
      </c>
      <c r="AP2224" s="1078">
        <f t="shared" si="279"/>
        <v>1.76</v>
      </c>
      <c r="AQ2224" s="1078">
        <f t="shared" si="280"/>
        <v>102.5</v>
      </c>
      <c r="AR2224" s="1078" t="str">
        <f t="shared" si="281"/>
        <v>15.5</v>
      </c>
      <c r="AS2224" s="1078" t="str">
        <f t="shared" si="282"/>
        <v>374/359/153</v>
      </c>
      <c r="AT2224" s="1078">
        <f t="shared" si="283"/>
        <v>102.5</v>
      </c>
      <c r="AV2224" s="1078" t="str">
        <f t="shared" si="276"/>
        <v>108.5.27</v>
      </c>
      <c r="AW2224" s="1344">
        <f t="shared" si="277"/>
        <v>43612</v>
      </c>
    </row>
    <row r="2225" spans="1:49">
      <c r="A2225" s="1077" t="s">
        <v>6969</v>
      </c>
      <c r="B2225" s="1077" t="s">
        <v>663</v>
      </c>
      <c r="C2225" s="1077">
        <v>500</v>
      </c>
      <c r="D2225" s="1077">
        <v>1.77</v>
      </c>
      <c r="E2225" s="1077">
        <v>102.5</v>
      </c>
      <c r="F2225" s="1077" t="s">
        <v>4070</v>
      </c>
      <c r="G2225" s="1077">
        <v>5.5</v>
      </c>
      <c r="H2225" s="1077" t="s">
        <v>6928</v>
      </c>
      <c r="I2225" s="1077" t="s">
        <v>6970</v>
      </c>
      <c r="K2225" s="1077" t="s">
        <v>6968</v>
      </c>
      <c r="L2225" s="1077" t="s">
        <v>4907</v>
      </c>
      <c r="M2225" s="1077">
        <v>296</v>
      </c>
      <c r="N2225" s="1077" t="s">
        <v>945</v>
      </c>
      <c r="O2225" s="1077">
        <v>7.4</v>
      </c>
      <c r="P2225" s="1077">
        <v>5.92</v>
      </c>
      <c r="Q2225" s="1077" t="s">
        <v>3010</v>
      </c>
      <c r="R2225" s="1077">
        <v>17</v>
      </c>
      <c r="T2225" s="1077">
        <v>10.5</v>
      </c>
      <c r="U2225" s="1077">
        <v>6.1</v>
      </c>
      <c r="V2225" s="1077" t="s">
        <v>648</v>
      </c>
      <c r="W2225" s="1077">
        <v>120</v>
      </c>
      <c r="X2225" s="1077">
        <v>90</v>
      </c>
      <c r="Y2225" s="1077">
        <v>1.1000000000000001</v>
      </c>
      <c r="Z2225" s="1077" t="s">
        <v>648</v>
      </c>
      <c r="AA2225" s="1077" t="s">
        <v>6971</v>
      </c>
      <c r="AH2225" s="1077" t="s">
        <v>723</v>
      </c>
      <c r="AM2225" s="1078" t="s">
        <v>13405</v>
      </c>
      <c r="AN2225" s="1078" t="s">
        <v>13406</v>
      </c>
      <c r="AO2225" s="1078">
        <f t="shared" si="278"/>
        <v>500</v>
      </c>
      <c r="AP2225" s="1078">
        <f t="shared" si="279"/>
        <v>1.77</v>
      </c>
      <c r="AQ2225" s="1078">
        <f t="shared" si="280"/>
        <v>102.5</v>
      </c>
      <c r="AR2225" s="1078" t="str">
        <f t="shared" si="281"/>
        <v>15.5</v>
      </c>
      <c r="AS2225" s="1078" t="str">
        <f t="shared" si="282"/>
        <v>370/355/153</v>
      </c>
      <c r="AT2225" s="1078">
        <f t="shared" si="283"/>
        <v>102.5</v>
      </c>
      <c r="AV2225" s="1078" t="str">
        <f t="shared" si="276"/>
        <v>108.5.28</v>
      </c>
      <c r="AW2225" s="1344">
        <f t="shared" si="277"/>
        <v>43613</v>
      </c>
    </row>
    <row r="2226" spans="1:49">
      <c r="A2226" s="1077" t="s">
        <v>6972</v>
      </c>
      <c r="B2226" s="1077" t="s">
        <v>6945</v>
      </c>
      <c r="C2226" s="1077">
        <v>500</v>
      </c>
      <c r="D2226" s="1077">
        <v>1.78</v>
      </c>
      <c r="E2226" s="1077" t="s">
        <v>15122</v>
      </c>
      <c r="F2226" s="1077" t="s">
        <v>1514</v>
      </c>
      <c r="G2226" s="1077">
        <v>5</v>
      </c>
      <c r="H2226" s="1077" t="s">
        <v>6946</v>
      </c>
      <c r="I2226" s="1077" t="s">
        <v>6947</v>
      </c>
      <c r="J2226" s="1077">
        <v>3</v>
      </c>
      <c r="K2226" s="1077" t="s">
        <v>6973</v>
      </c>
      <c r="L2226" s="1077" t="s">
        <v>6949</v>
      </c>
      <c r="M2226" s="1077">
        <v>303</v>
      </c>
      <c r="N2226" s="1077" t="s">
        <v>945</v>
      </c>
      <c r="O2226" s="1077">
        <v>7.5750000000000002</v>
      </c>
      <c r="P2226" s="1077">
        <v>6.0600000000000005</v>
      </c>
      <c r="Q2226" s="1077" t="s">
        <v>1369</v>
      </c>
      <c r="R2226" s="1077">
        <v>23</v>
      </c>
      <c r="T2226" s="1077">
        <v>13.2</v>
      </c>
      <c r="U2226" s="1077">
        <v>5</v>
      </c>
      <c r="V2226" s="1077" t="s">
        <v>648</v>
      </c>
      <c r="W2226" s="1077">
        <v>125</v>
      </c>
      <c r="X2226" s="1077">
        <v>85</v>
      </c>
      <c r="Y2226" s="1077">
        <v>1.3</v>
      </c>
      <c r="Z2226" s="1077" t="s">
        <v>648</v>
      </c>
      <c r="AA2226" s="1077" t="s">
        <v>1101</v>
      </c>
      <c r="AH2226" s="1077" t="s">
        <v>875</v>
      </c>
      <c r="AM2226" s="1078" t="s">
        <v>13407</v>
      </c>
      <c r="AN2226" s="1078" t="s">
        <v>13408</v>
      </c>
      <c r="AO2226" s="1078">
        <f t="shared" si="278"/>
        <v>500</v>
      </c>
      <c r="AP2226" s="1078">
        <f t="shared" si="279"/>
        <v>1.78</v>
      </c>
      <c r="AQ2226" s="1078" t="str">
        <f t="shared" si="280"/>
        <v>1-5-1S91°Z+S</v>
      </c>
      <c r="AR2226" s="1078" t="str">
        <f t="shared" si="281"/>
        <v>32</v>
      </c>
      <c r="AS2226" s="1078" t="str">
        <f t="shared" si="282"/>
        <v>320/300/158</v>
      </c>
      <c r="AT2226" s="1078" t="str">
        <f t="shared" si="283"/>
        <v>1-5-1S91°Z+S</v>
      </c>
      <c r="AU2226" s="1078" t="s">
        <v>15547</v>
      </c>
      <c r="AV2226" s="1078" t="str">
        <f t="shared" si="276"/>
        <v>108.6.4</v>
      </c>
      <c r="AW2226" s="1344">
        <f t="shared" si="277"/>
        <v>43620</v>
      </c>
    </row>
    <row r="2227" spans="1:49">
      <c r="A2227" s="1077" t="s">
        <v>6974</v>
      </c>
      <c r="B2227" s="1077" t="s">
        <v>6975</v>
      </c>
      <c r="C2227" s="1077">
        <v>500</v>
      </c>
      <c r="D2227" s="1077">
        <v>1.78</v>
      </c>
      <c r="E2227" s="1077">
        <v>102.5</v>
      </c>
      <c r="F2227" s="1077" t="s">
        <v>4070</v>
      </c>
      <c r="G2227" s="1077">
        <v>5</v>
      </c>
      <c r="H2227" s="1077" t="s">
        <v>6976</v>
      </c>
      <c r="I2227" s="1077" t="s">
        <v>6903</v>
      </c>
      <c r="J2227" s="1077">
        <v>2.9</v>
      </c>
      <c r="K2227" s="1077" t="s">
        <v>6977</v>
      </c>
      <c r="L2227" s="1077" t="s">
        <v>6978</v>
      </c>
      <c r="M2227" s="1077">
        <v>298</v>
      </c>
      <c r="N2227" s="1077" t="s">
        <v>945</v>
      </c>
      <c r="O2227" s="1077">
        <v>7.45</v>
      </c>
      <c r="P2227" s="1077">
        <v>5.96</v>
      </c>
      <c r="Q2227" s="1077" t="s">
        <v>2401</v>
      </c>
      <c r="R2227" s="1077">
        <v>25</v>
      </c>
      <c r="T2227" s="1077">
        <v>21</v>
      </c>
      <c r="U2227" s="1077">
        <v>3.6</v>
      </c>
      <c r="V2227" s="1077" t="s">
        <v>648</v>
      </c>
      <c r="W2227" s="1077">
        <v>100</v>
      </c>
      <c r="X2227" s="1077">
        <v>10</v>
      </c>
      <c r="Y2227" s="1077">
        <v>1.5</v>
      </c>
      <c r="Z2227" s="1077" t="s">
        <v>648</v>
      </c>
      <c r="AA2227" s="1077" t="s">
        <v>6979</v>
      </c>
      <c r="AH2227" s="1077" t="s">
        <v>862</v>
      </c>
      <c r="AM2227" s="1078" t="s">
        <v>13409</v>
      </c>
      <c r="AN2227" s="1078" t="s">
        <v>13410</v>
      </c>
      <c r="AO2227" s="1078">
        <f t="shared" si="278"/>
        <v>500</v>
      </c>
      <c r="AP2227" s="1078">
        <f t="shared" si="279"/>
        <v>1.78</v>
      </c>
      <c r="AQ2227" s="1078">
        <f t="shared" si="280"/>
        <v>102.5</v>
      </c>
      <c r="AR2227" s="1078" t="str">
        <f t="shared" si="281"/>
        <v>15.5</v>
      </c>
      <c r="AS2227" s="1078" t="str">
        <f t="shared" si="282"/>
        <v>400/390/155</v>
      </c>
      <c r="AT2227" s="1078">
        <f t="shared" si="283"/>
        <v>102.5</v>
      </c>
      <c r="AV2227" s="1078" t="str">
        <f t="shared" si="276"/>
        <v>108.6.10</v>
      </c>
      <c r="AW2227" s="1344">
        <f t="shared" si="277"/>
        <v>43626</v>
      </c>
    </row>
    <row r="2228" spans="1:49">
      <c r="A2228" s="1077" t="s">
        <v>6980</v>
      </c>
      <c r="B2228" s="1077" t="s">
        <v>6975</v>
      </c>
      <c r="C2228" s="1077">
        <v>500</v>
      </c>
      <c r="D2228" s="1077">
        <v>1.78</v>
      </c>
      <c r="E2228" s="1077">
        <v>102.5</v>
      </c>
      <c r="F2228" s="1077" t="s">
        <v>4070</v>
      </c>
      <c r="G2228" s="1077">
        <v>5</v>
      </c>
      <c r="H2228" s="1077" t="s">
        <v>6976</v>
      </c>
      <c r="I2228" s="1077" t="s">
        <v>6903</v>
      </c>
      <c r="J2228" s="1077">
        <v>2.9</v>
      </c>
      <c r="K2228" s="1077" t="s">
        <v>6977</v>
      </c>
      <c r="L2228" s="1077" t="s">
        <v>6978</v>
      </c>
      <c r="M2228" s="1077">
        <v>298</v>
      </c>
      <c r="N2228" s="1077" t="s">
        <v>945</v>
      </c>
      <c r="O2228" s="1077">
        <v>7.45</v>
      </c>
      <c r="P2228" s="1077">
        <v>5.96</v>
      </c>
      <c r="Q2228" s="1077" t="s">
        <v>2401</v>
      </c>
      <c r="R2228" s="1077">
        <v>25</v>
      </c>
      <c r="T2228" s="1077">
        <v>21</v>
      </c>
      <c r="U2228" s="1077">
        <v>3.6</v>
      </c>
      <c r="V2228" s="1077" t="s">
        <v>648</v>
      </c>
      <c r="W2228" s="1077">
        <v>100</v>
      </c>
      <c r="X2228" s="1077">
        <v>10</v>
      </c>
      <c r="Y2228" s="1077">
        <v>1.5</v>
      </c>
      <c r="Z2228" s="1077" t="s">
        <v>648</v>
      </c>
      <c r="AA2228" s="1077" t="s">
        <v>6979</v>
      </c>
      <c r="AH2228" s="1077" t="s">
        <v>5681</v>
      </c>
      <c r="AM2228" s="1078" t="s">
        <v>13411</v>
      </c>
      <c r="AN2228" s="1078" t="s">
        <v>13412</v>
      </c>
      <c r="AO2228" s="1078">
        <f t="shared" si="278"/>
        <v>500</v>
      </c>
      <c r="AP2228" s="1078">
        <f t="shared" si="279"/>
        <v>1.78</v>
      </c>
      <c r="AQ2228" s="1078">
        <f t="shared" si="280"/>
        <v>102.5</v>
      </c>
      <c r="AR2228" s="1078" t="str">
        <f t="shared" si="281"/>
        <v>15.5</v>
      </c>
      <c r="AS2228" s="1078" t="str">
        <f t="shared" si="282"/>
        <v>400/390/155</v>
      </c>
      <c r="AT2228" s="1078">
        <f t="shared" si="283"/>
        <v>102.5</v>
      </c>
      <c r="AV2228" s="1078" t="str">
        <f t="shared" si="276"/>
        <v>108.6.10</v>
      </c>
      <c r="AW2228" s="1344">
        <f t="shared" si="277"/>
        <v>43626</v>
      </c>
    </row>
    <row r="2229" spans="1:49">
      <c r="A2229" s="1077" t="s">
        <v>6981</v>
      </c>
      <c r="B2229" s="1077" t="s">
        <v>663</v>
      </c>
      <c r="C2229" s="1077">
        <v>600</v>
      </c>
      <c r="D2229" s="1077">
        <v>1.76</v>
      </c>
      <c r="E2229" s="1077">
        <v>102.5</v>
      </c>
      <c r="F2229" s="1077" t="s">
        <v>4070</v>
      </c>
      <c r="G2229" s="1077">
        <v>5.5</v>
      </c>
      <c r="H2229" s="1077" t="s">
        <v>6982</v>
      </c>
      <c r="I2229" s="1077" t="s">
        <v>6983</v>
      </c>
      <c r="K2229" s="1077" t="s">
        <v>6968</v>
      </c>
      <c r="L2229" s="1077" t="s">
        <v>4907</v>
      </c>
      <c r="M2229" s="1077">
        <v>296.39999999999998</v>
      </c>
      <c r="N2229" s="1077" t="s">
        <v>945</v>
      </c>
      <c r="O2229" s="1077">
        <v>7.41</v>
      </c>
      <c r="P2229" s="1077">
        <v>5.9279999999999999</v>
      </c>
      <c r="Q2229" s="1077" t="s">
        <v>2782</v>
      </c>
      <c r="R2229" s="1077">
        <v>20</v>
      </c>
      <c r="T2229" s="1077">
        <v>14.7</v>
      </c>
      <c r="U2229" s="1077">
        <v>5.5</v>
      </c>
      <c r="V2229" s="1077" t="s">
        <v>648</v>
      </c>
      <c r="W2229" s="1077" t="s">
        <v>2816</v>
      </c>
      <c r="X2229" s="1077">
        <v>10</v>
      </c>
      <c r="Y2229" s="1077">
        <v>1.1000000000000001</v>
      </c>
      <c r="Z2229" s="1077" t="s">
        <v>648</v>
      </c>
      <c r="AA2229" s="1077" t="s">
        <v>1106</v>
      </c>
      <c r="AH2229" s="1077" t="s">
        <v>869</v>
      </c>
      <c r="AM2229" s="1078" t="s">
        <v>13413</v>
      </c>
      <c r="AN2229" s="1078" t="s">
        <v>13414</v>
      </c>
      <c r="AO2229" s="1078">
        <f t="shared" si="278"/>
        <v>600</v>
      </c>
      <c r="AP2229" s="1078">
        <f t="shared" si="279"/>
        <v>1.76</v>
      </c>
      <c r="AQ2229" s="1078">
        <f t="shared" si="280"/>
        <v>102.5</v>
      </c>
      <c r="AR2229" s="1078" t="str">
        <f t="shared" si="281"/>
        <v>15.5</v>
      </c>
      <c r="AS2229" s="1078" t="str">
        <f t="shared" si="282"/>
        <v>375/365/153</v>
      </c>
      <c r="AT2229" s="1078">
        <f t="shared" si="283"/>
        <v>102.5</v>
      </c>
      <c r="AV2229" s="1078" t="str">
        <f t="shared" si="276"/>
        <v>108.6.14</v>
      </c>
      <c r="AW2229" s="1344">
        <f t="shared" si="277"/>
        <v>43630</v>
      </c>
    </row>
    <row r="2230" spans="1:49">
      <c r="A2230" s="1077" t="s">
        <v>6984</v>
      </c>
      <c r="B2230" s="1077" t="s">
        <v>6940</v>
      </c>
      <c r="C2230" s="1077">
        <v>500</v>
      </c>
      <c r="D2230" s="1077">
        <v>1.78</v>
      </c>
      <c r="E2230" s="1077" t="s">
        <v>15124</v>
      </c>
      <c r="F2230" s="1077" t="s">
        <v>954</v>
      </c>
      <c r="G2230" s="1077">
        <v>5</v>
      </c>
      <c r="H2230" s="1077" t="s">
        <v>5848</v>
      </c>
      <c r="I2230" s="1077" t="s">
        <v>6941</v>
      </c>
      <c r="J2230" s="1077">
        <v>1</v>
      </c>
      <c r="K2230" s="1077" t="s">
        <v>6985</v>
      </c>
      <c r="L2230" s="1077" t="s">
        <v>4952</v>
      </c>
      <c r="M2230" s="1077">
        <v>308.7</v>
      </c>
      <c r="N2230" s="1077" t="s">
        <v>945</v>
      </c>
      <c r="O2230" s="1077">
        <v>7.7175000000000002</v>
      </c>
      <c r="P2230" s="1077">
        <v>6.1739999999999995</v>
      </c>
      <c r="Q2230" s="1077" t="s">
        <v>6943</v>
      </c>
      <c r="R2230" s="1077">
        <v>25.5</v>
      </c>
      <c r="T2230" s="1077">
        <v>18</v>
      </c>
      <c r="U2230" s="1077">
        <v>5.0999999999999996</v>
      </c>
      <c r="V2230" s="1077" t="s">
        <v>648</v>
      </c>
      <c r="W2230" s="1077" t="s">
        <v>2816</v>
      </c>
      <c r="X2230" s="1077">
        <v>10</v>
      </c>
      <c r="Y2230" s="1077">
        <v>1.7</v>
      </c>
      <c r="Z2230" s="1077" t="s">
        <v>648</v>
      </c>
      <c r="AA2230" s="1077" t="s">
        <v>6986</v>
      </c>
      <c r="AH2230" s="1077" t="s">
        <v>1053</v>
      </c>
      <c r="AM2230" s="1078" t="s">
        <v>13415</v>
      </c>
      <c r="AN2230" s="1078" t="s">
        <v>13416</v>
      </c>
      <c r="AO2230" s="1078">
        <f t="shared" si="278"/>
        <v>500</v>
      </c>
      <c r="AP2230" s="1078">
        <f t="shared" si="279"/>
        <v>1.78</v>
      </c>
      <c r="AQ2230" s="1078" t="str">
        <f t="shared" si="280"/>
        <v>2-6-1S83°Z+S</v>
      </c>
      <c r="AR2230" s="1078" t="str">
        <f t="shared" si="281"/>
        <v>31</v>
      </c>
      <c r="AS2230" s="1078" t="str">
        <f t="shared" si="282"/>
        <v>156/OFF</v>
      </c>
      <c r="AT2230" s="1078" t="str">
        <f t="shared" si="283"/>
        <v>2-6-1S83°Z+S</v>
      </c>
      <c r="AU2230" s="1078" t="s">
        <v>15547</v>
      </c>
      <c r="AV2230" s="1078" t="str">
        <f t="shared" si="276"/>
        <v>108.6.19</v>
      </c>
      <c r="AW2230" s="1344">
        <f t="shared" si="277"/>
        <v>43635</v>
      </c>
    </row>
    <row r="2231" spans="1:49">
      <c r="A2231" s="1077" t="s">
        <v>6987</v>
      </c>
      <c r="B2231" s="1077" t="s">
        <v>6940</v>
      </c>
      <c r="C2231" s="1077">
        <v>500</v>
      </c>
      <c r="D2231" s="1077">
        <v>1.78</v>
      </c>
      <c r="E2231" s="1077" t="s">
        <v>15122</v>
      </c>
      <c r="F2231" s="1077" t="s">
        <v>984</v>
      </c>
      <c r="G2231" s="1077">
        <v>5</v>
      </c>
      <c r="H2231" s="1077" t="s">
        <v>1793</v>
      </c>
      <c r="I2231" s="1077" t="s">
        <v>6988</v>
      </c>
      <c r="J2231" s="1077">
        <v>1</v>
      </c>
      <c r="K2231" s="1077" t="s">
        <v>6985</v>
      </c>
      <c r="L2231" s="1077" t="s">
        <v>4952</v>
      </c>
      <c r="M2231" s="1077">
        <v>308.39999999999998</v>
      </c>
      <c r="N2231" s="1077" t="s">
        <v>945</v>
      </c>
      <c r="O2231" s="1077">
        <v>7.71</v>
      </c>
      <c r="P2231" s="1077">
        <v>6.1679999999999993</v>
      </c>
      <c r="Q2231" s="1077" t="s">
        <v>6989</v>
      </c>
      <c r="R2231" s="1077">
        <v>29.5</v>
      </c>
      <c r="T2231" s="1077">
        <v>14.5</v>
      </c>
      <c r="U2231" s="1077">
        <v>5</v>
      </c>
      <c r="V2231" s="1077" t="s">
        <v>648</v>
      </c>
      <c r="W2231" s="1077" t="s">
        <v>6990</v>
      </c>
      <c r="X2231" s="1077">
        <v>10</v>
      </c>
      <c r="Y2231" s="1077">
        <v>1.7</v>
      </c>
      <c r="Z2231" s="1077" t="s">
        <v>648</v>
      </c>
      <c r="AA2231" s="1077" t="s">
        <v>6986</v>
      </c>
      <c r="AH2231" s="1077" t="s">
        <v>456</v>
      </c>
      <c r="AM2231" s="1078" t="s">
        <v>13417</v>
      </c>
      <c r="AN2231" s="1078" t="s">
        <v>13418</v>
      </c>
      <c r="AO2231" s="1078">
        <f t="shared" si="278"/>
        <v>500</v>
      </c>
      <c r="AP2231" s="1078">
        <f t="shared" si="279"/>
        <v>1.78</v>
      </c>
      <c r="AQ2231" s="1078" t="str">
        <f t="shared" si="280"/>
        <v>1-5-1S91°Z+S</v>
      </c>
      <c r="AR2231" s="1078" t="str">
        <f t="shared" si="281"/>
        <v>30</v>
      </c>
      <c r="AS2231" s="1078" t="str">
        <f t="shared" si="282"/>
        <v>270/270/OFF</v>
      </c>
      <c r="AT2231" s="1078" t="str">
        <f t="shared" si="283"/>
        <v>1-5-1S91°Z+S</v>
      </c>
      <c r="AU2231" s="1078" t="s">
        <v>15547</v>
      </c>
      <c r="AV2231" s="1078" t="str">
        <f t="shared" si="276"/>
        <v>108.6.19</v>
      </c>
      <c r="AW2231" s="1344">
        <f t="shared" si="277"/>
        <v>43635</v>
      </c>
    </row>
    <row r="2232" spans="1:49">
      <c r="A2232" s="1077" t="s">
        <v>6991</v>
      </c>
      <c r="B2232" s="1077" t="s">
        <v>836</v>
      </c>
      <c r="C2232" s="1077">
        <v>600</v>
      </c>
      <c r="D2232" s="1077">
        <v>1.78</v>
      </c>
      <c r="E2232" s="1077" t="s">
        <v>15116</v>
      </c>
      <c r="F2232" s="1077" t="s">
        <v>6901</v>
      </c>
      <c r="G2232" s="1077">
        <v>4</v>
      </c>
      <c r="H2232" s="1077" t="s">
        <v>6902</v>
      </c>
      <c r="I2232" s="1077" t="s">
        <v>6903</v>
      </c>
      <c r="K2232" s="1077" t="s">
        <v>6992</v>
      </c>
      <c r="L2232" s="1077" t="s">
        <v>6905</v>
      </c>
      <c r="M2232" s="1077">
        <v>303.89999999999998</v>
      </c>
      <c r="N2232" s="1077" t="s">
        <v>945</v>
      </c>
      <c r="O2232" s="1077">
        <v>7.5975000000000001</v>
      </c>
      <c r="P2232" s="1077">
        <v>6.0779999999999994</v>
      </c>
      <c r="Q2232" s="1077" t="s">
        <v>2401</v>
      </c>
      <c r="R2232" s="1077">
        <v>24.5</v>
      </c>
      <c r="T2232" s="1077">
        <v>12.7</v>
      </c>
      <c r="U2232" s="1077">
        <v>2.6</v>
      </c>
      <c r="V2232" s="1077" t="s">
        <v>648</v>
      </c>
      <c r="W2232" s="1077" t="s">
        <v>2532</v>
      </c>
      <c r="X2232" s="1077">
        <v>10</v>
      </c>
      <c r="Y2232" s="1077">
        <v>1.5</v>
      </c>
      <c r="Z2232" s="1077" t="s">
        <v>648</v>
      </c>
      <c r="AA2232" s="1077" t="s">
        <v>1116</v>
      </c>
      <c r="AH2232" s="1077" t="s">
        <v>1137</v>
      </c>
      <c r="AM2232" s="1078" t="s">
        <v>13419</v>
      </c>
      <c r="AN2232" s="1078" t="s">
        <v>13420</v>
      </c>
      <c r="AO2232" s="1078">
        <f t="shared" si="278"/>
        <v>600</v>
      </c>
      <c r="AP2232" s="1078">
        <f t="shared" si="279"/>
        <v>1.78</v>
      </c>
      <c r="AQ2232" s="1078" t="str">
        <f t="shared" si="280"/>
        <v>1-5-1S83°Z+S</v>
      </c>
      <c r="AR2232" s="1078" t="str">
        <f t="shared" si="281"/>
        <v>33.6</v>
      </c>
      <c r="AS2232" s="1078" t="str">
        <f t="shared" si="282"/>
        <v>310/310/190</v>
      </c>
      <c r="AT2232" s="1078" t="str">
        <f t="shared" si="283"/>
        <v>1-5-1S83°Z+S</v>
      </c>
      <c r="AU2232" s="1078" t="s">
        <v>15547</v>
      </c>
      <c r="AV2232" s="1078" t="str">
        <f t="shared" si="276"/>
        <v>108.6.21</v>
      </c>
      <c r="AW2232" s="1344">
        <f t="shared" si="277"/>
        <v>43637</v>
      </c>
    </row>
    <row r="2233" spans="1:49">
      <c r="A2233" s="1077" t="s">
        <v>6993</v>
      </c>
      <c r="B2233" s="1077" t="s">
        <v>6994</v>
      </c>
      <c r="C2233" s="1077">
        <v>550</v>
      </c>
      <c r="D2233" s="1077">
        <v>1.8049999999999999</v>
      </c>
      <c r="E2233" s="1077" t="s">
        <v>15125</v>
      </c>
      <c r="F2233" s="1077" t="s">
        <v>1514</v>
      </c>
      <c r="G2233" s="1077">
        <v>5</v>
      </c>
      <c r="H2233" s="1077" t="s">
        <v>6958</v>
      </c>
      <c r="I2233" s="1077" t="s">
        <v>6918</v>
      </c>
      <c r="J2233" s="1077">
        <v>2.9</v>
      </c>
      <c r="K2233" s="1077" t="s">
        <v>6995</v>
      </c>
      <c r="L2233" s="1077" t="s">
        <v>6996</v>
      </c>
      <c r="M2233" s="1077">
        <v>300.5</v>
      </c>
      <c r="N2233" s="1077" t="s">
        <v>945</v>
      </c>
      <c r="O2233" s="1077">
        <v>7.5125000000000002</v>
      </c>
      <c r="P2233" s="1077">
        <v>6.01</v>
      </c>
      <c r="Q2233" s="1077" t="s">
        <v>2401</v>
      </c>
      <c r="R2233" s="1077">
        <v>23.7</v>
      </c>
      <c r="T2233" s="1077">
        <v>23.2</v>
      </c>
      <c r="U2233" s="1077">
        <v>2.7</v>
      </c>
      <c r="V2233" s="1077" t="s">
        <v>648</v>
      </c>
      <c r="W2233" s="1077" t="s">
        <v>6880</v>
      </c>
      <c r="X2233" s="1077">
        <v>10</v>
      </c>
      <c r="Y2233" s="1077">
        <v>1.6</v>
      </c>
      <c r="Z2233" s="1077" t="s">
        <v>648</v>
      </c>
      <c r="AA2233" s="1077" t="s">
        <v>6997</v>
      </c>
      <c r="AH2233" s="1077" t="s">
        <v>722</v>
      </c>
      <c r="AM2233" s="1078" t="s">
        <v>13421</v>
      </c>
      <c r="AN2233" s="1078" t="s">
        <v>13422</v>
      </c>
      <c r="AO2233" s="1078">
        <f t="shared" si="278"/>
        <v>550</v>
      </c>
      <c r="AP2233" s="1078">
        <f t="shared" si="279"/>
        <v>1.8049999999999999</v>
      </c>
      <c r="AQ2233" s="1078" t="str">
        <f t="shared" si="280"/>
        <v>1-5-1S83°S+Z</v>
      </c>
      <c r="AR2233" s="1078" t="str">
        <f t="shared" si="281"/>
        <v>32</v>
      </c>
      <c r="AS2233" s="1078" t="str">
        <f t="shared" si="282"/>
        <v>320/340/160</v>
      </c>
      <c r="AT2233" s="1078" t="str">
        <f t="shared" si="283"/>
        <v>1-5-1S83°S+Z</v>
      </c>
      <c r="AU2233" s="1078" t="s">
        <v>15550</v>
      </c>
      <c r="AV2233" s="1078" t="str">
        <f t="shared" si="276"/>
        <v>108.6.26</v>
      </c>
      <c r="AW2233" s="1344">
        <f t="shared" si="277"/>
        <v>43642</v>
      </c>
    </row>
    <row r="2234" spans="1:49">
      <c r="A2234" s="1077" t="s">
        <v>6998</v>
      </c>
      <c r="B2234" s="1077" t="s">
        <v>6999</v>
      </c>
      <c r="C2234" s="1077">
        <v>600</v>
      </c>
      <c r="D2234" s="1077">
        <v>1.7</v>
      </c>
      <c r="E2234" s="1077" t="s">
        <v>15112</v>
      </c>
      <c r="F2234" s="1077" t="s">
        <v>984</v>
      </c>
      <c r="G2234" s="1077">
        <v>3.5</v>
      </c>
      <c r="H2234" s="1077" t="s">
        <v>7000</v>
      </c>
      <c r="I2234" s="1077" t="s">
        <v>7001</v>
      </c>
      <c r="K2234" s="1077" t="s">
        <v>7002</v>
      </c>
      <c r="L2234" s="1077" t="s">
        <v>7003</v>
      </c>
      <c r="M2234" s="1077">
        <v>306.3</v>
      </c>
      <c r="N2234" s="1077" t="s">
        <v>945</v>
      </c>
      <c r="O2234" s="1077">
        <v>7.6575000000000006</v>
      </c>
      <c r="P2234" s="1077">
        <v>6.1260000000000003</v>
      </c>
      <c r="Q2234" s="1077" t="s">
        <v>1059</v>
      </c>
      <c r="R2234" s="1077">
        <v>25.3</v>
      </c>
      <c r="T2234" s="1077">
        <v>13.5</v>
      </c>
      <c r="U2234" s="1077">
        <v>3.2</v>
      </c>
      <c r="V2234" s="1077" t="s">
        <v>648</v>
      </c>
      <c r="W2234" s="1077">
        <v>110</v>
      </c>
      <c r="X2234" s="1077">
        <v>85</v>
      </c>
      <c r="Y2234" s="1077">
        <v>1.2</v>
      </c>
      <c r="Z2234" s="1077" t="s">
        <v>648</v>
      </c>
      <c r="AA2234" s="1077" t="s">
        <v>2675</v>
      </c>
      <c r="AH2234" s="1077" t="s">
        <v>958</v>
      </c>
      <c r="AM2234" s="1078" t="s">
        <v>13423</v>
      </c>
      <c r="AN2234" s="1078" t="s">
        <v>13424</v>
      </c>
      <c r="AO2234" s="1078">
        <f t="shared" si="278"/>
        <v>600</v>
      </c>
      <c r="AP2234" s="1078">
        <f t="shared" si="279"/>
        <v>1.7</v>
      </c>
      <c r="AQ2234" s="1078" t="str">
        <f t="shared" si="280"/>
        <v>1-5-1S87°Z+S</v>
      </c>
      <c r="AR2234" s="1078" t="str">
        <f t="shared" si="281"/>
        <v>30</v>
      </c>
      <c r="AS2234" s="1078" t="str">
        <f t="shared" si="282"/>
        <v>350/350/149</v>
      </c>
      <c r="AT2234" s="1078" t="str">
        <f t="shared" si="283"/>
        <v>1-5-1S87°Z+S</v>
      </c>
      <c r="AU2234" s="1078" t="s">
        <v>15547</v>
      </c>
      <c r="AV2234" s="1078" t="str">
        <f t="shared" si="276"/>
        <v>108.6.28</v>
      </c>
      <c r="AW2234" s="1344">
        <f t="shared" si="277"/>
        <v>43644</v>
      </c>
    </row>
    <row r="2235" spans="1:49">
      <c r="A2235" s="1077" t="s">
        <v>7004</v>
      </c>
      <c r="B2235" s="1077" t="s">
        <v>7005</v>
      </c>
      <c r="C2235" s="1077">
        <v>600</v>
      </c>
      <c r="D2235" s="1077">
        <v>1.72</v>
      </c>
      <c r="E2235" s="1077" t="s">
        <v>15116</v>
      </c>
      <c r="F2235" s="1077" t="s">
        <v>2234</v>
      </c>
      <c r="G2235" s="1077">
        <v>3.5</v>
      </c>
      <c r="H2235" s="1077" t="s">
        <v>6952</v>
      </c>
      <c r="I2235" s="1077" t="s">
        <v>6918</v>
      </c>
      <c r="K2235" s="1077" t="s">
        <v>7006</v>
      </c>
      <c r="L2235" s="1077" t="s">
        <v>7007</v>
      </c>
      <c r="M2235" s="1077">
        <v>310</v>
      </c>
      <c r="N2235" s="1077" t="s">
        <v>945</v>
      </c>
      <c r="O2235" s="1077">
        <v>7.75</v>
      </c>
      <c r="P2235" s="1077">
        <v>6.2</v>
      </c>
      <c r="Q2235" s="1077" t="s">
        <v>2401</v>
      </c>
      <c r="R2235" s="1077">
        <v>20</v>
      </c>
      <c r="T2235" s="1077">
        <v>13.5</v>
      </c>
      <c r="U2235" s="1077">
        <v>3.2</v>
      </c>
      <c r="V2235" s="1077" t="s">
        <v>648</v>
      </c>
      <c r="W2235" s="1077">
        <v>100</v>
      </c>
      <c r="X2235" s="1077">
        <v>85</v>
      </c>
      <c r="Y2235" s="1077">
        <v>1.2</v>
      </c>
      <c r="Z2235" s="1077" t="s">
        <v>648</v>
      </c>
      <c r="AA2235" s="1077" t="s">
        <v>2675</v>
      </c>
      <c r="AH2235" s="1077" t="s">
        <v>1221</v>
      </c>
      <c r="AM2235" s="1078" t="s">
        <v>13425</v>
      </c>
      <c r="AN2235" s="1078" t="s">
        <v>13426</v>
      </c>
      <c r="AO2235" s="1078">
        <f t="shared" si="278"/>
        <v>600</v>
      </c>
      <c r="AP2235" s="1078">
        <f t="shared" si="279"/>
        <v>1.72</v>
      </c>
      <c r="AQ2235" s="1078" t="str">
        <f t="shared" si="280"/>
        <v>1-5-1S83°Z+S</v>
      </c>
      <c r="AR2235" s="1078" t="str">
        <f t="shared" si="281"/>
        <v>33.5</v>
      </c>
      <c r="AS2235" s="1078" t="str">
        <f t="shared" si="282"/>
        <v>340/340/140</v>
      </c>
      <c r="AT2235" s="1078" t="str">
        <f t="shared" si="283"/>
        <v>1-5-1S83°Z+S</v>
      </c>
      <c r="AU2235" s="1078" t="s">
        <v>15547</v>
      </c>
      <c r="AV2235" s="1078" t="str">
        <f t="shared" si="276"/>
        <v>108.6.28</v>
      </c>
      <c r="AW2235" s="1344">
        <f t="shared" si="277"/>
        <v>43644</v>
      </c>
    </row>
    <row r="2236" spans="1:49">
      <c r="A2236" s="1077" t="s">
        <v>7008</v>
      </c>
      <c r="B2236" s="1077" t="s">
        <v>7009</v>
      </c>
      <c r="C2236" s="1077">
        <v>600</v>
      </c>
      <c r="D2236" s="1077">
        <v>1.8160000000000001</v>
      </c>
      <c r="E2236" s="1077" t="s">
        <v>15102</v>
      </c>
      <c r="F2236" s="1077" t="s">
        <v>984</v>
      </c>
      <c r="G2236" s="1077">
        <v>5</v>
      </c>
      <c r="H2236" s="1077" t="s">
        <v>7010</v>
      </c>
      <c r="I2236" s="1077" t="s">
        <v>7011</v>
      </c>
      <c r="K2236" s="1077" t="s">
        <v>7012</v>
      </c>
      <c r="L2236" s="1077" t="s">
        <v>4924</v>
      </c>
      <c r="M2236" s="1077">
        <v>290.39999999999998</v>
      </c>
      <c r="N2236" s="1077" t="s">
        <v>945</v>
      </c>
      <c r="O2236" s="1077">
        <v>7.26</v>
      </c>
      <c r="P2236" s="1077">
        <v>5.8079999999999998</v>
      </c>
      <c r="Q2236" s="1077" t="s">
        <v>2950</v>
      </c>
      <c r="R2236" s="1077">
        <v>17.5</v>
      </c>
      <c r="T2236" s="1077">
        <v>32.200000000000003</v>
      </c>
      <c r="U2236" s="1077">
        <v>3.3</v>
      </c>
      <c r="V2236" s="1077" t="s">
        <v>648</v>
      </c>
      <c r="W2236" s="1077" t="s">
        <v>4947</v>
      </c>
      <c r="X2236" s="1077">
        <v>10</v>
      </c>
      <c r="Y2236" s="1077">
        <v>1.5</v>
      </c>
      <c r="Z2236" s="1077" t="s">
        <v>648</v>
      </c>
      <c r="AA2236" s="1077" t="s">
        <v>4612</v>
      </c>
      <c r="AH2236" s="1077" t="s">
        <v>614</v>
      </c>
      <c r="AM2236" s="1078" t="s">
        <v>13427</v>
      </c>
      <c r="AN2236" s="1078" t="s">
        <v>13428</v>
      </c>
      <c r="AO2236" s="1078">
        <f t="shared" si="278"/>
        <v>600</v>
      </c>
      <c r="AP2236" s="1078">
        <f t="shared" si="279"/>
        <v>1.8160000000000001</v>
      </c>
      <c r="AQ2236" s="1078" t="str">
        <f t="shared" si="280"/>
        <v>2-6-1S83°</v>
      </c>
      <c r="AR2236" s="1078" t="str">
        <f t="shared" si="281"/>
        <v>30</v>
      </c>
      <c r="AS2236" s="1078" t="str">
        <f t="shared" si="282"/>
        <v>190/179</v>
      </c>
      <c r="AT2236" s="1078" t="str">
        <f t="shared" si="283"/>
        <v>2-6-1S83°</v>
      </c>
      <c r="AV2236" s="1078" t="str">
        <f t="shared" si="276"/>
        <v>108.7.2</v>
      </c>
      <c r="AW2236" s="1344">
        <f t="shared" si="277"/>
        <v>43648</v>
      </c>
    </row>
    <row r="2237" spans="1:49">
      <c r="A2237" s="1077" t="s">
        <v>7013</v>
      </c>
      <c r="B2237" s="1077" t="s">
        <v>7014</v>
      </c>
      <c r="C2237" s="1077">
        <v>600</v>
      </c>
      <c r="D2237" s="1077">
        <v>1.74</v>
      </c>
      <c r="E2237" s="1077" t="s">
        <v>15116</v>
      </c>
      <c r="F2237" s="1077" t="s">
        <v>2234</v>
      </c>
      <c r="G2237" s="1077">
        <v>5</v>
      </c>
      <c r="H2237" s="1077" t="s">
        <v>7015</v>
      </c>
      <c r="I2237" s="1077" t="s">
        <v>6918</v>
      </c>
      <c r="K2237" s="1077" t="s">
        <v>7016</v>
      </c>
      <c r="L2237" s="1077" t="s">
        <v>7017</v>
      </c>
      <c r="M2237" s="1077">
        <v>301</v>
      </c>
      <c r="N2237" s="1077" t="s">
        <v>945</v>
      </c>
      <c r="O2237" s="1077">
        <v>7.5250000000000004</v>
      </c>
      <c r="P2237" s="1077">
        <v>6.0200000000000005</v>
      </c>
      <c r="Q2237" s="1077" t="s">
        <v>1264</v>
      </c>
      <c r="R2237" s="1077">
        <v>20</v>
      </c>
      <c r="T2237" s="1077">
        <v>13.5</v>
      </c>
      <c r="U2237" s="1077">
        <v>3.2</v>
      </c>
      <c r="V2237" s="1077" t="s">
        <v>648</v>
      </c>
      <c r="W2237" s="1077">
        <v>100</v>
      </c>
      <c r="X2237" s="1077">
        <v>85</v>
      </c>
      <c r="Y2237" s="1077">
        <v>1.2</v>
      </c>
      <c r="Z2237" s="1077" t="s">
        <v>648</v>
      </c>
      <c r="AA2237" s="1077" t="s">
        <v>1131</v>
      </c>
      <c r="AH2237" s="1077" t="s">
        <v>1482</v>
      </c>
      <c r="AM2237" s="1078" t="s">
        <v>13429</v>
      </c>
      <c r="AN2237" s="1078" t="s">
        <v>13430</v>
      </c>
      <c r="AO2237" s="1078">
        <f t="shared" si="278"/>
        <v>600</v>
      </c>
      <c r="AP2237" s="1078">
        <f t="shared" si="279"/>
        <v>1.74</v>
      </c>
      <c r="AQ2237" s="1078" t="str">
        <f t="shared" si="280"/>
        <v>1-5-1S83°Z+S</v>
      </c>
      <c r="AR2237" s="1078" t="str">
        <f t="shared" si="281"/>
        <v>33.5</v>
      </c>
      <c r="AS2237" s="1078" t="str">
        <f t="shared" si="282"/>
        <v>342/342/140</v>
      </c>
      <c r="AT2237" s="1078" t="str">
        <f t="shared" si="283"/>
        <v>1-5-1S83°Z+S</v>
      </c>
      <c r="AU2237" s="1078" t="s">
        <v>15547</v>
      </c>
      <c r="AV2237" s="1078" t="str">
        <f t="shared" si="276"/>
        <v>108.7.9</v>
      </c>
      <c r="AW2237" s="1344">
        <f t="shared" si="277"/>
        <v>43655</v>
      </c>
    </row>
    <row r="2238" spans="1:49">
      <c r="A2238" s="1077" t="s">
        <v>7018</v>
      </c>
      <c r="B2238" s="1077" t="s">
        <v>7019</v>
      </c>
      <c r="C2238" s="1077">
        <v>550</v>
      </c>
      <c r="D2238" s="1077">
        <v>1.724</v>
      </c>
      <c r="E2238" s="1077">
        <v>102.5</v>
      </c>
      <c r="F2238" s="1077" t="s">
        <v>4070</v>
      </c>
      <c r="G2238" s="1077">
        <v>5.5</v>
      </c>
      <c r="H2238" s="1077" t="s">
        <v>7020</v>
      </c>
      <c r="I2238" s="1077" t="s">
        <v>7021</v>
      </c>
      <c r="K2238" s="1077" t="s">
        <v>7022</v>
      </c>
      <c r="L2238" s="1077" t="s">
        <v>7023</v>
      </c>
      <c r="M2238" s="1077">
        <v>295</v>
      </c>
      <c r="N2238" s="1077" t="s">
        <v>945</v>
      </c>
      <c r="O2238" s="1077">
        <v>7.375</v>
      </c>
      <c r="P2238" s="1077">
        <v>5.9</v>
      </c>
      <c r="Q2238" s="1077" t="s">
        <v>2593</v>
      </c>
      <c r="R2238" s="1077">
        <v>19</v>
      </c>
      <c r="T2238" s="1077">
        <v>27.8</v>
      </c>
      <c r="U2238" s="1077">
        <v>3.9</v>
      </c>
      <c r="V2238" s="1077" t="s">
        <v>648</v>
      </c>
      <c r="W2238" s="1077">
        <v>125</v>
      </c>
      <c r="X2238" s="1077">
        <v>90</v>
      </c>
      <c r="Y2238" s="1077">
        <v>1.5</v>
      </c>
      <c r="Z2238" s="1077" t="s">
        <v>648</v>
      </c>
      <c r="AA2238" s="1077" t="s">
        <v>7024</v>
      </c>
      <c r="AH2238" s="1077" t="s">
        <v>1376</v>
      </c>
      <c r="AM2238" s="1078" t="s">
        <v>13431</v>
      </c>
      <c r="AN2238" s="1078" t="s">
        <v>13432</v>
      </c>
      <c r="AO2238" s="1078">
        <f t="shared" si="278"/>
        <v>550</v>
      </c>
      <c r="AP2238" s="1078">
        <f t="shared" si="279"/>
        <v>1.724</v>
      </c>
      <c r="AQ2238" s="1078">
        <f t="shared" si="280"/>
        <v>102.5</v>
      </c>
      <c r="AR2238" s="1078" t="str">
        <f t="shared" si="281"/>
        <v>15.5</v>
      </c>
      <c r="AS2238" s="1078" t="str">
        <f t="shared" si="282"/>
        <v>452/422/OFF</v>
      </c>
      <c r="AT2238" s="1078">
        <f t="shared" si="283"/>
        <v>102.5</v>
      </c>
      <c r="AV2238" s="1078" t="str">
        <f t="shared" si="276"/>
        <v>108.7.10</v>
      </c>
      <c r="AW2238" s="1344">
        <f t="shared" si="277"/>
        <v>43656</v>
      </c>
    </row>
    <row r="2239" spans="1:49">
      <c r="A2239" s="1077" t="s">
        <v>7025</v>
      </c>
      <c r="B2239" s="1077" t="s">
        <v>7026</v>
      </c>
      <c r="C2239" s="1077">
        <v>650</v>
      </c>
      <c r="D2239" s="1077">
        <v>1.74</v>
      </c>
      <c r="E2239" s="1077" t="s">
        <v>15112</v>
      </c>
      <c r="F2239" s="1077" t="s">
        <v>975</v>
      </c>
      <c r="G2239" s="1077">
        <v>5</v>
      </c>
      <c r="H2239" s="1077" t="s">
        <v>7027</v>
      </c>
      <c r="I2239" s="1077" t="s">
        <v>7028</v>
      </c>
      <c r="J2239" s="1077">
        <v>3.7</v>
      </c>
      <c r="K2239" s="1077" t="s">
        <v>7029</v>
      </c>
      <c r="L2239" s="1077" t="s">
        <v>4979</v>
      </c>
      <c r="M2239" s="1077">
        <v>302</v>
      </c>
      <c r="N2239" s="1077" t="s">
        <v>945</v>
      </c>
      <c r="O2239" s="1077">
        <v>7.5500000000000007</v>
      </c>
      <c r="P2239" s="1077">
        <v>6.04</v>
      </c>
      <c r="Q2239" s="1077" t="s">
        <v>2553</v>
      </c>
      <c r="R2239" s="1077">
        <v>20.9</v>
      </c>
      <c r="T2239" s="1077">
        <v>25.8</v>
      </c>
      <c r="U2239" s="1077">
        <v>3</v>
      </c>
      <c r="V2239" s="1077" t="s">
        <v>648</v>
      </c>
      <c r="W2239" s="1077">
        <v>120</v>
      </c>
      <c r="X2239" s="1077">
        <v>25</v>
      </c>
      <c r="Y2239" s="1077">
        <v>1.3</v>
      </c>
      <c r="Z2239" s="1077" t="s">
        <v>648</v>
      </c>
      <c r="AA2239" s="1077" t="s">
        <v>7030</v>
      </c>
      <c r="AH2239" s="1077" t="s">
        <v>680</v>
      </c>
      <c r="AM2239" s="1078" t="s">
        <v>13433</v>
      </c>
      <c r="AN2239" s="1078" t="s">
        <v>13434</v>
      </c>
      <c r="AO2239" s="1078">
        <f t="shared" si="278"/>
        <v>650</v>
      </c>
      <c r="AP2239" s="1078">
        <f t="shared" si="279"/>
        <v>1.74</v>
      </c>
      <c r="AQ2239" s="1078" t="str">
        <f t="shared" si="280"/>
        <v>1-5-1S87°Z+S</v>
      </c>
      <c r="AR2239" s="1078" t="str">
        <f t="shared" si="281"/>
        <v>31.5</v>
      </c>
      <c r="AS2239" s="1078" t="str">
        <f t="shared" si="282"/>
        <v>342/342/160</v>
      </c>
      <c r="AT2239" s="1078" t="str">
        <f t="shared" si="283"/>
        <v>1-5-1S87°Z+S</v>
      </c>
      <c r="AU2239" s="1078" t="s">
        <v>15547</v>
      </c>
      <c r="AV2239" s="1078" t="str">
        <f t="shared" si="276"/>
        <v>108.7.12</v>
      </c>
      <c r="AW2239" s="1344">
        <f t="shared" si="277"/>
        <v>43658</v>
      </c>
    </row>
    <row r="2240" spans="1:49">
      <c r="A2240" s="1077" t="s">
        <v>7031</v>
      </c>
      <c r="B2240" s="1077" t="s">
        <v>7032</v>
      </c>
      <c r="C2240" s="1077">
        <v>600</v>
      </c>
      <c r="D2240" s="1077">
        <v>1.72</v>
      </c>
      <c r="E2240" s="1077" t="s">
        <v>15116</v>
      </c>
      <c r="F2240" s="1077" t="s">
        <v>2234</v>
      </c>
      <c r="G2240" s="1077">
        <v>3.5</v>
      </c>
      <c r="H2240" s="1077" t="s">
        <v>6952</v>
      </c>
      <c r="I2240" s="1077" t="s">
        <v>6918</v>
      </c>
      <c r="K2240" s="1077" t="s">
        <v>7033</v>
      </c>
      <c r="L2240" s="1077" t="s">
        <v>7034</v>
      </c>
      <c r="M2240" s="1077">
        <v>310</v>
      </c>
      <c r="N2240" s="1077" t="s">
        <v>945</v>
      </c>
      <c r="O2240" s="1077">
        <v>7.75</v>
      </c>
      <c r="P2240" s="1077">
        <v>6.2</v>
      </c>
      <c r="Q2240" s="1077" t="s">
        <v>2401</v>
      </c>
      <c r="R2240" s="1077">
        <v>20</v>
      </c>
      <c r="T2240" s="1077">
        <v>13.5</v>
      </c>
      <c r="U2240" s="1077">
        <v>3.2</v>
      </c>
      <c r="V2240" s="1077" t="s">
        <v>648</v>
      </c>
      <c r="W2240" s="1077">
        <v>100</v>
      </c>
      <c r="X2240" s="1077">
        <v>85</v>
      </c>
      <c r="Y2240" s="1077">
        <v>1.2</v>
      </c>
      <c r="Z2240" s="1077" t="s">
        <v>648</v>
      </c>
      <c r="AA2240" s="1077" t="s">
        <v>2703</v>
      </c>
      <c r="AH2240" s="1077" t="s">
        <v>684</v>
      </c>
      <c r="AM2240" s="1078" t="s">
        <v>13435</v>
      </c>
      <c r="AN2240" s="1078" t="s">
        <v>13436</v>
      </c>
      <c r="AO2240" s="1078">
        <f t="shared" si="278"/>
        <v>600</v>
      </c>
      <c r="AP2240" s="1078">
        <f t="shared" si="279"/>
        <v>1.72</v>
      </c>
      <c r="AQ2240" s="1078" t="str">
        <f t="shared" si="280"/>
        <v>1-5-1S83°Z+S</v>
      </c>
      <c r="AR2240" s="1078" t="str">
        <f t="shared" si="281"/>
        <v>33.5</v>
      </c>
      <c r="AS2240" s="1078" t="str">
        <f t="shared" si="282"/>
        <v>340/340/140</v>
      </c>
      <c r="AT2240" s="1078" t="str">
        <f t="shared" si="283"/>
        <v>1-5-1S83°Z+S</v>
      </c>
      <c r="AU2240" s="1078" t="s">
        <v>15547</v>
      </c>
      <c r="AV2240" s="1078" t="str">
        <f t="shared" si="276"/>
        <v>108.7.18</v>
      </c>
      <c r="AW2240" s="1344">
        <f t="shared" si="277"/>
        <v>43664</v>
      </c>
    </row>
    <row r="2241" spans="1:49">
      <c r="A2241" s="1077" t="s">
        <v>7035</v>
      </c>
      <c r="B2241" s="1077" t="s">
        <v>663</v>
      </c>
      <c r="C2241" s="1077">
        <v>500</v>
      </c>
      <c r="D2241" s="1077">
        <v>1.77</v>
      </c>
      <c r="E2241" s="1077">
        <v>102.5</v>
      </c>
      <c r="F2241" s="1077" t="s">
        <v>4070</v>
      </c>
      <c r="G2241" s="1077">
        <v>5.5</v>
      </c>
      <c r="H2241" s="1077" t="s">
        <v>6928</v>
      </c>
      <c r="I2241" s="1077" t="s">
        <v>6970</v>
      </c>
      <c r="K2241" s="1077" t="s">
        <v>7036</v>
      </c>
      <c r="L2241" s="1077" t="s">
        <v>4907</v>
      </c>
      <c r="M2241" s="1077">
        <v>296</v>
      </c>
      <c r="N2241" s="1077" t="s">
        <v>945</v>
      </c>
      <c r="O2241" s="1077">
        <v>7.4</v>
      </c>
      <c r="P2241" s="1077">
        <v>5.92</v>
      </c>
      <c r="Q2241" s="1077" t="s">
        <v>3010</v>
      </c>
      <c r="R2241" s="1077">
        <v>17</v>
      </c>
      <c r="T2241" s="1077">
        <v>10.5</v>
      </c>
      <c r="U2241" s="1077">
        <v>6.1</v>
      </c>
      <c r="V2241" s="1077" t="s">
        <v>648</v>
      </c>
      <c r="W2241" s="1077">
        <v>120</v>
      </c>
      <c r="X2241" s="1077">
        <v>90</v>
      </c>
      <c r="Y2241" s="1077">
        <v>1.1000000000000001</v>
      </c>
      <c r="Z2241" s="1077" t="s">
        <v>648</v>
      </c>
      <c r="AA2241" s="1077" t="s">
        <v>5049</v>
      </c>
      <c r="AH2241" s="1077" t="s">
        <v>869</v>
      </c>
      <c r="AM2241" s="1078" t="s">
        <v>13437</v>
      </c>
      <c r="AN2241" s="1078" t="s">
        <v>13438</v>
      </c>
      <c r="AO2241" s="1078">
        <f t="shared" si="278"/>
        <v>500</v>
      </c>
      <c r="AP2241" s="1078">
        <f t="shared" si="279"/>
        <v>1.77</v>
      </c>
      <c r="AQ2241" s="1078">
        <f t="shared" si="280"/>
        <v>102.5</v>
      </c>
      <c r="AR2241" s="1078" t="str">
        <f t="shared" si="281"/>
        <v>15.5</v>
      </c>
      <c r="AS2241" s="1078" t="str">
        <f t="shared" si="282"/>
        <v>370/355/153</v>
      </c>
      <c r="AT2241" s="1078">
        <f t="shared" si="283"/>
        <v>102.5</v>
      </c>
      <c r="AV2241" s="1078" t="str">
        <f t="shared" si="276"/>
        <v>108.7.19</v>
      </c>
      <c r="AW2241" s="1344">
        <f t="shared" si="277"/>
        <v>43665</v>
      </c>
    </row>
    <row r="2242" spans="1:49">
      <c r="A2242" s="1077" t="s">
        <v>7037</v>
      </c>
      <c r="B2242" s="1077" t="s">
        <v>663</v>
      </c>
      <c r="C2242" s="1077">
        <v>600</v>
      </c>
      <c r="D2242" s="1077">
        <v>1.76</v>
      </c>
      <c r="E2242" s="1077">
        <v>102.5</v>
      </c>
      <c r="F2242" s="1077" t="s">
        <v>4070</v>
      </c>
      <c r="G2242" s="1077">
        <v>5.5</v>
      </c>
      <c r="H2242" s="1077" t="s">
        <v>6982</v>
      </c>
      <c r="I2242" s="1077" t="s">
        <v>6983</v>
      </c>
      <c r="K2242" s="1077" t="s">
        <v>7036</v>
      </c>
      <c r="L2242" s="1077" t="s">
        <v>4907</v>
      </c>
      <c r="M2242" s="1077">
        <v>296.39999999999998</v>
      </c>
      <c r="N2242" s="1077" t="s">
        <v>945</v>
      </c>
      <c r="O2242" s="1077">
        <v>7.41</v>
      </c>
      <c r="P2242" s="1077">
        <v>5.9279999999999999</v>
      </c>
      <c r="Q2242" s="1077" t="s">
        <v>4048</v>
      </c>
      <c r="R2242" s="1077">
        <v>20</v>
      </c>
      <c r="T2242" s="1077">
        <v>14.7</v>
      </c>
      <c r="U2242" s="1077">
        <v>5.5</v>
      </c>
      <c r="V2242" s="1077" t="s">
        <v>648</v>
      </c>
      <c r="W2242" s="1077">
        <v>70</v>
      </c>
      <c r="X2242" s="1077">
        <v>10</v>
      </c>
      <c r="Y2242" s="1077">
        <v>1.1000000000000001</v>
      </c>
      <c r="Z2242" s="1077" t="s">
        <v>648</v>
      </c>
      <c r="AA2242" s="1077" t="s">
        <v>2716</v>
      </c>
      <c r="AH2242" s="1077" t="s">
        <v>1376</v>
      </c>
      <c r="AM2242" s="1078" t="s">
        <v>13439</v>
      </c>
      <c r="AN2242" s="1078" t="s">
        <v>13440</v>
      </c>
      <c r="AO2242" s="1078">
        <f t="shared" si="278"/>
        <v>600</v>
      </c>
      <c r="AP2242" s="1078">
        <f t="shared" si="279"/>
        <v>1.76</v>
      </c>
      <c r="AQ2242" s="1078">
        <f t="shared" si="280"/>
        <v>102.5</v>
      </c>
      <c r="AR2242" s="1078" t="str">
        <f t="shared" si="281"/>
        <v>15.5</v>
      </c>
      <c r="AS2242" s="1078" t="str">
        <f t="shared" si="282"/>
        <v>375/365/153</v>
      </c>
      <c r="AT2242" s="1078">
        <f t="shared" si="283"/>
        <v>102.5</v>
      </c>
      <c r="AV2242" s="1078" t="str">
        <f t="shared" ref="AV2242:AV2305" si="284">AA2242</f>
        <v>108.7.29</v>
      </c>
      <c r="AW2242" s="1344">
        <f t="shared" si="277"/>
        <v>43675</v>
      </c>
    </row>
    <row r="2243" spans="1:49">
      <c r="A2243" s="1077" t="s">
        <v>7038</v>
      </c>
      <c r="B2243" s="1077" t="s">
        <v>6940</v>
      </c>
      <c r="C2243" s="1077">
        <v>500</v>
      </c>
      <c r="D2243" s="1077">
        <v>1.78</v>
      </c>
      <c r="E2243" s="1077" t="s">
        <v>15124</v>
      </c>
      <c r="F2243" s="1077" t="s">
        <v>984</v>
      </c>
      <c r="G2243" s="1077">
        <v>5</v>
      </c>
      <c r="H2243" s="1077" t="s">
        <v>5848</v>
      </c>
      <c r="I2243" s="1077" t="s">
        <v>6941</v>
      </c>
      <c r="J2243" s="1077">
        <v>1</v>
      </c>
      <c r="K2243" s="1077" t="s">
        <v>7039</v>
      </c>
      <c r="L2243" s="1077" t="s">
        <v>4952</v>
      </c>
      <c r="M2243" s="1077">
        <v>308.7</v>
      </c>
      <c r="N2243" s="1077" t="s">
        <v>945</v>
      </c>
      <c r="O2243" s="1077">
        <v>7.7175000000000002</v>
      </c>
      <c r="P2243" s="1077">
        <v>6.1739999999999995</v>
      </c>
      <c r="Q2243" s="1077" t="s">
        <v>6989</v>
      </c>
      <c r="R2243" s="1077">
        <v>25.5</v>
      </c>
      <c r="T2243" s="1077">
        <v>18</v>
      </c>
      <c r="U2243" s="1077">
        <v>5.0999999999999996</v>
      </c>
      <c r="V2243" s="1077" t="s">
        <v>648</v>
      </c>
      <c r="W2243" s="1077" t="s">
        <v>2816</v>
      </c>
      <c r="X2243" s="1077">
        <v>10</v>
      </c>
      <c r="Y2243" s="1077">
        <v>1.7</v>
      </c>
      <c r="Z2243" s="1077" t="s">
        <v>648</v>
      </c>
      <c r="AA2243" s="1077" t="s">
        <v>7040</v>
      </c>
      <c r="AH2243" s="1077" t="s">
        <v>785</v>
      </c>
      <c r="AM2243" s="1078" t="s">
        <v>13441</v>
      </c>
      <c r="AN2243" s="1078" t="s">
        <v>13442</v>
      </c>
      <c r="AO2243" s="1078">
        <f t="shared" si="278"/>
        <v>500</v>
      </c>
      <c r="AP2243" s="1078">
        <f t="shared" si="279"/>
        <v>1.78</v>
      </c>
      <c r="AQ2243" s="1078" t="str">
        <f t="shared" si="280"/>
        <v>2-6-1S83°Z+S</v>
      </c>
      <c r="AR2243" s="1078" t="str">
        <f t="shared" si="281"/>
        <v>30</v>
      </c>
      <c r="AS2243" s="1078" t="str">
        <f t="shared" si="282"/>
        <v>156/OFF</v>
      </c>
      <c r="AT2243" s="1078" t="str">
        <f t="shared" si="283"/>
        <v>2-6-1S83°Z+S</v>
      </c>
      <c r="AU2243" s="1078" t="s">
        <v>15547</v>
      </c>
      <c r="AV2243" s="1078" t="str">
        <f t="shared" si="284"/>
        <v>108.8.3</v>
      </c>
      <c r="AW2243" s="1344">
        <f t="shared" ref="AW2243:AW2306" si="285">DATE(VALUE(LEFT(AV2243,FIND(".",AV2243)-1))+1911,
       VALUE(MID(AV2243,FIND(".",AV2243)+1,FIND(".",AV2243,FIND(".",AV2243)+1)-FIND(".",AV2243)-1)),
       VALUE(RIGHT(AV2243,LEN(AV2243)-FIND("~",SUBSTITUTE(AV2243,".","~",2)))))</f>
        <v>43680</v>
      </c>
    </row>
    <row r="2244" spans="1:49">
      <c r="A2244" s="1077" t="s">
        <v>7041</v>
      </c>
      <c r="B2244" s="1077" t="s">
        <v>7042</v>
      </c>
      <c r="C2244" s="1077">
        <v>575</v>
      </c>
      <c r="D2244" s="1077">
        <v>1.7749999999999999</v>
      </c>
      <c r="E2244" s="1077">
        <v>102.5</v>
      </c>
      <c r="F2244" s="1077" t="s">
        <v>4070</v>
      </c>
      <c r="G2244" s="1077">
        <v>5</v>
      </c>
      <c r="H2244" s="1077" t="s">
        <v>7043</v>
      </c>
      <c r="I2244" s="1077" t="s">
        <v>7044</v>
      </c>
      <c r="J2244" s="1077">
        <v>1</v>
      </c>
      <c r="K2244" s="1077" t="s">
        <v>7045</v>
      </c>
      <c r="L2244" s="1077" t="s">
        <v>5054</v>
      </c>
      <c r="M2244" s="1077">
        <v>299.60000000000002</v>
      </c>
      <c r="N2244" s="1077" t="s">
        <v>945</v>
      </c>
      <c r="O2244" s="1077">
        <v>7.4900000000000011</v>
      </c>
      <c r="P2244" s="1077">
        <v>5.9920000000000009</v>
      </c>
      <c r="Q2244" s="1077" t="s">
        <v>1037</v>
      </c>
      <c r="R2244" s="1077">
        <v>21.9</v>
      </c>
      <c r="T2244" s="1077">
        <v>19.899999999999999</v>
      </c>
      <c r="U2244" s="1077">
        <v>3.6</v>
      </c>
      <c r="V2244" s="1077" t="s">
        <v>648</v>
      </c>
      <c r="W2244" s="1077">
        <v>125</v>
      </c>
      <c r="X2244" s="1077">
        <v>90</v>
      </c>
      <c r="Y2244" s="1077">
        <v>1.1000000000000001</v>
      </c>
      <c r="Z2244" s="1077" t="s">
        <v>648</v>
      </c>
      <c r="AA2244" s="1077" t="s">
        <v>2725</v>
      </c>
      <c r="AH2244" s="1077" t="s">
        <v>723</v>
      </c>
      <c r="AM2244" s="1078" t="s">
        <v>13443</v>
      </c>
      <c r="AN2244" s="1078" t="s">
        <v>13444</v>
      </c>
      <c r="AO2244" s="1078">
        <f t="shared" si="278"/>
        <v>575</v>
      </c>
      <c r="AP2244" s="1078">
        <f t="shared" si="279"/>
        <v>1.7749999999999999</v>
      </c>
      <c r="AQ2244" s="1078">
        <f t="shared" si="280"/>
        <v>102.5</v>
      </c>
      <c r="AR2244" s="1078" t="str">
        <f t="shared" si="281"/>
        <v>15.5</v>
      </c>
      <c r="AS2244" s="1078" t="str">
        <f t="shared" si="282"/>
        <v>428/408/160</v>
      </c>
      <c r="AT2244" s="1078">
        <f t="shared" si="283"/>
        <v>102.5</v>
      </c>
      <c r="AV2244" s="1078" t="str">
        <f t="shared" si="284"/>
        <v>108.8.9</v>
      </c>
      <c r="AW2244" s="1344">
        <f t="shared" si="285"/>
        <v>43686</v>
      </c>
    </row>
    <row r="2245" spans="1:49">
      <c r="A2245" s="1077" t="s">
        <v>7046</v>
      </c>
      <c r="B2245" s="1077" t="s">
        <v>714</v>
      </c>
      <c r="C2245" s="1077">
        <v>550</v>
      </c>
      <c r="D2245" s="1077">
        <v>1.7769999999999999</v>
      </c>
      <c r="E2245" s="1077">
        <v>102.5</v>
      </c>
      <c r="F2245" s="1077" t="s">
        <v>4070</v>
      </c>
      <c r="G2245" s="1077" t="s">
        <v>6865</v>
      </c>
      <c r="H2245" s="1077" t="s">
        <v>7047</v>
      </c>
      <c r="I2245" s="1077" t="s">
        <v>7048</v>
      </c>
      <c r="J2245" s="1077">
        <v>3.7</v>
      </c>
      <c r="K2245" s="1077" t="s">
        <v>7049</v>
      </c>
      <c r="L2245" s="1077" t="s">
        <v>4666</v>
      </c>
      <c r="M2245" s="1077">
        <v>295.10000000000002</v>
      </c>
      <c r="N2245" s="1077" t="s">
        <v>945</v>
      </c>
      <c r="O2245" s="1077">
        <v>7.3775000000000013</v>
      </c>
      <c r="P2245" s="1077">
        <v>5.9020000000000001</v>
      </c>
      <c r="Q2245" s="1077" t="s">
        <v>956</v>
      </c>
      <c r="R2245" s="1077">
        <v>17.399999999999999</v>
      </c>
      <c r="T2245" s="1077">
        <v>31</v>
      </c>
      <c r="U2245" s="1077">
        <v>3.5</v>
      </c>
      <c r="V2245" s="1077" t="s">
        <v>648</v>
      </c>
      <c r="W2245" s="1077" t="s">
        <v>6880</v>
      </c>
      <c r="X2245" s="1077">
        <v>40</v>
      </c>
      <c r="Y2245" s="1077">
        <v>1</v>
      </c>
      <c r="Z2245" s="1077" t="s">
        <v>648</v>
      </c>
      <c r="AA2245" s="1077" t="s">
        <v>4065</v>
      </c>
      <c r="AH2245" s="1077" t="s">
        <v>723</v>
      </c>
      <c r="AM2245" s="1078" t="s">
        <v>13445</v>
      </c>
      <c r="AN2245" s="1078" t="s">
        <v>13446</v>
      </c>
      <c r="AO2245" s="1078">
        <f t="shared" si="278"/>
        <v>550</v>
      </c>
      <c r="AP2245" s="1078">
        <f t="shared" si="279"/>
        <v>1.7769999999999999</v>
      </c>
      <c r="AQ2245" s="1078">
        <f t="shared" si="280"/>
        <v>102.5</v>
      </c>
      <c r="AR2245" s="1078" t="str">
        <f t="shared" si="281"/>
        <v>15.5</v>
      </c>
      <c r="AS2245" s="1078" t="str">
        <f t="shared" si="282"/>
        <v>485/445/OFF</v>
      </c>
      <c r="AT2245" s="1078">
        <f t="shared" si="283"/>
        <v>102.5</v>
      </c>
      <c r="AV2245" s="1078" t="str">
        <f t="shared" si="284"/>
        <v>108.8.16</v>
      </c>
      <c r="AW2245" s="1344">
        <f t="shared" si="285"/>
        <v>43693</v>
      </c>
    </row>
    <row r="2246" spans="1:49">
      <c r="A2246" s="1077" t="s">
        <v>7050</v>
      </c>
      <c r="B2246" s="1077" t="s">
        <v>717</v>
      </c>
      <c r="C2246" s="1077">
        <v>600</v>
      </c>
      <c r="D2246" s="1077">
        <v>1.8049999999999999</v>
      </c>
      <c r="E2246" s="1077" t="s">
        <v>15116</v>
      </c>
      <c r="F2246" s="1077" t="s">
        <v>2234</v>
      </c>
      <c r="G2246" s="1077">
        <v>4</v>
      </c>
      <c r="H2246" s="1077" t="s">
        <v>6902</v>
      </c>
      <c r="I2246" s="1077" t="s">
        <v>6918</v>
      </c>
      <c r="K2246" s="1077" t="s">
        <v>7051</v>
      </c>
      <c r="L2246" s="1077" t="s">
        <v>6920</v>
      </c>
      <c r="M2246" s="1077">
        <v>303.5</v>
      </c>
      <c r="N2246" s="1077" t="s">
        <v>945</v>
      </c>
      <c r="O2246" s="1077">
        <v>7.5875000000000004</v>
      </c>
      <c r="P2246" s="1077">
        <v>6.07</v>
      </c>
      <c r="Q2246" s="1077" t="s">
        <v>1264</v>
      </c>
      <c r="R2246" s="1077">
        <v>27.9</v>
      </c>
      <c r="T2246" s="1077">
        <v>13.5</v>
      </c>
      <c r="U2246" s="1077">
        <v>2.5</v>
      </c>
      <c r="V2246" s="1077" t="s">
        <v>648</v>
      </c>
      <c r="W2246" s="1077" t="s">
        <v>4947</v>
      </c>
      <c r="X2246" s="1077">
        <v>10</v>
      </c>
      <c r="Y2246" s="1077">
        <v>1.6</v>
      </c>
      <c r="Z2246" s="1077" t="s">
        <v>648</v>
      </c>
      <c r="AA2246" s="1077" t="s">
        <v>2748</v>
      </c>
      <c r="AH2246" s="1077" t="s">
        <v>722</v>
      </c>
      <c r="AM2246" s="1078" t="s">
        <v>13447</v>
      </c>
      <c r="AN2246" s="1078" t="s">
        <v>13448</v>
      </c>
      <c r="AO2246" s="1078">
        <f t="shared" si="278"/>
        <v>600</v>
      </c>
      <c r="AP2246" s="1078">
        <f t="shared" si="279"/>
        <v>1.8049999999999999</v>
      </c>
      <c r="AQ2246" s="1078" t="str">
        <f t="shared" si="280"/>
        <v>1-5-1S83°Z+S</v>
      </c>
      <c r="AR2246" s="1078" t="str">
        <f t="shared" si="281"/>
        <v>33.5</v>
      </c>
      <c r="AS2246" s="1078" t="str">
        <f t="shared" si="282"/>
        <v>310/310/190</v>
      </c>
      <c r="AT2246" s="1078" t="str">
        <f t="shared" si="283"/>
        <v>1-5-1S83°Z+S</v>
      </c>
      <c r="AU2246" s="1078" t="s">
        <v>15547</v>
      </c>
      <c r="AV2246" s="1078" t="str">
        <f t="shared" si="284"/>
        <v>108.8.30</v>
      </c>
      <c r="AW2246" s="1344">
        <f t="shared" si="285"/>
        <v>43707</v>
      </c>
    </row>
    <row r="2247" spans="1:49">
      <c r="A2247" s="1077" t="s">
        <v>7052</v>
      </c>
      <c r="B2247" s="1077" t="s">
        <v>7026</v>
      </c>
      <c r="C2247" s="1077">
        <v>600</v>
      </c>
      <c r="D2247" s="1077">
        <v>1.736</v>
      </c>
      <c r="E2247" s="1077" t="s">
        <v>15124</v>
      </c>
      <c r="F2247" s="1077" t="s">
        <v>1119</v>
      </c>
      <c r="G2247" s="1077">
        <v>5</v>
      </c>
      <c r="H2247" s="1077" t="s">
        <v>2924</v>
      </c>
      <c r="I2247" s="1077" t="s">
        <v>7028</v>
      </c>
      <c r="J2247" s="1077">
        <v>3.7</v>
      </c>
      <c r="K2247" s="1077" t="s">
        <v>7053</v>
      </c>
      <c r="L2247" s="1077" t="s">
        <v>4979</v>
      </c>
      <c r="M2247" s="1077">
        <v>302</v>
      </c>
      <c r="N2247" s="1077" t="s">
        <v>945</v>
      </c>
      <c r="O2247" s="1077">
        <v>7.5500000000000007</v>
      </c>
      <c r="P2247" s="1077">
        <v>6.04</v>
      </c>
      <c r="Q2247" s="1077" t="s">
        <v>1264</v>
      </c>
      <c r="R2247" s="1077">
        <v>20.9</v>
      </c>
      <c r="T2247" s="1077">
        <v>25.8</v>
      </c>
      <c r="U2247" s="1077">
        <v>3</v>
      </c>
      <c r="V2247" s="1077" t="s">
        <v>648</v>
      </c>
      <c r="W2247" s="1077">
        <v>120</v>
      </c>
      <c r="X2247" s="1077">
        <v>25</v>
      </c>
      <c r="Y2247" s="1077">
        <v>1.3</v>
      </c>
      <c r="Z2247" s="1077" t="s">
        <v>648</v>
      </c>
      <c r="AA2247" s="1077" t="s">
        <v>1190</v>
      </c>
      <c r="AH2247" s="1077" t="s">
        <v>1417</v>
      </c>
      <c r="AM2247" s="1078" t="s">
        <v>13449</v>
      </c>
      <c r="AN2247" s="1078" t="s">
        <v>13450</v>
      </c>
      <c r="AO2247" s="1078">
        <f t="shared" si="278"/>
        <v>600</v>
      </c>
      <c r="AP2247" s="1078">
        <f t="shared" si="279"/>
        <v>1.736</v>
      </c>
      <c r="AQ2247" s="1078" t="str">
        <f t="shared" si="280"/>
        <v>2-6-1S83°Z+S</v>
      </c>
      <c r="AR2247" s="1078" t="str">
        <f t="shared" si="281"/>
        <v>29</v>
      </c>
      <c r="AS2247" s="1078" t="str">
        <f t="shared" si="282"/>
        <v>192/193</v>
      </c>
      <c r="AT2247" s="1078" t="str">
        <f t="shared" si="283"/>
        <v>2-6-1S83°Z+S</v>
      </c>
      <c r="AU2247" s="1078" t="s">
        <v>15547</v>
      </c>
      <c r="AV2247" s="1078" t="str">
        <f t="shared" si="284"/>
        <v>108.9.2</v>
      </c>
      <c r="AW2247" s="1344">
        <f t="shared" si="285"/>
        <v>43710</v>
      </c>
    </row>
    <row r="2248" spans="1:49">
      <c r="A2248" s="1077" t="s">
        <v>7054</v>
      </c>
      <c r="B2248" s="1077" t="s">
        <v>7055</v>
      </c>
      <c r="C2248" s="1077">
        <v>550</v>
      </c>
      <c r="D2248" s="1077">
        <v>1.7669999999999999</v>
      </c>
      <c r="E2248" s="1077">
        <v>102.5</v>
      </c>
      <c r="F2248" s="1077" t="s">
        <v>5134</v>
      </c>
      <c r="G2248" s="1077">
        <v>5.5</v>
      </c>
      <c r="H2248" s="1077" t="s">
        <v>7056</v>
      </c>
      <c r="I2248" s="1077" t="s">
        <v>7057</v>
      </c>
      <c r="J2248" s="1077">
        <v>3</v>
      </c>
      <c r="K2248" s="1077" t="s">
        <v>7058</v>
      </c>
      <c r="L2248" s="1077" t="s">
        <v>4946</v>
      </c>
      <c r="M2248" s="1077">
        <v>296</v>
      </c>
      <c r="N2248" s="1077" t="s">
        <v>945</v>
      </c>
      <c r="O2248" s="1077">
        <v>7.4</v>
      </c>
      <c r="P2248" s="1077">
        <v>5.92</v>
      </c>
      <c r="Q2248" s="1077" t="s">
        <v>1369</v>
      </c>
      <c r="R2248" s="1077">
        <v>27</v>
      </c>
      <c r="T2248" s="1077">
        <v>17.5</v>
      </c>
      <c r="U2248" s="1077">
        <v>6</v>
      </c>
      <c r="V2248" s="1077" t="s">
        <v>648</v>
      </c>
      <c r="W2248" s="1077">
        <v>60</v>
      </c>
      <c r="X2248" s="1077">
        <v>10</v>
      </c>
      <c r="Y2248" s="1077">
        <v>1.2</v>
      </c>
      <c r="Z2248" s="1077" t="s">
        <v>648</v>
      </c>
      <c r="AA2248" s="1077" t="s">
        <v>7059</v>
      </c>
      <c r="AH2248" s="1077" t="s">
        <v>723</v>
      </c>
      <c r="AM2248" s="1078" t="s">
        <v>13451</v>
      </c>
      <c r="AN2248" s="1078" t="s">
        <v>13452</v>
      </c>
      <c r="AO2248" s="1078">
        <f t="shared" si="278"/>
        <v>550</v>
      </c>
      <c r="AP2248" s="1078">
        <f t="shared" si="279"/>
        <v>1.7669999999999999</v>
      </c>
      <c r="AQ2248" s="1078">
        <f t="shared" si="280"/>
        <v>102.5</v>
      </c>
      <c r="AR2248" s="1078" t="str">
        <f t="shared" si="281"/>
        <v>15.6</v>
      </c>
      <c r="AS2248" s="1078" t="str">
        <f t="shared" si="282"/>
        <v>360/375/OFF</v>
      </c>
      <c r="AT2248" s="1078">
        <f t="shared" si="283"/>
        <v>102.5</v>
      </c>
      <c r="AV2248" s="1078" t="str">
        <f t="shared" si="284"/>
        <v>108.9.5</v>
      </c>
      <c r="AW2248" s="1344">
        <f t="shared" si="285"/>
        <v>43713</v>
      </c>
    </row>
    <row r="2249" spans="1:49">
      <c r="A2249" s="1077" t="s">
        <v>7060</v>
      </c>
      <c r="B2249" s="1077" t="s">
        <v>775</v>
      </c>
      <c r="C2249" s="1077">
        <v>600</v>
      </c>
      <c r="D2249" s="1077">
        <v>1.8</v>
      </c>
      <c r="E2249" s="1077" t="s">
        <v>15116</v>
      </c>
      <c r="F2249" s="1077" t="s">
        <v>2234</v>
      </c>
      <c r="G2249" s="1077">
        <v>4</v>
      </c>
      <c r="H2249" s="1077" t="s">
        <v>6902</v>
      </c>
      <c r="I2249" s="1077" t="s">
        <v>6903</v>
      </c>
      <c r="K2249" s="1077" t="s">
        <v>7061</v>
      </c>
      <c r="L2249" s="1077" t="s">
        <v>6933</v>
      </c>
      <c r="M2249" s="1077">
        <v>302</v>
      </c>
      <c r="N2249" s="1077" t="s">
        <v>945</v>
      </c>
      <c r="O2249" s="1077">
        <v>7.5500000000000007</v>
      </c>
      <c r="P2249" s="1077">
        <v>6.04</v>
      </c>
      <c r="Q2249" s="1077" t="s">
        <v>2553</v>
      </c>
      <c r="R2249" s="1077">
        <v>27.3</v>
      </c>
      <c r="T2249" s="1077">
        <v>13.3</v>
      </c>
      <c r="U2249" s="1077">
        <v>2.2999999999999998</v>
      </c>
      <c r="V2249" s="1077" t="s">
        <v>648</v>
      </c>
      <c r="W2249" s="1077" t="s">
        <v>4947</v>
      </c>
      <c r="X2249" s="1077">
        <v>10</v>
      </c>
      <c r="Y2249" s="1077">
        <v>1.6</v>
      </c>
      <c r="Z2249" s="1077" t="s">
        <v>648</v>
      </c>
      <c r="AA2249" s="1077" t="s">
        <v>2765</v>
      </c>
      <c r="AH2249" s="1077" t="s">
        <v>1482</v>
      </c>
      <c r="AM2249" s="1078" t="s">
        <v>13453</v>
      </c>
      <c r="AN2249" s="1078" t="s">
        <v>13454</v>
      </c>
      <c r="AO2249" s="1078">
        <f t="shared" si="278"/>
        <v>600</v>
      </c>
      <c r="AP2249" s="1078">
        <f t="shared" si="279"/>
        <v>1.8</v>
      </c>
      <c r="AQ2249" s="1078" t="str">
        <f t="shared" si="280"/>
        <v>1-5-1S83°Z+S</v>
      </c>
      <c r="AR2249" s="1078" t="str">
        <f t="shared" si="281"/>
        <v>33.5</v>
      </c>
      <c r="AS2249" s="1078" t="str">
        <f t="shared" si="282"/>
        <v>310/310/190</v>
      </c>
      <c r="AT2249" s="1078" t="str">
        <f t="shared" si="283"/>
        <v>1-5-1S83°Z+S</v>
      </c>
      <c r="AU2249" s="1078" t="s">
        <v>15547</v>
      </c>
      <c r="AV2249" s="1078" t="str">
        <f t="shared" si="284"/>
        <v>108.9.12</v>
      </c>
      <c r="AW2249" s="1344">
        <f t="shared" si="285"/>
        <v>43720</v>
      </c>
    </row>
    <row r="2250" spans="1:49">
      <c r="A2250" s="1077" t="s">
        <v>7062</v>
      </c>
      <c r="B2250" s="1077" t="s">
        <v>663</v>
      </c>
      <c r="C2250" s="1077">
        <v>500</v>
      </c>
      <c r="D2250" s="1077">
        <v>1.77</v>
      </c>
      <c r="E2250" s="1077">
        <v>102.5</v>
      </c>
      <c r="F2250" s="1077" t="s">
        <v>4070</v>
      </c>
      <c r="G2250" s="1077">
        <v>5.5</v>
      </c>
      <c r="H2250" s="1077" t="s">
        <v>6928</v>
      </c>
      <c r="I2250" s="1077" t="s">
        <v>6970</v>
      </c>
      <c r="K2250" s="1077" t="s">
        <v>7063</v>
      </c>
      <c r="L2250" s="1077" t="s">
        <v>4907</v>
      </c>
      <c r="M2250" s="1077">
        <v>296</v>
      </c>
      <c r="N2250" s="1077" t="s">
        <v>945</v>
      </c>
      <c r="O2250" s="1077">
        <v>7.4</v>
      </c>
      <c r="P2250" s="1077">
        <v>5.92</v>
      </c>
      <c r="Q2250" s="1077" t="s">
        <v>3010</v>
      </c>
      <c r="R2250" s="1077">
        <v>17</v>
      </c>
      <c r="T2250" s="1077">
        <v>10.5</v>
      </c>
      <c r="U2250" s="1077">
        <v>6.1</v>
      </c>
      <c r="V2250" s="1077" t="s">
        <v>648</v>
      </c>
      <c r="W2250" s="1077">
        <v>120</v>
      </c>
      <c r="X2250" s="1077">
        <v>90</v>
      </c>
      <c r="Y2250" s="1077">
        <v>1.1000000000000001</v>
      </c>
      <c r="Z2250" s="1077" t="s">
        <v>648</v>
      </c>
      <c r="AA2250" s="1077" t="s">
        <v>2783</v>
      </c>
      <c r="AH2250" s="1077" t="s">
        <v>723</v>
      </c>
      <c r="AM2250" s="1078" t="s">
        <v>13455</v>
      </c>
      <c r="AN2250" s="1078" t="s">
        <v>13456</v>
      </c>
      <c r="AO2250" s="1078">
        <f t="shared" si="278"/>
        <v>500</v>
      </c>
      <c r="AP2250" s="1078">
        <f t="shared" si="279"/>
        <v>1.77</v>
      </c>
      <c r="AQ2250" s="1078">
        <f t="shared" si="280"/>
        <v>102.5</v>
      </c>
      <c r="AR2250" s="1078" t="str">
        <f t="shared" si="281"/>
        <v>15.5</v>
      </c>
      <c r="AS2250" s="1078" t="str">
        <f t="shared" si="282"/>
        <v>370/355/153</v>
      </c>
      <c r="AT2250" s="1078">
        <f t="shared" si="283"/>
        <v>102.5</v>
      </c>
      <c r="AV2250" s="1078" t="str">
        <f t="shared" si="284"/>
        <v>108.10.3</v>
      </c>
      <c r="AW2250" s="1344">
        <f t="shared" si="285"/>
        <v>43741</v>
      </c>
    </row>
    <row r="2251" spans="1:49">
      <c r="A2251" s="1077" t="s">
        <v>7064</v>
      </c>
      <c r="B2251" s="1077" t="s">
        <v>714</v>
      </c>
      <c r="C2251" s="1077">
        <v>700</v>
      </c>
      <c r="D2251" s="1077">
        <v>1.7569999999999999</v>
      </c>
      <c r="E2251" s="1077" t="s">
        <v>15104</v>
      </c>
      <c r="F2251" s="1077" t="s">
        <v>648</v>
      </c>
      <c r="G2251" s="1077" t="s">
        <v>6865</v>
      </c>
      <c r="H2251" s="1077" t="s">
        <v>6877</v>
      </c>
      <c r="I2251" s="1077" t="s">
        <v>6884</v>
      </c>
      <c r="J2251" s="1077">
        <v>3.7</v>
      </c>
      <c r="K2251" s="1077" t="s">
        <v>7065</v>
      </c>
      <c r="L2251" s="1077" t="s">
        <v>4666</v>
      </c>
      <c r="M2251" s="1077">
        <v>300.8</v>
      </c>
      <c r="N2251" s="1077" t="s">
        <v>945</v>
      </c>
      <c r="O2251" s="1077">
        <v>7.5200000000000005</v>
      </c>
      <c r="P2251" s="1077">
        <v>6.016</v>
      </c>
      <c r="Q2251" s="1077" t="s">
        <v>956</v>
      </c>
      <c r="R2251" s="1077">
        <v>17</v>
      </c>
      <c r="T2251" s="1077">
        <v>31.4</v>
      </c>
      <c r="U2251" s="1077">
        <v>3.6</v>
      </c>
      <c r="V2251" s="1077" t="s">
        <v>648</v>
      </c>
      <c r="W2251" s="1077">
        <v>65</v>
      </c>
      <c r="X2251" s="1077">
        <v>10</v>
      </c>
      <c r="Y2251" s="1077">
        <v>1.5</v>
      </c>
      <c r="Z2251" s="1077" t="s">
        <v>648</v>
      </c>
      <c r="AA2251" s="1077" t="s">
        <v>7066</v>
      </c>
      <c r="AH2251" s="1077" t="s">
        <v>948</v>
      </c>
      <c r="AM2251" s="1078" t="s">
        <v>13457</v>
      </c>
      <c r="AN2251" s="1078" t="s">
        <v>13458</v>
      </c>
      <c r="AO2251" s="1078">
        <f t="shared" ref="AO2251:AO2314" si="286">C2251</f>
        <v>700</v>
      </c>
      <c r="AP2251" s="1078">
        <f t="shared" ref="AP2251:AP2314" si="287">D2251</f>
        <v>1.7569999999999999</v>
      </c>
      <c r="AQ2251" s="1078" t="str">
        <f t="shared" ref="AQ2251:AQ2314" si="288">E2251</f>
        <v>1-4-1S85°Z+S</v>
      </c>
      <c r="AR2251" s="1078" t="str">
        <f t="shared" ref="AR2251:AR2314" si="289">F2251</f>
        <v>NA</v>
      </c>
      <c r="AS2251" s="1078" t="str">
        <f t="shared" ref="AS2251:AS2314" si="290">H2251</f>
        <v>200/OFF</v>
      </c>
      <c r="AT2251" s="1078" t="str">
        <f t="shared" ref="AT2251:AT2314" si="291">E2251</f>
        <v>1-4-1S85°Z+S</v>
      </c>
      <c r="AU2251" s="1078" t="s">
        <v>15547</v>
      </c>
      <c r="AV2251" s="1078" t="str">
        <f t="shared" si="284"/>
        <v>108.9.20</v>
      </c>
      <c r="AW2251" s="1344">
        <f t="shared" si="285"/>
        <v>43728</v>
      </c>
    </row>
    <row r="2252" spans="1:49">
      <c r="A2252" s="1077" t="s">
        <v>7067</v>
      </c>
      <c r="B2252" s="1077" t="s">
        <v>7068</v>
      </c>
      <c r="C2252" s="1077">
        <v>450</v>
      </c>
      <c r="D2252" s="1077">
        <v>1.78</v>
      </c>
      <c r="E2252" s="1077" t="s">
        <v>15124</v>
      </c>
      <c r="F2252" s="1077" t="s">
        <v>3685</v>
      </c>
      <c r="G2252" s="1077">
        <v>5</v>
      </c>
      <c r="H2252" s="1077" t="s">
        <v>2326</v>
      </c>
      <c r="I2252" s="1077" t="s">
        <v>7069</v>
      </c>
      <c r="K2252" s="1077" t="s">
        <v>7070</v>
      </c>
      <c r="L2252" s="1077" t="s">
        <v>5037</v>
      </c>
      <c r="M2252" s="1077">
        <v>293.2</v>
      </c>
      <c r="N2252" s="1077" t="s">
        <v>945</v>
      </c>
      <c r="O2252" s="1077">
        <v>7.33</v>
      </c>
      <c r="P2252" s="1077">
        <v>5.8639999999999999</v>
      </c>
      <c r="Q2252" s="1077" t="s">
        <v>2422</v>
      </c>
      <c r="R2252" s="1077">
        <v>21</v>
      </c>
      <c r="T2252" s="1077">
        <v>25</v>
      </c>
      <c r="U2252" s="1077">
        <v>4.2</v>
      </c>
      <c r="V2252" s="1077" t="s">
        <v>648</v>
      </c>
      <c r="W2252" s="1077">
        <v>120</v>
      </c>
      <c r="X2252" s="1077">
        <v>20</v>
      </c>
      <c r="Y2252" s="1077">
        <v>1.6</v>
      </c>
      <c r="Z2252" s="1077" t="s">
        <v>648</v>
      </c>
      <c r="AA2252" s="1077" t="s">
        <v>5096</v>
      </c>
      <c r="AH2252" s="1077" t="s">
        <v>783</v>
      </c>
      <c r="AM2252" s="1078" t="s">
        <v>13459</v>
      </c>
      <c r="AN2252" s="1078" t="s">
        <v>13460</v>
      </c>
      <c r="AO2252" s="1078">
        <f t="shared" si="286"/>
        <v>450</v>
      </c>
      <c r="AP2252" s="1078">
        <f t="shared" si="287"/>
        <v>1.78</v>
      </c>
      <c r="AQ2252" s="1078" t="str">
        <f t="shared" si="288"/>
        <v>2-6-1S83°Z+S</v>
      </c>
      <c r="AR2252" s="1078" t="str">
        <f t="shared" si="289"/>
        <v>30.6</v>
      </c>
      <c r="AS2252" s="1078" t="str">
        <f t="shared" si="290"/>
        <v>173/OFF</v>
      </c>
      <c r="AT2252" s="1078" t="str">
        <f t="shared" si="291"/>
        <v>2-6-1S83°Z+S</v>
      </c>
      <c r="AU2252" s="1078" t="s">
        <v>15547</v>
      </c>
      <c r="AV2252" s="1078" t="str">
        <f t="shared" si="284"/>
        <v>108.9.23</v>
      </c>
      <c r="AW2252" s="1344">
        <f t="shared" si="285"/>
        <v>43731</v>
      </c>
    </row>
    <row r="2253" spans="1:49">
      <c r="A2253" s="1077" t="s">
        <v>7071</v>
      </c>
      <c r="B2253" s="1077" t="s">
        <v>6940</v>
      </c>
      <c r="C2253" s="1077" t="s">
        <v>7072</v>
      </c>
      <c r="D2253" s="1077">
        <v>1.78</v>
      </c>
      <c r="E2253" s="1077" t="s">
        <v>15124</v>
      </c>
      <c r="F2253" s="1077" t="s">
        <v>984</v>
      </c>
      <c r="G2253" s="1077">
        <v>5</v>
      </c>
      <c r="H2253" s="1077" t="s">
        <v>7073</v>
      </c>
      <c r="I2253" s="1077" t="s">
        <v>6941</v>
      </c>
      <c r="J2253" s="1077">
        <v>1</v>
      </c>
      <c r="K2253" s="1077" t="s">
        <v>7074</v>
      </c>
      <c r="L2253" s="1077" t="s">
        <v>4952</v>
      </c>
      <c r="M2253" s="1077">
        <v>308.7</v>
      </c>
      <c r="N2253" s="1077" t="s">
        <v>945</v>
      </c>
      <c r="O2253" s="1077">
        <v>7.7175000000000002</v>
      </c>
      <c r="P2253" s="1077">
        <v>6.1739999999999995</v>
      </c>
      <c r="Q2253" s="1077" t="s">
        <v>7075</v>
      </c>
      <c r="R2253" s="1077">
        <v>25.5</v>
      </c>
      <c r="T2253" s="1077">
        <v>18</v>
      </c>
      <c r="U2253" s="1077">
        <v>5.0999999999999996</v>
      </c>
      <c r="V2253" s="1077" t="s">
        <v>648</v>
      </c>
      <c r="W2253" s="1077" t="s">
        <v>2816</v>
      </c>
      <c r="X2253" s="1077">
        <v>10</v>
      </c>
      <c r="Y2253" s="1077">
        <v>1.7</v>
      </c>
      <c r="Z2253" s="1077" t="s">
        <v>648</v>
      </c>
      <c r="AA2253" s="1077" t="s">
        <v>7076</v>
      </c>
      <c r="AH2253" s="1077" t="s">
        <v>482</v>
      </c>
      <c r="AM2253" s="1078" t="s">
        <v>13461</v>
      </c>
      <c r="AN2253" s="1078" t="s">
        <v>13462</v>
      </c>
      <c r="AO2253" s="1078" t="str">
        <f t="shared" si="286"/>
        <v>500↓450</v>
      </c>
      <c r="AP2253" s="1078">
        <f t="shared" si="287"/>
        <v>1.78</v>
      </c>
      <c r="AQ2253" s="1078" t="str">
        <f t="shared" si="288"/>
        <v>2-6-1S83°Z+S</v>
      </c>
      <c r="AR2253" s="1078" t="str">
        <f t="shared" si="289"/>
        <v>30</v>
      </c>
      <c r="AS2253" s="1078" t="str">
        <f t="shared" si="290"/>
        <v>152/OFF</v>
      </c>
      <c r="AT2253" s="1078" t="str">
        <f t="shared" si="291"/>
        <v>2-6-1S83°Z+S</v>
      </c>
      <c r="AU2253" s="1078" t="s">
        <v>15547</v>
      </c>
      <c r="AV2253" s="1078" t="str">
        <f t="shared" si="284"/>
        <v>108.10.14</v>
      </c>
      <c r="AW2253" s="1344">
        <f t="shared" si="285"/>
        <v>43752</v>
      </c>
    </row>
    <row r="2254" spans="1:49">
      <c r="A2254" s="1077" t="s">
        <v>7077</v>
      </c>
      <c r="B2254" s="1077" t="s">
        <v>7005</v>
      </c>
      <c r="C2254" s="1077">
        <v>600</v>
      </c>
      <c r="D2254" s="1077">
        <v>1.72</v>
      </c>
      <c r="E2254" s="1077" t="s">
        <v>15116</v>
      </c>
      <c r="F2254" s="1077" t="s">
        <v>2234</v>
      </c>
      <c r="G2254" s="1077">
        <v>3.5</v>
      </c>
      <c r="H2254" s="1077" t="s">
        <v>6952</v>
      </c>
      <c r="I2254" s="1077" t="s">
        <v>7001</v>
      </c>
      <c r="K2254" s="1077" t="s">
        <v>7006</v>
      </c>
      <c r="L2254" s="1077" t="s">
        <v>7007</v>
      </c>
      <c r="M2254" s="1077">
        <v>310</v>
      </c>
      <c r="N2254" s="1077" t="s">
        <v>945</v>
      </c>
      <c r="O2254" s="1077">
        <v>7.75</v>
      </c>
      <c r="P2254" s="1077">
        <v>6.2</v>
      </c>
      <c r="Q2254" s="1077" t="s">
        <v>2553</v>
      </c>
      <c r="R2254" s="1077">
        <v>22</v>
      </c>
      <c r="T2254" s="1077">
        <v>13.5</v>
      </c>
      <c r="U2254" s="1077">
        <v>3.2</v>
      </c>
      <c r="V2254" s="1077" t="s">
        <v>648</v>
      </c>
      <c r="W2254" s="1077">
        <v>100</v>
      </c>
      <c r="X2254" s="1077">
        <v>85</v>
      </c>
      <c r="Y2254" s="1077">
        <v>1.2</v>
      </c>
      <c r="Z2254" s="1077" t="s">
        <v>648</v>
      </c>
      <c r="AA2254" s="1077" t="s">
        <v>7078</v>
      </c>
      <c r="AH2254" s="1077" t="s">
        <v>1221</v>
      </c>
      <c r="AM2254" s="1078" t="s">
        <v>13463</v>
      </c>
      <c r="AN2254" s="1078" t="s">
        <v>13464</v>
      </c>
      <c r="AO2254" s="1078">
        <f t="shared" si="286"/>
        <v>600</v>
      </c>
      <c r="AP2254" s="1078">
        <f t="shared" si="287"/>
        <v>1.72</v>
      </c>
      <c r="AQ2254" s="1078" t="str">
        <f t="shared" si="288"/>
        <v>1-5-1S83°Z+S</v>
      </c>
      <c r="AR2254" s="1078" t="str">
        <f t="shared" si="289"/>
        <v>33.5</v>
      </c>
      <c r="AS2254" s="1078" t="str">
        <f t="shared" si="290"/>
        <v>340/340/140</v>
      </c>
      <c r="AT2254" s="1078" t="str">
        <f t="shared" si="291"/>
        <v>1-5-1S83°Z+S</v>
      </c>
      <c r="AU2254" s="1078" t="s">
        <v>15547</v>
      </c>
      <c r="AV2254" s="1078" t="str">
        <f t="shared" si="284"/>
        <v>108.10.17</v>
      </c>
      <c r="AW2254" s="1344">
        <f t="shared" si="285"/>
        <v>43755</v>
      </c>
    </row>
    <row r="2255" spans="1:49">
      <c r="A2255" s="1077" t="s">
        <v>7079</v>
      </c>
      <c r="B2255" s="1077" t="s">
        <v>7080</v>
      </c>
      <c r="C2255" s="1077">
        <v>600</v>
      </c>
      <c r="D2255" s="1077">
        <v>1.78</v>
      </c>
      <c r="E2255" s="1077" t="s">
        <v>15116</v>
      </c>
      <c r="F2255" s="1077" t="s">
        <v>2234</v>
      </c>
      <c r="G2255" s="1077">
        <v>3.5</v>
      </c>
      <c r="H2255" s="1077" t="s">
        <v>6952</v>
      </c>
      <c r="I2255" s="1077" t="s">
        <v>6953</v>
      </c>
      <c r="K2255" s="1077" t="s">
        <v>7081</v>
      </c>
      <c r="L2255" s="1077" t="s">
        <v>7082</v>
      </c>
      <c r="M2255" s="1077">
        <v>303</v>
      </c>
      <c r="N2255" s="1077" t="s">
        <v>945</v>
      </c>
      <c r="O2255" s="1077">
        <v>7.5750000000000002</v>
      </c>
      <c r="P2255" s="1077">
        <v>6.0600000000000005</v>
      </c>
      <c r="Q2255" s="1077" t="s">
        <v>1264</v>
      </c>
      <c r="R2255" s="1077">
        <v>22</v>
      </c>
      <c r="T2255" s="1077">
        <v>23</v>
      </c>
      <c r="U2255" s="1077">
        <v>3.2</v>
      </c>
      <c r="V2255" s="1077" t="s">
        <v>648</v>
      </c>
      <c r="W2255" s="1077">
        <v>115</v>
      </c>
      <c r="X2255" s="1077">
        <v>85</v>
      </c>
      <c r="Y2255" s="1077">
        <v>1.2</v>
      </c>
      <c r="Z2255" s="1077" t="s">
        <v>648</v>
      </c>
      <c r="AA2255" s="1077" t="s">
        <v>5121</v>
      </c>
      <c r="AH2255" s="1077" t="s">
        <v>468</v>
      </c>
      <c r="AM2255" s="1078" t="s">
        <v>13465</v>
      </c>
      <c r="AN2255" s="1078" t="s">
        <v>13466</v>
      </c>
      <c r="AO2255" s="1078">
        <f t="shared" si="286"/>
        <v>600</v>
      </c>
      <c r="AP2255" s="1078">
        <f t="shared" si="287"/>
        <v>1.78</v>
      </c>
      <c r="AQ2255" s="1078" t="str">
        <f t="shared" si="288"/>
        <v>1-5-1S83°Z+S</v>
      </c>
      <c r="AR2255" s="1078" t="str">
        <f t="shared" si="289"/>
        <v>33.5</v>
      </c>
      <c r="AS2255" s="1078" t="str">
        <f t="shared" si="290"/>
        <v>340/340/140</v>
      </c>
      <c r="AT2255" s="1078" t="str">
        <f t="shared" si="291"/>
        <v>1-5-1S83°Z+S</v>
      </c>
      <c r="AU2255" s="1078" t="s">
        <v>15547</v>
      </c>
      <c r="AV2255" s="1078" t="str">
        <f t="shared" si="284"/>
        <v>108.10.22</v>
      </c>
      <c r="AW2255" s="1344">
        <f t="shared" si="285"/>
        <v>43760</v>
      </c>
    </row>
    <row r="2256" spans="1:49">
      <c r="A2256" s="1077" t="s">
        <v>7083</v>
      </c>
      <c r="B2256" s="1077" t="s">
        <v>663</v>
      </c>
      <c r="C2256" s="1077">
        <v>600</v>
      </c>
      <c r="D2256" s="1077">
        <v>1.77</v>
      </c>
      <c r="E2256" s="1077">
        <v>102.5</v>
      </c>
      <c r="F2256" s="1077" t="s">
        <v>4070</v>
      </c>
      <c r="G2256" s="1077">
        <v>5.5</v>
      </c>
      <c r="H2256" s="1077" t="s">
        <v>6982</v>
      </c>
      <c r="I2256" s="1077" t="s">
        <v>6983</v>
      </c>
      <c r="K2256" s="1077" t="s">
        <v>7084</v>
      </c>
      <c r="L2256" s="1077" t="s">
        <v>4907</v>
      </c>
      <c r="M2256" s="1077">
        <v>296.39999999999998</v>
      </c>
      <c r="N2256" s="1077" t="s">
        <v>945</v>
      </c>
      <c r="O2256" s="1077">
        <v>7.41</v>
      </c>
      <c r="P2256" s="1077">
        <v>5.9279999999999999</v>
      </c>
      <c r="Q2256" s="1077" t="s">
        <v>3010</v>
      </c>
      <c r="R2256" s="1077">
        <v>20</v>
      </c>
      <c r="T2256" s="1077">
        <v>14.7</v>
      </c>
      <c r="U2256" s="1077">
        <v>5.5</v>
      </c>
      <c r="V2256" s="1077" t="s">
        <v>648</v>
      </c>
      <c r="W2256" s="1077">
        <v>70</v>
      </c>
      <c r="X2256" s="1077">
        <v>10</v>
      </c>
      <c r="Y2256" s="1077">
        <v>1.1000000000000001</v>
      </c>
      <c r="Z2256" s="1077" t="s">
        <v>648</v>
      </c>
      <c r="AA2256" s="1077" t="s">
        <v>5128</v>
      </c>
      <c r="AH2256" s="1077" t="s">
        <v>854</v>
      </c>
      <c r="AM2256" s="1078" t="s">
        <v>13467</v>
      </c>
      <c r="AN2256" s="1078" t="s">
        <v>13468</v>
      </c>
      <c r="AO2256" s="1078">
        <f t="shared" si="286"/>
        <v>600</v>
      </c>
      <c r="AP2256" s="1078">
        <f t="shared" si="287"/>
        <v>1.77</v>
      </c>
      <c r="AQ2256" s="1078">
        <f t="shared" si="288"/>
        <v>102.5</v>
      </c>
      <c r="AR2256" s="1078" t="str">
        <f t="shared" si="289"/>
        <v>15.5</v>
      </c>
      <c r="AS2256" s="1078" t="str">
        <f t="shared" si="290"/>
        <v>375/365/153</v>
      </c>
      <c r="AT2256" s="1078">
        <f t="shared" si="291"/>
        <v>102.5</v>
      </c>
      <c r="AV2256" s="1078" t="str">
        <f t="shared" si="284"/>
        <v>108.10.25</v>
      </c>
      <c r="AW2256" s="1344">
        <f t="shared" si="285"/>
        <v>43763</v>
      </c>
    </row>
    <row r="2257" spans="1:49">
      <c r="A2257" s="1077" t="s">
        <v>7085</v>
      </c>
      <c r="B2257" s="1077" t="s">
        <v>7086</v>
      </c>
      <c r="C2257" s="1077">
        <v>600</v>
      </c>
      <c r="D2257" s="1077">
        <v>1.79</v>
      </c>
      <c r="E2257" s="1077" t="s">
        <v>15116</v>
      </c>
      <c r="F2257" s="1077" t="s">
        <v>2234</v>
      </c>
      <c r="G2257" s="1077">
        <v>3.5</v>
      </c>
      <c r="H2257" s="1077" t="s">
        <v>6952</v>
      </c>
      <c r="I2257" s="1077" t="s">
        <v>7087</v>
      </c>
      <c r="K2257" s="1077" t="s">
        <v>7088</v>
      </c>
      <c r="L2257" s="1077" t="s">
        <v>7089</v>
      </c>
      <c r="M2257" s="1077">
        <v>303</v>
      </c>
      <c r="N2257" s="1077" t="s">
        <v>945</v>
      </c>
      <c r="O2257" s="1077">
        <v>7.5750000000000002</v>
      </c>
      <c r="P2257" s="1077">
        <v>6.0600000000000005</v>
      </c>
      <c r="Q2257" s="1077" t="s">
        <v>2553</v>
      </c>
      <c r="R2257" s="1077">
        <v>22</v>
      </c>
      <c r="T2257" s="1077">
        <v>23</v>
      </c>
      <c r="U2257" s="1077">
        <v>3.2</v>
      </c>
      <c r="V2257" s="1077" t="s">
        <v>648</v>
      </c>
      <c r="W2257" s="1077">
        <v>115</v>
      </c>
      <c r="X2257" s="1077">
        <v>85</v>
      </c>
      <c r="Y2257" s="1077">
        <v>1.2</v>
      </c>
      <c r="Z2257" s="1077" t="s">
        <v>648</v>
      </c>
      <c r="AA2257" s="1077" t="s">
        <v>2803</v>
      </c>
      <c r="AH2257" s="1077" t="s">
        <v>884</v>
      </c>
      <c r="AM2257" s="1078" t="s">
        <v>13469</v>
      </c>
      <c r="AN2257" s="1078" t="s">
        <v>13470</v>
      </c>
      <c r="AO2257" s="1078">
        <f t="shared" si="286"/>
        <v>600</v>
      </c>
      <c r="AP2257" s="1078">
        <f t="shared" si="287"/>
        <v>1.79</v>
      </c>
      <c r="AQ2257" s="1078" t="str">
        <f t="shared" si="288"/>
        <v>1-5-1S83°Z+S</v>
      </c>
      <c r="AR2257" s="1078" t="str">
        <f t="shared" si="289"/>
        <v>33.5</v>
      </c>
      <c r="AS2257" s="1078" t="str">
        <f t="shared" si="290"/>
        <v>340/340/140</v>
      </c>
      <c r="AT2257" s="1078" t="str">
        <f t="shared" si="291"/>
        <v>1-5-1S83°Z+S</v>
      </c>
      <c r="AU2257" s="1078" t="s">
        <v>15547</v>
      </c>
      <c r="AV2257" s="1078" t="str">
        <f t="shared" si="284"/>
        <v>108.10.24</v>
      </c>
      <c r="AW2257" s="1344">
        <f t="shared" si="285"/>
        <v>43762</v>
      </c>
    </row>
    <row r="2258" spans="1:49">
      <c r="A2258" s="1077" t="s">
        <v>7090</v>
      </c>
      <c r="B2258" s="1077" t="s">
        <v>7091</v>
      </c>
      <c r="C2258" s="1077">
        <v>600</v>
      </c>
      <c r="D2258" s="1077">
        <v>1.82</v>
      </c>
      <c r="E2258" s="1077" t="s">
        <v>15122</v>
      </c>
      <c r="F2258" s="1077" t="s">
        <v>2234</v>
      </c>
      <c r="G2258" s="1077">
        <v>5</v>
      </c>
      <c r="H2258" s="1077" t="s">
        <v>7092</v>
      </c>
      <c r="I2258" s="1077" t="s">
        <v>7001</v>
      </c>
      <c r="K2258" s="1077" t="s">
        <v>7093</v>
      </c>
      <c r="L2258" s="1077" t="s">
        <v>5152</v>
      </c>
      <c r="M2258" s="1077">
        <v>290</v>
      </c>
      <c r="N2258" s="1077" t="s">
        <v>945</v>
      </c>
      <c r="O2258" s="1077">
        <v>7.25</v>
      </c>
      <c r="P2258" s="1077">
        <v>5.8</v>
      </c>
      <c r="Q2258" s="1077" t="s">
        <v>946</v>
      </c>
      <c r="R2258" s="1077">
        <v>19.5</v>
      </c>
      <c r="T2258" s="1077">
        <v>29.3</v>
      </c>
      <c r="U2258" s="1077">
        <v>3.5</v>
      </c>
      <c r="V2258" s="1077" t="s">
        <v>648</v>
      </c>
      <c r="W2258" s="1077">
        <v>95</v>
      </c>
      <c r="X2258" s="1077">
        <v>20</v>
      </c>
      <c r="Y2258" s="1077">
        <v>1.5</v>
      </c>
      <c r="Z2258" s="1077" t="s">
        <v>648</v>
      </c>
      <c r="AA2258" s="1077" t="s">
        <v>5128</v>
      </c>
      <c r="AH2258" s="1077" t="s">
        <v>1137</v>
      </c>
      <c r="AM2258" s="1078" t="s">
        <v>13471</v>
      </c>
      <c r="AN2258" s="1078" t="s">
        <v>9426</v>
      </c>
      <c r="AO2258" s="1078">
        <f t="shared" si="286"/>
        <v>600</v>
      </c>
      <c r="AP2258" s="1078">
        <f t="shared" si="287"/>
        <v>1.82</v>
      </c>
      <c r="AQ2258" s="1078" t="str">
        <f t="shared" si="288"/>
        <v>1-5-1S91°Z+S</v>
      </c>
      <c r="AR2258" s="1078" t="str">
        <f t="shared" si="289"/>
        <v>33.5</v>
      </c>
      <c r="AS2258" s="1078" t="str">
        <f t="shared" si="290"/>
        <v>360/330/OFF</v>
      </c>
      <c r="AT2258" s="1078" t="str">
        <f t="shared" si="291"/>
        <v>1-5-1S91°Z+S</v>
      </c>
      <c r="AU2258" s="1078" t="s">
        <v>15547</v>
      </c>
      <c r="AV2258" s="1078" t="str">
        <f t="shared" si="284"/>
        <v>108.10.25</v>
      </c>
      <c r="AW2258" s="1344">
        <f t="shared" si="285"/>
        <v>43763</v>
      </c>
    </row>
    <row r="2259" spans="1:49">
      <c r="A2259" s="1077" t="s">
        <v>7094</v>
      </c>
      <c r="B2259" s="1077" t="s">
        <v>7091</v>
      </c>
      <c r="C2259" s="1077">
        <v>600</v>
      </c>
      <c r="D2259" s="1077">
        <v>1.82</v>
      </c>
      <c r="E2259" s="1077" t="s">
        <v>15122</v>
      </c>
      <c r="F2259" s="1077" t="s">
        <v>2234</v>
      </c>
      <c r="G2259" s="1077">
        <v>5</v>
      </c>
      <c r="H2259" s="1077" t="s">
        <v>7092</v>
      </c>
      <c r="I2259" s="1077" t="s">
        <v>7095</v>
      </c>
      <c r="K2259" s="1077" t="s">
        <v>7096</v>
      </c>
      <c r="L2259" s="1077" t="s">
        <v>5152</v>
      </c>
      <c r="M2259" s="1077">
        <v>290</v>
      </c>
      <c r="N2259" s="1077" t="s">
        <v>945</v>
      </c>
      <c r="O2259" s="1077">
        <v>7.25</v>
      </c>
      <c r="P2259" s="1077">
        <v>5.8</v>
      </c>
      <c r="Q2259" s="1077" t="s">
        <v>961</v>
      </c>
      <c r="R2259" s="1077">
        <v>19.5</v>
      </c>
      <c r="T2259" s="1077">
        <v>29.3</v>
      </c>
      <c r="U2259" s="1077">
        <v>3.5</v>
      </c>
      <c r="V2259" s="1077" t="s">
        <v>648</v>
      </c>
      <c r="W2259" s="1077">
        <v>95</v>
      </c>
      <c r="X2259" s="1077">
        <v>20</v>
      </c>
      <c r="Y2259" s="1077">
        <v>1.5</v>
      </c>
      <c r="Z2259" s="1077" t="s">
        <v>648</v>
      </c>
      <c r="AA2259" s="1077" t="s">
        <v>4866</v>
      </c>
      <c r="AH2259" s="1077" t="s">
        <v>1796</v>
      </c>
      <c r="AM2259" s="1078" t="s">
        <v>13472</v>
      </c>
      <c r="AN2259" s="1078" t="s">
        <v>13473</v>
      </c>
      <c r="AO2259" s="1078">
        <f t="shared" si="286"/>
        <v>600</v>
      </c>
      <c r="AP2259" s="1078">
        <f t="shared" si="287"/>
        <v>1.82</v>
      </c>
      <c r="AQ2259" s="1078" t="str">
        <f t="shared" si="288"/>
        <v>1-5-1S91°Z+S</v>
      </c>
      <c r="AR2259" s="1078" t="str">
        <f t="shared" si="289"/>
        <v>33.5</v>
      </c>
      <c r="AS2259" s="1078" t="str">
        <f t="shared" si="290"/>
        <v>360/330/OFF</v>
      </c>
      <c r="AT2259" s="1078" t="str">
        <f t="shared" si="291"/>
        <v>1-5-1S91°Z+S</v>
      </c>
      <c r="AU2259" s="1078" t="s">
        <v>15547</v>
      </c>
      <c r="AV2259" s="1078" t="str">
        <f t="shared" si="284"/>
        <v>109.5.22</v>
      </c>
      <c r="AW2259" s="1344">
        <f t="shared" si="285"/>
        <v>43973</v>
      </c>
    </row>
    <row r="2260" spans="1:49">
      <c r="A2260" s="1077" t="s">
        <v>7097</v>
      </c>
      <c r="B2260" s="1077" t="s">
        <v>7055</v>
      </c>
      <c r="C2260" s="1077">
        <v>550</v>
      </c>
      <c r="D2260" s="1077">
        <v>1.76</v>
      </c>
      <c r="E2260" s="1077">
        <v>102.5</v>
      </c>
      <c r="F2260" s="1077" t="s">
        <v>5134</v>
      </c>
      <c r="G2260" s="1077">
        <v>5.5</v>
      </c>
      <c r="H2260" s="1077" t="s">
        <v>7056</v>
      </c>
      <c r="I2260" s="1077" t="s">
        <v>7057</v>
      </c>
      <c r="J2260" s="1077">
        <v>3</v>
      </c>
      <c r="K2260" s="1077" t="s">
        <v>7098</v>
      </c>
      <c r="L2260" s="1077" t="s">
        <v>4946</v>
      </c>
      <c r="M2260" s="1077">
        <v>296</v>
      </c>
      <c r="N2260" s="1077" t="s">
        <v>945</v>
      </c>
      <c r="O2260" s="1077">
        <v>7.4</v>
      </c>
      <c r="P2260" s="1077">
        <v>5.92</v>
      </c>
      <c r="Q2260" s="1077" t="s">
        <v>1369</v>
      </c>
      <c r="R2260" s="1077">
        <v>27</v>
      </c>
      <c r="T2260" s="1077">
        <v>17.5</v>
      </c>
      <c r="U2260" s="1077">
        <v>6</v>
      </c>
      <c r="V2260" s="1077" t="s">
        <v>648</v>
      </c>
      <c r="W2260" s="1077">
        <v>60</v>
      </c>
      <c r="X2260" s="1077">
        <v>10</v>
      </c>
      <c r="Y2260" s="1077">
        <v>1.2</v>
      </c>
      <c r="Z2260" s="1077" t="s">
        <v>648</v>
      </c>
      <c r="AA2260" s="1077" t="s">
        <v>7099</v>
      </c>
      <c r="AH2260" s="1077" t="s">
        <v>1376</v>
      </c>
      <c r="AM2260" s="1078" t="s">
        <v>13474</v>
      </c>
      <c r="AN2260" s="1078" t="s">
        <v>13475</v>
      </c>
      <c r="AO2260" s="1078">
        <f t="shared" si="286"/>
        <v>550</v>
      </c>
      <c r="AP2260" s="1078">
        <f t="shared" si="287"/>
        <v>1.76</v>
      </c>
      <c r="AQ2260" s="1078">
        <f t="shared" si="288"/>
        <v>102.5</v>
      </c>
      <c r="AR2260" s="1078" t="str">
        <f t="shared" si="289"/>
        <v>15.6</v>
      </c>
      <c r="AS2260" s="1078" t="str">
        <f t="shared" si="290"/>
        <v>360/375/OFF</v>
      </c>
      <c r="AT2260" s="1078">
        <f t="shared" si="291"/>
        <v>102.5</v>
      </c>
      <c r="AV2260" s="1078" t="str">
        <f t="shared" si="284"/>
        <v>108.10.31</v>
      </c>
      <c r="AW2260" s="1344">
        <f t="shared" si="285"/>
        <v>43769</v>
      </c>
    </row>
    <row r="2261" spans="1:49">
      <c r="A2261" s="1077" t="s">
        <v>7100</v>
      </c>
      <c r="B2261" s="1077" t="s">
        <v>6907</v>
      </c>
      <c r="C2261" s="1077">
        <v>600</v>
      </c>
      <c r="D2261" s="1077">
        <v>1.91</v>
      </c>
      <c r="E2261" s="1077" t="s">
        <v>15116</v>
      </c>
      <c r="F2261" s="1077" t="s">
        <v>2234</v>
      </c>
      <c r="G2261" s="1077" t="s">
        <v>1767</v>
      </c>
      <c r="H2261" s="1077" t="s">
        <v>6908</v>
      </c>
      <c r="I2261" s="1077" t="s">
        <v>6909</v>
      </c>
      <c r="J2261" s="1077">
        <v>3.7</v>
      </c>
      <c r="K2261" s="1077" t="s">
        <v>7101</v>
      </c>
      <c r="L2261" s="1077" t="s">
        <v>4763</v>
      </c>
      <c r="M2261" s="1077">
        <v>297.39999999999998</v>
      </c>
      <c r="N2261" s="1077" t="s">
        <v>945</v>
      </c>
      <c r="O2261" s="1077">
        <v>7.4349999999999996</v>
      </c>
      <c r="P2261" s="1077">
        <v>5.9479999999999995</v>
      </c>
      <c r="Q2261" s="1077" t="s">
        <v>956</v>
      </c>
      <c r="R2261" s="1077">
        <v>21.3</v>
      </c>
      <c r="T2261" s="1077">
        <v>18</v>
      </c>
      <c r="U2261" s="1077">
        <v>3.1</v>
      </c>
      <c r="V2261" s="1077" t="s">
        <v>648</v>
      </c>
      <c r="W2261" s="1077">
        <v>65</v>
      </c>
      <c r="X2261" s="1077">
        <v>10</v>
      </c>
      <c r="Y2261" s="1077">
        <v>1.3</v>
      </c>
      <c r="Z2261" s="1077" t="s">
        <v>648</v>
      </c>
      <c r="AA2261" s="1077" t="s">
        <v>4769</v>
      </c>
      <c r="AH2261" s="1077" t="s">
        <v>889</v>
      </c>
      <c r="AM2261" s="1078" t="s">
        <v>13476</v>
      </c>
      <c r="AN2261" s="1078" t="s">
        <v>13477</v>
      </c>
      <c r="AO2261" s="1078">
        <f t="shared" si="286"/>
        <v>600</v>
      </c>
      <c r="AP2261" s="1078">
        <f t="shared" si="287"/>
        <v>1.91</v>
      </c>
      <c r="AQ2261" s="1078" t="str">
        <f t="shared" si="288"/>
        <v>1-5-1S83°Z+S</v>
      </c>
      <c r="AR2261" s="1078" t="str">
        <f t="shared" si="289"/>
        <v>33.5</v>
      </c>
      <c r="AS2261" s="1078" t="str">
        <f t="shared" si="290"/>
        <v>310/310/180</v>
      </c>
      <c r="AT2261" s="1078" t="str">
        <f t="shared" si="291"/>
        <v>1-5-1S83°Z+S</v>
      </c>
      <c r="AU2261" s="1078" t="s">
        <v>15547</v>
      </c>
      <c r="AV2261" s="1078" t="str">
        <f t="shared" si="284"/>
        <v>108.1.16</v>
      </c>
      <c r="AW2261" s="1344">
        <f t="shared" si="285"/>
        <v>43481</v>
      </c>
    </row>
    <row r="2262" spans="1:49">
      <c r="A2262" s="1077" t="s">
        <v>7102</v>
      </c>
      <c r="B2262" s="1077" t="s">
        <v>6907</v>
      </c>
      <c r="C2262" s="1077">
        <v>600</v>
      </c>
      <c r="D2262" s="1077">
        <v>1.91</v>
      </c>
      <c r="E2262" s="1077" t="s">
        <v>15116</v>
      </c>
      <c r="F2262" s="1077" t="s">
        <v>2234</v>
      </c>
      <c r="G2262" s="1077" t="s">
        <v>1767</v>
      </c>
      <c r="H2262" s="1077" t="s">
        <v>6908</v>
      </c>
      <c r="I2262" s="1077" t="s">
        <v>6909</v>
      </c>
      <c r="J2262" s="1077">
        <v>3.7</v>
      </c>
      <c r="K2262" s="1077" t="s">
        <v>7101</v>
      </c>
      <c r="L2262" s="1077" t="s">
        <v>4763</v>
      </c>
      <c r="M2262" s="1077">
        <v>297.39999999999998</v>
      </c>
      <c r="N2262" s="1077" t="s">
        <v>945</v>
      </c>
      <c r="O2262" s="1077">
        <v>7.4349999999999996</v>
      </c>
      <c r="P2262" s="1077">
        <v>5.9479999999999995</v>
      </c>
      <c r="Q2262" s="1077" t="s">
        <v>956</v>
      </c>
      <c r="R2262" s="1077">
        <v>21.3</v>
      </c>
      <c r="T2262" s="1077">
        <v>18</v>
      </c>
      <c r="U2262" s="1077">
        <v>3.1</v>
      </c>
      <c r="V2262" s="1077" t="s">
        <v>648</v>
      </c>
      <c r="W2262" s="1077">
        <v>65</v>
      </c>
      <c r="X2262" s="1077">
        <v>10</v>
      </c>
      <c r="Y2262" s="1077">
        <v>1.3</v>
      </c>
      <c r="Z2262" s="1077" t="s">
        <v>648</v>
      </c>
      <c r="AA2262" s="1077" t="s">
        <v>1022</v>
      </c>
      <c r="AH2262" s="1077" t="s">
        <v>1137</v>
      </c>
      <c r="AM2262" s="1078" t="s">
        <v>13478</v>
      </c>
      <c r="AN2262" s="1078" t="s">
        <v>13479</v>
      </c>
      <c r="AO2262" s="1078">
        <f t="shared" si="286"/>
        <v>600</v>
      </c>
      <c r="AP2262" s="1078">
        <f t="shared" si="287"/>
        <v>1.91</v>
      </c>
      <c r="AQ2262" s="1078" t="str">
        <f t="shared" si="288"/>
        <v>1-5-1S83°Z+S</v>
      </c>
      <c r="AR2262" s="1078" t="str">
        <f t="shared" si="289"/>
        <v>33.5</v>
      </c>
      <c r="AS2262" s="1078" t="str">
        <f t="shared" si="290"/>
        <v>310/310/180</v>
      </c>
      <c r="AT2262" s="1078" t="str">
        <f t="shared" si="291"/>
        <v>1-5-1S83°Z+S</v>
      </c>
      <c r="AU2262" s="1078" t="s">
        <v>15547</v>
      </c>
      <c r="AV2262" s="1078" t="str">
        <f t="shared" si="284"/>
        <v>108.3.11</v>
      </c>
      <c r="AW2262" s="1344">
        <f t="shared" si="285"/>
        <v>43535</v>
      </c>
    </row>
    <row r="2263" spans="1:49">
      <c r="A2263" s="1077" t="s">
        <v>7103</v>
      </c>
      <c r="B2263" s="1077" t="s">
        <v>6907</v>
      </c>
      <c r="C2263" s="1077">
        <v>600</v>
      </c>
      <c r="D2263" s="1077">
        <v>1.9</v>
      </c>
      <c r="E2263" s="1077" t="s">
        <v>15116</v>
      </c>
      <c r="F2263" s="1077" t="s">
        <v>2234</v>
      </c>
      <c r="G2263" s="1077" t="s">
        <v>1767</v>
      </c>
      <c r="H2263" s="1077" t="s">
        <v>7104</v>
      </c>
      <c r="I2263" s="1077" t="s">
        <v>7105</v>
      </c>
      <c r="J2263" s="1077">
        <v>3.7</v>
      </c>
      <c r="K2263" s="1077" t="s">
        <v>7106</v>
      </c>
      <c r="L2263" s="1077" t="s">
        <v>4763</v>
      </c>
      <c r="M2263" s="1077">
        <v>297.39999999999998</v>
      </c>
      <c r="N2263" s="1077" t="s">
        <v>945</v>
      </c>
      <c r="O2263" s="1077">
        <v>7.4349999999999996</v>
      </c>
      <c r="P2263" s="1077">
        <v>5.9479999999999995</v>
      </c>
      <c r="Q2263" s="1077" t="s">
        <v>1277</v>
      </c>
      <c r="R2263" s="1077">
        <v>21.3</v>
      </c>
      <c r="T2263" s="1077">
        <v>18</v>
      </c>
      <c r="U2263" s="1077">
        <v>3.1</v>
      </c>
      <c r="V2263" s="1077" t="s">
        <v>648</v>
      </c>
      <c r="W2263" s="1077">
        <v>65</v>
      </c>
      <c r="X2263" s="1077">
        <v>10</v>
      </c>
      <c r="Y2263" s="1077">
        <v>1.3</v>
      </c>
      <c r="Z2263" s="1077" t="s">
        <v>648</v>
      </c>
      <c r="AA2263" s="1077" t="s">
        <v>7107</v>
      </c>
      <c r="AH2263" s="1077" t="s">
        <v>1221</v>
      </c>
      <c r="AM2263" s="1078" t="s">
        <v>13480</v>
      </c>
      <c r="AN2263" s="1078" t="s">
        <v>9197</v>
      </c>
      <c r="AO2263" s="1078">
        <f t="shared" si="286"/>
        <v>600</v>
      </c>
      <c r="AP2263" s="1078">
        <f t="shared" si="287"/>
        <v>1.9</v>
      </c>
      <c r="AQ2263" s="1078" t="str">
        <f t="shared" si="288"/>
        <v>1-5-1S83°Z+S</v>
      </c>
      <c r="AR2263" s="1078" t="str">
        <f t="shared" si="289"/>
        <v>33.5</v>
      </c>
      <c r="AS2263" s="1078" t="str">
        <f t="shared" si="290"/>
        <v>310/310/175</v>
      </c>
      <c r="AT2263" s="1078" t="str">
        <f t="shared" si="291"/>
        <v>1-5-1S83°Z+S</v>
      </c>
      <c r="AU2263" s="1078" t="s">
        <v>15547</v>
      </c>
      <c r="AV2263" s="1078" t="str">
        <f t="shared" si="284"/>
        <v>109.9.26</v>
      </c>
      <c r="AW2263" s="1344">
        <f t="shared" si="285"/>
        <v>44100</v>
      </c>
    </row>
    <row r="2264" spans="1:49">
      <c r="A2264" s="1077" t="s">
        <v>7108</v>
      </c>
      <c r="B2264" s="1077" t="s">
        <v>7109</v>
      </c>
      <c r="C2264" s="1077">
        <v>600</v>
      </c>
      <c r="D2264" s="1077">
        <v>1.7450000000000001</v>
      </c>
      <c r="E2264" s="1077" t="s">
        <v>15116</v>
      </c>
      <c r="F2264" s="1077" t="s">
        <v>2234</v>
      </c>
      <c r="G2264" s="1077">
        <v>5</v>
      </c>
      <c r="H2264" s="1077" t="s">
        <v>6952</v>
      </c>
      <c r="I2264" s="1077" t="s">
        <v>7001</v>
      </c>
      <c r="K2264" s="1077" t="s">
        <v>7110</v>
      </c>
      <c r="L2264" s="1077" t="s">
        <v>7111</v>
      </c>
      <c r="M2264" s="1077">
        <v>310</v>
      </c>
      <c r="N2264" s="1077" t="s">
        <v>945</v>
      </c>
      <c r="O2264" s="1077">
        <v>7.75</v>
      </c>
      <c r="P2264" s="1077">
        <v>6.2</v>
      </c>
      <c r="Q2264" s="1077" t="s">
        <v>1020</v>
      </c>
      <c r="R2264" s="1077">
        <v>22</v>
      </c>
      <c r="T2264" s="1077">
        <v>13.5</v>
      </c>
      <c r="U2264" s="1077">
        <v>3.2</v>
      </c>
      <c r="V2264" s="1077" t="s">
        <v>648</v>
      </c>
      <c r="W2264" s="1077">
        <v>100</v>
      </c>
      <c r="X2264" s="1077">
        <v>85</v>
      </c>
      <c r="Y2264" s="1077">
        <v>1.2</v>
      </c>
      <c r="Z2264" s="1077" t="s">
        <v>648</v>
      </c>
      <c r="AA2264" s="1077" t="s">
        <v>7112</v>
      </c>
      <c r="AH2264" s="1077" t="s">
        <v>958</v>
      </c>
      <c r="AM2264" s="1078" t="s">
        <v>13481</v>
      </c>
      <c r="AN2264" s="1078" t="s">
        <v>9813</v>
      </c>
      <c r="AO2264" s="1078">
        <f t="shared" si="286"/>
        <v>600</v>
      </c>
      <c r="AP2264" s="1078">
        <f t="shared" si="287"/>
        <v>1.7450000000000001</v>
      </c>
      <c r="AQ2264" s="1078" t="str">
        <f t="shared" si="288"/>
        <v>1-5-1S83°Z+S</v>
      </c>
      <c r="AR2264" s="1078" t="str">
        <f t="shared" si="289"/>
        <v>33.5</v>
      </c>
      <c r="AS2264" s="1078" t="str">
        <f t="shared" si="290"/>
        <v>340/340/140</v>
      </c>
      <c r="AT2264" s="1078" t="str">
        <f t="shared" si="291"/>
        <v>1-5-1S83°Z+S</v>
      </c>
      <c r="AU2264" s="1078" t="s">
        <v>15547</v>
      </c>
      <c r="AV2264" s="1078" t="str">
        <f t="shared" si="284"/>
        <v>108.10.30</v>
      </c>
      <c r="AW2264" s="1344">
        <f t="shared" si="285"/>
        <v>43768</v>
      </c>
    </row>
    <row r="2265" spans="1:49">
      <c r="A2265" s="1077" t="s">
        <v>7113</v>
      </c>
      <c r="B2265" s="1077" t="s">
        <v>7114</v>
      </c>
      <c r="C2265" s="1077">
        <v>550</v>
      </c>
      <c r="D2265" s="1077">
        <v>1.7549999999999999</v>
      </c>
      <c r="E2265" s="1077">
        <v>102.5</v>
      </c>
      <c r="F2265" s="1077" t="s">
        <v>5134</v>
      </c>
      <c r="G2265" s="1077">
        <v>5</v>
      </c>
      <c r="H2265" s="1077" t="s">
        <v>7115</v>
      </c>
      <c r="I2265" s="1077" t="s">
        <v>6896</v>
      </c>
      <c r="J2265" s="1077">
        <v>3</v>
      </c>
      <c r="K2265" s="1077" t="s">
        <v>7116</v>
      </c>
      <c r="L2265" s="1077" t="s">
        <v>4854</v>
      </c>
      <c r="M2265" s="1077">
        <v>300.7</v>
      </c>
      <c r="N2265" s="1077" t="s">
        <v>945</v>
      </c>
      <c r="O2265" s="1077">
        <v>7.5175000000000001</v>
      </c>
      <c r="P2265" s="1077">
        <v>6.0140000000000002</v>
      </c>
      <c r="Q2265" s="1077" t="s">
        <v>1369</v>
      </c>
      <c r="R2265" s="1077">
        <v>28.5</v>
      </c>
      <c r="T2265" s="1077">
        <v>14.7</v>
      </c>
      <c r="U2265" s="1077">
        <v>6.1</v>
      </c>
      <c r="V2265" s="1077" t="s">
        <v>648</v>
      </c>
      <c r="W2265" s="1077">
        <v>115</v>
      </c>
      <c r="X2265" s="1077">
        <v>45</v>
      </c>
      <c r="Y2265" s="1077">
        <v>1.5</v>
      </c>
      <c r="Z2265" s="1077" t="s">
        <v>648</v>
      </c>
      <c r="AA2265" s="1077" t="s">
        <v>7117</v>
      </c>
      <c r="AH2265" s="1077" t="s">
        <v>2384</v>
      </c>
      <c r="AM2265" s="1078" t="s">
        <v>13482</v>
      </c>
      <c r="AN2265" s="1078" t="s">
        <v>13483</v>
      </c>
      <c r="AO2265" s="1078">
        <f t="shared" si="286"/>
        <v>550</v>
      </c>
      <c r="AP2265" s="1078">
        <f t="shared" si="287"/>
        <v>1.7549999999999999</v>
      </c>
      <c r="AQ2265" s="1078">
        <f t="shared" si="288"/>
        <v>102.5</v>
      </c>
      <c r="AR2265" s="1078" t="str">
        <f t="shared" si="289"/>
        <v>15.6</v>
      </c>
      <c r="AS2265" s="1078" t="str">
        <f t="shared" si="290"/>
        <v>345/360/OFF</v>
      </c>
      <c r="AT2265" s="1078">
        <f t="shared" si="291"/>
        <v>102.5</v>
      </c>
      <c r="AV2265" s="1078" t="str">
        <f t="shared" si="284"/>
        <v>108.11.7</v>
      </c>
      <c r="AW2265" s="1344">
        <f t="shared" si="285"/>
        <v>43776</v>
      </c>
    </row>
    <row r="2266" spans="1:49">
      <c r="A2266" s="1077" t="s">
        <v>7118</v>
      </c>
      <c r="B2266" s="1077" t="s">
        <v>7032</v>
      </c>
      <c r="C2266" s="1077">
        <v>600</v>
      </c>
      <c r="D2266" s="1077">
        <v>1.72</v>
      </c>
      <c r="E2266" s="1077" t="s">
        <v>15116</v>
      </c>
      <c r="F2266" s="1077" t="s">
        <v>2234</v>
      </c>
      <c r="G2266" s="1077">
        <v>3.5</v>
      </c>
      <c r="H2266" s="1077" t="s">
        <v>6952</v>
      </c>
      <c r="I2266" s="1077" t="s">
        <v>6918</v>
      </c>
      <c r="K2266" s="1077" t="s">
        <v>7033</v>
      </c>
      <c r="L2266" s="1077" t="s">
        <v>7034</v>
      </c>
      <c r="M2266" s="1077">
        <v>310</v>
      </c>
      <c r="N2266" s="1077" t="s">
        <v>945</v>
      </c>
      <c r="O2266" s="1077">
        <v>7.75</v>
      </c>
      <c r="P2266" s="1077">
        <v>6.2</v>
      </c>
      <c r="Q2266" s="1077" t="s">
        <v>2401</v>
      </c>
      <c r="R2266" s="1077">
        <v>22</v>
      </c>
      <c r="T2266" s="1077">
        <v>13.5</v>
      </c>
      <c r="U2266" s="1077">
        <v>3.2</v>
      </c>
      <c r="V2266" s="1077" t="s">
        <v>648</v>
      </c>
      <c r="W2266" s="1077">
        <v>100</v>
      </c>
      <c r="X2266" s="1077">
        <v>85</v>
      </c>
      <c r="Y2266" s="1077">
        <v>1.2</v>
      </c>
      <c r="Z2266" s="1077" t="s">
        <v>648</v>
      </c>
      <c r="AA2266" s="1077" t="s">
        <v>1224</v>
      </c>
      <c r="AH2266" s="1077" t="s">
        <v>994</v>
      </c>
      <c r="AM2266" s="1078" t="s">
        <v>13484</v>
      </c>
      <c r="AN2266" s="1078" t="s">
        <v>13485</v>
      </c>
      <c r="AO2266" s="1078">
        <f t="shared" si="286"/>
        <v>600</v>
      </c>
      <c r="AP2266" s="1078">
        <f t="shared" si="287"/>
        <v>1.72</v>
      </c>
      <c r="AQ2266" s="1078" t="str">
        <f t="shared" si="288"/>
        <v>1-5-1S83°Z+S</v>
      </c>
      <c r="AR2266" s="1078" t="str">
        <f t="shared" si="289"/>
        <v>33.5</v>
      </c>
      <c r="AS2266" s="1078" t="str">
        <f t="shared" si="290"/>
        <v>340/340/140</v>
      </c>
      <c r="AT2266" s="1078" t="str">
        <f t="shared" si="291"/>
        <v>1-5-1S83°Z+S</v>
      </c>
      <c r="AU2266" s="1078" t="s">
        <v>15547</v>
      </c>
      <c r="AV2266" s="1078" t="str">
        <f t="shared" si="284"/>
        <v>108.11.8</v>
      </c>
      <c r="AW2266" s="1344">
        <f t="shared" si="285"/>
        <v>43777</v>
      </c>
    </row>
    <row r="2267" spans="1:49">
      <c r="A2267" s="1077" t="s">
        <v>7119</v>
      </c>
      <c r="B2267" s="1077" t="s">
        <v>7014</v>
      </c>
      <c r="C2267" s="1077">
        <v>600</v>
      </c>
      <c r="D2267" s="1077">
        <v>1.74</v>
      </c>
      <c r="E2267" s="1077" t="s">
        <v>15116</v>
      </c>
      <c r="F2267" s="1077" t="s">
        <v>2234</v>
      </c>
      <c r="G2267" s="1077">
        <v>5</v>
      </c>
      <c r="H2267" s="1077" t="s">
        <v>6952</v>
      </c>
      <c r="I2267" s="1077" t="s">
        <v>6918</v>
      </c>
      <c r="K2267" s="1077" t="s">
        <v>7016</v>
      </c>
      <c r="L2267" s="1077" t="s">
        <v>7017</v>
      </c>
      <c r="M2267" s="1077">
        <v>305</v>
      </c>
      <c r="N2267" s="1077" t="s">
        <v>945</v>
      </c>
      <c r="O2267" s="1077">
        <v>7.625</v>
      </c>
      <c r="P2267" s="1077">
        <v>6.1000000000000005</v>
      </c>
      <c r="Q2267" s="1077" t="s">
        <v>2950</v>
      </c>
      <c r="R2267" s="1077">
        <v>20</v>
      </c>
      <c r="T2267" s="1077">
        <v>13.5</v>
      </c>
      <c r="U2267" s="1077">
        <v>3.2</v>
      </c>
      <c r="V2267" s="1077" t="s">
        <v>648</v>
      </c>
      <c r="W2267" s="1077">
        <v>100</v>
      </c>
      <c r="X2267" s="1077">
        <v>85</v>
      </c>
      <c r="Y2267" s="1077">
        <v>1.2</v>
      </c>
      <c r="Z2267" s="1077" t="s">
        <v>648</v>
      </c>
      <c r="AA2267" s="1077" t="s">
        <v>1232</v>
      </c>
      <c r="AH2267" s="1077" t="s">
        <v>456</v>
      </c>
      <c r="AM2267" s="1078" t="s">
        <v>13486</v>
      </c>
      <c r="AN2267" s="1078" t="s">
        <v>13487</v>
      </c>
      <c r="AO2267" s="1078">
        <f t="shared" si="286"/>
        <v>600</v>
      </c>
      <c r="AP2267" s="1078">
        <f t="shared" si="287"/>
        <v>1.74</v>
      </c>
      <c r="AQ2267" s="1078" t="str">
        <f t="shared" si="288"/>
        <v>1-5-1S83°Z+S</v>
      </c>
      <c r="AR2267" s="1078" t="str">
        <f t="shared" si="289"/>
        <v>33.5</v>
      </c>
      <c r="AS2267" s="1078" t="str">
        <f t="shared" si="290"/>
        <v>340/340/140</v>
      </c>
      <c r="AT2267" s="1078" t="str">
        <f t="shared" si="291"/>
        <v>1-5-1S83°Z+S</v>
      </c>
      <c r="AU2267" s="1078" t="s">
        <v>15547</v>
      </c>
      <c r="AV2267" s="1078" t="str">
        <f t="shared" si="284"/>
        <v>108.11.21</v>
      </c>
      <c r="AW2267" s="1344">
        <f t="shared" si="285"/>
        <v>43790</v>
      </c>
    </row>
    <row r="2268" spans="1:49">
      <c r="A2268" s="1077" t="s">
        <v>7120</v>
      </c>
      <c r="B2268" s="1077" t="s">
        <v>714</v>
      </c>
      <c r="C2268" s="1077" t="s">
        <v>7121</v>
      </c>
      <c r="D2268" s="1077">
        <v>1.7769999999999999</v>
      </c>
      <c r="E2268" s="1077">
        <v>102.5</v>
      </c>
      <c r="F2268" s="1077" t="s">
        <v>4070</v>
      </c>
      <c r="G2268" s="1077" t="s">
        <v>7122</v>
      </c>
      <c r="H2268" s="1077" t="s">
        <v>7123</v>
      </c>
      <c r="I2268" s="1077" t="s">
        <v>7048</v>
      </c>
      <c r="J2268" s="1077">
        <v>3.7</v>
      </c>
      <c r="K2268" s="1077" t="s">
        <v>7124</v>
      </c>
      <c r="L2268" s="1077" t="s">
        <v>4666</v>
      </c>
      <c r="M2268" s="1077">
        <v>295.10000000000002</v>
      </c>
      <c r="N2268" s="1077" t="s">
        <v>945</v>
      </c>
      <c r="O2268" s="1077">
        <v>7.3775000000000013</v>
      </c>
      <c r="P2268" s="1077">
        <v>5.9020000000000001</v>
      </c>
      <c r="Q2268" s="1077" t="s">
        <v>988</v>
      </c>
      <c r="R2268" s="1077">
        <v>17.399999999999999</v>
      </c>
      <c r="T2268" s="1077">
        <v>31</v>
      </c>
      <c r="U2268" s="1077">
        <v>3.5</v>
      </c>
      <c r="V2268" s="1077" t="s">
        <v>648</v>
      </c>
      <c r="W2268" s="1077" t="s">
        <v>6880</v>
      </c>
      <c r="X2268" s="1077">
        <v>40</v>
      </c>
      <c r="Y2268" s="1077">
        <v>1</v>
      </c>
      <c r="Z2268" s="1077" t="s">
        <v>648</v>
      </c>
      <c r="AA2268" s="1077" t="s">
        <v>2828</v>
      </c>
      <c r="AH2268" s="1077" t="s">
        <v>869</v>
      </c>
      <c r="AI2268" s="1077">
        <v>90.52</v>
      </c>
      <c r="AJ2268" s="1077">
        <v>-1</v>
      </c>
      <c r="AK2268" s="1077">
        <v>1.58</v>
      </c>
      <c r="AL2268" s="1077" t="s">
        <v>7125</v>
      </c>
      <c r="AM2268" s="1078" t="s">
        <v>13488</v>
      </c>
      <c r="AN2268" s="1078" t="s">
        <v>13489</v>
      </c>
      <c r="AO2268" s="1078" t="str">
        <f t="shared" si="286"/>
        <v>550↑600</v>
      </c>
      <c r="AP2268" s="1078">
        <f t="shared" si="287"/>
        <v>1.7769999999999999</v>
      </c>
      <c r="AQ2268" s="1078">
        <f t="shared" si="288"/>
        <v>102.5</v>
      </c>
      <c r="AR2268" s="1078" t="str">
        <f t="shared" si="289"/>
        <v>15.5</v>
      </c>
      <c r="AS2268" s="1078" t="str">
        <f t="shared" si="290"/>
        <v>495/455/OFF</v>
      </c>
      <c r="AT2268" s="1078">
        <f t="shared" si="291"/>
        <v>102.5</v>
      </c>
      <c r="AV2268" s="1078" t="str">
        <f t="shared" si="284"/>
        <v>108.12.2</v>
      </c>
      <c r="AW2268" s="1344">
        <f t="shared" si="285"/>
        <v>43801</v>
      </c>
    </row>
    <row r="2269" spans="1:49">
      <c r="A2269" s="1077" t="s">
        <v>7126</v>
      </c>
      <c r="B2269" s="1077" t="s">
        <v>663</v>
      </c>
      <c r="C2269" s="1077">
        <v>500</v>
      </c>
      <c r="D2269" s="1077">
        <v>1.77</v>
      </c>
      <c r="E2269" s="1077">
        <v>102.5</v>
      </c>
      <c r="F2269" s="1077" t="s">
        <v>4070</v>
      </c>
      <c r="G2269" s="1077">
        <v>5.5</v>
      </c>
      <c r="H2269" s="1077" t="s">
        <v>6928</v>
      </c>
      <c r="I2269" s="1077" t="s">
        <v>6970</v>
      </c>
      <c r="K2269" s="1077" t="s">
        <v>7127</v>
      </c>
      <c r="L2269" s="1077" t="s">
        <v>4907</v>
      </c>
      <c r="M2269" s="1077">
        <v>296</v>
      </c>
      <c r="N2269" s="1077" t="s">
        <v>945</v>
      </c>
      <c r="O2269" s="1077">
        <v>7.4</v>
      </c>
      <c r="P2269" s="1077">
        <v>5.92</v>
      </c>
      <c r="Q2269" s="1077" t="s">
        <v>2782</v>
      </c>
      <c r="R2269" s="1077">
        <v>17</v>
      </c>
      <c r="T2269" s="1077">
        <v>10.5</v>
      </c>
      <c r="U2269" s="1077">
        <v>6.1</v>
      </c>
      <c r="V2269" s="1077" t="s">
        <v>648</v>
      </c>
      <c r="W2269" s="1077">
        <v>120</v>
      </c>
      <c r="X2269" s="1077">
        <v>90</v>
      </c>
      <c r="Y2269" s="1077">
        <v>1.1000000000000001</v>
      </c>
      <c r="Z2269" s="1077" t="s">
        <v>648</v>
      </c>
      <c r="AA2269" s="1077" t="s">
        <v>1237</v>
      </c>
      <c r="AH2269" s="1077" t="s">
        <v>854</v>
      </c>
      <c r="AM2269" s="1078" t="s">
        <v>13490</v>
      </c>
      <c r="AN2269" s="1078" t="s">
        <v>13491</v>
      </c>
      <c r="AO2269" s="1078">
        <f t="shared" si="286"/>
        <v>500</v>
      </c>
      <c r="AP2269" s="1078">
        <f t="shared" si="287"/>
        <v>1.77</v>
      </c>
      <c r="AQ2269" s="1078">
        <f t="shared" si="288"/>
        <v>102.5</v>
      </c>
      <c r="AR2269" s="1078" t="str">
        <f t="shared" si="289"/>
        <v>15.5</v>
      </c>
      <c r="AS2269" s="1078" t="str">
        <f t="shared" si="290"/>
        <v>370/355/153</v>
      </c>
      <c r="AT2269" s="1078">
        <f t="shared" si="291"/>
        <v>102.5</v>
      </c>
      <c r="AV2269" s="1078" t="str">
        <f t="shared" si="284"/>
        <v>108.12.6</v>
      </c>
      <c r="AW2269" s="1344">
        <f t="shared" si="285"/>
        <v>43805</v>
      </c>
    </row>
    <row r="2270" spans="1:49">
      <c r="A2270" s="1077" t="s">
        <v>7128</v>
      </c>
      <c r="B2270" s="1077" t="s">
        <v>6907</v>
      </c>
      <c r="C2270" s="1077">
        <v>600</v>
      </c>
      <c r="D2270" s="1077">
        <v>1.89</v>
      </c>
      <c r="E2270" s="1077" t="s">
        <v>15104</v>
      </c>
      <c r="F2270" s="1077" t="s">
        <v>648</v>
      </c>
      <c r="G2270" s="1077">
        <v>5</v>
      </c>
      <c r="H2270" s="1077" t="s">
        <v>7129</v>
      </c>
      <c r="I2270" s="1077" t="s">
        <v>6941</v>
      </c>
      <c r="J2270" s="1077">
        <v>2.9</v>
      </c>
      <c r="K2270" s="1077" t="s">
        <v>7130</v>
      </c>
      <c r="L2270" s="1077" t="s">
        <v>4763</v>
      </c>
      <c r="M2270" s="1077">
        <v>295.10000000000002</v>
      </c>
      <c r="N2270" s="1077" t="s">
        <v>945</v>
      </c>
      <c r="O2270" s="1077">
        <v>7.3775000000000013</v>
      </c>
      <c r="P2270" s="1077">
        <v>5.9020000000000001</v>
      </c>
      <c r="Q2270" s="1077" t="s">
        <v>979</v>
      </c>
      <c r="R2270" s="1077">
        <v>19.100000000000001</v>
      </c>
      <c r="T2270" s="1077">
        <v>25.2</v>
      </c>
      <c r="U2270" s="1077">
        <v>3.3</v>
      </c>
      <c r="V2270" s="1077" t="s">
        <v>648</v>
      </c>
      <c r="W2270" s="1077">
        <v>60</v>
      </c>
      <c r="X2270" s="1077">
        <v>10</v>
      </c>
      <c r="Y2270" s="1077">
        <v>1.8</v>
      </c>
      <c r="Z2270" s="1077" t="s">
        <v>648</v>
      </c>
      <c r="AA2270" s="1077" t="s">
        <v>2842</v>
      </c>
      <c r="AH2270" s="1077" t="s">
        <v>646</v>
      </c>
      <c r="AM2270" s="1078" t="s">
        <v>13492</v>
      </c>
      <c r="AN2270" s="1078" t="s">
        <v>13493</v>
      </c>
      <c r="AO2270" s="1078">
        <f t="shared" si="286"/>
        <v>600</v>
      </c>
      <c r="AP2270" s="1078">
        <f t="shared" si="287"/>
        <v>1.89</v>
      </c>
      <c r="AQ2270" s="1078" t="str">
        <f t="shared" si="288"/>
        <v>1-4-1S85°Z+S</v>
      </c>
      <c r="AR2270" s="1078" t="str">
        <f t="shared" si="289"/>
        <v>NA</v>
      </c>
      <c r="AS2270" s="1078" t="str">
        <f t="shared" si="290"/>
        <v>190/168</v>
      </c>
      <c r="AT2270" s="1078" t="str">
        <f t="shared" si="291"/>
        <v>1-4-1S85°Z+S</v>
      </c>
      <c r="AU2270" s="1078" t="s">
        <v>15547</v>
      </c>
      <c r="AV2270" s="1078" t="str">
        <f t="shared" si="284"/>
        <v>108.12.9</v>
      </c>
      <c r="AW2270" s="1344">
        <f t="shared" si="285"/>
        <v>43808</v>
      </c>
    </row>
    <row r="2271" spans="1:49">
      <c r="A2271" s="1077" t="s">
        <v>7131</v>
      </c>
      <c r="B2271" s="1077" t="s">
        <v>7132</v>
      </c>
      <c r="C2271" s="1077">
        <v>600</v>
      </c>
      <c r="D2271" s="1077">
        <v>1.7849999999999999</v>
      </c>
      <c r="E2271" s="1077" t="s">
        <v>15116</v>
      </c>
      <c r="F2271" s="1077" t="s">
        <v>2234</v>
      </c>
      <c r="G2271" s="1077">
        <v>3.5</v>
      </c>
      <c r="H2271" s="1077" t="s">
        <v>6952</v>
      </c>
      <c r="I2271" s="1077" t="s">
        <v>6953</v>
      </c>
      <c r="K2271" s="1077" t="s">
        <v>7133</v>
      </c>
      <c r="L2271" s="1077" t="s">
        <v>7134</v>
      </c>
      <c r="M2271" s="1077">
        <v>310</v>
      </c>
      <c r="N2271" s="1077" t="s">
        <v>945</v>
      </c>
      <c r="O2271" s="1077">
        <v>7.75</v>
      </c>
      <c r="P2271" s="1077">
        <v>6.2</v>
      </c>
      <c r="Q2271" s="1077" t="s">
        <v>1264</v>
      </c>
      <c r="R2271" s="1077">
        <v>21</v>
      </c>
      <c r="T2271" s="1077">
        <v>24</v>
      </c>
      <c r="U2271" s="1077">
        <v>3.4</v>
      </c>
      <c r="V2271" s="1077" t="s">
        <v>648</v>
      </c>
      <c r="W2271" s="1077">
        <v>115</v>
      </c>
      <c r="X2271" s="1077">
        <v>85</v>
      </c>
      <c r="Y2271" s="1077">
        <v>1.2</v>
      </c>
      <c r="Z2271" s="1077" t="s">
        <v>648</v>
      </c>
      <c r="AA2271" s="1077" t="s">
        <v>2848</v>
      </c>
      <c r="AH2271" s="1077" t="s">
        <v>724</v>
      </c>
      <c r="AM2271" s="1078" t="s">
        <v>13494</v>
      </c>
      <c r="AN2271" s="1078" t="s">
        <v>13495</v>
      </c>
      <c r="AO2271" s="1078">
        <f t="shared" si="286"/>
        <v>600</v>
      </c>
      <c r="AP2271" s="1078">
        <f t="shared" si="287"/>
        <v>1.7849999999999999</v>
      </c>
      <c r="AQ2271" s="1078" t="str">
        <f t="shared" si="288"/>
        <v>1-5-1S83°Z+S</v>
      </c>
      <c r="AR2271" s="1078" t="str">
        <f t="shared" si="289"/>
        <v>33.5</v>
      </c>
      <c r="AS2271" s="1078" t="str">
        <f t="shared" si="290"/>
        <v>340/340/140</v>
      </c>
      <c r="AT2271" s="1078" t="str">
        <f t="shared" si="291"/>
        <v>1-5-1S83°Z+S</v>
      </c>
      <c r="AU2271" s="1078" t="s">
        <v>15547</v>
      </c>
      <c r="AV2271" s="1078" t="str">
        <f t="shared" si="284"/>
        <v>108.12.10</v>
      </c>
      <c r="AW2271" s="1344">
        <f t="shared" si="285"/>
        <v>43809</v>
      </c>
    </row>
    <row r="2272" spans="1:49">
      <c r="A2272" s="1077" t="s">
        <v>7135</v>
      </c>
      <c r="B2272" s="1077" t="s">
        <v>7068</v>
      </c>
      <c r="C2272" s="1077">
        <v>450</v>
      </c>
      <c r="D2272" s="1077">
        <v>1.78</v>
      </c>
      <c r="E2272" s="1077" t="s">
        <v>15126</v>
      </c>
      <c r="F2272" s="1077" t="s">
        <v>3685</v>
      </c>
      <c r="G2272" s="1077">
        <v>5</v>
      </c>
      <c r="H2272" s="1077" t="s">
        <v>7136</v>
      </c>
      <c r="I2272" s="1077" t="s">
        <v>7137</v>
      </c>
      <c r="K2272" s="1077" t="s">
        <v>7138</v>
      </c>
      <c r="L2272" s="1077" t="s">
        <v>5037</v>
      </c>
      <c r="M2272" s="1077">
        <v>296.2</v>
      </c>
      <c r="N2272" s="1077" t="s">
        <v>945</v>
      </c>
      <c r="O2272" s="1077">
        <v>7.4050000000000002</v>
      </c>
      <c r="P2272" s="1077">
        <v>5.9239999999999995</v>
      </c>
      <c r="Q2272" s="1077" t="s">
        <v>1264</v>
      </c>
      <c r="R2272" s="1077">
        <v>20.100000000000001</v>
      </c>
      <c r="T2272" s="1077">
        <v>20.399999999999999</v>
      </c>
      <c r="U2272" s="1077">
        <v>4</v>
      </c>
      <c r="V2272" s="1077" t="s">
        <v>648</v>
      </c>
      <c r="W2272" s="1077">
        <v>125</v>
      </c>
      <c r="X2272" s="1077">
        <v>40</v>
      </c>
      <c r="Y2272" s="1077">
        <v>1.6</v>
      </c>
      <c r="Z2272" s="1077" t="s">
        <v>7139</v>
      </c>
      <c r="AA2272" s="1077" t="s">
        <v>7140</v>
      </c>
      <c r="AH2272" s="1077" t="s">
        <v>1417</v>
      </c>
      <c r="AM2272" s="1078" t="s">
        <v>13496</v>
      </c>
      <c r="AN2272" s="1078" t="s">
        <v>13497</v>
      </c>
      <c r="AO2272" s="1078">
        <f t="shared" si="286"/>
        <v>450</v>
      </c>
      <c r="AP2272" s="1078">
        <f t="shared" si="287"/>
        <v>1.78</v>
      </c>
      <c r="AQ2272" s="1078" t="str">
        <f t="shared" si="288"/>
        <v>1-5-1S91°Z+Z</v>
      </c>
      <c r="AR2272" s="1078" t="str">
        <f t="shared" si="289"/>
        <v>30.6</v>
      </c>
      <c r="AS2272" s="1078" t="str">
        <f t="shared" si="290"/>
        <v>173/160</v>
      </c>
      <c r="AT2272" s="1078" t="str">
        <f t="shared" si="291"/>
        <v>1-5-1S91°Z+Z</v>
      </c>
      <c r="AU2272" s="1078" t="s">
        <v>15551</v>
      </c>
      <c r="AV2272" s="1078" t="str">
        <f t="shared" si="284"/>
        <v>109.1.7</v>
      </c>
      <c r="AW2272" s="1344">
        <f t="shared" si="285"/>
        <v>43837</v>
      </c>
    </row>
    <row r="2273" spans="1:49">
      <c r="A2273" s="1077" t="s">
        <v>7141</v>
      </c>
      <c r="B2273" s="1077" t="s">
        <v>7142</v>
      </c>
      <c r="C2273" s="1077">
        <v>600</v>
      </c>
      <c r="D2273" s="1077">
        <v>1.78</v>
      </c>
      <c r="E2273" s="1077" t="s">
        <v>15116</v>
      </c>
      <c r="F2273" s="1077" t="s">
        <v>2167</v>
      </c>
      <c r="G2273" s="1077">
        <v>4</v>
      </c>
      <c r="H2273" s="1077" t="s">
        <v>7143</v>
      </c>
      <c r="I2273" s="1077" t="s">
        <v>7144</v>
      </c>
      <c r="K2273" s="1077" t="s">
        <v>7145</v>
      </c>
      <c r="L2273" s="1077" t="s">
        <v>7146</v>
      </c>
      <c r="M2273" s="1077">
        <v>305</v>
      </c>
      <c r="N2273" s="1077" t="s">
        <v>945</v>
      </c>
      <c r="O2273" s="1077">
        <v>7.625</v>
      </c>
      <c r="P2273" s="1077">
        <v>6.1000000000000005</v>
      </c>
      <c r="Q2273" s="1077" t="s">
        <v>2950</v>
      </c>
      <c r="R2273" s="1077">
        <v>24</v>
      </c>
      <c r="T2273" s="1077">
        <v>32</v>
      </c>
      <c r="U2273" s="1077">
        <v>2.2999999999999998</v>
      </c>
      <c r="V2273" s="1077" t="s">
        <v>648</v>
      </c>
      <c r="W2273" s="1077" t="s">
        <v>648</v>
      </c>
      <c r="X2273" s="1077" t="s">
        <v>648</v>
      </c>
      <c r="Y2273" s="1077">
        <v>1.6</v>
      </c>
      <c r="Z2273" s="1077" t="s">
        <v>648</v>
      </c>
      <c r="AA2273" s="1077" t="s">
        <v>5995</v>
      </c>
      <c r="AH2273" s="1077" t="s">
        <v>1482</v>
      </c>
      <c r="AM2273" s="1078" t="s">
        <v>13498</v>
      </c>
      <c r="AN2273" s="1078" t="s">
        <v>13499</v>
      </c>
      <c r="AO2273" s="1078">
        <f t="shared" si="286"/>
        <v>600</v>
      </c>
      <c r="AP2273" s="1078">
        <f t="shared" si="287"/>
        <v>1.78</v>
      </c>
      <c r="AQ2273" s="1078" t="str">
        <f t="shared" si="288"/>
        <v>1-5-1S83°Z+S</v>
      </c>
      <c r="AR2273" s="1078" t="str">
        <f t="shared" si="289"/>
        <v>33</v>
      </c>
      <c r="AS2273" s="1078" t="str">
        <f t="shared" si="290"/>
        <v>360/360/150</v>
      </c>
      <c r="AT2273" s="1078" t="str">
        <f t="shared" si="291"/>
        <v>1-5-1S83°Z+S</v>
      </c>
      <c r="AU2273" s="1078" t="s">
        <v>15547</v>
      </c>
      <c r="AV2273" s="1078" t="str">
        <f t="shared" si="284"/>
        <v>108.12.12</v>
      </c>
      <c r="AW2273" s="1344">
        <f t="shared" si="285"/>
        <v>43811</v>
      </c>
    </row>
    <row r="2274" spans="1:49">
      <c r="A2274" s="1077" t="s">
        <v>7147</v>
      </c>
      <c r="B2274" s="1077" t="s">
        <v>7091</v>
      </c>
      <c r="C2274" s="1077">
        <v>700</v>
      </c>
      <c r="D2274" s="1077">
        <v>1.7749999999999999</v>
      </c>
      <c r="E2274" s="1077" t="s">
        <v>15104</v>
      </c>
      <c r="F2274" s="1077" t="s">
        <v>648</v>
      </c>
      <c r="G2274" s="1077">
        <v>5</v>
      </c>
      <c r="H2274" s="1077" t="s">
        <v>2941</v>
      </c>
      <c r="I2274" s="1077" t="s">
        <v>7001</v>
      </c>
      <c r="J2274" s="1077">
        <v>3.7</v>
      </c>
      <c r="K2274" s="1077" t="s">
        <v>7093</v>
      </c>
      <c r="L2274" s="1077" t="s">
        <v>5152</v>
      </c>
      <c r="M2274" s="1077">
        <v>290</v>
      </c>
      <c r="N2274" s="1077" t="s">
        <v>945</v>
      </c>
      <c r="O2274" s="1077">
        <v>7.25</v>
      </c>
      <c r="P2274" s="1077">
        <v>5.8</v>
      </c>
      <c r="Q2274" s="1077" t="s">
        <v>961</v>
      </c>
      <c r="R2274" s="1077">
        <v>19.5</v>
      </c>
      <c r="T2274" s="1077">
        <v>29.3</v>
      </c>
      <c r="U2274" s="1077">
        <v>3.5</v>
      </c>
      <c r="V2274" s="1077" t="s">
        <v>648</v>
      </c>
      <c r="W2274" s="1077">
        <v>95</v>
      </c>
      <c r="X2274" s="1077">
        <v>20</v>
      </c>
      <c r="Y2274" s="1077">
        <v>1.5</v>
      </c>
      <c r="Z2274" s="1077" t="s">
        <v>648</v>
      </c>
      <c r="AA2274" s="1077" t="s">
        <v>2859</v>
      </c>
      <c r="AH2274" s="1077" t="s">
        <v>681</v>
      </c>
      <c r="AM2274" s="1078" t="s">
        <v>13500</v>
      </c>
      <c r="AN2274" s="1078" t="s">
        <v>13501</v>
      </c>
      <c r="AO2274" s="1078">
        <f t="shared" si="286"/>
        <v>700</v>
      </c>
      <c r="AP2274" s="1078">
        <f t="shared" si="287"/>
        <v>1.7749999999999999</v>
      </c>
      <c r="AQ2274" s="1078" t="str">
        <f t="shared" si="288"/>
        <v>1-4-1S85°Z+S</v>
      </c>
      <c r="AR2274" s="1078" t="str">
        <f t="shared" si="289"/>
        <v>NA</v>
      </c>
      <c r="AS2274" s="1078" t="str">
        <f t="shared" si="290"/>
        <v>190/OFF</v>
      </c>
      <c r="AT2274" s="1078" t="str">
        <f t="shared" si="291"/>
        <v>1-4-1S85°Z+S</v>
      </c>
      <c r="AU2274" s="1078" t="s">
        <v>15547</v>
      </c>
      <c r="AV2274" s="1078" t="str">
        <f t="shared" si="284"/>
        <v>108.12.16</v>
      </c>
      <c r="AW2274" s="1344">
        <f t="shared" si="285"/>
        <v>43815</v>
      </c>
    </row>
    <row r="2275" spans="1:49">
      <c r="A2275" s="1077" t="s">
        <v>7148</v>
      </c>
      <c r="B2275" s="1077" t="s">
        <v>7149</v>
      </c>
      <c r="C2275" s="1077">
        <v>600</v>
      </c>
      <c r="D2275" s="1077">
        <v>1.7849999999999999</v>
      </c>
      <c r="E2275" s="1077" t="s">
        <v>15116</v>
      </c>
      <c r="F2275" s="1077" t="s">
        <v>2234</v>
      </c>
      <c r="G2275" s="1077">
        <v>5</v>
      </c>
      <c r="H2275" s="1077" t="s">
        <v>6952</v>
      </c>
      <c r="I2275" s="1077" t="s">
        <v>7150</v>
      </c>
      <c r="K2275" s="1077" t="s">
        <v>7151</v>
      </c>
      <c r="L2275" s="1077" t="s">
        <v>7152</v>
      </c>
      <c r="M2275" s="1077">
        <v>310</v>
      </c>
      <c r="N2275" s="1077" t="s">
        <v>945</v>
      </c>
      <c r="O2275" s="1077">
        <v>7.75</v>
      </c>
      <c r="P2275" s="1077">
        <v>6.2</v>
      </c>
      <c r="Q2275" s="1077" t="s">
        <v>2553</v>
      </c>
      <c r="R2275" s="1077">
        <v>21</v>
      </c>
      <c r="T2275" s="1077">
        <v>24</v>
      </c>
      <c r="U2275" s="1077">
        <v>3.4</v>
      </c>
      <c r="V2275" s="1077" t="s">
        <v>648</v>
      </c>
      <c r="W2275" s="1077">
        <v>115</v>
      </c>
      <c r="X2275" s="1077">
        <v>85</v>
      </c>
      <c r="Y2275" s="1077">
        <v>1.2</v>
      </c>
      <c r="Z2275" s="1077" t="s">
        <v>648</v>
      </c>
      <c r="AA2275" s="1077" t="s">
        <v>2859</v>
      </c>
      <c r="AH2275" s="1077" t="s">
        <v>483</v>
      </c>
      <c r="AM2275" s="1078" t="s">
        <v>13502</v>
      </c>
      <c r="AN2275" s="1078" t="s">
        <v>13503</v>
      </c>
      <c r="AO2275" s="1078">
        <f t="shared" si="286"/>
        <v>600</v>
      </c>
      <c r="AP2275" s="1078">
        <f t="shared" si="287"/>
        <v>1.7849999999999999</v>
      </c>
      <c r="AQ2275" s="1078" t="str">
        <f t="shared" si="288"/>
        <v>1-5-1S83°Z+S</v>
      </c>
      <c r="AR2275" s="1078" t="str">
        <f t="shared" si="289"/>
        <v>33.5</v>
      </c>
      <c r="AS2275" s="1078" t="str">
        <f t="shared" si="290"/>
        <v>340/340/140</v>
      </c>
      <c r="AT2275" s="1078" t="str">
        <f t="shared" si="291"/>
        <v>1-5-1S83°Z+S</v>
      </c>
      <c r="AU2275" s="1078" t="s">
        <v>15547</v>
      </c>
      <c r="AV2275" s="1078" t="str">
        <f t="shared" si="284"/>
        <v>108.12.16</v>
      </c>
      <c r="AW2275" s="1344">
        <f t="shared" si="285"/>
        <v>43815</v>
      </c>
    </row>
    <row r="2276" spans="1:49">
      <c r="A2276" s="1077" t="s">
        <v>7153</v>
      </c>
      <c r="B2276" s="1077" t="s">
        <v>7114</v>
      </c>
      <c r="C2276" s="1077">
        <v>650</v>
      </c>
      <c r="D2276" s="1077">
        <v>1.7549999999999999</v>
      </c>
      <c r="E2276" s="1077" t="s">
        <v>15104</v>
      </c>
      <c r="F2276" s="1077" t="s">
        <v>648</v>
      </c>
      <c r="G2276" s="1077">
        <v>5</v>
      </c>
      <c r="H2276" s="1077" t="s">
        <v>1470</v>
      </c>
      <c r="I2276" s="1077" t="s">
        <v>7154</v>
      </c>
      <c r="J2276" s="1077">
        <v>3</v>
      </c>
      <c r="K2276" s="1077" t="s">
        <v>7155</v>
      </c>
      <c r="L2276" s="1077" t="s">
        <v>4854</v>
      </c>
      <c r="M2276" s="1077">
        <v>300.7</v>
      </c>
      <c r="N2276" s="1077" t="s">
        <v>945</v>
      </c>
      <c r="O2276" s="1077">
        <v>7.5175000000000001</v>
      </c>
      <c r="P2276" s="1077">
        <v>6.0140000000000002</v>
      </c>
      <c r="Q2276" s="1077" t="s">
        <v>1005</v>
      </c>
      <c r="R2276" s="1077">
        <v>28.5</v>
      </c>
      <c r="T2276" s="1077">
        <v>14.7</v>
      </c>
      <c r="U2276" s="1077">
        <v>6.1</v>
      </c>
      <c r="V2276" s="1077" t="s">
        <v>648</v>
      </c>
      <c r="W2276" s="1077">
        <v>115</v>
      </c>
      <c r="X2276" s="1077">
        <v>45</v>
      </c>
      <c r="Y2276" s="1077">
        <v>1.5</v>
      </c>
      <c r="Z2276" s="1077" t="s">
        <v>648</v>
      </c>
      <c r="AA2276" s="1077" t="s">
        <v>2893</v>
      </c>
      <c r="AH2276" s="1077" t="s">
        <v>1178</v>
      </c>
      <c r="AM2276" s="1078" t="s">
        <v>13504</v>
      </c>
      <c r="AN2276" s="1078" t="s">
        <v>13505</v>
      </c>
      <c r="AO2276" s="1078">
        <f t="shared" si="286"/>
        <v>650</v>
      </c>
      <c r="AP2276" s="1078">
        <f t="shared" si="287"/>
        <v>1.7549999999999999</v>
      </c>
      <c r="AQ2276" s="1078" t="str">
        <f t="shared" si="288"/>
        <v>1-4-1S85°Z+S</v>
      </c>
      <c r="AR2276" s="1078" t="str">
        <f t="shared" si="289"/>
        <v>NA</v>
      </c>
      <c r="AS2276" s="1078" t="str">
        <f t="shared" si="290"/>
        <v>160/OFF</v>
      </c>
      <c r="AT2276" s="1078" t="str">
        <f t="shared" si="291"/>
        <v>1-4-1S85°Z+S</v>
      </c>
      <c r="AU2276" s="1078" t="s">
        <v>15547</v>
      </c>
      <c r="AV2276" s="1078" t="str">
        <f t="shared" si="284"/>
        <v>109.1.16</v>
      </c>
      <c r="AW2276" s="1344">
        <f t="shared" si="285"/>
        <v>43846</v>
      </c>
    </row>
    <row r="2277" spans="1:49">
      <c r="A2277" s="1077" t="s">
        <v>7156</v>
      </c>
      <c r="B2277" s="1077" t="s">
        <v>836</v>
      </c>
      <c r="C2277" s="1077">
        <v>600</v>
      </c>
      <c r="D2277" s="1077">
        <v>1.78</v>
      </c>
      <c r="E2277" s="1077" t="s">
        <v>15116</v>
      </c>
      <c r="F2277" s="1077" t="s">
        <v>6901</v>
      </c>
      <c r="G2277" s="1077">
        <v>4</v>
      </c>
      <c r="H2277" s="1077" t="s">
        <v>6902</v>
      </c>
      <c r="I2277" s="1077" t="s">
        <v>7001</v>
      </c>
      <c r="K2277" s="1077" t="s">
        <v>7157</v>
      </c>
      <c r="L2277" s="1077" t="s">
        <v>6905</v>
      </c>
      <c r="M2277" s="1077">
        <v>303.89999999999998</v>
      </c>
      <c r="N2277" s="1077" t="s">
        <v>945</v>
      </c>
      <c r="O2277" s="1077">
        <v>7.5975000000000001</v>
      </c>
      <c r="P2277" s="1077">
        <v>6.0779999999999994</v>
      </c>
      <c r="Q2277" s="1077" t="s">
        <v>2553</v>
      </c>
      <c r="R2277" s="1077">
        <v>24.5</v>
      </c>
      <c r="T2277" s="1077">
        <v>12.7</v>
      </c>
      <c r="U2277" s="1077">
        <v>2.6</v>
      </c>
      <c r="V2277" s="1077" t="s">
        <v>648</v>
      </c>
      <c r="W2277" s="1077" t="s">
        <v>2532</v>
      </c>
      <c r="X2277" s="1077">
        <v>10</v>
      </c>
      <c r="Y2277" s="1077">
        <v>1.5</v>
      </c>
      <c r="Z2277" s="1077" t="s">
        <v>648</v>
      </c>
      <c r="AA2277" s="1077" t="s">
        <v>5437</v>
      </c>
      <c r="AH2277" s="1077" t="s">
        <v>722</v>
      </c>
      <c r="AM2277" s="1078" t="s">
        <v>13506</v>
      </c>
      <c r="AN2277" s="1078" t="s">
        <v>13507</v>
      </c>
      <c r="AO2277" s="1078">
        <f t="shared" si="286"/>
        <v>600</v>
      </c>
      <c r="AP2277" s="1078">
        <f t="shared" si="287"/>
        <v>1.78</v>
      </c>
      <c r="AQ2277" s="1078" t="str">
        <f t="shared" si="288"/>
        <v>1-5-1S83°Z+S</v>
      </c>
      <c r="AR2277" s="1078" t="str">
        <f t="shared" si="289"/>
        <v>33.6</v>
      </c>
      <c r="AS2277" s="1078" t="str">
        <f t="shared" si="290"/>
        <v>310/310/190</v>
      </c>
      <c r="AT2277" s="1078" t="str">
        <f t="shared" si="291"/>
        <v>1-5-1S83°Z+S</v>
      </c>
      <c r="AU2277" s="1078" t="s">
        <v>15547</v>
      </c>
      <c r="AV2277" s="1078" t="str">
        <f t="shared" si="284"/>
        <v>109.1.14</v>
      </c>
      <c r="AW2277" s="1344">
        <f t="shared" si="285"/>
        <v>43844</v>
      </c>
    </row>
    <row r="2278" spans="1:49">
      <c r="A2278" s="1077" t="s">
        <v>7158</v>
      </c>
      <c r="B2278" s="1077" t="s">
        <v>7005</v>
      </c>
      <c r="C2278" s="1077">
        <v>600</v>
      </c>
      <c r="D2278" s="1077">
        <v>1.7250000000000001</v>
      </c>
      <c r="E2278" s="1077" t="s">
        <v>15116</v>
      </c>
      <c r="F2278" s="1077" t="s">
        <v>2234</v>
      </c>
      <c r="G2278" s="1077">
        <v>3.5</v>
      </c>
      <c r="H2278" s="1077" t="s">
        <v>6952</v>
      </c>
      <c r="I2278" s="1077" t="s">
        <v>7001</v>
      </c>
      <c r="K2278" s="1077" t="s">
        <v>7006</v>
      </c>
      <c r="L2278" s="1077" t="s">
        <v>7007</v>
      </c>
      <c r="M2278" s="1077">
        <v>310</v>
      </c>
      <c r="N2278" s="1077" t="s">
        <v>945</v>
      </c>
      <c r="O2278" s="1077">
        <v>7.75</v>
      </c>
      <c r="P2278" s="1077">
        <v>6.2</v>
      </c>
      <c r="Q2278" s="1077" t="s">
        <v>2401</v>
      </c>
      <c r="R2278" s="1077">
        <v>22</v>
      </c>
      <c r="T2278" s="1077">
        <v>13.5</v>
      </c>
      <c r="U2278" s="1077">
        <v>3.2</v>
      </c>
      <c r="V2278" s="1077" t="s">
        <v>648</v>
      </c>
      <c r="W2278" s="1077">
        <v>100</v>
      </c>
      <c r="X2278" s="1077">
        <v>85</v>
      </c>
      <c r="Y2278" s="1077">
        <v>1.2</v>
      </c>
      <c r="Z2278" s="1077" t="s">
        <v>648</v>
      </c>
      <c r="AA2278" s="1077" t="s">
        <v>3328</v>
      </c>
      <c r="AH2278" s="1077" t="s">
        <v>2055</v>
      </c>
      <c r="AM2278" s="1078" t="s">
        <v>13508</v>
      </c>
      <c r="AN2278" s="1078" t="s">
        <v>13509</v>
      </c>
      <c r="AO2278" s="1078">
        <f t="shared" si="286"/>
        <v>600</v>
      </c>
      <c r="AP2278" s="1078">
        <f t="shared" si="287"/>
        <v>1.7250000000000001</v>
      </c>
      <c r="AQ2278" s="1078" t="str">
        <f t="shared" si="288"/>
        <v>1-5-1S83°Z+S</v>
      </c>
      <c r="AR2278" s="1078" t="str">
        <f t="shared" si="289"/>
        <v>33.5</v>
      </c>
      <c r="AS2278" s="1078" t="str">
        <f t="shared" si="290"/>
        <v>340/340/140</v>
      </c>
      <c r="AT2278" s="1078" t="str">
        <f t="shared" si="291"/>
        <v>1-5-1S83°Z+S</v>
      </c>
      <c r="AU2278" s="1078" t="s">
        <v>15547</v>
      </c>
      <c r="AV2278" s="1078" t="str">
        <f t="shared" si="284"/>
        <v>109.1.17</v>
      </c>
      <c r="AW2278" s="1344">
        <f t="shared" si="285"/>
        <v>43847</v>
      </c>
    </row>
    <row r="2279" spans="1:49">
      <c r="A2279" s="1077" t="s">
        <v>7159</v>
      </c>
      <c r="B2279" s="1077" t="s">
        <v>7080</v>
      </c>
      <c r="C2279" s="1077">
        <v>600</v>
      </c>
      <c r="D2279" s="1077">
        <v>1.8</v>
      </c>
      <c r="E2279" s="1077" t="s">
        <v>15116</v>
      </c>
      <c r="F2279" s="1077" t="s">
        <v>2234</v>
      </c>
      <c r="G2279" s="1077">
        <v>3.5</v>
      </c>
      <c r="H2279" s="1077" t="s">
        <v>6952</v>
      </c>
      <c r="I2279" s="1077" t="s">
        <v>6953</v>
      </c>
      <c r="K2279" s="1077" t="s">
        <v>7081</v>
      </c>
      <c r="L2279" s="1077" t="s">
        <v>7082</v>
      </c>
      <c r="M2279" s="1077">
        <v>303</v>
      </c>
      <c r="N2279" s="1077" t="s">
        <v>945</v>
      </c>
      <c r="O2279" s="1077">
        <v>7.5750000000000002</v>
      </c>
      <c r="P2279" s="1077">
        <v>6.0600000000000005</v>
      </c>
      <c r="Q2279" s="1077" t="s">
        <v>2553</v>
      </c>
      <c r="R2279" s="1077">
        <v>22</v>
      </c>
      <c r="T2279" s="1077">
        <v>23</v>
      </c>
      <c r="U2279" s="1077">
        <v>3.2</v>
      </c>
      <c r="V2279" s="1077" t="s">
        <v>648</v>
      </c>
      <c r="W2279" s="1077">
        <v>115</v>
      </c>
      <c r="X2279" s="1077">
        <v>85</v>
      </c>
      <c r="Y2279" s="1077">
        <v>1.2</v>
      </c>
      <c r="Z2279" s="1077" t="s">
        <v>648</v>
      </c>
      <c r="AA2279" s="1077" t="s">
        <v>1266</v>
      </c>
      <c r="AH2279" s="1077" t="s">
        <v>468</v>
      </c>
      <c r="AM2279" s="1078" t="s">
        <v>13510</v>
      </c>
      <c r="AN2279" s="1078" t="s">
        <v>13511</v>
      </c>
      <c r="AO2279" s="1078">
        <f t="shared" si="286"/>
        <v>600</v>
      </c>
      <c r="AP2279" s="1078">
        <f t="shared" si="287"/>
        <v>1.8</v>
      </c>
      <c r="AQ2279" s="1078" t="str">
        <f t="shared" si="288"/>
        <v>1-5-1S83°Z+S</v>
      </c>
      <c r="AR2279" s="1078" t="str">
        <f t="shared" si="289"/>
        <v>33.5</v>
      </c>
      <c r="AS2279" s="1078" t="str">
        <f t="shared" si="290"/>
        <v>340/340/140</v>
      </c>
      <c r="AT2279" s="1078" t="str">
        <f t="shared" si="291"/>
        <v>1-5-1S83°Z+S</v>
      </c>
      <c r="AU2279" s="1078" t="s">
        <v>15547</v>
      </c>
      <c r="AV2279" s="1078" t="str">
        <f t="shared" si="284"/>
        <v>109.1.20</v>
      </c>
      <c r="AW2279" s="1344">
        <f t="shared" si="285"/>
        <v>43850</v>
      </c>
    </row>
    <row r="2280" spans="1:49">
      <c r="A2280" s="1077" t="s">
        <v>7160</v>
      </c>
      <c r="B2280" s="1077" t="s">
        <v>663</v>
      </c>
      <c r="C2280" s="1077">
        <v>650</v>
      </c>
      <c r="D2280" s="1077">
        <v>1.76</v>
      </c>
      <c r="E2280" s="1077" t="s">
        <v>15109</v>
      </c>
      <c r="F2280" s="1077" t="s">
        <v>648</v>
      </c>
      <c r="G2280" s="1077">
        <v>5.5</v>
      </c>
      <c r="H2280" s="1077" t="s">
        <v>3482</v>
      </c>
      <c r="I2280" s="1077" t="s">
        <v>7161</v>
      </c>
      <c r="K2280" s="1077" t="s">
        <v>7162</v>
      </c>
      <c r="L2280" s="1077" t="s">
        <v>4907</v>
      </c>
      <c r="M2280" s="1077">
        <v>296</v>
      </c>
      <c r="N2280" s="1077" t="s">
        <v>945</v>
      </c>
      <c r="O2280" s="1077">
        <v>7.4</v>
      </c>
      <c r="P2280" s="1077">
        <v>5.92</v>
      </c>
      <c r="Q2280" s="1077" t="s">
        <v>4048</v>
      </c>
      <c r="R2280" s="1077">
        <v>17</v>
      </c>
      <c r="T2280" s="1077">
        <v>10.5</v>
      </c>
      <c r="U2280" s="1077">
        <v>6.1</v>
      </c>
      <c r="V2280" s="1077" t="s">
        <v>648</v>
      </c>
      <c r="W2280" s="1077">
        <v>120</v>
      </c>
      <c r="X2280" s="1077">
        <v>90</v>
      </c>
      <c r="Y2280" s="1077">
        <v>1.1000000000000001</v>
      </c>
      <c r="Z2280" s="1077" t="s">
        <v>648</v>
      </c>
      <c r="AA2280" s="1077" t="s">
        <v>1757</v>
      </c>
      <c r="AH2280" s="1077" t="s">
        <v>785</v>
      </c>
      <c r="AM2280" s="1078" t="s">
        <v>13512</v>
      </c>
      <c r="AN2280" s="1078" t="s">
        <v>13513</v>
      </c>
      <c r="AO2280" s="1078">
        <f t="shared" si="286"/>
        <v>650</v>
      </c>
      <c r="AP2280" s="1078">
        <f t="shared" si="287"/>
        <v>1.76</v>
      </c>
      <c r="AQ2280" s="1078" t="str">
        <f t="shared" si="288"/>
        <v>1-5-1S85°Z+S</v>
      </c>
      <c r="AR2280" s="1078" t="str">
        <f t="shared" si="289"/>
        <v>NA</v>
      </c>
      <c r="AS2280" s="1078" t="str">
        <f t="shared" si="290"/>
        <v>170/160</v>
      </c>
      <c r="AT2280" s="1078" t="str">
        <f t="shared" si="291"/>
        <v>1-5-1S85°Z+S</v>
      </c>
      <c r="AU2280" s="1078" t="s">
        <v>15547</v>
      </c>
      <c r="AV2280" s="1078" t="str">
        <f t="shared" si="284"/>
        <v>109.1.21</v>
      </c>
      <c r="AW2280" s="1344">
        <f t="shared" si="285"/>
        <v>43851</v>
      </c>
    </row>
    <row r="2281" spans="1:49">
      <c r="A2281" s="1077" t="s">
        <v>7163</v>
      </c>
      <c r="B2281" s="1077" t="s">
        <v>7026</v>
      </c>
      <c r="C2281" s="1077" t="s">
        <v>7164</v>
      </c>
      <c r="D2281" s="1077">
        <v>1.7849999999999999</v>
      </c>
      <c r="E2281" s="1077" t="s">
        <v>15124</v>
      </c>
      <c r="F2281" s="1077" t="s">
        <v>954</v>
      </c>
      <c r="G2281" s="1077">
        <v>5</v>
      </c>
      <c r="H2281" s="1077" t="s">
        <v>7165</v>
      </c>
      <c r="I2281" s="1077" t="s">
        <v>7105</v>
      </c>
      <c r="J2281" s="1077">
        <v>3.7</v>
      </c>
      <c r="K2281" s="1077" t="s">
        <v>7166</v>
      </c>
      <c r="L2281" s="1077" t="s">
        <v>4979</v>
      </c>
      <c r="M2281" s="1077">
        <v>293</v>
      </c>
      <c r="N2281" s="1077" t="s">
        <v>945</v>
      </c>
      <c r="O2281" s="1077">
        <v>7.3250000000000002</v>
      </c>
      <c r="P2281" s="1077">
        <v>5.86</v>
      </c>
      <c r="Q2281" s="1077" t="s">
        <v>2553</v>
      </c>
      <c r="R2281" s="1077">
        <v>17.8</v>
      </c>
      <c r="T2281" s="1077">
        <v>26.8</v>
      </c>
      <c r="U2281" s="1077">
        <v>3.2</v>
      </c>
      <c r="V2281" s="1077" t="s">
        <v>648</v>
      </c>
      <c r="W2281" s="1077" t="s">
        <v>6990</v>
      </c>
      <c r="X2281" s="1077">
        <v>10</v>
      </c>
      <c r="Y2281" s="1077">
        <v>1.6</v>
      </c>
      <c r="Z2281" s="1077" t="s">
        <v>648</v>
      </c>
      <c r="AA2281" s="1077" t="s">
        <v>5182</v>
      </c>
      <c r="AH2281" s="1077" t="s">
        <v>1023</v>
      </c>
      <c r="AM2281" s="1078" t="s">
        <v>13514</v>
      </c>
      <c r="AN2281" s="1078" t="s">
        <v>13515</v>
      </c>
      <c r="AO2281" s="1078" t="str">
        <f t="shared" si="286"/>
        <v>650↓550</v>
      </c>
      <c r="AP2281" s="1078">
        <f t="shared" si="287"/>
        <v>1.7849999999999999</v>
      </c>
      <c r="AQ2281" s="1078" t="str">
        <f t="shared" si="288"/>
        <v>2-6-1S83°Z+S</v>
      </c>
      <c r="AR2281" s="1078" t="str">
        <f t="shared" si="289"/>
        <v>31</v>
      </c>
      <c r="AS2281" s="1078" t="str">
        <f t="shared" si="290"/>
        <v>185/188</v>
      </c>
      <c r="AT2281" s="1078" t="str">
        <f t="shared" si="291"/>
        <v>2-6-1S83°Z+S</v>
      </c>
      <c r="AU2281" s="1078" t="s">
        <v>15547</v>
      </c>
      <c r="AV2281" s="1078" t="str">
        <f t="shared" si="284"/>
        <v>109.2.6</v>
      </c>
      <c r="AW2281" s="1344">
        <f t="shared" si="285"/>
        <v>43867</v>
      </c>
    </row>
    <row r="2282" spans="1:49">
      <c r="A2282" s="1077" t="s">
        <v>7167</v>
      </c>
      <c r="B2282" s="1077" t="s">
        <v>7149</v>
      </c>
      <c r="C2282" s="1077">
        <v>600</v>
      </c>
      <c r="D2282" s="1077">
        <v>1.7849999999999999</v>
      </c>
      <c r="E2282" s="1077" t="s">
        <v>15116</v>
      </c>
      <c r="F2282" s="1077" t="s">
        <v>2234</v>
      </c>
      <c r="G2282" s="1077">
        <v>5</v>
      </c>
      <c r="H2282" s="1077" t="s">
        <v>6952</v>
      </c>
      <c r="I2282" s="1077" t="s">
        <v>7150</v>
      </c>
      <c r="K2282" s="1077" t="s">
        <v>7151</v>
      </c>
      <c r="L2282" s="1077" t="s">
        <v>7168</v>
      </c>
      <c r="M2282" s="1077">
        <v>310</v>
      </c>
      <c r="N2282" s="1077" t="s">
        <v>945</v>
      </c>
      <c r="O2282" s="1077">
        <v>7.75</v>
      </c>
      <c r="P2282" s="1077">
        <v>6.2</v>
      </c>
      <c r="Q2282" s="1077" t="s">
        <v>2553</v>
      </c>
      <c r="R2282" s="1077">
        <v>21</v>
      </c>
      <c r="T2282" s="1077">
        <v>24</v>
      </c>
      <c r="U2282" s="1077">
        <v>3.4</v>
      </c>
      <c r="V2282" s="1077" t="s">
        <v>648</v>
      </c>
      <c r="W2282" s="1077">
        <v>115</v>
      </c>
      <c r="X2282" s="1077">
        <v>85</v>
      </c>
      <c r="Y2282" s="1077">
        <v>1.2</v>
      </c>
      <c r="Z2282" s="1077" t="s">
        <v>648</v>
      </c>
      <c r="AA2282" s="1077" t="s">
        <v>7169</v>
      </c>
      <c r="AH2282" s="1077" t="s">
        <v>483</v>
      </c>
      <c r="AM2282" s="1078" t="s">
        <v>13516</v>
      </c>
      <c r="AN2282" s="1078" t="s">
        <v>13517</v>
      </c>
      <c r="AO2282" s="1078">
        <f t="shared" si="286"/>
        <v>600</v>
      </c>
      <c r="AP2282" s="1078">
        <f t="shared" si="287"/>
        <v>1.7849999999999999</v>
      </c>
      <c r="AQ2282" s="1078" t="str">
        <f t="shared" si="288"/>
        <v>1-5-1S83°Z+S</v>
      </c>
      <c r="AR2282" s="1078" t="str">
        <f t="shared" si="289"/>
        <v>33.5</v>
      </c>
      <c r="AS2282" s="1078" t="str">
        <f t="shared" si="290"/>
        <v>340/340/140</v>
      </c>
      <c r="AT2282" s="1078" t="str">
        <f t="shared" si="291"/>
        <v>1-5-1S83°Z+S</v>
      </c>
      <c r="AU2282" s="1078" t="s">
        <v>15547</v>
      </c>
      <c r="AV2282" s="1078" t="str">
        <f t="shared" si="284"/>
        <v>109.2.11</v>
      </c>
      <c r="AW2282" s="1344">
        <f t="shared" si="285"/>
        <v>43872</v>
      </c>
    </row>
    <row r="2283" spans="1:49">
      <c r="A2283" s="1077" t="s">
        <v>7170</v>
      </c>
      <c r="B2283" s="1077" t="s">
        <v>6945</v>
      </c>
      <c r="C2283" s="1077">
        <v>500</v>
      </c>
      <c r="D2283" s="1077">
        <v>1.78</v>
      </c>
      <c r="E2283" s="1077" t="s">
        <v>15122</v>
      </c>
      <c r="F2283" s="1077" t="s">
        <v>1514</v>
      </c>
      <c r="G2283" s="1077">
        <v>5</v>
      </c>
      <c r="H2283" s="1077" t="s">
        <v>6946</v>
      </c>
      <c r="I2283" s="1077" t="s">
        <v>6947</v>
      </c>
      <c r="J2283" s="1077">
        <v>3</v>
      </c>
      <c r="K2283" s="1077" t="s">
        <v>7171</v>
      </c>
      <c r="L2283" s="1077" t="s">
        <v>6949</v>
      </c>
      <c r="M2283" s="1077">
        <v>303</v>
      </c>
      <c r="N2283" s="1077" t="s">
        <v>945</v>
      </c>
      <c r="O2283" s="1077">
        <v>7.5750000000000002</v>
      </c>
      <c r="P2283" s="1077">
        <v>6.0600000000000005</v>
      </c>
      <c r="Q2283" s="1077" t="s">
        <v>1369</v>
      </c>
      <c r="R2283" s="1077">
        <v>23</v>
      </c>
      <c r="T2283" s="1077">
        <v>13.2</v>
      </c>
      <c r="U2283" s="1077">
        <v>5</v>
      </c>
      <c r="V2283" s="1077" t="s">
        <v>648</v>
      </c>
      <c r="W2283" s="1077">
        <v>125</v>
      </c>
      <c r="X2283" s="1077">
        <v>85</v>
      </c>
      <c r="Y2283" s="1077">
        <v>1.3</v>
      </c>
      <c r="Z2283" s="1077" t="s">
        <v>648</v>
      </c>
      <c r="AA2283" s="1077" t="s">
        <v>1066</v>
      </c>
      <c r="AH2283" s="1077" t="s">
        <v>1137</v>
      </c>
      <c r="AM2283" s="1078" t="s">
        <v>13518</v>
      </c>
      <c r="AN2283" s="1078" t="s">
        <v>13519</v>
      </c>
      <c r="AO2283" s="1078">
        <f t="shared" si="286"/>
        <v>500</v>
      </c>
      <c r="AP2283" s="1078">
        <f t="shared" si="287"/>
        <v>1.78</v>
      </c>
      <c r="AQ2283" s="1078" t="str">
        <f t="shared" si="288"/>
        <v>1-5-1S91°Z+S</v>
      </c>
      <c r="AR2283" s="1078" t="str">
        <f t="shared" si="289"/>
        <v>32</v>
      </c>
      <c r="AS2283" s="1078" t="str">
        <f t="shared" si="290"/>
        <v>320/300/158</v>
      </c>
      <c r="AT2283" s="1078" t="str">
        <f t="shared" si="291"/>
        <v>1-5-1S91°Z+S</v>
      </c>
      <c r="AU2283" s="1078" t="s">
        <v>15547</v>
      </c>
      <c r="AV2283" s="1078" t="str">
        <f t="shared" si="284"/>
        <v>109.2.12</v>
      </c>
      <c r="AW2283" s="1344">
        <f t="shared" si="285"/>
        <v>43873</v>
      </c>
    </row>
    <row r="2284" spans="1:49">
      <c r="A2284" s="1077" t="s">
        <v>7172</v>
      </c>
      <c r="B2284" s="1077" t="s">
        <v>7014</v>
      </c>
      <c r="C2284" s="1077">
        <v>600</v>
      </c>
      <c r="D2284" s="1077">
        <v>1.74</v>
      </c>
      <c r="E2284" s="1077" t="s">
        <v>15116</v>
      </c>
      <c r="F2284" s="1077" t="s">
        <v>2234</v>
      </c>
      <c r="G2284" s="1077">
        <v>5</v>
      </c>
      <c r="H2284" s="1077" t="s">
        <v>6952</v>
      </c>
      <c r="I2284" s="1077" t="s">
        <v>6918</v>
      </c>
      <c r="K2284" s="1077" t="s">
        <v>7016</v>
      </c>
      <c r="L2284" s="1077" t="s">
        <v>7017</v>
      </c>
      <c r="M2284" s="1077">
        <v>305</v>
      </c>
      <c r="N2284" s="1077" t="s">
        <v>945</v>
      </c>
      <c r="O2284" s="1077">
        <v>7.625</v>
      </c>
      <c r="P2284" s="1077">
        <v>6.1000000000000005</v>
      </c>
      <c r="Q2284" s="1077" t="s">
        <v>2950</v>
      </c>
      <c r="R2284" s="1077">
        <v>24</v>
      </c>
      <c r="T2284" s="1077">
        <v>13.5</v>
      </c>
      <c r="U2284" s="1077">
        <v>3.2</v>
      </c>
      <c r="V2284" s="1077" t="s">
        <v>648</v>
      </c>
      <c r="W2284" s="1077">
        <v>100</v>
      </c>
      <c r="X2284" s="1077">
        <v>85</v>
      </c>
      <c r="Y2284" s="1077">
        <v>1.2</v>
      </c>
      <c r="Z2284" s="1077" t="s">
        <v>648</v>
      </c>
      <c r="AA2284" s="1077" t="s">
        <v>4111</v>
      </c>
      <c r="AH2284" s="1077" t="s">
        <v>456</v>
      </c>
      <c r="AM2284" s="1078" t="s">
        <v>13520</v>
      </c>
      <c r="AN2284" s="1078" t="s">
        <v>13521</v>
      </c>
      <c r="AO2284" s="1078">
        <f t="shared" si="286"/>
        <v>600</v>
      </c>
      <c r="AP2284" s="1078">
        <f t="shared" si="287"/>
        <v>1.74</v>
      </c>
      <c r="AQ2284" s="1078" t="str">
        <f t="shared" si="288"/>
        <v>1-5-1S83°Z+S</v>
      </c>
      <c r="AR2284" s="1078" t="str">
        <f t="shared" si="289"/>
        <v>33.5</v>
      </c>
      <c r="AS2284" s="1078" t="str">
        <f t="shared" si="290"/>
        <v>340/340/140</v>
      </c>
      <c r="AT2284" s="1078" t="str">
        <f t="shared" si="291"/>
        <v>1-5-1S83°Z+S</v>
      </c>
      <c r="AU2284" s="1078" t="s">
        <v>15547</v>
      </c>
      <c r="AV2284" s="1078" t="str">
        <f t="shared" si="284"/>
        <v>109.2.19</v>
      </c>
      <c r="AW2284" s="1344">
        <f t="shared" si="285"/>
        <v>43880</v>
      </c>
    </row>
    <row r="2285" spans="1:49">
      <c r="A2285" s="1077" t="s">
        <v>7173</v>
      </c>
      <c r="B2285" s="1077" t="s">
        <v>7142</v>
      </c>
      <c r="C2285" s="1077">
        <v>600</v>
      </c>
      <c r="D2285" s="1077">
        <v>1.78</v>
      </c>
      <c r="E2285" s="1077" t="s">
        <v>15116</v>
      </c>
      <c r="F2285" s="1077" t="s">
        <v>2167</v>
      </c>
      <c r="G2285" s="1077">
        <v>4</v>
      </c>
      <c r="H2285" s="1077" t="s">
        <v>7143</v>
      </c>
      <c r="I2285" s="1077" t="s">
        <v>7144</v>
      </c>
      <c r="K2285" s="1077" t="s">
        <v>7174</v>
      </c>
      <c r="L2285" s="1077" t="s">
        <v>7146</v>
      </c>
      <c r="M2285" s="1077">
        <v>305</v>
      </c>
      <c r="N2285" s="1077" t="s">
        <v>945</v>
      </c>
      <c r="O2285" s="1077">
        <v>7.625</v>
      </c>
      <c r="P2285" s="1077">
        <v>6.1000000000000005</v>
      </c>
      <c r="Q2285" s="1077" t="s">
        <v>2553</v>
      </c>
      <c r="R2285" s="1077">
        <v>24</v>
      </c>
      <c r="T2285" s="1077">
        <v>32</v>
      </c>
      <c r="U2285" s="1077">
        <v>2.2999999999999998</v>
      </c>
      <c r="V2285" s="1077" t="s">
        <v>648</v>
      </c>
      <c r="W2285" s="1077" t="s">
        <v>648</v>
      </c>
      <c r="X2285" s="1077" t="s">
        <v>648</v>
      </c>
      <c r="Y2285" s="1077">
        <v>1.6</v>
      </c>
      <c r="Z2285" s="1077" t="s">
        <v>648</v>
      </c>
      <c r="AA2285" s="1077" t="s">
        <v>5228</v>
      </c>
      <c r="AH2285" s="1077" t="s">
        <v>1827</v>
      </c>
      <c r="AM2285" s="1078" t="s">
        <v>13522</v>
      </c>
      <c r="AN2285" s="1078" t="s">
        <v>13523</v>
      </c>
      <c r="AO2285" s="1078">
        <f t="shared" si="286"/>
        <v>600</v>
      </c>
      <c r="AP2285" s="1078">
        <f t="shared" si="287"/>
        <v>1.78</v>
      </c>
      <c r="AQ2285" s="1078" t="str">
        <f t="shared" si="288"/>
        <v>1-5-1S83°Z+S</v>
      </c>
      <c r="AR2285" s="1078" t="str">
        <f t="shared" si="289"/>
        <v>33</v>
      </c>
      <c r="AS2285" s="1078" t="str">
        <f t="shared" si="290"/>
        <v>360/360/150</v>
      </c>
      <c r="AT2285" s="1078" t="str">
        <f t="shared" si="291"/>
        <v>1-5-1S83°Z+S</v>
      </c>
      <c r="AU2285" s="1078" t="s">
        <v>15547</v>
      </c>
      <c r="AV2285" s="1078" t="str">
        <f t="shared" si="284"/>
        <v>109.2.20</v>
      </c>
      <c r="AW2285" s="1344">
        <f t="shared" si="285"/>
        <v>43881</v>
      </c>
    </row>
    <row r="2286" spans="1:49">
      <c r="A2286" s="1077" t="s">
        <v>7175</v>
      </c>
      <c r="B2286" s="1077" t="s">
        <v>7032</v>
      </c>
      <c r="C2286" s="1077">
        <v>600</v>
      </c>
      <c r="D2286" s="1077">
        <v>1.72</v>
      </c>
      <c r="E2286" s="1077" t="s">
        <v>15116</v>
      </c>
      <c r="F2286" s="1077" t="s">
        <v>2234</v>
      </c>
      <c r="G2286" s="1077">
        <v>3.5</v>
      </c>
      <c r="H2286" s="1077" t="s">
        <v>6952</v>
      </c>
      <c r="I2286" s="1077" t="s">
        <v>6918</v>
      </c>
      <c r="K2286" s="1077" t="s">
        <v>7033</v>
      </c>
      <c r="L2286" s="1077" t="s">
        <v>7034</v>
      </c>
      <c r="M2286" s="1077">
        <v>310</v>
      </c>
      <c r="N2286" s="1077" t="s">
        <v>945</v>
      </c>
      <c r="O2286" s="1077">
        <v>7.75</v>
      </c>
      <c r="P2286" s="1077">
        <v>6.2</v>
      </c>
      <c r="Q2286" s="1077" t="s">
        <v>2782</v>
      </c>
      <c r="R2286" s="1077">
        <v>22</v>
      </c>
      <c r="T2286" s="1077">
        <v>13.5</v>
      </c>
      <c r="U2286" s="1077">
        <v>3.2</v>
      </c>
      <c r="V2286" s="1077" t="s">
        <v>648</v>
      </c>
      <c r="W2286" s="1077">
        <v>100</v>
      </c>
      <c r="X2286" s="1077">
        <v>85</v>
      </c>
      <c r="Y2286" s="1077">
        <v>1.2</v>
      </c>
      <c r="Z2286" s="1077" t="s">
        <v>648</v>
      </c>
      <c r="AA2286" s="1077" t="s">
        <v>4686</v>
      </c>
      <c r="AH2286" s="1077" t="s">
        <v>994</v>
      </c>
      <c r="AM2286" s="1078" t="s">
        <v>13524</v>
      </c>
      <c r="AN2286" s="1078" t="s">
        <v>13525</v>
      </c>
      <c r="AO2286" s="1078">
        <f t="shared" si="286"/>
        <v>600</v>
      </c>
      <c r="AP2286" s="1078">
        <f t="shared" si="287"/>
        <v>1.72</v>
      </c>
      <c r="AQ2286" s="1078" t="str">
        <f t="shared" si="288"/>
        <v>1-5-1S83°Z+S</v>
      </c>
      <c r="AR2286" s="1078" t="str">
        <f t="shared" si="289"/>
        <v>33.5</v>
      </c>
      <c r="AS2286" s="1078" t="str">
        <f t="shared" si="290"/>
        <v>340/340/140</v>
      </c>
      <c r="AT2286" s="1078" t="str">
        <f t="shared" si="291"/>
        <v>1-5-1S83°Z+S</v>
      </c>
      <c r="AU2286" s="1078" t="s">
        <v>15547</v>
      </c>
      <c r="AV2286" s="1078" t="str">
        <f t="shared" si="284"/>
        <v>109.2.24</v>
      </c>
      <c r="AW2286" s="1344">
        <f t="shared" si="285"/>
        <v>43885</v>
      </c>
    </row>
    <row r="2287" spans="1:49">
      <c r="A2287" s="1077" t="s">
        <v>7176</v>
      </c>
      <c r="B2287" s="1077" t="s">
        <v>7055</v>
      </c>
      <c r="C2287" s="1077">
        <v>650</v>
      </c>
      <c r="D2287" s="1077">
        <v>1.74</v>
      </c>
      <c r="E2287" s="1077" t="s">
        <v>15104</v>
      </c>
      <c r="F2287" s="1077" t="s">
        <v>648</v>
      </c>
      <c r="G2287" s="1077">
        <v>5.5</v>
      </c>
      <c r="H2287" s="1077" t="s">
        <v>1470</v>
      </c>
      <c r="I2287" s="1077" t="s">
        <v>7177</v>
      </c>
      <c r="J2287" s="1077">
        <v>3</v>
      </c>
      <c r="K2287" s="1077" t="s">
        <v>7098</v>
      </c>
      <c r="L2287" s="1077" t="s">
        <v>4946</v>
      </c>
      <c r="M2287" s="1077">
        <v>296</v>
      </c>
      <c r="N2287" s="1077" t="s">
        <v>945</v>
      </c>
      <c r="O2287" s="1077">
        <v>7.4</v>
      </c>
      <c r="P2287" s="1077">
        <v>5.92</v>
      </c>
      <c r="Q2287" s="1077" t="s">
        <v>1012</v>
      </c>
      <c r="R2287" s="1077">
        <v>27</v>
      </c>
      <c r="T2287" s="1077">
        <v>17.5</v>
      </c>
      <c r="U2287" s="1077">
        <v>6</v>
      </c>
      <c r="V2287" s="1077" t="s">
        <v>648</v>
      </c>
      <c r="W2287" s="1077">
        <v>60</v>
      </c>
      <c r="X2287" s="1077">
        <v>10</v>
      </c>
      <c r="Y2287" s="1077">
        <v>1.2</v>
      </c>
      <c r="Z2287" s="1077" t="s">
        <v>648</v>
      </c>
      <c r="AA2287" s="1077" t="s">
        <v>2917</v>
      </c>
      <c r="AH2287" s="1077" t="s">
        <v>614</v>
      </c>
      <c r="AM2287" s="1078" t="s">
        <v>13526</v>
      </c>
      <c r="AN2287" s="1078" t="s">
        <v>13527</v>
      </c>
      <c r="AO2287" s="1078">
        <f t="shared" si="286"/>
        <v>650</v>
      </c>
      <c r="AP2287" s="1078">
        <f t="shared" si="287"/>
        <v>1.74</v>
      </c>
      <c r="AQ2287" s="1078" t="str">
        <f t="shared" si="288"/>
        <v>1-4-1S85°Z+S</v>
      </c>
      <c r="AR2287" s="1078" t="str">
        <f t="shared" si="289"/>
        <v>NA</v>
      </c>
      <c r="AS2287" s="1078" t="str">
        <f t="shared" si="290"/>
        <v>160/OFF</v>
      </c>
      <c r="AT2287" s="1078" t="str">
        <f t="shared" si="291"/>
        <v>1-4-1S85°Z+S</v>
      </c>
      <c r="AU2287" s="1078" t="s">
        <v>15547</v>
      </c>
      <c r="AV2287" s="1078" t="str">
        <f t="shared" si="284"/>
        <v>109.3.3</v>
      </c>
      <c r="AW2287" s="1344">
        <f t="shared" si="285"/>
        <v>43893</v>
      </c>
    </row>
    <row r="2288" spans="1:49">
      <c r="A2288" s="1077" t="s">
        <v>7178</v>
      </c>
      <c r="B2288" s="1077" t="s">
        <v>836</v>
      </c>
      <c r="C2288" s="1077">
        <v>600</v>
      </c>
      <c r="D2288" s="1077">
        <v>1.78</v>
      </c>
      <c r="E2288" s="1077" t="s">
        <v>15116</v>
      </c>
      <c r="F2288" s="1077" t="s">
        <v>6901</v>
      </c>
      <c r="G2288" s="1077">
        <v>4</v>
      </c>
      <c r="H2288" s="1077" t="s">
        <v>6902</v>
      </c>
      <c r="I2288" s="1077" t="s">
        <v>7001</v>
      </c>
      <c r="K2288" s="1077" t="s">
        <v>7179</v>
      </c>
      <c r="L2288" s="1077" t="s">
        <v>6905</v>
      </c>
      <c r="M2288" s="1077">
        <v>303.89999999999998</v>
      </c>
      <c r="N2288" s="1077" t="s">
        <v>945</v>
      </c>
      <c r="O2288" s="1077">
        <v>7.5975000000000001</v>
      </c>
      <c r="P2288" s="1077">
        <v>6.0779999999999994</v>
      </c>
      <c r="Q2288" s="1077" t="s">
        <v>1264</v>
      </c>
      <c r="R2288" s="1077">
        <v>24.5</v>
      </c>
      <c r="T2288" s="1077">
        <v>12.7</v>
      </c>
      <c r="U2288" s="1077">
        <v>2.6</v>
      </c>
      <c r="V2288" s="1077" t="s">
        <v>648</v>
      </c>
      <c r="W2288" s="1077" t="s">
        <v>2532</v>
      </c>
      <c r="X2288" s="1077">
        <v>10</v>
      </c>
      <c r="Y2288" s="1077">
        <v>1.5</v>
      </c>
      <c r="Z2288" s="1077" t="s">
        <v>648</v>
      </c>
      <c r="AA2288" s="1077" t="s">
        <v>5667</v>
      </c>
      <c r="AH2288" s="1077" t="s">
        <v>684</v>
      </c>
      <c r="AM2288" s="1078" t="s">
        <v>13528</v>
      </c>
      <c r="AN2288" s="1078" t="s">
        <v>13529</v>
      </c>
      <c r="AO2288" s="1078">
        <f t="shared" si="286"/>
        <v>600</v>
      </c>
      <c r="AP2288" s="1078">
        <f t="shared" si="287"/>
        <v>1.78</v>
      </c>
      <c r="AQ2288" s="1078" t="str">
        <f t="shared" si="288"/>
        <v>1-5-1S83°Z+S</v>
      </c>
      <c r="AR2288" s="1078" t="str">
        <f t="shared" si="289"/>
        <v>33.6</v>
      </c>
      <c r="AS2288" s="1078" t="str">
        <f t="shared" si="290"/>
        <v>310/310/190</v>
      </c>
      <c r="AT2288" s="1078" t="str">
        <f t="shared" si="291"/>
        <v>1-5-1S83°Z+S</v>
      </c>
      <c r="AU2288" s="1078" t="s">
        <v>15547</v>
      </c>
      <c r="AV2288" s="1078" t="str">
        <f t="shared" si="284"/>
        <v>109.3.2</v>
      </c>
      <c r="AW2288" s="1344">
        <f t="shared" si="285"/>
        <v>43892</v>
      </c>
    </row>
    <row r="2289" spans="1:49">
      <c r="A2289" s="1077" t="s">
        <v>7180</v>
      </c>
      <c r="B2289" s="1077" t="s">
        <v>6940</v>
      </c>
      <c r="C2289" s="1077">
        <v>450</v>
      </c>
      <c r="D2289" s="1077">
        <v>1.77</v>
      </c>
      <c r="E2289" s="1077" t="s">
        <v>15124</v>
      </c>
      <c r="F2289" s="1077" t="s">
        <v>984</v>
      </c>
      <c r="G2289" s="1077">
        <v>5</v>
      </c>
      <c r="H2289" s="1077" t="s">
        <v>7073</v>
      </c>
      <c r="I2289" s="1077" t="s">
        <v>7181</v>
      </c>
      <c r="J2289" s="1077">
        <v>1</v>
      </c>
      <c r="K2289" s="1077" t="s">
        <v>7182</v>
      </c>
      <c r="L2289" s="1077" t="s">
        <v>4952</v>
      </c>
      <c r="M2289" s="1077">
        <v>308.7</v>
      </c>
      <c r="N2289" s="1077" t="s">
        <v>945</v>
      </c>
      <c r="O2289" s="1077">
        <v>7.7175000000000002</v>
      </c>
      <c r="P2289" s="1077">
        <v>6.1739999999999995</v>
      </c>
      <c r="Q2289" s="1077" t="s">
        <v>7075</v>
      </c>
      <c r="R2289" s="1077">
        <v>25.5</v>
      </c>
      <c r="T2289" s="1077">
        <v>18</v>
      </c>
      <c r="U2289" s="1077">
        <v>5.0999999999999996</v>
      </c>
      <c r="V2289" s="1077" t="s">
        <v>648</v>
      </c>
      <c r="W2289" s="1077" t="s">
        <v>2816</v>
      </c>
      <c r="X2289" s="1077">
        <v>10</v>
      </c>
      <c r="Y2289" s="1077">
        <v>1.7</v>
      </c>
      <c r="Z2289" s="1077" t="s">
        <v>648</v>
      </c>
      <c r="AA2289" s="1077" t="s">
        <v>4708</v>
      </c>
      <c r="AH2289" s="1077" t="s">
        <v>1178</v>
      </c>
      <c r="AM2289" s="1078" t="s">
        <v>13530</v>
      </c>
      <c r="AN2289" s="1078" t="s">
        <v>13531</v>
      </c>
      <c r="AO2289" s="1078">
        <f t="shared" si="286"/>
        <v>450</v>
      </c>
      <c r="AP2289" s="1078">
        <f t="shared" si="287"/>
        <v>1.77</v>
      </c>
      <c r="AQ2289" s="1078" t="str">
        <f t="shared" si="288"/>
        <v>2-6-1S83°Z+S</v>
      </c>
      <c r="AR2289" s="1078" t="str">
        <f t="shared" si="289"/>
        <v>30</v>
      </c>
      <c r="AS2289" s="1078" t="str">
        <f t="shared" si="290"/>
        <v>152/OFF</v>
      </c>
      <c r="AT2289" s="1078" t="str">
        <f t="shared" si="291"/>
        <v>2-6-1S83°Z+S</v>
      </c>
      <c r="AU2289" s="1078" t="s">
        <v>15547</v>
      </c>
      <c r="AV2289" s="1078" t="str">
        <f t="shared" si="284"/>
        <v>109.3.5</v>
      </c>
      <c r="AW2289" s="1344">
        <f t="shared" si="285"/>
        <v>43895</v>
      </c>
    </row>
    <row r="2290" spans="1:49">
      <c r="A2290" s="1077" t="s">
        <v>7183</v>
      </c>
      <c r="B2290" s="1077" t="s">
        <v>7109</v>
      </c>
      <c r="C2290" s="1077">
        <v>600</v>
      </c>
      <c r="D2290" s="1077">
        <v>1.7450000000000001</v>
      </c>
      <c r="E2290" s="1077" t="s">
        <v>15116</v>
      </c>
      <c r="F2290" s="1077" t="s">
        <v>2234</v>
      </c>
      <c r="G2290" s="1077">
        <v>5</v>
      </c>
      <c r="H2290" s="1077" t="s">
        <v>6952</v>
      </c>
      <c r="I2290" s="1077" t="s">
        <v>7001</v>
      </c>
      <c r="K2290" s="1077" t="s">
        <v>7110</v>
      </c>
      <c r="L2290" s="1077" t="s">
        <v>7111</v>
      </c>
      <c r="M2290" s="1077">
        <v>310</v>
      </c>
      <c r="N2290" s="1077" t="s">
        <v>945</v>
      </c>
      <c r="O2290" s="1077">
        <v>7.75</v>
      </c>
      <c r="P2290" s="1077">
        <v>6.2</v>
      </c>
      <c r="Q2290" s="1077" t="s">
        <v>1059</v>
      </c>
      <c r="R2290" s="1077">
        <v>22</v>
      </c>
      <c r="T2290" s="1077">
        <v>13.5</v>
      </c>
      <c r="U2290" s="1077">
        <v>3.2</v>
      </c>
      <c r="V2290" s="1077" t="s">
        <v>648</v>
      </c>
      <c r="W2290" s="1077">
        <v>100</v>
      </c>
      <c r="X2290" s="1077">
        <v>85</v>
      </c>
      <c r="Y2290" s="1077">
        <v>1.2</v>
      </c>
      <c r="Z2290" s="1077" t="s">
        <v>648</v>
      </c>
      <c r="AA2290" s="1077" t="s">
        <v>4708</v>
      </c>
      <c r="AH2290" s="1077" t="s">
        <v>958</v>
      </c>
      <c r="AM2290" s="1078" t="s">
        <v>13532</v>
      </c>
      <c r="AN2290" s="1078" t="s">
        <v>13533</v>
      </c>
      <c r="AO2290" s="1078">
        <f t="shared" si="286"/>
        <v>600</v>
      </c>
      <c r="AP2290" s="1078">
        <f t="shared" si="287"/>
        <v>1.7450000000000001</v>
      </c>
      <c r="AQ2290" s="1078" t="str">
        <f t="shared" si="288"/>
        <v>1-5-1S83°Z+S</v>
      </c>
      <c r="AR2290" s="1078" t="str">
        <f t="shared" si="289"/>
        <v>33.5</v>
      </c>
      <c r="AS2290" s="1078" t="str">
        <f t="shared" si="290"/>
        <v>340/340/140</v>
      </c>
      <c r="AT2290" s="1078" t="str">
        <f t="shared" si="291"/>
        <v>1-5-1S83°Z+S</v>
      </c>
      <c r="AU2290" s="1078" t="s">
        <v>15547</v>
      </c>
      <c r="AV2290" s="1078" t="str">
        <f t="shared" si="284"/>
        <v>109.3.5</v>
      </c>
      <c r="AW2290" s="1344">
        <f t="shared" si="285"/>
        <v>43895</v>
      </c>
    </row>
    <row r="2291" spans="1:49">
      <c r="A2291" s="1077" t="s">
        <v>7184</v>
      </c>
      <c r="B2291" s="1077" t="s">
        <v>7091</v>
      </c>
      <c r="C2291" s="1077">
        <v>700</v>
      </c>
      <c r="D2291" s="1077">
        <v>1.76</v>
      </c>
      <c r="E2291" s="1077" t="s">
        <v>15122</v>
      </c>
      <c r="F2291" s="1077" t="s">
        <v>975</v>
      </c>
      <c r="G2291" s="1077">
        <v>5</v>
      </c>
      <c r="H2291" s="1077" t="s">
        <v>5177</v>
      </c>
      <c r="I2291" s="1077" t="s">
        <v>6896</v>
      </c>
      <c r="J2291" s="1077">
        <v>3.7</v>
      </c>
      <c r="K2291" s="1077" t="s">
        <v>7185</v>
      </c>
      <c r="L2291" s="1077" t="s">
        <v>5152</v>
      </c>
      <c r="M2291" s="1077">
        <v>290</v>
      </c>
      <c r="N2291" s="1077" t="s">
        <v>945</v>
      </c>
      <c r="O2291" s="1077">
        <v>7.25</v>
      </c>
      <c r="P2291" s="1077">
        <v>5.8</v>
      </c>
      <c r="Q2291" s="1077" t="s">
        <v>988</v>
      </c>
      <c r="R2291" s="1077">
        <v>19.5</v>
      </c>
      <c r="T2291" s="1077">
        <v>29.3</v>
      </c>
      <c r="U2291" s="1077">
        <v>3.5</v>
      </c>
      <c r="V2291" s="1077" t="s">
        <v>648</v>
      </c>
      <c r="W2291" s="1077">
        <v>95</v>
      </c>
      <c r="X2291" s="1077">
        <v>20</v>
      </c>
      <c r="Y2291" s="1077">
        <v>1.5</v>
      </c>
      <c r="Z2291" s="1077" t="s">
        <v>648</v>
      </c>
      <c r="AA2291" s="1077" t="s">
        <v>4708</v>
      </c>
      <c r="AH2291" s="1077" t="s">
        <v>1221</v>
      </c>
      <c r="AM2291" s="1078" t="s">
        <v>13534</v>
      </c>
      <c r="AN2291" s="1078" t="s">
        <v>13535</v>
      </c>
      <c r="AO2291" s="1078">
        <f t="shared" si="286"/>
        <v>700</v>
      </c>
      <c r="AP2291" s="1078">
        <f t="shared" si="287"/>
        <v>1.76</v>
      </c>
      <c r="AQ2291" s="1078" t="str">
        <f t="shared" si="288"/>
        <v>1-5-1S91°Z+S</v>
      </c>
      <c r="AR2291" s="1078" t="str">
        <f t="shared" si="289"/>
        <v>31.5</v>
      </c>
      <c r="AS2291" s="1078" t="str">
        <f t="shared" si="290"/>
        <v>365/325/OFF</v>
      </c>
      <c r="AT2291" s="1078" t="str">
        <f t="shared" si="291"/>
        <v>1-5-1S91°Z+S</v>
      </c>
      <c r="AU2291" s="1078" t="s">
        <v>15547</v>
      </c>
      <c r="AV2291" s="1078" t="str">
        <f t="shared" si="284"/>
        <v>109.3.5</v>
      </c>
      <c r="AW2291" s="1344">
        <f t="shared" si="285"/>
        <v>43895</v>
      </c>
    </row>
    <row r="2292" spans="1:49">
      <c r="A2292" s="1077" t="s">
        <v>7186</v>
      </c>
      <c r="B2292" s="1077" t="s">
        <v>6951</v>
      </c>
      <c r="C2292" s="1077">
        <v>600</v>
      </c>
      <c r="D2292" s="1077">
        <v>1.75</v>
      </c>
      <c r="E2292" s="1077" t="s">
        <v>15116</v>
      </c>
      <c r="F2292" s="1077" t="s">
        <v>2234</v>
      </c>
      <c r="G2292" s="1077">
        <v>5</v>
      </c>
      <c r="H2292" s="1077" t="s">
        <v>6952</v>
      </c>
      <c r="I2292" s="1077" t="s">
        <v>7150</v>
      </c>
      <c r="K2292" s="1077" t="s">
        <v>7187</v>
      </c>
      <c r="L2292" s="1077" t="s">
        <v>6955</v>
      </c>
      <c r="M2292" s="1077">
        <v>310</v>
      </c>
      <c r="N2292" s="1077" t="s">
        <v>945</v>
      </c>
      <c r="O2292" s="1077">
        <v>7.75</v>
      </c>
      <c r="P2292" s="1077">
        <v>6.2</v>
      </c>
      <c r="Q2292" s="1077" t="s">
        <v>2401</v>
      </c>
      <c r="R2292" s="1077">
        <v>25</v>
      </c>
      <c r="T2292" s="1077">
        <v>23</v>
      </c>
      <c r="U2292" s="1077">
        <v>3.2</v>
      </c>
      <c r="V2292" s="1077" t="s">
        <v>648</v>
      </c>
      <c r="W2292" s="1077">
        <v>115</v>
      </c>
      <c r="X2292" s="1077">
        <v>85</v>
      </c>
      <c r="Y2292" s="1077">
        <v>1.2</v>
      </c>
      <c r="Z2292" s="1077" t="s">
        <v>648</v>
      </c>
      <c r="AA2292" s="1077" t="s">
        <v>2926</v>
      </c>
      <c r="AH2292" s="1077" t="s">
        <v>1137</v>
      </c>
      <c r="AM2292" s="1078" t="s">
        <v>13536</v>
      </c>
      <c r="AN2292" s="1078" t="s">
        <v>9813</v>
      </c>
      <c r="AO2292" s="1078">
        <f t="shared" si="286"/>
        <v>600</v>
      </c>
      <c r="AP2292" s="1078">
        <f t="shared" si="287"/>
        <v>1.75</v>
      </c>
      <c r="AQ2292" s="1078" t="str">
        <f t="shared" si="288"/>
        <v>1-5-1S83°Z+S</v>
      </c>
      <c r="AR2292" s="1078" t="str">
        <f t="shared" si="289"/>
        <v>33.5</v>
      </c>
      <c r="AS2292" s="1078" t="str">
        <f t="shared" si="290"/>
        <v>340/340/140</v>
      </c>
      <c r="AT2292" s="1078" t="str">
        <f t="shared" si="291"/>
        <v>1-5-1S83°Z+S</v>
      </c>
      <c r="AU2292" s="1078" t="s">
        <v>15547</v>
      </c>
      <c r="AV2292" s="1078" t="str">
        <f t="shared" si="284"/>
        <v>109.3.16</v>
      </c>
      <c r="AW2292" s="1344">
        <f t="shared" si="285"/>
        <v>43906</v>
      </c>
    </row>
    <row r="2293" spans="1:49">
      <c r="A2293" s="1077" t="s">
        <v>7188</v>
      </c>
      <c r="B2293" s="1077" t="s">
        <v>7086</v>
      </c>
      <c r="C2293" s="1077">
        <v>600</v>
      </c>
      <c r="D2293" s="1077">
        <v>1.79</v>
      </c>
      <c r="E2293" s="1077" t="s">
        <v>15116</v>
      </c>
      <c r="F2293" s="1077" t="s">
        <v>2234</v>
      </c>
      <c r="G2293" s="1077">
        <v>5</v>
      </c>
      <c r="H2293" s="1077" t="s">
        <v>6952</v>
      </c>
      <c r="I2293" s="1077" t="s">
        <v>7087</v>
      </c>
      <c r="K2293" s="1077" t="s">
        <v>7088</v>
      </c>
      <c r="L2293" s="1077" t="s">
        <v>7089</v>
      </c>
      <c r="M2293" s="1077">
        <v>303</v>
      </c>
      <c r="N2293" s="1077" t="s">
        <v>945</v>
      </c>
      <c r="O2293" s="1077">
        <v>7.5750000000000002</v>
      </c>
      <c r="P2293" s="1077">
        <v>6.0600000000000005</v>
      </c>
      <c r="Q2293" s="1077" t="s">
        <v>2782</v>
      </c>
      <c r="R2293" s="1077">
        <v>22</v>
      </c>
      <c r="T2293" s="1077">
        <v>23</v>
      </c>
      <c r="U2293" s="1077">
        <v>3.2</v>
      </c>
      <c r="V2293" s="1077" t="s">
        <v>648</v>
      </c>
      <c r="W2293" s="1077">
        <v>115</v>
      </c>
      <c r="X2293" s="1077">
        <v>85</v>
      </c>
      <c r="Y2293" s="1077">
        <v>1.2</v>
      </c>
      <c r="Z2293" s="1077" t="s">
        <v>648</v>
      </c>
      <c r="AA2293" s="1077" t="s">
        <v>2937</v>
      </c>
      <c r="AH2293" s="1077" t="s">
        <v>884</v>
      </c>
      <c r="AM2293" s="1078" t="s">
        <v>13537</v>
      </c>
      <c r="AN2293" s="1078" t="s">
        <v>13538</v>
      </c>
      <c r="AO2293" s="1078">
        <f t="shared" si="286"/>
        <v>600</v>
      </c>
      <c r="AP2293" s="1078">
        <f t="shared" si="287"/>
        <v>1.79</v>
      </c>
      <c r="AQ2293" s="1078" t="str">
        <f t="shared" si="288"/>
        <v>1-5-1S83°Z+S</v>
      </c>
      <c r="AR2293" s="1078" t="str">
        <f t="shared" si="289"/>
        <v>33.5</v>
      </c>
      <c r="AS2293" s="1078" t="str">
        <f t="shared" si="290"/>
        <v>340/340/140</v>
      </c>
      <c r="AT2293" s="1078" t="str">
        <f t="shared" si="291"/>
        <v>1-5-1S83°Z+S</v>
      </c>
      <c r="AU2293" s="1078" t="s">
        <v>15547</v>
      </c>
      <c r="AV2293" s="1078" t="str">
        <f t="shared" si="284"/>
        <v>109.3.30</v>
      </c>
      <c r="AW2293" s="1344">
        <f t="shared" si="285"/>
        <v>43920</v>
      </c>
    </row>
    <row r="2294" spans="1:49">
      <c r="A2294" s="1077" t="s">
        <v>7189</v>
      </c>
      <c r="B2294" s="1077" t="s">
        <v>6907</v>
      </c>
      <c r="C2294" s="1077">
        <v>600</v>
      </c>
      <c r="D2294" s="1077">
        <v>1.9</v>
      </c>
      <c r="E2294" s="1077" t="s">
        <v>15116</v>
      </c>
      <c r="F2294" s="1077" t="s">
        <v>2234</v>
      </c>
      <c r="G2294" s="1077" t="s">
        <v>1767</v>
      </c>
      <c r="H2294" s="1077" t="s">
        <v>7104</v>
      </c>
      <c r="I2294" s="1077" t="s">
        <v>7105</v>
      </c>
      <c r="J2294" s="1077">
        <v>3.7</v>
      </c>
      <c r="K2294" s="1077" t="s">
        <v>7106</v>
      </c>
      <c r="L2294" s="1077" t="s">
        <v>4763</v>
      </c>
      <c r="M2294" s="1077">
        <v>297.39999999999998</v>
      </c>
      <c r="N2294" s="1077" t="s">
        <v>945</v>
      </c>
      <c r="O2294" s="1077">
        <v>7.4349999999999996</v>
      </c>
      <c r="P2294" s="1077">
        <v>5.9479999999999995</v>
      </c>
      <c r="Q2294" s="1077" t="s">
        <v>988</v>
      </c>
      <c r="R2294" s="1077">
        <v>21.3</v>
      </c>
      <c r="T2294" s="1077">
        <v>18</v>
      </c>
      <c r="U2294" s="1077">
        <v>3.1</v>
      </c>
      <c r="V2294" s="1077" t="s">
        <v>648</v>
      </c>
      <c r="W2294" s="1077">
        <v>65</v>
      </c>
      <c r="X2294" s="1077">
        <v>10</v>
      </c>
      <c r="Y2294" s="1077">
        <v>1.3</v>
      </c>
      <c r="Z2294" s="1077" t="s">
        <v>648</v>
      </c>
      <c r="AA2294" s="1077" t="s">
        <v>7190</v>
      </c>
      <c r="AH2294" s="1077" t="s">
        <v>684</v>
      </c>
      <c r="AM2294" s="1078" t="s">
        <v>13539</v>
      </c>
      <c r="AN2294" s="1078" t="s">
        <v>13540</v>
      </c>
      <c r="AO2294" s="1078">
        <f t="shared" si="286"/>
        <v>600</v>
      </c>
      <c r="AP2294" s="1078">
        <f t="shared" si="287"/>
        <v>1.9</v>
      </c>
      <c r="AQ2294" s="1078" t="str">
        <f t="shared" si="288"/>
        <v>1-5-1S83°Z+S</v>
      </c>
      <c r="AR2294" s="1078" t="str">
        <f t="shared" si="289"/>
        <v>33.5</v>
      </c>
      <c r="AS2294" s="1078" t="str">
        <f t="shared" si="290"/>
        <v>310/310/175</v>
      </c>
      <c r="AT2294" s="1078" t="str">
        <f t="shared" si="291"/>
        <v>1-5-1S83°Z+S</v>
      </c>
      <c r="AU2294" s="1078" t="s">
        <v>15547</v>
      </c>
      <c r="AV2294" s="1078" t="str">
        <f t="shared" si="284"/>
        <v>109.4.2</v>
      </c>
      <c r="AW2294" s="1344">
        <f t="shared" si="285"/>
        <v>43923</v>
      </c>
    </row>
    <row r="2295" spans="1:49">
      <c r="A2295" s="1077" t="s">
        <v>7191</v>
      </c>
      <c r="B2295" s="1077" t="s">
        <v>663</v>
      </c>
      <c r="C2295" s="1077">
        <v>650</v>
      </c>
      <c r="D2295" s="1077">
        <v>1.74</v>
      </c>
      <c r="E2295" s="1077" t="s">
        <v>15109</v>
      </c>
      <c r="F2295" s="1077" t="s">
        <v>648</v>
      </c>
      <c r="G2295" s="1077">
        <v>5.5</v>
      </c>
      <c r="H2295" s="1077" t="s">
        <v>3482</v>
      </c>
      <c r="I2295" s="1077" t="s">
        <v>7028</v>
      </c>
      <c r="K2295" s="1077" t="s">
        <v>7192</v>
      </c>
      <c r="L2295" s="1077" t="s">
        <v>4907</v>
      </c>
      <c r="M2295" s="1077">
        <v>294</v>
      </c>
      <c r="N2295" s="1077" t="s">
        <v>945</v>
      </c>
      <c r="O2295" s="1077">
        <v>7.3500000000000005</v>
      </c>
      <c r="P2295" s="1077">
        <v>5.88</v>
      </c>
      <c r="Q2295" s="1077" t="s">
        <v>2782</v>
      </c>
      <c r="R2295" s="1077">
        <v>19</v>
      </c>
      <c r="T2295" s="1077">
        <v>16.399999999999999</v>
      </c>
      <c r="U2295" s="1077">
        <v>5.4</v>
      </c>
      <c r="V2295" s="1077" t="s">
        <v>648</v>
      </c>
      <c r="W2295" s="1077" t="s">
        <v>4667</v>
      </c>
      <c r="X2295" s="1077">
        <v>20</v>
      </c>
      <c r="Y2295" s="1077">
        <v>1.4</v>
      </c>
      <c r="Z2295" s="1077" t="s">
        <v>648</v>
      </c>
      <c r="AA2295" s="1077" t="s">
        <v>4637</v>
      </c>
      <c r="AH2295" s="1077" t="s">
        <v>681</v>
      </c>
      <c r="AM2295" s="1078" t="s">
        <v>13541</v>
      </c>
      <c r="AN2295" s="1078" t="s">
        <v>13542</v>
      </c>
      <c r="AO2295" s="1078">
        <f t="shared" si="286"/>
        <v>650</v>
      </c>
      <c r="AP2295" s="1078">
        <f t="shared" si="287"/>
        <v>1.74</v>
      </c>
      <c r="AQ2295" s="1078" t="str">
        <f t="shared" si="288"/>
        <v>1-5-1S85°Z+S</v>
      </c>
      <c r="AR2295" s="1078" t="str">
        <f t="shared" si="289"/>
        <v>NA</v>
      </c>
      <c r="AS2295" s="1078" t="str">
        <f t="shared" si="290"/>
        <v>170/160</v>
      </c>
      <c r="AT2295" s="1078" t="str">
        <f t="shared" si="291"/>
        <v>1-5-1S85°Z+S</v>
      </c>
      <c r="AU2295" s="1078" t="s">
        <v>15547</v>
      </c>
      <c r="AV2295" s="1078" t="str">
        <f t="shared" si="284"/>
        <v>109.4.10</v>
      </c>
      <c r="AW2295" s="1344">
        <f t="shared" si="285"/>
        <v>43931</v>
      </c>
    </row>
    <row r="2296" spans="1:49">
      <c r="A2296" s="1077" t="s">
        <v>7193</v>
      </c>
      <c r="B2296" s="1077" t="s">
        <v>7055</v>
      </c>
      <c r="C2296" s="1077">
        <v>650</v>
      </c>
      <c r="D2296" s="1077">
        <v>1.77</v>
      </c>
      <c r="E2296" s="1077" t="s">
        <v>15104</v>
      </c>
      <c r="F2296" s="1077" t="s">
        <v>648</v>
      </c>
      <c r="G2296" s="1077">
        <v>5.5</v>
      </c>
      <c r="H2296" s="1077" t="s">
        <v>1470</v>
      </c>
      <c r="I2296" s="1077" t="s">
        <v>6903</v>
      </c>
      <c r="J2296" s="1077">
        <v>3</v>
      </c>
      <c r="K2296" s="1077" t="s">
        <v>7194</v>
      </c>
      <c r="L2296" s="1077" t="s">
        <v>6192</v>
      </c>
      <c r="M2296" s="1077">
        <v>296</v>
      </c>
      <c r="N2296" s="1077" t="s">
        <v>945</v>
      </c>
      <c r="O2296" s="1077">
        <v>7.4</v>
      </c>
      <c r="P2296" s="1077">
        <v>5.92</v>
      </c>
      <c r="Q2296" s="1077" t="s">
        <v>1012</v>
      </c>
      <c r="R2296" s="1077">
        <v>27</v>
      </c>
      <c r="T2296" s="1077">
        <v>17.5</v>
      </c>
      <c r="U2296" s="1077">
        <v>6</v>
      </c>
      <c r="V2296" s="1077" t="s">
        <v>648</v>
      </c>
      <c r="W2296" s="1077" t="s">
        <v>4947</v>
      </c>
      <c r="X2296" s="1077">
        <v>10</v>
      </c>
      <c r="Y2296" s="1077">
        <v>1.2</v>
      </c>
      <c r="Z2296" s="1077" t="s">
        <v>648</v>
      </c>
      <c r="AA2296" s="1077" t="s">
        <v>4735</v>
      </c>
      <c r="AH2296" s="1077" t="s">
        <v>1827</v>
      </c>
      <c r="AM2296" s="1078" t="s">
        <v>13543</v>
      </c>
      <c r="AN2296" s="1078" t="s">
        <v>13544</v>
      </c>
      <c r="AO2296" s="1078">
        <f t="shared" si="286"/>
        <v>650</v>
      </c>
      <c r="AP2296" s="1078">
        <f t="shared" si="287"/>
        <v>1.77</v>
      </c>
      <c r="AQ2296" s="1078" t="str">
        <f t="shared" si="288"/>
        <v>1-4-1S85°Z+S</v>
      </c>
      <c r="AR2296" s="1078" t="str">
        <f t="shared" si="289"/>
        <v>NA</v>
      </c>
      <c r="AS2296" s="1078" t="str">
        <f t="shared" si="290"/>
        <v>160/OFF</v>
      </c>
      <c r="AT2296" s="1078" t="str">
        <f t="shared" si="291"/>
        <v>1-4-1S85°Z+S</v>
      </c>
      <c r="AU2296" s="1078" t="s">
        <v>15547</v>
      </c>
      <c r="AV2296" s="1078" t="str">
        <f t="shared" si="284"/>
        <v>109.4.9</v>
      </c>
      <c r="AW2296" s="1344">
        <f t="shared" si="285"/>
        <v>43930</v>
      </c>
    </row>
    <row r="2297" spans="1:49">
      <c r="A2297" s="1077" t="s">
        <v>7195</v>
      </c>
      <c r="B2297" s="1077" t="s">
        <v>7009</v>
      </c>
      <c r="C2297" s="1077">
        <v>600</v>
      </c>
      <c r="D2297" s="1077">
        <v>1.8160000000000001</v>
      </c>
      <c r="E2297" s="1077" t="s">
        <v>15102</v>
      </c>
      <c r="F2297" s="1077" t="s">
        <v>1281</v>
      </c>
      <c r="G2297" s="1077">
        <v>5</v>
      </c>
      <c r="H2297" s="1077" t="s">
        <v>7196</v>
      </c>
      <c r="I2297" s="1077" t="s">
        <v>7105</v>
      </c>
      <c r="K2297" s="1077" t="s">
        <v>7197</v>
      </c>
      <c r="L2297" s="1077" t="s">
        <v>4924</v>
      </c>
      <c r="M2297" s="1077">
        <v>290.39999999999998</v>
      </c>
      <c r="N2297" s="1077" t="s">
        <v>945</v>
      </c>
      <c r="O2297" s="1077">
        <v>7.26</v>
      </c>
      <c r="P2297" s="1077">
        <v>5.8079999999999998</v>
      </c>
      <c r="Q2297" s="1077" t="s">
        <v>2950</v>
      </c>
      <c r="R2297" s="1077">
        <v>17.5</v>
      </c>
      <c r="T2297" s="1077">
        <v>32.200000000000003</v>
      </c>
      <c r="U2297" s="1077">
        <v>3.3</v>
      </c>
      <c r="V2297" s="1077" t="s">
        <v>648</v>
      </c>
      <c r="W2297" s="1077" t="s">
        <v>4947</v>
      </c>
      <c r="X2297" s="1077">
        <v>10</v>
      </c>
      <c r="Y2297" s="1077">
        <v>1.5</v>
      </c>
      <c r="Z2297" s="1077" t="s">
        <v>648</v>
      </c>
      <c r="AA2297" s="1077" t="s">
        <v>7198</v>
      </c>
      <c r="AH2297" s="1077" t="s">
        <v>722</v>
      </c>
      <c r="AM2297" s="1078" t="s">
        <v>13545</v>
      </c>
      <c r="AN2297" s="1078" t="s">
        <v>13546</v>
      </c>
      <c r="AO2297" s="1078">
        <f t="shared" si="286"/>
        <v>600</v>
      </c>
      <c r="AP2297" s="1078">
        <f t="shared" si="287"/>
        <v>1.8160000000000001</v>
      </c>
      <c r="AQ2297" s="1078" t="str">
        <f t="shared" si="288"/>
        <v>2-6-1S83°</v>
      </c>
      <c r="AR2297" s="1078" t="str">
        <f t="shared" si="289"/>
        <v>31.8</v>
      </c>
      <c r="AS2297" s="1078" t="str">
        <f t="shared" si="290"/>
        <v>193/175</v>
      </c>
      <c r="AT2297" s="1078" t="str">
        <f t="shared" si="291"/>
        <v>2-6-1S83°</v>
      </c>
      <c r="AV2297" s="1078" t="str">
        <f t="shared" si="284"/>
        <v>109.4.13</v>
      </c>
      <c r="AW2297" s="1344">
        <f t="shared" si="285"/>
        <v>43934</v>
      </c>
    </row>
    <row r="2298" spans="1:49">
      <c r="A2298" s="1077" t="s">
        <v>7199</v>
      </c>
      <c r="B2298" s="1077" t="s">
        <v>7142</v>
      </c>
      <c r="C2298" s="1077">
        <v>600</v>
      </c>
      <c r="D2298" s="1077">
        <v>1.78</v>
      </c>
      <c r="E2298" s="1077" t="s">
        <v>15116</v>
      </c>
      <c r="F2298" s="1077" t="s">
        <v>2167</v>
      </c>
      <c r="G2298" s="1077">
        <v>4</v>
      </c>
      <c r="H2298" s="1077" t="s">
        <v>7143</v>
      </c>
      <c r="I2298" s="1077" t="s">
        <v>7144</v>
      </c>
      <c r="K2298" s="1077" t="s">
        <v>7145</v>
      </c>
      <c r="L2298" s="1077" t="s">
        <v>7146</v>
      </c>
      <c r="M2298" s="1077">
        <v>305</v>
      </c>
      <c r="N2298" s="1077" t="s">
        <v>945</v>
      </c>
      <c r="O2298" s="1077">
        <v>7.625</v>
      </c>
      <c r="P2298" s="1077">
        <v>6.1000000000000005</v>
      </c>
      <c r="Q2298" s="1077" t="s">
        <v>2401</v>
      </c>
      <c r="R2298" s="1077">
        <v>24</v>
      </c>
      <c r="T2298" s="1077">
        <v>32</v>
      </c>
      <c r="U2298" s="1077">
        <v>2.2999999999999998</v>
      </c>
      <c r="V2298" s="1077" t="s">
        <v>648</v>
      </c>
      <c r="W2298" s="1077" t="s">
        <v>648</v>
      </c>
      <c r="X2298" s="1077" t="s">
        <v>648</v>
      </c>
      <c r="Y2298" s="1077">
        <v>1.6</v>
      </c>
      <c r="Z2298" s="1077" t="s">
        <v>648</v>
      </c>
      <c r="AA2298" s="1077" t="s">
        <v>7200</v>
      </c>
      <c r="AH2298" s="1077" t="s">
        <v>722</v>
      </c>
      <c r="AM2298" s="1078" t="s">
        <v>13547</v>
      </c>
      <c r="AN2298" s="1078" t="s">
        <v>13548</v>
      </c>
      <c r="AO2298" s="1078">
        <f t="shared" si="286"/>
        <v>600</v>
      </c>
      <c r="AP2298" s="1078">
        <f t="shared" si="287"/>
        <v>1.78</v>
      </c>
      <c r="AQ2298" s="1078" t="str">
        <f t="shared" si="288"/>
        <v>1-5-1S83°Z+S</v>
      </c>
      <c r="AR2298" s="1078" t="str">
        <f t="shared" si="289"/>
        <v>33</v>
      </c>
      <c r="AS2298" s="1078" t="str">
        <f t="shared" si="290"/>
        <v>360/360/150</v>
      </c>
      <c r="AT2298" s="1078" t="str">
        <f t="shared" si="291"/>
        <v>1-5-1S83°Z+S</v>
      </c>
      <c r="AU2298" s="1078" t="s">
        <v>15547</v>
      </c>
      <c r="AV2298" s="1078" t="str">
        <f t="shared" si="284"/>
        <v>109.4.14</v>
      </c>
      <c r="AW2298" s="1344">
        <f t="shared" si="285"/>
        <v>43935</v>
      </c>
    </row>
    <row r="2299" spans="1:49">
      <c r="A2299" s="1077" t="s">
        <v>7201</v>
      </c>
      <c r="B2299" s="1077" t="s">
        <v>714</v>
      </c>
      <c r="C2299" s="1077">
        <v>700</v>
      </c>
      <c r="D2299" s="1077">
        <v>1.7669999999999999</v>
      </c>
      <c r="E2299" s="1077" t="s">
        <v>15104</v>
      </c>
      <c r="F2299" s="1077" t="s">
        <v>648</v>
      </c>
      <c r="G2299" s="1077" t="s">
        <v>6865</v>
      </c>
      <c r="H2299" s="1077" t="s">
        <v>6877</v>
      </c>
      <c r="I2299" s="1077" t="s">
        <v>6878</v>
      </c>
      <c r="J2299" s="1077">
        <v>3.7</v>
      </c>
      <c r="K2299" s="1077" t="s">
        <v>7202</v>
      </c>
      <c r="L2299" s="1077" t="s">
        <v>4666</v>
      </c>
      <c r="M2299" s="1077">
        <v>295.10000000000002</v>
      </c>
      <c r="N2299" s="1077" t="s">
        <v>945</v>
      </c>
      <c r="O2299" s="1077">
        <v>7.3775000000000013</v>
      </c>
      <c r="P2299" s="1077">
        <v>5.9020000000000001</v>
      </c>
      <c r="Q2299" s="1077" t="s">
        <v>956</v>
      </c>
      <c r="R2299" s="1077">
        <v>17.399999999999999</v>
      </c>
      <c r="T2299" s="1077">
        <v>31</v>
      </c>
      <c r="U2299" s="1077">
        <v>3.5</v>
      </c>
      <c r="V2299" s="1077" t="s">
        <v>648</v>
      </c>
      <c r="W2299" s="1077" t="s">
        <v>6880</v>
      </c>
      <c r="X2299" s="1077">
        <v>40</v>
      </c>
      <c r="Y2299" s="1077">
        <v>1</v>
      </c>
      <c r="Z2299" s="1077" t="s">
        <v>648</v>
      </c>
      <c r="AA2299" s="1077" t="s">
        <v>7198</v>
      </c>
      <c r="AH2299" s="1077" t="s">
        <v>614</v>
      </c>
      <c r="AM2299" s="1078" t="s">
        <v>13549</v>
      </c>
      <c r="AN2299" s="1078" t="s">
        <v>13550</v>
      </c>
      <c r="AO2299" s="1078">
        <f t="shared" si="286"/>
        <v>700</v>
      </c>
      <c r="AP2299" s="1078">
        <f t="shared" si="287"/>
        <v>1.7669999999999999</v>
      </c>
      <c r="AQ2299" s="1078" t="str">
        <f t="shared" si="288"/>
        <v>1-4-1S85°Z+S</v>
      </c>
      <c r="AR2299" s="1078" t="str">
        <f t="shared" si="289"/>
        <v>NA</v>
      </c>
      <c r="AS2299" s="1078" t="str">
        <f t="shared" si="290"/>
        <v>200/OFF</v>
      </c>
      <c r="AT2299" s="1078" t="str">
        <f t="shared" si="291"/>
        <v>1-4-1S85°Z+S</v>
      </c>
      <c r="AU2299" s="1078" t="s">
        <v>15547</v>
      </c>
      <c r="AV2299" s="1078" t="str">
        <f t="shared" si="284"/>
        <v>109.4.13</v>
      </c>
      <c r="AW2299" s="1344">
        <f t="shared" si="285"/>
        <v>43934</v>
      </c>
    </row>
    <row r="2300" spans="1:49">
      <c r="A2300" s="1077" t="s">
        <v>7203</v>
      </c>
      <c r="B2300" s="1077" t="s">
        <v>7055</v>
      </c>
      <c r="C2300" s="1077">
        <v>650</v>
      </c>
      <c r="D2300" s="1077">
        <v>1.74</v>
      </c>
      <c r="E2300" s="1077" t="s">
        <v>15104</v>
      </c>
      <c r="F2300" s="1077" t="s">
        <v>648</v>
      </c>
      <c r="G2300" s="1077">
        <v>5.5</v>
      </c>
      <c r="H2300" s="1077" t="s">
        <v>1470</v>
      </c>
      <c r="I2300" s="1077" t="s">
        <v>7001</v>
      </c>
      <c r="J2300" s="1077">
        <v>3</v>
      </c>
      <c r="K2300" s="1077" t="s">
        <v>7098</v>
      </c>
      <c r="L2300" s="1077" t="s">
        <v>4946</v>
      </c>
      <c r="M2300" s="1077">
        <v>296</v>
      </c>
      <c r="N2300" s="1077" t="s">
        <v>945</v>
      </c>
      <c r="O2300" s="1077">
        <v>7.4</v>
      </c>
      <c r="P2300" s="1077">
        <v>5.92</v>
      </c>
      <c r="Q2300" s="1077" t="s">
        <v>1369</v>
      </c>
      <c r="R2300" s="1077">
        <v>27</v>
      </c>
      <c r="T2300" s="1077">
        <v>17.5</v>
      </c>
      <c r="U2300" s="1077">
        <v>6</v>
      </c>
      <c r="V2300" s="1077" t="s">
        <v>648</v>
      </c>
      <c r="W2300" s="1077" t="s">
        <v>4947</v>
      </c>
      <c r="X2300" s="1077">
        <v>10</v>
      </c>
      <c r="Y2300" s="1077">
        <v>1.2</v>
      </c>
      <c r="Z2300" s="1077" t="s">
        <v>648</v>
      </c>
      <c r="AA2300" s="1077" t="s">
        <v>6354</v>
      </c>
      <c r="AH2300" s="1077" t="s">
        <v>1417</v>
      </c>
      <c r="AM2300" s="1078" t="s">
        <v>13551</v>
      </c>
      <c r="AN2300" s="1078" t="s">
        <v>13552</v>
      </c>
      <c r="AO2300" s="1078">
        <f t="shared" si="286"/>
        <v>650</v>
      </c>
      <c r="AP2300" s="1078">
        <f t="shared" si="287"/>
        <v>1.74</v>
      </c>
      <c r="AQ2300" s="1078" t="str">
        <f t="shared" si="288"/>
        <v>1-4-1S85°Z+S</v>
      </c>
      <c r="AR2300" s="1078" t="str">
        <f t="shared" si="289"/>
        <v>NA</v>
      </c>
      <c r="AS2300" s="1078" t="str">
        <f t="shared" si="290"/>
        <v>160/OFF</v>
      </c>
      <c r="AT2300" s="1078" t="str">
        <f t="shared" si="291"/>
        <v>1-4-1S85°Z+S</v>
      </c>
      <c r="AU2300" s="1078" t="s">
        <v>15547</v>
      </c>
      <c r="AV2300" s="1078" t="str">
        <f t="shared" si="284"/>
        <v>109.4.16</v>
      </c>
      <c r="AW2300" s="1344">
        <f t="shared" si="285"/>
        <v>43937</v>
      </c>
    </row>
    <row r="2301" spans="1:49">
      <c r="A2301" s="1077" t="s">
        <v>7204</v>
      </c>
      <c r="B2301" s="1077" t="s">
        <v>7205</v>
      </c>
      <c r="C2301" s="1077">
        <v>700</v>
      </c>
      <c r="D2301" s="1077">
        <v>1.74</v>
      </c>
      <c r="E2301" s="1077" t="s">
        <v>15104</v>
      </c>
      <c r="F2301" s="1077" t="s">
        <v>648</v>
      </c>
      <c r="G2301" s="1077">
        <v>5</v>
      </c>
      <c r="H2301" s="1077" t="s">
        <v>7206</v>
      </c>
      <c r="I2301" s="1077" t="s">
        <v>7161</v>
      </c>
      <c r="J2301" s="1077">
        <v>3</v>
      </c>
      <c r="K2301" s="1077" t="s">
        <v>7207</v>
      </c>
      <c r="L2301" s="1077" t="s">
        <v>7208</v>
      </c>
      <c r="M2301" s="1077">
        <v>293.3</v>
      </c>
      <c r="N2301" s="1077" t="s">
        <v>945</v>
      </c>
      <c r="O2301" s="1077">
        <v>7.3325000000000005</v>
      </c>
      <c r="P2301" s="1077">
        <v>5.8660000000000005</v>
      </c>
      <c r="Q2301" s="1077" t="s">
        <v>946</v>
      </c>
      <c r="R2301" s="1077">
        <v>19</v>
      </c>
      <c r="T2301" s="1077">
        <v>27</v>
      </c>
      <c r="U2301" s="1077">
        <v>3.5</v>
      </c>
      <c r="V2301" s="1077" t="s">
        <v>648</v>
      </c>
      <c r="W2301" s="1077">
        <v>135</v>
      </c>
      <c r="X2301" s="1077">
        <v>90</v>
      </c>
      <c r="Y2301" s="1077">
        <v>1.4</v>
      </c>
      <c r="Z2301" s="1077" t="s">
        <v>648</v>
      </c>
      <c r="AA2301" s="1077" t="s">
        <v>7209</v>
      </c>
      <c r="AH2301" s="1077" t="s">
        <v>831</v>
      </c>
      <c r="AM2301" s="1078" t="s">
        <v>13553</v>
      </c>
      <c r="AN2301" s="1078" t="s">
        <v>13554</v>
      </c>
      <c r="AO2301" s="1078">
        <f t="shared" si="286"/>
        <v>700</v>
      </c>
      <c r="AP2301" s="1078">
        <f t="shared" si="287"/>
        <v>1.74</v>
      </c>
      <c r="AQ2301" s="1078" t="str">
        <f t="shared" si="288"/>
        <v>1-4-1S85°Z+S</v>
      </c>
      <c r="AR2301" s="1078" t="str">
        <f t="shared" si="289"/>
        <v>NA</v>
      </c>
      <c r="AS2301" s="1078" t="str">
        <f t="shared" si="290"/>
        <v>197/OFF</v>
      </c>
      <c r="AT2301" s="1078" t="str">
        <f t="shared" si="291"/>
        <v>1-4-1S85°Z+S</v>
      </c>
      <c r="AU2301" s="1078" t="s">
        <v>15547</v>
      </c>
      <c r="AV2301" s="1078" t="str">
        <f t="shared" si="284"/>
        <v>109.4.27</v>
      </c>
      <c r="AW2301" s="1344">
        <f t="shared" si="285"/>
        <v>43948</v>
      </c>
    </row>
    <row r="2302" spans="1:49">
      <c r="A2302" s="1077" t="s">
        <v>7210</v>
      </c>
      <c r="B2302" s="1077" t="s">
        <v>7026</v>
      </c>
      <c r="C2302" s="1077">
        <v>550</v>
      </c>
      <c r="D2302" s="1077">
        <v>1.7849999999999999</v>
      </c>
      <c r="E2302" s="1077" t="s">
        <v>15124</v>
      </c>
      <c r="F2302" s="1077" t="s">
        <v>984</v>
      </c>
      <c r="G2302" s="1077">
        <v>5</v>
      </c>
      <c r="H2302" s="1077" t="s">
        <v>7211</v>
      </c>
      <c r="I2302" s="1077" t="s">
        <v>6988</v>
      </c>
      <c r="J2302" s="1077">
        <v>3.7</v>
      </c>
      <c r="K2302" s="1077" t="s">
        <v>7212</v>
      </c>
      <c r="L2302" s="1077" t="s">
        <v>4979</v>
      </c>
      <c r="M2302" s="1077">
        <v>293</v>
      </c>
      <c r="N2302" s="1077" t="s">
        <v>945</v>
      </c>
      <c r="O2302" s="1077">
        <v>7.3250000000000002</v>
      </c>
      <c r="P2302" s="1077">
        <v>5.86</v>
      </c>
      <c r="Q2302" s="1077" t="s">
        <v>2553</v>
      </c>
      <c r="R2302" s="1077">
        <v>17.8</v>
      </c>
      <c r="T2302" s="1077">
        <v>26.8</v>
      </c>
      <c r="U2302" s="1077">
        <v>3.2</v>
      </c>
      <c r="V2302" s="1077" t="s">
        <v>648</v>
      </c>
      <c r="W2302" s="1077">
        <v>80</v>
      </c>
      <c r="X2302" s="1077">
        <v>10</v>
      </c>
      <c r="Y2302" s="1077">
        <v>1.6</v>
      </c>
      <c r="Z2302" s="1077" t="s">
        <v>648</v>
      </c>
      <c r="AA2302" s="1077" t="s">
        <v>2958</v>
      </c>
      <c r="AH2302" s="1077" t="s">
        <v>853</v>
      </c>
      <c r="AM2302" s="1078" t="s">
        <v>13555</v>
      </c>
      <c r="AN2302" s="1078" t="s">
        <v>13556</v>
      </c>
      <c r="AO2302" s="1078">
        <f t="shared" si="286"/>
        <v>550</v>
      </c>
      <c r="AP2302" s="1078">
        <f t="shared" si="287"/>
        <v>1.7849999999999999</v>
      </c>
      <c r="AQ2302" s="1078" t="str">
        <f t="shared" si="288"/>
        <v>2-6-1S83°Z+S</v>
      </c>
      <c r="AR2302" s="1078" t="str">
        <f t="shared" si="289"/>
        <v>30</v>
      </c>
      <c r="AS2302" s="1078" t="str">
        <f t="shared" si="290"/>
        <v>187/185</v>
      </c>
      <c r="AT2302" s="1078" t="str">
        <f t="shared" si="291"/>
        <v>2-6-1S83°Z+S</v>
      </c>
      <c r="AU2302" s="1078" t="s">
        <v>15547</v>
      </c>
      <c r="AV2302" s="1078" t="str">
        <f t="shared" si="284"/>
        <v>109.4.20</v>
      </c>
      <c r="AW2302" s="1344">
        <f t="shared" si="285"/>
        <v>43941</v>
      </c>
    </row>
    <row r="2303" spans="1:49">
      <c r="A2303" s="1077" t="s">
        <v>7213</v>
      </c>
      <c r="B2303" s="1077" t="s">
        <v>7214</v>
      </c>
      <c r="C2303" s="1077">
        <v>600</v>
      </c>
      <c r="D2303" s="1077">
        <v>1.74</v>
      </c>
      <c r="E2303" s="1077" t="s">
        <v>15104</v>
      </c>
      <c r="F2303" s="1077" t="s">
        <v>648</v>
      </c>
      <c r="G2303" s="1077">
        <v>5</v>
      </c>
      <c r="H2303" s="1077" t="s">
        <v>2941</v>
      </c>
      <c r="I2303" s="1077" t="s">
        <v>7215</v>
      </c>
      <c r="J2303" s="1077">
        <v>3</v>
      </c>
      <c r="K2303" s="1077" t="s">
        <v>7216</v>
      </c>
      <c r="L2303" s="1077" t="s">
        <v>6043</v>
      </c>
      <c r="M2303" s="1077">
        <v>308</v>
      </c>
      <c r="N2303" s="1077" t="s">
        <v>945</v>
      </c>
      <c r="O2303" s="1077">
        <v>7.7</v>
      </c>
      <c r="P2303" s="1077">
        <v>6.16</v>
      </c>
      <c r="Q2303" s="1077" t="s">
        <v>946</v>
      </c>
      <c r="R2303" s="1077">
        <v>19</v>
      </c>
      <c r="T2303" s="1077">
        <v>27</v>
      </c>
      <c r="U2303" s="1077">
        <v>3.5</v>
      </c>
      <c r="V2303" s="1077" t="s">
        <v>648</v>
      </c>
      <c r="W2303" s="1077">
        <v>135</v>
      </c>
      <c r="X2303" s="1077">
        <v>90</v>
      </c>
      <c r="Y2303" s="1077">
        <v>1.4</v>
      </c>
      <c r="Z2303" s="1077" t="s">
        <v>648</v>
      </c>
      <c r="AA2303" s="1077" t="s">
        <v>7217</v>
      </c>
      <c r="AH2303" s="1077" t="s">
        <v>681</v>
      </c>
      <c r="AM2303" s="1078" t="s">
        <v>13557</v>
      </c>
      <c r="AN2303" s="1078" t="s">
        <v>13558</v>
      </c>
      <c r="AO2303" s="1078">
        <f t="shared" si="286"/>
        <v>600</v>
      </c>
      <c r="AP2303" s="1078">
        <f t="shared" si="287"/>
        <v>1.74</v>
      </c>
      <c r="AQ2303" s="1078" t="str">
        <f t="shared" si="288"/>
        <v>1-4-1S85°Z+S</v>
      </c>
      <c r="AR2303" s="1078" t="str">
        <f t="shared" si="289"/>
        <v>NA</v>
      </c>
      <c r="AS2303" s="1078" t="str">
        <f t="shared" si="290"/>
        <v>190/OFF</v>
      </c>
      <c r="AT2303" s="1078" t="str">
        <f t="shared" si="291"/>
        <v>1-4-1S85°Z+S</v>
      </c>
      <c r="AU2303" s="1078" t="s">
        <v>15547</v>
      </c>
      <c r="AV2303" s="1078" t="str">
        <f t="shared" si="284"/>
        <v>109.4.22</v>
      </c>
      <c r="AW2303" s="1344">
        <f t="shared" si="285"/>
        <v>43943</v>
      </c>
    </row>
    <row r="2304" spans="1:49">
      <c r="A2304" s="1077" t="s">
        <v>7218</v>
      </c>
      <c r="B2304" s="1077" t="s">
        <v>7068</v>
      </c>
      <c r="C2304" s="1077">
        <v>450</v>
      </c>
      <c r="D2304" s="1077">
        <v>1.78</v>
      </c>
      <c r="E2304" s="1077" t="s">
        <v>15126</v>
      </c>
      <c r="F2304" s="1077" t="s">
        <v>1773</v>
      </c>
      <c r="G2304" s="1077">
        <v>5</v>
      </c>
      <c r="H2304" s="1077" t="s">
        <v>7136</v>
      </c>
      <c r="I2304" s="1077" t="s">
        <v>7137</v>
      </c>
      <c r="K2304" s="1077" t="s">
        <v>7219</v>
      </c>
      <c r="L2304" s="1077" t="s">
        <v>5037</v>
      </c>
      <c r="M2304" s="1077">
        <v>296.2</v>
      </c>
      <c r="N2304" s="1077" t="s">
        <v>945</v>
      </c>
      <c r="O2304" s="1077">
        <v>7.4050000000000002</v>
      </c>
      <c r="P2304" s="1077">
        <v>5.9239999999999995</v>
      </c>
      <c r="Q2304" s="1077" t="s">
        <v>2553</v>
      </c>
      <c r="R2304" s="1077">
        <v>20.100000000000001</v>
      </c>
      <c r="T2304" s="1077">
        <v>20.399999999999999</v>
      </c>
      <c r="U2304" s="1077">
        <v>4</v>
      </c>
      <c r="V2304" s="1077" t="s">
        <v>648</v>
      </c>
      <c r="W2304" s="1077">
        <v>125</v>
      </c>
      <c r="X2304" s="1077">
        <v>40</v>
      </c>
      <c r="Y2304" s="1077">
        <v>1.6</v>
      </c>
      <c r="Z2304" s="1077" t="s">
        <v>7220</v>
      </c>
      <c r="AA2304" s="1077" t="s">
        <v>4782</v>
      </c>
      <c r="AH2304" s="1077" t="s">
        <v>646</v>
      </c>
      <c r="AM2304" s="1078" t="s">
        <v>13559</v>
      </c>
      <c r="AN2304" s="1078" t="s">
        <v>13560</v>
      </c>
      <c r="AO2304" s="1078">
        <f t="shared" si="286"/>
        <v>450</v>
      </c>
      <c r="AP2304" s="1078">
        <f t="shared" si="287"/>
        <v>1.78</v>
      </c>
      <c r="AQ2304" s="1078" t="str">
        <f t="shared" si="288"/>
        <v>1-5-1S91°Z+Z</v>
      </c>
      <c r="AR2304" s="1078" t="str">
        <f t="shared" si="289"/>
        <v>30.2</v>
      </c>
      <c r="AS2304" s="1078" t="str">
        <f t="shared" si="290"/>
        <v>173/160</v>
      </c>
      <c r="AT2304" s="1078" t="str">
        <f t="shared" si="291"/>
        <v>1-5-1S91°Z+Z</v>
      </c>
      <c r="AU2304" s="1078" t="s">
        <v>15551</v>
      </c>
      <c r="AV2304" s="1078" t="str">
        <f t="shared" si="284"/>
        <v>109.5.19</v>
      </c>
      <c r="AW2304" s="1344">
        <f t="shared" si="285"/>
        <v>43970</v>
      </c>
    </row>
    <row r="2305" spans="1:49">
      <c r="A2305" s="1077" t="s">
        <v>7221</v>
      </c>
      <c r="B2305" s="1077" t="s">
        <v>7032</v>
      </c>
      <c r="C2305" s="1077">
        <v>600</v>
      </c>
      <c r="D2305" s="1077">
        <v>1.72</v>
      </c>
      <c r="E2305" s="1077" t="s">
        <v>15116</v>
      </c>
      <c r="F2305" s="1077" t="s">
        <v>2234</v>
      </c>
      <c r="G2305" s="1077">
        <v>3.5</v>
      </c>
      <c r="H2305" s="1077" t="s">
        <v>6952</v>
      </c>
      <c r="I2305" s="1077" t="s">
        <v>6918</v>
      </c>
      <c r="K2305" s="1077" t="s">
        <v>7033</v>
      </c>
      <c r="L2305" s="1077" t="s">
        <v>7034</v>
      </c>
      <c r="M2305" s="1077">
        <v>310</v>
      </c>
      <c r="N2305" s="1077" t="s">
        <v>945</v>
      </c>
      <c r="O2305" s="1077">
        <v>7.75</v>
      </c>
      <c r="P2305" s="1077">
        <v>6.2</v>
      </c>
      <c r="Q2305" s="1077" t="s">
        <v>2422</v>
      </c>
      <c r="R2305" s="1077">
        <v>22</v>
      </c>
      <c r="T2305" s="1077">
        <v>13.5</v>
      </c>
      <c r="U2305" s="1077">
        <v>3.2</v>
      </c>
      <c r="V2305" s="1077" t="s">
        <v>648</v>
      </c>
      <c r="W2305" s="1077">
        <v>100</v>
      </c>
      <c r="X2305" s="1077">
        <v>85</v>
      </c>
      <c r="Y2305" s="1077">
        <v>1.2</v>
      </c>
      <c r="Z2305" s="1077" t="s">
        <v>648</v>
      </c>
      <c r="AA2305" s="1077" t="s">
        <v>2966</v>
      </c>
      <c r="AH2305" s="1077" t="s">
        <v>994</v>
      </c>
      <c r="AM2305" s="1078" t="s">
        <v>13561</v>
      </c>
      <c r="AN2305" s="1078" t="s">
        <v>13562</v>
      </c>
      <c r="AO2305" s="1078">
        <f t="shared" si="286"/>
        <v>600</v>
      </c>
      <c r="AP2305" s="1078">
        <f t="shared" si="287"/>
        <v>1.72</v>
      </c>
      <c r="AQ2305" s="1078" t="str">
        <f t="shared" si="288"/>
        <v>1-5-1S83°Z+S</v>
      </c>
      <c r="AR2305" s="1078" t="str">
        <f t="shared" si="289"/>
        <v>33.5</v>
      </c>
      <c r="AS2305" s="1078" t="str">
        <f t="shared" si="290"/>
        <v>340/340/140</v>
      </c>
      <c r="AT2305" s="1078" t="str">
        <f t="shared" si="291"/>
        <v>1-5-1S83°Z+S</v>
      </c>
      <c r="AU2305" s="1078" t="s">
        <v>15547</v>
      </c>
      <c r="AV2305" s="1078" t="str">
        <f t="shared" si="284"/>
        <v>109.5.8</v>
      </c>
      <c r="AW2305" s="1344">
        <f t="shared" si="285"/>
        <v>43959</v>
      </c>
    </row>
    <row r="2306" spans="1:49">
      <c r="A2306" s="1077" t="s">
        <v>7222</v>
      </c>
      <c r="B2306" s="1077" t="s">
        <v>717</v>
      </c>
      <c r="C2306" s="1077">
        <v>600</v>
      </c>
      <c r="D2306" s="1077">
        <v>1.8049999999999999</v>
      </c>
      <c r="E2306" s="1077" t="s">
        <v>15116</v>
      </c>
      <c r="F2306" s="1077" t="s">
        <v>2234</v>
      </c>
      <c r="G2306" s="1077" t="s">
        <v>7223</v>
      </c>
      <c r="H2306" s="1077" t="s">
        <v>6902</v>
      </c>
      <c r="I2306" s="1077" t="s">
        <v>6918</v>
      </c>
      <c r="K2306" s="1077" t="s">
        <v>7224</v>
      </c>
      <c r="L2306" s="1077" t="s">
        <v>6920</v>
      </c>
      <c r="M2306" s="1077">
        <v>303.5</v>
      </c>
      <c r="N2306" s="1077" t="s">
        <v>945</v>
      </c>
      <c r="O2306" s="1077">
        <v>7.5875000000000004</v>
      </c>
      <c r="P2306" s="1077">
        <v>6.07</v>
      </c>
      <c r="Q2306" s="1077" t="s">
        <v>2950</v>
      </c>
      <c r="R2306" s="1077">
        <v>27.9</v>
      </c>
      <c r="T2306" s="1077">
        <v>13.5</v>
      </c>
      <c r="U2306" s="1077">
        <v>2.5</v>
      </c>
      <c r="V2306" s="1077" t="s">
        <v>648</v>
      </c>
      <c r="W2306" s="1077" t="s">
        <v>4947</v>
      </c>
      <c r="X2306" s="1077">
        <v>10</v>
      </c>
      <c r="Y2306" s="1077">
        <v>1.6</v>
      </c>
      <c r="Z2306" s="1077" t="s">
        <v>648</v>
      </c>
      <c r="AA2306" s="1077" t="s">
        <v>1070</v>
      </c>
      <c r="AH2306" s="1077" t="s">
        <v>3213</v>
      </c>
      <c r="AM2306" s="1078" t="s">
        <v>13563</v>
      </c>
      <c r="AN2306" s="1078" t="s">
        <v>13564</v>
      </c>
      <c r="AO2306" s="1078">
        <f t="shared" si="286"/>
        <v>600</v>
      </c>
      <c r="AP2306" s="1078">
        <f t="shared" si="287"/>
        <v>1.8049999999999999</v>
      </c>
      <c r="AQ2306" s="1078" t="str">
        <f t="shared" si="288"/>
        <v>1-5-1S83°Z+S</v>
      </c>
      <c r="AR2306" s="1078" t="str">
        <f t="shared" si="289"/>
        <v>33.5</v>
      </c>
      <c r="AS2306" s="1078" t="str">
        <f t="shared" si="290"/>
        <v>310/310/190</v>
      </c>
      <c r="AT2306" s="1078" t="str">
        <f t="shared" si="291"/>
        <v>1-5-1S83°Z+S</v>
      </c>
      <c r="AU2306" s="1078" t="s">
        <v>15547</v>
      </c>
      <c r="AV2306" s="1078" t="str">
        <f t="shared" ref="AV2306:AV2369" si="292">AA2306</f>
        <v>109.5.18</v>
      </c>
      <c r="AW2306" s="1344">
        <f t="shared" si="285"/>
        <v>43969</v>
      </c>
    </row>
    <row r="2307" spans="1:49">
      <c r="A2307" s="1077" t="s">
        <v>7094</v>
      </c>
      <c r="B2307" s="1077" t="s">
        <v>7091</v>
      </c>
      <c r="C2307" s="1077">
        <v>600</v>
      </c>
      <c r="D2307" s="1077">
        <v>1.82</v>
      </c>
      <c r="E2307" s="1077" t="s">
        <v>15122</v>
      </c>
      <c r="F2307" s="1077" t="s">
        <v>2234</v>
      </c>
      <c r="G2307" s="1077">
        <v>5</v>
      </c>
      <c r="H2307" s="1077" t="s">
        <v>7092</v>
      </c>
      <c r="I2307" s="1077" t="s">
        <v>7095</v>
      </c>
      <c r="K2307" s="1077" t="s">
        <v>7096</v>
      </c>
      <c r="L2307" s="1077" t="s">
        <v>5152</v>
      </c>
      <c r="M2307" s="1077">
        <v>290</v>
      </c>
      <c r="N2307" s="1077" t="s">
        <v>945</v>
      </c>
      <c r="O2307" s="1077">
        <v>7.25</v>
      </c>
      <c r="P2307" s="1077">
        <v>5.8</v>
      </c>
      <c r="Q2307" s="1077" t="s">
        <v>961</v>
      </c>
      <c r="R2307" s="1077">
        <v>19.5</v>
      </c>
      <c r="T2307" s="1077">
        <v>29.3</v>
      </c>
      <c r="U2307" s="1077">
        <v>3.5</v>
      </c>
      <c r="V2307" s="1077" t="s">
        <v>648</v>
      </c>
      <c r="W2307" s="1077">
        <v>95</v>
      </c>
      <c r="X2307" s="1077">
        <v>20</v>
      </c>
      <c r="Y2307" s="1077">
        <v>1.5</v>
      </c>
      <c r="Z2307" s="1077" t="s">
        <v>648</v>
      </c>
      <c r="AA2307" s="1077" t="s">
        <v>4866</v>
      </c>
      <c r="AH2307" s="1077" t="s">
        <v>1796</v>
      </c>
      <c r="AM2307" s="1078" t="s">
        <v>13472</v>
      </c>
      <c r="AN2307" s="1078" t="s">
        <v>13473</v>
      </c>
      <c r="AO2307" s="1078">
        <f t="shared" si="286"/>
        <v>600</v>
      </c>
      <c r="AP2307" s="1078">
        <f t="shared" si="287"/>
        <v>1.82</v>
      </c>
      <c r="AQ2307" s="1078" t="str">
        <f t="shared" si="288"/>
        <v>1-5-1S91°Z+S</v>
      </c>
      <c r="AR2307" s="1078" t="str">
        <f t="shared" si="289"/>
        <v>33.5</v>
      </c>
      <c r="AS2307" s="1078" t="str">
        <f t="shared" si="290"/>
        <v>360/330/OFF</v>
      </c>
      <c r="AT2307" s="1078" t="str">
        <f t="shared" si="291"/>
        <v>1-5-1S91°Z+S</v>
      </c>
      <c r="AU2307" s="1078" t="s">
        <v>15547</v>
      </c>
      <c r="AV2307" s="1078" t="str">
        <f t="shared" si="292"/>
        <v>109.5.22</v>
      </c>
      <c r="AW2307" s="1344">
        <f t="shared" ref="AW2307:AW2370" si="293">DATE(VALUE(LEFT(AV2307,FIND(".",AV2307)-1))+1911,
       VALUE(MID(AV2307,FIND(".",AV2307)+1,FIND(".",AV2307,FIND(".",AV2307)+1)-FIND(".",AV2307)-1)),
       VALUE(RIGHT(AV2307,LEN(AV2307)-FIND("~",SUBSTITUTE(AV2307,".","~",2)))))</f>
        <v>43973</v>
      </c>
    </row>
    <row r="2308" spans="1:49">
      <c r="A2308" s="1077" t="s">
        <v>7225</v>
      </c>
      <c r="B2308" s="1077" t="s">
        <v>7055</v>
      </c>
      <c r="C2308" s="1077">
        <v>550</v>
      </c>
      <c r="D2308" s="1077">
        <v>1.7549999999999999</v>
      </c>
      <c r="E2308" s="1077">
        <v>102.5</v>
      </c>
      <c r="F2308" s="1077" t="s">
        <v>5134</v>
      </c>
      <c r="G2308" s="1077">
        <v>5.5</v>
      </c>
      <c r="H2308" s="1077" t="s">
        <v>7056</v>
      </c>
      <c r="I2308" s="1077" t="s">
        <v>7057</v>
      </c>
      <c r="J2308" s="1077">
        <v>3</v>
      </c>
      <c r="K2308" s="1077" t="s">
        <v>7098</v>
      </c>
      <c r="L2308" s="1077" t="s">
        <v>4946</v>
      </c>
      <c r="M2308" s="1077">
        <v>296</v>
      </c>
      <c r="N2308" s="1077" t="s">
        <v>945</v>
      </c>
      <c r="O2308" s="1077">
        <v>7.4</v>
      </c>
      <c r="P2308" s="1077">
        <v>5.92</v>
      </c>
      <c r="Q2308" s="1077" t="s">
        <v>1012</v>
      </c>
      <c r="R2308" s="1077">
        <v>27</v>
      </c>
      <c r="T2308" s="1077">
        <v>17.5</v>
      </c>
      <c r="U2308" s="1077">
        <v>6</v>
      </c>
      <c r="V2308" s="1077" t="s">
        <v>648</v>
      </c>
      <c r="W2308" s="1077" t="s">
        <v>4947</v>
      </c>
      <c r="X2308" s="1077">
        <v>10</v>
      </c>
      <c r="Y2308" s="1077">
        <v>1.2</v>
      </c>
      <c r="Z2308" s="1077" t="s">
        <v>648</v>
      </c>
      <c r="AA2308" s="1077" t="s">
        <v>4866</v>
      </c>
      <c r="AH2308" s="1077" t="s">
        <v>830</v>
      </c>
      <c r="AM2308" s="1078" t="s">
        <v>13565</v>
      </c>
      <c r="AN2308" s="1078" t="s">
        <v>13566</v>
      </c>
      <c r="AO2308" s="1078">
        <f t="shared" si="286"/>
        <v>550</v>
      </c>
      <c r="AP2308" s="1078">
        <f t="shared" si="287"/>
        <v>1.7549999999999999</v>
      </c>
      <c r="AQ2308" s="1078">
        <f t="shared" si="288"/>
        <v>102.5</v>
      </c>
      <c r="AR2308" s="1078" t="str">
        <f t="shared" si="289"/>
        <v>15.6</v>
      </c>
      <c r="AS2308" s="1078" t="str">
        <f t="shared" si="290"/>
        <v>360/375/OFF</v>
      </c>
      <c r="AT2308" s="1078">
        <f t="shared" si="291"/>
        <v>102.5</v>
      </c>
      <c r="AV2308" s="1078" t="str">
        <f t="shared" si="292"/>
        <v>109.5.22</v>
      </c>
      <c r="AW2308" s="1344">
        <f t="shared" si="293"/>
        <v>43973</v>
      </c>
    </row>
    <row r="2309" spans="1:49">
      <c r="A2309" s="1077" t="s">
        <v>7226</v>
      </c>
      <c r="B2309" s="1077" t="s">
        <v>6945</v>
      </c>
      <c r="C2309" s="1077">
        <v>500</v>
      </c>
      <c r="D2309" s="1077">
        <v>1.77</v>
      </c>
      <c r="E2309" s="1077" t="s">
        <v>15105</v>
      </c>
      <c r="F2309" s="1077" t="s">
        <v>4070</v>
      </c>
      <c r="G2309" s="1077">
        <v>5</v>
      </c>
      <c r="H2309" s="1077" t="s">
        <v>7227</v>
      </c>
      <c r="I2309" s="1077" t="s">
        <v>7228</v>
      </c>
      <c r="J2309" s="1077">
        <v>2.9</v>
      </c>
      <c r="K2309" s="1077" t="s">
        <v>7229</v>
      </c>
      <c r="L2309" s="1077" t="s">
        <v>6949</v>
      </c>
      <c r="M2309" s="1077">
        <v>303</v>
      </c>
      <c r="N2309" s="1077" t="s">
        <v>945</v>
      </c>
      <c r="O2309" s="1077">
        <v>7.5750000000000002</v>
      </c>
      <c r="P2309" s="1077">
        <v>6.0600000000000005</v>
      </c>
      <c r="Q2309" s="1077" t="s">
        <v>1020</v>
      </c>
      <c r="R2309" s="1077">
        <v>23</v>
      </c>
      <c r="T2309" s="1077">
        <v>13.2</v>
      </c>
      <c r="U2309" s="1077">
        <v>5</v>
      </c>
      <c r="V2309" s="1077" t="s">
        <v>648</v>
      </c>
      <c r="W2309" s="1077">
        <v>125</v>
      </c>
      <c r="X2309" s="1077">
        <v>85</v>
      </c>
      <c r="Y2309" s="1077">
        <v>1.3</v>
      </c>
      <c r="Z2309" s="1077" t="s">
        <v>648</v>
      </c>
      <c r="AA2309" s="1077" t="s">
        <v>5496</v>
      </c>
      <c r="AH2309" s="1077" t="s">
        <v>887</v>
      </c>
      <c r="AM2309" s="1078" t="s">
        <v>13567</v>
      </c>
      <c r="AN2309" s="1078" t="s">
        <v>13568</v>
      </c>
      <c r="AO2309" s="1078">
        <f t="shared" si="286"/>
        <v>500</v>
      </c>
      <c r="AP2309" s="1078">
        <f t="shared" si="287"/>
        <v>1.77</v>
      </c>
      <c r="AQ2309" s="1078" t="str">
        <f t="shared" si="288"/>
        <v>105Z+S</v>
      </c>
      <c r="AR2309" s="1078" t="str">
        <f t="shared" si="289"/>
        <v>15.5</v>
      </c>
      <c r="AS2309" s="1078" t="str">
        <f t="shared" si="290"/>
        <v>355/370/160</v>
      </c>
      <c r="AT2309" s="1078" t="str">
        <f t="shared" si="291"/>
        <v>105Z+S</v>
      </c>
      <c r="AV2309" s="1078" t="str">
        <f t="shared" si="292"/>
        <v>109.5.28</v>
      </c>
      <c r="AW2309" s="1344">
        <f t="shared" si="293"/>
        <v>43979</v>
      </c>
    </row>
    <row r="2310" spans="1:49">
      <c r="A2310" s="1077" t="s">
        <v>7230</v>
      </c>
      <c r="B2310" s="1077" t="s">
        <v>775</v>
      </c>
      <c r="C2310" s="1077">
        <v>600</v>
      </c>
      <c r="D2310" s="1077">
        <v>1.8</v>
      </c>
      <c r="E2310" s="1077" t="s">
        <v>15116</v>
      </c>
      <c r="F2310" s="1077" t="s">
        <v>2234</v>
      </c>
      <c r="G2310" s="1077">
        <v>4</v>
      </c>
      <c r="H2310" s="1077" t="s">
        <v>6902</v>
      </c>
      <c r="I2310" s="1077" t="s">
        <v>6903</v>
      </c>
      <c r="K2310" s="1077" t="s">
        <v>7231</v>
      </c>
      <c r="L2310" s="1077" t="s">
        <v>6933</v>
      </c>
      <c r="M2310" s="1077">
        <v>302</v>
      </c>
      <c r="N2310" s="1077" t="s">
        <v>945</v>
      </c>
      <c r="O2310" s="1077">
        <v>7.5500000000000007</v>
      </c>
      <c r="P2310" s="1077">
        <v>6.04</v>
      </c>
      <c r="Q2310" s="1077" t="s">
        <v>1264</v>
      </c>
      <c r="R2310" s="1077">
        <v>27.3</v>
      </c>
      <c r="T2310" s="1077">
        <v>13.3</v>
      </c>
      <c r="U2310" s="1077">
        <v>2.2999999999999998</v>
      </c>
      <c r="V2310" s="1077" t="s">
        <v>648</v>
      </c>
      <c r="W2310" s="1077" t="s">
        <v>4947</v>
      </c>
      <c r="X2310" s="1077">
        <v>10</v>
      </c>
      <c r="Y2310" s="1077">
        <v>1.6</v>
      </c>
      <c r="Z2310" s="1077" t="s">
        <v>648</v>
      </c>
      <c r="AA2310" s="1077" t="s">
        <v>2979</v>
      </c>
      <c r="AH2310" s="1077" t="s">
        <v>1221</v>
      </c>
      <c r="AM2310" s="1078" t="s">
        <v>13569</v>
      </c>
      <c r="AN2310" s="1078" t="s">
        <v>13570</v>
      </c>
      <c r="AO2310" s="1078">
        <f t="shared" si="286"/>
        <v>600</v>
      </c>
      <c r="AP2310" s="1078">
        <f t="shared" si="287"/>
        <v>1.8</v>
      </c>
      <c r="AQ2310" s="1078" t="str">
        <f t="shared" si="288"/>
        <v>1-5-1S83°Z+S</v>
      </c>
      <c r="AR2310" s="1078" t="str">
        <f t="shared" si="289"/>
        <v>33.5</v>
      </c>
      <c r="AS2310" s="1078" t="str">
        <f t="shared" si="290"/>
        <v>310/310/190</v>
      </c>
      <c r="AT2310" s="1078" t="str">
        <f t="shared" si="291"/>
        <v>1-5-1S83°Z+S</v>
      </c>
      <c r="AU2310" s="1078" t="s">
        <v>15547</v>
      </c>
      <c r="AV2310" s="1078" t="str">
        <f t="shared" si="292"/>
        <v>109.6.8</v>
      </c>
      <c r="AW2310" s="1344">
        <f t="shared" si="293"/>
        <v>43990</v>
      </c>
    </row>
    <row r="2311" spans="1:49">
      <c r="A2311" s="1077" t="s">
        <v>7232</v>
      </c>
      <c r="B2311" s="1077" t="s">
        <v>836</v>
      </c>
      <c r="C2311" s="1077">
        <v>600</v>
      </c>
      <c r="D2311" s="1077">
        <v>1.7849999999999999</v>
      </c>
      <c r="E2311" s="1077" t="s">
        <v>15116</v>
      </c>
      <c r="F2311" s="1077" t="s">
        <v>6901</v>
      </c>
      <c r="G2311" s="1077" t="s">
        <v>7233</v>
      </c>
      <c r="H2311" s="1077" t="s">
        <v>6902</v>
      </c>
      <c r="I2311" s="1077" t="s">
        <v>7001</v>
      </c>
      <c r="K2311" s="1077" t="s">
        <v>7234</v>
      </c>
      <c r="L2311" s="1077" t="s">
        <v>6905</v>
      </c>
      <c r="M2311" s="1077">
        <v>303.89999999999998</v>
      </c>
      <c r="N2311" s="1077" t="s">
        <v>945</v>
      </c>
      <c r="O2311" s="1077">
        <v>7.5975000000000001</v>
      </c>
      <c r="P2311" s="1077">
        <v>6.0779999999999994</v>
      </c>
      <c r="Q2311" s="1077" t="s">
        <v>1264</v>
      </c>
      <c r="R2311" s="1077">
        <v>24.5</v>
      </c>
      <c r="T2311" s="1077">
        <v>12.7</v>
      </c>
      <c r="U2311" s="1077">
        <v>2.6</v>
      </c>
      <c r="V2311" s="1077" t="s">
        <v>648</v>
      </c>
      <c r="W2311" s="1077" t="s">
        <v>2532</v>
      </c>
      <c r="X2311" s="1077">
        <v>10</v>
      </c>
      <c r="Y2311" s="1077">
        <v>1.5</v>
      </c>
      <c r="Z2311" s="1077" t="s">
        <v>648</v>
      </c>
      <c r="AA2311" s="1077" t="s">
        <v>5667</v>
      </c>
      <c r="AH2311" s="1077" t="s">
        <v>684</v>
      </c>
      <c r="AM2311" s="1078" t="s">
        <v>13571</v>
      </c>
      <c r="AN2311" s="1078" t="s">
        <v>13572</v>
      </c>
      <c r="AO2311" s="1078">
        <f t="shared" si="286"/>
        <v>600</v>
      </c>
      <c r="AP2311" s="1078">
        <f t="shared" si="287"/>
        <v>1.7849999999999999</v>
      </c>
      <c r="AQ2311" s="1078" t="str">
        <f t="shared" si="288"/>
        <v>1-5-1S83°Z+S</v>
      </c>
      <c r="AR2311" s="1078" t="str">
        <f t="shared" si="289"/>
        <v>33.6</v>
      </c>
      <c r="AS2311" s="1078" t="str">
        <f t="shared" si="290"/>
        <v>310/310/190</v>
      </c>
      <c r="AT2311" s="1078" t="str">
        <f t="shared" si="291"/>
        <v>1-5-1S83°Z+S</v>
      </c>
      <c r="AU2311" s="1078" t="s">
        <v>15547</v>
      </c>
      <c r="AV2311" s="1078" t="str">
        <f t="shared" si="292"/>
        <v>109.3.2</v>
      </c>
      <c r="AW2311" s="1344">
        <f t="shared" si="293"/>
        <v>43892</v>
      </c>
    </row>
    <row r="2312" spans="1:49">
      <c r="A2312" s="1077" t="s">
        <v>7235</v>
      </c>
      <c r="B2312" s="1077" t="s">
        <v>714</v>
      </c>
      <c r="C2312" s="1077">
        <v>550</v>
      </c>
      <c r="D2312" s="1077">
        <v>1.7669999999999999</v>
      </c>
      <c r="E2312" s="1077">
        <v>102.5</v>
      </c>
      <c r="F2312" s="1077" t="s">
        <v>4070</v>
      </c>
      <c r="G2312" s="1077" t="s">
        <v>6865</v>
      </c>
      <c r="H2312" s="1077" t="s">
        <v>6891</v>
      </c>
      <c r="I2312" s="1077" t="s">
        <v>6873</v>
      </c>
      <c r="J2312" s="1077">
        <v>3.7</v>
      </c>
      <c r="K2312" s="1077" t="s">
        <v>7236</v>
      </c>
      <c r="L2312" s="1077" t="s">
        <v>4666</v>
      </c>
      <c r="M2312" s="1077">
        <v>300.8</v>
      </c>
      <c r="N2312" s="1077" t="s">
        <v>945</v>
      </c>
      <c r="O2312" s="1077">
        <v>7.5200000000000005</v>
      </c>
      <c r="P2312" s="1077">
        <v>6.016</v>
      </c>
      <c r="Q2312" s="1077" t="s">
        <v>1037</v>
      </c>
      <c r="R2312" s="1077">
        <v>17</v>
      </c>
      <c r="T2312" s="1077">
        <v>31.4</v>
      </c>
      <c r="U2312" s="1077">
        <v>3.6</v>
      </c>
      <c r="V2312" s="1077" t="s">
        <v>648</v>
      </c>
      <c r="W2312" s="1077" t="s">
        <v>6869</v>
      </c>
      <c r="X2312" s="1077">
        <v>10</v>
      </c>
      <c r="Y2312" s="1077">
        <v>1.5</v>
      </c>
      <c r="Z2312" s="1077" t="s">
        <v>648</v>
      </c>
      <c r="AA2312" s="1077" t="s">
        <v>1075</v>
      </c>
      <c r="AH2312" s="1077" t="s">
        <v>1643</v>
      </c>
      <c r="AM2312" s="1078" t="s">
        <v>13573</v>
      </c>
      <c r="AN2312" s="1078" t="s">
        <v>13574</v>
      </c>
      <c r="AO2312" s="1078">
        <f t="shared" si="286"/>
        <v>550</v>
      </c>
      <c r="AP2312" s="1078">
        <f t="shared" si="287"/>
        <v>1.7669999999999999</v>
      </c>
      <c r="AQ2312" s="1078">
        <f t="shared" si="288"/>
        <v>102.5</v>
      </c>
      <c r="AR2312" s="1078" t="str">
        <f t="shared" si="289"/>
        <v>15.5</v>
      </c>
      <c r="AS2312" s="1078" t="str">
        <f t="shared" si="290"/>
        <v>481/441/OFF</v>
      </c>
      <c r="AT2312" s="1078">
        <f t="shared" si="291"/>
        <v>102.5</v>
      </c>
      <c r="AV2312" s="1078" t="str">
        <f t="shared" si="292"/>
        <v>109.6.10</v>
      </c>
      <c r="AW2312" s="1344">
        <f t="shared" si="293"/>
        <v>43992</v>
      </c>
    </row>
    <row r="2313" spans="1:49">
      <c r="A2313" s="1077" t="s">
        <v>7237</v>
      </c>
      <c r="B2313" s="1077" t="s">
        <v>714</v>
      </c>
      <c r="C2313" s="1077">
        <v>550</v>
      </c>
      <c r="D2313" s="1077">
        <v>1.7669999999999999</v>
      </c>
      <c r="E2313" s="1077">
        <v>102.5</v>
      </c>
      <c r="F2313" s="1077" t="s">
        <v>4070</v>
      </c>
      <c r="G2313" s="1077" t="s">
        <v>6865</v>
      </c>
      <c r="H2313" s="1077" t="s">
        <v>6891</v>
      </c>
      <c r="I2313" s="1077" t="s">
        <v>6873</v>
      </c>
      <c r="J2313" s="1077">
        <v>3.7</v>
      </c>
      <c r="K2313" s="1077" t="s">
        <v>7238</v>
      </c>
      <c r="L2313" s="1077" t="s">
        <v>4666</v>
      </c>
      <c r="M2313" s="1077">
        <v>300.8</v>
      </c>
      <c r="N2313" s="1077" t="s">
        <v>945</v>
      </c>
      <c r="O2313" s="1077">
        <v>7.5200000000000005</v>
      </c>
      <c r="P2313" s="1077">
        <v>6.016</v>
      </c>
      <c r="Q2313" s="1077" t="s">
        <v>988</v>
      </c>
      <c r="R2313" s="1077">
        <v>17</v>
      </c>
      <c r="T2313" s="1077">
        <v>31.4</v>
      </c>
      <c r="U2313" s="1077">
        <v>3.6</v>
      </c>
      <c r="V2313" s="1077" t="s">
        <v>648</v>
      </c>
      <c r="W2313" s="1077" t="s">
        <v>6869</v>
      </c>
      <c r="X2313" s="1077">
        <v>10</v>
      </c>
      <c r="Y2313" s="1077">
        <v>1.5</v>
      </c>
      <c r="Z2313" s="1077" t="s">
        <v>648</v>
      </c>
      <c r="AA2313" s="1077" t="s">
        <v>7239</v>
      </c>
      <c r="AH2313" s="1077" t="s">
        <v>869</v>
      </c>
      <c r="AM2313" s="1078" t="s">
        <v>13575</v>
      </c>
      <c r="AN2313" s="1078" t="s">
        <v>13576</v>
      </c>
      <c r="AO2313" s="1078">
        <f t="shared" si="286"/>
        <v>550</v>
      </c>
      <c r="AP2313" s="1078">
        <f t="shared" si="287"/>
        <v>1.7669999999999999</v>
      </c>
      <c r="AQ2313" s="1078">
        <f t="shared" si="288"/>
        <v>102.5</v>
      </c>
      <c r="AR2313" s="1078" t="str">
        <f t="shared" si="289"/>
        <v>15.5</v>
      </c>
      <c r="AS2313" s="1078" t="str">
        <f t="shared" si="290"/>
        <v>481/441/OFF</v>
      </c>
      <c r="AT2313" s="1078">
        <f t="shared" si="291"/>
        <v>102.5</v>
      </c>
      <c r="AV2313" s="1078" t="str">
        <f t="shared" si="292"/>
        <v>109.6.17</v>
      </c>
      <c r="AW2313" s="1344">
        <f t="shared" si="293"/>
        <v>43999</v>
      </c>
    </row>
    <row r="2314" spans="1:49">
      <c r="A2314" s="1077" t="s">
        <v>7240</v>
      </c>
      <c r="B2314" s="1077" t="s">
        <v>714</v>
      </c>
      <c r="C2314" s="1077">
        <v>550</v>
      </c>
      <c r="D2314" s="1077">
        <v>1.7669999999999999</v>
      </c>
      <c r="E2314" s="1077">
        <v>102.5</v>
      </c>
      <c r="F2314" s="1077" t="s">
        <v>4070</v>
      </c>
      <c r="G2314" s="1077" t="s">
        <v>6865</v>
      </c>
      <c r="H2314" s="1077" t="s">
        <v>7241</v>
      </c>
      <c r="I2314" s="1077" t="s">
        <v>7242</v>
      </c>
      <c r="J2314" s="1077">
        <v>3.7</v>
      </c>
      <c r="K2314" s="1077" t="s">
        <v>7243</v>
      </c>
      <c r="L2314" s="1077" t="s">
        <v>4675</v>
      </c>
      <c r="M2314" s="1077">
        <v>300.3</v>
      </c>
      <c r="N2314" s="1077" t="s">
        <v>945</v>
      </c>
      <c r="O2314" s="1077">
        <v>7.5075000000000003</v>
      </c>
      <c r="P2314" s="1077">
        <v>6.0060000000000002</v>
      </c>
      <c r="Q2314" s="1077" t="s">
        <v>988</v>
      </c>
      <c r="R2314" s="1077">
        <v>18.899999999999999</v>
      </c>
      <c r="T2314" s="1077">
        <v>26.9</v>
      </c>
      <c r="U2314" s="1077">
        <v>3.7</v>
      </c>
      <c r="V2314" s="1077" t="s">
        <v>648</v>
      </c>
      <c r="W2314" s="1077">
        <v>60</v>
      </c>
      <c r="X2314" s="1077">
        <v>10</v>
      </c>
      <c r="Y2314" s="1077">
        <v>1.1000000000000001</v>
      </c>
      <c r="Z2314" s="1077" t="s">
        <v>648</v>
      </c>
      <c r="AA2314" s="1077" t="s">
        <v>2508</v>
      </c>
      <c r="AH2314" s="1077" t="s">
        <v>2384</v>
      </c>
      <c r="AM2314" s="1078" t="s">
        <v>13577</v>
      </c>
      <c r="AN2314" s="1078" t="s">
        <v>13578</v>
      </c>
      <c r="AO2314" s="1078">
        <f t="shared" si="286"/>
        <v>550</v>
      </c>
      <c r="AP2314" s="1078">
        <f t="shared" si="287"/>
        <v>1.7669999999999999</v>
      </c>
      <c r="AQ2314" s="1078">
        <f t="shared" si="288"/>
        <v>102.5</v>
      </c>
      <c r="AR2314" s="1078" t="str">
        <f t="shared" si="289"/>
        <v>15.5</v>
      </c>
      <c r="AS2314" s="1078" t="str">
        <f t="shared" si="290"/>
        <v>445/405/OFF</v>
      </c>
      <c r="AT2314" s="1078">
        <f t="shared" si="291"/>
        <v>102.5</v>
      </c>
      <c r="AV2314" s="1078" t="str">
        <f t="shared" si="292"/>
        <v>109.6.22</v>
      </c>
      <c r="AW2314" s="1344">
        <f t="shared" si="293"/>
        <v>44004</v>
      </c>
    </row>
    <row r="2315" spans="1:49">
      <c r="A2315" s="1077" t="s">
        <v>7244</v>
      </c>
      <c r="B2315" s="1077" t="s">
        <v>714</v>
      </c>
      <c r="C2315" s="1077">
        <v>550</v>
      </c>
      <c r="D2315" s="1077">
        <v>1.7669999999999999</v>
      </c>
      <c r="E2315" s="1077">
        <v>102.5</v>
      </c>
      <c r="F2315" s="1077" t="s">
        <v>4070</v>
      </c>
      <c r="G2315" s="1077" t="s">
        <v>6865</v>
      </c>
      <c r="H2315" s="1077" t="s">
        <v>6891</v>
      </c>
      <c r="I2315" s="1077" t="s">
        <v>7242</v>
      </c>
      <c r="J2315" s="1077">
        <v>3.7</v>
      </c>
      <c r="K2315" s="1077" t="s">
        <v>7245</v>
      </c>
      <c r="L2315" s="1077" t="s">
        <v>4666</v>
      </c>
      <c r="M2315" s="1077">
        <v>300.8</v>
      </c>
      <c r="N2315" s="1077" t="s">
        <v>945</v>
      </c>
      <c r="O2315" s="1077">
        <v>7.5200000000000005</v>
      </c>
      <c r="P2315" s="1077">
        <v>6.016</v>
      </c>
      <c r="Q2315" s="1077" t="s">
        <v>988</v>
      </c>
      <c r="R2315" s="1077">
        <v>17</v>
      </c>
      <c r="T2315" s="1077">
        <v>31.4</v>
      </c>
      <c r="U2315" s="1077">
        <v>3.6</v>
      </c>
      <c r="V2315" s="1077" t="s">
        <v>648</v>
      </c>
      <c r="W2315" s="1077" t="s">
        <v>6869</v>
      </c>
      <c r="X2315" s="1077">
        <v>10</v>
      </c>
      <c r="Y2315" s="1077">
        <v>1.5</v>
      </c>
      <c r="Z2315" s="1077" t="s">
        <v>648</v>
      </c>
      <c r="AA2315" s="1077" t="s">
        <v>3017</v>
      </c>
      <c r="AH2315" s="1077" t="s">
        <v>1643</v>
      </c>
      <c r="AM2315" s="1078" t="s">
        <v>13579</v>
      </c>
      <c r="AN2315" s="1078" t="s">
        <v>13578</v>
      </c>
      <c r="AO2315" s="1078">
        <f t="shared" ref="AO2315:AO2378" si="294">C2315</f>
        <v>550</v>
      </c>
      <c r="AP2315" s="1078">
        <f t="shared" ref="AP2315:AP2378" si="295">D2315</f>
        <v>1.7669999999999999</v>
      </c>
      <c r="AQ2315" s="1078">
        <f t="shared" ref="AQ2315:AQ2378" si="296">E2315</f>
        <v>102.5</v>
      </c>
      <c r="AR2315" s="1078" t="str">
        <f t="shared" ref="AR2315:AR2378" si="297">F2315</f>
        <v>15.5</v>
      </c>
      <c r="AS2315" s="1078" t="str">
        <f t="shared" ref="AS2315:AS2378" si="298">H2315</f>
        <v>481/441/OFF</v>
      </c>
      <c r="AT2315" s="1078">
        <f t="shared" ref="AT2315:AT2378" si="299">E2315</f>
        <v>102.5</v>
      </c>
      <c r="AV2315" s="1078" t="str">
        <f t="shared" si="292"/>
        <v>109.8.11</v>
      </c>
      <c r="AW2315" s="1344">
        <f t="shared" si="293"/>
        <v>44054</v>
      </c>
    </row>
    <row r="2316" spans="1:49">
      <c r="A2316" s="1077" t="s">
        <v>7246</v>
      </c>
      <c r="B2316" s="1077" t="s">
        <v>714</v>
      </c>
      <c r="C2316" s="1077">
        <v>600</v>
      </c>
      <c r="D2316" s="1077">
        <v>1.7769999999999999</v>
      </c>
      <c r="E2316" s="1077">
        <v>102.5</v>
      </c>
      <c r="F2316" s="1077" t="s">
        <v>4070</v>
      </c>
      <c r="G2316" s="1077">
        <v>5.5</v>
      </c>
      <c r="H2316" s="1077" t="s">
        <v>6895</v>
      </c>
      <c r="I2316" s="1077" t="s">
        <v>6896</v>
      </c>
      <c r="J2316" s="1077">
        <v>3.7</v>
      </c>
      <c r="K2316" s="1077" t="s">
        <v>6897</v>
      </c>
      <c r="L2316" s="1077" t="s">
        <v>4675</v>
      </c>
      <c r="M2316" s="1077">
        <v>295.10000000000002</v>
      </c>
      <c r="N2316" s="1077" t="s">
        <v>945</v>
      </c>
      <c r="O2316" s="1077">
        <v>7.3775000000000013</v>
      </c>
      <c r="P2316" s="1077">
        <v>5.9020000000000001</v>
      </c>
      <c r="Q2316" s="1077" t="s">
        <v>956</v>
      </c>
      <c r="R2316" s="1077">
        <v>17.399999999999999</v>
      </c>
      <c r="T2316" s="1077">
        <v>31</v>
      </c>
      <c r="U2316" s="1077">
        <v>3.5</v>
      </c>
      <c r="V2316" s="1077" t="s">
        <v>648</v>
      </c>
      <c r="W2316" s="1077" t="s">
        <v>6880</v>
      </c>
      <c r="X2316" s="1077">
        <v>40</v>
      </c>
      <c r="Y2316" s="1077">
        <v>1</v>
      </c>
      <c r="Z2316" s="1077" t="s">
        <v>648</v>
      </c>
      <c r="AA2316" s="1077" t="s">
        <v>2443</v>
      </c>
      <c r="AH2316" s="1077" t="s">
        <v>2384</v>
      </c>
      <c r="AM2316" s="1078" t="s">
        <v>13580</v>
      </c>
      <c r="AN2316" s="1078" t="s">
        <v>13581</v>
      </c>
      <c r="AO2316" s="1078">
        <f t="shared" si="294"/>
        <v>600</v>
      </c>
      <c r="AP2316" s="1078">
        <f t="shared" si="295"/>
        <v>1.7769999999999999</v>
      </c>
      <c r="AQ2316" s="1078">
        <f t="shared" si="296"/>
        <v>102.5</v>
      </c>
      <c r="AR2316" s="1078" t="str">
        <f t="shared" si="297"/>
        <v>15.5</v>
      </c>
      <c r="AS2316" s="1078" t="str">
        <f t="shared" si="298"/>
        <v>507/467/OFF</v>
      </c>
      <c r="AT2316" s="1078">
        <f t="shared" si="299"/>
        <v>102.5</v>
      </c>
      <c r="AV2316" s="1078" t="str">
        <f t="shared" si="292"/>
        <v>109.8.28</v>
      </c>
      <c r="AW2316" s="1344">
        <f t="shared" si="293"/>
        <v>44071</v>
      </c>
    </row>
    <row r="2317" spans="1:49">
      <c r="A2317" s="1077" t="s">
        <v>7247</v>
      </c>
      <c r="B2317" s="1077" t="s">
        <v>714</v>
      </c>
      <c r="C2317" s="1077">
        <v>550</v>
      </c>
      <c r="D2317" s="1077">
        <v>1.7669999999999999</v>
      </c>
      <c r="E2317" s="1077">
        <v>102.5</v>
      </c>
      <c r="F2317" s="1077" t="s">
        <v>4070</v>
      </c>
      <c r="G2317" s="1077" t="s">
        <v>6865</v>
      </c>
      <c r="H2317" s="1077" t="s">
        <v>6891</v>
      </c>
      <c r="I2317" s="1077" t="s">
        <v>6873</v>
      </c>
      <c r="J2317" s="1077">
        <v>3.7</v>
      </c>
      <c r="K2317" s="1077" t="s">
        <v>7245</v>
      </c>
      <c r="L2317" s="1077" t="s">
        <v>4666</v>
      </c>
      <c r="M2317" s="1077">
        <v>300.8</v>
      </c>
      <c r="N2317" s="1077" t="s">
        <v>945</v>
      </c>
      <c r="O2317" s="1077">
        <v>7.5200000000000005</v>
      </c>
      <c r="P2317" s="1077">
        <v>6.016</v>
      </c>
      <c r="Q2317" s="1077" t="s">
        <v>988</v>
      </c>
      <c r="R2317" s="1077">
        <v>17</v>
      </c>
      <c r="T2317" s="1077">
        <v>31.4</v>
      </c>
      <c r="U2317" s="1077">
        <v>3.6</v>
      </c>
      <c r="V2317" s="1077" t="s">
        <v>648</v>
      </c>
      <c r="W2317" s="1077" t="s">
        <v>6869</v>
      </c>
      <c r="X2317" s="1077">
        <v>10</v>
      </c>
      <c r="Y2317" s="1077" t="s">
        <v>7248</v>
      </c>
      <c r="Z2317" s="1077" t="s">
        <v>648</v>
      </c>
      <c r="AA2317" s="1077" t="s">
        <v>4274</v>
      </c>
      <c r="AH2317" s="1077" t="s">
        <v>869</v>
      </c>
      <c r="AM2317" s="1078" t="s">
        <v>13582</v>
      </c>
      <c r="AN2317" s="1078" t="s">
        <v>13583</v>
      </c>
      <c r="AO2317" s="1078">
        <f t="shared" si="294"/>
        <v>550</v>
      </c>
      <c r="AP2317" s="1078">
        <f t="shared" si="295"/>
        <v>1.7669999999999999</v>
      </c>
      <c r="AQ2317" s="1078">
        <f t="shared" si="296"/>
        <v>102.5</v>
      </c>
      <c r="AR2317" s="1078" t="str">
        <f t="shared" si="297"/>
        <v>15.5</v>
      </c>
      <c r="AS2317" s="1078" t="str">
        <f t="shared" si="298"/>
        <v>481/441/OFF</v>
      </c>
      <c r="AT2317" s="1078">
        <f t="shared" si="299"/>
        <v>102.5</v>
      </c>
      <c r="AV2317" s="1078" t="str">
        <f t="shared" si="292"/>
        <v>109.9.8</v>
      </c>
      <c r="AW2317" s="1344">
        <f t="shared" si="293"/>
        <v>44082</v>
      </c>
    </row>
    <row r="2318" spans="1:49">
      <c r="A2318" s="1077" t="s">
        <v>7249</v>
      </c>
      <c r="B2318" s="1077" t="s">
        <v>714</v>
      </c>
      <c r="C2318" s="1077">
        <v>550</v>
      </c>
      <c r="D2318" s="1077">
        <v>1.7669999999999999</v>
      </c>
      <c r="E2318" s="1077">
        <v>102.5</v>
      </c>
      <c r="F2318" s="1077" t="s">
        <v>4070</v>
      </c>
      <c r="G2318" s="1077" t="s">
        <v>6865</v>
      </c>
      <c r="H2318" s="1077" t="s">
        <v>7241</v>
      </c>
      <c r="I2318" s="1077" t="s">
        <v>7242</v>
      </c>
      <c r="J2318" s="1077">
        <v>3.7</v>
      </c>
      <c r="K2318" s="1077" t="s">
        <v>7243</v>
      </c>
      <c r="L2318" s="1077" t="s">
        <v>4675</v>
      </c>
      <c r="M2318" s="1077">
        <v>300.3</v>
      </c>
      <c r="N2318" s="1077" t="s">
        <v>945</v>
      </c>
      <c r="O2318" s="1077">
        <v>7.5075000000000003</v>
      </c>
      <c r="P2318" s="1077">
        <v>6.0060000000000002</v>
      </c>
      <c r="Q2318" s="1077" t="s">
        <v>956</v>
      </c>
      <c r="R2318" s="1077">
        <v>18.899999999999999</v>
      </c>
      <c r="T2318" s="1077">
        <v>26.9</v>
      </c>
      <c r="U2318" s="1077">
        <v>3.7</v>
      </c>
      <c r="V2318" s="1077" t="s">
        <v>648</v>
      </c>
      <c r="W2318" s="1077">
        <v>60</v>
      </c>
      <c r="X2318" s="1077">
        <v>10</v>
      </c>
      <c r="Y2318" s="1077">
        <v>1.1000000000000001</v>
      </c>
      <c r="Z2318" s="1077" t="s">
        <v>648</v>
      </c>
      <c r="AA2318" s="1077" t="s">
        <v>3381</v>
      </c>
      <c r="AH2318" s="1077" t="s">
        <v>1643</v>
      </c>
      <c r="AM2318" s="1078" t="s">
        <v>13584</v>
      </c>
      <c r="AN2318" s="1078" t="s">
        <v>13585</v>
      </c>
      <c r="AO2318" s="1078">
        <f t="shared" si="294"/>
        <v>550</v>
      </c>
      <c r="AP2318" s="1078">
        <f t="shared" si="295"/>
        <v>1.7669999999999999</v>
      </c>
      <c r="AQ2318" s="1078">
        <f t="shared" si="296"/>
        <v>102.5</v>
      </c>
      <c r="AR2318" s="1078" t="str">
        <f t="shared" si="297"/>
        <v>15.5</v>
      </c>
      <c r="AS2318" s="1078" t="str">
        <f t="shared" si="298"/>
        <v>445/405/OFF</v>
      </c>
      <c r="AT2318" s="1078">
        <f t="shared" si="299"/>
        <v>102.5</v>
      </c>
      <c r="AV2318" s="1078" t="str">
        <f t="shared" si="292"/>
        <v>109.9.14</v>
      </c>
      <c r="AW2318" s="1344">
        <f t="shared" si="293"/>
        <v>44088</v>
      </c>
    </row>
    <row r="2319" spans="1:49">
      <c r="A2319" s="1077" t="s">
        <v>7250</v>
      </c>
      <c r="B2319" s="1077" t="s">
        <v>714</v>
      </c>
      <c r="C2319" s="1077">
        <v>550</v>
      </c>
      <c r="D2319" s="1077">
        <v>1.7669999999999999</v>
      </c>
      <c r="E2319" s="1077">
        <v>102.5</v>
      </c>
      <c r="F2319" s="1077" t="s">
        <v>4070</v>
      </c>
      <c r="G2319" s="1077" t="s">
        <v>6865</v>
      </c>
      <c r="H2319" s="1077" t="s">
        <v>7241</v>
      </c>
      <c r="I2319" s="1077" t="s">
        <v>7242</v>
      </c>
      <c r="J2319" s="1077">
        <v>3.7</v>
      </c>
      <c r="K2319" s="1077" t="s">
        <v>7251</v>
      </c>
      <c r="L2319" s="1077" t="s">
        <v>4666</v>
      </c>
      <c r="M2319" s="1077">
        <v>300.3</v>
      </c>
      <c r="N2319" s="1077" t="s">
        <v>945</v>
      </c>
      <c r="O2319" s="1077">
        <v>7.5075000000000003</v>
      </c>
      <c r="P2319" s="1077">
        <v>6.0060000000000002</v>
      </c>
      <c r="Q2319" s="1077" t="s">
        <v>979</v>
      </c>
      <c r="R2319" s="1077">
        <v>18.899999999999999</v>
      </c>
      <c r="T2319" s="1077">
        <v>26.9</v>
      </c>
      <c r="U2319" s="1077">
        <v>3.7</v>
      </c>
      <c r="V2319" s="1077" t="s">
        <v>648</v>
      </c>
      <c r="W2319" s="1077">
        <v>60</v>
      </c>
      <c r="X2319" s="1077">
        <v>10</v>
      </c>
      <c r="Y2319" s="1077">
        <v>1.1000000000000001</v>
      </c>
      <c r="Z2319" s="1077" t="s">
        <v>648</v>
      </c>
      <c r="AA2319" s="1077" t="s">
        <v>6277</v>
      </c>
      <c r="AH2319" s="1077" t="s">
        <v>870</v>
      </c>
      <c r="AM2319" s="1078" t="s">
        <v>13586</v>
      </c>
      <c r="AN2319" s="1078" t="s">
        <v>13587</v>
      </c>
      <c r="AO2319" s="1078">
        <f t="shared" si="294"/>
        <v>550</v>
      </c>
      <c r="AP2319" s="1078">
        <f t="shared" si="295"/>
        <v>1.7669999999999999</v>
      </c>
      <c r="AQ2319" s="1078">
        <f t="shared" si="296"/>
        <v>102.5</v>
      </c>
      <c r="AR2319" s="1078" t="str">
        <f t="shared" si="297"/>
        <v>15.5</v>
      </c>
      <c r="AS2319" s="1078" t="str">
        <f t="shared" si="298"/>
        <v>445/405/OFF</v>
      </c>
      <c r="AT2319" s="1078">
        <f t="shared" si="299"/>
        <v>102.5</v>
      </c>
      <c r="AV2319" s="1078" t="str">
        <f t="shared" si="292"/>
        <v>109.9.15</v>
      </c>
      <c r="AW2319" s="1344">
        <f t="shared" si="293"/>
        <v>44089</v>
      </c>
    </row>
    <row r="2320" spans="1:49">
      <c r="A2320" s="1077" t="s">
        <v>7252</v>
      </c>
      <c r="B2320" s="1077" t="s">
        <v>714</v>
      </c>
      <c r="C2320" s="1077">
        <v>550</v>
      </c>
      <c r="D2320" s="1077">
        <v>1.7669999999999999</v>
      </c>
      <c r="E2320" s="1077">
        <v>102.5</v>
      </c>
      <c r="F2320" s="1077" t="s">
        <v>4070</v>
      </c>
      <c r="G2320" s="1077" t="s">
        <v>6865</v>
      </c>
      <c r="H2320" s="1077" t="s">
        <v>6891</v>
      </c>
      <c r="I2320" s="1077" t="s">
        <v>6873</v>
      </c>
      <c r="J2320" s="1077">
        <v>3.7</v>
      </c>
      <c r="K2320" s="1077" t="s">
        <v>7253</v>
      </c>
      <c r="L2320" s="1077" t="s">
        <v>4666</v>
      </c>
      <c r="M2320" s="1077">
        <v>300.8</v>
      </c>
      <c r="N2320" s="1077" t="s">
        <v>945</v>
      </c>
      <c r="O2320" s="1077">
        <v>7.5200000000000005</v>
      </c>
      <c r="P2320" s="1077">
        <v>6.016</v>
      </c>
      <c r="Q2320" s="1077" t="s">
        <v>988</v>
      </c>
      <c r="R2320" s="1077">
        <v>17</v>
      </c>
      <c r="T2320" s="1077">
        <v>31.4</v>
      </c>
      <c r="U2320" s="1077">
        <v>3.6</v>
      </c>
      <c r="V2320" s="1077" t="s">
        <v>648</v>
      </c>
      <c r="W2320" s="1077" t="s">
        <v>6869</v>
      </c>
      <c r="X2320" s="1077">
        <v>10</v>
      </c>
      <c r="Y2320" s="1077">
        <v>1.5</v>
      </c>
      <c r="Z2320" s="1077" t="s">
        <v>648</v>
      </c>
      <c r="AA2320" s="1077" t="s">
        <v>3069</v>
      </c>
      <c r="AH2320" s="1077" t="s">
        <v>1376</v>
      </c>
      <c r="AM2320" s="1078" t="s">
        <v>13588</v>
      </c>
      <c r="AN2320" s="1078" t="s">
        <v>13589</v>
      </c>
      <c r="AO2320" s="1078">
        <f t="shared" si="294"/>
        <v>550</v>
      </c>
      <c r="AP2320" s="1078">
        <f t="shared" si="295"/>
        <v>1.7669999999999999</v>
      </c>
      <c r="AQ2320" s="1078">
        <f t="shared" si="296"/>
        <v>102.5</v>
      </c>
      <c r="AR2320" s="1078" t="str">
        <f t="shared" si="297"/>
        <v>15.5</v>
      </c>
      <c r="AS2320" s="1078" t="str">
        <f t="shared" si="298"/>
        <v>481/441/OFF</v>
      </c>
      <c r="AT2320" s="1078">
        <f t="shared" si="299"/>
        <v>102.5</v>
      </c>
      <c r="AV2320" s="1078" t="str">
        <f t="shared" si="292"/>
        <v>109.9.16</v>
      </c>
      <c r="AW2320" s="1344">
        <f t="shared" si="293"/>
        <v>44090</v>
      </c>
    </row>
    <row r="2321" spans="1:49">
      <c r="A2321" s="1077" t="s">
        <v>7254</v>
      </c>
      <c r="B2321" s="1077" t="s">
        <v>717</v>
      </c>
      <c r="C2321" s="1077">
        <v>600</v>
      </c>
      <c r="D2321" s="1077">
        <v>1.8049999999999999</v>
      </c>
      <c r="E2321" s="1077" t="s">
        <v>15116</v>
      </c>
      <c r="F2321" s="1077" t="s">
        <v>2234</v>
      </c>
      <c r="G2321" s="1077">
        <v>4</v>
      </c>
      <c r="H2321" s="1077" t="s">
        <v>6902</v>
      </c>
      <c r="I2321" s="1077" t="s">
        <v>6918</v>
      </c>
      <c r="K2321" s="1077" t="s">
        <v>7255</v>
      </c>
      <c r="L2321" s="1077" t="s">
        <v>6920</v>
      </c>
      <c r="M2321" s="1077">
        <v>303.5</v>
      </c>
      <c r="N2321" s="1077" t="s">
        <v>945</v>
      </c>
      <c r="O2321" s="1077">
        <v>7.5875000000000004</v>
      </c>
      <c r="P2321" s="1077">
        <v>6.07</v>
      </c>
      <c r="Q2321" s="1077" t="s">
        <v>1264</v>
      </c>
      <c r="R2321" s="1077">
        <v>27.9</v>
      </c>
      <c r="T2321" s="1077">
        <v>13.5</v>
      </c>
      <c r="U2321" s="1077">
        <v>2.5</v>
      </c>
      <c r="V2321" s="1077" t="s">
        <v>648</v>
      </c>
      <c r="W2321" s="1077" t="s">
        <v>4947</v>
      </c>
      <c r="X2321" s="1077">
        <v>10</v>
      </c>
      <c r="Y2321" s="1077">
        <v>1.6</v>
      </c>
      <c r="Z2321" s="1077" t="s">
        <v>648</v>
      </c>
      <c r="AA2321" s="1077" t="s">
        <v>2981</v>
      </c>
      <c r="AH2321" s="1077" t="s">
        <v>722</v>
      </c>
      <c r="AM2321" s="1078" t="s">
        <v>13590</v>
      </c>
      <c r="AN2321" s="1078" t="s">
        <v>13591</v>
      </c>
      <c r="AO2321" s="1078">
        <f t="shared" si="294"/>
        <v>600</v>
      </c>
      <c r="AP2321" s="1078">
        <f t="shared" si="295"/>
        <v>1.8049999999999999</v>
      </c>
      <c r="AQ2321" s="1078" t="str">
        <f t="shared" si="296"/>
        <v>1-5-1S83°Z+S</v>
      </c>
      <c r="AR2321" s="1078" t="str">
        <f t="shared" si="297"/>
        <v>33.5</v>
      </c>
      <c r="AS2321" s="1078" t="str">
        <f t="shared" si="298"/>
        <v>310/310/190</v>
      </c>
      <c r="AT2321" s="1078" t="str">
        <f t="shared" si="299"/>
        <v>1-5-1S83°Z+S</v>
      </c>
      <c r="AU2321" s="1078" t="s">
        <v>15547</v>
      </c>
      <c r="AV2321" s="1078" t="str">
        <f t="shared" si="292"/>
        <v>109.6.12</v>
      </c>
      <c r="AW2321" s="1344">
        <f t="shared" si="293"/>
        <v>43994</v>
      </c>
    </row>
    <row r="2322" spans="1:49">
      <c r="A2322" s="1077" t="s">
        <v>7256</v>
      </c>
      <c r="B2322" s="1077" t="s">
        <v>7068</v>
      </c>
      <c r="C2322" s="1077">
        <v>450</v>
      </c>
      <c r="D2322" s="1077">
        <v>1.78</v>
      </c>
      <c r="E2322" s="1077" t="s">
        <v>15124</v>
      </c>
      <c r="F2322" s="1077" t="s">
        <v>1398</v>
      </c>
      <c r="G2322" s="1077">
        <v>5</v>
      </c>
      <c r="H2322" s="1077" t="s">
        <v>2326</v>
      </c>
      <c r="I2322" s="1077" t="s">
        <v>7257</v>
      </c>
      <c r="K2322" s="1077" t="s">
        <v>7258</v>
      </c>
      <c r="L2322" s="1077" t="s">
        <v>5037</v>
      </c>
      <c r="M2322" s="1077">
        <v>293.2</v>
      </c>
      <c r="N2322" s="1077" t="s">
        <v>945</v>
      </c>
      <c r="O2322" s="1077">
        <v>7.33</v>
      </c>
      <c r="P2322" s="1077">
        <v>5.8639999999999999</v>
      </c>
      <c r="Q2322" s="1077" t="s">
        <v>1264</v>
      </c>
      <c r="R2322" s="1077">
        <v>21</v>
      </c>
      <c r="T2322" s="1077">
        <v>25</v>
      </c>
      <c r="U2322" s="1077">
        <v>4.2</v>
      </c>
      <c r="V2322" s="1077" t="s">
        <v>648</v>
      </c>
      <c r="W2322" s="1077">
        <v>120</v>
      </c>
      <c r="X2322" s="1077">
        <v>20</v>
      </c>
      <c r="Y2322" s="1077">
        <v>1.6</v>
      </c>
      <c r="Z2322" s="1077" t="s">
        <v>648</v>
      </c>
      <c r="AA2322" s="1077" t="s">
        <v>7259</v>
      </c>
      <c r="AH2322" s="1077" t="s">
        <v>650</v>
      </c>
      <c r="AM2322" s="1078" t="s">
        <v>13592</v>
      </c>
      <c r="AN2322" s="1078" t="s">
        <v>13593</v>
      </c>
      <c r="AO2322" s="1078">
        <f t="shared" si="294"/>
        <v>450</v>
      </c>
      <c r="AP2322" s="1078">
        <f t="shared" si="295"/>
        <v>1.78</v>
      </c>
      <c r="AQ2322" s="1078" t="str">
        <f t="shared" si="296"/>
        <v>2-6-1S83°Z+S</v>
      </c>
      <c r="AR2322" s="1078" t="str">
        <f t="shared" si="297"/>
        <v>32.5</v>
      </c>
      <c r="AS2322" s="1078" t="str">
        <f t="shared" si="298"/>
        <v>173/OFF</v>
      </c>
      <c r="AT2322" s="1078" t="str">
        <f t="shared" si="299"/>
        <v>2-6-1S83°Z+S</v>
      </c>
      <c r="AU2322" s="1078" t="s">
        <v>15547</v>
      </c>
      <c r="AV2322" s="1078" t="str">
        <f t="shared" si="292"/>
        <v>109.6.24</v>
      </c>
      <c r="AW2322" s="1344">
        <f t="shared" si="293"/>
        <v>44006</v>
      </c>
    </row>
    <row r="2323" spans="1:49">
      <c r="A2323" s="1077" t="s">
        <v>7260</v>
      </c>
      <c r="B2323" s="1077" t="s">
        <v>7261</v>
      </c>
      <c r="C2323" s="1077">
        <v>600</v>
      </c>
      <c r="D2323" s="1077">
        <v>1.8</v>
      </c>
      <c r="E2323" s="1077" t="s">
        <v>15116</v>
      </c>
      <c r="F2323" s="1077" t="s">
        <v>2234</v>
      </c>
      <c r="G2323" s="1077">
        <v>4</v>
      </c>
      <c r="H2323" s="1077" t="s">
        <v>7262</v>
      </c>
      <c r="I2323" s="1077" t="s">
        <v>6918</v>
      </c>
      <c r="K2323" s="1077" t="s">
        <v>7263</v>
      </c>
      <c r="L2323" s="1077" t="s">
        <v>7264</v>
      </c>
      <c r="M2323" s="1077">
        <v>307</v>
      </c>
      <c r="N2323" s="1077" t="s">
        <v>945</v>
      </c>
      <c r="O2323" s="1077">
        <v>7.6750000000000007</v>
      </c>
      <c r="P2323" s="1077">
        <v>6.1400000000000006</v>
      </c>
      <c r="Q2323" s="1077" t="s">
        <v>2553</v>
      </c>
      <c r="R2323" s="1077">
        <v>27</v>
      </c>
      <c r="T2323" s="1077">
        <v>12</v>
      </c>
      <c r="U2323" s="1077">
        <v>2.2999999999999998</v>
      </c>
      <c r="V2323" s="1077" t="s">
        <v>648</v>
      </c>
      <c r="W2323" s="1077" t="s">
        <v>4947</v>
      </c>
      <c r="X2323" s="1077">
        <v>10</v>
      </c>
      <c r="Y2323" s="1077">
        <v>1.7</v>
      </c>
      <c r="Z2323" s="1077" t="s">
        <v>648</v>
      </c>
      <c r="AA2323" s="1077" t="s">
        <v>2595</v>
      </c>
      <c r="AH2323" s="1077" t="s">
        <v>3213</v>
      </c>
      <c r="AM2323" s="1078" t="s">
        <v>13594</v>
      </c>
      <c r="AN2323" s="1078" t="s">
        <v>13595</v>
      </c>
      <c r="AO2323" s="1078">
        <f t="shared" si="294"/>
        <v>600</v>
      </c>
      <c r="AP2323" s="1078">
        <f t="shared" si="295"/>
        <v>1.8</v>
      </c>
      <c r="AQ2323" s="1078" t="str">
        <f t="shared" si="296"/>
        <v>1-5-1S83°Z+S</v>
      </c>
      <c r="AR2323" s="1078" t="str">
        <f t="shared" si="297"/>
        <v>33.5</v>
      </c>
      <c r="AS2323" s="1078" t="str">
        <f t="shared" si="298"/>
        <v>300/300/190</v>
      </c>
      <c r="AT2323" s="1078" t="str">
        <f t="shared" si="299"/>
        <v>1-5-1S83°Z+S</v>
      </c>
      <c r="AU2323" s="1078" t="s">
        <v>15547</v>
      </c>
      <c r="AV2323" s="1078" t="str">
        <f t="shared" si="292"/>
        <v>109.7.2</v>
      </c>
      <c r="AW2323" s="1344">
        <f t="shared" si="293"/>
        <v>44014</v>
      </c>
    </row>
    <row r="2324" spans="1:49">
      <c r="A2324" s="1077" t="s">
        <v>7265</v>
      </c>
      <c r="B2324" s="1077" t="s">
        <v>836</v>
      </c>
      <c r="C2324" s="1077">
        <v>600</v>
      </c>
      <c r="D2324" s="1077">
        <v>1.79</v>
      </c>
      <c r="E2324" s="1077" t="s">
        <v>15116</v>
      </c>
      <c r="F2324" s="1077" t="s">
        <v>6901</v>
      </c>
      <c r="G2324" s="1077">
        <v>4</v>
      </c>
      <c r="H2324" s="1077" t="s">
        <v>6902</v>
      </c>
      <c r="I2324" s="1077" t="s">
        <v>7001</v>
      </c>
      <c r="K2324" s="1077" t="s">
        <v>7266</v>
      </c>
      <c r="L2324" s="1077" t="s">
        <v>6905</v>
      </c>
      <c r="M2324" s="1077">
        <v>303.89999999999998</v>
      </c>
      <c r="N2324" s="1077" t="s">
        <v>945</v>
      </c>
      <c r="O2324" s="1077">
        <v>7.5975000000000001</v>
      </c>
      <c r="P2324" s="1077">
        <v>6.0779999999999994</v>
      </c>
      <c r="Q2324" s="1077" t="s">
        <v>1264</v>
      </c>
      <c r="R2324" s="1077">
        <v>24.5</v>
      </c>
      <c r="T2324" s="1077">
        <v>12.7</v>
      </c>
      <c r="U2324" s="1077">
        <v>2.6</v>
      </c>
      <c r="V2324" s="1077" t="s">
        <v>648</v>
      </c>
      <c r="W2324" s="1077" t="s">
        <v>2532</v>
      </c>
      <c r="X2324" s="1077">
        <v>10</v>
      </c>
      <c r="Y2324" s="1077">
        <v>1.5</v>
      </c>
      <c r="Z2324" s="1077" t="s">
        <v>648</v>
      </c>
      <c r="AA2324" s="1077" t="s">
        <v>3335</v>
      </c>
      <c r="AH2324" s="1077" t="s">
        <v>684</v>
      </c>
      <c r="AM2324" s="1078" t="s">
        <v>13596</v>
      </c>
      <c r="AN2324" s="1078" t="s">
        <v>13597</v>
      </c>
      <c r="AO2324" s="1078">
        <f t="shared" si="294"/>
        <v>600</v>
      </c>
      <c r="AP2324" s="1078">
        <f t="shared" si="295"/>
        <v>1.79</v>
      </c>
      <c r="AQ2324" s="1078" t="str">
        <f t="shared" si="296"/>
        <v>1-5-1S83°Z+S</v>
      </c>
      <c r="AR2324" s="1078" t="str">
        <f t="shared" si="297"/>
        <v>33.6</v>
      </c>
      <c r="AS2324" s="1078" t="str">
        <f t="shared" si="298"/>
        <v>310/310/190</v>
      </c>
      <c r="AT2324" s="1078" t="str">
        <f t="shared" si="299"/>
        <v>1-5-1S83°Z+S</v>
      </c>
      <c r="AU2324" s="1078" t="s">
        <v>15547</v>
      </c>
      <c r="AV2324" s="1078" t="str">
        <f t="shared" si="292"/>
        <v>109.7.6</v>
      </c>
      <c r="AW2324" s="1344">
        <f t="shared" si="293"/>
        <v>44018</v>
      </c>
    </row>
    <row r="2325" spans="1:49">
      <c r="A2325" s="1077" t="s">
        <v>7267</v>
      </c>
      <c r="B2325" s="1077" t="s">
        <v>7026</v>
      </c>
      <c r="C2325" s="1077">
        <v>550</v>
      </c>
      <c r="D2325" s="1077">
        <v>1.7849999999999999</v>
      </c>
      <c r="E2325" s="1077" t="s">
        <v>15124</v>
      </c>
      <c r="F2325" s="1077" t="s">
        <v>984</v>
      </c>
      <c r="G2325" s="1077">
        <v>5</v>
      </c>
      <c r="H2325" s="1077" t="s">
        <v>7268</v>
      </c>
      <c r="I2325" s="1077" t="s">
        <v>6988</v>
      </c>
      <c r="J2325" s="1077">
        <v>3.7</v>
      </c>
      <c r="K2325" s="1077" t="s">
        <v>7269</v>
      </c>
      <c r="L2325" s="1077" t="s">
        <v>4979</v>
      </c>
      <c r="M2325" s="1077">
        <v>293</v>
      </c>
      <c r="N2325" s="1077" t="s">
        <v>945</v>
      </c>
      <c r="O2325" s="1077">
        <v>7.3250000000000002</v>
      </c>
      <c r="P2325" s="1077">
        <v>5.86</v>
      </c>
      <c r="Q2325" s="1077" t="s">
        <v>1264</v>
      </c>
      <c r="R2325" s="1077">
        <v>17.8</v>
      </c>
      <c r="T2325" s="1077">
        <v>26.8</v>
      </c>
      <c r="U2325" s="1077">
        <v>3.2</v>
      </c>
      <c r="V2325" s="1077" t="s">
        <v>648</v>
      </c>
      <c r="W2325" s="1077">
        <v>80</v>
      </c>
      <c r="X2325" s="1077">
        <v>10</v>
      </c>
      <c r="Y2325" s="1077">
        <v>1.6</v>
      </c>
      <c r="Z2325" s="1077" t="s">
        <v>648</v>
      </c>
      <c r="AA2325" s="1077" t="s">
        <v>3043</v>
      </c>
      <c r="AH2325" s="1077" t="s">
        <v>868</v>
      </c>
      <c r="AM2325" s="1078" t="s">
        <v>13598</v>
      </c>
      <c r="AN2325" s="1078" t="s">
        <v>13599</v>
      </c>
      <c r="AO2325" s="1078">
        <f t="shared" si="294"/>
        <v>550</v>
      </c>
      <c r="AP2325" s="1078">
        <f t="shared" si="295"/>
        <v>1.7849999999999999</v>
      </c>
      <c r="AQ2325" s="1078" t="str">
        <f t="shared" si="296"/>
        <v>2-6-1S83°Z+S</v>
      </c>
      <c r="AR2325" s="1078" t="str">
        <f t="shared" si="297"/>
        <v>30</v>
      </c>
      <c r="AS2325" s="1078" t="str">
        <f t="shared" si="298"/>
        <v>189/185</v>
      </c>
      <c r="AT2325" s="1078" t="str">
        <f t="shared" si="299"/>
        <v>2-6-1S83°Z+S</v>
      </c>
      <c r="AU2325" s="1078" t="s">
        <v>15547</v>
      </c>
      <c r="AV2325" s="1078" t="str">
        <f t="shared" si="292"/>
        <v>109.7.1</v>
      </c>
      <c r="AW2325" s="1344">
        <f t="shared" si="293"/>
        <v>44013</v>
      </c>
    </row>
    <row r="2326" spans="1:49">
      <c r="A2326" s="1077" t="s">
        <v>7270</v>
      </c>
      <c r="B2326" s="1077" t="s">
        <v>663</v>
      </c>
      <c r="C2326" s="1077">
        <v>500</v>
      </c>
      <c r="D2326" s="1077">
        <v>1.77</v>
      </c>
      <c r="E2326" s="1077">
        <v>102.5</v>
      </c>
      <c r="F2326" s="1077" t="s">
        <v>4070</v>
      </c>
      <c r="G2326" s="1077">
        <v>5.5</v>
      </c>
      <c r="H2326" s="1077" t="s">
        <v>7271</v>
      </c>
      <c r="I2326" s="1077" t="s">
        <v>6970</v>
      </c>
      <c r="K2326" s="1077" t="s">
        <v>7272</v>
      </c>
      <c r="L2326" s="1077" t="s">
        <v>4907</v>
      </c>
      <c r="M2326" s="1077">
        <v>296</v>
      </c>
      <c r="N2326" s="1077" t="s">
        <v>945</v>
      </c>
      <c r="O2326" s="1077">
        <v>7.4</v>
      </c>
      <c r="P2326" s="1077">
        <v>5.92</v>
      </c>
      <c r="Q2326" s="1077" t="s">
        <v>2782</v>
      </c>
      <c r="R2326" s="1077">
        <v>17</v>
      </c>
      <c r="T2326" s="1077">
        <v>10.5</v>
      </c>
      <c r="U2326" s="1077">
        <v>6.1</v>
      </c>
      <c r="V2326" s="1077" t="s">
        <v>648</v>
      </c>
      <c r="W2326" s="1077">
        <v>120</v>
      </c>
      <c r="X2326" s="1077">
        <v>90</v>
      </c>
      <c r="Y2326" s="1077">
        <v>1.1000000000000001</v>
      </c>
      <c r="Z2326" s="1077" t="s">
        <v>648</v>
      </c>
      <c r="AA2326" s="1077" t="s">
        <v>7273</v>
      </c>
      <c r="AH2326" s="1077" t="s">
        <v>830</v>
      </c>
      <c r="AM2326" s="1078" t="s">
        <v>13600</v>
      </c>
      <c r="AN2326" s="1078" t="s">
        <v>13601</v>
      </c>
      <c r="AO2326" s="1078">
        <f t="shared" si="294"/>
        <v>500</v>
      </c>
      <c r="AP2326" s="1078">
        <f t="shared" si="295"/>
        <v>1.77</v>
      </c>
      <c r="AQ2326" s="1078">
        <f t="shared" si="296"/>
        <v>102.5</v>
      </c>
      <c r="AR2326" s="1078" t="str">
        <f t="shared" si="297"/>
        <v>15.5</v>
      </c>
      <c r="AS2326" s="1078" t="str">
        <f t="shared" si="298"/>
        <v>362/347/153</v>
      </c>
      <c r="AT2326" s="1078">
        <f t="shared" si="299"/>
        <v>102.5</v>
      </c>
      <c r="AV2326" s="1078" t="str">
        <f t="shared" si="292"/>
        <v>109.7.15</v>
      </c>
      <c r="AW2326" s="1344">
        <f t="shared" si="293"/>
        <v>44027</v>
      </c>
    </row>
    <row r="2327" spans="1:49">
      <c r="A2327" s="1077" t="s">
        <v>7274</v>
      </c>
      <c r="B2327" s="1077" t="s">
        <v>836</v>
      </c>
      <c r="C2327" s="1077">
        <v>600</v>
      </c>
      <c r="D2327" s="1077">
        <v>1.7949999999999999</v>
      </c>
      <c r="E2327" s="1077" t="s">
        <v>15116</v>
      </c>
      <c r="F2327" s="1077" t="s">
        <v>6901</v>
      </c>
      <c r="G2327" s="1077">
        <v>4</v>
      </c>
      <c r="H2327" s="1077" t="s">
        <v>6902</v>
      </c>
      <c r="I2327" s="1077" t="s">
        <v>7001</v>
      </c>
      <c r="K2327" s="1077" t="s">
        <v>7266</v>
      </c>
      <c r="L2327" s="1077" t="s">
        <v>6905</v>
      </c>
      <c r="M2327" s="1077">
        <v>303.89999999999998</v>
      </c>
      <c r="N2327" s="1077" t="s">
        <v>945</v>
      </c>
      <c r="O2327" s="1077">
        <v>7.5975000000000001</v>
      </c>
      <c r="P2327" s="1077">
        <v>6.0779999999999994</v>
      </c>
      <c r="Q2327" s="1077" t="s">
        <v>2422</v>
      </c>
      <c r="R2327" s="1077">
        <v>24.5</v>
      </c>
      <c r="T2327" s="1077">
        <v>12.7</v>
      </c>
      <c r="U2327" s="1077">
        <v>2.6</v>
      </c>
      <c r="V2327" s="1077" t="s">
        <v>648</v>
      </c>
      <c r="W2327" s="1077" t="s">
        <v>2532</v>
      </c>
      <c r="X2327" s="1077">
        <v>10</v>
      </c>
      <c r="Y2327" s="1077">
        <v>1.5</v>
      </c>
      <c r="Z2327" s="1077" t="s">
        <v>648</v>
      </c>
      <c r="AA2327" s="1077" t="s">
        <v>7273</v>
      </c>
      <c r="AH2327" s="1077" t="s">
        <v>1482</v>
      </c>
      <c r="AM2327" s="1078" t="s">
        <v>13602</v>
      </c>
      <c r="AN2327" s="1078" t="s">
        <v>13603</v>
      </c>
      <c r="AO2327" s="1078">
        <f t="shared" si="294"/>
        <v>600</v>
      </c>
      <c r="AP2327" s="1078">
        <f t="shared" si="295"/>
        <v>1.7949999999999999</v>
      </c>
      <c r="AQ2327" s="1078" t="str">
        <f t="shared" si="296"/>
        <v>1-5-1S83°Z+S</v>
      </c>
      <c r="AR2327" s="1078" t="str">
        <f t="shared" si="297"/>
        <v>33.6</v>
      </c>
      <c r="AS2327" s="1078" t="str">
        <f t="shared" si="298"/>
        <v>310/310/190</v>
      </c>
      <c r="AT2327" s="1078" t="str">
        <f t="shared" si="299"/>
        <v>1-5-1S83°Z+S</v>
      </c>
      <c r="AU2327" s="1078" t="s">
        <v>15547</v>
      </c>
      <c r="AV2327" s="1078" t="str">
        <f t="shared" si="292"/>
        <v>109.7.15</v>
      </c>
      <c r="AW2327" s="1344">
        <f t="shared" si="293"/>
        <v>44027</v>
      </c>
    </row>
    <row r="2328" spans="1:49">
      <c r="A2328" s="1077" t="s">
        <v>7275</v>
      </c>
      <c r="B2328" s="1077" t="s">
        <v>7009</v>
      </c>
      <c r="C2328" s="1077">
        <v>600</v>
      </c>
      <c r="D2328" s="1077">
        <v>1.8160000000000001</v>
      </c>
      <c r="E2328" s="1077" t="s">
        <v>15102</v>
      </c>
      <c r="F2328" s="1077" t="s">
        <v>975</v>
      </c>
      <c r="G2328" s="1077">
        <v>5</v>
      </c>
      <c r="H2328" s="1077" t="s">
        <v>7196</v>
      </c>
      <c r="I2328" s="1077" t="s">
        <v>7105</v>
      </c>
      <c r="K2328" s="1077" t="s">
        <v>7276</v>
      </c>
      <c r="L2328" s="1077" t="s">
        <v>4924</v>
      </c>
      <c r="M2328" s="1077">
        <v>290.39999999999998</v>
      </c>
      <c r="N2328" s="1077" t="s">
        <v>945</v>
      </c>
      <c r="O2328" s="1077">
        <v>7.26</v>
      </c>
      <c r="P2328" s="1077">
        <v>5.8079999999999998</v>
      </c>
      <c r="Q2328" s="1077" t="s">
        <v>2950</v>
      </c>
      <c r="R2328" s="1077">
        <v>17.5</v>
      </c>
      <c r="T2328" s="1077">
        <v>32.200000000000003</v>
      </c>
      <c r="U2328" s="1077">
        <v>3.3</v>
      </c>
      <c r="V2328" s="1077" t="s">
        <v>648</v>
      </c>
      <c r="W2328" s="1077" t="s">
        <v>4947</v>
      </c>
      <c r="X2328" s="1077">
        <v>10</v>
      </c>
      <c r="Y2328" s="1077">
        <v>1.5</v>
      </c>
      <c r="Z2328" s="1077" t="s">
        <v>648</v>
      </c>
      <c r="AA2328" s="1077" t="s">
        <v>3046</v>
      </c>
      <c r="AH2328" s="1077" t="s">
        <v>650</v>
      </c>
      <c r="AM2328" s="1078" t="s">
        <v>13604</v>
      </c>
      <c r="AN2328" s="1078" t="s">
        <v>13605</v>
      </c>
      <c r="AO2328" s="1078">
        <f t="shared" si="294"/>
        <v>600</v>
      </c>
      <c r="AP2328" s="1078">
        <f t="shared" si="295"/>
        <v>1.8160000000000001</v>
      </c>
      <c r="AQ2328" s="1078" t="str">
        <f t="shared" si="296"/>
        <v>2-6-1S83°</v>
      </c>
      <c r="AR2328" s="1078" t="str">
        <f t="shared" si="297"/>
        <v>31.5</v>
      </c>
      <c r="AS2328" s="1078" t="str">
        <f t="shared" si="298"/>
        <v>193/175</v>
      </c>
      <c r="AT2328" s="1078" t="str">
        <f t="shared" si="299"/>
        <v>2-6-1S83°</v>
      </c>
      <c r="AV2328" s="1078" t="str">
        <f t="shared" si="292"/>
        <v>109.7.23</v>
      </c>
      <c r="AW2328" s="1344">
        <f t="shared" si="293"/>
        <v>44035</v>
      </c>
    </row>
    <row r="2329" spans="1:49">
      <c r="A2329" s="1077" t="s">
        <v>7277</v>
      </c>
      <c r="B2329" s="1077" t="s">
        <v>7091</v>
      </c>
      <c r="C2329" s="1077">
        <v>550</v>
      </c>
      <c r="D2329" s="1077">
        <v>1.78</v>
      </c>
      <c r="E2329" s="1077">
        <v>102.5</v>
      </c>
      <c r="F2329" s="1077" t="s">
        <v>4070</v>
      </c>
      <c r="G2329" s="1077">
        <v>5</v>
      </c>
      <c r="H2329" s="1077" t="s">
        <v>7047</v>
      </c>
      <c r="I2329" s="1077" t="s">
        <v>7048</v>
      </c>
      <c r="J2329" s="1077">
        <v>3.7</v>
      </c>
      <c r="K2329" s="1077" t="s">
        <v>7278</v>
      </c>
      <c r="L2329" s="1077" t="s">
        <v>5152</v>
      </c>
      <c r="M2329" s="1077">
        <v>290</v>
      </c>
      <c r="N2329" s="1077" t="s">
        <v>945</v>
      </c>
      <c r="O2329" s="1077">
        <v>7.25</v>
      </c>
      <c r="P2329" s="1077">
        <v>5.8</v>
      </c>
      <c r="Q2329" s="1077" t="s">
        <v>956</v>
      </c>
      <c r="R2329" s="1077">
        <v>19.5</v>
      </c>
      <c r="T2329" s="1077">
        <v>29.3</v>
      </c>
      <c r="U2329" s="1077">
        <v>3.5</v>
      </c>
      <c r="V2329" s="1077" t="s">
        <v>648</v>
      </c>
      <c r="W2329" s="1077" t="s">
        <v>2532</v>
      </c>
      <c r="X2329" s="1077">
        <v>20</v>
      </c>
      <c r="Y2329" s="1077">
        <v>1.5</v>
      </c>
      <c r="Z2329" s="1077" t="s">
        <v>648</v>
      </c>
      <c r="AA2329" s="1077" t="s">
        <v>2706</v>
      </c>
      <c r="AH2329" s="1077" t="s">
        <v>854</v>
      </c>
      <c r="AM2329" s="1078" t="s">
        <v>13606</v>
      </c>
      <c r="AN2329" s="1078" t="s">
        <v>13607</v>
      </c>
      <c r="AO2329" s="1078">
        <f t="shared" si="294"/>
        <v>550</v>
      </c>
      <c r="AP2329" s="1078">
        <f t="shared" si="295"/>
        <v>1.78</v>
      </c>
      <c r="AQ2329" s="1078">
        <f t="shared" si="296"/>
        <v>102.5</v>
      </c>
      <c r="AR2329" s="1078" t="str">
        <f t="shared" si="297"/>
        <v>15.5</v>
      </c>
      <c r="AS2329" s="1078" t="str">
        <f t="shared" si="298"/>
        <v>485/445/OFF</v>
      </c>
      <c r="AT2329" s="1078">
        <f t="shared" si="299"/>
        <v>102.5</v>
      </c>
      <c r="AV2329" s="1078" t="str">
        <f t="shared" si="292"/>
        <v>108.7.24</v>
      </c>
      <c r="AW2329" s="1344">
        <f t="shared" si="293"/>
        <v>43670</v>
      </c>
    </row>
    <row r="2330" spans="1:49">
      <c r="A2330" s="1077" t="s">
        <v>7279</v>
      </c>
      <c r="B2330" s="1077" t="s">
        <v>7114</v>
      </c>
      <c r="C2330" s="1077">
        <v>550</v>
      </c>
      <c r="D2330" s="1077">
        <v>1.7549999999999999</v>
      </c>
      <c r="E2330" s="1077">
        <v>102.5</v>
      </c>
      <c r="F2330" s="1077" t="s">
        <v>5134</v>
      </c>
      <c r="G2330" s="1077">
        <v>5</v>
      </c>
      <c r="H2330" s="1077" t="s">
        <v>7280</v>
      </c>
      <c r="I2330" s="1077" t="s">
        <v>6896</v>
      </c>
      <c r="J2330" s="1077">
        <v>3</v>
      </c>
      <c r="K2330" s="1077" t="s">
        <v>7281</v>
      </c>
      <c r="L2330" s="1077" t="s">
        <v>4854</v>
      </c>
      <c r="M2330" s="1077">
        <v>300.7</v>
      </c>
      <c r="N2330" s="1077" t="s">
        <v>945</v>
      </c>
      <c r="O2330" s="1077">
        <v>7.5175000000000001</v>
      </c>
      <c r="P2330" s="1077">
        <v>6.0140000000000002</v>
      </c>
      <c r="Q2330" s="1077" t="s">
        <v>1005</v>
      </c>
      <c r="R2330" s="1077">
        <v>28.5</v>
      </c>
      <c r="T2330" s="1077">
        <v>14.7</v>
      </c>
      <c r="U2330" s="1077">
        <v>6.1</v>
      </c>
      <c r="V2330" s="1077" t="s">
        <v>648</v>
      </c>
      <c r="W2330" s="1077">
        <v>115</v>
      </c>
      <c r="X2330" s="1077">
        <v>45</v>
      </c>
      <c r="Y2330" s="1077">
        <v>1.5</v>
      </c>
      <c r="Z2330" s="1077" t="s">
        <v>648</v>
      </c>
      <c r="AA2330" s="1077" t="s">
        <v>1759</v>
      </c>
      <c r="AH2330" s="1077" t="s">
        <v>1643</v>
      </c>
      <c r="AM2330" s="1078" t="s">
        <v>13608</v>
      </c>
      <c r="AN2330" s="1078" t="s">
        <v>13609</v>
      </c>
      <c r="AO2330" s="1078">
        <f t="shared" si="294"/>
        <v>550</v>
      </c>
      <c r="AP2330" s="1078">
        <f t="shared" si="295"/>
        <v>1.7549999999999999</v>
      </c>
      <c r="AQ2330" s="1078">
        <f t="shared" si="296"/>
        <v>102.5</v>
      </c>
      <c r="AR2330" s="1078" t="str">
        <f t="shared" si="297"/>
        <v>15.6</v>
      </c>
      <c r="AS2330" s="1078" t="str">
        <f t="shared" si="298"/>
        <v>352/367/OFF</v>
      </c>
      <c r="AT2330" s="1078">
        <f t="shared" si="299"/>
        <v>102.5</v>
      </c>
      <c r="AV2330" s="1078" t="str">
        <f t="shared" si="292"/>
        <v>109.7.28</v>
      </c>
      <c r="AW2330" s="1344">
        <f t="shared" si="293"/>
        <v>44040</v>
      </c>
    </row>
    <row r="2331" spans="1:49">
      <c r="A2331" s="1077" t="s">
        <v>7282</v>
      </c>
      <c r="B2331" s="1077" t="s">
        <v>7283</v>
      </c>
      <c r="C2331" s="1077">
        <v>500</v>
      </c>
      <c r="D2331" s="1077">
        <v>1.71</v>
      </c>
      <c r="E2331" s="1077">
        <v>102.5</v>
      </c>
      <c r="F2331" s="1077" t="s">
        <v>4070</v>
      </c>
      <c r="G2331" s="1077">
        <v>3.5</v>
      </c>
      <c r="H2331" s="1077" t="s">
        <v>7284</v>
      </c>
      <c r="I2331" s="1077" t="s">
        <v>7087</v>
      </c>
      <c r="J2331" s="1077">
        <v>3</v>
      </c>
      <c r="K2331" s="1077" t="s">
        <v>7285</v>
      </c>
      <c r="L2331" s="1077" t="s">
        <v>7286</v>
      </c>
      <c r="M2331" s="1077">
        <v>310</v>
      </c>
      <c r="N2331" s="1077" t="s">
        <v>945</v>
      </c>
      <c r="O2331" s="1077">
        <v>7.75</v>
      </c>
      <c r="P2331" s="1077">
        <v>6.2</v>
      </c>
      <c r="Q2331" s="1077" t="s">
        <v>2401</v>
      </c>
      <c r="R2331" s="1077">
        <v>22</v>
      </c>
      <c r="T2331" s="1077">
        <v>22</v>
      </c>
      <c r="U2331" s="1077">
        <v>3.5</v>
      </c>
      <c r="V2331" s="1077" t="s">
        <v>648</v>
      </c>
      <c r="W2331" s="1077">
        <v>110</v>
      </c>
      <c r="X2331" s="1077">
        <v>85</v>
      </c>
      <c r="Y2331" s="1077">
        <v>1</v>
      </c>
      <c r="Z2331" s="1077" t="s">
        <v>648</v>
      </c>
      <c r="AA2331" s="1077" t="s">
        <v>1084</v>
      </c>
      <c r="AH2331" s="1077" t="s">
        <v>854</v>
      </c>
      <c r="AM2331" s="1078" t="s">
        <v>13610</v>
      </c>
      <c r="AN2331" s="1078" t="s">
        <v>13611</v>
      </c>
      <c r="AO2331" s="1078">
        <f t="shared" si="294"/>
        <v>500</v>
      </c>
      <c r="AP2331" s="1078">
        <f t="shared" si="295"/>
        <v>1.71</v>
      </c>
      <c r="AQ2331" s="1078">
        <f t="shared" si="296"/>
        <v>102.5</v>
      </c>
      <c r="AR2331" s="1078" t="str">
        <f t="shared" si="297"/>
        <v>15.5</v>
      </c>
      <c r="AS2331" s="1078" t="str">
        <f t="shared" si="298"/>
        <v>420/400/150</v>
      </c>
      <c r="AT2331" s="1078">
        <f t="shared" si="299"/>
        <v>102.5</v>
      </c>
      <c r="AV2331" s="1078" t="str">
        <f t="shared" si="292"/>
        <v>109.8.3</v>
      </c>
      <c r="AW2331" s="1344">
        <f t="shared" si="293"/>
        <v>44046</v>
      </c>
    </row>
    <row r="2332" spans="1:49">
      <c r="A2332" s="1077" t="s">
        <v>7287</v>
      </c>
      <c r="B2332" s="1077" t="s">
        <v>7288</v>
      </c>
      <c r="C2332" s="1077">
        <v>500</v>
      </c>
      <c r="D2332" s="1077">
        <v>1.75</v>
      </c>
      <c r="E2332" s="1077">
        <v>102.5</v>
      </c>
      <c r="F2332" s="1077" t="s">
        <v>4070</v>
      </c>
      <c r="G2332" s="1077">
        <v>3.5</v>
      </c>
      <c r="H2332" s="1077" t="s">
        <v>7284</v>
      </c>
      <c r="I2332" s="1077" t="s">
        <v>7087</v>
      </c>
      <c r="J2332" s="1077">
        <v>3</v>
      </c>
      <c r="K2332" s="1077" t="s">
        <v>7289</v>
      </c>
      <c r="L2332" s="1077" t="s">
        <v>7290</v>
      </c>
      <c r="M2332" s="1077">
        <v>310</v>
      </c>
      <c r="N2332" s="1077" t="s">
        <v>945</v>
      </c>
      <c r="O2332" s="1077">
        <v>7.75</v>
      </c>
      <c r="P2332" s="1077">
        <v>6.2</v>
      </c>
      <c r="Q2332" s="1077" t="s">
        <v>2401</v>
      </c>
      <c r="R2332" s="1077">
        <v>22</v>
      </c>
      <c r="T2332" s="1077">
        <v>22</v>
      </c>
      <c r="U2332" s="1077">
        <v>3.5</v>
      </c>
      <c r="V2332" s="1077" t="s">
        <v>648</v>
      </c>
      <c r="W2332" s="1077">
        <v>110</v>
      </c>
      <c r="X2332" s="1077">
        <v>85</v>
      </c>
      <c r="Y2332" s="1077">
        <v>1</v>
      </c>
      <c r="Z2332" s="1077" t="s">
        <v>648</v>
      </c>
      <c r="AA2332" s="1077" t="s">
        <v>2435</v>
      </c>
      <c r="AH2332" s="1077" t="s">
        <v>5681</v>
      </c>
      <c r="AM2332" s="1078" t="s">
        <v>13612</v>
      </c>
      <c r="AN2332" s="1078" t="s">
        <v>13613</v>
      </c>
      <c r="AO2332" s="1078">
        <f t="shared" si="294"/>
        <v>500</v>
      </c>
      <c r="AP2332" s="1078">
        <f t="shared" si="295"/>
        <v>1.75</v>
      </c>
      <c r="AQ2332" s="1078">
        <f t="shared" si="296"/>
        <v>102.5</v>
      </c>
      <c r="AR2332" s="1078" t="str">
        <f t="shared" si="297"/>
        <v>15.5</v>
      </c>
      <c r="AS2332" s="1078" t="str">
        <f t="shared" si="298"/>
        <v>420/400/150</v>
      </c>
      <c r="AT2332" s="1078">
        <f t="shared" si="299"/>
        <v>102.5</v>
      </c>
      <c r="AV2332" s="1078" t="str">
        <f t="shared" si="292"/>
        <v>109.7.31</v>
      </c>
      <c r="AW2332" s="1344">
        <f t="shared" si="293"/>
        <v>44043</v>
      </c>
    </row>
    <row r="2333" spans="1:49">
      <c r="A2333" s="1077" t="s">
        <v>7291</v>
      </c>
      <c r="B2333" s="1077" t="s">
        <v>7288</v>
      </c>
      <c r="C2333" s="1077">
        <v>600</v>
      </c>
      <c r="D2333" s="1077">
        <v>1.7849999999999999</v>
      </c>
      <c r="E2333" s="1077">
        <v>102.5</v>
      </c>
      <c r="F2333" s="1077" t="s">
        <v>4070</v>
      </c>
      <c r="G2333" s="1077">
        <v>3.5</v>
      </c>
      <c r="H2333" s="1077" t="s">
        <v>6952</v>
      </c>
      <c r="I2333" s="1077" t="s">
        <v>7150</v>
      </c>
      <c r="J2333" s="1077">
        <v>3</v>
      </c>
      <c r="K2333" s="1077" t="s">
        <v>7292</v>
      </c>
      <c r="L2333" s="1077" t="s">
        <v>7290</v>
      </c>
      <c r="M2333" s="1077">
        <v>310</v>
      </c>
      <c r="N2333" s="1077" t="s">
        <v>945</v>
      </c>
      <c r="O2333" s="1077">
        <v>7.75</v>
      </c>
      <c r="P2333" s="1077">
        <v>6.2</v>
      </c>
      <c r="Q2333" s="1077" t="s">
        <v>2401</v>
      </c>
      <c r="R2333" s="1077">
        <v>22</v>
      </c>
      <c r="T2333" s="1077">
        <v>22</v>
      </c>
      <c r="U2333" s="1077">
        <v>3.5</v>
      </c>
      <c r="V2333" s="1077" t="s">
        <v>648</v>
      </c>
      <c r="W2333" s="1077">
        <v>110</v>
      </c>
      <c r="X2333" s="1077">
        <v>85</v>
      </c>
      <c r="Y2333" s="1077">
        <v>1</v>
      </c>
      <c r="Z2333" s="1077" t="s">
        <v>648</v>
      </c>
      <c r="AA2333" s="1077" t="s">
        <v>6435</v>
      </c>
      <c r="AH2333" s="1077" t="s">
        <v>5681</v>
      </c>
      <c r="AM2333" s="1078" t="s">
        <v>13614</v>
      </c>
      <c r="AN2333" s="1078" t="s">
        <v>13615</v>
      </c>
      <c r="AO2333" s="1078">
        <f t="shared" si="294"/>
        <v>600</v>
      </c>
      <c r="AP2333" s="1078">
        <f t="shared" si="295"/>
        <v>1.7849999999999999</v>
      </c>
      <c r="AQ2333" s="1078">
        <f t="shared" si="296"/>
        <v>102.5</v>
      </c>
      <c r="AR2333" s="1078" t="str">
        <f t="shared" si="297"/>
        <v>15.5</v>
      </c>
      <c r="AS2333" s="1078" t="str">
        <f t="shared" si="298"/>
        <v>340/340/140</v>
      </c>
      <c r="AT2333" s="1078">
        <f t="shared" si="299"/>
        <v>102.5</v>
      </c>
      <c r="AV2333" s="1078" t="str">
        <f t="shared" si="292"/>
        <v>109.10.6</v>
      </c>
      <c r="AW2333" s="1344">
        <f t="shared" si="293"/>
        <v>44110</v>
      </c>
    </row>
    <row r="2334" spans="1:49">
      <c r="A2334" s="1077" t="s">
        <v>7293</v>
      </c>
      <c r="B2334" s="1077" t="s">
        <v>836</v>
      </c>
      <c r="C2334" s="1077">
        <v>600</v>
      </c>
      <c r="D2334" s="1077">
        <v>1.7949999999999999</v>
      </c>
      <c r="E2334" s="1077" t="s">
        <v>15116</v>
      </c>
      <c r="F2334" s="1077" t="s">
        <v>6901</v>
      </c>
      <c r="G2334" s="1077">
        <v>4</v>
      </c>
      <c r="H2334" s="1077" t="s">
        <v>6902</v>
      </c>
      <c r="I2334" s="1077" t="s">
        <v>7001</v>
      </c>
      <c r="K2334" s="1077" t="s">
        <v>7294</v>
      </c>
      <c r="L2334" s="1077" t="s">
        <v>6905</v>
      </c>
      <c r="M2334" s="1077">
        <v>303.89999999999998</v>
      </c>
      <c r="N2334" s="1077" t="s">
        <v>945</v>
      </c>
      <c r="O2334" s="1077">
        <v>7.5975000000000001</v>
      </c>
      <c r="P2334" s="1077">
        <v>6.0779999999999994</v>
      </c>
      <c r="Q2334" s="1077" t="s">
        <v>2401</v>
      </c>
      <c r="R2334" s="1077">
        <v>24.5</v>
      </c>
      <c r="T2334" s="1077">
        <v>12.7</v>
      </c>
      <c r="U2334" s="1077">
        <v>2.6</v>
      </c>
      <c r="V2334" s="1077" t="s">
        <v>648</v>
      </c>
      <c r="W2334" s="1077" t="s">
        <v>2532</v>
      </c>
      <c r="X2334" s="1077">
        <v>10</v>
      </c>
      <c r="Y2334" s="1077">
        <v>1.5</v>
      </c>
      <c r="Z2334" s="1077" t="s">
        <v>648</v>
      </c>
      <c r="AA2334" s="1077" t="s">
        <v>2423</v>
      </c>
      <c r="AH2334" s="1077" t="s">
        <v>1221</v>
      </c>
      <c r="AM2334" s="1078" t="s">
        <v>13616</v>
      </c>
      <c r="AN2334" s="1078" t="s">
        <v>13617</v>
      </c>
      <c r="AO2334" s="1078">
        <f t="shared" si="294"/>
        <v>600</v>
      </c>
      <c r="AP2334" s="1078">
        <f t="shared" si="295"/>
        <v>1.7949999999999999</v>
      </c>
      <c r="AQ2334" s="1078" t="str">
        <f t="shared" si="296"/>
        <v>1-5-1S83°Z+S</v>
      </c>
      <c r="AR2334" s="1078" t="str">
        <f t="shared" si="297"/>
        <v>33.6</v>
      </c>
      <c r="AS2334" s="1078" t="str">
        <f t="shared" si="298"/>
        <v>310/310/190</v>
      </c>
      <c r="AT2334" s="1078" t="str">
        <f t="shared" si="299"/>
        <v>1-5-1S83°Z+S</v>
      </c>
      <c r="AU2334" s="1078" t="s">
        <v>15547</v>
      </c>
      <c r="AV2334" s="1078" t="str">
        <f t="shared" si="292"/>
        <v>109.7.29</v>
      </c>
      <c r="AW2334" s="1344">
        <f t="shared" si="293"/>
        <v>44041</v>
      </c>
    </row>
    <row r="2335" spans="1:49">
      <c r="A2335" s="1077" t="s">
        <v>7295</v>
      </c>
      <c r="B2335" s="1077" t="s">
        <v>825</v>
      </c>
      <c r="C2335" s="1077">
        <v>500</v>
      </c>
      <c r="D2335" s="1077">
        <v>1.75</v>
      </c>
      <c r="E2335" s="1077">
        <v>102.5</v>
      </c>
      <c r="F2335" s="1077" t="s">
        <v>4070</v>
      </c>
      <c r="G2335" s="1077">
        <v>3.5</v>
      </c>
      <c r="H2335" s="1077" t="s">
        <v>7284</v>
      </c>
      <c r="I2335" s="1077" t="s">
        <v>7087</v>
      </c>
      <c r="J2335" s="1077">
        <v>3</v>
      </c>
      <c r="K2335" s="1077" t="s">
        <v>7296</v>
      </c>
      <c r="L2335" s="1077" t="s">
        <v>7297</v>
      </c>
      <c r="M2335" s="1077">
        <v>310</v>
      </c>
      <c r="N2335" s="1077" t="s">
        <v>945</v>
      </c>
      <c r="O2335" s="1077">
        <v>7.75</v>
      </c>
      <c r="P2335" s="1077">
        <v>6.2</v>
      </c>
      <c r="Q2335" s="1077" t="s">
        <v>2401</v>
      </c>
      <c r="R2335" s="1077">
        <v>22</v>
      </c>
      <c r="T2335" s="1077">
        <v>22</v>
      </c>
      <c r="U2335" s="1077">
        <v>3.5</v>
      </c>
      <c r="V2335" s="1077" t="s">
        <v>648</v>
      </c>
      <c r="W2335" s="1077">
        <v>110</v>
      </c>
      <c r="X2335" s="1077">
        <v>85</v>
      </c>
      <c r="Y2335" s="1077">
        <v>1</v>
      </c>
      <c r="Z2335" s="1077" t="s">
        <v>648</v>
      </c>
      <c r="AA2335" s="1077" t="s">
        <v>7298</v>
      </c>
      <c r="AH2335" s="1077" t="s">
        <v>1376</v>
      </c>
      <c r="AM2335" s="1078" t="s">
        <v>13618</v>
      </c>
      <c r="AN2335" s="1078" t="s">
        <v>13619</v>
      </c>
      <c r="AO2335" s="1078">
        <f t="shared" si="294"/>
        <v>500</v>
      </c>
      <c r="AP2335" s="1078">
        <f t="shared" si="295"/>
        <v>1.75</v>
      </c>
      <c r="AQ2335" s="1078">
        <f t="shared" si="296"/>
        <v>102.5</v>
      </c>
      <c r="AR2335" s="1078" t="str">
        <f t="shared" si="297"/>
        <v>15.5</v>
      </c>
      <c r="AS2335" s="1078" t="str">
        <f t="shared" si="298"/>
        <v>420/400/150</v>
      </c>
      <c r="AT2335" s="1078">
        <f t="shared" si="299"/>
        <v>102.5</v>
      </c>
      <c r="AV2335" s="1078" t="str">
        <f t="shared" si="292"/>
        <v>109.8.4</v>
      </c>
      <c r="AW2335" s="1344">
        <f t="shared" si="293"/>
        <v>44047</v>
      </c>
    </row>
    <row r="2336" spans="1:49">
      <c r="A2336" s="1077" t="s">
        <v>7299</v>
      </c>
      <c r="B2336" s="1077" t="s">
        <v>825</v>
      </c>
      <c r="C2336" s="1077">
        <v>600</v>
      </c>
      <c r="D2336" s="1077">
        <v>1.79</v>
      </c>
      <c r="E2336" s="1077" t="s">
        <v>15116</v>
      </c>
      <c r="F2336" s="1077" t="s">
        <v>2234</v>
      </c>
      <c r="G2336" s="1077">
        <v>3.5</v>
      </c>
      <c r="H2336" s="1077" t="s">
        <v>6952</v>
      </c>
      <c r="I2336" s="1077" t="s">
        <v>7150</v>
      </c>
      <c r="J2336" s="1077">
        <v>3</v>
      </c>
      <c r="K2336" s="1077" t="s">
        <v>7300</v>
      </c>
      <c r="L2336" s="1077" t="s">
        <v>7297</v>
      </c>
      <c r="M2336" s="1077">
        <v>310</v>
      </c>
      <c r="N2336" s="1077" t="s">
        <v>945</v>
      </c>
      <c r="O2336" s="1077">
        <v>7.75</v>
      </c>
      <c r="P2336" s="1077">
        <v>6.2</v>
      </c>
      <c r="Q2336" s="1077" t="s">
        <v>2401</v>
      </c>
      <c r="R2336" s="1077">
        <v>22</v>
      </c>
      <c r="T2336" s="1077">
        <v>22</v>
      </c>
      <c r="U2336" s="1077">
        <v>3.5</v>
      </c>
      <c r="V2336" s="1077" t="s">
        <v>648</v>
      </c>
      <c r="W2336" s="1077">
        <v>110</v>
      </c>
      <c r="X2336" s="1077">
        <v>85</v>
      </c>
      <c r="Y2336" s="1077">
        <v>1</v>
      </c>
      <c r="Z2336" s="1077" t="s">
        <v>648</v>
      </c>
      <c r="AA2336" s="1077" t="s">
        <v>4274</v>
      </c>
      <c r="AH2336" s="1077" t="s">
        <v>1376</v>
      </c>
      <c r="AM2336" s="1078" t="s">
        <v>13620</v>
      </c>
      <c r="AN2336" s="1078" t="s">
        <v>13621</v>
      </c>
      <c r="AO2336" s="1078">
        <f t="shared" si="294"/>
        <v>600</v>
      </c>
      <c r="AP2336" s="1078">
        <f t="shared" si="295"/>
        <v>1.79</v>
      </c>
      <c r="AQ2336" s="1078" t="str">
        <f t="shared" si="296"/>
        <v>1-5-1S83°Z+S</v>
      </c>
      <c r="AR2336" s="1078" t="str">
        <f t="shared" si="297"/>
        <v>33.5</v>
      </c>
      <c r="AS2336" s="1078" t="str">
        <f t="shared" si="298"/>
        <v>340/340/140</v>
      </c>
      <c r="AT2336" s="1078" t="str">
        <f t="shared" si="299"/>
        <v>1-5-1S83°Z+S</v>
      </c>
      <c r="AU2336" s="1078" t="s">
        <v>15547</v>
      </c>
      <c r="AV2336" s="1078" t="str">
        <f t="shared" si="292"/>
        <v>109.9.8</v>
      </c>
      <c r="AW2336" s="1344">
        <f t="shared" si="293"/>
        <v>44082</v>
      </c>
    </row>
    <row r="2337" spans="1:49">
      <c r="A2337" s="1077" t="s">
        <v>7301</v>
      </c>
      <c r="B2337" s="1077" t="s">
        <v>7302</v>
      </c>
      <c r="C2337" s="1077">
        <v>600</v>
      </c>
      <c r="D2337" s="1077">
        <v>1.7450000000000001</v>
      </c>
      <c r="E2337" s="1077" t="s">
        <v>15116</v>
      </c>
      <c r="F2337" s="1077" t="s">
        <v>2234</v>
      </c>
      <c r="G2337" s="1077">
        <v>5</v>
      </c>
      <c r="H2337" s="1077" t="s">
        <v>6952</v>
      </c>
      <c r="I2337" s="1077" t="s">
        <v>7001</v>
      </c>
      <c r="K2337" s="1077" t="s">
        <v>7303</v>
      </c>
      <c r="L2337" s="1077" t="s">
        <v>7304</v>
      </c>
      <c r="M2337" s="1077">
        <v>310</v>
      </c>
      <c r="N2337" s="1077" t="s">
        <v>945</v>
      </c>
      <c r="O2337" s="1077">
        <v>7.75</v>
      </c>
      <c r="P2337" s="1077">
        <v>6.2</v>
      </c>
      <c r="Q2337" s="1077" t="s">
        <v>2553</v>
      </c>
      <c r="R2337" s="1077">
        <v>21</v>
      </c>
      <c r="T2337" s="1077">
        <v>11</v>
      </c>
      <c r="U2337" s="1077">
        <v>3.4</v>
      </c>
      <c r="V2337" s="1077" t="s">
        <v>648</v>
      </c>
      <c r="W2337" s="1077">
        <v>100</v>
      </c>
      <c r="X2337" s="1077">
        <v>85</v>
      </c>
      <c r="Y2337" s="1077">
        <v>1.2</v>
      </c>
      <c r="Z2337" s="1077" t="s">
        <v>648</v>
      </c>
      <c r="AA2337" s="1077" t="s">
        <v>2435</v>
      </c>
      <c r="AH2337" s="1077" t="s">
        <v>722</v>
      </c>
      <c r="AM2337" s="1078" t="s">
        <v>13622</v>
      </c>
      <c r="AN2337" s="1078" t="s">
        <v>13623</v>
      </c>
      <c r="AO2337" s="1078">
        <f t="shared" si="294"/>
        <v>600</v>
      </c>
      <c r="AP2337" s="1078">
        <f t="shared" si="295"/>
        <v>1.7450000000000001</v>
      </c>
      <c r="AQ2337" s="1078" t="str">
        <f t="shared" si="296"/>
        <v>1-5-1S83°Z+S</v>
      </c>
      <c r="AR2337" s="1078" t="str">
        <f t="shared" si="297"/>
        <v>33.5</v>
      </c>
      <c r="AS2337" s="1078" t="str">
        <f t="shared" si="298"/>
        <v>340/340/140</v>
      </c>
      <c r="AT2337" s="1078" t="str">
        <f t="shared" si="299"/>
        <v>1-5-1S83°Z+S</v>
      </c>
      <c r="AU2337" s="1078" t="s">
        <v>15547</v>
      </c>
      <c r="AV2337" s="1078" t="str">
        <f t="shared" si="292"/>
        <v>109.7.31</v>
      </c>
      <c r="AW2337" s="1344">
        <f t="shared" si="293"/>
        <v>44043</v>
      </c>
    </row>
    <row r="2338" spans="1:49">
      <c r="A2338" s="1077" t="s">
        <v>7305</v>
      </c>
      <c r="B2338" s="1077" t="s">
        <v>7306</v>
      </c>
      <c r="C2338" s="1077">
        <v>500</v>
      </c>
      <c r="D2338" s="1077">
        <v>1.71</v>
      </c>
      <c r="E2338" s="1077">
        <v>102.5</v>
      </c>
      <c r="F2338" s="1077" t="s">
        <v>4070</v>
      </c>
      <c r="G2338" s="1077">
        <v>3.5</v>
      </c>
      <c r="H2338" s="1077" t="s">
        <v>7284</v>
      </c>
      <c r="I2338" s="1077" t="s">
        <v>7087</v>
      </c>
      <c r="J2338" s="1077">
        <v>3</v>
      </c>
      <c r="K2338" s="1077" t="s">
        <v>7307</v>
      </c>
      <c r="L2338" s="1077" t="s">
        <v>7308</v>
      </c>
      <c r="M2338" s="1077">
        <v>310</v>
      </c>
      <c r="N2338" s="1077" t="s">
        <v>945</v>
      </c>
      <c r="O2338" s="1077">
        <v>7.75</v>
      </c>
      <c r="P2338" s="1077">
        <v>6.2</v>
      </c>
      <c r="Q2338" s="1077" t="s">
        <v>2401</v>
      </c>
      <c r="R2338" s="1077">
        <v>22</v>
      </c>
      <c r="T2338" s="1077">
        <v>22</v>
      </c>
      <c r="U2338" s="1077">
        <v>3.5</v>
      </c>
      <c r="V2338" s="1077" t="s">
        <v>648</v>
      </c>
      <c r="W2338" s="1077">
        <v>110</v>
      </c>
      <c r="X2338" s="1077">
        <v>85</v>
      </c>
      <c r="Y2338" s="1077">
        <v>1</v>
      </c>
      <c r="Z2338" s="1077" t="s">
        <v>648</v>
      </c>
      <c r="AA2338" s="1077" t="s">
        <v>1084</v>
      </c>
      <c r="AH2338" s="1077" t="s">
        <v>7309</v>
      </c>
      <c r="AM2338" s="1078" t="s">
        <v>13624</v>
      </c>
      <c r="AN2338" s="1078" t="s">
        <v>13625</v>
      </c>
      <c r="AO2338" s="1078">
        <f t="shared" si="294"/>
        <v>500</v>
      </c>
      <c r="AP2338" s="1078">
        <f t="shared" si="295"/>
        <v>1.71</v>
      </c>
      <c r="AQ2338" s="1078">
        <f t="shared" si="296"/>
        <v>102.5</v>
      </c>
      <c r="AR2338" s="1078" t="str">
        <f t="shared" si="297"/>
        <v>15.5</v>
      </c>
      <c r="AS2338" s="1078" t="str">
        <f t="shared" si="298"/>
        <v>420/400/150</v>
      </c>
      <c r="AT2338" s="1078">
        <f t="shared" si="299"/>
        <v>102.5</v>
      </c>
      <c r="AV2338" s="1078" t="str">
        <f t="shared" si="292"/>
        <v>109.8.3</v>
      </c>
      <c r="AW2338" s="1344">
        <f t="shared" si="293"/>
        <v>44046</v>
      </c>
    </row>
    <row r="2339" spans="1:49">
      <c r="A2339" s="1077" t="s">
        <v>7310</v>
      </c>
      <c r="B2339" s="1077" t="s">
        <v>775</v>
      </c>
      <c r="C2339" s="1077">
        <v>600</v>
      </c>
      <c r="D2339" s="1077">
        <v>1.8</v>
      </c>
      <c r="E2339" s="1077" t="s">
        <v>15116</v>
      </c>
      <c r="F2339" s="1077" t="s">
        <v>2234</v>
      </c>
      <c r="G2339" s="1077">
        <v>4</v>
      </c>
      <c r="H2339" s="1077" t="s">
        <v>6902</v>
      </c>
      <c r="I2339" s="1077" t="s">
        <v>6918</v>
      </c>
      <c r="K2339" s="1077" t="s">
        <v>7311</v>
      </c>
      <c r="L2339" s="1077" t="s">
        <v>6933</v>
      </c>
      <c r="M2339" s="1077">
        <v>302</v>
      </c>
      <c r="N2339" s="1077" t="s">
        <v>945</v>
      </c>
      <c r="O2339" s="1077">
        <v>7.5500000000000007</v>
      </c>
      <c r="P2339" s="1077">
        <v>6.04</v>
      </c>
      <c r="Q2339" s="1077" t="s">
        <v>2553</v>
      </c>
      <c r="R2339" s="1077">
        <v>27.3</v>
      </c>
      <c r="T2339" s="1077">
        <v>13.3</v>
      </c>
      <c r="U2339" s="1077">
        <v>2.2999999999999998</v>
      </c>
      <c r="V2339" s="1077" t="s">
        <v>648</v>
      </c>
      <c r="W2339" s="1077" t="s">
        <v>4947</v>
      </c>
      <c r="X2339" s="1077">
        <v>10</v>
      </c>
      <c r="Y2339" s="1077">
        <v>1.6</v>
      </c>
      <c r="Z2339" s="1077" t="s">
        <v>648</v>
      </c>
      <c r="AA2339" s="1077" t="s">
        <v>7298</v>
      </c>
      <c r="AH2339" s="1077" t="s">
        <v>1137</v>
      </c>
      <c r="AM2339" s="1078" t="s">
        <v>13626</v>
      </c>
      <c r="AN2339" s="1078" t="s">
        <v>13627</v>
      </c>
      <c r="AO2339" s="1078">
        <f t="shared" si="294"/>
        <v>600</v>
      </c>
      <c r="AP2339" s="1078">
        <f t="shared" si="295"/>
        <v>1.8</v>
      </c>
      <c r="AQ2339" s="1078" t="str">
        <f t="shared" si="296"/>
        <v>1-5-1S83°Z+S</v>
      </c>
      <c r="AR2339" s="1078" t="str">
        <f t="shared" si="297"/>
        <v>33.5</v>
      </c>
      <c r="AS2339" s="1078" t="str">
        <f t="shared" si="298"/>
        <v>310/310/190</v>
      </c>
      <c r="AT2339" s="1078" t="str">
        <f t="shared" si="299"/>
        <v>1-5-1S83°Z+S</v>
      </c>
      <c r="AU2339" s="1078" t="s">
        <v>15547</v>
      </c>
      <c r="AV2339" s="1078" t="str">
        <f t="shared" si="292"/>
        <v>109.8.4</v>
      </c>
      <c r="AW2339" s="1344">
        <f t="shared" si="293"/>
        <v>44047</v>
      </c>
    </row>
    <row r="2340" spans="1:49">
      <c r="A2340" s="1077" t="s">
        <v>7312</v>
      </c>
      <c r="B2340" s="1077" t="s">
        <v>7313</v>
      </c>
      <c r="C2340" s="1077">
        <v>500</v>
      </c>
      <c r="D2340" s="1077">
        <v>1.75</v>
      </c>
      <c r="E2340" s="1077">
        <v>102.5</v>
      </c>
      <c r="F2340" s="1077" t="s">
        <v>4070</v>
      </c>
      <c r="G2340" s="1077">
        <v>3.5</v>
      </c>
      <c r="H2340" s="1077" t="s">
        <v>7284</v>
      </c>
      <c r="I2340" s="1077" t="s">
        <v>7087</v>
      </c>
      <c r="J2340" s="1077">
        <v>3</v>
      </c>
      <c r="K2340" s="1077" t="s">
        <v>7314</v>
      </c>
      <c r="L2340" s="1077" t="s">
        <v>7315</v>
      </c>
      <c r="M2340" s="1077">
        <v>310</v>
      </c>
      <c r="N2340" s="1077" t="s">
        <v>945</v>
      </c>
      <c r="O2340" s="1077">
        <v>7.75</v>
      </c>
      <c r="P2340" s="1077">
        <v>6.2</v>
      </c>
      <c r="Q2340" s="1077" t="s">
        <v>2401</v>
      </c>
      <c r="R2340" s="1077">
        <v>22</v>
      </c>
      <c r="T2340" s="1077">
        <v>22</v>
      </c>
      <c r="U2340" s="1077">
        <v>3.5</v>
      </c>
      <c r="V2340" s="1077" t="s">
        <v>648</v>
      </c>
      <c r="W2340" s="1077">
        <v>110</v>
      </c>
      <c r="X2340" s="1077">
        <v>85</v>
      </c>
      <c r="Y2340" s="1077">
        <v>1</v>
      </c>
      <c r="Z2340" s="1077" t="s">
        <v>648</v>
      </c>
      <c r="AA2340" s="1077" t="s">
        <v>2438</v>
      </c>
      <c r="AH2340" s="1077" t="s">
        <v>887</v>
      </c>
      <c r="AM2340" s="1078" t="s">
        <v>13628</v>
      </c>
      <c r="AN2340" s="1078" t="s">
        <v>13629</v>
      </c>
      <c r="AO2340" s="1078">
        <f t="shared" si="294"/>
        <v>500</v>
      </c>
      <c r="AP2340" s="1078">
        <f t="shared" si="295"/>
        <v>1.75</v>
      </c>
      <c r="AQ2340" s="1078">
        <f t="shared" si="296"/>
        <v>102.5</v>
      </c>
      <c r="AR2340" s="1078" t="str">
        <f t="shared" si="297"/>
        <v>15.5</v>
      </c>
      <c r="AS2340" s="1078" t="str">
        <f t="shared" si="298"/>
        <v>420/400/150</v>
      </c>
      <c r="AT2340" s="1078">
        <f t="shared" si="299"/>
        <v>102.5</v>
      </c>
      <c r="AV2340" s="1078" t="str">
        <f t="shared" si="292"/>
        <v>109.8.7</v>
      </c>
      <c r="AW2340" s="1344">
        <f t="shared" si="293"/>
        <v>44050</v>
      </c>
    </row>
    <row r="2341" spans="1:49">
      <c r="A2341" s="1077" t="s">
        <v>7316</v>
      </c>
      <c r="B2341" s="1077" t="s">
        <v>7313</v>
      </c>
      <c r="C2341" s="1077">
        <v>600</v>
      </c>
      <c r="D2341" s="1077">
        <v>1.7849999999999999</v>
      </c>
      <c r="E2341" s="1077" t="s">
        <v>15116</v>
      </c>
      <c r="F2341" s="1077" t="s">
        <v>2234</v>
      </c>
      <c r="G2341" s="1077">
        <v>3.5</v>
      </c>
      <c r="H2341" s="1077" t="s">
        <v>6952</v>
      </c>
      <c r="I2341" s="1077" t="s">
        <v>7150</v>
      </c>
      <c r="J2341" s="1077">
        <v>3</v>
      </c>
      <c r="K2341" s="1077" t="s">
        <v>7317</v>
      </c>
      <c r="L2341" s="1077" t="s">
        <v>7315</v>
      </c>
      <c r="M2341" s="1077">
        <v>310</v>
      </c>
      <c r="N2341" s="1077" t="s">
        <v>945</v>
      </c>
      <c r="O2341" s="1077">
        <v>7.75</v>
      </c>
      <c r="P2341" s="1077">
        <v>6.2</v>
      </c>
      <c r="Q2341" s="1077" t="s">
        <v>2401</v>
      </c>
      <c r="R2341" s="1077">
        <v>22</v>
      </c>
      <c r="T2341" s="1077">
        <v>22</v>
      </c>
      <c r="U2341" s="1077">
        <v>3.5</v>
      </c>
      <c r="V2341" s="1077" t="s">
        <v>648</v>
      </c>
      <c r="W2341" s="1077">
        <v>110</v>
      </c>
      <c r="X2341" s="1077">
        <v>85</v>
      </c>
      <c r="Y2341" s="1077">
        <v>1</v>
      </c>
      <c r="Z2341" s="1077" t="s">
        <v>648</v>
      </c>
      <c r="AA2341" s="1077" t="s">
        <v>1091</v>
      </c>
      <c r="AH2341" s="1077" t="s">
        <v>887</v>
      </c>
      <c r="AM2341" s="1078" t="s">
        <v>13630</v>
      </c>
      <c r="AN2341" s="1078" t="s">
        <v>13631</v>
      </c>
      <c r="AO2341" s="1078">
        <f t="shared" si="294"/>
        <v>600</v>
      </c>
      <c r="AP2341" s="1078">
        <f t="shared" si="295"/>
        <v>1.7849999999999999</v>
      </c>
      <c r="AQ2341" s="1078" t="str">
        <f t="shared" si="296"/>
        <v>1-5-1S83°Z+S</v>
      </c>
      <c r="AR2341" s="1078" t="str">
        <f t="shared" si="297"/>
        <v>33.5</v>
      </c>
      <c r="AS2341" s="1078" t="str">
        <f t="shared" si="298"/>
        <v>340/340/140</v>
      </c>
      <c r="AT2341" s="1078" t="str">
        <f t="shared" si="299"/>
        <v>1-5-1S83°Z+S</v>
      </c>
      <c r="AU2341" s="1078" t="s">
        <v>15547</v>
      </c>
      <c r="AV2341" s="1078" t="str">
        <f t="shared" si="292"/>
        <v>109.9.10</v>
      </c>
      <c r="AW2341" s="1344">
        <f t="shared" si="293"/>
        <v>44084</v>
      </c>
    </row>
    <row r="2342" spans="1:49">
      <c r="A2342" s="1077" t="s">
        <v>7318</v>
      </c>
      <c r="B2342" s="1077" t="s">
        <v>6975</v>
      </c>
      <c r="C2342" s="1077">
        <v>500</v>
      </c>
      <c r="D2342" s="1077">
        <v>1.78</v>
      </c>
      <c r="E2342" s="1077">
        <v>102.5</v>
      </c>
      <c r="F2342" s="1077" t="s">
        <v>4070</v>
      </c>
      <c r="G2342" s="1077">
        <v>5</v>
      </c>
      <c r="H2342" s="1077" t="s">
        <v>6976</v>
      </c>
      <c r="I2342" s="1077" t="s">
        <v>7319</v>
      </c>
      <c r="J2342" s="1077">
        <v>2.9</v>
      </c>
      <c r="K2342" s="1077" t="s">
        <v>7320</v>
      </c>
      <c r="L2342" s="1077" t="s">
        <v>6978</v>
      </c>
      <c r="M2342" s="1077">
        <v>298</v>
      </c>
      <c r="N2342" s="1077" t="s">
        <v>945</v>
      </c>
      <c r="O2342" s="1077">
        <v>7.45</v>
      </c>
      <c r="P2342" s="1077">
        <v>5.96</v>
      </c>
      <c r="Q2342" s="1077" t="s">
        <v>4048</v>
      </c>
      <c r="R2342" s="1077">
        <v>25</v>
      </c>
      <c r="T2342" s="1077">
        <v>21</v>
      </c>
      <c r="U2342" s="1077">
        <v>3.6</v>
      </c>
      <c r="V2342" s="1077" t="s">
        <v>648</v>
      </c>
      <c r="W2342" s="1077">
        <v>100</v>
      </c>
      <c r="X2342" s="1077">
        <v>10</v>
      </c>
      <c r="Y2342" s="1077">
        <v>1.5</v>
      </c>
      <c r="Z2342" s="1077" t="s">
        <v>648</v>
      </c>
      <c r="AA2342" s="1077" t="s">
        <v>3017</v>
      </c>
      <c r="AH2342" s="1077" t="s">
        <v>723</v>
      </c>
      <c r="AM2342" s="1078" t="s">
        <v>13632</v>
      </c>
      <c r="AN2342" s="1078" t="s">
        <v>13633</v>
      </c>
      <c r="AO2342" s="1078">
        <f t="shared" si="294"/>
        <v>500</v>
      </c>
      <c r="AP2342" s="1078">
        <f t="shared" si="295"/>
        <v>1.78</v>
      </c>
      <c r="AQ2342" s="1078">
        <f t="shared" si="296"/>
        <v>102.5</v>
      </c>
      <c r="AR2342" s="1078" t="str">
        <f t="shared" si="297"/>
        <v>15.5</v>
      </c>
      <c r="AS2342" s="1078" t="str">
        <f t="shared" si="298"/>
        <v>400/390/155</v>
      </c>
      <c r="AT2342" s="1078">
        <f t="shared" si="299"/>
        <v>102.5</v>
      </c>
      <c r="AV2342" s="1078" t="str">
        <f t="shared" si="292"/>
        <v>109.8.11</v>
      </c>
      <c r="AW2342" s="1344">
        <f t="shared" si="293"/>
        <v>44054</v>
      </c>
    </row>
    <row r="2343" spans="1:49">
      <c r="A2343" s="1077" t="s">
        <v>7321</v>
      </c>
      <c r="B2343" s="1077" t="s">
        <v>6940</v>
      </c>
      <c r="C2343" s="1077">
        <v>450</v>
      </c>
      <c r="D2343" s="1077">
        <v>1.77</v>
      </c>
      <c r="E2343" s="1077" t="s">
        <v>15124</v>
      </c>
      <c r="F2343" s="1077" t="s">
        <v>975</v>
      </c>
      <c r="G2343" s="1077">
        <v>5</v>
      </c>
      <c r="H2343" s="1077" t="s">
        <v>7073</v>
      </c>
      <c r="I2343" s="1077" t="s">
        <v>7181</v>
      </c>
      <c r="J2343" s="1077">
        <v>1</v>
      </c>
      <c r="K2343" s="1077" t="s">
        <v>5961</v>
      </c>
      <c r="L2343" s="1077" t="s">
        <v>4952</v>
      </c>
      <c r="M2343" s="1077">
        <v>308.7</v>
      </c>
      <c r="N2343" s="1077" t="s">
        <v>945</v>
      </c>
      <c r="O2343" s="1077">
        <v>7.7175000000000002</v>
      </c>
      <c r="P2343" s="1077">
        <v>6.1739999999999995</v>
      </c>
      <c r="Q2343" s="1077" t="s">
        <v>7075</v>
      </c>
      <c r="R2343" s="1077">
        <v>25.5</v>
      </c>
      <c r="T2343" s="1077">
        <v>18</v>
      </c>
      <c r="U2343" s="1077">
        <v>5.0999999999999996</v>
      </c>
      <c r="V2343" s="1077" t="s">
        <v>648</v>
      </c>
      <c r="W2343" s="1077" t="s">
        <v>2816</v>
      </c>
      <c r="X2343" s="1077">
        <v>10</v>
      </c>
      <c r="Y2343" s="1077">
        <v>1.7</v>
      </c>
      <c r="Z2343" s="1077" t="s">
        <v>648</v>
      </c>
      <c r="AA2343" s="1077" t="s">
        <v>3017</v>
      </c>
      <c r="AH2343" s="1077" t="s">
        <v>812</v>
      </c>
      <c r="AM2343" s="1078" t="s">
        <v>13634</v>
      </c>
      <c r="AN2343" s="1078" t="s">
        <v>13635</v>
      </c>
      <c r="AO2343" s="1078">
        <f t="shared" si="294"/>
        <v>450</v>
      </c>
      <c r="AP2343" s="1078">
        <f t="shared" si="295"/>
        <v>1.77</v>
      </c>
      <c r="AQ2343" s="1078" t="str">
        <f t="shared" si="296"/>
        <v>2-6-1S83°Z+S</v>
      </c>
      <c r="AR2343" s="1078" t="str">
        <f t="shared" si="297"/>
        <v>31.5</v>
      </c>
      <c r="AS2343" s="1078" t="str">
        <f t="shared" si="298"/>
        <v>152/OFF</v>
      </c>
      <c r="AT2343" s="1078" t="str">
        <f t="shared" si="299"/>
        <v>2-6-1S83°Z+S</v>
      </c>
      <c r="AU2343" s="1078" t="s">
        <v>15547</v>
      </c>
      <c r="AV2343" s="1078" t="str">
        <f t="shared" si="292"/>
        <v>109.8.11</v>
      </c>
      <c r="AW2343" s="1344">
        <f t="shared" si="293"/>
        <v>44054</v>
      </c>
    </row>
    <row r="2344" spans="1:49">
      <c r="A2344" s="1077" t="s">
        <v>7322</v>
      </c>
      <c r="B2344" s="1077" t="s">
        <v>6975</v>
      </c>
      <c r="C2344" s="1077">
        <v>500</v>
      </c>
      <c r="D2344" s="1077">
        <v>1.78</v>
      </c>
      <c r="E2344" s="1077">
        <v>102.5</v>
      </c>
      <c r="F2344" s="1077" t="s">
        <v>4070</v>
      </c>
      <c r="G2344" s="1077">
        <v>5</v>
      </c>
      <c r="H2344" s="1077" t="s">
        <v>6976</v>
      </c>
      <c r="I2344" s="1077" t="s">
        <v>7319</v>
      </c>
      <c r="J2344" s="1077">
        <v>2.9</v>
      </c>
      <c r="K2344" s="1077" t="s">
        <v>7323</v>
      </c>
      <c r="L2344" s="1077" t="s">
        <v>7324</v>
      </c>
      <c r="M2344" s="1077">
        <v>298</v>
      </c>
      <c r="N2344" s="1077" t="s">
        <v>945</v>
      </c>
      <c r="O2344" s="1077">
        <v>7.45</v>
      </c>
      <c r="P2344" s="1077">
        <v>5.96</v>
      </c>
      <c r="Q2344" s="1077" t="s">
        <v>4048</v>
      </c>
      <c r="R2344" s="1077">
        <v>25</v>
      </c>
      <c r="T2344" s="1077">
        <v>21</v>
      </c>
      <c r="U2344" s="1077">
        <v>3.6</v>
      </c>
      <c r="V2344" s="1077" t="s">
        <v>648</v>
      </c>
      <c r="W2344" s="1077">
        <v>100</v>
      </c>
      <c r="X2344" s="1077">
        <v>10</v>
      </c>
      <c r="Y2344" s="1077">
        <v>1.5</v>
      </c>
      <c r="Z2344" s="1077" t="s">
        <v>648</v>
      </c>
      <c r="AA2344" s="1077" t="s">
        <v>3017</v>
      </c>
      <c r="AH2344" s="1077" t="s">
        <v>870</v>
      </c>
      <c r="AM2344" s="1078" t="s">
        <v>13636</v>
      </c>
      <c r="AN2344" s="1078" t="s">
        <v>13637</v>
      </c>
      <c r="AO2344" s="1078">
        <f t="shared" si="294"/>
        <v>500</v>
      </c>
      <c r="AP2344" s="1078">
        <f t="shared" si="295"/>
        <v>1.78</v>
      </c>
      <c r="AQ2344" s="1078">
        <f t="shared" si="296"/>
        <v>102.5</v>
      </c>
      <c r="AR2344" s="1078" t="str">
        <f t="shared" si="297"/>
        <v>15.5</v>
      </c>
      <c r="AS2344" s="1078" t="str">
        <f t="shared" si="298"/>
        <v>400/390/155</v>
      </c>
      <c r="AT2344" s="1078">
        <f t="shared" si="299"/>
        <v>102.5</v>
      </c>
      <c r="AV2344" s="1078" t="str">
        <f t="shared" si="292"/>
        <v>109.8.11</v>
      </c>
      <c r="AW2344" s="1344">
        <f t="shared" si="293"/>
        <v>44054</v>
      </c>
    </row>
    <row r="2345" spans="1:49">
      <c r="A2345" s="1077" t="s">
        <v>7325</v>
      </c>
      <c r="B2345" s="1077" t="s">
        <v>7055</v>
      </c>
      <c r="C2345" s="1077">
        <v>650</v>
      </c>
      <c r="D2345" s="1077">
        <v>1.77</v>
      </c>
      <c r="E2345" s="1077" t="s">
        <v>15104</v>
      </c>
      <c r="F2345" s="1077" t="s">
        <v>648</v>
      </c>
      <c r="G2345" s="1077">
        <v>5.5</v>
      </c>
      <c r="H2345" s="1077" t="s">
        <v>1470</v>
      </c>
      <c r="I2345" s="1077" t="s">
        <v>7326</v>
      </c>
      <c r="J2345" s="1077">
        <v>3</v>
      </c>
      <c r="K2345" s="1077" t="s">
        <v>7058</v>
      </c>
      <c r="L2345" s="1077" t="s">
        <v>4946</v>
      </c>
      <c r="M2345" s="1077">
        <v>296</v>
      </c>
      <c r="N2345" s="1077" t="s">
        <v>945</v>
      </c>
      <c r="O2345" s="1077">
        <v>7.4</v>
      </c>
      <c r="P2345" s="1077">
        <v>5.92</v>
      </c>
      <c r="Q2345" s="1077" t="s">
        <v>1012</v>
      </c>
      <c r="R2345" s="1077">
        <v>27</v>
      </c>
      <c r="T2345" s="1077">
        <v>17.5</v>
      </c>
      <c r="U2345" s="1077">
        <v>6</v>
      </c>
      <c r="V2345" s="1077" t="s">
        <v>648</v>
      </c>
      <c r="W2345" s="1077" t="s">
        <v>4947</v>
      </c>
      <c r="X2345" s="1077">
        <v>10</v>
      </c>
      <c r="Y2345" s="1077">
        <v>1.2</v>
      </c>
      <c r="Z2345" s="1077" t="s">
        <v>648</v>
      </c>
      <c r="AA2345" s="1077" t="s">
        <v>4829</v>
      </c>
      <c r="AH2345" s="1077" t="s">
        <v>1053</v>
      </c>
      <c r="AM2345" s="1078" t="s">
        <v>13638</v>
      </c>
      <c r="AN2345" s="1078" t="s">
        <v>13639</v>
      </c>
      <c r="AO2345" s="1078">
        <f t="shared" si="294"/>
        <v>650</v>
      </c>
      <c r="AP2345" s="1078">
        <f t="shared" si="295"/>
        <v>1.77</v>
      </c>
      <c r="AQ2345" s="1078" t="str">
        <f t="shared" si="296"/>
        <v>1-4-1S85°Z+S</v>
      </c>
      <c r="AR2345" s="1078" t="str">
        <f t="shared" si="297"/>
        <v>NA</v>
      </c>
      <c r="AS2345" s="1078" t="str">
        <f t="shared" si="298"/>
        <v>160/OFF</v>
      </c>
      <c r="AT2345" s="1078" t="str">
        <f t="shared" si="299"/>
        <v>1-4-1S85°Z+S</v>
      </c>
      <c r="AU2345" s="1078" t="s">
        <v>15547</v>
      </c>
      <c r="AV2345" s="1078" t="str">
        <f t="shared" si="292"/>
        <v>109.8.14</v>
      </c>
      <c r="AW2345" s="1344">
        <f t="shared" si="293"/>
        <v>44057</v>
      </c>
    </row>
    <row r="2346" spans="1:49">
      <c r="A2346" s="1077" t="s">
        <v>7327</v>
      </c>
      <c r="B2346" s="1077" t="s">
        <v>7328</v>
      </c>
      <c r="C2346" s="1077">
        <v>600</v>
      </c>
      <c r="D2346" s="1077">
        <v>1.7450000000000001</v>
      </c>
      <c r="E2346" s="1077" t="s">
        <v>15116</v>
      </c>
      <c r="F2346" s="1077" t="s">
        <v>2234</v>
      </c>
      <c r="G2346" s="1077">
        <v>5</v>
      </c>
      <c r="H2346" s="1077" t="s">
        <v>6952</v>
      </c>
      <c r="I2346" s="1077" t="s">
        <v>7001</v>
      </c>
      <c r="K2346" s="1077" t="s">
        <v>7329</v>
      </c>
      <c r="L2346" s="1077" t="s">
        <v>7330</v>
      </c>
      <c r="M2346" s="1077">
        <v>310</v>
      </c>
      <c r="N2346" s="1077" t="s">
        <v>945</v>
      </c>
      <c r="O2346" s="1077">
        <v>7.75</v>
      </c>
      <c r="P2346" s="1077">
        <v>6.2</v>
      </c>
      <c r="Q2346" s="1077" t="s">
        <v>2553</v>
      </c>
      <c r="R2346" s="1077">
        <v>20</v>
      </c>
      <c r="T2346" s="1077">
        <v>11</v>
      </c>
      <c r="U2346" s="1077">
        <v>3.4</v>
      </c>
      <c r="V2346" s="1077" t="s">
        <v>648</v>
      </c>
      <c r="W2346" s="1077">
        <v>100</v>
      </c>
      <c r="X2346" s="1077">
        <v>85</v>
      </c>
      <c r="Y2346" s="1077">
        <v>1.2</v>
      </c>
      <c r="Z2346" s="1077" t="s">
        <v>648</v>
      </c>
      <c r="AA2346" s="1077" t="s">
        <v>3253</v>
      </c>
      <c r="AH2346" s="1077" t="s">
        <v>684</v>
      </c>
      <c r="AM2346" s="1078" t="s">
        <v>13640</v>
      </c>
      <c r="AN2346" s="1078" t="s">
        <v>13641</v>
      </c>
      <c r="AO2346" s="1078">
        <f t="shared" si="294"/>
        <v>600</v>
      </c>
      <c r="AP2346" s="1078">
        <f t="shared" si="295"/>
        <v>1.7450000000000001</v>
      </c>
      <c r="AQ2346" s="1078" t="str">
        <f t="shared" si="296"/>
        <v>1-5-1S83°Z+S</v>
      </c>
      <c r="AR2346" s="1078" t="str">
        <f t="shared" si="297"/>
        <v>33.5</v>
      </c>
      <c r="AS2346" s="1078" t="str">
        <f t="shared" si="298"/>
        <v>340/340/140</v>
      </c>
      <c r="AT2346" s="1078" t="str">
        <f t="shared" si="299"/>
        <v>1-5-1S83°Z+S</v>
      </c>
      <c r="AU2346" s="1078" t="s">
        <v>15547</v>
      </c>
      <c r="AV2346" s="1078" t="str">
        <f t="shared" si="292"/>
        <v>109.8.24</v>
      </c>
      <c r="AW2346" s="1344">
        <f t="shared" si="293"/>
        <v>44067</v>
      </c>
    </row>
    <row r="2347" spans="1:49">
      <c r="A2347" s="1077" t="s">
        <v>7331</v>
      </c>
      <c r="B2347" s="1077" t="s">
        <v>6975</v>
      </c>
      <c r="C2347" s="1077">
        <v>500</v>
      </c>
      <c r="D2347" s="1077">
        <v>1.78</v>
      </c>
      <c r="E2347" s="1077">
        <v>102.5</v>
      </c>
      <c r="F2347" s="1077" t="s">
        <v>4070</v>
      </c>
      <c r="G2347" s="1077">
        <v>5</v>
      </c>
      <c r="H2347" s="1077" t="s">
        <v>6976</v>
      </c>
      <c r="I2347" s="1077" t="s">
        <v>6903</v>
      </c>
      <c r="J2347" s="1077">
        <v>2.9</v>
      </c>
      <c r="K2347" s="1077" t="s">
        <v>7332</v>
      </c>
      <c r="L2347" s="1077" t="s">
        <v>6978</v>
      </c>
      <c r="M2347" s="1077">
        <v>298</v>
      </c>
      <c r="N2347" s="1077" t="s">
        <v>945</v>
      </c>
      <c r="O2347" s="1077">
        <v>7.45</v>
      </c>
      <c r="P2347" s="1077">
        <v>5.96</v>
      </c>
      <c r="Q2347" s="1077" t="s">
        <v>4048</v>
      </c>
      <c r="R2347" s="1077">
        <v>25</v>
      </c>
      <c r="T2347" s="1077">
        <v>21</v>
      </c>
      <c r="U2347" s="1077">
        <v>3.6</v>
      </c>
      <c r="V2347" s="1077" t="s">
        <v>648</v>
      </c>
      <c r="W2347" s="1077">
        <v>100</v>
      </c>
      <c r="X2347" s="1077">
        <v>10</v>
      </c>
      <c r="Y2347" s="1077">
        <v>1.5</v>
      </c>
      <c r="Z2347" s="1077" t="s">
        <v>648</v>
      </c>
      <c r="AA2347" s="1077" t="s">
        <v>2443</v>
      </c>
      <c r="AH2347" s="1077" t="s">
        <v>1376</v>
      </c>
      <c r="AM2347" s="1078" t="s">
        <v>13642</v>
      </c>
      <c r="AN2347" s="1078" t="s">
        <v>13643</v>
      </c>
      <c r="AO2347" s="1078">
        <f t="shared" si="294"/>
        <v>500</v>
      </c>
      <c r="AP2347" s="1078">
        <f t="shared" si="295"/>
        <v>1.78</v>
      </c>
      <c r="AQ2347" s="1078">
        <f t="shared" si="296"/>
        <v>102.5</v>
      </c>
      <c r="AR2347" s="1078" t="str">
        <f t="shared" si="297"/>
        <v>15.5</v>
      </c>
      <c r="AS2347" s="1078" t="str">
        <f t="shared" si="298"/>
        <v>400/390/155</v>
      </c>
      <c r="AT2347" s="1078">
        <f t="shared" si="299"/>
        <v>102.5</v>
      </c>
      <c r="AV2347" s="1078" t="str">
        <f t="shared" si="292"/>
        <v>109.8.28</v>
      </c>
      <c r="AW2347" s="1344">
        <f t="shared" si="293"/>
        <v>44071</v>
      </c>
    </row>
    <row r="2348" spans="1:49">
      <c r="A2348" s="1077" t="s">
        <v>7333</v>
      </c>
      <c r="B2348" s="1077" t="s">
        <v>714</v>
      </c>
      <c r="C2348" s="1077">
        <v>550</v>
      </c>
      <c r="D2348" s="1077">
        <v>1.7669999999999999</v>
      </c>
      <c r="E2348" s="1077">
        <v>102.5</v>
      </c>
      <c r="F2348" s="1077" t="s">
        <v>4070</v>
      </c>
      <c r="G2348" s="1077" t="s">
        <v>6865</v>
      </c>
      <c r="H2348" s="1077" t="s">
        <v>6891</v>
      </c>
      <c r="I2348" s="1077" t="s">
        <v>6873</v>
      </c>
      <c r="J2348" s="1077">
        <v>3.7</v>
      </c>
      <c r="K2348" s="1077" t="s">
        <v>7334</v>
      </c>
      <c r="L2348" s="1077" t="s">
        <v>4666</v>
      </c>
      <c r="M2348" s="1077">
        <v>300.8</v>
      </c>
      <c r="N2348" s="1077" t="s">
        <v>945</v>
      </c>
      <c r="O2348" s="1077">
        <v>7.5200000000000005</v>
      </c>
      <c r="P2348" s="1077">
        <v>6.016</v>
      </c>
      <c r="Q2348" s="1077" t="s">
        <v>988</v>
      </c>
      <c r="R2348" s="1077">
        <v>17</v>
      </c>
      <c r="T2348" s="1077">
        <v>31.4</v>
      </c>
      <c r="U2348" s="1077">
        <v>3.6</v>
      </c>
      <c r="V2348" s="1077" t="s">
        <v>648</v>
      </c>
      <c r="W2348" s="1077" t="s">
        <v>6869</v>
      </c>
      <c r="X2348" s="1077">
        <v>10</v>
      </c>
      <c r="Y2348" s="1077">
        <v>1.5</v>
      </c>
      <c r="Z2348" s="1077" t="s">
        <v>648</v>
      </c>
      <c r="AA2348" s="1077" t="s">
        <v>3171</v>
      </c>
      <c r="AH2348" s="1077" t="s">
        <v>887</v>
      </c>
      <c r="AM2348" s="1078" t="s">
        <v>13644</v>
      </c>
      <c r="AN2348" s="1078" t="s">
        <v>13645</v>
      </c>
      <c r="AO2348" s="1078">
        <f t="shared" si="294"/>
        <v>550</v>
      </c>
      <c r="AP2348" s="1078">
        <f t="shared" si="295"/>
        <v>1.7669999999999999</v>
      </c>
      <c r="AQ2348" s="1078">
        <f t="shared" si="296"/>
        <v>102.5</v>
      </c>
      <c r="AR2348" s="1078" t="str">
        <f t="shared" si="297"/>
        <v>15.5</v>
      </c>
      <c r="AS2348" s="1078" t="str">
        <f t="shared" si="298"/>
        <v>481/441/OFF</v>
      </c>
      <c r="AT2348" s="1078">
        <f t="shared" si="299"/>
        <v>102.5</v>
      </c>
      <c r="AV2348" s="1078" t="str">
        <f t="shared" si="292"/>
        <v>109.9.17</v>
      </c>
      <c r="AW2348" s="1344">
        <f t="shared" si="293"/>
        <v>44091</v>
      </c>
    </row>
    <row r="2349" spans="1:49">
      <c r="A2349" s="1077" t="s">
        <v>7335</v>
      </c>
      <c r="B2349" s="1077" t="s">
        <v>714</v>
      </c>
      <c r="C2349" s="1077">
        <v>550</v>
      </c>
      <c r="D2349" s="1077">
        <v>1.7669999999999999</v>
      </c>
      <c r="E2349" s="1077">
        <v>102.5</v>
      </c>
      <c r="F2349" s="1077" t="s">
        <v>4070</v>
      </c>
      <c r="G2349" s="1077" t="s">
        <v>6865</v>
      </c>
      <c r="H2349" s="1077" t="s">
        <v>6891</v>
      </c>
      <c r="I2349" s="1077" t="s">
        <v>6873</v>
      </c>
      <c r="J2349" s="1077">
        <v>3.7</v>
      </c>
      <c r="K2349" s="1077" t="s">
        <v>7336</v>
      </c>
      <c r="L2349" s="1077" t="s">
        <v>4666</v>
      </c>
      <c r="M2349" s="1077">
        <v>300.8</v>
      </c>
      <c r="N2349" s="1077" t="s">
        <v>945</v>
      </c>
      <c r="O2349" s="1077">
        <v>7.5200000000000005</v>
      </c>
      <c r="P2349" s="1077">
        <v>6.016</v>
      </c>
      <c r="Q2349" s="1077" t="s">
        <v>988</v>
      </c>
      <c r="R2349" s="1077">
        <v>17</v>
      </c>
      <c r="T2349" s="1077">
        <v>31.4</v>
      </c>
      <c r="U2349" s="1077">
        <v>3.6</v>
      </c>
      <c r="V2349" s="1077" t="s">
        <v>648</v>
      </c>
      <c r="W2349" s="1077" t="s">
        <v>6869</v>
      </c>
      <c r="X2349" s="1077">
        <v>10</v>
      </c>
      <c r="Y2349" s="1077">
        <v>1.5</v>
      </c>
      <c r="Z2349" s="1077" t="s">
        <v>648</v>
      </c>
      <c r="AA2349" s="1077" t="s">
        <v>5146</v>
      </c>
      <c r="AH2349" s="1077" t="s">
        <v>6606</v>
      </c>
      <c r="AM2349" s="1078" t="s">
        <v>13646</v>
      </c>
      <c r="AN2349" s="1078" t="s">
        <v>13647</v>
      </c>
      <c r="AO2349" s="1078">
        <f t="shared" si="294"/>
        <v>550</v>
      </c>
      <c r="AP2349" s="1078">
        <f t="shared" si="295"/>
        <v>1.7669999999999999</v>
      </c>
      <c r="AQ2349" s="1078">
        <f t="shared" si="296"/>
        <v>102.5</v>
      </c>
      <c r="AR2349" s="1078" t="str">
        <f t="shared" si="297"/>
        <v>15.5</v>
      </c>
      <c r="AS2349" s="1078" t="str">
        <f t="shared" si="298"/>
        <v>481/441/OFF</v>
      </c>
      <c r="AT2349" s="1078">
        <f t="shared" si="299"/>
        <v>102.5</v>
      </c>
      <c r="AV2349" s="1078" t="str">
        <f t="shared" si="292"/>
        <v>109.10.17</v>
      </c>
      <c r="AW2349" s="1344">
        <f t="shared" si="293"/>
        <v>44121</v>
      </c>
    </row>
    <row r="2350" spans="1:49">
      <c r="A2350" s="1077" t="s">
        <v>7337</v>
      </c>
      <c r="B2350" s="1077" t="s">
        <v>714</v>
      </c>
      <c r="C2350" s="1077">
        <v>600</v>
      </c>
      <c r="D2350" s="1077">
        <v>1.7769999999999999</v>
      </c>
      <c r="E2350" s="1077">
        <v>102.5</v>
      </c>
      <c r="F2350" s="1077" t="s">
        <v>4070</v>
      </c>
      <c r="G2350" s="1077">
        <v>5.5</v>
      </c>
      <c r="H2350" s="1077" t="s">
        <v>7338</v>
      </c>
      <c r="I2350" s="1077" t="s">
        <v>6896</v>
      </c>
      <c r="J2350" s="1077">
        <v>3.7</v>
      </c>
      <c r="K2350" s="1077" t="s">
        <v>7339</v>
      </c>
      <c r="L2350" s="1077" t="s">
        <v>4666</v>
      </c>
      <c r="M2350" s="1077">
        <v>295.10000000000002</v>
      </c>
      <c r="N2350" s="1077" t="s">
        <v>945</v>
      </c>
      <c r="O2350" s="1077">
        <v>7.3775000000000013</v>
      </c>
      <c r="P2350" s="1077">
        <v>5.9020000000000001</v>
      </c>
      <c r="Q2350" s="1077" t="s">
        <v>956</v>
      </c>
      <c r="R2350" s="1077">
        <v>17.399999999999999</v>
      </c>
      <c r="T2350" s="1077">
        <v>31</v>
      </c>
      <c r="U2350" s="1077">
        <v>3.5</v>
      </c>
      <c r="V2350" s="1077" t="s">
        <v>648</v>
      </c>
      <c r="W2350" s="1077" t="s">
        <v>6880</v>
      </c>
      <c r="X2350" s="1077">
        <v>40</v>
      </c>
      <c r="Y2350" s="1077">
        <v>1</v>
      </c>
      <c r="Z2350" s="1077" t="s">
        <v>648</v>
      </c>
      <c r="AA2350" s="1077" t="s">
        <v>3176</v>
      </c>
      <c r="AH2350" s="1077" t="s">
        <v>869</v>
      </c>
      <c r="AM2350" s="1078" t="s">
        <v>13648</v>
      </c>
      <c r="AN2350" s="1078" t="s">
        <v>13649</v>
      </c>
      <c r="AO2350" s="1078">
        <f t="shared" si="294"/>
        <v>600</v>
      </c>
      <c r="AP2350" s="1078">
        <f t="shared" si="295"/>
        <v>1.7769999999999999</v>
      </c>
      <c r="AQ2350" s="1078">
        <f t="shared" si="296"/>
        <v>102.5</v>
      </c>
      <c r="AR2350" s="1078" t="str">
        <f t="shared" si="297"/>
        <v>15.5</v>
      </c>
      <c r="AS2350" s="1078" t="str">
        <f t="shared" si="298"/>
        <v>504/464/OFF</v>
      </c>
      <c r="AT2350" s="1078">
        <f t="shared" si="299"/>
        <v>102.5</v>
      </c>
      <c r="AV2350" s="1078" t="str">
        <f t="shared" si="292"/>
        <v>109.9.29</v>
      </c>
      <c r="AW2350" s="1344">
        <f t="shared" si="293"/>
        <v>44103</v>
      </c>
    </row>
    <row r="2351" spans="1:49">
      <c r="A2351" s="1077" t="s">
        <v>7340</v>
      </c>
      <c r="B2351" s="1077" t="s">
        <v>714</v>
      </c>
      <c r="C2351" s="1077">
        <v>550</v>
      </c>
      <c r="D2351" s="1077">
        <v>1.7669999999999999</v>
      </c>
      <c r="E2351" s="1077">
        <v>102.5</v>
      </c>
      <c r="F2351" s="1077" t="s">
        <v>4070</v>
      </c>
      <c r="G2351" s="1077" t="s">
        <v>6865</v>
      </c>
      <c r="H2351" s="1077" t="s">
        <v>6891</v>
      </c>
      <c r="I2351" s="1077" t="s">
        <v>6873</v>
      </c>
      <c r="J2351" s="1077">
        <v>3.7</v>
      </c>
      <c r="K2351" s="1077" t="s">
        <v>7245</v>
      </c>
      <c r="L2351" s="1077" t="s">
        <v>4666</v>
      </c>
      <c r="M2351" s="1077">
        <v>300.8</v>
      </c>
      <c r="N2351" s="1077" t="s">
        <v>945</v>
      </c>
      <c r="O2351" s="1077">
        <v>7.5200000000000005</v>
      </c>
      <c r="P2351" s="1077">
        <v>6.016</v>
      </c>
      <c r="Q2351" s="1077" t="s">
        <v>988</v>
      </c>
      <c r="R2351" s="1077">
        <v>17</v>
      </c>
      <c r="T2351" s="1077">
        <v>31.4</v>
      </c>
      <c r="U2351" s="1077">
        <v>3.6</v>
      </c>
      <c r="V2351" s="1077" t="s">
        <v>648</v>
      </c>
      <c r="W2351" s="1077" t="s">
        <v>6869</v>
      </c>
      <c r="X2351" s="1077">
        <v>10</v>
      </c>
      <c r="Y2351" s="1077">
        <v>1.5</v>
      </c>
      <c r="Z2351" s="1077" t="s">
        <v>648</v>
      </c>
      <c r="AA2351" s="1077" t="s">
        <v>6435</v>
      </c>
      <c r="AH2351" s="1077" t="s">
        <v>1376</v>
      </c>
      <c r="AM2351" s="1078" t="s">
        <v>13650</v>
      </c>
      <c r="AN2351" s="1078" t="s">
        <v>13651</v>
      </c>
      <c r="AO2351" s="1078">
        <f t="shared" si="294"/>
        <v>550</v>
      </c>
      <c r="AP2351" s="1078">
        <f t="shared" si="295"/>
        <v>1.7669999999999999</v>
      </c>
      <c r="AQ2351" s="1078">
        <f t="shared" si="296"/>
        <v>102.5</v>
      </c>
      <c r="AR2351" s="1078" t="str">
        <f t="shared" si="297"/>
        <v>15.5</v>
      </c>
      <c r="AS2351" s="1078" t="str">
        <f t="shared" si="298"/>
        <v>481/441/OFF</v>
      </c>
      <c r="AT2351" s="1078">
        <f t="shared" si="299"/>
        <v>102.5</v>
      </c>
      <c r="AV2351" s="1078" t="str">
        <f t="shared" si="292"/>
        <v>109.10.6</v>
      </c>
      <c r="AW2351" s="1344">
        <f t="shared" si="293"/>
        <v>44110</v>
      </c>
    </row>
    <row r="2352" spans="1:49">
      <c r="A2352" s="1077" t="s">
        <v>7341</v>
      </c>
      <c r="B2352" s="1077" t="s">
        <v>714</v>
      </c>
      <c r="C2352" s="1077">
        <v>600</v>
      </c>
      <c r="D2352" s="1077">
        <v>1.7769999999999999</v>
      </c>
      <c r="E2352" s="1077">
        <v>102.5</v>
      </c>
      <c r="F2352" s="1077" t="s">
        <v>4070</v>
      </c>
      <c r="G2352" s="1077">
        <v>5.5</v>
      </c>
      <c r="H2352" s="1077" t="s">
        <v>7338</v>
      </c>
      <c r="I2352" s="1077" t="s">
        <v>7048</v>
      </c>
      <c r="J2352" s="1077">
        <v>3.7</v>
      </c>
      <c r="K2352" s="1077" t="s">
        <v>7342</v>
      </c>
      <c r="L2352" s="1077" t="s">
        <v>4666</v>
      </c>
      <c r="M2352" s="1077">
        <v>295.10000000000002</v>
      </c>
      <c r="N2352" s="1077" t="s">
        <v>945</v>
      </c>
      <c r="O2352" s="1077">
        <v>7.3775000000000013</v>
      </c>
      <c r="P2352" s="1077">
        <v>5.9020000000000001</v>
      </c>
      <c r="Q2352" s="1077" t="s">
        <v>946</v>
      </c>
      <c r="R2352" s="1077">
        <v>17.399999999999999</v>
      </c>
      <c r="T2352" s="1077">
        <v>31</v>
      </c>
      <c r="U2352" s="1077">
        <v>3.5</v>
      </c>
      <c r="V2352" s="1077" t="s">
        <v>648</v>
      </c>
      <c r="W2352" s="1077" t="s">
        <v>6880</v>
      </c>
      <c r="X2352" s="1077">
        <v>40</v>
      </c>
      <c r="Y2352" s="1077">
        <v>1</v>
      </c>
      <c r="Z2352" s="1077" t="s">
        <v>648</v>
      </c>
      <c r="AA2352" s="1077" t="s">
        <v>7343</v>
      </c>
      <c r="AH2352" s="1077" t="s">
        <v>723</v>
      </c>
      <c r="AM2352" s="1078" t="s">
        <v>13652</v>
      </c>
      <c r="AN2352" s="1078" t="s">
        <v>13653</v>
      </c>
      <c r="AO2352" s="1078">
        <f t="shared" si="294"/>
        <v>600</v>
      </c>
      <c r="AP2352" s="1078">
        <f t="shared" si="295"/>
        <v>1.7769999999999999</v>
      </c>
      <c r="AQ2352" s="1078">
        <f t="shared" si="296"/>
        <v>102.5</v>
      </c>
      <c r="AR2352" s="1078" t="str">
        <f t="shared" si="297"/>
        <v>15.5</v>
      </c>
      <c r="AS2352" s="1078" t="str">
        <f t="shared" si="298"/>
        <v>504/464/OFF</v>
      </c>
      <c r="AT2352" s="1078">
        <f t="shared" si="299"/>
        <v>102.5</v>
      </c>
      <c r="AV2352" s="1078" t="str">
        <f t="shared" si="292"/>
        <v>109.10.22</v>
      </c>
      <c r="AW2352" s="1344">
        <f t="shared" si="293"/>
        <v>44126</v>
      </c>
    </row>
    <row r="2353" spans="1:49">
      <c r="A2353" s="1077" t="s">
        <v>7344</v>
      </c>
      <c r="B2353" s="1077" t="s">
        <v>714</v>
      </c>
      <c r="C2353" s="1077">
        <v>600</v>
      </c>
      <c r="D2353" s="1077">
        <v>1.77</v>
      </c>
      <c r="E2353" s="1077">
        <v>102.5</v>
      </c>
      <c r="F2353" s="1077" t="s">
        <v>4070</v>
      </c>
      <c r="G2353" s="1077">
        <v>5.5</v>
      </c>
      <c r="H2353" s="1077" t="s">
        <v>7338</v>
      </c>
      <c r="I2353" s="1077" t="s">
        <v>7048</v>
      </c>
      <c r="J2353" s="1077">
        <v>3.7</v>
      </c>
      <c r="K2353" s="1077" t="s">
        <v>7345</v>
      </c>
      <c r="L2353" s="1077" t="s">
        <v>4666</v>
      </c>
      <c r="M2353" s="1077">
        <v>295.10000000000002</v>
      </c>
      <c r="N2353" s="1077" t="s">
        <v>945</v>
      </c>
      <c r="O2353" s="1077">
        <v>7.3775000000000013</v>
      </c>
      <c r="P2353" s="1077">
        <v>5.9020000000000001</v>
      </c>
      <c r="Q2353" s="1077">
        <v>4</v>
      </c>
      <c r="R2353" s="1077">
        <v>17.399999999999999</v>
      </c>
      <c r="T2353" s="1077">
        <v>31</v>
      </c>
      <c r="U2353" s="1077">
        <v>3.5</v>
      </c>
      <c r="V2353" s="1077" t="s">
        <v>648</v>
      </c>
      <c r="W2353" s="1077" t="s">
        <v>6880</v>
      </c>
      <c r="X2353" s="1077">
        <v>40</v>
      </c>
      <c r="Y2353" s="1077">
        <v>1</v>
      </c>
      <c r="Z2353" s="1077" t="s">
        <v>648</v>
      </c>
      <c r="AA2353" s="1077" t="s">
        <v>2478</v>
      </c>
      <c r="AH2353" s="1077" t="s">
        <v>2384</v>
      </c>
      <c r="AM2353" s="1078" t="s">
        <v>13654</v>
      </c>
      <c r="AN2353" s="1078" t="s">
        <v>13655</v>
      </c>
      <c r="AO2353" s="1078">
        <f t="shared" si="294"/>
        <v>600</v>
      </c>
      <c r="AP2353" s="1078">
        <f t="shared" si="295"/>
        <v>1.77</v>
      </c>
      <c r="AQ2353" s="1078">
        <f t="shared" si="296"/>
        <v>102.5</v>
      </c>
      <c r="AR2353" s="1078" t="str">
        <f t="shared" si="297"/>
        <v>15.5</v>
      </c>
      <c r="AS2353" s="1078" t="str">
        <f t="shared" si="298"/>
        <v>504/464/OFF</v>
      </c>
      <c r="AT2353" s="1078">
        <f t="shared" si="299"/>
        <v>102.5</v>
      </c>
      <c r="AV2353" s="1078" t="str">
        <f t="shared" si="292"/>
        <v>109.12.25</v>
      </c>
      <c r="AW2353" s="1344">
        <f t="shared" si="293"/>
        <v>44190</v>
      </c>
    </row>
    <row r="2354" spans="1:49">
      <c r="A2354" s="1077" t="s">
        <v>7346</v>
      </c>
      <c r="B2354" s="1077" t="s">
        <v>714</v>
      </c>
      <c r="C2354" s="1077">
        <v>550</v>
      </c>
      <c r="D2354" s="1077">
        <v>1.7669999999999999</v>
      </c>
      <c r="E2354" s="1077">
        <v>102.5</v>
      </c>
      <c r="F2354" s="1077" t="s">
        <v>4070</v>
      </c>
      <c r="G2354" s="1077" t="s">
        <v>6865</v>
      </c>
      <c r="H2354" s="1077" t="s">
        <v>7241</v>
      </c>
      <c r="I2354" s="1077" t="s">
        <v>6873</v>
      </c>
      <c r="J2354" s="1077">
        <v>3.7</v>
      </c>
      <c r="K2354" s="1077" t="s">
        <v>7347</v>
      </c>
      <c r="L2354" s="1077" t="s">
        <v>4666</v>
      </c>
      <c r="M2354" s="1077">
        <v>300.3</v>
      </c>
      <c r="N2354" s="1077" t="s">
        <v>945</v>
      </c>
      <c r="O2354" s="1077">
        <v>7.5075000000000003</v>
      </c>
      <c r="P2354" s="1077">
        <v>6.0060000000000002</v>
      </c>
      <c r="Q2354" s="1077" t="s">
        <v>979</v>
      </c>
      <c r="R2354" s="1077">
        <v>18.899999999999999</v>
      </c>
      <c r="T2354" s="1077">
        <v>26.9</v>
      </c>
      <c r="U2354" s="1077">
        <v>3.7</v>
      </c>
      <c r="V2354" s="1077" t="s">
        <v>648</v>
      </c>
      <c r="W2354" s="1077">
        <v>60</v>
      </c>
      <c r="X2354" s="1077">
        <v>10</v>
      </c>
      <c r="Y2354" s="1077">
        <v>1.1000000000000001</v>
      </c>
      <c r="Z2354" s="1077" t="s">
        <v>648</v>
      </c>
      <c r="AA2354" s="1077" t="s">
        <v>3093</v>
      </c>
      <c r="AH2354" s="1077" t="s">
        <v>870</v>
      </c>
      <c r="AM2354" s="1078" t="s">
        <v>13656</v>
      </c>
      <c r="AN2354" s="1078" t="s">
        <v>13657</v>
      </c>
      <c r="AO2354" s="1078">
        <f t="shared" si="294"/>
        <v>550</v>
      </c>
      <c r="AP2354" s="1078">
        <f t="shared" si="295"/>
        <v>1.7669999999999999</v>
      </c>
      <c r="AQ2354" s="1078">
        <f t="shared" si="296"/>
        <v>102.5</v>
      </c>
      <c r="AR2354" s="1078" t="str">
        <f t="shared" si="297"/>
        <v>15.5</v>
      </c>
      <c r="AS2354" s="1078" t="str">
        <f t="shared" si="298"/>
        <v>445/405/OFF</v>
      </c>
      <c r="AT2354" s="1078">
        <f t="shared" si="299"/>
        <v>102.5</v>
      </c>
      <c r="AV2354" s="1078" t="str">
        <f t="shared" si="292"/>
        <v>109.12.14</v>
      </c>
      <c r="AW2354" s="1344">
        <f t="shared" si="293"/>
        <v>44179</v>
      </c>
    </row>
    <row r="2355" spans="1:49">
      <c r="A2355" s="1077" t="s">
        <v>7348</v>
      </c>
      <c r="B2355" s="1077" t="s">
        <v>714</v>
      </c>
      <c r="C2355" s="1077">
        <v>550</v>
      </c>
      <c r="D2355" s="1077">
        <v>1.76</v>
      </c>
      <c r="E2355" s="1077">
        <v>102.5</v>
      </c>
      <c r="F2355" s="1077" t="s">
        <v>4070</v>
      </c>
      <c r="G2355" s="1077" t="s">
        <v>6865</v>
      </c>
      <c r="H2355" s="1077" t="s">
        <v>7349</v>
      </c>
      <c r="I2355" s="1077" t="s">
        <v>6873</v>
      </c>
      <c r="J2355" s="1077">
        <v>3.7</v>
      </c>
      <c r="K2355" s="1077" t="s">
        <v>7350</v>
      </c>
      <c r="L2355" s="1077" t="s">
        <v>4666</v>
      </c>
      <c r="M2355" s="1077">
        <v>300.3</v>
      </c>
      <c r="N2355" s="1077" t="s">
        <v>945</v>
      </c>
      <c r="O2355" s="1077">
        <v>7.5075000000000003</v>
      </c>
      <c r="P2355" s="1077">
        <v>6.0060000000000002</v>
      </c>
      <c r="Q2355" s="1077">
        <v>4</v>
      </c>
      <c r="R2355" s="1077">
        <v>18.899999999999999</v>
      </c>
      <c r="T2355" s="1077">
        <v>26.9</v>
      </c>
      <c r="U2355" s="1077">
        <v>3.7</v>
      </c>
      <c r="V2355" s="1077" t="s">
        <v>648</v>
      </c>
      <c r="W2355" s="1077">
        <v>60</v>
      </c>
      <c r="X2355" s="1077">
        <v>10</v>
      </c>
      <c r="Y2355" s="1077">
        <v>1.1000000000000001</v>
      </c>
      <c r="Z2355" s="1077" t="s">
        <v>648</v>
      </c>
      <c r="AA2355" s="1077" t="s">
        <v>3096</v>
      </c>
      <c r="AH2355" s="1077" t="s">
        <v>862</v>
      </c>
      <c r="AM2355" s="1078" t="s">
        <v>13658</v>
      </c>
      <c r="AN2355" s="1078" t="s">
        <v>13659</v>
      </c>
      <c r="AO2355" s="1078">
        <f t="shared" si="294"/>
        <v>550</v>
      </c>
      <c r="AP2355" s="1078">
        <f t="shared" si="295"/>
        <v>1.76</v>
      </c>
      <c r="AQ2355" s="1078">
        <f t="shared" si="296"/>
        <v>102.5</v>
      </c>
      <c r="AR2355" s="1078" t="str">
        <f t="shared" si="297"/>
        <v>15.5</v>
      </c>
      <c r="AS2355" s="1078" t="str">
        <f t="shared" si="298"/>
        <v>440/400/OFF</v>
      </c>
      <c r="AT2355" s="1078">
        <f t="shared" si="299"/>
        <v>102.5</v>
      </c>
      <c r="AV2355" s="1078" t="str">
        <f t="shared" si="292"/>
        <v>109.12.17</v>
      </c>
      <c r="AW2355" s="1344">
        <f t="shared" si="293"/>
        <v>44182</v>
      </c>
    </row>
    <row r="2356" spans="1:49">
      <c r="A2356" s="1077" t="s">
        <v>7351</v>
      </c>
      <c r="B2356" s="1077" t="s">
        <v>714</v>
      </c>
      <c r="C2356" s="1077">
        <v>550</v>
      </c>
      <c r="D2356" s="1077">
        <v>1.76</v>
      </c>
      <c r="E2356" s="1077">
        <v>102.5</v>
      </c>
      <c r="F2356" s="1077" t="s">
        <v>4070</v>
      </c>
      <c r="G2356" s="1077" t="s">
        <v>6865</v>
      </c>
      <c r="H2356" s="1077" t="s">
        <v>7349</v>
      </c>
      <c r="I2356" s="1077" t="s">
        <v>6867</v>
      </c>
      <c r="J2356" s="1077">
        <v>3.7</v>
      </c>
      <c r="K2356" s="1077" t="s">
        <v>7352</v>
      </c>
      <c r="L2356" s="1077" t="s">
        <v>4666</v>
      </c>
      <c r="M2356" s="1077">
        <v>300.3</v>
      </c>
      <c r="N2356" s="1077" t="s">
        <v>945</v>
      </c>
      <c r="O2356" s="1077">
        <v>7.5075000000000003</v>
      </c>
      <c r="P2356" s="1077">
        <v>6.0060000000000002</v>
      </c>
      <c r="Q2356" s="1077">
        <v>4</v>
      </c>
      <c r="R2356" s="1077">
        <v>18.899999999999999</v>
      </c>
      <c r="T2356" s="1077">
        <v>26.9</v>
      </c>
      <c r="U2356" s="1077">
        <v>3.7</v>
      </c>
      <c r="V2356" s="1077" t="s">
        <v>648</v>
      </c>
      <c r="W2356" s="1077">
        <v>60</v>
      </c>
      <c r="X2356" s="1077">
        <v>10</v>
      </c>
      <c r="Y2356" s="1077">
        <v>1.1000000000000001</v>
      </c>
      <c r="Z2356" s="1077" t="s">
        <v>648</v>
      </c>
      <c r="AA2356" s="1077" t="s">
        <v>1208</v>
      </c>
      <c r="AH2356" s="1077" t="s">
        <v>887</v>
      </c>
      <c r="AM2356" s="1078" t="s">
        <v>13660</v>
      </c>
      <c r="AN2356" s="1078" t="s">
        <v>13661</v>
      </c>
      <c r="AO2356" s="1078">
        <f t="shared" si="294"/>
        <v>550</v>
      </c>
      <c r="AP2356" s="1078">
        <f t="shared" si="295"/>
        <v>1.76</v>
      </c>
      <c r="AQ2356" s="1078">
        <f t="shared" si="296"/>
        <v>102.5</v>
      </c>
      <c r="AR2356" s="1078" t="str">
        <f t="shared" si="297"/>
        <v>15.5</v>
      </c>
      <c r="AS2356" s="1078" t="str">
        <f t="shared" si="298"/>
        <v>440/400/OFF</v>
      </c>
      <c r="AT2356" s="1078">
        <f t="shared" si="299"/>
        <v>102.5</v>
      </c>
      <c r="AV2356" s="1078" t="str">
        <f t="shared" si="292"/>
        <v>109.12.28</v>
      </c>
      <c r="AW2356" s="1344">
        <f t="shared" si="293"/>
        <v>44193</v>
      </c>
    </row>
    <row r="2357" spans="1:49">
      <c r="A2357" s="1077" t="s">
        <v>7353</v>
      </c>
      <c r="B2357" s="1077" t="s">
        <v>714</v>
      </c>
      <c r="C2357" s="1077" t="s">
        <v>3725</v>
      </c>
      <c r="D2357" s="1077">
        <v>1.7569999999999999</v>
      </c>
      <c r="E2357" s="1077" t="s">
        <v>15104</v>
      </c>
      <c r="F2357" s="1077" t="s">
        <v>648</v>
      </c>
      <c r="G2357" s="1077" t="s">
        <v>6865</v>
      </c>
      <c r="H2357" s="1077" t="s">
        <v>7206</v>
      </c>
      <c r="I2357" s="1077" t="s">
        <v>6867</v>
      </c>
      <c r="J2357" s="1077">
        <v>3.7</v>
      </c>
      <c r="K2357" s="1077" t="s">
        <v>7354</v>
      </c>
      <c r="L2357" s="1077" t="s">
        <v>4666</v>
      </c>
      <c r="M2357" s="1077">
        <v>300.8</v>
      </c>
      <c r="N2357" s="1077" t="s">
        <v>945</v>
      </c>
      <c r="O2357" s="1077">
        <v>7.5200000000000005</v>
      </c>
      <c r="P2357" s="1077">
        <v>6.016</v>
      </c>
      <c r="Q2357" s="1077">
        <v>4</v>
      </c>
      <c r="R2357" s="1077">
        <v>17</v>
      </c>
      <c r="T2357" s="1077">
        <v>31.4</v>
      </c>
      <c r="U2357" s="1077">
        <v>3.6</v>
      </c>
      <c r="V2357" s="1077" t="s">
        <v>648</v>
      </c>
      <c r="W2357" s="1077">
        <v>65</v>
      </c>
      <c r="X2357" s="1077">
        <v>10</v>
      </c>
      <c r="Y2357" s="1077">
        <v>1.5</v>
      </c>
      <c r="Z2357" s="1077" t="s">
        <v>648</v>
      </c>
      <c r="AA2357" s="1077" t="s">
        <v>2485</v>
      </c>
      <c r="AH2357" s="1077" t="s">
        <v>831</v>
      </c>
      <c r="AM2357" s="1078" t="s">
        <v>13662</v>
      </c>
      <c r="AN2357" s="1078" t="s">
        <v>13663</v>
      </c>
      <c r="AO2357" s="1078" t="str">
        <f t="shared" si="294"/>
        <v>700↓650</v>
      </c>
      <c r="AP2357" s="1078">
        <f t="shared" si="295"/>
        <v>1.7569999999999999</v>
      </c>
      <c r="AQ2357" s="1078" t="str">
        <f t="shared" si="296"/>
        <v>1-4-1S85°Z+S</v>
      </c>
      <c r="AR2357" s="1078" t="str">
        <f t="shared" si="297"/>
        <v>NA</v>
      </c>
      <c r="AS2357" s="1078" t="str">
        <f t="shared" si="298"/>
        <v>197/OFF</v>
      </c>
      <c r="AT2357" s="1078" t="str">
        <f t="shared" si="299"/>
        <v>1-4-1S85°Z+S</v>
      </c>
      <c r="AU2357" s="1078" t="s">
        <v>15547</v>
      </c>
      <c r="AV2357" s="1078" t="str">
        <f t="shared" si="292"/>
        <v>110.1.15</v>
      </c>
      <c r="AW2357" s="1344">
        <f t="shared" si="293"/>
        <v>44211</v>
      </c>
    </row>
    <row r="2358" spans="1:49">
      <c r="A2358" s="1077" t="s">
        <v>7355</v>
      </c>
      <c r="B2358" s="1077" t="s">
        <v>7261</v>
      </c>
      <c r="C2358" s="1077">
        <v>600</v>
      </c>
      <c r="D2358" s="1077">
        <v>1.8</v>
      </c>
      <c r="E2358" s="1077" t="s">
        <v>15116</v>
      </c>
      <c r="F2358" s="1077" t="s">
        <v>2234</v>
      </c>
      <c r="G2358" s="1077">
        <v>4</v>
      </c>
      <c r="H2358" s="1077" t="s">
        <v>7262</v>
      </c>
      <c r="I2358" s="1077" t="s">
        <v>6918</v>
      </c>
      <c r="K2358" s="1077" t="s">
        <v>7356</v>
      </c>
      <c r="L2358" s="1077" t="s">
        <v>7264</v>
      </c>
      <c r="M2358" s="1077">
        <v>307</v>
      </c>
      <c r="N2358" s="1077" t="s">
        <v>945</v>
      </c>
      <c r="O2358" s="1077">
        <v>7.6750000000000007</v>
      </c>
      <c r="P2358" s="1077">
        <v>6.1400000000000006</v>
      </c>
      <c r="Q2358" s="1077" t="s">
        <v>2401</v>
      </c>
      <c r="R2358" s="1077">
        <v>27</v>
      </c>
      <c r="T2358" s="1077">
        <v>12</v>
      </c>
      <c r="U2358" s="1077">
        <v>2.2999999999999998</v>
      </c>
      <c r="V2358" s="1077" t="s">
        <v>648</v>
      </c>
      <c r="W2358" s="1077" t="s">
        <v>4947</v>
      </c>
      <c r="X2358" s="1077">
        <v>10</v>
      </c>
      <c r="Y2358" s="1077">
        <v>1.7</v>
      </c>
      <c r="Z2358" s="1077" t="s">
        <v>648</v>
      </c>
      <c r="AA2358" s="1077" t="s">
        <v>4832</v>
      </c>
      <c r="AH2358" s="1077" t="s">
        <v>722</v>
      </c>
      <c r="AM2358" s="1078" t="s">
        <v>13664</v>
      </c>
      <c r="AN2358" s="1078" t="s">
        <v>13665</v>
      </c>
      <c r="AO2358" s="1078">
        <f t="shared" si="294"/>
        <v>600</v>
      </c>
      <c r="AP2358" s="1078">
        <f t="shared" si="295"/>
        <v>1.8</v>
      </c>
      <c r="AQ2358" s="1078" t="str">
        <f t="shared" si="296"/>
        <v>1-5-1S83°Z+S</v>
      </c>
      <c r="AR2358" s="1078" t="str">
        <f t="shared" si="297"/>
        <v>33.5</v>
      </c>
      <c r="AS2358" s="1078" t="str">
        <f t="shared" si="298"/>
        <v>300/300/190</v>
      </c>
      <c r="AT2358" s="1078" t="str">
        <f t="shared" si="299"/>
        <v>1-5-1S83°Z+S</v>
      </c>
      <c r="AU2358" s="1078" t="s">
        <v>15547</v>
      </c>
      <c r="AV2358" s="1078" t="str">
        <f t="shared" si="292"/>
        <v>109.9.2</v>
      </c>
      <c r="AW2358" s="1344">
        <f t="shared" si="293"/>
        <v>44076</v>
      </c>
    </row>
    <row r="2359" spans="1:49">
      <c r="A2359" s="1077" t="s">
        <v>7357</v>
      </c>
      <c r="B2359" s="1077" t="s">
        <v>717</v>
      </c>
      <c r="C2359" s="1077">
        <v>600</v>
      </c>
      <c r="D2359" s="1077">
        <v>1.8049999999999999</v>
      </c>
      <c r="E2359" s="1077" t="s">
        <v>15116</v>
      </c>
      <c r="F2359" s="1077" t="s">
        <v>2234</v>
      </c>
      <c r="G2359" s="1077">
        <v>4</v>
      </c>
      <c r="H2359" s="1077" t="s">
        <v>6902</v>
      </c>
      <c r="I2359" s="1077" t="s">
        <v>6918</v>
      </c>
      <c r="K2359" s="1077" t="s">
        <v>7358</v>
      </c>
      <c r="L2359" s="1077" t="s">
        <v>6920</v>
      </c>
      <c r="M2359" s="1077">
        <v>303.5</v>
      </c>
      <c r="N2359" s="1077" t="s">
        <v>945</v>
      </c>
      <c r="O2359" s="1077">
        <v>7.5875000000000004</v>
      </c>
      <c r="P2359" s="1077">
        <v>6.07</v>
      </c>
      <c r="Q2359" s="1077" t="s">
        <v>1264</v>
      </c>
      <c r="R2359" s="1077">
        <v>27.9</v>
      </c>
      <c r="T2359" s="1077">
        <v>13.5</v>
      </c>
      <c r="U2359" s="1077">
        <v>2.5</v>
      </c>
      <c r="V2359" s="1077" t="s">
        <v>648</v>
      </c>
      <c r="W2359" s="1077" t="s">
        <v>4947</v>
      </c>
      <c r="X2359" s="1077">
        <v>10</v>
      </c>
      <c r="Y2359" s="1077" t="s">
        <v>7359</v>
      </c>
      <c r="Z2359" s="1077" t="s">
        <v>648</v>
      </c>
      <c r="AA2359" s="1077" t="s">
        <v>4274</v>
      </c>
      <c r="AH2359" s="1077" t="s">
        <v>1482</v>
      </c>
      <c r="AM2359" s="1078" t="s">
        <v>13666</v>
      </c>
      <c r="AN2359" s="1078" t="s">
        <v>13667</v>
      </c>
      <c r="AO2359" s="1078">
        <f t="shared" si="294"/>
        <v>600</v>
      </c>
      <c r="AP2359" s="1078">
        <f t="shared" si="295"/>
        <v>1.8049999999999999</v>
      </c>
      <c r="AQ2359" s="1078" t="str">
        <f t="shared" si="296"/>
        <v>1-5-1S83°Z+S</v>
      </c>
      <c r="AR2359" s="1078" t="str">
        <f t="shared" si="297"/>
        <v>33.5</v>
      </c>
      <c r="AS2359" s="1078" t="str">
        <f t="shared" si="298"/>
        <v>310/310/190</v>
      </c>
      <c r="AT2359" s="1078" t="str">
        <f t="shared" si="299"/>
        <v>1-5-1S83°Z+S</v>
      </c>
      <c r="AU2359" s="1078" t="s">
        <v>15547</v>
      </c>
      <c r="AV2359" s="1078" t="str">
        <f t="shared" si="292"/>
        <v>109.9.8</v>
      </c>
      <c r="AW2359" s="1344">
        <f t="shared" si="293"/>
        <v>44082</v>
      </c>
    </row>
    <row r="2360" spans="1:49">
      <c r="A2360" s="1077" t="s">
        <v>7360</v>
      </c>
      <c r="B2360" s="1077" t="s">
        <v>7009</v>
      </c>
      <c r="C2360" s="1077">
        <v>600</v>
      </c>
      <c r="D2360" s="1077">
        <v>1.8160000000000001</v>
      </c>
      <c r="E2360" s="1077" t="s">
        <v>15102</v>
      </c>
      <c r="F2360" s="1077" t="s">
        <v>7361</v>
      </c>
      <c r="G2360" s="1077">
        <v>5</v>
      </c>
      <c r="H2360" s="1077" t="s">
        <v>7196</v>
      </c>
      <c r="I2360" s="1077" t="s">
        <v>7105</v>
      </c>
      <c r="K2360" s="1077" t="s">
        <v>7362</v>
      </c>
      <c r="L2360" s="1077" t="s">
        <v>4924</v>
      </c>
      <c r="M2360" s="1077">
        <v>290.39999999999998</v>
      </c>
      <c r="N2360" s="1077" t="s">
        <v>945</v>
      </c>
      <c r="O2360" s="1077">
        <v>7.26</v>
      </c>
      <c r="P2360" s="1077">
        <v>5.8079999999999998</v>
      </c>
      <c r="Q2360" s="1077" t="s">
        <v>1264</v>
      </c>
      <c r="R2360" s="1077">
        <v>17.5</v>
      </c>
      <c r="T2360" s="1077">
        <v>32.200000000000003</v>
      </c>
      <c r="U2360" s="1077">
        <v>3.3</v>
      </c>
      <c r="V2360" s="1077" t="s">
        <v>648</v>
      </c>
      <c r="W2360" s="1077" t="s">
        <v>4947</v>
      </c>
      <c r="X2360" s="1077">
        <v>10</v>
      </c>
      <c r="Y2360" s="1077">
        <v>1.5</v>
      </c>
      <c r="Z2360" s="1077" t="s">
        <v>648</v>
      </c>
      <c r="AA2360" s="1077" t="s">
        <v>3352</v>
      </c>
      <c r="AH2360" s="1077" t="s">
        <v>842</v>
      </c>
      <c r="AM2360" s="1078" t="s">
        <v>13668</v>
      </c>
      <c r="AN2360" s="1078" t="s">
        <v>13669</v>
      </c>
      <c r="AO2360" s="1078">
        <f t="shared" si="294"/>
        <v>600</v>
      </c>
      <c r="AP2360" s="1078">
        <f t="shared" si="295"/>
        <v>1.8160000000000001</v>
      </c>
      <c r="AQ2360" s="1078" t="str">
        <f t="shared" si="296"/>
        <v>2-6-1S83°</v>
      </c>
      <c r="AR2360" s="1078" t="str">
        <f t="shared" si="297"/>
        <v>32.4</v>
      </c>
      <c r="AS2360" s="1078" t="str">
        <f t="shared" si="298"/>
        <v>193/175</v>
      </c>
      <c r="AT2360" s="1078" t="str">
        <f t="shared" si="299"/>
        <v>2-6-1S83°</v>
      </c>
      <c r="AV2360" s="1078" t="str">
        <f t="shared" si="292"/>
        <v>109.9.18</v>
      </c>
      <c r="AW2360" s="1344">
        <f t="shared" si="293"/>
        <v>44092</v>
      </c>
    </row>
    <row r="2361" spans="1:49">
      <c r="A2361" s="1077" t="s">
        <v>7363</v>
      </c>
      <c r="B2361" s="1077" t="s">
        <v>7091</v>
      </c>
      <c r="C2361" s="1077">
        <v>700</v>
      </c>
      <c r="D2361" s="1077">
        <v>1.7749999999999999</v>
      </c>
      <c r="E2361" s="1077" t="s">
        <v>15104</v>
      </c>
      <c r="F2361" s="1077" t="s">
        <v>648</v>
      </c>
      <c r="G2361" s="1077">
        <v>5</v>
      </c>
      <c r="H2361" s="1077" t="s">
        <v>7364</v>
      </c>
      <c r="I2361" s="1077" t="s">
        <v>7048</v>
      </c>
      <c r="J2361" s="1077">
        <v>3.7</v>
      </c>
      <c r="K2361" s="1077" t="s">
        <v>7185</v>
      </c>
      <c r="L2361" s="1077" t="s">
        <v>5152</v>
      </c>
      <c r="M2361" s="1077">
        <v>290</v>
      </c>
      <c r="N2361" s="1077" t="s">
        <v>945</v>
      </c>
      <c r="O2361" s="1077">
        <v>7.25</v>
      </c>
      <c r="P2361" s="1077">
        <v>5.8</v>
      </c>
      <c r="Q2361" s="1077" t="s">
        <v>961</v>
      </c>
      <c r="R2361" s="1077">
        <v>19.5</v>
      </c>
      <c r="T2361" s="1077">
        <v>29.3</v>
      </c>
      <c r="U2361" s="1077">
        <v>3.5</v>
      </c>
      <c r="V2361" s="1077" t="s">
        <v>648</v>
      </c>
      <c r="W2361" s="1077">
        <v>95</v>
      </c>
      <c r="X2361" s="1077">
        <v>20</v>
      </c>
      <c r="Y2361" s="1077">
        <v>1.5</v>
      </c>
      <c r="Z2361" s="1077" t="s">
        <v>648</v>
      </c>
      <c r="AA2361" s="1077" t="s">
        <v>3171</v>
      </c>
      <c r="AH2361" s="1077" t="s">
        <v>853</v>
      </c>
      <c r="AM2361" s="1078" t="s">
        <v>13670</v>
      </c>
      <c r="AN2361" s="1078" t="s">
        <v>13671</v>
      </c>
      <c r="AO2361" s="1078">
        <f t="shared" si="294"/>
        <v>700</v>
      </c>
      <c r="AP2361" s="1078">
        <f t="shared" si="295"/>
        <v>1.7749999999999999</v>
      </c>
      <c r="AQ2361" s="1078" t="str">
        <f t="shared" si="296"/>
        <v>1-4-1S85°Z+S</v>
      </c>
      <c r="AR2361" s="1078" t="str">
        <f t="shared" si="297"/>
        <v>NA</v>
      </c>
      <c r="AS2361" s="1078" t="str">
        <f t="shared" si="298"/>
        <v>196/OFF</v>
      </c>
      <c r="AT2361" s="1078" t="str">
        <f t="shared" si="299"/>
        <v>1-4-1S85°Z+S</v>
      </c>
      <c r="AU2361" s="1078" t="s">
        <v>15547</v>
      </c>
      <c r="AV2361" s="1078" t="str">
        <f t="shared" si="292"/>
        <v>109.9.17</v>
      </c>
      <c r="AW2361" s="1344">
        <f t="shared" si="293"/>
        <v>44091</v>
      </c>
    </row>
    <row r="2362" spans="1:49">
      <c r="A2362" s="1077" t="s">
        <v>7365</v>
      </c>
      <c r="B2362" s="1077" t="s">
        <v>7019</v>
      </c>
      <c r="C2362" s="1077">
        <v>550</v>
      </c>
      <c r="D2362" s="1077">
        <v>1.724</v>
      </c>
      <c r="E2362" s="1077">
        <v>102.5</v>
      </c>
      <c r="F2362" s="1077" t="s">
        <v>4070</v>
      </c>
      <c r="G2362" s="1077">
        <v>5.5</v>
      </c>
      <c r="H2362" s="1077" t="s">
        <v>7366</v>
      </c>
      <c r="I2362" s="1077" t="s">
        <v>7087</v>
      </c>
      <c r="K2362" s="1077" t="s">
        <v>7367</v>
      </c>
      <c r="L2362" s="1077" t="s">
        <v>7023</v>
      </c>
      <c r="M2362" s="1077">
        <v>295</v>
      </c>
      <c r="N2362" s="1077" t="s">
        <v>945</v>
      </c>
      <c r="O2362" s="1077">
        <v>7.375</v>
      </c>
      <c r="P2362" s="1077">
        <v>5.9</v>
      </c>
      <c r="Q2362" s="1077" t="s">
        <v>1321</v>
      </c>
      <c r="R2362" s="1077">
        <v>19</v>
      </c>
      <c r="T2362" s="1077">
        <v>27.8</v>
      </c>
      <c r="U2362" s="1077">
        <v>3.9</v>
      </c>
      <c r="V2362" s="1077" t="s">
        <v>648</v>
      </c>
      <c r="W2362" s="1077">
        <v>125</v>
      </c>
      <c r="X2362" s="1077">
        <v>90</v>
      </c>
      <c r="Y2362" s="1077">
        <v>1.5</v>
      </c>
      <c r="Z2362" s="1077" t="s">
        <v>648</v>
      </c>
      <c r="AA2362" s="1077" t="s">
        <v>4800</v>
      </c>
      <c r="AH2362" s="1077" t="s">
        <v>5681</v>
      </c>
      <c r="AM2362" s="1078" t="s">
        <v>13672</v>
      </c>
      <c r="AN2362" s="1078" t="s">
        <v>13673</v>
      </c>
      <c r="AO2362" s="1078">
        <f t="shared" si="294"/>
        <v>550</v>
      </c>
      <c r="AP2362" s="1078">
        <f t="shared" si="295"/>
        <v>1.724</v>
      </c>
      <c r="AQ2362" s="1078">
        <f t="shared" si="296"/>
        <v>102.5</v>
      </c>
      <c r="AR2362" s="1078" t="str">
        <f t="shared" si="297"/>
        <v>15.5</v>
      </c>
      <c r="AS2362" s="1078" t="str">
        <f t="shared" si="298"/>
        <v>455/425/OFF</v>
      </c>
      <c r="AT2362" s="1078">
        <f t="shared" si="299"/>
        <v>102.5</v>
      </c>
      <c r="AV2362" s="1078" t="str">
        <f t="shared" si="292"/>
        <v>109.9.21</v>
      </c>
      <c r="AW2362" s="1344">
        <f t="shared" si="293"/>
        <v>44095</v>
      </c>
    </row>
    <row r="2363" spans="1:49">
      <c r="A2363" s="1077" t="s">
        <v>7368</v>
      </c>
      <c r="B2363" s="1077" t="s">
        <v>7068</v>
      </c>
      <c r="C2363" s="1077">
        <v>550</v>
      </c>
      <c r="D2363" s="1077">
        <v>1.7849999999999999</v>
      </c>
      <c r="E2363" s="1077" t="s">
        <v>15122</v>
      </c>
      <c r="F2363" s="1077" t="s">
        <v>975</v>
      </c>
      <c r="G2363" s="1077">
        <v>5</v>
      </c>
      <c r="H2363" s="1077" t="s">
        <v>6116</v>
      </c>
      <c r="I2363" s="1077" t="s">
        <v>7095</v>
      </c>
      <c r="K2363" s="1077" t="s">
        <v>7369</v>
      </c>
      <c r="L2363" s="1077" t="s">
        <v>5037</v>
      </c>
      <c r="M2363" s="1077">
        <v>293.2</v>
      </c>
      <c r="N2363" s="1077" t="s">
        <v>945</v>
      </c>
      <c r="O2363" s="1077">
        <v>7.33</v>
      </c>
      <c r="P2363" s="1077">
        <v>5.8639999999999999</v>
      </c>
      <c r="Q2363" s="1077" t="s">
        <v>1264</v>
      </c>
      <c r="R2363" s="1077">
        <v>21</v>
      </c>
      <c r="T2363" s="1077">
        <v>25</v>
      </c>
      <c r="U2363" s="1077">
        <v>4.2</v>
      </c>
      <c r="V2363" s="1077" t="s">
        <v>648</v>
      </c>
      <c r="W2363" s="1077">
        <v>110</v>
      </c>
      <c r="X2363" s="1077">
        <v>20</v>
      </c>
      <c r="Y2363" s="1077">
        <v>1.6</v>
      </c>
      <c r="Z2363" s="1077" t="s">
        <v>648</v>
      </c>
      <c r="AA2363" s="1077" t="s">
        <v>4144</v>
      </c>
      <c r="AH2363" s="1077" t="s">
        <v>1143</v>
      </c>
      <c r="AM2363" s="1078" t="s">
        <v>13674</v>
      </c>
      <c r="AN2363" s="1078" t="s">
        <v>13675</v>
      </c>
      <c r="AO2363" s="1078">
        <f t="shared" si="294"/>
        <v>550</v>
      </c>
      <c r="AP2363" s="1078">
        <f t="shared" si="295"/>
        <v>1.7849999999999999</v>
      </c>
      <c r="AQ2363" s="1078" t="str">
        <f t="shared" si="296"/>
        <v>1-5-1S91°Z+S</v>
      </c>
      <c r="AR2363" s="1078" t="str">
        <f t="shared" si="297"/>
        <v>31.5</v>
      </c>
      <c r="AS2363" s="1078" t="str">
        <f t="shared" si="298"/>
        <v>320/320/OFF</v>
      </c>
      <c r="AT2363" s="1078" t="str">
        <f t="shared" si="299"/>
        <v>1-5-1S91°Z+S</v>
      </c>
      <c r="AU2363" s="1078" t="s">
        <v>15547</v>
      </c>
      <c r="AV2363" s="1078" t="str">
        <f t="shared" si="292"/>
        <v>109.9.22</v>
      </c>
      <c r="AW2363" s="1344">
        <f t="shared" si="293"/>
        <v>44096</v>
      </c>
    </row>
    <row r="2364" spans="1:49">
      <c r="A2364" s="1077" t="s">
        <v>7370</v>
      </c>
      <c r="B2364" s="1077" t="s">
        <v>663</v>
      </c>
      <c r="C2364" s="1077">
        <v>550</v>
      </c>
      <c r="D2364" s="1077">
        <v>1.76</v>
      </c>
      <c r="E2364" s="1077">
        <v>102.5</v>
      </c>
      <c r="F2364" s="1077" t="s">
        <v>4070</v>
      </c>
      <c r="G2364" s="1077">
        <v>5.5</v>
      </c>
      <c r="H2364" s="1077" t="s">
        <v>7371</v>
      </c>
      <c r="I2364" s="1077" t="s">
        <v>7372</v>
      </c>
      <c r="K2364" s="1077" t="s">
        <v>7373</v>
      </c>
      <c r="L2364" s="1077" t="s">
        <v>4907</v>
      </c>
      <c r="M2364" s="1077">
        <v>294</v>
      </c>
      <c r="N2364" s="1077" t="s">
        <v>945</v>
      </c>
      <c r="O2364" s="1077">
        <v>7.3500000000000005</v>
      </c>
      <c r="P2364" s="1077">
        <v>5.88</v>
      </c>
      <c r="Q2364" s="1077" t="s">
        <v>2782</v>
      </c>
      <c r="R2364" s="1077">
        <v>19</v>
      </c>
      <c r="T2364" s="1077">
        <v>16.399999999999999</v>
      </c>
      <c r="U2364" s="1077">
        <v>5.4</v>
      </c>
      <c r="V2364" s="1077" t="s">
        <v>648</v>
      </c>
      <c r="W2364" s="1077" t="s">
        <v>4667</v>
      </c>
      <c r="X2364" s="1077">
        <v>20</v>
      </c>
      <c r="Y2364" s="1077">
        <v>1.4</v>
      </c>
      <c r="Z2364" s="1077" t="s">
        <v>648</v>
      </c>
      <c r="AA2364" s="1077" t="s">
        <v>7107</v>
      </c>
      <c r="AH2364" s="1077" t="s">
        <v>2384</v>
      </c>
      <c r="AM2364" s="1078" t="s">
        <v>13676</v>
      </c>
      <c r="AN2364" s="1078" t="s">
        <v>13677</v>
      </c>
      <c r="AO2364" s="1078">
        <f t="shared" si="294"/>
        <v>550</v>
      </c>
      <c r="AP2364" s="1078">
        <f t="shared" si="295"/>
        <v>1.76</v>
      </c>
      <c r="AQ2364" s="1078">
        <f t="shared" si="296"/>
        <v>102.5</v>
      </c>
      <c r="AR2364" s="1078" t="str">
        <f t="shared" si="297"/>
        <v>15.5</v>
      </c>
      <c r="AS2364" s="1078" t="str">
        <f t="shared" si="298"/>
        <v>385/370/153</v>
      </c>
      <c r="AT2364" s="1078">
        <f t="shared" si="299"/>
        <v>102.5</v>
      </c>
      <c r="AV2364" s="1078" t="str">
        <f t="shared" si="292"/>
        <v>109.9.26</v>
      </c>
      <c r="AW2364" s="1344">
        <f t="shared" si="293"/>
        <v>44100</v>
      </c>
    </row>
    <row r="2365" spans="1:49">
      <c r="A2365" s="1077" t="s">
        <v>7374</v>
      </c>
      <c r="B2365" s="1077" t="s">
        <v>7068</v>
      </c>
      <c r="C2365" s="1077">
        <v>650</v>
      </c>
      <c r="D2365" s="1077">
        <v>1.78</v>
      </c>
      <c r="E2365" s="1077" t="s">
        <v>15126</v>
      </c>
      <c r="F2365" s="1077" t="s">
        <v>984</v>
      </c>
      <c r="G2365" s="1077">
        <v>5</v>
      </c>
      <c r="H2365" s="1077" t="s">
        <v>7375</v>
      </c>
      <c r="I2365" s="1077" t="s">
        <v>7137</v>
      </c>
      <c r="K2365" s="1077" t="s">
        <v>7369</v>
      </c>
      <c r="L2365" s="1077" t="s">
        <v>5037</v>
      </c>
      <c r="M2365" s="1077">
        <v>296.2</v>
      </c>
      <c r="N2365" s="1077" t="s">
        <v>945</v>
      </c>
      <c r="O2365" s="1077">
        <v>7.4050000000000002</v>
      </c>
      <c r="P2365" s="1077">
        <v>5.9239999999999995</v>
      </c>
      <c r="Q2365" s="1077" t="s">
        <v>2553</v>
      </c>
      <c r="R2365" s="1077">
        <v>20.100000000000001</v>
      </c>
      <c r="T2365" s="1077">
        <v>20.399999999999999</v>
      </c>
      <c r="U2365" s="1077">
        <v>4</v>
      </c>
      <c r="V2365" s="1077" t="s">
        <v>648</v>
      </c>
      <c r="W2365" s="1077">
        <v>125</v>
      </c>
      <c r="X2365" s="1077">
        <v>40</v>
      </c>
      <c r="Y2365" s="1077">
        <v>1.6</v>
      </c>
      <c r="Z2365" s="1077" t="s">
        <v>7376</v>
      </c>
      <c r="AA2365" s="1077" t="s">
        <v>4804</v>
      </c>
      <c r="AH2365" s="1077" t="s">
        <v>762</v>
      </c>
      <c r="AM2365" s="1078" t="s">
        <v>13678</v>
      </c>
      <c r="AN2365" s="1078" t="s">
        <v>13679</v>
      </c>
      <c r="AO2365" s="1078">
        <f t="shared" si="294"/>
        <v>650</v>
      </c>
      <c r="AP2365" s="1078">
        <f t="shared" si="295"/>
        <v>1.78</v>
      </c>
      <c r="AQ2365" s="1078" t="str">
        <f t="shared" si="296"/>
        <v>1-5-1S91°Z+Z</v>
      </c>
      <c r="AR2365" s="1078" t="str">
        <f t="shared" si="297"/>
        <v>30</v>
      </c>
      <c r="AS2365" s="1078" t="str">
        <f t="shared" si="298"/>
        <v>330/330/160</v>
      </c>
      <c r="AT2365" s="1078" t="str">
        <f t="shared" si="299"/>
        <v>1-5-1S91°Z+Z</v>
      </c>
      <c r="AU2365" s="1078" t="s">
        <v>15551</v>
      </c>
      <c r="AV2365" s="1078" t="str">
        <f t="shared" si="292"/>
        <v>109.10.5</v>
      </c>
      <c r="AW2365" s="1344">
        <f t="shared" si="293"/>
        <v>44109</v>
      </c>
    </row>
    <row r="2366" spans="1:49">
      <c r="A2366" s="1077" t="s">
        <v>7377</v>
      </c>
      <c r="B2366" s="1077" t="s">
        <v>7261</v>
      </c>
      <c r="C2366" s="1077">
        <v>600</v>
      </c>
      <c r="D2366" s="1077">
        <v>1.8</v>
      </c>
      <c r="E2366" s="1077" t="s">
        <v>15116</v>
      </c>
      <c r="F2366" s="1077" t="s">
        <v>2234</v>
      </c>
      <c r="G2366" s="1077">
        <v>4</v>
      </c>
      <c r="H2366" s="1077" t="s">
        <v>7262</v>
      </c>
      <c r="I2366" s="1077" t="s">
        <v>6918</v>
      </c>
      <c r="K2366" s="1077" t="s">
        <v>7378</v>
      </c>
      <c r="L2366" s="1077" t="s">
        <v>7264</v>
      </c>
      <c r="M2366" s="1077">
        <v>307</v>
      </c>
      <c r="N2366" s="1077" t="s">
        <v>945</v>
      </c>
      <c r="O2366" s="1077">
        <v>7.6750000000000007</v>
      </c>
      <c r="P2366" s="1077">
        <v>6.1400000000000006</v>
      </c>
      <c r="Q2366" s="1077" t="s">
        <v>2401</v>
      </c>
      <c r="R2366" s="1077">
        <v>27</v>
      </c>
      <c r="T2366" s="1077">
        <v>12</v>
      </c>
      <c r="U2366" s="1077">
        <v>2.2999999999999998</v>
      </c>
      <c r="V2366" s="1077" t="s">
        <v>648</v>
      </c>
      <c r="W2366" s="1077" t="s">
        <v>4947</v>
      </c>
      <c r="X2366" s="1077">
        <v>10</v>
      </c>
      <c r="Y2366" s="1077">
        <v>1.7</v>
      </c>
      <c r="Z2366" s="1077" t="s">
        <v>648</v>
      </c>
      <c r="AA2366" s="1077" t="s">
        <v>5146</v>
      </c>
      <c r="AH2366" s="1077" t="s">
        <v>1221</v>
      </c>
      <c r="AM2366" s="1078" t="s">
        <v>13680</v>
      </c>
      <c r="AN2366" s="1078" t="s">
        <v>13681</v>
      </c>
      <c r="AO2366" s="1078">
        <f t="shared" si="294"/>
        <v>600</v>
      </c>
      <c r="AP2366" s="1078">
        <f t="shared" si="295"/>
        <v>1.8</v>
      </c>
      <c r="AQ2366" s="1078" t="str">
        <f t="shared" si="296"/>
        <v>1-5-1S83°Z+S</v>
      </c>
      <c r="AR2366" s="1078" t="str">
        <f t="shared" si="297"/>
        <v>33.5</v>
      </c>
      <c r="AS2366" s="1078" t="str">
        <f t="shared" si="298"/>
        <v>300/300/190</v>
      </c>
      <c r="AT2366" s="1078" t="str">
        <f t="shared" si="299"/>
        <v>1-5-1S83°Z+S</v>
      </c>
      <c r="AU2366" s="1078" t="s">
        <v>15547</v>
      </c>
      <c r="AV2366" s="1078" t="str">
        <f t="shared" si="292"/>
        <v>109.10.17</v>
      </c>
      <c r="AW2366" s="1344">
        <f t="shared" si="293"/>
        <v>44121</v>
      </c>
    </row>
    <row r="2367" spans="1:49">
      <c r="A2367" s="1077" t="s">
        <v>7379</v>
      </c>
      <c r="B2367" s="1077" t="s">
        <v>7205</v>
      </c>
      <c r="C2367" s="1077">
        <v>600</v>
      </c>
      <c r="D2367" s="1077">
        <v>1.74</v>
      </c>
      <c r="E2367" s="1077" t="s">
        <v>15104</v>
      </c>
      <c r="F2367" s="1077" t="s">
        <v>648</v>
      </c>
      <c r="G2367" s="1077">
        <v>5</v>
      </c>
      <c r="H2367" s="1077" t="s">
        <v>7364</v>
      </c>
      <c r="I2367" s="1077" t="s">
        <v>7215</v>
      </c>
      <c r="J2367" s="1077">
        <v>3</v>
      </c>
      <c r="K2367" s="1077" t="s">
        <v>7207</v>
      </c>
      <c r="L2367" s="1077" t="s">
        <v>7208</v>
      </c>
      <c r="M2367" s="1077">
        <v>293.3</v>
      </c>
      <c r="N2367" s="1077" t="s">
        <v>945</v>
      </c>
      <c r="O2367" s="1077">
        <v>7.3325000000000005</v>
      </c>
      <c r="P2367" s="1077">
        <v>5.8660000000000005</v>
      </c>
      <c r="Q2367" s="1077" t="s">
        <v>988</v>
      </c>
      <c r="R2367" s="1077">
        <v>19</v>
      </c>
      <c r="T2367" s="1077">
        <v>27</v>
      </c>
      <c r="U2367" s="1077">
        <v>3.5</v>
      </c>
      <c r="V2367" s="1077" t="s">
        <v>648</v>
      </c>
      <c r="W2367" s="1077">
        <v>135</v>
      </c>
      <c r="X2367" s="1077">
        <v>90</v>
      </c>
      <c r="Y2367" s="1077">
        <v>1.4</v>
      </c>
      <c r="Z2367" s="1077" t="s">
        <v>648</v>
      </c>
      <c r="AA2367" s="1077" t="s">
        <v>1351</v>
      </c>
      <c r="AH2367" s="1077" t="s">
        <v>948</v>
      </c>
      <c r="AM2367" s="1078" t="s">
        <v>13682</v>
      </c>
      <c r="AN2367" s="1078" t="s">
        <v>13683</v>
      </c>
      <c r="AO2367" s="1078">
        <f t="shared" si="294"/>
        <v>600</v>
      </c>
      <c r="AP2367" s="1078">
        <f t="shared" si="295"/>
        <v>1.74</v>
      </c>
      <c r="AQ2367" s="1078" t="str">
        <f t="shared" si="296"/>
        <v>1-4-1S85°Z+S</v>
      </c>
      <c r="AR2367" s="1078" t="str">
        <f t="shared" si="297"/>
        <v>NA</v>
      </c>
      <c r="AS2367" s="1078" t="str">
        <f t="shared" si="298"/>
        <v>196/OFF</v>
      </c>
      <c r="AT2367" s="1078" t="str">
        <f t="shared" si="299"/>
        <v>1-4-1S85°Z+S</v>
      </c>
      <c r="AU2367" s="1078" t="s">
        <v>15547</v>
      </c>
      <c r="AV2367" s="1078" t="str">
        <f t="shared" si="292"/>
        <v>109.10.21</v>
      </c>
      <c r="AW2367" s="1344">
        <f t="shared" si="293"/>
        <v>44125</v>
      </c>
    </row>
    <row r="2368" spans="1:49">
      <c r="A2368" s="1077" t="s">
        <v>7380</v>
      </c>
      <c r="B2368" s="1077" t="s">
        <v>7381</v>
      </c>
      <c r="C2368" s="1077">
        <v>500</v>
      </c>
      <c r="D2368" s="1077">
        <v>1.78</v>
      </c>
      <c r="E2368" s="1077" t="s">
        <v>15122</v>
      </c>
      <c r="F2368" s="1077" t="s">
        <v>1514</v>
      </c>
      <c r="G2368" s="1077">
        <v>5</v>
      </c>
      <c r="H2368" s="1077" t="s">
        <v>7382</v>
      </c>
      <c r="I2368" s="1077" t="s">
        <v>7021</v>
      </c>
      <c r="J2368" s="1077">
        <v>3</v>
      </c>
      <c r="K2368" s="1077" t="s">
        <v>7383</v>
      </c>
      <c r="L2368" s="1077" t="s">
        <v>7384</v>
      </c>
      <c r="M2368" s="1077">
        <v>306</v>
      </c>
      <c r="N2368" s="1077" t="s">
        <v>945</v>
      </c>
      <c r="O2368" s="1077">
        <v>7.65</v>
      </c>
      <c r="P2368" s="1077">
        <v>6.12</v>
      </c>
      <c r="Q2368" s="1077" t="s">
        <v>7385</v>
      </c>
      <c r="R2368" s="1077">
        <v>20</v>
      </c>
      <c r="T2368" s="1077">
        <v>13.2</v>
      </c>
      <c r="U2368" s="1077">
        <v>5</v>
      </c>
      <c r="V2368" s="1077" t="s">
        <v>648</v>
      </c>
      <c r="W2368" s="1077">
        <v>115</v>
      </c>
      <c r="X2368" s="1077">
        <v>90</v>
      </c>
      <c r="Y2368" s="1077">
        <v>1.3</v>
      </c>
      <c r="Z2368" s="1077" t="s">
        <v>648</v>
      </c>
      <c r="AA2368" s="1077" t="s">
        <v>7386</v>
      </c>
      <c r="AH2368" s="1077" t="s">
        <v>684</v>
      </c>
      <c r="AM2368" s="1078" t="s">
        <v>13684</v>
      </c>
      <c r="AN2368" s="1078" t="s">
        <v>9197</v>
      </c>
      <c r="AO2368" s="1078">
        <f t="shared" si="294"/>
        <v>500</v>
      </c>
      <c r="AP2368" s="1078">
        <f t="shared" si="295"/>
        <v>1.78</v>
      </c>
      <c r="AQ2368" s="1078" t="str">
        <f t="shared" si="296"/>
        <v>1-5-1S91°Z+S</v>
      </c>
      <c r="AR2368" s="1078" t="str">
        <f t="shared" si="297"/>
        <v>32</v>
      </c>
      <c r="AS2368" s="1078" t="str">
        <f t="shared" si="298"/>
        <v>340/320/140</v>
      </c>
      <c r="AT2368" s="1078" t="str">
        <f t="shared" si="299"/>
        <v>1-5-1S91°Z+S</v>
      </c>
      <c r="AU2368" s="1078" t="s">
        <v>15547</v>
      </c>
      <c r="AV2368" s="1078" t="str">
        <f t="shared" si="292"/>
        <v>109.10.26</v>
      </c>
      <c r="AW2368" s="1344">
        <f t="shared" si="293"/>
        <v>44130</v>
      </c>
    </row>
    <row r="2369" spans="1:49">
      <c r="A2369" s="1077" t="s">
        <v>7387</v>
      </c>
      <c r="B2369" s="1077" t="s">
        <v>7026</v>
      </c>
      <c r="C2369" s="1077">
        <v>550</v>
      </c>
      <c r="D2369" s="1077">
        <v>1.7849999999999999</v>
      </c>
      <c r="E2369" s="1077" t="s">
        <v>15124</v>
      </c>
      <c r="F2369" s="1077" t="s">
        <v>984</v>
      </c>
      <c r="G2369" s="1077">
        <v>5</v>
      </c>
      <c r="H2369" s="1077" t="s">
        <v>7268</v>
      </c>
      <c r="I2369" s="1077" t="s">
        <v>6988</v>
      </c>
      <c r="J2369" s="1077">
        <v>3.7</v>
      </c>
      <c r="K2369" s="1077" t="s">
        <v>7269</v>
      </c>
      <c r="L2369" s="1077" t="s">
        <v>4979</v>
      </c>
      <c r="M2369" s="1077">
        <v>293</v>
      </c>
      <c r="N2369" s="1077" t="s">
        <v>945</v>
      </c>
      <c r="O2369" s="1077">
        <v>7.3250000000000002</v>
      </c>
      <c r="P2369" s="1077">
        <v>5.86</v>
      </c>
      <c r="Q2369" s="1077" t="s">
        <v>2401</v>
      </c>
      <c r="R2369" s="1077">
        <v>17.8</v>
      </c>
      <c r="T2369" s="1077">
        <v>26.8</v>
      </c>
      <c r="U2369" s="1077">
        <v>3.2</v>
      </c>
      <c r="V2369" s="1077" t="s">
        <v>648</v>
      </c>
      <c r="W2369" s="1077">
        <v>80</v>
      </c>
      <c r="X2369" s="1077">
        <v>10</v>
      </c>
      <c r="Y2369" s="1077">
        <v>1.6</v>
      </c>
      <c r="Z2369" s="1077" t="s">
        <v>648</v>
      </c>
      <c r="AA2369" s="1077" t="s">
        <v>7388</v>
      </c>
      <c r="AH2369" s="1077" t="s">
        <v>1827</v>
      </c>
      <c r="AM2369" s="1078" t="s">
        <v>13685</v>
      </c>
      <c r="AN2369" s="1078" t="s">
        <v>13686</v>
      </c>
      <c r="AO2369" s="1078">
        <f t="shared" si="294"/>
        <v>550</v>
      </c>
      <c r="AP2369" s="1078">
        <f t="shared" si="295"/>
        <v>1.7849999999999999</v>
      </c>
      <c r="AQ2369" s="1078" t="str">
        <f t="shared" si="296"/>
        <v>2-6-1S83°Z+S</v>
      </c>
      <c r="AR2369" s="1078" t="str">
        <f t="shared" si="297"/>
        <v>30</v>
      </c>
      <c r="AS2369" s="1078" t="str">
        <f t="shared" si="298"/>
        <v>189/185</v>
      </c>
      <c r="AT2369" s="1078" t="str">
        <f t="shared" si="299"/>
        <v>2-6-1S83°Z+S</v>
      </c>
      <c r="AU2369" s="1078" t="s">
        <v>15547</v>
      </c>
      <c r="AV2369" s="1078" t="str">
        <f t="shared" si="292"/>
        <v>109.10.28</v>
      </c>
      <c r="AW2369" s="1344">
        <f t="shared" si="293"/>
        <v>44132</v>
      </c>
    </row>
    <row r="2370" spans="1:49">
      <c r="A2370" s="1077" t="s">
        <v>7389</v>
      </c>
      <c r="B2370" s="1077" t="s">
        <v>663</v>
      </c>
      <c r="C2370" s="1077">
        <v>650</v>
      </c>
      <c r="D2370" s="1077">
        <v>1.75</v>
      </c>
      <c r="E2370" s="1077" t="s">
        <v>15104</v>
      </c>
      <c r="F2370" s="1077" t="s">
        <v>648</v>
      </c>
      <c r="G2370" s="1077">
        <v>5.5</v>
      </c>
      <c r="H2370" s="1077" t="s">
        <v>3482</v>
      </c>
      <c r="I2370" s="1077" t="s">
        <v>6884</v>
      </c>
      <c r="K2370" s="1077" t="s">
        <v>7390</v>
      </c>
      <c r="L2370" s="1077" t="s">
        <v>4907</v>
      </c>
      <c r="M2370" s="1077">
        <v>296.39999999999998</v>
      </c>
      <c r="N2370" s="1077" t="s">
        <v>945</v>
      </c>
      <c r="O2370" s="1077">
        <v>7.41</v>
      </c>
      <c r="P2370" s="1077">
        <v>5.9279999999999999</v>
      </c>
      <c r="Q2370" s="1077" t="s">
        <v>2782</v>
      </c>
      <c r="R2370" s="1077">
        <v>20</v>
      </c>
      <c r="T2370" s="1077">
        <v>14.7</v>
      </c>
      <c r="U2370" s="1077">
        <v>5.5</v>
      </c>
      <c r="V2370" s="1077" t="s">
        <v>648</v>
      </c>
      <c r="W2370" s="1077" t="s">
        <v>2816</v>
      </c>
      <c r="X2370" s="1077">
        <v>10</v>
      </c>
      <c r="Y2370" s="1077">
        <v>1.1000000000000001</v>
      </c>
      <c r="Z2370" s="1077" t="s">
        <v>648</v>
      </c>
      <c r="AA2370" s="1077" t="s">
        <v>3236</v>
      </c>
      <c r="AH2370" s="1077" t="s">
        <v>1486</v>
      </c>
      <c r="AM2370" s="1078" t="s">
        <v>13687</v>
      </c>
      <c r="AN2370" s="1078" t="s">
        <v>13688</v>
      </c>
      <c r="AO2370" s="1078">
        <f t="shared" si="294"/>
        <v>650</v>
      </c>
      <c r="AP2370" s="1078">
        <f t="shared" si="295"/>
        <v>1.75</v>
      </c>
      <c r="AQ2370" s="1078" t="str">
        <f t="shared" si="296"/>
        <v>1-4-1S85°Z+S</v>
      </c>
      <c r="AR2370" s="1078" t="str">
        <f t="shared" si="297"/>
        <v>NA</v>
      </c>
      <c r="AS2370" s="1078" t="str">
        <f t="shared" si="298"/>
        <v>170/160</v>
      </c>
      <c r="AT2370" s="1078" t="str">
        <f t="shared" si="299"/>
        <v>1-4-1S85°Z+S</v>
      </c>
      <c r="AU2370" s="1078" t="s">
        <v>15547</v>
      </c>
      <c r="AV2370" s="1078" t="str">
        <f t="shared" ref="AV2370:AV2433" si="300">AA2370</f>
        <v>109.11.19</v>
      </c>
      <c r="AW2370" s="1344">
        <f t="shared" si="293"/>
        <v>44154</v>
      </c>
    </row>
    <row r="2371" spans="1:49">
      <c r="A2371" s="1077" t="s">
        <v>7391</v>
      </c>
      <c r="B2371" s="1077" t="s">
        <v>7068</v>
      </c>
      <c r="C2371" s="1077">
        <v>650</v>
      </c>
      <c r="D2371" s="1077">
        <v>1.78</v>
      </c>
      <c r="E2371" s="1077" t="s">
        <v>15126</v>
      </c>
      <c r="F2371" s="1077" t="s">
        <v>984</v>
      </c>
      <c r="G2371" s="1077">
        <v>5</v>
      </c>
      <c r="H2371" s="1077" t="s">
        <v>7375</v>
      </c>
      <c r="I2371" s="1077" t="s">
        <v>7137</v>
      </c>
      <c r="K2371" s="1077" t="s">
        <v>7392</v>
      </c>
      <c r="L2371" s="1077" t="s">
        <v>5037</v>
      </c>
      <c r="M2371" s="1077">
        <v>296.2</v>
      </c>
      <c r="N2371" s="1077" t="s">
        <v>945</v>
      </c>
      <c r="O2371" s="1077">
        <v>7.4050000000000002</v>
      </c>
      <c r="P2371" s="1077">
        <v>5.9239999999999995</v>
      </c>
      <c r="Q2371" s="1077" t="s">
        <v>2553</v>
      </c>
      <c r="R2371" s="1077">
        <v>20.100000000000001</v>
      </c>
      <c r="T2371" s="1077">
        <v>20.399999999999999</v>
      </c>
      <c r="U2371" s="1077">
        <v>4</v>
      </c>
      <c r="V2371" s="1077" t="s">
        <v>648</v>
      </c>
      <c r="W2371" s="1077">
        <v>125</v>
      </c>
      <c r="X2371" s="1077">
        <v>40</v>
      </c>
      <c r="Y2371" s="1077">
        <v>1.6</v>
      </c>
      <c r="Z2371" s="1077" t="s">
        <v>7393</v>
      </c>
      <c r="AA2371" s="1077" t="s">
        <v>2462</v>
      </c>
      <c r="AH2371" s="1077" t="s">
        <v>878</v>
      </c>
      <c r="AM2371" s="1078" t="s">
        <v>13689</v>
      </c>
      <c r="AN2371" s="1078" t="s">
        <v>13690</v>
      </c>
      <c r="AO2371" s="1078">
        <f t="shared" si="294"/>
        <v>650</v>
      </c>
      <c r="AP2371" s="1078">
        <f t="shared" si="295"/>
        <v>1.78</v>
      </c>
      <c r="AQ2371" s="1078" t="str">
        <f t="shared" si="296"/>
        <v>1-5-1S91°Z+Z</v>
      </c>
      <c r="AR2371" s="1078" t="str">
        <f t="shared" si="297"/>
        <v>30</v>
      </c>
      <c r="AS2371" s="1078" t="str">
        <f t="shared" si="298"/>
        <v>330/330/160</v>
      </c>
      <c r="AT2371" s="1078" t="str">
        <f t="shared" si="299"/>
        <v>1-5-1S91°Z+Z</v>
      </c>
      <c r="AU2371" s="1078" t="s">
        <v>15551</v>
      </c>
      <c r="AV2371" s="1078" t="str">
        <f t="shared" si="300"/>
        <v>109.11.18</v>
      </c>
      <c r="AW2371" s="1344">
        <f t="shared" ref="AW2371:AW2434" si="301">DATE(VALUE(LEFT(AV2371,FIND(".",AV2371)-1))+1911,
       VALUE(MID(AV2371,FIND(".",AV2371)+1,FIND(".",AV2371,FIND(".",AV2371)+1)-FIND(".",AV2371)-1)),
       VALUE(RIGHT(AV2371,LEN(AV2371)-FIND("~",SUBSTITUTE(AV2371,".","~",2)))))</f>
        <v>44153</v>
      </c>
    </row>
    <row r="2372" spans="1:49">
      <c r="A2372" s="1077" t="s">
        <v>7394</v>
      </c>
      <c r="B2372" s="1077" t="s">
        <v>7068</v>
      </c>
      <c r="C2372" s="1077">
        <v>550</v>
      </c>
      <c r="D2372" s="1077">
        <v>1.7849999999999999</v>
      </c>
      <c r="E2372" s="1077" t="s">
        <v>15122</v>
      </c>
      <c r="F2372" s="1077" t="s">
        <v>975</v>
      </c>
      <c r="G2372" s="1077">
        <v>5</v>
      </c>
      <c r="H2372" s="1077" t="s">
        <v>6116</v>
      </c>
      <c r="I2372" s="1077" t="s">
        <v>7095</v>
      </c>
      <c r="K2372" s="1077" t="s">
        <v>7392</v>
      </c>
      <c r="L2372" s="1077" t="s">
        <v>5037</v>
      </c>
      <c r="M2372" s="1077">
        <v>293.2</v>
      </c>
      <c r="N2372" s="1077" t="s">
        <v>945</v>
      </c>
      <c r="O2372" s="1077">
        <v>7.33</v>
      </c>
      <c r="P2372" s="1077">
        <v>5.8639999999999999</v>
      </c>
      <c r="Q2372" s="1077">
        <v>3.5</v>
      </c>
      <c r="R2372" s="1077">
        <v>21</v>
      </c>
      <c r="T2372" s="1077">
        <v>25</v>
      </c>
      <c r="U2372" s="1077">
        <v>4.2</v>
      </c>
      <c r="V2372" s="1077" t="s">
        <v>648</v>
      </c>
      <c r="W2372" s="1077">
        <v>110</v>
      </c>
      <c r="X2372" s="1077">
        <v>20</v>
      </c>
      <c r="Y2372" s="1077">
        <v>1.6</v>
      </c>
      <c r="Z2372" s="1077" t="s">
        <v>648</v>
      </c>
      <c r="AA2372" s="1077" t="s">
        <v>5957</v>
      </c>
      <c r="AH2372" s="1077" t="s">
        <v>758</v>
      </c>
      <c r="AM2372" s="1078" t="s">
        <v>13691</v>
      </c>
      <c r="AN2372" s="1078" t="s">
        <v>13692</v>
      </c>
      <c r="AO2372" s="1078">
        <f t="shared" si="294"/>
        <v>550</v>
      </c>
      <c r="AP2372" s="1078">
        <f t="shared" si="295"/>
        <v>1.7849999999999999</v>
      </c>
      <c r="AQ2372" s="1078" t="str">
        <f t="shared" si="296"/>
        <v>1-5-1S91°Z+S</v>
      </c>
      <c r="AR2372" s="1078" t="str">
        <f t="shared" si="297"/>
        <v>31.5</v>
      </c>
      <c r="AS2372" s="1078" t="str">
        <f t="shared" si="298"/>
        <v>320/320/OFF</v>
      </c>
      <c r="AT2372" s="1078" t="str">
        <f t="shared" si="299"/>
        <v>1-5-1S91°Z+S</v>
      </c>
      <c r="AU2372" s="1078" t="s">
        <v>15547</v>
      </c>
      <c r="AV2372" s="1078" t="str">
        <f t="shared" si="300"/>
        <v>109.12.23</v>
      </c>
      <c r="AW2372" s="1344">
        <f t="shared" si="301"/>
        <v>44188</v>
      </c>
    </row>
    <row r="2373" spans="1:49">
      <c r="A2373" s="1077" t="s">
        <v>7395</v>
      </c>
      <c r="B2373" s="1077" t="s">
        <v>663</v>
      </c>
      <c r="C2373" s="1077">
        <v>650</v>
      </c>
      <c r="D2373" s="1077">
        <v>1.76</v>
      </c>
      <c r="E2373" s="1077" t="s">
        <v>15109</v>
      </c>
      <c r="F2373" s="1077" t="s">
        <v>648</v>
      </c>
      <c r="G2373" s="1077">
        <v>5.5</v>
      </c>
      <c r="H2373" s="1077" t="s">
        <v>3482</v>
      </c>
      <c r="I2373" s="1077" t="s">
        <v>7161</v>
      </c>
      <c r="K2373" s="1077" t="s">
        <v>7390</v>
      </c>
      <c r="L2373" s="1077" t="s">
        <v>4907</v>
      </c>
      <c r="M2373" s="1077">
        <v>296</v>
      </c>
      <c r="N2373" s="1077" t="s">
        <v>945</v>
      </c>
      <c r="O2373" s="1077">
        <v>7.4</v>
      </c>
      <c r="P2373" s="1077">
        <v>5.92</v>
      </c>
      <c r="Q2373" s="1077" t="s">
        <v>4048</v>
      </c>
      <c r="R2373" s="1077">
        <v>17</v>
      </c>
      <c r="T2373" s="1077">
        <v>10.5</v>
      </c>
      <c r="U2373" s="1077">
        <v>6.1</v>
      </c>
      <c r="V2373" s="1077" t="s">
        <v>648</v>
      </c>
      <c r="W2373" s="1077">
        <v>120</v>
      </c>
      <c r="X2373" s="1077">
        <v>90</v>
      </c>
      <c r="Y2373" s="1077">
        <v>1.1000000000000001</v>
      </c>
      <c r="Z2373" s="1077" t="s">
        <v>648</v>
      </c>
      <c r="AA2373" s="1077" t="s">
        <v>2467</v>
      </c>
      <c r="AH2373" s="1077" t="s">
        <v>1267</v>
      </c>
      <c r="AM2373" s="1078" t="s">
        <v>13693</v>
      </c>
      <c r="AN2373" s="1078" t="s">
        <v>13694</v>
      </c>
      <c r="AO2373" s="1078">
        <f t="shared" si="294"/>
        <v>650</v>
      </c>
      <c r="AP2373" s="1078">
        <f t="shared" si="295"/>
        <v>1.76</v>
      </c>
      <c r="AQ2373" s="1078" t="str">
        <f t="shared" si="296"/>
        <v>1-5-1S85°Z+S</v>
      </c>
      <c r="AR2373" s="1078" t="str">
        <f t="shared" si="297"/>
        <v>NA</v>
      </c>
      <c r="AS2373" s="1078" t="str">
        <f t="shared" si="298"/>
        <v>170/160</v>
      </c>
      <c r="AT2373" s="1078" t="str">
        <f t="shared" si="299"/>
        <v>1-5-1S85°Z+S</v>
      </c>
      <c r="AU2373" s="1078" t="s">
        <v>15547</v>
      </c>
      <c r="AV2373" s="1078" t="str">
        <f t="shared" si="300"/>
        <v>109.11.24</v>
      </c>
      <c r="AW2373" s="1344">
        <f t="shared" si="301"/>
        <v>44159</v>
      </c>
    </row>
    <row r="2374" spans="1:49">
      <c r="A2374" s="1077" t="s">
        <v>7396</v>
      </c>
      <c r="B2374" s="1077" t="s">
        <v>7009</v>
      </c>
      <c r="C2374" s="1077">
        <v>620</v>
      </c>
      <c r="D2374" s="1077">
        <v>1.8</v>
      </c>
      <c r="E2374" s="1077" t="s">
        <v>15122</v>
      </c>
      <c r="F2374" s="1077" t="s">
        <v>954</v>
      </c>
      <c r="G2374" s="1077">
        <v>5</v>
      </c>
      <c r="H2374" s="1077" t="s">
        <v>7397</v>
      </c>
      <c r="I2374" s="1077" t="s">
        <v>6983</v>
      </c>
      <c r="K2374" s="1077" t="s">
        <v>7362</v>
      </c>
      <c r="L2374" s="1077" t="s">
        <v>4924</v>
      </c>
      <c r="M2374" s="1077">
        <v>290.39999999999998</v>
      </c>
      <c r="N2374" s="1077" t="s">
        <v>945</v>
      </c>
      <c r="O2374" s="1077">
        <v>7.26</v>
      </c>
      <c r="P2374" s="1077">
        <v>5.8079999999999998</v>
      </c>
      <c r="Q2374" s="1077" t="s">
        <v>2422</v>
      </c>
      <c r="R2374" s="1077">
        <v>17.5</v>
      </c>
      <c r="T2374" s="1077">
        <v>32.200000000000003</v>
      </c>
      <c r="U2374" s="1077">
        <v>3.3</v>
      </c>
      <c r="V2374" s="1077" t="s">
        <v>648</v>
      </c>
      <c r="W2374" s="1077" t="s">
        <v>4947</v>
      </c>
      <c r="X2374" s="1077">
        <v>10</v>
      </c>
      <c r="Y2374" s="1077">
        <v>1.5</v>
      </c>
      <c r="Z2374" s="1077" t="s">
        <v>648</v>
      </c>
      <c r="AA2374" s="1077" t="s">
        <v>1198</v>
      </c>
      <c r="AH2374" s="1077" t="s">
        <v>877</v>
      </c>
      <c r="AM2374" s="1078" t="s">
        <v>13695</v>
      </c>
      <c r="AN2374" s="1078" t="s">
        <v>13696</v>
      </c>
      <c r="AO2374" s="1078">
        <f t="shared" si="294"/>
        <v>620</v>
      </c>
      <c r="AP2374" s="1078">
        <f t="shared" si="295"/>
        <v>1.8</v>
      </c>
      <c r="AQ2374" s="1078" t="str">
        <f t="shared" si="296"/>
        <v>1-5-1S91°Z+S</v>
      </c>
      <c r="AR2374" s="1078" t="str">
        <f t="shared" si="297"/>
        <v>31</v>
      </c>
      <c r="AS2374" s="1078" t="str">
        <f t="shared" si="298"/>
        <v>340/340/148</v>
      </c>
      <c r="AT2374" s="1078" t="str">
        <f t="shared" si="299"/>
        <v>1-5-1S91°Z+S</v>
      </c>
      <c r="AU2374" s="1078" t="s">
        <v>15547</v>
      </c>
      <c r="AV2374" s="1078" t="str">
        <f t="shared" si="300"/>
        <v>109.11.30</v>
      </c>
      <c r="AW2374" s="1344">
        <f t="shared" si="301"/>
        <v>44165</v>
      </c>
    </row>
    <row r="2375" spans="1:49">
      <c r="A2375" s="1077" t="s">
        <v>7398</v>
      </c>
      <c r="B2375" s="1077" t="s">
        <v>7091</v>
      </c>
      <c r="C2375" s="1077">
        <v>700</v>
      </c>
      <c r="D2375" s="1077">
        <v>1.7749999999999999</v>
      </c>
      <c r="E2375" s="1077" t="s">
        <v>15104</v>
      </c>
      <c r="F2375" s="1077" t="s">
        <v>648</v>
      </c>
      <c r="G2375" s="1077">
        <v>5</v>
      </c>
      <c r="H2375" s="1077" t="s">
        <v>7364</v>
      </c>
      <c r="I2375" s="1077" t="s">
        <v>7048</v>
      </c>
      <c r="J2375" s="1077">
        <v>3.7</v>
      </c>
      <c r="K2375" s="1077" t="s">
        <v>7399</v>
      </c>
      <c r="L2375" s="1077" t="s">
        <v>5152</v>
      </c>
      <c r="M2375" s="1077">
        <v>290</v>
      </c>
      <c r="N2375" s="1077" t="s">
        <v>945</v>
      </c>
      <c r="O2375" s="1077">
        <v>7.25</v>
      </c>
      <c r="P2375" s="1077">
        <v>5.8</v>
      </c>
      <c r="Q2375" s="1077">
        <v>4</v>
      </c>
      <c r="R2375" s="1077">
        <v>19.5</v>
      </c>
      <c r="T2375" s="1077">
        <v>29.3</v>
      </c>
      <c r="U2375" s="1077">
        <v>3.5</v>
      </c>
      <c r="V2375" s="1077" t="s">
        <v>648</v>
      </c>
      <c r="W2375" s="1077">
        <v>95</v>
      </c>
      <c r="X2375" s="1077">
        <v>20</v>
      </c>
      <c r="Y2375" s="1077">
        <v>1.5</v>
      </c>
      <c r="Z2375" s="1077" t="s">
        <v>648</v>
      </c>
      <c r="AA2375" s="1077" t="s">
        <v>2478</v>
      </c>
      <c r="AH2375" s="1077" t="s">
        <v>2836</v>
      </c>
      <c r="AM2375" s="1078" t="s">
        <v>13697</v>
      </c>
      <c r="AN2375" s="1078" t="s">
        <v>13698</v>
      </c>
      <c r="AO2375" s="1078">
        <f t="shared" si="294"/>
        <v>700</v>
      </c>
      <c r="AP2375" s="1078">
        <f t="shared" si="295"/>
        <v>1.7749999999999999</v>
      </c>
      <c r="AQ2375" s="1078" t="str">
        <f t="shared" si="296"/>
        <v>1-4-1S85°Z+S</v>
      </c>
      <c r="AR2375" s="1078" t="str">
        <f t="shared" si="297"/>
        <v>NA</v>
      </c>
      <c r="AS2375" s="1078" t="str">
        <f t="shared" si="298"/>
        <v>196/OFF</v>
      </c>
      <c r="AT2375" s="1078" t="str">
        <f t="shared" si="299"/>
        <v>1-4-1S85°Z+S</v>
      </c>
      <c r="AU2375" s="1078" t="s">
        <v>15547</v>
      </c>
      <c r="AV2375" s="1078" t="str">
        <f t="shared" si="300"/>
        <v>109.12.25</v>
      </c>
      <c r="AW2375" s="1344">
        <f t="shared" si="301"/>
        <v>44190</v>
      </c>
    </row>
    <row r="2376" spans="1:49">
      <c r="A2376" s="1077" t="s">
        <v>7400</v>
      </c>
      <c r="B2376" s="1077" t="s">
        <v>7205</v>
      </c>
      <c r="C2376" s="1077">
        <v>550</v>
      </c>
      <c r="D2376" s="1077">
        <v>1.742</v>
      </c>
      <c r="E2376" s="1077">
        <v>102.5</v>
      </c>
      <c r="F2376" s="1077" t="s">
        <v>4070</v>
      </c>
      <c r="G2376" s="1077">
        <v>5</v>
      </c>
      <c r="H2376" s="1077" t="s">
        <v>7401</v>
      </c>
      <c r="I2376" s="1077" t="s">
        <v>7402</v>
      </c>
      <c r="J2376" s="1077">
        <v>3</v>
      </c>
      <c r="K2376" s="1077" t="s">
        <v>7403</v>
      </c>
      <c r="L2376" s="1077" t="s">
        <v>7208</v>
      </c>
      <c r="M2376" s="1077">
        <v>293.3</v>
      </c>
      <c r="N2376" s="1077" t="s">
        <v>945</v>
      </c>
      <c r="O2376" s="1077">
        <v>7.3325000000000005</v>
      </c>
      <c r="P2376" s="1077">
        <v>5.8660000000000005</v>
      </c>
      <c r="Q2376" s="1077" t="s">
        <v>946</v>
      </c>
      <c r="R2376" s="1077">
        <v>19</v>
      </c>
      <c r="T2376" s="1077">
        <v>27</v>
      </c>
      <c r="U2376" s="1077">
        <v>3.5</v>
      </c>
      <c r="V2376" s="1077" t="s">
        <v>648</v>
      </c>
      <c r="W2376" s="1077">
        <v>135</v>
      </c>
      <c r="X2376" s="1077">
        <v>90</v>
      </c>
      <c r="Y2376" s="1077">
        <v>1.4</v>
      </c>
      <c r="Z2376" s="1077" t="s">
        <v>648</v>
      </c>
      <c r="AA2376" s="1077" t="s">
        <v>4652</v>
      </c>
      <c r="AH2376" s="1077" t="s">
        <v>870</v>
      </c>
      <c r="AM2376" s="1078" t="s">
        <v>13699</v>
      </c>
      <c r="AN2376" s="1078" t="s">
        <v>13700</v>
      </c>
      <c r="AO2376" s="1078">
        <f t="shared" si="294"/>
        <v>550</v>
      </c>
      <c r="AP2376" s="1078">
        <f t="shared" si="295"/>
        <v>1.742</v>
      </c>
      <c r="AQ2376" s="1078">
        <f t="shared" si="296"/>
        <v>102.5</v>
      </c>
      <c r="AR2376" s="1078" t="str">
        <f t="shared" si="297"/>
        <v>15.5</v>
      </c>
      <c r="AS2376" s="1078" t="str">
        <f t="shared" si="298"/>
        <v>480/450/OFF</v>
      </c>
      <c r="AT2376" s="1078">
        <f t="shared" si="299"/>
        <v>102.5</v>
      </c>
      <c r="AV2376" s="1078" t="str">
        <f t="shared" si="300"/>
        <v>110.1.5</v>
      </c>
      <c r="AW2376" s="1344">
        <f t="shared" si="301"/>
        <v>44201</v>
      </c>
    </row>
    <row r="2377" spans="1:49">
      <c r="A2377" s="1077" t="s">
        <v>7404</v>
      </c>
      <c r="B2377" s="1077" t="s">
        <v>7009</v>
      </c>
      <c r="C2377" s="1077">
        <v>620</v>
      </c>
      <c r="D2377" s="1077">
        <v>1.8</v>
      </c>
      <c r="E2377" s="1077" t="s">
        <v>15122</v>
      </c>
      <c r="F2377" s="1077" t="s">
        <v>954</v>
      </c>
      <c r="G2377" s="1077">
        <v>5</v>
      </c>
      <c r="H2377" s="1077" t="s">
        <v>7397</v>
      </c>
      <c r="I2377" s="1077" t="s">
        <v>6983</v>
      </c>
      <c r="K2377" s="1077" t="s">
        <v>7405</v>
      </c>
      <c r="L2377" s="1077" t="s">
        <v>4924</v>
      </c>
      <c r="M2377" s="1077">
        <v>290.39999999999998</v>
      </c>
      <c r="N2377" s="1077" t="s">
        <v>945</v>
      </c>
      <c r="O2377" s="1077">
        <v>7.26</v>
      </c>
      <c r="P2377" s="1077">
        <v>5.8079999999999998</v>
      </c>
      <c r="Q2377" s="1077">
        <v>3.5</v>
      </c>
      <c r="R2377" s="1077">
        <v>17.5</v>
      </c>
      <c r="T2377" s="1077">
        <v>32.200000000000003</v>
      </c>
      <c r="U2377" s="1077">
        <v>3.3</v>
      </c>
      <c r="V2377" s="1077" t="s">
        <v>648</v>
      </c>
      <c r="W2377" s="1077" t="s">
        <v>4947</v>
      </c>
      <c r="X2377" s="1077">
        <v>10</v>
      </c>
      <c r="Y2377" s="1077">
        <v>1.5</v>
      </c>
      <c r="Z2377" s="1077" t="s">
        <v>648</v>
      </c>
      <c r="AA2377" s="1077" t="s">
        <v>6509</v>
      </c>
      <c r="AH2377" s="1077" t="s">
        <v>456</v>
      </c>
      <c r="AM2377" s="1078" t="s">
        <v>13701</v>
      </c>
      <c r="AN2377" s="1078" t="s">
        <v>13702</v>
      </c>
      <c r="AO2377" s="1078">
        <f t="shared" si="294"/>
        <v>620</v>
      </c>
      <c r="AP2377" s="1078">
        <f t="shared" si="295"/>
        <v>1.8</v>
      </c>
      <c r="AQ2377" s="1078" t="str">
        <f t="shared" si="296"/>
        <v>1-5-1S91°Z+S</v>
      </c>
      <c r="AR2377" s="1078" t="str">
        <f t="shared" si="297"/>
        <v>31</v>
      </c>
      <c r="AS2377" s="1078" t="str">
        <f t="shared" si="298"/>
        <v>340/340/148</v>
      </c>
      <c r="AT2377" s="1078" t="str">
        <f t="shared" si="299"/>
        <v>1-5-1S91°Z+S</v>
      </c>
      <c r="AU2377" s="1078" t="s">
        <v>15547</v>
      </c>
      <c r="AV2377" s="1078" t="str">
        <f t="shared" si="300"/>
        <v>110.1.6</v>
      </c>
      <c r="AW2377" s="1344">
        <f t="shared" si="301"/>
        <v>44202</v>
      </c>
    </row>
    <row r="2378" spans="1:49">
      <c r="A2378" s="1077" t="s">
        <v>7406</v>
      </c>
      <c r="B2378" s="1077" t="s">
        <v>7407</v>
      </c>
      <c r="C2378" s="1077">
        <v>550</v>
      </c>
      <c r="D2378" s="1077">
        <v>1.7549999999999999</v>
      </c>
      <c r="E2378" s="1077">
        <v>102.5</v>
      </c>
      <c r="F2378" s="1077" t="s">
        <v>5134</v>
      </c>
      <c r="G2378" s="1077">
        <v>5</v>
      </c>
      <c r="H2378" s="1077" t="s">
        <v>7280</v>
      </c>
      <c r="I2378" s="1077" t="s">
        <v>7326</v>
      </c>
      <c r="J2378" s="1077">
        <v>3</v>
      </c>
      <c r="K2378" s="1077" t="s">
        <v>7408</v>
      </c>
      <c r="L2378" s="1077" t="s">
        <v>5159</v>
      </c>
      <c r="M2378" s="1077">
        <v>300.7</v>
      </c>
      <c r="N2378" s="1077" t="s">
        <v>945</v>
      </c>
      <c r="O2378" s="1077">
        <v>7.5175000000000001</v>
      </c>
      <c r="P2378" s="1077">
        <v>6.0140000000000002</v>
      </c>
      <c r="Q2378" s="1077">
        <v>3</v>
      </c>
      <c r="R2378" s="1077">
        <v>28.5</v>
      </c>
      <c r="T2378" s="1077">
        <v>14.7</v>
      </c>
      <c r="U2378" s="1077">
        <v>6.1</v>
      </c>
      <c r="V2378" s="1077" t="s">
        <v>648</v>
      </c>
      <c r="W2378" s="1077">
        <v>115</v>
      </c>
      <c r="X2378" s="1077">
        <v>45</v>
      </c>
      <c r="Y2378" s="1077">
        <v>1.5</v>
      </c>
      <c r="Z2378" s="1077" t="s">
        <v>648</v>
      </c>
      <c r="AA2378" s="1077" t="s">
        <v>3102</v>
      </c>
      <c r="AH2378" s="1077" t="s">
        <v>723</v>
      </c>
      <c r="AM2378" s="1078" t="s">
        <v>13703</v>
      </c>
      <c r="AN2378" s="1078" t="s">
        <v>13704</v>
      </c>
      <c r="AO2378" s="1078">
        <f t="shared" si="294"/>
        <v>550</v>
      </c>
      <c r="AP2378" s="1078">
        <f t="shared" si="295"/>
        <v>1.7549999999999999</v>
      </c>
      <c r="AQ2378" s="1078">
        <f t="shared" si="296"/>
        <v>102.5</v>
      </c>
      <c r="AR2378" s="1078" t="str">
        <f t="shared" si="297"/>
        <v>15.6</v>
      </c>
      <c r="AS2378" s="1078" t="str">
        <f t="shared" si="298"/>
        <v>352/367/OFF</v>
      </c>
      <c r="AT2378" s="1078">
        <f t="shared" si="299"/>
        <v>102.5</v>
      </c>
      <c r="AV2378" s="1078" t="str">
        <f t="shared" si="300"/>
        <v>110.1.13</v>
      </c>
      <c r="AW2378" s="1344">
        <f t="shared" si="301"/>
        <v>44209</v>
      </c>
    </row>
    <row r="2379" spans="1:49">
      <c r="A2379" s="1077" t="s">
        <v>7409</v>
      </c>
      <c r="B2379" s="1077" t="s">
        <v>775</v>
      </c>
      <c r="C2379" s="1077">
        <v>600</v>
      </c>
      <c r="D2379" s="1077">
        <v>1.8</v>
      </c>
      <c r="E2379" s="1077" t="s">
        <v>15116</v>
      </c>
      <c r="F2379" s="1077" t="s">
        <v>2234</v>
      </c>
      <c r="G2379" s="1077">
        <v>4</v>
      </c>
      <c r="H2379" s="1077" t="s">
        <v>6902</v>
      </c>
      <c r="I2379" s="1077" t="s">
        <v>6903</v>
      </c>
      <c r="K2379" s="1077" t="s">
        <v>7410</v>
      </c>
      <c r="L2379" s="1077" t="s">
        <v>6933</v>
      </c>
      <c r="M2379" s="1077">
        <v>302</v>
      </c>
      <c r="N2379" s="1077" t="s">
        <v>945</v>
      </c>
      <c r="O2379" s="1077">
        <v>7.5500000000000007</v>
      </c>
      <c r="P2379" s="1077">
        <v>6.04</v>
      </c>
      <c r="Q2379" s="1077">
        <v>3.5</v>
      </c>
      <c r="R2379" s="1077">
        <v>27.3</v>
      </c>
      <c r="T2379" s="1077">
        <v>13.3</v>
      </c>
      <c r="U2379" s="1077">
        <v>2.2999999999999998</v>
      </c>
      <c r="V2379" s="1077" t="s">
        <v>648</v>
      </c>
      <c r="W2379" s="1077" t="s">
        <v>4947</v>
      </c>
      <c r="X2379" s="1077">
        <v>10</v>
      </c>
      <c r="Y2379" s="1077">
        <v>1.6</v>
      </c>
      <c r="Z2379" s="1077" t="s">
        <v>648</v>
      </c>
      <c r="AA2379" s="1077" t="s">
        <v>2485</v>
      </c>
      <c r="AH2379" s="1077" t="s">
        <v>1482</v>
      </c>
      <c r="AM2379" s="1078" t="s">
        <v>13705</v>
      </c>
      <c r="AN2379" s="1078" t="s">
        <v>13627</v>
      </c>
      <c r="AO2379" s="1078">
        <f t="shared" ref="AO2379:AO2442" si="302">C2379</f>
        <v>600</v>
      </c>
      <c r="AP2379" s="1078">
        <f t="shared" ref="AP2379:AP2442" si="303">D2379</f>
        <v>1.8</v>
      </c>
      <c r="AQ2379" s="1078" t="str">
        <f t="shared" ref="AQ2379:AQ2442" si="304">E2379</f>
        <v>1-5-1S83°Z+S</v>
      </c>
      <c r="AR2379" s="1078" t="str">
        <f t="shared" ref="AR2379:AR2442" si="305">F2379</f>
        <v>33.5</v>
      </c>
      <c r="AS2379" s="1078" t="str">
        <f t="shared" ref="AS2379:AS2442" si="306">H2379</f>
        <v>310/310/190</v>
      </c>
      <c r="AT2379" s="1078" t="str">
        <f t="shared" ref="AT2379:AT2442" si="307">E2379</f>
        <v>1-5-1S83°Z+S</v>
      </c>
      <c r="AU2379" s="1078" t="s">
        <v>15547</v>
      </c>
      <c r="AV2379" s="1078" t="str">
        <f t="shared" si="300"/>
        <v>110.1.15</v>
      </c>
      <c r="AW2379" s="1344">
        <f t="shared" si="301"/>
        <v>44211</v>
      </c>
    </row>
    <row r="2380" spans="1:49">
      <c r="A2380" s="1077" t="s">
        <v>7411</v>
      </c>
      <c r="B2380" s="1077" t="s">
        <v>6940</v>
      </c>
      <c r="C2380" s="1077">
        <v>500</v>
      </c>
      <c r="D2380" s="1077">
        <v>1.77</v>
      </c>
      <c r="E2380" s="1077" t="s">
        <v>15122</v>
      </c>
      <c r="F2380" s="1077" t="s">
        <v>984</v>
      </c>
      <c r="G2380" s="1077">
        <v>5</v>
      </c>
      <c r="H2380" s="1077" t="s">
        <v>2009</v>
      </c>
      <c r="I2380" s="1077" t="s">
        <v>6988</v>
      </c>
      <c r="J2380" s="1077">
        <v>1</v>
      </c>
      <c r="K2380" s="1077" t="s">
        <v>7412</v>
      </c>
      <c r="L2380" s="1077" t="s">
        <v>4952</v>
      </c>
      <c r="M2380" s="1077">
        <v>308.39999999999998</v>
      </c>
      <c r="N2380" s="1077" t="s">
        <v>945</v>
      </c>
      <c r="O2380" s="1077">
        <v>7.71</v>
      </c>
      <c r="P2380" s="1077">
        <v>6.1679999999999993</v>
      </c>
      <c r="Q2380" s="1077">
        <v>2.8</v>
      </c>
      <c r="R2380" s="1077">
        <v>29.5</v>
      </c>
      <c r="T2380" s="1077">
        <v>14.5</v>
      </c>
      <c r="U2380" s="1077">
        <v>5</v>
      </c>
      <c r="V2380" s="1077" t="s">
        <v>648</v>
      </c>
      <c r="W2380" s="1077" t="s">
        <v>6990</v>
      </c>
      <c r="X2380" s="1077">
        <v>10</v>
      </c>
      <c r="Y2380" s="1077">
        <v>1.7</v>
      </c>
      <c r="Z2380" s="1077" t="s">
        <v>648</v>
      </c>
      <c r="AA2380" s="1077" t="s">
        <v>7413</v>
      </c>
      <c r="AH2380" s="1077" t="s">
        <v>1482</v>
      </c>
      <c r="AM2380" s="1078" t="s">
        <v>13706</v>
      </c>
      <c r="AN2380" s="1078" t="s">
        <v>13707</v>
      </c>
      <c r="AO2380" s="1078">
        <f t="shared" si="302"/>
        <v>500</v>
      </c>
      <c r="AP2380" s="1078">
        <f t="shared" si="303"/>
        <v>1.77</v>
      </c>
      <c r="AQ2380" s="1078" t="str">
        <f t="shared" si="304"/>
        <v>1-5-1S91°Z+S</v>
      </c>
      <c r="AR2380" s="1078" t="str">
        <f t="shared" si="305"/>
        <v>30</v>
      </c>
      <c r="AS2380" s="1078" t="str">
        <f t="shared" si="306"/>
        <v>265/265/OFF</v>
      </c>
      <c r="AT2380" s="1078" t="str">
        <f t="shared" si="307"/>
        <v>1-5-1S91°Z+S</v>
      </c>
      <c r="AU2380" s="1078" t="s">
        <v>15547</v>
      </c>
      <c r="AV2380" s="1078" t="str">
        <f t="shared" si="300"/>
        <v>110.1.19</v>
      </c>
      <c r="AW2380" s="1344">
        <f t="shared" si="301"/>
        <v>44215</v>
      </c>
    </row>
    <row r="2381" spans="1:49">
      <c r="A2381" s="1077" t="s">
        <v>7414</v>
      </c>
      <c r="B2381" s="1077" t="s">
        <v>7407</v>
      </c>
      <c r="C2381" s="1077">
        <v>550</v>
      </c>
      <c r="D2381" s="1077">
        <v>1.7549999999999999</v>
      </c>
      <c r="E2381" s="1077">
        <v>102.5</v>
      </c>
      <c r="F2381" s="1077" t="s">
        <v>5134</v>
      </c>
      <c r="G2381" s="1077">
        <v>5</v>
      </c>
      <c r="H2381" s="1077" t="s">
        <v>7280</v>
      </c>
      <c r="I2381" s="1077" t="s">
        <v>7326</v>
      </c>
      <c r="J2381" s="1077">
        <v>3</v>
      </c>
      <c r="K2381" s="1077" t="s">
        <v>7415</v>
      </c>
      <c r="L2381" s="1077" t="s">
        <v>4854</v>
      </c>
      <c r="M2381" s="1077">
        <v>300.7</v>
      </c>
      <c r="N2381" s="1077" t="s">
        <v>945</v>
      </c>
      <c r="O2381" s="1077">
        <v>7.5175000000000001</v>
      </c>
      <c r="P2381" s="1077">
        <v>6.0140000000000002</v>
      </c>
      <c r="Q2381" s="1077">
        <v>3</v>
      </c>
      <c r="R2381" s="1077">
        <v>28.5</v>
      </c>
      <c r="T2381" s="1077">
        <v>14.7</v>
      </c>
      <c r="U2381" s="1077">
        <v>6.1</v>
      </c>
      <c r="V2381" s="1077" t="s">
        <v>648</v>
      </c>
      <c r="W2381" s="1077">
        <v>115</v>
      </c>
      <c r="X2381" s="1077">
        <v>45</v>
      </c>
      <c r="Y2381" s="1077">
        <v>1.5</v>
      </c>
      <c r="Z2381" s="1077" t="s">
        <v>648</v>
      </c>
      <c r="AA2381" s="1077" t="s">
        <v>7416</v>
      </c>
      <c r="AH2381" s="1077" t="s">
        <v>887</v>
      </c>
      <c r="AM2381" s="1078" t="s">
        <v>13708</v>
      </c>
      <c r="AN2381" s="1078" t="s">
        <v>13709</v>
      </c>
      <c r="AO2381" s="1078">
        <f t="shared" si="302"/>
        <v>550</v>
      </c>
      <c r="AP2381" s="1078">
        <f t="shared" si="303"/>
        <v>1.7549999999999999</v>
      </c>
      <c r="AQ2381" s="1078">
        <f t="shared" si="304"/>
        <v>102.5</v>
      </c>
      <c r="AR2381" s="1078" t="str">
        <f t="shared" si="305"/>
        <v>15.6</v>
      </c>
      <c r="AS2381" s="1078" t="str">
        <f t="shared" si="306"/>
        <v>352/367/OFF</v>
      </c>
      <c r="AT2381" s="1078">
        <f t="shared" si="307"/>
        <v>102.5</v>
      </c>
      <c r="AV2381" s="1078" t="str">
        <f t="shared" si="300"/>
        <v>110.1.21</v>
      </c>
      <c r="AW2381" s="1344">
        <f t="shared" si="301"/>
        <v>44217</v>
      </c>
    </row>
    <row r="2382" spans="1:49">
      <c r="A2382" s="1077" t="s">
        <v>7417</v>
      </c>
      <c r="B2382" s="1077" t="s">
        <v>7114</v>
      </c>
      <c r="C2382" s="1077">
        <v>550</v>
      </c>
      <c r="D2382" s="1077">
        <v>1.7549999999999999</v>
      </c>
      <c r="E2382" s="1077">
        <v>102.5</v>
      </c>
      <c r="F2382" s="1077" t="s">
        <v>5134</v>
      </c>
      <c r="G2382" s="1077">
        <v>5</v>
      </c>
      <c r="H2382" s="1077" t="s">
        <v>7280</v>
      </c>
      <c r="I2382" s="1077" t="s">
        <v>7326</v>
      </c>
      <c r="J2382" s="1077">
        <v>3</v>
      </c>
      <c r="K2382" s="1077" t="s">
        <v>7415</v>
      </c>
      <c r="L2382" s="1077" t="s">
        <v>4854</v>
      </c>
      <c r="M2382" s="1077">
        <v>300.7</v>
      </c>
      <c r="N2382" s="1077" t="s">
        <v>945</v>
      </c>
      <c r="O2382" s="1077">
        <v>7.5175000000000001</v>
      </c>
      <c r="P2382" s="1077">
        <v>6.0140000000000002</v>
      </c>
      <c r="Q2382" s="1077">
        <v>3</v>
      </c>
      <c r="R2382" s="1077">
        <v>28.5</v>
      </c>
      <c r="T2382" s="1077">
        <v>14.7</v>
      </c>
      <c r="U2382" s="1077">
        <v>6.1</v>
      </c>
      <c r="V2382" s="1077" t="s">
        <v>648</v>
      </c>
      <c r="W2382" s="1077">
        <v>115</v>
      </c>
      <c r="X2382" s="1077">
        <v>45</v>
      </c>
      <c r="Y2382" s="1077">
        <v>1.5</v>
      </c>
      <c r="Z2382" s="1077" t="s">
        <v>648</v>
      </c>
      <c r="AA2382" s="1077" t="s">
        <v>7418</v>
      </c>
      <c r="AH2382" s="1077" t="s">
        <v>1376</v>
      </c>
      <c r="AM2382" s="1078" t="s">
        <v>13710</v>
      </c>
      <c r="AN2382" s="1078" t="s">
        <v>13711</v>
      </c>
      <c r="AO2382" s="1078">
        <f t="shared" si="302"/>
        <v>550</v>
      </c>
      <c r="AP2382" s="1078">
        <f t="shared" si="303"/>
        <v>1.7549999999999999</v>
      </c>
      <c r="AQ2382" s="1078">
        <f t="shared" si="304"/>
        <v>102.5</v>
      </c>
      <c r="AR2382" s="1078" t="str">
        <f t="shared" si="305"/>
        <v>15.6</v>
      </c>
      <c r="AS2382" s="1078" t="str">
        <f t="shared" si="306"/>
        <v>352/367/OFF</v>
      </c>
      <c r="AT2382" s="1078">
        <f t="shared" si="307"/>
        <v>102.5</v>
      </c>
      <c r="AV2382" s="1078" t="str">
        <f t="shared" si="300"/>
        <v>110.1.24</v>
      </c>
      <c r="AW2382" s="1344">
        <f t="shared" si="301"/>
        <v>44220</v>
      </c>
    </row>
    <row r="2383" spans="1:49">
      <c r="A2383" s="1077" t="s">
        <v>7419</v>
      </c>
      <c r="B2383" s="1077" t="s">
        <v>7042</v>
      </c>
      <c r="C2383" s="1077">
        <v>600</v>
      </c>
      <c r="D2383" s="1077">
        <v>1.764</v>
      </c>
      <c r="E2383" s="1077" t="s">
        <v>15109</v>
      </c>
      <c r="F2383" s="1077" t="s">
        <v>648</v>
      </c>
      <c r="G2383" s="1077">
        <v>5</v>
      </c>
      <c r="H2383" s="1077" t="s">
        <v>7420</v>
      </c>
      <c r="I2383" s="1077" t="s">
        <v>6929</v>
      </c>
      <c r="J2383" s="1077">
        <v>1</v>
      </c>
      <c r="K2383" s="1077" t="s">
        <v>7421</v>
      </c>
      <c r="L2383" s="1077" t="s">
        <v>4888</v>
      </c>
      <c r="M2383" s="1077">
        <v>299.60000000000002</v>
      </c>
      <c r="N2383" s="1077" t="s">
        <v>945</v>
      </c>
      <c r="O2383" s="1077">
        <v>7.4900000000000011</v>
      </c>
      <c r="P2383" s="1077">
        <v>5.9920000000000009</v>
      </c>
      <c r="Q2383" s="1077">
        <v>4</v>
      </c>
      <c r="R2383" s="1077">
        <v>21.9</v>
      </c>
      <c r="T2383" s="1077">
        <v>19.899999999999999</v>
      </c>
      <c r="U2383" s="1077">
        <v>3.6</v>
      </c>
      <c r="V2383" s="1077" t="s">
        <v>648</v>
      </c>
      <c r="W2383" s="1077">
        <v>125</v>
      </c>
      <c r="X2383" s="1077">
        <v>90</v>
      </c>
      <c r="Y2383" s="1077">
        <v>1.1000000000000001</v>
      </c>
      <c r="Z2383" s="1077" t="s">
        <v>648</v>
      </c>
      <c r="AA2383" s="1077" t="s">
        <v>3110</v>
      </c>
      <c r="AH2383" s="1077" t="s">
        <v>1803</v>
      </c>
      <c r="AM2383" s="1078" t="s">
        <v>13712</v>
      </c>
      <c r="AN2383" s="1078" t="s">
        <v>13713</v>
      </c>
      <c r="AO2383" s="1078">
        <f t="shared" si="302"/>
        <v>600</v>
      </c>
      <c r="AP2383" s="1078">
        <f t="shared" si="303"/>
        <v>1.764</v>
      </c>
      <c r="AQ2383" s="1078" t="str">
        <f t="shared" si="304"/>
        <v>1-5-1S85°Z+S</v>
      </c>
      <c r="AR2383" s="1078" t="str">
        <f t="shared" si="305"/>
        <v>NA</v>
      </c>
      <c r="AS2383" s="1078" t="str">
        <f t="shared" si="306"/>
        <v>178/155</v>
      </c>
      <c r="AT2383" s="1078" t="str">
        <f t="shared" si="307"/>
        <v>1-5-1S85°Z+S</v>
      </c>
      <c r="AU2383" s="1078" t="s">
        <v>15547</v>
      </c>
      <c r="AV2383" s="1078" t="str">
        <f t="shared" si="300"/>
        <v>110.1.25</v>
      </c>
      <c r="AW2383" s="1344">
        <f t="shared" si="301"/>
        <v>44221</v>
      </c>
    </row>
    <row r="2384" spans="1:49">
      <c r="A2384" s="1077" t="s">
        <v>7422</v>
      </c>
      <c r="B2384" s="1077" t="s">
        <v>7019</v>
      </c>
      <c r="C2384" s="1077">
        <v>550</v>
      </c>
      <c r="D2384" s="1077">
        <v>1.724</v>
      </c>
      <c r="E2384" s="1077">
        <v>102.5</v>
      </c>
      <c r="F2384" s="1077" t="s">
        <v>4070</v>
      </c>
      <c r="G2384" s="1077">
        <v>5.5</v>
      </c>
      <c r="H2384" s="1077" t="s">
        <v>7366</v>
      </c>
      <c r="I2384" s="1077" t="s">
        <v>7087</v>
      </c>
      <c r="K2384" s="1077" t="s">
        <v>7423</v>
      </c>
      <c r="L2384" s="1077" t="s">
        <v>7424</v>
      </c>
      <c r="M2384" s="1077">
        <v>295</v>
      </c>
      <c r="N2384" s="1077" t="s">
        <v>945</v>
      </c>
      <c r="O2384" s="1077">
        <v>7.375</v>
      </c>
      <c r="P2384" s="1077">
        <v>5.9</v>
      </c>
      <c r="Q2384" s="1077">
        <v>4</v>
      </c>
      <c r="R2384" s="1077">
        <v>19</v>
      </c>
      <c r="T2384" s="1077">
        <v>27.8</v>
      </c>
      <c r="U2384" s="1077">
        <v>3.9</v>
      </c>
      <c r="V2384" s="1077" t="s">
        <v>648</v>
      </c>
      <c r="W2384" s="1077">
        <v>125</v>
      </c>
      <c r="X2384" s="1077">
        <v>90</v>
      </c>
      <c r="Y2384" s="1077">
        <v>1.5</v>
      </c>
      <c r="Z2384" s="1077" t="s">
        <v>648</v>
      </c>
      <c r="AA2384" s="1077" t="s">
        <v>3115</v>
      </c>
      <c r="AH2384" s="1077" t="s">
        <v>1643</v>
      </c>
      <c r="AM2384" s="1078" t="s">
        <v>13714</v>
      </c>
      <c r="AN2384" s="1078" t="s">
        <v>13715</v>
      </c>
      <c r="AO2384" s="1078">
        <f t="shared" si="302"/>
        <v>550</v>
      </c>
      <c r="AP2384" s="1078">
        <f t="shared" si="303"/>
        <v>1.724</v>
      </c>
      <c r="AQ2384" s="1078">
        <f t="shared" si="304"/>
        <v>102.5</v>
      </c>
      <c r="AR2384" s="1078" t="str">
        <f t="shared" si="305"/>
        <v>15.5</v>
      </c>
      <c r="AS2384" s="1078" t="str">
        <f t="shared" si="306"/>
        <v>455/425/OFF</v>
      </c>
      <c r="AT2384" s="1078">
        <f t="shared" si="307"/>
        <v>102.5</v>
      </c>
      <c r="AV2384" s="1078" t="str">
        <f t="shared" si="300"/>
        <v>110.1.28</v>
      </c>
      <c r="AW2384" s="1344">
        <f t="shared" si="301"/>
        <v>44224</v>
      </c>
    </row>
    <row r="2385" spans="1:49">
      <c r="A2385" s="1077" t="s">
        <v>7425</v>
      </c>
      <c r="B2385" s="1077" t="s">
        <v>6907</v>
      </c>
      <c r="C2385" s="1077">
        <v>600</v>
      </c>
      <c r="D2385" s="1077">
        <v>1.89</v>
      </c>
      <c r="E2385" s="1077" t="s">
        <v>15109</v>
      </c>
      <c r="F2385" s="1077" t="s">
        <v>648</v>
      </c>
      <c r="G2385" s="1077">
        <v>5</v>
      </c>
      <c r="H2385" s="1077" t="s">
        <v>7129</v>
      </c>
      <c r="I2385" s="1077" t="s">
        <v>6941</v>
      </c>
      <c r="J2385" s="1077">
        <v>2.9</v>
      </c>
      <c r="K2385" s="1077" t="s">
        <v>7106</v>
      </c>
      <c r="L2385" s="1077" t="s">
        <v>4763</v>
      </c>
      <c r="M2385" s="1077">
        <v>295.10000000000002</v>
      </c>
      <c r="N2385" s="1077" t="s">
        <v>945</v>
      </c>
      <c r="O2385" s="1077">
        <v>7.3775000000000013</v>
      </c>
      <c r="P2385" s="1077">
        <v>5.9020000000000001</v>
      </c>
      <c r="Q2385" s="1077">
        <v>4</v>
      </c>
      <c r="R2385" s="1077">
        <v>19.100000000000001</v>
      </c>
      <c r="T2385" s="1077">
        <v>25.2</v>
      </c>
      <c r="U2385" s="1077">
        <v>3.3</v>
      </c>
      <c r="V2385" s="1077" t="s">
        <v>648</v>
      </c>
      <c r="W2385" s="1077">
        <v>60</v>
      </c>
      <c r="X2385" s="1077">
        <v>10</v>
      </c>
      <c r="Y2385" s="1077">
        <v>1.8</v>
      </c>
      <c r="Z2385" s="1077" t="s">
        <v>648</v>
      </c>
      <c r="AA2385" s="1077" t="s">
        <v>1305</v>
      </c>
      <c r="AH2385" s="1077" t="s">
        <v>650</v>
      </c>
      <c r="AM2385" s="1078" t="s">
        <v>13716</v>
      </c>
      <c r="AN2385" s="1078" t="s">
        <v>13717</v>
      </c>
      <c r="AO2385" s="1078">
        <f t="shared" si="302"/>
        <v>600</v>
      </c>
      <c r="AP2385" s="1078">
        <f t="shared" si="303"/>
        <v>1.89</v>
      </c>
      <c r="AQ2385" s="1078" t="str">
        <f t="shared" si="304"/>
        <v>1-5-1S85°Z+S</v>
      </c>
      <c r="AR2385" s="1078" t="str">
        <f t="shared" si="305"/>
        <v>NA</v>
      </c>
      <c r="AS2385" s="1078" t="str">
        <f t="shared" si="306"/>
        <v>190/168</v>
      </c>
      <c r="AT2385" s="1078" t="str">
        <f t="shared" si="307"/>
        <v>1-5-1S85°Z+S</v>
      </c>
      <c r="AU2385" s="1078" t="s">
        <v>15547</v>
      </c>
      <c r="AV2385" s="1078" t="str">
        <f t="shared" si="300"/>
        <v>110.2.1</v>
      </c>
      <c r="AW2385" s="1344">
        <f t="shared" si="301"/>
        <v>44228</v>
      </c>
    </row>
    <row r="2386" spans="1:49">
      <c r="A2386" s="1077" t="s">
        <v>7426</v>
      </c>
      <c r="B2386" s="1077" t="s">
        <v>6907</v>
      </c>
      <c r="C2386" s="1077">
        <v>600</v>
      </c>
      <c r="D2386" s="1077">
        <v>1.89</v>
      </c>
      <c r="E2386" s="1077" t="s">
        <v>15109</v>
      </c>
      <c r="F2386" s="1077" t="s">
        <v>648</v>
      </c>
      <c r="G2386" s="1077">
        <v>5</v>
      </c>
      <c r="H2386" s="1077" t="s">
        <v>7129</v>
      </c>
      <c r="I2386" s="1077" t="s">
        <v>6941</v>
      </c>
      <c r="J2386" s="1077">
        <v>2.9</v>
      </c>
      <c r="K2386" s="1077" t="s">
        <v>7427</v>
      </c>
      <c r="L2386" s="1077" t="s">
        <v>4763</v>
      </c>
      <c r="M2386" s="1077">
        <v>295.10000000000002</v>
      </c>
      <c r="N2386" s="1077" t="s">
        <v>945</v>
      </c>
      <c r="O2386" s="1077">
        <v>7.3775000000000013</v>
      </c>
      <c r="P2386" s="1077">
        <v>5.9020000000000001</v>
      </c>
      <c r="Q2386" s="1077">
        <v>4</v>
      </c>
      <c r="R2386" s="1077">
        <v>19.100000000000001</v>
      </c>
      <c r="T2386" s="1077">
        <v>25.2</v>
      </c>
      <c r="U2386" s="1077">
        <v>3.3</v>
      </c>
      <c r="V2386" s="1077" t="s">
        <v>648</v>
      </c>
      <c r="W2386" s="1077">
        <v>60</v>
      </c>
      <c r="X2386" s="1077">
        <v>10</v>
      </c>
      <c r="Y2386" s="1077">
        <v>1.8</v>
      </c>
      <c r="Z2386" s="1077" t="s">
        <v>648</v>
      </c>
      <c r="AA2386" s="1077" t="s">
        <v>1305</v>
      </c>
      <c r="AH2386" s="1077" t="s">
        <v>803</v>
      </c>
      <c r="AM2386" s="1078" t="s">
        <v>13718</v>
      </c>
      <c r="AN2386" s="1078" t="s">
        <v>13719</v>
      </c>
      <c r="AO2386" s="1078">
        <f t="shared" si="302"/>
        <v>600</v>
      </c>
      <c r="AP2386" s="1078">
        <f t="shared" si="303"/>
        <v>1.89</v>
      </c>
      <c r="AQ2386" s="1078" t="str">
        <f t="shared" si="304"/>
        <v>1-5-1S85°Z+S</v>
      </c>
      <c r="AR2386" s="1078" t="str">
        <f t="shared" si="305"/>
        <v>NA</v>
      </c>
      <c r="AS2386" s="1078" t="str">
        <f t="shared" si="306"/>
        <v>190/168</v>
      </c>
      <c r="AT2386" s="1078" t="str">
        <f t="shared" si="307"/>
        <v>1-5-1S85°Z+S</v>
      </c>
      <c r="AU2386" s="1078" t="s">
        <v>15547</v>
      </c>
      <c r="AV2386" s="1078" t="str">
        <f t="shared" si="300"/>
        <v>110.2.1</v>
      </c>
      <c r="AW2386" s="1344">
        <f t="shared" si="301"/>
        <v>44228</v>
      </c>
    </row>
    <row r="2387" spans="1:49">
      <c r="A2387" s="1077" t="s">
        <v>7428</v>
      </c>
      <c r="B2387" s="1077" t="s">
        <v>717</v>
      </c>
      <c r="C2387" s="1077">
        <v>600</v>
      </c>
      <c r="D2387" s="1077">
        <v>1.8</v>
      </c>
      <c r="E2387" s="1077" t="s">
        <v>15116</v>
      </c>
      <c r="F2387" s="1077" t="s">
        <v>2234</v>
      </c>
      <c r="G2387" s="1077">
        <v>4</v>
      </c>
      <c r="H2387" s="1077" t="s">
        <v>6902</v>
      </c>
      <c r="I2387" s="1077" t="s">
        <v>6918</v>
      </c>
      <c r="K2387" s="1077" t="s">
        <v>7429</v>
      </c>
      <c r="L2387" s="1077" t="s">
        <v>6920</v>
      </c>
      <c r="M2387" s="1077">
        <v>303.5</v>
      </c>
      <c r="N2387" s="1077" t="s">
        <v>945</v>
      </c>
      <c r="O2387" s="1077">
        <v>7.5875000000000004</v>
      </c>
      <c r="P2387" s="1077">
        <v>6.07</v>
      </c>
      <c r="Q2387" s="1077">
        <v>3.5</v>
      </c>
      <c r="R2387" s="1077">
        <v>27.9</v>
      </c>
      <c r="T2387" s="1077">
        <v>13.5</v>
      </c>
      <c r="U2387" s="1077">
        <v>2.5</v>
      </c>
      <c r="V2387" s="1077" t="s">
        <v>648</v>
      </c>
      <c r="W2387" s="1077">
        <v>90</v>
      </c>
      <c r="X2387" s="1077">
        <v>10</v>
      </c>
      <c r="Y2387" s="1077">
        <v>1.6</v>
      </c>
      <c r="Z2387" s="1077" t="s">
        <v>648</v>
      </c>
      <c r="AA2387" s="1077" t="s">
        <v>5676</v>
      </c>
      <c r="AH2387" s="1077" t="s">
        <v>3213</v>
      </c>
      <c r="AM2387" s="1078" t="s">
        <v>13720</v>
      </c>
      <c r="AN2387" s="1078" t="s">
        <v>13721</v>
      </c>
      <c r="AO2387" s="1078">
        <f t="shared" si="302"/>
        <v>600</v>
      </c>
      <c r="AP2387" s="1078">
        <f t="shared" si="303"/>
        <v>1.8</v>
      </c>
      <c r="AQ2387" s="1078" t="str">
        <f t="shared" si="304"/>
        <v>1-5-1S83°Z+S</v>
      </c>
      <c r="AR2387" s="1078" t="str">
        <f t="shared" si="305"/>
        <v>33.5</v>
      </c>
      <c r="AS2387" s="1078" t="str">
        <f t="shared" si="306"/>
        <v>310/310/190</v>
      </c>
      <c r="AT2387" s="1078" t="str">
        <f t="shared" si="307"/>
        <v>1-5-1S83°Z+S</v>
      </c>
      <c r="AU2387" s="1078" t="s">
        <v>15547</v>
      </c>
      <c r="AV2387" s="1078" t="str">
        <f t="shared" si="300"/>
        <v>110.1.29</v>
      </c>
      <c r="AW2387" s="1344">
        <f t="shared" si="301"/>
        <v>44225</v>
      </c>
    </row>
    <row r="2388" spans="1:49">
      <c r="A2388" s="1077" t="s">
        <v>7430</v>
      </c>
      <c r="B2388" s="1077" t="s">
        <v>7431</v>
      </c>
      <c r="C2388" s="1077">
        <v>600</v>
      </c>
      <c r="D2388" s="1077">
        <v>1.7949999999999999</v>
      </c>
      <c r="E2388" s="1077" t="s">
        <v>15122</v>
      </c>
      <c r="F2388" s="1077" t="s">
        <v>984</v>
      </c>
      <c r="G2388" s="1077">
        <v>5</v>
      </c>
      <c r="H2388" s="1077" t="s">
        <v>3076</v>
      </c>
      <c r="I2388" s="1077" t="s">
        <v>6873</v>
      </c>
      <c r="J2388" s="1077">
        <v>3.2</v>
      </c>
      <c r="K2388" s="1077" t="s">
        <v>7432</v>
      </c>
      <c r="L2388" s="1077" t="s">
        <v>5808</v>
      </c>
      <c r="M2388" s="1077">
        <v>293</v>
      </c>
      <c r="N2388" s="1077" t="s">
        <v>945</v>
      </c>
      <c r="O2388" s="1077">
        <v>7.3250000000000002</v>
      </c>
      <c r="P2388" s="1077">
        <v>5.86</v>
      </c>
      <c r="Q2388" s="1077">
        <v>4</v>
      </c>
      <c r="R2388" s="1077">
        <v>23.4</v>
      </c>
      <c r="T2388" s="1077">
        <v>27</v>
      </c>
      <c r="U2388" s="1077">
        <v>3.5</v>
      </c>
      <c r="V2388" s="1077" t="s">
        <v>648</v>
      </c>
      <c r="W2388" s="1077">
        <v>60</v>
      </c>
      <c r="X2388" s="1077">
        <v>10</v>
      </c>
      <c r="Y2388" s="1077">
        <v>1.2</v>
      </c>
      <c r="Z2388" s="1077" t="s">
        <v>648</v>
      </c>
      <c r="AA2388" s="1077" t="s">
        <v>1380</v>
      </c>
      <c r="AH2388" s="1077" t="s">
        <v>762</v>
      </c>
      <c r="AM2388" s="1078" t="s">
        <v>13722</v>
      </c>
      <c r="AN2388" s="1078" t="s">
        <v>13723</v>
      </c>
      <c r="AO2388" s="1078">
        <f t="shared" si="302"/>
        <v>600</v>
      </c>
      <c r="AP2388" s="1078">
        <f t="shared" si="303"/>
        <v>1.7949999999999999</v>
      </c>
      <c r="AQ2388" s="1078" t="str">
        <f t="shared" si="304"/>
        <v>1-5-1S91°Z+S</v>
      </c>
      <c r="AR2388" s="1078" t="str">
        <f t="shared" si="305"/>
        <v>30</v>
      </c>
      <c r="AS2388" s="1078" t="str">
        <f t="shared" si="306"/>
        <v>338/338/OFF</v>
      </c>
      <c r="AT2388" s="1078" t="str">
        <f t="shared" si="307"/>
        <v>1-5-1S91°Z+S</v>
      </c>
      <c r="AU2388" s="1078" t="s">
        <v>15547</v>
      </c>
      <c r="AV2388" s="1078" t="str">
        <f t="shared" si="300"/>
        <v>110.2.2</v>
      </c>
      <c r="AW2388" s="1344">
        <f t="shared" si="301"/>
        <v>44229</v>
      </c>
    </row>
    <row r="2389" spans="1:49">
      <c r="A2389" s="1077" t="s">
        <v>7433</v>
      </c>
      <c r="B2389" s="1077" t="s">
        <v>7381</v>
      </c>
      <c r="C2389" s="1077">
        <v>500</v>
      </c>
      <c r="D2389" s="1077">
        <v>1.78</v>
      </c>
      <c r="E2389" s="1077" t="s">
        <v>15122</v>
      </c>
      <c r="F2389" s="1077" t="s">
        <v>1514</v>
      </c>
      <c r="G2389" s="1077">
        <v>5</v>
      </c>
      <c r="H2389" s="1077" t="s">
        <v>7382</v>
      </c>
      <c r="I2389" s="1077" t="s">
        <v>7021</v>
      </c>
      <c r="J2389" s="1077">
        <v>3</v>
      </c>
      <c r="K2389" s="1077" t="s">
        <v>7434</v>
      </c>
      <c r="L2389" s="1077" t="s">
        <v>7384</v>
      </c>
      <c r="M2389" s="1077">
        <v>306</v>
      </c>
      <c r="N2389" s="1077" t="s">
        <v>945</v>
      </c>
      <c r="O2389" s="1077">
        <v>7.65</v>
      </c>
      <c r="P2389" s="1077">
        <v>6.12</v>
      </c>
      <c r="Q2389" s="1077">
        <v>2.8</v>
      </c>
      <c r="R2389" s="1077">
        <v>20</v>
      </c>
      <c r="T2389" s="1077">
        <v>13.2</v>
      </c>
      <c r="U2389" s="1077">
        <v>5</v>
      </c>
      <c r="V2389" s="1077" t="s">
        <v>648</v>
      </c>
      <c r="W2389" s="1077">
        <v>115</v>
      </c>
      <c r="X2389" s="1077">
        <v>90</v>
      </c>
      <c r="Y2389" s="1077">
        <v>1.3</v>
      </c>
      <c r="Z2389" s="1077" t="s">
        <v>648</v>
      </c>
      <c r="AA2389" s="1077" t="s">
        <v>7435</v>
      </c>
      <c r="AH2389" s="1077" t="s">
        <v>830</v>
      </c>
      <c r="AM2389" s="1078" t="s">
        <v>13724</v>
      </c>
      <c r="AN2389" s="1078" t="s">
        <v>13725</v>
      </c>
      <c r="AO2389" s="1078">
        <f t="shared" si="302"/>
        <v>500</v>
      </c>
      <c r="AP2389" s="1078">
        <f t="shared" si="303"/>
        <v>1.78</v>
      </c>
      <c r="AQ2389" s="1078" t="str">
        <f t="shared" si="304"/>
        <v>1-5-1S91°Z+S</v>
      </c>
      <c r="AR2389" s="1078" t="str">
        <f t="shared" si="305"/>
        <v>32</v>
      </c>
      <c r="AS2389" s="1078" t="str">
        <f t="shared" si="306"/>
        <v>340/320/140</v>
      </c>
      <c r="AT2389" s="1078" t="str">
        <f t="shared" si="307"/>
        <v>1-5-1S91°Z+S</v>
      </c>
      <c r="AU2389" s="1078" t="s">
        <v>15547</v>
      </c>
      <c r="AV2389" s="1078" t="str">
        <f t="shared" si="300"/>
        <v>110.2.3</v>
      </c>
      <c r="AW2389" s="1344">
        <f t="shared" si="301"/>
        <v>44230</v>
      </c>
    </row>
    <row r="2390" spans="1:49">
      <c r="A2390" s="1077" t="s">
        <v>7436</v>
      </c>
      <c r="B2390" s="1077" t="s">
        <v>7091</v>
      </c>
      <c r="C2390" s="1077">
        <v>550</v>
      </c>
      <c r="D2390" s="1077">
        <v>1.78</v>
      </c>
      <c r="E2390" s="1077">
        <v>102.5</v>
      </c>
      <c r="F2390" s="1077" t="s">
        <v>4070</v>
      </c>
      <c r="G2390" s="1077">
        <v>5</v>
      </c>
      <c r="H2390" s="1077" t="s">
        <v>7047</v>
      </c>
      <c r="I2390" s="1077" t="s">
        <v>7001</v>
      </c>
      <c r="J2390" s="1077">
        <v>3.7</v>
      </c>
      <c r="K2390" s="1077" t="s">
        <v>7437</v>
      </c>
      <c r="L2390" s="1077" t="s">
        <v>5152</v>
      </c>
      <c r="M2390" s="1077">
        <v>290</v>
      </c>
      <c r="N2390" s="1077" t="s">
        <v>945</v>
      </c>
      <c r="O2390" s="1077">
        <v>7.25</v>
      </c>
      <c r="P2390" s="1077">
        <v>5.8</v>
      </c>
      <c r="Q2390" s="1077">
        <v>4</v>
      </c>
      <c r="R2390" s="1077">
        <v>19.5</v>
      </c>
      <c r="T2390" s="1077">
        <v>29.3</v>
      </c>
      <c r="U2390" s="1077">
        <v>3.5</v>
      </c>
      <c r="V2390" s="1077" t="s">
        <v>648</v>
      </c>
      <c r="W2390" s="1077">
        <v>95</v>
      </c>
      <c r="X2390" s="1077">
        <v>20</v>
      </c>
      <c r="Y2390" s="1077">
        <v>1.5</v>
      </c>
      <c r="Z2390" s="1077" t="s">
        <v>648</v>
      </c>
      <c r="AA2390" s="1077" t="s">
        <v>5281</v>
      </c>
      <c r="AH2390" s="1077" t="s">
        <v>6606</v>
      </c>
      <c r="AM2390" s="1078" t="s">
        <v>13726</v>
      </c>
      <c r="AN2390" s="1078" t="s">
        <v>13727</v>
      </c>
      <c r="AO2390" s="1078">
        <f t="shared" si="302"/>
        <v>550</v>
      </c>
      <c r="AP2390" s="1078">
        <f t="shared" si="303"/>
        <v>1.78</v>
      </c>
      <c r="AQ2390" s="1078">
        <f t="shared" si="304"/>
        <v>102.5</v>
      </c>
      <c r="AR2390" s="1078" t="str">
        <f t="shared" si="305"/>
        <v>15.5</v>
      </c>
      <c r="AS2390" s="1078" t="str">
        <f t="shared" si="306"/>
        <v>485/445/OFF</v>
      </c>
      <c r="AT2390" s="1078">
        <f t="shared" si="307"/>
        <v>102.5</v>
      </c>
      <c r="AV2390" s="1078" t="str">
        <f t="shared" si="300"/>
        <v>110.2.4</v>
      </c>
      <c r="AW2390" s="1344">
        <f t="shared" si="301"/>
        <v>44231</v>
      </c>
    </row>
    <row r="2391" spans="1:49">
      <c r="A2391" s="1077" t="s">
        <v>7438</v>
      </c>
      <c r="B2391" s="1077" t="s">
        <v>7055</v>
      </c>
      <c r="C2391" s="1077">
        <v>550</v>
      </c>
      <c r="D2391" s="1077">
        <v>1.7549999999999999</v>
      </c>
      <c r="E2391" s="1077">
        <v>102.5</v>
      </c>
      <c r="F2391" s="1077" t="s">
        <v>5134</v>
      </c>
      <c r="G2391" s="1077">
        <v>5.5</v>
      </c>
      <c r="H2391" s="1077" t="s">
        <v>7056</v>
      </c>
      <c r="I2391" s="1077" t="s">
        <v>7105</v>
      </c>
      <c r="J2391" s="1077">
        <v>3</v>
      </c>
      <c r="K2391" s="1077" t="s">
        <v>7439</v>
      </c>
      <c r="L2391" s="1077" t="s">
        <v>4946</v>
      </c>
      <c r="M2391" s="1077">
        <v>296</v>
      </c>
      <c r="N2391" s="1077" t="s">
        <v>945</v>
      </c>
      <c r="O2391" s="1077">
        <v>7.4</v>
      </c>
      <c r="P2391" s="1077">
        <v>5.92</v>
      </c>
      <c r="Q2391" s="1077">
        <v>3</v>
      </c>
      <c r="R2391" s="1077">
        <v>27</v>
      </c>
      <c r="T2391" s="1077">
        <v>17.5</v>
      </c>
      <c r="U2391" s="1077">
        <v>6</v>
      </c>
      <c r="V2391" s="1077" t="s">
        <v>648</v>
      </c>
      <c r="W2391" s="1077">
        <v>90</v>
      </c>
      <c r="X2391" s="1077">
        <v>10</v>
      </c>
      <c r="Y2391" s="1077">
        <v>1.2</v>
      </c>
      <c r="Z2391" s="1077" t="s">
        <v>648</v>
      </c>
      <c r="AA2391" s="1077" t="s">
        <v>3385</v>
      </c>
      <c r="AH2391" s="1077" t="s">
        <v>4630</v>
      </c>
      <c r="AM2391" s="1078" t="s">
        <v>13728</v>
      </c>
      <c r="AN2391" s="1078" t="s">
        <v>13729</v>
      </c>
      <c r="AO2391" s="1078">
        <f t="shared" si="302"/>
        <v>550</v>
      </c>
      <c r="AP2391" s="1078">
        <f t="shared" si="303"/>
        <v>1.7549999999999999</v>
      </c>
      <c r="AQ2391" s="1078">
        <f t="shared" si="304"/>
        <v>102.5</v>
      </c>
      <c r="AR2391" s="1078" t="str">
        <f t="shared" si="305"/>
        <v>15.6</v>
      </c>
      <c r="AS2391" s="1078" t="str">
        <f t="shared" si="306"/>
        <v>360/375/OFF</v>
      </c>
      <c r="AT2391" s="1078">
        <f t="shared" si="307"/>
        <v>102.5</v>
      </c>
      <c r="AV2391" s="1078" t="str">
        <f t="shared" si="300"/>
        <v>110.2.9</v>
      </c>
      <c r="AW2391" s="1344">
        <f t="shared" si="301"/>
        <v>44236</v>
      </c>
    </row>
    <row r="2392" spans="1:49">
      <c r="A2392" s="1077" t="s">
        <v>7440</v>
      </c>
      <c r="B2392" s="1077" t="s">
        <v>836</v>
      </c>
      <c r="C2392" s="1077">
        <v>600</v>
      </c>
      <c r="D2392" s="1077">
        <v>1.8</v>
      </c>
      <c r="E2392" s="1077" t="s">
        <v>15116</v>
      </c>
      <c r="F2392" s="1077" t="s">
        <v>6901</v>
      </c>
      <c r="G2392" s="1077">
        <v>4</v>
      </c>
      <c r="H2392" s="1077" t="s">
        <v>6902</v>
      </c>
      <c r="I2392" s="1077" t="s">
        <v>7001</v>
      </c>
      <c r="K2392" s="1077" t="s">
        <v>7441</v>
      </c>
      <c r="L2392" s="1077" t="s">
        <v>6905</v>
      </c>
      <c r="M2392" s="1077">
        <v>303.89999999999998</v>
      </c>
      <c r="N2392" s="1077" t="s">
        <v>945</v>
      </c>
      <c r="O2392" s="1077">
        <v>7.5975000000000001</v>
      </c>
      <c r="P2392" s="1077">
        <v>6.0779999999999994</v>
      </c>
      <c r="Q2392" s="1077">
        <v>3.5</v>
      </c>
      <c r="R2392" s="1077">
        <v>24.5</v>
      </c>
      <c r="T2392" s="1077">
        <v>12.7</v>
      </c>
      <c r="U2392" s="1077">
        <v>2.6</v>
      </c>
      <c r="V2392" s="1077" t="s">
        <v>648</v>
      </c>
      <c r="W2392" s="1077" t="s">
        <v>2532</v>
      </c>
      <c r="X2392" s="1077">
        <v>10</v>
      </c>
      <c r="Y2392" s="1077">
        <v>1.5</v>
      </c>
      <c r="Z2392" s="1077" t="s">
        <v>648</v>
      </c>
      <c r="AA2392" s="1077" t="s">
        <v>1384</v>
      </c>
      <c r="AH2392" s="1077" t="s">
        <v>1221</v>
      </c>
      <c r="AM2392" s="1078" t="s">
        <v>13730</v>
      </c>
      <c r="AN2392" s="1078" t="s">
        <v>13603</v>
      </c>
      <c r="AO2392" s="1078">
        <f t="shared" si="302"/>
        <v>600</v>
      </c>
      <c r="AP2392" s="1078">
        <f t="shared" si="303"/>
        <v>1.8</v>
      </c>
      <c r="AQ2392" s="1078" t="str">
        <f t="shared" si="304"/>
        <v>1-5-1S83°Z+S</v>
      </c>
      <c r="AR2392" s="1078" t="str">
        <f t="shared" si="305"/>
        <v>33.6</v>
      </c>
      <c r="AS2392" s="1078" t="str">
        <f t="shared" si="306"/>
        <v>310/310/190</v>
      </c>
      <c r="AT2392" s="1078" t="str">
        <f t="shared" si="307"/>
        <v>1-5-1S83°Z+S</v>
      </c>
      <c r="AU2392" s="1078" t="s">
        <v>15547</v>
      </c>
      <c r="AV2392" s="1078" t="str">
        <f t="shared" si="300"/>
        <v>110.2.17</v>
      </c>
      <c r="AW2392" s="1344">
        <f t="shared" si="301"/>
        <v>44244</v>
      </c>
    </row>
    <row r="2393" spans="1:49">
      <c r="A2393" s="1077" t="s">
        <v>7442</v>
      </c>
      <c r="B2393" s="1077" t="s">
        <v>7055</v>
      </c>
      <c r="C2393" s="1077">
        <v>550</v>
      </c>
      <c r="D2393" s="1077">
        <v>1.7549999999999999</v>
      </c>
      <c r="E2393" s="1077">
        <v>102.5</v>
      </c>
      <c r="F2393" s="1077" t="s">
        <v>5134</v>
      </c>
      <c r="G2393" s="1077">
        <v>5.5</v>
      </c>
      <c r="H2393" s="1077" t="s">
        <v>7056</v>
      </c>
      <c r="I2393" s="1077" t="s">
        <v>7443</v>
      </c>
      <c r="J2393" s="1077">
        <v>3</v>
      </c>
      <c r="K2393" s="1077" t="s">
        <v>7444</v>
      </c>
      <c r="L2393" s="1077" t="s">
        <v>4946</v>
      </c>
      <c r="M2393" s="1077">
        <v>296</v>
      </c>
      <c r="N2393" s="1077" t="s">
        <v>945</v>
      </c>
      <c r="O2393" s="1077">
        <v>7.4</v>
      </c>
      <c r="P2393" s="1077">
        <v>5.92</v>
      </c>
      <c r="Q2393" s="1077">
        <v>3</v>
      </c>
      <c r="R2393" s="1077">
        <v>27</v>
      </c>
      <c r="T2393" s="1077">
        <v>17.5</v>
      </c>
      <c r="U2393" s="1077">
        <v>6</v>
      </c>
      <c r="V2393" s="1077" t="s">
        <v>648</v>
      </c>
      <c r="W2393" s="1077">
        <v>90</v>
      </c>
      <c r="X2393" s="1077">
        <v>10</v>
      </c>
      <c r="Y2393" s="1077">
        <v>1.2</v>
      </c>
      <c r="Z2393" s="1077" t="s">
        <v>648</v>
      </c>
      <c r="AA2393" s="1077" t="s">
        <v>3385</v>
      </c>
      <c r="AH2393" s="1077" t="s">
        <v>6606</v>
      </c>
      <c r="AM2393" s="1078" t="s">
        <v>13731</v>
      </c>
      <c r="AN2393" s="1078" t="s">
        <v>13732</v>
      </c>
      <c r="AO2393" s="1078">
        <f t="shared" si="302"/>
        <v>550</v>
      </c>
      <c r="AP2393" s="1078">
        <f t="shared" si="303"/>
        <v>1.7549999999999999</v>
      </c>
      <c r="AQ2393" s="1078">
        <f t="shared" si="304"/>
        <v>102.5</v>
      </c>
      <c r="AR2393" s="1078" t="str">
        <f t="shared" si="305"/>
        <v>15.6</v>
      </c>
      <c r="AS2393" s="1078" t="str">
        <f t="shared" si="306"/>
        <v>360/375/OFF</v>
      </c>
      <c r="AT2393" s="1078">
        <f t="shared" si="307"/>
        <v>102.5</v>
      </c>
      <c r="AV2393" s="1078" t="str">
        <f t="shared" si="300"/>
        <v>110.2.9</v>
      </c>
      <c r="AW2393" s="1344">
        <f t="shared" si="301"/>
        <v>44236</v>
      </c>
    </row>
    <row r="2394" spans="1:49">
      <c r="A2394" s="1077" t="s">
        <v>7445</v>
      </c>
      <c r="B2394" s="1077" t="s">
        <v>7381</v>
      </c>
      <c r="C2394" s="1077">
        <v>500</v>
      </c>
      <c r="D2394" s="1077">
        <v>1.7649999999999999</v>
      </c>
      <c r="E2394" s="1077" t="s">
        <v>15122</v>
      </c>
      <c r="F2394" s="1077" t="s">
        <v>1514</v>
      </c>
      <c r="G2394" s="1077">
        <v>5</v>
      </c>
      <c r="H2394" s="1077" t="s">
        <v>7382</v>
      </c>
      <c r="I2394" s="1077" t="s">
        <v>7446</v>
      </c>
      <c r="J2394" s="1077">
        <v>3</v>
      </c>
      <c r="K2394" s="1077" t="s">
        <v>7447</v>
      </c>
      <c r="L2394" s="1077" t="s">
        <v>7384</v>
      </c>
      <c r="M2394" s="1077">
        <v>306</v>
      </c>
      <c r="N2394" s="1077" t="s">
        <v>945</v>
      </c>
      <c r="O2394" s="1077">
        <v>7.65</v>
      </c>
      <c r="P2394" s="1077">
        <v>6.12</v>
      </c>
      <c r="Q2394" s="1077">
        <v>2.8</v>
      </c>
      <c r="R2394" s="1077">
        <v>20</v>
      </c>
      <c r="T2394" s="1077">
        <v>13.2</v>
      </c>
      <c r="U2394" s="1077">
        <v>5</v>
      </c>
      <c r="V2394" s="1077" t="s">
        <v>648</v>
      </c>
      <c r="W2394" s="1077">
        <v>115</v>
      </c>
      <c r="X2394" s="1077">
        <v>90</v>
      </c>
      <c r="Y2394" s="1077">
        <v>1.3</v>
      </c>
      <c r="Z2394" s="1077" t="s">
        <v>648</v>
      </c>
      <c r="AA2394" s="1077" t="s">
        <v>1384</v>
      </c>
      <c r="AH2394" s="1077" t="s">
        <v>1376</v>
      </c>
      <c r="AM2394" s="1078" t="s">
        <v>13733</v>
      </c>
      <c r="AN2394" s="1078" t="s">
        <v>13734</v>
      </c>
      <c r="AO2394" s="1078">
        <f t="shared" si="302"/>
        <v>500</v>
      </c>
      <c r="AP2394" s="1078">
        <f t="shared" si="303"/>
        <v>1.7649999999999999</v>
      </c>
      <c r="AQ2394" s="1078" t="str">
        <f t="shared" si="304"/>
        <v>1-5-1S91°Z+S</v>
      </c>
      <c r="AR2394" s="1078" t="str">
        <f t="shared" si="305"/>
        <v>32</v>
      </c>
      <c r="AS2394" s="1078" t="str">
        <f t="shared" si="306"/>
        <v>340/320/140</v>
      </c>
      <c r="AT2394" s="1078" t="str">
        <f t="shared" si="307"/>
        <v>1-5-1S91°Z+S</v>
      </c>
      <c r="AU2394" s="1078" t="s">
        <v>15547</v>
      </c>
      <c r="AV2394" s="1078" t="str">
        <f t="shared" si="300"/>
        <v>110.2.17</v>
      </c>
      <c r="AW2394" s="1344">
        <f t="shared" si="301"/>
        <v>44244</v>
      </c>
    </row>
    <row r="2395" spans="1:49">
      <c r="A2395" s="1077" t="s">
        <v>7448</v>
      </c>
      <c r="B2395" s="1077" t="s">
        <v>717</v>
      </c>
      <c r="C2395" s="1077">
        <v>600</v>
      </c>
      <c r="D2395" s="1077">
        <v>1.79</v>
      </c>
      <c r="E2395" s="1077" t="s">
        <v>15116</v>
      </c>
      <c r="F2395" s="1077" t="s">
        <v>2234</v>
      </c>
      <c r="G2395" s="1077">
        <v>4</v>
      </c>
      <c r="H2395" s="1077" t="s">
        <v>6902</v>
      </c>
      <c r="I2395" s="1077" t="s">
        <v>6918</v>
      </c>
      <c r="K2395" s="1077" t="s">
        <v>7449</v>
      </c>
      <c r="L2395" s="1077" t="s">
        <v>6920</v>
      </c>
      <c r="M2395" s="1077">
        <v>303.5</v>
      </c>
      <c r="N2395" s="1077" t="s">
        <v>945</v>
      </c>
      <c r="O2395" s="1077">
        <v>7.5875000000000004</v>
      </c>
      <c r="P2395" s="1077">
        <v>6.07</v>
      </c>
      <c r="Q2395" s="1077">
        <v>3.5</v>
      </c>
      <c r="R2395" s="1077">
        <v>27.9</v>
      </c>
      <c r="T2395" s="1077">
        <v>13.5</v>
      </c>
      <c r="U2395" s="1077">
        <v>2.5</v>
      </c>
      <c r="V2395" s="1077" t="s">
        <v>648</v>
      </c>
      <c r="W2395" s="1077">
        <v>90</v>
      </c>
      <c r="X2395" s="1077">
        <v>10</v>
      </c>
      <c r="Y2395" s="1077">
        <v>1.6</v>
      </c>
      <c r="Z2395" s="1077" t="s">
        <v>648</v>
      </c>
      <c r="AA2395" s="1077" t="s">
        <v>4843</v>
      </c>
      <c r="AH2395" s="1077" t="s">
        <v>1482</v>
      </c>
      <c r="AM2395" s="1078" t="s">
        <v>13735</v>
      </c>
      <c r="AN2395" s="1078" t="s">
        <v>13736</v>
      </c>
      <c r="AO2395" s="1078">
        <f t="shared" si="302"/>
        <v>600</v>
      </c>
      <c r="AP2395" s="1078">
        <f t="shared" si="303"/>
        <v>1.79</v>
      </c>
      <c r="AQ2395" s="1078" t="str">
        <f t="shared" si="304"/>
        <v>1-5-1S83°Z+S</v>
      </c>
      <c r="AR2395" s="1078" t="str">
        <f t="shared" si="305"/>
        <v>33.5</v>
      </c>
      <c r="AS2395" s="1078" t="str">
        <f t="shared" si="306"/>
        <v>310/310/190</v>
      </c>
      <c r="AT2395" s="1078" t="str">
        <f t="shared" si="307"/>
        <v>1-5-1S83°Z+S</v>
      </c>
      <c r="AU2395" s="1078" t="s">
        <v>15547</v>
      </c>
      <c r="AV2395" s="1078" t="str">
        <f t="shared" si="300"/>
        <v>110.3.10</v>
      </c>
      <c r="AW2395" s="1344">
        <f t="shared" si="301"/>
        <v>44265</v>
      </c>
    </row>
    <row r="2396" spans="1:49">
      <c r="A2396" s="1077" t="s">
        <v>7450</v>
      </c>
      <c r="B2396" s="1077" t="s">
        <v>663</v>
      </c>
      <c r="C2396" s="1077">
        <v>550</v>
      </c>
      <c r="D2396" s="1077">
        <v>1.7849999999999999</v>
      </c>
      <c r="E2396" s="1077">
        <v>102.5</v>
      </c>
      <c r="F2396" s="1077" t="s">
        <v>4070</v>
      </c>
      <c r="G2396" s="1077">
        <v>5.5</v>
      </c>
      <c r="H2396" s="1077" t="s">
        <v>7451</v>
      </c>
      <c r="I2396" s="1077" t="s">
        <v>7372</v>
      </c>
      <c r="K2396" s="1077" t="s">
        <v>7452</v>
      </c>
      <c r="L2396" s="1077" t="s">
        <v>4907</v>
      </c>
      <c r="M2396" s="1077">
        <v>294</v>
      </c>
      <c r="N2396" s="1077" t="s">
        <v>945</v>
      </c>
      <c r="O2396" s="1077">
        <v>7.3500000000000005</v>
      </c>
      <c r="P2396" s="1077">
        <v>5.88</v>
      </c>
      <c r="Q2396" s="1077">
        <v>3.5</v>
      </c>
      <c r="R2396" s="1077">
        <v>19</v>
      </c>
      <c r="T2396" s="1077">
        <v>16.399999999999999</v>
      </c>
      <c r="U2396" s="1077">
        <v>5.4</v>
      </c>
      <c r="V2396" s="1077" t="s">
        <v>648</v>
      </c>
      <c r="W2396" s="1077">
        <v>85</v>
      </c>
      <c r="X2396" s="1077">
        <v>20</v>
      </c>
      <c r="Y2396" s="1077">
        <v>1.4</v>
      </c>
      <c r="Z2396" s="1077" t="s">
        <v>648</v>
      </c>
      <c r="AA2396" s="1077" t="s">
        <v>3145</v>
      </c>
      <c r="AH2396" s="1077" t="s">
        <v>862</v>
      </c>
      <c r="AM2396" s="1078" t="s">
        <v>13737</v>
      </c>
      <c r="AN2396" s="1078" t="s">
        <v>13738</v>
      </c>
      <c r="AO2396" s="1078">
        <f t="shared" si="302"/>
        <v>550</v>
      </c>
      <c r="AP2396" s="1078">
        <f t="shared" si="303"/>
        <v>1.7849999999999999</v>
      </c>
      <c r="AQ2396" s="1078">
        <f t="shared" si="304"/>
        <v>102.5</v>
      </c>
      <c r="AR2396" s="1078" t="str">
        <f t="shared" si="305"/>
        <v>15.5</v>
      </c>
      <c r="AS2396" s="1078" t="str">
        <f t="shared" si="306"/>
        <v>390/375/150</v>
      </c>
      <c r="AT2396" s="1078">
        <f t="shared" si="307"/>
        <v>102.5</v>
      </c>
      <c r="AV2396" s="1078" t="str">
        <f t="shared" si="300"/>
        <v>110.3.12</v>
      </c>
      <c r="AW2396" s="1344">
        <f t="shared" si="301"/>
        <v>44267</v>
      </c>
    </row>
    <row r="2397" spans="1:49">
      <c r="A2397" s="1077" t="s">
        <v>7453</v>
      </c>
      <c r="B2397" s="1077" t="s">
        <v>7454</v>
      </c>
      <c r="C2397" s="1077">
        <v>650</v>
      </c>
      <c r="D2397" s="1077">
        <v>1.7849999999999999</v>
      </c>
      <c r="E2397" s="1077" t="s">
        <v>15109</v>
      </c>
      <c r="F2397" s="1077" t="s">
        <v>648</v>
      </c>
      <c r="G2397" s="1077">
        <v>5.5</v>
      </c>
      <c r="H2397" s="1077" t="s">
        <v>7455</v>
      </c>
      <c r="I2397" s="1077" t="s">
        <v>7456</v>
      </c>
      <c r="K2397" s="1077" t="s">
        <v>7457</v>
      </c>
      <c r="L2397" s="1077" t="s">
        <v>5242</v>
      </c>
      <c r="M2397" s="1077">
        <v>303.89999999999998</v>
      </c>
      <c r="N2397" s="1077" t="s">
        <v>945</v>
      </c>
      <c r="O2397" s="1077">
        <v>7.5975000000000001</v>
      </c>
      <c r="P2397" s="1077">
        <v>6.0779999999999994</v>
      </c>
      <c r="Q2397" s="1077" t="s">
        <v>946</v>
      </c>
      <c r="R2397" s="1077">
        <v>20</v>
      </c>
      <c r="T2397" s="1077">
        <v>27</v>
      </c>
      <c r="U2397" s="1077">
        <v>3.8</v>
      </c>
      <c r="V2397" s="1077" t="s">
        <v>648</v>
      </c>
      <c r="W2397" s="1077">
        <v>60</v>
      </c>
      <c r="X2397" s="1077">
        <v>10</v>
      </c>
      <c r="Y2397" s="1077">
        <v>1.2</v>
      </c>
      <c r="Z2397" s="1077" t="s">
        <v>648</v>
      </c>
      <c r="AA2397" s="1077" t="s">
        <v>3145</v>
      </c>
      <c r="AH2397" s="1077" t="s">
        <v>783</v>
      </c>
      <c r="AM2397" s="1078" t="s">
        <v>13739</v>
      </c>
      <c r="AN2397" s="1078" t="s">
        <v>11529</v>
      </c>
      <c r="AO2397" s="1078">
        <f t="shared" si="302"/>
        <v>650</v>
      </c>
      <c r="AP2397" s="1078">
        <f t="shared" si="303"/>
        <v>1.7849999999999999</v>
      </c>
      <c r="AQ2397" s="1078" t="str">
        <f t="shared" si="304"/>
        <v>1-5-1S85°Z+S</v>
      </c>
      <c r="AR2397" s="1078" t="str">
        <f t="shared" si="305"/>
        <v>NA</v>
      </c>
      <c r="AS2397" s="1078" t="str">
        <f t="shared" si="306"/>
        <v>190/160</v>
      </c>
      <c r="AT2397" s="1078" t="str">
        <f t="shared" si="307"/>
        <v>1-5-1S85°Z+S</v>
      </c>
      <c r="AU2397" s="1078" t="s">
        <v>15547</v>
      </c>
      <c r="AV2397" s="1078" t="str">
        <f t="shared" si="300"/>
        <v>110.3.12</v>
      </c>
      <c r="AW2397" s="1344">
        <f t="shared" si="301"/>
        <v>44267</v>
      </c>
    </row>
    <row r="2398" spans="1:49">
      <c r="A2398" s="1077" t="s">
        <v>7458</v>
      </c>
      <c r="B2398" s="1077" t="s">
        <v>7454</v>
      </c>
      <c r="C2398" s="1077">
        <v>650</v>
      </c>
      <c r="D2398" s="1077">
        <v>1.79</v>
      </c>
      <c r="E2398" s="1077" t="s">
        <v>15109</v>
      </c>
      <c r="F2398" s="1077" t="s">
        <v>648</v>
      </c>
      <c r="G2398" s="1077">
        <v>5.5</v>
      </c>
      <c r="H2398" s="1077" t="s">
        <v>2192</v>
      </c>
      <c r="I2398" s="1077" t="s">
        <v>7459</v>
      </c>
      <c r="K2398" s="1077" t="s">
        <v>7457</v>
      </c>
      <c r="L2398" s="1077" t="s">
        <v>5242</v>
      </c>
      <c r="M2398" s="1077">
        <v>303.89999999999998</v>
      </c>
      <c r="N2398" s="1077" t="s">
        <v>945</v>
      </c>
      <c r="O2398" s="1077">
        <v>7.5975000000000001</v>
      </c>
      <c r="P2398" s="1077">
        <v>6.0779999999999994</v>
      </c>
      <c r="Q2398" s="1077" t="s">
        <v>988</v>
      </c>
      <c r="R2398" s="1077">
        <v>17.3</v>
      </c>
      <c r="T2398" s="1077">
        <v>23.6</v>
      </c>
      <c r="U2398" s="1077">
        <v>4.5</v>
      </c>
      <c r="V2398" s="1077" t="s">
        <v>648</v>
      </c>
      <c r="W2398" s="1077">
        <v>110</v>
      </c>
      <c r="X2398" s="1077">
        <v>90</v>
      </c>
      <c r="Y2398" s="1077">
        <v>1.2</v>
      </c>
      <c r="Z2398" s="1077" t="s">
        <v>648</v>
      </c>
      <c r="AA2398" s="1077" t="s">
        <v>3150</v>
      </c>
      <c r="AH2398" s="1077" t="s">
        <v>1827</v>
      </c>
      <c r="AM2398" s="1078" t="s">
        <v>13740</v>
      </c>
      <c r="AN2398" s="1078" t="s">
        <v>11529</v>
      </c>
      <c r="AO2398" s="1078">
        <f t="shared" si="302"/>
        <v>650</v>
      </c>
      <c r="AP2398" s="1078">
        <f t="shared" si="303"/>
        <v>1.79</v>
      </c>
      <c r="AQ2398" s="1078" t="str">
        <f t="shared" si="304"/>
        <v>1-5-1S85°Z+S</v>
      </c>
      <c r="AR2398" s="1078" t="str">
        <f t="shared" si="305"/>
        <v>NA</v>
      </c>
      <c r="AS2398" s="1078" t="str">
        <f t="shared" si="306"/>
        <v>180/OFF</v>
      </c>
      <c r="AT2398" s="1078" t="str">
        <f t="shared" si="307"/>
        <v>1-5-1S85°Z+S</v>
      </c>
      <c r="AU2398" s="1078" t="s">
        <v>15547</v>
      </c>
      <c r="AV2398" s="1078" t="str">
        <f t="shared" si="300"/>
        <v>110.3.17</v>
      </c>
      <c r="AW2398" s="1344">
        <f t="shared" si="301"/>
        <v>44272</v>
      </c>
    </row>
    <row r="2399" spans="1:49">
      <c r="A2399" s="1077" t="s">
        <v>7460</v>
      </c>
      <c r="B2399" s="1077" t="s">
        <v>7261</v>
      </c>
      <c r="C2399" s="1077">
        <v>600</v>
      </c>
      <c r="D2399" s="1077">
        <v>1.8</v>
      </c>
      <c r="E2399" s="1077" t="s">
        <v>15116</v>
      </c>
      <c r="F2399" s="1077" t="s">
        <v>2234</v>
      </c>
      <c r="G2399" s="1077">
        <v>4</v>
      </c>
      <c r="H2399" s="1077" t="s">
        <v>7262</v>
      </c>
      <c r="I2399" s="1077" t="s">
        <v>6918</v>
      </c>
      <c r="K2399" s="1077" t="s">
        <v>7461</v>
      </c>
      <c r="L2399" s="1077" t="s">
        <v>7264</v>
      </c>
      <c r="M2399" s="1077">
        <v>307</v>
      </c>
      <c r="N2399" s="1077" t="s">
        <v>945</v>
      </c>
      <c r="O2399" s="1077">
        <v>7.6750000000000007</v>
      </c>
      <c r="P2399" s="1077">
        <v>6.1400000000000006</v>
      </c>
      <c r="Q2399" s="1077">
        <v>3.5</v>
      </c>
      <c r="R2399" s="1077">
        <v>27</v>
      </c>
      <c r="T2399" s="1077">
        <v>12</v>
      </c>
      <c r="U2399" s="1077">
        <v>2.2999999999999998</v>
      </c>
      <c r="V2399" s="1077" t="s">
        <v>648</v>
      </c>
      <c r="W2399" s="1077" t="s">
        <v>4947</v>
      </c>
      <c r="X2399" s="1077">
        <v>10</v>
      </c>
      <c r="Y2399" s="1077">
        <v>1.7</v>
      </c>
      <c r="Z2399" s="1077" t="s">
        <v>648</v>
      </c>
      <c r="AA2399" s="1077" t="s">
        <v>7462</v>
      </c>
      <c r="AH2399" s="1077" t="s">
        <v>722</v>
      </c>
      <c r="AM2399" s="1078" t="s">
        <v>13741</v>
      </c>
      <c r="AN2399" s="1078" t="s">
        <v>13742</v>
      </c>
      <c r="AO2399" s="1078">
        <f t="shared" si="302"/>
        <v>600</v>
      </c>
      <c r="AP2399" s="1078">
        <f t="shared" si="303"/>
        <v>1.8</v>
      </c>
      <c r="AQ2399" s="1078" t="str">
        <f t="shared" si="304"/>
        <v>1-5-1S83°Z+S</v>
      </c>
      <c r="AR2399" s="1078" t="str">
        <f t="shared" si="305"/>
        <v>33.5</v>
      </c>
      <c r="AS2399" s="1078" t="str">
        <f t="shared" si="306"/>
        <v>300/300/190</v>
      </c>
      <c r="AT2399" s="1078" t="str">
        <f t="shared" si="307"/>
        <v>1-5-1S83°Z+S</v>
      </c>
      <c r="AU2399" s="1078" t="s">
        <v>15547</v>
      </c>
      <c r="AV2399" s="1078" t="str">
        <f t="shared" si="300"/>
        <v>110.3.19</v>
      </c>
      <c r="AW2399" s="1344">
        <f t="shared" si="301"/>
        <v>44274</v>
      </c>
    </row>
    <row r="2400" spans="1:49">
      <c r="A2400" s="1077" t="s">
        <v>7463</v>
      </c>
      <c r="B2400" s="1077" t="s">
        <v>7132</v>
      </c>
      <c r="C2400" s="1077">
        <v>600</v>
      </c>
      <c r="D2400" s="1077">
        <v>1.7849999999999999</v>
      </c>
      <c r="E2400" s="1077" t="s">
        <v>15116</v>
      </c>
      <c r="F2400" s="1077" t="s">
        <v>2234</v>
      </c>
      <c r="G2400" s="1077">
        <v>5</v>
      </c>
      <c r="H2400" s="1077" t="s">
        <v>6952</v>
      </c>
      <c r="I2400" s="1077" t="s">
        <v>7446</v>
      </c>
      <c r="K2400" s="1077" t="s">
        <v>7464</v>
      </c>
      <c r="L2400" s="1077" t="s">
        <v>7134</v>
      </c>
      <c r="M2400" s="1077">
        <v>310</v>
      </c>
      <c r="N2400" s="1077" t="s">
        <v>945</v>
      </c>
      <c r="O2400" s="1077">
        <v>7.75</v>
      </c>
      <c r="P2400" s="1077">
        <v>6.2</v>
      </c>
      <c r="Q2400" s="1077">
        <v>3.5</v>
      </c>
      <c r="R2400" s="1077">
        <v>21</v>
      </c>
      <c r="T2400" s="1077">
        <v>24</v>
      </c>
      <c r="U2400" s="1077">
        <v>3.4</v>
      </c>
      <c r="V2400" s="1077" t="s">
        <v>648</v>
      </c>
      <c r="W2400" s="1077">
        <v>115</v>
      </c>
      <c r="X2400" s="1077">
        <v>85</v>
      </c>
      <c r="Y2400" s="1077">
        <v>1.2</v>
      </c>
      <c r="Z2400" s="1077" t="s">
        <v>648</v>
      </c>
      <c r="AA2400" s="1077" t="s">
        <v>7465</v>
      </c>
      <c r="AH2400" s="1077" t="s">
        <v>724</v>
      </c>
      <c r="AM2400" s="1078" t="s">
        <v>13743</v>
      </c>
      <c r="AN2400" s="1078" t="s">
        <v>13744</v>
      </c>
      <c r="AO2400" s="1078">
        <f t="shared" si="302"/>
        <v>600</v>
      </c>
      <c r="AP2400" s="1078">
        <f t="shared" si="303"/>
        <v>1.7849999999999999</v>
      </c>
      <c r="AQ2400" s="1078" t="str">
        <f t="shared" si="304"/>
        <v>1-5-1S83°Z+S</v>
      </c>
      <c r="AR2400" s="1078" t="str">
        <f t="shared" si="305"/>
        <v>33.5</v>
      </c>
      <c r="AS2400" s="1078" t="str">
        <f t="shared" si="306"/>
        <v>340/340/140</v>
      </c>
      <c r="AT2400" s="1078" t="str">
        <f t="shared" si="307"/>
        <v>1-5-1S83°Z+S</v>
      </c>
      <c r="AU2400" s="1078" t="s">
        <v>15547</v>
      </c>
      <c r="AV2400" s="1078" t="str">
        <f t="shared" si="300"/>
        <v>110.3.22</v>
      </c>
      <c r="AW2400" s="1344">
        <f t="shared" si="301"/>
        <v>44277</v>
      </c>
    </row>
    <row r="2401" spans="1:49">
      <c r="A2401" s="1077" t="s">
        <v>7466</v>
      </c>
      <c r="B2401" s="1077" t="s">
        <v>717</v>
      </c>
      <c r="C2401" s="1077">
        <v>600</v>
      </c>
      <c r="D2401" s="1077">
        <v>1.79</v>
      </c>
      <c r="E2401" s="1077" t="s">
        <v>15116</v>
      </c>
      <c r="F2401" s="1077" t="s">
        <v>2234</v>
      </c>
      <c r="G2401" s="1077">
        <v>4</v>
      </c>
      <c r="H2401" s="1077" t="s">
        <v>6902</v>
      </c>
      <c r="I2401" s="1077" t="s">
        <v>6918</v>
      </c>
      <c r="K2401" s="1077" t="s">
        <v>7467</v>
      </c>
      <c r="L2401" s="1077" t="s">
        <v>6920</v>
      </c>
      <c r="M2401" s="1077">
        <v>303.5</v>
      </c>
      <c r="N2401" s="1077" t="s">
        <v>945</v>
      </c>
      <c r="O2401" s="1077">
        <v>7.5875000000000004</v>
      </c>
      <c r="P2401" s="1077">
        <v>6.07</v>
      </c>
      <c r="Q2401" s="1077">
        <v>3.5</v>
      </c>
      <c r="R2401" s="1077">
        <v>27.9</v>
      </c>
      <c r="T2401" s="1077">
        <v>13.5</v>
      </c>
      <c r="U2401" s="1077">
        <v>2.5</v>
      </c>
      <c r="V2401" s="1077" t="s">
        <v>648</v>
      </c>
      <c r="W2401" s="1077">
        <v>90</v>
      </c>
      <c r="X2401" s="1077">
        <v>10</v>
      </c>
      <c r="Y2401" s="1077">
        <v>1.6</v>
      </c>
      <c r="Z2401" s="1077" t="s">
        <v>648</v>
      </c>
      <c r="AA2401" s="1077" t="s">
        <v>7465</v>
      </c>
      <c r="AH2401" s="1077" t="s">
        <v>3213</v>
      </c>
      <c r="AM2401" s="1078" t="s">
        <v>13745</v>
      </c>
      <c r="AN2401" s="1078" t="s">
        <v>13746</v>
      </c>
      <c r="AO2401" s="1078">
        <f t="shared" si="302"/>
        <v>600</v>
      </c>
      <c r="AP2401" s="1078">
        <f t="shared" si="303"/>
        <v>1.79</v>
      </c>
      <c r="AQ2401" s="1078" t="str">
        <f t="shared" si="304"/>
        <v>1-5-1S83°Z+S</v>
      </c>
      <c r="AR2401" s="1078" t="str">
        <f t="shared" si="305"/>
        <v>33.5</v>
      </c>
      <c r="AS2401" s="1078" t="str">
        <f t="shared" si="306"/>
        <v>310/310/190</v>
      </c>
      <c r="AT2401" s="1078" t="str">
        <f t="shared" si="307"/>
        <v>1-5-1S83°Z+S</v>
      </c>
      <c r="AU2401" s="1078" t="s">
        <v>15547</v>
      </c>
      <c r="AV2401" s="1078" t="str">
        <f t="shared" si="300"/>
        <v>110.3.22</v>
      </c>
      <c r="AW2401" s="1344">
        <f t="shared" si="301"/>
        <v>44277</v>
      </c>
    </row>
    <row r="2402" spans="1:49">
      <c r="A2402" s="1077" t="s">
        <v>7468</v>
      </c>
      <c r="B2402" s="1077" t="s">
        <v>7454</v>
      </c>
      <c r="C2402" s="1077">
        <v>650</v>
      </c>
      <c r="D2402" s="1077">
        <v>1.79</v>
      </c>
      <c r="E2402" s="1077" t="s">
        <v>15121</v>
      </c>
      <c r="F2402" s="1077" t="s">
        <v>648</v>
      </c>
      <c r="G2402" s="1077">
        <v>5</v>
      </c>
      <c r="H2402" s="1077" t="s">
        <v>941</v>
      </c>
      <c r="I2402" s="1077" t="s">
        <v>7001</v>
      </c>
      <c r="J2402" s="1077">
        <v>3.9</v>
      </c>
      <c r="K2402" s="1077" t="s">
        <v>7469</v>
      </c>
      <c r="L2402" s="1077" t="s">
        <v>5242</v>
      </c>
      <c r="M2402" s="1077">
        <v>302</v>
      </c>
      <c r="N2402" s="1077" t="s">
        <v>945</v>
      </c>
      <c r="O2402" s="1077">
        <v>7.5500000000000007</v>
      </c>
      <c r="P2402" s="1077">
        <v>6.04</v>
      </c>
      <c r="Q2402" s="1077">
        <v>4.5</v>
      </c>
      <c r="R2402" s="1077">
        <v>21.5</v>
      </c>
      <c r="T2402" s="1077">
        <v>26.8</v>
      </c>
      <c r="U2402" s="1077">
        <v>3.6</v>
      </c>
      <c r="V2402" s="1077" t="s">
        <v>648</v>
      </c>
      <c r="W2402" s="1077">
        <v>90</v>
      </c>
      <c r="X2402" s="1077">
        <v>20</v>
      </c>
      <c r="Y2402" s="1077">
        <v>1.5</v>
      </c>
      <c r="Z2402" s="1077" t="s">
        <v>648</v>
      </c>
      <c r="AA2402" s="1077" t="s">
        <v>7470</v>
      </c>
      <c r="AH2402" s="1077" t="s">
        <v>1486</v>
      </c>
      <c r="AM2402" s="1078" t="s">
        <v>13747</v>
      </c>
      <c r="AN2402" s="1078" t="s">
        <v>13748</v>
      </c>
      <c r="AO2402" s="1078">
        <f t="shared" si="302"/>
        <v>650</v>
      </c>
      <c r="AP2402" s="1078">
        <f t="shared" si="303"/>
        <v>1.79</v>
      </c>
      <c r="AQ2402" s="1078" t="str">
        <f t="shared" si="304"/>
        <v>1-5-1S85°S+Z</v>
      </c>
      <c r="AR2402" s="1078" t="str">
        <f t="shared" si="305"/>
        <v>NA</v>
      </c>
      <c r="AS2402" s="1078" t="str">
        <f t="shared" si="306"/>
        <v>185/OFF</v>
      </c>
      <c r="AT2402" s="1078" t="str">
        <f t="shared" si="307"/>
        <v>1-5-1S85°S+Z</v>
      </c>
      <c r="AU2402" s="1078" t="s">
        <v>15550</v>
      </c>
      <c r="AV2402" s="1078" t="str">
        <f t="shared" si="300"/>
        <v>110.3.23</v>
      </c>
      <c r="AW2402" s="1344">
        <f t="shared" si="301"/>
        <v>44278</v>
      </c>
    </row>
    <row r="2403" spans="1:49">
      <c r="A2403" s="1077" t="s">
        <v>7471</v>
      </c>
      <c r="B2403" s="1077" t="s">
        <v>714</v>
      </c>
      <c r="C2403" s="1077">
        <v>550</v>
      </c>
      <c r="D2403" s="1077">
        <v>1.7669999999999999</v>
      </c>
      <c r="E2403" s="1077" t="s">
        <v>15121</v>
      </c>
      <c r="F2403" s="1077" t="s">
        <v>648</v>
      </c>
      <c r="G2403" s="1077">
        <v>5</v>
      </c>
      <c r="H2403" s="1077" t="s">
        <v>7472</v>
      </c>
      <c r="I2403" s="1077" t="s">
        <v>7181</v>
      </c>
      <c r="J2403" s="1077">
        <v>3.7</v>
      </c>
      <c r="K2403" s="1077" t="s">
        <v>7473</v>
      </c>
      <c r="L2403" s="1077" t="s">
        <v>4666</v>
      </c>
      <c r="M2403" s="1077">
        <v>298.8</v>
      </c>
      <c r="N2403" s="1077" t="s">
        <v>945</v>
      </c>
      <c r="O2403" s="1077">
        <v>7.4700000000000006</v>
      </c>
      <c r="P2403" s="1077">
        <v>5.976</v>
      </c>
      <c r="Q2403" s="1077">
        <v>4</v>
      </c>
      <c r="R2403" s="1077">
        <v>20.5</v>
      </c>
      <c r="T2403" s="1077">
        <v>21</v>
      </c>
      <c r="U2403" s="1077">
        <v>3.5</v>
      </c>
      <c r="V2403" s="1077" t="s">
        <v>648</v>
      </c>
      <c r="W2403" s="1077">
        <v>30</v>
      </c>
      <c r="X2403" s="1077">
        <v>10</v>
      </c>
      <c r="Y2403" s="1077">
        <v>1.2</v>
      </c>
      <c r="Z2403" s="1077" t="s">
        <v>648</v>
      </c>
      <c r="AA2403" s="1077" t="s">
        <v>7474</v>
      </c>
      <c r="AH2403" s="1077" t="s">
        <v>1170</v>
      </c>
      <c r="AM2403" s="1078" t="s">
        <v>13749</v>
      </c>
      <c r="AN2403" s="1078" t="s">
        <v>13750</v>
      </c>
      <c r="AO2403" s="1078">
        <f t="shared" si="302"/>
        <v>550</v>
      </c>
      <c r="AP2403" s="1078">
        <f t="shared" si="303"/>
        <v>1.7669999999999999</v>
      </c>
      <c r="AQ2403" s="1078" t="str">
        <f t="shared" si="304"/>
        <v>1-5-1S85°S+Z</v>
      </c>
      <c r="AR2403" s="1078" t="str">
        <f t="shared" si="305"/>
        <v>NA</v>
      </c>
      <c r="AS2403" s="1078" t="str">
        <f t="shared" si="306"/>
        <v>165/165</v>
      </c>
      <c r="AT2403" s="1078" t="str">
        <f t="shared" si="307"/>
        <v>1-5-1S85°S+Z</v>
      </c>
      <c r="AU2403" s="1078" t="s">
        <v>15550</v>
      </c>
      <c r="AV2403" s="1078" t="str">
        <f t="shared" si="300"/>
        <v>110.3.25</v>
      </c>
      <c r="AW2403" s="1344">
        <f t="shared" si="301"/>
        <v>44280</v>
      </c>
    </row>
    <row r="2404" spans="1:49">
      <c r="A2404" s="1077" t="s">
        <v>7475</v>
      </c>
      <c r="B2404" s="1077" t="s">
        <v>7055</v>
      </c>
      <c r="C2404" s="1077">
        <v>550</v>
      </c>
      <c r="D2404" s="1077">
        <v>1.7549999999999999</v>
      </c>
      <c r="E2404" s="1077">
        <v>102.5</v>
      </c>
      <c r="F2404" s="1077" t="s">
        <v>5134</v>
      </c>
      <c r="G2404" s="1077">
        <v>5.5</v>
      </c>
      <c r="H2404" s="1077" t="s">
        <v>7476</v>
      </c>
      <c r="I2404" s="1077" t="s">
        <v>7443</v>
      </c>
      <c r="J2404" s="1077">
        <v>3</v>
      </c>
      <c r="K2404" s="1077" t="s">
        <v>7444</v>
      </c>
      <c r="L2404" s="1077" t="s">
        <v>4946</v>
      </c>
      <c r="M2404" s="1077">
        <v>296</v>
      </c>
      <c r="N2404" s="1077" t="s">
        <v>945</v>
      </c>
      <c r="O2404" s="1077">
        <v>7.4</v>
      </c>
      <c r="P2404" s="1077">
        <v>5.92</v>
      </c>
      <c r="Q2404" s="1077">
        <v>3</v>
      </c>
      <c r="R2404" s="1077">
        <v>27</v>
      </c>
      <c r="T2404" s="1077">
        <v>17.5</v>
      </c>
      <c r="U2404" s="1077">
        <v>6</v>
      </c>
      <c r="V2404" s="1077" t="s">
        <v>648</v>
      </c>
      <c r="W2404" s="1077">
        <v>90</v>
      </c>
      <c r="X2404" s="1077">
        <v>10</v>
      </c>
      <c r="Y2404" s="1077">
        <v>1.2</v>
      </c>
      <c r="Z2404" s="1077" t="s">
        <v>648</v>
      </c>
      <c r="AA2404" s="1077" t="s">
        <v>3153</v>
      </c>
      <c r="AH2404" s="1077" t="s">
        <v>1643</v>
      </c>
      <c r="AM2404" s="1078" t="s">
        <v>13751</v>
      </c>
      <c r="AN2404" s="1078" t="s">
        <v>13752</v>
      </c>
      <c r="AO2404" s="1078">
        <f t="shared" si="302"/>
        <v>550</v>
      </c>
      <c r="AP2404" s="1078">
        <f t="shared" si="303"/>
        <v>1.7549999999999999</v>
      </c>
      <c r="AQ2404" s="1078">
        <f t="shared" si="304"/>
        <v>102.5</v>
      </c>
      <c r="AR2404" s="1078" t="str">
        <f t="shared" si="305"/>
        <v>15.6</v>
      </c>
      <c r="AS2404" s="1078" t="str">
        <f t="shared" si="306"/>
        <v>350/365/OFF</v>
      </c>
      <c r="AT2404" s="1078">
        <f t="shared" si="307"/>
        <v>102.5</v>
      </c>
      <c r="AV2404" s="1078" t="str">
        <f t="shared" si="300"/>
        <v>110.3.31</v>
      </c>
      <c r="AW2404" s="1344">
        <f t="shared" si="301"/>
        <v>44286</v>
      </c>
    </row>
    <row r="2405" spans="1:49">
      <c r="A2405" s="1077" t="s">
        <v>7477</v>
      </c>
      <c r="B2405" s="1077" t="s">
        <v>7091</v>
      </c>
      <c r="C2405" s="1077">
        <v>600</v>
      </c>
      <c r="D2405" s="1077">
        <v>1.82</v>
      </c>
      <c r="E2405" s="1077" t="s">
        <v>15122</v>
      </c>
      <c r="F2405" s="1077" t="s">
        <v>2234</v>
      </c>
      <c r="G2405" s="1077">
        <v>5</v>
      </c>
      <c r="H2405" s="1077" t="s">
        <v>7092</v>
      </c>
      <c r="I2405" s="1077" t="s">
        <v>7001</v>
      </c>
      <c r="K2405" s="1077" t="s">
        <v>7437</v>
      </c>
      <c r="L2405" s="1077" t="s">
        <v>5152</v>
      </c>
      <c r="M2405" s="1077">
        <v>290</v>
      </c>
      <c r="N2405" s="1077" t="s">
        <v>945</v>
      </c>
      <c r="O2405" s="1077">
        <v>7.25</v>
      </c>
      <c r="P2405" s="1077">
        <v>5.8</v>
      </c>
      <c r="Q2405" s="1077">
        <v>4</v>
      </c>
      <c r="R2405" s="1077">
        <v>19.5</v>
      </c>
      <c r="T2405" s="1077">
        <v>29.3</v>
      </c>
      <c r="U2405" s="1077">
        <v>3.5</v>
      </c>
      <c r="V2405" s="1077" t="s">
        <v>648</v>
      </c>
      <c r="W2405" s="1077">
        <v>95</v>
      </c>
      <c r="X2405" s="1077">
        <v>20</v>
      </c>
      <c r="Y2405" s="1077">
        <v>1.5</v>
      </c>
      <c r="Z2405" s="1077" t="s">
        <v>648</v>
      </c>
      <c r="AA2405" s="1077" t="s">
        <v>1392</v>
      </c>
      <c r="AH2405" s="1077" t="s">
        <v>2384</v>
      </c>
      <c r="AM2405" s="1078" t="s">
        <v>13753</v>
      </c>
      <c r="AN2405" s="1078" t="s">
        <v>13754</v>
      </c>
      <c r="AO2405" s="1078">
        <f t="shared" si="302"/>
        <v>600</v>
      </c>
      <c r="AP2405" s="1078">
        <f t="shared" si="303"/>
        <v>1.82</v>
      </c>
      <c r="AQ2405" s="1078" t="str">
        <f t="shared" si="304"/>
        <v>1-5-1S91°Z+S</v>
      </c>
      <c r="AR2405" s="1078" t="str">
        <f t="shared" si="305"/>
        <v>33.5</v>
      </c>
      <c r="AS2405" s="1078" t="str">
        <f t="shared" si="306"/>
        <v>360/330/OFF</v>
      </c>
      <c r="AT2405" s="1078" t="str">
        <f t="shared" si="307"/>
        <v>1-5-1S91°Z+S</v>
      </c>
      <c r="AU2405" s="1078" t="s">
        <v>15547</v>
      </c>
      <c r="AV2405" s="1078" t="str">
        <f t="shared" si="300"/>
        <v>110.4.6</v>
      </c>
      <c r="AW2405" s="1344">
        <f t="shared" si="301"/>
        <v>44292</v>
      </c>
    </row>
    <row r="2406" spans="1:49">
      <c r="A2406" s="1077" t="s">
        <v>7478</v>
      </c>
      <c r="B2406" s="1077" t="s">
        <v>775</v>
      </c>
      <c r="C2406" s="1077">
        <v>600</v>
      </c>
      <c r="D2406" s="1077">
        <v>1.8</v>
      </c>
      <c r="E2406" s="1077" t="s">
        <v>15116</v>
      </c>
      <c r="F2406" s="1077" t="s">
        <v>2234</v>
      </c>
      <c r="G2406" s="1077">
        <v>4</v>
      </c>
      <c r="H2406" s="1077" t="s">
        <v>6902</v>
      </c>
      <c r="I2406" s="1077" t="s">
        <v>6903</v>
      </c>
      <c r="K2406" s="1077" t="s">
        <v>7479</v>
      </c>
      <c r="L2406" s="1077" t="s">
        <v>6933</v>
      </c>
      <c r="M2406" s="1077">
        <v>302</v>
      </c>
      <c r="N2406" s="1077" t="s">
        <v>945</v>
      </c>
      <c r="O2406" s="1077">
        <v>7.5500000000000007</v>
      </c>
      <c r="P2406" s="1077">
        <v>6.04</v>
      </c>
      <c r="Q2406" s="1077">
        <v>3.5</v>
      </c>
      <c r="R2406" s="1077">
        <v>27.3</v>
      </c>
      <c r="T2406" s="1077">
        <v>13.3</v>
      </c>
      <c r="U2406" s="1077">
        <v>2.2999999999999998</v>
      </c>
      <c r="V2406" s="1077" t="s">
        <v>648</v>
      </c>
      <c r="W2406" s="1077" t="s">
        <v>4947</v>
      </c>
      <c r="X2406" s="1077">
        <v>10</v>
      </c>
      <c r="Y2406" s="1077">
        <v>1.6</v>
      </c>
      <c r="Z2406" s="1077" t="s">
        <v>648</v>
      </c>
      <c r="AA2406" s="1077" t="s">
        <v>3257</v>
      </c>
      <c r="AH2406" s="1077" t="s">
        <v>1137</v>
      </c>
      <c r="AM2406" s="1078" t="s">
        <v>13755</v>
      </c>
      <c r="AN2406" s="1078" t="s">
        <v>13756</v>
      </c>
      <c r="AO2406" s="1078">
        <f t="shared" si="302"/>
        <v>600</v>
      </c>
      <c r="AP2406" s="1078">
        <f t="shared" si="303"/>
        <v>1.8</v>
      </c>
      <c r="AQ2406" s="1078" t="str">
        <f t="shared" si="304"/>
        <v>1-5-1S83°Z+S</v>
      </c>
      <c r="AR2406" s="1078" t="str">
        <f t="shared" si="305"/>
        <v>33.5</v>
      </c>
      <c r="AS2406" s="1078" t="str">
        <f t="shared" si="306"/>
        <v>310/310/190</v>
      </c>
      <c r="AT2406" s="1078" t="str">
        <f t="shared" si="307"/>
        <v>1-5-1S83°Z+S</v>
      </c>
      <c r="AU2406" s="1078" t="s">
        <v>15547</v>
      </c>
      <c r="AV2406" s="1078" t="str">
        <f t="shared" si="300"/>
        <v>110.4.7</v>
      </c>
      <c r="AW2406" s="1344">
        <f t="shared" si="301"/>
        <v>44293</v>
      </c>
    </row>
    <row r="2407" spans="1:49">
      <c r="A2407" s="1077" t="s">
        <v>7480</v>
      </c>
      <c r="B2407" s="1077" t="s">
        <v>6951</v>
      </c>
      <c r="C2407" s="1077">
        <v>600</v>
      </c>
      <c r="D2407" s="1077">
        <v>1.75</v>
      </c>
      <c r="E2407" s="1077" t="s">
        <v>15116</v>
      </c>
      <c r="F2407" s="1077" t="s">
        <v>2234</v>
      </c>
      <c r="G2407" s="1077">
        <v>3.5</v>
      </c>
      <c r="H2407" s="1077" t="s">
        <v>6952</v>
      </c>
      <c r="I2407" s="1077" t="s">
        <v>7150</v>
      </c>
      <c r="K2407" s="1077" t="s">
        <v>7481</v>
      </c>
      <c r="L2407" s="1077" t="s">
        <v>6955</v>
      </c>
      <c r="M2407" s="1077">
        <v>310</v>
      </c>
      <c r="N2407" s="1077" t="s">
        <v>945</v>
      </c>
      <c r="O2407" s="1077">
        <v>7.75</v>
      </c>
      <c r="P2407" s="1077">
        <v>6.2</v>
      </c>
      <c r="Q2407" s="1077">
        <v>3.5</v>
      </c>
      <c r="R2407" s="1077">
        <v>25</v>
      </c>
      <c r="T2407" s="1077">
        <v>23</v>
      </c>
      <c r="U2407" s="1077">
        <v>3.2</v>
      </c>
      <c r="V2407" s="1077" t="s">
        <v>648</v>
      </c>
      <c r="W2407" s="1077">
        <v>115</v>
      </c>
      <c r="X2407" s="1077">
        <v>85</v>
      </c>
      <c r="Y2407" s="1077">
        <v>1.2</v>
      </c>
      <c r="Z2407" s="1077" t="s">
        <v>648</v>
      </c>
      <c r="AA2407" s="1077" t="s">
        <v>7482</v>
      </c>
      <c r="AH2407" s="1077" t="s">
        <v>622</v>
      </c>
      <c r="AM2407" s="1078" t="s">
        <v>13757</v>
      </c>
      <c r="AN2407" s="1078" t="s">
        <v>13758</v>
      </c>
      <c r="AO2407" s="1078">
        <f t="shared" si="302"/>
        <v>600</v>
      </c>
      <c r="AP2407" s="1078">
        <f t="shared" si="303"/>
        <v>1.75</v>
      </c>
      <c r="AQ2407" s="1078" t="str">
        <f t="shared" si="304"/>
        <v>1-5-1S83°Z+S</v>
      </c>
      <c r="AR2407" s="1078" t="str">
        <f t="shared" si="305"/>
        <v>33.5</v>
      </c>
      <c r="AS2407" s="1078" t="str">
        <f t="shared" si="306"/>
        <v>340/340/140</v>
      </c>
      <c r="AT2407" s="1078" t="str">
        <f t="shared" si="307"/>
        <v>1-5-1S83°Z+S</v>
      </c>
      <c r="AU2407" s="1078" t="s">
        <v>15547</v>
      </c>
      <c r="AV2407" s="1078" t="str">
        <f t="shared" si="300"/>
        <v>110.4.9</v>
      </c>
      <c r="AW2407" s="1344">
        <f t="shared" si="301"/>
        <v>44295</v>
      </c>
    </row>
    <row r="2408" spans="1:49">
      <c r="A2408" s="1077" t="s">
        <v>7483</v>
      </c>
      <c r="B2408" s="1077" t="s">
        <v>663</v>
      </c>
      <c r="C2408" s="1077">
        <v>500</v>
      </c>
      <c r="D2408" s="1077">
        <v>1.78</v>
      </c>
      <c r="E2408" s="1077">
        <v>102.5</v>
      </c>
      <c r="F2408" s="1077" t="s">
        <v>4070</v>
      </c>
      <c r="G2408" s="1077">
        <v>5.5</v>
      </c>
      <c r="H2408" s="1077" t="s">
        <v>7484</v>
      </c>
      <c r="I2408" s="1077" t="s">
        <v>6970</v>
      </c>
      <c r="K2408" s="1077" t="s">
        <v>7485</v>
      </c>
      <c r="L2408" s="1077" t="s">
        <v>4907</v>
      </c>
      <c r="M2408" s="1077">
        <v>296</v>
      </c>
      <c r="N2408" s="1077" t="s">
        <v>945</v>
      </c>
      <c r="O2408" s="1077">
        <v>7.4</v>
      </c>
      <c r="P2408" s="1077">
        <v>5.92</v>
      </c>
      <c r="Q2408" s="1077">
        <v>3.5</v>
      </c>
      <c r="R2408" s="1077">
        <v>17</v>
      </c>
      <c r="T2408" s="1077">
        <v>10.5</v>
      </c>
      <c r="U2408" s="1077">
        <v>6.1</v>
      </c>
      <c r="V2408" s="1077" t="s">
        <v>648</v>
      </c>
      <c r="W2408" s="1077">
        <v>120</v>
      </c>
      <c r="X2408" s="1077">
        <v>90</v>
      </c>
      <c r="Y2408" s="1077">
        <v>1.1000000000000001</v>
      </c>
      <c r="Z2408" s="1077" t="s">
        <v>648</v>
      </c>
      <c r="AA2408" s="1077" t="s">
        <v>1396</v>
      </c>
      <c r="AH2408" s="1077" t="s">
        <v>830</v>
      </c>
      <c r="AM2408" s="1078" t="s">
        <v>13759</v>
      </c>
      <c r="AN2408" s="1078" t="s">
        <v>13760</v>
      </c>
      <c r="AO2408" s="1078">
        <f t="shared" si="302"/>
        <v>500</v>
      </c>
      <c r="AP2408" s="1078">
        <f t="shared" si="303"/>
        <v>1.78</v>
      </c>
      <c r="AQ2408" s="1078">
        <f t="shared" si="304"/>
        <v>102.5</v>
      </c>
      <c r="AR2408" s="1078" t="str">
        <f t="shared" si="305"/>
        <v>15.5</v>
      </c>
      <c r="AS2408" s="1078" t="str">
        <f t="shared" si="306"/>
        <v>355/340/153</v>
      </c>
      <c r="AT2408" s="1078">
        <f t="shared" si="307"/>
        <v>102.5</v>
      </c>
      <c r="AV2408" s="1078" t="str">
        <f t="shared" si="300"/>
        <v>110.4.12</v>
      </c>
      <c r="AW2408" s="1344">
        <f t="shared" si="301"/>
        <v>44298</v>
      </c>
    </row>
    <row r="2409" spans="1:49">
      <c r="A2409" s="1077" t="s">
        <v>7486</v>
      </c>
      <c r="B2409" s="1077" t="s">
        <v>7114</v>
      </c>
      <c r="C2409" s="1077">
        <v>550</v>
      </c>
      <c r="D2409" s="1077">
        <v>1.7549999999999999</v>
      </c>
      <c r="E2409" s="1077">
        <v>102.5</v>
      </c>
      <c r="F2409" s="1077" t="s">
        <v>5134</v>
      </c>
      <c r="G2409" s="1077">
        <v>5</v>
      </c>
      <c r="H2409" s="1077" t="s">
        <v>7280</v>
      </c>
      <c r="I2409" s="1077" t="s">
        <v>7326</v>
      </c>
      <c r="J2409" s="1077">
        <v>3</v>
      </c>
      <c r="K2409" s="1077" t="s">
        <v>7487</v>
      </c>
      <c r="L2409" s="1077" t="s">
        <v>4854</v>
      </c>
      <c r="M2409" s="1077">
        <v>300.7</v>
      </c>
      <c r="N2409" s="1077" t="s">
        <v>945</v>
      </c>
      <c r="O2409" s="1077">
        <v>7.5175000000000001</v>
      </c>
      <c r="P2409" s="1077">
        <v>6.0140000000000002</v>
      </c>
      <c r="Q2409" s="1077">
        <v>3</v>
      </c>
      <c r="R2409" s="1077">
        <v>28.5</v>
      </c>
      <c r="T2409" s="1077">
        <v>14.7</v>
      </c>
      <c r="U2409" s="1077">
        <v>6.1</v>
      </c>
      <c r="V2409" s="1077" t="s">
        <v>648</v>
      </c>
      <c r="W2409" s="1077">
        <v>115</v>
      </c>
      <c r="X2409" s="1077">
        <v>45</v>
      </c>
      <c r="Y2409" s="1077">
        <v>1.5</v>
      </c>
      <c r="Z2409" s="1077" t="s">
        <v>648</v>
      </c>
      <c r="AA2409" s="1077" t="s">
        <v>7488</v>
      </c>
      <c r="AH2409" s="1077" t="s">
        <v>6606</v>
      </c>
      <c r="AM2409" s="1078" t="s">
        <v>13761</v>
      </c>
      <c r="AN2409" s="1078" t="s">
        <v>13762</v>
      </c>
      <c r="AO2409" s="1078">
        <f t="shared" si="302"/>
        <v>550</v>
      </c>
      <c r="AP2409" s="1078">
        <f t="shared" si="303"/>
        <v>1.7549999999999999</v>
      </c>
      <c r="AQ2409" s="1078">
        <f t="shared" si="304"/>
        <v>102.5</v>
      </c>
      <c r="AR2409" s="1078" t="str">
        <f t="shared" si="305"/>
        <v>15.6</v>
      </c>
      <c r="AS2409" s="1078" t="str">
        <f t="shared" si="306"/>
        <v>352/367/OFF</v>
      </c>
      <c r="AT2409" s="1078">
        <f t="shared" si="307"/>
        <v>102.5</v>
      </c>
      <c r="AV2409" s="1078" t="str">
        <f t="shared" si="300"/>
        <v>110.4.19</v>
      </c>
      <c r="AW2409" s="1344">
        <f t="shared" si="301"/>
        <v>44305</v>
      </c>
    </row>
    <row r="2410" spans="1:49">
      <c r="A2410" s="1077" t="s">
        <v>7489</v>
      </c>
      <c r="B2410" s="1077" t="s">
        <v>714</v>
      </c>
      <c r="C2410" s="1077">
        <v>550</v>
      </c>
      <c r="D2410" s="1077">
        <v>1.76</v>
      </c>
      <c r="E2410" s="1077">
        <v>102.5</v>
      </c>
      <c r="F2410" s="1077" t="s">
        <v>4070</v>
      </c>
      <c r="G2410" s="1077" t="s">
        <v>6865</v>
      </c>
      <c r="H2410" s="1077" t="s">
        <v>7349</v>
      </c>
      <c r="I2410" s="1077" t="s">
        <v>6873</v>
      </c>
      <c r="J2410" s="1077">
        <v>3.7</v>
      </c>
      <c r="K2410" s="1077" t="s">
        <v>7490</v>
      </c>
      <c r="L2410" s="1077" t="s">
        <v>4666</v>
      </c>
      <c r="M2410" s="1077">
        <v>300.3</v>
      </c>
      <c r="N2410" s="1077" t="s">
        <v>945</v>
      </c>
      <c r="O2410" s="1077">
        <v>7.5075000000000003</v>
      </c>
      <c r="P2410" s="1077">
        <v>6.0060000000000002</v>
      </c>
      <c r="Q2410" s="1077">
        <v>4</v>
      </c>
      <c r="R2410" s="1077">
        <v>18.899999999999999</v>
      </c>
      <c r="T2410" s="1077">
        <v>26.9</v>
      </c>
      <c r="U2410" s="1077">
        <v>3.7</v>
      </c>
      <c r="V2410" s="1077" t="s">
        <v>648</v>
      </c>
      <c r="W2410" s="1077">
        <v>60</v>
      </c>
      <c r="X2410" s="1077">
        <v>10</v>
      </c>
      <c r="Y2410" s="1077">
        <v>1.1000000000000001</v>
      </c>
      <c r="Z2410" s="1077" t="s">
        <v>648</v>
      </c>
      <c r="AA2410" s="1077" t="s">
        <v>7491</v>
      </c>
      <c r="AH2410" s="1077" t="s">
        <v>1643</v>
      </c>
      <c r="AM2410" s="1078" t="s">
        <v>13763</v>
      </c>
      <c r="AN2410" s="1078" t="s">
        <v>13764</v>
      </c>
      <c r="AO2410" s="1078">
        <f t="shared" si="302"/>
        <v>550</v>
      </c>
      <c r="AP2410" s="1078">
        <f t="shared" si="303"/>
        <v>1.76</v>
      </c>
      <c r="AQ2410" s="1078">
        <f t="shared" si="304"/>
        <v>102.5</v>
      </c>
      <c r="AR2410" s="1078" t="str">
        <f t="shared" si="305"/>
        <v>15.5</v>
      </c>
      <c r="AS2410" s="1078" t="str">
        <f t="shared" si="306"/>
        <v>440/400/OFF</v>
      </c>
      <c r="AT2410" s="1078">
        <f t="shared" si="307"/>
        <v>102.5</v>
      </c>
      <c r="AV2410" s="1078" t="str">
        <f t="shared" si="300"/>
        <v>110.4.26</v>
      </c>
      <c r="AW2410" s="1344">
        <f t="shared" si="301"/>
        <v>44312</v>
      </c>
    </row>
    <row r="2411" spans="1:49">
      <c r="A2411" s="1077" t="s">
        <v>7492</v>
      </c>
      <c r="B2411" s="1077" t="s">
        <v>7407</v>
      </c>
      <c r="C2411" s="1077">
        <v>550</v>
      </c>
      <c r="D2411" s="1077">
        <v>1.75</v>
      </c>
      <c r="E2411" s="1077">
        <v>102.5</v>
      </c>
      <c r="F2411" s="1077" t="s">
        <v>5134</v>
      </c>
      <c r="G2411" s="1077">
        <v>5</v>
      </c>
      <c r="H2411" s="1077" t="s">
        <v>7280</v>
      </c>
      <c r="I2411" s="1077" t="s">
        <v>7326</v>
      </c>
      <c r="J2411" s="1077">
        <v>3</v>
      </c>
      <c r="K2411" s="1077" t="s">
        <v>7493</v>
      </c>
      <c r="L2411" s="1077" t="s">
        <v>5159</v>
      </c>
      <c r="M2411" s="1077">
        <v>300.7</v>
      </c>
      <c r="N2411" s="1077" t="s">
        <v>945</v>
      </c>
      <c r="O2411" s="1077">
        <v>7.5175000000000001</v>
      </c>
      <c r="P2411" s="1077">
        <v>6.0140000000000002</v>
      </c>
      <c r="Q2411" s="1077">
        <v>3</v>
      </c>
      <c r="R2411" s="1077">
        <v>28.5</v>
      </c>
      <c r="T2411" s="1077">
        <v>14.7</v>
      </c>
      <c r="U2411" s="1077">
        <v>6.1</v>
      </c>
      <c r="V2411" s="1077" t="s">
        <v>648</v>
      </c>
      <c r="W2411" s="1077">
        <v>115</v>
      </c>
      <c r="X2411" s="1077">
        <v>45</v>
      </c>
      <c r="Y2411" s="1077">
        <v>1.5</v>
      </c>
      <c r="Z2411" s="1077" t="s">
        <v>648</v>
      </c>
      <c r="AA2411" s="1077" t="s">
        <v>4195</v>
      </c>
      <c r="AH2411" s="1077" t="s">
        <v>1376</v>
      </c>
      <c r="AM2411" s="1078" t="s">
        <v>13765</v>
      </c>
      <c r="AN2411" s="1078" t="s">
        <v>13766</v>
      </c>
      <c r="AO2411" s="1078">
        <f t="shared" si="302"/>
        <v>550</v>
      </c>
      <c r="AP2411" s="1078">
        <f t="shared" si="303"/>
        <v>1.75</v>
      </c>
      <c r="AQ2411" s="1078">
        <f t="shared" si="304"/>
        <v>102.5</v>
      </c>
      <c r="AR2411" s="1078" t="str">
        <f t="shared" si="305"/>
        <v>15.6</v>
      </c>
      <c r="AS2411" s="1078" t="str">
        <f t="shared" si="306"/>
        <v>352/367/OFF</v>
      </c>
      <c r="AT2411" s="1078">
        <f t="shared" si="307"/>
        <v>102.5</v>
      </c>
      <c r="AV2411" s="1078" t="str">
        <f t="shared" si="300"/>
        <v>110.4.23</v>
      </c>
      <c r="AW2411" s="1344">
        <f t="shared" si="301"/>
        <v>44309</v>
      </c>
    </row>
    <row r="2412" spans="1:49">
      <c r="A2412" s="1077" t="s">
        <v>7494</v>
      </c>
      <c r="B2412" s="1077" t="s">
        <v>7109</v>
      </c>
      <c r="C2412" s="1077">
        <v>600</v>
      </c>
      <c r="D2412" s="1077">
        <v>1.7549999999999999</v>
      </c>
      <c r="E2412" s="1077" t="s">
        <v>15116</v>
      </c>
      <c r="F2412" s="1077" t="s">
        <v>2234</v>
      </c>
      <c r="G2412" s="1077">
        <v>5</v>
      </c>
      <c r="H2412" s="1077" t="s">
        <v>6952</v>
      </c>
      <c r="I2412" s="1077" t="s">
        <v>7001</v>
      </c>
      <c r="K2412" s="1077" t="s">
        <v>7110</v>
      </c>
      <c r="L2412" s="1077" t="s">
        <v>7111</v>
      </c>
      <c r="M2412" s="1077">
        <v>310</v>
      </c>
      <c r="N2412" s="1077" t="s">
        <v>945</v>
      </c>
      <c r="O2412" s="1077">
        <v>7.75</v>
      </c>
      <c r="P2412" s="1077">
        <v>6.2</v>
      </c>
      <c r="Q2412" s="1077">
        <v>3</v>
      </c>
      <c r="R2412" s="1077">
        <v>22</v>
      </c>
      <c r="T2412" s="1077">
        <v>13.5</v>
      </c>
      <c r="U2412" s="1077">
        <v>3.2</v>
      </c>
      <c r="V2412" s="1077" t="s">
        <v>648</v>
      </c>
      <c r="W2412" s="1077">
        <v>100</v>
      </c>
      <c r="X2412" s="1077">
        <v>85</v>
      </c>
      <c r="Y2412" s="1077">
        <v>1.2</v>
      </c>
      <c r="Z2412" s="1077" t="s">
        <v>648</v>
      </c>
      <c r="AA2412" s="1077" t="s">
        <v>7491</v>
      </c>
      <c r="AH2412" s="1077" t="s">
        <v>958</v>
      </c>
      <c r="AM2412" s="1078" t="s">
        <v>13767</v>
      </c>
      <c r="AN2412" s="1078" t="s">
        <v>13768</v>
      </c>
      <c r="AO2412" s="1078">
        <f t="shared" si="302"/>
        <v>600</v>
      </c>
      <c r="AP2412" s="1078">
        <f t="shared" si="303"/>
        <v>1.7549999999999999</v>
      </c>
      <c r="AQ2412" s="1078" t="str">
        <f t="shared" si="304"/>
        <v>1-5-1S83°Z+S</v>
      </c>
      <c r="AR2412" s="1078" t="str">
        <f t="shared" si="305"/>
        <v>33.5</v>
      </c>
      <c r="AS2412" s="1078" t="str">
        <f t="shared" si="306"/>
        <v>340/340/140</v>
      </c>
      <c r="AT2412" s="1078" t="str">
        <f t="shared" si="307"/>
        <v>1-5-1S83°Z+S</v>
      </c>
      <c r="AU2412" s="1078" t="s">
        <v>15547</v>
      </c>
      <c r="AV2412" s="1078" t="str">
        <f t="shared" si="300"/>
        <v>110.4.26</v>
      </c>
      <c r="AW2412" s="1344">
        <f t="shared" si="301"/>
        <v>44312</v>
      </c>
    </row>
    <row r="2413" spans="1:49">
      <c r="A2413" s="1077" t="s">
        <v>7495</v>
      </c>
      <c r="B2413" s="1077" t="s">
        <v>714</v>
      </c>
      <c r="C2413" s="1077">
        <v>600</v>
      </c>
      <c r="D2413" s="1077">
        <v>1.77</v>
      </c>
      <c r="E2413" s="1077">
        <v>102.5</v>
      </c>
      <c r="F2413" s="1077" t="s">
        <v>4070</v>
      </c>
      <c r="G2413" s="1077">
        <v>5.5</v>
      </c>
      <c r="H2413" s="1077" t="s">
        <v>7338</v>
      </c>
      <c r="I2413" s="1077" t="s">
        <v>7496</v>
      </c>
      <c r="J2413" s="1077">
        <v>3.7</v>
      </c>
      <c r="K2413" s="1077" t="s">
        <v>7497</v>
      </c>
      <c r="L2413" s="1077" t="s">
        <v>4666</v>
      </c>
      <c r="M2413" s="1077">
        <v>295.10000000000002</v>
      </c>
      <c r="N2413" s="1077" t="s">
        <v>945</v>
      </c>
      <c r="O2413" s="1077">
        <v>7.3775000000000013</v>
      </c>
      <c r="P2413" s="1077">
        <v>5.9020000000000001</v>
      </c>
      <c r="Q2413" s="1077">
        <v>4</v>
      </c>
      <c r="R2413" s="1077">
        <v>17.399999999999999</v>
      </c>
      <c r="T2413" s="1077">
        <v>31</v>
      </c>
      <c r="U2413" s="1077">
        <v>3.5</v>
      </c>
      <c r="V2413" s="1077" t="s">
        <v>648</v>
      </c>
      <c r="W2413" s="1077">
        <v>100</v>
      </c>
      <c r="X2413" s="1077" t="s">
        <v>7498</v>
      </c>
      <c r="Y2413" s="1077">
        <v>1</v>
      </c>
      <c r="Z2413" s="1077" t="s">
        <v>648</v>
      </c>
      <c r="AA2413" s="1077" t="s">
        <v>7499</v>
      </c>
      <c r="AH2413" s="1077" t="s">
        <v>4630</v>
      </c>
      <c r="AM2413" s="1078" t="s">
        <v>13769</v>
      </c>
      <c r="AN2413" s="1078" t="s">
        <v>13770</v>
      </c>
      <c r="AO2413" s="1078">
        <f t="shared" si="302"/>
        <v>600</v>
      </c>
      <c r="AP2413" s="1078">
        <f t="shared" si="303"/>
        <v>1.77</v>
      </c>
      <c r="AQ2413" s="1078">
        <f t="shared" si="304"/>
        <v>102.5</v>
      </c>
      <c r="AR2413" s="1078" t="str">
        <f t="shared" si="305"/>
        <v>15.5</v>
      </c>
      <c r="AS2413" s="1078" t="str">
        <f t="shared" si="306"/>
        <v>504/464/OFF</v>
      </c>
      <c r="AT2413" s="1078">
        <f t="shared" si="307"/>
        <v>102.5</v>
      </c>
      <c r="AV2413" s="1078" t="str">
        <f t="shared" si="300"/>
        <v>110.4.28</v>
      </c>
      <c r="AW2413" s="1344">
        <f t="shared" si="301"/>
        <v>44314</v>
      </c>
    </row>
    <row r="2414" spans="1:49">
      <c r="A2414" s="1077" t="s">
        <v>7500</v>
      </c>
      <c r="B2414" s="1077" t="s">
        <v>7407</v>
      </c>
      <c r="C2414" s="1077">
        <v>550</v>
      </c>
      <c r="D2414" s="1077">
        <v>1.75</v>
      </c>
      <c r="E2414" s="1077">
        <v>102.5</v>
      </c>
      <c r="F2414" s="1077" t="s">
        <v>5134</v>
      </c>
      <c r="G2414" s="1077">
        <v>5</v>
      </c>
      <c r="H2414" s="1077" t="s">
        <v>7280</v>
      </c>
      <c r="I2414" s="1077" t="s">
        <v>7326</v>
      </c>
      <c r="J2414" s="1077">
        <v>3</v>
      </c>
      <c r="K2414" s="1077" t="s">
        <v>7501</v>
      </c>
      <c r="L2414" s="1077" t="s">
        <v>4854</v>
      </c>
      <c r="M2414" s="1077">
        <v>300.7</v>
      </c>
      <c r="N2414" s="1077" t="s">
        <v>945</v>
      </c>
      <c r="O2414" s="1077">
        <v>7.5175000000000001</v>
      </c>
      <c r="P2414" s="1077">
        <v>6.0140000000000002</v>
      </c>
      <c r="Q2414" s="1077">
        <v>3</v>
      </c>
      <c r="R2414" s="1077">
        <v>28.5</v>
      </c>
      <c r="T2414" s="1077">
        <v>14.7</v>
      </c>
      <c r="U2414" s="1077">
        <v>6.1</v>
      </c>
      <c r="V2414" s="1077" t="s">
        <v>648</v>
      </c>
      <c r="W2414" s="1077">
        <v>115</v>
      </c>
      <c r="X2414" s="1077">
        <v>45</v>
      </c>
      <c r="Y2414" s="1077">
        <v>1.5</v>
      </c>
      <c r="Z2414" s="1077" t="s">
        <v>648</v>
      </c>
      <c r="AA2414" s="1077" t="s">
        <v>7499</v>
      </c>
      <c r="AH2414" s="1077" t="s">
        <v>830</v>
      </c>
      <c r="AM2414" s="1078" t="s">
        <v>13771</v>
      </c>
      <c r="AN2414" s="1078" t="s">
        <v>13772</v>
      </c>
      <c r="AO2414" s="1078">
        <f t="shared" si="302"/>
        <v>550</v>
      </c>
      <c r="AP2414" s="1078">
        <f t="shared" si="303"/>
        <v>1.75</v>
      </c>
      <c r="AQ2414" s="1078">
        <f t="shared" si="304"/>
        <v>102.5</v>
      </c>
      <c r="AR2414" s="1078" t="str">
        <f t="shared" si="305"/>
        <v>15.6</v>
      </c>
      <c r="AS2414" s="1078" t="str">
        <f t="shared" si="306"/>
        <v>352/367/OFF</v>
      </c>
      <c r="AT2414" s="1078">
        <f t="shared" si="307"/>
        <v>102.5</v>
      </c>
      <c r="AV2414" s="1078" t="str">
        <f t="shared" si="300"/>
        <v>110.4.28</v>
      </c>
      <c r="AW2414" s="1344">
        <f t="shared" si="301"/>
        <v>44314</v>
      </c>
    </row>
    <row r="2415" spans="1:49">
      <c r="A2415" s="1077" t="s">
        <v>7502</v>
      </c>
      <c r="B2415" s="1077" t="s">
        <v>7261</v>
      </c>
      <c r="C2415" s="1077">
        <v>600</v>
      </c>
      <c r="D2415" s="1077">
        <v>1.8</v>
      </c>
      <c r="E2415" s="1077" t="s">
        <v>15116</v>
      </c>
      <c r="F2415" s="1077" t="s">
        <v>2234</v>
      </c>
      <c r="G2415" s="1077">
        <v>4</v>
      </c>
      <c r="H2415" s="1077" t="s">
        <v>7262</v>
      </c>
      <c r="I2415" s="1077" t="s">
        <v>6918</v>
      </c>
      <c r="K2415" s="1077" t="s">
        <v>7461</v>
      </c>
      <c r="L2415" s="1077" t="s">
        <v>7264</v>
      </c>
      <c r="M2415" s="1077">
        <v>307</v>
      </c>
      <c r="N2415" s="1077" t="s">
        <v>945</v>
      </c>
      <c r="O2415" s="1077">
        <v>7.6750000000000007</v>
      </c>
      <c r="P2415" s="1077">
        <v>6.1400000000000006</v>
      </c>
      <c r="Q2415" s="1077">
        <v>3.5</v>
      </c>
      <c r="R2415" s="1077">
        <v>27</v>
      </c>
      <c r="T2415" s="1077">
        <v>12</v>
      </c>
      <c r="U2415" s="1077">
        <v>2.2999999999999998</v>
      </c>
      <c r="V2415" s="1077" t="s">
        <v>648</v>
      </c>
      <c r="W2415" s="1077" t="s">
        <v>4947</v>
      </c>
      <c r="X2415" s="1077">
        <v>10</v>
      </c>
      <c r="Y2415" s="1077">
        <v>1.7</v>
      </c>
      <c r="Z2415" s="1077" t="s">
        <v>648</v>
      </c>
      <c r="AA2415" s="1077" t="s">
        <v>6282</v>
      </c>
      <c r="AH2415" s="1077" t="s">
        <v>684</v>
      </c>
      <c r="AM2415" s="1078" t="s">
        <v>13773</v>
      </c>
      <c r="AN2415" s="1078" t="s">
        <v>13774</v>
      </c>
      <c r="AO2415" s="1078">
        <f t="shared" si="302"/>
        <v>600</v>
      </c>
      <c r="AP2415" s="1078">
        <f t="shared" si="303"/>
        <v>1.8</v>
      </c>
      <c r="AQ2415" s="1078" t="str">
        <f t="shared" si="304"/>
        <v>1-5-1S83°Z+S</v>
      </c>
      <c r="AR2415" s="1078" t="str">
        <f t="shared" si="305"/>
        <v>33.5</v>
      </c>
      <c r="AS2415" s="1078" t="str">
        <f t="shared" si="306"/>
        <v>300/300/190</v>
      </c>
      <c r="AT2415" s="1078" t="str">
        <f t="shared" si="307"/>
        <v>1-5-1S83°Z+S</v>
      </c>
      <c r="AU2415" s="1078" t="s">
        <v>15547</v>
      </c>
      <c r="AV2415" s="1078" t="str">
        <f t="shared" si="300"/>
        <v>110.5.3</v>
      </c>
      <c r="AW2415" s="1344">
        <f t="shared" si="301"/>
        <v>44319</v>
      </c>
    </row>
    <row r="2416" spans="1:49">
      <c r="A2416" s="1077" t="s">
        <v>7503</v>
      </c>
      <c r="B2416" s="1077" t="s">
        <v>7504</v>
      </c>
      <c r="C2416" s="1077">
        <v>500</v>
      </c>
      <c r="D2416" s="1077">
        <v>1.8320000000000001</v>
      </c>
      <c r="E2416" s="1077" t="s">
        <v>15116</v>
      </c>
      <c r="F2416" s="1077" t="s">
        <v>1514</v>
      </c>
      <c r="G2416" s="1077">
        <v>4</v>
      </c>
      <c r="H2416" s="1077" t="s">
        <v>7505</v>
      </c>
      <c r="I2416" s="1077" t="s">
        <v>7319</v>
      </c>
      <c r="J2416" s="1077">
        <v>3</v>
      </c>
      <c r="K2416" s="1077" t="s">
        <v>7506</v>
      </c>
      <c r="L2416" s="1077" t="s">
        <v>7507</v>
      </c>
      <c r="M2416" s="1077">
        <v>302</v>
      </c>
      <c r="N2416" s="1077" t="s">
        <v>945</v>
      </c>
      <c r="O2416" s="1077">
        <v>7.5500000000000007</v>
      </c>
      <c r="P2416" s="1077">
        <v>6.04</v>
      </c>
      <c r="Q2416" s="1077" t="s">
        <v>1277</v>
      </c>
      <c r="R2416" s="1077">
        <v>21.5</v>
      </c>
      <c r="T2416" s="1077">
        <v>24.5</v>
      </c>
      <c r="U2416" s="1077">
        <v>2.7</v>
      </c>
      <c r="V2416" s="1077" t="s">
        <v>648</v>
      </c>
      <c r="W2416" s="1077">
        <v>100</v>
      </c>
      <c r="X2416" s="1077">
        <v>20</v>
      </c>
      <c r="Y2416" s="1077">
        <v>2</v>
      </c>
      <c r="Z2416" s="1077" t="s">
        <v>648</v>
      </c>
      <c r="AA2416" s="1077" t="s">
        <v>6282</v>
      </c>
      <c r="AH2416" s="1077" t="s">
        <v>6606</v>
      </c>
      <c r="AM2416" s="1078" t="s">
        <v>13775</v>
      </c>
      <c r="AN2416" s="1078" t="s">
        <v>9197</v>
      </c>
      <c r="AO2416" s="1078">
        <f t="shared" si="302"/>
        <v>500</v>
      </c>
      <c r="AP2416" s="1078">
        <f t="shared" si="303"/>
        <v>1.8320000000000001</v>
      </c>
      <c r="AQ2416" s="1078" t="str">
        <f t="shared" si="304"/>
        <v>1-5-1S83°Z+S</v>
      </c>
      <c r="AR2416" s="1078" t="str">
        <f t="shared" si="305"/>
        <v>32</v>
      </c>
      <c r="AS2416" s="1078" t="str">
        <f t="shared" si="306"/>
        <v>310/330/150</v>
      </c>
      <c r="AT2416" s="1078" t="str">
        <f t="shared" si="307"/>
        <v>1-5-1S83°Z+S</v>
      </c>
      <c r="AU2416" s="1078" t="s">
        <v>15547</v>
      </c>
      <c r="AV2416" s="1078" t="str">
        <f t="shared" si="300"/>
        <v>110.5.3</v>
      </c>
      <c r="AW2416" s="1344">
        <f t="shared" si="301"/>
        <v>44319</v>
      </c>
    </row>
    <row r="2417" spans="1:49">
      <c r="A2417" s="1077" t="s">
        <v>7508</v>
      </c>
      <c r="B2417" s="1077" t="s">
        <v>7509</v>
      </c>
      <c r="C2417" s="1077">
        <v>600</v>
      </c>
      <c r="D2417" s="1077">
        <v>1.83</v>
      </c>
      <c r="E2417" s="1077" t="s">
        <v>15116</v>
      </c>
      <c r="F2417" s="1077" t="s">
        <v>2234</v>
      </c>
      <c r="G2417" s="1077">
        <v>4</v>
      </c>
      <c r="H2417" s="1077" t="s">
        <v>5980</v>
      </c>
      <c r="I2417" s="1077" t="s">
        <v>6896</v>
      </c>
      <c r="K2417" s="1077" t="s">
        <v>7510</v>
      </c>
      <c r="L2417" s="1077" t="s">
        <v>7511</v>
      </c>
      <c r="M2417" s="1077">
        <v>297</v>
      </c>
      <c r="N2417" s="1077" t="s">
        <v>945</v>
      </c>
      <c r="O2417" s="1077">
        <v>7.4250000000000007</v>
      </c>
      <c r="P2417" s="1077">
        <v>5.94</v>
      </c>
      <c r="Q2417" s="1077" t="s">
        <v>1277</v>
      </c>
      <c r="R2417" s="1077">
        <v>20</v>
      </c>
      <c r="T2417" s="1077">
        <v>30</v>
      </c>
      <c r="U2417" s="1077">
        <v>3.5</v>
      </c>
      <c r="V2417" s="1077" t="s">
        <v>648</v>
      </c>
      <c r="W2417" s="1077">
        <v>100</v>
      </c>
      <c r="X2417" s="1077">
        <v>40</v>
      </c>
      <c r="Y2417" s="1077">
        <v>1</v>
      </c>
      <c r="Z2417" s="1077" t="s">
        <v>648</v>
      </c>
      <c r="AA2417" s="1077" t="s">
        <v>4133</v>
      </c>
      <c r="AH2417" s="1077" t="s">
        <v>3213</v>
      </c>
      <c r="AM2417" s="1078" t="s">
        <v>13776</v>
      </c>
      <c r="AN2417" s="1078" t="s">
        <v>13777</v>
      </c>
      <c r="AO2417" s="1078">
        <f t="shared" si="302"/>
        <v>600</v>
      </c>
      <c r="AP2417" s="1078">
        <f t="shared" si="303"/>
        <v>1.83</v>
      </c>
      <c r="AQ2417" s="1078" t="str">
        <f t="shared" si="304"/>
        <v>1-5-1S83°Z+S</v>
      </c>
      <c r="AR2417" s="1078" t="str">
        <f t="shared" si="305"/>
        <v>33.5</v>
      </c>
      <c r="AS2417" s="1078" t="str">
        <f t="shared" si="306"/>
        <v>360/360/OFF</v>
      </c>
      <c r="AT2417" s="1078" t="str">
        <f t="shared" si="307"/>
        <v>1-5-1S83°Z+S</v>
      </c>
      <c r="AU2417" s="1078" t="s">
        <v>15547</v>
      </c>
      <c r="AV2417" s="1078" t="str">
        <f t="shared" si="300"/>
        <v>110.5.17</v>
      </c>
      <c r="AW2417" s="1344">
        <f t="shared" si="301"/>
        <v>44333</v>
      </c>
    </row>
    <row r="2418" spans="1:49">
      <c r="A2418" s="1077" t="s">
        <v>7512</v>
      </c>
      <c r="B2418" s="1077" t="s">
        <v>7091</v>
      </c>
      <c r="C2418" s="1077">
        <v>650</v>
      </c>
      <c r="D2418" s="1077">
        <v>1.7749999999999999</v>
      </c>
      <c r="E2418" s="1077" t="s">
        <v>15109</v>
      </c>
      <c r="F2418" s="1077" t="s">
        <v>648</v>
      </c>
      <c r="G2418" s="1077">
        <v>5</v>
      </c>
      <c r="H2418" s="1077" t="s">
        <v>2931</v>
      </c>
      <c r="I2418" s="1077" t="s">
        <v>7513</v>
      </c>
      <c r="J2418" s="1077">
        <v>3.7</v>
      </c>
      <c r="K2418" s="1077" t="s">
        <v>7437</v>
      </c>
      <c r="L2418" s="1077" t="s">
        <v>5152</v>
      </c>
      <c r="M2418" s="1077">
        <v>290</v>
      </c>
      <c r="N2418" s="1077" t="s">
        <v>945</v>
      </c>
      <c r="O2418" s="1077">
        <v>7.25</v>
      </c>
      <c r="P2418" s="1077">
        <v>5.8</v>
      </c>
      <c r="Q2418" s="1077">
        <v>4</v>
      </c>
      <c r="R2418" s="1077">
        <v>19.5</v>
      </c>
      <c r="T2418" s="1077">
        <v>29.3</v>
      </c>
      <c r="U2418" s="1077">
        <v>3.5</v>
      </c>
      <c r="V2418" s="1077" t="s">
        <v>648</v>
      </c>
      <c r="W2418" s="1077">
        <v>95</v>
      </c>
      <c r="X2418" s="1077">
        <v>20</v>
      </c>
      <c r="Y2418" s="1077">
        <v>1.5</v>
      </c>
      <c r="Z2418" s="1077" t="s">
        <v>648</v>
      </c>
      <c r="AA2418" s="1077" t="s">
        <v>7514</v>
      </c>
      <c r="AH2418" s="1077" t="s">
        <v>1417</v>
      </c>
      <c r="AM2418" s="1078" t="s">
        <v>13778</v>
      </c>
      <c r="AN2418" s="1078" t="s">
        <v>13779</v>
      </c>
      <c r="AO2418" s="1078">
        <f t="shared" si="302"/>
        <v>650</v>
      </c>
      <c r="AP2418" s="1078">
        <f t="shared" si="303"/>
        <v>1.7749999999999999</v>
      </c>
      <c r="AQ2418" s="1078" t="str">
        <f t="shared" si="304"/>
        <v>1-5-1S85°Z+S</v>
      </c>
      <c r="AR2418" s="1078" t="str">
        <f t="shared" si="305"/>
        <v>NA</v>
      </c>
      <c r="AS2418" s="1078" t="str">
        <f t="shared" si="306"/>
        <v>195/OFF</v>
      </c>
      <c r="AT2418" s="1078" t="str">
        <f t="shared" si="307"/>
        <v>1-5-1S85°Z+S</v>
      </c>
      <c r="AU2418" s="1078" t="s">
        <v>15547</v>
      </c>
      <c r="AV2418" s="1078" t="str">
        <f t="shared" si="300"/>
        <v>110.5.18</v>
      </c>
      <c r="AW2418" s="1344">
        <f t="shared" si="301"/>
        <v>44334</v>
      </c>
    </row>
    <row r="2419" spans="1:49">
      <c r="A2419" s="1077" t="s">
        <v>7515</v>
      </c>
      <c r="B2419" s="1077" t="s">
        <v>7205</v>
      </c>
      <c r="C2419" s="1077">
        <v>550</v>
      </c>
      <c r="D2419" s="1077">
        <v>1.742</v>
      </c>
      <c r="E2419" s="1077">
        <v>102.5</v>
      </c>
      <c r="F2419" s="1077" t="s">
        <v>4070</v>
      </c>
      <c r="G2419" s="1077">
        <v>5</v>
      </c>
      <c r="H2419" s="1077" t="s">
        <v>7401</v>
      </c>
      <c r="I2419" s="1077" t="s">
        <v>7516</v>
      </c>
      <c r="J2419" s="1077">
        <v>3</v>
      </c>
      <c r="K2419" s="1077" t="s">
        <v>7403</v>
      </c>
      <c r="L2419" s="1077" t="s">
        <v>7208</v>
      </c>
      <c r="M2419" s="1077">
        <v>293.3</v>
      </c>
      <c r="N2419" s="1077" t="s">
        <v>945</v>
      </c>
      <c r="O2419" s="1077">
        <v>7.3325000000000005</v>
      </c>
      <c r="P2419" s="1077">
        <v>5.8660000000000005</v>
      </c>
      <c r="Q2419" s="1077">
        <v>4</v>
      </c>
      <c r="R2419" s="1077">
        <v>19</v>
      </c>
      <c r="T2419" s="1077">
        <v>27</v>
      </c>
      <c r="U2419" s="1077">
        <v>3.5</v>
      </c>
      <c r="V2419" s="1077" t="s">
        <v>648</v>
      </c>
      <c r="W2419" s="1077">
        <v>135</v>
      </c>
      <c r="X2419" s="1077">
        <v>90</v>
      </c>
      <c r="Y2419" s="1077">
        <v>1.4</v>
      </c>
      <c r="Z2419" s="1077" t="s">
        <v>648</v>
      </c>
      <c r="AA2419" s="1077" t="s">
        <v>7517</v>
      </c>
      <c r="AH2419" s="1077" t="s">
        <v>1643</v>
      </c>
      <c r="AM2419" s="1078" t="s">
        <v>13780</v>
      </c>
      <c r="AN2419" s="1078" t="s">
        <v>13781</v>
      </c>
      <c r="AO2419" s="1078">
        <f t="shared" si="302"/>
        <v>550</v>
      </c>
      <c r="AP2419" s="1078">
        <f t="shared" si="303"/>
        <v>1.742</v>
      </c>
      <c r="AQ2419" s="1078">
        <f t="shared" si="304"/>
        <v>102.5</v>
      </c>
      <c r="AR2419" s="1078" t="str">
        <f t="shared" si="305"/>
        <v>15.5</v>
      </c>
      <c r="AS2419" s="1078" t="str">
        <f t="shared" si="306"/>
        <v>480/450/OFF</v>
      </c>
      <c r="AT2419" s="1078">
        <f t="shared" si="307"/>
        <v>102.5</v>
      </c>
      <c r="AV2419" s="1078" t="str">
        <f t="shared" si="300"/>
        <v>110.5.20</v>
      </c>
      <c r="AW2419" s="1344">
        <f t="shared" si="301"/>
        <v>44336</v>
      </c>
    </row>
    <row r="2420" spans="1:49">
      <c r="A2420" s="1077" t="s">
        <v>7518</v>
      </c>
      <c r="B2420" s="1077" t="s">
        <v>7019</v>
      </c>
      <c r="C2420" s="1077">
        <v>600</v>
      </c>
      <c r="D2420" s="1077">
        <v>1.74</v>
      </c>
      <c r="E2420" s="1077" t="s">
        <v>15109</v>
      </c>
      <c r="F2420" s="1077" t="s">
        <v>648</v>
      </c>
      <c r="G2420" s="1077">
        <v>5.5</v>
      </c>
      <c r="H2420" s="1077" t="s">
        <v>941</v>
      </c>
      <c r="I2420" s="1077" t="s">
        <v>7459</v>
      </c>
      <c r="K2420" s="1077" t="s">
        <v>7423</v>
      </c>
      <c r="L2420" s="1077" t="s">
        <v>7424</v>
      </c>
      <c r="M2420" s="1077">
        <v>295</v>
      </c>
      <c r="N2420" s="1077" t="s">
        <v>945</v>
      </c>
      <c r="O2420" s="1077">
        <v>7.375</v>
      </c>
      <c r="P2420" s="1077">
        <v>5.9</v>
      </c>
      <c r="Q2420" s="1077">
        <v>4</v>
      </c>
      <c r="R2420" s="1077">
        <v>19</v>
      </c>
      <c r="T2420" s="1077">
        <v>27.8</v>
      </c>
      <c r="U2420" s="1077">
        <v>3.9</v>
      </c>
      <c r="V2420" s="1077" t="s">
        <v>648</v>
      </c>
      <c r="W2420" s="1077">
        <v>125</v>
      </c>
      <c r="X2420" s="1077">
        <v>90</v>
      </c>
      <c r="Y2420" s="1077">
        <v>1.5</v>
      </c>
      <c r="Z2420" s="1077" t="s">
        <v>648</v>
      </c>
      <c r="AA2420" s="1077" t="s">
        <v>3456</v>
      </c>
      <c r="AH2420" s="1077" t="s">
        <v>1360</v>
      </c>
      <c r="AM2420" s="1078" t="s">
        <v>13782</v>
      </c>
      <c r="AN2420" s="1078" t="s">
        <v>13783</v>
      </c>
      <c r="AO2420" s="1078">
        <f t="shared" si="302"/>
        <v>600</v>
      </c>
      <c r="AP2420" s="1078">
        <f t="shared" si="303"/>
        <v>1.74</v>
      </c>
      <c r="AQ2420" s="1078" t="str">
        <f t="shared" si="304"/>
        <v>1-5-1S85°Z+S</v>
      </c>
      <c r="AR2420" s="1078" t="str">
        <f t="shared" si="305"/>
        <v>NA</v>
      </c>
      <c r="AS2420" s="1078" t="str">
        <f t="shared" si="306"/>
        <v>185/OFF</v>
      </c>
      <c r="AT2420" s="1078" t="str">
        <f t="shared" si="307"/>
        <v>1-5-1S85°Z+S</v>
      </c>
      <c r="AU2420" s="1078" t="s">
        <v>15547</v>
      </c>
      <c r="AV2420" s="1078" t="str">
        <f t="shared" si="300"/>
        <v>110.5.24</v>
      </c>
      <c r="AW2420" s="1344">
        <f t="shared" si="301"/>
        <v>44340</v>
      </c>
    </row>
    <row r="2421" spans="1:49">
      <c r="A2421" s="1077" t="s">
        <v>7519</v>
      </c>
      <c r="B2421" s="1077" t="s">
        <v>7068</v>
      </c>
      <c r="C2421" s="1077">
        <v>650</v>
      </c>
      <c r="D2421" s="1077">
        <v>1.78</v>
      </c>
      <c r="E2421" s="1077" t="s">
        <v>15126</v>
      </c>
      <c r="F2421" s="1077" t="s">
        <v>984</v>
      </c>
      <c r="G2421" s="1077">
        <v>5</v>
      </c>
      <c r="H2421" s="1077" t="s">
        <v>7375</v>
      </c>
      <c r="I2421" s="1077" t="s">
        <v>7137</v>
      </c>
      <c r="K2421" s="1077" t="s">
        <v>7520</v>
      </c>
      <c r="L2421" s="1077" t="s">
        <v>5037</v>
      </c>
      <c r="M2421" s="1077">
        <v>296.2</v>
      </c>
      <c r="N2421" s="1077" t="s">
        <v>945</v>
      </c>
      <c r="O2421" s="1077">
        <v>7.4050000000000002</v>
      </c>
      <c r="P2421" s="1077">
        <v>5.9239999999999995</v>
      </c>
      <c r="Q2421" s="1077">
        <v>3.5</v>
      </c>
      <c r="R2421" s="1077">
        <v>20.100000000000001</v>
      </c>
      <c r="T2421" s="1077">
        <v>20.399999999999999</v>
      </c>
      <c r="U2421" s="1077">
        <v>4</v>
      </c>
      <c r="V2421" s="1077" t="s">
        <v>648</v>
      </c>
      <c r="W2421" s="1077">
        <v>125</v>
      </c>
      <c r="X2421" s="1077">
        <v>40</v>
      </c>
      <c r="Y2421" s="1077">
        <v>1.6</v>
      </c>
      <c r="Z2421" s="1077">
        <v>7</v>
      </c>
      <c r="AA2421" s="1077" t="s">
        <v>3459</v>
      </c>
      <c r="AH2421" s="1077" t="s">
        <v>621</v>
      </c>
      <c r="AM2421" s="1078" t="s">
        <v>13784</v>
      </c>
      <c r="AN2421" s="1078" t="s">
        <v>13785</v>
      </c>
      <c r="AO2421" s="1078">
        <f t="shared" si="302"/>
        <v>650</v>
      </c>
      <c r="AP2421" s="1078">
        <f t="shared" si="303"/>
        <v>1.78</v>
      </c>
      <c r="AQ2421" s="1078" t="str">
        <f t="shared" si="304"/>
        <v>1-5-1S91°Z+Z</v>
      </c>
      <c r="AR2421" s="1078" t="str">
        <f t="shared" si="305"/>
        <v>30</v>
      </c>
      <c r="AS2421" s="1078" t="str">
        <f t="shared" si="306"/>
        <v>330/330/160</v>
      </c>
      <c r="AT2421" s="1078" t="str">
        <f t="shared" si="307"/>
        <v>1-5-1S91°Z+Z</v>
      </c>
      <c r="AU2421" s="1078" t="s">
        <v>15551</v>
      </c>
      <c r="AV2421" s="1078" t="str">
        <f t="shared" si="300"/>
        <v>110.5.27</v>
      </c>
      <c r="AW2421" s="1344">
        <f t="shared" si="301"/>
        <v>44343</v>
      </c>
    </row>
    <row r="2422" spans="1:49">
      <c r="A2422" s="1077" t="s">
        <v>7521</v>
      </c>
      <c r="B2422" s="1077" t="s">
        <v>714</v>
      </c>
      <c r="C2422" s="1077">
        <v>650</v>
      </c>
      <c r="D2422" s="1077">
        <v>1.7769999999999999</v>
      </c>
      <c r="E2422" s="1077" t="s">
        <v>15109</v>
      </c>
      <c r="F2422" s="1077" t="s">
        <v>648</v>
      </c>
      <c r="G2422" s="1077" t="s">
        <v>6865</v>
      </c>
      <c r="H2422" s="1077" t="s">
        <v>7522</v>
      </c>
      <c r="I2422" s="1077" t="s">
        <v>7154</v>
      </c>
      <c r="J2422" s="1077">
        <v>3.7</v>
      </c>
      <c r="K2422" s="1077" t="s">
        <v>7354</v>
      </c>
      <c r="L2422" s="1077" t="s">
        <v>4666</v>
      </c>
      <c r="M2422" s="1077">
        <v>295.10000000000002</v>
      </c>
      <c r="N2422" s="1077" t="s">
        <v>945</v>
      </c>
      <c r="O2422" s="1077">
        <v>7.3775000000000013</v>
      </c>
      <c r="P2422" s="1077">
        <v>5.9020000000000001</v>
      </c>
      <c r="Q2422" s="1077">
        <v>4</v>
      </c>
      <c r="R2422" s="1077">
        <v>17.399999999999999</v>
      </c>
      <c r="T2422" s="1077">
        <v>31</v>
      </c>
      <c r="U2422" s="1077">
        <v>3.5</v>
      </c>
      <c r="V2422" s="1077" t="s">
        <v>648</v>
      </c>
      <c r="W2422" s="1077" t="s">
        <v>6880</v>
      </c>
      <c r="X2422" s="1077">
        <v>40</v>
      </c>
      <c r="Y2422" s="1077">
        <v>1</v>
      </c>
      <c r="Z2422" s="1077" t="s">
        <v>648</v>
      </c>
      <c r="AA2422" s="1077" t="s">
        <v>3459</v>
      </c>
      <c r="AH2422" s="1077" t="s">
        <v>1771</v>
      </c>
      <c r="AM2422" s="1078" t="s">
        <v>13786</v>
      </c>
      <c r="AN2422" s="1078" t="s">
        <v>13787</v>
      </c>
      <c r="AO2422" s="1078">
        <f t="shared" si="302"/>
        <v>650</v>
      </c>
      <c r="AP2422" s="1078">
        <f t="shared" si="303"/>
        <v>1.7769999999999999</v>
      </c>
      <c r="AQ2422" s="1078" t="str">
        <f t="shared" si="304"/>
        <v>1-5-1S85°Z+S</v>
      </c>
      <c r="AR2422" s="1078" t="str">
        <f t="shared" si="305"/>
        <v>NA</v>
      </c>
      <c r="AS2422" s="1078" t="str">
        <f t="shared" si="306"/>
        <v>202/OFF</v>
      </c>
      <c r="AT2422" s="1078" t="str">
        <f t="shared" si="307"/>
        <v>1-5-1S85°Z+S</v>
      </c>
      <c r="AU2422" s="1078" t="s">
        <v>15547</v>
      </c>
      <c r="AV2422" s="1078" t="str">
        <f t="shared" si="300"/>
        <v>110.5.27</v>
      </c>
      <c r="AW2422" s="1344">
        <f t="shared" si="301"/>
        <v>44343</v>
      </c>
    </row>
    <row r="2423" spans="1:49">
      <c r="A2423" s="1077" t="s">
        <v>7523</v>
      </c>
      <c r="B2423" s="1077" t="s">
        <v>663</v>
      </c>
      <c r="C2423" s="1077">
        <v>600</v>
      </c>
      <c r="D2423" s="1077">
        <v>1.8</v>
      </c>
      <c r="E2423" s="1077" t="s">
        <v>15109</v>
      </c>
      <c r="F2423" s="1077" t="s">
        <v>648</v>
      </c>
      <c r="G2423" s="1077">
        <v>5.5</v>
      </c>
      <c r="H2423" s="1077" t="s">
        <v>7524</v>
      </c>
      <c r="I2423" s="1077" t="s">
        <v>6909</v>
      </c>
      <c r="K2423" s="1077" t="s">
        <v>7525</v>
      </c>
      <c r="L2423" s="1077" t="s">
        <v>4907</v>
      </c>
      <c r="M2423" s="1077">
        <v>294</v>
      </c>
      <c r="N2423" s="1077" t="s">
        <v>945</v>
      </c>
      <c r="O2423" s="1077">
        <v>7.3500000000000005</v>
      </c>
      <c r="P2423" s="1077">
        <v>5.88</v>
      </c>
      <c r="Q2423" s="1077">
        <v>3.5</v>
      </c>
      <c r="R2423" s="1077">
        <v>19</v>
      </c>
      <c r="T2423" s="1077">
        <v>16.399999999999999</v>
      </c>
      <c r="U2423" s="1077">
        <v>5.4</v>
      </c>
      <c r="V2423" s="1077" t="s">
        <v>648</v>
      </c>
      <c r="W2423" s="1077" t="s">
        <v>4667</v>
      </c>
      <c r="X2423" s="1077">
        <v>20</v>
      </c>
      <c r="Y2423" s="1077">
        <v>1.4</v>
      </c>
      <c r="Z2423" s="1077" t="s">
        <v>648</v>
      </c>
      <c r="AA2423" s="1077" t="s">
        <v>6201</v>
      </c>
      <c r="AH2423" s="1077" t="s">
        <v>3067</v>
      </c>
      <c r="AM2423" s="1078" t="s">
        <v>13788</v>
      </c>
      <c r="AN2423" s="1078" t="s">
        <v>13789</v>
      </c>
      <c r="AO2423" s="1078">
        <f t="shared" si="302"/>
        <v>600</v>
      </c>
      <c r="AP2423" s="1078">
        <f t="shared" si="303"/>
        <v>1.8</v>
      </c>
      <c r="AQ2423" s="1078" t="str">
        <f t="shared" si="304"/>
        <v>1-5-1S85°Z+S</v>
      </c>
      <c r="AR2423" s="1078" t="str">
        <f t="shared" si="305"/>
        <v>NA</v>
      </c>
      <c r="AS2423" s="1078" t="str">
        <f t="shared" si="306"/>
        <v>170/145</v>
      </c>
      <c r="AT2423" s="1078" t="str">
        <f t="shared" si="307"/>
        <v>1-5-1S85°Z+S</v>
      </c>
      <c r="AU2423" s="1078" t="s">
        <v>15547</v>
      </c>
      <c r="AV2423" s="1078" t="str">
        <f t="shared" si="300"/>
        <v>110.5.28</v>
      </c>
      <c r="AW2423" s="1344">
        <f t="shared" si="301"/>
        <v>44344</v>
      </c>
    </row>
    <row r="2424" spans="1:49">
      <c r="A2424" s="1077" t="s">
        <v>7526</v>
      </c>
      <c r="B2424" s="1077" t="s">
        <v>663</v>
      </c>
      <c r="C2424" s="1077">
        <v>600</v>
      </c>
      <c r="D2424" s="1077">
        <v>1.8049999999999999</v>
      </c>
      <c r="E2424" s="1077" t="s">
        <v>15109</v>
      </c>
      <c r="F2424" s="1077" t="s">
        <v>648</v>
      </c>
      <c r="G2424" s="1077">
        <v>5.5</v>
      </c>
      <c r="H2424" s="1077" t="s">
        <v>2135</v>
      </c>
      <c r="I2424" s="1077" t="s">
        <v>6873</v>
      </c>
      <c r="K2424" s="1077" t="s">
        <v>7525</v>
      </c>
      <c r="L2424" s="1077" t="s">
        <v>4907</v>
      </c>
      <c r="M2424" s="1077">
        <v>296.39999999999998</v>
      </c>
      <c r="N2424" s="1077" t="s">
        <v>945</v>
      </c>
      <c r="O2424" s="1077">
        <v>7.41</v>
      </c>
      <c r="P2424" s="1077">
        <v>5.9279999999999999</v>
      </c>
      <c r="Q2424" s="1077">
        <v>3.5</v>
      </c>
      <c r="R2424" s="1077">
        <v>20</v>
      </c>
      <c r="T2424" s="1077">
        <v>14.7</v>
      </c>
      <c r="U2424" s="1077">
        <v>5.5</v>
      </c>
      <c r="V2424" s="1077" t="s">
        <v>648</v>
      </c>
      <c r="W2424" s="1077" t="s">
        <v>2816</v>
      </c>
      <c r="X2424" s="1077">
        <v>10</v>
      </c>
      <c r="Y2424" s="1077">
        <v>1.1000000000000001</v>
      </c>
      <c r="Z2424" s="1077" t="s">
        <v>648</v>
      </c>
      <c r="AA2424" s="1077" t="s">
        <v>7527</v>
      </c>
      <c r="AH2424" s="1077" t="s">
        <v>2836</v>
      </c>
      <c r="AM2424" s="1078" t="s">
        <v>13790</v>
      </c>
      <c r="AN2424" s="1078" t="s">
        <v>13791</v>
      </c>
      <c r="AO2424" s="1078">
        <f t="shared" si="302"/>
        <v>600</v>
      </c>
      <c r="AP2424" s="1078">
        <f t="shared" si="303"/>
        <v>1.8049999999999999</v>
      </c>
      <c r="AQ2424" s="1078" t="str">
        <f t="shared" si="304"/>
        <v>1-5-1S85°Z+S</v>
      </c>
      <c r="AR2424" s="1078" t="str">
        <f t="shared" si="305"/>
        <v>NA</v>
      </c>
      <c r="AS2424" s="1078" t="str">
        <f t="shared" si="306"/>
        <v>165/160</v>
      </c>
      <c r="AT2424" s="1078" t="str">
        <f t="shared" si="307"/>
        <v>1-5-1S85°Z+S</v>
      </c>
      <c r="AU2424" s="1078" t="s">
        <v>15547</v>
      </c>
      <c r="AV2424" s="1078" t="str">
        <f t="shared" si="300"/>
        <v>110.6.2</v>
      </c>
      <c r="AW2424" s="1344">
        <f t="shared" si="301"/>
        <v>44349</v>
      </c>
    </row>
    <row r="2425" spans="1:49">
      <c r="A2425" s="1077" t="s">
        <v>7528</v>
      </c>
      <c r="B2425" s="1077" t="s">
        <v>7114</v>
      </c>
      <c r="C2425" s="1077">
        <v>550</v>
      </c>
      <c r="D2425" s="1077">
        <v>1.7350000000000001</v>
      </c>
      <c r="E2425" s="1077">
        <v>102.5</v>
      </c>
      <c r="F2425" s="1077" t="s">
        <v>5134</v>
      </c>
      <c r="G2425" s="1077">
        <v>5</v>
      </c>
      <c r="H2425" s="1077" t="s">
        <v>7280</v>
      </c>
      <c r="I2425" s="1077" t="s">
        <v>7001</v>
      </c>
      <c r="J2425" s="1077">
        <v>3</v>
      </c>
      <c r="K2425" s="1077" t="s">
        <v>7529</v>
      </c>
      <c r="L2425" s="1077" t="s">
        <v>4854</v>
      </c>
      <c r="M2425" s="1077">
        <v>300.7</v>
      </c>
      <c r="N2425" s="1077" t="s">
        <v>945</v>
      </c>
      <c r="O2425" s="1077">
        <v>7.5175000000000001</v>
      </c>
      <c r="P2425" s="1077">
        <v>6.0140000000000002</v>
      </c>
      <c r="Q2425" s="1077">
        <v>3</v>
      </c>
      <c r="R2425" s="1077">
        <v>28.5</v>
      </c>
      <c r="T2425" s="1077">
        <v>14.7</v>
      </c>
      <c r="U2425" s="1077">
        <v>6.1</v>
      </c>
      <c r="V2425" s="1077" t="s">
        <v>648</v>
      </c>
      <c r="W2425" s="1077">
        <v>115</v>
      </c>
      <c r="X2425" s="1077">
        <v>45</v>
      </c>
      <c r="Y2425" s="1077">
        <v>1.5</v>
      </c>
      <c r="Z2425" s="1077" t="s">
        <v>648</v>
      </c>
      <c r="AA2425" s="1077" t="s">
        <v>7527</v>
      </c>
      <c r="AH2425" s="1077" t="s">
        <v>830</v>
      </c>
      <c r="AM2425" s="1078" t="s">
        <v>13792</v>
      </c>
      <c r="AN2425" s="1078" t="s">
        <v>13793</v>
      </c>
      <c r="AO2425" s="1078">
        <f t="shared" si="302"/>
        <v>550</v>
      </c>
      <c r="AP2425" s="1078">
        <f t="shared" si="303"/>
        <v>1.7350000000000001</v>
      </c>
      <c r="AQ2425" s="1078">
        <f t="shared" si="304"/>
        <v>102.5</v>
      </c>
      <c r="AR2425" s="1078" t="str">
        <f t="shared" si="305"/>
        <v>15.6</v>
      </c>
      <c r="AS2425" s="1078" t="str">
        <f t="shared" si="306"/>
        <v>352/367/OFF</v>
      </c>
      <c r="AT2425" s="1078">
        <f t="shared" si="307"/>
        <v>102.5</v>
      </c>
      <c r="AV2425" s="1078" t="str">
        <f t="shared" si="300"/>
        <v>110.6.2</v>
      </c>
      <c r="AW2425" s="1344">
        <f t="shared" si="301"/>
        <v>44349</v>
      </c>
    </row>
    <row r="2426" spans="1:49">
      <c r="A2426" s="1077" t="s">
        <v>7530</v>
      </c>
      <c r="B2426" s="1077" t="s">
        <v>7531</v>
      </c>
      <c r="C2426" s="1077">
        <v>500</v>
      </c>
      <c r="D2426" s="1077">
        <v>1.7649999999999999</v>
      </c>
      <c r="E2426" s="1077" t="s">
        <v>15122</v>
      </c>
      <c r="F2426" s="1077" t="s">
        <v>1514</v>
      </c>
      <c r="G2426" s="1077">
        <v>5</v>
      </c>
      <c r="H2426" s="1077" t="s">
        <v>7382</v>
      </c>
      <c r="I2426" s="1077" t="s">
        <v>7446</v>
      </c>
      <c r="J2426" s="1077">
        <v>3</v>
      </c>
      <c r="K2426" s="1077" t="s">
        <v>7447</v>
      </c>
      <c r="L2426" s="1077" t="s">
        <v>7384</v>
      </c>
      <c r="M2426" s="1077">
        <v>306</v>
      </c>
      <c r="N2426" s="1077" t="s">
        <v>945</v>
      </c>
      <c r="O2426" s="1077">
        <v>7.65</v>
      </c>
      <c r="P2426" s="1077">
        <v>6.12</v>
      </c>
      <c r="Q2426" s="1077">
        <v>2.8</v>
      </c>
      <c r="R2426" s="1077">
        <v>20</v>
      </c>
      <c r="T2426" s="1077">
        <v>13.2</v>
      </c>
      <c r="U2426" s="1077">
        <v>5</v>
      </c>
      <c r="V2426" s="1077" t="s">
        <v>648</v>
      </c>
      <c r="W2426" s="1077">
        <v>115</v>
      </c>
      <c r="X2426" s="1077">
        <v>90</v>
      </c>
      <c r="Y2426" s="1077">
        <v>1.3</v>
      </c>
      <c r="Z2426" s="1077" t="s">
        <v>648</v>
      </c>
      <c r="AA2426" s="1077" t="s">
        <v>7527</v>
      </c>
      <c r="AH2426" s="1077" t="s">
        <v>1643</v>
      </c>
      <c r="AM2426" s="1078" t="s">
        <v>13794</v>
      </c>
      <c r="AN2426" s="1078" t="s">
        <v>13795</v>
      </c>
      <c r="AO2426" s="1078">
        <f t="shared" si="302"/>
        <v>500</v>
      </c>
      <c r="AP2426" s="1078">
        <f t="shared" si="303"/>
        <v>1.7649999999999999</v>
      </c>
      <c r="AQ2426" s="1078" t="str">
        <f t="shared" si="304"/>
        <v>1-5-1S91°Z+S</v>
      </c>
      <c r="AR2426" s="1078" t="str">
        <f t="shared" si="305"/>
        <v>32</v>
      </c>
      <c r="AS2426" s="1078" t="str">
        <f t="shared" si="306"/>
        <v>340/320/140</v>
      </c>
      <c r="AT2426" s="1078" t="str">
        <f t="shared" si="307"/>
        <v>1-5-1S91°Z+S</v>
      </c>
      <c r="AU2426" s="1078" t="s">
        <v>15547</v>
      </c>
      <c r="AV2426" s="1078" t="str">
        <f t="shared" si="300"/>
        <v>110.6.2</v>
      </c>
      <c r="AW2426" s="1344">
        <f t="shared" si="301"/>
        <v>44349</v>
      </c>
    </row>
    <row r="2427" spans="1:49">
      <c r="A2427" s="1077" t="s">
        <v>7532</v>
      </c>
      <c r="B2427" s="1077" t="s">
        <v>7068</v>
      </c>
      <c r="C2427" s="1077">
        <v>550</v>
      </c>
      <c r="D2427" s="1077">
        <v>1.7849999999999999</v>
      </c>
      <c r="E2427" s="1077" t="s">
        <v>15122</v>
      </c>
      <c r="F2427" s="1077" t="s">
        <v>975</v>
      </c>
      <c r="G2427" s="1077">
        <v>5</v>
      </c>
      <c r="H2427" s="1077" t="s">
        <v>6116</v>
      </c>
      <c r="I2427" s="1077" t="s">
        <v>7095</v>
      </c>
      <c r="K2427" s="1077" t="s">
        <v>7520</v>
      </c>
      <c r="L2427" s="1077" t="s">
        <v>5037</v>
      </c>
      <c r="M2427" s="1077">
        <v>293.2</v>
      </c>
      <c r="N2427" s="1077" t="s">
        <v>945</v>
      </c>
      <c r="O2427" s="1077">
        <v>7.33</v>
      </c>
      <c r="P2427" s="1077">
        <v>5.8639999999999999</v>
      </c>
      <c r="Q2427" s="1077">
        <v>3.5</v>
      </c>
      <c r="R2427" s="1077">
        <v>21</v>
      </c>
      <c r="T2427" s="1077">
        <v>25</v>
      </c>
      <c r="U2427" s="1077">
        <v>4.2</v>
      </c>
      <c r="V2427" s="1077" t="s">
        <v>648</v>
      </c>
      <c r="W2427" s="1077">
        <v>110</v>
      </c>
      <c r="X2427" s="1077">
        <v>20</v>
      </c>
      <c r="Y2427" s="1077">
        <v>1.6</v>
      </c>
      <c r="Z2427" s="1077" t="s">
        <v>648</v>
      </c>
      <c r="AA2427" s="1077" t="s">
        <v>7527</v>
      </c>
      <c r="AH2427" s="1077" t="s">
        <v>966</v>
      </c>
      <c r="AM2427" s="1078" t="s">
        <v>13796</v>
      </c>
      <c r="AN2427" s="1078" t="s">
        <v>13797</v>
      </c>
      <c r="AO2427" s="1078">
        <f t="shared" si="302"/>
        <v>550</v>
      </c>
      <c r="AP2427" s="1078">
        <f t="shared" si="303"/>
        <v>1.7849999999999999</v>
      </c>
      <c r="AQ2427" s="1078" t="str">
        <f t="shared" si="304"/>
        <v>1-5-1S91°Z+S</v>
      </c>
      <c r="AR2427" s="1078" t="str">
        <f t="shared" si="305"/>
        <v>31.5</v>
      </c>
      <c r="AS2427" s="1078" t="str">
        <f t="shared" si="306"/>
        <v>320/320/OFF</v>
      </c>
      <c r="AT2427" s="1078" t="str">
        <f t="shared" si="307"/>
        <v>1-5-1S91°Z+S</v>
      </c>
      <c r="AU2427" s="1078" t="s">
        <v>15547</v>
      </c>
      <c r="AV2427" s="1078" t="str">
        <f t="shared" si="300"/>
        <v>110.6.2</v>
      </c>
      <c r="AW2427" s="1344">
        <f t="shared" si="301"/>
        <v>44349</v>
      </c>
    </row>
    <row r="2428" spans="1:49">
      <c r="A2428" s="1077" t="s">
        <v>7533</v>
      </c>
      <c r="B2428" s="1077" t="s">
        <v>7019</v>
      </c>
      <c r="C2428" s="1077">
        <v>550</v>
      </c>
      <c r="D2428" s="1077">
        <v>1.7150000000000001</v>
      </c>
      <c r="E2428" s="1077">
        <v>102.5</v>
      </c>
      <c r="F2428" s="1077" t="s">
        <v>4070</v>
      </c>
      <c r="G2428" s="1077">
        <v>5.5</v>
      </c>
      <c r="H2428" s="1077" t="s">
        <v>7366</v>
      </c>
      <c r="I2428" s="1077" t="s">
        <v>7087</v>
      </c>
      <c r="K2428" s="1077" t="s">
        <v>7534</v>
      </c>
      <c r="L2428" s="1077" t="s">
        <v>7424</v>
      </c>
      <c r="M2428" s="1077">
        <v>295</v>
      </c>
      <c r="N2428" s="1077" t="s">
        <v>945</v>
      </c>
      <c r="O2428" s="1077">
        <v>7.375</v>
      </c>
      <c r="P2428" s="1077">
        <v>5.9</v>
      </c>
      <c r="Q2428" s="1077">
        <v>4</v>
      </c>
      <c r="R2428" s="1077">
        <v>19</v>
      </c>
      <c r="T2428" s="1077">
        <v>27.8</v>
      </c>
      <c r="U2428" s="1077">
        <v>3.9</v>
      </c>
      <c r="V2428" s="1077" t="s">
        <v>648</v>
      </c>
      <c r="W2428" s="1077">
        <v>125</v>
      </c>
      <c r="X2428" s="1077">
        <v>90</v>
      </c>
      <c r="Y2428" s="1077">
        <v>1.5</v>
      </c>
      <c r="Z2428" s="1077" t="s">
        <v>648</v>
      </c>
      <c r="AA2428" s="1077" t="s">
        <v>3478</v>
      </c>
      <c r="AH2428" s="1077" t="s">
        <v>887</v>
      </c>
      <c r="AM2428" s="1078" t="s">
        <v>13798</v>
      </c>
      <c r="AN2428" s="1078" t="s">
        <v>13799</v>
      </c>
      <c r="AO2428" s="1078">
        <f t="shared" si="302"/>
        <v>550</v>
      </c>
      <c r="AP2428" s="1078">
        <f t="shared" si="303"/>
        <v>1.7150000000000001</v>
      </c>
      <c r="AQ2428" s="1078">
        <f t="shared" si="304"/>
        <v>102.5</v>
      </c>
      <c r="AR2428" s="1078" t="str">
        <f t="shared" si="305"/>
        <v>15.5</v>
      </c>
      <c r="AS2428" s="1078" t="str">
        <f t="shared" si="306"/>
        <v>455/425/OFF</v>
      </c>
      <c r="AT2428" s="1078">
        <f t="shared" si="307"/>
        <v>102.5</v>
      </c>
      <c r="AV2428" s="1078" t="str">
        <f t="shared" si="300"/>
        <v>110.6.8</v>
      </c>
      <c r="AW2428" s="1344">
        <f t="shared" si="301"/>
        <v>44355</v>
      </c>
    </row>
    <row r="2429" spans="1:49">
      <c r="A2429" s="1077" t="s">
        <v>7535</v>
      </c>
      <c r="B2429" s="1077" t="s">
        <v>6940</v>
      </c>
      <c r="C2429" s="1077">
        <v>500</v>
      </c>
      <c r="D2429" s="1077">
        <v>1.77</v>
      </c>
      <c r="E2429" s="1077" t="s">
        <v>15122</v>
      </c>
      <c r="F2429" s="1077" t="s">
        <v>984</v>
      </c>
      <c r="G2429" s="1077">
        <v>5</v>
      </c>
      <c r="H2429" s="1077" t="s">
        <v>2009</v>
      </c>
      <c r="I2429" s="1077" t="s">
        <v>6988</v>
      </c>
      <c r="J2429" s="1077">
        <v>1</v>
      </c>
      <c r="K2429" s="1077" t="s">
        <v>7536</v>
      </c>
      <c r="L2429" s="1077" t="s">
        <v>4952</v>
      </c>
      <c r="M2429" s="1077">
        <v>308.39999999999998</v>
      </c>
      <c r="N2429" s="1077" t="s">
        <v>945</v>
      </c>
      <c r="O2429" s="1077">
        <v>7.71</v>
      </c>
      <c r="P2429" s="1077">
        <v>6.1679999999999993</v>
      </c>
      <c r="Q2429" s="1077">
        <v>2.8</v>
      </c>
      <c r="R2429" s="1077">
        <v>29.5</v>
      </c>
      <c r="T2429" s="1077">
        <v>14.5</v>
      </c>
      <c r="U2429" s="1077">
        <v>5</v>
      </c>
      <c r="V2429" s="1077" t="s">
        <v>648</v>
      </c>
      <c r="W2429" s="1077" t="s">
        <v>6990</v>
      </c>
      <c r="X2429" s="1077">
        <v>10</v>
      </c>
      <c r="Y2429" s="1077">
        <v>1.7</v>
      </c>
      <c r="Z2429" s="1077" t="s">
        <v>648</v>
      </c>
      <c r="AA2429" s="1077" t="s">
        <v>3478</v>
      </c>
      <c r="AH2429" s="1077" t="s">
        <v>621</v>
      </c>
      <c r="AM2429" s="1078" t="s">
        <v>13800</v>
      </c>
      <c r="AN2429" s="1078" t="s">
        <v>13801</v>
      </c>
      <c r="AO2429" s="1078">
        <f t="shared" si="302"/>
        <v>500</v>
      </c>
      <c r="AP2429" s="1078">
        <f t="shared" si="303"/>
        <v>1.77</v>
      </c>
      <c r="AQ2429" s="1078" t="str">
        <f t="shared" si="304"/>
        <v>1-5-1S91°Z+S</v>
      </c>
      <c r="AR2429" s="1078" t="str">
        <f t="shared" si="305"/>
        <v>30</v>
      </c>
      <c r="AS2429" s="1078" t="str">
        <f t="shared" si="306"/>
        <v>265/265/OFF</v>
      </c>
      <c r="AT2429" s="1078" t="str">
        <f t="shared" si="307"/>
        <v>1-5-1S91°Z+S</v>
      </c>
      <c r="AU2429" s="1078" t="s">
        <v>15547</v>
      </c>
      <c r="AV2429" s="1078" t="str">
        <f t="shared" si="300"/>
        <v>110.6.8</v>
      </c>
      <c r="AW2429" s="1344">
        <f t="shared" si="301"/>
        <v>44355</v>
      </c>
    </row>
    <row r="2430" spans="1:49">
      <c r="A2430" s="1077" t="s">
        <v>7537</v>
      </c>
      <c r="B2430" s="1077" t="s">
        <v>836</v>
      </c>
      <c r="C2430" s="1077">
        <v>600</v>
      </c>
      <c r="D2430" s="1077">
        <v>1.8</v>
      </c>
      <c r="E2430" s="1077" t="s">
        <v>15116</v>
      </c>
      <c r="F2430" s="1077" t="s">
        <v>6901</v>
      </c>
      <c r="G2430" s="1077" t="s">
        <v>7538</v>
      </c>
      <c r="H2430" s="1077" t="s">
        <v>6902</v>
      </c>
      <c r="I2430" s="1077" t="s">
        <v>7001</v>
      </c>
      <c r="K2430" s="1077" t="s">
        <v>7441</v>
      </c>
      <c r="L2430" s="1077" t="s">
        <v>6905</v>
      </c>
      <c r="M2430" s="1077">
        <v>303.89999999999998</v>
      </c>
      <c r="N2430" s="1077" t="s">
        <v>945</v>
      </c>
      <c r="O2430" s="1077">
        <v>7.5975000000000001</v>
      </c>
      <c r="P2430" s="1077">
        <v>6.0779999999999994</v>
      </c>
      <c r="Q2430" s="1077">
        <v>3.5</v>
      </c>
      <c r="R2430" s="1077">
        <v>24.5</v>
      </c>
      <c r="T2430" s="1077">
        <v>12.7</v>
      </c>
      <c r="U2430" s="1077">
        <v>2.6</v>
      </c>
      <c r="V2430" s="1077" t="s">
        <v>648</v>
      </c>
      <c r="W2430" s="1077" t="s">
        <v>2532</v>
      </c>
      <c r="X2430" s="1077">
        <v>10</v>
      </c>
      <c r="Y2430" s="1077">
        <v>1.5</v>
      </c>
      <c r="Z2430" s="1077" t="s">
        <v>648</v>
      </c>
      <c r="AA2430" s="1077" t="s">
        <v>7539</v>
      </c>
      <c r="AH2430" s="1077" t="s">
        <v>830</v>
      </c>
      <c r="AM2430" s="1078" t="s">
        <v>13802</v>
      </c>
      <c r="AN2430" s="1078" t="s">
        <v>13803</v>
      </c>
      <c r="AO2430" s="1078">
        <f t="shared" si="302"/>
        <v>600</v>
      </c>
      <c r="AP2430" s="1078">
        <f t="shared" si="303"/>
        <v>1.8</v>
      </c>
      <c r="AQ2430" s="1078" t="str">
        <f t="shared" si="304"/>
        <v>1-5-1S83°Z+S</v>
      </c>
      <c r="AR2430" s="1078" t="str">
        <f t="shared" si="305"/>
        <v>33.6</v>
      </c>
      <c r="AS2430" s="1078" t="str">
        <f t="shared" si="306"/>
        <v>310/310/190</v>
      </c>
      <c r="AT2430" s="1078" t="str">
        <f t="shared" si="307"/>
        <v>1-5-1S83°Z+S</v>
      </c>
      <c r="AU2430" s="1078" t="s">
        <v>15547</v>
      </c>
      <c r="AV2430" s="1078" t="str">
        <f t="shared" si="300"/>
        <v>110.6.10</v>
      </c>
      <c r="AW2430" s="1344">
        <f t="shared" si="301"/>
        <v>44357</v>
      </c>
    </row>
    <row r="2431" spans="1:49">
      <c r="A2431" s="1077" t="s">
        <v>7540</v>
      </c>
      <c r="B2431" s="1077" t="s">
        <v>7080</v>
      </c>
      <c r="C2431" s="1077">
        <v>600</v>
      </c>
      <c r="D2431" s="1077">
        <v>1.8149999999999999</v>
      </c>
      <c r="E2431" s="1077" t="s">
        <v>15116</v>
      </c>
      <c r="F2431" s="1077" t="s">
        <v>2234</v>
      </c>
      <c r="G2431" s="1077">
        <v>3.5</v>
      </c>
      <c r="H2431" s="1077" t="s">
        <v>6952</v>
      </c>
      <c r="I2431" s="1077" t="s">
        <v>6953</v>
      </c>
      <c r="K2431" s="1077" t="s">
        <v>7081</v>
      </c>
      <c r="L2431" s="1077" t="s">
        <v>7082</v>
      </c>
      <c r="M2431" s="1077">
        <v>303</v>
      </c>
      <c r="N2431" s="1077" t="s">
        <v>945</v>
      </c>
      <c r="O2431" s="1077">
        <v>7.5750000000000002</v>
      </c>
      <c r="P2431" s="1077">
        <v>6.0600000000000005</v>
      </c>
      <c r="Q2431" s="1077">
        <v>3.5</v>
      </c>
      <c r="R2431" s="1077">
        <v>22</v>
      </c>
      <c r="T2431" s="1077">
        <v>23</v>
      </c>
      <c r="U2431" s="1077">
        <v>3.2</v>
      </c>
      <c r="V2431" s="1077" t="s">
        <v>648</v>
      </c>
      <c r="W2431" s="1077">
        <v>115</v>
      </c>
      <c r="X2431" s="1077">
        <v>85</v>
      </c>
      <c r="Y2431" s="1077">
        <v>1.2</v>
      </c>
      <c r="Z2431" s="1077" t="s">
        <v>648</v>
      </c>
      <c r="AA2431" s="1077" t="s">
        <v>3333</v>
      </c>
      <c r="AH2431" s="1077" t="s">
        <v>468</v>
      </c>
      <c r="AM2431" s="1078" t="s">
        <v>13804</v>
      </c>
      <c r="AN2431" s="1078" t="s">
        <v>13805</v>
      </c>
      <c r="AO2431" s="1078">
        <f t="shared" si="302"/>
        <v>600</v>
      </c>
      <c r="AP2431" s="1078">
        <f t="shared" si="303"/>
        <v>1.8149999999999999</v>
      </c>
      <c r="AQ2431" s="1078" t="str">
        <f t="shared" si="304"/>
        <v>1-5-1S83°Z+S</v>
      </c>
      <c r="AR2431" s="1078" t="str">
        <f t="shared" si="305"/>
        <v>33.5</v>
      </c>
      <c r="AS2431" s="1078" t="str">
        <f t="shared" si="306"/>
        <v>340/340/140</v>
      </c>
      <c r="AT2431" s="1078" t="str">
        <f t="shared" si="307"/>
        <v>1-5-1S83°Z+S</v>
      </c>
      <c r="AU2431" s="1078" t="s">
        <v>15547</v>
      </c>
      <c r="AV2431" s="1078" t="str">
        <f t="shared" si="300"/>
        <v>109.6.11</v>
      </c>
      <c r="AW2431" s="1344">
        <f t="shared" si="301"/>
        <v>43993</v>
      </c>
    </row>
    <row r="2432" spans="1:49">
      <c r="A2432" s="1077" t="s">
        <v>7541</v>
      </c>
      <c r="B2432" s="1077" t="s">
        <v>836</v>
      </c>
      <c r="C2432" s="1077">
        <v>600</v>
      </c>
      <c r="D2432" s="1077">
        <v>1.8</v>
      </c>
      <c r="E2432" s="1077" t="s">
        <v>15116</v>
      </c>
      <c r="F2432" s="1077" t="s">
        <v>6901</v>
      </c>
      <c r="G2432" s="1077">
        <v>4</v>
      </c>
      <c r="H2432" s="1077" t="s">
        <v>6902</v>
      </c>
      <c r="I2432" s="1077" t="s">
        <v>7001</v>
      </c>
      <c r="K2432" s="1077" t="s">
        <v>7294</v>
      </c>
      <c r="L2432" s="1077" t="s">
        <v>6905</v>
      </c>
      <c r="M2432" s="1077">
        <v>303.89999999999998</v>
      </c>
      <c r="N2432" s="1077" t="s">
        <v>945</v>
      </c>
      <c r="O2432" s="1077">
        <v>7.5975000000000001</v>
      </c>
      <c r="P2432" s="1077">
        <v>6.0779999999999994</v>
      </c>
      <c r="Q2432" s="1077">
        <v>3.5</v>
      </c>
      <c r="R2432" s="1077">
        <v>24.5</v>
      </c>
      <c r="T2432" s="1077">
        <v>12.7</v>
      </c>
      <c r="U2432" s="1077">
        <v>2.6</v>
      </c>
      <c r="V2432" s="1077" t="s">
        <v>648</v>
      </c>
      <c r="W2432" s="1077" t="s">
        <v>2532</v>
      </c>
      <c r="X2432" s="1077">
        <v>10</v>
      </c>
      <c r="Y2432" s="1077">
        <v>1.5</v>
      </c>
      <c r="Z2432" s="1077" t="s">
        <v>648</v>
      </c>
      <c r="AA2432" s="1077" t="s">
        <v>3533</v>
      </c>
      <c r="AH2432" s="1077" t="s">
        <v>722</v>
      </c>
      <c r="AM2432" s="1078" t="s">
        <v>13806</v>
      </c>
      <c r="AN2432" s="1078" t="s">
        <v>13807</v>
      </c>
      <c r="AO2432" s="1078">
        <f t="shared" si="302"/>
        <v>600</v>
      </c>
      <c r="AP2432" s="1078">
        <f t="shared" si="303"/>
        <v>1.8</v>
      </c>
      <c r="AQ2432" s="1078" t="str">
        <f t="shared" si="304"/>
        <v>1-5-1S83°Z+S</v>
      </c>
      <c r="AR2432" s="1078" t="str">
        <f t="shared" si="305"/>
        <v>33.6</v>
      </c>
      <c r="AS2432" s="1078" t="str">
        <f t="shared" si="306"/>
        <v>310/310/190</v>
      </c>
      <c r="AT2432" s="1078" t="str">
        <f t="shared" si="307"/>
        <v>1-5-1S83°Z+S</v>
      </c>
      <c r="AU2432" s="1078" t="s">
        <v>15547</v>
      </c>
      <c r="AV2432" s="1078" t="str">
        <f t="shared" si="300"/>
        <v>110.6.11</v>
      </c>
      <c r="AW2432" s="1344">
        <f t="shared" si="301"/>
        <v>44358</v>
      </c>
    </row>
    <row r="2433" spans="1:49">
      <c r="A2433" s="1077" t="s">
        <v>7542</v>
      </c>
      <c r="B2433" s="1077" t="s">
        <v>7026</v>
      </c>
      <c r="C2433" s="1077">
        <v>600</v>
      </c>
      <c r="D2433" s="1077">
        <v>1.736</v>
      </c>
      <c r="E2433" s="1077" t="s">
        <v>15124</v>
      </c>
      <c r="F2433" s="1077" t="s">
        <v>4455</v>
      </c>
      <c r="G2433" s="1077">
        <v>5</v>
      </c>
      <c r="H2433" s="1077" t="s">
        <v>2924</v>
      </c>
      <c r="I2433" s="1077" t="s">
        <v>7028</v>
      </c>
      <c r="J2433" s="1077">
        <v>3.7</v>
      </c>
      <c r="K2433" s="1077" t="s">
        <v>7543</v>
      </c>
      <c r="L2433" s="1077" t="s">
        <v>4979</v>
      </c>
      <c r="M2433" s="1077">
        <v>302</v>
      </c>
      <c r="N2433" s="1077" t="s">
        <v>945</v>
      </c>
      <c r="O2433" s="1077">
        <v>7.5500000000000007</v>
      </c>
      <c r="P2433" s="1077">
        <v>6.04</v>
      </c>
      <c r="Q2433" s="1077" t="s">
        <v>1264</v>
      </c>
      <c r="R2433" s="1077">
        <v>20.9</v>
      </c>
      <c r="T2433" s="1077">
        <v>25.8</v>
      </c>
      <c r="U2433" s="1077">
        <v>3</v>
      </c>
      <c r="V2433" s="1077" t="s">
        <v>648</v>
      </c>
      <c r="W2433" s="1077">
        <v>120</v>
      </c>
      <c r="X2433" s="1077">
        <v>25</v>
      </c>
      <c r="Y2433" s="1077">
        <v>1.3</v>
      </c>
      <c r="Z2433" s="1077" t="s">
        <v>648</v>
      </c>
      <c r="AA2433" s="1077" t="s">
        <v>4855</v>
      </c>
      <c r="AH2433" s="1077" t="s">
        <v>647</v>
      </c>
      <c r="AM2433" s="1078" t="s">
        <v>13808</v>
      </c>
      <c r="AN2433" s="1078" t="s">
        <v>13809</v>
      </c>
      <c r="AO2433" s="1078">
        <f t="shared" si="302"/>
        <v>600</v>
      </c>
      <c r="AP2433" s="1078">
        <f t="shared" si="303"/>
        <v>1.736</v>
      </c>
      <c r="AQ2433" s="1078" t="str">
        <f t="shared" si="304"/>
        <v>2-6-1S83°Z+S</v>
      </c>
      <c r="AR2433" s="1078" t="str">
        <f t="shared" si="305"/>
        <v>30.4</v>
      </c>
      <c r="AS2433" s="1078" t="str">
        <f t="shared" si="306"/>
        <v>192/193</v>
      </c>
      <c r="AT2433" s="1078" t="str">
        <f t="shared" si="307"/>
        <v>2-6-1S83°Z+S</v>
      </c>
      <c r="AU2433" s="1078" t="s">
        <v>15547</v>
      </c>
      <c r="AV2433" s="1078" t="str">
        <f t="shared" si="300"/>
        <v>108.1.3</v>
      </c>
      <c r="AW2433" s="1344">
        <f t="shared" si="301"/>
        <v>43468</v>
      </c>
    </row>
    <row r="2434" spans="1:49">
      <c r="A2434" s="1077" t="s">
        <v>7544</v>
      </c>
      <c r="B2434" s="1077" t="s">
        <v>7042</v>
      </c>
      <c r="C2434" s="1077">
        <v>650</v>
      </c>
      <c r="D2434" s="1077">
        <v>1.744</v>
      </c>
      <c r="E2434" s="1077" t="s">
        <v>15109</v>
      </c>
      <c r="F2434" s="1077" t="s">
        <v>648</v>
      </c>
      <c r="G2434" s="1077">
        <v>5</v>
      </c>
      <c r="H2434" s="1077" t="s">
        <v>7545</v>
      </c>
      <c r="I2434" s="1077" t="s">
        <v>6929</v>
      </c>
      <c r="J2434" s="1077">
        <v>1</v>
      </c>
      <c r="K2434" s="1077" t="s">
        <v>7546</v>
      </c>
      <c r="L2434" s="1077" t="s">
        <v>4888</v>
      </c>
      <c r="M2434" s="1077">
        <v>299.60000000000002</v>
      </c>
      <c r="N2434" s="1077" t="s">
        <v>945</v>
      </c>
      <c r="O2434" s="1077">
        <v>7.4900000000000011</v>
      </c>
      <c r="P2434" s="1077">
        <v>5.9920000000000009</v>
      </c>
      <c r="Q2434" s="1077" t="s">
        <v>961</v>
      </c>
      <c r="R2434" s="1077">
        <v>21.9</v>
      </c>
      <c r="T2434" s="1077">
        <v>19.899999999999999</v>
      </c>
      <c r="U2434" s="1077">
        <v>3.6</v>
      </c>
      <c r="V2434" s="1077" t="s">
        <v>648</v>
      </c>
      <c r="W2434" s="1077">
        <v>125</v>
      </c>
      <c r="X2434" s="1077">
        <v>90</v>
      </c>
      <c r="Y2434" s="1077">
        <v>1.1000000000000001</v>
      </c>
      <c r="Z2434" s="1077" t="s">
        <v>648</v>
      </c>
      <c r="AA2434" s="1077" t="s">
        <v>1006</v>
      </c>
      <c r="AH2434" s="1077" t="s">
        <v>803</v>
      </c>
      <c r="AM2434" s="1078" t="s">
        <v>13810</v>
      </c>
      <c r="AN2434" s="1078" t="s">
        <v>13811</v>
      </c>
      <c r="AO2434" s="1078">
        <f t="shared" si="302"/>
        <v>650</v>
      </c>
      <c r="AP2434" s="1078">
        <f t="shared" si="303"/>
        <v>1.744</v>
      </c>
      <c r="AQ2434" s="1078" t="str">
        <f t="shared" si="304"/>
        <v>1-5-1S85°Z+S</v>
      </c>
      <c r="AR2434" s="1078" t="str">
        <f t="shared" si="305"/>
        <v>NA</v>
      </c>
      <c r="AS2434" s="1078" t="str">
        <f t="shared" si="306"/>
        <v>180/160</v>
      </c>
      <c r="AT2434" s="1078" t="str">
        <f t="shared" si="307"/>
        <v>1-5-1S85°Z+S</v>
      </c>
      <c r="AU2434" s="1078" t="s">
        <v>15547</v>
      </c>
      <c r="AV2434" s="1078" t="str">
        <f t="shared" ref="AV2434:AV2497" si="308">AA2434</f>
        <v>108.1.31</v>
      </c>
      <c r="AW2434" s="1344">
        <f t="shared" si="301"/>
        <v>43496</v>
      </c>
    </row>
    <row r="2435" spans="1:49">
      <c r="A2435" s="1077" t="s">
        <v>7547</v>
      </c>
      <c r="B2435" s="1077" t="s">
        <v>6951</v>
      </c>
      <c r="C2435" s="1077">
        <v>600</v>
      </c>
      <c r="D2435" s="1077">
        <v>1.8</v>
      </c>
      <c r="E2435" s="1077" t="s">
        <v>15116</v>
      </c>
      <c r="F2435" s="1077" t="s">
        <v>2234</v>
      </c>
      <c r="G2435" s="1077">
        <v>3.5</v>
      </c>
      <c r="H2435" s="1077" t="s">
        <v>6952</v>
      </c>
      <c r="I2435" s="1077" t="s">
        <v>6953</v>
      </c>
      <c r="K2435" s="1077" t="s">
        <v>7187</v>
      </c>
      <c r="L2435" s="1077" t="s">
        <v>6955</v>
      </c>
      <c r="M2435" s="1077">
        <v>303</v>
      </c>
      <c r="N2435" s="1077" t="s">
        <v>945</v>
      </c>
      <c r="O2435" s="1077">
        <v>7.5750000000000002</v>
      </c>
      <c r="P2435" s="1077">
        <v>6.0600000000000005</v>
      </c>
      <c r="Q2435" s="1077" t="s">
        <v>1264</v>
      </c>
      <c r="R2435" s="1077">
        <v>24</v>
      </c>
      <c r="T2435" s="1077">
        <v>23</v>
      </c>
      <c r="U2435" s="1077">
        <v>3.2</v>
      </c>
      <c r="V2435" s="1077" t="s">
        <v>648</v>
      </c>
      <c r="W2435" s="1077">
        <v>115</v>
      </c>
      <c r="X2435" s="1077">
        <v>85</v>
      </c>
      <c r="Y2435" s="1077">
        <v>1.2</v>
      </c>
      <c r="Z2435" s="1077" t="s">
        <v>648</v>
      </c>
      <c r="AA2435" s="1077" t="s">
        <v>4574</v>
      </c>
      <c r="AH2435" s="1077" t="s">
        <v>1137</v>
      </c>
      <c r="AM2435" s="1078" t="s">
        <v>13812</v>
      </c>
      <c r="AN2435" s="1078" t="s">
        <v>13813</v>
      </c>
      <c r="AO2435" s="1078">
        <f t="shared" si="302"/>
        <v>600</v>
      </c>
      <c r="AP2435" s="1078">
        <f t="shared" si="303"/>
        <v>1.8</v>
      </c>
      <c r="AQ2435" s="1078" t="str">
        <f t="shared" si="304"/>
        <v>1-5-1S83°Z+S</v>
      </c>
      <c r="AR2435" s="1078" t="str">
        <f t="shared" si="305"/>
        <v>33.5</v>
      </c>
      <c r="AS2435" s="1078" t="str">
        <f t="shared" si="306"/>
        <v>340/340/140</v>
      </c>
      <c r="AT2435" s="1078" t="str">
        <f t="shared" si="307"/>
        <v>1-5-1S83°Z+S</v>
      </c>
      <c r="AU2435" s="1078" t="s">
        <v>15547</v>
      </c>
      <c r="AV2435" s="1078" t="str">
        <f t="shared" si="308"/>
        <v>108.1.15</v>
      </c>
      <c r="AW2435" s="1344">
        <f t="shared" ref="AW2435:AW2498" si="309">DATE(VALUE(LEFT(AV2435,FIND(".",AV2435)-1))+1911,
       VALUE(MID(AV2435,FIND(".",AV2435)+1,FIND(".",AV2435,FIND(".",AV2435)+1)-FIND(".",AV2435)-1)),
       VALUE(RIGHT(AV2435,LEN(AV2435)-FIND("~",SUBSTITUTE(AV2435,".","~",2)))))</f>
        <v>43480</v>
      </c>
    </row>
    <row r="2436" spans="1:49">
      <c r="A2436" s="1077" t="s">
        <v>7548</v>
      </c>
      <c r="B2436" s="1077" t="s">
        <v>7014</v>
      </c>
      <c r="C2436" s="1077">
        <v>600</v>
      </c>
      <c r="D2436" s="1077">
        <v>1.74</v>
      </c>
      <c r="E2436" s="1077" t="s">
        <v>15116</v>
      </c>
      <c r="F2436" s="1077" t="s">
        <v>2234</v>
      </c>
      <c r="G2436" s="1077">
        <v>5</v>
      </c>
      <c r="H2436" s="1077" t="s">
        <v>6952</v>
      </c>
      <c r="I2436" s="1077" t="s">
        <v>7001</v>
      </c>
      <c r="K2436" s="1077" t="s">
        <v>7549</v>
      </c>
      <c r="L2436" s="1077" t="s">
        <v>7017</v>
      </c>
      <c r="M2436" s="1077">
        <v>301</v>
      </c>
      <c r="N2436" s="1077" t="s">
        <v>945</v>
      </c>
      <c r="O2436" s="1077">
        <v>7.5250000000000004</v>
      </c>
      <c r="P2436" s="1077">
        <v>6.0200000000000005</v>
      </c>
      <c r="Q2436" s="1077" t="s">
        <v>1264</v>
      </c>
      <c r="R2436" s="1077">
        <v>20</v>
      </c>
      <c r="T2436" s="1077">
        <v>13.5</v>
      </c>
      <c r="U2436" s="1077">
        <v>3.2</v>
      </c>
      <c r="V2436" s="1077" t="s">
        <v>648</v>
      </c>
      <c r="W2436" s="1077">
        <v>100</v>
      </c>
      <c r="X2436" s="1077">
        <v>85</v>
      </c>
      <c r="Y2436" s="1077">
        <v>1.2</v>
      </c>
      <c r="Z2436" s="1077" t="s">
        <v>648</v>
      </c>
      <c r="AA2436" s="1077" t="s">
        <v>2533</v>
      </c>
      <c r="AH2436" s="1077" t="s">
        <v>684</v>
      </c>
      <c r="AM2436" s="1078" t="s">
        <v>13814</v>
      </c>
      <c r="AN2436" s="1078" t="s">
        <v>13815</v>
      </c>
      <c r="AO2436" s="1078">
        <f t="shared" si="302"/>
        <v>600</v>
      </c>
      <c r="AP2436" s="1078">
        <f t="shared" si="303"/>
        <v>1.74</v>
      </c>
      <c r="AQ2436" s="1078" t="str">
        <f t="shared" si="304"/>
        <v>1-5-1S83°Z+S</v>
      </c>
      <c r="AR2436" s="1078" t="str">
        <f t="shared" si="305"/>
        <v>33.5</v>
      </c>
      <c r="AS2436" s="1078" t="str">
        <f t="shared" si="306"/>
        <v>340/340/140</v>
      </c>
      <c r="AT2436" s="1078" t="str">
        <f t="shared" si="307"/>
        <v>1-5-1S83°Z+S</v>
      </c>
      <c r="AU2436" s="1078" t="s">
        <v>15547</v>
      </c>
      <c r="AV2436" s="1078" t="str">
        <f t="shared" si="308"/>
        <v>108.1.18</v>
      </c>
      <c r="AW2436" s="1344">
        <f t="shared" si="309"/>
        <v>43483</v>
      </c>
    </row>
    <row r="2437" spans="1:49">
      <c r="A2437" s="1077" t="s">
        <v>7550</v>
      </c>
      <c r="B2437" s="1077" t="s">
        <v>663</v>
      </c>
      <c r="C2437" s="1077">
        <v>700</v>
      </c>
      <c r="D2437" s="1077">
        <v>1.74</v>
      </c>
      <c r="E2437" s="1077" t="s">
        <v>15109</v>
      </c>
      <c r="F2437" s="1077" t="s">
        <v>648</v>
      </c>
      <c r="G2437" s="1077">
        <v>5.5</v>
      </c>
      <c r="H2437" s="1077" t="s">
        <v>3482</v>
      </c>
      <c r="I2437" s="1077" t="s">
        <v>7028</v>
      </c>
      <c r="K2437" s="1077" t="s">
        <v>7551</v>
      </c>
      <c r="L2437" s="1077" t="s">
        <v>4907</v>
      </c>
      <c r="M2437" s="1077">
        <v>294</v>
      </c>
      <c r="N2437" s="1077" t="s">
        <v>945</v>
      </c>
      <c r="O2437" s="1077">
        <v>7.3500000000000005</v>
      </c>
      <c r="P2437" s="1077">
        <v>5.88</v>
      </c>
      <c r="Q2437" s="1077" t="s">
        <v>2401</v>
      </c>
      <c r="R2437" s="1077">
        <v>19</v>
      </c>
      <c r="T2437" s="1077">
        <v>16.399999999999999</v>
      </c>
      <c r="U2437" s="1077">
        <v>5.4</v>
      </c>
      <c r="V2437" s="1077" t="s">
        <v>648</v>
      </c>
      <c r="W2437" s="1077" t="s">
        <v>4667</v>
      </c>
      <c r="X2437" s="1077">
        <v>20</v>
      </c>
      <c r="Y2437" s="1077">
        <v>1.4</v>
      </c>
      <c r="Z2437" s="1077" t="s">
        <v>648</v>
      </c>
      <c r="AA2437" s="1077" t="s">
        <v>4892</v>
      </c>
      <c r="AH2437" s="1077" t="s">
        <v>782</v>
      </c>
      <c r="AM2437" s="1078" t="s">
        <v>13816</v>
      </c>
      <c r="AN2437" s="1078" t="s">
        <v>13817</v>
      </c>
      <c r="AO2437" s="1078">
        <f t="shared" si="302"/>
        <v>700</v>
      </c>
      <c r="AP2437" s="1078">
        <f t="shared" si="303"/>
        <v>1.74</v>
      </c>
      <c r="AQ2437" s="1078" t="str">
        <f t="shared" si="304"/>
        <v>1-5-1S85°Z+S</v>
      </c>
      <c r="AR2437" s="1078" t="str">
        <f t="shared" si="305"/>
        <v>NA</v>
      </c>
      <c r="AS2437" s="1078" t="str">
        <f t="shared" si="306"/>
        <v>170/160</v>
      </c>
      <c r="AT2437" s="1078" t="str">
        <f t="shared" si="307"/>
        <v>1-5-1S85°Z+S</v>
      </c>
      <c r="AU2437" s="1078" t="s">
        <v>15547</v>
      </c>
      <c r="AV2437" s="1078" t="str">
        <f t="shared" si="308"/>
        <v>108.1.24</v>
      </c>
      <c r="AW2437" s="1344">
        <f t="shared" si="309"/>
        <v>43489</v>
      </c>
    </row>
    <row r="2438" spans="1:49">
      <c r="A2438" s="1077" t="s">
        <v>7552</v>
      </c>
      <c r="B2438" s="1077" t="s">
        <v>7019</v>
      </c>
      <c r="C2438" s="1077">
        <v>550</v>
      </c>
      <c r="D2438" s="1077">
        <v>1.724</v>
      </c>
      <c r="E2438" s="1077">
        <v>102.5</v>
      </c>
      <c r="F2438" s="1077" t="s">
        <v>4070</v>
      </c>
      <c r="G2438" s="1077">
        <v>5.5</v>
      </c>
      <c r="H2438" s="1077" t="s">
        <v>7553</v>
      </c>
      <c r="I2438" s="1077" t="s">
        <v>7021</v>
      </c>
      <c r="K2438" s="1077" t="s">
        <v>7367</v>
      </c>
      <c r="L2438" s="1077" t="s">
        <v>7023</v>
      </c>
      <c r="M2438" s="1077">
        <v>295</v>
      </c>
      <c r="N2438" s="1077" t="s">
        <v>945</v>
      </c>
      <c r="O2438" s="1077">
        <v>7.375</v>
      </c>
      <c r="P2438" s="1077">
        <v>5.9</v>
      </c>
      <c r="Q2438" s="1077" t="s">
        <v>2593</v>
      </c>
      <c r="R2438" s="1077">
        <v>19</v>
      </c>
      <c r="T2438" s="1077">
        <v>27.8</v>
      </c>
      <c r="U2438" s="1077">
        <v>3.9</v>
      </c>
      <c r="V2438" s="1077" t="s">
        <v>648</v>
      </c>
      <c r="W2438" s="1077">
        <v>125</v>
      </c>
      <c r="X2438" s="1077">
        <v>90</v>
      </c>
      <c r="Y2438" s="1077">
        <v>1.5</v>
      </c>
      <c r="Z2438" s="1077" t="s">
        <v>648</v>
      </c>
      <c r="AA2438" s="1077" t="s">
        <v>4892</v>
      </c>
      <c r="AH2438" s="1077" t="s">
        <v>869</v>
      </c>
      <c r="AM2438" s="1078" t="s">
        <v>13818</v>
      </c>
      <c r="AN2438" s="1078" t="s">
        <v>13819</v>
      </c>
      <c r="AO2438" s="1078">
        <f t="shared" si="302"/>
        <v>550</v>
      </c>
      <c r="AP2438" s="1078">
        <f t="shared" si="303"/>
        <v>1.724</v>
      </c>
      <c r="AQ2438" s="1078">
        <f t="shared" si="304"/>
        <v>102.5</v>
      </c>
      <c r="AR2438" s="1078" t="str">
        <f t="shared" si="305"/>
        <v>15.5</v>
      </c>
      <c r="AS2438" s="1078" t="str">
        <f t="shared" si="306"/>
        <v>450/420/OFF</v>
      </c>
      <c r="AT2438" s="1078">
        <f t="shared" si="307"/>
        <v>102.5</v>
      </c>
      <c r="AV2438" s="1078" t="str">
        <f t="shared" si="308"/>
        <v>108.1.24</v>
      </c>
      <c r="AW2438" s="1344">
        <f t="shared" si="309"/>
        <v>43489</v>
      </c>
    </row>
    <row r="2439" spans="1:49">
      <c r="A2439" s="1077" t="s">
        <v>7554</v>
      </c>
      <c r="B2439" s="1077" t="s">
        <v>7149</v>
      </c>
      <c r="C2439" s="1077">
        <v>600</v>
      </c>
      <c r="D2439" s="1077">
        <v>1.7849999999999999</v>
      </c>
      <c r="E2439" s="1077" t="s">
        <v>15116</v>
      </c>
      <c r="F2439" s="1077" t="s">
        <v>2234</v>
      </c>
      <c r="G2439" s="1077">
        <v>5</v>
      </c>
      <c r="H2439" s="1077" t="s">
        <v>6952</v>
      </c>
      <c r="I2439" s="1077" t="s">
        <v>6953</v>
      </c>
      <c r="K2439" s="1077" t="s">
        <v>7555</v>
      </c>
      <c r="L2439" s="1077" t="s">
        <v>7152</v>
      </c>
      <c r="M2439" s="1077">
        <v>310</v>
      </c>
      <c r="N2439" s="1077" t="s">
        <v>945</v>
      </c>
      <c r="O2439" s="1077">
        <v>7.75</v>
      </c>
      <c r="P2439" s="1077">
        <v>6.2</v>
      </c>
      <c r="Q2439" s="1077" t="s">
        <v>1264</v>
      </c>
      <c r="R2439" s="1077">
        <v>21</v>
      </c>
      <c r="T2439" s="1077">
        <v>24</v>
      </c>
      <c r="U2439" s="1077">
        <v>3.4</v>
      </c>
      <c r="V2439" s="1077" t="s">
        <v>648</v>
      </c>
      <c r="W2439" s="1077">
        <v>115</v>
      </c>
      <c r="X2439" s="1077">
        <v>85</v>
      </c>
      <c r="Y2439" s="1077">
        <v>1.2</v>
      </c>
      <c r="Z2439" s="1077" t="s">
        <v>648</v>
      </c>
      <c r="AA2439" s="1077" t="s">
        <v>7556</v>
      </c>
      <c r="AH2439" s="1077" t="s">
        <v>3213</v>
      </c>
      <c r="AM2439" s="1078" t="s">
        <v>13820</v>
      </c>
      <c r="AN2439" s="1078" t="s">
        <v>13821</v>
      </c>
      <c r="AO2439" s="1078">
        <f t="shared" si="302"/>
        <v>600</v>
      </c>
      <c r="AP2439" s="1078">
        <f t="shared" si="303"/>
        <v>1.7849999999999999</v>
      </c>
      <c r="AQ2439" s="1078" t="str">
        <f t="shared" si="304"/>
        <v>1-5-1S83°Z+S</v>
      </c>
      <c r="AR2439" s="1078" t="str">
        <f t="shared" si="305"/>
        <v>33.5</v>
      </c>
      <c r="AS2439" s="1078" t="str">
        <f t="shared" si="306"/>
        <v>340/340/140</v>
      </c>
      <c r="AT2439" s="1078" t="str">
        <f t="shared" si="307"/>
        <v>1-5-1S83°Z+S</v>
      </c>
      <c r="AU2439" s="1078" t="s">
        <v>15547</v>
      </c>
      <c r="AV2439" s="1078" t="str">
        <f t="shared" si="308"/>
        <v>108.1.25</v>
      </c>
      <c r="AW2439" s="1344">
        <f t="shared" si="309"/>
        <v>43490</v>
      </c>
    </row>
    <row r="2440" spans="1:49">
      <c r="A2440" s="1077" t="s">
        <v>7557</v>
      </c>
      <c r="B2440" s="1077" t="s">
        <v>6999</v>
      </c>
      <c r="C2440" s="1077">
        <v>600</v>
      </c>
      <c r="D2440" s="1077">
        <v>1.7</v>
      </c>
      <c r="E2440" s="1077" t="s">
        <v>15112</v>
      </c>
      <c r="F2440" s="1077" t="s">
        <v>984</v>
      </c>
      <c r="G2440" s="1077">
        <v>3.5</v>
      </c>
      <c r="H2440" s="1077" t="s">
        <v>4922</v>
      </c>
      <c r="I2440" s="1077" t="s">
        <v>7001</v>
      </c>
      <c r="K2440" s="1077" t="s">
        <v>7558</v>
      </c>
      <c r="L2440" s="1077" t="s">
        <v>7003</v>
      </c>
      <c r="M2440" s="1077">
        <v>306.3</v>
      </c>
      <c r="N2440" s="1077" t="s">
        <v>945</v>
      </c>
      <c r="O2440" s="1077">
        <v>7.6575000000000006</v>
      </c>
      <c r="P2440" s="1077">
        <v>6.1260000000000003</v>
      </c>
      <c r="Q2440" s="1077" t="s">
        <v>1059</v>
      </c>
      <c r="R2440" s="1077">
        <v>25.3</v>
      </c>
      <c r="T2440" s="1077">
        <v>13.5</v>
      </c>
      <c r="U2440" s="1077">
        <v>3.2</v>
      </c>
      <c r="V2440" s="1077" t="s">
        <v>648</v>
      </c>
      <c r="W2440" s="1077">
        <v>110</v>
      </c>
      <c r="X2440" s="1077">
        <v>85</v>
      </c>
      <c r="Y2440" s="1077">
        <v>1.2</v>
      </c>
      <c r="Z2440" s="1077" t="s">
        <v>648</v>
      </c>
      <c r="AA2440" s="1077" t="s">
        <v>7559</v>
      </c>
      <c r="AH2440" s="1077" t="s">
        <v>877</v>
      </c>
      <c r="AM2440" s="1078" t="s">
        <v>13822</v>
      </c>
      <c r="AN2440" s="1078" t="s">
        <v>13823</v>
      </c>
      <c r="AO2440" s="1078">
        <f t="shared" si="302"/>
        <v>600</v>
      </c>
      <c r="AP2440" s="1078">
        <f t="shared" si="303"/>
        <v>1.7</v>
      </c>
      <c r="AQ2440" s="1078" t="str">
        <f t="shared" si="304"/>
        <v>1-5-1S87°Z+S</v>
      </c>
      <c r="AR2440" s="1078" t="str">
        <f t="shared" si="305"/>
        <v>30</v>
      </c>
      <c r="AS2440" s="1078" t="str">
        <f t="shared" si="306"/>
        <v>350/350/150</v>
      </c>
      <c r="AT2440" s="1078" t="str">
        <f t="shared" si="307"/>
        <v>1-5-1S87°Z+S</v>
      </c>
      <c r="AU2440" s="1078" t="s">
        <v>15547</v>
      </c>
      <c r="AV2440" s="1078" t="str">
        <f t="shared" si="308"/>
        <v>108.1.29</v>
      </c>
      <c r="AW2440" s="1344">
        <f t="shared" si="309"/>
        <v>43494</v>
      </c>
    </row>
    <row r="2441" spans="1:49">
      <c r="A2441" s="1077" t="s">
        <v>7560</v>
      </c>
      <c r="B2441" s="1077" t="s">
        <v>7132</v>
      </c>
      <c r="C2441" s="1077">
        <v>600</v>
      </c>
      <c r="D2441" s="1077">
        <v>1.7849999999999999</v>
      </c>
      <c r="E2441" s="1077" t="s">
        <v>15116</v>
      </c>
      <c r="F2441" s="1077" t="s">
        <v>2234</v>
      </c>
      <c r="G2441" s="1077">
        <v>3.5</v>
      </c>
      <c r="H2441" s="1077" t="s">
        <v>6952</v>
      </c>
      <c r="I2441" s="1077" t="s">
        <v>6953</v>
      </c>
      <c r="K2441" s="1077" t="s">
        <v>7561</v>
      </c>
      <c r="L2441" s="1077" t="s">
        <v>7134</v>
      </c>
      <c r="M2441" s="1077">
        <v>310</v>
      </c>
      <c r="N2441" s="1077" t="s">
        <v>945</v>
      </c>
      <c r="O2441" s="1077">
        <v>7.75</v>
      </c>
      <c r="P2441" s="1077">
        <v>6.2</v>
      </c>
      <c r="Q2441" s="1077" t="s">
        <v>1264</v>
      </c>
      <c r="R2441" s="1077">
        <v>21</v>
      </c>
      <c r="T2441" s="1077">
        <v>24</v>
      </c>
      <c r="U2441" s="1077">
        <v>3.4</v>
      </c>
      <c r="V2441" s="1077" t="s">
        <v>648</v>
      </c>
      <c r="W2441" s="1077">
        <v>115</v>
      </c>
      <c r="X2441" s="1077">
        <v>85</v>
      </c>
      <c r="Y2441" s="1077">
        <v>1.2</v>
      </c>
      <c r="Z2441" s="1077" t="s">
        <v>648</v>
      </c>
      <c r="AA2441" s="1077" t="s">
        <v>1013</v>
      </c>
      <c r="AH2441" s="1077" t="s">
        <v>1221</v>
      </c>
      <c r="AM2441" s="1078" t="s">
        <v>13824</v>
      </c>
      <c r="AN2441" s="1078" t="s">
        <v>13825</v>
      </c>
      <c r="AO2441" s="1078">
        <f t="shared" si="302"/>
        <v>600</v>
      </c>
      <c r="AP2441" s="1078">
        <f t="shared" si="303"/>
        <v>1.7849999999999999</v>
      </c>
      <c r="AQ2441" s="1078" t="str">
        <f t="shared" si="304"/>
        <v>1-5-1S83°Z+S</v>
      </c>
      <c r="AR2441" s="1078" t="str">
        <f t="shared" si="305"/>
        <v>33.5</v>
      </c>
      <c r="AS2441" s="1078" t="str">
        <f t="shared" si="306"/>
        <v>340/340/140</v>
      </c>
      <c r="AT2441" s="1078" t="str">
        <f t="shared" si="307"/>
        <v>1-5-1S83°Z+S</v>
      </c>
      <c r="AU2441" s="1078" t="s">
        <v>15547</v>
      </c>
      <c r="AV2441" s="1078" t="str">
        <f t="shared" si="308"/>
        <v>108.1.30</v>
      </c>
      <c r="AW2441" s="1344">
        <f t="shared" si="309"/>
        <v>43495</v>
      </c>
    </row>
    <row r="2442" spans="1:49">
      <c r="A2442" s="1077" t="s">
        <v>7562</v>
      </c>
      <c r="B2442" s="1077" t="s">
        <v>7563</v>
      </c>
      <c r="C2442" s="1077">
        <v>600</v>
      </c>
      <c r="D2442" s="1077">
        <v>1.72</v>
      </c>
      <c r="E2442" s="1077" t="s">
        <v>15116</v>
      </c>
      <c r="F2442" s="1077" t="s">
        <v>2234</v>
      </c>
      <c r="G2442" s="1077">
        <v>3.5</v>
      </c>
      <c r="H2442" s="1077" t="s">
        <v>6952</v>
      </c>
      <c r="I2442" s="1077" t="s">
        <v>7001</v>
      </c>
      <c r="K2442" s="1077" t="s">
        <v>7564</v>
      </c>
      <c r="L2442" s="1077" t="s">
        <v>7565</v>
      </c>
      <c r="M2442" s="1077">
        <v>310</v>
      </c>
      <c r="N2442" s="1077" t="s">
        <v>945</v>
      </c>
      <c r="O2442" s="1077">
        <v>7.75</v>
      </c>
      <c r="P2442" s="1077">
        <v>6.2</v>
      </c>
      <c r="Q2442" s="1077" t="s">
        <v>1264</v>
      </c>
      <c r="R2442" s="1077">
        <v>20</v>
      </c>
      <c r="T2442" s="1077">
        <v>13.5</v>
      </c>
      <c r="U2442" s="1077">
        <v>3.2</v>
      </c>
      <c r="V2442" s="1077" t="s">
        <v>648</v>
      </c>
      <c r="W2442" s="1077">
        <v>100</v>
      </c>
      <c r="X2442" s="1077">
        <v>85</v>
      </c>
      <c r="Y2442" s="1077">
        <v>1.2</v>
      </c>
      <c r="Z2442" s="1077" t="s">
        <v>648</v>
      </c>
      <c r="AA2442" s="1077" t="s">
        <v>1006</v>
      </c>
      <c r="AH2442" s="1077" t="s">
        <v>722</v>
      </c>
      <c r="AM2442" s="1078" t="s">
        <v>13826</v>
      </c>
      <c r="AN2442" s="1078" t="s">
        <v>13827</v>
      </c>
      <c r="AO2442" s="1078">
        <f t="shared" si="302"/>
        <v>600</v>
      </c>
      <c r="AP2442" s="1078">
        <f t="shared" si="303"/>
        <v>1.72</v>
      </c>
      <c r="AQ2442" s="1078" t="str">
        <f t="shared" si="304"/>
        <v>1-5-1S83°Z+S</v>
      </c>
      <c r="AR2442" s="1078" t="str">
        <f t="shared" si="305"/>
        <v>33.5</v>
      </c>
      <c r="AS2442" s="1078" t="str">
        <f t="shared" si="306"/>
        <v>340/340/140</v>
      </c>
      <c r="AT2442" s="1078" t="str">
        <f t="shared" si="307"/>
        <v>1-5-1S83°Z+S</v>
      </c>
      <c r="AU2442" s="1078" t="s">
        <v>15547</v>
      </c>
      <c r="AV2442" s="1078" t="str">
        <f t="shared" si="308"/>
        <v>108.1.31</v>
      </c>
      <c r="AW2442" s="1344">
        <f t="shared" si="309"/>
        <v>43496</v>
      </c>
    </row>
    <row r="2443" spans="1:49">
      <c r="A2443" s="1077" t="s">
        <v>7566</v>
      </c>
      <c r="B2443" s="1077" t="s">
        <v>714</v>
      </c>
      <c r="C2443" s="1077">
        <v>650</v>
      </c>
      <c r="D2443" s="1077">
        <v>1.7569999999999999</v>
      </c>
      <c r="E2443" s="1077" t="s">
        <v>15109</v>
      </c>
      <c r="F2443" s="1077" t="s">
        <v>648</v>
      </c>
      <c r="G2443" s="1077" t="s">
        <v>6865</v>
      </c>
      <c r="H2443" s="1077" t="s">
        <v>7206</v>
      </c>
      <c r="I2443" s="1077" t="s">
        <v>6867</v>
      </c>
      <c r="J2443" s="1077">
        <v>3.7</v>
      </c>
      <c r="K2443" s="1077" t="s">
        <v>7354</v>
      </c>
      <c r="L2443" s="1077" t="s">
        <v>4666</v>
      </c>
      <c r="M2443" s="1077">
        <v>300.8</v>
      </c>
      <c r="N2443" s="1077" t="s">
        <v>945</v>
      </c>
      <c r="O2443" s="1077">
        <v>7.5200000000000005</v>
      </c>
      <c r="P2443" s="1077">
        <v>6.016</v>
      </c>
      <c r="Q2443" s="1077">
        <v>4</v>
      </c>
      <c r="R2443" s="1077">
        <v>17</v>
      </c>
      <c r="T2443" s="1077">
        <v>31.4</v>
      </c>
      <c r="U2443" s="1077">
        <v>3.6</v>
      </c>
      <c r="V2443" s="1077" t="s">
        <v>648</v>
      </c>
      <c r="W2443" s="1077">
        <v>65</v>
      </c>
      <c r="X2443" s="1077">
        <v>10</v>
      </c>
      <c r="Y2443" s="1077">
        <v>1.5</v>
      </c>
      <c r="Z2443" s="1077" t="s">
        <v>648</v>
      </c>
      <c r="AA2443" s="1077" t="s">
        <v>1312</v>
      </c>
      <c r="AH2443" s="1077" t="s">
        <v>785</v>
      </c>
      <c r="AM2443" s="1078" t="s">
        <v>13828</v>
      </c>
      <c r="AN2443" s="1078" t="s">
        <v>13829</v>
      </c>
      <c r="AO2443" s="1078">
        <f t="shared" ref="AO2443:AO2506" si="310">C2443</f>
        <v>650</v>
      </c>
      <c r="AP2443" s="1078">
        <f t="shared" ref="AP2443:AP2506" si="311">D2443</f>
        <v>1.7569999999999999</v>
      </c>
      <c r="AQ2443" s="1078" t="str">
        <f t="shared" ref="AQ2443:AQ2506" si="312">E2443</f>
        <v>1-5-1S85°Z+S</v>
      </c>
      <c r="AR2443" s="1078" t="str">
        <f t="shared" ref="AR2443:AR2506" si="313">F2443</f>
        <v>NA</v>
      </c>
      <c r="AS2443" s="1078" t="str">
        <f t="shared" ref="AS2443:AS2506" si="314">H2443</f>
        <v>197/OFF</v>
      </c>
      <c r="AT2443" s="1078" t="str">
        <f t="shared" ref="AT2443:AT2506" si="315">E2443</f>
        <v>1-5-1S85°Z+S</v>
      </c>
      <c r="AU2443" s="1078" t="s">
        <v>15547</v>
      </c>
      <c r="AV2443" s="1078" t="str">
        <f t="shared" si="308"/>
        <v>110.7.1</v>
      </c>
      <c r="AW2443" s="1344">
        <f t="shared" si="309"/>
        <v>44378</v>
      </c>
    </row>
    <row r="2444" spans="1:49">
      <c r="A2444" s="1077" t="s">
        <v>7567</v>
      </c>
      <c r="B2444" s="1077" t="s">
        <v>714</v>
      </c>
      <c r="C2444" s="1077">
        <v>650</v>
      </c>
      <c r="D2444" s="1077">
        <v>1.7869999999999999</v>
      </c>
      <c r="E2444" s="1077" t="s">
        <v>15109</v>
      </c>
      <c r="F2444" s="1077" t="s">
        <v>648</v>
      </c>
      <c r="G2444" s="1077" t="s">
        <v>6865</v>
      </c>
      <c r="H2444" s="1077" t="s">
        <v>6417</v>
      </c>
      <c r="I2444" s="1077" t="s">
        <v>7154</v>
      </c>
      <c r="J2444" s="1077">
        <v>3.7</v>
      </c>
      <c r="K2444" s="1077" t="s">
        <v>7568</v>
      </c>
      <c r="L2444" s="1077" t="s">
        <v>4666</v>
      </c>
      <c r="M2444" s="1077">
        <v>295.10000000000002</v>
      </c>
      <c r="N2444" s="1077" t="s">
        <v>945</v>
      </c>
      <c r="O2444" s="1077">
        <v>7.3775000000000013</v>
      </c>
      <c r="P2444" s="1077">
        <v>5.9020000000000001</v>
      </c>
      <c r="Q2444" s="1077">
        <v>4</v>
      </c>
      <c r="R2444" s="1077">
        <v>17.399999999999999</v>
      </c>
      <c r="T2444" s="1077">
        <v>31</v>
      </c>
      <c r="U2444" s="1077">
        <v>3.5</v>
      </c>
      <c r="V2444" s="1077" t="s">
        <v>648</v>
      </c>
      <c r="W2444" s="1077" t="s">
        <v>6880</v>
      </c>
      <c r="X2444" s="1077">
        <v>40</v>
      </c>
      <c r="Y2444" s="1077">
        <v>1</v>
      </c>
      <c r="Z2444" s="1077" t="s">
        <v>648</v>
      </c>
      <c r="AA2444" s="1077" t="s">
        <v>1312</v>
      </c>
      <c r="AH2444" s="1077" t="s">
        <v>1827</v>
      </c>
      <c r="AM2444" s="1078" t="s">
        <v>13830</v>
      </c>
      <c r="AN2444" s="1078" t="s">
        <v>13831</v>
      </c>
      <c r="AO2444" s="1078">
        <f t="shared" si="310"/>
        <v>650</v>
      </c>
      <c r="AP2444" s="1078">
        <f t="shared" si="311"/>
        <v>1.7869999999999999</v>
      </c>
      <c r="AQ2444" s="1078" t="str">
        <f t="shared" si="312"/>
        <v>1-5-1S85°Z+S</v>
      </c>
      <c r="AR2444" s="1078" t="str">
        <f t="shared" si="313"/>
        <v>NA</v>
      </c>
      <c r="AS2444" s="1078" t="str">
        <f t="shared" si="314"/>
        <v>205/OFF</v>
      </c>
      <c r="AT2444" s="1078" t="str">
        <f t="shared" si="315"/>
        <v>1-5-1S85°Z+S</v>
      </c>
      <c r="AU2444" s="1078" t="s">
        <v>15547</v>
      </c>
      <c r="AV2444" s="1078" t="str">
        <f t="shared" si="308"/>
        <v>110.7.1</v>
      </c>
      <c r="AW2444" s="1344">
        <f t="shared" si="309"/>
        <v>44378</v>
      </c>
    </row>
    <row r="2445" spans="1:49">
      <c r="A2445" s="1077" t="s">
        <v>7569</v>
      </c>
      <c r="B2445" s="1077" t="s">
        <v>7032</v>
      </c>
      <c r="C2445" s="1077">
        <v>600</v>
      </c>
      <c r="D2445" s="1077">
        <v>1.72</v>
      </c>
      <c r="E2445" s="1077" t="s">
        <v>15116</v>
      </c>
      <c r="F2445" s="1077" t="s">
        <v>2234</v>
      </c>
      <c r="G2445" s="1077">
        <v>3.5</v>
      </c>
      <c r="H2445" s="1077" t="s">
        <v>6952</v>
      </c>
      <c r="I2445" s="1077" t="s">
        <v>6918</v>
      </c>
      <c r="K2445" s="1077" t="s">
        <v>7033</v>
      </c>
      <c r="L2445" s="1077" t="s">
        <v>7034</v>
      </c>
      <c r="M2445" s="1077">
        <v>310</v>
      </c>
      <c r="N2445" s="1077" t="s">
        <v>945</v>
      </c>
      <c r="O2445" s="1077">
        <v>7.75</v>
      </c>
      <c r="P2445" s="1077">
        <v>6.2</v>
      </c>
      <c r="Q2445" s="1077">
        <v>3.5</v>
      </c>
      <c r="R2445" s="1077">
        <v>22</v>
      </c>
      <c r="T2445" s="1077">
        <v>13.5</v>
      </c>
      <c r="U2445" s="1077">
        <v>3.2</v>
      </c>
      <c r="V2445" s="1077" t="s">
        <v>648</v>
      </c>
      <c r="W2445" s="1077">
        <v>100</v>
      </c>
      <c r="X2445" s="1077">
        <v>85</v>
      </c>
      <c r="Y2445" s="1077">
        <v>1.2</v>
      </c>
      <c r="Z2445" s="1077" t="s">
        <v>648</v>
      </c>
      <c r="AA2445" s="1077" t="s">
        <v>1312</v>
      </c>
      <c r="AH2445" s="1077" t="s">
        <v>994</v>
      </c>
      <c r="AM2445" s="1078" t="s">
        <v>13832</v>
      </c>
      <c r="AN2445" s="1078" t="s">
        <v>13833</v>
      </c>
      <c r="AO2445" s="1078">
        <f t="shared" si="310"/>
        <v>600</v>
      </c>
      <c r="AP2445" s="1078">
        <f t="shared" si="311"/>
        <v>1.72</v>
      </c>
      <c r="AQ2445" s="1078" t="str">
        <f t="shared" si="312"/>
        <v>1-5-1S83°Z+S</v>
      </c>
      <c r="AR2445" s="1078" t="str">
        <f t="shared" si="313"/>
        <v>33.5</v>
      </c>
      <c r="AS2445" s="1078" t="str">
        <f t="shared" si="314"/>
        <v>340/340/140</v>
      </c>
      <c r="AT2445" s="1078" t="str">
        <f t="shared" si="315"/>
        <v>1-5-1S83°Z+S</v>
      </c>
      <c r="AU2445" s="1078" t="s">
        <v>15547</v>
      </c>
      <c r="AV2445" s="1078" t="str">
        <f t="shared" si="308"/>
        <v>110.7.1</v>
      </c>
      <c r="AW2445" s="1344">
        <f t="shared" si="309"/>
        <v>44378</v>
      </c>
    </row>
    <row r="2446" spans="1:49">
      <c r="A2446" s="1077" t="s">
        <v>7570</v>
      </c>
      <c r="B2446" s="1077" t="s">
        <v>7261</v>
      </c>
      <c r="C2446" s="1077">
        <v>600</v>
      </c>
      <c r="D2446" s="1077">
        <v>1.82</v>
      </c>
      <c r="E2446" s="1077" t="s">
        <v>15116</v>
      </c>
      <c r="F2446" s="1077" t="s">
        <v>2234</v>
      </c>
      <c r="G2446" s="1077">
        <v>4</v>
      </c>
      <c r="H2446" s="1077" t="s">
        <v>7262</v>
      </c>
      <c r="I2446" s="1077" t="s">
        <v>6918</v>
      </c>
      <c r="K2446" s="1077" t="s">
        <v>7571</v>
      </c>
      <c r="L2446" s="1077" t="s">
        <v>7264</v>
      </c>
      <c r="M2446" s="1077">
        <v>307</v>
      </c>
      <c r="N2446" s="1077" t="s">
        <v>945</v>
      </c>
      <c r="O2446" s="1077">
        <v>7.6750000000000007</v>
      </c>
      <c r="P2446" s="1077">
        <v>6.1400000000000006</v>
      </c>
      <c r="Q2446" s="1077">
        <v>3.5</v>
      </c>
      <c r="R2446" s="1077">
        <v>27</v>
      </c>
      <c r="T2446" s="1077">
        <v>12</v>
      </c>
      <c r="U2446" s="1077">
        <v>2.2999999999999998</v>
      </c>
      <c r="V2446" s="1077" t="s">
        <v>648</v>
      </c>
      <c r="W2446" s="1077" t="s">
        <v>4947</v>
      </c>
      <c r="X2446" s="1077">
        <v>10</v>
      </c>
      <c r="Y2446" s="1077">
        <v>1.7</v>
      </c>
      <c r="Z2446" s="1077" t="s">
        <v>648</v>
      </c>
      <c r="AA2446" s="1077" t="s">
        <v>1312</v>
      </c>
      <c r="AH2446" s="1077" t="s">
        <v>3213</v>
      </c>
      <c r="AM2446" s="1078" t="s">
        <v>13834</v>
      </c>
      <c r="AN2446" s="1078" t="s">
        <v>13835</v>
      </c>
      <c r="AO2446" s="1078">
        <f t="shared" si="310"/>
        <v>600</v>
      </c>
      <c r="AP2446" s="1078">
        <f t="shared" si="311"/>
        <v>1.82</v>
      </c>
      <c r="AQ2446" s="1078" t="str">
        <f t="shared" si="312"/>
        <v>1-5-1S83°Z+S</v>
      </c>
      <c r="AR2446" s="1078" t="str">
        <f t="shared" si="313"/>
        <v>33.5</v>
      </c>
      <c r="AS2446" s="1078" t="str">
        <f t="shared" si="314"/>
        <v>300/300/190</v>
      </c>
      <c r="AT2446" s="1078" t="str">
        <f t="shared" si="315"/>
        <v>1-5-1S83°Z+S</v>
      </c>
      <c r="AU2446" s="1078" t="s">
        <v>15547</v>
      </c>
      <c r="AV2446" s="1078" t="str">
        <f t="shared" si="308"/>
        <v>110.7.1</v>
      </c>
      <c r="AW2446" s="1344">
        <f t="shared" si="309"/>
        <v>44378</v>
      </c>
    </row>
    <row r="2447" spans="1:49">
      <c r="A2447" s="1077" t="s">
        <v>7572</v>
      </c>
      <c r="B2447" s="1077" t="s">
        <v>7407</v>
      </c>
      <c r="C2447" s="1077">
        <v>550</v>
      </c>
      <c r="D2447" s="1077">
        <v>1.75</v>
      </c>
      <c r="E2447" s="1077">
        <v>102.5</v>
      </c>
      <c r="F2447" s="1077" t="s">
        <v>5134</v>
      </c>
      <c r="G2447" s="1077">
        <v>5</v>
      </c>
      <c r="H2447" s="1077" t="s">
        <v>7573</v>
      </c>
      <c r="I2447" s="1077" t="s">
        <v>7048</v>
      </c>
      <c r="J2447" s="1077">
        <v>3</v>
      </c>
      <c r="K2447" s="1077" t="s">
        <v>7574</v>
      </c>
      <c r="L2447" s="1077" t="s">
        <v>5159</v>
      </c>
      <c r="M2447" s="1077">
        <v>300.7</v>
      </c>
      <c r="N2447" s="1077" t="s">
        <v>945</v>
      </c>
      <c r="O2447" s="1077">
        <v>7.5175000000000001</v>
      </c>
      <c r="P2447" s="1077">
        <v>6.0140000000000002</v>
      </c>
      <c r="Q2447" s="1077">
        <v>3</v>
      </c>
      <c r="R2447" s="1077">
        <v>30.5</v>
      </c>
      <c r="T2447" s="1077">
        <v>14.7</v>
      </c>
      <c r="U2447" s="1077">
        <v>6.1</v>
      </c>
      <c r="V2447" s="1077" t="s">
        <v>648</v>
      </c>
      <c r="W2447" s="1077">
        <v>115</v>
      </c>
      <c r="X2447" s="1077">
        <v>45</v>
      </c>
      <c r="Y2447" s="1077">
        <v>1.5</v>
      </c>
      <c r="Z2447" s="1077" t="s">
        <v>648</v>
      </c>
      <c r="AA2447" s="1077" t="s">
        <v>3553</v>
      </c>
      <c r="AH2447" s="1077" t="s">
        <v>5681</v>
      </c>
      <c r="AM2447" s="1078" t="s">
        <v>13836</v>
      </c>
      <c r="AN2447" s="1078" t="s">
        <v>13837</v>
      </c>
      <c r="AO2447" s="1078">
        <f t="shared" si="310"/>
        <v>550</v>
      </c>
      <c r="AP2447" s="1078">
        <f t="shared" si="311"/>
        <v>1.75</v>
      </c>
      <c r="AQ2447" s="1078">
        <f t="shared" si="312"/>
        <v>102.5</v>
      </c>
      <c r="AR2447" s="1078" t="str">
        <f t="shared" si="313"/>
        <v>15.6</v>
      </c>
      <c r="AS2447" s="1078" t="str">
        <f t="shared" si="314"/>
        <v>355/370/OFF</v>
      </c>
      <c r="AT2447" s="1078">
        <f t="shared" si="315"/>
        <v>102.5</v>
      </c>
      <c r="AV2447" s="1078" t="str">
        <f t="shared" si="308"/>
        <v>110.7.5</v>
      </c>
      <c r="AW2447" s="1344">
        <f t="shared" si="309"/>
        <v>44382</v>
      </c>
    </row>
    <row r="2448" spans="1:49">
      <c r="A2448" s="1077" t="s">
        <v>7575</v>
      </c>
      <c r="B2448" s="1077" t="s">
        <v>717</v>
      </c>
      <c r="C2448" s="1077">
        <v>600</v>
      </c>
      <c r="D2448" s="1077">
        <v>1.79</v>
      </c>
      <c r="E2448" s="1077" t="s">
        <v>15116</v>
      </c>
      <c r="F2448" s="1077" t="s">
        <v>2234</v>
      </c>
      <c r="G2448" s="1077">
        <v>4</v>
      </c>
      <c r="H2448" s="1077" t="s">
        <v>6902</v>
      </c>
      <c r="I2448" s="1077" t="s">
        <v>6918</v>
      </c>
      <c r="K2448" s="1077" t="s">
        <v>7467</v>
      </c>
      <c r="L2448" s="1077" t="s">
        <v>6920</v>
      </c>
      <c r="M2448" s="1077">
        <v>303.5</v>
      </c>
      <c r="N2448" s="1077" t="s">
        <v>945</v>
      </c>
      <c r="O2448" s="1077">
        <v>7.5875000000000004</v>
      </c>
      <c r="P2448" s="1077">
        <v>6.07</v>
      </c>
      <c r="Q2448" s="1077">
        <v>3.5</v>
      </c>
      <c r="R2448" s="1077">
        <v>27.9</v>
      </c>
      <c r="T2448" s="1077">
        <v>13.5</v>
      </c>
      <c r="U2448" s="1077">
        <v>2.5</v>
      </c>
      <c r="V2448" s="1077" t="s">
        <v>648</v>
      </c>
      <c r="W2448" s="1077">
        <v>90</v>
      </c>
      <c r="X2448" s="1077">
        <v>10</v>
      </c>
      <c r="Y2448" s="1077">
        <v>1.6</v>
      </c>
      <c r="Z2448" s="1077" t="s">
        <v>648</v>
      </c>
      <c r="AA2448" s="1077" t="s">
        <v>1412</v>
      </c>
      <c r="AH2448" s="1077" t="s">
        <v>1221</v>
      </c>
      <c r="AM2448" s="1078" t="s">
        <v>13838</v>
      </c>
      <c r="AN2448" s="1078" t="s">
        <v>13839</v>
      </c>
      <c r="AO2448" s="1078">
        <f t="shared" si="310"/>
        <v>600</v>
      </c>
      <c r="AP2448" s="1078">
        <f t="shared" si="311"/>
        <v>1.79</v>
      </c>
      <c r="AQ2448" s="1078" t="str">
        <f t="shared" si="312"/>
        <v>1-5-1S83°Z+S</v>
      </c>
      <c r="AR2448" s="1078" t="str">
        <f t="shared" si="313"/>
        <v>33.5</v>
      </c>
      <c r="AS2448" s="1078" t="str">
        <f t="shared" si="314"/>
        <v>310/310/190</v>
      </c>
      <c r="AT2448" s="1078" t="str">
        <f t="shared" si="315"/>
        <v>1-5-1S83°Z+S</v>
      </c>
      <c r="AU2448" s="1078" t="s">
        <v>15547</v>
      </c>
      <c r="AV2448" s="1078" t="str">
        <f t="shared" si="308"/>
        <v>110.7.6</v>
      </c>
      <c r="AW2448" s="1344">
        <f t="shared" si="309"/>
        <v>44383</v>
      </c>
    </row>
    <row r="2449" spans="1:49">
      <c r="A2449" s="1077" t="s">
        <v>7576</v>
      </c>
      <c r="B2449" s="1077" t="s">
        <v>7577</v>
      </c>
      <c r="C2449" s="1077">
        <v>600</v>
      </c>
      <c r="D2449" s="1077">
        <v>1.81</v>
      </c>
      <c r="E2449" s="1077" t="s">
        <v>15116</v>
      </c>
      <c r="F2449" s="1077" t="s">
        <v>2234</v>
      </c>
      <c r="G2449" s="1077">
        <v>4</v>
      </c>
      <c r="H2449" s="1077" t="s">
        <v>7262</v>
      </c>
      <c r="I2449" s="1077" t="s">
        <v>6918</v>
      </c>
      <c r="K2449" s="1077" t="s">
        <v>7578</v>
      </c>
      <c r="L2449" s="1077" t="s">
        <v>7579</v>
      </c>
      <c r="M2449" s="1077">
        <v>306</v>
      </c>
      <c r="N2449" s="1077" t="s">
        <v>945</v>
      </c>
      <c r="O2449" s="1077">
        <v>7.65</v>
      </c>
      <c r="P2449" s="1077">
        <v>6.12</v>
      </c>
      <c r="Q2449" s="1077" t="s">
        <v>2401</v>
      </c>
      <c r="R2449" s="1077">
        <v>27</v>
      </c>
      <c r="T2449" s="1077">
        <v>12</v>
      </c>
      <c r="U2449" s="1077">
        <v>2.5</v>
      </c>
      <c r="V2449" s="1077" t="s">
        <v>648</v>
      </c>
      <c r="W2449" s="1077">
        <v>90</v>
      </c>
      <c r="X2449" s="1077">
        <v>10</v>
      </c>
      <c r="Y2449" s="1077">
        <v>1.5</v>
      </c>
      <c r="Z2449" s="1077" t="s">
        <v>648</v>
      </c>
      <c r="AA2449" s="1077" t="s">
        <v>6364</v>
      </c>
      <c r="AH2449" s="1077" t="s">
        <v>2384</v>
      </c>
      <c r="AM2449" s="1078" t="s">
        <v>13840</v>
      </c>
      <c r="AN2449" s="1078" t="s">
        <v>9197</v>
      </c>
      <c r="AO2449" s="1078">
        <f t="shared" si="310"/>
        <v>600</v>
      </c>
      <c r="AP2449" s="1078">
        <f t="shared" si="311"/>
        <v>1.81</v>
      </c>
      <c r="AQ2449" s="1078" t="str">
        <f t="shared" si="312"/>
        <v>1-5-1S83°Z+S</v>
      </c>
      <c r="AR2449" s="1078" t="str">
        <f t="shared" si="313"/>
        <v>33.5</v>
      </c>
      <c r="AS2449" s="1078" t="str">
        <f t="shared" si="314"/>
        <v>300/300/190</v>
      </c>
      <c r="AT2449" s="1078" t="str">
        <f t="shared" si="315"/>
        <v>1-5-1S83°Z+S</v>
      </c>
      <c r="AU2449" s="1078" t="s">
        <v>15547</v>
      </c>
      <c r="AV2449" s="1078" t="str">
        <f t="shared" si="308"/>
        <v>110.7.7</v>
      </c>
      <c r="AW2449" s="1344">
        <f t="shared" si="309"/>
        <v>44384</v>
      </c>
    </row>
    <row r="2450" spans="1:49">
      <c r="A2450" s="1077" t="s">
        <v>7580</v>
      </c>
      <c r="B2450" s="1077" t="s">
        <v>7014</v>
      </c>
      <c r="C2450" s="1077">
        <v>600</v>
      </c>
      <c r="D2450" s="1077">
        <v>1.76</v>
      </c>
      <c r="E2450" s="1077" t="s">
        <v>15116</v>
      </c>
      <c r="F2450" s="1077" t="s">
        <v>2234</v>
      </c>
      <c r="G2450" s="1077">
        <v>5</v>
      </c>
      <c r="H2450" s="1077" t="s">
        <v>6952</v>
      </c>
      <c r="I2450" s="1077" t="s">
        <v>6918</v>
      </c>
      <c r="K2450" s="1077" t="s">
        <v>7016</v>
      </c>
      <c r="L2450" s="1077" t="s">
        <v>7017</v>
      </c>
      <c r="M2450" s="1077">
        <v>305</v>
      </c>
      <c r="N2450" s="1077" t="s">
        <v>945</v>
      </c>
      <c r="O2450" s="1077">
        <v>7.625</v>
      </c>
      <c r="P2450" s="1077">
        <v>6.1000000000000005</v>
      </c>
      <c r="Q2450" s="1077" t="s">
        <v>2553</v>
      </c>
      <c r="R2450" s="1077">
        <v>24</v>
      </c>
      <c r="T2450" s="1077">
        <v>13.5</v>
      </c>
      <c r="U2450" s="1077">
        <v>3.2</v>
      </c>
      <c r="V2450" s="1077" t="s">
        <v>648</v>
      </c>
      <c r="W2450" s="1077">
        <v>100</v>
      </c>
      <c r="X2450" s="1077">
        <v>85</v>
      </c>
      <c r="Y2450" s="1077">
        <v>1.2</v>
      </c>
      <c r="Z2450" s="1077" t="s">
        <v>648</v>
      </c>
      <c r="AA2450" s="1077" t="s">
        <v>7581</v>
      </c>
      <c r="AH2450" s="1077" t="s">
        <v>456</v>
      </c>
      <c r="AM2450" s="1078" t="s">
        <v>13841</v>
      </c>
      <c r="AN2450" s="1078" t="s">
        <v>13842</v>
      </c>
      <c r="AO2450" s="1078">
        <f t="shared" si="310"/>
        <v>600</v>
      </c>
      <c r="AP2450" s="1078">
        <f t="shared" si="311"/>
        <v>1.76</v>
      </c>
      <c r="AQ2450" s="1078" t="str">
        <f t="shared" si="312"/>
        <v>1-5-1S83°Z+S</v>
      </c>
      <c r="AR2450" s="1078" t="str">
        <f t="shared" si="313"/>
        <v>33.5</v>
      </c>
      <c r="AS2450" s="1078" t="str">
        <f t="shared" si="314"/>
        <v>340/340/140</v>
      </c>
      <c r="AT2450" s="1078" t="str">
        <f t="shared" si="315"/>
        <v>1-5-1S83°Z+S</v>
      </c>
      <c r="AU2450" s="1078" t="s">
        <v>15547</v>
      </c>
      <c r="AV2450" s="1078" t="str">
        <f t="shared" si="308"/>
        <v>110.7.9</v>
      </c>
      <c r="AW2450" s="1344">
        <f t="shared" si="309"/>
        <v>44386</v>
      </c>
    </row>
    <row r="2451" spans="1:49">
      <c r="A2451" s="1077" t="s">
        <v>7582</v>
      </c>
      <c r="B2451" s="1077" t="s">
        <v>663</v>
      </c>
      <c r="C2451" s="1077">
        <v>500</v>
      </c>
      <c r="D2451" s="1077">
        <v>1.78</v>
      </c>
      <c r="E2451" s="1077">
        <v>102.5</v>
      </c>
      <c r="F2451" s="1077" t="s">
        <v>4070</v>
      </c>
      <c r="G2451" s="1077">
        <v>5.5</v>
      </c>
      <c r="H2451" s="1077" t="s">
        <v>7484</v>
      </c>
      <c r="I2451" s="1077" t="s">
        <v>6970</v>
      </c>
      <c r="K2451" s="1077" t="s">
        <v>7583</v>
      </c>
      <c r="L2451" s="1077" t="s">
        <v>4907</v>
      </c>
      <c r="M2451" s="1077">
        <v>296</v>
      </c>
      <c r="N2451" s="1077" t="s">
        <v>945</v>
      </c>
      <c r="O2451" s="1077">
        <v>7.4</v>
      </c>
      <c r="P2451" s="1077">
        <v>5.92</v>
      </c>
      <c r="Q2451" s="1077">
        <v>3.5</v>
      </c>
      <c r="R2451" s="1077">
        <v>17</v>
      </c>
      <c r="T2451" s="1077">
        <v>10.5</v>
      </c>
      <c r="U2451" s="1077">
        <v>6.1</v>
      </c>
      <c r="V2451" s="1077" t="s">
        <v>648</v>
      </c>
      <c r="W2451" s="1077">
        <v>120</v>
      </c>
      <c r="X2451" s="1077">
        <v>90</v>
      </c>
      <c r="Y2451" s="1077">
        <v>1.1000000000000001</v>
      </c>
      <c r="Z2451" s="1077" t="s">
        <v>648</v>
      </c>
      <c r="AA2451" s="1077" t="s">
        <v>1416</v>
      </c>
      <c r="AH2451" s="1077" t="s">
        <v>887</v>
      </c>
      <c r="AM2451" s="1078" t="s">
        <v>13843</v>
      </c>
      <c r="AN2451" s="1078" t="s">
        <v>13844</v>
      </c>
      <c r="AO2451" s="1078">
        <f t="shared" si="310"/>
        <v>500</v>
      </c>
      <c r="AP2451" s="1078">
        <f t="shared" si="311"/>
        <v>1.78</v>
      </c>
      <c r="AQ2451" s="1078">
        <f t="shared" si="312"/>
        <v>102.5</v>
      </c>
      <c r="AR2451" s="1078" t="str">
        <f t="shared" si="313"/>
        <v>15.5</v>
      </c>
      <c r="AS2451" s="1078" t="str">
        <f t="shared" si="314"/>
        <v>355/340/153</v>
      </c>
      <c r="AT2451" s="1078">
        <f t="shared" si="315"/>
        <v>102.5</v>
      </c>
      <c r="AV2451" s="1078" t="str">
        <f t="shared" si="308"/>
        <v>110.7.15</v>
      </c>
      <c r="AW2451" s="1344">
        <f t="shared" si="309"/>
        <v>44392</v>
      </c>
    </row>
    <row r="2452" spans="1:49">
      <c r="A2452" s="1077" t="s">
        <v>7584</v>
      </c>
      <c r="B2452" s="1077" t="s">
        <v>775</v>
      </c>
      <c r="C2452" s="1077">
        <v>600</v>
      </c>
      <c r="D2452" s="1077">
        <v>1.8</v>
      </c>
      <c r="E2452" s="1077" t="s">
        <v>15116</v>
      </c>
      <c r="F2452" s="1077" t="s">
        <v>2234</v>
      </c>
      <c r="G2452" s="1077">
        <v>4</v>
      </c>
      <c r="H2452" s="1077" t="s">
        <v>6902</v>
      </c>
      <c r="I2452" s="1077" t="s">
        <v>6903</v>
      </c>
      <c r="K2452" s="1077" t="s">
        <v>7585</v>
      </c>
      <c r="L2452" s="1077" t="s">
        <v>6933</v>
      </c>
      <c r="M2452" s="1077">
        <v>302</v>
      </c>
      <c r="N2452" s="1077" t="s">
        <v>945</v>
      </c>
      <c r="O2452" s="1077">
        <v>7.5500000000000007</v>
      </c>
      <c r="P2452" s="1077">
        <v>6.04</v>
      </c>
      <c r="Q2452" s="1077">
        <v>3.5</v>
      </c>
      <c r="R2452" s="1077">
        <v>27.3</v>
      </c>
      <c r="T2452" s="1077">
        <v>13.3</v>
      </c>
      <c r="U2452" s="1077">
        <v>2.2999999999999998</v>
      </c>
      <c r="V2452" s="1077" t="s">
        <v>648</v>
      </c>
      <c r="W2452" s="1077" t="s">
        <v>4947</v>
      </c>
      <c r="X2452" s="1077">
        <v>10</v>
      </c>
      <c r="Y2452" s="1077">
        <v>1.6</v>
      </c>
      <c r="Z2452" s="1077" t="s">
        <v>648</v>
      </c>
      <c r="AA2452" s="1077" t="s">
        <v>5163</v>
      </c>
      <c r="AH2452" s="1077" t="s">
        <v>7586</v>
      </c>
      <c r="AM2452" s="1078" t="s">
        <v>13845</v>
      </c>
      <c r="AN2452" s="1078" t="s">
        <v>13846</v>
      </c>
      <c r="AO2452" s="1078">
        <f t="shared" si="310"/>
        <v>600</v>
      </c>
      <c r="AP2452" s="1078">
        <f t="shared" si="311"/>
        <v>1.8</v>
      </c>
      <c r="AQ2452" s="1078" t="str">
        <f t="shared" si="312"/>
        <v>1-5-1S83°Z+S</v>
      </c>
      <c r="AR2452" s="1078" t="str">
        <f t="shared" si="313"/>
        <v>33.5</v>
      </c>
      <c r="AS2452" s="1078" t="str">
        <f t="shared" si="314"/>
        <v>310/310/190</v>
      </c>
      <c r="AT2452" s="1078" t="str">
        <f t="shared" si="315"/>
        <v>1-5-1S83°Z+S</v>
      </c>
      <c r="AU2452" s="1078" t="s">
        <v>15547</v>
      </c>
      <c r="AV2452" s="1078" t="str">
        <f t="shared" si="308"/>
        <v>110.7.16</v>
      </c>
      <c r="AW2452" s="1344">
        <f t="shared" si="309"/>
        <v>44393</v>
      </c>
    </row>
    <row r="2453" spans="1:49">
      <c r="A2453" s="1077" t="s">
        <v>7587</v>
      </c>
      <c r="B2453" s="1077" t="s">
        <v>714</v>
      </c>
      <c r="C2453" s="1077">
        <v>650</v>
      </c>
      <c r="D2453" s="1077">
        <v>1.7869999999999999</v>
      </c>
      <c r="E2453" s="1077" t="s">
        <v>15109</v>
      </c>
      <c r="F2453" s="1077" t="s">
        <v>648</v>
      </c>
      <c r="G2453" s="1077" t="s">
        <v>6865</v>
      </c>
      <c r="H2453" s="1077" t="s">
        <v>6417</v>
      </c>
      <c r="I2453" s="1077" t="s">
        <v>7588</v>
      </c>
      <c r="J2453" s="1077">
        <v>3.7</v>
      </c>
      <c r="K2453" s="1077" t="s">
        <v>7589</v>
      </c>
      <c r="L2453" s="1077" t="s">
        <v>4666</v>
      </c>
      <c r="M2453" s="1077">
        <v>295.10000000000002</v>
      </c>
      <c r="N2453" s="1077" t="s">
        <v>945</v>
      </c>
      <c r="O2453" s="1077">
        <v>7.3775000000000013</v>
      </c>
      <c r="P2453" s="1077">
        <v>5.9020000000000001</v>
      </c>
      <c r="Q2453" s="1077">
        <v>4</v>
      </c>
      <c r="R2453" s="1077">
        <v>17.399999999999999</v>
      </c>
      <c r="T2453" s="1077">
        <v>31</v>
      </c>
      <c r="U2453" s="1077">
        <v>3.5</v>
      </c>
      <c r="V2453" s="1077" t="s">
        <v>648</v>
      </c>
      <c r="W2453" s="1077" t="s">
        <v>6880</v>
      </c>
      <c r="X2453" s="1077">
        <v>40</v>
      </c>
      <c r="Y2453" s="1077">
        <v>1</v>
      </c>
      <c r="Z2453" s="1077" t="s">
        <v>648</v>
      </c>
      <c r="AA2453" s="1077" t="s">
        <v>7590</v>
      </c>
      <c r="AH2453" s="1077" t="s">
        <v>1053</v>
      </c>
      <c r="AM2453" s="1078" t="s">
        <v>13847</v>
      </c>
      <c r="AN2453" s="1078" t="s">
        <v>13848</v>
      </c>
      <c r="AO2453" s="1078">
        <f t="shared" si="310"/>
        <v>650</v>
      </c>
      <c r="AP2453" s="1078">
        <f t="shared" si="311"/>
        <v>1.7869999999999999</v>
      </c>
      <c r="AQ2453" s="1078" t="str">
        <f t="shared" si="312"/>
        <v>1-5-1S85°Z+S</v>
      </c>
      <c r="AR2453" s="1078" t="str">
        <f t="shared" si="313"/>
        <v>NA</v>
      </c>
      <c r="AS2453" s="1078" t="str">
        <f t="shared" si="314"/>
        <v>205/OFF</v>
      </c>
      <c r="AT2453" s="1078" t="str">
        <f t="shared" si="315"/>
        <v>1-5-1S85°Z+S</v>
      </c>
      <c r="AU2453" s="1078" t="s">
        <v>15547</v>
      </c>
      <c r="AV2453" s="1078" t="str">
        <f t="shared" si="308"/>
        <v>110.7.19</v>
      </c>
      <c r="AW2453" s="1344">
        <f t="shared" si="309"/>
        <v>44396</v>
      </c>
    </row>
    <row r="2454" spans="1:49">
      <c r="A2454" s="1077" t="s">
        <v>7591</v>
      </c>
      <c r="B2454" s="1077" t="s">
        <v>714</v>
      </c>
      <c r="C2454" s="1077">
        <v>600</v>
      </c>
      <c r="D2454" s="1077">
        <v>1.7569999999999999</v>
      </c>
      <c r="E2454" s="1077" t="s">
        <v>15109</v>
      </c>
      <c r="F2454" s="1077" t="s">
        <v>648</v>
      </c>
      <c r="G2454" s="1077" t="s">
        <v>6865</v>
      </c>
      <c r="H2454" s="1077" t="s">
        <v>5505</v>
      </c>
      <c r="I2454" s="1077" t="s">
        <v>7443</v>
      </c>
      <c r="J2454" s="1077">
        <v>3.7</v>
      </c>
      <c r="K2454" s="1077" t="s">
        <v>7354</v>
      </c>
      <c r="L2454" s="1077" t="s">
        <v>4666</v>
      </c>
      <c r="M2454" s="1077">
        <v>300.8</v>
      </c>
      <c r="N2454" s="1077" t="s">
        <v>945</v>
      </c>
      <c r="O2454" s="1077">
        <v>7.5200000000000005</v>
      </c>
      <c r="P2454" s="1077">
        <v>6.016</v>
      </c>
      <c r="Q2454" s="1077">
        <v>4</v>
      </c>
      <c r="R2454" s="1077">
        <v>17</v>
      </c>
      <c r="T2454" s="1077">
        <v>31.4</v>
      </c>
      <c r="U2454" s="1077">
        <v>3.6</v>
      </c>
      <c r="V2454" s="1077" t="s">
        <v>648</v>
      </c>
      <c r="W2454" s="1077">
        <v>65</v>
      </c>
      <c r="X2454" s="1077">
        <v>10</v>
      </c>
      <c r="Y2454" s="1077">
        <v>1.5</v>
      </c>
      <c r="Z2454" s="1077" t="s">
        <v>648</v>
      </c>
      <c r="AA2454" s="1077" t="s">
        <v>4352</v>
      </c>
      <c r="AH2454" s="1077" t="s">
        <v>3067</v>
      </c>
      <c r="AM2454" s="1078" t="s">
        <v>13849</v>
      </c>
      <c r="AN2454" s="1078" t="s">
        <v>13850</v>
      </c>
      <c r="AO2454" s="1078">
        <f t="shared" si="310"/>
        <v>600</v>
      </c>
      <c r="AP2454" s="1078">
        <f t="shared" si="311"/>
        <v>1.7569999999999999</v>
      </c>
      <c r="AQ2454" s="1078" t="str">
        <f t="shared" si="312"/>
        <v>1-5-1S85°Z+S</v>
      </c>
      <c r="AR2454" s="1078" t="str">
        <f t="shared" si="313"/>
        <v>NA</v>
      </c>
      <c r="AS2454" s="1078" t="str">
        <f t="shared" si="314"/>
        <v>192/OFF</v>
      </c>
      <c r="AT2454" s="1078" t="str">
        <f t="shared" si="315"/>
        <v>1-5-1S85°Z+S</v>
      </c>
      <c r="AU2454" s="1078" t="s">
        <v>15547</v>
      </c>
      <c r="AV2454" s="1078" t="str">
        <f t="shared" si="308"/>
        <v>110.8.2</v>
      </c>
      <c r="AW2454" s="1344">
        <f t="shared" si="309"/>
        <v>44410</v>
      </c>
    </row>
    <row r="2455" spans="1:49">
      <c r="A2455" s="1077" t="s">
        <v>7592</v>
      </c>
      <c r="B2455" s="1077" t="s">
        <v>7593</v>
      </c>
      <c r="C2455" s="1077">
        <v>600</v>
      </c>
      <c r="D2455" s="1077">
        <v>1.7569999999999999</v>
      </c>
      <c r="E2455" s="1077" t="s">
        <v>15109</v>
      </c>
      <c r="F2455" s="1077" t="s">
        <v>648</v>
      </c>
      <c r="G2455" s="1077" t="s">
        <v>6865</v>
      </c>
      <c r="H2455" s="1077" t="s">
        <v>5505</v>
      </c>
      <c r="I2455" s="1077" t="s">
        <v>7443</v>
      </c>
      <c r="J2455" s="1077">
        <v>3.7</v>
      </c>
      <c r="K2455" s="1077" t="s">
        <v>7354</v>
      </c>
      <c r="L2455" s="1077" t="s">
        <v>4666</v>
      </c>
      <c r="M2455" s="1077">
        <v>300.8</v>
      </c>
      <c r="N2455" s="1077" t="s">
        <v>945</v>
      </c>
      <c r="O2455" s="1077">
        <v>7.5200000000000005</v>
      </c>
      <c r="P2455" s="1077">
        <v>6.016</v>
      </c>
      <c r="Q2455" s="1077">
        <v>4</v>
      </c>
      <c r="R2455" s="1077">
        <v>17</v>
      </c>
      <c r="T2455" s="1077">
        <v>31.4</v>
      </c>
      <c r="U2455" s="1077">
        <v>3.6</v>
      </c>
      <c r="V2455" s="1077" t="s">
        <v>648</v>
      </c>
      <c r="W2455" s="1077">
        <v>65</v>
      </c>
      <c r="X2455" s="1077">
        <v>10</v>
      </c>
      <c r="Y2455" s="1077">
        <v>1.5</v>
      </c>
      <c r="Z2455" s="1077" t="s">
        <v>648</v>
      </c>
      <c r="AA2455" s="1077" t="s">
        <v>6108</v>
      </c>
      <c r="AH2455" s="1077" t="s">
        <v>1053</v>
      </c>
      <c r="AM2455" s="1078" t="s">
        <v>13851</v>
      </c>
      <c r="AN2455" s="1078" t="s">
        <v>13852</v>
      </c>
      <c r="AO2455" s="1078">
        <f t="shared" si="310"/>
        <v>600</v>
      </c>
      <c r="AP2455" s="1078">
        <f t="shared" si="311"/>
        <v>1.7569999999999999</v>
      </c>
      <c r="AQ2455" s="1078" t="str">
        <f t="shared" si="312"/>
        <v>1-5-1S85°Z+S</v>
      </c>
      <c r="AR2455" s="1078" t="str">
        <f t="shared" si="313"/>
        <v>NA</v>
      </c>
      <c r="AS2455" s="1078" t="str">
        <f t="shared" si="314"/>
        <v>192/OFF</v>
      </c>
      <c r="AT2455" s="1078" t="str">
        <f t="shared" si="315"/>
        <v>1-5-1S85°Z+S</v>
      </c>
      <c r="AU2455" s="1078" t="s">
        <v>15547</v>
      </c>
      <c r="AV2455" s="1078" t="str">
        <f t="shared" si="308"/>
        <v>110.8.9</v>
      </c>
      <c r="AW2455" s="1344">
        <f t="shared" si="309"/>
        <v>44417</v>
      </c>
    </row>
    <row r="2456" spans="1:49">
      <c r="A2456" s="1077" t="s">
        <v>7594</v>
      </c>
      <c r="B2456" s="1077" t="s">
        <v>836</v>
      </c>
      <c r="C2456" s="1077">
        <v>600</v>
      </c>
      <c r="D2456" s="1077">
        <v>1.8</v>
      </c>
      <c r="E2456" s="1077" t="s">
        <v>15116</v>
      </c>
      <c r="F2456" s="1077" t="s">
        <v>6901</v>
      </c>
      <c r="G2456" s="1077">
        <v>4</v>
      </c>
      <c r="H2456" s="1077" t="s">
        <v>6902</v>
      </c>
      <c r="I2456" s="1077" t="s">
        <v>7001</v>
      </c>
      <c r="K2456" s="1077" t="s">
        <v>7595</v>
      </c>
      <c r="L2456" s="1077" t="s">
        <v>6905</v>
      </c>
      <c r="M2456" s="1077">
        <v>303.89999999999998</v>
      </c>
      <c r="N2456" s="1077" t="s">
        <v>945</v>
      </c>
      <c r="O2456" s="1077">
        <v>7.5975000000000001</v>
      </c>
      <c r="P2456" s="1077">
        <v>6.0779999999999994</v>
      </c>
      <c r="Q2456" s="1077">
        <v>3.5</v>
      </c>
      <c r="R2456" s="1077">
        <v>24.5</v>
      </c>
      <c r="T2456" s="1077">
        <v>12.7</v>
      </c>
      <c r="U2456" s="1077">
        <v>2.6</v>
      </c>
      <c r="V2456" s="1077" t="s">
        <v>648</v>
      </c>
      <c r="W2456" s="1077" t="s">
        <v>2532</v>
      </c>
      <c r="X2456" s="1077">
        <v>10</v>
      </c>
      <c r="Y2456" s="1077">
        <v>1.5</v>
      </c>
      <c r="Z2456" s="1077" t="s">
        <v>648</v>
      </c>
      <c r="AA2456" s="1077" t="s">
        <v>7596</v>
      </c>
      <c r="AH2456" s="1077" t="s">
        <v>887</v>
      </c>
      <c r="AM2456" s="1078" t="s">
        <v>13853</v>
      </c>
      <c r="AN2456" s="1078" t="s">
        <v>13854</v>
      </c>
      <c r="AO2456" s="1078">
        <f t="shared" si="310"/>
        <v>600</v>
      </c>
      <c r="AP2456" s="1078">
        <f t="shared" si="311"/>
        <v>1.8</v>
      </c>
      <c r="AQ2456" s="1078" t="str">
        <f t="shared" si="312"/>
        <v>1-5-1S83°Z+S</v>
      </c>
      <c r="AR2456" s="1078" t="str">
        <f t="shared" si="313"/>
        <v>33.6</v>
      </c>
      <c r="AS2456" s="1078" t="str">
        <f t="shared" si="314"/>
        <v>310/310/190</v>
      </c>
      <c r="AT2456" s="1078" t="str">
        <f t="shared" si="315"/>
        <v>1-5-1S83°Z+S</v>
      </c>
      <c r="AU2456" s="1078" t="s">
        <v>15547</v>
      </c>
      <c r="AV2456" s="1078" t="str">
        <f t="shared" si="308"/>
        <v>110.8.14</v>
      </c>
      <c r="AW2456" s="1344">
        <f t="shared" si="309"/>
        <v>44422</v>
      </c>
    </row>
    <row r="2457" spans="1:49">
      <c r="A2457" s="1077" t="s">
        <v>7597</v>
      </c>
      <c r="B2457" s="1077" t="s">
        <v>6951</v>
      </c>
      <c r="C2457" s="1077">
        <v>600</v>
      </c>
      <c r="D2457" s="1077">
        <v>1.7350000000000001</v>
      </c>
      <c r="E2457" s="1077" t="s">
        <v>15116</v>
      </c>
      <c r="F2457" s="1077" t="s">
        <v>2234</v>
      </c>
      <c r="G2457" s="1077">
        <v>3.5</v>
      </c>
      <c r="H2457" s="1077" t="s">
        <v>6952</v>
      </c>
      <c r="I2457" s="1077" t="s">
        <v>7150</v>
      </c>
      <c r="K2457" s="1077" t="s">
        <v>7481</v>
      </c>
      <c r="L2457" s="1077" t="s">
        <v>6955</v>
      </c>
      <c r="M2457" s="1077">
        <v>310</v>
      </c>
      <c r="N2457" s="1077" t="s">
        <v>945</v>
      </c>
      <c r="O2457" s="1077">
        <v>7.75</v>
      </c>
      <c r="P2457" s="1077">
        <v>6.2</v>
      </c>
      <c r="Q2457" s="1077">
        <v>3.5</v>
      </c>
      <c r="R2457" s="1077">
        <v>25</v>
      </c>
      <c r="T2457" s="1077">
        <v>23</v>
      </c>
      <c r="U2457" s="1077">
        <v>3.2</v>
      </c>
      <c r="V2457" s="1077" t="s">
        <v>648</v>
      </c>
      <c r="W2457" s="1077">
        <v>115</v>
      </c>
      <c r="X2457" s="1077">
        <v>85</v>
      </c>
      <c r="Y2457" s="1077">
        <v>1.2</v>
      </c>
      <c r="Z2457" s="1077" t="s">
        <v>648</v>
      </c>
      <c r="AA2457" s="1077" t="s">
        <v>7598</v>
      </c>
      <c r="AH2457" s="1077" t="s">
        <v>622</v>
      </c>
      <c r="AM2457" s="1078" t="s">
        <v>13855</v>
      </c>
      <c r="AN2457" s="1078" t="s">
        <v>13856</v>
      </c>
      <c r="AO2457" s="1078">
        <f t="shared" si="310"/>
        <v>600</v>
      </c>
      <c r="AP2457" s="1078">
        <f t="shared" si="311"/>
        <v>1.7350000000000001</v>
      </c>
      <c r="AQ2457" s="1078" t="str">
        <f t="shared" si="312"/>
        <v>1-5-1S83°Z+S</v>
      </c>
      <c r="AR2457" s="1078" t="str">
        <f t="shared" si="313"/>
        <v>33.5</v>
      </c>
      <c r="AS2457" s="1078" t="str">
        <f t="shared" si="314"/>
        <v>340/340/140</v>
      </c>
      <c r="AT2457" s="1078" t="str">
        <f t="shared" si="315"/>
        <v>1-5-1S83°Z+S</v>
      </c>
      <c r="AU2457" s="1078" t="s">
        <v>15547</v>
      </c>
      <c r="AV2457" s="1078" t="str">
        <f t="shared" si="308"/>
        <v>110.8.17</v>
      </c>
      <c r="AW2457" s="1344">
        <f t="shared" si="309"/>
        <v>44425</v>
      </c>
    </row>
    <row r="2458" spans="1:49">
      <c r="A2458" s="1077" t="s">
        <v>7599</v>
      </c>
      <c r="B2458" s="1077" t="s">
        <v>7132</v>
      </c>
      <c r="C2458" s="1077">
        <v>600</v>
      </c>
      <c r="D2458" s="1077">
        <v>1.7849999999999999</v>
      </c>
      <c r="E2458" s="1077" t="s">
        <v>15116</v>
      </c>
      <c r="F2458" s="1077" t="s">
        <v>2234</v>
      </c>
      <c r="G2458" s="1077">
        <v>3.5</v>
      </c>
      <c r="H2458" s="1077" t="s">
        <v>6952</v>
      </c>
      <c r="I2458" s="1077" t="s">
        <v>7446</v>
      </c>
      <c r="K2458" s="1077" t="s">
        <v>7464</v>
      </c>
      <c r="L2458" s="1077" t="s">
        <v>7134</v>
      </c>
      <c r="M2458" s="1077">
        <v>310</v>
      </c>
      <c r="N2458" s="1077" t="s">
        <v>945</v>
      </c>
      <c r="O2458" s="1077">
        <v>7.75</v>
      </c>
      <c r="P2458" s="1077">
        <v>6.2</v>
      </c>
      <c r="Q2458" s="1077">
        <v>3.5</v>
      </c>
      <c r="R2458" s="1077">
        <v>21</v>
      </c>
      <c r="T2458" s="1077">
        <v>24</v>
      </c>
      <c r="U2458" s="1077">
        <v>3.4</v>
      </c>
      <c r="V2458" s="1077" t="s">
        <v>648</v>
      </c>
      <c r="W2458" s="1077">
        <v>115</v>
      </c>
      <c r="X2458" s="1077">
        <v>85</v>
      </c>
      <c r="Y2458" s="1077">
        <v>1.2</v>
      </c>
      <c r="Z2458" s="1077" t="s">
        <v>648</v>
      </c>
      <c r="AA2458" s="1077" t="s">
        <v>3708</v>
      </c>
      <c r="AH2458" s="1077" t="s">
        <v>724</v>
      </c>
      <c r="AM2458" s="1078" t="s">
        <v>13857</v>
      </c>
      <c r="AN2458" s="1078" t="s">
        <v>13858</v>
      </c>
      <c r="AO2458" s="1078">
        <f t="shared" si="310"/>
        <v>600</v>
      </c>
      <c r="AP2458" s="1078">
        <f t="shared" si="311"/>
        <v>1.7849999999999999</v>
      </c>
      <c r="AQ2458" s="1078" t="str">
        <f t="shared" si="312"/>
        <v>1-5-1S83°Z+S</v>
      </c>
      <c r="AR2458" s="1078" t="str">
        <f t="shared" si="313"/>
        <v>33.5</v>
      </c>
      <c r="AS2458" s="1078" t="str">
        <f t="shared" si="314"/>
        <v>340/340/140</v>
      </c>
      <c r="AT2458" s="1078" t="str">
        <f t="shared" si="315"/>
        <v>1-5-1S83°Z+S</v>
      </c>
      <c r="AU2458" s="1078" t="s">
        <v>15547</v>
      </c>
      <c r="AV2458" s="1078" t="str">
        <f t="shared" si="308"/>
        <v>110.8.20</v>
      </c>
      <c r="AW2458" s="1344">
        <f t="shared" si="309"/>
        <v>44428</v>
      </c>
    </row>
    <row r="2459" spans="1:49">
      <c r="A2459" s="1077" t="s">
        <v>7600</v>
      </c>
      <c r="B2459" s="1077" t="s">
        <v>7205</v>
      </c>
      <c r="C2459" s="1077">
        <v>550</v>
      </c>
      <c r="D2459" s="1077">
        <v>1.752</v>
      </c>
      <c r="E2459" s="1077">
        <v>102.5</v>
      </c>
      <c r="F2459" s="1077" t="s">
        <v>4070</v>
      </c>
      <c r="G2459" s="1077">
        <v>5</v>
      </c>
      <c r="H2459" s="1077" t="s">
        <v>7601</v>
      </c>
      <c r="I2459" s="1077" t="s">
        <v>7516</v>
      </c>
      <c r="J2459" s="1077">
        <v>3</v>
      </c>
      <c r="K2459" s="1077" t="s">
        <v>7602</v>
      </c>
      <c r="L2459" s="1077" t="s">
        <v>7603</v>
      </c>
      <c r="M2459" s="1077">
        <v>293.3</v>
      </c>
      <c r="N2459" s="1077" t="s">
        <v>945</v>
      </c>
      <c r="O2459" s="1077">
        <v>7.3325000000000005</v>
      </c>
      <c r="P2459" s="1077">
        <v>5.8660000000000005</v>
      </c>
      <c r="Q2459" s="1077">
        <v>4</v>
      </c>
      <c r="R2459" s="1077">
        <v>19</v>
      </c>
      <c r="T2459" s="1077">
        <v>27</v>
      </c>
      <c r="U2459" s="1077">
        <v>3.5</v>
      </c>
      <c r="V2459" s="1077" t="s">
        <v>648</v>
      </c>
      <c r="W2459" s="1077">
        <v>135</v>
      </c>
      <c r="X2459" s="1077">
        <v>90</v>
      </c>
      <c r="Y2459" s="1077">
        <v>1.4</v>
      </c>
      <c r="Z2459" s="1077" t="s">
        <v>648</v>
      </c>
      <c r="AA2459" s="1077" t="s">
        <v>3713</v>
      </c>
      <c r="AH2459" s="1077" t="s">
        <v>5681</v>
      </c>
      <c r="AM2459" s="1078" t="s">
        <v>13859</v>
      </c>
      <c r="AN2459" s="1078" t="s">
        <v>13860</v>
      </c>
      <c r="AO2459" s="1078">
        <f t="shared" si="310"/>
        <v>550</v>
      </c>
      <c r="AP2459" s="1078">
        <f t="shared" si="311"/>
        <v>1.752</v>
      </c>
      <c r="AQ2459" s="1078">
        <f t="shared" si="312"/>
        <v>102.5</v>
      </c>
      <c r="AR2459" s="1078" t="str">
        <f t="shared" si="313"/>
        <v>15.5</v>
      </c>
      <c r="AS2459" s="1078" t="str">
        <f t="shared" si="314"/>
        <v>490/460/OFF</v>
      </c>
      <c r="AT2459" s="1078">
        <f t="shared" si="315"/>
        <v>102.5</v>
      </c>
      <c r="AV2459" s="1078" t="str">
        <f t="shared" si="308"/>
        <v>110.8.26</v>
      </c>
      <c r="AW2459" s="1344">
        <f t="shared" si="309"/>
        <v>44434</v>
      </c>
    </row>
    <row r="2460" spans="1:49">
      <c r="A2460" s="1077" t="s">
        <v>7604</v>
      </c>
      <c r="B2460" s="1077" t="s">
        <v>7005</v>
      </c>
      <c r="C2460" s="1077">
        <v>600</v>
      </c>
      <c r="D2460" s="1077">
        <v>1.7350000000000001</v>
      </c>
      <c r="E2460" s="1077" t="s">
        <v>15116</v>
      </c>
      <c r="F2460" s="1077" t="s">
        <v>2234</v>
      </c>
      <c r="G2460" s="1077">
        <v>3.5</v>
      </c>
      <c r="H2460" s="1077" t="s">
        <v>6952</v>
      </c>
      <c r="I2460" s="1077" t="s">
        <v>7001</v>
      </c>
      <c r="K2460" s="1077" t="s">
        <v>7006</v>
      </c>
      <c r="L2460" s="1077" t="s">
        <v>7007</v>
      </c>
      <c r="M2460" s="1077">
        <v>310</v>
      </c>
      <c r="N2460" s="1077" t="s">
        <v>945</v>
      </c>
      <c r="O2460" s="1077">
        <v>7.75</v>
      </c>
      <c r="P2460" s="1077">
        <v>6.2</v>
      </c>
      <c r="Q2460" s="1077">
        <v>3.5</v>
      </c>
      <c r="R2460" s="1077">
        <v>22</v>
      </c>
      <c r="T2460" s="1077">
        <v>13.5</v>
      </c>
      <c r="U2460" s="1077">
        <v>3.2</v>
      </c>
      <c r="V2460" s="1077" t="s">
        <v>648</v>
      </c>
      <c r="W2460" s="1077">
        <v>100</v>
      </c>
      <c r="X2460" s="1077">
        <v>85</v>
      </c>
      <c r="Y2460" s="1077">
        <v>1.2</v>
      </c>
      <c r="Z2460" s="1077" t="s">
        <v>648</v>
      </c>
      <c r="AA2460" s="1077" t="s">
        <v>5982</v>
      </c>
      <c r="AH2460" s="1077" t="s">
        <v>2055</v>
      </c>
      <c r="AM2460" s="1078" t="s">
        <v>13861</v>
      </c>
      <c r="AN2460" s="1078" t="s">
        <v>13862</v>
      </c>
      <c r="AO2460" s="1078">
        <f t="shared" si="310"/>
        <v>600</v>
      </c>
      <c r="AP2460" s="1078">
        <f t="shared" si="311"/>
        <v>1.7350000000000001</v>
      </c>
      <c r="AQ2460" s="1078" t="str">
        <f t="shared" si="312"/>
        <v>1-5-1S83°Z+S</v>
      </c>
      <c r="AR2460" s="1078" t="str">
        <f t="shared" si="313"/>
        <v>33.5</v>
      </c>
      <c r="AS2460" s="1078" t="str">
        <f t="shared" si="314"/>
        <v>340/340/140</v>
      </c>
      <c r="AT2460" s="1078" t="str">
        <f t="shared" si="315"/>
        <v>1-5-1S83°Z+S</v>
      </c>
      <c r="AU2460" s="1078" t="s">
        <v>15547</v>
      </c>
      <c r="AV2460" s="1078" t="str">
        <f t="shared" si="308"/>
        <v>110.8.31</v>
      </c>
      <c r="AW2460" s="1344">
        <f t="shared" si="309"/>
        <v>44439</v>
      </c>
    </row>
    <row r="2461" spans="1:49">
      <c r="A2461" s="1077" t="s">
        <v>7605</v>
      </c>
      <c r="B2461" s="1077" t="s">
        <v>7114</v>
      </c>
      <c r="C2461" s="1077">
        <v>600</v>
      </c>
      <c r="D2461" s="1077">
        <v>1.7649999999999999</v>
      </c>
      <c r="E2461" s="1077" t="s">
        <v>15122</v>
      </c>
      <c r="F2461" s="1077" t="s">
        <v>984</v>
      </c>
      <c r="G2461" s="1077">
        <v>5</v>
      </c>
      <c r="H2461" s="1077" t="s">
        <v>2876</v>
      </c>
      <c r="I2461" s="1077" t="s">
        <v>6983</v>
      </c>
      <c r="J2461" s="1077">
        <v>3</v>
      </c>
      <c r="K2461" s="1077" t="s">
        <v>7606</v>
      </c>
      <c r="L2461" s="1077" t="s">
        <v>4854</v>
      </c>
      <c r="M2461" s="1077">
        <v>296</v>
      </c>
      <c r="N2461" s="1077" t="s">
        <v>945</v>
      </c>
      <c r="O2461" s="1077">
        <v>7.4</v>
      </c>
      <c r="P2461" s="1077">
        <v>5.92</v>
      </c>
      <c r="Q2461" s="1077" t="s">
        <v>7607</v>
      </c>
      <c r="R2461" s="1077">
        <v>27</v>
      </c>
      <c r="T2461" s="1077">
        <v>17.5</v>
      </c>
      <c r="U2461" s="1077">
        <v>6</v>
      </c>
      <c r="V2461" s="1077" t="s">
        <v>648</v>
      </c>
      <c r="W2461" s="1077">
        <v>90</v>
      </c>
      <c r="X2461" s="1077">
        <v>10</v>
      </c>
      <c r="Y2461" s="1077">
        <v>1.2</v>
      </c>
      <c r="Z2461" s="1077" t="s">
        <v>648</v>
      </c>
      <c r="AA2461" s="1077" t="s">
        <v>1432</v>
      </c>
      <c r="AH2461" s="1077" t="s">
        <v>1684</v>
      </c>
      <c r="AM2461" s="1078" t="s">
        <v>13863</v>
      </c>
      <c r="AN2461" s="1078" t="s">
        <v>13864</v>
      </c>
      <c r="AO2461" s="1078">
        <f t="shared" si="310"/>
        <v>600</v>
      </c>
      <c r="AP2461" s="1078">
        <f t="shared" si="311"/>
        <v>1.7649999999999999</v>
      </c>
      <c r="AQ2461" s="1078" t="str">
        <f t="shared" si="312"/>
        <v>1-5-1S91°Z+S</v>
      </c>
      <c r="AR2461" s="1078" t="str">
        <f t="shared" si="313"/>
        <v>30</v>
      </c>
      <c r="AS2461" s="1078" t="str">
        <f t="shared" si="314"/>
        <v>290/290/OFF</v>
      </c>
      <c r="AT2461" s="1078" t="str">
        <f t="shared" si="315"/>
        <v>1-5-1S91°Z+S</v>
      </c>
      <c r="AU2461" s="1078" t="s">
        <v>15547</v>
      </c>
      <c r="AV2461" s="1078" t="str">
        <f t="shared" si="308"/>
        <v>110.8.30</v>
      </c>
      <c r="AW2461" s="1344">
        <f t="shared" si="309"/>
        <v>44438</v>
      </c>
    </row>
    <row r="2462" spans="1:49">
      <c r="A2462" s="1077" t="s">
        <v>7608</v>
      </c>
      <c r="B2462" s="1077" t="s">
        <v>7114</v>
      </c>
      <c r="C2462" s="1077">
        <v>600</v>
      </c>
      <c r="D2462" s="1077">
        <v>1.7450000000000001</v>
      </c>
      <c r="E2462" s="1077" t="s">
        <v>15122</v>
      </c>
      <c r="F2462" s="1077" t="s">
        <v>984</v>
      </c>
      <c r="G2462" s="1077">
        <v>5</v>
      </c>
      <c r="H2462" s="1077" t="s">
        <v>1806</v>
      </c>
      <c r="I2462" s="1077" t="s">
        <v>6896</v>
      </c>
      <c r="J2462" s="1077">
        <v>3</v>
      </c>
      <c r="K2462" s="1077" t="s">
        <v>7606</v>
      </c>
      <c r="L2462" s="1077" t="s">
        <v>4854</v>
      </c>
      <c r="M2462" s="1077">
        <v>300.7</v>
      </c>
      <c r="N2462" s="1077" t="s">
        <v>945</v>
      </c>
      <c r="O2462" s="1077">
        <v>7.5175000000000001</v>
      </c>
      <c r="P2462" s="1077">
        <v>6.0140000000000002</v>
      </c>
      <c r="Q2462" s="1077">
        <v>3</v>
      </c>
      <c r="R2462" s="1077">
        <v>28.5</v>
      </c>
      <c r="T2462" s="1077">
        <v>14.7</v>
      </c>
      <c r="U2462" s="1077">
        <v>6.1</v>
      </c>
      <c r="V2462" s="1077" t="s">
        <v>648</v>
      </c>
      <c r="W2462" s="1077">
        <v>115</v>
      </c>
      <c r="X2462" s="1077">
        <v>45</v>
      </c>
      <c r="Y2462" s="1077">
        <v>1.5</v>
      </c>
      <c r="Z2462" s="1077" t="s">
        <v>648</v>
      </c>
      <c r="AA2462" s="1077" t="s">
        <v>5982</v>
      </c>
      <c r="AH2462" s="1077" t="s">
        <v>724</v>
      </c>
      <c r="AM2462" s="1078" t="s">
        <v>13865</v>
      </c>
      <c r="AN2462" s="1078" t="s">
        <v>13866</v>
      </c>
      <c r="AO2462" s="1078">
        <f t="shared" si="310"/>
        <v>600</v>
      </c>
      <c r="AP2462" s="1078">
        <f t="shared" si="311"/>
        <v>1.7450000000000001</v>
      </c>
      <c r="AQ2462" s="1078" t="str">
        <f t="shared" si="312"/>
        <v>1-5-1S91°Z+S</v>
      </c>
      <c r="AR2462" s="1078" t="str">
        <f t="shared" si="313"/>
        <v>30</v>
      </c>
      <c r="AS2462" s="1078" t="str">
        <f t="shared" si="314"/>
        <v>280/280/OFF</v>
      </c>
      <c r="AT2462" s="1078" t="str">
        <f t="shared" si="315"/>
        <v>1-5-1S91°Z+S</v>
      </c>
      <c r="AU2462" s="1078" t="s">
        <v>15547</v>
      </c>
      <c r="AV2462" s="1078" t="str">
        <f t="shared" si="308"/>
        <v>110.8.31</v>
      </c>
      <c r="AW2462" s="1344">
        <f t="shared" si="309"/>
        <v>44439</v>
      </c>
    </row>
    <row r="2463" spans="1:49">
      <c r="A2463" s="1077" t="s">
        <v>7609</v>
      </c>
      <c r="B2463" s="1077" t="s">
        <v>714</v>
      </c>
      <c r="C2463" s="1077">
        <v>600</v>
      </c>
      <c r="D2463" s="1077">
        <v>1.7569999999999999</v>
      </c>
      <c r="E2463" s="1077" t="s">
        <v>15109</v>
      </c>
      <c r="F2463" s="1077" t="s">
        <v>648</v>
      </c>
      <c r="G2463" s="1077" t="s">
        <v>6865</v>
      </c>
      <c r="H2463" s="1077" t="s">
        <v>5505</v>
      </c>
      <c r="I2463" s="1077" t="s">
        <v>7443</v>
      </c>
      <c r="J2463" s="1077">
        <v>3.7</v>
      </c>
      <c r="K2463" s="1077" t="s">
        <v>7610</v>
      </c>
      <c r="L2463" s="1077" t="s">
        <v>4666</v>
      </c>
      <c r="M2463" s="1077">
        <v>300.8</v>
      </c>
      <c r="N2463" s="1077" t="s">
        <v>945</v>
      </c>
      <c r="O2463" s="1077">
        <v>7.5200000000000005</v>
      </c>
      <c r="P2463" s="1077">
        <v>6.016</v>
      </c>
      <c r="Q2463" s="1077">
        <v>4</v>
      </c>
      <c r="R2463" s="1077">
        <v>17</v>
      </c>
      <c r="T2463" s="1077">
        <v>31.4</v>
      </c>
      <c r="U2463" s="1077">
        <v>3.6</v>
      </c>
      <c r="V2463" s="1077" t="s">
        <v>648</v>
      </c>
      <c r="W2463" s="1077">
        <v>65</v>
      </c>
      <c r="X2463" s="1077">
        <v>10</v>
      </c>
      <c r="Y2463" s="1077">
        <v>1.5</v>
      </c>
      <c r="Z2463" s="1077" t="s">
        <v>648</v>
      </c>
      <c r="AA2463" s="1077" t="s">
        <v>5294</v>
      </c>
      <c r="AH2463" s="1077" t="s">
        <v>853</v>
      </c>
      <c r="AM2463" s="1078" t="s">
        <v>13867</v>
      </c>
      <c r="AN2463" s="1078" t="s">
        <v>13868</v>
      </c>
      <c r="AO2463" s="1078">
        <f t="shared" si="310"/>
        <v>600</v>
      </c>
      <c r="AP2463" s="1078">
        <f t="shared" si="311"/>
        <v>1.7569999999999999</v>
      </c>
      <c r="AQ2463" s="1078" t="str">
        <f t="shared" si="312"/>
        <v>1-5-1S85°Z+S</v>
      </c>
      <c r="AR2463" s="1078" t="str">
        <f t="shared" si="313"/>
        <v>NA</v>
      </c>
      <c r="AS2463" s="1078" t="str">
        <f t="shared" si="314"/>
        <v>192/OFF</v>
      </c>
      <c r="AT2463" s="1078" t="str">
        <f t="shared" si="315"/>
        <v>1-5-1S85°Z+S</v>
      </c>
      <c r="AU2463" s="1078" t="s">
        <v>15547</v>
      </c>
      <c r="AV2463" s="1078" t="str">
        <f t="shared" si="308"/>
        <v>110.9.1</v>
      </c>
      <c r="AW2463" s="1344">
        <f t="shared" si="309"/>
        <v>44440</v>
      </c>
    </row>
    <row r="2464" spans="1:49">
      <c r="A2464" s="1077" t="s">
        <v>7611</v>
      </c>
      <c r="B2464" s="1077" t="s">
        <v>714</v>
      </c>
      <c r="C2464" s="1077">
        <v>550</v>
      </c>
      <c r="D2464" s="1077">
        <v>1.76</v>
      </c>
      <c r="E2464" s="1077">
        <v>102.5</v>
      </c>
      <c r="F2464" s="1077" t="s">
        <v>4070</v>
      </c>
      <c r="G2464" s="1077" t="s">
        <v>6865</v>
      </c>
      <c r="H2464" s="1077" t="s">
        <v>7349</v>
      </c>
      <c r="I2464" s="1077" t="s">
        <v>6873</v>
      </c>
      <c r="J2464" s="1077">
        <v>3.7</v>
      </c>
      <c r="K2464" s="1077" t="s">
        <v>7497</v>
      </c>
      <c r="L2464" s="1077" t="s">
        <v>4666</v>
      </c>
      <c r="M2464" s="1077">
        <v>300.3</v>
      </c>
      <c r="N2464" s="1077" t="s">
        <v>945</v>
      </c>
      <c r="O2464" s="1077">
        <v>7.5075000000000003</v>
      </c>
      <c r="P2464" s="1077">
        <v>6.0060000000000002</v>
      </c>
      <c r="Q2464" s="1077">
        <v>4</v>
      </c>
      <c r="R2464" s="1077">
        <v>18.899999999999999</v>
      </c>
      <c r="T2464" s="1077">
        <v>26.9</v>
      </c>
      <c r="U2464" s="1077">
        <v>3.7</v>
      </c>
      <c r="V2464" s="1077" t="s">
        <v>648</v>
      </c>
      <c r="W2464" s="1077">
        <v>60</v>
      </c>
      <c r="X2464" s="1077">
        <v>10</v>
      </c>
      <c r="Y2464" s="1077">
        <v>1.1000000000000001</v>
      </c>
      <c r="Z2464" s="1077" t="s">
        <v>648</v>
      </c>
      <c r="AA2464" s="1077" t="s">
        <v>3716</v>
      </c>
      <c r="AH2464" s="1077" t="s">
        <v>1376</v>
      </c>
      <c r="AM2464" s="1078" t="s">
        <v>13869</v>
      </c>
      <c r="AN2464" s="1078" t="s">
        <v>13870</v>
      </c>
      <c r="AO2464" s="1078">
        <f t="shared" si="310"/>
        <v>550</v>
      </c>
      <c r="AP2464" s="1078">
        <f t="shared" si="311"/>
        <v>1.76</v>
      </c>
      <c r="AQ2464" s="1078">
        <f t="shared" si="312"/>
        <v>102.5</v>
      </c>
      <c r="AR2464" s="1078" t="str">
        <f t="shared" si="313"/>
        <v>15.5</v>
      </c>
      <c r="AS2464" s="1078" t="str">
        <f t="shared" si="314"/>
        <v>440/400/OFF</v>
      </c>
      <c r="AT2464" s="1078">
        <f t="shared" si="315"/>
        <v>102.5</v>
      </c>
      <c r="AV2464" s="1078" t="str">
        <f t="shared" si="308"/>
        <v>110.9.3</v>
      </c>
      <c r="AW2464" s="1344">
        <f t="shared" si="309"/>
        <v>44442</v>
      </c>
    </row>
    <row r="2465" spans="1:49">
      <c r="A2465" s="1077" t="s">
        <v>7612</v>
      </c>
      <c r="B2465" s="1077" t="s">
        <v>6940</v>
      </c>
      <c r="C2465" s="1077">
        <v>500</v>
      </c>
      <c r="D2465" s="1077">
        <v>1.77</v>
      </c>
      <c r="E2465" s="1077" t="s">
        <v>15122</v>
      </c>
      <c r="F2465" s="1077" t="s">
        <v>984</v>
      </c>
      <c r="G2465" s="1077">
        <v>5</v>
      </c>
      <c r="H2465" s="1077" t="s">
        <v>2009</v>
      </c>
      <c r="I2465" s="1077" t="s">
        <v>6988</v>
      </c>
      <c r="J2465" s="1077">
        <v>1</v>
      </c>
      <c r="K2465" s="1077" t="s">
        <v>7613</v>
      </c>
      <c r="L2465" s="1077" t="s">
        <v>7614</v>
      </c>
      <c r="M2465" s="1077">
        <v>308.39999999999998</v>
      </c>
      <c r="N2465" s="1077" t="s">
        <v>945</v>
      </c>
      <c r="O2465" s="1077">
        <v>7.71</v>
      </c>
      <c r="P2465" s="1077">
        <v>6.1679999999999993</v>
      </c>
      <c r="Q2465" s="1077">
        <v>2.8</v>
      </c>
      <c r="R2465" s="1077">
        <v>29.5</v>
      </c>
      <c r="T2465" s="1077">
        <v>14.5</v>
      </c>
      <c r="U2465" s="1077">
        <v>5</v>
      </c>
      <c r="V2465" s="1077" t="s">
        <v>648</v>
      </c>
      <c r="W2465" s="1077" t="s">
        <v>6990</v>
      </c>
      <c r="X2465" s="1077">
        <v>10</v>
      </c>
      <c r="Y2465" s="1077">
        <v>1.7</v>
      </c>
      <c r="Z2465" s="1077" t="s">
        <v>648</v>
      </c>
      <c r="AA2465" s="1077" t="s">
        <v>3716</v>
      </c>
      <c r="AH2465" s="1077" t="s">
        <v>1186</v>
      </c>
      <c r="AM2465" s="1078" t="s">
        <v>13871</v>
      </c>
      <c r="AN2465" s="1078" t="s">
        <v>13872</v>
      </c>
      <c r="AO2465" s="1078">
        <f t="shared" si="310"/>
        <v>500</v>
      </c>
      <c r="AP2465" s="1078">
        <f t="shared" si="311"/>
        <v>1.77</v>
      </c>
      <c r="AQ2465" s="1078" t="str">
        <f t="shared" si="312"/>
        <v>1-5-1S91°Z+S</v>
      </c>
      <c r="AR2465" s="1078" t="str">
        <f t="shared" si="313"/>
        <v>30</v>
      </c>
      <c r="AS2465" s="1078" t="str">
        <f t="shared" si="314"/>
        <v>265/265/OFF</v>
      </c>
      <c r="AT2465" s="1078" t="str">
        <f t="shared" si="315"/>
        <v>1-5-1S91°Z+S</v>
      </c>
      <c r="AU2465" s="1078" t="s">
        <v>15547</v>
      </c>
      <c r="AV2465" s="1078" t="str">
        <f t="shared" si="308"/>
        <v>110.9.3</v>
      </c>
      <c r="AW2465" s="1344">
        <f t="shared" si="309"/>
        <v>44442</v>
      </c>
    </row>
    <row r="2466" spans="1:49">
      <c r="A2466" s="1077" t="s">
        <v>7615</v>
      </c>
      <c r="B2466" s="1077" t="s">
        <v>7019</v>
      </c>
      <c r="C2466" s="1077">
        <v>550</v>
      </c>
      <c r="D2466" s="1077">
        <v>1.7350000000000001</v>
      </c>
      <c r="E2466" s="1077">
        <v>102.5</v>
      </c>
      <c r="F2466" s="1077" t="s">
        <v>4070</v>
      </c>
      <c r="G2466" s="1077">
        <v>5.5</v>
      </c>
      <c r="H2466" s="1077" t="s">
        <v>7553</v>
      </c>
      <c r="I2466" s="1077" t="s">
        <v>7087</v>
      </c>
      <c r="K2466" s="1077" t="s">
        <v>7534</v>
      </c>
      <c r="L2466" s="1077" t="s">
        <v>7424</v>
      </c>
      <c r="M2466" s="1077">
        <v>295</v>
      </c>
      <c r="N2466" s="1077" t="s">
        <v>945</v>
      </c>
      <c r="O2466" s="1077">
        <v>7.375</v>
      </c>
      <c r="P2466" s="1077">
        <v>5.9</v>
      </c>
      <c r="Q2466" s="1077">
        <v>4</v>
      </c>
      <c r="R2466" s="1077">
        <v>19</v>
      </c>
      <c r="T2466" s="1077">
        <v>27.8</v>
      </c>
      <c r="U2466" s="1077">
        <v>3.9</v>
      </c>
      <c r="V2466" s="1077" t="s">
        <v>648</v>
      </c>
      <c r="W2466" s="1077">
        <v>125</v>
      </c>
      <c r="X2466" s="1077">
        <v>90</v>
      </c>
      <c r="Y2466" s="1077">
        <v>1.5</v>
      </c>
      <c r="Z2466" s="1077" t="s">
        <v>648</v>
      </c>
      <c r="AA2466" s="1077" t="s">
        <v>3722</v>
      </c>
      <c r="AH2466" s="1077" t="s">
        <v>723</v>
      </c>
      <c r="AM2466" s="1078" t="s">
        <v>13873</v>
      </c>
      <c r="AN2466" s="1078" t="s">
        <v>13874</v>
      </c>
      <c r="AO2466" s="1078">
        <f t="shared" si="310"/>
        <v>550</v>
      </c>
      <c r="AP2466" s="1078">
        <f t="shared" si="311"/>
        <v>1.7350000000000001</v>
      </c>
      <c r="AQ2466" s="1078">
        <f t="shared" si="312"/>
        <v>102.5</v>
      </c>
      <c r="AR2466" s="1078" t="str">
        <f t="shared" si="313"/>
        <v>15.5</v>
      </c>
      <c r="AS2466" s="1078" t="str">
        <f t="shared" si="314"/>
        <v>450/420/OFF</v>
      </c>
      <c r="AT2466" s="1078">
        <f t="shared" si="315"/>
        <v>102.5</v>
      </c>
      <c r="AV2466" s="1078" t="str">
        <f t="shared" si="308"/>
        <v>110.9.8</v>
      </c>
      <c r="AW2466" s="1344">
        <f t="shared" si="309"/>
        <v>44447</v>
      </c>
    </row>
    <row r="2467" spans="1:49">
      <c r="A2467" s="1077" t="s">
        <v>7616</v>
      </c>
      <c r="B2467" s="1077" t="s">
        <v>7617</v>
      </c>
      <c r="C2467" s="1077">
        <v>600</v>
      </c>
      <c r="D2467" s="1077">
        <v>1.72</v>
      </c>
      <c r="E2467" s="1077" t="s">
        <v>15116</v>
      </c>
      <c r="F2467" s="1077" t="s">
        <v>2234</v>
      </c>
      <c r="G2467" s="1077">
        <v>5</v>
      </c>
      <c r="H2467" s="1077" t="s">
        <v>6952</v>
      </c>
      <c r="I2467" s="1077" t="s">
        <v>7001</v>
      </c>
      <c r="K2467" s="1077" t="s">
        <v>7618</v>
      </c>
      <c r="L2467" s="1077" t="s">
        <v>7619</v>
      </c>
      <c r="M2467" s="1077">
        <v>310</v>
      </c>
      <c r="N2467" s="1077" t="s">
        <v>945</v>
      </c>
      <c r="O2467" s="1077">
        <v>7.75</v>
      </c>
      <c r="P2467" s="1077">
        <v>6.2</v>
      </c>
      <c r="Q2467" s="1077" t="s">
        <v>1264</v>
      </c>
      <c r="R2467" s="1077">
        <v>20</v>
      </c>
      <c r="T2467" s="1077">
        <v>13.5</v>
      </c>
      <c r="U2467" s="1077">
        <v>3.2</v>
      </c>
      <c r="V2467" s="1077" t="s">
        <v>648</v>
      </c>
      <c r="W2467" s="1077">
        <v>100</v>
      </c>
      <c r="X2467" s="1077">
        <v>85</v>
      </c>
      <c r="Y2467" s="1077">
        <v>1.2</v>
      </c>
      <c r="Z2467" s="1077" t="s">
        <v>648</v>
      </c>
      <c r="AA2467" s="1077" t="s">
        <v>4263</v>
      </c>
      <c r="AH2467" s="1077" t="s">
        <v>3213</v>
      </c>
      <c r="AM2467" s="1078" t="s">
        <v>13875</v>
      </c>
      <c r="AN2467" s="1078" t="s">
        <v>13876</v>
      </c>
      <c r="AO2467" s="1078">
        <f t="shared" si="310"/>
        <v>600</v>
      </c>
      <c r="AP2467" s="1078">
        <f t="shared" si="311"/>
        <v>1.72</v>
      </c>
      <c r="AQ2467" s="1078" t="str">
        <f t="shared" si="312"/>
        <v>1-5-1S83°Z+S</v>
      </c>
      <c r="AR2467" s="1078" t="str">
        <f t="shared" si="313"/>
        <v>33.5</v>
      </c>
      <c r="AS2467" s="1078" t="str">
        <f t="shared" si="314"/>
        <v>340/340/140</v>
      </c>
      <c r="AT2467" s="1078" t="str">
        <f t="shared" si="315"/>
        <v>1-5-1S83°Z+S</v>
      </c>
      <c r="AU2467" s="1078" t="s">
        <v>15547</v>
      </c>
      <c r="AV2467" s="1078" t="str">
        <f t="shared" si="308"/>
        <v>108.2.11</v>
      </c>
      <c r="AW2467" s="1344">
        <f t="shared" si="309"/>
        <v>43507</v>
      </c>
    </row>
    <row r="2468" spans="1:49">
      <c r="A2468" s="1077" t="s">
        <v>7620</v>
      </c>
      <c r="B2468" s="1077" t="s">
        <v>7005</v>
      </c>
      <c r="C2468" s="1077">
        <v>600</v>
      </c>
      <c r="D2468" s="1077">
        <v>1.72</v>
      </c>
      <c r="E2468" s="1077" t="s">
        <v>15116</v>
      </c>
      <c r="F2468" s="1077" t="s">
        <v>2234</v>
      </c>
      <c r="G2468" s="1077">
        <v>3.5</v>
      </c>
      <c r="H2468" s="1077" t="s">
        <v>6952</v>
      </c>
      <c r="I2468" s="1077" t="s">
        <v>7001</v>
      </c>
      <c r="K2468" s="1077" t="s">
        <v>7621</v>
      </c>
      <c r="L2468" s="1077" t="s">
        <v>7007</v>
      </c>
      <c r="M2468" s="1077">
        <v>310</v>
      </c>
      <c r="N2468" s="1077" t="s">
        <v>945</v>
      </c>
      <c r="O2468" s="1077">
        <v>7.75</v>
      </c>
      <c r="P2468" s="1077">
        <v>6.2</v>
      </c>
      <c r="Q2468" s="1077" t="s">
        <v>1264</v>
      </c>
      <c r="R2468" s="1077">
        <v>20</v>
      </c>
      <c r="T2468" s="1077">
        <v>13.5</v>
      </c>
      <c r="U2468" s="1077">
        <v>3.2</v>
      </c>
      <c r="V2468" s="1077" t="s">
        <v>648</v>
      </c>
      <c r="W2468" s="1077">
        <v>100</v>
      </c>
      <c r="X2468" s="1077">
        <v>85</v>
      </c>
      <c r="Y2468" s="1077">
        <v>1.2</v>
      </c>
      <c r="Z2468" s="1077" t="s">
        <v>648</v>
      </c>
      <c r="AA2468" s="1077" t="s">
        <v>2548</v>
      </c>
      <c r="AH2468" s="1077" t="s">
        <v>684</v>
      </c>
      <c r="AM2468" s="1078" t="s">
        <v>13877</v>
      </c>
      <c r="AN2468" s="1078" t="s">
        <v>13878</v>
      </c>
      <c r="AO2468" s="1078">
        <f t="shared" si="310"/>
        <v>600</v>
      </c>
      <c r="AP2468" s="1078">
        <f t="shared" si="311"/>
        <v>1.72</v>
      </c>
      <c r="AQ2468" s="1078" t="str">
        <f t="shared" si="312"/>
        <v>1-5-1S83°Z+S</v>
      </c>
      <c r="AR2468" s="1078" t="str">
        <f t="shared" si="313"/>
        <v>33.5</v>
      </c>
      <c r="AS2468" s="1078" t="str">
        <f t="shared" si="314"/>
        <v>340/340/140</v>
      </c>
      <c r="AT2468" s="1078" t="str">
        <f t="shared" si="315"/>
        <v>1-5-1S83°Z+S</v>
      </c>
      <c r="AU2468" s="1078" t="s">
        <v>15547</v>
      </c>
      <c r="AV2468" s="1078" t="str">
        <f t="shared" si="308"/>
        <v>108.2.13</v>
      </c>
      <c r="AW2468" s="1344">
        <f t="shared" si="309"/>
        <v>43509</v>
      </c>
    </row>
    <row r="2469" spans="1:49">
      <c r="A2469" s="1077" t="s">
        <v>7622</v>
      </c>
      <c r="B2469" s="1077" t="s">
        <v>7026</v>
      </c>
      <c r="C2469" s="1077">
        <v>650</v>
      </c>
      <c r="D2469" s="1077">
        <v>1.7849999999999999</v>
      </c>
      <c r="E2469" s="1077" t="s">
        <v>15124</v>
      </c>
      <c r="F2469" s="1077" t="s">
        <v>984</v>
      </c>
      <c r="G2469" s="1077">
        <v>5</v>
      </c>
      <c r="H2469" s="1077" t="s">
        <v>7623</v>
      </c>
      <c r="I2469" s="1077" t="s">
        <v>6983</v>
      </c>
      <c r="J2469" s="1077">
        <v>3.7</v>
      </c>
      <c r="K2469" s="1077" t="s">
        <v>7624</v>
      </c>
      <c r="L2469" s="1077" t="s">
        <v>4979</v>
      </c>
      <c r="M2469" s="1077">
        <v>293</v>
      </c>
      <c r="N2469" s="1077" t="s">
        <v>945</v>
      </c>
      <c r="O2469" s="1077">
        <v>7.3250000000000002</v>
      </c>
      <c r="P2469" s="1077">
        <v>5.86</v>
      </c>
      <c r="Q2469" s="1077" t="s">
        <v>1264</v>
      </c>
      <c r="R2469" s="1077">
        <v>17.8</v>
      </c>
      <c r="T2469" s="1077">
        <v>26.8</v>
      </c>
      <c r="U2469" s="1077">
        <v>3.2</v>
      </c>
      <c r="V2469" s="1077" t="s">
        <v>648</v>
      </c>
      <c r="W2469" s="1077" t="s">
        <v>6990</v>
      </c>
      <c r="X2469" s="1077">
        <v>10</v>
      </c>
      <c r="Y2469" s="1077">
        <v>1.6</v>
      </c>
      <c r="Z2469" s="1077" t="s">
        <v>648</v>
      </c>
      <c r="AA2469" s="1077" t="s">
        <v>4263</v>
      </c>
      <c r="AH2469" s="1077" t="s">
        <v>1053</v>
      </c>
      <c r="AM2469" s="1078" t="s">
        <v>13879</v>
      </c>
      <c r="AN2469" s="1078" t="s">
        <v>13880</v>
      </c>
      <c r="AO2469" s="1078">
        <f t="shared" si="310"/>
        <v>650</v>
      </c>
      <c r="AP2469" s="1078">
        <f t="shared" si="311"/>
        <v>1.7849999999999999</v>
      </c>
      <c r="AQ2469" s="1078" t="str">
        <f t="shared" si="312"/>
        <v>2-6-1S83°Z+S</v>
      </c>
      <c r="AR2469" s="1078" t="str">
        <f t="shared" si="313"/>
        <v>30</v>
      </c>
      <c r="AS2469" s="1078" t="str">
        <f t="shared" si="314"/>
        <v>192/198</v>
      </c>
      <c r="AT2469" s="1078" t="str">
        <f t="shared" si="315"/>
        <v>2-6-1S83°Z+S</v>
      </c>
      <c r="AU2469" s="1078" t="s">
        <v>15547</v>
      </c>
      <c r="AV2469" s="1078" t="str">
        <f t="shared" si="308"/>
        <v>108.2.11</v>
      </c>
      <c r="AW2469" s="1344">
        <f t="shared" si="309"/>
        <v>43507</v>
      </c>
    </row>
    <row r="2470" spans="1:49">
      <c r="A2470" s="1077" t="s">
        <v>7625</v>
      </c>
      <c r="B2470" s="1077" t="s">
        <v>663</v>
      </c>
      <c r="C2470" s="1077">
        <v>650</v>
      </c>
      <c r="D2470" s="1077">
        <v>1.73</v>
      </c>
      <c r="E2470" s="1077" t="s">
        <v>15109</v>
      </c>
      <c r="F2470" s="1077" t="s">
        <v>648</v>
      </c>
      <c r="G2470" s="1077">
        <v>5.5</v>
      </c>
      <c r="H2470" s="1077" t="s">
        <v>3482</v>
      </c>
      <c r="I2470" s="1077" t="s">
        <v>6884</v>
      </c>
      <c r="K2470" s="1077" t="s">
        <v>7626</v>
      </c>
      <c r="L2470" s="1077" t="s">
        <v>4907</v>
      </c>
      <c r="M2470" s="1077">
        <v>296.39999999999998</v>
      </c>
      <c r="N2470" s="1077" t="s">
        <v>945</v>
      </c>
      <c r="O2470" s="1077">
        <v>7.41</v>
      </c>
      <c r="P2470" s="1077">
        <v>5.9279999999999999</v>
      </c>
      <c r="Q2470" s="1077" t="s">
        <v>2401</v>
      </c>
      <c r="R2470" s="1077">
        <v>20</v>
      </c>
      <c r="T2470" s="1077">
        <v>14.7</v>
      </c>
      <c r="U2470" s="1077">
        <v>5.5</v>
      </c>
      <c r="V2470" s="1077" t="s">
        <v>648</v>
      </c>
      <c r="W2470" s="1077" t="s">
        <v>2816</v>
      </c>
      <c r="X2470" s="1077">
        <v>10</v>
      </c>
      <c r="Y2470" s="1077">
        <v>1.1000000000000001</v>
      </c>
      <c r="Z2470" s="1077" t="s">
        <v>648</v>
      </c>
      <c r="AA2470" s="1077" t="s">
        <v>2542</v>
      </c>
      <c r="AH2470" s="1077" t="s">
        <v>1178</v>
      </c>
      <c r="AM2470" s="1078" t="s">
        <v>13881</v>
      </c>
      <c r="AN2470" s="1078" t="s">
        <v>13882</v>
      </c>
      <c r="AO2470" s="1078">
        <f t="shared" si="310"/>
        <v>650</v>
      </c>
      <c r="AP2470" s="1078">
        <f t="shared" si="311"/>
        <v>1.73</v>
      </c>
      <c r="AQ2470" s="1078" t="str">
        <f t="shared" si="312"/>
        <v>1-5-1S85°Z+S</v>
      </c>
      <c r="AR2470" s="1078" t="str">
        <f t="shared" si="313"/>
        <v>NA</v>
      </c>
      <c r="AS2470" s="1078" t="str">
        <f t="shared" si="314"/>
        <v>170/160</v>
      </c>
      <c r="AT2470" s="1078" t="str">
        <f t="shared" si="315"/>
        <v>1-5-1S85°Z+S</v>
      </c>
      <c r="AU2470" s="1078" t="s">
        <v>15547</v>
      </c>
      <c r="AV2470" s="1078" t="str">
        <f t="shared" si="308"/>
        <v>108.2.15</v>
      </c>
      <c r="AW2470" s="1344">
        <f t="shared" si="309"/>
        <v>43511</v>
      </c>
    </row>
    <row r="2471" spans="1:49">
      <c r="A2471" s="1077" t="s">
        <v>7627</v>
      </c>
      <c r="B2471" s="1077" t="s">
        <v>6945</v>
      </c>
      <c r="C2471" s="1077">
        <v>500</v>
      </c>
      <c r="D2471" s="1077">
        <v>1.78</v>
      </c>
      <c r="E2471" s="1077" t="s">
        <v>15122</v>
      </c>
      <c r="F2471" s="1077" t="s">
        <v>975</v>
      </c>
      <c r="G2471" s="1077">
        <v>5</v>
      </c>
      <c r="H2471" s="1077" t="s">
        <v>6946</v>
      </c>
      <c r="I2471" s="1077" t="s">
        <v>6947</v>
      </c>
      <c r="J2471" s="1077">
        <v>3</v>
      </c>
      <c r="K2471" s="1077" t="s">
        <v>7628</v>
      </c>
      <c r="L2471" s="1077" t="s">
        <v>6949</v>
      </c>
      <c r="M2471" s="1077">
        <v>303</v>
      </c>
      <c r="N2471" s="1077" t="s">
        <v>945</v>
      </c>
      <c r="O2471" s="1077">
        <v>7.5750000000000002</v>
      </c>
      <c r="P2471" s="1077">
        <v>6.0600000000000005</v>
      </c>
      <c r="Q2471" s="1077" t="s">
        <v>1369</v>
      </c>
      <c r="R2471" s="1077">
        <v>23</v>
      </c>
      <c r="T2471" s="1077">
        <v>13.2</v>
      </c>
      <c r="U2471" s="1077">
        <v>5</v>
      </c>
      <c r="V2471" s="1077" t="s">
        <v>648</v>
      </c>
      <c r="W2471" s="1077">
        <v>125</v>
      </c>
      <c r="X2471" s="1077">
        <v>85</v>
      </c>
      <c r="Y2471" s="1077">
        <v>1.3</v>
      </c>
      <c r="Z2471" s="1077" t="s">
        <v>648</v>
      </c>
      <c r="AA2471" s="1077" t="s">
        <v>6885</v>
      </c>
      <c r="AH2471" s="1077" t="s">
        <v>684</v>
      </c>
      <c r="AM2471" s="1078" t="s">
        <v>13883</v>
      </c>
      <c r="AN2471" s="1078" t="s">
        <v>13884</v>
      </c>
      <c r="AO2471" s="1078">
        <f t="shared" si="310"/>
        <v>500</v>
      </c>
      <c r="AP2471" s="1078">
        <f t="shared" si="311"/>
        <v>1.78</v>
      </c>
      <c r="AQ2471" s="1078" t="str">
        <f t="shared" si="312"/>
        <v>1-5-1S91°Z+S</v>
      </c>
      <c r="AR2471" s="1078" t="str">
        <f t="shared" si="313"/>
        <v>31.5</v>
      </c>
      <c r="AS2471" s="1078" t="str">
        <f t="shared" si="314"/>
        <v>320/300/158</v>
      </c>
      <c r="AT2471" s="1078" t="str">
        <f t="shared" si="315"/>
        <v>1-5-1S91°Z+S</v>
      </c>
      <c r="AU2471" s="1078" t="s">
        <v>15547</v>
      </c>
      <c r="AV2471" s="1078" t="str">
        <f t="shared" si="308"/>
        <v>108.2.18</v>
      </c>
      <c r="AW2471" s="1344">
        <f t="shared" si="309"/>
        <v>43514</v>
      </c>
    </row>
    <row r="2472" spans="1:49">
      <c r="A2472" s="1077" t="s">
        <v>7629</v>
      </c>
      <c r="B2472" s="1077" t="s">
        <v>663</v>
      </c>
      <c r="C2472" s="1077">
        <v>650</v>
      </c>
      <c r="D2472" s="1077">
        <v>1.76</v>
      </c>
      <c r="E2472" s="1077" t="s">
        <v>15109</v>
      </c>
      <c r="F2472" s="1077" t="s">
        <v>648</v>
      </c>
      <c r="G2472" s="1077">
        <v>5.5</v>
      </c>
      <c r="H2472" s="1077" t="s">
        <v>3482</v>
      </c>
      <c r="I2472" s="1077" t="s">
        <v>7161</v>
      </c>
      <c r="K2472" s="1077" t="s">
        <v>7626</v>
      </c>
      <c r="L2472" s="1077" t="s">
        <v>4907</v>
      </c>
      <c r="M2472" s="1077">
        <v>296</v>
      </c>
      <c r="N2472" s="1077" t="s">
        <v>945</v>
      </c>
      <c r="O2472" s="1077">
        <v>7.4</v>
      </c>
      <c r="P2472" s="1077">
        <v>5.92</v>
      </c>
      <c r="Q2472" s="1077" t="s">
        <v>3010</v>
      </c>
      <c r="R2472" s="1077">
        <v>17</v>
      </c>
      <c r="T2472" s="1077">
        <v>10.5</v>
      </c>
      <c r="U2472" s="1077">
        <v>6.1</v>
      </c>
      <c r="V2472" s="1077" t="s">
        <v>648</v>
      </c>
      <c r="W2472" s="1077">
        <v>120</v>
      </c>
      <c r="X2472" s="1077">
        <v>90</v>
      </c>
      <c r="Y2472" s="1077">
        <v>1.1000000000000001</v>
      </c>
      <c r="Z2472" s="1077" t="s">
        <v>648</v>
      </c>
      <c r="AA2472" s="1077" t="s">
        <v>2556</v>
      </c>
      <c r="AH2472" s="1077" t="s">
        <v>681</v>
      </c>
      <c r="AM2472" s="1078" t="s">
        <v>13885</v>
      </c>
      <c r="AN2472" s="1078" t="s">
        <v>13886</v>
      </c>
      <c r="AO2472" s="1078">
        <f t="shared" si="310"/>
        <v>650</v>
      </c>
      <c r="AP2472" s="1078">
        <f t="shared" si="311"/>
        <v>1.76</v>
      </c>
      <c r="AQ2472" s="1078" t="str">
        <f t="shared" si="312"/>
        <v>1-5-1S85°Z+S</v>
      </c>
      <c r="AR2472" s="1078" t="str">
        <f t="shared" si="313"/>
        <v>NA</v>
      </c>
      <c r="AS2472" s="1078" t="str">
        <f t="shared" si="314"/>
        <v>170/160</v>
      </c>
      <c r="AT2472" s="1078" t="str">
        <f t="shared" si="315"/>
        <v>1-5-1S85°Z+S</v>
      </c>
      <c r="AU2472" s="1078" t="s">
        <v>15547</v>
      </c>
      <c r="AV2472" s="1078" t="str">
        <f t="shared" si="308"/>
        <v>108.2.21</v>
      </c>
      <c r="AW2472" s="1344">
        <f t="shared" si="309"/>
        <v>43517</v>
      </c>
    </row>
    <row r="2473" spans="1:49">
      <c r="A2473" s="1077" t="s">
        <v>7630</v>
      </c>
      <c r="B2473" s="1077" t="s">
        <v>7631</v>
      </c>
      <c r="C2473" s="1077">
        <v>600</v>
      </c>
      <c r="D2473" s="1077">
        <v>1.78</v>
      </c>
      <c r="E2473" s="1077" t="s">
        <v>15116</v>
      </c>
      <c r="F2473" s="1077" t="s">
        <v>2167</v>
      </c>
      <c r="G2473" s="1077">
        <v>4</v>
      </c>
      <c r="H2473" s="1077" t="s">
        <v>7143</v>
      </c>
      <c r="I2473" s="1077" t="s">
        <v>7144</v>
      </c>
      <c r="K2473" s="1077" t="s">
        <v>7632</v>
      </c>
      <c r="L2473" s="1077" t="s">
        <v>7633</v>
      </c>
      <c r="M2473" s="1077">
        <v>305</v>
      </c>
      <c r="N2473" s="1077" t="s">
        <v>945</v>
      </c>
      <c r="O2473" s="1077">
        <v>7.625</v>
      </c>
      <c r="P2473" s="1077">
        <v>6.1000000000000005</v>
      </c>
      <c r="Q2473" s="1077" t="s">
        <v>2553</v>
      </c>
      <c r="R2473" s="1077">
        <v>24</v>
      </c>
      <c r="T2473" s="1077">
        <v>32</v>
      </c>
      <c r="U2473" s="1077">
        <v>2.2999999999999998</v>
      </c>
      <c r="V2473" s="1077" t="s">
        <v>648</v>
      </c>
      <c r="W2473" s="1077" t="s">
        <v>648</v>
      </c>
      <c r="X2473" s="1077" t="s">
        <v>648</v>
      </c>
      <c r="Y2473" s="1077">
        <v>1.6</v>
      </c>
      <c r="Z2473" s="1077" t="s">
        <v>648</v>
      </c>
      <c r="AA2473" s="1077" t="s">
        <v>2489</v>
      </c>
      <c r="AH2473" s="1077" t="s">
        <v>1482</v>
      </c>
      <c r="AM2473" s="1078" t="s">
        <v>13887</v>
      </c>
      <c r="AN2473" s="1078" t="s">
        <v>13888</v>
      </c>
      <c r="AO2473" s="1078">
        <f t="shared" si="310"/>
        <v>600</v>
      </c>
      <c r="AP2473" s="1078">
        <f t="shared" si="311"/>
        <v>1.78</v>
      </c>
      <c r="AQ2473" s="1078" t="str">
        <f t="shared" si="312"/>
        <v>1-5-1S83°Z+S</v>
      </c>
      <c r="AR2473" s="1078" t="str">
        <f t="shared" si="313"/>
        <v>33</v>
      </c>
      <c r="AS2473" s="1078" t="str">
        <f t="shared" si="314"/>
        <v>360/360/150</v>
      </c>
      <c r="AT2473" s="1078" t="str">
        <f t="shared" si="315"/>
        <v>1-5-1S83°Z+S</v>
      </c>
      <c r="AU2473" s="1078" t="s">
        <v>15547</v>
      </c>
      <c r="AV2473" s="1078" t="str">
        <f t="shared" si="308"/>
        <v>108.2.25</v>
      </c>
      <c r="AW2473" s="1344">
        <f t="shared" si="309"/>
        <v>43521</v>
      </c>
    </row>
    <row r="2474" spans="1:49">
      <c r="A2474" s="1077" t="s">
        <v>7634</v>
      </c>
      <c r="B2474" s="1077" t="s">
        <v>6940</v>
      </c>
      <c r="C2474" s="1077">
        <v>500</v>
      </c>
      <c r="D2474" s="1077">
        <v>1.78</v>
      </c>
      <c r="E2474" s="1077" t="s">
        <v>15124</v>
      </c>
      <c r="F2474" s="1077" t="s">
        <v>4398</v>
      </c>
      <c r="G2474" s="1077">
        <v>5</v>
      </c>
      <c r="H2474" s="1077" t="s">
        <v>1624</v>
      </c>
      <c r="I2474" s="1077" t="s">
        <v>6941</v>
      </c>
      <c r="J2474" s="1077">
        <v>1</v>
      </c>
      <c r="K2474" s="1077" t="s">
        <v>7635</v>
      </c>
      <c r="L2474" s="1077" t="s">
        <v>4952</v>
      </c>
      <c r="M2474" s="1077">
        <v>308.7</v>
      </c>
      <c r="N2474" s="1077" t="s">
        <v>945</v>
      </c>
      <c r="O2474" s="1077">
        <v>7.7175000000000002</v>
      </c>
      <c r="P2474" s="1077">
        <v>6.1739999999999995</v>
      </c>
      <c r="Q2474" s="1077" t="s">
        <v>6943</v>
      </c>
      <c r="R2474" s="1077">
        <v>25.5</v>
      </c>
      <c r="T2474" s="1077">
        <v>18</v>
      </c>
      <c r="U2474" s="1077">
        <v>5.0999999999999996</v>
      </c>
      <c r="V2474" s="1077" t="s">
        <v>648</v>
      </c>
      <c r="W2474" s="1077" t="s">
        <v>2816</v>
      </c>
      <c r="X2474" s="1077">
        <v>10</v>
      </c>
      <c r="Y2474" s="1077">
        <v>1.7</v>
      </c>
      <c r="Z2474" s="1077" t="s">
        <v>648</v>
      </c>
      <c r="AA2474" s="1077" t="s">
        <v>4025</v>
      </c>
      <c r="AH2474" s="1077" t="s">
        <v>650</v>
      </c>
      <c r="AM2474" s="1078" t="s">
        <v>13889</v>
      </c>
      <c r="AN2474" s="1078" t="s">
        <v>13890</v>
      </c>
      <c r="AO2474" s="1078">
        <f t="shared" si="310"/>
        <v>500</v>
      </c>
      <c r="AP2474" s="1078">
        <f t="shared" si="311"/>
        <v>1.78</v>
      </c>
      <c r="AQ2474" s="1078" t="str">
        <f t="shared" si="312"/>
        <v>2-6-1S83°Z+S</v>
      </c>
      <c r="AR2474" s="1078" t="str">
        <f t="shared" si="313"/>
        <v>32.3</v>
      </c>
      <c r="AS2474" s="1078" t="str">
        <f t="shared" si="314"/>
        <v>155/OFF</v>
      </c>
      <c r="AT2474" s="1078" t="str">
        <f t="shared" si="315"/>
        <v>2-6-1S83°Z+S</v>
      </c>
      <c r="AU2474" s="1078" t="s">
        <v>15547</v>
      </c>
      <c r="AV2474" s="1078" t="str">
        <f t="shared" si="308"/>
        <v>108.3.14</v>
      </c>
      <c r="AW2474" s="1344">
        <f t="shared" si="309"/>
        <v>43538</v>
      </c>
    </row>
    <row r="2475" spans="1:49">
      <c r="A2475" s="1077" t="s">
        <v>7636</v>
      </c>
      <c r="B2475" s="1077" t="s">
        <v>7055</v>
      </c>
      <c r="C2475" s="1077">
        <v>650</v>
      </c>
      <c r="D2475" s="1077">
        <v>1.74</v>
      </c>
      <c r="E2475" s="1077" t="s">
        <v>15109</v>
      </c>
      <c r="F2475" s="1077" t="s">
        <v>648</v>
      </c>
      <c r="G2475" s="1077">
        <v>5.5</v>
      </c>
      <c r="H2475" s="1077" t="s">
        <v>1470</v>
      </c>
      <c r="I2475" s="1077" t="s">
        <v>7048</v>
      </c>
      <c r="J2475" s="1077">
        <v>3</v>
      </c>
      <c r="K2475" s="1077" t="s">
        <v>7098</v>
      </c>
      <c r="L2475" s="1077" t="s">
        <v>4946</v>
      </c>
      <c r="M2475" s="1077">
        <v>296</v>
      </c>
      <c r="N2475" s="1077" t="s">
        <v>945</v>
      </c>
      <c r="O2475" s="1077">
        <v>7.4</v>
      </c>
      <c r="P2475" s="1077">
        <v>5.92</v>
      </c>
      <c r="Q2475" s="1077" t="s">
        <v>1012</v>
      </c>
      <c r="R2475" s="1077">
        <v>27</v>
      </c>
      <c r="T2475" s="1077">
        <v>17.5</v>
      </c>
      <c r="U2475" s="1077">
        <v>6</v>
      </c>
      <c r="V2475" s="1077" t="s">
        <v>648</v>
      </c>
      <c r="W2475" s="1077" t="s">
        <v>4947</v>
      </c>
      <c r="X2475" s="1077">
        <v>10</v>
      </c>
      <c r="Y2475" s="1077">
        <v>1.2</v>
      </c>
      <c r="Z2475" s="1077" t="s">
        <v>648</v>
      </c>
      <c r="AA2475" s="1077" t="s">
        <v>4128</v>
      </c>
      <c r="AH2475" s="1077" t="s">
        <v>782</v>
      </c>
      <c r="AM2475" s="1078" t="s">
        <v>13891</v>
      </c>
      <c r="AN2475" s="1078" t="s">
        <v>13892</v>
      </c>
      <c r="AO2475" s="1078">
        <f t="shared" si="310"/>
        <v>650</v>
      </c>
      <c r="AP2475" s="1078">
        <f t="shared" si="311"/>
        <v>1.74</v>
      </c>
      <c r="AQ2475" s="1078" t="str">
        <f t="shared" si="312"/>
        <v>1-5-1S85°Z+S</v>
      </c>
      <c r="AR2475" s="1078" t="str">
        <f t="shared" si="313"/>
        <v>NA</v>
      </c>
      <c r="AS2475" s="1078" t="str">
        <f t="shared" si="314"/>
        <v>160/OFF</v>
      </c>
      <c r="AT2475" s="1078" t="str">
        <f t="shared" si="315"/>
        <v>1-5-1S85°Z+S</v>
      </c>
      <c r="AU2475" s="1078" t="s">
        <v>15547</v>
      </c>
      <c r="AV2475" s="1078" t="str">
        <f t="shared" si="308"/>
        <v>108.3.20</v>
      </c>
      <c r="AW2475" s="1344">
        <f t="shared" si="309"/>
        <v>43544</v>
      </c>
    </row>
    <row r="2476" spans="1:49">
      <c r="A2476" s="1077" t="s">
        <v>7637</v>
      </c>
      <c r="B2476" s="1077" t="s">
        <v>7142</v>
      </c>
      <c r="C2476" s="1077">
        <v>600</v>
      </c>
      <c r="D2476" s="1077">
        <v>1.78</v>
      </c>
      <c r="E2476" s="1077" t="s">
        <v>15116</v>
      </c>
      <c r="F2476" s="1077" t="s">
        <v>2167</v>
      </c>
      <c r="G2476" s="1077">
        <v>4</v>
      </c>
      <c r="H2476" s="1077" t="s">
        <v>7143</v>
      </c>
      <c r="I2476" s="1077" t="s">
        <v>7144</v>
      </c>
      <c r="K2476" s="1077" t="s">
        <v>7145</v>
      </c>
      <c r="L2476" s="1077" t="s">
        <v>7146</v>
      </c>
      <c r="M2476" s="1077">
        <v>305</v>
      </c>
      <c r="N2476" s="1077" t="s">
        <v>945</v>
      </c>
      <c r="O2476" s="1077">
        <v>7.625</v>
      </c>
      <c r="P2476" s="1077">
        <v>6.1000000000000005</v>
      </c>
      <c r="Q2476" s="1077" t="s">
        <v>2553</v>
      </c>
      <c r="R2476" s="1077">
        <v>24</v>
      </c>
      <c r="T2476" s="1077">
        <v>32</v>
      </c>
      <c r="U2476" s="1077">
        <v>2.2999999999999998</v>
      </c>
      <c r="V2476" s="1077" t="s">
        <v>648</v>
      </c>
      <c r="W2476" s="1077" t="s">
        <v>648</v>
      </c>
      <c r="X2476" s="1077" t="s">
        <v>648</v>
      </c>
      <c r="Y2476" s="1077">
        <v>1.6</v>
      </c>
      <c r="Z2476" s="1077" t="s">
        <v>648</v>
      </c>
      <c r="AA2476" s="1077" t="s">
        <v>2575</v>
      </c>
      <c r="AH2476" s="1077" t="s">
        <v>680</v>
      </c>
      <c r="AM2476" s="1078" t="s">
        <v>13893</v>
      </c>
      <c r="AN2476" s="1078" t="s">
        <v>13894</v>
      </c>
      <c r="AO2476" s="1078">
        <f t="shared" si="310"/>
        <v>600</v>
      </c>
      <c r="AP2476" s="1078">
        <f t="shared" si="311"/>
        <v>1.78</v>
      </c>
      <c r="AQ2476" s="1078" t="str">
        <f t="shared" si="312"/>
        <v>1-5-1S83°Z+S</v>
      </c>
      <c r="AR2476" s="1078" t="str">
        <f t="shared" si="313"/>
        <v>33</v>
      </c>
      <c r="AS2476" s="1078" t="str">
        <f t="shared" si="314"/>
        <v>360/360/150</v>
      </c>
      <c r="AT2476" s="1078" t="str">
        <f t="shared" si="315"/>
        <v>1-5-1S83°Z+S</v>
      </c>
      <c r="AU2476" s="1078" t="s">
        <v>15547</v>
      </c>
      <c r="AV2476" s="1078" t="str">
        <f t="shared" si="308"/>
        <v>108.3.22</v>
      </c>
      <c r="AW2476" s="1344">
        <f t="shared" si="309"/>
        <v>43546</v>
      </c>
    </row>
    <row r="2477" spans="1:49">
      <c r="A2477" s="1077" t="s">
        <v>7638</v>
      </c>
      <c r="B2477" s="1077" t="s">
        <v>7109</v>
      </c>
      <c r="C2477" s="1077">
        <v>600</v>
      </c>
      <c r="D2477" s="1077">
        <v>1.7549999999999999</v>
      </c>
      <c r="E2477" s="1077" t="s">
        <v>15116</v>
      </c>
      <c r="F2477" s="1077" t="s">
        <v>2234</v>
      </c>
      <c r="G2477" s="1077">
        <v>5</v>
      </c>
      <c r="H2477" s="1077" t="s">
        <v>6952</v>
      </c>
      <c r="I2477" s="1077" t="s">
        <v>7001</v>
      </c>
      <c r="K2477" s="1077" t="s">
        <v>7110</v>
      </c>
      <c r="L2477" s="1077" t="s">
        <v>7111</v>
      </c>
      <c r="M2477" s="1077">
        <v>310</v>
      </c>
      <c r="N2477" s="1077" t="s">
        <v>945</v>
      </c>
      <c r="O2477" s="1077">
        <v>7.75</v>
      </c>
      <c r="P2477" s="1077">
        <v>6.2</v>
      </c>
      <c r="Q2477" s="1077">
        <v>3</v>
      </c>
      <c r="R2477" s="1077">
        <v>22</v>
      </c>
      <c r="T2477" s="1077">
        <v>13.5</v>
      </c>
      <c r="U2477" s="1077">
        <v>3.2</v>
      </c>
      <c r="V2477" s="1077" t="s">
        <v>648</v>
      </c>
      <c r="W2477" s="1077">
        <v>100</v>
      </c>
      <c r="X2477" s="1077">
        <v>85</v>
      </c>
      <c r="Y2477" s="1077">
        <v>1.2</v>
      </c>
      <c r="Z2477" s="1077" t="s">
        <v>648</v>
      </c>
      <c r="AA2477" s="1077" t="s">
        <v>3727</v>
      </c>
      <c r="AH2477" s="1077" t="s">
        <v>958</v>
      </c>
      <c r="AM2477" s="1078" t="s">
        <v>13895</v>
      </c>
      <c r="AN2477" s="1078" t="s">
        <v>13896</v>
      </c>
      <c r="AO2477" s="1078">
        <f t="shared" si="310"/>
        <v>600</v>
      </c>
      <c r="AP2477" s="1078">
        <f t="shared" si="311"/>
        <v>1.7549999999999999</v>
      </c>
      <c r="AQ2477" s="1078" t="str">
        <f t="shared" si="312"/>
        <v>1-5-1S83°Z+S</v>
      </c>
      <c r="AR2477" s="1078" t="str">
        <f t="shared" si="313"/>
        <v>33.5</v>
      </c>
      <c r="AS2477" s="1078" t="str">
        <f t="shared" si="314"/>
        <v>340/340/140</v>
      </c>
      <c r="AT2477" s="1078" t="str">
        <f t="shared" si="315"/>
        <v>1-5-1S83°Z+S</v>
      </c>
      <c r="AU2477" s="1078" t="s">
        <v>15547</v>
      </c>
      <c r="AV2477" s="1078" t="str">
        <f t="shared" si="308"/>
        <v>110.9.9</v>
      </c>
      <c r="AW2477" s="1344">
        <f t="shared" si="309"/>
        <v>44448</v>
      </c>
    </row>
    <row r="2478" spans="1:49">
      <c r="A2478" s="1077" t="s">
        <v>7639</v>
      </c>
      <c r="B2478" s="1077" t="s">
        <v>714</v>
      </c>
      <c r="C2478" s="1077">
        <v>550</v>
      </c>
      <c r="D2478" s="1077">
        <v>1.7669999999999999</v>
      </c>
      <c r="E2478" s="1077" t="s">
        <v>15121</v>
      </c>
      <c r="F2478" s="1077" t="s">
        <v>648</v>
      </c>
      <c r="G2478" s="1077">
        <v>5</v>
      </c>
      <c r="H2478" s="1077" t="s">
        <v>3197</v>
      </c>
      <c r="I2478" s="1077" t="s">
        <v>7181</v>
      </c>
      <c r="J2478" s="1077">
        <v>3.7</v>
      </c>
      <c r="K2478" s="1077" t="s">
        <v>7640</v>
      </c>
      <c r="L2478" s="1077" t="s">
        <v>4666</v>
      </c>
      <c r="M2478" s="1077">
        <v>298.8</v>
      </c>
      <c r="N2478" s="1077" t="s">
        <v>945</v>
      </c>
      <c r="O2478" s="1077">
        <v>7.4700000000000006</v>
      </c>
      <c r="P2478" s="1077">
        <v>5.976</v>
      </c>
      <c r="Q2478" s="1077">
        <v>4</v>
      </c>
      <c r="R2478" s="1077">
        <v>20.5</v>
      </c>
      <c r="T2478" s="1077">
        <v>21</v>
      </c>
      <c r="U2478" s="1077">
        <v>3.5</v>
      </c>
      <c r="V2478" s="1077" t="s">
        <v>648</v>
      </c>
      <c r="W2478" s="1077">
        <v>30</v>
      </c>
      <c r="X2478" s="1077">
        <v>10</v>
      </c>
      <c r="Y2478" s="1077">
        <v>1.2</v>
      </c>
      <c r="Z2478" s="1077" t="s">
        <v>648</v>
      </c>
      <c r="AA2478" s="1077" t="s">
        <v>3799</v>
      </c>
      <c r="AH2478" s="1077" t="s">
        <v>5262</v>
      </c>
      <c r="AM2478" s="1078" t="s">
        <v>13897</v>
      </c>
      <c r="AN2478" s="1078" t="s">
        <v>13898</v>
      </c>
      <c r="AO2478" s="1078">
        <f t="shared" si="310"/>
        <v>550</v>
      </c>
      <c r="AP2478" s="1078">
        <f t="shared" si="311"/>
        <v>1.7669999999999999</v>
      </c>
      <c r="AQ2478" s="1078" t="str">
        <f t="shared" si="312"/>
        <v>1-5-1S85°S+Z</v>
      </c>
      <c r="AR2478" s="1078" t="str">
        <f t="shared" si="313"/>
        <v>NA</v>
      </c>
      <c r="AS2478" s="1078" t="str">
        <f t="shared" si="314"/>
        <v>175/165</v>
      </c>
      <c r="AT2478" s="1078" t="str">
        <f t="shared" si="315"/>
        <v>1-5-1S85°S+Z</v>
      </c>
      <c r="AU2478" s="1078" t="s">
        <v>15550</v>
      </c>
      <c r="AV2478" s="1078" t="str">
        <f t="shared" si="308"/>
        <v>110.9.16</v>
      </c>
      <c r="AW2478" s="1344">
        <f t="shared" si="309"/>
        <v>44455</v>
      </c>
    </row>
    <row r="2479" spans="1:49">
      <c r="A2479" s="1077" t="s">
        <v>7641</v>
      </c>
      <c r="B2479" s="1077" t="s">
        <v>714</v>
      </c>
      <c r="C2479" s="1077">
        <v>600</v>
      </c>
      <c r="D2479" s="1077">
        <v>1.77</v>
      </c>
      <c r="E2479" s="1077">
        <v>102.5</v>
      </c>
      <c r="F2479" s="1077" t="s">
        <v>4070</v>
      </c>
      <c r="G2479" s="1077">
        <v>5.5</v>
      </c>
      <c r="H2479" s="1077" t="s">
        <v>7642</v>
      </c>
      <c r="I2479" s="1077" t="s">
        <v>7588</v>
      </c>
      <c r="J2479" s="1077">
        <v>3.7</v>
      </c>
      <c r="K2479" s="1077" t="s">
        <v>7640</v>
      </c>
      <c r="L2479" s="1077" t="s">
        <v>4666</v>
      </c>
      <c r="M2479" s="1077">
        <v>295.10000000000002</v>
      </c>
      <c r="N2479" s="1077" t="s">
        <v>945</v>
      </c>
      <c r="O2479" s="1077">
        <v>7.3775000000000013</v>
      </c>
      <c r="P2479" s="1077">
        <v>5.9020000000000001</v>
      </c>
      <c r="Q2479" s="1077">
        <v>4</v>
      </c>
      <c r="R2479" s="1077">
        <v>17.399999999999999</v>
      </c>
      <c r="T2479" s="1077">
        <v>31</v>
      </c>
      <c r="U2479" s="1077">
        <v>3.5</v>
      </c>
      <c r="V2479" s="1077" t="s">
        <v>648</v>
      </c>
      <c r="W2479" s="1077">
        <v>100</v>
      </c>
      <c r="X2479" s="1077">
        <v>40</v>
      </c>
      <c r="Y2479" s="1077">
        <v>1</v>
      </c>
      <c r="Z2479" s="1077" t="s">
        <v>648</v>
      </c>
      <c r="AA2479" s="1077" t="s">
        <v>3812</v>
      </c>
      <c r="AB2479" s="1077" t="s">
        <v>7643</v>
      </c>
      <c r="AH2479" s="1077" t="s">
        <v>830</v>
      </c>
      <c r="AM2479" s="1078" t="s">
        <v>13899</v>
      </c>
      <c r="AN2479" s="1078" t="s">
        <v>13900</v>
      </c>
      <c r="AO2479" s="1078">
        <f t="shared" si="310"/>
        <v>600</v>
      </c>
      <c r="AP2479" s="1078">
        <f t="shared" si="311"/>
        <v>1.77</v>
      </c>
      <c r="AQ2479" s="1078">
        <f t="shared" si="312"/>
        <v>102.5</v>
      </c>
      <c r="AR2479" s="1078" t="str">
        <f t="shared" si="313"/>
        <v>15.5</v>
      </c>
      <c r="AS2479" s="1078" t="str">
        <f t="shared" si="314"/>
        <v>499/459/OFF</v>
      </c>
      <c r="AT2479" s="1078">
        <f t="shared" si="315"/>
        <v>102.5</v>
      </c>
      <c r="AV2479" s="1078" t="str">
        <f t="shared" si="308"/>
        <v>110.9.24</v>
      </c>
      <c r="AW2479" s="1344">
        <f t="shared" si="309"/>
        <v>44463</v>
      </c>
    </row>
    <row r="2480" spans="1:49">
      <c r="A2480" s="1077" t="s">
        <v>7644</v>
      </c>
      <c r="B2480" s="1077" t="s">
        <v>714</v>
      </c>
      <c r="C2480" s="1077">
        <v>550</v>
      </c>
      <c r="D2480" s="1077">
        <v>1.7669999999999999</v>
      </c>
      <c r="E2480" s="1077" t="s">
        <v>15121</v>
      </c>
      <c r="F2480" s="1077" t="s">
        <v>648</v>
      </c>
      <c r="G2480" s="1077">
        <v>5</v>
      </c>
      <c r="H2480" s="1077" t="s">
        <v>3197</v>
      </c>
      <c r="I2480" s="1077" t="s">
        <v>7181</v>
      </c>
      <c r="J2480" s="1077">
        <v>3.7</v>
      </c>
      <c r="K2480" s="1077" t="s">
        <v>7645</v>
      </c>
      <c r="L2480" s="1077" t="s">
        <v>4666</v>
      </c>
      <c r="M2480" s="1077">
        <v>298.8</v>
      </c>
      <c r="N2480" s="1077" t="s">
        <v>945</v>
      </c>
      <c r="O2480" s="1077">
        <v>7.4700000000000006</v>
      </c>
      <c r="P2480" s="1077">
        <v>5.976</v>
      </c>
      <c r="Q2480" s="1077">
        <v>4</v>
      </c>
      <c r="R2480" s="1077">
        <v>20.5</v>
      </c>
      <c r="T2480" s="1077">
        <v>21</v>
      </c>
      <c r="U2480" s="1077">
        <v>3.5</v>
      </c>
      <c r="V2480" s="1077" t="s">
        <v>648</v>
      </c>
      <c r="W2480" s="1077">
        <v>30</v>
      </c>
      <c r="X2480" s="1077">
        <v>10</v>
      </c>
      <c r="Y2480" s="1077">
        <v>1.2</v>
      </c>
      <c r="Z2480" s="1077" t="s">
        <v>648</v>
      </c>
      <c r="AA2480" s="1077" t="s">
        <v>4231</v>
      </c>
      <c r="AH2480" s="1077" t="s">
        <v>782</v>
      </c>
      <c r="AM2480" s="1078" t="s">
        <v>13901</v>
      </c>
      <c r="AN2480" s="1078" t="s">
        <v>13902</v>
      </c>
      <c r="AO2480" s="1078">
        <f t="shared" si="310"/>
        <v>550</v>
      </c>
      <c r="AP2480" s="1078">
        <f t="shared" si="311"/>
        <v>1.7669999999999999</v>
      </c>
      <c r="AQ2480" s="1078" t="str">
        <f t="shared" si="312"/>
        <v>1-5-1S85°S+Z</v>
      </c>
      <c r="AR2480" s="1078" t="str">
        <f t="shared" si="313"/>
        <v>NA</v>
      </c>
      <c r="AS2480" s="1078" t="str">
        <f t="shared" si="314"/>
        <v>175/165</v>
      </c>
      <c r="AT2480" s="1078" t="str">
        <f t="shared" si="315"/>
        <v>1-5-1S85°S+Z</v>
      </c>
      <c r="AU2480" s="1078" t="s">
        <v>15550</v>
      </c>
      <c r="AV2480" s="1078" t="str">
        <f t="shared" si="308"/>
        <v>110.9.30</v>
      </c>
      <c r="AW2480" s="1344">
        <f t="shared" si="309"/>
        <v>44469</v>
      </c>
    </row>
    <row r="2481" spans="1:49">
      <c r="A2481" s="1077" t="s">
        <v>7646</v>
      </c>
      <c r="B2481" s="1077" t="s">
        <v>7431</v>
      </c>
      <c r="C2481" s="1077">
        <v>550</v>
      </c>
      <c r="D2481" s="1077">
        <v>1.83</v>
      </c>
      <c r="E2481" s="1077" t="s">
        <v>15122</v>
      </c>
      <c r="F2481" s="1077" t="s">
        <v>2234</v>
      </c>
      <c r="G2481" s="1077">
        <v>5</v>
      </c>
      <c r="H2481" s="1077" t="s">
        <v>2876</v>
      </c>
      <c r="I2481" s="1077" t="s">
        <v>7647</v>
      </c>
      <c r="J2481" s="1077">
        <v>3.2</v>
      </c>
      <c r="K2481" s="1077" t="s">
        <v>7648</v>
      </c>
      <c r="L2481" s="1077" t="s">
        <v>5787</v>
      </c>
      <c r="M2481" s="1077">
        <v>293</v>
      </c>
      <c r="N2481" s="1077" t="s">
        <v>945</v>
      </c>
      <c r="O2481" s="1077">
        <v>7.3250000000000002</v>
      </c>
      <c r="P2481" s="1077">
        <v>5.86</v>
      </c>
      <c r="Q2481" s="1077">
        <v>4</v>
      </c>
      <c r="R2481" s="1077">
        <v>23.4</v>
      </c>
      <c r="T2481" s="1077">
        <v>27</v>
      </c>
      <c r="U2481" s="1077">
        <v>3.5</v>
      </c>
      <c r="V2481" s="1077" t="s">
        <v>648</v>
      </c>
      <c r="W2481" s="1077">
        <v>60</v>
      </c>
      <c r="X2481" s="1077">
        <v>10</v>
      </c>
      <c r="Y2481" s="1077">
        <v>1.2</v>
      </c>
      <c r="Z2481" s="1077" t="s">
        <v>648</v>
      </c>
      <c r="AA2481" s="1077" t="s">
        <v>3815</v>
      </c>
      <c r="AH2481" s="1077" t="s">
        <v>2384</v>
      </c>
      <c r="AM2481" s="1078" t="s">
        <v>13903</v>
      </c>
      <c r="AN2481" s="1078" t="s">
        <v>13904</v>
      </c>
      <c r="AO2481" s="1078">
        <f t="shared" si="310"/>
        <v>550</v>
      </c>
      <c r="AP2481" s="1078">
        <f t="shared" si="311"/>
        <v>1.83</v>
      </c>
      <c r="AQ2481" s="1078" t="str">
        <f t="shared" si="312"/>
        <v>1-5-1S91°Z+S</v>
      </c>
      <c r="AR2481" s="1078" t="str">
        <f t="shared" si="313"/>
        <v>33.5</v>
      </c>
      <c r="AS2481" s="1078" t="str">
        <f t="shared" si="314"/>
        <v>290/290/OFF</v>
      </c>
      <c r="AT2481" s="1078" t="str">
        <f t="shared" si="315"/>
        <v>1-5-1S91°Z+S</v>
      </c>
      <c r="AU2481" s="1078" t="s">
        <v>15547</v>
      </c>
      <c r="AV2481" s="1078" t="str">
        <f t="shared" si="308"/>
        <v>110.10.1</v>
      </c>
      <c r="AW2481" s="1344">
        <f t="shared" si="309"/>
        <v>44470</v>
      </c>
    </row>
    <row r="2482" spans="1:49">
      <c r="A2482" s="1077" t="s">
        <v>7649</v>
      </c>
      <c r="B2482" s="1077" t="s">
        <v>7407</v>
      </c>
      <c r="C2482" s="1077">
        <v>550</v>
      </c>
      <c r="D2482" s="1077">
        <v>1.75</v>
      </c>
      <c r="E2482" s="1077">
        <v>102.5</v>
      </c>
      <c r="F2482" s="1077" t="s">
        <v>5134</v>
      </c>
      <c r="G2482" s="1077">
        <v>5</v>
      </c>
      <c r="H2482" s="1077" t="s">
        <v>7573</v>
      </c>
      <c r="I2482" s="1077" t="s">
        <v>7048</v>
      </c>
      <c r="J2482" s="1077">
        <v>3</v>
      </c>
      <c r="K2482" s="1077" t="s">
        <v>7650</v>
      </c>
      <c r="L2482" s="1077" t="s">
        <v>5159</v>
      </c>
      <c r="M2482" s="1077">
        <v>300.7</v>
      </c>
      <c r="N2482" s="1077" t="s">
        <v>945</v>
      </c>
      <c r="O2482" s="1077">
        <v>7.5175000000000001</v>
      </c>
      <c r="P2482" s="1077">
        <v>6.0140000000000002</v>
      </c>
      <c r="Q2482" s="1077">
        <v>3</v>
      </c>
      <c r="R2482" s="1077">
        <v>30.5</v>
      </c>
      <c r="T2482" s="1077">
        <v>14.7</v>
      </c>
      <c r="U2482" s="1077">
        <v>6.1</v>
      </c>
      <c r="V2482" s="1077" t="s">
        <v>648</v>
      </c>
      <c r="W2482" s="1077">
        <v>115</v>
      </c>
      <c r="X2482" s="1077">
        <v>45</v>
      </c>
      <c r="Y2482" s="1077">
        <v>1.5</v>
      </c>
      <c r="Z2482" s="1077" t="s">
        <v>648</v>
      </c>
      <c r="AA2482" s="1077" t="s">
        <v>3815</v>
      </c>
      <c r="AH2482" s="1077" t="s">
        <v>1376</v>
      </c>
      <c r="AM2482" s="1078" t="s">
        <v>13905</v>
      </c>
      <c r="AN2482" s="1078" t="s">
        <v>13906</v>
      </c>
      <c r="AO2482" s="1078">
        <f t="shared" si="310"/>
        <v>550</v>
      </c>
      <c r="AP2482" s="1078">
        <f t="shared" si="311"/>
        <v>1.75</v>
      </c>
      <c r="AQ2482" s="1078">
        <f t="shared" si="312"/>
        <v>102.5</v>
      </c>
      <c r="AR2482" s="1078" t="str">
        <f t="shared" si="313"/>
        <v>15.6</v>
      </c>
      <c r="AS2482" s="1078" t="str">
        <f t="shared" si="314"/>
        <v>355/370/OFF</v>
      </c>
      <c r="AT2482" s="1078">
        <f t="shared" si="315"/>
        <v>102.5</v>
      </c>
      <c r="AV2482" s="1078" t="str">
        <f t="shared" si="308"/>
        <v>110.10.1</v>
      </c>
      <c r="AW2482" s="1344">
        <f t="shared" si="309"/>
        <v>44470</v>
      </c>
    </row>
    <row r="2483" spans="1:49">
      <c r="A2483" s="1077" t="s">
        <v>7651</v>
      </c>
      <c r="B2483" s="1077" t="s">
        <v>7068</v>
      </c>
      <c r="C2483" s="1077">
        <v>500</v>
      </c>
      <c r="D2483" s="1077">
        <v>1.79</v>
      </c>
      <c r="E2483" s="1077" t="s">
        <v>15122</v>
      </c>
      <c r="F2483" s="1077" t="s">
        <v>975</v>
      </c>
      <c r="G2483" s="1077">
        <v>5</v>
      </c>
      <c r="H2483" s="1077" t="s">
        <v>2393</v>
      </c>
      <c r="I2483" s="1077" t="s">
        <v>6909</v>
      </c>
      <c r="K2483" s="1077" t="s">
        <v>7652</v>
      </c>
      <c r="L2483" s="1077" t="s">
        <v>5037</v>
      </c>
      <c r="M2483" s="1077">
        <v>293.2</v>
      </c>
      <c r="N2483" s="1077" t="s">
        <v>945</v>
      </c>
      <c r="O2483" s="1077">
        <v>7.33</v>
      </c>
      <c r="P2483" s="1077">
        <v>5.8639999999999999</v>
      </c>
      <c r="Q2483" s="1077">
        <v>3.5</v>
      </c>
      <c r="R2483" s="1077">
        <v>21</v>
      </c>
      <c r="T2483" s="1077">
        <v>25</v>
      </c>
      <c r="U2483" s="1077">
        <v>4.2</v>
      </c>
      <c r="V2483" s="1077" t="s">
        <v>648</v>
      </c>
      <c r="W2483" s="1077">
        <v>110</v>
      </c>
      <c r="X2483" s="1077">
        <v>20</v>
      </c>
      <c r="Y2483" s="1077">
        <v>1.6</v>
      </c>
      <c r="Z2483" s="1077" t="s">
        <v>648</v>
      </c>
      <c r="AA2483" s="1077" t="s">
        <v>5949</v>
      </c>
      <c r="AH2483" s="1077" t="s">
        <v>2055</v>
      </c>
      <c r="AM2483" s="1078" t="s">
        <v>13907</v>
      </c>
      <c r="AN2483" s="1078" t="s">
        <v>13908</v>
      </c>
      <c r="AO2483" s="1078">
        <f t="shared" si="310"/>
        <v>500</v>
      </c>
      <c r="AP2483" s="1078">
        <f t="shared" si="311"/>
        <v>1.79</v>
      </c>
      <c r="AQ2483" s="1078" t="str">
        <f t="shared" si="312"/>
        <v>1-5-1S91°Z+S</v>
      </c>
      <c r="AR2483" s="1078" t="str">
        <f t="shared" si="313"/>
        <v>31.5</v>
      </c>
      <c r="AS2483" s="1078" t="str">
        <f t="shared" si="314"/>
        <v>310/310/OFF</v>
      </c>
      <c r="AT2483" s="1078" t="str">
        <f t="shared" si="315"/>
        <v>1-5-1S91°Z+S</v>
      </c>
      <c r="AU2483" s="1078" t="s">
        <v>15547</v>
      </c>
      <c r="AV2483" s="1078" t="str">
        <f t="shared" si="308"/>
        <v>110.10.5</v>
      </c>
      <c r="AW2483" s="1344">
        <f t="shared" si="309"/>
        <v>44474</v>
      </c>
    </row>
    <row r="2484" spans="1:49">
      <c r="A2484" s="1077" t="s">
        <v>7653</v>
      </c>
      <c r="B2484" s="1077" t="s">
        <v>7091</v>
      </c>
      <c r="C2484" s="1077">
        <v>550</v>
      </c>
      <c r="D2484" s="1077">
        <v>1.78</v>
      </c>
      <c r="E2484" s="1077">
        <v>102.5</v>
      </c>
      <c r="F2484" s="1077" t="s">
        <v>4070</v>
      </c>
      <c r="G2484" s="1077">
        <v>5</v>
      </c>
      <c r="H2484" s="1077" t="s">
        <v>7047</v>
      </c>
      <c r="I2484" s="1077" t="s">
        <v>7001</v>
      </c>
      <c r="J2484" s="1077">
        <v>3.7</v>
      </c>
      <c r="K2484" s="1077" t="s">
        <v>7437</v>
      </c>
      <c r="L2484" s="1077" t="s">
        <v>5152</v>
      </c>
      <c r="M2484" s="1077">
        <v>290</v>
      </c>
      <c r="N2484" s="1077" t="s">
        <v>945</v>
      </c>
      <c r="O2484" s="1077">
        <v>7.25</v>
      </c>
      <c r="P2484" s="1077">
        <v>5.8</v>
      </c>
      <c r="Q2484" s="1077">
        <v>4</v>
      </c>
      <c r="R2484" s="1077">
        <v>19.5</v>
      </c>
      <c r="T2484" s="1077">
        <v>29.3</v>
      </c>
      <c r="U2484" s="1077">
        <v>3.5</v>
      </c>
      <c r="V2484" s="1077" t="s">
        <v>648</v>
      </c>
      <c r="W2484" s="1077">
        <v>95</v>
      </c>
      <c r="X2484" s="1077">
        <v>20</v>
      </c>
      <c r="Y2484" s="1077">
        <v>1.5</v>
      </c>
      <c r="Z2484" s="1077" t="s">
        <v>648</v>
      </c>
      <c r="AA2484" s="1077" t="s">
        <v>3817</v>
      </c>
      <c r="AH2484" s="1077" t="s">
        <v>1643</v>
      </c>
      <c r="AM2484" s="1078" t="s">
        <v>13909</v>
      </c>
      <c r="AN2484" s="1078" t="s">
        <v>13910</v>
      </c>
      <c r="AO2484" s="1078">
        <f t="shared" si="310"/>
        <v>550</v>
      </c>
      <c r="AP2484" s="1078">
        <f t="shared" si="311"/>
        <v>1.78</v>
      </c>
      <c r="AQ2484" s="1078">
        <f t="shared" si="312"/>
        <v>102.5</v>
      </c>
      <c r="AR2484" s="1078" t="str">
        <f t="shared" si="313"/>
        <v>15.5</v>
      </c>
      <c r="AS2484" s="1078" t="str">
        <f t="shared" si="314"/>
        <v>485/445/OFF</v>
      </c>
      <c r="AT2484" s="1078">
        <f t="shared" si="315"/>
        <v>102.5</v>
      </c>
      <c r="AV2484" s="1078" t="str">
        <f t="shared" si="308"/>
        <v>110.10.7</v>
      </c>
      <c r="AW2484" s="1344">
        <f t="shared" si="309"/>
        <v>44476</v>
      </c>
    </row>
    <row r="2485" spans="1:49">
      <c r="A2485" s="1077" t="s">
        <v>7654</v>
      </c>
      <c r="B2485" s="1077" t="s">
        <v>714</v>
      </c>
      <c r="C2485" s="1077">
        <v>550</v>
      </c>
      <c r="D2485" s="1077">
        <v>1.76</v>
      </c>
      <c r="E2485" s="1077">
        <v>102.5</v>
      </c>
      <c r="F2485" s="1077" t="s">
        <v>4070</v>
      </c>
      <c r="G2485" s="1077" t="s">
        <v>6865</v>
      </c>
      <c r="H2485" s="1077" t="s">
        <v>7349</v>
      </c>
      <c r="I2485" s="1077" t="s">
        <v>6873</v>
      </c>
      <c r="J2485" s="1077">
        <v>3.7</v>
      </c>
      <c r="K2485" s="1077" t="s">
        <v>7655</v>
      </c>
      <c r="L2485" s="1077" t="s">
        <v>4666</v>
      </c>
      <c r="M2485" s="1077">
        <v>300.3</v>
      </c>
      <c r="N2485" s="1077" t="s">
        <v>945</v>
      </c>
      <c r="O2485" s="1077">
        <v>7.5075000000000003</v>
      </c>
      <c r="P2485" s="1077">
        <v>6.0060000000000002</v>
      </c>
      <c r="Q2485" s="1077">
        <v>4</v>
      </c>
      <c r="R2485" s="1077">
        <v>18.899999999999999</v>
      </c>
      <c r="T2485" s="1077">
        <v>26.9</v>
      </c>
      <c r="U2485" s="1077">
        <v>3.7</v>
      </c>
      <c r="V2485" s="1077" t="s">
        <v>648</v>
      </c>
      <c r="W2485" s="1077">
        <v>60</v>
      </c>
      <c r="X2485" s="1077">
        <v>10</v>
      </c>
      <c r="Y2485" s="1077">
        <v>1.1000000000000001</v>
      </c>
      <c r="Z2485" s="1077" t="s">
        <v>648</v>
      </c>
      <c r="AA2485" s="1077" t="s">
        <v>6186</v>
      </c>
      <c r="AH2485" s="1077" t="s">
        <v>854</v>
      </c>
      <c r="AM2485" s="1078" t="s">
        <v>13911</v>
      </c>
      <c r="AN2485" s="1078" t="s">
        <v>13912</v>
      </c>
      <c r="AO2485" s="1078">
        <f t="shared" si="310"/>
        <v>550</v>
      </c>
      <c r="AP2485" s="1078">
        <f t="shared" si="311"/>
        <v>1.76</v>
      </c>
      <c r="AQ2485" s="1078">
        <f t="shared" si="312"/>
        <v>102.5</v>
      </c>
      <c r="AR2485" s="1078" t="str">
        <f t="shared" si="313"/>
        <v>15.5</v>
      </c>
      <c r="AS2485" s="1078" t="str">
        <f t="shared" si="314"/>
        <v>440/400/OFF</v>
      </c>
      <c r="AT2485" s="1078">
        <f t="shared" si="315"/>
        <v>102.5</v>
      </c>
      <c r="AV2485" s="1078" t="str">
        <f t="shared" si="308"/>
        <v>110.10.18</v>
      </c>
      <c r="AW2485" s="1344">
        <f t="shared" si="309"/>
        <v>44487</v>
      </c>
    </row>
    <row r="2486" spans="1:49">
      <c r="A2486" s="1077" t="s">
        <v>7656</v>
      </c>
      <c r="B2486" s="1077" t="s">
        <v>7657</v>
      </c>
      <c r="C2486" s="1077">
        <v>500</v>
      </c>
      <c r="D2486" s="1077">
        <v>1.7450000000000001</v>
      </c>
      <c r="E2486" s="1077">
        <v>115</v>
      </c>
      <c r="F2486" s="1077" t="s">
        <v>4070</v>
      </c>
      <c r="G2486" s="1077">
        <v>5</v>
      </c>
      <c r="H2486" s="1077" t="s">
        <v>7658</v>
      </c>
      <c r="I2486" s="1077" t="s">
        <v>7659</v>
      </c>
      <c r="K2486" s="1077" t="s">
        <v>7660</v>
      </c>
      <c r="L2486" s="1077" t="s">
        <v>5253</v>
      </c>
      <c r="M2486" s="1077">
        <v>297.5</v>
      </c>
      <c r="N2486" s="1077" t="s">
        <v>945</v>
      </c>
      <c r="O2486" s="1077">
        <v>7.4375</v>
      </c>
      <c r="P2486" s="1077">
        <v>5.95</v>
      </c>
      <c r="Q2486" s="1077">
        <v>4</v>
      </c>
      <c r="R2486" s="1077">
        <v>19.600000000000001</v>
      </c>
      <c r="T2486" s="1077">
        <v>28.2</v>
      </c>
      <c r="U2486" s="1077">
        <v>3.6</v>
      </c>
      <c r="V2486" s="1077" t="s">
        <v>648</v>
      </c>
      <c r="W2486" s="1077">
        <v>110</v>
      </c>
      <c r="X2486" s="1077">
        <v>10</v>
      </c>
      <c r="Y2486" s="1077">
        <v>1</v>
      </c>
      <c r="Z2486" s="1077" t="s">
        <v>648</v>
      </c>
      <c r="AA2486" s="1077" t="s">
        <v>7661</v>
      </c>
      <c r="AH2486" s="1077" t="s">
        <v>812</v>
      </c>
      <c r="AM2486" s="1078" t="s">
        <v>13913</v>
      </c>
      <c r="AN2486" s="1078" t="s">
        <v>13914</v>
      </c>
      <c r="AO2486" s="1078">
        <f t="shared" si="310"/>
        <v>500</v>
      </c>
      <c r="AP2486" s="1078">
        <f t="shared" si="311"/>
        <v>1.7450000000000001</v>
      </c>
      <c r="AQ2486" s="1078">
        <f t="shared" si="312"/>
        <v>115</v>
      </c>
      <c r="AR2486" s="1078" t="str">
        <f t="shared" si="313"/>
        <v>15.5</v>
      </c>
      <c r="AS2486" s="1078" t="str">
        <f t="shared" si="314"/>
        <v>400/400/OFF</v>
      </c>
      <c r="AT2486" s="1078">
        <f t="shared" si="315"/>
        <v>115</v>
      </c>
      <c r="AV2486" s="1078" t="str">
        <f t="shared" si="308"/>
        <v>110.10.28</v>
      </c>
      <c r="AW2486" s="1344">
        <f t="shared" si="309"/>
        <v>44497</v>
      </c>
    </row>
    <row r="2487" spans="1:49">
      <c r="A2487" s="1077" t="s">
        <v>7662</v>
      </c>
      <c r="B2487" s="1077" t="s">
        <v>714</v>
      </c>
      <c r="C2487" s="1077">
        <v>550</v>
      </c>
      <c r="D2487" s="1077">
        <v>1.7669999999999999</v>
      </c>
      <c r="E2487" s="1077" t="s">
        <v>15121</v>
      </c>
      <c r="F2487" s="1077" t="s">
        <v>648</v>
      </c>
      <c r="G2487" s="1077">
        <v>5</v>
      </c>
      <c r="H2487" s="1077" t="s">
        <v>3197</v>
      </c>
      <c r="I2487" s="1077" t="s">
        <v>7181</v>
      </c>
      <c r="J2487" s="1077">
        <v>3.7</v>
      </c>
      <c r="K2487" s="1077" t="s">
        <v>7663</v>
      </c>
      <c r="L2487" s="1077" t="s">
        <v>4666</v>
      </c>
      <c r="M2487" s="1077">
        <v>298.8</v>
      </c>
      <c r="N2487" s="1077" t="s">
        <v>945</v>
      </c>
      <c r="O2487" s="1077">
        <v>7.4700000000000006</v>
      </c>
      <c r="P2487" s="1077">
        <v>5.976</v>
      </c>
      <c r="Q2487" s="1077">
        <v>4</v>
      </c>
      <c r="R2487" s="1077">
        <v>20.5</v>
      </c>
      <c r="T2487" s="1077">
        <v>21</v>
      </c>
      <c r="U2487" s="1077">
        <v>3.5</v>
      </c>
      <c r="V2487" s="1077" t="s">
        <v>648</v>
      </c>
      <c r="W2487" s="1077">
        <v>30</v>
      </c>
      <c r="X2487" s="1077">
        <v>10</v>
      </c>
      <c r="Y2487" s="1077">
        <v>1.2</v>
      </c>
      <c r="Z2487" s="1077" t="s">
        <v>648</v>
      </c>
      <c r="AA2487" s="1077" t="s">
        <v>6110</v>
      </c>
      <c r="AH2487" s="1077" t="s">
        <v>1023</v>
      </c>
      <c r="AM2487" s="1078" t="s">
        <v>13915</v>
      </c>
      <c r="AN2487" s="1078" t="s">
        <v>13916</v>
      </c>
      <c r="AO2487" s="1078">
        <f t="shared" si="310"/>
        <v>550</v>
      </c>
      <c r="AP2487" s="1078">
        <f t="shared" si="311"/>
        <v>1.7669999999999999</v>
      </c>
      <c r="AQ2487" s="1078" t="str">
        <f t="shared" si="312"/>
        <v>1-5-1S85°S+Z</v>
      </c>
      <c r="AR2487" s="1078" t="str">
        <f t="shared" si="313"/>
        <v>NA</v>
      </c>
      <c r="AS2487" s="1078" t="str">
        <f t="shared" si="314"/>
        <v>175/165</v>
      </c>
      <c r="AT2487" s="1078" t="str">
        <f t="shared" si="315"/>
        <v>1-5-1S85°S+Z</v>
      </c>
      <c r="AU2487" s="1078" t="s">
        <v>15550</v>
      </c>
      <c r="AV2487" s="1078" t="str">
        <f t="shared" si="308"/>
        <v>110.10.25</v>
      </c>
      <c r="AW2487" s="1344">
        <f t="shared" si="309"/>
        <v>44494</v>
      </c>
    </row>
    <row r="2488" spans="1:49">
      <c r="A2488" s="1077" t="s">
        <v>7664</v>
      </c>
      <c r="B2488" s="1077" t="s">
        <v>714</v>
      </c>
      <c r="C2488" s="1077">
        <v>550</v>
      </c>
      <c r="D2488" s="1077">
        <v>1.7569999999999999</v>
      </c>
      <c r="E2488" s="1077" t="s">
        <v>15109</v>
      </c>
      <c r="F2488" s="1077" t="s">
        <v>648</v>
      </c>
      <c r="G2488" s="1077" t="s">
        <v>6865</v>
      </c>
      <c r="H2488" s="1077" t="s">
        <v>4874</v>
      </c>
      <c r="I2488" s="1077" t="s">
        <v>7105</v>
      </c>
      <c r="J2488" s="1077">
        <v>3.7</v>
      </c>
      <c r="K2488" s="1077" t="s">
        <v>7665</v>
      </c>
      <c r="L2488" s="1077" t="s">
        <v>4666</v>
      </c>
      <c r="M2488" s="1077">
        <v>300.8</v>
      </c>
      <c r="N2488" s="1077" t="s">
        <v>945</v>
      </c>
      <c r="O2488" s="1077">
        <v>7.5200000000000005</v>
      </c>
      <c r="P2488" s="1077">
        <v>6.016</v>
      </c>
      <c r="Q2488" s="1077">
        <v>4</v>
      </c>
      <c r="R2488" s="1077">
        <v>17</v>
      </c>
      <c r="T2488" s="1077">
        <v>31.4</v>
      </c>
      <c r="U2488" s="1077">
        <v>3.6</v>
      </c>
      <c r="V2488" s="1077" t="s">
        <v>648</v>
      </c>
      <c r="W2488" s="1077">
        <v>65</v>
      </c>
      <c r="X2488" s="1077">
        <v>10</v>
      </c>
      <c r="Y2488" s="1077">
        <v>1.5</v>
      </c>
      <c r="Z2488" s="1077" t="s">
        <v>648</v>
      </c>
      <c r="AA2488" s="1077" t="s">
        <v>3894</v>
      </c>
      <c r="AH2488" s="1077" t="s">
        <v>647</v>
      </c>
      <c r="AM2488" s="1078" t="s">
        <v>13917</v>
      </c>
      <c r="AN2488" s="1078" t="s">
        <v>13918</v>
      </c>
      <c r="AO2488" s="1078">
        <f t="shared" si="310"/>
        <v>550</v>
      </c>
      <c r="AP2488" s="1078">
        <f t="shared" si="311"/>
        <v>1.7569999999999999</v>
      </c>
      <c r="AQ2488" s="1078" t="str">
        <f t="shared" si="312"/>
        <v>1-5-1S85°Z+S</v>
      </c>
      <c r="AR2488" s="1078" t="str">
        <f t="shared" si="313"/>
        <v>NA</v>
      </c>
      <c r="AS2488" s="1078" t="str">
        <f t="shared" si="314"/>
        <v>187/OFF</v>
      </c>
      <c r="AT2488" s="1078" t="str">
        <f t="shared" si="315"/>
        <v>1-5-1S85°Z+S</v>
      </c>
      <c r="AU2488" s="1078" t="s">
        <v>15547</v>
      </c>
      <c r="AV2488" s="1078" t="str">
        <f t="shared" si="308"/>
        <v>110.10.22</v>
      </c>
      <c r="AW2488" s="1344">
        <f t="shared" si="309"/>
        <v>44491</v>
      </c>
    </row>
    <row r="2489" spans="1:49">
      <c r="A2489" s="1077" t="s">
        <v>7666</v>
      </c>
      <c r="B2489" s="1077" t="s">
        <v>7214</v>
      </c>
      <c r="C2489" s="1077" t="s">
        <v>7667</v>
      </c>
      <c r="D2489" s="1077">
        <v>1.7649999999999999</v>
      </c>
      <c r="E2489" s="1077">
        <v>102.5</v>
      </c>
      <c r="F2489" s="1077" t="s">
        <v>4070</v>
      </c>
      <c r="G2489" s="1077">
        <v>5</v>
      </c>
      <c r="H2489" s="1077" t="s">
        <v>7401</v>
      </c>
      <c r="I2489" s="1077" t="s">
        <v>6918</v>
      </c>
      <c r="J2489" s="1077">
        <v>3.7</v>
      </c>
      <c r="K2489" s="1077" t="s">
        <v>7668</v>
      </c>
      <c r="L2489" s="1077" t="s">
        <v>6043</v>
      </c>
      <c r="M2489" s="1077">
        <v>302.8</v>
      </c>
      <c r="N2489" s="1077" t="s">
        <v>945</v>
      </c>
      <c r="O2489" s="1077">
        <v>7.57</v>
      </c>
      <c r="P2489" s="1077">
        <v>6.056</v>
      </c>
      <c r="Q2489" s="1077" t="s">
        <v>1264</v>
      </c>
      <c r="R2489" s="1077">
        <v>18</v>
      </c>
      <c r="T2489" s="1077">
        <v>30</v>
      </c>
      <c r="U2489" s="1077">
        <v>3.4</v>
      </c>
      <c r="V2489" s="1077" t="s">
        <v>648</v>
      </c>
      <c r="W2489" s="1077">
        <v>110</v>
      </c>
      <c r="X2489" s="1077">
        <v>40</v>
      </c>
      <c r="Y2489" s="1077">
        <v>1</v>
      </c>
      <c r="Z2489" s="1077" t="s">
        <v>648</v>
      </c>
      <c r="AA2489" s="1077" t="s">
        <v>4850</v>
      </c>
      <c r="AH2489" s="1077" t="s">
        <v>862</v>
      </c>
      <c r="AM2489" s="1078" t="s">
        <v>13919</v>
      </c>
      <c r="AN2489" s="1078" t="s">
        <v>13613</v>
      </c>
      <c r="AO2489" s="1078" t="str">
        <f t="shared" si="310"/>
        <v>550↓500</v>
      </c>
      <c r="AP2489" s="1078">
        <f t="shared" si="311"/>
        <v>1.7649999999999999</v>
      </c>
      <c r="AQ2489" s="1078">
        <f t="shared" si="312"/>
        <v>102.5</v>
      </c>
      <c r="AR2489" s="1078" t="str">
        <f t="shared" si="313"/>
        <v>15.5</v>
      </c>
      <c r="AS2489" s="1078" t="str">
        <f t="shared" si="314"/>
        <v>480/450/OFF</v>
      </c>
      <c r="AT2489" s="1078">
        <f t="shared" si="315"/>
        <v>102.5</v>
      </c>
      <c r="AV2489" s="1078" t="str">
        <f t="shared" si="308"/>
        <v>110.10.30</v>
      </c>
      <c r="AW2489" s="1344">
        <f t="shared" si="309"/>
        <v>44499</v>
      </c>
    </row>
    <row r="2490" spans="1:49">
      <c r="A2490" s="1077" t="s">
        <v>7669</v>
      </c>
      <c r="B2490" s="1077" t="s">
        <v>663</v>
      </c>
      <c r="C2490" s="1077">
        <v>500</v>
      </c>
      <c r="D2490" s="1077">
        <v>1.78</v>
      </c>
      <c r="E2490" s="1077">
        <v>102.5</v>
      </c>
      <c r="F2490" s="1077" t="s">
        <v>4070</v>
      </c>
      <c r="G2490" s="1077">
        <v>5.5</v>
      </c>
      <c r="H2490" s="1077" t="s">
        <v>7484</v>
      </c>
      <c r="I2490" s="1077" t="s">
        <v>7459</v>
      </c>
      <c r="K2490" s="1077" t="s">
        <v>7670</v>
      </c>
      <c r="L2490" s="1077" t="s">
        <v>4907</v>
      </c>
      <c r="M2490" s="1077">
        <v>296</v>
      </c>
      <c r="N2490" s="1077" t="s">
        <v>945</v>
      </c>
      <c r="O2490" s="1077">
        <v>7.4</v>
      </c>
      <c r="P2490" s="1077">
        <v>5.92</v>
      </c>
      <c r="Q2490" s="1077">
        <v>3.5</v>
      </c>
      <c r="R2490" s="1077">
        <v>17</v>
      </c>
      <c r="T2490" s="1077">
        <v>10.5</v>
      </c>
      <c r="U2490" s="1077">
        <v>6.1</v>
      </c>
      <c r="V2490" s="1077" t="s">
        <v>648</v>
      </c>
      <c r="W2490" s="1077">
        <v>120</v>
      </c>
      <c r="X2490" s="1077">
        <v>90</v>
      </c>
      <c r="Y2490" s="1077">
        <v>1.1000000000000001</v>
      </c>
      <c r="Z2490" s="1077" t="s">
        <v>648</v>
      </c>
      <c r="AA2490" s="1077" t="s">
        <v>7671</v>
      </c>
      <c r="AH2490" s="1077" t="s">
        <v>2384</v>
      </c>
      <c r="AM2490" s="1078" t="s">
        <v>13920</v>
      </c>
      <c r="AN2490" s="1078" t="s">
        <v>13921</v>
      </c>
      <c r="AO2490" s="1078">
        <f t="shared" si="310"/>
        <v>500</v>
      </c>
      <c r="AP2490" s="1078">
        <f t="shared" si="311"/>
        <v>1.78</v>
      </c>
      <c r="AQ2490" s="1078">
        <f t="shared" si="312"/>
        <v>102.5</v>
      </c>
      <c r="AR2490" s="1078" t="str">
        <f t="shared" si="313"/>
        <v>15.5</v>
      </c>
      <c r="AS2490" s="1078" t="str">
        <f t="shared" si="314"/>
        <v>355/340/153</v>
      </c>
      <c r="AT2490" s="1078">
        <f t="shared" si="315"/>
        <v>102.5</v>
      </c>
      <c r="AV2490" s="1078" t="str">
        <f t="shared" si="308"/>
        <v>110.10.27</v>
      </c>
      <c r="AW2490" s="1344">
        <f t="shared" si="309"/>
        <v>44496</v>
      </c>
    </row>
    <row r="2491" spans="1:49">
      <c r="A2491" s="1077" t="s">
        <v>7672</v>
      </c>
      <c r="B2491" s="1077" t="s">
        <v>7214</v>
      </c>
      <c r="C2491" s="1077" t="s">
        <v>7072</v>
      </c>
      <c r="D2491" s="1077">
        <v>1.7649999999999999</v>
      </c>
      <c r="E2491" s="1077">
        <v>102.5</v>
      </c>
      <c r="F2491" s="1077" t="s">
        <v>4070</v>
      </c>
      <c r="G2491" s="1077">
        <v>5</v>
      </c>
      <c r="H2491" s="1077" t="s">
        <v>7673</v>
      </c>
      <c r="I2491" s="1077" t="s">
        <v>6903</v>
      </c>
      <c r="J2491" s="1077">
        <v>3.7</v>
      </c>
      <c r="K2491" s="1077" t="s">
        <v>7674</v>
      </c>
      <c r="L2491" s="1077" t="s">
        <v>6043</v>
      </c>
      <c r="M2491" s="1077">
        <v>302.8</v>
      </c>
      <c r="N2491" s="1077" t="s">
        <v>945</v>
      </c>
      <c r="O2491" s="1077">
        <v>7.57</v>
      </c>
      <c r="P2491" s="1077">
        <v>6.056</v>
      </c>
      <c r="Q2491" s="1077">
        <v>3.5</v>
      </c>
      <c r="R2491" s="1077">
        <v>18</v>
      </c>
      <c r="T2491" s="1077">
        <v>30</v>
      </c>
      <c r="U2491" s="1077">
        <v>3.4</v>
      </c>
      <c r="V2491" s="1077" t="s">
        <v>648</v>
      </c>
      <c r="W2491" s="1077">
        <v>110</v>
      </c>
      <c r="X2491" s="1077">
        <v>40</v>
      </c>
      <c r="Y2491" s="1077">
        <v>1</v>
      </c>
      <c r="Z2491" s="1077" t="s">
        <v>648</v>
      </c>
      <c r="AA2491" s="1077" t="s">
        <v>3965</v>
      </c>
      <c r="AH2491" s="1077" t="s">
        <v>854</v>
      </c>
      <c r="AM2491" s="1078" t="s">
        <v>13922</v>
      </c>
      <c r="AN2491" s="1078" t="s">
        <v>13923</v>
      </c>
      <c r="AO2491" s="1078" t="str">
        <f t="shared" si="310"/>
        <v>500↓450</v>
      </c>
      <c r="AP2491" s="1078">
        <f t="shared" si="311"/>
        <v>1.7649999999999999</v>
      </c>
      <c r="AQ2491" s="1078">
        <f t="shared" si="312"/>
        <v>102.5</v>
      </c>
      <c r="AR2491" s="1078" t="str">
        <f t="shared" si="313"/>
        <v>15.5</v>
      </c>
      <c r="AS2491" s="1078" t="str">
        <f t="shared" si="314"/>
        <v>470/440/OFF</v>
      </c>
      <c r="AT2491" s="1078">
        <f t="shared" si="315"/>
        <v>102.5</v>
      </c>
      <c r="AV2491" s="1078" t="str">
        <f t="shared" si="308"/>
        <v>110.11.5</v>
      </c>
      <c r="AW2491" s="1344">
        <f t="shared" si="309"/>
        <v>44505</v>
      </c>
    </row>
    <row r="2492" spans="1:49">
      <c r="A2492" s="1077" t="s">
        <v>7675</v>
      </c>
      <c r="B2492" s="1077" t="s">
        <v>714</v>
      </c>
      <c r="C2492" s="1077">
        <v>600</v>
      </c>
      <c r="D2492" s="1077">
        <v>1.77</v>
      </c>
      <c r="E2492" s="1077">
        <v>102.5</v>
      </c>
      <c r="F2492" s="1077" t="s">
        <v>4070</v>
      </c>
      <c r="G2492" s="1077">
        <v>5.5</v>
      </c>
      <c r="H2492" s="1077" t="s">
        <v>7676</v>
      </c>
      <c r="I2492" s="1077" t="s">
        <v>7588</v>
      </c>
      <c r="J2492" s="1077">
        <v>3.7</v>
      </c>
      <c r="K2492" s="1077" t="s">
        <v>7640</v>
      </c>
      <c r="L2492" s="1077" t="s">
        <v>4666</v>
      </c>
      <c r="M2492" s="1077">
        <v>295.10000000000002</v>
      </c>
      <c r="N2492" s="1077" t="s">
        <v>945</v>
      </c>
      <c r="O2492" s="1077">
        <v>7.3775000000000013</v>
      </c>
      <c r="P2492" s="1077">
        <v>5.9020000000000001</v>
      </c>
      <c r="Q2492" s="1077">
        <v>4</v>
      </c>
      <c r="R2492" s="1077">
        <v>17.399999999999999</v>
      </c>
      <c r="T2492" s="1077">
        <v>31</v>
      </c>
      <c r="U2492" s="1077">
        <v>3.5</v>
      </c>
      <c r="V2492" s="1077" t="s">
        <v>648</v>
      </c>
      <c r="W2492" s="1077">
        <v>100</v>
      </c>
      <c r="X2492" s="1077">
        <v>40</v>
      </c>
      <c r="Y2492" s="1077">
        <v>1</v>
      </c>
      <c r="Z2492" s="1077" t="s">
        <v>648</v>
      </c>
      <c r="AA2492" s="1077" t="s">
        <v>1443</v>
      </c>
      <c r="AB2492" s="1077" t="s">
        <v>7643</v>
      </c>
      <c r="AH2492" s="1077" t="s">
        <v>723</v>
      </c>
      <c r="AM2492" s="1078" t="s">
        <v>13924</v>
      </c>
      <c r="AN2492" s="1078" t="s">
        <v>13925</v>
      </c>
      <c r="AO2492" s="1078">
        <f t="shared" si="310"/>
        <v>600</v>
      </c>
      <c r="AP2492" s="1078">
        <f t="shared" si="311"/>
        <v>1.77</v>
      </c>
      <c r="AQ2492" s="1078">
        <f t="shared" si="312"/>
        <v>102.5</v>
      </c>
      <c r="AR2492" s="1078" t="str">
        <f t="shared" si="313"/>
        <v>15.5</v>
      </c>
      <c r="AS2492" s="1078" t="str">
        <f t="shared" si="314"/>
        <v>500/460/OFF</v>
      </c>
      <c r="AT2492" s="1078">
        <f t="shared" si="315"/>
        <v>102.5</v>
      </c>
      <c r="AV2492" s="1078" t="str">
        <f t="shared" si="308"/>
        <v>110.11.8</v>
      </c>
      <c r="AW2492" s="1344">
        <f t="shared" si="309"/>
        <v>44508</v>
      </c>
    </row>
    <row r="2493" spans="1:49">
      <c r="A2493" s="1077" t="s">
        <v>7677</v>
      </c>
      <c r="B2493" s="1077" t="s">
        <v>714</v>
      </c>
      <c r="C2493" s="1077">
        <v>550</v>
      </c>
      <c r="D2493" s="1077">
        <v>1.7569999999999999</v>
      </c>
      <c r="E2493" s="1077" t="s">
        <v>15109</v>
      </c>
      <c r="F2493" s="1077" t="s">
        <v>648</v>
      </c>
      <c r="G2493" s="1077" t="s">
        <v>6865</v>
      </c>
      <c r="H2493" s="1077" t="s">
        <v>4874</v>
      </c>
      <c r="I2493" s="1077" t="s">
        <v>7105</v>
      </c>
      <c r="J2493" s="1077">
        <v>3.7</v>
      </c>
      <c r="K2493" s="1077" t="s">
        <v>7678</v>
      </c>
      <c r="L2493" s="1077" t="s">
        <v>4666</v>
      </c>
      <c r="M2493" s="1077">
        <v>300.8</v>
      </c>
      <c r="N2493" s="1077" t="s">
        <v>945</v>
      </c>
      <c r="O2493" s="1077">
        <v>7.5200000000000005</v>
      </c>
      <c r="P2493" s="1077">
        <v>6.016</v>
      </c>
      <c r="Q2493" s="1077">
        <v>4</v>
      </c>
      <c r="R2493" s="1077">
        <v>17</v>
      </c>
      <c r="T2493" s="1077">
        <v>31.4</v>
      </c>
      <c r="U2493" s="1077">
        <v>3.6</v>
      </c>
      <c r="V2493" s="1077" t="s">
        <v>648</v>
      </c>
      <c r="W2493" s="1077">
        <v>65</v>
      </c>
      <c r="X2493" s="1077">
        <v>10</v>
      </c>
      <c r="Y2493" s="1077">
        <v>1.5</v>
      </c>
      <c r="Z2493" s="1077" t="s">
        <v>648</v>
      </c>
      <c r="AA2493" s="1077" t="s">
        <v>1443</v>
      </c>
      <c r="AH2493" s="1077" t="s">
        <v>853</v>
      </c>
      <c r="AM2493" s="1078" t="s">
        <v>13926</v>
      </c>
      <c r="AN2493" s="1078" t="s">
        <v>13927</v>
      </c>
      <c r="AO2493" s="1078">
        <f t="shared" si="310"/>
        <v>550</v>
      </c>
      <c r="AP2493" s="1078">
        <f t="shared" si="311"/>
        <v>1.7569999999999999</v>
      </c>
      <c r="AQ2493" s="1078" t="str">
        <f t="shared" si="312"/>
        <v>1-5-1S85°Z+S</v>
      </c>
      <c r="AR2493" s="1078" t="str">
        <f t="shared" si="313"/>
        <v>NA</v>
      </c>
      <c r="AS2493" s="1078" t="str">
        <f t="shared" si="314"/>
        <v>187/OFF</v>
      </c>
      <c r="AT2493" s="1078" t="str">
        <f t="shared" si="315"/>
        <v>1-5-1S85°Z+S</v>
      </c>
      <c r="AU2493" s="1078" t="s">
        <v>15547</v>
      </c>
      <c r="AV2493" s="1078" t="str">
        <f t="shared" si="308"/>
        <v>110.11.8</v>
      </c>
      <c r="AW2493" s="1344">
        <f t="shared" si="309"/>
        <v>44508</v>
      </c>
    </row>
    <row r="2494" spans="1:49">
      <c r="A2494" s="1077" t="s">
        <v>7679</v>
      </c>
      <c r="B2494" s="1077" t="s">
        <v>7068</v>
      </c>
      <c r="C2494" s="1077">
        <v>550</v>
      </c>
      <c r="D2494" s="1077">
        <v>1.78</v>
      </c>
      <c r="E2494" s="1077" t="s">
        <v>15126</v>
      </c>
      <c r="F2494" s="1077" t="s">
        <v>984</v>
      </c>
      <c r="G2494" s="1077">
        <v>5</v>
      </c>
      <c r="H2494" s="1077" t="s">
        <v>7680</v>
      </c>
      <c r="I2494" s="1077" t="s">
        <v>7137</v>
      </c>
      <c r="K2494" s="1077" t="s">
        <v>7681</v>
      </c>
      <c r="L2494" s="1077" t="s">
        <v>5037</v>
      </c>
      <c r="M2494" s="1077">
        <v>296.2</v>
      </c>
      <c r="N2494" s="1077" t="s">
        <v>945</v>
      </c>
      <c r="O2494" s="1077">
        <v>7.4050000000000002</v>
      </c>
      <c r="P2494" s="1077">
        <v>5.9239999999999995</v>
      </c>
      <c r="Q2494" s="1077">
        <v>3.5</v>
      </c>
      <c r="R2494" s="1077">
        <v>20.100000000000001</v>
      </c>
      <c r="T2494" s="1077">
        <v>20.399999999999999</v>
      </c>
      <c r="U2494" s="1077">
        <v>4</v>
      </c>
      <c r="V2494" s="1077" t="s">
        <v>648</v>
      </c>
      <c r="W2494" s="1077">
        <v>125</v>
      </c>
      <c r="X2494" s="1077">
        <v>40</v>
      </c>
      <c r="Y2494" s="1077">
        <v>1.6</v>
      </c>
      <c r="Z2494" s="1077">
        <v>7</v>
      </c>
      <c r="AA2494" s="1077" t="s">
        <v>7682</v>
      </c>
      <c r="AH2494" s="1077" t="s">
        <v>966</v>
      </c>
      <c r="AM2494" s="1078" t="s">
        <v>13928</v>
      </c>
      <c r="AN2494" s="1078" t="s">
        <v>13929</v>
      </c>
      <c r="AO2494" s="1078">
        <f t="shared" si="310"/>
        <v>550</v>
      </c>
      <c r="AP2494" s="1078">
        <f t="shared" si="311"/>
        <v>1.78</v>
      </c>
      <c r="AQ2494" s="1078" t="str">
        <f t="shared" si="312"/>
        <v>1-5-1S91°Z+Z</v>
      </c>
      <c r="AR2494" s="1078" t="str">
        <f t="shared" si="313"/>
        <v>30</v>
      </c>
      <c r="AS2494" s="1078" t="str">
        <f t="shared" si="314"/>
        <v>310/310/160</v>
      </c>
      <c r="AT2494" s="1078" t="str">
        <f t="shared" si="315"/>
        <v>1-5-1S91°Z+Z</v>
      </c>
      <c r="AU2494" s="1078" t="s">
        <v>15551</v>
      </c>
      <c r="AV2494" s="1078" t="str">
        <f t="shared" si="308"/>
        <v>110.11.11</v>
      </c>
      <c r="AW2494" s="1344">
        <f t="shared" si="309"/>
        <v>44511</v>
      </c>
    </row>
    <row r="2495" spans="1:49">
      <c r="A2495" s="1077" t="s">
        <v>7683</v>
      </c>
      <c r="B2495" s="1077" t="s">
        <v>7091</v>
      </c>
      <c r="C2495" s="1077">
        <v>550</v>
      </c>
      <c r="D2495" s="1077">
        <v>1.78</v>
      </c>
      <c r="E2495" s="1077">
        <v>102.5</v>
      </c>
      <c r="F2495" s="1077" t="s">
        <v>4070</v>
      </c>
      <c r="G2495" s="1077">
        <v>5</v>
      </c>
      <c r="H2495" s="1077" t="s">
        <v>7047</v>
      </c>
      <c r="I2495" s="1077" t="s">
        <v>7048</v>
      </c>
      <c r="J2495" s="1077">
        <v>3.7</v>
      </c>
      <c r="K2495" s="1077" t="s">
        <v>7684</v>
      </c>
      <c r="L2495" s="1077" t="s">
        <v>5152</v>
      </c>
      <c r="M2495" s="1077">
        <v>290</v>
      </c>
      <c r="N2495" s="1077" t="s">
        <v>945</v>
      </c>
      <c r="O2495" s="1077">
        <v>7.25</v>
      </c>
      <c r="P2495" s="1077">
        <v>5.8</v>
      </c>
      <c r="Q2495" s="1077">
        <v>4</v>
      </c>
      <c r="R2495" s="1077">
        <v>19.5</v>
      </c>
      <c r="T2495" s="1077">
        <v>29.3</v>
      </c>
      <c r="U2495" s="1077">
        <v>3.5</v>
      </c>
      <c r="V2495" s="1077" t="s">
        <v>648</v>
      </c>
      <c r="W2495" s="1077">
        <v>95</v>
      </c>
      <c r="X2495" s="1077">
        <v>20</v>
      </c>
      <c r="Y2495" s="1077">
        <v>1.5</v>
      </c>
      <c r="Z2495" s="1077" t="s">
        <v>648</v>
      </c>
      <c r="AA2495" s="1077" t="s">
        <v>5968</v>
      </c>
      <c r="AH2495" s="1077" t="s">
        <v>7685</v>
      </c>
      <c r="AM2495" s="1078" t="s">
        <v>13930</v>
      </c>
      <c r="AN2495" s="1078" t="s">
        <v>13931</v>
      </c>
      <c r="AO2495" s="1078">
        <f t="shared" si="310"/>
        <v>550</v>
      </c>
      <c r="AP2495" s="1078">
        <f t="shared" si="311"/>
        <v>1.78</v>
      </c>
      <c r="AQ2495" s="1078">
        <f t="shared" si="312"/>
        <v>102.5</v>
      </c>
      <c r="AR2495" s="1078" t="str">
        <f t="shared" si="313"/>
        <v>15.5</v>
      </c>
      <c r="AS2495" s="1078" t="str">
        <f t="shared" si="314"/>
        <v>485/445/OFF</v>
      </c>
      <c r="AT2495" s="1078">
        <f t="shared" si="315"/>
        <v>102.5</v>
      </c>
      <c r="AV2495" s="1078" t="str">
        <f t="shared" si="308"/>
        <v>110.11.22</v>
      </c>
      <c r="AW2495" s="1344">
        <f t="shared" si="309"/>
        <v>44522</v>
      </c>
    </row>
    <row r="2496" spans="1:49">
      <c r="A2496" s="1077" t="s">
        <v>7686</v>
      </c>
      <c r="B2496" s="1077" t="s">
        <v>7080</v>
      </c>
      <c r="C2496" s="1077">
        <v>600</v>
      </c>
      <c r="D2496" s="1077">
        <v>1.8</v>
      </c>
      <c r="E2496" s="1077" t="s">
        <v>15116</v>
      </c>
      <c r="F2496" s="1077" t="s">
        <v>2234</v>
      </c>
      <c r="G2496" s="1077">
        <v>3.5</v>
      </c>
      <c r="H2496" s="1077" t="s">
        <v>6952</v>
      </c>
      <c r="I2496" s="1077" t="s">
        <v>6953</v>
      </c>
      <c r="K2496" s="1077" t="s">
        <v>7081</v>
      </c>
      <c r="L2496" s="1077" t="s">
        <v>7082</v>
      </c>
      <c r="M2496" s="1077">
        <v>303</v>
      </c>
      <c r="N2496" s="1077" t="s">
        <v>945</v>
      </c>
      <c r="O2496" s="1077">
        <v>7.5750000000000002</v>
      </c>
      <c r="P2496" s="1077">
        <v>6.0600000000000005</v>
      </c>
      <c r="Q2496" s="1077">
        <v>3.5</v>
      </c>
      <c r="R2496" s="1077">
        <v>22</v>
      </c>
      <c r="T2496" s="1077">
        <v>23</v>
      </c>
      <c r="U2496" s="1077">
        <v>3.2</v>
      </c>
      <c r="V2496" s="1077" t="s">
        <v>648</v>
      </c>
      <c r="W2496" s="1077">
        <v>115</v>
      </c>
      <c r="X2496" s="1077">
        <v>85</v>
      </c>
      <c r="Y2496" s="1077">
        <v>1.2</v>
      </c>
      <c r="Z2496" s="1077" t="s">
        <v>648</v>
      </c>
      <c r="AA2496" s="1077" t="s">
        <v>4249</v>
      </c>
      <c r="AH2496" s="1077" t="s">
        <v>468</v>
      </c>
      <c r="AM2496" s="1078" t="s">
        <v>13932</v>
      </c>
      <c r="AN2496" s="1078" t="s">
        <v>13933</v>
      </c>
      <c r="AO2496" s="1078">
        <f t="shared" si="310"/>
        <v>600</v>
      </c>
      <c r="AP2496" s="1078">
        <f t="shared" si="311"/>
        <v>1.8</v>
      </c>
      <c r="AQ2496" s="1078" t="str">
        <f t="shared" si="312"/>
        <v>1-5-1S83°Z+S</v>
      </c>
      <c r="AR2496" s="1078" t="str">
        <f t="shared" si="313"/>
        <v>33.5</v>
      </c>
      <c r="AS2496" s="1078" t="str">
        <f t="shared" si="314"/>
        <v>340/340/140</v>
      </c>
      <c r="AT2496" s="1078" t="str">
        <f t="shared" si="315"/>
        <v>1-5-1S83°Z+S</v>
      </c>
      <c r="AU2496" s="1078" t="s">
        <v>15547</v>
      </c>
      <c r="AV2496" s="1078" t="str">
        <f t="shared" si="308"/>
        <v>110.12.1</v>
      </c>
      <c r="AW2496" s="1344">
        <f t="shared" si="309"/>
        <v>44531</v>
      </c>
    </row>
    <row r="2497" spans="1:49">
      <c r="A2497" s="1077" t="s">
        <v>7687</v>
      </c>
      <c r="B2497" s="1077" t="s">
        <v>7306</v>
      </c>
      <c r="C2497" s="1077">
        <v>600</v>
      </c>
      <c r="D2497" s="1077">
        <v>1.76</v>
      </c>
      <c r="E2497" s="1077" t="s">
        <v>15116</v>
      </c>
      <c r="F2497" s="1077" t="s">
        <v>2234</v>
      </c>
      <c r="G2497" s="1077">
        <v>3.5</v>
      </c>
      <c r="H2497" s="1077" t="s">
        <v>6952</v>
      </c>
      <c r="I2497" s="1077" t="s">
        <v>7150</v>
      </c>
      <c r="J2497" s="1077">
        <v>3</v>
      </c>
      <c r="K2497" s="1077" t="s">
        <v>7307</v>
      </c>
      <c r="L2497" s="1077" t="s">
        <v>7308</v>
      </c>
      <c r="M2497" s="1077">
        <v>310</v>
      </c>
      <c r="N2497" s="1077" t="s">
        <v>945</v>
      </c>
      <c r="O2497" s="1077">
        <v>7.75</v>
      </c>
      <c r="P2497" s="1077">
        <v>6.2</v>
      </c>
      <c r="Q2497" s="1077">
        <v>3.5</v>
      </c>
      <c r="R2497" s="1077">
        <v>22</v>
      </c>
      <c r="T2497" s="1077">
        <v>22</v>
      </c>
      <c r="U2497" s="1077">
        <v>3.5</v>
      </c>
      <c r="V2497" s="1077" t="s">
        <v>648</v>
      </c>
      <c r="W2497" s="1077">
        <v>110</v>
      </c>
      <c r="X2497" s="1077">
        <v>85</v>
      </c>
      <c r="Y2497" s="1077">
        <v>1</v>
      </c>
      <c r="Z2497" s="1077" t="s">
        <v>648</v>
      </c>
      <c r="AA2497" s="1077" t="s">
        <v>7688</v>
      </c>
      <c r="AH2497" s="1077" t="s">
        <v>862</v>
      </c>
      <c r="AM2497" s="1078" t="s">
        <v>13934</v>
      </c>
      <c r="AN2497" s="1078" t="s">
        <v>13935</v>
      </c>
      <c r="AO2497" s="1078">
        <f t="shared" si="310"/>
        <v>600</v>
      </c>
      <c r="AP2497" s="1078">
        <f t="shared" si="311"/>
        <v>1.76</v>
      </c>
      <c r="AQ2497" s="1078" t="str">
        <f t="shared" si="312"/>
        <v>1-5-1S83°Z+S</v>
      </c>
      <c r="AR2497" s="1078" t="str">
        <f t="shared" si="313"/>
        <v>33.5</v>
      </c>
      <c r="AS2497" s="1078" t="str">
        <f t="shared" si="314"/>
        <v>340/340/140</v>
      </c>
      <c r="AT2497" s="1078" t="str">
        <f t="shared" si="315"/>
        <v>1-5-1S83°Z+S</v>
      </c>
      <c r="AU2497" s="1078" t="s">
        <v>15547</v>
      </c>
      <c r="AV2497" s="1078" t="str">
        <f t="shared" si="308"/>
        <v>110.11.30</v>
      </c>
      <c r="AW2497" s="1344">
        <f t="shared" si="309"/>
        <v>44530</v>
      </c>
    </row>
    <row r="2498" spans="1:49">
      <c r="A2498" s="1077" t="s">
        <v>7689</v>
      </c>
      <c r="B2498" s="1077" t="s">
        <v>714</v>
      </c>
      <c r="C2498" s="1077">
        <v>550</v>
      </c>
      <c r="D2498" s="1077">
        <v>1.76</v>
      </c>
      <c r="E2498" s="1077">
        <v>102.5</v>
      </c>
      <c r="F2498" s="1077" t="s">
        <v>4070</v>
      </c>
      <c r="G2498" s="1077" t="s">
        <v>6865</v>
      </c>
      <c r="H2498" s="1077" t="s">
        <v>6872</v>
      </c>
      <c r="I2498" s="1077" t="s">
        <v>7443</v>
      </c>
      <c r="J2498" s="1077">
        <v>3.7</v>
      </c>
      <c r="K2498" s="1077" t="s">
        <v>7690</v>
      </c>
      <c r="L2498" s="1077" t="s">
        <v>4666</v>
      </c>
      <c r="M2498" s="1077">
        <v>300.8</v>
      </c>
      <c r="N2498" s="1077" t="s">
        <v>945</v>
      </c>
      <c r="O2498" s="1077">
        <v>7.5200000000000005</v>
      </c>
      <c r="P2498" s="1077">
        <v>6.016</v>
      </c>
      <c r="Q2498" s="1077">
        <v>4</v>
      </c>
      <c r="R2498" s="1077">
        <v>17</v>
      </c>
      <c r="T2498" s="1077">
        <v>31.4</v>
      </c>
      <c r="U2498" s="1077">
        <v>3.6</v>
      </c>
      <c r="V2498" s="1077" t="s">
        <v>648</v>
      </c>
      <c r="W2498" s="1077">
        <v>65</v>
      </c>
      <c r="X2498" s="1077">
        <v>10</v>
      </c>
      <c r="Y2498" s="1077">
        <v>1.5</v>
      </c>
      <c r="Z2498" s="1077" t="s">
        <v>648</v>
      </c>
      <c r="AA2498" s="1077" t="s">
        <v>7691</v>
      </c>
      <c r="AH2498" s="1077" t="s">
        <v>1643</v>
      </c>
      <c r="AM2498" s="1078" t="s">
        <v>13936</v>
      </c>
      <c r="AN2498" s="1078" t="s">
        <v>13937</v>
      </c>
      <c r="AO2498" s="1078">
        <f t="shared" si="310"/>
        <v>550</v>
      </c>
      <c r="AP2498" s="1078">
        <f t="shared" si="311"/>
        <v>1.76</v>
      </c>
      <c r="AQ2498" s="1078">
        <f t="shared" si="312"/>
        <v>102.5</v>
      </c>
      <c r="AR2498" s="1078" t="str">
        <f t="shared" si="313"/>
        <v>15.5</v>
      </c>
      <c r="AS2498" s="1078" t="str">
        <f t="shared" si="314"/>
        <v>475/435/OFF</v>
      </c>
      <c r="AT2498" s="1078">
        <f t="shared" si="315"/>
        <v>102.5</v>
      </c>
      <c r="AV2498" s="1078" t="str">
        <f t="shared" ref="AV2498:AV2561" si="316">AA2498</f>
        <v>110.12.3</v>
      </c>
      <c r="AW2498" s="1344">
        <f t="shared" si="309"/>
        <v>44533</v>
      </c>
    </row>
    <row r="2499" spans="1:49">
      <c r="A2499" s="1077" t="s">
        <v>7692</v>
      </c>
      <c r="B2499" s="1077" t="s">
        <v>7109</v>
      </c>
      <c r="C2499" s="1077">
        <v>600</v>
      </c>
      <c r="D2499" s="1077">
        <v>1.7450000000000001</v>
      </c>
      <c r="E2499" s="1077" t="s">
        <v>15116</v>
      </c>
      <c r="F2499" s="1077" t="s">
        <v>2234</v>
      </c>
      <c r="G2499" s="1077">
        <v>5</v>
      </c>
      <c r="H2499" s="1077" t="s">
        <v>6952</v>
      </c>
      <c r="I2499" s="1077" t="s">
        <v>7001</v>
      </c>
      <c r="K2499" s="1077" t="s">
        <v>7110</v>
      </c>
      <c r="L2499" s="1077" t="s">
        <v>7111</v>
      </c>
      <c r="M2499" s="1077">
        <v>310</v>
      </c>
      <c r="N2499" s="1077" t="s">
        <v>945</v>
      </c>
      <c r="O2499" s="1077">
        <v>7.75</v>
      </c>
      <c r="P2499" s="1077">
        <v>6.2</v>
      </c>
      <c r="Q2499" s="1077">
        <v>3</v>
      </c>
      <c r="R2499" s="1077">
        <v>22</v>
      </c>
      <c r="T2499" s="1077">
        <v>13.5</v>
      </c>
      <c r="U2499" s="1077">
        <v>3.2</v>
      </c>
      <c r="V2499" s="1077" t="s">
        <v>648</v>
      </c>
      <c r="W2499" s="1077">
        <v>100</v>
      </c>
      <c r="X2499" s="1077">
        <v>85</v>
      </c>
      <c r="Y2499" s="1077">
        <v>1.2</v>
      </c>
      <c r="Z2499" s="1077" t="s">
        <v>648</v>
      </c>
      <c r="AA2499" s="1077" t="s">
        <v>3998</v>
      </c>
      <c r="AH2499" s="1077" t="s">
        <v>958</v>
      </c>
      <c r="AM2499" s="1078" t="s">
        <v>13938</v>
      </c>
      <c r="AN2499" s="1078" t="s">
        <v>13939</v>
      </c>
      <c r="AO2499" s="1078">
        <f t="shared" si="310"/>
        <v>600</v>
      </c>
      <c r="AP2499" s="1078">
        <f t="shared" si="311"/>
        <v>1.7450000000000001</v>
      </c>
      <c r="AQ2499" s="1078" t="str">
        <f t="shared" si="312"/>
        <v>1-5-1S83°Z+S</v>
      </c>
      <c r="AR2499" s="1078" t="str">
        <f t="shared" si="313"/>
        <v>33.5</v>
      </c>
      <c r="AS2499" s="1078" t="str">
        <f t="shared" si="314"/>
        <v>340/340/140</v>
      </c>
      <c r="AT2499" s="1078" t="str">
        <f t="shared" si="315"/>
        <v>1-5-1S83°Z+S</v>
      </c>
      <c r="AU2499" s="1078" t="s">
        <v>15547</v>
      </c>
      <c r="AV2499" s="1078" t="str">
        <f t="shared" si="316"/>
        <v>110.12.21</v>
      </c>
      <c r="AW2499" s="1344">
        <f t="shared" ref="AW2499:AW2562" si="317">DATE(VALUE(LEFT(AV2499,FIND(".",AV2499)-1))+1911,
       VALUE(MID(AV2499,FIND(".",AV2499)+1,FIND(".",AV2499,FIND(".",AV2499)+1)-FIND(".",AV2499)-1)),
       VALUE(RIGHT(AV2499,LEN(AV2499)-FIND("~",SUBSTITUTE(AV2499,".","~",2)))))</f>
        <v>44551</v>
      </c>
    </row>
    <row r="2500" spans="1:49">
      <c r="A2500" s="1077" t="s">
        <v>7693</v>
      </c>
      <c r="B2500" s="1077" t="s">
        <v>7214</v>
      </c>
      <c r="C2500" s="1077">
        <v>500</v>
      </c>
      <c r="D2500" s="1077">
        <v>1.7849999999999999</v>
      </c>
      <c r="E2500" s="1077" t="s">
        <v>15121</v>
      </c>
      <c r="F2500" s="1077" t="s">
        <v>648</v>
      </c>
      <c r="G2500" s="1077">
        <v>5</v>
      </c>
      <c r="H2500" s="1077" t="s">
        <v>2941</v>
      </c>
      <c r="I2500" s="1077" t="s">
        <v>6918</v>
      </c>
      <c r="J2500" s="1077">
        <v>3.7</v>
      </c>
      <c r="K2500" s="1077" t="s">
        <v>7668</v>
      </c>
      <c r="L2500" s="1077" t="s">
        <v>6043</v>
      </c>
      <c r="M2500" s="1077">
        <v>302.8</v>
      </c>
      <c r="N2500" s="1077" t="s">
        <v>945</v>
      </c>
      <c r="O2500" s="1077">
        <v>7.57</v>
      </c>
      <c r="P2500" s="1077">
        <v>6.056</v>
      </c>
      <c r="Q2500" s="1077">
        <v>3.5</v>
      </c>
      <c r="R2500" s="1077">
        <v>18</v>
      </c>
      <c r="T2500" s="1077">
        <v>30</v>
      </c>
      <c r="U2500" s="1077">
        <v>3.4</v>
      </c>
      <c r="V2500" s="1077" t="s">
        <v>648</v>
      </c>
      <c r="W2500" s="1077">
        <v>110</v>
      </c>
      <c r="X2500" s="1077">
        <v>40</v>
      </c>
      <c r="Y2500" s="1077">
        <v>1</v>
      </c>
      <c r="Z2500" s="1077" t="s">
        <v>648</v>
      </c>
      <c r="AA2500" s="1077" t="s">
        <v>1450</v>
      </c>
      <c r="AH2500" s="1077" t="s">
        <v>3028</v>
      </c>
      <c r="AM2500" s="1078" t="s">
        <v>13940</v>
      </c>
      <c r="AN2500" s="1078" t="s">
        <v>13941</v>
      </c>
      <c r="AO2500" s="1078">
        <f t="shared" si="310"/>
        <v>500</v>
      </c>
      <c r="AP2500" s="1078">
        <f t="shared" si="311"/>
        <v>1.7849999999999999</v>
      </c>
      <c r="AQ2500" s="1078" t="str">
        <f t="shared" si="312"/>
        <v>1-5-1S85°S+Z</v>
      </c>
      <c r="AR2500" s="1078" t="str">
        <f t="shared" si="313"/>
        <v>NA</v>
      </c>
      <c r="AS2500" s="1078" t="str">
        <f t="shared" si="314"/>
        <v>190/OFF</v>
      </c>
      <c r="AT2500" s="1078" t="str">
        <f t="shared" si="315"/>
        <v>1-5-1S85°S+Z</v>
      </c>
      <c r="AU2500" s="1078" t="s">
        <v>15550</v>
      </c>
      <c r="AV2500" s="1078" t="str">
        <f t="shared" si="316"/>
        <v>110.12.20</v>
      </c>
      <c r="AW2500" s="1344">
        <f t="shared" si="317"/>
        <v>44550</v>
      </c>
    </row>
    <row r="2501" spans="1:49">
      <c r="A2501" s="1077" t="s">
        <v>7694</v>
      </c>
      <c r="B2501" s="1077" t="s">
        <v>6940</v>
      </c>
      <c r="C2501" s="1077">
        <v>500</v>
      </c>
      <c r="D2501" s="1077">
        <v>1.77</v>
      </c>
      <c r="E2501" s="1077" t="s">
        <v>15122</v>
      </c>
      <c r="F2501" s="1077" t="s">
        <v>984</v>
      </c>
      <c r="G2501" s="1077">
        <v>5</v>
      </c>
      <c r="H2501" s="1077" t="s">
        <v>2009</v>
      </c>
      <c r="I2501" s="1077" t="s">
        <v>6988</v>
      </c>
      <c r="J2501" s="1077">
        <v>1</v>
      </c>
      <c r="K2501" s="1077" t="s">
        <v>7695</v>
      </c>
      <c r="L2501" s="1077" t="s">
        <v>7614</v>
      </c>
      <c r="M2501" s="1077">
        <v>308.39999999999998</v>
      </c>
      <c r="N2501" s="1077" t="s">
        <v>945</v>
      </c>
      <c r="O2501" s="1077">
        <v>7.71</v>
      </c>
      <c r="P2501" s="1077">
        <v>6.1679999999999993</v>
      </c>
      <c r="Q2501" s="1077">
        <v>2.8</v>
      </c>
      <c r="R2501" s="1077">
        <v>29.5</v>
      </c>
      <c r="T2501" s="1077">
        <v>14.5</v>
      </c>
      <c r="U2501" s="1077">
        <v>5</v>
      </c>
      <c r="V2501" s="1077" t="s">
        <v>648</v>
      </c>
      <c r="W2501" s="1077" t="s">
        <v>6990</v>
      </c>
      <c r="X2501" s="1077">
        <v>10</v>
      </c>
      <c r="Y2501" s="1077">
        <v>1.7</v>
      </c>
      <c r="Z2501" s="1077" t="s">
        <v>648</v>
      </c>
      <c r="AA2501" s="1077" t="s">
        <v>3991</v>
      </c>
      <c r="AH2501" s="1077" t="s">
        <v>482</v>
      </c>
      <c r="AM2501" s="1078" t="s">
        <v>13942</v>
      </c>
      <c r="AN2501" s="1078" t="s">
        <v>13943</v>
      </c>
      <c r="AO2501" s="1078">
        <f t="shared" si="310"/>
        <v>500</v>
      </c>
      <c r="AP2501" s="1078">
        <f t="shared" si="311"/>
        <v>1.77</v>
      </c>
      <c r="AQ2501" s="1078" t="str">
        <f t="shared" si="312"/>
        <v>1-5-1S91°Z+S</v>
      </c>
      <c r="AR2501" s="1078" t="str">
        <f t="shared" si="313"/>
        <v>30</v>
      </c>
      <c r="AS2501" s="1078" t="str">
        <f t="shared" si="314"/>
        <v>265/265/OFF</v>
      </c>
      <c r="AT2501" s="1078" t="str">
        <f t="shared" si="315"/>
        <v>1-5-1S91°Z+S</v>
      </c>
      <c r="AU2501" s="1078" t="s">
        <v>15547</v>
      </c>
      <c r="AV2501" s="1078" t="str">
        <f t="shared" si="316"/>
        <v>110.12.6</v>
      </c>
      <c r="AW2501" s="1344">
        <f t="shared" si="317"/>
        <v>44536</v>
      </c>
    </row>
    <row r="2502" spans="1:49">
      <c r="A2502" s="1077" t="s">
        <v>7696</v>
      </c>
      <c r="B2502" s="1077" t="s">
        <v>714</v>
      </c>
      <c r="C2502" s="1077">
        <v>550</v>
      </c>
      <c r="D2502" s="1077">
        <v>1.7869999999999999</v>
      </c>
      <c r="E2502" s="1077" t="s">
        <v>15109</v>
      </c>
      <c r="F2502" s="1077" t="s">
        <v>648</v>
      </c>
      <c r="G2502" s="1077" t="s">
        <v>6865</v>
      </c>
      <c r="H2502" s="1077" t="s">
        <v>2931</v>
      </c>
      <c r="I2502" s="1077" t="s">
        <v>6896</v>
      </c>
      <c r="J2502" s="1077">
        <v>3.7</v>
      </c>
      <c r="K2502" s="1077" t="s">
        <v>7665</v>
      </c>
      <c r="L2502" s="1077" t="s">
        <v>4666</v>
      </c>
      <c r="M2502" s="1077">
        <v>295.10000000000002</v>
      </c>
      <c r="N2502" s="1077" t="s">
        <v>945</v>
      </c>
      <c r="O2502" s="1077">
        <v>7.3775000000000013</v>
      </c>
      <c r="P2502" s="1077">
        <v>5.9020000000000001</v>
      </c>
      <c r="Q2502" s="1077">
        <v>4</v>
      </c>
      <c r="R2502" s="1077">
        <v>17.399999999999999</v>
      </c>
      <c r="T2502" s="1077">
        <v>31</v>
      </c>
      <c r="U2502" s="1077">
        <v>3.5</v>
      </c>
      <c r="V2502" s="1077" t="s">
        <v>648</v>
      </c>
      <c r="W2502" s="1077" t="s">
        <v>6880</v>
      </c>
      <c r="X2502" s="1077">
        <v>40</v>
      </c>
      <c r="Y2502" s="1077">
        <v>1</v>
      </c>
      <c r="Z2502" s="1077" t="s">
        <v>648</v>
      </c>
      <c r="AA2502" s="1077" t="s">
        <v>3991</v>
      </c>
      <c r="AH2502" s="1077" t="s">
        <v>1360</v>
      </c>
      <c r="AM2502" s="1078" t="s">
        <v>13944</v>
      </c>
      <c r="AN2502" s="1078" t="s">
        <v>13945</v>
      </c>
      <c r="AO2502" s="1078">
        <f t="shared" si="310"/>
        <v>550</v>
      </c>
      <c r="AP2502" s="1078">
        <f t="shared" si="311"/>
        <v>1.7869999999999999</v>
      </c>
      <c r="AQ2502" s="1078" t="str">
        <f t="shared" si="312"/>
        <v>1-5-1S85°Z+S</v>
      </c>
      <c r="AR2502" s="1078" t="str">
        <f t="shared" si="313"/>
        <v>NA</v>
      </c>
      <c r="AS2502" s="1078" t="str">
        <f t="shared" si="314"/>
        <v>195/OFF</v>
      </c>
      <c r="AT2502" s="1078" t="str">
        <f t="shared" si="315"/>
        <v>1-5-1S85°Z+S</v>
      </c>
      <c r="AU2502" s="1078" t="s">
        <v>15547</v>
      </c>
      <c r="AV2502" s="1078" t="str">
        <f t="shared" si="316"/>
        <v>110.12.6</v>
      </c>
      <c r="AW2502" s="1344">
        <f t="shared" si="317"/>
        <v>44536</v>
      </c>
    </row>
    <row r="2503" spans="1:49">
      <c r="A2503" s="1077" t="s">
        <v>7697</v>
      </c>
      <c r="B2503" s="1077" t="s">
        <v>7657</v>
      </c>
      <c r="C2503" s="1077">
        <v>500</v>
      </c>
      <c r="D2503" s="1077">
        <v>1.7450000000000001</v>
      </c>
      <c r="E2503" s="1077">
        <v>115</v>
      </c>
      <c r="F2503" s="1077" t="s">
        <v>4070</v>
      </c>
      <c r="G2503" s="1077">
        <v>5</v>
      </c>
      <c r="H2503" s="1077" t="s">
        <v>7658</v>
      </c>
      <c r="I2503" s="1077" t="s">
        <v>6941</v>
      </c>
      <c r="K2503" s="1077" t="s">
        <v>7660</v>
      </c>
      <c r="L2503" s="1077" t="s">
        <v>5253</v>
      </c>
      <c r="M2503" s="1077">
        <v>297.5</v>
      </c>
      <c r="N2503" s="1077" t="s">
        <v>945</v>
      </c>
      <c r="O2503" s="1077">
        <v>7.4375</v>
      </c>
      <c r="P2503" s="1077">
        <v>5.95</v>
      </c>
      <c r="Q2503" s="1077">
        <v>4</v>
      </c>
      <c r="R2503" s="1077">
        <v>19.600000000000001</v>
      </c>
      <c r="T2503" s="1077">
        <v>28.2</v>
      </c>
      <c r="U2503" s="1077">
        <v>3.6</v>
      </c>
      <c r="V2503" s="1077" t="s">
        <v>648</v>
      </c>
      <c r="W2503" s="1077">
        <v>110</v>
      </c>
      <c r="X2503" s="1077">
        <v>10</v>
      </c>
      <c r="Y2503" s="1077">
        <v>1</v>
      </c>
      <c r="Z2503" s="1077" t="s">
        <v>648</v>
      </c>
      <c r="AA2503" s="1077" t="s">
        <v>4251</v>
      </c>
      <c r="AH2503" s="1077" t="s">
        <v>5681</v>
      </c>
      <c r="AM2503" s="1078" t="s">
        <v>13946</v>
      </c>
      <c r="AN2503" s="1078" t="s">
        <v>13947</v>
      </c>
      <c r="AO2503" s="1078">
        <f t="shared" si="310"/>
        <v>500</v>
      </c>
      <c r="AP2503" s="1078">
        <f t="shared" si="311"/>
        <v>1.7450000000000001</v>
      </c>
      <c r="AQ2503" s="1078">
        <f t="shared" si="312"/>
        <v>115</v>
      </c>
      <c r="AR2503" s="1078" t="str">
        <f t="shared" si="313"/>
        <v>15.5</v>
      </c>
      <c r="AS2503" s="1078" t="str">
        <f t="shared" si="314"/>
        <v>400/400/OFF</v>
      </c>
      <c r="AT2503" s="1078">
        <f t="shared" si="315"/>
        <v>115</v>
      </c>
      <c r="AV2503" s="1078" t="str">
        <f t="shared" si="316"/>
        <v>110.12.7</v>
      </c>
      <c r="AW2503" s="1344">
        <f t="shared" si="317"/>
        <v>44537</v>
      </c>
    </row>
    <row r="2504" spans="1:49">
      <c r="A2504" s="1077" t="s">
        <v>7698</v>
      </c>
      <c r="B2504" s="1077" t="s">
        <v>7114</v>
      </c>
      <c r="C2504" s="1077">
        <v>550</v>
      </c>
      <c r="D2504" s="1077">
        <v>1.7549999999999999</v>
      </c>
      <c r="E2504" s="1077">
        <v>102.5</v>
      </c>
      <c r="F2504" s="1077" t="s">
        <v>5134</v>
      </c>
      <c r="G2504" s="1077">
        <v>5</v>
      </c>
      <c r="H2504" s="1077" t="s">
        <v>7476</v>
      </c>
      <c r="I2504" s="1077" t="s">
        <v>7048</v>
      </c>
      <c r="J2504" s="1077">
        <v>3</v>
      </c>
      <c r="K2504" s="1077" t="s">
        <v>7699</v>
      </c>
      <c r="L2504" s="1077" t="s">
        <v>4854</v>
      </c>
      <c r="M2504" s="1077">
        <v>300.7</v>
      </c>
      <c r="N2504" s="1077" t="s">
        <v>945</v>
      </c>
      <c r="O2504" s="1077">
        <v>7.5175000000000001</v>
      </c>
      <c r="P2504" s="1077">
        <v>6.0140000000000002</v>
      </c>
      <c r="Q2504" s="1077">
        <v>3</v>
      </c>
      <c r="R2504" s="1077">
        <v>28.5</v>
      </c>
      <c r="T2504" s="1077">
        <v>14.7</v>
      </c>
      <c r="U2504" s="1077">
        <v>6.1</v>
      </c>
      <c r="V2504" s="1077" t="s">
        <v>648</v>
      </c>
      <c r="W2504" s="1077">
        <v>115</v>
      </c>
      <c r="X2504" s="1077">
        <v>45</v>
      </c>
      <c r="Y2504" s="1077">
        <v>1.5</v>
      </c>
      <c r="Z2504" s="1077" t="s">
        <v>648</v>
      </c>
      <c r="AA2504" s="1077" t="s">
        <v>3994</v>
      </c>
      <c r="AH2504" s="1077" t="s">
        <v>870</v>
      </c>
      <c r="AI2504" s="1077">
        <v>92.88</v>
      </c>
      <c r="AJ2504" s="1077">
        <v>-0.26</v>
      </c>
      <c r="AK2504" s="1077">
        <v>6.27</v>
      </c>
      <c r="AM2504" s="1078" t="s">
        <v>13948</v>
      </c>
      <c r="AN2504" s="1078" t="s">
        <v>13949</v>
      </c>
      <c r="AO2504" s="1078">
        <f t="shared" si="310"/>
        <v>550</v>
      </c>
      <c r="AP2504" s="1078">
        <f t="shared" si="311"/>
        <v>1.7549999999999999</v>
      </c>
      <c r="AQ2504" s="1078">
        <f t="shared" si="312"/>
        <v>102.5</v>
      </c>
      <c r="AR2504" s="1078" t="str">
        <f t="shared" si="313"/>
        <v>15.6</v>
      </c>
      <c r="AS2504" s="1078" t="str">
        <f t="shared" si="314"/>
        <v>350/365/OFF</v>
      </c>
      <c r="AT2504" s="1078">
        <f t="shared" si="315"/>
        <v>102.5</v>
      </c>
      <c r="AV2504" s="1078" t="str">
        <f t="shared" si="316"/>
        <v>110.12.10</v>
      </c>
      <c r="AW2504" s="1344">
        <f t="shared" si="317"/>
        <v>44540</v>
      </c>
    </row>
    <row r="2505" spans="1:49">
      <c r="A2505" s="1077" t="s">
        <v>7700</v>
      </c>
      <c r="B2505" s="1077" t="s">
        <v>714</v>
      </c>
      <c r="C2505" s="1077">
        <v>550</v>
      </c>
      <c r="D2505" s="1077">
        <v>1.76</v>
      </c>
      <c r="E2505" s="1077">
        <v>102.5</v>
      </c>
      <c r="F2505" s="1077" t="s">
        <v>4070</v>
      </c>
      <c r="G2505" s="1077" t="s">
        <v>6865</v>
      </c>
      <c r="H2505" s="1077" t="s">
        <v>6872</v>
      </c>
      <c r="I2505" s="1077" t="s">
        <v>7443</v>
      </c>
      <c r="J2505" s="1077">
        <v>3.7</v>
      </c>
      <c r="K2505" s="1077" t="s">
        <v>7701</v>
      </c>
      <c r="L2505" s="1077" t="s">
        <v>4666</v>
      </c>
      <c r="M2505" s="1077">
        <v>300.8</v>
      </c>
      <c r="N2505" s="1077" t="s">
        <v>945</v>
      </c>
      <c r="O2505" s="1077">
        <v>7.5200000000000005</v>
      </c>
      <c r="P2505" s="1077">
        <v>6.016</v>
      </c>
      <c r="Q2505" s="1077">
        <v>4</v>
      </c>
      <c r="R2505" s="1077">
        <v>17</v>
      </c>
      <c r="T2505" s="1077">
        <v>31.4</v>
      </c>
      <c r="U2505" s="1077">
        <v>3.6</v>
      </c>
      <c r="V2505" s="1077" t="s">
        <v>648</v>
      </c>
      <c r="W2505" s="1077">
        <v>65</v>
      </c>
      <c r="X2505" s="1077">
        <v>10</v>
      </c>
      <c r="Y2505" s="1077">
        <v>1.5</v>
      </c>
      <c r="Z2505" s="1077" t="s">
        <v>648</v>
      </c>
      <c r="AA2505" s="1077" t="s">
        <v>4000</v>
      </c>
      <c r="AH2505" s="1077" t="s">
        <v>862</v>
      </c>
      <c r="AM2505" s="1078" t="s">
        <v>13950</v>
      </c>
      <c r="AN2505" s="1078" t="s">
        <v>13951</v>
      </c>
      <c r="AO2505" s="1078">
        <f t="shared" si="310"/>
        <v>550</v>
      </c>
      <c r="AP2505" s="1078">
        <f t="shared" si="311"/>
        <v>1.76</v>
      </c>
      <c r="AQ2505" s="1078">
        <f t="shared" si="312"/>
        <v>102.5</v>
      </c>
      <c r="AR2505" s="1078" t="str">
        <f t="shared" si="313"/>
        <v>15.5</v>
      </c>
      <c r="AS2505" s="1078" t="str">
        <f t="shared" si="314"/>
        <v>475/435/OFF</v>
      </c>
      <c r="AT2505" s="1078">
        <f t="shared" si="315"/>
        <v>102.5</v>
      </c>
      <c r="AV2505" s="1078" t="str">
        <f t="shared" si="316"/>
        <v>110.12.23</v>
      </c>
      <c r="AW2505" s="1344">
        <f t="shared" si="317"/>
        <v>44553</v>
      </c>
    </row>
    <row r="2506" spans="1:49">
      <c r="A2506" s="1077" t="s">
        <v>7702</v>
      </c>
      <c r="B2506" s="1077" t="s">
        <v>7068</v>
      </c>
      <c r="C2506" s="1077">
        <v>500</v>
      </c>
      <c r="D2506" s="1077">
        <v>1.79</v>
      </c>
      <c r="E2506" s="1077" t="s">
        <v>15122</v>
      </c>
      <c r="F2506" s="1077" t="s">
        <v>975</v>
      </c>
      <c r="G2506" s="1077">
        <v>5</v>
      </c>
      <c r="H2506" s="1077" t="s">
        <v>2393</v>
      </c>
      <c r="I2506" s="1077" t="s">
        <v>6909</v>
      </c>
      <c r="K2506" s="1077" t="s">
        <v>7681</v>
      </c>
      <c r="L2506" s="1077" t="s">
        <v>5037</v>
      </c>
      <c r="M2506" s="1077">
        <v>293.2</v>
      </c>
      <c r="N2506" s="1077" t="s">
        <v>945</v>
      </c>
      <c r="O2506" s="1077">
        <v>7.33</v>
      </c>
      <c r="P2506" s="1077">
        <v>5.8639999999999999</v>
      </c>
      <c r="Q2506" s="1077">
        <v>3.5</v>
      </c>
      <c r="R2506" s="1077">
        <v>21</v>
      </c>
      <c r="T2506" s="1077">
        <v>25</v>
      </c>
      <c r="U2506" s="1077">
        <v>4.2</v>
      </c>
      <c r="V2506" s="1077" t="s">
        <v>648</v>
      </c>
      <c r="W2506" s="1077">
        <v>110</v>
      </c>
      <c r="X2506" s="1077">
        <v>20</v>
      </c>
      <c r="Y2506" s="1077">
        <v>1.6</v>
      </c>
      <c r="Z2506" s="1077" t="s">
        <v>648</v>
      </c>
      <c r="AA2506" s="1077" t="s">
        <v>4005</v>
      </c>
      <c r="AH2506" s="1077" t="s">
        <v>1684</v>
      </c>
      <c r="AM2506" s="1078" t="s">
        <v>13952</v>
      </c>
      <c r="AN2506" s="1078" t="s">
        <v>13953</v>
      </c>
      <c r="AO2506" s="1078">
        <f t="shared" si="310"/>
        <v>500</v>
      </c>
      <c r="AP2506" s="1078">
        <f t="shared" si="311"/>
        <v>1.79</v>
      </c>
      <c r="AQ2506" s="1078" t="str">
        <f t="shared" si="312"/>
        <v>1-5-1S91°Z+S</v>
      </c>
      <c r="AR2506" s="1078" t="str">
        <f t="shared" si="313"/>
        <v>31.5</v>
      </c>
      <c r="AS2506" s="1078" t="str">
        <f t="shared" si="314"/>
        <v>310/310/OFF</v>
      </c>
      <c r="AT2506" s="1078" t="str">
        <f t="shared" si="315"/>
        <v>1-5-1S91°Z+S</v>
      </c>
      <c r="AU2506" s="1078" t="s">
        <v>15547</v>
      </c>
      <c r="AV2506" s="1078" t="str">
        <f t="shared" si="316"/>
        <v>111.1.3</v>
      </c>
      <c r="AW2506" s="1344">
        <f t="shared" si="317"/>
        <v>44564</v>
      </c>
    </row>
    <row r="2507" spans="1:49">
      <c r="A2507" s="1077" t="s">
        <v>7703</v>
      </c>
      <c r="B2507" s="1077" t="s">
        <v>7214</v>
      </c>
      <c r="C2507" s="1077">
        <v>500</v>
      </c>
      <c r="D2507" s="1077">
        <v>1.77</v>
      </c>
      <c r="E2507" s="1077" t="s">
        <v>15121</v>
      </c>
      <c r="F2507" s="1077" t="s">
        <v>648</v>
      </c>
      <c r="G2507" s="1077">
        <v>5</v>
      </c>
      <c r="H2507" s="1077" t="s">
        <v>2941</v>
      </c>
      <c r="I2507" s="1077" t="s">
        <v>6918</v>
      </c>
      <c r="J2507" s="1077">
        <v>3.7</v>
      </c>
      <c r="K2507" s="1077" t="s">
        <v>7674</v>
      </c>
      <c r="L2507" s="1077" t="s">
        <v>6043</v>
      </c>
      <c r="M2507" s="1077">
        <v>302.8</v>
      </c>
      <c r="N2507" s="1077" t="s">
        <v>945</v>
      </c>
      <c r="O2507" s="1077">
        <v>7.57</v>
      </c>
      <c r="P2507" s="1077">
        <v>6.056</v>
      </c>
      <c r="Q2507" s="1077">
        <v>3.5</v>
      </c>
      <c r="R2507" s="1077">
        <v>18</v>
      </c>
      <c r="T2507" s="1077">
        <v>30</v>
      </c>
      <c r="U2507" s="1077">
        <v>3.4</v>
      </c>
      <c r="V2507" s="1077" t="s">
        <v>648</v>
      </c>
      <c r="W2507" s="1077">
        <v>110</v>
      </c>
      <c r="X2507" s="1077">
        <v>40</v>
      </c>
      <c r="Y2507" s="1077">
        <v>1</v>
      </c>
      <c r="Z2507" s="1077" t="s">
        <v>648</v>
      </c>
      <c r="AA2507" s="1077" t="s">
        <v>4289</v>
      </c>
      <c r="AH2507" s="1077" t="s">
        <v>1827</v>
      </c>
      <c r="AM2507" s="1078" t="s">
        <v>13954</v>
      </c>
      <c r="AN2507" s="1078" t="s">
        <v>13955</v>
      </c>
      <c r="AO2507" s="1078">
        <f t="shared" ref="AO2507:AO2570" si="318">C2507</f>
        <v>500</v>
      </c>
      <c r="AP2507" s="1078">
        <f t="shared" ref="AP2507:AP2570" si="319">D2507</f>
        <v>1.77</v>
      </c>
      <c r="AQ2507" s="1078" t="str">
        <f t="shared" ref="AQ2507:AQ2570" si="320">E2507</f>
        <v>1-5-1S85°S+Z</v>
      </c>
      <c r="AR2507" s="1078" t="str">
        <f t="shared" ref="AR2507:AR2570" si="321">F2507</f>
        <v>NA</v>
      </c>
      <c r="AS2507" s="1078" t="str">
        <f t="shared" ref="AS2507:AS2570" si="322">H2507</f>
        <v>190/OFF</v>
      </c>
      <c r="AT2507" s="1078" t="str">
        <f t="shared" ref="AT2507:AT2570" si="323">E2507</f>
        <v>1-5-1S85°S+Z</v>
      </c>
      <c r="AU2507" s="1078" t="s">
        <v>15550</v>
      </c>
      <c r="AV2507" s="1078" t="str">
        <f t="shared" si="316"/>
        <v>110.12.30</v>
      </c>
      <c r="AW2507" s="1344">
        <f t="shared" si="317"/>
        <v>44560</v>
      </c>
    </row>
    <row r="2508" spans="1:49">
      <c r="A2508" s="1077" t="s">
        <v>7704</v>
      </c>
      <c r="B2508" s="1077" t="s">
        <v>714</v>
      </c>
      <c r="C2508" s="1077">
        <v>600</v>
      </c>
      <c r="D2508" s="1077">
        <v>1.77</v>
      </c>
      <c r="E2508" s="1077">
        <v>102.5</v>
      </c>
      <c r="F2508" s="1077" t="s">
        <v>4070</v>
      </c>
      <c r="G2508" s="1077">
        <v>5.5</v>
      </c>
      <c r="H2508" s="1077" t="s">
        <v>7338</v>
      </c>
      <c r="I2508" s="1077" t="s">
        <v>7705</v>
      </c>
      <c r="J2508" s="1077">
        <v>3.7</v>
      </c>
      <c r="K2508" s="1077" t="s">
        <v>7706</v>
      </c>
      <c r="L2508" s="1077" t="s">
        <v>4666</v>
      </c>
      <c r="M2508" s="1077">
        <v>295.10000000000002</v>
      </c>
      <c r="N2508" s="1077" t="s">
        <v>945</v>
      </c>
      <c r="O2508" s="1077">
        <v>7.3775000000000013</v>
      </c>
      <c r="P2508" s="1077">
        <v>5.9020000000000001</v>
      </c>
      <c r="Q2508" s="1077">
        <v>4</v>
      </c>
      <c r="R2508" s="1077">
        <v>17.399999999999999</v>
      </c>
      <c r="T2508" s="1077">
        <v>31</v>
      </c>
      <c r="U2508" s="1077">
        <v>3.5</v>
      </c>
      <c r="V2508" s="1077" t="s">
        <v>648</v>
      </c>
      <c r="W2508" s="1077">
        <v>100</v>
      </c>
      <c r="X2508" s="1077">
        <v>40</v>
      </c>
      <c r="Y2508" s="1077">
        <v>1</v>
      </c>
      <c r="Z2508" s="1077" t="s">
        <v>648</v>
      </c>
      <c r="AA2508" s="1077" t="s">
        <v>4009</v>
      </c>
      <c r="AH2508" s="1077" t="s">
        <v>1376</v>
      </c>
      <c r="AM2508" s="1078" t="s">
        <v>13956</v>
      </c>
      <c r="AN2508" s="1078" t="s">
        <v>13957</v>
      </c>
      <c r="AO2508" s="1078">
        <f t="shared" si="318"/>
        <v>600</v>
      </c>
      <c r="AP2508" s="1078">
        <f t="shared" si="319"/>
        <v>1.77</v>
      </c>
      <c r="AQ2508" s="1078">
        <f t="shared" si="320"/>
        <v>102.5</v>
      </c>
      <c r="AR2508" s="1078" t="str">
        <f t="shared" si="321"/>
        <v>15.5</v>
      </c>
      <c r="AS2508" s="1078" t="str">
        <f t="shared" si="322"/>
        <v>504/464/OFF</v>
      </c>
      <c r="AT2508" s="1078">
        <f t="shared" si="323"/>
        <v>102.5</v>
      </c>
      <c r="AV2508" s="1078" t="str">
        <f t="shared" si="316"/>
        <v>111.1.6</v>
      </c>
      <c r="AW2508" s="1344">
        <f t="shared" si="317"/>
        <v>44567</v>
      </c>
    </row>
    <row r="2509" spans="1:49">
      <c r="A2509" s="1077" t="s">
        <v>7707</v>
      </c>
      <c r="B2509" s="1077" t="s">
        <v>714</v>
      </c>
      <c r="C2509" s="1077">
        <v>650</v>
      </c>
      <c r="D2509" s="1077">
        <v>1.76</v>
      </c>
      <c r="E2509" s="1077" t="s">
        <v>15121</v>
      </c>
      <c r="F2509" s="1077" t="s">
        <v>648</v>
      </c>
      <c r="G2509" s="1077">
        <v>5</v>
      </c>
      <c r="H2509" s="1077" t="s">
        <v>7708</v>
      </c>
      <c r="I2509" s="1077" t="s">
        <v>7709</v>
      </c>
      <c r="J2509" s="1077">
        <v>3.7</v>
      </c>
      <c r="K2509" s="1077" t="s">
        <v>7710</v>
      </c>
      <c r="L2509" s="1077" t="s">
        <v>4666</v>
      </c>
      <c r="M2509" s="1077">
        <v>298.8</v>
      </c>
      <c r="N2509" s="1077" t="s">
        <v>945</v>
      </c>
      <c r="O2509" s="1077">
        <v>7.4700000000000006</v>
      </c>
      <c r="P2509" s="1077">
        <v>5.976</v>
      </c>
      <c r="Q2509" s="1077">
        <v>4</v>
      </c>
      <c r="R2509" s="1077">
        <v>20.5</v>
      </c>
      <c r="T2509" s="1077">
        <v>21</v>
      </c>
      <c r="U2509" s="1077">
        <v>3.5</v>
      </c>
      <c r="V2509" s="1077" t="s">
        <v>648</v>
      </c>
      <c r="W2509" s="1077">
        <v>30</v>
      </c>
      <c r="X2509" s="1077">
        <v>10</v>
      </c>
      <c r="Y2509" s="1077">
        <v>1.2</v>
      </c>
      <c r="Z2509" s="1077" t="s">
        <v>648</v>
      </c>
      <c r="AA2509" s="1077" t="s">
        <v>7711</v>
      </c>
      <c r="AH2509" s="1077" t="s">
        <v>3830</v>
      </c>
      <c r="AI2509" s="1077">
        <v>92</v>
      </c>
      <c r="AJ2509" s="1077">
        <v>-0.44</v>
      </c>
      <c r="AK2509" s="1077">
        <v>1.94</v>
      </c>
      <c r="AM2509" s="1078" t="s">
        <v>13958</v>
      </c>
      <c r="AN2509" s="1078" t="s">
        <v>13959</v>
      </c>
      <c r="AO2509" s="1078">
        <f t="shared" si="318"/>
        <v>650</v>
      </c>
      <c r="AP2509" s="1078">
        <f t="shared" si="319"/>
        <v>1.76</v>
      </c>
      <c r="AQ2509" s="1078" t="str">
        <f t="shared" si="320"/>
        <v>1-5-1S85°S+Z</v>
      </c>
      <c r="AR2509" s="1078" t="str">
        <f t="shared" si="321"/>
        <v>NA</v>
      </c>
      <c r="AS2509" s="1078" t="str">
        <f t="shared" si="322"/>
        <v>179/173</v>
      </c>
      <c r="AT2509" s="1078" t="str">
        <f t="shared" si="323"/>
        <v>1-5-1S85°S+Z</v>
      </c>
      <c r="AU2509" s="1078" t="s">
        <v>15550</v>
      </c>
      <c r="AV2509" s="1078" t="str">
        <f t="shared" si="316"/>
        <v>113.1.11</v>
      </c>
      <c r="AW2509" s="1344">
        <f t="shared" si="317"/>
        <v>45302</v>
      </c>
    </row>
    <row r="2510" spans="1:49">
      <c r="A2510" s="1077" t="s">
        <v>7712</v>
      </c>
      <c r="B2510" s="1077" t="s">
        <v>7713</v>
      </c>
      <c r="C2510" s="1077">
        <v>600</v>
      </c>
      <c r="D2510" s="1077">
        <v>1.77</v>
      </c>
      <c r="E2510" s="1077">
        <v>102.5</v>
      </c>
      <c r="F2510" s="1077" t="s">
        <v>4070</v>
      </c>
      <c r="G2510" s="1077" t="s">
        <v>6865</v>
      </c>
      <c r="H2510" s="1077" t="s">
        <v>7714</v>
      </c>
      <c r="I2510" s="1077" t="s">
        <v>7105</v>
      </c>
      <c r="J2510" s="1077">
        <v>3.7</v>
      </c>
      <c r="K2510" s="1077" t="s">
        <v>7715</v>
      </c>
      <c r="L2510" s="1077" t="s">
        <v>4666</v>
      </c>
      <c r="M2510" s="1077">
        <v>300.8</v>
      </c>
      <c r="N2510" s="1077" t="s">
        <v>945</v>
      </c>
      <c r="O2510" s="1077">
        <v>7.5200000000000005</v>
      </c>
      <c r="P2510" s="1077">
        <v>6.016</v>
      </c>
      <c r="Q2510" s="1077">
        <v>4</v>
      </c>
      <c r="R2510" s="1077">
        <v>17</v>
      </c>
      <c r="T2510" s="1077">
        <v>31.4</v>
      </c>
      <c r="U2510" s="1077">
        <v>3.6</v>
      </c>
      <c r="V2510" s="1077" t="s">
        <v>648</v>
      </c>
      <c r="W2510" s="1077">
        <v>65</v>
      </c>
      <c r="X2510" s="1077">
        <v>10</v>
      </c>
      <c r="Y2510" s="1077">
        <v>1.5</v>
      </c>
      <c r="Z2510" s="1077" t="s">
        <v>648</v>
      </c>
      <c r="AA2510" s="1077" t="s">
        <v>3904</v>
      </c>
      <c r="AH2510" s="1077" t="s">
        <v>830</v>
      </c>
      <c r="AI2510" s="1077">
        <v>95.16</v>
      </c>
      <c r="AJ2510" s="1077">
        <v>-0.69</v>
      </c>
      <c r="AK2510" s="1077">
        <v>1.48</v>
      </c>
      <c r="AM2510" s="1078" t="s">
        <v>13960</v>
      </c>
      <c r="AN2510" s="1078" t="s">
        <v>13961</v>
      </c>
      <c r="AO2510" s="1078">
        <f t="shared" si="318"/>
        <v>600</v>
      </c>
      <c r="AP2510" s="1078">
        <f t="shared" si="319"/>
        <v>1.77</v>
      </c>
      <c r="AQ2510" s="1078">
        <f t="shared" si="320"/>
        <v>102.5</v>
      </c>
      <c r="AR2510" s="1078" t="str">
        <f t="shared" si="321"/>
        <v>15.5</v>
      </c>
      <c r="AS2510" s="1078" t="str">
        <f t="shared" si="322"/>
        <v>493/453/OFF</v>
      </c>
      <c r="AT2510" s="1078">
        <f t="shared" si="323"/>
        <v>102.5</v>
      </c>
      <c r="AV2510" s="1078" t="str">
        <f t="shared" si="316"/>
        <v>113.1.12</v>
      </c>
      <c r="AW2510" s="1344">
        <f t="shared" si="317"/>
        <v>45303</v>
      </c>
    </row>
    <row r="2511" spans="1:49">
      <c r="A2511" s="1077" t="s">
        <v>7716</v>
      </c>
      <c r="B2511" s="1077" t="s">
        <v>7283</v>
      </c>
      <c r="C2511" s="1077">
        <v>600</v>
      </c>
      <c r="D2511" s="1077">
        <v>1.79</v>
      </c>
      <c r="E2511" s="1077" t="s">
        <v>15116</v>
      </c>
      <c r="F2511" s="1077" t="s">
        <v>2234</v>
      </c>
      <c r="G2511" s="1077">
        <v>3.5</v>
      </c>
      <c r="H2511" s="1077" t="s">
        <v>6952</v>
      </c>
      <c r="I2511" s="1077" t="s">
        <v>6953</v>
      </c>
      <c r="J2511" s="1077">
        <v>3</v>
      </c>
      <c r="K2511" s="1077" t="s">
        <v>7717</v>
      </c>
      <c r="L2511" s="1077" t="s">
        <v>7286</v>
      </c>
      <c r="M2511" s="1077">
        <v>310</v>
      </c>
      <c r="N2511" s="1077" t="s">
        <v>945</v>
      </c>
      <c r="O2511" s="1077">
        <v>7.75</v>
      </c>
      <c r="P2511" s="1077">
        <v>6.2</v>
      </c>
      <c r="Q2511" s="1077">
        <v>3.5</v>
      </c>
      <c r="R2511" s="1077">
        <v>22</v>
      </c>
      <c r="T2511" s="1077">
        <v>22</v>
      </c>
      <c r="U2511" s="1077">
        <v>3.5</v>
      </c>
      <c r="V2511" s="1077" t="s">
        <v>648</v>
      </c>
      <c r="W2511" s="1077">
        <v>110</v>
      </c>
      <c r="X2511" s="1077">
        <v>85</v>
      </c>
      <c r="Y2511" s="1077">
        <v>1</v>
      </c>
      <c r="Z2511" s="1077" t="s">
        <v>648</v>
      </c>
      <c r="AA2511" s="1077" t="s">
        <v>3907</v>
      </c>
      <c r="AH2511" s="1077" t="s">
        <v>854</v>
      </c>
      <c r="AI2511" s="1077">
        <v>24.39</v>
      </c>
      <c r="AJ2511" s="1077">
        <v>8.44</v>
      </c>
      <c r="AK2511" s="1077">
        <v>6.6</v>
      </c>
      <c r="AM2511" s="1078" t="s">
        <v>13962</v>
      </c>
      <c r="AN2511" s="1078" t="s">
        <v>13963</v>
      </c>
      <c r="AO2511" s="1078">
        <f t="shared" si="318"/>
        <v>600</v>
      </c>
      <c r="AP2511" s="1078">
        <f t="shared" si="319"/>
        <v>1.79</v>
      </c>
      <c r="AQ2511" s="1078" t="str">
        <f t="shared" si="320"/>
        <v>1-5-1S83°Z+S</v>
      </c>
      <c r="AR2511" s="1078" t="str">
        <f t="shared" si="321"/>
        <v>33.5</v>
      </c>
      <c r="AS2511" s="1078" t="str">
        <f t="shared" si="322"/>
        <v>340/340/140</v>
      </c>
      <c r="AT2511" s="1078" t="str">
        <f t="shared" si="323"/>
        <v>1-5-1S83°Z+S</v>
      </c>
      <c r="AU2511" s="1078" t="s">
        <v>15547</v>
      </c>
      <c r="AV2511" s="1078" t="str">
        <f t="shared" si="316"/>
        <v>113.1.15</v>
      </c>
      <c r="AW2511" s="1344">
        <f t="shared" si="317"/>
        <v>45306</v>
      </c>
    </row>
    <row r="2512" spans="1:49">
      <c r="A2512" s="1077" t="s">
        <v>7718</v>
      </c>
      <c r="B2512" s="1077" t="s">
        <v>714</v>
      </c>
      <c r="C2512" s="1077">
        <v>500</v>
      </c>
      <c r="D2512" s="1077">
        <v>1.7649999999999999</v>
      </c>
      <c r="E2512" s="1077">
        <v>102.5</v>
      </c>
      <c r="F2512" s="1077" t="s">
        <v>4070</v>
      </c>
      <c r="G2512" s="1077" t="s">
        <v>6865</v>
      </c>
      <c r="H2512" s="1077" t="s">
        <v>7719</v>
      </c>
      <c r="I2512" s="1077" t="s">
        <v>6988</v>
      </c>
      <c r="J2512" s="1077">
        <v>3.7</v>
      </c>
      <c r="K2512" s="1077" t="s">
        <v>7710</v>
      </c>
      <c r="L2512" s="1077" t="s">
        <v>4666</v>
      </c>
      <c r="M2512" s="1077">
        <v>300.8</v>
      </c>
      <c r="N2512" s="1077" t="s">
        <v>945</v>
      </c>
      <c r="O2512" s="1077">
        <v>7.5200000000000005</v>
      </c>
      <c r="P2512" s="1077">
        <v>6.016</v>
      </c>
      <c r="Q2512" s="1077">
        <v>4</v>
      </c>
      <c r="R2512" s="1077">
        <v>17</v>
      </c>
      <c r="T2512" s="1077">
        <v>31.4</v>
      </c>
      <c r="U2512" s="1077">
        <v>3.6</v>
      </c>
      <c r="V2512" s="1077" t="s">
        <v>648</v>
      </c>
      <c r="W2512" s="1077">
        <v>65</v>
      </c>
      <c r="X2512" s="1077">
        <v>10</v>
      </c>
      <c r="Y2512" s="1077">
        <v>1.5</v>
      </c>
      <c r="Z2512" s="1077" t="s">
        <v>648</v>
      </c>
      <c r="AA2512" s="1077" t="s">
        <v>7720</v>
      </c>
      <c r="AH2512" s="1077" t="s">
        <v>887</v>
      </c>
      <c r="AI2512" s="1077">
        <v>92.43</v>
      </c>
      <c r="AJ2512" s="1077">
        <v>-0.83</v>
      </c>
      <c r="AK2512" s="1077">
        <v>2.21</v>
      </c>
      <c r="AM2512" s="1078" t="s">
        <v>13964</v>
      </c>
      <c r="AN2512" s="1078" t="s">
        <v>13965</v>
      </c>
      <c r="AO2512" s="1078">
        <f t="shared" si="318"/>
        <v>500</v>
      </c>
      <c r="AP2512" s="1078">
        <f t="shared" si="319"/>
        <v>1.7649999999999999</v>
      </c>
      <c r="AQ2512" s="1078">
        <f t="shared" si="320"/>
        <v>102.5</v>
      </c>
      <c r="AR2512" s="1078" t="str">
        <f t="shared" si="321"/>
        <v>15.5</v>
      </c>
      <c r="AS2512" s="1078" t="str">
        <f t="shared" si="322"/>
        <v>473/433/OFF</v>
      </c>
      <c r="AT2512" s="1078">
        <f t="shared" si="323"/>
        <v>102.5</v>
      </c>
      <c r="AV2512" s="1078" t="str">
        <f t="shared" si="316"/>
        <v>113.1.17</v>
      </c>
      <c r="AW2512" s="1344">
        <f t="shared" si="317"/>
        <v>45308</v>
      </c>
    </row>
    <row r="2513" spans="1:49">
      <c r="A2513" s="1077" t="s">
        <v>7721</v>
      </c>
      <c r="B2513" s="1077" t="s">
        <v>775</v>
      </c>
      <c r="C2513" s="1077">
        <v>600</v>
      </c>
      <c r="D2513" s="1077">
        <v>1.8</v>
      </c>
      <c r="E2513" s="1077" t="s">
        <v>15116</v>
      </c>
      <c r="F2513" s="1077" t="s">
        <v>2234</v>
      </c>
      <c r="G2513" s="1077">
        <v>4</v>
      </c>
      <c r="H2513" s="1077" t="s">
        <v>6902</v>
      </c>
      <c r="I2513" s="1077" t="s">
        <v>6903</v>
      </c>
      <c r="K2513" s="1077" t="s">
        <v>7722</v>
      </c>
      <c r="L2513" s="1077" t="s">
        <v>6933</v>
      </c>
      <c r="M2513" s="1077">
        <v>302</v>
      </c>
      <c r="N2513" s="1077" t="s">
        <v>945</v>
      </c>
      <c r="O2513" s="1077">
        <v>7.5500000000000007</v>
      </c>
      <c r="P2513" s="1077">
        <v>6.04</v>
      </c>
      <c r="Q2513" s="1077">
        <v>3.5</v>
      </c>
      <c r="R2513" s="1077">
        <v>27.3</v>
      </c>
      <c r="T2513" s="1077">
        <v>13.3</v>
      </c>
      <c r="U2513" s="1077">
        <v>2.2999999999999998</v>
      </c>
      <c r="V2513" s="1077" t="s">
        <v>648</v>
      </c>
      <c r="W2513" s="1077" t="s">
        <v>4947</v>
      </c>
      <c r="X2513" s="1077">
        <v>10</v>
      </c>
      <c r="Y2513" s="1077">
        <v>1.6</v>
      </c>
      <c r="Z2513" s="1077" t="s">
        <v>648</v>
      </c>
      <c r="AA2513" s="1077" t="s">
        <v>4489</v>
      </c>
      <c r="AH2513" s="1077" t="s">
        <v>1221</v>
      </c>
      <c r="AI2513" s="1077">
        <v>58.2</v>
      </c>
      <c r="AJ2513" s="1077">
        <v>2</v>
      </c>
      <c r="AK2513" s="1077">
        <v>9.69</v>
      </c>
      <c r="AM2513" s="1078" t="s">
        <v>13966</v>
      </c>
      <c r="AN2513" s="1078" t="s">
        <v>13967</v>
      </c>
      <c r="AO2513" s="1078">
        <f t="shared" si="318"/>
        <v>600</v>
      </c>
      <c r="AP2513" s="1078">
        <f t="shared" si="319"/>
        <v>1.8</v>
      </c>
      <c r="AQ2513" s="1078" t="str">
        <f t="shared" si="320"/>
        <v>1-5-1S83°Z+S</v>
      </c>
      <c r="AR2513" s="1078" t="str">
        <f t="shared" si="321"/>
        <v>33.5</v>
      </c>
      <c r="AS2513" s="1078" t="str">
        <f t="shared" si="322"/>
        <v>310/310/190</v>
      </c>
      <c r="AT2513" s="1078" t="str">
        <f t="shared" si="323"/>
        <v>1-5-1S83°Z+S</v>
      </c>
      <c r="AU2513" s="1078" t="s">
        <v>15547</v>
      </c>
      <c r="AV2513" s="1078" t="str">
        <f t="shared" si="316"/>
        <v>113.1.18</v>
      </c>
      <c r="AW2513" s="1344">
        <f t="shared" si="317"/>
        <v>45309</v>
      </c>
    </row>
    <row r="2514" spans="1:49">
      <c r="A2514" s="1077" t="s">
        <v>7723</v>
      </c>
      <c r="B2514" s="1077" t="s">
        <v>714</v>
      </c>
      <c r="C2514" s="1077">
        <v>600</v>
      </c>
      <c r="D2514" s="1077">
        <v>1.7769999999999999</v>
      </c>
      <c r="E2514" s="1077">
        <v>102.5</v>
      </c>
      <c r="F2514" s="1077" t="s">
        <v>4070</v>
      </c>
      <c r="G2514" s="1077">
        <v>5.5</v>
      </c>
      <c r="H2514" s="1077" t="s">
        <v>7338</v>
      </c>
      <c r="I2514" s="1077" t="s">
        <v>7513</v>
      </c>
      <c r="J2514" s="1077">
        <v>3.7</v>
      </c>
      <c r="K2514" s="1077" t="s">
        <v>7724</v>
      </c>
      <c r="L2514" s="1077" t="s">
        <v>4666</v>
      </c>
      <c r="M2514" s="1077">
        <v>295.10000000000002</v>
      </c>
      <c r="N2514" s="1077" t="s">
        <v>945</v>
      </c>
      <c r="O2514" s="1077">
        <v>7.3775000000000013</v>
      </c>
      <c r="P2514" s="1077">
        <v>5.9020000000000001</v>
      </c>
      <c r="Q2514" s="1077">
        <v>4</v>
      </c>
      <c r="R2514" s="1077">
        <v>17.399999999999999</v>
      </c>
      <c r="T2514" s="1077">
        <v>31</v>
      </c>
      <c r="U2514" s="1077">
        <v>3.5</v>
      </c>
      <c r="V2514" s="1077" t="s">
        <v>648</v>
      </c>
      <c r="W2514" s="1077">
        <v>100</v>
      </c>
      <c r="X2514" s="1077">
        <v>40</v>
      </c>
      <c r="Y2514" s="1077">
        <v>1</v>
      </c>
      <c r="Z2514" s="1077" t="s">
        <v>648</v>
      </c>
      <c r="AA2514" s="1077" t="s">
        <v>6467</v>
      </c>
      <c r="AH2514" s="1077" t="s">
        <v>7725</v>
      </c>
      <c r="AI2514" s="1077">
        <v>94.79</v>
      </c>
      <c r="AJ2514" s="1077">
        <v>-0.78</v>
      </c>
      <c r="AK2514" s="1077">
        <v>1.85</v>
      </c>
      <c r="AM2514" s="1078" t="s">
        <v>13968</v>
      </c>
      <c r="AN2514" s="1078" t="s">
        <v>13969</v>
      </c>
      <c r="AO2514" s="1078">
        <f t="shared" si="318"/>
        <v>600</v>
      </c>
      <c r="AP2514" s="1078">
        <f t="shared" si="319"/>
        <v>1.7769999999999999</v>
      </c>
      <c r="AQ2514" s="1078">
        <f t="shared" si="320"/>
        <v>102.5</v>
      </c>
      <c r="AR2514" s="1078" t="str">
        <f t="shared" si="321"/>
        <v>15.5</v>
      </c>
      <c r="AS2514" s="1078" t="str">
        <f t="shared" si="322"/>
        <v>504/464/OFF</v>
      </c>
      <c r="AT2514" s="1078">
        <f t="shared" si="323"/>
        <v>102.5</v>
      </c>
      <c r="AV2514" s="1078" t="str">
        <f t="shared" si="316"/>
        <v>113.1.24</v>
      </c>
      <c r="AW2514" s="1344">
        <f t="shared" si="317"/>
        <v>45315</v>
      </c>
    </row>
    <row r="2515" spans="1:49">
      <c r="A2515" s="1077" t="s">
        <v>7726</v>
      </c>
      <c r="B2515" s="1077" t="s">
        <v>714</v>
      </c>
      <c r="C2515" s="1077">
        <v>600</v>
      </c>
      <c r="D2515" s="1077">
        <v>1.7769999999999999</v>
      </c>
      <c r="E2515" s="1077">
        <v>102.5</v>
      </c>
      <c r="F2515" s="1077" t="s">
        <v>4070</v>
      </c>
      <c r="G2515" s="1077">
        <v>5.5</v>
      </c>
      <c r="H2515" s="1077" t="s">
        <v>7727</v>
      </c>
      <c r="I2515" s="1077" t="s">
        <v>6896</v>
      </c>
      <c r="J2515" s="1077">
        <v>3.7</v>
      </c>
      <c r="K2515" s="1077" t="s">
        <v>7724</v>
      </c>
      <c r="L2515" s="1077" t="s">
        <v>4666</v>
      </c>
      <c r="M2515" s="1077">
        <v>295.10000000000002</v>
      </c>
      <c r="N2515" s="1077" t="s">
        <v>945</v>
      </c>
      <c r="O2515" s="1077">
        <v>7.3775000000000013</v>
      </c>
      <c r="P2515" s="1077">
        <v>5.9020000000000001</v>
      </c>
      <c r="Q2515" s="1077">
        <v>4</v>
      </c>
      <c r="R2515" s="1077">
        <v>17.399999999999999</v>
      </c>
      <c r="T2515" s="1077">
        <v>31</v>
      </c>
      <c r="U2515" s="1077">
        <v>3.5</v>
      </c>
      <c r="V2515" s="1077" t="s">
        <v>648</v>
      </c>
      <c r="W2515" s="1077">
        <v>100</v>
      </c>
      <c r="X2515" s="1077">
        <v>40</v>
      </c>
      <c r="Y2515" s="1077">
        <v>1</v>
      </c>
      <c r="Z2515" s="1077" t="s">
        <v>648</v>
      </c>
      <c r="AA2515" s="1077" t="s">
        <v>1642</v>
      </c>
      <c r="AH2515" s="1077" t="s">
        <v>887</v>
      </c>
      <c r="AI2515" s="1077">
        <v>95.06</v>
      </c>
      <c r="AJ2515" s="1077">
        <v>-0.31</v>
      </c>
      <c r="AK2515" s="1077">
        <v>1.35</v>
      </c>
      <c r="AM2515" s="1078" t="s">
        <v>13970</v>
      </c>
      <c r="AN2515" s="1078" t="s">
        <v>13971</v>
      </c>
      <c r="AO2515" s="1078">
        <f t="shared" si="318"/>
        <v>600</v>
      </c>
      <c r="AP2515" s="1078">
        <f t="shared" si="319"/>
        <v>1.7769999999999999</v>
      </c>
      <c r="AQ2515" s="1078">
        <f t="shared" si="320"/>
        <v>102.5</v>
      </c>
      <c r="AR2515" s="1078" t="str">
        <f t="shared" si="321"/>
        <v>15.5</v>
      </c>
      <c r="AS2515" s="1078" t="str">
        <f t="shared" si="322"/>
        <v>494/454/OFF</v>
      </c>
      <c r="AT2515" s="1078">
        <f t="shared" si="323"/>
        <v>102.5</v>
      </c>
      <c r="AV2515" s="1078" t="str">
        <f t="shared" si="316"/>
        <v>113.2.2</v>
      </c>
      <c r="AW2515" s="1344">
        <f t="shared" si="317"/>
        <v>45324</v>
      </c>
    </row>
    <row r="2516" spans="1:49">
      <c r="A2516" s="1077" t="s">
        <v>7728</v>
      </c>
      <c r="B2516" s="1077" t="s">
        <v>7068</v>
      </c>
      <c r="C2516" s="1077">
        <v>450</v>
      </c>
      <c r="D2516" s="1077">
        <v>1.8</v>
      </c>
      <c r="E2516" s="1077" t="s">
        <v>15112</v>
      </c>
      <c r="F2516" s="1077" t="s">
        <v>975</v>
      </c>
      <c r="G2516" s="1077">
        <v>5</v>
      </c>
      <c r="H2516" s="1077" t="s">
        <v>3327</v>
      </c>
      <c r="I2516" s="1077" t="s">
        <v>7729</v>
      </c>
      <c r="K2516" s="1077" t="s">
        <v>7730</v>
      </c>
      <c r="L2516" s="1077" t="s">
        <v>5037</v>
      </c>
      <c r="M2516" s="1077">
        <v>295.5</v>
      </c>
      <c r="N2516" s="1077" t="s">
        <v>945</v>
      </c>
      <c r="O2516" s="1077">
        <v>7.3875000000000002</v>
      </c>
      <c r="P2516" s="1077">
        <v>5.91</v>
      </c>
      <c r="Q2516" s="1077">
        <v>3.5</v>
      </c>
      <c r="R2516" s="1077">
        <v>19.5</v>
      </c>
      <c r="T2516" s="1077">
        <v>20</v>
      </c>
      <c r="U2516" s="1077">
        <v>3.5</v>
      </c>
      <c r="V2516" s="1077" t="s">
        <v>648</v>
      </c>
      <c r="W2516" s="1077">
        <v>115</v>
      </c>
      <c r="X2516" s="1077">
        <v>90</v>
      </c>
      <c r="Y2516" s="1077">
        <v>1</v>
      </c>
      <c r="Z2516" s="1077" t="s">
        <v>648</v>
      </c>
      <c r="AA2516" s="1077" t="s">
        <v>7731</v>
      </c>
      <c r="AH2516" s="1077" t="s">
        <v>680</v>
      </c>
      <c r="AI2516" s="1077">
        <v>15.43</v>
      </c>
      <c r="AJ2516" s="1077">
        <v>-0.04</v>
      </c>
      <c r="AK2516" s="1077">
        <v>0.33</v>
      </c>
      <c r="AM2516" s="1078" t="s">
        <v>13972</v>
      </c>
      <c r="AN2516" s="1078" t="s">
        <v>13973</v>
      </c>
      <c r="AO2516" s="1078">
        <f t="shared" si="318"/>
        <v>450</v>
      </c>
      <c r="AP2516" s="1078">
        <f t="shared" si="319"/>
        <v>1.8</v>
      </c>
      <c r="AQ2516" s="1078" t="str">
        <f t="shared" si="320"/>
        <v>1-5-1S87°Z+S</v>
      </c>
      <c r="AR2516" s="1078" t="str">
        <f t="shared" si="321"/>
        <v>31.5</v>
      </c>
      <c r="AS2516" s="1078" t="str">
        <f t="shared" si="322"/>
        <v>280/280/150</v>
      </c>
      <c r="AT2516" s="1078" t="str">
        <f t="shared" si="323"/>
        <v>1-5-1S87°Z+S</v>
      </c>
      <c r="AU2516" s="1078" t="s">
        <v>15547</v>
      </c>
      <c r="AV2516" s="1078" t="str">
        <f t="shared" si="316"/>
        <v>113.2.22</v>
      </c>
      <c r="AW2516" s="1344">
        <f t="shared" si="317"/>
        <v>45344</v>
      </c>
    </row>
    <row r="2517" spans="1:49">
      <c r="A2517" s="1077" t="s">
        <v>7732</v>
      </c>
      <c r="B2517" s="1077" t="s">
        <v>775</v>
      </c>
      <c r="C2517" s="1077">
        <v>600</v>
      </c>
      <c r="D2517" s="1077">
        <v>1.7350000000000001</v>
      </c>
      <c r="E2517" s="1077" t="s">
        <v>15112</v>
      </c>
      <c r="F2517" s="1077" t="s">
        <v>1469</v>
      </c>
      <c r="G2517" s="1077">
        <v>4</v>
      </c>
      <c r="H2517" s="1077" t="s">
        <v>6902</v>
      </c>
      <c r="I2517" s="1077" t="s">
        <v>7001</v>
      </c>
      <c r="K2517" s="1077" t="s">
        <v>7722</v>
      </c>
      <c r="L2517" s="1077" t="s">
        <v>6933</v>
      </c>
      <c r="M2517" s="1077">
        <v>302</v>
      </c>
      <c r="N2517" s="1077" t="s">
        <v>945</v>
      </c>
      <c r="O2517" s="1077">
        <v>7.5500000000000007</v>
      </c>
      <c r="P2517" s="1077">
        <v>6.04</v>
      </c>
      <c r="Q2517" s="1077">
        <v>3.5</v>
      </c>
      <c r="R2517" s="1077">
        <v>27.3</v>
      </c>
      <c r="T2517" s="1077">
        <v>13.3</v>
      </c>
      <c r="U2517" s="1077">
        <v>2.2999999999999998</v>
      </c>
      <c r="V2517" s="1077" t="s">
        <v>648</v>
      </c>
      <c r="W2517" s="1077" t="s">
        <v>4947</v>
      </c>
      <c r="X2517" s="1077">
        <v>10</v>
      </c>
      <c r="Y2517" s="1077">
        <v>1.6</v>
      </c>
      <c r="Z2517" s="1077" t="s">
        <v>648</v>
      </c>
      <c r="AA2517" s="1077" t="s">
        <v>7731</v>
      </c>
      <c r="AH2517" s="1077" t="s">
        <v>994</v>
      </c>
      <c r="AI2517" s="1077">
        <v>58.65</v>
      </c>
      <c r="AJ2517" s="1077">
        <v>1.32</v>
      </c>
      <c r="AK2517" s="1077">
        <v>9.9499999999999993</v>
      </c>
      <c r="AM2517" s="1078" t="s">
        <v>13974</v>
      </c>
      <c r="AN2517" s="1078" t="s">
        <v>13975</v>
      </c>
      <c r="AO2517" s="1078">
        <f t="shared" si="318"/>
        <v>600</v>
      </c>
      <c r="AP2517" s="1078">
        <f t="shared" si="319"/>
        <v>1.7350000000000001</v>
      </c>
      <c r="AQ2517" s="1078" t="str">
        <f t="shared" si="320"/>
        <v>1-5-1S87°Z+S</v>
      </c>
      <c r="AR2517" s="1078" t="str">
        <f t="shared" si="321"/>
        <v>30.5</v>
      </c>
      <c r="AS2517" s="1078" t="str">
        <f t="shared" si="322"/>
        <v>310/310/190</v>
      </c>
      <c r="AT2517" s="1078" t="str">
        <f t="shared" si="323"/>
        <v>1-5-1S87°Z+S</v>
      </c>
      <c r="AU2517" s="1078" t="s">
        <v>15547</v>
      </c>
      <c r="AV2517" s="1078" t="str">
        <f t="shared" si="316"/>
        <v>113.2.22</v>
      </c>
      <c r="AW2517" s="1344">
        <f t="shared" si="317"/>
        <v>45344</v>
      </c>
    </row>
    <row r="2518" spans="1:49">
      <c r="A2518" s="1077" t="s">
        <v>7733</v>
      </c>
      <c r="B2518" s="1077" t="s">
        <v>7149</v>
      </c>
      <c r="C2518" s="1077">
        <v>600</v>
      </c>
      <c r="D2518" s="1077">
        <v>1.8</v>
      </c>
      <c r="E2518" s="1077" t="s">
        <v>15116</v>
      </c>
      <c r="F2518" s="1077" t="s">
        <v>2234</v>
      </c>
      <c r="G2518" s="1077">
        <v>5</v>
      </c>
      <c r="H2518" s="1077" t="s">
        <v>6952</v>
      </c>
      <c r="I2518" s="1077" t="s">
        <v>7087</v>
      </c>
      <c r="K2518" s="1077" t="s">
        <v>7734</v>
      </c>
      <c r="L2518" s="1077" t="s">
        <v>7168</v>
      </c>
      <c r="M2518" s="1077">
        <v>310</v>
      </c>
      <c r="N2518" s="1077" t="s">
        <v>945</v>
      </c>
      <c r="O2518" s="1077">
        <v>7.75</v>
      </c>
      <c r="P2518" s="1077">
        <v>6.2</v>
      </c>
      <c r="Q2518" s="1077">
        <v>3.5</v>
      </c>
      <c r="R2518" s="1077">
        <v>21</v>
      </c>
      <c r="T2518" s="1077">
        <v>24</v>
      </c>
      <c r="U2518" s="1077">
        <v>3.4</v>
      </c>
      <c r="V2518" s="1077" t="s">
        <v>648</v>
      </c>
      <c r="W2518" s="1077">
        <v>115</v>
      </c>
      <c r="X2518" s="1077">
        <v>85</v>
      </c>
      <c r="Y2518" s="1077">
        <v>1.2</v>
      </c>
      <c r="Z2518" s="1077" t="s">
        <v>648</v>
      </c>
      <c r="AA2518" s="1077" t="s">
        <v>7735</v>
      </c>
      <c r="AH2518" s="1077" t="s">
        <v>838</v>
      </c>
      <c r="AI2518" s="1077">
        <v>69.06</v>
      </c>
      <c r="AJ2518" s="1077">
        <v>0.47</v>
      </c>
      <c r="AK2518" s="1077">
        <v>17.190000000000001</v>
      </c>
      <c r="AM2518" s="1078" t="s">
        <v>13976</v>
      </c>
      <c r="AN2518" s="1078" t="s">
        <v>13977</v>
      </c>
      <c r="AO2518" s="1078">
        <f t="shared" si="318"/>
        <v>600</v>
      </c>
      <c r="AP2518" s="1078">
        <f t="shared" si="319"/>
        <v>1.8</v>
      </c>
      <c r="AQ2518" s="1078" t="str">
        <f t="shared" si="320"/>
        <v>1-5-1S83°Z+S</v>
      </c>
      <c r="AR2518" s="1078" t="str">
        <f t="shared" si="321"/>
        <v>33.5</v>
      </c>
      <c r="AS2518" s="1078" t="str">
        <f t="shared" si="322"/>
        <v>340/340/140</v>
      </c>
      <c r="AT2518" s="1078" t="str">
        <f t="shared" si="323"/>
        <v>1-5-1S83°Z+S</v>
      </c>
      <c r="AU2518" s="1078" t="s">
        <v>15547</v>
      </c>
      <c r="AV2518" s="1078" t="str">
        <f t="shared" si="316"/>
        <v>113.3.12</v>
      </c>
      <c r="AW2518" s="1344">
        <f t="shared" si="317"/>
        <v>45363</v>
      </c>
    </row>
    <row r="2519" spans="1:49">
      <c r="A2519" s="1077" t="s">
        <v>7736</v>
      </c>
      <c r="B2519" s="1077" t="s">
        <v>6951</v>
      </c>
      <c r="C2519" s="1077">
        <v>600</v>
      </c>
      <c r="D2519" s="1077">
        <v>1.76</v>
      </c>
      <c r="E2519" s="1077" t="s">
        <v>15116</v>
      </c>
      <c r="F2519" s="1077" t="s">
        <v>2234</v>
      </c>
      <c r="G2519" s="1077">
        <v>3.5</v>
      </c>
      <c r="H2519" s="1077" t="s">
        <v>6952</v>
      </c>
      <c r="I2519" s="1077" t="s">
        <v>7021</v>
      </c>
      <c r="K2519" s="1077" t="s">
        <v>7737</v>
      </c>
      <c r="L2519" s="1077" t="s">
        <v>6955</v>
      </c>
      <c r="M2519" s="1077">
        <v>310</v>
      </c>
      <c r="N2519" s="1077" t="s">
        <v>945</v>
      </c>
      <c r="O2519" s="1077">
        <v>7.75</v>
      </c>
      <c r="P2519" s="1077">
        <v>6.2</v>
      </c>
      <c r="Q2519" s="1077">
        <v>3.5</v>
      </c>
      <c r="R2519" s="1077">
        <v>25</v>
      </c>
      <c r="T2519" s="1077">
        <v>23</v>
      </c>
      <c r="U2519" s="1077">
        <v>3.2</v>
      </c>
      <c r="V2519" s="1077" t="s">
        <v>648</v>
      </c>
      <c r="W2519" s="1077">
        <v>115</v>
      </c>
      <c r="X2519" s="1077">
        <v>85</v>
      </c>
      <c r="Y2519" s="1077">
        <v>1.2</v>
      </c>
      <c r="Z2519" s="1077" t="s">
        <v>648</v>
      </c>
      <c r="AA2519" s="1077" t="s">
        <v>3935</v>
      </c>
      <c r="AH2519" s="1077" t="s">
        <v>1137</v>
      </c>
      <c r="AI2519" s="1077">
        <v>70.53</v>
      </c>
      <c r="AJ2519" s="1077">
        <v>-0.52</v>
      </c>
      <c r="AK2519" s="1077">
        <v>3.08</v>
      </c>
      <c r="AM2519" s="1078" t="s">
        <v>13978</v>
      </c>
      <c r="AN2519" s="1078" t="s">
        <v>13979</v>
      </c>
      <c r="AO2519" s="1078">
        <f t="shared" si="318"/>
        <v>600</v>
      </c>
      <c r="AP2519" s="1078">
        <f t="shared" si="319"/>
        <v>1.76</v>
      </c>
      <c r="AQ2519" s="1078" t="str">
        <f t="shared" si="320"/>
        <v>1-5-1S83°Z+S</v>
      </c>
      <c r="AR2519" s="1078" t="str">
        <f t="shared" si="321"/>
        <v>33.5</v>
      </c>
      <c r="AS2519" s="1078" t="str">
        <f t="shared" si="322"/>
        <v>340/340/140</v>
      </c>
      <c r="AT2519" s="1078" t="str">
        <f t="shared" si="323"/>
        <v>1-5-1S83°Z+S</v>
      </c>
      <c r="AU2519" s="1078" t="s">
        <v>15547</v>
      </c>
      <c r="AV2519" s="1078" t="str">
        <f t="shared" si="316"/>
        <v>113.2.23</v>
      </c>
      <c r="AW2519" s="1344">
        <f t="shared" si="317"/>
        <v>45345</v>
      </c>
    </row>
    <row r="2520" spans="1:49">
      <c r="A2520" s="1077" t="s">
        <v>7738</v>
      </c>
      <c r="B2520" s="1077" t="s">
        <v>7261</v>
      </c>
      <c r="C2520" s="1077" t="s">
        <v>7739</v>
      </c>
      <c r="D2520" s="1077">
        <v>1.7350000000000001</v>
      </c>
      <c r="E2520" s="1077" t="s">
        <v>15112</v>
      </c>
      <c r="F2520" s="1077" t="s">
        <v>1469</v>
      </c>
      <c r="G2520" s="1077">
        <v>4</v>
      </c>
      <c r="H2520" s="1077" t="s">
        <v>7740</v>
      </c>
      <c r="I2520" s="1077" t="s">
        <v>7048</v>
      </c>
      <c r="K2520" s="1077" t="s">
        <v>7741</v>
      </c>
      <c r="L2520" s="1077" t="s">
        <v>7264</v>
      </c>
      <c r="M2520" s="1077">
        <v>307</v>
      </c>
      <c r="N2520" s="1077" t="s">
        <v>945</v>
      </c>
      <c r="O2520" s="1077">
        <v>7.6750000000000007</v>
      </c>
      <c r="P2520" s="1077">
        <v>6.1400000000000006</v>
      </c>
      <c r="Q2520" s="1077">
        <v>3.5</v>
      </c>
      <c r="R2520" s="1077">
        <v>27</v>
      </c>
      <c r="T2520" s="1077">
        <v>12</v>
      </c>
      <c r="U2520" s="1077">
        <v>2.2999999999999998</v>
      </c>
      <c r="V2520" s="1077" t="s">
        <v>648</v>
      </c>
      <c r="W2520" s="1077" t="s">
        <v>4947</v>
      </c>
      <c r="X2520" s="1077">
        <v>10</v>
      </c>
      <c r="Y2520" s="1077">
        <v>1.7</v>
      </c>
      <c r="Z2520" s="1077" t="s">
        <v>648</v>
      </c>
      <c r="AA2520" s="1077" t="s">
        <v>7742</v>
      </c>
      <c r="AH2520" s="1077" t="s">
        <v>482</v>
      </c>
      <c r="AI2520" s="1077">
        <v>61.92</v>
      </c>
      <c r="AJ2520" s="1077">
        <v>3.52</v>
      </c>
      <c r="AK2520" s="1077">
        <v>15.3</v>
      </c>
      <c r="AM2520" s="1078" t="s">
        <v>13980</v>
      </c>
      <c r="AN2520" s="1078" t="s">
        <v>13981</v>
      </c>
      <c r="AO2520" s="1078" t="str">
        <f t="shared" si="318"/>
        <v>600↓550-3/1</v>
      </c>
      <c r="AP2520" s="1078">
        <f t="shared" si="319"/>
        <v>1.7350000000000001</v>
      </c>
      <c r="AQ2520" s="1078" t="str">
        <f t="shared" si="320"/>
        <v>1-5-1S87°Z+S</v>
      </c>
      <c r="AR2520" s="1078" t="str">
        <f t="shared" si="321"/>
        <v>30.5</v>
      </c>
      <c r="AS2520" s="1078" t="str">
        <f t="shared" si="322"/>
        <v>290/290/190</v>
      </c>
      <c r="AT2520" s="1078" t="str">
        <f t="shared" si="323"/>
        <v>1-5-1S87°Z+S</v>
      </c>
      <c r="AU2520" s="1078" t="s">
        <v>15547</v>
      </c>
      <c r="AV2520" s="1078" t="str">
        <f t="shared" si="316"/>
        <v>113.2.29</v>
      </c>
      <c r="AW2520" s="1344">
        <f t="shared" si="317"/>
        <v>45351</v>
      </c>
    </row>
    <row r="2521" spans="1:49">
      <c r="A2521" s="1077" t="s">
        <v>7743</v>
      </c>
      <c r="B2521" s="1077" t="s">
        <v>836</v>
      </c>
      <c r="C2521" s="1077">
        <v>600</v>
      </c>
      <c r="D2521" s="1077">
        <v>1.8</v>
      </c>
      <c r="E2521" s="1077" t="s">
        <v>15116</v>
      </c>
      <c r="F2521" s="1077" t="s">
        <v>6901</v>
      </c>
      <c r="G2521" s="1077">
        <v>4</v>
      </c>
      <c r="H2521" s="1077" t="s">
        <v>6902</v>
      </c>
      <c r="I2521" s="1077" t="s">
        <v>7001</v>
      </c>
      <c r="K2521" s="1077" t="s">
        <v>7744</v>
      </c>
      <c r="L2521" s="1077" t="s">
        <v>6905</v>
      </c>
      <c r="M2521" s="1077">
        <v>303.89999999999998</v>
      </c>
      <c r="N2521" s="1077" t="s">
        <v>945</v>
      </c>
      <c r="O2521" s="1077">
        <v>7.5975000000000001</v>
      </c>
      <c r="P2521" s="1077">
        <v>6.0779999999999994</v>
      </c>
      <c r="Q2521" s="1077">
        <v>3.5</v>
      </c>
      <c r="R2521" s="1077">
        <v>24.5</v>
      </c>
      <c r="T2521" s="1077">
        <v>12.7</v>
      </c>
      <c r="U2521" s="1077">
        <v>2.6</v>
      </c>
      <c r="V2521" s="1077" t="s">
        <v>648</v>
      </c>
      <c r="W2521" s="1077" t="s">
        <v>2532</v>
      </c>
      <c r="X2521" s="1077">
        <v>10</v>
      </c>
      <c r="Y2521" s="1077">
        <v>1.5</v>
      </c>
      <c r="Z2521" s="1077" t="s">
        <v>648</v>
      </c>
      <c r="AA2521" s="1077" t="s">
        <v>7745</v>
      </c>
      <c r="AH2521" s="1077" t="s">
        <v>1600</v>
      </c>
      <c r="AI2521" s="1077">
        <v>58.36</v>
      </c>
      <c r="AJ2521" s="1077">
        <v>1.39</v>
      </c>
      <c r="AK2521" s="1077">
        <v>4.17</v>
      </c>
      <c r="AM2521" s="1078" t="s">
        <v>13982</v>
      </c>
      <c r="AN2521" s="1078" t="s">
        <v>13983</v>
      </c>
      <c r="AO2521" s="1078">
        <f t="shared" si="318"/>
        <v>600</v>
      </c>
      <c r="AP2521" s="1078">
        <f t="shared" si="319"/>
        <v>1.8</v>
      </c>
      <c r="AQ2521" s="1078" t="str">
        <f t="shared" si="320"/>
        <v>1-5-1S83°Z+S</v>
      </c>
      <c r="AR2521" s="1078" t="str">
        <f t="shared" si="321"/>
        <v>33.6</v>
      </c>
      <c r="AS2521" s="1078" t="str">
        <f t="shared" si="322"/>
        <v>310/310/190</v>
      </c>
      <c r="AT2521" s="1078" t="str">
        <f t="shared" si="323"/>
        <v>1-5-1S83°Z+S</v>
      </c>
      <c r="AU2521" s="1078" t="s">
        <v>15547</v>
      </c>
      <c r="AV2521" s="1078" t="str">
        <f t="shared" si="316"/>
        <v>113.2.27</v>
      </c>
      <c r="AW2521" s="1344">
        <f t="shared" si="317"/>
        <v>45349</v>
      </c>
    </row>
    <row r="2522" spans="1:49">
      <c r="A2522" s="1077" t="s">
        <v>7746</v>
      </c>
      <c r="B2522" s="1077" t="s">
        <v>836</v>
      </c>
      <c r="C2522" s="1077">
        <v>550</v>
      </c>
      <c r="D2522" s="1077">
        <v>1.7549999999999999</v>
      </c>
      <c r="E2522" s="1077" t="s">
        <v>15112</v>
      </c>
      <c r="F2522" s="1077" t="s">
        <v>1469</v>
      </c>
      <c r="G2522" s="1077">
        <v>4</v>
      </c>
      <c r="H2522" s="1077" t="s">
        <v>7740</v>
      </c>
      <c r="I2522" s="1077" t="s">
        <v>7001</v>
      </c>
      <c r="K2522" s="1077" t="s">
        <v>7747</v>
      </c>
      <c r="L2522" s="1077" t="s">
        <v>6905</v>
      </c>
      <c r="M2522" s="1077">
        <v>303.89999999999998</v>
      </c>
      <c r="N2522" s="1077" t="s">
        <v>945</v>
      </c>
      <c r="O2522" s="1077">
        <v>7.5975000000000001</v>
      </c>
      <c r="P2522" s="1077">
        <v>6.0779999999999994</v>
      </c>
      <c r="Q2522" s="1077">
        <v>3.5</v>
      </c>
      <c r="R2522" s="1077">
        <v>24.5</v>
      </c>
      <c r="T2522" s="1077">
        <v>12.7</v>
      </c>
      <c r="U2522" s="1077">
        <v>2.6</v>
      </c>
      <c r="V2522" s="1077" t="s">
        <v>648</v>
      </c>
      <c r="W2522" s="1077" t="s">
        <v>2532</v>
      </c>
      <c r="X2522" s="1077">
        <v>10</v>
      </c>
      <c r="Y2522" s="1077">
        <v>1.5</v>
      </c>
      <c r="Z2522" s="1077" t="s">
        <v>648</v>
      </c>
      <c r="AA2522" s="1077" t="s">
        <v>4494</v>
      </c>
      <c r="AH2522" s="1077" t="s">
        <v>1238</v>
      </c>
      <c r="AI2522" s="1077">
        <v>55.44</v>
      </c>
      <c r="AJ2522" s="1077">
        <v>1.3</v>
      </c>
      <c r="AK2522" s="1077">
        <v>4.4800000000000004</v>
      </c>
      <c r="AM2522" s="1078" t="s">
        <v>13984</v>
      </c>
      <c r="AN2522" s="1078" t="s">
        <v>13985</v>
      </c>
      <c r="AO2522" s="1078">
        <f t="shared" si="318"/>
        <v>550</v>
      </c>
      <c r="AP2522" s="1078">
        <f t="shared" si="319"/>
        <v>1.7549999999999999</v>
      </c>
      <c r="AQ2522" s="1078" t="str">
        <f t="shared" si="320"/>
        <v>1-5-1S87°Z+S</v>
      </c>
      <c r="AR2522" s="1078" t="str">
        <f t="shared" si="321"/>
        <v>30.5</v>
      </c>
      <c r="AS2522" s="1078" t="str">
        <f t="shared" si="322"/>
        <v>290/290/190</v>
      </c>
      <c r="AT2522" s="1078" t="str">
        <f t="shared" si="323"/>
        <v>1-5-1S87°Z+S</v>
      </c>
      <c r="AU2522" s="1078" t="s">
        <v>15547</v>
      </c>
      <c r="AV2522" s="1078" t="str">
        <f t="shared" si="316"/>
        <v>113.3.13</v>
      </c>
      <c r="AW2522" s="1344">
        <f t="shared" si="317"/>
        <v>45364</v>
      </c>
    </row>
    <row r="2523" spans="1:49">
      <c r="A2523" s="1077" t="s">
        <v>7748</v>
      </c>
      <c r="B2523" s="1077" t="s">
        <v>855</v>
      </c>
      <c r="C2523" s="1077" t="s">
        <v>7749</v>
      </c>
      <c r="D2523" s="1077">
        <v>1.74</v>
      </c>
      <c r="E2523" s="1077" t="s">
        <v>15109</v>
      </c>
      <c r="F2523" s="1077" t="s">
        <v>648</v>
      </c>
      <c r="G2523" s="1077">
        <v>5.5</v>
      </c>
      <c r="H2523" s="1077" t="s">
        <v>2359</v>
      </c>
      <c r="I2523" s="1077" t="s">
        <v>6929</v>
      </c>
      <c r="K2523" s="1077" t="s">
        <v>7750</v>
      </c>
      <c r="L2523" s="1077" t="s">
        <v>7424</v>
      </c>
      <c r="M2523" s="1077">
        <v>295</v>
      </c>
      <c r="N2523" s="1077" t="s">
        <v>945</v>
      </c>
      <c r="O2523" s="1077">
        <v>7.375</v>
      </c>
      <c r="P2523" s="1077">
        <v>5.9</v>
      </c>
      <c r="Q2523" s="1077">
        <v>4</v>
      </c>
      <c r="R2523" s="1077">
        <v>19</v>
      </c>
      <c r="T2523" s="1077">
        <v>27.8</v>
      </c>
      <c r="U2523" s="1077">
        <v>3.9</v>
      </c>
      <c r="V2523" s="1077" t="s">
        <v>648</v>
      </c>
      <c r="W2523" s="1077">
        <v>125</v>
      </c>
      <c r="X2523" s="1077">
        <v>90</v>
      </c>
      <c r="Y2523" s="1077">
        <v>1.5</v>
      </c>
      <c r="Z2523" s="1077" t="s">
        <v>648</v>
      </c>
      <c r="AA2523" s="1077" t="s">
        <v>3945</v>
      </c>
      <c r="AH2523" s="1077" t="s">
        <v>1827</v>
      </c>
      <c r="AI2523" s="1077">
        <v>90.94</v>
      </c>
      <c r="AJ2523" s="1077">
        <v>-0.26</v>
      </c>
      <c r="AK2523" s="1077">
        <v>1.67</v>
      </c>
      <c r="AM2523" s="1078" t="s">
        <v>13986</v>
      </c>
      <c r="AN2523" s="1078" t="s">
        <v>13987</v>
      </c>
      <c r="AO2523" s="1078" t="str">
        <f t="shared" si="318"/>
        <v>5500↓500-3/21</v>
      </c>
      <c r="AP2523" s="1078">
        <f t="shared" si="319"/>
        <v>1.74</v>
      </c>
      <c r="AQ2523" s="1078" t="str">
        <f t="shared" si="320"/>
        <v>1-5-1S85°Z+S</v>
      </c>
      <c r="AR2523" s="1078" t="str">
        <f t="shared" si="321"/>
        <v>NA</v>
      </c>
      <c r="AS2523" s="1078" t="str">
        <f t="shared" si="322"/>
        <v>174/OFF</v>
      </c>
      <c r="AT2523" s="1078" t="str">
        <f t="shared" si="323"/>
        <v>1-5-1S85°Z+S</v>
      </c>
      <c r="AU2523" s="1078" t="s">
        <v>15547</v>
      </c>
      <c r="AV2523" s="1078" t="str">
        <f t="shared" si="316"/>
        <v>113.3.19</v>
      </c>
      <c r="AW2523" s="1344">
        <f t="shared" si="317"/>
        <v>45370</v>
      </c>
    </row>
    <row r="2524" spans="1:49">
      <c r="A2524" s="1077" t="s">
        <v>7751</v>
      </c>
      <c r="B2524" s="1077" t="s">
        <v>663</v>
      </c>
      <c r="C2524" s="1077">
        <v>600</v>
      </c>
      <c r="D2524" s="1077">
        <v>1.8049999999999999</v>
      </c>
      <c r="E2524" s="1077" t="s">
        <v>15122</v>
      </c>
      <c r="F2524" s="1077" t="s">
        <v>954</v>
      </c>
      <c r="G2524" s="1077">
        <v>5.5</v>
      </c>
      <c r="H2524" s="1077" t="s">
        <v>7752</v>
      </c>
      <c r="I2524" s="1077" t="s">
        <v>7753</v>
      </c>
      <c r="K2524" s="1077" t="s">
        <v>7754</v>
      </c>
      <c r="L2524" s="1077" t="s">
        <v>6238</v>
      </c>
      <c r="M2524" s="1077">
        <v>296</v>
      </c>
      <c r="N2524" s="1077" t="s">
        <v>945</v>
      </c>
      <c r="O2524" s="1077">
        <v>7.4</v>
      </c>
      <c r="P2524" s="1077">
        <v>5.92</v>
      </c>
      <c r="Q2524" s="1077">
        <v>3</v>
      </c>
      <c r="R2524" s="1077">
        <v>17</v>
      </c>
      <c r="T2524" s="1077">
        <v>10.5</v>
      </c>
      <c r="U2524" s="1077">
        <v>6.1</v>
      </c>
      <c r="V2524" s="1077" t="s">
        <v>648</v>
      </c>
      <c r="W2524" s="1077">
        <v>110</v>
      </c>
      <c r="X2524" s="1077">
        <v>90</v>
      </c>
      <c r="Y2524" s="1077">
        <v>1.1000000000000001</v>
      </c>
      <c r="Z2524" s="1077" t="s">
        <v>648</v>
      </c>
      <c r="AA2524" s="1077" t="s">
        <v>7755</v>
      </c>
      <c r="AB2524" s="1077" t="s">
        <v>7756</v>
      </c>
      <c r="AH2524" s="1077" t="s">
        <v>618</v>
      </c>
      <c r="AI2524" s="1077">
        <v>91.05</v>
      </c>
      <c r="AJ2524" s="1077">
        <v>-1.29</v>
      </c>
      <c r="AK2524" s="1077">
        <v>6.42</v>
      </c>
      <c r="AM2524" s="1078" t="s">
        <v>13988</v>
      </c>
      <c r="AN2524" s="1078" t="s">
        <v>13989</v>
      </c>
      <c r="AO2524" s="1078">
        <f t="shared" si="318"/>
        <v>600</v>
      </c>
      <c r="AP2524" s="1078">
        <f t="shared" si="319"/>
        <v>1.8049999999999999</v>
      </c>
      <c r="AQ2524" s="1078" t="str">
        <f t="shared" si="320"/>
        <v>1-5-1S91°Z+S</v>
      </c>
      <c r="AR2524" s="1078" t="str">
        <f t="shared" si="321"/>
        <v>31</v>
      </c>
      <c r="AS2524" s="1078" t="str">
        <f t="shared" si="322"/>
        <v>280/280/160</v>
      </c>
      <c r="AT2524" s="1078" t="str">
        <f t="shared" si="323"/>
        <v>1-5-1S91°Z+S</v>
      </c>
      <c r="AU2524" s="1078" t="s">
        <v>15547</v>
      </c>
      <c r="AV2524" s="1078" t="str">
        <f t="shared" si="316"/>
        <v>113.3.15</v>
      </c>
      <c r="AW2524" s="1344">
        <f t="shared" si="317"/>
        <v>45366</v>
      </c>
    </row>
    <row r="2525" spans="1:49">
      <c r="A2525" s="1077" t="s">
        <v>7757</v>
      </c>
      <c r="B2525" s="1077" t="s">
        <v>7068</v>
      </c>
      <c r="C2525" s="1077">
        <v>500</v>
      </c>
      <c r="D2525" s="1077">
        <v>1.79</v>
      </c>
      <c r="E2525" s="1077" t="s">
        <v>15116</v>
      </c>
      <c r="F2525" s="1077" t="s">
        <v>2234</v>
      </c>
      <c r="G2525" s="1077">
        <v>5</v>
      </c>
      <c r="H2525" s="1077" t="s">
        <v>7758</v>
      </c>
      <c r="I2525" s="1077" t="s">
        <v>7087</v>
      </c>
      <c r="K2525" s="1077" t="s">
        <v>7759</v>
      </c>
      <c r="L2525" s="1077" t="s">
        <v>5037</v>
      </c>
      <c r="M2525" s="1077">
        <v>295.5</v>
      </c>
      <c r="N2525" s="1077" t="s">
        <v>945</v>
      </c>
      <c r="O2525" s="1077">
        <v>7.3875000000000002</v>
      </c>
      <c r="P2525" s="1077">
        <v>5.91</v>
      </c>
      <c r="Q2525" s="1077">
        <v>3.5</v>
      </c>
      <c r="R2525" s="1077">
        <v>19.5</v>
      </c>
      <c r="T2525" s="1077">
        <v>20</v>
      </c>
      <c r="U2525" s="1077">
        <v>3.5</v>
      </c>
      <c r="V2525" s="1077" t="s">
        <v>648</v>
      </c>
      <c r="W2525" s="1077">
        <v>115</v>
      </c>
      <c r="X2525" s="1077">
        <v>90</v>
      </c>
      <c r="Y2525" s="1077">
        <v>1</v>
      </c>
      <c r="Z2525" s="1077" t="s">
        <v>648</v>
      </c>
      <c r="AA2525" s="1077" t="s">
        <v>3943</v>
      </c>
      <c r="AH2525" s="1077" t="s">
        <v>877</v>
      </c>
      <c r="AI2525" s="1077">
        <v>14.73</v>
      </c>
      <c r="AJ2525" s="1077">
        <v>0.14000000000000001</v>
      </c>
      <c r="AK2525" s="1077">
        <v>-0.01</v>
      </c>
      <c r="AM2525" s="1078" t="s">
        <v>13990</v>
      </c>
      <c r="AN2525" s="1078" t="s">
        <v>13991</v>
      </c>
      <c r="AO2525" s="1078">
        <f t="shared" si="318"/>
        <v>500</v>
      </c>
      <c r="AP2525" s="1078">
        <f t="shared" si="319"/>
        <v>1.79</v>
      </c>
      <c r="AQ2525" s="1078" t="str">
        <f t="shared" si="320"/>
        <v>1-5-1S83°Z+S</v>
      </c>
      <c r="AR2525" s="1078" t="str">
        <f t="shared" si="321"/>
        <v>33.5</v>
      </c>
      <c r="AS2525" s="1078" t="str">
        <f t="shared" si="322"/>
        <v>290/290/140</v>
      </c>
      <c r="AT2525" s="1078" t="str">
        <f t="shared" si="323"/>
        <v>1-5-1S83°Z+S</v>
      </c>
      <c r="AU2525" s="1078" t="s">
        <v>15547</v>
      </c>
      <c r="AV2525" s="1078" t="str">
        <f t="shared" si="316"/>
        <v>113.3.14</v>
      </c>
      <c r="AW2525" s="1344">
        <f t="shared" si="317"/>
        <v>45365</v>
      </c>
    </row>
    <row r="2526" spans="1:49">
      <c r="A2526" s="1077" t="s">
        <v>7760</v>
      </c>
      <c r="B2526" s="1077" t="s">
        <v>7068</v>
      </c>
      <c r="C2526" s="1077">
        <v>500</v>
      </c>
      <c r="D2526" s="1077">
        <v>1.7849999999999999</v>
      </c>
      <c r="E2526" s="1077" t="s">
        <v>15112</v>
      </c>
      <c r="F2526" s="1077" t="s">
        <v>975</v>
      </c>
      <c r="G2526" s="1077">
        <v>5</v>
      </c>
      <c r="H2526" s="1077" t="s">
        <v>7761</v>
      </c>
      <c r="I2526" s="1077" t="s">
        <v>7729</v>
      </c>
      <c r="K2526" s="1077" t="s">
        <v>7759</v>
      </c>
      <c r="L2526" s="1077" t="s">
        <v>5037</v>
      </c>
      <c r="M2526" s="1077">
        <v>295.5</v>
      </c>
      <c r="N2526" s="1077" t="s">
        <v>945</v>
      </c>
      <c r="O2526" s="1077">
        <v>7.3875000000000002</v>
      </c>
      <c r="P2526" s="1077">
        <v>5.91</v>
      </c>
      <c r="Q2526" s="1077">
        <v>3.5</v>
      </c>
      <c r="R2526" s="1077">
        <v>19.5</v>
      </c>
      <c r="T2526" s="1077">
        <v>20</v>
      </c>
      <c r="U2526" s="1077">
        <v>3.5</v>
      </c>
      <c r="V2526" s="1077" t="s">
        <v>648</v>
      </c>
      <c r="W2526" s="1077">
        <v>115</v>
      </c>
      <c r="X2526" s="1077">
        <v>90</v>
      </c>
      <c r="Y2526" s="1077">
        <v>1</v>
      </c>
      <c r="Z2526" s="1077" t="s">
        <v>648</v>
      </c>
      <c r="AA2526" s="1077" t="s">
        <v>3945</v>
      </c>
      <c r="AH2526" s="1077" t="s">
        <v>877</v>
      </c>
      <c r="AI2526" s="1077">
        <v>13.65</v>
      </c>
      <c r="AJ2526" s="1077">
        <v>0.06</v>
      </c>
      <c r="AK2526" s="1077">
        <v>0.39</v>
      </c>
      <c r="AM2526" s="1078" t="s">
        <v>13990</v>
      </c>
      <c r="AN2526" s="1078" t="s">
        <v>13992</v>
      </c>
      <c r="AO2526" s="1078">
        <f t="shared" si="318"/>
        <v>500</v>
      </c>
      <c r="AP2526" s="1078">
        <f t="shared" si="319"/>
        <v>1.7849999999999999</v>
      </c>
      <c r="AQ2526" s="1078" t="str">
        <f t="shared" si="320"/>
        <v>1-5-1S87°Z+S</v>
      </c>
      <c r="AR2526" s="1078" t="str">
        <f t="shared" si="321"/>
        <v>31.5</v>
      </c>
      <c r="AS2526" s="1078" t="str">
        <f t="shared" si="322"/>
        <v>290/290/150</v>
      </c>
      <c r="AT2526" s="1078" t="str">
        <f t="shared" si="323"/>
        <v>1-5-1S87°Z+S</v>
      </c>
      <c r="AU2526" s="1078" t="s">
        <v>15547</v>
      </c>
      <c r="AV2526" s="1078" t="str">
        <f t="shared" si="316"/>
        <v>113.3.19</v>
      </c>
      <c r="AW2526" s="1344">
        <f t="shared" si="317"/>
        <v>45370</v>
      </c>
    </row>
    <row r="2527" spans="1:49">
      <c r="A2527" s="1077" t="s">
        <v>7762</v>
      </c>
      <c r="B2527" s="1077" t="s">
        <v>7763</v>
      </c>
      <c r="C2527" s="1077">
        <v>600</v>
      </c>
      <c r="D2527" s="1077">
        <v>1.77</v>
      </c>
      <c r="E2527" s="1077" t="s">
        <v>15116</v>
      </c>
      <c r="F2527" s="1077" t="s">
        <v>2234</v>
      </c>
      <c r="G2527" s="1077">
        <v>5</v>
      </c>
      <c r="H2527" s="1077" t="s">
        <v>6952</v>
      </c>
      <c r="I2527" s="1077" t="s">
        <v>7021</v>
      </c>
      <c r="J2527" s="1077">
        <v>3</v>
      </c>
      <c r="K2527" s="1077" t="s">
        <v>7764</v>
      </c>
      <c r="L2527" s="1077" t="s">
        <v>7765</v>
      </c>
      <c r="M2527" s="1077">
        <v>310</v>
      </c>
      <c r="N2527" s="1077" t="s">
        <v>945</v>
      </c>
      <c r="O2527" s="1077">
        <v>7.75</v>
      </c>
      <c r="P2527" s="1077">
        <v>6.2</v>
      </c>
      <c r="Q2527" s="1077">
        <v>3.5</v>
      </c>
      <c r="R2527" s="1077">
        <v>22</v>
      </c>
      <c r="T2527" s="1077">
        <v>22</v>
      </c>
      <c r="U2527" s="1077">
        <v>3.5</v>
      </c>
      <c r="V2527" s="1077" t="s">
        <v>648</v>
      </c>
      <c r="W2527" s="1077">
        <v>110</v>
      </c>
      <c r="X2527" s="1077">
        <v>85</v>
      </c>
      <c r="Y2527" s="1077">
        <v>1</v>
      </c>
      <c r="Z2527" s="1077" t="s">
        <v>648</v>
      </c>
      <c r="AA2527" s="1077" t="s">
        <v>7755</v>
      </c>
      <c r="AH2527" s="1077" t="s">
        <v>889</v>
      </c>
      <c r="AI2527" s="1077">
        <v>29.24</v>
      </c>
      <c r="AJ2527" s="1077">
        <v>9.6199999999999992</v>
      </c>
      <c r="AK2527" s="1077">
        <v>7.85</v>
      </c>
      <c r="AM2527" s="1078" t="s">
        <v>13993</v>
      </c>
      <c r="AN2527" s="1078" t="s">
        <v>13994</v>
      </c>
      <c r="AO2527" s="1078">
        <f t="shared" si="318"/>
        <v>600</v>
      </c>
      <c r="AP2527" s="1078">
        <f t="shared" si="319"/>
        <v>1.77</v>
      </c>
      <c r="AQ2527" s="1078" t="str">
        <f t="shared" si="320"/>
        <v>1-5-1S83°Z+S</v>
      </c>
      <c r="AR2527" s="1078" t="str">
        <f t="shared" si="321"/>
        <v>33.5</v>
      </c>
      <c r="AS2527" s="1078" t="str">
        <f t="shared" si="322"/>
        <v>340/340/140</v>
      </c>
      <c r="AT2527" s="1078" t="str">
        <f t="shared" si="323"/>
        <v>1-5-1S83°Z+S</v>
      </c>
      <c r="AU2527" s="1078" t="s">
        <v>15547</v>
      </c>
      <c r="AV2527" s="1078" t="str">
        <f t="shared" si="316"/>
        <v>113.3.15</v>
      </c>
      <c r="AW2527" s="1344">
        <f t="shared" si="317"/>
        <v>45366</v>
      </c>
    </row>
    <row r="2528" spans="1:49">
      <c r="A2528" s="1077" t="s">
        <v>7766</v>
      </c>
      <c r="B2528" s="1077" t="s">
        <v>7767</v>
      </c>
      <c r="C2528" s="1077">
        <v>600</v>
      </c>
      <c r="D2528" s="1077">
        <v>1.76</v>
      </c>
      <c r="E2528" s="1077" t="s">
        <v>15122</v>
      </c>
      <c r="F2528" s="1077" t="s">
        <v>975</v>
      </c>
      <c r="G2528" s="1077">
        <v>5</v>
      </c>
      <c r="H2528" s="1077" t="s">
        <v>7768</v>
      </c>
      <c r="I2528" s="1077" t="s">
        <v>7709</v>
      </c>
      <c r="K2528" s="1077" t="s">
        <v>7769</v>
      </c>
      <c r="L2528" s="1077" t="s">
        <v>4731</v>
      </c>
      <c r="M2528" s="1077">
        <v>300.8</v>
      </c>
      <c r="N2528" s="1077" t="s">
        <v>945</v>
      </c>
      <c r="O2528" s="1077">
        <v>7.5200000000000005</v>
      </c>
      <c r="P2528" s="1077">
        <v>6.016</v>
      </c>
      <c r="Q2528" s="1077">
        <v>4</v>
      </c>
      <c r="R2528" s="1077">
        <v>17</v>
      </c>
      <c r="T2528" s="1077">
        <v>18</v>
      </c>
      <c r="U2528" s="1077">
        <v>4</v>
      </c>
      <c r="V2528" s="1077" t="s">
        <v>648</v>
      </c>
      <c r="W2528" s="1077">
        <v>65</v>
      </c>
      <c r="X2528" s="1077">
        <v>10</v>
      </c>
      <c r="Y2528" s="1077">
        <v>1.5</v>
      </c>
      <c r="Z2528" s="1077" t="s">
        <v>648</v>
      </c>
      <c r="AA2528" s="1077" t="s">
        <v>3945</v>
      </c>
      <c r="AH2528" s="1077" t="s">
        <v>1143</v>
      </c>
      <c r="AI2528" s="1077">
        <v>95.46</v>
      </c>
      <c r="AJ2528" s="1077">
        <v>-0.46</v>
      </c>
      <c r="AK2528" s="1077">
        <v>1.61</v>
      </c>
      <c r="AM2528" s="1078" t="s">
        <v>13995</v>
      </c>
      <c r="AN2528" s="1078" t="s">
        <v>13996</v>
      </c>
      <c r="AO2528" s="1078">
        <f t="shared" si="318"/>
        <v>600</v>
      </c>
      <c r="AP2528" s="1078">
        <f t="shared" si="319"/>
        <v>1.76</v>
      </c>
      <c r="AQ2528" s="1078" t="str">
        <f t="shared" si="320"/>
        <v>1-5-1S91°Z+S</v>
      </c>
      <c r="AR2528" s="1078" t="str">
        <f t="shared" si="321"/>
        <v>31.5</v>
      </c>
      <c r="AS2528" s="1078" t="str">
        <f t="shared" si="322"/>
        <v>320/290/OFF</v>
      </c>
      <c r="AT2528" s="1078" t="str">
        <f t="shared" si="323"/>
        <v>1-5-1S91°Z+S</v>
      </c>
      <c r="AU2528" s="1078" t="s">
        <v>15547</v>
      </c>
      <c r="AV2528" s="1078" t="str">
        <f t="shared" si="316"/>
        <v>113.3.19</v>
      </c>
      <c r="AW2528" s="1344">
        <f t="shared" si="317"/>
        <v>45370</v>
      </c>
    </row>
    <row r="2529" spans="1:49">
      <c r="A2529" s="1077" t="s">
        <v>7770</v>
      </c>
      <c r="B2529" s="1077" t="s">
        <v>7306</v>
      </c>
      <c r="C2529" s="1077">
        <v>600</v>
      </c>
      <c r="D2529" s="1077">
        <v>1.79</v>
      </c>
      <c r="E2529" s="1077" t="s">
        <v>15116</v>
      </c>
      <c r="F2529" s="1077" t="s">
        <v>2234</v>
      </c>
      <c r="G2529" s="1077">
        <v>3.5</v>
      </c>
      <c r="H2529" s="1077" t="s">
        <v>6952</v>
      </c>
      <c r="I2529" s="1077" t="s">
        <v>7150</v>
      </c>
      <c r="J2529" s="1077">
        <v>3</v>
      </c>
      <c r="K2529" s="1077" t="s">
        <v>7771</v>
      </c>
      <c r="L2529" s="1077" t="s">
        <v>7308</v>
      </c>
      <c r="M2529" s="1077">
        <v>310</v>
      </c>
      <c r="N2529" s="1077" t="s">
        <v>945</v>
      </c>
      <c r="O2529" s="1077">
        <v>7.75</v>
      </c>
      <c r="P2529" s="1077">
        <v>6.2</v>
      </c>
      <c r="Q2529" s="1077">
        <v>3.5</v>
      </c>
      <c r="R2529" s="1077">
        <v>22</v>
      </c>
      <c r="T2529" s="1077">
        <v>22</v>
      </c>
      <c r="U2529" s="1077">
        <v>3.5</v>
      </c>
      <c r="V2529" s="1077" t="s">
        <v>648</v>
      </c>
      <c r="W2529" s="1077">
        <v>110</v>
      </c>
      <c r="X2529" s="1077">
        <v>85</v>
      </c>
      <c r="Y2529" s="1077">
        <v>1</v>
      </c>
      <c r="Z2529" s="1077" t="s">
        <v>648</v>
      </c>
      <c r="AA2529" s="1077" t="s">
        <v>7772</v>
      </c>
      <c r="AH2529" s="1077" t="s">
        <v>862</v>
      </c>
      <c r="AI2529" s="1077">
        <v>23.34</v>
      </c>
      <c r="AJ2529" s="1077">
        <v>10.23</v>
      </c>
      <c r="AK2529" s="1077">
        <v>6.61</v>
      </c>
      <c r="AM2529" s="1078" t="s">
        <v>13997</v>
      </c>
      <c r="AN2529" s="1078" t="s">
        <v>13998</v>
      </c>
      <c r="AO2529" s="1078">
        <f t="shared" si="318"/>
        <v>600</v>
      </c>
      <c r="AP2529" s="1078">
        <f t="shared" si="319"/>
        <v>1.79</v>
      </c>
      <c r="AQ2529" s="1078" t="str">
        <f t="shared" si="320"/>
        <v>1-5-1S83°Z+S</v>
      </c>
      <c r="AR2529" s="1078" t="str">
        <f t="shared" si="321"/>
        <v>33.5</v>
      </c>
      <c r="AS2529" s="1078" t="str">
        <f t="shared" si="322"/>
        <v>340/340/140</v>
      </c>
      <c r="AT2529" s="1078" t="str">
        <f t="shared" si="323"/>
        <v>1-5-1S83°Z+S</v>
      </c>
      <c r="AU2529" s="1078" t="s">
        <v>15547</v>
      </c>
      <c r="AV2529" s="1078" t="str">
        <f t="shared" si="316"/>
        <v>112.3.21</v>
      </c>
      <c r="AW2529" s="1344">
        <f t="shared" si="317"/>
        <v>45006</v>
      </c>
    </row>
    <row r="2530" spans="1:49">
      <c r="A2530" s="1077" t="s">
        <v>7773</v>
      </c>
      <c r="B2530" s="1077" t="s">
        <v>7774</v>
      </c>
      <c r="C2530" s="1077">
        <v>600</v>
      </c>
      <c r="D2530" s="1077">
        <v>1.8</v>
      </c>
      <c r="E2530" s="1077" t="s">
        <v>15116</v>
      </c>
      <c r="F2530" s="1077" t="s">
        <v>2234</v>
      </c>
      <c r="G2530" s="1077">
        <v>5</v>
      </c>
      <c r="H2530" s="1077" t="s">
        <v>6952</v>
      </c>
      <c r="I2530" s="1077" t="s">
        <v>7150</v>
      </c>
      <c r="K2530" s="1077" t="s">
        <v>7775</v>
      </c>
      <c r="L2530" s="1077" t="s">
        <v>7776</v>
      </c>
      <c r="M2530" s="1077">
        <v>303</v>
      </c>
      <c r="N2530" s="1077" t="s">
        <v>945</v>
      </c>
      <c r="O2530" s="1077">
        <v>7.5750000000000002</v>
      </c>
      <c r="P2530" s="1077">
        <v>6.0600000000000005</v>
      </c>
      <c r="Q2530" s="1077">
        <v>3.5</v>
      </c>
      <c r="R2530" s="1077" t="s">
        <v>7777</v>
      </c>
      <c r="T2530" s="1077">
        <v>24</v>
      </c>
      <c r="U2530" s="1077">
        <v>3.4</v>
      </c>
      <c r="V2530" s="1077" t="s">
        <v>648</v>
      </c>
      <c r="W2530" s="1077">
        <v>115</v>
      </c>
      <c r="X2530" s="1077">
        <v>85</v>
      </c>
      <c r="Y2530" s="1077">
        <v>1.2</v>
      </c>
      <c r="Z2530" s="1077" t="s">
        <v>648</v>
      </c>
      <c r="AA2530" s="1077" t="s">
        <v>7778</v>
      </c>
      <c r="AH2530" s="1077" t="s">
        <v>1143</v>
      </c>
      <c r="AI2530" s="1077">
        <v>22.79</v>
      </c>
      <c r="AJ2530" s="1077">
        <v>0.18</v>
      </c>
      <c r="AK2530" s="1077">
        <v>0.16</v>
      </c>
      <c r="AM2530" s="1078" t="s">
        <v>13999</v>
      </c>
      <c r="AN2530" s="1078" t="s">
        <v>14000</v>
      </c>
      <c r="AO2530" s="1078">
        <f t="shared" si="318"/>
        <v>600</v>
      </c>
      <c r="AP2530" s="1078">
        <f t="shared" si="319"/>
        <v>1.8</v>
      </c>
      <c r="AQ2530" s="1078" t="str">
        <f t="shared" si="320"/>
        <v>1-5-1S83°Z+S</v>
      </c>
      <c r="AR2530" s="1078" t="str">
        <f t="shared" si="321"/>
        <v>33.5</v>
      </c>
      <c r="AS2530" s="1078" t="str">
        <f t="shared" si="322"/>
        <v>340/340/140</v>
      </c>
      <c r="AT2530" s="1078" t="str">
        <f t="shared" si="323"/>
        <v>1-5-1S83°Z+S</v>
      </c>
      <c r="AU2530" s="1078" t="s">
        <v>15547</v>
      </c>
      <c r="AV2530" s="1078" t="str">
        <f t="shared" si="316"/>
        <v>113.3.28</v>
      </c>
      <c r="AW2530" s="1344">
        <f t="shared" si="317"/>
        <v>45379</v>
      </c>
    </row>
    <row r="2531" spans="1:49">
      <c r="A2531" s="1077" t="s">
        <v>7779</v>
      </c>
      <c r="B2531" s="1077" t="s">
        <v>717</v>
      </c>
      <c r="C2531" s="1077">
        <v>600</v>
      </c>
      <c r="D2531" s="1077">
        <v>1.79</v>
      </c>
      <c r="E2531" s="1077" t="s">
        <v>15112</v>
      </c>
      <c r="F2531" s="1077" t="s">
        <v>1469</v>
      </c>
      <c r="G2531" s="1077">
        <v>4</v>
      </c>
      <c r="H2531" s="1077" t="s">
        <v>6902</v>
      </c>
      <c r="I2531" s="1077" t="s">
        <v>7001</v>
      </c>
      <c r="K2531" s="1077" t="s">
        <v>7780</v>
      </c>
      <c r="L2531" s="1077" t="s">
        <v>7781</v>
      </c>
      <c r="M2531" s="1077">
        <v>303</v>
      </c>
      <c r="N2531" s="1077" t="s">
        <v>945</v>
      </c>
      <c r="O2531" s="1077">
        <v>7.5750000000000002</v>
      </c>
      <c r="P2531" s="1077">
        <v>6.0600000000000005</v>
      </c>
      <c r="Q2531" s="1077">
        <v>3.5</v>
      </c>
      <c r="R2531" s="1077">
        <v>24</v>
      </c>
      <c r="T2531" s="1077">
        <v>16</v>
      </c>
      <c r="U2531" s="1077">
        <v>3</v>
      </c>
      <c r="V2531" s="1077" t="s">
        <v>648</v>
      </c>
      <c r="W2531" s="1077">
        <v>90</v>
      </c>
      <c r="X2531" s="1077">
        <v>10</v>
      </c>
      <c r="Y2531" s="1077">
        <v>1.5</v>
      </c>
      <c r="Z2531" s="1077" t="s">
        <v>648</v>
      </c>
      <c r="AA2531" s="1077" t="s">
        <v>7778</v>
      </c>
      <c r="AH2531" s="1077" t="s">
        <v>878</v>
      </c>
      <c r="AI2531" s="1077">
        <v>73.34</v>
      </c>
      <c r="AJ2531" s="1077">
        <v>0.2</v>
      </c>
      <c r="AK2531" s="1077">
        <v>5.91</v>
      </c>
      <c r="AM2531" s="1078" t="s">
        <v>14001</v>
      </c>
      <c r="AN2531" s="1078" t="s">
        <v>14002</v>
      </c>
      <c r="AO2531" s="1078">
        <f t="shared" si="318"/>
        <v>600</v>
      </c>
      <c r="AP2531" s="1078">
        <f t="shared" si="319"/>
        <v>1.79</v>
      </c>
      <c r="AQ2531" s="1078" t="str">
        <f t="shared" si="320"/>
        <v>1-5-1S87°Z+S</v>
      </c>
      <c r="AR2531" s="1078" t="str">
        <f t="shared" si="321"/>
        <v>30.5</v>
      </c>
      <c r="AS2531" s="1078" t="str">
        <f t="shared" si="322"/>
        <v>310/310/190</v>
      </c>
      <c r="AT2531" s="1078" t="str">
        <f t="shared" si="323"/>
        <v>1-5-1S87°Z+S</v>
      </c>
      <c r="AU2531" s="1078" t="s">
        <v>15547</v>
      </c>
      <c r="AV2531" s="1078" t="str">
        <f t="shared" si="316"/>
        <v>113.3.28</v>
      </c>
      <c r="AW2531" s="1344">
        <f t="shared" si="317"/>
        <v>45379</v>
      </c>
    </row>
    <row r="2532" spans="1:49">
      <c r="A2532" s="1077" t="s">
        <v>7782</v>
      </c>
      <c r="B2532" s="1077" t="s">
        <v>825</v>
      </c>
      <c r="C2532" s="1077">
        <v>600</v>
      </c>
      <c r="D2532" s="1077">
        <v>1.7949999999999999</v>
      </c>
      <c r="E2532" s="1077" t="s">
        <v>15116</v>
      </c>
      <c r="F2532" s="1077" t="s">
        <v>2234</v>
      </c>
      <c r="G2532" s="1077">
        <v>3.5</v>
      </c>
      <c r="H2532" s="1077" t="s">
        <v>6952</v>
      </c>
      <c r="I2532" s="1077" t="s">
        <v>6953</v>
      </c>
      <c r="J2532" s="1077">
        <v>3</v>
      </c>
      <c r="K2532" s="1077" t="s">
        <v>7783</v>
      </c>
      <c r="L2532" s="1077" t="s">
        <v>7297</v>
      </c>
      <c r="M2532" s="1077">
        <v>310</v>
      </c>
      <c r="N2532" s="1077" t="s">
        <v>945</v>
      </c>
      <c r="O2532" s="1077">
        <v>7.75</v>
      </c>
      <c r="P2532" s="1077">
        <v>6.2</v>
      </c>
      <c r="Q2532" s="1077">
        <v>3.5</v>
      </c>
      <c r="R2532" s="1077">
        <v>22</v>
      </c>
      <c r="T2532" s="1077">
        <v>22</v>
      </c>
      <c r="U2532" s="1077">
        <v>3.5</v>
      </c>
      <c r="V2532" s="1077" t="s">
        <v>648</v>
      </c>
      <c r="W2532" s="1077">
        <v>110</v>
      </c>
      <c r="X2532" s="1077">
        <v>85</v>
      </c>
      <c r="Y2532" s="1077">
        <v>1</v>
      </c>
      <c r="Z2532" s="1077" t="s">
        <v>648</v>
      </c>
      <c r="AA2532" s="1077" t="s">
        <v>7784</v>
      </c>
      <c r="AH2532" s="1077" t="s">
        <v>466</v>
      </c>
      <c r="AI2532" s="1077">
        <v>16</v>
      </c>
      <c r="AJ2532" s="1077">
        <v>0.23</v>
      </c>
      <c r="AK2532" s="1077">
        <v>0.77</v>
      </c>
      <c r="AM2532" s="1078" t="s">
        <v>14003</v>
      </c>
      <c r="AN2532" s="1078" t="s">
        <v>14004</v>
      </c>
      <c r="AO2532" s="1078">
        <f t="shared" si="318"/>
        <v>600</v>
      </c>
      <c r="AP2532" s="1078">
        <f t="shared" si="319"/>
        <v>1.7949999999999999</v>
      </c>
      <c r="AQ2532" s="1078" t="str">
        <f t="shared" si="320"/>
        <v>1-5-1S83°Z+S</v>
      </c>
      <c r="AR2532" s="1078" t="str">
        <f t="shared" si="321"/>
        <v>33.5</v>
      </c>
      <c r="AS2532" s="1078" t="str">
        <f t="shared" si="322"/>
        <v>340/340/140</v>
      </c>
      <c r="AT2532" s="1078" t="str">
        <f t="shared" si="323"/>
        <v>1-5-1S83°Z+S</v>
      </c>
      <c r="AU2532" s="1078" t="s">
        <v>15547</v>
      </c>
      <c r="AV2532" s="1078" t="str">
        <f t="shared" si="316"/>
        <v>113.4.2</v>
      </c>
      <c r="AW2532" s="1344">
        <f t="shared" si="317"/>
        <v>45384</v>
      </c>
    </row>
    <row r="2533" spans="1:49">
      <c r="A2533" s="1077" t="s">
        <v>7785</v>
      </c>
      <c r="B2533" s="1077" t="s">
        <v>7261</v>
      </c>
      <c r="C2533" s="1077">
        <v>600</v>
      </c>
      <c r="D2533" s="1077">
        <v>1.79</v>
      </c>
      <c r="E2533" s="1077" t="s">
        <v>15112</v>
      </c>
      <c r="F2533" s="1077" t="s">
        <v>1469</v>
      </c>
      <c r="G2533" s="1077">
        <v>4</v>
      </c>
      <c r="H2533" s="1077" t="s">
        <v>6902</v>
      </c>
      <c r="I2533" s="1077" t="s">
        <v>6918</v>
      </c>
      <c r="K2533" s="1077" t="s">
        <v>7741</v>
      </c>
      <c r="L2533" s="1077" t="s">
        <v>7264</v>
      </c>
      <c r="M2533" s="1077">
        <v>303</v>
      </c>
      <c r="N2533" s="1077" t="s">
        <v>945</v>
      </c>
      <c r="O2533" s="1077">
        <v>7.5750000000000002</v>
      </c>
      <c r="P2533" s="1077">
        <v>6.0600000000000005</v>
      </c>
      <c r="Q2533" s="1077">
        <v>3.5</v>
      </c>
      <c r="R2533" s="1077">
        <v>24</v>
      </c>
      <c r="T2533" s="1077">
        <v>16</v>
      </c>
      <c r="U2533" s="1077">
        <v>3</v>
      </c>
      <c r="V2533" s="1077" t="s">
        <v>648</v>
      </c>
      <c r="W2533" s="1077">
        <v>90</v>
      </c>
      <c r="X2533" s="1077">
        <v>10</v>
      </c>
      <c r="Y2533" s="1077">
        <v>1.5</v>
      </c>
      <c r="Z2533" s="1077" t="s">
        <v>648</v>
      </c>
      <c r="AA2533" s="1077" t="s">
        <v>7786</v>
      </c>
      <c r="AH2533" s="1077" t="s">
        <v>838</v>
      </c>
      <c r="AI2533" s="1077">
        <v>61.57</v>
      </c>
      <c r="AJ2533" s="1077">
        <v>3.71</v>
      </c>
      <c r="AK2533" s="1077">
        <v>15.11</v>
      </c>
      <c r="AM2533" s="1078" t="s">
        <v>14005</v>
      </c>
      <c r="AN2533" s="1078" t="s">
        <v>14006</v>
      </c>
      <c r="AO2533" s="1078">
        <f t="shared" si="318"/>
        <v>600</v>
      </c>
      <c r="AP2533" s="1078">
        <f t="shared" si="319"/>
        <v>1.79</v>
      </c>
      <c r="AQ2533" s="1078" t="str">
        <f t="shared" si="320"/>
        <v>1-5-1S87°Z+S</v>
      </c>
      <c r="AR2533" s="1078" t="str">
        <f t="shared" si="321"/>
        <v>30.5</v>
      </c>
      <c r="AS2533" s="1078" t="str">
        <f t="shared" si="322"/>
        <v>310/310/190</v>
      </c>
      <c r="AT2533" s="1078" t="str">
        <f t="shared" si="323"/>
        <v>1-5-1S87°Z+S</v>
      </c>
      <c r="AU2533" s="1078" t="s">
        <v>15547</v>
      </c>
      <c r="AV2533" s="1078" t="str">
        <f t="shared" si="316"/>
        <v>113.4.3</v>
      </c>
      <c r="AW2533" s="1344">
        <f t="shared" si="317"/>
        <v>45385</v>
      </c>
    </row>
    <row r="2534" spans="1:49">
      <c r="A2534" s="1077" t="s">
        <v>7787</v>
      </c>
      <c r="B2534" s="1077" t="s">
        <v>714</v>
      </c>
      <c r="C2534" s="1077">
        <v>550</v>
      </c>
      <c r="D2534" s="1077">
        <v>1.7669999999999999</v>
      </c>
      <c r="E2534" s="1077">
        <v>102.5</v>
      </c>
      <c r="F2534" s="1077" t="s">
        <v>4070</v>
      </c>
      <c r="G2534" s="1077" t="s">
        <v>6865</v>
      </c>
      <c r="H2534" s="1077" t="s">
        <v>7047</v>
      </c>
      <c r="I2534" s="1077" t="s">
        <v>7057</v>
      </c>
      <c r="J2534" s="1077">
        <v>3.7</v>
      </c>
      <c r="K2534" s="1077" t="s">
        <v>7473</v>
      </c>
      <c r="L2534" s="1077" t="s">
        <v>4666</v>
      </c>
      <c r="M2534" s="1077">
        <v>300.8</v>
      </c>
      <c r="N2534" s="1077" t="s">
        <v>945</v>
      </c>
      <c r="O2534" s="1077">
        <v>7.5200000000000005</v>
      </c>
      <c r="P2534" s="1077">
        <v>6.016</v>
      </c>
      <c r="Q2534" s="1077">
        <v>4</v>
      </c>
      <c r="R2534" s="1077">
        <v>17</v>
      </c>
      <c r="T2534" s="1077">
        <v>31.4</v>
      </c>
      <c r="U2534" s="1077">
        <v>3.6</v>
      </c>
      <c r="V2534" s="1077" t="s">
        <v>648</v>
      </c>
      <c r="W2534" s="1077">
        <v>65</v>
      </c>
      <c r="X2534" s="1077">
        <v>10</v>
      </c>
      <c r="Y2534" s="1077">
        <v>1.5</v>
      </c>
      <c r="Z2534" s="1077" t="s">
        <v>648</v>
      </c>
      <c r="AA2534" s="1077" t="s">
        <v>7788</v>
      </c>
      <c r="AH2534" s="1077" t="s">
        <v>7789</v>
      </c>
      <c r="AM2534" s="1078" t="s">
        <v>14007</v>
      </c>
      <c r="AN2534" s="1078" t="s">
        <v>14008</v>
      </c>
      <c r="AO2534" s="1078">
        <f t="shared" si="318"/>
        <v>550</v>
      </c>
      <c r="AP2534" s="1078">
        <f t="shared" si="319"/>
        <v>1.7669999999999999</v>
      </c>
      <c r="AQ2534" s="1078">
        <f t="shared" si="320"/>
        <v>102.5</v>
      </c>
      <c r="AR2534" s="1078" t="str">
        <f t="shared" si="321"/>
        <v>15.5</v>
      </c>
      <c r="AS2534" s="1078" t="str">
        <f t="shared" si="322"/>
        <v>485/445/OFF</v>
      </c>
      <c r="AT2534" s="1078">
        <f t="shared" si="323"/>
        <v>102.5</v>
      </c>
      <c r="AV2534" s="1078" t="str">
        <f t="shared" si="316"/>
        <v>110.2.20</v>
      </c>
      <c r="AW2534" s="1344">
        <f t="shared" si="317"/>
        <v>44247</v>
      </c>
    </row>
    <row r="2535" spans="1:49">
      <c r="A2535" s="1077" t="s">
        <v>7790</v>
      </c>
      <c r="B2535" s="1077" t="s">
        <v>714</v>
      </c>
      <c r="C2535" s="1077">
        <v>550</v>
      </c>
      <c r="D2535" s="1077">
        <v>1.76</v>
      </c>
      <c r="E2535" s="1077">
        <v>102.5</v>
      </c>
      <c r="F2535" s="1077" t="s">
        <v>4070</v>
      </c>
      <c r="G2535" s="1077" t="s">
        <v>6865</v>
      </c>
      <c r="H2535" s="1077" t="s">
        <v>7349</v>
      </c>
      <c r="I2535" s="1077" t="s">
        <v>6873</v>
      </c>
      <c r="J2535" s="1077">
        <v>3.7</v>
      </c>
      <c r="K2535" s="1077" t="s">
        <v>7791</v>
      </c>
      <c r="L2535" s="1077" t="s">
        <v>4666</v>
      </c>
      <c r="M2535" s="1077">
        <v>300.3</v>
      </c>
      <c r="N2535" s="1077" t="s">
        <v>945</v>
      </c>
      <c r="O2535" s="1077">
        <v>7.5075000000000003</v>
      </c>
      <c r="P2535" s="1077">
        <v>6.0060000000000002</v>
      </c>
      <c r="Q2535" s="1077">
        <v>4</v>
      </c>
      <c r="R2535" s="1077">
        <v>18.899999999999999</v>
      </c>
      <c r="T2535" s="1077">
        <v>26.9</v>
      </c>
      <c r="U2535" s="1077">
        <v>3.7</v>
      </c>
      <c r="V2535" s="1077" t="s">
        <v>648</v>
      </c>
      <c r="W2535" s="1077">
        <v>60</v>
      </c>
      <c r="X2535" s="1077">
        <v>10</v>
      </c>
      <c r="Y2535" s="1077">
        <v>1.1000000000000001</v>
      </c>
      <c r="Z2535" s="1077" t="s">
        <v>648</v>
      </c>
      <c r="AA2535" s="1077" t="s">
        <v>6344</v>
      </c>
      <c r="AH2535" s="1077" t="s">
        <v>862</v>
      </c>
      <c r="AM2535" s="1078" t="s">
        <v>14009</v>
      </c>
      <c r="AN2535" s="1078" t="s">
        <v>14010</v>
      </c>
      <c r="AO2535" s="1078">
        <f t="shared" si="318"/>
        <v>550</v>
      </c>
      <c r="AP2535" s="1078">
        <f t="shared" si="319"/>
        <v>1.76</v>
      </c>
      <c r="AQ2535" s="1078">
        <f t="shared" si="320"/>
        <v>102.5</v>
      </c>
      <c r="AR2535" s="1078" t="str">
        <f t="shared" si="321"/>
        <v>15.5</v>
      </c>
      <c r="AS2535" s="1078" t="str">
        <f t="shared" si="322"/>
        <v>440/400/OFF</v>
      </c>
      <c r="AT2535" s="1078">
        <f t="shared" si="323"/>
        <v>102.5</v>
      </c>
      <c r="AV2535" s="1078" t="str">
        <f t="shared" si="316"/>
        <v>110.2.19</v>
      </c>
      <c r="AW2535" s="1344">
        <f t="shared" si="317"/>
        <v>44246</v>
      </c>
    </row>
    <row r="2536" spans="1:49">
      <c r="A2536" s="1077" t="s">
        <v>7792</v>
      </c>
      <c r="B2536" s="1077" t="s">
        <v>714</v>
      </c>
      <c r="C2536" s="1077">
        <v>600</v>
      </c>
      <c r="D2536" s="1077">
        <v>1.77</v>
      </c>
      <c r="E2536" s="1077">
        <v>102.5</v>
      </c>
      <c r="F2536" s="1077" t="s">
        <v>4070</v>
      </c>
      <c r="G2536" s="1077">
        <v>5.5</v>
      </c>
      <c r="H2536" s="1077" t="s">
        <v>7338</v>
      </c>
      <c r="I2536" s="1077" t="s">
        <v>7496</v>
      </c>
      <c r="J2536" s="1077">
        <v>3.7</v>
      </c>
      <c r="K2536" s="1077" t="s">
        <v>7791</v>
      </c>
      <c r="L2536" s="1077" t="s">
        <v>4666</v>
      </c>
      <c r="M2536" s="1077">
        <v>295.10000000000002</v>
      </c>
      <c r="N2536" s="1077" t="s">
        <v>945</v>
      </c>
      <c r="O2536" s="1077">
        <v>7.3775000000000013</v>
      </c>
      <c r="P2536" s="1077">
        <v>5.9020000000000001</v>
      </c>
      <c r="Q2536" s="1077">
        <v>4</v>
      </c>
      <c r="R2536" s="1077">
        <v>17.399999999999999</v>
      </c>
      <c r="T2536" s="1077">
        <v>31</v>
      </c>
      <c r="U2536" s="1077">
        <v>3.5</v>
      </c>
      <c r="V2536" s="1077" t="s">
        <v>648</v>
      </c>
      <c r="W2536" s="1077">
        <v>100</v>
      </c>
      <c r="X2536" s="1077" t="s">
        <v>7498</v>
      </c>
      <c r="Y2536" s="1077">
        <v>1</v>
      </c>
      <c r="Z2536" s="1077" t="s">
        <v>648</v>
      </c>
      <c r="AA2536" s="1077" t="s">
        <v>1389</v>
      </c>
      <c r="AH2536" s="1077" t="s">
        <v>723</v>
      </c>
      <c r="AM2536" s="1078" t="s">
        <v>14011</v>
      </c>
      <c r="AN2536" s="1078" t="s">
        <v>14012</v>
      </c>
      <c r="AO2536" s="1078">
        <f t="shared" si="318"/>
        <v>600</v>
      </c>
      <c r="AP2536" s="1078">
        <f t="shared" si="319"/>
        <v>1.77</v>
      </c>
      <c r="AQ2536" s="1078">
        <f t="shared" si="320"/>
        <v>102.5</v>
      </c>
      <c r="AR2536" s="1078" t="str">
        <f t="shared" si="321"/>
        <v>15.5</v>
      </c>
      <c r="AS2536" s="1078" t="str">
        <f t="shared" si="322"/>
        <v>504/464/OFF</v>
      </c>
      <c r="AT2536" s="1078">
        <f t="shared" si="323"/>
        <v>102.5</v>
      </c>
      <c r="AV2536" s="1078" t="str">
        <f t="shared" si="316"/>
        <v>110.3.4</v>
      </c>
      <c r="AW2536" s="1344">
        <f t="shared" si="317"/>
        <v>44259</v>
      </c>
    </row>
    <row r="2537" spans="1:49">
      <c r="A2537" s="1077" t="s">
        <v>7793</v>
      </c>
      <c r="B2537" s="1077" t="s">
        <v>714</v>
      </c>
      <c r="C2537" s="1077">
        <v>550</v>
      </c>
      <c r="D2537" s="1077">
        <v>1.7669999999999999</v>
      </c>
      <c r="E2537" s="1077">
        <v>102.5</v>
      </c>
      <c r="F2537" s="1077" t="s">
        <v>4070</v>
      </c>
      <c r="G2537" s="1077">
        <v>5</v>
      </c>
      <c r="H2537" s="1077" t="s">
        <v>7794</v>
      </c>
      <c r="I2537" s="1077" t="s">
        <v>7709</v>
      </c>
      <c r="J2537" s="1077">
        <v>3.7</v>
      </c>
      <c r="K2537" s="1077" t="s">
        <v>7473</v>
      </c>
      <c r="L2537" s="1077" t="s">
        <v>4666</v>
      </c>
      <c r="M2537" s="1077">
        <v>298.8</v>
      </c>
      <c r="N2537" s="1077" t="s">
        <v>945</v>
      </c>
      <c r="O2537" s="1077">
        <v>7.4700000000000006</v>
      </c>
      <c r="P2537" s="1077">
        <v>5.976</v>
      </c>
      <c r="Q2537" s="1077" t="s">
        <v>961</v>
      </c>
      <c r="R2537" s="1077">
        <v>20.5</v>
      </c>
      <c r="T2537" s="1077">
        <v>21</v>
      </c>
      <c r="U2537" s="1077">
        <v>3.5</v>
      </c>
      <c r="V2537" s="1077" t="s">
        <v>648</v>
      </c>
      <c r="W2537" s="1077">
        <v>30</v>
      </c>
      <c r="X2537" s="1077">
        <v>10</v>
      </c>
      <c r="Y2537" s="1077">
        <v>1.2</v>
      </c>
      <c r="Z2537" s="1077" t="s">
        <v>648</v>
      </c>
      <c r="AA2537" s="1077" t="s">
        <v>4643</v>
      </c>
      <c r="AH2537" s="1077" t="s">
        <v>2384</v>
      </c>
      <c r="AM2537" s="1078" t="s">
        <v>14013</v>
      </c>
      <c r="AN2537" s="1078" t="s">
        <v>14014</v>
      </c>
      <c r="AO2537" s="1078">
        <f t="shared" si="318"/>
        <v>550</v>
      </c>
      <c r="AP2537" s="1078">
        <f t="shared" si="319"/>
        <v>1.7669999999999999</v>
      </c>
      <c r="AQ2537" s="1078">
        <f t="shared" si="320"/>
        <v>102.5</v>
      </c>
      <c r="AR2537" s="1078" t="str">
        <f t="shared" si="321"/>
        <v>15.5</v>
      </c>
      <c r="AS2537" s="1078" t="str">
        <f t="shared" si="322"/>
        <v>420/400/175</v>
      </c>
      <c r="AT2537" s="1078">
        <f t="shared" si="323"/>
        <v>102.5</v>
      </c>
      <c r="AV2537" s="1078" t="str">
        <f t="shared" si="316"/>
        <v>110.3.11</v>
      </c>
      <c r="AW2537" s="1344">
        <f t="shared" si="317"/>
        <v>44266</v>
      </c>
    </row>
    <row r="2538" spans="1:49">
      <c r="A2538" s="1077" t="s">
        <v>7795</v>
      </c>
      <c r="B2538" s="1077" t="s">
        <v>714</v>
      </c>
      <c r="C2538" s="1077">
        <v>600</v>
      </c>
      <c r="D2538" s="1077">
        <v>1.77</v>
      </c>
      <c r="E2538" s="1077">
        <v>102.5</v>
      </c>
      <c r="F2538" s="1077" t="s">
        <v>4070</v>
      </c>
      <c r="G2538" s="1077">
        <v>5.5</v>
      </c>
      <c r="H2538" s="1077" t="s">
        <v>7642</v>
      </c>
      <c r="I2538" s="1077" t="s">
        <v>7588</v>
      </c>
      <c r="J2538" s="1077">
        <v>3.7</v>
      </c>
      <c r="K2538" s="1077" t="s">
        <v>7796</v>
      </c>
      <c r="L2538" s="1077" t="s">
        <v>4666</v>
      </c>
      <c r="M2538" s="1077">
        <v>295.10000000000002</v>
      </c>
      <c r="N2538" s="1077" t="s">
        <v>945</v>
      </c>
      <c r="O2538" s="1077">
        <v>7.3775000000000013</v>
      </c>
      <c r="P2538" s="1077">
        <v>5.9020000000000001</v>
      </c>
      <c r="Q2538" s="1077">
        <v>4</v>
      </c>
      <c r="R2538" s="1077">
        <v>17.399999999999999</v>
      </c>
      <c r="T2538" s="1077">
        <v>31</v>
      </c>
      <c r="U2538" s="1077">
        <v>3.5</v>
      </c>
      <c r="V2538" s="1077" t="s">
        <v>648</v>
      </c>
      <c r="W2538" s="1077" t="s">
        <v>6880</v>
      </c>
      <c r="X2538" s="1077">
        <v>40</v>
      </c>
      <c r="Y2538" s="1077">
        <v>1</v>
      </c>
      <c r="Z2538" s="1077" t="s">
        <v>648</v>
      </c>
      <c r="AA2538" s="1077" t="s">
        <v>3150</v>
      </c>
      <c r="AH2538" s="1077" t="s">
        <v>854</v>
      </c>
      <c r="AM2538" s="1078" t="s">
        <v>14015</v>
      </c>
      <c r="AN2538" s="1078" t="s">
        <v>14016</v>
      </c>
      <c r="AO2538" s="1078">
        <f t="shared" si="318"/>
        <v>600</v>
      </c>
      <c r="AP2538" s="1078">
        <f t="shared" si="319"/>
        <v>1.77</v>
      </c>
      <c r="AQ2538" s="1078">
        <f t="shared" si="320"/>
        <v>102.5</v>
      </c>
      <c r="AR2538" s="1078" t="str">
        <f t="shared" si="321"/>
        <v>15.5</v>
      </c>
      <c r="AS2538" s="1078" t="str">
        <f t="shared" si="322"/>
        <v>499/459/OFF</v>
      </c>
      <c r="AT2538" s="1078">
        <f t="shared" si="323"/>
        <v>102.5</v>
      </c>
      <c r="AV2538" s="1078" t="str">
        <f t="shared" si="316"/>
        <v>110.3.17</v>
      </c>
      <c r="AW2538" s="1344">
        <f t="shared" si="317"/>
        <v>44272</v>
      </c>
    </row>
    <row r="2539" spans="1:49">
      <c r="A2539" s="1077" t="s">
        <v>7797</v>
      </c>
      <c r="B2539" s="1077" t="s">
        <v>663</v>
      </c>
      <c r="C2539" s="1077">
        <v>500</v>
      </c>
      <c r="D2539" s="1077">
        <v>1.78</v>
      </c>
      <c r="E2539" s="1077">
        <v>102.5</v>
      </c>
      <c r="F2539" s="1077" t="s">
        <v>4070</v>
      </c>
      <c r="G2539" s="1077">
        <v>5.5</v>
      </c>
      <c r="H2539" s="1077" t="s">
        <v>7484</v>
      </c>
      <c r="I2539" s="1077" t="s">
        <v>7459</v>
      </c>
      <c r="K2539" s="1077" t="s">
        <v>7798</v>
      </c>
      <c r="L2539" s="1077" t="s">
        <v>4907</v>
      </c>
      <c r="M2539" s="1077">
        <v>296.39999999999998</v>
      </c>
      <c r="N2539" s="1077" t="s">
        <v>945</v>
      </c>
      <c r="O2539" s="1077">
        <v>7.41</v>
      </c>
      <c r="P2539" s="1077">
        <v>5.9279999999999999</v>
      </c>
      <c r="Q2539" s="1077">
        <v>3.5</v>
      </c>
      <c r="R2539" s="1077">
        <v>17</v>
      </c>
      <c r="T2539" s="1077">
        <v>10.5</v>
      </c>
      <c r="U2539" s="1077">
        <v>6.1</v>
      </c>
      <c r="V2539" s="1077" t="s">
        <v>648</v>
      </c>
      <c r="W2539" s="1077">
        <v>120</v>
      </c>
      <c r="X2539" s="1077">
        <v>90</v>
      </c>
      <c r="Y2539" s="1077">
        <v>1.1000000000000001</v>
      </c>
      <c r="Z2539" s="1077" t="s">
        <v>648</v>
      </c>
      <c r="AA2539" s="1077" t="s">
        <v>1764</v>
      </c>
      <c r="AH2539" s="1077" t="s">
        <v>723</v>
      </c>
      <c r="AM2539" s="1078" t="s">
        <v>14017</v>
      </c>
      <c r="AN2539" s="1078" t="s">
        <v>14018</v>
      </c>
      <c r="AO2539" s="1078">
        <f t="shared" si="318"/>
        <v>500</v>
      </c>
      <c r="AP2539" s="1078">
        <f t="shared" si="319"/>
        <v>1.78</v>
      </c>
      <c r="AQ2539" s="1078">
        <f t="shared" si="320"/>
        <v>102.5</v>
      </c>
      <c r="AR2539" s="1078" t="str">
        <f t="shared" si="321"/>
        <v>15.5</v>
      </c>
      <c r="AS2539" s="1078" t="str">
        <f t="shared" si="322"/>
        <v>355/340/153</v>
      </c>
      <c r="AT2539" s="1078">
        <f t="shared" si="323"/>
        <v>102.5</v>
      </c>
      <c r="AV2539" s="1078" t="str">
        <f t="shared" si="316"/>
        <v>111.1.7</v>
      </c>
      <c r="AW2539" s="1344">
        <f t="shared" si="317"/>
        <v>44568</v>
      </c>
    </row>
    <row r="2540" spans="1:49">
      <c r="A2540" s="1077" t="s">
        <v>7799</v>
      </c>
      <c r="B2540" s="1077" t="s">
        <v>663</v>
      </c>
      <c r="C2540" s="1077">
        <v>600</v>
      </c>
      <c r="D2540" s="1077">
        <v>1.77</v>
      </c>
      <c r="E2540" s="1077">
        <v>102.5</v>
      </c>
      <c r="F2540" s="1077" t="s">
        <v>4070</v>
      </c>
      <c r="G2540" s="1077">
        <v>5.5</v>
      </c>
      <c r="H2540" s="1077" t="s">
        <v>6982</v>
      </c>
      <c r="I2540" s="1077" t="s">
        <v>7800</v>
      </c>
      <c r="K2540" s="1077" t="s">
        <v>7801</v>
      </c>
      <c r="L2540" s="1077" t="s">
        <v>4907</v>
      </c>
      <c r="M2540" s="1077">
        <v>296.39999999999998</v>
      </c>
      <c r="N2540" s="1077" t="s">
        <v>945</v>
      </c>
      <c r="O2540" s="1077">
        <v>7.41</v>
      </c>
      <c r="P2540" s="1077">
        <v>5.9279999999999999</v>
      </c>
      <c r="Q2540" s="1077">
        <v>3.5</v>
      </c>
      <c r="R2540" s="1077">
        <v>20</v>
      </c>
      <c r="T2540" s="1077">
        <v>14.7</v>
      </c>
      <c r="U2540" s="1077">
        <v>5.5</v>
      </c>
      <c r="V2540" s="1077" t="s">
        <v>648</v>
      </c>
      <c r="W2540" s="1077">
        <v>70</v>
      </c>
      <c r="X2540" s="1077">
        <v>10</v>
      </c>
      <c r="Y2540" s="1077">
        <v>1.1000000000000001</v>
      </c>
      <c r="Z2540" s="1077" t="s">
        <v>648</v>
      </c>
      <c r="AA2540" s="1077" t="s">
        <v>1770</v>
      </c>
      <c r="AH2540" s="1077" t="s">
        <v>1643</v>
      </c>
      <c r="AM2540" s="1078" t="s">
        <v>14019</v>
      </c>
      <c r="AN2540" s="1078" t="s">
        <v>14020</v>
      </c>
      <c r="AO2540" s="1078">
        <f t="shared" si="318"/>
        <v>600</v>
      </c>
      <c r="AP2540" s="1078">
        <f t="shared" si="319"/>
        <v>1.77</v>
      </c>
      <c r="AQ2540" s="1078">
        <f t="shared" si="320"/>
        <v>102.5</v>
      </c>
      <c r="AR2540" s="1078" t="str">
        <f t="shared" si="321"/>
        <v>15.5</v>
      </c>
      <c r="AS2540" s="1078" t="str">
        <f t="shared" si="322"/>
        <v>375/365/153</v>
      </c>
      <c r="AT2540" s="1078">
        <f t="shared" si="323"/>
        <v>102.5</v>
      </c>
      <c r="AV2540" s="1078" t="str">
        <f t="shared" si="316"/>
        <v>111.1.13</v>
      </c>
      <c r="AW2540" s="1344">
        <f t="shared" si="317"/>
        <v>44574</v>
      </c>
    </row>
    <row r="2541" spans="1:49">
      <c r="A2541" s="1077" t="s">
        <v>7802</v>
      </c>
      <c r="B2541" s="1077" t="s">
        <v>7019</v>
      </c>
      <c r="C2541" s="1077">
        <v>600</v>
      </c>
      <c r="D2541" s="1077">
        <v>1.76</v>
      </c>
      <c r="E2541" s="1077" t="s">
        <v>15109</v>
      </c>
      <c r="F2541" s="1077" t="s">
        <v>648</v>
      </c>
      <c r="G2541" s="1077">
        <v>5.5</v>
      </c>
      <c r="H2541" s="1077" t="s">
        <v>941</v>
      </c>
      <c r="I2541" s="1077" t="s">
        <v>7459</v>
      </c>
      <c r="K2541" s="1077" t="s">
        <v>7803</v>
      </c>
      <c r="L2541" s="1077" t="s">
        <v>7424</v>
      </c>
      <c r="M2541" s="1077">
        <v>295</v>
      </c>
      <c r="N2541" s="1077" t="s">
        <v>945</v>
      </c>
      <c r="O2541" s="1077">
        <v>7.375</v>
      </c>
      <c r="P2541" s="1077">
        <v>5.9</v>
      </c>
      <c r="Q2541" s="1077">
        <v>4</v>
      </c>
      <c r="R2541" s="1077">
        <v>19</v>
      </c>
      <c r="T2541" s="1077">
        <v>27.8</v>
      </c>
      <c r="U2541" s="1077">
        <v>3.9</v>
      </c>
      <c r="V2541" s="1077" t="s">
        <v>648</v>
      </c>
      <c r="W2541" s="1077">
        <v>125</v>
      </c>
      <c r="X2541" s="1077">
        <v>90</v>
      </c>
      <c r="Y2541" s="1077">
        <v>1.5</v>
      </c>
      <c r="Z2541" s="1077" t="s">
        <v>648</v>
      </c>
      <c r="AA2541" s="1077" t="s">
        <v>7804</v>
      </c>
      <c r="AH2541" s="1077" t="s">
        <v>7805</v>
      </c>
      <c r="AM2541" s="1078" t="s">
        <v>14021</v>
      </c>
      <c r="AN2541" s="1078" t="s">
        <v>14022</v>
      </c>
      <c r="AO2541" s="1078">
        <f t="shared" si="318"/>
        <v>600</v>
      </c>
      <c r="AP2541" s="1078">
        <f t="shared" si="319"/>
        <v>1.76</v>
      </c>
      <c r="AQ2541" s="1078" t="str">
        <f t="shared" si="320"/>
        <v>1-5-1S85°Z+S</v>
      </c>
      <c r="AR2541" s="1078" t="str">
        <f t="shared" si="321"/>
        <v>NA</v>
      </c>
      <c r="AS2541" s="1078" t="str">
        <f t="shared" si="322"/>
        <v>185/OFF</v>
      </c>
      <c r="AT2541" s="1078" t="str">
        <f t="shared" si="323"/>
        <v>1-5-1S85°Z+S</v>
      </c>
      <c r="AU2541" s="1078" t="s">
        <v>15547</v>
      </c>
      <c r="AV2541" s="1078" t="str">
        <f t="shared" si="316"/>
        <v>111.1.11</v>
      </c>
      <c r="AW2541" s="1344">
        <f t="shared" si="317"/>
        <v>44572</v>
      </c>
    </row>
    <row r="2542" spans="1:49">
      <c r="A2542" s="1077" t="s">
        <v>7806</v>
      </c>
      <c r="B2542" s="1077" t="s">
        <v>7091</v>
      </c>
      <c r="C2542" s="1077">
        <v>550</v>
      </c>
      <c r="D2542" s="1077">
        <v>1.76</v>
      </c>
      <c r="E2542" s="1077">
        <v>102.5</v>
      </c>
      <c r="F2542" s="1077" t="s">
        <v>4070</v>
      </c>
      <c r="G2542" s="1077">
        <v>5</v>
      </c>
      <c r="H2542" s="1077" t="s">
        <v>7807</v>
      </c>
      <c r="I2542" s="1077" t="s">
        <v>7048</v>
      </c>
      <c r="J2542" s="1077">
        <v>3.7</v>
      </c>
      <c r="K2542" s="1077" t="s">
        <v>7684</v>
      </c>
      <c r="L2542" s="1077" t="s">
        <v>5152</v>
      </c>
      <c r="M2542" s="1077">
        <v>296</v>
      </c>
      <c r="N2542" s="1077" t="s">
        <v>945</v>
      </c>
      <c r="O2542" s="1077">
        <v>7.4</v>
      </c>
      <c r="P2542" s="1077">
        <v>5.92</v>
      </c>
      <c r="Q2542" s="1077">
        <v>4</v>
      </c>
      <c r="R2542" s="1077">
        <v>21</v>
      </c>
      <c r="T2542" s="1077">
        <v>22</v>
      </c>
      <c r="U2542" s="1077">
        <v>3.2</v>
      </c>
      <c r="V2542" s="1077" t="s">
        <v>648</v>
      </c>
      <c r="W2542" s="1077">
        <v>110</v>
      </c>
      <c r="X2542" s="1077">
        <v>40</v>
      </c>
      <c r="Y2542" s="1077">
        <v>1</v>
      </c>
      <c r="Z2542" s="1077" t="s">
        <v>648</v>
      </c>
      <c r="AA2542" s="1077" t="s">
        <v>5367</v>
      </c>
      <c r="AH2542" s="1077" t="s">
        <v>5681</v>
      </c>
      <c r="AM2542" s="1078" t="s">
        <v>14023</v>
      </c>
      <c r="AN2542" s="1078" t="s">
        <v>13613</v>
      </c>
      <c r="AO2542" s="1078">
        <f t="shared" si="318"/>
        <v>550</v>
      </c>
      <c r="AP2542" s="1078">
        <f t="shared" si="319"/>
        <v>1.76</v>
      </c>
      <c r="AQ2542" s="1078">
        <f t="shared" si="320"/>
        <v>102.5</v>
      </c>
      <c r="AR2542" s="1078" t="str">
        <f t="shared" si="321"/>
        <v>15.5</v>
      </c>
      <c r="AS2542" s="1078" t="str">
        <f t="shared" si="322"/>
        <v>460/420/180</v>
      </c>
      <c r="AT2542" s="1078">
        <f t="shared" si="323"/>
        <v>102.5</v>
      </c>
      <c r="AV2542" s="1078" t="str">
        <f t="shared" si="316"/>
        <v>111.1.17</v>
      </c>
      <c r="AW2542" s="1344">
        <f t="shared" si="317"/>
        <v>44578</v>
      </c>
    </row>
    <row r="2543" spans="1:49">
      <c r="A2543" s="1077" t="s">
        <v>7808</v>
      </c>
      <c r="B2543" s="1077" t="s">
        <v>7205</v>
      </c>
      <c r="C2543" s="1077">
        <v>600</v>
      </c>
      <c r="D2543" s="1077">
        <v>1.75</v>
      </c>
      <c r="E2543" s="1077" t="s">
        <v>15109</v>
      </c>
      <c r="F2543" s="1077" t="s">
        <v>648</v>
      </c>
      <c r="G2543" s="1077">
        <v>5</v>
      </c>
      <c r="H2543" s="1077" t="s">
        <v>7364</v>
      </c>
      <c r="I2543" s="1077" t="s">
        <v>7215</v>
      </c>
      <c r="J2543" s="1077">
        <v>3</v>
      </c>
      <c r="K2543" s="1077" t="s">
        <v>7809</v>
      </c>
      <c r="L2543" s="1077" t="s">
        <v>7208</v>
      </c>
      <c r="M2543" s="1077">
        <v>293.3</v>
      </c>
      <c r="N2543" s="1077" t="s">
        <v>945</v>
      </c>
      <c r="O2543" s="1077">
        <v>7.3325000000000005</v>
      </c>
      <c r="P2543" s="1077">
        <v>5.8660000000000005</v>
      </c>
      <c r="Q2543" s="1077" t="s">
        <v>988</v>
      </c>
      <c r="R2543" s="1077">
        <v>19</v>
      </c>
      <c r="T2543" s="1077">
        <v>27</v>
      </c>
      <c r="U2543" s="1077">
        <v>3.5</v>
      </c>
      <c r="V2543" s="1077" t="s">
        <v>648</v>
      </c>
      <c r="W2543" s="1077">
        <v>135</v>
      </c>
      <c r="X2543" s="1077">
        <v>90</v>
      </c>
      <c r="Y2543" s="1077">
        <v>1.4</v>
      </c>
      <c r="Z2543" s="1077" t="s">
        <v>648</v>
      </c>
      <c r="AA2543" s="1077" t="s">
        <v>5370</v>
      </c>
      <c r="AH2543" s="1077" t="s">
        <v>1827</v>
      </c>
      <c r="AM2543" s="1078" t="s">
        <v>14024</v>
      </c>
      <c r="AN2543" s="1078" t="s">
        <v>14025</v>
      </c>
      <c r="AO2543" s="1078">
        <f t="shared" si="318"/>
        <v>600</v>
      </c>
      <c r="AP2543" s="1078">
        <f t="shared" si="319"/>
        <v>1.75</v>
      </c>
      <c r="AQ2543" s="1078" t="str">
        <f t="shared" si="320"/>
        <v>1-5-1S85°Z+S</v>
      </c>
      <c r="AR2543" s="1078" t="str">
        <f t="shared" si="321"/>
        <v>NA</v>
      </c>
      <c r="AS2543" s="1078" t="str">
        <f t="shared" si="322"/>
        <v>196/OFF</v>
      </c>
      <c r="AT2543" s="1078" t="str">
        <f t="shared" si="323"/>
        <v>1-5-1S85°Z+S</v>
      </c>
      <c r="AU2543" s="1078" t="s">
        <v>15547</v>
      </c>
      <c r="AV2543" s="1078" t="str">
        <f t="shared" si="316"/>
        <v>111.1.19</v>
      </c>
      <c r="AW2543" s="1344">
        <f t="shared" si="317"/>
        <v>44580</v>
      </c>
    </row>
    <row r="2544" spans="1:49">
      <c r="A2544" s="1077" t="s">
        <v>7810</v>
      </c>
      <c r="B2544" s="1077" t="s">
        <v>663</v>
      </c>
      <c r="C2544" s="1077">
        <v>550</v>
      </c>
      <c r="D2544" s="1077">
        <v>1.7949999999999999</v>
      </c>
      <c r="E2544" s="1077" t="s">
        <v>15122</v>
      </c>
      <c r="F2544" s="1077" t="s">
        <v>954</v>
      </c>
      <c r="G2544" s="1077">
        <v>5</v>
      </c>
      <c r="H2544" s="1077" t="s">
        <v>7811</v>
      </c>
      <c r="I2544" s="1077" t="s">
        <v>6988</v>
      </c>
      <c r="K2544" s="1077" t="s">
        <v>7812</v>
      </c>
      <c r="L2544" s="1077" t="s">
        <v>6238</v>
      </c>
      <c r="M2544" s="1077">
        <v>296.39999999999998</v>
      </c>
      <c r="N2544" s="1077" t="s">
        <v>945</v>
      </c>
      <c r="O2544" s="1077">
        <v>7.41</v>
      </c>
      <c r="P2544" s="1077">
        <v>5.9279999999999999</v>
      </c>
      <c r="Q2544" s="1077">
        <v>3.5</v>
      </c>
      <c r="R2544" s="1077">
        <v>20</v>
      </c>
      <c r="T2544" s="1077">
        <v>14.7</v>
      </c>
      <c r="U2544" s="1077">
        <v>5.5</v>
      </c>
      <c r="V2544" s="1077" t="s">
        <v>648</v>
      </c>
      <c r="W2544" s="1077" t="s">
        <v>2816</v>
      </c>
      <c r="X2544" s="1077">
        <v>10</v>
      </c>
      <c r="Y2544" s="1077">
        <v>1.1000000000000001</v>
      </c>
      <c r="Z2544" s="1077" t="s">
        <v>648</v>
      </c>
      <c r="AA2544" s="1077" t="s">
        <v>7786</v>
      </c>
      <c r="AB2544" s="1077" t="s">
        <v>7813</v>
      </c>
      <c r="AH2544" s="1077" t="s">
        <v>1186</v>
      </c>
      <c r="AI2544" s="1077">
        <v>90.92</v>
      </c>
      <c r="AJ2544" s="1077">
        <v>-1.1000000000000001</v>
      </c>
      <c r="AK2544" s="1077">
        <v>6.36</v>
      </c>
      <c r="AM2544" s="1078" t="s">
        <v>14026</v>
      </c>
      <c r="AN2544" s="1078" t="s">
        <v>14027</v>
      </c>
      <c r="AO2544" s="1078">
        <f t="shared" si="318"/>
        <v>550</v>
      </c>
      <c r="AP2544" s="1078">
        <f t="shared" si="319"/>
        <v>1.7949999999999999</v>
      </c>
      <c r="AQ2544" s="1078" t="str">
        <f t="shared" si="320"/>
        <v>1-5-1S91°Z+S</v>
      </c>
      <c r="AR2544" s="1078" t="str">
        <f t="shared" si="321"/>
        <v>31</v>
      </c>
      <c r="AS2544" s="1078" t="str">
        <f t="shared" si="322"/>
        <v>285/285/155</v>
      </c>
      <c r="AT2544" s="1078" t="str">
        <f t="shared" si="323"/>
        <v>1-5-1S91°Z+S</v>
      </c>
      <c r="AU2544" s="1078" t="s">
        <v>15547</v>
      </c>
      <c r="AV2544" s="1078" t="str">
        <f t="shared" si="316"/>
        <v>113.4.3</v>
      </c>
      <c r="AW2544" s="1344">
        <f t="shared" si="317"/>
        <v>45385</v>
      </c>
    </row>
    <row r="2545" spans="1:49">
      <c r="A2545" s="1077" t="s">
        <v>7814</v>
      </c>
      <c r="B2545" s="1077" t="s">
        <v>6907</v>
      </c>
      <c r="C2545" s="1077">
        <v>600</v>
      </c>
      <c r="D2545" s="1077">
        <v>1.77</v>
      </c>
      <c r="E2545" s="1077" t="s">
        <v>15122</v>
      </c>
      <c r="F2545" s="1077" t="s">
        <v>975</v>
      </c>
      <c r="G2545" s="1077">
        <v>5</v>
      </c>
      <c r="H2545" s="1077" t="s">
        <v>5455</v>
      </c>
      <c r="I2545" s="1077" t="s">
        <v>6953</v>
      </c>
      <c r="K2545" s="1077" t="s">
        <v>7815</v>
      </c>
      <c r="L2545" s="1077" t="s">
        <v>4763</v>
      </c>
      <c r="M2545" s="1077">
        <v>310</v>
      </c>
      <c r="N2545" s="1077" t="s">
        <v>945</v>
      </c>
      <c r="O2545" s="1077">
        <v>7.75</v>
      </c>
      <c r="P2545" s="1077">
        <v>6.2</v>
      </c>
      <c r="Q2545" s="1077">
        <v>4</v>
      </c>
      <c r="R2545" s="1077">
        <v>24</v>
      </c>
      <c r="T2545" s="1077">
        <v>28</v>
      </c>
      <c r="U2545" s="1077">
        <v>4</v>
      </c>
      <c r="V2545" s="1077" t="s">
        <v>648</v>
      </c>
      <c r="W2545" s="1077" t="s">
        <v>6880</v>
      </c>
      <c r="X2545" s="1077">
        <v>40</v>
      </c>
      <c r="Y2545" s="1077">
        <v>1.5</v>
      </c>
      <c r="Z2545" s="1077" t="s">
        <v>648</v>
      </c>
      <c r="AA2545" s="1077" t="s">
        <v>1829</v>
      </c>
      <c r="AH2545" s="1077" t="s">
        <v>758</v>
      </c>
      <c r="AI2545" s="1077">
        <v>91.75</v>
      </c>
      <c r="AJ2545" s="1077">
        <v>-0.33</v>
      </c>
      <c r="AK2545" s="1077">
        <v>5.25</v>
      </c>
      <c r="AM2545" s="1078" t="s">
        <v>14028</v>
      </c>
      <c r="AN2545" s="1078" t="s">
        <v>14029</v>
      </c>
      <c r="AO2545" s="1078">
        <f t="shared" si="318"/>
        <v>600</v>
      </c>
      <c r="AP2545" s="1078">
        <f t="shared" si="319"/>
        <v>1.77</v>
      </c>
      <c r="AQ2545" s="1078" t="str">
        <f t="shared" si="320"/>
        <v>1-5-1S91°Z+S</v>
      </c>
      <c r="AR2545" s="1078" t="str">
        <f t="shared" si="321"/>
        <v>31.5</v>
      </c>
      <c r="AS2545" s="1078" t="str">
        <f t="shared" si="322"/>
        <v>340/310/OFF</v>
      </c>
      <c r="AT2545" s="1078" t="str">
        <f t="shared" si="323"/>
        <v>1-5-1S91°Z+S</v>
      </c>
      <c r="AU2545" s="1078" t="s">
        <v>15547</v>
      </c>
      <c r="AV2545" s="1078" t="str">
        <f t="shared" si="316"/>
        <v>113.4.15</v>
      </c>
      <c r="AW2545" s="1344">
        <f t="shared" si="317"/>
        <v>45397</v>
      </c>
    </row>
    <row r="2546" spans="1:49">
      <c r="A2546" s="1077" t="s">
        <v>7816</v>
      </c>
      <c r="B2546" s="1077" t="s">
        <v>717</v>
      </c>
      <c r="C2546" s="1077">
        <v>650</v>
      </c>
      <c r="D2546" s="1077">
        <v>1.79</v>
      </c>
      <c r="E2546" s="1077" t="s">
        <v>15112</v>
      </c>
      <c r="F2546" s="1077" t="s">
        <v>1469</v>
      </c>
      <c r="G2546" s="1077">
        <v>4</v>
      </c>
      <c r="H2546" s="1077" t="s">
        <v>6902</v>
      </c>
      <c r="I2546" s="1077" t="s">
        <v>7001</v>
      </c>
      <c r="K2546" s="1077" t="s">
        <v>7780</v>
      </c>
      <c r="L2546" s="1077" t="s">
        <v>7781</v>
      </c>
      <c r="M2546" s="1077">
        <v>303</v>
      </c>
      <c r="N2546" s="1077" t="s">
        <v>945</v>
      </c>
      <c r="O2546" s="1077">
        <v>7.5750000000000002</v>
      </c>
      <c r="P2546" s="1077">
        <v>6.0600000000000005</v>
      </c>
      <c r="Q2546" s="1077">
        <v>3.5</v>
      </c>
      <c r="R2546" s="1077">
        <v>24</v>
      </c>
      <c r="T2546" s="1077">
        <v>16</v>
      </c>
      <c r="U2546" s="1077">
        <v>3</v>
      </c>
      <c r="V2546" s="1077" t="s">
        <v>648</v>
      </c>
      <c r="W2546" s="1077">
        <v>90</v>
      </c>
      <c r="X2546" s="1077">
        <v>10</v>
      </c>
      <c r="Y2546" s="1077">
        <v>1.5</v>
      </c>
      <c r="Z2546" s="1077" t="s">
        <v>648</v>
      </c>
      <c r="AA2546" s="1077" t="s">
        <v>1829</v>
      </c>
      <c r="AH2546" s="1077" t="s">
        <v>877</v>
      </c>
      <c r="AI2546" s="1077">
        <v>73.34</v>
      </c>
      <c r="AJ2546" s="1077">
        <v>0.4</v>
      </c>
      <c r="AK2546" s="1077">
        <v>6.27</v>
      </c>
      <c r="AM2546" s="1078" t="s">
        <v>14030</v>
      </c>
      <c r="AN2546" s="1078" t="s">
        <v>14031</v>
      </c>
      <c r="AO2546" s="1078">
        <f t="shared" si="318"/>
        <v>650</v>
      </c>
      <c r="AP2546" s="1078">
        <f t="shared" si="319"/>
        <v>1.79</v>
      </c>
      <c r="AQ2546" s="1078" t="str">
        <f t="shared" si="320"/>
        <v>1-5-1S87°Z+S</v>
      </c>
      <c r="AR2546" s="1078" t="str">
        <f t="shared" si="321"/>
        <v>30.5</v>
      </c>
      <c r="AS2546" s="1078" t="str">
        <f t="shared" si="322"/>
        <v>310/310/190</v>
      </c>
      <c r="AT2546" s="1078" t="str">
        <f t="shared" si="323"/>
        <v>1-5-1S87°Z+S</v>
      </c>
      <c r="AU2546" s="1078" t="s">
        <v>15547</v>
      </c>
      <c r="AV2546" s="1078" t="str">
        <f t="shared" si="316"/>
        <v>113.4.15</v>
      </c>
      <c r="AW2546" s="1344">
        <f t="shared" si="317"/>
        <v>45397</v>
      </c>
    </row>
    <row r="2547" spans="1:49">
      <c r="A2547" s="1077" t="s">
        <v>7817</v>
      </c>
      <c r="B2547" s="1077" t="s">
        <v>714</v>
      </c>
      <c r="C2547" s="1077" t="s">
        <v>7818</v>
      </c>
      <c r="D2547" s="1077">
        <v>1.7769999999999999</v>
      </c>
      <c r="E2547" s="1077">
        <v>102.5</v>
      </c>
      <c r="F2547" s="1077" t="s">
        <v>4070</v>
      </c>
      <c r="G2547" s="1077">
        <v>5.5</v>
      </c>
      <c r="H2547" s="1077" t="s">
        <v>7819</v>
      </c>
      <c r="I2547" s="1077" t="s">
        <v>7820</v>
      </c>
      <c r="J2547" s="1077">
        <v>3.7</v>
      </c>
      <c r="K2547" s="1077" t="s">
        <v>7821</v>
      </c>
      <c r="L2547" s="1077" t="s">
        <v>4666</v>
      </c>
      <c r="M2547" s="1077">
        <v>295.10000000000002</v>
      </c>
      <c r="N2547" s="1077" t="s">
        <v>945</v>
      </c>
      <c r="O2547" s="1077">
        <v>7.3775000000000013</v>
      </c>
      <c r="P2547" s="1077">
        <v>5.9020000000000001</v>
      </c>
      <c r="Q2547" s="1077">
        <v>4</v>
      </c>
      <c r="R2547" s="1077">
        <v>17.399999999999999</v>
      </c>
      <c r="T2547" s="1077">
        <v>31</v>
      </c>
      <c r="U2547" s="1077">
        <v>3.5</v>
      </c>
      <c r="V2547" s="1077" t="s">
        <v>648</v>
      </c>
      <c r="W2547" s="1077">
        <v>100</v>
      </c>
      <c r="X2547" s="1077">
        <v>40</v>
      </c>
      <c r="Y2547" s="1077">
        <v>1</v>
      </c>
      <c r="Z2547" s="1077" t="s">
        <v>648</v>
      </c>
      <c r="AA2547" s="1077" t="s">
        <v>6528</v>
      </c>
      <c r="AH2547" s="1077" t="s">
        <v>830</v>
      </c>
      <c r="AI2547" s="1077">
        <v>94.63</v>
      </c>
      <c r="AJ2547" s="1077">
        <v>-0.65</v>
      </c>
      <c r="AK2547" s="1077">
        <v>1.57</v>
      </c>
      <c r="AM2547" s="1078" t="s">
        <v>14032</v>
      </c>
      <c r="AN2547" s="1078" t="s">
        <v>14033</v>
      </c>
      <c r="AO2547" s="1078" t="str">
        <f t="shared" si="318"/>
        <v>600↓550-5/23</v>
      </c>
      <c r="AP2547" s="1078">
        <f t="shared" si="319"/>
        <v>1.7769999999999999</v>
      </c>
      <c r="AQ2547" s="1078">
        <f t="shared" si="320"/>
        <v>102.5</v>
      </c>
      <c r="AR2547" s="1078" t="str">
        <f t="shared" si="321"/>
        <v>15.5</v>
      </c>
      <c r="AS2547" s="1078" t="str">
        <f t="shared" si="322"/>
        <v>480/440/OFF</v>
      </c>
      <c r="AT2547" s="1078">
        <f t="shared" si="323"/>
        <v>102.5</v>
      </c>
      <c r="AV2547" s="1078" t="str">
        <f t="shared" si="316"/>
        <v>113.4.16</v>
      </c>
      <c r="AW2547" s="1344">
        <f t="shared" si="317"/>
        <v>45398</v>
      </c>
    </row>
    <row r="2548" spans="1:49">
      <c r="A2548" s="1077" t="s">
        <v>7822</v>
      </c>
      <c r="B2548" s="1077" t="s">
        <v>7068</v>
      </c>
      <c r="C2548" s="1077">
        <v>500</v>
      </c>
      <c r="D2548" s="1077">
        <v>1.78</v>
      </c>
      <c r="E2548" s="1077" t="s">
        <v>15122</v>
      </c>
      <c r="F2548" s="1077" t="s">
        <v>975</v>
      </c>
      <c r="G2548" s="1077">
        <v>5</v>
      </c>
      <c r="H2548" s="1077" t="s">
        <v>1793</v>
      </c>
      <c r="I2548" s="1077" t="s">
        <v>7095</v>
      </c>
      <c r="K2548" s="1077" t="s">
        <v>7823</v>
      </c>
      <c r="L2548" s="1077" t="s">
        <v>5037</v>
      </c>
      <c r="M2548" s="1077">
        <v>293.2</v>
      </c>
      <c r="N2548" s="1077" t="s">
        <v>945</v>
      </c>
      <c r="O2548" s="1077">
        <v>7.33</v>
      </c>
      <c r="P2548" s="1077">
        <v>5.8639999999999999</v>
      </c>
      <c r="Q2548" s="1077">
        <v>3.5</v>
      </c>
      <c r="R2548" s="1077">
        <v>21</v>
      </c>
      <c r="T2548" s="1077">
        <v>25</v>
      </c>
      <c r="U2548" s="1077">
        <v>4.2</v>
      </c>
      <c r="V2548" s="1077" t="s">
        <v>648</v>
      </c>
      <c r="W2548" s="1077">
        <v>110</v>
      </c>
      <c r="X2548" s="1077">
        <v>20</v>
      </c>
      <c r="Y2548" s="1077">
        <v>1.6</v>
      </c>
      <c r="Z2548" s="1077" t="s">
        <v>648</v>
      </c>
      <c r="AA2548" s="1077" t="s">
        <v>6532</v>
      </c>
      <c r="AH2548" s="1077" t="s">
        <v>1186</v>
      </c>
      <c r="AI2548" s="1077">
        <v>15.12</v>
      </c>
      <c r="AJ2548" s="1077">
        <v>-7.0000000000000007E-2</v>
      </c>
      <c r="AK2548" s="1077">
        <v>0.49</v>
      </c>
      <c r="AM2548" s="1078" t="s">
        <v>14034</v>
      </c>
      <c r="AN2548" s="1078" t="s">
        <v>14035</v>
      </c>
      <c r="AO2548" s="1078">
        <f t="shared" si="318"/>
        <v>500</v>
      </c>
      <c r="AP2548" s="1078">
        <f t="shared" si="319"/>
        <v>1.78</v>
      </c>
      <c r="AQ2548" s="1078" t="str">
        <f t="shared" si="320"/>
        <v>1-5-1S91°Z+S</v>
      </c>
      <c r="AR2548" s="1078" t="str">
        <f t="shared" si="321"/>
        <v>31.5</v>
      </c>
      <c r="AS2548" s="1078" t="str">
        <f t="shared" si="322"/>
        <v>270/270/OFF</v>
      </c>
      <c r="AT2548" s="1078" t="str">
        <f t="shared" si="323"/>
        <v>1-5-1S91°Z+S</v>
      </c>
      <c r="AU2548" s="1078" t="s">
        <v>15547</v>
      </c>
      <c r="AV2548" s="1078" t="str">
        <f t="shared" si="316"/>
        <v>113.4.19</v>
      </c>
      <c r="AW2548" s="1344">
        <f t="shared" si="317"/>
        <v>45401</v>
      </c>
    </row>
    <row r="2549" spans="1:49">
      <c r="A2549" s="1077" t="s">
        <v>7824</v>
      </c>
      <c r="B2549" s="1077" t="s">
        <v>7214</v>
      </c>
      <c r="C2549" s="1077">
        <v>500</v>
      </c>
      <c r="D2549" s="1077">
        <v>1.7549999999999999</v>
      </c>
      <c r="E2549" s="1077" t="s">
        <v>15109</v>
      </c>
      <c r="F2549" s="1077" t="s">
        <v>648</v>
      </c>
      <c r="G2549" s="1077">
        <v>5</v>
      </c>
      <c r="H2549" s="1077" t="s">
        <v>7825</v>
      </c>
      <c r="I2549" s="1077" t="s">
        <v>7826</v>
      </c>
      <c r="J2549" s="1077">
        <v>3</v>
      </c>
      <c r="K2549" s="1077" t="s">
        <v>7827</v>
      </c>
      <c r="L2549" s="1077" t="s">
        <v>6043</v>
      </c>
      <c r="M2549" s="1077">
        <v>305</v>
      </c>
      <c r="N2549" s="1077" t="s">
        <v>945</v>
      </c>
      <c r="O2549" s="1077">
        <v>7.625</v>
      </c>
      <c r="P2549" s="1077">
        <v>6.1000000000000005</v>
      </c>
      <c r="Q2549" s="1077">
        <v>3.5</v>
      </c>
      <c r="R2549" s="1077">
        <v>21</v>
      </c>
      <c r="T2549" s="1077">
        <v>26</v>
      </c>
      <c r="U2549" s="1077">
        <v>3</v>
      </c>
      <c r="V2549" s="1077" t="s">
        <v>648</v>
      </c>
      <c r="W2549" s="1077">
        <v>30</v>
      </c>
      <c r="X2549" s="1077">
        <v>10</v>
      </c>
      <c r="Y2549" s="1077">
        <v>1.3</v>
      </c>
      <c r="Z2549" s="1077" t="s">
        <v>648</v>
      </c>
      <c r="AA2549" s="1077" t="s">
        <v>7828</v>
      </c>
      <c r="AH2549" s="1077" t="s">
        <v>646</v>
      </c>
      <c r="AI2549" s="1077">
        <v>94.86</v>
      </c>
      <c r="AJ2549" s="1077">
        <v>-0.48</v>
      </c>
      <c r="AK2549" s="1077">
        <v>1.6</v>
      </c>
      <c r="AM2549" s="1078" t="s">
        <v>14036</v>
      </c>
      <c r="AN2549" s="1078" t="s">
        <v>14037</v>
      </c>
      <c r="AO2549" s="1078">
        <f t="shared" si="318"/>
        <v>500</v>
      </c>
      <c r="AP2549" s="1078">
        <f t="shared" si="319"/>
        <v>1.7549999999999999</v>
      </c>
      <c r="AQ2549" s="1078" t="str">
        <f t="shared" si="320"/>
        <v>1-5-1S85°Z+S</v>
      </c>
      <c r="AR2549" s="1078" t="str">
        <f t="shared" si="321"/>
        <v>NA</v>
      </c>
      <c r="AS2549" s="1078" t="str">
        <f t="shared" si="322"/>
        <v>185/150</v>
      </c>
      <c r="AT2549" s="1078" t="str">
        <f t="shared" si="323"/>
        <v>1-5-1S85°Z+S</v>
      </c>
      <c r="AU2549" s="1078" t="s">
        <v>15547</v>
      </c>
      <c r="AV2549" s="1078" t="str">
        <f t="shared" si="316"/>
        <v>113.4.23</v>
      </c>
      <c r="AW2549" s="1344">
        <f t="shared" si="317"/>
        <v>45405</v>
      </c>
    </row>
    <row r="2550" spans="1:49">
      <c r="A2550" s="1077" t="s">
        <v>7829</v>
      </c>
      <c r="B2550" s="1077" t="s">
        <v>836</v>
      </c>
      <c r="C2550" s="1077">
        <v>600</v>
      </c>
      <c r="D2550" s="1077">
        <v>1.79</v>
      </c>
      <c r="E2550" s="1077" t="s">
        <v>15112</v>
      </c>
      <c r="F2550" s="1077" t="s">
        <v>1469</v>
      </c>
      <c r="G2550" s="1077">
        <v>4</v>
      </c>
      <c r="H2550" s="1077" t="s">
        <v>6902</v>
      </c>
      <c r="I2550" s="1077" t="s">
        <v>7001</v>
      </c>
      <c r="K2550" s="1077" t="s">
        <v>7830</v>
      </c>
      <c r="L2550" s="1077" t="s">
        <v>7831</v>
      </c>
      <c r="M2550" s="1077">
        <v>303</v>
      </c>
      <c r="N2550" s="1077" t="s">
        <v>945</v>
      </c>
      <c r="O2550" s="1077">
        <v>7.5750000000000002</v>
      </c>
      <c r="P2550" s="1077">
        <v>6.0600000000000005</v>
      </c>
      <c r="Q2550" s="1077">
        <v>3.5</v>
      </c>
      <c r="R2550" s="1077">
        <v>24</v>
      </c>
      <c r="T2550" s="1077">
        <v>16</v>
      </c>
      <c r="U2550" s="1077">
        <v>3</v>
      </c>
      <c r="V2550" s="1077" t="s">
        <v>648</v>
      </c>
      <c r="W2550" s="1077">
        <v>90</v>
      </c>
      <c r="X2550" s="1077">
        <v>10</v>
      </c>
      <c r="Y2550" s="1077">
        <v>1.5</v>
      </c>
      <c r="Z2550" s="1077" t="s">
        <v>648</v>
      </c>
      <c r="AA2550" s="1077" t="s">
        <v>7832</v>
      </c>
      <c r="AH2550" s="1077" t="s">
        <v>621</v>
      </c>
      <c r="AI2550" s="1077">
        <v>54.88</v>
      </c>
      <c r="AJ2550" s="1077">
        <v>1.54</v>
      </c>
      <c r="AK2550" s="1077">
        <v>4.28</v>
      </c>
      <c r="AM2550" s="1078" t="s">
        <v>14038</v>
      </c>
      <c r="AN2550" s="1078" t="s">
        <v>14039</v>
      </c>
      <c r="AO2550" s="1078">
        <f t="shared" si="318"/>
        <v>600</v>
      </c>
      <c r="AP2550" s="1078">
        <f t="shared" si="319"/>
        <v>1.79</v>
      </c>
      <c r="AQ2550" s="1078" t="str">
        <f t="shared" si="320"/>
        <v>1-5-1S87°Z+S</v>
      </c>
      <c r="AR2550" s="1078" t="str">
        <f t="shared" si="321"/>
        <v>30.5</v>
      </c>
      <c r="AS2550" s="1078" t="str">
        <f t="shared" si="322"/>
        <v>310/310/190</v>
      </c>
      <c r="AT2550" s="1078" t="str">
        <f t="shared" si="323"/>
        <v>1-5-1S87°Z+S</v>
      </c>
      <c r="AU2550" s="1078" t="s">
        <v>15547</v>
      </c>
      <c r="AV2550" s="1078" t="str">
        <f t="shared" si="316"/>
        <v>113.4.22</v>
      </c>
      <c r="AW2550" s="1344">
        <f t="shared" si="317"/>
        <v>45404</v>
      </c>
    </row>
    <row r="2551" spans="1:49">
      <c r="A2551" s="1077" t="s">
        <v>7833</v>
      </c>
      <c r="B2551" s="1077" t="s">
        <v>7261</v>
      </c>
      <c r="C2551" s="1077">
        <v>650</v>
      </c>
      <c r="D2551" s="1077">
        <v>1.79</v>
      </c>
      <c r="E2551" s="1077" t="s">
        <v>15112</v>
      </c>
      <c r="F2551" s="1077" t="s">
        <v>1469</v>
      </c>
      <c r="G2551" s="1077">
        <v>4</v>
      </c>
      <c r="H2551" s="1077" t="s">
        <v>6902</v>
      </c>
      <c r="I2551" s="1077" t="s">
        <v>7001</v>
      </c>
      <c r="K2551" s="1077" t="s">
        <v>7741</v>
      </c>
      <c r="L2551" s="1077" t="s">
        <v>7264</v>
      </c>
      <c r="M2551" s="1077">
        <v>303</v>
      </c>
      <c r="N2551" s="1077" t="s">
        <v>945</v>
      </c>
      <c r="O2551" s="1077">
        <v>7.5750000000000002</v>
      </c>
      <c r="P2551" s="1077">
        <v>6.0600000000000005</v>
      </c>
      <c r="Q2551" s="1077">
        <v>3.5</v>
      </c>
      <c r="R2551" s="1077">
        <v>24</v>
      </c>
      <c r="T2551" s="1077">
        <v>16</v>
      </c>
      <c r="U2551" s="1077">
        <v>3</v>
      </c>
      <c r="V2551" s="1077" t="s">
        <v>648</v>
      </c>
      <c r="W2551" s="1077">
        <v>90</v>
      </c>
      <c r="X2551" s="1077">
        <v>10</v>
      </c>
      <c r="Y2551" s="1077">
        <v>1.5</v>
      </c>
      <c r="Z2551" s="1077" t="s">
        <v>648</v>
      </c>
      <c r="AA2551" s="1077" t="s">
        <v>1852</v>
      </c>
      <c r="AH2551" s="1077" t="s">
        <v>1143</v>
      </c>
      <c r="AI2551" s="1077">
        <v>61.98</v>
      </c>
      <c r="AJ2551" s="1077">
        <v>3.96</v>
      </c>
      <c r="AK2551" s="1077">
        <v>14.76</v>
      </c>
      <c r="AM2551" s="1078" t="s">
        <v>14040</v>
      </c>
      <c r="AN2551" s="1078" t="s">
        <v>14041</v>
      </c>
      <c r="AO2551" s="1078">
        <f t="shared" si="318"/>
        <v>650</v>
      </c>
      <c r="AP2551" s="1078">
        <f t="shared" si="319"/>
        <v>1.79</v>
      </c>
      <c r="AQ2551" s="1078" t="str">
        <f t="shared" si="320"/>
        <v>1-5-1S87°Z+S</v>
      </c>
      <c r="AR2551" s="1078" t="str">
        <f t="shared" si="321"/>
        <v>30.5</v>
      </c>
      <c r="AS2551" s="1078" t="str">
        <f t="shared" si="322"/>
        <v>310/310/190</v>
      </c>
      <c r="AT2551" s="1078" t="str">
        <f t="shared" si="323"/>
        <v>1-5-1S87°Z+S</v>
      </c>
      <c r="AU2551" s="1078" t="s">
        <v>15547</v>
      </c>
      <c r="AV2551" s="1078" t="str">
        <f t="shared" si="316"/>
        <v>113.5.2</v>
      </c>
      <c r="AW2551" s="1344">
        <f t="shared" si="317"/>
        <v>45414</v>
      </c>
    </row>
    <row r="2552" spans="1:49">
      <c r="A2552" s="1077" t="s">
        <v>7834</v>
      </c>
      <c r="B2552" s="1077" t="s">
        <v>855</v>
      </c>
      <c r="C2552" s="1077">
        <v>500</v>
      </c>
      <c r="D2552" s="1077">
        <v>1.74</v>
      </c>
      <c r="E2552" s="1077" t="s">
        <v>15109</v>
      </c>
      <c r="F2552" s="1077" t="s">
        <v>648</v>
      </c>
      <c r="G2552" s="1077">
        <v>5.5</v>
      </c>
      <c r="H2552" s="1077" t="s">
        <v>2359</v>
      </c>
      <c r="I2552" s="1077" t="s">
        <v>7021</v>
      </c>
      <c r="K2552" s="1077" t="s">
        <v>7835</v>
      </c>
      <c r="L2552" s="1077" t="s">
        <v>7836</v>
      </c>
      <c r="M2552" s="1077">
        <v>295</v>
      </c>
      <c r="N2552" s="1077" t="s">
        <v>945</v>
      </c>
      <c r="O2552" s="1077">
        <v>7.375</v>
      </c>
      <c r="P2552" s="1077">
        <v>5.9</v>
      </c>
      <c r="Q2552" s="1077">
        <v>4</v>
      </c>
      <c r="R2552" s="1077">
        <v>19</v>
      </c>
      <c r="T2552" s="1077">
        <v>27.8</v>
      </c>
      <c r="U2552" s="1077">
        <v>3.9</v>
      </c>
      <c r="V2552" s="1077" t="s">
        <v>648</v>
      </c>
      <c r="W2552" s="1077">
        <v>125</v>
      </c>
      <c r="X2552" s="1077">
        <v>90</v>
      </c>
      <c r="Y2552" s="1077">
        <v>1.5</v>
      </c>
      <c r="Z2552" s="1077" t="s">
        <v>648</v>
      </c>
      <c r="AA2552" s="1077" t="s">
        <v>1865</v>
      </c>
      <c r="AH2552" s="1077" t="s">
        <v>853</v>
      </c>
      <c r="AI2552" s="1077">
        <v>90.91</v>
      </c>
      <c r="AJ2552" s="1077">
        <v>-0.06</v>
      </c>
      <c r="AK2552" s="1077">
        <v>1.1100000000000001</v>
      </c>
      <c r="AM2552" s="1078" t="s">
        <v>14042</v>
      </c>
      <c r="AN2552" s="1078" t="s">
        <v>14043</v>
      </c>
      <c r="AO2552" s="1078">
        <f t="shared" si="318"/>
        <v>500</v>
      </c>
      <c r="AP2552" s="1078">
        <f t="shared" si="319"/>
        <v>1.74</v>
      </c>
      <c r="AQ2552" s="1078" t="str">
        <f t="shared" si="320"/>
        <v>1-5-1S85°Z+S</v>
      </c>
      <c r="AR2552" s="1078" t="str">
        <f t="shared" si="321"/>
        <v>NA</v>
      </c>
      <c r="AS2552" s="1078" t="str">
        <f t="shared" si="322"/>
        <v>174/OFF</v>
      </c>
      <c r="AT2552" s="1078" t="str">
        <f t="shared" si="323"/>
        <v>1-5-1S85°Z+S</v>
      </c>
      <c r="AU2552" s="1078" t="s">
        <v>15547</v>
      </c>
      <c r="AV2552" s="1078" t="str">
        <f t="shared" si="316"/>
        <v>113.5.9</v>
      </c>
      <c r="AW2552" s="1344">
        <f t="shared" si="317"/>
        <v>45421</v>
      </c>
    </row>
    <row r="2553" spans="1:49">
      <c r="A2553" s="1077" t="s">
        <v>7837</v>
      </c>
      <c r="B2553" s="1077" t="s">
        <v>714</v>
      </c>
      <c r="C2553" s="1077">
        <v>650</v>
      </c>
      <c r="D2553" s="1077">
        <v>1.77</v>
      </c>
      <c r="E2553" s="1077" t="s">
        <v>15121</v>
      </c>
      <c r="F2553" s="1077" t="s">
        <v>648</v>
      </c>
      <c r="G2553" s="1077">
        <v>5</v>
      </c>
      <c r="H2553" s="1077" t="s">
        <v>7708</v>
      </c>
      <c r="I2553" s="1077" t="s">
        <v>7838</v>
      </c>
      <c r="J2553" s="1077">
        <v>3.7</v>
      </c>
      <c r="K2553" s="1077" t="s">
        <v>7839</v>
      </c>
      <c r="L2553" s="1077" t="s">
        <v>6291</v>
      </c>
      <c r="M2553" s="1077">
        <v>298.8</v>
      </c>
      <c r="N2553" s="1077" t="s">
        <v>945</v>
      </c>
      <c r="O2553" s="1077">
        <v>7.4700000000000006</v>
      </c>
      <c r="P2553" s="1077">
        <v>5.976</v>
      </c>
      <c r="Q2553" s="1077">
        <v>4</v>
      </c>
      <c r="R2553" s="1077">
        <v>20.5</v>
      </c>
      <c r="T2553" s="1077">
        <v>21</v>
      </c>
      <c r="U2553" s="1077">
        <v>3.5</v>
      </c>
      <c r="V2553" s="1077" t="s">
        <v>648</v>
      </c>
      <c r="W2553" s="1077">
        <v>20</v>
      </c>
      <c r="X2553" s="1077">
        <v>10</v>
      </c>
      <c r="Y2553" s="1077">
        <v>1.2</v>
      </c>
      <c r="Z2553" s="1077" t="s">
        <v>648</v>
      </c>
      <c r="AA2553" s="1077" t="s">
        <v>1683</v>
      </c>
      <c r="AH2553" s="1077" t="s">
        <v>948</v>
      </c>
      <c r="AI2553" s="1077">
        <v>91.26</v>
      </c>
      <c r="AJ2553" s="1077">
        <v>-0.19</v>
      </c>
      <c r="AK2553" s="1077">
        <v>1.39</v>
      </c>
      <c r="AM2553" s="1078" t="s">
        <v>14044</v>
      </c>
      <c r="AN2553" s="1078" t="s">
        <v>14045</v>
      </c>
      <c r="AO2553" s="1078">
        <f t="shared" si="318"/>
        <v>650</v>
      </c>
      <c r="AP2553" s="1078">
        <f t="shared" si="319"/>
        <v>1.77</v>
      </c>
      <c r="AQ2553" s="1078" t="str">
        <f t="shared" si="320"/>
        <v>1-5-1S85°S+Z</v>
      </c>
      <c r="AR2553" s="1078" t="str">
        <f t="shared" si="321"/>
        <v>NA</v>
      </c>
      <c r="AS2553" s="1078" t="str">
        <f t="shared" si="322"/>
        <v>179/173</v>
      </c>
      <c r="AT2553" s="1078" t="str">
        <f t="shared" si="323"/>
        <v>1-5-1S85°S+Z</v>
      </c>
      <c r="AU2553" s="1078" t="s">
        <v>15550</v>
      </c>
      <c r="AV2553" s="1078" t="str">
        <f t="shared" si="316"/>
        <v>113.5.8</v>
      </c>
      <c r="AW2553" s="1344">
        <f t="shared" si="317"/>
        <v>45420</v>
      </c>
    </row>
    <row r="2554" spans="1:49">
      <c r="A2554" s="1077" t="s">
        <v>7840</v>
      </c>
      <c r="B2554" s="1077" t="s">
        <v>775</v>
      </c>
      <c r="C2554" s="1077">
        <v>600</v>
      </c>
      <c r="D2554" s="1077">
        <v>1.79</v>
      </c>
      <c r="E2554" s="1077" t="s">
        <v>15112</v>
      </c>
      <c r="F2554" s="1077" t="s">
        <v>1469</v>
      </c>
      <c r="G2554" s="1077">
        <v>4</v>
      </c>
      <c r="H2554" s="1077" t="s">
        <v>6902</v>
      </c>
      <c r="I2554" s="1077" t="s">
        <v>7001</v>
      </c>
      <c r="K2554" s="1077" t="s">
        <v>7841</v>
      </c>
      <c r="L2554" s="1077" t="s">
        <v>7842</v>
      </c>
      <c r="M2554" s="1077">
        <v>303</v>
      </c>
      <c r="N2554" s="1077" t="s">
        <v>945</v>
      </c>
      <c r="O2554" s="1077">
        <v>7.5750000000000002</v>
      </c>
      <c r="P2554" s="1077">
        <v>6.0600000000000005</v>
      </c>
      <c r="Q2554" s="1077">
        <v>3.5</v>
      </c>
      <c r="R2554" s="1077">
        <v>24</v>
      </c>
      <c r="T2554" s="1077">
        <v>16</v>
      </c>
      <c r="U2554" s="1077">
        <v>3</v>
      </c>
      <c r="V2554" s="1077" t="s">
        <v>648</v>
      </c>
      <c r="W2554" s="1077">
        <v>90</v>
      </c>
      <c r="X2554" s="1077">
        <v>10</v>
      </c>
      <c r="Y2554" s="1077">
        <v>1.5</v>
      </c>
      <c r="Z2554" s="1077" t="s">
        <v>648</v>
      </c>
      <c r="AA2554" s="1077" t="s">
        <v>7843</v>
      </c>
      <c r="AH2554" s="1077" t="s">
        <v>762</v>
      </c>
      <c r="AI2554" s="1077">
        <v>58.05</v>
      </c>
      <c r="AJ2554" s="1077">
        <v>1.58</v>
      </c>
      <c r="AK2554" s="1077">
        <v>10.06</v>
      </c>
      <c r="AM2554" s="1078" t="s">
        <v>14046</v>
      </c>
      <c r="AN2554" s="1078" t="s">
        <v>14047</v>
      </c>
      <c r="AO2554" s="1078">
        <f t="shared" si="318"/>
        <v>600</v>
      </c>
      <c r="AP2554" s="1078">
        <f t="shared" si="319"/>
        <v>1.79</v>
      </c>
      <c r="AQ2554" s="1078" t="str">
        <f t="shared" si="320"/>
        <v>1-5-1S87°Z+S</v>
      </c>
      <c r="AR2554" s="1078" t="str">
        <f t="shared" si="321"/>
        <v>30.5</v>
      </c>
      <c r="AS2554" s="1078" t="str">
        <f t="shared" si="322"/>
        <v>310/310/190</v>
      </c>
      <c r="AT2554" s="1078" t="str">
        <f t="shared" si="323"/>
        <v>1-5-1S87°Z+S</v>
      </c>
      <c r="AU2554" s="1078" t="s">
        <v>15547</v>
      </c>
      <c r="AV2554" s="1078" t="str">
        <f t="shared" si="316"/>
        <v>113.5.16</v>
      </c>
      <c r="AW2554" s="1344">
        <f t="shared" si="317"/>
        <v>45428</v>
      </c>
    </row>
    <row r="2555" spans="1:49">
      <c r="A2555" s="1077" t="s">
        <v>7844</v>
      </c>
      <c r="B2555" s="1077" t="s">
        <v>663</v>
      </c>
      <c r="C2555" s="1077">
        <v>550</v>
      </c>
      <c r="D2555" s="1077">
        <v>1.7949999999999999</v>
      </c>
      <c r="E2555" s="1077" t="s">
        <v>15122</v>
      </c>
      <c r="F2555" s="1077" t="s">
        <v>954</v>
      </c>
      <c r="G2555" s="1077">
        <v>5</v>
      </c>
      <c r="H2555" s="1077" t="s">
        <v>7811</v>
      </c>
      <c r="I2555" s="1077" t="s">
        <v>6988</v>
      </c>
      <c r="K2555" s="1077" t="s">
        <v>7812</v>
      </c>
      <c r="L2555" s="1077" t="s">
        <v>6238</v>
      </c>
      <c r="M2555" s="1077">
        <v>296.39999999999998</v>
      </c>
      <c r="N2555" s="1077" t="s">
        <v>945</v>
      </c>
      <c r="O2555" s="1077">
        <v>7.41</v>
      </c>
      <c r="P2555" s="1077">
        <v>5.9279999999999999</v>
      </c>
      <c r="Q2555" s="1077">
        <v>3.5</v>
      </c>
      <c r="R2555" s="1077">
        <v>20</v>
      </c>
      <c r="T2555" s="1077">
        <v>14.7</v>
      </c>
      <c r="U2555" s="1077">
        <v>5.5</v>
      </c>
      <c r="V2555" s="1077" t="s">
        <v>648</v>
      </c>
      <c r="W2555" s="1077" t="s">
        <v>2816</v>
      </c>
      <c r="X2555" s="1077">
        <v>10</v>
      </c>
      <c r="Y2555" s="1077">
        <v>1.1000000000000001</v>
      </c>
      <c r="Z2555" s="1077" t="s">
        <v>648</v>
      </c>
      <c r="AA2555" s="1077" t="s">
        <v>1887</v>
      </c>
      <c r="AB2555" s="1077" t="s">
        <v>7845</v>
      </c>
      <c r="AH2555" s="1077" t="s">
        <v>990</v>
      </c>
      <c r="AI2555" s="1077">
        <v>90.43</v>
      </c>
      <c r="AJ2555" s="1077">
        <v>-1.56</v>
      </c>
      <c r="AK2555" s="1077">
        <v>6.83</v>
      </c>
      <c r="AM2555" s="1078" t="s">
        <v>14048</v>
      </c>
      <c r="AN2555" s="1078" t="s">
        <v>14049</v>
      </c>
      <c r="AO2555" s="1078">
        <f t="shared" si="318"/>
        <v>550</v>
      </c>
      <c r="AP2555" s="1078">
        <f t="shared" si="319"/>
        <v>1.7949999999999999</v>
      </c>
      <c r="AQ2555" s="1078" t="str">
        <f t="shared" si="320"/>
        <v>1-5-1S91°Z+S</v>
      </c>
      <c r="AR2555" s="1078" t="str">
        <f t="shared" si="321"/>
        <v>31</v>
      </c>
      <c r="AS2555" s="1078" t="str">
        <f t="shared" si="322"/>
        <v>285/285/155</v>
      </c>
      <c r="AT2555" s="1078" t="str">
        <f t="shared" si="323"/>
        <v>1-5-1S91°Z+S</v>
      </c>
      <c r="AU2555" s="1078" t="s">
        <v>15547</v>
      </c>
      <c r="AV2555" s="1078" t="str">
        <f t="shared" si="316"/>
        <v>113.5.22</v>
      </c>
      <c r="AW2555" s="1344">
        <f t="shared" si="317"/>
        <v>45434</v>
      </c>
    </row>
    <row r="2556" spans="1:49">
      <c r="A2556" s="1077" t="s">
        <v>7846</v>
      </c>
      <c r="B2556" s="1077" t="s">
        <v>836</v>
      </c>
      <c r="C2556" s="1077">
        <v>600</v>
      </c>
      <c r="D2556" s="1077">
        <v>1.79</v>
      </c>
      <c r="E2556" s="1077" t="s">
        <v>15112</v>
      </c>
      <c r="F2556" s="1077" t="s">
        <v>1469</v>
      </c>
      <c r="G2556" s="1077">
        <v>4</v>
      </c>
      <c r="H2556" s="1077" t="s">
        <v>6902</v>
      </c>
      <c r="I2556" s="1077" t="s">
        <v>7001</v>
      </c>
      <c r="K2556" s="1077" t="s">
        <v>7830</v>
      </c>
      <c r="L2556" s="1077" t="s">
        <v>7831</v>
      </c>
      <c r="M2556" s="1077">
        <v>303</v>
      </c>
      <c r="N2556" s="1077" t="s">
        <v>945</v>
      </c>
      <c r="O2556" s="1077">
        <v>7.5750000000000002</v>
      </c>
      <c r="P2556" s="1077">
        <v>6.0600000000000005</v>
      </c>
      <c r="Q2556" s="1077">
        <v>3.5</v>
      </c>
      <c r="R2556" s="1077">
        <v>24</v>
      </c>
      <c r="T2556" s="1077">
        <v>16</v>
      </c>
      <c r="U2556" s="1077">
        <v>3</v>
      </c>
      <c r="V2556" s="1077" t="s">
        <v>648</v>
      </c>
      <c r="W2556" s="1077">
        <v>90</v>
      </c>
      <c r="X2556" s="1077">
        <v>10</v>
      </c>
      <c r="Y2556" s="1077">
        <v>1.5</v>
      </c>
      <c r="Z2556" s="1077" t="s">
        <v>648</v>
      </c>
      <c r="AA2556" s="1077" t="s">
        <v>1693</v>
      </c>
      <c r="AH2556" s="1077" t="s">
        <v>758</v>
      </c>
      <c r="AI2556" s="1077">
        <v>55.35</v>
      </c>
      <c r="AJ2556" s="1077">
        <v>1.69</v>
      </c>
      <c r="AK2556" s="1077">
        <v>4.38</v>
      </c>
      <c r="AM2556" s="1078" t="s">
        <v>14050</v>
      </c>
      <c r="AN2556" s="1078" t="s">
        <v>14051</v>
      </c>
      <c r="AO2556" s="1078">
        <f t="shared" si="318"/>
        <v>600</v>
      </c>
      <c r="AP2556" s="1078">
        <f t="shared" si="319"/>
        <v>1.79</v>
      </c>
      <c r="AQ2556" s="1078" t="str">
        <f t="shared" si="320"/>
        <v>1-5-1S87°Z+S</v>
      </c>
      <c r="AR2556" s="1078" t="str">
        <f t="shared" si="321"/>
        <v>30.5</v>
      </c>
      <c r="AS2556" s="1078" t="str">
        <f t="shared" si="322"/>
        <v>310/310/190</v>
      </c>
      <c r="AT2556" s="1078" t="str">
        <f t="shared" si="323"/>
        <v>1-5-1S87°Z+S</v>
      </c>
      <c r="AU2556" s="1078" t="s">
        <v>15547</v>
      </c>
      <c r="AV2556" s="1078" t="str">
        <f t="shared" si="316"/>
        <v>113.5.24</v>
      </c>
      <c r="AW2556" s="1344">
        <f t="shared" si="317"/>
        <v>45436</v>
      </c>
    </row>
    <row r="2557" spans="1:49">
      <c r="A2557" s="1077" t="s">
        <v>7847</v>
      </c>
      <c r="B2557" s="1077" t="s">
        <v>6940</v>
      </c>
      <c r="C2557" s="1077">
        <v>500</v>
      </c>
      <c r="D2557" s="1077">
        <v>1.77</v>
      </c>
      <c r="E2557" s="1077" t="s">
        <v>15122</v>
      </c>
      <c r="F2557" s="1077" t="s">
        <v>984</v>
      </c>
      <c r="G2557" s="1077">
        <v>5</v>
      </c>
      <c r="H2557" s="1077" t="s">
        <v>955</v>
      </c>
      <c r="I2557" s="1077" t="s">
        <v>7105</v>
      </c>
      <c r="J2557" s="1077">
        <v>1</v>
      </c>
      <c r="K2557" s="1077" t="s">
        <v>7848</v>
      </c>
      <c r="L2557" s="1077" t="s">
        <v>4952</v>
      </c>
      <c r="M2557" s="1077">
        <v>308.39999999999998</v>
      </c>
      <c r="N2557" s="1077" t="s">
        <v>945</v>
      </c>
      <c r="O2557" s="1077">
        <v>7.71</v>
      </c>
      <c r="P2557" s="1077">
        <v>6.1679999999999993</v>
      </c>
      <c r="Q2557" s="1077">
        <v>2.8</v>
      </c>
      <c r="R2557" s="1077">
        <v>26</v>
      </c>
      <c r="T2557" s="1077">
        <v>14.5</v>
      </c>
      <c r="U2557" s="1077">
        <v>5</v>
      </c>
      <c r="V2557" s="1077" t="s">
        <v>648</v>
      </c>
      <c r="W2557" s="1077" t="s">
        <v>6990</v>
      </c>
      <c r="X2557" s="1077">
        <v>10</v>
      </c>
      <c r="Y2557" s="1077">
        <v>1.7</v>
      </c>
      <c r="Z2557" s="1077" t="s">
        <v>648</v>
      </c>
      <c r="AA2557" s="1077" t="s">
        <v>1894</v>
      </c>
      <c r="AB2557" s="1077" t="s">
        <v>7849</v>
      </c>
      <c r="AH2557" s="1077" t="s">
        <v>1238</v>
      </c>
      <c r="AI2557" s="1077">
        <v>15.01</v>
      </c>
      <c r="AJ2557" s="1077">
        <v>0.16</v>
      </c>
      <c r="AK2557" s="1077">
        <v>0.54</v>
      </c>
      <c r="AM2557" s="1078" t="s">
        <v>14052</v>
      </c>
      <c r="AN2557" s="1078" t="s">
        <v>14053</v>
      </c>
      <c r="AO2557" s="1078">
        <f t="shared" si="318"/>
        <v>500</v>
      </c>
      <c r="AP2557" s="1078">
        <f t="shared" si="319"/>
        <v>1.77</v>
      </c>
      <c r="AQ2557" s="1078" t="str">
        <f t="shared" si="320"/>
        <v>1-5-1S91°Z+S</v>
      </c>
      <c r="AR2557" s="1078" t="str">
        <f t="shared" si="321"/>
        <v>30</v>
      </c>
      <c r="AS2557" s="1078" t="str">
        <f t="shared" si="322"/>
        <v>260/260/OFF</v>
      </c>
      <c r="AT2557" s="1078" t="str">
        <f t="shared" si="323"/>
        <v>1-5-1S91°Z+S</v>
      </c>
      <c r="AU2557" s="1078" t="s">
        <v>15547</v>
      </c>
      <c r="AV2557" s="1078" t="str">
        <f t="shared" si="316"/>
        <v>113.5.27</v>
      </c>
      <c r="AW2557" s="1344">
        <f t="shared" si="317"/>
        <v>45439</v>
      </c>
    </row>
    <row r="2558" spans="1:49">
      <c r="A2558" s="1077" t="s">
        <v>7850</v>
      </c>
      <c r="B2558" s="1077" t="s">
        <v>7068</v>
      </c>
      <c r="C2558" s="1077">
        <v>500</v>
      </c>
      <c r="D2558" s="1077">
        <v>1.8</v>
      </c>
      <c r="E2558" s="1077" t="s">
        <v>15122</v>
      </c>
      <c r="F2558" s="1077" t="s">
        <v>975</v>
      </c>
      <c r="G2558" s="1077">
        <v>5</v>
      </c>
      <c r="H2558" s="1077" t="s">
        <v>7761</v>
      </c>
      <c r="I2558" s="1077" t="s">
        <v>7729</v>
      </c>
      <c r="K2558" s="1077" t="s">
        <v>7851</v>
      </c>
      <c r="L2558" s="1077" t="s">
        <v>5037</v>
      </c>
      <c r="M2558" s="1077">
        <v>295.5</v>
      </c>
      <c r="N2558" s="1077" t="s">
        <v>945</v>
      </c>
      <c r="O2558" s="1077">
        <v>7.3875000000000002</v>
      </c>
      <c r="P2558" s="1077">
        <v>5.91</v>
      </c>
      <c r="Q2558" s="1077">
        <v>3.5</v>
      </c>
      <c r="R2558" s="1077">
        <v>19.5</v>
      </c>
      <c r="T2558" s="1077">
        <v>20</v>
      </c>
      <c r="U2558" s="1077">
        <v>3.5</v>
      </c>
      <c r="V2558" s="1077" t="s">
        <v>648</v>
      </c>
      <c r="W2558" s="1077">
        <v>115</v>
      </c>
      <c r="X2558" s="1077">
        <v>90</v>
      </c>
      <c r="Y2558" s="1077">
        <v>1</v>
      </c>
      <c r="Z2558" s="1077" t="s">
        <v>648</v>
      </c>
      <c r="AA2558" s="1077" t="s">
        <v>1929</v>
      </c>
      <c r="AH2558" s="1077" t="s">
        <v>1186</v>
      </c>
      <c r="AI2558" s="1077">
        <v>14.06</v>
      </c>
      <c r="AJ2558" s="1077">
        <v>0.09</v>
      </c>
      <c r="AK2558" s="1077">
        <v>0.23</v>
      </c>
      <c r="AM2558" s="1078" t="s">
        <v>14054</v>
      </c>
      <c r="AN2558" s="1078" t="s">
        <v>14055</v>
      </c>
      <c r="AO2558" s="1078">
        <f t="shared" si="318"/>
        <v>500</v>
      </c>
      <c r="AP2558" s="1078">
        <f t="shared" si="319"/>
        <v>1.8</v>
      </c>
      <c r="AQ2558" s="1078" t="str">
        <f t="shared" si="320"/>
        <v>1-5-1S91°Z+S</v>
      </c>
      <c r="AR2558" s="1078" t="str">
        <f t="shared" si="321"/>
        <v>31.5</v>
      </c>
      <c r="AS2558" s="1078" t="str">
        <f t="shared" si="322"/>
        <v>290/290/150</v>
      </c>
      <c r="AT2558" s="1078" t="str">
        <f t="shared" si="323"/>
        <v>1-5-1S91°Z+S</v>
      </c>
      <c r="AU2558" s="1078" t="s">
        <v>15547</v>
      </c>
      <c r="AV2558" s="1078" t="str">
        <f t="shared" si="316"/>
        <v>113.5.31</v>
      </c>
      <c r="AW2558" s="1344">
        <f t="shared" si="317"/>
        <v>45443</v>
      </c>
    </row>
    <row r="2559" spans="1:49">
      <c r="A2559" s="1077" t="s">
        <v>7852</v>
      </c>
      <c r="B2559" s="1077" t="s">
        <v>467</v>
      </c>
      <c r="C2559" s="1077">
        <v>550</v>
      </c>
      <c r="D2559" s="1077">
        <v>1.7709999999999999</v>
      </c>
      <c r="E2559" s="1077">
        <v>102.5</v>
      </c>
      <c r="F2559" s="1077" t="s">
        <v>4070</v>
      </c>
      <c r="G2559" s="1077">
        <v>5.5</v>
      </c>
      <c r="H2559" s="1077" t="s">
        <v>7819</v>
      </c>
      <c r="I2559" s="1077" t="s">
        <v>7820</v>
      </c>
      <c r="J2559" s="1077">
        <v>3.7</v>
      </c>
      <c r="K2559" s="1077" t="s">
        <v>7853</v>
      </c>
      <c r="L2559" s="1077" t="s">
        <v>4666</v>
      </c>
      <c r="M2559" s="1077">
        <v>295.10000000000002</v>
      </c>
      <c r="N2559" s="1077" t="s">
        <v>945</v>
      </c>
      <c r="O2559" s="1077">
        <v>7.3775000000000013</v>
      </c>
      <c r="P2559" s="1077">
        <v>5.9020000000000001</v>
      </c>
      <c r="Q2559" s="1077">
        <v>4</v>
      </c>
      <c r="R2559" s="1077">
        <v>17.399999999999999</v>
      </c>
      <c r="T2559" s="1077">
        <v>31</v>
      </c>
      <c r="U2559" s="1077">
        <v>3.5</v>
      </c>
      <c r="V2559" s="1077" t="s">
        <v>648</v>
      </c>
      <c r="W2559" s="1077">
        <v>100</v>
      </c>
      <c r="X2559" s="1077">
        <v>40</v>
      </c>
      <c r="Y2559" s="1077">
        <v>1</v>
      </c>
      <c r="Z2559" s="1077" t="s">
        <v>648</v>
      </c>
      <c r="AA2559" s="1077" t="s">
        <v>1701</v>
      </c>
      <c r="AH2559" s="1077" t="s">
        <v>862</v>
      </c>
      <c r="AI2559" s="1077">
        <v>94.94</v>
      </c>
      <c r="AJ2559" s="1077">
        <v>-0.47</v>
      </c>
      <c r="AK2559" s="1077">
        <v>1.72</v>
      </c>
      <c r="AM2559" s="1078" t="s">
        <v>902</v>
      </c>
      <c r="AN2559" s="1078" t="s">
        <v>14056</v>
      </c>
      <c r="AO2559" s="1078">
        <f t="shared" si="318"/>
        <v>550</v>
      </c>
      <c r="AP2559" s="1078">
        <f t="shared" si="319"/>
        <v>1.7709999999999999</v>
      </c>
      <c r="AQ2559" s="1078">
        <f t="shared" si="320"/>
        <v>102.5</v>
      </c>
      <c r="AR2559" s="1078" t="str">
        <f t="shared" si="321"/>
        <v>15.5</v>
      </c>
      <c r="AS2559" s="1078" t="str">
        <f t="shared" si="322"/>
        <v>480/440/OFF</v>
      </c>
      <c r="AT2559" s="1078">
        <f t="shared" si="323"/>
        <v>102.5</v>
      </c>
      <c r="AV2559" s="1078" t="str">
        <f t="shared" si="316"/>
        <v>113.6.7</v>
      </c>
      <c r="AW2559" s="1344">
        <f t="shared" si="317"/>
        <v>45450</v>
      </c>
    </row>
    <row r="2560" spans="1:49">
      <c r="A2560" s="1077" t="s">
        <v>7854</v>
      </c>
      <c r="B2560" s="1077" t="s">
        <v>467</v>
      </c>
      <c r="C2560" s="1077">
        <v>650</v>
      </c>
      <c r="D2560" s="1077">
        <v>1.8049999999999999</v>
      </c>
      <c r="E2560" s="1077" t="s">
        <v>15109</v>
      </c>
      <c r="F2560" s="1077" t="s">
        <v>648</v>
      </c>
      <c r="G2560" s="1077" t="s">
        <v>6865</v>
      </c>
      <c r="H2560" s="1077" t="s">
        <v>7522</v>
      </c>
      <c r="I2560" s="1077" t="s">
        <v>6967</v>
      </c>
      <c r="J2560" s="1077">
        <v>3.7</v>
      </c>
      <c r="K2560" s="1077" t="s">
        <v>7855</v>
      </c>
      <c r="L2560" s="1077" t="s">
        <v>4666</v>
      </c>
      <c r="M2560" s="1077">
        <v>295.10000000000002</v>
      </c>
      <c r="N2560" s="1077" t="s">
        <v>945</v>
      </c>
      <c r="O2560" s="1077">
        <v>7.3775000000000013</v>
      </c>
      <c r="P2560" s="1077">
        <v>5.9020000000000001</v>
      </c>
      <c r="Q2560" s="1077">
        <v>4</v>
      </c>
      <c r="R2560" s="1077">
        <v>17.399999999999999</v>
      </c>
      <c r="T2560" s="1077">
        <v>31</v>
      </c>
      <c r="U2560" s="1077">
        <v>3.5</v>
      </c>
      <c r="V2560" s="1077" t="s">
        <v>648</v>
      </c>
      <c r="W2560" s="1077" t="s">
        <v>6880</v>
      </c>
      <c r="X2560" s="1077">
        <v>40</v>
      </c>
      <c r="Y2560" s="1077">
        <v>1</v>
      </c>
      <c r="Z2560" s="1077" t="s">
        <v>648</v>
      </c>
      <c r="AA2560" s="1077" t="s">
        <v>7856</v>
      </c>
      <c r="AH2560" s="1077" t="s">
        <v>785</v>
      </c>
      <c r="AI2560" s="1077">
        <v>95.37</v>
      </c>
      <c r="AJ2560" s="1077">
        <v>-0.75</v>
      </c>
      <c r="AK2560" s="1077">
        <v>1.64</v>
      </c>
      <c r="AM2560" s="1078" t="s">
        <v>14057</v>
      </c>
      <c r="AN2560" s="1078" t="s">
        <v>14058</v>
      </c>
      <c r="AO2560" s="1078">
        <f t="shared" si="318"/>
        <v>650</v>
      </c>
      <c r="AP2560" s="1078">
        <f t="shared" si="319"/>
        <v>1.8049999999999999</v>
      </c>
      <c r="AQ2560" s="1078" t="str">
        <f t="shared" si="320"/>
        <v>1-5-1S85°Z+S</v>
      </c>
      <c r="AR2560" s="1078" t="str">
        <f t="shared" si="321"/>
        <v>NA</v>
      </c>
      <c r="AS2560" s="1078" t="str">
        <f t="shared" si="322"/>
        <v>202/OFF</v>
      </c>
      <c r="AT2560" s="1078" t="str">
        <f t="shared" si="323"/>
        <v>1-5-1S85°Z+S</v>
      </c>
      <c r="AU2560" s="1078" t="s">
        <v>15547</v>
      </c>
      <c r="AV2560" s="1078" t="str">
        <f t="shared" si="316"/>
        <v>113.6.14</v>
      </c>
      <c r="AW2560" s="1344">
        <f t="shared" si="317"/>
        <v>45457</v>
      </c>
    </row>
    <row r="2561" spans="1:49">
      <c r="A2561" s="1077" t="s">
        <v>7857</v>
      </c>
      <c r="B2561" s="1077" t="s">
        <v>7214</v>
      </c>
      <c r="C2561" s="1077">
        <v>500</v>
      </c>
      <c r="D2561" s="1077">
        <v>1.75</v>
      </c>
      <c r="E2561" s="1077" t="s">
        <v>15109</v>
      </c>
      <c r="F2561" s="1077" t="s">
        <v>648</v>
      </c>
      <c r="G2561" s="1077">
        <v>5</v>
      </c>
      <c r="H2561" s="1077" t="s">
        <v>1188</v>
      </c>
      <c r="I2561" s="1077" t="s">
        <v>7858</v>
      </c>
      <c r="J2561" s="1077">
        <v>3</v>
      </c>
      <c r="K2561" s="1077" t="s">
        <v>7827</v>
      </c>
      <c r="L2561" s="1077" t="s">
        <v>6043</v>
      </c>
      <c r="M2561" s="1077">
        <v>308</v>
      </c>
      <c r="N2561" s="1077" t="s">
        <v>945</v>
      </c>
      <c r="O2561" s="1077">
        <v>7.7</v>
      </c>
      <c r="P2561" s="1077">
        <v>6.16</v>
      </c>
      <c r="Q2561" s="1077">
        <v>4</v>
      </c>
      <c r="R2561" s="1077">
        <v>22</v>
      </c>
      <c r="T2561" s="1077">
        <v>23.5</v>
      </c>
      <c r="U2561" s="1077">
        <v>4</v>
      </c>
      <c r="V2561" s="1077" t="s">
        <v>648</v>
      </c>
      <c r="W2561" s="1077">
        <v>135</v>
      </c>
      <c r="X2561" s="1077">
        <v>90</v>
      </c>
      <c r="Y2561" s="1077">
        <v>1.4</v>
      </c>
      <c r="Z2561" s="1077" t="s">
        <v>648</v>
      </c>
      <c r="AA2561" s="1077" t="s">
        <v>1711</v>
      </c>
      <c r="AH2561" s="1077" t="s">
        <v>948</v>
      </c>
      <c r="AI2561" s="1077">
        <v>94.89</v>
      </c>
      <c r="AJ2561" s="1077">
        <v>-0.36</v>
      </c>
      <c r="AK2561" s="1077">
        <v>1.45</v>
      </c>
      <c r="AM2561" s="1078" t="s">
        <v>14059</v>
      </c>
      <c r="AN2561" s="1078" t="s">
        <v>14060</v>
      </c>
      <c r="AO2561" s="1078">
        <f t="shared" si="318"/>
        <v>500</v>
      </c>
      <c r="AP2561" s="1078">
        <f t="shared" si="319"/>
        <v>1.75</v>
      </c>
      <c r="AQ2561" s="1078" t="str">
        <f t="shared" si="320"/>
        <v>1-5-1S85°Z+S</v>
      </c>
      <c r="AR2561" s="1078" t="str">
        <f t="shared" si="321"/>
        <v>NA</v>
      </c>
      <c r="AS2561" s="1078" t="str">
        <f t="shared" si="322"/>
        <v>177/OFF</v>
      </c>
      <c r="AT2561" s="1078" t="str">
        <f t="shared" si="323"/>
        <v>1-5-1S85°Z+S</v>
      </c>
      <c r="AU2561" s="1078" t="s">
        <v>15547</v>
      </c>
      <c r="AV2561" s="1078" t="str">
        <f t="shared" si="316"/>
        <v>113.7.1</v>
      </c>
      <c r="AW2561" s="1344">
        <f t="shared" si="317"/>
        <v>45474</v>
      </c>
    </row>
    <row r="2562" spans="1:49">
      <c r="A2562" s="1077" t="s">
        <v>7859</v>
      </c>
      <c r="B2562" s="1077" t="s">
        <v>7055</v>
      </c>
      <c r="C2562" s="1077">
        <v>600</v>
      </c>
      <c r="D2562" s="1077">
        <v>1.78</v>
      </c>
      <c r="E2562" s="1077" t="s">
        <v>15121</v>
      </c>
      <c r="F2562" s="1077" t="s">
        <v>984</v>
      </c>
      <c r="G2562" s="1077">
        <v>5.5</v>
      </c>
      <c r="H2562" s="1077" t="s">
        <v>1470</v>
      </c>
      <c r="I2562" s="1077" t="s">
        <v>7001</v>
      </c>
      <c r="J2562" s="1077">
        <v>3</v>
      </c>
      <c r="K2562" s="1077" t="s">
        <v>7860</v>
      </c>
      <c r="L2562" s="1077" t="s">
        <v>5159</v>
      </c>
      <c r="M2562" s="1077">
        <v>296</v>
      </c>
      <c r="N2562" s="1077" t="s">
        <v>945</v>
      </c>
      <c r="O2562" s="1077">
        <v>7.4</v>
      </c>
      <c r="P2562" s="1077">
        <v>5.92</v>
      </c>
      <c r="Q2562" s="1077">
        <v>3</v>
      </c>
      <c r="R2562" s="1077">
        <v>27</v>
      </c>
      <c r="T2562" s="1077">
        <v>17.5</v>
      </c>
      <c r="U2562" s="1077">
        <v>6</v>
      </c>
      <c r="V2562" s="1077" t="s">
        <v>648</v>
      </c>
      <c r="W2562" s="1077">
        <v>90</v>
      </c>
      <c r="X2562" s="1077">
        <v>10</v>
      </c>
      <c r="Y2562" s="1077">
        <v>1.2</v>
      </c>
      <c r="Z2562" s="1077" t="s">
        <v>648</v>
      </c>
      <c r="AA2562" s="1077" t="s">
        <v>7861</v>
      </c>
      <c r="AH2562" s="1077" t="s">
        <v>783</v>
      </c>
      <c r="AI2562" s="1077">
        <v>93.02</v>
      </c>
      <c r="AJ2562" s="1077">
        <v>-0.96</v>
      </c>
      <c r="AK2562" s="1077">
        <v>7.28</v>
      </c>
      <c r="AM2562" s="1078" t="s">
        <v>14061</v>
      </c>
      <c r="AN2562" s="1078" t="s">
        <v>14062</v>
      </c>
      <c r="AO2562" s="1078">
        <f t="shared" si="318"/>
        <v>600</v>
      </c>
      <c r="AP2562" s="1078">
        <f t="shared" si="319"/>
        <v>1.78</v>
      </c>
      <c r="AQ2562" s="1078" t="str">
        <f t="shared" si="320"/>
        <v>1-5-1S85°S+Z</v>
      </c>
      <c r="AR2562" s="1078" t="str">
        <f t="shared" si="321"/>
        <v>30</v>
      </c>
      <c r="AS2562" s="1078" t="str">
        <f t="shared" si="322"/>
        <v>160/OFF</v>
      </c>
      <c r="AT2562" s="1078" t="str">
        <f t="shared" si="323"/>
        <v>1-5-1S85°S+Z</v>
      </c>
      <c r="AU2562" s="1078" t="s">
        <v>15550</v>
      </c>
      <c r="AV2562" s="1078" t="str">
        <f t="shared" ref="AV2562:AV2625" si="324">AA2562</f>
        <v>113.6.27</v>
      </c>
      <c r="AW2562" s="1344">
        <f t="shared" si="317"/>
        <v>45470</v>
      </c>
    </row>
    <row r="2563" spans="1:49">
      <c r="A2563" s="1077" t="s">
        <v>7862</v>
      </c>
      <c r="B2563" s="1077" t="s">
        <v>467</v>
      </c>
      <c r="C2563" s="1077">
        <v>650</v>
      </c>
      <c r="D2563" s="1077">
        <v>1.79</v>
      </c>
      <c r="E2563" s="1077" t="s">
        <v>15109</v>
      </c>
      <c r="F2563" s="1077" t="s">
        <v>648</v>
      </c>
      <c r="G2563" s="1077" t="s">
        <v>6865</v>
      </c>
      <c r="H2563" s="1077" t="s">
        <v>7863</v>
      </c>
      <c r="I2563" s="1077" t="s">
        <v>7864</v>
      </c>
      <c r="J2563" s="1077">
        <v>3.7</v>
      </c>
      <c r="K2563" s="1077" t="s">
        <v>7865</v>
      </c>
      <c r="L2563" s="1077" t="s">
        <v>4666</v>
      </c>
      <c r="M2563" s="1077">
        <v>295.10000000000002</v>
      </c>
      <c r="N2563" s="1077" t="s">
        <v>945</v>
      </c>
      <c r="O2563" s="1077">
        <v>7.3775000000000013</v>
      </c>
      <c r="P2563" s="1077">
        <v>5.9020000000000001</v>
      </c>
      <c r="Q2563" s="1077">
        <v>4</v>
      </c>
      <c r="R2563" s="1077">
        <v>17.399999999999999</v>
      </c>
      <c r="T2563" s="1077">
        <v>31</v>
      </c>
      <c r="U2563" s="1077">
        <v>3.5</v>
      </c>
      <c r="V2563" s="1077" t="s">
        <v>648</v>
      </c>
      <c r="W2563" s="1077" t="s">
        <v>6880</v>
      </c>
      <c r="X2563" s="1077">
        <v>40</v>
      </c>
      <c r="Y2563" s="1077">
        <v>1</v>
      </c>
      <c r="Z2563" s="1077" t="s">
        <v>648</v>
      </c>
      <c r="AA2563" s="1077" t="s">
        <v>7856</v>
      </c>
      <c r="AH2563" s="1077" t="s">
        <v>647</v>
      </c>
      <c r="AI2563" s="1077">
        <v>94.79</v>
      </c>
      <c r="AJ2563" s="1077">
        <v>-0.34</v>
      </c>
      <c r="AK2563" s="1077">
        <v>1.31</v>
      </c>
      <c r="AM2563" s="1078" t="s">
        <v>14063</v>
      </c>
      <c r="AN2563" s="1078" t="s">
        <v>14064</v>
      </c>
      <c r="AO2563" s="1078">
        <f t="shared" si="318"/>
        <v>650</v>
      </c>
      <c r="AP2563" s="1078">
        <f t="shared" si="319"/>
        <v>1.79</v>
      </c>
      <c r="AQ2563" s="1078" t="str">
        <f t="shared" si="320"/>
        <v>1-5-1S85°Z+S</v>
      </c>
      <c r="AR2563" s="1078" t="str">
        <f t="shared" si="321"/>
        <v>NA</v>
      </c>
      <c r="AS2563" s="1078" t="str">
        <f t="shared" si="322"/>
        <v>204/OFF</v>
      </c>
      <c r="AT2563" s="1078" t="str">
        <f t="shared" si="323"/>
        <v>1-5-1S85°Z+S</v>
      </c>
      <c r="AU2563" s="1078" t="s">
        <v>15547</v>
      </c>
      <c r="AV2563" s="1078" t="str">
        <f t="shared" si="324"/>
        <v>113.6.14</v>
      </c>
      <c r="AW2563" s="1344">
        <f t="shared" ref="AW2563:AW2626" si="325">DATE(VALUE(LEFT(AV2563,FIND(".",AV2563)-1))+1911,
       VALUE(MID(AV2563,FIND(".",AV2563)+1,FIND(".",AV2563,FIND(".",AV2563)+1)-FIND(".",AV2563)-1)),
       VALUE(RIGHT(AV2563,LEN(AV2563)-FIND("~",SUBSTITUTE(AV2563,".","~",2)))))</f>
        <v>45457</v>
      </c>
    </row>
    <row r="2564" spans="1:49">
      <c r="A2564" s="1077" t="s">
        <v>7866</v>
      </c>
      <c r="B2564" s="1077" t="s">
        <v>7055</v>
      </c>
      <c r="C2564" s="1077">
        <v>600</v>
      </c>
      <c r="D2564" s="1077">
        <v>1.77</v>
      </c>
      <c r="E2564" s="1077" t="s">
        <v>15121</v>
      </c>
      <c r="F2564" s="1077" t="s">
        <v>984</v>
      </c>
      <c r="G2564" s="1077">
        <v>5.5</v>
      </c>
      <c r="H2564" s="1077" t="s">
        <v>2039</v>
      </c>
      <c r="I2564" s="1077" t="s">
        <v>7001</v>
      </c>
      <c r="J2564" s="1077">
        <v>3</v>
      </c>
      <c r="K2564" s="1077" t="s">
        <v>7867</v>
      </c>
      <c r="L2564" s="1077" t="s">
        <v>4946</v>
      </c>
      <c r="M2564" s="1077">
        <v>296</v>
      </c>
      <c r="N2564" s="1077" t="s">
        <v>945</v>
      </c>
      <c r="O2564" s="1077">
        <v>7.4</v>
      </c>
      <c r="P2564" s="1077">
        <v>5.92</v>
      </c>
      <c r="Q2564" s="1077">
        <v>3</v>
      </c>
      <c r="R2564" s="1077">
        <v>27</v>
      </c>
      <c r="T2564" s="1077">
        <v>17.5</v>
      </c>
      <c r="U2564" s="1077">
        <v>6</v>
      </c>
      <c r="V2564" s="1077" t="s">
        <v>648</v>
      </c>
      <c r="W2564" s="1077">
        <v>90</v>
      </c>
      <c r="X2564" s="1077">
        <v>10</v>
      </c>
      <c r="Y2564" s="1077">
        <v>1.2</v>
      </c>
      <c r="Z2564" s="1077" t="s">
        <v>648</v>
      </c>
      <c r="AA2564" s="1077" t="s">
        <v>7868</v>
      </c>
      <c r="AH2564" s="1077" t="s">
        <v>3830</v>
      </c>
      <c r="AI2564" s="1077">
        <v>93.72</v>
      </c>
      <c r="AJ2564" s="1077">
        <v>-1.41</v>
      </c>
      <c r="AK2564" s="1077">
        <v>7.67</v>
      </c>
      <c r="AM2564" s="1078" t="s">
        <v>14065</v>
      </c>
      <c r="AN2564" s="1078" t="s">
        <v>14066</v>
      </c>
      <c r="AO2564" s="1078">
        <f t="shared" si="318"/>
        <v>600</v>
      </c>
      <c r="AP2564" s="1078">
        <f t="shared" si="319"/>
        <v>1.77</v>
      </c>
      <c r="AQ2564" s="1078" t="str">
        <f t="shared" si="320"/>
        <v>1-5-1S85°S+Z</v>
      </c>
      <c r="AR2564" s="1078" t="str">
        <f t="shared" si="321"/>
        <v>30</v>
      </c>
      <c r="AS2564" s="1078" t="str">
        <f t="shared" si="322"/>
        <v>162/OFF</v>
      </c>
      <c r="AT2564" s="1078" t="str">
        <f t="shared" si="323"/>
        <v>1-5-1S85°S+Z</v>
      </c>
      <c r="AU2564" s="1078" t="s">
        <v>15550</v>
      </c>
      <c r="AV2564" s="1078" t="str">
        <f t="shared" si="324"/>
        <v>113.7.5</v>
      </c>
      <c r="AW2564" s="1344">
        <f t="shared" si="325"/>
        <v>45478</v>
      </c>
    </row>
    <row r="2565" spans="1:49">
      <c r="A2565" s="1077" t="s">
        <v>7869</v>
      </c>
      <c r="B2565" s="1077" t="s">
        <v>7068</v>
      </c>
      <c r="C2565" s="1077">
        <v>500</v>
      </c>
      <c r="D2565" s="1077">
        <v>1.8</v>
      </c>
      <c r="E2565" s="1077" t="s">
        <v>15122</v>
      </c>
      <c r="F2565" s="1077" t="s">
        <v>975</v>
      </c>
      <c r="G2565" s="1077">
        <v>5</v>
      </c>
      <c r="H2565" s="1077" t="s">
        <v>7761</v>
      </c>
      <c r="I2565" s="1077" t="s">
        <v>7729</v>
      </c>
      <c r="K2565" s="1077" t="s">
        <v>7851</v>
      </c>
      <c r="L2565" s="1077" t="s">
        <v>5037</v>
      </c>
      <c r="M2565" s="1077">
        <v>295.5</v>
      </c>
      <c r="N2565" s="1077" t="s">
        <v>945</v>
      </c>
      <c r="O2565" s="1077">
        <v>7.3875000000000002</v>
      </c>
      <c r="P2565" s="1077">
        <v>5.91</v>
      </c>
      <c r="Q2565" s="1077">
        <v>3.5</v>
      </c>
      <c r="R2565" s="1077">
        <v>19.5</v>
      </c>
      <c r="T2565" s="1077">
        <v>20</v>
      </c>
      <c r="U2565" s="1077">
        <v>3.5</v>
      </c>
      <c r="V2565" s="1077" t="s">
        <v>648</v>
      </c>
      <c r="W2565" s="1077">
        <v>115</v>
      </c>
      <c r="X2565" s="1077">
        <v>90</v>
      </c>
      <c r="Y2565" s="1077">
        <v>1</v>
      </c>
      <c r="Z2565" s="1077" t="s">
        <v>648</v>
      </c>
      <c r="AA2565" s="1077" t="s">
        <v>1989</v>
      </c>
      <c r="AH2565" s="1077" t="s">
        <v>889</v>
      </c>
      <c r="AI2565" s="1077">
        <v>15.33</v>
      </c>
      <c r="AJ2565" s="1077">
        <v>0.19</v>
      </c>
      <c r="AK2565" s="1077">
        <v>0.46</v>
      </c>
      <c r="AM2565" s="1078" t="s">
        <v>14067</v>
      </c>
      <c r="AN2565" s="1078" t="s">
        <v>14068</v>
      </c>
      <c r="AO2565" s="1078">
        <f t="shared" si="318"/>
        <v>500</v>
      </c>
      <c r="AP2565" s="1078">
        <f t="shared" si="319"/>
        <v>1.8</v>
      </c>
      <c r="AQ2565" s="1078" t="str">
        <f t="shared" si="320"/>
        <v>1-5-1S91°Z+S</v>
      </c>
      <c r="AR2565" s="1078" t="str">
        <f t="shared" si="321"/>
        <v>31.5</v>
      </c>
      <c r="AS2565" s="1078" t="str">
        <f t="shared" si="322"/>
        <v>290/290/150</v>
      </c>
      <c r="AT2565" s="1078" t="str">
        <f t="shared" si="323"/>
        <v>1-5-1S91°Z+S</v>
      </c>
      <c r="AU2565" s="1078" t="s">
        <v>15547</v>
      </c>
      <c r="AV2565" s="1078" t="str">
        <f t="shared" si="324"/>
        <v>113.7.26</v>
      </c>
      <c r="AW2565" s="1344">
        <f t="shared" si="325"/>
        <v>45499</v>
      </c>
    </row>
    <row r="2566" spans="1:49">
      <c r="A2566" s="1077" t="s">
        <v>7870</v>
      </c>
      <c r="B2566" s="1077" t="s">
        <v>7871</v>
      </c>
      <c r="C2566" s="1077">
        <v>650</v>
      </c>
      <c r="D2566" s="1077">
        <v>1.78</v>
      </c>
      <c r="E2566" s="1077" t="s">
        <v>15121</v>
      </c>
      <c r="F2566" s="1077" t="s">
        <v>648</v>
      </c>
      <c r="G2566" s="1077">
        <v>5.5</v>
      </c>
      <c r="H2566" s="1077" t="s">
        <v>3482</v>
      </c>
      <c r="I2566" s="1077" t="s">
        <v>7872</v>
      </c>
      <c r="K2566" s="1077" t="s">
        <v>7873</v>
      </c>
      <c r="L2566" s="1077" t="s">
        <v>6153</v>
      </c>
      <c r="M2566" s="1077">
        <v>296</v>
      </c>
      <c r="N2566" s="1077" t="s">
        <v>945</v>
      </c>
      <c r="O2566" s="1077">
        <v>7.4</v>
      </c>
      <c r="P2566" s="1077">
        <v>5.92</v>
      </c>
      <c r="Q2566" s="1077">
        <v>3</v>
      </c>
      <c r="R2566" s="1077">
        <v>17</v>
      </c>
      <c r="T2566" s="1077">
        <v>10.5</v>
      </c>
      <c r="U2566" s="1077">
        <v>6.1</v>
      </c>
      <c r="V2566" s="1077" t="s">
        <v>648</v>
      </c>
      <c r="W2566" s="1077">
        <v>110</v>
      </c>
      <c r="X2566" s="1077">
        <v>90</v>
      </c>
      <c r="Y2566" s="1077">
        <v>1.1000000000000001</v>
      </c>
      <c r="Z2566" s="1077" t="s">
        <v>648</v>
      </c>
      <c r="AA2566" s="1077" t="s">
        <v>1980</v>
      </c>
      <c r="AB2566" s="1077" t="s">
        <v>7874</v>
      </c>
      <c r="AH2566" s="1077" t="s">
        <v>785</v>
      </c>
      <c r="AI2566" s="1077">
        <v>90.73</v>
      </c>
      <c r="AJ2566" s="1077">
        <v>-1.51</v>
      </c>
      <c r="AK2566" s="1077">
        <v>6.7</v>
      </c>
      <c r="AM2566" s="1078" t="s">
        <v>14069</v>
      </c>
      <c r="AN2566" s="1078" t="s">
        <v>14070</v>
      </c>
      <c r="AO2566" s="1078">
        <f t="shared" si="318"/>
        <v>650</v>
      </c>
      <c r="AP2566" s="1078">
        <f t="shared" si="319"/>
        <v>1.78</v>
      </c>
      <c r="AQ2566" s="1078" t="str">
        <f t="shared" si="320"/>
        <v>1-5-1S85°S+Z</v>
      </c>
      <c r="AR2566" s="1078" t="str">
        <f t="shared" si="321"/>
        <v>NA</v>
      </c>
      <c r="AS2566" s="1078" t="str">
        <f t="shared" si="322"/>
        <v>170/160</v>
      </c>
      <c r="AT2566" s="1078" t="str">
        <f t="shared" si="323"/>
        <v>1-5-1S85°S+Z</v>
      </c>
      <c r="AU2566" s="1078" t="s">
        <v>15550</v>
      </c>
      <c r="AV2566" s="1078" t="str">
        <f t="shared" si="324"/>
        <v>113.7.22</v>
      </c>
      <c r="AW2566" s="1344">
        <f t="shared" si="325"/>
        <v>45495</v>
      </c>
    </row>
    <row r="2567" spans="1:49">
      <c r="A2567" s="1077" t="s">
        <v>7875</v>
      </c>
      <c r="B2567" s="1077" t="s">
        <v>663</v>
      </c>
      <c r="C2567" s="1077">
        <v>600</v>
      </c>
      <c r="D2567" s="1077">
        <v>1.81</v>
      </c>
      <c r="E2567" s="1077" t="s">
        <v>15122</v>
      </c>
      <c r="F2567" s="1077" t="s">
        <v>954</v>
      </c>
      <c r="G2567" s="1077">
        <v>5.5</v>
      </c>
      <c r="H2567" s="1077" t="s">
        <v>7752</v>
      </c>
      <c r="I2567" s="1077" t="s">
        <v>7753</v>
      </c>
      <c r="K2567" s="1077" t="s">
        <v>7876</v>
      </c>
      <c r="L2567" s="1077" t="s">
        <v>6238</v>
      </c>
      <c r="M2567" s="1077">
        <v>296</v>
      </c>
      <c r="N2567" s="1077" t="s">
        <v>945</v>
      </c>
      <c r="O2567" s="1077">
        <v>7.4</v>
      </c>
      <c r="P2567" s="1077">
        <v>5.92</v>
      </c>
      <c r="Q2567" s="1077">
        <v>3</v>
      </c>
      <c r="R2567" s="1077">
        <v>17</v>
      </c>
      <c r="T2567" s="1077">
        <v>10.5</v>
      </c>
      <c r="U2567" s="1077">
        <v>6.1</v>
      </c>
      <c r="V2567" s="1077" t="s">
        <v>648</v>
      </c>
      <c r="W2567" s="1077">
        <v>110</v>
      </c>
      <c r="X2567" s="1077">
        <v>90</v>
      </c>
      <c r="Y2567" s="1077">
        <v>1.1000000000000001</v>
      </c>
      <c r="Z2567" s="1077" t="s">
        <v>648</v>
      </c>
      <c r="AA2567" s="1077" t="s">
        <v>1983</v>
      </c>
      <c r="AB2567" s="1077" t="s">
        <v>3905</v>
      </c>
      <c r="AH2567" s="1077" t="s">
        <v>1238</v>
      </c>
      <c r="AI2567" s="1077">
        <v>90.15</v>
      </c>
      <c r="AJ2567" s="1077">
        <v>-1.53</v>
      </c>
      <c r="AK2567" s="1077">
        <v>6.81</v>
      </c>
      <c r="AM2567" s="1078" t="s">
        <v>14071</v>
      </c>
      <c r="AN2567" s="1078" t="s">
        <v>14072</v>
      </c>
      <c r="AO2567" s="1078">
        <f t="shared" si="318"/>
        <v>600</v>
      </c>
      <c r="AP2567" s="1078">
        <f t="shared" si="319"/>
        <v>1.81</v>
      </c>
      <c r="AQ2567" s="1078" t="str">
        <f t="shared" si="320"/>
        <v>1-5-1S91°Z+S</v>
      </c>
      <c r="AR2567" s="1078" t="str">
        <f t="shared" si="321"/>
        <v>31</v>
      </c>
      <c r="AS2567" s="1078" t="str">
        <f t="shared" si="322"/>
        <v>280/280/160</v>
      </c>
      <c r="AT2567" s="1078" t="str">
        <f t="shared" si="323"/>
        <v>1-5-1S91°Z+S</v>
      </c>
      <c r="AU2567" s="1078" t="s">
        <v>15547</v>
      </c>
      <c r="AV2567" s="1078" t="str">
        <f t="shared" si="324"/>
        <v>113.7.23</v>
      </c>
      <c r="AW2567" s="1344">
        <f t="shared" si="325"/>
        <v>45496</v>
      </c>
    </row>
    <row r="2568" spans="1:49">
      <c r="A2568" s="1077" t="s">
        <v>7877</v>
      </c>
      <c r="B2568" s="1077" t="s">
        <v>714</v>
      </c>
      <c r="C2568" s="1077" t="s">
        <v>5296</v>
      </c>
      <c r="D2568" s="1077">
        <v>1.78</v>
      </c>
      <c r="E2568" s="1077">
        <v>102.5</v>
      </c>
      <c r="F2568" s="1077" t="s">
        <v>4070</v>
      </c>
      <c r="G2568" s="1077">
        <v>5.5</v>
      </c>
      <c r="H2568" s="1077" t="s">
        <v>7819</v>
      </c>
      <c r="I2568" s="1077" t="s">
        <v>6896</v>
      </c>
      <c r="J2568" s="1077">
        <v>3.7</v>
      </c>
      <c r="K2568" s="1077" t="s">
        <v>7878</v>
      </c>
      <c r="L2568" s="1077" t="s">
        <v>4666</v>
      </c>
      <c r="M2568" s="1077">
        <v>295.10000000000002</v>
      </c>
      <c r="N2568" s="1077" t="s">
        <v>945</v>
      </c>
      <c r="O2568" s="1077">
        <v>7.3775000000000013</v>
      </c>
      <c r="P2568" s="1077">
        <v>5.9020000000000001</v>
      </c>
      <c r="Q2568" s="1077">
        <v>4</v>
      </c>
      <c r="R2568" s="1077">
        <v>17.399999999999999</v>
      </c>
      <c r="T2568" s="1077">
        <v>31</v>
      </c>
      <c r="U2568" s="1077">
        <v>3.5</v>
      </c>
      <c r="V2568" s="1077" t="s">
        <v>648</v>
      </c>
      <c r="W2568" s="1077">
        <v>100</v>
      </c>
      <c r="X2568" s="1077">
        <v>40</v>
      </c>
      <c r="Y2568" s="1077">
        <v>1</v>
      </c>
      <c r="Z2568" s="1077" t="s">
        <v>648</v>
      </c>
      <c r="AA2568" s="1077" t="s">
        <v>1781</v>
      </c>
      <c r="AH2568" s="1077" t="s">
        <v>6606</v>
      </c>
      <c r="AM2568" s="1078" t="s">
        <v>14073</v>
      </c>
      <c r="AN2568" s="1078" t="s">
        <v>14074</v>
      </c>
      <c r="AO2568" s="1078" t="str">
        <f t="shared" si="318"/>
        <v>600↓550</v>
      </c>
      <c r="AP2568" s="1078">
        <f t="shared" si="319"/>
        <v>1.78</v>
      </c>
      <c r="AQ2568" s="1078">
        <f t="shared" si="320"/>
        <v>102.5</v>
      </c>
      <c r="AR2568" s="1078" t="str">
        <f t="shared" si="321"/>
        <v>15.5</v>
      </c>
      <c r="AS2568" s="1078" t="str">
        <f t="shared" si="322"/>
        <v>480/440/OFF</v>
      </c>
      <c r="AT2568" s="1078">
        <f t="shared" si="323"/>
        <v>102.5</v>
      </c>
      <c r="AV2568" s="1078" t="str">
        <f t="shared" si="324"/>
        <v>111.1.21</v>
      </c>
      <c r="AW2568" s="1344">
        <f t="shared" si="325"/>
        <v>44582</v>
      </c>
    </row>
    <row r="2569" spans="1:49">
      <c r="A2569" s="1077" t="s">
        <v>7879</v>
      </c>
      <c r="B2569" s="1077" t="s">
        <v>7068</v>
      </c>
      <c r="C2569" s="1077">
        <v>550</v>
      </c>
      <c r="D2569" s="1077">
        <v>1.78</v>
      </c>
      <c r="E2569" s="1077" t="s">
        <v>15126</v>
      </c>
      <c r="F2569" s="1077" t="s">
        <v>984</v>
      </c>
      <c r="G2569" s="1077">
        <v>5</v>
      </c>
      <c r="H2569" s="1077" t="s">
        <v>7880</v>
      </c>
      <c r="I2569" s="1077" t="s">
        <v>7137</v>
      </c>
      <c r="K2569" s="1077" t="s">
        <v>7881</v>
      </c>
      <c r="L2569" s="1077" t="s">
        <v>5037</v>
      </c>
      <c r="M2569" s="1077">
        <v>296.2</v>
      </c>
      <c r="N2569" s="1077" t="s">
        <v>945</v>
      </c>
      <c r="O2569" s="1077">
        <v>7.4050000000000002</v>
      </c>
      <c r="P2569" s="1077">
        <v>5.9239999999999995</v>
      </c>
      <c r="Q2569" s="1077">
        <v>3.5</v>
      </c>
      <c r="R2569" s="1077">
        <v>20.100000000000001</v>
      </c>
      <c r="T2569" s="1077">
        <v>20.399999999999999</v>
      </c>
      <c r="U2569" s="1077">
        <v>4</v>
      </c>
      <c r="V2569" s="1077" t="s">
        <v>648</v>
      </c>
      <c r="W2569" s="1077">
        <v>125</v>
      </c>
      <c r="X2569" s="1077">
        <v>40</v>
      </c>
      <c r="Y2569" s="1077">
        <v>1.6</v>
      </c>
      <c r="Z2569" s="1077">
        <v>7</v>
      </c>
      <c r="AA2569" s="1077" t="s">
        <v>4300</v>
      </c>
      <c r="AH2569" s="1077" t="s">
        <v>3601</v>
      </c>
      <c r="AM2569" s="1078" t="s">
        <v>14075</v>
      </c>
      <c r="AN2569" s="1078" t="s">
        <v>14076</v>
      </c>
      <c r="AO2569" s="1078">
        <f t="shared" si="318"/>
        <v>550</v>
      </c>
      <c r="AP2569" s="1078">
        <f t="shared" si="319"/>
        <v>1.78</v>
      </c>
      <c r="AQ2569" s="1078" t="str">
        <f t="shared" si="320"/>
        <v>1-5-1S91°Z+Z</v>
      </c>
      <c r="AR2569" s="1078" t="str">
        <f t="shared" si="321"/>
        <v>30</v>
      </c>
      <c r="AS2569" s="1078" t="str">
        <f t="shared" si="322"/>
        <v>310/310/150</v>
      </c>
      <c r="AT2569" s="1078" t="str">
        <f t="shared" si="323"/>
        <v>1-5-1S91°Z+Z</v>
      </c>
      <c r="AU2569" s="1078" t="s">
        <v>15551</v>
      </c>
      <c r="AV2569" s="1078" t="str">
        <f t="shared" si="324"/>
        <v>111.2.6</v>
      </c>
      <c r="AW2569" s="1344">
        <f t="shared" si="325"/>
        <v>44598</v>
      </c>
    </row>
    <row r="2570" spans="1:49">
      <c r="A2570" s="1077" t="s">
        <v>7882</v>
      </c>
      <c r="B2570" s="1077" t="s">
        <v>7261</v>
      </c>
      <c r="C2570" s="1077">
        <v>600</v>
      </c>
      <c r="D2570" s="1077">
        <v>1.8</v>
      </c>
      <c r="E2570" s="1077" t="s">
        <v>15116</v>
      </c>
      <c r="F2570" s="1077" t="s">
        <v>2234</v>
      </c>
      <c r="G2570" s="1077">
        <v>4</v>
      </c>
      <c r="H2570" s="1077" t="s">
        <v>7262</v>
      </c>
      <c r="I2570" s="1077" t="s">
        <v>6918</v>
      </c>
      <c r="K2570" s="1077" t="s">
        <v>7737</v>
      </c>
      <c r="L2570" s="1077" t="s">
        <v>7264</v>
      </c>
      <c r="M2570" s="1077">
        <v>307</v>
      </c>
      <c r="N2570" s="1077" t="s">
        <v>945</v>
      </c>
      <c r="O2570" s="1077">
        <v>7.6750000000000007</v>
      </c>
      <c r="P2570" s="1077">
        <v>6.1400000000000006</v>
      </c>
      <c r="Q2570" s="1077">
        <v>3.5</v>
      </c>
      <c r="R2570" s="1077">
        <v>27</v>
      </c>
      <c r="T2570" s="1077">
        <v>12</v>
      </c>
      <c r="U2570" s="1077">
        <v>2.2999999999999998</v>
      </c>
      <c r="V2570" s="1077" t="s">
        <v>648</v>
      </c>
      <c r="W2570" s="1077" t="s">
        <v>4947</v>
      </c>
      <c r="X2570" s="1077">
        <v>10</v>
      </c>
      <c r="Y2570" s="1077">
        <v>1.7</v>
      </c>
      <c r="Z2570" s="1077" t="s">
        <v>648</v>
      </c>
      <c r="AA2570" s="1077" t="s">
        <v>1802</v>
      </c>
      <c r="AH2570" s="1077" t="s">
        <v>1137</v>
      </c>
      <c r="AM2570" s="1078" t="s">
        <v>14077</v>
      </c>
      <c r="AN2570" s="1078" t="s">
        <v>14078</v>
      </c>
      <c r="AO2570" s="1078">
        <f t="shared" si="318"/>
        <v>600</v>
      </c>
      <c r="AP2570" s="1078">
        <f t="shared" si="319"/>
        <v>1.8</v>
      </c>
      <c r="AQ2570" s="1078" t="str">
        <f t="shared" si="320"/>
        <v>1-5-1S83°Z+S</v>
      </c>
      <c r="AR2570" s="1078" t="str">
        <f t="shared" si="321"/>
        <v>33.5</v>
      </c>
      <c r="AS2570" s="1078" t="str">
        <f t="shared" si="322"/>
        <v>300/300/190</v>
      </c>
      <c r="AT2570" s="1078" t="str">
        <f t="shared" si="323"/>
        <v>1-5-1S83°Z+S</v>
      </c>
      <c r="AU2570" s="1078" t="s">
        <v>15547</v>
      </c>
      <c r="AV2570" s="1078" t="str">
        <f t="shared" si="324"/>
        <v>111.2.7</v>
      </c>
      <c r="AW2570" s="1344">
        <f t="shared" si="325"/>
        <v>44599</v>
      </c>
    </row>
    <row r="2571" spans="1:49">
      <c r="A2571" s="1077" t="s">
        <v>7883</v>
      </c>
      <c r="B2571" s="1077" t="s">
        <v>714</v>
      </c>
      <c r="C2571" s="1077">
        <v>550</v>
      </c>
      <c r="D2571" s="1077">
        <v>1.7669999999999999</v>
      </c>
      <c r="E2571" s="1077" t="s">
        <v>15121</v>
      </c>
      <c r="F2571" s="1077" t="s">
        <v>648</v>
      </c>
      <c r="G2571" s="1077">
        <v>5</v>
      </c>
      <c r="H2571" s="1077" t="s">
        <v>3197</v>
      </c>
      <c r="I2571" s="1077" t="s">
        <v>7181</v>
      </c>
      <c r="J2571" s="1077">
        <v>3.7</v>
      </c>
      <c r="K2571" s="1077" t="s">
        <v>7884</v>
      </c>
      <c r="L2571" s="1077" t="s">
        <v>4666</v>
      </c>
      <c r="M2571" s="1077">
        <v>298.8</v>
      </c>
      <c r="N2571" s="1077" t="s">
        <v>945</v>
      </c>
      <c r="O2571" s="1077">
        <v>7.4700000000000006</v>
      </c>
      <c r="P2571" s="1077">
        <v>5.976</v>
      </c>
      <c r="Q2571" s="1077">
        <v>4</v>
      </c>
      <c r="R2571" s="1077">
        <v>20.5</v>
      </c>
      <c r="T2571" s="1077">
        <v>21</v>
      </c>
      <c r="U2571" s="1077">
        <v>3.5</v>
      </c>
      <c r="V2571" s="1077" t="s">
        <v>648</v>
      </c>
      <c r="W2571" s="1077">
        <v>30</v>
      </c>
      <c r="X2571" s="1077">
        <v>10</v>
      </c>
      <c r="Y2571" s="1077">
        <v>1.2</v>
      </c>
      <c r="Z2571" s="1077" t="s">
        <v>648</v>
      </c>
      <c r="AA2571" s="1077" t="s">
        <v>4300</v>
      </c>
      <c r="AH2571" s="1077" t="s">
        <v>1053</v>
      </c>
      <c r="AM2571" s="1078" t="s">
        <v>14079</v>
      </c>
      <c r="AN2571" s="1078" t="s">
        <v>14080</v>
      </c>
      <c r="AO2571" s="1078">
        <f t="shared" ref="AO2571:AO2634" si="326">C2571</f>
        <v>550</v>
      </c>
      <c r="AP2571" s="1078">
        <f t="shared" ref="AP2571:AP2634" si="327">D2571</f>
        <v>1.7669999999999999</v>
      </c>
      <c r="AQ2571" s="1078" t="str">
        <f t="shared" ref="AQ2571:AQ2634" si="328">E2571</f>
        <v>1-5-1S85°S+Z</v>
      </c>
      <c r="AR2571" s="1078" t="str">
        <f t="shared" ref="AR2571:AR2634" si="329">F2571</f>
        <v>NA</v>
      </c>
      <c r="AS2571" s="1078" t="str">
        <f t="shared" ref="AS2571:AS2634" si="330">H2571</f>
        <v>175/165</v>
      </c>
      <c r="AT2571" s="1078" t="str">
        <f t="shared" ref="AT2571:AT2634" si="331">E2571</f>
        <v>1-5-1S85°S+Z</v>
      </c>
      <c r="AU2571" s="1078" t="s">
        <v>15550</v>
      </c>
      <c r="AV2571" s="1078" t="str">
        <f t="shared" si="324"/>
        <v>111.2.6</v>
      </c>
      <c r="AW2571" s="1344">
        <f t="shared" si="325"/>
        <v>44598</v>
      </c>
    </row>
    <row r="2572" spans="1:49">
      <c r="A2572" s="1077" t="s">
        <v>7885</v>
      </c>
      <c r="B2572" s="1077" t="s">
        <v>714</v>
      </c>
      <c r="C2572" s="1077">
        <v>550</v>
      </c>
      <c r="D2572" s="1077">
        <v>1.76</v>
      </c>
      <c r="E2572" s="1077">
        <v>102.5</v>
      </c>
      <c r="F2572" s="1077" t="s">
        <v>4070</v>
      </c>
      <c r="G2572" s="1077" t="s">
        <v>6865</v>
      </c>
      <c r="H2572" s="1077" t="s">
        <v>6872</v>
      </c>
      <c r="I2572" s="1077" t="s">
        <v>7105</v>
      </c>
      <c r="J2572" s="1077">
        <v>3.7</v>
      </c>
      <c r="K2572" s="1077" t="s">
        <v>7886</v>
      </c>
      <c r="L2572" s="1077" t="s">
        <v>4666</v>
      </c>
      <c r="M2572" s="1077">
        <v>300.8</v>
      </c>
      <c r="N2572" s="1077" t="s">
        <v>945</v>
      </c>
      <c r="O2572" s="1077">
        <v>7.5200000000000005</v>
      </c>
      <c r="P2572" s="1077">
        <v>6.016</v>
      </c>
      <c r="Q2572" s="1077">
        <v>4</v>
      </c>
      <c r="R2572" s="1077">
        <v>17</v>
      </c>
      <c r="T2572" s="1077">
        <v>31.4</v>
      </c>
      <c r="U2572" s="1077">
        <v>3.6</v>
      </c>
      <c r="V2572" s="1077" t="s">
        <v>648</v>
      </c>
      <c r="W2572" s="1077">
        <v>65</v>
      </c>
      <c r="X2572" s="1077">
        <v>10</v>
      </c>
      <c r="Y2572" s="1077">
        <v>1.5</v>
      </c>
      <c r="Z2572" s="1077" t="s">
        <v>648</v>
      </c>
      <c r="AA2572" s="1077" t="s">
        <v>5377</v>
      </c>
      <c r="AH2572" s="1077" t="s">
        <v>4630</v>
      </c>
      <c r="AM2572" s="1078" t="s">
        <v>14081</v>
      </c>
      <c r="AN2572" s="1078" t="s">
        <v>14082</v>
      </c>
      <c r="AO2572" s="1078">
        <f t="shared" si="326"/>
        <v>550</v>
      </c>
      <c r="AP2572" s="1078">
        <f t="shared" si="327"/>
        <v>1.76</v>
      </c>
      <c r="AQ2572" s="1078">
        <f t="shared" si="328"/>
        <v>102.5</v>
      </c>
      <c r="AR2572" s="1078" t="str">
        <f t="shared" si="329"/>
        <v>15.5</v>
      </c>
      <c r="AS2572" s="1078" t="str">
        <f t="shared" si="330"/>
        <v>475/435/OFF</v>
      </c>
      <c r="AT2572" s="1078">
        <f t="shared" si="331"/>
        <v>102.5</v>
      </c>
      <c r="AV2572" s="1078" t="str">
        <f t="shared" si="324"/>
        <v>111.2.8</v>
      </c>
      <c r="AW2572" s="1344">
        <f t="shared" si="325"/>
        <v>44600</v>
      </c>
    </row>
    <row r="2573" spans="1:49">
      <c r="A2573" s="1077" t="s">
        <v>7887</v>
      </c>
      <c r="B2573" s="1077" t="s">
        <v>7214</v>
      </c>
      <c r="C2573" s="1077">
        <v>600</v>
      </c>
      <c r="D2573" s="1077">
        <v>1.7649999999999999</v>
      </c>
      <c r="E2573" s="1077" t="s">
        <v>15109</v>
      </c>
      <c r="F2573" s="1077" t="s">
        <v>648</v>
      </c>
      <c r="G2573" s="1077">
        <v>5</v>
      </c>
      <c r="H2573" s="1077" t="s">
        <v>7364</v>
      </c>
      <c r="I2573" s="1077" t="s">
        <v>7888</v>
      </c>
      <c r="J2573" s="1077">
        <v>3</v>
      </c>
      <c r="K2573" s="1077" t="s">
        <v>7602</v>
      </c>
      <c r="L2573" s="1077" t="s">
        <v>7603</v>
      </c>
      <c r="M2573" s="1077">
        <v>293.3</v>
      </c>
      <c r="N2573" s="1077" t="s">
        <v>945</v>
      </c>
      <c r="O2573" s="1077">
        <v>7.3325000000000005</v>
      </c>
      <c r="P2573" s="1077">
        <v>5.8660000000000005</v>
      </c>
      <c r="Q2573" s="1077">
        <v>4</v>
      </c>
      <c r="R2573" s="1077">
        <v>19</v>
      </c>
      <c r="T2573" s="1077">
        <v>27</v>
      </c>
      <c r="U2573" s="1077">
        <v>3.5</v>
      </c>
      <c r="V2573" s="1077" t="s">
        <v>648</v>
      </c>
      <c r="W2573" s="1077">
        <v>135</v>
      </c>
      <c r="X2573" s="1077">
        <v>90</v>
      </c>
      <c r="Y2573" s="1077">
        <v>1.4</v>
      </c>
      <c r="Z2573" s="1077" t="s">
        <v>648</v>
      </c>
      <c r="AA2573" s="1077" t="s">
        <v>1802</v>
      </c>
      <c r="AH2573" s="1077" t="s">
        <v>1486</v>
      </c>
      <c r="AM2573" s="1078" t="s">
        <v>14083</v>
      </c>
      <c r="AN2573" s="1078" t="s">
        <v>14084</v>
      </c>
      <c r="AO2573" s="1078">
        <f t="shared" si="326"/>
        <v>600</v>
      </c>
      <c r="AP2573" s="1078">
        <f t="shared" si="327"/>
        <v>1.7649999999999999</v>
      </c>
      <c r="AQ2573" s="1078" t="str">
        <f t="shared" si="328"/>
        <v>1-5-1S85°Z+S</v>
      </c>
      <c r="AR2573" s="1078" t="str">
        <f t="shared" si="329"/>
        <v>NA</v>
      </c>
      <c r="AS2573" s="1078" t="str">
        <f t="shared" si="330"/>
        <v>196/OFF</v>
      </c>
      <c r="AT2573" s="1078" t="str">
        <f t="shared" si="331"/>
        <v>1-5-1S85°Z+S</v>
      </c>
      <c r="AU2573" s="1078" t="s">
        <v>15547</v>
      </c>
      <c r="AV2573" s="1078" t="str">
        <f t="shared" si="324"/>
        <v>111.2.7</v>
      </c>
      <c r="AW2573" s="1344">
        <f t="shared" si="325"/>
        <v>44599</v>
      </c>
    </row>
    <row r="2574" spans="1:49">
      <c r="A2574" s="1077" t="s">
        <v>7889</v>
      </c>
      <c r="B2574" s="1077" t="s">
        <v>7019</v>
      </c>
      <c r="C2574" s="1077">
        <v>600</v>
      </c>
      <c r="D2574" s="1077">
        <v>1.75</v>
      </c>
      <c r="E2574" s="1077" t="s">
        <v>15109</v>
      </c>
      <c r="F2574" s="1077" t="s">
        <v>648</v>
      </c>
      <c r="G2574" s="1077">
        <v>5.5</v>
      </c>
      <c r="H2574" s="1077" t="s">
        <v>941</v>
      </c>
      <c r="I2574" s="1077" t="s">
        <v>7459</v>
      </c>
      <c r="K2574" s="1077" t="s">
        <v>7803</v>
      </c>
      <c r="L2574" s="1077" t="s">
        <v>7424</v>
      </c>
      <c r="M2574" s="1077">
        <v>295</v>
      </c>
      <c r="N2574" s="1077" t="s">
        <v>945</v>
      </c>
      <c r="O2574" s="1077">
        <v>7.375</v>
      </c>
      <c r="P2574" s="1077">
        <v>5.9</v>
      </c>
      <c r="Q2574" s="1077">
        <v>4</v>
      </c>
      <c r="R2574" s="1077">
        <v>19</v>
      </c>
      <c r="T2574" s="1077">
        <v>27.8</v>
      </c>
      <c r="U2574" s="1077">
        <v>3.9</v>
      </c>
      <c r="V2574" s="1077" t="s">
        <v>648</v>
      </c>
      <c r="W2574" s="1077">
        <v>125</v>
      </c>
      <c r="X2574" s="1077">
        <v>90</v>
      </c>
      <c r="Y2574" s="1077">
        <v>1.5</v>
      </c>
      <c r="Z2574" s="1077" t="s">
        <v>648</v>
      </c>
      <c r="AA2574" s="1077" t="s">
        <v>1909</v>
      </c>
      <c r="AH2574" s="1077" t="s">
        <v>831</v>
      </c>
      <c r="AM2574" s="1078" t="s">
        <v>14085</v>
      </c>
      <c r="AN2574" s="1078" t="s">
        <v>14086</v>
      </c>
      <c r="AO2574" s="1078">
        <f t="shared" si="326"/>
        <v>600</v>
      </c>
      <c r="AP2574" s="1078">
        <f t="shared" si="327"/>
        <v>1.75</v>
      </c>
      <c r="AQ2574" s="1078" t="str">
        <f t="shared" si="328"/>
        <v>1-5-1S85°Z+S</v>
      </c>
      <c r="AR2574" s="1078" t="str">
        <f t="shared" si="329"/>
        <v>NA</v>
      </c>
      <c r="AS2574" s="1078" t="str">
        <f t="shared" si="330"/>
        <v>185/OFF</v>
      </c>
      <c r="AT2574" s="1078" t="str">
        <f t="shared" si="331"/>
        <v>1-5-1S85°Z+S</v>
      </c>
      <c r="AU2574" s="1078" t="s">
        <v>15547</v>
      </c>
      <c r="AV2574" s="1078" t="str">
        <f t="shared" si="324"/>
        <v>111.2.10</v>
      </c>
      <c r="AW2574" s="1344">
        <f t="shared" si="325"/>
        <v>44602</v>
      </c>
    </row>
    <row r="2575" spans="1:49">
      <c r="A2575" s="1077" t="s">
        <v>7890</v>
      </c>
      <c r="B2575" s="1077" t="s">
        <v>7068</v>
      </c>
      <c r="C2575" s="1077">
        <v>500</v>
      </c>
      <c r="D2575" s="1077">
        <v>1.78</v>
      </c>
      <c r="E2575" s="1077" t="s">
        <v>15122</v>
      </c>
      <c r="F2575" s="1077" t="s">
        <v>975</v>
      </c>
      <c r="G2575" s="1077">
        <v>5</v>
      </c>
      <c r="H2575" s="1077" t="s">
        <v>2393</v>
      </c>
      <c r="I2575" s="1077" t="s">
        <v>6909</v>
      </c>
      <c r="K2575" s="1077" t="s">
        <v>7881</v>
      </c>
      <c r="L2575" s="1077" t="s">
        <v>5037</v>
      </c>
      <c r="M2575" s="1077">
        <v>293.2</v>
      </c>
      <c r="N2575" s="1077" t="s">
        <v>945</v>
      </c>
      <c r="O2575" s="1077">
        <v>7.33</v>
      </c>
      <c r="P2575" s="1077">
        <v>5.8639999999999999</v>
      </c>
      <c r="Q2575" s="1077">
        <v>3.5</v>
      </c>
      <c r="R2575" s="1077">
        <v>21</v>
      </c>
      <c r="T2575" s="1077">
        <v>25</v>
      </c>
      <c r="U2575" s="1077">
        <v>4.2</v>
      </c>
      <c r="V2575" s="1077" t="s">
        <v>648</v>
      </c>
      <c r="W2575" s="1077">
        <v>110</v>
      </c>
      <c r="X2575" s="1077">
        <v>20</v>
      </c>
      <c r="Y2575" s="1077">
        <v>1.6</v>
      </c>
      <c r="Z2575" s="1077" t="s">
        <v>648</v>
      </c>
      <c r="AA2575" s="1077" t="s">
        <v>1461</v>
      </c>
      <c r="AH2575" s="1077" t="s">
        <v>2720</v>
      </c>
      <c r="AM2575" s="1078" t="s">
        <v>14087</v>
      </c>
      <c r="AN2575" s="1078" t="s">
        <v>14088</v>
      </c>
      <c r="AO2575" s="1078">
        <f t="shared" si="326"/>
        <v>500</v>
      </c>
      <c r="AP2575" s="1078">
        <f t="shared" si="327"/>
        <v>1.78</v>
      </c>
      <c r="AQ2575" s="1078" t="str">
        <f t="shared" si="328"/>
        <v>1-5-1S91°Z+S</v>
      </c>
      <c r="AR2575" s="1078" t="str">
        <f t="shared" si="329"/>
        <v>31.5</v>
      </c>
      <c r="AS2575" s="1078" t="str">
        <f t="shared" si="330"/>
        <v>310/310/OFF</v>
      </c>
      <c r="AT2575" s="1078" t="str">
        <f t="shared" si="331"/>
        <v>1-5-1S91°Z+S</v>
      </c>
      <c r="AU2575" s="1078" t="s">
        <v>15547</v>
      </c>
      <c r="AV2575" s="1078" t="str">
        <f t="shared" si="324"/>
        <v>111.2.14</v>
      </c>
      <c r="AW2575" s="1344">
        <f t="shared" si="325"/>
        <v>44606</v>
      </c>
    </row>
    <row r="2576" spans="1:49">
      <c r="A2576" s="1077" t="s">
        <v>7891</v>
      </c>
      <c r="B2576" s="1077" t="s">
        <v>7091</v>
      </c>
      <c r="C2576" s="1077">
        <v>600</v>
      </c>
      <c r="D2576" s="1077">
        <v>1.78</v>
      </c>
      <c r="E2576" s="1077" t="s">
        <v>15122</v>
      </c>
      <c r="F2576" s="1077" t="s">
        <v>975</v>
      </c>
      <c r="G2576" s="1077">
        <v>5</v>
      </c>
      <c r="H2576" s="1077" t="s">
        <v>5455</v>
      </c>
      <c r="I2576" s="1077" t="s">
        <v>7588</v>
      </c>
      <c r="J2576" s="1077">
        <v>3.7</v>
      </c>
      <c r="K2576" s="1077" t="s">
        <v>7684</v>
      </c>
      <c r="L2576" s="1077" t="s">
        <v>5152</v>
      </c>
      <c r="M2576" s="1077">
        <v>290</v>
      </c>
      <c r="N2576" s="1077" t="s">
        <v>945</v>
      </c>
      <c r="O2576" s="1077">
        <v>7.25</v>
      </c>
      <c r="P2576" s="1077">
        <v>5.8</v>
      </c>
      <c r="Q2576" s="1077">
        <v>4</v>
      </c>
      <c r="R2576" s="1077">
        <v>19.5</v>
      </c>
      <c r="T2576" s="1077">
        <v>29.3</v>
      </c>
      <c r="U2576" s="1077">
        <v>3.5</v>
      </c>
      <c r="V2576" s="1077" t="s">
        <v>648</v>
      </c>
      <c r="W2576" s="1077">
        <v>95</v>
      </c>
      <c r="X2576" s="1077">
        <v>20</v>
      </c>
      <c r="Y2576" s="1077">
        <v>1.5</v>
      </c>
      <c r="Z2576" s="1077" t="s">
        <v>648</v>
      </c>
      <c r="AA2576" s="1077" t="s">
        <v>1461</v>
      </c>
      <c r="AH2576" s="1077" t="s">
        <v>1837</v>
      </c>
      <c r="AM2576" s="1078" t="s">
        <v>14089</v>
      </c>
      <c r="AN2576" s="1078" t="s">
        <v>14090</v>
      </c>
      <c r="AO2576" s="1078">
        <f t="shared" si="326"/>
        <v>600</v>
      </c>
      <c r="AP2576" s="1078">
        <f t="shared" si="327"/>
        <v>1.78</v>
      </c>
      <c r="AQ2576" s="1078" t="str">
        <f t="shared" si="328"/>
        <v>1-5-1S91°Z+S</v>
      </c>
      <c r="AR2576" s="1078" t="str">
        <f t="shared" si="329"/>
        <v>31.5</v>
      </c>
      <c r="AS2576" s="1078" t="str">
        <f t="shared" si="330"/>
        <v>340/310/OFF</v>
      </c>
      <c r="AT2576" s="1078" t="str">
        <f t="shared" si="331"/>
        <v>1-5-1S91°Z+S</v>
      </c>
      <c r="AU2576" s="1078" t="s">
        <v>15547</v>
      </c>
      <c r="AV2576" s="1078" t="str">
        <f t="shared" si="324"/>
        <v>111.2.14</v>
      </c>
      <c r="AW2576" s="1344">
        <f t="shared" si="325"/>
        <v>44606</v>
      </c>
    </row>
    <row r="2577" spans="1:49">
      <c r="A2577" s="1077" t="s">
        <v>7892</v>
      </c>
      <c r="B2577" s="1077" t="s">
        <v>7055</v>
      </c>
      <c r="C2577" s="1077">
        <v>600</v>
      </c>
      <c r="D2577" s="1077">
        <v>1.7649999999999999</v>
      </c>
      <c r="E2577" s="1077" t="s">
        <v>15122</v>
      </c>
      <c r="F2577" s="1077" t="s">
        <v>984</v>
      </c>
      <c r="G2577" s="1077">
        <v>5.5</v>
      </c>
      <c r="H2577" s="1077" t="s">
        <v>2876</v>
      </c>
      <c r="I2577" s="1077" t="s">
        <v>7257</v>
      </c>
      <c r="J2577" s="1077">
        <v>3</v>
      </c>
      <c r="K2577" s="1077" t="s">
        <v>7764</v>
      </c>
      <c r="L2577" s="1077" t="s">
        <v>4946</v>
      </c>
      <c r="M2577" s="1077">
        <v>296</v>
      </c>
      <c r="N2577" s="1077" t="s">
        <v>945</v>
      </c>
      <c r="O2577" s="1077">
        <v>7.4</v>
      </c>
      <c r="P2577" s="1077">
        <v>5.92</v>
      </c>
      <c r="Q2577" s="1077">
        <v>3</v>
      </c>
      <c r="R2577" s="1077">
        <v>27</v>
      </c>
      <c r="T2577" s="1077">
        <v>17.5</v>
      </c>
      <c r="U2577" s="1077">
        <v>6</v>
      </c>
      <c r="V2577" s="1077" t="s">
        <v>648</v>
      </c>
      <c r="W2577" s="1077">
        <v>90</v>
      </c>
      <c r="X2577" s="1077">
        <v>10</v>
      </c>
      <c r="Y2577" s="1077">
        <v>1.2</v>
      </c>
      <c r="Z2577" s="1077" t="s">
        <v>648</v>
      </c>
      <c r="AA2577" s="1077" t="s">
        <v>1916</v>
      </c>
      <c r="AH2577" s="1077" t="s">
        <v>3601</v>
      </c>
      <c r="AM2577" s="1078" t="s">
        <v>14091</v>
      </c>
      <c r="AN2577" s="1078" t="s">
        <v>14092</v>
      </c>
      <c r="AO2577" s="1078">
        <f t="shared" si="326"/>
        <v>600</v>
      </c>
      <c r="AP2577" s="1078">
        <f t="shared" si="327"/>
        <v>1.7649999999999999</v>
      </c>
      <c r="AQ2577" s="1078" t="str">
        <f t="shared" si="328"/>
        <v>1-5-1S91°Z+S</v>
      </c>
      <c r="AR2577" s="1078" t="str">
        <f t="shared" si="329"/>
        <v>30</v>
      </c>
      <c r="AS2577" s="1078" t="str">
        <f t="shared" si="330"/>
        <v>290/290/OFF</v>
      </c>
      <c r="AT2577" s="1078" t="str">
        <f t="shared" si="331"/>
        <v>1-5-1S91°Z+S</v>
      </c>
      <c r="AU2577" s="1078" t="s">
        <v>15547</v>
      </c>
      <c r="AV2577" s="1078" t="str">
        <f t="shared" si="324"/>
        <v>111.2.17</v>
      </c>
      <c r="AW2577" s="1344">
        <f t="shared" si="325"/>
        <v>44609</v>
      </c>
    </row>
    <row r="2578" spans="1:49">
      <c r="A2578" s="1077" t="s">
        <v>7893</v>
      </c>
      <c r="B2578" s="1077" t="s">
        <v>7894</v>
      </c>
      <c r="C2578" s="1077">
        <v>600</v>
      </c>
      <c r="D2578" s="1077">
        <v>1.81</v>
      </c>
      <c r="E2578" s="1077" t="s">
        <v>15116</v>
      </c>
      <c r="F2578" s="1077" t="s">
        <v>2234</v>
      </c>
      <c r="G2578" s="1077">
        <v>5</v>
      </c>
      <c r="H2578" s="1077" t="s">
        <v>2708</v>
      </c>
      <c r="I2578" s="1077" t="s">
        <v>6967</v>
      </c>
      <c r="J2578" s="1077">
        <v>3</v>
      </c>
      <c r="K2578" s="1077" t="s">
        <v>7895</v>
      </c>
      <c r="L2578" s="1077" t="s">
        <v>7896</v>
      </c>
      <c r="M2578" s="1077">
        <v>304</v>
      </c>
      <c r="N2578" s="1077" t="s">
        <v>945</v>
      </c>
      <c r="O2578" s="1077">
        <v>7.6000000000000005</v>
      </c>
      <c r="P2578" s="1077">
        <v>6.08</v>
      </c>
      <c r="Q2578" s="1077">
        <v>3.5</v>
      </c>
      <c r="R2578" s="1077">
        <v>21</v>
      </c>
      <c r="T2578" s="1077">
        <v>25</v>
      </c>
      <c r="U2578" s="1077">
        <v>4.2</v>
      </c>
      <c r="V2578" s="1077" t="s">
        <v>648</v>
      </c>
      <c r="W2578" s="1077">
        <v>110</v>
      </c>
      <c r="X2578" s="1077">
        <v>20</v>
      </c>
      <c r="Y2578" s="1077">
        <v>2.5</v>
      </c>
      <c r="Z2578" s="1077" t="s">
        <v>648</v>
      </c>
      <c r="AA2578" s="1077" t="s">
        <v>1992</v>
      </c>
      <c r="AH2578" s="1077" t="s">
        <v>870</v>
      </c>
      <c r="AI2578" s="1077">
        <v>87.06</v>
      </c>
      <c r="AJ2578" s="1077">
        <v>1.1599999999999999</v>
      </c>
      <c r="AK2578" s="1077">
        <v>-5.53</v>
      </c>
      <c r="AM2578" s="1078" t="s">
        <v>14093</v>
      </c>
      <c r="AN2578" s="1078" t="s">
        <v>14094</v>
      </c>
      <c r="AO2578" s="1078">
        <f t="shared" si="326"/>
        <v>600</v>
      </c>
      <c r="AP2578" s="1078">
        <f t="shared" si="327"/>
        <v>1.81</v>
      </c>
      <c r="AQ2578" s="1078" t="str">
        <f t="shared" si="328"/>
        <v>1-5-1S83°Z+S</v>
      </c>
      <c r="AR2578" s="1078" t="str">
        <f t="shared" si="329"/>
        <v>33.5</v>
      </c>
      <c r="AS2578" s="1078" t="str">
        <f t="shared" si="330"/>
        <v>295/295/OFF</v>
      </c>
      <c r="AT2578" s="1078" t="str">
        <f t="shared" si="331"/>
        <v>1-5-1S83°Z+S</v>
      </c>
      <c r="AU2578" s="1078" t="s">
        <v>15547</v>
      </c>
      <c r="AV2578" s="1078" t="str">
        <f t="shared" si="324"/>
        <v>113.8.1</v>
      </c>
      <c r="AW2578" s="1344">
        <f t="shared" si="325"/>
        <v>45505</v>
      </c>
    </row>
    <row r="2579" spans="1:49">
      <c r="A2579" s="1077" t="s">
        <v>7897</v>
      </c>
      <c r="B2579" s="1077" t="s">
        <v>7068</v>
      </c>
      <c r="C2579" s="1077">
        <v>500</v>
      </c>
      <c r="D2579" s="1077">
        <v>1.8</v>
      </c>
      <c r="E2579" s="1077" t="s">
        <v>15122</v>
      </c>
      <c r="F2579" s="1077" t="s">
        <v>975</v>
      </c>
      <c r="G2579" s="1077">
        <v>5</v>
      </c>
      <c r="H2579" s="1077" t="s">
        <v>7761</v>
      </c>
      <c r="I2579" s="1077" t="s">
        <v>7729</v>
      </c>
      <c r="K2579" s="1077" t="s">
        <v>7898</v>
      </c>
      <c r="L2579" s="1077" t="s">
        <v>5037</v>
      </c>
      <c r="M2579" s="1077">
        <v>295.5</v>
      </c>
      <c r="N2579" s="1077" t="s">
        <v>945</v>
      </c>
      <c r="O2579" s="1077">
        <v>7.3875000000000002</v>
      </c>
      <c r="P2579" s="1077">
        <v>5.91</v>
      </c>
      <c r="Q2579" s="1077">
        <v>3.5</v>
      </c>
      <c r="R2579" s="1077">
        <v>19.5</v>
      </c>
      <c r="T2579" s="1077">
        <v>20</v>
      </c>
      <c r="U2579" s="1077">
        <v>3.5</v>
      </c>
      <c r="V2579" s="1077" t="s">
        <v>648</v>
      </c>
      <c r="W2579" s="1077">
        <v>115</v>
      </c>
      <c r="X2579" s="1077">
        <v>90</v>
      </c>
      <c r="Y2579" s="1077">
        <v>1</v>
      </c>
      <c r="Z2579" s="1077" t="s">
        <v>648</v>
      </c>
      <c r="AA2579" s="1077" t="s">
        <v>2049</v>
      </c>
      <c r="AH2579" s="1077" t="s">
        <v>619</v>
      </c>
      <c r="AI2579" s="1077">
        <v>14.57</v>
      </c>
      <c r="AJ2579" s="1077">
        <v>0.13</v>
      </c>
      <c r="AK2579" s="1077">
        <v>0.36</v>
      </c>
      <c r="AM2579" s="1078" t="s">
        <v>14095</v>
      </c>
      <c r="AN2579" s="1078" t="s">
        <v>14096</v>
      </c>
      <c r="AO2579" s="1078">
        <f t="shared" si="326"/>
        <v>500</v>
      </c>
      <c r="AP2579" s="1078">
        <f t="shared" si="327"/>
        <v>1.8</v>
      </c>
      <c r="AQ2579" s="1078" t="str">
        <f t="shared" si="328"/>
        <v>1-5-1S91°Z+S</v>
      </c>
      <c r="AR2579" s="1078" t="str">
        <f t="shared" si="329"/>
        <v>31.5</v>
      </c>
      <c r="AS2579" s="1078" t="str">
        <f t="shared" si="330"/>
        <v>290/290/150</v>
      </c>
      <c r="AT2579" s="1078" t="str">
        <f t="shared" si="331"/>
        <v>1-5-1S91°Z+S</v>
      </c>
      <c r="AU2579" s="1078" t="s">
        <v>15547</v>
      </c>
      <c r="AV2579" s="1078" t="str">
        <f t="shared" si="324"/>
        <v>113.8.12</v>
      </c>
      <c r="AW2579" s="1344">
        <f t="shared" si="325"/>
        <v>45516</v>
      </c>
    </row>
    <row r="2580" spans="1:49">
      <c r="A2580" s="1077" t="s">
        <v>7899</v>
      </c>
      <c r="B2580" s="1077" t="s">
        <v>7214</v>
      </c>
      <c r="C2580" s="1077">
        <v>500</v>
      </c>
      <c r="D2580" s="1077">
        <v>1.7649999999999999</v>
      </c>
      <c r="E2580" s="1077" t="s">
        <v>15109</v>
      </c>
      <c r="F2580" s="1077" t="s">
        <v>648</v>
      </c>
      <c r="G2580" s="1077">
        <v>5</v>
      </c>
      <c r="H2580" s="1077" t="s">
        <v>4776</v>
      </c>
      <c r="I2580" s="1077" t="s">
        <v>7858</v>
      </c>
      <c r="J2580" s="1077">
        <v>3</v>
      </c>
      <c r="K2580" s="1077" t="s">
        <v>7827</v>
      </c>
      <c r="L2580" s="1077" t="s">
        <v>6043</v>
      </c>
      <c r="M2580" s="1077">
        <v>308</v>
      </c>
      <c r="N2580" s="1077" t="s">
        <v>945</v>
      </c>
      <c r="O2580" s="1077">
        <v>7.7</v>
      </c>
      <c r="P2580" s="1077">
        <v>6.16</v>
      </c>
      <c r="Q2580" s="1077">
        <v>4</v>
      </c>
      <c r="R2580" s="1077">
        <v>22</v>
      </c>
      <c r="T2580" s="1077">
        <v>23.5</v>
      </c>
      <c r="U2580" s="1077">
        <v>4</v>
      </c>
      <c r="V2580" s="1077" t="s">
        <v>648</v>
      </c>
      <c r="W2580" s="1077">
        <v>135</v>
      </c>
      <c r="X2580" s="1077">
        <v>90</v>
      </c>
      <c r="Y2580" s="1077">
        <v>1.4</v>
      </c>
      <c r="Z2580" s="1077" t="s">
        <v>648</v>
      </c>
      <c r="AA2580" s="1077" t="s">
        <v>2049</v>
      </c>
      <c r="AH2580" s="1077" t="s">
        <v>1178</v>
      </c>
      <c r="AI2580" s="1077">
        <v>94.98</v>
      </c>
      <c r="AJ2580" s="1077">
        <v>-0.51</v>
      </c>
      <c r="AK2580" s="1077">
        <v>1.55</v>
      </c>
      <c r="AM2580" s="1078" t="s">
        <v>14097</v>
      </c>
      <c r="AN2580" s="1078" t="s">
        <v>14098</v>
      </c>
      <c r="AO2580" s="1078">
        <f t="shared" si="326"/>
        <v>500</v>
      </c>
      <c r="AP2580" s="1078">
        <f t="shared" si="327"/>
        <v>1.7649999999999999</v>
      </c>
      <c r="AQ2580" s="1078" t="str">
        <f t="shared" si="328"/>
        <v>1-5-1S85°Z+S</v>
      </c>
      <c r="AR2580" s="1078" t="str">
        <f t="shared" si="329"/>
        <v>NA</v>
      </c>
      <c r="AS2580" s="1078" t="str">
        <f t="shared" si="330"/>
        <v>178/OFF</v>
      </c>
      <c r="AT2580" s="1078" t="str">
        <f t="shared" si="331"/>
        <v>1-5-1S85°Z+S</v>
      </c>
      <c r="AU2580" s="1078" t="s">
        <v>15547</v>
      </c>
      <c r="AV2580" s="1078" t="str">
        <f t="shared" si="324"/>
        <v>113.8.12</v>
      </c>
      <c r="AW2580" s="1344">
        <f t="shared" si="325"/>
        <v>45516</v>
      </c>
    </row>
    <row r="2581" spans="1:49">
      <c r="A2581" s="1077" t="s">
        <v>7900</v>
      </c>
      <c r="B2581" s="1077" t="s">
        <v>7283</v>
      </c>
      <c r="C2581" s="1077">
        <v>600</v>
      </c>
      <c r="D2581" s="1077">
        <v>1.79</v>
      </c>
      <c r="E2581" s="1077" t="s">
        <v>15116</v>
      </c>
      <c r="F2581" s="1077" t="s">
        <v>2234</v>
      </c>
      <c r="G2581" s="1077">
        <v>3.5</v>
      </c>
      <c r="H2581" s="1077" t="s">
        <v>6952</v>
      </c>
      <c r="I2581" s="1077" t="s">
        <v>6953</v>
      </c>
      <c r="J2581" s="1077">
        <v>3</v>
      </c>
      <c r="K2581" s="1077" t="s">
        <v>7901</v>
      </c>
      <c r="L2581" s="1077" t="s">
        <v>7286</v>
      </c>
      <c r="M2581" s="1077">
        <v>310</v>
      </c>
      <c r="N2581" s="1077" t="s">
        <v>945</v>
      </c>
      <c r="O2581" s="1077">
        <v>7.75</v>
      </c>
      <c r="P2581" s="1077">
        <v>6.2</v>
      </c>
      <c r="Q2581" s="1077">
        <v>3.5</v>
      </c>
      <c r="R2581" s="1077">
        <v>22</v>
      </c>
      <c r="T2581" s="1077">
        <v>22</v>
      </c>
      <c r="U2581" s="1077">
        <v>3.5</v>
      </c>
      <c r="V2581" s="1077" t="s">
        <v>648</v>
      </c>
      <c r="W2581" s="1077">
        <v>110</v>
      </c>
      <c r="X2581" s="1077">
        <v>85</v>
      </c>
      <c r="Y2581" s="1077">
        <v>1</v>
      </c>
      <c r="Z2581" s="1077" t="s">
        <v>648</v>
      </c>
      <c r="AA2581" s="1077" t="s">
        <v>7902</v>
      </c>
      <c r="AH2581" s="1077" t="s">
        <v>830</v>
      </c>
      <c r="AI2581" s="1077">
        <v>26.45</v>
      </c>
      <c r="AJ2581" s="1077">
        <v>9</v>
      </c>
      <c r="AK2581" s="1077">
        <v>1.77</v>
      </c>
      <c r="AM2581" s="1078" t="s">
        <v>14099</v>
      </c>
      <c r="AN2581" s="1078" t="s">
        <v>13963</v>
      </c>
      <c r="AO2581" s="1078">
        <f t="shared" si="326"/>
        <v>600</v>
      </c>
      <c r="AP2581" s="1078">
        <f t="shared" si="327"/>
        <v>1.79</v>
      </c>
      <c r="AQ2581" s="1078" t="str">
        <f t="shared" si="328"/>
        <v>1-5-1S83°Z+S</v>
      </c>
      <c r="AR2581" s="1078" t="str">
        <f t="shared" si="329"/>
        <v>33.5</v>
      </c>
      <c r="AS2581" s="1078" t="str">
        <f t="shared" si="330"/>
        <v>340/340/140</v>
      </c>
      <c r="AT2581" s="1078" t="str">
        <f t="shared" si="331"/>
        <v>1-5-1S83°Z+S</v>
      </c>
      <c r="AU2581" s="1078" t="s">
        <v>15547</v>
      </c>
      <c r="AV2581" s="1078" t="str">
        <f t="shared" si="324"/>
        <v>113.8.23</v>
      </c>
      <c r="AW2581" s="1344">
        <f t="shared" si="325"/>
        <v>45527</v>
      </c>
    </row>
    <row r="2582" spans="1:49">
      <c r="A2582" s="1077" t="s">
        <v>7903</v>
      </c>
      <c r="B2582" s="1077" t="s">
        <v>760</v>
      </c>
      <c r="C2582" s="1077">
        <v>500</v>
      </c>
      <c r="D2582" s="1077">
        <v>1.8149999999999999</v>
      </c>
      <c r="E2582" s="1077" t="s">
        <v>15122</v>
      </c>
      <c r="F2582" s="1077" t="s">
        <v>975</v>
      </c>
      <c r="G2582" s="1077">
        <v>5</v>
      </c>
      <c r="H2582" s="1077" t="s">
        <v>7880</v>
      </c>
      <c r="I2582" s="1077" t="s">
        <v>7137</v>
      </c>
      <c r="K2582" s="1077" t="s">
        <v>7904</v>
      </c>
      <c r="L2582" s="1077" t="s">
        <v>6118</v>
      </c>
      <c r="M2582" s="1077">
        <v>290</v>
      </c>
      <c r="N2582" s="1077" t="s">
        <v>945</v>
      </c>
      <c r="O2582" s="1077">
        <v>7.25</v>
      </c>
      <c r="P2582" s="1077">
        <v>5.8</v>
      </c>
      <c r="Q2582" s="1077">
        <v>3.5</v>
      </c>
      <c r="R2582" s="1077">
        <v>20</v>
      </c>
      <c r="T2582" s="1077">
        <v>22</v>
      </c>
      <c r="U2582" s="1077">
        <v>3.8</v>
      </c>
      <c r="V2582" s="1077" t="s">
        <v>648</v>
      </c>
      <c r="W2582" s="1077">
        <v>120</v>
      </c>
      <c r="X2582" s="1077">
        <v>20</v>
      </c>
      <c r="Y2582" s="1077">
        <v>1.6</v>
      </c>
      <c r="Z2582" s="1077" t="s">
        <v>648</v>
      </c>
      <c r="AA2582" s="1077" t="s">
        <v>7905</v>
      </c>
      <c r="AH2582" s="1077" t="s">
        <v>456</v>
      </c>
      <c r="AI2582" s="1077">
        <v>15.49</v>
      </c>
      <c r="AJ2582" s="1077">
        <v>-0.03</v>
      </c>
      <c r="AK2582" s="1077">
        <v>0.11</v>
      </c>
      <c r="AM2582" s="1078" t="s">
        <v>14100</v>
      </c>
      <c r="AN2582" s="1078" t="s">
        <v>10916</v>
      </c>
      <c r="AO2582" s="1078">
        <f t="shared" si="326"/>
        <v>500</v>
      </c>
      <c r="AP2582" s="1078">
        <f t="shared" si="327"/>
        <v>1.8149999999999999</v>
      </c>
      <c r="AQ2582" s="1078" t="str">
        <f t="shared" si="328"/>
        <v>1-5-1S91°Z+S</v>
      </c>
      <c r="AR2582" s="1078" t="str">
        <f t="shared" si="329"/>
        <v>31.5</v>
      </c>
      <c r="AS2582" s="1078" t="str">
        <f t="shared" si="330"/>
        <v>310/310/150</v>
      </c>
      <c r="AT2582" s="1078" t="str">
        <f t="shared" si="331"/>
        <v>1-5-1S91°Z+S</v>
      </c>
      <c r="AU2582" s="1078" t="s">
        <v>15547</v>
      </c>
      <c r="AV2582" s="1078" t="str">
        <f t="shared" si="324"/>
        <v>113.8.26</v>
      </c>
      <c r="AW2582" s="1344">
        <f t="shared" si="325"/>
        <v>45530</v>
      </c>
    </row>
    <row r="2583" spans="1:49">
      <c r="A2583" s="1077" t="s">
        <v>7906</v>
      </c>
      <c r="B2583" s="1077" t="s">
        <v>714</v>
      </c>
      <c r="C2583" s="1077">
        <v>650</v>
      </c>
      <c r="D2583" s="1077">
        <v>1.77</v>
      </c>
      <c r="E2583" s="1077" t="s">
        <v>15121</v>
      </c>
      <c r="F2583" s="1077" t="s">
        <v>648</v>
      </c>
      <c r="G2583" s="1077">
        <v>5</v>
      </c>
      <c r="H2583" s="1077" t="s">
        <v>7708</v>
      </c>
      <c r="I2583" s="1077" t="s">
        <v>7838</v>
      </c>
      <c r="J2583" s="1077">
        <v>3.7</v>
      </c>
      <c r="K2583" s="1077" t="s">
        <v>7907</v>
      </c>
      <c r="L2583" s="1077" t="s">
        <v>4666</v>
      </c>
      <c r="M2583" s="1077">
        <v>298.8</v>
      </c>
      <c r="N2583" s="1077" t="s">
        <v>945</v>
      </c>
      <c r="O2583" s="1077">
        <v>7.4700000000000006</v>
      </c>
      <c r="P2583" s="1077">
        <v>5.976</v>
      </c>
      <c r="Q2583" s="1077">
        <v>4</v>
      </c>
      <c r="R2583" s="1077">
        <v>20.5</v>
      </c>
      <c r="T2583" s="1077">
        <v>21</v>
      </c>
      <c r="U2583" s="1077">
        <v>3.5</v>
      </c>
      <c r="V2583" s="1077" t="s">
        <v>648</v>
      </c>
      <c r="W2583" s="1077">
        <v>20</v>
      </c>
      <c r="X2583" s="1077">
        <v>10</v>
      </c>
      <c r="Y2583" s="1077">
        <v>1.2</v>
      </c>
      <c r="Z2583" s="1077" t="s">
        <v>648</v>
      </c>
      <c r="AA2583" s="1077" t="s">
        <v>7908</v>
      </c>
      <c r="AH2583" s="1077" t="s">
        <v>868</v>
      </c>
      <c r="AI2583" s="1077">
        <v>95.36</v>
      </c>
      <c r="AJ2583" s="1077">
        <v>-0.64</v>
      </c>
      <c r="AK2583" s="1077">
        <v>1.99</v>
      </c>
      <c r="AM2583" s="1078" t="s">
        <v>14101</v>
      </c>
      <c r="AN2583" s="1078" t="s">
        <v>14102</v>
      </c>
      <c r="AO2583" s="1078">
        <f t="shared" si="326"/>
        <v>650</v>
      </c>
      <c r="AP2583" s="1078">
        <f t="shared" si="327"/>
        <v>1.77</v>
      </c>
      <c r="AQ2583" s="1078" t="str">
        <f t="shared" si="328"/>
        <v>1-5-1S85°S+Z</v>
      </c>
      <c r="AR2583" s="1078" t="str">
        <f t="shared" si="329"/>
        <v>NA</v>
      </c>
      <c r="AS2583" s="1078" t="str">
        <f t="shared" si="330"/>
        <v>179/173</v>
      </c>
      <c r="AT2583" s="1078" t="str">
        <f t="shared" si="331"/>
        <v>1-5-1S85°S+Z</v>
      </c>
      <c r="AU2583" s="1078" t="s">
        <v>15550</v>
      </c>
      <c r="AV2583" s="1078" t="str">
        <f t="shared" si="324"/>
        <v>113.9.16</v>
      </c>
      <c r="AW2583" s="1344">
        <f t="shared" si="325"/>
        <v>45551</v>
      </c>
    </row>
    <row r="2584" spans="1:49">
      <c r="A2584" s="1077" t="s">
        <v>7909</v>
      </c>
      <c r="B2584" s="1077" t="s">
        <v>7068</v>
      </c>
      <c r="C2584" s="1077">
        <v>500</v>
      </c>
      <c r="D2584" s="1077">
        <v>1.7949999999999999</v>
      </c>
      <c r="E2584" s="1077" t="s">
        <v>15122</v>
      </c>
      <c r="F2584" s="1077" t="s">
        <v>975</v>
      </c>
      <c r="G2584" s="1077">
        <v>5</v>
      </c>
      <c r="H2584" s="1077" t="s">
        <v>1793</v>
      </c>
      <c r="I2584" s="1077" t="s">
        <v>7095</v>
      </c>
      <c r="K2584" s="1077" t="s">
        <v>7910</v>
      </c>
      <c r="L2584" s="1077" t="s">
        <v>5037</v>
      </c>
      <c r="M2584" s="1077">
        <v>293.2</v>
      </c>
      <c r="N2584" s="1077" t="s">
        <v>945</v>
      </c>
      <c r="O2584" s="1077">
        <v>7.33</v>
      </c>
      <c r="P2584" s="1077">
        <v>5.8639999999999999</v>
      </c>
      <c r="Q2584" s="1077">
        <v>3.5</v>
      </c>
      <c r="R2584" s="1077">
        <v>21</v>
      </c>
      <c r="T2584" s="1077">
        <v>25</v>
      </c>
      <c r="U2584" s="1077">
        <v>4.2</v>
      </c>
      <c r="V2584" s="1077" t="s">
        <v>648</v>
      </c>
      <c r="W2584" s="1077">
        <v>110</v>
      </c>
      <c r="X2584" s="1077">
        <v>20</v>
      </c>
      <c r="Y2584" s="1077">
        <v>1.6</v>
      </c>
      <c r="Z2584" s="1077" t="s">
        <v>648</v>
      </c>
      <c r="AA2584" s="1077" t="s">
        <v>2098</v>
      </c>
      <c r="AH2584" s="1077" t="s">
        <v>1238</v>
      </c>
      <c r="AI2584" s="1077">
        <v>15.59</v>
      </c>
      <c r="AJ2584" s="1077">
        <v>0.2</v>
      </c>
      <c r="AK2584" s="1077">
        <v>0.91</v>
      </c>
      <c r="AM2584" s="1078" t="s">
        <v>14103</v>
      </c>
      <c r="AN2584" s="1078" t="s">
        <v>14104</v>
      </c>
      <c r="AO2584" s="1078">
        <f t="shared" si="326"/>
        <v>500</v>
      </c>
      <c r="AP2584" s="1078">
        <f t="shared" si="327"/>
        <v>1.7949999999999999</v>
      </c>
      <c r="AQ2584" s="1078" t="str">
        <f t="shared" si="328"/>
        <v>1-5-1S91°Z+S</v>
      </c>
      <c r="AR2584" s="1078" t="str">
        <f t="shared" si="329"/>
        <v>31.5</v>
      </c>
      <c r="AS2584" s="1078" t="str">
        <f t="shared" si="330"/>
        <v>270/270/OFF</v>
      </c>
      <c r="AT2584" s="1078" t="str">
        <f t="shared" si="331"/>
        <v>1-5-1S91°Z+S</v>
      </c>
      <c r="AU2584" s="1078" t="s">
        <v>15547</v>
      </c>
      <c r="AV2584" s="1078" t="str">
        <f t="shared" si="324"/>
        <v>113.10.4</v>
      </c>
      <c r="AW2584" s="1344">
        <f t="shared" si="325"/>
        <v>45569</v>
      </c>
    </row>
    <row r="2585" spans="1:49">
      <c r="A2585" s="1077" t="s">
        <v>7911</v>
      </c>
      <c r="B2585" s="1077" t="s">
        <v>855</v>
      </c>
      <c r="C2585" s="1077">
        <v>500</v>
      </c>
      <c r="D2585" s="1077">
        <v>1.76</v>
      </c>
      <c r="E2585" s="1077" t="s">
        <v>15109</v>
      </c>
      <c r="F2585" s="1077" t="s">
        <v>648</v>
      </c>
      <c r="G2585" s="1077">
        <v>5.5</v>
      </c>
      <c r="H2585" s="1077" t="s">
        <v>4776</v>
      </c>
      <c r="I2585" s="1077" t="s">
        <v>7021</v>
      </c>
      <c r="K2585" s="1077" t="s">
        <v>7750</v>
      </c>
      <c r="L2585" s="1077" t="s">
        <v>7836</v>
      </c>
      <c r="M2585" s="1077">
        <v>295</v>
      </c>
      <c r="N2585" s="1077" t="s">
        <v>945</v>
      </c>
      <c r="O2585" s="1077">
        <v>7.375</v>
      </c>
      <c r="P2585" s="1077">
        <v>5.9</v>
      </c>
      <c r="Q2585" s="1077">
        <v>4</v>
      </c>
      <c r="R2585" s="1077">
        <v>19</v>
      </c>
      <c r="T2585" s="1077">
        <v>27.8</v>
      </c>
      <c r="U2585" s="1077">
        <v>3.9</v>
      </c>
      <c r="V2585" s="1077" t="s">
        <v>648</v>
      </c>
      <c r="W2585" s="1077">
        <v>125</v>
      </c>
      <c r="X2585" s="1077">
        <v>90</v>
      </c>
      <c r="Y2585" s="1077">
        <v>1.5</v>
      </c>
      <c r="Z2585" s="1077" t="s">
        <v>648</v>
      </c>
      <c r="AA2585" s="1077" t="s">
        <v>1865</v>
      </c>
      <c r="AH2585" s="1077" t="s">
        <v>831</v>
      </c>
      <c r="AI2585" s="1077">
        <v>90.87</v>
      </c>
      <c r="AJ2585" s="1077">
        <v>-0.23</v>
      </c>
      <c r="AK2585" s="1077">
        <v>1.78</v>
      </c>
      <c r="AM2585" s="1078" t="s">
        <v>14105</v>
      </c>
      <c r="AN2585" s="1078" t="s">
        <v>14106</v>
      </c>
      <c r="AO2585" s="1078">
        <f t="shared" si="326"/>
        <v>500</v>
      </c>
      <c r="AP2585" s="1078">
        <f t="shared" si="327"/>
        <v>1.76</v>
      </c>
      <c r="AQ2585" s="1078" t="str">
        <f t="shared" si="328"/>
        <v>1-5-1S85°Z+S</v>
      </c>
      <c r="AR2585" s="1078" t="str">
        <f t="shared" si="329"/>
        <v>NA</v>
      </c>
      <c r="AS2585" s="1078" t="str">
        <f t="shared" si="330"/>
        <v>178/OFF</v>
      </c>
      <c r="AT2585" s="1078" t="str">
        <f t="shared" si="331"/>
        <v>1-5-1S85°Z+S</v>
      </c>
      <c r="AU2585" s="1078" t="s">
        <v>15547</v>
      </c>
      <c r="AV2585" s="1078" t="str">
        <f t="shared" si="324"/>
        <v>113.5.9</v>
      </c>
      <c r="AW2585" s="1344">
        <f t="shared" si="325"/>
        <v>45421</v>
      </c>
    </row>
    <row r="2586" spans="1:49">
      <c r="A2586" s="1077" t="s">
        <v>7912</v>
      </c>
      <c r="B2586" s="1077" t="s">
        <v>663</v>
      </c>
      <c r="C2586" s="1077">
        <v>650</v>
      </c>
      <c r="D2586" s="1077">
        <v>1.84</v>
      </c>
      <c r="E2586" s="1077" t="s">
        <v>15109</v>
      </c>
      <c r="F2586" s="1077" t="s">
        <v>648</v>
      </c>
      <c r="G2586" s="1077">
        <v>5.5</v>
      </c>
      <c r="H2586" s="1077" t="s">
        <v>3482</v>
      </c>
      <c r="I2586" s="1077" t="s">
        <v>7913</v>
      </c>
      <c r="K2586" s="1077" t="s">
        <v>7914</v>
      </c>
      <c r="L2586" s="1077" t="s">
        <v>6238</v>
      </c>
      <c r="M2586" s="1077">
        <v>296</v>
      </c>
      <c r="N2586" s="1077" t="s">
        <v>945</v>
      </c>
      <c r="O2586" s="1077">
        <v>7.4</v>
      </c>
      <c r="P2586" s="1077">
        <v>5.92</v>
      </c>
      <c r="Q2586" s="1077">
        <v>3</v>
      </c>
      <c r="R2586" s="1077">
        <v>17</v>
      </c>
      <c r="T2586" s="1077">
        <v>10.5</v>
      </c>
      <c r="U2586" s="1077">
        <v>6.1</v>
      </c>
      <c r="V2586" s="1077" t="s">
        <v>648</v>
      </c>
      <c r="W2586" s="1077">
        <v>110</v>
      </c>
      <c r="X2586" s="1077">
        <v>90</v>
      </c>
      <c r="Y2586" s="1077">
        <v>1.1000000000000001</v>
      </c>
      <c r="Z2586" s="1077" t="s">
        <v>648</v>
      </c>
      <c r="AA2586" s="1077" t="s">
        <v>2137</v>
      </c>
      <c r="AB2586" s="1077" t="s">
        <v>6617</v>
      </c>
      <c r="AH2586" s="1077" t="s">
        <v>646</v>
      </c>
      <c r="AI2586" s="1077">
        <v>90.23</v>
      </c>
      <c r="AJ2586" s="1077">
        <v>-1.38</v>
      </c>
      <c r="AK2586" s="1077">
        <v>6.3</v>
      </c>
      <c r="AM2586" s="1078" t="s">
        <v>14107</v>
      </c>
      <c r="AN2586" s="1078" t="s">
        <v>14108</v>
      </c>
      <c r="AO2586" s="1078">
        <f t="shared" si="326"/>
        <v>650</v>
      </c>
      <c r="AP2586" s="1078">
        <f t="shared" si="327"/>
        <v>1.84</v>
      </c>
      <c r="AQ2586" s="1078" t="str">
        <f t="shared" si="328"/>
        <v>1-5-1S85°Z+S</v>
      </c>
      <c r="AR2586" s="1078" t="str">
        <f t="shared" si="329"/>
        <v>NA</v>
      </c>
      <c r="AS2586" s="1078" t="str">
        <f t="shared" si="330"/>
        <v>170/160</v>
      </c>
      <c r="AT2586" s="1078" t="str">
        <f t="shared" si="331"/>
        <v>1-5-1S85°Z+S</v>
      </c>
      <c r="AU2586" s="1078" t="s">
        <v>15547</v>
      </c>
      <c r="AV2586" s="1078" t="str">
        <f t="shared" si="324"/>
        <v>113.10.14</v>
      </c>
      <c r="AW2586" s="1344">
        <f t="shared" si="325"/>
        <v>45579</v>
      </c>
    </row>
    <row r="2587" spans="1:49">
      <c r="A2587" s="1077" t="s">
        <v>7915</v>
      </c>
      <c r="B2587" s="1077" t="s">
        <v>6940</v>
      </c>
      <c r="C2587" s="1077">
        <v>500</v>
      </c>
      <c r="D2587" s="1077">
        <v>1.7849999999999999</v>
      </c>
      <c r="E2587" s="1077" t="s">
        <v>15122</v>
      </c>
      <c r="F2587" s="1077" t="s">
        <v>984</v>
      </c>
      <c r="G2587" s="1077">
        <v>5</v>
      </c>
      <c r="H2587" s="1077" t="s">
        <v>955</v>
      </c>
      <c r="I2587" s="1077" t="s">
        <v>7105</v>
      </c>
      <c r="J2587" s="1077">
        <v>1</v>
      </c>
      <c r="K2587" s="1077" t="s">
        <v>7848</v>
      </c>
      <c r="L2587" s="1077" t="s">
        <v>4952</v>
      </c>
      <c r="M2587" s="1077">
        <v>308.39999999999998</v>
      </c>
      <c r="N2587" s="1077" t="s">
        <v>945</v>
      </c>
      <c r="O2587" s="1077">
        <v>7.71</v>
      </c>
      <c r="P2587" s="1077">
        <v>6.1679999999999993</v>
      </c>
      <c r="Q2587" s="1077">
        <v>2.8</v>
      </c>
      <c r="R2587" s="1077">
        <v>26</v>
      </c>
      <c r="T2587" s="1077">
        <v>14.5</v>
      </c>
      <c r="U2587" s="1077">
        <v>5</v>
      </c>
      <c r="V2587" s="1077" t="s">
        <v>648</v>
      </c>
      <c r="W2587" s="1077" t="s">
        <v>6990</v>
      </c>
      <c r="X2587" s="1077">
        <v>10</v>
      </c>
      <c r="Y2587" s="1077">
        <v>1.7</v>
      </c>
      <c r="Z2587" s="1077" t="s">
        <v>648</v>
      </c>
      <c r="AA2587" s="1077" t="s">
        <v>2140</v>
      </c>
      <c r="AB2587" s="1077" t="s">
        <v>7916</v>
      </c>
      <c r="AH2587" s="1077" t="s">
        <v>1221</v>
      </c>
      <c r="AI2587" s="1077">
        <v>15.85</v>
      </c>
      <c r="AJ2587" s="1077">
        <v>0.22</v>
      </c>
      <c r="AK2587" s="1077">
        <v>0.57999999999999996</v>
      </c>
      <c r="AM2587" s="1078" t="s">
        <v>14109</v>
      </c>
      <c r="AN2587" s="1078" t="s">
        <v>14110</v>
      </c>
      <c r="AO2587" s="1078">
        <f t="shared" si="326"/>
        <v>500</v>
      </c>
      <c r="AP2587" s="1078">
        <f t="shared" si="327"/>
        <v>1.7849999999999999</v>
      </c>
      <c r="AQ2587" s="1078" t="str">
        <f t="shared" si="328"/>
        <v>1-5-1S91°Z+S</v>
      </c>
      <c r="AR2587" s="1078" t="str">
        <f t="shared" si="329"/>
        <v>30</v>
      </c>
      <c r="AS2587" s="1078" t="str">
        <f t="shared" si="330"/>
        <v>260/260/OFF</v>
      </c>
      <c r="AT2587" s="1078" t="str">
        <f t="shared" si="331"/>
        <v>1-5-1S91°Z+S</v>
      </c>
      <c r="AU2587" s="1078" t="s">
        <v>15547</v>
      </c>
      <c r="AV2587" s="1078" t="str">
        <f t="shared" si="324"/>
        <v>113.10.23</v>
      </c>
      <c r="AW2587" s="1344">
        <f t="shared" si="325"/>
        <v>45588</v>
      </c>
    </row>
    <row r="2588" spans="1:49">
      <c r="A2588" s="1077" t="s">
        <v>7917</v>
      </c>
      <c r="B2588" s="1077" t="s">
        <v>775</v>
      </c>
      <c r="C2588" s="1077">
        <v>600</v>
      </c>
      <c r="D2588" s="1077">
        <v>1.81</v>
      </c>
      <c r="E2588" s="1077" t="s">
        <v>15116</v>
      </c>
      <c r="F2588" s="1077" t="s">
        <v>2234</v>
      </c>
      <c r="G2588" s="1077">
        <v>4</v>
      </c>
      <c r="H2588" s="1077" t="s">
        <v>7918</v>
      </c>
      <c r="I2588" s="1077" t="s">
        <v>7319</v>
      </c>
      <c r="K2588" s="1077" t="s">
        <v>7841</v>
      </c>
      <c r="L2588" s="1077" t="s">
        <v>7842</v>
      </c>
      <c r="M2588" s="1077">
        <v>303</v>
      </c>
      <c r="N2588" s="1077" t="s">
        <v>945</v>
      </c>
      <c r="O2588" s="1077">
        <v>7.5750000000000002</v>
      </c>
      <c r="P2588" s="1077">
        <v>6.0600000000000005</v>
      </c>
      <c r="Q2588" s="1077">
        <v>3.5</v>
      </c>
      <c r="R2588" s="1077">
        <v>24</v>
      </c>
      <c r="T2588" s="1077">
        <v>16</v>
      </c>
      <c r="U2588" s="1077">
        <v>3</v>
      </c>
      <c r="V2588" s="1077" t="s">
        <v>648</v>
      </c>
      <c r="W2588" s="1077">
        <v>90</v>
      </c>
      <c r="X2588" s="1077">
        <v>10</v>
      </c>
      <c r="Y2588" s="1077">
        <v>1.5</v>
      </c>
      <c r="Z2588" s="1077" t="s">
        <v>648</v>
      </c>
      <c r="AA2588" s="1077" t="s">
        <v>7919</v>
      </c>
      <c r="AH2588" s="1077" t="s">
        <v>870</v>
      </c>
      <c r="AI2588" s="1077">
        <v>58.07</v>
      </c>
      <c r="AJ2588" s="1077">
        <v>1.54</v>
      </c>
      <c r="AK2588" s="1077">
        <v>9.77</v>
      </c>
      <c r="AM2588" s="1078" t="s">
        <v>14111</v>
      </c>
      <c r="AN2588" s="1078" t="s">
        <v>14112</v>
      </c>
      <c r="AO2588" s="1078">
        <f t="shared" si="326"/>
        <v>600</v>
      </c>
      <c r="AP2588" s="1078">
        <f t="shared" si="327"/>
        <v>1.81</v>
      </c>
      <c r="AQ2588" s="1078" t="str">
        <f t="shared" si="328"/>
        <v>1-5-1S83°Z+S</v>
      </c>
      <c r="AR2588" s="1078" t="str">
        <f t="shared" si="329"/>
        <v>33.5</v>
      </c>
      <c r="AS2588" s="1078" t="str">
        <f t="shared" si="330"/>
        <v>325/325/190</v>
      </c>
      <c r="AT2588" s="1078" t="str">
        <f t="shared" si="331"/>
        <v>1-5-1S83°Z+S</v>
      </c>
      <c r="AU2588" s="1078" t="s">
        <v>15547</v>
      </c>
      <c r="AV2588" s="1078" t="str">
        <f t="shared" si="324"/>
        <v>113.11.6</v>
      </c>
      <c r="AW2588" s="1344">
        <f t="shared" si="325"/>
        <v>45602</v>
      </c>
    </row>
    <row r="2589" spans="1:49">
      <c r="A2589" s="1077" t="s">
        <v>7920</v>
      </c>
      <c r="B2589" s="1077" t="s">
        <v>7214</v>
      </c>
      <c r="C2589" s="1077">
        <v>500</v>
      </c>
      <c r="D2589" s="1077">
        <v>1.76</v>
      </c>
      <c r="E2589" s="1077" t="s">
        <v>15109</v>
      </c>
      <c r="F2589" s="1077" t="s">
        <v>648</v>
      </c>
      <c r="G2589" s="1077">
        <v>5</v>
      </c>
      <c r="H2589" s="1077" t="s">
        <v>4776</v>
      </c>
      <c r="I2589" s="1077" t="s">
        <v>7921</v>
      </c>
      <c r="J2589" s="1077">
        <v>3</v>
      </c>
      <c r="K2589" s="1077" t="s">
        <v>7922</v>
      </c>
      <c r="L2589" s="1077" t="s">
        <v>6043</v>
      </c>
      <c r="M2589" s="1077">
        <v>308</v>
      </c>
      <c r="N2589" s="1077" t="s">
        <v>945</v>
      </c>
      <c r="O2589" s="1077">
        <v>7.7</v>
      </c>
      <c r="P2589" s="1077">
        <v>6.16</v>
      </c>
      <c r="Q2589" s="1077">
        <v>4</v>
      </c>
      <c r="R2589" s="1077">
        <v>22</v>
      </c>
      <c r="T2589" s="1077">
        <v>23.5</v>
      </c>
      <c r="U2589" s="1077">
        <v>4</v>
      </c>
      <c r="V2589" s="1077" t="s">
        <v>648</v>
      </c>
      <c r="W2589" s="1077">
        <v>135</v>
      </c>
      <c r="X2589" s="1077">
        <v>90</v>
      </c>
      <c r="Y2589" s="1077">
        <v>1.4</v>
      </c>
      <c r="Z2589" s="1077" t="s">
        <v>648</v>
      </c>
      <c r="AA2589" s="1077" t="s">
        <v>4553</v>
      </c>
      <c r="AH2589" s="1077" t="s">
        <v>842</v>
      </c>
      <c r="AI2589" s="1077">
        <v>94.78</v>
      </c>
      <c r="AJ2589" s="1077">
        <v>-0.8</v>
      </c>
      <c r="AK2589" s="1077">
        <v>2.14</v>
      </c>
      <c r="AM2589" s="1078" t="s">
        <v>14113</v>
      </c>
      <c r="AN2589" s="1078" t="s">
        <v>14114</v>
      </c>
      <c r="AO2589" s="1078">
        <f t="shared" si="326"/>
        <v>500</v>
      </c>
      <c r="AP2589" s="1078">
        <f t="shared" si="327"/>
        <v>1.76</v>
      </c>
      <c r="AQ2589" s="1078" t="str">
        <f t="shared" si="328"/>
        <v>1-5-1S85°Z+S</v>
      </c>
      <c r="AR2589" s="1078" t="str">
        <f t="shared" si="329"/>
        <v>NA</v>
      </c>
      <c r="AS2589" s="1078" t="str">
        <f t="shared" si="330"/>
        <v>178/OFF</v>
      </c>
      <c r="AT2589" s="1078" t="str">
        <f t="shared" si="331"/>
        <v>1-5-1S85°Z+S</v>
      </c>
      <c r="AU2589" s="1078" t="s">
        <v>15547</v>
      </c>
      <c r="AV2589" s="1078" t="str">
        <f t="shared" si="324"/>
        <v>113.11.13</v>
      </c>
      <c r="AW2589" s="1344">
        <f t="shared" si="325"/>
        <v>45609</v>
      </c>
    </row>
    <row r="2590" spans="1:49">
      <c r="A2590" s="1077" t="s">
        <v>7923</v>
      </c>
      <c r="B2590" s="1077" t="s">
        <v>663</v>
      </c>
      <c r="C2590" s="1077">
        <v>600</v>
      </c>
      <c r="D2590" s="1077">
        <v>1.8049999999999999</v>
      </c>
      <c r="E2590" s="1077" t="s">
        <v>15121</v>
      </c>
      <c r="F2590" s="1077" t="s">
        <v>648</v>
      </c>
      <c r="G2590" s="1077">
        <v>5</v>
      </c>
      <c r="H2590" s="1077" t="s">
        <v>2135</v>
      </c>
      <c r="I2590" s="1077" t="s">
        <v>6867</v>
      </c>
      <c r="K2590" s="1077" t="s">
        <v>7924</v>
      </c>
      <c r="L2590" s="1077" t="s">
        <v>6238</v>
      </c>
      <c r="M2590" s="1077">
        <v>296.39999999999998</v>
      </c>
      <c r="N2590" s="1077" t="s">
        <v>945</v>
      </c>
      <c r="O2590" s="1077">
        <v>7.41</v>
      </c>
      <c r="P2590" s="1077">
        <v>5.9279999999999999</v>
      </c>
      <c r="Q2590" s="1077">
        <v>3.5</v>
      </c>
      <c r="R2590" s="1077">
        <v>20</v>
      </c>
      <c r="T2590" s="1077">
        <v>14.7</v>
      </c>
      <c r="U2590" s="1077">
        <v>5.5</v>
      </c>
      <c r="V2590" s="1077" t="s">
        <v>648</v>
      </c>
      <c r="W2590" s="1077" t="s">
        <v>2816</v>
      </c>
      <c r="X2590" s="1077">
        <v>10</v>
      </c>
      <c r="Y2590" s="1077">
        <v>1.1000000000000001</v>
      </c>
      <c r="Z2590" s="1077" t="s">
        <v>648</v>
      </c>
      <c r="AA2590" s="1077" t="s">
        <v>7925</v>
      </c>
      <c r="AB2590" s="1077" t="s">
        <v>2162</v>
      </c>
      <c r="AH2590" s="1077" t="s">
        <v>812</v>
      </c>
      <c r="AI2590" s="1077">
        <v>91.83</v>
      </c>
      <c r="AJ2590" s="1077">
        <v>-1.07</v>
      </c>
      <c r="AK2590" s="1077">
        <v>8.2200000000000006</v>
      </c>
      <c r="AM2590" s="1078" t="s">
        <v>14115</v>
      </c>
      <c r="AN2590" s="1078" t="s">
        <v>14116</v>
      </c>
      <c r="AO2590" s="1078">
        <f t="shared" si="326"/>
        <v>600</v>
      </c>
      <c r="AP2590" s="1078">
        <f t="shared" si="327"/>
        <v>1.8049999999999999</v>
      </c>
      <c r="AQ2590" s="1078" t="str">
        <f t="shared" si="328"/>
        <v>1-5-1S85°S+Z</v>
      </c>
      <c r="AR2590" s="1078" t="str">
        <f t="shared" si="329"/>
        <v>NA</v>
      </c>
      <c r="AS2590" s="1078" t="str">
        <f t="shared" si="330"/>
        <v>165/160</v>
      </c>
      <c r="AT2590" s="1078" t="str">
        <f t="shared" si="331"/>
        <v>1-5-1S85°S+Z</v>
      </c>
      <c r="AU2590" s="1078" t="s">
        <v>15550</v>
      </c>
      <c r="AV2590" s="1078" t="str">
        <f t="shared" si="324"/>
        <v>113.11.16</v>
      </c>
      <c r="AW2590" s="1344">
        <f t="shared" si="325"/>
        <v>45612</v>
      </c>
    </row>
    <row r="2591" spans="1:49">
      <c r="A2591" s="1077" t="s">
        <v>7926</v>
      </c>
      <c r="B2591" s="1077" t="s">
        <v>663</v>
      </c>
      <c r="C2591" s="1077">
        <v>600</v>
      </c>
      <c r="D2591" s="1077">
        <v>1.84</v>
      </c>
      <c r="E2591" s="1077" t="s">
        <v>15109</v>
      </c>
      <c r="F2591" s="1077" t="s">
        <v>648</v>
      </c>
      <c r="G2591" s="1077">
        <v>5.5</v>
      </c>
      <c r="H2591" s="1077" t="s">
        <v>3764</v>
      </c>
      <c r="I2591" s="1077" t="s">
        <v>7858</v>
      </c>
      <c r="K2591" s="1077" t="s">
        <v>7927</v>
      </c>
      <c r="L2591" s="1077" t="s">
        <v>6238</v>
      </c>
      <c r="M2591" s="1077">
        <v>296</v>
      </c>
      <c r="N2591" s="1077" t="s">
        <v>945</v>
      </c>
      <c r="O2591" s="1077">
        <v>7.4</v>
      </c>
      <c r="P2591" s="1077">
        <v>5.92</v>
      </c>
      <c r="Q2591" s="1077">
        <v>3</v>
      </c>
      <c r="R2591" s="1077">
        <v>17</v>
      </c>
      <c r="T2591" s="1077">
        <v>10.5</v>
      </c>
      <c r="U2591" s="1077">
        <v>6.1</v>
      </c>
      <c r="V2591" s="1077" t="s">
        <v>648</v>
      </c>
      <c r="W2591" s="1077">
        <v>110</v>
      </c>
      <c r="X2591" s="1077">
        <v>90</v>
      </c>
      <c r="Y2591" s="1077">
        <v>1.1000000000000001</v>
      </c>
      <c r="Z2591" s="1077" t="s">
        <v>648</v>
      </c>
      <c r="AA2591" s="1077" t="s">
        <v>7928</v>
      </c>
      <c r="AB2591" s="1077" t="s">
        <v>7929</v>
      </c>
      <c r="AH2591" s="1077" t="s">
        <v>712</v>
      </c>
      <c r="AI2591" s="1077">
        <v>92.1</v>
      </c>
      <c r="AJ2591" s="1077">
        <v>-1.28</v>
      </c>
      <c r="AK2591" s="1077">
        <v>8.31</v>
      </c>
      <c r="AM2591" s="1078" t="s">
        <v>14117</v>
      </c>
      <c r="AN2591" s="1078" t="s">
        <v>14118</v>
      </c>
      <c r="AO2591" s="1078">
        <f t="shared" si="326"/>
        <v>600</v>
      </c>
      <c r="AP2591" s="1078">
        <f t="shared" si="327"/>
        <v>1.84</v>
      </c>
      <c r="AQ2591" s="1078" t="str">
        <f t="shared" si="328"/>
        <v>1-5-1S85°Z+S</v>
      </c>
      <c r="AR2591" s="1078" t="str">
        <f t="shared" si="329"/>
        <v>NA</v>
      </c>
      <c r="AS2591" s="1078" t="str">
        <f t="shared" si="330"/>
        <v>167/160</v>
      </c>
      <c r="AT2591" s="1078" t="str">
        <f t="shared" si="331"/>
        <v>1-5-1S85°Z+S</v>
      </c>
      <c r="AU2591" s="1078" t="s">
        <v>15547</v>
      </c>
      <c r="AV2591" s="1078" t="str">
        <f t="shared" si="324"/>
        <v>113.11.21</v>
      </c>
      <c r="AW2591" s="1344">
        <f t="shared" si="325"/>
        <v>45617</v>
      </c>
    </row>
    <row r="2592" spans="1:49">
      <c r="A2592" s="1077" t="s">
        <v>7930</v>
      </c>
      <c r="B2592" s="1077" t="s">
        <v>855</v>
      </c>
      <c r="C2592" s="1077">
        <v>500</v>
      </c>
      <c r="D2592" s="1077">
        <v>1.77</v>
      </c>
      <c r="E2592" s="1077" t="s">
        <v>15109</v>
      </c>
      <c r="F2592" s="1077" t="s">
        <v>648</v>
      </c>
      <c r="G2592" s="1077">
        <v>5.5</v>
      </c>
      <c r="H2592" s="1077" t="s">
        <v>4776</v>
      </c>
      <c r="I2592" s="1077" t="s">
        <v>7021</v>
      </c>
      <c r="K2592" s="1077" t="s">
        <v>7931</v>
      </c>
      <c r="L2592" s="1077" t="s">
        <v>7424</v>
      </c>
      <c r="M2592" s="1077">
        <v>295</v>
      </c>
      <c r="N2592" s="1077" t="s">
        <v>945</v>
      </c>
      <c r="O2592" s="1077">
        <v>7.375</v>
      </c>
      <c r="P2592" s="1077">
        <v>5.9</v>
      </c>
      <c r="Q2592" s="1077">
        <v>4</v>
      </c>
      <c r="R2592" s="1077">
        <v>19</v>
      </c>
      <c r="T2592" s="1077">
        <v>27.8</v>
      </c>
      <c r="U2592" s="1077">
        <v>3.9</v>
      </c>
      <c r="V2592" s="1077" t="s">
        <v>648</v>
      </c>
      <c r="W2592" s="1077">
        <v>125</v>
      </c>
      <c r="X2592" s="1077">
        <v>90</v>
      </c>
      <c r="Y2592" s="1077">
        <v>1.5</v>
      </c>
      <c r="Z2592" s="1077" t="s">
        <v>648</v>
      </c>
      <c r="AA2592" s="1077" t="s">
        <v>2160</v>
      </c>
      <c r="AH2592" s="1077" t="s">
        <v>812</v>
      </c>
      <c r="AI2592" s="1077">
        <v>91.25</v>
      </c>
      <c r="AJ2592" s="1077">
        <v>-1.79</v>
      </c>
      <c r="AK2592" s="1077">
        <v>1.72</v>
      </c>
      <c r="AM2592" s="1078" t="s">
        <v>14119</v>
      </c>
      <c r="AN2592" s="1078" t="s">
        <v>14120</v>
      </c>
      <c r="AO2592" s="1078">
        <f t="shared" si="326"/>
        <v>500</v>
      </c>
      <c r="AP2592" s="1078">
        <f t="shared" si="327"/>
        <v>1.77</v>
      </c>
      <c r="AQ2592" s="1078" t="str">
        <f t="shared" si="328"/>
        <v>1-5-1S85°Z+S</v>
      </c>
      <c r="AR2592" s="1078" t="str">
        <f t="shared" si="329"/>
        <v>NA</v>
      </c>
      <c r="AS2592" s="1078" t="str">
        <f t="shared" si="330"/>
        <v>178/OFF</v>
      </c>
      <c r="AT2592" s="1078" t="str">
        <f t="shared" si="331"/>
        <v>1-5-1S85°Z+S</v>
      </c>
      <c r="AU2592" s="1078" t="s">
        <v>15547</v>
      </c>
      <c r="AV2592" s="1078" t="str">
        <f t="shared" si="324"/>
        <v>113.11.28</v>
      </c>
      <c r="AW2592" s="1344">
        <f t="shared" si="325"/>
        <v>45624</v>
      </c>
    </row>
    <row r="2593" spans="1:49">
      <c r="A2593" s="1077" t="s">
        <v>7932</v>
      </c>
      <c r="B2593" s="1077" t="s">
        <v>467</v>
      </c>
      <c r="C2593" s="1077">
        <v>650</v>
      </c>
      <c r="D2593" s="1077">
        <v>1.8</v>
      </c>
      <c r="E2593" s="1077" t="s">
        <v>15109</v>
      </c>
      <c r="F2593" s="1077" t="s">
        <v>648</v>
      </c>
      <c r="G2593" s="1077" t="s">
        <v>6865</v>
      </c>
      <c r="H2593" s="1077" t="s">
        <v>7863</v>
      </c>
      <c r="I2593" s="1077" t="s">
        <v>6967</v>
      </c>
      <c r="J2593" s="1077">
        <v>3.7</v>
      </c>
      <c r="K2593" s="1077" t="s">
        <v>7933</v>
      </c>
      <c r="L2593" s="1077" t="s">
        <v>4666</v>
      </c>
      <c r="M2593" s="1077">
        <v>295.10000000000002</v>
      </c>
      <c r="N2593" s="1077" t="s">
        <v>945</v>
      </c>
      <c r="O2593" s="1077">
        <v>7.3775000000000013</v>
      </c>
      <c r="P2593" s="1077">
        <v>5.9020000000000001</v>
      </c>
      <c r="Q2593" s="1077">
        <v>4</v>
      </c>
      <c r="R2593" s="1077">
        <v>17.399999999999999</v>
      </c>
      <c r="T2593" s="1077">
        <v>31</v>
      </c>
      <c r="U2593" s="1077">
        <v>3.5</v>
      </c>
      <c r="V2593" s="1077" t="s">
        <v>648</v>
      </c>
      <c r="W2593" s="1077" t="s">
        <v>6880</v>
      </c>
      <c r="X2593" s="1077">
        <v>40</v>
      </c>
      <c r="Y2593" s="1077">
        <v>1</v>
      </c>
      <c r="Z2593" s="1077" t="s">
        <v>648</v>
      </c>
      <c r="AA2593" s="1077" t="s">
        <v>7934</v>
      </c>
      <c r="AH2593" s="1077" t="s">
        <v>853</v>
      </c>
      <c r="AI2593" s="1077">
        <v>94.86</v>
      </c>
      <c r="AJ2593" s="1077">
        <v>-0.4</v>
      </c>
      <c r="AK2593" s="1077">
        <v>1.7</v>
      </c>
      <c r="AM2593" s="1078" t="s">
        <v>905</v>
      </c>
      <c r="AN2593" s="1078" t="s">
        <v>14121</v>
      </c>
      <c r="AO2593" s="1078">
        <f t="shared" si="326"/>
        <v>650</v>
      </c>
      <c r="AP2593" s="1078">
        <f t="shared" si="327"/>
        <v>1.8</v>
      </c>
      <c r="AQ2593" s="1078" t="str">
        <f t="shared" si="328"/>
        <v>1-5-1S85°Z+S</v>
      </c>
      <c r="AR2593" s="1078" t="str">
        <f t="shared" si="329"/>
        <v>NA</v>
      </c>
      <c r="AS2593" s="1078" t="str">
        <f t="shared" si="330"/>
        <v>204/OFF</v>
      </c>
      <c r="AT2593" s="1078" t="str">
        <f t="shared" si="331"/>
        <v>1-5-1S85°Z+S</v>
      </c>
      <c r="AU2593" s="1078" t="s">
        <v>15547</v>
      </c>
      <c r="AV2593" s="1078" t="str">
        <f t="shared" si="324"/>
        <v>113.11.29</v>
      </c>
      <c r="AW2593" s="1344">
        <f t="shared" si="325"/>
        <v>45625</v>
      </c>
    </row>
    <row r="2594" spans="1:49">
      <c r="A2594" s="1077" t="s">
        <v>7935</v>
      </c>
      <c r="B2594" s="1077" t="s">
        <v>7068</v>
      </c>
      <c r="C2594" s="1077">
        <v>500</v>
      </c>
      <c r="D2594" s="1077">
        <v>1.8049999999999999</v>
      </c>
      <c r="E2594" s="1077" t="s">
        <v>15122</v>
      </c>
      <c r="F2594" s="1077" t="s">
        <v>975</v>
      </c>
      <c r="G2594" s="1077">
        <v>5</v>
      </c>
      <c r="H2594" s="1077" t="s">
        <v>7761</v>
      </c>
      <c r="I2594" s="1077" t="s">
        <v>7729</v>
      </c>
      <c r="K2594" s="1077" t="s">
        <v>7898</v>
      </c>
      <c r="L2594" s="1077" t="s">
        <v>5037</v>
      </c>
      <c r="M2594" s="1077">
        <v>295.5</v>
      </c>
      <c r="N2594" s="1077" t="s">
        <v>945</v>
      </c>
      <c r="O2594" s="1077">
        <v>7.3875000000000002</v>
      </c>
      <c r="P2594" s="1077">
        <v>5.91</v>
      </c>
      <c r="Q2594" s="1077">
        <v>3.5</v>
      </c>
      <c r="R2594" s="1077">
        <v>19.5</v>
      </c>
      <c r="T2594" s="1077">
        <v>20</v>
      </c>
      <c r="U2594" s="1077">
        <v>3.5</v>
      </c>
      <c r="V2594" s="1077" t="s">
        <v>648</v>
      </c>
      <c r="W2594" s="1077">
        <v>115</v>
      </c>
      <c r="X2594" s="1077">
        <v>90</v>
      </c>
      <c r="Y2594" s="1077">
        <v>1</v>
      </c>
      <c r="Z2594" s="1077" t="s">
        <v>648</v>
      </c>
      <c r="AA2594" s="1077" t="s">
        <v>2168</v>
      </c>
      <c r="AH2594" s="1077" t="s">
        <v>646</v>
      </c>
      <c r="AI2594" s="1077">
        <v>14.73</v>
      </c>
      <c r="AJ2594" s="1077">
        <v>0.14000000000000001</v>
      </c>
      <c r="AK2594" s="1077">
        <v>-0.01</v>
      </c>
      <c r="AM2594" s="1078" t="s">
        <v>14122</v>
      </c>
      <c r="AN2594" s="1078" t="s">
        <v>14123</v>
      </c>
      <c r="AO2594" s="1078">
        <f t="shared" si="326"/>
        <v>500</v>
      </c>
      <c r="AP2594" s="1078">
        <f t="shared" si="327"/>
        <v>1.8049999999999999</v>
      </c>
      <c r="AQ2594" s="1078" t="str">
        <f t="shared" si="328"/>
        <v>1-5-1S91°Z+S</v>
      </c>
      <c r="AR2594" s="1078" t="str">
        <f t="shared" si="329"/>
        <v>31.5</v>
      </c>
      <c r="AS2594" s="1078" t="str">
        <f t="shared" si="330"/>
        <v>290/290/150</v>
      </c>
      <c r="AT2594" s="1078" t="str">
        <f t="shared" si="331"/>
        <v>1-5-1S91°Z+S</v>
      </c>
      <c r="AU2594" s="1078" t="s">
        <v>15547</v>
      </c>
      <c r="AV2594" s="1078" t="str">
        <f t="shared" si="324"/>
        <v>113.12.9</v>
      </c>
      <c r="AW2594" s="1344">
        <f t="shared" si="325"/>
        <v>45635</v>
      </c>
    </row>
    <row r="2595" spans="1:49">
      <c r="A2595" s="1077" t="s">
        <v>7936</v>
      </c>
      <c r="B2595" s="1077" t="s">
        <v>7055</v>
      </c>
      <c r="C2595" s="1077">
        <v>500</v>
      </c>
      <c r="D2595" s="1077">
        <v>1.72</v>
      </c>
      <c r="E2595" s="1077" t="s">
        <v>15121</v>
      </c>
      <c r="F2595" s="1077" t="s">
        <v>648</v>
      </c>
      <c r="G2595" s="1077">
        <v>5.5</v>
      </c>
      <c r="H2595" s="1077" t="s">
        <v>1470</v>
      </c>
      <c r="I2595" s="1077" t="s">
        <v>6873</v>
      </c>
      <c r="J2595" s="1077">
        <v>3</v>
      </c>
      <c r="K2595" s="1077" t="s">
        <v>7937</v>
      </c>
      <c r="L2595" s="1077" t="s">
        <v>7938</v>
      </c>
      <c r="M2595" s="1077">
        <v>285</v>
      </c>
      <c r="N2595" s="1077" t="s">
        <v>945</v>
      </c>
      <c r="O2595" s="1077">
        <v>7.125</v>
      </c>
      <c r="P2595" s="1077">
        <v>5.7</v>
      </c>
      <c r="Q2595" s="1077">
        <v>3</v>
      </c>
      <c r="R2595" s="1077">
        <v>32</v>
      </c>
      <c r="T2595" s="1077">
        <v>17.5</v>
      </c>
      <c r="U2595" s="1077">
        <v>6</v>
      </c>
      <c r="V2595" s="1077" t="s">
        <v>648</v>
      </c>
      <c r="W2595" s="1077">
        <v>90</v>
      </c>
      <c r="X2595" s="1077">
        <v>10</v>
      </c>
      <c r="Y2595" s="1077">
        <v>1.2</v>
      </c>
      <c r="Z2595" s="1077" t="s">
        <v>648</v>
      </c>
      <c r="AA2595" s="1077" t="s">
        <v>2168</v>
      </c>
      <c r="AH2595" s="1077" t="s">
        <v>647</v>
      </c>
      <c r="AI2595" s="1077">
        <v>93.23</v>
      </c>
      <c r="AJ2595" s="1077">
        <v>-0.63</v>
      </c>
      <c r="AK2595" s="1077">
        <v>6.74</v>
      </c>
      <c r="AM2595" s="1078" t="s">
        <v>14124</v>
      </c>
      <c r="AN2595" s="1078" t="s">
        <v>14125</v>
      </c>
      <c r="AO2595" s="1078">
        <f t="shared" si="326"/>
        <v>500</v>
      </c>
      <c r="AP2595" s="1078">
        <f t="shared" si="327"/>
        <v>1.72</v>
      </c>
      <c r="AQ2595" s="1078" t="str">
        <f t="shared" si="328"/>
        <v>1-5-1S85°S+Z</v>
      </c>
      <c r="AR2595" s="1078" t="str">
        <f t="shared" si="329"/>
        <v>NA</v>
      </c>
      <c r="AS2595" s="1078" t="str">
        <f t="shared" si="330"/>
        <v>160/OFF</v>
      </c>
      <c r="AT2595" s="1078" t="str">
        <f t="shared" si="331"/>
        <v>1-5-1S85°S+Z</v>
      </c>
      <c r="AU2595" s="1078" t="s">
        <v>15550</v>
      </c>
      <c r="AV2595" s="1078" t="str">
        <f t="shared" si="324"/>
        <v>113.12.9</v>
      </c>
      <c r="AW2595" s="1344">
        <f t="shared" si="325"/>
        <v>45635</v>
      </c>
    </row>
    <row r="2596" spans="1:49">
      <c r="A2596" s="1077" t="s">
        <v>7939</v>
      </c>
      <c r="B2596" s="1077" t="s">
        <v>467</v>
      </c>
      <c r="C2596" s="1077">
        <v>670</v>
      </c>
      <c r="D2596" s="1077">
        <v>1.8</v>
      </c>
      <c r="E2596" s="1077" t="s">
        <v>15109</v>
      </c>
      <c r="F2596" s="1077" t="s">
        <v>648</v>
      </c>
      <c r="G2596" s="1077" t="s">
        <v>6865</v>
      </c>
      <c r="H2596" s="1077" t="s">
        <v>6417</v>
      </c>
      <c r="I2596" s="1077" t="s">
        <v>6967</v>
      </c>
      <c r="J2596" s="1077">
        <v>3.7</v>
      </c>
      <c r="K2596" s="1077" t="s">
        <v>7940</v>
      </c>
      <c r="L2596" s="1077" t="s">
        <v>4666</v>
      </c>
      <c r="M2596" s="1077">
        <v>295.10000000000002</v>
      </c>
      <c r="N2596" s="1077" t="s">
        <v>945</v>
      </c>
      <c r="O2596" s="1077">
        <v>7.3775000000000013</v>
      </c>
      <c r="P2596" s="1077">
        <v>5.9020000000000001</v>
      </c>
      <c r="Q2596" s="1077">
        <v>4</v>
      </c>
      <c r="R2596" s="1077">
        <v>17.399999999999999</v>
      </c>
      <c r="T2596" s="1077">
        <v>31</v>
      </c>
      <c r="U2596" s="1077">
        <v>3.5</v>
      </c>
      <c r="V2596" s="1077" t="s">
        <v>648</v>
      </c>
      <c r="W2596" s="1077" t="s">
        <v>6880</v>
      </c>
      <c r="X2596" s="1077">
        <v>40</v>
      </c>
      <c r="Y2596" s="1077">
        <v>1</v>
      </c>
      <c r="Z2596" s="1077" t="s">
        <v>648</v>
      </c>
      <c r="AA2596" s="1077" t="s">
        <v>7941</v>
      </c>
      <c r="AH2596" s="1077" t="s">
        <v>1053</v>
      </c>
      <c r="AI2596" s="1077">
        <v>94.93</v>
      </c>
      <c r="AJ2596" s="1077">
        <v>-0.4</v>
      </c>
      <c r="AK2596" s="1077">
        <v>1.49</v>
      </c>
      <c r="AM2596" s="1078" t="s">
        <v>903</v>
      </c>
      <c r="AN2596" s="1078" t="s">
        <v>14126</v>
      </c>
      <c r="AO2596" s="1078">
        <f t="shared" si="326"/>
        <v>670</v>
      </c>
      <c r="AP2596" s="1078">
        <f t="shared" si="327"/>
        <v>1.8</v>
      </c>
      <c r="AQ2596" s="1078" t="str">
        <f t="shared" si="328"/>
        <v>1-5-1S85°Z+S</v>
      </c>
      <c r="AR2596" s="1078" t="str">
        <f t="shared" si="329"/>
        <v>NA</v>
      </c>
      <c r="AS2596" s="1078" t="str">
        <f t="shared" si="330"/>
        <v>205/OFF</v>
      </c>
      <c r="AT2596" s="1078" t="str">
        <f t="shared" si="331"/>
        <v>1-5-1S85°Z+S</v>
      </c>
      <c r="AU2596" s="1078" t="s">
        <v>15547</v>
      </c>
      <c r="AV2596" s="1078" t="str">
        <f t="shared" si="324"/>
        <v>113.12.10</v>
      </c>
      <c r="AW2596" s="1344">
        <f t="shared" si="325"/>
        <v>45636</v>
      </c>
    </row>
    <row r="2597" spans="1:49">
      <c r="A2597" s="1077" t="s">
        <v>7942</v>
      </c>
      <c r="B2597" s="1077" t="s">
        <v>7214</v>
      </c>
      <c r="C2597" s="1077">
        <v>500</v>
      </c>
      <c r="D2597" s="1077">
        <v>1.76</v>
      </c>
      <c r="E2597" s="1077" t="s">
        <v>15109</v>
      </c>
      <c r="F2597" s="1077" t="s">
        <v>648</v>
      </c>
      <c r="G2597" s="1077">
        <v>5</v>
      </c>
      <c r="H2597" s="1077" t="s">
        <v>4776</v>
      </c>
      <c r="I2597" s="1077" t="s">
        <v>7921</v>
      </c>
      <c r="J2597" s="1077">
        <v>3</v>
      </c>
      <c r="K2597" s="1077" t="s">
        <v>7922</v>
      </c>
      <c r="L2597" s="1077" t="s">
        <v>6043</v>
      </c>
      <c r="M2597" s="1077">
        <v>308</v>
      </c>
      <c r="N2597" s="1077" t="s">
        <v>945</v>
      </c>
      <c r="O2597" s="1077">
        <v>7.7</v>
      </c>
      <c r="P2597" s="1077">
        <v>6.16</v>
      </c>
      <c r="Q2597" s="1077">
        <v>4</v>
      </c>
      <c r="R2597" s="1077">
        <v>22</v>
      </c>
      <c r="T2597" s="1077">
        <v>23.5</v>
      </c>
      <c r="U2597" s="1077">
        <v>4</v>
      </c>
      <c r="V2597" s="1077" t="s">
        <v>648</v>
      </c>
      <c r="W2597" s="1077">
        <v>135</v>
      </c>
      <c r="X2597" s="1077">
        <v>90</v>
      </c>
      <c r="Y2597" s="1077">
        <v>1.4</v>
      </c>
      <c r="Z2597" s="1077" t="s">
        <v>648</v>
      </c>
      <c r="AA2597" s="1077" t="s">
        <v>2257</v>
      </c>
      <c r="AH2597" s="1077" t="s">
        <v>646</v>
      </c>
      <c r="AI2597" s="1077">
        <v>95.22</v>
      </c>
      <c r="AJ2597" s="1077">
        <v>-0.46</v>
      </c>
      <c r="AK2597" s="1077">
        <v>1.56</v>
      </c>
      <c r="AM2597" s="1078" t="s">
        <v>864</v>
      </c>
      <c r="AN2597" s="1078" t="s">
        <v>14127</v>
      </c>
      <c r="AO2597" s="1078">
        <f t="shared" si="326"/>
        <v>500</v>
      </c>
      <c r="AP2597" s="1078">
        <f t="shared" si="327"/>
        <v>1.76</v>
      </c>
      <c r="AQ2597" s="1078" t="str">
        <f t="shared" si="328"/>
        <v>1-5-1S85°Z+S</v>
      </c>
      <c r="AR2597" s="1078" t="str">
        <f t="shared" si="329"/>
        <v>NA</v>
      </c>
      <c r="AS2597" s="1078" t="str">
        <f t="shared" si="330"/>
        <v>178/OFF</v>
      </c>
      <c r="AT2597" s="1078" t="str">
        <f t="shared" si="331"/>
        <v>1-5-1S85°Z+S</v>
      </c>
      <c r="AU2597" s="1078" t="s">
        <v>15547</v>
      </c>
      <c r="AV2597" s="1078" t="str">
        <f t="shared" si="324"/>
        <v>114.1.10</v>
      </c>
      <c r="AW2597" s="1344">
        <f t="shared" si="325"/>
        <v>45667</v>
      </c>
    </row>
    <row r="2598" spans="1:49">
      <c r="A2598" s="1077" t="s">
        <v>7943</v>
      </c>
      <c r="B2598" s="1077" t="s">
        <v>663</v>
      </c>
      <c r="C2598" s="1077">
        <v>600</v>
      </c>
      <c r="D2598" s="1077">
        <v>1.84</v>
      </c>
      <c r="E2598" s="1077" t="s">
        <v>15109</v>
      </c>
      <c r="F2598" s="1077" t="s">
        <v>648</v>
      </c>
      <c r="G2598" s="1077">
        <v>5.5</v>
      </c>
      <c r="H2598" s="1077" t="s">
        <v>3764</v>
      </c>
      <c r="I2598" s="1077" t="s">
        <v>7858</v>
      </c>
      <c r="K2598" s="1077" t="s">
        <v>7944</v>
      </c>
      <c r="L2598" s="1077" t="s">
        <v>6238</v>
      </c>
      <c r="M2598" s="1077">
        <v>296</v>
      </c>
      <c r="N2598" s="1077" t="s">
        <v>945</v>
      </c>
      <c r="O2598" s="1077">
        <v>7.4</v>
      </c>
      <c r="P2598" s="1077">
        <v>5.92</v>
      </c>
      <c r="Q2598" s="1077">
        <v>3</v>
      </c>
      <c r="R2598" s="1077">
        <v>17</v>
      </c>
      <c r="T2598" s="1077">
        <v>10.5</v>
      </c>
      <c r="U2598" s="1077">
        <v>6.1</v>
      </c>
      <c r="V2598" s="1077" t="s">
        <v>648</v>
      </c>
      <c r="W2598" s="1077">
        <v>110</v>
      </c>
      <c r="X2598" s="1077">
        <v>90</v>
      </c>
      <c r="Y2598" s="1077">
        <v>1.1000000000000001</v>
      </c>
      <c r="Z2598" s="1077" t="s">
        <v>648</v>
      </c>
      <c r="AA2598" s="1077" t="s">
        <v>2257</v>
      </c>
      <c r="AB2598" s="1077" t="s">
        <v>7945</v>
      </c>
      <c r="AH2598" s="1077" t="s">
        <v>842</v>
      </c>
      <c r="AI2598" s="1077" t="s">
        <v>2185</v>
      </c>
      <c r="AM2598" s="1078" t="s">
        <v>865</v>
      </c>
      <c r="AN2598" s="1078" t="s">
        <v>14128</v>
      </c>
      <c r="AO2598" s="1078">
        <f t="shared" si="326"/>
        <v>600</v>
      </c>
      <c r="AP2598" s="1078">
        <f t="shared" si="327"/>
        <v>1.84</v>
      </c>
      <c r="AQ2598" s="1078" t="str">
        <f t="shared" si="328"/>
        <v>1-5-1S85°Z+S</v>
      </c>
      <c r="AR2598" s="1078" t="str">
        <f t="shared" si="329"/>
        <v>NA</v>
      </c>
      <c r="AS2598" s="1078" t="str">
        <f t="shared" si="330"/>
        <v>167/160</v>
      </c>
      <c r="AT2598" s="1078" t="str">
        <f t="shared" si="331"/>
        <v>1-5-1S85°Z+S</v>
      </c>
      <c r="AU2598" s="1078" t="s">
        <v>15547</v>
      </c>
      <c r="AV2598" s="1078" t="str">
        <f t="shared" si="324"/>
        <v>114.1.10</v>
      </c>
      <c r="AW2598" s="1344">
        <f t="shared" si="325"/>
        <v>45667</v>
      </c>
    </row>
    <row r="2599" spans="1:49">
      <c r="A2599" s="1077" t="s">
        <v>7946</v>
      </c>
      <c r="B2599" s="1077" t="s">
        <v>714</v>
      </c>
      <c r="C2599" s="1077">
        <v>650</v>
      </c>
      <c r="D2599" s="1077">
        <v>1.76</v>
      </c>
      <c r="E2599" s="1077" t="s">
        <v>15121</v>
      </c>
      <c r="F2599" s="1077" t="s">
        <v>648</v>
      </c>
      <c r="G2599" s="1077">
        <v>5</v>
      </c>
      <c r="H2599" s="1077" t="s">
        <v>7947</v>
      </c>
      <c r="I2599" s="1077" t="s">
        <v>7709</v>
      </c>
      <c r="J2599" s="1077">
        <v>3.7</v>
      </c>
      <c r="K2599" s="1077" t="s">
        <v>7948</v>
      </c>
      <c r="L2599" s="1077" t="s">
        <v>6291</v>
      </c>
      <c r="M2599" s="1077">
        <v>298.8</v>
      </c>
      <c r="N2599" s="1077" t="s">
        <v>945</v>
      </c>
      <c r="O2599" s="1077">
        <v>7.4700000000000006</v>
      </c>
      <c r="P2599" s="1077">
        <v>5.976</v>
      </c>
      <c r="Q2599" s="1077">
        <v>4</v>
      </c>
      <c r="R2599" s="1077">
        <v>20.5</v>
      </c>
      <c r="T2599" s="1077">
        <v>21</v>
      </c>
      <c r="U2599" s="1077">
        <v>3.5</v>
      </c>
      <c r="V2599" s="1077" t="s">
        <v>648</v>
      </c>
      <c r="W2599" s="1077">
        <v>20</v>
      </c>
      <c r="X2599" s="1077">
        <v>10</v>
      </c>
      <c r="Y2599" s="1077">
        <v>1.2</v>
      </c>
      <c r="Z2599" s="1077" t="s">
        <v>648</v>
      </c>
      <c r="AA2599" s="1077" t="s">
        <v>7949</v>
      </c>
      <c r="AH2599" s="1077" t="s">
        <v>614</v>
      </c>
      <c r="AI2599" s="1077">
        <v>91.21</v>
      </c>
      <c r="AJ2599" s="1077">
        <v>-0.06</v>
      </c>
      <c r="AK2599" s="1077">
        <v>1.21</v>
      </c>
      <c r="AM2599" s="1078" t="s">
        <v>866</v>
      </c>
      <c r="AN2599" s="1078" t="s">
        <v>14129</v>
      </c>
      <c r="AO2599" s="1078">
        <f t="shared" si="326"/>
        <v>650</v>
      </c>
      <c r="AP2599" s="1078">
        <f t="shared" si="327"/>
        <v>1.76</v>
      </c>
      <c r="AQ2599" s="1078" t="str">
        <f t="shared" si="328"/>
        <v>1-5-1S85°S+Z</v>
      </c>
      <c r="AR2599" s="1078" t="str">
        <f t="shared" si="329"/>
        <v>NA</v>
      </c>
      <c r="AS2599" s="1078" t="str">
        <f t="shared" si="330"/>
        <v>176/173</v>
      </c>
      <c r="AT2599" s="1078" t="str">
        <f t="shared" si="331"/>
        <v>1-5-1S85°S+Z</v>
      </c>
      <c r="AU2599" s="1078" t="s">
        <v>15550</v>
      </c>
      <c r="AV2599" s="1078" t="str">
        <f t="shared" si="324"/>
        <v>114.1.11</v>
      </c>
      <c r="AW2599" s="1344">
        <f t="shared" si="325"/>
        <v>45668</v>
      </c>
    </row>
    <row r="2600" spans="1:49">
      <c r="A2600" s="1077" t="s">
        <v>7950</v>
      </c>
      <c r="B2600" s="1077" t="s">
        <v>663</v>
      </c>
      <c r="C2600" s="1077">
        <v>600</v>
      </c>
      <c r="D2600" s="1077">
        <v>1.8049999999999999</v>
      </c>
      <c r="E2600" s="1077" t="s">
        <v>15121</v>
      </c>
      <c r="F2600" s="1077" t="s">
        <v>648</v>
      </c>
      <c r="G2600" s="1077">
        <v>5</v>
      </c>
      <c r="H2600" s="1077" t="s">
        <v>2135</v>
      </c>
      <c r="I2600" s="1077" t="s">
        <v>6867</v>
      </c>
      <c r="K2600" s="1077" t="s">
        <v>7951</v>
      </c>
      <c r="L2600" s="1077" t="s">
        <v>6238</v>
      </c>
      <c r="M2600" s="1077">
        <v>296.39999999999998</v>
      </c>
      <c r="N2600" s="1077" t="s">
        <v>945</v>
      </c>
      <c r="O2600" s="1077">
        <v>7.41</v>
      </c>
      <c r="P2600" s="1077">
        <v>5.9279999999999999</v>
      </c>
      <c r="Q2600" s="1077">
        <v>3.5</v>
      </c>
      <c r="R2600" s="1077">
        <v>20</v>
      </c>
      <c r="T2600" s="1077">
        <v>14.7</v>
      </c>
      <c r="U2600" s="1077">
        <v>5.5</v>
      </c>
      <c r="V2600" s="1077" t="s">
        <v>648</v>
      </c>
      <c r="W2600" s="1077" t="s">
        <v>2816</v>
      </c>
      <c r="X2600" s="1077">
        <v>10</v>
      </c>
      <c r="Y2600" s="1077">
        <v>1.1000000000000001</v>
      </c>
      <c r="Z2600" s="1077" t="s">
        <v>648</v>
      </c>
      <c r="AA2600" s="1077" t="s">
        <v>6806</v>
      </c>
      <c r="AB2600" s="1077" t="s">
        <v>7952</v>
      </c>
      <c r="AH2600" s="1077" t="s">
        <v>1417</v>
      </c>
      <c r="AI2600" s="1077">
        <v>90.96</v>
      </c>
      <c r="AJ2600" s="1077">
        <v>-1.28</v>
      </c>
      <c r="AK2600" s="1077">
        <v>6.08</v>
      </c>
      <c r="AM2600" s="1078" t="s">
        <v>906</v>
      </c>
      <c r="AN2600" s="1078" t="s">
        <v>14130</v>
      </c>
      <c r="AO2600" s="1078">
        <f t="shared" si="326"/>
        <v>600</v>
      </c>
      <c r="AP2600" s="1078">
        <f t="shared" si="327"/>
        <v>1.8049999999999999</v>
      </c>
      <c r="AQ2600" s="1078" t="str">
        <f t="shared" si="328"/>
        <v>1-5-1S85°S+Z</v>
      </c>
      <c r="AR2600" s="1078" t="str">
        <f t="shared" si="329"/>
        <v>NA</v>
      </c>
      <c r="AS2600" s="1078" t="str">
        <f t="shared" si="330"/>
        <v>165/160</v>
      </c>
      <c r="AT2600" s="1078" t="str">
        <f t="shared" si="331"/>
        <v>1-5-1S85°S+Z</v>
      </c>
      <c r="AU2600" s="1078" t="s">
        <v>15550</v>
      </c>
      <c r="AV2600" s="1078" t="str">
        <f t="shared" si="324"/>
        <v>114.1.17</v>
      </c>
      <c r="AW2600" s="1344">
        <f t="shared" si="325"/>
        <v>45674</v>
      </c>
    </row>
    <row r="2601" spans="1:49">
      <c r="A2601" s="1077" t="s">
        <v>7953</v>
      </c>
      <c r="B2601" s="1077" t="s">
        <v>717</v>
      </c>
      <c r="C2601" s="1077">
        <v>600</v>
      </c>
      <c r="D2601" s="1077">
        <v>1.84</v>
      </c>
      <c r="E2601" s="1077" t="s">
        <v>15116</v>
      </c>
      <c r="F2601" s="1077" t="s">
        <v>2234</v>
      </c>
      <c r="G2601" s="1077">
        <v>4</v>
      </c>
      <c r="H2601" s="1077" t="s">
        <v>6902</v>
      </c>
      <c r="I2601" s="1077" t="s">
        <v>6903</v>
      </c>
      <c r="K2601" s="1077" t="s">
        <v>7954</v>
      </c>
      <c r="L2601" s="1077" t="s">
        <v>7781</v>
      </c>
      <c r="M2601" s="1077">
        <v>303.5</v>
      </c>
      <c r="N2601" s="1077" t="s">
        <v>945</v>
      </c>
      <c r="O2601" s="1077">
        <v>7.5875000000000004</v>
      </c>
      <c r="P2601" s="1077">
        <v>6.07</v>
      </c>
      <c r="Q2601" s="1077">
        <v>3.5</v>
      </c>
      <c r="R2601" s="1077">
        <v>27.9</v>
      </c>
      <c r="T2601" s="1077">
        <v>13.5</v>
      </c>
      <c r="U2601" s="1077">
        <v>2.5</v>
      </c>
      <c r="V2601" s="1077" t="s">
        <v>648</v>
      </c>
      <c r="W2601" s="1077">
        <v>90</v>
      </c>
      <c r="X2601" s="1077">
        <v>10</v>
      </c>
      <c r="Y2601" s="1077">
        <v>1.6</v>
      </c>
      <c r="Z2601" s="1077" t="s">
        <v>648</v>
      </c>
      <c r="AA2601" s="1077" t="s">
        <v>4565</v>
      </c>
      <c r="AH2601" s="1077" t="s">
        <v>722</v>
      </c>
      <c r="AI2601" s="1077">
        <v>73.709999999999994</v>
      </c>
      <c r="AJ2601" s="1077">
        <v>0.15</v>
      </c>
      <c r="AK2601" s="1077">
        <v>6.04</v>
      </c>
      <c r="AM2601" s="1078" t="s">
        <v>716</v>
      </c>
      <c r="AN2601" s="1078" t="s">
        <v>14131</v>
      </c>
      <c r="AO2601" s="1078">
        <f t="shared" si="326"/>
        <v>600</v>
      </c>
      <c r="AP2601" s="1078">
        <f t="shared" si="327"/>
        <v>1.84</v>
      </c>
      <c r="AQ2601" s="1078" t="str">
        <f t="shared" si="328"/>
        <v>1-5-1S83°Z+S</v>
      </c>
      <c r="AR2601" s="1078" t="str">
        <f t="shared" si="329"/>
        <v>33.5</v>
      </c>
      <c r="AS2601" s="1078" t="str">
        <f t="shared" si="330"/>
        <v>310/310/190</v>
      </c>
      <c r="AT2601" s="1078" t="str">
        <f t="shared" si="331"/>
        <v>1-5-1S83°Z+S</v>
      </c>
      <c r="AU2601" s="1078" t="s">
        <v>15547</v>
      </c>
      <c r="AV2601" s="1078" t="str">
        <f t="shared" si="324"/>
        <v>114.2.7</v>
      </c>
      <c r="AW2601" s="1344">
        <f t="shared" si="325"/>
        <v>45695</v>
      </c>
    </row>
    <row r="2602" spans="1:49">
      <c r="A2602" s="1077" t="s">
        <v>7955</v>
      </c>
      <c r="B2602" s="1077" t="s">
        <v>714</v>
      </c>
      <c r="C2602" s="1077">
        <v>650</v>
      </c>
      <c r="D2602" s="1077">
        <v>1.76</v>
      </c>
      <c r="E2602" s="1077" t="s">
        <v>15121</v>
      </c>
      <c r="F2602" s="1077" t="s">
        <v>648</v>
      </c>
      <c r="G2602" s="1077">
        <v>5</v>
      </c>
      <c r="H2602" s="1077" t="s">
        <v>7947</v>
      </c>
      <c r="I2602" s="1077" t="s">
        <v>7709</v>
      </c>
      <c r="J2602" s="1077">
        <v>3.7</v>
      </c>
      <c r="K2602" s="1077" t="s">
        <v>7948</v>
      </c>
      <c r="L2602" s="1077" t="s">
        <v>6291</v>
      </c>
      <c r="M2602" s="1077">
        <v>298.8</v>
      </c>
      <c r="N2602" s="1077" t="s">
        <v>945</v>
      </c>
      <c r="O2602" s="1077">
        <v>7.4700000000000006</v>
      </c>
      <c r="P2602" s="1077">
        <v>5.976</v>
      </c>
      <c r="Q2602" s="1077">
        <v>4</v>
      </c>
      <c r="R2602" s="1077">
        <v>20.5</v>
      </c>
      <c r="T2602" s="1077">
        <v>21</v>
      </c>
      <c r="U2602" s="1077">
        <v>3.5</v>
      </c>
      <c r="V2602" s="1077" t="s">
        <v>648</v>
      </c>
      <c r="W2602" s="1077">
        <v>20</v>
      </c>
      <c r="X2602" s="1077">
        <v>10</v>
      </c>
      <c r="Y2602" s="1077">
        <v>1.2</v>
      </c>
      <c r="Z2602" s="1077" t="s">
        <v>648</v>
      </c>
      <c r="AA2602" s="1077" t="s">
        <v>7956</v>
      </c>
      <c r="AH2602" s="1077" t="s">
        <v>726</v>
      </c>
      <c r="AI2602" s="1077">
        <v>92.01</v>
      </c>
      <c r="AJ2602" s="1077">
        <v>-0.12</v>
      </c>
      <c r="AK2602" s="1077">
        <v>1.42</v>
      </c>
      <c r="AM2602" s="1078" t="s">
        <v>713</v>
      </c>
      <c r="AN2602" s="1078" t="s">
        <v>14132</v>
      </c>
      <c r="AO2602" s="1078">
        <f t="shared" si="326"/>
        <v>650</v>
      </c>
      <c r="AP2602" s="1078">
        <f t="shared" si="327"/>
        <v>1.76</v>
      </c>
      <c r="AQ2602" s="1078" t="str">
        <f t="shared" si="328"/>
        <v>1-5-1S85°S+Z</v>
      </c>
      <c r="AR2602" s="1078" t="str">
        <f t="shared" si="329"/>
        <v>NA</v>
      </c>
      <c r="AS2602" s="1078" t="str">
        <f t="shared" si="330"/>
        <v>176/173</v>
      </c>
      <c r="AT2602" s="1078" t="str">
        <f t="shared" si="331"/>
        <v>1-5-1S85°S+Z</v>
      </c>
      <c r="AU2602" s="1078" t="s">
        <v>15550</v>
      </c>
      <c r="AV2602" s="1078" t="str">
        <f t="shared" si="324"/>
        <v>114.2.8</v>
      </c>
      <c r="AW2602" s="1344">
        <f t="shared" si="325"/>
        <v>45696</v>
      </c>
    </row>
    <row r="2603" spans="1:49">
      <c r="A2603" s="1077" t="s">
        <v>7957</v>
      </c>
      <c r="B2603" s="1077" t="s">
        <v>714</v>
      </c>
      <c r="C2603" s="1077">
        <v>550</v>
      </c>
      <c r="D2603" s="1077">
        <v>1.78</v>
      </c>
      <c r="E2603" s="1077" t="s">
        <v>15109</v>
      </c>
      <c r="F2603" s="1077" t="s">
        <v>648</v>
      </c>
      <c r="G2603" s="1077" t="s">
        <v>6865</v>
      </c>
      <c r="H2603" s="1077" t="s">
        <v>4871</v>
      </c>
      <c r="I2603" s="1077" t="s">
        <v>7105</v>
      </c>
      <c r="J2603" s="1077">
        <v>3.7</v>
      </c>
      <c r="K2603" s="1077" t="s">
        <v>7958</v>
      </c>
      <c r="L2603" s="1077" t="s">
        <v>4666</v>
      </c>
      <c r="M2603" s="1077">
        <v>300.8</v>
      </c>
      <c r="N2603" s="1077" t="s">
        <v>945</v>
      </c>
      <c r="O2603" s="1077">
        <v>7.5200000000000005</v>
      </c>
      <c r="P2603" s="1077">
        <v>6.016</v>
      </c>
      <c r="Q2603" s="1077">
        <v>4</v>
      </c>
      <c r="R2603" s="1077">
        <v>17</v>
      </c>
      <c r="T2603" s="1077">
        <v>31.4</v>
      </c>
      <c r="U2603" s="1077">
        <v>3.6</v>
      </c>
      <c r="V2603" s="1077" t="s">
        <v>648</v>
      </c>
      <c r="W2603" s="1077">
        <v>65</v>
      </c>
      <c r="X2603" s="1077">
        <v>10</v>
      </c>
      <c r="Y2603" s="1077">
        <v>1.5</v>
      </c>
      <c r="Z2603" s="1077" t="s">
        <v>648</v>
      </c>
      <c r="AA2603" s="1077" t="s">
        <v>1916</v>
      </c>
      <c r="AH2603" s="1077" t="s">
        <v>1827</v>
      </c>
      <c r="AM2603" s="1078" t="s">
        <v>14133</v>
      </c>
      <c r="AN2603" s="1078" t="s">
        <v>14134</v>
      </c>
      <c r="AO2603" s="1078">
        <f t="shared" si="326"/>
        <v>550</v>
      </c>
      <c r="AP2603" s="1078">
        <f t="shared" si="327"/>
        <v>1.78</v>
      </c>
      <c r="AQ2603" s="1078" t="str">
        <f t="shared" si="328"/>
        <v>1-5-1S85°Z+S</v>
      </c>
      <c r="AR2603" s="1078" t="str">
        <f t="shared" si="329"/>
        <v>NA</v>
      </c>
      <c r="AS2603" s="1078" t="str">
        <f t="shared" si="330"/>
        <v>184/OFF</v>
      </c>
      <c r="AT2603" s="1078" t="str">
        <f t="shared" si="331"/>
        <v>1-5-1S85°Z+S</v>
      </c>
      <c r="AU2603" s="1078" t="s">
        <v>15547</v>
      </c>
      <c r="AV2603" s="1078" t="str">
        <f t="shared" si="324"/>
        <v>111.2.17</v>
      </c>
      <c r="AW2603" s="1344">
        <f t="shared" si="325"/>
        <v>44609</v>
      </c>
    </row>
    <row r="2604" spans="1:49">
      <c r="A2604" s="1077" t="s">
        <v>7959</v>
      </c>
      <c r="B2604" s="1077" t="s">
        <v>714</v>
      </c>
      <c r="C2604" s="1077">
        <v>600</v>
      </c>
      <c r="D2604" s="1077">
        <v>1.77</v>
      </c>
      <c r="E2604" s="1077">
        <v>102.5</v>
      </c>
      <c r="F2604" s="1077" t="s">
        <v>4070</v>
      </c>
      <c r="G2604" s="1077">
        <v>5.5</v>
      </c>
      <c r="H2604" s="1077" t="s">
        <v>7338</v>
      </c>
      <c r="I2604" s="1077" t="s">
        <v>7705</v>
      </c>
      <c r="J2604" s="1077">
        <v>3.7</v>
      </c>
      <c r="K2604" s="1077" t="s">
        <v>7791</v>
      </c>
      <c r="L2604" s="1077" t="s">
        <v>4666</v>
      </c>
      <c r="M2604" s="1077">
        <v>295.10000000000002</v>
      </c>
      <c r="N2604" s="1077" t="s">
        <v>945</v>
      </c>
      <c r="O2604" s="1077">
        <v>7.3775000000000013</v>
      </c>
      <c r="P2604" s="1077">
        <v>5.9020000000000001</v>
      </c>
      <c r="Q2604" s="1077">
        <v>4</v>
      </c>
      <c r="R2604" s="1077">
        <v>17.399999999999999</v>
      </c>
      <c r="T2604" s="1077">
        <v>31</v>
      </c>
      <c r="U2604" s="1077">
        <v>3.5</v>
      </c>
      <c r="V2604" s="1077" t="s">
        <v>648</v>
      </c>
      <c r="W2604" s="1077">
        <v>100</v>
      </c>
      <c r="X2604" s="1077">
        <v>40</v>
      </c>
      <c r="Y2604" s="1077">
        <v>1</v>
      </c>
      <c r="Z2604" s="1077" t="s">
        <v>648</v>
      </c>
      <c r="AA2604" s="1077" t="s">
        <v>7960</v>
      </c>
      <c r="AH2604" s="1077" t="s">
        <v>862</v>
      </c>
      <c r="AM2604" s="1078" t="s">
        <v>14135</v>
      </c>
      <c r="AN2604" s="1078" t="s">
        <v>14136</v>
      </c>
      <c r="AO2604" s="1078">
        <f t="shared" si="326"/>
        <v>600</v>
      </c>
      <c r="AP2604" s="1078">
        <f t="shared" si="327"/>
        <v>1.77</v>
      </c>
      <c r="AQ2604" s="1078">
        <f t="shared" si="328"/>
        <v>102.5</v>
      </c>
      <c r="AR2604" s="1078" t="str">
        <f t="shared" si="329"/>
        <v>15.5</v>
      </c>
      <c r="AS2604" s="1078" t="str">
        <f t="shared" si="330"/>
        <v>504/464/OFF</v>
      </c>
      <c r="AT2604" s="1078">
        <f t="shared" si="331"/>
        <v>102.5</v>
      </c>
      <c r="AV2604" s="1078" t="str">
        <f t="shared" si="324"/>
        <v>111.2.15</v>
      </c>
      <c r="AW2604" s="1344">
        <f t="shared" si="325"/>
        <v>44607</v>
      </c>
    </row>
    <row r="2605" spans="1:49">
      <c r="A2605" s="1077" t="s">
        <v>7961</v>
      </c>
      <c r="B2605" s="1077" t="s">
        <v>6940</v>
      </c>
      <c r="C2605" s="1077">
        <v>500</v>
      </c>
      <c r="D2605" s="1077">
        <v>1.75</v>
      </c>
      <c r="E2605" s="1077" t="s">
        <v>15122</v>
      </c>
      <c r="F2605" s="1077" t="s">
        <v>984</v>
      </c>
      <c r="G2605" s="1077">
        <v>5</v>
      </c>
      <c r="H2605" s="1077" t="s">
        <v>2009</v>
      </c>
      <c r="I2605" s="1077" t="s">
        <v>6988</v>
      </c>
      <c r="J2605" s="1077">
        <v>1</v>
      </c>
      <c r="K2605" s="1077" t="s">
        <v>7962</v>
      </c>
      <c r="L2605" s="1077" t="s">
        <v>4952</v>
      </c>
      <c r="M2605" s="1077">
        <v>308.39999999999998</v>
      </c>
      <c r="N2605" s="1077" t="s">
        <v>945</v>
      </c>
      <c r="O2605" s="1077">
        <v>7.71</v>
      </c>
      <c r="P2605" s="1077">
        <v>6.1679999999999993</v>
      </c>
      <c r="Q2605" s="1077">
        <v>2.8</v>
      </c>
      <c r="R2605" s="1077">
        <v>29.5</v>
      </c>
      <c r="T2605" s="1077">
        <v>14.5</v>
      </c>
      <c r="U2605" s="1077">
        <v>5</v>
      </c>
      <c r="V2605" s="1077" t="s">
        <v>648</v>
      </c>
      <c r="W2605" s="1077" t="s">
        <v>6990</v>
      </c>
      <c r="X2605" s="1077">
        <v>10</v>
      </c>
      <c r="Y2605" s="1077">
        <v>1.7</v>
      </c>
      <c r="Z2605" s="1077" t="s">
        <v>648</v>
      </c>
      <c r="AA2605" s="1077" t="s">
        <v>4312</v>
      </c>
      <c r="AH2605" s="1077" t="s">
        <v>1143</v>
      </c>
      <c r="AM2605" s="1078" t="s">
        <v>14137</v>
      </c>
      <c r="AN2605" s="1078" t="s">
        <v>14138</v>
      </c>
      <c r="AO2605" s="1078">
        <f t="shared" si="326"/>
        <v>500</v>
      </c>
      <c r="AP2605" s="1078">
        <f t="shared" si="327"/>
        <v>1.75</v>
      </c>
      <c r="AQ2605" s="1078" t="str">
        <f t="shared" si="328"/>
        <v>1-5-1S91°Z+S</v>
      </c>
      <c r="AR2605" s="1078" t="str">
        <f t="shared" si="329"/>
        <v>30</v>
      </c>
      <c r="AS2605" s="1078" t="str">
        <f t="shared" si="330"/>
        <v>265/265/OFF</v>
      </c>
      <c r="AT2605" s="1078" t="str">
        <f t="shared" si="331"/>
        <v>1-5-1S91°Z+S</v>
      </c>
      <c r="AU2605" s="1078" t="s">
        <v>15547</v>
      </c>
      <c r="AV2605" s="1078" t="str">
        <f t="shared" si="324"/>
        <v>111.3.3</v>
      </c>
      <c r="AW2605" s="1344">
        <f t="shared" si="325"/>
        <v>44623</v>
      </c>
    </row>
    <row r="2606" spans="1:49">
      <c r="A2606" s="1077" t="s">
        <v>7963</v>
      </c>
      <c r="B2606" s="1077" t="s">
        <v>775</v>
      </c>
      <c r="C2606" s="1077">
        <v>600</v>
      </c>
      <c r="D2606" s="1077">
        <v>1.7949999999999999</v>
      </c>
      <c r="E2606" s="1077" t="s">
        <v>15116</v>
      </c>
      <c r="F2606" s="1077" t="s">
        <v>2234</v>
      </c>
      <c r="G2606" s="1077">
        <v>4</v>
      </c>
      <c r="H2606" s="1077" t="s">
        <v>6902</v>
      </c>
      <c r="I2606" s="1077" t="s">
        <v>7319</v>
      </c>
      <c r="K2606" s="1077" t="s">
        <v>7964</v>
      </c>
      <c r="L2606" s="1077" t="s">
        <v>6933</v>
      </c>
      <c r="M2606" s="1077">
        <v>302</v>
      </c>
      <c r="N2606" s="1077" t="s">
        <v>945</v>
      </c>
      <c r="O2606" s="1077">
        <v>7.5500000000000007</v>
      </c>
      <c r="P2606" s="1077">
        <v>6.04</v>
      </c>
      <c r="Q2606" s="1077">
        <v>3.5</v>
      </c>
      <c r="R2606" s="1077">
        <v>27.3</v>
      </c>
      <c r="T2606" s="1077">
        <v>13.3</v>
      </c>
      <c r="U2606" s="1077">
        <v>2.2999999999999998</v>
      </c>
      <c r="V2606" s="1077" t="s">
        <v>648</v>
      </c>
      <c r="W2606" s="1077" t="s">
        <v>4947</v>
      </c>
      <c r="X2606" s="1077">
        <v>10</v>
      </c>
      <c r="Y2606" s="1077">
        <v>1.6</v>
      </c>
      <c r="Z2606" s="1077" t="s">
        <v>648</v>
      </c>
      <c r="AA2606" s="1077" t="s">
        <v>4312</v>
      </c>
      <c r="AH2606" s="1077" t="s">
        <v>870</v>
      </c>
      <c r="AM2606" s="1078" t="s">
        <v>14139</v>
      </c>
      <c r="AN2606" s="1078" t="s">
        <v>14140</v>
      </c>
      <c r="AO2606" s="1078">
        <f t="shared" si="326"/>
        <v>600</v>
      </c>
      <c r="AP2606" s="1078">
        <f t="shared" si="327"/>
        <v>1.7949999999999999</v>
      </c>
      <c r="AQ2606" s="1078" t="str">
        <f t="shared" si="328"/>
        <v>1-5-1S83°Z+S</v>
      </c>
      <c r="AR2606" s="1078" t="str">
        <f t="shared" si="329"/>
        <v>33.5</v>
      </c>
      <c r="AS2606" s="1078" t="str">
        <f t="shared" si="330"/>
        <v>310/310/190</v>
      </c>
      <c r="AT2606" s="1078" t="str">
        <f t="shared" si="331"/>
        <v>1-5-1S83°Z+S</v>
      </c>
      <c r="AU2606" s="1078" t="s">
        <v>15547</v>
      </c>
      <c r="AV2606" s="1078" t="str">
        <f t="shared" si="324"/>
        <v>111.3.3</v>
      </c>
      <c r="AW2606" s="1344">
        <f t="shared" si="325"/>
        <v>44623</v>
      </c>
    </row>
    <row r="2607" spans="1:49">
      <c r="A2607" s="1077" t="s">
        <v>7965</v>
      </c>
      <c r="B2607" s="1077" t="s">
        <v>7055</v>
      </c>
      <c r="C2607" s="1077">
        <v>600</v>
      </c>
      <c r="D2607" s="1077">
        <v>1.7649999999999999</v>
      </c>
      <c r="E2607" s="1077" t="s">
        <v>15122</v>
      </c>
      <c r="F2607" s="1077" t="s">
        <v>984</v>
      </c>
      <c r="G2607" s="1077">
        <v>5.5</v>
      </c>
      <c r="H2607" s="1077" t="s">
        <v>2876</v>
      </c>
      <c r="I2607" s="1077" t="s">
        <v>7257</v>
      </c>
      <c r="J2607" s="1077">
        <v>3</v>
      </c>
      <c r="K2607" s="1077" t="s">
        <v>7764</v>
      </c>
      <c r="L2607" s="1077" t="s">
        <v>4946</v>
      </c>
      <c r="M2607" s="1077">
        <v>296</v>
      </c>
      <c r="N2607" s="1077" t="s">
        <v>945</v>
      </c>
      <c r="O2607" s="1077">
        <v>7.4</v>
      </c>
      <c r="P2607" s="1077">
        <v>5.92</v>
      </c>
      <c r="Q2607" s="1077">
        <v>3</v>
      </c>
      <c r="R2607" s="1077">
        <v>27</v>
      </c>
      <c r="T2607" s="1077">
        <v>17.5</v>
      </c>
      <c r="U2607" s="1077">
        <v>6</v>
      </c>
      <c r="V2607" s="1077" t="s">
        <v>648</v>
      </c>
      <c r="W2607" s="1077">
        <v>90</v>
      </c>
      <c r="X2607" s="1077">
        <v>10</v>
      </c>
      <c r="Y2607" s="1077">
        <v>1.2</v>
      </c>
      <c r="Z2607" s="1077" t="s">
        <v>648</v>
      </c>
      <c r="AA2607" s="1077" t="s">
        <v>7966</v>
      </c>
      <c r="AH2607" s="1077" t="s">
        <v>884</v>
      </c>
      <c r="AM2607" s="1078" t="s">
        <v>14141</v>
      </c>
      <c r="AN2607" s="1078" t="s">
        <v>14142</v>
      </c>
      <c r="AO2607" s="1078">
        <f t="shared" si="326"/>
        <v>600</v>
      </c>
      <c r="AP2607" s="1078">
        <f t="shared" si="327"/>
        <v>1.7649999999999999</v>
      </c>
      <c r="AQ2607" s="1078" t="str">
        <f t="shared" si="328"/>
        <v>1-5-1S91°Z+S</v>
      </c>
      <c r="AR2607" s="1078" t="str">
        <f t="shared" si="329"/>
        <v>30</v>
      </c>
      <c r="AS2607" s="1078" t="str">
        <f t="shared" si="330"/>
        <v>290/290/OFF</v>
      </c>
      <c r="AT2607" s="1078" t="str">
        <f t="shared" si="331"/>
        <v>1-5-1S91°Z+S</v>
      </c>
      <c r="AU2607" s="1078" t="s">
        <v>15547</v>
      </c>
      <c r="AV2607" s="1078" t="str">
        <f t="shared" si="324"/>
        <v>111.2.25</v>
      </c>
      <c r="AW2607" s="1344">
        <f t="shared" si="325"/>
        <v>44617</v>
      </c>
    </row>
    <row r="2608" spans="1:49">
      <c r="A2608" s="1077" t="s">
        <v>7967</v>
      </c>
      <c r="B2608" s="1077" t="s">
        <v>714</v>
      </c>
      <c r="C2608" s="1077">
        <v>550</v>
      </c>
      <c r="D2608" s="1077">
        <v>1.7749999999999999</v>
      </c>
      <c r="E2608" s="1077">
        <v>102.5</v>
      </c>
      <c r="F2608" s="1077" t="s">
        <v>4070</v>
      </c>
      <c r="G2608" s="1077" t="s">
        <v>6865</v>
      </c>
      <c r="H2608" s="1077" t="s">
        <v>6872</v>
      </c>
      <c r="I2608" s="1077" t="s">
        <v>7105</v>
      </c>
      <c r="J2608" s="1077">
        <v>3.7</v>
      </c>
      <c r="K2608" s="1077" t="s">
        <v>7968</v>
      </c>
      <c r="L2608" s="1077" t="s">
        <v>4666</v>
      </c>
      <c r="M2608" s="1077">
        <v>300.8</v>
      </c>
      <c r="N2608" s="1077" t="s">
        <v>945</v>
      </c>
      <c r="O2608" s="1077">
        <v>7.5200000000000005</v>
      </c>
      <c r="P2608" s="1077">
        <v>6.016</v>
      </c>
      <c r="Q2608" s="1077">
        <v>4</v>
      </c>
      <c r="R2608" s="1077">
        <v>17</v>
      </c>
      <c r="T2608" s="1077">
        <v>31.4</v>
      </c>
      <c r="U2608" s="1077">
        <v>3.6</v>
      </c>
      <c r="V2608" s="1077" t="s">
        <v>648</v>
      </c>
      <c r="W2608" s="1077">
        <v>65</v>
      </c>
      <c r="X2608" s="1077">
        <v>10</v>
      </c>
      <c r="Y2608" s="1077">
        <v>1.5</v>
      </c>
      <c r="Z2608" s="1077" t="s">
        <v>648</v>
      </c>
      <c r="AA2608" s="1077" t="s">
        <v>4312</v>
      </c>
      <c r="AH2608" s="1077" t="s">
        <v>862</v>
      </c>
      <c r="AM2608" s="1078" t="s">
        <v>14143</v>
      </c>
      <c r="AN2608" s="1078" t="s">
        <v>14144</v>
      </c>
      <c r="AO2608" s="1078">
        <f t="shared" si="326"/>
        <v>550</v>
      </c>
      <c r="AP2608" s="1078">
        <f t="shared" si="327"/>
        <v>1.7749999999999999</v>
      </c>
      <c r="AQ2608" s="1078">
        <f t="shared" si="328"/>
        <v>102.5</v>
      </c>
      <c r="AR2608" s="1078" t="str">
        <f t="shared" si="329"/>
        <v>15.5</v>
      </c>
      <c r="AS2608" s="1078" t="str">
        <f t="shared" si="330"/>
        <v>475/435/OFF</v>
      </c>
      <c r="AT2608" s="1078">
        <f t="shared" si="331"/>
        <v>102.5</v>
      </c>
      <c r="AV2608" s="1078" t="str">
        <f t="shared" si="324"/>
        <v>111.3.3</v>
      </c>
      <c r="AW2608" s="1344">
        <f t="shared" si="325"/>
        <v>44623</v>
      </c>
    </row>
    <row r="2609" spans="1:49">
      <c r="A2609" s="1077" t="s">
        <v>7969</v>
      </c>
      <c r="B2609" s="1077" t="s">
        <v>663</v>
      </c>
      <c r="C2609" s="1077">
        <v>550</v>
      </c>
      <c r="D2609" s="1077">
        <v>1.8</v>
      </c>
      <c r="E2609" s="1077" t="s">
        <v>15122</v>
      </c>
      <c r="F2609" s="1077" t="s">
        <v>954</v>
      </c>
      <c r="G2609" s="1077">
        <v>5.5</v>
      </c>
      <c r="H2609" s="1077" t="s">
        <v>7970</v>
      </c>
      <c r="I2609" s="1077" t="s">
        <v>7753</v>
      </c>
      <c r="K2609" s="1077" t="s">
        <v>7971</v>
      </c>
      <c r="L2609" s="1077" t="s">
        <v>4907</v>
      </c>
      <c r="M2609" s="1077">
        <v>296</v>
      </c>
      <c r="N2609" s="1077" t="s">
        <v>945</v>
      </c>
      <c r="O2609" s="1077">
        <v>7.4</v>
      </c>
      <c r="P2609" s="1077">
        <v>5.92</v>
      </c>
      <c r="Q2609" s="1077">
        <v>3.5</v>
      </c>
      <c r="R2609" s="1077">
        <v>17</v>
      </c>
      <c r="T2609" s="1077">
        <v>10.5</v>
      </c>
      <c r="U2609" s="1077">
        <v>6.1</v>
      </c>
      <c r="V2609" s="1077" t="s">
        <v>648</v>
      </c>
      <c r="W2609" s="1077">
        <v>120</v>
      </c>
      <c r="X2609" s="1077">
        <v>90</v>
      </c>
      <c r="Y2609" s="1077">
        <v>1.1000000000000001</v>
      </c>
      <c r="Z2609" s="1077" t="s">
        <v>648</v>
      </c>
      <c r="AA2609" s="1077" t="s">
        <v>1925</v>
      </c>
      <c r="AH2609" s="1077" t="s">
        <v>966</v>
      </c>
      <c r="AM2609" s="1078" t="s">
        <v>14145</v>
      </c>
      <c r="AN2609" s="1078" t="s">
        <v>14146</v>
      </c>
      <c r="AO2609" s="1078">
        <f t="shared" si="326"/>
        <v>550</v>
      </c>
      <c r="AP2609" s="1078">
        <f t="shared" si="327"/>
        <v>1.8</v>
      </c>
      <c r="AQ2609" s="1078" t="str">
        <f t="shared" si="328"/>
        <v>1-5-1S91°Z+S</v>
      </c>
      <c r="AR2609" s="1078" t="str">
        <f t="shared" si="329"/>
        <v>31</v>
      </c>
      <c r="AS2609" s="1078" t="str">
        <f t="shared" si="330"/>
        <v>285/285/160</v>
      </c>
      <c r="AT2609" s="1078" t="str">
        <f t="shared" si="331"/>
        <v>1-5-1S91°Z+S</v>
      </c>
      <c r="AU2609" s="1078" t="s">
        <v>15547</v>
      </c>
      <c r="AV2609" s="1078" t="str">
        <f t="shared" si="324"/>
        <v>111.3.2</v>
      </c>
      <c r="AW2609" s="1344">
        <f t="shared" si="325"/>
        <v>44622</v>
      </c>
    </row>
    <row r="2610" spans="1:49">
      <c r="A2610" s="1077" t="s">
        <v>7972</v>
      </c>
      <c r="B2610" s="1077" t="s">
        <v>7593</v>
      </c>
      <c r="C2610" s="1077">
        <v>600</v>
      </c>
      <c r="D2610" s="1077">
        <v>1.78</v>
      </c>
      <c r="E2610" s="1077" t="s">
        <v>15122</v>
      </c>
      <c r="F2610" s="1077" t="s">
        <v>975</v>
      </c>
      <c r="G2610" s="1077">
        <v>5</v>
      </c>
      <c r="H2610" s="1077" t="s">
        <v>5455</v>
      </c>
      <c r="I2610" s="1077" t="s">
        <v>7588</v>
      </c>
      <c r="J2610" s="1077">
        <v>3.7</v>
      </c>
      <c r="K2610" s="1077" t="s">
        <v>7684</v>
      </c>
      <c r="L2610" s="1077" t="s">
        <v>5152</v>
      </c>
      <c r="M2610" s="1077">
        <v>290</v>
      </c>
      <c r="N2610" s="1077" t="s">
        <v>945</v>
      </c>
      <c r="O2610" s="1077">
        <v>7.25</v>
      </c>
      <c r="P2610" s="1077">
        <v>5.8</v>
      </c>
      <c r="Q2610" s="1077">
        <v>4</v>
      </c>
      <c r="R2610" s="1077">
        <v>19.5</v>
      </c>
      <c r="T2610" s="1077">
        <v>29.3</v>
      </c>
      <c r="U2610" s="1077">
        <v>3.5</v>
      </c>
      <c r="V2610" s="1077" t="s">
        <v>648</v>
      </c>
      <c r="W2610" s="1077">
        <v>95</v>
      </c>
      <c r="X2610" s="1077">
        <v>20</v>
      </c>
      <c r="Y2610" s="1077">
        <v>1.5</v>
      </c>
      <c r="Z2610" s="1077" t="s">
        <v>648</v>
      </c>
      <c r="AA2610" s="1077" t="s">
        <v>2015</v>
      </c>
      <c r="AH2610" s="1077" t="s">
        <v>884</v>
      </c>
      <c r="AM2610" s="1078" t="s">
        <v>14147</v>
      </c>
      <c r="AN2610" s="1078" t="s">
        <v>14148</v>
      </c>
      <c r="AO2610" s="1078">
        <f t="shared" si="326"/>
        <v>600</v>
      </c>
      <c r="AP2610" s="1078">
        <f t="shared" si="327"/>
        <v>1.78</v>
      </c>
      <c r="AQ2610" s="1078" t="str">
        <f t="shared" si="328"/>
        <v>1-5-1S91°Z+S</v>
      </c>
      <c r="AR2610" s="1078" t="str">
        <f t="shared" si="329"/>
        <v>31.5</v>
      </c>
      <c r="AS2610" s="1078" t="str">
        <f t="shared" si="330"/>
        <v>340/310/OFF</v>
      </c>
      <c r="AT2610" s="1078" t="str">
        <f t="shared" si="331"/>
        <v>1-5-1S91°Z+S</v>
      </c>
      <c r="AU2610" s="1078" t="s">
        <v>15547</v>
      </c>
      <c r="AV2610" s="1078" t="str">
        <f t="shared" si="324"/>
        <v>111.3.16</v>
      </c>
      <c r="AW2610" s="1344">
        <f t="shared" si="325"/>
        <v>44636</v>
      </c>
    </row>
    <row r="2611" spans="1:49">
      <c r="A2611" s="1077" t="s">
        <v>7973</v>
      </c>
      <c r="B2611" s="1077" t="s">
        <v>7205</v>
      </c>
      <c r="C2611" s="1077">
        <v>550</v>
      </c>
      <c r="D2611" s="1077">
        <v>1.76</v>
      </c>
      <c r="E2611" s="1077">
        <v>102.5</v>
      </c>
      <c r="F2611" s="1077" t="s">
        <v>4070</v>
      </c>
      <c r="G2611" s="1077">
        <v>5</v>
      </c>
      <c r="H2611" s="1077" t="s">
        <v>7974</v>
      </c>
      <c r="I2611" s="1077" t="s">
        <v>7215</v>
      </c>
      <c r="J2611" s="1077">
        <v>3</v>
      </c>
      <c r="K2611" s="1077" t="s">
        <v>7975</v>
      </c>
      <c r="L2611" s="1077" t="s">
        <v>6043</v>
      </c>
      <c r="M2611" s="1077">
        <v>302.8</v>
      </c>
      <c r="N2611" s="1077" t="s">
        <v>945</v>
      </c>
      <c r="O2611" s="1077">
        <v>7.57</v>
      </c>
      <c r="P2611" s="1077">
        <v>6.056</v>
      </c>
      <c r="Q2611" s="1077">
        <v>4</v>
      </c>
      <c r="R2611" s="1077">
        <v>19</v>
      </c>
      <c r="T2611" s="1077">
        <v>27</v>
      </c>
      <c r="U2611" s="1077">
        <v>3.5</v>
      </c>
      <c r="V2611" s="1077" t="s">
        <v>648</v>
      </c>
      <c r="W2611" s="1077">
        <v>135</v>
      </c>
      <c r="X2611" s="1077">
        <v>90</v>
      </c>
      <c r="Y2611" s="1077">
        <v>1.4</v>
      </c>
      <c r="Z2611" s="1077" t="s">
        <v>648</v>
      </c>
      <c r="AA2611" s="1077" t="s">
        <v>4318</v>
      </c>
      <c r="AH2611" s="1077" t="s">
        <v>869</v>
      </c>
      <c r="AM2611" s="1078" t="s">
        <v>14149</v>
      </c>
      <c r="AN2611" s="1078" t="s">
        <v>14150</v>
      </c>
      <c r="AO2611" s="1078">
        <f t="shared" si="326"/>
        <v>550</v>
      </c>
      <c r="AP2611" s="1078">
        <f t="shared" si="327"/>
        <v>1.76</v>
      </c>
      <c r="AQ2611" s="1078">
        <f t="shared" si="328"/>
        <v>102.5</v>
      </c>
      <c r="AR2611" s="1078" t="str">
        <f t="shared" si="329"/>
        <v>15.5</v>
      </c>
      <c r="AS2611" s="1078" t="str">
        <f t="shared" si="330"/>
        <v>485/455/OFF</v>
      </c>
      <c r="AT2611" s="1078">
        <f t="shared" si="331"/>
        <v>102.5</v>
      </c>
      <c r="AV2611" s="1078" t="str">
        <f t="shared" si="324"/>
        <v>111.3.18</v>
      </c>
      <c r="AW2611" s="1344">
        <f t="shared" si="325"/>
        <v>44638</v>
      </c>
    </row>
    <row r="2612" spans="1:49">
      <c r="A2612" s="1077" t="s">
        <v>7976</v>
      </c>
      <c r="B2612" s="1077" t="s">
        <v>760</v>
      </c>
      <c r="C2612" s="1077">
        <v>500</v>
      </c>
      <c r="D2612" s="1077">
        <v>1.825</v>
      </c>
      <c r="E2612" s="1077" t="s">
        <v>15122</v>
      </c>
      <c r="F2612" s="1077" t="s">
        <v>975</v>
      </c>
      <c r="G2612" s="1077">
        <v>5</v>
      </c>
      <c r="H2612" s="1077" t="s">
        <v>7880</v>
      </c>
      <c r="I2612" s="1077" t="s">
        <v>7137</v>
      </c>
      <c r="K2612" s="1077" t="s">
        <v>7904</v>
      </c>
      <c r="L2612" s="1077" t="s">
        <v>6118</v>
      </c>
      <c r="M2612" s="1077">
        <v>290</v>
      </c>
      <c r="N2612" s="1077" t="s">
        <v>945</v>
      </c>
      <c r="O2612" s="1077">
        <v>7.25</v>
      </c>
      <c r="P2612" s="1077">
        <v>5.8</v>
      </c>
      <c r="Q2612" s="1077">
        <v>3.5</v>
      </c>
      <c r="R2612" s="1077">
        <v>20</v>
      </c>
      <c r="T2612" s="1077">
        <v>22</v>
      </c>
      <c r="U2612" s="1077">
        <v>3.8</v>
      </c>
      <c r="V2612" s="1077" t="s">
        <v>648</v>
      </c>
      <c r="W2612" s="1077">
        <v>120</v>
      </c>
      <c r="X2612" s="1077">
        <v>20</v>
      </c>
      <c r="Y2612" s="1077">
        <v>1.6</v>
      </c>
      <c r="Z2612" s="1077" t="s">
        <v>648</v>
      </c>
      <c r="AA2612" s="1077" t="s">
        <v>2268</v>
      </c>
      <c r="AH2612" s="1077" t="s">
        <v>758</v>
      </c>
      <c r="AI2612" s="1077">
        <v>14.51</v>
      </c>
      <c r="AJ2612" s="1077">
        <v>0.12</v>
      </c>
      <c r="AK2612" s="1077">
        <v>0.76</v>
      </c>
      <c r="AM2612" s="1078" t="s">
        <v>759</v>
      </c>
      <c r="AN2612" s="1078" t="s">
        <v>14151</v>
      </c>
      <c r="AO2612" s="1078">
        <f t="shared" si="326"/>
        <v>500</v>
      </c>
      <c r="AP2612" s="1078">
        <f t="shared" si="327"/>
        <v>1.825</v>
      </c>
      <c r="AQ2612" s="1078" t="str">
        <f t="shared" si="328"/>
        <v>1-5-1S91°Z+S</v>
      </c>
      <c r="AR2612" s="1078" t="str">
        <f t="shared" si="329"/>
        <v>31.5</v>
      </c>
      <c r="AS2612" s="1078" t="str">
        <f t="shared" si="330"/>
        <v>310/310/150</v>
      </c>
      <c r="AT2612" s="1078" t="str">
        <f t="shared" si="331"/>
        <v>1-5-1S91°Z+S</v>
      </c>
      <c r="AU2612" s="1078" t="s">
        <v>15547</v>
      </c>
      <c r="AV2612" s="1078" t="str">
        <f t="shared" si="324"/>
        <v>114.2.19</v>
      </c>
      <c r="AW2612" s="1344">
        <f t="shared" si="325"/>
        <v>45707</v>
      </c>
    </row>
    <row r="2613" spans="1:49">
      <c r="A2613" s="1077" t="s">
        <v>7977</v>
      </c>
      <c r="B2613" s="1077" t="s">
        <v>663</v>
      </c>
      <c r="C2613" s="1077">
        <v>600</v>
      </c>
      <c r="D2613" s="1077">
        <v>1.82</v>
      </c>
      <c r="E2613" s="1077" t="s">
        <v>15122</v>
      </c>
      <c r="F2613" s="1077" t="s">
        <v>954</v>
      </c>
      <c r="G2613" s="1077">
        <v>5.5</v>
      </c>
      <c r="H2613" s="1077" t="s">
        <v>7752</v>
      </c>
      <c r="I2613" s="1077" t="s">
        <v>7753</v>
      </c>
      <c r="K2613" s="1077" t="s">
        <v>7978</v>
      </c>
      <c r="L2613" s="1077" t="s">
        <v>6238</v>
      </c>
      <c r="M2613" s="1077">
        <v>296</v>
      </c>
      <c r="N2613" s="1077" t="s">
        <v>945</v>
      </c>
      <c r="O2613" s="1077">
        <v>7.4</v>
      </c>
      <c r="P2613" s="1077">
        <v>5.92</v>
      </c>
      <c r="Q2613" s="1077">
        <v>3</v>
      </c>
      <c r="R2613" s="1077">
        <v>17</v>
      </c>
      <c r="T2613" s="1077">
        <v>10.5</v>
      </c>
      <c r="U2613" s="1077">
        <v>6.1</v>
      </c>
      <c r="V2613" s="1077" t="s">
        <v>648</v>
      </c>
      <c r="W2613" s="1077">
        <v>110</v>
      </c>
      <c r="X2613" s="1077">
        <v>90</v>
      </c>
      <c r="Y2613" s="1077">
        <v>1.1000000000000001</v>
      </c>
      <c r="Z2613" s="1077" t="s">
        <v>648</v>
      </c>
      <c r="AA2613" s="1077" t="s">
        <v>1983</v>
      </c>
      <c r="AB2613" s="1077" t="s">
        <v>7979</v>
      </c>
      <c r="AH2613" s="1077" t="s">
        <v>1588</v>
      </c>
      <c r="AI2613" s="1077">
        <v>90.34</v>
      </c>
      <c r="AJ2613" s="1077">
        <v>-1.67</v>
      </c>
      <c r="AK2613" s="1077">
        <v>6.65</v>
      </c>
      <c r="AM2613" s="1078" t="s">
        <v>768</v>
      </c>
      <c r="AN2613" s="1078" t="s">
        <v>14152</v>
      </c>
      <c r="AO2613" s="1078">
        <f t="shared" si="326"/>
        <v>600</v>
      </c>
      <c r="AP2613" s="1078">
        <f t="shared" si="327"/>
        <v>1.82</v>
      </c>
      <c r="AQ2613" s="1078" t="str">
        <f t="shared" si="328"/>
        <v>1-5-1S91°Z+S</v>
      </c>
      <c r="AR2613" s="1078" t="str">
        <f t="shared" si="329"/>
        <v>31</v>
      </c>
      <c r="AS2613" s="1078" t="str">
        <f t="shared" si="330"/>
        <v>280/280/160</v>
      </c>
      <c r="AT2613" s="1078" t="str">
        <f t="shared" si="331"/>
        <v>1-5-1S91°Z+S</v>
      </c>
      <c r="AU2613" s="1078" t="s">
        <v>15547</v>
      </c>
      <c r="AV2613" s="1078" t="str">
        <f t="shared" si="324"/>
        <v>113.7.23</v>
      </c>
      <c r="AW2613" s="1344">
        <f t="shared" si="325"/>
        <v>45496</v>
      </c>
    </row>
    <row r="2614" spans="1:49">
      <c r="A2614" s="1077" t="s">
        <v>7980</v>
      </c>
      <c r="B2614" s="1077" t="s">
        <v>775</v>
      </c>
      <c r="C2614" s="1077">
        <v>600</v>
      </c>
      <c r="D2614" s="1077">
        <v>1.79</v>
      </c>
      <c r="E2614" s="1077" t="s">
        <v>15122</v>
      </c>
      <c r="F2614" s="1077" t="s">
        <v>1469</v>
      </c>
      <c r="G2614" s="1077">
        <v>4</v>
      </c>
      <c r="H2614" s="1077" t="s">
        <v>6902</v>
      </c>
      <c r="I2614" s="1077" t="s">
        <v>7001</v>
      </c>
      <c r="K2614" s="1077" t="s">
        <v>7981</v>
      </c>
      <c r="L2614" s="1077" t="s">
        <v>7842</v>
      </c>
      <c r="M2614" s="1077">
        <v>303</v>
      </c>
      <c r="N2614" s="1077" t="s">
        <v>945</v>
      </c>
      <c r="O2614" s="1077">
        <v>7.5750000000000002</v>
      </c>
      <c r="P2614" s="1077">
        <v>6.0600000000000005</v>
      </c>
      <c r="Q2614" s="1077">
        <v>3.5</v>
      </c>
      <c r="R2614" s="1077">
        <v>24</v>
      </c>
      <c r="T2614" s="1077">
        <v>16</v>
      </c>
      <c r="U2614" s="1077">
        <v>3</v>
      </c>
      <c r="V2614" s="1077" t="s">
        <v>648</v>
      </c>
      <c r="W2614" s="1077">
        <v>90</v>
      </c>
      <c r="X2614" s="1077">
        <v>10</v>
      </c>
      <c r="Y2614" s="1077">
        <v>1.5</v>
      </c>
      <c r="Z2614" s="1077" t="s">
        <v>648</v>
      </c>
      <c r="AA2614" s="1077" t="s">
        <v>7982</v>
      </c>
      <c r="AH2614" s="1077" t="s">
        <v>1053</v>
      </c>
      <c r="AI2614" s="1077">
        <v>58.9</v>
      </c>
      <c r="AJ2614" s="1077">
        <v>1.58</v>
      </c>
      <c r="AK2614" s="1077">
        <v>10.130000000000001</v>
      </c>
      <c r="AM2614" s="1078" t="s">
        <v>774</v>
      </c>
      <c r="AN2614" s="1078" t="s">
        <v>14153</v>
      </c>
      <c r="AO2614" s="1078">
        <f t="shared" si="326"/>
        <v>600</v>
      </c>
      <c r="AP2614" s="1078">
        <f t="shared" si="327"/>
        <v>1.79</v>
      </c>
      <c r="AQ2614" s="1078" t="str">
        <f t="shared" si="328"/>
        <v>1-5-1S91°Z+S</v>
      </c>
      <c r="AR2614" s="1078" t="str">
        <f t="shared" si="329"/>
        <v>30.5</v>
      </c>
      <c r="AS2614" s="1078" t="str">
        <f t="shared" si="330"/>
        <v>310/310/190</v>
      </c>
      <c r="AT2614" s="1078" t="str">
        <f t="shared" si="331"/>
        <v>1-5-1S91°Z+S</v>
      </c>
      <c r="AU2614" s="1078" t="s">
        <v>15547</v>
      </c>
      <c r="AV2614" s="1078" t="str">
        <f t="shared" si="324"/>
        <v>114.2.28</v>
      </c>
      <c r="AW2614" s="1344">
        <f t="shared" si="325"/>
        <v>45716</v>
      </c>
    </row>
    <row r="2615" spans="1:49">
      <c r="A2615" s="1077" t="s">
        <v>7983</v>
      </c>
      <c r="B2615" s="1077" t="s">
        <v>467</v>
      </c>
      <c r="C2615" s="1077" t="s">
        <v>6839</v>
      </c>
      <c r="D2615" s="1077">
        <v>1.8</v>
      </c>
      <c r="E2615" s="1077" t="s">
        <v>15109</v>
      </c>
      <c r="F2615" s="1077" t="s">
        <v>648</v>
      </c>
      <c r="G2615" s="1077" t="s">
        <v>6865</v>
      </c>
      <c r="H2615" s="1077" t="s">
        <v>7984</v>
      </c>
      <c r="I2615" s="1077" t="s">
        <v>6967</v>
      </c>
      <c r="J2615" s="1077">
        <v>3.7</v>
      </c>
      <c r="K2615" s="1077" t="s">
        <v>7985</v>
      </c>
      <c r="L2615" s="1077" t="s">
        <v>6291</v>
      </c>
      <c r="M2615" s="1077">
        <v>295.10000000000002</v>
      </c>
      <c r="N2615" s="1077" t="s">
        <v>945</v>
      </c>
      <c r="O2615" s="1077">
        <v>7.3775000000000013</v>
      </c>
      <c r="P2615" s="1077">
        <v>5.9020000000000001</v>
      </c>
      <c r="Q2615" s="1077">
        <v>4</v>
      </c>
      <c r="R2615" s="1077">
        <v>17.399999999999999</v>
      </c>
      <c r="T2615" s="1077">
        <v>31</v>
      </c>
      <c r="U2615" s="1077">
        <v>3.5</v>
      </c>
      <c r="V2615" s="1077" t="s">
        <v>648</v>
      </c>
      <c r="W2615" s="1077" t="s">
        <v>6880</v>
      </c>
      <c r="X2615" s="1077">
        <v>40</v>
      </c>
      <c r="Y2615" s="1077">
        <v>1</v>
      </c>
      <c r="Z2615" s="1077" t="s">
        <v>648</v>
      </c>
      <c r="AA2615" s="1077" t="s">
        <v>2277</v>
      </c>
      <c r="AH2615" s="1077" t="s">
        <v>646</v>
      </c>
      <c r="AI2615" s="1077">
        <v>90.94</v>
      </c>
      <c r="AJ2615" s="1077">
        <v>-0.34</v>
      </c>
      <c r="AK2615" s="1077">
        <v>1.65</v>
      </c>
      <c r="AM2615" s="1078" t="s">
        <v>772</v>
      </c>
      <c r="AN2615" s="1078" t="s">
        <v>14154</v>
      </c>
      <c r="AO2615" s="1078" t="str">
        <f t="shared" si="326"/>
        <v>650↓600-3/14</v>
      </c>
      <c r="AP2615" s="1078">
        <f t="shared" si="327"/>
        <v>1.8</v>
      </c>
      <c r="AQ2615" s="1078" t="str">
        <f t="shared" si="328"/>
        <v>1-5-1S85°Z+S</v>
      </c>
      <c r="AR2615" s="1078" t="str">
        <f t="shared" si="329"/>
        <v>NA</v>
      </c>
      <c r="AS2615" s="1078" t="str">
        <f t="shared" si="330"/>
        <v>201/OFF</v>
      </c>
      <c r="AT2615" s="1078" t="str">
        <f t="shared" si="331"/>
        <v>1-5-1S85°Z+S</v>
      </c>
      <c r="AU2615" s="1078" t="s">
        <v>15547</v>
      </c>
      <c r="AV2615" s="1078" t="str">
        <f t="shared" si="324"/>
        <v>114.2.27</v>
      </c>
      <c r="AW2615" s="1344">
        <f t="shared" si="325"/>
        <v>45715</v>
      </c>
    </row>
    <row r="2616" spans="1:49">
      <c r="A2616" s="1077" t="s">
        <v>7986</v>
      </c>
      <c r="B2616" s="1077" t="s">
        <v>467</v>
      </c>
      <c r="C2616" s="1077">
        <v>680</v>
      </c>
      <c r="D2616" s="1077">
        <v>1.81</v>
      </c>
      <c r="E2616" s="1077" t="s">
        <v>15109</v>
      </c>
      <c r="F2616" s="1077" t="s">
        <v>648</v>
      </c>
      <c r="G2616" s="1077" t="s">
        <v>6865</v>
      </c>
      <c r="H2616" s="1077" t="s">
        <v>7987</v>
      </c>
      <c r="I2616" s="1077" t="s">
        <v>6937</v>
      </c>
      <c r="J2616" s="1077">
        <v>3.7</v>
      </c>
      <c r="K2616" s="1077" t="s">
        <v>7988</v>
      </c>
      <c r="L2616" s="1077" t="s">
        <v>4666</v>
      </c>
      <c r="M2616" s="1077">
        <v>295.10000000000002</v>
      </c>
      <c r="N2616" s="1077" t="s">
        <v>945</v>
      </c>
      <c r="O2616" s="1077">
        <v>7.3775000000000013</v>
      </c>
      <c r="P2616" s="1077">
        <v>5.9020000000000001</v>
      </c>
      <c r="Q2616" s="1077">
        <v>4</v>
      </c>
      <c r="R2616" s="1077">
        <v>17.399999999999999</v>
      </c>
      <c r="T2616" s="1077">
        <v>31</v>
      </c>
      <c r="U2616" s="1077">
        <v>3.5</v>
      </c>
      <c r="V2616" s="1077" t="s">
        <v>648</v>
      </c>
      <c r="W2616" s="1077" t="s">
        <v>6880</v>
      </c>
      <c r="X2616" s="1077">
        <v>40</v>
      </c>
      <c r="Y2616" s="1077">
        <v>1</v>
      </c>
      <c r="Z2616" s="1077" t="s">
        <v>648</v>
      </c>
      <c r="AA2616" s="1077" t="s">
        <v>7989</v>
      </c>
      <c r="AH2616" s="1077" t="s">
        <v>647</v>
      </c>
      <c r="AI2616" s="1077">
        <v>95.65</v>
      </c>
      <c r="AJ2616" s="1077">
        <v>-0.55000000000000004</v>
      </c>
      <c r="AK2616" s="1077">
        <v>2.42</v>
      </c>
      <c r="AM2616" s="1078" t="s">
        <v>800</v>
      </c>
      <c r="AN2616" s="1078" t="s">
        <v>14155</v>
      </c>
      <c r="AO2616" s="1078">
        <f t="shared" si="326"/>
        <v>680</v>
      </c>
      <c r="AP2616" s="1078">
        <f t="shared" si="327"/>
        <v>1.81</v>
      </c>
      <c r="AQ2616" s="1078" t="str">
        <f t="shared" si="328"/>
        <v>1-5-1S85°Z+S</v>
      </c>
      <c r="AR2616" s="1078" t="str">
        <f t="shared" si="329"/>
        <v>NA</v>
      </c>
      <c r="AS2616" s="1078" t="str">
        <f t="shared" si="330"/>
        <v>206/OFF</v>
      </c>
      <c r="AT2616" s="1078" t="str">
        <f t="shared" si="331"/>
        <v>1-5-1S85°Z+S</v>
      </c>
      <c r="AU2616" s="1078" t="s">
        <v>15547</v>
      </c>
      <c r="AV2616" s="1078" t="str">
        <f t="shared" si="324"/>
        <v>114.3.5</v>
      </c>
      <c r="AW2616" s="1344">
        <f t="shared" si="325"/>
        <v>45721</v>
      </c>
    </row>
    <row r="2617" spans="1:49">
      <c r="A2617" s="1077" t="s">
        <v>7990</v>
      </c>
      <c r="B2617" s="1077" t="s">
        <v>825</v>
      </c>
      <c r="C2617" s="1077">
        <v>550</v>
      </c>
      <c r="D2617" s="1077">
        <v>1.78</v>
      </c>
      <c r="E2617" s="1077" t="s">
        <v>15122</v>
      </c>
      <c r="F2617" s="1077" t="s">
        <v>975</v>
      </c>
      <c r="G2617" s="1077">
        <v>3.5</v>
      </c>
      <c r="H2617" s="1077" t="s">
        <v>7991</v>
      </c>
      <c r="I2617" s="1077" t="s">
        <v>7729</v>
      </c>
      <c r="K2617" s="1077" t="s">
        <v>7992</v>
      </c>
      <c r="L2617" s="1077" t="s">
        <v>7297</v>
      </c>
      <c r="M2617" s="1077">
        <v>310</v>
      </c>
      <c r="N2617" s="1077" t="s">
        <v>945</v>
      </c>
      <c r="O2617" s="1077">
        <v>7.75</v>
      </c>
      <c r="P2617" s="1077">
        <v>6.2</v>
      </c>
      <c r="Q2617" s="1077">
        <v>3.5</v>
      </c>
      <c r="R2617" s="1077">
        <v>22</v>
      </c>
      <c r="T2617" s="1077">
        <v>22</v>
      </c>
      <c r="U2617" s="1077">
        <v>3.5</v>
      </c>
      <c r="V2617" s="1077" t="s">
        <v>648</v>
      </c>
      <c r="W2617" s="1077">
        <v>110</v>
      </c>
      <c r="X2617" s="1077">
        <v>85</v>
      </c>
      <c r="Y2617" s="1077">
        <v>1</v>
      </c>
      <c r="Z2617" s="1077" t="s">
        <v>648</v>
      </c>
      <c r="AA2617" s="1077" t="s">
        <v>6852</v>
      </c>
      <c r="AH2617" s="1077" t="s">
        <v>1221</v>
      </c>
      <c r="AI2617" s="1077">
        <v>16.649999999999999</v>
      </c>
      <c r="AJ2617" s="1077">
        <v>-0.15</v>
      </c>
      <c r="AK2617" s="1077">
        <v>0.77</v>
      </c>
      <c r="AM2617" s="1078" t="s">
        <v>816</v>
      </c>
      <c r="AN2617" s="1078" t="s">
        <v>14156</v>
      </c>
      <c r="AO2617" s="1078">
        <f t="shared" si="326"/>
        <v>550</v>
      </c>
      <c r="AP2617" s="1078">
        <f t="shared" si="327"/>
        <v>1.78</v>
      </c>
      <c r="AQ2617" s="1078" t="str">
        <f t="shared" si="328"/>
        <v>1-5-1S91°Z+S</v>
      </c>
      <c r="AR2617" s="1078" t="str">
        <f t="shared" si="329"/>
        <v>31.5</v>
      </c>
      <c r="AS2617" s="1078" t="str">
        <f t="shared" si="330"/>
        <v>330/330/145</v>
      </c>
      <c r="AT2617" s="1078" t="str">
        <f t="shared" si="331"/>
        <v>1-5-1S91°Z+S</v>
      </c>
      <c r="AU2617" s="1078" t="s">
        <v>15547</v>
      </c>
      <c r="AV2617" s="1078" t="str">
        <f t="shared" si="324"/>
        <v>114.3.10</v>
      </c>
      <c r="AW2617" s="1344">
        <f t="shared" si="325"/>
        <v>45726</v>
      </c>
    </row>
    <row r="2618" spans="1:49">
      <c r="A2618" s="1077" t="s">
        <v>7993</v>
      </c>
      <c r="B2618" s="1077" t="s">
        <v>467</v>
      </c>
      <c r="C2618" s="1077">
        <v>650</v>
      </c>
      <c r="D2618" s="1077">
        <v>1.7749999999999999</v>
      </c>
      <c r="E2618" s="1077">
        <v>102.5</v>
      </c>
      <c r="F2618" s="1077" t="s">
        <v>4070</v>
      </c>
      <c r="G2618" s="1077">
        <v>5.5</v>
      </c>
      <c r="H2618" s="1077" t="s">
        <v>7994</v>
      </c>
      <c r="I2618" s="1077" t="s">
        <v>7995</v>
      </c>
      <c r="J2618" s="1077">
        <v>3.7</v>
      </c>
      <c r="K2618" s="1077" t="s">
        <v>7996</v>
      </c>
      <c r="L2618" s="1077" t="s">
        <v>4666</v>
      </c>
      <c r="M2618" s="1077">
        <v>295.10000000000002</v>
      </c>
      <c r="N2618" s="1077" t="s">
        <v>945</v>
      </c>
      <c r="O2618" s="1077">
        <v>7.3775000000000013</v>
      </c>
      <c r="P2618" s="1077">
        <v>5.9020000000000001</v>
      </c>
      <c r="Q2618" s="1077">
        <v>4</v>
      </c>
      <c r="R2618" s="1077">
        <v>17.399999999999999</v>
      </c>
      <c r="T2618" s="1077">
        <v>31</v>
      </c>
      <c r="U2618" s="1077">
        <v>3.5</v>
      </c>
      <c r="V2618" s="1077" t="s">
        <v>648</v>
      </c>
      <c r="W2618" s="1077">
        <v>100</v>
      </c>
      <c r="X2618" s="1077">
        <v>40</v>
      </c>
      <c r="Y2618" s="1077">
        <v>1</v>
      </c>
      <c r="Z2618" s="1077" t="s">
        <v>648</v>
      </c>
      <c r="AA2618" s="1077" t="s">
        <v>6852</v>
      </c>
      <c r="AH2618" s="1077" t="s">
        <v>830</v>
      </c>
      <c r="AI2618" s="1077">
        <v>95.54</v>
      </c>
      <c r="AJ2618" s="1077">
        <v>-0.45</v>
      </c>
      <c r="AK2618" s="1077">
        <v>1.42</v>
      </c>
      <c r="AM2618" s="1078" t="s">
        <v>826</v>
      </c>
      <c r="AN2618" s="1078" t="s">
        <v>14157</v>
      </c>
      <c r="AO2618" s="1078">
        <f t="shared" si="326"/>
        <v>650</v>
      </c>
      <c r="AP2618" s="1078">
        <f t="shared" si="327"/>
        <v>1.7749999999999999</v>
      </c>
      <c r="AQ2618" s="1078">
        <f t="shared" si="328"/>
        <v>102.5</v>
      </c>
      <c r="AR2618" s="1078" t="str">
        <f t="shared" si="329"/>
        <v>15.5</v>
      </c>
      <c r="AS2618" s="1078" t="str">
        <f t="shared" si="330"/>
        <v>510/470/OFF</v>
      </c>
      <c r="AT2618" s="1078">
        <f t="shared" si="331"/>
        <v>102.5</v>
      </c>
      <c r="AV2618" s="1078" t="str">
        <f t="shared" si="324"/>
        <v>114.3.10</v>
      </c>
      <c r="AW2618" s="1344">
        <f t="shared" si="325"/>
        <v>45726</v>
      </c>
    </row>
    <row r="2619" spans="1:49">
      <c r="A2619" s="1077" t="s">
        <v>7997</v>
      </c>
      <c r="B2619" s="1077" t="s">
        <v>836</v>
      </c>
      <c r="C2619" s="1077">
        <v>600</v>
      </c>
      <c r="D2619" s="1077">
        <v>1.79</v>
      </c>
      <c r="E2619" s="1077" t="s">
        <v>15122</v>
      </c>
      <c r="F2619" s="1077" t="s">
        <v>1469</v>
      </c>
      <c r="G2619" s="1077">
        <v>4</v>
      </c>
      <c r="H2619" s="1077" t="s">
        <v>6902</v>
      </c>
      <c r="I2619" s="1077" t="s">
        <v>7001</v>
      </c>
      <c r="K2619" s="1077" t="s">
        <v>7998</v>
      </c>
      <c r="L2619" s="1077" t="s">
        <v>7831</v>
      </c>
      <c r="M2619" s="1077">
        <v>303</v>
      </c>
      <c r="N2619" s="1077" t="s">
        <v>945</v>
      </c>
      <c r="O2619" s="1077">
        <v>7.5750000000000002</v>
      </c>
      <c r="P2619" s="1077">
        <v>6.0600000000000005</v>
      </c>
      <c r="Q2619" s="1077">
        <v>3.5</v>
      </c>
      <c r="R2619" s="1077">
        <v>24</v>
      </c>
      <c r="T2619" s="1077">
        <v>16</v>
      </c>
      <c r="U2619" s="1077">
        <v>3</v>
      </c>
      <c r="V2619" s="1077" t="s">
        <v>648</v>
      </c>
      <c r="W2619" s="1077">
        <v>90</v>
      </c>
      <c r="X2619" s="1077">
        <v>10</v>
      </c>
      <c r="Y2619" s="1077">
        <v>1.5</v>
      </c>
      <c r="Z2619" s="1077" t="s">
        <v>648</v>
      </c>
      <c r="AA2619" s="1077" t="s">
        <v>6857</v>
      </c>
      <c r="AH2619" s="1077" t="s">
        <v>838</v>
      </c>
      <c r="AI2619" s="1077">
        <v>55.31</v>
      </c>
      <c r="AJ2619" s="1077">
        <v>1.2</v>
      </c>
      <c r="AK2619" s="1077">
        <v>4.62</v>
      </c>
      <c r="AM2619" s="1078" t="s">
        <v>833</v>
      </c>
      <c r="AN2619" s="1078" t="s">
        <v>14158</v>
      </c>
      <c r="AO2619" s="1078">
        <f t="shared" si="326"/>
        <v>600</v>
      </c>
      <c r="AP2619" s="1078">
        <f t="shared" si="327"/>
        <v>1.79</v>
      </c>
      <c r="AQ2619" s="1078" t="str">
        <f t="shared" si="328"/>
        <v>1-5-1S91°Z+S</v>
      </c>
      <c r="AR2619" s="1078" t="str">
        <f t="shared" si="329"/>
        <v>30.5</v>
      </c>
      <c r="AS2619" s="1078" t="str">
        <f t="shared" si="330"/>
        <v>310/310/190</v>
      </c>
      <c r="AT2619" s="1078" t="str">
        <f t="shared" si="331"/>
        <v>1-5-1S91°Z+S</v>
      </c>
      <c r="AU2619" s="1078" t="s">
        <v>15547</v>
      </c>
      <c r="AV2619" s="1078" t="str">
        <f t="shared" si="324"/>
        <v>114.3.13</v>
      </c>
      <c r="AW2619" s="1344">
        <f t="shared" si="325"/>
        <v>45729</v>
      </c>
    </row>
    <row r="2620" spans="1:49">
      <c r="A2620" s="1077" t="s">
        <v>7999</v>
      </c>
      <c r="B2620" s="1077" t="s">
        <v>467</v>
      </c>
      <c r="C2620" s="1077">
        <v>650</v>
      </c>
      <c r="D2620" s="1077">
        <v>1.8</v>
      </c>
      <c r="E2620" s="1077" t="s">
        <v>15109</v>
      </c>
      <c r="F2620" s="1077" t="s">
        <v>648</v>
      </c>
      <c r="G2620" s="1077" t="s">
        <v>6865</v>
      </c>
      <c r="H2620" s="1077" t="s">
        <v>7863</v>
      </c>
      <c r="I2620" s="1077" t="s">
        <v>6967</v>
      </c>
      <c r="J2620" s="1077">
        <v>3.7</v>
      </c>
      <c r="K2620" s="1077" t="s">
        <v>8000</v>
      </c>
      <c r="L2620" s="1077" t="s">
        <v>6291</v>
      </c>
      <c r="M2620" s="1077">
        <v>295.10000000000002</v>
      </c>
      <c r="N2620" s="1077" t="s">
        <v>945</v>
      </c>
      <c r="O2620" s="1077">
        <v>7.3775000000000013</v>
      </c>
      <c r="P2620" s="1077">
        <v>5.9020000000000001</v>
      </c>
      <c r="Q2620" s="1077">
        <v>4</v>
      </c>
      <c r="R2620" s="1077">
        <v>17.399999999999999</v>
      </c>
      <c r="T2620" s="1077">
        <v>31</v>
      </c>
      <c r="U2620" s="1077">
        <v>3.5</v>
      </c>
      <c r="V2620" s="1077" t="s">
        <v>648</v>
      </c>
      <c r="W2620" s="1077" t="s">
        <v>6880</v>
      </c>
      <c r="X2620" s="1077">
        <v>40</v>
      </c>
      <c r="Y2620" s="1077">
        <v>1</v>
      </c>
      <c r="Z2620" s="1077" t="s">
        <v>648</v>
      </c>
      <c r="AA2620" s="1077" t="s">
        <v>2289</v>
      </c>
      <c r="AH2620" s="1077" t="s">
        <v>646</v>
      </c>
      <c r="AM2620" s="1078" t="s">
        <v>851</v>
      </c>
      <c r="AN2620" s="1078" t="s">
        <v>14159</v>
      </c>
      <c r="AO2620" s="1078">
        <f t="shared" si="326"/>
        <v>650</v>
      </c>
      <c r="AP2620" s="1078">
        <f t="shared" si="327"/>
        <v>1.8</v>
      </c>
      <c r="AQ2620" s="1078" t="str">
        <f t="shared" si="328"/>
        <v>1-5-1S85°Z+S</v>
      </c>
      <c r="AR2620" s="1078" t="str">
        <f t="shared" si="329"/>
        <v>NA</v>
      </c>
      <c r="AS2620" s="1078" t="str">
        <f t="shared" si="330"/>
        <v>204/OFF</v>
      </c>
      <c r="AT2620" s="1078" t="str">
        <f t="shared" si="331"/>
        <v>1-5-1S85°Z+S</v>
      </c>
      <c r="AU2620" s="1078" t="s">
        <v>15547</v>
      </c>
      <c r="AV2620" s="1078" t="str">
        <f t="shared" si="324"/>
        <v>114.3.21</v>
      </c>
      <c r="AW2620" s="1344">
        <f t="shared" si="325"/>
        <v>45737</v>
      </c>
    </row>
    <row r="2621" spans="1:49">
      <c r="A2621" s="1077" t="s">
        <v>8001</v>
      </c>
      <c r="B2621" s="1077" t="s">
        <v>855</v>
      </c>
      <c r="C2621" s="1077">
        <v>500</v>
      </c>
      <c r="D2621" s="1077">
        <v>1.77</v>
      </c>
      <c r="E2621" s="1077" t="s">
        <v>15109</v>
      </c>
      <c r="F2621" s="1077" t="s">
        <v>648</v>
      </c>
      <c r="G2621" s="1077">
        <v>5.5</v>
      </c>
      <c r="H2621" s="1077" t="s">
        <v>4776</v>
      </c>
      <c r="I2621" s="1077" t="s">
        <v>7446</v>
      </c>
      <c r="K2621" s="1077" t="s">
        <v>8002</v>
      </c>
      <c r="L2621" s="1077" t="s">
        <v>7836</v>
      </c>
      <c r="M2621" s="1077">
        <v>295</v>
      </c>
      <c r="N2621" s="1077" t="s">
        <v>945</v>
      </c>
      <c r="O2621" s="1077">
        <v>7.375</v>
      </c>
      <c r="P2621" s="1077">
        <v>5.9</v>
      </c>
      <c r="Q2621" s="1077">
        <v>4</v>
      </c>
      <c r="R2621" s="1077">
        <v>19</v>
      </c>
      <c r="T2621" s="1077">
        <v>27.8</v>
      </c>
      <c r="U2621" s="1077">
        <v>3.9</v>
      </c>
      <c r="V2621" s="1077" t="s">
        <v>648</v>
      </c>
      <c r="W2621" s="1077">
        <v>125</v>
      </c>
      <c r="X2621" s="1077">
        <v>90</v>
      </c>
      <c r="Y2621" s="1077">
        <v>1.5</v>
      </c>
      <c r="Z2621" s="1077" t="s">
        <v>648</v>
      </c>
      <c r="AA2621" s="1077" t="s">
        <v>8003</v>
      </c>
      <c r="AH2621" s="1077" t="s">
        <v>726</v>
      </c>
      <c r="AM2621" s="1078" t="s">
        <v>852</v>
      </c>
      <c r="AN2621" s="1078" t="s">
        <v>14160</v>
      </c>
      <c r="AO2621" s="1078">
        <f t="shared" si="326"/>
        <v>500</v>
      </c>
      <c r="AP2621" s="1078">
        <f t="shared" si="327"/>
        <v>1.77</v>
      </c>
      <c r="AQ2621" s="1078" t="str">
        <f t="shared" si="328"/>
        <v>1-5-1S85°Z+S</v>
      </c>
      <c r="AR2621" s="1078" t="str">
        <f t="shared" si="329"/>
        <v>NA</v>
      </c>
      <c r="AS2621" s="1078" t="str">
        <f t="shared" si="330"/>
        <v>178/OFF</v>
      </c>
      <c r="AT2621" s="1078" t="str">
        <f t="shared" si="331"/>
        <v>1-5-1S85°Z+S</v>
      </c>
      <c r="AU2621" s="1078" t="s">
        <v>15547</v>
      </c>
      <c r="AV2621" s="1078" t="str">
        <f t="shared" si="324"/>
        <v>113.3.24</v>
      </c>
      <c r="AW2621" s="1344">
        <f t="shared" si="325"/>
        <v>45375</v>
      </c>
    </row>
    <row r="2622" spans="1:49">
      <c r="A2622" s="1077" t="s">
        <v>8004</v>
      </c>
      <c r="B2622" s="1077" t="s">
        <v>467</v>
      </c>
      <c r="C2622" s="1077">
        <v>650</v>
      </c>
      <c r="D2622" s="1077">
        <v>1.72</v>
      </c>
      <c r="E2622" s="1077">
        <v>102.5</v>
      </c>
      <c r="F2622" s="1077" t="s">
        <v>4070</v>
      </c>
      <c r="G2622" s="1077">
        <v>5.5</v>
      </c>
      <c r="H2622" s="1077" t="s">
        <v>8005</v>
      </c>
      <c r="I2622" s="1077" t="s">
        <v>8006</v>
      </c>
      <c r="J2622" s="1077">
        <v>3.7</v>
      </c>
      <c r="K2622" s="1077" t="s">
        <v>8007</v>
      </c>
      <c r="L2622" s="1077" t="s">
        <v>6684</v>
      </c>
      <c r="M2622" s="1077">
        <v>295.10000000000002</v>
      </c>
      <c r="N2622" s="1077" t="s">
        <v>945</v>
      </c>
      <c r="O2622" s="1077">
        <v>7.3775000000000013</v>
      </c>
      <c r="P2622" s="1077">
        <v>5.9020000000000001</v>
      </c>
      <c r="Q2622" s="1077">
        <v>4</v>
      </c>
      <c r="R2622" s="1077">
        <v>17.399999999999999</v>
      </c>
      <c r="T2622" s="1077">
        <v>31</v>
      </c>
      <c r="U2622" s="1077">
        <v>3.5</v>
      </c>
      <c r="V2622" s="1077" t="s">
        <v>648</v>
      </c>
      <c r="W2622" s="1077">
        <v>100</v>
      </c>
      <c r="X2622" s="1077">
        <v>40</v>
      </c>
      <c r="Y2622" s="1077">
        <v>1</v>
      </c>
      <c r="Z2622" s="1077" t="s">
        <v>648</v>
      </c>
      <c r="AA2622" s="1077" t="s">
        <v>2289</v>
      </c>
      <c r="AH2622" s="1077" t="s">
        <v>650</v>
      </c>
      <c r="AM2622" s="1078" t="s">
        <v>848</v>
      </c>
      <c r="AN2622" s="1078" t="s">
        <v>14161</v>
      </c>
      <c r="AO2622" s="1078">
        <f t="shared" si="326"/>
        <v>650</v>
      </c>
      <c r="AP2622" s="1078">
        <f t="shared" si="327"/>
        <v>1.72</v>
      </c>
      <c r="AQ2622" s="1078">
        <f t="shared" si="328"/>
        <v>102.5</v>
      </c>
      <c r="AR2622" s="1078" t="str">
        <f t="shared" si="329"/>
        <v>15.5</v>
      </c>
      <c r="AS2622" s="1078" t="str">
        <f t="shared" si="330"/>
        <v>500/470/OFF</v>
      </c>
      <c r="AT2622" s="1078">
        <f t="shared" si="331"/>
        <v>102.5</v>
      </c>
      <c r="AV2622" s="1078" t="str">
        <f t="shared" si="324"/>
        <v>114.3.21</v>
      </c>
      <c r="AW2622" s="1344">
        <f t="shared" si="325"/>
        <v>45737</v>
      </c>
    </row>
    <row r="2623" spans="1:49">
      <c r="A2623" s="1077" t="s">
        <v>8008</v>
      </c>
      <c r="B2623" s="1077" t="s">
        <v>714</v>
      </c>
      <c r="C2623" s="1077">
        <v>500</v>
      </c>
      <c r="D2623" s="1077">
        <v>1.78</v>
      </c>
      <c r="E2623" s="1077">
        <v>102.5</v>
      </c>
      <c r="F2623" s="1077" t="s">
        <v>4070</v>
      </c>
      <c r="G2623" s="1077">
        <v>5.5</v>
      </c>
      <c r="H2623" s="1077" t="s">
        <v>8009</v>
      </c>
      <c r="I2623" s="1077" t="s">
        <v>7588</v>
      </c>
      <c r="J2623" s="1077">
        <v>3.7</v>
      </c>
      <c r="K2623" s="1077" t="s">
        <v>7968</v>
      </c>
      <c r="L2623" s="1077" t="s">
        <v>4666</v>
      </c>
      <c r="M2623" s="1077">
        <v>295.10000000000002</v>
      </c>
      <c r="N2623" s="1077" t="s">
        <v>945</v>
      </c>
      <c r="O2623" s="1077">
        <v>7.3775000000000013</v>
      </c>
      <c r="P2623" s="1077">
        <v>5.9020000000000001</v>
      </c>
      <c r="Q2623" s="1077">
        <v>4</v>
      </c>
      <c r="R2623" s="1077">
        <v>17.399999999999999</v>
      </c>
      <c r="T2623" s="1077">
        <v>31</v>
      </c>
      <c r="U2623" s="1077">
        <v>3.5</v>
      </c>
      <c r="V2623" s="1077" t="s">
        <v>648</v>
      </c>
      <c r="W2623" s="1077">
        <v>100</v>
      </c>
      <c r="X2623" s="1077">
        <v>40</v>
      </c>
      <c r="Y2623" s="1077">
        <v>1</v>
      </c>
      <c r="Z2623" s="1077" t="s">
        <v>648</v>
      </c>
      <c r="AA2623" s="1077" t="s">
        <v>4318</v>
      </c>
      <c r="AH2623" s="1077" t="s">
        <v>2384</v>
      </c>
      <c r="AM2623" s="1078" t="s">
        <v>14162</v>
      </c>
      <c r="AN2623" s="1078" t="s">
        <v>14163</v>
      </c>
      <c r="AO2623" s="1078">
        <f t="shared" si="326"/>
        <v>500</v>
      </c>
      <c r="AP2623" s="1078">
        <f t="shared" si="327"/>
        <v>1.78</v>
      </c>
      <c r="AQ2623" s="1078">
        <f t="shared" si="328"/>
        <v>102.5</v>
      </c>
      <c r="AR2623" s="1078" t="str">
        <f t="shared" si="329"/>
        <v>15.5</v>
      </c>
      <c r="AS2623" s="1078" t="str">
        <f t="shared" si="330"/>
        <v>455/415/OFF</v>
      </c>
      <c r="AT2623" s="1078">
        <f t="shared" si="331"/>
        <v>102.5</v>
      </c>
      <c r="AV2623" s="1078" t="str">
        <f t="shared" si="324"/>
        <v>111.3.18</v>
      </c>
      <c r="AW2623" s="1344">
        <f t="shared" si="325"/>
        <v>44638</v>
      </c>
    </row>
    <row r="2624" spans="1:49">
      <c r="A2624" s="1077" t="s">
        <v>8010</v>
      </c>
      <c r="B2624" s="1077" t="s">
        <v>7014</v>
      </c>
      <c r="C2624" s="1077">
        <v>600</v>
      </c>
      <c r="D2624" s="1077">
        <v>1.75</v>
      </c>
      <c r="E2624" s="1077" t="s">
        <v>15116</v>
      </c>
      <c r="F2624" s="1077" t="s">
        <v>2234</v>
      </c>
      <c r="G2624" s="1077">
        <v>5</v>
      </c>
      <c r="H2624" s="1077" t="s">
        <v>6952</v>
      </c>
      <c r="I2624" s="1077" t="s">
        <v>6918</v>
      </c>
      <c r="K2624" s="1077" t="s">
        <v>7016</v>
      </c>
      <c r="L2624" s="1077" t="s">
        <v>7017</v>
      </c>
      <c r="M2624" s="1077">
        <v>305</v>
      </c>
      <c r="N2624" s="1077" t="s">
        <v>945</v>
      </c>
      <c r="O2624" s="1077">
        <v>7.625</v>
      </c>
      <c r="P2624" s="1077">
        <v>6.1000000000000005</v>
      </c>
      <c r="Q2624" s="1077">
        <v>3.5</v>
      </c>
      <c r="R2624" s="1077">
        <v>24</v>
      </c>
      <c r="T2624" s="1077">
        <v>13.5</v>
      </c>
      <c r="U2624" s="1077">
        <v>3.2</v>
      </c>
      <c r="V2624" s="1077" t="s">
        <v>648</v>
      </c>
      <c r="W2624" s="1077">
        <v>100</v>
      </c>
      <c r="X2624" s="1077">
        <v>85</v>
      </c>
      <c r="Y2624" s="1077">
        <v>1.2</v>
      </c>
      <c r="Z2624" s="1077" t="s">
        <v>648</v>
      </c>
      <c r="AA2624" s="1077" t="s">
        <v>5468</v>
      </c>
      <c r="AH2624" s="1077" t="s">
        <v>456</v>
      </c>
      <c r="AM2624" s="1078" t="s">
        <v>14164</v>
      </c>
      <c r="AN2624" s="1078" t="s">
        <v>14165</v>
      </c>
      <c r="AO2624" s="1078">
        <f t="shared" si="326"/>
        <v>600</v>
      </c>
      <c r="AP2624" s="1078">
        <f t="shared" si="327"/>
        <v>1.75</v>
      </c>
      <c r="AQ2624" s="1078" t="str">
        <f t="shared" si="328"/>
        <v>1-5-1S83°Z+S</v>
      </c>
      <c r="AR2624" s="1078" t="str">
        <f t="shared" si="329"/>
        <v>33.5</v>
      </c>
      <c r="AS2624" s="1078" t="str">
        <f t="shared" si="330"/>
        <v>340/340/140</v>
      </c>
      <c r="AT2624" s="1078" t="str">
        <f t="shared" si="331"/>
        <v>1-5-1S83°Z+S</v>
      </c>
      <c r="AU2624" s="1078" t="s">
        <v>15547</v>
      </c>
      <c r="AV2624" s="1078" t="str">
        <f t="shared" si="324"/>
        <v>111.3.22</v>
      </c>
      <c r="AW2624" s="1344">
        <f t="shared" si="325"/>
        <v>44642</v>
      </c>
    </row>
    <row r="2625" spans="1:49">
      <c r="A2625" s="1077" t="s">
        <v>8011</v>
      </c>
      <c r="B2625" s="1077" t="s">
        <v>855</v>
      </c>
      <c r="C2625" s="1077">
        <v>550</v>
      </c>
      <c r="D2625" s="1077">
        <v>1.7450000000000001</v>
      </c>
      <c r="E2625" s="1077">
        <v>102.5</v>
      </c>
      <c r="F2625" s="1077" t="s">
        <v>4070</v>
      </c>
      <c r="G2625" s="1077">
        <v>5.5</v>
      </c>
      <c r="H2625" s="1077" t="s">
        <v>7553</v>
      </c>
      <c r="I2625" s="1077" t="s">
        <v>7087</v>
      </c>
      <c r="K2625" s="1077" t="s">
        <v>8012</v>
      </c>
      <c r="L2625" s="1077" t="s">
        <v>7424</v>
      </c>
      <c r="M2625" s="1077">
        <v>295</v>
      </c>
      <c r="N2625" s="1077" t="s">
        <v>945</v>
      </c>
      <c r="O2625" s="1077">
        <v>7.375</v>
      </c>
      <c r="P2625" s="1077">
        <v>5.9</v>
      </c>
      <c r="Q2625" s="1077">
        <v>4</v>
      </c>
      <c r="R2625" s="1077">
        <v>19</v>
      </c>
      <c r="T2625" s="1077">
        <v>27.8</v>
      </c>
      <c r="U2625" s="1077">
        <v>3.9</v>
      </c>
      <c r="V2625" s="1077" t="s">
        <v>648</v>
      </c>
      <c r="W2625" s="1077">
        <v>125</v>
      </c>
      <c r="X2625" s="1077">
        <v>90</v>
      </c>
      <c r="Y2625" s="1077">
        <v>1.5</v>
      </c>
      <c r="Z2625" s="1077" t="s">
        <v>648</v>
      </c>
      <c r="AA2625" s="1077" t="s">
        <v>2020</v>
      </c>
      <c r="AH2625" s="1077" t="s">
        <v>723</v>
      </c>
      <c r="AM2625" s="1078" t="s">
        <v>14166</v>
      </c>
      <c r="AN2625" s="1078" t="s">
        <v>14167</v>
      </c>
      <c r="AO2625" s="1078">
        <f t="shared" si="326"/>
        <v>550</v>
      </c>
      <c r="AP2625" s="1078">
        <f t="shared" si="327"/>
        <v>1.7450000000000001</v>
      </c>
      <c r="AQ2625" s="1078">
        <f t="shared" si="328"/>
        <v>102.5</v>
      </c>
      <c r="AR2625" s="1078" t="str">
        <f t="shared" si="329"/>
        <v>15.5</v>
      </c>
      <c r="AS2625" s="1078" t="str">
        <f t="shared" si="330"/>
        <v>450/420/OFF</v>
      </c>
      <c r="AT2625" s="1078">
        <f t="shared" si="331"/>
        <v>102.5</v>
      </c>
      <c r="AV2625" s="1078" t="str">
        <f t="shared" si="324"/>
        <v>111.3.25</v>
      </c>
      <c r="AW2625" s="1344">
        <f t="shared" si="325"/>
        <v>44645</v>
      </c>
    </row>
    <row r="2626" spans="1:49">
      <c r="A2626" s="1077" t="s">
        <v>8013</v>
      </c>
      <c r="B2626" s="1077" t="s">
        <v>714</v>
      </c>
      <c r="C2626" s="1077">
        <v>500</v>
      </c>
      <c r="D2626" s="1077">
        <v>1.7669999999999999</v>
      </c>
      <c r="E2626" s="1077">
        <v>102.5</v>
      </c>
      <c r="F2626" s="1077" t="s">
        <v>4070</v>
      </c>
      <c r="G2626" s="1077">
        <v>5</v>
      </c>
      <c r="H2626" s="1077" t="s">
        <v>8014</v>
      </c>
      <c r="I2626" s="1077" t="s">
        <v>8015</v>
      </c>
      <c r="J2626" s="1077">
        <v>3.7</v>
      </c>
      <c r="K2626" s="1077" t="s">
        <v>8016</v>
      </c>
      <c r="L2626" s="1077" t="s">
        <v>4666</v>
      </c>
      <c r="M2626" s="1077">
        <v>298.8</v>
      </c>
      <c r="N2626" s="1077" t="s">
        <v>945</v>
      </c>
      <c r="O2626" s="1077">
        <v>7.4700000000000006</v>
      </c>
      <c r="P2626" s="1077">
        <v>5.976</v>
      </c>
      <c r="Q2626" s="1077">
        <v>4</v>
      </c>
      <c r="R2626" s="1077">
        <v>20.5</v>
      </c>
      <c r="T2626" s="1077">
        <v>21</v>
      </c>
      <c r="U2626" s="1077">
        <v>3.5</v>
      </c>
      <c r="V2626" s="1077" t="s">
        <v>648</v>
      </c>
      <c r="W2626" s="1077">
        <v>30</v>
      </c>
      <c r="X2626" s="1077">
        <v>10</v>
      </c>
      <c r="Y2626" s="1077">
        <v>1.2</v>
      </c>
      <c r="Z2626" s="1077" t="s">
        <v>648</v>
      </c>
      <c r="AA2626" s="1077" t="s">
        <v>1392</v>
      </c>
      <c r="AH2626" s="1077" t="s">
        <v>862</v>
      </c>
      <c r="AM2626" s="1078" t="s">
        <v>14168</v>
      </c>
      <c r="AN2626" s="1078" t="s">
        <v>14169</v>
      </c>
      <c r="AO2626" s="1078">
        <f t="shared" si="326"/>
        <v>500</v>
      </c>
      <c r="AP2626" s="1078">
        <f t="shared" si="327"/>
        <v>1.7669999999999999</v>
      </c>
      <c r="AQ2626" s="1078">
        <f t="shared" si="328"/>
        <v>102.5</v>
      </c>
      <c r="AR2626" s="1078" t="str">
        <f t="shared" si="329"/>
        <v>15.5</v>
      </c>
      <c r="AS2626" s="1078" t="str">
        <f t="shared" si="330"/>
        <v>400/380/170</v>
      </c>
      <c r="AT2626" s="1078">
        <f t="shared" si="331"/>
        <v>102.5</v>
      </c>
      <c r="AV2626" s="1078" t="str">
        <f t="shared" ref="AV2626:AV2689" si="332">AA2626</f>
        <v>110.4.6</v>
      </c>
      <c r="AW2626" s="1344">
        <f t="shared" si="325"/>
        <v>44292</v>
      </c>
    </row>
    <row r="2627" spans="1:49">
      <c r="A2627" s="1077" t="s">
        <v>8017</v>
      </c>
      <c r="B2627" s="1077" t="s">
        <v>7114</v>
      </c>
      <c r="C2627" s="1077">
        <v>600</v>
      </c>
      <c r="D2627" s="1077">
        <v>1.74</v>
      </c>
      <c r="E2627" s="1077" t="s">
        <v>15122</v>
      </c>
      <c r="F2627" s="1077" t="s">
        <v>984</v>
      </c>
      <c r="G2627" s="1077">
        <v>5</v>
      </c>
      <c r="H2627" s="1077" t="s">
        <v>1806</v>
      </c>
      <c r="I2627" s="1077" t="s">
        <v>6909</v>
      </c>
      <c r="J2627" s="1077">
        <v>3</v>
      </c>
      <c r="K2627" s="1077" t="s">
        <v>8018</v>
      </c>
      <c r="L2627" s="1077" t="s">
        <v>4854</v>
      </c>
      <c r="M2627" s="1077">
        <v>300.7</v>
      </c>
      <c r="N2627" s="1077" t="s">
        <v>945</v>
      </c>
      <c r="O2627" s="1077">
        <v>7.5175000000000001</v>
      </c>
      <c r="P2627" s="1077">
        <v>6.0140000000000002</v>
      </c>
      <c r="Q2627" s="1077">
        <v>3</v>
      </c>
      <c r="R2627" s="1077">
        <v>28.5</v>
      </c>
      <c r="T2627" s="1077">
        <v>14.7</v>
      </c>
      <c r="U2627" s="1077">
        <v>6.1</v>
      </c>
      <c r="V2627" s="1077" t="s">
        <v>648</v>
      </c>
      <c r="W2627" s="1077">
        <v>115</v>
      </c>
      <c r="X2627" s="1077">
        <v>45</v>
      </c>
      <c r="Y2627" s="1077">
        <v>1.5</v>
      </c>
      <c r="Z2627" s="1077" t="s">
        <v>648</v>
      </c>
      <c r="AA2627" s="1077" t="s">
        <v>1477</v>
      </c>
      <c r="AH2627" s="1077" t="s">
        <v>994</v>
      </c>
      <c r="AI2627" s="1077">
        <v>92.48</v>
      </c>
      <c r="AJ2627" s="1077">
        <v>-0.93</v>
      </c>
      <c r="AK2627" s="1077">
        <v>4.68</v>
      </c>
      <c r="AM2627" s="1078" t="s">
        <v>14170</v>
      </c>
      <c r="AN2627" s="1078" t="s">
        <v>14171</v>
      </c>
      <c r="AO2627" s="1078">
        <f t="shared" si="326"/>
        <v>600</v>
      </c>
      <c r="AP2627" s="1078">
        <f t="shared" si="327"/>
        <v>1.74</v>
      </c>
      <c r="AQ2627" s="1078" t="str">
        <f t="shared" si="328"/>
        <v>1-5-1S91°Z+S</v>
      </c>
      <c r="AR2627" s="1078" t="str">
        <f t="shared" si="329"/>
        <v>30</v>
      </c>
      <c r="AS2627" s="1078" t="str">
        <f t="shared" si="330"/>
        <v>280/280/OFF</v>
      </c>
      <c r="AT2627" s="1078" t="str">
        <f t="shared" si="331"/>
        <v>1-5-1S91°Z+S</v>
      </c>
      <c r="AU2627" s="1078" t="s">
        <v>15547</v>
      </c>
      <c r="AV2627" s="1078" t="str">
        <f t="shared" si="332"/>
        <v>111.4.8</v>
      </c>
      <c r="AW2627" s="1344">
        <f t="shared" ref="AW2627:AW2690" si="333">DATE(VALUE(LEFT(AV2627,FIND(".",AV2627)-1))+1911,
       VALUE(MID(AV2627,FIND(".",AV2627)+1,FIND(".",AV2627,FIND(".",AV2627)+1)-FIND(".",AV2627)-1)),
       VALUE(RIGHT(AV2627,LEN(AV2627)-FIND("~",SUBSTITUTE(AV2627,".","~",2)))))</f>
        <v>44659</v>
      </c>
    </row>
    <row r="2628" spans="1:49">
      <c r="A2628" s="1077" t="s">
        <v>8019</v>
      </c>
      <c r="B2628" s="1077" t="s">
        <v>663</v>
      </c>
      <c r="C2628" s="1077">
        <v>550</v>
      </c>
      <c r="D2628" s="1077">
        <v>1.78</v>
      </c>
      <c r="E2628" s="1077" t="s">
        <v>15122</v>
      </c>
      <c r="F2628" s="1077" t="s">
        <v>954</v>
      </c>
      <c r="G2628" s="1077">
        <v>5.5</v>
      </c>
      <c r="H2628" s="1077" t="s">
        <v>7970</v>
      </c>
      <c r="I2628" s="1077" t="s">
        <v>7105</v>
      </c>
      <c r="K2628" s="1077" t="s">
        <v>8020</v>
      </c>
      <c r="L2628" s="1077" t="s">
        <v>4907</v>
      </c>
      <c r="M2628" s="1077">
        <v>296.39999999999998</v>
      </c>
      <c r="N2628" s="1077" t="s">
        <v>945</v>
      </c>
      <c r="O2628" s="1077">
        <v>7.41</v>
      </c>
      <c r="P2628" s="1077">
        <v>5.9279999999999999</v>
      </c>
      <c r="Q2628" s="1077">
        <v>3.5</v>
      </c>
      <c r="R2628" s="1077">
        <v>20</v>
      </c>
      <c r="T2628" s="1077">
        <v>14.7</v>
      </c>
      <c r="U2628" s="1077">
        <v>5.5</v>
      </c>
      <c r="V2628" s="1077" t="s">
        <v>648</v>
      </c>
      <c r="W2628" s="1077" t="s">
        <v>2816</v>
      </c>
      <c r="X2628" s="1077">
        <v>10</v>
      </c>
      <c r="Y2628" s="1077">
        <v>1.1000000000000001</v>
      </c>
      <c r="Z2628" s="1077" t="s">
        <v>648</v>
      </c>
      <c r="AA2628" s="1077" t="s">
        <v>2105</v>
      </c>
      <c r="AH2628" s="1077" t="s">
        <v>619</v>
      </c>
      <c r="AM2628" s="1078" t="s">
        <v>14172</v>
      </c>
      <c r="AN2628" s="1078" t="s">
        <v>14173</v>
      </c>
      <c r="AO2628" s="1078">
        <f t="shared" si="326"/>
        <v>550</v>
      </c>
      <c r="AP2628" s="1078">
        <f t="shared" si="327"/>
        <v>1.78</v>
      </c>
      <c r="AQ2628" s="1078" t="str">
        <f t="shared" si="328"/>
        <v>1-5-1S91°Z+S</v>
      </c>
      <c r="AR2628" s="1078" t="str">
        <f t="shared" si="329"/>
        <v>31</v>
      </c>
      <c r="AS2628" s="1078" t="str">
        <f t="shared" si="330"/>
        <v>285/285/160</v>
      </c>
      <c r="AT2628" s="1078" t="str">
        <f t="shared" si="331"/>
        <v>1-5-1S91°Z+S</v>
      </c>
      <c r="AU2628" s="1078" t="s">
        <v>15547</v>
      </c>
      <c r="AV2628" s="1078" t="str">
        <f t="shared" si="332"/>
        <v>111.4.14</v>
      </c>
      <c r="AW2628" s="1344">
        <f t="shared" si="333"/>
        <v>44665</v>
      </c>
    </row>
    <row r="2629" spans="1:49">
      <c r="A2629" s="1077" t="s">
        <v>8021</v>
      </c>
      <c r="B2629" s="1077" t="s">
        <v>7132</v>
      </c>
      <c r="C2629" s="1077">
        <v>600</v>
      </c>
      <c r="D2629" s="1077">
        <v>1.7849999999999999</v>
      </c>
      <c r="E2629" s="1077" t="s">
        <v>15116</v>
      </c>
      <c r="F2629" s="1077" t="s">
        <v>2234</v>
      </c>
      <c r="G2629" s="1077">
        <v>3.5</v>
      </c>
      <c r="H2629" s="1077" t="s">
        <v>6952</v>
      </c>
      <c r="I2629" s="1077" t="s">
        <v>7150</v>
      </c>
      <c r="K2629" s="1077" t="s">
        <v>7464</v>
      </c>
      <c r="L2629" s="1077" t="s">
        <v>7134</v>
      </c>
      <c r="M2629" s="1077">
        <v>310</v>
      </c>
      <c r="N2629" s="1077" t="s">
        <v>945</v>
      </c>
      <c r="O2629" s="1077">
        <v>7.75</v>
      </c>
      <c r="P2629" s="1077">
        <v>6.2</v>
      </c>
      <c r="Q2629" s="1077">
        <v>3.5</v>
      </c>
      <c r="R2629" s="1077">
        <v>21</v>
      </c>
      <c r="T2629" s="1077">
        <v>24</v>
      </c>
      <c r="U2629" s="1077">
        <v>3.4</v>
      </c>
      <c r="V2629" s="1077" t="s">
        <v>648</v>
      </c>
      <c r="W2629" s="1077">
        <v>115</v>
      </c>
      <c r="X2629" s="1077">
        <v>85</v>
      </c>
      <c r="Y2629" s="1077">
        <v>1.2</v>
      </c>
      <c r="Z2629" s="1077" t="s">
        <v>648</v>
      </c>
      <c r="AA2629" s="1077" t="s">
        <v>2105</v>
      </c>
      <c r="AH2629" s="1077" t="s">
        <v>724</v>
      </c>
      <c r="AM2629" s="1078" t="s">
        <v>14174</v>
      </c>
      <c r="AN2629" s="1078" t="s">
        <v>14175</v>
      </c>
      <c r="AO2629" s="1078">
        <f t="shared" si="326"/>
        <v>600</v>
      </c>
      <c r="AP2629" s="1078">
        <f t="shared" si="327"/>
        <v>1.7849999999999999</v>
      </c>
      <c r="AQ2629" s="1078" t="str">
        <f t="shared" si="328"/>
        <v>1-5-1S83°Z+S</v>
      </c>
      <c r="AR2629" s="1078" t="str">
        <f t="shared" si="329"/>
        <v>33.5</v>
      </c>
      <c r="AS2629" s="1078" t="str">
        <f t="shared" si="330"/>
        <v>340/340/140</v>
      </c>
      <c r="AT2629" s="1078" t="str">
        <f t="shared" si="331"/>
        <v>1-5-1S83°Z+S</v>
      </c>
      <c r="AU2629" s="1078" t="s">
        <v>15547</v>
      </c>
      <c r="AV2629" s="1078" t="str">
        <f t="shared" si="332"/>
        <v>111.4.14</v>
      </c>
      <c r="AW2629" s="1344">
        <f t="shared" si="333"/>
        <v>44665</v>
      </c>
    </row>
    <row r="2630" spans="1:49">
      <c r="A2630" s="1077" t="s">
        <v>8022</v>
      </c>
      <c r="B2630" s="1077" t="s">
        <v>8023</v>
      </c>
      <c r="C2630" s="1077">
        <v>600</v>
      </c>
      <c r="D2630" s="1077">
        <v>1.7749999999999999</v>
      </c>
      <c r="E2630" s="1077" t="s">
        <v>15116</v>
      </c>
      <c r="F2630" s="1077" t="s">
        <v>2234</v>
      </c>
      <c r="G2630" s="1077">
        <v>3.5</v>
      </c>
      <c r="H2630" s="1077" t="s">
        <v>6952</v>
      </c>
      <c r="I2630" s="1077" t="s">
        <v>7150</v>
      </c>
      <c r="K2630" s="1077" t="s">
        <v>8024</v>
      </c>
      <c r="L2630" s="1077" t="s">
        <v>8025</v>
      </c>
      <c r="M2630" s="1077">
        <v>310</v>
      </c>
      <c r="N2630" s="1077" t="s">
        <v>945</v>
      </c>
      <c r="O2630" s="1077">
        <v>7.75</v>
      </c>
      <c r="P2630" s="1077">
        <v>6.2</v>
      </c>
      <c r="Q2630" s="1077">
        <v>3.5</v>
      </c>
      <c r="R2630" s="1077">
        <v>21</v>
      </c>
      <c r="T2630" s="1077">
        <v>24</v>
      </c>
      <c r="U2630" s="1077">
        <v>3.4</v>
      </c>
      <c r="V2630" s="1077" t="s">
        <v>648</v>
      </c>
      <c r="W2630" s="1077">
        <v>115</v>
      </c>
      <c r="X2630" s="1077">
        <v>85</v>
      </c>
      <c r="Y2630" s="1077">
        <v>1.2</v>
      </c>
      <c r="Z2630" s="1077" t="s">
        <v>648</v>
      </c>
      <c r="AA2630" s="1077" t="s">
        <v>2105</v>
      </c>
      <c r="AH2630" s="1077" t="s">
        <v>482</v>
      </c>
      <c r="AM2630" s="1078" t="s">
        <v>14176</v>
      </c>
      <c r="AN2630" s="1078" t="s">
        <v>14177</v>
      </c>
      <c r="AO2630" s="1078">
        <f t="shared" si="326"/>
        <v>600</v>
      </c>
      <c r="AP2630" s="1078">
        <f t="shared" si="327"/>
        <v>1.7749999999999999</v>
      </c>
      <c r="AQ2630" s="1078" t="str">
        <f t="shared" si="328"/>
        <v>1-5-1S83°Z+S</v>
      </c>
      <c r="AR2630" s="1078" t="str">
        <f t="shared" si="329"/>
        <v>33.5</v>
      </c>
      <c r="AS2630" s="1078" t="str">
        <f t="shared" si="330"/>
        <v>340/340/140</v>
      </c>
      <c r="AT2630" s="1078" t="str">
        <f t="shared" si="331"/>
        <v>1-5-1S83°Z+S</v>
      </c>
      <c r="AU2630" s="1078" t="s">
        <v>15547</v>
      </c>
      <c r="AV2630" s="1078" t="str">
        <f t="shared" si="332"/>
        <v>111.4.14</v>
      </c>
      <c r="AW2630" s="1344">
        <f t="shared" si="333"/>
        <v>44665</v>
      </c>
    </row>
    <row r="2631" spans="1:49">
      <c r="A2631" s="1077" t="s">
        <v>8026</v>
      </c>
      <c r="B2631" s="1077" t="s">
        <v>6951</v>
      </c>
      <c r="C2631" s="1077">
        <v>600</v>
      </c>
      <c r="D2631" s="1077">
        <v>1.77</v>
      </c>
      <c r="E2631" s="1077" t="s">
        <v>15116</v>
      </c>
      <c r="F2631" s="1077" t="s">
        <v>2234</v>
      </c>
      <c r="G2631" s="1077">
        <v>3.5</v>
      </c>
      <c r="H2631" s="1077" t="s">
        <v>6952</v>
      </c>
      <c r="I2631" s="1077" t="s">
        <v>7150</v>
      </c>
      <c r="K2631" s="1077" t="s">
        <v>7481</v>
      </c>
      <c r="L2631" s="1077" t="s">
        <v>6955</v>
      </c>
      <c r="M2631" s="1077">
        <v>310</v>
      </c>
      <c r="N2631" s="1077" t="s">
        <v>945</v>
      </c>
      <c r="O2631" s="1077">
        <v>7.75</v>
      </c>
      <c r="P2631" s="1077">
        <v>6.2</v>
      </c>
      <c r="Q2631" s="1077">
        <v>3.5</v>
      </c>
      <c r="R2631" s="1077">
        <v>25</v>
      </c>
      <c r="T2631" s="1077">
        <v>23</v>
      </c>
      <c r="U2631" s="1077">
        <v>3.2</v>
      </c>
      <c r="V2631" s="1077" t="s">
        <v>648</v>
      </c>
      <c r="W2631" s="1077">
        <v>115</v>
      </c>
      <c r="X2631" s="1077">
        <v>85</v>
      </c>
      <c r="Y2631" s="1077">
        <v>1.2</v>
      </c>
      <c r="Z2631" s="1077" t="s">
        <v>648</v>
      </c>
      <c r="AA2631" s="1077" t="s">
        <v>1481</v>
      </c>
      <c r="AH2631" s="1077" t="s">
        <v>622</v>
      </c>
      <c r="AM2631" s="1078" t="s">
        <v>14178</v>
      </c>
      <c r="AN2631" s="1078" t="s">
        <v>14179</v>
      </c>
      <c r="AO2631" s="1078">
        <f t="shared" si="326"/>
        <v>600</v>
      </c>
      <c r="AP2631" s="1078">
        <f t="shared" si="327"/>
        <v>1.77</v>
      </c>
      <c r="AQ2631" s="1078" t="str">
        <f t="shared" si="328"/>
        <v>1-5-1S83°Z+S</v>
      </c>
      <c r="AR2631" s="1078" t="str">
        <f t="shared" si="329"/>
        <v>33.5</v>
      </c>
      <c r="AS2631" s="1078" t="str">
        <f t="shared" si="330"/>
        <v>340/340/140</v>
      </c>
      <c r="AT2631" s="1078" t="str">
        <f t="shared" si="331"/>
        <v>1-5-1S83°Z+S</v>
      </c>
      <c r="AU2631" s="1078" t="s">
        <v>15547</v>
      </c>
      <c r="AV2631" s="1078" t="str">
        <f t="shared" si="332"/>
        <v>111.4.22</v>
      </c>
      <c r="AW2631" s="1344">
        <f t="shared" si="333"/>
        <v>44673</v>
      </c>
    </row>
    <row r="2632" spans="1:49">
      <c r="A2632" s="1077" t="s">
        <v>8027</v>
      </c>
      <c r="B2632" s="1077" t="s">
        <v>714</v>
      </c>
      <c r="C2632" s="1077">
        <v>500</v>
      </c>
      <c r="D2632" s="1077">
        <v>1.7749999999999999</v>
      </c>
      <c r="E2632" s="1077">
        <v>102.5</v>
      </c>
      <c r="F2632" s="1077" t="s">
        <v>4070</v>
      </c>
      <c r="G2632" s="1077" t="s">
        <v>6865</v>
      </c>
      <c r="H2632" s="1077" t="s">
        <v>8028</v>
      </c>
      <c r="I2632" s="1077" t="s">
        <v>7057</v>
      </c>
      <c r="J2632" s="1077">
        <v>3.7</v>
      </c>
      <c r="K2632" s="1077" t="s">
        <v>8029</v>
      </c>
      <c r="L2632" s="1077" t="s">
        <v>4666</v>
      </c>
      <c r="M2632" s="1077">
        <v>300.8</v>
      </c>
      <c r="N2632" s="1077" t="s">
        <v>945</v>
      </c>
      <c r="O2632" s="1077">
        <v>7.5200000000000005</v>
      </c>
      <c r="P2632" s="1077">
        <v>6.016</v>
      </c>
      <c r="Q2632" s="1077">
        <v>4</v>
      </c>
      <c r="R2632" s="1077">
        <v>17</v>
      </c>
      <c r="T2632" s="1077">
        <v>31.4</v>
      </c>
      <c r="U2632" s="1077">
        <v>3.6</v>
      </c>
      <c r="V2632" s="1077" t="s">
        <v>648</v>
      </c>
      <c r="W2632" s="1077">
        <v>65</v>
      </c>
      <c r="X2632" s="1077">
        <v>10</v>
      </c>
      <c r="Y2632" s="1077">
        <v>1.5</v>
      </c>
      <c r="Z2632" s="1077" t="s">
        <v>648</v>
      </c>
      <c r="AA2632" s="1077" t="s">
        <v>5530</v>
      </c>
      <c r="AH2632" s="1077" t="s">
        <v>869</v>
      </c>
      <c r="AM2632" s="1078" t="s">
        <v>14180</v>
      </c>
      <c r="AN2632" s="1078" t="s">
        <v>14181</v>
      </c>
      <c r="AO2632" s="1078">
        <f t="shared" si="326"/>
        <v>500</v>
      </c>
      <c r="AP2632" s="1078">
        <f t="shared" si="327"/>
        <v>1.7749999999999999</v>
      </c>
      <c r="AQ2632" s="1078">
        <f t="shared" si="328"/>
        <v>102.5</v>
      </c>
      <c r="AR2632" s="1078" t="str">
        <f t="shared" si="329"/>
        <v>15.5</v>
      </c>
      <c r="AS2632" s="1078" t="str">
        <f t="shared" si="330"/>
        <v>460/420/OFF</v>
      </c>
      <c r="AT2632" s="1078">
        <f t="shared" si="331"/>
        <v>102.5</v>
      </c>
      <c r="AV2632" s="1078" t="str">
        <f t="shared" si="332"/>
        <v>111.4.15</v>
      </c>
      <c r="AW2632" s="1344">
        <f t="shared" si="333"/>
        <v>44666</v>
      </c>
    </row>
    <row r="2633" spans="1:49">
      <c r="A2633" s="1077" t="s">
        <v>8030</v>
      </c>
      <c r="B2633" s="1077" t="s">
        <v>714</v>
      </c>
      <c r="C2633" s="1077">
        <v>500</v>
      </c>
      <c r="D2633" s="1077">
        <v>1.78</v>
      </c>
      <c r="E2633" s="1077">
        <v>102.5</v>
      </c>
      <c r="F2633" s="1077" t="s">
        <v>4070</v>
      </c>
      <c r="G2633" s="1077">
        <v>5.5</v>
      </c>
      <c r="H2633" s="1077" t="s">
        <v>8009</v>
      </c>
      <c r="I2633" s="1077" t="s">
        <v>6896</v>
      </c>
      <c r="J2633" s="1077">
        <v>3.7</v>
      </c>
      <c r="K2633" s="1077" t="s">
        <v>8031</v>
      </c>
      <c r="L2633" s="1077" t="s">
        <v>4666</v>
      </c>
      <c r="M2633" s="1077">
        <v>295.10000000000002</v>
      </c>
      <c r="N2633" s="1077" t="s">
        <v>945</v>
      </c>
      <c r="O2633" s="1077">
        <v>7.3775000000000013</v>
      </c>
      <c r="P2633" s="1077">
        <v>5.9020000000000001</v>
      </c>
      <c r="Q2633" s="1077">
        <v>4</v>
      </c>
      <c r="R2633" s="1077">
        <v>17.399999999999999</v>
      </c>
      <c r="T2633" s="1077">
        <v>31</v>
      </c>
      <c r="U2633" s="1077">
        <v>3.5</v>
      </c>
      <c r="V2633" s="1077" t="s">
        <v>648</v>
      </c>
      <c r="W2633" s="1077">
        <v>100</v>
      </c>
      <c r="X2633" s="1077">
        <v>40</v>
      </c>
      <c r="Y2633" s="1077">
        <v>1</v>
      </c>
      <c r="Z2633" s="1077" t="s">
        <v>648</v>
      </c>
      <c r="AA2633" s="1077" t="s">
        <v>1485</v>
      </c>
      <c r="AH2633" s="1077" t="s">
        <v>723</v>
      </c>
      <c r="AM2633" s="1078" t="s">
        <v>14182</v>
      </c>
      <c r="AN2633" s="1078" t="s">
        <v>14183</v>
      </c>
      <c r="AO2633" s="1078">
        <f t="shared" si="326"/>
        <v>500</v>
      </c>
      <c r="AP2633" s="1078">
        <f t="shared" si="327"/>
        <v>1.78</v>
      </c>
      <c r="AQ2633" s="1078">
        <f t="shared" si="328"/>
        <v>102.5</v>
      </c>
      <c r="AR2633" s="1078" t="str">
        <f t="shared" si="329"/>
        <v>15.5</v>
      </c>
      <c r="AS2633" s="1078" t="str">
        <f t="shared" si="330"/>
        <v>455/415/OFF</v>
      </c>
      <c r="AT2633" s="1078">
        <f t="shared" si="331"/>
        <v>102.5</v>
      </c>
      <c r="AV2633" s="1078" t="str">
        <f t="shared" si="332"/>
        <v>111.4.20</v>
      </c>
      <c r="AW2633" s="1344">
        <f t="shared" si="333"/>
        <v>44671</v>
      </c>
    </row>
    <row r="2634" spans="1:49">
      <c r="A2634" s="1077" t="s">
        <v>8032</v>
      </c>
      <c r="B2634" s="1077" t="s">
        <v>7149</v>
      </c>
      <c r="C2634" s="1077">
        <v>600</v>
      </c>
      <c r="D2634" s="1077">
        <v>1.8</v>
      </c>
      <c r="E2634" s="1077" t="s">
        <v>15116</v>
      </c>
      <c r="F2634" s="1077" t="s">
        <v>2234</v>
      </c>
      <c r="G2634" s="1077">
        <v>5</v>
      </c>
      <c r="H2634" s="1077" t="s">
        <v>6952</v>
      </c>
      <c r="I2634" s="1077" t="s">
        <v>7150</v>
      </c>
      <c r="K2634" s="1077" t="s">
        <v>8033</v>
      </c>
      <c r="L2634" s="1077" t="s">
        <v>7168</v>
      </c>
      <c r="M2634" s="1077">
        <v>310</v>
      </c>
      <c r="N2634" s="1077" t="s">
        <v>945</v>
      </c>
      <c r="O2634" s="1077">
        <v>7.75</v>
      </c>
      <c r="P2634" s="1077">
        <v>6.2</v>
      </c>
      <c r="Q2634" s="1077">
        <v>3.5</v>
      </c>
      <c r="R2634" s="1077">
        <v>21</v>
      </c>
      <c r="T2634" s="1077">
        <v>24</v>
      </c>
      <c r="U2634" s="1077">
        <v>3.4</v>
      </c>
      <c r="V2634" s="1077" t="s">
        <v>648</v>
      </c>
      <c r="W2634" s="1077">
        <v>115</v>
      </c>
      <c r="X2634" s="1077">
        <v>85</v>
      </c>
      <c r="Y2634" s="1077">
        <v>1.2</v>
      </c>
      <c r="Z2634" s="1077" t="s">
        <v>648</v>
      </c>
      <c r="AA2634" s="1077" t="s">
        <v>1492</v>
      </c>
      <c r="AH2634" s="1077" t="s">
        <v>483</v>
      </c>
      <c r="AM2634" s="1078" t="s">
        <v>14184</v>
      </c>
      <c r="AN2634" s="1078" t="s">
        <v>14185</v>
      </c>
      <c r="AO2634" s="1078">
        <f t="shared" si="326"/>
        <v>600</v>
      </c>
      <c r="AP2634" s="1078">
        <f t="shared" si="327"/>
        <v>1.8</v>
      </c>
      <c r="AQ2634" s="1078" t="str">
        <f t="shared" si="328"/>
        <v>1-5-1S83°Z+S</v>
      </c>
      <c r="AR2634" s="1078" t="str">
        <f t="shared" si="329"/>
        <v>33.5</v>
      </c>
      <c r="AS2634" s="1078" t="str">
        <f t="shared" si="330"/>
        <v>340/340/140</v>
      </c>
      <c r="AT2634" s="1078" t="str">
        <f t="shared" si="331"/>
        <v>1-5-1S83°Z+S</v>
      </c>
      <c r="AU2634" s="1078" t="s">
        <v>15547</v>
      </c>
      <c r="AV2634" s="1078" t="str">
        <f t="shared" si="332"/>
        <v>111.5.3</v>
      </c>
      <c r="AW2634" s="1344">
        <f t="shared" si="333"/>
        <v>44684</v>
      </c>
    </row>
    <row r="2635" spans="1:49">
      <c r="A2635" s="1077" t="s">
        <v>8034</v>
      </c>
      <c r="B2635" s="1077" t="s">
        <v>8035</v>
      </c>
      <c r="C2635" s="1077">
        <v>500</v>
      </c>
      <c r="D2635" s="1077">
        <v>1.81</v>
      </c>
      <c r="E2635" s="1077" t="s">
        <v>15112</v>
      </c>
      <c r="F2635" s="1077" t="s">
        <v>975</v>
      </c>
      <c r="G2635" s="1077">
        <v>5</v>
      </c>
      <c r="H2635" s="1077" t="s">
        <v>7880</v>
      </c>
      <c r="I2635" s="1077" t="s">
        <v>7028</v>
      </c>
      <c r="K2635" s="1077" t="s">
        <v>8036</v>
      </c>
      <c r="L2635" s="1077" t="s">
        <v>8037</v>
      </c>
      <c r="M2635" s="1077">
        <v>315</v>
      </c>
      <c r="N2635" s="1077" t="s">
        <v>945</v>
      </c>
      <c r="O2635" s="1077">
        <v>7.875</v>
      </c>
      <c r="P2635" s="1077">
        <v>6.3</v>
      </c>
      <c r="Q2635" s="1077">
        <v>3.5</v>
      </c>
      <c r="R2635" s="1077">
        <v>21</v>
      </c>
      <c r="T2635" s="1077">
        <v>22</v>
      </c>
      <c r="U2635" s="1077">
        <v>3.8</v>
      </c>
      <c r="V2635" s="1077" t="s">
        <v>648</v>
      </c>
      <c r="W2635" s="1077">
        <v>120</v>
      </c>
      <c r="X2635" s="1077">
        <v>20</v>
      </c>
      <c r="Y2635" s="1077">
        <v>1.6</v>
      </c>
      <c r="Z2635" s="1077" t="s">
        <v>648</v>
      </c>
      <c r="AA2635" s="1077" t="s">
        <v>8038</v>
      </c>
      <c r="AH2635" s="1077" t="s">
        <v>998</v>
      </c>
      <c r="AM2635" s="1078" t="s">
        <v>14186</v>
      </c>
      <c r="AN2635" s="1078" t="s">
        <v>14187</v>
      </c>
      <c r="AO2635" s="1078">
        <f t="shared" ref="AO2635:AO2698" si="334">C2635</f>
        <v>500</v>
      </c>
      <c r="AP2635" s="1078">
        <f t="shared" ref="AP2635:AP2698" si="335">D2635</f>
        <v>1.81</v>
      </c>
      <c r="AQ2635" s="1078" t="str">
        <f t="shared" ref="AQ2635:AQ2698" si="336">E2635</f>
        <v>1-5-1S87°Z+S</v>
      </c>
      <c r="AR2635" s="1078" t="str">
        <f t="shared" ref="AR2635:AR2698" si="337">F2635</f>
        <v>31.5</v>
      </c>
      <c r="AS2635" s="1078" t="str">
        <f t="shared" ref="AS2635:AS2698" si="338">H2635</f>
        <v>310/310/150</v>
      </c>
      <c r="AT2635" s="1078" t="str">
        <f t="shared" ref="AT2635:AT2698" si="339">E2635</f>
        <v>1-5-1S87°Z+S</v>
      </c>
      <c r="AU2635" s="1078" t="s">
        <v>15547</v>
      </c>
      <c r="AV2635" s="1078" t="str">
        <f t="shared" si="332"/>
        <v>111.5.5</v>
      </c>
      <c r="AW2635" s="1344">
        <f t="shared" si="333"/>
        <v>44686</v>
      </c>
    </row>
    <row r="2636" spans="1:49">
      <c r="A2636" s="1077" t="s">
        <v>8039</v>
      </c>
      <c r="B2636" s="1077" t="s">
        <v>836</v>
      </c>
      <c r="C2636" s="1077">
        <v>600</v>
      </c>
      <c r="D2636" s="1077">
        <v>1.8</v>
      </c>
      <c r="E2636" s="1077" t="s">
        <v>15116</v>
      </c>
      <c r="F2636" s="1077" t="s">
        <v>6901</v>
      </c>
      <c r="G2636" s="1077">
        <v>4</v>
      </c>
      <c r="H2636" s="1077" t="s">
        <v>6902</v>
      </c>
      <c r="I2636" s="1077" t="s">
        <v>7048</v>
      </c>
      <c r="K2636" s="1077" t="s">
        <v>7744</v>
      </c>
      <c r="L2636" s="1077" t="s">
        <v>6905</v>
      </c>
      <c r="M2636" s="1077">
        <v>303.89999999999998</v>
      </c>
      <c r="N2636" s="1077" t="s">
        <v>945</v>
      </c>
      <c r="O2636" s="1077">
        <v>7.5975000000000001</v>
      </c>
      <c r="P2636" s="1077">
        <v>6.0779999999999994</v>
      </c>
      <c r="Q2636" s="1077">
        <v>3.5</v>
      </c>
      <c r="R2636" s="1077">
        <v>24.5</v>
      </c>
      <c r="T2636" s="1077">
        <v>12.7</v>
      </c>
      <c r="U2636" s="1077">
        <v>2.6</v>
      </c>
      <c r="V2636" s="1077" t="s">
        <v>648</v>
      </c>
      <c r="W2636" s="1077" t="s">
        <v>2532</v>
      </c>
      <c r="X2636" s="1077">
        <v>10</v>
      </c>
      <c r="Y2636" s="1077">
        <v>1.5</v>
      </c>
      <c r="Z2636" s="1077" t="s">
        <v>648</v>
      </c>
      <c r="AA2636" s="1077" t="s">
        <v>8040</v>
      </c>
      <c r="AH2636" s="1077" t="s">
        <v>8041</v>
      </c>
      <c r="AM2636" s="1078" t="s">
        <v>14188</v>
      </c>
      <c r="AN2636" s="1078" t="s">
        <v>14189</v>
      </c>
      <c r="AO2636" s="1078">
        <f t="shared" si="334"/>
        <v>600</v>
      </c>
      <c r="AP2636" s="1078">
        <f t="shared" si="335"/>
        <v>1.8</v>
      </c>
      <c r="AQ2636" s="1078" t="str">
        <f t="shared" si="336"/>
        <v>1-5-1S83°Z+S</v>
      </c>
      <c r="AR2636" s="1078" t="str">
        <f t="shared" si="337"/>
        <v>33.6</v>
      </c>
      <c r="AS2636" s="1078" t="str">
        <f t="shared" si="338"/>
        <v>310/310/190</v>
      </c>
      <c r="AT2636" s="1078" t="str">
        <f t="shared" si="339"/>
        <v>1-5-1S83°Z+S</v>
      </c>
      <c r="AU2636" s="1078" t="s">
        <v>15547</v>
      </c>
      <c r="AV2636" s="1078" t="str">
        <f t="shared" si="332"/>
        <v>111.5.17</v>
      </c>
      <c r="AW2636" s="1344">
        <f t="shared" si="333"/>
        <v>44698</v>
      </c>
    </row>
    <row r="2637" spans="1:49">
      <c r="A2637" s="1077" t="s">
        <v>8042</v>
      </c>
      <c r="B2637" s="1077" t="s">
        <v>8043</v>
      </c>
      <c r="C2637" s="1077">
        <v>600</v>
      </c>
      <c r="D2637" s="1077">
        <v>1.82</v>
      </c>
      <c r="E2637" s="1077" t="s">
        <v>15122</v>
      </c>
      <c r="F2637" s="1077" t="s">
        <v>2234</v>
      </c>
      <c r="G2637" s="1077">
        <v>5</v>
      </c>
      <c r="H2637" s="1077" t="s">
        <v>7092</v>
      </c>
      <c r="I2637" s="1077" t="s">
        <v>8044</v>
      </c>
      <c r="K2637" s="1077" t="s">
        <v>8045</v>
      </c>
      <c r="L2637" s="1077" t="s">
        <v>5556</v>
      </c>
      <c r="M2637" s="1077">
        <v>295.10000000000002</v>
      </c>
      <c r="N2637" s="1077" t="s">
        <v>945</v>
      </c>
      <c r="O2637" s="1077">
        <v>7.3775000000000013</v>
      </c>
      <c r="P2637" s="1077">
        <v>5.9020000000000001</v>
      </c>
      <c r="Q2637" s="1077">
        <v>4</v>
      </c>
      <c r="R2637" s="1077">
        <v>17.399999999999999</v>
      </c>
      <c r="T2637" s="1077">
        <v>31</v>
      </c>
      <c r="U2637" s="1077">
        <v>3.5</v>
      </c>
      <c r="V2637" s="1077" t="s">
        <v>648</v>
      </c>
      <c r="W2637" s="1077">
        <v>100</v>
      </c>
      <c r="X2637" s="1077">
        <v>40</v>
      </c>
      <c r="Y2637" s="1077">
        <v>1</v>
      </c>
      <c r="Z2637" s="1077" t="s">
        <v>648</v>
      </c>
      <c r="AA2637" s="1077" t="s">
        <v>5567</v>
      </c>
      <c r="AH2637" s="1077" t="s">
        <v>622</v>
      </c>
      <c r="AM2637" s="1078" t="s">
        <v>14190</v>
      </c>
      <c r="AN2637" s="1078" t="s">
        <v>14191</v>
      </c>
      <c r="AO2637" s="1078">
        <f t="shared" si="334"/>
        <v>600</v>
      </c>
      <c r="AP2637" s="1078">
        <f t="shared" si="335"/>
        <v>1.82</v>
      </c>
      <c r="AQ2637" s="1078" t="str">
        <f t="shared" si="336"/>
        <v>1-5-1S91°Z+S</v>
      </c>
      <c r="AR2637" s="1078" t="str">
        <f t="shared" si="337"/>
        <v>33.5</v>
      </c>
      <c r="AS2637" s="1078" t="str">
        <f t="shared" si="338"/>
        <v>360/330/OFF</v>
      </c>
      <c r="AT2637" s="1078" t="str">
        <f t="shared" si="339"/>
        <v>1-5-1S91°Z+S</v>
      </c>
      <c r="AU2637" s="1078" t="s">
        <v>15547</v>
      </c>
      <c r="AV2637" s="1078" t="str">
        <f t="shared" si="332"/>
        <v>111.5.10</v>
      </c>
      <c r="AW2637" s="1344">
        <f t="shared" si="333"/>
        <v>44691</v>
      </c>
    </row>
    <row r="2638" spans="1:49">
      <c r="A2638" s="1077" t="s">
        <v>8046</v>
      </c>
      <c r="B2638" s="1077" t="s">
        <v>7086</v>
      </c>
      <c r="C2638" s="1077">
        <v>600</v>
      </c>
      <c r="D2638" s="1077">
        <v>1.79</v>
      </c>
      <c r="E2638" s="1077" t="s">
        <v>15116</v>
      </c>
      <c r="F2638" s="1077" t="s">
        <v>2234</v>
      </c>
      <c r="G2638" s="1077">
        <v>5</v>
      </c>
      <c r="H2638" s="1077" t="s">
        <v>6952</v>
      </c>
      <c r="I2638" s="1077" t="s">
        <v>7087</v>
      </c>
      <c r="K2638" s="1077" t="s">
        <v>7088</v>
      </c>
      <c r="L2638" s="1077" t="s">
        <v>7089</v>
      </c>
      <c r="M2638" s="1077">
        <v>303</v>
      </c>
      <c r="N2638" s="1077" t="s">
        <v>945</v>
      </c>
      <c r="O2638" s="1077">
        <v>7.5750000000000002</v>
      </c>
      <c r="P2638" s="1077">
        <v>6.0600000000000005</v>
      </c>
      <c r="Q2638" s="1077" t="s">
        <v>2782</v>
      </c>
      <c r="R2638" s="1077">
        <v>22</v>
      </c>
      <c r="T2638" s="1077">
        <v>23</v>
      </c>
      <c r="U2638" s="1077">
        <v>3.2</v>
      </c>
      <c r="V2638" s="1077" t="s">
        <v>648</v>
      </c>
      <c r="W2638" s="1077">
        <v>115</v>
      </c>
      <c r="X2638" s="1077">
        <v>85</v>
      </c>
      <c r="Y2638" s="1077">
        <v>1.2</v>
      </c>
      <c r="Z2638" s="1077" t="s">
        <v>648</v>
      </c>
      <c r="AA2638" s="1077" t="s">
        <v>2195</v>
      </c>
      <c r="AH2638" s="1077" t="s">
        <v>884</v>
      </c>
      <c r="AM2638" s="1078" t="s">
        <v>14192</v>
      </c>
      <c r="AN2638" s="1078" t="s">
        <v>14193</v>
      </c>
      <c r="AO2638" s="1078">
        <f t="shared" si="334"/>
        <v>600</v>
      </c>
      <c r="AP2638" s="1078">
        <f t="shared" si="335"/>
        <v>1.79</v>
      </c>
      <c r="AQ2638" s="1078" t="str">
        <f t="shared" si="336"/>
        <v>1-5-1S83°Z+S</v>
      </c>
      <c r="AR2638" s="1078" t="str">
        <f t="shared" si="337"/>
        <v>33.5</v>
      </c>
      <c r="AS2638" s="1078" t="str">
        <f t="shared" si="338"/>
        <v>340/340/140</v>
      </c>
      <c r="AT2638" s="1078" t="str">
        <f t="shared" si="339"/>
        <v>1-5-1S83°Z+S</v>
      </c>
      <c r="AU2638" s="1078" t="s">
        <v>15547</v>
      </c>
      <c r="AV2638" s="1078" t="str">
        <f t="shared" si="332"/>
        <v>111.5.11</v>
      </c>
      <c r="AW2638" s="1344">
        <f t="shared" si="333"/>
        <v>44692</v>
      </c>
    </row>
    <row r="2639" spans="1:49">
      <c r="A2639" s="1077" t="s">
        <v>8047</v>
      </c>
      <c r="B2639" s="1077" t="s">
        <v>7091</v>
      </c>
      <c r="C2639" s="1077">
        <v>550</v>
      </c>
      <c r="D2639" s="1077">
        <v>1.79</v>
      </c>
      <c r="E2639" s="1077">
        <v>102.5</v>
      </c>
      <c r="F2639" s="1077" t="s">
        <v>4070</v>
      </c>
      <c r="G2639" s="1077">
        <v>5</v>
      </c>
      <c r="H2639" s="1077" t="s">
        <v>7047</v>
      </c>
      <c r="I2639" s="1077" t="s">
        <v>8048</v>
      </c>
      <c r="J2639" s="1077">
        <v>3.7</v>
      </c>
      <c r="K2639" s="1077" t="s">
        <v>7437</v>
      </c>
      <c r="L2639" s="1077" t="s">
        <v>5152</v>
      </c>
      <c r="M2639" s="1077">
        <v>290</v>
      </c>
      <c r="N2639" s="1077" t="s">
        <v>945</v>
      </c>
      <c r="O2639" s="1077">
        <v>7.25</v>
      </c>
      <c r="P2639" s="1077">
        <v>5.8</v>
      </c>
      <c r="Q2639" s="1077">
        <v>4</v>
      </c>
      <c r="R2639" s="1077">
        <v>19.5</v>
      </c>
      <c r="T2639" s="1077">
        <v>29.3</v>
      </c>
      <c r="U2639" s="1077">
        <v>3.5</v>
      </c>
      <c r="V2639" s="1077" t="s">
        <v>648</v>
      </c>
      <c r="W2639" s="1077">
        <v>95</v>
      </c>
      <c r="X2639" s="1077">
        <v>20</v>
      </c>
      <c r="Y2639" s="1077">
        <v>1.5</v>
      </c>
      <c r="Z2639" s="1077" t="s">
        <v>648</v>
      </c>
      <c r="AA2639" s="1077" t="s">
        <v>2198</v>
      </c>
      <c r="AH2639" s="1077" t="s">
        <v>854</v>
      </c>
      <c r="AM2639" s="1078" t="s">
        <v>14194</v>
      </c>
      <c r="AN2639" s="1078" t="s">
        <v>14195</v>
      </c>
      <c r="AO2639" s="1078">
        <f t="shared" si="334"/>
        <v>550</v>
      </c>
      <c r="AP2639" s="1078">
        <f t="shared" si="335"/>
        <v>1.79</v>
      </c>
      <c r="AQ2639" s="1078">
        <f t="shared" si="336"/>
        <v>102.5</v>
      </c>
      <c r="AR2639" s="1078" t="str">
        <f t="shared" si="337"/>
        <v>15.5</v>
      </c>
      <c r="AS2639" s="1078" t="str">
        <f t="shared" si="338"/>
        <v>485/445/OFF</v>
      </c>
      <c r="AT2639" s="1078">
        <f t="shared" si="339"/>
        <v>102.5</v>
      </c>
      <c r="AV2639" s="1078" t="str">
        <f t="shared" si="332"/>
        <v>111.5.12</v>
      </c>
      <c r="AW2639" s="1344">
        <f t="shared" si="333"/>
        <v>44693</v>
      </c>
    </row>
    <row r="2640" spans="1:49">
      <c r="A2640" s="1077" t="s">
        <v>8049</v>
      </c>
      <c r="B2640" s="1077" t="s">
        <v>7091</v>
      </c>
      <c r="C2640" s="1077">
        <v>500</v>
      </c>
      <c r="D2640" s="1077">
        <v>1.76</v>
      </c>
      <c r="E2640" s="1077">
        <v>102.5</v>
      </c>
      <c r="F2640" s="1077" t="s">
        <v>4070</v>
      </c>
      <c r="G2640" s="1077">
        <v>5</v>
      </c>
      <c r="H2640" s="1077" t="s">
        <v>8050</v>
      </c>
      <c r="I2640" s="1077" t="s">
        <v>8051</v>
      </c>
      <c r="J2640" s="1077">
        <v>3.7</v>
      </c>
      <c r="K2640" s="1077" t="s">
        <v>7437</v>
      </c>
      <c r="L2640" s="1077" t="s">
        <v>5152</v>
      </c>
      <c r="M2640" s="1077">
        <v>296</v>
      </c>
      <c r="N2640" s="1077" t="s">
        <v>945</v>
      </c>
      <c r="O2640" s="1077">
        <v>7.4</v>
      </c>
      <c r="P2640" s="1077">
        <v>5.92</v>
      </c>
      <c r="Q2640" s="1077">
        <v>4</v>
      </c>
      <c r="R2640" s="1077">
        <v>21</v>
      </c>
      <c r="T2640" s="1077">
        <v>22</v>
      </c>
      <c r="U2640" s="1077">
        <v>3.2</v>
      </c>
      <c r="V2640" s="1077" t="s">
        <v>648</v>
      </c>
      <c r="W2640" s="1077">
        <v>110</v>
      </c>
      <c r="X2640" s="1077">
        <v>40</v>
      </c>
      <c r="Y2640" s="1077">
        <v>1</v>
      </c>
      <c r="Z2640" s="1077" t="s">
        <v>648</v>
      </c>
      <c r="AA2640" s="1077" t="s">
        <v>2212</v>
      </c>
      <c r="AH2640" s="1077" t="s">
        <v>1376</v>
      </c>
      <c r="AM2640" s="1078" t="s">
        <v>14196</v>
      </c>
      <c r="AN2640" s="1078" t="s">
        <v>14197</v>
      </c>
      <c r="AO2640" s="1078">
        <f t="shared" si="334"/>
        <v>500</v>
      </c>
      <c r="AP2640" s="1078">
        <f t="shared" si="335"/>
        <v>1.76</v>
      </c>
      <c r="AQ2640" s="1078">
        <f t="shared" si="336"/>
        <v>102.5</v>
      </c>
      <c r="AR2640" s="1078" t="str">
        <f t="shared" si="337"/>
        <v>15.5</v>
      </c>
      <c r="AS2640" s="1078" t="str">
        <f t="shared" si="338"/>
        <v>445/405/170</v>
      </c>
      <c r="AT2640" s="1078">
        <f t="shared" si="339"/>
        <v>102.5</v>
      </c>
      <c r="AV2640" s="1078" t="str">
        <f t="shared" si="332"/>
        <v>111.5.30</v>
      </c>
      <c r="AW2640" s="1344">
        <f t="shared" si="333"/>
        <v>44711</v>
      </c>
    </row>
    <row r="2641" spans="1:49">
      <c r="A2641" s="1077" t="s">
        <v>8052</v>
      </c>
      <c r="B2641" s="1077" t="s">
        <v>714</v>
      </c>
      <c r="C2641" s="1077">
        <v>600</v>
      </c>
      <c r="D2641" s="1077">
        <v>1.7769999999999999</v>
      </c>
      <c r="E2641" s="1077">
        <v>102.5</v>
      </c>
      <c r="F2641" s="1077" t="s">
        <v>4070</v>
      </c>
      <c r="G2641" s="1077">
        <v>5.5</v>
      </c>
      <c r="H2641" s="1077" t="s">
        <v>7338</v>
      </c>
      <c r="I2641" s="1077" t="s">
        <v>8053</v>
      </c>
      <c r="J2641" s="1077">
        <v>3.7</v>
      </c>
      <c r="K2641" s="1077" t="s">
        <v>8054</v>
      </c>
      <c r="L2641" s="1077" t="s">
        <v>4666</v>
      </c>
      <c r="M2641" s="1077">
        <v>295.10000000000002</v>
      </c>
      <c r="N2641" s="1077" t="s">
        <v>945</v>
      </c>
      <c r="O2641" s="1077">
        <v>7.3775000000000013</v>
      </c>
      <c r="P2641" s="1077">
        <v>5.9020000000000001</v>
      </c>
      <c r="Q2641" s="1077">
        <v>4</v>
      </c>
      <c r="R2641" s="1077">
        <v>17.399999999999999</v>
      </c>
      <c r="T2641" s="1077">
        <v>31</v>
      </c>
      <c r="U2641" s="1077">
        <v>3.5</v>
      </c>
      <c r="V2641" s="1077" t="s">
        <v>648</v>
      </c>
      <c r="W2641" s="1077">
        <v>100</v>
      </c>
      <c r="X2641" s="1077">
        <v>40</v>
      </c>
      <c r="Y2641" s="1077">
        <v>1</v>
      </c>
      <c r="Z2641" s="1077" t="s">
        <v>648</v>
      </c>
      <c r="AA2641" s="1077" t="s">
        <v>8055</v>
      </c>
      <c r="AH2641" s="1077" t="s">
        <v>5681</v>
      </c>
      <c r="AM2641" s="1078" t="s">
        <v>14198</v>
      </c>
      <c r="AN2641" s="1078" t="s">
        <v>14199</v>
      </c>
      <c r="AO2641" s="1078">
        <f t="shared" si="334"/>
        <v>600</v>
      </c>
      <c r="AP2641" s="1078">
        <f t="shared" si="335"/>
        <v>1.7769999999999999</v>
      </c>
      <c r="AQ2641" s="1078">
        <f t="shared" si="336"/>
        <v>102.5</v>
      </c>
      <c r="AR2641" s="1078" t="str">
        <f t="shared" si="337"/>
        <v>15.5</v>
      </c>
      <c r="AS2641" s="1078" t="str">
        <f t="shared" si="338"/>
        <v>504/464/OFF</v>
      </c>
      <c r="AT2641" s="1078">
        <f t="shared" si="339"/>
        <v>102.5</v>
      </c>
      <c r="AV2641" s="1078" t="str">
        <f t="shared" si="332"/>
        <v>111.5.27</v>
      </c>
      <c r="AW2641" s="1344">
        <f t="shared" si="333"/>
        <v>44708</v>
      </c>
    </row>
    <row r="2642" spans="1:49">
      <c r="A2642" s="1077" t="s">
        <v>8056</v>
      </c>
      <c r="B2642" s="1077" t="s">
        <v>8057</v>
      </c>
      <c r="C2642" s="1077">
        <v>600</v>
      </c>
      <c r="D2642" s="1077">
        <v>1.8</v>
      </c>
      <c r="E2642" s="1077" t="s">
        <v>15116</v>
      </c>
      <c r="F2642" s="1077" t="s">
        <v>2234</v>
      </c>
      <c r="G2642" s="1077">
        <v>5</v>
      </c>
      <c r="H2642" s="1077" t="s">
        <v>6952</v>
      </c>
      <c r="I2642" s="1077" t="s">
        <v>7150</v>
      </c>
      <c r="K2642" s="1077" t="s">
        <v>8058</v>
      </c>
      <c r="L2642" s="1077" t="s">
        <v>8059</v>
      </c>
      <c r="M2642" s="1077">
        <v>303</v>
      </c>
      <c r="N2642" s="1077" t="s">
        <v>945</v>
      </c>
      <c r="O2642" s="1077">
        <v>7.5750000000000002</v>
      </c>
      <c r="P2642" s="1077">
        <v>6.0600000000000005</v>
      </c>
      <c r="Q2642" s="1077">
        <v>3.5</v>
      </c>
      <c r="R2642" s="1077">
        <v>21</v>
      </c>
      <c r="T2642" s="1077">
        <v>24</v>
      </c>
      <c r="U2642" s="1077">
        <v>3.4</v>
      </c>
      <c r="V2642" s="1077" t="s">
        <v>648</v>
      </c>
      <c r="W2642" s="1077">
        <v>115</v>
      </c>
      <c r="X2642" s="1077">
        <v>85</v>
      </c>
      <c r="Y2642" s="1077">
        <v>1.2</v>
      </c>
      <c r="Z2642" s="1077" t="s">
        <v>648</v>
      </c>
      <c r="AA2642" s="1077" t="s">
        <v>8040</v>
      </c>
      <c r="AH2642" s="1077" t="s">
        <v>958</v>
      </c>
      <c r="AM2642" s="1078" t="s">
        <v>14200</v>
      </c>
      <c r="AN2642" s="1078" t="s">
        <v>9813</v>
      </c>
      <c r="AO2642" s="1078">
        <f t="shared" si="334"/>
        <v>600</v>
      </c>
      <c r="AP2642" s="1078">
        <f t="shared" si="335"/>
        <v>1.8</v>
      </c>
      <c r="AQ2642" s="1078" t="str">
        <f t="shared" si="336"/>
        <v>1-5-1S83°Z+S</v>
      </c>
      <c r="AR2642" s="1078" t="str">
        <f t="shared" si="337"/>
        <v>33.5</v>
      </c>
      <c r="AS2642" s="1078" t="str">
        <f t="shared" si="338"/>
        <v>340/340/140</v>
      </c>
      <c r="AT2642" s="1078" t="str">
        <f t="shared" si="339"/>
        <v>1-5-1S83°Z+S</v>
      </c>
      <c r="AU2642" s="1078" t="s">
        <v>15547</v>
      </c>
      <c r="AV2642" s="1078" t="str">
        <f t="shared" si="332"/>
        <v>111.5.17</v>
      </c>
      <c r="AW2642" s="1344">
        <f t="shared" si="333"/>
        <v>44698</v>
      </c>
    </row>
    <row r="2643" spans="1:49">
      <c r="A2643" s="1077" t="s">
        <v>8060</v>
      </c>
      <c r="B2643" s="1077" t="s">
        <v>7068</v>
      </c>
      <c r="C2643" s="1077">
        <v>500</v>
      </c>
      <c r="D2643" s="1077">
        <v>1.79</v>
      </c>
      <c r="E2643" s="1077" t="s">
        <v>15112</v>
      </c>
      <c r="F2643" s="1077" t="s">
        <v>975</v>
      </c>
      <c r="G2643" s="1077">
        <v>5</v>
      </c>
      <c r="H2643" s="1077" t="s">
        <v>2876</v>
      </c>
      <c r="I2643" s="1077" t="s">
        <v>6909</v>
      </c>
      <c r="K2643" s="1077" t="s">
        <v>8061</v>
      </c>
      <c r="L2643" s="1077" t="s">
        <v>5037</v>
      </c>
      <c r="M2643" s="1077">
        <v>293.2</v>
      </c>
      <c r="N2643" s="1077" t="s">
        <v>945</v>
      </c>
      <c r="O2643" s="1077">
        <v>7.33</v>
      </c>
      <c r="P2643" s="1077">
        <v>5.8639999999999999</v>
      </c>
      <c r="Q2643" s="1077">
        <v>3.5</v>
      </c>
      <c r="R2643" s="1077">
        <v>21</v>
      </c>
      <c r="T2643" s="1077">
        <v>25</v>
      </c>
      <c r="U2643" s="1077">
        <v>4.2</v>
      </c>
      <c r="V2643" s="1077" t="s">
        <v>648</v>
      </c>
      <c r="W2643" s="1077">
        <v>110</v>
      </c>
      <c r="X2643" s="1077">
        <v>20</v>
      </c>
      <c r="Y2643" s="1077">
        <v>1.6</v>
      </c>
      <c r="Z2643" s="1077" t="s">
        <v>648</v>
      </c>
      <c r="AA2643" s="1077" t="s">
        <v>1497</v>
      </c>
      <c r="AH2643" s="1077" t="s">
        <v>618</v>
      </c>
      <c r="AM2643" s="1078" t="s">
        <v>14201</v>
      </c>
      <c r="AN2643" s="1078" t="s">
        <v>14202</v>
      </c>
      <c r="AO2643" s="1078">
        <f t="shared" si="334"/>
        <v>500</v>
      </c>
      <c r="AP2643" s="1078">
        <f t="shared" si="335"/>
        <v>1.79</v>
      </c>
      <c r="AQ2643" s="1078" t="str">
        <f t="shared" si="336"/>
        <v>1-5-1S87°Z+S</v>
      </c>
      <c r="AR2643" s="1078" t="str">
        <f t="shared" si="337"/>
        <v>31.5</v>
      </c>
      <c r="AS2643" s="1078" t="str">
        <f t="shared" si="338"/>
        <v>290/290/OFF</v>
      </c>
      <c r="AT2643" s="1078" t="str">
        <f t="shared" si="339"/>
        <v>1-5-1S87°Z+S</v>
      </c>
      <c r="AU2643" s="1078" t="s">
        <v>15547</v>
      </c>
      <c r="AV2643" s="1078" t="str">
        <f t="shared" si="332"/>
        <v>111.5.31</v>
      </c>
      <c r="AW2643" s="1344">
        <f t="shared" si="333"/>
        <v>44712</v>
      </c>
    </row>
    <row r="2644" spans="1:49">
      <c r="A2644" s="1077" t="s">
        <v>8062</v>
      </c>
      <c r="B2644" s="1077" t="s">
        <v>775</v>
      </c>
      <c r="C2644" s="1077">
        <v>600</v>
      </c>
      <c r="D2644" s="1077">
        <v>1.8</v>
      </c>
      <c r="E2644" s="1077" t="s">
        <v>15116</v>
      </c>
      <c r="F2644" s="1077" t="s">
        <v>2234</v>
      </c>
      <c r="G2644" s="1077">
        <v>4</v>
      </c>
      <c r="H2644" s="1077" t="s">
        <v>6902</v>
      </c>
      <c r="I2644" s="1077" t="s">
        <v>6903</v>
      </c>
      <c r="K2644" s="1077" t="s">
        <v>8063</v>
      </c>
      <c r="L2644" s="1077" t="s">
        <v>6933</v>
      </c>
      <c r="M2644" s="1077">
        <v>302</v>
      </c>
      <c r="N2644" s="1077" t="s">
        <v>945</v>
      </c>
      <c r="O2644" s="1077">
        <v>7.5500000000000007</v>
      </c>
      <c r="P2644" s="1077">
        <v>6.04</v>
      </c>
      <c r="Q2644" s="1077">
        <v>3.5</v>
      </c>
      <c r="R2644" s="1077">
        <v>27.3</v>
      </c>
      <c r="T2644" s="1077">
        <v>13.3</v>
      </c>
      <c r="U2644" s="1077">
        <v>2.2999999999999998</v>
      </c>
      <c r="V2644" s="1077" t="s">
        <v>648</v>
      </c>
      <c r="W2644" s="1077" t="s">
        <v>4947</v>
      </c>
      <c r="X2644" s="1077">
        <v>10</v>
      </c>
      <c r="Y2644" s="1077">
        <v>1.6</v>
      </c>
      <c r="Z2644" s="1077" t="s">
        <v>648</v>
      </c>
      <c r="AA2644" s="1077" t="s">
        <v>1497</v>
      </c>
      <c r="AH2644" s="1077" t="s">
        <v>680</v>
      </c>
      <c r="AM2644" s="1078" t="s">
        <v>14203</v>
      </c>
      <c r="AN2644" s="1078" t="s">
        <v>14204</v>
      </c>
      <c r="AO2644" s="1078">
        <f t="shared" si="334"/>
        <v>600</v>
      </c>
      <c r="AP2644" s="1078">
        <f t="shared" si="335"/>
        <v>1.8</v>
      </c>
      <c r="AQ2644" s="1078" t="str">
        <f t="shared" si="336"/>
        <v>1-5-1S83°Z+S</v>
      </c>
      <c r="AR2644" s="1078" t="str">
        <f t="shared" si="337"/>
        <v>33.5</v>
      </c>
      <c r="AS2644" s="1078" t="str">
        <f t="shared" si="338"/>
        <v>310/310/190</v>
      </c>
      <c r="AT2644" s="1078" t="str">
        <f t="shared" si="339"/>
        <v>1-5-1S83°Z+S</v>
      </c>
      <c r="AU2644" s="1078" t="s">
        <v>15547</v>
      </c>
      <c r="AV2644" s="1078" t="str">
        <f t="shared" si="332"/>
        <v>111.5.31</v>
      </c>
      <c r="AW2644" s="1344">
        <f t="shared" si="333"/>
        <v>44712</v>
      </c>
    </row>
    <row r="2645" spans="1:49">
      <c r="A2645" s="1077" t="s">
        <v>8064</v>
      </c>
      <c r="B2645" s="1077" t="s">
        <v>7080</v>
      </c>
      <c r="C2645" s="1077">
        <v>600</v>
      </c>
      <c r="D2645" s="1077">
        <v>1.8</v>
      </c>
      <c r="E2645" s="1077" t="s">
        <v>15116</v>
      </c>
      <c r="F2645" s="1077" t="s">
        <v>2234</v>
      </c>
      <c r="G2645" s="1077">
        <v>3.5</v>
      </c>
      <c r="H2645" s="1077" t="s">
        <v>6952</v>
      </c>
      <c r="I2645" s="1077" t="s">
        <v>6953</v>
      </c>
      <c r="K2645" s="1077" t="s">
        <v>7081</v>
      </c>
      <c r="L2645" s="1077" t="s">
        <v>7082</v>
      </c>
      <c r="M2645" s="1077">
        <v>303</v>
      </c>
      <c r="N2645" s="1077" t="s">
        <v>945</v>
      </c>
      <c r="O2645" s="1077">
        <v>7.5750000000000002</v>
      </c>
      <c r="P2645" s="1077">
        <v>6.0600000000000005</v>
      </c>
      <c r="Q2645" s="1077">
        <v>3.5</v>
      </c>
      <c r="R2645" s="1077">
        <v>22</v>
      </c>
      <c r="T2645" s="1077">
        <v>23</v>
      </c>
      <c r="U2645" s="1077">
        <v>3.2</v>
      </c>
      <c r="V2645" s="1077" t="s">
        <v>648</v>
      </c>
      <c r="W2645" s="1077">
        <v>115</v>
      </c>
      <c r="X2645" s="1077">
        <v>85</v>
      </c>
      <c r="Y2645" s="1077">
        <v>1.2</v>
      </c>
      <c r="Z2645" s="1077" t="s">
        <v>648</v>
      </c>
      <c r="AA2645" s="1077" t="s">
        <v>1497</v>
      </c>
      <c r="AH2645" s="1077" t="s">
        <v>468</v>
      </c>
      <c r="AM2645" s="1078" t="s">
        <v>14205</v>
      </c>
      <c r="AN2645" s="1078" t="s">
        <v>14206</v>
      </c>
      <c r="AO2645" s="1078">
        <f t="shared" si="334"/>
        <v>600</v>
      </c>
      <c r="AP2645" s="1078">
        <f t="shared" si="335"/>
        <v>1.8</v>
      </c>
      <c r="AQ2645" s="1078" t="str">
        <f t="shared" si="336"/>
        <v>1-5-1S83°Z+S</v>
      </c>
      <c r="AR2645" s="1078" t="str">
        <f t="shared" si="337"/>
        <v>33.5</v>
      </c>
      <c r="AS2645" s="1078" t="str">
        <f t="shared" si="338"/>
        <v>340/340/140</v>
      </c>
      <c r="AT2645" s="1078" t="str">
        <f t="shared" si="339"/>
        <v>1-5-1S83°Z+S</v>
      </c>
      <c r="AU2645" s="1078" t="s">
        <v>15547</v>
      </c>
      <c r="AV2645" s="1078" t="str">
        <f t="shared" si="332"/>
        <v>111.5.31</v>
      </c>
      <c r="AW2645" s="1344">
        <f t="shared" si="333"/>
        <v>44712</v>
      </c>
    </row>
    <row r="2646" spans="1:49">
      <c r="A2646" s="1077" t="s">
        <v>8065</v>
      </c>
      <c r="B2646" s="1077" t="s">
        <v>7068</v>
      </c>
      <c r="C2646" s="1077">
        <v>500</v>
      </c>
      <c r="D2646" s="1077">
        <v>1.79</v>
      </c>
      <c r="E2646" s="1077" t="s">
        <v>15112</v>
      </c>
      <c r="F2646" s="1077" t="s">
        <v>975</v>
      </c>
      <c r="G2646" s="1077">
        <v>5</v>
      </c>
      <c r="H2646" s="1077" t="s">
        <v>2876</v>
      </c>
      <c r="I2646" s="1077" t="s">
        <v>6909</v>
      </c>
      <c r="K2646" s="1077" t="s">
        <v>8066</v>
      </c>
      <c r="L2646" s="1077" t="s">
        <v>5037</v>
      </c>
      <c r="M2646" s="1077">
        <v>293.2</v>
      </c>
      <c r="N2646" s="1077" t="s">
        <v>945</v>
      </c>
      <c r="O2646" s="1077">
        <v>7.33</v>
      </c>
      <c r="P2646" s="1077">
        <v>5.8639999999999999</v>
      </c>
      <c r="Q2646" s="1077">
        <v>3.5</v>
      </c>
      <c r="R2646" s="1077">
        <v>21</v>
      </c>
      <c r="T2646" s="1077">
        <v>25</v>
      </c>
      <c r="U2646" s="1077">
        <v>4.2</v>
      </c>
      <c r="V2646" s="1077" t="s">
        <v>648</v>
      </c>
      <c r="W2646" s="1077">
        <v>110</v>
      </c>
      <c r="X2646" s="1077">
        <v>20</v>
      </c>
      <c r="Y2646" s="1077">
        <v>1.6</v>
      </c>
      <c r="Z2646" s="1077" t="s">
        <v>648</v>
      </c>
      <c r="AA2646" s="1077" t="s">
        <v>8067</v>
      </c>
      <c r="AH2646" s="1077" t="s">
        <v>762</v>
      </c>
      <c r="AM2646" s="1078" t="s">
        <v>14207</v>
      </c>
      <c r="AN2646" s="1078" t="s">
        <v>14208</v>
      </c>
      <c r="AO2646" s="1078">
        <f t="shared" si="334"/>
        <v>500</v>
      </c>
      <c r="AP2646" s="1078">
        <f t="shared" si="335"/>
        <v>1.79</v>
      </c>
      <c r="AQ2646" s="1078" t="str">
        <f t="shared" si="336"/>
        <v>1-5-1S87°Z+S</v>
      </c>
      <c r="AR2646" s="1078" t="str">
        <f t="shared" si="337"/>
        <v>31.5</v>
      </c>
      <c r="AS2646" s="1078" t="str">
        <f t="shared" si="338"/>
        <v>290/290/OFF</v>
      </c>
      <c r="AT2646" s="1078" t="str">
        <f t="shared" si="339"/>
        <v>1-5-1S87°Z+S</v>
      </c>
      <c r="AU2646" s="1078" t="s">
        <v>15547</v>
      </c>
      <c r="AV2646" s="1078" t="str">
        <f t="shared" si="332"/>
        <v>111.6.2</v>
      </c>
      <c r="AW2646" s="1344">
        <f t="shared" si="333"/>
        <v>44714</v>
      </c>
    </row>
    <row r="2647" spans="1:49">
      <c r="A2647" s="1077" t="s">
        <v>8068</v>
      </c>
      <c r="B2647" s="1077" t="s">
        <v>7593</v>
      </c>
      <c r="C2647" s="1077">
        <v>500</v>
      </c>
      <c r="D2647" s="1077">
        <v>1.75</v>
      </c>
      <c r="E2647" s="1077">
        <v>102.5</v>
      </c>
      <c r="F2647" s="1077" t="s">
        <v>4070</v>
      </c>
      <c r="G2647" s="1077" t="s">
        <v>6865</v>
      </c>
      <c r="H2647" s="1077" t="s">
        <v>8028</v>
      </c>
      <c r="I2647" s="1077" t="s">
        <v>6988</v>
      </c>
      <c r="J2647" s="1077">
        <v>3.7</v>
      </c>
      <c r="K2647" s="1077" t="s">
        <v>8069</v>
      </c>
      <c r="L2647" s="1077" t="s">
        <v>5152</v>
      </c>
      <c r="M2647" s="1077">
        <v>300.8</v>
      </c>
      <c r="N2647" s="1077" t="s">
        <v>945</v>
      </c>
      <c r="O2647" s="1077">
        <v>7.5200000000000005</v>
      </c>
      <c r="P2647" s="1077">
        <v>6.016</v>
      </c>
      <c r="Q2647" s="1077">
        <v>4</v>
      </c>
      <c r="R2647" s="1077">
        <v>17</v>
      </c>
      <c r="T2647" s="1077">
        <v>31.4</v>
      </c>
      <c r="U2647" s="1077">
        <v>3.6</v>
      </c>
      <c r="V2647" s="1077" t="s">
        <v>648</v>
      </c>
      <c r="W2647" s="1077">
        <v>65</v>
      </c>
      <c r="X2647" s="1077">
        <v>10</v>
      </c>
      <c r="Y2647" s="1077">
        <v>1.5</v>
      </c>
      <c r="Z2647" s="1077" t="s">
        <v>648</v>
      </c>
      <c r="AA2647" s="1077" t="s">
        <v>2218</v>
      </c>
      <c r="AH2647" s="1077" t="s">
        <v>1643</v>
      </c>
      <c r="AM2647" s="1078" t="s">
        <v>14209</v>
      </c>
      <c r="AN2647" s="1078" t="s">
        <v>14210</v>
      </c>
      <c r="AO2647" s="1078">
        <f t="shared" si="334"/>
        <v>500</v>
      </c>
      <c r="AP2647" s="1078">
        <f t="shared" si="335"/>
        <v>1.75</v>
      </c>
      <c r="AQ2647" s="1078">
        <f t="shared" si="336"/>
        <v>102.5</v>
      </c>
      <c r="AR2647" s="1078" t="str">
        <f t="shared" si="337"/>
        <v>15.5</v>
      </c>
      <c r="AS2647" s="1078" t="str">
        <f t="shared" si="338"/>
        <v>460/420/OFF</v>
      </c>
      <c r="AT2647" s="1078">
        <f t="shared" si="339"/>
        <v>102.5</v>
      </c>
      <c r="AV2647" s="1078" t="str">
        <f t="shared" si="332"/>
        <v>111.6.6</v>
      </c>
      <c r="AW2647" s="1344">
        <f t="shared" si="333"/>
        <v>44718</v>
      </c>
    </row>
    <row r="2648" spans="1:49">
      <c r="A2648" s="1077" t="s">
        <v>8070</v>
      </c>
      <c r="B2648" s="1077" t="s">
        <v>7763</v>
      </c>
      <c r="C2648" s="1077">
        <v>600</v>
      </c>
      <c r="D2648" s="1077">
        <v>1.76</v>
      </c>
      <c r="E2648" s="1077" t="s">
        <v>15116</v>
      </c>
      <c r="F2648" s="1077" t="s">
        <v>2234</v>
      </c>
      <c r="G2648" s="1077">
        <v>5</v>
      </c>
      <c r="H2648" s="1077" t="s">
        <v>6952</v>
      </c>
      <c r="I2648" s="1077" t="s">
        <v>7150</v>
      </c>
      <c r="J2648" s="1077">
        <v>3</v>
      </c>
      <c r="K2648" s="1077" t="s">
        <v>8071</v>
      </c>
      <c r="L2648" s="1077" t="s">
        <v>7765</v>
      </c>
      <c r="M2648" s="1077">
        <v>310</v>
      </c>
      <c r="N2648" s="1077" t="s">
        <v>945</v>
      </c>
      <c r="O2648" s="1077">
        <v>7.75</v>
      </c>
      <c r="P2648" s="1077">
        <v>6.2</v>
      </c>
      <c r="Q2648" s="1077">
        <v>3.5</v>
      </c>
      <c r="R2648" s="1077">
        <v>22</v>
      </c>
      <c r="T2648" s="1077">
        <v>22</v>
      </c>
      <c r="U2648" s="1077">
        <v>3.5</v>
      </c>
      <c r="V2648" s="1077" t="s">
        <v>648</v>
      </c>
      <c r="W2648" s="1077">
        <v>110</v>
      </c>
      <c r="X2648" s="1077">
        <v>85</v>
      </c>
      <c r="Y2648" s="1077">
        <v>1</v>
      </c>
      <c r="Z2648" s="1077" t="s">
        <v>648</v>
      </c>
      <c r="AA2648" s="1077" t="s">
        <v>8072</v>
      </c>
      <c r="AH2648" s="1077" t="s">
        <v>889</v>
      </c>
      <c r="AM2648" s="1078" t="s">
        <v>14211</v>
      </c>
      <c r="AN2648" s="1078" t="s">
        <v>14212</v>
      </c>
      <c r="AO2648" s="1078">
        <f t="shared" si="334"/>
        <v>600</v>
      </c>
      <c r="AP2648" s="1078">
        <f t="shared" si="335"/>
        <v>1.76</v>
      </c>
      <c r="AQ2648" s="1078" t="str">
        <f t="shared" si="336"/>
        <v>1-5-1S83°Z+S</v>
      </c>
      <c r="AR2648" s="1078" t="str">
        <f t="shared" si="337"/>
        <v>33.5</v>
      </c>
      <c r="AS2648" s="1078" t="str">
        <f t="shared" si="338"/>
        <v>340/340/140</v>
      </c>
      <c r="AT2648" s="1078" t="str">
        <f t="shared" si="339"/>
        <v>1-5-1S83°Z+S</v>
      </c>
      <c r="AU2648" s="1078" t="s">
        <v>15547</v>
      </c>
      <c r="AV2648" s="1078" t="str">
        <f t="shared" si="332"/>
        <v>111.6.7</v>
      </c>
      <c r="AW2648" s="1344">
        <f t="shared" si="333"/>
        <v>44719</v>
      </c>
    </row>
    <row r="2649" spans="1:49">
      <c r="A2649" s="1077" t="s">
        <v>8073</v>
      </c>
      <c r="B2649" s="1077" t="s">
        <v>7894</v>
      </c>
      <c r="C2649" s="1077">
        <v>500</v>
      </c>
      <c r="D2649" s="1077">
        <v>1.79</v>
      </c>
      <c r="E2649" s="1077" t="s">
        <v>15116</v>
      </c>
      <c r="F2649" s="1077" t="s">
        <v>2234</v>
      </c>
      <c r="G2649" s="1077">
        <v>5</v>
      </c>
      <c r="H2649" s="1077" t="s">
        <v>1806</v>
      </c>
      <c r="I2649" s="1077" t="s">
        <v>7095</v>
      </c>
      <c r="J2649" s="1077">
        <v>3</v>
      </c>
      <c r="K2649" s="1077" t="s">
        <v>8074</v>
      </c>
      <c r="L2649" s="1077" t="s">
        <v>7896</v>
      </c>
      <c r="M2649" s="1077">
        <v>300.8</v>
      </c>
      <c r="N2649" s="1077" t="s">
        <v>945</v>
      </c>
      <c r="O2649" s="1077">
        <v>7.5200000000000005</v>
      </c>
      <c r="P2649" s="1077">
        <v>6.016</v>
      </c>
      <c r="Q2649" s="1077">
        <v>3.5</v>
      </c>
      <c r="R2649" s="1077">
        <v>21</v>
      </c>
      <c r="T2649" s="1077">
        <v>25</v>
      </c>
      <c r="U2649" s="1077">
        <v>4.2</v>
      </c>
      <c r="V2649" s="1077" t="s">
        <v>648</v>
      </c>
      <c r="W2649" s="1077">
        <v>110</v>
      </c>
      <c r="X2649" s="1077">
        <v>20</v>
      </c>
      <c r="Y2649" s="1077">
        <v>1.2</v>
      </c>
      <c r="Z2649" s="1077" t="s">
        <v>648</v>
      </c>
      <c r="AA2649" s="1077" t="s">
        <v>2221</v>
      </c>
      <c r="AH2649" s="1077" t="s">
        <v>456</v>
      </c>
      <c r="AM2649" s="1078" t="s">
        <v>14213</v>
      </c>
      <c r="AN2649" s="1078" t="s">
        <v>9197</v>
      </c>
      <c r="AO2649" s="1078">
        <f t="shared" si="334"/>
        <v>500</v>
      </c>
      <c r="AP2649" s="1078">
        <f t="shared" si="335"/>
        <v>1.79</v>
      </c>
      <c r="AQ2649" s="1078" t="str">
        <f t="shared" si="336"/>
        <v>1-5-1S83°Z+S</v>
      </c>
      <c r="AR2649" s="1078" t="str">
        <f t="shared" si="337"/>
        <v>33.5</v>
      </c>
      <c r="AS2649" s="1078" t="str">
        <f t="shared" si="338"/>
        <v>280/280/OFF</v>
      </c>
      <c r="AT2649" s="1078" t="str">
        <f t="shared" si="339"/>
        <v>1-5-1S83°Z+S</v>
      </c>
      <c r="AU2649" s="1078" t="s">
        <v>15547</v>
      </c>
      <c r="AV2649" s="1078" t="str">
        <f t="shared" si="332"/>
        <v>111.6.9</v>
      </c>
      <c r="AW2649" s="1344">
        <f t="shared" si="333"/>
        <v>44721</v>
      </c>
    </row>
    <row r="2650" spans="1:49">
      <c r="A2650" s="1077" t="s">
        <v>8075</v>
      </c>
      <c r="B2650" s="1077" t="s">
        <v>714</v>
      </c>
      <c r="C2650" s="1077">
        <v>550</v>
      </c>
      <c r="D2650" s="1077">
        <v>1.7669999999999999</v>
      </c>
      <c r="E2650" s="1077" t="s">
        <v>15121</v>
      </c>
      <c r="F2650" s="1077" t="s">
        <v>648</v>
      </c>
      <c r="G2650" s="1077">
        <v>5</v>
      </c>
      <c r="H2650" s="1077" t="s">
        <v>8076</v>
      </c>
      <c r="I2650" s="1077" t="s">
        <v>8077</v>
      </c>
      <c r="J2650" s="1077">
        <v>3.7</v>
      </c>
      <c r="K2650" s="1077" t="s">
        <v>8031</v>
      </c>
      <c r="L2650" s="1077" t="s">
        <v>4666</v>
      </c>
      <c r="M2650" s="1077">
        <v>298.8</v>
      </c>
      <c r="N2650" s="1077" t="s">
        <v>945</v>
      </c>
      <c r="O2650" s="1077">
        <v>7.4700000000000006</v>
      </c>
      <c r="P2650" s="1077">
        <v>5.976</v>
      </c>
      <c r="Q2650" s="1077">
        <v>4</v>
      </c>
      <c r="R2650" s="1077">
        <v>20.5</v>
      </c>
      <c r="T2650" s="1077">
        <v>21</v>
      </c>
      <c r="U2650" s="1077">
        <v>3.5</v>
      </c>
      <c r="V2650" s="1077" t="s">
        <v>648</v>
      </c>
      <c r="W2650" s="1077">
        <v>30</v>
      </c>
      <c r="X2650" s="1077">
        <v>10</v>
      </c>
      <c r="Y2650" s="1077">
        <v>1.2</v>
      </c>
      <c r="Z2650" s="1077" t="s">
        <v>648</v>
      </c>
      <c r="AA2650" s="1077" t="s">
        <v>5633</v>
      </c>
      <c r="AH2650" s="1077" t="s">
        <v>803</v>
      </c>
      <c r="AM2650" s="1078" t="s">
        <v>14214</v>
      </c>
      <c r="AN2650" s="1078" t="s">
        <v>14215</v>
      </c>
      <c r="AO2650" s="1078">
        <f t="shared" si="334"/>
        <v>550</v>
      </c>
      <c r="AP2650" s="1078">
        <f t="shared" si="335"/>
        <v>1.7669999999999999</v>
      </c>
      <c r="AQ2650" s="1078" t="str">
        <f t="shared" si="336"/>
        <v>1-5-1S85°S+Z</v>
      </c>
      <c r="AR2650" s="1078" t="str">
        <f t="shared" si="337"/>
        <v>NA</v>
      </c>
      <c r="AS2650" s="1078" t="str">
        <f t="shared" si="338"/>
        <v>172/165</v>
      </c>
      <c r="AT2650" s="1078" t="str">
        <f t="shared" si="339"/>
        <v>1-5-1S85°S+Z</v>
      </c>
      <c r="AU2650" s="1078" t="s">
        <v>15550</v>
      </c>
      <c r="AV2650" s="1078" t="str">
        <f t="shared" si="332"/>
        <v>111.6.13</v>
      </c>
      <c r="AW2650" s="1344">
        <f t="shared" si="333"/>
        <v>44725</v>
      </c>
    </row>
    <row r="2651" spans="1:49">
      <c r="A2651" s="1077" t="s">
        <v>8078</v>
      </c>
      <c r="B2651" s="1077" t="s">
        <v>8043</v>
      </c>
      <c r="C2651" s="1077">
        <v>550</v>
      </c>
      <c r="D2651" s="1077">
        <v>1.83</v>
      </c>
      <c r="E2651" s="1077" t="s">
        <v>15122</v>
      </c>
      <c r="F2651" s="1077" t="s">
        <v>2234</v>
      </c>
      <c r="G2651" s="1077">
        <v>5</v>
      </c>
      <c r="H2651" s="1077" t="s">
        <v>2708</v>
      </c>
      <c r="I2651" s="1077" t="s">
        <v>7647</v>
      </c>
      <c r="J2651" s="1077">
        <v>3.2</v>
      </c>
      <c r="K2651" s="1077" t="s">
        <v>8079</v>
      </c>
      <c r="L2651" s="1077" t="s">
        <v>5556</v>
      </c>
      <c r="M2651" s="1077">
        <v>293</v>
      </c>
      <c r="N2651" s="1077" t="s">
        <v>945</v>
      </c>
      <c r="O2651" s="1077">
        <v>7.3250000000000002</v>
      </c>
      <c r="P2651" s="1077">
        <v>5.86</v>
      </c>
      <c r="Q2651" s="1077">
        <v>4</v>
      </c>
      <c r="R2651" s="1077">
        <v>23.4</v>
      </c>
      <c r="T2651" s="1077">
        <v>27</v>
      </c>
      <c r="U2651" s="1077">
        <v>3.5</v>
      </c>
      <c r="V2651" s="1077" t="s">
        <v>648</v>
      </c>
      <c r="W2651" s="1077">
        <v>60</v>
      </c>
      <c r="X2651" s="1077">
        <v>10</v>
      </c>
      <c r="Y2651" s="1077">
        <v>1.2</v>
      </c>
      <c r="Z2651" s="1077" t="s">
        <v>648</v>
      </c>
      <c r="AA2651" s="1077" t="s">
        <v>5628</v>
      </c>
      <c r="AH2651" s="1077" t="s">
        <v>622</v>
      </c>
      <c r="AM2651" s="1078" t="s">
        <v>14216</v>
      </c>
      <c r="AN2651" s="1078" t="s">
        <v>14217</v>
      </c>
      <c r="AO2651" s="1078">
        <f t="shared" si="334"/>
        <v>550</v>
      </c>
      <c r="AP2651" s="1078">
        <f t="shared" si="335"/>
        <v>1.83</v>
      </c>
      <c r="AQ2651" s="1078" t="str">
        <f t="shared" si="336"/>
        <v>1-5-1S91°Z+S</v>
      </c>
      <c r="AR2651" s="1078" t="str">
        <f t="shared" si="337"/>
        <v>33.5</v>
      </c>
      <c r="AS2651" s="1078" t="str">
        <f t="shared" si="338"/>
        <v>295/295/OFF</v>
      </c>
      <c r="AT2651" s="1078" t="str">
        <f t="shared" si="339"/>
        <v>1-5-1S91°Z+S</v>
      </c>
      <c r="AU2651" s="1078" t="s">
        <v>15547</v>
      </c>
      <c r="AV2651" s="1078" t="str">
        <f t="shared" si="332"/>
        <v>111.6.15</v>
      </c>
      <c r="AW2651" s="1344">
        <f t="shared" si="333"/>
        <v>44727</v>
      </c>
    </row>
    <row r="2652" spans="1:49">
      <c r="A2652" s="1077" t="s">
        <v>8080</v>
      </c>
      <c r="B2652" s="1077" t="s">
        <v>714</v>
      </c>
      <c r="C2652" s="1077">
        <v>500</v>
      </c>
      <c r="D2652" s="1077">
        <v>1.78</v>
      </c>
      <c r="E2652" s="1077">
        <v>102.5</v>
      </c>
      <c r="F2652" s="1077" t="s">
        <v>4070</v>
      </c>
      <c r="G2652" s="1077">
        <v>5.5</v>
      </c>
      <c r="H2652" s="1077" t="s">
        <v>8009</v>
      </c>
      <c r="I2652" s="1077" t="s">
        <v>6896</v>
      </c>
      <c r="J2652" s="1077">
        <v>3.7</v>
      </c>
      <c r="K2652" s="1077" t="s">
        <v>8031</v>
      </c>
      <c r="L2652" s="1077" t="s">
        <v>4666</v>
      </c>
      <c r="M2652" s="1077">
        <v>295.10000000000002</v>
      </c>
      <c r="N2652" s="1077" t="s">
        <v>945</v>
      </c>
      <c r="O2652" s="1077">
        <v>7.3775000000000013</v>
      </c>
      <c r="P2652" s="1077">
        <v>5.9020000000000001</v>
      </c>
      <c r="Q2652" s="1077">
        <v>4</v>
      </c>
      <c r="R2652" s="1077">
        <v>17.399999999999999</v>
      </c>
      <c r="T2652" s="1077">
        <v>31</v>
      </c>
      <c r="U2652" s="1077">
        <v>3.5</v>
      </c>
      <c r="V2652" s="1077" t="s">
        <v>648</v>
      </c>
      <c r="W2652" s="1077">
        <v>100</v>
      </c>
      <c r="X2652" s="1077">
        <v>40</v>
      </c>
      <c r="Y2652" s="1077">
        <v>1</v>
      </c>
      <c r="Z2652" s="1077" t="s">
        <v>648</v>
      </c>
      <c r="AA2652" s="1077" t="s">
        <v>1506</v>
      </c>
      <c r="AH2652" s="1077" t="s">
        <v>854</v>
      </c>
      <c r="AM2652" s="1078" t="s">
        <v>14218</v>
      </c>
      <c r="AN2652" s="1078" t="s">
        <v>14219</v>
      </c>
      <c r="AO2652" s="1078">
        <f t="shared" si="334"/>
        <v>500</v>
      </c>
      <c r="AP2652" s="1078">
        <f t="shared" si="335"/>
        <v>1.78</v>
      </c>
      <c r="AQ2652" s="1078">
        <f t="shared" si="336"/>
        <v>102.5</v>
      </c>
      <c r="AR2652" s="1078" t="str">
        <f t="shared" si="337"/>
        <v>15.5</v>
      </c>
      <c r="AS2652" s="1078" t="str">
        <f t="shared" si="338"/>
        <v>455/415/OFF</v>
      </c>
      <c r="AT2652" s="1078">
        <f t="shared" si="339"/>
        <v>102.5</v>
      </c>
      <c r="AV2652" s="1078" t="str">
        <f t="shared" si="332"/>
        <v>111.6.16</v>
      </c>
      <c r="AW2652" s="1344">
        <f t="shared" si="333"/>
        <v>44728</v>
      </c>
    </row>
    <row r="2653" spans="1:49">
      <c r="A2653" s="1077" t="s">
        <v>8081</v>
      </c>
      <c r="B2653" s="1077" t="s">
        <v>663</v>
      </c>
      <c r="C2653" s="1077">
        <v>650</v>
      </c>
      <c r="D2653" s="1077">
        <v>1.77</v>
      </c>
      <c r="E2653" s="1077" t="s">
        <v>15104</v>
      </c>
      <c r="F2653" s="1077" t="s">
        <v>648</v>
      </c>
      <c r="G2653" s="1077">
        <v>5.5</v>
      </c>
      <c r="H2653" s="1077" t="s">
        <v>3482</v>
      </c>
      <c r="I2653" s="1077" t="s">
        <v>6970</v>
      </c>
      <c r="K2653" s="1077" t="s">
        <v>8082</v>
      </c>
      <c r="L2653" s="1077" t="s">
        <v>4907</v>
      </c>
      <c r="M2653" s="1077">
        <v>296</v>
      </c>
      <c r="N2653" s="1077" t="s">
        <v>945</v>
      </c>
      <c r="O2653" s="1077">
        <v>7.4</v>
      </c>
      <c r="P2653" s="1077">
        <v>5.92</v>
      </c>
      <c r="Q2653" s="1077">
        <v>3.5</v>
      </c>
      <c r="R2653" s="1077">
        <v>17</v>
      </c>
      <c r="T2653" s="1077">
        <v>10.5</v>
      </c>
      <c r="U2653" s="1077">
        <v>6.1</v>
      </c>
      <c r="V2653" s="1077" t="s">
        <v>648</v>
      </c>
      <c r="W2653" s="1077">
        <v>120</v>
      </c>
      <c r="X2653" s="1077">
        <v>90</v>
      </c>
      <c r="Y2653" s="1077">
        <v>1.1000000000000001</v>
      </c>
      <c r="Z2653" s="1077" t="s">
        <v>648</v>
      </c>
      <c r="AA2653" s="1077" t="s">
        <v>8083</v>
      </c>
      <c r="AH2653" s="1077" t="s">
        <v>1178</v>
      </c>
      <c r="AM2653" s="1078" t="s">
        <v>14220</v>
      </c>
      <c r="AN2653" s="1078" t="s">
        <v>14221</v>
      </c>
      <c r="AO2653" s="1078">
        <f t="shared" si="334"/>
        <v>650</v>
      </c>
      <c r="AP2653" s="1078">
        <f t="shared" si="335"/>
        <v>1.77</v>
      </c>
      <c r="AQ2653" s="1078" t="str">
        <f t="shared" si="336"/>
        <v>1-4-1S85°Z+S</v>
      </c>
      <c r="AR2653" s="1078" t="str">
        <f t="shared" si="337"/>
        <v>NA</v>
      </c>
      <c r="AS2653" s="1078" t="str">
        <f t="shared" si="338"/>
        <v>170/160</v>
      </c>
      <c r="AT2653" s="1078" t="str">
        <f t="shared" si="339"/>
        <v>1-4-1S85°Z+S</v>
      </c>
      <c r="AU2653" s="1078" t="s">
        <v>15547</v>
      </c>
      <c r="AV2653" s="1078" t="str">
        <f t="shared" si="332"/>
        <v>111.6.20</v>
      </c>
      <c r="AW2653" s="1344">
        <f t="shared" si="333"/>
        <v>44732</v>
      </c>
    </row>
    <row r="2654" spans="1:49">
      <c r="A2654" s="1077" t="s">
        <v>8084</v>
      </c>
      <c r="B2654" s="1077" t="s">
        <v>717</v>
      </c>
      <c r="C2654" s="1077">
        <v>600</v>
      </c>
      <c r="D2654" s="1077">
        <v>1.7949999999999999</v>
      </c>
      <c r="E2654" s="1077" t="s">
        <v>15116</v>
      </c>
      <c r="F2654" s="1077" t="s">
        <v>2234</v>
      </c>
      <c r="G2654" s="1077">
        <v>4</v>
      </c>
      <c r="H2654" s="1077" t="s">
        <v>6902</v>
      </c>
      <c r="I2654" s="1077" t="s">
        <v>6918</v>
      </c>
      <c r="K2654" s="1077" t="s">
        <v>8085</v>
      </c>
      <c r="L2654" s="1077" t="s">
        <v>6920</v>
      </c>
      <c r="M2654" s="1077">
        <v>303.5</v>
      </c>
      <c r="N2654" s="1077" t="s">
        <v>945</v>
      </c>
      <c r="O2654" s="1077">
        <v>7.5875000000000004</v>
      </c>
      <c r="P2654" s="1077">
        <v>6.07</v>
      </c>
      <c r="Q2654" s="1077">
        <v>3.5</v>
      </c>
      <c r="R2654" s="1077">
        <v>27.9</v>
      </c>
      <c r="T2654" s="1077">
        <v>13.5</v>
      </c>
      <c r="U2654" s="1077">
        <v>2.5</v>
      </c>
      <c r="V2654" s="1077" t="s">
        <v>648</v>
      </c>
      <c r="W2654" s="1077">
        <v>90</v>
      </c>
      <c r="X2654" s="1077">
        <v>10</v>
      </c>
      <c r="Y2654" s="1077">
        <v>1.6</v>
      </c>
      <c r="Z2654" s="1077" t="s">
        <v>648</v>
      </c>
      <c r="AA2654" s="1077" t="s">
        <v>5652</v>
      </c>
      <c r="AH2654" s="1077" t="s">
        <v>869</v>
      </c>
      <c r="AM2654" s="1078" t="s">
        <v>14222</v>
      </c>
      <c r="AN2654" s="1078" t="s">
        <v>14223</v>
      </c>
      <c r="AO2654" s="1078">
        <f t="shared" si="334"/>
        <v>600</v>
      </c>
      <c r="AP2654" s="1078">
        <f t="shared" si="335"/>
        <v>1.7949999999999999</v>
      </c>
      <c r="AQ2654" s="1078" t="str">
        <f t="shared" si="336"/>
        <v>1-5-1S83°Z+S</v>
      </c>
      <c r="AR2654" s="1078" t="str">
        <f t="shared" si="337"/>
        <v>33.5</v>
      </c>
      <c r="AS2654" s="1078" t="str">
        <f t="shared" si="338"/>
        <v>310/310/190</v>
      </c>
      <c r="AT2654" s="1078" t="str">
        <f t="shared" si="339"/>
        <v>1-5-1S83°Z+S</v>
      </c>
      <c r="AU2654" s="1078" t="s">
        <v>15547</v>
      </c>
      <c r="AV2654" s="1078" t="str">
        <f t="shared" si="332"/>
        <v>111.6.22</v>
      </c>
      <c r="AW2654" s="1344">
        <f t="shared" si="333"/>
        <v>44734</v>
      </c>
    </row>
    <row r="2655" spans="1:49">
      <c r="A2655" s="1077" t="s">
        <v>8086</v>
      </c>
      <c r="B2655" s="1077" t="s">
        <v>7214</v>
      </c>
      <c r="C2655" s="1077" t="s">
        <v>8087</v>
      </c>
      <c r="D2655" s="1077">
        <v>1.7749999999999999</v>
      </c>
      <c r="E2655" s="1077" t="s">
        <v>15109</v>
      </c>
      <c r="F2655" s="1077" t="s">
        <v>648</v>
      </c>
      <c r="G2655" s="1077">
        <v>5</v>
      </c>
      <c r="H2655" s="1077" t="s">
        <v>2941</v>
      </c>
      <c r="I2655" s="1077" t="s">
        <v>7215</v>
      </c>
      <c r="J2655" s="1077">
        <v>3</v>
      </c>
      <c r="K2655" s="1077" t="s">
        <v>8088</v>
      </c>
      <c r="L2655" s="1077" t="s">
        <v>6043</v>
      </c>
      <c r="M2655" s="1077">
        <v>302.8</v>
      </c>
      <c r="N2655" s="1077" t="s">
        <v>945</v>
      </c>
      <c r="O2655" s="1077">
        <v>7.57</v>
      </c>
      <c r="P2655" s="1077">
        <v>6.056</v>
      </c>
      <c r="Q2655" s="1077">
        <v>4</v>
      </c>
      <c r="R2655" s="1077">
        <v>19</v>
      </c>
      <c r="T2655" s="1077">
        <v>27</v>
      </c>
      <c r="U2655" s="1077">
        <v>3.5</v>
      </c>
      <c r="V2655" s="1077" t="s">
        <v>648</v>
      </c>
      <c r="W2655" s="1077">
        <v>135</v>
      </c>
      <c r="X2655" s="1077">
        <v>90</v>
      </c>
      <c r="Y2655" s="1077">
        <v>1.4</v>
      </c>
      <c r="Z2655" s="1077" t="s">
        <v>648</v>
      </c>
      <c r="AA2655" s="1077" t="s">
        <v>2291</v>
      </c>
      <c r="AH2655" s="1077" t="s">
        <v>782</v>
      </c>
      <c r="AM2655" s="1078" t="s">
        <v>14224</v>
      </c>
      <c r="AN2655" s="1078" t="s">
        <v>14225</v>
      </c>
      <c r="AO2655" s="1078" t="str">
        <f t="shared" si="334"/>
        <v>600↓500-6/28</v>
      </c>
      <c r="AP2655" s="1078">
        <f t="shared" si="335"/>
        <v>1.7749999999999999</v>
      </c>
      <c r="AQ2655" s="1078" t="str">
        <f t="shared" si="336"/>
        <v>1-5-1S85°Z+S</v>
      </c>
      <c r="AR2655" s="1078" t="str">
        <f t="shared" si="337"/>
        <v>NA</v>
      </c>
      <c r="AS2655" s="1078" t="str">
        <f t="shared" si="338"/>
        <v>190/OFF</v>
      </c>
      <c r="AT2655" s="1078" t="str">
        <f t="shared" si="339"/>
        <v>1-5-1S85°Z+S</v>
      </c>
      <c r="AU2655" s="1078" t="s">
        <v>15547</v>
      </c>
      <c r="AV2655" s="1078" t="str">
        <f t="shared" si="332"/>
        <v>111.6.24</v>
      </c>
      <c r="AW2655" s="1344">
        <f t="shared" si="333"/>
        <v>44736</v>
      </c>
    </row>
    <row r="2656" spans="1:49">
      <c r="A2656" s="1077" t="s">
        <v>8089</v>
      </c>
      <c r="B2656" s="1077" t="s">
        <v>714</v>
      </c>
      <c r="C2656" s="1077">
        <v>500</v>
      </c>
      <c r="D2656" s="1077">
        <v>1.7749999999999999</v>
      </c>
      <c r="E2656" s="1077">
        <v>102.5</v>
      </c>
      <c r="F2656" s="1077" t="s">
        <v>4070</v>
      </c>
      <c r="G2656" s="1077" t="s">
        <v>6865</v>
      </c>
      <c r="H2656" s="1077" t="s">
        <v>8028</v>
      </c>
      <c r="I2656" s="1077" t="s">
        <v>7057</v>
      </c>
      <c r="J2656" s="1077">
        <v>3.7</v>
      </c>
      <c r="K2656" s="1077" t="s">
        <v>7701</v>
      </c>
      <c r="L2656" s="1077" t="s">
        <v>4666</v>
      </c>
      <c r="M2656" s="1077">
        <v>300.8</v>
      </c>
      <c r="N2656" s="1077" t="s">
        <v>945</v>
      </c>
      <c r="O2656" s="1077">
        <v>7.5200000000000005</v>
      </c>
      <c r="P2656" s="1077">
        <v>6.016</v>
      </c>
      <c r="Q2656" s="1077">
        <v>4</v>
      </c>
      <c r="R2656" s="1077">
        <v>17</v>
      </c>
      <c r="T2656" s="1077">
        <v>31.4</v>
      </c>
      <c r="U2656" s="1077">
        <v>3.6</v>
      </c>
      <c r="V2656" s="1077" t="s">
        <v>648</v>
      </c>
      <c r="W2656" s="1077">
        <v>65</v>
      </c>
      <c r="X2656" s="1077">
        <v>10</v>
      </c>
      <c r="Y2656" s="1077">
        <v>1.5</v>
      </c>
      <c r="Z2656" s="1077" t="s">
        <v>648</v>
      </c>
      <c r="AA2656" s="1077" t="s">
        <v>4341</v>
      </c>
      <c r="AH2656" s="1077" t="s">
        <v>830</v>
      </c>
      <c r="AM2656" s="1078" t="s">
        <v>14226</v>
      </c>
      <c r="AN2656" s="1078" t="s">
        <v>14227</v>
      </c>
      <c r="AO2656" s="1078">
        <f t="shared" si="334"/>
        <v>500</v>
      </c>
      <c r="AP2656" s="1078">
        <f t="shared" si="335"/>
        <v>1.7749999999999999</v>
      </c>
      <c r="AQ2656" s="1078">
        <f t="shared" si="336"/>
        <v>102.5</v>
      </c>
      <c r="AR2656" s="1078" t="str">
        <f t="shared" si="337"/>
        <v>15.5</v>
      </c>
      <c r="AS2656" s="1078" t="str">
        <f t="shared" si="338"/>
        <v>460/420/OFF</v>
      </c>
      <c r="AT2656" s="1078">
        <f t="shared" si="339"/>
        <v>102.5</v>
      </c>
      <c r="AV2656" s="1078" t="str">
        <f t="shared" si="332"/>
        <v>111.6.28</v>
      </c>
      <c r="AW2656" s="1344">
        <f t="shared" si="333"/>
        <v>44740</v>
      </c>
    </row>
    <row r="2657" spans="1:49">
      <c r="A2657" s="1077" t="s">
        <v>8090</v>
      </c>
      <c r="B2657" s="1077" t="s">
        <v>8043</v>
      </c>
      <c r="C2657" s="1077">
        <v>600</v>
      </c>
      <c r="D2657" s="1077">
        <v>1.7949999999999999</v>
      </c>
      <c r="E2657" s="1077" t="s">
        <v>15122</v>
      </c>
      <c r="F2657" s="1077" t="s">
        <v>984</v>
      </c>
      <c r="G2657" s="1077">
        <v>5</v>
      </c>
      <c r="H2657" s="1077" t="s">
        <v>5888</v>
      </c>
      <c r="I2657" s="1077" t="s">
        <v>7647</v>
      </c>
      <c r="J2657" s="1077">
        <v>3.2</v>
      </c>
      <c r="K2657" s="1077" t="s">
        <v>8079</v>
      </c>
      <c r="L2657" s="1077" t="s">
        <v>5556</v>
      </c>
      <c r="M2657" s="1077">
        <v>293</v>
      </c>
      <c r="N2657" s="1077" t="s">
        <v>945</v>
      </c>
      <c r="O2657" s="1077">
        <v>7.3250000000000002</v>
      </c>
      <c r="P2657" s="1077">
        <v>5.86</v>
      </c>
      <c r="Q2657" s="1077">
        <v>4</v>
      </c>
      <c r="R2657" s="1077" t="s">
        <v>8091</v>
      </c>
      <c r="T2657" s="1077">
        <v>27</v>
      </c>
      <c r="U2657" s="1077">
        <v>3.5</v>
      </c>
      <c r="V2657" s="1077" t="s">
        <v>648</v>
      </c>
      <c r="W2657" s="1077">
        <v>60</v>
      </c>
      <c r="X2657" s="1077">
        <v>10</v>
      </c>
      <c r="Y2657" s="1077">
        <v>1.2</v>
      </c>
      <c r="Z2657" s="1077" t="s">
        <v>648</v>
      </c>
      <c r="AA2657" s="1077" t="s">
        <v>4344</v>
      </c>
      <c r="AH2657" s="1077" t="s">
        <v>1588</v>
      </c>
      <c r="AM2657" s="1078" t="s">
        <v>14228</v>
      </c>
      <c r="AN2657" s="1078" t="s">
        <v>14229</v>
      </c>
      <c r="AO2657" s="1078">
        <f t="shared" si="334"/>
        <v>600</v>
      </c>
      <c r="AP2657" s="1078">
        <f t="shared" si="335"/>
        <v>1.7949999999999999</v>
      </c>
      <c r="AQ2657" s="1078" t="str">
        <f t="shared" si="336"/>
        <v>1-5-1S91°Z+S</v>
      </c>
      <c r="AR2657" s="1078" t="str">
        <f t="shared" si="337"/>
        <v>30</v>
      </c>
      <c r="AS2657" s="1078" t="str">
        <f t="shared" si="338"/>
        <v>340/340/OFF</v>
      </c>
      <c r="AT2657" s="1078" t="str">
        <f t="shared" si="339"/>
        <v>1-5-1S91°Z+S</v>
      </c>
      <c r="AU2657" s="1078" t="s">
        <v>15547</v>
      </c>
      <c r="AV2657" s="1078" t="str">
        <f t="shared" si="332"/>
        <v>111.6.30</v>
      </c>
      <c r="AW2657" s="1344">
        <f t="shared" si="333"/>
        <v>44742</v>
      </c>
    </row>
    <row r="2658" spans="1:49">
      <c r="A2658" s="1077" t="s">
        <v>8092</v>
      </c>
      <c r="B2658" s="1077" t="s">
        <v>7091</v>
      </c>
      <c r="C2658" s="1077">
        <v>500</v>
      </c>
      <c r="D2658" s="1077">
        <v>1.78</v>
      </c>
      <c r="E2658" s="1077">
        <v>102.5</v>
      </c>
      <c r="F2658" s="1077" t="s">
        <v>4070</v>
      </c>
      <c r="G2658" s="1077">
        <v>5</v>
      </c>
      <c r="H2658" s="1077" t="s">
        <v>8093</v>
      </c>
      <c r="I2658" s="1077" t="s">
        <v>7001</v>
      </c>
      <c r="J2658" s="1077">
        <v>3.7</v>
      </c>
      <c r="K2658" s="1077" t="s">
        <v>8094</v>
      </c>
      <c r="L2658" s="1077" t="s">
        <v>5152</v>
      </c>
      <c r="M2658" s="1077">
        <v>290</v>
      </c>
      <c r="N2658" s="1077" t="s">
        <v>945</v>
      </c>
      <c r="O2658" s="1077">
        <v>7.25</v>
      </c>
      <c r="P2658" s="1077">
        <v>5.8</v>
      </c>
      <c r="Q2658" s="1077">
        <v>4</v>
      </c>
      <c r="R2658" s="1077">
        <v>19.5</v>
      </c>
      <c r="T2658" s="1077">
        <v>29.3</v>
      </c>
      <c r="U2658" s="1077">
        <v>3.5</v>
      </c>
      <c r="V2658" s="1077" t="s">
        <v>648</v>
      </c>
      <c r="W2658" s="1077">
        <v>95</v>
      </c>
      <c r="X2658" s="1077">
        <v>20</v>
      </c>
      <c r="Y2658" s="1077">
        <v>1.5</v>
      </c>
      <c r="Z2658" s="1077" t="s">
        <v>648</v>
      </c>
      <c r="AA2658" s="1077" t="s">
        <v>1511</v>
      </c>
      <c r="AH2658" s="1077" t="s">
        <v>8095</v>
      </c>
      <c r="AM2658" s="1078" t="s">
        <v>14230</v>
      </c>
      <c r="AN2658" s="1078" t="s">
        <v>14231</v>
      </c>
      <c r="AO2658" s="1078">
        <f t="shared" si="334"/>
        <v>500</v>
      </c>
      <c r="AP2658" s="1078">
        <f t="shared" si="335"/>
        <v>1.78</v>
      </c>
      <c r="AQ2658" s="1078">
        <f t="shared" si="336"/>
        <v>102.5</v>
      </c>
      <c r="AR2658" s="1078" t="str">
        <f t="shared" si="337"/>
        <v>15.5</v>
      </c>
      <c r="AS2658" s="1078" t="str">
        <f t="shared" si="338"/>
        <v>465/425/OFF</v>
      </c>
      <c r="AT2658" s="1078">
        <f t="shared" si="339"/>
        <v>102.5</v>
      </c>
      <c r="AV2658" s="1078" t="str">
        <f t="shared" si="332"/>
        <v>111.7.1</v>
      </c>
      <c r="AW2658" s="1344">
        <f t="shared" si="333"/>
        <v>44743</v>
      </c>
    </row>
    <row r="2659" spans="1:49">
      <c r="A2659" s="1077" t="s">
        <v>8096</v>
      </c>
      <c r="B2659" s="1077" t="s">
        <v>6940</v>
      </c>
      <c r="C2659" s="1077">
        <v>500</v>
      </c>
      <c r="D2659" s="1077">
        <v>1.75</v>
      </c>
      <c r="E2659" s="1077" t="s">
        <v>15112</v>
      </c>
      <c r="F2659" s="1077" t="s">
        <v>984</v>
      </c>
      <c r="G2659" s="1077">
        <v>5</v>
      </c>
      <c r="H2659" s="1077" t="s">
        <v>955</v>
      </c>
      <c r="I2659" s="1077" t="s">
        <v>6988</v>
      </c>
      <c r="J2659" s="1077">
        <v>1</v>
      </c>
      <c r="K2659" s="1077" t="s">
        <v>7962</v>
      </c>
      <c r="L2659" s="1077" t="s">
        <v>4952</v>
      </c>
      <c r="M2659" s="1077">
        <v>308.39999999999998</v>
      </c>
      <c r="N2659" s="1077" t="s">
        <v>945</v>
      </c>
      <c r="O2659" s="1077">
        <v>7.71</v>
      </c>
      <c r="P2659" s="1077">
        <v>6.1679999999999993</v>
      </c>
      <c r="Q2659" s="1077">
        <v>2.8</v>
      </c>
      <c r="R2659" s="1077">
        <v>29.5</v>
      </c>
      <c r="T2659" s="1077">
        <v>14.5</v>
      </c>
      <c r="U2659" s="1077">
        <v>5</v>
      </c>
      <c r="V2659" s="1077" t="s">
        <v>648</v>
      </c>
      <c r="W2659" s="1077" t="s">
        <v>6990</v>
      </c>
      <c r="X2659" s="1077">
        <v>10</v>
      </c>
      <c r="Y2659" s="1077">
        <v>1.7</v>
      </c>
      <c r="Z2659" s="1077" t="s">
        <v>648</v>
      </c>
      <c r="AA2659" s="1077" t="s">
        <v>2304</v>
      </c>
      <c r="AH2659" s="1077" t="s">
        <v>1421</v>
      </c>
      <c r="AM2659" s="1078" t="s">
        <v>14232</v>
      </c>
      <c r="AN2659" s="1078" t="s">
        <v>14233</v>
      </c>
      <c r="AO2659" s="1078">
        <f t="shared" si="334"/>
        <v>500</v>
      </c>
      <c r="AP2659" s="1078">
        <f t="shared" si="335"/>
        <v>1.75</v>
      </c>
      <c r="AQ2659" s="1078" t="str">
        <f t="shared" si="336"/>
        <v>1-5-1S87°Z+S</v>
      </c>
      <c r="AR2659" s="1078" t="str">
        <f t="shared" si="337"/>
        <v>30</v>
      </c>
      <c r="AS2659" s="1078" t="str">
        <f t="shared" si="338"/>
        <v>260/260/OFF</v>
      </c>
      <c r="AT2659" s="1078" t="str">
        <f t="shared" si="339"/>
        <v>1-5-1S87°Z+S</v>
      </c>
      <c r="AU2659" s="1078" t="s">
        <v>15547</v>
      </c>
      <c r="AV2659" s="1078" t="str">
        <f t="shared" si="332"/>
        <v>111.7.4</v>
      </c>
      <c r="AW2659" s="1344">
        <f t="shared" si="333"/>
        <v>44746</v>
      </c>
    </row>
    <row r="2660" spans="1:49">
      <c r="A2660" s="1077" t="s">
        <v>8097</v>
      </c>
      <c r="B2660" s="1077" t="s">
        <v>7306</v>
      </c>
      <c r="C2660" s="1077">
        <v>600</v>
      </c>
      <c r="D2660" s="1077">
        <v>1.76</v>
      </c>
      <c r="E2660" s="1077" t="s">
        <v>15116</v>
      </c>
      <c r="F2660" s="1077" t="s">
        <v>2234</v>
      </c>
      <c r="G2660" s="1077">
        <v>3.5</v>
      </c>
      <c r="H2660" s="1077" t="s">
        <v>6952</v>
      </c>
      <c r="I2660" s="1077" t="s">
        <v>7150</v>
      </c>
      <c r="J2660" s="1077">
        <v>3</v>
      </c>
      <c r="K2660" s="1077" t="s">
        <v>7307</v>
      </c>
      <c r="L2660" s="1077" t="s">
        <v>7308</v>
      </c>
      <c r="M2660" s="1077">
        <v>310</v>
      </c>
      <c r="N2660" s="1077" t="s">
        <v>945</v>
      </c>
      <c r="O2660" s="1077">
        <v>7.75</v>
      </c>
      <c r="P2660" s="1077">
        <v>6.2</v>
      </c>
      <c r="Q2660" s="1077">
        <v>3.5</v>
      </c>
      <c r="R2660" s="1077">
        <v>22</v>
      </c>
      <c r="T2660" s="1077">
        <v>22</v>
      </c>
      <c r="U2660" s="1077">
        <v>3.5</v>
      </c>
      <c r="V2660" s="1077" t="s">
        <v>648</v>
      </c>
      <c r="W2660" s="1077">
        <v>110</v>
      </c>
      <c r="X2660" s="1077">
        <v>85</v>
      </c>
      <c r="Y2660" s="1077">
        <v>1</v>
      </c>
      <c r="Z2660" s="1077" t="s">
        <v>648</v>
      </c>
      <c r="AA2660" s="1077" t="s">
        <v>8098</v>
      </c>
      <c r="AH2660" s="1077" t="s">
        <v>862</v>
      </c>
      <c r="AM2660" s="1078" t="s">
        <v>14234</v>
      </c>
      <c r="AN2660" s="1078" t="s">
        <v>14235</v>
      </c>
      <c r="AO2660" s="1078">
        <f t="shared" si="334"/>
        <v>600</v>
      </c>
      <c r="AP2660" s="1078">
        <f t="shared" si="335"/>
        <v>1.76</v>
      </c>
      <c r="AQ2660" s="1078" t="str">
        <f t="shared" si="336"/>
        <v>1-5-1S83°Z+S</v>
      </c>
      <c r="AR2660" s="1078" t="str">
        <f t="shared" si="337"/>
        <v>33.5</v>
      </c>
      <c r="AS2660" s="1078" t="str">
        <f t="shared" si="338"/>
        <v>340/340/140</v>
      </c>
      <c r="AT2660" s="1078" t="str">
        <f t="shared" si="339"/>
        <v>1-5-1S83°Z+S</v>
      </c>
      <c r="AU2660" s="1078" t="s">
        <v>15547</v>
      </c>
      <c r="AV2660" s="1078" t="str">
        <f t="shared" si="332"/>
        <v>111.7.5</v>
      </c>
      <c r="AW2660" s="1344">
        <f t="shared" si="333"/>
        <v>44747</v>
      </c>
    </row>
    <row r="2661" spans="1:49">
      <c r="A2661" s="1077" t="s">
        <v>8099</v>
      </c>
      <c r="B2661" s="1077" t="s">
        <v>7261</v>
      </c>
      <c r="C2661" s="1077">
        <v>600</v>
      </c>
      <c r="D2661" s="1077">
        <v>1.8</v>
      </c>
      <c r="E2661" s="1077" t="s">
        <v>15116</v>
      </c>
      <c r="F2661" s="1077" t="s">
        <v>2234</v>
      </c>
      <c r="G2661" s="1077">
        <v>4</v>
      </c>
      <c r="H2661" s="1077" t="s">
        <v>7262</v>
      </c>
      <c r="I2661" s="1077" t="s">
        <v>6918</v>
      </c>
      <c r="K2661" s="1077" t="s">
        <v>8100</v>
      </c>
      <c r="L2661" s="1077" t="s">
        <v>7264</v>
      </c>
      <c r="M2661" s="1077">
        <v>307</v>
      </c>
      <c r="N2661" s="1077" t="s">
        <v>945</v>
      </c>
      <c r="O2661" s="1077">
        <v>7.6750000000000007</v>
      </c>
      <c r="P2661" s="1077">
        <v>6.1400000000000006</v>
      </c>
      <c r="Q2661" s="1077">
        <v>3.5</v>
      </c>
      <c r="R2661" s="1077">
        <v>27</v>
      </c>
      <c r="T2661" s="1077">
        <v>12</v>
      </c>
      <c r="U2661" s="1077">
        <v>2.2999999999999998</v>
      </c>
      <c r="V2661" s="1077" t="s">
        <v>648</v>
      </c>
      <c r="W2661" s="1077" t="s">
        <v>4947</v>
      </c>
      <c r="X2661" s="1077">
        <v>10</v>
      </c>
      <c r="Y2661" s="1077">
        <v>1.7</v>
      </c>
      <c r="Z2661" s="1077" t="s">
        <v>648</v>
      </c>
      <c r="AA2661" s="1077" t="s">
        <v>8101</v>
      </c>
      <c r="AH2661" s="1077" t="s">
        <v>722</v>
      </c>
      <c r="AM2661" s="1078" t="s">
        <v>14236</v>
      </c>
      <c r="AN2661" s="1078" t="s">
        <v>14237</v>
      </c>
      <c r="AO2661" s="1078">
        <f t="shared" si="334"/>
        <v>600</v>
      </c>
      <c r="AP2661" s="1078">
        <f t="shared" si="335"/>
        <v>1.8</v>
      </c>
      <c r="AQ2661" s="1078" t="str">
        <f t="shared" si="336"/>
        <v>1-5-1S83°Z+S</v>
      </c>
      <c r="AR2661" s="1078" t="str">
        <f t="shared" si="337"/>
        <v>33.5</v>
      </c>
      <c r="AS2661" s="1078" t="str">
        <f t="shared" si="338"/>
        <v>300/300/190</v>
      </c>
      <c r="AT2661" s="1078" t="str">
        <f t="shared" si="339"/>
        <v>1-5-1S83°Z+S</v>
      </c>
      <c r="AU2661" s="1078" t="s">
        <v>15547</v>
      </c>
      <c r="AV2661" s="1078" t="str">
        <f t="shared" si="332"/>
        <v>111.7.6</v>
      </c>
      <c r="AW2661" s="1344">
        <f t="shared" si="333"/>
        <v>44748</v>
      </c>
    </row>
    <row r="2662" spans="1:49">
      <c r="A2662" s="1077" t="s">
        <v>8102</v>
      </c>
      <c r="B2662" s="1077" t="s">
        <v>7091</v>
      </c>
      <c r="C2662" s="1077">
        <v>500</v>
      </c>
      <c r="D2662" s="1077">
        <v>1.78</v>
      </c>
      <c r="E2662" s="1077">
        <v>102.5</v>
      </c>
      <c r="F2662" s="1077" t="s">
        <v>4070</v>
      </c>
      <c r="G2662" s="1077">
        <v>5</v>
      </c>
      <c r="H2662" s="1077" t="s">
        <v>8093</v>
      </c>
      <c r="I2662" s="1077" t="s">
        <v>7001</v>
      </c>
      <c r="J2662" s="1077">
        <v>3.7</v>
      </c>
      <c r="K2662" s="1077" t="s">
        <v>8094</v>
      </c>
      <c r="L2662" s="1077" t="s">
        <v>5152</v>
      </c>
      <c r="M2662" s="1077">
        <v>290</v>
      </c>
      <c r="N2662" s="1077" t="s">
        <v>945</v>
      </c>
      <c r="O2662" s="1077">
        <v>7.25</v>
      </c>
      <c r="P2662" s="1077">
        <v>5.8</v>
      </c>
      <c r="Q2662" s="1077">
        <v>4</v>
      </c>
      <c r="R2662" s="1077">
        <v>19.5</v>
      </c>
      <c r="T2662" s="1077">
        <v>29.3</v>
      </c>
      <c r="U2662" s="1077">
        <v>3.5</v>
      </c>
      <c r="V2662" s="1077" t="s">
        <v>648</v>
      </c>
      <c r="W2662" s="1077">
        <v>95</v>
      </c>
      <c r="X2662" s="1077">
        <v>20</v>
      </c>
      <c r="Y2662" s="1077">
        <v>1.5</v>
      </c>
      <c r="Z2662" s="1077" t="s">
        <v>648</v>
      </c>
      <c r="AA2662" s="1077" t="s">
        <v>8101</v>
      </c>
      <c r="AH2662" s="1077" t="s">
        <v>1643</v>
      </c>
      <c r="AM2662" s="1078" t="s">
        <v>14238</v>
      </c>
      <c r="AN2662" s="1078" t="s">
        <v>14239</v>
      </c>
      <c r="AO2662" s="1078">
        <f t="shared" si="334"/>
        <v>500</v>
      </c>
      <c r="AP2662" s="1078">
        <f t="shared" si="335"/>
        <v>1.78</v>
      </c>
      <c r="AQ2662" s="1078">
        <f t="shared" si="336"/>
        <v>102.5</v>
      </c>
      <c r="AR2662" s="1078" t="str">
        <f t="shared" si="337"/>
        <v>15.5</v>
      </c>
      <c r="AS2662" s="1078" t="str">
        <f t="shared" si="338"/>
        <v>465/425/OFF</v>
      </c>
      <c r="AT2662" s="1078">
        <f t="shared" si="339"/>
        <v>102.5</v>
      </c>
      <c r="AV2662" s="1078" t="str">
        <f t="shared" si="332"/>
        <v>111.7.6</v>
      </c>
      <c r="AW2662" s="1344">
        <f t="shared" si="333"/>
        <v>44748</v>
      </c>
    </row>
    <row r="2663" spans="1:49">
      <c r="A2663" s="1077" t="s">
        <v>8103</v>
      </c>
      <c r="B2663" s="1077" t="s">
        <v>8104</v>
      </c>
      <c r="C2663" s="1077">
        <v>600</v>
      </c>
      <c r="D2663" s="1077">
        <v>1.77</v>
      </c>
      <c r="E2663" s="1077" t="s">
        <v>15116</v>
      </c>
      <c r="F2663" s="1077" t="s">
        <v>2234</v>
      </c>
      <c r="G2663" s="1077">
        <v>5</v>
      </c>
      <c r="H2663" s="1077" t="s">
        <v>6952</v>
      </c>
      <c r="I2663" s="1077" t="s">
        <v>6953</v>
      </c>
      <c r="K2663" s="1077" t="s">
        <v>8105</v>
      </c>
      <c r="L2663" s="1077" t="s">
        <v>8106</v>
      </c>
      <c r="M2663" s="1077">
        <v>303</v>
      </c>
      <c r="N2663" s="1077" t="s">
        <v>945</v>
      </c>
      <c r="O2663" s="1077">
        <v>7.5750000000000002</v>
      </c>
      <c r="P2663" s="1077">
        <v>6.0600000000000005</v>
      </c>
      <c r="Q2663" s="1077">
        <v>3.5</v>
      </c>
      <c r="R2663" s="1077">
        <v>22</v>
      </c>
      <c r="T2663" s="1077">
        <v>23</v>
      </c>
      <c r="U2663" s="1077">
        <v>3.2</v>
      </c>
      <c r="V2663" s="1077" t="s">
        <v>648</v>
      </c>
      <c r="W2663" s="1077">
        <v>115</v>
      </c>
      <c r="X2663" s="1077">
        <v>85</v>
      </c>
      <c r="Y2663" s="1077">
        <v>1.2</v>
      </c>
      <c r="Z2663" s="1077" t="s">
        <v>648</v>
      </c>
      <c r="AA2663" s="1077" t="s">
        <v>5698</v>
      </c>
      <c r="AH2663" s="1077" t="s">
        <v>456</v>
      </c>
      <c r="AM2663" s="1078" t="s">
        <v>14240</v>
      </c>
      <c r="AN2663" s="1078" t="s">
        <v>14241</v>
      </c>
      <c r="AO2663" s="1078">
        <f t="shared" si="334"/>
        <v>600</v>
      </c>
      <c r="AP2663" s="1078">
        <f t="shared" si="335"/>
        <v>1.77</v>
      </c>
      <c r="AQ2663" s="1078" t="str">
        <f t="shared" si="336"/>
        <v>1-5-1S83°Z+S</v>
      </c>
      <c r="AR2663" s="1078" t="str">
        <f t="shared" si="337"/>
        <v>33.5</v>
      </c>
      <c r="AS2663" s="1078" t="str">
        <f t="shared" si="338"/>
        <v>340/340/140</v>
      </c>
      <c r="AT2663" s="1078" t="str">
        <f t="shared" si="339"/>
        <v>1-5-1S83°Z+S</v>
      </c>
      <c r="AU2663" s="1078" t="s">
        <v>15547</v>
      </c>
      <c r="AV2663" s="1078" t="str">
        <f t="shared" si="332"/>
        <v>111.7.7</v>
      </c>
      <c r="AW2663" s="1344">
        <f t="shared" si="333"/>
        <v>44749</v>
      </c>
    </row>
    <row r="2664" spans="1:49">
      <c r="A2664" s="1077" t="s">
        <v>8107</v>
      </c>
      <c r="B2664" s="1077" t="s">
        <v>7214</v>
      </c>
      <c r="C2664" s="1077">
        <v>500</v>
      </c>
      <c r="D2664" s="1077">
        <v>1.77</v>
      </c>
      <c r="E2664" s="1077" t="s">
        <v>15121</v>
      </c>
      <c r="F2664" s="1077" t="s">
        <v>648</v>
      </c>
      <c r="G2664" s="1077">
        <v>5</v>
      </c>
      <c r="H2664" s="1077" t="s">
        <v>2941</v>
      </c>
      <c r="I2664" s="1077" t="s">
        <v>7496</v>
      </c>
      <c r="J2664" s="1077">
        <v>3.7</v>
      </c>
      <c r="K2664" s="1077" t="s">
        <v>7640</v>
      </c>
      <c r="L2664" s="1077" t="s">
        <v>6043</v>
      </c>
      <c r="M2664" s="1077">
        <v>302.8</v>
      </c>
      <c r="N2664" s="1077" t="s">
        <v>945</v>
      </c>
      <c r="O2664" s="1077">
        <v>7.57</v>
      </c>
      <c r="P2664" s="1077">
        <v>6.056</v>
      </c>
      <c r="Q2664" s="1077">
        <v>3.5</v>
      </c>
      <c r="R2664" s="1077">
        <v>18</v>
      </c>
      <c r="T2664" s="1077">
        <v>30</v>
      </c>
      <c r="U2664" s="1077">
        <v>3.4</v>
      </c>
      <c r="V2664" s="1077" t="s">
        <v>648</v>
      </c>
      <c r="W2664" s="1077">
        <v>110</v>
      </c>
      <c r="X2664" s="1077">
        <v>40</v>
      </c>
      <c r="Y2664" s="1077">
        <v>1</v>
      </c>
      <c r="Z2664" s="1077" t="s">
        <v>648</v>
      </c>
      <c r="AA2664" s="1077" t="s">
        <v>8108</v>
      </c>
      <c r="AH2664" s="1077" t="s">
        <v>868</v>
      </c>
      <c r="AM2664" s="1078" t="s">
        <v>14242</v>
      </c>
      <c r="AN2664" s="1078" t="s">
        <v>14243</v>
      </c>
      <c r="AO2664" s="1078">
        <f t="shared" si="334"/>
        <v>500</v>
      </c>
      <c r="AP2664" s="1078">
        <f t="shared" si="335"/>
        <v>1.77</v>
      </c>
      <c r="AQ2664" s="1078" t="str">
        <f t="shared" si="336"/>
        <v>1-5-1S85°S+Z</v>
      </c>
      <c r="AR2664" s="1078" t="str">
        <f t="shared" si="337"/>
        <v>NA</v>
      </c>
      <c r="AS2664" s="1078" t="str">
        <f t="shared" si="338"/>
        <v>190/OFF</v>
      </c>
      <c r="AT2664" s="1078" t="str">
        <f t="shared" si="339"/>
        <v>1-5-1S85°S+Z</v>
      </c>
      <c r="AU2664" s="1078" t="s">
        <v>15550</v>
      </c>
      <c r="AV2664" s="1078" t="str">
        <f t="shared" si="332"/>
        <v>111.7.14</v>
      </c>
      <c r="AW2664" s="1344">
        <f t="shared" si="333"/>
        <v>44756</v>
      </c>
    </row>
    <row r="2665" spans="1:49">
      <c r="A2665" s="1077" t="s">
        <v>8109</v>
      </c>
      <c r="B2665" s="1077" t="s">
        <v>7114</v>
      </c>
      <c r="C2665" s="1077">
        <v>550</v>
      </c>
      <c r="D2665" s="1077">
        <v>1.7350000000000001</v>
      </c>
      <c r="E2665" s="1077">
        <v>102.5</v>
      </c>
      <c r="F2665" s="1077" t="s">
        <v>5134</v>
      </c>
      <c r="G2665" s="1077">
        <v>5</v>
      </c>
      <c r="H2665" s="1077" t="s">
        <v>7476</v>
      </c>
      <c r="I2665" s="1077" t="s">
        <v>8110</v>
      </c>
      <c r="J2665" s="1077">
        <v>3</v>
      </c>
      <c r="K2665" s="1077" t="s">
        <v>8111</v>
      </c>
      <c r="L2665" s="1077" t="s">
        <v>4854</v>
      </c>
      <c r="M2665" s="1077">
        <v>300.7</v>
      </c>
      <c r="N2665" s="1077" t="s">
        <v>945</v>
      </c>
      <c r="O2665" s="1077">
        <v>7.5175000000000001</v>
      </c>
      <c r="P2665" s="1077">
        <v>6.0140000000000002</v>
      </c>
      <c r="Q2665" s="1077">
        <v>3</v>
      </c>
      <c r="R2665" s="1077">
        <v>28.5</v>
      </c>
      <c r="T2665" s="1077">
        <v>14.7</v>
      </c>
      <c r="U2665" s="1077">
        <v>6.1</v>
      </c>
      <c r="V2665" s="1077" t="s">
        <v>648</v>
      </c>
      <c r="W2665" s="1077">
        <v>115</v>
      </c>
      <c r="X2665" s="1077">
        <v>45</v>
      </c>
      <c r="Y2665" s="1077">
        <v>1.5</v>
      </c>
      <c r="Z2665" s="1077" t="s">
        <v>648</v>
      </c>
      <c r="AA2665" s="1077" t="s">
        <v>8112</v>
      </c>
      <c r="AH2665" s="1077" t="s">
        <v>2384</v>
      </c>
      <c r="AM2665" s="1078" t="s">
        <v>14244</v>
      </c>
      <c r="AN2665" s="1078" t="s">
        <v>14245</v>
      </c>
      <c r="AO2665" s="1078">
        <f t="shared" si="334"/>
        <v>550</v>
      </c>
      <c r="AP2665" s="1078">
        <f t="shared" si="335"/>
        <v>1.7350000000000001</v>
      </c>
      <c r="AQ2665" s="1078">
        <f t="shared" si="336"/>
        <v>102.5</v>
      </c>
      <c r="AR2665" s="1078" t="str">
        <f t="shared" si="337"/>
        <v>15.6</v>
      </c>
      <c r="AS2665" s="1078" t="str">
        <f t="shared" si="338"/>
        <v>350/365/OFF</v>
      </c>
      <c r="AT2665" s="1078">
        <f t="shared" si="339"/>
        <v>102.5</v>
      </c>
      <c r="AV2665" s="1078" t="str">
        <f t="shared" si="332"/>
        <v>111.7.21</v>
      </c>
      <c r="AW2665" s="1344">
        <f t="shared" si="333"/>
        <v>44763</v>
      </c>
    </row>
    <row r="2666" spans="1:49">
      <c r="A2666" s="1077" t="s">
        <v>8113</v>
      </c>
      <c r="B2666" s="1077" t="s">
        <v>7068</v>
      </c>
      <c r="C2666" s="1077">
        <v>450</v>
      </c>
      <c r="D2666" s="1077">
        <v>1.78</v>
      </c>
      <c r="E2666" s="1077" t="s">
        <v>15127</v>
      </c>
      <c r="F2666" s="1077" t="s">
        <v>984</v>
      </c>
      <c r="G2666" s="1077">
        <v>5</v>
      </c>
      <c r="H2666" s="1077" t="s">
        <v>7758</v>
      </c>
      <c r="I2666" s="1077" t="s">
        <v>7137</v>
      </c>
      <c r="K2666" s="1077" t="s">
        <v>8114</v>
      </c>
      <c r="L2666" s="1077" t="s">
        <v>5037</v>
      </c>
      <c r="M2666" s="1077">
        <v>296.2</v>
      </c>
      <c r="N2666" s="1077" t="s">
        <v>945</v>
      </c>
      <c r="O2666" s="1077">
        <v>7.4050000000000002</v>
      </c>
      <c r="P2666" s="1077">
        <v>5.9239999999999995</v>
      </c>
      <c r="Q2666" s="1077">
        <v>3.5</v>
      </c>
      <c r="R2666" s="1077">
        <v>20.100000000000001</v>
      </c>
      <c r="T2666" s="1077">
        <v>20.399999999999999</v>
      </c>
      <c r="U2666" s="1077">
        <v>4</v>
      </c>
      <c r="V2666" s="1077" t="s">
        <v>648</v>
      </c>
      <c r="W2666" s="1077">
        <v>125</v>
      </c>
      <c r="X2666" s="1077">
        <v>40</v>
      </c>
      <c r="Y2666" s="1077">
        <v>1.6</v>
      </c>
      <c r="Z2666" s="1077">
        <v>7</v>
      </c>
      <c r="AA2666" s="1077" t="s">
        <v>8112</v>
      </c>
      <c r="AH2666" s="1077" t="s">
        <v>875</v>
      </c>
      <c r="AM2666" s="1078" t="s">
        <v>14246</v>
      </c>
      <c r="AN2666" s="1078" t="s">
        <v>14247</v>
      </c>
      <c r="AO2666" s="1078">
        <f t="shared" si="334"/>
        <v>450</v>
      </c>
      <c r="AP2666" s="1078">
        <f t="shared" si="335"/>
        <v>1.78</v>
      </c>
      <c r="AQ2666" s="1078" t="str">
        <f t="shared" si="336"/>
        <v>1-5-1S87°Z+Z</v>
      </c>
      <c r="AR2666" s="1078" t="str">
        <f t="shared" si="337"/>
        <v>30</v>
      </c>
      <c r="AS2666" s="1078" t="str">
        <f t="shared" si="338"/>
        <v>290/290/140</v>
      </c>
      <c r="AT2666" s="1078" t="str">
        <f t="shared" si="339"/>
        <v>1-5-1S87°Z+Z</v>
      </c>
      <c r="AU2666" s="1078" t="s">
        <v>15551</v>
      </c>
      <c r="AV2666" s="1078" t="str">
        <f t="shared" si="332"/>
        <v>111.7.21</v>
      </c>
      <c r="AW2666" s="1344">
        <f t="shared" si="333"/>
        <v>44763</v>
      </c>
    </row>
    <row r="2667" spans="1:49">
      <c r="A2667" s="1077" t="s">
        <v>8115</v>
      </c>
      <c r="B2667" s="1077" t="s">
        <v>7068</v>
      </c>
      <c r="C2667" s="1077">
        <v>450</v>
      </c>
      <c r="D2667" s="1077">
        <v>1.79</v>
      </c>
      <c r="E2667" s="1077" t="s">
        <v>15112</v>
      </c>
      <c r="F2667" s="1077" t="s">
        <v>975</v>
      </c>
      <c r="G2667" s="1077">
        <v>5</v>
      </c>
      <c r="H2667" s="1077" t="s">
        <v>1806</v>
      </c>
      <c r="I2667" s="1077" t="s">
        <v>6909</v>
      </c>
      <c r="K2667" s="1077" t="s">
        <v>8066</v>
      </c>
      <c r="L2667" s="1077" t="s">
        <v>5037</v>
      </c>
      <c r="M2667" s="1077">
        <v>293.2</v>
      </c>
      <c r="N2667" s="1077" t="s">
        <v>945</v>
      </c>
      <c r="O2667" s="1077">
        <v>7.33</v>
      </c>
      <c r="P2667" s="1077">
        <v>5.8639999999999999</v>
      </c>
      <c r="Q2667" s="1077">
        <v>3.5</v>
      </c>
      <c r="R2667" s="1077">
        <v>21</v>
      </c>
      <c r="T2667" s="1077">
        <v>25</v>
      </c>
      <c r="U2667" s="1077">
        <v>4.2</v>
      </c>
      <c r="V2667" s="1077" t="s">
        <v>648</v>
      </c>
      <c r="W2667" s="1077">
        <v>110</v>
      </c>
      <c r="X2667" s="1077">
        <v>20</v>
      </c>
      <c r="Y2667" s="1077">
        <v>1.6</v>
      </c>
      <c r="Z2667" s="1077" t="s">
        <v>648</v>
      </c>
      <c r="AA2667" s="1077" t="s">
        <v>8116</v>
      </c>
      <c r="AH2667" s="1077" t="s">
        <v>877</v>
      </c>
      <c r="AM2667" s="1078" t="s">
        <v>14248</v>
      </c>
      <c r="AN2667" s="1078" t="s">
        <v>14249</v>
      </c>
      <c r="AO2667" s="1078">
        <f t="shared" si="334"/>
        <v>450</v>
      </c>
      <c r="AP2667" s="1078">
        <f t="shared" si="335"/>
        <v>1.79</v>
      </c>
      <c r="AQ2667" s="1078" t="str">
        <f t="shared" si="336"/>
        <v>1-5-1S87°Z+S</v>
      </c>
      <c r="AR2667" s="1078" t="str">
        <f t="shared" si="337"/>
        <v>31.5</v>
      </c>
      <c r="AS2667" s="1078" t="str">
        <f t="shared" si="338"/>
        <v>280/280/OFF</v>
      </c>
      <c r="AT2667" s="1078" t="str">
        <f t="shared" si="339"/>
        <v>1-5-1S87°Z+S</v>
      </c>
      <c r="AU2667" s="1078" t="s">
        <v>15547</v>
      </c>
      <c r="AV2667" s="1078" t="str">
        <f t="shared" si="332"/>
        <v>111.7.28</v>
      </c>
      <c r="AW2667" s="1344">
        <f t="shared" si="333"/>
        <v>44770</v>
      </c>
    </row>
    <row r="2668" spans="1:49">
      <c r="A2668" s="1077" t="s">
        <v>8117</v>
      </c>
      <c r="B2668" s="1077" t="s">
        <v>7214</v>
      </c>
      <c r="C2668" s="1077">
        <v>500</v>
      </c>
      <c r="D2668" s="1077">
        <v>1.7709999999999999</v>
      </c>
      <c r="E2668" s="1077" t="s">
        <v>15109</v>
      </c>
      <c r="F2668" s="1077" t="s">
        <v>648</v>
      </c>
      <c r="G2668" s="1077">
        <v>5</v>
      </c>
      <c r="H2668" s="1077" t="s">
        <v>2819</v>
      </c>
      <c r="I2668" s="1077" t="s">
        <v>6929</v>
      </c>
      <c r="J2668" s="1077">
        <v>3</v>
      </c>
      <c r="K2668" s="1077" t="s">
        <v>7640</v>
      </c>
      <c r="L2668" s="1077" t="s">
        <v>6043</v>
      </c>
      <c r="M2668" s="1077">
        <v>302.8</v>
      </c>
      <c r="N2668" s="1077" t="s">
        <v>945</v>
      </c>
      <c r="O2668" s="1077">
        <v>7.57</v>
      </c>
      <c r="P2668" s="1077">
        <v>6.056</v>
      </c>
      <c r="Q2668" s="1077">
        <v>4</v>
      </c>
      <c r="R2668" s="1077">
        <v>19</v>
      </c>
      <c r="T2668" s="1077">
        <v>27</v>
      </c>
      <c r="U2668" s="1077">
        <v>3.5</v>
      </c>
      <c r="V2668" s="1077" t="s">
        <v>648</v>
      </c>
      <c r="W2668" s="1077">
        <v>135</v>
      </c>
      <c r="X2668" s="1077">
        <v>90</v>
      </c>
      <c r="Y2668" s="1077">
        <v>1.4</v>
      </c>
      <c r="Z2668" s="1077" t="s">
        <v>648</v>
      </c>
      <c r="AA2668" s="1077" t="s">
        <v>4354</v>
      </c>
      <c r="AH2668" s="1077" t="s">
        <v>8118</v>
      </c>
      <c r="AM2668" s="1078" t="s">
        <v>14250</v>
      </c>
      <c r="AN2668" s="1078" t="s">
        <v>14251</v>
      </c>
      <c r="AO2668" s="1078">
        <f t="shared" si="334"/>
        <v>500</v>
      </c>
      <c r="AP2668" s="1078">
        <f t="shared" si="335"/>
        <v>1.7709999999999999</v>
      </c>
      <c r="AQ2668" s="1078" t="str">
        <f t="shared" si="336"/>
        <v>1-5-1S85°Z+S</v>
      </c>
      <c r="AR2668" s="1078" t="str">
        <f t="shared" si="337"/>
        <v>NA</v>
      </c>
      <c r="AS2668" s="1078" t="str">
        <f t="shared" si="338"/>
        <v>186/OFF</v>
      </c>
      <c r="AT2668" s="1078" t="str">
        <f t="shared" si="339"/>
        <v>1-5-1S85°Z+S</v>
      </c>
      <c r="AU2668" s="1078" t="s">
        <v>15547</v>
      </c>
      <c r="AV2668" s="1078" t="str">
        <f t="shared" si="332"/>
        <v>111.7.20</v>
      </c>
      <c r="AW2668" s="1344">
        <f t="shared" si="333"/>
        <v>44762</v>
      </c>
    </row>
    <row r="2669" spans="1:49">
      <c r="A2669" s="1077" t="s">
        <v>8119</v>
      </c>
      <c r="B2669" s="1077" t="s">
        <v>7894</v>
      </c>
      <c r="C2669" s="1077">
        <v>500</v>
      </c>
      <c r="D2669" s="1077">
        <v>1.78</v>
      </c>
      <c r="E2669" s="1077" t="s">
        <v>15116</v>
      </c>
      <c r="F2669" s="1077" t="s">
        <v>2234</v>
      </c>
      <c r="G2669" s="1077">
        <v>5</v>
      </c>
      <c r="H2669" s="1077" t="s">
        <v>1806</v>
      </c>
      <c r="I2669" s="1077" t="s">
        <v>8120</v>
      </c>
      <c r="J2669" s="1077">
        <v>3</v>
      </c>
      <c r="K2669" s="1077" t="s">
        <v>8121</v>
      </c>
      <c r="L2669" s="1077" t="s">
        <v>7896</v>
      </c>
      <c r="M2669" s="1077">
        <v>300.8</v>
      </c>
      <c r="N2669" s="1077" t="s">
        <v>945</v>
      </c>
      <c r="O2669" s="1077">
        <v>7.5200000000000005</v>
      </c>
      <c r="P2669" s="1077">
        <v>6.016</v>
      </c>
      <c r="Q2669" s="1077">
        <v>3.5</v>
      </c>
      <c r="R2669" s="1077">
        <v>21</v>
      </c>
      <c r="T2669" s="1077">
        <v>25</v>
      </c>
      <c r="U2669" s="1077">
        <v>4.2</v>
      </c>
      <c r="V2669" s="1077" t="s">
        <v>648</v>
      </c>
      <c r="W2669" s="1077">
        <v>110</v>
      </c>
      <c r="X2669" s="1077">
        <v>20</v>
      </c>
      <c r="Y2669" s="1077">
        <v>1.2</v>
      </c>
      <c r="Z2669" s="1077" t="s">
        <v>648</v>
      </c>
      <c r="AA2669" s="1077" t="s">
        <v>2317</v>
      </c>
      <c r="AH2669" s="1077" t="s">
        <v>1186</v>
      </c>
      <c r="AM2669" s="1078" t="s">
        <v>14252</v>
      </c>
      <c r="AN2669" s="1078" t="s">
        <v>14253</v>
      </c>
      <c r="AO2669" s="1078">
        <f t="shared" si="334"/>
        <v>500</v>
      </c>
      <c r="AP2669" s="1078">
        <f t="shared" si="335"/>
        <v>1.78</v>
      </c>
      <c r="AQ2669" s="1078" t="str">
        <f t="shared" si="336"/>
        <v>1-5-1S83°Z+S</v>
      </c>
      <c r="AR2669" s="1078" t="str">
        <f t="shared" si="337"/>
        <v>33.5</v>
      </c>
      <c r="AS2669" s="1078" t="str">
        <f t="shared" si="338"/>
        <v>280/280/OFF</v>
      </c>
      <c r="AT2669" s="1078" t="str">
        <f t="shared" si="339"/>
        <v>1-5-1S83°Z+S</v>
      </c>
      <c r="AU2669" s="1078" t="s">
        <v>15547</v>
      </c>
      <c r="AV2669" s="1078" t="str">
        <f t="shared" si="332"/>
        <v>111.7.25</v>
      </c>
      <c r="AW2669" s="1344">
        <f t="shared" si="333"/>
        <v>44767</v>
      </c>
    </row>
    <row r="2670" spans="1:49">
      <c r="A2670" s="1077" t="s">
        <v>8122</v>
      </c>
      <c r="B2670" s="1077" t="s">
        <v>663</v>
      </c>
      <c r="C2670" s="1077">
        <v>500</v>
      </c>
      <c r="D2670" s="1077">
        <v>1.78</v>
      </c>
      <c r="E2670" s="1077">
        <v>102.5</v>
      </c>
      <c r="F2670" s="1077" t="s">
        <v>4070</v>
      </c>
      <c r="G2670" s="1077">
        <v>5.5</v>
      </c>
      <c r="H2670" s="1077" t="s">
        <v>7484</v>
      </c>
      <c r="I2670" s="1077" t="s">
        <v>7459</v>
      </c>
      <c r="K2670" s="1077" t="s">
        <v>8123</v>
      </c>
      <c r="L2670" s="1077" t="s">
        <v>4907</v>
      </c>
      <c r="M2670" s="1077">
        <v>296.39999999999998</v>
      </c>
      <c r="N2670" s="1077" t="s">
        <v>945</v>
      </c>
      <c r="O2670" s="1077">
        <v>7.41</v>
      </c>
      <c r="P2670" s="1077">
        <v>5.9279999999999999</v>
      </c>
      <c r="Q2670" s="1077">
        <v>3.5</v>
      </c>
      <c r="R2670" s="1077">
        <v>17</v>
      </c>
      <c r="T2670" s="1077">
        <v>10.5</v>
      </c>
      <c r="U2670" s="1077">
        <v>6.1</v>
      </c>
      <c r="V2670" s="1077" t="s">
        <v>648</v>
      </c>
      <c r="W2670" s="1077">
        <v>120</v>
      </c>
      <c r="X2670" s="1077">
        <v>90</v>
      </c>
      <c r="Y2670" s="1077">
        <v>1.1000000000000001</v>
      </c>
      <c r="Z2670" s="1077" t="s">
        <v>648</v>
      </c>
      <c r="AA2670" s="1077" t="s">
        <v>2317</v>
      </c>
      <c r="AH2670" s="1077" t="s">
        <v>870</v>
      </c>
      <c r="AM2670" s="1078" t="s">
        <v>14254</v>
      </c>
      <c r="AN2670" s="1078" t="s">
        <v>14255</v>
      </c>
      <c r="AO2670" s="1078">
        <f t="shared" si="334"/>
        <v>500</v>
      </c>
      <c r="AP2670" s="1078">
        <f t="shared" si="335"/>
        <v>1.78</v>
      </c>
      <c r="AQ2670" s="1078">
        <f t="shared" si="336"/>
        <v>102.5</v>
      </c>
      <c r="AR2670" s="1078" t="str">
        <f t="shared" si="337"/>
        <v>15.5</v>
      </c>
      <c r="AS2670" s="1078" t="str">
        <f t="shared" si="338"/>
        <v>355/340/153</v>
      </c>
      <c r="AT2670" s="1078">
        <f t="shared" si="339"/>
        <v>102.5</v>
      </c>
      <c r="AV2670" s="1078" t="str">
        <f t="shared" si="332"/>
        <v>111.7.25</v>
      </c>
      <c r="AW2670" s="1344">
        <f t="shared" si="333"/>
        <v>44767</v>
      </c>
    </row>
    <row r="2671" spans="1:49">
      <c r="A2671" s="1077" t="s">
        <v>8124</v>
      </c>
      <c r="B2671" s="1077" t="s">
        <v>855</v>
      </c>
      <c r="C2671" s="1077">
        <v>600</v>
      </c>
      <c r="D2671" s="1077">
        <v>1.75</v>
      </c>
      <c r="E2671" s="1077" t="s">
        <v>15109</v>
      </c>
      <c r="F2671" s="1077" t="s">
        <v>648</v>
      </c>
      <c r="G2671" s="1077">
        <v>5.5</v>
      </c>
      <c r="H2671" s="1077" t="s">
        <v>941</v>
      </c>
      <c r="I2671" s="1077" t="s">
        <v>6929</v>
      </c>
      <c r="K2671" s="1077" t="s">
        <v>8125</v>
      </c>
      <c r="L2671" s="1077" t="s">
        <v>7424</v>
      </c>
      <c r="M2671" s="1077">
        <v>295</v>
      </c>
      <c r="N2671" s="1077" t="s">
        <v>945</v>
      </c>
      <c r="O2671" s="1077">
        <v>7.375</v>
      </c>
      <c r="P2671" s="1077">
        <v>5.9</v>
      </c>
      <c r="Q2671" s="1077">
        <v>4</v>
      </c>
      <c r="R2671" s="1077">
        <v>19</v>
      </c>
      <c r="T2671" s="1077">
        <v>27.8</v>
      </c>
      <c r="U2671" s="1077">
        <v>3.9</v>
      </c>
      <c r="V2671" s="1077" t="s">
        <v>648</v>
      </c>
      <c r="W2671" s="1077">
        <v>125</v>
      </c>
      <c r="X2671" s="1077">
        <v>90</v>
      </c>
      <c r="Y2671" s="1077">
        <v>1.5</v>
      </c>
      <c r="Z2671" s="1077" t="s">
        <v>648</v>
      </c>
      <c r="AA2671" s="1077" t="s">
        <v>8126</v>
      </c>
      <c r="AH2671" s="1077" t="s">
        <v>1023</v>
      </c>
      <c r="AM2671" s="1078" t="s">
        <v>14256</v>
      </c>
      <c r="AN2671" s="1078" t="s">
        <v>14257</v>
      </c>
      <c r="AO2671" s="1078">
        <f t="shared" si="334"/>
        <v>600</v>
      </c>
      <c r="AP2671" s="1078">
        <f t="shared" si="335"/>
        <v>1.75</v>
      </c>
      <c r="AQ2671" s="1078" t="str">
        <f t="shared" si="336"/>
        <v>1-5-1S85°Z+S</v>
      </c>
      <c r="AR2671" s="1078" t="str">
        <f t="shared" si="337"/>
        <v>NA</v>
      </c>
      <c r="AS2671" s="1078" t="str">
        <f t="shared" si="338"/>
        <v>185/OFF</v>
      </c>
      <c r="AT2671" s="1078" t="str">
        <f t="shared" si="339"/>
        <v>1-5-1S85°Z+S</v>
      </c>
      <c r="AU2671" s="1078" t="s">
        <v>15547</v>
      </c>
      <c r="AV2671" s="1078" t="str">
        <f t="shared" si="332"/>
        <v>111.7.26</v>
      </c>
      <c r="AW2671" s="1344">
        <f t="shared" si="333"/>
        <v>44768</v>
      </c>
    </row>
    <row r="2672" spans="1:49">
      <c r="A2672" s="1077" t="s">
        <v>8127</v>
      </c>
      <c r="B2672" s="1077" t="s">
        <v>663</v>
      </c>
      <c r="C2672" s="1077">
        <v>550</v>
      </c>
      <c r="D2672" s="1077">
        <v>1.76</v>
      </c>
      <c r="E2672" s="1077">
        <v>102.5</v>
      </c>
      <c r="F2672" s="1077" t="s">
        <v>4070</v>
      </c>
      <c r="G2672" s="1077">
        <v>5.5</v>
      </c>
      <c r="H2672" s="1077" t="s">
        <v>8128</v>
      </c>
      <c r="I2672" s="1077" t="s">
        <v>7800</v>
      </c>
      <c r="K2672" s="1077" t="s">
        <v>8129</v>
      </c>
      <c r="L2672" s="1077" t="s">
        <v>4907</v>
      </c>
      <c r="M2672" s="1077">
        <v>296.39999999999998</v>
      </c>
      <c r="N2672" s="1077" t="s">
        <v>945</v>
      </c>
      <c r="O2672" s="1077">
        <v>7.41</v>
      </c>
      <c r="P2672" s="1077">
        <v>5.9279999999999999</v>
      </c>
      <c r="Q2672" s="1077">
        <v>3.5</v>
      </c>
      <c r="R2672" s="1077">
        <v>20</v>
      </c>
      <c r="T2672" s="1077">
        <v>14.7</v>
      </c>
      <c r="U2672" s="1077">
        <v>5.5</v>
      </c>
      <c r="V2672" s="1077" t="s">
        <v>648</v>
      </c>
      <c r="W2672" s="1077">
        <v>70</v>
      </c>
      <c r="X2672" s="1077">
        <v>10</v>
      </c>
      <c r="Y2672" s="1077">
        <v>1.1000000000000001</v>
      </c>
      <c r="Z2672" s="1077" t="s">
        <v>648</v>
      </c>
      <c r="AA2672" s="1077" t="s">
        <v>2330</v>
      </c>
      <c r="AH2672" s="1077" t="s">
        <v>862</v>
      </c>
      <c r="AM2672" s="1078" t="s">
        <v>14258</v>
      </c>
      <c r="AN2672" s="1078" t="s">
        <v>14259</v>
      </c>
      <c r="AO2672" s="1078">
        <f t="shared" si="334"/>
        <v>550</v>
      </c>
      <c r="AP2672" s="1078">
        <f t="shared" si="335"/>
        <v>1.76</v>
      </c>
      <c r="AQ2672" s="1078">
        <f t="shared" si="336"/>
        <v>102.5</v>
      </c>
      <c r="AR2672" s="1078" t="str">
        <f t="shared" si="337"/>
        <v>15.5</v>
      </c>
      <c r="AS2672" s="1078" t="str">
        <f t="shared" si="338"/>
        <v>365/355/153</v>
      </c>
      <c r="AT2672" s="1078">
        <f t="shared" si="339"/>
        <v>102.5</v>
      </c>
      <c r="AV2672" s="1078" t="str">
        <f t="shared" si="332"/>
        <v>111.8.1</v>
      </c>
      <c r="AW2672" s="1344">
        <f t="shared" si="333"/>
        <v>44774</v>
      </c>
    </row>
    <row r="2673" spans="1:49">
      <c r="A2673" s="1077" t="s">
        <v>8130</v>
      </c>
      <c r="B2673" s="1077" t="s">
        <v>7114</v>
      </c>
      <c r="C2673" s="1077">
        <v>550</v>
      </c>
      <c r="D2673" s="1077">
        <v>1.7350000000000001</v>
      </c>
      <c r="E2673" s="1077">
        <v>102.5</v>
      </c>
      <c r="F2673" s="1077" t="s">
        <v>5134</v>
      </c>
      <c r="G2673" s="1077">
        <v>5</v>
      </c>
      <c r="H2673" s="1077" t="s">
        <v>7476</v>
      </c>
      <c r="I2673" s="1077" t="s">
        <v>8110</v>
      </c>
      <c r="J2673" s="1077">
        <v>3</v>
      </c>
      <c r="K2673" s="1077" t="s">
        <v>8131</v>
      </c>
      <c r="L2673" s="1077" t="s">
        <v>4854</v>
      </c>
      <c r="M2673" s="1077">
        <v>300.7</v>
      </c>
      <c r="N2673" s="1077" t="s">
        <v>945</v>
      </c>
      <c r="O2673" s="1077">
        <v>7.5175000000000001</v>
      </c>
      <c r="P2673" s="1077">
        <v>6.0140000000000002</v>
      </c>
      <c r="Q2673" s="1077">
        <v>3</v>
      </c>
      <c r="R2673" s="1077">
        <v>28.5</v>
      </c>
      <c r="T2673" s="1077">
        <v>14.7</v>
      </c>
      <c r="U2673" s="1077">
        <v>6.1</v>
      </c>
      <c r="V2673" s="1077" t="s">
        <v>648</v>
      </c>
      <c r="W2673" s="1077">
        <v>115</v>
      </c>
      <c r="X2673" s="1077">
        <v>45</v>
      </c>
      <c r="Y2673" s="1077">
        <v>1.5</v>
      </c>
      <c r="Z2673" s="1077" t="s">
        <v>648</v>
      </c>
      <c r="AA2673" s="1077" t="s">
        <v>2330</v>
      </c>
      <c r="AH2673" s="1077" t="s">
        <v>887</v>
      </c>
      <c r="AM2673" s="1078" t="s">
        <v>14260</v>
      </c>
      <c r="AN2673" s="1078" t="s">
        <v>14261</v>
      </c>
      <c r="AO2673" s="1078">
        <f t="shared" si="334"/>
        <v>550</v>
      </c>
      <c r="AP2673" s="1078">
        <f t="shared" si="335"/>
        <v>1.7350000000000001</v>
      </c>
      <c r="AQ2673" s="1078">
        <f t="shared" si="336"/>
        <v>102.5</v>
      </c>
      <c r="AR2673" s="1078" t="str">
        <f t="shared" si="337"/>
        <v>15.6</v>
      </c>
      <c r="AS2673" s="1078" t="str">
        <f t="shared" si="338"/>
        <v>350/365/OFF</v>
      </c>
      <c r="AT2673" s="1078">
        <f t="shared" si="339"/>
        <v>102.5</v>
      </c>
      <c r="AV2673" s="1078" t="str">
        <f t="shared" si="332"/>
        <v>111.8.1</v>
      </c>
      <c r="AW2673" s="1344">
        <f t="shared" si="333"/>
        <v>44774</v>
      </c>
    </row>
    <row r="2674" spans="1:49">
      <c r="A2674" s="1077" t="s">
        <v>8132</v>
      </c>
      <c r="B2674" s="1077" t="s">
        <v>714</v>
      </c>
      <c r="C2674" s="1077">
        <v>550</v>
      </c>
      <c r="D2674" s="1077">
        <v>1.7669999999999999</v>
      </c>
      <c r="E2674" s="1077" t="s">
        <v>15121</v>
      </c>
      <c r="F2674" s="1077" t="s">
        <v>648</v>
      </c>
      <c r="G2674" s="1077">
        <v>5</v>
      </c>
      <c r="H2674" s="1077" t="s">
        <v>8076</v>
      </c>
      <c r="I2674" s="1077" t="s">
        <v>8077</v>
      </c>
      <c r="J2674" s="1077">
        <v>3.7</v>
      </c>
      <c r="K2674" s="1077" t="s">
        <v>8133</v>
      </c>
      <c r="L2674" s="1077" t="s">
        <v>4666</v>
      </c>
      <c r="M2674" s="1077">
        <v>298.8</v>
      </c>
      <c r="N2674" s="1077" t="s">
        <v>945</v>
      </c>
      <c r="O2674" s="1077">
        <v>7.4700000000000006</v>
      </c>
      <c r="P2674" s="1077">
        <v>5.976</v>
      </c>
      <c r="Q2674" s="1077">
        <v>4</v>
      </c>
      <c r="R2674" s="1077">
        <v>20.5</v>
      </c>
      <c r="T2674" s="1077">
        <v>21</v>
      </c>
      <c r="U2674" s="1077">
        <v>3.5</v>
      </c>
      <c r="V2674" s="1077" t="s">
        <v>648</v>
      </c>
      <c r="W2674" s="1077">
        <v>30</v>
      </c>
      <c r="X2674" s="1077">
        <v>10</v>
      </c>
      <c r="Y2674" s="1077">
        <v>1.2</v>
      </c>
      <c r="Z2674" s="1077" t="s">
        <v>648</v>
      </c>
      <c r="AA2674" s="1077" t="s">
        <v>4371</v>
      </c>
      <c r="AH2674" s="1077" t="s">
        <v>1023</v>
      </c>
      <c r="AM2674" s="1078" t="s">
        <v>14262</v>
      </c>
      <c r="AN2674" s="1078" t="s">
        <v>14263</v>
      </c>
      <c r="AO2674" s="1078">
        <f t="shared" si="334"/>
        <v>550</v>
      </c>
      <c r="AP2674" s="1078">
        <f t="shared" si="335"/>
        <v>1.7669999999999999</v>
      </c>
      <c r="AQ2674" s="1078" t="str">
        <f t="shared" si="336"/>
        <v>1-5-1S85°S+Z</v>
      </c>
      <c r="AR2674" s="1078" t="str">
        <f t="shared" si="337"/>
        <v>NA</v>
      </c>
      <c r="AS2674" s="1078" t="str">
        <f t="shared" si="338"/>
        <v>172/165</v>
      </c>
      <c r="AT2674" s="1078" t="str">
        <f t="shared" si="339"/>
        <v>1-5-1S85°S+Z</v>
      </c>
      <c r="AU2674" s="1078" t="s">
        <v>15550</v>
      </c>
      <c r="AV2674" s="1078" t="str">
        <f t="shared" si="332"/>
        <v>111.8.15</v>
      </c>
      <c r="AW2674" s="1344">
        <f t="shared" si="333"/>
        <v>44788</v>
      </c>
    </row>
    <row r="2675" spans="1:49">
      <c r="A2675" s="1077" t="s">
        <v>8134</v>
      </c>
      <c r="B2675" s="1077" t="s">
        <v>7283</v>
      </c>
      <c r="C2675" s="1077">
        <v>600</v>
      </c>
      <c r="D2675" s="1077">
        <v>1.7749999999999999</v>
      </c>
      <c r="E2675" s="1077" t="s">
        <v>15116</v>
      </c>
      <c r="F2675" s="1077" t="s">
        <v>2234</v>
      </c>
      <c r="G2675" s="1077">
        <v>3.5</v>
      </c>
      <c r="H2675" s="1077" t="s">
        <v>6952</v>
      </c>
      <c r="I2675" s="1077" t="s">
        <v>7150</v>
      </c>
      <c r="J2675" s="1077">
        <v>3</v>
      </c>
      <c r="K2675" s="1077" t="s">
        <v>7285</v>
      </c>
      <c r="L2675" s="1077" t="s">
        <v>7286</v>
      </c>
      <c r="M2675" s="1077">
        <v>310</v>
      </c>
      <c r="N2675" s="1077" t="s">
        <v>945</v>
      </c>
      <c r="O2675" s="1077">
        <v>7.75</v>
      </c>
      <c r="P2675" s="1077">
        <v>6.2</v>
      </c>
      <c r="Q2675" s="1077">
        <v>3.5</v>
      </c>
      <c r="R2675" s="1077">
        <v>22</v>
      </c>
      <c r="T2675" s="1077">
        <v>22</v>
      </c>
      <c r="U2675" s="1077">
        <v>3.5</v>
      </c>
      <c r="V2675" s="1077" t="s">
        <v>648</v>
      </c>
      <c r="W2675" s="1077">
        <v>110</v>
      </c>
      <c r="X2675" s="1077">
        <v>85</v>
      </c>
      <c r="Y2675" s="1077">
        <v>1</v>
      </c>
      <c r="Z2675" s="1077" t="s">
        <v>648</v>
      </c>
      <c r="AA2675" s="1077" t="s">
        <v>5721</v>
      </c>
      <c r="AH2675" s="1077" t="s">
        <v>854</v>
      </c>
      <c r="AM2675" s="1078" t="s">
        <v>14264</v>
      </c>
      <c r="AN2675" s="1078" t="s">
        <v>14265</v>
      </c>
      <c r="AO2675" s="1078">
        <f t="shared" si="334"/>
        <v>600</v>
      </c>
      <c r="AP2675" s="1078">
        <f t="shared" si="335"/>
        <v>1.7749999999999999</v>
      </c>
      <c r="AQ2675" s="1078" t="str">
        <f t="shared" si="336"/>
        <v>1-5-1S83°Z+S</v>
      </c>
      <c r="AR2675" s="1078" t="str">
        <f t="shared" si="337"/>
        <v>33.5</v>
      </c>
      <c r="AS2675" s="1078" t="str">
        <f t="shared" si="338"/>
        <v>340/340/140</v>
      </c>
      <c r="AT2675" s="1078" t="str">
        <f t="shared" si="339"/>
        <v>1-5-1S83°Z+S</v>
      </c>
      <c r="AU2675" s="1078" t="s">
        <v>15547</v>
      </c>
      <c r="AV2675" s="1078" t="str">
        <f t="shared" si="332"/>
        <v>111.8.4</v>
      </c>
      <c r="AW2675" s="1344">
        <f t="shared" si="333"/>
        <v>44777</v>
      </c>
    </row>
    <row r="2676" spans="1:49">
      <c r="A2676" s="1077" t="s">
        <v>8135</v>
      </c>
      <c r="B2676" s="1077" t="s">
        <v>7091</v>
      </c>
      <c r="C2676" s="1077">
        <v>550</v>
      </c>
      <c r="D2676" s="1077">
        <v>1.78</v>
      </c>
      <c r="E2676" s="1077" t="s">
        <v>15121</v>
      </c>
      <c r="F2676" s="1077" t="s">
        <v>648</v>
      </c>
      <c r="G2676" s="1077">
        <v>5</v>
      </c>
      <c r="H2676" s="1077" t="s">
        <v>8136</v>
      </c>
      <c r="I2676" s="1077" t="s">
        <v>8051</v>
      </c>
      <c r="J2676" s="1077">
        <v>3.7</v>
      </c>
      <c r="K2676" s="1077" t="s">
        <v>8137</v>
      </c>
      <c r="L2676" s="1077" t="s">
        <v>5152</v>
      </c>
      <c r="M2676" s="1077">
        <v>296</v>
      </c>
      <c r="N2676" s="1077" t="s">
        <v>945</v>
      </c>
      <c r="O2676" s="1077">
        <v>7.4</v>
      </c>
      <c r="P2676" s="1077">
        <v>5.92</v>
      </c>
      <c r="Q2676" s="1077">
        <v>4</v>
      </c>
      <c r="R2676" s="1077">
        <v>21</v>
      </c>
      <c r="T2676" s="1077">
        <v>22</v>
      </c>
      <c r="U2676" s="1077">
        <v>3.2</v>
      </c>
      <c r="V2676" s="1077" t="s">
        <v>648</v>
      </c>
      <c r="W2676" s="1077">
        <v>110</v>
      </c>
      <c r="X2676" s="1077">
        <v>40</v>
      </c>
      <c r="Y2676" s="1077">
        <v>1</v>
      </c>
      <c r="Z2676" s="1077" t="s">
        <v>648</v>
      </c>
      <c r="AA2676" s="1077" t="s">
        <v>5721</v>
      </c>
      <c r="AH2676" s="1077" t="s">
        <v>948</v>
      </c>
      <c r="AM2676" s="1078" t="s">
        <v>14266</v>
      </c>
      <c r="AN2676" s="1078" t="s">
        <v>14267</v>
      </c>
      <c r="AO2676" s="1078">
        <f t="shared" si="334"/>
        <v>550</v>
      </c>
      <c r="AP2676" s="1078">
        <f t="shared" si="335"/>
        <v>1.78</v>
      </c>
      <c r="AQ2676" s="1078" t="str">
        <f t="shared" si="336"/>
        <v>1-5-1S85°S+Z</v>
      </c>
      <c r="AR2676" s="1078" t="str">
        <f t="shared" si="337"/>
        <v>NA</v>
      </c>
      <c r="AS2676" s="1078" t="str">
        <f t="shared" si="338"/>
        <v>178/165</v>
      </c>
      <c r="AT2676" s="1078" t="str">
        <f t="shared" si="339"/>
        <v>1-5-1S85°S+Z</v>
      </c>
      <c r="AU2676" s="1078" t="s">
        <v>15550</v>
      </c>
      <c r="AV2676" s="1078" t="str">
        <f t="shared" si="332"/>
        <v>111.8.4</v>
      </c>
      <c r="AW2676" s="1344">
        <f t="shared" si="333"/>
        <v>44777</v>
      </c>
    </row>
    <row r="2677" spans="1:49">
      <c r="A2677" s="1077" t="s">
        <v>8138</v>
      </c>
      <c r="B2677" s="1077" t="s">
        <v>714</v>
      </c>
      <c r="C2677" s="1077">
        <v>500</v>
      </c>
      <c r="D2677" s="1077">
        <v>1.78</v>
      </c>
      <c r="E2677" s="1077">
        <v>102.5</v>
      </c>
      <c r="F2677" s="1077" t="s">
        <v>4070</v>
      </c>
      <c r="G2677" s="1077">
        <v>5.5</v>
      </c>
      <c r="H2677" s="1077" t="s">
        <v>8093</v>
      </c>
      <c r="I2677" s="1077" t="s">
        <v>6896</v>
      </c>
      <c r="J2677" s="1077">
        <v>3.7</v>
      </c>
      <c r="K2677" s="1077" t="s">
        <v>8133</v>
      </c>
      <c r="L2677" s="1077" t="s">
        <v>4666</v>
      </c>
      <c r="M2677" s="1077">
        <v>295.10000000000002</v>
      </c>
      <c r="N2677" s="1077" t="s">
        <v>945</v>
      </c>
      <c r="O2677" s="1077">
        <v>7.3775000000000013</v>
      </c>
      <c r="P2677" s="1077">
        <v>5.9020000000000001</v>
      </c>
      <c r="Q2677" s="1077">
        <v>4</v>
      </c>
      <c r="R2677" s="1077">
        <v>17.399999999999999</v>
      </c>
      <c r="T2677" s="1077">
        <v>31</v>
      </c>
      <c r="U2677" s="1077">
        <v>3.5</v>
      </c>
      <c r="V2677" s="1077" t="s">
        <v>648</v>
      </c>
      <c r="W2677" s="1077">
        <v>100</v>
      </c>
      <c r="X2677" s="1077">
        <v>40</v>
      </c>
      <c r="Y2677" s="1077">
        <v>1</v>
      </c>
      <c r="Z2677" s="1077" t="s">
        <v>648</v>
      </c>
      <c r="AA2677" s="1077" t="s">
        <v>5726</v>
      </c>
      <c r="AH2677" s="1077" t="s">
        <v>830</v>
      </c>
      <c r="AM2677" s="1078" t="s">
        <v>14268</v>
      </c>
      <c r="AN2677" s="1078" t="s">
        <v>14269</v>
      </c>
      <c r="AO2677" s="1078">
        <f t="shared" si="334"/>
        <v>500</v>
      </c>
      <c r="AP2677" s="1078">
        <f t="shared" si="335"/>
        <v>1.78</v>
      </c>
      <c r="AQ2677" s="1078">
        <f t="shared" si="336"/>
        <v>102.5</v>
      </c>
      <c r="AR2677" s="1078" t="str">
        <f t="shared" si="337"/>
        <v>15.5</v>
      </c>
      <c r="AS2677" s="1078" t="str">
        <f t="shared" si="338"/>
        <v>465/425/OFF</v>
      </c>
      <c r="AT2677" s="1078">
        <f t="shared" si="339"/>
        <v>102.5</v>
      </c>
      <c r="AV2677" s="1078" t="str">
        <f t="shared" si="332"/>
        <v>111.8.5</v>
      </c>
      <c r="AW2677" s="1344">
        <f t="shared" si="333"/>
        <v>44778</v>
      </c>
    </row>
    <row r="2678" spans="1:49">
      <c r="A2678" s="1077" t="s">
        <v>8139</v>
      </c>
      <c r="B2678" s="1077" t="s">
        <v>714</v>
      </c>
      <c r="C2678" s="1077">
        <v>500</v>
      </c>
      <c r="D2678" s="1077">
        <v>1.7749999999999999</v>
      </c>
      <c r="E2678" s="1077">
        <v>102.5</v>
      </c>
      <c r="F2678" s="1077" t="s">
        <v>4070</v>
      </c>
      <c r="G2678" s="1077" t="s">
        <v>6865</v>
      </c>
      <c r="H2678" s="1077" t="s">
        <v>8028</v>
      </c>
      <c r="I2678" s="1077" t="s">
        <v>7057</v>
      </c>
      <c r="J2678" s="1077">
        <v>3.7</v>
      </c>
      <c r="K2678" s="1077" t="s">
        <v>7701</v>
      </c>
      <c r="L2678" s="1077" t="s">
        <v>4666</v>
      </c>
      <c r="M2678" s="1077">
        <v>300.8</v>
      </c>
      <c r="N2678" s="1077" t="s">
        <v>945</v>
      </c>
      <c r="O2678" s="1077">
        <v>7.5200000000000005</v>
      </c>
      <c r="P2678" s="1077">
        <v>6.016</v>
      </c>
      <c r="Q2678" s="1077">
        <v>4</v>
      </c>
      <c r="R2678" s="1077">
        <v>17</v>
      </c>
      <c r="T2678" s="1077">
        <v>31.4</v>
      </c>
      <c r="U2678" s="1077">
        <v>3.6</v>
      </c>
      <c r="V2678" s="1077" t="s">
        <v>648</v>
      </c>
      <c r="W2678" s="1077">
        <v>65</v>
      </c>
      <c r="X2678" s="1077">
        <v>10</v>
      </c>
      <c r="Y2678" s="1077">
        <v>1.5</v>
      </c>
      <c r="Z2678" s="1077" t="s">
        <v>648</v>
      </c>
      <c r="AA2678" s="1077" t="s">
        <v>4367</v>
      </c>
      <c r="AH2678" s="1077" t="s">
        <v>2384</v>
      </c>
      <c r="AM2678" s="1078" t="s">
        <v>14270</v>
      </c>
      <c r="AN2678" s="1078" t="s">
        <v>14271</v>
      </c>
      <c r="AO2678" s="1078">
        <f t="shared" si="334"/>
        <v>500</v>
      </c>
      <c r="AP2678" s="1078">
        <f t="shared" si="335"/>
        <v>1.7749999999999999</v>
      </c>
      <c r="AQ2678" s="1078">
        <f t="shared" si="336"/>
        <v>102.5</v>
      </c>
      <c r="AR2678" s="1078" t="str">
        <f t="shared" si="337"/>
        <v>15.5</v>
      </c>
      <c r="AS2678" s="1078" t="str">
        <f t="shared" si="338"/>
        <v>460/420/OFF</v>
      </c>
      <c r="AT2678" s="1078">
        <f t="shared" si="339"/>
        <v>102.5</v>
      </c>
      <c r="AV2678" s="1078" t="str">
        <f t="shared" si="332"/>
        <v>111.8.11</v>
      </c>
      <c r="AW2678" s="1344">
        <f t="shared" si="333"/>
        <v>44784</v>
      </c>
    </row>
    <row r="2679" spans="1:49">
      <c r="A2679" s="1077" t="s">
        <v>8140</v>
      </c>
      <c r="B2679" s="1077" t="s">
        <v>7068</v>
      </c>
      <c r="C2679" s="1077">
        <v>450</v>
      </c>
      <c r="D2679" s="1077">
        <v>1.79</v>
      </c>
      <c r="E2679" s="1077" t="s">
        <v>15112</v>
      </c>
      <c r="F2679" s="1077" t="s">
        <v>975</v>
      </c>
      <c r="G2679" s="1077">
        <v>5</v>
      </c>
      <c r="H2679" s="1077" t="s">
        <v>1806</v>
      </c>
      <c r="I2679" s="1077" t="s">
        <v>7095</v>
      </c>
      <c r="K2679" s="1077" t="s">
        <v>8141</v>
      </c>
      <c r="L2679" s="1077" t="s">
        <v>5037</v>
      </c>
      <c r="M2679" s="1077">
        <v>293.2</v>
      </c>
      <c r="N2679" s="1077" t="s">
        <v>945</v>
      </c>
      <c r="O2679" s="1077">
        <v>7.33</v>
      </c>
      <c r="P2679" s="1077">
        <v>5.8639999999999999</v>
      </c>
      <c r="Q2679" s="1077">
        <v>3.5</v>
      </c>
      <c r="R2679" s="1077">
        <v>21</v>
      </c>
      <c r="T2679" s="1077">
        <v>25</v>
      </c>
      <c r="U2679" s="1077">
        <v>4.2</v>
      </c>
      <c r="V2679" s="1077" t="s">
        <v>648</v>
      </c>
      <c r="W2679" s="1077">
        <v>110</v>
      </c>
      <c r="X2679" s="1077">
        <v>20</v>
      </c>
      <c r="Y2679" s="1077">
        <v>1.6</v>
      </c>
      <c r="Z2679" s="1077" t="s">
        <v>648</v>
      </c>
      <c r="AA2679" s="1077" t="s">
        <v>8142</v>
      </c>
      <c r="AH2679" s="1077" t="s">
        <v>884</v>
      </c>
      <c r="AM2679" s="1078" t="s">
        <v>14272</v>
      </c>
      <c r="AN2679" s="1078" t="s">
        <v>14273</v>
      </c>
      <c r="AO2679" s="1078">
        <f t="shared" si="334"/>
        <v>450</v>
      </c>
      <c r="AP2679" s="1078">
        <f t="shared" si="335"/>
        <v>1.79</v>
      </c>
      <c r="AQ2679" s="1078" t="str">
        <f t="shared" si="336"/>
        <v>1-5-1S87°Z+S</v>
      </c>
      <c r="AR2679" s="1078" t="str">
        <f t="shared" si="337"/>
        <v>31.5</v>
      </c>
      <c r="AS2679" s="1078" t="str">
        <f t="shared" si="338"/>
        <v>280/280/OFF</v>
      </c>
      <c r="AT2679" s="1078" t="str">
        <f t="shared" si="339"/>
        <v>1-5-1S87°Z+S</v>
      </c>
      <c r="AU2679" s="1078" t="s">
        <v>15547</v>
      </c>
      <c r="AV2679" s="1078" t="str">
        <f t="shared" si="332"/>
        <v>111.8.17</v>
      </c>
      <c r="AW2679" s="1344">
        <f t="shared" si="333"/>
        <v>44790</v>
      </c>
    </row>
    <row r="2680" spans="1:49">
      <c r="A2680" s="1077" t="s">
        <v>8143</v>
      </c>
      <c r="B2680" s="1077" t="s">
        <v>7214</v>
      </c>
      <c r="C2680" s="1077">
        <v>500</v>
      </c>
      <c r="D2680" s="1077">
        <v>1.77</v>
      </c>
      <c r="E2680" s="1077" t="s">
        <v>15121</v>
      </c>
      <c r="F2680" s="1077" t="s">
        <v>648</v>
      </c>
      <c r="G2680" s="1077">
        <v>5</v>
      </c>
      <c r="H2680" s="1077" t="s">
        <v>1048</v>
      </c>
      <c r="I2680" s="1077" t="s">
        <v>8144</v>
      </c>
      <c r="J2680" s="1077">
        <v>3.7</v>
      </c>
      <c r="K2680" s="1077" t="s">
        <v>7640</v>
      </c>
      <c r="L2680" s="1077" t="s">
        <v>6043</v>
      </c>
      <c r="M2680" s="1077">
        <v>302.8</v>
      </c>
      <c r="N2680" s="1077" t="s">
        <v>945</v>
      </c>
      <c r="O2680" s="1077">
        <v>7.57</v>
      </c>
      <c r="P2680" s="1077">
        <v>6.056</v>
      </c>
      <c r="Q2680" s="1077">
        <v>3.5</v>
      </c>
      <c r="R2680" s="1077">
        <v>18</v>
      </c>
      <c r="T2680" s="1077">
        <v>30</v>
      </c>
      <c r="U2680" s="1077">
        <v>3.4</v>
      </c>
      <c r="V2680" s="1077" t="s">
        <v>648</v>
      </c>
      <c r="W2680" s="1077">
        <v>110</v>
      </c>
      <c r="X2680" s="1077">
        <v>40</v>
      </c>
      <c r="Y2680" s="1077">
        <v>1</v>
      </c>
      <c r="Z2680" s="1077" t="s">
        <v>648</v>
      </c>
      <c r="AA2680" s="1077" t="s">
        <v>4371</v>
      </c>
      <c r="AH2680" s="1077" t="s">
        <v>812</v>
      </c>
      <c r="AM2680" s="1078" t="s">
        <v>14274</v>
      </c>
      <c r="AN2680" s="1078" t="s">
        <v>14275</v>
      </c>
      <c r="AO2680" s="1078">
        <f t="shared" si="334"/>
        <v>500</v>
      </c>
      <c r="AP2680" s="1078">
        <f t="shared" si="335"/>
        <v>1.77</v>
      </c>
      <c r="AQ2680" s="1078" t="str">
        <f t="shared" si="336"/>
        <v>1-5-1S85°S+Z</v>
      </c>
      <c r="AR2680" s="1078" t="str">
        <f t="shared" si="337"/>
        <v>NA</v>
      </c>
      <c r="AS2680" s="1078" t="str">
        <f t="shared" si="338"/>
        <v>188/OFF</v>
      </c>
      <c r="AT2680" s="1078" t="str">
        <f t="shared" si="339"/>
        <v>1-5-1S85°S+Z</v>
      </c>
      <c r="AU2680" s="1078" t="s">
        <v>15550</v>
      </c>
      <c r="AV2680" s="1078" t="str">
        <f t="shared" si="332"/>
        <v>111.8.15</v>
      </c>
      <c r="AW2680" s="1344">
        <f t="shared" si="333"/>
        <v>44788</v>
      </c>
    </row>
    <row r="2681" spans="1:49">
      <c r="A2681" s="1077" t="s">
        <v>8145</v>
      </c>
      <c r="B2681" s="1077" t="s">
        <v>7774</v>
      </c>
      <c r="C2681" s="1077">
        <v>600</v>
      </c>
      <c r="D2681" s="1077">
        <v>1.79</v>
      </c>
      <c r="E2681" s="1077" t="s">
        <v>15116</v>
      </c>
      <c r="F2681" s="1077" t="s">
        <v>2234</v>
      </c>
      <c r="G2681" s="1077">
        <v>5</v>
      </c>
      <c r="H2681" s="1077" t="s">
        <v>6952</v>
      </c>
      <c r="I2681" s="1077" t="s">
        <v>7150</v>
      </c>
      <c r="K2681" s="1077" t="s">
        <v>8146</v>
      </c>
      <c r="L2681" s="1077" t="s">
        <v>7776</v>
      </c>
      <c r="M2681" s="1077">
        <v>303</v>
      </c>
      <c r="N2681" s="1077" t="s">
        <v>945</v>
      </c>
      <c r="O2681" s="1077">
        <v>7.5750000000000002</v>
      </c>
      <c r="P2681" s="1077">
        <v>6.0600000000000005</v>
      </c>
      <c r="Q2681" s="1077">
        <v>3.5</v>
      </c>
      <c r="R2681" s="1077">
        <v>21</v>
      </c>
      <c r="T2681" s="1077">
        <v>24</v>
      </c>
      <c r="U2681" s="1077">
        <v>3.4</v>
      </c>
      <c r="V2681" s="1077" t="s">
        <v>648</v>
      </c>
      <c r="W2681" s="1077">
        <v>115</v>
      </c>
      <c r="X2681" s="1077">
        <v>85</v>
      </c>
      <c r="Y2681" s="1077">
        <v>1.2</v>
      </c>
      <c r="Z2681" s="1077" t="s">
        <v>648</v>
      </c>
      <c r="AA2681" s="1077" t="s">
        <v>4371</v>
      </c>
      <c r="AH2681" s="1077" t="s">
        <v>1143</v>
      </c>
      <c r="AM2681" s="1078" t="s">
        <v>14276</v>
      </c>
      <c r="AN2681" s="1078" t="s">
        <v>14277</v>
      </c>
      <c r="AO2681" s="1078">
        <f t="shared" si="334"/>
        <v>600</v>
      </c>
      <c r="AP2681" s="1078">
        <f t="shared" si="335"/>
        <v>1.79</v>
      </c>
      <c r="AQ2681" s="1078" t="str">
        <f t="shared" si="336"/>
        <v>1-5-1S83°Z+S</v>
      </c>
      <c r="AR2681" s="1078" t="str">
        <f t="shared" si="337"/>
        <v>33.5</v>
      </c>
      <c r="AS2681" s="1078" t="str">
        <f t="shared" si="338"/>
        <v>340/340/140</v>
      </c>
      <c r="AT2681" s="1078" t="str">
        <f t="shared" si="339"/>
        <v>1-5-1S83°Z+S</v>
      </c>
      <c r="AU2681" s="1078" t="s">
        <v>15547</v>
      </c>
      <c r="AV2681" s="1078" t="str">
        <f t="shared" si="332"/>
        <v>111.8.15</v>
      </c>
      <c r="AW2681" s="1344">
        <f t="shared" si="333"/>
        <v>44788</v>
      </c>
    </row>
    <row r="2682" spans="1:49">
      <c r="A2682" s="1077" t="s">
        <v>8147</v>
      </c>
      <c r="B2682" s="1077" t="s">
        <v>7080</v>
      </c>
      <c r="C2682" s="1077">
        <v>600</v>
      </c>
      <c r="D2682" s="1077">
        <v>1.8</v>
      </c>
      <c r="E2682" s="1077" t="s">
        <v>15116</v>
      </c>
      <c r="F2682" s="1077" t="s">
        <v>2234</v>
      </c>
      <c r="G2682" s="1077">
        <v>3.5</v>
      </c>
      <c r="H2682" s="1077" t="s">
        <v>6952</v>
      </c>
      <c r="I2682" s="1077" t="s">
        <v>8148</v>
      </c>
      <c r="K2682" s="1077" t="s">
        <v>7081</v>
      </c>
      <c r="L2682" s="1077" t="s">
        <v>7082</v>
      </c>
      <c r="M2682" s="1077">
        <v>303</v>
      </c>
      <c r="N2682" s="1077" t="s">
        <v>945</v>
      </c>
      <c r="O2682" s="1077">
        <v>7.5750000000000002</v>
      </c>
      <c r="P2682" s="1077">
        <v>6.0600000000000005</v>
      </c>
      <c r="Q2682" s="1077">
        <v>3.5</v>
      </c>
      <c r="R2682" s="1077">
        <v>22</v>
      </c>
      <c r="T2682" s="1077">
        <v>23</v>
      </c>
      <c r="U2682" s="1077">
        <v>3.2</v>
      </c>
      <c r="V2682" s="1077" t="s">
        <v>648</v>
      </c>
      <c r="W2682" s="1077">
        <v>115</v>
      </c>
      <c r="X2682" s="1077">
        <v>85</v>
      </c>
      <c r="Y2682" s="1077">
        <v>1.2</v>
      </c>
      <c r="Z2682" s="1077" t="s">
        <v>648</v>
      </c>
      <c r="AA2682" s="1077" t="s">
        <v>2342</v>
      </c>
      <c r="AH2682" s="1077" t="s">
        <v>468</v>
      </c>
      <c r="AM2682" s="1078" t="s">
        <v>14278</v>
      </c>
      <c r="AN2682" s="1078" t="s">
        <v>14279</v>
      </c>
      <c r="AO2682" s="1078">
        <f t="shared" si="334"/>
        <v>600</v>
      </c>
      <c r="AP2682" s="1078">
        <f t="shared" si="335"/>
        <v>1.8</v>
      </c>
      <c r="AQ2682" s="1078" t="str">
        <f t="shared" si="336"/>
        <v>1-5-1S83°Z+S</v>
      </c>
      <c r="AR2682" s="1078" t="str">
        <f t="shared" si="337"/>
        <v>33.5</v>
      </c>
      <c r="AS2682" s="1078" t="str">
        <f t="shared" si="338"/>
        <v>340/340/140</v>
      </c>
      <c r="AT2682" s="1078" t="str">
        <f t="shared" si="339"/>
        <v>1-5-1S83°Z+S</v>
      </c>
      <c r="AU2682" s="1078" t="s">
        <v>15547</v>
      </c>
      <c r="AV2682" s="1078" t="str">
        <f t="shared" si="332"/>
        <v>111.8.22</v>
      </c>
      <c r="AW2682" s="1344">
        <f t="shared" si="333"/>
        <v>44795</v>
      </c>
    </row>
    <row r="2683" spans="1:49">
      <c r="A2683" s="1077" t="s">
        <v>8149</v>
      </c>
      <c r="B2683" s="1077" t="s">
        <v>7068</v>
      </c>
      <c r="C2683" s="1077">
        <v>450</v>
      </c>
      <c r="D2683" s="1077">
        <v>1.79</v>
      </c>
      <c r="E2683" s="1077" t="s">
        <v>15112</v>
      </c>
      <c r="F2683" s="1077" t="s">
        <v>975</v>
      </c>
      <c r="G2683" s="1077">
        <v>5</v>
      </c>
      <c r="H2683" s="1077" t="s">
        <v>1793</v>
      </c>
      <c r="I2683" s="1077" t="s">
        <v>7095</v>
      </c>
      <c r="K2683" s="1077" t="s">
        <v>8150</v>
      </c>
      <c r="L2683" s="1077" t="s">
        <v>5037</v>
      </c>
      <c r="M2683" s="1077">
        <v>293.2</v>
      </c>
      <c r="N2683" s="1077" t="s">
        <v>945</v>
      </c>
      <c r="O2683" s="1077">
        <v>7.33</v>
      </c>
      <c r="P2683" s="1077">
        <v>5.8639999999999999</v>
      </c>
      <c r="Q2683" s="1077">
        <v>3.5</v>
      </c>
      <c r="R2683" s="1077">
        <v>21</v>
      </c>
      <c r="T2683" s="1077">
        <v>25</v>
      </c>
      <c r="U2683" s="1077">
        <v>4.2</v>
      </c>
      <c r="V2683" s="1077" t="s">
        <v>648</v>
      </c>
      <c r="W2683" s="1077">
        <v>110</v>
      </c>
      <c r="X2683" s="1077">
        <v>20</v>
      </c>
      <c r="Y2683" s="1077">
        <v>1.6</v>
      </c>
      <c r="Z2683" s="1077" t="s">
        <v>648</v>
      </c>
      <c r="AA2683" s="1077" t="s">
        <v>2350</v>
      </c>
      <c r="AH2683" s="1077" t="s">
        <v>1238</v>
      </c>
      <c r="AM2683" s="1078" t="s">
        <v>14280</v>
      </c>
      <c r="AN2683" s="1078" t="s">
        <v>14281</v>
      </c>
      <c r="AO2683" s="1078">
        <f t="shared" si="334"/>
        <v>450</v>
      </c>
      <c r="AP2683" s="1078">
        <f t="shared" si="335"/>
        <v>1.79</v>
      </c>
      <c r="AQ2683" s="1078" t="str">
        <f t="shared" si="336"/>
        <v>1-5-1S87°Z+S</v>
      </c>
      <c r="AR2683" s="1078" t="str">
        <f t="shared" si="337"/>
        <v>31.5</v>
      </c>
      <c r="AS2683" s="1078" t="str">
        <f t="shared" si="338"/>
        <v>270/270/OFF</v>
      </c>
      <c r="AT2683" s="1078" t="str">
        <f t="shared" si="339"/>
        <v>1-5-1S87°Z+S</v>
      </c>
      <c r="AU2683" s="1078" t="s">
        <v>15547</v>
      </c>
      <c r="AV2683" s="1078" t="str">
        <f t="shared" si="332"/>
        <v>111.8.25</v>
      </c>
      <c r="AW2683" s="1344">
        <f t="shared" si="333"/>
        <v>44798</v>
      </c>
    </row>
    <row r="2684" spans="1:49">
      <c r="A2684" s="1077" t="s">
        <v>8151</v>
      </c>
      <c r="B2684" s="1077" t="s">
        <v>7132</v>
      </c>
      <c r="C2684" s="1077">
        <v>600</v>
      </c>
      <c r="D2684" s="1077">
        <v>1.7849999999999999</v>
      </c>
      <c r="E2684" s="1077" t="s">
        <v>15116</v>
      </c>
      <c r="F2684" s="1077" t="s">
        <v>2234</v>
      </c>
      <c r="G2684" s="1077">
        <v>3.5</v>
      </c>
      <c r="H2684" s="1077" t="s">
        <v>6952</v>
      </c>
      <c r="I2684" s="1077" t="s">
        <v>7150</v>
      </c>
      <c r="K2684" s="1077" t="s">
        <v>7464</v>
      </c>
      <c r="L2684" s="1077" t="s">
        <v>7134</v>
      </c>
      <c r="M2684" s="1077">
        <v>310</v>
      </c>
      <c r="N2684" s="1077" t="s">
        <v>945</v>
      </c>
      <c r="O2684" s="1077">
        <v>7.75</v>
      </c>
      <c r="P2684" s="1077">
        <v>6.2</v>
      </c>
      <c r="Q2684" s="1077">
        <v>3.5</v>
      </c>
      <c r="R2684" s="1077">
        <v>21</v>
      </c>
      <c r="T2684" s="1077">
        <v>24</v>
      </c>
      <c r="U2684" s="1077">
        <v>3.4</v>
      </c>
      <c r="V2684" s="1077" t="s">
        <v>648</v>
      </c>
      <c r="W2684" s="1077">
        <v>115</v>
      </c>
      <c r="X2684" s="1077">
        <v>85</v>
      </c>
      <c r="Y2684" s="1077">
        <v>1.2</v>
      </c>
      <c r="Z2684" s="1077" t="s">
        <v>648</v>
      </c>
      <c r="AA2684" s="1077" t="s">
        <v>2350</v>
      </c>
      <c r="AH2684" s="1077" t="s">
        <v>724</v>
      </c>
      <c r="AM2684" s="1078" t="s">
        <v>14282</v>
      </c>
      <c r="AN2684" s="1078" t="s">
        <v>14283</v>
      </c>
      <c r="AO2684" s="1078">
        <f t="shared" si="334"/>
        <v>600</v>
      </c>
      <c r="AP2684" s="1078">
        <f t="shared" si="335"/>
        <v>1.7849999999999999</v>
      </c>
      <c r="AQ2684" s="1078" t="str">
        <f t="shared" si="336"/>
        <v>1-5-1S83°Z+S</v>
      </c>
      <c r="AR2684" s="1078" t="str">
        <f t="shared" si="337"/>
        <v>33.5</v>
      </c>
      <c r="AS2684" s="1078" t="str">
        <f t="shared" si="338"/>
        <v>340/340/140</v>
      </c>
      <c r="AT2684" s="1078" t="str">
        <f t="shared" si="339"/>
        <v>1-5-1S83°Z+S</v>
      </c>
      <c r="AU2684" s="1078" t="s">
        <v>15547</v>
      </c>
      <c r="AV2684" s="1078" t="str">
        <f t="shared" si="332"/>
        <v>111.8.25</v>
      </c>
      <c r="AW2684" s="1344">
        <f t="shared" si="333"/>
        <v>44798</v>
      </c>
    </row>
    <row r="2685" spans="1:49">
      <c r="A2685" s="1077" t="s">
        <v>8152</v>
      </c>
      <c r="B2685" s="1077" t="s">
        <v>7454</v>
      </c>
      <c r="C2685" s="1077">
        <v>650</v>
      </c>
      <c r="D2685" s="1077">
        <v>1.77</v>
      </c>
      <c r="E2685" s="1077" t="s">
        <v>15121</v>
      </c>
      <c r="F2685" s="1077" t="s">
        <v>648</v>
      </c>
      <c r="G2685" s="1077">
        <v>5</v>
      </c>
      <c r="H2685" s="1077" t="s">
        <v>941</v>
      </c>
      <c r="I2685" s="1077" t="s">
        <v>8153</v>
      </c>
      <c r="J2685" s="1077">
        <v>3.9</v>
      </c>
      <c r="K2685" s="1077" t="s">
        <v>8154</v>
      </c>
      <c r="L2685" s="1077" t="s">
        <v>8155</v>
      </c>
      <c r="M2685" s="1077">
        <v>302</v>
      </c>
      <c r="N2685" s="1077" t="s">
        <v>945</v>
      </c>
      <c r="O2685" s="1077">
        <v>7.5500000000000007</v>
      </c>
      <c r="P2685" s="1077">
        <v>6.04</v>
      </c>
      <c r="Q2685" s="1077">
        <v>4.5</v>
      </c>
      <c r="R2685" s="1077">
        <v>21.5</v>
      </c>
      <c r="T2685" s="1077">
        <v>26.8</v>
      </c>
      <c r="U2685" s="1077">
        <v>3.6</v>
      </c>
      <c r="V2685" s="1077" t="s">
        <v>648</v>
      </c>
      <c r="W2685" s="1077">
        <v>90</v>
      </c>
      <c r="X2685" s="1077">
        <v>20</v>
      </c>
      <c r="Y2685" s="1077">
        <v>1.5</v>
      </c>
      <c r="Z2685" s="1077" t="s">
        <v>648</v>
      </c>
      <c r="AA2685" s="1077" t="s">
        <v>1516</v>
      </c>
      <c r="AH2685" s="1077" t="s">
        <v>726</v>
      </c>
      <c r="AM2685" s="1078" t="s">
        <v>14284</v>
      </c>
      <c r="AN2685" s="1078" t="s">
        <v>14285</v>
      </c>
      <c r="AO2685" s="1078">
        <f t="shared" si="334"/>
        <v>650</v>
      </c>
      <c r="AP2685" s="1078">
        <f t="shared" si="335"/>
        <v>1.77</v>
      </c>
      <c r="AQ2685" s="1078" t="str">
        <f t="shared" si="336"/>
        <v>1-5-1S85°S+Z</v>
      </c>
      <c r="AR2685" s="1078" t="str">
        <f t="shared" si="337"/>
        <v>NA</v>
      </c>
      <c r="AS2685" s="1078" t="str">
        <f t="shared" si="338"/>
        <v>185/OFF</v>
      </c>
      <c r="AT2685" s="1078" t="str">
        <f t="shared" si="339"/>
        <v>1-5-1S85°S+Z</v>
      </c>
      <c r="AU2685" s="1078" t="s">
        <v>15550</v>
      </c>
      <c r="AV2685" s="1078" t="str">
        <f t="shared" si="332"/>
        <v>111.9.1</v>
      </c>
      <c r="AW2685" s="1344">
        <f t="shared" si="333"/>
        <v>44805</v>
      </c>
    </row>
    <row r="2686" spans="1:49">
      <c r="A2686" s="1077" t="s">
        <v>8156</v>
      </c>
      <c r="B2686" s="1077" t="s">
        <v>8157</v>
      </c>
      <c r="C2686" s="1077">
        <v>600</v>
      </c>
      <c r="D2686" s="1077">
        <v>1.7849999999999999</v>
      </c>
      <c r="E2686" s="1077" t="s">
        <v>15116</v>
      </c>
      <c r="F2686" s="1077" t="s">
        <v>2234</v>
      </c>
      <c r="G2686" s="1077">
        <v>3.5</v>
      </c>
      <c r="H2686" s="1077" t="s">
        <v>6952</v>
      </c>
      <c r="I2686" s="1077" t="s">
        <v>6953</v>
      </c>
      <c r="J2686" s="1077">
        <v>3</v>
      </c>
      <c r="K2686" s="1077" t="s">
        <v>8158</v>
      </c>
      <c r="L2686" s="1077" t="s">
        <v>8159</v>
      </c>
      <c r="M2686" s="1077">
        <v>310</v>
      </c>
      <c r="N2686" s="1077" t="s">
        <v>945</v>
      </c>
      <c r="O2686" s="1077">
        <v>7.75</v>
      </c>
      <c r="P2686" s="1077">
        <v>6.2</v>
      </c>
      <c r="Q2686" s="1077">
        <v>3.5</v>
      </c>
      <c r="R2686" s="1077">
        <v>22</v>
      </c>
      <c r="T2686" s="1077">
        <v>22</v>
      </c>
      <c r="U2686" s="1077">
        <v>3.5</v>
      </c>
      <c r="V2686" s="1077" t="s">
        <v>648</v>
      </c>
      <c r="W2686" s="1077">
        <v>110</v>
      </c>
      <c r="X2686" s="1077">
        <v>85</v>
      </c>
      <c r="Y2686" s="1077">
        <v>1</v>
      </c>
      <c r="Z2686" s="1077" t="s">
        <v>648</v>
      </c>
      <c r="AA2686" s="1077" t="s">
        <v>5794</v>
      </c>
      <c r="AH2686" s="1077" t="s">
        <v>994</v>
      </c>
      <c r="AM2686" s="1078" t="s">
        <v>14286</v>
      </c>
      <c r="AN2686" s="1078" t="s">
        <v>14287</v>
      </c>
      <c r="AO2686" s="1078">
        <f t="shared" si="334"/>
        <v>600</v>
      </c>
      <c r="AP2686" s="1078">
        <f t="shared" si="335"/>
        <v>1.7849999999999999</v>
      </c>
      <c r="AQ2686" s="1078" t="str">
        <f t="shared" si="336"/>
        <v>1-5-1S83°Z+S</v>
      </c>
      <c r="AR2686" s="1078" t="str">
        <f t="shared" si="337"/>
        <v>33.5</v>
      </c>
      <c r="AS2686" s="1078" t="str">
        <f t="shared" si="338"/>
        <v>340/340/140</v>
      </c>
      <c r="AT2686" s="1078" t="str">
        <f t="shared" si="339"/>
        <v>1-5-1S83°Z+S</v>
      </c>
      <c r="AU2686" s="1078" t="s">
        <v>15547</v>
      </c>
      <c r="AV2686" s="1078" t="str">
        <f t="shared" si="332"/>
        <v>111.9.8</v>
      </c>
      <c r="AW2686" s="1344">
        <f t="shared" si="333"/>
        <v>44812</v>
      </c>
    </row>
    <row r="2687" spans="1:49">
      <c r="A2687" s="1077" t="s">
        <v>8160</v>
      </c>
      <c r="B2687" s="1077" t="s">
        <v>714</v>
      </c>
      <c r="C2687" s="1077" t="s">
        <v>8161</v>
      </c>
      <c r="D2687" s="1077">
        <v>1.78</v>
      </c>
      <c r="E2687" s="1077">
        <v>102.5</v>
      </c>
      <c r="F2687" s="1077" t="s">
        <v>4070</v>
      </c>
      <c r="G2687" s="1077">
        <v>5.5</v>
      </c>
      <c r="H2687" s="1077" t="s">
        <v>8162</v>
      </c>
      <c r="I2687" s="1077" t="s">
        <v>7705</v>
      </c>
      <c r="J2687" s="1077">
        <v>3.7</v>
      </c>
      <c r="K2687" s="1077" t="s">
        <v>8163</v>
      </c>
      <c r="L2687" s="1077" t="s">
        <v>4666</v>
      </c>
      <c r="M2687" s="1077">
        <v>295.10000000000002</v>
      </c>
      <c r="N2687" s="1077" t="s">
        <v>945</v>
      </c>
      <c r="O2687" s="1077">
        <v>7.3775000000000013</v>
      </c>
      <c r="P2687" s="1077">
        <v>5.9020000000000001</v>
      </c>
      <c r="Q2687" s="1077">
        <v>4</v>
      </c>
      <c r="R2687" s="1077">
        <v>17.399999999999999</v>
      </c>
      <c r="T2687" s="1077">
        <v>31</v>
      </c>
      <c r="U2687" s="1077">
        <v>3.5</v>
      </c>
      <c r="V2687" s="1077" t="s">
        <v>648</v>
      </c>
      <c r="W2687" s="1077">
        <v>100</v>
      </c>
      <c r="X2687" s="1077">
        <v>40</v>
      </c>
      <c r="Y2687" s="1077">
        <v>1</v>
      </c>
      <c r="Z2687" s="1077" t="s">
        <v>648</v>
      </c>
      <c r="AA2687" s="1077" t="s">
        <v>5794</v>
      </c>
      <c r="AH2687" s="1077" t="s">
        <v>862</v>
      </c>
      <c r="AM2687" s="1078" t="s">
        <v>14288</v>
      </c>
      <c r="AN2687" s="1078" t="s">
        <v>14289</v>
      </c>
      <c r="AO2687" s="1078" t="str">
        <f t="shared" si="334"/>
        <v>500↓450-9/21</v>
      </c>
      <c r="AP2687" s="1078">
        <f t="shared" si="335"/>
        <v>1.78</v>
      </c>
      <c r="AQ2687" s="1078">
        <f t="shared" si="336"/>
        <v>102.5</v>
      </c>
      <c r="AR2687" s="1078" t="str">
        <f t="shared" si="337"/>
        <v>15.5</v>
      </c>
      <c r="AS2687" s="1078" t="str">
        <f t="shared" si="338"/>
        <v>450/410/OFF</v>
      </c>
      <c r="AT2687" s="1078">
        <f t="shared" si="339"/>
        <v>102.5</v>
      </c>
      <c r="AV2687" s="1078" t="str">
        <f t="shared" si="332"/>
        <v>111.9.8</v>
      </c>
      <c r="AW2687" s="1344">
        <f t="shared" si="333"/>
        <v>44812</v>
      </c>
    </row>
    <row r="2688" spans="1:49">
      <c r="A2688" s="1077" t="s">
        <v>8164</v>
      </c>
      <c r="B2688" s="1077" t="s">
        <v>7114</v>
      </c>
      <c r="C2688" s="1077">
        <v>550</v>
      </c>
      <c r="D2688" s="1077">
        <v>1.7350000000000001</v>
      </c>
      <c r="E2688" s="1077">
        <v>102.5</v>
      </c>
      <c r="F2688" s="1077" t="s">
        <v>5134</v>
      </c>
      <c r="G2688" s="1077">
        <v>5</v>
      </c>
      <c r="H2688" s="1077" t="s">
        <v>7476</v>
      </c>
      <c r="I2688" s="1077" t="s">
        <v>7705</v>
      </c>
      <c r="J2688" s="1077">
        <v>3</v>
      </c>
      <c r="K2688" s="1077" t="s">
        <v>8165</v>
      </c>
      <c r="L2688" s="1077" t="s">
        <v>4854</v>
      </c>
      <c r="M2688" s="1077">
        <v>300.7</v>
      </c>
      <c r="N2688" s="1077" t="s">
        <v>945</v>
      </c>
      <c r="O2688" s="1077">
        <v>7.5175000000000001</v>
      </c>
      <c r="P2688" s="1077">
        <v>6.0140000000000002</v>
      </c>
      <c r="Q2688" s="1077">
        <v>3</v>
      </c>
      <c r="R2688" s="1077" t="s">
        <v>8166</v>
      </c>
      <c r="T2688" s="1077">
        <v>14.7</v>
      </c>
      <c r="U2688" s="1077">
        <v>6.1</v>
      </c>
      <c r="V2688" s="1077" t="s">
        <v>648</v>
      </c>
      <c r="W2688" s="1077">
        <v>115</v>
      </c>
      <c r="X2688" s="1077">
        <v>45</v>
      </c>
      <c r="Y2688" s="1077">
        <v>1.5</v>
      </c>
      <c r="Z2688" s="1077" t="s">
        <v>648</v>
      </c>
      <c r="AA2688" s="1077" t="s">
        <v>2380</v>
      </c>
      <c r="AH2688" s="1077" t="s">
        <v>870</v>
      </c>
      <c r="AM2688" s="1078" t="s">
        <v>14290</v>
      </c>
      <c r="AN2688" s="1078" t="s">
        <v>14291</v>
      </c>
      <c r="AO2688" s="1078">
        <f t="shared" si="334"/>
        <v>550</v>
      </c>
      <c r="AP2688" s="1078">
        <f t="shared" si="335"/>
        <v>1.7350000000000001</v>
      </c>
      <c r="AQ2688" s="1078">
        <f t="shared" si="336"/>
        <v>102.5</v>
      </c>
      <c r="AR2688" s="1078" t="str">
        <f t="shared" si="337"/>
        <v>15.6</v>
      </c>
      <c r="AS2688" s="1078" t="str">
        <f t="shared" si="338"/>
        <v>350/365/OFF</v>
      </c>
      <c r="AT2688" s="1078">
        <f t="shared" si="339"/>
        <v>102.5</v>
      </c>
      <c r="AV2688" s="1078" t="str">
        <f t="shared" si="332"/>
        <v>111.9.19</v>
      </c>
      <c r="AW2688" s="1344">
        <f t="shared" si="333"/>
        <v>44823</v>
      </c>
    </row>
    <row r="2689" spans="1:49">
      <c r="A2689" s="1077" t="s">
        <v>8167</v>
      </c>
      <c r="B2689" s="1077" t="s">
        <v>6951</v>
      </c>
      <c r="C2689" s="1077">
        <v>600</v>
      </c>
      <c r="D2689" s="1077">
        <v>1.77</v>
      </c>
      <c r="E2689" s="1077" t="s">
        <v>15116</v>
      </c>
      <c r="F2689" s="1077" t="s">
        <v>2234</v>
      </c>
      <c r="G2689" s="1077">
        <v>3.5</v>
      </c>
      <c r="H2689" s="1077" t="s">
        <v>6952</v>
      </c>
      <c r="I2689" s="1077" t="s">
        <v>7021</v>
      </c>
      <c r="K2689" s="1077" t="s">
        <v>7481</v>
      </c>
      <c r="L2689" s="1077" t="s">
        <v>6955</v>
      </c>
      <c r="M2689" s="1077">
        <v>310</v>
      </c>
      <c r="N2689" s="1077" t="s">
        <v>945</v>
      </c>
      <c r="O2689" s="1077">
        <v>7.75</v>
      </c>
      <c r="P2689" s="1077">
        <v>6.2</v>
      </c>
      <c r="Q2689" s="1077">
        <v>3.5</v>
      </c>
      <c r="R2689" s="1077">
        <v>25</v>
      </c>
      <c r="T2689" s="1077">
        <v>23</v>
      </c>
      <c r="U2689" s="1077">
        <v>3.2</v>
      </c>
      <c r="V2689" s="1077" t="s">
        <v>648</v>
      </c>
      <c r="W2689" s="1077">
        <v>115</v>
      </c>
      <c r="X2689" s="1077">
        <v>85</v>
      </c>
      <c r="Y2689" s="1077">
        <v>1.2</v>
      </c>
      <c r="Z2689" s="1077" t="s">
        <v>648</v>
      </c>
      <c r="AA2689" s="1077" t="s">
        <v>3185</v>
      </c>
      <c r="AH2689" s="1077" t="s">
        <v>622</v>
      </c>
      <c r="AM2689" s="1078" t="s">
        <v>14292</v>
      </c>
      <c r="AN2689" s="1078" t="s">
        <v>14293</v>
      </c>
      <c r="AO2689" s="1078">
        <f t="shared" si="334"/>
        <v>600</v>
      </c>
      <c r="AP2689" s="1078">
        <f t="shared" si="335"/>
        <v>1.77</v>
      </c>
      <c r="AQ2689" s="1078" t="str">
        <f t="shared" si="336"/>
        <v>1-5-1S83°Z+S</v>
      </c>
      <c r="AR2689" s="1078" t="str">
        <f t="shared" si="337"/>
        <v>33.5</v>
      </c>
      <c r="AS2689" s="1078" t="str">
        <f t="shared" si="338"/>
        <v>340/340/140</v>
      </c>
      <c r="AT2689" s="1078" t="str">
        <f t="shared" si="339"/>
        <v>1-5-1S83°Z+S</v>
      </c>
      <c r="AU2689" s="1078" t="s">
        <v>15547</v>
      </c>
      <c r="AV2689" s="1078" t="str">
        <f t="shared" si="332"/>
        <v>111.9.21</v>
      </c>
      <c r="AW2689" s="1344">
        <f t="shared" si="333"/>
        <v>44825</v>
      </c>
    </row>
    <row r="2690" spans="1:49">
      <c r="A2690" s="1077" t="s">
        <v>8168</v>
      </c>
      <c r="B2690" s="1077" t="s">
        <v>7091</v>
      </c>
      <c r="C2690" s="1077">
        <v>550</v>
      </c>
      <c r="D2690" s="1077">
        <v>1.77</v>
      </c>
      <c r="E2690" s="1077" t="s">
        <v>15121</v>
      </c>
      <c r="F2690" s="1077" t="s">
        <v>648</v>
      </c>
      <c r="G2690" s="1077">
        <v>5</v>
      </c>
      <c r="H2690" s="1077" t="s">
        <v>5435</v>
      </c>
      <c r="I2690" s="1077" t="s">
        <v>7443</v>
      </c>
      <c r="J2690" s="1077">
        <v>3.7</v>
      </c>
      <c r="K2690" s="1077" t="s">
        <v>8137</v>
      </c>
      <c r="L2690" s="1077" t="s">
        <v>5152</v>
      </c>
      <c r="M2690" s="1077">
        <v>295</v>
      </c>
      <c r="N2690" s="1077" t="s">
        <v>945</v>
      </c>
      <c r="O2690" s="1077">
        <v>7.375</v>
      </c>
      <c r="P2690" s="1077">
        <v>5.9</v>
      </c>
      <c r="Q2690" s="1077">
        <v>4</v>
      </c>
      <c r="R2690" s="1077">
        <v>21</v>
      </c>
      <c r="T2690" s="1077">
        <v>29.1</v>
      </c>
      <c r="U2690" s="1077">
        <v>3.7</v>
      </c>
      <c r="V2690" s="1077" t="s">
        <v>648</v>
      </c>
      <c r="W2690" s="1077">
        <v>65</v>
      </c>
      <c r="X2690" s="1077">
        <v>10</v>
      </c>
      <c r="Y2690" s="1077">
        <v>1.5</v>
      </c>
      <c r="Z2690" s="1077" t="s">
        <v>648</v>
      </c>
      <c r="AA2690" s="1077" t="s">
        <v>1525</v>
      </c>
      <c r="AH2690" s="1077" t="s">
        <v>712</v>
      </c>
      <c r="AM2690" s="1078" t="s">
        <v>14294</v>
      </c>
      <c r="AN2690" s="1078" t="s">
        <v>14295</v>
      </c>
      <c r="AO2690" s="1078">
        <f t="shared" si="334"/>
        <v>550</v>
      </c>
      <c r="AP2690" s="1078">
        <f t="shared" si="335"/>
        <v>1.77</v>
      </c>
      <c r="AQ2690" s="1078" t="str">
        <f t="shared" si="336"/>
        <v>1-5-1S85°S+Z</v>
      </c>
      <c r="AR2690" s="1078" t="str">
        <f t="shared" si="337"/>
        <v>NA</v>
      </c>
      <c r="AS2690" s="1078" t="str">
        <f t="shared" si="338"/>
        <v>183/OFF</v>
      </c>
      <c r="AT2690" s="1078" t="str">
        <f t="shared" si="339"/>
        <v>1-5-1S85°S+Z</v>
      </c>
      <c r="AU2690" s="1078" t="s">
        <v>15550</v>
      </c>
      <c r="AV2690" s="1078" t="str">
        <f t="shared" ref="AV2690:AV2753" si="340">AA2690</f>
        <v>111.10.3</v>
      </c>
      <c r="AW2690" s="1344">
        <f t="shared" si="333"/>
        <v>44837</v>
      </c>
    </row>
    <row r="2691" spans="1:49">
      <c r="A2691" s="1077" t="s">
        <v>8169</v>
      </c>
      <c r="B2691" s="1077" t="s">
        <v>663</v>
      </c>
      <c r="C2691" s="1077">
        <v>500</v>
      </c>
      <c r="D2691" s="1077">
        <v>1.7849999999999999</v>
      </c>
      <c r="E2691" s="1077">
        <v>102.5</v>
      </c>
      <c r="F2691" s="1077" t="s">
        <v>4070</v>
      </c>
      <c r="G2691" s="1077">
        <v>5.5</v>
      </c>
      <c r="H2691" s="1077" t="s">
        <v>7484</v>
      </c>
      <c r="I2691" s="1077" t="s">
        <v>7459</v>
      </c>
      <c r="K2691" s="1077" t="s">
        <v>8170</v>
      </c>
      <c r="L2691" s="1077" t="s">
        <v>4907</v>
      </c>
      <c r="M2691" s="1077">
        <v>296.39999999999998</v>
      </c>
      <c r="N2691" s="1077" t="s">
        <v>945</v>
      </c>
      <c r="O2691" s="1077">
        <v>7.41</v>
      </c>
      <c r="P2691" s="1077">
        <v>5.9279999999999999</v>
      </c>
      <c r="Q2691" s="1077">
        <v>3.5</v>
      </c>
      <c r="R2691" s="1077">
        <v>17</v>
      </c>
      <c r="T2691" s="1077">
        <v>10.5</v>
      </c>
      <c r="U2691" s="1077">
        <v>6.1</v>
      </c>
      <c r="V2691" s="1077" t="s">
        <v>648</v>
      </c>
      <c r="W2691" s="1077">
        <v>120</v>
      </c>
      <c r="X2691" s="1077">
        <v>90</v>
      </c>
      <c r="Y2691" s="1077">
        <v>1.1000000000000001</v>
      </c>
      <c r="Z2691" s="1077" t="s">
        <v>648</v>
      </c>
      <c r="AA2691" s="1077" t="s">
        <v>1530</v>
      </c>
      <c r="AH2691" s="1077" t="s">
        <v>854</v>
      </c>
      <c r="AM2691" s="1078" t="s">
        <v>14296</v>
      </c>
      <c r="AN2691" s="1078" t="s">
        <v>14297</v>
      </c>
      <c r="AO2691" s="1078">
        <f t="shared" si="334"/>
        <v>500</v>
      </c>
      <c r="AP2691" s="1078">
        <f t="shared" si="335"/>
        <v>1.7849999999999999</v>
      </c>
      <c r="AQ2691" s="1078">
        <f t="shared" si="336"/>
        <v>102.5</v>
      </c>
      <c r="AR2691" s="1078" t="str">
        <f t="shared" si="337"/>
        <v>15.5</v>
      </c>
      <c r="AS2691" s="1078" t="str">
        <f t="shared" si="338"/>
        <v>355/340/153</v>
      </c>
      <c r="AT2691" s="1078">
        <f t="shared" si="339"/>
        <v>102.5</v>
      </c>
      <c r="AV2691" s="1078" t="str">
        <f t="shared" si="340"/>
        <v>111.10.17</v>
      </c>
      <c r="AW2691" s="1344">
        <f t="shared" ref="AW2691:AW2754" si="341">DATE(VALUE(LEFT(AV2691,FIND(".",AV2691)-1))+1911,
       VALUE(MID(AV2691,FIND(".",AV2691)+1,FIND(".",AV2691,FIND(".",AV2691)+1)-FIND(".",AV2691)-1)),
       VALUE(RIGHT(AV2691,LEN(AV2691)-FIND("~",SUBSTITUTE(AV2691,".","~",2)))))</f>
        <v>44851</v>
      </c>
    </row>
    <row r="2692" spans="1:49">
      <c r="A2692" s="1077" t="s">
        <v>8171</v>
      </c>
      <c r="B2692" s="1077" t="s">
        <v>714</v>
      </c>
      <c r="C2692" s="1077">
        <v>600</v>
      </c>
      <c r="D2692" s="1077">
        <v>1.78</v>
      </c>
      <c r="E2692" s="1077" t="s">
        <v>15109</v>
      </c>
      <c r="F2692" s="1077" t="s">
        <v>648</v>
      </c>
      <c r="G2692" s="1077" t="s">
        <v>6865</v>
      </c>
      <c r="H2692" s="1077" t="s">
        <v>1048</v>
      </c>
      <c r="I2692" s="1077" t="s">
        <v>7800</v>
      </c>
      <c r="J2692" s="1077">
        <v>3.7</v>
      </c>
      <c r="K2692" s="1077" t="s">
        <v>8172</v>
      </c>
      <c r="L2692" s="1077" t="s">
        <v>4666</v>
      </c>
      <c r="M2692" s="1077">
        <v>300.8</v>
      </c>
      <c r="N2692" s="1077" t="s">
        <v>945</v>
      </c>
      <c r="O2692" s="1077">
        <v>7.5200000000000005</v>
      </c>
      <c r="P2692" s="1077">
        <v>6.016</v>
      </c>
      <c r="Q2692" s="1077">
        <v>4</v>
      </c>
      <c r="R2692" s="1077">
        <v>17</v>
      </c>
      <c r="T2692" s="1077">
        <v>31.4</v>
      </c>
      <c r="U2692" s="1077">
        <v>3.6</v>
      </c>
      <c r="V2692" s="1077" t="s">
        <v>648</v>
      </c>
      <c r="W2692" s="1077">
        <v>65</v>
      </c>
      <c r="X2692" s="1077">
        <v>10</v>
      </c>
      <c r="Y2692" s="1077">
        <v>1.5</v>
      </c>
      <c r="Z2692" s="1077" t="s">
        <v>648</v>
      </c>
      <c r="AA2692" s="1077" t="s">
        <v>5893</v>
      </c>
      <c r="AH2692" s="1077" t="s">
        <v>785</v>
      </c>
      <c r="AM2692" s="1078" t="s">
        <v>14298</v>
      </c>
      <c r="AN2692" s="1078" t="s">
        <v>14299</v>
      </c>
      <c r="AO2692" s="1078">
        <f t="shared" si="334"/>
        <v>600</v>
      </c>
      <c r="AP2692" s="1078">
        <f t="shared" si="335"/>
        <v>1.78</v>
      </c>
      <c r="AQ2692" s="1078" t="str">
        <f t="shared" si="336"/>
        <v>1-5-1S85°Z+S</v>
      </c>
      <c r="AR2692" s="1078" t="str">
        <f t="shared" si="337"/>
        <v>NA</v>
      </c>
      <c r="AS2692" s="1078" t="str">
        <f t="shared" si="338"/>
        <v>188/OFF</v>
      </c>
      <c r="AT2692" s="1078" t="str">
        <f t="shared" si="339"/>
        <v>1-5-1S85°Z+S</v>
      </c>
      <c r="AU2692" s="1078" t="s">
        <v>15547</v>
      </c>
      <c r="AV2692" s="1078" t="str">
        <f t="shared" si="340"/>
        <v>111.12.5</v>
      </c>
      <c r="AW2692" s="1344">
        <f t="shared" si="341"/>
        <v>44900</v>
      </c>
    </row>
    <row r="2693" spans="1:49">
      <c r="A2693" s="1077" t="s">
        <v>8173</v>
      </c>
      <c r="B2693" s="1077" t="s">
        <v>8057</v>
      </c>
      <c r="C2693" s="1077">
        <v>600</v>
      </c>
      <c r="D2693" s="1077">
        <v>1.8</v>
      </c>
      <c r="E2693" s="1077" t="s">
        <v>15116</v>
      </c>
      <c r="F2693" s="1077" t="s">
        <v>2234</v>
      </c>
      <c r="G2693" s="1077">
        <v>5</v>
      </c>
      <c r="H2693" s="1077" t="s">
        <v>6952</v>
      </c>
      <c r="I2693" s="1077" t="s">
        <v>7150</v>
      </c>
      <c r="K2693" s="1077" t="s">
        <v>8174</v>
      </c>
      <c r="L2693" s="1077" t="s">
        <v>8059</v>
      </c>
      <c r="M2693" s="1077">
        <v>303</v>
      </c>
      <c r="N2693" s="1077" t="s">
        <v>945</v>
      </c>
      <c r="O2693" s="1077">
        <v>7.5750000000000002</v>
      </c>
      <c r="P2693" s="1077">
        <v>6.0600000000000005</v>
      </c>
      <c r="Q2693" s="1077">
        <v>3.5</v>
      </c>
      <c r="R2693" s="1077">
        <v>21</v>
      </c>
      <c r="T2693" s="1077">
        <v>24</v>
      </c>
      <c r="U2693" s="1077">
        <v>3.4</v>
      </c>
      <c r="V2693" s="1077" t="s">
        <v>648</v>
      </c>
      <c r="W2693" s="1077">
        <v>115</v>
      </c>
      <c r="X2693" s="1077">
        <v>85</v>
      </c>
      <c r="Y2693" s="1077">
        <v>1.2</v>
      </c>
      <c r="Z2693" s="1077" t="s">
        <v>648</v>
      </c>
      <c r="AA2693" s="1077" t="s">
        <v>8175</v>
      </c>
      <c r="AH2693" s="1077" t="s">
        <v>958</v>
      </c>
      <c r="AM2693" s="1078" t="s">
        <v>14300</v>
      </c>
      <c r="AN2693" s="1078" t="s">
        <v>14301</v>
      </c>
      <c r="AO2693" s="1078">
        <f t="shared" si="334"/>
        <v>600</v>
      </c>
      <c r="AP2693" s="1078">
        <f t="shared" si="335"/>
        <v>1.8</v>
      </c>
      <c r="AQ2693" s="1078" t="str">
        <f t="shared" si="336"/>
        <v>1-5-1S83°Z+S</v>
      </c>
      <c r="AR2693" s="1078" t="str">
        <f t="shared" si="337"/>
        <v>33.5</v>
      </c>
      <c r="AS2693" s="1078" t="str">
        <f t="shared" si="338"/>
        <v>340/340/140</v>
      </c>
      <c r="AT2693" s="1078" t="str">
        <f t="shared" si="339"/>
        <v>1-5-1S83°Z+S</v>
      </c>
      <c r="AU2693" s="1078" t="s">
        <v>15547</v>
      </c>
      <c r="AV2693" s="1078" t="str">
        <f t="shared" si="340"/>
        <v>111.11.15</v>
      </c>
      <c r="AW2693" s="1344">
        <f t="shared" si="341"/>
        <v>44880</v>
      </c>
    </row>
    <row r="2694" spans="1:49">
      <c r="A2694" s="1077" t="s">
        <v>8176</v>
      </c>
      <c r="B2694" s="1077" t="s">
        <v>6951</v>
      </c>
      <c r="C2694" s="1077">
        <v>600</v>
      </c>
      <c r="D2694" s="1077">
        <v>1.77</v>
      </c>
      <c r="E2694" s="1077" t="s">
        <v>15116</v>
      </c>
      <c r="F2694" s="1077" t="s">
        <v>2234</v>
      </c>
      <c r="G2694" s="1077">
        <v>3.5</v>
      </c>
      <c r="H2694" s="1077" t="s">
        <v>6952</v>
      </c>
      <c r="I2694" s="1077" t="s">
        <v>7021</v>
      </c>
      <c r="K2694" s="1077" t="s">
        <v>8177</v>
      </c>
      <c r="L2694" s="1077" t="s">
        <v>6955</v>
      </c>
      <c r="M2694" s="1077">
        <v>310</v>
      </c>
      <c r="N2694" s="1077" t="s">
        <v>945</v>
      </c>
      <c r="O2694" s="1077">
        <v>7.75</v>
      </c>
      <c r="P2694" s="1077">
        <v>6.2</v>
      </c>
      <c r="Q2694" s="1077">
        <v>3.5</v>
      </c>
      <c r="R2694" s="1077">
        <v>25</v>
      </c>
      <c r="T2694" s="1077">
        <v>23</v>
      </c>
      <c r="U2694" s="1077">
        <v>3.2</v>
      </c>
      <c r="V2694" s="1077" t="s">
        <v>648</v>
      </c>
      <c r="W2694" s="1077">
        <v>115</v>
      </c>
      <c r="X2694" s="1077">
        <v>85</v>
      </c>
      <c r="Y2694" s="1077">
        <v>1.2</v>
      </c>
      <c r="Z2694" s="1077" t="s">
        <v>648</v>
      </c>
      <c r="AA2694" s="1077" t="s">
        <v>8178</v>
      </c>
      <c r="AH2694" s="1077" t="s">
        <v>622</v>
      </c>
      <c r="AM2694" s="1078" t="s">
        <v>14302</v>
      </c>
      <c r="AN2694" s="1078" t="s">
        <v>14303</v>
      </c>
      <c r="AO2694" s="1078">
        <f t="shared" si="334"/>
        <v>600</v>
      </c>
      <c r="AP2694" s="1078">
        <f t="shared" si="335"/>
        <v>1.77</v>
      </c>
      <c r="AQ2694" s="1078" t="str">
        <f t="shared" si="336"/>
        <v>1-5-1S83°Z+S</v>
      </c>
      <c r="AR2694" s="1078" t="str">
        <f t="shared" si="337"/>
        <v>33.5</v>
      </c>
      <c r="AS2694" s="1078" t="str">
        <f t="shared" si="338"/>
        <v>340/340/140</v>
      </c>
      <c r="AT2694" s="1078" t="str">
        <f t="shared" si="339"/>
        <v>1-5-1S83°Z+S</v>
      </c>
      <c r="AU2694" s="1078" t="s">
        <v>15547</v>
      </c>
      <c r="AV2694" s="1078" t="str">
        <f t="shared" si="340"/>
        <v>111.11.24</v>
      </c>
      <c r="AW2694" s="1344">
        <f t="shared" si="341"/>
        <v>44889</v>
      </c>
    </row>
    <row r="2695" spans="1:49">
      <c r="A2695" s="1077" t="s">
        <v>8179</v>
      </c>
      <c r="B2695" s="1077" t="s">
        <v>6940</v>
      </c>
      <c r="C2695" s="1077">
        <v>500</v>
      </c>
      <c r="D2695" s="1077">
        <v>1.75</v>
      </c>
      <c r="E2695" s="1077" t="s">
        <v>15112</v>
      </c>
      <c r="F2695" s="1077" t="s">
        <v>984</v>
      </c>
      <c r="G2695" s="1077">
        <v>5</v>
      </c>
      <c r="H2695" s="1077" t="s">
        <v>955</v>
      </c>
      <c r="I2695" s="1077" t="s">
        <v>7105</v>
      </c>
      <c r="J2695" s="1077">
        <v>1</v>
      </c>
      <c r="K2695" s="1077" t="s">
        <v>8180</v>
      </c>
      <c r="L2695" s="1077" t="s">
        <v>4952</v>
      </c>
      <c r="M2695" s="1077">
        <v>308.39999999999998</v>
      </c>
      <c r="N2695" s="1077" t="s">
        <v>945</v>
      </c>
      <c r="O2695" s="1077">
        <v>7.71</v>
      </c>
      <c r="P2695" s="1077">
        <v>6.1679999999999993</v>
      </c>
      <c r="Q2695" s="1077">
        <v>2.8</v>
      </c>
      <c r="R2695" s="1077">
        <v>29.5</v>
      </c>
      <c r="T2695" s="1077">
        <v>14.5</v>
      </c>
      <c r="U2695" s="1077">
        <v>5</v>
      </c>
      <c r="V2695" s="1077" t="s">
        <v>648</v>
      </c>
      <c r="W2695" s="1077" t="s">
        <v>6990</v>
      </c>
      <c r="X2695" s="1077">
        <v>10</v>
      </c>
      <c r="Y2695" s="1077">
        <v>1.7</v>
      </c>
      <c r="Z2695" s="1077" t="s">
        <v>648</v>
      </c>
      <c r="AA2695" s="1077" t="s">
        <v>3298</v>
      </c>
      <c r="AH2695" s="1077" t="s">
        <v>468</v>
      </c>
      <c r="AM2695" s="1078" t="s">
        <v>14304</v>
      </c>
      <c r="AN2695" s="1078" t="s">
        <v>14305</v>
      </c>
      <c r="AO2695" s="1078">
        <f t="shared" si="334"/>
        <v>500</v>
      </c>
      <c r="AP2695" s="1078">
        <f t="shared" si="335"/>
        <v>1.75</v>
      </c>
      <c r="AQ2695" s="1078" t="str">
        <f t="shared" si="336"/>
        <v>1-5-1S87°Z+S</v>
      </c>
      <c r="AR2695" s="1078" t="str">
        <f t="shared" si="337"/>
        <v>30</v>
      </c>
      <c r="AS2695" s="1078" t="str">
        <f t="shared" si="338"/>
        <v>260/260/OFF</v>
      </c>
      <c r="AT2695" s="1078" t="str">
        <f t="shared" si="339"/>
        <v>1-5-1S87°Z+S</v>
      </c>
      <c r="AU2695" s="1078" t="s">
        <v>15547</v>
      </c>
      <c r="AV2695" s="1078" t="str">
        <f t="shared" si="340"/>
        <v>111.12.6</v>
      </c>
      <c r="AW2695" s="1344">
        <f t="shared" si="341"/>
        <v>44901</v>
      </c>
    </row>
    <row r="2696" spans="1:49">
      <c r="A2696" s="1077" t="s">
        <v>8181</v>
      </c>
      <c r="B2696" s="1077" t="s">
        <v>7091</v>
      </c>
      <c r="C2696" s="1077">
        <v>500</v>
      </c>
      <c r="D2696" s="1077">
        <v>1.76</v>
      </c>
      <c r="E2696" s="1077">
        <v>102.5</v>
      </c>
      <c r="F2696" s="1077" t="s">
        <v>4070</v>
      </c>
      <c r="G2696" s="1077">
        <v>5</v>
      </c>
      <c r="H2696" s="1077" t="s">
        <v>8050</v>
      </c>
      <c r="I2696" s="1077" t="s">
        <v>8110</v>
      </c>
      <c r="J2696" s="1077">
        <v>3.7</v>
      </c>
      <c r="K2696" s="1077" t="s">
        <v>8094</v>
      </c>
      <c r="L2696" s="1077" t="s">
        <v>5152</v>
      </c>
      <c r="M2696" s="1077">
        <v>296</v>
      </c>
      <c r="N2696" s="1077" t="s">
        <v>945</v>
      </c>
      <c r="O2696" s="1077">
        <v>7.4</v>
      </c>
      <c r="P2696" s="1077">
        <v>5.92</v>
      </c>
      <c r="Q2696" s="1077">
        <v>4</v>
      </c>
      <c r="R2696" s="1077">
        <v>21</v>
      </c>
      <c r="T2696" s="1077">
        <v>22</v>
      </c>
      <c r="U2696" s="1077">
        <v>3.2</v>
      </c>
      <c r="V2696" s="1077" t="s">
        <v>648</v>
      </c>
      <c r="W2696" s="1077" t="s">
        <v>1549</v>
      </c>
      <c r="X2696" s="1077" t="s">
        <v>8182</v>
      </c>
      <c r="Y2696" s="1077">
        <v>1</v>
      </c>
      <c r="Z2696" s="1077" t="s">
        <v>648</v>
      </c>
      <c r="AA2696" s="1077" t="s">
        <v>1550</v>
      </c>
      <c r="AH2696" s="1077" t="s">
        <v>1643</v>
      </c>
      <c r="AM2696" s="1078" t="s">
        <v>14306</v>
      </c>
      <c r="AN2696" s="1078" t="s">
        <v>14307</v>
      </c>
      <c r="AO2696" s="1078">
        <f t="shared" si="334"/>
        <v>500</v>
      </c>
      <c r="AP2696" s="1078">
        <f t="shared" si="335"/>
        <v>1.76</v>
      </c>
      <c r="AQ2696" s="1078">
        <f t="shared" si="336"/>
        <v>102.5</v>
      </c>
      <c r="AR2696" s="1078" t="str">
        <f t="shared" si="337"/>
        <v>15.5</v>
      </c>
      <c r="AS2696" s="1078" t="str">
        <f t="shared" si="338"/>
        <v>445/405/170</v>
      </c>
      <c r="AT2696" s="1078">
        <f t="shared" si="339"/>
        <v>102.5</v>
      </c>
      <c r="AV2696" s="1078" t="str">
        <f t="shared" si="340"/>
        <v>111.12.19</v>
      </c>
      <c r="AW2696" s="1344">
        <f t="shared" si="341"/>
        <v>44914</v>
      </c>
    </row>
    <row r="2697" spans="1:49">
      <c r="A2697" s="1077" t="s">
        <v>8183</v>
      </c>
      <c r="B2697" s="1077" t="s">
        <v>8184</v>
      </c>
      <c r="C2697" s="1077">
        <v>600</v>
      </c>
      <c r="D2697" s="1077">
        <v>1.75</v>
      </c>
      <c r="E2697" s="1077" t="s">
        <v>15116</v>
      </c>
      <c r="F2697" s="1077" t="s">
        <v>2234</v>
      </c>
      <c r="G2697" s="1077">
        <v>4</v>
      </c>
      <c r="H2697" s="1077" t="s">
        <v>5980</v>
      </c>
      <c r="I2697" s="1077" t="s">
        <v>6953</v>
      </c>
      <c r="J2697" s="1077">
        <v>3</v>
      </c>
      <c r="K2697" s="1077" t="s">
        <v>8185</v>
      </c>
      <c r="L2697" s="1077" t="s">
        <v>8186</v>
      </c>
      <c r="M2697" s="1077">
        <v>310</v>
      </c>
      <c r="N2697" s="1077" t="s">
        <v>945</v>
      </c>
      <c r="O2697" s="1077">
        <v>7.75</v>
      </c>
      <c r="P2697" s="1077">
        <v>6.2</v>
      </c>
      <c r="Q2697" s="1077">
        <v>3.5</v>
      </c>
      <c r="R2697" s="1077">
        <v>25</v>
      </c>
      <c r="T2697" s="1077">
        <v>29</v>
      </c>
      <c r="U2697" s="1077">
        <v>3.8</v>
      </c>
      <c r="V2697" s="1077" t="s">
        <v>648</v>
      </c>
      <c r="W2697" s="1077">
        <v>110</v>
      </c>
      <c r="X2697" s="1077">
        <v>70</v>
      </c>
      <c r="Y2697" s="1077">
        <v>1.5</v>
      </c>
      <c r="Z2697" s="1077" t="s">
        <v>648</v>
      </c>
      <c r="AA2697" s="1077" t="s">
        <v>5916</v>
      </c>
      <c r="AH2697" s="1077" t="s">
        <v>1137</v>
      </c>
      <c r="AM2697" s="1078" t="s">
        <v>14308</v>
      </c>
      <c r="AN2697" s="1078" t="s">
        <v>14309</v>
      </c>
      <c r="AO2697" s="1078">
        <f t="shared" si="334"/>
        <v>600</v>
      </c>
      <c r="AP2697" s="1078">
        <f t="shared" si="335"/>
        <v>1.75</v>
      </c>
      <c r="AQ2697" s="1078" t="str">
        <f t="shared" si="336"/>
        <v>1-5-1S83°Z+S</v>
      </c>
      <c r="AR2697" s="1078" t="str">
        <f t="shared" si="337"/>
        <v>33.5</v>
      </c>
      <c r="AS2697" s="1078" t="str">
        <f t="shared" si="338"/>
        <v>360/360/OFF</v>
      </c>
      <c r="AT2697" s="1078" t="str">
        <f t="shared" si="339"/>
        <v>1-5-1S83°Z+S</v>
      </c>
      <c r="AU2697" s="1078" t="s">
        <v>15547</v>
      </c>
      <c r="AV2697" s="1078" t="str">
        <f t="shared" si="340"/>
        <v>111.12.16</v>
      </c>
      <c r="AW2697" s="1344">
        <f t="shared" si="341"/>
        <v>44911</v>
      </c>
    </row>
    <row r="2698" spans="1:49">
      <c r="A2698" s="1077" t="s">
        <v>8187</v>
      </c>
      <c r="B2698" s="1077" t="s">
        <v>8023</v>
      </c>
      <c r="C2698" s="1077">
        <v>600</v>
      </c>
      <c r="D2698" s="1077">
        <v>1.7849999999999999</v>
      </c>
      <c r="E2698" s="1077" t="s">
        <v>15116</v>
      </c>
      <c r="F2698" s="1077" t="s">
        <v>2234</v>
      </c>
      <c r="G2698" s="1077">
        <v>3.5</v>
      </c>
      <c r="H2698" s="1077" t="s">
        <v>6952</v>
      </c>
      <c r="I2698" s="1077" t="s">
        <v>7150</v>
      </c>
      <c r="K2698" s="1077" t="s">
        <v>8188</v>
      </c>
      <c r="L2698" s="1077" t="s">
        <v>8025</v>
      </c>
      <c r="M2698" s="1077">
        <v>310</v>
      </c>
      <c r="N2698" s="1077" t="s">
        <v>945</v>
      </c>
      <c r="O2698" s="1077">
        <v>7.75</v>
      </c>
      <c r="P2698" s="1077">
        <v>6.2</v>
      </c>
      <c r="Q2698" s="1077">
        <v>3.5</v>
      </c>
      <c r="R2698" s="1077">
        <v>21</v>
      </c>
      <c r="T2698" s="1077">
        <v>24</v>
      </c>
      <c r="U2698" s="1077">
        <v>3.4</v>
      </c>
      <c r="V2698" s="1077" t="s">
        <v>648</v>
      </c>
      <c r="W2698" s="1077">
        <v>115</v>
      </c>
      <c r="X2698" s="1077">
        <v>85</v>
      </c>
      <c r="Y2698" s="1077">
        <v>1.2</v>
      </c>
      <c r="Z2698" s="1077" t="s">
        <v>648</v>
      </c>
      <c r="AA2698" s="1077" t="s">
        <v>3399</v>
      </c>
      <c r="AH2698" s="1077" t="s">
        <v>482</v>
      </c>
      <c r="AM2698" s="1078" t="s">
        <v>14310</v>
      </c>
      <c r="AN2698" s="1078" t="s">
        <v>14311</v>
      </c>
      <c r="AO2698" s="1078">
        <f t="shared" si="334"/>
        <v>600</v>
      </c>
      <c r="AP2698" s="1078">
        <f t="shared" si="335"/>
        <v>1.7849999999999999</v>
      </c>
      <c r="AQ2698" s="1078" t="str">
        <f t="shared" si="336"/>
        <v>1-5-1S83°Z+S</v>
      </c>
      <c r="AR2698" s="1078" t="str">
        <f t="shared" si="337"/>
        <v>33.5</v>
      </c>
      <c r="AS2698" s="1078" t="str">
        <f t="shared" si="338"/>
        <v>340/340/140</v>
      </c>
      <c r="AT2698" s="1078" t="str">
        <f t="shared" si="339"/>
        <v>1-5-1S83°Z+S</v>
      </c>
      <c r="AU2698" s="1078" t="s">
        <v>15547</v>
      </c>
      <c r="AV2698" s="1078" t="str">
        <f t="shared" si="340"/>
        <v>111.12.21</v>
      </c>
      <c r="AW2698" s="1344">
        <f t="shared" si="341"/>
        <v>44916</v>
      </c>
    </row>
    <row r="2699" spans="1:49">
      <c r="A2699" s="1077" t="s">
        <v>8189</v>
      </c>
      <c r="B2699" s="1077" t="s">
        <v>7149</v>
      </c>
      <c r="C2699" s="1077">
        <v>600</v>
      </c>
      <c r="D2699" s="1077">
        <v>1.8</v>
      </c>
      <c r="E2699" s="1077" t="s">
        <v>15116</v>
      </c>
      <c r="F2699" s="1077" t="s">
        <v>2234</v>
      </c>
      <c r="G2699" s="1077">
        <v>5</v>
      </c>
      <c r="H2699" s="1077" t="s">
        <v>6952</v>
      </c>
      <c r="I2699" s="1077" t="s">
        <v>7021</v>
      </c>
      <c r="K2699" s="1077" t="s">
        <v>8033</v>
      </c>
      <c r="L2699" s="1077" t="s">
        <v>7168</v>
      </c>
      <c r="M2699" s="1077">
        <v>310</v>
      </c>
      <c r="N2699" s="1077" t="s">
        <v>945</v>
      </c>
      <c r="O2699" s="1077">
        <v>7.75</v>
      </c>
      <c r="P2699" s="1077">
        <v>6.2</v>
      </c>
      <c r="Q2699" s="1077">
        <v>3.5</v>
      </c>
      <c r="R2699" s="1077">
        <v>21</v>
      </c>
      <c r="T2699" s="1077">
        <v>24</v>
      </c>
      <c r="U2699" s="1077">
        <v>3.4</v>
      </c>
      <c r="V2699" s="1077" t="s">
        <v>648</v>
      </c>
      <c r="W2699" s="1077">
        <v>115</v>
      </c>
      <c r="X2699" s="1077" t="s">
        <v>8190</v>
      </c>
      <c r="Y2699" s="1077">
        <v>1.2</v>
      </c>
      <c r="Z2699" s="1077" t="s">
        <v>648</v>
      </c>
      <c r="AA2699" s="1077" t="s">
        <v>3397</v>
      </c>
      <c r="AH2699" s="1077" t="s">
        <v>483</v>
      </c>
      <c r="AM2699" s="1078" t="s">
        <v>14312</v>
      </c>
      <c r="AN2699" s="1078" t="s">
        <v>14313</v>
      </c>
      <c r="AO2699" s="1078">
        <f t="shared" ref="AO2699:AO2762" si="342">C2699</f>
        <v>600</v>
      </c>
      <c r="AP2699" s="1078">
        <f t="shared" ref="AP2699:AP2762" si="343">D2699</f>
        <v>1.8</v>
      </c>
      <c r="AQ2699" s="1078" t="str">
        <f t="shared" ref="AQ2699:AQ2762" si="344">E2699</f>
        <v>1-5-1S83°Z+S</v>
      </c>
      <c r="AR2699" s="1078" t="str">
        <f t="shared" ref="AR2699:AR2762" si="345">F2699</f>
        <v>33.5</v>
      </c>
      <c r="AS2699" s="1078" t="str">
        <f t="shared" ref="AS2699:AS2762" si="346">H2699</f>
        <v>340/340/140</v>
      </c>
      <c r="AT2699" s="1078" t="str">
        <f t="shared" ref="AT2699:AT2762" si="347">E2699</f>
        <v>1-5-1S83°Z+S</v>
      </c>
      <c r="AU2699" s="1078" t="s">
        <v>15547</v>
      </c>
      <c r="AV2699" s="1078" t="str">
        <f t="shared" si="340"/>
        <v>111.12.23</v>
      </c>
      <c r="AW2699" s="1344">
        <f t="shared" si="341"/>
        <v>44918</v>
      </c>
    </row>
    <row r="2700" spans="1:49">
      <c r="A2700" s="1077" t="s">
        <v>8191</v>
      </c>
      <c r="B2700" s="1077" t="s">
        <v>8157</v>
      </c>
      <c r="C2700" s="1077">
        <v>600</v>
      </c>
      <c r="D2700" s="1077">
        <v>1.7849999999999999</v>
      </c>
      <c r="E2700" s="1077" t="s">
        <v>15116</v>
      </c>
      <c r="F2700" s="1077" t="s">
        <v>2234</v>
      </c>
      <c r="G2700" s="1077">
        <v>3.5</v>
      </c>
      <c r="H2700" s="1077" t="s">
        <v>6952</v>
      </c>
      <c r="I2700" s="1077" t="s">
        <v>6953</v>
      </c>
      <c r="J2700" s="1077">
        <v>3</v>
      </c>
      <c r="K2700" s="1077" t="s">
        <v>8158</v>
      </c>
      <c r="L2700" s="1077" t="s">
        <v>8159</v>
      </c>
      <c r="M2700" s="1077">
        <v>310</v>
      </c>
      <c r="N2700" s="1077" t="s">
        <v>945</v>
      </c>
      <c r="O2700" s="1077">
        <v>7.75</v>
      </c>
      <c r="P2700" s="1077">
        <v>6.2</v>
      </c>
      <c r="Q2700" s="1077">
        <v>3.5</v>
      </c>
      <c r="R2700" s="1077">
        <v>22</v>
      </c>
      <c r="T2700" s="1077">
        <v>22</v>
      </c>
      <c r="U2700" s="1077">
        <v>3.5</v>
      </c>
      <c r="V2700" s="1077" t="s">
        <v>648</v>
      </c>
      <c r="W2700" s="1077">
        <v>110</v>
      </c>
      <c r="X2700" s="1077">
        <v>85</v>
      </c>
      <c r="Y2700" s="1077">
        <v>1</v>
      </c>
      <c r="Z2700" s="1077" t="s">
        <v>648</v>
      </c>
      <c r="AA2700" s="1077" t="s">
        <v>3308</v>
      </c>
      <c r="AH2700" s="1077" t="s">
        <v>994</v>
      </c>
      <c r="AM2700" s="1078" t="s">
        <v>14314</v>
      </c>
      <c r="AN2700" s="1078" t="s">
        <v>14315</v>
      </c>
      <c r="AO2700" s="1078">
        <f t="shared" si="342"/>
        <v>600</v>
      </c>
      <c r="AP2700" s="1078">
        <f t="shared" si="343"/>
        <v>1.7849999999999999</v>
      </c>
      <c r="AQ2700" s="1078" t="str">
        <f t="shared" si="344"/>
        <v>1-5-1S83°Z+S</v>
      </c>
      <c r="AR2700" s="1078" t="str">
        <f t="shared" si="345"/>
        <v>33.5</v>
      </c>
      <c r="AS2700" s="1078" t="str">
        <f t="shared" si="346"/>
        <v>340/340/140</v>
      </c>
      <c r="AT2700" s="1078" t="str">
        <f t="shared" si="347"/>
        <v>1-5-1S83°Z+S</v>
      </c>
      <c r="AU2700" s="1078" t="s">
        <v>15547</v>
      </c>
      <c r="AV2700" s="1078" t="str">
        <f t="shared" si="340"/>
        <v>111.12.26</v>
      </c>
      <c r="AW2700" s="1344">
        <f t="shared" si="341"/>
        <v>44921</v>
      </c>
    </row>
    <row r="2701" spans="1:49">
      <c r="A2701" s="1077" t="s">
        <v>8192</v>
      </c>
      <c r="B2701" s="1077" t="s">
        <v>714</v>
      </c>
      <c r="C2701" s="1077">
        <v>500</v>
      </c>
      <c r="D2701" s="1077">
        <v>1.78</v>
      </c>
      <c r="E2701" s="1077">
        <v>102.5</v>
      </c>
      <c r="F2701" s="1077" t="s">
        <v>4070</v>
      </c>
      <c r="G2701" s="1077">
        <v>5.5</v>
      </c>
      <c r="H2701" s="1077" t="s">
        <v>8093</v>
      </c>
      <c r="I2701" s="1077" t="s">
        <v>8153</v>
      </c>
      <c r="J2701" s="1077">
        <v>3.7</v>
      </c>
      <c r="K2701" s="1077" t="s">
        <v>8193</v>
      </c>
      <c r="L2701" s="1077" t="s">
        <v>4666</v>
      </c>
      <c r="M2701" s="1077">
        <v>295.10000000000002</v>
      </c>
      <c r="N2701" s="1077" t="s">
        <v>945</v>
      </c>
      <c r="O2701" s="1077">
        <v>7.3775000000000013</v>
      </c>
      <c r="P2701" s="1077">
        <v>5.9020000000000001</v>
      </c>
      <c r="Q2701" s="1077">
        <v>4</v>
      </c>
      <c r="R2701" s="1077">
        <v>17.399999999999999</v>
      </c>
      <c r="T2701" s="1077">
        <v>31</v>
      </c>
      <c r="U2701" s="1077">
        <v>3.5</v>
      </c>
      <c r="V2701" s="1077" t="s">
        <v>648</v>
      </c>
      <c r="W2701" s="1077" t="s">
        <v>8194</v>
      </c>
      <c r="X2701" s="1077" t="s">
        <v>8182</v>
      </c>
      <c r="Y2701" s="1077">
        <v>1</v>
      </c>
      <c r="Z2701" s="1077" t="s">
        <v>648</v>
      </c>
      <c r="AA2701" s="1077" t="s">
        <v>5927</v>
      </c>
      <c r="AH2701" s="1077" t="s">
        <v>887</v>
      </c>
      <c r="AM2701" s="1078" t="s">
        <v>14316</v>
      </c>
      <c r="AN2701" s="1078" t="s">
        <v>14317</v>
      </c>
      <c r="AO2701" s="1078">
        <f t="shared" si="342"/>
        <v>500</v>
      </c>
      <c r="AP2701" s="1078">
        <f t="shared" si="343"/>
        <v>1.78</v>
      </c>
      <c r="AQ2701" s="1078">
        <f t="shared" si="344"/>
        <v>102.5</v>
      </c>
      <c r="AR2701" s="1078" t="str">
        <f t="shared" si="345"/>
        <v>15.5</v>
      </c>
      <c r="AS2701" s="1078" t="str">
        <f t="shared" si="346"/>
        <v>465/425/OFF</v>
      </c>
      <c r="AT2701" s="1078">
        <f t="shared" si="347"/>
        <v>102.5</v>
      </c>
      <c r="AV2701" s="1078" t="str">
        <f t="shared" si="340"/>
        <v>111.12.29</v>
      </c>
      <c r="AW2701" s="1344">
        <f t="shared" si="341"/>
        <v>44924</v>
      </c>
    </row>
    <row r="2702" spans="1:49">
      <c r="A2702" s="1077" t="s">
        <v>8195</v>
      </c>
      <c r="B2702" s="1077" t="s">
        <v>7214</v>
      </c>
      <c r="C2702" s="1077">
        <v>500</v>
      </c>
      <c r="D2702" s="1077">
        <v>1.7549999999999999</v>
      </c>
      <c r="E2702" s="1077" t="s">
        <v>15109</v>
      </c>
      <c r="F2702" s="1077" t="s">
        <v>648</v>
      </c>
      <c r="G2702" s="1077">
        <v>5</v>
      </c>
      <c r="H2702" s="1077" t="s">
        <v>941</v>
      </c>
      <c r="I2702" s="1077" t="s">
        <v>6929</v>
      </c>
      <c r="J2702" s="1077">
        <v>3</v>
      </c>
      <c r="K2702" s="1077" t="s">
        <v>7640</v>
      </c>
      <c r="L2702" s="1077" t="s">
        <v>6043</v>
      </c>
      <c r="M2702" s="1077">
        <v>302.8</v>
      </c>
      <c r="N2702" s="1077" t="s">
        <v>945</v>
      </c>
      <c r="O2702" s="1077">
        <v>7.57</v>
      </c>
      <c r="P2702" s="1077">
        <v>6.056</v>
      </c>
      <c r="Q2702" s="1077">
        <v>4</v>
      </c>
      <c r="R2702" s="1077">
        <v>22</v>
      </c>
      <c r="T2702" s="1077">
        <v>27</v>
      </c>
      <c r="U2702" s="1077">
        <v>3.5</v>
      </c>
      <c r="V2702" s="1077" t="s">
        <v>648</v>
      </c>
      <c r="W2702" s="1077">
        <v>135</v>
      </c>
      <c r="X2702" s="1077">
        <v>90</v>
      </c>
      <c r="Y2702" s="1077">
        <v>1.4</v>
      </c>
      <c r="Z2702" s="1077" t="s">
        <v>648</v>
      </c>
      <c r="AA2702" s="1077" t="s">
        <v>3401</v>
      </c>
      <c r="AH2702" s="1077" t="s">
        <v>853</v>
      </c>
      <c r="AM2702" s="1078" t="s">
        <v>14318</v>
      </c>
      <c r="AN2702" s="1078" t="s">
        <v>14319</v>
      </c>
      <c r="AO2702" s="1078">
        <f t="shared" si="342"/>
        <v>500</v>
      </c>
      <c r="AP2702" s="1078">
        <f t="shared" si="343"/>
        <v>1.7549999999999999</v>
      </c>
      <c r="AQ2702" s="1078" t="str">
        <f t="shared" si="344"/>
        <v>1-5-1S85°Z+S</v>
      </c>
      <c r="AR2702" s="1078" t="str">
        <f t="shared" si="345"/>
        <v>NA</v>
      </c>
      <c r="AS2702" s="1078" t="str">
        <f t="shared" si="346"/>
        <v>185/OFF</v>
      </c>
      <c r="AT2702" s="1078" t="str">
        <f t="shared" si="347"/>
        <v>1-5-1S85°Z+S</v>
      </c>
      <c r="AU2702" s="1078" t="s">
        <v>15547</v>
      </c>
      <c r="AV2702" s="1078" t="str">
        <f t="shared" si="340"/>
        <v>112.1.3</v>
      </c>
      <c r="AW2702" s="1344">
        <f t="shared" si="341"/>
        <v>44929</v>
      </c>
    </row>
    <row r="2703" spans="1:49">
      <c r="A2703" s="1077" t="s">
        <v>8196</v>
      </c>
      <c r="B2703" s="1077" t="s">
        <v>7132</v>
      </c>
      <c r="C2703" s="1077">
        <v>600</v>
      </c>
      <c r="D2703" s="1077">
        <v>1.7949999999999999</v>
      </c>
      <c r="E2703" s="1077" t="s">
        <v>15116</v>
      </c>
      <c r="F2703" s="1077" t="s">
        <v>2234</v>
      </c>
      <c r="G2703" s="1077">
        <v>3.5</v>
      </c>
      <c r="H2703" s="1077" t="s">
        <v>6952</v>
      </c>
      <c r="I2703" s="1077" t="s">
        <v>7150</v>
      </c>
      <c r="K2703" s="1077" t="s">
        <v>8197</v>
      </c>
      <c r="L2703" s="1077" t="s">
        <v>7134</v>
      </c>
      <c r="M2703" s="1077">
        <v>310</v>
      </c>
      <c r="N2703" s="1077" t="s">
        <v>945</v>
      </c>
      <c r="O2703" s="1077">
        <v>7.75</v>
      </c>
      <c r="P2703" s="1077">
        <v>6.2</v>
      </c>
      <c r="Q2703" s="1077">
        <v>3.5</v>
      </c>
      <c r="R2703" s="1077">
        <v>21</v>
      </c>
      <c r="T2703" s="1077">
        <v>24</v>
      </c>
      <c r="U2703" s="1077">
        <v>3.4</v>
      </c>
      <c r="V2703" s="1077" t="s">
        <v>648</v>
      </c>
      <c r="W2703" s="1077">
        <v>115</v>
      </c>
      <c r="X2703" s="1077">
        <v>85</v>
      </c>
      <c r="Y2703" s="1077" t="s">
        <v>8198</v>
      </c>
      <c r="Z2703" s="1077" t="s">
        <v>648</v>
      </c>
      <c r="AA2703" s="1077" t="s">
        <v>6034</v>
      </c>
      <c r="AH2703" s="1077" t="s">
        <v>724</v>
      </c>
      <c r="AM2703" s="1078" t="s">
        <v>14320</v>
      </c>
      <c r="AN2703" s="1078" t="s">
        <v>14321</v>
      </c>
      <c r="AO2703" s="1078">
        <f t="shared" si="342"/>
        <v>600</v>
      </c>
      <c r="AP2703" s="1078">
        <f t="shared" si="343"/>
        <v>1.7949999999999999</v>
      </c>
      <c r="AQ2703" s="1078" t="str">
        <f t="shared" si="344"/>
        <v>1-5-1S83°Z+S</v>
      </c>
      <c r="AR2703" s="1078" t="str">
        <f t="shared" si="345"/>
        <v>33.5</v>
      </c>
      <c r="AS2703" s="1078" t="str">
        <f t="shared" si="346"/>
        <v>340/340/140</v>
      </c>
      <c r="AT2703" s="1078" t="str">
        <f t="shared" si="347"/>
        <v>1-5-1S83°Z+S</v>
      </c>
      <c r="AU2703" s="1078" t="s">
        <v>15547</v>
      </c>
      <c r="AV2703" s="1078" t="str">
        <f t="shared" si="340"/>
        <v>112.1.6</v>
      </c>
      <c r="AW2703" s="1344">
        <f t="shared" si="341"/>
        <v>44932</v>
      </c>
    </row>
    <row r="2704" spans="1:49">
      <c r="A2704" s="1077" t="s">
        <v>8199</v>
      </c>
      <c r="B2704" s="1077" t="s">
        <v>7214</v>
      </c>
      <c r="C2704" s="1077">
        <v>500</v>
      </c>
      <c r="D2704" s="1077">
        <v>1.7549999999999999</v>
      </c>
      <c r="E2704" s="1077" t="s">
        <v>15109</v>
      </c>
      <c r="F2704" s="1077" t="s">
        <v>648</v>
      </c>
      <c r="G2704" s="1077">
        <v>5</v>
      </c>
      <c r="H2704" s="1077" t="s">
        <v>941</v>
      </c>
      <c r="I2704" s="1077" t="s">
        <v>6929</v>
      </c>
      <c r="J2704" s="1077">
        <v>3</v>
      </c>
      <c r="K2704" s="1077" t="s">
        <v>8200</v>
      </c>
      <c r="L2704" s="1077" t="s">
        <v>6043</v>
      </c>
      <c r="M2704" s="1077">
        <v>302.8</v>
      </c>
      <c r="N2704" s="1077" t="s">
        <v>945</v>
      </c>
      <c r="O2704" s="1077">
        <v>7.57</v>
      </c>
      <c r="P2704" s="1077">
        <v>6.056</v>
      </c>
      <c r="Q2704" s="1077">
        <v>4</v>
      </c>
      <c r="R2704" s="1077">
        <v>22</v>
      </c>
      <c r="T2704" s="1077">
        <v>27</v>
      </c>
      <c r="U2704" s="1077">
        <v>3.5</v>
      </c>
      <c r="V2704" s="1077" t="s">
        <v>648</v>
      </c>
      <c r="W2704" s="1077">
        <v>135</v>
      </c>
      <c r="X2704" s="1077">
        <v>90</v>
      </c>
      <c r="Y2704" s="1077">
        <v>1.4</v>
      </c>
      <c r="Z2704" s="1077" t="s">
        <v>648</v>
      </c>
      <c r="AA2704" s="1077" t="s">
        <v>1553</v>
      </c>
      <c r="AH2704" s="1077" t="s">
        <v>785</v>
      </c>
      <c r="AM2704" s="1078" t="s">
        <v>14322</v>
      </c>
      <c r="AN2704" s="1078" t="s">
        <v>14323</v>
      </c>
      <c r="AO2704" s="1078">
        <f t="shared" si="342"/>
        <v>500</v>
      </c>
      <c r="AP2704" s="1078">
        <f t="shared" si="343"/>
        <v>1.7549999999999999</v>
      </c>
      <c r="AQ2704" s="1078" t="str">
        <f t="shared" si="344"/>
        <v>1-5-1S85°Z+S</v>
      </c>
      <c r="AR2704" s="1078" t="str">
        <f t="shared" si="345"/>
        <v>NA</v>
      </c>
      <c r="AS2704" s="1078" t="str">
        <f t="shared" si="346"/>
        <v>185/OFF</v>
      </c>
      <c r="AT2704" s="1078" t="str">
        <f t="shared" si="347"/>
        <v>1-5-1S85°Z+S</v>
      </c>
      <c r="AU2704" s="1078" t="s">
        <v>15547</v>
      </c>
      <c r="AV2704" s="1078" t="str">
        <f t="shared" si="340"/>
        <v>112.1.9</v>
      </c>
      <c r="AW2704" s="1344">
        <f t="shared" si="341"/>
        <v>44935</v>
      </c>
    </row>
    <row r="2705" spans="1:49">
      <c r="A2705" s="1077" t="s">
        <v>8201</v>
      </c>
      <c r="B2705" s="1077" t="s">
        <v>7774</v>
      </c>
      <c r="C2705" s="1077">
        <v>600</v>
      </c>
      <c r="D2705" s="1077">
        <v>1.8</v>
      </c>
      <c r="E2705" s="1077" t="s">
        <v>15116</v>
      </c>
      <c r="F2705" s="1077" t="s">
        <v>2234</v>
      </c>
      <c r="G2705" s="1077">
        <v>5</v>
      </c>
      <c r="H2705" s="1077" t="s">
        <v>6952</v>
      </c>
      <c r="I2705" s="1077" t="s">
        <v>7150</v>
      </c>
      <c r="K2705" s="1077" t="s">
        <v>8202</v>
      </c>
      <c r="L2705" s="1077" t="s">
        <v>7776</v>
      </c>
      <c r="M2705" s="1077">
        <v>303</v>
      </c>
      <c r="N2705" s="1077" t="s">
        <v>945</v>
      </c>
      <c r="O2705" s="1077">
        <v>7.5750000000000002</v>
      </c>
      <c r="P2705" s="1077">
        <v>6.0600000000000005</v>
      </c>
      <c r="Q2705" s="1077">
        <v>3.5</v>
      </c>
      <c r="R2705" s="1077" t="s">
        <v>7777</v>
      </c>
      <c r="T2705" s="1077">
        <v>24</v>
      </c>
      <c r="U2705" s="1077">
        <v>3.4</v>
      </c>
      <c r="V2705" s="1077" t="s">
        <v>648</v>
      </c>
      <c r="W2705" s="1077">
        <v>115</v>
      </c>
      <c r="X2705" s="1077">
        <v>85</v>
      </c>
      <c r="Y2705" s="1077">
        <v>1.2</v>
      </c>
      <c r="Z2705" s="1077" t="s">
        <v>648</v>
      </c>
      <c r="AA2705" s="1077" t="s">
        <v>4408</v>
      </c>
      <c r="AH2705" s="1077" t="s">
        <v>1143</v>
      </c>
      <c r="AM2705" s="1078" t="s">
        <v>14324</v>
      </c>
      <c r="AN2705" s="1078" t="s">
        <v>14325</v>
      </c>
      <c r="AO2705" s="1078">
        <f t="shared" si="342"/>
        <v>600</v>
      </c>
      <c r="AP2705" s="1078">
        <f t="shared" si="343"/>
        <v>1.8</v>
      </c>
      <c r="AQ2705" s="1078" t="str">
        <f t="shared" si="344"/>
        <v>1-5-1S83°Z+S</v>
      </c>
      <c r="AR2705" s="1078" t="str">
        <f t="shared" si="345"/>
        <v>33.5</v>
      </c>
      <c r="AS2705" s="1078" t="str">
        <f t="shared" si="346"/>
        <v>340/340/140</v>
      </c>
      <c r="AT2705" s="1078" t="str">
        <f t="shared" si="347"/>
        <v>1-5-1S83°Z+S</v>
      </c>
      <c r="AU2705" s="1078" t="s">
        <v>15547</v>
      </c>
      <c r="AV2705" s="1078" t="str">
        <f t="shared" si="340"/>
        <v>112.1.30</v>
      </c>
      <c r="AW2705" s="1344">
        <f t="shared" si="341"/>
        <v>44956</v>
      </c>
    </row>
    <row r="2706" spans="1:49">
      <c r="A2706" s="1077" t="s">
        <v>8203</v>
      </c>
      <c r="B2706" s="1077" t="s">
        <v>714</v>
      </c>
      <c r="C2706" s="1077">
        <v>600</v>
      </c>
      <c r="D2706" s="1077">
        <v>1.79</v>
      </c>
      <c r="E2706" s="1077" t="s">
        <v>15109</v>
      </c>
      <c r="F2706" s="1077" t="s">
        <v>648</v>
      </c>
      <c r="G2706" s="1077" t="s">
        <v>6865</v>
      </c>
      <c r="H2706" s="1077" t="s">
        <v>6877</v>
      </c>
      <c r="I2706" s="1077" t="s">
        <v>7513</v>
      </c>
      <c r="J2706" s="1077">
        <v>3.7</v>
      </c>
      <c r="K2706" s="1077" t="s">
        <v>8204</v>
      </c>
      <c r="L2706" s="1077" t="s">
        <v>4666</v>
      </c>
      <c r="M2706" s="1077">
        <v>295.10000000000002</v>
      </c>
      <c r="N2706" s="1077" t="s">
        <v>945</v>
      </c>
      <c r="O2706" s="1077">
        <v>7.3775000000000013</v>
      </c>
      <c r="P2706" s="1077">
        <v>5.9020000000000001</v>
      </c>
      <c r="Q2706" s="1077">
        <v>4</v>
      </c>
      <c r="R2706" s="1077">
        <v>17.399999999999999</v>
      </c>
      <c r="T2706" s="1077">
        <v>31</v>
      </c>
      <c r="U2706" s="1077">
        <v>3.5</v>
      </c>
      <c r="V2706" s="1077" t="s">
        <v>648</v>
      </c>
      <c r="W2706" s="1077" t="s">
        <v>6880</v>
      </c>
      <c r="X2706" s="1077" t="s">
        <v>7498</v>
      </c>
      <c r="Y2706" s="1077">
        <v>1</v>
      </c>
      <c r="Z2706" s="1077" t="s">
        <v>648</v>
      </c>
      <c r="AA2706" s="1077" t="s">
        <v>4408</v>
      </c>
      <c r="AH2706" s="1077" t="s">
        <v>862</v>
      </c>
      <c r="AM2706" s="1078" t="s">
        <v>14326</v>
      </c>
      <c r="AN2706" s="1078" t="s">
        <v>14327</v>
      </c>
      <c r="AO2706" s="1078">
        <f t="shared" si="342"/>
        <v>600</v>
      </c>
      <c r="AP2706" s="1078">
        <f t="shared" si="343"/>
        <v>1.79</v>
      </c>
      <c r="AQ2706" s="1078" t="str">
        <f t="shared" si="344"/>
        <v>1-5-1S85°Z+S</v>
      </c>
      <c r="AR2706" s="1078" t="str">
        <f t="shared" si="345"/>
        <v>NA</v>
      </c>
      <c r="AS2706" s="1078" t="str">
        <f t="shared" si="346"/>
        <v>200/OFF</v>
      </c>
      <c r="AT2706" s="1078" t="str">
        <f t="shared" si="347"/>
        <v>1-5-1S85°Z+S</v>
      </c>
      <c r="AU2706" s="1078" t="s">
        <v>15547</v>
      </c>
      <c r="AV2706" s="1078" t="str">
        <f t="shared" si="340"/>
        <v>112.1.30</v>
      </c>
      <c r="AW2706" s="1344">
        <f t="shared" si="341"/>
        <v>44956</v>
      </c>
    </row>
    <row r="2707" spans="1:49">
      <c r="A2707" s="1077" t="s">
        <v>8205</v>
      </c>
      <c r="B2707" s="1077" t="s">
        <v>714</v>
      </c>
      <c r="C2707" s="1077">
        <v>600</v>
      </c>
      <c r="D2707" s="1077">
        <v>1.7769999999999999</v>
      </c>
      <c r="E2707" s="1077">
        <v>102.5</v>
      </c>
      <c r="F2707" s="1077" t="s">
        <v>4070</v>
      </c>
      <c r="G2707" s="1077">
        <v>5.5</v>
      </c>
      <c r="H2707" s="1077" t="s">
        <v>7338</v>
      </c>
      <c r="I2707" s="1077" t="s">
        <v>7705</v>
      </c>
      <c r="J2707" s="1077">
        <v>3.7</v>
      </c>
      <c r="K2707" s="1077" t="s">
        <v>8206</v>
      </c>
      <c r="L2707" s="1077" t="s">
        <v>4666</v>
      </c>
      <c r="M2707" s="1077">
        <v>295.10000000000002</v>
      </c>
      <c r="N2707" s="1077" t="s">
        <v>945</v>
      </c>
      <c r="O2707" s="1077">
        <v>7.3775000000000013</v>
      </c>
      <c r="P2707" s="1077">
        <v>5.9020000000000001</v>
      </c>
      <c r="Q2707" s="1077">
        <v>4</v>
      </c>
      <c r="R2707" s="1077">
        <v>17.399999999999999</v>
      </c>
      <c r="T2707" s="1077">
        <v>31</v>
      </c>
      <c r="U2707" s="1077">
        <v>3.5</v>
      </c>
      <c r="V2707" s="1077" t="s">
        <v>648</v>
      </c>
      <c r="W2707" s="1077">
        <v>100</v>
      </c>
      <c r="X2707" s="1077">
        <v>40</v>
      </c>
      <c r="Y2707" s="1077">
        <v>1</v>
      </c>
      <c r="Z2707" s="1077" t="s">
        <v>648</v>
      </c>
      <c r="AA2707" s="1077" t="s">
        <v>6068</v>
      </c>
      <c r="AH2707" s="1077" t="s">
        <v>1376</v>
      </c>
      <c r="AM2707" s="1078" t="s">
        <v>14328</v>
      </c>
      <c r="AN2707" s="1078" t="s">
        <v>14329</v>
      </c>
      <c r="AO2707" s="1078">
        <f t="shared" si="342"/>
        <v>600</v>
      </c>
      <c r="AP2707" s="1078">
        <f t="shared" si="343"/>
        <v>1.7769999999999999</v>
      </c>
      <c r="AQ2707" s="1078">
        <f t="shared" si="344"/>
        <v>102.5</v>
      </c>
      <c r="AR2707" s="1078" t="str">
        <f t="shared" si="345"/>
        <v>15.5</v>
      </c>
      <c r="AS2707" s="1078" t="str">
        <f t="shared" si="346"/>
        <v>504/464/OFF</v>
      </c>
      <c r="AT2707" s="1078">
        <f t="shared" si="347"/>
        <v>102.5</v>
      </c>
      <c r="AV2707" s="1078" t="str">
        <f t="shared" si="340"/>
        <v>112.2.20</v>
      </c>
      <c r="AW2707" s="1344">
        <f t="shared" si="341"/>
        <v>44977</v>
      </c>
    </row>
    <row r="2708" spans="1:49">
      <c r="A2708" s="1077" t="s">
        <v>8207</v>
      </c>
      <c r="B2708" s="1077" t="s">
        <v>7086</v>
      </c>
      <c r="C2708" s="1077">
        <v>600</v>
      </c>
      <c r="D2708" s="1077">
        <v>1.8</v>
      </c>
      <c r="E2708" s="1077" t="s">
        <v>15116</v>
      </c>
      <c r="F2708" s="1077" t="s">
        <v>2234</v>
      </c>
      <c r="G2708" s="1077">
        <v>5</v>
      </c>
      <c r="H2708" s="1077" t="s">
        <v>6952</v>
      </c>
      <c r="I2708" s="1077" t="s">
        <v>7087</v>
      </c>
      <c r="K2708" s="1077" t="s">
        <v>7088</v>
      </c>
      <c r="L2708" s="1077" t="s">
        <v>7089</v>
      </c>
      <c r="M2708" s="1077">
        <v>303</v>
      </c>
      <c r="N2708" s="1077" t="s">
        <v>945</v>
      </c>
      <c r="O2708" s="1077">
        <v>7.5750000000000002</v>
      </c>
      <c r="P2708" s="1077">
        <v>6.0600000000000005</v>
      </c>
      <c r="Q2708" s="1077">
        <v>3.5</v>
      </c>
      <c r="R2708" s="1077">
        <v>22</v>
      </c>
      <c r="T2708" s="1077">
        <v>23</v>
      </c>
      <c r="U2708" s="1077">
        <v>3.2</v>
      </c>
      <c r="V2708" s="1077" t="s">
        <v>648</v>
      </c>
      <c r="W2708" s="1077">
        <v>115</v>
      </c>
      <c r="X2708" s="1077">
        <v>85</v>
      </c>
      <c r="Y2708" s="1077">
        <v>1.2</v>
      </c>
      <c r="Z2708" s="1077" t="s">
        <v>648</v>
      </c>
      <c r="AA2708" s="1077" t="s">
        <v>8208</v>
      </c>
      <c r="AH2708" s="1077" t="s">
        <v>884</v>
      </c>
      <c r="AM2708" s="1078" t="s">
        <v>14330</v>
      </c>
      <c r="AN2708" s="1078" t="s">
        <v>14331</v>
      </c>
      <c r="AO2708" s="1078">
        <f t="shared" si="342"/>
        <v>600</v>
      </c>
      <c r="AP2708" s="1078">
        <f t="shared" si="343"/>
        <v>1.8</v>
      </c>
      <c r="AQ2708" s="1078" t="str">
        <f t="shared" si="344"/>
        <v>1-5-1S83°Z+S</v>
      </c>
      <c r="AR2708" s="1078" t="str">
        <f t="shared" si="345"/>
        <v>33.5</v>
      </c>
      <c r="AS2708" s="1078" t="str">
        <f t="shared" si="346"/>
        <v>340/340/140</v>
      </c>
      <c r="AT2708" s="1078" t="str">
        <f t="shared" si="347"/>
        <v>1-5-1S83°Z+S</v>
      </c>
      <c r="AU2708" s="1078" t="s">
        <v>15547</v>
      </c>
      <c r="AV2708" s="1078" t="str">
        <f t="shared" si="340"/>
        <v>112.2.10</v>
      </c>
      <c r="AW2708" s="1344">
        <f t="shared" si="341"/>
        <v>44967</v>
      </c>
    </row>
    <row r="2709" spans="1:49">
      <c r="A2709" s="1077" t="s">
        <v>8209</v>
      </c>
      <c r="B2709" s="1077" t="s">
        <v>7091</v>
      </c>
      <c r="C2709" s="1077">
        <v>600</v>
      </c>
      <c r="D2709" s="1077">
        <v>1.82</v>
      </c>
      <c r="E2709" s="1077" t="s">
        <v>15122</v>
      </c>
      <c r="F2709" s="1077" t="s">
        <v>2234</v>
      </c>
      <c r="G2709" s="1077">
        <v>5</v>
      </c>
      <c r="H2709" s="1077" t="s">
        <v>7092</v>
      </c>
      <c r="I2709" s="1077" t="s">
        <v>7001</v>
      </c>
      <c r="K2709" s="1077" t="s">
        <v>8094</v>
      </c>
      <c r="L2709" s="1077" t="s">
        <v>5152</v>
      </c>
      <c r="M2709" s="1077">
        <v>290</v>
      </c>
      <c r="N2709" s="1077" t="s">
        <v>945</v>
      </c>
      <c r="O2709" s="1077">
        <v>7.25</v>
      </c>
      <c r="P2709" s="1077">
        <v>5.8</v>
      </c>
      <c r="Q2709" s="1077">
        <v>4</v>
      </c>
      <c r="R2709" s="1077">
        <v>19.5</v>
      </c>
      <c r="T2709" s="1077">
        <v>29.3</v>
      </c>
      <c r="U2709" s="1077">
        <v>3.5</v>
      </c>
      <c r="V2709" s="1077" t="s">
        <v>648</v>
      </c>
      <c r="W2709" s="1077">
        <v>95</v>
      </c>
      <c r="X2709" s="1077" t="s">
        <v>5907</v>
      </c>
      <c r="Y2709" s="1077">
        <v>1.5</v>
      </c>
      <c r="Z2709" s="1077" t="s">
        <v>648</v>
      </c>
      <c r="AA2709" s="1077" t="s">
        <v>8210</v>
      </c>
      <c r="AH2709" s="1077" t="s">
        <v>1186</v>
      </c>
      <c r="AM2709" s="1078" t="s">
        <v>14332</v>
      </c>
      <c r="AN2709" s="1078" t="s">
        <v>14333</v>
      </c>
      <c r="AO2709" s="1078">
        <f t="shared" si="342"/>
        <v>600</v>
      </c>
      <c r="AP2709" s="1078">
        <f t="shared" si="343"/>
        <v>1.82</v>
      </c>
      <c r="AQ2709" s="1078" t="str">
        <f t="shared" si="344"/>
        <v>1-5-1S91°Z+S</v>
      </c>
      <c r="AR2709" s="1078" t="str">
        <f t="shared" si="345"/>
        <v>33.5</v>
      </c>
      <c r="AS2709" s="1078" t="str">
        <f t="shared" si="346"/>
        <v>360/330/OFF</v>
      </c>
      <c r="AT2709" s="1078" t="str">
        <f t="shared" si="347"/>
        <v>1-5-1S91°Z+S</v>
      </c>
      <c r="AU2709" s="1078" t="s">
        <v>15547</v>
      </c>
      <c r="AV2709" s="1078" t="str">
        <f t="shared" si="340"/>
        <v>112.2.13</v>
      </c>
      <c r="AW2709" s="1344">
        <f t="shared" si="341"/>
        <v>44970</v>
      </c>
    </row>
    <row r="2710" spans="1:49">
      <c r="A2710" s="1077" t="s">
        <v>8211</v>
      </c>
      <c r="B2710" s="1077" t="s">
        <v>6940</v>
      </c>
      <c r="C2710" s="1077">
        <v>500</v>
      </c>
      <c r="D2710" s="1077">
        <v>1.75</v>
      </c>
      <c r="E2710" s="1077" t="s">
        <v>15112</v>
      </c>
      <c r="F2710" s="1077" t="s">
        <v>984</v>
      </c>
      <c r="G2710" s="1077">
        <v>5</v>
      </c>
      <c r="H2710" s="1077" t="s">
        <v>955</v>
      </c>
      <c r="I2710" s="1077" t="s">
        <v>7105</v>
      </c>
      <c r="J2710" s="1077">
        <v>1</v>
      </c>
      <c r="K2710" s="1077" t="s">
        <v>8180</v>
      </c>
      <c r="L2710" s="1077" t="s">
        <v>4952</v>
      </c>
      <c r="M2710" s="1077">
        <v>308.39999999999998</v>
      </c>
      <c r="N2710" s="1077" t="s">
        <v>945</v>
      </c>
      <c r="O2710" s="1077">
        <v>7.71</v>
      </c>
      <c r="P2710" s="1077">
        <v>6.1679999999999993</v>
      </c>
      <c r="Q2710" s="1077">
        <v>2.8</v>
      </c>
      <c r="R2710" s="1077">
        <v>29.5</v>
      </c>
      <c r="T2710" s="1077">
        <v>14.5</v>
      </c>
      <c r="U2710" s="1077">
        <v>5</v>
      </c>
      <c r="V2710" s="1077" t="s">
        <v>648</v>
      </c>
      <c r="W2710" s="1077" t="s">
        <v>6990</v>
      </c>
      <c r="X2710" s="1077">
        <v>10</v>
      </c>
      <c r="Y2710" s="1077">
        <v>1.7</v>
      </c>
      <c r="Z2710" s="1077" t="s">
        <v>648</v>
      </c>
      <c r="AA2710" s="1077" t="s">
        <v>8210</v>
      </c>
      <c r="AH2710" s="1077" t="s">
        <v>466</v>
      </c>
      <c r="AM2710" s="1078" t="s">
        <v>14334</v>
      </c>
      <c r="AN2710" s="1078" t="s">
        <v>14335</v>
      </c>
      <c r="AO2710" s="1078">
        <f t="shared" si="342"/>
        <v>500</v>
      </c>
      <c r="AP2710" s="1078">
        <f t="shared" si="343"/>
        <v>1.75</v>
      </c>
      <c r="AQ2710" s="1078" t="str">
        <f t="shared" si="344"/>
        <v>1-5-1S87°Z+S</v>
      </c>
      <c r="AR2710" s="1078" t="str">
        <f t="shared" si="345"/>
        <v>30</v>
      </c>
      <c r="AS2710" s="1078" t="str">
        <f t="shared" si="346"/>
        <v>260/260/OFF</v>
      </c>
      <c r="AT2710" s="1078" t="str">
        <f t="shared" si="347"/>
        <v>1-5-1S87°Z+S</v>
      </c>
      <c r="AU2710" s="1078" t="s">
        <v>15547</v>
      </c>
      <c r="AV2710" s="1078" t="str">
        <f t="shared" si="340"/>
        <v>112.2.13</v>
      </c>
      <c r="AW2710" s="1344">
        <f t="shared" si="341"/>
        <v>44970</v>
      </c>
    </row>
    <row r="2711" spans="1:49">
      <c r="A2711" s="1077" t="s">
        <v>8212</v>
      </c>
      <c r="B2711" s="1077" t="s">
        <v>8104</v>
      </c>
      <c r="C2711" s="1077">
        <v>600</v>
      </c>
      <c r="D2711" s="1077">
        <v>1.7749999999999999</v>
      </c>
      <c r="E2711" s="1077" t="s">
        <v>15116</v>
      </c>
      <c r="F2711" s="1077" t="s">
        <v>2234</v>
      </c>
      <c r="G2711" s="1077">
        <v>5</v>
      </c>
      <c r="H2711" s="1077" t="s">
        <v>6952</v>
      </c>
      <c r="I2711" s="1077" t="s">
        <v>6953</v>
      </c>
      <c r="K2711" s="1077" t="s">
        <v>8105</v>
      </c>
      <c r="L2711" s="1077" t="s">
        <v>8106</v>
      </c>
      <c r="M2711" s="1077">
        <v>303</v>
      </c>
      <c r="N2711" s="1077" t="s">
        <v>945</v>
      </c>
      <c r="O2711" s="1077">
        <v>7.5750000000000002</v>
      </c>
      <c r="P2711" s="1077">
        <v>6.0600000000000005</v>
      </c>
      <c r="Q2711" s="1077">
        <v>3.5</v>
      </c>
      <c r="R2711" s="1077">
        <v>22</v>
      </c>
      <c r="T2711" s="1077">
        <v>23</v>
      </c>
      <c r="U2711" s="1077">
        <v>3.2</v>
      </c>
      <c r="V2711" s="1077" t="s">
        <v>648</v>
      </c>
      <c r="W2711" s="1077">
        <v>115</v>
      </c>
      <c r="X2711" s="1077" t="s">
        <v>8213</v>
      </c>
      <c r="Y2711" s="1077">
        <v>1.2</v>
      </c>
      <c r="Z2711" s="1077" t="s">
        <v>648</v>
      </c>
      <c r="AA2711" s="1077" t="s">
        <v>3438</v>
      </c>
      <c r="AH2711" s="1077" t="s">
        <v>456</v>
      </c>
      <c r="AM2711" s="1078" t="s">
        <v>14336</v>
      </c>
      <c r="AN2711" s="1078" t="s">
        <v>14337</v>
      </c>
      <c r="AO2711" s="1078">
        <f t="shared" si="342"/>
        <v>600</v>
      </c>
      <c r="AP2711" s="1078">
        <f t="shared" si="343"/>
        <v>1.7749999999999999</v>
      </c>
      <c r="AQ2711" s="1078" t="str">
        <f t="shared" si="344"/>
        <v>1-5-1S83°Z+S</v>
      </c>
      <c r="AR2711" s="1078" t="str">
        <f t="shared" si="345"/>
        <v>33.5</v>
      </c>
      <c r="AS2711" s="1078" t="str">
        <f t="shared" si="346"/>
        <v>340/340/140</v>
      </c>
      <c r="AT2711" s="1078" t="str">
        <f t="shared" si="347"/>
        <v>1-5-1S83°Z+S</v>
      </c>
      <c r="AU2711" s="1078" t="s">
        <v>15547</v>
      </c>
      <c r="AV2711" s="1078" t="str">
        <f t="shared" si="340"/>
        <v>112.2.14</v>
      </c>
      <c r="AW2711" s="1344">
        <f t="shared" si="341"/>
        <v>44971</v>
      </c>
    </row>
    <row r="2712" spans="1:49">
      <c r="A2712" s="1077" t="s">
        <v>8214</v>
      </c>
      <c r="B2712" s="1077" t="s">
        <v>7080</v>
      </c>
      <c r="C2712" s="1077">
        <v>600</v>
      </c>
      <c r="D2712" s="1077">
        <v>1.8049999999999999</v>
      </c>
      <c r="E2712" s="1077" t="s">
        <v>15116</v>
      </c>
      <c r="F2712" s="1077" t="s">
        <v>2234</v>
      </c>
      <c r="G2712" s="1077">
        <v>3.5</v>
      </c>
      <c r="H2712" s="1077" t="s">
        <v>6952</v>
      </c>
      <c r="I2712" s="1077" t="s">
        <v>8148</v>
      </c>
      <c r="K2712" s="1077" t="s">
        <v>7081</v>
      </c>
      <c r="L2712" s="1077" t="s">
        <v>7082</v>
      </c>
      <c r="M2712" s="1077">
        <v>303</v>
      </c>
      <c r="N2712" s="1077" t="s">
        <v>945</v>
      </c>
      <c r="O2712" s="1077">
        <v>7.5750000000000002</v>
      </c>
      <c r="P2712" s="1077">
        <v>6.0600000000000005</v>
      </c>
      <c r="Q2712" s="1077">
        <v>3.5</v>
      </c>
      <c r="R2712" s="1077">
        <v>22</v>
      </c>
      <c r="T2712" s="1077">
        <v>23</v>
      </c>
      <c r="U2712" s="1077">
        <v>3.2</v>
      </c>
      <c r="V2712" s="1077" t="s">
        <v>648</v>
      </c>
      <c r="W2712" s="1077">
        <v>115</v>
      </c>
      <c r="X2712" s="1077">
        <v>85</v>
      </c>
      <c r="Y2712" s="1077">
        <v>1.2</v>
      </c>
      <c r="Z2712" s="1077" t="s">
        <v>648</v>
      </c>
      <c r="AA2712" s="1077" t="s">
        <v>6072</v>
      </c>
      <c r="AH2712" s="1077" t="s">
        <v>468</v>
      </c>
      <c r="AM2712" s="1078" t="s">
        <v>14338</v>
      </c>
      <c r="AN2712" s="1078" t="s">
        <v>14339</v>
      </c>
      <c r="AO2712" s="1078">
        <f t="shared" si="342"/>
        <v>600</v>
      </c>
      <c r="AP2712" s="1078">
        <f t="shared" si="343"/>
        <v>1.8049999999999999</v>
      </c>
      <c r="AQ2712" s="1078" t="str">
        <f t="shared" si="344"/>
        <v>1-5-1S83°Z+S</v>
      </c>
      <c r="AR2712" s="1078" t="str">
        <f t="shared" si="345"/>
        <v>33.5</v>
      </c>
      <c r="AS2712" s="1078" t="str">
        <f t="shared" si="346"/>
        <v>340/340/140</v>
      </c>
      <c r="AT2712" s="1078" t="str">
        <f t="shared" si="347"/>
        <v>1-5-1S83°Z+S</v>
      </c>
      <c r="AU2712" s="1078" t="s">
        <v>15547</v>
      </c>
      <c r="AV2712" s="1078" t="str">
        <f t="shared" si="340"/>
        <v>112.2.21</v>
      </c>
      <c r="AW2712" s="1344">
        <f t="shared" si="341"/>
        <v>44978</v>
      </c>
    </row>
    <row r="2713" spans="1:49">
      <c r="A2713" s="1077" t="s">
        <v>8215</v>
      </c>
      <c r="B2713" s="1077" t="s">
        <v>714</v>
      </c>
      <c r="C2713" s="1077">
        <v>600</v>
      </c>
      <c r="D2713" s="1077">
        <v>1.7649999999999999</v>
      </c>
      <c r="E2713" s="1077">
        <v>102.5</v>
      </c>
      <c r="F2713" s="1077" t="s">
        <v>4070</v>
      </c>
      <c r="G2713" s="1077" t="s">
        <v>6865</v>
      </c>
      <c r="H2713" s="1077" t="s">
        <v>7714</v>
      </c>
      <c r="I2713" s="1077" t="s">
        <v>7443</v>
      </c>
      <c r="J2713" s="1077">
        <v>3.7</v>
      </c>
      <c r="K2713" s="1077" t="s">
        <v>8216</v>
      </c>
      <c r="L2713" s="1077" t="s">
        <v>4666</v>
      </c>
      <c r="M2713" s="1077">
        <v>300.8</v>
      </c>
      <c r="N2713" s="1077" t="s">
        <v>945</v>
      </c>
      <c r="O2713" s="1077">
        <v>7.5200000000000005</v>
      </c>
      <c r="P2713" s="1077">
        <v>6.016</v>
      </c>
      <c r="Q2713" s="1077">
        <v>4</v>
      </c>
      <c r="R2713" s="1077">
        <v>17</v>
      </c>
      <c r="T2713" s="1077">
        <v>31.4</v>
      </c>
      <c r="U2713" s="1077">
        <v>3.6</v>
      </c>
      <c r="V2713" s="1077" t="s">
        <v>648</v>
      </c>
      <c r="W2713" s="1077">
        <v>65</v>
      </c>
      <c r="X2713" s="1077">
        <v>10</v>
      </c>
      <c r="Y2713" s="1077">
        <v>1.5</v>
      </c>
      <c r="Z2713" s="1077" t="s">
        <v>648</v>
      </c>
      <c r="AA2713" s="1077" t="s">
        <v>3448</v>
      </c>
      <c r="AH2713" s="1077" t="s">
        <v>1643</v>
      </c>
      <c r="AM2713" s="1078" t="s">
        <v>14340</v>
      </c>
      <c r="AN2713" s="1078" t="s">
        <v>14341</v>
      </c>
      <c r="AO2713" s="1078">
        <f t="shared" si="342"/>
        <v>600</v>
      </c>
      <c r="AP2713" s="1078">
        <f t="shared" si="343"/>
        <v>1.7649999999999999</v>
      </c>
      <c r="AQ2713" s="1078">
        <f t="shared" si="344"/>
        <v>102.5</v>
      </c>
      <c r="AR2713" s="1078" t="str">
        <f t="shared" si="345"/>
        <v>15.5</v>
      </c>
      <c r="AS2713" s="1078" t="str">
        <f t="shared" si="346"/>
        <v>493/453/OFF</v>
      </c>
      <c r="AT2713" s="1078">
        <f t="shared" si="347"/>
        <v>102.5</v>
      </c>
      <c r="AV2713" s="1078" t="str">
        <f t="shared" si="340"/>
        <v>112.3.2</v>
      </c>
      <c r="AW2713" s="1344">
        <f t="shared" si="341"/>
        <v>44987</v>
      </c>
    </row>
    <row r="2714" spans="1:49">
      <c r="A2714" s="1077" t="s">
        <v>8217</v>
      </c>
      <c r="B2714" s="1077" t="s">
        <v>855</v>
      </c>
      <c r="C2714" s="1077">
        <v>550</v>
      </c>
      <c r="D2714" s="1077">
        <v>1.75</v>
      </c>
      <c r="E2714" s="1077" t="s">
        <v>15109</v>
      </c>
      <c r="F2714" s="1077" t="s">
        <v>648</v>
      </c>
      <c r="G2714" s="1077">
        <v>5.5</v>
      </c>
      <c r="H2714" s="1077" t="s">
        <v>3356</v>
      </c>
      <c r="I2714" s="1077" t="s">
        <v>6929</v>
      </c>
      <c r="K2714" s="1077" t="s">
        <v>8125</v>
      </c>
      <c r="L2714" s="1077" t="s">
        <v>7424</v>
      </c>
      <c r="M2714" s="1077">
        <v>295</v>
      </c>
      <c r="N2714" s="1077" t="s">
        <v>945</v>
      </c>
      <c r="O2714" s="1077">
        <v>7.375</v>
      </c>
      <c r="P2714" s="1077">
        <v>5.9</v>
      </c>
      <c r="Q2714" s="1077">
        <v>4</v>
      </c>
      <c r="R2714" s="1077">
        <v>19</v>
      </c>
      <c r="T2714" s="1077">
        <v>27.8</v>
      </c>
      <c r="U2714" s="1077">
        <v>3.9</v>
      </c>
      <c r="V2714" s="1077" t="s">
        <v>648</v>
      </c>
      <c r="W2714" s="1077">
        <v>125</v>
      </c>
      <c r="X2714" s="1077">
        <v>90</v>
      </c>
      <c r="Y2714" s="1077">
        <v>1.5</v>
      </c>
      <c r="Z2714" s="1077" t="s">
        <v>648</v>
      </c>
      <c r="AA2714" s="1077" t="s">
        <v>8218</v>
      </c>
      <c r="AH2714" s="1077" t="s">
        <v>1486</v>
      </c>
      <c r="AM2714" s="1078" t="s">
        <v>14342</v>
      </c>
      <c r="AN2714" s="1078" t="s">
        <v>14343</v>
      </c>
      <c r="AO2714" s="1078">
        <f t="shared" si="342"/>
        <v>550</v>
      </c>
      <c r="AP2714" s="1078">
        <f t="shared" si="343"/>
        <v>1.75</v>
      </c>
      <c r="AQ2714" s="1078" t="str">
        <f t="shared" si="344"/>
        <v>1-5-1S85°Z+S</v>
      </c>
      <c r="AR2714" s="1078" t="str">
        <f t="shared" si="345"/>
        <v>NA</v>
      </c>
      <c r="AS2714" s="1078" t="str">
        <f t="shared" si="346"/>
        <v>182/OFF</v>
      </c>
      <c r="AT2714" s="1078" t="str">
        <f t="shared" si="347"/>
        <v>1-5-1S85°Z+S</v>
      </c>
      <c r="AU2714" s="1078" t="s">
        <v>15547</v>
      </c>
      <c r="AV2714" s="1078" t="str">
        <f t="shared" si="340"/>
        <v>112.3.7</v>
      </c>
      <c r="AW2714" s="1344">
        <f t="shared" si="341"/>
        <v>44992</v>
      </c>
    </row>
    <row r="2715" spans="1:49">
      <c r="A2715" s="1077" t="s">
        <v>8219</v>
      </c>
      <c r="B2715" s="1077" t="s">
        <v>714</v>
      </c>
      <c r="C2715" s="1077">
        <v>600</v>
      </c>
      <c r="D2715" s="1077">
        <v>1.79</v>
      </c>
      <c r="E2715" s="1077" t="s">
        <v>15109</v>
      </c>
      <c r="F2715" s="1077" t="s">
        <v>648</v>
      </c>
      <c r="G2715" s="1077" t="s">
        <v>6865</v>
      </c>
      <c r="H2715" s="1077" t="s">
        <v>6877</v>
      </c>
      <c r="I2715" s="1077" t="s">
        <v>6896</v>
      </c>
      <c r="J2715" s="1077">
        <v>3.7</v>
      </c>
      <c r="K2715" s="1077" t="s">
        <v>8220</v>
      </c>
      <c r="L2715" s="1077" t="s">
        <v>4666</v>
      </c>
      <c r="M2715" s="1077">
        <v>295.10000000000002</v>
      </c>
      <c r="N2715" s="1077" t="s">
        <v>945</v>
      </c>
      <c r="O2715" s="1077">
        <v>7.3775000000000013</v>
      </c>
      <c r="P2715" s="1077">
        <v>5.9020000000000001</v>
      </c>
      <c r="Q2715" s="1077">
        <v>4</v>
      </c>
      <c r="R2715" s="1077">
        <v>17.399999999999999</v>
      </c>
      <c r="T2715" s="1077">
        <v>31</v>
      </c>
      <c r="U2715" s="1077">
        <v>3.5</v>
      </c>
      <c r="V2715" s="1077" t="s">
        <v>648</v>
      </c>
      <c r="W2715" s="1077" t="s">
        <v>6880</v>
      </c>
      <c r="X2715" s="1077">
        <v>40</v>
      </c>
      <c r="Y2715" s="1077">
        <v>1</v>
      </c>
      <c r="Z2715" s="1077" t="s">
        <v>648</v>
      </c>
      <c r="AA2715" s="1077" t="s">
        <v>8221</v>
      </c>
      <c r="AH2715" s="1077" t="s">
        <v>1023</v>
      </c>
      <c r="AM2715" s="1078" t="s">
        <v>14344</v>
      </c>
      <c r="AN2715" s="1078" t="s">
        <v>14345</v>
      </c>
      <c r="AO2715" s="1078">
        <f t="shared" si="342"/>
        <v>600</v>
      </c>
      <c r="AP2715" s="1078">
        <f t="shared" si="343"/>
        <v>1.79</v>
      </c>
      <c r="AQ2715" s="1078" t="str">
        <f t="shared" si="344"/>
        <v>1-5-1S85°Z+S</v>
      </c>
      <c r="AR2715" s="1078" t="str">
        <f t="shared" si="345"/>
        <v>NA</v>
      </c>
      <c r="AS2715" s="1078" t="str">
        <f t="shared" si="346"/>
        <v>200/OFF</v>
      </c>
      <c r="AT2715" s="1078" t="str">
        <f t="shared" si="347"/>
        <v>1-5-1S85°Z+S</v>
      </c>
      <c r="AU2715" s="1078" t="s">
        <v>15547</v>
      </c>
      <c r="AV2715" s="1078" t="str">
        <f t="shared" si="340"/>
        <v>112.3.10</v>
      </c>
      <c r="AW2715" s="1344">
        <f t="shared" si="341"/>
        <v>44995</v>
      </c>
    </row>
    <row r="2716" spans="1:49">
      <c r="A2716" s="1077" t="s">
        <v>8222</v>
      </c>
      <c r="B2716" s="1077" t="s">
        <v>663</v>
      </c>
      <c r="C2716" s="1077">
        <v>550</v>
      </c>
      <c r="D2716" s="1077">
        <v>1.76</v>
      </c>
      <c r="E2716" s="1077">
        <v>102.5</v>
      </c>
      <c r="F2716" s="1077" t="s">
        <v>4070</v>
      </c>
      <c r="G2716" s="1077">
        <v>5.5</v>
      </c>
      <c r="H2716" s="1077" t="s">
        <v>8128</v>
      </c>
      <c r="I2716" s="1077" t="s">
        <v>7257</v>
      </c>
      <c r="K2716" s="1077" t="s">
        <v>8223</v>
      </c>
      <c r="L2716" s="1077" t="s">
        <v>4907</v>
      </c>
      <c r="M2716" s="1077">
        <v>296.39999999999998</v>
      </c>
      <c r="N2716" s="1077" t="s">
        <v>945</v>
      </c>
      <c r="O2716" s="1077">
        <v>7.41</v>
      </c>
      <c r="P2716" s="1077">
        <v>5.9279999999999999</v>
      </c>
      <c r="Q2716" s="1077">
        <v>3.5</v>
      </c>
      <c r="R2716" s="1077">
        <v>20</v>
      </c>
      <c r="T2716" s="1077">
        <v>14.7</v>
      </c>
      <c r="U2716" s="1077">
        <v>5.5</v>
      </c>
      <c r="V2716" s="1077" t="s">
        <v>648</v>
      </c>
      <c r="W2716" s="1077">
        <v>70</v>
      </c>
      <c r="X2716" s="1077">
        <v>10</v>
      </c>
      <c r="Y2716" s="1077">
        <v>1.1000000000000001</v>
      </c>
      <c r="Z2716" s="1077" t="s">
        <v>648</v>
      </c>
      <c r="AA2716" s="1077" t="s">
        <v>8224</v>
      </c>
      <c r="AH2716" s="1077" t="s">
        <v>869</v>
      </c>
      <c r="AM2716" s="1078" t="s">
        <v>14346</v>
      </c>
      <c r="AN2716" s="1078" t="s">
        <v>14347</v>
      </c>
      <c r="AO2716" s="1078">
        <f t="shared" si="342"/>
        <v>550</v>
      </c>
      <c r="AP2716" s="1078">
        <f t="shared" si="343"/>
        <v>1.76</v>
      </c>
      <c r="AQ2716" s="1078">
        <f t="shared" si="344"/>
        <v>102.5</v>
      </c>
      <c r="AR2716" s="1078" t="str">
        <f t="shared" si="345"/>
        <v>15.5</v>
      </c>
      <c r="AS2716" s="1078" t="str">
        <f t="shared" si="346"/>
        <v>365/355/153</v>
      </c>
      <c r="AT2716" s="1078">
        <f t="shared" si="347"/>
        <v>102.5</v>
      </c>
      <c r="AV2716" s="1078" t="str">
        <f t="shared" si="340"/>
        <v>112.3.14</v>
      </c>
      <c r="AW2716" s="1344">
        <f t="shared" si="341"/>
        <v>44999</v>
      </c>
    </row>
    <row r="2717" spans="1:49">
      <c r="A2717" s="1077" t="s">
        <v>8225</v>
      </c>
      <c r="B2717" s="1077" t="s">
        <v>7114</v>
      </c>
      <c r="C2717" s="1077">
        <v>600</v>
      </c>
      <c r="D2717" s="1077">
        <v>1.74</v>
      </c>
      <c r="E2717" s="1077" t="s">
        <v>15122</v>
      </c>
      <c r="F2717" s="1077" t="s">
        <v>984</v>
      </c>
      <c r="G2717" s="1077">
        <v>5</v>
      </c>
      <c r="H2717" s="1077" t="s">
        <v>1806</v>
      </c>
      <c r="I2717" s="1077" t="s">
        <v>7137</v>
      </c>
      <c r="J2717" s="1077">
        <v>3</v>
      </c>
      <c r="K2717" s="1077" t="s">
        <v>8226</v>
      </c>
      <c r="L2717" s="1077" t="s">
        <v>4854</v>
      </c>
      <c r="M2717" s="1077">
        <v>300.7</v>
      </c>
      <c r="N2717" s="1077" t="s">
        <v>945</v>
      </c>
      <c r="O2717" s="1077">
        <v>7.5175000000000001</v>
      </c>
      <c r="P2717" s="1077">
        <v>6.0140000000000002</v>
      </c>
      <c r="Q2717" s="1077">
        <v>3</v>
      </c>
      <c r="R2717" s="1077" t="s">
        <v>8227</v>
      </c>
      <c r="T2717" s="1077">
        <v>14.7</v>
      </c>
      <c r="U2717" s="1077">
        <v>6.1</v>
      </c>
      <c r="V2717" s="1077" t="s">
        <v>648</v>
      </c>
      <c r="W2717" s="1077">
        <v>115</v>
      </c>
      <c r="X2717" s="1077">
        <v>45</v>
      </c>
      <c r="Y2717" s="1077">
        <v>1.5</v>
      </c>
      <c r="Z2717" s="1077" t="s">
        <v>648</v>
      </c>
      <c r="AA2717" s="1077" t="s">
        <v>8221</v>
      </c>
      <c r="AH2717" s="1077" t="s">
        <v>990</v>
      </c>
      <c r="AI2717" s="1077">
        <v>93.15</v>
      </c>
      <c r="AJ2717" s="1077">
        <v>-0.83</v>
      </c>
      <c r="AK2717" s="1077">
        <v>6.76</v>
      </c>
      <c r="AM2717" s="1078" t="s">
        <v>14348</v>
      </c>
      <c r="AN2717" s="1078" t="s">
        <v>14349</v>
      </c>
      <c r="AO2717" s="1078">
        <f t="shared" si="342"/>
        <v>600</v>
      </c>
      <c r="AP2717" s="1078">
        <f t="shared" si="343"/>
        <v>1.74</v>
      </c>
      <c r="AQ2717" s="1078" t="str">
        <f t="shared" si="344"/>
        <v>1-5-1S91°Z+S</v>
      </c>
      <c r="AR2717" s="1078" t="str">
        <f t="shared" si="345"/>
        <v>30</v>
      </c>
      <c r="AS2717" s="1078" t="str">
        <f t="shared" si="346"/>
        <v>280/280/OFF</v>
      </c>
      <c r="AT2717" s="1078" t="str">
        <f t="shared" si="347"/>
        <v>1-5-1S91°Z+S</v>
      </c>
      <c r="AU2717" s="1078" t="s">
        <v>15547</v>
      </c>
      <c r="AV2717" s="1078" t="str">
        <f t="shared" si="340"/>
        <v>112.3.10</v>
      </c>
      <c r="AW2717" s="1344">
        <f t="shared" si="341"/>
        <v>44995</v>
      </c>
    </row>
    <row r="2718" spans="1:49">
      <c r="A2718" s="1077" t="s">
        <v>8228</v>
      </c>
      <c r="B2718" s="1077" t="s">
        <v>7306</v>
      </c>
      <c r="C2718" s="1077">
        <v>600</v>
      </c>
      <c r="D2718" s="1077">
        <v>1.78</v>
      </c>
      <c r="E2718" s="1077" t="s">
        <v>15116</v>
      </c>
      <c r="F2718" s="1077" t="s">
        <v>2234</v>
      </c>
      <c r="G2718" s="1077">
        <v>3.5</v>
      </c>
      <c r="H2718" s="1077" t="s">
        <v>6952</v>
      </c>
      <c r="I2718" s="1077" t="s">
        <v>7150</v>
      </c>
      <c r="J2718" s="1077">
        <v>3</v>
      </c>
      <c r="K2718" s="1077" t="s">
        <v>7307</v>
      </c>
      <c r="L2718" s="1077" t="s">
        <v>7308</v>
      </c>
      <c r="M2718" s="1077">
        <v>310</v>
      </c>
      <c r="N2718" s="1077" t="s">
        <v>945</v>
      </c>
      <c r="O2718" s="1077">
        <v>7.75</v>
      </c>
      <c r="P2718" s="1077">
        <v>6.2</v>
      </c>
      <c r="Q2718" s="1077">
        <v>3.5</v>
      </c>
      <c r="R2718" s="1077">
        <v>22</v>
      </c>
      <c r="T2718" s="1077">
        <v>22</v>
      </c>
      <c r="U2718" s="1077">
        <v>3.5</v>
      </c>
      <c r="V2718" s="1077" t="s">
        <v>648</v>
      </c>
      <c r="W2718" s="1077">
        <v>110</v>
      </c>
      <c r="X2718" s="1077">
        <v>85</v>
      </c>
      <c r="Y2718" s="1077">
        <v>1</v>
      </c>
      <c r="Z2718" s="1077" t="s">
        <v>648</v>
      </c>
      <c r="AA2718" s="1077" t="s">
        <v>8229</v>
      </c>
      <c r="AH2718" s="1077" t="s">
        <v>862</v>
      </c>
      <c r="AM2718" s="1078" t="s">
        <v>14350</v>
      </c>
      <c r="AN2718" s="1078" t="s">
        <v>14351</v>
      </c>
      <c r="AO2718" s="1078">
        <f t="shared" si="342"/>
        <v>600</v>
      </c>
      <c r="AP2718" s="1078">
        <f t="shared" si="343"/>
        <v>1.78</v>
      </c>
      <c r="AQ2718" s="1078" t="str">
        <f t="shared" si="344"/>
        <v>1-5-1S83°Z+S</v>
      </c>
      <c r="AR2718" s="1078" t="str">
        <f t="shared" si="345"/>
        <v>33.5</v>
      </c>
      <c r="AS2718" s="1078" t="str">
        <f t="shared" si="346"/>
        <v>340/340/140</v>
      </c>
      <c r="AT2718" s="1078" t="str">
        <f t="shared" si="347"/>
        <v>1-5-1S83°Z+S</v>
      </c>
      <c r="AU2718" s="1078" t="s">
        <v>15547</v>
      </c>
      <c r="AV2718" s="1078" t="str">
        <f t="shared" si="340"/>
        <v>112.3.16</v>
      </c>
      <c r="AW2718" s="1344">
        <f t="shared" si="341"/>
        <v>45001</v>
      </c>
    </row>
    <row r="2719" spans="1:49">
      <c r="A2719" s="1077" t="s">
        <v>8230</v>
      </c>
      <c r="B2719" s="1077" t="s">
        <v>714</v>
      </c>
      <c r="C2719" s="1077">
        <v>600</v>
      </c>
      <c r="D2719" s="1077">
        <v>1.7769999999999999</v>
      </c>
      <c r="E2719" s="1077">
        <v>102.5</v>
      </c>
      <c r="F2719" s="1077" t="s">
        <v>4070</v>
      </c>
      <c r="G2719" s="1077">
        <v>5.5</v>
      </c>
      <c r="H2719" s="1077" t="s">
        <v>7338</v>
      </c>
      <c r="I2719" s="1077" t="s">
        <v>8231</v>
      </c>
      <c r="J2719" s="1077">
        <v>3.7</v>
      </c>
      <c r="K2719" s="1077" t="s">
        <v>8232</v>
      </c>
      <c r="L2719" s="1077" t="s">
        <v>4666</v>
      </c>
      <c r="M2719" s="1077">
        <v>295.10000000000002</v>
      </c>
      <c r="N2719" s="1077" t="s">
        <v>945</v>
      </c>
      <c r="O2719" s="1077">
        <v>7.3775000000000013</v>
      </c>
      <c r="P2719" s="1077">
        <v>5.9020000000000001</v>
      </c>
      <c r="Q2719" s="1077">
        <v>4</v>
      </c>
      <c r="R2719" s="1077">
        <v>17.399999999999999</v>
      </c>
      <c r="T2719" s="1077">
        <v>31</v>
      </c>
      <c r="U2719" s="1077">
        <v>3.5</v>
      </c>
      <c r="V2719" s="1077" t="s">
        <v>648</v>
      </c>
      <c r="W2719" s="1077">
        <v>100</v>
      </c>
      <c r="X2719" s="1077">
        <v>40</v>
      </c>
      <c r="Y2719" s="1077">
        <v>1</v>
      </c>
      <c r="Z2719" s="1077" t="s">
        <v>648</v>
      </c>
      <c r="AA2719" s="1077" t="s">
        <v>8233</v>
      </c>
      <c r="AH2719" s="1077" t="s">
        <v>887</v>
      </c>
      <c r="AI2719" s="1077">
        <v>95.09</v>
      </c>
      <c r="AJ2719" s="1077">
        <v>-0.7</v>
      </c>
      <c r="AK2719" s="1077">
        <v>1.59</v>
      </c>
      <c r="AM2719" s="1078" t="s">
        <v>14352</v>
      </c>
      <c r="AN2719" s="1078" t="s">
        <v>14353</v>
      </c>
      <c r="AO2719" s="1078">
        <f t="shared" si="342"/>
        <v>600</v>
      </c>
      <c r="AP2719" s="1078">
        <f t="shared" si="343"/>
        <v>1.7769999999999999</v>
      </c>
      <c r="AQ2719" s="1078">
        <f t="shared" si="344"/>
        <v>102.5</v>
      </c>
      <c r="AR2719" s="1078" t="str">
        <f t="shared" si="345"/>
        <v>15.5</v>
      </c>
      <c r="AS2719" s="1078" t="str">
        <f t="shared" si="346"/>
        <v>504/464/OFF</v>
      </c>
      <c r="AT2719" s="1078">
        <f t="shared" si="347"/>
        <v>102.5</v>
      </c>
      <c r="AV2719" s="1078" t="str">
        <f t="shared" si="340"/>
        <v>112.3.17</v>
      </c>
      <c r="AW2719" s="1344">
        <f t="shared" si="341"/>
        <v>45002</v>
      </c>
    </row>
    <row r="2720" spans="1:49">
      <c r="A2720" s="1077" t="s">
        <v>8234</v>
      </c>
      <c r="B2720" s="1077" t="s">
        <v>714</v>
      </c>
      <c r="C2720" s="1077">
        <v>600</v>
      </c>
      <c r="D2720" s="1077">
        <v>1.79</v>
      </c>
      <c r="E2720" s="1077" t="s">
        <v>15109</v>
      </c>
      <c r="F2720" s="1077" t="s">
        <v>648</v>
      </c>
      <c r="G2720" s="1077" t="s">
        <v>6865</v>
      </c>
      <c r="H2720" s="1077" t="s">
        <v>6877</v>
      </c>
      <c r="I2720" s="1077" t="s">
        <v>7513</v>
      </c>
      <c r="J2720" s="1077">
        <v>3.7</v>
      </c>
      <c r="K2720" s="1077" t="s">
        <v>8220</v>
      </c>
      <c r="L2720" s="1077" t="s">
        <v>4666</v>
      </c>
      <c r="M2720" s="1077">
        <v>295.10000000000002</v>
      </c>
      <c r="N2720" s="1077" t="s">
        <v>945</v>
      </c>
      <c r="O2720" s="1077">
        <v>7.3775000000000013</v>
      </c>
      <c r="P2720" s="1077">
        <v>5.9020000000000001</v>
      </c>
      <c r="Q2720" s="1077">
        <v>4</v>
      </c>
      <c r="R2720" s="1077">
        <v>17.399999999999999</v>
      </c>
      <c r="T2720" s="1077">
        <v>31</v>
      </c>
      <c r="U2720" s="1077">
        <v>3.5</v>
      </c>
      <c r="V2720" s="1077" t="s">
        <v>648</v>
      </c>
      <c r="W2720" s="1077" t="s">
        <v>6880</v>
      </c>
      <c r="X2720" s="1077">
        <v>40</v>
      </c>
      <c r="Y2720" s="1077">
        <v>1</v>
      </c>
      <c r="Z2720" s="1077" t="s">
        <v>648</v>
      </c>
      <c r="AA2720" s="1077" t="s">
        <v>1565</v>
      </c>
      <c r="AH2720" s="1077" t="s">
        <v>723</v>
      </c>
      <c r="AM2720" s="1078" t="s">
        <v>14354</v>
      </c>
      <c r="AN2720" s="1078" t="s">
        <v>14355</v>
      </c>
      <c r="AO2720" s="1078">
        <f t="shared" si="342"/>
        <v>600</v>
      </c>
      <c r="AP2720" s="1078">
        <f t="shared" si="343"/>
        <v>1.79</v>
      </c>
      <c r="AQ2720" s="1078" t="str">
        <f t="shared" si="344"/>
        <v>1-5-1S85°Z+S</v>
      </c>
      <c r="AR2720" s="1078" t="str">
        <f t="shared" si="345"/>
        <v>NA</v>
      </c>
      <c r="AS2720" s="1078" t="str">
        <f t="shared" si="346"/>
        <v>200/OFF</v>
      </c>
      <c r="AT2720" s="1078" t="str">
        <f t="shared" si="347"/>
        <v>1-5-1S85°Z+S</v>
      </c>
      <c r="AU2720" s="1078" t="s">
        <v>15547</v>
      </c>
      <c r="AV2720" s="1078" t="str">
        <f t="shared" si="340"/>
        <v>112.3.20</v>
      </c>
      <c r="AW2720" s="1344">
        <f t="shared" si="341"/>
        <v>45005</v>
      </c>
    </row>
    <row r="2721" spans="1:49">
      <c r="A2721" s="1077" t="s">
        <v>8235</v>
      </c>
      <c r="B2721" s="1077" t="s">
        <v>7283</v>
      </c>
      <c r="C2721" s="1077">
        <v>600</v>
      </c>
      <c r="D2721" s="1077">
        <v>1.7749999999999999</v>
      </c>
      <c r="E2721" s="1077" t="s">
        <v>15116</v>
      </c>
      <c r="F2721" s="1077" t="s">
        <v>2234</v>
      </c>
      <c r="G2721" s="1077">
        <v>3.5</v>
      </c>
      <c r="H2721" s="1077" t="s">
        <v>6952</v>
      </c>
      <c r="I2721" s="1077" t="s">
        <v>7150</v>
      </c>
      <c r="J2721" s="1077">
        <v>3</v>
      </c>
      <c r="K2721" s="1077" t="s">
        <v>7285</v>
      </c>
      <c r="L2721" s="1077" t="s">
        <v>7286</v>
      </c>
      <c r="M2721" s="1077">
        <v>310</v>
      </c>
      <c r="N2721" s="1077" t="s">
        <v>945</v>
      </c>
      <c r="O2721" s="1077">
        <v>7.75</v>
      </c>
      <c r="P2721" s="1077">
        <v>6.2</v>
      </c>
      <c r="Q2721" s="1077">
        <v>3.5</v>
      </c>
      <c r="R2721" s="1077">
        <v>22</v>
      </c>
      <c r="T2721" s="1077">
        <v>22</v>
      </c>
      <c r="U2721" s="1077">
        <v>3.5</v>
      </c>
      <c r="V2721" s="1077" t="s">
        <v>648</v>
      </c>
      <c r="W2721" s="1077">
        <v>110</v>
      </c>
      <c r="X2721" s="1077">
        <v>85</v>
      </c>
      <c r="Y2721" s="1077">
        <v>1</v>
      </c>
      <c r="Z2721" s="1077" t="s">
        <v>648</v>
      </c>
      <c r="AA2721" s="1077" t="s">
        <v>3497</v>
      </c>
      <c r="AH2721" s="1077" t="s">
        <v>854</v>
      </c>
      <c r="AM2721" s="1078" t="s">
        <v>14356</v>
      </c>
      <c r="AN2721" s="1078" t="s">
        <v>14357</v>
      </c>
      <c r="AO2721" s="1078">
        <f t="shared" si="342"/>
        <v>600</v>
      </c>
      <c r="AP2721" s="1078">
        <f t="shared" si="343"/>
        <v>1.7749999999999999</v>
      </c>
      <c r="AQ2721" s="1078" t="str">
        <f t="shared" si="344"/>
        <v>1-5-1S83°Z+S</v>
      </c>
      <c r="AR2721" s="1078" t="str">
        <f t="shared" si="345"/>
        <v>33.5</v>
      </c>
      <c r="AS2721" s="1078" t="str">
        <f t="shared" si="346"/>
        <v>340/340/140</v>
      </c>
      <c r="AT2721" s="1078" t="str">
        <f t="shared" si="347"/>
        <v>1-5-1S83°Z+S</v>
      </c>
      <c r="AU2721" s="1078" t="s">
        <v>15547</v>
      </c>
      <c r="AV2721" s="1078" t="str">
        <f t="shared" si="340"/>
        <v>112.3.24</v>
      </c>
      <c r="AW2721" s="1344">
        <f t="shared" si="341"/>
        <v>45009</v>
      </c>
    </row>
    <row r="2722" spans="1:49">
      <c r="A2722" s="1077" t="s">
        <v>8236</v>
      </c>
      <c r="B2722" s="1077" t="s">
        <v>714</v>
      </c>
      <c r="C2722" s="1077">
        <v>600</v>
      </c>
      <c r="D2722" s="1077">
        <v>1.7649999999999999</v>
      </c>
      <c r="E2722" s="1077">
        <v>102.5</v>
      </c>
      <c r="F2722" s="1077" t="s">
        <v>4070</v>
      </c>
      <c r="G2722" s="1077" t="s">
        <v>6865</v>
      </c>
      <c r="H2722" s="1077" t="s">
        <v>7714</v>
      </c>
      <c r="I2722" s="1077" t="s">
        <v>7443</v>
      </c>
      <c r="J2722" s="1077">
        <v>3.7</v>
      </c>
      <c r="K2722" s="1077" t="s">
        <v>8237</v>
      </c>
      <c r="L2722" s="1077" t="s">
        <v>4666</v>
      </c>
      <c r="M2722" s="1077">
        <v>300.8</v>
      </c>
      <c r="N2722" s="1077" t="s">
        <v>945</v>
      </c>
      <c r="O2722" s="1077">
        <v>7.5200000000000005</v>
      </c>
      <c r="P2722" s="1077">
        <v>6.016</v>
      </c>
      <c r="Q2722" s="1077">
        <v>4</v>
      </c>
      <c r="R2722" s="1077">
        <v>17</v>
      </c>
      <c r="T2722" s="1077">
        <v>31.4</v>
      </c>
      <c r="U2722" s="1077">
        <v>3.6</v>
      </c>
      <c r="V2722" s="1077" t="s">
        <v>648</v>
      </c>
      <c r="W2722" s="1077">
        <v>65</v>
      </c>
      <c r="X2722" s="1077">
        <v>10</v>
      </c>
      <c r="Y2722" s="1077">
        <v>1.5</v>
      </c>
      <c r="Z2722" s="1077" t="s">
        <v>648</v>
      </c>
      <c r="AA2722" s="1077" t="s">
        <v>8238</v>
      </c>
      <c r="AH2722" s="1077" t="s">
        <v>1376</v>
      </c>
      <c r="AM2722" s="1078" t="s">
        <v>14358</v>
      </c>
      <c r="AN2722" s="1078" t="s">
        <v>14359</v>
      </c>
      <c r="AO2722" s="1078">
        <f t="shared" si="342"/>
        <v>600</v>
      </c>
      <c r="AP2722" s="1078">
        <f t="shared" si="343"/>
        <v>1.7649999999999999</v>
      </c>
      <c r="AQ2722" s="1078">
        <f t="shared" si="344"/>
        <v>102.5</v>
      </c>
      <c r="AR2722" s="1078" t="str">
        <f t="shared" si="345"/>
        <v>15.5</v>
      </c>
      <c r="AS2722" s="1078" t="str">
        <f t="shared" si="346"/>
        <v>493/453/OFF</v>
      </c>
      <c r="AT2722" s="1078">
        <f t="shared" si="347"/>
        <v>102.5</v>
      </c>
      <c r="AV2722" s="1078" t="str">
        <f t="shared" si="340"/>
        <v>112.3.25</v>
      </c>
      <c r="AW2722" s="1344">
        <f t="shared" si="341"/>
        <v>45010</v>
      </c>
    </row>
    <row r="2723" spans="1:49">
      <c r="A2723" s="1077" t="s">
        <v>8239</v>
      </c>
      <c r="B2723" s="1077" t="s">
        <v>7763</v>
      </c>
      <c r="C2723" s="1077">
        <v>600</v>
      </c>
      <c r="D2723" s="1077">
        <v>1.77</v>
      </c>
      <c r="E2723" s="1077" t="s">
        <v>15116</v>
      </c>
      <c r="F2723" s="1077" t="s">
        <v>2234</v>
      </c>
      <c r="G2723" s="1077">
        <v>5</v>
      </c>
      <c r="H2723" s="1077" t="s">
        <v>6952</v>
      </c>
      <c r="I2723" s="1077" t="s">
        <v>7150</v>
      </c>
      <c r="J2723" s="1077">
        <v>3</v>
      </c>
      <c r="K2723" s="1077" t="s">
        <v>8071</v>
      </c>
      <c r="L2723" s="1077" t="s">
        <v>7765</v>
      </c>
      <c r="M2723" s="1077">
        <v>310</v>
      </c>
      <c r="N2723" s="1077" t="s">
        <v>945</v>
      </c>
      <c r="O2723" s="1077">
        <v>7.75</v>
      </c>
      <c r="P2723" s="1077">
        <v>6.2</v>
      </c>
      <c r="Q2723" s="1077">
        <v>3.5</v>
      </c>
      <c r="R2723" s="1077">
        <v>22</v>
      </c>
      <c r="T2723" s="1077">
        <v>22</v>
      </c>
      <c r="U2723" s="1077">
        <v>3.5</v>
      </c>
      <c r="V2723" s="1077" t="s">
        <v>648</v>
      </c>
      <c r="W2723" s="1077">
        <v>110</v>
      </c>
      <c r="X2723" s="1077">
        <v>85</v>
      </c>
      <c r="Y2723" s="1077">
        <v>1</v>
      </c>
      <c r="Z2723" s="1077" t="s">
        <v>648</v>
      </c>
      <c r="AA2723" s="1077" t="s">
        <v>4425</v>
      </c>
      <c r="AH2723" s="1077" t="s">
        <v>889</v>
      </c>
      <c r="AM2723" s="1078" t="s">
        <v>14360</v>
      </c>
      <c r="AN2723" s="1078" t="s">
        <v>14361</v>
      </c>
      <c r="AO2723" s="1078">
        <f t="shared" si="342"/>
        <v>600</v>
      </c>
      <c r="AP2723" s="1078">
        <f t="shared" si="343"/>
        <v>1.77</v>
      </c>
      <c r="AQ2723" s="1078" t="str">
        <f t="shared" si="344"/>
        <v>1-5-1S83°Z+S</v>
      </c>
      <c r="AR2723" s="1078" t="str">
        <f t="shared" si="345"/>
        <v>33.5</v>
      </c>
      <c r="AS2723" s="1078" t="str">
        <f t="shared" si="346"/>
        <v>340/340/140</v>
      </c>
      <c r="AT2723" s="1078" t="str">
        <f t="shared" si="347"/>
        <v>1-5-1S83°Z+S</v>
      </c>
      <c r="AU2723" s="1078" t="s">
        <v>15547</v>
      </c>
      <c r="AV2723" s="1078" t="str">
        <f t="shared" si="340"/>
        <v>112.4.18</v>
      </c>
      <c r="AW2723" s="1344">
        <f t="shared" si="341"/>
        <v>45034</v>
      </c>
    </row>
    <row r="2724" spans="1:49">
      <c r="A2724" s="1077" t="s">
        <v>8240</v>
      </c>
      <c r="B2724" s="1077" t="s">
        <v>714</v>
      </c>
      <c r="C2724" s="1077" t="s">
        <v>8241</v>
      </c>
      <c r="D2724" s="1077">
        <v>1.79</v>
      </c>
      <c r="E2724" s="1077" t="s">
        <v>15109</v>
      </c>
      <c r="F2724" s="1077" t="s">
        <v>648</v>
      </c>
      <c r="G2724" s="1077" t="s">
        <v>6865</v>
      </c>
      <c r="H2724" s="1077" t="s">
        <v>6417</v>
      </c>
      <c r="I2724" s="1077" t="s">
        <v>8242</v>
      </c>
      <c r="J2724" s="1077">
        <v>3.7</v>
      </c>
      <c r="K2724" s="1077" t="s">
        <v>8204</v>
      </c>
      <c r="L2724" s="1077" t="s">
        <v>4666</v>
      </c>
      <c r="M2724" s="1077">
        <v>295.10000000000002</v>
      </c>
      <c r="N2724" s="1077" t="s">
        <v>945</v>
      </c>
      <c r="O2724" s="1077">
        <v>7.3775000000000013</v>
      </c>
      <c r="P2724" s="1077">
        <v>5.9020000000000001</v>
      </c>
      <c r="Q2724" s="1077">
        <v>4</v>
      </c>
      <c r="R2724" s="1077">
        <v>17.399999999999999</v>
      </c>
      <c r="T2724" s="1077">
        <v>31</v>
      </c>
      <c r="U2724" s="1077">
        <v>3.5</v>
      </c>
      <c r="V2724" s="1077" t="s">
        <v>648</v>
      </c>
      <c r="W2724" s="1077" t="s">
        <v>6880</v>
      </c>
      <c r="X2724" s="1077">
        <v>40</v>
      </c>
      <c r="Y2724" s="1077">
        <v>1</v>
      </c>
      <c r="Z2724" s="1077" t="s">
        <v>648</v>
      </c>
      <c r="AA2724" s="1077" t="s">
        <v>6121</v>
      </c>
      <c r="AH2724" s="1077" t="s">
        <v>785</v>
      </c>
      <c r="AI2724" s="1077">
        <v>94.53</v>
      </c>
      <c r="AJ2724" s="1077">
        <v>-0.89</v>
      </c>
      <c r="AK2724" s="1077">
        <v>1.96</v>
      </c>
      <c r="AM2724" s="1078" t="s">
        <v>14362</v>
      </c>
      <c r="AN2724" s="1078" t="s">
        <v>14363</v>
      </c>
      <c r="AO2724" s="1078" t="str">
        <f t="shared" si="342"/>
        <v>600↑700-6/5</v>
      </c>
      <c r="AP2724" s="1078">
        <f t="shared" si="343"/>
        <v>1.79</v>
      </c>
      <c r="AQ2724" s="1078" t="str">
        <f t="shared" si="344"/>
        <v>1-5-1S85°Z+S</v>
      </c>
      <c r="AR2724" s="1078" t="str">
        <f t="shared" si="345"/>
        <v>NA</v>
      </c>
      <c r="AS2724" s="1078" t="str">
        <f t="shared" si="346"/>
        <v>205/OFF</v>
      </c>
      <c r="AT2724" s="1078" t="str">
        <f t="shared" si="347"/>
        <v>1-5-1S85°Z+S</v>
      </c>
      <c r="AU2724" s="1078" t="s">
        <v>15547</v>
      </c>
      <c r="AV2724" s="1078" t="str">
        <f t="shared" si="340"/>
        <v>112.5.4</v>
      </c>
      <c r="AW2724" s="1344">
        <f t="shared" si="341"/>
        <v>45050</v>
      </c>
    </row>
    <row r="2725" spans="1:49">
      <c r="A2725" s="1077" t="s">
        <v>8243</v>
      </c>
      <c r="B2725" s="1077" t="s">
        <v>6951</v>
      </c>
      <c r="C2725" s="1077">
        <v>550</v>
      </c>
      <c r="D2725" s="1077">
        <v>1.72</v>
      </c>
      <c r="E2725" s="1077" t="s">
        <v>15112</v>
      </c>
      <c r="F2725" s="1077" t="s">
        <v>975</v>
      </c>
      <c r="G2725" s="1077">
        <v>3.5</v>
      </c>
      <c r="H2725" s="1077" t="s">
        <v>5105</v>
      </c>
      <c r="I2725" s="1077" t="s">
        <v>7753</v>
      </c>
      <c r="K2725" s="1077" t="s">
        <v>8177</v>
      </c>
      <c r="L2725" s="1077" t="s">
        <v>6955</v>
      </c>
      <c r="M2725" s="1077">
        <v>310</v>
      </c>
      <c r="N2725" s="1077" t="s">
        <v>945</v>
      </c>
      <c r="O2725" s="1077">
        <v>7.75</v>
      </c>
      <c r="P2725" s="1077">
        <v>6.2</v>
      </c>
      <c r="Q2725" s="1077">
        <v>3.5</v>
      </c>
      <c r="R2725" s="1077">
        <v>25</v>
      </c>
      <c r="T2725" s="1077">
        <v>23</v>
      </c>
      <c r="U2725" s="1077">
        <v>3.2</v>
      </c>
      <c r="V2725" s="1077" t="s">
        <v>648</v>
      </c>
      <c r="W2725" s="1077">
        <v>115</v>
      </c>
      <c r="X2725" s="1077">
        <v>85</v>
      </c>
      <c r="Y2725" s="1077">
        <v>1.2</v>
      </c>
      <c r="Z2725" s="1077" t="s">
        <v>648</v>
      </c>
      <c r="AA2725" s="1077" t="s">
        <v>3563</v>
      </c>
      <c r="AH2725" s="1077" t="s">
        <v>622</v>
      </c>
      <c r="AI2725" s="1077">
        <v>69.53</v>
      </c>
      <c r="AJ2725" s="1077">
        <v>-0.33</v>
      </c>
      <c r="AK2725" s="1077">
        <v>3.08</v>
      </c>
      <c r="AM2725" s="1078" t="s">
        <v>14364</v>
      </c>
      <c r="AN2725" s="1078" t="s">
        <v>14365</v>
      </c>
      <c r="AO2725" s="1078">
        <f t="shared" si="342"/>
        <v>550</v>
      </c>
      <c r="AP2725" s="1078">
        <f t="shared" si="343"/>
        <v>1.72</v>
      </c>
      <c r="AQ2725" s="1078" t="str">
        <f t="shared" si="344"/>
        <v>1-5-1S87°Z+S</v>
      </c>
      <c r="AR2725" s="1078" t="str">
        <f t="shared" si="345"/>
        <v>31.5</v>
      </c>
      <c r="AS2725" s="1078" t="str">
        <f t="shared" si="346"/>
        <v>340/340/145</v>
      </c>
      <c r="AT2725" s="1078" t="str">
        <f t="shared" si="347"/>
        <v>1-5-1S87°Z+S</v>
      </c>
      <c r="AU2725" s="1078" t="s">
        <v>15547</v>
      </c>
      <c r="AV2725" s="1078" t="str">
        <f t="shared" si="340"/>
        <v>112.5.12</v>
      </c>
      <c r="AW2725" s="1344">
        <f t="shared" si="341"/>
        <v>45058</v>
      </c>
    </row>
    <row r="2726" spans="1:49">
      <c r="A2726" s="1077" t="s">
        <v>8244</v>
      </c>
      <c r="B2726" s="1077" t="s">
        <v>8104</v>
      </c>
      <c r="C2726" s="1077">
        <v>550</v>
      </c>
      <c r="D2726" s="1077">
        <v>1.73</v>
      </c>
      <c r="E2726" s="1077" t="s">
        <v>15112</v>
      </c>
      <c r="F2726" s="1077" t="s">
        <v>975</v>
      </c>
      <c r="G2726" s="1077">
        <v>5</v>
      </c>
      <c r="H2726" s="1077" t="s">
        <v>5105</v>
      </c>
      <c r="I2726" s="1077" t="s">
        <v>7753</v>
      </c>
      <c r="K2726" s="1077" t="s">
        <v>8245</v>
      </c>
      <c r="L2726" s="1077" t="s">
        <v>8106</v>
      </c>
      <c r="M2726" s="1077">
        <v>303</v>
      </c>
      <c r="N2726" s="1077" t="s">
        <v>945</v>
      </c>
      <c r="O2726" s="1077">
        <v>7.5750000000000002</v>
      </c>
      <c r="P2726" s="1077">
        <v>6.0600000000000005</v>
      </c>
      <c r="Q2726" s="1077">
        <v>3.5</v>
      </c>
      <c r="R2726" s="1077">
        <v>22</v>
      </c>
      <c r="T2726" s="1077">
        <v>23</v>
      </c>
      <c r="U2726" s="1077">
        <v>3.2</v>
      </c>
      <c r="V2726" s="1077" t="s">
        <v>648</v>
      </c>
      <c r="W2726" s="1077">
        <v>115</v>
      </c>
      <c r="X2726" s="1077">
        <v>85</v>
      </c>
      <c r="Y2726" s="1077">
        <v>1.2</v>
      </c>
      <c r="Z2726" s="1077" t="s">
        <v>648</v>
      </c>
      <c r="AA2726" s="1077" t="s">
        <v>6132</v>
      </c>
      <c r="AH2726" s="1077" t="s">
        <v>456</v>
      </c>
      <c r="AI2726" s="1077">
        <v>57.09</v>
      </c>
      <c r="AJ2726" s="1077">
        <v>0.99</v>
      </c>
      <c r="AK2726" s="1077">
        <v>7.36</v>
      </c>
      <c r="AM2726" s="1078" t="s">
        <v>14366</v>
      </c>
      <c r="AN2726" s="1078" t="s">
        <v>14367</v>
      </c>
      <c r="AO2726" s="1078">
        <f t="shared" si="342"/>
        <v>550</v>
      </c>
      <c r="AP2726" s="1078">
        <f t="shared" si="343"/>
        <v>1.73</v>
      </c>
      <c r="AQ2726" s="1078" t="str">
        <f t="shared" si="344"/>
        <v>1-5-1S87°Z+S</v>
      </c>
      <c r="AR2726" s="1078" t="str">
        <f t="shared" si="345"/>
        <v>31.5</v>
      </c>
      <c r="AS2726" s="1078" t="str">
        <f t="shared" si="346"/>
        <v>340/340/145</v>
      </c>
      <c r="AT2726" s="1078" t="str">
        <f t="shared" si="347"/>
        <v>1-5-1S87°Z+S</v>
      </c>
      <c r="AU2726" s="1078" t="s">
        <v>15547</v>
      </c>
      <c r="AV2726" s="1078" t="str">
        <f t="shared" si="340"/>
        <v>112.5.17</v>
      </c>
      <c r="AW2726" s="1344">
        <f t="shared" si="341"/>
        <v>45063</v>
      </c>
    </row>
    <row r="2727" spans="1:49">
      <c r="A2727" s="1077" t="s">
        <v>8246</v>
      </c>
      <c r="B2727" s="1077" t="s">
        <v>8057</v>
      </c>
      <c r="C2727" s="1077">
        <v>550</v>
      </c>
      <c r="D2727" s="1077">
        <v>1.7649999999999999</v>
      </c>
      <c r="E2727" s="1077" t="s">
        <v>15112</v>
      </c>
      <c r="F2727" s="1077" t="s">
        <v>975</v>
      </c>
      <c r="G2727" s="1077">
        <v>5</v>
      </c>
      <c r="H2727" s="1077" t="s">
        <v>5105</v>
      </c>
      <c r="I2727" s="1077" t="s">
        <v>7753</v>
      </c>
      <c r="K2727" s="1077" t="s">
        <v>8174</v>
      </c>
      <c r="L2727" s="1077" t="s">
        <v>8059</v>
      </c>
      <c r="M2727" s="1077">
        <v>303</v>
      </c>
      <c r="N2727" s="1077" t="s">
        <v>945</v>
      </c>
      <c r="O2727" s="1077">
        <v>7.5750000000000002</v>
      </c>
      <c r="P2727" s="1077">
        <v>6.0600000000000005</v>
      </c>
      <c r="Q2727" s="1077">
        <v>3.5</v>
      </c>
      <c r="R2727" s="1077" t="s">
        <v>8247</v>
      </c>
      <c r="T2727" s="1077">
        <v>24</v>
      </c>
      <c r="U2727" s="1077">
        <v>3.4</v>
      </c>
      <c r="V2727" s="1077" t="s">
        <v>648</v>
      </c>
      <c r="W2727" s="1077">
        <v>115</v>
      </c>
      <c r="X2727" s="1077">
        <v>85</v>
      </c>
      <c r="Y2727" s="1077">
        <v>1.2</v>
      </c>
      <c r="Z2727" s="1077" t="s">
        <v>648</v>
      </c>
      <c r="AA2727" s="1077" t="s">
        <v>1580</v>
      </c>
      <c r="AH2727" s="1077" t="s">
        <v>958</v>
      </c>
      <c r="AI2727" s="1077">
        <v>17.03</v>
      </c>
      <c r="AJ2727" s="1077">
        <v>0.69</v>
      </c>
      <c r="AK2727" s="1077">
        <v>0.06</v>
      </c>
      <c r="AM2727" s="1078" t="s">
        <v>14368</v>
      </c>
      <c r="AN2727" s="1078" t="s">
        <v>14369</v>
      </c>
      <c r="AO2727" s="1078">
        <f t="shared" si="342"/>
        <v>550</v>
      </c>
      <c r="AP2727" s="1078">
        <f t="shared" si="343"/>
        <v>1.7649999999999999</v>
      </c>
      <c r="AQ2727" s="1078" t="str">
        <f t="shared" si="344"/>
        <v>1-5-1S87°Z+S</v>
      </c>
      <c r="AR2727" s="1078" t="str">
        <f t="shared" si="345"/>
        <v>31.5</v>
      </c>
      <c r="AS2727" s="1078" t="str">
        <f t="shared" si="346"/>
        <v>340/340/145</v>
      </c>
      <c r="AT2727" s="1078" t="str">
        <f t="shared" si="347"/>
        <v>1-5-1S87°Z+S</v>
      </c>
      <c r="AU2727" s="1078" t="s">
        <v>15547</v>
      </c>
      <c r="AV2727" s="1078" t="str">
        <f t="shared" si="340"/>
        <v>112.6.1</v>
      </c>
      <c r="AW2727" s="1344">
        <f t="shared" si="341"/>
        <v>45078</v>
      </c>
    </row>
    <row r="2728" spans="1:49">
      <c r="A2728" s="1077" t="s">
        <v>8248</v>
      </c>
      <c r="B2728" s="1077" t="s">
        <v>7713</v>
      </c>
      <c r="C2728" s="1077">
        <v>700</v>
      </c>
      <c r="D2728" s="1077">
        <v>1.79</v>
      </c>
      <c r="E2728" s="1077" t="s">
        <v>15109</v>
      </c>
      <c r="F2728" s="1077" t="s">
        <v>648</v>
      </c>
      <c r="G2728" s="1077" t="s">
        <v>6865</v>
      </c>
      <c r="H2728" s="1077" t="s">
        <v>6417</v>
      </c>
      <c r="I2728" s="1077" t="s">
        <v>8249</v>
      </c>
      <c r="J2728" s="1077">
        <v>3.7</v>
      </c>
      <c r="K2728" s="1077" t="s">
        <v>8204</v>
      </c>
      <c r="L2728" s="1077" t="s">
        <v>4666</v>
      </c>
      <c r="M2728" s="1077">
        <v>295.10000000000002</v>
      </c>
      <c r="N2728" s="1077" t="s">
        <v>945</v>
      </c>
      <c r="O2728" s="1077">
        <v>7.3775000000000013</v>
      </c>
      <c r="P2728" s="1077">
        <v>5.9020000000000001</v>
      </c>
      <c r="Q2728" s="1077">
        <v>4</v>
      </c>
      <c r="R2728" s="1077">
        <v>17.399999999999999</v>
      </c>
      <c r="T2728" s="1077">
        <v>31</v>
      </c>
      <c r="U2728" s="1077">
        <v>3.5</v>
      </c>
      <c r="V2728" s="1077" t="s">
        <v>648</v>
      </c>
      <c r="W2728" s="1077" t="s">
        <v>6880</v>
      </c>
      <c r="X2728" s="1077">
        <v>40</v>
      </c>
      <c r="Y2728" s="1077">
        <v>1</v>
      </c>
      <c r="Z2728" s="1077" t="s">
        <v>648</v>
      </c>
      <c r="AA2728" s="1077" t="s">
        <v>4429</v>
      </c>
      <c r="AH2728" s="1077" t="s">
        <v>1417</v>
      </c>
      <c r="AI2728" s="1077">
        <v>94.9</v>
      </c>
      <c r="AJ2728" s="1077">
        <v>-0.05</v>
      </c>
      <c r="AK2728" s="1077">
        <v>1.65</v>
      </c>
      <c r="AM2728" s="1078" t="s">
        <v>14370</v>
      </c>
      <c r="AN2728" s="1078" t="s">
        <v>14371</v>
      </c>
      <c r="AO2728" s="1078">
        <f t="shared" si="342"/>
        <v>700</v>
      </c>
      <c r="AP2728" s="1078">
        <f t="shared" si="343"/>
        <v>1.79</v>
      </c>
      <c r="AQ2728" s="1078" t="str">
        <f t="shared" si="344"/>
        <v>1-5-1S85°Z+S</v>
      </c>
      <c r="AR2728" s="1078" t="str">
        <f t="shared" si="345"/>
        <v>NA</v>
      </c>
      <c r="AS2728" s="1078" t="str">
        <f t="shared" si="346"/>
        <v>205/OFF</v>
      </c>
      <c r="AT2728" s="1078" t="str">
        <f t="shared" si="347"/>
        <v>1-5-1S85°Z+S</v>
      </c>
      <c r="AU2728" s="1078" t="s">
        <v>15547</v>
      </c>
      <c r="AV2728" s="1078" t="str">
        <f t="shared" si="340"/>
        <v>112.6.8</v>
      </c>
      <c r="AW2728" s="1344">
        <f t="shared" si="341"/>
        <v>45085</v>
      </c>
    </row>
    <row r="2729" spans="1:49">
      <c r="A2729" s="1077" t="s">
        <v>8250</v>
      </c>
      <c r="B2729" s="1077" t="s">
        <v>7086</v>
      </c>
      <c r="C2729" s="1077">
        <v>550</v>
      </c>
      <c r="D2729" s="1077">
        <v>1.75</v>
      </c>
      <c r="E2729" s="1077" t="s">
        <v>15112</v>
      </c>
      <c r="F2729" s="1077" t="s">
        <v>975</v>
      </c>
      <c r="G2729" s="1077">
        <v>5</v>
      </c>
      <c r="H2729" s="1077" t="s">
        <v>5105</v>
      </c>
      <c r="I2729" s="1077" t="s">
        <v>7753</v>
      </c>
      <c r="K2729" s="1077" t="s">
        <v>7088</v>
      </c>
      <c r="L2729" s="1077" t="s">
        <v>7089</v>
      </c>
      <c r="M2729" s="1077">
        <v>303</v>
      </c>
      <c r="N2729" s="1077" t="s">
        <v>945</v>
      </c>
      <c r="O2729" s="1077">
        <v>7.5750000000000002</v>
      </c>
      <c r="P2729" s="1077">
        <v>6.0600000000000005</v>
      </c>
      <c r="Q2729" s="1077">
        <v>3.5</v>
      </c>
      <c r="R2729" s="1077">
        <v>22</v>
      </c>
      <c r="T2729" s="1077">
        <v>23</v>
      </c>
      <c r="U2729" s="1077">
        <v>3.2</v>
      </c>
      <c r="V2729" s="1077" t="s">
        <v>648</v>
      </c>
      <c r="W2729" s="1077">
        <v>115</v>
      </c>
      <c r="X2729" s="1077">
        <v>85</v>
      </c>
      <c r="Y2729" s="1077">
        <v>1.2</v>
      </c>
      <c r="Z2729" s="1077" t="s">
        <v>648</v>
      </c>
      <c r="AA2729" s="1077" t="s">
        <v>4429</v>
      </c>
      <c r="AH2729" s="1077" t="s">
        <v>884</v>
      </c>
      <c r="AI2729" s="1077">
        <v>29.16</v>
      </c>
      <c r="AJ2729" s="1077">
        <v>1.6</v>
      </c>
      <c r="AK2729" s="1077">
        <v>-1.44</v>
      </c>
      <c r="AM2729" s="1078" t="s">
        <v>14372</v>
      </c>
      <c r="AN2729" s="1078" t="s">
        <v>14373</v>
      </c>
      <c r="AO2729" s="1078">
        <f t="shared" si="342"/>
        <v>550</v>
      </c>
      <c r="AP2729" s="1078">
        <f t="shared" si="343"/>
        <v>1.75</v>
      </c>
      <c r="AQ2729" s="1078" t="str">
        <f t="shared" si="344"/>
        <v>1-5-1S87°Z+S</v>
      </c>
      <c r="AR2729" s="1078" t="str">
        <f t="shared" si="345"/>
        <v>31.5</v>
      </c>
      <c r="AS2729" s="1078" t="str">
        <f t="shared" si="346"/>
        <v>340/340/145</v>
      </c>
      <c r="AT2729" s="1078" t="str">
        <f t="shared" si="347"/>
        <v>1-5-1S87°Z+S</v>
      </c>
      <c r="AU2729" s="1078" t="s">
        <v>15547</v>
      </c>
      <c r="AV2729" s="1078" t="str">
        <f t="shared" si="340"/>
        <v>112.6.8</v>
      </c>
      <c r="AW2729" s="1344">
        <f t="shared" si="341"/>
        <v>45085</v>
      </c>
    </row>
    <row r="2730" spans="1:49">
      <c r="A2730" s="1077" t="s">
        <v>8251</v>
      </c>
      <c r="B2730" s="1077" t="s">
        <v>8035</v>
      </c>
      <c r="C2730" s="1077">
        <v>500</v>
      </c>
      <c r="D2730" s="1077">
        <v>1.825</v>
      </c>
      <c r="E2730" s="1077" t="s">
        <v>15112</v>
      </c>
      <c r="F2730" s="1077" t="s">
        <v>975</v>
      </c>
      <c r="G2730" s="1077">
        <v>5</v>
      </c>
      <c r="H2730" s="1077" t="s">
        <v>7880</v>
      </c>
      <c r="I2730" s="1077" t="s">
        <v>7028</v>
      </c>
      <c r="K2730" s="1077" t="s">
        <v>8036</v>
      </c>
      <c r="L2730" s="1077" t="s">
        <v>8037</v>
      </c>
      <c r="M2730" s="1077">
        <v>315</v>
      </c>
      <c r="N2730" s="1077" t="s">
        <v>945</v>
      </c>
      <c r="O2730" s="1077">
        <v>7.875</v>
      </c>
      <c r="P2730" s="1077">
        <v>6.3</v>
      </c>
      <c r="Q2730" s="1077">
        <v>3.5</v>
      </c>
      <c r="R2730" s="1077">
        <v>21</v>
      </c>
      <c r="T2730" s="1077">
        <v>22</v>
      </c>
      <c r="U2730" s="1077">
        <v>3.8</v>
      </c>
      <c r="V2730" s="1077" t="s">
        <v>648</v>
      </c>
      <c r="W2730" s="1077">
        <v>120</v>
      </c>
      <c r="X2730" s="1077">
        <v>20</v>
      </c>
      <c r="Y2730" s="1077">
        <v>1.6</v>
      </c>
      <c r="Z2730" s="1077" t="s">
        <v>648</v>
      </c>
      <c r="AA2730" s="1077" t="s">
        <v>6141</v>
      </c>
      <c r="AH2730" s="1077" t="s">
        <v>2055</v>
      </c>
      <c r="AI2730" s="1077">
        <v>14.12</v>
      </c>
      <c r="AJ2730" s="1077">
        <v>0.35</v>
      </c>
      <c r="AK2730" s="1077">
        <v>-0.09</v>
      </c>
      <c r="AM2730" s="1078" t="s">
        <v>14374</v>
      </c>
      <c r="AN2730" s="1078" t="s">
        <v>14375</v>
      </c>
      <c r="AO2730" s="1078">
        <f t="shared" si="342"/>
        <v>500</v>
      </c>
      <c r="AP2730" s="1078">
        <f t="shared" si="343"/>
        <v>1.825</v>
      </c>
      <c r="AQ2730" s="1078" t="str">
        <f t="shared" si="344"/>
        <v>1-5-1S87°Z+S</v>
      </c>
      <c r="AR2730" s="1078" t="str">
        <f t="shared" si="345"/>
        <v>31.5</v>
      </c>
      <c r="AS2730" s="1078" t="str">
        <f t="shared" si="346"/>
        <v>310/310/150</v>
      </c>
      <c r="AT2730" s="1078" t="str">
        <f t="shared" si="347"/>
        <v>1-5-1S87°Z+S</v>
      </c>
      <c r="AU2730" s="1078" t="s">
        <v>15547</v>
      </c>
      <c r="AV2730" s="1078" t="str">
        <f t="shared" si="340"/>
        <v>112.6.13</v>
      </c>
      <c r="AW2730" s="1344">
        <f t="shared" si="341"/>
        <v>45090</v>
      </c>
    </row>
    <row r="2731" spans="1:49">
      <c r="A2731" s="1077" t="s">
        <v>8252</v>
      </c>
      <c r="B2731" s="1077" t="s">
        <v>663</v>
      </c>
      <c r="C2731" s="1077">
        <v>550</v>
      </c>
      <c r="D2731" s="1077">
        <v>1.76</v>
      </c>
      <c r="E2731" s="1077">
        <v>102.5</v>
      </c>
      <c r="F2731" s="1077" t="s">
        <v>4070</v>
      </c>
      <c r="G2731" s="1077">
        <v>5.5</v>
      </c>
      <c r="H2731" s="1077" t="s">
        <v>8128</v>
      </c>
      <c r="I2731" s="1077" t="s">
        <v>7257</v>
      </c>
      <c r="K2731" s="1077" t="s">
        <v>8223</v>
      </c>
      <c r="L2731" s="1077" t="s">
        <v>4907</v>
      </c>
      <c r="M2731" s="1077">
        <v>296.39999999999998</v>
      </c>
      <c r="N2731" s="1077" t="s">
        <v>945</v>
      </c>
      <c r="O2731" s="1077">
        <v>7.41</v>
      </c>
      <c r="P2731" s="1077">
        <v>5.9279999999999999</v>
      </c>
      <c r="Q2731" s="1077">
        <v>3.5</v>
      </c>
      <c r="R2731" s="1077">
        <v>20</v>
      </c>
      <c r="T2731" s="1077">
        <v>14.7</v>
      </c>
      <c r="U2731" s="1077">
        <v>5.5</v>
      </c>
      <c r="V2731" s="1077" t="s">
        <v>648</v>
      </c>
      <c r="W2731" s="1077">
        <v>70</v>
      </c>
      <c r="X2731" s="1077">
        <v>10</v>
      </c>
      <c r="Y2731" s="1077">
        <v>1.1000000000000001</v>
      </c>
      <c r="Z2731" s="1077" t="s">
        <v>648</v>
      </c>
      <c r="AA2731" s="1077" t="s">
        <v>3591</v>
      </c>
      <c r="AB2731" s="1077" t="s">
        <v>8253</v>
      </c>
      <c r="AH2731" s="1077" t="s">
        <v>5681</v>
      </c>
      <c r="AI2731" s="1077">
        <v>91.3</v>
      </c>
      <c r="AJ2731" s="1077">
        <v>-1.42</v>
      </c>
      <c r="AK2731" s="1077">
        <v>6.8</v>
      </c>
      <c r="AM2731" s="1078" t="s">
        <v>14376</v>
      </c>
      <c r="AN2731" s="1078" t="s">
        <v>14377</v>
      </c>
      <c r="AO2731" s="1078">
        <f t="shared" si="342"/>
        <v>550</v>
      </c>
      <c r="AP2731" s="1078">
        <f t="shared" si="343"/>
        <v>1.76</v>
      </c>
      <c r="AQ2731" s="1078">
        <f t="shared" si="344"/>
        <v>102.5</v>
      </c>
      <c r="AR2731" s="1078" t="str">
        <f t="shared" si="345"/>
        <v>15.5</v>
      </c>
      <c r="AS2731" s="1078" t="str">
        <f t="shared" si="346"/>
        <v>365/355/153</v>
      </c>
      <c r="AT2731" s="1078">
        <f t="shared" si="347"/>
        <v>102.5</v>
      </c>
      <c r="AV2731" s="1078" t="str">
        <f t="shared" si="340"/>
        <v>112.6.9</v>
      </c>
      <c r="AW2731" s="1344">
        <f t="shared" si="341"/>
        <v>45086</v>
      </c>
    </row>
    <row r="2732" spans="1:49">
      <c r="A2732" s="1077" t="s">
        <v>8254</v>
      </c>
      <c r="B2732" s="1077" t="s">
        <v>663</v>
      </c>
      <c r="C2732" s="1077">
        <v>500</v>
      </c>
      <c r="D2732" s="1077">
        <v>1.7949999999999999</v>
      </c>
      <c r="E2732" s="1077">
        <v>102.5</v>
      </c>
      <c r="F2732" s="1077" t="s">
        <v>4070</v>
      </c>
      <c r="G2732" s="1077">
        <v>5.5</v>
      </c>
      <c r="H2732" s="1077" t="s">
        <v>7484</v>
      </c>
      <c r="I2732" s="1077" t="s">
        <v>7459</v>
      </c>
      <c r="K2732" s="1077" t="s">
        <v>8255</v>
      </c>
      <c r="L2732" s="1077" t="s">
        <v>4907</v>
      </c>
      <c r="M2732" s="1077">
        <v>296.39999999999998</v>
      </c>
      <c r="N2732" s="1077" t="s">
        <v>945</v>
      </c>
      <c r="O2732" s="1077">
        <v>7.41</v>
      </c>
      <c r="P2732" s="1077">
        <v>5.9279999999999999</v>
      </c>
      <c r="Q2732" s="1077">
        <v>3.5</v>
      </c>
      <c r="R2732" s="1077">
        <v>17</v>
      </c>
      <c r="T2732" s="1077">
        <v>10.5</v>
      </c>
      <c r="U2732" s="1077">
        <v>6.1</v>
      </c>
      <c r="V2732" s="1077" t="s">
        <v>648</v>
      </c>
      <c r="W2732" s="1077">
        <v>120</v>
      </c>
      <c r="X2732" s="1077">
        <v>90</v>
      </c>
      <c r="Y2732" s="1077">
        <v>1.1000000000000001</v>
      </c>
      <c r="Z2732" s="1077" t="s">
        <v>648</v>
      </c>
      <c r="AA2732" s="1077" t="s">
        <v>3598</v>
      </c>
      <c r="AB2732" s="1077" t="s">
        <v>6388</v>
      </c>
      <c r="AH2732" s="1077" t="s">
        <v>1376</v>
      </c>
      <c r="AI2732" s="1077">
        <v>91.38</v>
      </c>
      <c r="AJ2732" s="1077">
        <v>-0.48</v>
      </c>
      <c r="AK2732" s="1077">
        <v>7.23</v>
      </c>
      <c r="AM2732" s="1078" t="s">
        <v>14378</v>
      </c>
      <c r="AN2732" s="1078" t="s">
        <v>14379</v>
      </c>
      <c r="AO2732" s="1078">
        <f t="shared" si="342"/>
        <v>500</v>
      </c>
      <c r="AP2732" s="1078">
        <f t="shared" si="343"/>
        <v>1.7949999999999999</v>
      </c>
      <c r="AQ2732" s="1078">
        <f t="shared" si="344"/>
        <v>102.5</v>
      </c>
      <c r="AR2732" s="1078" t="str">
        <f t="shared" si="345"/>
        <v>15.5</v>
      </c>
      <c r="AS2732" s="1078" t="str">
        <f t="shared" si="346"/>
        <v>355/340/153</v>
      </c>
      <c r="AT2732" s="1078">
        <f t="shared" si="347"/>
        <v>102.5</v>
      </c>
      <c r="AV2732" s="1078" t="str">
        <f t="shared" si="340"/>
        <v>112.6.14</v>
      </c>
      <c r="AW2732" s="1344">
        <f t="shared" si="341"/>
        <v>45091</v>
      </c>
    </row>
    <row r="2733" spans="1:49">
      <c r="A2733" s="1077" t="s">
        <v>8256</v>
      </c>
      <c r="B2733" s="1077" t="s">
        <v>825</v>
      </c>
      <c r="C2733" s="1077">
        <v>550</v>
      </c>
      <c r="D2733" s="1077">
        <v>1.75</v>
      </c>
      <c r="E2733" s="1077" t="s">
        <v>15112</v>
      </c>
      <c r="F2733" s="1077" t="s">
        <v>975</v>
      </c>
      <c r="G2733" s="1077">
        <v>3.5</v>
      </c>
      <c r="H2733" s="1077" t="s">
        <v>5105</v>
      </c>
      <c r="I2733" s="1077" t="s">
        <v>7753</v>
      </c>
      <c r="K2733" s="1077" t="s">
        <v>8257</v>
      </c>
      <c r="L2733" s="1077" t="s">
        <v>7297</v>
      </c>
      <c r="M2733" s="1077">
        <v>310</v>
      </c>
      <c r="N2733" s="1077" t="s">
        <v>945</v>
      </c>
      <c r="O2733" s="1077">
        <v>7.75</v>
      </c>
      <c r="P2733" s="1077">
        <v>6.2</v>
      </c>
      <c r="Q2733" s="1077">
        <v>3.5</v>
      </c>
      <c r="R2733" s="1077">
        <v>22</v>
      </c>
      <c r="T2733" s="1077">
        <v>22</v>
      </c>
      <c r="U2733" s="1077">
        <v>3.5</v>
      </c>
      <c r="V2733" s="1077" t="s">
        <v>648</v>
      </c>
      <c r="W2733" s="1077">
        <v>110</v>
      </c>
      <c r="X2733" s="1077">
        <v>85</v>
      </c>
      <c r="Y2733" s="1077">
        <v>1</v>
      </c>
      <c r="Z2733" s="1077" t="s">
        <v>648</v>
      </c>
      <c r="AA2733" s="1077" t="s">
        <v>3577</v>
      </c>
      <c r="AH2733" s="1077" t="s">
        <v>1376</v>
      </c>
      <c r="AI2733" s="1077">
        <v>16.45</v>
      </c>
      <c r="AJ2733" s="1077">
        <v>0.05</v>
      </c>
      <c r="AK2733" s="1077">
        <v>0.72</v>
      </c>
      <c r="AM2733" s="1078" t="s">
        <v>14380</v>
      </c>
      <c r="AN2733" s="1078" t="s">
        <v>14381</v>
      </c>
      <c r="AO2733" s="1078">
        <f t="shared" si="342"/>
        <v>550</v>
      </c>
      <c r="AP2733" s="1078">
        <f t="shared" si="343"/>
        <v>1.75</v>
      </c>
      <c r="AQ2733" s="1078" t="str">
        <f t="shared" si="344"/>
        <v>1-5-1S87°Z+S</v>
      </c>
      <c r="AR2733" s="1078" t="str">
        <f t="shared" si="345"/>
        <v>31.5</v>
      </c>
      <c r="AS2733" s="1078" t="str">
        <f t="shared" si="346"/>
        <v>340/340/145</v>
      </c>
      <c r="AT2733" s="1078" t="str">
        <f t="shared" si="347"/>
        <v>1-5-1S87°Z+S</v>
      </c>
      <c r="AU2733" s="1078" t="s">
        <v>15547</v>
      </c>
      <c r="AV2733" s="1078" t="str">
        <f t="shared" si="340"/>
        <v>112.6.12</v>
      </c>
      <c r="AW2733" s="1344">
        <f t="shared" si="341"/>
        <v>45089</v>
      </c>
    </row>
    <row r="2734" spans="1:49">
      <c r="A2734" s="1077" t="s">
        <v>8258</v>
      </c>
      <c r="B2734" s="1077" t="s">
        <v>6940</v>
      </c>
      <c r="C2734" s="1077">
        <v>500</v>
      </c>
      <c r="D2734" s="1077">
        <v>1.7649999999999999</v>
      </c>
      <c r="E2734" s="1077" t="s">
        <v>15112</v>
      </c>
      <c r="F2734" s="1077" t="s">
        <v>984</v>
      </c>
      <c r="G2734" s="1077">
        <v>5</v>
      </c>
      <c r="H2734" s="1077" t="s">
        <v>955</v>
      </c>
      <c r="I2734" s="1077" t="s">
        <v>7105</v>
      </c>
      <c r="J2734" s="1077">
        <v>1</v>
      </c>
      <c r="K2734" s="1077" t="s">
        <v>8180</v>
      </c>
      <c r="L2734" s="1077" t="s">
        <v>4952</v>
      </c>
      <c r="M2734" s="1077">
        <v>308.39999999999998</v>
      </c>
      <c r="N2734" s="1077" t="s">
        <v>945</v>
      </c>
      <c r="O2734" s="1077">
        <v>7.71</v>
      </c>
      <c r="P2734" s="1077">
        <v>6.1679999999999993</v>
      </c>
      <c r="Q2734" s="1077">
        <v>2.8</v>
      </c>
      <c r="R2734" s="1077">
        <v>29.5</v>
      </c>
      <c r="T2734" s="1077">
        <v>14.5</v>
      </c>
      <c r="U2734" s="1077">
        <v>5</v>
      </c>
      <c r="V2734" s="1077" t="s">
        <v>648</v>
      </c>
      <c r="W2734" s="1077" t="s">
        <v>6990</v>
      </c>
      <c r="X2734" s="1077">
        <v>10</v>
      </c>
      <c r="Y2734" s="1077">
        <v>1.7</v>
      </c>
      <c r="Z2734" s="1077" t="s">
        <v>648</v>
      </c>
      <c r="AA2734" s="1077" t="s">
        <v>1591</v>
      </c>
      <c r="AB2734" s="1077" t="s">
        <v>8259</v>
      </c>
      <c r="AH2734" s="1077" t="s">
        <v>1452</v>
      </c>
      <c r="AI2734" s="1077">
        <v>15.64</v>
      </c>
      <c r="AJ2734" s="1077">
        <v>0.21</v>
      </c>
      <c r="AK2734" s="1077">
        <v>0.38</v>
      </c>
      <c r="AM2734" s="1078" t="s">
        <v>14382</v>
      </c>
      <c r="AN2734" s="1078" t="s">
        <v>14383</v>
      </c>
      <c r="AO2734" s="1078">
        <f t="shared" si="342"/>
        <v>500</v>
      </c>
      <c r="AP2734" s="1078">
        <f t="shared" si="343"/>
        <v>1.7649999999999999</v>
      </c>
      <c r="AQ2734" s="1078" t="str">
        <f t="shared" si="344"/>
        <v>1-5-1S87°Z+S</v>
      </c>
      <c r="AR2734" s="1078" t="str">
        <f t="shared" si="345"/>
        <v>30</v>
      </c>
      <c r="AS2734" s="1078" t="str">
        <f t="shared" si="346"/>
        <v>260/260/OFF</v>
      </c>
      <c r="AT2734" s="1078" t="str">
        <f t="shared" si="347"/>
        <v>1-5-1S87°Z+S</v>
      </c>
      <c r="AU2734" s="1078" t="s">
        <v>15547</v>
      </c>
      <c r="AV2734" s="1078" t="str">
        <f t="shared" si="340"/>
        <v>112.6.16</v>
      </c>
      <c r="AW2734" s="1344">
        <f t="shared" si="341"/>
        <v>45093</v>
      </c>
    </row>
    <row r="2735" spans="1:49">
      <c r="A2735" s="1077" t="s">
        <v>8260</v>
      </c>
      <c r="B2735" s="1077" t="s">
        <v>714</v>
      </c>
      <c r="C2735" s="1077">
        <v>600</v>
      </c>
      <c r="D2735" s="1077">
        <v>1.7649999999999999</v>
      </c>
      <c r="E2735" s="1077">
        <v>102.5</v>
      </c>
      <c r="F2735" s="1077" t="s">
        <v>4070</v>
      </c>
      <c r="G2735" s="1077" t="s">
        <v>6865</v>
      </c>
      <c r="H2735" s="1077" t="s">
        <v>7714</v>
      </c>
      <c r="I2735" s="1077" t="s">
        <v>7443</v>
      </c>
      <c r="J2735" s="1077">
        <v>3.7</v>
      </c>
      <c r="K2735" s="1077" t="s">
        <v>8237</v>
      </c>
      <c r="L2735" s="1077" t="s">
        <v>4666</v>
      </c>
      <c r="M2735" s="1077">
        <v>300.8</v>
      </c>
      <c r="N2735" s="1077" t="s">
        <v>945</v>
      </c>
      <c r="O2735" s="1077">
        <v>7.5200000000000005</v>
      </c>
      <c r="P2735" s="1077">
        <v>6.016</v>
      </c>
      <c r="Q2735" s="1077">
        <v>4</v>
      </c>
      <c r="R2735" s="1077">
        <v>17</v>
      </c>
      <c r="T2735" s="1077">
        <v>31.4</v>
      </c>
      <c r="U2735" s="1077">
        <v>3.6</v>
      </c>
      <c r="V2735" s="1077" t="s">
        <v>648</v>
      </c>
      <c r="W2735" s="1077">
        <v>65</v>
      </c>
      <c r="X2735" s="1077">
        <v>10</v>
      </c>
      <c r="Y2735" s="1077">
        <v>1.5</v>
      </c>
      <c r="Z2735" s="1077" t="s">
        <v>648</v>
      </c>
      <c r="AA2735" s="1077" t="s">
        <v>4431</v>
      </c>
      <c r="AH2735" s="1077" t="s">
        <v>1643</v>
      </c>
      <c r="AI2735" s="1077">
        <v>94.72</v>
      </c>
      <c r="AJ2735" s="1077">
        <v>-0.32</v>
      </c>
      <c r="AK2735" s="1077">
        <v>1.4</v>
      </c>
      <c r="AM2735" s="1078" t="s">
        <v>14384</v>
      </c>
      <c r="AN2735" s="1078" t="s">
        <v>14385</v>
      </c>
      <c r="AO2735" s="1078">
        <f t="shared" si="342"/>
        <v>600</v>
      </c>
      <c r="AP2735" s="1078">
        <f t="shared" si="343"/>
        <v>1.7649999999999999</v>
      </c>
      <c r="AQ2735" s="1078">
        <f t="shared" si="344"/>
        <v>102.5</v>
      </c>
      <c r="AR2735" s="1078" t="str">
        <f t="shared" si="345"/>
        <v>15.5</v>
      </c>
      <c r="AS2735" s="1078" t="str">
        <f t="shared" si="346"/>
        <v>493/453/OFF</v>
      </c>
      <c r="AT2735" s="1078">
        <f t="shared" si="347"/>
        <v>102.5</v>
      </c>
      <c r="AV2735" s="1078" t="str">
        <f t="shared" si="340"/>
        <v>112.6.21</v>
      </c>
      <c r="AW2735" s="1344">
        <f t="shared" si="341"/>
        <v>45098</v>
      </c>
    </row>
    <row r="2736" spans="1:49">
      <c r="A2736" s="1077" t="s">
        <v>8261</v>
      </c>
      <c r="B2736" s="1077" t="s">
        <v>8157</v>
      </c>
      <c r="C2736" s="1077">
        <v>600</v>
      </c>
      <c r="D2736" s="1077">
        <v>1.78</v>
      </c>
      <c r="E2736" s="1077" t="s">
        <v>15116</v>
      </c>
      <c r="F2736" s="1077" t="s">
        <v>2234</v>
      </c>
      <c r="G2736" s="1077">
        <v>3.5</v>
      </c>
      <c r="H2736" s="1077" t="s">
        <v>6952</v>
      </c>
      <c r="I2736" s="1077" t="s">
        <v>6953</v>
      </c>
      <c r="J2736" s="1077">
        <v>3</v>
      </c>
      <c r="K2736" s="1077" t="s">
        <v>8158</v>
      </c>
      <c r="L2736" s="1077" t="s">
        <v>8159</v>
      </c>
      <c r="M2736" s="1077">
        <v>310</v>
      </c>
      <c r="N2736" s="1077" t="s">
        <v>945</v>
      </c>
      <c r="O2736" s="1077">
        <v>7.75</v>
      </c>
      <c r="P2736" s="1077">
        <v>6.2</v>
      </c>
      <c r="Q2736" s="1077">
        <v>3.5</v>
      </c>
      <c r="R2736" s="1077">
        <v>22</v>
      </c>
      <c r="T2736" s="1077">
        <v>22</v>
      </c>
      <c r="U2736" s="1077">
        <v>3.5</v>
      </c>
      <c r="V2736" s="1077" t="s">
        <v>648</v>
      </c>
      <c r="W2736" s="1077">
        <v>110</v>
      </c>
      <c r="X2736" s="1077">
        <v>85</v>
      </c>
      <c r="Y2736" s="1077">
        <v>1</v>
      </c>
      <c r="Z2736" s="1077" t="s">
        <v>648</v>
      </c>
      <c r="AA2736" s="1077" t="s">
        <v>1593</v>
      </c>
      <c r="AH2736" s="1077" t="s">
        <v>994</v>
      </c>
      <c r="AI2736" s="1077">
        <v>28.67</v>
      </c>
      <c r="AJ2736" s="1077">
        <v>3.16</v>
      </c>
      <c r="AK2736" s="1077">
        <v>3.38</v>
      </c>
      <c r="AM2736" s="1078" t="s">
        <v>14386</v>
      </c>
      <c r="AN2736" s="1078" t="s">
        <v>14387</v>
      </c>
      <c r="AO2736" s="1078">
        <f t="shared" si="342"/>
        <v>600</v>
      </c>
      <c r="AP2736" s="1078">
        <f t="shared" si="343"/>
        <v>1.78</v>
      </c>
      <c r="AQ2736" s="1078" t="str">
        <f t="shared" si="344"/>
        <v>1-5-1S83°Z+S</v>
      </c>
      <c r="AR2736" s="1078" t="str">
        <f t="shared" si="345"/>
        <v>33.5</v>
      </c>
      <c r="AS2736" s="1078" t="str">
        <f t="shared" si="346"/>
        <v>340/340/140</v>
      </c>
      <c r="AT2736" s="1078" t="str">
        <f t="shared" si="347"/>
        <v>1-5-1S83°Z+S</v>
      </c>
      <c r="AU2736" s="1078" t="s">
        <v>15547</v>
      </c>
      <c r="AV2736" s="1078" t="str">
        <f t="shared" si="340"/>
        <v>112.6.17</v>
      </c>
      <c r="AW2736" s="1344">
        <f t="shared" si="341"/>
        <v>45094</v>
      </c>
    </row>
    <row r="2737" spans="1:49">
      <c r="A2737" s="1077" t="s">
        <v>8262</v>
      </c>
      <c r="B2737" s="1077" t="s">
        <v>7080</v>
      </c>
      <c r="C2737" s="1077">
        <v>600</v>
      </c>
      <c r="D2737" s="1077">
        <v>1.8049999999999999</v>
      </c>
      <c r="E2737" s="1077" t="s">
        <v>15116</v>
      </c>
      <c r="F2737" s="1077" t="s">
        <v>2234</v>
      </c>
      <c r="G2737" s="1077">
        <v>3.5</v>
      </c>
      <c r="H2737" s="1077" t="s">
        <v>6952</v>
      </c>
      <c r="I2737" s="1077" t="s">
        <v>8148</v>
      </c>
      <c r="K2737" s="1077" t="s">
        <v>7081</v>
      </c>
      <c r="L2737" s="1077" t="s">
        <v>7082</v>
      </c>
      <c r="M2737" s="1077">
        <v>303</v>
      </c>
      <c r="N2737" s="1077" t="s">
        <v>945</v>
      </c>
      <c r="O2737" s="1077">
        <v>7.5750000000000002</v>
      </c>
      <c r="P2737" s="1077">
        <v>6.0600000000000005</v>
      </c>
      <c r="Q2737" s="1077">
        <v>3.5</v>
      </c>
      <c r="R2737" s="1077">
        <v>22</v>
      </c>
      <c r="T2737" s="1077">
        <v>23</v>
      </c>
      <c r="U2737" s="1077">
        <v>3.2</v>
      </c>
      <c r="V2737" s="1077" t="s">
        <v>648</v>
      </c>
      <c r="W2737" s="1077">
        <v>115</v>
      </c>
      <c r="X2737" s="1077">
        <v>85</v>
      </c>
      <c r="Y2737" s="1077">
        <v>1.2</v>
      </c>
      <c r="Z2737" s="1077" t="s">
        <v>648</v>
      </c>
      <c r="AA2737" s="1077" t="s">
        <v>8263</v>
      </c>
      <c r="AH2737" s="1077" t="s">
        <v>468</v>
      </c>
      <c r="AI2737" s="1077">
        <v>35.75</v>
      </c>
      <c r="AJ2737" s="1077">
        <v>1.45</v>
      </c>
      <c r="AK2737" s="1077">
        <v>3.11</v>
      </c>
      <c r="AM2737" s="1078" t="s">
        <v>14388</v>
      </c>
      <c r="AN2737" s="1078" t="s">
        <v>14389</v>
      </c>
      <c r="AO2737" s="1078">
        <f t="shared" si="342"/>
        <v>600</v>
      </c>
      <c r="AP2737" s="1078">
        <f t="shared" si="343"/>
        <v>1.8049999999999999</v>
      </c>
      <c r="AQ2737" s="1078" t="str">
        <f t="shared" si="344"/>
        <v>1-5-1S83°Z+S</v>
      </c>
      <c r="AR2737" s="1078" t="str">
        <f t="shared" si="345"/>
        <v>33.5</v>
      </c>
      <c r="AS2737" s="1078" t="str">
        <f t="shared" si="346"/>
        <v>340/340/140</v>
      </c>
      <c r="AT2737" s="1078" t="str">
        <f t="shared" si="347"/>
        <v>1-5-1S83°Z+S</v>
      </c>
      <c r="AU2737" s="1078" t="s">
        <v>15547</v>
      </c>
      <c r="AV2737" s="1078" t="str">
        <f t="shared" si="340"/>
        <v>112.6.20</v>
      </c>
      <c r="AW2737" s="1344">
        <f t="shared" si="341"/>
        <v>45097</v>
      </c>
    </row>
    <row r="2738" spans="1:49">
      <c r="A2738" s="1077" t="s">
        <v>8264</v>
      </c>
      <c r="B2738" s="1077" t="s">
        <v>7871</v>
      </c>
      <c r="C2738" s="1077">
        <v>550</v>
      </c>
      <c r="D2738" s="1077">
        <v>1.8</v>
      </c>
      <c r="E2738" s="1077" t="s">
        <v>15122</v>
      </c>
      <c r="F2738" s="1077" t="s">
        <v>954</v>
      </c>
      <c r="G2738" s="1077">
        <v>5.5</v>
      </c>
      <c r="H2738" s="1077" t="s">
        <v>7752</v>
      </c>
      <c r="I2738" s="1077" t="s">
        <v>7753</v>
      </c>
      <c r="K2738" s="1077" t="s">
        <v>8265</v>
      </c>
      <c r="L2738" s="1077" t="s">
        <v>6153</v>
      </c>
      <c r="M2738" s="1077">
        <v>296</v>
      </c>
      <c r="N2738" s="1077" t="s">
        <v>945</v>
      </c>
      <c r="O2738" s="1077">
        <v>7.4</v>
      </c>
      <c r="P2738" s="1077">
        <v>5.92</v>
      </c>
      <c r="Q2738" s="1077" t="s">
        <v>8266</v>
      </c>
      <c r="R2738" s="1077">
        <v>17</v>
      </c>
      <c r="T2738" s="1077">
        <v>10.5</v>
      </c>
      <c r="U2738" s="1077">
        <v>6.1</v>
      </c>
      <c r="V2738" s="1077" t="s">
        <v>648</v>
      </c>
      <c r="W2738" s="1077" t="s">
        <v>8267</v>
      </c>
      <c r="X2738" s="1077">
        <v>90</v>
      </c>
      <c r="Y2738" s="1077">
        <v>1.1000000000000001</v>
      </c>
      <c r="Z2738" s="1077" t="s">
        <v>648</v>
      </c>
      <c r="AA2738" s="1077" t="s">
        <v>3580</v>
      </c>
      <c r="AB2738" s="1077" t="s">
        <v>8268</v>
      </c>
      <c r="AH2738" s="1077" t="s">
        <v>1186</v>
      </c>
      <c r="AI2738" s="1077">
        <v>91.72</v>
      </c>
      <c r="AJ2738" s="1077">
        <v>-1.06</v>
      </c>
      <c r="AK2738" s="1077">
        <v>7.9</v>
      </c>
      <c r="AM2738" s="1078" t="s">
        <v>14390</v>
      </c>
      <c r="AN2738" s="1078" t="s">
        <v>14391</v>
      </c>
      <c r="AO2738" s="1078">
        <f t="shared" si="342"/>
        <v>550</v>
      </c>
      <c r="AP2738" s="1078">
        <f t="shared" si="343"/>
        <v>1.8</v>
      </c>
      <c r="AQ2738" s="1078" t="str">
        <f t="shared" si="344"/>
        <v>1-5-1S91°Z+S</v>
      </c>
      <c r="AR2738" s="1078" t="str">
        <f t="shared" si="345"/>
        <v>31</v>
      </c>
      <c r="AS2738" s="1078" t="str">
        <f t="shared" si="346"/>
        <v>280/280/160</v>
      </c>
      <c r="AT2738" s="1078" t="str">
        <f t="shared" si="347"/>
        <v>1-5-1S91°Z+S</v>
      </c>
      <c r="AU2738" s="1078" t="s">
        <v>15547</v>
      </c>
      <c r="AV2738" s="1078" t="str">
        <f t="shared" si="340"/>
        <v>112.6.26</v>
      </c>
      <c r="AW2738" s="1344">
        <f t="shared" si="341"/>
        <v>45103</v>
      </c>
    </row>
    <row r="2739" spans="1:49">
      <c r="A2739" s="1077" t="s">
        <v>8269</v>
      </c>
      <c r="B2739" s="1077" t="s">
        <v>7214</v>
      </c>
      <c r="C2739" s="1077">
        <v>600</v>
      </c>
      <c r="D2739" s="1077">
        <v>1.79</v>
      </c>
      <c r="E2739" s="1077" t="s">
        <v>15122</v>
      </c>
      <c r="F2739" s="1077" t="s">
        <v>2234</v>
      </c>
      <c r="G2739" s="1077">
        <v>5</v>
      </c>
      <c r="H2739" s="1077" t="s">
        <v>6397</v>
      </c>
      <c r="I2739" s="1077" t="s">
        <v>7709</v>
      </c>
      <c r="J2739" s="1077">
        <v>3</v>
      </c>
      <c r="K2739" s="1077" t="s">
        <v>8270</v>
      </c>
      <c r="L2739" s="1077" t="s">
        <v>6043</v>
      </c>
      <c r="M2739" s="1077">
        <v>308</v>
      </c>
      <c r="N2739" s="1077" t="s">
        <v>945</v>
      </c>
      <c r="O2739" s="1077">
        <v>7.7</v>
      </c>
      <c r="P2739" s="1077">
        <v>6.16</v>
      </c>
      <c r="Q2739" s="1077">
        <v>4</v>
      </c>
      <c r="R2739" s="1077">
        <v>24</v>
      </c>
      <c r="T2739" s="1077">
        <v>26</v>
      </c>
      <c r="U2739" s="1077">
        <v>3</v>
      </c>
      <c r="V2739" s="1077" t="s">
        <v>648</v>
      </c>
      <c r="W2739" s="1077">
        <v>30</v>
      </c>
      <c r="X2739" s="1077">
        <v>10</v>
      </c>
      <c r="Y2739" s="1077">
        <v>2</v>
      </c>
      <c r="Z2739" s="1077" t="s">
        <v>648</v>
      </c>
      <c r="AA2739" s="1077" t="s">
        <v>3611</v>
      </c>
      <c r="AH2739" s="1077" t="s">
        <v>869</v>
      </c>
      <c r="AI2739" s="1077">
        <v>95.19</v>
      </c>
      <c r="AJ2739" s="1077">
        <v>-0.28000000000000003</v>
      </c>
      <c r="AK2739" s="1077">
        <v>1.41</v>
      </c>
      <c r="AM2739" s="1078" t="s">
        <v>14392</v>
      </c>
      <c r="AN2739" s="1078" t="s">
        <v>14393</v>
      </c>
      <c r="AO2739" s="1078">
        <f t="shared" si="342"/>
        <v>600</v>
      </c>
      <c r="AP2739" s="1078">
        <f t="shared" si="343"/>
        <v>1.79</v>
      </c>
      <c r="AQ2739" s="1078" t="str">
        <f t="shared" si="344"/>
        <v>1-5-1S91°Z+S</v>
      </c>
      <c r="AR2739" s="1078" t="str">
        <f t="shared" si="345"/>
        <v>33.5</v>
      </c>
      <c r="AS2739" s="1078" t="str">
        <f t="shared" si="346"/>
        <v>330/330/150</v>
      </c>
      <c r="AT2739" s="1078" t="str">
        <f t="shared" si="347"/>
        <v>1-5-1S91°Z+S</v>
      </c>
      <c r="AU2739" s="1078" t="s">
        <v>15547</v>
      </c>
      <c r="AV2739" s="1078" t="str">
        <f t="shared" si="340"/>
        <v>112.6.30</v>
      </c>
      <c r="AW2739" s="1344">
        <f t="shared" si="341"/>
        <v>45107</v>
      </c>
    </row>
    <row r="2740" spans="1:49">
      <c r="A2740" s="1077" t="s">
        <v>8271</v>
      </c>
      <c r="B2740" s="1077" t="s">
        <v>7132</v>
      </c>
      <c r="C2740" s="1077">
        <v>600</v>
      </c>
      <c r="D2740" s="1077">
        <v>1.7949999999999999</v>
      </c>
      <c r="E2740" s="1077" t="s">
        <v>15116</v>
      </c>
      <c r="F2740" s="1077" t="s">
        <v>2234</v>
      </c>
      <c r="G2740" s="1077">
        <v>3.5</v>
      </c>
      <c r="H2740" s="1077" t="s">
        <v>8272</v>
      </c>
      <c r="I2740" s="1077" t="s">
        <v>7446</v>
      </c>
      <c r="K2740" s="1077" t="s">
        <v>8273</v>
      </c>
      <c r="L2740" s="1077" t="s">
        <v>7134</v>
      </c>
      <c r="M2740" s="1077">
        <v>310</v>
      </c>
      <c r="N2740" s="1077" t="s">
        <v>945</v>
      </c>
      <c r="O2740" s="1077">
        <v>7.75</v>
      </c>
      <c r="P2740" s="1077">
        <v>6.2</v>
      </c>
      <c r="Q2740" s="1077">
        <v>3.5</v>
      </c>
      <c r="R2740" s="1077">
        <v>21</v>
      </c>
      <c r="T2740" s="1077">
        <v>24</v>
      </c>
      <c r="U2740" s="1077">
        <v>3.4</v>
      </c>
      <c r="V2740" s="1077" t="s">
        <v>648</v>
      </c>
      <c r="W2740" s="1077">
        <v>115</v>
      </c>
      <c r="X2740" s="1077">
        <v>85</v>
      </c>
      <c r="Y2740" s="1077">
        <v>1.2</v>
      </c>
      <c r="Z2740" s="1077" t="s">
        <v>648</v>
      </c>
      <c r="AA2740" s="1077" t="s">
        <v>1599</v>
      </c>
      <c r="AH2740" s="1077" t="s">
        <v>724</v>
      </c>
      <c r="AI2740" s="1077">
        <v>35.520000000000003</v>
      </c>
      <c r="AJ2740" s="1077">
        <v>0.42</v>
      </c>
      <c r="AK2740" s="1077">
        <v>-2.4300000000000002</v>
      </c>
      <c r="AM2740" s="1078" t="s">
        <v>14394</v>
      </c>
      <c r="AN2740" s="1078" t="s">
        <v>14395</v>
      </c>
      <c r="AO2740" s="1078">
        <f t="shared" si="342"/>
        <v>600</v>
      </c>
      <c r="AP2740" s="1078">
        <f t="shared" si="343"/>
        <v>1.7949999999999999</v>
      </c>
      <c r="AQ2740" s="1078" t="str">
        <f t="shared" si="344"/>
        <v>1-5-1S83°Z+S</v>
      </c>
      <c r="AR2740" s="1078" t="str">
        <f t="shared" si="345"/>
        <v>33.5</v>
      </c>
      <c r="AS2740" s="1078" t="str">
        <f t="shared" si="346"/>
        <v>330/330/140</v>
      </c>
      <c r="AT2740" s="1078" t="str">
        <f t="shared" si="347"/>
        <v>1-5-1S83°Z+S</v>
      </c>
      <c r="AU2740" s="1078" t="s">
        <v>15547</v>
      </c>
      <c r="AV2740" s="1078" t="str">
        <f t="shared" si="340"/>
        <v>112.7.11</v>
      </c>
      <c r="AW2740" s="1344">
        <f t="shared" si="341"/>
        <v>45118</v>
      </c>
    </row>
    <row r="2741" spans="1:49">
      <c r="A2741" s="1077" t="s">
        <v>8274</v>
      </c>
      <c r="B2741" s="1077" t="s">
        <v>7068</v>
      </c>
      <c r="C2741" s="1077">
        <v>450</v>
      </c>
      <c r="D2741" s="1077">
        <v>1.79</v>
      </c>
      <c r="E2741" s="1077" t="s">
        <v>15112</v>
      </c>
      <c r="F2741" s="1077" t="s">
        <v>975</v>
      </c>
      <c r="G2741" s="1077">
        <v>5</v>
      </c>
      <c r="H2741" s="1077" t="s">
        <v>1806</v>
      </c>
      <c r="I2741" s="1077" t="s">
        <v>7095</v>
      </c>
      <c r="K2741" s="1077" t="s">
        <v>8141</v>
      </c>
      <c r="L2741" s="1077" t="s">
        <v>5037</v>
      </c>
      <c r="M2741" s="1077">
        <v>293.2</v>
      </c>
      <c r="N2741" s="1077" t="s">
        <v>945</v>
      </c>
      <c r="O2741" s="1077">
        <v>7.33</v>
      </c>
      <c r="P2741" s="1077">
        <v>5.8639999999999999</v>
      </c>
      <c r="Q2741" s="1077">
        <v>3.5</v>
      </c>
      <c r="R2741" s="1077">
        <v>21</v>
      </c>
      <c r="T2741" s="1077">
        <v>25</v>
      </c>
      <c r="U2741" s="1077">
        <v>4.2</v>
      </c>
      <c r="V2741" s="1077" t="s">
        <v>648</v>
      </c>
      <c r="W2741" s="1077">
        <v>110</v>
      </c>
      <c r="X2741" s="1077">
        <v>20</v>
      </c>
      <c r="Y2741" s="1077">
        <v>1.6</v>
      </c>
      <c r="Z2741" s="1077" t="s">
        <v>648</v>
      </c>
      <c r="AA2741" s="1077" t="s">
        <v>3656</v>
      </c>
      <c r="AH2741" s="1077" t="s">
        <v>875</v>
      </c>
      <c r="AI2741" s="1077">
        <v>14.73</v>
      </c>
      <c r="AJ2741" s="1077">
        <v>0.14000000000000001</v>
      </c>
      <c r="AK2741" s="1077">
        <v>0.32</v>
      </c>
      <c r="AM2741" s="1078" t="s">
        <v>14396</v>
      </c>
      <c r="AN2741" s="1078" t="s">
        <v>14397</v>
      </c>
      <c r="AO2741" s="1078">
        <f t="shared" si="342"/>
        <v>450</v>
      </c>
      <c r="AP2741" s="1078">
        <f t="shared" si="343"/>
        <v>1.79</v>
      </c>
      <c r="AQ2741" s="1078" t="str">
        <f t="shared" si="344"/>
        <v>1-5-1S87°Z+S</v>
      </c>
      <c r="AR2741" s="1078" t="str">
        <f t="shared" si="345"/>
        <v>31.5</v>
      </c>
      <c r="AS2741" s="1078" t="str">
        <f t="shared" si="346"/>
        <v>280/280/OFF</v>
      </c>
      <c r="AT2741" s="1078" t="str">
        <f t="shared" si="347"/>
        <v>1-5-1S87°Z+S</v>
      </c>
      <c r="AU2741" s="1078" t="s">
        <v>15547</v>
      </c>
      <c r="AV2741" s="1078" t="str">
        <f t="shared" si="340"/>
        <v>112.7.14</v>
      </c>
      <c r="AW2741" s="1344">
        <f t="shared" si="341"/>
        <v>45121</v>
      </c>
    </row>
    <row r="2742" spans="1:49">
      <c r="A2742" s="1077" t="s">
        <v>8275</v>
      </c>
      <c r="B2742" s="1077" t="s">
        <v>714</v>
      </c>
      <c r="C2742" s="1077">
        <v>600</v>
      </c>
      <c r="D2742" s="1077">
        <v>1.7649999999999999</v>
      </c>
      <c r="E2742" s="1077">
        <v>102.5</v>
      </c>
      <c r="F2742" s="1077" t="s">
        <v>4070</v>
      </c>
      <c r="G2742" s="1077" t="s">
        <v>6865</v>
      </c>
      <c r="H2742" s="1077" t="s">
        <v>7714</v>
      </c>
      <c r="I2742" s="1077" t="s">
        <v>7443</v>
      </c>
      <c r="J2742" s="1077">
        <v>3.7</v>
      </c>
      <c r="K2742" s="1077" t="s">
        <v>7690</v>
      </c>
      <c r="L2742" s="1077" t="s">
        <v>4666</v>
      </c>
      <c r="M2742" s="1077">
        <v>300.8</v>
      </c>
      <c r="N2742" s="1077" t="s">
        <v>945</v>
      </c>
      <c r="O2742" s="1077">
        <v>7.5200000000000005</v>
      </c>
      <c r="P2742" s="1077">
        <v>6.016</v>
      </c>
      <c r="Q2742" s="1077">
        <v>4</v>
      </c>
      <c r="R2742" s="1077">
        <v>17</v>
      </c>
      <c r="T2742" s="1077">
        <v>31.4</v>
      </c>
      <c r="U2742" s="1077">
        <v>3.6</v>
      </c>
      <c r="V2742" s="1077" t="s">
        <v>648</v>
      </c>
      <c r="W2742" s="1077">
        <v>65</v>
      </c>
      <c r="X2742" s="1077">
        <v>10</v>
      </c>
      <c r="Y2742" s="1077">
        <v>1.5</v>
      </c>
      <c r="Z2742" s="1077" t="s">
        <v>648</v>
      </c>
      <c r="AA2742" s="1077" t="s">
        <v>3652</v>
      </c>
      <c r="AH2742" s="1077" t="s">
        <v>723</v>
      </c>
      <c r="AI2742" s="1077">
        <v>91.15</v>
      </c>
      <c r="AJ2742" s="1077">
        <v>-0.18</v>
      </c>
      <c r="AK2742" s="1077">
        <v>1.3</v>
      </c>
      <c r="AM2742" s="1078" t="s">
        <v>14398</v>
      </c>
      <c r="AN2742" s="1078" t="s">
        <v>14399</v>
      </c>
      <c r="AO2742" s="1078">
        <f t="shared" si="342"/>
        <v>600</v>
      </c>
      <c r="AP2742" s="1078">
        <f t="shared" si="343"/>
        <v>1.7649999999999999</v>
      </c>
      <c r="AQ2742" s="1078">
        <f t="shared" si="344"/>
        <v>102.5</v>
      </c>
      <c r="AR2742" s="1078" t="str">
        <f t="shared" si="345"/>
        <v>15.5</v>
      </c>
      <c r="AS2742" s="1078" t="str">
        <f t="shared" si="346"/>
        <v>493/453/OFF</v>
      </c>
      <c r="AT2742" s="1078">
        <f t="shared" si="347"/>
        <v>102.5</v>
      </c>
      <c r="AV2742" s="1078" t="str">
        <f t="shared" si="340"/>
        <v>112.7.18</v>
      </c>
      <c r="AW2742" s="1344">
        <f t="shared" si="341"/>
        <v>45125</v>
      </c>
    </row>
    <row r="2743" spans="1:49">
      <c r="A2743" s="1077" t="s">
        <v>8276</v>
      </c>
      <c r="B2743" s="1077" t="s">
        <v>6951</v>
      </c>
      <c r="C2743" s="1077">
        <v>600</v>
      </c>
      <c r="D2743" s="1077">
        <v>1.7749999999999999</v>
      </c>
      <c r="E2743" s="1077" t="s">
        <v>15116</v>
      </c>
      <c r="F2743" s="1077" t="s">
        <v>2234</v>
      </c>
      <c r="G2743" s="1077">
        <v>3.5</v>
      </c>
      <c r="H2743" s="1077" t="s">
        <v>6952</v>
      </c>
      <c r="I2743" s="1077" t="s">
        <v>7021</v>
      </c>
      <c r="K2743" s="1077" t="s">
        <v>8177</v>
      </c>
      <c r="L2743" s="1077" t="s">
        <v>6955</v>
      </c>
      <c r="M2743" s="1077">
        <v>310</v>
      </c>
      <c r="N2743" s="1077" t="s">
        <v>945</v>
      </c>
      <c r="O2743" s="1077">
        <v>7.75</v>
      </c>
      <c r="P2743" s="1077">
        <v>6.2</v>
      </c>
      <c r="Q2743" s="1077">
        <v>3.5</v>
      </c>
      <c r="R2743" s="1077">
        <v>25</v>
      </c>
      <c r="T2743" s="1077">
        <v>23</v>
      </c>
      <c r="U2743" s="1077">
        <v>3.2</v>
      </c>
      <c r="V2743" s="1077" t="s">
        <v>648</v>
      </c>
      <c r="W2743" s="1077">
        <v>115</v>
      </c>
      <c r="X2743" s="1077">
        <v>85</v>
      </c>
      <c r="Y2743" s="1077">
        <v>1.2</v>
      </c>
      <c r="Z2743" s="1077" t="s">
        <v>648</v>
      </c>
      <c r="AA2743" s="1077" t="s">
        <v>6221</v>
      </c>
      <c r="AH2743" s="1077" t="s">
        <v>622</v>
      </c>
      <c r="AI2743" s="1077">
        <v>69.55</v>
      </c>
      <c r="AJ2743" s="1077">
        <v>-0.57999999999999996</v>
      </c>
      <c r="AK2743" s="1077">
        <v>3.02</v>
      </c>
      <c r="AM2743" s="1078" t="s">
        <v>14400</v>
      </c>
      <c r="AN2743" s="1078" t="s">
        <v>14401</v>
      </c>
      <c r="AO2743" s="1078">
        <f t="shared" si="342"/>
        <v>600</v>
      </c>
      <c r="AP2743" s="1078">
        <f t="shared" si="343"/>
        <v>1.7749999999999999</v>
      </c>
      <c r="AQ2743" s="1078" t="str">
        <f t="shared" si="344"/>
        <v>1-5-1S83°Z+S</v>
      </c>
      <c r="AR2743" s="1078" t="str">
        <f t="shared" si="345"/>
        <v>33.5</v>
      </c>
      <c r="AS2743" s="1078" t="str">
        <f t="shared" si="346"/>
        <v>340/340/140</v>
      </c>
      <c r="AT2743" s="1078" t="str">
        <f t="shared" si="347"/>
        <v>1-5-1S83°Z+S</v>
      </c>
      <c r="AU2743" s="1078" t="s">
        <v>15547</v>
      </c>
      <c r="AV2743" s="1078" t="str">
        <f t="shared" si="340"/>
        <v>112.7.17</v>
      </c>
      <c r="AW2743" s="1344">
        <f t="shared" si="341"/>
        <v>45124</v>
      </c>
    </row>
    <row r="2744" spans="1:49">
      <c r="A2744" s="1077" t="s">
        <v>8277</v>
      </c>
      <c r="B2744" s="1077" t="s">
        <v>714</v>
      </c>
      <c r="C2744" s="1077">
        <v>600</v>
      </c>
      <c r="D2744" s="1077">
        <v>1.7769999999999999</v>
      </c>
      <c r="E2744" s="1077">
        <v>102.5</v>
      </c>
      <c r="F2744" s="1077" t="s">
        <v>4070</v>
      </c>
      <c r="G2744" s="1077">
        <v>5.5</v>
      </c>
      <c r="H2744" s="1077" t="s">
        <v>7338</v>
      </c>
      <c r="I2744" s="1077" t="s">
        <v>8231</v>
      </c>
      <c r="J2744" s="1077">
        <v>3.7</v>
      </c>
      <c r="K2744" s="1077" t="s">
        <v>8278</v>
      </c>
      <c r="L2744" s="1077" t="s">
        <v>4666</v>
      </c>
      <c r="M2744" s="1077">
        <v>295.10000000000002</v>
      </c>
      <c r="N2744" s="1077" t="s">
        <v>945</v>
      </c>
      <c r="O2744" s="1077">
        <v>7.3775000000000013</v>
      </c>
      <c r="P2744" s="1077">
        <v>5.9020000000000001</v>
      </c>
      <c r="Q2744" s="1077">
        <v>4</v>
      </c>
      <c r="R2744" s="1077">
        <v>17.399999999999999</v>
      </c>
      <c r="T2744" s="1077">
        <v>31</v>
      </c>
      <c r="U2744" s="1077">
        <v>3.5</v>
      </c>
      <c r="V2744" s="1077" t="s">
        <v>648</v>
      </c>
      <c r="W2744" s="1077">
        <v>100</v>
      </c>
      <c r="X2744" s="1077">
        <v>40</v>
      </c>
      <c r="Y2744" s="1077">
        <v>1</v>
      </c>
      <c r="Z2744" s="1077" t="s">
        <v>648</v>
      </c>
      <c r="AA2744" s="1077" t="s">
        <v>3652</v>
      </c>
      <c r="AH2744" s="1077" t="s">
        <v>830</v>
      </c>
      <c r="AI2744" s="1077">
        <v>95.36</v>
      </c>
      <c r="AJ2744" s="1077">
        <v>-0.52</v>
      </c>
      <c r="AK2744" s="1077">
        <v>1.61</v>
      </c>
      <c r="AM2744" s="1078" t="s">
        <v>14402</v>
      </c>
      <c r="AN2744" s="1078" t="s">
        <v>14403</v>
      </c>
      <c r="AO2744" s="1078">
        <f t="shared" si="342"/>
        <v>600</v>
      </c>
      <c r="AP2744" s="1078">
        <f t="shared" si="343"/>
        <v>1.7769999999999999</v>
      </c>
      <c r="AQ2744" s="1078">
        <f t="shared" si="344"/>
        <v>102.5</v>
      </c>
      <c r="AR2744" s="1078" t="str">
        <f t="shared" si="345"/>
        <v>15.5</v>
      </c>
      <c r="AS2744" s="1078" t="str">
        <f t="shared" si="346"/>
        <v>504/464/OFF</v>
      </c>
      <c r="AT2744" s="1078">
        <f t="shared" si="347"/>
        <v>102.5</v>
      </c>
      <c r="AV2744" s="1078" t="str">
        <f t="shared" si="340"/>
        <v>112.7.18</v>
      </c>
      <c r="AW2744" s="1344">
        <f t="shared" si="341"/>
        <v>45125</v>
      </c>
    </row>
    <row r="2745" spans="1:49">
      <c r="A2745" s="1077" t="s">
        <v>8279</v>
      </c>
      <c r="B2745" s="1077" t="s">
        <v>7306</v>
      </c>
      <c r="C2745" s="1077">
        <v>600</v>
      </c>
      <c r="D2745" s="1077">
        <v>1.78</v>
      </c>
      <c r="E2745" s="1077" t="s">
        <v>15116</v>
      </c>
      <c r="F2745" s="1077" t="s">
        <v>2234</v>
      </c>
      <c r="G2745" s="1077">
        <v>3.5</v>
      </c>
      <c r="H2745" s="1077" t="s">
        <v>6952</v>
      </c>
      <c r="I2745" s="1077" t="s">
        <v>7150</v>
      </c>
      <c r="J2745" s="1077">
        <v>3</v>
      </c>
      <c r="K2745" s="1077" t="s">
        <v>8280</v>
      </c>
      <c r="L2745" s="1077" t="s">
        <v>7308</v>
      </c>
      <c r="M2745" s="1077">
        <v>310</v>
      </c>
      <c r="N2745" s="1077" t="s">
        <v>945</v>
      </c>
      <c r="O2745" s="1077">
        <v>7.75</v>
      </c>
      <c r="P2745" s="1077">
        <v>6.2</v>
      </c>
      <c r="Q2745" s="1077">
        <v>3.5</v>
      </c>
      <c r="R2745" s="1077">
        <v>22</v>
      </c>
      <c r="T2745" s="1077">
        <v>22</v>
      </c>
      <c r="U2745" s="1077">
        <v>3.5</v>
      </c>
      <c r="V2745" s="1077" t="s">
        <v>648</v>
      </c>
      <c r="W2745" s="1077">
        <v>110</v>
      </c>
      <c r="X2745" s="1077">
        <v>85</v>
      </c>
      <c r="Y2745" s="1077">
        <v>1</v>
      </c>
      <c r="Z2745" s="1077" t="s">
        <v>648</v>
      </c>
      <c r="AA2745" s="1077" t="s">
        <v>3675</v>
      </c>
      <c r="AH2745" s="1077" t="s">
        <v>862</v>
      </c>
      <c r="AI2745" s="1077">
        <v>24</v>
      </c>
      <c r="AJ2745" s="1077">
        <v>10.36</v>
      </c>
      <c r="AK2745" s="1077">
        <v>6.4</v>
      </c>
      <c r="AM2745" s="1078" t="s">
        <v>14404</v>
      </c>
      <c r="AN2745" s="1078" t="s">
        <v>14405</v>
      </c>
      <c r="AO2745" s="1078">
        <f t="shared" si="342"/>
        <v>600</v>
      </c>
      <c r="AP2745" s="1078">
        <f t="shared" si="343"/>
        <v>1.78</v>
      </c>
      <c r="AQ2745" s="1078" t="str">
        <f t="shared" si="344"/>
        <v>1-5-1S83°Z+S</v>
      </c>
      <c r="AR2745" s="1078" t="str">
        <f t="shared" si="345"/>
        <v>33.5</v>
      </c>
      <c r="AS2745" s="1078" t="str">
        <f t="shared" si="346"/>
        <v>340/340/140</v>
      </c>
      <c r="AT2745" s="1078" t="str">
        <f t="shared" si="347"/>
        <v>1-5-1S83°Z+S</v>
      </c>
      <c r="AU2745" s="1078" t="s">
        <v>15547</v>
      </c>
      <c r="AV2745" s="1078" t="str">
        <f t="shared" si="340"/>
        <v>112.8.4</v>
      </c>
      <c r="AW2745" s="1344">
        <f t="shared" si="341"/>
        <v>45142</v>
      </c>
    </row>
    <row r="2746" spans="1:49">
      <c r="A2746" s="1077" t="s">
        <v>8281</v>
      </c>
      <c r="B2746" s="1077" t="s">
        <v>7713</v>
      </c>
      <c r="C2746" s="1077">
        <v>600</v>
      </c>
      <c r="D2746" s="1077">
        <v>1.7769999999999999</v>
      </c>
      <c r="E2746" s="1077">
        <v>102.5</v>
      </c>
      <c r="F2746" s="1077" t="s">
        <v>4070</v>
      </c>
      <c r="G2746" s="1077">
        <v>5.5</v>
      </c>
      <c r="H2746" s="1077" t="s">
        <v>7338</v>
      </c>
      <c r="I2746" s="1077" t="s">
        <v>7705</v>
      </c>
      <c r="J2746" s="1077">
        <v>3.7</v>
      </c>
      <c r="K2746" s="1077" t="s">
        <v>8278</v>
      </c>
      <c r="L2746" s="1077" t="s">
        <v>4666</v>
      </c>
      <c r="M2746" s="1077">
        <v>295.10000000000002</v>
      </c>
      <c r="N2746" s="1077" t="s">
        <v>945</v>
      </c>
      <c r="O2746" s="1077">
        <v>7.3775000000000013</v>
      </c>
      <c r="P2746" s="1077">
        <v>5.9020000000000001</v>
      </c>
      <c r="Q2746" s="1077">
        <v>4</v>
      </c>
      <c r="R2746" s="1077">
        <v>17.399999999999999</v>
      </c>
      <c r="T2746" s="1077">
        <v>31</v>
      </c>
      <c r="U2746" s="1077">
        <v>3.5</v>
      </c>
      <c r="V2746" s="1077" t="s">
        <v>648</v>
      </c>
      <c r="W2746" s="1077">
        <v>100</v>
      </c>
      <c r="X2746" s="1077">
        <v>40</v>
      </c>
      <c r="Y2746" s="1077">
        <v>1</v>
      </c>
      <c r="Z2746" s="1077" t="s">
        <v>648</v>
      </c>
      <c r="AA2746" s="1077" t="s">
        <v>8282</v>
      </c>
      <c r="AH2746" s="1077" t="s">
        <v>1643</v>
      </c>
      <c r="AI2746" s="1077">
        <v>94.73</v>
      </c>
      <c r="AJ2746" s="1077">
        <v>-0.79</v>
      </c>
      <c r="AK2746" s="1077">
        <v>1.88</v>
      </c>
      <c r="AM2746" s="1078" t="s">
        <v>14406</v>
      </c>
      <c r="AN2746" s="1078" t="s">
        <v>14407</v>
      </c>
      <c r="AO2746" s="1078">
        <f t="shared" si="342"/>
        <v>600</v>
      </c>
      <c r="AP2746" s="1078">
        <f t="shared" si="343"/>
        <v>1.7769999999999999</v>
      </c>
      <c r="AQ2746" s="1078">
        <f t="shared" si="344"/>
        <v>102.5</v>
      </c>
      <c r="AR2746" s="1078" t="str">
        <f t="shared" si="345"/>
        <v>15.5</v>
      </c>
      <c r="AS2746" s="1078" t="str">
        <f t="shared" si="346"/>
        <v>504/464/OFF</v>
      </c>
      <c r="AT2746" s="1078">
        <f t="shared" si="347"/>
        <v>102.5</v>
      </c>
      <c r="AV2746" s="1078" t="str">
        <f t="shared" si="340"/>
        <v>112.8.9</v>
      </c>
      <c r="AW2746" s="1344">
        <f t="shared" si="341"/>
        <v>45147</v>
      </c>
    </row>
    <row r="2747" spans="1:49">
      <c r="A2747" s="1077" t="s">
        <v>8283</v>
      </c>
      <c r="B2747" s="1077" t="s">
        <v>8157</v>
      </c>
      <c r="C2747" s="1077">
        <v>600</v>
      </c>
      <c r="D2747" s="1077">
        <v>1.78</v>
      </c>
      <c r="E2747" s="1077" t="s">
        <v>15116</v>
      </c>
      <c r="F2747" s="1077" t="s">
        <v>2234</v>
      </c>
      <c r="G2747" s="1077">
        <v>3.5</v>
      </c>
      <c r="H2747" s="1077" t="s">
        <v>6952</v>
      </c>
      <c r="I2747" s="1077" t="s">
        <v>7446</v>
      </c>
      <c r="J2747" s="1077">
        <v>3</v>
      </c>
      <c r="K2747" s="1077" t="s">
        <v>8284</v>
      </c>
      <c r="L2747" s="1077" t="s">
        <v>8159</v>
      </c>
      <c r="M2747" s="1077">
        <v>310</v>
      </c>
      <c r="N2747" s="1077" t="s">
        <v>945</v>
      </c>
      <c r="O2747" s="1077">
        <v>7.75</v>
      </c>
      <c r="P2747" s="1077">
        <v>6.2</v>
      </c>
      <c r="Q2747" s="1077">
        <v>3.5</v>
      </c>
      <c r="R2747" s="1077">
        <v>22</v>
      </c>
      <c r="T2747" s="1077">
        <v>22</v>
      </c>
      <c r="U2747" s="1077">
        <v>3.5</v>
      </c>
      <c r="V2747" s="1077" t="s">
        <v>648</v>
      </c>
      <c r="W2747" s="1077">
        <v>110</v>
      </c>
      <c r="X2747" s="1077">
        <v>85</v>
      </c>
      <c r="Y2747" s="1077">
        <v>1</v>
      </c>
      <c r="Z2747" s="1077" t="s">
        <v>648</v>
      </c>
      <c r="AA2747" s="1077" t="s">
        <v>6258</v>
      </c>
      <c r="AH2747" s="1077" t="s">
        <v>994</v>
      </c>
      <c r="AI2747" s="1077">
        <v>30.4</v>
      </c>
      <c r="AJ2747" s="1077">
        <v>3.17</v>
      </c>
      <c r="AK2747" s="1077">
        <v>3.41</v>
      </c>
      <c r="AM2747" s="1078" t="s">
        <v>14408</v>
      </c>
      <c r="AN2747" s="1078" t="s">
        <v>14409</v>
      </c>
      <c r="AO2747" s="1078">
        <f t="shared" si="342"/>
        <v>600</v>
      </c>
      <c r="AP2747" s="1078">
        <f t="shared" si="343"/>
        <v>1.78</v>
      </c>
      <c r="AQ2747" s="1078" t="str">
        <f t="shared" si="344"/>
        <v>1-5-1S83°Z+S</v>
      </c>
      <c r="AR2747" s="1078" t="str">
        <f t="shared" si="345"/>
        <v>33.5</v>
      </c>
      <c r="AS2747" s="1078" t="str">
        <f t="shared" si="346"/>
        <v>340/340/140</v>
      </c>
      <c r="AT2747" s="1078" t="str">
        <f t="shared" si="347"/>
        <v>1-5-1S83°Z+S</v>
      </c>
      <c r="AU2747" s="1078" t="s">
        <v>15547</v>
      </c>
      <c r="AV2747" s="1078" t="str">
        <f t="shared" si="340"/>
        <v>112.8.11</v>
      </c>
      <c r="AW2747" s="1344">
        <f t="shared" si="341"/>
        <v>45149</v>
      </c>
    </row>
    <row r="2748" spans="1:49">
      <c r="A2748" s="1077" t="s">
        <v>8285</v>
      </c>
      <c r="B2748" s="1077" t="s">
        <v>714</v>
      </c>
      <c r="C2748" s="1077">
        <v>700</v>
      </c>
      <c r="D2748" s="1077">
        <v>1.78</v>
      </c>
      <c r="E2748" s="1077" t="s">
        <v>15109</v>
      </c>
      <c r="F2748" s="1077" t="s">
        <v>648</v>
      </c>
      <c r="G2748" s="1077" t="s">
        <v>6865</v>
      </c>
      <c r="H2748" s="1077" t="s">
        <v>8286</v>
      </c>
      <c r="I2748" s="1077" t="s">
        <v>7800</v>
      </c>
      <c r="J2748" s="1077">
        <v>3.7</v>
      </c>
      <c r="K2748" s="1077" t="s">
        <v>8204</v>
      </c>
      <c r="L2748" s="1077" t="s">
        <v>4666</v>
      </c>
      <c r="M2748" s="1077">
        <v>300.8</v>
      </c>
      <c r="N2748" s="1077" t="s">
        <v>945</v>
      </c>
      <c r="O2748" s="1077">
        <v>7.5200000000000005</v>
      </c>
      <c r="P2748" s="1077">
        <v>6.016</v>
      </c>
      <c r="Q2748" s="1077">
        <v>4</v>
      </c>
      <c r="R2748" s="1077">
        <v>17</v>
      </c>
      <c r="T2748" s="1077">
        <v>31.4</v>
      </c>
      <c r="U2748" s="1077">
        <v>3.6</v>
      </c>
      <c r="V2748" s="1077" t="s">
        <v>648</v>
      </c>
      <c r="W2748" s="1077">
        <v>65</v>
      </c>
      <c r="X2748" s="1077">
        <v>10</v>
      </c>
      <c r="Y2748" s="1077">
        <v>1.5</v>
      </c>
      <c r="Z2748" s="1077" t="s">
        <v>648</v>
      </c>
      <c r="AA2748" s="1077" t="s">
        <v>4445</v>
      </c>
      <c r="AH2748" s="1077" t="s">
        <v>614</v>
      </c>
      <c r="AI2748" s="1077">
        <v>94.9</v>
      </c>
      <c r="AJ2748" s="1077">
        <v>-0.72</v>
      </c>
      <c r="AK2748" s="1077">
        <v>1.49</v>
      </c>
      <c r="AM2748" s="1078" t="s">
        <v>14410</v>
      </c>
      <c r="AN2748" s="1078" t="s">
        <v>14411</v>
      </c>
      <c r="AO2748" s="1078">
        <f t="shared" si="342"/>
        <v>700</v>
      </c>
      <c r="AP2748" s="1078">
        <f t="shared" si="343"/>
        <v>1.78</v>
      </c>
      <c r="AQ2748" s="1078" t="str">
        <f t="shared" si="344"/>
        <v>1-5-1S85°Z+S</v>
      </c>
      <c r="AR2748" s="1078" t="str">
        <f t="shared" si="345"/>
        <v>NA</v>
      </c>
      <c r="AS2748" s="1078" t="str">
        <f t="shared" si="346"/>
        <v>198/OFF</v>
      </c>
      <c r="AT2748" s="1078" t="str">
        <f t="shared" si="347"/>
        <v>1-5-1S85°Z+S</v>
      </c>
      <c r="AU2748" s="1078" t="s">
        <v>15547</v>
      </c>
      <c r="AV2748" s="1078" t="str">
        <f t="shared" si="340"/>
        <v>112.8.14</v>
      </c>
      <c r="AW2748" s="1344">
        <f t="shared" si="341"/>
        <v>45152</v>
      </c>
    </row>
    <row r="2749" spans="1:49">
      <c r="A2749" s="1077" t="s">
        <v>8287</v>
      </c>
      <c r="B2749" s="1077" t="s">
        <v>714</v>
      </c>
      <c r="C2749" s="1077">
        <v>650</v>
      </c>
      <c r="D2749" s="1077">
        <v>1.78</v>
      </c>
      <c r="E2749" s="1077" t="s">
        <v>15109</v>
      </c>
      <c r="F2749" s="1077" t="s">
        <v>648</v>
      </c>
      <c r="G2749" s="1077" t="s">
        <v>6865</v>
      </c>
      <c r="H2749" s="1077" t="s">
        <v>7364</v>
      </c>
      <c r="I2749" s="1077" t="s">
        <v>6873</v>
      </c>
      <c r="J2749" s="1077">
        <v>3.7</v>
      </c>
      <c r="K2749" s="1077" t="s">
        <v>8288</v>
      </c>
      <c r="L2749" s="1077" t="s">
        <v>4666</v>
      </c>
      <c r="M2749" s="1077">
        <v>300.8</v>
      </c>
      <c r="N2749" s="1077" t="s">
        <v>945</v>
      </c>
      <c r="O2749" s="1077">
        <v>7.5200000000000005</v>
      </c>
      <c r="P2749" s="1077">
        <v>6.016</v>
      </c>
      <c r="Q2749" s="1077">
        <v>4</v>
      </c>
      <c r="R2749" s="1077">
        <v>17</v>
      </c>
      <c r="T2749" s="1077">
        <v>31.4</v>
      </c>
      <c r="U2749" s="1077">
        <v>3.6</v>
      </c>
      <c r="V2749" s="1077" t="s">
        <v>648</v>
      </c>
      <c r="W2749" s="1077">
        <v>65</v>
      </c>
      <c r="X2749" s="1077">
        <v>10</v>
      </c>
      <c r="Y2749" s="1077">
        <v>1.5</v>
      </c>
      <c r="Z2749" s="1077" t="s">
        <v>648</v>
      </c>
      <c r="AA2749" s="1077" t="s">
        <v>4445</v>
      </c>
      <c r="AH2749" s="1077" t="s">
        <v>1053</v>
      </c>
      <c r="AI2749" s="1077">
        <v>90.82</v>
      </c>
      <c r="AJ2749" s="1077">
        <v>-0.31</v>
      </c>
      <c r="AK2749" s="1077">
        <v>0.86</v>
      </c>
      <c r="AM2749" s="1078" t="s">
        <v>14412</v>
      </c>
      <c r="AN2749" s="1078" t="s">
        <v>14413</v>
      </c>
      <c r="AO2749" s="1078">
        <f t="shared" si="342"/>
        <v>650</v>
      </c>
      <c r="AP2749" s="1078">
        <f t="shared" si="343"/>
        <v>1.78</v>
      </c>
      <c r="AQ2749" s="1078" t="str">
        <f t="shared" si="344"/>
        <v>1-5-1S85°Z+S</v>
      </c>
      <c r="AR2749" s="1078" t="str">
        <f t="shared" si="345"/>
        <v>NA</v>
      </c>
      <c r="AS2749" s="1078" t="str">
        <f t="shared" si="346"/>
        <v>196/OFF</v>
      </c>
      <c r="AT2749" s="1078" t="str">
        <f t="shared" si="347"/>
        <v>1-5-1S85°Z+S</v>
      </c>
      <c r="AU2749" s="1078" t="s">
        <v>15547</v>
      </c>
      <c r="AV2749" s="1078" t="str">
        <f t="shared" si="340"/>
        <v>112.8.14</v>
      </c>
      <c r="AW2749" s="1344">
        <f t="shared" si="341"/>
        <v>45152</v>
      </c>
    </row>
    <row r="2750" spans="1:49">
      <c r="A2750" s="1077" t="s">
        <v>8289</v>
      </c>
      <c r="B2750" s="1077" t="s">
        <v>714</v>
      </c>
      <c r="C2750" s="1077">
        <v>700</v>
      </c>
      <c r="D2750" s="1077">
        <v>1.79</v>
      </c>
      <c r="E2750" s="1077" t="s">
        <v>15109</v>
      </c>
      <c r="F2750" s="1077" t="s">
        <v>648</v>
      </c>
      <c r="G2750" s="1077" t="s">
        <v>6865</v>
      </c>
      <c r="H2750" s="1077" t="s">
        <v>8290</v>
      </c>
      <c r="I2750" s="1077" t="s">
        <v>8144</v>
      </c>
      <c r="J2750" s="1077">
        <v>3.7</v>
      </c>
      <c r="K2750" s="1077" t="s">
        <v>8288</v>
      </c>
      <c r="L2750" s="1077" t="s">
        <v>4666</v>
      </c>
      <c r="M2750" s="1077">
        <v>295.10000000000002</v>
      </c>
      <c r="N2750" s="1077" t="s">
        <v>945</v>
      </c>
      <c r="O2750" s="1077">
        <v>7.3775000000000013</v>
      </c>
      <c r="P2750" s="1077">
        <v>5.9020000000000001</v>
      </c>
      <c r="Q2750" s="1077">
        <v>4</v>
      </c>
      <c r="R2750" s="1077">
        <v>17.399999999999999</v>
      </c>
      <c r="T2750" s="1077">
        <v>31</v>
      </c>
      <c r="U2750" s="1077">
        <v>3.5</v>
      </c>
      <c r="V2750" s="1077" t="s">
        <v>648</v>
      </c>
      <c r="W2750" s="1077" t="s">
        <v>6880</v>
      </c>
      <c r="X2750" s="1077">
        <v>40</v>
      </c>
      <c r="Y2750" s="1077">
        <v>1</v>
      </c>
      <c r="Z2750" s="1077" t="s">
        <v>648</v>
      </c>
      <c r="AA2750" s="1077" t="s">
        <v>4448</v>
      </c>
      <c r="AH2750" s="1077" t="s">
        <v>782</v>
      </c>
      <c r="AI2750" s="1077">
        <v>91.11</v>
      </c>
      <c r="AJ2750" s="1077">
        <v>-0.14000000000000001</v>
      </c>
      <c r="AK2750" s="1077">
        <v>1.19</v>
      </c>
      <c r="AM2750" s="1078" t="s">
        <v>14414</v>
      </c>
      <c r="AN2750" s="1078" t="s">
        <v>14415</v>
      </c>
      <c r="AO2750" s="1078">
        <f t="shared" si="342"/>
        <v>700</v>
      </c>
      <c r="AP2750" s="1078">
        <f t="shared" si="343"/>
        <v>1.79</v>
      </c>
      <c r="AQ2750" s="1078" t="str">
        <f t="shared" si="344"/>
        <v>1-5-1S85°Z+S</v>
      </c>
      <c r="AR2750" s="1078" t="str">
        <f t="shared" si="345"/>
        <v>NA</v>
      </c>
      <c r="AS2750" s="1078" t="str">
        <f t="shared" si="346"/>
        <v>203/OFF</v>
      </c>
      <c r="AT2750" s="1078" t="str">
        <f t="shared" si="347"/>
        <v>1-5-1S85°Z+S</v>
      </c>
      <c r="AU2750" s="1078" t="s">
        <v>15547</v>
      </c>
      <c r="AV2750" s="1078" t="str">
        <f t="shared" si="340"/>
        <v>112.8.16</v>
      </c>
      <c r="AW2750" s="1344">
        <f t="shared" si="341"/>
        <v>45154</v>
      </c>
    </row>
    <row r="2751" spans="1:49">
      <c r="A2751" s="1077" t="s">
        <v>8291</v>
      </c>
      <c r="B2751" s="1077" t="s">
        <v>663</v>
      </c>
      <c r="C2751" s="1077">
        <v>550</v>
      </c>
      <c r="D2751" s="1077">
        <v>1.7949999999999999</v>
      </c>
      <c r="E2751" s="1077" t="s">
        <v>15122</v>
      </c>
      <c r="F2751" s="1077" t="s">
        <v>954</v>
      </c>
      <c r="G2751" s="1077">
        <v>5</v>
      </c>
      <c r="H2751" s="1077" t="s">
        <v>7970</v>
      </c>
      <c r="I2751" s="1077" t="s">
        <v>7105</v>
      </c>
      <c r="K2751" s="1077" t="s">
        <v>7812</v>
      </c>
      <c r="L2751" s="1077" t="s">
        <v>6238</v>
      </c>
      <c r="M2751" s="1077">
        <v>296.39999999999998</v>
      </c>
      <c r="N2751" s="1077" t="s">
        <v>945</v>
      </c>
      <c r="O2751" s="1077">
        <v>7.41</v>
      </c>
      <c r="P2751" s="1077">
        <v>5.9279999999999999</v>
      </c>
      <c r="Q2751" s="1077">
        <v>3.5</v>
      </c>
      <c r="R2751" s="1077">
        <v>20</v>
      </c>
      <c r="T2751" s="1077">
        <v>14.7</v>
      </c>
      <c r="U2751" s="1077">
        <v>5.5</v>
      </c>
      <c r="V2751" s="1077" t="s">
        <v>648</v>
      </c>
      <c r="W2751" s="1077" t="s">
        <v>2816</v>
      </c>
      <c r="X2751" s="1077">
        <v>10</v>
      </c>
      <c r="Y2751" s="1077">
        <v>1.1000000000000001</v>
      </c>
      <c r="Z2751" s="1077" t="s">
        <v>648</v>
      </c>
      <c r="AA2751" s="1077" t="s">
        <v>3687</v>
      </c>
      <c r="AB2751" s="1077" t="s">
        <v>8292</v>
      </c>
      <c r="AH2751" s="1077" t="s">
        <v>762</v>
      </c>
      <c r="AI2751" s="1077">
        <v>91.33</v>
      </c>
      <c r="AJ2751" s="1077">
        <v>-1.2</v>
      </c>
      <c r="AK2751" s="1077">
        <v>6.06</v>
      </c>
      <c r="AM2751" s="1078" t="s">
        <v>14416</v>
      </c>
      <c r="AN2751" s="1078" t="s">
        <v>14417</v>
      </c>
      <c r="AO2751" s="1078">
        <f t="shared" si="342"/>
        <v>550</v>
      </c>
      <c r="AP2751" s="1078">
        <f t="shared" si="343"/>
        <v>1.7949999999999999</v>
      </c>
      <c r="AQ2751" s="1078" t="str">
        <f t="shared" si="344"/>
        <v>1-5-1S91°Z+S</v>
      </c>
      <c r="AR2751" s="1078" t="str">
        <f t="shared" si="345"/>
        <v>31</v>
      </c>
      <c r="AS2751" s="1078" t="str">
        <f t="shared" si="346"/>
        <v>285/285/160</v>
      </c>
      <c r="AT2751" s="1078" t="str">
        <f t="shared" si="347"/>
        <v>1-5-1S91°Z+S</v>
      </c>
      <c r="AU2751" s="1078" t="s">
        <v>15547</v>
      </c>
      <c r="AV2751" s="1078" t="str">
        <f t="shared" si="340"/>
        <v>112.8.21</v>
      </c>
      <c r="AW2751" s="1344">
        <f t="shared" si="341"/>
        <v>45159</v>
      </c>
    </row>
    <row r="2752" spans="1:49">
      <c r="A2752" s="1077" t="s">
        <v>8293</v>
      </c>
      <c r="B2752" s="1077" t="s">
        <v>836</v>
      </c>
      <c r="C2752" s="1077">
        <v>600</v>
      </c>
      <c r="D2752" s="1077">
        <v>1.8</v>
      </c>
      <c r="E2752" s="1077" t="s">
        <v>15116</v>
      </c>
      <c r="F2752" s="1077" t="s">
        <v>6901</v>
      </c>
      <c r="G2752" s="1077">
        <v>4</v>
      </c>
      <c r="H2752" s="1077" t="s">
        <v>6902</v>
      </c>
      <c r="I2752" s="1077" t="s">
        <v>7048</v>
      </c>
      <c r="K2752" s="1077" t="s">
        <v>7747</v>
      </c>
      <c r="L2752" s="1077" t="s">
        <v>6905</v>
      </c>
      <c r="M2752" s="1077">
        <v>303.89999999999998</v>
      </c>
      <c r="N2752" s="1077" t="s">
        <v>945</v>
      </c>
      <c r="O2752" s="1077">
        <v>7.5975000000000001</v>
      </c>
      <c r="P2752" s="1077">
        <v>6.0779999999999994</v>
      </c>
      <c r="Q2752" s="1077">
        <v>3.5</v>
      </c>
      <c r="R2752" s="1077">
        <v>24.5</v>
      </c>
      <c r="T2752" s="1077">
        <v>12.7</v>
      </c>
      <c r="U2752" s="1077">
        <v>2.6</v>
      </c>
      <c r="V2752" s="1077" t="s">
        <v>648</v>
      </c>
      <c r="W2752" s="1077" t="s">
        <v>2532</v>
      </c>
      <c r="X2752" s="1077">
        <v>10</v>
      </c>
      <c r="Y2752" s="1077">
        <v>1.5</v>
      </c>
      <c r="Z2752" s="1077" t="s">
        <v>648</v>
      </c>
      <c r="AA2752" s="1077" t="s">
        <v>1613</v>
      </c>
      <c r="AH2752" s="1077" t="s">
        <v>3213</v>
      </c>
      <c r="AI2752" s="1077">
        <v>55.44</v>
      </c>
      <c r="AJ2752" s="1077">
        <v>1.3</v>
      </c>
      <c r="AK2752" s="1077">
        <v>4.4800000000000004</v>
      </c>
      <c r="AM2752" s="1078" t="s">
        <v>14418</v>
      </c>
      <c r="AN2752" s="1078" t="s">
        <v>14419</v>
      </c>
      <c r="AO2752" s="1078">
        <f t="shared" si="342"/>
        <v>600</v>
      </c>
      <c r="AP2752" s="1078">
        <f t="shared" si="343"/>
        <v>1.8</v>
      </c>
      <c r="AQ2752" s="1078" t="str">
        <f t="shared" si="344"/>
        <v>1-5-1S83°Z+S</v>
      </c>
      <c r="AR2752" s="1078" t="str">
        <f t="shared" si="345"/>
        <v>33.6</v>
      </c>
      <c r="AS2752" s="1078" t="str">
        <f t="shared" si="346"/>
        <v>310/310/190</v>
      </c>
      <c r="AT2752" s="1078" t="str">
        <f t="shared" si="347"/>
        <v>1-5-1S83°Z+S</v>
      </c>
      <c r="AU2752" s="1078" t="s">
        <v>15547</v>
      </c>
      <c r="AV2752" s="1078" t="str">
        <f t="shared" si="340"/>
        <v>112.8.23</v>
      </c>
      <c r="AW2752" s="1344">
        <f t="shared" si="341"/>
        <v>45161</v>
      </c>
    </row>
    <row r="2753" spans="1:49">
      <c r="A2753" s="1077" t="s">
        <v>8294</v>
      </c>
      <c r="B2753" s="1077" t="s">
        <v>7068</v>
      </c>
      <c r="C2753" s="1077">
        <v>450</v>
      </c>
      <c r="D2753" s="1077">
        <v>1.8</v>
      </c>
      <c r="E2753" s="1077" t="s">
        <v>15112</v>
      </c>
      <c r="F2753" s="1077" t="s">
        <v>975</v>
      </c>
      <c r="G2753" s="1077">
        <v>5</v>
      </c>
      <c r="H2753" s="1077" t="s">
        <v>3327</v>
      </c>
      <c r="I2753" s="1077" t="s">
        <v>7729</v>
      </c>
      <c r="K2753" s="1077" t="s">
        <v>8150</v>
      </c>
      <c r="L2753" s="1077" t="s">
        <v>5037</v>
      </c>
      <c r="M2753" s="1077">
        <v>295.5</v>
      </c>
      <c r="N2753" s="1077" t="s">
        <v>945</v>
      </c>
      <c r="O2753" s="1077">
        <v>7.3875000000000002</v>
      </c>
      <c r="P2753" s="1077">
        <v>5.91</v>
      </c>
      <c r="Q2753" s="1077">
        <v>3.5</v>
      </c>
      <c r="R2753" s="1077">
        <v>19.5</v>
      </c>
      <c r="T2753" s="1077">
        <v>20</v>
      </c>
      <c r="U2753" s="1077">
        <v>3.5</v>
      </c>
      <c r="V2753" s="1077" t="s">
        <v>648</v>
      </c>
      <c r="W2753" s="1077">
        <v>115</v>
      </c>
      <c r="X2753" s="1077">
        <v>90</v>
      </c>
      <c r="Y2753" s="1077">
        <v>1</v>
      </c>
      <c r="Z2753" s="1077" t="s">
        <v>648</v>
      </c>
      <c r="AA2753" s="1077" t="s">
        <v>4457</v>
      </c>
      <c r="AH2753" s="1077" t="s">
        <v>875</v>
      </c>
      <c r="AI2753" s="1077">
        <v>14.73</v>
      </c>
      <c r="AJ2753" s="1077">
        <v>0.14000000000000001</v>
      </c>
      <c r="AK2753" s="1077">
        <v>0.32</v>
      </c>
      <c r="AM2753" s="1078" t="s">
        <v>14420</v>
      </c>
      <c r="AN2753" s="1078" t="s">
        <v>14421</v>
      </c>
      <c r="AO2753" s="1078">
        <f t="shared" si="342"/>
        <v>450</v>
      </c>
      <c r="AP2753" s="1078">
        <f t="shared" si="343"/>
        <v>1.8</v>
      </c>
      <c r="AQ2753" s="1078" t="str">
        <f t="shared" si="344"/>
        <v>1-5-1S87°Z+S</v>
      </c>
      <c r="AR2753" s="1078" t="str">
        <f t="shared" si="345"/>
        <v>31.5</v>
      </c>
      <c r="AS2753" s="1078" t="str">
        <f t="shared" si="346"/>
        <v>280/280/150</v>
      </c>
      <c r="AT2753" s="1078" t="str">
        <f t="shared" si="347"/>
        <v>1-5-1S87°Z+S</v>
      </c>
      <c r="AU2753" s="1078" t="s">
        <v>15547</v>
      </c>
      <c r="AV2753" s="1078" t="str">
        <f t="shared" si="340"/>
        <v>112.8.25</v>
      </c>
      <c r="AW2753" s="1344">
        <f t="shared" si="341"/>
        <v>45163</v>
      </c>
    </row>
    <row r="2754" spans="1:49">
      <c r="A2754" s="1077" t="s">
        <v>8295</v>
      </c>
      <c r="B2754" s="1077" t="s">
        <v>714</v>
      </c>
      <c r="C2754" s="1077" t="s">
        <v>8296</v>
      </c>
      <c r="D2754" s="1077">
        <v>1.7649999999999999</v>
      </c>
      <c r="E2754" s="1077">
        <v>102.5</v>
      </c>
      <c r="F2754" s="1077" t="s">
        <v>4070</v>
      </c>
      <c r="G2754" s="1077" t="s">
        <v>6865</v>
      </c>
      <c r="H2754" s="1077" t="s">
        <v>8297</v>
      </c>
      <c r="I2754" s="1077" t="s">
        <v>7105</v>
      </c>
      <c r="J2754" s="1077">
        <v>3.7</v>
      </c>
      <c r="K2754" s="1077" t="s">
        <v>8298</v>
      </c>
      <c r="L2754" s="1077" t="s">
        <v>4666</v>
      </c>
      <c r="M2754" s="1077">
        <v>300.8</v>
      </c>
      <c r="N2754" s="1077" t="s">
        <v>945</v>
      </c>
      <c r="O2754" s="1077">
        <v>7.5200000000000005</v>
      </c>
      <c r="P2754" s="1077">
        <v>6.016</v>
      </c>
      <c r="Q2754" s="1077">
        <v>4</v>
      </c>
      <c r="R2754" s="1077">
        <v>17</v>
      </c>
      <c r="T2754" s="1077">
        <v>31.4</v>
      </c>
      <c r="U2754" s="1077">
        <v>3.6</v>
      </c>
      <c r="V2754" s="1077" t="s">
        <v>648</v>
      </c>
      <c r="W2754" s="1077">
        <v>65</v>
      </c>
      <c r="X2754" s="1077">
        <v>10</v>
      </c>
      <c r="Y2754" s="1077">
        <v>1.5</v>
      </c>
      <c r="Z2754" s="1077" t="s">
        <v>648</v>
      </c>
      <c r="AA2754" s="1077" t="s">
        <v>1616</v>
      </c>
      <c r="AH2754" s="1077" t="s">
        <v>830</v>
      </c>
      <c r="AI2754" s="1077">
        <v>90.89</v>
      </c>
      <c r="AJ2754" s="1077">
        <v>-0.2</v>
      </c>
      <c r="AK2754" s="1077">
        <v>0.4</v>
      </c>
      <c r="AM2754" s="1078" t="s">
        <v>14422</v>
      </c>
      <c r="AN2754" s="1078" t="s">
        <v>14423</v>
      </c>
      <c r="AO2754" s="1078" t="str">
        <f t="shared" si="342"/>
        <v>600↓550-11/16</v>
      </c>
      <c r="AP2754" s="1078">
        <f t="shared" si="343"/>
        <v>1.7649999999999999</v>
      </c>
      <c r="AQ2754" s="1078">
        <f t="shared" si="344"/>
        <v>102.5</v>
      </c>
      <c r="AR2754" s="1078" t="str">
        <f t="shared" si="345"/>
        <v>15.5</v>
      </c>
      <c r="AS2754" s="1078" t="str">
        <f t="shared" si="346"/>
        <v>488/448/OFF</v>
      </c>
      <c r="AT2754" s="1078">
        <f t="shared" si="347"/>
        <v>102.5</v>
      </c>
      <c r="AV2754" s="1078" t="str">
        <f t="shared" ref="AV2754:AV2817" si="348">AA2754</f>
        <v>112.8.28</v>
      </c>
      <c r="AW2754" s="1344">
        <f t="shared" si="341"/>
        <v>45166</v>
      </c>
    </row>
    <row r="2755" spans="1:49">
      <c r="A2755" s="1077" t="s">
        <v>8299</v>
      </c>
      <c r="B2755" s="1077" t="s">
        <v>663</v>
      </c>
      <c r="C2755" s="1077">
        <v>550</v>
      </c>
      <c r="D2755" s="1077">
        <v>1.825</v>
      </c>
      <c r="E2755" s="1077" t="s">
        <v>15122</v>
      </c>
      <c r="F2755" s="1077" t="s">
        <v>954</v>
      </c>
      <c r="G2755" s="1077">
        <v>5.5</v>
      </c>
      <c r="H2755" s="1077" t="s">
        <v>4579</v>
      </c>
      <c r="I2755" s="1077" t="s">
        <v>7753</v>
      </c>
      <c r="K2755" s="1077" t="s">
        <v>7754</v>
      </c>
      <c r="L2755" s="1077" t="s">
        <v>6238</v>
      </c>
      <c r="M2755" s="1077">
        <v>296</v>
      </c>
      <c r="N2755" s="1077" t="s">
        <v>945</v>
      </c>
      <c r="O2755" s="1077">
        <v>7.4</v>
      </c>
      <c r="P2755" s="1077">
        <v>5.92</v>
      </c>
      <c r="Q2755" s="1077" t="s">
        <v>8300</v>
      </c>
      <c r="R2755" s="1077">
        <v>17</v>
      </c>
      <c r="T2755" s="1077">
        <v>10.5</v>
      </c>
      <c r="U2755" s="1077">
        <v>6.1</v>
      </c>
      <c r="V2755" s="1077" t="s">
        <v>648</v>
      </c>
      <c r="W2755" s="1077">
        <v>110</v>
      </c>
      <c r="X2755" s="1077">
        <v>90</v>
      </c>
      <c r="Y2755" s="1077">
        <v>1.1000000000000001</v>
      </c>
      <c r="Z2755" s="1077" t="s">
        <v>648</v>
      </c>
      <c r="AA2755" s="1077" t="s">
        <v>8301</v>
      </c>
      <c r="AB2755" s="1077" t="s">
        <v>8302</v>
      </c>
      <c r="AH2755" s="1077" t="s">
        <v>6499</v>
      </c>
      <c r="AI2755" s="1077">
        <v>91.38</v>
      </c>
      <c r="AJ2755" s="1077">
        <v>-1.61</v>
      </c>
      <c r="AK2755" s="1077">
        <v>6.32</v>
      </c>
      <c r="AM2755" s="1078" t="s">
        <v>14424</v>
      </c>
      <c r="AN2755" s="1078" t="s">
        <v>14425</v>
      </c>
      <c r="AO2755" s="1078">
        <f t="shared" si="342"/>
        <v>550</v>
      </c>
      <c r="AP2755" s="1078">
        <f t="shared" si="343"/>
        <v>1.825</v>
      </c>
      <c r="AQ2755" s="1078" t="str">
        <f t="shared" si="344"/>
        <v>1-5-1S91°Z+S</v>
      </c>
      <c r="AR2755" s="1078" t="str">
        <f t="shared" si="345"/>
        <v>31</v>
      </c>
      <c r="AS2755" s="1078" t="str">
        <f t="shared" si="346"/>
        <v>270/270/155</v>
      </c>
      <c r="AT2755" s="1078" t="str">
        <f t="shared" si="347"/>
        <v>1-5-1S91°Z+S</v>
      </c>
      <c r="AU2755" s="1078" t="s">
        <v>15547</v>
      </c>
      <c r="AV2755" s="1078" t="str">
        <f t="shared" si="348"/>
        <v>112.8.30</v>
      </c>
      <c r="AW2755" s="1344">
        <f t="shared" ref="AW2755:AW2818" si="349">DATE(VALUE(LEFT(AV2755,FIND(".",AV2755)-1))+1911,
       VALUE(MID(AV2755,FIND(".",AV2755)+1,FIND(".",AV2755,FIND(".",AV2755)+1)-FIND(".",AV2755)-1)),
       VALUE(RIGHT(AV2755,LEN(AV2755)-FIND("~",SUBSTITUTE(AV2755,".","~",2)))))</f>
        <v>45168</v>
      </c>
    </row>
    <row r="2756" spans="1:49">
      <c r="A2756" s="1077" t="s">
        <v>8303</v>
      </c>
      <c r="B2756" s="1077" t="s">
        <v>467</v>
      </c>
      <c r="C2756" s="1077">
        <v>700</v>
      </c>
      <c r="D2756" s="1077">
        <v>1.79</v>
      </c>
      <c r="E2756" s="1077" t="s">
        <v>15109</v>
      </c>
      <c r="F2756" s="1077" t="s">
        <v>648</v>
      </c>
      <c r="G2756" s="1077" t="s">
        <v>8304</v>
      </c>
      <c r="H2756" s="1077" t="s">
        <v>6417</v>
      </c>
      <c r="I2756" s="1077" t="s">
        <v>6896</v>
      </c>
      <c r="J2756" s="1077">
        <v>3.7</v>
      </c>
      <c r="K2756" s="1077" t="s">
        <v>8204</v>
      </c>
      <c r="L2756" s="1077" t="s">
        <v>4666</v>
      </c>
      <c r="M2756" s="1077">
        <v>295.10000000000002</v>
      </c>
      <c r="N2756" s="1077" t="s">
        <v>945</v>
      </c>
      <c r="O2756" s="1077">
        <v>7.3775000000000013</v>
      </c>
      <c r="P2756" s="1077">
        <v>5.9020000000000001</v>
      </c>
      <c r="Q2756" s="1077">
        <v>4</v>
      </c>
      <c r="R2756" s="1077">
        <v>17.399999999999999</v>
      </c>
      <c r="T2756" s="1077">
        <v>31</v>
      </c>
      <c r="U2756" s="1077">
        <v>3.5</v>
      </c>
      <c r="V2756" s="1077" t="s">
        <v>648</v>
      </c>
      <c r="W2756" s="1077" t="s">
        <v>6880</v>
      </c>
      <c r="X2756" s="1077">
        <v>40</v>
      </c>
      <c r="Y2756" s="1077">
        <v>1</v>
      </c>
      <c r="Z2756" s="1077" t="s">
        <v>648</v>
      </c>
      <c r="AA2756" s="1077" t="s">
        <v>8305</v>
      </c>
      <c r="AH2756" s="1077" t="s">
        <v>803</v>
      </c>
      <c r="AI2756" s="1077">
        <v>94.84</v>
      </c>
      <c r="AJ2756" s="1077">
        <v>-0.52</v>
      </c>
      <c r="AK2756" s="1077">
        <v>1.61</v>
      </c>
      <c r="AM2756" s="1078" t="s">
        <v>14426</v>
      </c>
      <c r="AN2756" s="1078" t="s">
        <v>14371</v>
      </c>
      <c r="AO2756" s="1078">
        <f t="shared" si="342"/>
        <v>700</v>
      </c>
      <c r="AP2756" s="1078">
        <f t="shared" si="343"/>
        <v>1.79</v>
      </c>
      <c r="AQ2756" s="1078" t="str">
        <f t="shared" si="344"/>
        <v>1-5-1S85°Z+S</v>
      </c>
      <c r="AR2756" s="1078" t="str">
        <f t="shared" si="345"/>
        <v>NA</v>
      </c>
      <c r="AS2756" s="1078" t="str">
        <f t="shared" si="346"/>
        <v>205/OFF</v>
      </c>
      <c r="AT2756" s="1078" t="str">
        <f t="shared" si="347"/>
        <v>1-5-1S85°Z+S</v>
      </c>
      <c r="AU2756" s="1078" t="s">
        <v>15547</v>
      </c>
      <c r="AV2756" s="1078" t="str">
        <f t="shared" si="348"/>
        <v>112.9.5</v>
      </c>
      <c r="AW2756" s="1344">
        <f t="shared" si="349"/>
        <v>45174</v>
      </c>
    </row>
    <row r="2757" spans="1:49">
      <c r="A2757" s="1077" t="s">
        <v>8306</v>
      </c>
      <c r="B2757" s="1077" t="s">
        <v>7214</v>
      </c>
      <c r="C2757" s="1077">
        <v>600</v>
      </c>
      <c r="D2757" s="1077">
        <v>1.76</v>
      </c>
      <c r="E2757" s="1077" t="s">
        <v>15122</v>
      </c>
      <c r="F2757" s="1077" t="s">
        <v>984</v>
      </c>
      <c r="G2757" s="1077">
        <v>5</v>
      </c>
      <c r="H2757" s="1077" t="s">
        <v>6397</v>
      </c>
      <c r="I2757" s="1077" t="s">
        <v>7709</v>
      </c>
      <c r="K2757" s="1077" t="s">
        <v>8200</v>
      </c>
      <c r="L2757" s="1077" t="s">
        <v>6043</v>
      </c>
      <c r="M2757" s="1077">
        <v>305</v>
      </c>
      <c r="N2757" s="1077" t="s">
        <v>945</v>
      </c>
      <c r="O2757" s="1077">
        <v>7.625</v>
      </c>
      <c r="P2757" s="1077">
        <v>6.1000000000000005</v>
      </c>
      <c r="Q2757" s="1077">
        <v>3.5</v>
      </c>
      <c r="R2757" s="1077">
        <v>21</v>
      </c>
      <c r="T2757" s="1077">
        <v>26</v>
      </c>
      <c r="U2757" s="1077">
        <v>3</v>
      </c>
      <c r="V2757" s="1077" t="s">
        <v>648</v>
      </c>
      <c r="W2757" s="1077">
        <v>30</v>
      </c>
      <c r="X2757" s="1077">
        <v>10</v>
      </c>
      <c r="Y2757" s="1077">
        <v>1.3</v>
      </c>
      <c r="Z2757" s="1077" t="s">
        <v>648</v>
      </c>
      <c r="AA2757" s="1077" t="s">
        <v>6294</v>
      </c>
      <c r="AH2757" s="1077" t="s">
        <v>762</v>
      </c>
      <c r="AI2757" s="1077">
        <v>95.09</v>
      </c>
      <c r="AJ2757" s="1077">
        <v>-0.28999999999999998</v>
      </c>
      <c r="AK2757" s="1077">
        <v>1.64</v>
      </c>
      <c r="AM2757" s="1078" t="s">
        <v>14427</v>
      </c>
      <c r="AN2757" s="1078" t="s">
        <v>14029</v>
      </c>
      <c r="AO2757" s="1078">
        <f t="shared" si="342"/>
        <v>600</v>
      </c>
      <c r="AP2757" s="1078">
        <f t="shared" si="343"/>
        <v>1.76</v>
      </c>
      <c r="AQ2757" s="1078" t="str">
        <f t="shared" si="344"/>
        <v>1-5-1S91°Z+S</v>
      </c>
      <c r="AR2757" s="1078" t="str">
        <f t="shared" si="345"/>
        <v>30</v>
      </c>
      <c r="AS2757" s="1078" t="str">
        <f t="shared" si="346"/>
        <v>330/330/150</v>
      </c>
      <c r="AT2757" s="1078" t="str">
        <f t="shared" si="347"/>
        <v>1-5-1S91°Z+S</v>
      </c>
      <c r="AU2757" s="1078" t="s">
        <v>15547</v>
      </c>
      <c r="AV2757" s="1078" t="str">
        <f t="shared" si="348"/>
        <v>112.9.7</v>
      </c>
      <c r="AW2757" s="1344">
        <f t="shared" si="349"/>
        <v>45176</v>
      </c>
    </row>
    <row r="2758" spans="1:49">
      <c r="A2758" s="1077" t="s">
        <v>8307</v>
      </c>
      <c r="B2758" s="1077" t="s">
        <v>7205</v>
      </c>
      <c r="C2758" s="1077">
        <v>600</v>
      </c>
      <c r="D2758" s="1077">
        <v>1.76</v>
      </c>
      <c r="E2758" s="1077" t="s">
        <v>15122</v>
      </c>
      <c r="F2758" s="1077" t="s">
        <v>984</v>
      </c>
      <c r="G2758" s="1077">
        <v>5</v>
      </c>
      <c r="H2758" s="1077" t="s">
        <v>5888</v>
      </c>
      <c r="I2758" s="1077" t="s">
        <v>6970</v>
      </c>
      <c r="J2758" s="1077">
        <v>3</v>
      </c>
      <c r="K2758" s="1077" t="s">
        <v>8200</v>
      </c>
      <c r="L2758" s="1077" t="s">
        <v>6043</v>
      </c>
      <c r="M2758" s="1077">
        <v>302.8</v>
      </c>
      <c r="N2758" s="1077" t="s">
        <v>945</v>
      </c>
      <c r="O2758" s="1077">
        <v>7.57</v>
      </c>
      <c r="P2758" s="1077">
        <v>6.056</v>
      </c>
      <c r="Q2758" s="1077">
        <v>4</v>
      </c>
      <c r="R2758" s="1077">
        <v>22</v>
      </c>
      <c r="T2758" s="1077">
        <v>27</v>
      </c>
      <c r="U2758" s="1077">
        <v>3.5</v>
      </c>
      <c r="V2758" s="1077" t="s">
        <v>648</v>
      </c>
      <c r="W2758" s="1077">
        <v>135</v>
      </c>
      <c r="X2758" s="1077">
        <v>90</v>
      </c>
      <c r="Y2758" s="1077">
        <v>1.4</v>
      </c>
      <c r="Z2758" s="1077" t="s">
        <v>648</v>
      </c>
      <c r="AA2758" s="1077" t="s">
        <v>3746</v>
      </c>
      <c r="AH2758" s="1077" t="s">
        <v>990</v>
      </c>
      <c r="AI2758" s="1077">
        <v>94.98</v>
      </c>
      <c r="AJ2758" s="1077">
        <v>-0.45</v>
      </c>
      <c r="AK2758" s="1077">
        <v>1.71</v>
      </c>
      <c r="AM2758" s="1078" t="s">
        <v>14428</v>
      </c>
      <c r="AN2758" s="1078" t="s">
        <v>14429</v>
      </c>
      <c r="AO2758" s="1078">
        <f t="shared" si="342"/>
        <v>600</v>
      </c>
      <c r="AP2758" s="1078">
        <f t="shared" si="343"/>
        <v>1.76</v>
      </c>
      <c r="AQ2758" s="1078" t="str">
        <f t="shared" si="344"/>
        <v>1-5-1S91°Z+S</v>
      </c>
      <c r="AR2758" s="1078" t="str">
        <f t="shared" si="345"/>
        <v>30</v>
      </c>
      <c r="AS2758" s="1078" t="str">
        <f t="shared" si="346"/>
        <v>340/340/OFF</v>
      </c>
      <c r="AT2758" s="1078" t="str">
        <f t="shared" si="347"/>
        <v>1-5-1S91°Z+S</v>
      </c>
      <c r="AU2758" s="1078" t="s">
        <v>15547</v>
      </c>
      <c r="AV2758" s="1078" t="str">
        <f t="shared" si="348"/>
        <v>112.9.15</v>
      </c>
      <c r="AW2758" s="1344">
        <f t="shared" si="349"/>
        <v>45184</v>
      </c>
    </row>
    <row r="2759" spans="1:49">
      <c r="A2759" s="1077" t="s">
        <v>8308</v>
      </c>
      <c r="B2759" s="1077" t="s">
        <v>467</v>
      </c>
      <c r="C2759" s="1077">
        <v>600</v>
      </c>
      <c r="D2759" s="1077">
        <v>1.7769999999999999</v>
      </c>
      <c r="E2759" s="1077">
        <v>102.5</v>
      </c>
      <c r="F2759" s="1077" t="s">
        <v>4070</v>
      </c>
      <c r="G2759" s="1077">
        <v>5.5</v>
      </c>
      <c r="H2759" s="1077" t="s">
        <v>7727</v>
      </c>
      <c r="I2759" s="1077" t="s">
        <v>8309</v>
      </c>
      <c r="J2759" s="1077">
        <v>3.7</v>
      </c>
      <c r="K2759" s="1077" t="s">
        <v>8232</v>
      </c>
      <c r="L2759" s="1077" t="s">
        <v>4666</v>
      </c>
      <c r="M2759" s="1077">
        <v>295.10000000000002</v>
      </c>
      <c r="N2759" s="1077" t="s">
        <v>945</v>
      </c>
      <c r="O2759" s="1077">
        <v>7.3775000000000013</v>
      </c>
      <c r="P2759" s="1077">
        <v>5.9020000000000001</v>
      </c>
      <c r="Q2759" s="1077">
        <v>4</v>
      </c>
      <c r="R2759" s="1077">
        <v>17.399999999999999</v>
      </c>
      <c r="T2759" s="1077">
        <v>31</v>
      </c>
      <c r="U2759" s="1077">
        <v>3.5</v>
      </c>
      <c r="V2759" s="1077" t="s">
        <v>648</v>
      </c>
      <c r="W2759" s="1077">
        <v>100</v>
      </c>
      <c r="X2759" s="1077">
        <v>40</v>
      </c>
      <c r="Y2759" s="1077">
        <v>1</v>
      </c>
      <c r="Z2759" s="1077" t="s">
        <v>648</v>
      </c>
      <c r="AA2759" s="1077" t="s">
        <v>3755</v>
      </c>
      <c r="AH2759" s="1077" t="s">
        <v>723</v>
      </c>
      <c r="AI2759" s="1077">
        <v>94.93</v>
      </c>
      <c r="AJ2759" s="1077">
        <v>-0.66</v>
      </c>
      <c r="AK2759" s="1077">
        <v>1.87</v>
      </c>
      <c r="AM2759" s="1078" t="s">
        <v>14430</v>
      </c>
      <c r="AN2759" s="1078" t="s">
        <v>14431</v>
      </c>
      <c r="AO2759" s="1078">
        <f t="shared" si="342"/>
        <v>600</v>
      </c>
      <c r="AP2759" s="1078">
        <f t="shared" si="343"/>
        <v>1.7769999999999999</v>
      </c>
      <c r="AQ2759" s="1078">
        <f t="shared" si="344"/>
        <v>102.5</v>
      </c>
      <c r="AR2759" s="1078" t="str">
        <f t="shared" si="345"/>
        <v>15.5</v>
      </c>
      <c r="AS2759" s="1078" t="str">
        <f t="shared" si="346"/>
        <v>494/454/OFF</v>
      </c>
      <c r="AT2759" s="1078">
        <f t="shared" si="347"/>
        <v>102.5</v>
      </c>
      <c r="AV2759" s="1078" t="str">
        <f t="shared" si="348"/>
        <v>112.9.18</v>
      </c>
      <c r="AW2759" s="1344">
        <f t="shared" si="349"/>
        <v>45187</v>
      </c>
    </row>
    <row r="2760" spans="1:49">
      <c r="A2760" s="1077" t="s">
        <v>8310</v>
      </c>
      <c r="B2760" s="1077" t="s">
        <v>714</v>
      </c>
      <c r="C2760" s="1077">
        <v>700</v>
      </c>
      <c r="D2760" s="1077">
        <v>1.79</v>
      </c>
      <c r="E2760" s="1077" t="s">
        <v>15109</v>
      </c>
      <c r="F2760" s="1077" t="s">
        <v>648</v>
      </c>
      <c r="G2760" s="1077" t="s">
        <v>6865</v>
      </c>
      <c r="H2760" s="1077" t="s">
        <v>8290</v>
      </c>
      <c r="I2760" s="1077" t="s">
        <v>8144</v>
      </c>
      <c r="J2760" s="1077">
        <v>3.7</v>
      </c>
      <c r="K2760" s="1077" t="s">
        <v>8204</v>
      </c>
      <c r="L2760" s="1077" t="s">
        <v>4666</v>
      </c>
      <c r="M2760" s="1077">
        <v>295.10000000000002</v>
      </c>
      <c r="N2760" s="1077" t="s">
        <v>945</v>
      </c>
      <c r="O2760" s="1077">
        <v>7.3775000000000013</v>
      </c>
      <c r="P2760" s="1077">
        <v>5.9020000000000001</v>
      </c>
      <c r="Q2760" s="1077">
        <v>4</v>
      </c>
      <c r="R2760" s="1077">
        <v>17.399999999999999</v>
      </c>
      <c r="T2760" s="1077">
        <v>31</v>
      </c>
      <c r="U2760" s="1077">
        <v>3.5</v>
      </c>
      <c r="V2760" s="1077" t="s">
        <v>648</v>
      </c>
      <c r="W2760" s="1077" t="s">
        <v>6880</v>
      </c>
      <c r="X2760" s="1077">
        <v>40</v>
      </c>
      <c r="Y2760" s="1077">
        <v>1</v>
      </c>
      <c r="Z2760" s="1077" t="s">
        <v>648</v>
      </c>
      <c r="AA2760" s="1077" t="s">
        <v>3737</v>
      </c>
      <c r="AH2760" s="1077" t="s">
        <v>614</v>
      </c>
      <c r="AI2760" s="1077">
        <v>94.59</v>
      </c>
      <c r="AJ2760" s="1077">
        <v>-0.49</v>
      </c>
      <c r="AK2760" s="1077">
        <v>1.33</v>
      </c>
      <c r="AM2760" s="1078" t="s">
        <v>14432</v>
      </c>
      <c r="AN2760" s="1078" t="s">
        <v>14433</v>
      </c>
      <c r="AO2760" s="1078">
        <f t="shared" si="342"/>
        <v>700</v>
      </c>
      <c r="AP2760" s="1078">
        <f t="shared" si="343"/>
        <v>1.79</v>
      </c>
      <c r="AQ2760" s="1078" t="str">
        <f t="shared" si="344"/>
        <v>1-5-1S85°Z+S</v>
      </c>
      <c r="AR2760" s="1078" t="str">
        <f t="shared" si="345"/>
        <v>NA</v>
      </c>
      <c r="AS2760" s="1078" t="str">
        <f t="shared" si="346"/>
        <v>203/OFF</v>
      </c>
      <c r="AT2760" s="1078" t="str">
        <f t="shared" si="347"/>
        <v>1-5-1S85°Z+S</v>
      </c>
      <c r="AU2760" s="1078" t="s">
        <v>15547</v>
      </c>
      <c r="AV2760" s="1078" t="str">
        <f t="shared" si="348"/>
        <v>112.9.12</v>
      </c>
      <c r="AW2760" s="1344">
        <f t="shared" si="349"/>
        <v>45181</v>
      </c>
    </row>
    <row r="2761" spans="1:49">
      <c r="A2761" s="1077" t="s">
        <v>8311</v>
      </c>
      <c r="B2761" s="1077" t="s">
        <v>714</v>
      </c>
      <c r="C2761" s="1077">
        <v>600</v>
      </c>
      <c r="D2761" s="1077">
        <v>1.7649999999999999</v>
      </c>
      <c r="E2761" s="1077">
        <v>102.5</v>
      </c>
      <c r="F2761" s="1077" t="s">
        <v>4070</v>
      </c>
      <c r="G2761" s="1077" t="s">
        <v>6865</v>
      </c>
      <c r="H2761" s="1077" t="s">
        <v>7714</v>
      </c>
      <c r="I2761" s="1077" t="s">
        <v>7443</v>
      </c>
      <c r="J2761" s="1077">
        <v>3.7</v>
      </c>
      <c r="K2761" s="1077" t="s">
        <v>8312</v>
      </c>
      <c r="L2761" s="1077" t="s">
        <v>4666</v>
      </c>
      <c r="M2761" s="1077">
        <v>300.8</v>
      </c>
      <c r="N2761" s="1077" t="s">
        <v>945</v>
      </c>
      <c r="O2761" s="1077">
        <v>7.5200000000000005</v>
      </c>
      <c r="P2761" s="1077">
        <v>6.016</v>
      </c>
      <c r="Q2761" s="1077">
        <v>4</v>
      </c>
      <c r="R2761" s="1077">
        <v>17</v>
      </c>
      <c r="T2761" s="1077">
        <v>31.4</v>
      </c>
      <c r="U2761" s="1077">
        <v>3.6</v>
      </c>
      <c r="V2761" s="1077" t="s">
        <v>648</v>
      </c>
      <c r="W2761" s="1077">
        <v>65</v>
      </c>
      <c r="X2761" s="1077">
        <v>10</v>
      </c>
      <c r="Y2761" s="1077">
        <v>1.5</v>
      </c>
      <c r="Z2761" s="1077" t="s">
        <v>648</v>
      </c>
      <c r="AA2761" s="1077" t="s">
        <v>3743</v>
      </c>
      <c r="AH2761" s="1077" t="s">
        <v>1376</v>
      </c>
      <c r="AI2761" s="1077">
        <v>94.78</v>
      </c>
      <c r="AJ2761" s="1077">
        <v>-0.6</v>
      </c>
      <c r="AK2761" s="1077">
        <v>2.0299999999999998</v>
      </c>
      <c r="AM2761" s="1078" t="s">
        <v>14434</v>
      </c>
      <c r="AN2761" s="1078" t="s">
        <v>14435</v>
      </c>
      <c r="AO2761" s="1078">
        <f t="shared" si="342"/>
        <v>600</v>
      </c>
      <c r="AP2761" s="1078">
        <f t="shared" si="343"/>
        <v>1.7649999999999999</v>
      </c>
      <c r="AQ2761" s="1078">
        <f t="shared" si="344"/>
        <v>102.5</v>
      </c>
      <c r="AR2761" s="1078" t="str">
        <f t="shared" si="345"/>
        <v>15.5</v>
      </c>
      <c r="AS2761" s="1078" t="str">
        <f t="shared" si="346"/>
        <v>493/453/OFF</v>
      </c>
      <c r="AT2761" s="1078">
        <f t="shared" si="347"/>
        <v>102.5</v>
      </c>
      <c r="AV2761" s="1078" t="str">
        <f t="shared" si="348"/>
        <v>112.9.13</v>
      </c>
      <c r="AW2761" s="1344">
        <f t="shared" si="349"/>
        <v>45182</v>
      </c>
    </row>
    <row r="2762" spans="1:49">
      <c r="A2762" s="1077" t="s">
        <v>8313</v>
      </c>
      <c r="B2762" s="1077" t="s">
        <v>7261</v>
      </c>
      <c r="C2762" s="1077">
        <v>600</v>
      </c>
      <c r="D2762" s="1077">
        <v>1.8</v>
      </c>
      <c r="E2762" s="1077" t="s">
        <v>15116</v>
      </c>
      <c r="F2762" s="1077" t="s">
        <v>2234</v>
      </c>
      <c r="G2762" s="1077">
        <v>4</v>
      </c>
      <c r="H2762" s="1077" t="s">
        <v>7262</v>
      </c>
      <c r="I2762" s="1077" t="s">
        <v>6918</v>
      </c>
      <c r="K2762" s="1077" t="s">
        <v>8314</v>
      </c>
      <c r="L2762" s="1077" t="s">
        <v>7264</v>
      </c>
      <c r="M2762" s="1077">
        <v>307</v>
      </c>
      <c r="N2762" s="1077" t="s">
        <v>945</v>
      </c>
      <c r="O2762" s="1077">
        <v>7.6750000000000007</v>
      </c>
      <c r="P2762" s="1077">
        <v>6.1400000000000006</v>
      </c>
      <c r="Q2762" s="1077">
        <v>3.5</v>
      </c>
      <c r="R2762" s="1077">
        <v>27</v>
      </c>
      <c r="T2762" s="1077">
        <v>12</v>
      </c>
      <c r="U2762" s="1077">
        <v>2.2999999999999998</v>
      </c>
      <c r="V2762" s="1077" t="s">
        <v>648</v>
      </c>
      <c r="W2762" s="1077" t="s">
        <v>4947</v>
      </c>
      <c r="X2762" s="1077">
        <v>10</v>
      </c>
      <c r="Y2762" s="1077">
        <v>1.7</v>
      </c>
      <c r="Z2762" s="1077" t="s">
        <v>648</v>
      </c>
      <c r="AA2762" s="1077" t="s">
        <v>3755</v>
      </c>
      <c r="AH2762" s="1077" t="s">
        <v>1482</v>
      </c>
      <c r="AI2762" s="1077">
        <v>90.92</v>
      </c>
      <c r="AJ2762" s="1077">
        <v>3.64</v>
      </c>
      <c r="AK2762" s="1077">
        <v>14.94</v>
      </c>
      <c r="AM2762" s="1078" t="s">
        <v>14436</v>
      </c>
      <c r="AN2762" s="1078" t="s">
        <v>14437</v>
      </c>
      <c r="AO2762" s="1078">
        <f t="shared" si="342"/>
        <v>600</v>
      </c>
      <c r="AP2762" s="1078">
        <f t="shared" si="343"/>
        <v>1.8</v>
      </c>
      <c r="AQ2762" s="1078" t="str">
        <f t="shared" si="344"/>
        <v>1-5-1S83°Z+S</v>
      </c>
      <c r="AR2762" s="1078" t="str">
        <f t="shared" si="345"/>
        <v>33.5</v>
      </c>
      <c r="AS2762" s="1078" t="str">
        <f t="shared" si="346"/>
        <v>300/300/190</v>
      </c>
      <c r="AT2762" s="1078" t="str">
        <f t="shared" si="347"/>
        <v>1-5-1S83°Z+S</v>
      </c>
      <c r="AU2762" s="1078" t="s">
        <v>15547</v>
      </c>
      <c r="AV2762" s="1078" t="str">
        <f t="shared" si="348"/>
        <v>112.9.18</v>
      </c>
      <c r="AW2762" s="1344">
        <f t="shared" si="349"/>
        <v>45187</v>
      </c>
    </row>
    <row r="2763" spans="1:49">
      <c r="A2763" s="1077" t="s">
        <v>8315</v>
      </c>
      <c r="B2763" s="1077" t="s">
        <v>7214</v>
      </c>
      <c r="C2763" s="1077">
        <v>600</v>
      </c>
      <c r="D2763" s="1077">
        <v>1.76</v>
      </c>
      <c r="E2763" s="1077" t="s">
        <v>15122</v>
      </c>
      <c r="F2763" s="1077" t="s">
        <v>984</v>
      </c>
      <c r="G2763" s="1077">
        <v>5</v>
      </c>
      <c r="H2763" s="1077" t="s">
        <v>5888</v>
      </c>
      <c r="I2763" s="1077" t="s">
        <v>6970</v>
      </c>
      <c r="J2763" s="1077">
        <v>3</v>
      </c>
      <c r="K2763" s="1077" t="s">
        <v>8200</v>
      </c>
      <c r="L2763" s="1077" t="s">
        <v>6043</v>
      </c>
      <c r="M2763" s="1077">
        <v>302.8</v>
      </c>
      <c r="N2763" s="1077" t="s">
        <v>945</v>
      </c>
      <c r="O2763" s="1077">
        <v>7.57</v>
      </c>
      <c r="P2763" s="1077">
        <v>6.056</v>
      </c>
      <c r="Q2763" s="1077">
        <v>4</v>
      </c>
      <c r="R2763" s="1077">
        <v>22</v>
      </c>
      <c r="T2763" s="1077">
        <v>27</v>
      </c>
      <c r="U2763" s="1077">
        <v>3.5</v>
      </c>
      <c r="V2763" s="1077" t="s">
        <v>648</v>
      </c>
      <c r="W2763" s="1077">
        <v>135</v>
      </c>
      <c r="X2763" s="1077">
        <v>90</v>
      </c>
      <c r="Y2763" s="1077">
        <v>1.4</v>
      </c>
      <c r="Z2763" s="1077" t="s">
        <v>648</v>
      </c>
      <c r="AA2763" s="1077" t="s">
        <v>8316</v>
      </c>
      <c r="AH2763" s="1077" t="s">
        <v>813</v>
      </c>
      <c r="AI2763" s="1077">
        <v>94.98</v>
      </c>
      <c r="AJ2763" s="1077">
        <v>-0.41</v>
      </c>
      <c r="AK2763" s="1077">
        <v>1.52</v>
      </c>
      <c r="AM2763" s="1078" t="s">
        <v>14438</v>
      </c>
      <c r="AN2763" s="1078" t="s">
        <v>14439</v>
      </c>
      <c r="AO2763" s="1078">
        <f t="shared" ref="AO2763:AO2826" si="350">C2763</f>
        <v>600</v>
      </c>
      <c r="AP2763" s="1078">
        <f t="shared" ref="AP2763:AP2826" si="351">D2763</f>
        <v>1.76</v>
      </c>
      <c r="AQ2763" s="1078" t="str">
        <f t="shared" ref="AQ2763:AQ2826" si="352">E2763</f>
        <v>1-5-1S91°Z+S</v>
      </c>
      <c r="AR2763" s="1078" t="str">
        <f t="shared" ref="AR2763:AR2826" si="353">F2763</f>
        <v>30</v>
      </c>
      <c r="AS2763" s="1078" t="str">
        <f t="shared" ref="AS2763:AS2826" si="354">H2763</f>
        <v>340/340/OFF</v>
      </c>
      <c r="AT2763" s="1078" t="str">
        <f t="shared" ref="AT2763:AT2826" si="355">E2763</f>
        <v>1-5-1S91°Z+S</v>
      </c>
      <c r="AU2763" s="1078" t="s">
        <v>15547</v>
      </c>
      <c r="AV2763" s="1078" t="str">
        <f t="shared" si="348"/>
        <v>112.9.25</v>
      </c>
      <c r="AW2763" s="1344">
        <f t="shared" si="349"/>
        <v>45194</v>
      </c>
    </row>
    <row r="2764" spans="1:49">
      <c r="A2764" s="1077" t="s">
        <v>8317</v>
      </c>
      <c r="B2764" s="1077" t="s">
        <v>714</v>
      </c>
      <c r="C2764" s="1077">
        <v>700</v>
      </c>
      <c r="D2764" s="1077">
        <v>1.78</v>
      </c>
      <c r="E2764" s="1077" t="s">
        <v>15109</v>
      </c>
      <c r="F2764" s="1077" t="s">
        <v>648</v>
      </c>
      <c r="G2764" s="1077" t="s">
        <v>6865</v>
      </c>
      <c r="H2764" s="1077" t="s">
        <v>8286</v>
      </c>
      <c r="I2764" s="1077" t="s">
        <v>7800</v>
      </c>
      <c r="J2764" s="1077">
        <v>3.7</v>
      </c>
      <c r="K2764" s="1077" t="s">
        <v>8288</v>
      </c>
      <c r="L2764" s="1077" t="s">
        <v>4666</v>
      </c>
      <c r="M2764" s="1077">
        <v>300.8</v>
      </c>
      <c r="N2764" s="1077" t="s">
        <v>945</v>
      </c>
      <c r="O2764" s="1077">
        <v>7.5200000000000005</v>
      </c>
      <c r="P2764" s="1077">
        <v>6.016</v>
      </c>
      <c r="Q2764" s="1077">
        <v>4</v>
      </c>
      <c r="R2764" s="1077">
        <v>17</v>
      </c>
      <c r="T2764" s="1077">
        <v>31.4</v>
      </c>
      <c r="U2764" s="1077">
        <v>3.6</v>
      </c>
      <c r="V2764" s="1077" t="s">
        <v>648</v>
      </c>
      <c r="W2764" s="1077">
        <v>65</v>
      </c>
      <c r="X2764" s="1077">
        <v>10</v>
      </c>
      <c r="Y2764" s="1077">
        <v>1.5</v>
      </c>
      <c r="Z2764" s="1077" t="s">
        <v>648</v>
      </c>
      <c r="AA2764" s="1077" t="s">
        <v>3759</v>
      </c>
      <c r="AH2764" s="1077" t="s">
        <v>948</v>
      </c>
      <c r="AI2764" s="1077">
        <v>90.91</v>
      </c>
      <c r="AJ2764" s="1077">
        <v>-0.5</v>
      </c>
      <c r="AK2764" s="1077">
        <v>1.17</v>
      </c>
      <c r="AM2764" s="1078" t="s">
        <v>14440</v>
      </c>
      <c r="AN2764" s="1078" t="s">
        <v>14441</v>
      </c>
      <c r="AO2764" s="1078">
        <f t="shared" si="350"/>
        <v>700</v>
      </c>
      <c r="AP2764" s="1078">
        <f t="shared" si="351"/>
        <v>1.78</v>
      </c>
      <c r="AQ2764" s="1078" t="str">
        <f t="shared" si="352"/>
        <v>1-5-1S85°Z+S</v>
      </c>
      <c r="AR2764" s="1078" t="str">
        <f t="shared" si="353"/>
        <v>NA</v>
      </c>
      <c r="AS2764" s="1078" t="str">
        <f t="shared" si="354"/>
        <v>198/OFF</v>
      </c>
      <c r="AT2764" s="1078" t="str">
        <f t="shared" si="355"/>
        <v>1-5-1S85°Z+S</v>
      </c>
      <c r="AU2764" s="1078" t="s">
        <v>15547</v>
      </c>
      <c r="AV2764" s="1078" t="str">
        <f t="shared" si="348"/>
        <v>112.9.20</v>
      </c>
      <c r="AW2764" s="1344">
        <f t="shared" si="349"/>
        <v>45189</v>
      </c>
    </row>
    <row r="2765" spans="1:49">
      <c r="A2765" s="1077" t="s">
        <v>8318</v>
      </c>
      <c r="B2765" s="1077" t="s">
        <v>467</v>
      </c>
      <c r="C2765" s="1077">
        <v>700</v>
      </c>
      <c r="D2765" s="1077">
        <v>1.7849999999999999</v>
      </c>
      <c r="E2765" s="1077" t="s">
        <v>15109</v>
      </c>
      <c r="F2765" s="1077" t="s">
        <v>648</v>
      </c>
      <c r="G2765" s="1077" t="s">
        <v>6865</v>
      </c>
      <c r="H2765" s="1077" t="s">
        <v>8290</v>
      </c>
      <c r="I2765" s="1077" t="s">
        <v>8120</v>
      </c>
      <c r="J2765" s="1077">
        <v>3.7</v>
      </c>
      <c r="K2765" s="1077" t="s">
        <v>8319</v>
      </c>
      <c r="L2765" s="1077" t="s">
        <v>4666</v>
      </c>
      <c r="M2765" s="1077">
        <v>295.10000000000002</v>
      </c>
      <c r="N2765" s="1077" t="s">
        <v>945</v>
      </c>
      <c r="O2765" s="1077">
        <v>7.3775000000000013</v>
      </c>
      <c r="P2765" s="1077">
        <v>5.9020000000000001</v>
      </c>
      <c r="Q2765" s="1077">
        <v>4</v>
      </c>
      <c r="R2765" s="1077">
        <v>17.399999999999999</v>
      </c>
      <c r="T2765" s="1077">
        <v>31</v>
      </c>
      <c r="U2765" s="1077">
        <v>3.5</v>
      </c>
      <c r="V2765" s="1077" t="s">
        <v>648</v>
      </c>
      <c r="W2765" s="1077" t="s">
        <v>6880</v>
      </c>
      <c r="X2765" s="1077">
        <v>40</v>
      </c>
      <c r="Y2765" s="1077">
        <v>1</v>
      </c>
      <c r="Z2765" s="1077" t="s">
        <v>648</v>
      </c>
      <c r="AA2765" s="1077" t="s">
        <v>8316</v>
      </c>
      <c r="AH2765" s="1077" t="s">
        <v>726</v>
      </c>
      <c r="AI2765" s="1077">
        <v>95.14</v>
      </c>
      <c r="AJ2765" s="1077">
        <v>-0.27</v>
      </c>
      <c r="AK2765" s="1077">
        <v>1.45</v>
      </c>
      <c r="AM2765" s="1078" t="s">
        <v>14442</v>
      </c>
      <c r="AN2765" s="1078" t="s">
        <v>14443</v>
      </c>
      <c r="AO2765" s="1078">
        <f t="shared" si="350"/>
        <v>700</v>
      </c>
      <c r="AP2765" s="1078">
        <f t="shared" si="351"/>
        <v>1.7849999999999999</v>
      </c>
      <c r="AQ2765" s="1078" t="str">
        <f t="shared" si="352"/>
        <v>1-5-1S85°Z+S</v>
      </c>
      <c r="AR2765" s="1078" t="str">
        <f t="shared" si="353"/>
        <v>NA</v>
      </c>
      <c r="AS2765" s="1078" t="str">
        <f t="shared" si="354"/>
        <v>203/OFF</v>
      </c>
      <c r="AT2765" s="1078" t="str">
        <f t="shared" si="355"/>
        <v>1-5-1S85°Z+S</v>
      </c>
      <c r="AU2765" s="1078" t="s">
        <v>15547</v>
      </c>
      <c r="AV2765" s="1078" t="str">
        <f t="shared" si="348"/>
        <v>112.9.25</v>
      </c>
      <c r="AW2765" s="1344">
        <f t="shared" si="349"/>
        <v>45194</v>
      </c>
    </row>
    <row r="2766" spans="1:49">
      <c r="A2766" s="1077" t="s">
        <v>8320</v>
      </c>
      <c r="B2766" s="1077" t="s">
        <v>6940</v>
      </c>
      <c r="C2766" s="1077">
        <v>450</v>
      </c>
      <c r="D2766" s="1077">
        <v>1.79</v>
      </c>
      <c r="E2766" s="1077" t="s">
        <v>15112</v>
      </c>
      <c r="F2766" s="1077" t="s">
        <v>984</v>
      </c>
      <c r="G2766" s="1077">
        <v>5</v>
      </c>
      <c r="H2766" s="1077" t="s">
        <v>955</v>
      </c>
      <c r="I2766" s="1077" t="s">
        <v>7105</v>
      </c>
      <c r="J2766" s="1077">
        <v>1</v>
      </c>
      <c r="K2766" s="1077" t="s">
        <v>8321</v>
      </c>
      <c r="L2766" s="1077" t="s">
        <v>4952</v>
      </c>
      <c r="M2766" s="1077">
        <v>308.39999999999998</v>
      </c>
      <c r="N2766" s="1077" t="s">
        <v>945</v>
      </c>
      <c r="O2766" s="1077">
        <v>7.71</v>
      </c>
      <c r="P2766" s="1077">
        <v>6.1679999999999993</v>
      </c>
      <c r="Q2766" s="1077">
        <v>2.8</v>
      </c>
      <c r="R2766" s="1077">
        <v>29.5</v>
      </c>
      <c r="T2766" s="1077">
        <v>14.5</v>
      </c>
      <c r="U2766" s="1077">
        <v>5</v>
      </c>
      <c r="V2766" s="1077" t="s">
        <v>648</v>
      </c>
      <c r="W2766" s="1077" t="s">
        <v>6990</v>
      </c>
      <c r="X2766" s="1077">
        <v>10</v>
      </c>
      <c r="Y2766" s="1077">
        <v>1.7</v>
      </c>
      <c r="Z2766" s="1077" t="s">
        <v>648</v>
      </c>
      <c r="AA2766" s="1077" t="s">
        <v>6315</v>
      </c>
      <c r="AB2766" s="1077" t="s">
        <v>8322</v>
      </c>
      <c r="AH2766" s="1077" t="s">
        <v>8323</v>
      </c>
      <c r="AI2766" s="1077">
        <v>15.7</v>
      </c>
      <c r="AJ2766" s="1077">
        <v>0.21</v>
      </c>
      <c r="AK2766" s="1077">
        <v>0.55000000000000004</v>
      </c>
      <c r="AM2766" s="1078" t="s">
        <v>14444</v>
      </c>
      <c r="AN2766" s="1078" t="s">
        <v>14445</v>
      </c>
      <c r="AO2766" s="1078">
        <f t="shared" si="350"/>
        <v>450</v>
      </c>
      <c r="AP2766" s="1078">
        <f t="shared" si="351"/>
        <v>1.79</v>
      </c>
      <c r="AQ2766" s="1078" t="str">
        <f t="shared" si="352"/>
        <v>1-5-1S87°Z+S</v>
      </c>
      <c r="AR2766" s="1078" t="str">
        <f t="shared" si="353"/>
        <v>30</v>
      </c>
      <c r="AS2766" s="1078" t="str">
        <f t="shared" si="354"/>
        <v>260/260/OFF</v>
      </c>
      <c r="AT2766" s="1078" t="str">
        <f t="shared" si="355"/>
        <v>1-5-1S87°Z+S</v>
      </c>
      <c r="AU2766" s="1078" t="s">
        <v>15547</v>
      </c>
      <c r="AV2766" s="1078" t="str">
        <f t="shared" si="348"/>
        <v>112.9.22</v>
      </c>
      <c r="AW2766" s="1344">
        <f t="shared" si="349"/>
        <v>45191</v>
      </c>
    </row>
    <row r="2767" spans="1:49">
      <c r="A2767" s="1077" t="s">
        <v>8324</v>
      </c>
      <c r="B2767" s="1077" t="s">
        <v>7894</v>
      </c>
      <c r="C2767" s="1077">
        <v>500</v>
      </c>
      <c r="D2767" s="1077">
        <v>1.78</v>
      </c>
      <c r="E2767" s="1077" t="s">
        <v>15116</v>
      </c>
      <c r="F2767" s="1077" t="s">
        <v>2234</v>
      </c>
      <c r="G2767" s="1077">
        <v>5</v>
      </c>
      <c r="H2767" s="1077" t="s">
        <v>1806</v>
      </c>
      <c r="I2767" s="1077" t="s">
        <v>6967</v>
      </c>
      <c r="J2767" s="1077">
        <v>3</v>
      </c>
      <c r="K2767" s="1077" t="s">
        <v>8325</v>
      </c>
      <c r="L2767" s="1077" t="s">
        <v>7896</v>
      </c>
      <c r="M2767" s="1077">
        <v>304</v>
      </c>
      <c r="N2767" s="1077" t="s">
        <v>945</v>
      </c>
      <c r="O2767" s="1077">
        <v>7.6000000000000005</v>
      </c>
      <c r="P2767" s="1077">
        <v>6.08</v>
      </c>
      <c r="Q2767" s="1077">
        <v>3.5</v>
      </c>
      <c r="R2767" s="1077">
        <v>21</v>
      </c>
      <c r="T2767" s="1077">
        <v>25</v>
      </c>
      <c r="U2767" s="1077">
        <v>4.2</v>
      </c>
      <c r="V2767" s="1077" t="s">
        <v>648</v>
      </c>
      <c r="W2767" s="1077">
        <v>110</v>
      </c>
      <c r="X2767" s="1077">
        <v>20</v>
      </c>
      <c r="Y2767" s="1077" t="s">
        <v>8326</v>
      </c>
      <c r="Z2767" s="1077" t="s">
        <v>648</v>
      </c>
      <c r="AA2767" s="1077" t="s">
        <v>8316</v>
      </c>
      <c r="AH2767" s="1077" t="s">
        <v>684</v>
      </c>
      <c r="AI2767" s="1077">
        <v>87.04</v>
      </c>
      <c r="AJ2767" s="1077">
        <v>1.08</v>
      </c>
      <c r="AK2767" s="1077">
        <v>-5.66</v>
      </c>
      <c r="AM2767" s="1078" t="s">
        <v>14446</v>
      </c>
      <c r="AN2767" s="1078" t="s">
        <v>14447</v>
      </c>
      <c r="AO2767" s="1078">
        <f t="shared" si="350"/>
        <v>500</v>
      </c>
      <c r="AP2767" s="1078">
        <f t="shared" si="351"/>
        <v>1.78</v>
      </c>
      <c r="AQ2767" s="1078" t="str">
        <f t="shared" si="352"/>
        <v>1-5-1S83°Z+S</v>
      </c>
      <c r="AR2767" s="1078" t="str">
        <f t="shared" si="353"/>
        <v>33.5</v>
      </c>
      <c r="AS2767" s="1078" t="str">
        <f t="shared" si="354"/>
        <v>280/280/OFF</v>
      </c>
      <c r="AT2767" s="1078" t="str">
        <f t="shared" si="355"/>
        <v>1-5-1S83°Z+S</v>
      </c>
      <c r="AU2767" s="1078" t="s">
        <v>15547</v>
      </c>
      <c r="AV2767" s="1078" t="str">
        <f t="shared" si="348"/>
        <v>112.9.25</v>
      </c>
      <c r="AW2767" s="1344">
        <f t="shared" si="349"/>
        <v>45194</v>
      </c>
    </row>
    <row r="2768" spans="1:49">
      <c r="A2768" s="1077" t="s">
        <v>8327</v>
      </c>
      <c r="B2768" s="1077" t="s">
        <v>714</v>
      </c>
      <c r="C2768" s="1077">
        <v>600</v>
      </c>
      <c r="D2768" s="1077">
        <v>1.77</v>
      </c>
      <c r="E2768" s="1077" t="s">
        <v>15121</v>
      </c>
      <c r="F2768" s="1077" t="s">
        <v>648</v>
      </c>
      <c r="G2768" s="1077">
        <v>5</v>
      </c>
      <c r="H2768" s="1077" t="s">
        <v>8328</v>
      </c>
      <c r="I2768" s="1077" t="s">
        <v>6941</v>
      </c>
      <c r="J2768" s="1077">
        <v>3.7</v>
      </c>
      <c r="K2768" s="1077" t="s">
        <v>7715</v>
      </c>
      <c r="L2768" s="1077" t="s">
        <v>4666</v>
      </c>
      <c r="M2768" s="1077">
        <v>298.8</v>
      </c>
      <c r="N2768" s="1077" t="s">
        <v>945</v>
      </c>
      <c r="O2768" s="1077">
        <v>7.4700000000000006</v>
      </c>
      <c r="P2768" s="1077">
        <v>5.976</v>
      </c>
      <c r="Q2768" s="1077">
        <v>4</v>
      </c>
      <c r="R2768" s="1077">
        <v>20.5</v>
      </c>
      <c r="T2768" s="1077">
        <v>21</v>
      </c>
      <c r="U2768" s="1077">
        <v>3.5</v>
      </c>
      <c r="V2768" s="1077" t="s">
        <v>648</v>
      </c>
      <c r="W2768" s="1077">
        <v>30</v>
      </c>
      <c r="X2768" s="1077">
        <v>10</v>
      </c>
      <c r="Y2768" s="1077">
        <v>1.2</v>
      </c>
      <c r="Z2768" s="1077" t="s">
        <v>648</v>
      </c>
      <c r="AA2768" s="1077" t="s">
        <v>8329</v>
      </c>
      <c r="AH2768" s="1077" t="s">
        <v>782</v>
      </c>
      <c r="AI2768" s="1077">
        <v>94.92</v>
      </c>
      <c r="AJ2768" s="1077">
        <v>-0.62</v>
      </c>
      <c r="AK2768" s="1077">
        <v>1.68</v>
      </c>
      <c r="AM2768" s="1078" t="s">
        <v>14448</v>
      </c>
      <c r="AN2768" s="1078" t="s">
        <v>14449</v>
      </c>
      <c r="AO2768" s="1078">
        <f t="shared" si="350"/>
        <v>600</v>
      </c>
      <c r="AP2768" s="1078">
        <f t="shared" si="351"/>
        <v>1.77</v>
      </c>
      <c r="AQ2768" s="1078" t="str">
        <f t="shared" si="352"/>
        <v>1-5-1S85°S+Z</v>
      </c>
      <c r="AR2768" s="1078" t="str">
        <f t="shared" si="353"/>
        <v>NA</v>
      </c>
      <c r="AS2768" s="1078" t="str">
        <f t="shared" si="354"/>
        <v>176/170</v>
      </c>
      <c r="AT2768" s="1078" t="str">
        <f t="shared" si="355"/>
        <v>1-5-1S85°S+Z</v>
      </c>
      <c r="AU2768" s="1078" t="s">
        <v>15550</v>
      </c>
      <c r="AV2768" s="1078" t="str">
        <f t="shared" si="348"/>
        <v>112.9.26</v>
      </c>
      <c r="AW2768" s="1344">
        <f t="shared" si="349"/>
        <v>45195</v>
      </c>
    </row>
    <row r="2769" spans="1:49">
      <c r="A2769" s="1077" t="s">
        <v>8330</v>
      </c>
      <c r="B2769" s="1077" t="s">
        <v>7068</v>
      </c>
      <c r="C2769" s="1077">
        <v>450</v>
      </c>
      <c r="D2769" s="1077">
        <v>1.79</v>
      </c>
      <c r="E2769" s="1077" t="s">
        <v>15112</v>
      </c>
      <c r="F2769" s="1077" t="s">
        <v>975</v>
      </c>
      <c r="G2769" s="1077">
        <v>5</v>
      </c>
      <c r="H2769" s="1077" t="s">
        <v>1806</v>
      </c>
      <c r="I2769" s="1077" t="s">
        <v>7095</v>
      </c>
      <c r="K2769" s="1077" t="s">
        <v>8141</v>
      </c>
      <c r="L2769" s="1077" t="s">
        <v>5037</v>
      </c>
      <c r="M2769" s="1077">
        <v>293.2</v>
      </c>
      <c r="N2769" s="1077" t="s">
        <v>945</v>
      </c>
      <c r="O2769" s="1077">
        <v>7.33</v>
      </c>
      <c r="P2769" s="1077">
        <v>5.8639999999999999</v>
      </c>
      <c r="Q2769" s="1077">
        <v>3.5</v>
      </c>
      <c r="R2769" s="1077">
        <v>21</v>
      </c>
      <c r="T2769" s="1077">
        <v>25</v>
      </c>
      <c r="U2769" s="1077">
        <v>4.2</v>
      </c>
      <c r="V2769" s="1077" t="s">
        <v>648</v>
      </c>
      <c r="W2769" s="1077">
        <v>110</v>
      </c>
      <c r="X2769" s="1077">
        <v>20</v>
      </c>
      <c r="Y2769" s="1077">
        <v>1.6</v>
      </c>
      <c r="Z2769" s="1077" t="s">
        <v>648</v>
      </c>
      <c r="AA2769" s="1077" t="s">
        <v>8331</v>
      </c>
      <c r="AH2769" s="1077" t="s">
        <v>468</v>
      </c>
      <c r="AI2769" s="1077">
        <v>14.84</v>
      </c>
      <c r="AJ2769" s="1077">
        <v>-0.09</v>
      </c>
      <c r="AK2769" s="1077">
        <v>0.42</v>
      </c>
      <c r="AM2769" s="1078" t="s">
        <v>14450</v>
      </c>
      <c r="AN2769" s="1078" t="s">
        <v>14451</v>
      </c>
      <c r="AO2769" s="1078">
        <f t="shared" si="350"/>
        <v>450</v>
      </c>
      <c r="AP2769" s="1078">
        <f t="shared" si="351"/>
        <v>1.79</v>
      </c>
      <c r="AQ2769" s="1078" t="str">
        <f t="shared" si="352"/>
        <v>1-5-1S87°Z+S</v>
      </c>
      <c r="AR2769" s="1078" t="str">
        <f t="shared" si="353"/>
        <v>31.5</v>
      </c>
      <c r="AS2769" s="1078" t="str">
        <f t="shared" si="354"/>
        <v>280/280/OFF</v>
      </c>
      <c r="AT2769" s="1078" t="str">
        <f t="shared" si="355"/>
        <v>1-5-1S87°Z+S</v>
      </c>
      <c r="AU2769" s="1078" t="s">
        <v>15547</v>
      </c>
      <c r="AV2769" s="1078" t="str">
        <f t="shared" si="348"/>
        <v>112.10.5</v>
      </c>
      <c r="AW2769" s="1344">
        <f t="shared" si="349"/>
        <v>45204</v>
      </c>
    </row>
    <row r="2770" spans="1:49">
      <c r="A2770" s="1077" t="s">
        <v>8332</v>
      </c>
      <c r="B2770" s="1077" t="s">
        <v>775</v>
      </c>
      <c r="C2770" s="1077">
        <v>600</v>
      </c>
      <c r="D2770" s="1077">
        <v>1.8</v>
      </c>
      <c r="E2770" s="1077" t="s">
        <v>15116</v>
      </c>
      <c r="F2770" s="1077" t="s">
        <v>2234</v>
      </c>
      <c r="G2770" s="1077">
        <v>4</v>
      </c>
      <c r="H2770" s="1077" t="s">
        <v>6902</v>
      </c>
      <c r="I2770" s="1077" t="s">
        <v>6903</v>
      </c>
      <c r="K2770" s="1077" t="s">
        <v>7722</v>
      </c>
      <c r="L2770" s="1077" t="s">
        <v>6933</v>
      </c>
      <c r="M2770" s="1077">
        <v>302</v>
      </c>
      <c r="N2770" s="1077" t="s">
        <v>945</v>
      </c>
      <c r="O2770" s="1077">
        <v>7.5500000000000007</v>
      </c>
      <c r="P2770" s="1077">
        <v>6.04</v>
      </c>
      <c r="Q2770" s="1077">
        <v>3.5</v>
      </c>
      <c r="R2770" s="1077">
        <v>27.3</v>
      </c>
      <c r="T2770" s="1077">
        <v>13.3</v>
      </c>
      <c r="U2770" s="1077">
        <v>2.2999999999999998</v>
      </c>
      <c r="V2770" s="1077" t="s">
        <v>648</v>
      </c>
      <c r="W2770" s="1077" t="s">
        <v>4947</v>
      </c>
      <c r="X2770" s="1077">
        <v>10</v>
      </c>
      <c r="Y2770" s="1077">
        <v>1.6</v>
      </c>
      <c r="Z2770" s="1077" t="s">
        <v>648</v>
      </c>
      <c r="AA2770" s="1077" t="s">
        <v>8333</v>
      </c>
      <c r="AH2770" s="1077" t="s">
        <v>722</v>
      </c>
      <c r="AI2770" s="1077">
        <v>58.04</v>
      </c>
      <c r="AJ2770" s="1077">
        <v>1.33</v>
      </c>
      <c r="AK2770" s="1077">
        <v>10.09</v>
      </c>
      <c r="AM2770" s="1078" t="s">
        <v>14452</v>
      </c>
      <c r="AN2770" s="1078" t="s">
        <v>14453</v>
      </c>
      <c r="AO2770" s="1078">
        <f t="shared" si="350"/>
        <v>600</v>
      </c>
      <c r="AP2770" s="1078">
        <f t="shared" si="351"/>
        <v>1.8</v>
      </c>
      <c r="AQ2770" s="1078" t="str">
        <f t="shared" si="352"/>
        <v>1-5-1S83°Z+S</v>
      </c>
      <c r="AR2770" s="1078" t="str">
        <f t="shared" si="353"/>
        <v>33.5</v>
      </c>
      <c r="AS2770" s="1078" t="str">
        <f t="shared" si="354"/>
        <v>310/310/190</v>
      </c>
      <c r="AT2770" s="1078" t="str">
        <f t="shared" si="355"/>
        <v>1-5-1S83°Z+S</v>
      </c>
      <c r="AU2770" s="1078" t="s">
        <v>15547</v>
      </c>
      <c r="AV2770" s="1078" t="str">
        <f t="shared" si="348"/>
        <v>112.10.3</v>
      </c>
      <c r="AW2770" s="1344">
        <f t="shared" si="349"/>
        <v>45202</v>
      </c>
    </row>
    <row r="2771" spans="1:49">
      <c r="A2771" s="1077" t="s">
        <v>8334</v>
      </c>
      <c r="B2771" s="1077" t="s">
        <v>8335</v>
      </c>
      <c r="C2771" s="1077">
        <v>600</v>
      </c>
      <c r="D2771" s="1077">
        <v>1.74</v>
      </c>
      <c r="E2771" s="1077" t="s">
        <v>15116</v>
      </c>
      <c r="F2771" s="1077" t="s">
        <v>2234</v>
      </c>
      <c r="G2771" s="1077">
        <v>5</v>
      </c>
      <c r="H2771" s="1077" t="s">
        <v>8336</v>
      </c>
      <c r="I2771" s="1077" t="s">
        <v>6878</v>
      </c>
      <c r="K2771" s="1077" t="s">
        <v>8337</v>
      </c>
      <c r="L2771" s="1077" t="s">
        <v>5787</v>
      </c>
      <c r="M2771" s="1077">
        <v>312</v>
      </c>
      <c r="N2771" s="1077" t="s">
        <v>945</v>
      </c>
      <c r="O2771" s="1077">
        <v>7.8000000000000007</v>
      </c>
      <c r="P2771" s="1077">
        <v>6.24</v>
      </c>
      <c r="Q2771" s="1077">
        <v>3.5</v>
      </c>
      <c r="R2771" s="1077">
        <v>20</v>
      </c>
      <c r="T2771" s="1077">
        <v>30</v>
      </c>
      <c r="U2771" s="1077">
        <v>3.8</v>
      </c>
      <c r="V2771" s="1077" t="s">
        <v>648</v>
      </c>
      <c r="W2771" s="1077">
        <v>100</v>
      </c>
      <c r="X2771" s="1077">
        <v>40</v>
      </c>
      <c r="Y2771" s="1077">
        <v>1.2</v>
      </c>
      <c r="Z2771" s="1077" t="s">
        <v>648</v>
      </c>
      <c r="AA2771" s="1077" t="s">
        <v>8333</v>
      </c>
      <c r="AH2771" s="1077" t="s">
        <v>1482</v>
      </c>
      <c r="AI2771" s="1077">
        <v>94.39</v>
      </c>
      <c r="AJ2771" s="1077">
        <v>-0.47</v>
      </c>
      <c r="AK2771" s="1077">
        <v>2.31</v>
      </c>
      <c r="AM2771" s="1078" t="s">
        <v>14454</v>
      </c>
      <c r="AN2771" s="1078" t="s">
        <v>9426</v>
      </c>
      <c r="AO2771" s="1078">
        <f t="shared" si="350"/>
        <v>600</v>
      </c>
      <c r="AP2771" s="1078">
        <f t="shared" si="351"/>
        <v>1.74</v>
      </c>
      <c r="AQ2771" s="1078" t="str">
        <f t="shared" si="352"/>
        <v>1-5-1S83°Z+S</v>
      </c>
      <c r="AR2771" s="1078" t="str">
        <f t="shared" si="353"/>
        <v>33.5</v>
      </c>
      <c r="AS2771" s="1078" t="str">
        <f t="shared" si="354"/>
        <v>350/350/OFF</v>
      </c>
      <c r="AT2771" s="1078" t="str">
        <f t="shared" si="355"/>
        <v>1-5-1S83°Z+S</v>
      </c>
      <c r="AU2771" s="1078" t="s">
        <v>15547</v>
      </c>
      <c r="AV2771" s="1078" t="str">
        <f t="shared" si="348"/>
        <v>112.10.3</v>
      </c>
      <c r="AW2771" s="1344">
        <f t="shared" si="349"/>
        <v>45202</v>
      </c>
    </row>
    <row r="2772" spans="1:49">
      <c r="A2772" s="1077" t="s">
        <v>8338</v>
      </c>
      <c r="B2772" s="1077" t="s">
        <v>717</v>
      </c>
      <c r="C2772" s="1077">
        <v>600</v>
      </c>
      <c r="D2772" s="1077">
        <v>1.7350000000000001</v>
      </c>
      <c r="E2772" s="1077" t="s">
        <v>15112</v>
      </c>
      <c r="F2772" s="1077" t="s">
        <v>1469</v>
      </c>
      <c r="G2772" s="1077">
        <v>4</v>
      </c>
      <c r="H2772" s="1077" t="s">
        <v>6902</v>
      </c>
      <c r="I2772" s="1077" t="s">
        <v>6918</v>
      </c>
      <c r="K2772" s="1077" t="s">
        <v>8339</v>
      </c>
      <c r="L2772" s="1077" t="s">
        <v>6920</v>
      </c>
      <c r="M2772" s="1077">
        <v>303.5</v>
      </c>
      <c r="N2772" s="1077" t="s">
        <v>945</v>
      </c>
      <c r="O2772" s="1077">
        <v>7.5875000000000004</v>
      </c>
      <c r="P2772" s="1077">
        <v>6.07</v>
      </c>
      <c r="Q2772" s="1077">
        <v>3.5</v>
      </c>
      <c r="R2772" s="1077">
        <v>27.9</v>
      </c>
      <c r="T2772" s="1077">
        <v>13.5</v>
      </c>
      <c r="U2772" s="1077">
        <v>2.5</v>
      </c>
      <c r="V2772" s="1077" t="s">
        <v>648</v>
      </c>
      <c r="W2772" s="1077">
        <v>90</v>
      </c>
      <c r="X2772" s="1077">
        <v>10</v>
      </c>
      <c r="Y2772" s="1077">
        <v>1.6</v>
      </c>
      <c r="Z2772" s="1077" t="s">
        <v>648</v>
      </c>
      <c r="AA2772" s="1077" t="s">
        <v>3761</v>
      </c>
      <c r="AH2772" s="1077" t="s">
        <v>619</v>
      </c>
      <c r="AI2772" s="1077">
        <v>73.12</v>
      </c>
      <c r="AJ2772" s="1077">
        <v>0.27</v>
      </c>
      <c r="AK2772" s="1077">
        <v>6.15</v>
      </c>
      <c r="AM2772" s="1078" t="s">
        <v>14455</v>
      </c>
      <c r="AN2772" s="1078" t="s">
        <v>14456</v>
      </c>
      <c r="AO2772" s="1078">
        <f t="shared" si="350"/>
        <v>600</v>
      </c>
      <c r="AP2772" s="1078">
        <f t="shared" si="351"/>
        <v>1.7350000000000001</v>
      </c>
      <c r="AQ2772" s="1078" t="str">
        <f t="shared" si="352"/>
        <v>1-5-1S87°Z+S</v>
      </c>
      <c r="AR2772" s="1078" t="str">
        <f t="shared" si="353"/>
        <v>30.5</v>
      </c>
      <c r="AS2772" s="1078" t="str">
        <f t="shared" si="354"/>
        <v>310/310/190</v>
      </c>
      <c r="AT2772" s="1078" t="str">
        <f t="shared" si="355"/>
        <v>1-5-1S87°Z+S</v>
      </c>
      <c r="AU2772" s="1078" t="s">
        <v>15547</v>
      </c>
      <c r="AV2772" s="1078" t="str">
        <f t="shared" si="348"/>
        <v>112.10.6</v>
      </c>
      <c r="AW2772" s="1344">
        <f t="shared" si="349"/>
        <v>45205</v>
      </c>
    </row>
    <row r="2773" spans="1:49">
      <c r="A2773" s="1077" t="s">
        <v>8340</v>
      </c>
      <c r="B2773" s="1077" t="s">
        <v>7214</v>
      </c>
      <c r="C2773" s="1077">
        <v>500</v>
      </c>
      <c r="D2773" s="1077">
        <v>1.7549999999999999</v>
      </c>
      <c r="E2773" s="1077" t="s">
        <v>15109</v>
      </c>
      <c r="F2773" s="1077" t="s">
        <v>648</v>
      </c>
      <c r="G2773" s="1077">
        <v>5</v>
      </c>
      <c r="H2773" s="1077" t="s">
        <v>941</v>
      </c>
      <c r="I2773" s="1077" t="s">
        <v>6929</v>
      </c>
      <c r="J2773" s="1077">
        <v>3</v>
      </c>
      <c r="K2773" s="1077" t="s">
        <v>8200</v>
      </c>
      <c r="L2773" s="1077" t="s">
        <v>6043</v>
      </c>
      <c r="M2773" s="1077">
        <v>302.8</v>
      </c>
      <c r="N2773" s="1077" t="s">
        <v>945</v>
      </c>
      <c r="O2773" s="1077">
        <v>7.57</v>
      </c>
      <c r="P2773" s="1077">
        <v>6.056</v>
      </c>
      <c r="Q2773" s="1077">
        <v>4</v>
      </c>
      <c r="R2773" s="1077">
        <v>22</v>
      </c>
      <c r="T2773" s="1077">
        <v>27</v>
      </c>
      <c r="U2773" s="1077">
        <v>3.5</v>
      </c>
      <c r="V2773" s="1077" t="s">
        <v>648</v>
      </c>
      <c r="W2773" s="1077">
        <v>135</v>
      </c>
      <c r="X2773" s="1077">
        <v>90</v>
      </c>
      <c r="Y2773" s="1077">
        <v>1.4</v>
      </c>
      <c r="Z2773" s="1077" t="s">
        <v>648</v>
      </c>
      <c r="AA2773" s="1077" t="s">
        <v>8341</v>
      </c>
      <c r="AH2773" s="1077" t="s">
        <v>948</v>
      </c>
      <c r="AI2773" s="1077">
        <v>94.88</v>
      </c>
      <c r="AJ2773" s="1077">
        <v>-0.68</v>
      </c>
      <c r="AK2773" s="1077">
        <v>1.72</v>
      </c>
      <c r="AM2773" s="1078" t="s">
        <v>14457</v>
      </c>
      <c r="AN2773" s="1078" t="s">
        <v>14458</v>
      </c>
      <c r="AO2773" s="1078">
        <f t="shared" si="350"/>
        <v>500</v>
      </c>
      <c r="AP2773" s="1078">
        <f t="shared" si="351"/>
        <v>1.7549999999999999</v>
      </c>
      <c r="AQ2773" s="1078" t="str">
        <f t="shared" si="352"/>
        <v>1-5-1S85°Z+S</v>
      </c>
      <c r="AR2773" s="1078" t="str">
        <f t="shared" si="353"/>
        <v>NA</v>
      </c>
      <c r="AS2773" s="1078" t="str">
        <f t="shared" si="354"/>
        <v>185/OFF</v>
      </c>
      <c r="AT2773" s="1078" t="str">
        <f t="shared" si="355"/>
        <v>1-5-1S85°Z+S</v>
      </c>
      <c r="AU2773" s="1078" t="s">
        <v>15547</v>
      </c>
      <c r="AV2773" s="1078" t="str">
        <f t="shared" si="348"/>
        <v>112.10.8</v>
      </c>
      <c r="AW2773" s="1344">
        <f t="shared" si="349"/>
        <v>45207</v>
      </c>
    </row>
    <row r="2774" spans="1:49">
      <c r="A2774" s="1077" t="s">
        <v>8342</v>
      </c>
      <c r="B2774" s="1077" t="s">
        <v>663</v>
      </c>
      <c r="C2774" s="1077">
        <v>550</v>
      </c>
      <c r="D2774" s="1077">
        <v>1.7949999999999999</v>
      </c>
      <c r="E2774" s="1077" t="s">
        <v>15122</v>
      </c>
      <c r="F2774" s="1077" t="s">
        <v>954</v>
      </c>
      <c r="G2774" s="1077">
        <v>5</v>
      </c>
      <c r="H2774" s="1077" t="s">
        <v>7811</v>
      </c>
      <c r="I2774" s="1077" t="s">
        <v>6988</v>
      </c>
      <c r="K2774" s="1077" t="s">
        <v>8343</v>
      </c>
      <c r="L2774" s="1077" t="s">
        <v>6238</v>
      </c>
      <c r="M2774" s="1077">
        <v>296.39999999999998</v>
      </c>
      <c r="N2774" s="1077" t="s">
        <v>945</v>
      </c>
      <c r="O2774" s="1077">
        <v>7.41</v>
      </c>
      <c r="P2774" s="1077">
        <v>5.9279999999999999</v>
      </c>
      <c r="Q2774" s="1077">
        <v>3.5</v>
      </c>
      <c r="R2774" s="1077">
        <v>20</v>
      </c>
      <c r="T2774" s="1077">
        <v>14.7</v>
      </c>
      <c r="U2774" s="1077">
        <v>5.5</v>
      </c>
      <c r="V2774" s="1077" t="s">
        <v>648</v>
      </c>
      <c r="W2774" s="1077" t="s">
        <v>2816</v>
      </c>
      <c r="X2774" s="1077">
        <v>10</v>
      </c>
      <c r="Y2774" s="1077">
        <v>1.1000000000000001</v>
      </c>
      <c r="Z2774" s="1077" t="s">
        <v>648</v>
      </c>
      <c r="AA2774" s="1077" t="s">
        <v>1625</v>
      </c>
      <c r="AB2774" s="1077" t="s">
        <v>8344</v>
      </c>
      <c r="AH2774" s="1077" t="s">
        <v>758</v>
      </c>
      <c r="AI2774" s="1077">
        <v>91.44</v>
      </c>
      <c r="AJ2774" s="1077">
        <v>-1.19</v>
      </c>
      <c r="AK2774" s="1077">
        <v>5.79</v>
      </c>
      <c r="AM2774" s="1078" t="s">
        <v>14459</v>
      </c>
      <c r="AN2774" s="1078" t="s">
        <v>14460</v>
      </c>
      <c r="AO2774" s="1078">
        <f t="shared" si="350"/>
        <v>550</v>
      </c>
      <c r="AP2774" s="1078">
        <f t="shared" si="351"/>
        <v>1.7949999999999999</v>
      </c>
      <c r="AQ2774" s="1078" t="str">
        <f t="shared" si="352"/>
        <v>1-5-1S91°Z+S</v>
      </c>
      <c r="AR2774" s="1078" t="str">
        <f t="shared" si="353"/>
        <v>31</v>
      </c>
      <c r="AS2774" s="1078" t="str">
        <f t="shared" si="354"/>
        <v>285/285/155</v>
      </c>
      <c r="AT2774" s="1078" t="str">
        <f t="shared" si="355"/>
        <v>1-5-1S91°Z+S</v>
      </c>
      <c r="AU2774" s="1078" t="s">
        <v>15547</v>
      </c>
      <c r="AV2774" s="1078" t="str">
        <f t="shared" si="348"/>
        <v>112.10.19</v>
      </c>
      <c r="AW2774" s="1344">
        <f t="shared" si="349"/>
        <v>45218</v>
      </c>
    </row>
    <row r="2775" spans="1:49">
      <c r="A2775" s="1077" t="s">
        <v>8345</v>
      </c>
      <c r="B2775" s="1077" t="s">
        <v>8346</v>
      </c>
      <c r="C2775" s="1077">
        <v>600</v>
      </c>
      <c r="D2775" s="1077">
        <v>1.76</v>
      </c>
      <c r="E2775" s="1077" t="s">
        <v>15116</v>
      </c>
      <c r="F2775" s="1077" t="s">
        <v>2234</v>
      </c>
      <c r="G2775" s="1077">
        <v>5</v>
      </c>
      <c r="H2775" s="1077" t="s">
        <v>6116</v>
      </c>
      <c r="I2775" s="1077" t="s">
        <v>6918</v>
      </c>
      <c r="J2775" s="1077">
        <v>3</v>
      </c>
      <c r="K2775" s="1077" t="s">
        <v>8347</v>
      </c>
      <c r="L2775" s="1077" t="s">
        <v>4702</v>
      </c>
      <c r="M2775" s="1077">
        <v>303</v>
      </c>
      <c r="N2775" s="1077" t="s">
        <v>945</v>
      </c>
      <c r="O2775" s="1077">
        <v>7.5750000000000002</v>
      </c>
      <c r="P2775" s="1077">
        <v>6.0600000000000005</v>
      </c>
      <c r="Q2775" s="1077">
        <v>4</v>
      </c>
      <c r="R2775" s="1077">
        <v>24</v>
      </c>
      <c r="T2775" s="1077">
        <v>22</v>
      </c>
      <c r="U2775" s="1077">
        <v>3.8</v>
      </c>
      <c r="V2775" s="1077" t="s">
        <v>648</v>
      </c>
      <c r="W2775" s="1077">
        <v>100</v>
      </c>
      <c r="X2775" s="1077">
        <v>40</v>
      </c>
      <c r="Y2775" s="1077">
        <v>1.2</v>
      </c>
      <c r="Z2775" s="1077" t="s">
        <v>648</v>
      </c>
      <c r="AA2775" s="1077" t="s">
        <v>6331</v>
      </c>
      <c r="AH2775" s="1077" t="s">
        <v>468</v>
      </c>
      <c r="AI2775" s="1077">
        <v>92.39</v>
      </c>
      <c r="AJ2775" s="1077">
        <v>-0.28999999999999998</v>
      </c>
      <c r="AK2775" s="1077">
        <v>3.33</v>
      </c>
      <c r="AM2775" s="1078" t="s">
        <v>14461</v>
      </c>
      <c r="AN2775" s="1078" t="s">
        <v>14462</v>
      </c>
      <c r="AO2775" s="1078">
        <f t="shared" si="350"/>
        <v>600</v>
      </c>
      <c r="AP2775" s="1078">
        <f t="shared" si="351"/>
        <v>1.76</v>
      </c>
      <c r="AQ2775" s="1078" t="str">
        <f t="shared" si="352"/>
        <v>1-5-1S83°Z+S</v>
      </c>
      <c r="AR2775" s="1078" t="str">
        <f t="shared" si="353"/>
        <v>33.5</v>
      </c>
      <c r="AS2775" s="1078" t="str">
        <f t="shared" si="354"/>
        <v>320/320/OFF</v>
      </c>
      <c r="AT2775" s="1078" t="str">
        <f t="shared" si="355"/>
        <v>1-5-1S83°Z+S</v>
      </c>
      <c r="AU2775" s="1078" t="s">
        <v>15547</v>
      </c>
      <c r="AV2775" s="1078" t="str">
        <f t="shared" si="348"/>
        <v>112.10.18</v>
      </c>
      <c r="AW2775" s="1344">
        <f t="shared" si="349"/>
        <v>45217</v>
      </c>
    </row>
    <row r="2776" spans="1:49">
      <c r="A2776" s="1077" t="s">
        <v>8348</v>
      </c>
      <c r="B2776" s="1077" t="s">
        <v>7894</v>
      </c>
      <c r="C2776" s="1077">
        <v>500</v>
      </c>
      <c r="D2776" s="1077">
        <v>1.78</v>
      </c>
      <c r="E2776" s="1077" t="s">
        <v>15116</v>
      </c>
      <c r="F2776" s="1077" t="s">
        <v>2234</v>
      </c>
      <c r="G2776" s="1077">
        <v>5</v>
      </c>
      <c r="H2776" s="1077" t="s">
        <v>1806</v>
      </c>
      <c r="I2776" s="1077" t="s">
        <v>6967</v>
      </c>
      <c r="J2776" s="1077">
        <v>3</v>
      </c>
      <c r="K2776" s="1077" t="s">
        <v>8325</v>
      </c>
      <c r="L2776" s="1077" t="s">
        <v>7896</v>
      </c>
      <c r="M2776" s="1077">
        <v>304</v>
      </c>
      <c r="N2776" s="1077" t="s">
        <v>945</v>
      </c>
      <c r="O2776" s="1077">
        <v>7.6000000000000005</v>
      </c>
      <c r="P2776" s="1077">
        <v>6.08</v>
      </c>
      <c r="Q2776" s="1077">
        <v>3.5</v>
      </c>
      <c r="R2776" s="1077">
        <v>21</v>
      </c>
      <c r="T2776" s="1077">
        <v>25</v>
      </c>
      <c r="U2776" s="1077">
        <v>4.2</v>
      </c>
      <c r="V2776" s="1077" t="s">
        <v>648</v>
      </c>
      <c r="W2776" s="1077">
        <v>110</v>
      </c>
      <c r="X2776" s="1077">
        <v>20</v>
      </c>
      <c r="Y2776" s="1077">
        <v>2.5</v>
      </c>
      <c r="Z2776" s="1077" t="s">
        <v>648</v>
      </c>
      <c r="AA2776" s="1077" t="s">
        <v>8349</v>
      </c>
      <c r="AH2776" s="1077" t="s">
        <v>619</v>
      </c>
      <c r="AI2776" s="1077" t="s">
        <v>1597</v>
      </c>
      <c r="AJ2776" s="1077" t="s">
        <v>1597</v>
      </c>
      <c r="AK2776" s="1077" t="s">
        <v>1597</v>
      </c>
      <c r="AM2776" s="1078" t="s">
        <v>14463</v>
      </c>
      <c r="AN2776" s="1078" t="s">
        <v>14464</v>
      </c>
      <c r="AO2776" s="1078">
        <f t="shared" si="350"/>
        <v>500</v>
      </c>
      <c r="AP2776" s="1078">
        <f t="shared" si="351"/>
        <v>1.78</v>
      </c>
      <c r="AQ2776" s="1078" t="str">
        <f t="shared" si="352"/>
        <v>1-5-1S83°Z+S</v>
      </c>
      <c r="AR2776" s="1078" t="str">
        <f t="shared" si="353"/>
        <v>33.5</v>
      </c>
      <c r="AS2776" s="1078" t="str">
        <f t="shared" si="354"/>
        <v>280/280/OFF</v>
      </c>
      <c r="AT2776" s="1078" t="str">
        <f t="shared" si="355"/>
        <v>1-5-1S83°Z+S</v>
      </c>
      <c r="AU2776" s="1078" t="s">
        <v>15547</v>
      </c>
      <c r="AV2776" s="1078" t="str">
        <f t="shared" si="348"/>
        <v>112.10.23</v>
      </c>
      <c r="AW2776" s="1344">
        <f t="shared" si="349"/>
        <v>45222</v>
      </c>
    </row>
    <row r="2777" spans="1:49">
      <c r="A2777" s="1077" t="s">
        <v>8350</v>
      </c>
      <c r="B2777" s="1077" t="s">
        <v>714</v>
      </c>
      <c r="C2777" s="1077">
        <v>650</v>
      </c>
      <c r="D2777" s="1077">
        <v>1.78</v>
      </c>
      <c r="E2777" s="1077" t="s">
        <v>15122</v>
      </c>
      <c r="F2777" s="1077" t="s">
        <v>984</v>
      </c>
      <c r="G2777" s="1077">
        <v>5</v>
      </c>
      <c r="H2777" s="1077" t="s">
        <v>8351</v>
      </c>
      <c r="I2777" s="1077" t="s">
        <v>7181</v>
      </c>
      <c r="J2777" s="1077">
        <v>3.7</v>
      </c>
      <c r="K2777" s="1077" t="s">
        <v>8352</v>
      </c>
      <c r="L2777" s="1077" t="s">
        <v>4666</v>
      </c>
      <c r="M2777" s="1077">
        <v>298.8</v>
      </c>
      <c r="N2777" s="1077" t="s">
        <v>945</v>
      </c>
      <c r="O2777" s="1077">
        <v>7.4700000000000006</v>
      </c>
      <c r="P2777" s="1077">
        <v>5.976</v>
      </c>
      <c r="Q2777" s="1077">
        <v>4</v>
      </c>
      <c r="R2777" s="1077">
        <v>20.5</v>
      </c>
      <c r="T2777" s="1077">
        <v>21</v>
      </c>
      <c r="U2777" s="1077">
        <v>3.5</v>
      </c>
      <c r="V2777" s="1077" t="s">
        <v>648</v>
      </c>
      <c r="W2777" s="1077">
        <v>30</v>
      </c>
      <c r="X2777" s="1077">
        <v>10</v>
      </c>
      <c r="Y2777" s="1077">
        <v>1.2</v>
      </c>
      <c r="Z2777" s="1077" t="s">
        <v>648</v>
      </c>
      <c r="AA2777" s="1077" t="s">
        <v>8353</v>
      </c>
      <c r="AH2777" s="1077" t="s">
        <v>483</v>
      </c>
      <c r="AI2777" s="1077">
        <v>95.48</v>
      </c>
      <c r="AJ2777" s="1077">
        <v>-0.22</v>
      </c>
      <c r="AK2777" s="1077">
        <v>1.07</v>
      </c>
      <c r="AM2777" s="1078" t="s">
        <v>14465</v>
      </c>
      <c r="AN2777" s="1078" t="s">
        <v>14466</v>
      </c>
      <c r="AO2777" s="1078">
        <f t="shared" si="350"/>
        <v>650</v>
      </c>
      <c r="AP2777" s="1078">
        <f t="shared" si="351"/>
        <v>1.78</v>
      </c>
      <c r="AQ2777" s="1078" t="str">
        <f t="shared" si="352"/>
        <v>1-5-1S91°Z+S</v>
      </c>
      <c r="AR2777" s="1078" t="str">
        <f t="shared" si="353"/>
        <v>30</v>
      </c>
      <c r="AS2777" s="1078" t="str">
        <f t="shared" si="354"/>
        <v>335/305/170</v>
      </c>
      <c r="AT2777" s="1078" t="str">
        <f t="shared" si="355"/>
        <v>1-5-1S91°Z+S</v>
      </c>
      <c r="AU2777" s="1078" t="s">
        <v>15547</v>
      </c>
      <c r="AV2777" s="1078" t="str">
        <f t="shared" si="348"/>
        <v>112.11.2</v>
      </c>
      <c r="AW2777" s="1344">
        <f t="shared" si="349"/>
        <v>45232</v>
      </c>
    </row>
    <row r="2778" spans="1:49">
      <c r="A2778" s="1077" t="s">
        <v>8354</v>
      </c>
      <c r="B2778" s="1077" t="s">
        <v>467</v>
      </c>
      <c r="C2778" s="1077" t="s">
        <v>8355</v>
      </c>
      <c r="D2778" s="1077">
        <v>1.7849999999999999</v>
      </c>
      <c r="E2778" s="1077" t="s">
        <v>15109</v>
      </c>
      <c r="F2778" s="1077" t="s">
        <v>648</v>
      </c>
      <c r="G2778" s="1077" t="s">
        <v>6865</v>
      </c>
      <c r="H2778" s="1077" t="s">
        <v>7522</v>
      </c>
      <c r="I2778" s="1077" t="s">
        <v>8356</v>
      </c>
      <c r="J2778" s="1077">
        <v>3.7</v>
      </c>
      <c r="K2778" s="1077" t="s">
        <v>7855</v>
      </c>
      <c r="L2778" s="1077" t="s">
        <v>4666</v>
      </c>
      <c r="M2778" s="1077">
        <v>295.10000000000002</v>
      </c>
      <c r="N2778" s="1077" t="s">
        <v>945</v>
      </c>
      <c r="O2778" s="1077">
        <v>7.3775000000000013</v>
      </c>
      <c r="P2778" s="1077">
        <v>5.9020000000000001</v>
      </c>
      <c r="Q2778" s="1077">
        <v>4</v>
      </c>
      <c r="R2778" s="1077">
        <v>17.399999999999999</v>
      </c>
      <c r="T2778" s="1077">
        <v>31</v>
      </c>
      <c r="U2778" s="1077">
        <v>3.5</v>
      </c>
      <c r="V2778" s="1077" t="s">
        <v>648</v>
      </c>
      <c r="W2778" s="1077" t="s">
        <v>6880</v>
      </c>
      <c r="X2778" s="1077">
        <v>40</v>
      </c>
      <c r="Y2778" s="1077">
        <v>1</v>
      </c>
      <c r="Z2778" s="1077" t="s">
        <v>648</v>
      </c>
      <c r="AA2778" s="1077" t="s">
        <v>8353</v>
      </c>
      <c r="AH2778" s="1077" t="s">
        <v>785</v>
      </c>
      <c r="AI2778" s="1077">
        <v>95.19</v>
      </c>
      <c r="AJ2778" s="1077">
        <v>-0.15</v>
      </c>
      <c r="AK2778" s="1077">
        <v>1.17</v>
      </c>
      <c r="AM2778" s="1078" t="s">
        <v>14467</v>
      </c>
      <c r="AN2778" s="1078" t="s">
        <v>14468</v>
      </c>
      <c r="AO2778" s="1078" t="str">
        <f t="shared" si="350"/>
        <v>750↓700-11/15</v>
      </c>
      <c r="AP2778" s="1078">
        <f t="shared" si="351"/>
        <v>1.7849999999999999</v>
      </c>
      <c r="AQ2778" s="1078" t="str">
        <f t="shared" si="352"/>
        <v>1-5-1S85°Z+S</v>
      </c>
      <c r="AR2778" s="1078" t="str">
        <f t="shared" si="353"/>
        <v>NA</v>
      </c>
      <c r="AS2778" s="1078" t="str">
        <f t="shared" si="354"/>
        <v>202/OFF</v>
      </c>
      <c r="AT2778" s="1078" t="str">
        <f t="shared" si="355"/>
        <v>1-5-1S85°Z+S</v>
      </c>
      <c r="AU2778" s="1078" t="s">
        <v>15547</v>
      </c>
      <c r="AV2778" s="1078" t="str">
        <f t="shared" si="348"/>
        <v>112.11.2</v>
      </c>
      <c r="AW2778" s="1344">
        <f t="shared" si="349"/>
        <v>45232</v>
      </c>
    </row>
    <row r="2779" spans="1:49">
      <c r="A2779" s="1077" t="s">
        <v>8357</v>
      </c>
      <c r="B2779" s="1077" t="s">
        <v>663</v>
      </c>
      <c r="C2779" s="1077">
        <v>600</v>
      </c>
      <c r="D2779" s="1077">
        <v>1.825</v>
      </c>
      <c r="E2779" s="1077" t="s">
        <v>15122</v>
      </c>
      <c r="F2779" s="1077" t="s">
        <v>954</v>
      </c>
      <c r="G2779" s="1077">
        <v>5.5</v>
      </c>
      <c r="H2779" s="1077" t="s">
        <v>7752</v>
      </c>
      <c r="I2779" s="1077" t="s">
        <v>7753</v>
      </c>
      <c r="K2779" s="1077" t="s">
        <v>8358</v>
      </c>
      <c r="L2779" s="1077" t="s">
        <v>6238</v>
      </c>
      <c r="M2779" s="1077">
        <v>296</v>
      </c>
      <c r="N2779" s="1077" t="s">
        <v>945</v>
      </c>
      <c r="O2779" s="1077">
        <v>7.4</v>
      </c>
      <c r="P2779" s="1077">
        <v>5.92</v>
      </c>
      <c r="Q2779" s="1077">
        <v>3</v>
      </c>
      <c r="R2779" s="1077">
        <v>17</v>
      </c>
      <c r="T2779" s="1077">
        <v>10.5</v>
      </c>
      <c r="U2779" s="1077">
        <v>6.1</v>
      </c>
      <c r="V2779" s="1077" t="s">
        <v>648</v>
      </c>
      <c r="W2779" s="1077">
        <v>110</v>
      </c>
      <c r="X2779" s="1077">
        <v>90</v>
      </c>
      <c r="Y2779" s="1077">
        <v>1.1000000000000001</v>
      </c>
      <c r="Z2779" s="1077" t="s">
        <v>648</v>
      </c>
      <c r="AA2779" s="1077" t="s">
        <v>6376</v>
      </c>
      <c r="AB2779" s="1077" t="s">
        <v>8302</v>
      </c>
      <c r="AH2779" s="1077" t="s">
        <v>877</v>
      </c>
      <c r="AI2779" s="1077">
        <v>88.8</v>
      </c>
      <c r="AJ2779" s="1077">
        <v>-1.45</v>
      </c>
      <c r="AK2779" s="1077">
        <v>5.66</v>
      </c>
      <c r="AM2779" s="1078" t="s">
        <v>14469</v>
      </c>
      <c r="AN2779" s="1078" t="s">
        <v>14470</v>
      </c>
      <c r="AO2779" s="1078">
        <f t="shared" si="350"/>
        <v>600</v>
      </c>
      <c r="AP2779" s="1078">
        <f t="shared" si="351"/>
        <v>1.825</v>
      </c>
      <c r="AQ2779" s="1078" t="str">
        <f t="shared" si="352"/>
        <v>1-5-1S91°Z+S</v>
      </c>
      <c r="AR2779" s="1078" t="str">
        <f t="shared" si="353"/>
        <v>31</v>
      </c>
      <c r="AS2779" s="1078" t="str">
        <f t="shared" si="354"/>
        <v>280/280/160</v>
      </c>
      <c r="AT2779" s="1078" t="str">
        <f t="shared" si="355"/>
        <v>1-5-1S91°Z+S</v>
      </c>
      <c r="AU2779" s="1078" t="s">
        <v>15547</v>
      </c>
      <c r="AV2779" s="1078" t="str">
        <f t="shared" si="348"/>
        <v>112.11.7</v>
      </c>
      <c r="AW2779" s="1344">
        <f t="shared" si="349"/>
        <v>45237</v>
      </c>
    </row>
    <row r="2780" spans="1:49">
      <c r="A2780" s="1077" t="s">
        <v>8359</v>
      </c>
      <c r="B2780" s="1077" t="s">
        <v>7055</v>
      </c>
      <c r="C2780" s="1077">
        <v>600</v>
      </c>
      <c r="D2780" s="1077">
        <v>1.75</v>
      </c>
      <c r="E2780" s="1077" t="s">
        <v>15122</v>
      </c>
      <c r="F2780" s="1077" t="s">
        <v>984</v>
      </c>
      <c r="G2780" s="1077">
        <v>5.5</v>
      </c>
      <c r="H2780" s="1077" t="s">
        <v>2876</v>
      </c>
      <c r="I2780" s="1077" t="s">
        <v>6909</v>
      </c>
      <c r="J2780" s="1077">
        <v>3</v>
      </c>
      <c r="K2780" s="1077" t="s">
        <v>8360</v>
      </c>
      <c r="L2780" s="1077" t="s">
        <v>4946</v>
      </c>
      <c r="M2780" s="1077">
        <v>296</v>
      </c>
      <c r="N2780" s="1077" t="s">
        <v>945</v>
      </c>
      <c r="O2780" s="1077">
        <v>7.4</v>
      </c>
      <c r="P2780" s="1077">
        <v>5.92</v>
      </c>
      <c r="Q2780" s="1077">
        <v>3</v>
      </c>
      <c r="R2780" s="1077">
        <v>27</v>
      </c>
      <c r="T2780" s="1077">
        <v>17.5</v>
      </c>
      <c r="U2780" s="1077">
        <v>6</v>
      </c>
      <c r="V2780" s="1077" t="s">
        <v>648</v>
      </c>
      <c r="W2780" s="1077">
        <v>90</v>
      </c>
      <c r="X2780" s="1077">
        <v>10</v>
      </c>
      <c r="Y2780" s="1077">
        <v>1.2</v>
      </c>
      <c r="Z2780" s="1077" t="s">
        <v>648</v>
      </c>
      <c r="AA2780" s="1077" t="s">
        <v>8178</v>
      </c>
      <c r="AH2780" s="1077" t="s">
        <v>619</v>
      </c>
      <c r="AI2780" s="1077">
        <v>94.55</v>
      </c>
      <c r="AJ2780" s="1077">
        <v>-1.1499999999999999</v>
      </c>
      <c r="AK2780" s="1077">
        <v>6.89</v>
      </c>
      <c r="AM2780" s="1078" t="s">
        <v>14471</v>
      </c>
      <c r="AN2780" s="1078" t="s">
        <v>14472</v>
      </c>
      <c r="AO2780" s="1078">
        <f t="shared" si="350"/>
        <v>600</v>
      </c>
      <c r="AP2780" s="1078">
        <f t="shared" si="351"/>
        <v>1.75</v>
      </c>
      <c r="AQ2780" s="1078" t="str">
        <f t="shared" si="352"/>
        <v>1-5-1S91°Z+S</v>
      </c>
      <c r="AR2780" s="1078" t="str">
        <f t="shared" si="353"/>
        <v>30</v>
      </c>
      <c r="AS2780" s="1078" t="str">
        <f t="shared" si="354"/>
        <v>290/290/OFF</v>
      </c>
      <c r="AT2780" s="1078" t="str">
        <f t="shared" si="355"/>
        <v>1-5-1S91°Z+S</v>
      </c>
      <c r="AU2780" s="1078" t="s">
        <v>15547</v>
      </c>
      <c r="AV2780" s="1078" t="str">
        <f t="shared" si="348"/>
        <v>111.11.24</v>
      </c>
      <c r="AW2780" s="1344">
        <f t="shared" si="349"/>
        <v>44889</v>
      </c>
    </row>
    <row r="2781" spans="1:49">
      <c r="A2781" s="1077" t="s">
        <v>8361</v>
      </c>
      <c r="B2781" s="1077" t="s">
        <v>7068</v>
      </c>
      <c r="C2781" s="1077">
        <v>450</v>
      </c>
      <c r="D2781" s="1077">
        <v>1.78</v>
      </c>
      <c r="E2781" s="1077" t="s">
        <v>15112</v>
      </c>
      <c r="F2781" s="1077" t="s">
        <v>975</v>
      </c>
      <c r="G2781" s="1077">
        <v>5</v>
      </c>
      <c r="H2781" s="1077" t="s">
        <v>1793</v>
      </c>
      <c r="I2781" s="1077" t="s">
        <v>7095</v>
      </c>
      <c r="K2781" s="1077" t="s">
        <v>7730</v>
      </c>
      <c r="L2781" s="1077" t="s">
        <v>5037</v>
      </c>
      <c r="M2781" s="1077">
        <v>293.2</v>
      </c>
      <c r="N2781" s="1077" t="s">
        <v>945</v>
      </c>
      <c r="O2781" s="1077">
        <v>7.33</v>
      </c>
      <c r="P2781" s="1077">
        <v>5.8639999999999999</v>
      </c>
      <c r="Q2781" s="1077">
        <v>3.5</v>
      </c>
      <c r="R2781" s="1077">
        <v>21</v>
      </c>
      <c r="T2781" s="1077">
        <v>25</v>
      </c>
      <c r="U2781" s="1077">
        <v>4.2</v>
      </c>
      <c r="V2781" s="1077" t="s">
        <v>648</v>
      </c>
      <c r="W2781" s="1077">
        <v>110</v>
      </c>
      <c r="X2781" s="1077">
        <v>20</v>
      </c>
      <c r="Y2781" s="1077">
        <v>1.6</v>
      </c>
      <c r="Z2781" s="1077" t="s">
        <v>648</v>
      </c>
      <c r="AA2781" s="1077" t="s">
        <v>6385</v>
      </c>
      <c r="AH2781" s="1077" t="s">
        <v>1588</v>
      </c>
      <c r="AI2781" s="1077">
        <v>14.51</v>
      </c>
      <c r="AJ2781" s="1077">
        <v>0.12</v>
      </c>
      <c r="AK2781" s="1077">
        <v>0.51</v>
      </c>
      <c r="AM2781" s="1078" t="s">
        <v>14473</v>
      </c>
      <c r="AN2781" s="1078" t="s">
        <v>14474</v>
      </c>
      <c r="AO2781" s="1078">
        <f t="shared" si="350"/>
        <v>450</v>
      </c>
      <c r="AP2781" s="1078">
        <f t="shared" si="351"/>
        <v>1.78</v>
      </c>
      <c r="AQ2781" s="1078" t="str">
        <f t="shared" si="352"/>
        <v>1-5-1S87°Z+S</v>
      </c>
      <c r="AR2781" s="1078" t="str">
        <f t="shared" si="353"/>
        <v>31.5</v>
      </c>
      <c r="AS2781" s="1078" t="str">
        <f t="shared" si="354"/>
        <v>270/270/OFF</v>
      </c>
      <c r="AT2781" s="1078" t="str">
        <f t="shared" si="355"/>
        <v>1-5-1S87°Z+S</v>
      </c>
      <c r="AU2781" s="1078" t="s">
        <v>15547</v>
      </c>
      <c r="AV2781" s="1078" t="str">
        <f t="shared" si="348"/>
        <v>112.11.23</v>
      </c>
      <c r="AW2781" s="1344">
        <f t="shared" si="349"/>
        <v>45253</v>
      </c>
    </row>
    <row r="2782" spans="1:49">
      <c r="A2782" s="1077" t="s">
        <v>8362</v>
      </c>
      <c r="B2782" s="1077" t="s">
        <v>7894</v>
      </c>
      <c r="C2782" s="1077">
        <v>600</v>
      </c>
      <c r="D2782" s="1077">
        <v>1.7949999999999999</v>
      </c>
      <c r="E2782" s="1077" t="s">
        <v>15116</v>
      </c>
      <c r="F2782" s="1077" t="s">
        <v>2234</v>
      </c>
      <c r="G2782" s="1077">
        <v>5</v>
      </c>
      <c r="H2782" s="1077" t="s">
        <v>2708</v>
      </c>
      <c r="I2782" s="1077" t="s">
        <v>7864</v>
      </c>
      <c r="J2782" s="1077">
        <v>3</v>
      </c>
      <c r="K2782" s="1077" t="s">
        <v>8363</v>
      </c>
      <c r="L2782" s="1077" t="s">
        <v>7896</v>
      </c>
      <c r="M2782" s="1077">
        <v>304</v>
      </c>
      <c r="N2782" s="1077" t="s">
        <v>945</v>
      </c>
      <c r="O2782" s="1077">
        <v>7.6000000000000005</v>
      </c>
      <c r="P2782" s="1077">
        <v>6.08</v>
      </c>
      <c r="Q2782" s="1077">
        <v>3.5</v>
      </c>
      <c r="R2782" s="1077">
        <v>21</v>
      </c>
      <c r="T2782" s="1077">
        <v>25</v>
      </c>
      <c r="U2782" s="1077">
        <v>4.2</v>
      </c>
      <c r="V2782" s="1077" t="s">
        <v>648</v>
      </c>
      <c r="W2782" s="1077">
        <v>110</v>
      </c>
      <c r="X2782" s="1077">
        <v>20</v>
      </c>
      <c r="Y2782" s="1077">
        <v>2.5</v>
      </c>
      <c r="Z2782" s="1077" t="s">
        <v>648</v>
      </c>
      <c r="AA2782" s="1077" t="s">
        <v>8364</v>
      </c>
      <c r="AH2782" s="1077" t="s">
        <v>767</v>
      </c>
      <c r="AI2782" s="1077">
        <v>86.99</v>
      </c>
      <c r="AJ2782" s="1077">
        <v>1.35</v>
      </c>
      <c r="AK2782" s="1077">
        <v>-5.5</v>
      </c>
      <c r="AM2782" s="1078" t="s">
        <v>14475</v>
      </c>
      <c r="AN2782" s="1078" t="s">
        <v>14476</v>
      </c>
      <c r="AO2782" s="1078">
        <f t="shared" si="350"/>
        <v>600</v>
      </c>
      <c r="AP2782" s="1078">
        <f t="shared" si="351"/>
        <v>1.7949999999999999</v>
      </c>
      <c r="AQ2782" s="1078" t="str">
        <f t="shared" si="352"/>
        <v>1-5-1S83°Z+S</v>
      </c>
      <c r="AR2782" s="1078" t="str">
        <f t="shared" si="353"/>
        <v>33.5</v>
      </c>
      <c r="AS2782" s="1078" t="str">
        <f t="shared" si="354"/>
        <v>295/295/OFF</v>
      </c>
      <c r="AT2782" s="1078" t="str">
        <f t="shared" si="355"/>
        <v>1-5-1S83°Z+S</v>
      </c>
      <c r="AU2782" s="1078" t="s">
        <v>15547</v>
      </c>
      <c r="AV2782" s="1078" t="str">
        <f t="shared" si="348"/>
        <v>112.11.28</v>
      </c>
      <c r="AW2782" s="1344">
        <f t="shared" si="349"/>
        <v>45258</v>
      </c>
    </row>
    <row r="2783" spans="1:49">
      <c r="A2783" s="1077" t="s">
        <v>8365</v>
      </c>
      <c r="B2783" s="1077" t="s">
        <v>7713</v>
      </c>
      <c r="C2783" s="1077" t="s">
        <v>8366</v>
      </c>
      <c r="D2783" s="1077">
        <v>1.7849999999999999</v>
      </c>
      <c r="E2783" s="1077" t="s">
        <v>15109</v>
      </c>
      <c r="F2783" s="1077" t="s">
        <v>648</v>
      </c>
      <c r="G2783" s="1077" t="s">
        <v>6865</v>
      </c>
      <c r="H2783" s="1077" t="s">
        <v>8367</v>
      </c>
      <c r="I2783" s="1077" t="s">
        <v>8368</v>
      </c>
      <c r="J2783" s="1077">
        <v>3.7</v>
      </c>
      <c r="K2783" s="1077" t="s">
        <v>7855</v>
      </c>
      <c r="L2783" s="1077" t="s">
        <v>4666</v>
      </c>
      <c r="M2783" s="1077">
        <v>295.10000000000002</v>
      </c>
      <c r="N2783" s="1077" t="s">
        <v>945</v>
      </c>
      <c r="O2783" s="1077">
        <v>7.3775000000000013</v>
      </c>
      <c r="P2783" s="1077">
        <v>5.9020000000000001</v>
      </c>
      <c r="Q2783" s="1077">
        <v>4</v>
      </c>
      <c r="R2783" s="1077">
        <v>17.399999999999999</v>
      </c>
      <c r="T2783" s="1077">
        <v>31</v>
      </c>
      <c r="U2783" s="1077">
        <v>3.5</v>
      </c>
      <c r="V2783" s="1077" t="s">
        <v>648</v>
      </c>
      <c r="W2783" s="1077" t="s">
        <v>6880</v>
      </c>
      <c r="X2783" s="1077">
        <v>40</v>
      </c>
      <c r="Y2783" s="1077">
        <v>1</v>
      </c>
      <c r="Z2783" s="1077" t="s">
        <v>648</v>
      </c>
      <c r="AA2783" s="1077" t="s">
        <v>6395</v>
      </c>
      <c r="AH2783" s="1077" t="s">
        <v>1417</v>
      </c>
      <c r="AI2783" s="1077">
        <v>95.09</v>
      </c>
      <c r="AJ2783" s="1077">
        <v>-0.44</v>
      </c>
      <c r="AK2783" s="1077">
        <v>1.43</v>
      </c>
      <c r="AM2783" s="1078" t="s">
        <v>14477</v>
      </c>
      <c r="AN2783" s="1078" t="s">
        <v>14478</v>
      </c>
      <c r="AO2783" s="1078" t="str">
        <f t="shared" si="350"/>
        <v>700↓650-4/2</v>
      </c>
      <c r="AP2783" s="1078">
        <f t="shared" si="351"/>
        <v>1.7849999999999999</v>
      </c>
      <c r="AQ2783" s="1078" t="str">
        <f t="shared" si="352"/>
        <v>1-5-1S85°Z+S</v>
      </c>
      <c r="AR2783" s="1078" t="str">
        <f t="shared" si="353"/>
        <v>NA</v>
      </c>
      <c r="AS2783" s="1078" t="str">
        <f t="shared" si="354"/>
        <v>199/OFF</v>
      </c>
      <c r="AT2783" s="1078" t="str">
        <f t="shared" si="355"/>
        <v>1-5-1S85°Z+S</v>
      </c>
      <c r="AU2783" s="1078" t="s">
        <v>15547</v>
      </c>
      <c r="AV2783" s="1078" t="str">
        <f t="shared" si="348"/>
        <v>112.11.30</v>
      </c>
      <c r="AW2783" s="1344">
        <f t="shared" si="349"/>
        <v>45260</v>
      </c>
    </row>
    <row r="2784" spans="1:49">
      <c r="A2784" s="1077" t="s">
        <v>8369</v>
      </c>
      <c r="B2784" s="1077" t="s">
        <v>7713</v>
      </c>
      <c r="C2784" s="1077">
        <v>700</v>
      </c>
      <c r="D2784" s="1077">
        <v>1.7649999999999999</v>
      </c>
      <c r="E2784" s="1077" t="s">
        <v>15109</v>
      </c>
      <c r="F2784" s="1077" t="s">
        <v>648</v>
      </c>
      <c r="G2784" s="1077" t="s">
        <v>6865</v>
      </c>
      <c r="H2784" s="1077" t="s">
        <v>8286</v>
      </c>
      <c r="I2784" s="1077" t="s">
        <v>6909</v>
      </c>
      <c r="J2784" s="1077">
        <v>3.7</v>
      </c>
      <c r="K2784" s="1077" t="s">
        <v>7855</v>
      </c>
      <c r="L2784" s="1077" t="s">
        <v>4666</v>
      </c>
      <c r="M2784" s="1077">
        <v>300.8</v>
      </c>
      <c r="N2784" s="1077" t="s">
        <v>945</v>
      </c>
      <c r="O2784" s="1077">
        <v>7.5200000000000005</v>
      </c>
      <c r="P2784" s="1077">
        <v>6.016</v>
      </c>
      <c r="Q2784" s="1077">
        <v>4</v>
      </c>
      <c r="R2784" s="1077">
        <v>17</v>
      </c>
      <c r="T2784" s="1077">
        <v>31.4</v>
      </c>
      <c r="U2784" s="1077">
        <v>3.6</v>
      </c>
      <c r="V2784" s="1077" t="s">
        <v>648</v>
      </c>
      <c r="W2784" s="1077">
        <v>65</v>
      </c>
      <c r="X2784" s="1077">
        <v>10</v>
      </c>
      <c r="Y2784" s="1077">
        <v>1.5</v>
      </c>
      <c r="Z2784" s="1077" t="s">
        <v>648</v>
      </c>
      <c r="AA2784" s="1077" t="s">
        <v>3849</v>
      </c>
      <c r="AH2784" s="1077" t="s">
        <v>1023</v>
      </c>
      <c r="AI2784" s="1077">
        <v>95.19</v>
      </c>
      <c r="AJ2784" s="1077">
        <v>-1.08</v>
      </c>
      <c r="AK2784" s="1077">
        <v>1.85</v>
      </c>
      <c r="AM2784" s="1078" t="s">
        <v>14479</v>
      </c>
      <c r="AN2784" s="1078" t="s">
        <v>14480</v>
      </c>
      <c r="AO2784" s="1078">
        <f t="shared" si="350"/>
        <v>700</v>
      </c>
      <c r="AP2784" s="1078">
        <f t="shared" si="351"/>
        <v>1.7649999999999999</v>
      </c>
      <c r="AQ2784" s="1078" t="str">
        <f t="shared" si="352"/>
        <v>1-5-1S85°Z+S</v>
      </c>
      <c r="AR2784" s="1078" t="str">
        <f t="shared" si="353"/>
        <v>NA</v>
      </c>
      <c r="AS2784" s="1078" t="str">
        <f t="shared" si="354"/>
        <v>198/OFF</v>
      </c>
      <c r="AT2784" s="1078" t="str">
        <f t="shared" si="355"/>
        <v>1-5-1S85°Z+S</v>
      </c>
      <c r="AU2784" s="1078" t="s">
        <v>15547</v>
      </c>
      <c r="AV2784" s="1078" t="str">
        <f t="shared" si="348"/>
        <v>112.12.5</v>
      </c>
      <c r="AW2784" s="1344">
        <f t="shared" si="349"/>
        <v>45265</v>
      </c>
    </row>
    <row r="2785" spans="1:49">
      <c r="A2785" s="1077" t="s">
        <v>8370</v>
      </c>
      <c r="B2785" s="1077" t="s">
        <v>714</v>
      </c>
      <c r="C2785" s="1077">
        <v>650</v>
      </c>
      <c r="D2785" s="1077">
        <v>1.78</v>
      </c>
      <c r="E2785" s="1077" t="s">
        <v>15121</v>
      </c>
      <c r="F2785" s="1077" t="s">
        <v>648</v>
      </c>
      <c r="G2785" s="1077">
        <v>5</v>
      </c>
      <c r="H2785" s="1077" t="s">
        <v>7708</v>
      </c>
      <c r="I2785" s="1077" t="s">
        <v>7181</v>
      </c>
      <c r="J2785" s="1077">
        <v>3.7</v>
      </c>
      <c r="K2785" s="1077" t="s">
        <v>8216</v>
      </c>
      <c r="L2785" s="1077" t="s">
        <v>4666</v>
      </c>
      <c r="M2785" s="1077">
        <v>298.8</v>
      </c>
      <c r="N2785" s="1077" t="s">
        <v>945</v>
      </c>
      <c r="O2785" s="1077">
        <v>7.4700000000000006</v>
      </c>
      <c r="P2785" s="1077">
        <v>5.976</v>
      </c>
      <c r="Q2785" s="1077">
        <v>4</v>
      </c>
      <c r="R2785" s="1077">
        <v>20.5</v>
      </c>
      <c r="T2785" s="1077">
        <v>21</v>
      </c>
      <c r="U2785" s="1077">
        <v>3.5</v>
      </c>
      <c r="V2785" s="1077" t="s">
        <v>648</v>
      </c>
      <c r="W2785" s="1077">
        <v>30</v>
      </c>
      <c r="X2785" s="1077">
        <v>10</v>
      </c>
      <c r="Y2785" s="1077">
        <v>1.2</v>
      </c>
      <c r="Z2785" s="1077" t="s">
        <v>648</v>
      </c>
      <c r="AA2785" s="1077" t="s">
        <v>6407</v>
      </c>
      <c r="AH2785" s="1077" t="s">
        <v>8371</v>
      </c>
      <c r="AI2785" s="1077">
        <v>94.9</v>
      </c>
      <c r="AJ2785" s="1077">
        <v>-0.51</v>
      </c>
      <c r="AK2785" s="1077">
        <v>1.43</v>
      </c>
      <c r="AM2785" s="1078" t="s">
        <v>14481</v>
      </c>
      <c r="AN2785" s="1078" t="s">
        <v>14482</v>
      </c>
      <c r="AO2785" s="1078">
        <f t="shared" si="350"/>
        <v>650</v>
      </c>
      <c r="AP2785" s="1078">
        <f t="shared" si="351"/>
        <v>1.78</v>
      </c>
      <c r="AQ2785" s="1078" t="str">
        <f t="shared" si="352"/>
        <v>1-5-1S85°S+Z</v>
      </c>
      <c r="AR2785" s="1078" t="str">
        <f t="shared" si="353"/>
        <v>NA</v>
      </c>
      <c r="AS2785" s="1078" t="str">
        <f t="shared" si="354"/>
        <v>179/173</v>
      </c>
      <c r="AT2785" s="1078" t="str">
        <f t="shared" si="355"/>
        <v>1-5-1S85°S+Z</v>
      </c>
      <c r="AU2785" s="1078" t="s">
        <v>15550</v>
      </c>
      <c r="AV2785" s="1078" t="str">
        <f t="shared" si="348"/>
        <v>112.12.6</v>
      </c>
      <c r="AW2785" s="1344">
        <f t="shared" si="349"/>
        <v>45266</v>
      </c>
    </row>
    <row r="2786" spans="1:49">
      <c r="A2786" s="1077" t="s">
        <v>8372</v>
      </c>
      <c r="B2786" s="1077" t="s">
        <v>467</v>
      </c>
      <c r="C2786" s="1077">
        <v>600</v>
      </c>
      <c r="D2786" s="1077">
        <v>1.7769999999999999</v>
      </c>
      <c r="E2786" s="1077">
        <v>102.5</v>
      </c>
      <c r="F2786" s="1077" t="s">
        <v>4070</v>
      </c>
      <c r="G2786" s="1077">
        <v>5.5</v>
      </c>
      <c r="H2786" s="1077" t="s">
        <v>7727</v>
      </c>
      <c r="I2786" s="1077" t="s">
        <v>7496</v>
      </c>
      <c r="J2786" s="1077">
        <v>3.7</v>
      </c>
      <c r="K2786" s="1077" t="s">
        <v>7724</v>
      </c>
      <c r="L2786" s="1077" t="s">
        <v>4666</v>
      </c>
      <c r="M2786" s="1077">
        <v>295.10000000000002</v>
      </c>
      <c r="N2786" s="1077" t="s">
        <v>945</v>
      </c>
      <c r="O2786" s="1077">
        <v>7.3775000000000013</v>
      </c>
      <c r="P2786" s="1077">
        <v>5.9020000000000001</v>
      </c>
      <c r="Q2786" s="1077">
        <v>4</v>
      </c>
      <c r="R2786" s="1077">
        <v>17.399999999999999</v>
      </c>
      <c r="T2786" s="1077">
        <v>31</v>
      </c>
      <c r="U2786" s="1077">
        <v>3.5</v>
      </c>
      <c r="V2786" s="1077" t="s">
        <v>648</v>
      </c>
      <c r="W2786" s="1077">
        <v>100</v>
      </c>
      <c r="X2786" s="1077">
        <v>40</v>
      </c>
      <c r="Y2786" s="1077">
        <v>1</v>
      </c>
      <c r="Z2786" s="1077" t="s">
        <v>648</v>
      </c>
      <c r="AA2786" s="1077" t="s">
        <v>3852</v>
      </c>
      <c r="AH2786" s="1077" t="s">
        <v>1376</v>
      </c>
      <c r="AI2786" s="1077">
        <v>94.93</v>
      </c>
      <c r="AJ2786" s="1077">
        <v>-0.88</v>
      </c>
      <c r="AK2786" s="1077">
        <v>1.73</v>
      </c>
      <c r="AM2786" s="1078" t="s">
        <v>14483</v>
      </c>
      <c r="AN2786" s="1078" t="s">
        <v>14484</v>
      </c>
      <c r="AO2786" s="1078">
        <f t="shared" si="350"/>
        <v>600</v>
      </c>
      <c r="AP2786" s="1078">
        <f t="shared" si="351"/>
        <v>1.7769999999999999</v>
      </c>
      <c r="AQ2786" s="1078">
        <f t="shared" si="352"/>
        <v>102.5</v>
      </c>
      <c r="AR2786" s="1078" t="str">
        <f t="shared" si="353"/>
        <v>15.5</v>
      </c>
      <c r="AS2786" s="1078" t="str">
        <f t="shared" si="354"/>
        <v>494/454/OFF</v>
      </c>
      <c r="AT2786" s="1078">
        <f t="shared" si="355"/>
        <v>102.5</v>
      </c>
      <c r="AV2786" s="1078" t="str">
        <f t="shared" si="348"/>
        <v>112.12.8</v>
      </c>
      <c r="AW2786" s="1344">
        <f t="shared" si="349"/>
        <v>45268</v>
      </c>
    </row>
    <row r="2787" spans="1:49">
      <c r="A2787" s="1077" t="s">
        <v>8373</v>
      </c>
      <c r="B2787" s="1077" t="s">
        <v>825</v>
      </c>
      <c r="C2787" s="1077">
        <v>550</v>
      </c>
      <c r="D2787" s="1077">
        <v>1.77</v>
      </c>
      <c r="E2787" s="1077" t="s">
        <v>15112</v>
      </c>
      <c r="F2787" s="1077" t="s">
        <v>975</v>
      </c>
      <c r="G2787" s="1077">
        <v>3.5</v>
      </c>
      <c r="H2787" s="1077" t="s">
        <v>7991</v>
      </c>
      <c r="I2787" s="1077" t="s">
        <v>7729</v>
      </c>
      <c r="K2787" s="1077" t="s">
        <v>8374</v>
      </c>
      <c r="L2787" s="1077" t="s">
        <v>7297</v>
      </c>
      <c r="M2787" s="1077">
        <v>310</v>
      </c>
      <c r="N2787" s="1077" t="s">
        <v>945</v>
      </c>
      <c r="O2787" s="1077">
        <v>7.75</v>
      </c>
      <c r="P2787" s="1077">
        <v>6.2</v>
      </c>
      <c r="Q2787" s="1077">
        <v>3.5</v>
      </c>
      <c r="R2787" s="1077">
        <v>22</v>
      </c>
      <c r="T2787" s="1077">
        <v>22</v>
      </c>
      <c r="U2787" s="1077">
        <v>3.5</v>
      </c>
      <c r="V2787" s="1077" t="s">
        <v>648</v>
      </c>
      <c r="W2787" s="1077">
        <v>110</v>
      </c>
      <c r="X2787" s="1077">
        <v>85</v>
      </c>
      <c r="Y2787" s="1077">
        <v>1</v>
      </c>
      <c r="Z2787" s="1077" t="s">
        <v>648</v>
      </c>
      <c r="AA2787" s="1077" t="s">
        <v>1741</v>
      </c>
      <c r="AH2787" s="1077" t="s">
        <v>466</v>
      </c>
      <c r="AJ2787" s="1077">
        <v>7.0000000000000007E-2</v>
      </c>
      <c r="AK2787" s="1077">
        <v>0.64</v>
      </c>
      <c r="AM2787" s="1078" t="s">
        <v>14485</v>
      </c>
      <c r="AN2787" s="1078" t="s">
        <v>14486</v>
      </c>
      <c r="AO2787" s="1078">
        <f t="shared" si="350"/>
        <v>550</v>
      </c>
      <c r="AP2787" s="1078">
        <f t="shared" si="351"/>
        <v>1.77</v>
      </c>
      <c r="AQ2787" s="1078" t="str">
        <f t="shared" si="352"/>
        <v>1-5-1S87°Z+S</v>
      </c>
      <c r="AR2787" s="1078" t="str">
        <f t="shared" si="353"/>
        <v>31.5</v>
      </c>
      <c r="AS2787" s="1078" t="str">
        <f t="shared" si="354"/>
        <v>330/330/145</v>
      </c>
      <c r="AT2787" s="1078" t="str">
        <f t="shared" si="355"/>
        <v>1-5-1S87°Z+S</v>
      </c>
      <c r="AU2787" s="1078" t="s">
        <v>15547</v>
      </c>
      <c r="AV2787" s="1078" t="str">
        <f t="shared" si="348"/>
        <v>112.12.13</v>
      </c>
      <c r="AW2787" s="1344">
        <f t="shared" si="349"/>
        <v>45273</v>
      </c>
    </row>
    <row r="2788" spans="1:49">
      <c r="A2788" s="1077" t="s">
        <v>8375</v>
      </c>
      <c r="B2788" s="1077" t="s">
        <v>6940</v>
      </c>
      <c r="C2788" s="1077">
        <v>450</v>
      </c>
      <c r="D2788" s="1077">
        <v>1.79</v>
      </c>
      <c r="E2788" s="1077" t="s">
        <v>15112</v>
      </c>
      <c r="F2788" s="1077" t="s">
        <v>984</v>
      </c>
      <c r="G2788" s="1077">
        <v>5</v>
      </c>
      <c r="H2788" s="1077" t="s">
        <v>955</v>
      </c>
      <c r="I2788" s="1077" t="s">
        <v>7105</v>
      </c>
      <c r="J2788" s="1077">
        <v>1</v>
      </c>
      <c r="K2788" s="1077" t="s">
        <v>8321</v>
      </c>
      <c r="L2788" s="1077" t="s">
        <v>4952</v>
      </c>
      <c r="M2788" s="1077">
        <v>308.39999999999998</v>
      </c>
      <c r="N2788" s="1077" t="s">
        <v>945</v>
      </c>
      <c r="O2788" s="1077">
        <v>7.71</v>
      </c>
      <c r="P2788" s="1077">
        <v>6.1679999999999993</v>
      </c>
      <c r="Q2788" s="1077">
        <v>2.8</v>
      </c>
      <c r="R2788" s="1077" t="s">
        <v>8376</v>
      </c>
      <c r="T2788" s="1077">
        <v>14.5</v>
      </c>
      <c r="U2788" s="1077">
        <v>5</v>
      </c>
      <c r="V2788" s="1077" t="s">
        <v>648</v>
      </c>
      <c r="W2788" s="1077" t="s">
        <v>6990</v>
      </c>
      <c r="X2788" s="1077">
        <v>10</v>
      </c>
      <c r="Y2788" s="1077">
        <v>1.7</v>
      </c>
      <c r="Z2788" s="1077" t="s">
        <v>648</v>
      </c>
      <c r="AA2788" s="1077" t="s">
        <v>3863</v>
      </c>
      <c r="AB2788" s="1077" t="s">
        <v>8377</v>
      </c>
      <c r="AH2788" s="1077" t="s">
        <v>619</v>
      </c>
      <c r="AI2788" s="1077">
        <v>16</v>
      </c>
      <c r="AJ2788" s="1077">
        <v>0.23</v>
      </c>
      <c r="AK2788" s="1077">
        <v>0.39</v>
      </c>
      <c r="AM2788" s="1078" t="s">
        <v>14487</v>
      </c>
      <c r="AN2788" s="1078" t="s">
        <v>14488</v>
      </c>
      <c r="AO2788" s="1078">
        <f t="shared" si="350"/>
        <v>450</v>
      </c>
      <c r="AP2788" s="1078">
        <f t="shared" si="351"/>
        <v>1.79</v>
      </c>
      <c r="AQ2788" s="1078" t="str">
        <f t="shared" si="352"/>
        <v>1-5-1S87°Z+S</v>
      </c>
      <c r="AR2788" s="1078" t="str">
        <f t="shared" si="353"/>
        <v>30</v>
      </c>
      <c r="AS2788" s="1078" t="str">
        <f t="shared" si="354"/>
        <v>260/260/OFF</v>
      </c>
      <c r="AT2788" s="1078" t="str">
        <f t="shared" si="355"/>
        <v>1-5-1S87°Z+S</v>
      </c>
      <c r="AU2788" s="1078" t="s">
        <v>15547</v>
      </c>
      <c r="AV2788" s="1078" t="str">
        <f t="shared" si="348"/>
        <v>112.12.20</v>
      </c>
      <c r="AW2788" s="1344">
        <f t="shared" si="349"/>
        <v>45280</v>
      </c>
    </row>
    <row r="2789" spans="1:49">
      <c r="A2789" s="1077" t="s">
        <v>8378</v>
      </c>
      <c r="B2789" s="1077" t="s">
        <v>8035</v>
      </c>
      <c r="C2789" s="1077">
        <v>500</v>
      </c>
      <c r="D2789" s="1077">
        <v>1.8049999999999999</v>
      </c>
      <c r="E2789" s="1077" t="s">
        <v>15112</v>
      </c>
      <c r="F2789" s="1077" t="s">
        <v>975</v>
      </c>
      <c r="G2789" s="1077">
        <v>5</v>
      </c>
      <c r="H2789" s="1077" t="s">
        <v>7880</v>
      </c>
      <c r="I2789" s="1077" t="s">
        <v>7028</v>
      </c>
      <c r="K2789" s="1077" t="s">
        <v>8379</v>
      </c>
      <c r="L2789" s="1077" t="s">
        <v>8380</v>
      </c>
      <c r="M2789" s="1077">
        <v>315</v>
      </c>
      <c r="N2789" s="1077" t="s">
        <v>945</v>
      </c>
      <c r="O2789" s="1077">
        <v>7.875</v>
      </c>
      <c r="P2789" s="1077">
        <v>6.3</v>
      </c>
      <c r="Q2789" s="1077">
        <v>3.5</v>
      </c>
      <c r="R2789" s="1077">
        <v>21</v>
      </c>
      <c r="T2789" s="1077">
        <v>22</v>
      </c>
      <c r="U2789" s="1077">
        <v>3.8</v>
      </c>
      <c r="V2789" s="1077" t="s">
        <v>648</v>
      </c>
      <c r="W2789" s="1077">
        <v>120</v>
      </c>
      <c r="X2789" s="1077">
        <v>20</v>
      </c>
      <c r="Y2789" s="1077">
        <v>1.6</v>
      </c>
      <c r="Z2789" s="1077" t="s">
        <v>648</v>
      </c>
      <c r="AA2789" s="1077" t="s">
        <v>3911</v>
      </c>
      <c r="AH2789" s="1077" t="s">
        <v>958</v>
      </c>
      <c r="AI2789" s="1077">
        <v>14.57</v>
      </c>
      <c r="AJ2789" s="1077">
        <v>0.37</v>
      </c>
      <c r="AK2789" s="1077">
        <v>-0.13</v>
      </c>
      <c r="AM2789" s="1078" t="s">
        <v>14489</v>
      </c>
      <c r="AN2789" s="1078" t="s">
        <v>14490</v>
      </c>
      <c r="AO2789" s="1078">
        <f t="shared" si="350"/>
        <v>500</v>
      </c>
      <c r="AP2789" s="1078">
        <f t="shared" si="351"/>
        <v>1.8049999999999999</v>
      </c>
      <c r="AQ2789" s="1078" t="str">
        <f t="shared" si="352"/>
        <v>1-5-1S87°Z+S</v>
      </c>
      <c r="AR2789" s="1078" t="str">
        <f t="shared" si="353"/>
        <v>31.5</v>
      </c>
      <c r="AS2789" s="1078" t="str">
        <f t="shared" si="354"/>
        <v>310/310/150</v>
      </c>
      <c r="AT2789" s="1078" t="str">
        <f t="shared" si="355"/>
        <v>1-5-1S87°Z+S</v>
      </c>
      <c r="AU2789" s="1078" t="s">
        <v>15547</v>
      </c>
      <c r="AV2789" s="1078" t="str">
        <f t="shared" si="348"/>
        <v>113.1.19</v>
      </c>
      <c r="AW2789" s="1344">
        <f t="shared" si="349"/>
        <v>45310</v>
      </c>
    </row>
    <row r="2790" spans="1:49">
      <c r="A2790" s="1077" t="s">
        <v>8381</v>
      </c>
      <c r="B2790" s="1077" t="s">
        <v>7261</v>
      </c>
      <c r="C2790" s="1077">
        <v>600</v>
      </c>
      <c r="D2790" s="1077">
        <v>1.8049999999999999</v>
      </c>
      <c r="E2790" s="1077" t="s">
        <v>15116</v>
      </c>
      <c r="F2790" s="1077" t="s">
        <v>2234</v>
      </c>
      <c r="G2790" s="1077">
        <v>4</v>
      </c>
      <c r="H2790" s="1077" t="s">
        <v>7262</v>
      </c>
      <c r="I2790" s="1077" t="s">
        <v>6918</v>
      </c>
      <c r="K2790" s="1077" t="s">
        <v>7741</v>
      </c>
      <c r="L2790" s="1077" t="s">
        <v>7264</v>
      </c>
      <c r="M2790" s="1077">
        <v>307</v>
      </c>
      <c r="N2790" s="1077" t="s">
        <v>945</v>
      </c>
      <c r="O2790" s="1077">
        <v>7.6750000000000007</v>
      </c>
      <c r="P2790" s="1077">
        <v>6.1400000000000006</v>
      </c>
      <c r="Q2790" s="1077">
        <v>3.5</v>
      </c>
      <c r="R2790" s="1077">
        <v>27</v>
      </c>
      <c r="T2790" s="1077">
        <v>12</v>
      </c>
      <c r="U2790" s="1077">
        <v>2.2999999999999998</v>
      </c>
      <c r="V2790" s="1077" t="s">
        <v>648</v>
      </c>
      <c r="W2790" s="1077" t="s">
        <v>4947</v>
      </c>
      <c r="X2790" s="1077">
        <v>10</v>
      </c>
      <c r="Y2790" s="1077">
        <v>1.7</v>
      </c>
      <c r="Z2790" s="1077" t="s">
        <v>648</v>
      </c>
      <c r="AA2790" s="1077" t="s">
        <v>3863</v>
      </c>
      <c r="AH2790" s="1077" t="s">
        <v>483</v>
      </c>
      <c r="AI2790" s="1077">
        <v>60.76</v>
      </c>
      <c r="AJ2790" s="1077">
        <v>3.3</v>
      </c>
      <c r="AK2790" s="1077">
        <v>15.01</v>
      </c>
      <c r="AM2790" s="1078" t="s">
        <v>14491</v>
      </c>
      <c r="AN2790" s="1078" t="s">
        <v>14492</v>
      </c>
      <c r="AO2790" s="1078">
        <f t="shared" si="350"/>
        <v>600</v>
      </c>
      <c r="AP2790" s="1078">
        <f t="shared" si="351"/>
        <v>1.8049999999999999</v>
      </c>
      <c r="AQ2790" s="1078" t="str">
        <f t="shared" si="352"/>
        <v>1-5-1S83°Z+S</v>
      </c>
      <c r="AR2790" s="1078" t="str">
        <f t="shared" si="353"/>
        <v>33.5</v>
      </c>
      <c r="AS2790" s="1078" t="str">
        <f t="shared" si="354"/>
        <v>300/300/190</v>
      </c>
      <c r="AT2790" s="1078" t="str">
        <f t="shared" si="355"/>
        <v>1-5-1S83°Z+S</v>
      </c>
      <c r="AU2790" s="1078" t="s">
        <v>15547</v>
      </c>
      <c r="AV2790" s="1078" t="str">
        <f t="shared" si="348"/>
        <v>112.12.20</v>
      </c>
      <c r="AW2790" s="1344">
        <f t="shared" si="349"/>
        <v>45280</v>
      </c>
    </row>
    <row r="2791" spans="1:49">
      <c r="A2791" s="1077" t="s">
        <v>8382</v>
      </c>
      <c r="B2791" s="1077" t="s">
        <v>6940</v>
      </c>
      <c r="C2791" s="1077" t="s">
        <v>8383</v>
      </c>
      <c r="D2791" s="1077">
        <v>1.77</v>
      </c>
      <c r="E2791" s="1077" t="s">
        <v>15112</v>
      </c>
      <c r="F2791" s="1077" t="s">
        <v>984</v>
      </c>
      <c r="G2791" s="1077">
        <v>5</v>
      </c>
      <c r="H2791" s="1077" t="s">
        <v>1793</v>
      </c>
      <c r="I2791" s="1077" t="s">
        <v>7105</v>
      </c>
      <c r="J2791" s="1077">
        <v>1</v>
      </c>
      <c r="K2791" s="1077" t="s">
        <v>7848</v>
      </c>
      <c r="L2791" s="1077" t="s">
        <v>4952</v>
      </c>
      <c r="M2791" s="1077">
        <v>308.39999999999998</v>
      </c>
      <c r="N2791" s="1077" t="s">
        <v>945</v>
      </c>
      <c r="O2791" s="1077">
        <v>7.71</v>
      </c>
      <c r="P2791" s="1077">
        <v>6.1679999999999993</v>
      </c>
      <c r="Q2791" s="1077">
        <v>2.8</v>
      </c>
      <c r="R2791" s="1077" t="s">
        <v>8384</v>
      </c>
      <c r="T2791" s="1077">
        <v>14.5</v>
      </c>
      <c r="U2791" s="1077">
        <v>5</v>
      </c>
      <c r="V2791" s="1077" t="s">
        <v>648</v>
      </c>
      <c r="W2791" s="1077" t="s">
        <v>6990</v>
      </c>
      <c r="X2791" s="1077">
        <v>10</v>
      </c>
      <c r="Y2791" s="1077">
        <v>1.7</v>
      </c>
      <c r="Z2791" s="1077" t="s">
        <v>648</v>
      </c>
      <c r="AA2791" s="1077" t="s">
        <v>8385</v>
      </c>
      <c r="AB2791" s="1077" t="s">
        <v>8386</v>
      </c>
      <c r="AH2791" s="1077" t="s">
        <v>878</v>
      </c>
      <c r="AI2791" s="1077">
        <v>15.49</v>
      </c>
      <c r="AJ2791" s="1077">
        <v>0.2</v>
      </c>
      <c r="AK2791" s="1077">
        <v>0.65</v>
      </c>
      <c r="AM2791" s="1078" t="s">
        <v>14493</v>
      </c>
      <c r="AN2791" s="1078" t="s">
        <v>14494</v>
      </c>
      <c r="AO2791" s="1078" t="str">
        <f t="shared" si="350"/>
        <v>450↑500-1/11</v>
      </c>
      <c r="AP2791" s="1078">
        <f t="shared" si="351"/>
        <v>1.77</v>
      </c>
      <c r="AQ2791" s="1078" t="str">
        <f t="shared" si="352"/>
        <v>1-5-1S87°Z+S</v>
      </c>
      <c r="AR2791" s="1078" t="str">
        <f t="shared" si="353"/>
        <v>30</v>
      </c>
      <c r="AS2791" s="1078" t="str">
        <f t="shared" si="354"/>
        <v>270/270/OFF</v>
      </c>
      <c r="AT2791" s="1078" t="str">
        <f t="shared" si="355"/>
        <v>1-5-1S87°Z+S</v>
      </c>
      <c r="AU2791" s="1078" t="s">
        <v>15547</v>
      </c>
      <c r="AV2791" s="1078" t="str">
        <f t="shared" si="348"/>
        <v>112.12.22</v>
      </c>
      <c r="AW2791" s="1344">
        <f t="shared" si="349"/>
        <v>45282</v>
      </c>
    </row>
    <row r="2792" spans="1:49">
      <c r="A2792" s="1077" t="s">
        <v>8387</v>
      </c>
      <c r="B2792" s="1077" t="s">
        <v>714</v>
      </c>
      <c r="C2792" s="1077">
        <v>500</v>
      </c>
      <c r="D2792" s="1077">
        <v>1.7649999999999999</v>
      </c>
      <c r="E2792" s="1077">
        <v>102.5</v>
      </c>
      <c r="F2792" s="1077" t="s">
        <v>4070</v>
      </c>
      <c r="G2792" s="1077" t="s">
        <v>6865</v>
      </c>
      <c r="H2792" s="1077" t="s">
        <v>7719</v>
      </c>
      <c r="I2792" s="1077" t="s">
        <v>7057</v>
      </c>
      <c r="J2792" s="1077">
        <v>3.7</v>
      </c>
      <c r="K2792" s="1077" t="s">
        <v>8298</v>
      </c>
      <c r="L2792" s="1077" t="s">
        <v>4666</v>
      </c>
      <c r="M2792" s="1077">
        <v>300.8</v>
      </c>
      <c r="N2792" s="1077" t="s">
        <v>945</v>
      </c>
      <c r="O2792" s="1077">
        <v>7.5200000000000005</v>
      </c>
      <c r="P2792" s="1077">
        <v>6.016</v>
      </c>
      <c r="Q2792" s="1077">
        <v>4</v>
      </c>
      <c r="R2792" s="1077">
        <v>17</v>
      </c>
      <c r="T2792" s="1077">
        <v>31.4</v>
      </c>
      <c r="U2792" s="1077">
        <v>3.6</v>
      </c>
      <c r="V2792" s="1077" t="s">
        <v>648</v>
      </c>
      <c r="W2792" s="1077">
        <v>65</v>
      </c>
      <c r="X2792" s="1077">
        <v>10</v>
      </c>
      <c r="Y2792" s="1077">
        <v>1.5</v>
      </c>
      <c r="Z2792" s="1077" t="s">
        <v>648</v>
      </c>
      <c r="AA2792" s="1077" t="s">
        <v>1633</v>
      </c>
      <c r="AH2792" s="1077" t="s">
        <v>862</v>
      </c>
      <c r="AI2792" s="1077">
        <v>91.11</v>
      </c>
      <c r="AJ2792" s="1077">
        <v>-0.26</v>
      </c>
      <c r="AK2792" s="1077">
        <v>1.04</v>
      </c>
      <c r="AM2792" s="1078" t="s">
        <v>14495</v>
      </c>
      <c r="AN2792" s="1078" t="s">
        <v>14496</v>
      </c>
      <c r="AO2792" s="1078">
        <f t="shared" si="350"/>
        <v>500</v>
      </c>
      <c r="AP2792" s="1078">
        <f t="shared" si="351"/>
        <v>1.7649999999999999</v>
      </c>
      <c r="AQ2792" s="1078">
        <f t="shared" si="352"/>
        <v>102.5</v>
      </c>
      <c r="AR2792" s="1078" t="str">
        <f t="shared" si="353"/>
        <v>15.5</v>
      </c>
      <c r="AS2792" s="1078" t="str">
        <f t="shared" si="354"/>
        <v>473/433/OFF</v>
      </c>
      <c r="AT2792" s="1078">
        <f t="shared" si="355"/>
        <v>102.5</v>
      </c>
      <c r="AV2792" s="1078" t="str">
        <f t="shared" si="348"/>
        <v>112.12.25</v>
      </c>
      <c r="AW2792" s="1344">
        <f t="shared" si="349"/>
        <v>45285</v>
      </c>
    </row>
    <row r="2793" spans="1:49">
      <c r="A2793" s="1077" t="s">
        <v>8388</v>
      </c>
      <c r="B2793" s="1077" t="s">
        <v>7214</v>
      </c>
      <c r="C2793" s="1077">
        <v>500</v>
      </c>
      <c r="D2793" s="1077">
        <v>1.74</v>
      </c>
      <c r="E2793" s="1077" t="s">
        <v>15109</v>
      </c>
      <c r="F2793" s="1077" t="s">
        <v>648</v>
      </c>
      <c r="G2793" s="1077">
        <v>5</v>
      </c>
      <c r="H2793" s="1077" t="s">
        <v>1188</v>
      </c>
      <c r="I2793" s="1077" t="s">
        <v>6929</v>
      </c>
      <c r="J2793" s="1077">
        <v>3</v>
      </c>
      <c r="K2793" s="1077" t="s">
        <v>8389</v>
      </c>
      <c r="L2793" s="1077" t="s">
        <v>6043</v>
      </c>
      <c r="M2793" s="1077">
        <v>308</v>
      </c>
      <c r="N2793" s="1077" t="s">
        <v>945</v>
      </c>
      <c r="O2793" s="1077">
        <v>7.7</v>
      </c>
      <c r="P2793" s="1077">
        <v>6.16</v>
      </c>
      <c r="Q2793" s="1077">
        <v>4</v>
      </c>
      <c r="R2793" s="1077">
        <v>22</v>
      </c>
      <c r="T2793" s="1077">
        <v>23.5</v>
      </c>
      <c r="U2793" s="1077">
        <v>4</v>
      </c>
      <c r="V2793" s="1077" t="s">
        <v>648</v>
      </c>
      <c r="W2793" s="1077">
        <v>135</v>
      </c>
      <c r="X2793" s="1077">
        <v>90</v>
      </c>
      <c r="Y2793" s="1077">
        <v>1.4</v>
      </c>
      <c r="Z2793" s="1077" t="s">
        <v>648</v>
      </c>
      <c r="AA2793" s="1077" t="s">
        <v>8390</v>
      </c>
      <c r="AH2793" s="1077" t="s">
        <v>1023</v>
      </c>
      <c r="AI2793" s="1077">
        <v>95.36</v>
      </c>
      <c r="AJ2793" s="1077">
        <v>-0.45</v>
      </c>
      <c r="AK2793" s="1077">
        <v>1.5</v>
      </c>
      <c r="AM2793" s="1078" t="s">
        <v>14497</v>
      </c>
      <c r="AN2793" s="1078" t="s">
        <v>14498</v>
      </c>
      <c r="AO2793" s="1078">
        <f t="shared" si="350"/>
        <v>500</v>
      </c>
      <c r="AP2793" s="1078">
        <f t="shared" si="351"/>
        <v>1.74</v>
      </c>
      <c r="AQ2793" s="1078" t="str">
        <f t="shared" si="352"/>
        <v>1-5-1S85°Z+S</v>
      </c>
      <c r="AR2793" s="1078" t="str">
        <f t="shared" si="353"/>
        <v>NA</v>
      </c>
      <c r="AS2793" s="1078" t="str">
        <f t="shared" si="354"/>
        <v>177/OFF</v>
      </c>
      <c r="AT2793" s="1078" t="str">
        <f t="shared" si="355"/>
        <v>1-5-1S85°Z+S</v>
      </c>
      <c r="AU2793" s="1078" t="s">
        <v>15547</v>
      </c>
      <c r="AV2793" s="1078" t="str">
        <f t="shared" si="348"/>
        <v>113.1.2</v>
      </c>
      <c r="AW2793" s="1344">
        <f t="shared" si="349"/>
        <v>45293</v>
      </c>
    </row>
    <row r="2794" spans="1:49">
      <c r="A2794" s="1077" t="s">
        <v>8391</v>
      </c>
      <c r="B2794" s="1077" t="s">
        <v>7214</v>
      </c>
      <c r="C2794" s="1077">
        <v>550</v>
      </c>
      <c r="D2794" s="1077">
        <v>1.74</v>
      </c>
      <c r="E2794" s="1077" t="s">
        <v>15122</v>
      </c>
      <c r="F2794" s="1077" t="s">
        <v>984</v>
      </c>
      <c r="G2794" s="1077">
        <v>5</v>
      </c>
      <c r="H2794" s="1077" t="s">
        <v>6116</v>
      </c>
      <c r="I2794" s="1077" t="s">
        <v>8392</v>
      </c>
      <c r="J2794" s="1077">
        <v>3</v>
      </c>
      <c r="K2794" s="1077" t="s">
        <v>8389</v>
      </c>
      <c r="L2794" s="1077" t="s">
        <v>6043</v>
      </c>
      <c r="M2794" s="1077">
        <v>308</v>
      </c>
      <c r="N2794" s="1077" t="s">
        <v>945</v>
      </c>
      <c r="O2794" s="1077">
        <v>7.7</v>
      </c>
      <c r="P2794" s="1077">
        <v>6.16</v>
      </c>
      <c r="Q2794" s="1077">
        <v>4</v>
      </c>
      <c r="R2794" s="1077">
        <v>22</v>
      </c>
      <c r="T2794" s="1077">
        <v>23.5</v>
      </c>
      <c r="U2794" s="1077">
        <v>4</v>
      </c>
      <c r="V2794" s="1077" t="s">
        <v>648</v>
      </c>
      <c r="W2794" s="1077">
        <v>135</v>
      </c>
      <c r="X2794" s="1077">
        <v>90</v>
      </c>
      <c r="Y2794" s="1077">
        <v>1.4</v>
      </c>
      <c r="Z2794" s="1077" t="s">
        <v>648</v>
      </c>
      <c r="AA2794" s="1077" t="s">
        <v>3902</v>
      </c>
      <c r="AH2794" s="1077" t="s">
        <v>619</v>
      </c>
      <c r="AI2794" s="1077">
        <v>95.13</v>
      </c>
      <c r="AJ2794" s="1077">
        <v>-0.45</v>
      </c>
      <c r="AK2794" s="1077">
        <v>1.27</v>
      </c>
      <c r="AM2794" s="1078" t="s">
        <v>14499</v>
      </c>
      <c r="AN2794" s="1078" t="s">
        <v>14500</v>
      </c>
      <c r="AO2794" s="1078">
        <f t="shared" si="350"/>
        <v>550</v>
      </c>
      <c r="AP2794" s="1078">
        <f t="shared" si="351"/>
        <v>1.74</v>
      </c>
      <c r="AQ2794" s="1078" t="str">
        <f t="shared" si="352"/>
        <v>1-5-1S91°Z+S</v>
      </c>
      <c r="AR2794" s="1078" t="str">
        <f t="shared" si="353"/>
        <v>30</v>
      </c>
      <c r="AS2794" s="1078" t="str">
        <f t="shared" si="354"/>
        <v>320/320/OFF</v>
      </c>
      <c r="AT2794" s="1078" t="str">
        <f t="shared" si="355"/>
        <v>1-5-1S91°Z+S</v>
      </c>
      <c r="AU2794" s="1078" t="s">
        <v>15547</v>
      </c>
      <c r="AV2794" s="1078" t="str">
        <f t="shared" si="348"/>
        <v>113.1.5</v>
      </c>
      <c r="AW2794" s="1344">
        <f t="shared" si="349"/>
        <v>45296</v>
      </c>
    </row>
    <row r="2795" spans="1:49">
      <c r="A2795" s="1077" t="s">
        <v>8393</v>
      </c>
      <c r="B2795" s="1077" t="s">
        <v>8394</v>
      </c>
      <c r="C2795" s="1077">
        <v>600</v>
      </c>
      <c r="D2795" s="1077">
        <v>1.73</v>
      </c>
      <c r="E2795" s="1077" t="s">
        <v>15089</v>
      </c>
      <c r="F2795" s="1077" t="s">
        <v>954</v>
      </c>
      <c r="G2795" s="1077">
        <v>2</v>
      </c>
      <c r="H2795" s="1077" t="s">
        <v>1155</v>
      </c>
      <c r="I2795" s="1077" t="s">
        <v>942</v>
      </c>
      <c r="J2795" s="1077">
        <v>2.1</v>
      </c>
      <c r="K2795" s="1077" t="s">
        <v>8395</v>
      </c>
      <c r="L2795" s="1077" t="s">
        <v>8396</v>
      </c>
      <c r="M2795" s="1077">
        <v>30.8</v>
      </c>
      <c r="N2795" s="1077" t="s">
        <v>945</v>
      </c>
      <c r="O2795" s="1077">
        <v>0.77</v>
      </c>
      <c r="P2795" s="1077">
        <v>0.61599999999999999</v>
      </c>
      <c r="Q2795" s="1077" t="s">
        <v>2950</v>
      </c>
      <c r="R2795" s="1077">
        <v>20.5</v>
      </c>
      <c r="T2795" s="1077">
        <v>37</v>
      </c>
      <c r="U2795" s="1077">
        <v>4</v>
      </c>
      <c r="V2795" s="1077" t="s">
        <v>648</v>
      </c>
      <c r="W2795" s="1077">
        <v>140</v>
      </c>
      <c r="X2795" s="1077">
        <v>80</v>
      </c>
      <c r="Y2795" s="1077">
        <v>2.5</v>
      </c>
      <c r="Z2795" s="1077">
        <v>4</v>
      </c>
      <c r="AA2795" s="1077" t="s">
        <v>2525</v>
      </c>
      <c r="AH2795" s="1077" t="s">
        <v>1452</v>
      </c>
      <c r="AM2795" s="1078" t="s">
        <v>14501</v>
      </c>
      <c r="AN2795" s="1078" t="s">
        <v>14502</v>
      </c>
      <c r="AO2795" s="1078">
        <f t="shared" si="350"/>
        <v>600</v>
      </c>
      <c r="AP2795" s="1078">
        <f t="shared" si="351"/>
        <v>1.73</v>
      </c>
      <c r="AQ2795" s="1078" t="str">
        <f t="shared" si="352"/>
        <v>1-4-1S83°</v>
      </c>
      <c r="AR2795" s="1078" t="str">
        <f t="shared" si="353"/>
        <v>31</v>
      </c>
      <c r="AS2795" s="1078" t="str">
        <f t="shared" si="354"/>
        <v>215/215/OFF</v>
      </c>
      <c r="AT2795" s="1078" t="str">
        <f t="shared" si="355"/>
        <v>1-4-1S83°</v>
      </c>
      <c r="AV2795" s="1078" t="str">
        <f t="shared" si="348"/>
        <v>108.1.14</v>
      </c>
      <c r="AW2795" s="1344">
        <f t="shared" si="349"/>
        <v>43479</v>
      </c>
    </row>
    <row r="2796" spans="1:49">
      <c r="A2796" s="1077" t="s">
        <v>8397</v>
      </c>
      <c r="B2796" s="1077" t="s">
        <v>8394</v>
      </c>
      <c r="C2796" s="1077">
        <v>600</v>
      </c>
      <c r="D2796" s="1077">
        <v>1.73</v>
      </c>
      <c r="E2796" s="1077" t="s">
        <v>15089</v>
      </c>
      <c r="F2796" s="1077" t="s">
        <v>1514</v>
      </c>
      <c r="G2796" s="1077">
        <v>2</v>
      </c>
      <c r="H2796" s="1077" t="s">
        <v>8398</v>
      </c>
      <c r="I2796" s="1077" t="s">
        <v>942</v>
      </c>
      <c r="J2796" s="1077">
        <v>2.7</v>
      </c>
      <c r="K2796" s="1077" t="s">
        <v>8399</v>
      </c>
      <c r="L2796" s="1077" t="s">
        <v>8396</v>
      </c>
      <c r="M2796" s="1077">
        <v>30.8</v>
      </c>
      <c r="N2796" s="1077" t="s">
        <v>945</v>
      </c>
      <c r="O2796" s="1077">
        <v>0.77</v>
      </c>
      <c r="P2796" s="1077">
        <v>0.61599999999999999</v>
      </c>
      <c r="Q2796" s="1077">
        <v>3.5</v>
      </c>
      <c r="R2796" s="1077">
        <v>20.5</v>
      </c>
      <c r="T2796" s="1077">
        <v>37</v>
      </c>
      <c r="U2796" s="1077">
        <v>4</v>
      </c>
      <c r="V2796" s="1077" t="s">
        <v>648</v>
      </c>
      <c r="W2796" s="1077">
        <v>140</v>
      </c>
      <c r="X2796" s="1077">
        <v>80</v>
      </c>
      <c r="Y2796" s="1077">
        <v>2.5</v>
      </c>
      <c r="Z2796" s="1077">
        <v>4</v>
      </c>
      <c r="AA2796" s="1077" t="s">
        <v>1305</v>
      </c>
      <c r="AH2796" s="1077" t="s">
        <v>783</v>
      </c>
      <c r="AI2796" s="1077" t="s">
        <v>981</v>
      </c>
      <c r="AM2796" s="1078" t="s">
        <v>14503</v>
      </c>
      <c r="AN2796" s="1078" t="s">
        <v>14504</v>
      </c>
      <c r="AO2796" s="1078">
        <f t="shared" si="350"/>
        <v>600</v>
      </c>
      <c r="AP2796" s="1078">
        <f t="shared" si="351"/>
        <v>1.73</v>
      </c>
      <c r="AQ2796" s="1078" t="str">
        <f t="shared" si="352"/>
        <v>1-4-1S83°</v>
      </c>
      <c r="AR2796" s="1078" t="str">
        <f t="shared" si="353"/>
        <v>32</v>
      </c>
      <c r="AS2796" s="1078" t="str">
        <f t="shared" si="354"/>
        <v>208/208/OFF</v>
      </c>
      <c r="AT2796" s="1078" t="str">
        <f t="shared" si="355"/>
        <v>1-4-1S83°</v>
      </c>
      <c r="AV2796" s="1078" t="str">
        <f t="shared" si="348"/>
        <v>110.2.1</v>
      </c>
      <c r="AW2796" s="1344">
        <f t="shared" si="349"/>
        <v>44228</v>
      </c>
    </row>
    <row r="2797" spans="1:49">
      <c r="A2797" s="1077" t="s">
        <v>8400</v>
      </c>
      <c r="B2797" s="1077" t="s">
        <v>8394</v>
      </c>
      <c r="C2797" s="1077">
        <v>500</v>
      </c>
      <c r="D2797" s="1077">
        <v>1.73</v>
      </c>
      <c r="E2797" s="1077" t="s">
        <v>15091</v>
      </c>
      <c r="F2797" s="1077" t="s">
        <v>975</v>
      </c>
      <c r="G2797" s="1077">
        <v>2</v>
      </c>
      <c r="H2797" s="1077" t="s">
        <v>1470</v>
      </c>
      <c r="I2797" s="1077" t="s">
        <v>1073</v>
      </c>
      <c r="J2797" s="1077">
        <v>1.5</v>
      </c>
      <c r="K2797" s="1077" t="s">
        <v>8399</v>
      </c>
      <c r="L2797" s="1077" t="s">
        <v>8396</v>
      </c>
      <c r="M2797" s="1077">
        <v>30.8</v>
      </c>
      <c r="N2797" s="1077" t="s">
        <v>945</v>
      </c>
      <c r="O2797" s="1077">
        <v>0.77</v>
      </c>
      <c r="P2797" s="1077">
        <v>0.61599999999999999</v>
      </c>
      <c r="Q2797" s="1077">
        <v>3.5</v>
      </c>
      <c r="R2797" s="1077">
        <v>20.5</v>
      </c>
      <c r="T2797" s="1077">
        <v>37</v>
      </c>
      <c r="U2797" s="1077">
        <v>4</v>
      </c>
      <c r="V2797" s="1077" t="s">
        <v>648</v>
      </c>
      <c r="W2797" s="1077">
        <v>140</v>
      </c>
      <c r="X2797" s="1077" t="s">
        <v>1063</v>
      </c>
      <c r="Y2797" s="1077">
        <v>2.5</v>
      </c>
      <c r="Z2797" s="1077">
        <v>4</v>
      </c>
      <c r="AA2797" s="1077" t="s">
        <v>1307</v>
      </c>
      <c r="AH2797" s="1077" t="s">
        <v>803</v>
      </c>
      <c r="AI2797" s="1077" t="s">
        <v>8401</v>
      </c>
      <c r="AM2797" s="1078" t="s">
        <v>14505</v>
      </c>
      <c r="AN2797" s="1078" t="s">
        <v>14506</v>
      </c>
      <c r="AO2797" s="1078">
        <f t="shared" si="350"/>
        <v>500</v>
      </c>
      <c r="AP2797" s="1078">
        <f t="shared" si="351"/>
        <v>1.73</v>
      </c>
      <c r="AQ2797" s="1078" t="str">
        <f t="shared" si="352"/>
        <v>2-5-1S83°</v>
      </c>
      <c r="AR2797" s="1078" t="str">
        <f t="shared" si="353"/>
        <v>31.5</v>
      </c>
      <c r="AS2797" s="1078" t="str">
        <f t="shared" si="354"/>
        <v>160/OFF</v>
      </c>
      <c r="AT2797" s="1078" t="str">
        <f t="shared" si="355"/>
        <v>2-5-1S83°</v>
      </c>
      <c r="AV2797" s="1078" t="str">
        <f t="shared" si="348"/>
        <v>110.4.14</v>
      </c>
      <c r="AW2797" s="1344">
        <f t="shared" si="349"/>
        <v>44300</v>
      </c>
    </row>
    <row r="2798" spans="1:49">
      <c r="A2798" s="1077" t="s">
        <v>8402</v>
      </c>
      <c r="B2798" s="1077" t="s">
        <v>8394</v>
      </c>
      <c r="C2798" s="1077">
        <v>600</v>
      </c>
      <c r="D2798" s="1077">
        <v>1.73</v>
      </c>
      <c r="E2798" s="1077" t="s">
        <v>15089</v>
      </c>
      <c r="F2798" s="1077" t="s">
        <v>1514</v>
      </c>
      <c r="G2798" s="1077">
        <v>2</v>
      </c>
      <c r="H2798" s="1077" t="s">
        <v>1274</v>
      </c>
      <c r="I2798" s="1077" t="s">
        <v>942</v>
      </c>
      <c r="J2798" s="1077">
        <v>2.7</v>
      </c>
      <c r="K2798" s="1077" t="s">
        <v>8399</v>
      </c>
      <c r="L2798" s="1077" t="s">
        <v>8396</v>
      </c>
      <c r="M2798" s="1077">
        <v>30.8</v>
      </c>
      <c r="N2798" s="1077" t="s">
        <v>945</v>
      </c>
      <c r="O2798" s="1077">
        <v>0.77</v>
      </c>
      <c r="P2798" s="1077">
        <v>0.61599999999999999</v>
      </c>
      <c r="Q2798" s="1077">
        <v>3.5</v>
      </c>
      <c r="R2798" s="1077">
        <v>20.5</v>
      </c>
      <c r="T2798" s="1077">
        <v>37</v>
      </c>
      <c r="U2798" s="1077">
        <v>4</v>
      </c>
      <c r="V2798" s="1077" t="s">
        <v>648</v>
      </c>
      <c r="W2798" s="1077">
        <v>140</v>
      </c>
      <c r="X2798" s="1077">
        <v>80</v>
      </c>
      <c r="Y2798" s="1077">
        <v>2.5</v>
      </c>
      <c r="Z2798" s="1077">
        <v>4</v>
      </c>
      <c r="AA2798" s="1077" t="s">
        <v>8403</v>
      </c>
      <c r="AH2798" s="1077" t="s">
        <v>8404</v>
      </c>
      <c r="AM2798" s="1078" t="s">
        <v>14507</v>
      </c>
      <c r="AN2798" s="1078" t="s">
        <v>14508</v>
      </c>
      <c r="AO2798" s="1078">
        <f t="shared" si="350"/>
        <v>600</v>
      </c>
      <c r="AP2798" s="1078">
        <f t="shared" si="351"/>
        <v>1.73</v>
      </c>
      <c r="AQ2798" s="1078" t="str">
        <f t="shared" si="352"/>
        <v>1-4-1S83°</v>
      </c>
      <c r="AR2798" s="1078" t="str">
        <f t="shared" si="353"/>
        <v>32</v>
      </c>
      <c r="AS2798" s="1078" t="str">
        <f t="shared" si="354"/>
        <v>210/210/OFF</v>
      </c>
      <c r="AT2798" s="1078" t="str">
        <f t="shared" si="355"/>
        <v>1-4-1S83°</v>
      </c>
      <c r="AV2798" s="1078" t="str">
        <f t="shared" si="348"/>
        <v>110.10.8</v>
      </c>
      <c r="AW2798" s="1344">
        <f t="shared" si="349"/>
        <v>44477</v>
      </c>
    </row>
    <row r="2799" spans="1:49">
      <c r="A2799" s="1077" t="s">
        <v>8405</v>
      </c>
      <c r="B2799" s="1077" t="s">
        <v>8406</v>
      </c>
      <c r="C2799" s="1077">
        <v>620</v>
      </c>
      <c r="D2799" s="1077">
        <v>1.7</v>
      </c>
      <c r="E2799" s="1077" t="s">
        <v>15089</v>
      </c>
      <c r="F2799" s="1077" t="s">
        <v>2167</v>
      </c>
      <c r="G2799" s="1077">
        <v>2</v>
      </c>
      <c r="H2799" s="1077" t="s">
        <v>1918</v>
      </c>
      <c r="I2799" s="1077" t="s">
        <v>1073</v>
      </c>
      <c r="J2799" s="1077">
        <v>1.7</v>
      </c>
      <c r="K2799" s="1077" t="s">
        <v>8407</v>
      </c>
      <c r="L2799" s="1077" t="s">
        <v>8408</v>
      </c>
      <c r="M2799" s="1077">
        <v>31.5</v>
      </c>
      <c r="N2799" s="1077" t="s">
        <v>945</v>
      </c>
      <c r="O2799" s="1077">
        <v>0.78750000000000009</v>
      </c>
      <c r="P2799" s="1077">
        <v>0.63</v>
      </c>
      <c r="Q2799" s="1077">
        <v>4</v>
      </c>
      <c r="R2799" s="1077">
        <v>20</v>
      </c>
      <c r="T2799" s="1077">
        <v>39</v>
      </c>
      <c r="U2799" s="1077">
        <v>3.5</v>
      </c>
      <c r="V2799" s="1077" t="s">
        <v>648</v>
      </c>
      <c r="W2799" s="1077">
        <v>150</v>
      </c>
      <c r="X2799" s="1077">
        <v>85</v>
      </c>
      <c r="Y2799" s="1077">
        <v>3</v>
      </c>
      <c r="Z2799" s="1077">
        <v>3.5</v>
      </c>
      <c r="AA2799" s="1077" t="s">
        <v>1206</v>
      </c>
      <c r="AH2799" s="1077" t="s">
        <v>712</v>
      </c>
      <c r="AM2799" s="1078" t="s">
        <v>14509</v>
      </c>
      <c r="AN2799" s="1078" t="s">
        <v>14510</v>
      </c>
      <c r="AO2799" s="1078">
        <f t="shared" si="350"/>
        <v>620</v>
      </c>
      <c r="AP2799" s="1078">
        <f t="shared" si="351"/>
        <v>1.7</v>
      </c>
      <c r="AQ2799" s="1078" t="str">
        <f t="shared" si="352"/>
        <v>1-4-1S83°</v>
      </c>
      <c r="AR2799" s="1078" t="str">
        <f t="shared" si="353"/>
        <v>33</v>
      </c>
      <c r="AS2799" s="1078" t="str">
        <f t="shared" si="354"/>
        <v>233/233/OFF</v>
      </c>
      <c r="AT2799" s="1078" t="str">
        <f t="shared" si="355"/>
        <v>1-4-1S83°</v>
      </c>
      <c r="AV2799" s="1078" t="str">
        <f t="shared" si="348"/>
        <v>109.12.22</v>
      </c>
      <c r="AW2799" s="1344">
        <f t="shared" si="349"/>
        <v>44187</v>
      </c>
    </row>
    <row r="2800" spans="1:49">
      <c r="A2800" s="1077" t="s">
        <v>8409</v>
      </c>
      <c r="B2800" s="1077" t="s">
        <v>8410</v>
      </c>
      <c r="C2800" s="1077">
        <v>500</v>
      </c>
      <c r="D2800" s="1077">
        <v>1.62</v>
      </c>
      <c r="E2800" s="1077" t="s">
        <v>15102</v>
      </c>
      <c r="F2800" s="1077" t="s">
        <v>984</v>
      </c>
      <c r="G2800" s="1077">
        <v>5</v>
      </c>
      <c r="H2800" s="1077" t="s">
        <v>8411</v>
      </c>
      <c r="I2800" s="1077" t="s">
        <v>1112</v>
      </c>
      <c r="J2800" s="1077">
        <v>1</v>
      </c>
      <c r="K2800" s="1077" t="s">
        <v>8412</v>
      </c>
      <c r="L2800" s="1077" t="s">
        <v>5253</v>
      </c>
      <c r="M2800" s="1077">
        <v>161.69999999999999</v>
      </c>
      <c r="N2800" s="1077" t="s">
        <v>945</v>
      </c>
      <c r="O2800" s="1077">
        <v>4.0424999999999995</v>
      </c>
      <c r="P2800" s="1077">
        <v>3.234</v>
      </c>
      <c r="Q2800" s="1077" t="s">
        <v>2401</v>
      </c>
      <c r="R2800" s="1077">
        <v>30.8</v>
      </c>
      <c r="T2800" s="1077">
        <v>16.8</v>
      </c>
      <c r="U2800" s="1077">
        <v>2.6</v>
      </c>
      <c r="V2800" s="1077" t="s">
        <v>648</v>
      </c>
      <c r="W2800" s="1077">
        <v>60</v>
      </c>
      <c r="X2800" s="1077">
        <v>10</v>
      </c>
      <c r="Y2800" s="1077">
        <v>1.8</v>
      </c>
      <c r="Z2800" s="1077">
        <v>5.5</v>
      </c>
      <c r="AA2800" s="1077" t="s">
        <v>4569</v>
      </c>
      <c r="AH2800" s="1077" t="s">
        <v>1827</v>
      </c>
      <c r="AM2800" s="1078" t="s">
        <v>14511</v>
      </c>
      <c r="AN2800" s="1078" t="s">
        <v>14512</v>
      </c>
      <c r="AO2800" s="1078">
        <f t="shared" si="350"/>
        <v>500</v>
      </c>
      <c r="AP2800" s="1078">
        <f t="shared" si="351"/>
        <v>1.62</v>
      </c>
      <c r="AQ2800" s="1078" t="str">
        <f t="shared" si="352"/>
        <v>2-6-1S83°</v>
      </c>
      <c r="AR2800" s="1078" t="str">
        <f t="shared" si="353"/>
        <v>30</v>
      </c>
      <c r="AS2800" s="1078" t="str">
        <f t="shared" si="354"/>
        <v>178/162</v>
      </c>
      <c r="AT2800" s="1078" t="str">
        <f t="shared" si="355"/>
        <v>2-6-1S83°</v>
      </c>
      <c r="AV2800" s="1078" t="str">
        <f t="shared" si="348"/>
        <v>108.1.2</v>
      </c>
      <c r="AW2800" s="1344">
        <f t="shared" si="349"/>
        <v>43467</v>
      </c>
    </row>
    <row r="2801" spans="1:49">
      <c r="A2801" s="1077" t="s">
        <v>8413</v>
      </c>
      <c r="B2801" s="1077" t="s">
        <v>8414</v>
      </c>
      <c r="C2801" s="1077">
        <v>500</v>
      </c>
      <c r="D2801" s="1077">
        <v>1.74</v>
      </c>
      <c r="E2801" s="1077" t="s">
        <v>15089</v>
      </c>
      <c r="F2801" s="1077" t="s">
        <v>954</v>
      </c>
      <c r="G2801" s="1077" t="s">
        <v>2084</v>
      </c>
      <c r="H2801" s="1077" t="s">
        <v>3993</v>
      </c>
      <c r="I2801" s="1077" t="s">
        <v>126</v>
      </c>
      <c r="J2801" s="1077">
        <v>1.1000000000000001</v>
      </c>
      <c r="K2801" s="1077" t="s">
        <v>8415</v>
      </c>
      <c r="L2801" s="1077" t="s">
        <v>8416</v>
      </c>
      <c r="M2801" s="1077">
        <v>72</v>
      </c>
      <c r="N2801" s="1077" t="s">
        <v>945</v>
      </c>
      <c r="O2801" s="1077">
        <v>1.8</v>
      </c>
      <c r="P2801" s="1077">
        <v>1.44</v>
      </c>
      <c r="Q2801" s="1077" t="s">
        <v>1369</v>
      </c>
      <c r="R2801" s="1077">
        <v>21</v>
      </c>
      <c r="T2801" s="1077">
        <v>21.5</v>
      </c>
      <c r="U2801" s="1077">
        <v>3.5</v>
      </c>
      <c r="V2801" s="1077" t="s">
        <v>648</v>
      </c>
      <c r="W2801" s="1077">
        <v>120</v>
      </c>
      <c r="X2801" s="1077">
        <v>60</v>
      </c>
      <c r="Y2801" s="1077">
        <v>2.5</v>
      </c>
      <c r="Z2801" s="1077">
        <v>5</v>
      </c>
      <c r="AA2801" s="1077" t="s">
        <v>1022</v>
      </c>
      <c r="AH2801" s="1077" t="s">
        <v>884</v>
      </c>
      <c r="AM2801" s="1078" t="s">
        <v>14513</v>
      </c>
      <c r="AN2801" s="1078" t="s">
        <v>14514</v>
      </c>
      <c r="AO2801" s="1078">
        <f t="shared" si="350"/>
        <v>500</v>
      </c>
      <c r="AP2801" s="1078">
        <f t="shared" si="351"/>
        <v>1.74</v>
      </c>
      <c r="AQ2801" s="1078" t="str">
        <f t="shared" si="352"/>
        <v>1-4-1S83°</v>
      </c>
      <c r="AR2801" s="1078" t="str">
        <f t="shared" si="353"/>
        <v>31</v>
      </c>
      <c r="AS2801" s="1078" t="str">
        <f t="shared" si="354"/>
        <v>218/218/OFF</v>
      </c>
      <c r="AT2801" s="1078" t="str">
        <f t="shared" si="355"/>
        <v>1-4-1S83°</v>
      </c>
      <c r="AV2801" s="1078" t="str">
        <f t="shared" si="348"/>
        <v>108.3.11</v>
      </c>
      <c r="AW2801" s="1344">
        <f t="shared" si="349"/>
        <v>43535</v>
      </c>
    </row>
    <row r="2802" spans="1:49">
      <c r="A2802" s="1077" t="s">
        <v>8417</v>
      </c>
      <c r="B2802" s="1077" t="s">
        <v>8414</v>
      </c>
      <c r="C2802" s="1077">
        <v>500</v>
      </c>
      <c r="D2802" s="1077">
        <v>1.74</v>
      </c>
      <c r="E2802" s="1077" t="s">
        <v>15089</v>
      </c>
      <c r="F2802" s="1077" t="s">
        <v>954</v>
      </c>
      <c r="G2802" s="1077" t="s">
        <v>2084</v>
      </c>
      <c r="H2802" s="1077" t="s">
        <v>3993</v>
      </c>
      <c r="I2802" s="1077" t="s">
        <v>126</v>
      </c>
      <c r="J2802" s="1077">
        <v>1.1000000000000001</v>
      </c>
      <c r="K2802" s="1077" t="s">
        <v>8415</v>
      </c>
      <c r="L2802" s="1077" t="s">
        <v>8416</v>
      </c>
      <c r="M2802" s="1077">
        <v>72</v>
      </c>
      <c r="N2802" s="1077" t="s">
        <v>945</v>
      </c>
      <c r="O2802" s="1077">
        <v>1.8</v>
      </c>
      <c r="P2802" s="1077">
        <v>1.44</v>
      </c>
      <c r="Q2802" s="1077" t="s">
        <v>1369</v>
      </c>
      <c r="R2802" s="1077">
        <v>21</v>
      </c>
      <c r="T2802" s="1077">
        <v>21.5</v>
      </c>
      <c r="U2802" s="1077">
        <v>3.5</v>
      </c>
      <c r="V2802" s="1077" t="s">
        <v>648</v>
      </c>
      <c r="W2802" s="1077">
        <v>120</v>
      </c>
      <c r="X2802" s="1077">
        <v>60</v>
      </c>
      <c r="Y2802" s="1077">
        <v>2.5</v>
      </c>
      <c r="Z2802" s="1077">
        <v>5</v>
      </c>
      <c r="AA2802" s="1077" t="s">
        <v>2572</v>
      </c>
      <c r="AH2802" s="1077" t="s">
        <v>722</v>
      </c>
      <c r="AM2802" s="1078" t="s">
        <v>14515</v>
      </c>
      <c r="AN2802" s="1078" t="s">
        <v>14516</v>
      </c>
      <c r="AO2802" s="1078">
        <f t="shared" si="350"/>
        <v>500</v>
      </c>
      <c r="AP2802" s="1078">
        <f t="shared" si="351"/>
        <v>1.74</v>
      </c>
      <c r="AQ2802" s="1078" t="str">
        <f t="shared" si="352"/>
        <v>1-4-1S83°</v>
      </c>
      <c r="AR2802" s="1078" t="str">
        <f t="shared" si="353"/>
        <v>31</v>
      </c>
      <c r="AS2802" s="1078" t="str">
        <f t="shared" si="354"/>
        <v>218/218/OFF</v>
      </c>
      <c r="AT2802" s="1078" t="str">
        <f t="shared" si="355"/>
        <v>1-4-1S83°</v>
      </c>
      <c r="AV2802" s="1078" t="str">
        <f t="shared" si="348"/>
        <v>108.3.18</v>
      </c>
      <c r="AW2802" s="1344">
        <f t="shared" si="349"/>
        <v>43542</v>
      </c>
    </row>
    <row r="2803" spans="1:49">
      <c r="A2803" s="1077" t="s">
        <v>8418</v>
      </c>
      <c r="B2803" s="1077" t="s">
        <v>8419</v>
      </c>
      <c r="C2803" s="1077">
        <v>600</v>
      </c>
      <c r="D2803" s="1077">
        <v>1.8</v>
      </c>
      <c r="E2803" s="1077" t="s">
        <v>15094</v>
      </c>
      <c r="F2803" s="1077" t="s">
        <v>984</v>
      </c>
      <c r="G2803" s="1077" t="s">
        <v>1767</v>
      </c>
      <c r="H2803" s="1077" t="s">
        <v>8420</v>
      </c>
      <c r="I2803" s="1077" t="s">
        <v>460</v>
      </c>
      <c r="J2803" s="1077">
        <v>1.9</v>
      </c>
      <c r="K2803" s="1077" t="s">
        <v>8421</v>
      </c>
      <c r="L2803" s="1077" t="s">
        <v>8422</v>
      </c>
      <c r="M2803" s="1077">
        <v>201.1</v>
      </c>
      <c r="N2803" s="1077" t="s">
        <v>945</v>
      </c>
      <c r="O2803" s="1077">
        <v>5.0274999999999999</v>
      </c>
      <c r="P2803" s="1077">
        <v>4.0220000000000002</v>
      </c>
      <c r="Q2803" s="1077" t="s">
        <v>1369</v>
      </c>
      <c r="R2803" s="1077">
        <v>25</v>
      </c>
      <c r="T2803" s="1077">
        <v>6.1</v>
      </c>
      <c r="U2803" s="1077">
        <v>6.5</v>
      </c>
      <c r="V2803" s="1077" t="s">
        <v>648</v>
      </c>
      <c r="W2803" s="1077">
        <v>110</v>
      </c>
      <c r="X2803" s="1077">
        <v>70</v>
      </c>
      <c r="Y2803" s="1077">
        <v>1.8</v>
      </c>
      <c r="Z2803" s="1077">
        <v>4</v>
      </c>
      <c r="AA2803" s="1077" t="s">
        <v>2572</v>
      </c>
      <c r="AH2803" s="1077" t="s">
        <v>877</v>
      </c>
      <c r="AM2803" s="1078" t="s">
        <v>14517</v>
      </c>
      <c r="AN2803" s="1078" t="s">
        <v>14518</v>
      </c>
      <c r="AO2803" s="1078">
        <f t="shared" si="350"/>
        <v>600</v>
      </c>
      <c r="AP2803" s="1078">
        <f t="shared" si="351"/>
        <v>1.8</v>
      </c>
      <c r="AQ2803" s="1078" t="str">
        <f t="shared" si="352"/>
        <v>1-5-1S91°</v>
      </c>
      <c r="AR2803" s="1078" t="str">
        <f t="shared" si="353"/>
        <v>30</v>
      </c>
      <c r="AS2803" s="1078" t="str">
        <f t="shared" si="354"/>
        <v>280/280/159</v>
      </c>
      <c r="AT2803" s="1078" t="str">
        <f t="shared" si="355"/>
        <v>1-5-1S91°</v>
      </c>
      <c r="AV2803" s="1078" t="str">
        <f t="shared" si="348"/>
        <v>108.3.18</v>
      </c>
      <c r="AW2803" s="1344">
        <f t="shared" si="349"/>
        <v>43542</v>
      </c>
    </row>
    <row r="2804" spans="1:49">
      <c r="A2804" s="1077" t="s">
        <v>8423</v>
      </c>
      <c r="B2804" s="1077" t="s">
        <v>8424</v>
      </c>
      <c r="C2804" s="1077">
        <v>620</v>
      </c>
      <c r="D2804" s="1077">
        <v>1.7</v>
      </c>
      <c r="E2804" s="1077" t="s">
        <v>15089</v>
      </c>
      <c r="F2804" s="1077" t="s">
        <v>2167</v>
      </c>
      <c r="G2804" s="1077">
        <v>2</v>
      </c>
      <c r="H2804" s="1077" t="s">
        <v>1226</v>
      </c>
      <c r="I2804" s="1077" t="s">
        <v>1073</v>
      </c>
      <c r="J2804" s="1077">
        <v>1.6</v>
      </c>
      <c r="K2804" s="1077" t="s">
        <v>8425</v>
      </c>
      <c r="L2804" s="1077" t="s">
        <v>8426</v>
      </c>
      <c r="M2804" s="1077">
        <v>31.5</v>
      </c>
      <c r="N2804" s="1077" t="s">
        <v>945</v>
      </c>
      <c r="O2804" s="1077">
        <v>0.78750000000000009</v>
      </c>
      <c r="P2804" s="1077">
        <v>0.63</v>
      </c>
      <c r="Q2804" s="1077" t="s">
        <v>946</v>
      </c>
      <c r="R2804" s="1077">
        <v>20</v>
      </c>
      <c r="T2804" s="1077">
        <v>39</v>
      </c>
      <c r="U2804" s="1077">
        <v>3.5</v>
      </c>
      <c r="V2804" s="1077" t="s">
        <v>648</v>
      </c>
      <c r="W2804" s="1077">
        <v>150</v>
      </c>
      <c r="X2804" s="1077">
        <v>85</v>
      </c>
      <c r="Y2804" s="1077">
        <v>3</v>
      </c>
      <c r="Z2804" s="1077">
        <v>3.5</v>
      </c>
      <c r="AA2804" s="1077" t="s">
        <v>8427</v>
      </c>
      <c r="AH2804" s="1077" t="s">
        <v>990</v>
      </c>
      <c r="AM2804" s="1078" t="s">
        <v>14519</v>
      </c>
      <c r="AN2804" s="1078" t="s">
        <v>14520</v>
      </c>
      <c r="AO2804" s="1078">
        <f t="shared" si="350"/>
        <v>620</v>
      </c>
      <c r="AP2804" s="1078">
        <f t="shared" si="351"/>
        <v>1.7</v>
      </c>
      <c r="AQ2804" s="1078" t="str">
        <f t="shared" si="352"/>
        <v>1-4-1S83°</v>
      </c>
      <c r="AR2804" s="1078" t="str">
        <f t="shared" si="353"/>
        <v>33</v>
      </c>
      <c r="AS2804" s="1078" t="str">
        <f t="shared" si="354"/>
        <v>230/230/OFF</v>
      </c>
      <c r="AT2804" s="1078" t="str">
        <f t="shared" si="355"/>
        <v>1-4-1S83°</v>
      </c>
      <c r="AV2804" s="1078" t="str">
        <f t="shared" si="348"/>
        <v>108.3.21</v>
      </c>
      <c r="AW2804" s="1344">
        <f t="shared" si="349"/>
        <v>43545</v>
      </c>
    </row>
    <row r="2805" spans="1:49">
      <c r="A2805" s="1077" t="s">
        <v>8428</v>
      </c>
      <c r="B2805" s="1077" t="s">
        <v>8429</v>
      </c>
      <c r="C2805" s="1077">
        <v>500</v>
      </c>
      <c r="D2805" s="1077">
        <v>1.72</v>
      </c>
      <c r="E2805" s="1077" t="s">
        <v>15089</v>
      </c>
      <c r="F2805" s="1077" t="s">
        <v>954</v>
      </c>
      <c r="G2805" s="1077">
        <v>2</v>
      </c>
      <c r="H2805" s="1077" t="s">
        <v>1445</v>
      </c>
      <c r="I2805" s="1077" t="s">
        <v>626</v>
      </c>
      <c r="J2805" s="1077">
        <v>0.8</v>
      </c>
      <c r="K2805" s="1077" t="s">
        <v>8430</v>
      </c>
      <c r="L2805" s="1077" t="s">
        <v>872</v>
      </c>
      <c r="M2805" s="1077">
        <v>30.9</v>
      </c>
      <c r="N2805" s="1077" t="s">
        <v>945</v>
      </c>
      <c r="O2805" s="1077">
        <v>0.77249999999999996</v>
      </c>
      <c r="P2805" s="1077">
        <v>0.61799999999999999</v>
      </c>
      <c r="Q2805" s="1077" t="s">
        <v>8431</v>
      </c>
      <c r="R2805" s="1077">
        <v>19.5</v>
      </c>
      <c r="T2805" s="1077">
        <v>30.1</v>
      </c>
      <c r="U2805" s="1077">
        <v>3.9</v>
      </c>
      <c r="V2805" s="1077" t="s">
        <v>648</v>
      </c>
      <c r="W2805" s="1077">
        <v>150</v>
      </c>
      <c r="X2805" s="1077">
        <v>80</v>
      </c>
      <c r="Y2805" s="1077">
        <v>2.2000000000000002</v>
      </c>
      <c r="Z2805" s="1077" t="s">
        <v>4152</v>
      </c>
      <c r="AA2805" s="1077" t="s">
        <v>2583</v>
      </c>
      <c r="AH2805" s="1077" t="s">
        <v>884</v>
      </c>
      <c r="AM2805" s="1078" t="s">
        <v>14521</v>
      </c>
      <c r="AN2805" s="1078" t="s">
        <v>14522</v>
      </c>
      <c r="AO2805" s="1078">
        <f t="shared" si="350"/>
        <v>500</v>
      </c>
      <c r="AP2805" s="1078">
        <f t="shared" si="351"/>
        <v>1.72</v>
      </c>
      <c r="AQ2805" s="1078" t="str">
        <f t="shared" si="352"/>
        <v>1-4-1S83°</v>
      </c>
      <c r="AR2805" s="1078" t="str">
        <f t="shared" si="353"/>
        <v>31</v>
      </c>
      <c r="AS2805" s="1078" t="str">
        <f t="shared" si="354"/>
        <v>207/207/OFF</v>
      </c>
      <c r="AT2805" s="1078" t="str">
        <f t="shared" si="355"/>
        <v>1-4-1S83°</v>
      </c>
      <c r="AV2805" s="1078" t="str">
        <f t="shared" si="348"/>
        <v>108.4.1</v>
      </c>
      <c r="AW2805" s="1344">
        <f t="shared" si="349"/>
        <v>43556</v>
      </c>
    </row>
    <row r="2806" spans="1:49">
      <c r="A2806" s="1077" t="s">
        <v>8432</v>
      </c>
      <c r="B2806" s="1077" t="s">
        <v>781</v>
      </c>
      <c r="C2806" s="1077">
        <v>450</v>
      </c>
      <c r="D2806" s="1077">
        <v>1.88</v>
      </c>
      <c r="E2806" s="1077" t="s">
        <v>15095</v>
      </c>
      <c r="F2806" s="1077" t="s">
        <v>975</v>
      </c>
      <c r="G2806" s="1077">
        <v>3</v>
      </c>
      <c r="H2806" s="1077" t="s">
        <v>8433</v>
      </c>
      <c r="I2806" s="1077" t="s">
        <v>626</v>
      </c>
      <c r="J2806" s="1077">
        <v>1.4</v>
      </c>
      <c r="K2806" s="1077" t="s">
        <v>8434</v>
      </c>
      <c r="L2806" s="1077" t="s">
        <v>8435</v>
      </c>
      <c r="M2806" s="1077">
        <v>80.8</v>
      </c>
      <c r="N2806" s="1077" t="s">
        <v>945</v>
      </c>
      <c r="O2806" s="1077">
        <v>2.02</v>
      </c>
      <c r="P2806" s="1077">
        <v>1.6159999999999999</v>
      </c>
      <c r="Q2806" s="1077" t="s">
        <v>1369</v>
      </c>
      <c r="R2806" s="1077">
        <v>22.6</v>
      </c>
      <c r="T2806" s="1077">
        <v>6.2</v>
      </c>
      <c r="U2806" s="1077">
        <v>9.4</v>
      </c>
      <c r="V2806" s="1077" t="s">
        <v>648</v>
      </c>
      <c r="W2806" s="1077">
        <v>135</v>
      </c>
      <c r="X2806" s="1077">
        <v>55</v>
      </c>
      <c r="Y2806" s="1077">
        <v>1.6</v>
      </c>
      <c r="Z2806" s="1077" t="s">
        <v>8436</v>
      </c>
      <c r="AA2806" s="1077" t="s">
        <v>2583</v>
      </c>
      <c r="AH2806" s="1077" t="s">
        <v>998</v>
      </c>
      <c r="AM2806" s="1078" t="s">
        <v>14523</v>
      </c>
      <c r="AN2806" s="1078" t="s">
        <v>14524</v>
      </c>
      <c r="AO2806" s="1078">
        <f t="shared" si="350"/>
        <v>450</v>
      </c>
      <c r="AP2806" s="1078">
        <f t="shared" si="351"/>
        <v>1.88</v>
      </c>
      <c r="AQ2806" s="1078" t="str">
        <f t="shared" si="352"/>
        <v>1-5-1S83°</v>
      </c>
      <c r="AR2806" s="1078" t="str">
        <f t="shared" si="353"/>
        <v>31.5</v>
      </c>
      <c r="AS2806" s="1078" t="str">
        <f t="shared" si="354"/>
        <v>140/140/OFF</v>
      </c>
      <c r="AT2806" s="1078" t="str">
        <f t="shared" si="355"/>
        <v>1-5-1S83°</v>
      </c>
      <c r="AV2806" s="1078" t="str">
        <f t="shared" si="348"/>
        <v>108.4.1</v>
      </c>
      <c r="AW2806" s="1344">
        <f t="shared" si="349"/>
        <v>43556</v>
      </c>
    </row>
    <row r="2807" spans="1:49">
      <c r="A2807" s="1077" t="s">
        <v>8437</v>
      </c>
      <c r="B2807" s="1077" t="s">
        <v>8438</v>
      </c>
      <c r="C2807" s="1077">
        <v>500</v>
      </c>
      <c r="D2807" s="1077">
        <v>1.6</v>
      </c>
      <c r="E2807" s="1077" t="s">
        <v>15094</v>
      </c>
      <c r="F2807" s="1077" t="s">
        <v>954</v>
      </c>
      <c r="G2807" s="1077">
        <v>4.5</v>
      </c>
      <c r="H2807" s="1077" t="s">
        <v>5639</v>
      </c>
      <c r="I2807" s="1077" t="s">
        <v>460</v>
      </c>
      <c r="J2807" s="1077">
        <v>3.4</v>
      </c>
      <c r="K2807" s="1077" t="s">
        <v>4960</v>
      </c>
      <c r="L2807" s="1077" t="s">
        <v>4907</v>
      </c>
      <c r="M2807" s="1077">
        <v>166.5</v>
      </c>
      <c r="N2807" s="1077" t="s">
        <v>945</v>
      </c>
      <c r="O2807" s="1077">
        <v>4.1625000000000005</v>
      </c>
      <c r="P2807" s="1077">
        <v>3.33</v>
      </c>
      <c r="Q2807" s="1077" t="s">
        <v>1363</v>
      </c>
      <c r="R2807" s="1077">
        <v>28.9</v>
      </c>
      <c r="T2807" s="1077">
        <v>10.6</v>
      </c>
      <c r="U2807" s="1077">
        <v>4.0999999999999996</v>
      </c>
      <c r="V2807" s="1077" t="s">
        <v>648</v>
      </c>
      <c r="W2807" s="1077">
        <v>110</v>
      </c>
      <c r="X2807" s="1077">
        <v>90</v>
      </c>
      <c r="Y2807" s="1077">
        <v>1.8</v>
      </c>
      <c r="Z2807" s="1077">
        <v>5</v>
      </c>
      <c r="AA2807" s="1077" t="s">
        <v>2577</v>
      </c>
      <c r="AH2807" s="1077" t="s">
        <v>877</v>
      </c>
      <c r="AM2807" s="1078" t="s">
        <v>14525</v>
      </c>
      <c r="AN2807" s="1078" t="s">
        <v>14526</v>
      </c>
      <c r="AO2807" s="1078">
        <f t="shared" si="350"/>
        <v>500</v>
      </c>
      <c r="AP2807" s="1078">
        <f t="shared" si="351"/>
        <v>1.6</v>
      </c>
      <c r="AQ2807" s="1078" t="str">
        <f t="shared" si="352"/>
        <v>1-5-1S91°</v>
      </c>
      <c r="AR2807" s="1078" t="str">
        <f t="shared" si="353"/>
        <v>31</v>
      </c>
      <c r="AS2807" s="1078" t="str">
        <f t="shared" si="354"/>
        <v>300/300/145</v>
      </c>
      <c r="AT2807" s="1078" t="str">
        <f t="shared" si="355"/>
        <v>1-5-1S91°</v>
      </c>
      <c r="AV2807" s="1078" t="str">
        <f t="shared" si="348"/>
        <v>108.4.3</v>
      </c>
      <c r="AW2807" s="1344">
        <f t="shared" si="349"/>
        <v>43558</v>
      </c>
    </row>
    <row r="2808" spans="1:49">
      <c r="A2808" s="1077" t="s">
        <v>8439</v>
      </c>
      <c r="B2808" s="1077" t="s">
        <v>8424</v>
      </c>
      <c r="C2808" s="1077">
        <v>620</v>
      </c>
      <c r="D2808" s="1077">
        <v>1.7</v>
      </c>
      <c r="E2808" s="1077" t="s">
        <v>15089</v>
      </c>
      <c r="F2808" s="1077" t="s">
        <v>2167</v>
      </c>
      <c r="G2808" s="1077">
        <v>2</v>
      </c>
      <c r="H2808" s="1077" t="s">
        <v>1918</v>
      </c>
      <c r="I2808" s="1077" t="s">
        <v>1073</v>
      </c>
      <c r="J2808" s="1077">
        <v>1.6</v>
      </c>
      <c r="K2808" s="1077" t="s">
        <v>8425</v>
      </c>
      <c r="L2808" s="1077" t="s">
        <v>8426</v>
      </c>
      <c r="M2808" s="1077">
        <v>31.5</v>
      </c>
      <c r="N2808" s="1077" t="s">
        <v>945</v>
      </c>
      <c r="O2808" s="1077">
        <v>0.78750000000000009</v>
      </c>
      <c r="P2808" s="1077">
        <v>0.63</v>
      </c>
      <c r="Q2808" s="1077" t="s">
        <v>946</v>
      </c>
      <c r="R2808" s="1077">
        <v>20</v>
      </c>
      <c r="T2808" s="1077">
        <v>39</v>
      </c>
      <c r="U2808" s="1077">
        <v>3.5</v>
      </c>
      <c r="V2808" s="1077" t="s">
        <v>648</v>
      </c>
      <c r="W2808" s="1077">
        <v>150</v>
      </c>
      <c r="X2808" s="1077">
        <v>85</v>
      </c>
      <c r="Y2808" s="1077">
        <v>3</v>
      </c>
      <c r="Z2808" s="1077">
        <v>3.5</v>
      </c>
      <c r="AA2808" s="1077" t="s">
        <v>2608</v>
      </c>
      <c r="AH2808" s="1077" t="s">
        <v>1421</v>
      </c>
      <c r="AM2808" s="1078" t="s">
        <v>14527</v>
      </c>
      <c r="AN2808" s="1078" t="s">
        <v>14528</v>
      </c>
      <c r="AO2808" s="1078">
        <f t="shared" si="350"/>
        <v>620</v>
      </c>
      <c r="AP2808" s="1078">
        <f t="shared" si="351"/>
        <v>1.7</v>
      </c>
      <c r="AQ2808" s="1078" t="str">
        <f t="shared" si="352"/>
        <v>1-4-1S83°</v>
      </c>
      <c r="AR2808" s="1078" t="str">
        <f t="shared" si="353"/>
        <v>33</v>
      </c>
      <c r="AS2808" s="1078" t="str">
        <f t="shared" si="354"/>
        <v>233/233/OFF</v>
      </c>
      <c r="AT2808" s="1078" t="str">
        <f t="shared" si="355"/>
        <v>1-4-1S83°</v>
      </c>
      <c r="AV2808" s="1078" t="str">
        <f t="shared" si="348"/>
        <v>108.4.15</v>
      </c>
      <c r="AW2808" s="1344">
        <f t="shared" si="349"/>
        <v>43570</v>
      </c>
    </row>
    <row r="2809" spans="1:49">
      <c r="A2809" s="1077" t="s">
        <v>8440</v>
      </c>
      <c r="B2809" s="1077" t="s">
        <v>8429</v>
      </c>
      <c r="C2809" s="1077">
        <v>500</v>
      </c>
      <c r="D2809" s="1077">
        <v>1.72</v>
      </c>
      <c r="E2809" s="1077" t="s">
        <v>15089</v>
      </c>
      <c r="F2809" s="1077" t="s">
        <v>954</v>
      </c>
      <c r="G2809" s="1077">
        <v>2</v>
      </c>
      <c r="H2809" s="1077" t="s">
        <v>1445</v>
      </c>
      <c r="I2809" s="1077" t="s">
        <v>626</v>
      </c>
      <c r="J2809" s="1077">
        <v>0.8</v>
      </c>
      <c r="K2809" s="1077" t="s">
        <v>8441</v>
      </c>
      <c r="L2809" s="1077" t="s">
        <v>8442</v>
      </c>
      <c r="M2809" s="1077">
        <v>30.9</v>
      </c>
      <c r="N2809" s="1077" t="s">
        <v>945</v>
      </c>
      <c r="O2809" s="1077">
        <v>0.77249999999999996</v>
      </c>
      <c r="P2809" s="1077">
        <v>0.61799999999999999</v>
      </c>
      <c r="Q2809" s="1077" t="s">
        <v>2685</v>
      </c>
      <c r="R2809" s="1077">
        <v>19.5</v>
      </c>
      <c r="T2809" s="1077">
        <v>30.1</v>
      </c>
      <c r="U2809" s="1077">
        <v>3.9</v>
      </c>
      <c r="V2809" s="1077" t="s">
        <v>648</v>
      </c>
      <c r="W2809" s="1077">
        <v>150</v>
      </c>
      <c r="X2809" s="1077">
        <v>80</v>
      </c>
      <c r="Y2809" s="1077">
        <v>2.2000000000000002</v>
      </c>
      <c r="Z2809" s="1077" t="s">
        <v>8443</v>
      </c>
      <c r="AA2809" s="1077" t="s">
        <v>2608</v>
      </c>
      <c r="AH2809" s="1077" t="s">
        <v>966</v>
      </c>
      <c r="AM2809" s="1078" t="s">
        <v>14529</v>
      </c>
      <c r="AN2809" s="1078" t="s">
        <v>14530</v>
      </c>
      <c r="AO2809" s="1078">
        <f t="shared" si="350"/>
        <v>500</v>
      </c>
      <c r="AP2809" s="1078">
        <f t="shared" si="351"/>
        <v>1.72</v>
      </c>
      <c r="AQ2809" s="1078" t="str">
        <f t="shared" si="352"/>
        <v>1-4-1S83°</v>
      </c>
      <c r="AR2809" s="1078" t="str">
        <f t="shared" si="353"/>
        <v>31</v>
      </c>
      <c r="AS2809" s="1078" t="str">
        <f t="shared" si="354"/>
        <v>207/207/OFF</v>
      </c>
      <c r="AT2809" s="1078" t="str">
        <f t="shared" si="355"/>
        <v>1-4-1S83°</v>
      </c>
      <c r="AV2809" s="1078" t="str">
        <f t="shared" si="348"/>
        <v>108.4.15</v>
      </c>
      <c r="AW2809" s="1344">
        <f t="shared" si="349"/>
        <v>43570</v>
      </c>
    </row>
    <row r="2810" spans="1:49">
      <c r="A2810" s="1077" t="s">
        <v>8444</v>
      </c>
      <c r="B2810" s="1077" t="s">
        <v>8410</v>
      </c>
      <c r="C2810" s="1077">
        <v>500</v>
      </c>
      <c r="D2810" s="1077">
        <v>1.62</v>
      </c>
      <c r="E2810" s="1077" t="s">
        <v>15102</v>
      </c>
      <c r="F2810" s="1077" t="s">
        <v>984</v>
      </c>
      <c r="G2810" s="1077">
        <v>5</v>
      </c>
      <c r="H2810" s="1077" t="s">
        <v>8411</v>
      </c>
      <c r="I2810" s="1077" t="s">
        <v>1167</v>
      </c>
      <c r="J2810" s="1077">
        <v>1</v>
      </c>
      <c r="K2810" s="1077" t="s">
        <v>8445</v>
      </c>
      <c r="L2810" s="1077" t="s">
        <v>5253</v>
      </c>
      <c r="M2810" s="1077">
        <v>161.69999999999999</v>
      </c>
      <c r="N2810" s="1077" t="s">
        <v>945</v>
      </c>
      <c r="O2810" s="1077">
        <v>4.0424999999999995</v>
      </c>
      <c r="P2810" s="1077">
        <v>3.234</v>
      </c>
      <c r="Q2810" s="1077" t="s">
        <v>2401</v>
      </c>
      <c r="R2810" s="1077">
        <v>30.8</v>
      </c>
      <c r="T2810" s="1077">
        <v>16.8</v>
      </c>
      <c r="U2810" s="1077">
        <v>2.6</v>
      </c>
      <c r="V2810" s="1077" t="s">
        <v>648</v>
      </c>
      <c r="W2810" s="1077">
        <v>60</v>
      </c>
      <c r="X2810" s="1077">
        <v>10</v>
      </c>
      <c r="Y2810" s="1077">
        <v>1.8</v>
      </c>
      <c r="Z2810" s="1077">
        <v>5.5</v>
      </c>
      <c r="AA2810" s="1077" t="s">
        <v>2608</v>
      </c>
      <c r="AH2810" s="1077" t="s">
        <v>1178</v>
      </c>
      <c r="AM2810" s="1078" t="s">
        <v>14531</v>
      </c>
      <c r="AN2810" s="1078" t="s">
        <v>14532</v>
      </c>
      <c r="AO2810" s="1078">
        <f t="shared" si="350"/>
        <v>500</v>
      </c>
      <c r="AP2810" s="1078">
        <f t="shared" si="351"/>
        <v>1.62</v>
      </c>
      <c r="AQ2810" s="1078" t="str">
        <f t="shared" si="352"/>
        <v>2-6-1S83°</v>
      </c>
      <c r="AR2810" s="1078" t="str">
        <f t="shared" si="353"/>
        <v>30</v>
      </c>
      <c r="AS2810" s="1078" t="str">
        <f t="shared" si="354"/>
        <v>178/162</v>
      </c>
      <c r="AT2810" s="1078" t="str">
        <f t="shared" si="355"/>
        <v>2-6-1S83°</v>
      </c>
      <c r="AV2810" s="1078" t="str">
        <f t="shared" si="348"/>
        <v>108.4.15</v>
      </c>
      <c r="AW2810" s="1344">
        <f t="shared" si="349"/>
        <v>43570</v>
      </c>
    </row>
    <row r="2811" spans="1:49">
      <c r="A2811" s="1077" t="s">
        <v>8446</v>
      </c>
      <c r="B2811" s="1077" t="s">
        <v>987</v>
      </c>
      <c r="C2811" s="1077">
        <v>750</v>
      </c>
      <c r="D2811" s="1077">
        <v>1.7050000000000001</v>
      </c>
      <c r="E2811" s="1077" t="s">
        <v>15090</v>
      </c>
      <c r="F2811" s="1077" t="s">
        <v>648</v>
      </c>
      <c r="G2811" s="1077" t="s">
        <v>1767</v>
      </c>
      <c r="H2811" s="1077" t="s">
        <v>4874</v>
      </c>
      <c r="I2811" s="1077" t="s">
        <v>126</v>
      </c>
      <c r="J2811" s="1077">
        <v>1</v>
      </c>
      <c r="K2811" s="1077" t="s">
        <v>8447</v>
      </c>
      <c r="L2811" s="1077" t="s">
        <v>8448</v>
      </c>
      <c r="M2811" s="1077">
        <v>86.5</v>
      </c>
      <c r="N2811" s="1077" t="s">
        <v>945</v>
      </c>
      <c r="O2811" s="1077">
        <v>2.1625000000000001</v>
      </c>
      <c r="P2811" s="1077">
        <v>1.73</v>
      </c>
      <c r="Q2811" s="1077" t="s">
        <v>961</v>
      </c>
      <c r="R2811" s="1077">
        <v>22.6</v>
      </c>
      <c r="T2811" s="1077">
        <v>23.2</v>
      </c>
      <c r="U2811" s="1077">
        <v>3.5</v>
      </c>
      <c r="V2811" s="1077" t="s">
        <v>648</v>
      </c>
      <c r="W2811" s="1077">
        <v>110</v>
      </c>
      <c r="X2811" s="1077">
        <v>75</v>
      </c>
      <c r="Y2811" s="1077">
        <v>1.8</v>
      </c>
      <c r="Z2811" s="1077">
        <v>5.5</v>
      </c>
      <c r="AA2811" s="1077" t="s">
        <v>2617</v>
      </c>
      <c r="AH2811" s="1077" t="s">
        <v>868</v>
      </c>
      <c r="AM2811" s="1078" t="s">
        <v>14533</v>
      </c>
      <c r="AN2811" s="1078" t="s">
        <v>14534</v>
      </c>
      <c r="AO2811" s="1078">
        <f t="shared" si="350"/>
        <v>750</v>
      </c>
      <c r="AP2811" s="1078">
        <f t="shared" si="351"/>
        <v>1.7050000000000001</v>
      </c>
      <c r="AQ2811" s="1078" t="str">
        <f t="shared" si="352"/>
        <v>1-5-1S85°</v>
      </c>
      <c r="AR2811" s="1078" t="str">
        <f t="shared" si="353"/>
        <v>NA</v>
      </c>
      <c r="AS2811" s="1078" t="str">
        <f t="shared" si="354"/>
        <v>187/OFF</v>
      </c>
      <c r="AT2811" s="1078" t="str">
        <f t="shared" si="355"/>
        <v>1-5-1S85°</v>
      </c>
      <c r="AV2811" s="1078" t="str">
        <f t="shared" si="348"/>
        <v>108.4.22</v>
      </c>
      <c r="AW2811" s="1344">
        <f t="shared" si="349"/>
        <v>43577</v>
      </c>
    </row>
    <row r="2812" spans="1:49">
      <c r="A2812" s="1077" t="s">
        <v>8449</v>
      </c>
      <c r="B2812" s="1077" t="s">
        <v>8429</v>
      </c>
      <c r="C2812" s="1077">
        <v>500</v>
      </c>
      <c r="D2812" s="1077">
        <v>1.72</v>
      </c>
      <c r="E2812" s="1077" t="s">
        <v>15089</v>
      </c>
      <c r="F2812" s="1077" t="s">
        <v>954</v>
      </c>
      <c r="G2812" s="1077">
        <v>2</v>
      </c>
      <c r="H2812" s="1077" t="s">
        <v>1445</v>
      </c>
      <c r="I2812" s="1077" t="s">
        <v>626</v>
      </c>
      <c r="J2812" s="1077">
        <v>0.8</v>
      </c>
      <c r="K2812" s="1077" t="s">
        <v>8450</v>
      </c>
      <c r="L2812" s="1077" t="s">
        <v>872</v>
      </c>
      <c r="M2812" s="1077">
        <v>30.9</v>
      </c>
      <c r="N2812" s="1077" t="s">
        <v>945</v>
      </c>
      <c r="O2812" s="1077">
        <v>0.77249999999999996</v>
      </c>
      <c r="P2812" s="1077">
        <v>0.61799999999999999</v>
      </c>
      <c r="Q2812" s="1077" t="s">
        <v>2685</v>
      </c>
      <c r="R2812" s="1077">
        <v>19.5</v>
      </c>
      <c r="T2812" s="1077">
        <v>30.1</v>
      </c>
      <c r="U2812" s="1077">
        <v>3.9</v>
      </c>
      <c r="V2812" s="1077" t="s">
        <v>648</v>
      </c>
      <c r="W2812" s="1077">
        <v>150</v>
      </c>
      <c r="X2812" s="1077">
        <v>80</v>
      </c>
      <c r="Y2812" s="1077">
        <v>2.2000000000000002</v>
      </c>
      <c r="Z2812" s="1077">
        <v>3</v>
      </c>
      <c r="AA2812" s="1077" t="s">
        <v>4995</v>
      </c>
      <c r="AH2812" s="1077" t="s">
        <v>618</v>
      </c>
      <c r="AM2812" s="1078" t="s">
        <v>14535</v>
      </c>
      <c r="AN2812" s="1078" t="s">
        <v>14536</v>
      </c>
      <c r="AO2812" s="1078">
        <f t="shared" si="350"/>
        <v>500</v>
      </c>
      <c r="AP2812" s="1078">
        <f t="shared" si="351"/>
        <v>1.72</v>
      </c>
      <c r="AQ2812" s="1078" t="str">
        <f t="shared" si="352"/>
        <v>1-4-1S83°</v>
      </c>
      <c r="AR2812" s="1078" t="str">
        <f t="shared" si="353"/>
        <v>31</v>
      </c>
      <c r="AS2812" s="1078" t="str">
        <f t="shared" si="354"/>
        <v>207/207/OFF</v>
      </c>
      <c r="AT2812" s="1078" t="str">
        <f t="shared" si="355"/>
        <v>1-4-1S83°</v>
      </c>
      <c r="AV2812" s="1078" t="str">
        <f t="shared" si="348"/>
        <v>108.5.7</v>
      </c>
      <c r="AW2812" s="1344">
        <f t="shared" si="349"/>
        <v>43592</v>
      </c>
    </row>
    <row r="2813" spans="1:49">
      <c r="A2813" s="1077" t="s">
        <v>8451</v>
      </c>
      <c r="B2813" s="1077" t="s">
        <v>8429</v>
      </c>
      <c r="C2813" s="1077">
        <v>500</v>
      </c>
      <c r="D2813" s="1077">
        <v>1.72</v>
      </c>
      <c r="E2813" s="1077" t="s">
        <v>15089</v>
      </c>
      <c r="F2813" s="1077" t="s">
        <v>954</v>
      </c>
      <c r="G2813" s="1077">
        <v>2</v>
      </c>
      <c r="H2813" s="1077" t="s">
        <v>1445</v>
      </c>
      <c r="I2813" s="1077" t="s">
        <v>626</v>
      </c>
      <c r="J2813" s="1077">
        <v>0.8</v>
      </c>
      <c r="K2813" s="1077" t="s">
        <v>8430</v>
      </c>
      <c r="L2813" s="1077" t="s">
        <v>8442</v>
      </c>
      <c r="M2813" s="1077">
        <v>30.9</v>
      </c>
      <c r="N2813" s="1077" t="s">
        <v>945</v>
      </c>
      <c r="O2813" s="1077">
        <v>0.77249999999999996</v>
      </c>
      <c r="P2813" s="1077">
        <v>0.61799999999999999</v>
      </c>
      <c r="Q2813" s="1077" t="s">
        <v>2685</v>
      </c>
      <c r="R2813" s="1077">
        <v>19.5</v>
      </c>
      <c r="T2813" s="1077">
        <v>30.1</v>
      </c>
      <c r="U2813" s="1077">
        <v>3.9</v>
      </c>
      <c r="V2813" s="1077" t="s">
        <v>648</v>
      </c>
      <c r="W2813" s="1077">
        <v>150</v>
      </c>
      <c r="X2813" s="1077">
        <v>80</v>
      </c>
      <c r="Y2813" s="1077">
        <v>2.2000000000000002</v>
      </c>
      <c r="Z2813" s="1077" t="s">
        <v>4099</v>
      </c>
      <c r="AA2813" s="1077" t="s">
        <v>8452</v>
      </c>
      <c r="AH2813" s="1077" t="s">
        <v>758</v>
      </c>
      <c r="AM2813" s="1078" t="s">
        <v>14537</v>
      </c>
      <c r="AN2813" s="1078" t="s">
        <v>14538</v>
      </c>
      <c r="AO2813" s="1078">
        <f t="shared" si="350"/>
        <v>500</v>
      </c>
      <c r="AP2813" s="1078">
        <f t="shared" si="351"/>
        <v>1.72</v>
      </c>
      <c r="AQ2813" s="1078" t="str">
        <f t="shared" si="352"/>
        <v>1-4-1S83°</v>
      </c>
      <c r="AR2813" s="1078" t="str">
        <f t="shared" si="353"/>
        <v>31</v>
      </c>
      <c r="AS2813" s="1078" t="str">
        <f t="shared" si="354"/>
        <v>207/207/OFF</v>
      </c>
      <c r="AT2813" s="1078" t="str">
        <f t="shared" si="355"/>
        <v>1-4-1S83°</v>
      </c>
      <c r="AV2813" s="1078" t="str">
        <f t="shared" si="348"/>
        <v>108.5.14</v>
      </c>
      <c r="AW2813" s="1344">
        <f t="shared" si="349"/>
        <v>43599</v>
      </c>
    </row>
    <row r="2814" spans="1:49">
      <c r="A2814" s="1077" t="s">
        <v>8453</v>
      </c>
      <c r="B2814" s="1077" t="s">
        <v>8394</v>
      </c>
      <c r="C2814" s="1077">
        <v>600</v>
      </c>
      <c r="D2814" s="1077">
        <v>1.73</v>
      </c>
      <c r="E2814" s="1077" t="s">
        <v>15089</v>
      </c>
      <c r="F2814" s="1077" t="s">
        <v>954</v>
      </c>
      <c r="G2814" s="1077">
        <v>2</v>
      </c>
      <c r="H2814" s="1077" t="s">
        <v>8454</v>
      </c>
      <c r="I2814" s="1077" t="s">
        <v>942</v>
      </c>
      <c r="J2814" s="1077">
        <v>2.1</v>
      </c>
      <c r="K2814" s="1077" t="s">
        <v>8455</v>
      </c>
      <c r="L2814" s="1077" t="s">
        <v>8396</v>
      </c>
      <c r="M2814" s="1077">
        <v>30.8</v>
      </c>
      <c r="N2814" s="1077" t="s">
        <v>945</v>
      </c>
      <c r="O2814" s="1077">
        <v>0.77</v>
      </c>
      <c r="P2814" s="1077">
        <v>0.61599999999999999</v>
      </c>
      <c r="Q2814" s="1077" t="s">
        <v>2950</v>
      </c>
      <c r="R2814" s="1077">
        <v>20.5</v>
      </c>
      <c r="T2814" s="1077">
        <v>37</v>
      </c>
      <c r="U2814" s="1077">
        <v>4</v>
      </c>
      <c r="V2814" s="1077" t="s">
        <v>648</v>
      </c>
      <c r="W2814" s="1077">
        <v>140</v>
      </c>
      <c r="X2814" s="1077">
        <v>80</v>
      </c>
      <c r="Y2814" s="1077">
        <v>2.5</v>
      </c>
      <c r="Z2814" s="1077">
        <v>4</v>
      </c>
      <c r="AA2814" s="1077" t="s">
        <v>1052</v>
      </c>
      <c r="AH2814" s="1077" t="s">
        <v>1482</v>
      </c>
      <c r="AM2814" s="1078" t="s">
        <v>14539</v>
      </c>
      <c r="AN2814" s="1078" t="s">
        <v>14540</v>
      </c>
      <c r="AO2814" s="1078">
        <f t="shared" si="350"/>
        <v>600</v>
      </c>
      <c r="AP2814" s="1078">
        <f t="shared" si="351"/>
        <v>1.73</v>
      </c>
      <c r="AQ2814" s="1078" t="str">
        <f t="shared" si="352"/>
        <v>1-4-1S83°</v>
      </c>
      <c r="AR2814" s="1078" t="str">
        <f t="shared" si="353"/>
        <v>31</v>
      </c>
      <c r="AS2814" s="1078" t="str">
        <f t="shared" si="354"/>
        <v>212/212/OFF</v>
      </c>
      <c r="AT2814" s="1078" t="str">
        <f t="shared" si="355"/>
        <v>1-4-1S83°</v>
      </c>
      <c r="AV2814" s="1078" t="str">
        <f t="shared" si="348"/>
        <v>108.5.20</v>
      </c>
      <c r="AW2814" s="1344">
        <f t="shared" si="349"/>
        <v>43605</v>
      </c>
    </row>
    <row r="2815" spans="1:49">
      <c r="A2815" s="1077" t="s">
        <v>8456</v>
      </c>
      <c r="B2815" s="1077" t="s">
        <v>8438</v>
      </c>
      <c r="C2815" s="1077">
        <v>450</v>
      </c>
      <c r="D2815" s="1077">
        <v>1.6</v>
      </c>
      <c r="E2815" s="1077" t="s">
        <v>15102</v>
      </c>
      <c r="F2815" s="1077" t="s">
        <v>1469</v>
      </c>
      <c r="G2815" s="1077">
        <v>4.5</v>
      </c>
      <c r="H2815" s="1077" t="s">
        <v>8457</v>
      </c>
      <c r="I2815" s="1077" t="s">
        <v>460</v>
      </c>
      <c r="J2815" s="1077">
        <v>3.4</v>
      </c>
      <c r="K2815" s="1077" t="s">
        <v>5022</v>
      </c>
      <c r="L2815" s="1077" t="s">
        <v>4907</v>
      </c>
      <c r="M2815" s="1077">
        <v>166.5</v>
      </c>
      <c r="N2815" s="1077" t="s">
        <v>945</v>
      </c>
      <c r="O2815" s="1077">
        <v>4.1625000000000005</v>
      </c>
      <c r="P2815" s="1077">
        <v>3.33</v>
      </c>
      <c r="Q2815" s="1077" t="s">
        <v>2794</v>
      </c>
      <c r="R2815" s="1077">
        <v>28.9</v>
      </c>
      <c r="T2815" s="1077">
        <v>10.6</v>
      </c>
      <c r="U2815" s="1077">
        <v>4.0999999999999996</v>
      </c>
      <c r="V2815" s="1077" t="s">
        <v>648</v>
      </c>
      <c r="W2815" s="1077">
        <v>110</v>
      </c>
      <c r="X2815" s="1077">
        <v>90</v>
      </c>
      <c r="Y2815" s="1077">
        <v>1.8</v>
      </c>
      <c r="Z2815" s="1077">
        <v>5</v>
      </c>
      <c r="AA2815" s="1077" t="s">
        <v>2655</v>
      </c>
      <c r="AH2815" s="1077" t="s">
        <v>782</v>
      </c>
      <c r="AM2815" s="1078" t="s">
        <v>14541</v>
      </c>
      <c r="AN2815" s="1078" t="s">
        <v>14542</v>
      </c>
      <c r="AO2815" s="1078">
        <f t="shared" si="350"/>
        <v>450</v>
      </c>
      <c r="AP2815" s="1078">
        <f t="shared" si="351"/>
        <v>1.6</v>
      </c>
      <c r="AQ2815" s="1078" t="str">
        <f t="shared" si="352"/>
        <v>2-6-1S83°</v>
      </c>
      <c r="AR2815" s="1078" t="str">
        <f t="shared" si="353"/>
        <v>30.5</v>
      </c>
      <c r="AS2815" s="1078" t="str">
        <f t="shared" si="354"/>
        <v>158/142</v>
      </c>
      <c r="AT2815" s="1078" t="str">
        <f t="shared" si="355"/>
        <v>2-6-1S83°</v>
      </c>
      <c r="AV2815" s="1078" t="str">
        <f t="shared" si="348"/>
        <v>108.6.5</v>
      </c>
      <c r="AW2815" s="1344">
        <f t="shared" si="349"/>
        <v>43621</v>
      </c>
    </row>
    <row r="2816" spans="1:49">
      <c r="A2816" s="1077" t="s">
        <v>8458</v>
      </c>
      <c r="B2816" s="1077" t="s">
        <v>8410</v>
      </c>
      <c r="C2816" s="1077">
        <v>500</v>
      </c>
      <c r="D2816" s="1077">
        <v>1.62</v>
      </c>
      <c r="E2816" s="1077" t="s">
        <v>15102</v>
      </c>
      <c r="F2816" s="1077" t="s">
        <v>1469</v>
      </c>
      <c r="G2816" s="1077">
        <v>5</v>
      </c>
      <c r="H2816" s="1077" t="s">
        <v>8459</v>
      </c>
      <c r="I2816" s="1077" t="s">
        <v>1112</v>
      </c>
      <c r="J2816" s="1077">
        <v>0.9</v>
      </c>
      <c r="K2816" s="1077" t="s">
        <v>8445</v>
      </c>
      <c r="L2816" s="1077" t="s">
        <v>5253</v>
      </c>
      <c r="M2816" s="1077">
        <v>161.69999999999999</v>
      </c>
      <c r="N2816" s="1077" t="s">
        <v>945</v>
      </c>
      <c r="O2816" s="1077">
        <v>4.0424999999999995</v>
      </c>
      <c r="P2816" s="1077">
        <v>3.234</v>
      </c>
      <c r="Q2816" s="1077" t="s">
        <v>2401</v>
      </c>
      <c r="R2816" s="1077">
        <v>30.8</v>
      </c>
      <c r="T2816" s="1077">
        <v>16.8</v>
      </c>
      <c r="U2816" s="1077">
        <v>2.6</v>
      </c>
      <c r="V2816" s="1077" t="s">
        <v>648</v>
      </c>
      <c r="W2816" s="1077">
        <v>60</v>
      </c>
      <c r="X2816" s="1077">
        <v>10</v>
      </c>
      <c r="Y2816" s="1077">
        <v>1.8</v>
      </c>
      <c r="Z2816" s="1077">
        <v>5.5</v>
      </c>
      <c r="AA2816" s="1077" t="s">
        <v>2672</v>
      </c>
      <c r="AH2816" s="1077" t="s">
        <v>712</v>
      </c>
      <c r="AM2816" s="1078" t="s">
        <v>14543</v>
      </c>
      <c r="AN2816" s="1078" t="s">
        <v>14544</v>
      </c>
      <c r="AO2816" s="1078">
        <f t="shared" si="350"/>
        <v>500</v>
      </c>
      <c r="AP2816" s="1078">
        <f t="shared" si="351"/>
        <v>1.62</v>
      </c>
      <c r="AQ2816" s="1078" t="str">
        <f t="shared" si="352"/>
        <v>2-6-1S83°</v>
      </c>
      <c r="AR2816" s="1078" t="str">
        <f t="shared" si="353"/>
        <v>30.5</v>
      </c>
      <c r="AS2816" s="1078" t="str">
        <f t="shared" si="354"/>
        <v>175/163</v>
      </c>
      <c r="AT2816" s="1078" t="str">
        <f t="shared" si="355"/>
        <v>2-6-1S83°</v>
      </c>
      <c r="AV2816" s="1078" t="str">
        <f t="shared" si="348"/>
        <v>108.6.24</v>
      </c>
      <c r="AW2816" s="1344">
        <f t="shared" si="349"/>
        <v>43640</v>
      </c>
    </row>
    <row r="2817" spans="1:49">
      <c r="A2817" s="1077" t="s">
        <v>8460</v>
      </c>
      <c r="B2817" s="1077" t="s">
        <v>6871</v>
      </c>
      <c r="C2817" s="1077">
        <v>550</v>
      </c>
      <c r="D2817" s="1077">
        <v>1.78</v>
      </c>
      <c r="E2817" s="1077">
        <v>102.5</v>
      </c>
      <c r="F2817" s="1077" t="s">
        <v>4070</v>
      </c>
      <c r="G2817" s="1077" t="s">
        <v>6865</v>
      </c>
      <c r="H2817" s="1077" t="s">
        <v>6872</v>
      </c>
      <c r="I2817" s="1077" t="s">
        <v>471</v>
      </c>
      <c r="J2817" s="1077">
        <v>1.6</v>
      </c>
      <c r="K2817" s="1077" t="s">
        <v>8461</v>
      </c>
      <c r="L2817" s="1077" t="s">
        <v>4808</v>
      </c>
      <c r="M2817" s="1077">
        <v>283</v>
      </c>
      <c r="N2817" s="1077" t="s">
        <v>945</v>
      </c>
      <c r="O2817" s="1077">
        <v>7.0750000000000002</v>
      </c>
      <c r="P2817" s="1077">
        <v>5.66</v>
      </c>
      <c r="Q2817" s="1077" t="s">
        <v>946</v>
      </c>
      <c r="R2817" s="1077">
        <v>20</v>
      </c>
      <c r="T2817" s="1077">
        <v>30.8</v>
      </c>
      <c r="U2817" s="1077">
        <v>3.5</v>
      </c>
      <c r="V2817" s="1077" t="s">
        <v>648</v>
      </c>
      <c r="W2817" s="1077" t="s">
        <v>6869</v>
      </c>
      <c r="X2817" s="1077">
        <v>10</v>
      </c>
      <c r="Y2817" s="1077">
        <v>1.6</v>
      </c>
      <c r="Z2817" s="1077" t="s">
        <v>648</v>
      </c>
      <c r="AA2817" s="1077" t="s">
        <v>8462</v>
      </c>
      <c r="AH2817" s="1077" t="s">
        <v>854</v>
      </c>
      <c r="AM2817" s="1078" t="s">
        <v>14545</v>
      </c>
      <c r="AN2817" s="1078" t="s">
        <v>14546</v>
      </c>
      <c r="AO2817" s="1078">
        <f t="shared" si="350"/>
        <v>550</v>
      </c>
      <c r="AP2817" s="1078">
        <f t="shared" si="351"/>
        <v>1.78</v>
      </c>
      <c r="AQ2817" s="1078">
        <f t="shared" si="352"/>
        <v>102.5</v>
      </c>
      <c r="AR2817" s="1078" t="str">
        <f t="shared" si="353"/>
        <v>15.5</v>
      </c>
      <c r="AS2817" s="1078" t="str">
        <f t="shared" si="354"/>
        <v>475/435/OFF</v>
      </c>
      <c r="AT2817" s="1078">
        <f t="shared" si="355"/>
        <v>102.5</v>
      </c>
      <c r="AV2817" s="1078" t="str">
        <f t="shared" si="348"/>
        <v>108.7.4</v>
      </c>
      <c r="AW2817" s="1344">
        <f t="shared" si="349"/>
        <v>43650</v>
      </c>
    </row>
    <row r="2818" spans="1:49">
      <c r="A2818" s="1077" t="s">
        <v>8463</v>
      </c>
      <c r="B2818" s="1077" t="s">
        <v>8394</v>
      </c>
      <c r="C2818" s="1077">
        <v>600</v>
      </c>
      <c r="D2818" s="1077">
        <v>1.73</v>
      </c>
      <c r="E2818" s="1077" t="s">
        <v>15089</v>
      </c>
      <c r="F2818" s="1077" t="s">
        <v>1514</v>
      </c>
      <c r="G2818" s="1077">
        <v>2</v>
      </c>
      <c r="H2818" s="1077" t="s">
        <v>8464</v>
      </c>
      <c r="I2818" s="1077" t="s">
        <v>942</v>
      </c>
      <c r="J2818" s="1077">
        <v>2.2000000000000002</v>
      </c>
      <c r="K2818" s="1077" t="s">
        <v>8455</v>
      </c>
      <c r="L2818" s="1077" t="s">
        <v>8396</v>
      </c>
      <c r="M2818" s="1077">
        <v>30.8</v>
      </c>
      <c r="N2818" s="1077" t="s">
        <v>945</v>
      </c>
      <c r="O2818" s="1077">
        <v>0.77</v>
      </c>
      <c r="P2818" s="1077">
        <v>0.61599999999999999</v>
      </c>
      <c r="Q2818" s="1077" t="s">
        <v>2950</v>
      </c>
      <c r="R2818" s="1077">
        <v>20.5</v>
      </c>
      <c r="T2818" s="1077">
        <v>37</v>
      </c>
      <c r="U2818" s="1077">
        <v>4</v>
      </c>
      <c r="V2818" s="1077" t="s">
        <v>648</v>
      </c>
      <c r="W2818" s="1077">
        <v>140</v>
      </c>
      <c r="X2818" s="1077" t="s">
        <v>1063</v>
      </c>
      <c r="Y2818" s="1077">
        <v>2.5</v>
      </c>
      <c r="Z2818" s="1077">
        <v>4</v>
      </c>
      <c r="AA2818" s="1077" t="s">
        <v>2686</v>
      </c>
      <c r="AH2818" s="1077" t="s">
        <v>3213</v>
      </c>
      <c r="AI2818" s="1077" t="s">
        <v>981</v>
      </c>
      <c r="AM2818" s="1078" t="s">
        <v>14547</v>
      </c>
      <c r="AN2818" s="1078" t="s">
        <v>14548</v>
      </c>
      <c r="AO2818" s="1078">
        <f t="shared" si="350"/>
        <v>600</v>
      </c>
      <c r="AP2818" s="1078">
        <f t="shared" si="351"/>
        <v>1.73</v>
      </c>
      <c r="AQ2818" s="1078" t="str">
        <f t="shared" si="352"/>
        <v>1-4-1S83°</v>
      </c>
      <c r="AR2818" s="1078" t="str">
        <f t="shared" si="353"/>
        <v>32</v>
      </c>
      <c r="AS2818" s="1078" t="str">
        <f t="shared" si="354"/>
        <v>213/213/OFF</v>
      </c>
      <c r="AT2818" s="1078" t="str">
        <f t="shared" si="355"/>
        <v>1-4-1S83°</v>
      </c>
      <c r="AV2818" s="1078" t="str">
        <f t="shared" ref="AV2818:AV2881" si="356">AA2818</f>
        <v>108.7.5</v>
      </c>
      <c r="AW2818" s="1344">
        <f t="shared" si="349"/>
        <v>43651</v>
      </c>
    </row>
    <row r="2819" spans="1:49">
      <c r="A2819" s="1077" t="s">
        <v>8465</v>
      </c>
      <c r="B2819" s="1077" t="s">
        <v>8466</v>
      </c>
      <c r="C2819" s="1077">
        <v>550</v>
      </c>
      <c r="D2819" s="1077">
        <v>1.786</v>
      </c>
      <c r="E2819" s="1077" t="s">
        <v>4861</v>
      </c>
      <c r="F2819" s="1077" t="s">
        <v>4070</v>
      </c>
      <c r="G2819" s="1077">
        <v>4</v>
      </c>
      <c r="H2819" s="1077" t="s">
        <v>8467</v>
      </c>
      <c r="I2819" s="1077" t="s">
        <v>626</v>
      </c>
      <c r="J2819" s="1077">
        <v>1.8</v>
      </c>
      <c r="K2819" s="1077" t="s">
        <v>8468</v>
      </c>
      <c r="L2819" s="1077" t="s">
        <v>4064</v>
      </c>
      <c r="M2819" s="1077">
        <v>193</v>
      </c>
      <c r="N2819" s="1077" t="s">
        <v>945</v>
      </c>
      <c r="O2819" s="1077">
        <v>4.8250000000000002</v>
      </c>
      <c r="P2819" s="1077">
        <v>3.86</v>
      </c>
      <c r="Q2819" s="1077" t="s">
        <v>988</v>
      </c>
      <c r="R2819" s="1077">
        <v>19</v>
      </c>
      <c r="T2819" s="1077">
        <v>10</v>
      </c>
      <c r="U2819" s="1077">
        <v>4.5</v>
      </c>
      <c r="V2819" s="1077" t="s">
        <v>648</v>
      </c>
      <c r="W2819" s="1077">
        <v>110</v>
      </c>
      <c r="X2819" s="1077">
        <v>30</v>
      </c>
      <c r="Y2819" s="1077">
        <v>1.3</v>
      </c>
      <c r="Z2819" s="1077" t="s">
        <v>648</v>
      </c>
      <c r="AA2819" s="1077" t="s">
        <v>1099</v>
      </c>
      <c r="AH2819" s="1077" t="s">
        <v>869</v>
      </c>
      <c r="AM2819" s="1078" t="s">
        <v>14549</v>
      </c>
      <c r="AN2819" s="1078" t="s">
        <v>14550</v>
      </c>
      <c r="AO2819" s="1078">
        <f t="shared" si="350"/>
        <v>550</v>
      </c>
      <c r="AP2819" s="1078">
        <f t="shared" si="351"/>
        <v>1.786</v>
      </c>
      <c r="AQ2819" s="1078" t="str">
        <f t="shared" si="352"/>
        <v>105°</v>
      </c>
      <c r="AR2819" s="1078" t="str">
        <f t="shared" si="353"/>
        <v>15.5</v>
      </c>
      <c r="AS2819" s="1078" t="str">
        <f t="shared" si="354"/>
        <v>305/280/145</v>
      </c>
      <c r="AT2819" s="1078" t="str">
        <f t="shared" si="355"/>
        <v>105°</v>
      </c>
      <c r="AV2819" s="1078" t="str">
        <f t="shared" si="356"/>
        <v>108.7.15</v>
      </c>
      <c r="AW2819" s="1344">
        <f t="shared" ref="AW2819:AW2882" si="357">DATE(VALUE(LEFT(AV2819,FIND(".",AV2819)-1))+1911,
       VALUE(MID(AV2819,FIND(".",AV2819)+1,FIND(".",AV2819,FIND(".",AV2819)+1)-FIND(".",AV2819)-1)),
       VALUE(RIGHT(AV2819,LEN(AV2819)-FIND("~",SUBSTITUTE(AV2819,".","~",2)))))</f>
        <v>43661</v>
      </c>
    </row>
    <row r="2820" spans="1:49">
      <c r="A2820" s="1077" t="s">
        <v>8469</v>
      </c>
      <c r="B2820" s="1077" t="s">
        <v>8466</v>
      </c>
      <c r="C2820" s="1077">
        <v>600</v>
      </c>
      <c r="D2820" s="1077">
        <v>1.786</v>
      </c>
      <c r="E2820" s="1077" t="s">
        <v>15104</v>
      </c>
      <c r="F2820" s="1077" t="s">
        <v>2520</v>
      </c>
      <c r="G2820" s="1077">
        <v>4</v>
      </c>
      <c r="H2820" s="1077" t="s">
        <v>8470</v>
      </c>
      <c r="I2820" s="1077" t="s">
        <v>126</v>
      </c>
      <c r="J2820" s="1077">
        <v>1.9</v>
      </c>
      <c r="K2820" s="1077" t="s">
        <v>8468</v>
      </c>
      <c r="L2820" s="1077" t="s">
        <v>4064</v>
      </c>
      <c r="M2820" s="1077">
        <v>195.5</v>
      </c>
      <c r="N2820" s="1077" t="s">
        <v>945</v>
      </c>
      <c r="O2820" s="1077">
        <v>4.8875000000000002</v>
      </c>
      <c r="P2820" s="1077">
        <v>3.91</v>
      </c>
      <c r="Q2820" s="1077" t="s">
        <v>988</v>
      </c>
      <c r="R2820" s="1077">
        <v>18.5</v>
      </c>
      <c r="T2820" s="1077">
        <v>11</v>
      </c>
      <c r="U2820" s="1077">
        <v>3.7</v>
      </c>
      <c r="V2820" s="1077" t="s">
        <v>648</v>
      </c>
      <c r="W2820" s="1077">
        <v>115</v>
      </c>
      <c r="X2820" s="1077">
        <v>70</v>
      </c>
      <c r="Y2820" s="1077">
        <v>1.6</v>
      </c>
      <c r="Z2820" s="1077" t="s">
        <v>648</v>
      </c>
      <c r="AA2820" s="1077" t="s">
        <v>1136</v>
      </c>
      <c r="AH2820" s="1077" t="s">
        <v>803</v>
      </c>
      <c r="AM2820" s="1078" t="s">
        <v>14551</v>
      </c>
      <c r="AN2820" s="1078" t="s">
        <v>14552</v>
      </c>
      <c r="AO2820" s="1078">
        <f t="shared" si="350"/>
        <v>600</v>
      </c>
      <c r="AP2820" s="1078">
        <f t="shared" si="351"/>
        <v>1.786</v>
      </c>
      <c r="AQ2820" s="1078" t="str">
        <f t="shared" si="352"/>
        <v>1-4-1S85°Z+S</v>
      </c>
      <c r="AR2820" s="1078" t="str">
        <f t="shared" si="353"/>
        <v>*</v>
      </c>
      <c r="AS2820" s="1078" t="str">
        <f t="shared" si="354"/>
        <v>175/150</v>
      </c>
      <c r="AT2820" s="1078" t="str">
        <f t="shared" si="355"/>
        <v>1-4-1S85°Z+S</v>
      </c>
      <c r="AU2820" s="1078" t="s">
        <v>15547</v>
      </c>
      <c r="AV2820" s="1078" t="str">
        <f t="shared" si="356"/>
        <v>108.7.17</v>
      </c>
      <c r="AW2820" s="1344">
        <f t="shared" si="357"/>
        <v>43663</v>
      </c>
    </row>
    <row r="2821" spans="1:49">
      <c r="A2821" s="1077" t="s">
        <v>8471</v>
      </c>
      <c r="B2821" s="1077" t="s">
        <v>8394</v>
      </c>
      <c r="C2821" s="1077">
        <v>600</v>
      </c>
      <c r="D2821" s="1077">
        <v>1.73</v>
      </c>
      <c r="E2821" s="1077" t="s">
        <v>15089</v>
      </c>
      <c r="F2821" s="1077" t="s">
        <v>1514</v>
      </c>
      <c r="G2821" s="1077">
        <v>2</v>
      </c>
      <c r="H2821" s="1077" t="s">
        <v>8464</v>
      </c>
      <c r="I2821" s="1077" t="s">
        <v>942</v>
      </c>
      <c r="J2821" s="1077">
        <v>2.2000000000000002</v>
      </c>
      <c r="K2821" s="1077" t="s">
        <v>8472</v>
      </c>
      <c r="L2821" s="1077" t="s">
        <v>8396</v>
      </c>
      <c r="M2821" s="1077">
        <v>30.8</v>
      </c>
      <c r="N2821" s="1077" t="s">
        <v>945</v>
      </c>
      <c r="O2821" s="1077">
        <v>0.77</v>
      </c>
      <c r="P2821" s="1077">
        <v>0.61599999999999999</v>
      </c>
      <c r="Q2821" s="1077" t="s">
        <v>1249</v>
      </c>
      <c r="R2821" s="1077">
        <v>20.5</v>
      </c>
      <c r="T2821" s="1077">
        <v>37</v>
      </c>
      <c r="U2821" s="1077">
        <v>4</v>
      </c>
      <c r="V2821" s="1077" t="s">
        <v>648</v>
      </c>
      <c r="W2821" s="1077">
        <v>140</v>
      </c>
      <c r="X2821" s="1077">
        <v>80</v>
      </c>
      <c r="Y2821" s="1077">
        <v>2.5</v>
      </c>
      <c r="Z2821" s="1077">
        <v>4</v>
      </c>
      <c r="AA2821" s="1077" t="s">
        <v>4065</v>
      </c>
      <c r="AH2821" s="1077" t="s">
        <v>684</v>
      </c>
      <c r="AM2821" s="1078" t="s">
        <v>14553</v>
      </c>
      <c r="AN2821" s="1078" t="s">
        <v>14554</v>
      </c>
      <c r="AO2821" s="1078">
        <f t="shared" si="350"/>
        <v>600</v>
      </c>
      <c r="AP2821" s="1078">
        <f t="shared" si="351"/>
        <v>1.73</v>
      </c>
      <c r="AQ2821" s="1078" t="str">
        <f t="shared" si="352"/>
        <v>1-4-1S83°</v>
      </c>
      <c r="AR2821" s="1078" t="str">
        <f t="shared" si="353"/>
        <v>32</v>
      </c>
      <c r="AS2821" s="1078" t="str">
        <f t="shared" si="354"/>
        <v>213/213/OFF</v>
      </c>
      <c r="AT2821" s="1078" t="str">
        <f t="shared" si="355"/>
        <v>1-4-1S83°</v>
      </c>
      <c r="AV2821" s="1078" t="str">
        <f t="shared" si="356"/>
        <v>108.8.16</v>
      </c>
      <c r="AW2821" s="1344">
        <f t="shared" si="357"/>
        <v>43693</v>
      </c>
    </row>
    <row r="2822" spans="1:49">
      <c r="A2822" s="1077" t="s">
        <v>8473</v>
      </c>
      <c r="B2822" s="1077" t="s">
        <v>8429</v>
      </c>
      <c r="C2822" s="1077">
        <v>500</v>
      </c>
      <c r="D2822" s="1077">
        <v>1.72</v>
      </c>
      <c r="E2822" s="1077" t="s">
        <v>15091</v>
      </c>
      <c r="F2822" s="1077" t="s">
        <v>984</v>
      </c>
      <c r="G2822" s="1077">
        <v>1.72</v>
      </c>
      <c r="H2822" s="1077" t="s">
        <v>1166</v>
      </c>
      <c r="I2822" s="1077" t="s">
        <v>626</v>
      </c>
      <c r="J2822" s="1077">
        <v>0.9</v>
      </c>
      <c r="K2822" s="1077" t="s">
        <v>8474</v>
      </c>
      <c r="L2822" s="1077" t="s">
        <v>872</v>
      </c>
      <c r="M2822" s="1077">
        <v>30.9</v>
      </c>
      <c r="N2822" s="1077" t="s">
        <v>945</v>
      </c>
      <c r="O2822" s="1077">
        <v>0.77249999999999996</v>
      </c>
      <c r="P2822" s="1077">
        <v>0.61799999999999999</v>
      </c>
      <c r="Q2822" s="1077" t="s">
        <v>946</v>
      </c>
      <c r="R2822" s="1077">
        <v>19.5</v>
      </c>
      <c r="T2822" s="1077">
        <v>27</v>
      </c>
      <c r="U2822" s="1077">
        <v>3.9</v>
      </c>
      <c r="V2822" s="1077" t="s">
        <v>648</v>
      </c>
      <c r="W2822" s="1077">
        <v>150</v>
      </c>
      <c r="X2822" s="1077">
        <v>80</v>
      </c>
      <c r="Y2822" s="1077">
        <v>2.2000000000000002</v>
      </c>
      <c r="Z2822" s="1077" t="s">
        <v>8475</v>
      </c>
      <c r="AA2822" s="1077" t="s">
        <v>7059</v>
      </c>
      <c r="AH2822" s="1077" t="s">
        <v>1178</v>
      </c>
      <c r="AM2822" s="1078" t="s">
        <v>14555</v>
      </c>
      <c r="AN2822" s="1078" t="s">
        <v>14556</v>
      </c>
      <c r="AO2822" s="1078">
        <f t="shared" si="350"/>
        <v>500</v>
      </c>
      <c r="AP2822" s="1078">
        <f t="shared" si="351"/>
        <v>1.72</v>
      </c>
      <c r="AQ2822" s="1078" t="str">
        <f t="shared" si="352"/>
        <v>2-5-1S83°</v>
      </c>
      <c r="AR2822" s="1078" t="str">
        <f t="shared" si="353"/>
        <v>30</v>
      </c>
      <c r="AS2822" s="1078" t="str">
        <f t="shared" si="354"/>
        <v>170/OFF</v>
      </c>
      <c r="AT2822" s="1078" t="str">
        <f t="shared" si="355"/>
        <v>2-5-1S83°</v>
      </c>
      <c r="AV2822" s="1078" t="str">
        <f t="shared" si="356"/>
        <v>108.9.5</v>
      </c>
      <c r="AW2822" s="1344">
        <f t="shared" si="357"/>
        <v>43713</v>
      </c>
    </row>
    <row r="2823" spans="1:49">
      <c r="A2823" s="1077" t="s">
        <v>8476</v>
      </c>
      <c r="B2823" s="1077" t="s">
        <v>654</v>
      </c>
      <c r="C2823" s="1077">
        <v>550</v>
      </c>
      <c r="D2823" s="1077">
        <v>1.6439999999999999</v>
      </c>
      <c r="E2823" s="1077">
        <v>102.5</v>
      </c>
      <c r="F2823" s="1077" t="s">
        <v>4070</v>
      </c>
      <c r="G2823" s="1077">
        <v>5.5</v>
      </c>
      <c r="H2823" s="1077" t="s">
        <v>8477</v>
      </c>
      <c r="I2823" s="1077" t="s">
        <v>643</v>
      </c>
      <c r="J2823" s="1077">
        <v>3.5</v>
      </c>
      <c r="K2823" s="1077" t="s">
        <v>8478</v>
      </c>
      <c r="L2823" s="1077" t="s">
        <v>8479</v>
      </c>
      <c r="M2823" s="1077">
        <v>427.4</v>
      </c>
      <c r="N2823" s="1077" t="s">
        <v>945</v>
      </c>
      <c r="O2823" s="1077">
        <v>10.685</v>
      </c>
      <c r="P2823" s="1077">
        <v>8.548</v>
      </c>
      <c r="Q2823" s="1077" t="s">
        <v>2422</v>
      </c>
      <c r="R2823" s="1077">
        <v>19.600000000000001</v>
      </c>
      <c r="T2823" s="1077">
        <v>14.9</v>
      </c>
      <c r="U2823" s="1077">
        <v>4.2</v>
      </c>
      <c r="V2823" s="1077" t="s">
        <v>648</v>
      </c>
      <c r="W2823" s="1077">
        <v>120</v>
      </c>
      <c r="X2823" s="1077">
        <v>90</v>
      </c>
      <c r="Y2823" s="1077">
        <v>1</v>
      </c>
      <c r="Z2823" s="1077" t="s">
        <v>648</v>
      </c>
      <c r="AA2823" s="1077" t="s">
        <v>1185</v>
      </c>
      <c r="AB2823" s="1077" t="s">
        <v>2680</v>
      </c>
      <c r="AC2823" s="1077" t="s">
        <v>2680</v>
      </c>
      <c r="AD2823" s="1077" t="s">
        <v>2680</v>
      </c>
      <c r="AH2823" s="1077" t="s">
        <v>869</v>
      </c>
      <c r="AM2823" s="1078" t="s">
        <v>14557</v>
      </c>
      <c r="AN2823" s="1078" t="s">
        <v>14558</v>
      </c>
      <c r="AO2823" s="1078">
        <f t="shared" si="350"/>
        <v>550</v>
      </c>
      <c r="AP2823" s="1078">
        <f t="shared" si="351"/>
        <v>1.6439999999999999</v>
      </c>
      <c r="AQ2823" s="1078">
        <f t="shared" si="352"/>
        <v>102.5</v>
      </c>
      <c r="AR2823" s="1078" t="str">
        <f t="shared" si="353"/>
        <v>15.5</v>
      </c>
      <c r="AS2823" s="1078" t="str">
        <f t="shared" si="354"/>
        <v>470/410/165</v>
      </c>
      <c r="AT2823" s="1078">
        <f t="shared" si="355"/>
        <v>102.5</v>
      </c>
      <c r="AV2823" s="1078" t="str">
        <f t="shared" si="356"/>
        <v>108.9.9</v>
      </c>
      <c r="AW2823" s="1344">
        <f t="shared" si="357"/>
        <v>43717</v>
      </c>
    </row>
    <row r="2824" spans="1:49">
      <c r="A2824" s="1077" t="s">
        <v>8480</v>
      </c>
      <c r="B2824" s="1077" t="s">
        <v>8466</v>
      </c>
      <c r="C2824" s="1077">
        <v>600</v>
      </c>
      <c r="D2824" s="1077">
        <v>1.786</v>
      </c>
      <c r="E2824" s="1077" t="s">
        <v>15104</v>
      </c>
      <c r="F2824" s="1077" t="s">
        <v>2520</v>
      </c>
      <c r="G2824" s="1077">
        <v>4</v>
      </c>
      <c r="H2824" s="1077" t="s">
        <v>8470</v>
      </c>
      <c r="I2824" s="1077" t="s">
        <v>126</v>
      </c>
      <c r="J2824" s="1077">
        <v>1.9</v>
      </c>
      <c r="K2824" s="1077" t="s">
        <v>8481</v>
      </c>
      <c r="L2824" s="1077" t="s">
        <v>4064</v>
      </c>
      <c r="M2824" s="1077">
        <v>195.5</v>
      </c>
      <c r="N2824" s="1077" t="s">
        <v>945</v>
      </c>
      <c r="O2824" s="1077">
        <v>4.8875000000000002</v>
      </c>
      <c r="P2824" s="1077">
        <v>3.91</v>
      </c>
      <c r="Q2824" s="1077" t="s">
        <v>961</v>
      </c>
      <c r="R2824" s="1077">
        <v>18.5</v>
      </c>
      <c r="T2824" s="1077">
        <v>11</v>
      </c>
      <c r="U2824" s="1077">
        <v>3.7</v>
      </c>
      <c r="V2824" s="1077" t="s">
        <v>648</v>
      </c>
      <c r="W2824" s="1077">
        <v>115</v>
      </c>
      <c r="X2824" s="1077">
        <v>70</v>
      </c>
      <c r="Y2824" s="1077">
        <v>1.6</v>
      </c>
      <c r="Z2824" s="1077" t="s">
        <v>648</v>
      </c>
      <c r="AA2824" s="1077" t="s">
        <v>2772</v>
      </c>
      <c r="AH2824" s="1077" t="s">
        <v>3067</v>
      </c>
      <c r="AM2824" s="1078" t="s">
        <v>14559</v>
      </c>
      <c r="AN2824" s="1078" t="s">
        <v>14560</v>
      </c>
      <c r="AO2824" s="1078">
        <f t="shared" si="350"/>
        <v>600</v>
      </c>
      <c r="AP2824" s="1078">
        <f t="shared" si="351"/>
        <v>1.786</v>
      </c>
      <c r="AQ2824" s="1078" t="str">
        <f t="shared" si="352"/>
        <v>1-4-1S85°Z+S</v>
      </c>
      <c r="AR2824" s="1078" t="str">
        <f t="shared" si="353"/>
        <v>*</v>
      </c>
      <c r="AS2824" s="1078" t="str">
        <f t="shared" si="354"/>
        <v>175/150</v>
      </c>
      <c r="AT2824" s="1078" t="str">
        <f t="shared" si="355"/>
        <v>1-4-1S85°Z+S</v>
      </c>
      <c r="AU2824" s="1078" t="s">
        <v>15547</v>
      </c>
      <c r="AV2824" s="1078" t="str">
        <f t="shared" si="356"/>
        <v>108.9.17</v>
      </c>
      <c r="AW2824" s="1344">
        <f t="shared" si="357"/>
        <v>43725</v>
      </c>
    </row>
    <row r="2825" spans="1:49">
      <c r="A2825" s="1077" t="s">
        <v>8482</v>
      </c>
      <c r="B2825" s="1077" t="s">
        <v>8429</v>
      </c>
      <c r="C2825" s="1077">
        <v>500</v>
      </c>
      <c r="D2825" s="1077">
        <v>1.72</v>
      </c>
      <c r="E2825" s="1077" t="s">
        <v>15091</v>
      </c>
      <c r="F2825" s="1077" t="s">
        <v>1349</v>
      </c>
      <c r="G2825" s="1077">
        <v>2</v>
      </c>
      <c r="H2825" s="1077" t="s">
        <v>1379</v>
      </c>
      <c r="I2825" s="1077" t="s">
        <v>626</v>
      </c>
      <c r="J2825" s="1077">
        <v>0.9</v>
      </c>
      <c r="K2825" s="1077" t="s">
        <v>8474</v>
      </c>
      <c r="L2825" s="1077" t="s">
        <v>872</v>
      </c>
      <c r="M2825" s="1077">
        <v>30.9</v>
      </c>
      <c r="N2825" s="1077" t="s">
        <v>945</v>
      </c>
      <c r="O2825" s="1077">
        <v>0.77249999999999996</v>
      </c>
      <c r="P2825" s="1077">
        <v>0.61799999999999999</v>
      </c>
      <c r="Q2825" s="1077" t="s">
        <v>979</v>
      </c>
      <c r="R2825" s="1077">
        <v>19.5</v>
      </c>
      <c r="T2825" s="1077">
        <v>27</v>
      </c>
      <c r="U2825" s="1077">
        <v>3.9</v>
      </c>
      <c r="V2825" s="1077" t="s">
        <v>648</v>
      </c>
      <c r="W2825" s="1077">
        <v>150</v>
      </c>
      <c r="X2825" s="1077">
        <v>80</v>
      </c>
      <c r="Y2825" s="1077">
        <v>2.2000000000000002</v>
      </c>
      <c r="Z2825" s="1077" t="s">
        <v>8483</v>
      </c>
      <c r="AA2825" s="1077" t="s">
        <v>2499</v>
      </c>
      <c r="AH2825" s="1077" t="s">
        <v>646</v>
      </c>
      <c r="AM2825" s="1078" t="s">
        <v>14561</v>
      </c>
      <c r="AN2825" s="1078" t="s">
        <v>14562</v>
      </c>
      <c r="AO2825" s="1078">
        <f t="shared" si="350"/>
        <v>500</v>
      </c>
      <c r="AP2825" s="1078">
        <f t="shared" si="351"/>
        <v>1.72</v>
      </c>
      <c r="AQ2825" s="1078" t="str">
        <f t="shared" si="352"/>
        <v>2-5-1S83°</v>
      </c>
      <c r="AR2825" s="1078" t="str">
        <f t="shared" si="353"/>
        <v>31.2</v>
      </c>
      <c r="AS2825" s="1078" t="str">
        <f t="shared" si="354"/>
        <v>167/OFF</v>
      </c>
      <c r="AT2825" s="1078" t="str">
        <f t="shared" si="355"/>
        <v>2-5-1S83°</v>
      </c>
      <c r="AV2825" s="1078" t="str">
        <f t="shared" si="356"/>
        <v>109.1.15</v>
      </c>
      <c r="AW2825" s="1344">
        <f t="shared" si="357"/>
        <v>43845</v>
      </c>
    </row>
    <row r="2826" spans="1:49">
      <c r="A2826" s="1077" t="s">
        <v>8484</v>
      </c>
      <c r="B2826" s="1077" t="s">
        <v>8429</v>
      </c>
      <c r="C2826" s="1077">
        <v>500</v>
      </c>
      <c r="D2826" s="1077">
        <v>1.72</v>
      </c>
      <c r="E2826" s="1077" t="s">
        <v>15091</v>
      </c>
      <c r="F2826" s="1077" t="s">
        <v>1349</v>
      </c>
      <c r="G2826" s="1077">
        <v>2</v>
      </c>
      <c r="H2826" s="1077" t="s">
        <v>1379</v>
      </c>
      <c r="I2826" s="1077" t="s">
        <v>626</v>
      </c>
      <c r="J2826" s="1077">
        <v>0.9</v>
      </c>
      <c r="K2826" s="1077" t="s">
        <v>8485</v>
      </c>
      <c r="L2826" s="1077" t="s">
        <v>872</v>
      </c>
      <c r="M2826" s="1077">
        <v>30.9</v>
      </c>
      <c r="N2826" s="1077" t="s">
        <v>945</v>
      </c>
      <c r="O2826" s="1077">
        <v>0.77249999999999996</v>
      </c>
      <c r="P2826" s="1077">
        <v>0.61799999999999999</v>
      </c>
      <c r="Q2826" s="1077" t="s">
        <v>979</v>
      </c>
      <c r="R2826" s="1077">
        <v>19.5</v>
      </c>
      <c r="T2826" s="1077">
        <v>27</v>
      </c>
      <c r="U2826" s="1077">
        <v>3.9</v>
      </c>
      <c r="V2826" s="1077" t="s">
        <v>648</v>
      </c>
      <c r="W2826" s="1077">
        <v>150</v>
      </c>
      <c r="X2826" s="1077">
        <v>80</v>
      </c>
      <c r="Y2826" s="1077">
        <v>2.2000000000000002</v>
      </c>
      <c r="Z2826" s="1077" t="s">
        <v>8486</v>
      </c>
      <c r="AA2826" s="1077" t="s">
        <v>4732</v>
      </c>
      <c r="AH2826" s="1077" t="s">
        <v>803</v>
      </c>
      <c r="AM2826" s="1078" t="s">
        <v>14563</v>
      </c>
      <c r="AN2826" s="1078" t="s">
        <v>14564</v>
      </c>
      <c r="AO2826" s="1078">
        <f t="shared" si="350"/>
        <v>500</v>
      </c>
      <c r="AP2826" s="1078">
        <f t="shared" si="351"/>
        <v>1.72</v>
      </c>
      <c r="AQ2826" s="1078" t="str">
        <f t="shared" si="352"/>
        <v>2-5-1S83°</v>
      </c>
      <c r="AR2826" s="1078" t="str">
        <f t="shared" si="353"/>
        <v>31.2</v>
      </c>
      <c r="AS2826" s="1078" t="str">
        <f t="shared" si="354"/>
        <v>167/OFF</v>
      </c>
      <c r="AT2826" s="1078" t="str">
        <f t="shared" si="355"/>
        <v>2-5-1S83°</v>
      </c>
      <c r="AV2826" s="1078" t="str">
        <f t="shared" si="356"/>
        <v>109.3.19</v>
      </c>
      <c r="AW2826" s="1344">
        <f t="shared" si="357"/>
        <v>43909</v>
      </c>
    </row>
    <row r="2827" spans="1:49">
      <c r="A2827" s="1077" t="s">
        <v>8487</v>
      </c>
      <c r="B2827" s="1077" t="s">
        <v>8429</v>
      </c>
      <c r="C2827" s="1077">
        <v>500</v>
      </c>
      <c r="D2827" s="1077">
        <v>1.72</v>
      </c>
      <c r="E2827" s="1077" t="s">
        <v>15091</v>
      </c>
      <c r="F2827" s="1077" t="s">
        <v>975</v>
      </c>
      <c r="G2827" s="1077">
        <v>2</v>
      </c>
      <c r="H2827" s="1077" t="s">
        <v>1379</v>
      </c>
      <c r="I2827" s="1077" t="s">
        <v>626</v>
      </c>
      <c r="J2827" s="1077">
        <v>1.2</v>
      </c>
      <c r="K2827" s="1077" t="s">
        <v>8488</v>
      </c>
      <c r="L2827" s="1077" t="s">
        <v>872</v>
      </c>
      <c r="M2827" s="1077">
        <v>30.9</v>
      </c>
      <c r="N2827" s="1077" t="s">
        <v>945</v>
      </c>
      <c r="O2827" s="1077">
        <v>0.77249999999999996</v>
      </c>
      <c r="P2827" s="1077">
        <v>0.61799999999999999</v>
      </c>
      <c r="Q2827" s="1077" t="s">
        <v>961</v>
      </c>
      <c r="R2827" s="1077">
        <v>19.5</v>
      </c>
      <c r="T2827" s="1077">
        <v>27</v>
      </c>
      <c r="U2827" s="1077">
        <v>3.9</v>
      </c>
      <c r="V2827" s="1077" t="s">
        <v>648</v>
      </c>
      <c r="W2827" s="1077">
        <v>150</v>
      </c>
      <c r="X2827" s="1077">
        <v>80</v>
      </c>
      <c r="Y2827" s="1077">
        <v>2.2000000000000002</v>
      </c>
      <c r="Z2827" s="1077" t="s">
        <v>8489</v>
      </c>
      <c r="AA2827" s="1077" t="s">
        <v>4268</v>
      </c>
      <c r="AH2827" s="1077" t="s">
        <v>1803</v>
      </c>
      <c r="AM2827" s="1078" t="s">
        <v>14565</v>
      </c>
      <c r="AN2827" s="1078" t="s">
        <v>14566</v>
      </c>
      <c r="AO2827" s="1078">
        <f t="shared" ref="AO2827:AO2890" si="358">C2827</f>
        <v>500</v>
      </c>
      <c r="AP2827" s="1078">
        <f t="shared" ref="AP2827:AP2890" si="359">D2827</f>
        <v>1.72</v>
      </c>
      <c r="AQ2827" s="1078" t="str">
        <f t="shared" ref="AQ2827:AQ2890" si="360">E2827</f>
        <v>2-5-1S83°</v>
      </c>
      <c r="AR2827" s="1078" t="str">
        <f t="shared" ref="AR2827:AR2890" si="361">F2827</f>
        <v>31.5</v>
      </c>
      <c r="AS2827" s="1078" t="str">
        <f t="shared" ref="AS2827:AS2890" si="362">H2827</f>
        <v>167/OFF</v>
      </c>
      <c r="AT2827" s="1078" t="str">
        <f t="shared" ref="AT2827:AT2890" si="363">E2827</f>
        <v>2-5-1S83°</v>
      </c>
      <c r="AV2827" s="1078" t="str">
        <f t="shared" si="356"/>
        <v>109.6.23</v>
      </c>
      <c r="AW2827" s="1344">
        <f t="shared" si="357"/>
        <v>44005</v>
      </c>
    </row>
    <row r="2828" spans="1:49">
      <c r="A2828" s="1077" t="s">
        <v>8490</v>
      </c>
      <c r="B2828" s="1077" t="s">
        <v>8424</v>
      </c>
      <c r="C2828" s="1077">
        <v>620</v>
      </c>
      <c r="D2828" s="1077">
        <v>1.7</v>
      </c>
      <c r="E2828" s="1077" t="s">
        <v>15089</v>
      </c>
      <c r="F2828" s="1077" t="s">
        <v>2167</v>
      </c>
      <c r="G2828" s="1077">
        <v>2</v>
      </c>
      <c r="H2828" s="1077" t="s">
        <v>1918</v>
      </c>
      <c r="I2828" s="1077" t="s">
        <v>1073</v>
      </c>
      <c r="J2828" s="1077">
        <v>1.7</v>
      </c>
      <c r="K2828" s="1077" t="s">
        <v>8491</v>
      </c>
      <c r="L2828" s="1077" t="s">
        <v>8426</v>
      </c>
      <c r="M2828" s="1077">
        <v>31.5</v>
      </c>
      <c r="N2828" s="1077" t="s">
        <v>945</v>
      </c>
      <c r="O2828" s="1077">
        <v>0.78750000000000009</v>
      </c>
      <c r="P2828" s="1077">
        <v>0.63</v>
      </c>
      <c r="Q2828" s="1077" t="s">
        <v>961</v>
      </c>
      <c r="R2828" s="1077">
        <v>20</v>
      </c>
      <c r="T2828" s="1077">
        <v>39</v>
      </c>
      <c r="U2828" s="1077">
        <v>3.5</v>
      </c>
      <c r="V2828" s="1077" t="s">
        <v>648</v>
      </c>
      <c r="W2828" s="1077">
        <v>150</v>
      </c>
      <c r="X2828" s="1077">
        <v>85</v>
      </c>
      <c r="Y2828" s="1077">
        <v>3</v>
      </c>
      <c r="Z2828" s="1077">
        <v>3.5</v>
      </c>
      <c r="AA2828" s="1077" t="s">
        <v>2772</v>
      </c>
      <c r="AH2828" s="1077" t="s">
        <v>722</v>
      </c>
      <c r="AM2828" s="1078" t="s">
        <v>14567</v>
      </c>
      <c r="AN2828" s="1078" t="s">
        <v>14568</v>
      </c>
      <c r="AO2828" s="1078">
        <f t="shared" si="358"/>
        <v>620</v>
      </c>
      <c r="AP2828" s="1078">
        <f t="shared" si="359"/>
        <v>1.7</v>
      </c>
      <c r="AQ2828" s="1078" t="str">
        <f t="shared" si="360"/>
        <v>1-4-1S83°</v>
      </c>
      <c r="AR2828" s="1078" t="str">
        <f t="shared" si="361"/>
        <v>33</v>
      </c>
      <c r="AS2828" s="1078" t="str">
        <f t="shared" si="362"/>
        <v>233/233/OFF</v>
      </c>
      <c r="AT2828" s="1078" t="str">
        <f t="shared" si="363"/>
        <v>1-4-1S83°</v>
      </c>
      <c r="AV2828" s="1078" t="str">
        <f t="shared" si="356"/>
        <v>108.9.17</v>
      </c>
      <c r="AW2828" s="1344">
        <f t="shared" si="357"/>
        <v>43725</v>
      </c>
    </row>
    <row r="2829" spans="1:49">
      <c r="A2829" s="1077" t="s">
        <v>8492</v>
      </c>
      <c r="B2829" s="1077" t="s">
        <v>781</v>
      </c>
      <c r="C2829" s="1077">
        <v>450</v>
      </c>
      <c r="D2829" s="1077">
        <v>1.88</v>
      </c>
      <c r="E2829" s="1077" t="s">
        <v>15095</v>
      </c>
      <c r="F2829" s="1077" t="s">
        <v>975</v>
      </c>
      <c r="G2829" s="1077">
        <v>3</v>
      </c>
      <c r="H2829" s="1077" t="s">
        <v>8433</v>
      </c>
      <c r="I2829" s="1077" t="s">
        <v>626</v>
      </c>
      <c r="J2829" s="1077">
        <v>1.4</v>
      </c>
      <c r="K2829" s="1077" t="s">
        <v>8493</v>
      </c>
      <c r="L2829" s="1077" t="s">
        <v>8435</v>
      </c>
      <c r="M2829" s="1077">
        <v>80.8</v>
      </c>
      <c r="N2829" s="1077" t="s">
        <v>945</v>
      </c>
      <c r="O2829" s="1077">
        <v>2.02</v>
      </c>
      <c r="P2829" s="1077">
        <v>1.6159999999999999</v>
      </c>
      <c r="Q2829" s="1077" t="s">
        <v>1369</v>
      </c>
      <c r="R2829" s="1077">
        <v>22.6</v>
      </c>
      <c r="T2829" s="1077">
        <v>6.2</v>
      </c>
      <c r="U2829" s="1077">
        <v>9.4</v>
      </c>
      <c r="V2829" s="1077" t="s">
        <v>648</v>
      </c>
      <c r="W2829" s="1077">
        <v>135</v>
      </c>
      <c r="X2829" s="1077">
        <v>55</v>
      </c>
      <c r="Y2829" s="1077">
        <v>1.6</v>
      </c>
      <c r="Z2829" s="1077" t="s">
        <v>8436</v>
      </c>
      <c r="AA2829" s="1077" t="s">
        <v>5096</v>
      </c>
      <c r="AH2829" s="1077" t="s">
        <v>1827</v>
      </c>
      <c r="AM2829" s="1078" t="s">
        <v>14569</v>
      </c>
      <c r="AN2829" s="1078" t="s">
        <v>14570</v>
      </c>
      <c r="AO2829" s="1078">
        <f t="shared" si="358"/>
        <v>450</v>
      </c>
      <c r="AP2829" s="1078">
        <f t="shared" si="359"/>
        <v>1.88</v>
      </c>
      <c r="AQ2829" s="1078" t="str">
        <f t="shared" si="360"/>
        <v>1-5-1S83°</v>
      </c>
      <c r="AR2829" s="1078" t="str">
        <f t="shared" si="361"/>
        <v>31.5</v>
      </c>
      <c r="AS2829" s="1078" t="str">
        <f t="shared" si="362"/>
        <v>140/140/OFF</v>
      </c>
      <c r="AT2829" s="1078" t="str">
        <f t="shared" si="363"/>
        <v>1-5-1S83°</v>
      </c>
      <c r="AV2829" s="1078" t="str">
        <f t="shared" si="356"/>
        <v>108.9.23</v>
      </c>
      <c r="AW2829" s="1344">
        <f t="shared" si="357"/>
        <v>43731</v>
      </c>
    </row>
    <row r="2830" spans="1:49">
      <c r="A2830" s="1077" t="s">
        <v>8494</v>
      </c>
      <c r="B2830" s="1077" t="s">
        <v>8394</v>
      </c>
      <c r="C2830" s="1077">
        <v>600</v>
      </c>
      <c r="D2830" s="1077">
        <v>1.73</v>
      </c>
      <c r="E2830" s="1077" t="s">
        <v>15089</v>
      </c>
      <c r="F2830" s="1077" t="s">
        <v>1514</v>
      </c>
      <c r="G2830" s="1077">
        <v>2</v>
      </c>
      <c r="H2830" s="1077" t="s">
        <v>8464</v>
      </c>
      <c r="I2830" s="1077" t="s">
        <v>942</v>
      </c>
      <c r="J2830" s="1077">
        <v>2.4</v>
      </c>
      <c r="K2830" s="1077" t="s">
        <v>8495</v>
      </c>
      <c r="L2830" s="1077" t="s">
        <v>8396</v>
      </c>
      <c r="M2830" s="1077">
        <v>30.8</v>
      </c>
      <c r="N2830" s="1077" t="s">
        <v>945</v>
      </c>
      <c r="O2830" s="1077">
        <v>0.77</v>
      </c>
      <c r="P2830" s="1077">
        <v>0.61599999999999999</v>
      </c>
      <c r="Q2830" s="1077" t="s">
        <v>1264</v>
      </c>
      <c r="R2830" s="1077">
        <v>20.5</v>
      </c>
      <c r="T2830" s="1077">
        <v>37</v>
      </c>
      <c r="U2830" s="1077">
        <v>4</v>
      </c>
      <c r="V2830" s="1077" t="s">
        <v>648</v>
      </c>
      <c r="W2830" s="1077">
        <v>140</v>
      </c>
      <c r="X2830" s="1077">
        <v>80</v>
      </c>
      <c r="Y2830" s="1077">
        <v>2.5</v>
      </c>
      <c r="Z2830" s="1077">
        <v>4</v>
      </c>
      <c r="AA2830" s="1077" t="s">
        <v>4074</v>
      </c>
      <c r="AH2830" s="1077" t="s">
        <v>681</v>
      </c>
      <c r="AM2830" s="1078" t="s">
        <v>14571</v>
      </c>
      <c r="AN2830" s="1078" t="s">
        <v>14572</v>
      </c>
      <c r="AO2830" s="1078">
        <f t="shared" si="358"/>
        <v>600</v>
      </c>
      <c r="AP2830" s="1078">
        <f t="shared" si="359"/>
        <v>1.73</v>
      </c>
      <c r="AQ2830" s="1078" t="str">
        <f t="shared" si="360"/>
        <v>1-4-1S83°</v>
      </c>
      <c r="AR2830" s="1078" t="str">
        <f t="shared" si="361"/>
        <v>32</v>
      </c>
      <c r="AS2830" s="1078" t="str">
        <f t="shared" si="362"/>
        <v>213/213/OFF</v>
      </c>
      <c r="AT2830" s="1078" t="str">
        <f t="shared" si="363"/>
        <v>1-4-1S83°</v>
      </c>
      <c r="AV2830" s="1078" t="str">
        <f t="shared" si="356"/>
        <v>108.9.24</v>
      </c>
      <c r="AW2830" s="1344">
        <f t="shared" si="357"/>
        <v>43732</v>
      </c>
    </row>
    <row r="2831" spans="1:49">
      <c r="A2831" s="1077" t="s">
        <v>8496</v>
      </c>
      <c r="B2831" s="1077" t="s">
        <v>8429</v>
      </c>
      <c r="C2831" s="1077">
        <v>500</v>
      </c>
      <c r="D2831" s="1077">
        <v>1.72</v>
      </c>
      <c r="E2831" s="1077" t="s">
        <v>15091</v>
      </c>
      <c r="F2831" s="1077" t="s">
        <v>975</v>
      </c>
      <c r="G2831" s="1077">
        <v>1.7</v>
      </c>
      <c r="H2831" s="1077" t="s">
        <v>1166</v>
      </c>
      <c r="I2831" s="1077" t="s">
        <v>626</v>
      </c>
      <c r="J2831" s="1077">
        <v>0.9</v>
      </c>
      <c r="K2831" s="1077" t="s">
        <v>8474</v>
      </c>
      <c r="L2831" s="1077" t="s">
        <v>872</v>
      </c>
      <c r="M2831" s="1077">
        <v>30.9</v>
      </c>
      <c r="N2831" s="1077" t="s">
        <v>945</v>
      </c>
      <c r="O2831" s="1077">
        <v>0.77249999999999996</v>
      </c>
      <c r="P2831" s="1077">
        <v>0.61799999999999999</v>
      </c>
      <c r="Q2831" s="1077" t="s">
        <v>946</v>
      </c>
      <c r="R2831" s="1077">
        <v>19.5</v>
      </c>
      <c r="T2831" s="1077">
        <v>27</v>
      </c>
      <c r="U2831" s="1077">
        <v>3.9</v>
      </c>
      <c r="V2831" s="1077" t="s">
        <v>648</v>
      </c>
      <c r="W2831" s="1077">
        <v>150</v>
      </c>
      <c r="X2831" s="1077">
        <v>80</v>
      </c>
      <c r="Y2831" s="1077">
        <v>2.2000000000000002</v>
      </c>
      <c r="Z2831" s="1077" t="s">
        <v>8475</v>
      </c>
      <c r="AA2831" s="1077" t="s">
        <v>4081</v>
      </c>
      <c r="AH2831" s="1077" t="s">
        <v>1486</v>
      </c>
      <c r="AM2831" s="1078" t="s">
        <v>14573</v>
      </c>
      <c r="AN2831" s="1078" t="s">
        <v>14574</v>
      </c>
      <c r="AO2831" s="1078">
        <f t="shared" si="358"/>
        <v>500</v>
      </c>
      <c r="AP2831" s="1078">
        <f t="shared" si="359"/>
        <v>1.72</v>
      </c>
      <c r="AQ2831" s="1078" t="str">
        <f t="shared" si="360"/>
        <v>2-5-1S83°</v>
      </c>
      <c r="AR2831" s="1078" t="str">
        <f t="shared" si="361"/>
        <v>31.5</v>
      </c>
      <c r="AS2831" s="1078" t="str">
        <f t="shared" si="362"/>
        <v>170/OFF</v>
      </c>
      <c r="AT2831" s="1078" t="str">
        <f t="shared" si="363"/>
        <v>2-5-1S83°</v>
      </c>
      <c r="AV2831" s="1078" t="str">
        <f t="shared" si="356"/>
        <v>108.10.1</v>
      </c>
      <c r="AW2831" s="1344">
        <f t="shared" si="357"/>
        <v>43739</v>
      </c>
    </row>
    <row r="2832" spans="1:49">
      <c r="A2832" s="1077" t="s">
        <v>8497</v>
      </c>
      <c r="B2832" s="1077" t="s">
        <v>781</v>
      </c>
      <c r="C2832" s="1077">
        <v>450</v>
      </c>
      <c r="D2832" s="1077">
        <v>1.88</v>
      </c>
      <c r="E2832" s="1077" t="s">
        <v>15095</v>
      </c>
      <c r="F2832" s="1077" t="s">
        <v>975</v>
      </c>
      <c r="G2832" s="1077">
        <v>3</v>
      </c>
      <c r="H2832" s="1077" t="s">
        <v>8433</v>
      </c>
      <c r="I2832" s="1077" t="s">
        <v>626</v>
      </c>
      <c r="J2832" s="1077">
        <v>1.4</v>
      </c>
      <c r="K2832" s="1077" t="s">
        <v>8493</v>
      </c>
      <c r="L2832" s="1077" t="s">
        <v>8435</v>
      </c>
      <c r="M2832" s="1077">
        <v>80.8</v>
      </c>
      <c r="N2832" s="1077" t="s">
        <v>945</v>
      </c>
      <c r="O2832" s="1077">
        <v>2.02</v>
      </c>
      <c r="P2832" s="1077">
        <v>1.6159999999999999</v>
      </c>
      <c r="Q2832" s="1077" t="s">
        <v>1369</v>
      </c>
      <c r="R2832" s="1077">
        <v>22.6</v>
      </c>
      <c r="T2832" s="1077">
        <v>6.2</v>
      </c>
      <c r="U2832" s="1077">
        <v>9.4</v>
      </c>
      <c r="V2832" s="1077" t="s">
        <v>648</v>
      </c>
      <c r="W2832" s="1077">
        <v>135</v>
      </c>
      <c r="X2832" s="1077">
        <v>55</v>
      </c>
      <c r="Y2832" s="1077">
        <v>1.6</v>
      </c>
      <c r="Z2832" s="1077">
        <v>3</v>
      </c>
      <c r="AA2832" s="1077" t="s">
        <v>8498</v>
      </c>
      <c r="AH2832" s="1077" t="s">
        <v>785</v>
      </c>
      <c r="AM2832" s="1078" t="s">
        <v>14575</v>
      </c>
      <c r="AN2832" s="1078" t="s">
        <v>14576</v>
      </c>
      <c r="AO2832" s="1078">
        <f t="shared" si="358"/>
        <v>450</v>
      </c>
      <c r="AP2832" s="1078">
        <f t="shared" si="359"/>
        <v>1.88</v>
      </c>
      <c r="AQ2832" s="1078" t="str">
        <f t="shared" si="360"/>
        <v>1-5-1S83°</v>
      </c>
      <c r="AR2832" s="1078" t="str">
        <f t="shared" si="361"/>
        <v>31.5</v>
      </c>
      <c r="AS2832" s="1078" t="str">
        <f t="shared" si="362"/>
        <v>140/140/OFF</v>
      </c>
      <c r="AT2832" s="1078" t="str">
        <f t="shared" si="363"/>
        <v>1-5-1S83°</v>
      </c>
      <c r="AV2832" s="1078" t="str">
        <f t="shared" si="356"/>
        <v>108.10.18</v>
      </c>
      <c r="AW2832" s="1344">
        <f t="shared" si="357"/>
        <v>43756</v>
      </c>
    </row>
    <row r="2833" spans="1:49">
      <c r="A2833" s="1077" t="s">
        <v>8499</v>
      </c>
      <c r="B2833" s="1077" t="s">
        <v>8438</v>
      </c>
      <c r="C2833" s="1077">
        <v>500</v>
      </c>
      <c r="D2833" s="1077">
        <v>1.64</v>
      </c>
      <c r="E2833" s="1077" t="s">
        <v>15094</v>
      </c>
      <c r="F2833" s="1077" t="s">
        <v>2234</v>
      </c>
      <c r="G2833" s="1077">
        <v>5</v>
      </c>
      <c r="H2833" s="1077" t="s">
        <v>8500</v>
      </c>
      <c r="I2833" s="1077" t="s">
        <v>460</v>
      </c>
      <c r="J2833" s="1077">
        <v>1.3</v>
      </c>
      <c r="K2833" s="1077" t="s">
        <v>8501</v>
      </c>
      <c r="L2833" s="1077" t="s">
        <v>4907</v>
      </c>
      <c r="M2833" s="1077">
        <v>166.5</v>
      </c>
      <c r="N2833" s="1077" t="s">
        <v>945</v>
      </c>
      <c r="O2833" s="1077">
        <v>4.1625000000000005</v>
      </c>
      <c r="P2833" s="1077">
        <v>3.33</v>
      </c>
      <c r="Q2833" s="1077" t="s">
        <v>1005</v>
      </c>
      <c r="R2833" s="1077">
        <v>32</v>
      </c>
      <c r="T2833" s="1077">
        <v>11.2</v>
      </c>
      <c r="U2833" s="1077">
        <v>3.5</v>
      </c>
      <c r="V2833" s="1077" t="s">
        <v>648</v>
      </c>
      <c r="W2833" s="1077">
        <v>105</v>
      </c>
      <c r="X2833" s="1077">
        <v>20</v>
      </c>
      <c r="Y2833" s="1077">
        <v>2.6</v>
      </c>
      <c r="Z2833" s="1077" t="s">
        <v>5139</v>
      </c>
      <c r="AA2833" s="1077" t="s">
        <v>7112</v>
      </c>
      <c r="AH2833" s="1077" t="s">
        <v>1170</v>
      </c>
      <c r="AM2833" s="1078" t="s">
        <v>14577</v>
      </c>
      <c r="AN2833" s="1078" t="s">
        <v>9197</v>
      </c>
      <c r="AO2833" s="1078">
        <f t="shared" si="358"/>
        <v>500</v>
      </c>
      <c r="AP2833" s="1078">
        <f t="shared" si="359"/>
        <v>1.64</v>
      </c>
      <c r="AQ2833" s="1078" t="str">
        <f t="shared" si="360"/>
        <v>1-5-1S91°</v>
      </c>
      <c r="AR2833" s="1078" t="str">
        <f t="shared" si="361"/>
        <v>33.5</v>
      </c>
      <c r="AS2833" s="1078" t="str">
        <f t="shared" si="362"/>
        <v>307/307/140</v>
      </c>
      <c r="AT2833" s="1078" t="str">
        <f t="shared" si="363"/>
        <v>1-5-1S91°</v>
      </c>
      <c r="AV2833" s="1078" t="str">
        <f t="shared" si="356"/>
        <v>108.10.30</v>
      </c>
      <c r="AW2833" s="1344">
        <f t="shared" si="357"/>
        <v>43768</v>
      </c>
    </row>
    <row r="2834" spans="1:49">
      <c r="A2834" s="1077" t="s">
        <v>8502</v>
      </c>
      <c r="B2834" s="1077" t="s">
        <v>8466</v>
      </c>
      <c r="C2834" s="1077">
        <v>600</v>
      </c>
      <c r="D2834" s="1077">
        <v>1.786</v>
      </c>
      <c r="E2834" s="1077" t="s">
        <v>15104</v>
      </c>
      <c r="F2834" s="1077" t="s">
        <v>2520</v>
      </c>
      <c r="G2834" s="1077">
        <v>4</v>
      </c>
      <c r="H2834" s="1077" t="s">
        <v>8470</v>
      </c>
      <c r="I2834" s="1077" t="s">
        <v>126</v>
      </c>
      <c r="J2834" s="1077">
        <v>1.9</v>
      </c>
      <c r="K2834" s="1077" t="s">
        <v>8481</v>
      </c>
      <c r="L2834" s="1077" t="s">
        <v>4064</v>
      </c>
      <c r="M2834" s="1077">
        <v>195.5</v>
      </c>
      <c r="N2834" s="1077" t="s">
        <v>945</v>
      </c>
      <c r="O2834" s="1077">
        <v>4.8875000000000002</v>
      </c>
      <c r="P2834" s="1077">
        <v>3.91</v>
      </c>
      <c r="Q2834" s="1077" t="s">
        <v>961</v>
      </c>
      <c r="R2834" s="1077">
        <v>18.5</v>
      </c>
      <c r="T2834" s="1077">
        <v>11</v>
      </c>
      <c r="U2834" s="1077">
        <v>3.7</v>
      </c>
      <c r="V2834" s="1077" t="s">
        <v>648</v>
      </c>
      <c r="W2834" s="1077">
        <v>115</v>
      </c>
      <c r="X2834" s="1077">
        <v>70</v>
      </c>
      <c r="Y2834" s="1077">
        <v>1.6</v>
      </c>
      <c r="Z2834" s="1077" t="s">
        <v>648</v>
      </c>
      <c r="AA2834" s="1077" t="s">
        <v>8503</v>
      </c>
      <c r="AH2834" s="1077" t="s">
        <v>782</v>
      </c>
      <c r="AM2834" s="1078" t="s">
        <v>14578</v>
      </c>
      <c r="AN2834" s="1078" t="s">
        <v>14579</v>
      </c>
      <c r="AO2834" s="1078">
        <f t="shared" si="358"/>
        <v>600</v>
      </c>
      <c r="AP2834" s="1078">
        <f t="shared" si="359"/>
        <v>1.786</v>
      </c>
      <c r="AQ2834" s="1078" t="str">
        <f t="shared" si="360"/>
        <v>1-4-1S85°Z+S</v>
      </c>
      <c r="AR2834" s="1078" t="str">
        <f t="shared" si="361"/>
        <v>*</v>
      </c>
      <c r="AS2834" s="1078" t="str">
        <f t="shared" si="362"/>
        <v>175/150</v>
      </c>
      <c r="AT2834" s="1078" t="str">
        <f t="shared" si="363"/>
        <v>1-4-1S85°Z+S</v>
      </c>
      <c r="AU2834" s="1078" t="s">
        <v>15547</v>
      </c>
      <c r="AV2834" s="1078" t="str">
        <f t="shared" si="356"/>
        <v>108.11.5</v>
      </c>
      <c r="AW2834" s="1344">
        <f t="shared" si="357"/>
        <v>43774</v>
      </c>
    </row>
    <row r="2835" spans="1:49">
      <c r="A2835" s="1077" t="s">
        <v>8504</v>
      </c>
      <c r="B2835" s="1077" t="s">
        <v>8438</v>
      </c>
      <c r="C2835" s="1077">
        <v>500</v>
      </c>
      <c r="D2835" s="1077">
        <v>1.66</v>
      </c>
      <c r="E2835" s="1077" t="s">
        <v>15094</v>
      </c>
      <c r="F2835" s="1077" t="s">
        <v>2234</v>
      </c>
      <c r="G2835" s="1077">
        <v>4.5</v>
      </c>
      <c r="H2835" s="1077" t="s">
        <v>8500</v>
      </c>
      <c r="I2835" s="1077" t="s">
        <v>460</v>
      </c>
      <c r="J2835" s="1077">
        <v>3</v>
      </c>
      <c r="K2835" s="1077" t="s">
        <v>8501</v>
      </c>
      <c r="L2835" s="1077" t="s">
        <v>4907</v>
      </c>
      <c r="M2835" s="1077">
        <v>166.5</v>
      </c>
      <c r="N2835" s="1077" t="s">
        <v>945</v>
      </c>
      <c r="O2835" s="1077">
        <v>4.1625000000000005</v>
      </c>
      <c r="P2835" s="1077">
        <v>3.33</v>
      </c>
      <c r="Q2835" s="1077" t="s">
        <v>1005</v>
      </c>
      <c r="R2835" s="1077">
        <v>27</v>
      </c>
      <c r="T2835" s="1077">
        <v>10.6</v>
      </c>
      <c r="U2835" s="1077">
        <v>4.0999999999999996</v>
      </c>
      <c r="V2835" s="1077" t="s">
        <v>648</v>
      </c>
      <c r="W2835" s="1077">
        <v>110</v>
      </c>
      <c r="X2835" s="1077">
        <v>90</v>
      </c>
      <c r="Y2835" s="1077">
        <v>1.8</v>
      </c>
      <c r="Z2835" s="1077" t="s">
        <v>3090</v>
      </c>
      <c r="AA2835" s="1077" t="s">
        <v>1227</v>
      </c>
      <c r="AH2835" s="1077" t="s">
        <v>684</v>
      </c>
      <c r="AM2835" s="1078" t="s">
        <v>14580</v>
      </c>
      <c r="AN2835" s="1078" t="s">
        <v>14581</v>
      </c>
      <c r="AO2835" s="1078">
        <f t="shared" si="358"/>
        <v>500</v>
      </c>
      <c r="AP2835" s="1078">
        <f t="shared" si="359"/>
        <v>1.66</v>
      </c>
      <c r="AQ2835" s="1078" t="str">
        <f t="shared" si="360"/>
        <v>1-5-1S91°</v>
      </c>
      <c r="AR2835" s="1078" t="str">
        <f t="shared" si="361"/>
        <v>33.5</v>
      </c>
      <c r="AS2835" s="1078" t="str">
        <f t="shared" si="362"/>
        <v>307/307/140</v>
      </c>
      <c r="AT2835" s="1078" t="str">
        <f t="shared" si="363"/>
        <v>1-5-1S91°</v>
      </c>
      <c r="AV2835" s="1078" t="str">
        <f t="shared" si="356"/>
        <v>108.11.11</v>
      </c>
      <c r="AW2835" s="1344">
        <f t="shared" si="357"/>
        <v>43780</v>
      </c>
    </row>
    <row r="2836" spans="1:49">
      <c r="A2836" s="1077" t="s">
        <v>8505</v>
      </c>
      <c r="B2836" s="1077" t="s">
        <v>8424</v>
      </c>
      <c r="C2836" s="1077">
        <v>620</v>
      </c>
      <c r="D2836" s="1077">
        <v>1.7</v>
      </c>
      <c r="E2836" s="1077" t="s">
        <v>15089</v>
      </c>
      <c r="F2836" s="1077" t="s">
        <v>2167</v>
      </c>
      <c r="G2836" s="1077">
        <v>2</v>
      </c>
      <c r="H2836" s="1077" t="s">
        <v>1918</v>
      </c>
      <c r="I2836" s="1077" t="s">
        <v>1073</v>
      </c>
      <c r="J2836" s="1077">
        <v>1.7</v>
      </c>
      <c r="K2836" s="1077" t="s">
        <v>8506</v>
      </c>
      <c r="L2836" s="1077" t="s">
        <v>8426</v>
      </c>
      <c r="M2836" s="1077">
        <v>31.5</v>
      </c>
      <c r="N2836" s="1077" t="s">
        <v>945</v>
      </c>
      <c r="O2836" s="1077">
        <v>0.78750000000000009</v>
      </c>
      <c r="P2836" s="1077">
        <v>0.63</v>
      </c>
      <c r="Q2836" s="1077" t="s">
        <v>988</v>
      </c>
      <c r="R2836" s="1077">
        <v>20</v>
      </c>
      <c r="T2836" s="1077">
        <v>39</v>
      </c>
      <c r="U2836" s="1077">
        <v>3.5</v>
      </c>
      <c r="V2836" s="1077" t="s">
        <v>648</v>
      </c>
      <c r="W2836" s="1077">
        <v>150</v>
      </c>
      <c r="X2836" s="1077">
        <v>85</v>
      </c>
      <c r="Y2836" s="1077">
        <v>3</v>
      </c>
      <c r="Z2836" s="1077">
        <v>3.5</v>
      </c>
      <c r="AA2836" s="1077" t="s">
        <v>1227</v>
      </c>
      <c r="AH2836" s="1077" t="s">
        <v>619</v>
      </c>
      <c r="AM2836" s="1078" t="s">
        <v>14582</v>
      </c>
      <c r="AN2836" s="1078" t="s">
        <v>14583</v>
      </c>
      <c r="AO2836" s="1078">
        <f t="shared" si="358"/>
        <v>620</v>
      </c>
      <c r="AP2836" s="1078">
        <f t="shared" si="359"/>
        <v>1.7</v>
      </c>
      <c r="AQ2836" s="1078" t="str">
        <f t="shared" si="360"/>
        <v>1-4-1S83°</v>
      </c>
      <c r="AR2836" s="1078" t="str">
        <f t="shared" si="361"/>
        <v>33</v>
      </c>
      <c r="AS2836" s="1078" t="str">
        <f t="shared" si="362"/>
        <v>233/233/OFF</v>
      </c>
      <c r="AT2836" s="1078" t="str">
        <f t="shared" si="363"/>
        <v>1-4-1S83°</v>
      </c>
      <c r="AV2836" s="1078" t="str">
        <f t="shared" si="356"/>
        <v>108.11.11</v>
      </c>
      <c r="AW2836" s="1344">
        <f t="shared" si="357"/>
        <v>43780</v>
      </c>
    </row>
    <row r="2837" spans="1:49">
      <c r="A2837" s="1077" t="s">
        <v>8507</v>
      </c>
      <c r="B2837" s="1077" t="s">
        <v>8508</v>
      </c>
      <c r="C2837" s="1077">
        <v>600</v>
      </c>
      <c r="D2837" s="1077">
        <v>1.72</v>
      </c>
      <c r="E2837" s="1077" t="s">
        <v>15104</v>
      </c>
      <c r="F2837" s="1077" t="s">
        <v>2520</v>
      </c>
      <c r="G2837" s="1077">
        <v>5</v>
      </c>
      <c r="H2837" s="1077" t="s">
        <v>5328</v>
      </c>
      <c r="I2837" s="1077" t="s">
        <v>460</v>
      </c>
      <c r="J2837" s="1077">
        <v>2.4</v>
      </c>
      <c r="K2837" s="1077" t="s">
        <v>8509</v>
      </c>
      <c r="L2837" s="1077" t="s">
        <v>4098</v>
      </c>
      <c r="M2837" s="1077">
        <v>196</v>
      </c>
      <c r="N2837" s="1077" t="s">
        <v>945</v>
      </c>
      <c r="O2837" s="1077">
        <v>4.9000000000000004</v>
      </c>
      <c r="P2837" s="1077">
        <v>3.92</v>
      </c>
      <c r="Q2837" s="1077" t="s">
        <v>1363</v>
      </c>
      <c r="R2837" s="1077">
        <v>28</v>
      </c>
      <c r="T2837" s="1077">
        <v>15.5</v>
      </c>
      <c r="U2837" s="1077">
        <v>5</v>
      </c>
      <c r="V2837" s="1077" t="s">
        <v>648</v>
      </c>
      <c r="W2837" s="1077">
        <v>130</v>
      </c>
      <c r="X2837" s="1077">
        <v>80</v>
      </c>
      <c r="Y2837" s="1077">
        <v>1.5</v>
      </c>
      <c r="Z2837" s="1077" t="s">
        <v>648</v>
      </c>
      <c r="AA2837" s="1077" t="s">
        <v>1227</v>
      </c>
      <c r="AH2837" s="1077" t="s">
        <v>1053</v>
      </c>
      <c r="AM2837" s="1078" t="s">
        <v>14584</v>
      </c>
      <c r="AN2837" s="1078" t="s">
        <v>14585</v>
      </c>
      <c r="AO2837" s="1078">
        <f t="shared" si="358"/>
        <v>600</v>
      </c>
      <c r="AP2837" s="1078">
        <f t="shared" si="359"/>
        <v>1.72</v>
      </c>
      <c r="AQ2837" s="1078" t="str">
        <f t="shared" si="360"/>
        <v>1-4-1S85°Z+S</v>
      </c>
      <c r="AR2837" s="1078" t="str">
        <f t="shared" si="361"/>
        <v>*</v>
      </c>
      <c r="AS2837" s="1078" t="str">
        <f t="shared" si="362"/>
        <v>160/150</v>
      </c>
      <c r="AT2837" s="1078" t="str">
        <f t="shared" si="363"/>
        <v>1-4-1S85°Z+S</v>
      </c>
      <c r="AU2837" s="1078" t="s">
        <v>15547</v>
      </c>
      <c r="AV2837" s="1078" t="str">
        <f t="shared" si="356"/>
        <v>108.11.11</v>
      </c>
      <c r="AW2837" s="1344">
        <f t="shared" si="357"/>
        <v>43780</v>
      </c>
    </row>
    <row r="2838" spans="1:49">
      <c r="A2838" s="1077" t="s">
        <v>8510</v>
      </c>
      <c r="B2838" s="1077" t="s">
        <v>987</v>
      </c>
      <c r="C2838" s="1077">
        <v>700</v>
      </c>
      <c r="D2838" s="1077">
        <v>1.69</v>
      </c>
      <c r="E2838" s="1077" t="s">
        <v>15088</v>
      </c>
      <c r="F2838" s="1077" t="s">
        <v>648</v>
      </c>
      <c r="G2838" s="1077" t="s">
        <v>1767</v>
      </c>
      <c r="H2838" s="1077" t="s">
        <v>4871</v>
      </c>
      <c r="I2838" s="1077" t="s">
        <v>126</v>
      </c>
      <c r="J2838" s="1077">
        <v>0.9</v>
      </c>
      <c r="K2838" s="1077" t="s">
        <v>8511</v>
      </c>
      <c r="L2838" s="1077" t="s">
        <v>8448</v>
      </c>
      <c r="M2838" s="1077">
        <v>86.5</v>
      </c>
      <c r="N2838" s="1077" t="s">
        <v>945</v>
      </c>
      <c r="O2838" s="1077">
        <v>2.1625000000000001</v>
      </c>
      <c r="P2838" s="1077">
        <v>1.73</v>
      </c>
      <c r="Q2838" s="1077" t="s">
        <v>961</v>
      </c>
      <c r="R2838" s="1077">
        <v>22.6</v>
      </c>
      <c r="T2838" s="1077">
        <v>23.2</v>
      </c>
      <c r="U2838" s="1077">
        <v>3.5</v>
      </c>
      <c r="V2838" s="1077" t="s">
        <v>648</v>
      </c>
      <c r="W2838" s="1077">
        <v>110</v>
      </c>
      <c r="X2838" s="1077">
        <v>75</v>
      </c>
      <c r="Y2838" s="1077">
        <v>1.8</v>
      </c>
      <c r="Z2838" s="1077">
        <v>5.5</v>
      </c>
      <c r="AA2838" s="1077" t="s">
        <v>5489</v>
      </c>
      <c r="AH2838" s="1077" t="s">
        <v>803</v>
      </c>
      <c r="AM2838" s="1078" t="s">
        <v>14586</v>
      </c>
      <c r="AN2838" s="1078" t="s">
        <v>14587</v>
      </c>
      <c r="AO2838" s="1078">
        <f t="shared" si="358"/>
        <v>700</v>
      </c>
      <c r="AP2838" s="1078">
        <f t="shared" si="359"/>
        <v>1.69</v>
      </c>
      <c r="AQ2838" s="1078" t="str">
        <f t="shared" si="360"/>
        <v>1-4-1S85°</v>
      </c>
      <c r="AR2838" s="1078" t="str">
        <f t="shared" si="361"/>
        <v>NA</v>
      </c>
      <c r="AS2838" s="1078" t="str">
        <f t="shared" si="362"/>
        <v>184/OFF</v>
      </c>
      <c r="AT2838" s="1078" t="str">
        <f t="shared" si="363"/>
        <v>1-4-1S85°</v>
      </c>
      <c r="AV2838" s="1078" t="str">
        <f t="shared" si="356"/>
        <v>108.11.18</v>
      </c>
      <c r="AW2838" s="1344">
        <f t="shared" si="357"/>
        <v>43787</v>
      </c>
    </row>
    <row r="2839" spans="1:49">
      <c r="A2839" s="1077" t="s">
        <v>8512</v>
      </c>
      <c r="B2839" s="1077" t="s">
        <v>8513</v>
      </c>
      <c r="C2839" s="1077">
        <v>500</v>
      </c>
      <c r="D2839" s="1077">
        <v>1.66</v>
      </c>
      <c r="E2839" s="1077" t="s">
        <v>15122</v>
      </c>
      <c r="F2839" s="1077" t="s">
        <v>2234</v>
      </c>
      <c r="G2839" s="1077">
        <v>5</v>
      </c>
      <c r="H2839" s="1077" t="s">
        <v>8500</v>
      </c>
      <c r="I2839" s="1077" t="s">
        <v>126</v>
      </c>
      <c r="J2839" s="1077">
        <v>1.6</v>
      </c>
      <c r="K2839" s="1077" t="s">
        <v>8514</v>
      </c>
      <c r="L2839" s="1077" t="s">
        <v>4907</v>
      </c>
      <c r="M2839" s="1077">
        <v>325</v>
      </c>
      <c r="N2839" s="1077" t="s">
        <v>945</v>
      </c>
      <c r="O2839" s="1077">
        <v>8.125</v>
      </c>
      <c r="P2839" s="1077">
        <v>6.5</v>
      </c>
      <c r="Q2839" s="1077" t="s">
        <v>1369</v>
      </c>
      <c r="R2839" s="1077">
        <v>28.5</v>
      </c>
      <c r="T2839" s="1077">
        <v>14.4</v>
      </c>
      <c r="U2839" s="1077">
        <v>3.6</v>
      </c>
      <c r="V2839" s="1077" t="s">
        <v>648</v>
      </c>
      <c r="W2839" s="1077">
        <v>50</v>
      </c>
      <c r="X2839" s="1077">
        <v>10</v>
      </c>
      <c r="Y2839" s="1077">
        <v>1</v>
      </c>
      <c r="Z2839" s="1077" t="s">
        <v>648</v>
      </c>
      <c r="AA2839" s="1077" t="s">
        <v>1232</v>
      </c>
      <c r="AH2839" s="1077" t="s">
        <v>3213</v>
      </c>
      <c r="AM2839" s="1078" t="s">
        <v>14588</v>
      </c>
      <c r="AN2839" s="1078" t="s">
        <v>14589</v>
      </c>
      <c r="AO2839" s="1078">
        <f t="shared" si="358"/>
        <v>500</v>
      </c>
      <c r="AP2839" s="1078">
        <f t="shared" si="359"/>
        <v>1.66</v>
      </c>
      <c r="AQ2839" s="1078" t="str">
        <f t="shared" si="360"/>
        <v>1-5-1S91°Z+S</v>
      </c>
      <c r="AR2839" s="1078" t="str">
        <f t="shared" si="361"/>
        <v>33.5</v>
      </c>
      <c r="AS2839" s="1078" t="str">
        <f t="shared" si="362"/>
        <v>307/307/140</v>
      </c>
      <c r="AT2839" s="1078" t="str">
        <f t="shared" si="363"/>
        <v>1-5-1S91°Z+S</v>
      </c>
      <c r="AU2839" s="1078" t="s">
        <v>15547</v>
      </c>
      <c r="AV2839" s="1078" t="str">
        <f t="shared" si="356"/>
        <v>108.11.21</v>
      </c>
      <c r="AW2839" s="1344">
        <f t="shared" si="357"/>
        <v>43790</v>
      </c>
    </row>
    <row r="2840" spans="1:49">
      <c r="A2840" s="1077" t="s">
        <v>8515</v>
      </c>
      <c r="B2840" s="1077" t="s">
        <v>6871</v>
      </c>
      <c r="C2840" s="1077">
        <v>550</v>
      </c>
      <c r="D2840" s="1077">
        <v>1.78</v>
      </c>
      <c r="E2840" s="1077">
        <v>102.5</v>
      </c>
      <c r="F2840" s="1077" t="s">
        <v>4070</v>
      </c>
      <c r="G2840" s="1077" t="s">
        <v>6865</v>
      </c>
      <c r="H2840" s="1077" t="s">
        <v>6872</v>
      </c>
      <c r="I2840" s="1077" t="s">
        <v>471</v>
      </c>
      <c r="J2840" s="1077">
        <v>1.6</v>
      </c>
      <c r="K2840" s="1077" t="s">
        <v>8516</v>
      </c>
      <c r="L2840" s="1077" t="s">
        <v>4808</v>
      </c>
      <c r="M2840" s="1077">
        <v>283</v>
      </c>
      <c r="N2840" s="1077" t="s">
        <v>945</v>
      </c>
      <c r="O2840" s="1077">
        <v>7.0750000000000002</v>
      </c>
      <c r="P2840" s="1077">
        <v>5.66</v>
      </c>
      <c r="Q2840" s="1077" t="s">
        <v>946</v>
      </c>
      <c r="R2840" s="1077">
        <v>20</v>
      </c>
      <c r="T2840" s="1077">
        <v>30.8</v>
      </c>
      <c r="U2840" s="1077">
        <v>3.5</v>
      </c>
      <c r="V2840" s="1077" t="s">
        <v>648</v>
      </c>
      <c r="W2840" s="1077" t="s">
        <v>6869</v>
      </c>
      <c r="X2840" s="1077">
        <v>10</v>
      </c>
      <c r="Y2840" s="1077">
        <v>1.6</v>
      </c>
      <c r="Z2840" s="1077" t="s">
        <v>648</v>
      </c>
      <c r="AA2840" s="1077" t="s">
        <v>8517</v>
      </c>
      <c r="AH2840" s="1077" t="s">
        <v>723</v>
      </c>
      <c r="AM2840" s="1078" t="s">
        <v>14590</v>
      </c>
      <c r="AN2840" s="1078" t="s">
        <v>14591</v>
      </c>
      <c r="AO2840" s="1078">
        <f t="shared" si="358"/>
        <v>550</v>
      </c>
      <c r="AP2840" s="1078">
        <f t="shared" si="359"/>
        <v>1.78</v>
      </c>
      <c r="AQ2840" s="1078">
        <f t="shared" si="360"/>
        <v>102.5</v>
      </c>
      <c r="AR2840" s="1078" t="str">
        <f t="shared" si="361"/>
        <v>15.5</v>
      </c>
      <c r="AS2840" s="1078" t="str">
        <f t="shared" si="362"/>
        <v>475/435/OFF</v>
      </c>
      <c r="AT2840" s="1078">
        <f t="shared" si="363"/>
        <v>102.5</v>
      </c>
      <c r="AV2840" s="1078" t="str">
        <f t="shared" si="356"/>
        <v>108.11.26</v>
      </c>
      <c r="AW2840" s="1344">
        <f t="shared" si="357"/>
        <v>43795</v>
      </c>
    </row>
    <row r="2841" spans="1:49">
      <c r="A2841" s="1077" t="s">
        <v>8518</v>
      </c>
      <c r="B2841" s="1077" t="s">
        <v>8519</v>
      </c>
      <c r="C2841" s="1077">
        <v>650</v>
      </c>
      <c r="D2841" s="1077">
        <v>1.7749999999999999</v>
      </c>
      <c r="E2841" s="1077" t="s">
        <v>15116</v>
      </c>
      <c r="F2841" s="1077" t="s">
        <v>2234</v>
      </c>
      <c r="G2841" s="1077">
        <v>5</v>
      </c>
      <c r="H2841" s="1077" t="s">
        <v>8520</v>
      </c>
      <c r="I2841" s="1077" t="s">
        <v>460</v>
      </c>
      <c r="J2841" s="1077">
        <v>2.8</v>
      </c>
      <c r="K2841" s="1077" t="s">
        <v>8521</v>
      </c>
      <c r="L2841" s="1077" t="s">
        <v>4085</v>
      </c>
      <c r="M2841" s="1077">
        <v>206</v>
      </c>
      <c r="N2841" s="1077" t="s">
        <v>945</v>
      </c>
      <c r="O2841" s="1077">
        <v>5.15</v>
      </c>
      <c r="P2841" s="1077">
        <v>4.12</v>
      </c>
      <c r="Q2841" s="1077" t="s">
        <v>988</v>
      </c>
      <c r="R2841" s="1077">
        <v>25</v>
      </c>
      <c r="T2841" s="1077">
        <v>18.5</v>
      </c>
      <c r="U2841" s="1077">
        <v>4.0999999999999996</v>
      </c>
      <c r="V2841" s="1077" t="s">
        <v>648</v>
      </c>
      <c r="W2841" s="1077">
        <v>120</v>
      </c>
      <c r="X2841" s="1077">
        <v>85</v>
      </c>
      <c r="Y2841" s="1077">
        <v>1.5</v>
      </c>
      <c r="Z2841" s="1077" t="s">
        <v>648</v>
      </c>
      <c r="AA2841" s="1077" t="s">
        <v>8522</v>
      </c>
      <c r="AH2841" s="1077" t="s">
        <v>466</v>
      </c>
      <c r="AM2841" s="1078" t="s">
        <v>14592</v>
      </c>
      <c r="AN2841" s="1078" t="s">
        <v>14593</v>
      </c>
      <c r="AO2841" s="1078">
        <f t="shared" si="358"/>
        <v>650</v>
      </c>
      <c r="AP2841" s="1078">
        <f t="shared" si="359"/>
        <v>1.7749999999999999</v>
      </c>
      <c r="AQ2841" s="1078" t="str">
        <f t="shared" si="360"/>
        <v>1-5-1S83°Z+S</v>
      </c>
      <c r="AR2841" s="1078" t="str">
        <f t="shared" si="361"/>
        <v>33.5</v>
      </c>
      <c r="AS2841" s="1078" t="str">
        <f t="shared" si="362"/>
        <v>260/240/137</v>
      </c>
      <c r="AT2841" s="1078" t="str">
        <f t="shared" si="363"/>
        <v>1-5-1S83°Z+S</v>
      </c>
      <c r="AU2841" s="1078" t="s">
        <v>15547</v>
      </c>
      <c r="AV2841" s="1078" t="str">
        <f t="shared" si="356"/>
        <v>108.11.27</v>
      </c>
      <c r="AW2841" s="1344">
        <f t="shared" si="357"/>
        <v>43796</v>
      </c>
    </row>
    <row r="2842" spans="1:49">
      <c r="A2842" s="1077" t="s">
        <v>8523</v>
      </c>
      <c r="B2842" s="1077" t="s">
        <v>8524</v>
      </c>
      <c r="C2842" s="1077">
        <v>450</v>
      </c>
      <c r="D2842" s="1077">
        <v>1.83</v>
      </c>
      <c r="E2842" s="1077">
        <v>107.5</v>
      </c>
      <c r="F2842" s="1077" t="s">
        <v>648</v>
      </c>
      <c r="G2842" s="1077">
        <v>5</v>
      </c>
      <c r="H2842" s="1077" t="s">
        <v>8525</v>
      </c>
      <c r="I2842" s="1077" t="s">
        <v>643</v>
      </c>
      <c r="J2842" s="1077">
        <v>1</v>
      </c>
      <c r="K2842" s="1077" t="s">
        <v>8526</v>
      </c>
      <c r="L2842" s="1077" t="s">
        <v>8527</v>
      </c>
      <c r="M2842" s="1077">
        <v>421.5</v>
      </c>
      <c r="N2842" s="1077" t="s">
        <v>945</v>
      </c>
      <c r="O2842" s="1077">
        <v>10.537500000000001</v>
      </c>
      <c r="P2842" s="1077">
        <v>8.43</v>
      </c>
      <c r="Q2842" s="1077" t="s">
        <v>1369</v>
      </c>
      <c r="R2842" s="1077">
        <v>19.100000000000001</v>
      </c>
      <c r="T2842" s="1077">
        <v>12.2</v>
      </c>
      <c r="U2842" s="1077" t="s">
        <v>8528</v>
      </c>
      <c r="V2842" s="1077" t="s">
        <v>648</v>
      </c>
      <c r="W2842" s="1077" t="s">
        <v>8529</v>
      </c>
      <c r="X2842" s="1077">
        <v>10</v>
      </c>
      <c r="Y2842" s="1077">
        <v>1.2</v>
      </c>
      <c r="Z2842" s="1077" t="s">
        <v>648</v>
      </c>
      <c r="AA2842" s="1077" t="s">
        <v>2828</v>
      </c>
      <c r="AH2842" s="1077" t="s">
        <v>1643</v>
      </c>
      <c r="AM2842" s="1078" t="s">
        <v>14594</v>
      </c>
      <c r="AN2842" s="1078" t="s">
        <v>14595</v>
      </c>
      <c r="AO2842" s="1078">
        <f t="shared" si="358"/>
        <v>450</v>
      </c>
      <c r="AP2842" s="1078">
        <f t="shared" si="359"/>
        <v>1.83</v>
      </c>
      <c r="AQ2842" s="1078">
        <f t="shared" si="360"/>
        <v>107.5</v>
      </c>
      <c r="AR2842" s="1078" t="str">
        <f t="shared" si="361"/>
        <v>NA</v>
      </c>
      <c r="AS2842" s="1078" t="str">
        <f t="shared" si="362"/>
        <v>380/360/155</v>
      </c>
      <c r="AT2842" s="1078">
        <f t="shared" si="363"/>
        <v>107.5</v>
      </c>
      <c r="AV2842" s="1078" t="str">
        <f t="shared" si="356"/>
        <v>108.12.2</v>
      </c>
      <c r="AW2842" s="1344">
        <f t="shared" si="357"/>
        <v>43801</v>
      </c>
    </row>
    <row r="2843" spans="1:49">
      <c r="A2843" s="1077" t="s">
        <v>8530</v>
      </c>
      <c r="B2843" s="1077" t="s">
        <v>8531</v>
      </c>
      <c r="C2843" s="1077">
        <v>500</v>
      </c>
      <c r="D2843" s="1077">
        <v>1.71</v>
      </c>
      <c r="E2843" s="1077" t="s">
        <v>15089</v>
      </c>
      <c r="F2843" s="1077" t="s">
        <v>954</v>
      </c>
      <c r="G2843" s="1077">
        <v>2</v>
      </c>
      <c r="H2843" s="1077" t="s">
        <v>4168</v>
      </c>
      <c r="I2843" s="1077" t="s">
        <v>942</v>
      </c>
      <c r="J2843" s="1077">
        <v>1</v>
      </c>
      <c r="K2843" s="1077" t="s">
        <v>8532</v>
      </c>
      <c r="L2843" s="1077" t="s">
        <v>8533</v>
      </c>
      <c r="M2843" s="1077">
        <v>37.299999999999997</v>
      </c>
      <c r="N2843" s="1077" t="s">
        <v>945</v>
      </c>
      <c r="O2843" s="1077">
        <v>0.9325</v>
      </c>
      <c r="P2843" s="1077">
        <v>0.746</v>
      </c>
      <c r="Q2843" s="1077" t="s">
        <v>1369</v>
      </c>
      <c r="R2843" s="1077">
        <v>27.5</v>
      </c>
      <c r="T2843" s="1077">
        <v>22.4</v>
      </c>
      <c r="U2843" s="1077" t="s">
        <v>8534</v>
      </c>
      <c r="V2843" s="1077" t="s">
        <v>648</v>
      </c>
      <c r="W2843" s="1077">
        <v>130</v>
      </c>
      <c r="X2843" s="1077">
        <v>85</v>
      </c>
      <c r="Y2843" s="1077">
        <v>2.5</v>
      </c>
      <c r="Z2843" s="1077">
        <v>3.5</v>
      </c>
      <c r="AA2843" s="1077" t="s">
        <v>1251</v>
      </c>
      <c r="AH2843" s="1077" t="s">
        <v>1137</v>
      </c>
      <c r="AM2843" s="1078" t="s">
        <v>14596</v>
      </c>
      <c r="AN2843" s="1078" t="s">
        <v>14597</v>
      </c>
      <c r="AO2843" s="1078">
        <f t="shared" si="358"/>
        <v>500</v>
      </c>
      <c r="AP2843" s="1078">
        <f t="shared" si="359"/>
        <v>1.71</v>
      </c>
      <c r="AQ2843" s="1078" t="str">
        <f t="shared" si="360"/>
        <v>1-4-1S83°</v>
      </c>
      <c r="AR2843" s="1078" t="str">
        <f t="shared" si="361"/>
        <v>31</v>
      </c>
      <c r="AS2843" s="1078" t="str">
        <f t="shared" si="362"/>
        <v>190/190/OFF</v>
      </c>
      <c r="AT2843" s="1078" t="str">
        <f t="shared" si="363"/>
        <v>1-4-1S83°</v>
      </c>
      <c r="AV2843" s="1078" t="str">
        <f t="shared" si="356"/>
        <v>108.12.24</v>
      </c>
      <c r="AW2843" s="1344">
        <f t="shared" si="357"/>
        <v>43823</v>
      </c>
    </row>
    <row r="2844" spans="1:49">
      <c r="A2844" s="1077" t="s">
        <v>8535</v>
      </c>
      <c r="B2844" s="1077" t="s">
        <v>8466</v>
      </c>
      <c r="C2844" s="1077">
        <v>600</v>
      </c>
      <c r="D2844" s="1077">
        <v>1.766</v>
      </c>
      <c r="E2844" s="1077" t="s">
        <v>15104</v>
      </c>
      <c r="F2844" s="1077" t="s">
        <v>2520</v>
      </c>
      <c r="G2844" s="1077">
        <v>4</v>
      </c>
      <c r="H2844" s="1077" t="s">
        <v>6608</v>
      </c>
      <c r="I2844" s="1077" t="s">
        <v>126</v>
      </c>
      <c r="J2844" s="1077">
        <v>1.7</v>
      </c>
      <c r="K2844" s="1077" t="s">
        <v>8536</v>
      </c>
      <c r="L2844" s="1077" t="s">
        <v>4064</v>
      </c>
      <c r="M2844" s="1077">
        <v>202</v>
      </c>
      <c r="N2844" s="1077" t="s">
        <v>945</v>
      </c>
      <c r="O2844" s="1077">
        <v>5.0500000000000007</v>
      </c>
      <c r="P2844" s="1077">
        <v>4.04</v>
      </c>
      <c r="Q2844" s="1077" t="s">
        <v>961</v>
      </c>
      <c r="R2844" s="1077">
        <v>18.5</v>
      </c>
      <c r="T2844" s="1077">
        <v>11</v>
      </c>
      <c r="U2844" s="1077">
        <v>3.7</v>
      </c>
      <c r="V2844" s="1077" t="s">
        <v>648</v>
      </c>
      <c r="W2844" s="1077">
        <v>115</v>
      </c>
      <c r="X2844" s="1077">
        <v>70</v>
      </c>
      <c r="Y2844" s="1077">
        <v>1.6</v>
      </c>
      <c r="Z2844" s="1077" t="s">
        <v>648</v>
      </c>
      <c r="AA2844" s="1077" t="s">
        <v>8537</v>
      </c>
      <c r="AH2844" s="1077" t="s">
        <v>3321</v>
      </c>
      <c r="AM2844" s="1078" t="s">
        <v>14598</v>
      </c>
      <c r="AN2844" s="1078" t="s">
        <v>14599</v>
      </c>
      <c r="AO2844" s="1078">
        <f t="shared" si="358"/>
        <v>600</v>
      </c>
      <c r="AP2844" s="1078">
        <f t="shared" si="359"/>
        <v>1.766</v>
      </c>
      <c r="AQ2844" s="1078" t="str">
        <f t="shared" si="360"/>
        <v>1-4-1S85°Z+S</v>
      </c>
      <c r="AR2844" s="1078" t="str">
        <f t="shared" si="361"/>
        <v>*</v>
      </c>
      <c r="AS2844" s="1078" t="str">
        <f t="shared" si="362"/>
        <v>170/150</v>
      </c>
      <c r="AT2844" s="1078" t="str">
        <f t="shared" si="363"/>
        <v>1-4-1S85°Z+S</v>
      </c>
      <c r="AU2844" s="1078" t="s">
        <v>15547</v>
      </c>
      <c r="AV2844" s="1078" t="str">
        <f t="shared" si="356"/>
        <v>109.1.6</v>
      </c>
      <c r="AW2844" s="1344">
        <f t="shared" si="357"/>
        <v>43836</v>
      </c>
    </row>
    <row r="2845" spans="1:49">
      <c r="A2845" s="1077" t="s">
        <v>8538</v>
      </c>
      <c r="B2845" s="1077" t="s">
        <v>8539</v>
      </c>
      <c r="C2845" s="1077">
        <v>550</v>
      </c>
      <c r="D2845" s="1077">
        <v>1.704</v>
      </c>
      <c r="E2845" s="1077">
        <v>102.5</v>
      </c>
      <c r="F2845" s="1077" t="s">
        <v>648</v>
      </c>
      <c r="G2845" s="1077">
        <v>5</v>
      </c>
      <c r="H2845" s="1077" t="s">
        <v>8093</v>
      </c>
      <c r="I2845" s="1077" t="s">
        <v>8540</v>
      </c>
      <c r="J2845" s="1077">
        <v>3.3</v>
      </c>
      <c r="K2845" s="1077" t="s">
        <v>8541</v>
      </c>
      <c r="L2845" s="1077" t="s">
        <v>8542</v>
      </c>
      <c r="M2845" s="1077">
        <v>607.6</v>
      </c>
      <c r="N2845" s="1077" t="s">
        <v>945</v>
      </c>
      <c r="O2845" s="1077">
        <v>15.190000000000001</v>
      </c>
      <c r="P2845" s="1077">
        <v>12.152000000000001</v>
      </c>
      <c r="Q2845" s="1077" t="s">
        <v>1369</v>
      </c>
      <c r="R2845" s="1077">
        <v>20.5</v>
      </c>
      <c r="T2845" s="1077">
        <v>5.8</v>
      </c>
      <c r="U2845" s="1077">
        <v>6.1</v>
      </c>
      <c r="V2845" s="1077" t="s">
        <v>648</v>
      </c>
      <c r="W2845" s="1077">
        <v>80</v>
      </c>
      <c r="X2845" s="1077">
        <v>90</v>
      </c>
      <c r="Y2845" s="1077">
        <v>0.9</v>
      </c>
      <c r="Z2845" s="1077" t="s">
        <v>648</v>
      </c>
      <c r="AA2845" s="1077" t="s">
        <v>1064</v>
      </c>
      <c r="AH2845" s="1077" t="s">
        <v>723</v>
      </c>
      <c r="AM2845" s="1078" t="s">
        <v>14600</v>
      </c>
      <c r="AN2845" s="1078" t="s">
        <v>14601</v>
      </c>
      <c r="AO2845" s="1078">
        <f t="shared" si="358"/>
        <v>550</v>
      </c>
      <c r="AP2845" s="1078">
        <f t="shared" si="359"/>
        <v>1.704</v>
      </c>
      <c r="AQ2845" s="1078">
        <f t="shared" si="360"/>
        <v>102.5</v>
      </c>
      <c r="AR2845" s="1078" t="str">
        <f t="shared" si="361"/>
        <v>NA</v>
      </c>
      <c r="AS2845" s="1078" t="str">
        <f t="shared" si="362"/>
        <v>465/425/OFF</v>
      </c>
      <c r="AT2845" s="1078">
        <f t="shared" si="363"/>
        <v>102.5</v>
      </c>
      <c r="AV2845" s="1078" t="str">
        <f t="shared" si="356"/>
        <v>109.1.13</v>
      </c>
      <c r="AW2845" s="1344">
        <f t="shared" si="357"/>
        <v>43843</v>
      </c>
    </row>
    <row r="2846" spans="1:49">
      <c r="A2846" s="1077" t="s">
        <v>8543</v>
      </c>
      <c r="B2846" s="1077" t="s">
        <v>6871</v>
      </c>
      <c r="C2846" s="1077">
        <v>550</v>
      </c>
      <c r="D2846" s="1077">
        <v>1.78</v>
      </c>
      <c r="E2846" s="1077">
        <v>102.5</v>
      </c>
      <c r="F2846" s="1077" t="s">
        <v>4070</v>
      </c>
      <c r="G2846" s="1077" t="s">
        <v>6865</v>
      </c>
      <c r="H2846" s="1077" t="s">
        <v>6872</v>
      </c>
      <c r="I2846" s="1077" t="s">
        <v>471</v>
      </c>
      <c r="J2846" s="1077">
        <v>1.6</v>
      </c>
      <c r="K2846" s="1077" t="s">
        <v>8544</v>
      </c>
      <c r="L2846" s="1077" t="s">
        <v>4808</v>
      </c>
      <c r="M2846" s="1077">
        <v>283</v>
      </c>
      <c r="N2846" s="1077" t="s">
        <v>945</v>
      </c>
      <c r="O2846" s="1077">
        <v>7.0750000000000002</v>
      </c>
      <c r="P2846" s="1077">
        <v>5.66</v>
      </c>
      <c r="Q2846" s="1077" t="s">
        <v>956</v>
      </c>
      <c r="R2846" s="1077">
        <v>20</v>
      </c>
      <c r="T2846" s="1077">
        <v>30.8</v>
      </c>
      <c r="U2846" s="1077">
        <v>3.5</v>
      </c>
      <c r="V2846" s="1077" t="s">
        <v>648</v>
      </c>
      <c r="W2846" s="1077" t="s">
        <v>6869</v>
      </c>
      <c r="X2846" s="1077">
        <v>10</v>
      </c>
      <c r="Y2846" s="1077">
        <v>1.6</v>
      </c>
      <c r="Z2846" s="1077" t="s">
        <v>648</v>
      </c>
      <c r="AA2846" s="1077" t="s">
        <v>5437</v>
      </c>
      <c r="AH2846" s="1077" t="s">
        <v>1376</v>
      </c>
      <c r="AM2846" s="1078" t="s">
        <v>14602</v>
      </c>
      <c r="AN2846" s="1078" t="s">
        <v>14603</v>
      </c>
      <c r="AO2846" s="1078">
        <f t="shared" si="358"/>
        <v>550</v>
      </c>
      <c r="AP2846" s="1078">
        <f t="shared" si="359"/>
        <v>1.78</v>
      </c>
      <c r="AQ2846" s="1078">
        <f t="shared" si="360"/>
        <v>102.5</v>
      </c>
      <c r="AR2846" s="1078" t="str">
        <f t="shared" si="361"/>
        <v>15.5</v>
      </c>
      <c r="AS2846" s="1078" t="str">
        <f t="shared" si="362"/>
        <v>475/435/OFF</v>
      </c>
      <c r="AT2846" s="1078">
        <f t="shared" si="363"/>
        <v>102.5</v>
      </c>
      <c r="AV2846" s="1078" t="str">
        <f t="shared" si="356"/>
        <v>109.1.14</v>
      </c>
      <c r="AW2846" s="1344">
        <f t="shared" si="357"/>
        <v>43844</v>
      </c>
    </row>
    <row r="2847" spans="1:49">
      <c r="A2847" s="1077" t="s">
        <v>8545</v>
      </c>
      <c r="B2847" s="1077" t="s">
        <v>8410</v>
      </c>
      <c r="C2847" s="1077">
        <v>500</v>
      </c>
      <c r="D2847" s="1077">
        <v>1.62</v>
      </c>
      <c r="E2847" s="1077" t="s">
        <v>15102</v>
      </c>
      <c r="F2847" s="1077" t="s">
        <v>1469</v>
      </c>
      <c r="G2847" s="1077">
        <v>5</v>
      </c>
      <c r="H2847" s="1077" t="s">
        <v>8459</v>
      </c>
      <c r="I2847" s="1077" t="s">
        <v>1112</v>
      </c>
      <c r="J2847" s="1077">
        <v>0.9</v>
      </c>
      <c r="K2847" s="1077" t="s">
        <v>8546</v>
      </c>
      <c r="L2847" s="1077" t="s">
        <v>5253</v>
      </c>
      <c r="M2847" s="1077">
        <v>161.69999999999999</v>
      </c>
      <c r="N2847" s="1077" t="s">
        <v>945</v>
      </c>
      <c r="O2847" s="1077">
        <v>4.0424999999999995</v>
      </c>
      <c r="P2847" s="1077">
        <v>3.234</v>
      </c>
      <c r="Q2847" s="1077" t="s">
        <v>1264</v>
      </c>
      <c r="R2847" s="1077">
        <v>30.8</v>
      </c>
      <c r="T2847" s="1077">
        <v>16.8</v>
      </c>
      <c r="U2847" s="1077">
        <v>2.6</v>
      </c>
      <c r="V2847" s="1077" t="s">
        <v>648</v>
      </c>
      <c r="W2847" s="1077">
        <v>60</v>
      </c>
      <c r="X2847" s="1077">
        <v>10</v>
      </c>
      <c r="Y2847" s="1077">
        <v>1.8</v>
      </c>
      <c r="Z2847" s="1077" t="s">
        <v>8547</v>
      </c>
      <c r="AA2847" s="1077" t="s">
        <v>5437</v>
      </c>
      <c r="AH2847" s="1077" t="s">
        <v>1486</v>
      </c>
      <c r="AM2847" s="1078" t="s">
        <v>14604</v>
      </c>
      <c r="AN2847" s="1078" t="s">
        <v>14605</v>
      </c>
      <c r="AO2847" s="1078">
        <f t="shared" si="358"/>
        <v>500</v>
      </c>
      <c r="AP2847" s="1078">
        <f t="shared" si="359"/>
        <v>1.62</v>
      </c>
      <c r="AQ2847" s="1078" t="str">
        <f t="shared" si="360"/>
        <v>2-6-1S83°</v>
      </c>
      <c r="AR2847" s="1078" t="str">
        <f t="shared" si="361"/>
        <v>30.5</v>
      </c>
      <c r="AS2847" s="1078" t="str">
        <f t="shared" si="362"/>
        <v>175/163</v>
      </c>
      <c r="AT2847" s="1078" t="str">
        <f t="shared" si="363"/>
        <v>2-6-1S83°</v>
      </c>
      <c r="AV2847" s="1078" t="str">
        <f t="shared" si="356"/>
        <v>109.1.14</v>
      </c>
      <c r="AW2847" s="1344">
        <f t="shared" si="357"/>
        <v>43844</v>
      </c>
    </row>
    <row r="2848" spans="1:49">
      <c r="A2848" s="1077" t="s">
        <v>8548</v>
      </c>
      <c r="B2848" s="1077" t="s">
        <v>987</v>
      </c>
      <c r="C2848" s="1077">
        <v>650</v>
      </c>
      <c r="D2848" s="1077">
        <v>1.69</v>
      </c>
      <c r="E2848" s="1077" t="s">
        <v>15091</v>
      </c>
      <c r="F2848" s="1077" t="s">
        <v>984</v>
      </c>
      <c r="G2848" s="1077" t="s">
        <v>1767</v>
      </c>
      <c r="H2848" s="1077" t="s">
        <v>1936</v>
      </c>
      <c r="I2848" s="1077" t="s">
        <v>1112</v>
      </c>
      <c r="J2848" s="1077">
        <v>0.8</v>
      </c>
      <c r="K2848" s="1077" t="s">
        <v>8549</v>
      </c>
      <c r="L2848" s="1077" t="s">
        <v>8448</v>
      </c>
      <c r="M2848" s="1077">
        <v>86.5</v>
      </c>
      <c r="N2848" s="1077" t="s">
        <v>945</v>
      </c>
      <c r="O2848" s="1077">
        <v>2.1625000000000001</v>
      </c>
      <c r="P2848" s="1077">
        <v>1.73</v>
      </c>
      <c r="Q2848" s="1077" t="s">
        <v>1037</v>
      </c>
      <c r="R2848" s="1077">
        <v>22.6</v>
      </c>
      <c r="T2848" s="1077">
        <v>23.2</v>
      </c>
      <c r="U2848" s="1077">
        <v>3.5</v>
      </c>
      <c r="V2848" s="1077" t="s">
        <v>648</v>
      </c>
      <c r="W2848" s="1077">
        <v>110</v>
      </c>
      <c r="X2848" s="1077">
        <v>75</v>
      </c>
      <c r="Y2848" s="1077">
        <v>1.8</v>
      </c>
      <c r="Z2848" s="1077" t="s">
        <v>2396</v>
      </c>
      <c r="AA2848" s="1077" t="s">
        <v>1266</v>
      </c>
      <c r="AH2848" s="1077" t="s">
        <v>1827</v>
      </c>
      <c r="AM2848" s="1078" t="s">
        <v>14606</v>
      </c>
      <c r="AN2848" s="1078" t="s">
        <v>14607</v>
      </c>
      <c r="AO2848" s="1078">
        <f t="shared" si="358"/>
        <v>650</v>
      </c>
      <c r="AP2848" s="1078">
        <f t="shared" si="359"/>
        <v>1.69</v>
      </c>
      <c r="AQ2848" s="1078" t="str">
        <f t="shared" si="360"/>
        <v>2-5-1S83°</v>
      </c>
      <c r="AR2848" s="1078" t="str">
        <f t="shared" si="361"/>
        <v>30</v>
      </c>
      <c r="AS2848" s="1078" t="str">
        <f t="shared" si="362"/>
        <v>175/OFF</v>
      </c>
      <c r="AT2848" s="1078" t="str">
        <f t="shared" si="363"/>
        <v>2-5-1S83°</v>
      </c>
      <c r="AV2848" s="1078" t="str">
        <f t="shared" si="356"/>
        <v>109.1.20</v>
      </c>
      <c r="AW2848" s="1344">
        <f t="shared" si="357"/>
        <v>43850</v>
      </c>
    </row>
    <row r="2849" spans="1:49">
      <c r="A2849" s="1077" t="s">
        <v>8550</v>
      </c>
      <c r="B2849" s="1077" t="s">
        <v>8519</v>
      </c>
      <c r="C2849" s="1077">
        <v>650</v>
      </c>
      <c r="D2849" s="1077">
        <v>1.74</v>
      </c>
      <c r="E2849" s="1077" t="s">
        <v>15108</v>
      </c>
      <c r="F2849" s="1077" t="s">
        <v>984</v>
      </c>
      <c r="G2849" s="1077">
        <v>5</v>
      </c>
      <c r="H2849" s="1077" t="s">
        <v>8551</v>
      </c>
      <c r="I2849" s="1077" t="s">
        <v>460</v>
      </c>
      <c r="J2849" s="1077">
        <v>2.5</v>
      </c>
      <c r="K2849" s="1077" t="s">
        <v>8521</v>
      </c>
      <c r="L2849" s="1077" t="s">
        <v>4085</v>
      </c>
      <c r="M2849" s="1077">
        <v>206</v>
      </c>
      <c r="N2849" s="1077" t="s">
        <v>945</v>
      </c>
      <c r="O2849" s="1077">
        <v>5.15</v>
      </c>
      <c r="P2849" s="1077">
        <v>4.12</v>
      </c>
      <c r="Q2849" s="1077" t="s">
        <v>1277</v>
      </c>
      <c r="R2849" s="1077">
        <v>25</v>
      </c>
      <c r="T2849" s="1077">
        <v>18.5</v>
      </c>
      <c r="U2849" s="1077">
        <v>4.0999999999999996</v>
      </c>
      <c r="V2849" s="1077" t="s">
        <v>648</v>
      </c>
      <c r="W2849" s="1077">
        <v>120</v>
      </c>
      <c r="X2849" s="1077">
        <v>85</v>
      </c>
      <c r="Y2849" s="1077">
        <v>1.5</v>
      </c>
      <c r="Z2849" s="1077" t="s">
        <v>648</v>
      </c>
      <c r="AA2849" s="1077" t="s">
        <v>3328</v>
      </c>
      <c r="AH2849" s="1077" t="s">
        <v>1796</v>
      </c>
      <c r="AM2849" s="1078" t="s">
        <v>14608</v>
      </c>
      <c r="AN2849" s="1078" t="s">
        <v>14609</v>
      </c>
      <c r="AO2849" s="1078">
        <f t="shared" si="358"/>
        <v>650</v>
      </c>
      <c r="AP2849" s="1078">
        <f t="shared" si="359"/>
        <v>1.74</v>
      </c>
      <c r="AQ2849" s="1078" t="str">
        <f t="shared" si="360"/>
        <v>1-4-1S83°Z+S</v>
      </c>
      <c r="AR2849" s="1078" t="str">
        <f t="shared" si="361"/>
        <v>30</v>
      </c>
      <c r="AS2849" s="1078" t="str">
        <f t="shared" si="362"/>
        <v>260/240/140</v>
      </c>
      <c r="AT2849" s="1078" t="str">
        <f t="shared" si="363"/>
        <v>1-4-1S83°Z+S</v>
      </c>
      <c r="AV2849" s="1078" t="str">
        <f t="shared" si="356"/>
        <v>109.1.17</v>
      </c>
      <c r="AW2849" s="1344">
        <f t="shared" si="357"/>
        <v>43847</v>
      </c>
    </row>
    <row r="2850" spans="1:49">
      <c r="A2850" s="1077" t="s">
        <v>8552</v>
      </c>
      <c r="B2850" s="1077" t="s">
        <v>8553</v>
      </c>
      <c r="C2850" s="1077">
        <v>550</v>
      </c>
      <c r="D2850" s="1077">
        <v>1.7</v>
      </c>
      <c r="E2850" s="1077">
        <v>102.5</v>
      </c>
      <c r="F2850" s="1077" t="s">
        <v>4070</v>
      </c>
      <c r="G2850" s="1077">
        <v>5</v>
      </c>
      <c r="H2850" s="1077" t="s">
        <v>8554</v>
      </c>
      <c r="I2850" s="1077" t="s">
        <v>643</v>
      </c>
      <c r="J2850" s="1077">
        <v>3.6</v>
      </c>
      <c r="K2850" s="1077" t="s">
        <v>8555</v>
      </c>
      <c r="L2850" s="1077" t="s">
        <v>6925</v>
      </c>
      <c r="M2850" s="1077">
        <v>602</v>
      </c>
      <c r="N2850" s="1077" t="s">
        <v>945</v>
      </c>
      <c r="O2850" s="1077">
        <v>15.05</v>
      </c>
      <c r="P2850" s="1077">
        <v>12.040000000000001</v>
      </c>
      <c r="Q2850" s="1077" t="s">
        <v>1012</v>
      </c>
      <c r="R2850" s="1077">
        <v>21</v>
      </c>
      <c r="T2850" s="1077">
        <v>9</v>
      </c>
      <c r="U2850" s="1077">
        <v>5</v>
      </c>
      <c r="V2850" s="1077" t="s">
        <v>648</v>
      </c>
      <c r="W2850" s="1077">
        <v>90</v>
      </c>
      <c r="X2850" s="1077">
        <v>85</v>
      </c>
      <c r="Y2850" s="1077">
        <v>1.1000000000000001</v>
      </c>
      <c r="Z2850" s="1077" t="s">
        <v>648</v>
      </c>
      <c r="AA2850" s="1077" t="s">
        <v>8556</v>
      </c>
      <c r="AH2850" s="1077" t="s">
        <v>854</v>
      </c>
      <c r="AM2850" s="1078" t="s">
        <v>14610</v>
      </c>
      <c r="AN2850" s="1078" t="s">
        <v>14611</v>
      </c>
      <c r="AO2850" s="1078">
        <f t="shared" si="358"/>
        <v>550</v>
      </c>
      <c r="AP2850" s="1078">
        <f t="shared" si="359"/>
        <v>1.7</v>
      </c>
      <c r="AQ2850" s="1078">
        <f t="shared" si="360"/>
        <v>102.5</v>
      </c>
      <c r="AR2850" s="1078" t="str">
        <f t="shared" si="361"/>
        <v>15.5</v>
      </c>
      <c r="AS2850" s="1078" t="str">
        <f t="shared" si="362"/>
        <v>460/430/OFF</v>
      </c>
      <c r="AT2850" s="1078">
        <f t="shared" si="363"/>
        <v>102.5</v>
      </c>
      <c r="AV2850" s="1078" t="str">
        <f t="shared" si="356"/>
        <v>109.2.21</v>
      </c>
      <c r="AW2850" s="1344">
        <f t="shared" si="357"/>
        <v>43882</v>
      </c>
    </row>
    <row r="2851" spans="1:49">
      <c r="A2851" s="1077" t="s">
        <v>8557</v>
      </c>
      <c r="B2851" s="1077" t="s">
        <v>654</v>
      </c>
      <c r="C2851" s="1077" t="s">
        <v>7667</v>
      </c>
      <c r="D2851" s="1077">
        <v>1.6439999999999999</v>
      </c>
      <c r="E2851" s="1077">
        <v>102.5</v>
      </c>
      <c r="F2851" s="1077" t="s">
        <v>4070</v>
      </c>
      <c r="G2851" s="1077">
        <v>5.5</v>
      </c>
      <c r="H2851" s="1077" t="s">
        <v>8558</v>
      </c>
      <c r="I2851" s="1077" t="s">
        <v>643</v>
      </c>
      <c r="J2851" s="1077">
        <v>3.3</v>
      </c>
      <c r="K2851" s="1077" t="s">
        <v>8559</v>
      </c>
      <c r="L2851" s="1077" t="s">
        <v>8560</v>
      </c>
      <c r="M2851" s="1077">
        <v>427.4</v>
      </c>
      <c r="N2851" s="1077" t="s">
        <v>945</v>
      </c>
      <c r="O2851" s="1077">
        <v>10.685</v>
      </c>
      <c r="P2851" s="1077">
        <v>8.548</v>
      </c>
      <c r="Q2851" s="1077" t="s">
        <v>2422</v>
      </c>
      <c r="R2851" s="1077">
        <v>19.600000000000001</v>
      </c>
      <c r="T2851" s="1077">
        <v>14.9</v>
      </c>
      <c r="U2851" s="1077">
        <v>4.2</v>
      </c>
      <c r="V2851" s="1077" t="s">
        <v>648</v>
      </c>
      <c r="W2851" s="1077">
        <v>120</v>
      </c>
      <c r="X2851" s="1077">
        <v>90</v>
      </c>
      <c r="Y2851" s="1077">
        <v>1</v>
      </c>
      <c r="Z2851" s="1077" t="s">
        <v>648</v>
      </c>
      <c r="AA2851" s="1077" t="s">
        <v>4686</v>
      </c>
      <c r="AB2851" s="1077" t="s">
        <v>2680</v>
      </c>
      <c r="AC2851" s="1077" t="s">
        <v>2680</v>
      </c>
      <c r="AD2851" s="1077" t="s">
        <v>2680</v>
      </c>
      <c r="AH2851" s="1077" t="s">
        <v>1643</v>
      </c>
      <c r="AM2851" s="1078" t="s">
        <v>14612</v>
      </c>
      <c r="AN2851" s="1078" t="s">
        <v>14613</v>
      </c>
      <c r="AO2851" s="1078" t="str">
        <f t="shared" si="358"/>
        <v>550↓500</v>
      </c>
      <c r="AP2851" s="1078">
        <f t="shared" si="359"/>
        <v>1.6439999999999999</v>
      </c>
      <c r="AQ2851" s="1078">
        <f t="shared" si="360"/>
        <v>102.5</v>
      </c>
      <c r="AR2851" s="1078" t="str">
        <f t="shared" si="361"/>
        <v>15.5</v>
      </c>
      <c r="AS2851" s="1078" t="str">
        <f t="shared" si="362"/>
        <v>460/400/160</v>
      </c>
      <c r="AT2851" s="1078">
        <f t="shared" si="363"/>
        <v>102.5</v>
      </c>
      <c r="AV2851" s="1078" t="str">
        <f t="shared" si="356"/>
        <v>109.2.24</v>
      </c>
      <c r="AW2851" s="1344">
        <f t="shared" si="357"/>
        <v>43885</v>
      </c>
    </row>
    <row r="2852" spans="1:49">
      <c r="A2852" s="1077" t="s">
        <v>8561</v>
      </c>
      <c r="B2852" s="1077" t="s">
        <v>8466</v>
      </c>
      <c r="C2852" s="1077">
        <v>550</v>
      </c>
      <c r="D2852" s="1077">
        <v>1.76</v>
      </c>
      <c r="E2852" s="1077" t="s">
        <v>15116</v>
      </c>
      <c r="F2852" s="1077" t="s">
        <v>1897</v>
      </c>
      <c r="G2852" s="1077">
        <v>4</v>
      </c>
      <c r="H2852" s="1077" t="s">
        <v>8562</v>
      </c>
      <c r="I2852" s="1077" t="s">
        <v>126</v>
      </c>
      <c r="J2852" s="1077">
        <v>1.7</v>
      </c>
      <c r="K2852" s="1077" t="s">
        <v>8536</v>
      </c>
      <c r="L2852" s="1077" t="s">
        <v>4064</v>
      </c>
      <c r="M2852" s="1077">
        <v>202</v>
      </c>
      <c r="N2852" s="1077" t="s">
        <v>945</v>
      </c>
      <c r="O2852" s="1077">
        <v>5.0500000000000007</v>
      </c>
      <c r="P2852" s="1077">
        <v>4.04</v>
      </c>
      <c r="Q2852" s="1077" t="s">
        <v>946</v>
      </c>
      <c r="R2852" s="1077">
        <v>18.5</v>
      </c>
      <c r="T2852" s="1077">
        <v>11</v>
      </c>
      <c r="U2852" s="1077">
        <v>3.7</v>
      </c>
      <c r="V2852" s="1077" t="s">
        <v>648</v>
      </c>
      <c r="W2852" s="1077">
        <v>115</v>
      </c>
      <c r="X2852" s="1077">
        <v>70</v>
      </c>
      <c r="Y2852" s="1077">
        <v>1.6</v>
      </c>
      <c r="Z2852" s="1077" t="s">
        <v>648</v>
      </c>
      <c r="AA2852" s="1077" t="s">
        <v>5766</v>
      </c>
      <c r="AH2852" s="1077" t="s">
        <v>1448</v>
      </c>
      <c r="AM2852" s="1078" t="s">
        <v>14614</v>
      </c>
      <c r="AN2852" s="1078" t="s">
        <v>14615</v>
      </c>
      <c r="AO2852" s="1078">
        <f t="shared" si="358"/>
        <v>550</v>
      </c>
      <c r="AP2852" s="1078">
        <f t="shared" si="359"/>
        <v>1.76</v>
      </c>
      <c r="AQ2852" s="1078" t="str">
        <f t="shared" si="360"/>
        <v>1-5-1S83°Z+S</v>
      </c>
      <c r="AR2852" s="1078" t="str">
        <f t="shared" si="361"/>
        <v>30.8</v>
      </c>
      <c r="AS2852" s="1078" t="str">
        <f t="shared" si="362"/>
        <v>245/245/145</v>
      </c>
      <c r="AT2852" s="1078" t="str">
        <f t="shared" si="363"/>
        <v>1-5-1S83°Z+S</v>
      </c>
      <c r="AU2852" s="1078" t="s">
        <v>15547</v>
      </c>
      <c r="AV2852" s="1078" t="str">
        <f t="shared" si="356"/>
        <v>109.3.6</v>
      </c>
      <c r="AW2852" s="1344">
        <f t="shared" si="357"/>
        <v>43896</v>
      </c>
    </row>
    <row r="2853" spans="1:49">
      <c r="A2853" s="1077" t="s">
        <v>8563</v>
      </c>
      <c r="B2853" s="1077" t="s">
        <v>8519</v>
      </c>
      <c r="C2853" s="1077">
        <v>650</v>
      </c>
      <c r="D2853" s="1077">
        <v>1.74</v>
      </c>
      <c r="E2853" s="1077" t="s">
        <v>15894</v>
      </c>
      <c r="F2853" s="1077" t="s">
        <v>984</v>
      </c>
      <c r="G2853" s="1077">
        <v>5</v>
      </c>
      <c r="H2853" s="1077" t="s">
        <v>8551</v>
      </c>
      <c r="I2853" s="1077" t="s">
        <v>460</v>
      </c>
      <c r="J2853" s="1077">
        <v>2.5</v>
      </c>
      <c r="K2853" s="1077" t="s">
        <v>8564</v>
      </c>
      <c r="L2853" s="1077" t="s">
        <v>4085</v>
      </c>
      <c r="M2853" s="1077">
        <v>206</v>
      </c>
      <c r="N2853" s="1077" t="s">
        <v>945</v>
      </c>
      <c r="O2853" s="1077">
        <v>5.15</v>
      </c>
      <c r="P2853" s="1077">
        <v>4.12</v>
      </c>
      <c r="Q2853" s="1077" t="s">
        <v>1277</v>
      </c>
      <c r="R2853" s="1077">
        <v>25</v>
      </c>
      <c r="T2853" s="1077">
        <v>18.5</v>
      </c>
      <c r="U2853" s="1077">
        <v>4.0999999999999996</v>
      </c>
      <c r="V2853" s="1077" t="s">
        <v>648</v>
      </c>
      <c r="W2853" s="1077">
        <v>120</v>
      </c>
      <c r="X2853" s="1077">
        <v>85</v>
      </c>
      <c r="Y2853" s="1077">
        <v>1.5</v>
      </c>
      <c r="Z2853" s="1077" t="s">
        <v>648</v>
      </c>
      <c r="AA2853" s="1077" t="s">
        <v>8565</v>
      </c>
      <c r="AH2853" s="1077" t="s">
        <v>622</v>
      </c>
      <c r="AM2853" s="1078" t="s">
        <v>14616</v>
      </c>
      <c r="AN2853" s="1078" t="s">
        <v>14617</v>
      </c>
      <c r="AO2853" s="1078">
        <f t="shared" si="358"/>
        <v>650</v>
      </c>
      <c r="AP2853" s="1078">
        <f t="shared" si="359"/>
        <v>1.74</v>
      </c>
      <c r="AQ2853" s="1078" t="str">
        <f t="shared" si="360"/>
        <v>1-4-1S83°Z+S</v>
      </c>
      <c r="AR2853" s="1078" t="str">
        <f t="shared" si="361"/>
        <v>30</v>
      </c>
      <c r="AS2853" s="1078" t="str">
        <f t="shared" si="362"/>
        <v>260/240/140</v>
      </c>
      <c r="AT2853" s="1078" t="str">
        <f t="shared" si="363"/>
        <v>1-4-1S83°Z+S</v>
      </c>
      <c r="AV2853" s="1078" t="str">
        <f t="shared" si="356"/>
        <v>109.3.12</v>
      </c>
      <c r="AW2853" s="1344">
        <f t="shared" si="357"/>
        <v>43902</v>
      </c>
    </row>
    <row r="2854" spans="1:49">
      <c r="A2854" s="1077" t="s">
        <v>8566</v>
      </c>
      <c r="B2854" s="1077" t="s">
        <v>8410</v>
      </c>
      <c r="C2854" s="1077">
        <v>500</v>
      </c>
      <c r="D2854" s="1077">
        <v>1.62</v>
      </c>
      <c r="E2854" s="1077" t="s">
        <v>15102</v>
      </c>
      <c r="F2854" s="1077" t="s">
        <v>1469</v>
      </c>
      <c r="G2854" s="1077">
        <v>5</v>
      </c>
      <c r="H2854" s="1077" t="s">
        <v>8459</v>
      </c>
      <c r="I2854" s="1077" t="s">
        <v>1167</v>
      </c>
      <c r="J2854" s="1077">
        <v>0.9</v>
      </c>
      <c r="K2854" s="1077" t="s">
        <v>8567</v>
      </c>
      <c r="L2854" s="1077" t="s">
        <v>5253</v>
      </c>
      <c r="M2854" s="1077">
        <v>161.69999999999999</v>
      </c>
      <c r="N2854" s="1077" t="s">
        <v>945</v>
      </c>
      <c r="O2854" s="1077">
        <v>4.0424999999999995</v>
      </c>
      <c r="P2854" s="1077">
        <v>3.234</v>
      </c>
      <c r="Q2854" s="1077" t="s">
        <v>2553</v>
      </c>
      <c r="R2854" s="1077">
        <v>30.8</v>
      </c>
      <c r="T2854" s="1077">
        <v>16.8</v>
      </c>
      <c r="U2854" s="1077">
        <v>2.6</v>
      </c>
      <c r="V2854" s="1077" t="s">
        <v>648</v>
      </c>
      <c r="W2854" s="1077">
        <v>60</v>
      </c>
      <c r="X2854" s="1077">
        <v>10</v>
      </c>
      <c r="Y2854" s="1077">
        <v>1.8</v>
      </c>
      <c r="Z2854" s="1077" t="s">
        <v>8547</v>
      </c>
      <c r="AA2854" s="1077" t="s">
        <v>1287</v>
      </c>
      <c r="AH2854" s="1077" t="s">
        <v>782</v>
      </c>
      <c r="AM2854" s="1078" t="s">
        <v>14618</v>
      </c>
      <c r="AN2854" s="1078" t="s">
        <v>14619</v>
      </c>
      <c r="AO2854" s="1078">
        <f t="shared" si="358"/>
        <v>500</v>
      </c>
      <c r="AP2854" s="1078">
        <f t="shared" si="359"/>
        <v>1.62</v>
      </c>
      <c r="AQ2854" s="1078" t="str">
        <f t="shared" si="360"/>
        <v>2-6-1S83°</v>
      </c>
      <c r="AR2854" s="1078" t="str">
        <f t="shared" si="361"/>
        <v>30.5</v>
      </c>
      <c r="AS2854" s="1078" t="str">
        <f t="shared" si="362"/>
        <v>175/163</v>
      </c>
      <c r="AT2854" s="1078" t="str">
        <f t="shared" si="363"/>
        <v>2-6-1S83°</v>
      </c>
      <c r="AV2854" s="1078" t="str">
        <f t="shared" si="356"/>
        <v>109.4.6</v>
      </c>
      <c r="AW2854" s="1344">
        <f t="shared" si="357"/>
        <v>43927</v>
      </c>
    </row>
    <row r="2855" spans="1:49">
      <c r="A2855" s="1077" t="s">
        <v>8568</v>
      </c>
      <c r="B2855" s="1077" t="s">
        <v>8513</v>
      </c>
      <c r="C2855" s="1077">
        <v>580</v>
      </c>
      <c r="D2855" s="1077">
        <v>1.8049999999999999</v>
      </c>
      <c r="E2855" s="1077" t="s">
        <v>15122</v>
      </c>
      <c r="F2855" s="1077" t="s">
        <v>1514</v>
      </c>
      <c r="G2855" s="1077">
        <v>5</v>
      </c>
      <c r="H2855" s="1077" t="s">
        <v>8569</v>
      </c>
      <c r="I2855" s="1077" t="s">
        <v>126</v>
      </c>
      <c r="J2855" s="1077">
        <v>1.7</v>
      </c>
      <c r="K2855" s="1077" t="s">
        <v>8570</v>
      </c>
      <c r="L2855" s="1077" t="s">
        <v>8571</v>
      </c>
      <c r="M2855" s="1077">
        <v>326.39999999999998</v>
      </c>
      <c r="N2855" s="1077" t="s">
        <v>945</v>
      </c>
      <c r="O2855" s="1077">
        <v>8.16</v>
      </c>
      <c r="P2855" s="1077">
        <v>6.5279999999999996</v>
      </c>
      <c r="Q2855" s="1077" t="s">
        <v>1363</v>
      </c>
      <c r="R2855" s="1077">
        <v>21</v>
      </c>
      <c r="T2855" s="1077">
        <v>14.4</v>
      </c>
      <c r="U2855" s="1077">
        <v>3.6</v>
      </c>
      <c r="V2855" s="1077" t="s">
        <v>648</v>
      </c>
      <c r="W2855" s="1077">
        <v>50</v>
      </c>
      <c r="X2855" s="1077">
        <v>10</v>
      </c>
      <c r="Y2855" s="1077">
        <v>1</v>
      </c>
      <c r="Z2855" s="1077" t="s">
        <v>648</v>
      </c>
      <c r="AA2855" s="1077" t="s">
        <v>2958</v>
      </c>
      <c r="AH2855" s="1077" t="s">
        <v>1482</v>
      </c>
      <c r="AM2855" s="1078" t="s">
        <v>14620</v>
      </c>
      <c r="AN2855" s="1078" t="s">
        <v>14621</v>
      </c>
      <c r="AO2855" s="1078">
        <f t="shared" si="358"/>
        <v>580</v>
      </c>
      <c r="AP2855" s="1078">
        <f t="shared" si="359"/>
        <v>1.8049999999999999</v>
      </c>
      <c r="AQ2855" s="1078" t="str">
        <f t="shared" si="360"/>
        <v>1-5-1S91°Z+S</v>
      </c>
      <c r="AR2855" s="1078" t="str">
        <f t="shared" si="361"/>
        <v>32</v>
      </c>
      <c r="AS2855" s="1078" t="str">
        <f t="shared" si="362"/>
        <v>335/335/150</v>
      </c>
      <c r="AT2855" s="1078" t="str">
        <f t="shared" si="363"/>
        <v>1-5-1S91°Z+S</v>
      </c>
      <c r="AU2855" s="1078" t="s">
        <v>15547</v>
      </c>
      <c r="AV2855" s="1078" t="str">
        <f t="shared" si="356"/>
        <v>109.4.20</v>
      </c>
      <c r="AW2855" s="1344">
        <f t="shared" si="357"/>
        <v>43941</v>
      </c>
    </row>
    <row r="2856" spans="1:49">
      <c r="A2856" s="1077" t="s">
        <v>8572</v>
      </c>
      <c r="B2856" s="1077" t="s">
        <v>8438</v>
      </c>
      <c r="C2856" s="1077">
        <v>600</v>
      </c>
      <c r="D2856" s="1077">
        <v>1.7350000000000001</v>
      </c>
      <c r="E2856" s="1077" t="s">
        <v>15094</v>
      </c>
      <c r="F2856" s="1077" t="s">
        <v>954</v>
      </c>
      <c r="G2856" s="1077">
        <v>5</v>
      </c>
      <c r="H2856" s="1077" t="s">
        <v>8573</v>
      </c>
      <c r="I2856" s="1077" t="s">
        <v>460</v>
      </c>
      <c r="J2856" s="1077">
        <v>1.5</v>
      </c>
      <c r="K2856" s="1077" t="s">
        <v>8574</v>
      </c>
      <c r="L2856" s="1077" t="s">
        <v>8571</v>
      </c>
      <c r="M2856" s="1077">
        <v>166.5</v>
      </c>
      <c r="N2856" s="1077" t="s">
        <v>945</v>
      </c>
      <c r="O2856" s="1077">
        <v>4.1625000000000005</v>
      </c>
      <c r="P2856" s="1077">
        <v>3.33</v>
      </c>
      <c r="Q2856" s="1077" t="s">
        <v>1012</v>
      </c>
      <c r="R2856" s="1077">
        <v>23.8</v>
      </c>
      <c r="T2856" s="1077">
        <v>11.2</v>
      </c>
      <c r="U2856" s="1077">
        <v>3.5</v>
      </c>
      <c r="V2856" s="1077" t="s">
        <v>648</v>
      </c>
      <c r="W2856" s="1077">
        <v>105</v>
      </c>
      <c r="X2856" s="1077">
        <v>50</v>
      </c>
      <c r="Y2856" s="1077">
        <v>1.4</v>
      </c>
      <c r="Z2856" s="1077" t="s">
        <v>5139</v>
      </c>
      <c r="AA2856" s="1077" t="s">
        <v>2948</v>
      </c>
      <c r="AH2856" s="1077" t="s">
        <v>1186</v>
      </c>
      <c r="AM2856" s="1078" t="s">
        <v>14622</v>
      </c>
      <c r="AN2856" s="1078" t="s">
        <v>14623</v>
      </c>
      <c r="AO2856" s="1078">
        <f t="shared" si="358"/>
        <v>600</v>
      </c>
      <c r="AP2856" s="1078">
        <f t="shared" si="359"/>
        <v>1.7350000000000001</v>
      </c>
      <c r="AQ2856" s="1078" t="str">
        <f t="shared" si="360"/>
        <v>1-5-1S91°</v>
      </c>
      <c r="AR2856" s="1078" t="str">
        <f t="shared" si="361"/>
        <v>31</v>
      </c>
      <c r="AS2856" s="1078" t="str">
        <f t="shared" si="362"/>
        <v>315/315/150</v>
      </c>
      <c r="AT2856" s="1078" t="str">
        <f t="shared" si="363"/>
        <v>1-5-1S91°</v>
      </c>
      <c r="AV2856" s="1078" t="str">
        <f t="shared" si="356"/>
        <v>109.4.17</v>
      </c>
      <c r="AW2856" s="1344">
        <f t="shared" si="357"/>
        <v>43938</v>
      </c>
    </row>
    <row r="2857" spans="1:49">
      <c r="A2857" s="1077" t="s">
        <v>8575</v>
      </c>
      <c r="B2857" s="1077" t="s">
        <v>8553</v>
      </c>
      <c r="C2857" s="1077">
        <v>550</v>
      </c>
      <c r="D2857" s="1077">
        <v>1.71</v>
      </c>
      <c r="E2857" s="1077">
        <v>102.5</v>
      </c>
      <c r="F2857" s="1077" t="s">
        <v>4070</v>
      </c>
      <c r="G2857" s="1077">
        <v>5</v>
      </c>
      <c r="H2857" s="1077" t="s">
        <v>8554</v>
      </c>
      <c r="I2857" s="1077" t="s">
        <v>643</v>
      </c>
      <c r="J2857" s="1077">
        <v>3.6</v>
      </c>
      <c r="K2857" s="1077" t="s">
        <v>8555</v>
      </c>
      <c r="L2857" s="1077" t="s">
        <v>6925</v>
      </c>
      <c r="M2857" s="1077">
        <v>602</v>
      </c>
      <c r="N2857" s="1077" t="s">
        <v>945</v>
      </c>
      <c r="O2857" s="1077">
        <v>15.05</v>
      </c>
      <c r="P2857" s="1077">
        <v>12.040000000000001</v>
      </c>
      <c r="Q2857" s="1077" t="s">
        <v>1012</v>
      </c>
      <c r="R2857" s="1077">
        <v>21</v>
      </c>
      <c r="T2857" s="1077">
        <v>9</v>
      </c>
      <c r="U2857" s="1077">
        <v>5</v>
      </c>
      <c r="V2857" s="1077" t="s">
        <v>648</v>
      </c>
      <c r="W2857" s="1077">
        <v>90</v>
      </c>
      <c r="X2857" s="1077">
        <v>85</v>
      </c>
      <c r="Y2857" s="1077">
        <v>1.1000000000000001</v>
      </c>
      <c r="Z2857" s="1077" t="s">
        <v>648</v>
      </c>
      <c r="AA2857" s="1077" t="s">
        <v>2958</v>
      </c>
      <c r="AH2857" s="1077" t="s">
        <v>2384</v>
      </c>
      <c r="AM2857" s="1078" t="s">
        <v>14624</v>
      </c>
      <c r="AN2857" s="1078" t="s">
        <v>14625</v>
      </c>
      <c r="AO2857" s="1078">
        <f t="shared" si="358"/>
        <v>550</v>
      </c>
      <c r="AP2857" s="1078">
        <f t="shared" si="359"/>
        <v>1.71</v>
      </c>
      <c r="AQ2857" s="1078">
        <f t="shared" si="360"/>
        <v>102.5</v>
      </c>
      <c r="AR2857" s="1078" t="str">
        <f t="shared" si="361"/>
        <v>15.5</v>
      </c>
      <c r="AS2857" s="1078" t="str">
        <f t="shared" si="362"/>
        <v>460/430/OFF</v>
      </c>
      <c r="AT2857" s="1078">
        <f t="shared" si="363"/>
        <v>102.5</v>
      </c>
      <c r="AV2857" s="1078" t="str">
        <f t="shared" si="356"/>
        <v>109.4.20</v>
      </c>
      <c r="AW2857" s="1344">
        <f t="shared" si="357"/>
        <v>43941</v>
      </c>
    </row>
    <row r="2858" spans="1:49">
      <c r="A2858" s="1077" t="s">
        <v>8576</v>
      </c>
      <c r="B2858" s="1077" t="s">
        <v>8410</v>
      </c>
      <c r="C2858" s="1077">
        <v>500</v>
      </c>
      <c r="D2858" s="1077">
        <v>1.62</v>
      </c>
      <c r="E2858" s="1077" t="s">
        <v>15102</v>
      </c>
      <c r="F2858" s="1077" t="s">
        <v>975</v>
      </c>
      <c r="G2858" s="1077">
        <v>5</v>
      </c>
      <c r="H2858" s="1077" t="s">
        <v>8459</v>
      </c>
      <c r="I2858" s="1077" t="s">
        <v>1167</v>
      </c>
      <c r="J2858" s="1077">
        <v>0.8</v>
      </c>
      <c r="K2858" s="1077" t="s">
        <v>8577</v>
      </c>
      <c r="L2858" s="1077" t="s">
        <v>5253</v>
      </c>
      <c r="M2858" s="1077">
        <v>161.69999999999999</v>
      </c>
      <c r="N2858" s="1077" t="s">
        <v>945</v>
      </c>
      <c r="O2858" s="1077">
        <v>4.0424999999999995</v>
      </c>
      <c r="P2858" s="1077">
        <v>3.234</v>
      </c>
      <c r="Q2858" s="1077" t="s">
        <v>2422</v>
      </c>
      <c r="R2858" s="1077">
        <v>30.8</v>
      </c>
      <c r="T2858" s="1077">
        <v>16.8</v>
      </c>
      <c r="U2858" s="1077">
        <v>2.6</v>
      </c>
      <c r="V2858" s="1077" t="s">
        <v>648</v>
      </c>
      <c r="W2858" s="1077">
        <v>60</v>
      </c>
      <c r="X2858" s="1077">
        <v>10</v>
      </c>
      <c r="Y2858" s="1077">
        <v>1.8</v>
      </c>
      <c r="Z2858" s="1077" t="s">
        <v>8578</v>
      </c>
      <c r="AA2858" s="1077" t="s">
        <v>2961</v>
      </c>
      <c r="AH2858" s="1077" t="s">
        <v>646</v>
      </c>
      <c r="AM2858" s="1078" t="s">
        <v>14626</v>
      </c>
      <c r="AN2858" s="1078" t="s">
        <v>14627</v>
      </c>
      <c r="AO2858" s="1078">
        <f t="shared" si="358"/>
        <v>500</v>
      </c>
      <c r="AP2858" s="1078">
        <f t="shared" si="359"/>
        <v>1.62</v>
      </c>
      <c r="AQ2858" s="1078" t="str">
        <f t="shared" si="360"/>
        <v>2-6-1S83°</v>
      </c>
      <c r="AR2858" s="1078" t="str">
        <f t="shared" si="361"/>
        <v>31.5</v>
      </c>
      <c r="AS2858" s="1078" t="str">
        <f t="shared" si="362"/>
        <v>175/163</v>
      </c>
      <c r="AT2858" s="1078" t="str">
        <f t="shared" si="363"/>
        <v>2-6-1S83°</v>
      </c>
      <c r="AV2858" s="1078" t="str">
        <f t="shared" si="356"/>
        <v>109.4.23</v>
      </c>
      <c r="AW2858" s="1344">
        <f t="shared" si="357"/>
        <v>43944</v>
      </c>
    </row>
    <row r="2859" spans="1:49">
      <c r="A2859" s="1077" t="s">
        <v>8579</v>
      </c>
      <c r="B2859" s="1077" t="s">
        <v>8438</v>
      </c>
      <c r="C2859" s="1077">
        <v>500</v>
      </c>
      <c r="D2859" s="1077">
        <v>1.7350000000000001</v>
      </c>
      <c r="E2859" s="1077" t="s">
        <v>15094</v>
      </c>
      <c r="F2859" s="1077" t="s">
        <v>954</v>
      </c>
      <c r="G2859" s="1077">
        <v>4.5</v>
      </c>
      <c r="H2859" s="1077" t="s">
        <v>6100</v>
      </c>
      <c r="I2859" s="1077" t="s">
        <v>460</v>
      </c>
      <c r="J2859" s="1077">
        <v>3.6</v>
      </c>
      <c r="K2859" s="1077" t="s">
        <v>8574</v>
      </c>
      <c r="L2859" s="1077" t="s">
        <v>8571</v>
      </c>
      <c r="M2859" s="1077">
        <v>168.8</v>
      </c>
      <c r="N2859" s="1077" t="s">
        <v>945</v>
      </c>
      <c r="O2859" s="1077">
        <v>4.2200000000000006</v>
      </c>
      <c r="P2859" s="1077">
        <v>3.3760000000000003</v>
      </c>
      <c r="Q2859" s="1077" t="s">
        <v>1012</v>
      </c>
      <c r="R2859" s="1077">
        <v>23</v>
      </c>
      <c r="T2859" s="1077">
        <v>10.6</v>
      </c>
      <c r="U2859" s="1077">
        <v>4.0999999999999996</v>
      </c>
      <c r="V2859" s="1077" t="s">
        <v>648</v>
      </c>
      <c r="W2859" s="1077">
        <v>110</v>
      </c>
      <c r="X2859" s="1077">
        <v>90</v>
      </c>
      <c r="Y2859" s="1077">
        <v>1.8</v>
      </c>
      <c r="Z2859" s="1077">
        <v>5</v>
      </c>
      <c r="AA2859" s="1077" t="s">
        <v>6273</v>
      </c>
      <c r="AH2859" s="1077" t="s">
        <v>998</v>
      </c>
      <c r="AM2859" s="1078" t="s">
        <v>14628</v>
      </c>
      <c r="AN2859" s="1078" t="s">
        <v>14629</v>
      </c>
      <c r="AO2859" s="1078">
        <f t="shared" si="358"/>
        <v>500</v>
      </c>
      <c r="AP2859" s="1078">
        <f t="shared" si="359"/>
        <v>1.7350000000000001</v>
      </c>
      <c r="AQ2859" s="1078" t="str">
        <f t="shared" si="360"/>
        <v>1-5-1S91°</v>
      </c>
      <c r="AR2859" s="1078" t="str">
        <f t="shared" si="361"/>
        <v>31</v>
      </c>
      <c r="AS2859" s="1078" t="str">
        <f t="shared" si="362"/>
        <v>300/300/150</v>
      </c>
      <c r="AT2859" s="1078" t="str">
        <f t="shared" si="363"/>
        <v>1-5-1S91°</v>
      </c>
      <c r="AV2859" s="1078" t="str">
        <f t="shared" si="356"/>
        <v>109.4.24</v>
      </c>
      <c r="AW2859" s="1344">
        <f t="shared" si="357"/>
        <v>43945</v>
      </c>
    </row>
    <row r="2860" spans="1:49">
      <c r="A2860" s="1077" t="s">
        <v>8580</v>
      </c>
      <c r="B2860" s="1077" t="s">
        <v>8508</v>
      </c>
      <c r="C2860" s="1077">
        <v>600</v>
      </c>
      <c r="D2860" s="1077">
        <v>1.72</v>
      </c>
      <c r="E2860" s="1077" t="s">
        <v>15104</v>
      </c>
      <c r="F2860" s="1077" t="s">
        <v>2520</v>
      </c>
      <c r="G2860" s="1077">
        <v>5</v>
      </c>
      <c r="H2860" s="1077" t="s">
        <v>5328</v>
      </c>
      <c r="I2860" s="1077" t="s">
        <v>460</v>
      </c>
      <c r="J2860" s="1077">
        <v>2.4</v>
      </c>
      <c r="K2860" s="1077" t="s">
        <v>8581</v>
      </c>
      <c r="L2860" s="1077" t="s">
        <v>4098</v>
      </c>
      <c r="M2860" s="1077">
        <v>196</v>
      </c>
      <c r="N2860" s="1077" t="s">
        <v>945</v>
      </c>
      <c r="O2860" s="1077">
        <v>4.9000000000000004</v>
      </c>
      <c r="P2860" s="1077">
        <v>3.92</v>
      </c>
      <c r="Q2860" s="1077" t="s">
        <v>1363</v>
      </c>
      <c r="R2860" s="1077">
        <v>28</v>
      </c>
      <c r="T2860" s="1077">
        <v>15.5</v>
      </c>
      <c r="U2860" s="1077">
        <v>5</v>
      </c>
      <c r="V2860" s="1077" t="s">
        <v>648</v>
      </c>
      <c r="W2860" s="1077">
        <v>130</v>
      </c>
      <c r="X2860" s="1077">
        <v>80</v>
      </c>
      <c r="Y2860" s="1077">
        <v>1.5</v>
      </c>
      <c r="Z2860" s="1077" t="s">
        <v>648</v>
      </c>
      <c r="AA2860" s="1077" t="s">
        <v>2966</v>
      </c>
      <c r="AH2860" s="1077" t="s">
        <v>948</v>
      </c>
      <c r="AM2860" s="1078" t="s">
        <v>14630</v>
      </c>
      <c r="AN2860" s="1078" t="s">
        <v>14631</v>
      </c>
      <c r="AO2860" s="1078">
        <f t="shared" si="358"/>
        <v>600</v>
      </c>
      <c r="AP2860" s="1078">
        <f t="shared" si="359"/>
        <v>1.72</v>
      </c>
      <c r="AQ2860" s="1078" t="str">
        <f t="shared" si="360"/>
        <v>1-4-1S85°Z+S</v>
      </c>
      <c r="AR2860" s="1078" t="str">
        <f t="shared" si="361"/>
        <v>*</v>
      </c>
      <c r="AS2860" s="1078" t="str">
        <f t="shared" si="362"/>
        <v>160/150</v>
      </c>
      <c r="AT2860" s="1078" t="str">
        <f t="shared" si="363"/>
        <v>1-4-1S85°Z+S</v>
      </c>
      <c r="AU2860" s="1078" t="s">
        <v>15547</v>
      </c>
      <c r="AV2860" s="1078" t="str">
        <f t="shared" si="356"/>
        <v>109.5.8</v>
      </c>
      <c r="AW2860" s="1344">
        <f t="shared" si="357"/>
        <v>43959</v>
      </c>
    </row>
    <row r="2861" spans="1:49">
      <c r="A2861" s="1077" t="s">
        <v>8582</v>
      </c>
      <c r="B2861" s="1077" t="s">
        <v>8438</v>
      </c>
      <c r="C2861" s="1077">
        <v>550</v>
      </c>
      <c r="D2861" s="1077">
        <v>1.744</v>
      </c>
      <c r="E2861" s="1077" t="s">
        <v>15102</v>
      </c>
      <c r="F2861" s="1077" t="s">
        <v>1508</v>
      </c>
      <c r="G2861" s="1077">
        <v>5</v>
      </c>
      <c r="H2861" s="1077" t="s">
        <v>8583</v>
      </c>
      <c r="I2861" s="1077" t="s">
        <v>460</v>
      </c>
      <c r="J2861" s="1077">
        <v>1.9</v>
      </c>
      <c r="K2861" s="1077" t="s">
        <v>8584</v>
      </c>
      <c r="L2861" s="1077" t="s">
        <v>8571</v>
      </c>
      <c r="M2861" s="1077">
        <v>166.5</v>
      </c>
      <c r="N2861" s="1077" t="s">
        <v>945</v>
      </c>
      <c r="O2861" s="1077">
        <v>4.1625000000000005</v>
      </c>
      <c r="P2861" s="1077">
        <v>3.33</v>
      </c>
      <c r="Q2861" s="1077" t="s">
        <v>1012</v>
      </c>
      <c r="R2861" s="1077">
        <v>23.8</v>
      </c>
      <c r="T2861" s="1077">
        <v>11.2</v>
      </c>
      <c r="U2861" s="1077">
        <v>3.5</v>
      </c>
      <c r="V2861" s="1077" t="s">
        <v>648</v>
      </c>
      <c r="W2861" s="1077">
        <v>105</v>
      </c>
      <c r="X2861" s="1077">
        <v>50</v>
      </c>
      <c r="Y2861" s="1077">
        <v>1.4</v>
      </c>
      <c r="Z2861" s="1077" t="s">
        <v>5139</v>
      </c>
      <c r="AA2861" s="1077" t="s">
        <v>2511</v>
      </c>
      <c r="AH2861" s="1077" t="s">
        <v>963</v>
      </c>
      <c r="AM2861" s="1078" t="s">
        <v>14632</v>
      </c>
      <c r="AN2861" s="1078" t="s">
        <v>14633</v>
      </c>
      <c r="AO2861" s="1078">
        <f t="shared" si="358"/>
        <v>550</v>
      </c>
      <c r="AP2861" s="1078">
        <f t="shared" si="359"/>
        <v>1.744</v>
      </c>
      <c r="AQ2861" s="1078" t="str">
        <f t="shared" si="360"/>
        <v>2-6-1S83°</v>
      </c>
      <c r="AR2861" s="1078" t="str">
        <f t="shared" si="361"/>
        <v>31.6</v>
      </c>
      <c r="AS2861" s="1078" t="str">
        <f t="shared" si="362"/>
        <v>167/164</v>
      </c>
      <c r="AT2861" s="1078" t="str">
        <f t="shared" si="363"/>
        <v>2-6-1S83°</v>
      </c>
      <c r="AV2861" s="1078" t="str">
        <f t="shared" si="356"/>
        <v>109.7.3</v>
      </c>
      <c r="AW2861" s="1344">
        <f t="shared" si="357"/>
        <v>44015</v>
      </c>
    </row>
    <row r="2862" spans="1:49">
      <c r="A2862" s="1077" t="s">
        <v>8585</v>
      </c>
      <c r="B2862" s="1077" t="s">
        <v>8513</v>
      </c>
      <c r="C2862" s="1077">
        <v>580</v>
      </c>
      <c r="D2862" s="1077">
        <v>1.758</v>
      </c>
      <c r="E2862" s="1077">
        <v>102.5</v>
      </c>
      <c r="F2862" s="1077" t="s">
        <v>4070</v>
      </c>
      <c r="G2862" s="1077">
        <v>5.5</v>
      </c>
      <c r="H2862" s="1077" t="s">
        <v>8586</v>
      </c>
      <c r="I2862" s="1077" t="s">
        <v>126</v>
      </c>
      <c r="J2862" s="1077">
        <v>1.7</v>
      </c>
      <c r="K2862" s="1077" t="s">
        <v>8587</v>
      </c>
      <c r="L2862" s="1077" t="s">
        <v>8571</v>
      </c>
      <c r="M2862" s="1077">
        <v>326.39999999999998</v>
      </c>
      <c r="N2862" s="1077" t="s">
        <v>945</v>
      </c>
      <c r="O2862" s="1077">
        <v>8.16</v>
      </c>
      <c r="P2862" s="1077">
        <v>6.5279999999999996</v>
      </c>
      <c r="Q2862" s="1077" t="s">
        <v>2782</v>
      </c>
      <c r="R2862" s="1077">
        <v>23.6</v>
      </c>
      <c r="T2862" s="1077">
        <v>14.4</v>
      </c>
      <c r="U2862" s="1077">
        <v>3.9</v>
      </c>
      <c r="V2862" s="1077" t="s">
        <v>648</v>
      </c>
      <c r="W2862" s="1077">
        <v>50</v>
      </c>
      <c r="X2862" s="1077">
        <v>10</v>
      </c>
      <c r="Y2862" s="1077">
        <v>1.4</v>
      </c>
      <c r="Z2862" s="1077" t="s">
        <v>648</v>
      </c>
      <c r="AA2862" s="1077" t="s">
        <v>3335</v>
      </c>
      <c r="AH2862" s="1077" t="s">
        <v>5681</v>
      </c>
      <c r="AM2862" s="1078" t="s">
        <v>14634</v>
      </c>
      <c r="AN2862" s="1078" t="s">
        <v>14635</v>
      </c>
      <c r="AO2862" s="1078">
        <f t="shared" si="358"/>
        <v>580</v>
      </c>
      <c r="AP2862" s="1078">
        <f t="shared" si="359"/>
        <v>1.758</v>
      </c>
      <c r="AQ2862" s="1078">
        <f t="shared" si="360"/>
        <v>102.5</v>
      </c>
      <c r="AR2862" s="1078" t="str">
        <f t="shared" si="361"/>
        <v>15.5</v>
      </c>
      <c r="AS2862" s="1078" t="str">
        <f t="shared" si="362"/>
        <v>385/380/150</v>
      </c>
      <c r="AT2862" s="1078">
        <f t="shared" si="363"/>
        <v>102.5</v>
      </c>
      <c r="AV2862" s="1078" t="str">
        <f t="shared" si="356"/>
        <v>109.7.6</v>
      </c>
      <c r="AW2862" s="1344">
        <f t="shared" si="357"/>
        <v>44018</v>
      </c>
    </row>
    <row r="2863" spans="1:49">
      <c r="A2863" s="1077" t="s">
        <v>8588</v>
      </c>
      <c r="B2863" s="1077" t="s">
        <v>8589</v>
      </c>
      <c r="C2863" s="1077">
        <v>550</v>
      </c>
      <c r="D2863" s="1077">
        <v>1.7050000000000001</v>
      </c>
      <c r="E2863" s="1077">
        <v>102.5</v>
      </c>
      <c r="F2863" s="1077" t="s">
        <v>4070</v>
      </c>
      <c r="G2863" s="1077">
        <v>5</v>
      </c>
      <c r="H2863" s="1077" t="s">
        <v>8590</v>
      </c>
      <c r="I2863" s="1077" t="s">
        <v>643</v>
      </c>
      <c r="J2863" s="1077">
        <v>3</v>
      </c>
      <c r="K2863" s="1077" t="s">
        <v>8591</v>
      </c>
      <c r="L2863" s="1077" t="s">
        <v>8592</v>
      </c>
      <c r="M2863" s="1077">
        <v>430</v>
      </c>
      <c r="N2863" s="1077" t="s">
        <v>945</v>
      </c>
      <c r="O2863" s="1077">
        <v>10.75</v>
      </c>
      <c r="P2863" s="1077">
        <v>8.6</v>
      </c>
      <c r="Q2863" s="1077" t="s">
        <v>2401</v>
      </c>
      <c r="R2863" s="1077">
        <v>18</v>
      </c>
      <c r="T2863" s="1077">
        <v>15.3</v>
      </c>
      <c r="U2863" s="1077">
        <v>4.5999999999999996</v>
      </c>
      <c r="V2863" s="1077" t="s">
        <v>648</v>
      </c>
      <c r="W2863" s="1077">
        <v>110</v>
      </c>
      <c r="X2863" s="1077">
        <v>80</v>
      </c>
      <c r="Y2863" s="1077">
        <v>1</v>
      </c>
      <c r="Z2863" s="1077" t="s">
        <v>648</v>
      </c>
      <c r="AA2863" s="1077" t="s">
        <v>2426</v>
      </c>
      <c r="AB2863" s="1077" t="s">
        <v>2680</v>
      </c>
      <c r="AC2863" s="1077" t="s">
        <v>2680</v>
      </c>
      <c r="AD2863" s="1077" t="s">
        <v>2680</v>
      </c>
      <c r="AH2863" s="1077" t="s">
        <v>2384</v>
      </c>
      <c r="AM2863" s="1078" t="s">
        <v>14636</v>
      </c>
      <c r="AN2863" s="1078" t="s">
        <v>14637</v>
      </c>
      <c r="AO2863" s="1078">
        <f t="shared" si="358"/>
        <v>550</v>
      </c>
      <c r="AP2863" s="1078">
        <f t="shared" si="359"/>
        <v>1.7050000000000001</v>
      </c>
      <c r="AQ2863" s="1078">
        <f t="shared" si="360"/>
        <v>102.5</v>
      </c>
      <c r="AR2863" s="1078" t="str">
        <f t="shared" si="361"/>
        <v>15.5</v>
      </c>
      <c r="AS2863" s="1078" t="str">
        <f t="shared" si="362"/>
        <v>462/402/OFF</v>
      </c>
      <c r="AT2863" s="1078">
        <f t="shared" si="363"/>
        <v>102.5</v>
      </c>
      <c r="AV2863" s="1078" t="str">
        <f t="shared" si="356"/>
        <v>109.7.14</v>
      </c>
      <c r="AW2863" s="1344">
        <f t="shared" si="357"/>
        <v>44026</v>
      </c>
    </row>
    <row r="2864" spans="1:49">
      <c r="A2864" s="1077" t="s">
        <v>8593</v>
      </c>
      <c r="B2864" s="1077" t="s">
        <v>8594</v>
      </c>
      <c r="C2864" s="1077">
        <v>550</v>
      </c>
      <c r="D2864" s="1077">
        <v>1.7290000000000001</v>
      </c>
      <c r="E2864" s="1077" t="s">
        <v>15123</v>
      </c>
      <c r="F2864" s="1077" t="s">
        <v>1469</v>
      </c>
      <c r="G2864" s="1077">
        <v>5</v>
      </c>
      <c r="H2864" s="1077" t="s">
        <v>1470</v>
      </c>
      <c r="I2864" s="1077" t="s">
        <v>460</v>
      </c>
      <c r="J2864" s="1077">
        <v>2.7</v>
      </c>
      <c r="K2864" s="1077" t="s">
        <v>8595</v>
      </c>
      <c r="L2864" s="1077" t="s">
        <v>8596</v>
      </c>
      <c r="M2864" s="1077">
        <v>228.6</v>
      </c>
      <c r="N2864" s="1077" t="s">
        <v>945</v>
      </c>
      <c r="O2864" s="1077">
        <v>5.7149999999999999</v>
      </c>
      <c r="P2864" s="1077">
        <v>4.5720000000000001</v>
      </c>
      <c r="Q2864" s="1077" t="s">
        <v>2838</v>
      </c>
      <c r="R2864" s="1077">
        <v>32.5</v>
      </c>
      <c r="T2864" s="1077">
        <v>13.1</v>
      </c>
      <c r="U2864" s="1077">
        <v>6.1</v>
      </c>
      <c r="V2864" s="1077" t="s">
        <v>648</v>
      </c>
      <c r="W2864" s="1077">
        <v>110</v>
      </c>
      <c r="X2864" s="1077">
        <v>80</v>
      </c>
      <c r="Y2864" s="1077">
        <v>1.8</v>
      </c>
      <c r="Z2864" s="1077" t="s">
        <v>8597</v>
      </c>
      <c r="AA2864" s="1077" t="s">
        <v>2426</v>
      </c>
      <c r="AH2864" s="1077" t="s">
        <v>783</v>
      </c>
      <c r="AM2864" s="1078" t="s">
        <v>14638</v>
      </c>
      <c r="AN2864" s="1078" t="s">
        <v>11131</v>
      </c>
      <c r="AO2864" s="1078">
        <f t="shared" si="358"/>
        <v>550</v>
      </c>
      <c r="AP2864" s="1078">
        <f t="shared" si="359"/>
        <v>1.7290000000000001</v>
      </c>
      <c r="AQ2864" s="1078" t="str">
        <f t="shared" si="360"/>
        <v>1-7-1S83°</v>
      </c>
      <c r="AR2864" s="1078" t="str">
        <f t="shared" si="361"/>
        <v>30.5</v>
      </c>
      <c r="AS2864" s="1078" t="str">
        <f t="shared" si="362"/>
        <v>160/OFF</v>
      </c>
      <c r="AT2864" s="1078" t="str">
        <f t="shared" si="363"/>
        <v>1-7-1S83°</v>
      </c>
      <c r="AV2864" s="1078" t="str">
        <f t="shared" si="356"/>
        <v>109.7.14</v>
      </c>
      <c r="AW2864" s="1344">
        <f t="shared" si="357"/>
        <v>44026</v>
      </c>
    </row>
    <row r="2865" spans="1:49">
      <c r="A2865" s="1077" t="s">
        <v>8598</v>
      </c>
      <c r="B2865" s="1077" t="s">
        <v>8589</v>
      </c>
      <c r="C2865" s="1077">
        <v>550</v>
      </c>
      <c r="D2865" s="1077">
        <v>1.645</v>
      </c>
      <c r="E2865" s="1077">
        <v>102.5</v>
      </c>
      <c r="F2865" s="1077" t="s">
        <v>4070</v>
      </c>
      <c r="G2865" s="1077">
        <v>5</v>
      </c>
      <c r="H2865" s="1077" t="s">
        <v>8590</v>
      </c>
      <c r="I2865" s="1077" t="s">
        <v>643</v>
      </c>
      <c r="J2865" s="1077">
        <v>3</v>
      </c>
      <c r="K2865" s="1077" t="s">
        <v>8599</v>
      </c>
      <c r="L2865" s="1077" t="s">
        <v>8600</v>
      </c>
      <c r="M2865" s="1077">
        <v>430</v>
      </c>
      <c r="N2865" s="1077" t="s">
        <v>945</v>
      </c>
      <c r="O2865" s="1077">
        <v>10.75</v>
      </c>
      <c r="P2865" s="1077">
        <v>8.6</v>
      </c>
      <c r="Q2865" s="1077" t="s">
        <v>2401</v>
      </c>
      <c r="R2865" s="1077" t="s">
        <v>8601</v>
      </c>
      <c r="T2865" s="1077">
        <v>15.3</v>
      </c>
      <c r="U2865" s="1077">
        <v>4.5999999999999996</v>
      </c>
      <c r="V2865" s="1077" t="s">
        <v>648</v>
      </c>
      <c r="W2865" s="1077">
        <v>110</v>
      </c>
      <c r="X2865" s="1077">
        <v>80</v>
      </c>
      <c r="Y2865" s="1077" t="s">
        <v>8602</v>
      </c>
      <c r="Z2865" s="1077" t="s">
        <v>648</v>
      </c>
      <c r="AA2865" s="1077" t="s">
        <v>3058</v>
      </c>
      <c r="AB2865" s="1077" t="s">
        <v>2680</v>
      </c>
      <c r="AC2865" s="1077" t="s">
        <v>2680</v>
      </c>
      <c r="AD2865" s="1077" t="s">
        <v>2680</v>
      </c>
      <c r="AH2865" s="1077" t="s">
        <v>723</v>
      </c>
      <c r="AM2865" s="1078" t="s">
        <v>14639</v>
      </c>
      <c r="AN2865" s="1078" t="s">
        <v>14640</v>
      </c>
      <c r="AO2865" s="1078">
        <f t="shared" si="358"/>
        <v>550</v>
      </c>
      <c r="AP2865" s="1078">
        <f t="shared" si="359"/>
        <v>1.645</v>
      </c>
      <c r="AQ2865" s="1078">
        <f t="shared" si="360"/>
        <v>102.5</v>
      </c>
      <c r="AR2865" s="1078" t="str">
        <f t="shared" si="361"/>
        <v>15.5</v>
      </c>
      <c r="AS2865" s="1078" t="str">
        <f t="shared" si="362"/>
        <v>462/402/OFF</v>
      </c>
      <c r="AT2865" s="1078">
        <f t="shared" si="363"/>
        <v>102.5</v>
      </c>
      <c r="AV2865" s="1078" t="str">
        <f t="shared" si="356"/>
        <v>109.9.4</v>
      </c>
      <c r="AW2865" s="1344">
        <f t="shared" si="357"/>
        <v>44078</v>
      </c>
    </row>
    <row r="2866" spans="1:49">
      <c r="A2866" s="1077" t="s">
        <v>8603</v>
      </c>
      <c r="B2866" s="1077" t="s">
        <v>8508</v>
      </c>
      <c r="C2866" s="1077">
        <v>600</v>
      </c>
      <c r="D2866" s="1077">
        <v>1.81</v>
      </c>
      <c r="E2866" s="1077" t="s">
        <v>15104</v>
      </c>
      <c r="F2866" s="1077" t="s">
        <v>2520</v>
      </c>
      <c r="G2866" s="1077">
        <v>5</v>
      </c>
      <c r="H2866" s="1077" t="s">
        <v>5328</v>
      </c>
      <c r="I2866" s="1077" t="s">
        <v>460</v>
      </c>
      <c r="J2866" s="1077">
        <v>2.4</v>
      </c>
      <c r="K2866" s="1077" t="s">
        <v>8604</v>
      </c>
      <c r="L2866" s="1077" t="s">
        <v>4151</v>
      </c>
      <c r="M2866" s="1077">
        <v>196</v>
      </c>
      <c r="N2866" s="1077" t="s">
        <v>945</v>
      </c>
      <c r="O2866" s="1077">
        <v>4.9000000000000004</v>
      </c>
      <c r="P2866" s="1077">
        <v>3.92</v>
      </c>
      <c r="Q2866" s="1077" t="s">
        <v>1012</v>
      </c>
      <c r="R2866" s="1077">
        <v>28</v>
      </c>
      <c r="T2866" s="1077">
        <v>15.5</v>
      </c>
      <c r="U2866" s="1077">
        <v>5</v>
      </c>
      <c r="V2866" s="1077" t="s">
        <v>648</v>
      </c>
      <c r="W2866" s="1077">
        <v>130</v>
      </c>
      <c r="X2866" s="1077">
        <v>80</v>
      </c>
      <c r="Y2866" s="1077">
        <v>1.5</v>
      </c>
      <c r="Z2866" s="1077" t="s">
        <v>648</v>
      </c>
      <c r="AA2866" s="1077" t="s">
        <v>3381</v>
      </c>
      <c r="AH2866" s="1077" t="s">
        <v>812</v>
      </c>
      <c r="AM2866" s="1078" t="s">
        <v>14641</v>
      </c>
      <c r="AN2866" s="1078" t="s">
        <v>14642</v>
      </c>
      <c r="AO2866" s="1078">
        <f t="shared" si="358"/>
        <v>600</v>
      </c>
      <c r="AP2866" s="1078">
        <f t="shared" si="359"/>
        <v>1.81</v>
      </c>
      <c r="AQ2866" s="1078" t="str">
        <f t="shared" si="360"/>
        <v>1-4-1S85°Z+S</v>
      </c>
      <c r="AR2866" s="1078" t="str">
        <f t="shared" si="361"/>
        <v>*</v>
      </c>
      <c r="AS2866" s="1078" t="str">
        <f t="shared" si="362"/>
        <v>160/150</v>
      </c>
      <c r="AT2866" s="1078" t="str">
        <f t="shared" si="363"/>
        <v>1-4-1S85°Z+S</v>
      </c>
      <c r="AU2866" s="1078" t="s">
        <v>15547</v>
      </c>
      <c r="AV2866" s="1078" t="str">
        <f t="shared" si="356"/>
        <v>109.9.14</v>
      </c>
      <c r="AW2866" s="1344">
        <f t="shared" si="357"/>
        <v>44088</v>
      </c>
    </row>
    <row r="2867" spans="1:49">
      <c r="A2867" s="1077" t="s">
        <v>8605</v>
      </c>
      <c r="B2867" s="1077" t="s">
        <v>8508</v>
      </c>
      <c r="C2867" s="1077">
        <v>700</v>
      </c>
      <c r="D2867" s="1077">
        <v>1.82</v>
      </c>
      <c r="E2867" s="1077" t="s">
        <v>15122</v>
      </c>
      <c r="F2867" s="1077" t="s">
        <v>984</v>
      </c>
      <c r="G2867" s="1077">
        <v>5</v>
      </c>
      <c r="H2867" s="1077" t="s">
        <v>2642</v>
      </c>
      <c r="I2867" s="1077" t="s">
        <v>460</v>
      </c>
      <c r="J2867" s="1077">
        <v>2.2999999999999998</v>
      </c>
      <c r="K2867" s="1077" t="s">
        <v>8606</v>
      </c>
      <c r="L2867" s="1077" t="s">
        <v>4151</v>
      </c>
      <c r="M2867" s="1077">
        <v>196</v>
      </c>
      <c r="N2867" s="1077" t="s">
        <v>945</v>
      </c>
      <c r="O2867" s="1077">
        <v>4.9000000000000004</v>
      </c>
      <c r="P2867" s="1077">
        <v>3.92</v>
      </c>
      <c r="Q2867" s="1077" t="s">
        <v>1059</v>
      </c>
      <c r="R2867" s="1077">
        <v>28</v>
      </c>
      <c r="T2867" s="1077">
        <v>15.5</v>
      </c>
      <c r="U2867" s="1077">
        <v>5</v>
      </c>
      <c r="V2867" s="1077" t="s">
        <v>648</v>
      </c>
      <c r="W2867" s="1077">
        <v>130</v>
      </c>
      <c r="X2867" s="1077">
        <v>80</v>
      </c>
      <c r="Y2867" s="1077">
        <v>1.5</v>
      </c>
      <c r="Z2867" s="1077" t="s">
        <v>648</v>
      </c>
      <c r="AA2867" s="1077" t="s">
        <v>5582</v>
      </c>
      <c r="AH2867" s="1077" t="s">
        <v>875</v>
      </c>
      <c r="AM2867" s="1078" t="s">
        <v>14643</v>
      </c>
      <c r="AN2867" s="1078" t="s">
        <v>14644</v>
      </c>
      <c r="AO2867" s="1078">
        <f t="shared" si="358"/>
        <v>700</v>
      </c>
      <c r="AP2867" s="1078">
        <f t="shared" si="359"/>
        <v>1.82</v>
      </c>
      <c r="AQ2867" s="1078" t="str">
        <f t="shared" si="360"/>
        <v>1-5-1S91°Z+S</v>
      </c>
      <c r="AR2867" s="1078" t="str">
        <f t="shared" si="361"/>
        <v>30</v>
      </c>
      <c r="AS2867" s="1078" t="str">
        <f t="shared" si="362"/>
        <v>280/280/155</v>
      </c>
      <c r="AT2867" s="1078" t="str">
        <f t="shared" si="363"/>
        <v>1-5-1S91°Z+S</v>
      </c>
      <c r="AU2867" s="1078" t="s">
        <v>15547</v>
      </c>
      <c r="AV2867" s="1078" t="str">
        <f t="shared" si="356"/>
        <v>109.11.25</v>
      </c>
      <c r="AW2867" s="1344">
        <f t="shared" si="357"/>
        <v>44160</v>
      </c>
    </row>
    <row r="2868" spans="1:49">
      <c r="A2868" s="1077" t="s">
        <v>8607</v>
      </c>
      <c r="B2868" s="1077" t="s">
        <v>8508</v>
      </c>
      <c r="C2868" s="1077">
        <v>700</v>
      </c>
      <c r="D2868" s="1077">
        <v>1.82</v>
      </c>
      <c r="E2868" s="1077" t="s">
        <v>15122</v>
      </c>
      <c r="F2868" s="1077" t="s">
        <v>984</v>
      </c>
      <c r="G2868" s="1077">
        <v>5</v>
      </c>
      <c r="H2868" s="1077" t="s">
        <v>8608</v>
      </c>
      <c r="I2868" s="1077" t="s">
        <v>460</v>
      </c>
      <c r="J2868" s="1077">
        <v>2.2999999999999998</v>
      </c>
      <c r="K2868" s="1077" t="s">
        <v>8609</v>
      </c>
      <c r="L2868" s="1077" t="s">
        <v>4151</v>
      </c>
      <c r="M2868" s="1077">
        <v>196</v>
      </c>
      <c r="N2868" s="1077" t="s">
        <v>945</v>
      </c>
      <c r="O2868" s="1077">
        <v>4.9000000000000004</v>
      </c>
      <c r="P2868" s="1077">
        <v>3.92</v>
      </c>
      <c r="Q2868" s="1077">
        <v>3</v>
      </c>
      <c r="R2868" s="1077">
        <v>28</v>
      </c>
      <c r="T2868" s="1077">
        <v>15.5</v>
      </c>
      <c r="U2868" s="1077">
        <v>5</v>
      </c>
      <c r="V2868" s="1077" t="s">
        <v>648</v>
      </c>
      <c r="W2868" s="1077">
        <v>130</v>
      </c>
      <c r="X2868" s="1077">
        <v>80</v>
      </c>
      <c r="Y2868" s="1077">
        <v>1.5</v>
      </c>
      <c r="Z2868" s="1077" t="s">
        <v>648</v>
      </c>
      <c r="AA2868" s="1077" t="s">
        <v>1206</v>
      </c>
      <c r="AH2868" s="1077" t="s">
        <v>762</v>
      </c>
      <c r="AM2868" s="1078" t="s">
        <v>14645</v>
      </c>
      <c r="AN2868" s="1078" t="s">
        <v>14646</v>
      </c>
      <c r="AO2868" s="1078">
        <f t="shared" si="358"/>
        <v>700</v>
      </c>
      <c r="AP2868" s="1078">
        <f t="shared" si="359"/>
        <v>1.82</v>
      </c>
      <c r="AQ2868" s="1078" t="str">
        <f t="shared" si="360"/>
        <v>1-5-1S91°Z+S</v>
      </c>
      <c r="AR2868" s="1078" t="str">
        <f t="shared" si="361"/>
        <v>30</v>
      </c>
      <c r="AS2868" s="1078" t="str">
        <f t="shared" si="362"/>
        <v>281/281/155</v>
      </c>
      <c r="AT2868" s="1078" t="str">
        <f t="shared" si="363"/>
        <v>1-5-1S91°Z+S</v>
      </c>
      <c r="AU2868" s="1078" t="s">
        <v>15547</v>
      </c>
      <c r="AV2868" s="1078" t="str">
        <f t="shared" si="356"/>
        <v>109.12.22</v>
      </c>
      <c r="AW2868" s="1344">
        <f t="shared" si="357"/>
        <v>44187</v>
      </c>
    </row>
    <row r="2869" spans="1:49">
      <c r="A2869" s="1077" t="s">
        <v>8610</v>
      </c>
      <c r="B2869" s="1077" t="s">
        <v>8611</v>
      </c>
      <c r="C2869" s="1077">
        <v>700</v>
      </c>
      <c r="D2869" s="1077">
        <v>1.82</v>
      </c>
      <c r="E2869" s="1077" t="s">
        <v>15122</v>
      </c>
      <c r="F2869" s="1077" t="s">
        <v>984</v>
      </c>
      <c r="G2869" s="1077">
        <v>4</v>
      </c>
      <c r="H2869" s="1077" t="s">
        <v>8608</v>
      </c>
      <c r="I2869" s="1077" t="s">
        <v>460</v>
      </c>
      <c r="J2869" s="1077">
        <v>2.2999999999999998</v>
      </c>
      <c r="K2869" s="1077" t="s">
        <v>8609</v>
      </c>
      <c r="L2869" s="1077" t="s">
        <v>4151</v>
      </c>
      <c r="M2869" s="1077">
        <v>196</v>
      </c>
      <c r="N2869" s="1077" t="s">
        <v>945</v>
      </c>
      <c r="O2869" s="1077">
        <v>4.9000000000000004</v>
      </c>
      <c r="P2869" s="1077">
        <v>3.92</v>
      </c>
      <c r="Q2869" s="1077">
        <v>3</v>
      </c>
      <c r="R2869" s="1077">
        <v>28</v>
      </c>
      <c r="T2869" s="1077">
        <v>15.5</v>
      </c>
      <c r="U2869" s="1077">
        <v>5</v>
      </c>
      <c r="V2869" s="1077" t="s">
        <v>648</v>
      </c>
      <c r="W2869" s="1077">
        <v>130</v>
      </c>
      <c r="X2869" s="1077">
        <v>80</v>
      </c>
      <c r="Y2869" s="1077">
        <v>1.5</v>
      </c>
      <c r="Z2869" s="1077" t="s">
        <v>648</v>
      </c>
      <c r="AA2869" s="1077" t="s">
        <v>2481</v>
      </c>
      <c r="AH2869" s="1077" t="s">
        <v>468</v>
      </c>
      <c r="AM2869" s="1078" t="s">
        <v>14647</v>
      </c>
      <c r="AN2869" s="1078" t="s">
        <v>14648</v>
      </c>
      <c r="AO2869" s="1078">
        <f t="shared" si="358"/>
        <v>700</v>
      </c>
      <c r="AP2869" s="1078">
        <f t="shared" si="359"/>
        <v>1.82</v>
      </c>
      <c r="AQ2869" s="1078" t="str">
        <f t="shared" si="360"/>
        <v>1-5-1S91°Z+S</v>
      </c>
      <c r="AR2869" s="1078" t="str">
        <f t="shared" si="361"/>
        <v>30</v>
      </c>
      <c r="AS2869" s="1078" t="str">
        <f t="shared" si="362"/>
        <v>281/281/155</v>
      </c>
      <c r="AT2869" s="1078" t="str">
        <f t="shared" si="363"/>
        <v>1-5-1S91°Z+S</v>
      </c>
      <c r="AU2869" s="1078" t="s">
        <v>15547</v>
      </c>
      <c r="AV2869" s="1078" t="str">
        <f t="shared" si="356"/>
        <v>109.12.31</v>
      </c>
      <c r="AW2869" s="1344">
        <f t="shared" si="357"/>
        <v>44196</v>
      </c>
    </row>
    <row r="2870" spans="1:49">
      <c r="A2870" s="1077" t="s">
        <v>8612</v>
      </c>
      <c r="B2870" s="1077" t="s">
        <v>8429</v>
      </c>
      <c r="C2870" s="1077">
        <v>500</v>
      </c>
      <c r="D2870" s="1077">
        <v>1.72</v>
      </c>
      <c r="E2870" s="1077" t="s">
        <v>15089</v>
      </c>
      <c r="F2870" s="1077" t="s">
        <v>954</v>
      </c>
      <c r="G2870" s="1077">
        <v>2</v>
      </c>
      <c r="H2870" s="1077" t="s">
        <v>1445</v>
      </c>
      <c r="I2870" s="1077" t="s">
        <v>626</v>
      </c>
      <c r="J2870" s="1077">
        <v>0.8</v>
      </c>
      <c r="K2870" s="1077" t="s">
        <v>8430</v>
      </c>
      <c r="L2870" s="1077" t="s">
        <v>8442</v>
      </c>
      <c r="M2870" s="1077">
        <v>30.9</v>
      </c>
      <c r="N2870" s="1077" t="s">
        <v>945</v>
      </c>
      <c r="O2870" s="1077">
        <v>0.77249999999999996</v>
      </c>
      <c r="P2870" s="1077">
        <v>0.61799999999999999</v>
      </c>
      <c r="Q2870" s="1077">
        <v>4</v>
      </c>
      <c r="R2870" s="1077">
        <v>19.5</v>
      </c>
      <c r="T2870" s="1077">
        <v>30.1</v>
      </c>
      <c r="U2870" s="1077">
        <v>3.9</v>
      </c>
      <c r="V2870" s="1077" t="s">
        <v>648</v>
      </c>
      <c r="W2870" s="1077" t="s">
        <v>8613</v>
      </c>
      <c r="X2870" s="1077">
        <v>80</v>
      </c>
      <c r="Y2870" s="1077">
        <v>2.2000000000000002</v>
      </c>
      <c r="Z2870" s="1077">
        <v>3</v>
      </c>
      <c r="AA2870" s="1077" t="s">
        <v>8614</v>
      </c>
      <c r="AH2870" s="1077" t="s">
        <v>1417</v>
      </c>
      <c r="AM2870" s="1078" t="s">
        <v>14649</v>
      </c>
      <c r="AN2870" s="1078" t="s">
        <v>14650</v>
      </c>
      <c r="AO2870" s="1078">
        <f t="shared" si="358"/>
        <v>500</v>
      </c>
      <c r="AP2870" s="1078">
        <f t="shared" si="359"/>
        <v>1.72</v>
      </c>
      <c r="AQ2870" s="1078" t="str">
        <f t="shared" si="360"/>
        <v>1-4-1S83°</v>
      </c>
      <c r="AR2870" s="1078" t="str">
        <f t="shared" si="361"/>
        <v>31</v>
      </c>
      <c r="AS2870" s="1078" t="str">
        <f t="shared" si="362"/>
        <v>207/207/OFF</v>
      </c>
      <c r="AT2870" s="1078" t="str">
        <f t="shared" si="363"/>
        <v>1-4-1S83°</v>
      </c>
      <c r="AV2870" s="1078" t="str">
        <f t="shared" si="356"/>
        <v>110.1.11</v>
      </c>
      <c r="AW2870" s="1344">
        <f t="shared" si="357"/>
        <v>44207</v>
      </c>
    </row>
    <row r="2871" spans="1:49">
      <c r="A2871" s="1077" t="s">
        <v>8615</v>
      </c>
      <c r="B2871" s="1077" t="s">
        <v>8429</v>
      </c>
      <c r="C2871" s="1077">
        <v>500</v>
      </c>
      <c r="D2871" s="1077">
        <v>1.7150000000000001</v>
      </c>
      <c r="E2871" s="1077" t="s">
        <v>15089</v>
      </c>
      <c r="F2871" s="1077" t="s">
        <v>954</v>
      </c>
      <c r="G2871" s="1077">
        <v>2</v>
      </c>
      <c r="H2871" s="1077" t="s">
        <v>1445</v>
      </c>
      <c r="I2871" s="1077" t="s">
        <v>626</v>
      </c>
      <c r="J2871" s="1077">
        <v>0.8</v>
      </c>
      <c r="K2871" s="1077" t="s">
        <v>8616</v>
      </c>
      <c r="L2871" s="1077" t="s">
        <v>8442</v>
      </c>
      <c r="M2871" s="1077">
        <v>30.9</v>
      </c>
      <c r="N2871" s="1077" t="s">
        <v>945</v>
      </c>
      <c r="O2871" s="1077">
        <v>0.77249999999999996</v>
      </c>
      <c r="P2871" s="1077">
        <v>0.61799999999999999</v>
      </c>
      <c r="Q2871" s="1077">
        <v>4</v>
      </c>
      <c r="R2871" s="1077">
        <v>19.5</v>
      </c>
      <c r="T2871" s="1077">
        <v>30.1</v>
      </c>
      <c r="U2871" s="1077">
        <v>3.9</v>
      </c>
      <c r="V2871" s="1077" t="s">
        <v>648</v>
      </c>
      <c r="W2871" s="1077">
        <v>150</v>
      </c>
      <c r="X2871" s="1077">
        <v>80</v>
      </c>
      <c r="Y2871" s="1077">
        <v>2.2000000000000002</v>
      </c>
      <c r="Z2871" s="1077">
        <v>3</v>
      </c>
      <c r="AA2871" s="1077" t="s">
        <v>2485</v>
      </c>
      <c r="AH2871" s="1077" t="s">
        <v>646</v>
      </c>
      <c r="AM2871" s="1078" t="s">
        <v>14651</v>
      </c>
      <c r="AN2871" s="1078" t="s">
        <v>14652</v>
      </c>
      <c r="AO2871" s="1078">
        <f t="shared" si="358"/>
        <v>500</v>
      </c>
      <c r="AP2871" s="1078">
        <f t="shared" si="359"/>
        <v>1.7150000000000001</v>
      </c>
      <c r="AQ2871" s="1078" t="str">
        <f t="shared" si="360"/>
        <v>1-4-1S83°</v>
      </c>
      <c r="AR2871" s="1078" t="str">
        <f t="shared" si="361"/>
        <v>31</v>
      </c>
      <c r="AS2871" s="1078" t="str">
        <f t="shared" si="362"/>
        <v>207/207/OFF</v>
      </c>
      <c r="AT2871" s="1078" t="str">
        <f t="shared" si="363"/>
        <v>1-4-1S83°</v>
      </c>
      <c r="AV2871" s="1078" t="str">
        <f t="shared" si="356"/>
        <v>110.1.15</v>
      </c>
      <c r="AW2871" s="1344">
        <f t="shared" si="357"/>
        <v>44211</v>
      </c>
    </row>
    <row r="2872" spans="1:49">
      <c r="A2872" s="1077" t="s">
        <v>8617</v>
      </c>
      <c r="B2872" s="1077" t="s">
        <v>8508</v>
      </c>
      <c r="C2872" s="1077">
        <v>700</v>
      </c>
      <c r="D2872" s="1077">
        <v>1.82</v>
      </c>
      <c r="E2872" s="1077" t="s">
        <v>15122</v>
      </c>
      <c r="F2872" s="1077" t="s">
        <v>984</v>
      </c>
      <c r="G2872" s="1077">
        <v>5</v>
      </c>
      <c r="H2872" s="1077" t="s">
        <v>8608</v>
      </c>
      <c r="I2872" s="1077" t="s">
        <v>460</v>
      </c>
      <c r="J2872" s="1077">
        <v>2.4</v>
      </c>
      <c r="K2872" s="1077" t="s">
        <v>8618</v>
      </c>
      <c r="L2872" s="1077" t="s">
        <v>4151</v>
      </c>
      <c r="M2872" s="1077">
        <v>196</v>
      </c>
      <c r="N2872" s="1077" t="s">
        <v>945</v>
      </c>
      <c r="O2872" s="1077">
        <v>4.9000000000000004</v>
      </c>
      <c r="P2872" s="1077">
        <v>3.92</v>
      </c>
      <c r="Q2872" s="1077">
        <v>3</v>
      </c>
      <c r="R2872" s="1077">
        <v>28</v>
      </c>
      <c r="T2872" s="1077">
        <v>15.5</v>
      </c>
      <c r="U2872" s="1077">
        <v>5</v>
      </c>
      <c r="V2872" s="1077" t="s">
        <v>648</v>
      </c>
      <c r="W2872" s="1077">
        <v>130</v>
      </c>
      <c r="X2872" s="1077">
        <v>80</v>
      </c>
      <c r="Y2872" s="1077">
        <v>1.5</v>
      </c>
      <c r="Z2872" s="1077" t="s">
        <v>648</v>
      </c>
      <c r="AA2872" s="1077" t="s">
        <v>3104</v>
      </c>
      <c r="AH2872" s="1077" t="s">
        <v>875</v>
      </c>
      <c r="AM2872" s="1078" t="s">
        <v>14653</v>
      </c>
      <c r="AN2872" s="1078" t="s">
        <v>14654</v>
      </c>
      <c r="AO2872" s="1078">
        <f t="shared" si="358"/>
        <v>700</v>
      </c>
      <c r="AP2872" s="1078">
        <f t="shared" si="359"/>
        <v>1.82</v>
      </c>
      <c r="AQ2872" s="1078" t="str">
        <f t="shared" si="360"/>
        <v>1-5-1S91°Z+S</v>
      </c>
      <c r="AR2872" s="1078" t="str">
        <f t="shared" si="361"/>
        <v>30</v>
      </c>
      <c r="AS2872" s="1078" t="str">
        <f t="shared" si="362"/>
        <v>281/281/155</v>
      </c>
      <c r="AT2872" s="1078" t="str">
        <f t="shared" si="363"/>
        <v>1-5-1S91°Z+S</v>
      </c>
      <c r="AU2872" s="1078" t="s">
        <v>15547</v>
      </c>
      <c r="AV2872" s="1078" t="str">
        <f t="shared" si="356"/>
        <v>110.1.27</v>
      </c>
      <c r="AW2872" s="1344">
        <f t="shared" si="357"/>
        <v>44223</v>
      </c>
    </row>
    <row r="2873" spans="1:49">
      <c r="A2873" s="1077" t="s">
        <v>8619</v>
      </c>
      <c r="B2873" s="1077" t="s">
        <v>8620</v>
      </c>
      <c r="C2873" s="1077">
        <v>500</v>
      </c>
      <c r="D2873" s="1077">
        <v>1.732</v>
      </c>
      <c r="E2873" s="1077" t="s">
        <v>15895</v>
      </c>
      <c r="F2873" s="1077" t="s">
        <v>1514</v>
      </c>
      <c r="G2873" s="1077">
        <v>3</v>
      </c>
      <c r="H2873" s="1077" t="s">
        <v>1806</v>
      </c>
      <c r="I2873" s="1077" t="s">
        <v>8540</v>
      </c>
      <c r="J2873" s="1077">
        <v>3</v>
      </c>
      <c r="K2873" s="1077" t="s">
        <v>8621</v>
      </c>
      <c r="L2873" s="1077" t="s">
        <v>8622</v>
      </c>
      <c r="M2873" s="1077">
        <v>385</v>
      </c>
      <c r="N2873" s="1077" t="s">
        <v>945</v>
      </c>
      <c r="O2873" s="1077">
        <v>9.625</v>
      </c>
      <c r="P2873" s="1077">
        <v>7.7</v>
      </c>
      <c r="Q2873" s="1077">
        <v>3</v>
      </c>
      <c r="R2873" s="1077">
        <v>22</v>
      </c>
      <c r="T2873" s="1077">
        <v>20</v>
      </c>
      <c r="U2873" s="1077">
        <v>4.8</v>
      </c>
      <c r="V2873" s="1077" t="s">
        <v>648</v>
      </c>
      <c r="W2873" s="1077">
        <v>85</v>
      </c>
      <c r="X2873" s="1077">
        <v>90</v>
      </c>
      <c r="Y2873" s="1077">
        <v>1</v>
      </c>
      <c r="Z2873" s="1077" t="s">
        <v>648</v>
      </c>
      <c r="AA2873" s="1077" t="s">
        <v>6511</v>
      </c>
      <c r="AH2873" s="1077" t="s">
        <v>785</v>
      </c>
      <c r="AM2873" s="1078" t="s">
        <v>14655</v>
      </c>
      <c r="AN2873" s="1078" t="s">
        <v>9197</v>
      </c>
      <c r="AO2873" s="1078">
        <f t="shared" si="358"/>
        <v>500</v>
      </c>
      <c r="AP2873" s="1078">
        <f t="shared" si="359"/>
        <v>1.732</v>
      </c>
      <c r="AQ2873" s="1078" t="str">
        <f t="shared" si="360"/>
        <v>1-5-1S83°Z+S+Z</v>
      </c>
      <c r="AR2873" s="1078" t="str">
        <f t="shared" si="361"/>
        <v>32</v>
      </c>
      <c r="AS2873" s="1078" t="str">
        <f t="shared" si="362"/>
        <v>280/280/OFF</v>
      </c>
      <c r="AT2873" s="1078" t="str">
        <f t="shared" si="363"/>
        <v>1-5-1S83°Z+S+Z</v>
      </c>
      <c r="AV2873" s="1078" t="str">
        <f t="shared" si="356"/>
        <v>110.3.2</v>
      </c>
      <c r="AW2873" s="1344">
        <f t="shared" si="357"/>
        <v>44257</v>
      </c>
    </row>
    <row r="2874" spans="1:49">
      <c r="A2874" s="1077" t="s">
        <v>8623</v>
      </c>
      <c r="B2874" s="1077" t="s">
        <v>8589</v>
      </c>
      <c r="C2874" s="1077">
        <v>550</v>
      </c>
      <c r="D2874" s="1077">
        <v>1.7050000000000001</v>
      </c>
      <c r="E2874" s="1077">
        <v>102.5</v>
      </c>
      <c r="F2874" s="1077" t="s">
        <v>4070</v>
      </c>
      <c r="G2874" s="1077">
        <v>5</v>
      </c>
      <c r="H2874" s="1077" t="s">
        <v>8590</v>
      </c>
      <c r="I2874" s="1077" t="s">
        <v>643</v>
      </c>
      <c r="J2874" s="1077">
        <v>3</v>
      </c>
      <c r="K2874" s="1077" t="s">
        <v>8624</v>
      </c>
      <c r="L2874" s="1077" t="s">
        <v>8592</v>
      </c>
      <c r="M2874" s="1077">
        <v>430</v>
      </c>
      <c r="N2874" s="1077" t="s">
        <v>945</v>
      </c>
      <c r="O2874" s="1077">
        <v>10.75</v>
      </c>
      <c r="P2874" s="1077">
        <v>8.6</v>
      </c>
      <c r="Q2874" s="1077" t="s">
        <v>1264</v>
      </c>
      <c r="R2874" s="1077">
        <v>18</v>
      </c>
      <c r="T2874" s="1077">
        <v>15.3</v>
      </c>
      <c r="U2874" s="1077">
        <v>4.5999999999999996</v>
      </c>
      <c r="V2874" s="1077" t="s">
        <v>648</v>
      </c>
      <c r="W2874" s="1077">
        <v>110</v>
      </c>
      <c r="X2874" s="1077">
        <v>80</v>
      </c>
      <c r="Y2874" s="1077">
        <v>1</v>
      </c>
      <c r="Z2874" s="1077" t="s">
        <v>648</v>
      </c>
      <c r="AA2874" s="1077" t="s">
        <v>3129</v>
      </c>
      <c r="AB2874" s="1077" t="s">
        <v>2680</v>
      </c>
      <c r="AC2874" s="1077" t="s">
        <v>2680</v>
      </c>
      <c r="AD2874" s="1077" t="s">
        <v>2680</v>
      </c>
      <c r="AH2874" s="1077" t="s">
        <v>4630</v>
      </c>
      <c r="AM2874" s="1078" t="s">
        <v>14656</v>
      </c>
      <c r="AN2874" s="1078" t="s">
        <v>14657</v>
      </c>
      <c r="AO2874" s="1078">
        <f t="shared" si="358"/>
        <v>550</v>
      </c>
      <c r="AP2874" s="1078">
        <f t="shared" si="359"/>
        <v>1.7050000000000001</v>
      </c>
      <c r="AQ2874" s="1078">
        <f t="shared" si="360"/>
        <v>102.5</v>
      </c>
      <c r="AR2874" s="1078" t="str">
        <f t="shared" si="361"/>
        <v>15.5</v>
      </c>
      <c r="AS2874" s="1078" t="str">
        <f t="shared" si="362"/>
        <v>462/402/OFF</v>
      </c>
      <c r="AT2874" s="1078">
        <f t="shared" si="363"/>
        <v>102.5</v>
      </c>
      <c r="AV2874" s="1078" t="str">
        <f t="shared" si="356"/>
        <v>110.3.5</v>
      </c>
      <c r="AW2874" s="1344">
        <f t="shared" si="357"/>
        <v>44260</v>
      </c>
    </row>
    <row r="2875" spans="1:49">
      <c r="A2875" s="1077" t="s">
        <v>8625</v>
      </c>
      <c r="B2875" s="1077" t="s">
        <v>654</v>
      </c>
      <c r="C2875" s="1077">
        <v>550</v>
      </c>
      <c r="D2875" s="1077">
        <v>1.7050000000000001</v>
      </c>
      <c r="E2875" s="1077">
        <v>102.5</v>
      </c>
      <c r="F2875" s="1077" t="s">
        <v>4070</v>
      </c>
      <c r="G2875" s="1077">
        <v>5</v>
      </c>
      <c r="H2875" s="1077" t="s">
        <v>8626</v>
      </c>
      <c r="I2875" s="1077" t="s">
        <v>643</v>
      </c>
      <c r="J2875" s="1077">
        <v>1.1000000000000001</v>
      </c>
      <c r="K2875" s="1077" t="s">
        <v>8624</v>
      </c>
      <c r="L2875" s="1077" t="s">
        <v>8592</v>
      </c>
      <c r="M2875" s="1077">
        <v>425</v>
      </c>
      <c r="N2875" s="1077" t="s">
        <v>945</v>
      </c>
      <c r="O2875" s="1077">
        <v>10.625</v>
      </c>
      <c r="P2875" s="1077">
        <v>8.5</v>
      </c>
      <c r="Q2875" s="1077">
        <v>3.5</v>
      </c>
      <c r="R2875" s="1077">
        <v>19</v>
      </c>
      <c r="T2875" s="1077">
        <v>16</v>
      </c>
      <c r="U2875" s="1077">
        <v>4</v>
      </c>
      <c r="V2875" s="1077" t="s">
        <v>648</v>
      </c>
      <c r="W2875" s="1077">
        <v>35</v>
      </c>
      <c r="X2875" s="1077">
        <v>10</v>
      </c>
      <c r="Y2875" s="1077">
        <v>1</v>
      </c>
      <c r="Z2875" s="1077" t="s">
        <v>648</v>
      </c>
      <c r="AA2875" s="1077" t="s">
        <v>8627</v>
      </c>
      <c r="AB2875" s="1077" t="s">
        <v>2680</v>
      </c>
      <c r="AC2875" s="1077" t="s">
        <v>2680</v>
      </c>
      <c r="AD2875" s="1077" t="s">
        <v>2680</v>
      </c>
      <c r="AH2875" s="1077" t="s">
        <v>830</v>
      </c>
      <c r="AM2875" s="1078" t="s">
        <v>14658</v>
      </c>
      <c r="AN2875" s="1078" t="s">
        <v>14659</v>
      </c>
      <c r="AO2875" s="1078">
        <f t="shared" si="358"/>
        <v>550</v>
      </c>
      <c r="AP2875" s="1078">
        <f t="shared" si="359"/>
        <v>1.7050000000000001</v>
      </c>
      <c r="AQ2875" s="1078">
        <f t="shared" si="360"/>
        <v>102.5</v>
      </c>
      <c r="AR2875" s="1078" t="str">
        <f t="shared" si="361"/>
        <v>15.5</v>
      </c>
      <c r="AS2875" s="1078" t="str">
        <f t="shared" si="362"/>
        <v>462/402/180</v>
      </c>
      <c r="AT2875" s="1078">
        <f t="shared" si="363"/>
        <v>102.5</v>
      </c>
      <c r="AV2875" s="1078" t="str">
        <f t="shared" si="356"/>
        <v>110.3.9</v>
      </c>
      <c r="AW2875" s="1344">
        <f t="shared" si="357"/>
        <v>44264</v>
      </c>
    </row>
    <row r="2876" spans="1:49">
      <c r="A2876" s="1077" t="s">
        <v>8628</v>
      </c>
      <c r="B2876" s="1077" t="s">
        <v>8531</v>
      </c>
      <c r="C2876" s="1077">
        <v>500</v>
      </c>
      <c r="D2876" s="1077">
        <v>1.7</v>
      </c>
      <c r="E2876" s="1077" t="s">
        <v>15089</v>
      </c>
      <c r="F2876" s="1077" t="s">
        <v>954</v>
      </c>
      <c r="G2876" s="1077">
        <v>2</v>
      </c>
      <c r="H2876" s="1077" t="s">
        <v>1660</v>
      </c>
      <c r="I2876" s="1077" t="s">
        <v>942</v>
      </c>
      <c r="J2876" s="1077">
        <v>1</v>
      </c>
      <c r="K2876" s="1077" t="s">
        <v>8629</v>
      </c>
      <c r="L2876" s="1077" t="s">
        <v>8533</v>
      </c>
      <c r="M2876" s="1077">
        <v>37.299999999999997</v>
      </c>
      <c r="N2876" s="1077" t="s">
        <v>945</v>
      </c>
      <c r="O2876" s="1077">
        <v>0.9325</v>
      </c>
      <c r="P2876" s="1077">
        <v>0.746</v>
      </c>
      <c r="Q2876" s="1077">
        <v>3</v>
      </c>
      <c r="R2876" s="1077">
        <v>27.5</v>
      </c>
      <c r="T2876" s="1077">
        <v>22.4</v>
      </c>
      <c r="U2876" s="1077">
        <v>5.5</v>
      </c>
      <c r="V2876" s="1077" t="s">
        <v>648</v>
      </c>
      <c r="W2876" s="1077">
        <v>130</v>
      </c>
      <c r="X2876" s="1077">
        <v>85</v>
      </c>
      <c r="Y2876" s="1077">
        <v>2.5</v>
      </c>
      <c r="Z2876" s="1077">
        <v>3.5</v>
      </c>
      <c r="AA2876" s="1077" t="s">
        <v>3141</v>
      </c>
      <c r="AH2876" s="1077" t="s">
        <v>1482</v>
      </c>
      <c r="AM2876" s="1078" t="s">
        <v>14660</v>
      </c>
      <c r="AN2876" s="1078" t="s">
        <v>14661</v>
      </c>
      <c r="AO2876" s="1078">
        <f t="shared" si="358"/>
        <v>500</v>
      </c>
      <c r="AP2876" s="1078">
        <f t="shared" si="359"/>
        <v>1.7</v>
      </c>
      <c r="AQ2876" s="1078" t="str">
        <f t="shared" si="360"/>
        <v>1-4-1S83°</v>
      </c>
      <c r="AR2876" s="1078" t="str">
        <f t="shared" si="361"/>
        <v>31</v>
      </c>
      <c r="AS2876" s="1078" t="str">
        <f t="shared" si="362"/>
        <v>180/180/OFF</v>
      </c>
      <c r="AT2876" s="1078" t="str">
        <f t="shared" si="363"/>
        <v>1-4-1S83°</v>
      </c>
      <c r="AV2876" s="1078" t="str">
        <f t="shared" si="356"/>
        <v>110.3.18</v>
      </c>
      <c r="AW2876" s="1344">
        <f t="shared" si="357"/>
        <v>44273</v>
      </c>
    </row>
    <row r="2877" spans="1:49">
      <c r="A2877" s="1077" t="s">
        <v>8630</v>
      </c>
      <c r="B2877" s="1077" t="s">
        <v>8631</v>
      </c>
      <c r="C2877" s="1077">
        <v>700</v>
      </c>
      <c r="D2877" s="1077">
        <v>1.75</v>
      </c>
      <c r="E2877" s="1077" t="s">
        <v>15894</v>
      </c>
      <c r="F2877" s="1077" t="s">
        <v>954</v>
      </c>
      <c r="G2877" s="1077">
        <v>5</v>
      </c>
      <c r="H2877" s="1077" t="s">
        <v>8632</v>
      </c>
      <c r="I2877" s="1077" t="s">
        <v>460</v>
      </c>
      <c r="J2877" s="1077">
        <v>2.5</v>
      </c>
      <c r="K2877" s="1077" t="s">
        <v>8633</v>
      </c>
      <c r="L2877" s="1077" t="s">
        <v>4029</v>
      </c>
      <c r="M2877" s="1077">
        <v>204</v>
      </c>
      <c r="N2877" s="1077" t="s">
        <v>945</v>
      </c>
      <c r="O2877" s="1077">
        <v>5.1000000000000005</v>
      </c>
      <c r="P2877" s="1077">
        <v>4.08</v>
      </c>
      <c r="Q2877" s="1077" t="s">
        <v>979</v>
      </c>
      <c r="R2877" s="1077">
        <v>19.5</v>
      </c>
      <c r="T2877" s="1077">
        <v>30</v>
      </c>
      <c r="U2877" s="1077">
        <v>4.2</v>
      </c>
      <c r="V2877" s="1077" t="s">
        <v>648</v>
      </c>
      <c r="W2877" s="1077">
        <v>110</v>
      </c>
      <c r="X2877" s="1077">
        <v>80</v>
      </c>
      <c r="Y2877" s="1077">
        <v>1.2</v>
      </c>
      <c r="Z2877" s="1077" t="s">
        <v>648</v>
      </c>
      <c r="AA2877" s="1077" t="s">
        <v>4111</v>
      </c>
      <c r="AB2877" s="1077" t="s">
        <v>2680</v>
      </c>
      <c r="AD2877" s="1077" t="s">
        <v>2680</v>
      </c>
      <c r="AH2877" s="1077" t="s">
        <v>622</v>
      </c>
      <c r="AM2877" s="1078" t="s">
        <v>14662</v>
      </c>
      <c r="AN2877" s="1078" t="s">
        <v>14663</v>
      </c>
      <c r="AO2877" s="1078">
        <f t="shared" si="358"/>
        <v>700</v>
      </c>
      <c r="AP2877" s="1078">
        <f t="shared" si="359"/>
        <v>1.75</v>
      </c>
      <c r="AQ2877" s="1078" t="str">
        <f t="shared" si="360"/>
        <v>1-4-1S83°Z+S</v>
      </c>
      <c r="AR2877" s="1078" t="str">
        <f t="shared" si="361"/>
        <v>31</v>
      </c>
      <c r="AS2877" s="1078" t="str">
        <f t="shared" si="362"/>
        <v>343/293/OFF</v>
      </c>
      <c r="AT2877" s="1078" t="str">
        <f t="shared" si="363"/>
        <v>1-4-1S83°Z+S</v>
      </c>
      <c r="AV2877" s="1078" t="str">
        <f t="shared" si="356"/>
        <v>109.2.19</v>
      </c>
      <c r="AW2877" s="1344">
        <f t="shared" si="357"/>
        <v>43880</v>
      </c>
    </row>
    <row r="2878" spans="1:49">
      <c r="A2878" s="1077" t="s">
        <v>8634</v>
      </c>
      <c r="B2878" s="1077" t="s">
        <v>8631</v>
      </c>
      <c r="C2878" s="1077">
        <v>600</v>
      </c>
      <c r="D2878" s="1077">
        <v>1.7549999999999999</v>
      </c>
      <c r="E2878" s="1077" t="s">
        <v>15109</v>
      </c>
      <c r="F2878" s="1077" t="s">
        <v>2520</v>
      </c>
      <c r="G2878" s="1077">
        <v>5</v>
      </c>
      <c r="H2878" s="1077" t="s">
        <v>8635</v>
      </c>
      <c r="I2878" s="1077" t="s">
        <v>460</v>
      </c>
      <c r="J2878" s="1077">
        <v>0.5</v>
      </c>
      <c r="K2878" s="1077" t="s">
        <v>8636</v>
      </c>
      <c r="L2878" s="1077" t="s">
        <v>4029</v>
      </c>
      <c r="M2878" s="1077">
        <v>207</v>
      </c>
      <c r="N2878" s="1077" t="s">
        <v>945</v>
      </c>
      <c r="O2878" s="1077">
        <v>5.1750000000000007</v>
      </c>
      <c r="P2878" s="1077">
        <v>4.1399999999999997</v>
      </c>
      <c r="Q2878" s="1077" t="s">
        <v>961</v>
      </c>
      <c r="R2878" s="1077">
        <v>20</v>
      </c>
      <c r="T2878" s="1077">
        <v>35</v>
      </c>
      <c r="U2878" s="1077">
        <v>3.1</v>
      </c>
      <c r="V2878" s="1077" t="s">
        <v>648</v>
      </c>
      <c r="W2878" s="1077">
        <v>40</v>
      </c>
      <c r="X2878" s="1077">
        <v>10</v>
      </c>
      <c r="Y2878" s="1077">
        <v>1.8</v>
      </c>
      <c r="Z2878" s="1077" t="s">
        <v>648</v>
      </c>
      <c r="AA2878" s="1077" t="s">
        <v>3727</v>
      </c>
      <c r="AH2878" s="1077" t="s">
        <v>650</v>
      </c>
      <c r="AM2878" s="1078" t="s">
        <v>14664</v>
      </c>
      <c r="AN2878" s="1078" t="s">
        <v>14665</v>
      </c>
      <c r="AO2878" s="1078">
        <f t="shared" si="358"/>
        <v>600</v>
      </c>
      <c r="AP2878" s="1078">
        <f t="shared" si="359"/>
        <v>1.7549999999999999</v>
      </c>
      <c r="AQ2878" s="1078" t="str">
        <f t="shared" si="360"/>
        <v>1-5-1S85°Z+S</v>
      </c>
      <c r="AR2878" s="1078" t="str">
        <f t="shared" si="361"/>
        <v>*</v>
      </c>
      <c r="AS2878" s="1078" t="str">
        <f t="shared" si="362"/>
        <v>197/140</v>
      </c>
      <c r="AT2878" s="1078" t="str">
        <f t="shared" si="363"/>
        <v>1-5-1S85°Z+S</v>
      </c>
      <c r="AU2878" s="1078" t="s">
        <v>15547</v>
      </c>
      <c r="AV2878" s="1078" t="str">
        <f t="shared" si="356"/>
        <v>110.9.9</v>
      </c>
      <c r="AW2878" s="1344">
        <f t="shared" si="357"/>
        <v>44448</v>
      </c>
    </row>
    <row r="2879" spans="1:49">
      <c r="A2879" s="1077" t="s">
        <v>8637</v>
      </c>
      <c r="B2879" s="1077" t="s">
        <v>654</v>
      </c>
      <c r="C2879" s="1077">
        <v>500</v>
      </c>
      <c r="D2879" s="1077">
        <v>1.6439999999999999</v>
      </c>
      <c r="E2879" s="1077">
        <v>102.5</v>
      </c>
      <c r="F2879" s="1077" t="s">
        <v>4070</v>
      </c>
      <c r="G2879" s="1077">
        <v>5.5</v>
      </c>
      <c r="H2879" s="1077" t="s">
        <v>8558</v>
      </c>
      <c r="I2879" s="1077" t="s">
        <v>471</v>
      </c>
      <c r="J2879" s="1077">
        <v>4.3</v>
      </c>
      <c r="K2879" s="1077" t="s">
        <v>8638</v>
      </c>
      <c r="L2879" s="1077" t="s">
        <v>8560</v>
      </c>
      <c r="M2879" s="1077">
        <v>427.4</v>
      </c>
      <c r="N2879" s="1077" t="s">
        <v>945</v>
      </c>
      <c r="O2879" s="1077">
        <v>10.685</v>
      </c>
      <c r="P2879" s="1077">
        <v>8.548</v>
      </c>
      <c r="Q2879" s="1077">
        <v>3.5</v>
      </c>
      <c r="R2879" s="1077">
        <v>19.600000000000001</v>
      </c>
      <c r="T2879" s="1077">
        <v>14.9</v>
      </c>
      <c r="U2879" s="1077">
        <v>4.2</v>
      </c>
      <c r="V2879" s="1077" t="s">
        <v>648</v>
      </c>
      <c r="W2879" s="1077">
        <v>120</v>
      </c>
      <c r="X2879" s="1077">
        <v>90</v>
      </c>
      <c r="Y2879" s="1077">
        <v>1</v>
      </c>
      <c r="Z2879" s="1077" t="s">
        <v>648</v>
      </c>
      <c r="AA2879" s="1077" t="s">
        <v>5587</v>
      </c>
      <c r="AB2879" s="1077" t="s">
        <v>2680</v>
      </c>
      <c r="AC2879" s="1077" t="s">
        <v>2680</v>
      </c>
      <c r="AD2879" s="1077" t="s">
        <v>2680</v>
      </c>
      <c r="AH2879" s="1077" t="s">
        <v>6606</v>
      </c>
      <c r="AM2879" s="1078" t="s">
        <v>14666</v>
      </c>
      <c r="AN2879" s="1078" t="s">
        <v>14667</v>
      </c>
      <c r="AO2879" s="1078">
        <f t="shared" si="358"/>
        <v>500</v>
      </c>
      <c r="AP2879" s="1078">
        <f t="shared" si="359"/>
        <v>1.6439999999999999</v>
      </c>
      <c r="AQ2879" s="1078">
        <f t="shared" si="360"/>
        <v>102.5</v>
      </c>
      <c r="AR2879" s="1078" t="str">
        <f t="shared" si="361"/>
        <v>15.5</v>
      </c>
      <c r="AS2879" s="1078" t="str">
        <f t="shared" si="362"/>
        <v>460/400/160</v>
      </c>
      <c r="AT2879" s="1078">
        <f t="shared" si="363"/>
        <v>102.5</v>
      </c>
      <c r="AV2879" s="1078" t="str">
        <f t="shared" si="356"/>
        <v>110.3.26</v>
      </c>
      <c r="AW2879" s="1344">
        <f t="shared" si="357"/>
        <v>44281</v>
      </c>
    </row>
    <row r="2880" spans="1:49">
      <c r="A2880" s="1077" t="s">
        <v>8639</v>
      </c>
      <c r="B2880" s="1077" t="s">
        <v>8414</v>
      </c>
      <c r="C2880" s="1077">
        <v>500</v>
      </c>
      <c r="D2880" s="1077">
        <v>1.7849999999999999</v>
      </c>
      <c r="E2880" s="1077" t="s">
        <v>15089</v>
      </c>
      <c r="F2880" s="1077" t="s">
        <v>954</v>
      </c>
      <c r="G2880" s="1077" t="s">
        <v>2084</v>
      </c>
      <c r="H2880" s="1077" t="s">
        <v>2540</v>
      </c>
      <c r="I2880" s="1077" t="s">
        <v>126</v>
      </c>
      <c r="J2880" s="1077">
        <v>1.3</v>
      </c>
      <c r="K2880" s="1077" t="s">
        <v>8640</v>
      </c>
      <c r="L2880" s="1077" t="s">
        <v>1987</v>
      </c>
      <c r="M2880" s="1077">
        <v>72.2</v>
      </c>
      <c r="N2880" s="1077" t="s">
        <v>945</v>
      </c>
      <c r="O2880" s="1077">
        <v>1.8050000000000002</v>
      </c>
      <c r="P2880" s="1077">
        <v>1.4440000000000002</v>
      </c>
      <c r="Q2880" s="1077" t="s">
        <v>1012</v>
      </c>
      <c r="R2880" s="1077">
        <v>21.5</v>
      </c>
      <c r="T2880" s="1077">
        <v>29.1</v>
      </c>
      <c r="U2880" s="1077">
        <v>3</v>
      </c>
      <c r="V2880" s="1077" t="s">
        <v>648</v>
      </c>
      <c r="W2880" s="1077">
        <v>130</v>
      </c>
      <c r="X2880" s="1077">
        <v>85</v>
      </c>
      <c r="Y2880" s="1077">
        <v>1.9</v>
      </c>
      <c r="Z2880" s="1077">
        <v>5.5</v>
      </c>
      <c r="AA2880" s="1077" t="s">
        <v>4199</v>
      </c>
      <c r="AH2880" s="1077" t="s">
        <v>1482</v>
      </c>
      <c r="AM2880" s="1078" t="s">
        <v>14668</v>
      </c>
      <c r="AN2880" s="1078" t="s">
        <v>14669</v>
      </c>
      <c r="AO2880" s="1078">
        <f t="shared" si="358"/>
        <v>500</v>
      </c>
      <c r="AP2880" s="1078">
        <f t="shared" si="359"/>
        <v>1.7849999999999999</v>
      </c>
      <c r="AQ2880" s="1078" t="str">
        <f t="shared" si="360"/>
        <v>1-4-1S83°</v>
      </c>
      <c r="AR2880" s="1078" t="str">
        <f t="shared" si="361"/>
        <v>31</v>
      </c>
      <c r="AS2880" s="1078" t="str">
        <f t="shared" si="362"/>
        <v>300/300/OFF</v>
      </c>
      <c r="AT2880" s="1078" t="str">
        <f t="shared" si="363"/>
        <v>1-4-1S83°</v>
      </c>
      <c r="AV2880" s="1078" t="str">
        <f t="shared" si="356"/>
        <v>110.5.11</v>
      </c>
      <c r="AW2880" s="1344">
        <f t="shared" si="357"/>
        <v>44327</v>
      </c>
    </row>
    <row r="2881" spans="1:49">
      <c r="A2881" s="1077" t="s">
        <v>8641</v>
      </c>
      <c r="B2881" s="1077" t="s">
        <v>8438</v>
      </c>
      <c r="C2881" s="1077">
        <v>600</v>
      </c>
      <c r="D2881" s="1077">
        <v>1.7350000000000001</v>
      </c>
      <c r="E2881" s="1077" t="s">
        <v>15094</v>
      </c>
      <c r="F2881" s="1077" t="s">
        <v>954</v>
      </c>
      <c r="G2881" s="1077">
        <v>5</v>
      </c>
      <c r="H2881" s="1077" t="s">
        <v>8642</v>
      </c>
      <c r="I2881" s="1077" t="s">
        <v>460</v>
      </c>
      <c r="J2881" s="1077">
        <v>1.7</v>
      </c>
      <c r="K2881" s="1077" t="s">
        <v>8643</v>
      </c>
      <c r="L2881" s="1077" t="s">
        <v>8571</v>
      </c>
      <c r="M2881" s="1077">
        <v>166.5</v>
      </c>
      <c r="N2881" s="1077" t="s">
        <v>945</v>
      </c>
      <c r="O2881" s="1077">
        <v>4.1625000000000005</v>
      </c>
      <c r="P2881" s="1077">
        <v>3.33</v>
      </c>
      <c r="Q2881" s="1077">
        <v>3</v>
      </c>
      <c r="R2881" s="1077">
        <v>23.8</v>
      </c>
      <c r="T2881" s="1077">
        <v>11.2</v>
      </c>
      <c r="U2881" s="1077">
        <v>3.5</v>
      </c>
      <c r="V2881" s="1077" t="s">
        <v>648</v>
      </c>
      <c r="W2881" s="1077">
        <v>105</v>
      </c>
      <c r="X2881" s="1077">
        <v>50</v>
      </c>
      <c r="Y2881" s="1077">
        <v>1.4</v>
      </c>
      <c r="Z2881" s="1077">
        <v>5</v>
      </c>
      <c r="AA2881" s="1077" t="s">
        <v>4195</v>
      </c>
      <c r="AH2881" s="1077" t="s">
        <v>884</v>
      </c>
      <c r="AM2881" s="1078" t="s">
        <v>14670</v>
      </c>
      <c r="AN2881" s="1078" t="s">
        <v>14671</v>
      </c>
      <c r="AO2881" s="1078">
        <f t="shared" si="358"/>
        <v>600</v>
      </c>
      <c r="AP2881" s="1078">
        <f t="shared" si="359"/>
        <v>1.7350000000000001</v>
      </c>
      <c r="AQ2881" s="1078" t="str">
        <f t="shared" si="360"/>
        <v>1-5-1S91°</v>
      </c>
      <c r="AR2881" s="1078" t="str">
        <f t="shared" si="361"/>
        <v>31</v>
      </c>
      <c r="AS2881" s="1078" t="str">
        <f t="shared" si="362"/>
        <v>315/315/160</v>
      </c>
      <c r="AT2881" s="1078" t="str">
        <f t="shared" si="363"/>
        <v>1-5-1S91°</v>
      </c>
      <c r="AV2881" s="1078" t="str">
        <f t="shared" si="356"/>
        <v>110.4.23</v>
      </c>
      <c r="AW2881" s="1344">
        <f t="shared" si="357"/>
        <v>44309</v>
      </c>
    </row>
    <row r="2882" spans="1:49">
      <c r="A2882" s="1077" t="s">
        <v>8644</v>
      </c>
      <c r="B2882" s="1077" t="s">
        <v>987</v>
      </c>
      <c r="C2882" s="1077">
        <v>700</v>
      </c>
      <c r="D2882" s="1077">
        <v>1.69</v>
      </c>
      <c r="E2882" s="1077" t="s">
        <v>15089</v>
      </c>
      <c r="F2882" s="1077" t="s">
        <v>1773</v>
      </c>
      <c r="G2882" s="1077" t="s">
        <v>1767</v>
      </c>
      <c r="H2882" s="1077" t="s">
        <v>2876</v>
      </c>
      <c r="I2882" s="1077" t="s">
        <v>126</v>
      </c>
      <c r="J2882" s="1077">
        <v>0.9</v>
      </c>
      <c r="K2882" s="1077" t="s">
        <v>8511</v>
      </c>
      <c r="L2882" s="1077" t="s">
        <v>8448</v>
      </c>
      <c r="M2882" s="1077">
        <v>86.5</v>
      </c>
      <c r="N2882" s="1077" t="s">
        <v>945</v>
      </c>
      <c r="O2882" s="1077">
        <v>2.1625000000000001</v>
      </c>
      <c r="P2882" s="1077">
        <v>1.73</v>
      </c>
      <c r="Q2882" s="1077">
        <v>4</v>
      </c>
      <c r="R2882" s="1077">
        <v>22.6</v>
      </c>
      <c r="T2882" s="1077">
        <v>23.2</v>
      </c>
      <c r="U2882" s="1077">
        <v>3.5</v>
      </c>
      <c r="V2882" s="1077" t="s">
        <v>648</v>
      </c>
      <c r="W2882" s="1077">
        <v>110</v>
      </c>
      <c r="X2882" s="1077">
        <v>75</v>
      </c>
      <c r="Y2882" s="1077">
        <v>1.8</v>
      </c>
      <c r="Z2882" s="1077">
        <v>5.5</v>
      </c>
      <c r="AA2882" s="1077" t="s">
        <v>3320</v>
      </c>
      <c r="AH2882" s="1077" t="s">
        <v>680</v>
      </c>
      <c r="AM2882" s="1078" t="s">
        <v>14672</v>
      </c>
      <c r="AN2882" s="1078" t="s">
        <v>14673</v>
      </c>
      <c r="AO2882" s="1078">
        <f t="shared" si="358"/>
        <v>700</v>
      </c>
      <c r="AP2882" s="1078">
        <f t="shared" si="359"/>
        <v>1.69</v>
      </c>
      <c r="AQ2882" s="1078" t="str">
        <f t="shared" si="360"/>
        <v>1-4-1S83°</v>
      </c>
      <c r="AR2882" s="1078" t="str">
        <f t="shared" si="361"/>
        <v>30.2</v>
      </c>
      <c r="AS2882" s="1078" t="str">
        <f t="shared" si="362"/>
        <v>290/290/OFF</v>
      </c>
      <c r="AT2882" s="1078" t="str">
        <f t="shared" si="363"/>
        <v>1-4-1S83°</v>
      </c>
      <c r="AV2882" s="1078" t="str">
        <f t="shared" ref="AV2882:AV2945" si="364">AA2882</f>
        <v>110.4.29</v>
      </c>
      <c r="AW2882" s="1344">
        <f t="shared" si="357"/>
        <v>44315</v>
      </c>
    </row>
    <row r="2883" spans="1:49">
      <c r="A2883" s="1077" t="s">
        <v>8645</v>
      </c>
      <c r="B2883" s="1077" t="s">
        <v>8553</v>
      </c>
      <c r="C2883" s="1077">
        <v>550</v>
      </c>
      <c r="D2883" s="1077">
        <v>1.675</v>
      </c>
      <c r="E2883" s="1077">
        <v>102.5</v>
      </c>
      <c r="F2883" s="1077" t="s">
        <v>4070</v>
      </c>
      <c r="G2883" s="1077">
        <v>5</v>
      </c>
      <c r="H2883" s="1077" t="s">
        <v>8646</v>
      </c>
      <c r="I2883" s="1077" t="s">
        <v>8540</v>
      </c>
      <c r="J2883" s="1077">
        <v>3.2</v>
      </c>
      <c r="K2883" s="1077" t="s">
        <v>8647</v>
      </c>
      <c r="L2883" s="1077" t="s">
        <v>8648</v>
      </c>
      <c r="M2883" s="1077">
        <v>610</v>
      </c>
      <c r="N2883" s="1077" t="s">
        <v>945</v>
      </c>
      <c r="O2883" s="1077">
        <v>15.25</v>
      </c>
      <c r="P2883" s="1077">
        <v>12.200000000000001</v>
      </c>
      <c r="Q2883" s="1077" t="s">
        <v>2422</v>
      </c>
      <c r="R2883" s="1077">
        <v>22</v>
      </c>
      <c r="T2883" s="1077">
        <v>10.5</v>
      </c>
      <c r="U2883" s="1077">
        <v>4.0999999999999996</v>
      </c>
      <c r="V2883" s="1077" t="s">
        <v>648</v>
      </c>
      <c r="W2883" s="1077">
        <v>80</v>
      </c>
      <c r="X2883" s="1077">
        <v>55</v>
      </c>
      <c r="Y2883" s="1077">
        <v>1</v>
      </c>
      <c r="Z2883" s="1077" t="s">
        <v>648</v>
      </c>
      <c r="AA2883" s="1077" t="s">
        <v>1399</v>
      </c>
      <c r="AH2883" s="1077" t="s">
        <v>887</v>
      </c>
      <c r="AM2883" s="1078" t="s">
        <v>14674</v>
      </c>
      <c r="AN2883" s="1078" t="s">
        <v>14014</v>
      </c>
      <c r="AO2883" s="1078">
        <f t="shared" si="358"/>
        <v>550</v>
      </c>
      <c r="AP2883" s="1078">
        <f t="shared" si="359"/>
        <v>1.675</v>
      </c>
      <c r="AQ2883" s="1078">
        <f t="shared" si="360"/>
        <v>102.5</v>
      </c>
      <c r="AR2883" s="1078" t="str">
        <f t="shared" si="361"/>
        <v>15.5</v>
      </c>
      <c r="AS2883" s="1078" t="str">
        <f t="shared" si="362"/>
        <v>500/470/160</v>
      </c>
      <c r="AT2883" s="1078">
        <f t="shared" si="363"/>
        <v>102.5</v>
      </c>
      <c r="AV2883" s="1078" t="str">
        <f t="shared" si="364"/>
        <v>110.5.6</v>
      </c>
      <c r="AW2883" s="1344">
        <f t="shared" ref="AW2883:AW2946" si="365">DATE(VALUE(LEFT(AV2883,FIND(".",AV2883)-1))+1911,
       VALUE(MID(AV2883,FIND(".",AV2883)+1,FIND(".",AV2883,FIND(".",AV2883)+1)-FIND(".",AV2883)-1)),
       VALUE(RIGHT(AV2883,LEN(AV2883)-FIND("~",SUBSTITUTE(AV2883,".","~",2)))))</f>
        <v>44322</v>
      </c>
    </row>
    <row r="2884" spans="1:49">
      <c r="A2884" s="1077" t="s">
        <v>8649</v>
      </c>
      <c r="B2884" s="1077" t="s">
        <v>8513</v>
      </c>
      <c r="C2884" s="1077">
        <v>600</v>
      </c>
      <c r="D2884" s="1077">
        <v>1.73</v>
      </c>
      <c r="E2884" s="1077" t="s">
        <v>15122</v>
      </c>
      <c r="F2884" s="1077" t="s">
        <v>975</v>
      </c>
      <c r="G2884" s="1077">
        <v>5</v>
      </c>
      <c r="H2884" s="1077" t="s">
        <v>8650</v>
      </c>
      <c r="I2884" s="1077" t="s">
        <v>126</v>
      </c>
      <c r="J2884" s="1077">
        <v>1.7</v>
      </c>
      <c r="K2884" s="1077" t="s">
        <v>8651</v>
      </c>
      <c r="L2884" s="1077" t="s">
        <v>8571</v>
      </c>
      <c r="M2884" s="1077">
        <v>326.39999999999998</v>
      </c>
      <c r="N2884" s="1077" t="s">
        <v>945</v>
      </c>
      <c r="O2884" s="1077">
        <v>8.16</v>
      </c>
      <c r="P2884" s="1077">
        <v>6.5279999999999996</v>
      </c>
      <c r="Q2884" s="1077">
        <v>3</v>
      </c>
      <c r="R2884" s="1077">
        <v>21</v>
      </c>
      <c r="T2884" s="1077">
        <v>14.4</v>
      </c>
      <c r="U2884" s="1077">
        <v>3.6</v>
      </c>
      <c r="V2884" s="1077" t="s">
        <v>648</v>
      </c>
      <c r="W2884" s="1077">
        <v>50</v>
      </c>
      <c r="X2884" s="1077">
        <v>10</v>
      </c>
      <c r="Y2884" s="1077">
        <v>1</v>
      </c>
      <c r="Z2884" s="1077" t="s">
        <v>648</v>
      </c>
      <c r="AA2884" s="1077" t="s">
        <v>6178</v>
      </c>
      <c r="AH2884" s="1077" t="s">
        <v>482</v>
      </c>
      <c r="AM2884" s="1078" t="s">
        <v>14675</v>
      </c>
      <c r="AN2884" s="1078" t="s">
        <v>14676</v>
      </c>
      <c r="AO2884" s="1078">
        <f t="shared" si="358"/>
        <v>600</v>
      </c>
      <c r="AP2884" s="1078">
        <f t="shared" si="359"/>
        <v>1.73</v>
      </c>
      <c r="AQ2884" s="1078" t="str">
        <f t="shared" si="360"/>
        <v>1-5-1S91°Z+S</v>
      </c>
      <c r="AR2884" s="1078" t="str">
        <f t="shared" si="361"/>
        <v>31.5</v>
      </c>
      <c r="AS2884" s="1078" t="str">
        <f t="shared" si="362"/>
        <v>325/325/160</v>
      </c>
      <c r="AT2884" s="1078" t="str">
        <f t="shared" si="363"/>
        <v>1-5-1S91°Z+S</v>
      </c>
      <c r="AU2884" s="1078" t="s">
        <v>15547</v>
      </c>
      <c r="AV2884" s="1078" t="str">
        <f t="shared" si="364"/>
        <v>110.4.27</v>
      </c>
      <c r="AW2884" s="1344">
        <f t="shared" si="365"/>
        <v>44313</v>
      </c>
    </row>
    <row r="2885" spans="1:49">
      <c r="A2885" s="1077" t="s">
        <v>8652</v>
      </c>
      <c r="B2885" s="1077" t="s">
        <v>8410</v>
      </c>
      <c r="C2885" s="1077">
        <v>500</v>
      </c>
      <c r="D2885" s="1077">
        <v>1.635</v>
      </c>
      <c r="E2885" s="1077" t="s">
        <v>15094</v>
      </c>
      <c r="F2885" s="1077" t="s">
        <v>984</v>
      </c>
      <c r="G2885" s="1077">
        <v>5</v>
      </c>
      <c r="H2885" s="1077" t="s">
        <v>8653</v>
      </c>
      <c r="I2885" s="1077" t="s">
        <v>126</v>
      </c>
      <c r="J2885" s="1077">
        <v>0.8</v>
      </c>
      <c r="K2885" s="1077" t="s">
        <v>8654</v>
      </c>
      <c r="L2885" s="1077" t="s">
        <v>5253</v>
      </c>
      <c r="M2885" s="1077">
        <v>161.69999999999999</v>
      </c>
      <c r="N2885" s="1077" t="s">
        <v>945</v>
      </c>
      <c r="O2885" s="1077">
        <v>4.0424999999999995</v>
      </c>
      <c r="P2885" s="1077">
        <v>3.234</v>
      </c>
      <c r="Q2885" s="1077">
        <v>3.5</v>
      </c>
      <c r="R2885" s="1077">
        <v>30.8</v>
      </c>
      <c r="T2885" s="1077">
        <v>16.8</v>
      </c>
      <c r="U2885" s="1077">
        <v>2.6</v>
      </c>
      <c r="V2885" s="1077" t="s">
        <v>648</v>
      </c>
      <c r="W2885" s="1077">
        <v>60</v>
      </c>
      <c r="X2885" s="1077">
        <v>10</v>
      </c>
      <c r="Y2885" s="1077">
        <v>1.8</v>
      </c>
      <c r="Z2885" s="1077">
        <v>6</v>
      </c>
      <c r="AA2885" s="1077" t="s">
        <v>3323</v>
      </c>
      <c r="AH2885" s="1077" t="s">
        <v>618</v>
      </c>
      <c r="AM2885" s="1078" t="s">
        <v>14677</v>
      </c>
      <c r="AN2885" s="1078" t="s">
        <v>14678</v>
      </c>
      <c r="AO2885" s="1078">
        <f t="shared" si="358"/>
        <v>500</v>
      </c>
      <c r="AP2885" s="1078">
        <f t="shared" si="359"/>
        <v>1.635</v>
      </c>
      <c r="AQ2885" s="1078" t="str">
        <f t="shared" si="360"/>
        <v>1-5-1S91°</v>
      </c>
      <c r="AR2885" s="1078" t="str">
        <f t="shared" si="361"/>
        <v>30</v>
      </c>
      <c r="AS2885" s="1078" t="str">
        <f t="shared" si="362"/>
        <v>295/295/150</v>
      </c>
      <c r="AT2885" s="1078" t="str">
        <f t="shared" si="363"/>
        <v>1-5-1S91°</v>
      </c>
      <c r="AV2885" s="1078" t="str">
        <f t="shared" si="364"/>
        <v>110.5.4</v>
      </c>
      <c r="AW2885" s="1344">
        <f t="shared" si="365"/>
        <v>44320</v>
      </c>
    </row>
    <row r="2886" spans="1:49">
      <c r="A2886" s="1077" t="s">
        <v>8655</v>
      </c>
      <c r="B2886" s="1077" t="s">
        <v>8466</v>
      </c>
      <c r="C2886" s="1077">
        <v>550</v>
      </c>
      <c r="D2886" s="1077">
        <v>1.73</v>
      </c>
      <c r="E2886" s="1077" t="s">
        <v>15116</v>
      </c>
      <c r="F2886" s="1077" t="s">
        <v>1897</v>
      </c>
      <c r="G2886" s="1077">
        <v>4</v>
      </c>
      <c r="H2886" s="1077" t="s">
        <v>8562</v>
      </c>
      <c r="I2886" s="1077" t="s">
        <v>126</v>
      </c>
      <c r="J2886" s="1077">
        <v>1.7</v>
      </c>
      <c r="K2886" s="1077" t="s">
        <v>8656</v>
      </c>
      <c r="L2886" s="1077" t="s">
        <v>4064</v>
      </c>
      <c r="M2886" s="1077">
        <v>202</v>
      </c>
      <c r="N2886" s="1077" t="s">
        <v>945</v>
      </c>
      <c r="O2886" s="1077">
        <v>5.0500000000000007</v>
      </c>
      <c r="P2886" s="1077">
        <v>4.04</v>
      </c>
      <c r="Q2886" s="1077">
        <v>4</v>
      </c>
      <c r="R2886" s="1077">
        <v>18.5</v>
      </c>
      <c r="T2886" s="1077">
        <v>11</v>
      </c>
      <c r="U2886" s="1077">
        <v>3.7</v>
      </c>
      <c r="V2886" s="1077" t="s">
        <v>648</v>
      </c>
      <c r="W2886" s="1077">
        <v>115</v>
      </c>
      <c r="X2886" s="1077">
        <v>70</v>
      </c>
      <c r="Y2886" s="1077">
        <v>1.6</v>
      </c>
      <c r="Z2886" s="1077" t="s">
        <v>648</v>
      </c>
      <c r="AA2886" s="1077" t="s">
        <v>6282</v>
      </c>
      <c r="AH2886" s="1077" t="s">
        <v>875</v>
      </c>
      <c r="AM2886" s="1078" t="s">
        <v>14679</v>
      </c>
      <c r="AN2886" s="1078" t="s">
        <v>14680</v>
      </c>
      <c r="AO2886" s="1078">
        <f t="shared" si="358"/>
        <v>550</v>
      </c>
      <c r="AP2886" s="1078">
        <f t="shared" si="359"/>
        <v>1.73</v>
      </c>
      <c r="AQ2886" s="1078" t="str">
        <f t="shared" si="360"/>
        <v>1-5-1S83°Z+S</v>
      </c>
      <c r="AR2886" s="1078" t="str">
        <f t="shared" si="361"/>
        <v>30.8</v>
      </c>
      <c r="AS2886" s="1078" t="str">
        <f t="shared" si="362"/>
        <v>245/245/145</v>
      </c>
      <c r="AT2886" s="1078" t="str">
        <f t="shared" si="363"/>
        <v>1-5-1S83°Z+S</v>
      </c>
      <c r="AU2886" s="1078" t="s">
        <v>15547</v>
      </c>
      <c r="AV2886" s="1078" t="str">
        <f t="shared" si="364"/>
        <v>110.5.3</v>
      </c>
      <c r="AW2886" s="1344">
        <f t="shared" si="365"/>
        <v>44319</v>
      </c>
    </row>
    <row r="2887" spans="1:49">
      <c r="A2887" s="1077" t="s">
        <v>8657</v>
      </c>
      <c r="B2887" s="1077" t="s">
        <v>654</v>
      </c>
      <c r="C2887" s="1077">
        <v>500</v>
      </c>
      <c r="D2887" s="1077">
        <v>1.66</v>
      </c>
      <c r="E2887" s="1077">
        <v>102.5</v>
      </c>
      <c r="F2887" s="1077" t="s">
        <v>4070</v>
      </c>
      <c r="G2887" s="1077">
        <v>5.5</v>
      </c>
      <c r="H2887" s="1077" t="s">
        <v>8558</v>
      </c>
      <c r="I2887" s="1077" t="s">
        <v>643</v>
      </c>
      <c r="J2887" s="1077">
        <v>3.4</v>
      </c>
      <c r="K2887" s="1077" t="s">
        <v>8658</v>
      </c>
      <c r="L2887" s="1077" t="s">
        <v>8560</v>
      </c>
      <c r="M2887" s="1077">
        <v>427.4</v>
      </c>
      <c r="N2887" s="1077" t="s">
        <v>945</v>
      </c>
      <c r="O2887" s="1077">
        <v>10.685</v>
      </c>
      <c r="P2887" s="1077">
        <v>8.548</v>
      </c>
      <c r="Q2887" s="1077">
        <v>3.5</v>
      </c>
      <c r="R2887" s="1077">
        <v>19.600000000000001</v>
      </c>
      <c r="T2887" s="1077">
        <v>14.9</v>
      </c>
      <c r="U2887" s="1077">
        <v>4.2</v>
      </c>
      <c r="V2887" s="1077" t="s">
        <v>648</v>
      </c>
      <c r="W2887" s="1077">
        <v>120</v>
      </c>
      <c r="X2887" s="1077">
        <v>90</v>
      </c>
      <c r="Y2887" s="1077">
        <v>1</v>
      </c>
      <c r="Z2887" s="1077" t="s">
        <v>648</v>
      </c>
      <c r="AA2887" s="1077" t="s">
        <v>8659</v>
      </c>
      <c r="AB2887" s="1077" t="s">
        <v>2680</v>
      </c>
      <c r="AC2887" s="1077" t="s">
        <v>2680</v>
      </c>
      <c r="AD2887" s="1077" t="s">
        <v>2680</v>
      </c>
      <c r="AH2887" s="1077" t="s">
        <v>723</v>
      </c>
      <c r="AM2887" s="1078" t="s">
        <v>14681</v>
      </c>
      <c r="AN2887" s="1078" t="s">
        <v>14682</v>
      </c>
      <c r="AO2887" s="1078">
        <f t="shared" si="358"/>
        <v>500</v>
      </c>
      <c r="AP2887" s="1078">
        <f t="shared" si="359"/>
        <v>1.66</v>
      </c>
      <c r="AQ2887" s="1078">
        <f t="shared" si="360"/>
        <v>102.5</v>
      </c>
      <c r="AR2887" s="1078" t="str">
        <f t="shared" si="361"/>
        <v>15.5</v>
      </c>
      <c r="AS2887" s="1078" t="str">
        <f t="shared" si="362"/>
        <v>460/400/160</v>
      </c>
      <c r="AT2887" s="1078">
        <f t="shared" si="363"/>
        <v>102.5</v>
      </c>
      <c r="AV2887" s="1078" t="str">
        <f t="shared" si="364"/>
        <v>110.5.14</v>
      </c>
      <c r="AW2887" s="1344">
        <f t="shared" si="365"/>
        <v>44330</v>
      </c>
    </row>
    <row r="2888" spans="1:49">
      <c r="A2888" s="1077" t="s">
        <v>8660</v>
      </c>
      <c r="B2888" s="1077" t="s">
        <v>8414</v>
      </c>
      <c r="C2888" s="1077">
        <v>500</v>
      </c>
      <c r="D2888" s="1077">
        <v>1.7849999999999999</v>
      </c>
      <c r="E2888" s="1077" t="s">
        <v>15089</v>
      </c>
      <c r="F2888" s="1077" t="s">
        <v>954</v>
      </c>
      <c r="G2888" s="1077" t="s">
        <v>2084</v>
      </c>
      <c r="H2888" s="1077" t="s">
        <v>2540</v>
      </c>
      <c r="I2888" s="1077" t="s">
        <v>126</v>
      </c>
      <c r="J2888" s="1077">
        <v>1.3</v>
      </c>
      <c r="K2888" s="1077" t="s">
        <v>8640</v>
      </c>
      <c r="L2888" s="1077" t="s">
        <v>1987</v>
      </c>
      <c r="M2888" s="1077">
        <v>72.2</v>
      </c>
      <c r="N2888" s="1077" t="s">
        <v>945</v>
      </c>
      <c r="O2888" s="1077">
        <v>1.8050000000000002</v>
      </c>
      <c r="P2888" s="1077">
        <v>1.4440000000000002</v>
      </c>
      <c r="Q2888" s="1077" t="s">
        <v>1012</v>
      </c>
      <c r="R2888" s="1077">
        <v>21.5</v>
      </c>
      <c r="T2888" s="1077">
        <v>29.1</v>
      </c>
      <c r="U2888" s="1077">
        <v>3</v>
      </c>
      <c r="V2888" s="1077" t="s">
        <v>648</v>
      </c>
      <c r="W2888" s="1077">
        <v>130</v>
      </c>
      <c r="X2888" s="1077">
        <v>85</v>
      </c>
      <c r="Y2888" s="1077">
        <v>1.9</v>
      </c>
      <c r="Z2888" s="1077">
        <v>5.5</v>
      </c>
      <c r="AA2888" s="1077" t="s">
        <v>4199</v>
      </c>
      <c r="AH2888" s="1077" t="s">
        <v>1482</v>
      </c>
      <c r="AM2888" s="1078" t="s">
        <v>14683</v>
      </c>
      <c r="AN2888" s="1078" t="s">
        <v>14684</v>
      </c>
      <c r="AO2888" s="1078">
        <f t="shared" si="358"/>
        <v>500</v>
      </c>
      <c r="AP2888" s="1078">
        <f t="shared" si="359"/>
        <v>1.7849999999999999</v>
      </c>
      <c r="AQ2888" s="1078" t="str">
        <f t="shared" si="360"/>
        <v>1-4-1S83°</v>
      </c>
      <c r="AR2888" s="1078" t="str">
        <f t="shared" si="361"/>
        <v>31</v>
      </c>
      <c r="AS2888" s="1078" t="str">
        <f t="shared" si="362"/>
        <v>300/300/OFF</v>
      </c>
      <c r="AT2888" s="1078" t="str">
        <f t="shared" si="363"/>
        <v>1-4-1S83°</v>
      </c>
      <c r="AV2888" s="1078" t="str">
        <f t="shared" si="364"/>
        <v>110.5.11</v>
      </c>
      <c r="AW2888" s="1344">
        <f t="shared" si="365"/>
        <v>44327</v>
      </c>
    </row>
    <row r="2889" spans="1:49">
      <c r="A2889" s="1077" t="s">
        <v>8661</v>
      </c>
      <c r="B2889" s="1077" t="s">
        <v>8662</v>
      </c>
      <c r="C2889" s="1077">
        <v>450</v>
      </c>
      <c r="D2889" s="1077">
        <v>1.83</v>
      </c>
      <c r="E2889" s="1077" t="s">
        <v>15089</v>
      </c>
      <c r="F2889" s="1077" t="s">
        <v>984</v>
      </c>
      <c r="G2889" s="1077">
        <v>2</v>
      </c>
      <c r="H2889" s="1077" t="s">
        <v>1155</v>
      </c>
      <c r="I2889" s="1077" t="s">
        <v>126</v>
      </c>
      <c r="J2889" s="1077">
        <v>1.1000000000000001</v>
      </c>
      <c r="K2889" s="1077" t="s">
        <v>8663</v>
      </c>
      <c r="L2889" s="1077" t="s">
        <v>8664</v>
      </c>
      <c r="M2889" s="1077">
        <v>41.5</v>
      </c>
      <c r="N2889" s="1077" t="s">
        <v>945</v>
      </c>
      <c r="O2889" s="1077">
        <v>1.0375000000000001</v>
      </c>
      <c r="P2889" s="1077">
        <v>0.83000000000000007</v>
      </c>
      <c r="Q2889" s="1077">
        <v>3</v>
      </c>
      <c r="R2889" s="1077">
        <v>23</v>
      </c>
      <c r="T2889" s="1077">
        <v>28</v>
      </c>
      <c r="U2889" s="1077">
        <v>3</v>
      </c>
      <c r="V2889" s="1077" t="s">
        <v>648</v>
      </c>
      <c r="W2889" s="1077">
        <v>110</v>
      </c>
      <c r="X2889" s="1077">
        <v>70</v>
      </c>
      <c r="Y2889" s="1077">
        <v>3</v>
      </c>
      <c r="Z2889" s="1077">
        <v>4.5</v>
      </c>
      <c r="AA2889" s="1077" t="s">
        <v>5160</v>
      </c>
      <c r="AH2889" s="1077" t="s">
        <v>803</v>
      </c>
      <c r="AM2889" s="1078" t="s">
        <v>14685</v>
      </c>
      <c r="AN2889" s="1078" t="s">
        <v>14686</v>
      </c>
      <c r="AO2889" s="1078">
        <f t="shared" si="358"/>
        <v>450</v>
      </c>
      <c r="AP2889" s="1078">
        <f t="shared" si="359"/>
        <v>1.83</v>
      </c>
      <c r="AQ2889" s="1078" t="str">
        <f t="shared" si="360"/>
        <v>1-4-1S83°</v>
      </c>
      <c r="AR2889" s="1078" t="str">
        <f t="shared" si="361"/>
        <v>30</v>
      </c>
      <c r="AS2889" s="1078" t="str">
        <f t="shared" si="362"/>
        <v>215/215/OFF</v>
      </c>
      <c r="AT2889" s="1078" t="str">
        <f t="shared" si="363"/>
        <v>1-4-1S83°</v>
      </c>
      <c r="AV2889" s="1078" t="str">
        <f t="shared" si="364"/>
        <v>110.5.21</v>
      </c>
      <c r="AW2889" s="1344">
        <f t="shared" si="365"/>
        <v>44337</v>
      </c>
    </row>
    <row r="2890" spans="1:49">
      <c r="A2890" s="1077" t="s">
        <v>8665</v>
      </c>
      <c r="B2890" s="1077" t="s">
        <v>8611</v>
      </c>
      <c r="C2890" s="1077">
        <v>700</v>
      </c>
      <c r="D2890" s="1077">
        <v>1.82</v>
      </c>
      <c r="E2890" s="1077" t="s">
        <v>15122</v>
      </c>
      <c r="F2890" s="1077" t="s">
        <v>984</v>
      </c>
      <c r="G2890" s="1077">
        <v>4</v>
      </c>
      <c r="H2890" s="1077" t="s">
        <v>8608</v>
      </c>
      <c r="I2890" s="1077" t="s">
        <v>460</v>
      </c>
      <c r="J2890" s="1077">
        <v>2.2999999999999998</v>
      </c>
      <c r="K2890" s="1077" t="s">
        <v>8666</v>
      </c>
      <c r="L2890" s="1077" t="s">
        <v>4151</v>
      </c>
      <c r="M2890" s="1077">
        <v>196</v>
      </c>
      <c r="N2890" s="1077" t="s">
        <v>945</v>
      </c>
      <c r="O2890" s="1077">
        <v>4.9000000000000004</v>
      </c>
      <c r="P2890" s="1077">
        <v>3.92</v>
      </c>
      <c r="Q2890" s="1077">
        <v>3</v>
      </c>
      <c r="R2890" s="1077">
        <v>28</v>
      </c>
      <c r="T2890" s="1077">
        <v>15.5</v>
      </c>
      <c r="U2890" s="1077">
        <v>5</v>
      </c>
      <c r="V2890" s="1077" t="s">
        <v>648</v>
      </c>
      <c r="W2890" s="1077">
        <v>130</v>
      </c>
      <c r="X2890" s="1077">
        <v>80</v>
      </c>
      <c r="Y2890" s="1077">
        <v>1.5</v>
      </c>
      <c r="Z2890" s="1077" t="s">
        <v>648</v>
      </c>
      <c r="AA2890" s="1077" t="s">
        <v>6201</v>
      </c>
      <c r="AH2890" s="1077" t="s">
        <v>680</v>
      </c>
      <c r="AM2890" s="1078" t="s">
        <v>14687</v>
      </c>
      <c r="AN2890" s="1078" t="s">
        <v>14688</v>
      </c>
      <c r="AO2890" s="1078">
        <f t="shared" si="358"/>
        <v>700</v>
      </c>
      <c r="AP2890" s="1078">
        <f t="shared" si="359"/>
        <v>1.82</v>
      </c>
      <c r="AQ2890" s="1078" t="str">
        <f t="shared" si="360"/>
        <v>1-5-1S91°Z+S</v>
      </c>
      <c r="AR2890" s="1078" t="str">
        <f t="shared" si="361"/>
        <v>30</v>
      </c>
      <c r="AS2890" s="1078" t="str">
        <f t="shared" si="362"/>
        <v>281/281/155</v>
      </c>
      <c r="AT2890" s="1078" t="str">
        <f t="shared" si="363"/>
        <v>1-5-1S91°Z+S</v>
      </c>
      <c r="AU2890" s="1078" t="s">
        <v>15547</v>
      </c>
      <c r="AV2890" s="1078" t="str">
        <f t="shared" si="364"/>
        <v>110.5.28</v>
      </c>
      <c r="AW2890" s="1344">
        <f t="shared" si="365"/>
        <v>44344</v>
      </c>
    </row>
    <row r="2891" spans="1:49">
      <c r="A2891" s="1077" t="s">
        <v>8667</v>
      </c>
      <c r="B2891" s="1077" t="s">
        <v>8539</v>
      </c>
      <c r="C2891" s="1077">
        <v>550</v>
      </c>
      <c r="D2891" s="1077">
        <v>1.714</v>
      </c>
      <c r="E2891" s="1077">
        <v>102.5</v>
      </c>
      <c r="F2891" s="1077" t="s">
        <v>648</v>
      </c>
      <c r="G2891" s="1077">
        <v>5</v>
      </c>
      <c r="H2891" s="1077" t="s">
        <v>8668</v>
      </c>
      <c r="I2891" s="1077" t="s">
        <v>8540</v>
      </c>
      <c r="J2891" s="1077">
        <v>3.3</v>
      </c>
      <c r="K2891" s="1077" t="s">
        <v>8669</v>
      </c>
      <c r="L2891" s="1077" t="s">
        <v>8542</v>
      </c>
      <c r="M2891" s="1077">
        <v>607.6</v>
      </c>
      <c r="N2891" s="1077" t="s">
        <v>945</v>
      </c>
      <c r="O2891" s="1077">
        <v>15.190000000000001</v>
      </c>
      <c r="P2891" s="1077">
        <v>12.152000000000001</v>
      </c>
      <c r="Q2891" s="1077">
        <v>3</v>
      </c>
      <c r="R2891" s="1077">
        <v>24</v>
      </c>
      <c r="T2891" s="1077">
        <v>5.8</v>
      </c>
      <c r="U2891" s="1077">
        <v>6.1</v>
      </c>
      <c r="V2891" s="1077" t="s">
        <v>648</v>
      </c>
      <c r="W2891" s="1077">
        <v>80</v>
      </c>
      <c r="X2891" s="1077">
        <v>90</v>
      </c>
      <c r="Y2891" s="1077">
        <v>0.9</v>
      </c>
      <c r="Z2891" s="1077" t="s">
        <v>648</v>
      </c>
      <c r="AA2891" s="1077" t="s">
        <v>3542</v>
      </c>
      <c r="AH2891" s="1077" t="s">
        <v>2384</v>
      </c>
      <c r="AM2891" s="1078" t="s">
        <v>14689</v>
      </c>
      <c r="AN2891" s="1078" t="s">
        <v>14690</v>
      </c>
      <c r="AO2891" s="1078">
        <f t="shared" ref="AO2891:AO2954" si="366">C2891</f>
        <v>550</v>
      </c>
      <c r="AP2891" s="1078">
        <f t="shared" ref="AP2891:AP2954" si="367">D2891</f>
        <v>1.714</v>
      </c>
      <c r="AQ2891" s="1078">
        <f t="shared" ref="AQ2891:AQ2954" si="368">E2891</f>
        <v>102.5</v>
      </c>
      <c r="AR2891" s="1078" t="str">
        <f t="shared" ref="AR2891:AR2954" si="369">F2891</f>
        <v>NA</v>
      </c>
      <c r="AS2891" s="1078" t="str">
        <f t="shared" ref="AS2891:AS2954" si="370">H2891</f>
        <v>470/430/OFF</v>
      </c>
      <c r="AT2891" s="1078">
        <f t="shared" ref="AT2891:AT2954" si="371">E2891</f>
        <v>102.5</v>
      </c>
      <c r="AV2891" s="1078" t="str">
        <f t="shared" si="364"/>
        <v>110.6.17</v>
      </c>
      <c r="AW2891" s="1344">
        <f t="shared" si="365"/>
        <v>44364</v>
      </c>
    </row>
    <row r="2892" spans="1:49">
      <c r="A2892" s="1077" t="s">
        <v>8670</v>
      </c>
      <c r="B2892" s="1077" t="s">
        <v>8671</v>
      </c>
      <c r="C2892" s="1077">
        <v>500</v>
      </c>
      <c r="D2892" s="1077">
        <v>1.74</v>
      </c>
      <c r="E2892" s="1077" t="s">
        <v>15089</v>
      </c>
      <c r="F2892" s="1077" t="s">
        <v>954</v>
      </c>
      <c r="G2892" s="1077" t="s">
        <v>1001</v>
      </c>
      <c r="H2892" s="1077" t="s">
        <v>1290</v>
      </c>
      <c r="I2892" s="1077" t="s">
        <v>126</v>
      </c>
      <c r="J2892" s="1077">
        <v>1.4</v>
      </c>
      <c r="K2892" s="1077" t="s">
        <v>8672</v>
      </c>
      <c r="L2892" s="1077" t="s">
        <v>8673</v>
      </c>
      <c r="M2892" s="1077">
        <v>72</v>
      </c>
      <c r="N2892" s="1077" t="s">
        <v>945</v>
      </c>
      <c r="O2892" s="1077">
        <v>1.8</v>
      </c>
      <c r="P2892" s="1077">
        <v>1.44</v>
      </c>
      <c r="Q2892" s="1077" t="s">
        <v>1369</v>
      </c>
      <c r="R2892" s="1077">
        <v>21</v>
      </c>
      <c r="T2892" s="1077">
        <v>21.5</v>
      </c>
      <c r="U2892" s="1077">
        <v>3.5</v>
      </c>
      <c r="V2892" s="1077" t="s">
        <v>648</v>
      </c>
      <c r="W2892" s="1077">
        <v>130</v>
      </c>
      <c r="X2892" s="1077">
        <v>85</v>
      </c>
      <c r="Y2892" s="1077">
        <v>1.8</v>
      </c>
      <c r="Z2892" s="1077" t="s">
        <v>8674</v>
      </c>
      <c r="AA2892" s="1077" t="s">
        <v>3546</v>
      </c>
      <c r="AH2892" s="1077" t="s">
        <v>1486</v>
      </c>
      <c r="AM2892" s="1078" t="s">
        <v>14691</v>
      </c>
      <c r="AN2892" s="1078" t="s">
        <v>14692</v>
      </c>
      <c r="AO2892" s="1078">
        <f t="shared" si="366"/>
        <v>500</v>
      </c>
      <c r="AP2892" s="1078">
        <f t="shared" si="367"/>
        <v>1.74</v>
      </c>
      <c r="AQ2892" s="1078" t="str">
        <f t="shared" si="368"/>
        <v>1-4-1S83°</v>
      </c>
      <c r="AR2892" s="1078" t="str">
        <f t="shared" si="369"/>
        <v>31</v>
      </c>
      <c r="AS2892" s="1078" t="str">
        <f t="shared" si="370"/>
        <v>220/220/OFF</v>
      </c>
      <c r="AT2892" s="1078" t="str">
        <f t="shared" si="371"/>
        <v>1-4-1S83°</v>
      </c>
      <c r="AV2892" s="1078" t="str">
        <f t="shared" si="364"/>
        <v>110.6.22</v>
      </c>
      <c r="AW2892" s="1344">
        <f t="shared" si="365"/>
        <v>44369</v>
      </c>
    </row>
    <row r="2893" spans="1:49">
      <c r="A2893" s="1077" t="s">
        <v>8675</v>
      </c>
      <c r="B2893" s="1077" t="s">
        <v>8553</v>
      </c>
      <c r="C2893" s="1077">
        <v>550</v>
      </c>
      <c r="D2893" s="1077">
        <v>1.68</v>
      </c>
      <c r="E2893" s="1077">
        <v>102.5</v>
      </c>
      <c r="F2893" s="1077" t="s">
        <v>4070</v>
      </c>
      <c r="G2893" s="1077">
        <v>5</v>
      </c>
      <c r="H2893" s="1077" t="s">
        <v>8646</v>
      </c>
      <c r="I2893" s="1077" t="s">
        <v>8540</v>
      </c>
      <c r="J2893" s="1077">
        <v>3.2</v>
      </c>
      <c r="K2893" s="1077" t="s">
        <v>8676</v>
      </c>
      <c r="L2893" s="1077" t="s">
        <v>8648</v>
      </c>
      <c r="M2893" s="1077">
        <v>610</v>
      </c>
      <c r="N2893" s="1077" t="s">
        <v>945</v>
      </c>
      <c r="O2893" s="1077">
        <v>15.25</v>
      </c>
      <c r="P2893" s="1077">
        <v>12.200000000000001</v>
      </c>
      <c r="Q2893" s="1077">
        <v>3.5</v>
      </c>
      <c r="R2893" s="1077">
        <v>22</v>
      </c>
      <c r="T2893" s="1077">
        <v>10.5</v>
      </c>
      <c r="U2893" s="1077">
        <v>4.0999999999999996</v>
      </c>
      <c r="V2893" s="1077" t="s">
        <v>648</v>
      </c>
      <c r="W2893" s="1077">
        <v>80</v>
      </c>
      <c r="X2893" s="1077">
        <v>55</v>
      </c>
      <c r="Y2893" s="1077">
        <v>1</v>
      </c>
      <c r="Z2893" s="1077" t="s">
        <v>648</v>
      </c>
      <c r="AA2893" s="1077" t="s">
        <v>8677</v>
      </c>
      <c r="AH2893" s="1077" t="s">
        <v>723</v>
      </c>
      <c r="AM2893" s="1078" t="s">
        <v>14693</v>
      </c>
      <c r="AN2893" s="1078" t="s">
        <v>14694</v>
      </c>
      <c r="AO2893" s="1078">
        <f t="shared" si="366"/>
        <v>550</v>
      </c>
      <c r="AP2893" s="1078">
        <f t="shared" si="367"/>
        <v>1.68</v>
      </c>
      <c r="AQ2893" s="1078">
        <f t="shared" si="368"/>
        <v>102.5</v>
      </c>
      <c r="AR2893" s="1078" t="str">
        <f t="shared" si="369"/>
        <v>15.5</v>
      </c>
      <c r="AS2893" s="1078" t="str">
        <f t="shared" si="370"/>
        <v>500/470/160</v>
      </c>
      <c r="AT2893" s="1078">
        <f t="shared" si="371"/>
        <v>102.5</v>
      </c>
      <c r="AV2893" s="1078" t="str">
        <f t="shared" si="364"/>
        <v>110.6.23</v>
      </c>
      <c r="AW2893" s="1344">
        <f t="shared" si="365"/>
        <v>44370</v>
      </c>
    </row>
    <row r="2894" spans="1:49">
      <c r="A2894" s="1077" t="s">
        <v>8678</v>
      </c>
      <c r="B2894" s="1077" t="s">
        <v>654</v>
      </c>
      <c r="C2894" s="1077">
        <v>500</v>
      </c>
      <c r="D2894" s="1077">
        <v>1.67</v>
      </c>
      <c r="E2894" s="1077">
        <v>102.5</v>
      </c>
      <c r="F2894" s="1077" t="s">
        <v>4070</v>
      </c>
      <c r="G2894" s="1077">
        <v>5.5</v>
      </c>
      <c r="H2894" s="1077" t="s">
        <v>8679</v>
      </c>
      <c r="I2894" s="1077" t="s">
        <v>643</v>
      </c>
      <c r="J2894" s="1077">
        <v>3.4</v>
      </c>
      <c r="K2894" s="1077" t="s">
        <v>8680</v>
      </c>
      <c r="L2894" s="1077" t="s">
        <v>8560</v>
      </c>
      <c r="M2894" s="1077">
        <v>427.4</v>
      </c>
      <c r="N2894" s="1077" t="s">
        <v>945</v>
      </c>
      <c r="O2894" s="1077">
        <v>10.685</v>
      </c>
      <c r="P2894" s="1077">
        <v>8.548</v>
      </c>
      <c r="Q2894" s="1077">
        <v>3.5</v>
      </c>
      <c r="R2894" s="1077">
        <v>19.600000000000001</v>
      </c>
      <c r="T2894" s="1077">
        <v>14.9</v>
      </c>
      <c r="U2894" s="1077">
        <v>4.2</v>
      </c>
      <c r="V2894" s="1077" t="s">
        <v>648</v>
      </c>
      <c r="W2894" s="1077">
        <v>120</v>
      </c>
      <c r="X2894" s="1077">
        <v>90</v>
      </c>
      <c r="Y2894" s="1077">
        <v>1</v>
      </c>
      <c r="Z2894" s="1077" t="s">
        <v>648</v>
      </c>
      <c r="AA2894" s="1077" t="s">
        <v>6181</v>
      </c>
      <c r="AB2894" s="1077" t="s">
        <v>2680</v>
      </c>
      <c r="AC2894" s="1077" t="s">
        <v>2680</v>
      </c>
      <c r="AD2894" s="1077" t="s">
        <v>2680</v>
      </c>
      <c r="AH2894" s="1077" t="s">
        <v>1376</v>
      </c>
      <c r="AM2894" s="1078" t="s">
        <v>14695</v>
      </c>
      <c r="AN2894" s="1078" t="s">
        <v>14696</v>
      </c>
      <c r="AO2894" s="1078">
        <f t="shared" si="366"/>
        <v>500</v>
      </c>
      <c r="AP2894" s="1078">
        <f t="shared" si="367"/>
        <v>1.67</v>
      </c>
      <c r="AQ2894" s="1078">
        <f t="shared" si="368"/>
        <v>102.5</v>
      </c>
      <c r="AR2894" s="1078" t="str">
        <f t="shared" si="369"/>
        <v>15.5</v>
      </c>
      <c r="AS2894" s="1078" t="str">
        <f t="shared" si="370"/>
        <v>480/420/160</v>
      </c>
      <c r="AT2894" s="1078">
        <f t="shared" si="371"/>
        <v>102.5</v>
      </c>
      <c r="AV2894" s="1078" t="str">
        <f t="shared" si="364"/>
        <v>110.6.28</v>
      </c>
      <c r="AW2894" s="1344">
        <f t="shared" si="365"/>
        <v>44375</v>
      </c>
    </row>
    <row r="2895" spans="1:49">
      <c r="A2895" s="1077" t="s">
        <v>8681</v>
      </c>
      <c r="B2895" s="1077" t="s">
        <v>8429</v>
      </c>
      <c r="C2895" s="1077">
        <v>500</v>
      </c>
      <c r="D2895" s="1077">
        <v>1.7</v>
      </c>
      <c r="E2895" s="1077" t="s">
        <v>15089</v>
      </c>
      <c r="F2895" s="1077" t="s">
        <v>954</v>
      </c>
      <c r="G2895" s="1077">
        <v>2</v>
      </c>
      <c r="H2895" s="1077" t="s">
        <v>1445</v>
      </c>
      <c r="I2895" s="1077" t="s">
        <v>626</v>
      </c>
      <c r="J2895" s="1077">
        <v>0.8</v>
      </c>
      <c r="K2895" s="1077" t="s">
        <v>8682</v>
      </c>
      <c r="L2895" s="1077" t="s">
        <v>872</v>
      </c>
      <c r="M2895" s="1077">
        <v>30.9</v>
      </c>
      <c r="N2895" s="1077" t="s">
        <v>945</v>
      </c>
      <c r="O2895" s="1077">
        <v>0.77249999999999996</v>
      </c>
      <c r="P2895" s="1077">
        <v>0.61799999999999999</v>
      </c>
      <c r="Q2895" s="1077">
        <v>4</v>
      </c>
      <c r="R2895" s="1077">
        <v>19.5</v>
      </c>
      <c r="T2895" s="1077">
        <v>30.1</v>
      </c>
      <c r="U2895" s="1077">
        <v>3.9</v>
      </c>
      <c r="V2895" s="1077" t="s">
        <v>648</v>
      </c>
      <c r="W2895" s="1077">
        <v>150</v>
      </c>
      <c r="X2895" s="1077">
        <v>80</v>
      </c>
      <c r="Y2895" s="1077">
        <v>2.2000000000000002</v>
      </c>
      <c r="Z2895" s="1077">
        <v>3</v>
      </c>
      <c r="AA2895" s="1077" t="s">
        <v>1312</v>
      </c>
      <c r="AH2895" s="1077" t="s">
        <v>1360</v>
      </c>
      <c r="AM2895" s="1078" t="s">
        <v>14697</v>
      </c>
      <c r="AN2895" s="1078" t="s">
        <v>14698</v>
      </c>
      <c r="AO2895" s="1078">
        <f t="shared" si="366"/>
        <v>500</v>
      </c>
      <c r="AP2895" s="1078">
        <f t="shared" si="367"/>
        <v>1.7</v>
      </c>
      <c r="AQ2895" s="1078" t="str">
        <f t="shared" si="368"/>
        <v>1-4-1S83°</v>
      </c>
      <c r="AR2895" s="1078" t="str">
        <f t="shared" si="369"/>
        <v>31</v>
      </c>
      <c r="AS2895" s="1078" t="str">
        <f t="shared" si="370"/>
        <v>207/207/OFF</v>
      </c>
      <c r="AT2895" s="1078" t="str">
        <f t="shared" si="371"/>
        <v>1-4-1S83°</v>
      </c>
      <c r="AV2895" s="1078" t="str">
        <f t="shared" si="364"/>
        <v>110.7.1</v>
      </c>
      <c r="AW2895" s="1344">
        <f t="shared" si="365"/>
        <v>44378</v>
      </c>
    </row>
    <row r="2896" spans="1:49">
      <c r="A2896" s="1077" t="s">
        <v>8683</v>
      </c>
      <c r="B2896" s="1077" t="s">
        <v>8611</v>
      </c>
      <c r="C2896" s="1077">
        <v>650</v>
      </c>
      <c r="D2896" s="1077">
        <v>1.8</v>
      </c>
      <c r="E2896" s="1077" t="s">
        <v>15122</v>
      </c>
      <c r="F2896" s="1077" t="s">
        <v>984</v>
      </c>
      <c r="G2896" s="1077">
        <v>4</v>
      </c>
      <c r="H2896" s="1077" t="s">
        <v>955</v>
      </c>
      <c r="I2896" s="1077" t="s">
        <v>126</v>
      </c>
      <c r="J2896" s="1077">
        <v>0.9</v>
      </c>
      <c r="K2896" s="1077" t="s">
        <v>8684</v>
      </c>
      <c r="L2896" s="1077" t="s">
        <v>4212</v>
      </c>
      <c r="M2896" s="1077">
        <v>197</v>
      </c>
      <c r="N2896" s="1077" t="s">
        <v>945</v>
      </c>
      <c r="O2896" s="1077">
        <v>4.9250000000000007</v>
      </c>
      <c r="P2896" s="1077">
        <v>3.94</v>
      </c>
      <c r="Q2896" s="1077">
        <v>3</v>
      </c>
      <c r="R2896" s="1077">
        <v>29</v>
      </c>
      <c r="T2896" s="1077">
        <v>22</v>
      </c>
      <c r="U2896" s="1077">
        <v>5.3</v>
      </c>
      <c r="V2896" s="1077" t="s">
        <v>648</v>
      </c>
      <c r="W2896" s="1077">
        <v>40</v>
      </c>
      <c r="X2896" s="1077">
        <v>10</v>
      </c>
      <c r="Y2896" s="1077">
        <v>2</v>
      </c>
      <c r="Z2896" s="1077" t="s">
        <v>648</v>
      </c>
      <c r="AA2896" s="1077" t="s">
        <v>5426</v>
      </c>
      <c r="AH2896" s="1077" t="s">
        <v>762</v>
      </c>
      <c r="AM2896" s="1078" t="s">
        <v>14699</v>
      </c>
      <c r="AN2896" s="1078" t="s">
        <v>14700</v>
      </c>
      <c r="AO2896" s="1078">
        <f t="shared" si="366"/>
        <v>650</v>
      </c>
      <c r="AP2896" s="1078">
        <f t="shared" si="367"/>
        <v>1.8</v>
      </c>
      <c r="AQ2896" s="1078" t="str">
        <f t="shared" si="368"/>
        <v>1-5-1S91°Z+S</v>
      </c>
      <c r="AR2896" s="1078" t="str">
        <f t="shared" si="369"/>
        <v>30</v>
      </c>
      <c r="AS2896" s="1078" t="str">
        <f t="shared" si="370"/>
        <v>260/260/OFF</v>
      </c>
      <c r="AT2896" s="1078" t="str">
        <f t="shared" si="371"/>
        <v>1-5-1S91°Z+S</v>
      </c>
      <c r="AU2896" s="1078" t="s">
        <v>15547</v>
      </c>
      <c r="AV2896" s="1078" t="str">
        <f t="shared" si="364"/>
        <v>110.7.20</v>
      </c>
      <c r="AW2896" s="1344">
        <f t="shared" si="365"/>
        <v>44397</v>
      </c>
    </row>
    <row r="2897" spans="1:49">
      <c r="A2897" s="1077" t="s">
        <v>8685</v>
      </c>
      <c r="B2897" s="1077" t="s">
        <v>8686</v>
      </c>
      <c r="C2897" s="1077">
        <v>500</v>
      </c>
      <c r="D2897" s="1077">
        <v>1.615</v>
      </c>
      <c r="E2897" s="1077" t="s">
        <v>15102</v>
      </c>
      <c r="F2897" s="1077" t="s">
        <v>975</v>
      </c>
      <c r="G2897" s="1077">
        <v>5</v>
      </c>
      <c r="H2897" s="1077" t="s">
        <v>8459</v>
      </c>
      <c r="I2897" s="1077" t="s">
        <v>1112</v>
      </c>
      <c r="J2897" s="1077">
        <v>1</v>
      </c>
      <c r="K2897" s="1077" t="s">
        <v>4727</v>
      </c>
      <c r="L2897" s="1077" t="s">
        <v>4702</v>
      </c>
      <c r="M2897" s="1077">
        <v>161.69999999999999</v>
      </c>
      <c r="N2897" s="1077" t="s">
        <v>945</v>
      </c>
      <c r="O2897" s="1077">
        <v>4.0424999999999995</v>
      </c>
      <c r="P2897" s="1077">
        <v>3.234</v>
      </c>
      <c r="Q2897" s="1077">
        <v>3.5</v>
      </c>
      <c r="R2897" s="1077">
        <v>30.8</v>
      </c>
      <c r="T2897" s="1077">
        <v>16.8</v>
      </c>
      <c r="U2897" s="1077">
        <v>2.6</v>
      </c>
      <c r="V2897" s="1077" t="s">
        <v>648</v>
      </c>
      <c r="W2897" s="1077">
        <v>60</v>
      </c>
      <c r="X2897" s="1077">
        <v>10</v>
      </c>
      <c r="Y2897" s="1077">
        <v>1.8</v>
      </c>
      <c r="Z2897" s="1077">
        <v>5.5</v>
      </c>
      <c r="AA2897" s="1077" t="s">
        <v>3711</v>
      </c>
      <c r="AH2897" s="1077" t="s">
        <v>994</v>
      </c>
      <c r="AM2897" s="1078" t="s">
        <v>14701</v>
      </c>
      <c r="AN2897" s="1078" t="s">
        <v>14702</v>
      </c>
      <c r="AO2897" s="1078">
        <f t="shared" si="366"/>
        <v>500</v>
      </c>
      <c r="AP2897" s="1078">
        <f t="shared" si="367"/>
        <v>1.615</v>
      </c>
      <c r="AQ2897" s="1078" t="str">
        <f t="shared" si="368"/>
        <v>2-6-1S83°</v>
      </c>
      <c r="AR2897" s="1078" t="str">
        <f t="shared" si="369"/>
        <v>31.5</v>
      </c>
      <c r="AS2897" s="1078" t="str">
        <f t="shared" si="370"/>
        <v>175/163</v>
      </c>
      <c r="AT2897" s="1078" t="str">
        <f t="shared" si="371"/>
        <v>2-6-1S83°</v>
      </c>
      <c r="AV2897" s="1078" t="str">
        <f t="shared" si="364"/>
        <v>110.8.23</v>
      </c>
      <c r="AW2897" s="1344">
        <f t="shared" si="365"/>
        <v>44431</v>
      </c>
    </row>
    <row r="2898" spans="1:49">
      <c r="A2898" s="1077" t="s">
        <v>8687</v>
      </c>
      <c r="B2898" s="1077" t="s">
        <v>8414</v>
      </c>
      <c r="C2898" s="1077">
        <v>500</v>
      </c>
      <c r="D2898" s="1077">
        <v>1.7849999999999999</v>
      </c>
      <c r="E2898" s="1077" t="s">
        <v>15089</v>
      </c>
      <c r="F2898" s="1077" t="s">
        <v>954</v>
      </c>
      <c r="G2898" s="1077" t="s">
        <v>1016</v>
      </c>
      <c r="H2898" s="1077" t="s">
        <v>2540</v>
      </c>
      <c r="I2898" s="1077" t="s">
        <v>126</v>
      </c>
      <c r="J2898" s="1077">
        <v>1.1000000000000001</v>
      </c>
      <c r="K2898" s="1077" t="s">
        <v>8640</v>
      </c>
      <c r="L2898" s="1077" t="s">
        <v>1987</v>
      </c>
      <c r="M2898" s="1077">
        <v>72.2</v>
      </c>
      <c r="N2898" s="1077" t="s">
        <v>945</v>
      </c>
      <c r="O2898" s="1077">
        <v>1.8050000000000002</v>
      </c>
      <c r="P2898" s="1077">
        <v>1.4440000000000002</v>
      </c>
      <c r="Q2898" s="1077">
        <v>3</v>
      </c>
      <c r="R2898" s="1077">
        <v>21.5</v>
      </c>
      <c r="T2898" s="1077">
        <v>29.1</v>
      </c>
      <c r="U2898" s="1077">
        <v>3</v>
      </c>
      <c r="V2898" s="1077" t="s">
        <v>648</v>
      </c>
      <c r="W2898" s="1077">
        <v>130</v>
      </c>
      <c r="X2898" s="1077">
        <v>85</v>
      </c>
      <c r="Y2898" s="1077">
        <v>1.9</v>
      </c>
      <c r="Z2898" s="1077">
        <v>5.5</v>
      </c>
      <c r="AA2898" s="1077" t="s">
        <v>5982</v>
      </c>
      <c r="AH2898" s="1077" t="s">
        <v>948</v>
      </c>
      <c r="AM2898" s="1078" t="s">
        <v>14703</v>
      </c>
      <c r="AN2898" s="1078" t="s">
        <v>14704</v>
      </c>
      <c r="AO2898" s="1078">
        <f t="shared" si="366"/>
        <v>500</v>
      </c>
      <c r="AP2898" s="1078">
        <f t="shared" si="367"/>
        <v>1.7849999999999999</v>
      </c>
      <c r="AQ2898" s="1078" t="str">
        <f t="shared" si="368"/>
        <v>1-4-1S83°</v>
      </c>
      <c r="AR2898" s="1078" t="str">
        <f t="shared" si="369"/>
        <v>31</v>
      </c>
      <c r="AS2898" s="1078" t="str">
        <f t="shared" si="370"/>
        <v>300/300/OFF</v>
      </c>
      <c r="AT2898" s="1078" t="str">
        <f t="shared" si="371"/>
        <v>1-4-1S83°</v>
      </c>
      <c r="AV2898" s="1078" t="str">
        <f t="shared" si="364"/>
        <v>110.8.31</v>
      </c>
      <c r="AW2898" s="1344">
        <f t="shared" si="365"/>
        <v>44439</v>
      </c>
    </row>
    <row r="2899" spans="1:49">
      <c r="A2899" s="1077" t="s">
        <v>8688</v>
      </c>
      <c r="B2899" s="1077" t="s">
        <v>8662</v>
      </c>
      <c r="C2899" s="1077">
        <v>450</v>
      </c>
      <c r="D2899" s="1077">
        <v>1.83</v>
      </c>
      <c r="E2899" s="1077" t="s">
        <v>15089</v>
      </c>
      <c r="F2899" s="1077" t="s">
        <v>984</v>
      </c>
      <c r="G2899" s="1077">
        <v>2</v>
      </c>
      <c r="H2899" s="1077" t="s">
        <v>1155</v>
      </c>
      <c r="I2899" s="1077" t="s">
        <v>126</v>
      </c>
      <c r="J2899" s="1077">
        <v>1</v>
      </c>
      <c r="K2899" s="1077" t="s">
        <v>8663</v>
      </c>
      <c r="L2899" s="1077" t="s">
        <v>8664</v>
      </c>
      <c r="M2899" s="1077">
        <v>41.5</v>
      </c>
      <c r="N2899" s="1077" t="s">
        <v>945</v>
      </c>
      <c r="O2899" s="1077">
        <v>1.0375000000000001</v>
      </c>
      <c r="P2899" s="1077">
        <v>0.83000000000000007</v>
      </c>
      <c r="Q2899" s="1077">
        <v>3</v>
      </c>
      <c r="R2899" s="1077">
        <v>23</v>
      </c>
      <c r="T2899" s="1077">
        <v>28</v>
      </c>
      <c r="U2899" s="1077">
        <v>3</v>
      </c>
      <c r="V2899" s="1077" t="s">
        <v>648</v>
      </c>
      <c r="W2899" s="1077">
        <v>110</v>
      </c>
      <c r="X2899" s="1077">
        <v>70</v>
      </c>
      <c r="Y2899" s="1077">
        <v>3</v>
      </c>
      <c r="Z2899" s="1077">
        <v>4.5</v>
      </c>
      <c r="AA2899" s="1077" t="s">
        <v>3722</v>
      </c>
      <c r="AH2899" s="1077" t="s">
        <v>812</v>
      </c>
      <c r="AM2899" s="1078" t="s">
        <v>14705</v>
      </c>
      <c r="AN2899" s="1078" t="s">
        <v>14706</v>
      </c>
      <c r="AO2899" s="1078">
        <f t="shared" si="366"/>
        <v>450</v>
      </c>
      <c r="AP2899" s="1078">
        <f t="shared" si="367"/>
        <v>1.83</v>
      </c>
      <c r="AQ2899" s="1078" t="str">
        <f t="shared" si="368"/>
        <v>1-4-1S83°</v>
      </c>
      <c r="AR2899" s="1078" t="str">
        <f t="shared" si="369"/>
        <v>30</v>
      </c>
      <c r="AS2899" s="1078" t="str">
        <f t="shared" si="370"/>
        <v>215/215/OFF</v>
      </c>
      <c r="AT2899" s="1078" t="str">
        <f t="shared" si="371"/>
        <v>1-4-1S83°</v>
      </c>
      <c r="AV2899" s="1078" t="str">
        <f t="shared" si="364"/>
        <v>110.9.8</v>
      </c>
      <c r="AW2899" s="1344">
        <f t="shared" si="365"/>
        <v>44447</v>
      </c>
    </row>
    <row r="2900" spans="1:49">
      <c r="A2900" s="1077" t="s">
        <v>8689</v>
      </c>
      <c r="B2900" s="1077" t="s">
        <v>8671</v>
      </c>
      <c r="C2900" s="1077">
        <v>500</v>
      </c>
      <c r="D2900" s="1077">
        <v>1.74</v>
      </c>
      <c r="E2900" s="1077" t="s">
        <v>15089</v>
      </c>
      <c r="F2900" s="1077" t="s">
        <v>954</v>
      </c>
      <c r="G2900" s="1077" t="s">
        <v>1016</v>
      </c>
      <c r="H2900" s="1077" t="s">
        <v>1290</v>
      </c>
      <c r="I2900" s="1077" t="s">
        <v>126</v>
      </c>
      <c r="J2900" s="1077">
        <v>1.4</v>
      </c>
      <c r="K2900" s="1077" t="s">
        <v>8672</v>
      </c>
      <c r="L2900" s="1077" t="s">
        <v>8673</v>
      </c>
      <c r="M2900" s="1077">
        <v>72</v>
      </c>
      <c r="N2900" s="1077" t="s">
        <v>945</v>
      </c>
      <c r="O2900" s="1077">
        <v>1.8</v>
      </c>
      <c r="P2900" s="1077">
        <v>1.44</v>
      </c>
      <c r="Q2900" s="1077">
        <v>3</v>
      </c>
      <c r="R2900" s="1077">
        <v>21</v>
      </c>
      <c r="T2900" s="1077">
        <v>21.5</v>
      </c>
      <c r="U2900" s="1077">
        <v>3.5</v>
      </c>
      <c r="V2900" s="1077" t="s">
        <v>648</v>
      </c>
      <c r="W2900" s="1077">
        <v>130</v>
      </c>
      <c r="X2900" s="1077">
        <v>85</v>
      </c>
      <c r="Y2900" s="1077">
        <v>1.8</v>
      </c>
      <c r="Z2900" s="1077">
        <v>5</v>
      </c>
      <c r="AA2900" s="1077" t="s">
        <v>3727</v>
      </c>
      <c r="AH2900" s="1077" t="s">
        <v>614</v>
      </c>
      <c r="AM2900" s="1078" t="s">
        <v>14707</v>
      </c>
      <c r="AN2900" s="1078" t="s">
        <v>14708</v>
      </c>
      <c r="AO2900" s="1078">
        <f t="shared" si="366"/>
        <v>500</v>
      </c>
      <c r="AP2900" s="1078">
        <f t="shared" si="367"/>
        <v>1.74</v>
      </c>
      <c r="AQ2900" s="1078" t="str">
        <f t="shared" si="368"/>
        <v>1-4-1S83°</v>
      </c>
      <c r="AR2900" s="1078" t="str">
        <f t="shared" si="369"/>
        <v>31</v>
      </c>
      <c r="AS2900" s="1078" t="str">
        <f t="shared" si="370"/>
        <v>220/220/OFF</v>
      </c>
      <c r="AT2900" s="1078" t="str">
        <f t="shared" si="371"/>
        <v>1-4-1S83°</v>
      </c>
      <c r="AV2900" s="1078" t="str">
        <f t="shared" si="364"/>
        <v>110.9.9</v>
      </c>
      <c r="AW2900" s="1344">
        <f t="shared" si="365"/>
        <v>44448</v>
      </c>
    </row>
    <row r="2901" spans="1:49">
      <c r="A2901" s="1077" t="s">
        <v>8690</v>
      </c>
      <c r="B2901" s="1077" t="s">
        <v>8524</v>
      </c>
      <c r="C2901" s="1077">
        <v>450</v>
      </c>
      <c r="D2901" s="1077">
        <v>1.83</v>
      </c>
      <c r="E2901" s="1077">
        <v>107.5</v>
      </c>
      <c r="F2901" s="1077" t="s">
        <v>648</v>
      </c>
      <c r="G2901" s="1077">
        <v>5</v>
      </c>
      <c r="H2901" s="1077" t="s">
        <v>8525</v>
      </c>
      <c r="I2901" s="1077" t="s">
        <v>643</v>
      </c>
      <c r="J2901" s="1077">
        <v>0.8</v>
      </c>
      <c r="K2901" s="1077" t="s">
        <v>8691</v>
      </c>
      <c r="L2901" s="1077" t="s">
        <v>8692</v>
      </c>
      <c r="M2901" s="1077">
        <v>421.5</v>
      </c>
      <c r="N2901" s="1077" t="s">
        <v>945</v>
      </c>
      <c r="O2901" s="1077">
        <v>10.537500000000001</v>
      </c>
      <c r="P2901" s="1077">
        <v>8.43</v>
      </c>
      <c r="Q2901" s="1077">
        <v>3</v>
      </c>
      <c r="R2901" s="1077">
        <v>19.100000000000001</v>
      </c>
      <c r="T2901" s="1077">
        <v>12.2</v>
      </c>
      <c r="U2901" s="1077">
        <v>5.8</v>
      </c>
      <c r="V2901" s="1077" t="s">
        <v>648</v>
      </c>
      <c r="W2901" s="1077">
        <v>35</v>
      </c>
      <c r="X2901" s="1077">
        <v>10</v>
      </c>
      <c r="Y2901" s="1077">
        <v>1.2</v>
      </c>
      <c r="Z2901" s="1077" t="s">
        <v>648</v>
      </c>
      <c r="AA2901" s="1077" t="s">
        <v>3799</v>
      </c>
      <c r="AH2901" s="1077" t="s">
        <v>5681</v>
      </c>
      <c r="AM2901" s="1078" t="s">
        <v>14709</v>
      </c>
      <c r="AN2901" s="1078" t="s">
        <v>14710</v>
      </c>
      <c r="AO2901" s="1078">
        <f t="shared" si="366"/>
        <v>450</v>
      </c>
      <c r="AP2901" s="1078">
        <f t="shared" si="367"/>
        <v>1.83</v>
      </c>
      <c r="AQ2901" s="1078">
        <f t="shared" si="368"/>
        <v>107.5</v>
      </c>
      <c r="AR2901" s="1078" t="str">
        <f t="shared" si="369"/>
        <v>NA</v>
      </c>
      <c r="AS2901" s="1078" t="str">
        <f t="shared" si="370"/>
        <v>380/360/155</v>
      </c>
      <c r="AT2901" s="1078">
        <f t="shared" si="371"/>
        <v>107.5</v>
      </c>
      <c r="AV2901" s="1078" t="str">
        <f t="shared" si="364"/>
        <v>110.9.16</v>
      </c>
      <c r="AW2901" s="1344">
        <f t="shared" si="365"/>
        <v>44455</v>
      </c>
    </row>
    <row r="2902" spans="1:49">
      <c r="A2902" s="1077" t="s">
        <v>8693</v>
      </c>
      <c r="B2902" s="1077" t="s">
        <v>8686</v>
      </c>
      <c r="C2902" s="1077">
        <v>500</v>
      </c>
      <c r="D2902" s="1077">
        <v>1.61</v>
      </c>
      <c r="E2902" s="1077" t="s">
        <v>15102</v>
      </c>
      <c r="F2902" s="1077" t="s">
        <v>1398</v>
      </c>
      <c r="G2902" s="1077">
        <v>5</v>
      </c>
      <c r="H2902" s="1077" t="s">
        <v>8459</v>
      </c>
      <c r="I2902" s="1077" t="s">
        <v>1112</v>
      </c>
      <c r="J2902" s="1077">
        <v>0.9</v>
      </c>
      <c r="K2902" s="1077" t="s">
        <v>4727</v>
      </c>
      <c r="L2902" s="1077" t="s">
        <v>4702</v>
      </c>
      <c r="M2902" s="1077">
        <v>161.69999999999999</v>
      </c>
      <c r="N2902" s="1077" t="s">
        <v>945</v>
      </c>
      <c r="O2902" s="1077">
        <v>4.0424999999999995</v>
      </c>
      <c r="P2902" s="1077">
        <v>3.234</v>
      </c>
      <c r="Q2902" s="1077">
        <v>3.5</v>
      </c>
      <c r="R2902" s="1077">
        <v>30.8</v>
      </c>
      <c r="T2902" s="1077">
        <v>16.8</v>
      </c>
      <c r="U2902" s="1077">
        <v>2.6</v>
      </c>
      <c r="V2902" s="1077" t="s">
        <v>648</v>
      </c>
      <c r="W2902" s="1077">
        <v>60</v>
      </c>
      <c r="X2902" s="1077">
        <v>10</v>
      </c>
      <c r="Y2902" s="1077">
        <v>1.8</v>
      </c>
      <c r="Z2902" s="1077">
        <v>5.5</v>
      </c>
      <c r="AA2902" s="1077" t="s">
        <v>3809</v>
      </c>
      <c r="AH2902" s="1077" t="s">
        <v>877</v>
      </c>
      <c r="AM2902" s="1078" t="s">
        <v>14711</v>
      </c>
      <c r="AN2902" s="1078" t="s">
        <v>14712</v>
      </c>
      <c r="AO2902" s="1078">
        <f t="shared" si="366"/>
        <v>500</v>
      </c>
      <c r="AP2902" s="1078">
        <f t="shared" si="367"/>
        <v>1.61</v>
      </c>
      <c r="AQ2902" s="1078" t="str">
        <f t="shared" si="368"/>
        <v>2-6-1S83°</v>
      </c>
      <c r="AR2902" s="1078" t="str">
        <f t="shared" si="369"/>
        <v>32.5</v>
      </c>
      <c r="AS2902" s="1078" t="str">
        <f t="shared" si="370"/>
        <v>175/163</v>
      </c>
      <c r="AT2902" s="1078" t="str">
        <f t="shared" si="371"/>
        <v>2-6-1S83°</v>
      </c>
      <c r="AV2902" s="1078" t="str">
        <f t="shared" si="364"/>
        <v>110.9.22</v>
      </c>
      <c r="AW2902" s="1344">
        <f t="shared" si="365"/>
        <v>44461</v>
      </c>
    </row>
    <row r="2903" spans="1:49">
      <c r="A2903" s="1077" t="s">
        <v>8694</v>
      </c>
      <c r="B2903" s="1077" t="s">
        <v>8508</v>
      </c>
      <c r="C2903" s="1077">
        <v>550</v>
      </c>
      <c r="D2903" s="1077">
        <v>1.83</v>
      </c>
      <c r="E2903" s="1077">
        <v>105</v>
      </c>
      <c r="F2903" s="1077" t="s">
        <v>4070</v>
      </c>
      <c r="G2903" s="1077">
        <v>5</v>
      </c>
      <c r="H2903" s="1077" t="s">
        <v>8695</v>
      </c>
      <c r="I2903" s="1077" t="s">
        <v>471</v>
      </c>
      <c r="J2903" s="1077">
        <v>2.8</v>
      </c>
      <c r="K2903" s="1077" t="s">
        <v>8696</v>
      </c>
      <c r="L2903" s="1077" t="s">
        <v>4151</v>
      </c>
      <c r="M2903" s="1077">
        <v>196</v>
      </c>
      <c r="N2903" s="1077" t="s">
        <v>945</v>
      </c>
      <c r="O2903" s="1077">
        <v>4.9000000000000004</v>
      </c>
      <c r="P2903" s="1077">
        <v>3.92</v>
      </c>
      <c r="Q2903" s="1077">
        <v>3</v>
      </c>
      <c r="R2903" s="1077">
        <v>28</v>
      </c>
      <c r="T2903" s="1077">
        <v>15.5</v>
      </c>
      <c r="U2903" s="1077">
        <v>5</v>
      </c>
      <c r="V2903" s="1077" t="s">
        <v>648</v>
      </c>
      <c r="W2903" s="1077">
        <v>130</v>
      </c>
      <c r="X2903" s="1077">
        <v>80</v>
      </c>
      <c r="Y2903" s="1077">
        <v>1.5</v>
      </c>
      <c r="Z2903" s="1077" t="s">
        <v>648</v>
      </c>
      <c r="AA2903" s="1077" t="s">
        <v>5346</v>
      </c>
      <c r="AH2903" s="1077" t="s">
        <v>862</v>
      </c>
      <c r="AM2903" s="1078" t="s">
        <v>14713</v>
      </c>
      <c r="AN2903" s="1078" t="s">
        <v>14714</v>
      </c>
      <c r="AO2903" s="1078">
        <f t="shared" si="366"/>
        <v>550</v>
      </c>
      <c r="AP2903" s="1078">
        <f t="shared" si="367"/>
        <v>1.83</v>
      </c>
      <c r="AQ2903" s="1078">
        <f t="shared" si="368"/>
        <v>105</v>
      </c>
      <c r="AR2903" s="1078" t="str">
        <f t="shared" si="369"/>
        <v>15.5</v>
      </c>
      <c r="AS2903" s="1078" t="str">
        <f t="shared" si="370"/>
        <v>340/320/150</v>
      </c>
      <c r="AT2903" s="1078">
        <f t="shared" si="371"/>
        <v>105</v>
      </c>
      <c r="AV2903" s="1078" t="str">
        <f t="shared" si="364"/>
        <v>110.9.27</v>
      </c>
      <c r="AW2903" s="1344">
        <f t="shared" si="365"/>
        <v>44466</v>
      </c>
    </row>
    <row r="2904" spans="1:49">
      <c r="A2904" s="1077" t="s">
        <v>8697</v>
      </c>
      <c r="B2904" s="1077" t="s">
        <v>8698</v>
      </c>
      <c r="C2904" s="1077">
        <v>620</v>
      </c>
      <c r="D2904" s="1077">
        <v>1.7</v>
      </c>
      <c r="E2904" s="1077" t="s">
        <v>15089</v>
      </c>
      <c r="F2904" s="1077" t="s">
        <v>2167</v>
      </c>
      <c r="G2904" s="1077">
        <v>2</v>
      </c>
      <c r="H2904" s="1077" t="s">
        <v>1327</v>
      </c>
      <c r="I2904" s="1077" t="s">
        <v>1073</v>
      </c>
      <c r="J2904" s="1077">
        <v>1.7</v>
      </c>
      <c r="K2904" s="1077" t="s">
        <v>8699</v>
      </c>
      <c r="L2904" s="1077" t="s">
        <v>8426</v>
      </c>
      <c r="M2904" s="1077">
        <v>31.5</v>
      </c>
      <c r="N2904" s="1077" t="s">
        <v>945</v>
      </c>
      <c r="O2904" s="1077">
        <v>0.78750000000000009</v>
      </c>
      <c r="P2904" s="1077">
        <v>0.63</v>
      </c>
      <c r="Q2904" s="1077">
        <v>4</v>
      </c>
      <c r="R2904" s="1077">
        <v>20</v>
      </c>
      <c r="T2904" s="1077">
        <v>39</v>
      </c>
      <c r="U2904" s="1077">
        <v>3.5</v>
      </c>
      <c r="V2904" s="1077" t="s">
        <v>648</v>
      </c>
      <c r="W2904" s="1077">
        <v>150</v>
      </c>
      <c r="X2904" s="1077">
        <v>85</v>
      </c>
      <c r="Y2904" s="1077">
        <v>3</v>
      </c>
      <c r="Z2904" s="1077">
        <v>3.5</v>
      </c>
      <c r="AA2904" s="1077" t="s">
        <v>3182</v>
      </c>
      <c r="AH2904" s="1077" t="s">
        <v>3199</v>
      </c>
      <c r="AM2904" s="1078" t="s">
        <v>14715</v>
      </c>
      <c r="AN2904" s="1078" t="s">
        <v>14716</v>
      </c>
      <c r="AO2904" s="1078">
        <f t="shared" si="366"/>
        <v>620</v>
      </c>
      <c r="AP2904" s="1078">
        <f t="shared" si="367"/>
        <v>1.7</v>
      </c>
      <c r="AQ2904" s="1078" t="str">
        <f t="shared" si="368"/>
        <v>1-4-1S83°</v>
      </c>
      <c r="AR2904" s="1078" t="str">
        <f t="shared" si="369"/>
        <v>33</v>
      </c>
      <c r="AS2904" s="1078" t="str">
        <f t="shared" si="370"/>
        <v>232/232/OFF</v>
      </c>
      <c r="AT2904" s="1078" t="str">
        <f t="shared" si="371"/>
        <v>1-4-1S83°</v>
      </c>
      <c r="AV2904" s="1078" t="str">
        <f t="shared" si="364"/>
        <v>110.10.4</v>
      </c>
      <c r="AW2904" s="1344">
        <f t="shared" si="365"/>
        <v>44473</v>
      </c>
    </row>
    <row r="2905" spans="1:49">
      <c r="A2905" s="1077" t="s">
        <v>8700</v>
      </c>
      <c r="B2905" s="1077" t="s">
        <v>8466</v>
      </c>
      <c r="C2905" s="1077">
        <v>550</v>
      </c>
      <c r="D2905" s="1077">
        <v>1.77</v>
      </c>
      <c r="E2905" s="1077" t="s">
        <v>15116</v>
      </c>
      <c r="F2905" s="1077" t="s">
        <v>2234</v>
      </c>
      <c r="G2905" s="1077">
        <v>4</v>
      </c>
      <c r="H2905" s="1077" t="s">
        <v>8562</v>
      </c>
      <c r="I2905" s="1077" t="s">
        <v>126</v>
      </c>
      <c r="J2905" s="1077">
        <v>1.7</v>
      </c>
      <c r="K2905" s="1077" t="s">
        <v>8701</v>
      </c>
      <c r="L2905" s="1077" t="s">
        <v>4080</v>
      </c>
      <c r="M2905" s="1077">
        <v>202</v>
      </c>
      <c r="N2905" s="1077" t="s">
        <v>945</v>
      </c>
      <c r="O2905" s="1077">
        <v>5.0500000000000007</v>
      </c>
      <c r="P2905" s="1077">
        <v>4.04</v>
      </c>
      <c r="Q2905" s="1077">
        <v>4</v>
      </c>
      <c r="R2905" s="1077">
        <v>20</v>
      </c>
      <c r="T2905" s="1077">
        <v>11</v>
      </c>
      <c r="U2905" s="1077">
        <v>3.7</v>
      </c>
      <c r="V2905" s="1077" t="s">
        <v>648</v>
      </c>
      <c r="W2905" s="1077">
        <v>115</v>
      </c>
      <c r="X2905" s="1077">
        <v>70</v>
      </c>
      <c r="Y2905" s="1077">
        <v>1.6</v>
      </c>
      <c r="Z2905" s="1077" t="s">
        <v>648</v>
      </c>
      <c r="AA2905" s="1077" t="s">
        <v>5949</v>
      </c>
      <c r="AH2905" s="1077" t="s">
        <v>887</v>
      </c>
      <c r="AM2905" s="1078" t="s">
        <v>14717</v>
      </c>
      <c r="AN2905" s="1078" t="s">
        <v>14718</v>
      </c>
      <c r="AO2905" s="1078">
        <f t="shared" si="366"/>
        <v>550</v>
      </c>
      <c r="AP2905" s="1078">
        <f t="shared" si="367"/>
        <v>1.77</v>
      </c>
      <c r="AQ2905" s="1078" t="str">
        <f t="shared" si="368"/>
        <v>1-5-1S83°Z+S</v>
      </c>
      <c r="AR2905" s="1078" t="str">
        <f t="shared" si="369"/>
        <v>33.5</v>
      </c>
      <c r="AS2905" s="1078" t="str">
        <f t="shared" si="370"/>
        <v>245/245/145</v>
      </c>
      <c r="AT2905" s="1078" t="str">
        <f t="shared" si="371"/>
        <v>1-5-1S83°Z+S</v>
      </c>
      <c r="AU2905" s="1078" t="s">
        <v>15547</v>
      </c>
      <c r="AV2905" s="1078" t="str">
        <f t="shared" si="364"/>
        <v>110.10.5</v>
      </c>
      <c r="AW2905" s="1344">
        <f t="shared" si="365"/>
        <v>44474</v>
      </c>
    </row>
    <row r="2906" spans="1:49">
      <c r="A2906" s="1077" t="s">
        <v>8702</v>
      </c>
      <c r="B2906" s="1077" t="s">
        <v>8686</v>
      </c>
      <c r="C2906" s="1077">
        <v>500</v>
      </c>
      <c r="D2906" s="1077">
        <v>1.61</v>
      </c>
      <c r="E2906" s="1077" t="s">
        <v>15102</v>
      </c>
      <c r="F2906" s="1077" t="s">
        <v>1398</v>
      </c>
      <c r="G2906" s="1077">
        <v>5</v>
      </c>
      <c r="H2906" s="1077" t="s">
        <v>8459</v>
      </c>
      <c r="I2906" s="1077" t="s">
        <v>1112</v>
      </c>
      <c r="J2906" s="1077">
        <v>0.9</v>
      </c>
      <c r="K2906" s="1077" t="s">
        <v>4727</v>
      </c>
      <c r="L2906" s="1077" t="s">
        <v>4702</v>
      </c>
      <c r="M2906" s="1077">
        <v>161.69999999999999</v>
      </c>
      <c r="N2906" s="1077" t="s">
        <v>945</v>
      </c>
      <c r="O2906" s="1077">
        <v>4.0424999999999995</v>
      </c>
      <c r="P2906" s="1077">
        <v>3.234</v>
      </c>
      <c r="Q2906" s="1077">
        <v>3.5</v>
      </c>
      <c r="R2906" s="1077">
        <v>30.8</v>
      </c>
      <c r="T2906" s="1077">
        <v>16.8</v>
      </c>
      <c r="U2906" s="1077">
        <v>2.6</v>
      </c>
      <c r="V2906" s="1077" t="s">
        <v>648</v>
      </c>
      <c r="W2906" s="1077">
        <v>60</v>
      </c>
      <c r="X2906" s="1077">
        <v>10</v>
      </c>
      <c r="Y2906" s="1077">
        <v>1.8</v>
      </c>
      <c r="Z2906" s="1077">
        <v>5.5</v>
      </c>
      <c r="AA2906" s="1077" t="s">
        <v>3960</v>
      </c>
      <c r="AH2906" s="1077" t="s">
        <v>966</v>
      </c>
      <c r="AM2906" s="1078" t="s">
        <v>14719</v>
      </c>
      <c r="AN2906" s="1078" t="s">
        <v>14720</v>
      </c>
      <c r="AO2906" s="1078">
        <f t="shared" si="366"/>
        <v>500</v>
      </c>
      <c r="AP2906" s="1078">
        <f t="shared" si="367"/>
        <v>1.61</v>
      </c>
      <c r="AQ2906" s="1078" t="str">
        <f t="shared" si="368"/>
        <v>2-6-1S83°</v>
      </c>
      <c r="AR2906" s="1078" t="str">
        <f t="shared" si="369"/>
        <v>32.5</v>
      </c>
      <c r="AS2906" s="1078" t="str">
        <f t="shared" si="370"/>
        <v>175/163</v>
      </c>
      <c r="AT2906" s="1078" t="str">
        <f t="shared" si="371"/>
        <v>2-6-1S83°</v>
      </c>
      <c r="AV2906" s="1078" t="str">
        <f t="shared" si="364"/>
        <v>110.11.3</v>
      </c>
      <c r="AW2906" s="1344">
        <f t="shared" si="365"/>
        <v>44503</v>
      </c>
    </row>
    <row r="2907" spans="1:49">
      <c r="A2907" s="1077" t="s">
        <v>8703</v>
      </c>
      <c r="B2907" s="1077" t="s">
        <v>8519</v>
      </c>
      <c r="C2907" s="1077">
        <v>600</v>
      </c>
      <c r="D2907" s="1077">
        <v>1.76</v>
      </c>
      <c r="E2907" s="1077" t="s">
        <v>15116</v>
      </c>
      <c r="F2907" s="1077" t="s">
        <v>2234</v>
      </c>
      <c r="G2907" s="1077">
        <v>5</v>
      </c>
      <c r="H2907" s="1077" t="s">
        <v>8704</v>
      </c>
      <c r="I2907" s="1077" t="s">
        <v>460</v>
      </c>
      <c r="J2907" s="1077">
        <v>2.7</v>
      </c>
      <c r="K2907" s="1077" t="s">
        <v>8705</v>
      </c>
      <c r="L2907" s="1077" t="s">
        <v>4085</v>
      </c>
      <c r="M2907" s="1077">
        <v>206</v>
      </c>
      <c r="N2907" s="1077" t="s">
        <v>945</v>
      </c>
      <c r="O2907" s="1077">
        <v>5.15</v>
      </c>
      <c r="P2907" s="1077">
        <v>4.12</v>
      </c>
      <c r="Q2907" s="1077">
        <v>4</v>
      </c>
      <c r="R2907" s="1077">
        <v>25</v>
      </c>
      <c r="T2907" s="1077">
        <v>18.5</v>
      </c>
      <c r="U2907" s="1077">
        <v>4.0999999999999996</v>
      </c>
      <c r="V2907" s="1077" t="s">
        <v>648</v>
      </c>
      <c r="W2907" s="1077">
        <v>120</v>
      </c>
      <c r="X2907" s="1077">
        <v>85</v>
      </c>
      <c r="Y2907" s="1077">
        <v>1.5</v>
      </c>
      <c r="Z2907" s="1077" t="s">
        <v>648</v>
      </c>
      <c r="AA2907" s="1077" t="s">
        <v>3965</v>
      </c>
      <c r="AH2907" s="1077" t="s">
        <v>1643</v>
      </c>
      <c r="AM2907" s="1078" t="s">
        <v>14721</v>
      </c>
      <c r="AN2907" s="1078" t="s">
        <v>14722</v>
      </c>
      <c r="AO2907" s="1078">
        <f t="shared" si="366"/>
        <v>600</v>
      </c>
      <c r="AP2907" s="1078">
        <f t="shared" si="367"/>
        <v>1.76</v>
      </c>
      <c r="AQ2907" s="1078" t="str">
        <f t="shared" si="368"/>
        <v>1-5-1S83°Z+S</v>
      </c>
      <c r="AR2907" s="1078" t="str">
        <f t="shared" si="369"/>
        <v>33.5</v>
      </c>
      <c r="AS2907" s="1078" t="str">
        <f t="shared" si="370"/>
        <v>248/228/135</v>
      </c>
      <c r="AT2907" s="1078" t="str">
        <f t="shared" si="371"/>
        <v>1-5-1S83°Z+S</v>
      </c>
      <c r="AU2907" s="1078" t="s">
        <v>15547</v>
      </c>
      <c r="AV2907" s="1078" t="str">
        <f t="shared" si="364"/>
        <v>110.11.5</v>
      </c>
      <c r="AW2907" s="1344">
        <f t="shared" si="365"/>
        <v>44505</v>
      </c>
    </row>
    <row r="2908" spans="1:49">
      <c r="A2908" s="1077" t="s">
        <v>8706</v>
      </c>
      <c r="B2908" s="1077" t="s">
        <v>8686</v>
      </c>
      <c r="C2908" s="1077">
        <v>500</v>
      </c>
      <c r="D2908" s="1077">
        <v>1.6359999999999999</v>
      </c>
      <c r="E2908" s="1077" t="s">
        <v>15102</v>
      </c>
      <c r="F2908" s="1077" t="s">
        <v>1398</v>
      </c>
      <c r="G2908" s="1077">
        <v>5</v>
      </c>
      <c r="H2908" s="1077" t="s">
        <v>8459</v>
      </c>
      <c r="I2908" s="1077" t="s">
        <v>1112</v>
      </c>
      <c r="J2908" s="1077">
        <v>0.9</v>
      </c>
      <c r="K2908" s="1077" t="s">
        <v>5390</v>
      </c>
      <c r="L2908" s="1077" t="s">
        <v>4702</v>
      </c>
      <c r="M2908" s="1077">
        <v>161.69999999999999</v>
      </c>
      <c r="N2908" s="1077" t="s">
        <v>945</v>
      </c>
      <c r="O2908" s="1077">
        <v>4.0424999999999995</v>
      </c>
      <c r="P2908" s="1077">
        <v>3.234</v>
      </c>
      <c r="Q2908" s="1077">
        <v>3.5</v>
      </c>
      <c r="R2908" s="1077">
        <v>28</v>
      </c>
      <c r="T2908" s="1077">
        <v>16.8</v>
      </c>
      <c r="U2908" s="1077">
        <v>2.6</v>
      </c>
      <c r="V2908" s="1077" t="s">
        <v>648</v>
      </c>
      <c r="W2908" s="1077">
        <v>60</v>
      </c>
      <c r="X2908" s="1077">
        <v>10</v>
      </c>
      <c r="Y2908" s="1077">
        <v>1.8</v>
      </c>
      <c r="Z2908" s="1077">
        <v>5.5</v>
      </c>
      <c r="AA2908" s="1077" t="s">
        <v>5449</v>
      </c>
      <c r="AH2908" s="1077" t="s">
        <v>963</v>
      </c>
      <c r="AM2908" s="1078" t="s">
        <v>14723</v>
      </c>
      <c r="AN2908" s="1078" t="s">
        <v>14724</v>
      </c>
      <c r="AO2908" s="1078">
        <f t="shared" si="366"/>
        <v>500</v>
      </c>
      <c r="AP2908" s="1078">
        <f t="shared" si="367"/>
        <v>1.6359999999999999</v>
      </c>
      <c r="AQ2908" s="1078" t="str">
        <f t="shared" si="368"/>
        <v>2-6-1S83°</v>
      </c>
      <c r="AR2908" s="1078" t="str">
        <f t="shared" si="369"/>
        <v>32.5</v>
      </c>
      <c r="AS2908" s="1078" t="str">
        <f t="shared" si="370"/>
        <v>175/163</v>
      </c>
      <c r="AT2908" s="1078" t="str">
        <f t="shared" si="371"/>
        <v>2-6-1S83°</v>
      </c>
      <c r="AV2908" s="1078" t="str">
        <f t="shared" si="364"/>
        <v>110.11.9</v>
      </c>
      <c r="AW2908" s="1344">
        <f t="shared" si="365"/>
        <v>44509</v>
      </c>
    </row>
    <row r="2909" spans="1:49">
      <c r="A2909" s="1077" t="s">
        <v>8707</v>
      </c>
      <c r="B2909" s="1077" t="s">
        <v>8631</v>
      </c>
      <c r="C2909" s="1077">
        <v>600</v>
      </c>
      <c r="D2909" s="1077">
        <v>1.74</v>
      </c>
      <c r="E2909" s="1077" t="s">
        <v>15116</v>
      </c>
      <c r="F2909" s="1077" t="s">
        <v>2234</v>
      </c>
      <c r="G2909" s="1077">
        <v>5</v>
      </c>
      <c r="H2909" s="1077" t="s">
        <v>8708</v>
      </c>
      <c r="I2909" s="1077" t="s">
        <v>460</v>
      </c>
      <c r="J2909" s="1077">
        <v>2.7</v>
      </c>
      <c r="K2909" s="1077" t="s">
        <v>8709</v>
      </c>
      <c r="L2909" s="1077" t="s">
        <v>4029</v>
      </c>
      <c r="M2909" s="1077">
        <v>206</v>
      </c>
      <c r="N2909" s="1077" t="s">
        <v>945</v>
      </c>
      <c r="O2909" s="1077">
        <v>5.15</v>
      </c>
      <c r="P2909" s="1077">
        <v>4.12</v>
      </c>
      <c r="Q2909" s="1077">
        <v>4</v>
      </c>
      <c r="R2909" s="1077">
        <v>20</v>
      </c>
      <c r="T2909" s="1077">
        <v>18.5</v>
      </c>
      <c r="U2909" s="1077">
        <v>4.0999999999999996</v>
      </c>
      <c r="V2909" s="1077" t="s">
        <v>648</v>
      </c>
      <c r="W2909" s="1077">
        <v>120</v>
      </c>
      <c r="X2909" s="1077">
        <v>85</v>
      </c>
      <c r="Y2909" s="1077">
        <v>1.5</v>
      </c>
      <c r="Z2909" s="1077" t="s">
        <v>648</v>
      </c>
      <c r="AA2909" s="1077" t="s">
        <v>3974</v>
      </c>
      <c r="AH2909" s="1077" t="s">
        <v>887</v>
      </c>
      <c r="AM2909" s="1078" t="s">
        <v>14725</v>
      </c>
      <c r="AN2909" s="1078" t="s">
        <v>14726</v>
      </c>
      <c r="AO2909" s="1078">
        <f t="shared" si="366"/>
        <v>600</v>
      </c>
      <c r="AP2909" s="1078">
        <f t="shared" si="367"/>
        <v>1.74</v>
      </c>
      <c r="AQ2909" s="1078" t="str">
        <f t="shared" si="368"/>
        <v>1-5-1S83°Z+S</v>
      </c>
      <c r="AR2909" s="1078" t="str">
        <f t="shared" si="369"/>
        <v>33.5</v>
      </c>
      <c r="AS2909" s="1078" t="str">
        <f t="shared" si="370"/>
        <v>260/240/135</v>
      </c>
      <c r="AT2909" s="1078" t="str">
        <f t="shared" si="371"/>
        <v>1-5-1S83°Z+S</v>
      </c>
      <c r="AU2909" s="1078" t="s">
        <v>15547</v>
      </c>
      <c r="AV2909" s="1078" t="str">
        <f t="shared" si="364"/>
        <v>110.11.16</v>
      </c>
      <c r="AW2909" s="1344">
        <f t="shared" si="365"/>
        <v>44516</v>
      </c>
    </row>
    <row r="2910" spans="1:49">
      <c r="A2910" s="1077" t="s">
        <v>8710</v>
      </c>
      <c r="B2910" s="1077" t="s">
        <v>8594</v>
      </c>
      <c r="C2910" s="1077">
        <v>550</v>
      </c>
      <c r="D2910" s="1077">
        <v>1.7290000000000001</v>
      </c>
      <c r="E2910" s="1077" t="s">
        <v>15123</v>
      </c>
      <c r="F2910" s="1077" t="s">
        <v>954</v>
      </c>
      <c r="G2910" s="1077">
        <v>5</v>
      </c>
      <c r="H2910" s="1077" t="s">
        <v>1470</v>
      </c>
      <c r="I2910" s="1077" t="s">
        <v>460</v>
      </c>
      <c r="J2910" s="1077">
        <v>2.7</v>
      </c>
      <c r="K2910" s="1077" t="s">
        <v>8711</v>
      </c>
      <c r="L2910" s="1077" t="s">
        <v>8596</v>
      </c>
      <c r="M2910" s="1077">
        <v>228.6</v>
      </c>
      <c r="N2910" s="1077" t="s">
        <v>945</v>
      </c>
      <c r="O2910" s="1077">
        <v>5.7149999999999999</v>
      </c>
      <c r="P2910" s="1077">
        <v>4.5720000000000001</v>
      </c>
      <c r="Q2910" s="1077">
        <v>3</v>
      </c>
      <c r="R2910" s="1077">
        <v>32.5</v>
      </c>
      <c r="T2910" s="1077">
        <v>13.1</v>
      </c>
      <c r="U2910" s="1077">
        <v>6.1</v>
      </c>
      <c r="V2910" s="1077" t="s">
        <v>648</v>
      </c>
      <c r="W2910" s="1077">
        <v>110</v>
      </c>
      <c r="X2910" s="1077">
        <v>80</v>
      </c>
      <c r="Y2910" s="1077">
        <v>1.8</v>
      </c>
      <c r="Z2910" s="1077">
        <v>7.5</v>
      </c>
      <c r="AA2910" s="1077" t="s">
        <v>4241</v>
      </c>
      <c r="AH2910" s="1077" t="s">
        <v>8371</v>
      </c>
      <c r="AM2910" s="1078" t="s">
        <v>14727</v>
      </c>
      <c r="AN2910" s="1078" t="s">
        <v>14728</v>
      </c>
      <c r="AO2910" s="1078">
        <f t="shared" si="366"/>
        <v>550</v>
      </c>
      <c r="AP2910" s="1078">
        <f t="shared" si="367"/>
        <v>1.7290000000000001</v>
      </c>
      <c r="AQ2910" s="1078" t="str">
        <f t="shared" si="368"/>
        <v>1-7-1S83°</v>
      </c>
      <c r="AR2910" s="1078" t="str">
        <f t="shared" si="369"/>
        <v>31</v>
      </c>
      <c r="AS2910" s="1078" t="str">
        <f t="shared" si="370"/>
        <v>160/OFF</v>
      </c>
      <c r="AT2910" s="1078" t="str">
        <f t="shared" si="371"/>
        <v>1-7-1S83°</v>
      </c>
      <c r="AV2910" s="1078" t="str">
        <f t="shared" si="364"/>
        <v>110.11.15</v>
      </c>
      <c r="AW2910" s="1344">
        <f t="shared" si="365"/>
        <v>44515</v>
      </c>
    </row>
    <row r="2911" spans="1:49">
      <c r="A2911" s="1077" t="s">
        <v>8712</v>
      </c>
      <c r="B2911" s="1077" t="s">
        <v>8414</v>
      </c>
      <c r="C2911" s="1077">
        <v>500</v>
      </c>
      <c r="D2911" s="1077">
        <v>1.7949999999999999</v>
      </c>
      <c r="E2911" s="1077" t="s">
        <v>15089</v>
      </c>
      <c r="F2911" s="1077" t="s">
        <v>954</v>
      </c>
      <c r="G2911" s="1077" t="s">
        <v>1016</v>
      </c>
      <c r="H2911" s="1077" t="s">
        <v>1290</v>
      </c>
      <c r="I2911" s="1077" t="s">
        <v>126</v>
      </c>
      <c r="J2911" s="1077">
        <v>1.3</v>
      </c>
      <c r="K2911" s="1077" t="s">
        <v>8640</v>
      </c>
      <c r="L2911" s="1077" t="s">
        <v>1987</v>
      </c>
      <c r="M2911" s="1077">
        <v>72</v>
      </c>
      <c r="N2911" s="1077" t="s">
        <v>945</v>
      </c>
      <c r="O2911" s="1077">
        <v>1.8</v>
      </c>
      <c r="P2911" s="1077">
        <v>1.44</v>
      </c>
      <c r="Q2911" s="1077">
        <v>3</v>
      </c>
      <c r="R2911" s="1077">
        <v>21</v>
      </c>
      <c r="T2911" s="1077">
        <v>21.5</v>
      </c>
      <c r="U2911" s="1077">
        <v>3.5</v>
      </c>
      <c r="V2911" s="1077" t="s">
        <v>648</v>
      </c>
      <c r="W2911" s="1077">
        <v>130</v>
      </c>
      <c r="X2911" s="1077">
        <v>85</v>
      </c>
      <c r="Y2911" s="1077">
        <v>1.8</v>
      </c>
      <c r="Z2911" s="1077">
        <v>5</v>
      </c>
      <c r="AA2911" s="1077" t="s">
        <v>3976</v>
      </c>
      <c r="AH2911" s="1077" t="s">
        <v>3067</v>
      </c>
      <c r="AM2911" s="1078" t="s">
        <v>14729</v>
      </c>
      <c r="AN2911" s="1078" t="s">
        <v>14730</v>
      </c>
      <c r="AO2911" s="1078">
        <f t="shared" si="366"/>
        <v>500</v>
      </c>
      <c r="AP2911" s="1078">
        <f t="shared" si="367"/>
        <v>1.7949999999999999</v>
      </c>
      <c r="AQ2911" s="1078" t="str">
        <f t="shared" si="368"/>
        <v>1-4-1S83°</v>
      </c>
      <c r="AR2911" s="1078" t="str">
        <f t="shared" si="369"/>
        <v>31</v>
      </c>
      <c r="AS2911" s="1078" t="str">
        <f t="shared" si="370"/>
        <v>220/220/OFF</v>
      </c>
      <c r="AT2911" s="1078" t="str">
        <f t="shared" si="371"/>
        <v>1-4-1S83°</v>
      </c>
      <c r="AV2911" s="1078" t="str">
        <f t="shared" si="364"/>
        <v>110.11.19</v>
      </c>
      <c r="AW2911" s="1344">
        <f t="shared" si="365"/>
        <v>44519</v>
      </c>
    </row>
    <row r="2912" spans="1:49">
      <c r="A2912" s="1077" t="s">
        <v>8713</v>
      </c>
      <c r="B2912" s="1077" t="s">
        <v>781</v>
      </c>
      <c r="C2912" s="1077">
        <v>450</v>
      </c>
      <c r="D2912" s="1077">
        <v>1.875</v>
      </c>
      <c r="E2912" s="1077" t="s">
        <v>15095</v>
      </c>
      <c r="F2912" s="1077" t="s">
        <v>975</v>
      </c>
      <c r="G2912" s="1077">
        <v>3</v>
      </c>
      <c r="H2912" s="1077" t="s">
        <v>8433</v>
      </c>
      <c r="I2912" s="1077" t="s">
        <v>626</v>
      </c>
      <c r="J2912" s="1077">
        <v>1.4</v>
      </c>
      <c r="K2912" s="1077" t="s">
        <v>8714</v>
      </c>
      <c r="L2912" s="1077" t="s">
        <v>8435</v>
      </c>
      <c r="M2912" s="1077">
        <v>80.8</v>
      </c>
      <c r="N2912" s="1077" t="s">
        <v>945</v>
      </c>
      <c r="O2912" s="1077">
        <v>2.02</v>
      </c>
      <c r="P2912" s="1077">
        <v>1.6159999999999999</v>
      </c>
      <c r="Q2912" s="1077">
        <v>3</v>
      </c>
      <c r="R2912" s="1077">
        <v>22.6</v>
      </c>
      <c r="T2912" s="1077">
        <v>6.2</v>
      </c>
      <c r="U2912" s="1077">
        <v>9.4</v>
      </c>
      <c r="V2912" s="1077" t="s">
        <v>648</v>
      </c>
      <c r="W2912" s="1077">
        <v>135</v>
      </c>
      <c r="X2912" s="1077">
        <v>55</v>
      </c>
      <c r="Y2912" s="1077">
        <v>1.6</v>
      </c>
      <c r="Z2912" s="1077">
        <v>3</v>
      </c>
      <c r="AA2912" s="1077" t="s">
        <v>6112</v>
      </c>
      <c r="AH2912" s="1077" t="s">
        <v>1827</v>
      </c>
      <c r="AM2912" s="1078" t="s">
        <v>14731</v>
      </c>
      <c r="AN2912" s="1078" t="s">
        <v>14732</v>
      </c>
      <c r="AO2912" s="1078">
        <f t="shared" si="366"/>
        <v>450</v>
      </c>
      <c r="AP2912" s="1078">
        <f t="shared" si="367"/>
        <v>1.875</v>
      </c>
      <c r="AQ2912" s="1078" t="str">
        <f t="shared" si="368"/>
        <v>1-5-1S83°</v>
      </c>
      <c r="AR2912" s="1078" t="str">
        <f t="shared" si="369"/>
        <v>31.5</v>
      </c>
      <c r="AS2912" s="1078" t="str">
        <f t="shared" si="370"/>
        <v>140/140/OFF</v>
      </c>
      <c r="AT2912" s="1078" t="str">
        <f t="shared" si="371"/>
        <v>1-5-1S83°</v>
      </c>
      <c r="AV2912" s="1078" t="str">
        <f t="shared" si="364"/>
        <v>110.11.25</v>
      </c>
      <c r="AW2912" s="1344">
        <f t="shared" si="365"/>
        <v>44525</v>
      </c>
    </row>
    <row r="2913" spans="1:49">
      <c r="A2913" s="1077" t="s">
        <v>8715</v>
      </c>
      <c r="B2913" s="1077" t="s">
        <v>8716</v>
      </c>
      <c r="C2913" s="1077">
        <v>450</v>
      </c>
      <c r="D2913" s="1077">
        <v>1.82</v>
      </c>
      <c r="E2913" s="1077" t="s">
        <v>15089</v>
      </c>
      <c r="F2913" s="1077" t="s">
        <v>984</v>
      </c>
      <c r="G2913" s="1077">
        <v>2</v>
      </c>
      <c r="H2913" s="1077" t="s">
        <v>1155</v>
      </c>
      <c r="I2913" s="1077" t="s">
        <v>126</v>
      </c>
      <c r="J2913" s="1077">
        <v>1</v>
      </c>
      <c r="K2913" s="1077" t="s">
        <v>8717</v>
      </c>
      <c r="L2913" s="1077" t="s">
        <v>8718</v>
      </c>
      <c r="M2913" s="1077">
        <v>40.5</v>
      </c>
      <c r="N2913" s="1077" t="s">
        <v>945</v>
      </c>
      <c r="O2913" s="1077">
        <v>1.0125</v>
      </c>
      <c r="P2913" s="1077">
        <v>0.81</v>
      </c>
      <c r="Q2913" s="1077">
        <v>3</v>
      </c>
      <c r="R2913" s="1077">
        <v>25</v>
      </c>
      <c r="T2913" s="1077">
        <v>33.799999999999997</v>
      </c>
      <c r="U2913" s="1077">
        <v>3.1</v>
      </c>
      <c r="V2913" s="1077" t="s">
        <v>648</v>
      </c>
      <c r="W2913" s="1077">
        <v>120</v>
      </c>
      <c r="X2913" s="1077">
        <v>80</v>
      </c>
      <c r="Y2913" s="1077">
        <v>3</v>
      </c>
      <c r="Z2913" s="1077">
        <v>4.2</v>
      </c>
      <c r="AA2913" s="1077" t="s">
        <v>1447</v>
      </c>
      <c r="AH2913" s="1077" t="s">
        <v>614</v>
      </c>
      <c r="AM2913" s="1078" t="s">
        <v>14733</v>
      </c>
      <c r="AN2913" s="1078" t="s">
        <v>14734</v>
      </c>
      <c r="AO2913" s="1078">
        <f t="shared" si="366"/>
        <v>450</v>
      </c>
      <c r="AP2913" s="1078">
        <f t="shared" si="367"/>
        <v>1.82</v>
      </c>
      <c r="AQ2913" s="1078" t="str">
        <f t="shared" si="368"/>
        <v>1-4-1S83°</v>
      </c>
      <c r="AR2913" s="1078" t="str">
        <f t="shared" si="369"/>
        <v>30</v>
      </c>
      <c r="AS2913" s="1078" t="str">
        <f t="shared" si="370"/>
        <v>215/215/OFF</v>
      </c>
      <c r="AT2913" s="1078" t="str">
        <f t="shared" si="371"/>
        <v>1-4-1S83°</v>
      </c>
      <c r="AV2913" s="1078" t="str">
        <f t="shared" si="364"/>
        <v>110.11.26</v>
      </c>
      <c r="AW2913" s="1344">
        <f t="shared" si="365"/>
        <v>44526</v>
      </c>
    </row>
    <row r="2914" spans="1:49">
      <c r="A2914" s="1077" t="s">
        <v>8719</v>
      </c>
      <c r="B2914" s="1077" t="s">
        <v>8553</v>
      </c>
      <c r="C2914" s="1077">
        <v>550</v>
      </c>
      <c r="D2914" s="1077">
        <v>1.68</v>
      </c>
      <c r="E2914" s="1077">
        <v>102.5</v>
      </c>
      <c r="F2914" s="1077" t="s">
        <v>4070</v>
      </c>
      <c r="G2914" s="1077">
        <v>5</v>
      </c>
      <c r="H2914" s="1077" t="s">
        <v>8646</v>
      </c>
      <c r="I2914" s="1077" t="s">
        <v>8540</v>
      </c>
      <c r="J2914" s="1077">
        <v>3</v>
      </c>
      <c r="K2914" s="1077" t="s">
        <v>8647</v>
      </c>
      <c r="L2914" s="1077" t="s">
        <v>8648</v>
      </c>
      <c r="M2914" s="1077">
        <v>610</v>
      </c>
      <c r="N2914" s="1077" t="s">
        <v>945</v>
      </c>
      <c r="O2914" s="1077">
        <v>15.25</v>
      </c>
      <c r="P2914" s="1077">
        <v>12.200000000000001</v>
      </c>
      <c r="Q2914" s="1077">
        <v>3.5</v>
      </c>
      <c r="R2914" s="1077">
        <v>22</v>
      </c>
      <c r="T2914" s="1077">
        <v>10.5</v>
      </c>
      <c r="U2914" s="1077">
        <v>4.0999999999999996</v>
      </c>
      <c r="V2914" s="1077" t="s">
        <v>648</v>
      </c>
      <c r="W2914" s="1077">
        <v>80</v>
      </c>
      <c r="X2914" s="1077">
        <v>55</v>
      </c>
      <c r="Y2914" s="1077">
        <v>1</v>
      </c>
      <c r="Z2914" s="1077" t="s">
        <v>648</v>
      </c>
      <c r="AA2914" s="1077" t="s">
        <v>3986</v>
      </c>
      <c r="AH2914" s="1077" t="s">
        <v>862</v>
      </c>
      <c r="AM2914" s="1078" t="s">
        <v>14735</v>
      </c>
      <c r="AN2914" s="1078" t="s">
        <v>14736</v>
      </c>
      <c r="AO2914" s="1078">
        <f t="shared" si="366"/>
        <v>550</v>
      </c>
      <c r="AP2914" s="1078">
        <f t="shared" si="367"/>
        <v>1.68</v>
      </c>
      <c r="AQ2914" s="1078">
        <f t="shared" si="368"/>
        <v>102.5</v>
      </c>
      <c r="AR2914" s="1078" t="str">
        <f t="shared" si="369"/>
        <v>15.5</v>
      </c>
      <c r="AS2914" s="1078" t="str">
        <f t="shared" si="370"/>
        <v>500/470/160</v>
      </c>
      <c r="AT2914" s="1078">
        <f t="shared" si="371"/>
        <v>102.5</v>
      </c>
      <c r="AV2914" s="1078" t="str">
        <f t="shared" si="364"/>
        <v>110.12.2</v>
      </c>
      <c r="AW2914" s="1344">
        <f t="shared" si="365"/>
        <v>44532</v>
      </c>
    </row>
    <row r="2915" spans="1:49">
      <c r="A2915" s="1077" t="s">
        <v>8720</v>
      </c>
      <c r="B2915" s="1077" t="s">
        <v>8611</v>
      </c>
      <c r="C2915" s="1077">
        <v>700</v>
      </c>
      <c r="D2915" s="1077">
        <v>1.83</v>
      </c>
      <c r="E2915" s="1077" t="s">
        <v>15116</v>
      </c>
      <c r="F2915" s="1077" t="s">
        <v>984</v>
      </c>
      <c r="G2915" s="1077">
        <v>4</v>
      </c>
      <c r="H2915" s="1077" t="s">
        <v>8608</v>
      </c>
      <c r="I2915" s="1077" t="s">
        <v>460</v>
      </c>
      <c r="J2915" s="1077">
        <v>2.2999999999999998</v>
      </c>
      <c r="K2915" s="1077" t="s">
        <v>8684</v>
      </c>
      <c r="L2915" s="1077" t="s">
        <v>4212</v>
      </c>
      <c r="M2915" s="1077">
        <v>196</v>
      </c>
      <c r="N2915" s="1077" t="s">
        <v>945</v>
      </c>
      <c r="O2915" s="1077">
        <v>4.9000000000000004</v>
      </c>
      <c r="P2915" s="1077">
        <v>3.92</v>
      </c>
      <c r="Q2915" s="1077">
        <v>3</v>
      </c>
      <c r="R2915" s="1077">
        <v>28</v>
      </c>
      <c r="T2915" s="1077">
        <v>15.5</v>
      </c>
      <c r="U2915" s="1077">
        <v>5</v>
      </c>
      <c r="V2915" s="1077" t="s">
        <v>648</v>
      </c>
      <c r="W2915" s="1077">
        <v>130</v>
      </c>
      <c r="X2915" s="1077">
        <v>80</v>
      </c>
      <c r="Y2915" s="1077">
        <v>1.5</v>
      </c>
      <c r="Z2915" s="1077" t="s">
        <v>648</v>
      </c>
      <c r="AA2915" s="1077" t="s">
        <v>7691</v>
      </c>
      <c r="AH2915" s="1077" t="s">
        <v>990</v>
      </c>
      <c r="AM2915" s="1078" t="s">
        <v>14737</v>
      </c>
      <c r="AN2915" s="1078" t="s">
        <v>14738</v>
      </c>
      <c r="AO2915" s="1078">
        <f t="shared" si="366"/>
        <v>700</v>
      </c>
      <c r="AP2915" s="1078">
        <f t="shared" si="367"/>
        <v>1.83</v>
      </c>
      <c r="AQ2915" s="1078" t="str">
        <f t="shared" si="368"/>
        <v>1-5-1S83°Z+S</v>
      </c>
      <c r="AR2915" s="1078" t="str">
        <f t="shared" si="369"/>
        <v>30</v>
      </c>
      <c r="AS2915" s="1078" t="str">
        <f t="shared" si="370"/>
        <v>281/281/155</v>
      </c>
      <c r="AT2915" s="1078" t="str">
        <f t="shared" si="371"/>
        <v>1-5-1S83°Z+S</v>
      </c>
      <c r="AU2915" s="1078" t="s">
        <v>15547</v>
      </c>
      <c r="AV2915" s="1078" t="str">
        <f t="shared" si="364"/>
        <v>110.12.3</v>
      </c>
      <c r="AW2915" s="1344">
        <f t="shared" si="365"/>
        <v>44533</v>
      </c>
    </row>
    <row r="2916" spans="1:49">
      <c r="A2916" s="1077" t="s">
        <v>8721</v>
      </c>
      <c r="B2916" s="1077" t="s">
        <v>8429</v>
      </c>
      <c r="C2916" s="1077">
        <v>500</v>
      </c>
      <c r="D2916" s="1077">
        <v>1.72</v>
      </c>
      <c r="E2916" s="1077" t="s">
        <v>15091</v>
      </c>
      <c r="F2916" s="1077" t="s">
        <v>1689</v>
      </c>
      <c r="G2916" s="1077">
        <v>2</v>
      </c>
      <c r="H2916" s="1077" t="s">
        <v>1484</v>
      </c>
      <c r="I2916" s="1077" t="s">
        <v>626</v>
      </c>
      <c r="J2916" s="1077">
        <v>1.5</v>
      </c>
      <c r="K2916" s="1077" t="s">
        <v>8722</v>
      </c>
      <c r="L2916" s="1077" t="s">
        <v>872</v>
      </c>
      <c r="M2916" s="1077">
        <v>30.9</v>
      </c>
      <c r="N2916" s="1077" t="s">
        <v>945</v>
      </c>
      <c r="O2916" s="1077">
        <v>0.77249999999999996</v>
      </c>
      <c r="P2916" s="1077">
        <v>0.61799999999999999</v>
      </c>
      <c r="Q2916" s="1077">
        <v>4</v>
      </c>
      <c r="R2916" s="1077">
        <v>19.5</v>
      </c>
      <c r="T2916" s="1077">
        <v>30.1</v>
      </c>
      <c r="U2916" s="1077">
        <v>3.9</v>
      </c>
      <c r="V2916" s="1077" t="s">
        <v>648</v>
      </c>
      <c r="W2916" s="1077">
        <v>150</v>
      </c>
      <c r="X2916" s="1077">
        <v>80</v>
      </c>
      <c r="Y2916" s="1077">
        <v>2.2000000000000002</v>
      </c>
      <c r="Z2916" s="1077">
        <v>3</v>
      </c>
      <c r="AA2916" s="1077" t="s">
        <v>3994</v>
      </c>
      <c r="AH2916" s="1077" t="s">
        <v>1803</v>
      </c>
      <c r="AM2916" s="1078" t="s">
        <v>14739</v>
      </c>
      <c r="AN2916" s="1078" t="s">
        <v>14740</v>
      </c>
      <c r="AO2916" s="1078">
        <f t="shared" si="366"/>
        <v>500</v>
      </c>
      <c r="AP2916" s="1078">
        <f t="shared" si="367"/>
        <v>1.72</v>
      </c>
      <c r="AQ2916" s="1078" t="str">
        <f t="shared" si="368"/>
        <v>2-5-1S83°</v>
      </c>
      <c r="AR2916" s="1078" t="str">
        <f t="shared" si="369"/>
        <v>29.5</v>
      </c>
      <c r="AS2916" s="1078" t="str">
        <f t="shared" si="370"/>
        <v>165/OFF</v>
      </c>
      <c r="AT2916" s="1078" t="str">
        <f t="shared" si="371"/>
        <v>2-5-1S83°</v>
      </c>
      <c r="AV2916" s="1078" t="str">
        <f t="shared" si="364"/>
        <v>110.12.10</v>
      </c>
      <c r="AW2916" s="1344">
        <f t="shared" si="365"/>
        <v>44540</v>
      </c>
    </row>
    <row r="2917" spans="1:49">
      <c r="A2917" s="1077" t="s">
        <v>8723</v>
      </c>
      <c r="B2917" s="1077" t="s">
        <v>654</v>
      </c>
      <c r="C2917" s="1077">
        <v>500</v>
      </c>
      <c r="D2917" s="1077">
        <v>1.69</v>
      </c>
      <c r="E2917" s="1077">
        <v>102.5</v>
      </c>
      <c r="F2917" s="1077" t="s">
        <v>4070</v>
      </c>
      <c r="G2917" s="1077">
        <v>5.5</v>
      </c>
      <c r="H2917" s="1077" t="s">
        <v>8679</v>
      </c>
      <c r="I2917" s="1077" t="s">
        <v>643</v>
      </c>
      <c r="J2917" s="1077">
        <v>3.4</v>
      </c>
      <c r="K2917" s="1077" t="s">
        <v>8724</v>
      </c>
      <c r="L2917" s="1077" t="s">
        <v>8725</v>
      </c>
      <c r="M2917" s="1077">
        <v>427.4</v>
      </c>
      <c r="N2917" s="1077" t="s">
        <v>945</v>
      </c>
      <c r="O2917" s="1077">
        <v>10.685</v>
      </c>
      <c r="P2917" s="1077">
        <v>8.548</v>
      </c>
      <c r="Q2917" s="1077">
        <v>3.5</v>
      </c>
      <c r="R2917" s="1077">
        <v>19.600000000000001</v>
      </c>
      <c r="T2917" s="1077">
        <v>14.9</v>
      </c>
      <c r="U2917" s="1077">
        <v>4.2</v>
      </c>
      <c r="V2917" s="1077" t="s">
        <v>648</v>
      </c>
      <c r="W2917" s="1077">
        <v>120</v>
      </c>
      <c r="X2917" s="1077">
        <v>90</v>
      </c>
      <c r="Y2917" s="1077">
        <v>1</v>
      </c>
      <c r="Z2917" s="1077" t="s">
        <v>648</v>
      </c>
      <c r="AA2917" s="1077" t="s">
        <v>5302</v>
      </c>
      <c r="AB2917" s="1077" t="s">
        <v>2680</v>
      </c>
      <c r="AC2917" s="1077" t="s">
        <v>2680</v>
      </c>
      <c r="AD2917" s="1077" t="s">
        <v>2680</v>
      </c>
      <c r="AH2917" s="1077" t="s">
        <v>723</v>
      </c>
      <c r="AM2917" s="1078" t="s">
        <v>14741</v>
      </c>
      <c r="AN2917" s="1078" t="s">
        <v>14742</v>
      </c>
      <c r="AO2917" s="1078">
        <f t="shared" si="366"/>
        <v>500</v>
      </c>
      <c r="AP2917" s="1078">
        <f t="shared" si="367"/>
        <v>1.69</v>
      </c>
      <c r="AQ2917" s="1078">
        <f t="shared" si="368"/>
        <v>102.5</v>
      </c>
      <c r="AR2917" s="1078" t="str">
        <f t="shared" si="369"/>
        <v>15.5</v>
      </c>
      <c r="AS2917" s="1078" t="str">
        <f t="shared" si="370"/>
        <v>480/420/160</v>
      </c>
      <c r="AT2917" s="1078">
        <f t="shared" si="371"/>
        <v>102.5</v>
      </c>
      <c r="AV2917" s="1078" t="str">
        <f t="shared" si="364"/>
        <v>110.12.16</v>
      </c>
      <c r="AW2917" s="1344">
        <f t="shared" si="365"/>
        <v>44546</v>
      </c>
    </row>
    <row r="2918" spans="1:49">
      <c r="A2918" s="1077" t="s">
        <v>8726</v>
      </c>
      <c r="B2918" s="1077" t="s">
        <v>654</v>
      </c>
      <c r="C2918" s="1077">
        <v>550</v>
      </c>
      <c r="D2918" s="1077">
        <v>1.659</v>
      </c>
      <c r="E2918" s="1077">
        <v>102.5</v>
      </c>
      <c r="F2918" s="1077" t="s">
        <v>8727</v>
      </c>
      <c r="G2918" s="1077">
        <v>5.5</v>
      </c>
      <c r="H2918" s="1077" t="s">
        <v>8728</v>
      </c>
      <c r="I2918" s="1077" t="s">
        <v>643</v>
      </c>
      <c r="J2918" s="1077">
        <v>0.6</v>
      </c>
      <c r="K2918" s="1077" t="s">
        <v>8729</v>
      </c>
      <c r="L2918" s="1077" t="s">
        <v>8730</v>
      </c>
      <c r="M2918" s="1077">
        <v>462</v>
      </c>
      <c r="N2918" s="1077" t="s">
        <v>945</v>
      </c>
      <c r="O2918" s="1077">
        <v>11.55</v>
      </c>
      <c r="P2918" s="1077">
        <v>9.24</v>
      </c>
      <c r="Q2918" s="1077">
        <v>3.5</v>
      </c>
      <c r="R2918" s="1077">
        <v>20.100000000000001</v>
      </c>
      <c r="T2918" s="1077">
        <v>25.7</v>
      </c>
      <c r="U2918" s="1077">
        <v>3</v>
      </c>
      <c r="V2918" s="1077" t="s">
        <v>648</v>
      </c>
      <c r="W2918" s="1077" t="s">
        <v>648</v>
      </c>
      <c r="X2918" s="1077" t="s">
        <v>648</v>
      </c>
      <c r="Y2918" s="1077">
        <v>1.5</v>
      </c>
      <c r="Z2918" s="1077" t="s">
        <v>648</v>
      </c>
      <c r="AA2918" s="1077" t="s">
        <v>4000</v>
      </c>
      <c r="AB2918" s="1077" t="s">
        <v>2680</v>
      </c>
      <c r="AH2918" s="1077" t="s">
        <v>854</v>
      </c>
      <c r="AM2918" s="1078" t="s">
        <v>14743</v>
      </c>
      <c r="AN2918" s="1078" t="s">
        <v>14744</v>
      </c>
      <c r="AO2918" s="1078">
        <f t="shared" si="366"/>
        <v>550</v>
      </c>
      <c r="AP2918" s="1078">
        <f t="shared" si="367"/>
        <v>1.659</v>
      </c>
      <c r="AQ2918" s="1078">
        <f t="shared" si="368"/>
        <v>102.5</v>
      </c>
      <c r="AR2918" s="1078" t="str">
        <f t="shared" si="369"/>
        <v>15.7</v>
      </c>
      <c r="AS2918" s="1078" t="str">
        <f t="shared" si="370"/>
        <v>505/490/200</v>
      </c>
      <c r="AT2918" s="1078">
        <f t="shared" si="371"/>
        <v>102.5</v>
      </c>
      <c r="AV2918" s="1078" t="str">
        <f t="shared" si="364"/>
        <v>110.12.23</v>
      </c>
      <c r="AW2918" s="1344">
        <f t="shared" si="365"/>
        <v>44553</v>
      </c>
    </row>
    <row r="2919" spans="1:49">
      <c r="A2919" s="1077" t="s">
        <v>8731</v>
      </c>
      <c r="B2919" s="1077" t="s">
        <v>8429</v>
      </c>
      <c r="C2919" s="1077">
        <v>500</v>
      </c>
      <c r="D2919" s="1077">
        <v>1.71</v>
      </c>
      <c r="E2919" s="1077" t="s">
        <v>15089</v>
      </c>
      <c r="F2919" s="1077" t="s">
        <v>954</v>
      </c>
      <c r="G2919" s="1077">
        <v>2</v>
      </c>
      <c r="H2919" s="1077" t="s">
        <v>1017</v>
      </c>
      <c r="I2919" s="1077" t="s">
        <v>626</v>
      </c>
      <c r="J2919" s="1077">
        <v>1.1000000000000001</v>
      </c>
      <c r="K2919" s="1077" t="s">
        <v>8722</v>
      </c>
      <c r="L2919" s="1077" t="s">
        <v>8442</v>
      </c>
      <c r="M2919" s="1077">
        <v>30.9</v>
      </c>
      <c r="N2919" s="1077" t="s">
        <v>945</v>
      </c>
      <c r="O2919" s="1077">
        <v>0.77249999999999996</v>
      </c>
      <c r="P2919" s="1077">
        <v>0.61799999999999999</v>
      </c>
      <c r="Q2919" s="1077">
        <v>4</v>
      </c>
      <c r="R2919" s="1077">
        <v>19.5</v>
      </c>
      <c r="T2919" s="1077">
        <v>30.1</v>
      </c>
      <c r="U2919" s="1077">
        <v>3.9</v>
      </c>
      <c r="V2919" s="1077" t="s">
        <v>648</v>
      </c>
      <c r="W2919" s="1077">
        <v>150</v>
      </c>
      <c r="X2919" s="1077">
        <v>80</v>
      </c>
      <c r="Y2919" s="1077">
        <v>2.2000000000000002</v>
      </c>
      <c r="Z2919" s="1077">
        <v>3</v>
      </c>
      <c r="AA2919" s="1077" t="s">
        <v>4000</v>
      </c>
      <c r="AH2919" s="1077" t="s">
        <v>614</v>
      </c>
      <c r="AM2919" s="1078" t="s">
        <v>14745</v>
      </c>
      <c r="AN2919" s="1078" t="s">
        <v>14746</v>
      </c>
      <c r="AO2919" s="1078">
        <f t="shared" si="366"/>
        <v>500</v>
      </c>
      <c r="AP2919" s="1078">
        <f t="shared" si="367"/>
        <v>1.71</v>
      </c>
      <c r="AQ2919" s="1078" t="str">
        <f t="shared" si="368"/>
        <v>1-4-1S83°</v>
      </c>
      <c r="AR2919" s="1078" t="str">
        <f t="shared" si="369"/>
        <v>31</v>
      </c>
      <c r="AS2919" s="1078" t="str">
        <f t="shared" si="370"/>
        <v>200/200/OFF</v>
      </c>
      <c r="AT2919" s="1078" t="str">
        <f t="shared" si="371"/>
        <v>1-4-1S83°</v>
      </c>
      <c r="AV2919" s="1078" t="str">
        <f t="shared" si="364"/>
        <v>110.12.23</v>
      </c>
      <c r="AW2919" s="1344">
        <f t="shared" si="365"/>
        <v>44553</v>
      </c>
    </row>
    <row r="2920" spans="1:49">
      <c r="A2920" s="1077" t="s">
        <v>8732</v>
      </c>
      <c r="B2920" s="1077" t="s">
        <v>8611</v>
      </c>
      <c r="C2920" s="1077">
        <v>550</v>
      </c>
      <c r="D2920" s="1077">
        <v>1.86</v>
      </c>
      <c r="E2920" s="1077">
        <v>105</v>
      </c>
      <c r="F2920" s="1077" t="s">
        <v>4070</v>
      </c>
      <c r="G2920" s="1077" t="s">
        <v>8733</v>
      </c>
      <c r="H2920" s="1077" t="s">
        <v>8695</v>
      </c>
      <c r="I2920" s="1077" t="s">
        <v>471</v>
      </c>
      <c r="J2920" s="1077">
        <v>2.8</v>
      </c>
      <c r="K2920" s="1077" t="s">
        <v>8734</v>
      </c>
      <c r="L2920" s="1077" t="s">
        <v>4212</v>
      </c>
      <c r="M2920" s="1077">
        <v>196</v>
      </c>
      <c r="N2920" s="1077" t="s">
        <v>945</v>
      </c>
      <c r="O2920" s="1077">
        <v>4.9000000000000004</v>
      </c>
      <c r="P2920" s="1077">
        <v>3.92</v>
      </c>
      <c r="Q2920" s="1077">
        <v>3</v>
      </c>
      <c r="R2920" s="1077">
        <v>28</v>
      </c>
      <c r="T2920" s="1077">
        <v>15.5</v>
      </c>
      <c r="U2920" s="1077">
        <v>5</v>
      </c>
      <c r="V2920" s="1077" t="s">
        <v>648</v>
      </c>
      <c r="W2920" s="1077">
        <v>130</v>
      </c>
      <c r="X2920" s="1077">
        <v>80</v>
      </c>
      <c r="Y2920" s="1077">
        <v>1.5</v>
      </c>
      <c r="Z2920" s="1077" t="s">
        <v>648</v>
      </c>
      <c r="AA2920" s="1077" t="s">
        <v>5316</v>
      </c>
      <c r="AH2920" s="1077" t="s">
        <v>6606</v>
      </c>
      <c r="AM2920" s="1078" t="s">
        <v>14747</v>
      </c>
      <c r="AN2920" s="1078" t="s">
        <v>14748</v>
      </c>
      <c r="AO2920" s="1078">
        <f t="shared" si="366"/>
        <v>550</v>
      </c>
      <c r="AP2920" s="1078">
        <f t="shared" si="367"/>
        <v>1.86</v>
      </c>
      <c r="AQ2920" s="1078">
        <f t="shared" si="368"/>
        <v>105</v>
      </c>
      <c r="AR2920" s="1078" t="str">
        <f t="shared" si="369"/>
        <v>15.5</v>
      </c>
      <c r="AS2920" s="1078" t="str">
        <f t="shared" si="370"/>
        <v>340/320/150</v>
      </c>
      <c r="AT2920" s="1078">
        <f t="shared" si="371"/>
        <v>105</v>
      </c>
      <c r="AV2920" s="1078" t="str">
        <f t="shared" si="364"/>
        <v>110.12.27</v>
      </c>
      <c r="AW2920" s="1344">
        <f t="shared" si="365"/>
        <v>44557</v>
      </c>
    </row>
    <row r="2921" spans="1:49">
      <c r="A2921" s="1077" t="s">
        <v>8735</v>
      </c>
      <c r="B2921" s="1077" t="s">
        <v>8519</v>
      </c>
      <c r="C2921" s="1077">
        <v>600</v>
      </c>
      <c r="D2921" s="1077">
        <v>1.75</v>
      </c>
      <c r="E2921" s="1077" t="s">
        <v>15104</v>
      </c>
      <c r="F2921" s="1077" t="s">
        <v>648</v>
      </c>
      <c r="G2921" s="1077">
        <v>5</v>
      </c>
      <c r="H2921" s="1077" t="s">
        <v>8736</v>
      </c>
      <c r="I2921" s="1077" t="s">
        <v>460</v>
      </c>
      <c r="J2921" s="1077">
        <v>2.6</v>
      </c>
      <c r="K2921" s="1077" t="s">
        <v>8737</v>
      </c>
      <c r="L2921" s="1077" t="s">
        <v>4085</v>
      </c>
      <c r="M2921" s="1077">
        <v>206</v>
      </c>
      <c r="N2921" s="1077" t="s">
        <v>945</v>
      </c>
      <c r="O2921" s="1077">
        <v>5.15</v>
      </c>
      <c r="P2921" s="1077">
        <v>4.12</v>
      </c>
      <c r="Q2921" s="1077">
        <v>4</v>
      </c>
      <c r="R2921" s="1077">
        <v>25</v>
      </c>
      <c r="T2921" s="1077">
        <v>18.5</v>
      </c>
      <c r="U2921" s="1077">
        <v>4.0999999999999996</v>
      </c>
      <c r="V2921" s="1077" t="s">
        <v>648</v>
      </c>
      <c r="W2921" s="1077">
        <v>120</v>
      </c>
      <c r="X2921" s="1077">
        <v>85</v>
      </c>
      <c r="Y2921" s="1077">
        <v>1.5</v>
      </c>
      <c r="Z2921" s="1077" t="s">
        <v>648</v>
      </c>
      <c r="AA2921" s="1077" t="s">
        <v>4286</v>
      </c>
      <c r="AH2921" s="1077" t="s">
        <v>3067</v>
      </c>
      <c r="AM2921" s="1078" t="s">
        <v>14749</v>
      </c>
      <c r="AN2921" s="1078" t="s">
        <v>14750</v>
      </c>
      <c r="AO2921" s="1078">
        <f t="shared" si="366"/>
        <v>600</v>
      </c>
      <c r="AP2921" s="1078">
        <f t="shared" si="367"/>
        <v>1.75</v>
      </c>
      <c r="AQ2921" s="1078" t="str">
        <f t="shared" si="368"/>
        <v>1-4-1S85°Z+S</v>
      </c>
      <c r="AR2921" s="1078" t="str">
        <f t="shared" si="369"/>
        <v>NA</v>
      </c>
      <c r="AS2921" s="1078" t="str">
        <f t="shared" si="370"/>
        <v>160/140</v>
      </c>
      <c r="AT2921" s="1078" t="str">
        <f t="shared" si="371"/>
        <v>1-4-1S85°Z+S</v>
      </c>
      <c r="AU2921" s="1078" t="s">
        <v>15547</v>
      </c>
      <c r="AV2921" s="1078" t="str">
        <f t="shared" si="364"/>
        <v>110.12.29</v>
      </c>
      <c r="AW2921" s="1344">
        <f t="shared" si="365"/>
        <v>44559</v>
      </c>
    </row>
    <row r="2922" spans="1:49">
      <c r="A2922" s="1077" t="s">
        <v>8738</v>
      </c>
      <c r="B2922" s="1077" t="s">
        <v>8698</v>
      </c>
      <c r="C2922" s="1077">
        <v>620</v>
      </c>
      <c r="D2922" s="1077">
        <v>1.71</v>
      </c>
      <c r="E2922" s="1077" t="s">
        <v>15089</v>
      </c>
      <c r="F2922" s="1077" t="s">
        <v>2167</v>
      </c>
      <c r="G2922" s="1077">
        <v>2</v>
      </c>
      <c r="H2922" s="1077" t="s">
        <v>1327</v>
      </c>
      <c r="I2922" s="1077" t="s">
        <v>1073</v>
      </c>
      <c r="J2922" s="1077">
        <v>1.7</v>
      </c>
      <c r="K2922" s="1077" t="s">
        <v>8739</v>
      </c>
      <c r="L2922" s="1077" t="s">
        <v>8426</v>
      </c>
      <c r="M2922" s="1077">
        <v>31.5</v>
      </c>
      <c r="N2922" s="1077" t="s">
        <v>945</v>
      </c>
      <c r="O2922" s="1077">
        <v>0.78750000000000009</v>
      </c>
      <c r="P2922" s="1077">
        <v>0.63</v>
      </c>
      <c r="Q2922" s="1077">
        <v>4</v>
      </c>
      <c r="R2922" s="1077">
        <v>20</v>
      </c>
      <c r="T2922" s="1077">
        <v>39</v>
      </c>
      <c r="U2922" s="1077">
        <v>3.5</v>
      </c>
      <c r="V2922" s="1077" t="s">
        <v>648</v>
      </c>
      <c r="W2922" s="1077">
        <v>150</v>
      </c>
      <c r="X2922" s="1077">
        <v>85</v>
      </c>
      <c r="Y2922" s="1077">
        <v>3</v>
      </c>
      <c r="Z2922" s="1077">
        <v>3.5</v>
      </c>
      <c r="AA2922" s="1077" t="s">
        <v>8740</v>
      </c>
      <c r="AH2922" s="1077" t="s">
        <v>3830</v>
      </c>
      <c r="AM2922" s="1078" t="s">
        <v>14751</v>
      </c>
      <c r="AN2922" s="1078" t="s">
        <v>14752</v>
      </c>
      <c r="AO2922" s="1078">
        <f t="shared" si="366"/>
        <v>620</v>
      </c>
      <c r="AP2922" s="1078">
        <f t="shared" si="367"/>
        <v>1.71</v>
      </c>
      <c r="AQ2922" s="1078" t="str">
        <f t="shared" si="368"/>
        <v>1-4-1S83°</v>
      </c>
      <c r="AR2922" s="1078" t="str">
        <f t="shared" si="369"/>
        <v>33</v>
      </c>
      <c r="AS2922" s="1078" t="str">
        <f t="shared" si="370"/>
        <v>232/232/OFF</v>
      </c>
      <c r="AT2922" s="1078" t="str">
        <f t="shared" si="371"/>
        <v>1-4-1S83°</v>
      </c>
      <c r="AV2922" s="1078" t="str">
        <f t="shared" si="364"/>
        <v>111.1.5</v>
      </c>
      <c r="AW2922" s="1344">
        <f t="shared" si="365"/>
        <v>44566</v>
      </c>
    </row>
    <row r="2923" spans="1:49">
      <c r="A2923" s="1077" t="s">
        <v>8741</v>
      </c>
      <c r="B2923" s="1077" t="s">
        <v>8631</v>
      </c>
      <c r="C2923" s="1077">
        <v>600</v>
      </c>
      <c r="D2923" s="1077">
        <v>1.74</v>
      </c>
      <c r="E2923" s="1077" t="s">
        <v>15104</v>
      </c>
      <c r="F2923" s="1077" t="s">
        <v>648</v>
      </c>
      <c r="G2923" s="1077">
        <v>5</v>
      </c>
      <c r="H2923" s="1077" t="s">
        <v>8742</v>
      </c>
      <c r="I2923" s="1077" t="s">
        <v>460</v>
      </c>
      <c r="J2923" s="1077">
        <v>2.5</v>
      </c>
      <c r="K2923" s="1077" t="s">
        <v>8743</v>
      </c>
      <c r="L2923" s="1077" t="s">
        <v>4029</v>
      </c>
      <c r="M2923" s="1077">
        <v>206</v>
      </c>
      <c r="N2923" s="1077" t="s">
        <v>945</v>
      </c>
      <c r="O2923" s="1077">
        <v>5.15</v>
      </c>
      <c r="P2923" s="1077">
        <v>4.12</v>
      </c>
      <c r="Q2923" s="1077">
        <v>4</v>
      </c>
      <c r="R2923" s="1077">
        <v>20</v>
      </c>
      <c r="T2923" s="1077">
        <v>18.5</v>
      </c>
      <c r="U2923" s="1077">
        <v>4.0999999999999996</v>
      </c>
      <c r="V2923" s="1077" t="s">
        <v>648</v>
      </c>
      <c r="W2923" s="1077">
        <v>120</v>
      </c>
      <c r="X2923" s="1077">
        <v>85</v>
      </c>
      <c r="Y2923" s="1077">
        <v>1.5</v>
      </c>
      <c r="Z2923" s="1077" t="s">
        <v>648</v>
      </c>
      <c r="AA2923" s="1077" t="s">
        <v>4286</v>
      </c>
      <c r="AH2923" s="1077" t="s">
        <v>1486</v>
      </c>
      <c r="AM2923" s="1078" t="s">
        <v>14753</v>
      </c>
      <c r="AN2923" s="1078" t="s">
        <v>14754</v>
      </c>
      <c r="AO2923" s="1078">
        <f t="shared" si="366"/>
        <v>600</v>
      </c>
      <c r="AP2923" s="1078">
        <f t="shared" si="367"/>
        <v>1.74</v>
      </c>
      <c r="AQ2923" s="1078" t="str">
        <f t="shared" si="368"/>
        <v>1-4-1S85°Z+S</v>
      </c>
      <c r="AR2923" s="1078" t="str">
        <f t="shared" si="369"/>
        <v>NA</v>
      </c>
      <c r="AS2923" s="1078" t="str">
        <f t="shared" si="370"/>
        <v>162/145</v>
      </c>
      <c r="AT2923" s="1078" t="str">
        <f t="shared" si="371"/>
        <v>1-4-1S85°Z+S</v>
      </c>
      <c r="AU2923" s="1078" t="s">
        <v>15547</v>
      </c>
      <c r="AV2923" s="1078" t="str">
        <f t="shared" si="364"/>
        <v>110.12.29</v>
      </c>
      <c r="AW2923" s="1344">
        <f t="shared" si="365"/>
        <v>44559</v>
      </c>
    </row>
    <row r="2924" spans="1:49">
      <c r="A2924" s="1077" t="s">
        <v>8744</v>
      </c>
      <c r="B2924" s="1077" t="s">
        <v>8671</v>
      </c>
      <c r="C2924" s="1077">
        <v>500</v>
      </c>
      <c r="D2924" s="1077">
        <v>1.8</v>
      </c>
      <c r="E2924" s="1077" t="s">
        <v>15089</v>
      </c>
      <c r="F2924" s="1077" t="s">
        <v>975</v>
      </c>
      <c r="G2924" s="1077" t="s">
        <v>1016</v>
      </c>
      <c r="H2924" s="1077" t="s">
        <v>1017</v>
      </c>
      <c r="I2924" s="1077" t="s">
        <v>126</v>
      </c>
      <c r="J2924" s="1077">
        <v>1.5</v>
      </c>
      <c r="K2924" s="1077" t="s">
        <v>8672</v>
      </c>
      <c r="L2924" s="1077" t="s">
        <v>8673</v>
      </c>
      <c r="M2924" s="1077">
        <v>72</v>
      </c>
      <c r="N2924" s="1077" t="s">
        <v>945</v>
      </c>
      <c r="O2924" s="1077">
        <v>1.8</v>
      </c>
      <c r="P2924" s="1077">
        <v>1.44</v>
      </c>
      <c r="Q2924" s="1077">
        <v>3</v>
      </c>
      <c r="R2924" s="1077">
        <v>26</v>
      </c>
      <c r="T2924" s="1077">
        <v>21.5</v>
      </c>
      <c r="U2924" s="1077">
        <v>4</v>
      </c>
      <c r="V2924" s="1077" t="s">
        <v>648</v>
      </c>
      <c r="W2924" s="1077">
        <v>130</v>
      </c>
      <c r="X2924" s="1077">
        <v>85</v>
      </c>
      <c r="Y2924" s="1077">
        <v>1.8</v>
      </c>
      <c r="Z2924" s="1077">
        <v>5</v>
      </c>
      <c r="AA2924" s="1077" t="s">
        <v>4295</v>
      </c>
      <c r="AH2924" s="1077" t="s">
        <v>2384</v>
      </c>
      <c r="AM2924" s="1078" t="s">
        <v>14755</v>
      </c>
      <c r="AN2924" s="1078" t="s">
        <v>14756</v>
      </c>
      <c r="AO2924" s="1078">
        <f t="shared" si="366"/>
        <v>500</v>
      </c>
      <c r="AP2924" s="1078">
        <f t="shared" si="367"/>
        <v>1.8</v>
      </c>
      <c r="AQ2924" s="1078" t="str">
        <f t="shared" si="368"/>
        <v>1-4-1S83°</v>
      </c>
      <c r="AR2924" s="1078" t="str">
        <f t="shared" si="369"/>
        <v>31.5</v>
      </c>
      <c r="AS2924" s="1078" t="str">
        <f t="shared" si="370"/>
        <v>200/200/OFF</v>
      </c>
      <c r="AT2924" s="1078" t="str">
        <f t="shared" si="371"/>
        <v>1-4-1S83°</v>
      </c>
      <c r="AV2924" s="1078" t="str">
        <f t="shared" si="364"/>
        <v>111.1.10</v>
      </c>
      <c r="AW2924" s="1344">
        <f t="shared" si="365"/>
        <v>44571</v>
      </c>
    </row>
    <row r="2925" spans="1:49">
      <c r="A2925" s="1077" t="s">
        <v>8745</v>
      </c>
      <c r="B2925" s="1077" t="s">
        <v>8438</v>
      </c>
      <c r="C2925" s="1077">
        <v>500</v>
      </c>
      <c r="D2925" s="1077">
        <v>1.79</v>
      </c>
      <c r="E2925" s="1077" t="s">
        <v>15094</v>
      </c>
      <c r="F2925" s="1077" t="s">
        <v>2234</v>
      </c>
      <c r="G2925" s="1077">
        <v>5</v>
      </c>
      <c r="H2925" s="1077" t="s">
        <v>5639</v>
      </c>
      <c r="I2925" s="1077" t="s">
        <v>460</v>
      </c>
      <c r="J2925" s="1077">
        <v>1.8</v>
      </c>
      <c r="K2925" s="1077" t="s">
        <v>8584</v>
      </c>
      <c r="L2925" s="1077" t="s">
        <v>8571</v>
      </c>
      <c r="M2925" s="1077">
        <v>166.5</v>
      </c>
      <c r="N2925" s="1077" t="s">
        <v>945</v>
      </c>
      <c r="O2925" s="1077">
        <v>4.1625000000000005</v>
      </c>
      <c r="P2925" s="1077">
        <v>3.33</v>
      </c>
      <c r="Q2925" s="1077">
        <v>3</v>
      </c>
      <c r="R2925" s="1077">
        <v>23.8</v>
      </c>
      <c r="T2925" s="1077">
        <v>11.2</v>
      </c>
      <c r="U2925" s="1077">
        <v>3.5</v>
      </c>
      <c r="V2925" s="1077" t="s">
        <v>648</v>
      </c>
      <c r="W2925" s="1077">
        <v>105</v>
      </c>
      <c r="X2925" s="1077">
        <v>50</v>
      </c>
      <c r="Y2925" s="1077">
        <v>1.4</v>
      </c>
      <c r="Z2925" s="1077">
        <v>5</v>
      </c>
      <c r="AA2925" s="1077" t="s">
        <v>1802</v>
      </c>
      <c r="AH2925" s="1077" t="s">
        <v>1588</v>
      </c>
      <c r="AM2925" s="1078" t="s">
        <v>14757</v>
      </c>
      <c r="AN2925" s="1078" t="s">
        <v>14758</v>
      </c>
      <c r="AO2925" s="1078">
        <f t="shared" si="366"/>
        <v>500</v>
      </c>
      <c r="AP2925" s="1078">
        <f t="shared" si="367"/>
        <v>1.79</v>
      </c>
      <c r="AQ2925" s="1078" t="str">
        <f t="shared" si="368"/>
        <v>1-5-1S91°</v>
      </c>
      <c r="AR2925" s="1078" t="str">
        <f t="shared" si="369"/>
        <v>33.5</v>
      </c>
      <c r="AS2925" s="1078" t="str">
        <f t="shared" si="370"/>
        <v>300/300/145</v>
      </c>
      <c r="AT2925" s="1078" t="str">
        <f t="shared" si="371"/>
        <v>1-5-1S91°</v>
      </c>
      <c r="AV2925" s="1078" t="str">
        <f t="shared" si="364"/>
        <v>111.2.7</v>
      </c>
      <c r="AW2925" s="1344">
        <f t="shared" si="365"/>
        <v>44599</v>
      </c>
    </row>
    <row r="2926" spans="1:49">
      <c r="A2926" s="1077" t="s">
        <v>8746</v>
      </c>
      <c r="B2926" s="1077" t="s">
        <v>8594</v>
      </c>
      <c r="C2926" s="1077">
        <v>600</v>
      </c>
      <c r="D2926" s="1077">
        <v>1.77</v>
      </c>
      <c r="E2926" s="1077" t="s">
        <v>15094</v>
      </c>
      <c r="F2926" s="1077" t="s">
        <v>2234</v>
      </c>
      <c r="G2926" s="1077">
        <v>4</v>
      </c>
      <c r="H2926" s="1077" t="s">
        <v>8747</v>
      </c>
      <c r="I2926" s="1077" t="s">
        <v>460</v>
      </c>
      <c r="J2926" s="1077" t="s">
        <v>8748</v>
      </c>
      <c r="K2926" s="1077" t="s">
        <v>8749</v>
      </c>
      <c r="L2926" s="1077" t="s">
        <v>8596</v>
      </c>
      <c r="M2926" s="1077">
        <v>229</v>
      </c>
      <c r="N2926" s="1077" t="s">
        <v>945</v>
      </c>
      <c r="O2926" s="1077">
        <v>5.7250000000000005</v>
      </c>
      <c r="P2926" s="1077">
        <v>4.58</v>
      </c>
      <c r="Q2926" s="1077">
        <v>3</v>
      </c>
      <c r="R2926" s="1077">
        <v>28.5</v>
      </c>
      <c r="T2926" s="1077">
        <v>13.5</v>
      </c>
      <c r="U2926" s="1077">
        <v>5.0999999999999996</v>
      </c>
      <c r="V2926" s="1077" t="s">
        <v>648</v>
      </c>
      <c r="W2926" s="1077">
        <v>30</v>
      </c>
      <c r="X2926" s="1077">
        <v>10</v>
      </c>
      <c r="Y2926" s="1077">
        <v>1.5</v>
      </c>
      <c r="Z2926" s="1077">
        <v>6.5</v>
      </c>
      <c r="AA2926" s="1077" t="s">
        <v>1461</v>
      </c>
      <c r="AH2926" s="1077" t="s">
        <v>5681</v>
      </c>
      <c r="AM2926" s="1078" t="s">
        <v>14759</v>
      </c>
      <c r="AN2926" s="1078" t="s">
        <v>14760</v>
      </c>
      <c r="AO2926" s="1078">
        <f t="shared" si="366"/>
        <v>600</v>
      </c>
      <c r="AP2926" s="1078">
        <f t="shared" si="367"/>
        <v>1.77</v>
      </c>
      <c r="AQ2926" s="1078" t="str">
        <f t="shared" si="368"/>
        <v>1-5-1S91°</v>
      </c>
      <c r="AR2926" s="1078" t="str">
        <f t="shared" si="369"/>
        <v>33.5</v>
      </c>
      <c r="AS2926" s="1078" t="str">
        <f t="shared" si="370"/>
        <v>350/350/135</v>
      </c>
      <c r="AT2926" s="1078" t="str">
        <f t="shared" si="371"/>
        <v>1-5-1S91°</v>
      </c>
      <c r="AV2926" s="1078" t="str">
        <f t="shared" si="364"/>
        <v>111.2.14</v>
      </c>
      <c r="AW2926" s="1344">
        <f t="shared" si="365"/>
        <v>44606</v>
      </c>
    </row>
    <row r="2927" spans="1:49">
      <c r="A2927" s="1077" t="s">
        <v>8750</v>
      </c>
      <c r="B2927" s="1077" t="s">
        <v>8519</v>
      </c>
      <c r="C2927" s="1077">
        <v>600</v>
      </c>
      <c r="D2927" s="1077">
        <v>1.75</v>
      </c>
      <c r="E2927" s="1077" t="s">
        <v>15104</v>
      </c>
      <c r="F2927" s="1077" t="s">
        <v>648</v>
      </c>
      <c r="G2927" s="1077">
        <v>5</v>
      </c>
      <c r="H2927" s="1077" t="s">
        <v>8736</v>
      </c>
      <c r="I2927" s="1077" t="s">
        <v>460</v>
      </c>
      <c r="J2927" s="1077">
        <v>2.6</v>
      </c>
      <c r="K2927" s="1077" t="s">
        <v>8737</v>
      </c>
      <c r="L2927" s="1077" t="s">
        <v>4085</v>
      </c>
      <c r="M2927" s="1077">
        <v>206</v>
      </c>
      <c r="N2927" s="1077" t="s">
        <v>945</v>
      </c>
      <c r="O2927" s="1077">
        <v>5.15</v>
      </c>
      <c r="P2927" s="1077">
        <v>4.12</v>
      </c>
      <c r="Q2927" s="1077">
        <v>4</v>
      </c>
      <c r="R2927" s="1077">
        <v>25</v>
      </c>
      <c r="T2927" s="1077">
        <v>18.5</v>
      </c>
      <c r="U2927" s="1077">
        <v>4.0999999999999996</v>
      </c>
      <c r="V2927" s="1077" t="s">
        <v>648</v>
      </c>
      <c r="W2927" s="1077">
        <v>120</v>
      </c>
      <c r="X2927" s="1077">
        <v>85</v>
      </c>
      <c r="Y2927" s="1077">
        <v>1.5</v>
      </c>
      <c r="Z2927" s="1077" t="s">
        <v>648</v>
      </c>
      <c r="AA2927" s="1077" t="s">
        <v>1461</v>
      </c>
      <c r="AH2927" s="1077" t="s">
        <v>782</v>
      </c>
      <c r="AM2927" s="1078" t="s">
        <v>14761</v>
      </c>
      <c r="AN2927" s="1078" t="s">
        <v>14762</v>
      </c>
      <c r="AO2927" s="1078">
        <f t="shared" si="366"/>
        <v>600</v>
      </c>
      <c r="AP2927" s="1078">
        <f t="shared" si="367"/>
        <v>1.75</v>
      </c>
      <c r="AQ2927" s="1078" t="str">
        <f t="shared" si="368"/>
        <v>1-4-1S85°Z+S</v>
      </c>
      <c r="AR2927" s="1078" t="str">
        <f t="shared" si="369"/>
        <v>NA</v>
      </c>
      <c r="AS2927" s="1078" t="str">
        <f t="shared" si="370"/>
        <v>160/140</v>
      </c>
      <c r="AT2927" s="1078" t="str">
        <f t="shared" si="371"/>
        <v>1-4-1S85°Z+S</v>
      </c>
      <c r="AU2927" s="1078" t="s">
        <v>15547</v>
      </c>
      <c r="AV2927" s="1078" t="str">
        <f t="shared" si="364"/>
        <v>111.2.14</v>
      </c>
      <c r="AW2927" s="1344">
        <f t="shared" si="365"/>
        <v>44606</v>
      </c>
    </row>
    <row r="2928" spans="1:49">
      <c r="A2928" s="1077" t="s">
        <v>8751</v>
      </c>
      <c r="B2928" s="1077" t="s">
        <v>8513</v>
      </c>
      <c r="C2928" s="1077">
        <v>580</v>
      </c>
      <c r="D2928" s="1077">
        <v>1.8049999999999999</v>
      </c>
      <c r="E2928" s="1077" t="s">
        <v>15122</v>
      </c>
      <c r="F2928" s="1077" t="s">
        <v>1514</v>
      </c>
      <c r="G2928" s="1077">
        <v>5</v>
      </c>
      <c r="H2928" s="1077" t="s">
        <v>8569</v>
      </c>
      <c r="I2928" s="1077" t="s">
        <v>126</v>
      </c>
      <c r="J2928" s="1077">
        <v>1.7</v>
      </c>
      <c r="K2928" s="1077" t="s">
        <v>8651</v>
      </c>
      <c r="L2928" s="1077" t="s">
        <v>8571</v>
      </c>
      <c r="M2928" s="1077">
        <v>326.39999999999998</v>
      </c>
      <c r="N2928" s="1077" t="s">
        <v>945</v>
      </c>
      <c r="O2928" s="1077">
        <v>8.16</v>
      </c>
      <c r="P2928" s="1077">
        <v>6.5279999999999996</v>
      </c>
      <c r="Q2928" s="1077">
        <v>3</v>
      </c>
      <c r="R2928" s="1077">
        <v>21</v>
      </c>
      <c r="T2928" s="1077">
        <v>14.4</v>
      </c>
      <c r="U2928" s="1077">
        <v>3.6</v>
      </c>
      <c r="V2928" s="1077" t="s">
        <v>648</v>
      </c>
      <c r="W2928" s="1077">
        <v>50</v>
      </c>
      <c r="X2928" s="1077">
        <v>10</v>
      </c>
      <c r="Y2928" s="1077">
        <v>1</v>
      </c>
      <c r="Z2928" s="1077" t="s">
        <v>648</v>
      </c>
      <c r="AA2928" s="1077" t="s">
        <v>7960</v>
      </c>
      <c r="AH2928" s="1077" t="s">
        <v>1643</v>
      </c>
      <c r="AM2928" s="1078" t="s">
        <v>14763</v>
      </c>
      <c r="AN2928" s="1078" t="s">
        <v>14764</v>
      </c>
      <c r="AO2928" s="1078">
        <f t="shared" si="366"/>
        <v>580</v>
      </c>
      <c r="AP2928" s="1078">
        <f t="shared" si="367"/>
        <v>1.8049999999999999</v>
      </c>
      <c r="AQ2928" s="1078" t="str">
        <f t="shared" si="368"/>
        <v>1-5-1S91°Z+S</v>
      </c>
      <c r="AR2928" s="1078" t="str">
        <f t="shared" si="369"/>
        <v>32</v>
      </c>
      <c r="AS2928" s="1078" t="str">
        <f t="shared" si="370"/>
        <v>335/335/150</v>
      </c>
      <c r="AT2928" s="1078" t="str">
        <f t="shared" si="371"/>
        <v>1-5-1S91°Z+S</v>
      </c>
      <c r="AU2928" s="1078" t="s">
        <v>15547</v>
      </c>
      <c r="AV2928" s="1078" t="str">
        <f t="shared" si="364"/>
        <v>111.2.15</v>
      </c>
      <c r="AW2928" s="1344">
        <f t="shared" si="365"/>
        <v>44607</v>
      </c>
    </row>
    <row r="2929" spans="1:49">
      <c r="A2929" s="1077" t="s">
        <v>8752</v>
      </c>
      <c r="B2929" s="1077" t="s">
        <v>8686</v>
      </c>
      <c r="C2929" s="1077">
        <v>500</v>
      </c>
      <c r="D2929" s="1077">
        <v>1.65</v>
      </c>
      <c r="E2929" s="1077" t="s">
        <v>15102</v>
      </c>
      <c r="F2929" s="1077" t="s">
        <v>4695</v>
      </c>
      <c r="G2929" s="1077">
        <v>5</v>
      </c>
      <c r="H2929" s="1077" t="s">
        <v>8459</v>
      </c>
      <c r="I2929" s="1077" t="s">
        <v>1112</v>
      </c>
      <c r="J2929" s="1077">
        <v>0.9</v>
      </c>
      <c r="K2929" s="1077" t="s">
        <v>5390</v>
      </c>
      <c r="L2929" s="1077" t="s">
        <v>5363</v>
      </c>
      <c r="M2929" s="1077">
        <v>161.69999999999999</v>
      </c>
      <c r="N2929" s="1077" t="s">
        <v>945</v>
      </c>
      <c r="O2929" s="1077">
        <v>4.0424999999999995</v>
      </c>
      <c r="P2929" s="1077">
        <v>3.234</v>
      </c>
      <c r="Q2929" s="1077">
        <v>3.5</v>
      </c>
      <c r="R2929" s="1077">
        <v>28</v>
      </c>
      <c r="T2929" s="1077">
        <v>16.8</v>
      </c>
      <c r="U2929" s="1077">
        <v>2.6</v>
      </c>
      <c r="V2929" s="1077" t="s">
        <v>648</v>
      </c>
      <c r="W2929" s="1077">
        <v>60</v>
      </c>
      <c r="X2929" s="1077">
        <v>10</v>
      </c>
      <c r="Y2929" s="1077">
        <v>1.8</v>
      </c>
      <c r="Z2929" s="1077">
        <v>5.5</v>
      </c>
      <c r="AA2929" s="1077" t="s">
        <v>4309</v>
      </c>
      <c r="AH2929" s="1077" t="s">
        <v>684</v>
      </c>
      <c r="AM2929" s="1078" t="s">
        <v>14765</v>
      </c>
      <c r="AN2929" s="1078" t="s">
        <v>14766</v>
      </c>
      <c r="AO2929" s="1078">
        <f t="shared" si="366"/>
        <v>500</v>
      </c>
      <c r="AP2929" s="1078">
        <f t="shared" si="367"/>
        <v>1.65</v>
      </c>
      <c r="AQ2929" s="1078" t="str">
        <f t="shared" si="368"/>
        <v>2-6-1S83°</v>
      </c>
      <c r="AR2929" s="1078" t="str">
        <f t="shared" si="369"/>
        <v>32.8</v>
      </c>
      <c r="AS2929" s="1078" t="str">
        <f t="shared" si="370"/>
        <v>175/163</v>
      </c>
      <c r="AT2929" s="1078" t="str">
        <f t="shared" si="371"/>
        <v>2-6-1S83°</v>
      </c>
      <c r="AV2929" s="1078" t="str">
        <f t="shared" si="364"/>
        <v>111.2.21</v>
      </c>
      <c r="AW2929" s="1344">
        <f t="shared" si="365"/>
        <v>44613</v>
      </c>
    </row>
    <row r="2930" spans="1:49">
      <c r="A2930" s="1077" t="s">
        <v>8753</v>
      </c>
      <c r="B2930" s="1077" t="s">
        <v>8716</v>
      </c>
      <c r="C2930" s="1077">
        <v>450</v>
      </c>
      <c r="D2930" s="1077">
        <v>1.84</v>
      </c>
      <c r="E2930" s="1077" t="s">
        <v>15089</v>
      </c>
      <c r="F2930" s="1077" t="s">
        <v>984</v>
      </c>
      <c r="G2930" s="1077">
        <v>2</v>
      </c>
      <c r="H2930" s="1077" t="s">
        <v>1155</v>
      </c>
      <c r="I2930" s="1077" t="s">
        <v>126</v>
      </c>
      <c r="J2930" s="1077">
        <v>1</v>
      </c>
      <c r="K2930" s="1077" t="s">
        <v>8754</v>
      </c>
      <c r="L2930" s="1077" t="s">
        <v>8718</v>
      </c>
      <c r="M2930" s="1077">
        <v>40.5</v>
      </c>
      <c r="N2930" s="1077" t="s">
        <v>945</v>
      </c>
      <c r="O2930" s="1077">
        <v>1.0125</v>
      </c>
      <c r="P2930" s="1077">
        <v>0.81</v>
      </c>
      <c r="Q2930" s="1077">
        <v>3</v>
      </c>
      <c r="R2930" s="1077">
        <v>25</v>
      </c>
      <c r="T2930" s="1077">
        <v>33.799999999999997</v>
      </c>
      <c r="U2930" s="1077">
        <v>3.1</v>
      </c>
      <c r="V2930" s="1077" t="s">
        <v>648</v>
      </c>
      <c r="W2930" s="1077">
        <v>120</v>
      </c>
      <c r="X2930" s="1077">
        <v>80</v>
      </c>
      <c r="Y2930" s="1077">
        <v>3</v>
      </c>
      <c r="Z2930" s="1077">
        <v>4.5</v>
      </c>
      <c r="AA2930" s="1077" t="s">
        <v>1922</v>
      </c>
      <c r="AH2930" s="1077" t="s">
        <v>1486</v>
      </c>
      <c r="AM2930" s="1078" t="s">
        <v>14767</v>
      </c>
      <c r="AN2930" s="1078" t="s">
        <v>14768</v>
      </c>
      <c r="AO2930" s="1078">
        <f t="shared" si="366"/>
        <v>450</v>
      </c>
      <c r="AP2930" s="1078">
        <f t="shared" si="367"/>
        <v>1.84</v>
      </c>
      <c r="AQ2930" s="1078" t="str">
        <f t="shared" si="368"/>
        <v>1-4-1S83°</v>
      </c>
      <c r="AR2930" s="1078" t="str">
        <f t="shared" si="369"/>
        <v>30</v>
      </c>
      <c r="AS2930" s="1078" t="str">
        <f t="shared" si="370"/>
        <v>215/215/OFF</v>
      </c>
      <c r="AT2930" s="1078" t="str">
        <f t="shared" si="371"/>
        <v>1-4-1S83°</v>
      </c>
      <c r="AV2930" s="1078" t="str">
        <f t="shared" si="364"/>
        <v>111.2.24</v>
      </c>
      <c r="AW2930" s="1344">
        <f t="shared" si="365"/>
        <v>44616</v>
      </c>
    </row>
    <row r="2931" spans="1:49">
      <c r="A2931" s="1077" t="s">
        <v>8755</v>
      </c>
      <c r="B2931" s="1077" t="s">
        <v>8611</v>
      </c>
      <c r="C2931" s="1077">
        <v>600</v>
      </c>
      <c r="D2931" s="1077">
        <v>1.83</v>
      </c>
      <c r="E2931" s="1077" t="s">
        <v>15116</v>
      </c>
      <c r="F2931" s="1077" t="s">
        <v>984</v>
      </c>
      <c r="G2931" s="1077">
        <v>4</v>
      </c>
      <c r="H2931" s="1077" t="s">
        <v>2067</v>
      </c>
      <c r="I2931" s="1077" t="s">
        <v>460</v>
      </c>
      <c r="J2931" s="1077">
        <v>2.5</v>
      </c>
      <c r="K2931" s="1077" t="s">
        <v>8756</v>
      </c>
      <c r="L2931" s="1077" t="s">
        <v>4212</v>
      </c>
      <c r="M2931" s="1077">
        <v>196</v>
      </c>
      <c r="N2931" s="1077" t="s">
        <v>945</v>
      </c>
      <c r="O2931" s="1077">
        <v>4.9000000000000004</v>
      </c>
      <c r="P2931" s="1077">
        <v>3.92</v>
      </c>
      <c r="Q2931" s="1077">
        <v>3</v>
      </c>
      <c r="R2931" s="1077">
        <v>28</v>
      </c>
      <c r="T2931" s="1077">
        <v>15.5</v>
      </c>
      <c r="U2931" s="1077">
        <v>5</v>
      </c>
      <c r="V2931" s="1077" t="s">
        <v>648</v>
      </c>
      <c r="W2931" s="1077">
        <v>130</v>
      </c>
      <c r="X2931" s="1077">
        <v>80</v>
      </c>
      <c r="Y2931" s="1077">
        <v>1.5</v>
      </c>
      <c r="Z2931" s="1077" t="s">
        <v>648</v>
      </c>
      <c r="AA2931" s="1077" t="s">
        <v>1922</v>
      </c>
      <c r="AH2931" s="1077" t="s">
        <v>5759</v>
      </c>
      <c r="AM2931" s="1078" t="s">
        <v>14769</v>
      </c>
      <c r="AN2931" s="1078" t="s">
        <v>14770</v>
      </c>
      <c r="AO2931" s="1078">
        <f t="shared" si="366"/>
        <v>600</v>
      </c>
      <c r="AP2931" s="1078">
        <f t="shared" si="367"/>
        <v>1.83</v>
      </c>
      <c r="AQ2931" s="1078" t="str">
        <f t="shared" si="368"/>
        <v>1-5-1S83°Z+S</v>
      </c>
      <c r="AR2931" s="1078" t="str">
        <f t="shared" si="369"/>
        <v>30</v>
      </c>
      <c r="AS2931" s="1078" t="str">
        <f t="shared" si="370"/>
        <v>250/250/150</v>
      </c>
      <c r="AT2931" s="1078" t="str">
        <f t="shared" si="371"/>
        <v>1-5-1S83°Z+S</v>
      </c>
      <c r="AU2931" s="1078" t="s">
        <v>15547</v>
      </c>
      <c r="AV2931" s="1078" t="str">
        <f t="shared" si="364"/>
        <v>111.2.24</v>
      </c>
      <c r="AW2931" s="1344">
        <f t="shared" si="365"/>
        <v>44616</v>
      </c>
    </row>
    <row r="2932" spans="1:49">
      <c r="A2932" s="1077" t="s">
        <v>8757</v>
      </c>
      <c r="B2932" s="1077" t="s">
        <v>8414</v>
      </c>
      <c r="C2932" s="1077">
        <v>500</v>
      </c>
      <c r="D2932" s="1077">
        <v>1.85</v>
      </c>
      <c r="E2932" s="1077" t="s">
        <v>15089</v>
      </c>
      <c r="F2932" s="1077" t="s">
        <v>975</v>
      </c>
      <c r="G2932" s="1077" t="s">
        <v>1016</v>
      </c>
      <c r="H2932" s="1077" t="s">
        <v>2295</v>
      </c>
      <c r="I2932" s="1077" t="s">
        <v>126</v>
      </c>
      <c r="J2932" s="1077">
        <v>1.5</v>
      </c>
      <c r="K2932" s="1077" t="s">
        <v>8640</v>
      </c>
      <c r="L2932" s="1077" t="s">
        <v>1987</v>
      </c>
      <c r="M2932" s="1077">
        <v>72</v>
      </c>
      <c r="N2932" s="1077" t="s">
        <v>945</v>
      </c>
      <c r="O2932" s="1077">
        <v>1.8</v>
      </c>
      <c r="P2932" s="1077">
        <v>1.44</v>
      </c>
      <c r="Q2932" s="1077">
        <v>3</v>
      </c>
      <c r="R2932" s="1077">
        <v>21</v>
      </c>
      <c r="T2932" s="1077">
        <v>21.5</v>
      </c>
      <c r="U2932" s="1077">
        <v>3.5</v>
      </c>
      <c r="V2932" s="1077" t="s">
        <v>648</v>
      </c>
      <c r="W2932" s="1077">
        <v>130</v>
      </c>
      <c r="X2932" s="1077">
        <v>85</v>
      </c>
      <c r="Y2932" s="1077">
        <v>1.8</v>
      </c>
      <c r="Z2932" s="1077">
        <v>5</v>
      </c>
      <c r="AA2932" s="1077" t="s">
        <v>7966</v>
      </c>
      <c r="AH2932" s="1077" t="s">
        <v>681</v>
      </c>
      <c r="AM2932" s="1078" t="s">
        <v>14771</v>
      </c>
      <c r="AN2932" s="1078" t="s">
        <v>14772</v>
      </c>
      <c r="AO2932" s="1078">
        <f t="shared" si="366"/>
        <v>500</v>
      </c>
      <c r="AP2932" s="1078">
        <f t="shared" si="367"/>
        <v>1.85</v>
      </c>
      <c r="AQ2932" s="1078" t="str">
        <f t="shared" si="368"/>
        <v>1-4-1S83°</v>
      </c>
      <c r="AR2932" s="1078" t="str">
        <f t="shared" si="369"/>
        <v>31.5</v>
      </c>
      <c r="AS2932" s="1078" t="str">
        <f t="shared" si="370"/>
        <v>205/205/OFF</v>
      </c>
      <c r="AT2932" s="1078" t="str">
        <f t="shared" si="371"/>
        <v>1-4-1S83°</v>
      </c>
      <c r="AV2932" s="1078" t="str">
        <f t="shared" si="364"/>
        <v>111.2.25</v>
      </c>
      <c r="AW2932" s="1344">
        <f t="shared" si="365"/>
        <v>44617</v>
      </c>
    </row>
    <row r="2933" spans="1:49">
      <c r="A2933" s="1077" t="s">
        <v>8758</v>
      </c>
      <c r="B2933" s="1077" t="s">
        <v>8631</v>
      </c>
      <c r="C2933" s="1077">
        <v>600</v>
      </c>
      <c r="D2933" s="1077">
        <v>1.74</v>
      </c>
      <c r="E2933" s="1077" t="s">
        <v>15116</v>
      </c>
      <c r="F2933" s="1077" t="s">
        <v>2234</v>
      </c>
      <c r="G2933" s="1077">
        <v>5</v>
      </c>
      <c r="H2933" s="1077" t="s">
        <v>8708</v>
      </c>
      <c r="I2933" s="1077" t="s">
        <v>460</v>
      </c>
      <c r="J2933" s="1077">
        <v>2.7</v>
      </c>
      <c r="K2933" s="1077" t="s">
        <v>8743</v>
      </c>
      <c r="L2933" s="1077" t="s">
        <v>4029</v>
      </c>
      <c r="M2933" s="1077">
        <v>206</v>
      </c>
      <c r="N2933" s="1077" t="s">
        <v>945</v>
      </c>
      <c r="O2933" s="1077">
        <v>5.15</v>
      </c>
      <c r="P2933" s="1077">
        <v>4.12</v>
      </c>
      <c r="Q2933" s="1077">
        <v>4</v>
      </c>
      <c r="R2933" s="1077">
        <v>20</v>
      </c>
      <c r="T2933" s="1077">
        <v>18.5</v>
      </c>
      <c r="U2933" s="1077">
        <v>4.0999999999999996</v>
      </c>
      <c r="V2933" s="1077" t="s">
        <v>648</v>
      </c>
      <c r="W2933" s="1077">
        <v>120</v>
      </c>
      <c r="X2933" s="1077">
        <v>85</v>
      </c>
      <c r="Y2933" s="1077">
        <v>1.5</v>
      </c>
      <c r="Z2933" s="1077" t="s">
        <v>648</v>
      </c>
      <c r="AA2933" s="1077" t="s">
        <v>1467</v>
      </c>
      <c r="AH2933" s="1077" t="s">
        <v>854</v>
      </c>
      <c r="AM2933" s="1078" t="s">
        <v>14773</v>
      </c>
      <c r="AN2933" s="1078" t="s">
        <v>14774</v>
      </c>
      <c r="AO2933" s="1078">
        <f t="shared" si="366"/>
        <v>600</v>
      </c>
      <c r="AP2933" s="1078">
        <f t="shared" si="367"/>
        <v>1.74</v>
      </c>
      <c r="AQ2933" s="1078" t="str">
        <f t="shared" si="368"/>
        <v>1-5-1S83°Z+S</v>
      </c>
      <c r="AR2933" s="1078" t="str">
        <f t="shared" si="369"/>
        <v>33.5</v>
      </c>
      <c r="AS2933" s="1078" t="str">
        <f t="shared" si="370"/>
        <v>260/240/135</v>
      </c>
      <c r="AT2933" s="1078" t="str">
        <f t="shared" si="371"/>
        <v>1-5-1S83°Z+S</v>
      </c>
      <c r="AU2933" s="1078" t="s">
        <v>15547</v>
      </c>
      <c r="AV2933" s="1078" t="str">
        <f t="shared" si="364"/>
        <v>111.3.1</v>
      </c>
      <c r="AW2933" s="1344">
        <f t="shared" si="365"/>
        <v>44621</v>
      </c>
    </row>
    <row r="2934" spans="1:49">
      <c r="A2934" s="1077" t="s">
        <v>8759</v>
      </c>
      <c r="B2934" s="1077" t="s">
        <v>8519</v>
      </c>
      <c r="C2934" s="1077">
        <v>600</v>
      </c>
      <c r="D2934" s="1077">
        <v>1.74</v>
      </c>
      <c r="E2934" s="1077" t="s">
        <v>15116</v>
      </c>
      <c r="F2934" s="1077" t="s">
        <v>2234</v>
      </c>
      <c r="G2934" s="1077">
        <v>5</v>
      </c>
      <c r="H2934" s="1077" t="s">
        <v>8708</v>
      </c>
      <c r="I2934" s="1077" t="s">
        <v>460</v>
      </c>
      <c r="J2934" s="1077">
        <v>2.7</v>
      </c>
      <c r="K2934" s="1077" t="s">
        <v>8760</v>
      </c>
      <c r="L2934" s="1077" t="s">
        <v>4085</v>
      </c>
      <c r="M2934" s="1077">
        <v>206</v>
      </c>
      <c r="N2934" s="1077" t="s">
        <v>945</v>
      </c>
      <c r="O2934" s="1077">
        <v>5.15</v>
      </c>
      <c r="P2934" s="1077">
        <v>4.12</v>
      </c>
      <c r="Q2934" s="1077">
        <v>4</v>
      </c>
      <c r="R2934" s="1077">
        <v>25</v>
      </c>
      <c r="T2934" s="1077">
        <v>18.5</v>
      </c>
      <c r="U2934" s="1077">
        <v>4.0999999999999996</v>
      </c>
      <c r="V2934" s="1077" t="s">
        <v>648</v>
      </c>
      <c r="W2934" s="1077">
        <v>120</v>
      </c>
      <c r="X2934" s="1077">
        <v>85</v>
      </c>
      <c r="Y2934" s="1077">
        <v>1.5</v>
      </c>
      <c r="Z2934" s="1077" t="s">
        <v>648</v>
      </c>
      <c r="AA2934" s="1077" t="s">
        <v>1467</v>
      </c>
      <c r="AH2934" s="1077" t="s">
        <v>1588</v>
      </c>
      <c r="AM2934" s="1078" t="s">
        <v>14775</v>
      </c>
      <c r="AN2934" s="1078" t="s">
        <v>14774</v>
      </c>
      <c r="AO2934" s="1078">
        <f t="shared" si="366"/>
        <v>600</v>
      </c>
      <c r="AP2934" s="1078">
        <f t="shared" si="367"/>
        <v>1.74</v>
      </c>
      <c r="AQ2934" s="1078" t="str">
        <f t="shared" si="368"/>
        <v>1-5-1S83°Z+S</v>
      </c>
      <c r="AR2934" s="1078" t="str">
        <f t="shared" si="369"/>
        <v>33.5</v>
      </c>
      <c r="AS2934" s="1078" t="str">
        <f t="shared" si="370"/>
        <v>260/240/135</v>
      </c>
      <c r="AT2934" s="1078" t="str">
        <f t="shared" si="371"/>
        <v>1-5-1S83°Z+S</v>
      </c>
      <c r="AU2934" s="1078" t="s">
        <v>15547</v>
      </c>
      <c r="AV2934" s="1078" t="str">
        <f t="shared" si="364"/>
        <v>111.3.1</v>
      </c>
      <c r="AW2934" s="1344">
        <f t="shared" si="365"/>
        <v>44621</v>
      </c>
    </row>
    <row r="2935" spans="1:49">
      <c r="A2935" s="1077" t="s">
        <v>8761</v>
      </c>
      <c r="B2935" s="1077" t="s">
        <v>8762</v>
      </c>
      <c r="C2935" s="1077">
        <v>450</v>
      </c>
      <c r="D2935" s="1077">
        <v>1.8</v>
      </c>
      <c r="E2935" s="1077" t="s">
        <v>15089</v>
      </c>
      <c r="F2935" s="1077" t="s">
        <v>984</v>
      </c>
      <c r="G2935" s="1077">
        <v>2</v>
      </c>
      <c r="H2935" s="1077" t="s">
        <v>1155</v>
      </c>
      <c r="I2935" s="1077" t="s">
        <v>126</v>
      </c>
      <c r="J2935" s="1077">
        <v>1.1000000000000001</v>
      </c>
      <c r="K2935" s="1077" t="s">
        <v>8763</v>
      </c>
      <c r="L2935" s="1077" t="s">
        <v>8764</v>
      </c>
      <c r="M2935" s="1077">
        <v>40.5</v>
      </c>
      <c r="N2935" s="1077" t="s">
        <v>945</v>
      </c>
      <c r="O2935" s="1077">
        <v>1.0125</v>
      </c>
      <c r="P2935" s="1077">
        <v>0.81</v>
      </c>
      <c r="Q2935" s="1077">
        <v>3</v>
      </c>
      <c r="R2935" s="1077">
        <v>23</v>
      </c>
      <c r="T2935" s="1077">
        <v>33</v>
      </c>
      <c r="U2935" s="1077">
        <v>3.1</v>
      </c>
      <c r="V2935" s="1077" t="s">
        <v>648</v>
      </c>
      <c r="W2935" s="1077">
        <v>120</v>
      </c>
      <c r="X2935" s="1077">
        <v>80</v>
      </c>
      <c r="Y2935" s="1077">
        <v>3</v>
      </c>
      <c r="Z2935" s="1077">
        <v>4.5</v>
      </c>
      <c r="AA2935" s="1077" t="s">
        <v>1925</v>
      </c>
      <c r="AH2935" s="1077" t="s">
        <v>887</v>
      </c>
      <c r="AM2935" s="1078" t="s">
        <v>14776</v>
      </c>
      <c r="AN2935" s="1078" t="s">
        <v>14777</v>
      </c>
      <c r="AO2935" s="1078">
        <f t="shared" si="366"/>
        <v>450</v>
      </c>
      <c r="AP2935" s="1078">
        <f t="shared" si="367"/>
        <v>1.8</v>
      </c>
      <c r="AQ2935" s="1078" t="str">
        <f t="shared" si="368"/>
        <v>1-4-1S83°</v>
      </c>
      <c r="AR2935" s="1078" t="str">
        <f t="shared" si="369"/>
        <v>30</v>
      </c>
      <c r="AS2935" s="1078" t="str">
        <f t="shared" si="370"/>
        <v>215/215/OFF</v>
      </c>
      <c r="AT2935" s="1078" t="str">
        <f t="shared" si="371"/>
        <v>1-4-1S83°</v>
      </c>
      <c r="AV2935" s="1078" t="str">
        <f t="shared" si="364"/>
        <v>111.3.2</v>
      </c>
      <c r="AW2935" s="1344">
        <f t="shared" si="365"/>
        <v>44622</v>
      </c>
    </row>
    <row r="2936" spans="1:49">
      <c r="A2936" s="1077" t="s">
        <v>8765</v>
      </c>
      <c r="B2936" s="1077" t="s">
        <v>8611</v>
      </c>
      <c r="C2936" s="1077">
        <v>600</v>
      </c>
      <c r="D2936" s="1077">
        <v>1.8</v>
      </c>
      <c r="E2936" s="1077" t="s">
        <v>15116</v>
      </c>
      <c r="F2936" s="1077" t="s">
        <v>984</v>
      </c>
      <c r="G2936" s="1077">
        <v>4</v>
      </c>
      <c r="H2936" s="1077" t="s">
        <v>1029</v>
      </c>
      <c r="I2936" s="1077" t="s">
        <v>126</v>
      </c>
      <c r="J2936" s="1077">
        <v>0.7</v>
      </c>
      <c r="K2936" s="1077" t="s">
        <v>8766</v>
      </c>
      <c r="L2936" s="1077" t="s">
        <v>4151</v>
      </c>
      <c r="M2936" s="1077">
        <v>197</v>
      </c>
      <c r="N2936" s="1077" t="s">
        <v>945</v>
      </c>
      <c r="O2936" s="1077">
        <v>4.9250000000000007</v>
      </c>
      <c r="P2936" s="1077">
        <v>3.94</v>
      </c>
      <c r="Q2936" s="1077">
        <v>3</v>
      </c>
      <c r="R2936" s="1077">
        <v>29</v>
      </c>
      <c r="T2936" s="1077">
        <v>22</v>
      </c>
      <c r="U2936" s="1077">
        <v>5.3</v>
      </c>
      <c r="V2936" s="1077" t="s">
        <v>648</v>
      </c>
      <c r="W2936" s="1077">
        <v>40</v>
      </c>
      <c r="X2936" s="1077">
        <v>10</v>
      </c>
      <c r="Y2936" s="1077">
        <v>2</v>
      </c>
      <c r="Z2936" s="1077" t="s">
        <v>648</v>
      </c>
      <c r="AA2936" s="1077" t="s">
        <v>2020</v>
      </c>
      <c r="AH2936" s="1077" t="s">
        <v>1238</v>
      </c>
      <c r="AM2936" s="1078" t="s">
        <v>14778</v>
      </c>
      <c r="AN2936" s="1078" t="s">
        <v>14779</v>
      </c>
      <c r="AO2936" s="1078">
        <f t="shared" si="366"/>
        <v>600</v>
      </c>
      <c r="AP2936" s="1078">
        <f t="shared" si="367"/>
        <v>1.8</v>
      </c>
      <c r="AQ2936" s="1078" t="str">
        <f t="shared" si="368"/>
        <v>1-5-1S83°Z+S</v>
      </c>
      <c r="AR2936" s="1078" t="str">
        <f t="shared" si="369"/>
        <v>30</v>
      </c>
      <c r="AS2936" s="1078" t="str">
        <f t="shared" si="370"/>
        <v>250/250/OFF</v>
      </c>
      <c r="AT2936" s="1078" t="str">
        <f t="shared" si="371"/>
        <v>1-5-1S83°Z+S</v>
      </c>
      <c r="AU2936" s="1078" t="s">
        <v>15547</v>
      </c>
      <c r="AV2936" s="1078" t="str">
        <f t="shared" si="364"/>
        <v>111.3.25</v>
      </c>
      <c r="AW2936" s="1344">
        <f t="shared" si="365"/>
        <v>44645</v>
      </c>
    </row>
    <row r="2937" spans="1:49">
      <c r="A2937" s="1077" t="s">
        <v>8767</v>
      </c>
      <c r="B2937" s="1077" t="s">
        <v>8594</v>
      </c>
      <c r="C2937" s="1077">
        <v>550</v>
      </c>
      <c r="D2937" s="1077">
        <v>1.71</v>
      </c>
      <c r="E2937" s="1077" t="s">
        <v>15123</v>
      </c>
      <c r="F2937" s="1077" t="s">
        <v>1514</v>
      </c>
      <c r="G2937" s="1077">
        <v>5</v>
      </c>
      <c r="H2937" s="1077" t="s">
        <v>1470</v>
      </c>
      <c r="I2937" s="1077" t="s">
        <v>460</v>
      </c>
      <c r="J2937" s="1077">
        <v>2.6</v>
      </c>
      <c r="K2937" s="1077" t="s">
        <v>8749</v>
      </c>
      <c r="L2937" s="1077" t="s">
        <v>8596</v>
      </c>
      <c r="M2937" s="1077">
        <v>228.6</v>
      </c>
      <c r="N2937" s="1077" t="s">
        <v>945</v>
      </c>
      <c r="O2937" s="1077">
        <v>5.7149999999999999</v>
      </c>
      <c r="P2937" s="1077">
        <v>4.5720000000000001</v>
      </c>
      <c r="Q2937" s="1077">
        <v>3</v>
      </c>
      <c r="R2937" s="1077">
        <v>32.5</v>
      </c>
      <c r="T2937" s="1077">
        <v>13.1</v>
      </c>
      <c r="U2937" s="1077">
        <v>6.1</v>
      </c>
      <c r="V2937" s="1077" t="s">
        <v>648</v>
      </c>
      <c r="W2937" s="1077">
        <v>110</v>
      </c>
      <c r="X2937" s="1077">
        <v>80</v>
      </c>
      <c r="Y2937" s="1077">
        <v>1.8</v>
      </c>
      <c r="Z2937" s="1077">
        <v>7.5</v>
      </c>
      <c r="AA2937" s="1077" t="s">
        <v>1474</v>
      </c>
      <c r="AH2937" s="1077" t="s">
        <v>948</v>
      </c>
      <c r="AM2937" s="1078" t="s">
        <v>14780</v>
      </c>
      <c r="AN2937" s="1078" t="s">
        <v>14781</v>
      </c>
      <c r="AO2937" s="1078">
        <f t="shared" si="366"/>
        <v>550</v>
      </c>
      <c r="AP2937" s="1078">
        <f t="shared" si="367"/>
        <v>1.71</v>
      </c>
      <c r="AQ2937" s="1078" t="str">
        <f t="shared" si="368"/>
        <v>1-7-1S83°</v>
      </c>
      <c r="AR2937" s="1078" t="str">
        <f t="shared" si="369"/>
        <v>32</v>
      </c>
      <c r="AS2937" s="1078" t="str">
        <f t="shared" si="370"/>
        <v>160/OFF</v>
      </c>
      <c r="AT2937" s="1078" t="str">
        <f t="shared" si="371"/>
        <v>1-7-1S83°</v>
      </c>
      <c r="AV2937" s="1078" t="str">
        <f t="shared" si="364"/>
        <v>111.4.1</v>
      </c>
      <c r="AW2937" s="1344">
        <f t="shared" si="365"/>
        <v>44652</v>
      </c>
    </row>
    <row r="2938" spans="1:49">
      <c r="A2938" s="1077" t="s">
        <v>8768</v>
      </c>
      <c r="B2938" s="1077" t="s">
        <v>8553</v>
      </c>
      <c r="C2938" s="1077">
        <v>550</v>
      </c>
      <c r="D2938" s="1077">
        <v>1.68</v>
      </c>
      <c r="E2938" s="1077">
        <v>102.5</v>
      </c>
      <c r="F2938" s="1077" t="s">
        <v>4070</v>
      </c>
      <c r="G2938" s="1077">
        <v>5</v>
      </c>
      <c r="H2938" s="1077" t="s">
        <v>8646</v>
      </c>
      <c r="I2938" s="1077" t="s">
        <v>8540</v>
      </c>
      <c r="J2938" s="1077">
        <v>3</v>
      </c>
      <c r="K2938" s="1077" t="s">
        <v>8676</v>
      </c>
      <c r="L2938" s="1077" t="s">
        <v>8648</v>
      </c>
      <c r="M2938" s="1077">
        <v>610</v>
      </c>
      <c r="N2938" s="1077" t="s">
        <v>945</v>
      </c>
      <c r="O2938" s="1077">
        <v>15.25</v>
      </c>
      <c r="P2938" s="1077">
        <v>12.200000000000001</v>
      </c>
      <c r="Q2938" s="1077">
        <v>3.5</v>
      </c>
      <c r="R2938" s="1077">
        <v>22</v>
      </c>
      <c r="T2938" s="1077">
        <v>10.5</v>
      </c>
      <c r="U2938" s="1077">
        <v>4.0999999999999996</v>
      </c>
      <c r="V2938" s="1077" t="s">
        <v>648</v>
      </c>
      <c r="W2938" s="1077">
        <v>80</v>
      </c>
      <c r="X2938" s="1077">
        <v>55</v>
      </c>
      <c r="Y2938" s="1077">
        <v>1</v>
      </c>
      <c r="Z2938" s="1077" t="s">
        <v>648</v>
      </c>
      <c r="AA2938" s="1077" t="s">
        <v>1474</v>
      </c>
      <c r="AH2938" s="1077" t="s">
        <v>887</v>
      </c>
      <c r="AM2938" s="1078" t="s">
        <v>14782</v>
      </c>
      <c r="AN2938" s="1078" t="s">
        <v>14783</v>
      </c>
      <c r="AO2938" s="1078">
        <f t="shared" si="366"/>
        <v>550</v>
      </c>
      <c r="AP2938" s="1078">
        <f t="shared" si="367"/>
        <v>1.68</v>
      </c>
      <c r="AQ2938" s="1078">
        <f t="shared" si="368"/>
        <v>102.5</v>
      </c>
      <c r="AR2938" s="1078" t="str">
        <f t="shared" si="369"/>
        <v>15.5</v>
      </c>
      <c r="AS2938" s="1078" t="str">
        <f t="shared" si="370"/>
        <v>500/470/160</v>
      </c>
      <c r="AT2938" s="1078">
        <f t="shared" si="371"/>
        <v>102.5</v>
      </c>
      <c r="AV2938" s="1078" t="str">
        <f t="shared" si="364"/>
        <v>111.4.1</v>
      </c>
      <c r="AW2938" s="1344">
        <f t="shared" si="365"/>
        <v>44652</v>
      </c>
    </row>
    <row r="2939" spans="1:49">
      <c r="A2939" s="1077" t="s">
        <v>8769</v>
      </c>
      <c r="B2939" s="1077" t="s">
        <v>8519</v>
      </c>
      <c r="C2939" s="1077">
        <v>600</v>
      </c>
      <c r="D2939" s="1077">
        <v>1.75</v>
      </c>
      <c r="E2939" s="1077" t="s">
        <v>15109</v>
      </c>
      <c r="F2939" s="1077" t="s">
        <v>648</v>
      </c>
      <c r="G2939" s="1077">
        <v>5</v>
      </c>
      <c r="H2939" s="1077" t="s">
        <v>8736</v>
      </c>
      <c r="I2939" s="1077" t="s">
        <v>460</v>
      </c>
      <c r="J2939" s="1077">
        <v>2.6</v>
      </c>
      <c r="K2939" s="1077" t="s">
        <v>8760</v>
      </c>
      <c r="L2939" s="1077" t="s">
        <v>4085</v>
      </c>
      <c r="M2939" s="1077">
        <v>206</v>
      </c>
      <c r="N2939" s="1077" t="s">
        <v>945</v>
      </c>
      <c r="O2939" s="1077">
        <v>5.15</v>
      </c>
      <c r="P2939" s="1077">
        <v>4.12</v>
      </c>
      <c r="Q2939" s="1077">
        <v>4</v>
      </c>
      <c r="R2939" s="1077">
        <v>25</v>
      </c>
      <c r="T2939" s="1077">
        <v>18.5</v>
      </c>
      <c r="U2939" s="1077">
        <v>4.0999999999999996</v>
      </c>
      <c r="V2939" s="1077" t="s">
        <v>648</v>
      </c>
      <c r="W2939" s="1077">
        <v>120</v>
      </c>
      <c r="X2939" s="1077">
        <v>85</v>
      </c>
      <c r="Y2939" s="1077">
        <v>1.5</v>
      </c>
      <c r="Z2939" s="1077" t="s">
        <v>648</v>
      </c>
      <c r="AA2939" s="1077" t="s">
        <v>2023</v>
      </c>
      <c r="AH2939" s="1077" t="s">
        <v>842</v>
      </c>
      <c r="AM2939" s="1078" t="s">
        <v>14784</v>
      </c>
      <c r="AN2939" s="1078" t="s">
        <v>14785</v>
      </c>
      <c r="AO2939" s="1078">
        <f t="shared" si="366"/>
        <v>600</v>
      </c>
      <c r="AP2939" s="1078">
        <f t="shared" si="367"/>
        <v>1.75</v>
      </c>
      <c r="AQ2939" s="1078" t="str">
        <f t="shared" si="368"/>
        <v>1-5-1S85°Z+S</v>
      </c>
      <c r="AR2939" s="1078" t="str">
        <f t="shared" si="369"/>
        <v>NA</v>
      </c>
      <c r="AS2939" s="1078" t="str">
        <f t="shared" si="370"/>
        <v>160/140</v>
      </c>
      <c r="AT2939" s="1078" t="str">
        <f t="shared" si="371"/>
        <v>1-5-1S85°Z+S</v>
      </c>
      <c r="AU2939" s="1078" t="s">
        <v>15547</v>
      </c>
      <c r="AV2939" s="1078" t="str">
        <f t="shared" si="364"/>
        <v>111.3.31</v>
      </c>
      <c r="AW2939" s="1344">
        <f t="shared" si="365"/>
        <v>44651</v>
      </c>
    </row>
    <row r="2940" spans="1:49">
      <c r="A2940" s="1077" t="s">
        <v>8770</v>
      </c>
      <c r="B2940" s="1077" t="s">
        <v>8698</v>
      </c>
      <c r="C2940" s="1077">
        <v>620</v>
      </c>
      <c r="D2940" s="1077">
        <v>1.71</v>
      </c>
      <c r="E2940" s="1077" t="s">
        <v>15089</v>
      </c>
      <c r="F2940" s="1077" t="s">
        <v>2167</v>
      </c>
      <c r="G2940" s="1077">
        <v>2</v>
      </c>
      <c r="H2940" s="1077" t="s">
        <v>1145</v>
      </c>
      <c r="I2940" s="1077" t="s">
        <v>1073</v>
      </c>
      <c r="J2940" s="1077">
        <v>1.7</v>
      </c>
      <c r="K2940" s="1077" t="s">
        <v>8739</v>
      </c>
      <c r="L2940" s="1077" t="s">
        <v>8426</v>
      </c>
      <c r="M2940" s="1077">
        <v>31.5</v>
      </c>
      <c r="N2940" s="1077" t="s">
        <v>945</v>
      </c>
      <c r="O2940" s="1077">
        <v>0.78750000000000009</v>
      </c>
      <c r="P2940" s="1077">
        <v>0.63</v>
      </c>
      <c r="Q2940" s="1077">
        <v>4</v>
      </c>
      <c r="R2940" s="1077">
        <v>20</v>
      </c>
      <c r="T2940" s="1077">
        <v>39</v>
      </c>
      <c r="U2940" s="1077">
        <v>3.5</v>
      </c>
      <c r="V2940" s="1077" t="s">
        <v>648</v>
      </c>
      <c r="W2940" s="1077">
        <v>150</v>
      </c>
      <c r="X2940" s="1077">
        <v>85</v>
      </c>
      <c r="Y2940" s="1077">
        <v>3</v>
      </c>
      <c r="Z2940" s="1077">
        <v>3.5</v>
      </c>
      <c r="AA2940" s="1077" t="s">
        <v>2026</v>
      </c>
      <c r="AH2940" s="1077" t="s">
        <v>614</v>
      </c>
      <c r="AM2940" s="1078" t="s">
        <v>14786</v>
      </c>
      <c r="AN2940" s="1078" t="s">
        <v>14787</v>
      </c>
      <c r="AO2940" s="1078">
        <f t="shared" si="366"/>
        <v>620</v>
      </c>
      <c r="AP2940" s="1078">
        <f t="shared" si="367"/>
        <v>1.71</v>
      </c>
      <c r="AQ2940" s="1078" t="str">
        <f t="shared" si="368"/>
        <v>1-4-1S83°</v>
      </c>
      <c r="AR2940" s="1078" t="str">
        <f t="shared" si="369"/>
        <v>33</v>
      </c>
      <c r="AS2940" s="1078" t="str">
        <f t="shared" si="370"/>
        <v>235/235/OFF</v>
      </c>
      <c r="AT2940" s="1078" t="str">
        <f t="shared" si="371"/>
        <v>1-4-1S83°</v>
      </c>
      <c r="AV2940" s="1078" t="str">
        <f t="shared" si="364"/>
        <v>111.4.6</v>
      </c>
      <c r="AW2940" s="1344">
        <f t="shared" si="365"/>
        <v>44657</v>
      </c>
    </row>
    <row r="2941" spans="1:49">
      <c r="A2941" s="1077" t="s">
        <v>8771</v>
      </c>
      <c r="B2941" s="1077" t="s">
        <v>8631</v>
      </c>
      <c r="C2941" s="1077">
        <v>600</v>
      </c>
      <c r="D2941" s="1077">
        <v>1.72</v>
      </c>
      <c r="E2941" s="1077" t="s">
        <v>15108</v>
      </c>
      <c r="F2941" s="1077" t="s">
        <v>984</v>
      </c>
      <c r="G2941" s="1077">
        <v>5</v>
      </c>
      <c r="H2941" s="1077" t="s">
        <v>8772</v>
      </c>
      <c r="I2941" s="1077" t="s">
        <v>460</v>
      </c>
      <c r="J2941" s="1077">
        <v>2.9</v>
      </c>
      <c r="K2941" s="1077" t="s">
        <v>8743</v>
      </c>
      <c r="L2941" s="1077" t="s">
        <v>4029</v>
      </c>
      <c r="M2941" s="1077">
        <v>206</v>
      </c>
      <c r="N2941" s="1077" t="s">
        <v>945</v>
      </c>
      <c r="O2941" s="1077">
        <v>5.15</v>
      </c>
      <c r="P2941" s="1077">
        <v>4.12</v>
      </c>
      <c r="Q2941" s="1077">
        <v>4</v>
      </c>
      <c r="R2941" s="1077">
        <v>20</v>
      </c>
      <c r="T2941" s="1077">
        <v>18.5</v>
      </c>
      <c r="U2941" s="1077">
        <v>4.0999999999999996</v>
      </c>
      <c r="V2941" s="1077" t="s">
        <v>648</v>
      </c>
      <c r="W2941" s="1077">
        <v>120</v>
      </c>
      <c r="X2941" s="1077">
        <v>85</v>
      </c>
      <c r="Y2941" s="1077">
        <v>1.5</v>
      </c>
      <c r="Z2941" s="1077" t="s">
        <v>648</v>
      </c>
      <c r="AA2941" s="1077" t="s">
        <v>8773</v>
      </c>
      <c r="AH2941" s="1077" t="s">
        <v>621</v>
      </c>
      <c r="AM2941" s="1078" t="s">
        <v>14788</v>
      </c>
      <c r="AN2941" s="1078" t="s">
        <v>14789</v>
      </c>
      <c r="AO2941" s="1078">
        <f t="shared" si="366"/>
        <v>600</v>
      </c>
      <c r="AP2941" s="1078">
        <f t="shared" si="367"/>
        <v>1.72</v>
      </c>
      <c r="AQ2941" s="1078" t="str">
        <f t="shared" si="368"/>
        <v>1-4-1S83°Z+S</v>
      </c>
      <c r="AR2941" s="1078" t="str">
        <f t="shared" si="369"/>
        <v>30</v>
      </c>
      <c r="AS2941" s="1078" t="str">
        <f t="shared" si="370"/>
        <v>270/250/155</v>
      </c>
      <c r="AT2941" s="1078" t="str">
        <f t="shared" si="371"/>
        <v>1-4-1S83°Z+S</v>
      </c>
      <c r="AV2941" s="1078" t="str">
        <f t="shared" si="364"/>
        <v>111.4.13</v>
      </c>
      <c r="AW2941" s="1344">
        <f t="shared" si="365"/>
        <v>44664</v>
      </c>
    </row>
    <row r="2942" spans="1:49">
      <c r="A2942" s="1077" t="s">
        <v>8774</v>
      </c>
      <c r="B2942" s="1077" t="s">
        <v>8631</v>
      </c>
      <c r="C2942" s="1077">
        <v>600</v>
      </c>
      <c r="D2942" s="1077">
        <v>1.76</v>
      </c>
      <c r="E2942" s="1077" t="s">
        <v>15116</v>
      </c>
      <c r="F2942" s="1077" t="s">
        <v>2234</v>
      </c>
      <c r="G2942" s="1077">
        <v>5</v>
      </c>
      <c r="H2942" s="1077" t="s">
        <v>8775</v>
      </c>
      <c r="I2942" s="1077" t="s">
        <v>460</v>
      </c>
      <c r="J2942" s="1077">
        <v>0.7</v>
      </c>
      <c r="K2942" s="1077" t="s">
        <v>8776</v>
      </c>
      <c r="L2942" s="1077" t="s">
        <v>4029</v>
      </c>
      <c r="M2942" s="1077">
        <v>207</v>
      </c>
      <c r="N2942" s="1077" t="s">
        <v>945</v>
      </c>
      <c r="O2942" s="1077">
        <v>5.1750000000000007</v>
      </c>
      <c r="P2942" s="1077">
        <v>4.1399999999999997</v>
      </c>
      <c r="Q2942" s="1077">
        <v>4</v>
      </c>
      <c r="R2942" s="1077">
        <v>20</v>
      </c>
      <c r="T2942" s="1077">
        <v>35</v>
      </c>
      <c r="U2942" s="1077">
        <v>3.1</v>
      </c>
      <c r="V2942" s="1077" t="s">
        <v>648</v>
      </c>
      <c r="W2942" s="1077">
        <v>40</v>
      </c>
      <c r="X2942" s="1077">
        <v>10</v>
      </c>
      <c r="Y2942" s="1077">
        <v>1.8</v>
      </c>
      <c r="Z2942" s="1077" t="s">
        <v>648</v>
      </c>
      <c r="AA2942" s="1077" t="s">
        <v>1485</v>
      </c>
      <c r="AH2942" s="1077" t="s">
        <v>758</v>
      </c>
      <c r="AM2942" s="1078" t="s">
        <v>14790</v>
      </c>
      <c r="AN2942" s="1078" t="s">
        <v>14791</v>
      </c>
      <c r="AO2942" s="1078">
        <f t="shared" si="366"/>
        <v>600</v>
      </c>
      <c r="AP2942" s="1078">
        <f t="shared" si="367"/>
        <v>1.76</v>
      </c>
      <c r="AQ2942" s="1078" t="str">
        <f t="shared" si="368"/>
        <v>1-5-1S83°Z+S</v>
      </c>
      <c r="AR2942" s="1078" t="str">
        <f t="shared" si="369"/>
        <v>33.5</v>
      </c>
      <c r="AS2942" s="1078" t="str">
        <f t="shared" si="370"/>
        <v>295/275/135</v>
      </c>
      <c r="AT2942" s="1078" t="str">
        <f t="shared" si="371"/>
        <v>1-5-1S83°Z+S</v>
      </c>
      <c r="AU2942" s="1078" t="s">
        <v>15547</v>
      </c>
      <c r="AV2942" s="1078" t="str">
        <f t="shared" si="364"/>
        <v>111.4.20</v>
      </c>
      <c r="AW2942" s="1344">
        <f t="shared" si="365"/>
        <v>44671</v>
      </c>
    </row>
    <row r="2943" spans="1:49">
      <c r="A2943" s="1077" t="s">
        <v>8777</v>
      </c>
      <c r="B2943" s="1077" t="s">
        <v>8686</v>
      </c>
      <c r="C2943" s="1077">
        <v>500</v>
      </c>
      <c r="D2943" s="1077">
        <v>1.65</v>
      </c>
      <c r="E2943" s="1077" t="s">
        <v>15102</v>
      </c>
      <c r="F2943" s="1077" t="s">
        <v>1514</v>
      </c>
      <c r="G2943" s="1077">
        <v>5</v>
      </c>
      <c r="H2943" s="1077" t="s">
        <v>8778</v>
      </c>
      <c r="I2943" s="1077" t="s">
        <v>1112</v>
      </c>
      <c r="J2943" s="1077">
        <v>0.9</v>
      </c>
      <c r="K2943" s="1077" t="s">
        <v>5828</v>
      </c>
      <c r="L2943" s="1077" t="s">
        <v>4702</v>
      </c>
      <c r="M2943" s="1077">
        <v>161.69999999999999</v>
      </c>
      <c r="N2943" s="1077" t="s">
        <v>945</v>
      </c>
      <c r="O2943" s="1077">
        <v>4.0424999999999995</v>
      </c>
      <c r="P2943" s="1077">
        <v>3.234</v>
      </c>
      <c r="Q2943" s="1077">
        <v>3.5</v>
      </c>
      <c r="R2943" s="1077">
        <v>28</v>
      </c>
      <c r="T2943" s="1077">
        <v>16.8</v>
      </c>
      <c r="U2943" s="1077">
        <v>2.6</v>
      </c>
      <c r="V2943" s="1077" t="s">
        <v>648</v>
      </c>
      <c r="W2943" s="1077">
        <v>60</v>
      </c>
      <c r="X2943" s="1077">
        <v>10</v>
      </c>
      <c r="Y2943" s="1077">
        <v>1.8</v>
      </c>
      <c r="Z2943" s="1077">
        <v>5.5</v>
      </c>
      <c r="AA2943" s="1077" t="s">
        <v>1485</v>
      </c>
      <c r="AH2943" s="1077" t="s">
        <v>948</v>
      </c>
      <c r="AM2943" s="1078" t="s">
        <v>14792</v>
      </c>
      <c r="AN2943" s="1078" t="s">
        <v>14793</v>
      </c>
      <c r="AO2943" s="1078">
        <f t="shared" si="366"/>
        <v>500</v>
      </c>
      <c r="AP2943" s="1078">
        <f t="shared" si="367"/>
        <v>1.65</v>
      </c>
      <c r="AQ2943" s="1078" t="str">
        <f t="shared" si="368"/>
        <v>2-6-1S83°</v>
      </c>
      <c r="AR2943" s="1078" t="str">
        <f t="shared" si="369"/>
        <v>32</v>
      </c>
      <c r="AS2943" s="1078" t="str">
        <f t="shared" si="370"/>
        <v>172/163</v>
      </c>
      <c r="AT2943" s="1078" t="str">
        <f t="shared" si="371"/>
        <v>2-6-1S83°</v>
      </c>
      <c r="AV2943" s="1078" t="str">
        <f t="shared" si="364"/>
        <v>111.4.20</v>
      </c>
      <c r="AW2943" s="1344">
        <f t="shared" si="365"/>
        <v>44671</v>
      </c>
    </row>
    <row r="2944" spans="1:49">
      <c r="A2944" s="1077" t="s">
        <v>8779</v>
      </c>
      <c r="B2944" s="1077" t="s">
        <v>8662</v>
      </c>
      <c r="C2944" s="1077">
        <v>450</v>
      </c>
      <c r="D2944" s="1077">
        <v>1.85</v>
      </c>
      <c r="E2944" s="1077" t="s">
        <v>15089</v>
      </c>
      <c r="F2944" s="1077" t="s">
        <v>954</v>
      </c>
      <c r="G2944" s="1077">
        <v>2</v>
      </c>
      <c r="H2944" s="1077" t="s">
        <v>1009</v>
      </c>
      <c r="I2944" s="1077" t="s">
        <v>126</v>
      </c>
      <c r="J2944" s="1077">
        <v>1.3</v>
      </c>
      <c r="K2944" s="1077" t="s">
        <v>8663</v>
      </c>
      <c r="L2944" s="1077" t="s">
        <v>8664</v>
      </c>
      <c r="M2944" s="1077">
        <v>41.5</v>
      </c>
      <c r="N2944" s="1077" t="s">
        <v>945</v>
      </c>
      <c r="O2944" s="1077">
        <v>1.0375000000000001</v>
      </c>
      <c r="P2944" s="1077">
        <v>0.83000000000000007</v>
      </c>
      <c r="Q2944" s="1077">
        <v>3</v>
      </c>
      <c r="R2944" s="1077">
        <v>23</v>
      </c>
      <c r="T2944" s="1077">
        <v>28</v>
      </c>
      <c r="U2944" s="1077">
        <v>3</v>
      </c>
      <c r="V2944" s="1077" t="s">
        <v>648</v>
      </c>
      <c r="W2944" s="1077">
        <v>110</v>
      </c>
      <c r="X2944" s="1077">
        <v>70</v>
      </c>
      <c r="Y2944" s="1077">
        <v>3</v>
      </c>
      <c r="Z2944" s="1077">
        <v>4.5</v>
      </c>
      <c r="AA2944" s="1077" t="s">
        <v>2114</v>
      </c>
      <c r="AH2944" s="1077" t="s">
        <v>803</v>
      </c>
      <c r="AM2944" s="1078" t="s">
        <v>14794</v>
      </c>
      <c r="AN2944" s="1078" t="s">
        <v>14795</v>
      </c>
      <c r="AO2944" s="1078">
        <f t="shared" si="366"/>
        <v>450</v>
      </c>
      <c r="AP2944" s="1078">
        <f t="shared" si="367"/>
        <v>1.85</v>
      </c>
      <c r="AQ2944" s="1078" t="str">
        <f t="shared" si="368"/>
        <v>1-4-1S83°</v>
      </c>
      <c r="AR2944" s="1078" t="str">
        <f t="shared" si="369"/>
        <v>31</v>
      </c>
      <c r="AS2944" s="1078" t="str">
        <f t="shared" si="370"/>
        <v>195/195/OFF</v>
      </c>
      <c r="AT2944" s="1078" t="str">
        <f t="shared" si="371"/>
        <v>1-4-1S83°</v>
      </c>
      <c r="AV2944" s="1078" t="str">
        <f t="shared" si="364"/>
        <v>111.4.25</v>
      </c>
      <c r="AW2944" s="1344">
        <f t="shared" si="365"/>
        <v>44676</v>
      </c>
    </row>
    <row r="2945" spans="1:49">
      <c r="A2945" s="1077" t="s">
        <v>8780</v>
      </c>
      <c r="B2945" s="1077" t="s">
        <v>8508</v>
      </c>
      <c r="C2945" s="1077">
        <v>600</v>
      </c>
      <c r="D2945" s="1077">
        <v>1.85</v>
      </c>
      <c r="E2945" s="1077" t="s">
        <v>15116</v>
      </c>
      <c r="F2945" s="1077" t="s">
        <v>2234</v>
      </c>
      <c r="G2945" s="1077">
        <v>5</v>
      </c>
      <c r="H2945" s="1077" t="s">
        <v>8781</v>
      </c>
      <c r="I2945" s="1077" t="s">
        <v>460</v>
      </c>
      <c r="J2945" s="1077">
        <v>2.6</v>
      </c>
      <c r="K2945" s="1077" t="s">
        <v>8766</v>
      </c>
      <c r="L2945" s="1077" t="s">
        <v>4151</v>
      </c>
      <c r="M2945" s="1077">
        <v>196</v>
      </c>
      <c r="N2945" s="1077" t="s">
        <v>945</v>
      </c>
      <c r="O2945" s="1077">
        <v>4.9000000000000004</v>
      </c>
      <c r="P2945" s="1077">
        <v>3.92</v>
      </c>
      <c r="Q2945" s="1077">
        <v>3</v>
      </c>
      <c r="R2945" s="1077">
        <v>28</v>
      </c>
      <c r="T2945" s="1077">
        <v>15.5</v>
      </c>
      <c r="U2945" s="1077">
        <v>5</v>
      </c>
      <c r="V2945" s="1077" t="s">
        <v>648</v>
      </c>
      <c r="W2945" s="1077">
        <v>130</v>
      </c>
      <c r="X2945" s="1077">
        <v>80</v>
      </c>
      <c r="Y2945" s="1077">
        <v>1.5</v>
      </c>
      <c r="Z2945" s="1077" t="s">
        <v>648</v>
      </c>
      <c r="AA2945" s="1077" t="s">
        <v>1492</v>
      </c>
      <c r="AH2945" s="1077" t="s">
        <v>724</v>
      </c>
      <c r="AM2945" s="1078" t="s">
        <v>14796</v>
      </c>
      <c r="AN2945" s="1078" t="s">
        <v>14797</v>
      </c>
      <c r="AO2945" s="1078">
        <f t="shared" si="366"/>
        <v>600</v>
      </c>
      <c r="AP2945" s="1078">
        <f t="shared" si="367"/>
        <v>1.85</v>
      </c>
      <c r="AQ2945" s="1078" t="str">
        <f t="shared" si="368"/>
        <v>1-5-1S83°Z+S</v>
      </c>
      <c r="AR2945" s="1078" t="str">
        <f t="shared" si="369"/>
        <v>33.5</v>
      </c>
      <c r="AS2945" s="1078" t="str">
        <f t="shared" si="370"/>
        <v>260/260/135</v>
      </c>
      <c r="AT2945" s="1078" t="str">
        <f t="shared" si="371"/>
        <v>1-5-1S83°Z+S</v>
      </c>
      <c r="AU2945" s="1078" t="s">
        <v>15547</v>
      </c>
      <c r="AV2945" s="1078" t="str">
        <f t="shared" si="364"/>
        <v>111.5.3</v>
      </c>
      <c r="AW2945" s="1344">
        <f t="shared" si="365"/>
        <v>44684</v>
      </c>
    </row>
    <row r="2946" spans="1:49">
      <c r="A2946" s="1077" t="s">
        <v>8782</v>
      </c>
      <c r="B2946" s="1077" t="s">
        <v>781</v>
      </c>
      <c r="C2946" s="1077">
        <v>450</v>
      </c>
      <c r="D2946" s="1077">
        <v>1.875</v>
      </c>
      <c r="E2946" s="1077" t="s">
        <v>15095</v>
      </c>
      <c r="F2946" s="1077" t="s">
        <v>975</v>
      </c>
      <c r="G2946" s="1077">
        <v>3</v>
      </c>
      <c r="H2946" s="1077" t="s">
        <v>8433</v>
      </c>
      <c r="I2946" s="1077" t="s">
        <v>626</v>
      </c>
      <c r="J2946" s="1077">
        <v>1.3</v>
      </c>
      <c r="K2946" s="1077" t="s">
        <v>8783</v>
      </c>
      <c r="L2946" s="1077" t="s">
        <v>8435</v>
      </c>
      <c r="M2946" s="1077">
        <v>80.8</v>
      </c>
      <c r="N2946" s="1077" t="s">
        <v>945</v>
      </c>
      <c r="O2946" s="1077">
        <v>2.02</v>
      </c>
      <c r="P2946" s="1077">
        <v>1.6159999999999999</v>
      </c>
      <c r="Q2946" s="1077">
        <v>3</v>
      </c>
      <c r="R2946" s="1077">
        <v>22.6</v>
      </c>
      <c r="T2946" s="1077">
        <v>6.2</v>
      </c>
      <c r="U2946" s="1077">
        <v>9.4</v>
      </c>
      <c r="V2946" s="1077" t="s">
        <v>648</v>
      </c>
      <c r="W2946" s="1077">
        <v>135</v>
      </c>
      <c r="X2946" s="1077">
        <v>55</v>
      </c>
      <c r="Y2946" s="1077">
        <v>1.6</v>
      </c>
      <c r="Z2946" s="1077">
        <v>3</v>
      </c>
      <c r="AA2946" s="1077" t="s">
        <v>2188</v>
      </c>
      <c r="AH2946" s="1077" t="s">
        <v>680</v>
      </c>
      <c r="AM2946" s="1078" t="s">
        <v>14798</v>
      </c>
      <c r="AN2946" s="1078" t="s">
        <v>14799</v>
      </c>
      <c r="AO2946" s="1078">
        <f t="shared" si="366"/>
        <v>450</v>
      </c>
      <c r="AP2946" s="1078">
        <f t="shared" si="367"/>
        <v>1.875</v>
      </c>
      <c r="AQ2946" s="1078" t="str">
        <f t="shared" si="368"/>
        <v>1-5-1S83°</v>
      </c>
      <c r="AR2946" s="1078" t="str">
        <f t="shared" si="369"/>
        <v>31.5</v>
      </c>
      <c r="AS2946" s="1078" t="str">
        <f t="shared" si="370"/>
        <v>140/140/OFF</v>
      </c>
      <c r="AT2946" s="1078" t="str">
        <f t="shared" si="371"/>
        <v>1-5-1S83°</v>
      </c>
      <c r="AV2946" s="1078" t="str">
        <f t="shared" ref="AV2946:AV3009" si="372">AA2946</f>
        <v>111.5.6</v>
      </c>
      <c r="AW2946" s="1344">
        <f t="shared" si="365"/>
        <v>44687</v>
      </c>
    </row>
    <row r="2947" spans="1:49">
      <c r="A2947" s="1077" t="s">
        <v>8784</v>
      </c>
      <c r="B2947" s="1077" t="s">
        <v>8424</v>
      </c>
      <c r="C2947" s="1077">
        <v>500</v>
      </c>
      <c r="D2947" s="1077">
        <v>1.71</v>
      </c>
      <c r="E2947" s="1077" t="s">
        <v>15089</v>
      </c>
      <c r="F2947" s="1077" t="s">
        <v>2167</v>
      </c>
      <c r="G2947" s="1077">
        <v>2</v>
      </c>
      <c r="H2947" s="1077" t="s">
        <v>1290</v>
      </c>
      <c r="I2947" s="1077" t="s">
        <v>1073</v>
      </c>
      <c r="J2947" s="1077">
        <v>1.6</v>
      </c>
      <c r="K2947" s="1077" t="s">
        <v>8739</v>
      </c>
      <c r="L2947" s="1077" t="s">
        <v>8426</v>
      </c>
      <c r="M2947" s="1077">
        <v>31.5</v>
      </c>
      <c r="N2947" s="1077" t="s">
        <v>945</v>
      </c>
      <c r="O2947" s="1077">
        <v>0.78750000000000009</v>
      </c>
      <c r="P2947" s="1077">
        <v>0.63</v>
      </c>
      <c r="Q2947" s="1077">
        <v>4</v>
      </c>
      <c r="R2947" s="1077">
        <v>20</v>
      </c>
      <c r="T2947" s="1077">
        <v>39</v>
      </c>
      <c r="U2947" s="1077">
        <v>3.5</v>
      </c>
      <c r="V2947" s="1077" t="s">
        <v>648</v>
      </c>
      <c r="W2947" s="1077">
        <v>150</v>
      </c>
      <c r="X2947" s="1077">
        <v>85</v>
      </c>
      <c r="Y2947" s="1077">
        <v>3</v>
      </c>
      <c r="Z2947" s="1077">
        <v>3.5</v>
      </c>
      <c r="AA2947" s="1077" t="s">
        <v>8038</v>
      </c>
      <c r="AH2947" s="1077" t="s">
        <v>1827</v>
      </c>
      <c r="AM2947" s="1078" t="s">
        <v>14800</v>
      </c>
      <c r="AN2947" s="1078" t="s">
        <v>14801</v>
      </c>
      <c r="AO2947" s="1078">
        <f t="shared" si="366"/>
        <v>500</v>
      </c>
      <c r="AP2947" s="1078">
        <f t="shared" si="367"/>
        <v>1.71</v>
      </c>
      <c r="AQ2947" s="1078" t="str">
        <f t="shared" si="368"/>
        <v>1-4-1S83°</v>
      </c>
      <c r="AR2947" s="1078" t="str">
        <f t="shared" si="369"/>
        <v>33</v>
      </c>
      <c r="AS2947" s="1078" t="str">
        <f t="shared" si="370"/>
        <v>220/220/OFF</v>
      </c>
      <c r="AT2947" s="1078" t="str">
        <f t="shared" si="371"/>
        <v>1-4-1S83°</v>
      </c>
      <c r="AV2947" s="1078" t="str">
        <f t="shared" si="372"/>
        <v>111.5.5</v>
      </c>
      <c r="AW2947" s="1344">
        <f t="shared" ref="AW2947:AW3010" si="373">DATE(VALUE(LEFT(AV2947,FIND(".",AV2947)-1))+1911,
       VALUE(MID(AV2947,FIND(".",AV2947)+1,FIND(".",AV2947,FIND(".",AV2947)+1)-FIND(".",AV2947)-1)),
       VALUE(RIGHT(AV2947,LEN(AV2947)-FIND("~",SUBSTITUTE(AV2947,".","~",2)))))</f>
        <v>44686</v>
      </c>
    </row>
    <row r="2948" spans="1:49">
      <c r="A2948" s="1077" t="s">
        <v>8785</v>
      </c>
      <c r="B2948" s="1077" t="s">
        <v>8662</v>
      </c>
      <c r="C2948" s="1077">
        <v>450</v>
      </c>
      <c r="D2948" s="1077">
        <v>1.79</v>
      </c>
      <c r="E2948" s="1077" t="s">
        <v>15089</v>
      </c>
      <c r="F2948" s="1077" t="s">
        <v>984</v>
      </c>
      <c r="G2948" s="1077">
        <v>2</v>
      </c>
      <c r="H2948" s="1077" t="s">
        <v>1017</v>
      </c>
      <c r="I2948" s="1077" t="s">
        <v>126</v>
      </c>
      <c r="J2948" s="1077">
        <v>1</v>
      </c>
      <c r="K2948" s="1077" t="s">
        <v>8786</v>
      </c>
      <c r="L2948" s="1077" t="s">
        <v>8664</v>
      </c>
      <c r="M2948" s="1077">
        <v>41.5</v>
      </c>
      <c r="N2948" s="1077" t="s">
        <v>945</v>
      </c>
      <c r="O2948" s="1077">
        <v>1.0375000000000001</v>
      </c>
      <c r="P2948" s="1077">
        <v>0.83000000000000007</v>
      </c>
      <c r="Q2948" s="1077">
        <v>3</v>
      </c>
      <c r="R2948" s="1077">
        <v>23</v>
      </c>
      <c r="T2948" s="1077">
        <v>28</v>
      </c>
      <c r="U2948" s="1077">
        <v>3</v>
      </c>
      <c r="V2948" s="1077" t="s">
        <v>648</v>
      </c>
      <c r="W2948" s="1077">
        <v>110</v>
      </c>
      <c r="X2948" s="1077">
        <v>70</v>
      </c>
      <c r="Y2948" s="1077">
        <v>3</v>
      </c>
      <c r="Z2948" s="1077">
        <v>4.5</v>
      </c>
      <c r="AA2948" s="1077" t="s">
        <v>2195</v>
      </c>
      <c r="AH2948" s="1077" t="s">
        <v>8787</v>
      </c>
      <c r="AM2948" s="1078" t="s">
        <v>14802</v>
      </c>
      <c r="AN2948" s="1078" t="s">
        <v>14803</v>
      </c>
      <c r="AO2948" s="1078">
        <f t="shared" si="366"/>
        <v>450</v>
      </c>
      <c r="AP2948" s="1078">
        <f t="shared" si="367"/>
        <v>1.79</v>
      </c>
      <c r="AQ2948" s="1078" t="str">
        <f t="shared" si="368"/>
        <v>1-4-1S83°</v>
      </c>
      <c r="AR2948" s="1078" t="str">
        <f t="shared" si="369"/>
        <v>30</v>
      </c>
      <c r="AS2948" s="1078" t="str">
        <f t="shared" si="370"/>
        <v>200/200/OFF</v>
      </c>
      <c r="AT2948" s="1078" t="str">
        <f t="shared" si="371"/>
        <v>1-4-1S83°</v>
      </c>
      <c r="AV2948" s="1078" t="str">
        <f t="shared" si="372"/>
        <v>111.5.11</v>
      </c>
      <c r="AW2948" s="1344">
        <f t="shared" si="373"/>
        <v>44692</v>
      </c>
    </row>
    <row r="2949" spans="1:49">
      <c r="A2949" s="1077" t="s">
        <v>8788</v>
      </c>
      <c r="B2949" s="1077" t="s">
        <v>8716</v>
      </c>
      <c r="C2949" s="1077">
        <v>450</v>
      </c>
      <c r="D2949" s="1077">
        <v>1.84</v>
      </c>
      <c r="E2949" s="1077" t="s">
        <v>15089</v>
      </c>
      <c r="F2949" s="1077" t="s">
        <v>984</v>
      </c>
      <c r="G2949" s="1077">
        <v>2</v>
      </c>
      <c r="H2949" s="1077" t="s">
        <v>1155</v>
      </c>
      <c r="I2949" s="1077" t="s">
        <v>126</v>
      </c>
      <c r="J2949" s="1077">
        <v>1</v>
      </c>
      <c r="K2949" s="1077" t="s">
        <v>8789</v>
      </c>
      <c r="L2949" s="1077" t="s">
        <v>8718</v>
      </c>
      <c r="M2949" s="1077">
        <v>40.5</v>
      </c>
      <c r="N2949" s="1077" t="s">
        <v>945</v>
      </c>
      <c r="O2949" s="1077">
        <v>1.0125</v>
      </c>
      <c r="P2949" s="1077">
        <v>0.81</v>
      </c>
      <c r="Q2949" s="1077">
        <v>3</v>
      </c>
      <c r="R2949" s="1077">
        <v>25</v>
      </c>
      <c r="T2949" s="1077">
        <v>33.799999999999997</v>
      </c>
      <c r="U2949" s="1077">
        <v>3.1</v>
      </c>
      <c r="V2949" s="1077" t="s">
        <v>648</v>
      </c>
      <c r="W2949" s="1077">
        <v>120</v>
      </c>
      <c r="X2949" s="1077">
        <v>80</v>
      </c>
      <c r="Y2949" s="1077">
        <v>3</v>
      </c>
      <c r="Z2949" s="1077">
        <v>4.5</v>
      </c>
      <c r="AA2949" s="1077" t="s">
        <v>8790</v>
      </c>
      <c r="AH2949" s="1077" t="s">
        <v>8791</v>
      </c>
      <c r="AM2949" s="1078" t="s">
        <v>14804</v>
      </c>
      <c r="AN2949" s="1078" t="s">
        <v>14805</v>
      </c>
      <c r="AO2949" s="1078">
        <f t="shared" si="366"/>
        <v>450</v>
      </c>
      <c r="AP2949" s="1078">
        <f t="shared" si="367"/>
        <v>1.84</v>
      </c>
      <c r="AQ2949" s="1078" t="str">
        <f t="shared" si="368"/>
        <v>1-4-1S83°</v>
      </c>
      <c r="AR2949" s="1078" t="str">
        <f t="shared" si="369"/>
        <v>30</v>
      </c>
      <c r="AS2949" s="1078" t="str">
        <f t="shared" si="370"/>
        <v>215/215/OFF</v>
      </c>
      <c r="AT2949" s="1078" t="str">
        <f t="shared" si="371"/>
        <v>1-4-1S83°</v>
      </c>
      <c r="AV2949" s="1078" t="str">
        <f t="shared" si="372"/>
        <v>111.5.26</v>
      </c>
      <c r="AW2949" s="1344">
        <f t="shared" si="373"/>
        <v>44707</v>
      </c>
    </row>
    <row r="2950" spans="1:49">
      <c r="A2950" s="1077" t="s">
        <v>8792</v>
      </c>
      <c r="B2950" s="1077" t="s">
        <v>8686</v>
      </c>
      <c r="C2950" s="1077">
        <v>500</v>
      </c>
      <c r="D2950" s="1077">
        <v>1.75</v>
      </c>
      <c r="E2950" s="1077" t="s">
        <v>15094</v>
      </c>
      <c r="F2950" s="1077" t="s">
        <v>984</v>
      </c>
      <c r="G2950" s="1077">
        <v>5</v>
      </c>
      <c r="H2950" s="1077" t="s">
        <v>8793</v>
      </c>
      <c r="I2950" s="1077" t="s">
        <v>126</v>
      </c>
      <c r="J2950" s="1077">
        <v>0.8</v>
      </c>
      <c r="K2950" s="1077" t="s">
        <v>8794</v>
      </c>
      <c r="L2950" s="1077" t="s">
        <v>8795</v>
      </c>
      <c r="M2950" s="1077">
        <v>161.69999999999999</v>
      </c>
      <c r="N2950" s="1077" t="s">
        <v>945</v>
      </c>
      <c r="O2950" s="1077">
        <v>4.0424999999999995</v>
      </c>
      <c r="P2950" s="1077">
        <v>3.234</v>
      </c>
      <c r="Q2950" s="1077">
        <v>3.5</v>
      </c>
      <c r="R2950" s="1077">
        <v>20</v>
      </c>
      <c r="T2950" s="1077">
        <v>16.8</v>
      </c>
      <c r="U2950" s="1077">
        <v>2.6</v>
      </c>
      <c r="V2950" s="1077" t="s">
        <v>648</v>
      </c>
      <c r="W2950" s="1077">
        <v>60</v>
      </c>
      <c r="X2950" s="1077">
        <v>10</v>
      </c>
      <c r="Y2950" s="1077">
        <v>1.8</v>
      </c>
      <c r="Z2950" s="1077">
        <v>6</v>
      </c>
      <c r="AA2950" s="1077" t="s">
        <v>5607</v>
      </c>
      <c r="AH2950" s="1077" t="s">
        <v>466</v>
      </c>
      <c r="AM2950" s="1078" t="s">
        <v>14806</v>
      </c>
      <c r="AN2950" s="1078" t="s">
        <v>14807</v>
      </c>
      <c r="AO2950" s="1078">
        <f t="shared" si="366"/>
        <v>500</v>
      </c>
      <c r="AP2950" s="1078">
        <f t="shared" si="367"/>
        <v>1.75</v>
      </c>
      <c r="AQ2950" s="1078" t="str">
        <f t="shared" si="368"/>
        <v>1-5-1S91°</v>
      </c>
      <c r="AR2950" s="1078" t="str">
        <f t="shared" si="369"/>
        <v>30</v>
      </c>
      <c r="AS2950" s="1078" t="str">
        <f t="shared" si="370"/>
        <v>325/325/155</v>
      </c>
      <c r="AT2950" s="1078" t="str">
        <f t="shared" si="371"/>
        <v>1-5-1S91°</v>
      </c>
      <c r="AV2950" s="1078" t="str">
        <f t="shared" si="372"/>
        <v>111.5.20</v>
      </c>
      <c r="AW2950" s="1344">
        <f t="shared" si="373"/>
        <v>44701</v>
      </c>
    </row>
    <row r="2951" spans="1:49">
      <c r="A2951" s="1077" t="s">
        <v>8796</v>
      </c>
      <c r="B2951" s="1077" t="s">
        <v>8429</v>
      </c>
      <c r="C2951" s="1077" t="s">
        <v>8797</v>
      </c>
      <c r="D2951" s="1077">
        <v>1.71</v>
      </c>
      <c r="E2951" s="1077" t="s">
        <v>15089</v>
      </c>
      <c r="F2951" s="1077" t="s">
        <v>954</v>
      </c>
      <c r="G2951" s="1077">
        <v>2</v>
      </c>
      <c r="H2951" s="1077" t="s">
        <v>5341</v>
      </c>
      <c r="I2951" s="1077" t="s">
        <v>626</v>
      </c>
      <c r="J2951" s="1077">
        <v>1.1000000000000001</v>
      </c>
      <c r="K2951" s="1077" t="s">
        <v>8798</v>
      </c>
      <c r="L2951" s="1077" t="s">
        <v>872</v>
      </c>
      <c r="M2951" s="1077">
        <v>30.9</v>
      </c>
      <c r="N2951" s="1077" t="s">
        <v>945</v>
      </c>
      <c r="O2951" s="1077">
        <v>0.77249999999999996</v>
      </c>
      <c r="P2951" s="1077">
        <v>0.61799999999999999</v>
      </c>
      <c r="Q2951" s="1077">
        <v>4</v>
      </c>
      <c r="R2951" s="1077">
        <v>19.5</v>
      </c>
      <c r="T2951" s="1077">
        <v>30.1</v>
      </c>
      <c r="U2951" s="1077">
        <v>3.9</v>
      </c>
      <c r="V2951" s="1077" t="s">
        <v>648</v>
      </c>
      <c r="W2951" s="1077">
        <v>150</v>
      </c>
      <c r="X2951" s="1077">
        <v>80</v>
      </c>
      <c r="Y2951" s="1077">
        <v>2.2000000000000002</v>
      </c>
      <c r="Z2951" s="1077">
        <v>3</v>
      </c>
      <c r="AA2951" s="1077" t="s">
        <v>2218</v>
      </c>
      <c r="AH2951" s="1077" t="s">
        <v>853</v>
      </c>
      <c r="AM2951" s="1078" t="s">
        <v>14808</v>
      </c>
      <c r="AN2951" s="1078" t="s">
        <v>14809</v>
      </c>
      <c r="AO2951" s="1078" t="str">
        <f t="shared" si="366"/>
        <v>500↓450-6/23</v>
      </c>
      <c r="AP2951" s="1078">
        <f t="shared" si="367"/>
        <v>1.71</v>
      </c>
      <c r="AQ2951" s="1078" t="str">
        <f t="shared" si="368"/>
        <v>1-4-1S83°</v>
      </c>
      <c r="AR2951" s="1078" t="str">
        <f t="shared" si="369"/>
        <v>31</v>
      </c>
      <c r="AS2951" s="1078" t="str">
        <f t="shared" si="370"/>
        <v>202/202/OFF</v>
      </c>
      <c r="AT2951" s="1078" t="str">
        <f t="shared" si="371"/>
        <v>1-4-1S83°</v>
      </c>
      <c r="AV2951" s="1078" t="str">
        <f t="shared" si="372"/>
        <v>111.6.6</v>
      </c>
      <c r="AW2951" s="1344">
        <f t="shared" si="373"/>
        <v>44718</v>
      </c>
    </row>
    <row r="2952" spans="1:49">
      <c r="A2952" s="1077" t="s">
        <v>8799</v>
      </c>
      <c r="B2952" s="1077" t="s">
        <v>654</v>
      </c>
      <c r="C2952" s="1077">
        <v>500</v>
      </c>
      <c r="D2952" s="1077">
        <v>1.67</v>
      </c>
      <c r="E2952" s="1077">
        <v>102.5</v>
      </c>
      <c r="F2952" s="1077" t="s">
        <v>4070</v>
      </c>
      <c r="G2952" s="1077">
        <v>5.5</v>
      </c>
      <c r="H2952" s="1077" t="s">
        <v>8679</v>
      </c>
      <c r="I2952" s="1077" t="s">
        <v>643</v>
      </c>
      <c r="J2952" s="1077">
        <v>3.4</v>
      </c>
      <c r="K2952" s="1077" t="s">
        <v>8800</v>
      </c>
      <c r="L2952" s="1077" t="s">
        <v>8560</v>
      </c>
      <c r="M2952" s="1077">
        <v>427.4</v>
      </c>
      <c r="N2952" s="1077" t="s">
        <v>945</v>
      </c>
      <c r="O2952" s="1077">
        <v>10.685</v>
      </c>
      <c r="P2952" s="1077">
        <v>8.548</v>
      </c>
      <c r="Q2952" s="1077">
        <v>3.5</v>
      </c>
      <c r="R2952" s="1077">
        <v>19.600000000000001</v>
      </c>
      <c r="T2952" s="1077">
        <v>14.9</v>
      </c>
      <c r="U2952" s="1077">
        <v>4.2</v>
      </c>
      <c r="V2952" s="1077" t="s">
        <v>648</v>
      </c>
      <c r="W2952" s="1077">
        <v>120</v>
      </c>
      <c r="X2952" s="1077">
        <v>90</v>
      </c>
      <c r="Y2952" s="1077">
        <v>1</v>
      </c>
      <c r="Z2952" s="1077" t="s">
        <v>648</v>
      </c>
      <c r="AA2952" s="1077" t="s">
        <v>1503</v>
      </c>
      <c r="AH2952" s="1077" t="s">
        <v>887</v>
      </c>
      <c r="AM2952" s="1078" t="s">
        <v>14810</v>
      </c>
      <c r="AN2952" s="1078" t="s">
        <v>14811</v>
      </c>
      <c r="AO2952" s="1078">
        <f t="shared" si="366"/>
        <v>500</v>
      </c>
      <c r="AP2952" s="1078">
        <f t="shared" si="367"/>
        <v>1.67</v>
      </c>
      <c r="AQ2952" s="1078">
        <f t="shared" si="368"/>
        <v>102.5</v>
      </c>
      <c r="AR2952" s="1078" t="str">
        <f t="shared" si="369"/>
        <v>15.5</v>
      </c>
      <c r="AS2952" s="1078" t="str">
        <f t="shared" si="370"/>
        <v>480/420/160</v>
      </c>
      <c r="AT2952" s="1078">
        <f t="shared" si="371"/>
        <v>102.5</v>
      </c>
      <c r="AV2952" s="1078" t="str">
        <f t="shared" si="372"/>
        <v>111.6.10</v>
      </c>
      <c r="AW2952" s="1344">
        <f t="shared" si="373"/>
        <v>44722</v>
      </c>
    </row>
    <row r="2953" spans="1:49">
      <c r="A2953" s="1077" t="s">
        <v>8801</v>
      </c>
      <c r="B2953" s="1077" t="s">
        <v>8802</v>
      </c>
      <c r="C2953" s="1077">
        <v>500</v>
      </c>
      <c r="D2953" s="1077">
        <v>1.66</v>
      </c>
      <c r="E2953" s="1077">
        <v>102.5</v>
      </c>
      <c r="F2953" s="1077" t="s">
        <v>4070</v>
      </c>
      <c r="G2953" s="1077">
        <v>5</v>
      </c>
      <c r="H2953" s="1077" t="s">
        <v>8803</v>
      </c>
      <c r="I2953" s="1077" t="s">
        <v>643</v>
      </c>
      <c r="J2953" s="1077">
        <v>2.8</v>
      </c>
      <c r="K2953" s="1077" t="s">
        <v>8804</v>
      </c>
      <c r="L2953" s="1077" t="s">
        <v>8805</v>
      </c>
      <c r="M2953" s="1077">
        <v>450</v>
      </c>
      <c r="N2953" s="1077" t="s">
        <v>945</v>
      </c>
      <c r="O2953" s="1077">
        <v>11.25</v>
      </c>
      <c r="P2953" s="1077">
        <v>9</v>
      </c>
      <c r="Q2953" s="1077">
        <v>3.5</v>
      </c>
      <c r="R2953" s="1077">
        <v>21.5</v>
      </c>
      <c r="T2953" s="1077">
        <v>18.5</v>
      </c>
      <c r="U2953" s="1077">
        <v>4</v>
      </c>
      <c r="V2953" s="1077" t="s">
        <v>648</v>
      </c>
      <c r="W2953" s="1077">
        <v>110</v>
      </c>
      <c r="X2953" s="1077">
        <v>80</v>
      </c>
      <c r="Y2953" s="1077">
        <v>1.2</v>
      </c>
      <c r="Z2953" s="1077" t="s">
        <v>648</v>
      </c>
      <c r="AA2953" s="1077" t="s">
        <v>2227</v>
      </c>
      <c r="AH2953" s="1077" t="s">
        <v>723</v>
      </c>
      <c r="AM2953" s="1078" t="s">
        <v>14812</v>
      </c>
      <c r="AN2953" s="1078" t="s">
        <v>14813</v>
      </c>
      <c r="AO2953" s="1078">
        <f t="shared" si="366"/>
        <v>500</v>
      </c>
      <c r="AP2953" s="1078">
        <f t="shared" si="367"/>
        <v>1.66</v>
      </c>
      <c r="AQ2953" s="1078">
        <f t="shared" si="368"/>
        <v>102.5</v>
      </c>
      <c r="AR2953" s="1078" t="str">
        <f t="shared" si="369"/>
        <v>15.5</v>
      </c>
      <c r="AS2953" s="1078" t="str">
        <f t="shared" si="370"/>
        <v>460/400/OFF</v>
      </c>
      <c r="AT2953" s="1078">
        <f t="shared" si="371"/>
        <v>102.5</v>
      </c>
      <c r="AV2953" s="1078" t="str">
        <f t="shared" si="372"/>
        <v>111.6.14</v>
      </c>
      <c r="AW2953" s="1344">
        <f t="shared" si="373"/>
        <v>44726</v>
      </c>
    </row>
    <row r="2954" spans="1:49">
      <c r="A2954" s="1077" t="s">
        <v>8806</v>
      </c>
      <c r="B2954" s="1077" t="s">
        <v>8698</v>
      </c>
      <c r="C2954" s="1077">
        <v>450</v>
      </c>
      <c r="D2954" s="1077">
        <v>1.71</v>
      </c>
      <c r="E2954" s="1077" t="s">
        <v>15089</v>
      </c>
      <c r="F2954" s="1077" t="s">
        <v>2167</v>
      </c>
      <c r="G2954" s="1077">
        <v>2</v>
      </c>
      <c r="H2954" s="1077" t="s">
        <v>2205</v>
      </c>
      <c r="I2954" s="1077" t="s">
        <v>1073</v>
      </c>
      <c r="J2954" s="1077">
        <v>1.6</v>
      </c>
      <c r="K2954" s="1077" t="s">
        <v>8739</v>
      </c>
      <c r="L2954" s="1077" t="s">
        <v>8426</v>
      </c>
      <c r="M2954" s="1077">
        <v>31.5</v>
      </c>
      <c r="N2954" s="1077" t="s">
        <v>945</v>
      </c>
      <c r="O2954" s="1077">
        <v>0.78750000000000009</v>
      </c>
      <c r="P2954" s="1077">
        <v>0.63</v>
      </c>
      <c r="Q2954" s="1077">
        <v>4</v>
      </c>
      <c r="R2954" s="1077">
        <v>20</v>
      </c>
      <c r="T2954" s="1077">
        <v>39</v>
      </c>
      <c r="U2954" s="1077">
        <v>3.5</v>
      </c>
      <c r="V2954" s="1077" t="s">
        <v>648</v>
      </c>
      <c r="W2954" s="1077">
        <v>150</v>
      </c>
      <c r="X2954" s="1077">
        <v>85</v>
      </c>
      <c r="Y2954" s="1077">
        <v>3</v>
      </c>
      <c r="Z2954" s="1077">
        <v>3.5</v>
      </c>
      <c r="AA2954" s="1077" t="s">
        <v>2241</v>
      </c>
      <c r="AH2954" s="1077" t="s">
        <v>812</v>
      </c>
      <c r="AM2954" s="1078" t="s">
        <v>14814</v>
      </c>
      <c r="AN2954" s="1078" t="s">
        <v>14815</v>
      </c>
      <c r="AO2954" s="1078">
        <f t="shared" si="366"/>
        <v>450</v>
      </c>
      <c r="AP2954" s="1078">
        <f t="shared" si="367"/>
        <v>1.71</v>
      </c>
      <c r="AQ2954" s="1078" t="str">
        <f t="shared" si="368"/>
        <v>1-4-1S83°</v>
      </c>
      <c r="AR2954" s="1078" t="str">
        <f t="shared" si="369"/>
        <v>33</v>
      </c>
      <c r="AS2954" s="1078" t="str">
        <f t="shared" si="370"/>
        <v>216/216/OFF</v>
      </c>
      <c r="AT2954" s="1078" t="str">
        <f t="shared" si="371"/>
        <v>1-4-1S83°</v>
      </c>
      <c r="AV2954" s="1078" t="str">
        <f t="shared" si="372"/>
        <v>111.6.23</v>
      </c>
      <c r="AW2954" s="1344">
        <f t="shared" si="373"/>
        <v>44735</v>
      </c>
    </row>
    <row r="2955" spans="1:49">
      <c r="A2955" s="1077" t="s">
        <v>8807</v>
      </c>
      <c r="B2955" s="1077" t="s">
        <v>8611</v>
      </c>
      <c r="C2955" s="1077">
        <v>600</v>
      </c>
      <c r="D2955" s="1077">
        <v>1.79</v>
      </c>
      <c r="E2955" s="1077" t="s">
        <v>15116</v>
      </c>
      <c r="F2955" s="1077" t="s">
        <v>984</v>
      </c>
      <c r="G2955" s="1077">
        <v>4</v>
      </c>
      <c r="H2955" s="1077" t="s">
        <v>1040</v>
      </c>
      <c r="I2955" s="1077" t="s">
        <v>126</v>
      </c>
      <c r="J2955" s="1077">
        <v>0.7</v>
      </c>
      <c r="K2955" s="1077" t="s">
        <v>8808</v>
      </c>
      <c r="L2955" s="1077" t="s">
        <v>4212</v>
      </c>
      <c r="M2955" s="1077">
        <v>197</v>
      </c>
      <c r="N2955" s="1077" t="s">
        <v>945</v>
      </c>
      <c r="O2955" s="1077">
        <v>4.9250000000000007</v>
      </c>
      <c r="P2955" s="1077">
        <v>3.94</v>
      </c>
      <c r="Q2955" s="1077">
        <v>3</v>
      </c>
      <c r="R2955" s="1077">
        <v>29</v>
      </c>
      <c r="T2955" s="1077">
        <v>22</v>
      </c>
      <c r="U2955" s="1077">
        <v>5.3</v>
      </c>
      <c r="V2955" s="1077" t="s">
        <v>648</v>
      </c>
      <c r="W2955" s="1077">
        <v>40</v>
      </c>
      <c r="X2955" s="1077">
        <v>10</v>
      </c>
      <c r="Y2955" s="1077">
        <v>2</v>
      </c>
      <c r="Z2955" s="1077" t="s">
        <v>648</v>
      </c>
      <c r="AA2955" s="1077" t="s">
        <v>2297</v>
      </c>
      <c r="AH2955" s="1077" t="s">
        <v>877</v>
      </c>
      <c r="AM2955" s="1078" t="s">
        <v>14816</v>
      </c>
      <c r="AN2955" s="1078" t="s">
        <v>14817</v>
      </c>
      <c r="AO2955" s="1078">
        <f t="shared" ref="AO2955:AO3018" si="374">C2955</f>
        <v>600</v>
      </c>
      <c r="AP2955" s="1078">
        <f t="shared" ref="AP2955:AP3018" si="375">D2955</f>
        <v>1.79</v>
      </c>
      <c r="AQ2955" s="1078" t="str">
        <f t="shared" ref="AQ2955:AQ3018" si="376">E2955</f>
        <v>1-5-1S83°Z+S</v>
      </c>
      <c r="AR2955" s="1078" t="str">
        <f t="shared" ref="AR2955:AR3018" si="377">F2955</f>
        <v>30</v>
      </c>
      <c r="AS2955" s="1078" t="str">
        <f t="shared" ref="AS2955:AS3018" si="378">H2955</f>
        <v>240/240/OFF</v>
      </c>
      <c r="AT2955" s="1078" t="str">
        <f t="shared" ref="AT2955:AT3018" si="379">E2955</f>
        <v>1-5-1S83°Z+S</v>
      </c>
      <c r="AU2955" s="1078" t="s">
        <v>15547</v>
      </c>
      <c r="AV2955" s="1078" t="str">
        <f t="shared" si="372"/>
        <v>111.6.27</v>
      </c>
      <c r="AW2955" s="1344">
        <f t="shared" si="373"/>
        <v>44739</v>
      </c>
    </row>
    <row r="2956" spans="1:49">
      <c r="A2956" s="1077" t="s">
        <v>8809</v>
      </c>
      <c r="B2956" s="1077" t="s">
        <v>8594</v>
      </c>
      <c r="C2956" s="1077">
        <v>550</v>
      </c>
      <c r="D2956" s="1077">
        <v>1.71</v>
      </c>
      <c r="E2956" s="1077" t="s">
        <v>15123</v>
      </c>
      <c r="F2956" s="1077" t="s">
        <v>1469</v>
      </c>
      <c r="G2956" s="1077">
        <v>5</v>
      </c>
      <c r="H2956" s="1077" t="s">
        <v>8810</v>
      </c>
      <c r="I2956" s="1077" t="s">
        <v>460</v>
      </c>
      <c r="J2956" s="1077">
        <v>2.6</v>
      </c>
      <c r="K2956" s="1077" t="s">
        <v>8749</v>
      </c>
      <c r="L2956" s="1077" t="s">
        <v>8596</v>
      </c>
      <c r="M2956" s="1077">
        <v>228.6</v>
      </c>
      <c r="N2956" s="1077" t="s">
        <v>945</v>
      </c>
      <c r="O2956" s="1077">
        <v>5.7149999999999999</v>
      </c>
      <c r="P2956" s="1077">
        <v>4.5720000000000001</v>
      </c>
      <c r="Q2956" s="1077">
        <v>3</v>
      </c>
      <c r="R2956" s="1077">
        <v>32.5</v>
      </c>
      <c r="T2956" s="1077">
        <v>13.1</v>
      </c>
      <c r="U2956" s="1077">
        <v>6.1</v>
      </c>
      <c r="V2956" s="1077" t="s">
        <v>648</v>
      </c>
      <c r="W2956" s="1077">
        <v>110</v>
      </c>
      <c r="X2956" s="1077">
        <v>80</v>
      </c>
      <c r="Y2956" s="1077">
        <v>1.8</v>
      </c>
      <c r="Z2956" s="1077">
        <v>7.5</v>
      </c>
      <c r="AA2956" s="1077" t="s">
        <v>2315</v>
      </c>
      <c r="AH2956" s="1077" t="s">
        <v>803</v>
      </c>
      <c r="AM2956" s="1078" t="s">
        <v>14818</v>
      </c>
      <c r="AN2956" s="1078" t="s">
        <v>14819</v>
      </c>
      <c r="AO2956" s="1078">
        <f t="shared" si="374"/>
        <v>550</v>
      </c>
      <c r="AP2956" s="1078">
        <f t="shared" si="375"/>
        <v>1.71</v>
      </c>
      <c r="AQ2956" s="1078" t="str">
        <f t="shared" si="376"/>
        <v>1-7-1S83°</v>
      </c>
      <c r="AR2956" s="1078" t="str">
        <f t="shared" si="377"/>
        <v>30.5</v>
      </c>
      <c r="AS2956" s="1078" t="str">
        <f t="shared" si="378"/>
        <v>157/OFF</v>
      </c>
      <c r="AT2956" s="1078" t="str">
        <f t="shared" si="379"/>
        <v>1-7-1S83°</v>
      </c>
      <c r="AV2956" s="1078" t="str">
        <f t="shared" si="372"/>
        <v>111.7.15</v>
      </c>
      <c r="AW2956" s="1344">
        <f t="shared" si="373"/>
        <v>44757</v>
      </c>
    </row>
    <row r="2957" spans="1:49">
      <c r="A2957" s="1077" t="s">
        <v>8811</v>
      </c>
      <c r="B2957" s="1077" t="s">
        <v>8662</v>
      </c>
      <c r="C2957" s="1077">
        <v>450</v>
      </c>
      <c r="D2957" s="1077">
        <v>1.79</v>
      </c>
      <c r="E2957" s="1077" t="s">
        <v>15089</v>
      </c>
      <c r="F2957" s="1077" t="s">
        <v>984</v>
      </c>
      <c r="G2957" s="1077">
        <v>2</v>
      </c>
      <c r="H2957" s="1077" t="s">
        <v>1017</v>
      </c>
      <c r="I2957" s="1077" t="s">
        <v>126</v>
      </c>
      <c r="J2957" s="1077">
        <v>1</v>
      </c>
      <c r="K2957" s="1077" t="s">
        <v>8663</v>
      </c>
      <c r="L2957" s="1077" t="s">
        <v>8664</v>
      </c>
      <c r="M2957" s="1077">
        <v>41.5</v>
      </c>
      <c r="N2957" s="1077" t="s">
        <v>945</v>
      </c>
      <c r="O2957" s="1077">
        <v>1.0375000000000001</v>
      </c>
      <c r="P2957" s="1077">
        <v>0.83000000000000007</v>
      </c>
      <c r="Q2957" s="1077">
        <v>3</v>
      </c>
      <c r="R2957" s="1077">
        <v>23</v>
      </c>
      <c r="T2957" s="1077">
        <v>28</v>
      </c>
      <c r="U2957" s="1077">
        <v>3</v>
      </c>
      <c r="V2957" s="1077" t="s">
        <v>648</v>
      </c>
      <c r="W2957" s="1077">
        <v>110</v>
      </c>
      <c r="X2957" s="1077">
        <v>70</v>
      </c>
      <c r="Y2957" s="1077">
        <v>3</v>
      </c>
      <c r="Z2957" s="1077">
        <v>4.5</v>
      </c>
      <c r="AA2957" s="1077" t="s">
        <v>8812</v>
      </c>
      <c r="AH2957" s="1077" t="s">
        <v>1376</v>
      </c>
      <c r="AM2957" s="1078" t="s">
        <v>14820</v>
      </c>
      <c r="AN2957" s="1078" t="s">
        <v>14821</v>
      </c>
      <c r="AO2957" s="1078">
        <f t="shared" si="374"/>
        <v>450</v>
      </c>
      <c r="AP2957" s="1078">
        <f t="shared" si="375"/>
        <v>1.79</v>
      </c>
      <c r="AQ2957" s="1078" t="str">
        <f t="shared" si="376"/>
        <v>1-4-1S83°</v>
      </c>
      <c r="AR2957" s="1078" t="str">
        <f t="shared" si="377"/>
        <v>30</v>
      </c>
      <c r="AS2957" s="1078" t="str">
        <f t="shared" si="378"/>
        <v>200/200/OFF</v>
      </c>
      <c r="AT2957" s="1078" t="str">
        <f t="shared" si="379"/>
        <v>1-4-1S83°</v>
      </c>
      <c r="AV2957" s="1078" t="str">
        <f t="shared" si="372"/>
        <v>111.7.18</v>
      </c>
      <c r="AW2957" s="1344">
        <f t="shared" si="373"/>
        <v>44760</v>
      </c>
    </row>
    <row r="2958" spans="1:49">
      <c r="A2958" s="1077" t="s">
        <v>8813</v>
      </c>
      <c r="B2958" s="1077" t="s">
        <v>8594</v>
      </c>
      <c r="C2958" s="1077">
        <v>550</v>
      </c>
      <c r="D2958" s="1077">
        <v>1.71</v>
      </c>
      <c r="E2958" s="1077" t="s">
        <v>15123</v>
      </c>
      <c r="F2958" s="1077" t="s">
        <v>1469</v>
      </c>
      <c r="G2958" s="1077">
        <v>5</v>
      </c>
      <c r="H2958" s="1077" t="s">
        <v>1470</v>
      </c>
      <c r="I2958" s="1077" t="s">
        <v>460</v>
      </c>
      <c r="J2958" s="1077">
        <v>2.8</v>
      </c>
      <c r="K2958" s="1077" t="s">
        <v>8814</v>
      </c>
      <c r="L2958" s="1077" t="s">
        <v>8596</v>
      </c>
      <c r="M2958" s="1077">
        <v>228.6</v>
      </c>
      <c r="N2958" s="1077" t="s">
        <v>945</v>
      </c>
      <c r="O2958" s="1077">
        <v>5.7149999999999999</v>
      </c>
      <c r="P2958" s="1077">
        <v>4.5720000000000001</v>
      </c>
      <c r="Q2958" s="1077">
        <v>3</v>
      </c>
      <c r="R2958" s="1077">
        <v>32.5</v>
      </c>
      <c r="T2958" s="1077">
        <v>13.1</v>
      </c>
      <c r="U2958" s="1077">
        <v>6.1</v>
      </c>
      <c r="V2958" s="1077" t="s">
        <v>648</v>
      </c>
      <c r="W2958" s="1077">
        <v>110</v>
      </c>
      <c r="X2958" s="1077">
        <v>80</v>
      </c>
      <c r="Y2958" s="1077">
        <v>1.8</v>
      </c>
      <c r="Z2958" s="1077">
        <v>7.5</v>
      </c>
      <c r="AA2958" s="1077" t="s">
        <v>2339</v>
      </c>
      <c r="AH2958" s="1077" t="s">
        <v>870</v>
      </c>
      <c r="AM2958" s="1078" t="s">
        <v>14822</v>
      </c>
      <c r="AN2958" s="1078" t="s">
        <v>14823</v>
      </c>
      <c r="AO2958" s="1078">
        <f t="shared" si="374"/>
        <v>550</v>
      </c>
      <c r="AP2958" s="1078">
        <f t="shared" si="375"/>
        <v>1.71</v>
      </c>
      <c r="AQ2958" s="1078" t="str">
        <f t="shared" si="376"/>
        <v>1-7-1S83°</v>
      </c>
      <c r="AR2958" s="1078" t="str">
        <f t="shared" si="377"/>
        <v>30.5</v>
      </c>
      <c r="AS2958" s="1078" t="str">
        <f t="shared" si="378"/>
        <v>160/OFF</v>
      </c>
      <c r="AT2958" s="1078" t="str">
        <f t="shared" si="379"/>
        <v>1-7-1S83°</v>
      </c>
      <c r="AV2958" s="1078" t="str">
        <f t="shared" si="372"/>
        <v>111.8.18</v>
      </c>
      <c r="AW2958" s="1344">
        <f t="shared" si="373"/>
        <v>44791</v>
      </c>
    </row>
    <row r="2959" spans="1:49">
      <c r="A2959" s="1077" t="s">
        <v>8815</v>
      </c>
      <c r="B2959" s="1077" t="s">
        <v>8816</v>
      </c>
      <c r="C2959" s="1077">
        <v>500</v>
      </c>
      <c r="D2959" s="1077">
        <v>1.64</v>
      </c>
      <c r="E2959" s="1077" t="s">
        <v>15089</v>
      </c>
      <c r="F2959" s="1077" t="s">
        <v>1501</v>
      </c>
      <c r="G2959" s="1077">
        <v>2</v>
      </c>
      <c r="H2959" s="1077" t="s">
        <v>1290</v>
      </c>
      <c r="I2959" s="1077" t="s">
        <v>460</v>
      </c>
      <c r="J2959" s="1077">
        <v>2.8</v>
      </c>
      <c r="K2959" s="1077" t="s">
        <v>8817</v>
      </c>
      <c r="L2959" s="1077" t="s">
        <v>8818</v>
      </c>
      <c r="M2959" s="1077">
        <v>90.3</v>
      </c>
      <c r="N2959" s="1077" t="s">
        <v>945</v>
      </c>
      <c r="O2959" s="1077">
        <v>2.2574999999999998</v>
      </c>
      <c r="P2959" s="1077">
        <v>1.806</v>
      </c>
      <c r="Q2959" s="1077">
        <v>3</v>
      </c>
      <c r="R2959" s="1077">
        <v>22</v>
      </c>
      <c r="T2959" s="1077">
        <v>64</v>
      </c>
      <c r="U2959" s="1077">
        <v>4.3</v>
      </c>
      <c r="V2959" s="1077" t="s">
        <v>648</v>
      </c>
      <c r="W2959" s="1077">
        <v>115</v>
      </c>
      <c r="X2959" s="1077" t="s">
        <v>8819</v>
      </c>
      <c r="Y2959" s="1077">
        <v>1</v>
      </c>
      <c r="Z2959" s="1077" t="s">
        <v>648</v>
      </c>
      <c r="AA2959" s="1077" t="s">
        <v>8820</v>
      </c>
      <c r="AH2959" s="1077" t="s">
        <v>2055</v>
      </c>
      <c r="AM2959" s="1078" t="s">
        <v>14824</v>
      </c>
      <c r="AN2959" s="1078" t="s">
        <v>14825</v>
      </c>
      <c r="AO2959" s="1078">
        <f t="shared" si="374"/>
        <v>500</v>
      </c>
      <c r="AP2959" s="1078">
        <f t="shared" si="375"/>
        <v>1.64</v>
      </c>
      <c r="AQ2959" s="1078" t="str">
        <f t="shared" si="376"/>
        <v>1-4-1S83°</v>
      </c>
      <c r="AR2959" s="1078" t="str">
        <f t="shared" si="377"/>
        <v>28</v>
      </c>
      <c r="AS2959" s="1078" t="str">
        <f t="shared" si="378"/>
        <v>220/220/OFF</v>
      </c>
      <c r="AT2959" s="1078" t="str">
        <f t="shared" si="379"/>
        <v>1-4-1S83°</v>
      </c>
      <c r="AV2959" s="1078" t="str">
        <f t="shared" si="372"/>
        <v>111.8.19</v>
      </c>
      <c r="AW2959" s="1344">
        <f t="shared" si="373"/>
        <v>44792</v>
      </c>
    </row>
    <row r="2960" spans="1:49">
      <c r="A2960" s="1077" t="s">
        <v>8821</v>
      </c>
      <c r="B2960" s="1077" t="s">
        <v>8631</v>
      </c>
      <c r="C2960" s="1077">
        <v>600</v>
      </c>
      <c r="D2960" s="1077">
        <v>1.74</v>
      </c>
      <c r="E2960" s="1077" t="s">
        <v>15109</v>
      </c>
      <c r="F2960" s="1077" t="s">
        <v>648</v>
      </c>
      <c r="G2960" s="1077">
        <v>5</v>
      </c>
      <c r="H2960" s="1077" t="s">
        <v>8742</v>
      </c>
      <c r="I2960" s="1077" t="s">
        <v>460</v>
      </c>
      <c r="J2960" s="1077">
        <v>2.5</v>
      </c>
      <c r="K2960" s="1077" t="s">
        <v>8822</v>
      </c>
      <c r="L2960" s="1077" t="s">
        <v>4029</v>
      </c>
      <c r="M2960" s="1077">
        <v>206</v>
      </c>
      <c r="N2960" s="1077" t="s">
        <v>945</v>
      </c>
      <c r="O2960" s="1077">
        <v>5.15</v>
      </c>
      <c r="P2960" s="1077">
        <v>4.12</v>
      </c>
      <c r="Q2960" s="1077">
        <v>4</v>
      </c>
      <c r="R2960" s="1077">
        <v>20</v>
      </c>
      <c r="T2960" s="1077">
        <v>18.5</v>
      </c>
      <c r="U2960" s="1077">
        <v>4.0999999999999996</v>
      </c>
      <c r="V2960" s="1077" t="s">
        <v>648</v>
      </c>
      <c r="W2960" s="1077">
        <v>120</v>
      </c>
      <c r="X2960" s="1077">
        <v>85</v>
      </c>
      <c r="Y2960" s="1077">
        <v>1.5</v>
      </c>
      <c r="Z2960" s="1077" t="s">
        <v>648</v>
      </c>
      <c r="AA2960" s="1077" t="s">
        <v>2342</v>
      </c>
      <c r="AH2960" s="1077" t="s">
        <v>948</v>
      </c>
      <c r="AM2960" s="1078" t="s">
        <v>14826</v>
      </c>
      <c r="AN2960" s="1078" t="s">
        <v>14827</v>
      </c>
      <c r="AO2960" s="1078">
        <f t="shared" si="374"/>
        <v>600</v>
      </c>
      <c r="AP2960" s="1078">
        <f t="shared" si="375"/>
        <v>1.74</v>
      </c>
      <c r="AQ2960" s="1078" t="str">
        <f t="shared" si="376"/>
        <v>1-5-1S85°Z+S</v>
      </c>
      <c r="AR2960" s="1078" t="str">
        <f t="shared" si="377"/>
        <v>NA</v>
      </c>
      <c r="AS2960" s="1078" t="str">
        <f t="shared" si="378"/>
        <v>162/145</v>
      </c>
      <c r="AT2960" s="1078" t="str">
        <f t="shared" si="379"/>
        <v>1-5-1S85°Z+S</v>
      </c>
      <c r="AU2960" s="1078" t="s">
        <v>15547</v>
      </c>
      <c r="AV2960" s="1078" t="str">
        <f t="shared" si="372"/>
        <v>111.8.22</v>
      </c>
      <c r="AW2960" s="1344">
        <f t="shared" si="373"/>
        <v>44795</v>
      </c>
    </row>
    <row r="2961" spans="1:49">
      <c r="A2961" s="1077" t="s">
        <v>8823</v>
      </c>
      <c r="B2961" s="1077" t="s">
        <v>8824</v>
      </c>
      <c r="C2961" s="1077">
        <v>500</v>
      </c>
      <c r="D2961" s="1077">
        <v>1.67</v>
      </c>
      <c r="E2961" s="1077" t="s">
        <v>15089</v>
      </c>
      <c r="F2961" s="1077" t="s">
        <v>1501</v>
      </c>
      <c r="G2961" s="1077">
        <v>2</v>
      </c>
      <c r="H2961" s="1077" t="s">
        <v>1274</v>
      </c>
      <c r="I2961" s="1077" t="s">
        <v>460</v>
      </c>
      <c r="J2961" s="1077">
        <v>2.8</v>
      </c>
      <c r="K2961" s="1077" t="s">
        <v>8825</v>
      </c>
      <c r="L2961" s="1077" t="s">
        <v>8826</v>
      </c>
      <c r="M2961" s="1077">
        <v>91</v>
      </c>
      <c r="N2961" s="1077" t="s">
        <v>945</v>
      </c>
      <c r="O2961" s="1077">
        <v>2.2749999999999999</v>
      </c>
      <c r="P2961" s="1077">
        <v>1.82</v>
      </c>
      <c r="Q2961" s="1077">
        <v>3</v>
      </c>
      <c r="R2961" s="1077">
        <v>23</v>
      </c>
      <c r="T2961" s="1077">
        <v>64</v>
      </c>
      <c r="U2961" s="1077">
        <v>4.8</v>
      </c>
      <c r="V2961" s="1077" t="s">
        <v>648</v>
      </c>
      <c r="W2961" s="1077">
        <v>110</v>
      </c>
      <c r="X2961" s="1077" t="s">
        <v>8819</v>
      </c>
      <c r="Y2961" s="1077">
        <v>1</v>
      </c>
      <c r="Z2961" s="1077" t="s">
        <v>648</v>
      </c>
      <c r="AA2961" s="1077" t="s">
        <v>8827</v>
      </c>
      <c r="AH2961" s="1077" t="s">
        <v>1600</v>
      </c>
      <c r="AM2961" s="1078" t="s">
        <v>14828</v>
      </c>
      <c r="AN2961" s="1078" t="s">
        <v>14829</v>
      </c>
      <c r="AO2961" s="1078">
        <f t="shared" si="374"/>
        <v>500</v>
      </c>
      <c r="AP2961" s="1078">
        <f t="shared" si="375"/>
        <v>1.67</v>
      </c>
      <c r="AQ2961" s="1078" t="str">
        <f t="shared" si="376"/>
        <v>1-4-1S83°</v>
      </c>
      <c r="AR2961" s="1078" t="str">
        <f t="shared" si="377"/>
        <v>28</v>
      </c>
      <c r="AS2961" s="1078" t="str">
        <f t="shared" si="378"/>
        <v>210/210/OFF</v>
      </c>
      <c r="AT2961" s="1078" t="str">
        <f t="shared" si="379"/>
        <v>1-4-1S83°</v>
      </c>
      <c r="AV2961" s="1078" t="str">
        <f t="shared" si="372"/>
        <v>111.8.29</v>
      </c>
      <c r="AW2961" s="1344">
        <f t="shared" si="373"/>
        <v>44802</v>
      </c>
    </row>
    <row r="2962" spans="1:49">
      <c r="A2962" s="1077" t="s">
        <v>8828</v>
      </c>
      <c r="B2962" s="1077" t="s">
        <v>8698</v>
      </c>
      <c r="C2962" s="1077">
        <v>450</v>
      </c>
      <c r="D2962" s="1077">
        <v>1.71</v>
      </c>
      <c r="E2962" s="1077" t="s">
        <v>15089</v>
      </c>
      <c r="F2962" s="1077" t="s">
        <v>2167</v>
      </c>
      <c r="G2962" s="1077">
        <v>2</v>
      </c>
      <c r="H2962" s="1077" t="s">
        <v>2205</v>
      </c>
      <c r="I2962" s="1077" t="s">
        <v>1073</v>
      </c>
      <c r="J2962" s="1077">
        <v>1.6</v>
      </c>
      <c r="K2962" s="1077" t="s">
        <v>8739</v>
      </c>
      <c r="L2962" s="1077" t="s">
        <v>8426</v>
      </c>
      <c r="M2962" s="1077">
        <v>31.5</v>
      </c>
      <c r="N2962" s="1077" t="s">
        <v>945</v>
      </c>
      <c r="O2962" s="1077">
        <v>0.78750000000000009</v>
      </c>
      <c r="P2962" s="1077">
        <v>0.63</v>
      </c>
      <c r="Q2962" s="1077">
        <v>4</v>
      </c>
      <c r="R2962" s="1077">
        <v>20</v>
      </c>
      <c r="T2962" s="1077">
        <v>39</v>
      </c>
      <c r="U2962" s="1077">
        <v>3.5</v>
      </c>
      <c r="V2962" s="1077" t="s">
        <v>648</v>
      </c>
      <c r="W2962" s="1077">
        <v>150</v>
      </c>
      <c r="X2962" s="1077">
        <v>85</v>
      </c>
      <c r="Y2962" s="1077">
        <v>3</v>
      </c>
      <c r="Z2962" s="1077">
        <v>3.5</v>
      </c>
      <c r="AA2962" s="1077" t="s">
        <v>1516</v>
      </c>
      <c r="AH2962" s="1077" t="s">
        <v>483</v>
      </c>
      <c r="AM2962" s="1078" t="s">
        <v>14830</v>
      </c>
      <c r="AN2962" s="1078" t="s">
        <v>14831</v>
      </c>
      <c r="AO2962" s="1078">
        <f t="shared" si="374"/>
        <v>450</v>
      </c>
      <c r="AP2962" s="1078">
        <f t="shared" si="375"/>
        <v>1.71</v>
      </c>
      <c r="AQ2962" s="1078" t="str">
        <f t="shared" si="376"/>
        <v>1-4-1S83°</v>
      </c>
      <c r="AR2962" s="1078" t="str">
        <f t="shared" si="377"/>
        <v>33</v>
      </c>
      <c r="AS2962" s="1078" t="str">
        <f t="shared" si="378"/>
        <v>216/216/OFF</v>
      </c>
      <c r="AT2962" s="1078" t="str">
        <f t="shared" si="379"/>
        <v>1-4-1S83°</v>
      </c>
      <c r="AV2962" s="1078" t="str">
        <f t="shared" si="372"/>
        <v>111.9.1</v>
      </c>
      <c r="AW2962" s="1344">
        <f t="shared" si="373"/>
        <v>44805</v>
      </c>
    </row>
    <row r="2963" spans="1:49">
      <c r="A2963" s="1077" t="s">
        <v>8829</v>
      </c>
      <c r="B2963" s="1077" t="s">
        <v>781</v>
      </c>
      <c r="C2963" s="1077">
        <v>450</v>
      </c>
      <c r="D2963" s="1077">
        <v>1.87</v>
      </c>
      <c r="E2963" s="1077" t="s">
        <v>15095</v>
      </c>
      <c r="F2963" s="1077" t="s">
        <v>975</v>
      </c>
      <c r="G2963" s="1077">
        <v>3</v>
      </c>
      <c r="H2963" s="1077" t="s">
        <v>8433</v>
      </c>
      <c r="I2963" s="1077" t="s">
        <v>626</v>
      </c>
      <c r="J2963" s="1077">
        <v>1.6</v>
      </c>
      <c r="K2963" s="1077" t="s">
        <v>8830</v>
      </c>
      <c r="L2963" s="1077" t="s">
        <v>8435</v>
      </c>
      <c r="M2963" s="1077">
        <v>80.8</v>
      </c>
      <c r="N2963" s="1077" t="s">
        <v>945</v>
      </c>
      <c r="O2963" s="1077">
        <v>2.02</v>
      </c>
      <c r="P2963" s="1077">
        <v>1.6159999999999999</v>
      </c>
      <c r="Q2963" s="1077">
        <v>3</v>
      </c>
      <c r="R2963" s="1077">
        <v>22.6</v>
      </c>
      <c r="T2963" s="1077">
        <v>6.2</v>
      </c>
      <c r="U2963" s="1077">
        <v>9.4</v>
      </c>
      <c r="V2963" s="1077" t="s">
        <v>648</v>
      </c>
      <c r="W2963" s="1077">
        <v>135</v>
      </c>
      <c r="X2963" s="1077">
        <v>55</v>
      </c>
      <c r="Y2963" s="1077">
        <v>1.6</v>
      </c>
      <c r="Z2963" s="1077">
        <v>3</v>
      </c>
      <c r="AA2963" s="1077" t="s">
        <v>2360</v>
      </c>
      <c r="AH2963" s="1077" t="s">
        <v>878</v>
      </c>
      <c r="AM2963" s="1078" t="s">
        <v>14832</v>
      </c>
      <c r="AN2963" s="1078" t="s">
        <v>14833</v>
      </c>
      <c r="AO2963" s="1078">
        <f t="shared" si="374"/>
        <v>450</v>
      </c>
      <c r="AP2963" s="1078">
        <f t="shared" si="375"/>
        <v>1.87</v>
      </c>
      <c r="AQ2963" s="1078" t="str">
        <f t="shared" si="376"/>
        <v>1-5-1S83°</v>
      </c>
      <c r="AR2963" s="1078" t="str">
        <f t="shared" si="377"/>
        <v>31.5</v>
      </c>
      <c r="AS2963" s="1078" t="str">
        <f t="shared" si="378"/>
        <v>140/140/OFF</v>
      </c>
      <c r="AT2963" s="1078" t="str">
        <f t="shared" si="379"/>
        <v>1-5-1S83°</v>
      </c>
      <c r="AV2963" s="1078" t="str">
        <f t="shared" si="372"/>
        <v>111.9.2</v>
      </c>
      <c r="AW2963" s="1344">
        <f t="shared" si="373"/>
        <v>44806</v>
      </c>
    </row>
    <row r="2964" spans="1:49">
      <c r="A2964" s="1077" t="s">
        <v>8831</v>
      </c>
      <c r="B2964" s="1077" t="s">
        <v>8594</v>
      </c>
      <c r="C2964" s="1077">
        <v>550</v>
      </c>
      <c r="D2964" s="1077">
        <v>1.71</v>
      </c>
      <c r="E2964" s="1077" t="s">
        <v>15123</v>
      </c>
      <c r="F2964" s="1077" t="s">
        <v>954</v>
      </c>
      <c r="G2964" s="1077">
        <v>5</v>
      </c>
      <c r="H2964" s="1077" t="s">
        <v>1470</v>
      </c>
      <c r="I2964" s="1077" t="s">
        <v>460</v>
      </c>
      <c r="J2964" s="1077">
        <v>2.8</v>
      </c>
      <c r="K2964" s="1077" t="s">
        <v>8832</v>
      </c>
      <c r="L2964" s="1077" t="s">
        <v>8596</v>
      </c>
      <c r="M2964" s="1077">
        <v>228.6</v>
      </c>
      <c r="N2964" s="1077" t="s">
        <v>945</v>
      </c>
      <c r="O2964" s="1077">
        <v>5.7149999999999999</v>
      </c>
      <c r="P2964" s="1077">
        <v>4.5720000000000001</v>
      </c>
      <c r="Q2964" s="1077">
        <v>3</v>
      </c>
      <c r="R2964" s="1077">
        <v>32.5</v>
      </c>
      <c r="T2964" s="1077">
        <v>13.1</v>
      </c>
      <c r="U2964" s="1077">
        <v>6.1</v>
      </c>
      <c r="V2964" s="1077" t="s">
        <v>648</v>
      </c>
      <c r="W2964" s="1077">
        <v>110</v>
      </c>
      <c r="X2964" s="1077">
        <v>80</v>
      </c>
      <c r="Y2964" s="1077">
        <v>1.8</v>
      </c>
      <c r="Z2964" s="1077">
        <v>7.5</v>
      </c>
      <c r="AA2964" s="1077" t="s">
        <v>1519</v>
      </c>
      <c r="AH2964" s="1077" t="s">
        <v>887</v>
      </c>
      <c r="AM2964" s="1078" t="s">
        <v>14834</v>
      </c>
      <c r="AN2964" s="1078" t="s">
        <v>14835</v>
      </c>
      <c r="AO2964" s="1078">
        <f t="shared" si="374"/>
        <v>550</v>
      </c>
      <c r="AP2964" s="1078">
        <f t="shared" si="375"/>
        <v>1.71</v>
      </c>
      <c r="AQ2964" s="1078" t="str">
        <f t="shared" si="376"/>
        <v>1-7-1S83°</v>
      </c>
      <c r="AR2964" s="1078" t="str">
        <f t="shared" si="377"/>
        <v>31</v>
      </c>
      <c r="AS2964" s="1078" t="str">
        <f t="shared" si="378"/>
        <v>160/OFF</v>
      </c>
      <c r="AT2964" s="1078" t="str">
        <f t="shared" si="379"/>
        <v>1-7-1S83°</v>
      </c>
      <c r="AV2964" s="1078" t="str">
        <f t="shared" si="372"/>
        <v>111.9.5</v>
      </c>
      <c r="AW2964" s="1344">
        <f t="shared" si="373"/>
        <v>44809</v>
      </c>
    </row>
    <row r="2965" spans="1:49">
      <c r="A2965" s="1077" t="s">
        <v>8833</v>
      </c>
      <c r="B2965" s="1077" t="s">
        <v>781</v>
      </c>
      <c r="C2965" s="1077">
        <v>450</v>
      </c>
      <c r="D2965" s="1077">
        <v>1.87</v>
      </c>
      <c r="E2965" s="1077" t="s">
        <v>15095</v>
      </c>
      <c r="F2965" s="1077" t="s">
        <v>975</v>
      </c>
      <c r="G2965" s="1077">
        <v>3</v>
      </c>
      <c r="H2965" s="1077" t="s">
        <v>8433</v>
      </c>
      <c r="I2965" s="1077" t="s">
        <v>626</v>
      </c>
      <c r="J2965" s="1077">
        <v>1.6</v>
      </c>
      <c r="K2965" s="1077" t="s">
        <v>8830</v>
      </c>
      <c r="L2965" s="1077" t="s">
        <v>8435</v>
      </c>
      <c r="M2965" s="1077">
        <v>80.8</v>
      </c>
      <c r="N2965" s="1077" t="s">
        <v>945</v>
      </c>
      <c r="O2965" s="1077">
        <v>2.02</v>
      </c>
      <c r="P2965" s="1077">
        <v>1.6159999999999999</v>
      </c>
      <c r="Q2965" s="1077">
        <v>3</v>
      </c>
      <c r="R2965" s="1077">
        <v>22.6</v>
      </c>
      <c r="T2965" s="1077">
        <v>6.2</v>
      </c>
      <c r="U2965" s="1077">
        <v>9.4</v>
      </c>
      <c r="V2965" s="1077" t="s">
        <v>648</v>
      </c>
      <c r="W2965" s="1077">
        <v>135</v>
      </c>
      <c r="X2965" s="1077">
        <v>55</v>
      </c>
      <c r="Y2965" s="1077">
        <v>1.6</v>
      </c>
      <c r="Z2965" s="1077">
        <v>3</v>
      </c>
      <c r="AA2965" s="1077" t="s">
        <v>8834</v>
      </c>
      <c r="AH2965" s="1077" t="s">
        <v>1143</v>
      </c>
      <c r="AM2965" s="1078" t="s">
        <v>14836</v>
      </c>
      <c r="AN2965" s="1078" t="s">
        <v>14837</v>
      </c>
      <c r="AO2965" s="1078">
        <f t="shared" si="374"/>
        <v>450</v>
      </c>
      <c r="AP2965" s="1078">
        <f t="shared" si="375"/>
        <v>1.87</v>
      </c>
      <c r="AQ2965" s="1078" t="str">
        <f t="shared" si="376"/>
        <v>1-5-1S83°</v>
      </c>
      <c r="AR2965" s="1078" t="str">
        <f t="shared" si="377"/>
        <v>31.5</v>
      </c>
      <c r="AS2965" s="1078" t="str">
        <f t="shared" si="378"/>
        <v>140/140/OFF</v>
      </c>
      <c r="AT2965" s="1078" t="str">
        <f t="shared" si="379"/>
        <v>1-5-1S83°</v>
      </c>
      <c r="AV2965" s="1078" t="str">
        <f t="shared" si="372"/>
        <v>111.9.14</v>
      </c>
      <c r="AW2965" s="1344">
        <f t="shared" si="373"/>
        <v>44818</v>
      </c>
    </row>
    <row r="2966" spans="1:49">
      <c r="A2966" s="1077" t="s">
        <v>8835</v>
      </c>
      <c r="B2966" s="1077" t="s">
        <v>8824</v>
      </c>
      <c r="C2966" s="1077">
        <v>500</v>
      </c>
      <c r="D2966" s="1077">
        <v>1.67</v>
      </c>
      <c r="E2966" s="1077" t="s">
        <v>15089</v>
      </c>
      <c r="F2966" s="1077" t="s">
        <v>1501</v>
      </c>
      <c r="G2966" s="1077">
        <v>2</v>
      </c>
      <c r="H2966" s="1077" t="s">
        <v>1274</v>
      </c>
      <c r="I2966" s="1077" t="s">
        <v>460</v>
      </c>
      <c r="J2966" s="1077">
        <v>2.8</v>
      </c>
      <c r="K2966" s="1077" t="s">
        <v>8836</v>
      </c>
      <c r="L2966" s="1077" t="s">
        <v>8826</v>
      </c>
      <c r="M2966" s="1077">
        <v>91</v>
      </c>
      <c r="N2966" s="1077" t="s">
        <v>945</v>
      </c>
      <c r="O2966" s="1077">
        <v>2.2749999999999999</v>
      </c>
      <c r="P2966" s="1077">
        <v>1.82</v>
      </c>
      <c r="Q2966" s="1077">
        <v>3</v>
      </c>
      <c r="R2966" s="1077">
        <v>23</v>
      </c>
      <c r="T2966" s="1077">
        <v>64</v>
      </c>
      <c r="U2966" s="1077">
        <v>4.8</v>
      </c>
      <c r="V2966" s="1077" t="s">
        <v>648</v>
      </c>
      <c r="W2966" s="1077">
        <v>110</v>
      </c>
      <c r="X2966" s="1077" t="s">
        <v>8819</v>
      </c>
      <c r="Y2966" s="1077">
        <v>1</v>
      </c>
      <c r="Z2966" s="1077" t="s">
        <v>648</v>
      </c>
      <c r="AA2966" s="1077" t="s">
        <v>5794</v>
      </c>
      <c r="AH2966" s="1077" t="s">
        <v>8837</v>
      </c>
      <c r="AM2966" s="1078" t="s">
        <v>14838</v>
      </c>
      <c r="AN2966" s="1078" t="s">
        <v>14839</v>
      </c>
      <c r="AO2966" s="1078">
        <f t="shared" si="374"/>
        <v>500</v>
      </c>
      <c r="AP2966" s="1078">
        <f t="shared" si="375"/>
        <v>1.67</v>
      </c>
      <c r="AQ2966" s="1078" t="str">
        <f t="shared" si="376"/>
        <v>1-4-1S83°</v>
      </c>
      <c r="AR2966" s="1078" t="str">
        <f t="shared" si="377"/>
        <v>28</v>
      </c>
      <c r="AS2966" s="1078" t="str">
        <f t="shared" si="378"/>
        <v>210/210/OFF</v>
      </c>
      <c r="AT2966" s="1078" t="str">
        <f t="shared" si="379"/>
        <v>1-4-1S83°</v>
      </c>
      <c r="AV2966" s="1078" t="str">
        <f t="shared" si="372"/>
        <v>111.9.8</v>
      </c>
      <c r="AW2966" s="1344">
        <f t="shared" si="373"/>
        <v>44812</v>
      </c>
    </row>
    <row r="2967" spans="1:49">
      <c r="A2967" s="1077" t="s">
        <v>8838</v>
      </c>
      <c r="B2967" s="1077" t="s">
        <v>654</v>
      </c>
      <c r="C2967" s="1077">
        <v>500</v>
      </c>
      <c r="D2967" s="1077">
        <v>1.67</v>
      </c>
      <c r="E2967" s="1077">
        <v>102.5</v>
      </c>
      <c r="F2967" s="1077" t="s">
        <v>4070</v>
      </c>
      <c r="G2967" s="1077">
        <v>5.5</v>
      </c>
      <c r="H2967" s="1077" t="s">
        <v>8679</v>
      </c>
      <c r="I2967" s="1077" t="s">
        <v>643</v>
      </c>
      <c r="J2967" s="1077">
        <v>3.4</v>
      </c>
      <c r="K2967" s="1077" t="s">
        <v>8839</v>
      </c>
      <c r="L2967" s="1077" t="s">
        <v>8560</v>
      </c>
      <c r="M2967" s="1077">
        <v>427.4</v>
      </c>
      <c r="N2967" s="1077" t="s">
        <v>945</v>
      </c>
      <c r="O2967" s="1077">
        <v>10.685</v>
      </c>
      <c r="P2967" s="1077">
        <v>8.548</v>
      </c>
      <c r="Q2967" s="1077">
        <v>3.5</v>
      </c>
      <c r="R2967" s="1077">
        <v>19.600000000000001</v>
      </c>
      <c r="T2967" s="1077">
        <v>14.9</v>
      </c>
      <c r="U2967" s="1077">
        <v>4.2</v>
      </c>
      <c r="V2967" s="1077" t="s">
        <v>648</v>
      </c>
      <c r="W2967" s="1077">
        <v>120</v>
      </c>
      <c r="X2967" s="1077">
        <v>90</v>
      </c>
      <c r="Y2967" s="1077">
        <v>1</v>
      </c>
      <c r="Z2967" s="1077" t="s">
        <v>648</v>
      </c>
      <c r="AA2967" s="1077" t="s">
        <v>5799</v>
      </c>
      <c r="AH2967" s="1077" t="s">
        <v>830</v>
      </c>
      <c r="AM2967" s="1078" t="s">
        <v>14840</v>
      </c>
      <c r="AN2967" s="1078" t="s">
        <v>14841</v>
      </c>
      <c r="AO2967" s="1078">
        <f t="shared" si="374"/>
        <v>500</v>
      </c>
      <c r="AP2967" s="1078">
        <f t="shared" si="375"/>
        <v>1.67</v>
      </c>
      <c r="AQ2967" s="1078">
        <f t="shared" si="376"/>
        <v>102.5</v>
      </c>
      <c r="AR2967" s="1078" t="str">
        <f t="shared" si="377"/>
        <v>15.5</v>
      </c>
      <c r="AS2967" s="1078" t="str">
        <f t="shared" si="378"/>
        <v>480/420/160</v>
      </c>
      <c r="AT2967" s="1078">
        <f t="shared" si="379"/>
        <v>102.5</v>
      </c>
      <c r="AV2967" s="1078" t="str">
        <f t="shared" si="372"/>
        <v>111.9.12</v>
      </c>
      <c r="AW2967" s="1344">
        <f t="shared" si="373"/>
        <v>44816</v>
      </c>
    </row>
    <row r="2968" spans="1:49">
      <c r="A2968" s="1077" t="s">
        <v>8840</v>
      </c>
      <c r="B2968" s="1077" t="s">
        <v>8466</v>
      </c>
      <c r="C2968" s="1077">
        <v>600</v>
      </c>
      <c r="D2968" s="1077">
        <v>1.766</v>
      </c>
      <c r="E2968" s="1077" t="s">
        <v>15109</v>
      </c>
      <c r="F2968" s="1077" t="s">
        <v>2520</v>
      </c>
      <c r="G2968" s="1077">
        <v>4</v>
      </c>
      <c r="H2968" s="1077" t="s">
        <v>6608</v>
      </c>
      <c r="I2968" s="1077" t="s">
        <v>126</v>
      </c>
      <c r="J2968" s="1077">
        <v>1.7</v>
      </c>
      <c r="K2968" s="1077" t="s">
        <v>8841</v>
      </c>
      <c r="L2968" s="1077" t="s">
        <v>4080</v>
      </c>
      <c r="M2968" s="1077">
        <v>202</v>
      </c>
      <c r="N2968" s="1077" t="s">
        <v>945</v>
      </c>
      <c r="O2968" s="1077">
        <v>5.0500000000000007</v>
      </c>
      <c r="P2968" s="1077">
        <v>4.04</v>
      </c>
      <c r="Q2968" s="1077">
        <v>4</v>
      </c>
      <c r="R2968" s="1077">
        <v>20</v>
      </c>
      <c r="T2968" s="1077">
        <v>11</v>
      </c>
      <c r="U2968" s="1077">
        <v>3.7</v>
      </c>
      <c r="V2968" s="1077" t="s">
        <v>648</v>
      </c>
      <c r="W2968" s="1077">
        <v>115</v>
      </c>
      <c r="X2968" s="1077">
        <v>70</v>
      </c>
      <c r="Y2968" s="1077">
        <v>1.6</v>
      </c>
      <c r="Z2968" s="1077" t="s">
        <v>648</v>
      </c>
      <c r="AA2968" s="1077" t="s">
        <v>5805</v>
      </c>
      <c r="AH2968" s="1077" t="s">
        <v>853</v>
      </c>
      <c r="AM2968" s="1078" t="s">
        <v>14842</v>
      </c>
      <c r="AN2968" s="1078" t="s">
        <v>14843</v>
      </c>
      <c r="AO2968" s="1078">
        <f t="shared" si="374"/>
        <v>600</v>
      </c>
      <c r="AP2968" s="1078">
        <f t="shared" si="375"/>
        <v>1.766</v>
      </c>
      <c r="AQ2968" s="1078" t="str">
        <f t="shared" si="376"/>
        <v>1-5-1S85°Z+S</v>
      </c>
      <c r="AR2968" s="1078" t="str">
        <f t="shared" si="377"/>
        <v>*</v>
      </c>
      <c r="AS2968" s="1078" t="str">
        <f t="shared" si="378"/>
        <v>170/150</v>
      </c>
      <c r="AT2968" s="1078" t="str">
        <f t="shared" si="379"/>
        <v>1-5-1S85°Z+S</v>
      </c>
      <c r="AU2968" s="1078" t="s">
        <v>15547</v>
      </c>
      <c r="AV2968" s="1078" t="str">
        <f t="shared" si="372"/>
        <v>111.9.13</v>
      </c>
      <c r="AW2968" s="1344">
        <f t="shared" si="373"/>
        <v>44817</v>
      </c>
    </row>
    <row r="2969" spans="1:49">
      <c r="A2969" s="1077" t="s">
        <v>8842</v>
      </c>
      <c r="B2969" s="1077" t="s">
        <v>8513</v>
      </c>
      <c r="C2969" s="1077">
        <v>580</v>
      </c>
      <c r="D2969" s="1077">
        <v>1.8049999999999999</v>
      </c>
      <c r="E2969" s="1077" t="s">
        <v>15122</v>
      </c>
      <c r="F2969" s="1077" t="s">
        <v>1514</v>
      </c>
      <c r="G2969" s="1077">
        <v>5</v>
      </c>
      <c r="H2969" s="1077" t="s">
        <v>8569</v>
      </c>
      <c r="I2969" s="1077" t="s">
        <v>126</v>
      </c>
      <c r="J2969" s="1077">
        <v>1.7</v>
      </c>
      <c r="K2969" s="1077" t="s">
        <v>8651</v>
      </c>
      <c r="L2969" s="1077" t="s">
        <v>8571</v>
      </c>
      <c r="M2969" s="1077">
        <v>326.39999999999998</v>
      </c>
      <c r="N2969" s="1077" t="s">
        <v>945</v>
      </c>
      <c r="O2969" s="1077">
        <v>8.16</v>
      </c>
      <c r="P2969" s="1077">
        <v>6.5279999999999996</v>
      </c>
      <c r="Q2969" s="1077">
        <v>3</v>
      </c>
      <c r="R2969" s="1077">
        <v>21</v>
      </c>
      <c r="T2969" s="1077">
        <v>14.4</v>
      </c>
      <c r="U2969" s="1077">
        <v>3.6</v>
      </c>
      <c r="V2969" s="1077" t="s">
        <v>648</v>
      </c>
      <c r="W2969" s="1077">
        <v>50</v>
      </c>
      <c r="X2969" s="1077">
        <v>10</v>
      </c>
      <c r="Y2969" s="1077">
        <v>1</v>
      </c>
      <c r="Z2969" s="1077" t="s">
        <v>648</v>
      </c>
      <c r="AA2969" s="1077" t="s">
        <v>5799</v>
      </c>
      <c r="AH2969" s="1077" t="s">
        <v>684</v>
      </c>
      <c r="AM2969" s="1078" t="s">
        <v>14844</v>
      </c>
      <c r="AN2969" s="1078" t="s">
        <v>14845</v>
      </c>
      <c r="AO2969" s="1078">
        <f t="shared" si="374"/>
        <v>580</v>
      </c>
      <c r="AP2969" s="1078">
        <f t="shared" si="375"/>
        <v>1.8049999999999999</v>
      </c>
      <c r="AQ2969" s="1078" t="str">
        <f t="shared" si="376"/>
        <v>1-5-1S91°Z+S</v>
      </c>
      <c r="AR2969" s="1078" t="str">
        <f t="shared" si="377"/>
        <v>32</v>
      </c>
      <c r="AS2969" s="1078" t="str">
        <f t="shared" si="378"/>
        <v>335/335/150</v>
      </c>
      <c r="AT2969" s="1078" t="str">
        <f t="shared" si="379"/>
        <v>1-5-1S91°Z+S</v>
      </c>
      <c r="AU2969" s="1078" t="s">
        <v>15547</v>
      </c>
      <c r="AV2969" s="1078" t="str">
        <f t="shared" si="372"/>
        <v>111.9.12</v>
      </c>
      <c r="AW2969" s="1344">
        <f t="shared" si="373"/>
        <v>44816</v>
      </c>
    </row>
    <row r="2970" spans="1:49">
      <c r="A2970" s="1077" t="s">
        <v>8843</v>
      </c>
      <c r="B2970" s="1077" t="s">
        <v>8438</v>
      </c>
      <c r="C2970" s="1077">
        <v>500</v>
      </c>
      <c r="D2970" s="1077">
        <v>1.8</v>
      </c>
      <c r="E2970" s="1077" t="s">
        <v>15094</v>
      </c>
      <c r="F2970" s="1077" t="s">
        <v>2234</v>
      </c>
      <c r="G2970" s="1077">
        <v>5</v>
      </c>
      <c r="H2970" s="1077" t="s">
        <v>6100</v>
      </c>
      <c r="I2970" s="1077" t="s">
        <v>460</v>
      </c>
      <c r="J2970" s="1077">
        <v>2.4</v>
      </c>
      <c r="K2970" s="1077" t="s">
        <v>8844</v>
      </c>
      <c r="L2970" s="1077" t="s">
        <v>8571</v>
      </c>
      <c r="M2970" s="1077">
        <v>166.5</v>
      </c>
      <c r="N2970" s="1077" t="s">
        <v>945</v>
      </c>
      <c r="O2970" s="1077">
        <v>4.1625000000000005</v>
      </c>
      <c r="P2970" s="1077">
        <v>3.33</v>
      </c>
      <c r="Q2970" s="1077">
        <v>3</v>
      </c>
      <c r="R2970" s="1077">
        <v>23.8</v>
      </c>
      <c r="T2970" s="1077">
        <v>11.2</v>
      </c>
      <c r="U2970" s="1077">
        <v>3.5</v>
      </c>
      <c r="V2970" s="1077" t="s">
        <v>648</v>
      </c>
      <c r="W2970" s="1077">
        <v>105</v>
      </c>
      <c r="X2970" s="1077">
        <v>50</v>
      </c>
      <c r="Y2970" s="1077">
        <v>1.4</v>
      </c>
      <c r="Z2970" s="1077">
        <v>5</v>
      </c>
      <c r="AA2970" s="1077" t="s">
        <v>8845</v>
      </c>
      <c r="AH2970" s="1077" t="s">
        <v>762</v>
      </c>
      <c r="AM2970" s="1078" t="s">
        <v>14846</v>
      </c>
      <c r="AN2970" s="1078" t="s">
        <v>14847</v>
      </c>
      <c r="AO2970" s="1078">
        <f t="shared" si="374"/>
        <v>500</v>
      </c>
      <c r="AP2970" s="1078">
        <f t="shared" si="375"/>
        <v>1.8</v>
      </c>
      <c r="AQ2970" s="1078" t="str">
        <f t="shared" si="376"/>
        <v>1-5-1S91°</v>
      </c>
      <c r="AR2970" s="1078" t="str">
        <f t="shared" si="377"/>
        <v>33.5</v>
      </c>
      <c r="AS2970" s="1078" t="str">
        <f t="shared" si="378"/>
        <v>300/300/150</v>
      </c>
      <c r="AT2970" s="1078" t="str">
        <f t="shared" si="379"/>
        <v>1-5-1S91°</v>
      </c>
      <c r="AV2970" s="1078" t="str">
        <f t="shared" si="372"/>
        <v>111.9.29</v>
      </c>
      <c r="AW2970" s="1344">
        <f t="shared" si="373"/>
        <v>44833</v>
      </c>
    </row>
    <row r="2971" spans="1:49">
      <c r="A2971" s="1077" t="s">
        <v>8846</v>
      </c>
      <c r="B2971" s="1077" t="s">
        <v>8394</v>
      </c>
      <c r="C2971" s="1077">
        <v>600</v>
      </c>
      <c r="D2971" s="1077">
        <v>1.73</v>
      </c>
      <c r="E2971" s="1077" t="s">
        <v>15089</v>
      </c>
      <c r="F2971" s="1077" t="s">
        <v>1514</v>
      </c>
      <c r="G2971" s="1077">
        <v>2</v>
      </c>
      <c r="H2971" s="1077" t="s">
        <v>1274</v>
      </c>
      <c r="I2971" s="1077" t="s">
        <v>942</v>
      </c>
      <c r="J2971" s="1077">
        <v>2.9</v>
      </c>
      <c r="K2971" s="1077" t="s">
        <v>8847</v>
      </c>
      <c r="L2971" s="1077" t="s">
        <v>8396</v>
      </c>
      <c r="M2971" s="1077">
        <v>30.8</v>
      </c>
      <c r="N2971" s="1077" t="s">
        <v>945</v>
      </c>
      <c r="O2971" s="1077">
        <v>0.77</v>
      </c>
      <c r="P2971" s="1077">
        <v>0.61599999999999999</v>
      </c>
      <c r="Q2971" s="1077">
        <v>3.5</v>
      </c>
      <c r="R2971" s="1077">
        <v>20.5</v>
      </c>
      <c r="T2971" s="1077">
        <v>37</v>
      </c>
      <c r="U2971" s="1077">
        <v>4</v>
      </c>
      <c r="V2971" s="1077" t="s">
        <v>648</v>
      </c>
      <c r="W2971" s="1077">
        <v>140</v>
      </c>
      <c r="X2971" s="1077">
        <v>80</v>
      </c>
      <c r="Y2971" s="1077">
        <v>2.5</v>
      </c>
      <c r="Z2971" s="1077">
        <v>4</v>
      </c>
      <c r="AA2971" s="1077" t="s">
        <v>3198</v>
      </c>
      <c r="AH2971" s="1077" t="s">
        <v>466</v>
      </c>
      <c r="AM2971" s="1078" t="s">
        <v>14848</v>
      </c>
      <c r="AN2971" s="1078" t="s">
        <v>14849</v>
      </c>
      <c r="AO2971" s="1078">
        <f t="shared" si="374"/>
        <v>600</v>
      </c>
      <c r="AP2971" s="1078">
        <f t="shared" si="375"/>
        <v>1.73</v>
      </c>
      <c r="AQ2971" s="1078" t="str">
        <f t="shared" si="376"/>
        <v>1-4-1S83°</v>
      </c>
      <c r="AR2971" s="1078" t="str">
        <f t="shared" si="377"/>
        <v>32</v>
      </c>
      <c r="AS2971" s="1078" t="str">
        <f t="shared" si="378"/>
        <v>210/210/OFF</v>
      </c>
      <c r="AT2971" s="1078" t="str">
        <f t="shared" si="379"/>
        <v>1-4-1S83°</v>
      </c>
      <c r="AV2971" s="1078" t="str">
        <f t="shared" si="372"/>
        <v>111.10.6</v>
      </c>
      <c r="AW2971" s="1344">
        <f t="shared" si="373"/>
        <v>44840</v>
      </c>
    </row>
    <row r="2972" spans="1:49">
      <c r="A2972" s="1077" t="s">
        <v>8848</v>
      </c>
      <c r="B2972" s="1077" t="s">
        <v>8849</v>
      </c>
      <c r="C2972" s="1077">
        <v>500</v>
      </c>
      <c r="D2972" s="1077">
        <v>1.68</v>
      </c>
      <c r="E2972" s="1077" t="s">
        <v>15089</v>
      </c>
      <c r="F2972" s="1077" t="s">
        <v>1501</v>
      </c>
      <c r="G2972" s="1077">
        <v>2</v>
      </c>
      <c r="H2972" s="1077" t="s">
        <v>1290</v>
      </c>
      <c r="I2972" s="1077" t="s">
        <v>460</v>
      </c>
      <c r="J2972" s="1077">
        <v>2.8</v>
      </c>
      <c r="K2972" s="1077" t="s">
        <v>8850</v>
      </c>
      <c r="L2972" s="1077" t="s">
        <v>8851</v>
      </c>
      <c r="M2972" s="1077">
        <v>91</v>
      </c>
      <c r="N2972" s="1077" t="s">
        <v>945</v>
      </c>
      <c r="O2972" s="1077">
        <v>2.2749999999999999</v>
      </c>
      <c r="P2972" s="1077">
        <v>1.82</v>
      </c>
      <c r="Q2972" s="1077">
        <v>3</v>
      </c>
      <c r="R2972" s="1077">
        <v>22</v>
      </c>
      <c r="T2972" s="1077">
        <v>64</v>
      </c>
      <c r="U2972" s="1077">
        <v>4.5</v>
      </c>
      <c r="V2972" s="1077" t="s">
        <v>648</v>
      </c>
      <c r="W2972" s="1077">
        <v>115</v>
      </c>
      <c r="X2972" s="1077" t="s">
        <v>8819</v>
      </c>
      <c r="Y2972" s="1077">
        <v>1</v>
      </c>
      <c r="Z2972" s="1077" t="s">
        <v>648</v>
      </c>
      <c r="AA2972" s="1077" t="s">
        <v>3204</v>
      </c>
      <c r="AH2972" s="1077" t="s">
        <v>1238</v>
      </c>
      <c r="AM2972" s="1078" t="s">
        <v>14850</v>
      </c>
      <c r="AN2972" s="1078" t="s">
        <v>14851</v>
      </c>
      <c r="AO2972" s="1078">
        <f t="shared" si="374"/>
        <v>500</v>
      </c>
      <c r="AP2972" s="1078">
        <f t="shared" si="375"/>
        <v>1.68</v>
      </c>
      <c r="AQ2972" s="1078" t="str">
        <f t="shared" si="376"/>
        <v>1-4-1S83°</v>
      </c>
      <c r="AR2972" s="1078" t="str">
        <f t="shared" si="377"/>
        <v>28</v>
      </c>
      <c r="AS2972" s="1078" t="str">
        <f t="shared" si="378"/>
        <v>220/220/OFF</v>
      </c>
      <c r="AT2972" s="1078" t="str">
        <f t="shared" si="379"/>
        <v>1-4-1S83°</v>
      </c>
      <c r="AV2972" s="1078" t="str">
        <f t="shared" si="372"/>
        <v>111.10.7</v>
      </c>
      <c r="AW2972" s="1344">
        <f t="shared" si="373"/>
        <v>44841</v>
      </c>
    </row>
    <row r="2973" spans="1:49">
      <c r="A2973" s="1077" t="s">
        <v>8852</v>
      </c>
      <c r="B2973" s="1077" t="s">
        <v>8513</v>
      </c>
      <c r="C2973" s="1077">
        <v>580</v>
      </c>
      <c r="D2973" s="1077">
        <v>1.8049999999999999</v>
      </c>
      <c r="E2973" s="1077" t="s">
        <v>15122</v>
      </c>
      <c r="F2973" s="1077" t="s">
        <v>1514</v>
      </c>
      <c r="G2973" s="1077">
        <v>5</v>
      </c>
      <c r="H2973" s="1077" t="s">
        <v>4721</v>
      </c>
      <c r="I2973" s="1077" t="s">
        <v>126</v>
      </c>
      <c r="J2973" s="1077">
        <v>1.8</v>
      </c>
      <c r="K2973" s="1077" t="s">
        <v>8853</v>
      </c>
      <c r="L2973" s="1077" t="s">
        <v>8571</v>
      </c>
      <c r="M2973" s="1077">
        <v>326.39999999999998</v>
      </c>
      <c r="N2973" s="1077" t="s">
        <v>945</v>
      </c>
      <c r="O2973" s="1077">
        <v>8.16</v>
      </c>
      <c r="P2973" s="1077">
        <v>6.5279999999999996</v>
      </c>
      <c r="Q2973" s="1077">
        <v>3</v>
      </c>
      <c r="R2973" s="1077">
        <v>21</v>
      </c>
      <c r="T2973" s="1077">
        <v>14.4</v>
      </c>
      <c r="U2973" s="1077">
        <v>3.6</v>
      </c>
      <c r="V2973" s="1077" t="s">
        <v>648</v>
      </c>
      <c r="W2973" s="1077">
        <v>50</v>
      </c>
      <c r="X2973" s="1077">
        <v>10</v>
      </c>
      <c r="Y2973" s="1077">
        <v>1</v>
      </c>
      <c r="Z2973" s="1077" t="s">
        <v>648</v>
      </c>
      <c r="AA2973" s="1077" t="s">
        <v>3208</v>
      </c>
      <c r="AH2973" s="1077" t="s">
        <v>8854</v>
      </c>
      <c r="AM2973" s="1078" t="s">
        <v>14852</v>
      </c>
      <c r="AN2973" s="1078" t="s">
        <v>14853</v>
      </c>
      <c r="AO2973" s="1078">
        <f t="shared" si="374"/>
        <v>580</v>
      </c>
      <c r="AP2973" s="1078">
        <f t="shared" si="375"/>
        <v>1.8049999999999999</v>
      </c>
      <c r="AQ2973" s="1078" t="str">
        <f t="shared" si="376"/>
        <v>1-5-1S91°Z+S</v>
      </c>
      <c r="AR2973" s="1078" t="str">
        <f t="shared" si="377"/>
        <v>32</v>
      </c>
      <c r="AS2973" s="1078" t="str">
        <f t="shared" si="378"/>
        <v>325/325/150</v>
      </c>
      <c r="AT2973" s="1078" t="str">
        <f t="shared" si="379"/>
        <v>1-5-1S91°Z+S</v>
      </c>
      <c r="AU2973" s="1078" t="s">
        <v>15547</v>
      </c>
      <c r="AV2973" s="1078" t="str">
        <f t="shared" si="372"/>
        <v>111.10.11</v>
      </c>
      <c r="AW2973" s="1344">
        <f t="shared" si="373"/>
        <v>44845</v>
      </c>
    </row>
    <row r="2974" spans="1:49">
      <c r="A2974" s="1077" t="s">
        <v>8855</v>
      </c>
      <c r="B2974" s="1077" t="s">
        <v>8524</v>
      </c>
      <c r="C2974" s="1077">
        <v>450</v>
      </c>
      <c r="D2974" s="1077">
        <v>1.83</v>
      </c>
      <c r="E2974" s="1077">
        <v>107.5</v>
      </c>
      <c r="F2974" s="1077" t="s">
        <v>648</v>
      </c>
      <c r="G2974" s="1077">
        <v>5</v>
      </c>
      <c r="H2974" s="1077" t="s">
        <v>8525</v>
      </c>
      <c r="I2974" s="1077" t="s">
        <v>643</v>
      </c>
      <c r="J2974" s="1077">
        <v>0.8</v>
      </c>
      <c r="K2974" s="1077" t="s">
        <v>8856</v>
      </c>
      <c r="L2974" s="1077" t="s">
        <v>8527</v>
      </c>
      <c r="M2974" s="1077">
        <v>421.5</v>
      </c>
      <c r="N2974" s="1077" t="s">
        <v>945</v>
      </c>
      <c r="O2974" s="1077">
        <v>10.537500000000001</v>
      </c>
      <c r="P2974" s="1077">
        <v>8.43</v>
      </c>
      <c r="Q2974" s="1077">
        <v>3</v>
      </c>
      <c r="R2974" s="1077">
        <v>19.100000000000001</v>
      </c>
      <c r="T2974" s="1077">
        <v>12.2</v>
      </c>
      <c r="U2974" s="1077">
        <v>5.8</v>
      </c>
      <c r="V2974" s="1077" t="s">
        <v>648</v>
      </c>
      <c r="W2974" s="1077">
        <v>35</v>
      </c>
      <c r="X2974" s="1077">
        <v>10</v>
      </c>
      <c r="Y2974" s="1077">
        <v>1.2</v>
      </c>
      <c r="Z2974" s="1077" t="s">
        <v>648</v>
      </c>
      <c r="AA2974" s="1077" t="s">
        <v>4380</v>
      </c>
      <c r="AH2974" s="1077" t="s">
        <v>830</v>
      </c>
      <c r="AM2974" s="1078" t="s">
        <v>14854</v>
      </c>
      <c r="AN2974" s="1078" t="s">
        <v>14855</v>
      </c>
      <c r="AO2974" s="1078">
        <f t="shared" si="374"/>
        <v>450</v>
      </c>
      <c r="AP2974" s="1078">
        <f t="shared" si="375"/>
        <v>1.83</v>
      </c>
      <c r="AQ2974" s="1078">
        <f t="shared" si="376"/>
        <v>107.5</v>
      </c>
      <c r="AR2974" s="1078" t="str">
        <f t="shared" si="377"/>
        <v>NA</v>
      </c>
      <c r="AS2974" s="1078" t="str">
        <f t="shared" si="378"/>
        <v>380/360/155</v>
      </c>
      <c r="AT2974" s="1078">
        <f t="shared" si="379"/>
        <v>107.5</v>
      </c>
      <c r="AV2974" s="1078" t="str">
        <f t="shared" si="372"/>
        <v>111.10.12</v>
      </c>
      <c r="AW2974" s="1344">
        <f t="shared" si="373"/>
        <v>44846</v>
      </c>
    </row>
    <row r="2975" spans="1:49">
      <c r="A2975" s="1077" t="s">
        <v>8857</v>
      </c>
      <c r="B2975" s="1077" t="s">
        <v>8858</v>
      </c>
      <c r="C2975" s="1077">
        <v>500</v>
      </c>
      <c r="D2975" s="1077">
        <v>1.7150000000000001</v>
      </c>
      <c r="E2975" s="1077" t="s">
        <v>15094</v>
      </c>
      <c r="F2975" s="1077" t="s">
        <v>954</v>
      </c>
      <c r="G2975" s="1077">
        <v>4</v>
      </c>
      <c r="H2975" s="1077" t="s">
        <v>8859</v>
      </c>
      <c r="I2975" s="1077" t="s">
        <v>643</v>
      </c>
      <c r="J2975" s="1077">
        <v>3</v>
      </c>
      <c r="K2975" s="1077" t="s">
        <v>8860</v>
      </c>
      <c r="L2975" s="1077" t="s">
        <v>8861</v>
      </c>
      <c r="M2975" s="1077">
        <v>168</v>
      </c>
      <c r="N2975" s="1077" t="s">
        <v>945</v>
      </c>
      <c r="O2975" s="1077">
        <v>4.2</v>
      </c>
      <c r="P2975" s="1077">
        <v>3.36</v>
      </c>
      <c r="Q2975" s="1077">
        <v>3.5</v>
      </c>
      <c r="R2975" s="1077">
        <v>19</v>
      </c>
      <c r="T2975" s="1077">
        <v>62.3</v>
      </c>
      <c r="U2975" s="1077">
        <v>4.5</v>
      </c>
      <c r="V2975" s="1077" t="s">
        <v>648</v>
      </c>
      <c r="W2975" s="1077">
        <v>100</v>
      </c>
      <c r="X2975" s="1077" t="s">
        <v>8862</v>
      </c>
      <c r="Y2975" s="1077">
        <v>1</v>
      </c>
      <c r="Z2975" s="1077" t="s">
        <v>648</v>
      </c>
      <c r="AA2975" s="1077" t="s">
        <v>3215</v>
      </c>
      <c r="AH2975" s="1077" t="s">
        <v>889</v>
      </c>
      <c r="AM2975" s="1078" t="s">
        <v>14856</v>
      </c>
      <c r="AN2975" s="1078" t="s">
        <v>14857</v>
      </c>
      <c r="AO2975" s="1078">
        <f t="shared" si="374"/>
        <v>500</v>
      </c>
      <c r="AP2975" s="1078">
        <f t="shared" si="375"/>
        <v>1.7150000000000001</v>
      </c>
      <c r="AQ2975" s="1078" t="str">
        <f t="shared" si="376"/>
        <v>1-5-1S91°</v>
      </c>
      <c r="AR2975" s="1078" t="str">
        <f t="shared" si="377"/>
        <v>31</v>
      </c>
      <c r="AS2975" s="1078" t="str">
        <f t="shared" si="378"/>
        <v>300/280/OFF</v>
      </c>
      <c r="AT2975" s="1078" t="str">
        <f t="shared" si="379"/>
        <v>1-5-1S91°</v>
      </c>
      <c r="AV2975" s="1078" t="str">
        <f t="shared" si="372"/>
        <v>111.10.18</v>
      </c>
      <c r="AW2975" s="1344">
        <f t="shared" si="373"/>
        <v>44852</v>
      </c>
    </row>
    <row r="2976" spans="1:49">
      <c r="A2976" s="1077" t="s">
        <v>8863</v>
      </c>
      <c r="B2976" s="1077" t="s">
        <v>8662</v>
      </c>
      <c r="C2976" s="1077">
        <v>450</v>
      </c>
      <c r="D2976" s="1077">
        <v>1.79</v>
      </c>
      <c r="E2976" s="1077" t="s">
        <v>15089</v>
      </c>
      <c r="F2976" s="1077" t="s">
        <v>984</v>
      </c>
      <c r="G2976" s="1077">
        <v>2</v>
      </c>
      <c r="H2976" s="1077" t="s">
        <v>1017</v>
      </c>
      <c r="I2976" s="1077" t="s">
        <v>126</v>
      </c>
      <c r="J2976" s="1077">
        <v>1.1000000000000001</v>
      </c>
      <c r="K2976" s="1077" t="s">
        <v>8864</v>
      </c>
      <c r="L2976" s="1077" t="s">
        <v>8664</v>
      </c>
      <c r="M2976" s="1077">
        <v>41.5</v>
      </c>
      <c r="N2976" s="1077" t="s">
        <v>945</v>
      </c>
      <c r="O2976" s="1077">
        <v>1.0375000000000001</v>
      </c>
      <c r="P2976" s="1077">
        <v>0.83000000000000007</v>
      </c>
      <c r="Q2976" s="1077">
        <v>3</v>
      </c>
      <c r="R2976" s="1077">
        <v>23</v>
      </c>
      <c r="T2976" s="1077">
        <v>28</v>
      </c>
      <c r="U2976" s="1077">
        <v>3</v>
      </c>
      <c r="V2976" s="1077" t="s">
        <v>648</v>
      </c>
      <c r="W2976" s="1077">
        <v>110</v>
      </c>
      <c r="X2976" s="1077">
        <v>70</v>
      </c>
      <c r="Y2976" s="1077">
        <v>3</v>
      </c>
      <c r="Z2976" s="1077">
        <v>4.5</v>
      </c>
      <c r="AA2976" s="1077" t="s">
        <v>5841</v>
      </c>
      <c r="AH2976" s="1077" t="s">
        <v>830</v>
      </c>
      <c r="AM2976" s="1078" t="s">
        <v>14858</v>
      </c>
      <c r="AN2976" s="1078" t="s">
        <v>14859</v>
      </c>
      <c r="AO2976" s="1078">
        <f t="shared" si="374"/>
        <v>450</v>
      </c>
      <c r="AP2976" s="1078">
        <f t="shared" si="375"/>
        <v>1.79</v>
      </c>
      <c r="AQ2976" s="1078" t="str">
        <f t="shared" si="376"/>
        <v>1-4-1S83°</v>
      </c>
      <c r="AR2976" s="1078" t="str">
        <f t="shared" si="377"/>
        <v>30</v>
      </c>
      <c r="AS2976" s="1078" t="str">
        <f t="shared" si="378"/>
        <v>200/200/OFF</v>
      </c>
      <c r="AT2976" s="1078" t="str">
        <f t="shared" si="379"/>
        <v>1-4-1S83°</v>
      </c>
      <c r="AV2976" s="1078" t="str">
        <f t="shared" si="372"/>
        <v>111.11.1</v>
      </c>
      <c r="AW2976" s="1344">
        <f t="shared" si="373"/>
        <v>44866</v>
      </c>
    </row>
    <row r="2977" spans="1:49">
      <c r="A2977" s="1077" t="s">
        <v>8865</v>
      </c>
      <c r="B2977" s="1077" t="s">
        <v>8866</v>
      </c>
      <c r="C2977" s="1077" t="s">
        <v>8867</v>
      </c>
      <c r="D2977" s="1077" t="s">
        <v>8868</v>
      </c>
      <c r="E2977" s="1077" t="s">
        <v>15089</v>
      </c>
      <c r="F2977" s="1077" t="s">
        <v>1173</v>
      </c>
      <c r="G2977" s="1077">
        <v>2</v>
      </c>
      <c r="H2977" s="1077" t="s">
        <v>1290</v>
      </c>
      <c r="I2977" s="1077" t="s">
        <v>942</v>
      </c>
      <c r="J2977" s="1077">
        <v>3</v>
      </c>
      <c r="K2977" s="1077" t="s">
        <v>8869</v>
      </c>
      <c r="L2977" s="1077" t="s">
        <v>8870</v>
      </c>
      <c r="M2977" s="1077">
        <v>91</v>
      </c>
      <c r="N2977" s="1077" t="s">
        <v>945</v>
      </c>
      <c r="O2977" s="1077">
        <v>2.2749999999999999</v>
      </c>
      <c r="P2977" s="1077">
        <v>1.82</v>
      </c>
      <c r="Q2977" s="1077">
        <v>3.5</v>
      </c>
      <c r="R2977" s="1077" t="s">
        <v>8871</v>
      </c>
      <c r="T2977" s="1077">
        <v>65</v>
      </c>
      <c r="U2977" s="1077">
        <v>4.4000000000000004</v>
      </c>
      <c r="V2977" s="1077" t="s">
        <v>648</v>
      </c>
      <c r="W2977" s="1077">
        <v>170</v>
      </c>
      <c r="X2977" s="1077" t="s">
        <v>8819</v>
      </c>
      <c r="Y2977" s="1077">
        <v>1</v>
      </c>
      <c r="Z2977" s="1077" t="s">
        <v>648</v>
      </c>
      <c r="AA2977" s="1077" t="s">
        <v>3273</v>
      </c>
      <c r="AH2977" s="1077" t="s">
        <v>1143</v>
      </c>
      <c r="AM2977" s="1078" t="s">
        <v>14860</v>
      </c>
      <c r="AN2977" s="1078" t="s">
        <v>14861</v>
      </c>
      <c r="AO2977" s="1078" t="str">
        <f t="shared" si="374"/>
        <v>500/500(OP紗)</v>
      </c>
      <c r="AP2977" s="1078" t="str">
        <f t="shared" si="375"/>
        <v>1.66/3.2(OP)</v>
      </c>
      <c r="AQ2977" s="1078" t="str">
        <f t="shared" si="376"/>
        <v>1-4-1S83°</v>
      </c>
      <c r="AR2977" s="1078" t="str">
        <f t="shared" si="377"/>
        <v>28.5</v>
      </c>
      <c r="AS2977" s="1078" t="str">
        <f t="shared" si="378"/>
        <v>220/220/OFF</v>
      </c>
      <c r="AT2977" s="1078" t="str">
        <f t="shared" si="379"/>
        <v>1-4-1S83°</v>
      </c>
      <c r="AV2977" s="1078" t="str">
        <f t="shared" si="372"/>
        <v>111.11.7</v>
      </c>
      <c r="AW2977" s="1344">
        <f t="shared" si="373"/>
        <v>44872</v>
      </c>
    </row>
    <row r="2978" spans="1:49">
      <c r="A2978" s="1077" t="s">
        <v>8872</v>
      </c>
      <c r="B2978" s="1077" t="s">
        <v>8631</v>
      </c>
      <c r="C2978" s="1077">
        <v>600</v>
      </c>
      <c r="D2978" s="1077">
        <v>1.76</v>
      </c>
      <c r="E2978" s="1077" t="s">
        <v>15109</v>
      </c>
      <c r="F2978" s="1077" t="s">
        <v>648</v>
      </c>
      <c r="G2978" s="1077">
        <v>5</v>
      </c>
      <c r="H2978" s="1077" t="s">
        <v>8873</v>
      </c>
      <c r="I2978" s="1077" t="s">
        <v>460</v>
      </c>
      <c r="J2978" s="1077">
        <v>2.5</v>
      </c>
      <c r="K2978" s="1077" t="s">
        <v>8776</v>
      </c>
      <c r="L2978" s="1077" t="s">
        <v>4029</v>
      </c>
      <c r="M2978" s="1077">
        <v>206</v>
      </c>
      <c r="N2978" s="1077" t="s">
        <v>945</v>
      </c>
      <c r="O2978" s="1077">
        <v>5.15</v>
      </c>
      <c r="P2978" s="1077">
        <v>4.12</v>
      </c>
      <c r="Q2978" s="1077">
        <v>4</v>
      </c>
      <c r="R2978" s="1077">
        <v>20</v>
      </c>
      <c r="T2978" s="1077">
        <v>18.5</v>
      </c>
      <c r="U2978" s="1077" t="s">
        <v>8874</v>
      </c>
      <c r="V2978" s="1077" t="s">
        <v>648</v>
      </c>
      <c r="W2978" s="1077" t="s">
        <v>5922</v>
      </c>
      <c r="X2978" s="1077">
        <v>85</v>
      </c>
      <c r="Y2978" s="1077">
        <v>1.5</v>
      </c>
      <c r="Z2978" s="1077" t="s">
        <v>648</v>
      </c>
      <c r="AA2978" s="1077" t="s">
        <v>8175</v>
      </c>
      <c r="AH2978" s="1077" t="s">
        <v>782</v>
      </c>
      <c r="AM2978" s="1078" t="s">
        <v>14862</v>
      </c>
      <c r="AN2978" s="1078" t="s">
        <v>14863</v>
      </c>
      <c r="AO2978" s="1078">
        <f t="shared" si="374"/>
        <v>600</v>
      </c>
      <c r="AP2978" s="1078">
        <f t="shared" si="375"/>
        <v>1.76</v>
      </c>
      <c r="AQ2978" s="1078" t="str">
        <f t="shared" si="376"/>
        <v>1-5-1S85°Z+S</v>
      </c>
      <c r="AR2978" s="1078" t="str">
        <f t="shared" si="377"/>
        <v>NA</v>
      </c>
      <c r="AS2978" s="1078" t="str">
        <f t="shared" si="378"/>
        <v>162/150</v>
      </c>
      <c r="AT2978" s="1078" t="str">
        <f t="shared" si="379"/>
        <v>1-5-1S85°Z+S</v>
      </c>
      <c r="AU2978" s="1078" t="s">
        <v>15547</v>
      </c>
      <c r="AV2978" s="1078" t="str">
        <f t="shared" si="372"/>
        <v>111.11.15</v>
      </c>
      <c r="AW2978" s="1344">
        <f t="shared" si="373"/>
        <v>44880</v>
      </c>
    </row>
    <row r="2979" spans="1:49">
      <c r="A2979" s="1077" t="s">
        <v>8875</v>
      </c>
      <c r="B2979" s="1077" t="s">
        <v>654</v>
      </c>
      <c r="C2979" s="1077">
        <v>500</v>
      </c>
      <c r="D2979" s="1077">
        <v>1.67</v>
      </c>
      <c r="E2979" s="1077">
        <v>102.5</v>
      </c>
      <c r="F2979" s="1077" t="s">
        <v>4070</v>
      </c>
      <c r="G2979" s="1077">
        <v>5.5</v>
      </c>
      <c r="H2979" s="1077" t="s">
        <v>8679</v>
      </c>
      <c r="I2979" s="1077" t="s">
        <v>471</v>
      </c>
      <c r="J2979" s="1077">
        <v>4</v>
      </c>
      <c r="K2979" s="1077" t="s">
        <v>8800</v>
      </c>
      <c r="L2979" s="1077" t="s">
        <v>8560</v>
      </c>
      <c r="M2979" s="1077">
        <v>427.4</v>
      </c>
      <c r="N2979" s="1077" t="s">
        <v>945</v>
      </c>
      <c r="O2979" s="1077">
        <v>10.685</v>
      </c>
      <c r="P2979" s="1077">
        <v>8.548</v>
      </c>
      <c r="Q2979" s="1077">
        <v>3.5</v>
      </c>
      <c r="R2979" s="1077">
        <v>19.600000000000001</v>
      </c>
      <c r="T2979" s="1077">
        <v>14.9</v>
      </c>
      <c r="U2979" s="1077">
        <v>4.2</v>
      </c>
      <c r="V2979" s="1077" t="s">
        <v>648</v>
      </c>
      <c r="W2979" s="1077">
        <v>120</v>
      </c>
      <c r="X2979" s="1077" t="s">
        <v>8876</v>
      </c>
      <c r="Y2979" s="1077">
        <v>1</v>
      </c>
      <c r="Z2979" s="1077" t="s">
        <v>648</v>
      </c>
      <c r="AA2979" s="1077" t="s">
        <v>8877</v>
      </c>
      <c r="AH2979" s="1077" t="s">
        <v>870</v>
      </c>
      <c r="AM2979" s="1078" t="s">
        <v>14864</v>
      </c>
      <c r="AN2979" s="1078" t="s">
        <v>14865</v>
      </c>
      <c r="AO2979" s="1078">
        <f t="shared" si="374"/>
        <v>500</v>
      </c>
      <c r="AP2979" s="1078">
        <f t="shared" si="375"/>
        <v>1.67</v>
      </c>
      <c r="AQ2979" s="1078">
        <f t="shared" si="376"/>
        <v>102.5</v>
      </c>
      <c r="AR2979" s="1078" t="str">
        <f t="shared" si="377"/>
        <v>15.5</v>
      </c>
      <c r="AS2979" s="1078" t="str">
        <f t="shared" si="378"/>
        <v>480/420/160</v>
      </c>
      <c r="AT2979" s="1078">
        <f t="shared" si="379"/>
        <v>102.5</v>
      </c>
      <c r="AV2979" s="1078" t="str">
        <f t="shared" si="372"/>
        <v>111.11.21</v>
      </c>
      <c r="AW2979" s="1344">
        <f t="shared" si="373"/>
        <v>44886</v>
      </c>
    </row>
    <row r="2980" spans="1:49">
      <c r="A2980" s="1077" t="s">
        <v>8878</v>
      </c>
      <c r="B2980" s="1077" t="s">
        <v>8508</v>
      </c>
      <c r="C2980" s="1077">
        <v>600</v>
      </c>
      <c r="D2980" s="1077">
        <v>1.85</v>
      </c>
      <c r="E2980" s="1077" t="s">
        <v>15116</v>
      </c>
      <c r="F2980" s="1077" t="s">
        <v>2234</v>
      </c>
      <c r="G2980" s="1077">
        <v>5</v>
      </c>
      <c r="H2980" s="1077" t="s">
        <v>8879</v>
      </c>
      <c r="I2980" s="1077" t="s">
        <v>460</v>
      </c>
      <c r="J2980" s="1077">
        <v>2.9</v>
      </c>
      <c r="K2980" s="1077" t="s">
        <v>8696</v>
      </c>
      <c r="L2980" s="1077" t="s">
        <v>4151</v>
      </c>
      <c r="M2980" s="1077">
        <v>196</v>
      </c>
      <c r="N2980" s="1077" t="s">
        <v>945</v>
      </c>
      <c r="O2980" s="1077">
        <v>4.9000000000000004</v>
      </c>
      <c r="P2980" s="1077">
        <v>3.92</v>
      </c>
      <c r="Q2980" s="1077">
        <v>3</v>
      </c>
      <c r="R2980" s="1077" t="s">
        <v>8880</v>
      </c>
      <c r="T2980" s="1077">
        <v>15.5</v>
      </c>
      <c r="U2980" s="1077">
        <v>5</v>
      </c>
      <c r="V2980" s="1077" t="s">
        <v>648</v>
      </c>
      <c r="W2980" s="1077" t="s">
        <v>8881</v>
      </c>
      <c r="X2980" s="1077" t="s">
        <v>5885</v>
      </c>
      <c r="Y2980" s="1077">
        <v>1.5</v>
      </c>
      <c r="Z2980" s="1077" t="s">
        <v>648</v>
      </c>
      <c r="AA2980" s="1077" t="s">
        <v>8178</v>
      </c>
      <c r="AH2980" s="1077" t="s">
        <v>684</v>
      </c>
      <c r="AM2980" s="1078" t="s">
        <v>14866</v>
      </c>
      <c r="AN2980" s="1078" t="s">
        <v>14867</v>
      </c>
      <c r="AO2980" s="1078">
        <f t="shared" si="374"/>
        <v>600</v>
      </c>
      <c r="AP2980" s="1078">
        <f t="shared" si="375"/>
        <v>1.85</v>
      </c>
      <c r="AQ2980" s="1078" t="str">
        <f t="shared" si="376"/>
        <v>1-5-1S83°Z+S</v>
      </c>
      <c r="AR2980" s="1078" t="str">
        <f t="shared" si="377"/>
        <v>33.5</v>
      </c>
      <c r="AS2980" s="1078" t="str">
        <f t="shared" si="378"/>
        <v>260/260/140</v>
      </c>
      <c r="AT2980" s="1078" t="str">
        <f t="shared" si="379"/>
        <v>1-5-1S83°Z+S</v>
      </c>
      <c r="AU2980" s="1078" t="s">
        <v>15547</v>
      </c>
      <c r="AV2980" s="1078" t="str">
        <f t="shared" si="372"/>
        <v>111.11.24</v>
      </c>
      <c r="AW2980" s="1344">
        <f t="shared" si="373"/>
        <v>44889</v>
      </c>
    </row>
    <row r="2981" spans="1:49">
      <c r="A2981" s="1077" t="s">
        <v>8882</v>
      </c>
      <c r="B2981" s="1077" t="s">
        <v>8858</v>
      </c>
      <c r="C2981" s="1077">
        <v>500</v>
      </c>
      <c r="D2981" s="1077">
        <v>1.7150000000000001</v>
      </c>
      <c r="E2981" s="1077" t="s">
        <v>15094</v>
      </c>
      <c r="F2981" s="1077" t="s">
        <v>954</v>
      </c>
      <c r="G2981" s="1077">
        <v>4</v>
      </c>
      <c r="H2981" s="1077" t="s">
        <v>8859</v>
      </c>
      <c r="I2981" s="1077" t="s">
        <v>643</v>
      </c>
      <c r="J2981" s="1077">
        <v>3</v>
      </c>
      <c r="K2981" s="1077" t="s">
        <v>8860</v>
      </c>
      <c r="L2981" s="1077" t="s">
        <v>8861</v>
      </c>
      <c r="M2981" s="1077">
        <v>168</v>
      </c>
      <c r="N2981" s="1077" t="s">
        <v>945</v>
      </c>
      <c r="O2981" s="1077">
        <v>4.2</v>
      </c>
      <c r="P2981" s="1077">
        <v>3.36</v>
      </c>
      <c r="Q2981" s="1077">
        <v>3.5</v>
      </c>
      <c r="R2981" s="1077">
        <v>19</v>
      </c>
      <c r="T2981" s="1077">
        <v>62.3</v>
      </c>
      <c r="U2981" s="1077">
        <v>4.5</v>
      </c>
      <c r="V2981" s="1077" t="s">
        <v>648</v>
      </c>
      <c r="W2981" s="1077">
        <v>100</v>
      </c>
      <c r="X2981" s="1077" t="s">
        <v>8883</v>
      </c>
      <c r="Y2981" s="1077">
        <v>1</v>
      </c>
      <c r="Z2981" s="1077" t="s">
        <v>648</v>
      </c>
      <c r="AA2981" s="1077" t="s">
        <v>8884</v>
      </c>
      <c r="AH2981" s="1077" t="s">
        <v>963</v>
      </c>
      <c r="AM2981" s="1078" t="s">
        <v>14868</v>
      </c>
      <c r="AN2981" s="1078" t="s">
        <v>14869</v>
      </c>
      <c r="AO2981" s="1078">
        <f t="shared" si="374"/>
        <v>500</v>
      </c>
      <c r="AP2981" s="1078">
        <f t="shared" si="375"/>
        <v>1.7150000000000001</v>
      </c>
      <c r="AQ2981" s="1078" t="str">
        <f t="shared" si="376"/>
        <v>1-5-1S91°</v>
      </c>
      <c r="AR2981" s="1078" t="str">
        <f t="shared" si="377"/>
        <v>31</v>
      </c>
      <c r="AS2981" s="1078" t="str">
        <f t="shared" si="378"/>
        <v>300/280/OFF</v>
      </c>
      <c r="AT2981" s="1078" t="str">
        <f t="shared" si="379"/>
        <v>1-5-1S91°</v>
      </c>
      <c r="AV2981" s="1078" t="str">
        <f t="shared" si="372"/>
        <v>111.12.9</v>
      </c>
      <c r="AW2981" s="1344">
        <f t="shared" si="373"/>
        <v>44904</v>
      </c>
    </row>
    <row r="2982" spans="1:49">
      <c r="A2982" s="1077" t="s">
        <v>8885</v>
      </c>
      <c r="B2982" s="1077" t="s">
        <v>8394</v>
      </c>
      <c r="C2982" s="1077">
        <v>600</v>
      </c>
      <c r="D2982" s="1077">
        <v>1.73</v>
      </c>
      <c r="E2982" s="1077" t="s">
        <v>15089</v>
      </c>
      <c r="F2982" s="1077" t="s">
        <v>1514</v>
      </c>
      <c r="G2982" s="1077">
        <v>2</v>
      </c>
      <c r="H2982" s="1077" t="s">
        <v>1274</v>
      </c>
      <c r="I2982" s="1077" t="s">
        <v>942</v>
      </c>
      <c r="J2982" s="1077">
        <v>2.5</v>
      </c>
      <c r="K2982" s="1077" t="s">
        <v>8847</v>
      </c>
      <c r="L2982" s="1077" t="s">
        <v>8396</v>
      </c>
      <c r="M2982" s="1077">
        <v>30.8</v>
      </c>
      <c r="N2982" s="1077" t="s">
        <v>945</v>
      </c>
      <c r="O2982" s="1077">
        <v>0.77</v>
      </c>
      <c r="P2982" s="1077">
        <v>0.61599999999999999</v>
      </c>
      <c r="Q2982" s="1077">
        <v>3.5</v>
      </c>
      <c r="R2982" s="1077">
        <v>20.5</v>
      </c>
      <c r="T2982" s="1077">
        <v>37</v>
      </c>
      <c r="U2982" s="1077">
        <v>4</v>
      </c>
      <c r="V2982" s="1077" t="s">
        <v>648</v>
      </c>
      <c r="W2982" s="1077" t="s">
        <v>8886</v>
      </c>
      <c r="X2982" s="1077">
        <v>80</v>
      </c>
      <c r="Y2982" s="1077">
        <v>2.5</v>
      </c>
      <c r="Z2982" s="1077">
        <v>4</v>
      </c>
      <c r="AA2982" s="1077" t="s">
        <v>8887</v>
      </c>
      <c r="AH2982" s="1077" t="s">
        <v>1588</v>
      </c>
      <c r="AM2982" s="1078" t="s">
        <v>14870</v>
      </c>
      <c r="AN2982" s="1078" t="s">
        <v>14871</v>
      </c>
      <c r="AO2982" s="1078">
        <f t="shared" si="374"/>
        <v>600</v>
      </c>
      <c r="AP2982" s="1078">
        <f t="shared" si="375"/>
        <v>1.73</v>
      </c>
      <c r="AQ2982" s="1078" t="str">
        <f t="shared" si="376"/>
        <v>1-4-1S83°</v>
      </c>
      <c r="AR2982" s="1078" t="str">
        <f t="shared" si="377"/>
        <v>32</v>
      </c>
      <c r="AS2982" s="1078" t="str">
        <f t="shared" si="378"/>
        <v>210/210/OFF</v>
      </c>
      <c r="AT2982" s="1078" t="str">
        <f t="shared" si="379"/>
        <v>1-4-1S83°</v>
      </c>
      <c r="AV2982" s="1078" t="str">
        <f t="shared" si="372"/>
        <v>111.12.14</v>
      </c>
      <c r="AW2982" s="1344">
        <f t="shared" si="373"/>
        <v>44909</v>
      </c>
    </row>
    <row r="2983" spans="1:49">
      <c r="A2983" s="1077" t="s">
        <v>8888</v>
      </c>
      <c r="B2983" s="1077" t="s">
        <v>8594</v>
      </c>
      <c r="C2983" s="1077">
        <v>550</v>
      </c>
      <c r="D2983" s="1077">
        <v>1.71</v>
      </c>
      <c r="E2983" s="1077" t="s">
        <v>15123</v>
      </c>
      <c r="F2983" s="1077" t="s">
        <v>1514</v>
      </c>
      <c r="G2983" s="1077">
        <v>5</v>
      </c>
      <c r="H2983" s="1077" t="s">
        <v>1470</v>
      </c>
      <c r="I2983" s="1077" t="s">
        <v>460</v>
      </c>
      <c r="J2983" s="1077">
        <v>2.9</v>
      </c>
      <c r="K2983" s="1077" t="s">
        <v>8832</v>
      </c>
      <c r="L2983" s="1077" t="s">
        <v>8596</v>
      </c>
      <c r="M2983" s="1077">
        <v>228.6</v>
      </c>
      <c r="N2983" s="1077" t="s">
        <v>945</v>
      </c>
      <c r="O2983" s="1077">
        <v>5.7149999999999999</v>
      </c>
      <c r="P2983" s="1077">
        <v>4.5720000000000001</v>
      </c>
      <c r="Q2983" s="1077">
        <v>3</v>
      </c>
      <c r="R2983" s="1077">
        <v>32.5</v>
      </c>
      <c r="T2983" s="1077">
        <v>13.1</v>
      </c>
      <c r="U2983" s="1077">
        <v>6.1</v>
      </c>
      <c r="V2983" s="1077" t="s">
        <v>648</v>
      </c>
      <c r="W2983" s="1077">
        <v>110</v>
      </c>
      <c r="X2983" s="1077">
        <v>80</v>
      </c>
      <c r="Y2983" s="1077">
        <v>1.8</v>
      </c>
      <c r="Z2983" s="1077">
        <v>7.5</v>
      </c>
      <c r="AA2983" s="1077" t="s">
        <v>3399</v>
      </c>
      <c r="AH2983" s="1077" t="s">
        <v>1053</v>
      </c>
      <c r="AM2983" s="1078" t="s">
        <v>14872</v>
      </c>
      <c r="AN2983" s="1078" t="s">
        <v>14873</v>
      </c>
      <c r="AO2983" s="1078">
        <f t="shared" si="374"/>
        <v>550</v>
      </c>
      <c r="AP2983" s="1078">
        <f t="shared" si="375"/>
        <v>1.71</v>
      </c>
      <c r="AQ2983" s="1078" t="str">
        <f t="shared" si="376"/>
        <v>1-7-1S83°</v>
      </c>
      <c r="AR2983" s="1078" t="str">
        <f t="shared" si="377"/>
        <v>32</v>
      </c>
      <c r="AS2983" s="1078" t="str">
        <f t="shared" si="378"/>
        <v>160/OFF</v>
      </c>
      <c r="AT2983" s="1078" t="str">
        <f t="shared" si="379"/>
        <v>1-7-1S83°</v>
      </c>
      <c r="AV2983" s="1078" t="str">
        <f t="shared" si="372"/>
        <v>111.12.21</v>
      </c>
      <c r="AW2983" s="1344">
        <f t="shared" si="373"/>
        <v>44916</v>
      </c>
    </row>
    <row r="2984" spans="1:49">
      <c r="A2984" s="1077" t="s">
        <v>8889</v>
      </c>
      <c r="B2984" s="1077" t="s">
        <v>8858</v>
      </c>
      <c r="C2984" s="1077">
        <v>500</v>
      </c>
      <c r="D2984" s="1077">
        <v>1.7150000000000001</v>
      </c>
      <c r="E2984" s="1077" t="s">
        <v>15094</v>
      </c>
      <c r="F2984" s="1077" t="s">
        <v>954</v>
      </c>
      <c r="G2984" s="1077">
        <v>4</v>
      </c>
      <c r="H2984" s="1077" t="s">
        <v>8859</v>
      </c>
      <c r="I2984" s="1077" t="s">
        <v>643</v>
      </c>
      <c r="J2984" s="1077">
        <v>3.2</v>
      </c>
      <c r="K2984" s="1077" t="s">
        <v>8890</v>
      </c>
      <c r="L2984" s="1077" t="s">
        <v>8861</v>
      </c>
      <c r="M2984" s="1077">
        <v>168</v>
      </c>
      <c r="N2984" s="1077" t="s">
        <v>945</v>
      </c>
      <c r="O2984" s="1077">
        <v>4.2</v>
      </c>
      <c r="P2984" s="1077">
        <v>3.36</v>
      </c>
      <c r="Q2984" s="1077">
        <v>3.5</v>
      </c>
      <c r="R2984" s="1077">
        <v>19</v>
      </c>
      <c r="T2984" s="1077">
        <v>62.3</v>
      </c>
      <c r="U2984" s="1077">
        <v>4.5</v>
      </c>
      <c r="V2984" s="1077" t="s">
        <v>648</v>
      </c>
      <c r="W2984" s="1077">
        <v>100</v>
      </c>
      <c r="X2984" s="1077" t="s">
        <v>8891</v>
      </c>
      <c r="Y2984" s="1077">
        <v>1</v>
      </c>
      <c r="Z2984" s="1077" t="s">
        <v>648</v>
      </c>
      <c r="AA2984" s="1077" t="s">
        <v>3397</v>
      </c>
      <c r="AH2984" s="1077" t="s">
        <v>618</v>
      </c>
      <c r="AM2984" s="1078" t="s">
        <v>14874</v>
      </c>
      <c r="AN2984" s="1078" t="s">
        <v>14875</v>
      </c>
      <c r="AO2984" s="1078">
        <f t="shared" si="374"/>
        <v>500</v>
      </c>
      <c r="AP2984" s="1078">
        <f t="shared" si="375"/>
        <v>1.7150000000000001</v>
      </c>
      <c r="AQ2984" s="1078" t="str">
        <f t="shared" si="376"/>
        <v>1-5-1S91°</v>
      </c>
      <c r="AR2984" s="1078" t="str">
        <f t="shared" si="377"/>
        <v>31</v>
      </c>
      <c r="AS2984" s="1078" t="str">
        <f t="shared" si="378"/>
        <v>300/280/OFF</v>
      </c>
      <c r="AT2984" s="1078" t="str">
        <f t="shared" si="379"/>
        <v>1-5-1S91°</v>
      </c>
      <c r="AV2984" s="1078" t="str">
        <f t="shared" si="372"/>
        <v>111.12.23</v>
      </c>
      <c r="AW2984" s="1344">
        <f t="shared" si="373"/>
        <v>44918</v>
      </c>
    </row>
    <row r="2985" spans="1:49">
      <c r="A2985" s="1077" t="s">
        <v>8892</v>
      </c>
      <c r="B2985" s="1077" t="s">
        <v>8594</v>
      </c>
      <c r="C2985" s="1077">
        <v>550</v>
      </c>
      <c r="D2985" s="1077">
        <v>1.71</v>
      </c>
      <c r="E2985" s="1077" t="s">
        <v>15123</v>
      </c>
      <c r="F2985" s="1077" t="s">
        <v>2234</v>
      </c>
      <c r="G2985" s="1077">
        <v>5</v>
      </c>
      <c r="H2985" s="1077" t="s">
        <v>1470</v>
      </c>
      <c r="I2985" s="1077" t="s">
        <v>460</v>
      </c>
      <c r="J2985" s="1077">
        <v>3.1</v>
      </c>
      <c r="K2985" s="1077" t="s">
        <v>8893</v>
      </c>
      <c r="L2985" s="1077" t="s">
        <v>8596</v>
      </c>
      <c r="M2985" s="1077">
        <v>228.6</v>
      </c>
      <c r="N2985" s="1077" t="s">
        <v>945</v>
      </c>
      <c r="O2985" s="1077">
        <v>5.7149999999999999</v>
      </c>
      <c r="P2985" s="1077">
        <v>4.5720000000000001</v>
      </c>
      <c r="Q2985" s="1077">
        <v>3</v>
      </c>
      <c r="R2985" s="1077">
        <v>32.5</v>
      </c>
      <c r="T2985" s="1077">
        <v>13.1</v>
      </c>
      <c r="U2985" s="1077">
        <v>6.1</v>
      </c>
      <c r="V2985" s="1077" t="s">
        <v>648</v>
      </c>
      <c r="W2985" s="1077" t="s">
        <v>8894</v>
      </c>
      <c r="X2985" s="1077">
        <v>80</v>
      </c>
      <c r="Y2985" s="1077">
        <v>1.8</v>
      </c>
      <c r="Z2985" s="1077">
        <v>7.5</v>
      </c>
      <c r="AA2985" s="1077" t="s">
        <v>4408</v>
      </c>
      <c r="AH2985" s="1077" t="s">
        <v>1417</v>
      </c>
      <c r="AM2985" s="1078" t="s">
        <v>14876</v>
      </c>
      <c r="AN2985" s="1078" t="s">
        <v>14877</v>
      </c>
      <c r="AO2985" s="1078">
        <f t="shared" si="374"/>
        <v>550</v>
      </c>
      <c r="AP2985" s="1078">
        <f t="shared" si="375"/>
        <v>1.71</v>
      </c>
      <c r="AQ2985" s="1078" t="str">
        <f t="shared" si="376"/>
        <v>1-7-1S83°</v>
      </c>
      <c r="AR2985" s="1078" t="str">
        <f t="shared" si="377"/>
        <v>33.5</v>
      </c>
      <c r="AS2985" s="1078" t="str">
        <f t="shared" si="378"/>
        <v>160/OFF</v>
      </c>
      <c r="AT2985" s="1078" t="str">
        <f t="shared" si="379"/>
        <v>1-7-1S83°</v>
      </c>
      <c r="AV2985" s="1078" t="str">
        <f t="shared" si="372"/>
        <v>112.1.30</v>
      </c>
      <c r="AW2985" s="1344">
        <f t="shared" si="373"/>
        <v>44956</v>
      </c>
    </row>
    <row r="2986" spans="1:49">
      <c r="A2986" s="1077" t="s">
        <v>8895</v>
      </c>
      <c r="B2986" s="1077" t="s">
        <v>654</v>
      </c>
      <c r="C2986" s="1077">
        <v>500</v>
      </c>
      <c r="D2986" s="1077">
        <v>1.67</v>
      </c>
      <c r="E2986" s="1077">
        <v>102.5</v>
      </c>
      <c r="F2986" s="1077" t="s">
        <v>4070</v>
      </c>
      <c r="G2986" s="1077">
        <v>5.5</v>
      </c>
      <c r="H2986" s="1077" t="s">
        <v>8679</v>
      </c>
      <c r="I2986" s="1077" t="s">
        <v>471</v>
      </c>
      <c r="J2986" s="1077">
        <v>4.2</v>
      </c>
      <c r="K2986" s="1077" t="s">
        <v>8800</v>
      </c>
      <c r="L2986" s="1077" t="s">
        <v>8560</v>
      </c>
      <c r="M2986" s="1077">
        <v>427.4</v>
      </c>
      <c r="N2986" s="1077" t="s">
        <v>945</v>
      </c>
      <c r="O2986" s="1077">
        <v>10.685</v>
      </c>
      <c r="P2986" s="1077">
        <v>8.548</v>
      </c>
      <c r="Q2986" s="1077">
        <v>3.5</v>
      </c>
      <c r="R2986" s="1077">
        <v>19.600000000000001</v>
      </c>
      <c r="T2986" s="1077">
        <v>14.9</v>
      </c>
      <c r="U2986" s="1077">
        <v>4.2</v>
      </c>
      <c r="V2986" s="1077" t="s">
        <v>648</v>
      </c>
      <c r="W2986" s="1077">
        <v>120</v>
      </c>
      <c r="X2986" s="1077" t="s">
        <v>8896</v>
      </c>
      <c r="Y2986" s="1077">
        <v>1</v>
      </c>
      <c r="Z2986" s="1077" t="s">
        <v>648</v>
      </c>
      <c r="AA2986" s="1077" t="s">
        <v>8210</v>
      </c>
      <c r="AH2986" s="1077" t="s">
        <v>869</v>
      </c>
      <c r="AM2986" s="1078" t="s">
        <v>14878</v>
      </c>
      <c r="AN2986" s="1078" t="s">
        <v>14879</v>
      </c>
      <c r="AO2986" s="1078">
        <f t="shared" si="374"/>
        <v>500</v>
      </c>
      <c r="AP2986" s="1078">
        <f t="shared" si="375"/>
        <v>1.67</v>
      </c>
      <c r="AQ2986" s="1078">
        <f t="shared" si="376"/>
        <v>102.5</v>
      </c>
      <c r="AR2986" s="1078" t="str">
        <f t="shared" si="377"/>
        <v>15.5</v>
      </c>
      <c r="AS2986" s="1078" t="str">
        <f t="shared" si="378"/>
        <v>480/420/160</v>
      </c>
      <c r="AT2986" s="1078">
        <f t="shared" si="379"/>
        <v>102.5</v>
      </c>
      <c r="AV2986" s="1078" t="str">
        <f t="shared" si="372"/>
        <v>112.2.13</v>
      </c>
      <c r="AW2986" s="1344">
        <f t="shared" si="373"/>
        <v>44970</v>
      </c>
    </row>
    <row r="2987" spans="1:49">
      <c r="A2987" s="1077" t="s">
        <v>8897</v>
      </c>
      <c r="B2987" s="1077" t="s">
        <v>654</v>
      </c>
      <c r="C2987" s="1077">
        <v>550</v>
      </c>
      <c r="D2987" s="1077">
        <v>1.659</v>
      </c>
      <c r="E2987" s="1077">
        <v>102.5</v>
      </c>
      <c r="F2987" s="1077" t="s">
        <v>8727</v>
      </c>
      <c r="G2987" s="1077">
        <v>5.5</v>
      </c>
      <c r="H2987" s="1077" t="s">
        <v>8898</v>
      </c>
      <c r="I2987" s="1077" t="s">
        <v>471</v>
      </c>
      <c r="J2987" s="1077">
        <v>1</v>
      </c>
      <c r="K2987" s="1077" t="s">
        <v>8899</v>
      </c>
      <c r="L2987" s="1077" t="s">
        <v>8730</v>
      </c>
      <c r="M2987" s="1077">
        <v>462</v>
      </c>
      <c r="N2987" s="1077" t="s">
        <v>945</v>
      </c>
      <c r="O2987" s="1077">
        <v>11.55</v>
      </c>
      <c r="P2987" s="1077">
        <v>9.24</v>
      </c>
      <c r="Q2987" s="1077">
        <v>3.5</v>
      </c>
      <c r="R2987" s="1077">
        <v>20.100000000000001</v>
      </c>
      <c r="T2987" s="1077">
        <v>25.7</v>
      </c>
      <c r="U2987" s="1077">
        <v>3</v>
      </c>
      <c r="V2987" s="1077" t="s">
        <v>648</v>
      </c>
      <c r="W2987" s="1077" t="s">
        <v>648</v>
      </c>
      <c r="X2987" s="1077" t="s">
        <v>648</v>
      </c>
      <c r="Y2987" s="1077">
        <v>1.5</v>
      </c>
      <c r="Z2987" s="1077" t="s">
        <v>648</v>
      </c>
      <c r="AA2987" s="1077" t="s">
        <v>8900</v>
      </c>
      <c r="AH2987" s="1077" t="s">
        <v>767</v>
      </c>
      <c r="AM2987" s="1078" t="s">
        <v>14880</v>
      </c>
      <c r="AN2987" s="1078" t="s">
        <v>14881</v>
      </c>
      <c r="AO2987" s="1078">
        <f t="shared" si="374"/>
        <v>550</v>
      </c>
      <c r="AP2987" s="1078">
        <f t="shared" si="375"/>
        <v>1.659</v>
      </c>
      <c r="AQ2987" s="1078">
        <f t="shared" si="376"/>
        <v>102.5</v>
      </c>
      <c r="AR2987" s="1078" t="str">
        <f t="shared" si="377"/>
        <v>15.7</v>
      </c>
      <c r="AS2987" s="1078" t="str">
        <f t="shared" si="378"/>
        <v>500/480/200</v>
      </c>
      <c r="AT2987" s="1078">
        <f t="shared" si="379"/>
        <v>102.5</v>
      </c>
      <c r="AV2987" s="1078" t="str">
        <f t="shared" si="372"/>
        <v>112.3.6</v>
      </c>
      <c r="AW2987" s="1344">
        <f t="shared" si="373"/>
        <v>44991</v>
      </c>
    </row>
    <row r="2988" spans="1:49">
      <c r="A2988" s="1077" t="s">
        <v>8901</v>
      </c>
      <c r="B2988" s="1077" t="s">
        <v>8858</v>
      </c>
      <c r="C2988" s="1077">
        <v>500</v>
      </c>
      <c r="D2988" s="1077">
        <v>1.7150000000000001</v>
      </c>
      <c r="E2988" s="1077" t="s">
        <v>15094</v>
      </c>
      <c r="F2988" s="1077" t="s">
        <v>954</v>
      </c>
      <c r="G2988" s="1077">
        <v>4</v>
      </c>
      <c r="H2988" s="1077" t="s">
        <v>8859</v>
      </c>
      <c r="I2988" s="1077" t="s">
        <v>643</v>
      </c>
      <c r="J2988" s="1077">
        <v>3.2</v>
      </c>
      <c r="K2988" s="1077" t="s">
        <v>8902</v>
      </c>
      <c r="L2988" s="1077" t="s">
        <v>8861</v>
      </c>
      <c r="M2988" s="1077">
        <v>168</v>
      </c>
      <c r="N2988" s="1077" t="s">
        <v>945</v>
      </c>
      <c r="O2988" s="1077">
        <v>4.2</v>
      </c>
      <c r="P2988" s="1077">
        <v>3.36</v>
      </c>
      <c r="Q2988" s="1077">
        <v>3.5</v>
      </c>
      <c r="R2988" s="1077">
        <v>19</v>
      </c>
      <c r="T2988" s="1077">
        <v>62.3</v>
      </c>
      <c r="U2988" s="1077">
        <v>4.5</v>
      </c>
      <c r="V2988" s="1077" t="s">
        <v>648</v>
      </c>
      <c r="W2988" s="1077">
        <v>100</v>
      </c>
      <c r="X2988" s="1077" t="s">
        <v>8862</v>
      </c>
      <c r="Y2988" s="1077">
        <v>1</v>
      </c>
      <c r="Z2988" s="1077" t="s">
        <v>648</v>
      </c>
      <c r="AA2988" s="1077" t="s">
        <v>4411</v>
      </c>
      <c r="AH2988" s="1077" t="s">
        <v>963</v>
      </c>
      <c r="AM2988" s="1078" t="s">
        <v>14882</v>
      </c>
      <c r="AN2988" s="1078" t="s">
        <v>14883</v>
      </c>
      <c r="AO2988" s="1078">
        <f t="shared" si="374"/>
        <v>500</v>
      </c>
      <c r="AP2988" s="1078">
        <f t="shared" si="375"/>
        <v>1.7150000000000001</v>
      </c>
      <c r="AQ2988" s="1078" t="str">
        <f t="shared" si="376"/>
        <v>1-5-1S91°</v>
      </c>
      <c r="AR2988" s="1078" t="str">
        <f t="shared" si="377"/>
        <v>31</v>
      </c>
      <c r="AS2988" s="1078" t="str">
        <f t="shared" si="378"/>
        <v>300/280/OFF</v>
      </c>
      <c r="AT2988" s="1078" t="str">
        <f t="shared" si="379"/>
        <v>1-5-1S91°</v>
      </c>
      <c r="AV2988" s="1078" t="str">
        <f t="shared" si="372"/>
        <v>112.2.23</v>
      </c>
      <c r="AW2988" s="1344">
        <f t="shared" si="373"/>
        <v>44980</v>
      </c>
    </row>
    <row r="2989" spans="1:49">
      <c r="A2989" s="1077" t="s">
        <v>8903</v>
      </c>
      <c r="B2989" s="1077" t="s">
        <v>8631</v>
      </c>
      <c r="C2989" s="1077">
        <v>600</v>
      </c>
      <c r="D2989" s="1077">
        <v>1.76</v>
      </c>
      <c r="E2989" s="1077" t="s">
        <v>15109</v>
      </c>
      <c r="F2989" s="1077" t="s">
        <v>648</v>
      </c>
      <c r="G2989" s="1077">
        <v>5</v>
      </c>
      <c r="H2989" s="1077" t="s">
        <v>8873</v>
      </c>
      <c r="I2989" s="1077" t="s">
        <v>460</v>
      </c>
      <c r="J2989" s="1077">
        <v>2.4</v>
      </c>
      <c r="K2989" s="1077" t="s">
        <v>8904</v>
      </c>
      <c r="L2989" s="1077" t="s">
        <v>4029</v>
      </c>
      <c r="M2989" s="1077">
        <v>206</v>
      </c>
      <c r="N2989" s="1077" t="s">
        <v>945</v>
      </c>
      <c r="O2989" s="1077">
        <v>5.15</v>
      </c>
      <c r="P2989" s="1077">
        <v>4.12</v>
      </c>
      <c r="Q2989" s="1077">
        <v>4</v>
      </c>
      <c r="R2989" s="1077">
        <v>20</v>
      </c>
      <c r="T2989" s="1077">
        <v>18.5</v>
      </c>
      <c r="U2989" s="1077">
        <v>4.0999999999999996</v>
      </c>
      <c r="V2989" s="1077" t="s">
        <v>648</v>
      </c>
      <c r="W2989" s="1077">
        <v>120</v>
      </c>
      <c r="X2989" s="1077">
        <v>85</v>
      </c>
      <c r="Y2989" s="1077">
        <v>1.5</v>
      </c>
      <c r="Z2989" s="1077" t="s">
        <v>648</v>
      </c>
      <c r="AA2989" s="1077" t="s">
        <v>8905</v>
      </c>
      <c r="AH2989" s="1077" t="s">
        <v>812</v>
      </c>
      <c r="AM2989" s="1078" t="s">
        <v>14884</v>
      </c>
      <c r="AN2989" s="1078" t="s">
        <v>14885</v>
      </c>
      <c r="AO2989" s="1078">
        <f t="shared" si="374"/>
        <v>600</v>
      </c>
      <c r="AP2989" s="1078">
        <f t="shared" si="375"/>
        <v>1.76</v>
      </c>
      <c r="AQ2989" s="1078" t="str">
        <f t="shared" si="376"/>
        <v>1-5-1S85°Z+S</v>
      </c>
      <c r="AR2989" s="1078" t="str">
        <f t="shared" si="377"/>
        <v>NA</v>
      </c>
      <c r="AS2989" s="1078" t="str">
        <f t="shared" si="378"/>
        <v>162/150</v>
      </c>
      <c r="AT2989" s="1078" t="str">
        <f t="shared" si="379"/>
        <v>1-5-1S85°Z+S</v>
      </c>
      <c r="AU2989" s="1078" t="s">
        <v>15547</v>
      </c>
      <c r="AV2989" s="1078" t="str">
        <f t="shared" si="372"/>
        <v>112.3.12</v>
      </c>
      <c r="AW2989" s="1344">
        <f t="shared" si="373"/>
        <v>44997</v>
      </c>
    </row>
    <row r="2990" spans="1:49">
      <c r="A2990" s="1077" t="s">
        <v>8906</v>
      </c>
      <c r="B2990" s="1077" t="s">
        <v>8907</v>
      </c>
      <c r="C2990" s="1077">
        <v>500</v>
      </c>
      <c r="D2990" s="1077">
        <v>1.67</v>
      </c>
      <c r="E2990" s="1077" t="s">
        <v>15089</v>
      </c>
      <c r="F2990" s="1077" t="s">
        <v>1501</v>
      </c>
      <c r="G2990" s="1077">
        <v>2</v>
      </c>
      <c r="H2990" s="1077" t="s">
        <v>1290</v>
      </c>
      <c r="I2990" s="1077" t="s">
        <v>460</v>
      </c>
      <c r="J2990" s="1077">
        <v>2.8</v>
      </c>
      <c r="K2990" s="1077" t="s">
        <v>8908</v>
      </c>
      <c r="L2990" s="1077" t="s">
        <v>8909</v>
      </c>
      <c r="M2990" s="1077">
        <v>91</v>
      </c>
      <c r="N2990" s="1077" t="s">
        <v>945</v>
      </c>
      <c r="O2990" s="1077">
        <v>2.2749999999999999</v>
      </c>
      <c r="P2990" s="1077">
        <v>1.82</v>
      </c>
      <c r="Q2990" s="1077">
        <v>3</v>
      </c>
      <c r="R2990" s="1077">
        <v>25</v>
      </c>
      <c r="T2990" s="1077">
        <v>64</v>
      </c>
      <c r="U2990" s="1077">
        <v>4.5</v>
      </c>
      <c r="V2990" s="1077" t="s">
        <v>648</v>
      </c>
      <c r="W2990" s="1077">
        <v>115</v>
      </c>
      <c r="X2990" s="1077" t="s">
        <v>8819</v>
      </c>
      <c r="Y2990" s="1077">
        <v>1</v>
      </c>
      <c r="Z2990" s="1077" t="s">
        <v>648</v>
      </c>
      <c r="AA2990" s="1077" t="s">
        <v>3424</v>
      </c>
      <c r="AH2990" s="1077" t="s">
        <v>889</v>
      </c>
      <c r="AM2990" s="1078" t="s">
        <v>14886</v>
      </c>
      <c r="AN2990" s="1078" t="s">
        <v>14887</v>
      </c>
      <c r="AO2990" s="1078">
        <f t="shared" si="374"/>
        <v>500</v>
      </c>
      <c r="AP2990" s="1078">
        <f t="shared" si="375"/>
        <v>1.67</v>
      </c>
      <c r="AQ2990" s="1078" t="str">
        <f t="shared" si="376"/>
        <v>1-4-1S83°</v>
      </c>
      <c r="AR2990" s="1078" t="str">
        <f t="shared" si="377"/>
        <v>28</v>
      </c>
      <c r="AS2990" s="1078" t="str">
        <f t="shared" si="378"/>
        <v>220/220/OFF</v>
      </c>
      <c r="AT2990" s="1078" t="str">
        <f t="shared" si="379"/>
        <v>1-4-1S83°</v>
      </c>
      <c r="AV2990" s="1078" t="str">
        <f t="shared" si="372"/>
        <v>112.3.13</v>
      </c>
      <c r="AW2990" s="1344">
        <f t="shared" si="373"/>
        <v>44998</v>
      </c>
    </row>
    <row r="2991" spans="1:49">
      <c r="A2991" s="1077" t="s">
        <v>8910</v>
      </c>
      <c r="B2991" s="1077" t="s">
        <v>8524</v>
      </c>
      <c r="C2991" s="1077">
        <v>450</v>
      </c>
      <c r="D2991" s="1077">
        <v>1.83</v>
      </c>
      <c r="E2991" s="1077">
        <v>107.5</v>
      </c>
      <c r="F2991" s="1077" t="s">
        <v>648</v>
      </c>
      <c r="G2991" s="1077">
        <v>5</v>
      </c>
      <c r="H2991" s="1077" t="s">
        <v>8525</v>
      </c>
      <c r="I2991" s="1077" t="s">
        <v>471</v>
      </c>
      <c r="J2991" s="1077">
        <v>1.2</v>
      </c>
      <c r="K2991" s="1077" t="s">
        <v>8911</v>
      </c>
      <c r="L2991" s="1077" t="s">
        <v>8527</v>
      </c>
      <c r="M2991" s="1077">
        <v>421.5</v>
      </c>
      <c r="N2991" s="1077" t="s">
        <v>945</v>
      </c>
      <c r="O2991" s="1077">
        <v>10.537500000000001</v>
      </c>
      <c r="P2991" s="1077">
        <v>8.43</v>
      </c>
      <c r="Q2991" s="1077">
        <v>3</v>
      </c>
      <c r="R2991" s="1077">
        <v>19.100000000000001</v>
      </c>
      <c r="T2991" s="1077">
        <v>12.2</v>
      </c>
      <c r="U2991" s="1077">
        <v>5.8</v>
      </c>
      <c r="V2991" s="1077" t="s">
        <v>648</v>
      </c>
      <c r="W2991" s="1077">
        <v>35</v>
      </c>
      <c r="X2991" s="1077">
        <v>10</v>
      </c>
      <c r="Y2991" s="1077">
        <v>1.2</v>
      </c>
      <c r="Z2991" s="1077" t="s">
        <v>648</v>
      </c>
      <c r="AA2991" s="1077" t="s">
        <v>3504</v>
      </c>
      <c r="AB2991" s="1077" t="s">
        <v>8912</v>
      </c>
      <c r="AH2991" s="1077" t="s">
        <v>862</v>
      </c>
      <c r="AM2991" s="1078" t="s">
        <v>14888</v>
      </c>
      <c r="AN2991" s="1078" t="s">
        <v>14889</v>
      </c>
      <c r="AO2991" s="1078">
        <f t="shared" si="374"/>
        <v>450</v>
      </c>
      <c r="AP2991" s="1078">
        <f t="shared" si="375"/>
        <v>1.83</v>
      </c>
      <c r="AQ2991" s="1078">
        <f t="shared" si="376"/>
        <v>107.5</v>
      </c>
      <c r="AR2991" s="1078" t="str">
        <f t="shared" si="377"/>
        <v>NA</v>
      </c>
      <c r="AS2991" s="1078" t="str">
        <f t="shared" si="378"/>
        <v>380/360/155</v>
      </c>
      <c r="AT2991" s="1078">
        <f t="shared" si="379"/>
        <v>107.5</v>
      </c>
      <c r="AV2991" s="1078" t="str">
        <f t="shared" si="372"/>
        <v>112.4.6</v>
      </c>
      <c r="AW2991" s="1344">
        <f t="shared" si="373"/>
        <v>45022</v>
      </c>
    </row>
    <row r="2992" spans="1:49">
      <c r="A2992" s="1077" t="s">
        <v>8913</v>
      </c>
      <c r="B2992" s="1077" t="s">
        <v>8866</v>
      </c>
      <c r="C2992" s="1077" t="s">
        <v>8867</v>
      </c>
      <c r="D2992" s="1077" t="s">
        <v>8868</v>
      </c>
      <c r="E2992" s="1077" t="s">
        <v>15089</v>
      </c>
      <c r="F2992" s="1077" t="s">
        <v>1173</v>
      </c>
      <c r="G2992" s="1077">
        <v>2</v>
      </c>
      <c r="H2992" s="1077" t="s">
        <v>1290</v>
      </c>
      <c r="I2992" s="1077" t="s">
        <v>942</v>
      </c>
      <c r="J2992" s="1077">
        <v>3</v>
      </c>
      <c r="K2992" s="1077" t="s">
        <v>8914</v>
      </c>
      <c r="L2992" s="1077" t="s">
        <v>8870</v>
      </c>
      <c r="M2992" s="1077">
        <v>91</v>
      </c>
      <c r="N2992" s="1077" t="s">
        <v>945</v>
      </c>
      <c r="O2992" s="1077">
        <v>2.2749999999999999</v>
      </c>
      <c r="P2992" s="1077">
        <v>1.82</v>
      </c>
      <c r="Q2992" s="1077">
        <v>3.5</v>
      </c>
      <c r="R2992" s="1077">
        <v>26.5</v>
      </c>
      <c r="T2992" s="1077">
        <v>65</v>
      </c>
      <c r="U2992" s="1077">
        <v>4.4000000000000004</v>
      </c>
      <c r="V2992" s="1077" t="s">
        <v>648</v>
      </c>
      <c r="W2992" s="1077">
        <v>170</v>
      </c>
      <c r="X2992" s="1077" t="s">
        <v>8819</v>
      </c>
      <c r="Y2992" s="1077">
        <v>1</v>
      </c>
      <c r="Z2992" s="1077" t="s">
        <v>648</v>
      </c>
      <c r="AA2992" s="1077" t="s">
        <v>8915</v>
      </c>
      <c r="AH2992" s="1077" t="s">
        <v>8916</v>
      </c>
      <c r="AM2992" s="1078" t="s">
        <v>14890</v>
      </c>
      <c r="AN2992" s="1078" t="s">
        <v>14891</v>
      </c>
      <c r="AO2992" s="1078" t="str">
        <f t="shared" si="374"/>
        <v>500/500(OP紗)</v>
      </c>
      <c r="AP2992" s="1078" t="str">
        <f t="shared" si="375"/>
        <v>1.66/3.2(OP)</v>
      </c>
      <c r="AQ2992" s="1078" t="str">
        <f t="shared" si="376"/>
        <v>1-4-1S83°</v>
      </c>
      <c r="AR2992" s="1078" t="str">
        <f t="shared" si="377"/>
        <v>28.5</v>
      </c>
      <c r="AS2992" s="1078" t="str">
        <f t="shared" si="378"/>
        <v>220/220/OFF</v>
      </c>
      <c r="AT2992" s="1078" t="str">
        <f t="shared" si="379"/>
        <v>1-4-1S83°</v>
      </c>
      <c r="AV2992" s="1078" t="str">
        <f t="shared" si="372"/>
        <v>112.4.20</v>
      </c>
      <c r="AW2992" s="1344">
        <f t="shared" si="373"/>
        <v>45036</v>
      </c>
    </row>
    <row r="2993" spans="1:49">
      <c r="A2993" s="1077" t="s">
        <v>8917</v>
      </c>
      <c r="B2993" s="1077" t="s">
        <v>8513</v>
      </c>
      <c r="C2993" s="1077">
        <v>600</v>
      </c>
      <c r="D2993" s="1077">
        <v>1.75</v>
      </c>
      <c r="E2993" s="1077" t="s">
        <v>15122</v>
      </c>
      <c r="F2993" s="1077" t="s">
        <v>975</v>
      </c>
      <c r="G2993" s="1077">
        <v>5</v>
      </c>
      <c r="H2993" s="1077" t="s">
        <v>8650</v>
      </c>
      <c r="I2993" s="1077" t="s">
        <v>126</v>
      </c>
      <c r="J2993" s="1077">
        <v>1.9</v>
      </c>
      <c r="K2993" s="1077" t="s">
        <v>8918</v>
      </c>
      <c r="L2993" s="1077" t="s">
        <v>8571</v>
      </c>
      <c r="M2993" s="1077">
        <v>326.39999999999998</v>
      </c>
      <c r="N2993" s="1077" t="s">
        <v>945</v>
      </c>
      <c r="O2993" s="1077">
        <v>8.16</v>
      </c>
      <c r="P2993" s="1077">
        <v>6.5279999999999996</v>
      </c>
      <c r="Q2993" s="1077">
        <v>3</v>
      </c>
      <c r="R2993" s="1077">
        <v>21</v>
      </c>
      <c r="T2993" s="1077">
        <v>14.4</v>
      </c>
      <c r="U2993" s="1077">
        <v>3.6</v>
      </c>
      <c r="V2993" s="1077" t="s">
        <v>648</v>
      </c>
      <c r="W2993" s="1077">
        <v>50</v>
      </c>
      <c r="X2993" s="1077">
        <v>10</v>
      </c>
      <c r="Y2993" s="1077">
        <v>1</v>
      </c>
      <c r="Z2993" s="1077" t="s">
        <v>648</v>
      </c>
      <c r="AA2993" s="1077" t="s">
        <v>1570</v>
      </c>
      <c r="AH2993" s="1077" t="s">
        <v>466</v>
      </c>
      <c r="AM2993" s="1078" t="s">
        <v>14892</v>
      </c>
      <c r="AN2993" s="1078" t="s">
        <v>14893</v>
      </c>
      <c r="AO2993" s="1078">
        <f t="shared" si="374"/>
        <v>600</v>
      </c>
      <c r="AP2993" s="1078">
        <f t="shared" si="375"/>
        <v>1.75</v>
      </c>
      <c r="AQ2993" s="1078" t="str">
        <f t="shared" si="376"/>
        <v>1-5-1S91°Z+S</v>
      </c>
      <c r="AR2993" s="1078" t="str">
        <f t="shared" si="377"/>
        <v>31.5</v>
      </c>
      <c r="AS2993" s="1078" t="str">
        <f t="shared" si="378"/>
        <v>325/325/160</v>
      </c>
      <c r="AT2993" s="1078" t="str">
        <f t="shared" si="379"/>
        <v>1-5-1S91°Z+S</v>
      </c>
      <c r="AU2993" s="1078" t="s">
        <v>15547</v>
      </c>
      <c r="AV2993" s="1078" t="str">
        <f t="shared" si="372"/>
        <v>112.4.24</v>
      </c>
      <c r="AW2993" s="1344">
        <f t="shared" si="373"/>
        <v>45040</v>
      </c>
    </row>
    <row r="2994" spans="1:49">
      <c r="A2994" s="1077" t="s">
        <v>8919</v>
      </c>
      <c r="B2994" s="1077" t="s">
        <v>8513</v>
      </c>
      <c r="C2994" s="1077">
        <v>600</v>
      </c>
      <c r="D2994" s="1077">
        <v>1.75</v>
      </c>
      <c r="E2994" s="1077" t="s">
        <v>15122</v>
      </c>
      <c r="F2994" s="1077" t="s">
        <v>975</v>
      </c>
      <c r="G2994" s="1077">
        <v>5</v>
      </c>
      <c r="H2994" s="1077" t="s">
        <v>8650</v>
      </c>
      <c r="I2994" s="1077" t="s">
        <v>126</v>
      </c>
      <c r="J2994" s="1077">
        <v>1.9</v>
      </c>
      <c r="K2994" s="1077" t="s">
        <v>8920</v>
      </c>
      <c r="L2994" s="1077" t="s">
        <v>8571</v>
      </c>
      <c r="M2994" s="1077">
        <v>326.39999999999998</v>
      </c>
      <c r="N2994" s="1077" t="s">
        <v>945</v>
      </c>
      <c r="O2994" s="1077">
        <v>8.16</v>
      </c>
      <c r="P2994" s="1077">
        <v>6.5279999999999996</v>
      </c>
      <c r="Q2994" s="1077">
        <v>3</v>
      </c>
      <c r="R2994" s="1077">
        <v>21</v>
      </c>
      <c r="T2994" s="1077">
        <v>14.4</v>
      </c>
      <c r="U2994" s="1077">
        <v>3.6</v>
      </c>
      <c r="V2994" s="1077" t="s">
        <v>648</v>
      </c>
      <c r="W2994" s="1077">
        <v>50</v>
      </c>
      <c r="X2994" s="1077">
        <v>10</v>
      </c>
      <c r="Y2994" s="1077">
        <v>1</v>
      </c>
      <c r="Z2994" s="1077" t="s">
        <v>648</v>
      </c>
      <c r="AA2994" s="1077" t="s">
        <v>3527</v>
      </c>
      <c r="AH2994" s="1077" t="s">
        <v>680</v>
      </c>
      <c r="AI2994" s="1077">
        <v>91.72</v>
      </c>
      <c r="AJ2994" s="1077">
        <v>-1.71</v>
      </c>
      <c r="AK2994" s="1077">
        <v>7.99</v>
      </c>
      <c r="AM2994" s="1078" t="s">
        <v>14894</v>
      </c>
      <c r="AN2994" s="1078" t="s">
        <v>14895</v>
      </c>
      <c r="AO2994" s="1078">
        <f t="shared" si="374"/>
        <v>600</v>
      </c>
      <c r="AP2994" s="1078">
        <f t="shared" si="375"/>
        <v>1.75</v>
      </c>
      <c r="AQ2994" s="1078" t="str">
        <f t="shared" si="376"/>
        <v>1-5-1S91°Z+S</v>
      </c>
      <c r="AR2994" s="1078" t="str">
        <f t="shared" si="377"/>
        <v>31.5</v>
      </c>
      <c r="AS2994" s="1078" t="str">
        <f t="shared" si="378"/>
        <v>325/325/160</v>
      </c>
      <c r="AT2994" s="1078" t="str">
        <f t="shared" si="379"/>
        <v>1-5-1S91°Z+S</v>
      </c>
      <c r="AU2994" s="1078" t="s">
        <v>15547</v>
      </c>
      <c r="AV2994" s="1078" t="str">
        <f t="shared" si="372"/>
        <v>112.5.3</v>
      </c>
      <c r="AW2994" s="1344">
        <f t="shared" si="373"/>
        <v>45049</v>
      </c>
    </row>
    <row r="2995" spans="1:49">
      <c r="A2995" s="1077" t="s">
        <v>8921</v>
      </c>
      <c r="B2995" s="1077" t="s">
        <v>8438</v>
      </c>
      <c r="C2995" s="1077">
        <v>600</v>
      </c>
      <c r="D2995" s="1077">
        <v>1.7350000000000001</v>
      </c>
      <c r="E2995" s="1077" t="s">
        <v>15094</v>
      </c>
      <c r="F2995" s="1077" t="s">
        <v>954</v>
      </c>
      <c r="G2995" s="1077">
        <v>5</v>
      </c>
      <c r="H2995" s="1077" t="s">
        <v>8642</v>
      </c>
      <c r="I2995" s="1077" t="s">
        <v>460</v>
      </c>
      <c r="J2995" s="1077">
        <v>1.9</v>
      </c>
      <c r="K2995" s="1077" t="s">
        <v>8922</v>
      </c>
      <c r="L2995" s="1077" t="s">
        <v>8571</v>
      </c>
      <c r="M2995" s="1077">
        <v>166.5</v>
      </c>
      <c r="N2995" s="1077" t="s">
        <v>945</v>
      </c>
      <c r="O2995" s="1077">
        <v>4.1625000000000005</v>
      </c>
      <c r="P2995" s="1077">
        <v>3.33</v>
      </c>
      <c r="Q2995" s="1077">
        <v>3</v>
      </c>
      <c r="R2995" s="1077">
        <v>23.8</v>
      </c>
      <c r="T2995" s="1077">
        <v>11.2</v>
      </c>
      <c r="U2995" s="1077">
        <v>3.5</v>
      </c>
      <c r="V2995" s="1077" t="s">
        <v>648</v>
      </c>
      <c r="W2995" s="1077">
        <v>105</v>
      </c>
      <c r="X2995" s="1077">
        <v>50</v>
      </c>
      <c r="Y2995" s="1077">
        <v>1.4</v>
      </c>
      <c r="Z2995" s="1077">
        <v>5</v>
      </c>
      <c r="AA2995" s="1077" t="s">
        <v>6130</v>
      </c>
      <c r="AH2995" s="1077" t="s">
        <v>877</v>
      </c>
      <c r="AI2995" s="1077">
        <v>91.57</v>
      </c>
      <c r="AJ2995" s="1077">
        <v>-1.21</v>
      </c>
      <c r="AK2995" s="1077">
        <v>7.15</v>
      </c>
      <c r="AM2995" s="1078" t="s">
        <v>14896</v>
      </c>
      <c r="AN2995" s="1078" t="s">
        <v>14897</v>
      </c>
      <c r="AO2995" s="1078">
        <f t="shared" si="374"/>
        <v>600</v>
      </c>
      <c r="AP2995" s="1078">
        <f t="shared" si="375"/>
        <v>1.7350000000000001</v>
      </c>
      <c r="AQ2995" s="1078" t="str">
        <f t="shared" si="376"/>
        <v>1-5-1S91°</v>
      </c>
      <c r="AR2995" s="1078" t="str">
        <f t="shared" si="377"/>
        <v>31</v>
      </c>
      <c r="AS2995" s="1078" t="str">
        <f t="shared" si="378"/>
        <v>315/315/160</v>
      </c>
      <c r="AT2995" s="1078" t="str">
        <f t="shared" si="379"/>
        <v>1-5-1S91°</v>
      </c>
      <c r="AV2995" s="1078" t="str">
        <f t="shared" si="372"/>
        <v>112.5.15</v>
      </c>
      <c r="AW2995" s="1344">
        <f t="shared" si="373"/>
        <v>45061</v>
      </c>
    </row>
    <row r="2996" spans="1:49">
      <c r="A2996" s="1077" t="s">
        <v>8923</v>
      </c>
      <c r="B2996" s="1077" t="s">
        <v>8907</v>
      </c>
      <c r="C2996" s="1077">
        <v>500</v>
      </c>
      <c r="D2996" s="1077">
        <v>1.67</v>
      </c>
      <c r="E2996" s="1077" t="s">
        <v>15089</v>
      </c>
      <c r="F2996" s="1077" t="s">
        <v>1501</v>
      </c>
      <c r="G2996" s="1077">
        <v>2</v>
      </c>
      <c r="H2996" s="1077" t="s">
        <v>1290</v>
      </c>
      <c r="I2996" s="1077" t="s">
        <v>460</v>
      </c>
      <c r="J2996" s="1077">
        <v>2.8</v>
      </c>
      <c r="K2996" s="1077" t="s">
        <v>8908</v>
      </c>
      <c r="L2996" s="1077" t="s">
        <v>8909</v>
      </c>
      <c r="M2996" s="1077">
        <v>91</v>
      </c>
      <c r="N2996" s="1077" t="s">
        <v>945</v>
      </c>
      <c r="O2996" s="1077">
        <v>2.2749999999999999</v>
      </c>
      <c r="P2996" s="1077">
        <v>1.82</v>
      </c>
      <c r="Q2996" s="1077">
        <v>3</v>
      </c>
      <c r="R2996" s="1077">
        <v>25</v>
      </c>
      <c r="T2996" s="1077">
        <v>64</v>
      </c>
      <c r="U2996" s="1077">
        <v>4.5</v>
      </c>
      <c r="V2996" s="1077" t="s">
        <v>648</v>
      </c>
      <c r="W2996" s="1077">
        <v>115</v>
      </c>
      <c r="X2996" s="1077" t="s">
        <v>8819</v>
      </c>
      <c r="Y2996" s="1077">
        <v>1</v>
      </c>
      <c r="Z2996" s="1077" t="s">
        <v>648</v>
      </c>
      <c r="AA2996" s="1077" t="s">
        <v>6132</v>
      </c>
      <c r="AH2996" s="1077" t="s">
        <v>758</v>
      </c>
      <c r="AI2996" s="1077">
        <v>21.36</v>
      </c>
      <c r="AJ2996" s="1077">
        <v>-1.58</v>
      </c>
      <c r="AK2996" s="1077">
        <v>-2.37</v>
      </c>
      <c r="AM2996" s="1078" t="s">
        <v>14898</v>
      </c>
      <c r="AN2996" s="1078" t="s">
        <v>14899</v>
      </c>
      <c r="AO2996" s="1078">
        <f t="shared" si="374"/>
        <v>500</v>
      </c>
      <c r="AP2996" s="1078">
        <f t="shared" si="375"/>
        <v>1.67</v>
      </c>
      <c r="AQ2996" s="1078" t="str">
        <f t="shared" si="376"/>
        <v>1-4-1S83°</v>
      </c>
      <c r="AR2996" s="1078" t="str">
        <f t="shared" si="377"/>
        <v>28</v>
      </c>
      <c r="AS2996" s="1078" t="str">
        <f t="shared" si="378"/>
        <v>220/220/OFF</v>
      </c>
      <c r="AT2996" s="1078" t="str">
        <f t="shared" si="379"/>
        <v>1-4-1S83°</v>
      </c>
      <c r="AV2996" s="1078" t="str">
        <f t="shared" si="372"/>
        <v>112.5.17</v>
      </c>
      <c r="AW2996" s="1344">
        <f t="shared" si="373"/>
        <v>45063</v>
      </c>
    </row>
    <row r="2997" spans="1:49">
      <c r="A2997" s="1077" t="s">
        <v>8924</v>
      </c>
      <c r="B2997" s="1077" t="s">
        <v>654</v>
      </c>
      <c r="C2997" s="1077">
        <v>500</v>
      </c>
      <c r="D2997" s="1077">
        <v>1.67</v>
      </c>
      <c r="E2997" s="1077">
        <v>102.5</v>
      </c>
      <c r="F2997" s="1077" t="s">
        <v>4070</v>
      </c>
      <c r="G2997" s="1077">
        <v>5.5</v>
      </c>
      <c r="H2997" s="1077" t="s">
        <v>8679</v>
      </c>
      <c r="I2997" s="1077" t="s">
        <v>643</v>
      </c>
      <c r="J2997" s="1077">
        <v>3.4</v>
      </c>
      <c r="K2997" s="1077" t="s">
        <v>8839</v>
      </c>
      <c r="L2997" s="1077" t="s">
        <v>8560</v>
      </c>
      <c r="M2997" s="1077">
        <v>427.4</v>
      </c>
      <c r="N2997" s="1077" t="s">
        <v>945</v>
      </c>
      <c r="O2997" s="1077">
        <v>10.685</v>
      </c>
      <c r="P2997" s="1077">
        <v>8.548</v>
      </c>
      <c r="Q2997" s="1077">
        <v>3.5</v>
      </c>
      <c r="R2997" s="1077">
        <v>19.600000000000001</v>
      </c>
      <c r="T2997" s="1077">
        <v>14.9</v>
      </c>
      <c r="U2997" s="1077">
        <v>4.2</v>
      </c>
      <c r="V2997" s="1077" t="s">
        <v>648</v>
      </c>
      <c r="W2997" s="1077">
        <v>120</v>
      </c>
      <c r="X2997" s="1077">
        <v>90</v>
      </c>
      <c r="Y2997" s="1077">
        <v>1</v>
      </c>
      <c r="Z2997" s="1077" t="s">
        <v>648</v>
      </c>
      <c r="AA2997" s="1077" t="s">
        <v>1580</v>
      </c>
      <c r="AH2997" s="1077" t="s">
        <v>767</v>
      </c>
      <c r="AI2997" s="1077">
        <v>87.38</v>
      </c>
      <c r="AJ2997" s="1077">
        <v>-0.51</v>
      </c>
      <c r="AK2997" s="1077">
        <v>1.67</v>
      </c>
      <c r="AM2997" s="1078" t="s">
        <v>14900</v>
      </c>
      <c r="AN2997" s="1078" t="s">
        <v>14901</v>
      </c>
      <c r="AO2997" s="1078">
        <f t="shared" si="374"/>
        <v>500</v>
      </c>
      <c r="AP2997" s="1078">
        <f t="shared" si="375"/>
        <v>1.67</v>
      </c>
      <c r="AQ2997" s="1078">
        <f t="shared" si="376"/>
        <v>102.5</v>
      </c>
      <c r="AR2997" s="1078" t="str">
        <f t="shared" si="377"/>
        <v>15.5</v>
      </c>
      <c r="AS2997" s="1078" t="str">
        <f t="shared" si="378"/>
        <v>480/420/160</v>
      </c>
      <c r="AT2997" s="1078">
        <f t="shared" si="379"/>
        <v>102.5</v>
      </c>
      <c r="AV2997" s="1078" t="str">
        <f t="shared" si="372"/>
        <v>112.6.1</v>
      </c>
      <c r="AW2997" s="1344">
        <f t="shared" si="373"/>
        <v>45078</v>
      </c>
    </row>
    <row r="2998" spans="1:49">
      <c r="A2998" s="1077" t="s">
        <v>8925</v>
      </c>
      <c r="B2998" s="1077" t="s">
        <v>8866</v>
      </c>
      <c r="C2998" s="1077" t="s">
        <v>8867</v>
      </c>
      <c r="D2998" s="1077" t="s">
        <v>8926</v>
      </c>
      <c r="E2998" s="1077" t="s">
        <v>15089</v>
      </c>
      <c r="F2998" s="1077" t="s">
        <v>1173</v>
      </c>
      <c r="G2998" s="1077">
        <v>2</v>
      </c>
      <c r="H2998" s="1077" t="s">
        <v>1290</v>
      </c>
      <c r="I2998" s="1077" t="s">
        <v>942</v>
      </c>
      <c r="J2998" s="1077">
        <v>3</v>
      </c>
      <c r="K2998" s="1077" t="s">
        <v>8914</v>
      </c>
      <c r="L2998" s="1077" t="s">
        <v>8870</v>
      </c>
      <c r="M2998" s="1077">
        <v>91</v>
      </c>
      <c r="N2998" s="1077" t="s">
        <v>945</v>
      </c>
      <c r="O2998" s="1077">
        <v>2.2749999999999999</v>
      </c>
      <c r="P2998" s="1077">
        <v>1.82</v>
      </c>
      <c r="Q2998" s="1077">
        <v>3.5</v>
      </c>
      <c r="R2998" s="1077">
        <v>26.5</v>
      </c>
      <c r="T2998" s="1077">
        <v>65</v>
      </c>
      <c r="U2998" s="1077">
        <v>4.4000000000000004</v>
      </c>
      <c r="V2998" s="1077" t="s">
        <v>648</v>
      </c>
      <c r="W2998" s="1077">
        <v>170</v>
      </c>
      <c r="X2998" s="1077" t="s">
        <v>8819</v>
      </c>
      <c r="Y2998" s="1077">
        <v>1</v>
      </c>
      <c r="Z2998" s="1077" t="s">
        <v>648</v>
      </c>
      <c r="AA2998" s="1077" t="s">
        <v>1580</v>
      </c>
      <c r="AH2998" s="1077" t="s">
        <v>762</v>
      </c>
      <c r="AI2998" s="1077">
        <v>95.22</v>
      </c>
      <c r="AJ2998" s="1077">
        <v>-1.1299999999999999</v>
      </c>
      <c r="AK2998" s="1077">
        <v>2.34</v>
      </c>
      <c r="AM2998" s="1078" t="s">
        <v>14902</v>
      </c>
      <c r="AN2998" s="1078" t="s">
        <v>14903</v>
      </c>
      <c r="AO2998" s="1078" t="str">
        <f t="shared" si="374"/>
        <v>500/500(OP紗)</v>
      </c>
      <c r="AP2998" s="1078" t="str">
        <f t="shared" si="375"/>
        <v>1.66/3.35(OP)</v>
      </c>
      <c r="AQ2998" s="1078" t="str">
        <f t="shared" si="376"/>
        <v>1-4-1S83°</v>
      </c>
      <c r="AR2998" s="1078" t="str">
        <f t="shared" si="377"/>
        <v>28.5</v>
      </c>
      <c r="AS2998" s="1078" t="str">
        <f t="shared" si="378"/>
        <v>220/220/OFF</v>
      </c>
      <c r="AT2998" s="1078" t="str">
        <f t="shared" si="379"/>
        <v>1-4-1S83°</v>
      </c>
      <c r="AV2998" s="1078" t="str">
        <f t="shared" si="372"/>
        <v>112.6.1</v>
      </c>
      <c r="AW2998" s="1344">
        <f t="shared" si="373"/>
        <v>45078</v>
      </c>
    </row>
    <row r="2999" spans="1:49">
      <c r="A2999" s="1077" t="s">
        <v>8927</v>
      </c>
      <c r="B2999" s="1077" t="s">
        <v>8594</v>
      </c>
      <c r="C2999" s="1077">
        <v>550</v>
      </c>
      <c r="D2999" s="1077">
        <v>1.7090000000000001</v>
      </c>
      <c r="E2999" s="1077" t="s">
        <v>15123</v>
      </c>
      <c r="F2999" s="1077" t="s">
        <v>984</v>
      </c>
      <c r="G2999" s="1077">
        <v>5</v>
      </c>
      <c r="H2999" s="1077" t="s">
        <v>1470</v>
      </c>
      <c r="I2999" s="1077" t="s">
        <v>460</v>
      </c>
      <c r="J2999" s="1077">
        <v>2.7</v>
      </c>
      <c r="K2999" s="1077" t="s">
        <v>8893</v>
      </c>
      <c r="L2999" s="1077" t="s">
        <v>8596</v>
      </c>
      <c r="M2999" s="1077">
        <v>228.6</v>
      </c>
      <c r="N2999" s="1077" t="s">
        <v>945</v>
      </c>
      <c r="O2999" s="1077">
        <v>5.7149999999999999</v>
      </c>
      <c r="P2999" s="1077">
        <v>4.5720000000000001</v>
      </c>
      <c r="Q2999" s="1077">
        <v>3</v>
      </c>
      <c r="R2999" s="1077">
        <v>32.5</v>
      </c>
      <c r="T2999" s="1077">
        <v>13.1</v>
      </c>
      <c r="U2999" s="1077">
        <v>6.1</v>
      </c>
      <c r="V2999" s="1077" t="s">
        <v>648</v>
      </c>
      <c r="W2999" s="1077">
        <v>110</v>
      </c>
      <c r="X2999" s="1077">
        <v>80</v>
      </c>
      <c r="Y2999" s="1077">
        <v>1.8</v>
      </c>
      <c r="Z2999" s="1077">
        <v>7.5</v>
      </c>
      <c r="AA2999" s="1077" t="s">
        <v>1580</v>
      </c>
      <c r="AH2999" s="1077" t="s">
        <v>831</v>
      </c>
      <c r="AI2999" s="1077">
        <v>90.06</v>
      </c>
      <c r="AJ2999" s="1077">
        <v>-1.76</v>
      </c>
      <c r="AK2999" s="1077">
        <v>6.75</v>
      </c>
      <c r="AM2999" s="1078" t="s">
        <v>14904</v>
      </c>
      <c r="AN2999" s="1078" t="s">
        <v>14905</v>
      </c>
      <c r="AO2999" s="1078">
        <f t="shared" si="374"/>
        <v>550</v>
      </c>
      <c r="AP2999" s="1078">
        <f t="shared" si="375"/>
        <v>1.7090000000000001</v>
      </c>
      <c r="AQ2999" s="1078" t="str">
        <f t="shared" si="376"/>
        <v>1-7-1S83°</v>
      </c>
      <c r="AR2999" s="1078" t="str">
        <f t="shared" si="377"/>
        <v>30</v>
      </c>
      <c r="AS2999" s="1078" t="str">
        <f t="shared" si="378"/>
        <v>160/OFF</v>
      </c>
      <c r="AT2999" s="1078" t="str">
        <f t="shared" si="379"/>
        <v>1-7-1S83°</v>
      </c>
      <c r="AV2999" s="1078" t="str">
        <f t="shared" si="372"/>
        <v>112.6.1</v>
      </c>
      <c r="AW2999" s="1344">
        <f t="shared" si="373"/>
        <v>45078</v>
      </c>
    </row>
    <row r="3000" spans="1:49">
      <c r="A3000" s="1077" t="s">
        <v>8928</v>
      </c>
      <c r="B3000" s="1077" t="s">
        <v>8466</v>
      </c>
      <c r="C3000" s="1077">
        <v>550</v>
      </c>
      <c r="D3000" s="1077">
        <v>1.76</v>
      </c>
      <c r="E3000" s="1077" t="s">
        <v>15116</v>
      </c>
      <c r="F3000" s="1077" t="s">
        <v>1897</v>
      </c>
      <c r="G3000" s="1077">
        <v>4</v>
      </c>
      <c r="H3000" s="1077" t="s">
        <v>8562</v>
      </c>
      <c r="I3000" s="1077" t="s">
        <v>126</v>
      </c>
      <c r="J3000" s="1077">
        <v>1.7</v>
      </c>
      <c r="K3000" s="1077" t="s">
        <v>8841</v>
      </c>
      <c r="L3000" s="1077" t="s">
        <v>4080</v>
      </c>
      <c r="M3000" s="1077">
        <v>202</v>
      </c>
      <c r="N3000" s="1077" t="s">
        <v>945</v>
      </c>
      <c r="O3000" s="1077">
        <v>5.0500000000000007</v>
      </c>
      <c r="P3000" s="1077">
        <v>4.04</v>
      </c>
      <c r="Q3000" s="1077">
        <v>4</v>
      </c>
      <c r="R3000" s="1077">
        <v>20</v>
      </c>
      <c r="T3000" s="1077">
        <v>11</v>
      </c>
      <c r="U3000" s="1077">
        <v>3.7</v>
      </c>
      <c r="V3000" s="1077" t="s">
        <v>648</v>
      </c>
      <c r="W3000" s="1077">
        <v>115</v>
      </c>
      <c r="X3000" s="1077">
        <v>70</v>
      </c>
      <c r="Y3000" s="1077">
        <v>1.6</v>
      </c>
      <c r="Z3000" s="1077" t="s">
        <v>648</v>
      </c>
      <c r="AA3000" s="1077" t="s">
        <v>3611</v>
      </c>
      <c r="AH3000" s="1077" t="s">
        <v>466</v>
      </c>
      <c r="AI3000" s="1077">
        <v>95.86</v>
      </c>
      <c r="AJ3000" s="1077">
        <v>-0.48</v>
      </c>
      <c r="AK3000" s="1077">
        <v>1.2</v>
      </c>
      <c r="AM3000" s="1078" t="s">
        <v>14906</v>
      </c>
      <c r="AN3000" s="1078" t="s">
        <v>14907</v>
      </c>
      <c r="AO3000" s="1078">
        <f t="shared" si="374"/>
        <v>550</v>
      </c>
      <c r="AP3000" s="1078">
        <f t="shared" si="375"/>
        <v>1.76</v>
      </c>
      <c r="AQ3000" s="1078" t="str">
        <f t="shared" si="376"/>
        <v>1-5-1S83°Z+S</v>
      </c>
      <c r="AR3000" s="1078" t="str">
        <f t="shared" si="377"/>
        <v>30.8</v>
      </c>
      <c r="AS3000" s="1078" t="str">
        <f t="shared" si="378"/>
        <v>245/245/145</v>
      </c>
      <c r="AT3000" s="1078" t="str">
        <f t="shared" si="379"/>
        <v>1-5-1S83°Z+S</v>
      </c>
      <c r="AU3000" s="1078" t="s">
        <v>15547</v>
      </c>
      <c r="AV3000" s="1078" t="str">
        <f t="shared" si="372"/>
        <v>112.6.30</v>
      </c>
      <c r="AW3000" s="1344">
        <f t="shared" si="373"/>
        <v>45107</v>
      </c>
    </row>
    <row r="3001" spans="1:49">
      <c r="A3001" s="1077" t="s">
        <v>8929</v>
      </c>
      <c r="B3001" s="1077" t="s">
        <v>8866</v>
      </c>
      <c r="C3001" s="1077" t="s">
        <v>8867</v>
      </c>
      <c r="D3001" s="1077" t="s">
        <v>8926</v>
      </c>
      <c r="E3001" s="1077" t="s">
        <v>15089</v>
      </c>
      <c r="F3001" s="1077" t="s">
        <v>1173</v>
      </c>
      <c r="G3001" s="1077">
        <v>2</v>
      </c>
      <c r="H3001" s="1077" t="s">
        <v>1290</v>
      </c>
      <c r="I3001" s="1077" t="s">
        <v>942</v>
      </c>
      <c r="J3001" s="1077">
        <v>3</v>
      </c>
      <c r="K3001" s="1077" t="s">
        <v>8930</v>
      </c>
      <c r="L3001" s="1077" t="s">
        <v>8931</v>
      </c>
      <c r="M3001" s="1077">
        <v>91</v>
      </c>
      <c r="N3001" s="1077" t="s">
        <v>945</v>
      </c>
      <c r="O3001" s="1077">
        <v>2.2749999999999999</v>
      </c>
      <c r="P3001" s="1077">
        <v>1.82</v>
      </c>
      <c r="Q3001" s="1077">
        <v>3.5</v>
      </c>
      <c r="R3001" s="1077">
        <v>26.5</v>
      </c>
      <c r="T3001" s="1077">
        <v>65</v>
      </c>
      <c r="U3001" s="1077">
        <v>4.4000000000000004</v>
      </c>
      <c r="V3001" s="1077" t="s">
        <v>648</v>
      </c>
      <c r="W3001" s="1077">
        <v>170</v>
      </c>
      <c r="X3001" s="1077" t="s">
        <v>8819</v>
      </c>
      <c r="Y3001" s="1077">
        <v>1</v>
      </c>
      <c r="Z3001" s="1077" t="s">
        <v>648</v>
      </c>
      <c r="AA3001" s="1077" t="s">
        <v>6166</v>
      </c>
      <c r="AH3001" s="1077" t="s">
        <v>1421</v>
      </c>
      <c r="AI3001" s="1077">
        <v>96.45</v>
      </c>
      <c r="AJ3001" s="1077">
        <v>-0.1</v>
      </c>
      <c r="AK3001" s="1077">
        <v>1.06</v>
      </c>
      <c r="AM3001" s="1078" t="s">
        <v>14908</v>
      </c>
      <c r="AN3001" s="1078" t="s">
        <v>14909</v>
      </c>
      <c r="AO3001" s="1078" t="str">
        <f t="shared" si="374"/>
        <v>500/500(OP紗)</v>
      </c>
      <c r="AP3001" s="1078" t="str">
        <f t="shared" si="375"/>
        <v>1.66/3.35(OP)</v>
      </c>
      <c r="AQ3001" s="1078" t="str">
        <f t="shared" si="376"/>
        <v>1-4-1S83°</v>
      </c>
      <c r="AR3001" s="1078" t="str">
        <f t="shared" si="377"/>
        <v>28.5</v>
      </c>
      <c r="AS3001" s="1078" t="str">
        <f t="shared" si="378"/>
        <v>220/220/OFF</v>
      </c>
      <c r="AT3001" s="1078" t="str">
        <f t="shared" si="379"/>
        <v>1-4-1S83°</v>
      </c>
      <c r="AV3001" s="1078" t="str">
        <f t="shared" si="372"/>
        <v>112.7.3</v>
      </c>
      <c r="AW3001" s="1344">
        <f t="shared" si="373"/>
        <v>45110</v>
      </c>
    </row>
    <row r="3002" spans="1:49">
      <c r="A3002" s="1077" t="s">
        <v>8932</v>
      </c>
      <c r="B3002" s="1077" t="s">
        <v>8424</v>
      </c>
      <c r="C3002" s="1077">
        <v>620</v>
      </c>
      <c r="D3002" s="1077">
        <v>1.7</v>
      </c>
      <c r="E3002" s="1077" t="s">
        <v>15089</v>
      </c>
      <c r="F3002" s="1077" t="s">
        <v>2167</v>
      </c>
      <c r="G3002" s="1077">
        <v>2</v>
      </c>
      <c r="H3002" s="1077" t="s">
        <v>1918</v>
      </c>
      <c r="I3002" s="1077" t="s">
        <v>1073</v>
      </c>
      <c r="J3002" s="1077">
        <v>1.7</v>
      </c>
      <c r="K3002" s="1077" t="s">
        <v>8933</v>
      </c>
      <c r="L3002" s="1077" t="s">
        <v>8426</v>
      </c>
      <c r="M3002" s="1077">
        <v>31.5</v>
      </c>
      <c r="N3002" s="1077" t="s">
        <v>945</v>
      </c>
      <c r="O3002" s="1077">
        <v>0.78750000000000009</v>
      </c>
      <c r="P3002" s="1077">
        <v>0.63</v>
      </c>
      <c r="Q3002" s="1077">
        <v>4</v>
      </c>
      <c r="R3002" s="1077">
        <v>20</v>
      </c>
      <c r="T3002" s="1077">
        <v>39</v>
      </c>
      <c r="U3002" s="1077">
        <v>3.5</v>
      </c>
      <c r="V3002" s="1077" t="s">
        <v>648</v>
      </c>
      <c r="W3002" s="1077">
        <v>150</v>
      </c>
      <c r="X3002" s="1077">
        <v>85</v>
      </c>
      <c r="Y3002" s="1077">
        <v>3</v>
      </c>
      <c r="Z3002" s="1077">
        <v>3.5</v>
      </c>
      <c r="AA3002" s="1077" t="s">
        <v>1206</v>
      </c>
      <c r="AH3002" s="1077" t="s">
        <v>1178</v>
      </c>
      <c r="AM3002" s="1078" t="s">
        <v>14910</v>
      </c>
      <c r="AN3002" s="1078" t="s">
        <v>14911</v>
      </c>
      <c r="AO3002" s="1078">
        <f t="shared" si="374"/>
        <v>620</v>
      </c>
      <c r="AP3002" s="1078">
        <f t="shared" si="375"/>
        <v>1.7</v>
      </c>
      <c r="AQ3002" s="1078" t="str">
        <f t="shared" si="376"/>
        <v>1-4-1S83°</v>
      </c>
      <c r="AR3002" s="1078" t="str">
        <f t="shared" si="377"/>
        <v>33</v>
      </c>
      <c r="AS3002" s="1078" t="str">
        <f t="shared" si="378"/>
        <v>233/233/OFF</v>
      </c>
      <c r="AT3002" s="1078" t="str">
        <f t="shared" si="379"/>
        <v>1-4-1S83°</v>
      </c>
      <c r="AV3002" s="1078" t="str">
        <f t="shared" si="372"/>
        <v>109.12.22</v>
      </c>
      <c r="AW3002" s="1344">
        <f t="shared" si="373"/>
        <v>44187</v>
      </c>
    </row>
    <row r="3003" spans="1:49">
      <c r="A3003" s="1077" t="s">
        <v>8934</v>
      </c>
      <c r="B3003" s="1077" t="s">
        <v>8424</v>
      </c>
      <c r="C3003" s="1077">
        <v>620</v>
      </c>
      <c r="D3003" s="1077">
        <v>1.7</v>
      </c>
      <c r="E3003" s="1077" t="s">
        <v>15089</v>
      </c>
      <c r="F3003" s="1077" t="s">
        <v>2167</v>
      </c>
      <c r="G3003" s="1077">
        <v>2</v>
      </c>
      <c r="H3003" s="1077" t="s">
        <v>1327</v>
      </c>
      <c r="I3003" s="1077" t="s">
        <v>1073</v>
      </c>
      <c r="J3003" s="1077">
        <v>1.7</v>
      </c>
      <c r="K3003" s="1077" t="s">
        <v>8699</v>
      </c>
      <c r="L3003" s="1077" t="s">
        <v>8426</v>
      </c>
      <c r="M3003" s="1077">
        <v>31.5</v>
      </c>
      <c r="N3003" s="1077" t="s">
        <v>945</v>
      </c>
      <c r="O3003" s="1077">
        <v>0.78750000000000009</v>
      </c>
      <c r="P3003" s="1077">
        <v>0.63</v>
      </c>
      <c r="Q3003" s="1077">
        <v>4</v>
      </c>
      <c r="R3003" s="1077">
        <v>20</v>
      </c>
      <c r="T3003" s="1077">
        <v>39</v>
      </c>
      <c r="U3003" s="1077">
        <v>3.5</v>
      </c>
      <c r="V3003" s="1077" t="s">
        <v>648</v>
      </c>
      <c r="W3003" s="1077">
        <v>150</v>
      </c>
      <c r="X3003" s="1077">
        <v>85</v>
      </c>
      <c r="Y3003" s="1077">
        <v>3</v>
      </c>
      <c r="Z3003" s="1077">
        <v>3.5</v>
      </c>
      <c r="AA3003" s="1077" t="s">
        <v>7465</v>
      </c>
      <c r="AH3003" s="1077" t="s">
        <v>614</v>
      </c>
      <c r="AM3003" s="1078" t="s">
        <v>14912</v>
      </c>
      <c r="AN3003" s="1078" t="s">
        <v>14913</v>
      </c>
      <c r="AO3003" s="1078">
        <f t="shared" si="374"/>
        <v>620</v>
      </c>
      <c r="AP3003" s="1078">
        <f t="shared" si="375"/>
        <v>1.7</v>
      </c>
      <c r="AQ3003" s="1078" t="str">
        <f t="shared" si="376"/>
        <v>1-4-1S83°</v>
      </c>
      <c r="AR3003" s="1078" t="str">
        <f t="shared" si="377"/>
        <v>33</v>
      </c>
      <c r="AS3003" s="1078" t="str">
        <f t="shared" si="378"/>
        <v>232/232/OFF</v>
      </c>
      <c r="AT3003" s="1078" t="str">
        <f t="shared" si="379"/>
        <v>1-4-1S83°</v>
      </c>
      <c r="AV3003" s="1078" t="str">
        <f t="shared" si="372"/>
        <v>110.3.22</v>
      </c>
      <c r="AW3003" s="1344">
        <f t="shared" si="373"/>
        <v>44277</v>
      </c>
    </row>
    <row r="3004" spans="1:49">
      <c r="A3004" s="1077" t="s">
        <v>8935</v>
      </c>
      <c r="B3004" s="1077" t="s">
        <v>8594</v>
      </c>
      <c r="C3004" s="1077">
        <v>550</v>
      </c>
      <c r="D3004" s="1077">
        <v>1.72</v>
      </c>
      <c r="E3004" s="1077" t="s">
        <v>15094</v>
      </c>
      <c r="F3004" s="1077" t="s">
        <v>984</v>
      </c>
      <c r="G3004" s="1077">
        <v>5</v>
      </c>
      <c r="H3004" s="1077" t="s">
        <v>5863</v>
      </c>
      <c r="I3004" s="1077" t="s">
        <v>643</v>
      </c>
      <c r="J3004" s="1077">
        <v>2.6</v>
      </c>
      <c r="K3004" s="1077" t="s">
        <v>8936</v>
      </c>
      <c r="L3004" s="1077" t="s">
        <v>8937</v>
      </c>
      <c r="M3004" s="1077">
        <v>225</v>
      </c>
      <c r="N3004" s="1077" t="s">
        <v>945</v>
      </c>
      <c r="O3004" s="1077">
        <v>5.625</v>
      </c>
      <c r="P3004" s="1077">
        <v>4.5</v>
      </c>
      <c r="Q3004" s="1077">
        <v>2.5</v>
      </c>
      <c r="R3004" s="1077">
        <v>28</v>
      </c>
      <c r="T3004" s="1077">
        <v>13.1</v>
      </c>
      <c r="U3004" s="1077">
        <v>6.1</v>
      </c>
      <c r="V3004" s="1077" t="s">
        <v>648</v>
      </c>
      <c r="W3004" s="1077">
        <v>100</v>
      </c>
      <c r="X3004" s="1077">
        <v>80</v>
      </c>
      <c r="Y3004" s="1077">
        <v>1.8</v>
      </c>
      <c r="Z3004" s="1077">
        <v>7.5</v>
      </c>
      <c r="AA3004" s="1077" t="s">
        <v>3656</v>
      </c>
      <c r="AH3004" s="1077" t="s">
        <v>963</v>
      </c>
      <c r="AI3004" s="1077">
        <v>91.77</v>
      </c>
      <c r="AJ3004" s="1077">
        <v>-1.1100000000000001</v>
      </c>
      <c r="AK3004" s="1077">
        <v>6.42</v>
      </c>
      <c r="AM3004" s="1078" t="s">
        <v>14914</v>
      </c>
      <c r="AN3004" s="1078" t="s">
        <v>14915</v>
      </c>
      <c r="AO3004" s="1078">
        <f t="shared" si="374"/>
        <v>550</v>
      </c>
      <c r="AP3004" s="1078">
        <f t="shared" si="375"/>
        <v>1.72</v>
      </c>
      <c r="AQ3004" s="1078" t="str">
        <f t="shared" si="376"/>
        <v>1-5-1S91°</v>
      </c>
      <c r="AR3004" s="1078" t="str">
        <f t="shared" si="377"/>
        <v>30</v>
      </c>
      <c r="AS3004" s="1078" t="str">
        <f t="shared" si="378"/>
        <v>305/305/OFF</v>
      </c>
      <c r="AT3004" s="1078" t="str">
        <f t="shared" si="379"/>
        <v>1-5-1S91°</v>
      </c>
      <c r="AV3004" s="1078" t="str">
        <f t="shared" si="372"/>
        <v>112.7.14</v>
      </c>
      <c r="AW3004" s="1344">
        <f t="shared" si="373"/>
        <v>45121</v>
      </c>
    </row>
    <row r="3005" spans="1:49">
      <c r="A3005" s="1077" t="s">
        <v>8938</v>
      </c>
      <c r="B3005" s="1077" t="s">
        <v>8438</v>
      </c>
      <c r="C3005" s="1077">
        <v>600</v>
      </c>
      <c r="D3005" s="1077">
        <v>1.7350000000000001</v>
      </c>
      <c r="E3005" s="1077" t="s">
        <v>15094</v>
      </c>
      <c r="F3005" s="1077" t="s">
        <v>954</v>
      </c>
      <c r="G3005" s="1077">
        <v>5</v>
      </c>
      <c r="H3005" s="1077" t="s">
        <v>8642</v>
      </c>
      <c r="I3005" s="1077" t="s">
        <v>460</v>
      </c>
      <c r="J3005" s="1077">
        <v>1.9</v>
      </c>
      <c r="K3005" s="1077" t="s">
        <v>8939</v>
      </c>
      <c r="L3005" s="1077" t="s">
        <v>8571</v>
      </c>
      <c r="M3005" s="1077">
        <v>166.5</v>
      </c>
      <c r="N3005" s="1077" t="s">
        <v>945</v>
      </c>
      <c r="O3005" s="1077">
        <v>4.1625000000000005</v>
      </c>
      <c r="P3005" s="1077">
        <v>3.33</v>
      </c>
      <c r="Q3005" s="1077">
        <v>3</v>
      </c>
      <c r="R3005" s="1077">
        <v>23.8</v>
      </c>
      <c r="T3005" s="1077">
        <v>11.2</v>
      </c>
      <c r="U3005" s="1077">
        <v>3.5</v>
      </c>
      <c r="V3005" s="1077" t="s">
        <v>648</v>
      </c>
      <c r="W3005" s="1077">
        <v>105</v>
      </c>
      <c r="X3005" s="1077">
        <v>50</v>
      </c>
      <c r="Y3005" s="1077">
        <v>1.4</v>
      </c>
      <c r="Z3005" s="1077">
        <v>5</v>
      </c>
      <c r="AA3005" s="1077" t="s">
        <v>6221</v>
      </c>
      <c r="AB3005" s="1077" t="s">
        <v>3704</v>
      </c>
      <c r="AH3005" s="1077" t="s">
        <v>966</v>
      </c>
      <c r="AI3005" s="1077">
        <v>91.61</v>
      </c>
      <c r="AJ3005" s="1077">
        <v>-0.91</v>
      </c>
      <c r="AK3005" s="1077">
        <v>4.79</v>
      </c>
      <c r="AM3005" s="1078" t="s">
        <v>14916</v>
      </c>
      <c r="AN3005" s="1078" t="s">
        <v>14917</v>
      </c>
      <c r="AO3005" s="1078">
        <f t="shared" si="374"/>
        <v>600</v>
      </c>
      <c r="AP3005" s="1078">
        <f t="shared" si="375"/>
        <v>1.7350000000000001</v>
      </c>
      <c r="AQ3005" s="1078" t="str">
        <f t="shared" si="376"/>
        <v>1-5-1S91°</v>
      </c>
      <c r="AR3005" s="1078" t="str">
        <f t="shared" si="377"/>
        <v>31</v>
      </c>
      <c r="AS3005" s="1078" t="str">
        <f t="shared" si="378"/>
        <v>315/315/160</v>
      </c>
      <c r="AT3005" s="1078" t="str">
        <f t="shared" si="379"/>
        <v>1-5-1S91°</v>
      </c>
      <c r="AV3005" s="1078" t="str">
        <f t="shared" si="372"/>
        <v>112.7.17</v>
      </c>
      <c r="AW3005" s="1344">
        <f t="shared" si="373"/>
        <v>45124</v>
      </c>
    </row>
    <row r="3006" spans="1:49">
      <c r="A3006" s="1077" t="s">
        <v>8940</v>
      </c>
      <c r="B3006" s="1077" t="s">
        <v>8513</v>
      </c>
      <c r="C3006" s="1077">
        <v>600</v>
      </c>
      <c r="D3006" s="1077">
        <v>1.77</v>
      </c>
      <c r="E3006" s="1077" t="s">
        <v>15122</v>
      </c>
      <c r="F3006" s="1077" t="s">
        <v>975</v>
      </c>
      <c r="G3006" s="1077">
        <v>5</v>
      </c>
      <c r="H3006" s="1077" t="s">
        <v>8650</v>
      </c>
      <c r="I3006" s="1077" t="s">
        <v>126</v>
      </c>
      <c r="J3006" s="1077">
        <v>2.1</v>
      </c>
      <c r="K3006" s="1077" t="s">
        <v>8941</v>
      </c>
      <c r="L3006" s="1077" t="s">
        <v>8571</v>
      </c>
      <c r="M3006" s="1077">
        <v>326.39999999999998</v>
      </c>
      <c r="N3006" s="1077" t="s">
        <v>945</v>
      </c>
      <c r="O3006" s="1077">
        <v>8.16</v>
      </c>
      <c r="P3006" s="1077">
        <v>6.5279999999999996</v>
      </c>
      <c r="Q3006" s="1077">
        <v>3</v>
      </c>
      <c r="R3006" s="1077">
        <v>21</v>
      </c>
      <c r="T3006" s="1077">
        <v>14.4</v>
      </c>
      <c r="U3006" s="1077">
        <v>3.6</v>
      </c>
      <c r="V3006" s="1077" t="s">
        <v>648</v>
      </c>
      <c r="W3006" s="1077">
        <v>50</v>
      </c>
      <c r="X3006" s="1077">
        <v>10</v>
      </c>
      <c r="Y3006" s="1077">
        <v>1</v>
      </c>
      <c r="Z3006" s="1077" t="s">
        <v>648</v>
      </c>
      <c r="AA3006" s="1077" t="s">
        <v>6247</v>
      </c>
      <c r="AB3006" s="1077" t="s">
        <v>8942</v>
      </c>
      <c r="AH3006" s="1077" t="s">
        <v>877</v>
      </c>
      <c r="AI3006" s="1077">
        <v>91.65</v>
      </c>
      <c r="AJ3006" s="1077">
        <v>-1.32</v>
      </c>
      <c r="AK3006" s="1077">
        <v>5.81</v>
      </c>
      <c r="AM3006" s="1078" t="s">
        <v>14918</v>
      </c>
      <c r="AN3006" s="1078" t="s">
        <v>14919</v>
      </c>
      <c r="AO3006" s="1078">
        <f t="shared" si="374"/>
        <v>600</v>
      </c>
      <c r="AP3006" s="1078">
        <f t="shared" si="375"/>
        <v>1.77</v>
      </c>
      <c r="AQ3006" s="1078" t="str">
        <f t="shared" si="376"/>
        <v>1-5-1S91°Z+S</v>
      </c>
      <c r="AR3006" s="1078" t="str">
        <f t="shared" si="377"/>
        <v>31.5</v>
      </c>
      <c r="AS3006" s="1078" t="str">
        <f t="shared" si="378"/>
        <v>325/325/160</v>
      </c>
      <c r="AT3006" s="1078" t="str">
        <f t="shared" si="379"/>
        <v>1-5-1S91°Z+S</v>
      </c>
      <c r="AU3006" s="1078" t="s">
        <v>15547</v>
      </c>
      <c r="AV3006" s="1078" t="str">
        <f t="shared" si="372"/>
        <v>112.8.7</v>
      </c>
      <c r="AW3006" s="1344">
        <f t="shared" si="373"/>
        <v>45145</v>
      </c>
    </row>
    <row r="3007" spans="1:49">
      <c r="A3007" s="1077" t="s">
        <v>8943</v>
      </c>
      <c r="B3007" s="1077" t="s">
        <v>8944</v>
      </c>
      <c r="C3007" s="1077">
        <v>500</v>
      </c>
      <c r="D3007" s="1077">
        <v>1.75</v>
      </c>
      <c r="E3007" s="1077" t="s">
        <v>15089</v>
      </c>
      <c r="F3007" s="1077" t="s">
        <v>2167</v>
      </c>
      <c r="G3007" s="1077">
        <v>2</v>
      </c>
      <c r="H3007" s="1077" t="s">
        <v>1649</v>
      </c>
      <c r="I3007" s="1077" t="s">
        <v>1073</v>
      </c>
      <c r="J3007" s="1077">
        <v>1.7</v>
      </c>
      <c r="K3007" s="1077" t="s">
        <v>8945</v>
      </c>
      <c r="L3007" s="1077" t="s">
        <v>8408</v>
      </c>
      <c r="M3007" s="1077">
        <v>31.3</v>
      </c>
      <c r="N3007" s="1077" t="s">
        <v>945</v>
      </c>
      <c r="O3007" s="1077">
        <v>0.78250000000000008</v>
      </c>
      <c r="P3007" s="1077">
        <v>0.626</v>
      </c>
      <c r="Q3007" s="1077">
        <v>4</v>
      </c>
      <c r="R3007" s="1077">
        <v>20</v>
      </c>
      <c r="T3007" s="1077">
        <v>37</v>
      </c>
      <c r="U3007" s="1077">
        <v>3.5</v>
      </c>
      <c r="V3007" s="1077" t="s">
        <v>648</v>
      </c>
      <c r="W3007" s="1077">
        <v>150</v>
      </c>
      <c r="X3007" s="1077">
        <v>85</v>
      </c>
      <c r="Y3007" s="1077">
        <v>3.5</v>
      </c>
      <c r="Z3007" s="1077">
        <v>3.5</v>
      </c>
      <c r="AA3007" s="1077" t="s">
        <v>6249</v>
      </c>
      <c r="AH3007" s="1077" t="s">
        <v>884</v>
      </c>
      <c r="AI3007" s="1077">
        <v>92.52</v>
      </c>
      <c r="AJ3007" s="1077">
        <v>-0.2</v>
      </c>
      <c r="AK3007" s="1077">
        <v>0.35</v>
      </c>
      <c r="AM3007" s="1078" t="s">
        <v>14920</v>
      </c>
      <c r="AN3007" s="1078" t="s">
        <v>11615</v>
      </c>
      <c r="AO3007" s="1078">
        <f t="shared" si="374"/>
        <v>500</v>
      </c>
      <c r="AP3007" s="1078">
        <f t="shared" si="375"/>
        <v>1.75</v>
      </c>
      <c r="AQ3007" s="1078" t="str">
        <f t="shared" si="376"/>
        <v>1-4-1S83°</v>
      </c>
      <c r="AR3007" s="1078" t="str">
        <f t="shared" si="377"/>
        <v>33</v>
      </c>
      <c r="AS3007" s="1078" t="str">
        <f t="shared" si="378"/>
        <v>225/225/OFF</v>
      </c>
      <c r="AT3007" s="1078" t="str">
        <f t="shared" si="379"/>
        <v>1-4-1S83°</v>
      </c>
      <c r="AV3007" s="1078" t="str">
        <f t="shared" si="372"/>
        <v>112.8.8</v>
      </c>
      <c r="AW3007" s="1344">
        <f t="shared" si="373"/>
        <v>45146</v>
      </c>
    </row>
    <row r="3008" spans="1:49">
      <c r="A3008" s="1077" t="s">
        <v>8946</v>
      </c>
      <c r="B3008" s="1077" t="s">
        <v>8866</v>
      </c>
      <c r="C3008" s="1077" t="s">
        <v>8867</v>
      </c>
      <c r="D3008" s="1077" t="s">
        <v>8926</v>
      </c>
      <c r="E3008" s="1077" t="s">
        <v>15089</v>
      </c>
      <c r="F3008" s="1077" t="s">
        <v>1173</v>
      </c>
      <c r="G3008" s="1077">
        <v>2</v>
      </c>
      <c r="H3008" s="1077" t="s">
        <v>1290</v>
      </c>
      <c r="I3008" s="1077" t="s">
        <v>942</v>
      </c>
      <c r="J3008" s="1077">
        <v>3</v>
      </c>
      <c r="K3008" s="1077" t="s">
        <v>8947</v>
      </c>
      <c r="L3008" s="1077" t="s">
        <v>8870</v>
      </c>
      <c r="M3008" s="1077">
        <v>91</v>
      </c>
      <c r="N3008" s="1077" t="s">
        <v>945</v>
      </c>
      <c r="O3008" s="1077">
        <v>2.2749999999999999</v>
      </c>
      <c r="P3008" s="1077">
        <v>1.82</v>
      </c>
      <c r="Q3008" s="1077">
        <v>3.5</v>
      </c>
      <c r="R3008" s="1077">
        <v>26.5</v>
      </c>
      <c r="T3008" s="1077">
        <v>65</v>
      </c>
      <c r="U3008" s="1077">
        <v>4.4000000000000004</v>
      </c>
      <c r="V3008" s="1077" t="s">
        <v>648</v>
      </c>
      <c r="W3008" s="1077">
        <v>170</v>
      </c>
      <c r="X3008" s="1077" t="s">
        <v>8819</v>
      </c>
      <c r="Y3008" s="1077">
        <v>1</v>
      </c>
      <c r="Z3008" s="1077" t="s">
        <v>648</v>
      </c>
      <c r="AA3008" s="1077" t="s">
        <v>8282</v>
      </c>
      <c r="AH3008" s="1077" t="s">
        <v>889</v>
      </c>
      <c r="AI3008" s="1077">
        <v>96.46</v>
      </c>
      <c r="AJ3008" s="1077">
        <v>-0.44</v>
      </c>
      <c r="AK3008" s="1077">
        <v>1.8</v>
      </c>
      <c r="AM3008" s="1078" t="s">
        <v>14921</v>
      </c>
      <c r="AN3008" s="1078" t="s">
        <v>14922</v>
      </c>
      <c r="AO3008" s="1078" t="str">
        <f t="shared" si="374"/>
        <v>500/500(OP紗)</v>
      </c>
      <c r="AP3008" s="1078" t="str">
        <f t="shared" si="375"/>
        <v>1.66/3.35(OP)</v>
      </c>
      <c r="AQ3008" s="1078" t="str">
        <f t="shared" si="376"/>
        <v>1-4-1S83°</v>
      </c>
      <c r="AR3008" s="1078" t="str">
        <f t="shared" si="377"/>
        <v>28.5</v>
      </c>
      <c r="AS3008" s="1078" t="str">
        <f t="shared" si="378"/>
        <v>220/220/OFF</v>
      </c>
      <c r="AT3008" s="1078" t="str">
        <f t="shared" si="379"/>
        <v>1-4-1S83°</v>
      </c>
      <c r="AV3008" s="1078" t="str">
        <f t="shared" si="372"/>
        <v>112.8.9</v>
      </c>
      <c r="AW3008" s="1344">
        <f t="shared" si="373"/>
        <v>45147</v>
      </c>
    </row>
    <row r="3009" spans="1:49">
      <c r="A3009" s="1077" t="s">
        <v>8948</v>
      </c>
      <c r="B3009" s="1077" t="s">
        <v>654</v>
      </c>
      <c r="C3009" s="1077">
        <v>500</v>
      </c>
      <c r="D3009" s="1077">
        <v>1.67</v>
      </c>
      <c r="E3009" s="1077">
        <v>102.5</v>
      </c>
      <c r="F3009" s="1077" t="s">
        <v>4070</v>
      </c>
      <c r="G3009" s="1077">
        <v>5.5</v>
      </c>
      <c r="H3009" s="1077" t="s">
        <v>8679</v>
      </c>
      <c r="I3009" s="1077" t="s">
        <v>643</v>
      </c>
      <c r="J3009" s="1077">
        <v>3.4</v>
      </c>
      <c r="K3009" s="1077" t="s">
        <v>8949</v>
      </c>
      <c r="L3009" s="1077" t="s">
        <v>8560</v>
      </c>
      <c r="M3009" s="1077">
        <v>427.4</v>
      </c>
      <c r="N3009" s="1077" t="s">
        <v>945</v>
      </c>
      <c r="O3009" s="1077">
        <v>10.685</v>
      </c>
      <c r="P3009" s="1077">
        <v>8.548</v>
      </c>
      <c r="Q3009" s="1077">
        <v>3.5</v>
      </c>
      <c r="R3009" s="1077">
        <v>19.600000000000001</v>
      </c>
      <c r="T3009" s="1077">
        <v>14.9</v>
      </c>
      <c r="U3009" s="1077">
        <v>4.2</v>
      </c>
      <c r="V3009" s="1077" t="s">
        <v>648</v>
      </c>
      <c r="W3009" s="1077">
        <v>120</v>
      </c>
      <c r="X3009" s="1077">
        <v>90</v>
      </c>
      <c r="Y3009" s="1077">
        <v>1</v>
      </c>
      <c r="Z3009" s="1077" t="s">
        <v>648</v>
      </c>
      <c r="AA3009" s="1077" t="s">
        <v>4448</v>
      </c>
      <c r="AH3009" s="1077" t="s">
        <v>869</v>
      </c>
      <c r="AI3009" s="1077">
        <v>89.37</v>
      </c>
      <c r="AJ3009" s="1077">
        <v>-0.32</v>
      </c>
      <c r="AK3009" s="1077">
        <v>2.0299999999999998</v>
      </c>
      <c r="AM3009" s="1078" t="s">
        <v>14923</v>
      </c>
      <c r="AN3009" s="1078" t="s">
        <v>14924</v>
      </c>
      <c r="AO3009" s="1078">
        <f t="shared" si="374"/>
        <v>500</v>
      </c>
      <c r="AP3009" s="1078">
        <f t="shared" si="375"/>
        <v>1.67</v>
      </c>
      <c r="AQ3009" s="1078">
        <f t="shared" si="376"/>
        <v>102.5</v>
      </c>
      <c r="AR3009" s="1078" t="str">
        <f t="shared" si="377"/>
        <v>15.5</v>
      </c>
      <c r="AS3009" s="1078" t="str">
        <f t="shared" si="378"/>
        <v>480/420/160</v>
      </c>
      <c r="AT3009" s="1078">
        <f t="shared" si="379"/>
        <v>102.5</v>
      </c>
      <c r="AV3009" s="1078" t="str">
        <f t="shared" si="372"/>
        <v>112.8.16</v>
      </c>
      <c r="AW3009" s="1344">
        <f t="shared" si="373"/>
        <v>45154</v>
      </c>
    </row>
    <row r="3010" spans="1:49">
      <c r="A3010" s="1077" t="s">
        <v>8950</v>
      </c>
      <c r="B3010" s="1077" t="s">
        <v>8951</v>
      </c>
      <c r="C3010" s="1077">
        <v>500</v>
      </c>
      <c r="D3010" s="1077">
        <v>1.7</v>
      </c>
      <c r="E3010" s="1077" t="s">
        <v>15116</v>
      </c>
      <c r="F3010" s="1077" t="s">
        <v>1398</v>
      </c>
      <c r="G3010" s="1077">
        <v>5</v>
      </c>
      <c r="H3010" s="1077" t="s">
        <v>8336</v>
      </c>
      <c r="I3010" s="1077" t="s">
        <v>643</v>
      </c>
      <c r="J3010" s="1077">
        <v>2</v>
      </c>
      <c r="K3010" s="1077" t="s">
        <v>8952</v>
      </c>
      <c r="L3010" s="1077" t="s">
        <v>8953</v>
      </c>
      <c r="M3010" s="1077">
        <v>462</v>
      </c>
      <c r="N3010" s="1077" t="s">
        <v>945</v>
      </c>
      <c r="O3010" s="1077">
        <v>11.55</v>
      </c>
      <c r="P3010" s="1077">
        <v>9.24</v>
      </c>
      <c r="Q3010" s="1077">
        <v>3.5</v>
      </c>
      <c r="R3010" s="1077">
        <v>20</v>
      </c>
      <c r="T3010" s="1077">
        <v>20</v>
      </c>
      <c r="U3010" s="1077">
        <v>4</v>
      </c>
      <c r="V3010" s="1077" t="s">
        <v>648</v>
      </c>
      <c r="W3010" s="1077">
        <v>110</v>
      </c>
      <c r="X3010" s="1077">
        <v>60</v>
      </c>
      <c r="Y3010" s="1077">
        <v>1</v>
      </c>
      <c r="Z3010" s="1077" t="s">
        <v>648</v>
      </c>
      <c r="AA3010" s="1077" t="s">
        <v>4457</v>
      </c>
      <c r="AH3010" s="1077" t="s">
        <v>838</v>
      </c>
      <c r="AI3010" s="1077">
        <v>95.32</v>
      </c>
      <c r="AJ3010" s="1077">
        <v>-0.68</v>
      </c>
      <c r="AK3010" s="1077">
        <v>2.2000000000000002</v>
      </c>
      <c r="AM3010" s="1078" t="s">
        <v>14925</v>
      </c>
      <c r="AN3010" s="1078" t="s">
        <v>14926</v>
      </c>
      <c r="AO3010" s="1078">
        <f t="shared" si="374"/>
        <v>500</v>
      </c>
      <c r="AP3010" s="1078">
        <f t="shared" si="375"/>
        <v>1.7</v>
      </c>
      <c r="AQ3010" s="1078" t="str">
        <f t="shared" si="376"/>
        <v>1-5-1S83°Z+S</v>
      </c>
      <c r="AR3010" s="1078" t="str">
        <f t="shared" si="377"/>
        <v>32.5</v>
      </c>
      <c r="AS3010" s="1078" t="str">
        <f t="shared" si="378"/>
        <v>350/350/OFF</v>
      </c>
      <c r="AT3010" s="1078" t="str">
        <f t="shared" si="379"/>
        <v>1-5-1S83°Z+S</v>
      </c>
      <c r="AU3010" s="1078" t="s">
        <v>15547</v>
      </c>
      <c r="AV3010" s="1078" t="str">
        <f t="shared" ref="AV3010:AV3073" si="380">AA3010</f>
        <v>112.8.25</v>
      </c>
      <c r="AW3010" s="1344">
        <f t="shared" si="373"/>
        <v>45163</v>
      </c>
    </row>
    <row r="3011" spans="1:49">
      <c r="A3011" s="1077" t="s">
        <v>8954</v>
      </c>
      <c r="B3011" s="1077" t="s">
        <v>8955</v>
      </c>
      <c r="C3011" s="1077" t="s">
        <v>8867</v>
      </c>
      <c r="D3011" s="1077" t="s">
        <v>8926</v>
      </c>
      <c r="E3011" s="1077" t="s">
        <v>15089</v>
      </c>
      <c r="F3011" s="1077" t="s">
        <v>1173</v>
      </c>
      <c r="G3011" s="1077">
        <v>2</v>
      </c>
      <c r="H3011" s="1077" t="s">
        <v>1290</v>
      </c>
      <c r="I3011" s="1077" t="s">
        <v>942</v>
      </c>
      <c r="J3011" s="1077" t="s">
        <v>8956</v>
      </c>
      <c r="K3011" s="1077" t="s">
        <v>8947</v>
      </c>
      <c r="L3011" s="1077" t="s">
        <v>8870</v>
      </c>
      <c r="M3011" s="1077">
        <v>91</v>
      </c>
      <c r="N3011" s="1077" t="s">
        <v>945</v>
      </c>
      <c r="O3011" s="1077">
        <v>2.2749999999999999</v>
      </c>
      <c r="P3011" s="1077">
        <v>1.82</v>
      </c>
      <c r="Q3011" s="1077">
        <v>3.5</v>
      </c>
      <c r="R3011" s="1077">
        <v>26.5</v>
      </c>
      <c r="T3011" s="1077">
        <v>65</v>
      </c>
      <c r="U3011" s="1077">
        <v>4.4000000000000004</v>
      </c>
      <c r="V3011" s="1077" t="s">
        <v>648</v>
      </c>
      <c r="W3011" s="1077">
        <v>170</v>
      </c>
      <c r="X3011" s="1077" t="s">
        <v>8819</v>
      </c>
      <c r="Y3011" s="1077">
        <v>1</v>
      </c>
      <c r="Z3011" s="1077" t="s">
        <v>648</v>
      </c>
      <c r="AA3011" s="1077" t="s">
        <v>4465</v>
      </c>
      <c r="AH3011" s="1077" t="s">
        <v>889</v>
      </c>
      <c r="AI3011" s="1077">
        <v>95.28</v>
      </c>
      <c r="AJ3011" s="1077">
        <v>-0.25</v>
      </c>
      <c r="AK3011" s="1077">
        <v>1.5</v>
      </c>
      <c r="AM3011" s="1078" t="s">
        <v>14927</v>
      </c>
      <c r="AN3011" s="1078" t="s">
        <v>14928</v>
      </c>
      <c r="AO3011" s="1078" t="str">
        <f t="shared" si="374"/>
        <v>500/500(OP紗)</v>
      </c>
      <c r="AP3011" s="1078" t="str">
        <f t="shared" si="375"/>
        <v>1.66/3.35(OP)</v>
      </c>
      <c r="AQ3011" s="1078" t="str">
        <f t="shared" si="376"/>
        <v>1-4-1S83°</v>
      </c>
      <c r="AR3011" s="1078" t="str">
        <f t="shared" si="377"/>
        <v>28.5</v>
      </c>
      <c r="AS3011" s="1078" t="str">
        <f t="shared" si="378"/>
        <v>220/220/OFF</v>
      </c>
      <c r="AT3011" s="1078" t="str">
        <f t="shared" si="379"/>
        <v>1-4-1S83°</v>
      </c>
      <c r="AV3011" s="1078" t="str">
        <f t="shared" si="380"/>
        <v>112.9.8</v>
      </c>
      <c r="AW3011" s="1344">
        <f t="shared" ref="AW3011:AW3074" si="381">DATE(VALUE(LEFT(AV3011,FIND(".",AV3011)-1))+1911,
       VALUE(MID(AV3011,FIND(".",AV3011)+1,FIND(".",AV3011,FIND(".",AV3011)+1)-FIND(".",AV3011)-1)),
       VALUE(RIGHT(AV3011,LEN(AV3011)-FIND("~",SUBSTITUTE(AV3011,".","~",2)))))</f>
        <v>45177</v>
      </c>
    </row>
    <row r="3012" spans="1:49">
      <c r="A3012" s="1077" t="s">
        <v>8957</v>
      </c>
      <c r="B3012" s="1077" t="s">
        <v>8958</v>
      </c>
      <c r="C3012" s="1077">
        <v>500</v>
      </c>
      <c r="D3012" s="1077">
        <v>1.67</v>
      </c>
      <c r="E3012" s="1077">
        <v>102.5</v>
      </c>
      <c r="F3012" s="1077" t="s">
        <v>4070</v>
      </c>
      <c r="G3012" s="1077">
        <v>5.5</v>
      </c>
      <c r="H3012" s="1077" t="s">
        <v>8679</v>
      </c>
      <c r="I3012" s="1077" t="s">
        <v>643</v>
      </c>
      <c r="J3012" s="1077">
        <v>3.4</v>
      </c>
      <c r="K3012" s="1077" t="s">
        <v>8959</v>
      </c>
      <c r="L3012" s="1077" t="s">
        <v>8960</v>
      </c>
      <c r="M3012" s="1077">
        <v>427.4</v>
      </c>
      <c r="N3012" s="1077" t="s">
        <v>945</v>
      </c>
      <c r="O3012" s="1077">
        <v>10.685</v>
      </c>
      <c r="P3012" s="1077">
        <v>8.548</v>
      </c>
      <c r="Q3012" s="1077">
        <v>3.5</v>
      </c>
      <c r="R3012" s="1077">
        <v>19.600000000000001</v>
      </c>
      <c r="T3012" s="1077">
        <v>14.9</v>
      </c>
      <c r="U3012" s="1077">
        <v>4.2</v>
      </c>
      <c r="V3012" s="1077" t="s">
        <v>648</v>
      </c>
      <c r="W3012" s="1077">
        <v>120</v>
      </c>
      <c r="X3012" s="1077">
        <v>90</v>
      </c>
      <c r="Y3012" s="1077">
        <v>1</v>
      </c>
      <c r="Z3012" s="1077" t="s">
        <v>648</v>
      </c>
      <c r="AA3012" s="1077" t="s">
        <v>8961</v>
      </c>
      <c r="AH3012" s="1077" t="s">
        <v>767</v>
      </c>
      <c r="AI3012" s="1077">
        <v>90.13</v>
      </c>
      <c r="AJ3012" s="1077">
        <v>-0.21</v>
      </c>
      <c r="AK3012" s="1077">
        <v>1.31</v>
      </c>
      <c r="AM3012" s="1078" t="s">
        <v>14929</v>
      </c>
      <c r="AN3012" s="1078" t="s">
        <v>14930</v>
      </c>
      <c r="AO3012" s="1078">
        <f t="shared" si="374"/>
        <v>500</v>
      </c>
      <c r="AP3012" s="1078">
        <f t="shared" si="375"/>
        <v>1.67</v>
      </c>
      <c r="AQ3012" s="1078">
        <f t="shared" si="376"/>
        <v>102.5</v>
      </c>
      <c r="AR3012" s="1078" t="str">
        <f t="shared" si="377"/>
        <v>15.5</v>
      </c>
      <c r="AS3012" s="1078" t="str">
        <f t="shared" si="378"/>
        <v>480/420/160</v>
      </c>
      <c r="AT3012" s="1078">
        <f t="shared" si="379"/>
        <v>102.5</v>
      </c>
      <c r="AV3012" s="1078" t="str">
        <f t="shared" si="380"/>
        <v>112.9.21</v>
      </c>
      <c r="AW3012" s="1344">
        <f t="shared" si="381"/>
        <v>45190</v>
      </c>
    </row>
    <row r="3013" spans="1:49">
      <c r="A3013" s="1077" t="s">
        <v>8962</v>
      </c>
      <c r="B3013" s="1077" t="s">
        <v>8594</v>
      </c>
      <c r="C3013" s="1077">
        <v>600</v>
      </c>
      <c r="D3013" s="1077">
        <v>1.71</v>
      </c>
      <c r="E3013" s="1077" t="s">
        <v>15094</v>
      </c>
      <c r="F3013" s="1077" t="s">
        <v>984</v>
      </c>
      <c r="G3013" s="1077">
        <v>5</v>
      </c>
      <c r="H3013" s="1077" t="s">
        <v>8963</v>
      </c>
      <c r="I3013" s="1077" t="s">
        <v>643</v>
      </c>
      <c r="J3013" s="1077">
        <v>2.8</v>
      </c>
      <c r="K3013" s="1077" t="s">
        <v>8936</v>
      </c>
      <c r="L3013" s="1077" t="s">
        <v>8937</v>
      </c>
      <c r="M3013" s="1077">
        <v>225</v>
      </c>
      <c r="N3013" s="1077" t="s">
        <v>945</v>
      </c>
      <c r="O3013" s="1077">
        <v>5.625</v>
      </c>
      <c r="P3013" s="1077">
        <v>4.5</v>
      </c>
      <c r="Q3013" s="1077">
        <v>2.5</v>
      </c>
      <c r="R3013" s="1077">
        <v>28</v>
      </c>
      <c r="T3013" s="1077">
        <v>13.1</v>
      </c>
      <c r="U3013" s="1077">
        <v>6.1</v>
      </c>
      <c r="V3013" s="1077" t="s">
        <v>648</v>
      </c>
      <c r="W3013" s="1077">
        <v>100</v>
      </c>
      <c r="X3013" s="1077">
        <v>80</v>
      </c>
      <c r="Y3013" s="1077">
        <v>1.8</v>
      </c>
      <c r="Z3013" s="1077">
        <v>7.5</v>
      </c>
      <c r="AA3013" s="1077" t="s">
        <v>6376</v>
      </c>
      <c r="AH3013" s="1077" t="s">
        <v>8323</v>
      </c>
      <c r="AI3013" s="1077">
        <v>90.75</v>
      </c>
      <c r="AJ3013" s="1077">
        <v>-1.05</v>
      </c>
      <c r="AK3013" s="1077">
        <v>5.59</v>
      </c>
      <c r="AM3013" s="1078" t="s">
        <v>14931</v>
      </c>
      <c r="AN3013" s="1078" t="s">
        <v>14932</v>
      </c>
      <c r="AO3013" s="1078">
        <f t="shared" si="374"/>
        <v>600</v>
      </c>
      <c r="AP3013" s="1078">
        <f t="shared" si="375"/>
        <v>1.71</v>
      </c>
      <c r="AQ3013" s="1078" t="str">
        <f t="shared" si="376"/>
        <v>1-5-1S91°</v>
      </c>
      <c r="AR3013" s="1078" t="str">
        <f t="shared" si="377"/>
        <v>30</v>
      </c>
      <c r="AS3013" s="1078" t="str">
        <f t="shared" si="378"/>
        <v>315/315/OFF</v>
      </c>
      <c r="AT3013" s="1078" t="str">
        <f t="shared" si="379"/>
        <v>1-5-1S91°</v>
      </c>
      <c r="AV3013" s="1078" t="str">
        <f t="shared" si="380"/>
        <v>112.11.7</v>
      </c>
      <c r="AW3013" s="1344">
        <f t="shared" si="381"/>
        <v>45237</v>
      </c>
    </row>
    <row r="3014" spans="1:49">
      <c r="A3014" s="1077" t="s">
        <v>8964</v>
      </c>
      <c r="B3014" s="1077" t="s">
        <v>8631</v>
      </c>
      <c r="C3014" s="1077">
        <v>600</v>
      </c>
      <c r="D3014" s="1077">
        <v>1.76</v>
      </c>
      <c r="E3014" s="1077" t="s">
        <v>15116</v>
      </c>
      <c r="F3014" s="1077" t="s">
        <v>984</v>
      </c>
      <c r="G3014" s="1077">
        <v>5</v>
      </c>
      <c r="H3014" s="1077" t="s">
        <v>8772</v>
      </c>
      <c r="I3014" s="1077" t="s">
        <v>460</v>
      </c>
      <c r="J3014" s="1077">
        <v>2.9</v>
      </c>
      <c r="K3014" s="1077" t="s">
        <v>8965</v>
      </c>
      <c r="L3014" s="1077" t="s">
        <v>4487</v>
      </c>
      <c r="M3014" s="1077">
        <v>206</v>
      </c>
      <c r="N3014" s="1077" t="s">
        <v>945</v>
      </c>
      <c r="O3014" s="1077">
        <v>5.15</v>
      </c>
      <c r="P3014" s="1077">
        <v>4.12</v>
      </c>
      <c r="Q3014" s="1077">
        <v>4</v>
      </c>
      <c r="R3014" s="1077">
        <v>20</v>
      </c>
      <c r="T3014" s="1077">
        <v>18.5</v>
      </c>
      <c r="U3014" s="1077">
        <v>4.0999999999999996</v>
      </c>
      <c r="V3014" s="1077" t="s">
        <v>648</v>
      </c>
      <c r="W3014" s="1077">
        <v>120</v>
      </c>
      <c r="X3014" s="1077">
        <v>85</v>
      </c>
      <c r="Y3014" s="1077">
        <v>1.5</v>
      </c>
      <c r="Z3014" s="1077" t="s">
        <v>648</v>
      </c>
      <c r="AA3014" s="1077" t="s">
        <v>3793</v>
      </c>
      <c r="AH3014" s="1077" t="s">
        <v>958</v>
      </c>
      <c r="AI3014" s="1077">
        <v>91.86</v>
      </c>
      <c r="AJ3014" s="1077">
        <v>-0.55000000000000004</v>
      </c>
      <c r="AK3014" s="1077">
        <v>1.19</v>
      </c>
      <c r="AM3014" s="1078" t="s">
        <v>14933</v>
      </c>
      <c r="AN3014" s="1078" t="s">
        <v>14934</v>
      </c>
      <c r="AO3014" s="1078">
        <f t="shared" si="374"/>
        <v>600</v>
      </c>
      <c r="AP3014" s="1078">
        <f t="shared" si="375"/>
        <v>1.76</v>
      </c>
      <c r="AQ3014" s="1078" t="str">
        <f t="shared" si="376"/>
        <v>1-5-1S83°Z+S</v>
      </c>
      <c r="AR3014" s="1078" t="str">
        <f t="shared" si="377"/>
        <v>30</v>
      </c>
      <c r="AS3014" s="1078" t="str">
        <f t="shared" si="378"/>
        <v>270/250/155</v>
      </c>
      <c r="AT3014" s="1078" t="str">
        <f t="shared" si="379"/>
        <v>1-5-1S83°Z+S</v>
      </c>
      <c r="AU3014" s="1078" t="s">
        <v>15547</v>
      </c>
      <c r="AV3014" s="1078" t="str">
        <f t="shared" si="380"/>
        <v>112.11.6</v>
      </c>
      <c r="AW3014" s="1344">
        <f t="shared" si="381"/>
        <v>45236</v>
      </c>
    </row>
    <row r="3015" spans="1:49">
      <c r="A3015" s="1077" t="s">
        <v>8966</v>
      </c>
      <c r="B3015" s="1077" t="s">
        <v>8866</v>
      </c>
      <c r="C3015" s="1077" t="s">
        <v>8867</v>
      </c>
      <c r="D3015" s="1077" t="s">
        <v>8926</v>
      </c>
      <c r="E3015" s="1077" t="s">
        <v>15089</v>
      </c>
      <c r="F3015" s="1077" t="s">
        <v>1173</v>
      </c>
      <c r="G3015" s="1077">
        <v>2</v>
      </c>
      <c r="H3015" s="1077" t="s">
        <v>1290</v>
      </c>
      <c r="I3015" s="1077" t="s">
        <v>942</v>
      </c>
      <c r="J3015" s="1077">
        <v>3</v>
      </c>
      <c r="K3015" s="1077" t="s">
        <v>8947</v>
      </c>
      <c r="L3015" s="1077" t="s">
        <v>8870</v>
      </c>
      <c r="M3015" s="1077">
        <v>91</v>
      </c>
      <c r="N3015" s="1077" t="s">
        <v>945</v>
      </c>
      <c r="O3015" s="1077">
        <v>2.2749999999999999</v>
      </c>
      <c r="P3015" s="1077">
        <v>1.82</v>
      </c>
      <c r="Q3015" s="1077">
        <v>3.5</v>
      </c>
      <c r="R3015" s="1077">
        <v>26.5</v>
      </c>
      <c r="T3015" s="1077">
        <v>65</v>
      </c>
      <c r="U3015" s="1077">
        <v>4.4000000000000004</v>
      </c>
      <c r="V3015" s="1077" t="s">
        <v>648</v>
      </c>
      <c r="W3015" s="1077">
        <v>170</v>
      </c>
      <c r="X3015" s="1077" t="s">
        <v>8819</v>
      </c>
      <c r="Y3015" s="1077">
        <v>1</v>
      </c>
      <c r="Z3015" s="1077" t="s">
        <v>648</v>
      </c>
      <c r="AA3015" s="1077" t="s">
        <v>3793</v>
      </c>
      <c r="AH3015" s="1077" t="s">
        <v>762</v>
      </c>
      <c r="AI3015" s="1077">
        <v>96.18</v>
      </c>
      <c r="AJ3015" s="1077">
        <v>-0.3</v>
      </c>
      <c r="AK3015" s="1077">
        <v>1.45</v>
      </c>
      <c r="AM3015" s="1078" t="s">
        <v>14935</v>
      </c>
      <c r="AN3015" s="1078" t="s">
        <v>14936</v>
      </c>
      <c r="AO3015" s="1078" t="str">
        <f t="shared" si="374"/>
        <v>500/500(OP紗)</v>
      </c>
      <c r="AP3015" s="1078" t="str">
        <f t="shared" si="375"/>
        <v>1.66/3.35(OP)</v>
      </c>
      <c r="AQ3015" s="1078" t="str">
        <f t="shared" si="376"/>
        <v>1-4-1S83°</v>
      </c>
      <c r="AR3015" s="1078" t="str">
        <f t="shared" si="377"/>
        <v>28.5</v>
      </c>
      <c r="AS3015" s="1078" t="str">
        <f t="shared" si="378"/>
        <v>220/220/OFF</v>
      </c>
      <c r="AT3015" s="1078" t="str">
        <f t="shared" si="379"/>
        <v>1-4-1S83°</v>
      </c>
      <c r="AV3015" s="1078" t="str">
        <f t="shared" si="380"/>
        <v>112.11.6</v>
      </c>
      <c r="AW3015" s="1344">
        <f t="shared" si="381"/>
        <v>45236</v>
      </c>
    </row>
    <row r="3016" spans="1:49">
      <c r="A3016" s="1077" t="s">
        <v>8967</v>
      </c>
      <c r="B3016" s="1077" t="s">
        <v>8958</v>
      </c>
      <c r="C3016" s="1077">
        <v>550</v>
      </c>
      <c r="D3016" s="1077">
        <v>1.68</v>
      </c>
      <c r="E3016" s="1077">
        <v>102.5</v>
      </c>
      <c r="F3016" s="1077" t="s">
        <v>4070</v>
      </c>
      <c r="G3016" s="1077">
        <v>5.5</v>
      </c>
      <c r="H3016" s="1077" t="s">
        <v>8968</v>
      </c>
      <c r="I3016" s="1077" t="s">
        <v>643</v>
      </c>
      <c r="J3016" s="1077">
        <v>3.4</v>
      </c>
      <c r="K3016" s="1077" t="s">
        <v>8969</v>
      </c>
      <c r="L3016" s="1077" t="s">
        <v>8960</v>
      </c>
      <c r="M3016" s="1077">
        <v>427.4</v>
      </c>
      <c r="N3016" s="1077" t="s">
        <v>945</v>
      </c>
      <c r="O3016" s="1077">
        <v>10.685</v>
      </c>
      <c r="P3016" s="1077">
        <v>8.548</v>
      </c>
      <c r="Q3016" s="1077">
        <v>3.5</v>
      </c>
      <c r="R3016" s="1077">
        <v>19.600000000000001</v>
      </c>
      <c r="T3016" s="1077">
        <v>14.9</v>
      </c>
      <c r="U3016" s="1077">
        <v>4.2</v>
      </c>
      <c r="V3016" s="1077" t="s">
        <v>648</v>
      </c>
      <c r="W3016" s="1077">
        <v>120</v>
      </c>
      <c r="X3016" s="1077">
        <v>90</v>
      </c>
      <c r="Y3016" s="1077">
        <v>1</v>
      </c>
      <c r="Z3016" s="1077" t="s">
        <v>648</v>
      </c>
      <c r="AA3016" s="1077" t="s">
        <v>6385</v>
      </c>
      <c r="AH3016" s="1077" t="s">
        <v>870</v>
      </c>
      <c r="AI3016" s="1077">
        <v>90.81</v>
      </c>
      <c r="AJ3016" s="1077">
        <v>-0.25</v>
      </c>
      <c r="AK3016" s="1077">
        <v>1.48</v>
      </c>
      <c r="AM3016" s="1078" t="s">
        <v>14937</v>
      </c>
      <c r="AN3016" s="1078" t="s">
        <v>14938</v>
      </c>
      <c r="AO3016" s="1078">
        <f t="shared" si="374"/>
        <v>550</v>
      </c>
      <c r="AP3016" s="1078">
        <f t="shared" si="375"/>
        <v>1.68</v>
      </c>
      <c r="AQ3016" s="1078">
        <f t="shared" si="376"/>
        <v>102.5</v>
      </c>
      <c r="AR3016" s="1078" t="str">
        <f t="shared" si="377"/>
        <v>15.5</v>
      </c>
      <c r="AS3016" s="1078" t="str">
        <f t="shared" si="378"/>
        <v>485/425/160</v>
      </c>
      <c r="AT3016" s="1078">
        <f t="shared" si="379"/>
        <v>102.5</v>
      </c>
      <c r="AV3016" s="1078" t="str">
        <f t="shared" si="380"/>
        <v>112.11.23</v>
      </c>
      <c r="AW3016" s="1344">
        <f t="shared" si="381"/>
        <v>45253</v>
      </c>
    </row>
    <row r="3017" spans="1:49">
      <c r="A3017" s="1077" t="s">
        <v>8970</v>
      </c>
      <c r="B3017" s="1077" t="s">
        <v>8594</v>
      </c>
      <c r="C3017" s="1077">
        <v>600</v>
      </c>
      <c r="D3017" s="1077">
        <v>1.71</v>
      </c>
      <c r="E3017" s="1077" t="s">
        <v>15094</v>
      </c>
      <c r="F3017" s="1077" t="s">
        <v>984</v>
      </c>
      <c r="G3017" s="1077">
        <v>5</v>
      </c>
      <c r="H3017" s="1077" t="s">
        <v>6116</v>
      </c>
      <c r="I3017" s="1077" t="s">
        <v>643</v>
      </c>
      <c r="J3017" s="1077">
        <v>2.8</v>
      </c>
      <c r="K3017" s="1077" t="s">
        <v>8936</v>
      </c>
      <c r="L3017" s="1077" t="s">
        <v>8937</v>
      </c>
      <c r="M3017" s="1077">
        <v>225</v>
      </c>
      <c r="N3017" s="1077" t="s">
        <v>945</v>
      </c>
      <c r="O3017" s="1077">
        <v>5.625</v>
      </c>
      <c r="P3017" s="1077">
        <v>4.5</v>
      </c>
      <c r="Q3017" s="1077">
        <v>2.5</v>
      </c>
      <c r="R3017" s="1077">
        <v>28</v>
      </c>
      <c r="T3017" s="1077">
        <v>13.1</v>
      </c>
      <c r="U3017" s="1077">
        <v>6.1</v>
      </c>
      <c r="V3017" s="1077" t="s">
        <v>648</v>
      </c>
      <c r="W3017" s="1077">
        <v>100</v>
      </c>
      <c r="X3017" s="1077">
        <v>80</v>
      </c>
      <c r="Y3017" s="1077">
        <v>1.8</v>
      </c>
      <c r="Z3017" s="1077">
        <v>7.5</v>
      </c>
      <c r="AA3017" s="1077" t="s">
        <v>8390</v>
      </c>
      <c r="AH3017" s="1077" t="s">
        <v>958</v>
      </c>
      <c r="AI3017" s="1077">
        <v>92.57</v>
      </c>
      <c r="AJ3017" s="1077">
        <v>-1.19</v>
      </c>
      <c r="AK3017" s="1077">
        <v>6.07</v>
      </c>
      <c r="AM3017" s="1078" t="s">
        <v>14939</v>
      </c>
      <c r="AN3017" s="1078" t="s">
        <v>14940</v>
      </c>
      <c r="AO3017" s="1078">
        <f t="shared" si="374"/>
        <v>600</v>
      </c>
      <c r="AP3017" s="1078">
        <f t="shared" si="375"/>
        <v>1.71</v>
      </c>
      <c r="AQ3017" s="1078" t="str">
        <f t="shared" si="376"/>
        <v>1-5-1S91°</v>
      </c>
      <c r="AR3017" s="1078" t="str">
        <f t="shared" si="377"/>
        <v>30</v>
      </c>
      <c r="AS3017" s="1078" t="str">
        <f t="shared" si="378"/>
        <v>320/320/OFF</v>
      </c>
      <c r="AT3017" s="1078" t="str">
        <f t="shared" si="379"/>
        <v>1-5-1S91°</v>
      </c>
      <c r="AV3017" s="1078" t="str">
        <f t="shared" si="380"/>
        <v>113.1.2</v>
      </c>
      <c r="AW3017" s="1344">
        <f t="shared" si="381"/>
        <v>45293</v>
      </c>
    </row>
    <row r="3018" spans="1:49">
      <c r="A3018" s="1077" t="s">
        <v>8971</v>
      </c>
      <c r="B3018" s="1077" t="s">
        <v>8951</v>
      </c>
      <c r="C3018" s="1077">
        <v>500</v>
      </c>
      <c r="D3018" s="1077">
        <v>1.71</v>
      </c>
      <c r="E3018" s="1077" t="s">
        <v>15116</v>
      </c>
      <c r="F3018" s="1077" t="s">
        <v>1398</v>
      </c>
      <c r="G3018" s="1077">
        <v>5</v>
      </c>
      <c r="H3018" s="1077" t="s">
        <v>8336</v>
      </c>
      <c r="I3018" s="1077" t="s">
        <v>643</v>
      </c>
      <c r="J3018" s="1077">
        <v>2.2999999999999998</v>
      </c>
      <c r="K3018" s="1077" t="s">
        <v>8952</v>
      </c>
      <c r="L3018" s="1077" t="s">
        <v>8953</v>
      </c>
      <c r="M3018" s="1077">
        <v>462</v>
      </c>
      <c r="N3018" s="1077" t="s">
        <v>945</v>
      </c>
      <c r="O3018" s="1077">
        <v>11.55</v>
      </c>
      <c r="P3018" s="1077">
        <v>9.24</v>
      </c>
      <c r="Q3018" s="1077">
        <v>3.5</v>
      </c>
      <c r="R3018" s="1077">
        <v>20</v>
      </c>
      <c r="T3018" s="1077">
        <v>20</v>
      </c>
      <c r="U3018" s="1077">
        <v>4</v>
      </c>
      <c r="V3018" s="1077" t="s">
        <v>648</v>
      </c>
      <c r="W3018" s="1077">
        <v>110</v>
      </c>
      <c r="X3018" s="1077">
        <v>60</v>
      </c>
      <c r="Y3018" s="1077">
        <v>1</v>
      </c>
      <c r="Z3018" s="1077" t="s">
        <v>648</v>
      </c>
      <c r="AA3018" s="1077" t="s">
        <v>3852</v>
      </c>
      <c r="AH3018" s="1077" t="s">
        <v>1482</v>
      </c>
      <c r="AI3018" s="1077">
        <v>93.63</v>
      </c>
      <c r="AJ3018" s="1077">
        <v>-0.12</v>
      </c>
      <c r="AK3018" s="1077">
        <v>1.56</v>
      </c>
      <c r="AM3018" s="1078" t="s">
        <v>14941</v>
      </c>
      <c r="AN3018" s="1078" t="s">
        <v>14942</v>
      </c>
      <c r="AO3018" s="1078">
        <f t="shared" si="374"/>
        <v>500</v>
      </c>
      <c r="AP3018" s="1078">
        <f t="shared" si="375"/>
        <v>1.71</v>
      </c>
      <c r="AQ3018" s="1078" t="str">
        <f t="shared" si="376"/>
        <v>1-5-1S83°Z+S</v>
      </c>
      <c r="AR3018" s="1078" t="str">
        <f t="shared" si="377"/>
        <v>32.5</v>
      </c>
      <c r="AS3018" s="1078" t="str">
        <f t="shared" si="378"/>
        <v>350/350/OFF</v>
      </c>
      <c r="AT3018" s="1078" t="str">
        <f t="shared" si="379"/>
        <v>1-5-1S83°Z+S</v>
      </c>
      <c r="AU3018" s="1078" t="s">
        <v>15547</v>
      </c>
      <c r="AV3018" s="1078" t="str">
        <f t="shared" si="380"/>
        <v>112.12.8</v>
      </c>
      <c r="AW3018" s="1344">
        <f t="shared" si="381"/>
        <v>45268</v>
      </c>
    </row>
    <row r="3019" spans="1:49">
      <c r="A3019" s="1077" t="s">
        <v>8972</v>
      </c>
      <c r="B3019" s="1077" t="s">
        <v>8662</v>
      </c>
      <c r="C3019" s="1077">
        <v>450</v>
      </c>
      <c r="D3019" s="1077">
        <v>1.79</v>
      </c>
      <c r="E3019" s="1077" t="s">
        <v>15089</v>
      </c>
      <c r="F3019" s="1077" t="s">
        <v>984</v>
      </c>
      <c r="G3019" s="1077">
        <v>2</v>
      </c>
      <c r="H3019" s="1077" t="s">
        <v>1017</v>
      </c>
      <c r="I3019" s="1077" t="s">
        <v>126</v>
      </c>
      <c r="J3019" s="1077">
        <v>1.4</v>
      </c>
      <c r="K3019" s="1077" t="s">
        <v>8663</v>
      </c>
      <c r="L3019" s="1077" t="s">
        <v>8664</v>
      </c>
      <c r="M3019" s="1077">
        <v>41.5</v>
      </c>
      <c r="N3019" s="1077" t="s">
        <v>945</v>
      </c>
      <c r="O3019" s="1077">
        <v>1.0375000000000001</v>
      </c>
      <c r="P3019" s="1077">
        <v>0.83000000000000007</v>
      </c>
      <c r="Q3019" s="1077">
        <v>3</v>
      </c>
      <c r="R3019" s="1077">
        <v>23</v>
      </c>
      <c r="T3019" s="1077">
        <v>28</v>
      </c>
      <c r="U3019" s="1077">
        <v>3.5</v>
      </c>
      <c r="V3019" s="1077" t="s">
        <v>648</v>
      </c>
      <c r="W3019" s="1077">
        <v>110</v>
      </c>
      <c r="X3019" s="1077">
        <v>70</v>
      </c>
      <c r="Y3019" s="1077">
        <v>3</v>
      </c>
      <c r="Z3019" s="1077">
        <v>4.5</v>
      </c>
      <c r="AA3019" s="1077" t="s">
        <v>4476</v>
      </c>
      <c r="AH3019" s="1077" t="s">
        <v>8973</v>
      </c>
      <c r="AI3019" s="1077">
        <v>92.81</v>
      </c>
      <c r="AJ3019" s="1077">
        <v>0.25</v>
      </c>
      <c r="AK3019" s="1077">
        <v>0.21</v>
      </c>
      <c r="AM3019" s="1078" t="s">
        <v>14943</v>
      </c>
      <c r="AN3019" s="1078" t="s">
        <v>14944</v>
      </c>
      <c r="AO3019" s="1078">
        <f t="shared" ref="AO3019:AO3082" si="382">C3019</f>
        <v>450</v>
      </c>
      <c r="AP3019" s="1078">
        <f t="shared" ref="AP3019:AP3082" si="383">D3019</f>
        <v>1.79</v>
      </c>
      <c r="AQ3019" s="1078" t="str">
        <f t="shared" ref="AQ3019:AQ3082" si="384">E3019</f>
        <v>1-4-1S83°</v>
      </c>
      <c r="AR3019" s="1078" t="str">
        <f t="shared" ref="AR3019:AR3082" si="385">F3019</f>
        <v>30</v>
      </c>
      <c r="AS3019" s="1078" t="str">
        <f t="shared" ref="AS3019:AS3082" si="386">H3019</f>
        <v>200/200/OFF</v>
      </c>
      <c r="AT3019" s="1078" t="str">
        <f t="shared" ref="AT3019:AT3082" si="387">E3019</f>
        <v>1-4-1S83°</v>
      </c>
      <c r="AV3019" s="1078" t="str">
        <f t="shared" si="380"/>
        <v>112.12.15</v>
      </c>
      <c r="AW3019" s="1344">
        <f t="shared" si="381"/>
        <v>45275</v>
      </c>
    </row>
    <row r="3020" spans="1:49">
      <c r="A3020" s="1077" t="s">
        <v>8974</v>
      </c>
      <c r="B3020" s="1077" t="s">
        <v>8944</v>
      </c>
      <c r="C3020" s="1077">
        <v>500</v>
      </c>
      <c r="D3020" s="1077">
        <v>1.73</v>
      </c>
      <c r="E3020" s="1077" t="s">
        <v>15089</v>
      </c>
      <c r="F3020" s="1077" t="s">
        <v>2167</v>
      </c>
      <c r="G3020" s="1077">
        <v>1</v>
      </c>
      <c r="H3020" s="1077" t="s">
        <v>1649</v>
      </c>
      <c r="I3020" s="1077" t="s">
        <v>1073</v>
      </c>
      <c r="J3020" s="1077">
        <v>1.7</v>
      </c>
      <c r="K3020" s="1077" t="s">
        <v>8945</v>
      </c>
      <c r="L3020" s="1077" t="s">
        <v>8408</v>
      </c>
      <c r="M3020" s="1077">
        <v>31.3</v>
      </c>
      <c r="N3020" s="1077" t="s">
        <v>945</v>
      </c>
      <c r="O3020" s="1077">
        <v>0.78250000000000008</v>
      </c>
      <c r="P3020" s="1077">
        <v>0.626</v>
      </c>
      <c r="Q3020" s="1077">
        <v>4</v>
      </c>
      <c r="R3020" s="1077">
        <v>20</v>
      </c>
      <c r="T3020" s="1077">
        <v>37</v>
      </c>
      <c r="U3020" s="1077">
        <v>3.5</v>
      </c>
      <c r="V3020" s="1077" t="s">
        <v>648</v>
      </c>
      <c r="W3020" s="1077">
        <v>150</v>
      </c>
      <c r="X3020" s="1077">
        <v>85</v>
      </c>
      <c r="Y3020" s="1077">
        <v>3.5</v>
      </c>
      <c r="Z3020" s="1077">
        <v>3.5</v>
      </c>
      <c r="AA3020" s="1077" t="s">
        <v>3863</v>
      </c>
      <c r="AH3020" s="1077" t="s">
        <v>869</v>
      </c>
      <c r="AI3020" s="1077">
        <v>93.03</v>
      </c>
      <c r="AJ3020" s="1077">
        <v>-0.4</v>
      </c>
      <c r="AK3020" s="1077">
        <v>0.32</v>
      </c>
      <c r="AM3020" s="1078" t="s">
        <v>14945</v>
      </c>
      <c r="AN3020" s="1078" t="s">
        <v>14946</v>
      </c>
      <c r="AO3020" s="1078">
        <f t="shared" si="382"/>
        <v>500</v>
      </c>
      <c r="AP3020" s="1078">
        <f t="shared" si="383"/>
        <v>1.73</v>
      </c>
      <c r="AQ3020" s="1078" t="str">
        <f t="shared" si="384"/>
        <v>1-4-1S83°</v>
      </c>
      <c r="AR3020" s="1078" t="str">
        <f t="shared" si="385"/>
        <v>33</v>
      </c>
      <c r="AS3020" s="1078" t="str">
        <f t="shared" si="386"/>
        <v>225/225/OFF</v>
      </c>
      <c r="AT3020" s="1078" t="str">
        <f t="shared" si="387"/>
        <v>1-4-1S83°</v>
      </c>
      <c r="AV3020" s="1078" t="str">
        <f t="shared" si="380"/>
        <v>112.12.20</v>
      </c>
      <c r="AW3020" s="1344">
        <f t="shared" si="381"/>
        <v>45280</v>
      </c>
    </row>
    <row r="3021" spans="1:49">
      <c r="A3021" s="1077" t="s">
        <v>8975</v>
      </c>
      <c r="B3021" s="1077" t="s">
        <v>8508</v>
      </c>
      <c r="C3021" s="1077" t="s">
        <v>8976</v>
      </c>
      <c r="D3021" s="1077">
        <v>1.8</v>
      </c>
      <c r="E3021" s="1077" t="s">
        <v>15104</v>
      </c>
      <c r="F3021" s="1077" t="s">
        <v>2520</v>
      </c>
      <c r="G3021" s="1077">
        <v>4</v>
      </c>
      <c r="H3021" s="1077" t="s">
        <v>8977</v>
      </c>
      <c r="I3021" s="1077" t="s">
        <v>460</v>
      </c>
      <c r="J3021" s="1077">
        <v>2</v>
      </c>
      <c r="K3021" s="1077" t="s">
        <v>8978</v>
      </c>
      <c r="L3021" s="1077" t="s">
        <v>4151</v>
      </c>
      <c r="M3021" s="1077">
        <v>196</v>
      </c>
      <c r="N3021" s="1077" t="s">
        <v>945</v>
      </c>
      <c r="O3021" s="1077">
        <v>4.9000000000000004</v>
      </c>
      <c r="P3021" s="1077">
        <v>3.92</v>
      </c>
      <c r="Q3021" s="1077">
        <v>3</v>
      </c>
      <c r="R3021" s="1077">
        <v>28</v>
      </c>
      <c r="T3021" s="1077">
        <v>15.5</v>
      </c>
      <c r="U3021" s="1077">
        <v>5</v>
      </c>
      <c r="V3021" s="1077" t="s">
        <v>648</v>
      </c>
      <c r="W3021" s="1077">
        <v>130</v>
      </c>
      <c r="X3021" s="1077">
        <v>80</v>
      </c>
      <c r="Y3021" s="1077">
        <v>1.5</v>
      </c>
      <c r="Z3021" s="1077" t="s">
        <v>648</v>
      </c>
      <c r="AA3021" s="1077" t="s">
        <v>3863</v>
      </c>
      <c r="AH3021" s="1077" t="s">
        <v>712</v>
      </c>
      <c r="AI3021" s="1077">
        <v>93.53</v>
      </c>
      <c r="AJ3021" s="1077">
        <v>-1.33</v>
      </c>
      <c r="AK3021" s="1077">
        <v>5.75</v>
      </c>
      <c r="AM3021" s="1078" t="s">
        <v>14947</v>
      </c>
      <c r="AN3021" s="1078" t="s">
        <v>14948</v>
      </c>
      <c r="AO3021" s="1078" t="str">
        <f t="shared" si="382"/>
        <v>600↓550-12/29</v>
      </c>
      <c r="AP3021" s="1078">
        <f t="shared" si="383"/>
        <v>1.8</v>
      </c>
      <c r="AQ3021" s="1078" t="str">
        <f t="shared" si="384"/>
        <v>1-4-1S85°Z+S</v>
      </c>
      <c r="AR3021" s="1078" t="str">
        <f t="shared" si="385"/>
        <v>*</v>
      </c>
      <c r="AS3021" s="1078" t="str">
        <f t="shared" si="386"/>
        <v>156/153</v>
      </c>
      <c r="AT3021" s="1078" t="str">
        <f t="shared" si="387"/>
        <v>1-4-1S85°Z+S</v>
      </c>
      <c r="AU3021" s="1078" t="s">
        <v>15547</v>
      </c>
      <c r="AV3021" s="1078" t="str">
        <f t="shared" si="380"/>
        <v>112.12.20</v>
      </c>
      <c r="AW3021" s="1344">
        <f t="shared" si="381"/>
        <v>45280</v>
      </c>
    </row>
    <row r="3022" spans="1:49">
      <c r="A3022" s="1077" t="s">
        <v>8979</v>
      </c>
      <c r="B3022" s="1077" t="s">
        <v>8951</v>
      </c>
      <c r="C3022" s="1077">
        <v>500</v>
      </c>
      <c r="D3022" s="1077">
        <v>1.67</v>
      </c>
      <c r="E3022" s="1077" t="s">
        <v>15122</v>
      </c>
      <c r="F3022" s="1077" t="s">
        <v>975</v>
      </c>
      <c r="G3022" s="1077">
        <v>5</v>
      </c>
      <c r="H3022" s="1077" t="s">
        <v>8336</v>
      </c>
      <c r="I3022" s="1077" t="s">
        <v>643</v>
      </c>
      <c r="J3022" s="1077">
        <v>2.5</v>
      </c>
      <c r="K3022" s="1077" t="s">
        <v>8952</v>
      </c>
      <c r="L3022" s="1077" t="s">
        <v>8953</v>
      </c>
      <c r="M3022" s="1077">
        <v>462</v>
      </c>
      <c r="N3022" s="1077" t="s">
        <v>945</v>
      </c>
      <c r="O3022" s="1077">
        <v>11.55</v>
      </c>
      <c r="P3022" s="1077">
        <v>9.24</v>
      </c>
      <c r="Q3022" s="1077">
        <v>3.5</v>
      </c>
      <c r="R3022" s="1077">
        <v>20</v>
      </c>
      <c r="T3022" s="1077">
        <v>20</v>
      </c>
      <c r="U3022" s="1077">
        <v>4</v>
      </c>
      <c r="V3022" s="1077" t="s">
        <v>648</v>
      </c>
      <c r="W3022" s="1077">
        <v>110</v>
      </c>
      <c r="X3022" s="1077">
        <v>60</v>
      </c>
      <c r="Y3022" s="1077">
        <v>1</v>
      </c>
      <c r="Z3022" s="1077" t="s">
        <v>648</v>
      </c>
      <c r="AA3022" s="1077" t="s">
        <v>8385</v>
      </c>
      <c r="AH3022" s="1077" t="s">
        <v>838</v>
      </c>
      <c r="AI3022" s="1077">
        <v>94.82</v>
      </c>
      <c r="AJ3022" s="1077">
        <v>-0.84</v>
      </c>
      <c r="AK3022" s="1077">
        <v>1.89</v>
      </c>
      <c r="AM3022" s="1078" t="s">
        <v>14949</v>
      </c>
      <c r="AN3022" s="1078" t="s">
        <v>14950</v>
      </c>
      <c r="AO3022" s="1078">
        <f t="shared" si="382"/>
        <v>500</v>
      </c>
      <c r="AP3022" s="1078">
        <f t="shared" si="383"/>
        <v>1.67</v>
      </c>
      <c r="AQ3022" s="1078" t="str">
        <f t="shared" si="384"/>
        <v>1-5-1S91°Z+S</v>
      </c>
      <c r="AR3022" s="1078" t="str">
        <f t="shared" si="385"/>
        <v>31.5</v>
      </c>
      <c r="AS3022" s="1078" t="str">
        <f t="shared" si="386"/>
        <v>350/350/OFF</v>
      </c>
      <c r="AT3022" s="1078" t="str">
        <f t="shared" si="387"/>
        <v>1-5-1S91°Z+S</v>
      </c>
      <c r="AU3022" s="1078" t="s">
        <v>15547</v>
      </c>
      <c r="AV3022" s="1078" t="str">
        <f t="shared" si="380"/>
        <v>112.12.22</v>
      </c>
      <c r="AW3022" s="1344">
        <f t="shared" si="381"/>
        <v>45282</v>
      </c>
    </row>
    <row r="3023" spans="1:49">
      <c r="A3023" s="1077" t="s">
        <v>8980</v>
      </c>
      <c r="B3023" s="1077" t="s">
        <v>781</v>
      </c>
      <c r="C3023" s="1077">
        <v>450</v>
      </c>
      <c r="D3023" s="1077">
        <v>1.87</v>
      </c>
      <c r="E3023" s="1077" t="s">
        <v>15095</v>
      </c>
      <c r="F3023" s="1077" t="s">
        <v>975</v>
      </c>
      <c r="G3023" s="1077">
        <v>3</v>
      </c>
      <c r="H3023" s="1077" t="s">
        <v>8433</v>
      </c>
      <c r="I3023" s="1077" t="s">
        <v>626</v>
      </c>
      <c r="J3023" s="1077">
        <v>1.5</v>
      </c>
      <c r="K3023" s="1077" t="s">
        <v>8981</v>
      </c>
      <c r="L3023" s="1077" t="s">
        <v>8435</v>
      </c>
      <c r="M3023" s="1077">
        <v>80.8</v>
      </c>
      <c r="N3023" s="1077" t="s">
        <v>945</v>
      </c>
      <c r="O3023" s="1077">
        <v>2.02</v>
      </c>
      <c r="P3023" s="1077">
        <v>1.6159999999999999</v>
      </c>
      <c r="Q3023" s="1077">
        <v>3</v>
      </c>
      <c r="R3023" s="1077">
        <v>22.6</v>
      </c>
      <c r="T3023" s="1077">
        <v>6.2</v>
      </c>
      <c r="U3023" s="1077">
        <v>9.4</v>
      </c>
      <c r="V3023" s="1077" t="s">
        <v>648</v>
      </c>
      <c r="W3023" s="1077">
        <v>135</v>
      </c>
      <c r="X3023" s="1077">
        <v>55</v>
      </c>
      <c r="Y3023" s="1077">
        <v>1.6</v>
      </c>
      <c r="Z3023" s="1077">
        <v>3</v>
      </c>
      <c r="AA3023" s="1077" t="s">
        <v>8982</v>
      </c>
      <c r="AH3023" s="1077" t="s">
        <v>1486</v>
      </c>
      <c r="AI3023" s="1077">
        <v>93.02</v>
      </c>
      <c r="AJ3023" s="1077">
        <v>-0.23</v>
      </c>
      <c r="AK3023" s="1077">
        <v>0.59</v>
      </c>
      <c r="AM3023" s="1078" t="s">
        <v>14951</v>
      </c>
      <c r="AN3023" s="1078" t="s">
        <v>14952</v>
      </c>
      <c r="AO3023" s="1078">
        <f t="shared" si="382"/>
        <v>450</v>
      </c>
      <c r="AP3023" s="1078">
        <f t="shared" si="383"/>
        <v>1.87</v>
      </c>
      <c r="AQ3023" s="1078" t="str">
        <f t="shared" si="384"/>
        <v>1-5-1S83°</v>
      </c>
      <c r="AR3023" s="1078" t="str">
        <f t="shared" si="385"/>
        <v>31.5</v>
      </c>
      <c r="AS3023" s="1078" t="str">
        <f t="shared" si="386"/>
        <v>140/140/OFF</v>
      </c>
      <c r="AT3023" s="1078" t="str">
        <f t="shared" si="387"/>
        <v>1-5-1S83°</v>
      </c>
      <c r="AV3023" s="1078" t="str">
        <f t="shared" si="380"/>
        <v>113.2.1</v>
      </c>
      <c r="AW3023" s="1344">
        <f t="shared" si="381"/>
        <v>45323</v>
      </c>
    </row>
    <row r="3024" spans="1:49">
      <c r="A3024" s="1077" t="s">
        <v>8983</v>
      </c>
      <c r="B3024" s="1077" t="s">
        <v>8984</v>
      </c>
      <c r="C3024" s="1077">
        <v>500</v>
      </c>
      <c r="D3024" s="1077">
        <v>1.675</v>
      </c>
      <c r="E3024" s="1077" t="s">
        <v>15102</v>
      </c>
      <c r="F3024" s="1077" t="s">
        <v>954</v>
      </c>
      <c r="G3024" s="1077">
        <v>2</v>
      </c>
      <c r="H3024" s="1077" t="s">
        <v>8985</v>
      </c>
      <c r="I3024" s="1077" t="s">
        <v>1167</v>
      </c>
      <c r="J3024" s="1077">
        <v>0.7</v>
      </c>
      <c r="K3024" s="1077" t="s">
        <v>8986</v>
      </c>
      <c r="L3024" s="1077" t="s">
        <v>4062</v>
      </c>
      <c r="M3024" s="1077">
        <v>62</v>
      </c>
      <c r="N3024" s="1077" t="s">
        <v>945</v>
      </c>
      <c r="O3024" s="1077">
        <v>1.55</v>
      </c>
      <c r="P3024" s="1077">
        <v>1.55</v>
      </c>
      <c r="Q3024" s="1077">
        <v>3.5</v>
      </c>
      <c r="R3024" s="1077">
        <v>16</v>
      </c>
      <c r="T3024" s="1077">
        <v>23</v>
      </c>
      <c r="U3024" s="1077">
        <v>3</v>
      </c>
      <c r="V3024" s="1077" t="s">
        <v>648</v>
      </c>
      <c r="W3024" s="1077">
        <v>125</v>
      </c>
      <c r="X3024" s="1077">
        <v>80</v>
      </c>
      <c r="Y3024" s="1077">
        <v>2</v>
      </c>
      <c r="Z3024" s="1077">
        <v>3</v>
      </c>
      <c r="AA3024" s="1077" t="s">
        <v>3925</v>
      </c>
      <c r="AH3024" s="1077" t="s">
        <v>647</v>
      </c>
      <c r="AI3024" s="1077">
        <v>94.05</v>
      </c>
      <c r="AJ3024" s="1077">
        <v>-0.4</v>
      </c>
      <c r="AK3024" s="1077">
        <v>1.05</v>
      </c>
      <c r="AM3024" s="1078" t="s">
        <v>14953</v>
      </c>
      <c r="AN3024" s="1078" t="s">
        <v>14954</v>
      </c>
      <c r="AO3024" s="1078">
        <f t="shared" si="382"/>
        <v>500</v>
      </c>
      <c r="AP3024" s="1078">
        <f t="shared" si="383"/>
        <v>1.675</v>
      </c>
      <c r="AQ3024" s="1078" t="str">
        <f t="shared" si="384"/>
        <v>2-6-1S83°</v>
      </c>
      <c r="AR3024" s="1078" t="str">
        <f t="shared" si="385"/>
        <v>31</v>
      </c>
      <c r="AS3024" s="1078" t="str">
        <f t="shared" si="386"/>
        <v>212/OFF</v>
      </c>
      <c r="AT3024" s="1078" t="str">
        <f t="shared" si="387"/>
        <v>2-6-1S83°</v>
      </c>
      <c r="AV3024" s="1078" t="str">
        <f t="shared" si="380"/>
        <v>113.2.15</v>
      </c>
      <c r="AW3024" s="1344">
        <f t="shared" si="381"/>
        <v>45337</v>
      </c>
    </row>
    <row r="3025" spans="1:49">
      <c r="A3025" s="1077" t="s">
        <v>8987</v>
      </c>
      <c r="B3025" s="1077" t="s">
        <v>8944</v>
      </c>
      <c r="C3025" s="1077">
        <v>500</v>
      </c>
      <c r="D3025" s="1077">
        <v>1.74</v>
      </c>
      <c r="E3025" s="1077" t="s">
        <v>15089</v>
      </c>
      <c r="F3025" s="1077" t="s">
        <v>2167</v>
      </c>
      <c r="G3025" s="1077">
        <v>1</v>
      </c>
      <c r="H3025" s="1077" t="s">
        <v>8988</v>
      </c>
      <c r="I3025" s="1077" t="s">
        <v>942</v>
      </c>
      <c r="J3025" s="1077">
        <v>1.6</v>
      </c>
      <c r="K3025" s="1077" t="s">
        <v>8989</v>
      </c>
      <c r="L3025" s="1077" t="s">
        <v>8990</v>
      </c>
      <c r="M3025" s="1077">
        <v>30.8</v>
      </c>
      <c r="N3025" s="1077" t="s">
        <v>945</v>
      </c>
      <c r="O3025" s="1077">
        <v>0.77</v>
      </c>
      <c r="P3025" s="1077">
        <v>0.61599999999999999</v>
      </c>
      <c r="Q3025" s="1077">
        <v>3.5</v>
      </c>
      <c r="R3025" s="1077">
        <v>26</v>
      </c>
      <c r="T3025" s="1077">
        <v>26</v>
      </c>
      <c r="U3025" s="1077">
        <v>2.2999999999999998</v>
      </c>
      <c r="V3025" s="1077" t="s">
        <v>648</v>
      </c>
      <c r="W3025" s="1077">
        <v>140</v>
      </c>
      <c r="X3025" s="1077">
        <v>80</v>
      </c>
      <c r="Y3025" s="1077">
        <v>3</v>
      </c>
      <c r="Z3025" s="1077">
        <v>3.5</v>
      </c>
      <c r="AA3025" s="1077" t="s">
        <v>3930</v>
      </c>
      <c r="AH3025" s="1077" t="s">
        <v>783</v>
      </c>
      <c r="AI3025" s="1077">
        <v>91.06</v>
      </c>
      <c r="AJ3025" s="1077">
        <v>-0.11</v>
      </c>
      <c r="AK3025" s="1077">
        <v>0.77</v>
      </c>
      <c r="AM3025" s="1078" t="s">
        <v>14955</v>
      </c>
      <c r="AN3025" s="1078" t="s">
        <v>14956</v>
      </c>
      <c r="AO3025" s="1078">
        <f t="shared" si="382"/>
        <v>500</v>
      </c>
      <c r="AP3025" s="1078">
        <f t="shared" si="383"/>
        <v>1.74</v>
      </c>
      <c r="AQ3025" s="1078" t="str">
        <f t="shared" si="384"/>
        <v>1-4-1S83°</v>
      </c>
      <c r="AR3025" s="1078" t="str">
        <f t="shared" si="385"/>
        <v>33</v>
      </c>
      <c r="AS3025" s="1078" t="str">
        <f t="shared" si="386"/>
        <v>220/220/120</v>
      </c>
      <c r="AT3025" s="1078" t="str">
        <f t="shared" si="387"/>
        <v>1-4-1S83°</v>
      </c>
      <c r="AV3025" s="1078" t="str">
        <f t="shared" si="380"/>
        <v>113.2.19</v>
      </c>
      <c r="AW3025" s="1344">
        <f t="shared" si="381"/>
        <v>45341</v>
      </c>
    </row>
    <row r="3026" spans="1:49">
      <c r="A3026" s="1077" t="s">
        <v>8991</v>
      </c>
      <c r="B3026" s="1077" t="s">
        <v>8466</v>
      </c>
      <c r="C3026" s="1077">
        <v>600</v>
      </c>
      <c r="D3026" s="1077">
        <v>1.766</v>
      </c>
      <c r="E3026" s="1077" t="s">
        <v>15121</v>
      </c>
      <c r="F3026" s="1077" t="s">
        <v>2520</v>
      </c>
      <c r="G3026" s="1077">
        <v>4</v>
      </c>
      <c r="H3026" s="1077" t="s">
        <v>6608</v>
      </c>
      <c r="I3026" s="1077" t="s">
        <v>126</v>
      </c>
      <c r="J3026" s="1077">
        <v>1.9</v>
      </c>
      <c r="K3026" s="1077" t="s">
        <v>8992</v>
      </c>
      <c r="L3026" s="1077" t="s">
        <v>4080</v>
      </c>
      <c r="M3026" s="1077">
        <v>202</v>
      </c>
      <c r="N3026" s="1077" t="s">
        <v>945</v>
      </c>
      <c r="O3026" s="1077">
        <v>5.0500000000000007</v>
      </c>
      <c r="P3026" s="1077">
        <v>4.04</v>
      </c>
      <c r="Q3026" s="1077">
        <v>4</v>
      </c>
      <c r="R3026" s="1077">
        <v>20</v>
      </c>
      <c r="T3026" s="1077">
        <v>11</v>
      </c>
      <c r="U3026" s="1077">
        <v>3.7</v>
      </c>
      <c r="V3026" s="1077" t="s">
        <v>648</v>
      </c>
      <c r="W3026" s="1077">
        <v>115</v>
      </c>
      <c r="X3026" s="1077">
        <v>70</v>
      </c>
      <c r="Y3026" s="1077">
        <v>1.6</v>
      </c>
      <c r="Z3026" s="1077" t="s">
        <v>648</v>
      </c>
      <c r="AA3026" s="1077" t="s">
        <v>1653</v>
      </c>
      <c r="AH3026" s="1077" t="s">
        <v>650</v>
      </c>
      <c r="AI3026" s="1077">
        <v>95.66</v>
      </c>
      <c r="AJ3026" s="1077">
        <v>-0.2</v>
      </c>
      <c r="AK3026" s="1077">
        <v>0.99</v>
      </c>
      <c r="AM3026" s="1078" t="s">
        <v>14957</v>
      </c>
      <c r="AN3026" s="1078" t="s">
        <v>14958</v>
      </c>
      <c r="AO3026" s="1078">
        <f t="shared" si="382"/>
        <v>600</v>
      </c>
      <c r="AP3026" s="1078">
        <f t="shared" si="383"/>
        <v>1.766</v>
      </c>
      <c r="AQ3026" s="1078" t="str">
        <f t="shared" si="384"/>
        <v>1-5-1S85°S+Z</v>
      </c>
      <c r="AR3026" s="1078" t="str">
        <f t="shared" si="385"/>
        <v>*</v>
      </c>
      <c r="AS3026" s="1078" t="str">
        <f t="shared" si="386"/>
        <v>170/150</v>
      </c>
      <c r="AT3026" s="1078" t="str">
        <f t="shared" si="387"/>
        <v>1-5-1S85°S+Z</v>
      </c>
      <c r="AU3026" s="1078" t="s">
        <v>15550</v>
      </c>
      <c r="AV3026" s="1078" t="str">
        <f t="shared" si="380"/>
        <v>113.3.1</v>
      </c>
      <c r="AW3026" s="1344">
        <f t="shared" si="381"/>
        <v>45352</v>
      </c>
    </row>
    <row r="3027" spans="1:49">
      <c r="A3027" s="1077" t="s">
        <v>8993</v>
      </c>
      <c r="B3027" s="1077" t="s">
        <v>8984</v>
      </c>
      <c r="C3027" s="1077">
        <v>500</v>
      </c>
      <c r="D3027" s="1077">
        <v>1.675</v>
      </c>
      <c r="E3027" s="1077" t="s">
        <v>15102</v>
      </c>
      <c r="F3027" s="1077" t="s">
        <v>3659</v>
      </c>
      <c r="G3027" s="1077">
        <v>2</v>
      </c>
      <c r="H3027" s="1077" t="s">
        <v>8985</v>
      </c>
      <c r="I3027" s="1077" t="s">
        <v>1167</v>
      </c>
      <c r="J3027" s="1077">
        <v>0.7</v>
      </c>
      <c r="K3027" s="1077" t="s">
        <v>8986</v>
      </c>
      <c r="L3027" s="1077" t="s">
        <v>4062</v>
      </c>
      <c r="M3027" s="1077">
        <v>62</v>
      </c>
      <c r="N3027" s="1077" t="s">
        <v>945</v>
      </c>
      <c r="O3027" s="1077">
        <v>1.55</v>
      </c>
      <c r="P3027" s="1077">
        <v>1.55</v>
      </c>
      <c r="Q3027" s="1077">
        <v>3.5</v>
      </c>
      <c r="R3027" s="1077">
        <v>16</v>
      </c>
      <c r="T3027" s="1077">
        <v>23</v>
      </c>
      <c r="U3027" s="1077">
        <v>3</v>
      </c>
      <c r="V3027" s="1077" t="s">
        <v>648</v>
      </c>
      <c r="W3027" s="1077">
        <v>125</v>
      </c>
      <c r="X3027" s="1077">
        <v>80</v>
      </c>
      <c r="Y3027" s="1077">
        <v>2</v>
      </c>
      <c r="Z3027" s="1077">
        <v>3</v>
      </c>
      <c r="AA3027" s="1077" t="s">
        <v>4494</v>
      </c>
      <c r="AH3027" s="1077" t="s">
        <v>646</v>
      </c>
      <c r="AI3027" s="1077">
        <v>94.16</v>
      </c>
      <c r="AJ3027" s="1077">
        <v>-0.15</v>
      </c>
      <c r="AK3027" s="1077">
        <v>1.02</v>
      </c>
      <c r="AM3027" s="1078" t="s">
        <v>14959</v>
      </c>
      <c r="AN3027" s="1078" t="s">
        <v>14960</v>
      </c>
      <c r="AO3027" s="1078">
        <f t="shared" si="382"/>
        <v>500</v>
      </c>
      <c r="AP3027" s="1078">
        <f t="shared" si="383"/>
        <v>1.675</v>
      </c>
      <c r="AQ3027" s="1078" t="str">
        <f t="shared" si="384"/>
        <v>2-6-1S83°</v>
      </c>
      <c r="AR3027" s="1078" t="str">
        <f t="shared" si="385"/>
        <v>31.4</v>
      </c>
      <c r="AS3027" s="1078" t="str">
        <f t="shared" si="386"/>
        <v>212/OFF</v>
      </c>
      <c r="AT3027" s="1078" t="str">
        <f t="shared" si="387"/>
        <v>2-6-1S83°</v>
      </c>
      <c r="AV3027" s="1078" t="str">
        <f t="shared" si="380"/>
        <v>113.3.13</v>
      </c>
      <c r="AW3027" s="1344">
        <f t="shared" si="381"/>
        <v>45364</v>
      </c>
    </row>
    <row r="3028" spans="1:49">
      <c r="A3028" s="1077" t="s">
        <v>8994</v>
      </c>
      <c r="B3028" s="1077" t="s">
        <v>8662</v>
      </c>
      <c r="C3028" s="1077">
        <v>500</v>
      </c>
      <c r="D3028" s="1077">
        <v>1.79</v>
      </c>
      <c r="E3028" s="1077" t="s">
        <v>15089</v>
      </c>
      <c r="F3028" s="1077" t="s">
        <v>984</v>
      </c>
      <c r="G3028" s="1077">
        <v>2</v>
      </c>
      <c r="H3028" s="1077" t="s">
        <v>1017</v>
      </c>
      <c r="I3028" s="1077" t="s">
        <v>126</v>
      </c>
      <c r="J3028" s="1077">
        <v>1.6</v>
      </c>
      <c r="K3028" s="1077" t="s">
        <v>8995</v>
      </c>
      <c r="L3028" s="1077" t="s">
        <v>8664</v>
      </c>
      <c r="M3028" s="1077">
        <v>41.5</v>
      </c>
      <c r="N3028" s="1077" t="s">
        <v>945</v>
      </c>
      <c r="O3028" s="1077">
        <v>1.0375000000000001</v>
      </c>
      <c r="P3028" s="1077">
        <v>0.83000000000000007</v>
      </c>
      <c r="Q3028" s="1077">
        <v>3</v>
      </c>
      <c r="R3028" s="1077">
        <v>23</v>
      </c>
      <c r="T3028" s="1077">
        <v>28</v>
      </c>
      <c r="U3028" s="1077">
        <v>3.5</v>
      </c>
      <c r="V3028" s="1077" t="s">
        <v>648</v>
      </c>
      <c r="W3028" s="1077">
        <v>110</v>
      </c>
      <c r="X3028" s="1077">
        <v>70</v>
      </c>
      <c r="Y3028" s="1077">
        <v>3</v>
      </c>
      <c r="Z3028" s="1077">
        <v>4.5</v>
      </c>
      <c r="AA3028" s="1077" t="s">
        <v>3954</v>
      </c>
      <c r="AH3028" s="1077" t="s">
        <v>783</v>
      </c>
      <c r="AI3028" s="1077">
        <v>92.29</v>
      </c>
      <c r="AJ3028" s="1077">
        <v>-0.12</v>
      </c>
      <c r="AK3028" s="1077">
        <v>0.32</v>
      </c>
      <c r="AM3028" s="1078" t="s">
        <v>14961</v>
      </c>
      <c r="AN3028" s="1078" t="s">
        <v>14962</v>
      </c>
      <c r="AO3028" s="1078">
        <f t="shared" si="382"/>
        <v>500</v>
      </c>
      <c r="AP3028" s="1078">
        <f t="shared" si="383"/>
        <v>1.79</v>
      </c>
      <c r="AQ3028" s="1078" t="str">
        <f t="shared" si="384"/>
        <v>1-4-1S83°</v>
      </c>
      <c r="AR3028" s="1078" t="str">
        <f t="shared" si="385"/>
        <v>30</v>
      </c>
      <c r="AS3028" s="1078" t="str">
        <f t="shared" si="386"/>
        <v>200/200/OFF</v>
      </c>
      <c r="AT3028" s="1078" t="str">
        <f t="shared" si="387"/>
        <v>1-4-1S83°</v>
      </c>
      <c r="AV3028" s="1078" t="str">
        <f t="shared" si="380"/>
        <v>113.3.25</v>
      </c>
      <c r="AW3028" s="1344">
        <f t="shared" si="381"/>
        <v>45376</v>
      </c>
    </row>
    <row r="3029" spans="1:49">
      <c r="A3029" s="1077" t="s">
        <v>8996</v>
      </c>
      <c r="B3029" s="1077" t="s">
        <v>8631</v>
      </c>
      <c r="C3029" s="1077">
        <v>600</v>
      </c>
      <c r="D3029" s="1077">
        <v>1.75</v>
      </c>
      <c r="E3029" s="1077" t="s">
        <v>15109</v>
      </c>
      <c r="F3029" s="1077" t="s">
        <v>648</v>
      </c>
      <c r="G3029" s="1077">
        <v>5</v>
      </c>
      <c r="H3029" s="1077" t="s">
        <v>3570</v>
      </c>
      <c r="I3029" s="1077" t="s">
        <v>460</v>
      </c>
      <c r="J3029" s="1077">
        <v>2.2999999999999998</v>
      </c>
      <c r="K3029" s="1077" t="s">
        <v>8904</v>
      </c>
      <c r="L3029" s="1077" t="s">
        <v>4029</v>
      </c>
      <c r="M3029" s="1077">
        <v>206</v>
      </c>
      <c r="N3029" s="1077" t="s">
        <v>945</v>
      </c>
      <c r="O3029" s="1077">
        <v>5.15</v>
      </c>
      <c r="P3029" s="1077">
        <v>4.12</v>
      </c>
      <c r="Q3029" s="1077">
        <v>4</v>
      </c>
      <c r="R3029" s="1077">
        <v>20</v>
      </c>
      <c r="T3029" s="1077">
        <v>18.5</v>
      </c>
      <c r="U3029" s="1077">
        <v>4.0999999999999996</v>
      </c>
      <c r="V3029" s="1077" t="s">
        <v>648</v>
      </c>
      <c r="W3029" s="1077">
        <v>120</v>
      </c>
      <c r="X3029" s="1077">
        <v>85</v>
      </c>
      <c r="Y3029" s="1077">
        <v>1.5</v>
      </c>
      <c r="Z3029" s="1077" t="s">
        <v>648</v>
      </c>
      <c r="AA3029" s="1077" t="s">
        <v>7784</v>
      </c>
      <c r="AH3029" s="1077" t="s">
        <v>647</v>
      </c>
      <c r="AI3029" s="1077">
        <v>94.39</v>
      </c>
      <c r="AJ3029" s="1077">
        <v>-0.57999999999999996</v>
      </c>
      <c r="AK3029" s="1077">
        <v>1.27</v>
      </c>
      <c r="AM3029" s="1078" t="s">
        <v>14963</v>
      </c>
      <c r="AN3029" s="1078" t="s">
        <v>14964</v>
      </c>
      <c r="AO3029" s="1078">
        <f t="shared" si="382"/>
        <v>600</v>
      </c>
      <c r="AP3029" s="1078">
        <f t="shared" si="383"/>
        <v>1.75</v>
      </c>
      <c r="AQ3029" s="1078" t="str">
        <f t="shared" si="384"/>
        <v>1-5-1S85°Z+S</v>
      </c>
      <c r="AR3029" s="1078" t="str">
        <f t="shared" si="385"/>
        <v>NA</v>
      </c>
      <c r="AS3029" s="1078" t="str">
        <f t="shared" si="386"/>
        <v>165/150</v>
      </c>
      <c r="AT3029" s="1078" t="str">
        <f t="shared" si="387"/>
        <v>1-5-1S85°Z+S</v>
      </c>
      <c r="AU3029" s="1078" t="s">
        <v>15547</v>
      </c>
      <c r="AV3029" s="1078" t="str">
        <f t="shared" si="380"/>
        <v>113.4.2</v>
      </c>
      <c r="AW3029" s="1344">
        <f t="shared" si="381"/>
        <v>45384</v>
      </c>
    </row>
    <row r="3030" spans="1:49">
      <c r="A3030" s="1077" t="s">
        <v>8997</v>
      </c>
      <c r="B3030" s="1077" t="s">
        <v>8944</v>
      </c>
      <c r="C3030" s="1077">
        <v>500</v>
      </c>
      <c r="D3030" s="1077">
        <v>1.74</v>
      </c>
      <c r="E3030" s="1077" t="s">
        <v>15089</v>
      </c>
      <c r="F3030" s="1077" t="s">
        <v>2167</v>
      </c>
      <c r="G3030" s="1077">
        <v>2</v>
      </c>
      <c r="H3030" s="1077" t="s">
        <v>1649</v>
      </c>
      <c r="I3030" s="1077" t="s">
        <v>1073</v>
      </c>
      <c r="J3030" s="1077">
        <v>1.7</v>
      </c>
      <c r="K3030" s="1077" t="s">
        <v>8998</v>
      </c>
      <c r="L3030" s="1077" t="s">
        <v>8990</v>
      </c>
      <c r="M3030" s="1077">
        <v>31.3</v>
      </c>
      <c r="N3030" s="1077" t="s">
        <v>945</v>
      </c>
      <c r="O3030" s="1077">
        <v>0.78250000000000008</v>
      </c>
      <c r="P3030" s="1077">
        <v>0.626</v>
      </c>
      <c r="Q3030" s="1077">
        <v>4</v>
      </c>
      <c r="R3030" s="1077">
        <v>20</v>
      </c>
      <c r="T3030" s="1077">
        <v>37</v>
      </c>
      <c r="U3030" s="1077">
        <v>3.5</v>
      </c>
      <c r="V3030" s="1077" t="s">
        <v>648</v>
      </c>
      <c r="W3030" s="1077">
        <v>150</v>
      </c>
      <c r="X3030" s="1077">
        <v>85</v>
      </c>
      <c r="Y3030" s="1077">
        <v>3.5</v>
      </c>
      <c r="Z3030" s="1077">
        <v>3.5</v>
      </c>
      <c r="AA3030" s="1077" t="s">
        <v>7784</v>
      </c>
      <c r="AH3030" s="1077" t="s">
        <v>1421</v>
      </c>
      <c r="AI3030" s="1077">
        <v>93.07</v>
      </c>
      <c r="AJ3030" s="1077">
        <v>-0.26</v>
      </c>
      <c r="AK3030" s="1077">
        <v>0.47</v>
      </c>
      <c r="AM3030" s="1078" t="s">
        <v>14965</v>
      </c>
      <c r="AN3030" s="1078" t="s">
        <v>14966</v>
      </c>
      <c r="AO3030" s="1078">
        <f t="shared" si="382"/>
        <v>500</v>
      </c>
      <c r="AP3030" s="1078">
        <f t="shared" si="383"/>
        <v>1.74</v>
      </c>
      <c r="AQ3030" s="1078" t="str">
        <f t="shared" si="384"/>
        <v>1-4-1S83°</v>
      </c>
      <c r="AR3030" s="1078" t="str">
        <f t="shared" si="385"/>
        <v>33</v>
      </c>
      <c r="AS3030" s="1078" t="str">
        <f t="shared" si="386"/>
        <v>225/225/OFF</v>
      </c>
      <c r="AT3030" s="1078" t="str">
        <f t="shared" si="387"/>
        <v>1-4-1S83°</v>
      </c>
      <c r="AV3030" s="1078" t="str">
        <f t="shared" si="380"/>
        <v>113.4.2</v>
      </c>
      <c r="AW3030" s="1344">
        <f t="shared" si="381"/>
        <v>45384</v>
      </c>
    </row>
    <row r="3031" spans="1:49">
      <c r="A3031" s="1077" t="s">
        <v>8999</v>
      </c>
      <c r="B3031" s="1077" t="s">
        <v>8984</v>
      </c>
      <c r="C3031" s="1077">
        <v>500</v>
      </c>
      <c r="D3031" s="1077">
        <v>1.645</v>
      </c>
      <c r="E3031" s="1077" t="s">
        <v>15102</v>
      </c>
      <c r="F3031" s="1077" t="s">
        <v>1514</v>
      </c>
      <c r="G3031" s="1077">
        <v>2</v>
      </c>
      <c r="H3031" s="1077" t="s">
        <v>8985</v>
      </c>
      <c r="I3031" s="1077" t="s">
        <v>1167</v>
      </c>
      <c r="J3031" s="1077">
        <v>0.7</v>
      </c>
      <c r="K3031" s="1077" t="s">
        <v>9000</v>
      </c>
      <c r="L3031" s="1077" t="s">
        <v>4062</v>
      </c>
      <c r="M3031" s="1077">
        <v>63.5</v>
      </c>
      <c r="N3031" s="1077" t="s">
        <v>945</v>
      </c>
      <c r="O3031" s="1077">
        <v>1.5875000000000001</v>
      </c>
      <c r="P3031" s="1077">
        <v>1.5875000000000001</v>
      </c>
      <c r="Q3031" s="1077">
        <v>3.5</v>
      </c>
      <c r="R3031" s="1077">
        <v>16</v>
      </c>
      <c r="T3031" s="1077">
        <v>23</v>
      </c>
      <c r="U3031" s="1077">
        <v>3</v>
      </c>
      <c r="V3031" s="1077" t="s">
        <v>648</v>
      </c>
      <c r="W3031" s="1077">
        <v>125</v>
      </c>
      <c r="X3031" s="1077">
        <v>80</v>
      </c>
      <c r="Y3031" s="1077">
        <v>2</v>
      </c>
      <c r="Z3031" s="1077">
        <v>3</v>
      </c>
      <c r="AA3031" s="1077" t="s">
        <v>4494</v>
      </c>
      <c r="AH3031" s="1077" t="s">
        <v>646</v>
      </c>
      <c r="AI3031" s="1077">
        <v>93.23</v>
      </c>
      <c r="AJ3031" s="1077">
        <v>-0.12</v>
      </c>
      <c r="AK3031" s="1077">
        <v>0.88</v>
      </c>
      <c r="AM3031" s="1078" t="s">
        <v>14967</v>
      </c>
      <c r="AN3031" s="1078" t="s">
        <v>14968</v>
      </c>
      <c r="AO3031" s="1078">
        <f t="shared" si="382"/>
        <v>500</v>
      </c>
      <c r="AP3031" s="1078">
        <f t="shared" si="383"/>
        <v>1.645</v>
      </c>
      <c r="AQ3031" s="1078" t="str">
        <f t="shared" si="384"/>
        <v>2-6-1S83°</v>
      </c>
      <c r="AR3031" s="1078" t="str">
        <f t="shared" si="385"/>
        <v>32</v>
      </c>
      <c r="AS3031" s="1078" t="str">
        <f t="shared" si="386"/>
        <v>212/OFF</v>
      </c>
      <c r="AT3031" s="1078" t="str">
        <f t="shared" si="387"/>
        <v>2-6-1S83°</v>
      </c>
      <c r="AV3031" s="1078" t="str">
        <f t="shared" si="380"/>
        <v>113.3.13</v>
      </c>
      <c r="AW3031" s="1344">
        <f t="shared" si="381"/>
        <v>45364</v>
      </c>
    </row>
    <row r="3032" spans="1:49">
      <c r="A3032" s="1077" t="s">
        <v>9001</v>
      </c>
      <c r="B3032" s="1077" t="s">
        <v>8951</v>
      </c>
      <c r="C3032" s="1077">
        <v>500</v>
      </c>
      <c r="D3032" s="1077">
        <v>1.7</v>
      </c>
      <c r="E3032" s="1077" t="s">
        <v>15116</v>
      </c>
      <c r="F3032" s="1077" t="s">
        <v>1398</v>
      </c>
      <c r="G3032" s="1077">
        <v>5</v>
      </c>
      <c r="H3032" s="1077" t="s">
        <v>8336</v>
      </c>
      <c r="I3032" s="1077" t="s">
        <v>643</v>
      </c>
      <c r="J3032" s="1077">
        <v>2.1</v>
      </c>
      <c r="K3032" s="1077" t="s">
        <v>8952</v>
      </c>
      <c r="L3032" s="1077" t="s">
        <v>8953</v>
      </c>
      <c r="M3032" s="1077">
        <v>462</v>
      </c>
      <c r="N3032" s="1077" t="s">
        <v>945</v>
      </c>
      <c r="O3032" s="1077">
        <v>11.55</v>
      </c>
      <c r="P3032" s="1077">
        <v>9.24</v>
      </c>
      <c r="Q3032" s="1077">
        <v>3.5</v>
      </c>
      <c r="R3032" s="1077">
        <v>20</v>
      </c>
      <c r="T3032" s="1077">
        <v>20</v>
      </c>
      <c r="U3032" s="1077">
        <v>4</v>
      </c>
      <c r="V3032" s="1077" t="s">
        <v>648</v>
      </c>
      <c r="W3032" s="1077">
        <v>110</v>
      </c>
      <c r="X3032" s="1077">
        <v>60</v>
      </c>
      <c r="Y3032" s="1077">
        <v>1</v>
      </c>
      <c r="Z3032" s="1077" t="s">
        <v>648</v>
      </c>
      <c r="AA3032" s="1077" t="s">
        <v>9002</v>
      </c>
      <c r="AH3032" s="1077" t="s">
        <v>8854</v>
      </c>
      <c r="AI3032" s="1077">
        <v>94.52</v>
      </c>
      <c r="AJ3032" s="1077">
        <v>-0.85</v>
      </c>
      <c r="AK3032" s="1077">
        <v>1.64</v>
      </c>
      <c r="AM3032" s="1078" t="s">
        <v>14969</v>
      </c>
      <c r="AN3032" s="1078" t="s">
        <v>14970</v>
      </c>
      <c r="AO3032" s="1078">
        <f t="shared" si="382"/>
        <v>500</v>
      </c>
      <c r="AP3032" s="1078">
        <f t="shared" si="383"/>
        <v>1.7</v>
      </c>
      <c r="AQ3032" s="1078" t="str">
        <f t="shared" si="384"/>
        <v>1-5-1S83°Z+S</v>
      </c>
      <c r="AR3032" s="1078" t="str">
        <f t="shared" si="385"/>
        <v>32.5</v>
      </c>
      <c r="AS3032" s="1078" t="str">
        <f t="shared" si="386"/>
        <v>350/350/OFF</v>
      </c>
      <c r="AT3032" s="1078" t="str">
        <f t="shared" si="387"/>
        <v>1-5-1S83°Z+S</v>
      </c>
      <c r="AU3032" s="1078" t="s">
        <v>15547</v>
      </c>
      <c r="AV3032" s="1078" t="str">
        <f t="shared" si="380"/>
        <v>113.5.14</v>
      </c>
      <c r="AW3032" s="1344">
        <f t="shared" si="381"/>
        <v>45426</v>
      </c>
    </row>
    <row r="3033" spans="1:49">
      <c r="A3033" s="1077" t="s">
        <v>9003</v>
      </c>
      <c r="B3033" s="1077" t="s">
        <v>654</v>
      </c>
      <c r="C3033" s="1077">
        <v>550</v>
      </c>
      <c r="D3033" s="1077">
        <v>1.68</v>
      </c>
      <c r="E3033" s="1077">
        <v>102.5</v>
      </c>
      <c r="F3033" s="1077" t="s">
        <v>4070</v>
      </c>
      <c r="G3033" s="1077">
        <v>5.5</v>
      </c>
      <c r="H3033" s="1077" t="s">
        <v>8968</v>
      </c>
      <c r="I3033" s="1077" t="s">
        <v>643</v>
      </c>
      <c r="J3033" s="1077">
        <v>3.4</v>
      </c>
      <c r="K3033" s="1077" t="s">
        <v>9004</v>
      </c>
      <c r="L3033" s="1077" t="s">
        <v>8960</v>
      </c>
      <c r="M3033" s="1077">
        <v>427.4</v>
      </c>
      <c r="N3033" s="1077" t="s">
        <v>945</v>
      </c>
      <c r="O3033" s="1077">
        <v>10.685</v>
      </c>
      <c r="P3033" s="1077">
        <v>8.548</v>
      </c>
      <c r="Q3033" s="1077">
        <v>3.5</v>
      </c>
      <c r="R3033" s="1077">
        <v>19.600000000000001</v>
      </c>
      <c r="T3033" s="1077">
        <v>14.9</v>
      </c>
      <c r="U3033" s="1077">
        <v>4.2</v>
      </c>
      <c r="V3033" s="1077" t="s">
        <v>648</v>
      </c>
      <c r="W3033" s="1077">
        <v>120</v>
      </c>
      <c r="X3033" s="1077">
        <v>90</v>
      </c>
      <c r="Y3033" s="1077">
        <v>1</v>
      </c>
      <c r="Z3033" s="1077" t="s">
        <v>648</v>
      </c>
      <c r="AA3033" s="1077" t="s">
        <v>7843</v>
      </c>
      <c r="AH3033" s="1077" t="s">
        <v>869</v>
      </c>
      <c r="AI3033" s="1077">
        <v>90.49</v>
      </c>
      <c r="AJ3033" s="1077">
        <v>-0.12</v>
      </c>
      <c r="AK3033" s="1077">
        <v>1.43</v>
      </c>
      <c r="AM3033" s="1078" t="s">
        <v>14971</v>
      </c>
      <c r="AN3033" s="1078" t="s">
        <v>14972</v>
      </c>
      <c r="AO3033" s="1078">
        <f t="shared" si="382"/>
        <v>550</v>
      </c>
      <c r="AP3033" s="1078">
        <f t="shared" si="383"/>
        <v>1.68</v>
      </c>
      <c r="AQ3033" s="1078">
        <f t="shared" si="384"/>
        <v>102.5</v>
      </c>
      <c r="AR3033" s="1078" t="str">
        <f t="shared" si="385"/>
        <v>15.5</v>
      </c>
      <c r="AS3033" s="1078" t="str">
        <f t="shared" si="386"/>
        <v>485/425/160</v>
      </c>
      <c r="AT3033" s="1078">
        <f t="shared" si="387"/>
        <v>102.5</v>
      </c>
      <c r="AV3033" s="1078" t="str">
        <f t="shared" si="380"/>
        <v>113.5.16</v>
      </c>
      <c r="AW3033" s="1344">
        <f t="shared" si="381"/>
        <v>45428</v>
      </c>
    </row>
    <row r="3034" spans="1:49">
      <c r="A3034" s="1077" t="s">
        <v>9005</v>
      </c>
      <c r="B3034" s="1077" t="s">
        <v>8944</v>
      </c>
      <c r="C3034" s="1077">
        <v>500</v>
      </c>
      <c r="D3034" s="1077">
        <v>1.74</v>
      </c>
      <c r="E3034" s="1077" t="s">
        <v>15091</v>
      </c>
      <c r="F3034" s="1077" t="s">
        <v>975</v>
      </c>
      <c r="G3034" s="1077">
        <v>2</v>
      </c>
      <c r="H3034" s="1077" t="s">
        <v>1263</v>
      </c>
      <c r="I3034" s="1077" t="s">
        <v>1073</v>
      </c>
      <c r="J3034" s="1077">
        <v>1.5</v>
      </c>
      <c r="K3034" s="1077" t="s">
        <v>9006</v>
      </c>
      <c r="L3034" s="1077" t="s">
        <v>8990</v>
      </c>
      <c r="M3034" s="1077">
        <v>31.3</v>
      </c>
      <c r="N3034" s="1077" t="s">
        <v>945</v>
      </c>
      <c r="O3034" s="1077">
        <v>0.78250000000000008</v>
      </c>
      <c r="P3034" s="1077">
        <v>0.626</v>
      </c>
      <c r="Q3034" s="1077">
        <v>4</v>
      </c>
      <c r="R3034" s="1077" t="s">
        <v>9007</v>
      </c>
      <c r="T3034" s="1077" t="s">
        <v>9008</v>
      </c>
      <c r="U3034" s="1077" t="s">
        <v>9009</v>
      </c>
      <c r="V3034" s="1077" t="s">
        <v>648</v>
      </c>
      <c r="W3034" s="1077">
        <v>150</v>
      </c>
      <c r="X3034" s="1077">
        <v>85</v>
      </c>
      <c r="Y3034" s="1077">
        <v>3.5</v>
      </c>
      <c r="Z3034" s="1077">
        <v>3.5</v>
      </c>
      <c r="AA3034" s="1077" t="s">
        <v>6568</v>
      </c>
      <c r="AH3034" s="1077" t="s">
        <v>853</v>
      </c>
      <c r="AI3034" s="1077">
        <v>92.22</v>
      </c>
      <c r="AJ3034" s="1077">
        <v>-0.01</v>
      </c>
      <c r="AK3034" s="1077">
        <v>1.27</v>
      </c>
      <c r="AM3034" s="1078" t="s">
        <v>14973</v>
      </c>
      <c r="AN3034" s="1078" t="s">
        <v>14974</v>
      </c>
      <c r="AO3034" s="1078">
        <f t="shared" si="382"/>
        <v>500</v>
      </c>
      <c r="AP3034" s="1078">
        <f t="shared" si="383"/>
        <v>1.74</v>
      </c>
      <c r="AQ3034" s="1078" t="str">
        <f t="shared" si="384"/>
        <v>2-5-1S83°</v>
      </c>
      <c r="AR3034" s="1078" t="str">
        <f t="shared" si="385"/>
        <v>31.5</v>
      </c>
      <c r="AS3034" s="1078" t="str">
        <f t="shared" si="386"/>
        <v>163/OFF</v>
      </c>
      <c r="AT3034" s="1078" t="str">
        <f t="shared" si="387"/>
        <v>2-5-1S83°</v>
      </c>
      <c r="AV3034" s="1078" t="str">
        <f t="shared" si="380"/>
        <v>113.6.12</v>
      </c>
      <c r="AW3034" s="1344">
        <f t="shared" si="381"/>
        <v>45455</v>
      </c>
    </row>
    <row r="3035" spans="1:49">
      <c r="A3035" s="1077" t="s">
        <v>9010</v>
      </c>
      <c r="B3035" s="1077" t="s">
        <v>8524</v>
      </c>
      <c r="C3035" s="1077">
        <v>500</v>
      </c>
      <c r="D3035" s="1077">
        <v>1.85</v>
      </c>
      <c r="E3035" s="1077" t="s">
        <v>15109</v>
      </c>
      <c r="F3035" s="1077" t="s">
        <v>648</v>
      </c>
      <c r="G3035" s="1077">
        <v>5</v>
      </c>
      <c r="H3035" s="1077" t="s">
        <v>2135</v>
      </c>
      <c r="I3035" s="1077" t="s">
        <v>460</v>
      </c>
      <c r="J3035" s="1077">
        <v>1.4</v>
      </c>
      <c r="K3035" s="1077" t="s">
        <v>8911</v>
      </c>
      <c r="L3035" s="1077" t="s">
        <v>8527</v>
      </c>
      <c r="M3035" s="1077">
        <v>421.5</v>
      </c>
      <c r="N3035" s="1077" t="s">
        <v>945</v>
      </c>
      <c r="O3035" s="1077">
        <v>10.537500000000001</v>
      </c>
      <c r="P3035" s="1077">
        <v>8.43</v>
      </c>
      <c r="Q3035" s="1077">
        <v>3</v>
      </c>
      <c r="R3035" s="1077">
        <v>19.100000000000001</v>
      </c>
      <c r="T3035" s="1077">
        <v>12.2</v>
      </c>
      <c r="U3035" s="1077">
        <v>5.8</v>
      </c>
      <c r="V3035" s="1077" t="s">
        <v>648</v>
      </c>
      <c r="W3035" s="1077">
        <v>35</v>
      </c>
      <c r="X3035" s="1077">
        <v>10</v>
      </c>
      <c r="Y3035" s="1077">
        <v>1.2</v>
      </c>
      <c r="Z3035" s="1077" t="s">
        <v>648</v>
      </c>
      <c r="AA3035" s="1077" t="s">
        <v>7861</v>
      </c>
      <c r="AB3035" s="1077" t="s">
        <v>8302</v>
      </c>
      <c r="AH3035" s="1077" t="s">
        <v>1486</v>
      </c>
      <c r="AI3035" s="1077">
        <v>91.33</v>
      </c>
      <c r="AJ3035" s="1077">
        <v>-1.1000000000000001</v>
      </c>
      <c r="AK3035" s="1077">
        <v>8.32</v>
      </c>
      <c r="AM3035" s="1078" t="s">
        <v>14975</v>
      </c>
      <c r="AN3035" s="1078" t="s">
        <v>14976</v>
      </c>
      <c r="AO3035" s="1078">
        <f t="shared" si="382"/>
        <v>500</v>
      </c>
      <c r="AP3035" s="1078">
        <f t="shared" si="383"/>
        <v>1.85</v>
      </c>
      <c r="AQ3035" s="1078" t="str">
        <f t="shared" si="384"/>
        <v>1-5-1S85°Z+S</v>
      </c>
      <c r="AR3035" s="1078" t="str">
        <f t="shared" si="385"/>
        <v>NA</v>
      </c>
      <c r="AS3035" s="1078" t="str">
        <f t="shared" si="386"/>
        <v>165/160</v>
      </c>
      <c r="AT3035" s="1078" t="str">
        <f t="shared" si="387"/>
        <v>1-5-1S85°Z+S</v>
      </c>
      <c r="AU3035" s="1078" t="s">
        <v>15547</v>
      </c>
      <c r="AV3035" s="1078" t="str">
        <f t="shared" si="380"/>
        <v>113.6.27</v>
      </c>
      <c r="AW3035" s="1344">
        <f t="shared" si="381"/>
        <v>45470</v>
      </c>
    </row>
    <row r="3036" spans="1:49">
      <c r="A3036" s="1077" t="s">
        <v>9011</v>
      </c>
      <c r="B3036" s="1077" t="s">
        <v>8944</v>
      </c>
      <c r="C3036" s="1077">
        <v>500</v>
      </c>
      <c r="D3036" s="1077">
        <v>1.74</v>
      </c>
      <c r="E3036" s="1077" t="s">
        <v>15091</v>
      </c>
      <c r="F3036" s="1077" t="s">
        <v>975</v>
      </c>
      <c r="G3036" s="1077">
        <v>2</v>
      </c>
      <c r="H3036" s="1077" t="s">
        <v>1470</v>
      </c>
      <c r="I3036" s="1077" t="s">
        <v>1073</v>
      </c>
      <c r="J3036" s="1077">
        <v>1.5</v>
      </c>
      <c r="K3036" s="1077" t="s">
        <v>9012</v>
      </c>
      <c r="L3036" s="1077" t="s">
        <v>8990</v>
      </c>
      <c r="M3036" s="1077">
        <v>31.3</v>
      </c>
      <c r="N3036" s="1077" t="s">
        <v>945</v>
      </c>
      <c r="O3036" s="1077">
        <v>0.78250000000000008</v>
      </c>
      <c r="P3036" s="1077">
        <v>0.626</v>
      </c>
      <c r="Q3036" s="1077">
        <v>4</v>
      </c>
      <c r="R3036" s="1077">
        <v>22.5</v>
      </c>
      <c r="T3036" s="1077">
        <v>31</v>
      </c>
      <c r="U3036" s="1077">
        <v>4.4000000000000004</v>
      </c>
      <c r="V3036" s="1077" t="s">
        <v>648</v>
      </c>
      <c r="W3036" s="1077">
        <v>150</v>
      </c>
      <c r="X3036" s="1077">
        <v>85</v>
      </c>
      <c r="Y3036" s="1077">
        <v>3.5</v>
      </c>
      <c r="Z3036" s="1077">
        <v>3.5</v>
      </c>
      <c r="AA3036" s="1077" t="s">
        <v>1714</v>
      </c>
      <c r="AH3036" s="1077" t="s">
        <v>1827</v>
      </c>
      <c r="AI3036" s="1077">
        <v>91.82</v>
      </c>
      <c r="AJ3036" s="1077">
        <v>-0.12</v>
      </c>
      <c r="AK3036" s="1077">
        <v>1.1499999999999999</v>
      </c>
      <c r="AM3036" s="1078" t="s">
        <v>14977</v>
      </c>
      <c r="AN3036" s="1078" t="s">
        <v>14978</v>
      </c>
      <c r="AO3036" s="1078">
        <f t="shared" si="382"/>
        <v>500</v>
      </c>
      <c r="AP3036" s="1078">
        <f t="shared" si="383"/>
        <v>1.74</v>
      </c>
      <c r="AQ3036" s="1078" t="str">
        <f t="shared" si="384"/>
        <v>2-5-1S83°</v>
      </c>
      <c r="AR3036" s="1078" t="str">
        <f t="shared" si="385"/>
        <v>31.5</v>
      </c>
      <c r="AS3036" s="1078" t="str">
        <f t="shared" si="386"/>
        <v>160/OFF</v>
      </c>
      <c r="AT3036" s="1078" t="str">
        <f t="shared" si="387"/>
        <v>2-5-1S83°</v>
      </c>
      <c r="AV3036" s="1078" t="str">
        <f t="shared" si="380"/>
        <v>113.7.15</v>
      </c>
      <c r="AW3036" s="1344">
        <f t="shared" si="381"/>
        <v>45488</v>
      </c>
    </row>
    <row r="3037" spans="1:49">
      <c r="A3037" s="1077" t="s">
        <v>9013</v>
      </c>
      <c r="B3037" s="1077" t="s">
        <v>654</v>
      </c>
      <c r="C3037" s="1077">
        <v>500</v>
      </c>
      <c r="D3037" s="1077">
        <v>1.73</v>
      </c>
      <c r="E3037" s="1077" t="s">
        <v>15116</v>
      </c>
      <c r="F3037" s="1077" t="s">
        <v>1398</v>
      </c>
      <c r="G3037" s="1077">
        <v>5.5</v>
      </c>
      <c r="H3037" s="1077" t="s">
        <v>9014</v>
      </c>
      <c r="I3037" s="1077" t="s">
        <v>643</v>
      </c>
      <c r="J3037" s="1077">
        <v>0.8</v>
      </c>
      <c r="K3037" s="1077" t="s">
        <v>9015</v>
      </c>
      <c r="L3037" s="1077" t="s">
        <v>9016</v>
      </c>
      <c r="M3037" s="1077">
        <v>462</v>
      </c>
      <c r="N3037" s="1077" t="s">
        <v>945</v>
      </c>
      <c r="O3037" s="1077">
        <v>11.55</v>
      </c>
      <c r="P3037" s="1077">
        <v>9.24</v>
      </c>
      <c r="Q3037" s="1077">
        <v>3.5</v>
      </c>
      <c r="R3037" s="1077">
        <v>20.100000000000001</v>
      </c>
      <c r="T3037" s="1077">
        <v>25.7</v>
      </c>
      <c r="U3037" s="1077">
        <v>3</v>
      </c>
      <c r="V3037" s="1077" t="s">
        <v>648</v>
      </c>
      <c r="W3037" s="1077" t="s">
        <v>648</v>
      </c>
      <c r="X3037" s="1077" t="s">
        <v>648</v>
      </c>
      <c r="Y3037" s="1077">
        <v>1.5</v>
      </c>
      <c r="Z3037" s="1077" t="s">
        <v>648</v>
      </c>
      <c r="AA3037" s="1077" t="s">
        <v>1992</v>
      </c>
      <c r="AH3037" s="1077" t="s">
        <v>869</v>
      </c>
      <c r="AI3037" s="1077">
        <v>90.46</v>
      </c>
      <c r="AJ3037" s="1077">
        <v>-0.02</v>
      </c>
      <c r="AK3037" s="1077">
        <v>1.44</v>
      </c>
      <c r="AM3037" s="1078" t="s">
        <v>14979</v>
      </c>
      <c r="AN3037" s="1078" t="s">
        <v>14980</v>
      </c>
      <c r="AO3037" s="1078">
        <f t="shared" si="382"/>
        <v>500</v>
      </c>
      <c r="AP3037" s="1078">
        <f t="shared" si="383"/>
        <v>1.73</v>
      </c>
      <c r="AQ3037" s="1078" t="str">
        <f t="shared" si="384"/>
        <v>1-5-1S83°Z+S</v>
      </c>
      <c r="AR3037" s="1078" t="str">
        <f t="shared" si="385"/>
        <v>32.5</v>
      </c>
      <c r="AS3037" s="1078" t="str">
        <f t="shared" si="386"/>
        <v>325/325/130</v>
      </c>
      <c r="AT3037" s="1078" t="str">
        <f t="shared" si="387"/>
        <v>1-5-1S83°Z+S</v>
      </c>
      <c r="AU3037" s="1078" t="s">
        <v>15547</v>
      </c>
      <c r="AV3037" s="1078" t="str">
        <f t="shared" si="380"/>
        <v>113.8.1</v>
      </c>
      <c r="AW3037" s="1344">
        <f t="shared" si="381"/>
        <v>45505</v>
      </c>
    </row>
    <row r="3038" spans="1:49">
      <c r="A3038" s="1077" t="s">
        <v>9017</v>
      </c>
      <c r="B3038" s="1077" t="s">
        <v>8394</v>
      </c>
      <c r="C3038" s="1077">
        <v>500</v>
      </c>
      <c r="D3038" s="1077">
        <v>1.73</v>
      </c>
      <c r="E3038" s="1077" t="s">
        <v>15091</v>
      </c>
      <c r="F3038" s="1077" t="s">
        <v>984</v>
      </c>
      <c r="G3038" s="1077">
        <v>2</v>
      </c>
      <c r="H3038" s="1077" t="s">
        <v>1470</v>
      </c>
      <c r="I3038" s="1077" t="s">
        <v>1073</v>
      </c>
      <c r="J3038" s="1077">
        <v>1.9</v>
      </c>
      <c r="K3038" s="1077" t="s">
        <v>8847</v>
      </c>
      <c r="L3038" s="1077" t="s">
        <v>8396</v>
      </c>
      <c r="M3038" s="1077">
        <v>30.8</v>
      </c>
      <c r="N3038" s="1077" t="s">
        <v>945</v>
      </c>
      <c r="O3038" s="1077">
        <v>0.77</v>
      </c>
      <c r="P3038" s="1077">
        <v>0.61599999999999999</v>
      </c>
      <c r="Q3038" s="1077">
        <v>3.5</v>
      </c>
      <c r="R3038" s="1077" t="s">
        <v>9018</v>
      </c>
      <c r="T3038" s="1077" t="s">
        <v>9019</v>
      </c>
      <c r="U3038" s="1077">
        <v>4</v>
      </c>
      <c r="V3038" s="1077" t="s">
        <v>648</v>
      </c>
      <c r="W3038" s="1077">
        <v>140</v>
      </c>
      <c r="X3038" s="1077" t="s">
        <v>1063</v>
      </c>
      <c r="Y3038" s="1077">
        <v>2.5</v>
      </c>
      <c r="Z3038" s="1077">
        <v>4</v>
      </c>
      <c r="AA3038" s="1077" t="s">
        <v>1718</v>
      </c>
      <c r="AB3038" s="1077" t="s">
        <v>981</v>
      </c>
      <c r="AH3038" s="1077" t="s">
        <v>5917</v>
      </c>
      <c r="AI3038" s="1077">
        <v>89.44</v>
      </c>
      <c r="AJ3038" s="1077">
        <v>-0.19</v>
      </c>
      <c r="AK3038" s="1077">
        <v>0.46</v>
      </c>
      <c r="AM3038" s="1078" t="s">
        <v>14981</v>
      </c>
      <c r="AN3038" s="1078" t="s">
        <v>14982</v>
      </c>
      <c r="AO3038" s="1078">
        <f t="shared" si="382"/>
        <v>500</v>
      </c>
      <c r="AP3038" s="1078">
        <f t="shared" si="383"/>
        <v>1.73</v>
      </c>
      <c r="AQ3038" s="1078" t="str">
        <f t="shared" si="384"/>
        <v>2-5-1S83°</v>
      </c>
      <c r="AR3038" s="1078" t="str">
        <f t="shared" si="385"/>
        <v>30</v>
      </c>
      <c r="AS3038" s="1078" t="str">
        <f t="shared" si="386"/>
        <v>160/OFF</v>
      </c>
      <c r="AT3038" s="1078" t="str">
        <f t="shared" si="387"/>
        <v>2-5-1S83°</v>
      </c>
      <c r="AV3038" s="1078" t="str">
        <f t="shared" si="380"/>
        <v>113.8.15</v>
      </c>
      <c r="AW3038" s="1344">
        <f t="shared" si="381"/>
        <v>45519</v>
      </c>
    </row>
    <row r="3039" spans="1:49">
      <c r="A3039" s="1077" t="s">
        <v>9020</v>
      </c>
      <c r="B3039" s="1077" t="s">
        <v>8631</v>
      </c>
      <c r="C3039" s="1077">
        <v>600</v>
      </c>
      <c r="D3039" s="1077">
        <v>1.78</v>
      </c>
      <c r="E3039" s="1077" t="s">
        <v>15109</v>
      </c>
      <c r="F3039" s="1077" t="s">
        <v>648</v>
      </c>
      <c r="G3039" s="1077">
        <v>5</v>
      </c>
      <c r="H3039" s="1077" t="s">
        <v>3570</v>
      </c>
      <c r="I3039" s="1077" t="s">
        <v>460</v>
      </c>
      <c r="J3039" s="1077">
        <v>2.2000000000000002</v>
      </c>
      <c r="K3039" s="1077" t="s">
        <v>9021</v>
      </c>
      <c r="L3039" s="1077" t="s">
        <v>4487</v>
      </c>
      <c r="M3039" s="1077">
        <v>206</v>
      </c>
      <c r="N3039" s="1077" t="s">
        <v>945</v>
      </c>
      <c r="O3039" s="1077">
        <v>5.15</v>
      </c>
      <c r="P3039" s="1077">
        <v>4.12</v>
      </c>
      <c r="Q3039" s="1077">
        <v>4</v>
      </c>
      <c r="R3039" s="1077">
        <v>20</v>
      </c>
      <c r="T3039" s="1077">
        <v>18.5</v>
      </c>
      <c r="U3039" s="1077">
        <v>4.0999999999999996</v>
      </c>
      <c r="V3039" s="1077" t="s">
        <v>648</v>
      </c>
      <c r="W3039" s="1077">
        <v>120</v>
      </c>
      <c r="X3039" s="1077">
        <v>85</v>
      </c>
      <c r="Y3039" s="1077">
        <v>1.5</v>
      </c>
      <c r="Z3039" s="1077" t="s">
        <v>648</v>
      </c>
      <c r="AA3039" s="1077" t="s">
        <v>2082</v>
      </c>
      <c r="AH3039" s="1077" t="s">
        <v>1417</v>
      </c>
      <c r="AI3039" s="1077">
        <v>91.21</v>
      </c>
      <c r="AJ3039" s="1077">
        <v>-0.31</v>
      </c>
      <c r="AK3039" s="1077">
        <v>1.38</v>
      </c>
      <c r="AM3039" s="1078" t="s">
        <v>14983</v>
      </c>
      <c r="AN3039" s="1078" t="s">
        <v>14984</v>
      </c>
      <c r="AO3039" s="1078">
        <f t="shared" si="382"/>
        <v>600</v>
      </c>
      <c r="AP3039" s="1078">
        <f t="shared" si="383"/>
        <v>1.78</v>
      </c>
      <c r="AQ3039" s="1078" t="str">
        <f t="shared" si="384"/>
        <v>1-5-1S85°Z+S</v>
      </c>
      <c r="AR3039" s="1078" t="str">
        <f t="shared" si="385"/>
        <v>NA</v>
      </c>
      <c r="AS3039" s="1078" t="str">
        <f t="shared" si="386"/>
        <v>165/150</v>
      </c>
      <c r="AT3039" s="1078" t="str">
        <f t="shared" si="387"/>
        <v>1-5-1S85°Z+S</v>
      </c>
      <c r="AU3039" s="1078" t="s">
        <v>15547</v>
      </c>
      <c r="AV3039" s="1078" t="str">
        <f t="shared" si="380"/>
        <v>113.9.13</v>
      </c>
      <c r="AW3039" s="1344">
        <f t="shared" si="381"/>
        <v>45548</v>
      </c>
    </row>
    <row r="3040" spans="1:49">
      <c r="A3040" s="1077" t="s">
        <v>9022</v>
      </c>
      <c r="B3040" s="1077" t="s">
        <v>8944</v>
      </c>
      <c r="C3040" s="1077">
        <v>500</v>
      </c>
      <c r="D3040" s="1077">
        <v>1.74</v>
      </c>
      <c r="E3040" s="1077" t="s">
        <v>15091</v>
      </c>
      <c r="F3040" s="1077" t="s">
        <v>984</v>
      </c>
      <c r="G3040" s="1077">
        <v>1</v>
      </c>
      <c r="H3040" s="1077" t="s">
        <v>1470</v>
      </c>
      <c r="I3040" s="1077" t="s">
        <v>1073</v>
      </c>
      <c r="J3040" s="1077">
        <v>1.5</v>
      </c>
      <c r="K3040" s="1077" t="s">
        <v>9023</v>
      </c>
      <c r="L3040" s="1077" t="s">
        <v>8990</v>
      </c>
      <c r="M3040" s="1077">
        <v>31.3</v>
      </c>
      <c r="N3040" s="1077" t="s">
        <v>945</v>
      </c>
      <c r="O3040" s="1077">
        <v>0.78250000000000008</v>
      </c>
      <c r="P3040" s="1077">
        <v>0.626</v>
      </c>
      <c r="Q3040" s="1077">
        <v>4</v>
      </c>
      <c r="R3040" s="1077">
        <v>22.5</v>
      </c>
      <c r="T3040" s="1077">
        <v>31</v>
      </c>
      <c r="U3040" s="1077">
        <v>4.4000000000000004</v>
      </c>
      <c r="V3040" s="1077" t="s">
        <v>648</v>
      </c>
      <c r="W3040" s="1077">
        <v>150</v>
      </c>
      <c r="X3040" s="1077">
        <v>85</v>
      </c>
      <c r="Y3040" s="1077">
        <v>3.5</v>
      </c>
      <c r="Z3040" s="1077">
        <v>3.5</v>
      </c>
      <c r="AA3040" s="1077" t="s">
        <v>2082</v>
      </c>
      <c r="AH3040" s="1077" t="s">
        <v>9024</v>
      </c>
      <c r="AI3040" s="1077">
        <v>93.29</v>
      </c>
      <c r="AJ3040" s="1077">
        <v>-0.11</v>
      </c>
      <c r="AK3040" s="1077">
        <v>0.19</v>
      </c>
      <c r="AM3040" s="1078" t="s">
        <v>14985</v>
      </c>
      <c r="AN3040" s="1078" t="s">
        <v>14986</v>
      </c>
      <c r="AO3040" s="1078">
        <f t="shared" si="382"/>
        <v>500</v>
      </c>
      <c r="AP3040" s="1078">
        <f t="shared" si="383"/>
        <v>1.74</v>
      </c>
      <c r="AQ3040" s="1078" t="str">
        <f t="shared" si="384"/>
        <v>2-5-1S83°</v>
      </c>
      <c r="AR3040" s="1078" t="str">
        <f t="shared" si="385"/>
        <v>30</v>
      </c>
      <c r="AS3040" s="1078" t="str">
        <f t="shared" si="386"/>
        <v>160/OFF</v>
      </c>
      <c r="AT3040" s="1078" t="str">
        <f t="shared" si="387"/>
        <v>2-5-1S83°</v>
      </c>
      <c r="AV3040" s="1078" t="str">
        <f t="shared" si="380"/>
        <v>113.9.13</v>
      </c>
      <c r="AW3040" s="1344">
        <f t="shared" si="381"/>
        <v>45548</v>
      </c>
    </row>
    <row r="3041" spans="1:49">
      <c r="A3041" s="1077" t="s">
        <v>9025</v>
      </c>
      <c r="B3041" s="1077" t="s">
        <v>654</v>
      </c>
      <c r="C3041" s="1077">
        <v>550</v>
      </c>
      <c r="D3041" s="1077">
        <v>1.68</v>
      </c>
      <c r="E3041" s="1077" t="s">
        <v>15109</v>
      </c>
      <c r="F3041" s="1077" t="s">
        <v>648</v>
      </c>
      <c r="G3041" s="1077">
        <v>5.5</v>
      </c>
      <c r="H3041" s="1077" t="s">
        <v>5465</v>
      </c>
      <c r="I3041" s="1077" t="s">
        <v>643</v>
      </c>
      <c r="J3041" s="1077">
        <v>3.3</v>
      </c>
      <c r="K3041" s="1077" t="s">
        <v>9004</v>
      </c>
      <c r="L3041" s="1077" t="s">
        <v>8960</v>
      </c>
      <c r="M3041" s="1077">
        <v>427.4</v>
      </c>
      <c r="N3041" s="1077" t="s">
        <v>945</v>
      </c>
      <c r="O3041" s="1077">
        <v>10.685</v>
      </c>
      <c r="P3041" s="1077">
        <v>8.548</v>
      </c>
      <c r="Q3041" s="1077">
        <v>3.5</v>
      </c>
      <c r="R3041" s="1077" t="s">
        <v>9026</v>
      </c>
      <c r="T3041" s="1077">
        <v>14.9</v>
      </c>
      <c r="U3041" s="1077">
        <v>4.2</v>
      </c>
      <c r="V3041" s="1077" t="s">
        <v>648</v>
      </c>
      <c r="W3041" s="1077">
        <v>120</v>
      </c>
      <c r="X3041" s="1077">
        <v>90</v>
      </c>
      <c r="Y3041" s="1077">
        <v>1</v>
      </c>
      <c r="Z3041" s="1077" t="s">
        <v>648</v>
      </c>
      <c r="AA3041" s="1077" t="s">
        <v>6691</v>
      </c>
      <c r="AH3041" s="1077" t="s">
        <v>870</v>
      </c>
      <c r="AI3041" s="1077" t="s">
        <v>1597</v>
      </c>
      <c r="AM3041" s="1078" t="s">
        <v>14987</v>
      </c>
      <c r="AN3041" s="1078" t="s">
        <v>14988</v>
      </c>
      <c r="AO3041" s="1078">
        <f t="shared" si="382"/>
        <v>550</v>
      </c>
      <c r="AP3041" s="1078">
        <f t="shared" si="383"/>
        <v>1.68</v>
      </c>
      <c r="AQ3041" s="1078" t="str">
        <f t="shared" si="384"/>
        <v>1-5-1S85°Z+S</v>
      </c>
      <c r="AR3041" s="1078" t="str">
        <f t="shared" si="385"/>
        <v>NA</v>
      </c>
      <c r="AS3041" s="1078" t="str">
        <f t="shared" si="386"/>
        <v>190/170</v>
      </c>
      <c r="AT3041" s="1078" t="str">
        <f t="shared" si="387"/>
        <v>1-5-1S85°Z+S</v>
      </c>
      <c r="AU3041" s="1078" t="s">
        <v>15547</v>
      </c>
      <c r="AV3041" s="1078" t="str">
        <f t="shared" si="380"/>
        <v>113.9.20</v>
      </c>
      <c r="AW3041" s="1344">
        <f t="shared" si="381"/>
        <v>45555</v>
      </c>
    </row>
    <row r="3042" spans="1:49">
      <c r="A3042" s="1077" t="s">
        <v>9027</v>
      </c>
      <c r="B3042" s="1077" t="s">
        <v>8944</v>
      </c>
      <c r="C3042" s="1077">
        <v>500</v>
      </c>
      <c r="D3042" s="1077">
        <v>1.74</v>
      </c>
      <c r="E3042" s="1077" t="s">
        <v>15089</v>
      </c>
      <c r="F3042" s="1077" t="s">
        <v>2167</v>
      </c>
      <c r="G3042" s="1077">
        <v>1</v>
      </c>
      <c r="H3042" s="1077" t="s">
        <v>1649</v>
      </c>
      <c r="I3042" s="1077" t="s">
        <v>1073</v>
      </c>
      <c r="J3042" s="1077">
        <v>1.7</v>
      </c>
      <c r="K3042" s="1077" t="s">
        <v>9023</v>
      </c>
      <c r="L3042" s="1077" t="s">
        <v>8990</v>
      </c>
      <c r="M3042" s="1077">
        <v>31.3</v>
      </c>
      <c r="N3042" s="1077" t="s">
        <v>945</v>
      </c>
      <c r="O3042" s="1077">
        <v>0.78250000000000008</v>
      </c>
      <c r="P3042" s="1077">
        <v>0.626</v>
      </c>
      <c r="Q3042" s="1077">
        <v>4</v>
      </c>
      <c r="R3042" s="1077">
        <v>20</v>
      </c>
      <c r="T3042" s="1077">
        <v>37</v>
      </c>
      <c r="U3042" s="1077">
        <v>3.5</v>
      </c>
      <c r="V3042" s="1077" t="s">
        <v>648</v>
      </c>
      <c r="W3042" s="1077">
        <v>150</v>
      </c>
      <c r="X3042" s="1077">
        <v>85</v>
      </c>
      <c r="Y3042" s="1077">
        <v>3.5</v>
      </c>
      <c r="Z3042" s="1077">
        <v>3.5</v>
      </c>
      <c r="AA3042" s="1077" t="s">
        <v>4538</v>
      </c>
      <c r="AH3042" s="1077" t="s">
        <v>1990</v>
      </c>
      <c r="AI3042" s="1077">
        <v>92.54</v>
      </c>
      <c r="AJ3042" s="1077">
        <v>-0.02</v>
      </c>
      <c r="AK3042" s="1077">
        <v>0.26</v>
      </c>
      <c r="AM3042" s="1078" t="s">
        <v>14989</v>
      </c>
      <c r="AN3042" s="1078" t="s">
        <v>14990</v>
      </c>
      <c r="AO3042" s="1078">
        <f t="shared" si="382"/>
        <v>500</v>
      </c>
      <c r="AP3042" s="1078">
        <f t="shared" si="383"/>
        <v>1.74</v>
      </c>
      <c r="AQ3042" s="1078" t="str">
        <f t="shared" si="384"/>
        <v>1-4-1S83°</v>
      </c>
      <c r="AR3042" s="1078" t="str">
        <f t="shared" si="385"/>
        <v>33</v>
      </c>
      <c r="AS3042" s="1078" t="str">
        <f t="shared" si="386"/>
        <v>225/225/OFF</v>
      </c>
      <c r="AT3042" s="1078" t="str">
        <f t="shared" si="387"/>
        <v>1-4-1S83°</v>
      </c>
      <c r="AV3042" s="1078" t="str">
        <f t="shared" si="380"/>
        <v>113.10.8</v>
      </c>
      <c r="AW3042" s="1344">
        <f t="shared" si="381"/>
        <v>45573</v>
      </c>
    </row>
    <row r="3043" spans="1:49">
      <c r="A3043" s="1077" t="s">
        <v>9028</v>
      </c>
      <c r="B3043" s="1077" t="s">
        <v>8524</v>
      </c>
      <c r="C3043" s="1077">
        <v>500</v>
      </c>
      <c r="D3043" s="1077">
        <v>1.82</v>
      </c>
      <c r="E3043" s="1077" t="s">
        <v>15109</v>
      </c>
      <c r="F3043" s="1077" t="s">
        <v>648</v>
      </c>
      <c r="G3043" s="1077">
        <v>5</v>
      </c>
      <c r="H3043" s="1077" t="s">
        <v>2135</v>
      </c>
      <c r="I3043" s="1077" t="s">
        <v>460</v>
      </c>
      <c r="J3043" s="1077">
        <v>1.3</v>
      </c>
      <c r="K3043" s="1077" t="s">
        <v>9029</v>
      </c>
      <c r="L3043" s="1077" t="s">
        <v>8527</v>
      </c>
      <c r="M3043" s="1077">
        <v>421.5</v>
      </c>
      <c r="N3043" s="1077" t="s">
        <v>945</v>
      </c>
      <c r="O3043" s="1077">
        <v>10.537500000000001</v>
      </c>
      <c r="P3043" s="1077">
        <v>8.43</v>
      </c>
      <c r="Q3043" s="1077">
        <v>3</v>
      </c>
      <c r="R3043" s="1077">
        <v>19.100000000000001</v>
      </c>
      <c r="T3043" s="1077">
        <v>12.2</v>
      </c>
      <c r="U3043" s="1077">
        <v>5.8</v>
      </c>
      <c r="V3043" s="1077" t="s">
        <v>648</v>
      </c>
      <c r="W3043" s="1077">
        <v>35</v>
      </c>
      <c r="X3043" s="1077">
        <v>10</v>
      </c>
      <c r="Y3043" s="1077">
        <v>1.2</v>
      </c>
      <c r="Z3043" s="1077" t="s">
        <v>648</v>
      </c>
      <c r="AA3043" s="1077" t="s">
        <v>2140</v>
      </c>
      <c r="AB3043" s="1077" t="s">
        <v>9030</v>
      </c>
      <c r="AH3043" s="1077" t="s">
        <v>712</v>
      </c>
      <c r="AI3043" s="1077">
        <v>91.34</v>
      </c>
      <c r="AJ3043" s="1077">
        <v>-1.52</v>
      </c>
      <c r="AK3043" s="1077">
        <v>7.96</v>
      </c>
      <c r="AM3043" s="1078" t="s">
        <v>14991</v>
      </c>
      <c r="AN3043" s="1078" t="s">
        <v>14992</v>
      </c>
      <c r="AO3043" s="1078">
        <f t="shared" si="382"/>
        <v>500</v>
      </c>
      <c r="AP3043" s="1078">
        <f t="shared" si="383"/>
        <v>1.82</v>
      </c>
      <c r="AQ3043" s="1078" t="str">
        <f t="shared" si="384"/>
        <v>1-5-1S85°Z+S</v>
      </c>
      <c r="AR3043" s="1078" t="str">
        <f t="shared" si="385"/>
        <v>NA</v>
      </c>
      <c r="AS3043" s="1078" t="str">
        <f t="shared" si="386"/>
        <v>165/160</v>
      </c>
      <c r="AT3043" s="1078" t="str">
        <f t="shared" si="387"/>
        <v>1-5-1S85°Z+S</v>
      </c>
      <c r="AU3043" s="1078" t="s">
        <v>15547</v>
      </c>
      <c r="AV3043" s="1078" t="str">
        <f t="shared" si="380"/>
        <v>113.10.23</v>
      </c>
      <c r="AW3043" s="1344">
        <f t="shared" si="381"/>
        <v>45588</v>
      </c>
    </row>
    <row r="3044" spans="1:49">
      <c r="A3044" s="1077" t="s">
        <v>9031</v>
      </c>
      <c r="B3044" s="1077" t="s">
        <v>8951</v>
      </c>
      <c r="C3044" s="1077">
        <v>500</v>
      </c>
      <c r="D3044" s="1077">
        <v>1.69</v>
      </c>
      <c r="E3044" s="1077" t="s">
        <v>15109</v>
      </c>
      <c r="F3044" s="1077" t="s">
        <v>648</v>
      </c>
      <c r="G3044" s="1077">
        <v>5</v>
      </c>
      <c r="H3044" s="1077" t="s">
        <v>2941</v>
      </c>
      <c r="I3044" s="1077" t="s">
        <v>643</v>
      </c>
      <c r="J3044" s="1077">
        <v>2.1</v>
      </c>
      <c r="K3044" s="1077" t="s">
        <v>8952</v>
      </c>
      <c r="L3044" s="1077" t="s">
        <v>8953</v>
      </c>
      <c r="M3044" s="1077">
        <v>462</v>
      </c>
      <c r="N3044" s="1077" t="s">
        <v>945</v>
      </c>
      <c r="O3044" s="1077">
        <v>11.55</v>
      </c>
      <c r="P3044" s="1077">
        <v>9.24</v>
      </c>
      <c r="Q3044" s="1077">
        <v>3.5</v>
      </c>
      <c r="R3044" s="1077">
        <v>20</v>
      </c>
      <c r="T3044" s="1077">
        <v>20</v>
      </c>
      <c r="U3044" s="1077">
        <v>4</v>
      </c>
      <c r="V3044" s="1077" t="s">
        <v>648</v>
      </c>
      <c r="W3044" s="1077">
        <v>110</v>
      </c>
      <c r="X3044" s="1077">
        <v>60</v>
      </c>
      <c r="Y3044" s="1077">
        <v>1</v>
      </c>
      <c r="Z3044" s="1077" t="s">
        <v>648</v>
      </c>
      <c r="AA3044" s="1077" t="s">
        <v>2140</v>
      </c>
      <c r="AH3044" s="1077" t="s">
        <v>868</v>
      </c>
      <c r="AI3044" s="1077">
        <v>94.6</v>
      </c>
      <c r="AJ3044" s="1077">
        <v>-0.69</v>
      </c>
      <c r="AK3044" s="1077">
        <v>2.14</v>
      </c>
      <c r="AM3044" s="1078" t="s">
        <v>14993</v>
      </c>
      <c r="AN3044" s="1078" t="s">
        <v>14994</v>
      </c>
      <c r="AO3044" s="1078">
        <f t="shared" si="382"/>
        <v>500</v>
      </c>
      <c r="AP3044" s="1078">
        <f t="shared" si="383"/>
        <v>1.69</v>
      </c>
      <c r="AQ3044" s="1078" t="str">
        <f t="shared" si="384"/>
        <v>1-5-1S85°Z+S</v>
      </c>
      <c r="AR3044" s="1078" t="str">
        <f t="shared" si="385"/>
        <v>NA</v>
      </c>
      <c r="AS3044" s="1078" t="str">
        <f t="shared" si="386"/>
        <v>190/OFF</v>
      </c>
      <c r="AT3044" s="1078" t="str">
        <f t="shared" si="387"/>
        <v>1-5-1S85°Z+S</v>
      </c>
      <c r="AU3044" s="1078" t="s">
        <v>15547</v>
      </c>
      <c r="AV3044" s="1078" t="str">
        <f t="shared" si="380"/>
        <v>113.10.23</v>
      </c>
      <c r="AW3044" s="1344">
        <f t="shared" si="381"/>
        <v>45588</v>
      </c>
    </row>
    <row r="3045" spans="1:49">
      <c r="A3045" s="1077" t="s">
        <v>9032</v>
      </c>
      <c r="B3045" s="1077" t="s">
        <v>654</v>
      </c>
      <c r="C3045" s="1077">
        <v>550</v>
      </c>
      <c r="D3045" s="1077">
        <v>1.7</v>
      </c>
      <c r="E3045" s="1077" t="s">
        <v>15121</v>
      </c>
      <c r="F3045" s="1077" t="s">
        <v>648</v>
      </c>
      <c r="G3045" s="1077">
        <v>5.5</v>
      </c>
      <c r="H3045" s="1077" t="s">
        <v>9033</v>
      </c>
      <c r="I3045" s="1077" t="s">
        <v>471</v>
      </c>
      <c r="J3045" s="1077">
        <v>0.8</v>
      </c>
      <c r="K3045" s="1077" t="s">
        <v>9015</v>
      </c>
      <c r="L3045" s="1077" t="s">
        <v>9016</v>
      </c>
      <c r="M3045" s="1077">
        <v>462</v>
      </c>
      <c r="N3045" s="1077" t="s">
        <v>945</v>
      </c>
      <c r="O3045" s="1077">
        <v>11.55</v>
      </c>
      <c r="P3045" s="1077">
        <v>9.24</v>
      </c>
      <c r="Q3045" s="1077">
        <v>3.5</v>
      </c>
      <c r="R3045" s="1077">
        <v>20.100000000000001</v>
      </c>
      <c r="T3045" s="1077">
        <v>25.7</v>
      </c>
      <c r="U3045" s="1077">
        <v>3</v>
      </c>
      <c r="V3045" s="1077" t="s">
        <v>648</v>
      </c>
      <c r="W3045" s="1077" t="s">
        <v>648</v>
      </c>
      <c r="X3045" s="1077" t="s">
        <v>648</v>
      </c>
      <c r="Y3045" s="1077">
        <v>1.5</v>
      </c>
      <c r="Z3045" s="1077" t="s">
        <v>648</v>
      </c>
      <c r="AA3045" s="1077" t="s">
        <v>4549</v>
      </c>
      <c r="AH3045" s="1077" t="s">
        <v>1178</v>
      </c>
      <c r="AI3045" s="1077">
        <v>90.88</v>
      </c>
      <c r="AJ3045" s="1077">
        <v>-0.16</v>
      </c>
      <c r="AK3045" s="1077">
        <v>1.48</v>
      </c>
      <c r="AM3045" s="1078" t="s">
        <v>14995</v>
      </c>
      <c r="AN3045" s="1078" t="s">
        <v>14996</v>
      </c>
      <c r="AO3045" s="1078">
        <f t="shared" si="382"/>
        <v>550</v>
      </c>
      <c r="AP3045" s="1078">
        <f t="shared" si="383"/>
        <v>1.7</v>
      </c>
      <c r="AQ3045" s="1078" t="str">
        <f t="shared" si="384"/>
        <v>1-5-1S85°S+Z</v>
      </c>
      <c r="AR3045" s="1078" t="str">
        <f t="shared" si="385"/>
        <v>NA</v>
      </c>
      <c r="AS3045" s="1078" t="str">
        <f t="shared" si="386"/>
        <v>180/170</v>
      </c>
      <c r="AT3045" s="1078" t="str">
        <f t="shared" si="387"/>
        <v>1-5-1S85°S+Z</v>
      </c>
      <c r="AU3045" s="1078" t="s">
        <v>15550</v>
      </c>
      <c r="AV3045" s="1078" t="str">
        <f t="shared" si="380"/>
        <v>113.11.7</v>
      </c>
      <c r="AW3045" s="1344">
        <f t="shared" si="381"/>
        <v>45603</v>
      </c>
    </row>
    <row r="3046" spans="1:49">
      <c r="A3046" s="1077" t="s">
        <v>9034</v>
      </c>
      <c r="B3046" s="1077" t="s">
        <v>8631</v>
      </c>
      <c r="C3046" s="1077">
        <v>600</v>
      </c>
      <c r="D3046" s="1077">
        <v>1.78</v>
      </c>
      <c r="E3046" s="1077" t="s">
        <v>15109</v>
      </c>
      <c r="F3046" s="1077" t="s">
        <v>648</v>
      </c>
      <c r="G3046" s="1077">
        <v>5</v>
      </c>
      <c r="H3046" s="1077" t="s">
        <v>3570</v>
      </c>
      <c r="I3046" s="1077" t="s">
        <v>460</v>
      </c>
      <c r="J3046" s="1077">
        <v>2</v>
      </c>
      <c r="K3046" s="1077" t="s">
        <v>8705</v>
      </c>
      <c r="L3046" s="1077" t="s">
        <v>9035</v>
      </c>
      <c r="M3046" s="1077">
        <v>206</v>
      </c>
      <c r="N3046" s="1077" t="s">
        <v>945</v>
      </c>
      <c r="O3046" s="1077">
        <v>5.15</v>
      </c>
      <c r="P3046" s="1077">
        <v>4.12</v>
      </c>
      <c r="Q3046" s="1077">
        <v>4</v>
      </c>
      <c r="R3046" s="1077" t="s">
        <v>9036</v>
      </c>
      <c r="T3046" s="1077">
        <v>18.5</v>
      </c>
      <c r="U3046" s="1077">
        <v>4.0999999999999996</v>
      </c>
      <c r="V3046" s="1077" t="s">
        <v>648</v>
      </c>
      <c r="W3046" s="1077">
        <v>120</v>
      </c>
      <c r="X3046" s="1077">
        <v>85</v>
      </c>
      <c r="Y3046" s="1077">
        <v>1.5</v>
      </c>
      <c r="Z3046" s="1077" t="s">
        <v>648</v>
      </c>
      <c r="AA3046" s="1077" t="s">
        <v>4549</v>
      </c>
      <c r="AH3046" s="1077" t="s">
        <v>712</v>
      </c>
      <c r="AI3046" s="1077">
        <v>92.02</v>
      </c>
      <c r="AJ3046" s="1077">
        <v>-0.52</v>
      </c>
      <c r="AK3046" s="1077">
        <v>7.05</v>
      </c>
      <c r="AM3046" s="1078" t="s">
        <v>14997</v>
      </c>
      <c r="AN3046" s="1078" t="s">
        <v>14998</v>
      </c>
      <c r="AO3046" s="1078">
        <f t="shared" si="382"/>
        <v>600</v>
      </c>
      <c r="AP3046" s="1078">
        <f t="shared" si="383"/>
        <v>1.78</v>
      </c>
      <c r="AQ3046" s="1078" t="str">
        <f t="shared" si="384"/>
        <v>1-5-1S85°Z+S</v>
      </c>
      <c r="AR3046" s="1078" t="str">
        <f t="shared" si="385"/>
        <v>NA</v>
      </c>
      <c r="AS3046" s="1078" t="str">
        <f t="shared" si="386"/>
        <v>165/150</v>
      </c>
      <c r="AT3046" s="1078" t="str">
        <f t="shared" si="387"/>
        <v>1-5-1S85°Z+S</v>
      </c>
      <c r="AU3046" s="1078" t="s">
        <v>15547</v>
      </c>
      <c r="AV3046" s="1078" t="str">
        <f t="shared" si="380"/>
        <v>113.11.7</v>
      </c>
      <c r="AW3046" s="1344">
        <f t="shared" si="381"/>
        <v>45603</v>
      </c>
    </row>
    <row r="3047" spans="1:49">
      <c r="A3047" s="1077" t="s">
        <v>9037</v>
      </c>
      <c r="B3047" s="1077" t="s">
        <v>654</v>
      </c>
      <c r="C3047" s="1077">
        <v>550</v>
      </c>
      <c r="D3047" s="1077">
        <v>1.68</v>
      </c>
      <c r="E3047" s="1077" t="s">
        <v>15109</v>
      </c>
      <c r="F3047" s="1077" t="s">
        <v>648</v>
      </c>
      <c r="G3047" s="1077">
        <v>5.5</v>
      </c>
      <c r="H3047" s="1077" t="s">
        <v>5465</v>
      </c>
      <c r="I3047" s="1077" t="s">
        <v>643</v>
      </c>
      <c r="J3047" s="1077">
        <v>3.3</v>
      </c>
      <c r="K3047" s="1077" t="s">
        <v>9004</v>
      </c>
      <c r="L3047" s="1077" t="s">
        <v>8960</v>
      </c>
      <c r="M3047" s="1077">
        <v>427.4</v>
      </c>
      <c r="N3047" s="1077" t="s">
        <v>945</v>
      </c>
      <c r="O3047" s="1077">
        <v>10.685</v>
      </c>
      <c r="P3047" s="1077">
        <v>8.548</v>
      </c>
      <c r="Q3047" s="1077">
        <v>3.5</v>
      </c>
      <c r="R3047" s="1077">
        <v>24</v>
      </c>
      <c r="T3047" s="1077">
        <v>14.9</v>
      </c>
      <c r="U3047" s="1077">
        <v>4.2</v>
      </c>
      <c r="V3047" s="1077" t="s">
        <v>648</v>
      </c>
      <c r="W3047" s="1077">
        <v>120</v>
      </c>
      <c r="X3047" s="1077">
        <v>90</v>
      </c>
      <c r="Y3047" s="1077">
        <v>1</v>
      </c>
      <c r="Z3047" s="1077" t="s">
        <v>648</v>
      </c>
      <c r="AA3047" s="1077" t="s">
        <v>6748</v>
      </c>
      <c r="AH3047" s="1077" t="s">
        <v>785</v>
      </c>
      <c r="AI3047" s="1077">
        <v>90.57</v>
      </c>
      <c r="AJ3047" s="1077">
        <v>-0.17</v>
      </c>
      <c r="AK3047" s="1077">
        <v>1.76</v>
      </c>
      <c r="AM3047" s="1078" t="s">
        <v>14999</v>
      </c>
      <c r="AN3047" s="1078" t="s">
        <v>15000</v>
      </c>
      <c r="AO3047" s="1078">
        <f t="shared" si="382"/>
        <v>550</v>
      </c>
      <c r="AP3047" s="1078">
        <f t="shared" si="383"/>
        <v>1.68</v>
      </c>
      <c r="AQ3047" s="1078" t="str">
        <f t="shared" si="384"/>
        <v>1-5-1S85°Z+S</v>
      </c>
      <c r="AR3047" s="1078" t="str">
        <f t="shared" si="385"/>
        <v>NA</v>
      </c>
      <c r="AS3047" s="1078" t="str">
        <f t="shared" si="386"/>
        <v>190/170</v>
      </c>
      <c r="AT3047" s="1078" t="str">
        <f t="shared" si="387"/>
        <v>1-5-1S85°Z+S</v>
      </c>
      <c r="AU3047" s="1078" t="s">
        <v>15547</v>
      </c>
      <c r="AV3047" s="1078" t="str">
        <f t="shared" si="380"/>
        <v>113.11.19</v>
      </c>
      <c r="AW3047" s="1344">
        <f t="shared" si="381"/>
        <v>45615</v>
      </c>
    </row>
    <row r="3048" spans="1:49">
      <c r="A3048" s="1077" t="s">
        <v>9038</v>
      </c>
      <c r="B3048" s="1077" t="s">
        <v>8662</v>
      </c>
      <c r="C3048" s="1077">
        <v>500</v>
      </c>
      <c r="D3048" s="1077">
        <v>1.85</v>
      </c>
      <c r="E3048" s="1077" t="s">
        <v>15089</v>
      </c>
      <c r="F3048" s="1077" t="s">
        <v>954</v>
      </c>
      <c r="G3048" s="1077">
        <v>2</v>
      </c>
      <c r="H3048" s="1077" t="s">
        <v>4168</v>
      </c>
      <c r="I3048" s="1077" t="s">
        <v>126</v>
      </c>
      <c r="J3048" s="1077">
        <v>1.3</v>
      </c>
      <c r="K3048" s="1077" t="s">
        <v>9039</v>
      </c>
      <c r="L3048" s="1077" t="s">
        <v>8664</v>
      </c>
      <c r="M3048" s="1077">
        <v>41.5</v>
      </c>
      <c r="N3048" s="1077" t="s">
        <v>945</v>
      </c>
      <c r="O3048" s="1077">
        <v>1.0375000000000001</v>
      </c>
      <c r="P3048" s="1077">
        <v>0.83000000000000007</v>
      </c>
      <c r="Q3048" s="1077">
        <v>3</v>
      </c>
      <c r="R3048" s="1077">
        <v>23</v>
      </c>
      <c r="T3048" s="1077">
        <v>28</v>
      </c>
      <c r="U3048" s="1077">
        <v>3.5</v>
      </c>
      <c r="V3048" s="1077" t="s">
        <v>648</v>
      </c>
      <c r="W3048" s="1077">
        <v>110</v>
      </c>
      <c r="X3048" s="1077">
        <v>70</v>
      </c>
      <c r="Y3048" s="1077">
        <v>3</v>
      </c>
      <c r="Z3048" s="1077">
        <v>4.5</v>
      </c>
      <c r="AA3048" s="1077" t="s">
        <v>2171</v>
      </c>
      <c r="AH3048" s="1077" t="s">
        <v>723</v>
      </c>
      <c r="AI3048" s="1077">
        <v>92.55</v>
      </c>
      <c r="AJ3048" s="1077">
        <v>-0.43</v>
      </c>
      <c r="AK3048" s="1077">
        <v>0.67</v>
      </c>
      <c r="AM3048" s="1078" t="s">
        <v>15001</v>
      </c>
      <c r="AN3048" s="1078" t="s">
        <v>15002</v>
      </c>
      <c r="AO3048" s="1078">
        <f t="shared" si="382"/>
        <v>500</v>
      </c>
      <c r="AP3048" s="1078">
        <f t="shared" si="383"/>
        <v>1.85</v>
      </c>
      <c r="AQ3048" s="1078" t="str">
        <f t="shared" si="384"/>
        <v>1-4-1S83°</v>
      </c>
      <c r="AR3048" s="1078" t="str">
        <f t="shared" si="385"/>
        <v>31</v>
      </c>
      <c r="AS3048" s="1078" t="str">
        <f t="shared" si="386"/>
        <v>190/190/OFF</v>
      </c>
      <c r="AT3048" s="1078" t="str">
        <f t="shared" si="387"/>
        <v>1-4-1S83°</v>
      </c>
      <c r="AV3048" s="1078" t="str">
        <f t="shared" si="380"/>
        <v>113.12.13</v>
      </c>
      <c r="AW3048" s="1344">
        <f t="shared" si="381"/>
        <v>45639</v>
      </c>
    </row>
    <row r="3049" spans="1:49">
      <c r="A3049" s="1077" t="s">
        <v>9040</v>
      </c>
      <c r="B3049" s="1077" t="s">
        <v>8438</v>
      </c>
      <c r="C3049" s="1077">
        <v>600</v>
      </c>
      <c r="D3049" s="1077">
        <v>1.7549999999999999</v>
      </c>
      <c r="E3049" s="1077" t="s">
        <v>15094</v>
      </c>
      <c r="F3049" s="1077" t="s">
        <v>954</v>
      </c>
      <c r="G3049" s="1077">
        <v>5</v>
      </c>
      <c r="H3049" s="1077" t="s">
        <v>8642</v>
      </c>
      <c r="I3049" s="1077" t="s">
        <v>460</v>
      </c>
      <c r="J3049" s="1077">
        <v>1.8</v>
      </c>
      <c r="K3049" s="1077" t="s">
        <v>8939</v>
      </c>
      <c r="L3049" s="1077" t="s">
        <v>8571</v>
      </c>
      <c r="M3049" s="1077">
        <v>166.5</v>
      </c>
      <c r="N3049" s="1077" t="s">
        <v>945</v>
      </c>
      <c r="O3049" s="1077">
        <v>4.1625000000000005</v>
      </c>
      <c r="P3049" s="1077">
        <v>3.33</v>
      </c>
      <c r="Q3049" s="1077">
        <v>3</v>
      </c>
      <c r="R3049" s="1077">
        <v>23.8</v>
      </c>
      <c r="T3049" s="1077">
        <v>11.2</v>
      </c>
      <c r="U3049" s="1077">
        <v>3.5</v>
      </c>
      <c r="V3049" s="1077" t="s">
        <v>648</v>
      </c>
      <c r="W3049" s="1077">
        <v>105</v>
      </c>
      <c r="X3049" s="1077">
        <v>50</v>
      </c>
      <c r="Y3049" s="1077">
        <v>1.4</v>
      </c>
      <c r="Z3049" s="1077">
        <v>5</v>
      </c>
      <c r="AA3049" s="1077" t="s">
        <v>9041</v>
      </c>
      <c r="AB3049" s="1077" t="s">
        <v>9042</v>
      </c>
      <c r="AH3049" s="1077" t="s">
        <v>963</v>
      </c>
      <c r="AI3049" s="1077">
        <v>91.37</v>
      </c>
      <c r="AJ3049" s="1077">
        <v>-1.08</v>
      </c>
      <c r="AK3049" s="1077">
        <v>4.9000000000000004</v>
      </c>
      <c r="AM3049" s="1078" t="s">
        <v>15003</v>
      </c>
      <c r="AN3049" s="1078" t="s">
        <v>15004</v>
      </c>
      <c r="AO3049" s="1078">
        <f t="shared" si="382"/>
        <v>600</v>
      </c>
      <c r="AP3049" s="1078">
        <f t="shared" si="383"/>
        <v>1.7549999999999999</v>
      </c>
      <c r="AQ3049" s="1078" t="str">
        <f t="shared" si="384"/>
        <v>1-5-1S91°</v>
      </c>
      <c r="AR3049" s="1078" t="str">
        <f t="shared" si="385"/>
        <v>31</v>
      </c>
      <c r="AS3049" s="1078" t="str">
        <f t="shared" si="386"/>
        <v>315/315/160</v>
      </c>
      <c r="AT3049" s="1078" t="str">
        <f t="shared" si="387"/>
        <v>1-5-1S91°</v>
      </c>
      <c r="AV3049" s="1078" t="str">
        <f t="shared" si="380"/>
        <v>112.12.23</v>
      </c>
      <c r="AW3049" s="1344">
        <f t="shared" si="381"/>
        <v>45283</v>
      </c>
    </row>
    <row r="3050" spans="1:49">
      <c r="A3050" s="1077" t="s">
        <v>9043</v>
      </c>
      <c r="B3050" s="1077" t="s">
        <v>654</v>
      </c>
      <c r="C3050" s="1077">
        <v>550</v>
      </c>
      <c r="D3050" s="1077">
        <v>1.68</v>
      </c>
      <c r="E3050" s="1077" t="s">
        <v>15109</v>
      </c>
      <c r="F3050" s="1077" t="s">
        <v>648</v>
      </c>
      <c r="G3050" s="1077">
        <v>5.5</v>
      </c>
      <c r="H3050" s="1077" t="s">
        <v>5465</v>
      </c>
      <c r="I3050" s="1077" t="s">
        <v>643</v>
      </c>
      <c r="J3050" s="1077">
        <v>3.2</v>
      </c>
      <c r="K3050" s="1077" t="s">
        <v>9044</v>
      </c>
      <c r="L3050" s="1077" t="s">
        <v>8960</v>
      </c>
      <c r="M3050" s="1077">
        <v>427.4</v>
      </c>
      <c r="N3050" s="1077" t="s">
        <v>945</v>
      </c>
      <c r="O3050" s="1077">
        <v>10.685</v>
      </c>
      <c r="P3050" s="1077">
        <v>8.548</v>
      </c>
      <c r="Q3050" s="1077">
        <v>3.5</v>
      </c>
      <c r="R3050" s="1077">
        <v>24</v>
      </c>
      <c r="T3050" s="1077">
        <v>14.9</v>
      </c>
      <c r="U3050" s="1077">
        <v>4.2</v>
      </c>
      <c r="V3050" s="1077" t="s">
        <v>648</v>
      </c>
      <c r="W3050" s="1077">
        <v>120</v>
      </c>
      <c r="X3050" s="1077">
        <v>90</v>
      </c>
      <c r="Y3050" s="1077">
        <v>1</v>
      </c>
      <c r="Z3050" s="1077" t="s">
        <v>648</v>
      </c>
      <c r="AA3050" s="1077" t="s">
        <v>9045</v>
      </c>
      <c r="AH3050" s="1077" t="s">
        <v>869</v>
      </c>
      <c r="AI3050" s="1077">
        <v>90.59</v>
      </c>
      <c r="AJ3050" s="1077">
        <v>-0.13</v>
      </c>
      <c r="AK3050" s="1077">
        <v>1.73</v>
      </c>
      <c r="AM3050" s="1078" t="s">
        <v>904</v>
      </c>
      <c r="AN3050" s="1078" t="s">
        <v>15005</v>
      </c>
      <c r="AO3050" s="1078">
        <f t="shared" si="382"/>
        <v>550</v>
      </c>
      <c r="AP3050" s="1078">
        <f t="shared" si="383"/>
        <v>1.68</v>
      </c>
      <c r="AQ3050" s="1078" t="str">
        <f t="shared" si="384"/>
        <v>1-5-1S85°Z+S</v>
      </c>
      <c r="AR3050" s="1078" t="str">
        <f t="shared" si="385"/>
        <v>NA</v>
      </c>
      <c r="AS3050" s="1078" t="str">
        <f t="shared" si="386"/>
        <v>190/170</v>
      </c>
      <c r="AT3050" s="1078" t="str">
        <f t="shared" si="387"/>
        <v>1-5-1S85°Z+S</v>
      </c>
      <c r="AU3050" s="1078" t="s">
        <v>15547</v>
      </c>
      <c r="AV3050" s="1078" t="str">
        <f t="shared" si="380"/>
        <v>113.12.26</v>
      </c>
      <c r="AW3050" s="1344">
        <f t="shared" si="381"/>
        <v>45652</v>
      </c>
    </row>
    <row r="3051" spans="1:49">
      <c r="A3051" s="1077" t="s">
        <v>9046</v>
      </c>
      <c r="B3051" s="1077" t="s">
        <v>8394</v>
      </c>
      <c r="C3051" s="1077">
        <v>600</v>
      </c>
      <c r="D3051" s="1077">
        <v>1.73</v>
      </c>
      <c r="E3051" s="1077" t="s">
        <v>15089</v>
      </c>
      <c r="F3051" s="1077" t="s">
        <v>1514</v>
      </c>
      <c r="G3051" s="1077">
        <v>2</v>
      </c>
      <c r="H3051" s="1077" t="s">
        <v>1274</v>
      </c>
      <c r="I3051" s="1077" t="s">
        <v>942</v>
      </c>
      <c r="J3051" s="1077">
        <v>2.5</v>
      </c>
      <c r="K3051" s="1077" t="s">
        <v>8847</v>
      </c>
      <c r="L3051" s="1077" t="s">
        <v>8396</v>
      </c>
      <c r="M3051" s="1077">
        <v>30.8</v>
      </c>
      <c r="N3051" s="1077" t="s">
        <v>945</v>
      </c>
      <c r="O3051" s="1077">
        <v>0.77</v>
      </c>
      <c r="P3051" s="1077">
        <v>0.61599999999999999</v>
      </c>
      <c r="Q3051" s="1077">
        <v>3.5</v>
      </c>
      <c r="R3051" s="1077">
        <v>26</v>
      </c>
      <c r="T3051" s="1077">
        <v>39</v>
      </c>
      <c r="U3051" s="1077">
        <v>4</v>
      </c>
      <c r="V3051" s="1077" t="s">
        <v>648</v>
      </c>
      <c r="W3051" s="1077">
        <v>140</v>
      </c>
      <c r="X3051" s="1077">
        <v>80</v>
      </c>
      <c r="Y3051" s="1077">
        <v>2.5</v>
      </c>
      <c r="Z3051" s="1077">
        <v>4</v>
      </c>
      <c r="AA3051" s="1077" t="s">
        <v>9045</v>
      </c>
      <c r="AH3051" s="1077" t="s">
        <v>889</v>
      </c>
      <c r="AI3051" s="1077">
        <v>89.09</v>
      </c>
      <c r="AJ3051" s="1077">
        <v>-0.53</v>
      </c>
      <c r="AK3051" s="1077">
        <v>0.7</v>
      </c>
      <c r="AM3051" s="1078" t="s">
        <v>15006</v>
      </c>
      <c r="AN3051" s="1078" t="s">
        <v>11448</v>
      </c>
      <c r="AO3051" s="1078">
        <f t="shared" si="382"/>
        <v>600</v>
      </c>
      <c r="AP3051" s="1078">
        <f t="shared" si="383"/>
        <v>1.73</v>
      </c>
      <c r="AQ3051" s="1078" t="str">
        <f t="shared" si="384"/>
        <v>1-4-1S83°</v>
      </c>
      <c r="AR3051" s="1078" t="str">
        <f t="shared" si="385"/>
        <v>32</v>
      </c>
      <c r="AS3051" s="1078" t="str">
        <f t="shared" si="386"/>
        <v>210/210/OFF</v>
      </c>
      <c r="AT3051" s="1078" t="str">
        <f t="shared" si="387"/>
        <v>1-4-1S83°</v>
      </c>
      <c r="AV3051" s="1078" t="str">
        <f t="shared" si="380"/>
        <v>113.12.26</v>
      </c>
      <c r="AW3051" s="1344">
        <f t="shared" si="381"/>
        <v>45652</v>
      </c>
    </row>
    <row r="3052" spans="1:49">
      <c r="A3052" s="1077" t="s">
        <v>9047</v>
      </c>
      <c r="B3052" s="1077" t="s">
        <v>8394</v>
      </c>
      <c r="C3052" s="1077">
        <v>600</v>
      </c>
      <c r="D3052" s="1077">
        <v>1.76</v>
      </c>
      <c r="E3052" s="1077" t="s">
        <v>15089</v>
      </c>
      <c r="F3052" s="1077" t="s">
        <v>1514</v>
      </c>
      <c r="G3052" s="1077">
        <v>2</v>
      </c>
      <c r="H3052" s="1077" t="s">
        <v>1274</v>
      </c>
      <c r="I3052" s="1077" t="s">
        <v>942</v>
      </c>
      <c r="J3052" s="1077">
        <v>2.5</v>
      </c>
      <c r="K3052" s="1077" t="s">
        <v>9048</v>
      </c>
      <c r="L3052" s="1077" t="s">
        <v>9049</v>
      </c>
      <c r="M3052" s="1077">
        <v>30.8</v>
      </c>
      <c r="N3052" s="1077" t="s">
        <v>945</v>
      </c>
      <c r="O3052" s="1077">
        <v>0.77</v>
      </c>
      <c r="P3052" s="1077">
        <v>0.61599999999999999</v>
      </c>
      <c r="Q3052" s="1077">
        <v>3.5</v>
      </c>
      <c r="R3052" s="1077">
        <v>26</v>
      </c>
      <c r="T3052" s="1077">
        <v>39</v>
      </c>
      <c r="U3052" s="1077">
        <v>4</v>
      </c>
      <c r="V3052" s="1077" t="s">
        <v>648</v>
      </c>
      <c r="W3052" s="1077">
        <v>140</v>
      </c>
      <c r="X3052" s="1077">
        <v>80</v>
      </c>
      <c r="Y3052" s="1077">
        <v>2.5</v>
      </c>
      <c r="Z3052" s="1077">
        <v>4</v>
      </c>
      <c r="AA3052" s="1077" t="s">
        <v>9050</v>
      </c>
      <c r="AH3052" s="1077" t="s">
        <v>990</v>
      </c>
      <c r="AI3052" s="1077">
        <v>88.8</v>
      </c>
      <c r="AJ3052" s="1077">
        <v>-0.6</v>
      </c>
      <c r="AK3052" s="1077">
        <v>1.42</v>
      </c>
      <c r="AM3052" s="1078" t="s">
        <v>15007</v>
      </c>
      <c r="AN3052" s="1078" t="s">
        <v>15008</v>
      </c>
      <c r="AO3052" s="1078">
        <f t="shared" si="382"/>
        <v>600</v>
      </c>
      <c r="AP3052" s="1078">
        <f t="shared" si="383"/>
        <v>1.76</v>
      </c>
      <c r="AQ3052" s="1078" t="str">
        <f t="shared" si="384"/>
        <v>1-4-1S83°</v>
      </c>
      <c r="AR3052" s="1078" t="str">
        <f t="shared" si="385"/>
        <v>32</v>
      </c>
      <c r="AS3052" s="1078" t="str">
        <f t="shared" si="386"/>
        <v>210/210/OFF</v>
      </c>
      <c r="AT3052" s="1078" t="str">
        <f t="shared" si="387"/>
        <v>1-4-1S83°</v>
      </c>
      <c r="AV3052" s="1078" t="str">
        <f t="shared" si="380"/>
        <v>114.2.10</v>
      </c>
      <c r="AW3052" s="1344">
        <f t="shared" si="381"/>
        <v>45698</v>
      </c>
    </row>
    <row r="3053" spans="1:49">
      <c r="A3053" s="1077" t="s">
        <v>9051</v>
      </c>
      <c r="B3053" s="1077" t="s">
        <v>654</v>
      </c>
      <c r="C3053" s="1077">
        <v>550</v>
      </c>
      <c r="D3053" s="1077">
        <v>1.71</v>
      </c>
      <c r="E3053" s="1077" t="s">
        <v>15121</v>
      </c>
      <c r="F3053" s="1077" t="s">
        <v>648</v>
      </c>
      <c r="G3053" s="1077">
        <v>5.5</v>
      </c>
      <c r="H3053" s="1077" t="s">
        <v>9052</v>
      </c>
      <c r="I3053" s="1077" t="s">
        <v>471</v>
      </c>
      <c r="J3053" s="1077">
        <v>0.8</v>
      </c>
      <c r="K3053" s="1077" t="s">
        <v>9053</v>
      </c>
      <c r="L3053" s="1077" t="s">
        <v>9016</v>
      </c>
      <c r="M3053" s="1077">
        <v>462</v>
      </c>
      <c r="N3053" s="1077" t="s">
        <v>945</v>
      </c>
      <c r="O3053" s="1077">
        <v>11.55</v>
      </c>
      <c r="P3053" s="1077">
        <v>9.24</v>
      </c>
      <c r="Q3053" s="1077">
        <v>3.5</v>
      </c>
      <c r="R3053" s="1077">
        <v>20.100000000000001</v>
      </c>
      <c r="T3053" s="1077">
        <v>25.7</v>
      </c>
      <c r="U3053" s="1077">
        <v>3</v>
      </c>
      <c r="V3053" s="1077" t="s">
        <v>648</v>
      </c>
      <c r="W3053" s="1077" t="s">
        <v>648</v>
      </c>
      <c r="X3053" s="1077" t="s">
        <v>648</v>
      </c>
      <c r="Y3053" s="1077">
        <v>1.5</v>
      </c>
      <c r="Z3053" s="1077" t="s">
        <v>648</v>
      </c>
      <c r="AA3053" s="1077" t="s">
        <v>9054</v>
      </c>
      <c r="AH3053" s="1077" t="s">
        <v>870</v>
      </c>
      <c r="AI3053" s="1077">
        <v>90.22</v>
      </c>
      <c r="AJ3053" s="1077">
        <v>-0.06</v>
      </c>
      <c r="AK3053" s="1077">
        <v>1.66</v>
      </c>
      <c r="AM3053" s="1078" t="s">
        <v>15009</v>
      </c>
      <c r="AN3053" s="1078" t="s">
        <v>15010</v>
      </c>
      <c r="AO3053" s="1078">
        <f t="shared" si="382"/>
        <v>550</v>
      </c>
      <c r="AP3053" s="1078">
        <f t="shared" si="383"/>
        <v>1.71</v>
      </c>
      <c r="AQ3053" s="1078" t="str">
        <f t="shared" si="384"/>
        <v>1-5-1S85°S+Z</v>
      </c>
      <c r="AR3053" s="1078" t="str">
        <f t="shared" si="385"/>
        <v>NA</v>
      </c>
      <c r="AS3053" s="1078" t="str">
        <f t="shared" si="386"/>
        <v>182/170</v>
      </c>
      <c r="AT3053" s="1078" t="str">
        <f t="shared" si="387"/>
        <v>1-5-1S85°S+Z</v>
      </c>
      <c r="AU3053" s="1078" t="s">
        <v>15550</v>
      </c>
      <c r="AV3053" s="1078" t="str">
        <f t="shared" si="380"/>
        <v>114.2.11</v>
      </c>
      <c r="AW3053" s="1344">
        <f t="shared" si="381"/>
        <v>45699</v>
      </c>
    </row>
    <row r="3054" spans="1:49">
      <c r="A3054" s="1077" t="s">
        <v>9055</v>
      </c>
      <c r="B3054" s="1077" t="s">
        <v>654</v>
      </c>
      <c r="C3054" s="1077">
        <v>550</v>
      </c>
      <c r="D3054" s="1077">
        <v>1.68</v>
      </c>
      <c r="E3054" s="1077" t="s">
        <v>15109</v>
      </c>
      <c r="F3054" s="1077" t="s">
        <v>648</v>
      </c>
      <c r="G3054" s="1077">
        <v>5.5</v>
      </c>
      <c r="H3054" s="1077" t="s">
        <v>5094</v>
      </c>
      <c r="I3054" s="1077" t="s">
        <v>643</v>
      </c>
      <c r="J3054" s="1077">
        <v>3</v>
      </c>
      <c r="K3054" s="1077" t="s">
        <v>9044</v>
      </c>
      <c r="L3054" s="1077" t="s">
        <v>8960</v>
      </c>
      <c r="M3054" s="1077">
        <v>427.4</v>
      </c>
      <c r="N3054" s="1077" t="s">
        <v>945</v>
      </c>
      <c r="O3054" s="1077">
        <v>10.685</v>
      </c>
      <c r="P3054" s="1077">
        <v>8.548</v>
      </c>
      <c r="Q3054" s="1077">
        <v>3.5</v>
      </c>
      <c r="R3054" s="1077">
        <v>24</v>
      </c>
      <c r="T3054" s="1077">
        <v>14.9</v>
      </c>
      <c r="U3054" s="1077">
        <v>4.2</v>
      </c>
      <c r="V3054" s="1077" t="s">
        <v>648</v>
      </c>
      <c r="W3054" s="1077">
        <v>120</v>
      </c>
      <c r="X3054" s="1077">
        <v>90</v>
      </c>
      <c r="Y3054" s="1077">
        <v>1</v>
      </c>
      <c r="Z3054" s="1077" t="s">
        <v>648</v>
      </c>
      <c r="AA3054" s="1077" t="s">
        <v>2272</v>
      </c>
      <c r="AH3054" s="1077" t="s">
        <v>767</v>
      </c>
      <c r="AI3054" s="1077">
        <v>90.62</v>
      </c>
      <c r="AJ3054" s="1077">
        <v>-0.09</v>
      </c>
      <c r="AK3054" s="1077">
        <v>1.77</v>
      </c>
      <c r="AM3054" s="1078" t="s">
        <v>764</v>
      </c>
      <c r="AN3054" s="1078" t="s">
        <v>15011</v>
      </c>
      <c r="AO3054" s="1078">
        <f t="shared" si="382"/>
        <v>550</v>
      </c>
      <c r="AP3054" s="1078">
        <f t="shared" si="383"/>
        <v>1.68</v>
      </c>
      <c r="AQ3054" s="1078" t="str">
        <f t="shared" si="384"/>
        <v>1-5-1S85°Z+S</v>
      </c>
      <c r="AR3054" s="1078" t="str">
        <f t="shared" si="385"/>
        <v>NA</v>
      </c>
      <c r="AS3054" s="1078" t="str">
        <f t="shared" si="386"/>
        <v>185/170</v>
      </c>
      <c r="AT3054" s="1078" t="str">
        <f t="shared" si="387"/>
        <v>1-5-1S85°Z+S</v>
      </c>
      <c r="AU3054" s="1078" t="s">
        <v>15547</v>
      </c>
      <c r="AV3054" s="1078" t="str">
        <f t="shared" si="380"/>
        <v>114.2.21</v>
      </c>
      <c r="AW3054" s="1344">
        <f t="shared" si="381"/>
        <v>45709</v>
      </c>
    </row>
    <row r="3055" spans="1:49">
      <c r="A3055" s="1077" t="s">
        <v>9056</v>
      </c>
      <c r="B3055" s="1077" t="s">
        <v>781</v>
      </c>
      <c r="C3055" s="1077">
        <v>450</v>
      </c>
      <c r="D3055" s="1077">
        <v>1.87</v>
      </c>
      <c r="E3055" s="1077" t="s">
        <v>15095</v>
      </c>
      <c r="F3055" s="1077" t="s">
        <v>975</v>
      </c>
      <c r="G3055" s="1077">
        <v>3</v>
      </c>
      <c r="H3055" s="1077" t="s">
        <v>8433</v>
      </c>
      <c r="I3055" s="1077" t="s">
        <v>626</v>
      </c>
      <c r="J3055" s="1077">
        <v>1.5</v>
      </c>
      <c r="K3055" s="1077" t="s">
        <v>8981</v>
      </c>
      <c r="L3055" s="1077" t="s">
        <v>8435</v>
      </c>
      <c r="M3055" s="1077">
        <v>80.8</v>
      </c>
      <c r="N3055" s="1077" t="s">
        <v>945</v>
      </c>
      <c r="O3055" s="1077">
        <v>2.02</v>
      </c>
      <c r="P3055" s="1077">
        <v>1.6159999999999999</v>
      </c>
      <c r="Q3055" s="1077">
        <v>3</v>
      </c>
      <c r="R3055" s="1077">
        <v>22.6</v>
      </c>
      <c r="T3055" s="1077">
        <v>6.2</v>
      </c>
      <c r="U3055" s="1077">
        <v>9.4</v>
      </c>
      <c r="V3055" s="1077" t="s">
        <v>648</v>
      </c>
      <c r="W3055" s="1077">
        <v>135</v>
      </c>
      <c r="X3055" s="1077">
        <v>55</v>
      </c>
      <c r="Y3055" s="1077">
        <v>1.6</v>
      </c>
      <c r="Z3055" s="1077">
        <v>3</v>
      </c>
      <c r="AA3055" s="1077" t="s">
        <v>2274</v>
      </c>
      <c r="AH3055" s="1077" t="s">
        <v>1990</v>
      </c>
      <c r="AI3055" s="1077">
        <v>92.27</v>
      </c>
      <c r="AJ3055" s="1077">
        <v>-0.2</v>
      </c>
      <c r="AK3055" s="1077">
        <v>0.54</v>
      </c>
      <c r="AM3055" s="1078" t="s">
        <v>780</v>
      </c>
      <c r="AN3055" s="1078" t="s">
        <v>15128</v>
      </c>
      <c r="AO3055" s="1078">
        <f t="shared" si="382"/>
        <v>450</v>
      </c>
      <c r="AP3055" s="1078">
        <f t="shared" si="383"/>
        <v>1.87</v>
      </c>
      <c r="AQ3055" s="1078" t="str">
        <f t="shared" si="384"/>
        <v>1-5-1S83°</v>
      </c>
      <c r="AR3055" s="1078" t="str">
        <f t="shared" si="385"/>
        <v>31.5</v>
      </c>
      <c r="AS3055" s="1078" t="str">
        <f t="shared" si="386"/>
        <v>140/140/OFF</v>
      </c>
      <c r="AT3055" s="1078" t="str">
        <f t="shared" si="387"/>
        <v>1-5-1S83°</v>
      </c>
      <c r="AV3055" s="1078" t="str">
        <f t="shared" si="380"/>
        <v>114.3.3</v>
      </c>
      <c r="AW3055" s="1344">
        <f t="shared" si="381"/>
        <v>45719</v>
      </c>
    </row>
    <row r="3056" spans="1:49">
      <c r="A3056" s="1077" t="s">
        <v>15129</v>
      </c>
      <c r="B3056" s="1077" t="s">
        <v>799</v>
      </c>
      <c r="C3056" s="1077">
        <v>650</v>
      </c>
      <c r="D3056" s="1077">
        <v>1.73</v>
      </c>
      <c r="E3056" s="1077" t="s">
        <v>15094</v>
      </c>
      <c r="F3056" s="1077" t="s">
        <v>984</v>
      </c>
      <c r="G3056" s="1077">
        <v>5</v>
      </c>
      <c r="H3056" s="1077" t="s">
        <v>6560</v>
      </c>
      <c r="I3056" s="1077" t="s">
        <v>126</v>
      </c>
      <c r="J3056" s="1077">
        <v>0.8</v>
      </c>
      <c r="K3056" s="1077" t="s">
        <v>15130</v>
      </c>
      <c r="L3056" s="1077" t="s">
        <v>6684</v>
      </c>
      <c r="M3056" s="1077">
        <v>151.5</v>
      </c>
      <c r="N3056" s="1077" t="s">
        <v>945</v>
      </c>
      <c r="O3056" s="1077">
        <v>3.7875000000000001</v>
      </c>
      <c r="P3056" s="1077">
        <v>3.0300000000000002</v>
      </c>
      <c r="Q3056" s="1077">
        <v>3.5</v>
      </c>
      <c r="R3056" s="1077">
        <v>19.100000000000001</v>
      </c>
      <c r="T3056" s="1077">
        <v>23.7</v>
      </c>
      <c r="U3056" s="1077">
        <v>3.2</v>
      </c>
      <c r="V3056" s="1077" t="s">
        <v>648</v>
      </c>
      <c r="W3056" s="1077">
        <v>35</v>
      </c>
      <c r="X3056" s="1077">
        <v>10</v>
      </c>
      <c r="Y3056" s="1077">
        <v>1</v>
      </c>
      <c r="Z3056" s="1077">
        <v>6</v>
      </c>
      <c r="AA3056" s="1077" t="s">
        <v>15131</v>
      </c>
      <c r="AH3056" s="1077" t="s">
        <v>1482</v>
      </c>
      <c r="AI3056" s="1077">
        <v>93.29</v>
      </c>
      <c r="AJ3056" s="1077">
        <v>-0.24</v>
      </c>
      <c r="AK3056" s="1077">
        <v>2.44</v>
      </c>
      <c r="AM3056" s="1078" t="s">
        <v>856</v>
      </c>
      <c r="AN3056" s="1078" t="s">
        <v>15132</v>
      </c>
      <c r="AO3056" s="1078">
        <f t="shared" si="382"/>
        <v>650</v>
      </c>
      <c r="AP3056" s="1078">
        <f t="shared" si="383"/>
        <v>1.73</v>
      </c>
      <c r="AQ3056" s="1078" t="str">
        <f t="shared" si="384"/>
        <v>1-5-1S91°</v>
      </c>
      <c r="AR3056" s="1078" t="str">
        <f t="shared" si="385"/>
        <v>30</v>
      </c>
      <c r="AS3056" s="1078" t="str">
        <f t="shared" si="386"/>
        <v>350/310/155</v>
      </c>
      <c r="AT3056" s="1078" t="str">
        <f t="shared" si="387"/>
        <v>1-5-1S91°</v>
      </c>
      <c r="AV3056" s="1078" t="str">
        <f t="shared" si="380"/>
        <v>114.3.25</v>
      </c>
      <c r="AW3056" s="1344">
        <f t="shared" si="381"/>
        <v>45741</v>
      </c>
    </row>
    <row r="3057" spans="1:49">
      <c r="A3057" s="1077" t="s">
        <v>15133</v>
      </c>
      <c r="B3057" s="1077" t="s">
        <v>847</v>
      </c>
      <c r="C3057" s="1077" t="s">
        <v>15134</v>
      </c>
      <c r="D3057" s="1077">
        <v>1.7849999999999999</v>
      </c>
      <c r="E3057" s="1077" t="s">
        <v>15111</v>
      </c>
      <c r="F3057" s="1077" t="s">
        <v>975</v>
      </c>
      <c r="G3057" s="1077">
        <v>4</v>
      </c>
      <c r="H3057" s="1077" t="s">
        <v>15135</v>
      </c>
      <c r="I3057" s="1077" t="s">
        <v>648</v>
      </c>
      <c r="J3057" s="1077">
        <v>0</v>
      </c>
      <c r="K3057" s="1077" t="s">
        <v>15136</v>
      </c>
      <c r="L3057" s="1077" t="s">
        <v>5037</v>
      </c>
      <c r="M3057" s="1077">
        <v>150</v>
      </c>
      <c r="N3057" s="1077" t="s">
        <v>945</v>
      </c>
      <c r="O3057" s="1077">
        <v>3.75</v>
      </c>
      <c r="P3057" s="1077">
        <v>3</v>
      </c>
      <c r="Q3057" s="1077">
        <v>3.5</v>
      </c>
      <c r="R3057" s="1077">
        <v>21.8</v>
      </c>
      <c r="T3057" s="1077">
        <v>19.5</v>
      </c>
      <c r="U3057" s="1077">
        <v>1.8</v>
      </c>
      <c r="V3057" s="1077" t="s">
        <v>648</v>
      </c>
      <c r="W3057" s="1077" t="s">
        <v>648</v>
      </c>
      <c r="X3057" s="1077" t="s">
        <v>648</v>
      </c>
      <c r="Y3057" s="1077">
        <v>2.1</v>
      </c>
      <c r="Z3057" s="1077">
        <v>5</v>
      </c>
      <c r="AA3057" s="1077" t="s">
        <v>2289</v>
      </c>
      <c r="AH3057" s="1077" t="s">
        <v>862</v>
      </c>
      <c r="AI3057" s="1077">
        <v>13.59</v>
      </c>
      <c r="AJ3057" s="1077">
        <v>0.31</v>
      </c>
      <c r="AK3057" s="1077">
        <v>0.81</v>
      </c>
      <c r="AM3057" s="1078" t="s">
        <v>15013</v>
      </c>
      <c r="AN3057" s="1078" t="s">
        <v>15137</v>
      </c>
      <c r="AO3057" s="1078" t="str">
        <f t="shared" si="382"/>
        <v>550↓500-4/9</v>
      </c>
      <c r="AP3057" s="1078">
        <f t="shared" si="383"/>
        <v>1.7849999999999999</v>
      </c>
      <c r="AQ3057" s="1078" t="str">
        <f t="shared" si="384"/>
        <v>1-5-1S91</v>
      </c>
      <c r="AR3057" s="1078" t="str">
        <f t="shared" si="385"/>
        <v>31.5</v>
      </c>
      <c r="AS3057" s="1078" t="str">
        <f t="shared" si="386"/>
        <v>290/290/160</v>
      </c>
      <c r="AT3057" s="1078" t="str">
        <f t="shared" si="387"/>
        <v>1-5-1S91</v>
      </c>
      <c r="AV3057" s="1078" t="str">
        <f t="shared" si="380"/>
        <v>114.3.21</v>
      </c>
      <c r="AW3057" s="1344">
        <f t="shared" si="381"/>
        <v>45737</v>
      </c>
    </row>
    <row r="3058" spans="1:49">
      <c r="A3058" s="1077" t="s">
        <v>15138</v>
      </c>
      <c r="B3058" s="1077" t="s">
        <v>799</v>
      </c>
      <c r="C3058" s="1077">
        <v>700</v>
      </c>
      <c r="D3058" s="1077">
        <v>1.73</v>
      </c>
      <c r="E3058" s="1077" t="s">
        <v>15094</v>
      </c>
      <c r="F3058" s="1077" t="s">
        <v>984</v>
      </c>
      <c r="G3058" s="1077">
        <v>5</v>
      </c>
      <c r="H3058" s="1077" t="s">
        <v>5165</v>
      </c>
      <c r="I3058" s="1077" t="s">
        <v>126</v>
      </c>
      <c r="J3058" s="1077">
        <v>0.8</v>
      </c>
      <c r="K3058" s="1077" t="s">
        <v>15130</v>
      </c>
      <c r="L3058" s="1077" t="s">
        <v>6684</v>
      </c>
      <c r="M3058" s="1077">
        <v>151.5</v>
      </c>
      <c r="N3058" s="1077" t="s">
        <v>945</v>
      </c>
      <c r="O3058" s="1077">
        <v>3.7875000000000001</v>
      </c>
      <c r="P3058" s="1077">
        <v>3.0300000000000002</v>
      </c>
      <c r="Q3058" s="1077">
        <v>3.5</v>
      </c>
      <c r="R3058" s="1077">
        <v>19.100000000000001</v>
      </c>
      <c r="T3058" s="1077">
        <v>23.7</v>
      </c>
      <c r="U3058" s="1077">
        <v>3.2</v>
      </c>
      <c r="V3058" s="1077" t="s">
        <v>648</v>
      </c>
      <c r="W3058" s="1077">
        <v>35</v>
      </c>
      <c r="X3058" s="1077">
        <v>10</v>
      </c>
      <c r="Y3058" s="1077">
        <v>1</v>
      </c>
      <c r="Z3058" s="1077">
        <v>6</v>
      </c>
      <c r="AA3058" s="1077" t="s">
        <v>15139</v>
      </c>
      <c r="AH3058" s="1077" t="s">
        <v>1186</v>
      </c>
      <c r="AI3058" s="1077">
        <v>93.32</v>
      </c>
      <c r="AJ3058" s="1077">
        <v>-0.49</v>
      </c>
      <c r="AK3058" s="1077">
        <v>2.6</v>
      </c>
      <c r="AM3058" s="1078" t="s">
        <v>15014</v>
      </c>
      <c r="AN3058" s="1078" t="s">
        <v>15140</v>
      </c>
      <c r="AO3058" s="1078">
        <f t="shared" si="382"/>
        <v>700</v>
      </c>
      <c r="AP3058" s="1078">
        <f t="shared" si="383"/>
        <v>1.73</v>
      </c>
      <c r="AQ3058" s="1078" t="str">
        <f t="shared" si="384"/>
        <v>1-5-1S91°</v>
      </c>
      <c r="AR3058" s="1078" t="str">
        <f t="shared" si="385"/>
        <v>30</v>
      </c>
      <c r="AS3058" s="1078" t="str">
        <f t="shared" si="386"/>
        <v>360/320/155</v>
      </c>
      <c r="AT3058" s="1078" t="str">
        <f t="shared" si="387"/>
        <v>1-5-1S91°</v>
      </c>
      <c r="AV3058" s="1078" t="str">
        <f t="shared" si="380"/>
        <v>114.3.31</v>
      </c>
      <c r="AW3058" s="1344">
        <f t="shared" si="381"/>
        <v>45747</v>
      </c>
    </row>
    <row r="3059" spans="1:49">
      <c r="A3059" s="1077" t="s">
        <v>15141</v>
      </c>
      <c r="B3059" s="1077" t="s">
        <v>465</v>
      </c>
      <c r="C3059" s="1077">
        <v>650</v>
      </c>
      <c r="D3059" s="1077">
        <v>1.79</v>
      </c>
      <c r="E3059" s="1077" t="s">
        <v>15109</v>
      </c>
      <c r="F3059" s="1077" t="s">
        <v>648</v>
      </c>
      <c r="G3059" s="1077">
        <v>5</v>
      </c>
      <c r="H3059" s="1077" t="s">
        <v>3356</v>
      </c>
      <c r="I3059" s="1077" t="s">
        <v>460</v>
      </c>
      <c r="J3059" s="1077">
        <v>1.6</v>
      </c>
      <c r="K3059" s="1077" t="s">
        <v>15142</v>
      </c>
      <c r="L3059" s="1077" t="s">
        <v>6335</v>
      </c>
      <c r="M3059" s="1077">
        <v>149.5</v>
      </c>
      <c r="N3059" s="1077" t="s">
        <v>945</v>
      </c>
      <c r="O3059" s="1077">
        <v>3.7375000000000003</v>
      </c>
      <c r="P3059" s="1077">
        <v>2.99</v>
      </c>
      <c r="Q3059" s="1077">
        <v>4</v>
      </c>
      <c r="R3059" s="1077">
        <v>21</v>
      </c>
      <c r="T3059" s="1077">
        <v>37</v>
      </c>
      <c r="U3059" s="1077">
        <v>3.7</v>
      </c>
      <c r="V3059" s="1077" t="s">
        <v>648</v>
      </c>
      <c r="W3059" s="1077">
        <v>110</v>
      </c>
      <c r="X3059" s="1077">
        <v>40</v>
      </c>
      <c r="Y3059" s="1077">
        <v>2.2000000000000002</v>
      </c>
      <c r="Z3059" s="1077" t="s">
        <v>648</v>
      </c>
      <c r="AA3059" s="1077" t="s">
        <v>15143</v>
      </c>
      <c r="AH3059" s="1077" t="s">
        <v>783</v>
      </c>
      <c r="AI3059" s="1077">
        <v>91.82</v>
      </c>
      <c r="AJ3059" s="1077">
        <v>-0.55000000000000004</v>
      </c>
      <c r="AK3059" s="1077">
        <v>1.68</v>
      </c>
      <c r="AM3059" s="1078" t="s">
        <v>15016</v>
      </c>
      <c r="AN3059" s="1078" t="s">
        <v>15144</v>
      </c>
      <c r="AO3059" s="1078">
        <f t="shared" si="382"/>
        <v>650</v>
      </c>
      <c r="AP3059" s="1078">
        <f t="shared" si="383"/>
        <v>1.79</v>
      </c>
      <c r="AQ3059" s="1078" t="str">
        <f t="shared" si="384"/>
        <v>1-5-1S85°Z+S</v>
      </c>
      <c r="AR3059" s="1078" t="str">
        <f t="shared" si="385"/>
        <v>NA</v>
      </c>
      <c r="AS3059" s="1078" t="str">
        <f t="shared" si="386"/>
        <v>182/OFF</v>
      </c>
      <c r="AT3059" s="1078" t="str">
        <f t="shared" si="387"/>
        <v>1-5-1S85°Z+S</v>
      </c>
      <c r="AU3059" s="1078" t="s">
        <v>15547</v>
      </c>
      <c r="AV3059" s="1078" t="str">
        <f t="shared" si="380"/>
        <v>114.3.31</v>
      </c>
      <c r="AW3059" s="1344">
        <f t="shared" si="381"/>
        <v>45747</v>
      </c>
    </row>
    <row r="3060" spans="1:49">
      <c r="A3060" s="1077" t="s">
        <v>15145</v>
      </c>
      <c r="B3060" s="1077" t="s">
        <v>210</v>
      </c>
      <c r="C3060" s="1077">
        <v>650</v>
      </c>
      <c r="D3060" s="1077">
        <v>1.76</v>
      </c>
      <c r="E3060" s="1077" t="s">
        <v>15094</v>
      </c>
      <c r="F3060" s="1077" t="s">
        <v>2001</v>
      </c>
      <c r="G3060" s="1077">
        <v>5</v>
      </c>
      <c r="H3060" s="1077" t="s">
        <v>6023</v>
      </c>
      <c r="I3060" s="1077" t="s">
        <v>126</v>
      </c>
      <c r="J3060" s="1077">
        <v>2.9</v>
      </c>
      <c r="K3060" s="1077" t="s">
        <v>15146</v>
      </c>
      <c r="L3060" s="1077" t="s">
        <v>6291</v>
      </c>
      <c r="M3060" s="1077">
        <v>150.80000000000001</v>
      </c>
      <c r="N3060" s="1077" t="s">
        <v>945</v>
      </c>
      <c r="O3060" s="1077">
        <v>3.7700000000000005</v>
      </c>
      <c r="P3060" s="1077">
        <v>3.0160000000000005</v>
      </c>
      <c r="Q3060" s="1077">
        <v>4</v>
      </c>
      <c r="R3060" s="1077">
        <v>19</v>
      </c>
      <c r="T3060" s="1077">
        <v>28.3</v>
      </c>
      <c r="U3060" s="1077">
        <v>4.3</v>
      </c>
      <c r="V3060" s="1077" t="s">
        <v>648</v>
      </c>
      <c r="W3060" s="1077">
        <v>100</v>
      </c>
      <c r="X3060" s="1077">
        <v>50</v>
      </c>
      <c r="Y3060" s="1077">
        <v>1.5</v>
      </c>
      <c r="Z3060" s="1077">
        <v>6.5</v>
      </c>
      <c r="AA3060" s="1077" t="s">
        <v>15147</v>
      </c>
      <c r="AH3060" s="1077" t="s">
        <v>1053</v>
      </c>
      <c r="AI3060" s="1077">
        <v>91.46</v>
      </c>
      <c r="AJ3060" s="1077">
        <v>-0.27</v>
      </c>
      <c r="AK3060" s="1077">
        <v>1.34</v>
      </c>
      <c r="AM3060" s="1078" t="s">
        <v>15021</v>
      </c>
      <c r="AN3060" s="1078" t="s">
        <v>15148</v>
      </c>
      <c r="AO3060" s="1078">
        <f t="shared" si="382"/>
        <v>650</v>
      </c>
      <c r="AP3060" s="1078">
        <f t="shared" si="383"/>
        <v>1.76</v>
      </c>
      <c r="AQ3060" s="1078" t="str">
        <f t="shared" si="384"/>
        <v>1-5-1S91°</v>
      </c>
      <c r="AR3060" s="1078" t="str">
        <f t="shared" si="385"/>
        <v>29.9</v>
      </c>
      <c r="AS3060" s="1078" t="str">
        <f t="shared" si="386"/>
        <v>350/310/OFF</v>
      </c>
      <c r="AT3060" s="1078" t="str">
        <f t="shared" si="387"/>
        <v>1-5-1S91°</v>
      </c>
      <c r="AV3060" s="1078" t="str">
        <f t="shared" si="380"/>
        <v>114.4.2</v>
      </c>
      <c r="AW3060" s="1344">
        <f t="shared" si="381"/>
        <v>45749</v>
      </c>
    </row>
    <row r="3061" spans="1:49">
      <c r="A3061" s="1077" t="s">
        <v>15149</v>
      </c>
      <c r="B3061" s="1077" t="s">
        <v>5410</v>
      </c>
      <c r="C3061" s="1077">
        <v>500</v>
      </c>
      <c r="D3061" s="1077">
        <v>1.73</v>
      </c>
      <c r="E3061" s="1077" t="s">
        <v>15116</v>
      </c>
      <c r="F3061" s="1077" t="s">
        <v>984</v>
      </c>
      <c r="G3061" s="1077">
        <v>2</v>
      </c>
      <c r="H3061" s="1077" t="s">
        <v>955</v>
      </c>
      <c r="I3061" s="1077" t="s">
        <v>126</v>
      </c>
      <c r="J3061" s="1077">
        <v>0.4</v>
      </c>
      <c r="K3061" s="1077" t="s">
        <v>6583</v>
      </c>
      <c r="L3061" s="1077" t="s">
        <v>1825</v>
      </c>
      <c r="M3061" s="1077">
        <v>150.1</v>
      </c>
      <c r="N3061" s="1077" t="s">
        <v>945</v>
      </c>
      <c r="O3061" s="1077">
        <v>3.7524999999999999</v>
      </c>
      <c r="P3061" s="1077">
        <v>3.0019999999999998</v>
      </c>
      <c r="Q3061" s="1077">
        <v>3</v>
      </c>
      <c r="R3061" s="1077">
        <v>20.7</v>
      </c>
      <c r="T3061" s="1077">
        <v>32.6</v>
      </c>
      <c r="U3061" s="1077">
        <v>3</v>
      </c>
      <c r="V3061" s="1077" t="s">
        <v>648</v>
      </c>
      <c r="W3061" s="1077" t="s">
        <v>648</v>
      </c>
      <c r="X3061" s="1077" t="s">
        <v>648</v>
      </c>
      <c r="Y3061" s="1077">
        <v>1.7</v>
      </c>
      <c r="Z3061" s="1077" t="s">
        <v>648</v>
      </c>
      <c r="AA3061" s="1077" t="s">
        <v>15150</v>
      </c>
      <c r="AH3061" s="1077" t="s">
        <v>1421</v>
      </c>
      <c r="AI3061" s="1077">
        <v>84.07</v>
      </c>
      <c r="AJ3061" s="1077">
        <v>0.77</v>
      </c>
      <c r="AK3061" s="1077">
        <v>7.83</v>
      </c>
      <c r="AM3061" s="1078" t="s">
        <v>15037</v>
      </c>
      <c r="AN3061" s="1078" t="s">
        <v>15151</v>
      </c>
      <c r="AO3061" s="1078">
        <f t="shared" si="382"/>
        <v>500</v>
      </c>
      <c r="AP3061" s="1078">
        <f t="shared" si="383"/>
        <v>1.73</v>
      </c>
      <c r="AQ3061" s="1078" t="str">
        <f t="shared" si="384"/>
        <v>1-5-1S83°Z+S</v>
      </c>
      <c r="AR3061" s="1078" t="str">
        <f t="shared" si="385"/>
        <v>30</v>
      </c>
      <c r="AS3061" s="1078" t="str">
        <f t="shared" si="386"/>
        <v>260/260/OFF</v>
      </c>
      <c r="AT3061" s="1078" t="str">
        <f t="shared" si="387"/>
        <v>1-5-1S83°Z+S</v>
      </c>
      <c r="AU3061" s="1078" t="s">
        <v>15547</v>
      </c>
      <c r="AV3061" s="1078" t="str">
        <f t="shared" si="380"/>
        <v>114.4.14</v>
      </c>
      <c r="AW3061" s="1344">
        <f t="shared" si="381"/>
        <v>45761</v>
      </c>
    </row>
    <row r="3062" spans="1:49">
      <c r="A3062" s="1077" t="s">
        <v>15152</v>
      </c>
      <c r="B3062" s="1077" t="s">
        <v>799</v>
      </c>
      <c r="C3062" s="1077">
        <v>670</v>
      </c>
      <c r="D3062" s="1077">
        <v>1.77</v>
      </c>
      <c r="E3062" s="1077" t="s">
        <v>15094</v>
      </c>
      <c r="F3062" s="1077" t="s">
        <v>984</v>
      </c>
      <c r="G3062" s="1077">
        <v>5</v>
      </c>
      <c r="H3062" s="1077" t="s">
        <v>6560</v>
      </c>
      <c r="I3062" s="1077" t="s">
        <v>126</v>
      </c>
      <c r="J3062" s="1077">
        <v>0.7</v>
      </c>
      <c r="K3062" s="1077" t="s">
        <v>15153</v>
      </c>
      <c r="L3062" s="1077" t="s">
        <v>6291</v>
      </c>
      <c r="M3062" s="1077">
        <v>151.5</v>
      </c>
      <c r="N3062" s="1077" t="s">
        <v>945</v>
      </c>
      <c r="O3062" s="1077">
        <v>3.7875000000000001</v>
      </c>
      <c r="P3062" s="1077">
        <v>3.0300000000000002</v>
      </c>
      <c r="Q3062" s="1077">
        <v>4</v>
      </c>
      <c r="R3062" s="1077">
        <v>19.100000000000001</v>
      </c>
      <c r="T3062" s="1077">
        <v>23.7</v>
      </c>
      <c r="U3062" s="1077">
        <v>3.2</v>
      </c>
      <c r="V3062" s="1077" t="s">
        <v>648</v>
      </c>
      <c r="W3062" s="1077">
        <v>35</v>
      </c>
      <c r="X3062" s="1077">
        <v>10</v>
      </c>
      <c r="Y3062" s="1077">
        <v>1</v>
      </c>
      <c r="Z3062" s="1077">
        <v>6</v>
      </c>
      <c r="AA3062" s="1077" t="s">
        <v>15154</v>
      </c>
      <c r="AH3062" s="1077" t="s">
        <v>782</v>
      </c>
      <c r="AI3062" s="1077">
        <v>92.51</v>
      </c>
      <c r="AJ3062" s="1077">
        <v>-0.39</v>
      </c>
      <c r="AK3062" s="1077">
        <v>0.81</v>
      </c>
      <c r="AM3062" s="1078" t="s">
        <v>15026</v>
      </c>
      <c r="AN3062" s="1078" t="s">
        <v>15155</v>
      </c>
      <c r="AO3062" s="1078">
        <f t="shared" si="382"/>
        <v>670</v>
      </c>
      <c r="AP3062" s="1078">
        <f t="shared" si="383"/>
        <v>1.77</v>
      </c>
      <c r="AQ3062" s="1078" t="str">
        <f t="shared" si="384"/>
        <v>1-5-1S91°</v>
      </c>
      <c r="AR3062" s="1078" t="str">
        <f t="shared" si="385"/>
        <v>30</v>
      </c>
      <c r="AS3062" s="1078" t="str">
        <f t="shared" si="386"/>
        <v>350/310/155</v>
      </c>
      <c r="AT3062" s="1078" t="str">
        <f t="shared" si="387"/>
        <v>1-5-1S91°</v>
      </c>
      <c r="AV3062" s="1078" t="str">
        <f t="shared" si="380"/>
        <v>114.4.7</v>
      </c>
      <c r="AW3062" s="1344">
        <f t="shared" si="381"/>
        <v>45754</v>
      </c>
    </row>
    <row r="3063" spans="1:49">
      <c r="A3063" s="1077" t="s">
        <v>15156</v>
      </c>
      <c r="B3063" s="1077" t="s">
        <v>799</v>
      </c>
      <c r="C3063" s="1077">
        <v>650</v>
      </c>
      <c r="D3063" s="1077">
        <v>1.77</v>
      </c>
      <c r="E3063" s="1077" t="s">
        <v>15094</v>
      </c>
      <c r="F3063" s="1077" t="s">
        <v>984</v>
      </c>
      <c r="G3063" s="1077">
        <v>5</v>
      </c>
      <c r="H3063" s="1077" t="s">
        <v>6560</v>
      </c>
      <c r="I3063" s="1077" t="s">
        <v>126</v>
      </c>
      <c r="J3063" s="1077">
        <v>0.7</v>
      </c>
      <c r="K3063" s="1077" t="s">
        <v>15157</v>
      </c>
      <c r="L3063" s="1077" t="s">
        <v>6291</v>
      </c>
      <c r="M3063" s="1077">
        <v>151.5</v>
      </c>
      <c r="N3063" s="1077" t="s">
        <v>945</v>
      </c>
      <c r="O3063" s="1077">
        <v>3.7875000000000001</v>
      </c>
      <c r="P3063" s="1077">
        <v>3.0300000000000002</v>
      </c>
      <c r="Q3063" s="1077">
        <v>4</v>
      </c>
      <c r="R3063" s="1077">
        <v>19.100000000000001</v>
      </c>
      <c r="T3063" s="1077">
        <v>23.7</v>
      </c>
      <c r="U3063" s="1077">
        <v>3.2</v>
      </c>
      <c r="V3063" s="1077" t="s">
        <v>648</v>
      </c>
      <c r="W3063" s="1077">
        <v>35</v>
      </c>
      <c r="X3063" s="1077">
        <v>10</v>
      </c>
      <c r="Y3063" s="1077">
        <v>1</v>
      </c>
      <c r="Z3063" s="1077">
        <v>6</v>
      </c>
      <c r="AA3063" s="1077" t="s">
        <v>15154</v>
      </c>
      <c r="AH3063" s="1077" t="s">
        <v>1221</v>
      </c>
      <c r="AI3063" s="1077">
        <v>92.23</v>
      </c>
      <c r="AJ3063" s="1077">
        <v>-0.32</v>
      </c>
      <c r="AK3063" s="1077">
        <v>1.04</v>
      </c>
      <c r="AM3063" s="1078" t="s">
        <v>15024</v>
      </c>
      <c r="AN3063" s="1078" t="s">
        <v>15158</v>
      </c>
      <c r="AO3063" s="1078">
        <f t="shared" si="382"/>
        <v>650</v>
      </c>
      <c r="AP3063" s="1078">
        <f t="shared" si="383"/>
        <v>1.77</v>
      </c>
      <c r="AQ3063" s="1078" t="str">
        <f t="shared" si="384"/>
        <v>1-5-1S91°</v>
      </c>
      <c r="AR3063" s="1078" t="str">
        <f t="shared" si="385"/>
        <v>30</v>
      </c>
      <c r="AS3063" s="1078" t="str">
        <f t="shared" si="386"/>
        <v>350/310/155</v>
      </c>
      <c r="AT3063" s="1078" t="str">
        <f t="shared" si="387"/>
        <v>1-5-1S91°</v>
      </c>
      <c r="AV3063" s="1078" t="str">
        <f t="shared" si="380"/>
        <v>114.4.7</v>
      </c>
      <c r="AW3063" s="1344">
        <f t="shared" si="381"/>
        <v>45754</v>
      </c>
    </row>
    <row r="3064" spans="1:49">
      <c r="A3064" s="1077" t="s">
        <v>15159</v>
      </c>
      <c r="B3064" s="1077" t="s">
        <v>210</v>
      </c>
      <c r="C3064" s="1077">
        <v>750</v>
      </c>
      <c r="D3064" s="1077">
        <v>1.75</v>
      </c>
      <c r="E3064" s="1077" t="s">
        <v>15094</v>
      </c>
      <c r="F3064" s="1077" t="s">
        <v>4013</v>
      </c>
      <c r="G3064" s="1077">
        <v>5</v>
      </c>
      <c r="H3064" s="1077" t="s">
        <v>15160</v>
      </c>
      <c r="I3064" s="1077" t="s">
        <v>126</v>
      </c>
      <c r="J3064" s="1077">
        <v>1.9</v>
      </c>
      <c r="K3064" s="1077" t="s">
        <v>15130</v>
      </c>
      <c r="L3064" s="1077" t="s">
        <v>6684</v>
      </c>
      <c r="M3064" s="1077">
        <v>152.19999999999999</v>
      </c>
      <c r="N3064" s="1077" t="s">
        <v>945</v>
      </c>
      <c r="O3064" s="1077">
        <v>3.8049999999999997</v>
      </c>
      <c r="P3064" s="1077">
        <v>3.044</v>
      </c>
      <c r="Q3064" s="1077">
        <v>4</v>
      </c>
      <c r="R3064" s="1077">
        <v>19</v>
      </c>
      <c r="T3064" s="1077">
        <v>16</v>
      </c>
      <c r="U3064" s="1077">
        <v>4</v>
      </c>
      <c r="V3064" s="1077" t="s">
        <v>648</v>
      </c>
      <c r="W3064" s="1077">
        <v>95</v>
      </c>
      <c r="X3064" s="1077">
        <v>20</v>
      </c>
      <c r="Y3064" s="1077">
        <v>1.5</v>
      </c>
      <c r="Z3064" s="1077">
        <v>5</v>
      </c>
      <c r="AA3064" s="1077" t="s">
        <v>15154</v>
      </c>
      <c r="AH3064" s="1077" t="s">
        <v>482</v>
      </c>
      <c r="AI3064" s="1077">
        <v>93.64</v>
      </c>
      <c r="AJ3064" s="1077">
        <v>-0.48</v>
      </c>
      <c r="AK3064" s="1077">
        <v>2.35</v>
      </c>
      <c r="AM3064" s="1078" t="s">
        <v>15027</v>
      </c>
      <c r="AN3064" s="1078" t="s">
        <v>15161</v>
      </c>
      <c r="AO3064" s="1078">
        <f t="shared" si="382"/>
        <v>750</v>
      </c>
      <c r="AP3064" s="1078">
        <f t="shared" si="383"/>
        <v>1.75</v>
      </c>
      <c r="AQ3064" s="1078" t="str">
        <f t="shared" si="384"/>
        <v>1-5-1S91°</v>
      </c>
      <c r="AR3064" s="1078" t="str">
        <f t="shared" si="385"/>
        <v>30.3</v>
      </c>
      <c r="AS3064" s="1078" t="str">
        <f t="shared" si="386"/>
        <v>325/285/158</v>
      </c>
      <c r="AT3064" s="1078" t="str">
        <f t="shared" si="387"/>
        <v>1-5-1S91°</v>
      </c>
      <c r="AV3064" s="1078" t="str">
        <f t="shared" si="380"/>
        <v>114.4.7</v>
      </c>
      <c r="AW3064" s="1344">
        <f t="shared" si="381"/>
        <v>45754</v>
      </c>
    </row>
    <row r="3065" spans="1:49">
      <c r="A3065" s="1077" t="s">
        <v>15162</v>
      </c>
      <c r="B3065" s="1077" t="s">
        <v>799</v>
      </c>
      <c r="C3065" s="1077">
        <v>650</v>
      </c>
      <c r="D3065" s="1077">
        <v>1.7549999999999999</v>
      </c>
      <c r="E3065" s="1077" t="s">
        <v>15094</v>
      </c>
      <c r="F3065" s="1077" t="s">
        <v>984</v>
      </c>
      <c r="G3065" s="1077">
        <v>5</v>
      </c>
      <c r="H3065" s="1077" t="s">
        <v>6560</v>
      </c>
      <c r="I3065" s="1077" t="s">
        <v>126</v>
      </c>
      <c r="J3065" s="1077">
        <v>0.7</v>
      </c>
      <c r="K3065" s="1077" t="s">
        <v>15153</v>
      </c>
      <c r="L3065" s="1077" t="s">
        <v>6291</v>
      </c>
      <c r="M3065" s="1077">
        <v>151.5</v>
      </c>
      <c r="N3065" s="1077" t="s">
        <v>945</v>
      </c>
      <c r="O3065" s="1077">
        <v>3.7875000000000001</v>
      </c>
      <c r="P3065" s="1077">
        <v>3.0300000000000002</v>
      </c>
      <c r="Q3065" s="1077">
        <v>4</v>
      </c>
      <c r="R3065" s="1077">
        <v>19.100000000000001</v>
      </c>
      <c r="T3065" s="1077">
        <v>23.7</v>
      </c>
      <c r="U3065" s="1077">
        <v>3.2</v>
      </c>
      <c r="V3065" s="1077" t="s">
        <v>648</v>
      </c>
      <c r="W3065" s="1077">
        <v>35</v>
      </c>
      <c r="X3065" s="1077">
        <v>10</v>
      </c>
      <c r="Y3065" s="1077">
        <v>1</v>
      </c>
      <c r="Z3065" s="1077">
        <v>6</v>
      </c>
      <c r="AA3065" s="1077" t="s">
        <v>15154</v>
      </c>
      <c r="AH3065" s="1077" t="s">
        <v>483</v>
      </c>
      <c r="AI3065" s="1077">
        <v>92.14</v>
      </c>
      <c r="AJ3065" s="1077">
        <v>-0.24</v>
      </c>
      <c r="AK3065" s="1077">
        <v>0.54</v>
      </c>
      <c r="AM3065" s="1078" t="s">
        <v>15025</v>
      </c>
      <c r="AN3065" s="1078" t="s">
        <v>15163</v>
      </c>
      <c r="AO3065" s="1078">
        <f t="shared" si="382"/>
        <v>650</v>
      </c>
      <c r="AP3065" s="1078">
        <f t="shared" si="383"/>
        <v>1.7549999999999999</v>
      </c>
      <c r="AQ3065" s="1078" t="str">
        <f t="shared" si="384"/>
        <v>1-5-1S91°</v>
      </c>
      <c r="AR3065" s="1078" t="str">
        <f t="shared" si="385"/>
        <v>30</v>
      </c>
      <c r="AS3065" s="1078" t="str">
        <f t="shared" si="386"/>
        <v>350/310/155</v>
      </c>
      <c r="AT3065" s="1078" t="str">
        <f t="shared" si="387"/>
        <v>1-5-1S91°</v>
      </c>
      <c r="AV3065" s="1078" t="str">
        <f t="shared" si="380"/>
        <v>114.4.7</v>
      </c>
      <c r="AW3065" s="1344">
        <f t="shared" si="381"/>
        <v>45754</v>
      </c>
    </row>
    <row r="3066" spans="1:49">
      <c r="A3066" s="1077" t="s">
        <v>15164</v>
      </c>
      <c r="B3066" s="1077" t="s">
        <v>465</v>
      </c>
      <c r="C3066" s="1077">
        <v>650</v>
      </c>
      <c r="D3066" s="1077">
        <v>1.78</v>
      </c>
      <c r="E3066" s="1077" t="s">
        <v>15109</v>
      </c>
      <c r="F3066" s="1077" t="s">
        <v>648</v>
      </c>
      <c r="G3066" s="1077">
        <v>5</v>
      </c>
      <c r="H3066" s="1077" t="s">
        <v>3356</v>
      </c>
      <c r="I3066" s="1077" t="s">
        <v>460</v>
      </c>
      <c r="J3066" s="1077">
        <v>1.7</v>
      </c>
      <c r="K3066" s="1077" t="s">
        <v>15165</v>
      </c>
      <c r="L3066" s="1077" t="s">
        <v>6335</v>
      </c>
      <c r="M3066" s="1077">
        <v>149.5</v>
      </c>
      <c r="N3066" s="1077" t="s">
        <v>945</v>
      </c>
      <c r="O3066" s="1077">
        <v>3.7375000000000003</v>
      </c>
      <c r="P3066" s="1077">
        <v>2.99</v>
      </c>
      <c r="Q3066" s="1077">
        <v>4</v>
      </c>
      <c r="R3066" s="1077">
        <v>21</v>
      </c>
      <c r="T3066" s="1077">
        <v>37</v>
      </c>
      <c r="U3066" s="1077">
        <v>3.7</v>
      </c>
      <c r="V3066" s="1077" t="s">
        <v>648</v>
      </c>
      <c r="W3066" s="1077">
        <v>110</v>
      </c>
      <c r="X3066" s="1077">
        <v>40</v>
      </c>
      <c r="Y3066" s="1077">
        <v>2.2000000000000002</v>
      </c>
      <c r="Z3066" s="1077" t="s">
        <v>648</v>
      </c>
      <c r="AA3066" s="1077" t="s">
        <v>15166</v>
      </c>
      <c r="AH3066" s="1077" t="s">
        <v>712</v>
      </c>
      <c r="AI3066" s="1077">
        <v>91.9</v>
      </c>
      <c r="AJ3066" s="1077">
        <v>-0.11</v>
      </c>
      <c r="AK3066" s="1077">
        <v>1.08</v>
      </c>
      <c r="AM3066" s="1078" t="s">
        <v>15036</v>
      </c>
      <c r="AN3066" s="1078" t="s">
        <v>15167</v>
      </c>
      <c r="AO3066" s="1078">
        <f t="shared" si="382"/>
        <v>650</v>
      </c>
      <c r="AP3066" s="1078">
        <f t="shared" si="383"/>
        <v>1.78</v>
      </c>
      <c r="AQ3066" s="1078" t="str">
        <f t="shared" si="384"/>
        <v>1-5-1S85°Z+S</v>
      </c>
      <c r="AR3066" s="1078" t="str">
        <f t="shared" si="385"/>
        <v>NA</v>
      </c>
      <c r="AS3066" s="1078" t="str">
        <f t="shared" si="386"/>
        <v>182/OFF</v>
      </c>
      <c r="AT3066" s="1078" t="str">
        <f t="shared" si="387"/>
        <v>1-5-1S85°Z+S</v>
      </c>
      <c r="AU3066" s="1078" t="s">
        <v>15547</v>
      </c>
      <c r="AV3066" s="1078" t="str">
        <f t="shared" si="380"/>
        <v>114.4.11</v>
      </c>
      <c r="AW3066" s="1344">
        <f t="shared" si="381"/>
        <v>45758</v>
      </c>
    </row>
    <row r="3067" spans="1:49">
      <c r="A3067" s="1077" t="s">
        <v>15168</v>
      </c>
      <c r="B3067" s="1077" t="s">
        <v>4927</v>
      </c>
      <c r="C3067" s="1077">
        <v>550</v>
      </c>
      <c r="D3067" s="1077">
        <v>1.79</v>
      </c>
      <c r="E3067" s="1077" t="s">
        <v>15116</v>
      </c>
      <c r="F3067" s="1077" t="s">
        <v>2167</v>
      </c>
      <c r="G3067" s="1077">
        <v>4</v>
      </c>
      <c r="H3067" s="1077" t="s">
        <v>2295</v>
      </c>
      <c r="I3067" s="1077" t="s">
        <v>126</v>
      </c>
      <c r="J3067" s="1077">
        <v>1.8</v>
      </c>
      <c r="K3067" s="1077" t="s">
        <v>15169</v>
      </c>
      <c r="L3067" s="1077" t="s">
        <v>2288</v>
      </c>
      <c r="M3067" s="1077">
        <v>159.5</v>
      </c>
      <c r="N3067" s="1077" t="s">
        <v>945</v>
      </c>
      <c r="O3067" s="1077">
        <v>3.9875000000000003</v>
      </c>
      <c r="P3067" s="1077">
        <v>3.19</v>
      </c>
      <c r="Q3067" s="1077">
        <v>3</v>
      </c>
      <c r="R3067" s="1077">
        <v>33</v>
      </c>
      <c r="T3067" s="1077">
        <v>11.7</v>
      </c>
      <c r="U3067" s="1077">
        <v>6.3</v>
      </c>
      <c r="V3067" s="1077" t="s">
        <v>648</v>
      </c>
      <c r="W3067" s="1077">
        <v>135</v>
      </c>
      <c r="X3067" s="1077">
        <v>85</v>
      </c>
      <c r="Y3067" s="1077">
        <v>1.4</v>
      </c>
      <c r="Z3067" s="1077" t="s">
        <v>648</v>
      </c>
      <c r="AA3067" s="1077" t="s">
        <v>15166</v>
      </c>
      <c r="AH3067" s="1077" t="s">
        <v>1143</v>
      </c>
      <c r="AI3067" s="1077">
        <v>94.6</v>
      </c>
      <c r="AJ3067" s="1077">
        <v>-0.69</v>
      </c>
      <c r="AK3067" s="1077">
        <v>4.32</v>
      </c>
      <c r="AM3067" s="1078" t="s">
        <v>15032</v>
      </c>
      <c r="AN3067" s="1078" t="s">
        <v>15170</v>
      </c>
      <c r="AO3067" s="1078">
        <f t="shared" si="382"/>
        <v>550</v>
      </c>
      <c r="AP3067" s="1078">
        <f t="shared" si="383"/>
        <v>1.79</v>
      </c>
      <c r="AQ3067" s="1078" t="str">
        <f t="shared" si="384"/>
        <v>1-5-1S83°Z+S</v>
      </c>
      <c r="AR3067" s="1078" t="str">
        <f t="shared" si="385"/>
        <v>33</v>
      </c>
      <c r="AS3067" s="1078" t="str">
        <f t="shared" si="386"/>
        <v>205/205/OFF</v>
      </c>
      <c r="AT3067" s="1078" t="str">
        <f t="shared" si="387"/>
        <v>1-5-1S83°Z+S</v>
      </c>
      <c r="AU3067" s="1078" t="s">
        <v>15547</v>
      </c>
      <c r="AV3067" s="1078" t="str">
        <f t="shared" si="380"/>
        <v>114.4.11</v>
      </c>
      <c r="AW3067" s="1344">
        <f t="shared" si="381"/>
        <v>45758</v>
      </c>
    </row>
    <row r="3068" spans="1:49">
      <c r="A3068" s="1077" t="s">
        <v>15171</v>
      </c>
      <c r="B3068" s="1077" t="s">
        <v>15040</v>
      </c>
      <c r="C3068" s="1077">
        <v>600</v>
      </c>
      <c r="D3068" s="1077">
        <v>1.76</v>
      </c>
      <c r="E3068" s="1077" t="s">
        <v>15094</v>
      </c>
      <c r="F3068" s="1077" t="s">
        <v>975</v>
      </c>
      <c r="G3068" s="1077">
        <v>5</v>
      </c>
      <c r="H3068" s="1077" t="s">
        <v>5888</v>
      </c>
      <c r="I3068" s="1077" t="s">
        <v>460</v>
      </c>
      <c r="J3068" s="1077">
        <v>2.5</v>
      </c>
      <c r="K3068" s="1077" t="s">
        <v>15172</v>
      </c>
      <c r="L3068" s="1077" t="s">
        <v>6550</v>
      </c>
      <c r="M3068" s="1077">
        <v>152</v>
      </c>
      <c r="N3068" s="1077" t="s">
        <v>945</v>
      </c>
      <c r="O3068" s="1077">
        <v>3.8000000000000003</v>
      </c>
      <c r="P3068" s="1077">
        <v>3.04</v>
      </c>
      <c r="Q3068" s="1077">
        <v>3.5</v>
      </c>
      <c r="R3068" s="1077">
        <v>22</v>
      </c>
      <c r="T3068" s="1077">
        <v>29</v>
      </c>
      <c r="U3068" s="1077">
        <v>3.8</v>
      </c>
      <c r="V3068" s="1077" t="s">
        <v>648</v>
      </c>
      <c r="W3068" s="1077">
        <v>110</v>
      </c>
      <c r="X3068" s="1077">
        <v>60</v>
      </c>
      <c r="Y3068" s="1077">
        <v>1.5</v>
      </c>
      <c r="Z3068" s="1077">
        <v>6</v>
      </c>
      <c r="AA3068" s="1077" t="s">
        <v>15150</v>
      </c>
      <c r="AH3068" s="1077" t="s">
        <v>1137</v>
      </c>
      <c r="AI3068" s="1077">
        <v>16.989999999999998</v>
      </c>
      <c r="AJ3068" s="1077">
        <v>-0.12</v>
      </c>
      <c r="AK3068" s="1077">
        <v>0.27</v>
      </c>
      <c r="AM3068" s="1078" t="s">
        <v>15038</v>
      </c>
      <c r="AN3068" s="1078" t="s">
        <v>15173</v>
      </c>
      <c r="AO3068" s="1078">
        <f t="shared" si="382"/>
        <v>600</v>
      </c>
      <c r="AP3068" s="1078">
        <f t="shared" si="383"/>
        <v>1.76</v>
      </c>
      <c r="AQ3068" s="1078" t="str">
        <f t="shared" si="384"/>
        <v>1-5-1S91°</v>
      </c>
      <c r="AR3068" s="1078" t="str">
        <f t="shared" si="385"/>
        <v>31.5</v>
      </c>
      <c r="AS3068" s="1078" t="str">
        <f t="shared" si="386"/>
        <v>340/340/OFF</v>
      </c>
      <c r="AT3068" s="1078" t="str">
        <f t="shared" si="387"/>
        <v>1-5-1S91°</v>
      </c>
      <c r="AV3068" s="1078" t="str">
        <f t="shared" si="380"/>
        <v>114.4.14</v>
      </c>
      <c r="AW3068" s="1344">
        <f t="shared" si="381"/>
        <v>45761</v>
      </c>
    </row>
    <row r="3069" spans="1:49">
      <c r="A3069" s="1077" t="s">
        <v>15174</v>
      </c>
      <c r="B3069" s="1077" t="s">
        <v>714</v>
      </c>
      <c r="C3069" s="1077">
        <v>650</v>
      </c>
      <c r="D3069" s="1077">
        <v>1.76</v>
      </c>
      <c r="E3069" s="1077" t="s">
        <v>15121</v>
      </c>
      <c r="F3069" s="1077" t="s">
        <v>648</v>
      </c>
      <c r="G3069" s="1077">
        <v>5</v>
      </c>
      <c r="H3069" s="1077" t="s">
        <v>7947</v>
      </c>
      <c r="I3069" s="1077" t="s">
        <v>7709</v>
      </c>
      <c r="J3069" s="1077">
        <v>3.7</v>
      </c>
      <c r="K3069" s="1077" t="s">
        <v>15175</v>
      </c>
      <c r="L3069" s="1077" t="s">
        <v>4666</v>
      </c>
      <c r="M3069" s="1077">
        <v>298.8</v>
      </c>
      <c r="N3069" s="1077" t="s">
        <v>945</v>
      </c>
      <c r="O3069" s="1077">
        <v>7.4700000000000006</v>
      </c>
      <c r="P3069" s="1077">
        <v>5.976</v>
      </c>
      <c r="Q3069" s="1077">
        <v>4</v>
      </c>
      <c r="R3069" s="1077">
        <v>20.5</v>
      </c>
      <c r="T3069" s="1077">
        <v>21</v>
      </c>
      <c r="U3069" s="1077">
        <v>3.5</v>
      </c>
      <c r="V3069" s="1077" t="s">
        <v>648</v>
      </c>
      <c r="W3069" s="1077">
        <v>20</v>
      </c>
      <c r="X3069" s="1077">
        <v>10</v>
      </c>
      <c r="Y3069" s="1077">
        <v>1.2</v>
      </c>
      <c r="Z3069" s="1077" t="s">
        <v>648</v>
      </c>
      <c r="AA3069" s="1077" t="s">
        <v>15139</v>
      </c>
      <c r="AH3069" s="1077" t="s">
        <v>646</v>
      </c>
      <c r="AI3069" s="1077">
        <v>95.52</v>
      </c>
      <c r="AJ3069" s="1077">
        <v>-0.71</v>
      </c>
      <c r="AK3069" s="1077">
        <v>1.98</v>
      </c>
      <c r="AM3069" s="1078" t="s">
        <v>15017</v>
      </c>
      <c r="AN3069" s="1078" t="s">
        <v>15176</v>
      </c>
      <c r="AO3069" s="1078">
        <f t="shared" si="382"/>
        <v>650</v>
      </c>
      <c r="AP3069" s="1078">
        <f t="shared" si="383"/>
        <v>1.76</v>
      </c>
      <c r="AQ3069" s="1078" t="str">
        <f t="shared" si="384"/>
        <v>1-5-1S85°S+Z</v>
      </c>
      <c r="AR3069" s="1078" t="str">
        <f t="shared" si="385"/>
        <v>NA</v>
      </c>
      <c r="AS3069" s="1078" t="str">
        <f t="shared" si="386"/>
        <v>176/173</v>
      </c>
      <c r="AT3069" s="1078" t="str">
        <f t="shared" si="387"/>
        <v>1-5-1S85°S+Z</v>
      </c>
      <c r="AU3069" s="1078" t="s">
        <v>15550</v>
      </c>
      <c r="AV3069" s="1078" t="str">
        <f t="shared" si="380"/>
        <v>114.3.31</v>
      </c>
      <c r="AW3069" s="1344">
        <f t="shared" si="381"/>
        <v>45747</v>
      </c>
    </row>
    <row r="3070" spans="1:49">
      <c r="A3070" s="1077" t="s">
        <v>15177</v>
      </c>
      <c r="B3070" s="1077" t="s">
        <v>467</v>
      </c>
      <c r="C3070" s="1077">
        <v>600</v>
      </c>
      <c r="D3070" s="1077">
        <v>1.7549999999999999</v>
      </c>
      <c r="E3070" s="1077">
        <v>102.5</v>
      </c>
      <c r="F3070" s="1077" t="s">
        <v>4070</v>
      </c>
      <c r="G3070" s="1077">
        <v>5.5</v>
      </c>
      <c r="H3070" s="1077" t="s">
        <v>15178</v>
      </c>
      <c r="I3070" s="1077" t="s">
        <v>15179</v>
      </c>
      <c r="J3070" s="1077">
        <v>3.7</v>
      </c>
      <c r="K3070" s="1077" t="s">
        <v>15180</v>
      </c>
      <c r="L3070" s="1077" t="s">
        <v>4666</v>
      </c>
      <c r="M3070" s="1077">
        <v>295.10000000000002</v>
      </c>
      <c r="N3070" s="1077" t="s">
        <v>945</v>
      </c>
      <c r="O3070" s="1077">
        <v>7.3775000000000013</v>
      </c>
      <c r="P3070" s="1077">
        <v>5.9020000000000001</v>
      </c>
      <c r="Q3070" s="1077">
        <v>4</v>
      </c>
      <c r="R3070" s="1077">
        <v>17.399999999999999</v>
      </c>
      <c r="T3070" s="1077">
        <v>31</v>
      </c>
      <c r="U3070" s="1077">
        <v>3.5</v>
      </c>
      <c r="V3070" s="1077" t="s">
        <v>648</v>
      </c>
      <c r="W3070" s="1077">
        <v>100</v>
      </c>
      <c r="X3070" s="1077">
        <v>40</v>
      </c>
      <c r="Y3070" s="1077">
        <v>1</v>
      </c>
      <c r="Z3070" s="1077" t="s">
        <v>648</v>
      </c>
      <c r="AA3070" s="1077" t="s">
        <v>15181</v>
      </c>
      <c r="AH3070" s="1077" t="s">
        <v>862</v>
      </c>
      <c r="AI3070" s="1077">
        <v>95.07</v>
      </c>
      <c r="AJ3070" s="1077">
        <v>-0.4</v>
      </c>
      <c r="AK3070" s="1077">
        <v>2.17</v>
      </c>
      <c r="AM3070" s="1078" t="s">
        <v>15031</v>
      </c>
      <c r="AN3070" s="1078" t="s">
        <v>15182</v>
      </c>
      <c r="AO3070" s="1078">
        <f t="shared" si="382"/>
        <v>600</v>
      </c>
      <c r="AP3070" s="1078">
        <f t="shared" si="383"/>
        <v>1.7549999999999999</v>
      </c>
      <c r="AQ3070" s="1078">
        <f t="shared" si="384"/>
        <v>102.5</v>
      </c>
      <c r="AR3070" s="1078" t="str">
        <f t="shared" si="385"/>
        <v>15.5</v>
      </c>
      <c r="AS3070" s="1078" t="str">
        <f t="shared" si="386"/>
        <v>501/461/OFF</v>
      </c>
      <c r="AT3070" s="1078">
        <f t="shared" si="387"/>
        <v>102.5</v>
      </c>
      <c r="AV3070" s="1078" t="str">
        <f t="shared" si="380"/>
        <v>114.4.10</v>
      </c>
      <c r="AW3070" s="1344">
        <f t="shared" si="381"/>
        <v>45757</v>
      </c>
    </row>
    <row r="3071" spans="1:49">
      <c r="A3071" s="1077" t="s">
        <v>15183</v>
      </c>
      <c r="B3071" s="1077" t="s">
        <v>7055</v>
      </c>
      <c r="C3071" s="1077">
        <v>550</v>
      </c>
      <c r="D3071" s="1077">
        <v>1.71</v>
      </c>
      <c r="E3071" s="1077" t="s">
        <v>15122</v>
      </c>
      <c r="F3071" s="1077" t="s">
        <v>984</v>
      </c>
      <c r="G3071" s="1077">
        <v>5.5</v>
      </c>
      <c r="H3071" s="1077" t="s">
        <v>1806</v>
      </c>
      <c r="I3071" s="1077" t="s">
        <v>6909</v>
      </c>
      <c r="J3071" s="1077">
        <v>3</v>
      </c>
      <c r="K3071" s="1077" t="s">
        <v>15184</v>
      </c>
      <c r="L3071" s="1077" t="s">
        <v>4946</v>
      </c>
      <c r="M3071" s="1077">
        <v>285</v>
      </c>
      <c r="N3071" s="1077" t="s">
        <v>945</v>
      </c>
      <c r="O3071" s="1077">
        <v>7.125</v>
      </c>
      <c r="P3071" s="1077">
        <v>5.7</v>
      </c>
      <c r="Q3071" s="1077">
        <v>3</v>
      </c>
      <c r="R3071" s="1077">
        <v>32</v>
      </c>
      <c r="T3071" s="1077">
        <v>17.5</v>
      </c>
      <c r="U3071" s="1077">
        <v>6</v>
      </c>
      <c r="V3071" s="1077" t="s">
        <v>648</v>
      </c>
      <c r="W3071" s="1077">
        <v>90</v>
      </c>
      <c r="X3071" s="1077">
        <v>10</v>
      </c>
      <c r="Y3071" s="1077">
        <v>1.2</v>
      </c>
      <c r="Z3071" s="1077" t="s">
        <v>648</v>
      </c>
      <c r="AA3071" s="1077" t="s">
        <v>15150</v>
      </c>
      <c r="AH3071" s="1077" t="s">
        <v>966</v>
      </c>
      <c r="AI3071" s="1077">
        <v>92.9</v>
      </c>
      <c r="AJ3071" s="1077">
        <v>-1.25</v>
      </c>
      <c r="AK3071" s="1077">
        <v>7.56</v>
      </c>
      <c r="AM3071" s="1078" t="s">
        <v>15039</v>
      </c>
      <c r="AN3071" s="1078" t="s">
        <v>15185</v>
      </c>
      <c r="AO3071" s="1078">
        <f t="shared" si="382"/>
        <v>550</v>
      </c>
      <c r="AP3071" s="1078">
        <f t="shared" si="383"/>
        <v>1.71</v>
      </c>
      <c r="AQ3071" s="1078" t="str">
        <f t="shared" si="384"/>
        <v>1-5-1S91°Z+S</v>
      </c>
      <c r="AR3071" s="1078" t="str">
        <f t="shared" si="385"/>
        <v>30</v>
      </c>
      <c r="AS3071" s="1078" t="str">
        <f t="shared" si="386"/>
        <v>280/280/OFF</v>
      </c>
      <c r="AT3071" s="1078" t="str">
        <f t="shared" si="387"/>
        <v>1-5-1S91°Z+S</v>
      </c>
      <c r="AU3071" s="1078" t="s">
        <v>15547</v>
      </c>
      <c r="AV3071" s="1078" t="str">
        <f t="shared" si="380"/>
        <v>114.4.14</v>
      </c>
      <c r="AW3071" s="1344">
        <f t="shared" si="381"/>
        <v>45761</v>
      </c>
    </row>
    <row r="3072" spans="1:49">
      <c r="A3072" s="1077" t="s">
        <v>15186</v>
      </c>
      <c r="B3072" s="1077" t="s">
        <v>8631</v>
      </c>
      <c r="C3072" s="1077">
        <v>600</v>
      </c>
      <c r="D3072" s="1077">
        <v>1.76</v>
      </c>
      <c r="E3072" s="1077" t="s">
        <v>15116</v>
      </c>
      <c r="F3072" s="1077" t="s">
        <v>648</v>
      </c>
      <c r="G3072" s="1077">
        <v>5</v>
      </c>
      <c r="H3072" s="1077" t="s">
        <v>8772</v>
      </c>
      <c r="I3072" s="1077" t="s">
        <v>460</v>
      </c>
      <c r="J3072" s="1077">
        <v>2.9</v>
      </c>
      <c r="K3072" s="1077" t="s">
        <v>15187</v>
      </c>
      <c r="L3072" s="1077" t="s">
        <v>4487</v>
      </c>
      <c r="M3072" s="1077">
        <v>206</v>
      </c>
      <c r="N3072" s="1077" t="s">
        <v>945</v>
      </c>
      <c r="O3072" s="1077">
        <v>5.15</v>
      </c>
      <c r="P3072" s="1077">
        <v>4.12</v>
      </c>
      <c r="Q3072" s="1077">
        <v>4</v>
      </c>
      <c r="R3072" s="1077">
        <v>24</v>
      </c>
      <c r="T3072" s="1077">
        <v>18.5</v>
      </c>
      <c r="U3072" s="1077">
        <v>4.0999999999999996</v>
      </c>
      <c r="V3072" s="1077" t="s">
        <v>648</v>
      </c>
      <c r="W3072" s="1077">
        <v>120</v>
      </c>
      <c r="X3072" s="1077">
        <v>85</v>
      </c>
      <c r="Y3072" s="1077">
        <v>1.5</v>
      </c>
      <c r="Z3072" s="1077" t="s">
        <v>648</v>
      </c>
      <c r="AA3072" s="1077" t="s">
        <v>15188</v>
      </c>
      <c r="AH3072" s="1077" t="s">
        <v>878</v>
      </c>
      <c r="AI3072" s="1077">
        <v>91.64</v>
      </c>
      <c r="AJ3072" s="1077">
        <v>-0.2</v>
      </c>
      <c r="AK3072" s="1077">
        <v>1.34</v>
      </c>
      <c r="AM3072" s="1078" t="s">
        <v>15020</v>
      </c>
      <c r="AN3072" s="1078" t="s">
        <v>15189</v>
      </c>
      <c r="AO3072" s="1078">
        <f t="shared" si="382"/>
        <v>600</v>
      </c>
      <c r="AP3072" s="1078">
        <f t="shared" si="383"/>
        <v>1.76</v>
      </c>
      <c r="AQ3072" s="1078" t="str">
        <f t="shared" si="384"/>
        <v>1-5-1S83°Z+S</v>
      </c>
      <c r="AR3072" s="1078" t="str">
        <f t="shared" si="385"/>
        <v>NA</v>
      </c>
      <c r="AS3072" s="1078" t="str">
        <f t="shared" si="386"/>
        <v>270/250/155</v>
      </c>
      <c r="AT3072" s="1078" t="str">
        <f t="shared" si="387"/>
        <v>1-5-1S83°Z+S</v>
      </c>
      <c r="AU3072" s="1078" t="s">
        <v>15547</v>
      </c>
      <c r="AV3072" s="1078" t="str">
        <f t="shared" si="380"/>
        <v>114.4.1</v>
      </c>
      <c r="AW3072" s="1344">
        <f t="shared" si="381"/>
        <v>45748</v>
      </c>
    </row>
    <row r="3073" spans="1:49">
      <c r="A3073" s="1077" t="s">
        <v>15190</v>
      </c>
      <c r="B3073" s="1077" t="s">
        <v>781</v>
      </c>
      <c r="C3073" s="1077">
        <v>450</v>
      </c>
      <c r="D3073" s="1077">
        <v>1.87</v>
      </c>
      <c r="E3073" s="1077" t="s">
        <v>15095</v>
      </c>
      <c r="F3073" s="1077" t="s">
        <v>975</v>
      </c>
      <c r="G3073" s="1077">
        <v>3</v>
      </c>
      <c r="H3073" s="1077" t="s">
        <v>8433</v>
      </c>
      <c r="I3073" s="1077" t="s">
        <v>626</v>
      </c>
      <c r="J3073" s="1077">
        <v>1.5</v>
      </c>
      <c r="K3073" s="1077" t="s">
        <v>8981</v>
      </c>
      <c r="L3073" s="1077" t="s">
        <v>8435</v>
      </c>
      <c r="M3073" s="1077">
        <v>80.8</v>
      </c>
      <c r="N3073" s="1077" t="s">
        <v>945</v>
      </c>
      <c r="O3073" s="1077">
        <v>2.02</v>
      </c>
      <c r="P3073" s="1077">
        <v>1.6159999999999999</v>
      </c>
      <c r="Q3073" s="1077">
        <v>3</v>
      </c>
      <c r="R3073" s="1077">
        <v>22.6</v>
      </c>
      <c r="T3073" s="1077">
        <v>6.2</v>
      </c>
      <c r="U3073" s="1077">
        <v>9.4</v>
      </c>
      <c r="V3073" s="1077" t="s">
        <v>648</v>
      </c>
      <c r="W3073" s="1077">
        <v>135</v>
      </c>
      <c r="X3073" s="1077">
        <v>55</v>
      </c>
      <c r="Y3073" s="1077">
        <v>1.6</v>
      </c>
      <c r="Z3073" s="1077">
        <v>3</v>
      </c>
      <c r="AA3073" s="1077" t="s">
        <v>15191</v>
      </c>
      <c r="AH3073" s="1077" t="s">
        <v>1238</v>
      </c>
      <c r="AI3073" s="1077">
        <v>92.03</v>
      </c>
      <c r="AJ3073" s="1077">
        <v>-0.22</v>
      </c>
      <c r="AK3073" s="1077">
        <v>0.5</v>
      </c>
      <c r="AM3073" s="1078" t="s">
        <v>857</v>
      </c>
      <c r="AN3073" s="1078" t="s">
        <v>15192</v>
      </c>
      <c r="AO3073" s="1078">
        <f t="shared" si="382"/>
        <v>450</v>
      </c>
      <c r="AP3073" s="1078">
        <f t="shared" si="383"/>
        <v>1.87</v>
      </c>
      <c r="AQ3073" s="1078" t="str">
        <f t="shared" si="384"/>
        <v>1-5-1S83°</v>
      </c>
      <c r="AR3073" s="1078" t="str">
        <f t="shared" si="385"/>
        <v>31.5</v>
      </c>
      <c r="AS3073" s="1078" t="str">
        <f t="shared" si="386"/>
        <v>140/140/OFF</v>
      </c>
      <c r="AT3073" s="1078" t="str">
        <f t="shared" si="387"/>
        <v>1-5-1S83°</v>
      </c>
      <c r="AV3073" s="1078" t="str">
        <f t="shared" si="380"/>
        <v>114.3.27</v>
      </c>
      <c r="AW3073" s="1344">
        <f t="shared" si="381"/>
        <v>45743</v>
      </c>
    </row>
    <row r="3074" spans="1:49">
      <c r="A3074" s="1077" t="s">
        <v>15193</v>
      </c>
      <c r="B3074" s="1077" t="s">
        <v>654</v>
      </c>
      <c r="C3074" s="1077">
        <v>550</v>
      </c>
      <c r="D3074" s="1077">
        <v>1.68</v>
      </c>
      <c r="E3074" s="1077" t="s">
        <v>15109</v>
      </c>
      <c r="F3074" s="1077" t="s">
        <v>648</v>
      </c>
      <c r="G3074" s="1077">
        <v>5.5</v>
      </c>
      <c r="H3074" s="1077" t="s">
        <v>5732</v>
      </c>
      <c r="I3074" s="1077" t="s">
        <v>643</v>
      </c>
      <c r="J3074" s="1077">
        <v>3.3</v>
      </c>
      <c r="K3074" s="1077" t="s">
        <v>15194</v>
      </c>
      <c r="L3074" s="1077" t="s">
        <v>8560</v>
      </c>
      <c r="M3074" s="1077">
        <v>427.4</v>
      </c>
      <c r="N3074" s="1077" t="s">
        <v>945</v>
      </c>
      <c r="O3074" s="1077">
        <v>10.685</v>
      </c>
      <c r="P3074" s="1077">
        <v>8.548</v>
      </c>
      <c r="Q3074" s="1077">
        <v>3.5</v>
      </c>
      <c r="R3074" s="1077">
        <v>24</v>
      </c>
      <c r="T3074" s="1077">
        <v>14.9</v>
      </c>
      <c r="U3074" s="1077">
        <v>4.2</v>
      </c>
      <c r="V3074" s="1077" t="s">
        <v>648</v>
      </c>
      <c r="W3074" s="1077">
        <v>120</v>
      </c>
      <c r="X3074" s="1077">
        <v>90</v>
      </c>
      <c r="Y3074" s="1077">
        <v>1</v>
      </c>
      <c r="Z3074" s="1077" t="s">
        <v>648</v>
      </c>
      <c r="AA3074" s="1077" t="s">
        <v>15154</v>
      </c>
      <c r="AH3074" s="1077" t="s">
        <v>869</v>
      </c>
      <c r="AI3074" s="1077">
        <v>95.9</v>
      </c>
      <c r="AJ3074" s="1077">
        <v>-0.6</v>
      </c>
      <c r="AK3074" s="1077">
        <v>2.19</v>
      </c>
      <c r="AM3074" s="1078" t="s">
        <v>15023</v>
      </c>
      <c r="AN3074" s="1078" t="s">
        <v>15195</v>
      </c>
      <c r="AO3074" s="1078">
        <f t="shared" si="382"/>
        <v>550</v>
      </c>
      <c r="AP3074" s="1078">
        <f t="shared" si="383"/>
        <v>1.68</v>
      </c>
      <c r="AQ3074" s="1078" t="str">
        <f t="shared" si="384"/>
        <v>1-5-1S85°Z+S</v>
      </c>
      <c r="AR3074" s="1078" t="str">
        <f t="shared" si="385"/>
        <v>NA</v>
      </c>
      <c r="AS3074" s="1078" t="str">
        <f t="shared" si="386"/>
        <v>183/170</v>
      </c>
      <c r="AT3074" s="1078" t="str">
        <f t="shared" si="387"/>
        <v>1-5-1S85°Z+S</v>
      </c>
      <c r="AU3074" s="1078" t="s">
        <v>15547</v>
      </c>
      <c r="AV3074" s="1078" t="str">
        <f t="shared" ref="AV3074:AV3137" si="388">AA3074</f>
        <v>114.4.7</v>
      </c>
      <c r="AW3074" s="1344">
        <f t="shared" si="381"/>
        <v>45754</v>
      </c>
    </row>
    <row r="3075" spans="1:49">
      <c r="A3075" s="1077" t="s">
        <v>15196</v>
      </c>
      <c r="B3075" s="1077" t="s">
        <v>654</v>
      </c>
      <c r="C3075" s="1077">
        <v>550</v>
      </c>
      <c r="D3075" s="1077">
        <v>1.72</v>
      </c>
      <c r="E3075" s="1077" t="s">
        <v>15121</v>
      </c>
      <c r="F3075" s="1077" t="s">
        <v>648</v>
      </c>
      <c r="G3075" s="1077">
        <v>5.5</v>
      </c>
      <c r="H3075" s="1077" t="s">
        <v>9052</v>
      </c>
      <c r="I3075" s="1077" t="s">
        <v>471</v>
      </c>
      <c r="J3075" s="1077">
        <v>0.8</v>
      </c>
      <c r="K3075" s="1077" t="s">
        <v>9053</v>
      </c>
      <c r="L3075" s="1077" t="s">
        <v>9016</v>
      </c>
      <c r="M3075" s="1077">
        <v>462</v>
      </c>
      <c r="N3075" s="1077" t="s">
        <v>945</v>
      </c>
      <c r="O3075" s="1077">
        <v>11.55</v>
      </c>
      <c r="P3075" s="1077">
        <v>9.24</v>
      </c>
      <c r="Q3075" s="1077">
        <v>3.5</v>
      </c>
      <c r="R3075" s="1077">
        <v>20.100000000000001</v>
      </c>
      <c r="T3075" s="1077">
        <v>25.7</v>
      </c>
      <c r="U3075" s="1077">
        <v>3</v>
      </c>
      <c r="V3075" s="1077" t="s">
        <v>648</v>
      </c>
      <c r="W3075" s="1077" t="s">
        <v>648</v>
      </c>
      <c r="X3075" s="1077" t="s">
        <v>648</v>
      </c>
      <c r="Y3075" s="1077">
        <v>1.5</v>
      </c>
      <c r="Z3075" s="1077" t="s">
        <v>648</v>
      </c>
      <c r="AA3075" s="1077" t="s">
        <v>15197</v>
      </c>
      <c r="AH3075" s="1077" t="s">
        <v>15043</v>
      </c>
      <c r="AI3075" s="1077">
        <v>90.37</v>
      </c>
      <c r="AJ3075" s="1077">
        <v>-0.31</v>
      </c>
      <c r="AK3075" s="1077">
        <v>1.79</v>
      </c>
      <c r="AM3075" s="1078" t="s">
        <v>15042</v>
      </c>
      <c r="AN3075" s="1078" t="s">
        <v>15198</v>
      </c>
      <c r="AO3075" s="1078">
        <f t="shared" si="382"/>
        <v>550</v>
      </c>
      <c r="AP3075" s="1078">
        <f t="shared" si="383"/>
        <v>1.72</v>
      </c>
      <c r="AQ3075" s="1078" t="str">
        <f t="shared" si="384"/>
        <v>1-5-1S85°S+Z</v>
      </c>
      <c r="AR3075" s="1078" t="str">
        <f t="shared" si="385"/>
        <v>NA</v>
      </c>
      <c r="AS3075" s="1078" t="str">
        <f t="shared" si="386"/>
        <v>182/170</v>
      </c>
      <c r="AT3075" s="1078" t="str">
        <f t="shared" si="387"/>
        <v>1-5-1S85°S+Z</v>
      </c>
      <c r="AU3075" s="1078" t="s">
        <v>15550</v>
      </c>
      <c r="AV3075" s="1078" t="str">
        <f t="shared" si="388"/>
        <v>114.4.17</v>
      </c>
      <c r="AW3075" s="1344">
        <f t="shared" ref="AW3075:AW3138" si="389">DATE(VALUE(LEFT(AV3075,FIND(".",AV3075)-1))+1911,
       VALUE(MID(AV3075,FIND(".",AV3075)+1,FIND(".",AV3075,FIND(".",AV3075)+1)-FIND(".",AV3075)-1)),
       VALUE(RIGHT(AV3075,LEN(AV3075)-FIND("~",SUBSTITUTE(AV3075,".","~",2)))))</f>
        <v>45764</v>
      </c>
    </row>
    <row r="3076" spans="1:49">
      <c r="A3076" s="1077" t="s">
        <v>15199</v>
      </c>
      <c r="B3076" s="1077" t="s">
        <v>15029</v>
      </c>
      <c r="C3076" s="1077">
        <v>650</v>
      </c>
      <c r="D3076" s="1077">
        <v>1.71</v>
      </c>
      <c r="E3076" s="1077" t="s">
        <v>15089</v>
      </c>
      <c r="F3076" s="1077" t="s">
        <v>984</v>
      </c>
      <c r="G3076" s="1077" t="s">
        <v>1767</v>
      </c>
      <c r="H3076" s="1077" t="s">
        <v>1831</v>
      </c>
      <c r="I3076" s="1077" t="s">
        <v>126</v>
      </c>
      <c r="J3076" s="1077">
        <v>1.2</v>
      </c>
      <c r="K3076" s="1077" t="s">
        <v>15200</v>
      </c>
      <c r="L3076" s="1077" t="s">
        <v>15201</v>
      </c>
      <c r="M3076" s="1077">
        <v>77</v>
      </c>
      <c r="N3076" s="1077" t="s">
        <v>945</v>
      </c>
      <c r="O3076" s="1077">
        <v>1.925</v>
      </c>
      <c r="P3076" s="1077">
        <v>1.54</v>
      </c>
      <c r="Q3076" s="1077">
        <v>3.8</v>
      </c>
      <c r="R3076" s="1077">
        <v>24</v>
      </c>
      <c r="T3076" s="1077">
        <v>9</v>
      </c>
      <c r="U3076" s="1077">
        <v>2.2000000000000002</v>
      </c>
      <c r="V3076" s="1077" t="s">
        <v>648</v>
      </c>
      <c r="W3076" s="1077">
        <v>125</v>
      </c>
      <c r="X3076" s="1077">
        <v>85</v>
      </c>
      <c r="Y3076" s="1077">
        <v>2.1</v>
      </c>
      <c r="Z3076" s="1077">
        <v>2.5</v>
      </c>
      <c r="AA3076" s="1077" t="s">
        <v>15202</v>
      </c>
      <c r="AB3076" s="1077" t="s">
        <v>981</v>
      </c>
      <c r="AH3076" s="1077" t="s">
        <v>684</v>
      </c>
      <c r="AI3076" s="1077">
        <v>12.92</v>
      </c>
      <c r="AJ3076" s="1077">
        <v>0.27</v>
      </c>
      <c r="AK3076" s="1077">
        <v>0.48</v>
      </c>
      <c r="AM3076" s="1078" t="s">
        <v>15028</v>
      </c>
      <c r="AN3076" s="1078" t="s">
        <v>15203</v>
      </c>
      <c r="AO3076" s="1078">
        <f t="shared" si="382"/>
        <v>650</v>
      </c>
      <c r="AP3076" s="1078">
        <f t="shared" si="383"/>
        <v>1.71</v>
      </c>
      <c r="AQ3076" s="1078" t="str">
        <f t="shared" si="384"/>
        <v>1-4-1S83°</v>
      </c>
      <c r="AR3076" s="1078" t="str">
        <f t="shared" si="385"/>
        <v>30</v>
      </c>
      <c r="AS3076" s="1078" t="str">
        <f t="shared" si="386"/>
        <v>260/260/165</v>
      </c>
      <c r="AT3076" s="1078" t="str">
        <f t="shared" si="387"/>
        <v>1-4-1S83°</v>
      </c>
      <c r="AV3076" s="1078" t="str">
        <f t="shared" si="388"/>
        <v>114.4.9</v>
      </c>
      <c r="AW3076" s="1344">
        <f t="shared" si="389"/>
        <v>45756</v>
      </c>
    </row>
    <row r="3077" spans="1:49">
      <c r="A3077" s="1077" t="s">
        <v>15204</v>
      </c>
      <c r="B3077" s="1077" t="s">
        <v>424</v>
      </c>
      <c r="C3077" s="1077">
        <v>700</v>
      </c>
      <c r="D3077" s="1077">
        <v>1.7849999999999999</v>
      </c>
      <c r="E3077" s="1077" t="s">
        <v>15089</v>
      </c>
      <c r="F3077" s="1077" t="s">
        <v>954</v>
      </c>
      <c r="G3077" s="1077" t="s">
        <v>1767</v>
      </c>
      <c r="H3077" s="1077" t="s">
        <v>2259</v>
      </c>
      <c r="I3077" s="1077" t="s">
        <v>126</v>
      </c>
      <c r="J3077" s="1077">
        <v>1.8</v>
      </c>
      <c r="K3077" s="1077" t="s">
        <v>15205</v>
      </c>
      <c r="L3077" s="1077" t="s">
        <v>1968</v>
      </c>
      <c r="M3077" s="1077">
        <v>73</v>
      </c>
      <c r="N3077" s="1077" t="s">
        <v>945</v>
      </c>
      <c r="O3077" s="1077">
        <v>1.8250000000000002</v>
      </c>
      <c r="P3077" s="1077">
        <v>1.46</v>
      </c>
      <c r="Q3077" s="1077">
        <v>4</v>
      </c>
      <c r="R3077" s="1077">
        <v>21.6</v>
      </c>
      <c r="T3077" s="1077">
        <v>32</v>
      </c>
      <c r="U3077" s="1077">
        <v>3.5</v>
      </c>
      <c r="V3077" s="1077" t="s">
        <v>648</v>
      </c>
      <c r="W3077" s="1077">
        <v>110</v>
      </c>
      <c r="X3077" s="1077">
        <v>60</v>
      </c>
      <c r="Y3077" s="1077">
        <v>1.5</v>
      </c>
      <c r="Z3077" s="1077">
        <v>5.5</v>
      </c>
      <c r="AA3077" s="1077" t="s">
        <v>15166</v>
      </c>
      <c r="AH3077" s="1077" t="s">
        <v>722</v>
      </c>
      <c r="AI3077" s="1077">
        <v>91.72</v>
      </c>
      <c r="AJ3077" s="1077">
        <v>-0.51</v>
      </c>
      <c r="AK3077" s="1077">
        <v>0.92</v>
      </c>
      <c r="AM3077" s="1078" t="s">
        <v>15034</v>
      </c>
      <c r="AN3077" s="1078" t="s">
        <v>15206</v>
      </c>
      <c r="AO3077" s="1078">
        <f t="shared" si="382"/>
        <v>700</v>
      </c>
      <c r="AP3077" s="1078">
        <f t="shared" si="383"/>
        <v>1.7849999999999999</v>
      </c>
      <c r="AQ3077" s="1078" t="str">
        <f t="shared" si="384"/>
        <v>1-4-1S83°</v>
      </c>
      <c r="AR3077" s="1078" t="str">
        <f t="shared" si="385"/>
        <v>31</v>
      </c>
      <c r="AS3077" s="1078" t="str">
        <f t="shared" si="386"/>
        <v>275/275/OFF</v>
      </c>
      <c r="AT3077" s="1078" t="str">
        <f t="shared" si="387"/>
        <v>1-4-1S83°</v>
      </c>
      <c r="AV3077" s="1078" t="str">
        <f t="shared" si="388"/>
        <v>114.4.11</v>
      </c>
      <c r="AW3077" s="1344">
        <f t="shared" si="389"/>
        <v>45758</v>
      </c>
    </row>
    <row r="3078" spans="1:49">
      <c r="A3078" s="1077" t="s">
        <v>15207</v>
      </c>
      <c r="B3078" s="1077" t="s">
        <v>15035</v>
      </c>
      <c r="C3078" s="1077">
        <v>500</v>
      </c>
      <c r="D3078" s="1077">
        <v>1.62</v>
      </c>
      <c r="E3078" s="1077" t="s">
        <v>15089</v>
      </c>
      <c r="F3078" s="1077" t="s">
        <v>1514</v>
      </c>
      <c r="G3078" s="1077" t="s">
        <v>1767</v>
      </c>
      <c r="H3078" s="1077" t="s">
        <v>15208</v>
      </c>
      <c r="I3078" s="1077" t="s">
        <v>126</v>
      </c>
      <c r="J3078" s="1077">
        <v>0.7</v>
      </c>
      <c r="K3078" s="1077" t="s">
        <v>15209</v>
      </c>
      <c r="L3078" s="1077" t="s">
        <v>6742</v>
      </c>
      <c r="M3078" s="1077">
        <v>77.599999999999994</v>
      </c>
      <c r="N3078" s="1077" t="s">
        <v>945</v>
      </c>
      <c r="O3078" s="1077">
        <v>1.94</v>
      </c>
      <c r="P3078" s="1077">
        <v>1.5519999999999998</v>
      </c>
      <c r="Q3078" s="1077">
        <v>4</v>
      </c>
      <c r="R3078" s="1077">
        <v>23</v>
      </c>
      <c r="T3078" s="1077">
        <v>21</v>
      </c>
      <c r="U3078" s="1077">
        <v>3.7</v>
      </c>
      <c r="V3078" s="1077" t="s">
        <v>648</v>
      </c>
      <c r="W3078" s="1077">
        <v>105</v>
      </c>
      <c r="X3078" s="1077">
        <v>65</v>
      </c>
      <c r="Y3078" s="1077">
        <v>1.6</v>
      </c>
      <c r="Z3078" s="1077">
        <v>4.5</v>
      </c>
      <c r="AA3078" s="1077" t="s">
        <v>15166</v>
      </c>
      <c r="AH3078" s="1077" t="s">
        <v>877</v>
      </c>
      <c r="AI3078" s="1077">
        <v>94.48</v>
      </c>
      <c r="AJ3078" s="1077">
        <v>-0.27</v>
      </c>
      <c r="AK3078" s="1077">
        <v>0.56000000000000005</v>
      </c>
      <c r="AM3078" s="1078" t="s">
        <v>15033</v>
      </c>
      <c r="AN3078" s="1078" t="s">
        <v>15210</v>
      </c>
      <c r="AO3078" s="1078">
        <f t="shared" si="382"/>
        <v>500</v>
      </c>
      <c r="AP3078" s="1078">
        <f t="shared" si="383"/>
        <v>1.62</v>
      </c>
      <c r="AQ3078" s="1078" t="str">
        <f t="shared" si="384"/>
        <v>1-4-1S83°</v>
      </c>
      <c r="AR3078" s="1078" t="str">
        <f t="shared" si="385"/>
        <v>32</v>
      </c>
      <c r="AS3078" s="1078" t="str">
        <f t="shared" si="386"/>
        <v>219/219/OFF</v>
      </c>
      <c r="AT3078" s="1078" t="str">
        <f t="shared" si="387"/>
        <v>1-4-1S83°</v>
      </c>
      <c r="AV3078" s="1078" t="str">
        <f t="shared" si="388"/>
        <v>114.4.11</v>
      </c>
      <c r="AW3078" s="1344">
        <f t="shared" si="389"/>
        <v>45758</v>
      </c>
    </row>
    <row r="3079" spans="1:49">
      <c r="A3079" s="1077" t="s">
        <v>15211</v>
      </c>
      <c r="B3079" s="1077" t="s">
        <v>715</v>
      </c>
      <c r="C3079" s="1077">
        <v>600</v>
      </c>
      <c r="D3079" s="1077">
        <v>1.7</v>
      </c>
      <c r="E3079" s="1077" t="s">
        <v>15095</v>
      </c>
      <c r="F3079" s="1077" t="s">
        <v>1897</v>
      </c>
      <c r="G3079" s="1077" t="s">
        <v>940</v>
      </c>
      <c r="H3079" s="1077" t="s">
        <v>1649</v>
      </c>
      <c r="I3079" s="1077" t="s">
        <v>126</v>
      </c>
      <c r="J3079" s="1077">
        <v>1.1000000000000001</v>
      </c>
      <c r="K3079" s="1077" t="s">
        <v>15212</v>
      </c>
      <c r="L3079" s="1077" t="s">
        <v>4548</v>
      </c>
      <c r="M3079" s="1077">
        <v>101.5</v>
      </c>
      <c r="N3079" s="1077" t="s">
        <v>945</v>
      </c>
      <c r="O3079" s="1077">
        <v>2.5375000000000001</v>
      </c>
      <c r="P3079" s="1077">
        <v>2.0300000000000002</v>
      </c>
      <c r="Q3079" s="1077">
        <v>4</v>
      </c>
      <c r="R3079" s="1077">
        <v>23</v>
      </c>
      <c r="T3079" s="1077">
        <v>12</v>
      </c>
      <c r="U3079" s="1077">
        <v>4.5</v>
      </c>
      <c r="V3079" s="1077" t="s">
        <v>648</v>
      </c>
      <c r="W3079" s="1077">
        <v>125</v>
      </c>
      <c r="X3079" s="1077">
        <v>80</v>
      </c>
      <c r="Y3079" s="1077">
        <v>1.5</v>
      </c>
      <c r="Z3079" s="1077">
        <v>4</v>
      </c>
      <c r="AA3079" s="1077" t="s">
        <v>15213</v>
      </c>
      <c r="AH3079" s="1077" t="s">
        <v>1588</v>
      </c>
      <c r="AI3079" s="1077">
        <v>93.81</v>
      </c>
      <c r="AJ3079" s="1077">
        <v>-0.81</v>
      </c>
      <c r="AK3079" s="1077">
        <v>2.13</v>
      </c>
      <c r="AM3079" s="1078" t="s">
        <v>15030</v>
      </c>
      <c r="AN3079" s="1078" t="s">
        <v>15214</v>
      </c>
      <c r="AO3079" s="1078">
        <f t="shared" si="382"/>
        <v>600</v>
      </c>
      <c r="AP3079" s="1078">
        <f t="shared" si="383"/>
        <v>1.7</v>
      </c>
      <c r="AQ3079" s="1078" t="str">
        <f t="shared" si="384"/>
        <v>1-5-1S83°</v>
      </c>
      <c r="AR3079" s="1078" t="str">
        <f t="shared" si="385"/>
        <v>30.8</v>
      </c>
      <c r="AS3079" s="1078" t="str">
        <f t="shared" si="386"/>
        <v>225/225/OFF</v>
      </c>
      <c r="AT3079" s="1078" t="str">
        <f t="shared" si="387"/>
        <v>1-5-1S83°</v>
      </c>
      <c r="AV3079" s="1078" t="str">
        <f t="shared" si="388"/>
        <v>114.4.8</v>
      </c>
      <c r="AW3079" s="1344">
        <f t="shared" si="389"/>
        <v>45755</v>
      </c>
    </row>
    <row r="3080" spans="1:49">
      <c r="A3080" s="1077" t="s">
        <v>15215</v>
      </c>
      <c r="B3080" s="1077" t="s">
        <v>298</v>
      </c>
      <c r="C3080" s="1077">
        <v>650</v>
      </c>
      <c r="D3080" s="1077">
        <v>1.7649999999999999</v>
      </c>
      <c r="E3080" s="1077" t="s">
        <v>15095</v>
      </c>
      <c r="F3080" s="1077" t="s">
        <v>954</v>
      </c>
      <c r="G3080" s="1077" t="s">
        <v>1767</v>
      </c>
      <c r="H3080" s="1077" t="s">
        <v>1040</v>
      </c>
      <c r="I3080" s="1077" t="s">
        <v>626</v>
      </c>
      <c r="J3080" s="1077">
        <v>2</v>
      </c>
      <c r="K3080" s="1077" t="s">
        <v>15216</v>
      </c>
      <c r="L3080" s="1077" t="s">
        <v>4029</v>
      </c>
      <c r="M3080" s="1077">
        <v>101.5</v>
      </c>
      <c r="N3080" s="1077" t="s">
        <v>945</v>
      </c>
      <c r="O3080" s="1077">
        <v>2.5375000000000001</v>
      </c>
      <c r="P3080" s="1077">
        <v>2.0300000000000002</v>
      </c>
      <c r="Q3080" s="1077">
        <v>3.5</v>
      </c>
      <c r="R3080" s="1077">
        <v>19</v>
      </c>
      <c r="T3080" s="1077">
        <v>24</v>
      </c>
      <c r="U3080" s="1077">
        <v>5.4</v>
      </c>
      <c r="V3080" s="1077" t="s">
        <v>648</v>
      </c>
      <c r="W3080" s="1077">
        <v>135</v>
      </c>
      <c r="X3080" s="1077">
        <v>10</v>
      </c>
      <c r="Y3080" s="1077">
        <v>1.3</v>
      </c>
      <c r="Z3080" s="1077">
        <v>6</v>
      </c>
      <c r="AA3080" s="1077" t="s">
        <v>15197</v>
      </c>
      <c r="AH3080" s="1077" t="s">
        <v>884</v>
      </c>
      <c r="AI3080" s="1077">
        <v>93.5</v>
      </c>
      <c r="AJ3080" s="1077">
        <v>-0.3</v>
      </c>
      <c r="AK3080" s="1077">
        <v>0.65</v>
      </c>
      <c r="AM3080" s="1078" t="s">
        <v>15041</v>
      </c>
      <c r="AN3080" s="1078" t="s">
        <v>15217</v>
      </c>
      <c r="AO3080" s="1078">
        <f t="shared" si="382"/>
        <v>650</v>
      </c>
      <c r="AP3080" s="1078">
        <f t="shared" si="383"/>
        <v>1.7649999999999999</v>
      </c>
      <c r="AQ3080" s="1078" t="str">
        <f t="shared" si="384"/>
        <v>1-5-1S83°</v>
      </c>
      <c r="AR3080" s="1078" t="str">
        <f t="shared" si="385"/>
        <v>31</v>
      </c>
      <c r="AS3080" s="1078" t="str">
        <f t="shared" si="386"/>
        <v>240/240/OFF</v>
      </c>
      <c r="AT3080" s="1078" t="str">
        <f t="shared" si="387"/>
        <v>1-5-1S83°</v>
      </c>
      <c r="AV3080" s="1078" t="str">
        <f t="shared" si="388"/>
        <v>114.4.17</v>
      </c>
      <c r="AW3080" s="1344">
        <f t="shared" si="389"/>
        <v>45764</v>
      </c>
    </row>
    <row r="3081" spans="1:49">
      <c r="A3081" s="1077" t="s">
        <v>15218</v>
      </c>
      <c r="B3081" s="1077" t="s">
        <v>467</v>
      </c>
      <c r="C3081" s="1077">
        <v>650</v>
      </c>
      <c r="D3081" s="1077">
        <v>1.8049999999999999</v>
      </c>
      <c r="E3081" s="1077" t="s">
        <v>15109</v>
      </c>
      <c r="F3081" s="1077" t="s">
        <v>648</v>
      </c>
      <c r="G3081" s="1077" t="s">
        <v>6865</v>
      </c>
      <c r="H3081" s="1077" t="s">
        <v>7863</v>
      </c>
      <c r="I3081" s="1077" t="s">
        <v>6937</v>
      </c>
      <c r="J3081" s="1077">
        <v>3.7</v>
      </c>
      <c r="K3081" s="1077" t="s">
        <v>15219</v>
      </c>
      <c r="L3081" s="1077" t="s">
        <v>4666</v>
      </c>
      <c r="M3081" s="1077">
        <v>295.10000000000002</v>
      </c>
      <c r="N3081" s="1077" t="s">
        <v>945</v>
      </c>
      <c r="O3081" s="1077">
        <v>7.3775000000000013</v>
      </c>
      <c r="P3081" s="1077">
        <v>5.9020000000000001</v>
      </c>
      <c r="Q3081" s="1077">
        <v>4</v>
      </c>
      <c r="R3081" s="1077">
        <v>17.399999999999999</v>
      </c>
      <c r="T3081" s="1077">
        <v>31</v>
      </c>
      <c r="U3081" s="1077">
        <v>3.5</v>
      </c>
      <c r="V3081" s="1077" t="s">
        <v>648</v>
      </c>
      <c r="W3081" s="1077" t="s">
        <v>6880</v>
      </c>
      <c r="X3081" s="1077">
        <v>40</v>
      </c>
      <c r="Y3081" s="1077">
        <v>1</v>
      </c>
      <c r="Z3081" s="1077" t="s">
        <v>648</v>
      </c>
      <c r="AA3081" s="1077" t="s">
        <v>15220</v>
      </c>
      <c r="AH3081" s="1077" t="s">
        <v>853</v>
      </c>
      <c r="AI3081" s="1077">
        <v>95.66</v>
      </c>
      <c r="AJ3081" s="1077">
        <v>-0.68</v>
      </c>
      <c r="AK3081" s="1077">
        <v>1.97</v>
      </c>
      <c r="AM3081" s="1078" t="s">
        <v>858</v>
      </c>
      <c r="AN3081" s="1078" t="s">
        <v>15221</v>
      </c>
      <c r="AO3081" s="1078">
        <f t="shared" si="382"/>
        <v>650</v>
      </c>
      <c r="AP3081" s="1078">
        <f t="shared" si="383"/>
        <v>1.8049999999999999</v>
      </c>
      <c r="AQ3081" s="1078" t="str">
        <f t="shared" si="384"/>
        <v>1-5-1S85°Z+S</v>
      </c>
      <c r="AR3081" s="1078" t="str">
        <f t="shared" si="385"/>
        <v>NA</v>
      </c>
      <c r="AS3081" s="1078" t="str">
        <f t="shared" si="386"/>
        <v>204/OFF</v>
      </c>
      <c r="AT3081" s="1078" t="str">
        <f t="shared" si="387"/>
        <v>1-5-1S85°Z+S</v>
      </c>
      <c r="AU3081" s="1078" t="s">
        <v>15547</v>
      </c>
      <c r="AV3081" s="1078" t="str">
        <f t="shared" si="388"/>
        <v>114.3.26</v>
      </c>
      <c r="AW3081" s="1344">
        <f t="shared" si="389"/>
        <v>45742</v>
      </c>
    </row>
    <row r="3082" spans="1:49">
      <c r="A3082" s="1077" t="s">
        <v>15222</v>
      </c>
      <c r="B3082" s="1077" t="s">
        <v>7055</v>
      </c>
      <c r="C3082" s="1077">
        <v>600</v>
      </c>
      <c r="D3082" s="1077">
        <v>1.75</v>
      </c>
      <c r="E3082" s="1077" t="s">
        <v>15122</v>
      </c>
      <c r="F3082" s="1077" t="s">
        <v>984</v>
      </c>
      <c r="G3082" s="1077">
        <v>5.5</v>
      </c>
      <c r="H3082" s="1077" t="s">
        <v>2876</v>
      </c>
      <c r="I3082" s="1077" t="s">
        <v>6909</v>
      </c>
      <c r="J3082" s="1077">
        <v>3</v>
      </c>
      <c r="K3082" s="1077" t="s">
        <v>15223</v>
      </c>
      <c r="L3082" s="1077" t="s">
        <v>4854</v>
      </c>
      <c r="M3082" s="1077">
        <v>296</v>
      </c>
      <c r="N3082" s="1077" t="s">
        <v>945</v>
      </c>
      <c r="O3082" s="1077">
        <v>7.4</v>
      </c>
      <c r="P3082" s="1077">
        <v>5.92</v>
      </c>
      <c r="Q3082" s="1077">
        <v>3</v>
      </c>
      <c r="R3082" s="1077">
        <v>27</v>
      </c>
      <c r="T3082" s="1077">
        <v>17.5</v>
      </c>
      <c r="U3082" s="1077">
        <v>6</v>
      </c>
      <c r="V3082" s="1077" t="s">
        <v>648</v>
      </c>
      <c r="W3082" s="1077">
        <v>90</v>
      </c>
      <c r="X3082" s="1077">
        <v>10</v>
      </c>
      <c r="Y3082" s="1077">
        <v>1.2</v>
      </c>
      <c r="Z3082" s="1077" t="s">
        <v>648</v>
      </c>
      <c r="AA3082" s="1077" t="s">
        <v>15139</v>
      </c>
      <c r="AH3082" s="1077" t="s">
        <v>466</v>
      </c>
      <c r="AI3082" s="1077">
        <v>94.39</v>
      </c>
      <c r="AJ3082" s="1077">
        <v>-1.03</v>
      </c>
      <c r="AK3082" s="1077">
        <v>6.36</v>
      </c>
      <c r="AM3082" s="1078" t="s">
        <v>15015</v>
      </c>
      <c r="AN3082" s="1078" t="s">
        <v>15224</v>
      </c>
      <c r="AO3082" s="1078">
        <f t="shared" si="382"/>
        <v>600</v>
      </c>
      <c r="AP3082" s="1078">
        <f t="shared" si="383"/>
        <v>1.75</v>
      </c>
      <c r="AQ3082" s="1078" t="str">
        <f t="shared" si="384"/>
        <v>1-5-1S91°Z+S</v>
      </c>
      <c r="AR3082" s="1078" t="str">
        <f t="shared" si="385"/>
        <v>30</v>
      </c>
      <c r="AS3082" s="1078" t="str">
        <f t="shared" si="386"/>
        <v>290/290/OFF</v>
      </c>
      <c r="AT3082" s="1078" t="str">
        <f t="shared" si="387"/>
        <v>1-5-1S91°Z+S</v>
      </c>
      <c r="AU3082" s="1078" t="s">
        <v>15547</v>
      </c>
      <c r="AV3082" s="1078" t="str">
        <f t="shared" si="388"/>
        <v>114.3.31</v>
      </c>
      <c r="AW3082" s="1344">
        <f t="shared" si="389"/>
        <v>45747</v>
      </c>
    </row>
    <row r="3083" spans="1:49">
      <c r="A3083" s="1077" t="s">
        <v>15225</v>
      </c>
      <c r="B3083" s="1077" t="s">
        <v>717</v>
      </c>
      <c r="C3083" s="1077">
        <v>600</v>
      </c>
      <c r="D3083" s="1077">
        <v>1.84</v>
      </c>
      <c r="E3083" s="1077" t="s">
        <v>15116</v>
      </c>
      <c r="F3083" s="1077" t="s">
        <v>2234</v>
      </c>
      <c r="G3083" s="1077">
        <v>4</v>
      </c>
      <c r="H3083" s="1077" t="s">
        <v>6902</v>
      </c>
      <c r="I3083" s="1077" t="s">
        <v>6903</v>
      </c>
      <c r="K3083" s="1077" t="s">
        <v>15226</v>
      </c>
      <c r="L3083" s="1077" t="s">
        <v>7781</v>
      </c>
      <c r="M3083" s="1077">
        <v>303.5</v>
      </c>
      <c r="N3083" s="1077" t="s">
        <v>945</v>
      </c>
      <c r="O3083" s="1077">
        <v>7.5875000000000004</v>
      </c>
      <c r="P3083" s="1077">
        <v>6.07</v>
      </c>
      <c r="Q3083" s="1077">
        <v>3.5</v>
      </c>
      <c r="R3083" s="1077">
        <v>27.9</v>
      </c>
      <c r="T3083" s="1077">
        <v>13.5</v>
      </c>
      <c r="U3083" s="1077">
        <v>2.5</v>
      </c>
      <c r="V3083" s="1077" t="s">
        <v>648</v>
      </c>
      <c r="W3083" s="1077">
        <v>90</v>
      </c>
      <c r="X3083" s="1077">
        <v>10</v>
      </c>
      <c r="Y3083" s="1077">
        <v>1.6</v>
      </c>
      <c r="Z3083" s="1077" t="s">
        <v>648</v>
      </c>
      <c r="AA3083" s="1077" t="s">
        <v>15188</v>
      </c>
      <c r="AH3083" s="1077" t="s">
        <v>767</v>
      </c>
      <c r="AI3083" s="1077" t="s">
        <v>2185</v>
      </c>
      <c r="AM3083" s="1078" t="s">
        <v>15019</v>
      </c>
      <c r="AN3083" s="1078" t="s">
        <v>15227</v>
      </c>
      <c r="AO3083" s="1078">
        <f t="shared" ref="AO3083:AO3146" si="390">C3083</f>
        <v>600</v>
      </c>
      <c r="AP3083" s="1078">
        <f t="shared" ref="AP3083:AP3146" si="391">D3083</f>
        <v>1.84</v>
      </c>
      <c r="AQ3083" s="1078" t="str">
        <f t="shared" ref="AQ3083:AQ3146" si="392">E3083</f>
        <v>1-5-1S83°Z+S</v>
      </c>
      <c r="AR3083" s="1078" t="str">
        <f t="shared" ref="AR3083:AR3146" si="393">F3083</f>
        <v>33.5</v>
      </c>
      <c r="AS3083" s="1078" t="str">
        <f t="shared" ref="AS3083:AS3146" si="394">H3083</f>
        <v>310/310/190</v>
      </c>
      <c r="AT3083" s="1078" t="str">
        <f t="shared" ref="AT3083:AT3146" si="395">E3083</f>
        <v>1-5-1S83°Z+S</v>
      </c>
      <c r="AU3083" s="1078" t="s">
        <v>15547</v>
      </c>
      <c r="AV3083" s="1078" t="str">
        <f t="shared" si="388"/>
        <v>114.4.1</v>
      </c>
      <c r="AW3083" s="1344">
        <f t="shared" si="389"/>
        <v>45748</v>
      </c>
    </row>
    <row r="3084" spans="1:49">
      <c r="A3084" s="1077" t="s">
        <v>15228</v>
      </c>
      <c r="B3084" s="1077" t="s">
        <v>872</v>
      </c>
      <c r="C3084" s="1077">
        <v>550</v>
      </c>
      <c r="D3084" s="1077">
        <v>1.72</v>
      </c>
      <c r="E3084" s="1077" t="s">
        <v>15089</v>
      </c>
      <c r="F3084" s="1077" t="s">
        <v>984</v>
      </c>
      <c r="G3084" s="1077" t="s">
        <v>940</v>
      </c>
      <c r="H3084" s="1077" t="s">
        <v>1226</v>
      </c>
      <c r="I3084" s="1077" t="s">
        <v>126</v>
      </c>
      <c r="J3084" s="1077">
        <v>0.9</v>
      </c>
      <c r="K3084" s="1077" t="s">
        <v>15229</v>
      </c>
      <c r="L3084" s="1077" t="s">
        <v>978</v>
      </c>
      <c r="M3084" s="1077">
        <v>49.5</v>
      </c>
      <c r="N3084" s="1077" t="s">
        <v>945</v>
      </c>
      <c r="O3084" s="1077">
        <v>1.2375</v>
      </c>
      <c r="P3084" s="1077">
        <v>0.99</v>
      </c>
      <c r="Q3084" s="1077">
        <v>4</v>
      </c>
      <c r="R3084" s="1077">
        <v>28</v>
      </c>
      <c r="T3084" s="1077">
        <v>31</v>
      </c>
      <c r="U3084" s="1077">
        <v>3.3</v>
      </c>
      <c r="V3084" s="1077" t="s">
        <v>648</v>
      </c>
      <c r="W3084" s="1077">
        <v>110</v>
      </c>
      <c r="X3084" s="1077">
        <v>70</v>
      </c>
      <c r="Y3084" s="1077">
        <v>2.7</v>
      </c>
      <c r="Z3084" s="1077">
        <v>4.5</v>
      </c>
      <c r="AA3084" s="1077" t="s">
        <v>15230</v>
      </c>
      <c r="AH3084" s="1077" t="s">
        <v>963</v>
      </c>
      <c r="AJ3084" s="1077">
        <v>93.42</v>
      </c>
      <c r="AK3084" s="1077">
        <v>-0.46</v>
      </c>
      <c r="AL3084" s="1077">
        <v>0.36</v>
      </c>
      <c r="AM3084" s="1078" t="s">
        <v>15047</v>
      </c>
      <c r="AN3084" s="1078" t="s">
        <v>15231</v>
      </c>
      <c r="AO3084" s="1078">
        <f t="shared" si="390"/>
        <v>550</v>
      </c>
      <c r="AP3084" s="1078">
        <f t="shared" si="391"/>
        <v>1.72</v>
      </c>
      <c r="AQ3084" s="1078" t="str">
        <f t="shared" si="392"/>
        <v>1-4-1S83°</v>
      </c>
      <c r="AR3084" s="1078" t="str">
        <f t="shared" si="393"/>
        <v>30</v>
      </c>
      <c r="AS3084" s="1078" t="str">
        <f t="shared" si="394"/>
        <v>230/230/OFF</v>
      </c>
      <c r="AT3084" s="1078" t="str">
        <f t="shared" si="395"/>
        <v>1-4-1S83°</v>
      </c>
      <c r="AV3084" s="1078" t="str">
        <f t="shared" si="388"/>
        <v>114.4.30</v>
      </c>
      <c r="AW3084" s="1344">
        <f t="shared" si="389"/>
        <v>45777</v>
      </c>
    </row>
    <row r="3085" spans="1:49">
      <c r="A3085" s="1077" t="s">
        <v>15232</v>
      </c>
      <c r="B3085" s="1077" t="s">
        <v>15029</v>
      </c>
      <c r="C3085" s="1077">
        <v>550</v>
      </c>
      <c r="D3085" s="1077">
        <v>1.74</v>
      </c>
      <c r="E3085" s="1077" t="s">
        <v>15896</v>
      </c>
      <c r="F3085" s="1077" t="s">
        <v>975</v>
      </c>
      <c r="G3085" s="1077" t="s">
        <v>1767</v>
      </c>
      <c r="H3085" s="1077" t="s">
        <v>2067</v>
      </c>
      <c r="I3085" s="1077" t="s">
        <v>126</v>
      </c>
      <c r="J3085" s="1077">
        <v>1.1000000000000001</v>
      </c>
      <c r="K3085" s="1077" t="s">
        <v>15200</v>
      </c>
      <c r="L3085" s="1077" t="s">
        <v>15201</v>
      </c>
      <c r="M3085" s="1077">
        <v>77</v>
      </c>
      <c r="N3085" s="1077" t="s">
        <v>945</v>
      </c>
      <c r="O3085" s="1077">
        <v>1.925</v>
      </c>
      <c r="P3085" s="1077">
        <v>1.54</v>
      </c>
      <c r="Q3085" s="1077">
        <v>3.8</v>
      </c>
      <c r="R3085" s="1077">
        <v>24</v>
      </c>
      <c r="T3085" s="1077">
        <v>9</v>
      </c>
      <c r="U3085" s="1077">
        <v>2.2000000000000002</v>
      </c>
      <c r="V3085" s="1077" t="s">
        <v>648</v>
      </c>
      <c r="W3085" s="1077">
        <v>125</v>
      </c>
      <c r="X3085" s="1077">
        <v>85</v>
      </c>
      <c r="Y3085" s="1077">
        <v>2.1</v>
      </c>
      <c r="Z3085" s="1077">
        <v>2.5</v>
      </c>
      <c r="AA3085" s="1077" t="s">
        <v>15233</v>
      </c>
      <c r="AH3085" s="1077" t="s">
        <v>830</v>
      </c>
      <c r="AI3085" s="1077">
        <v>12.09</v>
      </c>
      <c r="AJ3085" s="1077">
        <v>0.21</v>
      </c>
      <c r="AK3085" s="1077">
        <v>0.56999999999999995</v>
      </c>
      <c r="AM3085" s="1078" t="s">
        <v>15045</v>
      </c>
      <c r="AN3085" s="1078" t="s">
        <v>15234</v>
      </c>
      <c r="AO3085" s="1078">
        <f t="shared" si="390"/>
        <v>550</v>
      </c>
      <c r="AP3085" s="1078">
        <f t="shared" si="391"/>
        <v>1.74</v>
      </c>
      <c r="AQ3085" s="1078" t="str">
        <f t="shared" si="392"/>
        <v>1-4-1S83°S撚</v>
      </c>
      <c r="AR3085" s="1078" t="str">
        <f t="shared" si="393"/>
        <v>31.5</v>
      </c>
      <c r="AS3085" s="1078" t="str">
        <f t="shared" si="394"/>
        <v>250/250/150</v>
      </c>
      <c r="AT3085" s="1078" t="str">
        <f t="shared" si="395"/>
        <v>1-4-1S83°S撚</v>
      </c>
      <c r="AV3085" s="1078" t="str">
        <f t="shared" si="388"/>
        <v>114.4.25</v>
      </c>
      <c r="AW3085" s="1344">
        <f t="shared" si="389"/>
        <v>45772</v>
      </c>
    </row>
    <row r="3086" spans="1:49">
      <c r="A3086" s="1077" t="s">
        <v>15235</v>
      </c>
      <c r="B3086" s="1077" t="s">
        <v>715</v>
      </c>
      <c r="C3086" s="1077">
        <v>600</v>
      </c>
      <c r="D3086" s="1077">
        <v>1.7050000000000001</v>
      </c>
      <c r="E3086" s="1077" t="s">
        <v>15095</v>
      </c>
      <c r="F3086" s="1077" t="s">
        <v>1897</v>
      </c>
      <c r="G3086" s="1077" t="s">
        <v>940</v>
      </c>
      <c r="H3086" s="1077" t="s">
        <v>1649</v>
      </c>
      <c r="I3086" s="1077" t="s">
        <v>126</v>
      </c>
      <c r="J3086" s="1077">
        <v>1</v>
      </c>
      <c r="K3086" s="1077" t="s">
        <v>15212</v>
      </c>
      <c r="L3086" s="1077" t="s">
        <v>4548</v>
      </c>
      <c r="M3086" s="1077">
        <v>101.5</v>
      </c>
      <c r="N3086" s="1077" t="s">
        <v>945</v>
      </c>
      <c r="O3086" s="1077">
        <v>2.5375000000000001</v>
      </c>
      <c r="P3086" s="1077">
        <v>2.0300000000000002</v>
      </c>
      <c r="Q3086" s="1077">
        <v>4</v>
      </c>
      <c r="R3086" s="1077">
        <v>23</v>
      </c>
      <c r="T3086" s="1077">
        <v>12</v>
      </c>
      <c r="U3086" s="1077">
        <v>4.5</v>
      </c>
      <c r="V3086" s="1077" t="s">
        <v>648</v>
      </c>
      <c r="W3086" s="1077">
        <v>125</v>
      </c>
      <c r="X3086" s="1077">
        <v>80</v>
      </c>
      <c r="Y3086" s="1077">
        <v>1.5</v>
      </c>
      <c r="Z3086" s="1077">
        <v>4</v>
      </c>
      <c r="AA3086" s="1077" t="s">
        <v>15236</v>
      </c>
      <c r="AH3086" s="1077" t="s">
        <v>466</v>
      </c>
      <c r="AI3086" s="1077">
        <v>94.41</v>
      </c>
      <c r="AJ3086" s="1077">
        <v>-0.65</v>
      </c>
      <c r="AK3086" s="1077">
        <v>2.14</v>
      </c>
      <c r="AM3086" s="1078" t="s">
        <v>15049</v>
      </c>
      <c r="AN3086" s="1078" t="s">
        <v>15237</v>
      </c>
      <c r="AO3086" s="1078">
        <f t="shared" si="390"/>
        <v>600</v>
      </c>
      <c r="AP3086" s="1078">
        <f t="shared" si="391"/>
        <v>1.7050000000000001</v>
      </c>
      <c r="AQ3086" s="1078" t="str">
        <f t="shared" si="392"/>
        <v>1-5-1S83°</v>
      </c>
      <c r="AR3086" s="1078" t="str">
        <f t="shared" si="393"/>
        <v>30.8</v>
      </c>
      <c r="AS3086" s="1078" t="str">
        <f t="shared" si="394"/>
        <v>225/225/OFF</v>
      </c>
      <c r="AT3086" s="1078" t="str">
        <f t="shared" si="395"/>
        <v>1-5-1S83°</v>
      </c>
      <c r="AV3086" s="1078" t="str">
        <f t="shared" si="388"/>
        <v>114.4.29</v>
      </c>
      <c r="AW3086" s="1344">
        <f t="shared" si="389"/>
        <v>45776</v>
      </c>
    </row>
    <row r="3087" spans="1:49">
      <c r="A3087" s="1077" t="s">
        <v>15238</v>
      </c>
      <c r="B3087" s="1077" t="s">
        <v>828</v>
      </c>
      <c r="C3087" s="1077">
        <v>650</v>
      </c>
      <c r="D3087" s="1077">
        <v>1.7649999999999999</v>
      </c>
      <c r="E3087" s="1077" t="s">
        <v>15109</v>
      </c>
      <c r="F3087" s="1077" t="s">
        <v>648</v>
      </c>
      <c r="G3087" s="1077">
        <v>5</v>
      </c>
      <c r="H3087" s="1077" t="s">
        <v>1048</v>
      </c>
      <c r="I3087" s="1077" t="s">
        <v>460</v>
      </c>
      <c r="J3087" s="1077">
        <v>1.6</v>
      </c>
      <c r="K3087" s="1077" t="s">
        <v>15239</v>
      </c>
      <c r="L3087" s="1077" t="s">
        <v>2174</v>
      </c>
      <c r="M3087" s="1077">
        <v>150</v>
      </c>
      <c r="N3087" s="1077" t="s">
        <v>945</v>
      </c>
      <c r="O3087" s="1077">
        <v>3.75</v>
      </c>
      <c r="P3087" s="1077">
        <v>3</v>
      </c>
      <c r="Q3087" s="1077">
        <v>4</v>
      </c>
      <c r="R3087" s="1077">
        <v>20.8</v>
      </c>
      <c r="T3087" s="1077">
        <v>29.1</v>
      </c>
      <c r="U3087" s="1077">
        <v>3.4</v>
      </c>
      <c r="V3087" s="1077" t="s">
        <v>648</v>
      </c>
      <c r="W3087" s="1077">
        <v>110</v>
      </c>
      <c r="X3087" s="1077">
        <v>70</v>
      </c>
      <c r="Y3087" s="1077">
        <v>1.5</v>
      </c>
      <c r="Z3087" s="1077" t="s">
        <v>648</v>
      </c>
      <c r="AA3087" s="1077" t="s">
        <v>15240</v>
      </c>
      <c r="AH3087" s="1077" t="s">
        <v>681</v>
      </c>
      <c r="AI3087" s="1077">
        <v>93.62</v>
      </c>
      <c r="AJ3087" s="1077">
        <v>0.24</v>
      </c>
      <c r="AK3087" s="1077">
        <v>0.86</v>
      </c>
      <c r="AM3087" s="1078" t="s">
        <v>15085</v>
      </c>
      <c r="AN3087" s="1078" t="s">
        <v>15241</v>
      </c>
      <c r="AO3087" s="1078">
        <f t="shared" si="390"/>
        <v>650</v>
      </c>
      <c r="AP3087" s="1078">
        <f t="shared" si="391"/>
        <v>1.7649999999999999</v>
      </c>
      <c r="AQ3087" s="1078" t="str">
        <f t="shared" si="392"/>
        <v>1-5-1S85°Z+S</v>
      </c>
      <c r="AR3087" s="1078" t="str">
        <f t="shared" si="393"/>
        <v>NA</v>
      </c>
      <c r="AS3087" s="1078" t="str">
        <f t="shared" si="394"/>
        <v>188/OFF</v>
      </c>
      <c r="AT3087" s="1078" t="str">
        <f t="shared" si="395"/>
        <v>1-5-1S85°Z+S</v>
      </c>
      <c r="AU3087" s="1078" t="s">
        <v>15547</v>
      </c>
      <c r="AV3087" s="1078" t="str">
        <f t="shared" si="388"/>
        <v>114.5.2</v>
      </c>
      <c r="AW3087" s="1344">
        <f t="shared" si="389"/>
        <v>45779</v>
      </c>
    </row>
    <row r="3088" spans="1:49">
      <c r="A3088" s="1077" t="s">
        <v>15242</v>
      </c>
      <c r="B3088" s="1077" t="s">
        <v>799</v>
      </c>
      <c r="C3088" s="1077">
        <v>690</v>
      </c>
      <c r="D3088" s="1077">
        <v>1.77</v>
      </c>
      <c r="E3088" s="1077" t="s">
        <v>15094</v>
      </c>
      <c r="F3088" s="1077" t="s">
        <v>984</v>
      </c>
      <c r="G3088" s="1077">
        <v>5</v>
      </c>
      <c r="H3088" s="1077" t="s">
        <v>15243</v>
      </c>
      <c r="I3088" s="1077" t="s">
        <v>126</v>
      </c>
      <c r="J3088" s="1077">
        <v>0.8</v>
      </c>
      <c r="K3088" s="1077" t="s">
        <v>15244</v>
      </c>
      <c r="L3088" s="1077" t="s">
        <v>6291</v>
      </c>
      <c r="M3088" s="1077">
        <v>151.5</v>
      </c>
      <c r="N3088" s="1077" t="s">
        <v>945</v>
      </c>
      <c r="O3088" s="1077">
        <v>3.7875000000000001</v>
      </c>
      <c r="P3088" s="1077">
        <v>3.0300000000000002</v>
      </c>
      <c r="Q3088" s="1077">
        <v>4</v>
      </c>
      <c r="R3088" s="1077">
        <v>19.100000000000001</v>
      </c>
      <c r="T3088" s="1077">
        <v>23.7</v>
      </c>
      <c r="U3088" s="1077">
        <v>3.2</v>
      </c>
      <c r="V3088" s="1077" t="s">
        <v>648</v>
      </c>
      <c r="W3088" s="1077">
        <v>35</v>
      </c>
      <c r="X3088" s="1077">
        <v>10</v>
      </c>
      <c r="Y3088" s="1077">
        <v>1</v>
      </c>
      <c r="Z3088" s="1077">
        <v>6</v>
      </c>
      <c r="AA3088" s="1077" t="s">
        <v>15240</v>
      </c>
      <c r="AH3088" s="1077" t="s">
        <v>785</v>
      </c>
      <c r="AI3088" s="1077">
        <v>92.53</v>
      </c>
      <c r="AJ3088" s="1077">
        <v>0.39</v>
      </c>
      <c r="AK3088" s="1077">
        <v>0.38</v>
      </c>
      <c r="AM3088" s="1078" t="s">
        <v>15083</v>
      </c>
      <c r="AN3088" s="1078" t="s">
        <v>15245</v>
      </c>
      <c r="AO3088" s="1078">
        <f t="shared" si="390"/>
        <v>690</v>
      </c>
      <c r="AP3088" s="1078">
        <f t="shared" si="391"/>
        <v>1.77</v>
      </c>
      <c r="AQ3088" s="1078" t="str">
        <f t="shared" si="392"/>
        <v>1-5-1S91°</v>
      </c>
      <c r="AR3088" s="1078" t="str">
        <f t="shared" si="393"/>
        <v>30</v>
      </c>
      <c r="AS3088" s="1078" t="str">
        <f t="shared" si="394"/>
        <v>351/311/156</v>
      </c>
      <c r="AT3088" s="1078" t="str">
        <f t="shared" si="395"/>
        <v>1-5-1S91°</v>
      </c>
      <c r="AV3088" s="1078" t="str">
        <f t="shared" si="388"/>
        <v>114.5.2</v>
      </c>
      <c r="AW3088" s="1344">
        <f t="shared" si="389"/>
        <v>45779</v>
      </c>
    </row>
    <row r="3089" spans="1:49">
      <c r="A3089" s="1077" t="s">
        <v>15246</v>
      </c>
      <c r="B3089" s="1077" t="s">
        <v>754</v>
      </c>
      <c r="C3089" s="1077">
        <v>500</v>
      </c>
      <c r="D3089" s="1077">
        <v>1.655</v>
      </c>
      <c r="E3089" s="1077" t="s">
        <v>15108</v>
      </c>
      <c r="F3089" s="1077" t="s">
        <v>648</v>
      </c>
      <c r="G3089" s="1077">
        <v>4</v>
      </c>
      <c r="H3089" s="1077" t="s">
        <v>1649</v>
      </c>
      <c r="I3089" s="1077" t="s">
        <v>126</v>
      </c>
      <c r="J3089" s="1077">
        <v>2</v>
      </c>
      <c r="K3089" s="1077" t="s">
        <v>15247</v>
      </c>
      <c r="L3089" s="1077" t="s">
        <v>6742</v>
      </c>
      <c r="M3089" s="1077">
        <v>155</v>
      </c>
      <c r="N3089" s="1077" t="s">
        <v>945</v>
      </c>
      <c r="O3089" s="1077">
        <v>3.875</v>
      </c>
      <c r="P3089" s="1077">
        <v>3.1</v>
      </c>
      <c r="Q3089" s="1077">
        <v>4</v>
      </c>
      <c r="R3089" s="1077">
        <v>25</v>
      </c>
      <c r="T3089" s="1077">
        <v>18</v>
      </c>
      <c r="U3089" s="1077">
        <v>3.8</v>
      </c>
      <c r="V3089" s="1077" t="s">
        <v>648</v>
      </c>
      <c r="W3089" s="1077">
        <v>135</v>
      </c>
      <c r="X3089" s="1077">
        <v>80</v>
      </c>
      <c r="Y3089" s="1077">
        <v>1.2</v>
      </c>
      <c r="Z3089" s="1077" t="s">
        <v>648</v>
      </c>
      <c r="AA3089" s="1077" t="s">
        <v>15248</v>
      </c>
      <c r="AH3089" s="1077" t="s">
        <v>618</v>
      </c>
      <c r="AM3089" s="1078" t="s">
        <v>15087</v>
      </c>
      <c r="AN3089" s="1078" t="s">
        <v>15249</v>
      </c>
      <c r="AO3089" s="1078">
        <f t="shared" si="390"/>
        <v>500</v>
      </c>
      <c r="AP3089" s="1078">
        <f t="shared" si="391"/>
        <v>1.655</v>
      </c>
      <c r="AQ3089" s="1078" t="str">
        <f t="shared" si="392"/>
        <v>1-4-1S83°Z+S</v>
      </c>
      <c r="AR3089" s="1078" t="str">
        <f t="shared" si="393"/>
        <v>NA</v>
      </c>
      <c r="AS3089" s="1078" t="str">
        <f t="shared" si="394"/>
        <v>225/225/OFF</v>
      </c>
      <c r="AT3089" s="1078" t="str">
        <f t="shared" si="395"/>
        <v>1-4-1S83°Z+S</v>
      </c>
      <c r="AU3089" s="1078" t="s">
        <v>15547</v>
      </c>
      <c r="AV3089" s="1078" t="str">
        <f t="shared" si="388"/>
        <v>114.5.6</v>
      </c>
      <c r="AW3089" s="1344">
        <f t="shared" si="389"/>
        <v>45783</v>
      </c>
    </row>
    <row r="3090" spans="1:49">
      <c r="A3090" s="1077" t="s">
        <v>15250</v>
      </c>
      <c r="B3090" s="1077" t="s">
        <v>416</v>
      </c>
      <c r="C3090" s="1077">
        <v>650</v>
      </c>
      <c r="D3090" s="1077">
        <v>1.71</v>
      </c>
      <c r="E3090" s="1077" t="s">
        <v>15094</v>
      </c>
      <c r="F3090" s="1077" t="s">
        <v>984</v>
      </c>
      <c r="G3090" s="1077">
        <v>5</v>
      </c>
      <c r="H3090" s="1077" t="s">
        <v>6737</v>
      </c>
      <c r="I3090" s="1077" t="s">
        <v>460</v>
      </c>
      <c r="J3090" s="1077">
        <v>3</v>
      </c>
      <c r="K3090" s="1077" t="s">
        <v>15251</v>
      </c>
      <c r="L3090" s="1077" t="s">
        <v>6482</v>
      </c>
      <c r="M3090" s="1077">
        <v>149.5</v>
      </c>
      <c r="N3090" s="1077" t="s">
        <v>945</v>
      </c>
      <c r="O3090" s="1077">
        <v>3.7375000000000003</v>
      </c>
      <c r="P3090" s="1077">
        <v>2.99</v>
      </c>
      <c r="Q3090" s="1077">
        <v>3.5</v>
      </c>
      <c r="R3090" s="1077">
        <v>21.5</v>
      </c>
      <c r="T3090" s="1077">
        <v>19.5</v>
      </c>
      <c r="U3090" s="1077">
        <v>2.9</v>
      </c>
      <c r="V3090" s="1077" t="s">
        <v>648</v>
      </c>
      <c r="W3090" s="1077">
        <v>100</v>
      </c>
      <c r="X3090" s="1077">
        <v>90</v>
      </c>
      <c r="Y3090" s="1077">
        <v>1.8</v>
      </c>
      <c r="Z3090" s="1077">
        <v>5.5</v>
      </c>
      <c r="AA3090" s="1077" t="s">
        <v>15252</v>
      </c>
      <c r="AH3090" s="1077" t="s">
        <v>758</v>
      </c>
      <c r="AI3090" s="1077">
        <v>91.4</v>
      </c>
      <c r="AJ3090" s="1077">
        <v>-0.39</v>
      </c>
      <c r="AK3090" s="1077">
        <v>1.31</v>
      </c>
      <c r="AM3090" s="1078" t="s">
        <v>15082</v>
      </c>
      <c r="AN3090" s="1078" t="s">
        <v>15253</v>
      </c>
      <c r="AO3090" s="1078">
        <f t="shared" si="390"/>
        <v>650</v>
      </c>
      <c r="AP3090" s="1078">
        <f t="shared" si="391"/>
        <v>1.71</v>
      </c>
      <c r="AQ3090" s="1078" t="str">
        <f t="shared" si="392"/>
        <v>1-5-1S91°</v>
      </c>
      <c r="AR3090" s="1078" t="str">
        <f t="shared" si="393"/>
        <v>30</v>
      </c>
      <c r="AS3090" s="1078" t="str">
        <f t="shared" si="394"/>
        <v>385/355/175</v>
      </c>
      <c r="AT3090" s="1078" t="str">
        <f t="shared" si="395"/>
        <v>1-5-1S91°</v>
      </c>
      <c r="AV3090" s="1078" t="str">
        <f t="shared" si="388"/>
        <v>114.5.4</v>
      </c>
      <c r="AW3090" s="1344">
        <f t="shared" si="389"/>
        <v>45781</v>
      </c>
    </row>
    <row r="3091" spans="1:49">
      <c r="A3091" s="1077" t="s">
        <v>15254</v>
      </c>
      <c r="B3091" s="1077" t="s">
        <v>467</v>
      </c>
      <c r="C3091" s="1077">
        <v>650</v>
      </c>
      <c r="D3091" s="1077">
        <v>1.76</v>
      </c>
      <c r="E3091" s="1077" t="s">
        <v>15109</v>
      </c>
      <c r="F3091" s="1077" t="s">
        <v>648</v>
      </c>
      <c r="G3091" s="1077" t="s">
        <v>6865</v>
      </c>
      <c r="H3091" s="1077" t="s">
        <v>7863</v>
      </c>
      <c r="I3091" s="1077" t="s">
        <v>6937</v>
      </c>
      <c r="J3091" s="1077">
        <v>3.7</v>
      </c>
      <c r="K3091" s="1077" t="s">
        <v>15255</v>
      </c>
      <c r="L3091" s="1077" t="s">
        <v>6684</v>
      </c>
      <c r="M3091" s="1077">
        <v>295.10000000000002</v>
      </c>
      <c r="N3091" s="1077" t="s">
        <v>945</v>
      </c>
      <c r="O3091" s="1077">
        <v>7.3775000000000013</v>
      </c>
      <c r="P3091" s="1077">
        <v>5.9020000000000001</v>
      </c>
      <c r="Q3091" s="1077">
        <v>4</v>
      </c>
      <c r="R3091" s="1077">
        <v>17.399999999999999</v>
      </c>
      <c r="T3091" s="1077">
        <v>31</v>
      </c>
      <c r="U3091" s="1077">
        <v>3.5</v>
      </c>
      <c r="V3091" s="1077" t="s">
        <v>648</v>
      </c>
      <c r="W3091" s="1077" t="s">
        <v>6880</v>
      </c>
      <c r="X3091" s="1077">
        <v>40</v>
      </c>
      <c r="Y3091" s="1077">
        <v>1</v>
      </c>
      <c r="Z3091" s="1077" t="s">
        <v>648</v>
      </c>
      <c r="AA3091" s="1077" t="s">
        <v>15233</v>
      </c>
      <c r="AH3091" s="1077" t="s">
        <v>842</v>
      </c>
      <c r="AI3091" s="1077">
        <v>94.22</v>
      </c>
      <c r="AJ3091" s="1077">
        <v>-0.71</v>
      </c>
      <c r="AK3091" s="1077">
        <v>2.75</v>
      </c>
      <c r="AM3091" s="1078" t="s">
        <v>15046</v>
      </c>
      <c r="AN3091" s="1078" t="s">
        <v>15256</v>
      </c>
      <c r="AO3091" s="1078">
        <f t="shared" si="390"/>
        <v>650</v>
      </c>
      <c r="AP3091" s="1078">
        <f t="shared" si="391"/>
        <v>1.76</v>
      </c>
      <c r="AQ3091" s="1078" t="str">
        <f t="shared" si="392"/>
        <v>1-5-1S85°Z+S</v>
      </c>
      <c r="AR3091" s="1078" t="str">
        <f t="shared" si="393"/>
        <v>NA</v>
      </c>
      <c r="AS3091" s="1078" t="str">
        <f t="shared" si="394"/>
        <v>204/OFF</v>
      </c>
      <c r="AT3091" s="1078" t="str">
        <f t="shared" si="395"/>
        <v>1-5-1S85°Z+S</v>
      </c>
      <c r="AU3091" s="1078" t="s">
        <v>15547</v>
      </c>
      <c r="AV3091" s="1078" t="str">
        <f t="shared" si="388"/>
        <v>114.4.25</v>
      </c>
      <c r="AW3091" s="1344">
        <f t="shared" si="389"/>
        <v>45772</v>
      </c>
    </row>
    <row r="3092" spans="1:49">
      <c r="A3092" s="1077" t="s">
        <v>15257</v>
      </c>
      <c r="B3092" s="1077" t="s">
        <v>775</v>
      </c>
      <c r="C3092" s="1077">
        <v>600</v>
      </c>
      <c r="D3092" s="1077">
        <v>1.81</v>
      </c>
      <c r="E3092" s="1077" t="s">
        <v>15116</v>
      </c>
      <c r="F3092" s="1077" t="s">
        <v>2234</v>
      </c>
      <c r="G3092" s="1077">
        <v>4</v>
      </c>
      <c r="H3092" s="1077" t="s">
        <v>7918</v>
      </c>
      <c r="I3092" s="1077" t="s">
        <v>7319</v>
      </c>
      <c r="K3092" s="1077" t="s">
        <v>15258</v>
      </c>
      <c r="L3092" s="1077" t="s">
        <v>7842</v>
      </c>
      <c r="M3092" s="1077">
        <v>303</v>
      </c>
      <c r="N3092" s="1077" t="s">
        <v>945</v>
      </c>
      <c r="O3092" s="1077">
        <v>7.5750000000000002</v>
      </c>
      <c r="P3092" s="1077">
        <v>6.0600000000000005</v>
      </c>
      <c r="Q3092" s="1077">
        <v>3.5</v>
      </c>
      <c r="R3092" s="1077">
        <v>24</v>
      </c>
      <c r="T3092" s="1077">
        <v>16</v>
      </c>
      <c r="U3092" s="1077">
        <v>3</v>
      </c>
      <c r="V3092" s="1077" t="s">
        <v>648</v>
      </c>
      <c r="W3092" s="1077">
        <v>90</v>
      </c>
      <c r="X3092" s="1077">
        <v>10</v>
      </c>
      <c r="Y3092" s="1077">
        <v>1.5</v>
      </c>
      <c r="Z3092" s="1077" t="s">
        <v>648</v>
      </c>
      <c r="AA3092" s="1077" t="s">
        <v>15236</v>
      </c>
      <c r="AH3092" s="1077" t="s">
        <v>680</v>
      </c>
      <c r="AI3092" s="1077">
        <v>59.02</v>
      </c>
      <c r="AJ3092" s="1077">
        <v>1.34</v>
      </c>
      <c r="AK3092" s="1077">
        <v>10.16</v>
      </c>
      <c r="AM3092" s="1078" t="s">
        <v>15051</v>
      </c>
      <c r="AN3092" s="1078" t="s">
        <v>15259</v>
      </c>
      <c r="AO3092" s="1078">
        <f t="shared" si="390"/>
        <v>600</v>
      </c>
      <c r="AP3092" s="1078">
        <f t="shared" si="391"/>
        <v>1.81</v>
      </c>
      <c r="AQ3092" s="1078" t="str">
        <f t="shared" si="392"/>
        <v>1-5-1S83°Z+S</v>
      </c>
      <c r="AR3092" s="1078" t="str">
        <f t="shared" si="393"/>
        <v>33.5</v>
      </c>
      <c r="AS3092" s="1078" t="str">
        <f t="shared" si="394"/>
        <v>325/325/190</v>
      </c>
      <c r="AT3092" s="1078" t="str">
        <f t="shared" si="395"/>
        <v>1-5-1S83°Z+S</v>
      </c>
      <c r="AU3092" s="1078" t="s">
        <v>15547</v>
      </c>
      <c r="AV3092" s="1078" t="str">
        <f t="shared" si="388"/>
        <v>114.4.29</v>
      </c>
      <c r="AW3092" s="1344">
        <f t="shared" si="389"/>
        <v>45776</v>
      </c>
    </row>
    <row r="3093" spans="1:49">
      <c r="A3093" s="1077" t="s">
        <v>15260</v>
      </c>
      <c r="B3093" s="1077" t="s">
        <v>467</v>
      </c>
      <c r="C3093" s="1077">
        <v>600</v>
      </c>
      <c r="D3093" s="1077">
        <v>1.72</v>
      </c>
      <c r="E3093" s="1077">
        <v>102.5</v>
      </c>
      <c r="F3093" s="1077" t="s">
        <v>4070</v>
      </c>
      <c r="G3093" s="1077">
        <v>5.5</v>
      </c>
      <c r="H3093" s="1077" t="s">
        <v>15261</v>
      </c>
      <c r="I3093" s="1077" t="s">
        <v>15262</v>
      </c>
      <c r="J3093" s="1077">
        <v>3.7</v>
      </c>
      <c r="K3093" s="1077" t="s">
        <v>15263</v>
      </c>
      <c r="L3093" s="1077" t="s">
        <v>6684</v>
      </c>
      <c r="M3093" s="1077">
        <v>295.10000000000002</v>
      </c>
      <c r="N3093" s="1077" t="s">
        <v>945</v>
      </c>
      <c r="O3093" s="1077">
        <v>7.3775000000000013</v>
      </c>
      <c r="P3093" s="1077">
        <v>5.9020000000000001</v>
      </c>
      <c r="Q3093" s="1077">
        <v>4</v>
      </c>
      <c r="R3093" s="1077">
        <v>17.399999999999999</v>
      </c>
      <c r="T3093" s="1077">
        <v>31</v>
      </c>
      <c r="U3093" s="1077">
        <v>3.5</v>
      </c>
      <c r="V3093" s="1077" t="s">
        <v>648</v>
      </c>
      <c r="W3093" s="1077">
        <v>100</v>
      </c>
      <c r="X3093" s="1077">
        <v>40</v>
      </c>
      <c r="Y3093" s="1077">
        <v>1</v>
      </c>
      <c r="Z3093" s="1077" t="s">
        <v>648</v>
      </c>
      <c r="AA3093" s="1077" t="s">
        <v>15230</v>
      </c>
      <c r="AH3093" s="1077" t="s">
        <v>830</v>
      </c>
      <c r="AI3093" s="1077">
        <v>94.17</v>
      </c>
      <c r="AJ3093" s="1077">
        <v>-0.47</v>
      </c>
      <c r="AK3093" s="1077">
        <v>2.4500000000000002</v>
      </c>
      <c r="AM3093" s="1078" t="s">
        <v>15050</v>
      </c>
      <c r="AN3093" s="1078" t="s">
        <v>15264</v>
      </c>
      <c r="AO3093" s="1078">
        <f t="shared" si="390"/>
        <v>600</v>
      </c>
      <c r="AP3093" s="1078">
        <f t="shared" si="391"/>
        <v>1.72</v>
      </c>
      <c r="AQ3093" s="1078">
        <f t="shared" si="392"/>
        <v>102.5</v>
      </c>
      <c r="AR3093" s="1078" t="str">
        <f t="shared" si="393"/>
        <v>15.5</v>
      </c>
      <c r="AS3093" s="1078" t="str">
        <f t="shared" si="394"/>
        <v>488/458/OFF</v>
      </c>
      <c r="AT3093" s="1078">
        <f t="shared" si="395"/>
        <v>102.5</v>
      </c>
      <c r="AV3093" s="1078" t="str">
        <f t="shared" si="388"/>
        <v>114.4.30</v>
      </c>
      <c r="AW3093" s="1344">
        <f t="shared" si="389"/>
        <v>45777</v>
      </c>
    </row>
    <row r="3094" spans="1:49">
      <c r="A3094" s="1077" t="s">
        <v>15265</v>
      </c>
      <c r="B3094" s="1077" t="s">
        <v>467</v>
      </c>
      <c r="C3094" s="1077">
        <v>650</v>
      </c>
      <c r="D3094" s="1077">
        <v>1.8</v>
      </c>
      <c r="E3094" s="1077" t="s">
        <v>15122</v>
      </c>
      <c r="F3094" s="1077" t="s">
        <v>648</v>
      </c>
      <c r="G3094" s="1077" t="s">
        <v>6865</v>
      </c>
      <c r="H3094" s="1077" t="s">
        <v>15266</v>
      </c>
      <c r="I3094" s="1077" t="s">
        <v>6878</v>
      </c>
      <c r="J3094" s="1077">
        <v>3.7</v>
      </c>
      <c r="K3094" s="1077" t="s">
        <v>8000</v>
      </c>
      <c r="L3094" s="1077" t="s">
        <v>6291</v>
      </c>
      <c r="M3094" s="1077">
        <v>295.10000000000002</v>
      </c>
      <c r="N3094" s="1077" t="s">
        <v>945</v>
      </c>
      <c r="O3094" s="1077">
        <v>7.3775000000000013</v>
      </c>
      <c r="P3094" s="1077">
        <v>5.9020000000000001</v>
      </c>
      <c r="Q3094" s="1077">
        <v>4</v>
      </c>
      <c r="R3094" s="1077">
        <v>17.399999999999999</v>
      </c>
      <c r="T3094" s="1077">
        <v>31</v>
      </c>
      <c r="U3094" s="1077">
        <v>3.5</v>
      </c>
      <c r="V3094" s="1077" t="s">
        <v>648</v>
      </c>
      <c r="W3094" s="1077" t="s">
        <v>6880</v>
      </c>
      <c r="X3094" s="1077">
        <v>40</v>
      </c>
      <c r="Y3094" s="1077">
        <v>1</v>
      </c>
      <c r="Z3094" s="1077" t="s">
        <v>648</v>
      </c>
      <c r="AA3094" s="1077" t="s">
        <v>15267</v>
      </c>
      <c r="AH3094" s="1077" t="s">
        <v>456</v>
      </c>
      <c r="AI3094" s="1077">
        <v>91.34</v>
      </c>
      <c r="AJ3094" s="1077">
        <v>-0.48</v>
      </c>
      <c r="AK3094" s="1077">
        <v>1.81</v>
      </c>
      <c r="AM3094" s="1078" t="s">
        <v>15086</v>
      </c>
      <c r="AN3094" s="1078" t="s">
        <v>15268</v>
      </c>
      <c r="AO3094" s="1078">
        <f t="shared" si="390"/>
        <v>650</v>
      </c>
      <c r="AP3094" s="1078">
        <f t="shared" si="391"/>
        <v>1.8</v>
      </c>
      <c r="AQ3094" s="1078" t="str">
        <f t="shared" si="392"/>
        <v>1-5-1S91°Z+S</v>
      </c>
      <c r="AR3094" s="1078" t="str">
        <f t="shared" si="393"/>
        <v>NA</v>
      </c>
      <c r="AS3094" s="1078" t="str">
        <f t="shared" si="394"/>
        <v>350/320OFF</v>
      </c>
      <c r="AT3094" s="1078" t="str">
        <f t="shared" si="395"/>
        <v>1-5-1S91°Z+S</v>
      </c>
      <c r="AU3094" s="1078" t="s">
        <v>15547</v>
      </c>
      <c r="AV3094" s="1078" t="str">
        <f t="shared" si="388"/>
        <v>114.5.5</v>
      </c>
      <c r="AW3094" s="1344">
        <f t="shared" si="389"/>
        <v>45782</v>
      </c>
    </row>
    <row r="3095" spans="1:49">
      <c r="A3095" s="1077" t="s">
        <v>15269</v>
      </c>
      <c r="B3095" s="1077" t="s">
        <v>7214</v>
      </c>
      <c r="C3095" s="1077">
        <v>500</v>
      </c>
      <c r="D3095" s="1077">
        <v>1.76</v>
      </c>
      <c r="E3095" s="1077" t="s">
        <v>15109</v>
      </c>
      <c r="F3095" s="1077" t="s">
        <v>648</v>
      </c>
      <c r="G3095" s="1077">
        <v>5</v>
      </c>
      <c r="H3095" s="1077" t="s">
        <v>4776</v>
      </c>
      <c r="I3095" s="1077" t="s">
        <v>7921</v>
      </c>
      <c r="J3095" s="1077">
        <v>3</v>
      </c>
      <c r="K3095" s="1077" t="s">
        <v>15270</v>
      </c>
      <c r="L3095" s="1077" t="s">
        <v>6043</v>
      </c>
      <c r="M3095" s="1077">
        <v>308</v>
      </c>
      <c r="N3095" s="1077" t="s">
        <v>945</v>
      </c>
      <c r="O3095" s="1077">
        <v>7.7</v>
      </c>
      <c r="P3095" s="1077">
        <v>6.16</v>
      </c>
      <c r="Q3095" s="1077">
        <v>4</v>
      </c>
      <c r="R3095" s="1077">
        <v>22</v>
      </c>
      <c r="T3095" s="1077">
        <v>23.5</v>
      </c>
      <c r="U3095" s="1077">
        <v>4</v>
      </c>
      <c r="V3095" s="1077" t="s">
        <v>648</v>
      </c>
      <c r="W3095" s="1077">
        <v>135</v>
      </c>
      <c r="X3095" s="1077">
        <v>90</v>
      </c>
      <c r="Y3095" s="1077">
        <v>1.4</v>
      </c>
      <c r="Z3095" s="1077" t="s">
        <v>648</v>
      </c>
      <c r="AA3095" s="1077" t="s">
        <v>15240</v>
      </c>
      <c r="AH3095" s="1077" t="s">
        <v>647</v>
      </c>
      <c r="AI3095" s="1077">
        <v>96.23</v>
      </c>
      <c r="AJ3095" s="1077">
        <v>0.41</v>
      </c>
      <c r="AK3095" s="1077">
        <v>0.85</v>
      </c>
      <c r="AM3095" s="1078" t="s">
        <v>15084</v>
      </c>
      <c r="AN3095" s="1078" t="s">
        <v>15271</v>
      </c>
      <c r="AO3095" s="1078">
        <f t="shared" si="390"/>
        <v>500</v>
      </c>
      <c r="AP3095" s="1078">
        <f t="shared" si="391"/>
        <v>1.76</v>
      </c>
      <c r="AQ3095" s="1078" t="str">
        <f t="shared" si="392"/>
        <v>1-5-1S85°Z+S</v>
      </c>
      <c r="AR3095" s="1078" t="str">
        <f t="shared" si="393"/>
        <v>NA</v>
      </c>
      <c r="AS3095" s="1078" t="str">
        <f t="shared" si="394"/>
        <v>178/OFF</v>
      </c>
      <c r="AT3095" s="1078" t="str">
        <f t="shared" si="395"/>
        <v>1-5-1S85°Z+S</v>
      </c>
      <c r="AU3095" s="1078" t="s">
        <v>15547</v>
      </c>
      <c r="AV3095" s="1078" t="str">
        <f t="shared" si="388"/>
        <v>114.5.2</v>
      </c>
      <c r="AW3095" s="1344">
        <f t="shared" si="389"/>
        <v>45779</v>
      </c>
    </row>
    <row r="3096" spans="1:49">
      <c r="A3096" s="1077" t="s">
        <v>15272</v>
      </c>
      <c r="B3096" s="1077" t="s">
        <v>654</v>
      </c>
      <c r="C3096" s="1077">
        <v>550</v>
      </c>
      <c r="D3096" s="1077">
        <v>1.7150000000000001</v>
      </c>
      <c r="E3096" s="1077" t="s">
        <v>15121</v>
      </c>
      <c r="F3096" s="1077" t="s">
        <v>648</v>
      </c>
      <c r="G3096" s="1077">
        <v>5.5</v>
      </c>
      <c r="H3096" s="1077" t="s">
        <v>9052</v>
      </c>
      <c r="I3096" s="1077" t="s">
        <v>471</v>
      </c>
      <c r="J3096" s="1077">
        <v>0.8</v>
      </c>
      <c r="K3096" s="1077" t="s">
        <v>15273</v>
      </c>
      <c r="L3096" s="1077" t="s">
        <v>8730</v>
      </c>
      <c r="M3096" s="1077">
        <v>462</v>
      </c>
      <c r="N3096" s="1077" t="s">
        <v>945</v>
      </c>
      <c r="O3096" s="1077">
        <v>11.55</v>
      </c>
      <c r="P3096" s="1077">
        <v>9.24</v>
      </c>
      <c r="Q3096" s="1077">
        <v>3.5</v>
      </c>
      <c r="R3096" s="1077">
        <v>20.100000000000001</v>
      </c>
      <c r="T3096" s="1077">
        <v>25.7</v>
      </c>
      <c r="U3096" s="1077">
        <v>3</v>
      </c>
      <c r="V3096" s="1077" t="s">
        <v>648</v>
      </c>
      <c r="W3096" s="1077" t="s">
        <v>648</v>
      </c>
      <c r="X3096" s="1077" t="s">
        <v>648</v>
      </c>
      <c r="Y3096" s="1077">
        <v>1.5</v>
      </c>
      <c r="Z3096" s="1077" t="s">
        <v>648</v>
      </c>
      <c r="AA3096" s="1077" t="s">
        <v>15274</v>
      </c>
      <c r="AH3096" s="1077" t="s">
        <v>1178</v>
      </c>
      <c r="AI3096" s="1077" t="s">
        <v>2185</v>
      </c>
      <c r="AM3096" s="1078" t="s">
        <v>15044</v>
      </c>
      <c r="AN3096" s="1078" t="s">
        <v>15275</v>
      </c>
      <c r="AO3096" s="1078">
        <f t="shared" si="390"/>
        <v>550</v>
      </c>
      <c r="AP3096" s="1078">
        <f t="shared" si="391"/>
        <v>1.7150000000000001</v>
      </c>
      <c r="AQ3096" s="1078" t="str">
        <f t="shared" si="392"/>
        <v>1-5-1S85°S+Z</v>
      </c>
      <c r="AR3096" s="1078" t="str">
        <f t="shared" si="393"/>
        <v>NA</v>
      </c>
      <c r="AS3096" s="1078" t="str">
        <f t="shared" si="394"/>
        <v>182/170</v>
      </c>
      <c r="AT3096" s="1078" t="str">
        <f t="shared" si="395"/>
        <v>1-5-1S85°S+Z</v>
      </c>
      <c r="AU3096" s="1078" t="s">
        <v>15550</v>
      </c>
      <c r="AV3096" s="1078" t="str">
        <f t="shared" si="388"/>
        <v>114.4.23</v>
      </c>
      <c r="AW3096" s="1344">
        <f t="shared" si="389"/>
        <v>45770</v>
      </c>
    </row>
    <row r="3097" spans="1:49">
      <c r="A3097" s="1077" t="s">
        <v>15276</v>
      </c>
      <c r="B3097" s="1077" t="s">
        <v>8438</v>
      </c>
      <c r="C3097" s="1077">
        <v>600</v>
      </c>
      <c r="D3097" s="1077">
        <v>1.75</v>
      </c>
      <c r="E3097" s="1077" t="s">
        <v>15094</v>
      </c>
      <c r="F3097" s="1077" t="s">
        <v>954</v>
      </c>
      <c r="G3097" s="1077">
        <v>5</v>
      </c>
      <c r="H3097" s="1077" t="s">
        <v>8642</v>
      </c>
      <c r="I3097" s="1077" t="s">
        <v>460</v>
      </c>
      <c r="J3097" s="1077">
        <v>2.2000000000000002</v>
      </c>
      <c r="K3097" s="1077" t="s">
        <v>15277</v>
      </c>
      <c r="L3097" s="1077" t="s">
        <v>8571</v>
      </c>
      <c r="M3097" s="1077">
        <v>166.5</v>
      </c>
      <c r="N3097" s="1077" t="s">
        <v>945</v>
      </c>
      <c r="O3097" s="1077">
        <v>4.1625000000000005</v>
      </c>
      <c r="P3097" s="1077">
        <v>3.33</v>
      </c>
      <c r="Q3097" s="1077">
        <v>3</v>
      </c>
      <c r="R3097" s="1077">
        <v>23.8</v>
      </c>
      <c r="T3097" s="1077">
        <v>11.2</v>
      </c>
      <c r="U3097" s="1077">
        <v>3.5</v>
      </c>
      <c r="V3097" s="1077" t="s">
        <v>648</v>
      </c>
      <c r="W3097" s="1077">
        <v>105</v>
      </c>
      <c r="X3097" s="1077">
        <v>50</v>
      </c>
      <c r="Y3097" s="1077">
        <v>1.4</v>
      </c>
      <c r="Z3097" s="1077">
        <v>5</v>
      </c>
      <c r="AA3097" s="1077" t="s">
        <v>15278</v>
      </c>
      <c r="AB3097" s="1077" t="s">
        <v>2162</v>
      </c>
      <c r="AH3097" s="1077" t="s">
        <v>958</v>
      </c>
      <c r="AI3097" s="1077">
        <v>91.44</v>
      </c>
      <c r="AJ3097" s="1077">
        <v>-1.99</v>
      </c>
      <c r="AK3097" s="1077">
        <v>6.84</v>
      </c>
      <c r="AM3097" s="1078" t="s">
        <v>15048</v>
      </c>
      <c r="AN3097" s="1078" t="s">
        <v>15279</v>
      </c>
      <c r="AO3097" s="1078">
        <f t="shared" si="390"/>
        <v>600</v>
      </c>
      <c r="AP3097" s="1078">
        <f t="shared" si="391"/>
        <v>1.75</v>
      </c>
      <c r="AQ3097" s="1078" t="str">
        <f t="shared" si="392"/>
        <v>1-5-1S91°</v>
      </c>
      <c r="AR3097" s="1078" t="str">
        <f t="shared" si="393"/>
        <v>31</v>
      </c>
      <c r="AS3097" s="1078" t="str">
        <f t="shared" si="394"/>
        <v>315/315/160</v>
      </c>
      <c r="AT3097" s="1078" t="str">
        <f t="shared" si="395"/>
        <v>1-5-1S91°</v>
      </c>
      <c r="AV3097" s="1078" t="str">
        <f t="shared" si="388"/>
        <v>114.5.1</v>
      </c>
      <c r="AW3097" s="1344">
        <f t="shared" si="389"/>
        <v>45778</v>
      </c>
    </row>
    <row r="3098" spans="1:49">
      <c r="A3098" s="1077" t="s">
        <v>15295</v>
      </c>
      <c r="B3098" s="1077" t="s">
        <v>15289</v>
      </c>
      <c r="C3098" s="1077">
        <v>500</v>
      </c>
      <c r="D3098" s="1077">
        <v>1.7</v>
      </c>
      <c r="E3098" s="1077" t="s">
        <v>15090</v>
      </c>
      <c r="F3098" s="1077" t="s">
        <v>648</v>
      </c>
      <c r="G3098" s="1077" t="s">
        <v>1001</v>
      </c>
      <c r="H3098" s="1077" t="s">
        <v>2931</v>
      </c>
      <c r="I3098" s="1077" t="s">
        <v>126</v>
      </c>
      <c r="J3098" s="1077">
        <v>0.5</v>
      </c>
      <c r="K3098" s="1077" t="s">
        <v>15296</v>
      </c>
      <c r="L3098" s="1077" t="s">
        <v>15297</v>
      </c>
      <c r="M3098" s="1077">
        <v>52.1</v>
      </c>
      <c r="N3098" s="1077" t="s">
        <v>945</v>
      </c>
      <c r="O3098" s="1077">
        <v>1.3025000000000002</v>
      </c>
      <c r="P3098" s="1077">
        <v>1.042</v>
      </c>
      <c r="Q3098" s="1077">
        <v>4</v>
      </c>
      <c r="R3098" s="1077">
        <v>22</v>
      </c>
      <c r="T3098" s="1077">
        <v>25</v>
      </c>
      <c r="U3098" s="1077">
        <v>3</v>
      </c>
      <c r="V3098" s="1077" t="s">
        <v>648</v>
      </c>
      <c r="W3098" s="1077">
        <v>125</v>
      </c>
      <c r="X3098" s="1077">
        <v>65</v>
      </c>
      <c r="Y3098" s="1077">
        <v>1.8</v>
      </c>
      <c r="Z3098" s="1077">
        <v>4</v>
      </c>
      <c r="AA3098" s="1077" t="s">
        <v>15298</v>
      </c>
      <c r="AH3098" s="1077" t="s">
        <v>877</v>
      </c>
      <c r="AJ3098" s="1077">
        <v>93.03</v>
      </c>
      <c r="AK3098" s="1077">
        <v>-0.54</v>
      </c>
      <c r="AL3098" s="1077">
        <v>2.65</v>
      </c>
      <c r="AM3098" s="1078" t="s">
        <v>15287</v>
      </c>
      <c r="AN3098" s="1078" t="s">
        <v>15324</v>
      </c>
      <c r="AO3098" s="1078">
        <f t="shared" si="390"/>
        <v>500</v>
      </c>
      <c r="AP3098" s="1078">
        <f t="shared" si="391"/>
        <v>1.7</v>
      </c>
      <c r="AQ3098" s="1078" t="str">
        <f t="shared" si="392"/>
        <v>1-5-1S85°</v>
      </c>
      <c r="AR3098" s="1078" t="str">
        <f t="shared" si="393"/>
        <v>NA</v>
      </c>
      <c r="AS3098" s="1078" t="str">
        <f t="shared" si="394"/>
        <v>195/OFF</v>
      </c>
      <c r="AT3098" s="1078" t="str">
        <f t="shared" si="395"/>
        <v>1-5-1S85°</v>
      </c>
      <c r="AV3098" s="1078" t="str">
        <f t="shared" si="388"/>
        <v>114.5.15</v>
      </c>
      <c r="AW3098" s="1344">
        <f t="shared" si="389"/>
        <v>45792</v>
      </c>
    </row>
    <row r="3099" spans="1:49">
      <c r="A3099" s="1077" t="s">
        <v>15299</v>
      </c>
      <c r="B3099" s="1077" t="s">
        <v>424</v>
      </c>
      <c r="C3099" s="1077">
        <v>740</v>
      </c>
      <c r="D3099" s="1077">
        <v>1.7849999999999999</v>
      </c>
      <c r="E3099" s="1077" t="s">
        <v>15089</v>
      </c>
      <c r="F3099" s="1077" t="s">
        <v>954</v>
      </c>
      <c r="G3099" s="1077" t="s">
        <v>1767</v>
      </c>
      <c r="H3099" s="1077" t="s">
        <v>15300</v>
      </c>
      <c r="I3099" s="1077" t="s">
        <v>126</v>
      </c>
      <c r="J3099" s="1077">
        <v>1.8</v>
      </c>
      <c r="K3099" s="1077" t="s">
        <v>15301</v>
      </c>
      <c r="L3099" s="1077" t="s">
        <v>1968</v>
      </c>
      <c r="M3099" s="1077">
        <v>73</v>
      </c>
      <c r="N3099" s="1077" t="s">
        <v>945</v>
      </c>
      <c r="O3099" s="1077">
        <v>1.8250000000000002</v>
      </c>
      <c r="P3099" s="1077">
        <v>1.46</v>
      </c>
      <c r="Q3099" s="1077">
        <v>4</v>
      </c>
      <c r="R3099" s="1077">
        <v>21.6</v>
      </c>
      <c r="T3099" s="1077">
        <v>32</v>
      </c>
      <c r="U3099" s="1077">
        <v>3.5</v>
      </c>
      <c r="V3099" s="1077" t="s">
        <v>648</v>
      </c>
      <c r="W3099" s="1077">
        <v>110</v>
      </c>
      <c r="X3099" s="1077">
        <v>60</v>
      </c>
      <c r="Y3099" s="1077">
        <v>1.5</v>
      </c>
      <c r="Z3099" s="1077">
        <v>5.5</v>
      </c>
      <c r="AA3099" s="1077" t="s">
        <v>15302</v>
      </c>
      <c r="AH3099" s="1077" t="s">
        <v>1482</v>
      </c>
      <c r="AI3099" s="1077">
        <v>92.28</v>
      </c>
      <c r="AJ3099" s="1077">
        <v>-0.3</v>
      </c>
      <c r="AK3099" s="1077">
        <v>0.91</v>
      </c>
      <c r="AM3099" s="1078" t="s">
        <v>15281</v>
      </c>
      <c r="AN3099" s="1078" t="s">
        <v>15325</v>
      </c>
      <c r="AO3099" s="1078">
        <f t="shared" si="390"/>
        <v>740</v>
      </c>
      <c r="AP3099" s="1078">
        <f t="shared" si="391"/>
        <v>1.7849999999999999</v>
      </c>
      <c r="AQ3099" s="1078" t="str">
        <f t="shared" si="392"/>
        <v>1-4-1S83°</v>
      </c>
      <c r="AR3099" s="1078" t="str">
        <f t="shared" si="393"/>
        <v>31</v>
      </c>
      <c r="AS3099" s="1078" t="str">
        <f t="shared" si="394"/>
        <v>276/276/OFF</v>
      </c>
      <c r="AT3099" s="1078" t="str">
        <f t="shared" si="395"/>
        <v>1-4-1S83°</v>
      </c>
      <c r="AV3099" s="1078" t="str">
        <f t="shared" si="388"/>
        <v>114.5.8</v>
      </c>
      <c r="AW3099" s="1344">
        <f t="shared" si="389"/>
        <v>45785</v>
      </c>
    </row>
    <row r="3100" spans="1:49">
      <c r="A3100" s="1077" t="s">
        <v>15303</v>
      </c>
      <c r="B3100" s="1077" t="s">
        <v>15285</v>
      </c>
      <c r="C3100" s="1077">
        <v>500</v>
      </c>
      <c r="D3100" s="1077">
        <v>1.68</v>
      </c>
      <c r="E3100" s="1077" t="s">
        <v>15552</v>
      </c>
      <c r="F3100" s="1077" t="s">
        <v>648</v>
      </c>
      <c r="G3100" s="1077" t="s">
        <v>940</v>
      </c>
      <c r="H3100" s="1077" t="s">
        <v>6417</v>
      </c>
      <c r="I3100" s="1077" t="s">
        <v>126</v>
      </c>
      <c r="J3100" s="1077">
        <v>0.7</v>
      </c>
      <c r="K3100" s="1077" t="s">
        <v>15304</v>
      </c>
      <c r="L3100" s="1077" t="s">
        <v>15305</v>
      </c>
      <c r="M3100" s="1077">
        <v>75.400000000000006</v>
      </c>
      <c r="N3100" s="1077" t="s">
        <v>945</v>
      </c>
      <c r="O3100" s="1077">
        <v>1.8850000000000002</v>
      </c>
      <c r="P3100" s="1077">
        <v>1.5080000000000002</v>
      </c>
      <c r="Q3100" s="1077">
        <v>4</v>
      </c>
      <c r="R3100" s="1077">
        <v>21</v>
      </c>
      <c r="T3100" s="1077">
        <v>27</v>
      </c>
      <c r="U3100" s="1077">
        <v>2.9</v>
      </c>
      <c r="V3100" s="1077" t="s">
        <v>648</v>
      </c>
      <c r="W3100" s="1077">
        <v>110</v>
      </c>
      <c r="X3100" s="1077">
        <v>70</v>
      </c>
      <c r="Y3100" s="1077">
        <v>1.5</v>
      </c>
      <c r="Z3100" s="1077">
        <v>5</v>
      </c>
      <c r="AA3100" s="1077" t="s">
        <v>15306</v>
      </c>
      <c r="AH3100" s="1077" t="s">
        <v>868</v>
      </c>
      <c r="AI3100" s="1077">
        <v>92.66</v>
      </c>
      <c r="AJ3100" s="1077">
        <v>-0.15</v>
      </c>
      <c r="AK3100" s="1077">
        <v>4.45</v>
      </c>
      <c r="AM3100" s="1078" t="s">
        <v>15282</v>
      </c>
      <c r="AN3100" s="1078" t="s">
        <v>15326</v>
      </c>
      <c r="AO3100" s="1078">
        <f t="shared" si="390"/>
        <v>500</v>
      </c>
      <c r="AP3100" s="1078">
        <f t="shared" si="391"/>
        <v>1.68</v>
      </c>
      <c r="AQ3100" s="1078" t="str">
        <f t="shared" si="392"/>
        <v>1-5-1S85°Z撚</v>
      </c>
      <c r="AR3100" s="1078" t="str">
        <f t="shared" si="393"/>
        <v>NA</v>
      </c>
      <c r="AS3100" s="1078" t="str">
        <f t="shared" si="394"/>
        <v>205/OFF</v>
      </c>
      <c r="AT3100" s="1078" t="str">
        <f t="shared" si="395"/>
        <v>1-5-1S85°Z撚</v>
      </c>
      <c r="AU3100" s="1078" t="s">
        <v>15553</v>
      </c>
      <c r="AV3100" s="1078" t="str">
        <f t="shared" si="388"/>
        <v>114.5.9</v>
      </c>
      <c r="AW3100" s="1344">
        <f t="shared" si="389"/>
        <v>45786</v>
      </c>
    </row>
    <row r="3101" spans="1:49">
      <c r="A3101" s="1077" t="s">
        <v>15307</v>
      </c>
      <c r="B3101" s="1077" t="s">
        <v>453</v>
      </c>
      <c r="C3101" s="1077">
        <v>650</v>
      </c>
      <c r="D3101" s="1077">
        <v>1.72</v>
      </c>
      <c r="E3101" s="1077" t="s">
        <v>15089</v>
      </c>
      <c r="F3101" s="1077" t="s">
        <v>1773</v>
      </c>
      <c r="G3101" s="1077" t="s">
        <v>1767</v>
      </c>
      <c r="H3101" s="1077" t="s">
        <v>1029</v>
      </c>
      <c r="I3101" s="1077" t="s">
        <v>126</v>
      </c>
      <c r="J3101" s="1077">
        <v>0.8</v>
      </c>
      <c r="K3101" s="1077" t="s">
        <v>15308</v>
      </c>
      <c r="L3101" s="1077" t="s">
        <v>1821</v>
      </c>
      <c r="M3101" s="1077">
        <v>74.8</v>
      </c>
      <c r="N3101" s="1077" t="s">
        <v>945</v>
      </c>
      <c r="O3101" s="1077">
        <v>1.87</v>
      </c>
      <c r="P3101" s="1077">
        <v>1.496</v>
      </c>
      <c r="Q3101" s="1077">
        <v>4</v>
      </c>
      <c r="R3101" s="1077">
        <v>23</v>
      </c>
      <c r="T3101" s="1077">
        <v>18.600000000000001</v>
      </c>
      <c r="U3101" s="1077">
        <v>3.5</v>
      </c>
      <c r="V3101" s="1077" t="s">
        <v>648</v>
      </c>
      <c r="W3101" s="1077">
        <v>105</v>
      </c>
      <c r="X3101" s="1077">
        <v>80</v>
      </c>
      <c r="Y3101" s="1077">
        <v>2</v>
      </c>
      <c r="Z3101" s="1077">
        <v>4.5</v>
      </c>
      <c r="AA3101" s="1077" t="s">
        <v>15302</v>
      </c>
      <c r="AH3101" s="1077" t="s">
        <v>813</v>
      </c>
      <c r="AI3101" s="1077">
        <v>93.29</v>
      </c>
      <c r="AJ3101" s="1077">
        <v>-0.19</v>
      </c>
      <c r="AK3101" s="1077">
        <v>1.08</v>
      </c>
      <c r="AM3101" s="1078" t="s">
        <v>15280</v>
      </c>
      <c r="AN3101" s="1078" t="s">
        <v>15327</v>
      </c>
      <c r="AO3101" s="1078">
        <f t="shared" si="390"/>
        <v>650</v>
      </c>
      <c r="AP3101" s="1078">
        <f t="shared" si="391"/>
        <v>1.72</v>
      </c>
      <c r="AQ3101" s="1078" t="str">
        <f t="shared" si="392"/>
        <v>1-4-1S83°</v>
      </c>
      <c r="AR3101" s="1078" t="str">
        <f t="shared" si="393"/>
        <v>30.2</v>
      </c>
      <c r="AS3101" s="1078" t="str">
        <f t="shared" si="394"/>
        <v>250/250/OFF</v>
      </c>
      <c r="AT3101" s="1078" t="str">
        <f t="shared" si="395"/>
        <v>1-4-1S83°</v>
      </c>
      <c r="AV3101" s="1078" t="str">
        <f t="shared" si="388"/>
        <v>114.5.8</v>
      </c>
      <c r="AW3101" s="1344">
        <f t="shared" si="389"/>
        <v>45785</v>
      </c>
    </row>
    <row r="3102" spans="1:49">
      <c r="A3102" s="1077" t="s">
        <v>15309</v>
      </c>
      <c r="B3102" s="1077" t="s">
        <v>1815</v>
      </c>
      <c r="C3102" s="1077">
        <v>650</v>
      </c>
      <c r="D3102" s="1077">
        <v>1.7350000000000001</v>
      </c>
      <c r="E3102" s="1077" t="s">
        <v>15098</v>
      </c>
      <c r="F3102" s="1077" t="s">
        <v>954</v>
      </c>
      <c r="G3102" s="1077" t="s">
        <v>1767</v>
      </c>
      <c r="H3102" s="1077" t="s">
        <v>1793</v>
      </c>
      <c r="I3102" s="1077" t="s">
        <v>126</v>
      </c>
      <c r="J3102" s="1077">
        <v>0.9</v>
      </c>
      <c r="K3102" s="1077" t="s">
        <v>2153</v>
      </c>
      <c r="L3102" s="1077" t="s">
        <v>1817</v>
      </c>
      <c r="M3102" s="1077">
        <v>75.099999999999994</v>
      </c>
      <c r="N3102" s="1077" t="s">
        <v>945</v>
      </c>
      <c r="O3102" s="1077">
        <v>1.8774999999999999</v>
      </c>
      <c r="P3102" s="1077">
        <v>1.502</v>
      </c>
      <c r="Q3102" s="1077">
        <v>4</v>
      </c>
      <c r="R3102" s="1077">
        <v>19</v>
      </c>
      <c r="T3102" s="1077">
        <v>21</v>
      </c>
      <c r="U3102" s="1077">
        <v>3.5</v>
      </c>
      <c r="V3102" s="1077" t="s">
        <v>648</v>
      </c>
      <c r="W3102" s="1077">
        <v>110</v>
      </c>
      <c r="X3102" s="1077">
        <v>65</v>
      </c>
      <c r="Y3102" s="1077">
        <v>1.6</v>
      </c>
      <c r="Z3102" s="1077">
        <v>4</v>
      </c>
      <c r="AA3102" s="1077" t="s">
        <v>15310</v>
      </c>
      <c r="AH3102" s="1077" t="s">
        <v>1186</v>
      </c>
      <c r="AI3102" s="1077">
        <v>94.51</v>
      </c>
      <c r="AJ3102" s="1077">
        <v>-0.76</v>
      </c>
      <c r="AK3102" s="1077">
        <v>2.23</v>
      </c>
      <c r="AM3102" s="1078" t="s">
        <v>15284</v>
      </c>
      <c r="AN3102" s="1078" t="s">
        <v>15328</v>
      </c>
      <c r="AO3102" s="1078">
        <f t="shared" si="390"/>
        <v>650</v>
      </c>
      <c r="AP3102" s="1078">
        <f t="shared" si="391"/>
        <v>1.7350000000000001</v>
      </c>
      <c r="AQ3102" s="1078" t="str">
        <f t="shared" si="392"/>
        <v>1-4-1S91°</v>
      </c>
      <c r="AR3102" s="1078" t="str">
        <f t="shared" si="393"/>
        <v>31</v>
      </c>
      <c r="AS3102" s="1078" t="str">
        <f t="shared" si="394"/>
        <v>270/270/OFF</v>
      </c>
      <c r="AT3102" s="1078" t="str">
        <f t="shared" si="395"/>
        <v>1-4-1S91°</v>
      </c>
      <c r="AV3102" s="1078" t="str">
        <f t="shared" si="388"/>
        <v>114.5.10</v>
      </c>
      <c r="AW3102" s="1344">
        <f t="shared" si="389"/>
        <v>45787</v>
      </c>
    </row>
    <row r="3103" spans="1:49">
      <c r="A3103" s="1077" t="s">
        <v>15311</v>
      </c>
      <c r="B3103" s="1077" t="s">
        <v>617</v>
      </c>
      <c r="C3103" s="1077">
        <v>600</v>
      </c>
      <c r="D3103" s="1077">
        <v>1.75</v>
      </c>
      <c r="E3103" s="1077" t="s">
        <v>15094</v>
      </c>
      <c r="F3103" s="1077" t="s">
        <v>984</v>
      </c>
      <c r="G3103" s="1077">
        <v>5</v>
      </c>
      <c r="H3103" s="1077" t="s">
        <v>955</v>
      </c>
      <c r="I3103" s="1077" t="s">
        <v>126</v>
      </c>
      <c r="J3103" s="1077">
        <v>2.7</v>
      </c>
      <c r="K3103" s="1077" t="s">
        <v>6835</v>
      </c>
      <c r="L3103" s="1077" t="s">
        <v>4854</v>
      </c>
      <c r="M3103" s="1077">
        <v>150.30000000000001</v>
      </c>
      <c r="N3103" s="1077" t="s">
        <v>945</v>
      </c>
      <c r="O3103" s="1077">
        <v>3.7575000000000003</v>
      </c>
      <c r="P3103" s="1077">
        <v>3.0060000000000002</v>
      </c>
      <c r="Q3103" s="1077">
        <v>3</v>
      </c>
      <c r="R3103" s="1077">
        <v>31</v>
      </c>
      <c r="T3103" s="1077">
        <v>13</v>
      </c>
      <c r="U3103" s="1077">
        <v>7</v>
      </c>
      <c r="V3103" s="1077" t="s">
        <v>648</v>
      </c>
      <c r="W3103" s="1077">
        <v>115</v>
      </c>
      <c r="X3103" s="1077">
        <v>50</v>
      </c>
      <c r="Y3103" s="1077">
        <v>1.7</v>
      </c>
      <c r="Z3103" s="1077">
        <v>6.5</v>
      </c>
      <c r="AA3103" s="1077" t="s">
        <v>15306</v>
      </c>
      <c r="AH3103" s="1077" t="s">
        <v>3213</v>
      </c>
      <c r="AI3103" s="1077">
        <v>92.69</v>
      </c>
      <c r="AJ3103" s="1077">
        <v>-0.71</v>
      </c>
      <c r="AK3103" s="1077">
        <v>4.28</v>
      </c>
      <c r="AM3103" s="1078" t="s">
        <v>15283</v>
      </c>
      <c r="AN3103" s="1078" t="s">
        <v>15329</v>
      </c>
      <c r="AO3103" s="1078">
        <f t="shared" si="390"/>
        <v>600</v>
      </c>
      <c r="AP3103" s="1078">
        <f t="shared" si="391"/>
        <v>1.75</v>
      </c>
      <c r="AQ3103" s="1078" t="str">
        <f t="shared" si="392"/>
        <v>1-5-1S91°</v>
      </c>
      <c r="AR3103" s="1078" t="str">
        <f t="shared" si="393"/>
        <v>30</v>
      </c>
      <c r="AS3103" s="1078" t="str">
        <f t="shared" si="394"/>
        <v>260/260/OFF</v>
      </c>
      <c r="AT3103" s="1078" t="str">
        <f t="shared" si="395"/>
        <v>1-5-1S91°</v>
      </c>
      <c r="AV3103" s="1078" t="str">
        <f t="shared" si="388"/>
        <v>114.5.9</v>
      </c>
      <c r="AW3103" s="1344">
        <f t="shared" si="389"/>
        <v>45786</v>
      </c>
    </row>
    <row r="3104" spans="1:49">
      <c r="A3104" s="1077" t="s">
        <v>15312</v>
      </c>
      <c r="B3104" s="1077" t="s">
        <v>467</v>
      </c>
      <c r="C3104" s="1077">
        <v>600</v>
      </c>
      <c r="D3104" s="1077">
        <v>1.8</v>
      </c>
      <c r="E3104" s="1077" t="s">
        <v>15122</v>
      </c>
      <c r="F3104" s="1077" t="s">
        <v>648</v>
      </c>
      <c r="G3104" s="1077" t="s">
        <v>6865</v>
      </c>
      <c r="H3104" s="1077" t="s">
        <v>15313</v>
      </c>
      <c r="I3104" s="1077" t="s">
        <v>6967</v>
      </c>
      <c r="J3104" s="1077">
        <v>3.7</v>
      </c>
      <c r="K3104" s="1077" t="s">
        <v>15314</v>
      </c>
      <c r="L3104" s="1077" t="s">
        <v>6291</v>
      </c>
      <c r="M3104" s="1077">
        <v>295.10000000000002</v>
      </c>
      <c r="N3104" s="1077" t="s">
        <v>945</v>
      </c>
      <c r="O3104" s="1077">
        <v>7.3775000000000013</v>
      </c>
      <c r="P3104" s="1077">
        <v>5.9020000000000001</v>
      </c>
      <c r="Q3104" s="1077">
        <v>4</v>
      </c>
      <c r="R3104" s="1077">
        <v>17.399999999999999</v>
      </c>
      <c r="T3104" s="1077">
        <v>31</v>
      </c>
      <c r="U3104" s="1077">
        <v>3.5</v>
      </c>
      <c r="V3104" s="1077" t="s">
        <v>648</v>
      </c>
      <c r="W3104" s="1077" t="s">
        <v>6880</v>
      </c>
      <c r="X3104" s="1077">
        <v>40</v>
      </c>
      <c r="Y3104" s="1077">
        <v>1</v>
      </c>
      <c r="Z3104" s="1077" t="s">
        <v>648</v>
      </c>
      <c r="AA3104" s="1077" t="s">
        <v>15298</v>
      </c>
      <c r="AH3104" s="1077" t="s">
        <v>483</v>
      </c>
      <c r="AI3104" s="1077">
        <v>92.04</v>
      </c>
      <c r="AJ3104" s="1077">
        <v>-0.44</v>
      </c>
      <c r="AK3104" s="1077">
        <v>1.3</v>
      </c>
      <c r="AM3104" s="1078" t="s">
        <v>15291</v>
      </c>
      <c r="AN3104" s="1078" t="s">
        <v>15330</v>
      </c>
      <c r="AO3104" s="1078">
        <f t="shared" si="390"/>
        <v>600</v>
      </c>
      <c r="AP3104" s="1078">
        <f t="shared" si="391"/>
        <v>1.8</v>
      </c>
      <c r="AQ3104" s="1078" t="str">
        <f t="shared" si="392"/>
        <v>1-5-1S91°Z+S</v>
      </c>
      <c r="AR3104" s="1078" t="str">
        <f t="shared" si="393"/>
        <v>NA</v>
      </c>
      <c r="AS3104" s="1078" t="str">
        <f t="shared" si="394"/>
        <v>347/317OFF</v>
      </c>
      <c r="AT3104" s="1078" t="str">
        <f t="shared" si="395"/>
        <v>1-5-1S91°Z+S</v>
      </c>
      <c r="AU3104" s="1078" t="s">
        <v>15547</v>
      </c>
      <c r="AV3104" s="1078" t="str">
        <f t="shared" si="388"/>
        <v>114.5.15</v>
      </c>
      <c r="AW3104" s="1344">
        <f t="shared" si="389"/>
        <v>45792</v>
      </c>
    </row>
    <row r="3105" spans="1:49">
      <c r="A3105" s="1077" t="s">
        <v>15315</v>
      </c>
      <c r="B3105" s="1077" t="s">
        <v>15290</v>
      </c>
      <c r="C3105" s="1077">
        <v>500</v>
      </c>
      <c r="D3105" s="1077">
        <v>1.71</v>
      </c>
      <c r="E3105" s="1077" t="s">
        <v>15088</v>
      </c>
      <c r="F3105" s="1077" t="s">
        <v>648</v>
      </c>
      <c r="G3105" s="1077">
        <v>2</v>
      </c>
      <c r="H3105" s="1077" t="s">
        <v>941</v>
      </c>
      <c r="I3105" s="1077" t="s">
        <v>626</v>
      </c>
      <c r="J3105" s="1077">
        <v>0.9</v>
      </c>
      <c r="K3105" s="1077" t="s">
        <v>15316</v>
      </c>
      <c r="L3105" s="1077" t="s">
        <v>15317</v>
      </c>
      <c r="M3105" s="1077">
        <v>31.5</v>
      </c>
      <c r="N3105" s="1077" t="s">
        <v>945</v>
      </c>
      <c r="O3105" s="1077">
        <v>0.78750000000000009</v>
      </c>
      <c r="P3105" s="1077">
        <v>0.63</v>
      </c>
      <c r="Q3105" s="1077">
        <v>4</v>
      </c>
      <c r="R3105" s="1077">
        <v>22</v>
      </c>
      <c r="T3105" s="1077">
        <v>32</v>
      </c>
      <c r="U3105" s="1077">
        <v>3.5</v>
      </c>
      <c r="V3105" s="1077" t="s">
        <v>648</v>
      </c>
      <c r="W3105" s="1077">
        <v>150</v>
      </c>
      <c r="X3105" s="1077">
        <v>80</v>
      </c>
      <c r="Y3105" s="1077">
        <v>2.2000000000000002</v>
      </c>
      <c r="Z3105" s="1077">
        <v>4</v>
      </c>
      <c r="AA3105" s="1077" t="s">
        <v>15318</v>
      </c>
      <c r="AH3105" s="1077" t="s">
        <v>1178</v>
      </c>
      <c r="AM3105" s="1078" t="s">
        <v>15288</v>
      </c>
      <c r="AN3105" s="1078" t="s">
        <v>15331</v>
      </c>
      <c r="AO3105" s="1078">
        <f t="shared" si="390"/>
        <v>500</v>
      </c>
      <c r="AP3105" s="1078">
        <f t="shared" si="391"/>
        <v>1.71</v>
      </c>
      <c r="AQ3105" s="1078" t="str">
        <f t="shared" si="392"/>
        <v>1-4-1S85°</v>
      </c>
      <c r="AR3105" s="1078" t="str">
        <f t="shared" si="393"/>
        <v>NA</v>
      </c>
      <c r="AS3105" s="1078" t="str">
        <f t="shared" si="394"/>
        <v>185/OFF</v>
      </c>
      <c r="AT3105" s="1078" t="str">
        <f t="shared" si="395"/>
        <v>1-4-1S85°</v>
      </c>
      <c r="AV3105" s="1078" t="str">
        <f t="shared" si="388"/>
        <v>114.5.13</v>
      </c>
      <c r="AW3105" s="1344">
        <f t="shared" si="389"/>
        <v>45790</v>
      </c>
    </row>
    <row r="3106" spans="1:49">
      <c r="A3106" s="1077" t="s">
        <v>15319</v>
      </c>
      <c r="B3106" s="1077" t="s">
        <v>654</v>
      </c>
      <c r="C3106" s="1077">
        <v>550</v>
      </c>
      <c r="D3106" s="1077">
        <v>1.68</v>
      </c>
      <c r="E3106" s="1077" t="s">
        <v>15109</v>
      </c>
      <c r="F3106" s="1077" t="s">
        <v>648</v>
      </c>
      <c r="G3106" s="1077">
        <v>5.5</v>
      </c>
      <c r="H3106" s="1077" t="s">
        <v>5732</v>
      </c>
      <c r="I3106" s="1077" t="s">
        <v>643</v>
      </c>
      <c r="J3106" s="1077">
        <v>3.4</v>
      </c>
      <c r="K3106" s="1077" t="s">
        <v>9044</v>
      </c>
      <c r="L3106" s="1077" t="s">
        <v>8960</v>
      </c>
      <c r="M3106" s="1077">
        <v>427.4</v>
      </c>
      <c r="N3106" s="1077" t="s">
        <v>945</v>
      </c>
      <c r="O3106" s="1077">
        <v>10.685</v>
      </c>
      <c r="P3106" s="1077">
        <v>8.548</v>
      </c>
      <c r="Q3106" s="1077">
        <v>3.5</v>
      </c>
      <c r="R3106" s="1077">
        <v>24</v>
      </c>
      <c r="T3106" s="1077">
        <v>14.9</v>
      </c>
      <c r="U3106" s="1077">
        <v>4.2</v>
      </c>
      <c r="V3106" s="1077" t="s">
        <v>648</v>
      </c>
      <c r="W3106" s="1077">
        <v>120</v>
      </c>
      <c r="X3106" s="1077">
        <v>90</v>
      </c>
      <c r="Y3106" s="1077">
        <v>1</v>
      </c>
      <c r="Z3106" s="1077" t="s">
        <v>648</v>
      </c>
      <c r="AA3106" s="1077" t="s">
        <v>15320</v>
      </c>
      <c r="AH3106" s="1077" t="s">
        <v>782</v>
      </c>
      <c r="AI3106" s="1077">
        <v>90.74</v>
      </c>
      <c r="AJ3106" s="1077">
        <v>-0.32</v>
      </c>
      <c r="AK3106" s="1077">
        <v>1.76</v>
      </c>
      <c r="AM3106" s="1078" t="s">
        <v>15286</v>
      </c>
      <c r="AN3106" s="1078" t="s">
        <v>15332</v>
      </c>
      <c r="AO3106" s="1078">
        <f t="shared" si="390"/>
        <v>550</v>
      </c>
      <c r="AP3106" s="1078">
        <f t="shared" si="391"/>
        <v>1.68</v>
      </c>
      <c r="AQ3106" s="1078" t="str">
        <f t="shared" si="392"/>
        <v>1-5-1S85°Z+S</v>
      </c>
      <c r="AR3106" s="1078" t="str">
        <f t="shared" si="393"/>
        <v>NA</v>
      </c>
      <c r="AS3106" s="1078" t="str">
        <f t="shared" si="394"/>
        <v>183/170</v>
      </c>
      <c r="AT3106" s="1078" t="str">
        <f t="shared" si="395"/>
        <v>1-5-1S85°Z+S</v>
      </c>
      <c r="AU3106" s="1078" t="s">
        <v>15547</v>
      </c>
      <c r="AV3106" s="1078" t="str">
        <f t="shared" si="388"/>
        <v>114.5.12</v>
      </c>
      <c r="AW3106" s="1344">
        <f t="shared" si="389"/>
        <v>45789</v>
      </c>
    </row>
    <row r="3107" spans="1:49">
      <c r="A3107" s="1077" t="s">
        <v>15321</v>
      </c>
      <c r="B3107" s="1077" t="s">
        <v>654</v>
      </c>
      <c r="C3107" s="1077">
        <v>550</v>
      </c>
      <c r="D3107" s="1077">
        <v>1.675</v>
      </c>
      <c r="E3107" s="1077" t="s">
        <v>15109</v>
      </c>
      <c r="F3107" s="1077" t="s">
        <v>648</v>
      </c>
      <c r="G3107" s="1077">
        <v>5.5</v>
      </c>
      <c r="H3107" s="1077" t="s">
        <v>5732</v>
      </c>
      <c r="I3107" s="1077" t="s">
        <v>643</v>
      </c>
      <c r="J3107" s="1077">
        <v>3.4</v>
      </c>
      <c r="K3107" s="1077" t="s">
        <v>15322</v>
      </c>
      <c r="L3107" s="1077" t="s">
        <v>8960</v>
      </c>
      <c r="M3107" s="1077">
        <v>427.4</v>
      </c>
      <c r="N3107" s="1077" t="s">
        <v>945</v>
      </c>
      <c r="O3107" s="1077">
        <v>10.685</v>
      </c>
      <c r="P3107" s="1077">
        <v>8.548</v>
      </c>
      <c r="Q3107" s="1077">
        <v>3.5</v>
      </c>
      <c r="R3107" s="1077">
        <v>24</v>
      </c>
      <c r="T3107" s="1077">
        <v>14.9</v>
      </c>
      <c r="U3107" s="1077">
        <v>4.2</v>
      </c>
      <c r="V3107" s="1077" t="s">
        <v>648</v>
      </c>
      <c r="W3107" s="1077">
        <v>120</v>
      </c>
      <c r="X3107" s="1077">
        <v>90</v>
      </c>
      <c r="Y3107" s="1077">
        <v>1</v>
      </c>
      <c r="Z3107" s="1077" t="s">
        <v>648</v>
      </c>
      <c r="AA3107" s="1077" t="s">
        <v>15323</v>
      </c>
      <c r="AH3107" s="1077" t="s">
        <v>803</v>
      </c>
      <c r="AI3107" s="1077">
        <v>91.72</v>
      </c>
      <c r="AJ3107" s="1077">
        <v>-0.47</v>
      </c>
      <c r="AK3107" s="1077">
        <v>1.62</v>
      </c>
      <c r="AM3107" s="1078" t="s">
        <v>15292</v>
      </c>
      <c r="AN3107" s="1078" t="s">
        <v>15333</v>
      </c>
      <c r="AO3107" s="1078">
        <f t="shared" si="390"/>
        <v>550</v>
      </c>
      <c r="AP3107" s="1078">
        <f t="shared" si="391"/>
        <v>1.675</v>
      </c>
      <c r="AQ3107" s="1078" t="str">
        <f t="shared" si="392"/>
        <v>1-5-1S85°Z+S</v>
      </c>
      <c r="AR3107" s="1078" t="str">
        <f t="shared" si="393"/>
        <v>NA</v>
      </c>
      <c r="AS3107" s="1078" t="str">
        <f t="shared" si="394"/>
        <v>183/170</v>
      </c>
      <c r="AT3107" s="1078" t="str">
        <f t="shared" si="395"/>
        <v>1-5-1S85°Z+S</v>
      </c>
      <c r="AU3107" s="1078" t="s">
        <v>15547</v>
      </c>
      <c r="AV3107" s="1078" t="str">
        <f t="shared" si="388"/>
        <v>114.5.16</v>
      </c>
      <c r="AW3107" s="1344">
        <f t="shared" si="389"/>
        <v>45793</v>
      </c>
    </row>
    <row r="3108" spans="1:49">
      <c r="A3108" s="1077" t="s">
        <v>15295</v>
      </c>
      <c r="B3108" s="1077" t="s">
        <v>15289</v>
      </c>
      <c r="C3108" s="1077">
        <v>500</v>
      </c>
      <c r="D3108" s="1077">
        <v>1.7</v>
      </c>
      <c r="E3108" s="1077" t="s">
        <v>15090</v>
      </c>
      <c r="F3108" s="1077" t="s">
        <v>648</v>
      </c>
      <c r="G3108" s="1077" t="s">
        <v>1001</v>
      </c>
      <c r="H3108" s="1077" t="s">
        <v>2931</v>
      </c>
      <c r="I3108" s="1077" t="s">
        <v>126</v>
      </c>
      <c r="J3108" s="1077">
        <v>0.5</v>
      </c>
      <c r="K3108" s="1077" t="s">
        <v>15296</v>
      </c>
      <c r="L3108" s="1077" t="s">
        <v>15297</v>
      </c>
      <c r="M3108" s="1077">
        <v>52.1</v>
      </c>
      <c r="N3108" s="1077" t="s">
        <v>945</v>
      </c>
      <c r="O3108" s="1077">
        <v>1.3025000000000002</v>
      </c>
      <c r="P3108" s="1077">
        <v>1.042</v>
      </c>
      <c r="Q3108" s="1077">
        <v>4</v>
      </c>
      <c r="R3108" s="1077">
        <v>22</v>
      </c>
      <c r="T3108" s="1077">
        <v>25</v>
      </c>
      <c r="U3108" s="1077">
        <v>3</v>
      </c>
      <c r="V3108" s="1077" t="s">
        <v>648</v>
      </c>
      <c r="W3108" s="1077">
        <v>125</v>
      </c>
      <c r="X3108" s="1077">
        <v>65</v>
      </c>
      <c r="Y3108" s="1077">
        <v>1.8</v>
      </c>
      <c r="Z3108" s="1077">
        <v>4</v>
      </c>
      <c r="AA3108" s="1077" t="s">
        <v>15298</v>
      </c>
      <c r="AH3108" s="1077" t="s">
        <v>877</v>
      </c>
      <c r="AJ3108" s="1077">
        <v>93.03</v>
      </c>
      <c r="AK3108" s="1077">
        <v>-0.54</v>
      </c>
      <c r="AL3108" s="1077">
        <v>2.65</v>
      </c>
      <c r="AM3108" s="1078" t="s">
        <v>15287</v>
      </c>
      <c r="AN3108" s="1078" t="s">
        <v>15324</v>
      </c>
      <c r="AO3108" s="1078">
        <f t="shared" si="390"/>
        <v>500</v>
      </c>
      <c r="AP3108" s="1078">
        <f t="shared" si="391"/>
        <v>1.7</v>
      </c>
      <c r="AQ3108" s="1078" t="str">
        <f t="shared" si="392"/>
        <v>1-5-1S85°</v>
      </c>
      <c r="AR3108" s="1078" t="str">
        <f t="shared" si="393"/>
        <v>NA</v>
      </c>
      <c r="AS3108" s="1078" t="str">
        <f t="shared" si="394"/>
        <v>195/OFF</v>
      </c>
      <c r="AT3108" s="1078" t="str">
        <f t="shared" si="395"/>
        <v>1-5-1S85°</v>
      </c>
      <c r="AV3108" s="1078" t="str">
        <f t="shared" si="388"/>
        <v>114.5.15</v>
      </c>
      <c r="AW3108" s="1344">
        <f t="shared" si="389"/>
        <v>45792</v>
      </c>
    </row>
    <row r="3109" spans="1:49">
      <c r="A3109" s="1077" t="s">
        <v>15379</v>
      </c>
      <c r="B3109" s="1077" t="s">
        <v>15364</v>
      </c>
      <c r="C3109" s="1077">
        <v>500</v>
      </c>
      <c r="D3109" s="1077">
        <v>1.7</v>
      </c>
      <c r="E3109" s="1077" t="s">
        <v>15554</v>
      </c>
      <c r="F3109" s="1077" t="s">
        <v>648</v>
      </c>
      <c r="G3109" s="1077" t="s">
        <v>1001</v>
      </c>
      <c r="H3109" s="1077" t="s">
        <v>15380</v>
      </c>
      <c r="I3109" s="1077" t="s">
        <v>126</v>
      </c>
      <c r="J3109" s="1077">
        <v>0.6</v>
      </c>
      <c r="K3109" s="1077" t="s">
        <v>15296</v>
      </c>
      <c r="L3109" s="1077" t="s">
        <v>15297</v>
      </c>
      <c r="M3109" s="1077">
        <v>53</v>
      </c>
      <c r="N3109" s="1077" t="s">
        <v>945</v>
      </c>
      <c r="O3109" s="1077">
        <v>1.3250000000000002</v>
      </c>
      <c r="P3109" s="1077">
        <v>1.06</v>
      </c>
      <c r="Q3109" s="1077">
        <v>4</v>
      </c>
      <c r="R3109" s="1077">
        <v>25</v>
      </c>
      <c r="T3109" s="1077">
        <v>13.5</v>
      </c>
      <c r="U3109" s="1077">
        <v>2.7</v>
      </c>
      <c r="V3109" s="1077" t="s">
        <v>648</v>
      </c>
      <c r="W3109" s="1077">
        <v>125</v>
      </c>
      <c r="X3109" s="1077">
        <v>80</v>
      </c>
      <c r="Y3109" s="1077">
        <v>1.5</v>
      </c>
      <c r="Z3109" s="1077">
        <v>4</v>
      </c>
      <c r="AA3109" s="1077" t="s">
        <v>15381</v>
      </c>
      <c r="AH3109" s="1077" t="s">
        <v>782</v>
      </c>
      <c r="AM3109" s="1078" t="s">
        <v>15363</v>
      </c>
      <c r="AN3109" s="1078" t="s">
        <v>15324</v>
      </c>
      <c r="AO3109" s="1078">
        <f t="shared" si="390"/>
        <v>500</v>
      </c>
      <c r="AP3109" s="1078">
        <f t="shared" si="391"/>
        <v>1.7</v>
      </c>
      <c r="AQ3109" s="1078" t="str">
        <f t="shared" si="392"/>
        <v>1-5-1S85°</v>
      </c>
      <c r="AR3109" s="1078" t="str">
        <f t="shared" si="393"/>
        <v>NA</v>
      </c>
      <c r="AS3109" s="1078" t="str">
        <f t="shared" si="394"/>
        <v>170/130</v>
      </c>
      <c r="AT3109" s="1078" t="str">
        <f t="shared" si="395"/>
        <v>1-5-1S85°</v>
      </c>
      <c r="AV3109" s="1078" t="str">
        <f t="shared" si="388"/>
        <v>114.6.2</v>
      </c>
      <c r="AW3109" s="1344">
        <f t="shared" si="389"/>
        <v>45810</v>
      </c>
    </row>
    <row r="3110" spans="1:49">
      <c r="A3110" s="1077" t="s">
        <v>15382</v>
      </c>
      <c r="B3110" s="1077" t="s">
        <v>15285</v>
      </c>
      <c r="C3110" s="1077">
        <v>500</v>
      </c>
      <c r="D3110" s="1077">
        <v>1.68</v>
      </c>
      <c r="E3110" s="1077" t="s">
        <v>15552</v>
      </c>
      <c r="F3110" s="1077" t="s">
        <v>648</v>
      </c>
      <c r="G3110" s="1077" t="s">
        <v>940</v>
      </c>
      <c r="H3110" s="1077" t="s">
        <v>6417</v>
      </c>
      <c r="I3110" s="1077" t="s">
        <v>126</v>
      </c>
      <c r="J3110" s="1077">
        <v>0.7</v>
      </c>
      <c r="K3110" s="1077" t="s">
        <v>15304</v>
      </c>
      <c r="L3110" s="1077" t="s">
        <v>15305</v>
      </c>
      <c r="M3110" s="1077">
        <v>75.400000000000006</v>
      </c>
      <c r="N3110" s="1077" t="s">
        <v>945</v>
      </c>
      <c r="O3110" s="1077">
        <v>1.8850000000000002</v>
      </c>
      <c r="P3110" s="1077">
        <v>1.5080000000000002</v>
      </c>
      <c r="Q3110" s="1077">
        <v>4</v>
      </c>
      <c r="R3110" s="1077">
        <v>21</v>
      </c>
      <c r="T3110" s="1077">
        <v>27</v>
      </c>
      <c r="U3110" s="1077">
        <v>2.9</v>
      </c>
      <c r="V3110" s="1077" t="s">
        <v>648</v>
      </c>
      <c r="W3110" s="1077">
        <v>130</v>
      </c>
      <c r="X3110" s="1077">
        <v>80</v>
      </c>
      <c r="Y3110" s="1077">
        <v>1.5</v>
      </c>
      <c r="Z3110" s="1077">
        <v>5</v>
      </c>
      <c r="AA3110" s="1077" t="s">
        <v>15383</v>
      </c>
      <c r="AH3110" s="1077" t="s">
        <v>647</v>
      </c>
      <c r="AI3110" s="1077">
        <v>92.87</v>
      </c>
      <c r="AJ3110" s="1077">
        <v>-0.44</v>
      </c>
      <c r="AK3110" s="1077">
        <v>4.22</v>
      </c>
      <c r="AM3110" s="1078" t="s">
        <v>15336</v>
      </c>
      <c r="AN3110" s="1078" t="s">
        <v>15429</v>
      </c>
      <c r="AO3110" s="1078">
        <f t="shared" si="390"/>
        <v>500</v>
      </c>
      <c r="AP3110" s="1078">
        <f t="shared" si="391"/>
        <v>1.68</v>
      </c>
      <c r="AQ3110" s="1078" t="str">
        <f t="shared" si="392"/>
        <v>1-5-1S85°Z撚</v>
      </c>
      <c r="AR3110" s="1078" t="str">
        <f t="shared" si="393"/>
        <v>NA</v>
      </c>
      <c r="AS3110" s="1078" t="str">
        <f t="shared" si="394"/>
        <v>205/OFF</v>
      </c>
      <c r="AT3110" s="1078" t="str">
        <f t="shared" si="395"/>
        <v>1-5-1S85°Z撚</v>
      </c>
      <c r="AU3110" s="1078" t="s">
        <v>15553</v>
      </c>
      <c r="AV3110" s="1078" t="str">
        <f t="shared" si="388"/>
        <v>114.5.23</v>
      </c>
      <c r="AW3110" s="1344">
        <f t="shared" si="389"/>
        <v>45800</v>
      </c>
    </row>
    <row r="3111" spans="1:49">
      <c r="A3111" s="1077" t="s">
        <v>15384</v>
      </c>
      <c r="B3111" s="1077" t="s">
        <v>840</v>
      </c>
      <c r="C3111" s="1077">
        <v>600</v>
      </c>
      <c r="D3111" s="1077">
        <v>1.76</v>
      </c>
      <c r="E3111" s="1077" t="s">
        <v>15095</v>
      </c>
      <c r="F3111" s="1077" t="s">
        <v>954</v>
      </c>
      <c r="G3111" s="1077" t="s">
        <v>940</v>
      </c>
      <c r="H3111" s="1077" t="s">
        <v>1017</v>
      </c>
      <c r="I3111" s="1077" t="s">
        <v>126</v>
      </c>
      <c r="J3111" s="1077">
        <v>1.4</v>
      </c>
      <c r="K3111" s="1077" t="s">
        <v>15385</v>
      </c>
      <c r="L3111" s="1077" t="s">
        <v>1780</v>
      </c>
      <c r="M3111" s="1077">
        <v>75.400000000000006</v>
      </c>
      <c r="N3111" s="1077" t="s">
        <v>945</v>
      </c>
      <c r="O3111" s="1077">
        <v>1.8850000000000002</v>
      </c>
      <c r="P3111" s="1077">
        <v>1.5080000000000002</v>
      </c>
      <c r="Q3111" s="1077">
        <v>3</v>
      </c>
      <c r="R3111" s="1077">
        <v>24</v>
      </c>
      <c r="T3111" s="1077">
        <v>18</v>
      </c>
      <c r="U3111" s="1077">
        <v>6</v>
      </c>
      <c r="V3111" s="1077" t="s">
        <v>648</v>
      </c>
      <c r="W3111" s="1077">
        <v>120</v>
      </c>
      <c r="X3111" s="1077">
        <v>80</v>
      </c>
      <c r="Y3111" s="1077">
        <v>2</v>
      </c>
      <c r="Z3111" s="1077">
        <v>6</v>
      </c>
      <c r="AA3111" s="1077" t="s">
        <v>15386</v>
      </c>
      <c r="AH3111" s="1077" t="s">
        <v>838</v>
      </c>
      <c r="AI3111" s="1077">
        <v>92.58</v>
      </c>
      <c r="AJ3111" s="1077">
        <v>-0.44</v>
      </c>
      <c r="AK3111" s="1077">
        <v>2.25</v>
      </c>
      <c r="AM3111" s="1078" t="s">
        <v>15345</v>
      </c>
      <c r="AN3111" s="1078" t="s">
        <v>15430</v>
      </c>
      <c r="AO3111" s="1078">
        <f t="shared" si="390"/>
        <v>600</v>
      </c>
      <c r="AP3111" s="1078">
        <f t="shared" si="391"/>
        <v>1.76</v>
      </c>
      <c r="AQ3111" s="1078" t="str">
        <f t="shared" si="392"/>
        <v>1-5-1S83°</v>
      </c>
      <c r="AR3111" s="1078" t="str">
        <f t="shared" si="393"/>
        <v>31</v>
      </c>
      <c r="AS3111" s="1078" t="str">
        <f t="shared" si="394"/>
        <v>200/200/OFF</v>
      </c>
      <c r="AT3111" s="1078" t="str">
        <f t="shared" si="395"/>
        <v>1-5-1S83°</v>
      </c>
      <c r="AV3111" s="1078" t="str">
        <f t="shared" si="388"/>
        <v>114.5.27</v>
      </c>
      <c r="AW3111" s="1344">
        <f t="shared" si="389"/>
        <v>45804</v>
      </c>
    </row>
    <row r="3112" spans="1:49">
      <c r="A3112" s="1077" t="s">
        <v>15387</v>
      </c>
      <c r="B3112" s="1077" t="s">
        <v>1783</v>
      </c>
      <c r="C3112" s="1077">
        <v>500</v>
      </c>
      <c r="D3112" s="1077">
        <v>1.67</v>
      </c>
      <c r="E3112" s="1077" t="s">
        <v>15089</v>
      </c>
      <c r="F3112" s="1077" t="s">
        <v>2001</v>
      </c>
      <c r="G3112" s="1077" t="s">
        <v>1784</v>
      </c>
      <c r="H3112" s="1077" t="s">
        <v>1290</v>
      </c>
      <c r="I3112" s="1077" t="s">
        <v>126</v>
      </c>
      <c r="J3112" s="1077">
        <v>0.3</v>
      </c>
      <c r="K3112" s="1077" t="s">
        <v>15388</v>
      </c>
      <c r="L3112" s="1077" t="s">
        <v>1787</v>
      </c>
      <c r="M3112" s="1077">
        <v>75</v>
      </c>
      <c r="N3112" s="1077" t="s">
        <v>945</v>
      </c>
      <c r="O3112" s="1077">
        <v>1.875</v>
      </c>
      <c r="P3112" s="1077">
        <v>1.5</v>
      </c>
      <c r="Q3112" s="1077">
        <v>4</v>
      </c>
      <c r="R3112" s="1077">
        <v>21</v>
      </c>
      <c r="T3112" s="1077">
        <v>13</v>
      </c>
      <c r="U3112" s="1077">
        <v>4</v>
      </c>
      <c r="V3112" s="1077" t="s">
        <v>648</v>
      </c>
      <c r="W3112" s="1077">
        <v>30</v>
      </c>
      <c r="X3112" s="1077">
        <v>10</v>
      </c>
      <c r="Y3112" s="1077">
        <v>2.5</v>
      </c>
      <c r="Z3112" s="1077">
        <v>2</v>
      </c>
      <c r="AA3112" s="1077" t="s">
        <v>15381</v>
      </c>
      <c r="AH3112" s="1077" t="s">
        <v>468</v>
      </c>
      <c r="AM3112" s="1078" t="s">
        <v>15361</v>
      </c>
      <c r="AN3112" s="1078" t="s">
        <v>15431</v>
      </c>
      <c r="AO3112" s="1078">
        <f t="shared" si="390"/>
        <v>500</v>
      </c>
      <c r="AP3112" s="1078">
        <f t="shared" si="391"/>
        <v>1.67</v>
      </c>
      <c r="AQ3112" s="1078" t="str">
        <f t="shared" si="392"/>
        <v>1-4-1S83°</v>
      </c>
      <c r="AR3112" s="1078" t="str">
        <f t="shared" si="393"/>
        <v>29.9</v>
      </c>
      <c r="AS3112" s="1078" t="str">
        <f t="shared" si="394"/>
        <v>220/220/OFF</v>
      </c>
      <c r="AT3112" s="1078" t="str">
        <f t="shared" si="395"/>
        <v>1-4-1S83°</v>
      </c>
      <c r="AV3112" s="1078" t="str">
        <f t="shared" si="388"/>
        <v>114.6.2</v>
      </c>
      <c r="AW3112" s="1344">
        <f t="shared" si="389"/>
        <v>45810</v>
      </c>
    </row>
    <row r="3113" spans="1:49">
      <c r="A3113" s="1077" t="s">
        <v>15389</v>
      </c>
      <c r="B3113" s="1077" t="s">
        <v>1823</v>
      </c>
      <c r="C3113" s="1077">
        <v>500</v>
      </c>
      <c r="D3113" s="1077">
        <v>1.77</v>
      </c>
      <c r="E3113" s="1077" t="s">
        <v>15095</v>
      </c>
      <c r="F3113" s="1077" t="s">
        <v>984</v>
      </c>
      <c r="G3113" s="1077" t="s">
        <v>1016</v>
      </c>
      <c r="H3113" s="1077" t="s">
        <v>1649</v>
      </c>
      <c r="I3113" s="1077" t="s">
        <v>126</v>
      </c>
      <c r="J3113" s="1077">
        <v>0.7</v>
      </c>
      <c r="K3113" s="1077" t="s">
        <v>1824</v>
      </c>
      <c r="L3113" s="1077" t="s">
        <v>1825</v>
      </c>
      <c r="M3113" s="1077">
        <v>73.8</v>
      </c>
      <c r="N3113" s="1077" t="s">
        <v>945</v>
      </c>
      <c r="O3113" s="1077">
        <v>1.845</v>
      </c>
      <c r="P3113" s="1077">
        <v>1.476</v>
      </c>
      <c r="Q3113" s="1077">
        <v>3.5</v>
      </c>
      <c r="R3113" s="1077">
        <v>18.5</v>
      </c>
      <c r="T3113" s="1077">
        <v>21</v>
      </c>
      <c r="U3113" s="1077">
        <v>3.8</v>
      </c>
      <c r="V3113" s="1077" t="s">
        <v>648</v>
      </c>
      <c r="W3113" s="1077">
        <v>110</v>
      </c>
      <c r="X3113" s="1077">
        <v>85</v>
      </c>
      <c r="Y3113" s="1077">
        <v>1.9</v>
      </c>
      <c r="Z3113" s="1077">
        <v>4</v>
      </c>
      <c r="AA3113" s="1077" t="s">
        <v>15390</v>
      </c>
      <c r="AH3113" s="1077" t="s">
        <v>803</v>
      </c>
      <c r="AM3113" s="1078" t="s">
        <v>15366</v>
      </c>
      <c r="AN3113" s="1078" t="s">
        <v>15432</v>
      </c>
      <c r="AO3113" s="1078">
        <f t="shared" si="390"/>
        <v>500</v>
      </c>
      <c r="AP3113" s="1078">
        <f t="shared" si="391"/>
        <v>1.77</v>
      </c>
      <c r="AQ3113" s="1078" t="str">
        <f t="shared" si="392"/>
        <v>1-5-1S83°</v>
      </c>
      <c r="AR3113" s="1078" t="str">
        <f t="shared" si="393"/>
        <v>30</v>
      </c>
      <c r="AS3113" s="1078" t="str">
        <f t="shared" si="394"/>
        <v>225/225/OFF</v>
      </c>
      <c r="AT3113" s="1078" t="str">
        <f t="shared" si="395"/>
        <v>1-5-1S83°</v>
      </c>
      <c r="AV3113" s="1078" t="str">
        <f t="shared" si="388"/>
        <v>114.6.4</v>
      </c>
      <c r="AW3113" s="1344">
        <f t="shared" si="389"/>
        <v>45812</v>
      </c>
    </row>
    <row r="3114" spans="1:49">
      <c r="A3114" s="1077" t="s">
        <v>15391</v>
      </c>
      <c r="B3114" s="1077" t="s">
        <v>715</v>
      </c>
      <c r="C3114" s="1077">
        <v>600</v>
      </c>
      <c r="D3114" s="1077">
        <v>1.7</v>
      </c>
      <c r="E3114" s="1077" t="s">
        <v>15095</v>
      </c>
      <c r="F3114" s="1077" t="s">
        <v>1897</v>
      </c>
      <c r="G3114" s="1077" t="s">
        <v>940</v>
      </c>
      <c r="H3114" s="1077" t="s">
        <v>1649</v>
      </c>
      <c r="I3114" s="1077" t="s">
        <v>126</v>
      </c>
      <c r="J3114" s="1077">
        <v>0.9</v>
      </c>
      <c r="K3114" s="1077" t="s">
        <v>15392</v>
      </c>
      <c r="L3114" s="1077" t="s">
        <v>4548</v>
      </c>
      <c r="M3114" s="1077">
        <v>101.5</v>
      </c>
      <c r="N3114" s="1077" t="s">
        <v>945</v>
      </c>
      <c r="O3114" s="1077">
        <v>2.5375000000000001</v>
      </c>
      <c r="P3114" s="1077">
        <v>2.0300000000000002</v>
      </c>
      <c r="Q3114" s="1077">
        <v>4</v>
      </c>
      <c r="R3114" s="1077">
        <v>23</v>
      </c>
      <c r="T3114" s="1077">
        <v>12</v>
      </c>
      <c r="U3114" s="1077">
        <v>4.5</v>
      </c>
      <c r="V3114" s="1077" t="s">
        <v>648</v>
      </c>
      <c r="W3114" s="1077">
        <v>125</v>
      </c>
      <c r="X3114" s="1077">
        <v>80</v>
      </c>
      <c r="Y3114" s="1077">
        <v>1.5</v>
      </c>
      <c r="Z3114" s="1077">
        <v>4</v>
      </c>
      <c r="AA3114" s="1077" t="s">
        <v>15393</v>
      </c>
      <c r="AH3114" s="1077" t="s">
        <v>870</v>
      </c>
      <c r="AI3114" s="1077">
        <v>94.17</v>
      </c>
      <c r="AJ3114" s="1077">
        <v>-1.43</v>
      </c>
      <c r="AK3114" s="1077">
        <v>1.97</v>
      </c>
      <c r="AM3114" s="1078" t="s">
        <v>15346</v>
      </c>
      <c r="AN3114" s="1078" t="s">
        <v>15433</v>
      </c>
      <c r="AO3114" s="1078">
        <f t="shared" si="390"/>
        <v>600</v>
      </c>
      <c r="AP3114" s="1078">
        <f t="shared" si="391"/>
        <v>1.7</v>
      </c>
      <c r="AQ3114" s="1078" t="str">
        <f t="shared" si="392"/>
        <v>1-5-1S83°</v>
      </c>
      <c r="AR3114" s="1078" t="str">
        <f t="shared" si="393"/>
        <v>30.8</v>
      </c>
      <c r="AS3114" s="1078" t="str">
        <f t="shared" si="394"/>
        <v>225/225/OFF</v>
      </c>
      <c r="AT3114" s="1078" t="str">
        <f t="shared" si="395"/>
        <v>1-5-1S83°</v>
      </c>
      <c r="AV3114" s="1078" t="str">
        <f t="shared" si="388"/>
        <v>114.4.27</v>
      </c>
      <c r="AW3114" s="1344">
        <f t="shared" si="389"/>
        <v>45774</v>
      </c>
    </row>
    <row r="3115" spans="1:49">
      <c r="A3115" s="1077" t="s">
        <v>15394</v>
      </c>
      <c r="B3115" s="1077" t="s">
        <v>617</v>
      </c>
      <c r="C3115" s="1077">
        <v>600</v>
      </c>
      <c r="D3115" s="1077">
        <v>1.74</v>
      </c>
      <c r="E3115" s="1077" t="s">
        <v>15094</v>
      </c>
      <c r="F3115" s="1077" t="s">
        <v>984</v>
      </c>
      <c r="G3115" s="1077">
        <v>5</v>
      </c>
      <c r="H3115" s="1077" t="s">
        <v>955</v>
      </c>
      <c r="I3115" s="1077" t="s">
        <v>126</v>
      </c>
      <c r="J3115" s="1077">
        <v>2.7</v>
      </c>
      <c r="K3115" s="1077" t="s">
        <v>15395</v>
      </c>
      <c r="L3115" s="1077" t="s">
        <v>4854</v>
      </c>
      <c r="M3115" s="1077">
        <v>150.30000000000001</v>
      </c>
      <c r="N3115" s="1077" t="s">
        <v>945</v>
      </c>
      <c r="O3115" s="1077">
        <v>3.7575000000000003</v>
      </c>
      <c r="P3115" s="1077">
        <v>3.0060000000000002</v>
      </c>
      <c r="Q3115" s="1077">
        <v>3</v>
      </c>
      <c r="R3115" s="1077">
        <v>31</v>
      </c>
      <c r="T3115" s="1077">
        <v>13</v>
      </c>
      <c r="U3115" s="1077">
        <v>7</v>
      </c>
      <c r="V3115" s="1077" t="s">
        <v>648</v>
      </c>
      <c r="W3115" s="1077">
        <v>115</v>
      </c>
      <c r="X3115" s="1077">
        <v>50</v>
      </c>
      <c r="Y3115" s="1077">
        <v>1.7</v>
      </c>
      <c r="Z3115" s="1077">
        <v>6.5</v>
      </c>
      <c r="AA3115" s="1077" t="s">
        <v>15396</v>
      </c>
      <c r="AH3115" s="1077" t="s">
        <v>619</v>
      </c>
      <c r="AI3115" s="1077">
        <v>93.19</v>
      </c>
      <c r="AJ3115" s="1077">
        <v>-1.47</v>
      </c>
      <c r="AK3115" s="1077">
        <v>5</v>
      </c>
      <c r="AM3115" s="1078" t="s">
        <v>15293</v>
      </c>
      <c r="AN3115" s="1078" t="s">
        <v>15434</v>
      </c>
      <c r="AO3115" s="1078">
        <f t="shared" si="390"/>
        <v>600</v>
      </c>
      <c r="AP3115" s="1078">
        <f t="shared" si="391"/>
        <v>1.74</v>
      </c>
      <c r="AQ3115" s="1078" t="str">
        <f t="shared" si="392"/>
        <v>1-5-1S91°</v>
      </c>
      <c r="AR3115" s="1078" t="str">
        <f t="shared" si="393"/>
        <v>30</v>
      </c>
      <c r="AS3115" s="1078" t="str">
        <f t="shared" si="394"/>
        <v>260/260/OFF</v>
      </c>
      <c r="AT3115" s="1078" t="str">
        <f t="shared" si="395"/>
        <v>1-5-1S91°</v>
      </c>
      <c r="AV3115" s="1078" t="str">
        <f t="shared" si="388"/>
        <v>114.5.19</v>
      </c>
      <c r="AW3115" s="1344">
        <f t="shared" si="389"/>
        <v>45796</v>
      </c>
    </row>
    <row r="3116" spans="1:49">
      <c r="A3116" s="1077" t="s">
        <v>15397</v>
      </c>
      <c r="B3116" s="1077" t="s">
        <v>465</v>
      </c>
      <c r="C3116" s="1077">
        <v>650</v>
      </c>
      <c r="D3116" s="1077">
        <v>1.8</v>
      </c>
      <c r="E3116" s="1077" t="s">
        <v>15109</v>
      </c>
      <c r="F3116" s="1077" t="s">
        <v>648</v>
      </c>
      <c r="G3116" s="1077">
        <v>5</v>
      </c>
      <c r="H3116" s="1077" t="s">
        <v>3356</v>
      </c>
      <c r="I3116" s="1077" t="s">
        <v>460</v>
      </c>
      <c r="J3116" s="1077">
        <v>1.8</v>
      </c>
      <c r="K3116" s="1077" t="s">
        <v>15165</v>
      </c>
      <c r="L3116" s="1077" t="s">
        <v>6335</v>
      </c>
      <c r="M3116" s="1077">
        <v>149.5</v>
      </c>
      <c r="N3116" s="1077" t="s">
        <v>945</v>
      </c>
      <c r="O3116" s="1077">
        <v>3.7375000000000003</v>
      </c>
      <c r="P3116" s="1077">
        <v>2.99</v>
      </c>
      <c r="Q3116" s="1077">
        <v>4</v>
      </c>
      <c r="R3116" s="1077">
        <v>21</v>
      </c>
      <c r="T3116" s="1077">
        <v>37</v>
      </c>
      <c r="U3116" s="1077">
        <v>3.7</v>
      </c>
      <c r="V3116" s="1077" t="s">
        <v>648</v>
      </c>
      <c r="W3116" s="1077">
        <v>110</v>
      </c>
      <c r="X3116" s="1077">
        <v>40</v>
      </c>
      <c r="Y3116" s="1077">
        <v>2.2000000000000002</v>
      </c>
      <c r="Z3116" s="1077" t="s">
        <v>648</v>
      </c>
      <c r="AA3116" s="1077" t="s">
        <v>15396</v>
      </c>
      <c r="AH3116" s="1077" t="s">
        <v>1486</v>
      </c>
      <c r="AI3116" s="1077">
        <v>92.2</v>
      </c>
      <c r="AJ3116" s="1077">
        <v>-1.03</v>
      </c>
      <c r="AK3116" s="1077">
        <v>1.28</v>
      </c>
      <c r="AM3116" s="1078" t="s">
        <v>15294</v>
      </c>
      <c r="AN3116" s="1078" t="s">
        <v>15435</v>
      </c>
      <c r="AO3116" s="1078">
        <f t="shared" si="390"/>
        <v>650</v>
      </c>
      <c r="AP3116" s="1078">
        <f t="shared" si="391"/>
        <v>1.8</v>
      </c>
      <c r="AQ3116" s="1078" t="str">
        <f t="shared" si="392"/>
        <v>1-5-1S85°Z+S</v>
      </c>
      <c r="AR3116" s="1078" t="str">
        <f t="shared" si="393"/>
        <v>NA</v>
      </c>
      <c r="AS3116" s="1078" t="str">
        <f t="shared" si="394"/>
        <v>182/OFF</v>
      </c>
      <c r="AT3116" s="1078" t="str">
        <f t="shared" si="395"/>
        <v>1-5-1S85°Z+S</v>
      </c>
      <c r="AU3116" s="1078" t="s">
        <v>15547</v>
      </c>
      <c r="AV3116" s="1078" t="str">
        <f t="shared" si="388"/>
        <v>114.5.19</v>
      </c>
      <c r="AW3116" s="1344">
        <f t="shared" si="389"/>
        <v>45796</v>
      </c>
    </row>
    <row r="3117" spans="1:49">
      <c r="A3117" s="1077" t="s">
        <v>15398</v>
      </c>
      <c r="B3117" s="1077" t="s">
        <v>210</v>
      </c>
      <c r="C3117" s="1077">
        <v>650</v>
      </c>
      <c r="D3117" s="1077">
        <v>1.76</v>
      </c>
      <c r="E3117" s="1077" t="s">
        <v>15094</v>
      </c>
      <c r="F3117" s="1077" t="s">
        <v>2001</v>
      </c>
      <c r="G3117" s="1077">
        <v>5</v>
      </c>
      <c r="H3117" s="1077" t="s">
        <v>6023</v>
      </c>
      <c r="I3117" s="1077" t="s">
        <v>126</v>
      </c>
      <c r="J3117" s="1077">
        <v>3</v>
      </c>
      <c r="K3117" s="1077" t="s">
        <v>15399</v>
      </c>
      <c r="L3117" s="1077" t="s">
        <v>6291</v>
      </c>
      <c r="M3117" s="1077">
        <v>150.80000000000001</v>
      </c>
      <c r="N3117" s="1077" t="s">
        <v>945</v>
      </c>
      <c r="O3117" s="1077">
        <v>3.7700000000000005</v>
      </c>
      <c r="P3117" s="1077">
        <v>3.0160000000000005</v>
      </c>
      <c r="Q3117" s="1077">
        <v>4</v>
      </c>
      <c r="R3117" s="1077">
        <v>19</v>
      </c>
      <c r="T3117" s="1077">
        <v>28.3</v>
      </c>
      <c r="U3117" s="1077">
        <v>4.3</v>
      </c>
      <c r="V3117" s="1077" t="s">
        <v>648</v>
      </c>
      <c r="W3117" s="1077">
        <v>100</v>
      </c>
      <c r="X3117" s="1077">
        <v>50</v>
      </c>
      <c r="Y3117" s="1077">
        <v>1.5</v>
      </c>
      <c r="Z3117" s="1077">
        <v>6.5</v>
      </c>
      <c r="AA3117" s="1077" t="s">
        <v>15383</v>
      </c>
      <c r="AH3117" s="1077" t="s">
        <v>646</v>
      </c>
      <c r="AI3117" s="1077">
        <v>91.93</v>
      </c>
      <c r="AJ3117" s="1077">
        <v>-0.64</v>
      </c>
      <c r="AK3117" s="1077">
        <v>1.06</v>
      </c>
      <c r="AM3117" s="1078" t="s">
        <v>15436</v>
      </c>
      <c r="AN3117" s="1078" t="s">
        <v>15437</v>
      </c>
      <c r="AO3117" s="1078">
        <f t="shared" si="390"/>
        <v>650</v>
      </c>
      <c r="AP3117" s="1078">
        <f t="shared" si="391"/>
        <v>1.76</v>
      </c>
      <c r="AQ3117" s="1078" t="str">
        <f t="shared" si="392"/>
        <v>1-5-1S91°</v>
      </c>
      <c r="AR3117" s="1078" t="str">
        <f t="shared" si="393"/>
        <v>29.9</v>
      </c>
      <c r="AS3117" s="1078" t="str">
        <f t="shared" si="394"/>
        <v>350/310/OFF</v>
      </c>
      <c r="AT3117" s="1078" t="str">
        <f t="shared" si="395"/>
        <v>1-5-1S91°</v>
      </c>
      <c r="AV3117" s="1078" t="str">
        <f t="shared" si="388"/>
        <v>114.5.23</v>
      </c>
      <c r="AW3117" s="1344">
        <f t="shared" si="389"/>
        <v>45800</v>
      </c>
    </row>
    <row r="3118" spans="1:49">
      <c r="A3118" s="1077" t="s">
        <v>15400</v>
      </c>
      <c r="B3118" s="1077" t="s">
        <v>465</v>
      </c>
      <c r="C3118" s="1077">
        <v>650</v>
      </c>
      <c r="D3118" s="1077">
        <v>1.79</v>
      </c>
      <c r="E3118" s="1077" t="s">
        <v>15109</v>
      </c>
      <c r="F3118" s="1077" t="s">
        <v>648</v>
      </c>
      <c r="G3118" s="1077">
        <v>5</v>
      </c>
      <c r="H3118" s="1077" t="s">
        <v>3356</v>
      </c>
      <c r="I3118" s="1077" t="s">
        <v>460</v>
      </c>
      <c r="J3118" s="1077">
        <v>1.7</v>
      </c>
      <c r="K3118" s="1077" t="s">
        <v>15401</v>
      </c>
      <c r="L3118" s="1077" t="s">
        <v>6335</v>
      </c>
      <c r="M3118" s="1077">
        <v>149.5</v>
      </c>
      <c r="N3118" s="1077" t="s">
        <v>945</v>
      </c>
      <c r="O3118" s="1077">
        <v>3.7375000000000003</v>
      </c>
      <c r="P3118" s="1077">
        <v>2.99</v>
      </c>
      <c r="Q3118" s="1077">
        <v>4</v>
      </c>
      <c r="R3118" s="1077">
        <v>21</v>
      </c>
      <c r="T3118" s="1077">
        <v>37</v>
      </c>
      <c r="U3118" s="1077">
        <v>3.7</v>
      </c>
      <c r="V3118" s="1077" t="s">
        <v>648</v>
      </c>
      <c r="W3118" s="1077">
        <v>110</v>
      </c>
      <c r="X3118" s="1077">
        <v>40</v>
      </c>
      <c r="Y3118" s="1077">
        <v>2.2000000000000002</v>
      </c>
      <c r="Z3118" s="1077" t="s">
        <v>648</v>
      </c>
      <c r="AA3118" s="1077" t="s">
        <v>15402</v>
      </c>
      <c r="AH3118" s="1077" t="s">
        <v>614</v>
      </c>
      <c r="AI3118" s="1077">
        <v>92.2</v>
      </c>
      <c r="AJ3118" s="1077">
        <v>0.48</v>
      </c>
      <c r="AK3118" s="1077">
        <v>0.9</v>
      </c>
      <c r="AM3118" s="1078" t="s">
        <v>15338</v>
      </c>
      <c r="AN3118" s="1078" t="s">
        <v>15438</v>
      </c>
      <c r="AO3118" s="1078">
        <f t="shared" si="390"/>
        <v>650</v>
      </c>
      <c r="AP3118" s="1078">
        <f t="shared" si="391"/>
        <v>1.79</v>
      </c>
      <c r="AQ3118" s="1078" t="str">
        <f t="shared" si="392"/>
        <v>1-5-1S85°Z+S</v>
      </c>
      <c r="AR3118" s="1078" t="str">
        <f t="shared" si="393"/>
        <v>NA</v>
      </c>
      <c r="AS3118" s="1078" t="str">
        <f t="shared" si="394"/>
        <v>182/OFF</v>
      </c>
      <c r="AT3118" s="1078" t="str">
        <f t="shared" si="395"/>
        <v>1-5-1S85°Z+S</v>
      </c>
      <c r="AU3118" s="1078" t="s">
        <v>15547</v>
      </c>
      <c r="AV3118" s="1078" t="str">
        <f t="shared" si="388"/>
        <v>114.5.28</v>
      </c>
      <c r="AW3118" s="1344">
        <f t="shared" si="389"/>
        <v>45805</v>
      </c>
    </row>
    <row r="3119" spans="1:49">
      <c r="A3119" s="1077" t="s">
        <v>15403</v>
      </c>
      <c r="B3119" s="1077" t="s">
        <v>828</v>
      </c>
      <c r="C3119" s="1077">
        <v>650</v>
      </c>
      <c r="D3119" s="1077">
        <v>1.7649999999999999</v>
      </c>
      <c r="E3119" s="1077" t="s">
        <v>15109</v>
      </c>
      <c r="F3119" s="1077" t="s">
        <v>648</v>
      </c>
      <c r="G3119" s="1077">
        <v>5</v>
      </c>
      <c r="H3119" s="1077" t="s">
        <v>1048</v>
      </c>
      <c r="I3119" s="1077" t="s">
        <v>460</v>
      </c>
      <c r="J3119" s="1077">
        <v>1.6</v>
      </c>
      <c r="K3119" s="1077" t="s">
        <v>15404</v>
      </c>
      <c r="L3119" s="1077" t="s">
        <v>2174</v>
      </c>
      <c r="M3119" s="1077">
        <v>150</v>
      </c>
      <c r="N3119" s="1077" t="s">
        <v>945</v>
      </c>
      <c r="O3119" s="1077">
        <v>3.75</v>
      </c>
      <c r="P3119" s="1077">
        <v>3</v>
      </c>
      <c r="Q3119" s="1077">
        <v>4</v>
      </c>
      <c r="R3119" s="1077">
        <v>20.8</v>
      </c>
      <c r="T3119" s="1077">
        <v>29.1</v>
      </c>
      <c r="U3119" s="1077">
        <v>3.4</v>
      </c>
      <c r="V3119" s="1077" t="s">
        <v>648</v>
      </c>
      <c r="W3119" s="1077">
        <v>110</v>
      </c>
      <c r="X3119" s="1077">
        <v>70</v>
      </c>
      <c r="Y3119" s="1077">
        <v>1.5</v>
      </c>
      <c r="Z3119" s="1077" t="s">
        <v>648</v>
      </c>
      <c r="AA3119" s="1077" t="s">
        <v>15405</v>
      </c>
      <c r="AH3119" s="1077" t="s">
        <v>767</v>
      </c>
      <c r="AI3119" s="1077">
        <v>94.61</v>
      </c>
      <c r="AJ3119" s="1077">
        <v>-0.01</v>
      </c>
      <c r="AK3119" s="1077">
        <v>1.34</v>
      </c>
      <c r="AM3119" s="1078" t="s">
        <v>15341</v>
      </c>
      <c r="AN3119" s="1078" t="s">
        <v>15439</v>
      </c>
      <c r="AO3119" s="1078">
        <f t="shared" si="390"/>
        <v>650</v>
      </c>
      <c r="AP3119" s="1078">
        <f t="shared" si="391"/>
        <v>1.7649999999999999</v>
      </c>
      <c r="AQ3119" s="1078" t="str">
        <f t="shared" si="392"/>
        <v>1-5-1S85°Z+S</v>
      </c>
      <c r="AR3119" s="1078" t="str">
        <f t="shared" si="393"/>
        <v>NA</v>
      </c>
      <c r="AS3119" s="1078" t="str">
        <f t="shared" si="394"/>
        <v>188/OFF</v>
      </c>
      <c r="AT3119" s="1078" t="str">
        <f t="shared" si="395"/>
        <v>1-5-1S85°Z+S</v>
      </c>
      <c r="AU3119" s="1078" t="s">
        <v>15547</v>
      </c>
      <c r="AV3119" s="1078" t="str">
        <f t="shared" si="388"/>
        <v>114.5.26</v>
      </c>
      <c r="AW3119" s="1344">
        <f t="shared" si="389"/>
        <v>45803</v>
      </c>
    </row>
    <row r="3120" spans="1:49">
      <c r="A3120" s="1077" t="s">
        <v>15406</v>
      </c>
      <c r="B3120" s="1077" t="s">
        <v>210</v>
      </c>
      <c r="C3120" s="1077">
        <v>650</v>
      </c>
      <c r="D3120" s="1077">
        <v>1.76</v>
      </c>
      <c r="E3120" s="1077" t="s">
        <v>15094</v>
      </c>
      <c r="F3120" s="1077" t="s">
        <v>4013</v>
      </c>
      <c r="G3120" s="1077">
        <v>5</v>
      </c>
      <c r="H3120" s="1077" t="s">
        <v>6126</v>
      </c>
      <c r="I3120" s="1077" t="s">
        <v>126</v>
      </c>
      <c r="J3120" s="1077">
        <v>1.8</v>
      </c>
      <c r="K3120" s="1077" t="s">
        <v>15407</v>
      </c>
      <c r="L3120" s="1077" t="s">
        <v>6291</v>
      </c>
      <c r="M3120" s="1077">
        <v>152.19999999999999</v>
      </c>
      <c r="N3120" s="1077" t="s">
        <v>945</v>
      </c>
      <c r="O3120" s="1077">
        <v>3.8049999999999997</v>
      </c>
      <c r="P3120" s="1077">
        <v>3.044</v>
      </c>
      <c r="Q3120" s="1077">
        <v>4</v>
      </c>
      <c r="R3120" s="1077">
        <v>19</v>
      </c>
      <c r="T3120" s="1077">
        <v>16</v>
      </c>
      <c r="U3120" s="1077">
        <v>4</v>
      </c>
      <c r="V3120" s="1077" t="s">
        <v>648</v>
      </c>
      <c r="W3120" s="1077">
        <v>95</v>
      </c>
      <c r="X3120" s="1077">
        <v>20</v>
      </c>
      <c r="Y3120" s="1077">
        <v>1.5</v>
      </c>
      <c r="Z3120" s="1077">
        <v>5</v>
      </c>
      <c r="AA3120" s="1077" t="s">
        <v>15381</v>
      </c>
      <c r="AH3120" s="1077" t="s">
        <v>868</v>
      </c>
      <c r="AM3120" s="1078" t="s">
        <v>15362</v>
      </c>
      <c r="AN3120" s="1078" t="s">
        <v>15440</v>
      </c>
      <c r="AO3120" s="1078">
        <f t="shared" si="390"/>
        <v>650</v>
      </c>
      <c r="AP3120" s="1078">
        <f t="shared" si="391"/>
        <v>1.76</v>
      </c>
      <c r="AQ3120" s="1078" t="str">
        <f t="shared" si="392"/>
        <v>1-5-1S91°</v>
      </c>
      <c r="AR3120" s="1078" t="str">
        <f t="shared" si="393"/>
        <v>30.3</v>
      </c>
      <c r="AS3120" s="1078" t="str">
        <f t="shared" si="394"/>
        <v>310/270/158</v>
      </c>
      <c r="AT3120" s="1078" t="str">
        <f t="shared" si="395"/>
        <v>1-5-1S91°</v>
      </c>
      <c r="AV3120" s="1078" t="str">
        <f t="shared" si="388"/>
        <v>114.6.2</v>
      </c>
      <c r="AW3120" s="1344">
        <f t="shared" si="389"/>
        <v>45810</v>
      </c>
    </row>
    <row r="3121" spans="1:49">
      <c r="A3121" s="1077" t="s">
        <v>15408</v>
      </c>
      <c r="B3121" s="1077" t="s">
        <v>467</v>
      </c>
      <c r="C3121" s="1077">
        <v>670</v>
      </c>
      <c r="D3121" s="1077">
        <v>1.8</v>
      </c>
      <c r="E3121" s="1077" t="s">
        <v>15109</v>
      </c>
      <c r="F3121" s="1077" t="s">
        <v>648</v>
      </c>
      <c r="G3121" s="1077" t="s">
        <v>6865</v>
      </c>
      <c r="H3121" s="1077" t="s">
        <v>7863</v>
      </c>
      <c r="I3121" s="1077" t="s">
        <v>6967</v>
      </c>
      <c r="J3121" s="1077">
        <v>3.7</v>
      </c>
      <c r="K3121" s="1077" t="s">
        <v>15409</v>
      </c>
      <c r="L3121" s="1077" t="s">
        <v>4666</v>
      </c>
      <c r="M3121" s="1077">
        <v>295.10000000000002</v>
      </c>
      <c r="N3121" s="1077" t="s">
        <v>945</v>
      </c>
      <c r="O3121" s="1077">
        <v>7.3775000000000013</v>
      </c>
      <c r="P3121" s="1077">
        <v>5.9020000000000001</v>
      </c>
      <c r="Q3121" s="1077">
        <v>4</v>
      </c>
      <c r="R3121" s="1077">
        <v>17.399999999999999</v>
      </c>
      <c r="T3121" s="1077">
        <v>31</v>
      </c>
      <c r="U3121" s="1077">
        <v>3.5</v>
      </c>
      <c r="V3121" s="1077" t="s">
        <v>648</v>
      </c>
      <c r="W3121" s="1077" t="s">
        <v>6880</v>
      </c>
      <c r="X3121" s="1077">
        <v>40</v>
      </c>
      <c r="Y3121" s="1077">
        <v>1</v>
      </c>
      <c r="Z3121" s="1077" t="s">
        <v>648</v>
      </c>
      <c r="AA3121" s="1077" t="s">
        <v>15386</v>
      </c>
      <c r="AH3121" s="1077" t="s">
        <v>722</v>
      </c>
      <c r="AI3121" s="1077">
        <v>95.81</v>
      </c>
      <c r="AJ3121" s="1077">
        <v>-0.63</v>
      </c>
      <c r="AK3121" s="1077">
        <v>1.82</v>
      </c>
      <c r="AM3121" s="1078" t="s">
        <v>15349</v>
      </c>
      <c r="AN3121" s="1078" t="s">
        <v>15441</v>
      </c>
      <c r="AO3121" s="1078">
        <f t="shared" si="390"/>
        <v>670</v>
      </c>
      <c r="AP3121" s="1078">
        <f t="shared" si="391"/>
        <v>1.8</v>
      </c>
      <c r="AQ3121" s="1078" t="str">
        <f t="shared" si="392"/>
        <v>1-5-1S85°Z+S</v>
      </c>
      <c r="AR3121" s="1078" t="str">
        <f t="shared" si="393"/>
        <v>NA</v>
      </c>
      <c r="AS3121" s="1078" t="str">
        <f t="shared" si="394"/>
        <v>204/OFF</v>
      </c>
      <c r="AT3121" s="1078" t="str">
        <f t="shared" si="395"/>
        <v>1-5-1S85°Z+S</v>
      </c>
      <c r="AU3121" s="1078" t="s">
        <v>15547</v>
      </c>
      <c r="AV3121" s="1078" t="str">
        <f t="shared" si="388"/>
        <v>114.5.27</v>
      </c>
      <c r="AW3121" s="1344">
        <f t="shared" si="389"/>
        <v>45804</v>
      </c>
    </row>
    <row r="3122" spans="1:49">
      <c r="A3122" s="1077" t="s">
        <v>15410</v>
      </c>
      <c r="B3122" s="1077" t="s">
        <v>717</v>
      </c>
      <c r="C3122" s="1077">
        <v>650</v>
      </c>
      <c r="D3122" s="1077">
        <v>1.7849999999999999</v>
      </c>
      <c r="E3122" s="1077" t="s">
        <v>15122</v>
      </c>
      <c r="F3122" s="1077" t="s">
        <v>954</v>
      </c>
      <c r="G3122" s="1077">
        <v>4</v>
      </c>
      <c r="H3122" s="1077" t="s">
        <v>6902</v>
      </c>
      <c r="I3122" s="1077" t="s">
        <v>7001</v>
      </c>
      <c r="K3122" s="1077" t="s">
        <v>15411</v>
      </c>
      <c r="L3122" s="1077" t="s">
        <v>7781</v>
      </c>
      <c r="M3122" s="1077">
        <v>303</v>
      </c>
      <c r="N3122" s="1077" t="s">
        <v>945</v>
      </c>
      <c r="O3122" s="1077">
        <v>7.5750000000000002</v>
      </c>
      <c r="P3122" s="1077">
        <v>6.0600000000000005</v>
      </c>
      <c r="Q3122" s="1077">
        <v>3.5</v>
      </c>
      <c r="R3122" s="1077">
        <v>24</v>
      </c>
      <c r="T3122" s="1077">
        <v>16</v>
      </c>
      <c r="U3122" s="1077">
        <v>3</v>
      </c>
      <c r="V3122" s="1077" t="s">
        <v>648</v>
      </c>
      <c r="W3122" s="1077">
        <v>90</v>
      </c>
      <c r="X3122" s="1077">
        <v>10</v>
      </c>
      <c r="Y3122" s="1077">
        <v>1.5</v>
      </c>
      <c r="Z3122" s="1077" t="s">
        <v>648</v>
      </c>
      <c r="AA3122" s="1077" t="s">
        <v>15405</v>
      </c>
      <c r="AH3122" s="1077" t="s">
        <v>854</v>
      </c>
      <c r="AI3122" s="1077">
        <v>69.38</v>
      </c>
      <c r="AJ3122" s="1077">
        <v>0.64</v>
      </c>
      <c r="AK3122" s="1077">
        <v>5.58</v>
      </c>
      <c r="AM3122" s="1078" t="s">
        <v>15339</v>
      </c>
      <c r="AN3122" s="1078" t="s">
        <v>15442</v>
      </c>
      <c r="AO3122" s="1078">
        <f t="shared" si="390"/>
        <v>650</v>
      </c>
      <c r="AP3122" s="1078">
        <f t="shared" si="391"/>
        <v>1.7849999999999999</v>
      </c>
      <c r="AQ3122" s="1078" t="str">
        <f t="shared" si="392"/>
        <v>1-5-1S91°Z+S</v>
      </c>
      <c r="AR3122" s="1078" t="str">
        <f t="shared" si="393"/>
        <v>31</v>
      </c>
      <c r="AS3122" s="1078" t="str">
        <f t="shared" si="394"/>
        <v>310/310/190</v>
      </c>
      <c r="AT3122" s="1078" t="str">
        <f t="shared" si="395"/>
        <v>1-5-1S91°Z+S</v>
      </c>
      <c r="AU3122" s="1078" t="s">
        <v>15547</v>
      </c>
      <c r="AV3122" s="1078" t="str">
        <f t="shared" si="388"/>
        <v>114.5.26</v>
      </c>
      <c r="AW3122" s="1344">
        <f t="shared" si="389"/>
        <v>45803</v>
      </c>
    </row>
    <row r="3123" spans="1:49">
      <c r="A3123" s="1077" t="s">
        <v>15412</v>
      </c>
      <c r="B3123" s="1077" t="s">
        <v>467</v>
      </c>
      <c r="C3123" s="1077">
        <v>600</v>
      </c>
      <c r="D3123" s="1077">
        <v>1.7549999999999999</v>
      </c>
      <c r="E3123" s="1077">
        <v>102.5</v>
      </c>
      <c r="F3123" s="1077" t="s">
        <v>4070</v>
      </c>
      <c r="G3123" s="1077">
        <v>5.5</v>
      </c>
      <c r="H3123" s="1077" t="s">
        <v>15413</v>
      </c>
      <c r="I3123" s="1077" t="s">
        <v>15414</v>
      </c>
      <c r="J3123" s="1077">
        <v>3.7</v>
      </c>
      <c r="K3123" s="1077" t="s">
        <v>15415</v>
      </c>
      <c r="L3123" s="1077" t="s">
        <v>4666</v>
      </c>
      <c r="M3123" s="1077">
        <v>295.10000000000002</v>
      </c>
      <c r="N3123" s="1077" t="s">
        <v>945</v>
      </c>
      <c r="O3123" s="1077">
        <v>7.3775000000000013</v>
      </c>
      <c r="P3123" s="1077">
        <v>5.9020000000000001</v>
      </c>
      <c r="Q3123" s="1077">
        <v>4</v>
      </c>
      <c r="R3123" s="1077">
        <v>17.399999999999999</v>
      </c>
      <c r="T3123" s="1077">
        <v>31</v>
      </c>
      <c r="U3123" s="1077">
        <v>3.5</v>
      </c>
      <c r="V3123" s="1077" t="s">
        <v>648</v>
      </c>
      <c r="W3123" s="1077">
        <v>100</v>
      </c>
      <c r="X3123" s="1077">
        <v>40</v>
      </c>
      <c r="Y3123" s="1077">
        <v>1</v>
      </c>
      <c r="Z3123" s="1077" t="s">
        <v>648</v>
      </c>
      <c r="AA3123" s="1077" t="s">
        <v>15405</v>
      </c>
      <c r="AH3123" s="1077" t="s">
        <v>482</v>
      </c>
      <c r="AI3123" s="1077">
        <v>94.88</v>
      </c>
      <c r="AJ3123" s="1077">
        <v>-0.53</v>
      </c>
      <c r="AK3123" s="1077">
        <v>1.83</v>
      </c>
      <c r="AM3123" s="1078" t="s">
        <v>15340</v>
      </c>
      <c r="AN3123" s="1078" t="s">
        <v>15443</v>
      </c>
      <c r="AO3123" s="1078">
        <f t="shared" si="390"/>
        <v>600</v>
      </c>
      <c r="AP3123" s="1078">
        <f t="shared" si="391"/>
        <v>1.7549999999999999</v>
      </c>
      <c r="AQ3123" s="1078">
        <f t="shared" si="392"/>
        <v>102.5</v>
      </c>
      <c r="AR3123" s="1078" t="str">
        <f t="shared" si="393"/>
        <v>15.5</v>
      </c>
      <c r="AS3123" s="1078" t="str">
        <f t="shared" si="394"/>
        <v>496/456/OFF</v>
      </c>
      <c r="AT3123" s="1078">
        <f t="shared" si="395"/>
        <v>102.5</v>
      </c>
      <c r="AV3123" s="1078" t="str">
        <f t="shared" si="388"/>
        <v>114.5.26</v>
      </c>
      <c r="AW3123" s="1344">
        <f t="shared" si="389"/>
        <v>45803</v>
      </c>
    </row>
    <row r="3124" spans="1:49">
      <c r="A3124" s="1077" t="s">
        <v>15416</v>
      </c>
      <c r="B3124" s="1077" t="s">
        <v>467</v>
      </c>
      <c r="C3124" s="1077">
        <v>600</v>
      </c>
      <c r="D3124" s="1077">
        <v>1.81</v>
      </c>
      <c r="E3124" s="1077" t="s">
        <v>15122</v>
      </c>
      <c r="F3124" s="1077" t="s">
        <v>648</v>
      </c>
      <c r="G3124" s="1077" t="s">
        <v>6865</v>
      </c>
      <c r="H3124" s="1077" t="s">
        <v>15266</v>
      </c>
      <c r="I3124" s="1077" t="s">
        <v>15417</v>
      </c>
      <c r="J3124" s="1077">
        <v>3.7</v>
      </c>
      <c r="K3124" s="1077" t="s">
        <v>15418</v>
      </c>
      <c r="L3124" s="1077" t="s">
        <v>6291</v>
      </c>
      <c r="M3124" s="1077">
        <v>295.10000000000002</v>
      </c>
      <c r="N3124" s="1077" t="s">
        <v>945</v>
      </c>
      <c r="O3124" s="1077">
        <v>7.3775000000000013</v>
      </c>
      <c r="P3124" s="1077">
        <v>5.9020000000000001</v>
      </c>
      <c r="Q3124" s="1077">
        <v>4</v>
      </c>
      <c r="R3124" s="1077">
        <v>17.399999999999999</v>
      </c>
      <c r="T3124" s="1077">
        <v>31</v>
      </c>
      <c r="U3124" s="1077">
        <v>3.5</v>
      </c>
      <c r="V3124" s="1077" t="s">
        <v>648</v>
      </c>
      <c r="W3124" s="1077" t="s">
        <v>6880</v>
      </c>
      <c r="X3124" s="1077">
        <v>40</v>
      </c>
      <c r="Y3124" s="1077">
        <v>1</v>
      </c>
      <c r="Z3124" s="1077" t="s">
        <v>648</v>
      </c>
      <c r="AA3124" s="1077" t="s">
        <v>15386</v>
      </c>
      <c r="AH3124" s="1077" t="s">
        <v>958</v>
      </c>
      <c r="AI3124" s="1077">
        <v>91.84</v>
      </c>
      <c r="AJ3124" s="1077">
        <v>-0.63</v>
      </c>
      <c r="AK3124" s="1077">
        <v>1.79</v>
      </c>
      <c r="AM3124" s="1078" t="s">
        <v>15344</v>
      </c>
      <c r="AN3124" s="1078" t="s">
        <v>15444</v>
      </c>
      <c r="AO3124" s="1078">
        <f t="shared" si="390"/>
        <v>600</v>
      </c>
      <c r="AP3124" s="1078">
        <f t="shared" si="391"/>
        <v>1.81</v>
      </c>
      <c r="AQ3124" s="1078" t="str">
        <f t="shared" si="392"/>
        <v>1-5-1S91°Z+S</v>
      </c>
      <c r="AR3124" s="1078" t="str">
        <f t="shared" si="393"/>
        <v>NA</v>
      </c>
      <c r="AS3124" s="1078" t="str">
        <f t="shared" si="394"/>
        <v>350/320OFF</v>
      </c>
      <c r="AT3124" s="1078" t="str">
        <f t="shared" si="395"/>
        <v>1-5-1S91°Z+S</v>
      </c>
      <c r="AU3124" s="1078" t="s">
        <v>15547</v>
      </c>
      <c r="AV3124" s="1078" t="str">
        <f t="shared" si="388"/>
        <v>114.5.27</v>
      </c>
      <c r="AW3124" s="1344">
        <f t="shared" si="389"/>
        <v>45804</v>
      </c>
    </row>
    <row r="3125" spans="1:49">
      <c r="A3125" s="1077" t="s">
        <v>15419</v>
      </c>
      <c r="B3125" s="1077" t="s">
        <v>467</v>
      </c>
      <c r="C3125" s="1077">
        <v>600</v>
      </c>
      <c r="D3125" s="1077">
        <v>1.81</v>
      </c>
      <c r="E3125" s="1077" t="s">
        <v>15122</v>
      </c>
      <c r="F3125" s="1077" t="s">
        <v>648</v>
      </c>
      <c r="G3125" s="1077" t="s">
        <v>6865</v>
      </c>
      <c r="H3125" s="1077" t="s">
        <v>15266</v>
      </c>
      <c r="I3125" s="1077" t="s">
        <v>7864</v>
      </c>
      <c r="J3125" s="1077">
        <v>3.7</v>
      </c>
      <c r="K3125" s="1077" t="s">
        <v>15420</v>
      </c>
      <c r="L3125" s="1077" t="s">
        <v>4666</v>
      </c>
      <c r="M3125" s="1077">
        <v>295.10000000000002</v>
      </c>
      <c r="N3125" s="1077" t="s">
        <v>945</v>
      </c>
      <c r="O3125" s="1077">
        <v>7.3775000000000013</v>
      </c>
      <c r="P3125" s="1077">
        <v>5.9020000000000001</v>
      </c>
      <c r="Q3125" s="1077">
        <v>4</v>
      </c>
      <c r="R3125" s="1077">
        <v>17.399999999999999</v>
      </c>
      <c r="T3125" s="1077">
        <v>31</v>
      </c>
      <c r="U3125" s="1077">
        <v>3.5</v>
      </c>
      <c r="V3125" s="1077" t="s">
        <v>648</v>
      </c>
      <c r="W3125" s="1077" t="s">
        <v>6880</v>
      </c>
      <c r="X3125" s="1077">
        <v>40</v>
      </c>
      <c r="Y3125" s="1077">
        <v>1</v>
      </c>
      <c r="Z3125" s="1077" t="s">
        <v>648</v>
      </c>
      <c r="AA3125" s="1077" t="s">
        <v>15402</v>
      </c>
      <c r="AH3125" s="1077" t="s">
        <v>1221</v>
      </c>
      <c r="AI3125" s="1077">
        <v>94.13</v>
      </c>
      <c r="AJ3125" s="1077">
        <v>-0.32</v>
      </c>
      <c r="AK3125" s="1077">
        <v>1.84</v>
      </c>
      <c r="AM3125" s="1078" t="s">
        <v>15350</v>
      </c>
      <c r="AN3125" s="1078" t="s">
        <v>15445</v>
      </c>
      <c r="AO3125" s="1078">
        <f t="shared" si="390"/>
        <v>600</v>
      </c>
      <c r="AP3125" s="1078">
        <f t="shared" si="391"/>
        <v>1.81</v>
      </c>
      <c r="AQ3125" s="1078" t="str">
        <f t="shared" si="392"/>
        <v>1-5-1S91°Z+S</v>
      </c>
      <c r="AR3125" s="1078" t="str">
        <f t="shared" si="393"/>
        <v>NA</v>
      </c>
      <c r="AS3125" s="1078" t="str">
        <f t="shared" si="394"/>
        <v>350/320OFF</v>
      </c>
      <c r="AT3125" s="1078" t="str">
        <f t="shared" si="395"/>
        <v>1-5-1S91°Z+S</v>
      </c>
      <c r="AU3125" s="1078" t="s">
        <v>15547</v>
      </c>
      <c r="AV3125" s="1078" t="str">
        <f t="shared" si="388"/>
        <v>114.5.28</v>
      </c>
      <c r="AW3125" s="1344">
        <f t="shared" si="389"/>
        <v>45805</v>
      </c>
    </row>
    <row r="3126" spans="1:49">
      <c r="A3126" s="1077" t="s">
        <v>15421</v>
      </c>
      <c r="B3126" s="1077" t="s">
        <v>467</v>
      </c>
      <c r="C3126" s="1077">
        <v>670</v>
      </c>
      <c r="D3126" s="1077">
        <v>1.8049999999999999</v>
      </c>
      <c r="E3126" s="1077" t="s">
        <v>15109</v>
      </c>
      <c r="F3126" s="1077" t="s">
        <v>648</v>
      </c>
      <c r="G3126" s="1077" t="s">
        <v>6865</v>
      </c>
      <c r="H3126" s="1077" t="s">
        <v>7863</v>
      </c>
      <c r="I3126" s="1077" t="s">
        <v>6937</v>
      </c>
      <c r="J3126" s="1077">
        <v>3.7</v>
      </c>
      <c r="K3126" s="1077" t="s">
        <v>15422</v>
      </c>
      <c r="L3126" s="1077" t="s">
        <v>4666</v>
      </c>
      <c r="M3126" s="1077">
        <v>295.10000000000002</v>
      </c>
      <c r="N3126" s="1077" t="s">
        <v>945</v>
      </c>
      <c r="O3126" s="1077">
        <v>7.3775000000000013</v>
      </c>
      <c r="P3126" s="1077">
        <v>5.9020000000000001</v>
      </c>
      <c r="Q3126" s="1077">
        <v>4</v>
      </c>
      <c r="R3126" s="1077">
        <v>17.399999999999999</v>
      </c>
      <c r="T3126" s="1077">
        <v>31</v>
      </c>
      <c r="U3126" s="1077">
        <v>3.5</v>
      </c>
      <c r="V3126" s="1077" t="s">
        <v>648</v>
      </c>
      <c r="W3126" s="1077" t="s">
        <v>6880</v>
      </c>
      <c r="X3126" s="1077">
        <v>40</v>
      </c>
      <c r="Y3126" s="1077">
        <v>1</v>
      </c>
      <c r="Z3126" s="1077" t="s">
        <v>648</v>
      </c>
      <c r="AA3126" s="1077" t="s">
        <v>15423</v>
      </c>
      <c r="AH3126" s="1077" t="s">
        <v>646</v>
      </c>
      <c r="AM3126" s="1078" t="s">
        <v>15367</v>
      </c>
      <c r="AN3126" s="1078" t="s">
        <v>15446</v>
      </c>
      <c r="AO3126" s="1078">
        <f t="shared" si="390"/>
        <v>670</v>
      </c>
      <c r="AP3126" s="1078">
        <f t="shared" si="391"/>
        <v>1.8049999999999999</v>
      </c>
      <c r="AQ3126" s="1078" t="str">
        <f t="shared" si="392"/>
        <v>1-5-1S85°Z+S</v>
      </c>
      <c r="AR3126" s="1078" t="str">
        <f t="shared" si="393"/>
        <v>NA</v>
      </c>
      <c r="AS3126" s="1078" t="str">
        <f t="shared" si="394"/>
        <v>204/OFF</v>
      </c>
      <c r="AT3126" s="1078" t="str">
        <f t="shared" si="395"/>
        <v>1-5-1S85°Z+S</v>
      </c>
      <c r="AU3126" s="1078" t="s">
        <v>15547</v>
      </c>
      <c r="AV3126" s="1078" t="str">
        <f t="shared" si="388"/>
        <v>114.6.5</v>
      </c>
      <c r="AW3126" s="1344">
        <f t="shared" si="389"/>
        <v>45813</v>
      </c>
    </row>
    <row r="3127" spans="1:49">
      <c r="A3127" s="1077" t="s">
        <v>15424</v>
      </c>
      <c r="B3127" s="1077" t="s">
        <v>8594</v>
      </c>
      <c r="C3127" s="1077">
        <v>600</v>
      </c>
      <c r="D3127" s="1077">
        <v>1.68</v>
      </c>
      <c r="E3127" s="1077" t="s">
        <v>15094</v>
      </c>
      <c r="F3127" s="1077" t="s">
        <v>984</v>
      </c>
      <c r="G3127" s="1077">
        <v>5</v>
      </c>
      <c r="H3127" s="1077" t="s">
        <v>2540</v>
      </c>
      <c r="I3127" s="1077" t="s">
        <v>643</v>
      </c>
      <c r="J3127" s="1077">
        <v>2.9</v>
      </c>
      <c r="K3127" s="1077" t="s">
        <v>15425</v>
      </c>
      <c r="L3127" s="1077" t="s">
        <v>8937</v>
      </c>
      <c r="M3127" s="1077">
        <v>225</v>
      </c>
      <c r="N3127" s="1077" t="s">
        <v>945</v>
      </c>
      <c r="O3127" s="1077">
        <v>5.625</v>
      </c>
      <c r="P3127" s="1077">
        <v>4.5</v>
      </c>
      <c r="Q3127" s="1077">
        <v>2.5</v>
      </c>
      <c r="R3127" s="1077">
        <v>28</v>
      </c>
      <c r="T3127" s="1077">
        <v>13.1</v>
      </c>
      <c r="U3127" s="1077">
        <v>6.1</v>
      </c>
      <c r="V3127" s="1077" t="s">
        <v>648</v>
      </c>
      <c r="W3127" s="1077">
        <v>100</v>
      </c>
      <c r="X3127" s="1077">
        <v>80</v>
      </c>
      <c r="Y3127" s="1077">
        <v>1.8</v>
      </c>
      <c r="Z3127" s="1077">
        <v>7.5</v>
      </c>
      <c r="AA3127" s="1077" t="s">
        <v>15426</v>
      </c>
      <c r="AH3127" s="1077" t="s">
        <v>684</v>
      </c>
      <c r="AI3127" s="1077">
        <v>92.25</v>
      </c>
      <c r="AJ3127" s="1077">
        <v>-0.75</v>
      </c>
      <c r="AK3127" s="1077">
        <v>5.63</v>
      </c>
      <c r="AM3127" s="1078" t="s">
        <v>15335</v>
      </c>
      <c r="AN3127" s="1078" t="s">
        <v>15447</v>
      </c>
      <c r="AO3127" s="1078">
        <f t="shared" si="390"/>
        <v>600</v>
      </c>
      <c r="AP3127" s="1078">
        <f t="shared" si="391"/>
        <v>1.68</v>
      </c>
      <c r="AQ3127" s="1078" t="str">
        <f t="shared" si="392"/>
        <v>1-5-1S91°</v>
      </c>
      <c r="AR3127" s="1078" t="str">
        <f t="shared" si="393"/>
        <v>30</v>
      </c>
      <c r="AS3127" s="1078" t="str">
        <f t="shared" si="394"/>
        <v>300/300/OFF</v>
      </c>
      <c r="AT3127" s="1078" t="str">
        <f t="shared" si="395"/>
        <v>1-5-1S91°</v>
      </c>
      <c r="AV3127" s="1078" t="str">
        <f t="shared" si="388"/>
        <v>114.5.22</v>
      </c>
      <c r="AW3127" s="1344">
        <f t="shared" si="389"/>
        <v>45799</v>
      </c>
    </row>
    <row r="3128" spans="1:49">
      <c r="A3128" s="1077" t="s">
        <v>15427</v>
      </c>
      <c r="B3128" s="1077" t="s">
        <v>15348</v>
      </c>
      <c r="C3128" s="1077">
        <v>550</v>
      </c>
      <c r="D3128" s="1077">
        <v>1.71</v>
      </c>
      <c r="E3128" s="1077" t="s">
        <v>15088</v>
      </c>
      <c r="F3128" s="1077" t="s">
        <v>648</v>
      </c>
      <c r="G3128" s="1077">
        <v>2</v>
      </c>
      <c r="H3128" s="1077" t="s">
        <v>15428</v>
      </c>
      <c r="I3128" s="1077" t="s">
        <v>626</v>
      </c>
      <c r="J3128" s="1077">
        <v>1.1000000000000001</v>
      </c>
      <c r="K3128" s="1077" t="s">
        <v>15316</v>
      </c>
      <c r="L3128" s="1077" t="s">
        <v>15317</v>
      </c>
      <c r="M3128" s="1077">
        <v>31.5</v>
      </c>
      <c r="N3128" s="1077" t="s">
        <v>945</v>
      </c>
      <c r="O3128" s="1077">
        <v>0.78750000000000009</v>
      </c>
      <c r="P3128" s="1077">
        <v>0.63</v>
      </c>
      <c r="Q3128" s="1077">
        <v>4</v>
      </c>
      <c r="R3128" s="1077">
        <v>25</v>
      </c>
      <c r="T3128" s="1077">
        <v>14.5</v>
      </c>
      <c r="U3128" s="1077">
        <v>3</v>
      </c>
      <c r="V3128" s="1077" t="s">
        <v>648</v>
      </c>
      <c r="W3128" s="1077">
        <v>150</v>
      </c>
      <c r="X3128" s="1077">
        <v>80</v>
      </c>
      <c r="Y3128" s="1077">
        <v>2.2000000000000002</v>
      </c>
      <c r="Z3128" s="1077">
        <v>4</v>
      </c>
      <c r="AA3128" s="1077" t="s">
        <v>15386</v>
      </c>
      <c r="AH3128" s="1077" t="s">
        <v>1137</v>
      </c>
      <c r="AI3128" s="1077">
        <v>90.49</v>
      </c>
      <c r="AJ3128" s="1077">
        <v>-0.8</v>
      </c>
      <c r="AK3128" s="1077">
        <v>2.91</v>
      </c>
      <c r="AM3128" s="1078" t="s">
        <v>15347</v>
      </c>
      <c r="AN3128" s="1078" t="s">
        <v>15331</v>
      </c>
      <c r="AO3128" s="1078">
        <f t="shared" si="390"/>
        <v>550</v>
      </c>
      <c r="AP3128" s="1078">
        <f t="shared" si="391"/>
        <v>1.71</v>
      </c>
      <c r="AQ3128" s="1078" t="str">
        <f t="shared" si="392"/>
        <v>1-4-1S85°</v>
      </c>
      <c r="AR3128" s="1078" t="str">
        <f t="shared" si="393"/>
        <v>NA</v>
      </c>
      <c r="AS3128" s="1078" t="str">
        <f t="shared" si="394"/>
        <v>165/130</v>
      </c>
      <c r="AT3128" s="1078" t="str">
        <f t="shared" si="395"/>
        <v>1-4-1S85°</v>
      </c>
      <c r="AV3128" s="1078" t="str">
        <f t="shared" si="388"/>
        <v>114.5.27</v>
      </c>
      <c r="AW3128" s="1344">
        <f t="shared" si="389"/>
        <v>45804</v>
      </c>
    </row>
    <row r="3129" spans="1:49">
      <c r="A3129" s="1077" t="s">
        <v>15463</v>
      </c>
      <c r="B3129" s="1077" t="s">
        <v>1783</v>
      </c>
      <c r="C3129" s="1077">
        <v>500</v>
      </c>
      <c r="D3129" s="1077">
        <v>1.67</v>
      </c>
      <c r="E3129" s="1077" t="s">
        <v>15089</v>
      </c>
      <c r="F3129" s="1077" t="s">
        <v>2001</v>
      </c>
      <c r="G3129" s="1077" t="s">
        <v>1784</v>
      </c>
      <c r="H3129" s="1077" t="s">
        <v>1290</v>
      </c>
      <c r="I3129" s="1077" t="s">
        <v>126</v>
      </c>
      <c r="J3129" s="1077">
        <v>0.25</v>
      </c>
      <c r="K3129" s="1077" t="s">
        <v>15388</v>
      </c>
      <c r="L3129" s="1077" t="s">
        <v>1787</v>
      </c>
      <c r="M3129" s="1077">
        <v>75</v>
      </c>
      <c r="N3129" s="1077" t="s">
        <v>945</v>
      </c>
      <c r="O3129" s="1077">
        <v>1.875</v>
      </c>
      <c r="P3129" s="1077">
        <v>1.5</v>
      </c>
      <c r="Q3129" s="1077">
        <v>4</v>
      </c>
      <c r="R3129" s="1077">
        <v>21</v>
      </c>
      <c r="T3129" s="1077">
        <v>13</v>
      </c>
      <c r="U3129" s="1077">
        <v>4</v>
      </c>
      <c r="V3129" s="1077" t="s">
        <v>648</v>
      </c>
      <c r="W3129" s="1077">
        <v>30</v>
      </c>
      <c r="X3129" s="1077">
        <v>10</v>
      </c>
      <c r="Y3129" s="1077">
        <v>2.5</v>
      </c>
      <c r="Z3129" s="1077">
        <v>2</v>
      </c>
      <c r="AA3129" s="1077" t="s">
        <v>15464</v>
      </c>
      <c r="AH3129" s="1077" t="s">
        <v>889</v>
      </c>
      <c r="AM3129" s="1078" t="s">
        <v>15371</v>
      </c>
      <c r="AN3129" s="1078" t="s">
        <v>15486</v>
      </c>
      <c r="AO3129" s="1078">
        <f t="shared" si="390"/>
        <v>500</v>
      </c>
      <c r="AP3129" s="1078">
        <f t="shared" si="391"/>
        <v>1.67</v>
      </c>
      <c r="AQ3129" s="1078" t="str">
        <f t="shared" si="392"/>
        <v>1-4-1S83°</v>
      </c>
      <c r="AR3129" s="1078" t="str">
        <f t="shared" si="393"/>
        <v>29.9</v>
      </c>
      <c r="AS3129" s="1078" t="str">
        <f t="shared" si="394"/>
        <v>220/220/OFF</v>
      </c>
      <c r="AT3129" s="1078" t="str">
        <f t="shared" si="395"/>
        <v>1-4-1S83°</v>
      </c>
      <c r="AV3129" s="1078" t="str">
        <f t="shared" si="388"/>
        <v>114.6.9</v>
      </c>
      <c r="AW3129" s="1344">
        <f t="shared" si="389"/>
        <v>45817</v>
      </c>
    </row>
    <row r="3130" spans="1:49">
      <c r="A3130" s="1077" t="s">
        <v>15465</v>
      </c>
      <c r="B3130" s="1077" t="s">
        <v>15029</v>
      </c>
      <c r="C3130" s="1077">
        <v>650</v>
      </c>
      <c r="D3130" s="1077">
        <v>1.71</v>
      </c>
      <c r="E3130" s="1077" t="s">
        <v>15089</v>
      </c>
      <c r="F3130" s="1077" t="s">
        <v>984</v>
      </c>
      <c r="G3130" s="1077" t="s">
        <v>1767</v>
      </c>
      <c r="H3130" s="1077" t="s">
        <v>1831</v>
      </c>
      <c r="I3130" s="1077" t="s">
        <v>126</v>
      </c>
      <c r="J3130" s="1077">
        <v>1.2</v>
      </c>
      <c r="K3130" s="1077" t="s">
        <v>15200</v>
      </c>
      <c r="L3130" s="1077" t="s">
        <v>15201</v>
      </c>
      <c r="M3130" s="1077">
        <v>77</v>
      </c>
      <c r="N3130" s="1077" t="s">
        <v>945</v>
      </c>
      <c r="O3130" s="1077">
        <v>1.925</v>
      </c>
      <c r="P3130" s="1077">
        <v>1.54</v>
      </c>
      <c r="Q3130" s="1077">
        <v>3.8</v>
      </c>
      <c r="R3130" s="1077">
        <v>24</v>
      </c>
      <c r="T3130" s="1077">
        <v>9</v>
      </c>
      <c r="U3130" s="1077">
        <v>2.2000000000000002</v>
      </c>
      <c r="V3130" s="1077" t="s">
        <v>648</v>
      </c>
      <c r="W3130" s="1077">
        <v>125</v>
      </c>
      <c r="X3130" s="1077">
        <v>85</v>
      </c>
      <c r="Y3130" s="1077">
        <v>2.1</v>
      </c>
      <c r="Z3130" s="1077">
        <v>2.5</v>
      </c>
      <c r="AA3130" s="1077" t="s">
        <v>15466</v>
      </c>
      <c r="AB3130" s="1077" t="s">
        <v>981</v>
      </c>
      <c r="AH3130" s="1077" t="s">
        <v>3601</v>
      </c>
      <c r="AM3130" s="1078" t="s">
        <v>15377</v>
      </c>
      <c r="AN3130" s="1078" t="s">
        <v>15487</v>
      </c>
      <c r="AO3130" s="1078">
        <f t="shared" si="390"/>
        <v>650</v>
      </c>
      <c r="AP3130" s="1078">
        <f t="shared" si="391"/>
        <v>1.71</v>
      </c>
      <c r="AQ3130" s="1078" t="str">
        <f t="shared" si="392"/>
        <v>1-4-1S83°</v>
      </c>
      <c r="AR3130" s="1078" t="str">
        <f t="shared" si="393"/>
        <v>30</v>
      </c>
      <c r="AS3130" s="1078" t="str">
        <f t="shared" si="394"/>
        <v>260/260/165</v>
      </c>
      <c r="AT3130" s="1078" t="str">
        <f t="shared" si="395"/>
        <v>1-4-1S83°</v>
      </c>
      <c r="AV3130" s="1078" t="str">
        <f t="shared" si="388"/>
        <v>114.6.16</v>
      </c>
      <c r="AW3130" s="1344">
        <f t="shared" si="389"/>
        <v>45824</v>
      </c>
    </row>
    <row r="3131" spans="1:49">
      <c r="A3131" s="1077" t="s">
        <v>15467</v>
      </c>
      <c r="B3131" s="1077" t="s">
        <v>1815</v>
      </c>
      <c r="C3131" s="1077">
        <v>650</v>
      </c>
      <c r="D3131" s="1077">
        <v>1.73</v>
      </c>
      <c r="E3131" s="1077" t="s">
        <v>15098</v>
      </c>
      <c r="F3131" s="1077" t="s">
        <v>954</v>
      </c>
      <c r="G3131" s="1077" t="s">
        <v>1767</v>
      </c>
      <c r="H3131" s="1077" t="s">
        <v>1793</v>
      </c>
      <c r="I3131" s="1077" t="s">
        <v>126</v>
      </c>
      <c r="J3131" s="1077">
        <v>0.9</v>
      </c>
      <c r="K3131" s="1077" t="s">
        <v>15468</v>
      </c>
      <c r="L3131" s="1077" t="s">
        <v>1817</v>
      </c>
      <c r="M3131" s="1077">
        <v>75.099999999999994</v>
      </c>
      <c r="N3131" s="1077" t="s">
        <v>945</v>
      </c>
      <c r="O3131" s="1077">
        <v>1.8774999999999999</v>
      </c>
      <c r="P3131" s="1077">
        <v>1.502</v>
      </c>
      <c r="Q3131" s="1077">
        <v>4</v>
      </c>
      <c r="R3131" s="1077">
        <v>19</v>
      </c>
      <c r="T3131" s="1077">
        <v>21</v>
      </c>
      <c r="U3131" s="1077">
        <v>3.5</v>
      </c>
      <c r="V3131" s="1077" t="s">
        <v>648</v>
      </c>
      <c r="W3131" s="1077">
        <v>110</v>
      </c>
      <c r="X3131" s="1077">
        <v>65</v>
      </c>
      <c r="Y3131" s="1077">
        <v>1.6</v>
      </c>
      <c r="Z3131" s="1077">
        <v>4</v>
      </c>
      <c r="AA3131" s="1077" t="s">
        <v>15469</v>
      </c>
      <c r="AH3131" s="1077" t="s">
        <v>878</v>
      </c>
      <c r="AM3131" s="1078" t="s">
        <v>15449</v>
      </c>
      <c r="AN3131" s="1078" t="s">
        <v>15488</v>
      </c>
      <c r="AO3131" s="1078">
        <f t="shared" si="390"/>
        <v>650</v>
      </c>
      <c r="AP3131" s="1078">
        <f t="shared" si="391"/>
        <v>1.73</v>
      </c>
      <c r="AQ3131" s="1078" t="str">
        <f t="shared" si="392"/>
        <v>1-4-1S91°</v>
      </c>
      <c r="AR3131" s="1078" t="str">
        <f t="shared" si="393"/>
        <v>31</v>
      </c>
      <c r="AS3131" s="1078" t="str">
        <f t="shared" si="394"/>
        <v>270/270/OFF</v>
      </c>
      <c r="AT3131" s="1078" t="str">
        <f t="shared" si="395"/>
        <v>1-4-1S91°</v>
      </c>
      <c r="AV3131" s="1078" t="str">
        <f t="shared" si="388"/>
        <v>114.6.19</v>
      </c>
      <c r="AW3131" s="1344">
        <f t="shared" si="389"/>
        <v>45827</v>
      </c>
    </row>
    <row r="3132" spans="1:49">
      <c r="A3132" s="1077" t="s">
        <v>15470</v>
      </c>
      <c r="B3132" s="1077" t="s">
        <v>625</v>
      </c>
      <c r="C3132" s="1077">
        <v>500</v>
      </c>
      <c r="D3132" s="1077">
        <v>1.84</v>
      </c>
      <c r="E3132" s="1077" t="s">
        <v>15089</v>
      </c>
      <c r="F3132" s="1077" t="s">
        <v>975</v>
      </c>
      <c r="G3132" s="1077" t="s">
        <v>1016</v>
      </c>
      <c r="H3132" s="1077" t="s">
        <v>1145</v>
      </c>
      <c r="I3132" s="1077" t="s">
        <v>126</v>
      </c>
      <c r="J3132" s="1077">
        <v>1.6</v>
      </c>
      <c r="K3132" s="1077" t="s">
        <v>2611</v>
      </c>
      <c r="L3132" s="1077" t="s">
        <v>1987</v>
      </c>
      <c r="M3132" s="1077">
        <v>73</v>
      </c>
      <c r="N3132" s="1077" t="s">
        <v>945</v>
      </c>
      <c r="O3132" s="1077">
        <v>1.8250000000000002</v>
      </c>
      <c r="P3132" s="1077">
        <v>1.46</v>
      </c>
      <c r="Q3132" s="1077">
        <v>3</v>
      </c>
      <c r="R3132" s="1077">
        <v>28</v>
      </c>
      <c r="T3132" s="1077">
        <v>29</v>
      </c>
      <c r="U3132" s="1077">
        <v>3.5</v>
      </c>
      <c r="V3132" s="1077" t="s">
        <v>648</v>
      </c>
      <c r="W3132" s="1077">
        <v>120</v>
      </c>
      <c r="X3132" s="1077">
        <v>80</v>
      </c>
      <c r="Y3132" s="1077">
        <v>1.8</v>
      </c>
      <c r="Z3132" s="1077">
        <v>5.5</v>
      </c>
      <c r="AA3132" s="1077" t="s">
        <v>15469</v>
      </c>
      <c r="AH3132" s="1077" t="s">
        <v>619</v>
      </c>
      <c r="AM3132" s="1078" t="s">
        <v>15450</v>
      </c>
      <c r="AN3132" s="1078" t="s">
        <v>15489</v>
      </c>
      <c r="AO3132" s="1078">
        <f t="shared" si="390"/>
        <v>500</v>
      </c>
      <c r="AP3132" s="1078">
        <f t="shared" si="391"/>
        <v>1.84</v>
      </c>
      <c r="AQ3132" s="1078" t="str">
        <f t="shared" si="392"/>
        <v>1-4-1S83°</v>
      </c>
      <c r="AR3132" s="1078" t="str">
        <f t="shared" si="393"/>
        <v>31.5</v>
      </c>
      <c r="AS3132" s="1078" t="str">
        <f t="shared" si="394"/>
        <v>235/235/OFF</v>
      </c>
      <c r="AT3132" s="1078" t="str">
        <f t="shared" si="395"/>
        <v>1-4-1S83°</v>
      </c>
      <c r="AV3132" s="1078" t="str">
        <f t="shared" si="388"/>
        <v>114.6.19</v>
      </c>
      <c r="AW3132" s="1344">
        <f t="shared" si="389"/>
        <v>45827</v>
      </c>
    </row>
    <row r="3133" spans="1:49">
      <c r="A3133" s="1077" t="s">
        <v>15471</v>
      </c>
      <c r="B3133" s="1077" t="s">
        <v>625</v>
      </c>
      <c r="C3133" s="1077">
        <v>500</v>
      </c>
      <c r="D3133" s="1077">
        <v>1.82</v>
      </c>
      <c r="E3133" s="1077" t="s">
        <v>15089</v>
      </c>
      <c r="F3133" s="1077" t="s">
        <v>975</v>
      </c>
      <c r="G3133" s="1077" t="s">
        <v>1016</v>
      </c>
      <c r="H3133" s="1077" t="s">
        <v>1145</v>
      </c>
      <c r="I3133" s="1077" t="s">
        <v>126</v>
      </c>
      <c r="J3133" s="1077">
        <v>1.5</v>
      </c>
      <c r="K3133" s="1077" t="s">
        <v>15472</v>
      </c>
      <c r="L3133" s="1077" t="s">
        <v>1987</v>
      </c>
      <c r="M3133" s="1077">
        <v>75</v>
      </c>
      <c r="N3133" s="1077" t="s">
        <v>945</v>
      </c>
      <c r="O3133" s="1077">
        <v>1.875</v>
      </c>
      <c r="P3133" s="1077">
        <v>1.5</v>
      </c>
      <c r="Q3133" s="1077">
        <v>3</v>
      </c>
      <c r="R3133" s="1077">
        <v>23</v>
      </c>
      <c r="T3133" s="1077">
        <v>29</v>
      </c>
      <c r="U3133" s="1077">
        <v>3.5</v>
      </c>
      <c r="V3133" s="1077" t="s">
        <v>648</v>
      </c>
      <c r="W3133" s="1077">
        <v>120</v>
      </c>
      <c r="X3133" s="1077">
        <v>80</v>
      </c>
      <c r="Y3133" s="1077">
        <v>1.8</v>
      </c>
      <c r="Z3133" s="1077">
        <v>5.5</v>
      </c>
      <c r="AA3133" s="1077" t="s">
        <v>15469</v>
      </c>
      <c r="AH3133" s="1077" t="s">
        <v>813</v>
      </c>
      <c r="AM3133" s="1078" t="s">
        <v>15451</v>
      </c>
      <c r="AN3133" s="1078" t="s">
        <v>15490</v>
      </c>
      <c r="AO3133" s="1078">
        <f t="shared" si="390"/>
        <v>500</v>
      </c>
      <c r="AP3133" s="1078">
        <f t="shared" si="391"/>
        <v>1.82</v>
      </c>
      <c r="AQ3133" s="1078" t="str">
        <f t="shared" si="392"/>
        <v>1-4-1S83°</v>
      </c>
      <c r="AR3133" s="1078" t="str">
        <f t="shared" si="393"/>
        <v>31.5</v>
      </c>
      <c r="AS3133" s="1078" t="str">
        <f t="shared" si="394"/>
        <v>235/235/OFF</v>
      </c>
      <c r="AT3133" s="1078" t="str">
        <f t="shared" si="395"/>
        <v>1-4-1S83°</v>
      </c>
      <c r="AV3133" s="1078" t="str">
        <f t="shared" si="388"/>
        <v>114.6.19</v>
      </c>
      <c r="AW3133" s="1344">
        <f t="shared" si="389"/>
        <v>45827</v>
      </c>
    </row>
    <row r="3134" spans="1:49">
      <c r="A3134" s="1077" t="s">
        <v>15473</v>
      </c>
      <c r="B3134" s="1077" t="s">
        <v>757</v>
      </c>
      <c r="C3134" s="1077">
        <v>500</v>
      </c>
      <c r="D3134" s="1077">
        <v>1.77</v>
      </c>
      <c r="E3134" s="1077" t="s">
        <v>15111</v>
      </c>
      <c r="F3134" s="1077" t="s">
        <v>975</v>
      </c>
      <c r="G3134" s="1077">
        <v>4</v>
      </c>
      <c r="H3134" s="1077" t="s">
        <v>6766</v>
      </c>
      <c r="I3134" s="1077" t="s">
        <v>126</v>
      </c>
      <c r="J3134" s="1077">
        <v>2.9</v>
      </c>
      <c r="K3134" s="1077" t="s">
        <v>15474</v>
      </c>
      <c r="L3134" s="1077" t="s">
        <v>6118</v>
      </c>
      <c r="M3134" s="1077">
        <v>148.5</v>
      </c>
      <c r="N3134" s="1077" t="s">
        <v>945</v>
      </c>
      <c r="O3134" s="1077">
        <v>3.7125000000000004</v>
      </c>
      <c r="P3134" s="1077">
        <v>2.97</v>
      </c>
      <c r="Q3134" s="1077">
        <v>3.5</v>
      </c>
      <c r="R3134" s="1077" t="s">
        <v>15475</v>
      </c>
      <c r="T3134" s="1077">
        <v>30</v>
      </c>
      <c r="U3134" s="1077">
        <v>3.6</v>
      </c>
      <c r="V3134" s="1077" t="s">
        <v>648</v>
      </c>
      <c r="W3134" s="1077">
        <v>120</v>
      </c>
      <c r="X3134" s="1077">
        <v>70</v>
      </c>
      <c r="Y3134" s="1077">
        <v>1.8</v>
      </c>
      <c r="Z3134" s="1077">
        <v>6.5</v>
      </c>
      <c r="AA3134" s="1077" t="s">
        <v>15476</v>
      </c>
      <c r="AH3134" s="1077" t="s">
        <v>1588</v>
      </c>
      <c r="AM3134" s="1078" t="s">
        <v>15374</v>
      </c>
      <c r="AN3134" s="1078" t="s">
        <v>15491</v>
      </c>
      <c r="AO3134" s="1078">
        <f t="shared" si="390"/>
        <v>500</v>
      </c>
      <c r="AP3134" s="1078">
        <f t="shared" si="391"/>
        <v>1.77</v>
      </c>
      <c r="AQ3134" s="1078" t="str">
        <f t="shared" si="392"/>
        <v>1-5-1S91</v>
      </c>
      <c r="AR3134" s="1078" t="str">
        <f t="shared" si="393"/>
        <v>31.5</v>
      </c>
      <c r="AS3134" s="1078" t="str">
        <f t="shared" si="394"/>
        <v>325/325/OFF</v>
      </c>
      <c r="AT3134" s="1078" t="str">
        <f t="shared" si="395"/>
        <v>1-5-1S91</v>
      </c>
      <c r="AV3134" s="1078" t="str">
        <f t="shared" si="388"/>
        <v>114.6.13</v>
      </c>
      <c r="AW3134" s="1344">
        <f t="shared" si="389"/>
        <v>45821</v>
      </c>
    </row>
    <row r="3135" spans="1:49">
      <c r="A3135" s="1077" t="s">
        <v>15477</v>
      </c>
      <c r="B3135" s="1077" t="s">
        <v>467</v>
      </c>
      <c r="C3135" s="1077">
        <v>600</v>
      </c>
      <c r="D3135" s="1077">
        <v>1.77</v>
      </c>
      <c r="E3135" s="1077">
        <v>102.5</v>
      </c>
      <c r="F3135" s="1077" t="s">
        <v>4070</v>
      </c>
      <c r="G3135" s="1077">
        <v>5.5</v>
      </c>
      <c r="H3135" s="1077" t="s">
        <v>15178</v>
      </c>
      <c r="I3135" s="1077" t="s">
        <v>15417</v>
      </c>
      <c r="J3135" s="1077">
        <v>3.7</v>
      </c>
      <c r="K3135" s="1077" t="s">
        <v>15478</v>
      </c>
      <c r="L3135" s="1077" t="s">
        <v>4666</v>
      </c>
      <c r="M3135" s="1077">
        <v>295.10000000000002</v>
      </c>
      <c r="N3135" s="1077" t="s">
        <v>945</v>
      </c>
      <c r="O3135" s="1077">
        <v>7.3775000000000013</v>
      </c>
      <c r="P3135" s="1077">
        <v>5.9020000000000001</v>
      </c>
      <c r="Q3135" s="1077">
        <v>4</v>
      </c>
      <c r="R3135" s="1077">
        <v>20</v>
      </c>
      <c r="T3135" s="1077">
        <v>31</v>
      </c>
      <c r="U3135" s="1077">
        <v>3.5</v>
      </c>
      <c r="V3135" s="1077" t="s">
        <v>648</v>
      </c>
      <c r="W3135" s="1077">
        <v>100</v>
      </c>
      <c r="X3135" s="1077">
        <v>40</v>
      </c>
      <c r="Y3135" s="1077">
        <v>1</v>
      </c>
      <c r="Z3135" s="1077" t="s">
        <v>648</v>
      </c>
      <c r="AA3135" s="1077" t="s">
        <v>15479</v>
      </c>
      <c r="AH3135" s="1077" t="s">
        <v>1376</v>
      </c>
      <c r="AM3135" s="1078" t="s">
        <v>15369</v>
      </c>
      <c r="AN3135" s="1078" t="s">
        <v>15492</v>
      </c>
      <c r="AO3135" s="1078">
        <f t="shared" si="390"/>
        <v>600</v>
      </c>
      <c r="AP3135" s="1078">
        <f t="shared" si="391"/>
        <v>1.77</v>
      </c>
      <c r="AQ3135" s="1078">
        <f t="shared" si="392"/>
        <v>102.5</v>
      </c>
      <c r="AR3135" s="1078" t="str">
        <f t="shared" si="393"/>
        <v>15.5</v>
      </c>
      <c r="AS3135" s="1078" t="str">
        <f t="shared" si="394"/>
        <v>501/461/OFF</v>
      </c>
      <c r="AT3135" s="1078">
        <f t="shared" si="395"/>
        <v>102.5</v>
      </c>
      <c r="AV3135" s="1078" t="str">
        <f t="shared" si="388"/>
        <v>114.6.6</v>
      </c>
      <c r="AW3135" s="1344">
        <f t="shared" si="389"/>
        <v>45814</v>
      </c>
    </row>
    <row r="3136" spans="1:49">
      <c r="A3136" s="1077" t="s">
        <v>15480</v>
      </c>
      <c r="B3136" s="1077" t="s">
        <v>714</v>
      </c>
      <c r="C3136" s="1077">
        <v>650</v>
      </c>
      <c r="D3136" s="1077">
        <v>1.76</v>
      </c>
      <c r="E3136" s="1077" t="s">
        <v>15121</v>
      </c>
      <c r="F3136" s="1077" t="s">
        <v>648</v>
      </c>
      <c r="G3136" s="1077">
        <v>5</v>
      </c>
      <c r="H3136" s="1077" t="s">
        <v>7947</v>
      </c>
      <c r="I3136" s="1077" t="s">
        <v>7709</v>
      </c>
      <c r="J3136" s="1077">
        <v>3.7</v>
      </c>
      <c r="K3136" s="1077" t="s">
        <v>15481</v>
      </c>
      <c r="L3136" s="1077" t="s">
        <v>4666</v>
      </c>
      <c r="M3136" s="1077">
        <v>298.8</v>
      </c>
      <c r="N3136" s="1077" t="s">
        <v>945</v>
      </c>
      <c r="O3136" s="1077">
        <v>7.4700000000000006</v>
      </c>
      <c r="P3136" s="1077">
        <v>5.976</v>
      </c>
      <c r="Q3136" s="1077">
        <v>4</v>
      </c>
      <c r="R3136" s="1077">
        <v>20.5</v>
      </c>
      <c r="T3136" s="1077">
        <v>21</v>
      </c>
      <c r="U3136" s="1077">
        <v>3.5</v>
      </c>
      <c r="V3136" s="1077" t="s">
        <v>648</v>
      </c>
      <c r="W3136" s="1077">
        <v>20</v>
      </c>
      <c r="X3136" s="1077">
        <v>10</v>
      </c>
      <c r="Y3136" s="1077">
        <v>1.2</v>
      </c>
      <c r="Z3136" s="1077" t="s">
        <v>648</v>
      </c>
      <c r="AA3136" s="1077" t="s">
        <v>15482</v>
      </c>
      <c r="AH3136" s="1077" t="s">
        <v>1170</v>
      </c>
      <c r="AM3136" s="1078" t="s">
        <v>15372</v>
      </c>
      <c r="AN3136" s="1078" t="s">
        <v>15493</v>
      </c>
      <c r="AO3136" s="1078">
        <f t="shared" si="390"/>
        <v>650</v>
      </c>
      <c r="AP3136" s="1078">
        <f t="shared" si="391"/>
        <v>1.76</v>
      </c>
      <c r="AQ3136" s="1078" t="str">
        <f t="shared" si="392"/>
        <v>1-5-1S85°S+Z</v>
      </c>
      <c r="AR3136" s="1078" t="str">
        <f t="shared" si="393"/>
        <v>NA</v>
      </c>
      <c r="AS3136" s="1078" t="str">
        <f t="shared" si="394"/>
        <v>176/173</v>
      </c>
      <c r="AT3136" s="1078" t="str">
        <f t="shared" si="395"/>
        <v>1-5-1S85°S+Z</v>
      </c>
      <c r="AU3136" s="1078" t="s">
        <v>15550</v>
      </c>
      <c r="AV3136" s="1078" t="str">
        <f t="shared" si="388"/>
        <v>114.6.11</v>
      </c>
      <c r="AW3136" s="1344">
        <f t="shared" si="389"/>
        <v>45819</v>
      </c>
    </row>
    <row r="3137" spans="1:49">
      <c r="A3137" s="1077" t="s">
        <v>15483</v>
      </c>
      <c r="B3137" s="1077" t="s">
        <v>467</v>
      </c>
      <c r="C3137" s="1077">
        <v>670</v>
      </c>
      <c r="D3137" s="1077">
        <v>1.79</v>
      </c>
      <c r="E3137" s="1077" t="s">
        <v>15109</v>
      </c>
      <c r="F3137" s="1077" t="s">
        <v>648</v>
      </c>
      <c r="G3137" s="1077" t="s">
        <v>6865</v>
      </c>
      <c r="H3137" s="1077" t="s">
        <v>7863</v>
      </c>
      <c r="I3137" s="1077" t="s">
        <v>6937</v>
      </c>
      <c r="J3137" s="1077">
        <v>3.7</v>
      </c>
      <c r="K3137" s="1077" t="s">
        <v>15484</v>
      </c>
      <c r="L3137" s="1077" t="s">
        <v>4666</v>
      </c>
      <c r="M3137" s="1077">
        <v>295.10000000000002</v>
      </c>
      <c r="N3137" s="1077" t="s">
        <v>945</v>
      </c>
      <c r="O3137" s="1077">
        <v>7.3775000000000013</v>
      </c>
      <c r="P3137" s="1077">
        <v>5.9020000000000001</v>
      </c>
      <c r="Q3137" s="1077">
        <v>4</v>
      </c>
      <c r="R3137" s="1077">
        <v>17.399999999999999</v>
      </c>
      <c r="T3137" s="1077">
        <v>31</v>
      </c>
      <c r="U3137" s="1077">
        <v>3.5</v>
      </c>
      <c r="V3137" s="1077" t="s">
        <v>648</v>
      </c>
      <c r="W3137" s="1077" t="s">
        <v>6880</v>
      </c>
      <c r="X3137" s="1077">
        <v>40</v>
      </c>
      <c r="Y3137" s="1077">
        <v>1</v>
      </c>
      <c r="Z3137" s="1077" t="s">
        <v>648</v>
      </c>
      <c r="AA3137" s="1077" t="s">
        <v>15485</v>
      </c>
      <c r="AH3137" s="1077" t="s">
        <v>680</v>
      </c>
      <c r="AM3137" s="1078" t="s">
        <v>15448</v>
      </c>
      <c r="AN3137" s="1078" t="s">
        <v>15494</v>
      </c>
      <c r="AO3137" s="1078">
        <f t="shared" si="390"/>
        <v>670</v>
      </c>
      <c r="AP3137" s="1078">
        <f t="shared" si="391"/>
        <v>1.79</v>
      </c>
      <c r="AQ3137" s="1078" t="str">
        <f t="shared" si="392"/>
        <v>1-5-1S85°Z+S</v>
      </c>
      <c r="AR3137" s="1078" t="str">
        <f t="shared" si="393"/>
        <v>NA</v>
      </c>
      <c r="AS3137" s="1078" t="str">
        <f t="shared" si="394"/>
        <v>204/OFF</v>
      </c>
      <c r="AT3137" s="1078" t="str">
        <f t="shared" si="395"/>
        <v>1-5-1S85°Z+S</v>
      </c>
      <c r="AU3137" s="1078" t="s">
        <v>15547</v>
      </c>
      <c r="AV3137" s="1078" t="str">
        <f t="shared" si="388"/>
        <v>114.6.17</v>
      </c>
      <c r="AW3137" s="1344">
        <f t="shared" si="389"/>
        <v>45825</v>
      </c>
    </row>
    <row r="3138" spans="1:49">
      <c r="A3138" s="1077" t="s">
        <v>15555</v>
      </c>
      <c r="B3138" s="1077" t="s">
        <v>424</v>
      </c>
      <c r="C3138" s="1077">
        <v>750</v>
      </c>
      <c r="D3138" s="1077">
        <v>1.7849999999999999</v>
      </c>
      <c r="E3138" s="1077" t="s">
        <v>15089</v>
      </c>
      <c r="F3138" s="1077" t="s">
        <v>954</v>
      </c>
      <c r="G3138" s="1077" t="s">
        <v>1767</v>
      </c>
      <c r="H3138" s="1077" t="s">
        <v>3363</v>
      </c>
      <c r="I3138" s="1077" t="s">
        <v>126</v>
      </c>
      <c r="J3138" s="1077">
        <v>1.8</v>
      </c>
      <c r="K3138" s="1077" t="s">
        <v>15205</v>
      </c>
      <c r="L3138" s="1077" t="s">
        <v>1968</v>
      </c>
      <c r="M3138" s="1077">
        <v>73</v>
      </c>
      <c r="N3138" s="1077" t="s">
        <v>945</v>
      </c>
      <c r="O3138" s="1077">
        <v>1.8250000000000002</v>
      </c>
      <c r="P3138" s="1077">
        <v>1.46</v>
      </c>
      <c r="Q3138" s="1077">
        <v>4</v>
      </c>
      <c r="R3138" s="1077">
        <v>21.6</v>
      </c>
      <c r="T3138" s="1077">
        <v>32</v>
      </c>
      <c r="U3138" s="1077">
        <v>3.5</v>
      </c>
      <c r="V3138" s="1077" t="s">
        <v>648</v>
      </c>
      <c r="W3138" s="1077">
        <v>110</v>
      </c>
      <c r="X3138" s="1077">
        <v>60</v>
      </c>
      <c r="Y3138" s="1077">
        <v>1.5</v>
      </c>
      <c r="Z3138" s="1077">
        <v>5.5</v>
      </c>
      <c r="AA3138" s="1077" t="s">
        <v>15556</v>
      </c>
      <c r="AH3138" s="1077" t="s">
        <v>1186</v>
      </c>
      <c r="AI3138" s="1077">
        <v>91.61</v>
      </c>
      <c r="AJ3138" s="1077">
        <v>-0.28000000000000003</v>
      </c>
      <c r="AK3138" s="1077">
        <v>0.96</v>
      </c>
      <c r="AM3138" s="1078" t="s">
        <v>15457</v>
      </c>
      <c r="AN3138" s="1078" t="s">
        <v>15557</v>
      </c>
      <c r="AO3138" s="1078">
        <f t="shared" si="390"/>
        <v>750</v>
      </c>
      <c r="AP3138" s="1078">
        <f t="shared" si="391"/>
        <v>1.7849999999999999</v>
      </c>
      <c r="AQ3138" s="1078" t="str">
        <f t="shared" si="392"/>
        <v>1-4-1S83°</v>
      </c>
      <c r="AR3138" s="1078" t="str">
        <f t="shared" si="393"/>
        <v>31</v>
      </c>
      <c r="AS3138" s="1078" t="str">
        <f t="shared" si="394"/>
        <v>277/277/OFF</v>
      </c>
      <c r="AT3138" s="1078" t="str">
        <f t="shared" si="395"/>
        <v>1-4-1S83°</v>
      </c>
      <c r="AV3138" s="1078" t="str">
        <f t="shared" ref="AV3138:AV3201" si="396">AA3138</f>
        <v>114.6.23</v>
      </c>
      <c r="AW3138" s="1344">
        <f t="shared" si="389"/>
        <v>45831</v>
      </c>
    </row>
    <row r="3139" spans="1:49">
      <c r="A3139" s="1077" t="s">
        <v>15558</v>
      </c>
      <c r="B3139" s="1077" t="s">
        <v>715</v>
      </c>
      <c r="C3139" s="1077">
        <v>600</v>
      </c>
      <c r="D3139" s="1077">
        <v>1.7</v>
      </c>
      <c r="E3139" s="1077" t="s">
        <v>15095</v>
      </c>
      <c r="F3139" s="1077" t="s">
        <v>1897</v>
      </c>
      <c r="G3139" s="1077" t="s">
        <v>940</v>
      </c>
      <c r="H3139" s="1077" t="s">
        <v>1649</v>
      </c>
      <c r="I3139" s="1077" t="s">
        <v>126</v>
      </c>
      <c r="J3139" s="1077">
        <v>1.1000000000000001</v>
      </c>
      <c r="K3139" s="1077" t="s">
        <v>15392</v>
      </c>
      <c r="L3139" s="1077" t="s">
        <v>4548</v>
      </c>
      <c r="M3139" s="1077">
        <v>101.5</v>
      </c>
      <c r="N3139" s="1077" t="s">
        <v>945</v>
      </c>
      <c r="O3139" s="1077">
        <v>2.5375000000000001</v>
      </c>
      <c r="P3139" s="1077">
        <v>2.0300000000000002</v>
      </c>
      <c r="Q3139" s="1077">
        <v>4</v>
      </c>
      <c r="R3139" s="1077">
        <v>23</v>
      </c>
      <c r="T3139" s="1077">
        <v>12</v>
      </c>
      <c r="U3139" s="1077">
        <v>4.5</v>
      </c>
      <c r="V3139" s="1077" t="s">
        <v>648</v>
      </c>
      <c r="W3139" s="1077">
        <v>125</v>
      </c>
      <c r="X3139" s="1077">
        <v>80</v>
      </c>
      <c r="Y3139" s="1077">
        <v>1.5</v>
      </c>
      <c r="Z3139" s="1077">
        <v>4</v>
      </c>
      <c r="AA3139" s="1077" t="s">
        <v>15559</v>
      </c>
      <c r="AH3139" s="1077" t="s">
        <v>1421</v>
      </c>
      <c r="AM3139" s="1078" t="s">
        <v>15456</v>
      </c>
      <c r="AN3139" s="1078" t="s">
        <v>15560</v>
      </c>
      <c r="AO3139" s="1078">
        <f t="shared" si="390"/>
        <v>600</v>
      </c>
      <c r="AP3139" s="1078">
        <f t="shared" si="391"/>
        <v>1.7</v>
      </c>
      <c r="AQ3139" s="1078" t="str">
        <f t="shared" si="392"/>
        <v>1-5-1S83°</v>
      </c>
      <c r="AR3139" s="1078" t="str">
        <f t="shared" si="393"/>
        <v>30.8</v>
      </c>
      <c r="AS3139" s="1078" t="str">
        <f t="shared" si="394"/>
        <v>225/225/OFF</v>
      </c>
      <c r="AT3139" s="1078" t="str">
        <f t="shared" si="395"/>
        <v>1-5-1S83°</v>
      </c>
      <c r="AV3139" s="1078" t="str">
        <f t="shared" si="396"/>
        <v>114.6.24</v>
      </c>
      <c r="AW3139" s="1344">
        <f t="shared" ref="AW3139:AW3202" si="397">DATE(VALUE(LEFT(AV3139,FIND(".",AV3139)-1))+1911,
       VALUE(MID(AV3139,FIND(".",AV3139)+1,FIND(".",AV3139,FIND(".",AV3139)+1)-FIND(".",AV3139)-1)),
       VALUE(RIGHT(AV3139,LEN(AV3139)-FIND("~",SUBSTITUTE(AV3139,".","~",2)))))</f>
        <v>45832</v>
      </c>
    </row>
    <row r="3140" spans="1:49">
      <c r="A3140" s="1077" t="s">
        <v>15561</v>
      </c>
      <c r="B3140" s="1077" t="s">
        <v>617</v>
      </c>
      <c r="C3140" s="1077">
        <v>600</v>
      </c>
      <c r="D3140" s="1077">
        <v>1.74</v>
      </c>
      <c r="E3140" s="1077" t="s">
        <v>15094</v>
      </c>
      <c r="F3140" s="1077" t="s">
        <v>984</v>
      </c>
      <c r="G3140" s="1077">
        <v>5</v>
      </c>
      <c r="H3140" s="1077" t="s">
        <v>955</v>
      </c>
      <c r="I3140" s="1077" t="s">
        <v>126</v>
      </c>
      <c r="J3140" s="1077">
        <v>2.7</v>
      </c>
      <c r="K3140" s="1077" t="s">
        <v>15562</v>
      </c>
      <c r="L3140" s="1077" t="s">
        <v>4854</v>
      </c>
      <c r="M3140" s="1077">
        <v>150.30000000000001</v>
      </c>
      <c r="N3140" s="1077" t="s">
        <v>945</v>
      </c>
      <c r="O3140" s="1077">
        <v>3.7575000000000003</v>
      </c>
      <c r="P3140" s="1077">
        <v>3.0060000000000002</v>
      </c>
      <c r="Q3140" s="1077">
        <v>3</v>
      </c>
      <c r="R3140" s="1077">
        <v>31</v>
      </c>
      <c r="T3140" s="1077">
        <v>13</v>
      </c>
      <c r="U3140" s="1077">
        <v>7</v>
      </c>
      <c r="V3140" s="1077" t="s">
        <v>648</v>
      </c>
      <c r="W3140" s="1077">
        <v>115</v>
      </c>
      <c r="X3140" s="1077">
        <v>50</v>
      </c>
      <c r="Y3140" s="1077">
        <v>1.7</v>
      </c>
      <c r="Z3140" s="1077">
        <v>6.5</v>
      </c>
      <c r="AA3140" s="1077" t="s">
        <v>15563</v>
      </c>
      <c r="AH3140" s="1077" t="s">
        <v>1137</v>
      </c>
      <c r="AI3140" s="1077">
        <v>92.74</v>
      </c>
      <c r="AJ3140" s="1077">
        <v>-0.8</v>
      </c>
      <c r="AK3140" s="1077">
        <v>4.43</v>
      </c>
      <c r="AM3140" s="1078" t="s">
        <v>15452</v>
      </c>
      <c r="AN3140" s="1078" t="s">
        <v>15564</v>
      </c>
      <c r="AO3140" s="1078">
        <f t="shared" si="390"/>
        <v>600</v>
      </c>
      <c r="AP3140" s="1078">
        <f t="shared" si="391"/>
        <v>1.74</v>
      </c>
      <c r="AQ3140" s="1078" t="str">
        <f t="shared" si="392"/>
        <v>1-5-1S91°</v>
      </c>
      <c r="AR3140" s="1078" t="str">
        <f t="shared" si="393"/>
        <v>30</v>
      </c>
      <c r="AS3140" s="1078" t="str">
        <f t="shared" si="394"/>
        <v>260/260/OFF</v>
      </c>
      <c r="AT3140" s="1078" t="str">
        <f t="shared" si="395"/>
        <v>1-5-1S91°</v>
      </c>
      <c r="AV3140" s="1078" t="str">
        <f t="shared" si="396"/>
        <v>114.6.20</v>
      </c>
      <c r="AW3140" s="1344">
        <f t="shared" si="397"/>
        <v>45828</v>
      </c>
    </row>
    <row r="3141" spans="1:49">
      <c r="A3141" s="1077" t="s">
        <v>15565</v>
      </c>
      <c r="B3141" s="1077" t="s">
        <v>754</v>
      </c>
      <c r="C3141" s="1077">
        <v>500</v>
      </c>
      <c r="D3141" s="1077">
        <v>1.65</v>
      </c>
      <c r="E3141" s="1077" t="s">
        <v>15121</v>
      </c>
      <c r="F3141" s="1077" t="s">
        <v>648</v>
      </c>
      <c r="G3141" s="1077">
        <v>4</v>
      </c>
      <c r="H3141" s="1077" t="s">
        <v>1072</v>
      </c>
      <c r="I3141" s="1077" t="s">
        <v>126</v>
      </c>
      <c r="J3141" s="1077">
        <v>1.3</v>
      </c>
      <c r="K3141" s="1077" t="s">
        <v>15566</v>
      </c>
      <c r="L3141" s="1077" t="s">
        <v>6742</v>
      </c>
      <c r="M3141" s="1077">
        <v>155</v>
      </c>
      <c r="N3141" s="1077" t="s">
        <v>945</v>
      </c>
      <c r="O3141" s="1077">
        <v>3.875</v>
      </c>
      <c r="P3141" s="1077">
        <v>3.1</v>
      </c>
      <c r="Q3141" s="1077">
        <v>4</v>
      </c>
      <c r="R3141" s="1077">
        <v>25</v>
      </c>
      <c r="T3141" s="1077">
        <v>18</v>
      </c>
      <c r="U3141" s="1077">
        <v>3.8</v>
      </c>
      <c r="V3141" s="1077" t="s">
        <v>648</v>
      </c>
      <c r="W3141" s="1077">
        <v>135</v>
      </c>
      <c r="X3141" s="1077">
        <v>80</v>
      </c>
      <c r="Y3141" s="1077">
        <v>1.2</v>
      </c>
      <c r="Z3141" s="1077" t="s">
        <v>648</v>
      </c>
      <c r="AA3141" s="1077" t="s">
        <v>15563</v>
      </c>
      <c r="AH3141" s="1077" t="s">
        <v>842</v>
      </c>
      <c r="AI3141" s="1077">
        <v>94.24</v>
      </c>
      <c r="AJ3141" s="1077">
        <v>-0.63</v>
      </c>
      <c r="AK3141" s="1077">
        <v>1.51</v>
      </c>
      <c r="AM3141" s="1078" t="s">
        <v>15453</v>
      </c>
      <c r="AN3141" s="1078" t="s">
        <v>15567</v>
      </c>
      <c r="AO3141" s="1078">
        <f t="shared" si="390"/>
        <v>500</v>
      </c>
      <c r="AP3141" s="1078">
        <f t="shared" si="391"/>
        <v>1.65</v>
      </c>
      <c r="AQ3141" s="1078" t="str">
        <f t="shared" si="392"/>
        <v>1-5-1S85°S+Z</v>
      </c>
      <c r="AR3141" s="1078" t="str">
        <f t="shared" si="393"/>
        <v>NA</v>
      </c>
      <c r="AS3141" s="1078" t="str">
        <f t="shared" si="394"/>
        <v>168/OFF</v>
      </c>
      <c r="AT3141" s="1078" t="str">
        <f t="shared" si="395"/>
        <v>1-5-1S85°S+Z</v>
      </c>
      <c r="AU3141" s="1078" t="s">
        <v>15550</v>
      </c>
      <c r="AV3141" s="1078" t="str">
        <f t="shared" si="396"/>
        <v>114.6.20</v>
      </c>
      <c r="AW3141" s="1344">
        <f t="shared" si="397"/>
        <v>45828</v>
      </c>
    </row>
    <row r="3142" spans="1:49">
      <c r="A3142" s="1077" t="s">
        <v>15568</v>
      </c>
      <c r="B3142" s="1077" t="s">
        <v>7214</v>
      </c>
      <c r="C3142" s="1077">
        <v>550</v>
      </c>
      <c r="D3142" s="1077">
        <v>1.74</v>
      </c>
      <c r="E3142" s="1077" t="s">
        <v>15122</v>
      </c>
      <c r="F3142" s="1077" t="s">
        <v>984</v>
      </c>
      <c r="G3142" s="1077">
        <v>4.5</v>
      </c>
      <c r="H3142" s="1077" t="s">
        <v>6116</v>
      </c>
      <c r="I3142" s="1077" t="s">
        <v>8392</v>
      </c>
      <c r="J3142" s="1077">
        <v>3</v>
      </c>
      <c r="K3142" s="1077" t="s">
        <v>15270</v>
      </c>
      <c r="L3142" s="1077" t="s">
        <v>6043</v>
      </c>
      <c r="M3142" s="1077">
        <v>308</v>
      </c>
      <c r="N3142" s="1077" t="s">
        <v>945</v>
      </c>
      <c r="O3142" s="1077">
        <v>7.7</v>
      </c>
      <c r="P3142" s="1077">
        <v>6.16</v>
      </c>
      <c r="Q3142" s="1077">
        <v>4</v>
      </c>
      <c r="R3142" s="1077">
        <v>22</v>
      </c>
      <c r="T3142" s="1077">
        <v>23.5</v>
      </c>
      <c r="U3142" s="1077">
        <v>4</v>
      </c>
      <c r="V3142" s="1077" t="s">
        <v>648</v>
      </c>
      <c r="W3142" s="1077">
        <v>135</v>
      </c>
      <c r="X3142" s="1077">
        <v>90</v>
      </c>
      <c r="Y3142" s="1077">
        <v>1.4</v>
      </c>
      <c r="Z3142" s="1077" t="s">
        <v>648</v>
      </c>
      <c r="AA3142" s="1077" t="s">
        <v>15563</v>
      </c>
      <c r="AH3142" s="1077" t="s">
        <v>466</v>
      </c>
      <c r="AI3142" s="1077">
        <v>95.82</v>
      </c>
      <c r="AJ3142" s="1077">
        <v>-0.66</v>
      </c>
      <c r="AK3142" s="1077">
        <v>1.99</v>
      </c>
      <c r="AM3142" s="1078" t="s">
        <v>15454</v>
      </c>
      <c r="AN3142" s="1078" t="s">
        <v>15569</v>
      </c>
      <c r="AO3142" s="1078">
        <f t="shared" si="390"/>
        <v>550</v>
      </c>
      <c r="AP3142" s="1078">
        <f t="shared" si="391"/>
        <v>1.74</v>
      </c>
      <c r="AQ3142" s="1078" t="str">
        <f t="shared" si="392"/>
        <v>1-5-1S91°Z+S</v>
      </c>
      <c r="AR3142" s="1078" t="str">
        <f t="shared" si="393"/>
        <v>30</v>
      </c>
      <c r="AS3142" s="1078" t="str">
        <f t="shared" si="394"/>
        <v>320/320/OFF</v>
      </c>
      <c r="AT3142" s="1078" t="str">
        <f t="shared" si="395"/>
        <v>1-5-1S91°Z+S</v>
      </c>
      <c r="AU3142" s="1078" t="s">
        <v>15547</v>
      </c>
      <c r="AV3142" s="1078" t="str">
        <f t="shared" si="396"/>
        <v>114.6.20</v>
      </c>
      <c r="AW3142" s="1344">
        <f t="shared" si="397"/>
        <v>45828</v>
      </c>
    </row>
    <row r="3143" spans="1:49">
      <c r="A3143" s="1077" t="s">
        <v>15570</v>
      </c>
      <c r="B3143" s="1077" t="s">
        <v>7214</v>
      </c>
      <c r="C3143" s="1077">
        <v>550</v>
      </c>
      <c r="D3143" s="1077">
        <v>1.74</v>
      </c>
      <c r="E3143" s="1077" t="s">
        <v>15122</v>
      </c>
      <c r="F3143" s="1077" t="s">
        <v>984</v>
      </c>
      <c r="G3143" s="1077">
        <v>4.5</v>
      </c>
      <c r="H3143" s="1077" t="s">
        <v>6116</v>
      </c>
      <c r="I3143" s="1077" t="s">
        <v>8392</v>
      </c>
      <c r="J3143" s="1077">
        <v>3</v>
      </c>
      <c r="K3143" s="1077" t="s">
        <v>15571</v>
      </c>
      <c r="L3143" s="1077" t="s">
        <v>6043</v>
      </c>
      <c r="M3143" s="1077">
        <v>308</v>
      </c>
      <c r="N3143" s="1077" t="s">
        <v>945</v>
      </c>
      <c r="O3143" s="1077">
        <v>7.7</v>
      </c>
      <c r="P3143" s="1077">
        <v>6.16</v>
      </c>
      <c r="Q3143" s="1077">
        <v>4</v>
      </c>
      <c r="R3143" s="1077">
        <v>22</v>
      </c>
      <c r="T3143" s="1077">
        <v>23.5</v>
      </c>
      <c r="U3143" s="1077">
        <v>4</v>
      </c>
      <c r="V3143" s="1077" t="s">
        <v>648</v>
      </c>
      <c r="W3143" s="1077">
        <v>135</v>
      </c>
      <c r="X3143" s="1077">
        <v>90</v>
      </c>
      <c r="Y3143" s="1077">
        <v>1.4</v>
      </c>
      <c r="Z3143" s="1077" t="s">
        <v>648</v>
      </c>
      <c r="AA3143" s="1077" t="s">
        <v>15572</v>
      </c>
      <c r="AH3143" s="1077" t="s">
        <v>482</v>
      </c>
      <c r="AM3143" s="1078" t="s">
        <v>15459</v>
      </c>
      <c r="AN3143" s="1078" t="s">
        <v>15573</v>
      </c>
      <c r="AO3143" s="1078">
        <f t="shared" si="390"/>
        <v>550</v>
      </c>
      <c r="AP3143" s="1078">
        <f t="shared" si="391"/>
        <v>1.74</v>
      </c>
      <c r="AQ3143" s="1078" t="str">
        <f t="shared" si="392"/>
        <v>1-5-1S91°Z+S</v>
      </c>
      <c r="AR3143" s="1078" t="str">
        <f t="shared" si="393"/>
        <v>30</v>
      </c>
      <c r="AS3143" s="1078" t="str">
        <f t="shared" si="394"/>
        <v>320/320/OFF</v>
      </c>
      <c r="AT3143" s="1078" t="str">
        <f t="shared" si="395"/>
        <v>1-5-1S91°Z+S</v>
      </c>
      <c r="AU3143" s="1078" t="s">
        <v>15547</v>
      </c>
      <c r="AV3143" s="1078" t="str">
        <f t="shared" si="396"/>
        <v>114.6.27</v>
      </c>
      <c r="AW3143" s="1344">
        <f t="shared" si="397"/>
        <v>45835</v>
      </c>
    </row>
    <row r="3144" spans="1:49">
      <c r="A3144" s="1077" t="s">
        <v>15574</v>
      </c>
      <c r="B3144" s="1077" t="s">
        <v>654</v>
      </c>
      <c r="C3144" s="1077">
        <v>550</v>
      </c>
      <c r="D3144" s="1077">
        <v>1.68</v>
      </c>
      <c r="E3144" s="1077" t="s">
        <v>15575</v>
      </c>
      <c r="F3144" s="1077" t="s">
        <v>648</v>
      </c>
      <c r="G3144" s="1077">
        <v>5.5</v>
      </c>
      <c r="H3144" s="1077" t="s">
        <v>5094</v>
      </c>
      <c r="I3144" s="1077" t="s">
        <v>643</v>
      </c>
      <c r="J3144" s="1077">
        <v>3.2</v>
      </c>
      <c r="K3144" s="1077" t="s">
        <v>15576</v>
      </c>
      <c r="L3144" s="1077" t="s">
        <v>8960</v>
      </c>
      <c r="M3144" s="1077">
        <v>427.4</v>
      </c>
      <c r="N3144" s="1077" t="s">
        <v>945</v>
      </c>
      <c r="O3144" s="1077">
        <v>10.685</v>
      </c>
      <c r="P3144" s="1077">
        <v>8.548</v>
      </c>
      <c r="Q3144" s="1077">
        <v>3.5</v>
      </c>
      <c r="R3144" s="1077">
        <v>24</v>
      </c>
      <c r="T3144" s="1077">
        <v>14.9</v>
      </c>
      <c r="U3144" s="1077">
        <v>4.2</v>
      </c>
      <c r="V3144" s="1077" t="s">
        <v>648</v>
      </c>
      <c r="W3144" s="1077">
        <v>120</v>
      </c>
      <c r="X3144" s="1077">
        <v>90</v>
      </c>
      <c r="Y3144" s="1077">
        <v>1</v>
      </c>
      <c r="Z3144" s="1077" t="s">
        <v>648</v>
      </c>
      <c r="AA3144" s="1077" t="s">
        <v>15556</v>
      </c>
      <c r="AH3144" s="1077" t="s">
        <v>1053</v>
      </c>
      <c r="AI3144" s="1077">
        <v>91.69</v>
      </c>
      <c r="AJ3144" s="1077">
        <v>-0.37</v>
      </c>
      <c r="AK3144" s="1077">
        <v>1.53</v>
      </c>
      <c r="AM3144" s="1078" t="s">
        <v>15455</v>
      </c>
      <c r="AN3144" s="1078" t="s">
        <v>15577</v>
      </c>
      <c r="AO3144" s="1078">
        <f t="shared" si="390"/>
        <v>550</v>
      </c>
      <c r="AP3144" s="1078">
        <f t="shared" si="391"/>
        <v>1.68</v>
      </c>
      <c r="AQ3144" s="1078" t="str">
        <f t="shared" si="392"/>
        <v>1-5-1S85°Z+S</v>
      </c>
      <c r="AR3144" s="1078" t="str">
        <f t="shared" si="393"/>
        <v>NA</v>
      </c>
      <c r="AS3144" s="1078" t="str">
        <f t="shared" si="394"/>
        <v>185/170</v>
      </c>
      <c r="AT3144" s="1078" t="str">
        <f t="shared" si="395"/>
        <v>1-5-1S85°Z+S</v>
      </c>
      <c r="AU3144" s="1078" t="s">
        <v>15547</v>
      </c>
      <c r="AV3144" s="1078" t="str">
        <f t="shared" si="396"/>
        <v>114.6.23</v>
      </c>
      <c r="AW3144" s="1344">
        <f t="shared" si="397"/>
        <v>45831</v>
      </c>
    </row>
    <row r="3145" spans="1:49">
      <c r="A3145" s="1077" t="s">
        <v>15635</v>
      </c>
      <c r="B3145" s="1077" t="s">
        <v>453</v>
      </c>
      <c r="C3145" s="1077">
        <v>650</v>
      </c>
      <c r="D3145" s="1077">
        <v>1.72</v>
      </c>
      <c r="E3145" s="1077" t="s">
        <v>15089</v>
      </c>
      <c r="F3145" s="1077" t="s">
        <v>1773</v>
      </c>
      <c r="G3145" s="1077" t="s">
        <v>1767</v>
      </c>
      <c r="H3145" s="1077" t="s">
        <v>1029</v>
      </c>
      <c r="I3145" s="1077" t="s">
        <v>126</v>
      </c>
      <c r="J3145" s="1077">
        <v>0.8</v>
      </c>
      <c r="K3145" s="1077" t="s">
        <v>15308</v>
      </c>
      <c r="L3145" s="1077" t="s">
        <v>1821</v>
      </c>
      <c r="M3145" s="1077">
        <v>74.8</v>
      </c>
      <c r="N3145" s="1077" t="s">
        <v>945</v>
      </c>
      <c r="O3145" s="1077">
        <v>1.87</v>
      </c>
      <c r="P3145" s="1077">
        <v>1.496</v>
      </c>
      <c r="Q3145" s="1077">
        <v>4</v>
      </c>
      <c r="R3145" s="1077">
        <v>23</v>
      </c>
      <c r="T3145" s="1077">
        <v>18.600000000000001</v>
      </c>
      <c r="U3145" s="1077">
        <v>3.5</v>
      </c>
      <c r="V3145" s="1077" t="s">
        <v>648</v>
      </c>
      <c r="W3145" s="1077">
        <v>105</v>
      </c>
      <c r="X3145" s="1077">
        <v>80</v>
      </c>
      <c r="Y3145" s="1077">
        <v>2</v>
      </c>
      <c r="Z3145" s="1077">
        <v>4.5</v>
      </c>
      <c r="AA3145" s="1077" t="s">
        <v>15636</v>
      </c>
      <c r="AH3145" s="1077" t="s">
        <v>722</v>
      </c>
      <c r="AM3145" s="1078" t="s">
        <v>15613</v>
      </c>
      <c r="AN3145" s="1078" t="s">
        <v>15755</v>
      </c>
      <c r="AO3145" s="1078">
        <f t="shared" si="390"/>
        <v>650</v>
      </c>
      <c r="AP3145" s="1078">
        <f t="shared" si="391"/>
        <v>1.72</v>
      </c>
      <c r="AQ3145" s="1078" t="str">
        <f t="shared" si="392"/>
        <v>1-4-1S83°</v>
      </c>
      <c r="AR3145" s="1078" t="str">
        <f t="shared" si="393"/>
        <v>30.2</v>
      </c>
      <c r="AS3145" s="1078" t="str">
        <f t="shared" si="394"/>
        <v>250/250/OFF</v>
      </c>
      <c r="AT3145" s="1078" t="str">
        <f t="shared" si="395"/>
        <v>1-4-1S83°</v>
      </c>
      <c r="AV3145" s="1078" t="str">
        <f t="shared" si="396"/>
        <v>114.8.1</v>
      </c>
      <c r="AW3145" s="1344">
        <f t="shared" si="397"/>
        <v>45870</v>
      </c>
    </row>
    <row r="3146" spans="1:49">
      <c r="A3146" s="1077" t="s">
        <v>15637</v>
      </c>
      <c r="B3146" s="1077" t="s">
        <v>850</v>
      </c>
      <c r="C3146" s="1077">
        <v>550</v>
      </c>
      <c r="D3146" s="1077">
        <v>1.68</v>
      </c>
      <c r="E3146" s="1077" t="s">
        <v>15095</v>
      </c>
      <c r="F3146" s="1077" t="s">
        <v>984</v>
      </c>
      <c r="G3146" s="1077" t="s">
        <v>940</v>
      </c>
      <c r="H3146" s="1077" t="s">
        <v>1017</v>
      </c>
      <c r="I3146" s="1077" t="s">
        <v>626</v>
      </c>
      <c r="J3146" s="1077">
        <v>1.1000000000000001</v>
      </c>
      <c r="K3146" s="1077" t="s">
        <v>15638</v>
      </c>
      <c r="L3146" s="1077" t="s">
        <v>15639</v>
      </c>
      <c r="M3146" s="1077">
        <v>78</v>
      </c>
      <c r="N3146" s="1077" t="s">
        <v>945</v>
      </c>
      <c r="O3146" s="1077">
        <v>1.9500000000000002</v>
      </c>
      <c r="P3146" s="1077">
        <v>1.56</v>
      </c>
      <c r="Q3146" s="1077">
        <v>3</v>
      </c>
      <c r="R3146" s="1077">
        <v>29.5</v>
      </c>
      <c r="T3146" s="1077">
        <v>9.6</v>
      </c>
      <c r="U3146" s="1077">
        <v>6.8</v>
      </c>
      <c r="V3146" s="1077" t="s">
        <v>648</v>
      </c>
      <c r="W3146" s="1077">
        <v>135</v>
      </c>
      <c r="X3146" s="1077">
        <v>65</v>
      </c>
      <c r="Y3146" s="1077">
        <v>1.4</v>
      </c>
      <c r="Z3146" s="1077">
        <v>4</v>
      </c>
      <c r="AA3146" s="1077" t="s">
        <v>15640</v>
      </c>
      <c r="AH3146" s="1077" t="s">
        <v>3213</v>
      </c>
      <c r="AM3146" s="1078" t="s">
        <v>15623</v>
      </c>
      <c r="AN3146" s="1078" t="s">
        <v>15756</v>
      </c>
      <c r="AO3146" s="1078">
        <f t="shared" si="390"/>
        <v>550</v>
      </c>
      <c r="AP3146" s="1078">
        <f t="shared" si="391"/>
        <v>1.68</v>
      </c>
      <c r="AQ3146" s="1078" t="str">
        <f t="shared" si="392"/>
        <v>1-5-1S83°</v>
      </c>
      <c r="AR3146" s="1078" t="str">
        <f t="shared" si="393"/>
        <v>30</v>
      </c>
      <c r="AS3146" s="1078" t="str">
        <f t="shared" si="394"/>
        <v>200/200/OFF</v>
      </c>
      <c r="AT3146" s="1078" t="str">
        <f t="shared" si="395"/>
        <v>1-5-1S83°</v>
      </c>
      <c r="AV3146" s="1078" t="str">
        <f t="shared" si="396"/>
        <v>114.8.11</v>
      </c>
      <c r="AW3146" s="1344">
        <f t="shared" si="397"/>
        <v>45880</v>
      </c>
    </row>
    <row r="3147" spans="1:49">
      <c r="A3147" s="1077" t="s">
        <v>15641</v>
      </c>
      <c r="B3147" s="1077" t="s">
        <v>1783</v>
      </c>
      <c r="C3147" s="1077">
        <v>500</v>
      </c>
      <c r="D3147" s="1077">
        <v>1.67</v>
      </c>
      <c r="E3147" s="1077" t="s">
        <v>15089</v>
      </c>
      <c r="F3147" s="1077" t="s">
        <v>2001</v>
      </c>
      <c r="G3147" s="1077" t="s">
        <v>1784</v>
      </c>
      <c r="H3147" s="1077" t="s">
        <v>1290</v>
      </c>
      <c r="I3147" s="1077" t="s">
        <v>126</v>
      </c>
      <c r="J3147" s="1077">
        <v>0.25</v>
      </c>
      <c r="K3147" s="1077" t="s">
        <v>15642</v>
      </c>
      <c r="L3147" s="1077" t="s">
        <v>1787</v>
      </c>
      <c r="M3147" s="1077">
        <v>75</v>
      </c>
      <c r="N3147" s="1077" t="s">
        <v>945</v>
      </c>
      <c r="O3147" s="1077">
        <v>1.875</v>
      </c>
      <c r="P3147" s="1077">
        <v>1.5</v>
      </c>
      <c r="Q3147" s="1077">
        <v>4</v>
      </c>
      <c r="R3147" s="1077">
        <v>21</v>
      </c>
      <c r="T3147" s="1077">
        <v>13</v>
      </c>
      <c r="U3147" s="1077">
        <v>4</v>
      </c>
      <c r="V3147" s="1077" t="s">
        <v>648</v>
      </c>
      <c r="W3147" s="1077">
        <v>30</v>
      </c>
      <c r="X3147" s="1077">
        <v>10</v>
      </c>
      <c r="Y3147" s="1077">
        <v>2.5</v>
      </c>
      <c r="Z3147" s="1077">
        <v>2</v>
      </c>
      <c r="AA3147" s="1077" t="s">
        <v>15643</v>
      </c>
      <c r="AH3147" s="1077" t="s">
        <v>483</v>
      </c>
      <c r="AM3147" s="1078" t="s">
        <v>15502</v>
      </c>
      <c r="AN3147" s="1078" t="s">
        <v>15757</v>
      </c>
      <c r="AO3147" s="1078">
        <f t="shared" ref="AO3147:AO3210" si="398">C3147</f>
        <v>500</v>
      </c>
      <c r="AP3147" s="1078">
        <f t="shared" ref="AP3147:AP3210" si="399">D3147</f>
        <v>1.67</v>
      </c>
      <c r="AQ3147" s="1078" t="str">
        <f t="shared" ref="AQ3147:AQ3210" si="400">E3147</f>
        <v>1-4-1S83°</v>
      </c>
      <c r="AR3147" s="1078" t="str">
        <f t="shared" ref="AR3147:AR3210" si="401">F3147</f>
        <v>29.9</v>
      </c>
      <c r="AS3147" s="1078" t="str">
        <f t="shared" ref="AS3147:AS3210" si="402">H3147</f>
        <v>220/220/OFF</v>
      </c>
      <c r="AT3147" s="1078" t="str">
        <f t="shared" ref="AT3147:AT3210" si="403">E3147</f>
        <v>1-4-1S83°</v>
      </c>
      <c r="AV3147" s="1078" t="str">
        <f t="shared" si="396"/>
        <v>114.7.4</v>
      </c>
      <c r="AW3147" s="1344">
        <f t="shared" si="397"/>
        <v>45842</v>
      </c>
    </row>
    <row r="3148" spans="1:49">
      <c r="A3148" s="1077" t="s">
        <v>15644</v>
      </c>
      <c r="B3148" s="1077" t="s">
        <v>424</v>
      </c>
      <c r="C3148" s="1077">
        <v>750</v>
      </c>
      <c r="D3148" s="1077">
        <v>1.78</v>
      </c>
      <c r="E3148" s="1077" t="s">
        <v>15089</v>
      </c>
      <c r="F3148" s="1077" t="s">
        <v>954</v>
      </c>
      <c r="G3148" s="1077" t="s">
        <v>1767</v>
      </c>
      <c r="H3148" s="1077" t="s">
        <v>3363</v>
      </c>
      <c r="I3148" s="1077" t="s">
        <v>126</v>
      </c>
      <c r="J3148" s="1077">
        <v>1.9</v>
      </c>
      <c r="K3148" s="1077" t="s">
        <v>15645</v>
      </c>
      <c r="L3148" s="1077" t="s">
        <v>1968</v>
      </c>
      <c r="M3148" s="1077">
        <v>73</v>
      </c>
      <c r="N3148" s="1077" t="s">
        <v>945</v>
      </c>
      <c r="O3148" s="1077">
        <v>1.8250000000000002</v>
      </c>
      <c r="P3148" s="1077">
        <v>1.46</v>
      </c>
      <c r="Q3148" s="1077">
        <v>4</v>
      </c>
      <c r="R3148" s="1077">
        <v>21.6</v>
      </c>
      <c r="T3148" s="1077">
        <v>32</v>
      </c>
      <c r="U3148" s="1077">
        <v>3.5</v>
      </c>
      <c r="V3148" s="1077" t="s">
        <v>648</v>
      </c>
      <c r="W3148" s="1077">
        <v>110</v>
      </c>
      <c r="X3148" s="1077">
        <v>60</v>
      </c>
      <c r="Y3148" s="1077">
        <v>1.5</v>
      </c>
      <c r="Z3148" s="1077">
        <v>5.5</v>
      </c>
      <c r="AA3148" s="1077" t="s">
        <v>15643</v>
      </c>
      <c r="AB3148" s="1077" t="s">
        <v>981</v>
      </c>
      <c r="AH3148" s="1077" t="s">
        <v>619</v>
      </c>
      <c r="AM3148" s="1078" t="s">
        <v>15503</v>
      </c>
      <c r="AN3148" s="1078" t="s">
        <v>15758</v>
      </c>
      <c r="AO3148" s="1078">
        <f t="shared" si="398"/>
        <v>750</v>
      </c>
      <c r="AP3148" s="1078">
        <f t="shared" si="399"/>
        <v>1.78</v>
      </c>
      <c r="AQ3148" s="1078" t="str">
        <f t="shared" si="400"/>
        <v>1-4-1S83°</v>
      </c>
      <c r="AR3148" s="1078" t="str">
        <f t="shared" si="401"/>
        <v>31</v>
      </c>
      <c r="AS3148" s="1078" t="str">
        <f t="shared" si="402"/>
        <v>277/277/OFF</v>
      </c>
      <c r="AT3148" s="1078" t="str">
        <f t="shared" si="403"/>
        <v>1-4-1S83°</v>
      </c>
      <c r="AV3148" s="1078" t="str">
        <f t="shared" si="396"/>
        <v>114.7.4</v>
      </c>
      <c r="AW3148" s="1344">
        <f t="shared" si="397"/>
        <v>45842</v>
      </c>
    </row>
    <row r="3149" spans="1:49">
      <c r="A3149" s="1077" t="s">
        <v>15646</v>
      </c>
      <c r="B3149" s="1077" t="s">
        <v>472</v>
      </c>
      <c r="C3149" s="1077">
        <v>600</v>
      </c>
      <c r="D3149" s="1077">
        <v>1.7</v>
      </c>
      <c r="E3149" s="1077" t="s">
        <v>15089</v>
      </c>
      <c r="F3149" s="1077" t="s">
        <v>984</v>
      </c>
      <c r="G3149" s="1077" t="s">
        <v>1767</v>
      </c>
      <c r="H3149" s="1077" t="s">
        <v>1301</v>
      </c>
      <c r="I3149" s="1077" t="s">
        <v>126</v>
      </c>
      <c r="J3149" s="1077">
        <v>0.8</v>
      </c>
      <c r="K3149" s="1077" t="s">
        <v>15647</v>
      </c>
      <c r="L3149" s="1077" t="s">
        <v>1811</v>
      </c>
      <c r="M3149" s="1077">
        <v>74.599999999999994</v>
      </c>
      <c r="N3149" s="1077" t="s">
        <v>945</v>
      </c>
      <c r="O3149" s="1077">
        <v>1.865</v>
      </c>
      <c r="P3149" s="1077">
        <v>1.492</v>
      </c>
      <c r="Q3149" s="1077">
        <v>3.5</v>
      </c>
      <c r="R3149" s="1077">
        <v>28.5</v>
      </c>
      <c r="T3149" s="1077">
        <v>12.5</v>
      </c>
      <c r="U3149" s="1077">
        <v>5.0999999999999996</v>
      </c>
      <c r="V3149" s="1077" t="s">
        <v>648</v>
      </c>
      <c r="W3149" s="1077">
        <v>95</v>
      </c>
      <c r="X3149" s="1077">
        <v>60</v>
      </c>
      <c r="Y3149" s="1077">
        <v>1.8</v>
      </c>
      <c r="Z3149" s="1077">
        <v>4.5</v>
      </c>
      <c r="AA3149" s="1077" t="s">
        <v>15648</v>
      </c>
      <c r="AB3149" s="1077" t="s">
        <v>3704</v>
      </c>
      <c r="AH3149" s="1077" t="s">
        <v>466</v>
      </c>
      <c r="AM3149" s="1078" t="s">
        <v>15508</v>
      </c>
      <c r="AN3149" s="1078" t="s">
        <v>15759</v>
      </c>
      <c r="AO3149" s="1078">
        <f t="shared" si="398"/>
        <v>600</v>
      </c>
      <c r="AP3149" s="1078">
        <f t="shared" si="399"/>
        <v>1.7</v>
      </c>
      <c r="AQ3149" s="1078" t="str">
        <f t="shared" si="400"/>
        <v>1-4-1S83°</v>
      </c>
      <c r="AR3149" s="1078" t="str">
        <f t="shared" si="401"/>
        <v>30</v>
      </c>
      <c r="AS3149" s="1078" t="str">
        <f t="shared" si="402"/>
        <v>242/242/OFF</v>
      </c>
      <c r="AT3149" s="1078" t="str">
        <f t="shared" si="403"/>
        <v>1-4-1S83°</v>
      </c>
      <c r="AV3149" s="1078" t="str">
        <f t="shared" si="396"/>
        <v>114.7.11</v>
      </c>
      <c r="AW3149" s="1344">
        <f t="shared" si="397"/>
        <v>45849</v>
      </c>
    </row>
    <row r="3150" spans="1:49">
      <c r="A3150" s="1077" t="s">
        <v>15649</v>
      </c>
      <c r="B3150" s="1077" t="s">
        <v>472</v>
      </c>
      <c r="C3150" s="1077">
        <v>600</v>
      </c>
      <c r="D3150" s="1077">
        <v>1.7</v>
      </c>
      <c r="E3150" s="1077" t="s">
        <v>15089</v>
      </c>
      <c r="F3150" s="1077" t="s">
        <v>984</v>
      </c>
      <c r="G3150" s="1077" t="s">
        <v>1767</v>
      </c>
      <c r="H3150" s="1077" t="s">
        <v>1301</v>
      </c>
      <c r="I3150" s="1077" t="s">
        <v>126</v>
      </c>
      <c r="J3150" s="1077">
        <v>0.8</v>
      </c>
      <c r="K3150" s="1077" t="s">
        <v>15647</v>
      </c>
      <c r="L3150" s="1077" t="s">
        <v>1811</v>
      </c>
      <c r="M3150" s="1077">
        <v>74.599999999999994</v>
      </c>
      <c r="N3150" s="1077" t="s">
        <v>945</v>
      </c>
      <c r="O3150" s="1077">
        <v>1.865</v>
      </c>
      <c r="P3150" s="1077">
        <v>1.492</v>
      </c>
      <c r="Q3150" s="1077">
        <v>3.5</v>
      </c>
      <c r="R3150" s="1077">
        <v>28.5</v>
      </c>
      <c r="T3150" s="1077">
        <v>12.5</v>
      </c>
      <c r="U3150" s="1077">
        <v>5.0999999999999996</v>
      </c>
      <c r="V3150" s="1077" t="s">
        <v>648</v>
      </c>
      <c r="W3150" s="1077">
        <v>95</v>
      </c>
      <c r="X3150" s="1077">
        <v>60</v>
      </c>
      <c r="Y3150" s="1077">
        <v>1.8</v>
      </c>
      <c r="Z3150" s="1077">
        <v>4.5</v>
      </c>
      <c r="AA3150" s="1077" t="s">
        <v>15650</v>
      </c>
      <c r="AB3150" s="1077" t="s">
        <v>15651</v>
      </c>
      <c r="AH3150" s="1077" t="s">
        <v>813</v>
      </c>
      <c r="AM3150" s="1078" t="s">
        <v>15509</v>
      </c>
      <c r="AN3150" s="1078" t="s">
        <v>15760</v>
      </c>
      <c r="AO3150" s="1078">
        <f t="shared" si="398"/>
        <v>600</v>
      </c>
      <c r="AP3150" s="1078">
        <f t="shared" si="399"/>
        <v>1.7</v>
      </c>
      <c r="AQ3150" s="1078" t="str">
        <f t="shared" si="400"/>
        <v>1-4-1S83°</v>
      </c>
      <c r="AR3150" s="1078" t="str">
        <f t="shared" si="401"/>
        <v>30</v>
      </c>
      <c r="AS3150" s="1078" t="str">
        <f t="shared" si="402"/>
        <v>242/242/OFF</v>
      </c>
      <c r="AT3150" s="1078" t="str">
        <f t="shared" si="403"/>
        <v>1-4-1S83°</v>
      </c>
      <c r="AV3150" s="1078" t="str">
        <f t="shared" si="396"/>
        <v>114.7.14</v>
      </c>
      <c r="AW3150" s="1344">
        <f t="shared" si="397"/>
        <v>45852</v>
      </c>
    </row>
    <row r="3151" spans="1:49">
      <c r="A3151" s="1077" t="s">
        <v>15652</v>
      </c>
      <c r="B3151" s="1077" t="s">
        <v>1891</v>
      </c>
      <c r="C3151" s="1077">
        <v>600</v>
      </c>
      <c r="D3151" s="1077">
        <v>1.7</v>
      </c>
      <c r="E3151" s="1077" t="s">
        <v>15089</v>
      </c>
      <c r="F3151" s="1077" t="s">
        <v>984</v>
      </c>
      <c r="G3151" s="1077" t="s">
        <v>940</v>
      </c>
      <c r="H3151" s="1077" t="s">
        <v>1301</v>
      </c>
      <c r="I3151" s="1077" t="s">
        <v>126</v>
      </c>
      <c r="J3151" s="1077">
        <v>0.8</v>
      </c>
      <c r="K3151" s="1077" t="s">
        <v>15647</v>
      </c>
      <c r="L3151" s="1077" t="s">
        <v>1811</v>
      </c>
      <c r="M3151" s="1077">
        <v>74.599999999999994</v>
      </c>
      <c r="N3151" s="1077" t="s">
        <v>945</v>
      </c>
      <c r="O3151" s="1077">
        <v>1.865</v>
      </c>
      <c r="P3151" s="1077">
        <v>1.492</v>
      </c>
      <c r="Q3151" s="1077">
        <v>3.5</v>
      </c>
      <c r="R3151" s="1077">
        <v>29</v>
      </c>
      <c r="T3151" s="1077">
        <v>12.5</v>
      </c>
      <c r="U3151" s="1077">
        <v>5.0999999999999996</v>
      </c>
      <c r="V3151" s="1077" t="s">
        <v>648</v>
      </c>
      <c r="W3151" s="1077">
        <v>95</v>
      </c>
      <c r="X3151" s="1077">
        <v>60</v>
      </c>
      <c r="Y3151" s="1077">
        <v>1.8</v>
      </c>
      <c r="Z3151" s="1077">
        <v>4.5</v>
      </c>
      <c r="AA3151" s="1077" t="s">
        <v>15653</v>
      </c>
      <c r="AB3151" s="1077" t="s">
        <v>15654</v>
      </c>
      <c r="AH3151" s="1077" t="s">
        <v>762</v>
      </c>
      <c r="AM3151" s="1078" t="s">
        <v>15505</v>
      </c>
      <c r="AN3151" s="1078" t="s">
        <v>15761</v>
      </c>
      <c r="AO3151" s="1078">
        <f t="shared" si="398"/>
        <v>600</v>
      </c>
      <c r="AP3151" s="1078">
        <f t="shared" si="399"/>
        <v>1.7</v>
      </c>
      <c r="AQ3151" s="1078" t="str">
        <f t="shared" si="400"/>
        <v>1-4-1S83°</v>
      </c>
      <c r="AR3151" s="1078" t="str">
        <f t="shared" si="401"/>
        <v>30</v>
      </c>
      <c r="AS3151" s="1078" t="str">
        <f t="shared" si="402"/>
        <v>242/242/OFF</v>
      </c>
      <c r="AT3151" s="1078" t="str">
        <f t="shared" si="403"/>
        <v>1-4-1S83°</v>
      </c>
      <c r="AV3151" s="1078" t="str">
        <f t="shared" si="396"/>
        <v>114.7.9</v>
      </c>
      <c r="AW3151" s="1344">
        <f t="shared" si="397"/>
        <v>45847</v>
      </c>
    </row>
    <row r="3152" spans="1:49">
      <c r="A3152" s="1077" t="s">
        <v>15655</v>
      </c>
      <c r="B3152" s="1077" t="s">
        <v>2129</v>
      </c>
      <c r="C3152" s="1077">
        <v>550</v>
      </c>
      <c r="D3152" s="1077">
        <v>1.73</v>
      </c>
      <c r="E3152" s="1077" t="s">
        <v>15089</v>
      </c>
      <c r="F3152" s="1077" t="s">
        <v>984</v>
      </c>
      <c r="G3152" s="1077" t="s">
        <v>1767</v>
      </c>
      <c r="H3152" s="1077" t="s">
        <v>2130</v>
      </c>
      <c r="I3152" s="1077" t="s">
        <v>126</v>
      </c>
      <c r="J3152" s="1077">
        <v>1</v>
      </c>
      <c r="K3152" s="1077" t="s">
        <v>15656</v>
      </c>
      <c r="L3152" s="1077" t="s">
        <v>2132</v>
      </c>
      <c r="M3152" s="1077">
        <v>76</v>
      </c>
      <c r="N3152" s="1077" t="s">
        <v>945</v>
      </c>
      <c r="O3152" s="1077">
        <v>1.9000000000000001</v>
      </c>
      <c r="P3152" s="1077">
        <v>1.52</v>
      </c>
      <c r="Q3152" s="1077">
        <v>3.5</v>
      </c>
      <c r="R3152" s="1077">
        <v>22</v>
      </c>
      <c r="T3152" s="1077">
        <v>15.5</v>
      </c>
      <c r="U3152" s="1077">
        <v>2.9</v>
      </c>
      <c r="V3152" s="1077" t="s">
        <v>648</v>
      </c>
      <c r="W3152" s="1077">
        <v>105</v>
      </c>
      <c r="X3152" s="1077">
        <v>85</v>
      </c>
      <c r="Y3152" s="1077">
        <v>2.2000000000000002</v>
      </c>
      <c r="Z3152" s="1077">
        <v>3</v>
      </c>
      <c r="AA3152" s="1077" t="s">
        <v>15657</v>
      </c>
      <c r="AH3152" s="1077" t="s">
        <v>994</v>
      </c>
      <c r="AM3152" s="1078" t="s">
        <v>15514</v>
      </c>
      <c r="AN3152" s="1078" t="s">
        <v>15762</v>
      </c>
      <c r="AO3152" s="1078">
        <f t="shared" si="398"/>
        <v>550</v>
      </c>
      <c r="AP3152" s="1078">
        <f t="shared" si="399"/>
        <v>1.73</v>
      </c>
      <c r="AQ3152" s="1078" t="str">
        <f t="shared" si="400"/>
        <v>1-4-1S83°</v>
      </c>
      <c r="AR3152" s="1078" t="str">
        <f t="shared" si="401"/>
        <v>30</v>
      </c>
      <c r="AS3152" s="1078" t="str">
        <f t="shared" si="402"/>
        <v>270/270/150</v>
      </c>
      <c r="AT3152" s="1078" t="str">
        <f t="shared" si="403"/>
        <v>1-4-1S83°</v>
      </c>
      <c r="AV3152" s="1078" t="str">
        <f t="shared" si="396"/>
        <v>114.7.16</v>
      </c>
      <c r="AW3152" s="1344">
        <f t="shared" si="397"/>
        <v>45854</v>
      </c>
    </row>
    <row r="3153" spans="1:49">
      <c r="A3153" s="1077" t="s">
        <v>15658</v>
      </c>
      <c r="B3153" s="1077" t="s">
        <v>840</v>
      </c>
      <c r="C3153" s="1077">
        <v>600</v>
      </c>
      <c r="D3153" s="1077">
        <v>1.76</v>
      </c>
      <c r="E3153" s="1077" t="s">
        <v>15095</v>
      </c>
      <c r="F3153" s="1077" t="s">
        <v>954</v>
      </c>
      <c r="G3153" s="1077" t="s">
        <v>940</v>
      </c>
      <c r="H3153" s="1077" t="s">
        <v>1017</v>
      </c>
      <c r="I3153" s="1077" t="s">
        <v>126</v>
      </c>
      <c r="J3153" s="1077">
        <v>1.6</v>
      </c>
      <c r="K3153" s="1077" t="s">
        <v>15659</v>
      </c>
      <c r="L3153" s="1077" t="s">
        <v>1780</v>
      </c>
      <c r="M3153" s="1077">
        <v>75.400000000000006</v>
      </c>
      <c r="N3153" s="1077" t="s">
        <v>945</v>
      </c>
      <c r="O3153" s="1077">
        <v>1.8850000000000002</v>
      </c>
      <c r="P3153" s="1077">
        <v>1.5080000000000002</v>
      </c>
      <c r="Q3153" s="1077">
        <v>3</v>
      </c>
      <c r="R3153" s="1077">
        <v>26</v>
      </c>
      <c r="T3153" s="1077">
        <v>18</v>
      </c>
      <c r="U3153" s="1077">
        <v>6</v>
      </c>
      <c r="V3153" s="1077" t="s">
        <v>648</v>
      </c>
      <c r="W3153" s="1077">
        <v>120</v>
      </c>
      <c r="X3153" s="1077">
        <v>80</v>
      </c>
      <c r="Y3153" s="1077">
        <v>2</v>
      </c>
      <c r="Z3153" s="1077">
        <v>6</v>
      </c>
      <c r="AA3153" s="1077" t="s">
        <v>15660</v>
      </c>
      <c r="AH3153" s="1077" t="s">
        <v>884</v>
      </c>
      <c r="AM3153" s="1078" t="s">
        <v>15530</v>
      </c>
      <c r="AN3153" s="1078" t="s">
        <v>15763</v>
      </c>
      <c r="AO3153" s="1078">
        <f t="shared" si="398"/>
        <v>600</v>
      </c>
      <c r="AP3153" s="1078">
        <f t="shared" si="399"/>
        <v>1.76</v>
      </c>
      <c r="AQ3153" s="1078" t="str">
        <f t="shared" si="400"/>
        <v>1-5-1S83°</v>
      </c>
      <c r="AR3153" s="1078" t="str">
        <f t="shared" si="401"/>
        <v>31</v>
      </c>
      <c r="AS3153" s="1078" t="str">
        <f t="shared" si="402"/>
        <v>200/200/OFF</v>
      </c>
      <c r="AT3153" s="1078" t="str">
        <f t="shared" si="403"/>
        <v>1-5-1S83°</v>
      </c>
      <c r="AV3153" s="1078" t="str">
        <f t="shared" si="396"/>
        <v>114.7.18</v>
      </c>
      <c r="AW3153" s="1344">
        <f t="shared" si="397"/>
        <v>45856</v>
      </c>
    </row>
    <row r="3154" spans="1:49">
      <c r="A3154" s="1077" t="s">
        <v>15661</v>
      </c>
      <c r="B3154" s="1077" t="s">
        <v>1842</v>
      </c>
      <c r="C3154" s="1077">
        <v>500</v>
      </c>
      <c r="D3154" s="1077">
        <v>1.68</v>
      </c>
      <c r="E3154" s="1077" t="s">
        <v>15095</v>
      </c>
      <c r="F3154" s="1077" t="s">
        <v>984</v>
      </c>
      <c r="G3154" s="1077" t="s">
        <v>1016</v>
      </c>
      <c r="H3154" s="1077" t="s">
        <v>1649</v>
      </c>
      <c r="I3154" s="1077" t="s">
        <v>126</v>
      </c>
      <c r="J3154" s="1077">
        <v>0.8</v>
      </c>
      <c r="K3154" s="1077" t="s">
        <v>15662</v>
      </c>
      <c r="L3154" s="1077" t="s">
        <v>1844</v>
      </c>
      <c r="M3154" s="1077">
        <v>77.099999999999994</v>
      </c>
      <c r="N3154" s="1077" t="s">
        <v>945</v>
      </c>
      <c r="O3154" s="1077">
        <v>1.9275</v>
      </c>
      <c r="P3154" s="1077">
        <v>1.5419999999999998</v>
      </c>
      <c r="Q3154" s="1077">
        <v>3.5</v>
      </c>
      <c r="R3154" s="1077">
        <v>25</v>
      </c>
      <c r="T3154" s="1077">
        <v>18</v>
      </c>
      <c r="U3154" s="1077">
        <v>4</v>
      </c>
      <c r="V3154" s="1077" t="s">
        <v>648</v>
      </c>
      <c r="W3154" s="1077">
        <v>110</v>
      </c>
      <c r="X3154" s="1077">
        <v>70</v>
      </c>
      <c r="Y3154" s="1077">
        <v>1.8</v>
      </c>
      <c r="Z3154" s="1077">
        <v>4.5</v>
      </c>
      <c r="AA3154" s="1077" t="s">
        <v>15663</v>
      </c>
      <c r="AH3154" s="1077" t="s">
        <v>650</v>
      </c>
      <c r="AM3154" s="1078" t="s">
        <v>15536</v>
      </c>
      <c r="AN3154" s="1078" t="s">
        <v>15764</v>
      </c>
      <c r="AO3154" s="1078">
        <f t="shared" si="398"/>
        <v>500</v>
      </c>
      <c r="AP3154" s="1078">
        <f t="shared" si="399"/>
        <v>1.68</v>
      </c>
      <c r="AQ3154" s="1078" t="str">
        <f t="shared" si="400"/>
        <v>1-5-1S83°</v>
      </c>
      <c r="AR3154" s="1078" t="str">
        <f t="shared" si="401"/>
        <v>30</v>
      </c>
      <c r="AS3154" s="1078" t="str">
        <f t="shared" si="402"/>
        <v>225/225/OFF</v>
      </c>
      <c r="AT3154" s="1078" t="str">
        <f t="shared" si="403"/>
        <v>1-5-1S83°</v>
      </c>
      <c r="AV3154" s="1078" t="str">
        <f t="shared" si="396"/>
        <v>114.7.25</v>
      </c>
      <c r="AW3154" s="1344">
        <f t="shared" si="397"/>
        <v>45863</v>
      </c>
    </row>
    <row r="3155" spans="1:49">
      <c r="A3155" s="1077" t="s">
        <v>15664</v>
      </c>
      <c r="B3155" s="1077" t="s">
        <v>453</v>
      </c>
      <c r="C3155" s="1077">
        <v>650</v>
      </c>
      <c r="D3155" s="1077">
        <v>1.7150000000000001</v>
      </c>
      <c r="E3155" s="1077" t="s">
        <v>15093</v>
      </c>
      <c r="F3155" s="1077" t="s">
        <v>984</v>
      </c>
      <c r="G3155" s="1077" t="s">
        <v>1767</v>
      </c>
      <c r="H3155" s="1077" t="s">
        <v>1889</v>
      </c>
      <c r="I3155" s="1077" t="s">
        <v>126</v>
      </c>
      <c r="J3155" s="1077">
        <v>1.1000000000000001</v>
      </c>
      <c r="K3155" s="1077" t="s">
        <v>2282</v>
      </c>
      <c r="L3155" s="1077" t="s">
        <v>1821</v>
      </c>
      <c r="M3155" s="1077">
        <v>77</v>
      </c>
      <c r="N3155" s="1077" t="s">
        <v>945</v>
      </c>
      <c r="O3155" s="1077">
        <v>1.925</v>
      </c>
      <c r="P3155" s="1077">
        <v>1.54</v>
      </c>
      <c r="Q3155" s="1077">
        <v>4.2</v>
      </c>
      <c r="R3155" s="1077">
        <v>24</v>
      </c>
      <c r="T3155" s="1077">
        <v>9</v>
      </c>
      <c r="U3155" s="1077">
        <v>2.2000000000000002</v>
      </c>
      <c r="V3155" s="1077" t="s">
        <v>648</v>
      </c>
      <c r="W3155" s="1077">
        <v>110</v>
      </c>
      <c r="X3155" s="1077" t="s">
        <v>1130</v>
      </c>
      <c r="Y3155" s="1077">
        <v>2.1</v>
      </c>
      <c r="Z3155" s="1077">
        <v>2.5</v>
      </c>
      <c r="AA3155" s="1077" t="s">
        <v>15665</v>
      </c>
      <c r="AB3155" s="1077" t="s">
        <v>981</v>
      </c>
      <c r="AH3155" s="1077" t="s">
        <v>889</v>
      </c>
      <c r="AM3155" s="1078" t="s">
        <v>15582</v>
      </c>
      <c r="AN3155" s="1078" t="s">
        <v>15765</v>
      </c>
      <c r="AO3155" s="1078">
        <f t="shared" si="398"/>
        <v>650</v>
      </c>
      <c r="AP3155" s="1078">
        <f t="shared" si="399"/>
        <v>1.7150000000000001</v>
      </c>
      <c r="AQ3155" s="1078" t="str">
        <f t="shared" si="400"/>
        <v>1-4-1S撚S83°</v>
      </c>
      <c r="AR3155" s="1078" t="str">
        <f t="shared" si="401"/>
        <v>30</v>
      </c>
      <c r="AS3155" s="1078" t="str">
        <f t="shared" si="402"/>
        <v>265/265/165</v>
      </c>
      <c r="AT3155" s="1078" t="str">
        <f t="shared" si="403"/>
        <v>1-4-1S撚S83°</v>
      </c>
      <c r="AV3155" s="1078" t="str">
        <f t="shared" si="396"/>
        <v>114.7.29</v>
      </c>
      <c r="AW3155" s="1344">
        <f t="shared" si="397"/>
        <v>45867</v>
      </c>
    </row>
    <row r="3156" spans="1:49">
      <c r="A3156" s="1077" t="s">
        <v>15666</v>
      </c>
      <c r="B3156" s="1077" t="s">
        <v>715</v>
      </c>
      <c r="C3156" s="1077">
        <v>600</v>
      </c>
      <c r="D3156" s="1077">
        <v>1.6950000000000001</v>
      </c>
      <c r="E3156" s="1077" t="s">
        <v>15095</v>
      </c>
      <c r="F3156" s="1077" t="s">
        <v>1897</v>
      </c>
      <c r="G3156" s="1077" t="s">
        <v>940</v>
      </c>
      <c r="H3156" s="1077" t="s">
        <v>1649</v>
      </c>
      <c r="I3156" s="1077" t="s">
        <v>126</v>
      </c>
      <c r="J3156" s="1077">
        <v>1</v>
      </c>
      <c r="K3156" s="1077" t="s">
        <v>15667</v>
      </c>
      <c r="L3156" s="1077" t="s">
        <v>4548</v>
      </c>
      <c r="M3156" s="1077">
        <v>101.5</v>
      </c>
      <c r="N3156" s="1077" t="s">
        <v>945</v>
      </c>
      <c r="O3156" s="1077">
        <v>2.5375000000000001</v>
      </c>
      <c r="P3156" s="1077">
        <v>2.0300000000000002</v>
      </c>
      <c r="Q3156" s="1077">
        <v>4</v>
      </c>
      <c r="R3156" s="1077">
        <v>23</v>
      </c>
      <c r="T3156" s="1077">
        <v>12</v>
      </c>
      <c r="U3156" s="1077">
        <v>4.5</v>
      </c>
      <c r="V3156" s="1077" t="s">
        <v>648</v>
      </c>
      <c r="W3156" s="1077">
        <v>125</v>
      </c>
      <c r="X3156" s="1077">
        <v>80</v>
      </c>
      <c r="Y3156" s="1077">
        <v>1.5</v>
      </c>
      <c r="Z3156" s="1077">
        <v>4</v>
      </c>
      <c r="AA3156" s="1077" t="s">
        <v>15668</v>
      </c>
      <c r="AH3156" s="1077" t="s">
        <v>958</v>
      </c>
      <c r="AM3156" s="1078" t="s">
        <v>15580</v>
      </c>
      <c r="AN3156" s="1078" t="s">
        <v>15766</v>
      </c>
      <c r="AO3156" s="1078">
        <f t="shared" si="398"/>
        <v>600</v>
      </c>
      <c r="AP3156" s="1078">
        <f t="shared" si="399"/>
        <v>1.6950000000000001</v>
      </c>
      <c r="AQ3156" s="1078" t="str">
        <f t="shared" si="400"/>
        <v>1-5-1S83°</v>
      </c>
      <c r="AR3156" s="1078" t="str">
        <f t="shared" si="401"/>
        <v>30.8</v>
      </c>
      <c r="AS3156" s="1078" t="str">
        <f t="shared" si="402"/>
        <v>225/225/OFF</v>
      </c>
      <c r="AT3156" s="1078" t="str">
        <f t="shared" si="403"/>
        <v>1-5-1S83°</v>
      </c>
      <c r="AV3156" s="1078" t="str">
        <f t="shared" si="396"/>
        <v>114.7.28</v>
      </c>
      <c r="AW3156" s="1344">
        <f t="shared" si="397"/>
        <v>45866</v>
      </c>
    </row>
    <row r="3157" spans="1:49">
      <c r="A3157" s="1077" t="s">
        <v>15669</v>
      </c>
      <c r="B3157" s="1077" t="s">
        <v>298</v>
      </c>
      <c r="C3157" s="1077">
        <v>650</v>
      </c>
      <c r="D3157" s="1077">
        <v>1.7549999999999999</v>
      </c>
      <c r="E3157" s="1077" t="s">
        <v>15095</v>
      </c>
      <c r="F3157" s="1077" t="s">
        <v>954</v>
      </c>
      <c r="G3157" s="1077" t="s">
        <v>1767</v>
      </c>
      <c r="H3157" s="1077" t="s">
        <v>1040</v>
      </c>
      <c r="I3157" s="1077" t="s">
        <v>626</v>
      </c>
      <c r="J3157" s="1077">
        <v>2.4</v>
      </c>
      <c r="K3157" s="1077" t="s">
        <v>15670</v>
      </c>
      <c r="L3157" s="1077" t="s">
        <v>4487</v>
      </c>
      <c r="M3157" s="1077">
        <v>101.5</v>
      </c>
      <c r="N3157" s="1077" t="s">
        <v>945</v>
      </c>
      <c r="O3157" s="1077">
        <v>2.5375000000000001</v>
      </c>
      <c r="P3157" s="1077">
        <v>2.0300000000000002</v>
      </c>
      <c r="Q3157" s="1077">
        <v>3.5</v>
      </c>
      <c r="R3157" s="1077">
        <v>19</v>
      </c>
      <c r="T3157" s="1077">
        <v>24</v>
      </c>
      <c r="U3157" s="1077">
        <v>5.4</v>
      </c>
      <c r="V3157" s="1077" t="s">
        <v>648</v>
      </c>
      <c r="W3157" s="1077">
        <v>135</v>
      </c>
      <c r="X3157" s="1077">
        <v>10</v>
      </c>
      <c r="Y3157" s="1077">
        <v>1.3</v>
      </c>
      <c r="Z3157" s="1077">
        <v>6</v>
      </c>
      <c r="AA3157" s="1077" t="s">
        <v>15663</v>
      </c>
      <c r="AH3157" s="1077" t="s">
        <v>803</v>
      </c>
      <c r="AM3157" s="1078" t="s">
        <v>15537</v>
      </c>
      <c r="AN3157" s="1078" t="s">
        <v>15767</v>
      </c>
      <c r="AO3157" s="1078">
        <f t="shared" si="398"/>
        <v>650</v>
      </c>
      <c r="AP3157" s="1078">
        <f t="shared" si="399"/>
        <v>1.7549999999999999</v>
      </c>
      <c r="AQ3157" s="1078" t="str">
        <f t="shared" si="400"/>
        <v>1-5-1S83°</v>
      </c>
      <c r="AR3157" s="1078" t="str">
        <f t="shared" si="401"/>
        <v>31</v>
      </c>
      <c r="AS3157" s="1078" t="str">
        <f t="shared" si="402"/>
        <v>240/240/OFF</v>
      </c>
      <c r="AT3157" s="1078" t="str">
        <f t="shared" si="403"/>
        <v>1-5-1S83°</v>
      </c>
      <c r="AV3157" s="1078" t="str">
        <f t="shared" si="396"/>
        <v>114.7.25</v>
      </c>
      <c r="AW3157" s="1344">
        <f t="shared" si="397"/>
        <v>45863</v>
      </c>
    </row>
    <row r="3158" spans="1:49">
      <c r="A3158" s="1077" t="s">
        <v>15671</v>
      </c>
      <c r="B3158" s="1077" t="s">
        <v>715</v>
      </c>
      <c r="C3158" s="1077">
        <v>600</v>
      </c>
      <c r="D3158" s="1077">
        <v>1.7</v>
      </c>
      <c r="E3158" s="1077" t="s">
        <v>15095</v>
      </c>
      <c r="F3158" s="1077" t="s">
        <v>1897</v>
      </c>
      <c r="G3158" s="1077" t="s">
        <v>940</v>
      </c>
      <c r="H3158" s="1077" t="s">
        <v>1649</v>
      </c>
      <c r="I3158" s="1077" t="s">
        <v>126</v>
      </c>
      <c r="J3158" s="1077">
        <v>1.1000000000000001</v>
      </c>
      <c r="K3158" s="1077" t="s">
        <v>15667</v>
      </c>
      <c r="L3158" s="1077" t="s">
        <v>4548</v>
      </c>
      <c r="M3158" s="1077">
        <v>101.5</v>
      </c>
      <c r="N3158" s="1077" t="s">
        <v>945</v>
      </c>
      <c r="O3158" s="1077">
        <v>2.5375000000000001</v>
      </c>
      <c r="P3158" s="1077">
        <v>2.0300000000000002</v>
      </c>
      <c r="Q3158" s="1077">
        <v>4</v>
      </c>
      <c r="R3158" s="1077">
        <v>23</v>
      </c>
      <c r="T3158" s="1077">
        <v>12</v>
      </c>
      <c r="U3158" s="1077">
        <v>4.5</v>
      </c>
      <c r="V3158" s="1077" t="s">
        <v>648</v>
      </c>
      <c r="W3158" s="1077">
        <v>125</v>
      </c>
      <c r="X3158" s="1077">
        <v>80</v>
      </c>
      <c r="Y3158" s="1077">
        <v>1.5</v>
      </c>
      <c r="Z3158" s="1077">
        <v>4</v>
      </c>
      <c r="AA3158" s="1077" t="s">
        <v>15665</v>
      </c>
      <c r="AH3158" s="1077" t="s">
        <v>468</v>
      </c>
      <c r="AM3158" s="1078" t="s">
        <v>15581</v>
      </c>
      <c r="AN3158" s="1078" t="s">
        <v>15768</v>
      </c>
      <c r="AO3158" s="1078">
        <f t="shared" si="398"/>
        <v>600</v>
      </c>
      <c r="AP3158" s="1078">
        <f t="shared" si="399"/>
        <v>1.7</v>
      </c>
      <c r="AQ3158" s="1078" t="str">
        <f t="shared" si="400"/>
        <v>1-5-1S83°</v>
      </c>
      <c r="AR3158" s="1078" t="str">
        <f t="shared" si="401"/>
        <v>30.8</v>
      </c>
      <c r="AS3158" s="1078" t="str">
        <f t="shared" si="402"/>
        <v>225/225/OFF</v>
      </c>
      <c r="AT3158" s="1078" t="str">
        <f t="shared" si="403"/>
        <v>1-5-1S83°</v>
      </c>
      <c r="AV3158" s="1078" t="str">
        <f t="shared" si="396"/>
        <v>114.7.29</v>
      </c>
      <c r="AW3158" s="1344">
        <f t="shared" si="397"/>
        <v>45867</v>
      </c>
    </row>
    <row r="3159" spans="1:49">
      <c r="A3159" s="1077" t="s">
        <v>15672</v>
      </c>
      <c r="B3159" s="1077" t="s">
        <v>298</v>
      </c>
      <c r="C3159" s="1077">
        <v>650</v>
      </c>
      <c r="D3159" s="1077">
        <v>1.7549999999999999</v>
      </c>
      <c r="E3159" s="1077" t="s">
        <v>15095</v>
      </c>
      <c r="F3159" s="1077" t="s">
        <v>954</v>
      </c>
      <c r="G3159" s="1077" t="s">
        <v>1767</v>
      </c>
      <c r="H3159" s="1077" t="s">
        <v>1040</v>
      </c>
      <c r="I3159" s="1077" t="s">
        <v>626</v>
      </c>
      <c r="J3159" s="1077">
        <v>2.4</v>
      </c>
      <c r="K3159" s="1077" t="s">
        <v>15673</v>
      </c>
      <c r="L3159" s="1077" t="s">
        <v>4487</v>
      </c>
      <c r="M3159" s="1077">
        <v>101.5</v>
      </c>
      <c r="N3159" s="1077" t="s">
        <v>945</v>
      </c>
      <c r="O3159" s="1077">
        <v>2.5375000000000001</v>
      </c>
      <c r="P3159" s="1077">
        <v>2.0300000000000002</v>
      </c>
      <c r="Q3159" s="1077">
        <v>3.5</v>
      </c>
      <c r="R3159" s="1077">
        <v>19</v>
      </c>
      <c r="T3159" s="1077">
        <v>24</v>
      </c>
      <c r="U3159" s="1077">
        <v>5.4</v>
      </c>
      <c r="V3159" s="1077" t="s">
        <v>648</v>
      </c>
      <c r="W3159" s="1077">
        <v>135</v>
      </c>
      <c r="X3159" s="1077">
        <v>10</v>
      </c>
      <c r="Y3159" s="1077">
        <v>1.3</v>
      </c>
      <c r="Z3159" s="1077">
        <v>6</v>
      </c>
      <c r="AA3159" s="1077" t="s">
        <v>15674</v>
      </c>
      <c r="AH3159" s="1077" t="s">
        <v>618</v>
      </c>
      <c r="AM3159" s="1078" t="s">
        <v>15614</v>
      </c>
      <c r="AN3159" s="1078" t="s">
        <v>15769</v>
      </c>
      <c r="AO3159" s="1078">
        <f t="shared" si="398"/>
        <v>650</v>
      </c>
      <c r="AP3159" s="1078">
        <f t="shared" si="399"/>
        <v>1.7549999999999999</v>
      </c>
      <c r="AQ3159" s="1078" t="str">
        <f t="shared" si="400"/>
        <v>1-5-1S83°</v>
      </c>
      <c r="AR3159" s="1078" t="str">
        <f t="shared" si="401"/>
        <v>31</v>
      </c>
      <c r="AS3159" s="1078" t="str">
        <f t="shared" si="402"/>
        <v>240/240/OFF</v>
      </c>
      <c r="AT3159" s="1078" t="str">
        <f t="shared" si="403"/>
        <v>1-5-1S83°</v>
      </c>
      <c r="AV3159" s="1078" t="str">
        <f t="shared" si="396"/>
        <v>114.8.5</v>
      </c>
      <c r="AW3159" s="1344">
        <f t="shared" si="397"/>
        <v>45874</v>
      </c>
    </row>
    <row r="3160" spans="1:49">
      <c r="A3160" s="1077" t="s">
        <v>15675</v>
      </c>
      <c r="B3160" s="1077" t="s">
        <v>715</v>
      </c>
      <c r="C3160" s="1077">
        <v>600</v>
      </c>
      <c r="D3160" s="1077">
        <v>1.7</v>
      </c>
      <c r="E3160" s="1077" t="s">
        <v>15095</v>
      </c>
      <c r="F3160" s="1077" t="s">
        <v>1897</v>
      </c>
      <c r="G3160" s="1077" t="s">
        <v>940</v>
      </c>
      <c r="H3160" s="1077" t="s">
        <v>1649</v>
      </c>
      <c r="I3160" s="1077" t="s">
        <v>126</v>
      </c>
      <c r="J3160" s="1077">
        <v>1.1000000000000001</v>
      </c>
      <c r="K3160" s="1077" t="s">
        <v>15676</v>
      </c>
      <c r="L3160" s="1077" t="s">
        <v>4548</v>
      </c>
      <c r="M3160" s="1077">
        <v>101.5</v>
      </c>
      <c r="N3160" s="1077" t="s">
        <v>945</v>
      </c>
      <c r="O3160" s="1077">
        <v>2.5375000000000001</v>
      </c>
      <c r="P3160" s="1077">
        <v>2.0300000000000002</v>
      </c>
      <c r="Q3160" s="1077">
        <v>4</v>
      </c>
      <c r="R3160" s="1077">
        <v>23</v>
      </c>
      <c r="T3160" s="1077">
        <v>12</v>
      </c>
      <c r="U3160" s="1077">
        <v>4.5</v>
      </c>
      <c r="V3160" s="1077" t="s">
        <v>648</v>
      </c>
      <c r="W3160" s="1077">
        <v>125</v>
      </c>
      <c r="X3160" s="1077">
        <v>80</v>
      </c>
      <c r="Y3160" s="1077">
        <v>1.5</v>
      </c>
      <c r="Z3160" s="1077">
        <v>4</v>
      </c>
      <c r="AA3160" s="1077" t="s">
        <v>15677</v>
      </c>
      <c r="AH3160" s="1077" t="s">
        <v>1186</v>
      </c>
      <c r="AM3160" s="1078" t="s">
        <v>15618</v>
      </c>
      <c r="AN3160" s="1078" t="s">
        <v>15770</v>
      </c>
      <c r="AO3160" s="1078">
        <f t="shared" si="398"/>
        <v>600</v>
      </c>
      <c r="AP3160" s="1078">
        <f t="shared" si="399"/>
        <v>1.7</v>
      </c>
      <c r="AQ3160" s="1078" t="str">
        <f t="shared" si="400"/>
        <v>1-5-1S83°</v>
      </c>
      <c r="AR3160" s="1078" t="str">
        <f t="shared" si="401"/>
        <v>30.8</v>
      </c>
      <c r="AS3160" s="1078" t="str">
        <f t="shared" si="402"/>
        <v>225/225/OFF</v>
      </c>
      <c r="AT3160" s="1078" t="str">
        <f t="shared" si="403"/>
        <v>1-5-1S83°</v>
      </c>
      <c r="AV3160" s="1078" t="str">
        <f t="shared" si="396"/>
        <v>114.8.6</v>
      </c>
      <c r="AW3160" s="1344">
        <f t="shared" si="397"/>
        <v>45875</v>
      </c>
    </row>
    <row r="3161" spans="1:49">
      <c r="A3161" s="1077" t="s">
        <v>15678</v>
      </c>
      <c r="B3161" s="1077" t="s">
        <v>715</v>
      </c>
      <c r="C3161" s="1077">
        <v>600</v>
      </c>
      <c r="D3161" s="1077">
        <v>1.7050000000000001</v>
      </c>
      <c r="E3161" s="1077" t="s">
        <v>15095</v>
      </c>
      <c r="F3161" s="1077" t="s">
        <v>1897</v>
      </c>
      <c r="G3161" s="1077" t="s">
        <v>940</v>
      </c>
      <c r="H3161" s="1077" t="s">
        <v>1649</v>
      </c>
      <c r="I3161" s="1077" t="s">
        <v>126</v>
      </c>
      <c r="J3161" s="1077">
        <v>1</v>
      </c>
      <c r="K3161" s="1077" t="s">
        <v>15676</v>
      </c>
      <c r="L3161" s="1077" t="s">
        <v>4548</v>
      </c>
      <c r="M3161" s="1077">
        <v>101.5</v>
      </c>
      <c r="N3161" s="1077" t="s">
        <v>945</v>
      </c>
      <c r="O3161" s="1077">
        <v>2.5375000000000001</v>
      </c>
      <c r="P3161" s="1077">
        <v>2.0300000000000002</v>
      </c>
      <c r="Q3161" s="1077">
        <v>4</v>
      </c>
      <c r="R3161" s="1077">
        <v>23</v>
      </c>
      <c r="T3161" s="1077">
        <v>12</v>
      </c>
      <c r="U3161" s="1077">
        <v>4.5</v>
      </c>
      <c r="V3161" s="1077" t="s">
        <v>648</v>
      </c>
      <c r="W3161" s="1077">
        <v>125</v>
      </c>
      <c r="X3161" s="1077">
        <v>80</v>
      </c>
      <c r="Y3161" s="1077">
        <v>1.5</v>
      </c>
      <c r="Z3161" s="1077">
        <v>4</v>
      </c>
      <c r="AA3161" s="1077" t="s">
        <v>15679</v>
      </c>
      <c r="AH3161" s="1077" t="s">
        <v>868</v>
      </c>
      <c r="AM3161" s="1078" t="s">
        <v>15619</v>
      </c>
      <c r="AN3161" s="1078" t="s">
        <v>15771</v>
      </c>
      <c r="AO3161" s="1078">
        <f t="shared" si="398"/>
        <v>600</v>
      </c>
      <c r="AP3161" s="1078">
        <f t="shared" si="399"/>
        <v>1.7050000000000001</v>
      </c>
      <c r="AQ3161" s="1078" t="str">
        <f t="shared" si="400"/>
        <v>1-5-1S83°</v>
      </c>
      <c r="AR3161" s="1078" t="str">
        <f t="shared" si="401"/>
        <v>30.8</v>
      </c>
      <c r="AS3161" s="1078" t="str">
        <f t="shared" si="402"/>
        <v>225/225/OFF</v>
      </c>
      <c r="AT3161" s="1078" t="str">
        <f t="shared" si="403"/>
        <v>1-5-1S83°</v>
      </c>
      <c r="AV3161" s="1078" t="str">
        <f t="shared" si="396"/>
        <v>114.8.7</v>
      </c>
      <c r="AW3161" s="1344">
        <f t="shared" si="397"/>
        <v>45876</v>
      </c>
    </row>
    <row r="3162" spans="1:49">
      <c r="A3162" s="1077" t="s">
        <v>15680</v>
      </c>
      <c r="B3162" s="1077" t="s">
        <v>465</v>
      </c>
      <c r="C3162" s="1077">
        <v>600</v>
      </c>
      <c r="D3162" s="1077">
        <v>1.76</v>
      </c>
      <c r="E3162" s="1077" t="s">
        <v>15108</v>
      </c>
      <c r="F3162" s="1077" t="s">
        <v>648</v>
      </c>
      <c r="G3162" s="1077">
        <v>5</v>
      </c>
      <c r="H3162" s="1077" t="s">
        <v>1793</v>
      </c>
      <c r="I3162" s="1077" t="s">
        <v>460</v>
      </c>
      <c r="J3162" s="1077">
        <v>2</v>
      </c>
      <c r="K3162" s="1077" t="s">
        <v>15681</v>
      </c>
      <c r="L3162" s="1077" t="s">
        <v>6335</v>
      </c>
      <c r="M3162" s="1077">
        <v>149.5</v>
      </c>
      <c r="N3162" s="1077" t="s">
        <v>945</v>
      </c>
      <c r="O3162" s="1077">
        <v>3.7375000000000003</v>
      </c>
      <c r="P3162" s="1077">
        <v>2.99</v>
      </c>
      <c r="Q3162" s="1077">
        <v>4</v>
      </c>
      <c r="R3162" s="1077">
        <v>21</v>
      </c>
      <c r="T3162" s="1077">
        <v>37</v>
      </c>
      <c r="U3162" s="1077">
        <v>3.7</v>
      </c>
      <c r="V3162" s="1077" t="s">
        <v>648</v>
      </c>
      <c r="W3162" s="1077">
        <v>110</v>
      </c>
      <c r="X3162" s="1077">
        <v>40</v>
      </c>
      <c r="Y3162" s="1077">
        <v>2.2000000000000002</v>
      </c>
      <c r="Z3162" s="1077" t="s">
        <v>648</v>
      </c>
      <c r="AA3162" s="1077" t="s">
        <v>15674</v>
      </c>
      <c r="AH3162" s="1077" t="s">
        <v>1221</v>
      </c>
      <c r="AM3162" s="1078" t="s">
        <v>15615</v>
      </c>
      <c r="AN3162" s="1078" t="s">
        <v>15772</v>
      </c>
      <c r="AO3162" s="1078">
        <f t="shared" si="398"/>
        <v>600</v>
      </c>
      <c r="AP3162" s="1078">
        <f t="shared" si="399"/>
        <v>1.76</v>
      </c>
      <c r="AQ3162" s="1078" t="str">
        <f t="shared" si="400"/>
        <v>1-4-1S83°Z+S</v>
      </c>
      <c r="AR3162" s="1078" t="str">
        <f t="shared" si="401"/>
        <v>NA</v>
      </c>
      <c r="AS3162" s="1078" t="str">
        <f t="shared" si="402"/>
        <v>270/270/OFF</v>
      </c>
      <c r="AT3162" s="1078" t="str">
        <f t="shared" si="403"/>
        <v>1-4-1S83°Z+S</v>
      </c>
      <c r="AV3162" s="1078" t="str">
        <f t="shared" si="396"/>
        <v>114.8.5</v>
      </c>
      <c r="AW3162" s="1344">
        <f t="shared" si="397"/>
        <v>45874</v>
      </c>
    </row>
    <row r="3163" spans="1:49">
      <c r="A3163" s="1077" t="s">
        <v>15682</v>
      </c>
      <c r="B3163" s="1077" t="s">
        <v>754</v>
      </c>
      <c r="C3163" s="1077">
        <v>500</v>
      </c>
      <c r="D3163" s="1077">
        <v>1.655</v>
      </c>
      <c r="E3163" s="1077" t="s">
        <v>15108</v>
      </c>
      <c r="F3163" s="1077" t="s">
        <v>648</v>
      </c>
      <c r="G3163" s="1077">
        <v>4</v>
      </c>
      <c r="H3163" s="1077" t="s">
        <v>1649</v>
      </c>
      <c r="I3163" s="1077" t="s">
        <v>126</v>
      </c>
      <c r="J3163" s="1077">
        <v>1.8</v>
      </c>
      <c r="K3163" s="1077" t="s">
        <v>15683</v>
      </c>
      <c r="L3163" s="1077" t="s">
        <v>6742</v>
      </c>
      <c r="M3163" s="1077">
        <v>155</v>
      </c>
      <c r="N3163" s="1077" t="s">
        <v>945</v>
      </c>
      <c r="O3163" s="1077">
        <v>3.875</v>
      </c>
      <c r="P3163" s="1077">
        <v>3.1</v>
      </c>
      <c r="Q3163" s="1077">
        <v>4</v>
      </c>
      <c r="R3163" s="1077">
        <v>25</v>
      </c>
      <c r="T3163" s="1077">
        <v>18</v>
      </c>
      <c r="U3163" s="1077">
        <v>3.8</v>
      </c>
      <c r="V3163" s="1077" t="s">
        <v>648</v>
      </c>
      <c r="W3163" s="1077">
        <v>135</v>
      </c>
      <c r="X3163" s="1077">
        <v>80</v>
      </c>
      <c r="Y3163" s="1077">
        <v>1.2</v>
      </c>
      <c r="Z3163" s="1077" t="s">
        <v>648</v>
      </c>
      <c r="AA3163" s="1077" t="s">
        <v>15684</v>
      </c>
      <c r="AH3163" s="1077" t="s">
        <v>684</v>
      </c>
      <c r="AM3163" s="1078" t="s">
        <v>15620</v>
      </c>
      <c r="AN3163" s="1078" t="s">
        <v>15773</v>
      </c>
      <c r="AO3163" s="1078">
        <f t="shared" si="398"/>
        <v>500</v>
      </c>
      <c r="AP3163" s="1078">
        <f t="shared" si="399"/>
        <v>1.655</v>
      </c>
      <c r="AQ3163" s="1078" t="str">
        <f t="shared" si="400"/>
        <v>1-4-1S83°Z+S</v>
      </c>
      <c r="AR3163" s="1078" t="str">
        <f t="shared" si="401"/>
        <v>NA</v>
      </c>
      <c r="AS3163" s="1078" t="str">
        <f t="shared" si="402"/>
        <v>225/225/OFF</v>
      </c>
      <c r="AT3163" s="1078" t="str">
        <f t="shared" si="403"/>
        <v>1-4-1S83°Z+S</v>
      </c>
      <c r="AV3163" s="1078" t="str">
        <f t="shared" si="396"/>
        <v>114.8.8</v>
      </c>
      <c r="AW3163" s="1344">
        <f t="shared" si="397"/>
        <v>45877</v>
      </c>
    </row>
    <row r="3164" spans="1:49">
      <c r="A3164" s="1077" t="s">
        <v>15685</v>
      </c>
      <c r="B3164" s="1077" t="s">
        <v>465</v>
      </c>
      <c r="C3164" s="1077">
        <v>650</v>
      </c>
      <c r="D3164" s="1077">
        <v>1.7849999999999999</v>
      </c>
      <c r="E3164" s="1077" t="s">
        <v>15109</v>
      </c>
      <c r="F3164" s="1077" t="s">
        <v>648</v>
      </c>
      <c r="G3164" s="1077">
        <v>5</v>
      </c>
      <c r="H3164" s="1077" t="s">
        <v>3356</v>
      </c>
      <c r="I3164" s="1077" t="s">
        <v>460</v>
      </c>
      <c r="J3164" s="1077">
        <v>1.7</v>
      </c>
      <c r="K3164" s="1077" t="s">
        <v>15681</v>
      </c>
      <c r="L3164" s="1077" t="s">
        <v>6335</v>
      </c>
      <c r="M3164" s="1077">
        <v>149.5</v>
      </c>
      <c r="N3164" s="1077" t="s">
        <v>945</v>
      </c>
      <c r="O3164" s="1077">
        <v>3.7375000000000003</v>
      </c>
      <c r="P3164" s="1077">
        <v>2.99</v>
      </c>
      <c r="Q3164" s="1077">
        <v>4</v>
      </c>
      <c r="R3164" s="1077">
        <v>21</v>
      </c>
      <c r="T3164" s="1077">
        <v>37</v>
      </c>
      <c r="U3164" s="1077">
        <v>3.7</v>
      </c>
      <c r="V3164" s="1077" t="s">
        <v>648</v>
      </c>
      <c r="W3164" s="1077">
        <v>110</v>
      </c>
      <c r="X3164" s="1077">
        <v>40</v>
      </c>
      <c r="Y3164" s="1077">
        <v>2.2000000000000002</v>
      </c>
      <c r="Z3164" s="1077" t="s">
        <v>648</v>
      </c>
      <c r="AA3164" s="1077" t="s">
        <v>15686</v>
      </c>
      <c r="AH3164" s="1077" t="s">
        <v>812</v>
      </c>
      <c r="AM3164" s="1078" t="s">
        <v>15626</v>
      </c>
      <c r="AN3164" s="1078" t="s">
        <v>15774</v>
      </c>
      <c r="AO3164" s="1078">
        <f t="shared" si="398"/>
        <v>650</v>
      </c>
      <c r="AP3164" s="1078">
        <f t="shared" si="399"/>
        <v>1.7849999999999999</v>
      </c>
      <c r="AQ3164" s="1078" t="str">
        <f t="shared" si="400"/>
        <v>1-5-1S85°Z+S</v>
      </c>
      <c r="AR3164" s="1078" t="str">
        <f t="shared" si="401"/>
        <v>NA</v>
      </c>
      <c r="AS3164" s="1078" t="str">
        <f t="shared" si="402"/>
        <v>182/OFF</v>
      </c>
      <c r="AT3164" s="1078" t="str">
        <f t="shared" si="403"/>
        <v>1-5-1S85°Z+S</v>
      </c>
      <c r="AV3164" s="1078" t="str">
        <f t="shared" si="396"/>
        <v>114.8.14</v>
      </c>
      <c r="AW3164" s="1344">
        <f t="shared" si="397"/>
        <v>45883</v>
      </c>
    </row>
    <row r="3165" spans="1:49">
      <c r="A3165" s="1077" t="s">
        <v>15687</v>
      </c>
      <c r="B3165" s="1077" t="s">
        <v>465</v>
      </c>
      <c r="C3165" s="1077">
        <v>600</v>
      </c>
      <c r="D3165" s="1077">
        <v>1.79</v>
      </c>
      <c r="E3165" s="1077" t="s">
        <v>15109</v>
      </c>
      <c r="F3165" s="1077" t="s">
        <v>648</v>
      </c>
      <c r="G3165" s="1077">
        <v>5</v>
      </c>
      <c r="H3165" s="1077" t="s">
        <v>15688</v>
      </c>
      <c r="I3165" s="1077" t="s">
        <v>460</v>
      </c>
      <c r="J3165" s="1077">
        <v>1.6</v>
      </c>
      <c r="K3165" s="1077" t="s">
        <v>15689</v>
      </c>
      <c r="L3165" s="1077" t="s">
        <v>6335</v>
      </c>
      <c r="M3165" s="1077">
        <v>149.5</v>
      </c>
      <c r="N3165" s="1077" t="s">
        <v>945</v>
      </c>
      <c r="O3165" s="1077">
        <v>3.7375000000000003</v>
      </c>
      <c r="P3165" s="1077">
        <v>2.99</v>
      </c>
      <c r="Q3165" s="1077">
        <v>4</v>
      </c>
      <c r="R3165" s="1077">
        <v>21</v>
      </c>
      <c r="T3165" s="1077">
        <v>37</v>
      </c>
      <c r="U3165" s="1077">
        <v>3.7</v>
      </c>
      <c r="V3165" s="1077" t="s">
        <v>648</v>
      </c>
      <c r="W3165" s="1077">
        <v>110</v>
      </c>
      <c r="X3165" s="1077">
        <v>40</v>
      </c>
      <c r="Y3165" s="1077">
        <v>2.2000000000000002</v>
      </c>
      <c r="Z3165" s="1077" t="s">
        <v>648</v>
      </c>
      <c r="AA3165" s="1077" t="s">
        <v>15690</v>
      </c>
      <c r="AH3165" s="1077" t="s">
        <v>854</v>
      </c>
      <c r="AI3165" s="1077">
        <v>91.94</v>
      </c>
      <c r="AJ3165" s="1077">
        <v>-0.5</v>
      </c>
      <c r="AK3165" s="1077">
        <v>1.1399999999999999</v>
      </c>
      <c r="AM3165" s="1078" t="s">
        <v>15496</v>
      </c>
      <c r="AN3165" s="1078" t="s">
        <v>15775</v>
      </c>
      <c r="AO3165" s="1078">
        <f t="shared" si="398"/>
        <v>600</v>
      </c>
      <c r="AP3165" s="1078">
        <f t="shared" si="399"/>
        <v>1.79</v>
      </c>
      <c r="AQ3165" s="1078" t="str">
        <f t="shared" si="400"/>
        <v>1-5-1S85°Z+S</v>
      </c>
      <c r="AR3165" s="1078" t="str">
        <f t="shared" si="401"/>
        <v>NA</v>
      </c>
      <c r="AS3165" s="1078" t="str">
        <f t="shared" si="402"/>
        <v>179/OFF</v>
      </c>
      <c r="AT3165" s="1078" t="str">
        <f t="shared" si="403"/>
        <v>1-5-1S85°Z+S</v>
      </c>
      <c r="AV3165" s="1078" t="str">
        <f t="shared" si="396"/>
        <v>114.7.1</v>
      </c>
      <c r="AW3165" s="1344">
        <f t="shared" si="397"/>
        <v>45839</v>
      </c>
    </row>
    <row r="3166" spans="1:49">
      <c r="A3166" s="1077" t="s">
        <v>15691</v>
      </c>
      <c r="B3166" s="1077" t="s">
        <v>5005</v>
      </c>
      <c r="C3166" s="1077">
        <v>500</v>
      </c>
      <c r="D3166" s="1077">
        <v>1.71</v>
      </c>
      <c r="E3166" s="1077" t="s">
        <v>15109</v>
      </c>
      <c r="F3166" s="1077" t="s">
        <v>648</v>
      </c>
      <c r="G3166" s="1077">
        <v>4</v>
      </c>
      <c r="H3166" s="1077" t="s">
        <v>1379</v>
      </c>
      <c r="I3166" s="1077" t="s">
        <v>126</v>
      </c>
      <c r="J3166" s="1077">
        <v>1.8</v>
      </c>
      <c r="K3166" s="1077" t="s">
        <v>15692</v>
      </c>
      <c r="L3166" s="1077" t="s">
        <v>6535</v>
      </c>
      <c r="M3166" s="1077">
        <v>154</v>
      </c>
      <c r="N3166" s="1077" t="s">
        <v>945</v>
      </c>
      <c r="O3166" s="1077">
        <v>3.85</v>
      </c>
      <c r="P3166" s="1077">
        <v>3.08</v>
      </c>
      <c r="Q3166" s="1077">
        <v>3.5</v>
      </c>
      <c r="R3166" s="1077">
        <v>25</v>
      </c>
      <c r="T3166" s="1077">
        <v>15</v>
      </c>
      <c r="U3166" s="1077">
        <v>4.2</v>
      </c>
      <c r="V3166" s="1077" t="s">
        <v>648</v>
      </c>
      <c r="W3166" s="1077">
        <v>140</v>
      </c>
      <c r="X3166" s="1077">
        <v>90</v>
      </c>
      <c r="Y3166" s="1077">
        <v>1.6</v>
      </c>
      <c r="Z3166" s="1077" t="s">
        <v>648</v>
      </c>
      <c r="AA3166" s="1077" t="s">
        <v>15693</v>
      </c>
      <c r="AH3166" s="1077" t="s">
        <v>1486</v>
      </c>
      <c r="AI3166" s="1077">
        <v>94.75</v>
      </c>
      <c r="AJ3166" s="1077">
        <v>-0.79</v>
      </c>
      <c r="AK3166" s="1077">
        <v>3.55</v>
      </c>
      <c r="AM3166" s="1078" t="s">
        <v>15510</v>
      </c>
      <c r="AN3166" s="1078" t="s">
        <v>15776</v>
      </c>
      <c r="AO3166" s="1078">
        <f t="shared" si="398"/>
        <v>500</v>
      </c>
      <c r="AP3166" s="1078">
        <f t="shared" si="399"/>
        <v>1.71</v>
      </c>
      <c r="AQ3166" s="1078" t="str">
        <f t="shared" si="400"/>
        <v>1-5-1S85°Z+S</v>
      </c>
      <c r="AR3166" s="1078" t="str">
        <f t="shared" si="401"/>
        <v>NA</v>
      </c>
      <c r="AS3166" s="1078" t="str">
        <f t="shared" si="402"/>
        <v>167/OFF</v>
      </c>
      <c r="AT3166" s="1078" t="str">
        <f t="shared" si="403"/>
        <v>1-5-1S85°Z+S</v>
      </c>
      <c r="AV3166" s="1078" t="str">
        <f t="shared" si="396"/>
        <v>114.7.10</v>
      </c>
      <c r="AW3166" s="1344">
        <f t="shared" si="397"/>
        <v>45848</v>
      </c>
    </row>
    <row r="3167" spans="1:49">
      <c r="A3167" s="1077" t="s">
        <v>15694</v>
      </c>
      <c r="B3167" s="1077" t="s">
        <v>844</v>
      </c>
      <c r="C3167" s="1077">
        <v>600</v>
      </c>
      <c r="D3167" s="1077">
        <v>1.79</v>
      </c>
      <c r="E3167" s="1077" t="s">
        <v>15094</v>
      </c>
      <c r="F3167" s="1077" t="s">
        <v>954</v>
      </c>
      <c r="G3167" s="1077">
        <v>5</v>
      </c>
      <c r="H3167" s="1077" t="s">
        <v>5126</v>
      </c>
      <c r="I3167" s="1077" t="s">
        <v>460</v>
      </c>
      <c r="J3167" s="1077">
        <v>4</v>
      </c>
      <c r="K3167" s="1077" t="s">
        <v>15695</v>
      </c>
      <c r="L3167" s="1077" t="s">
        <v>6238</v>
      </c>
      <c r="M3167" s="1077">
        <v>151.69999999999999</v>
      </c>
      <c r="N3167" s="1077" t="s">
        <v>945</v>
      </c>
      <c r="O3167" s="1077">
        <v>3.7925</v>
      </c>
      <c r="P3167" s="1077">
        <v>3.0339999999999998</v>
      </c>
      <c r="Q3167" s="1077">
        <v>3</v>
      </c>
      <c r="R3167" s="1077">
        <v>19.7</v>
      </c>
      <c r="T3167" s="1077">
        <v>11.5</v>
      </c>
      <c r="U3167" s="1077">
        <v>5.3</v>
      </c>
      <c r="V3167" s="1077" t="s">
        <v>648</v>
      </c>
      <c r="W3167" s="1077">
        <v>105</v>
      </c>
      <c r="X3167" s="1077">
        <v>95</v>
      </c>
      <c r="Y3167" s="1077">
        <v>1.5</v>
      </c>
      <c r="Z3167" s="1077">
        <v>5</v>
      </c>
      <c r="AA3167" s="1077" t="s">
        <v>15648</v>
      </c>
      <c r="AB3167" s="1077" t="s">
        <v>15696</v>
      </c>
      <c r="AH3167" s="1077" t="s">
        <v>722</v>
      </c>
      <c r="AI3167" s="1077">
        <v>90.82</v>
      </c>
      <c r="AJ3167" s="1077">
        <v>-1.88</v>
      </c>
      <c r="AK3167" s="1077">
        <v>5.81</v>
      </c>
      <c r="AM3167" s="1078" t="s">
        <v>15777</v>
      </c>
      <c r="AN3167" s="1078" t="s">
        <v>15778</v>
      </c>
      <c r="AO3167" s="1078">
        <f t="shared" si="398"/>
        <v>600</v>
      </c>
      <c r="AP3167" s="1078">
        <f t="shared" si="399"/>
        <v>1.79</v>
      </c>
      <c r="AQ3167" s="1078" t="str">
        <f t="shared" si="400"/>
        <v>1-5-1S91°</v>
      </c>
      <c r="AR3167" s="1078" t="str">
        <f t="shared" si="401"/>
        <v>31</v>
      </c>
      <c r="AS3167" s="1078" t="str">
        <f t="shared" si="402"/>
        <v>300/300/140</v>
      </c>
      <c r="AT3167" s="1078" t="str">
        <f t="shared" si="403"/>
        <v>1-5-1S91°</v>
      </c>
      <c r="AV3167" s="1078" t="str">
        <f t="shared" si="396"/>
        <v>114.7.11</v>
      </c>
      <c r="AW3167" s="1344">
        <f t="shared" si="397"/>
        <v>45849</v>
      </c>
    </row>
    <row r="3168" spans="1:49">
      <c r="A3168" s="1077" t="s">
        <v>15697</v>
      </c>
      <c r="B3168" s="1077" t="s">
        <v>4950</v>
      </c>
      <c r="C3168" s="1077">
        <v>500</v>
      </c>
      <c r="D3168" s="1077">
        <v>1.74</v>
      </c>
      <c r="E3168" s="1077" t="s">
        <v>15094</v>
      </c>
      <c r="F3168" s="1077" t="s">
        <v>984</v>
      </c>
      <c r="G3168" s="1077">
        <v>5</v>
      </c>
      <c r="H3168" s="1077" t="s">
        <v>955</v>
      </c>
      <c r="I3168" s="1077" t="s">
        <v>126</v>
      </c>
      <c r="J3168" s="1077">
        <v>0.6</v>
      </c>
      <c r="K3168" s="1077" t="s">
        <v>15698</v>
      </c>
      <c r="L3168" s="1077" t="s">
        <v>15699</v>
      </c>
      <c r="M3168" s="1077">
        <v>152.5</v>
      </c>
      <c r="N3168" s="1077" t="s">
        <v>945</v>
      </c>
      <c r="O3168" s="1077">
        <v>3.8125</v>
      </c>
      <c r="P3168" s="1077">
        <v>3.0500000000000003</v>
      </c>
      <c r="Q3168" s="1077">
        <v>3</v>
      </c>
      <c r="R3168" s="1077">
        <v>28.5</v>
      </c>
      <c r="T3168" s="1077">
        <v>19.2</v>
      </c>
      <c r="U3168" s="1077">
        <v>5.0999999999999996</v>
      </c>
      <c r="V3168" s="1077" t="s">
        <v>648</v>
      </c>
      <c r="W3168" s="1077">
        <v>30</v>
      </c>
      <c r="X3168" s="1077">
        <v>10</v>
      </c>
      <c r="Y3168" s="1077">
        <v>1.6</v>
      </c>
      <c r="Z3168" s="1077">
        <v>7</v>
      </c>
      <c r="AA3168" s="1077" t="s">
        <v>15700</v>
      </c>
      <c r="AB3168" s="1077" t="s">
        <v>2064</v>
      </c>
      <c r="AH3168" s="1077" t="s">
        <v>958</v>
      </c>
      <c r="AI3168" s="1077">
        <v>13.89</v>
      </c>
      <c r="AJ3168" s="1077">
        <v>0.08</v>
      </c>
      <c r="AK3168" s="1077">
        <v>0.62</v>
      </c>
      <c r="AM3168" s="1078" t="s">
        <v>15779</v>
      </c>
      <c r="AN3168" s="1078" t="s">
        <v>15780</v>
      </c>
      <c r="AO3168" s="1078">
        <f t="shared" si="398"/>
        <v>500</v>
      </c>
      <c r="AP3168" s="1078">
        <f t="shared" si="399"/>
        <v>1.74</v>
      </c>
      <c r="AQ3168" s="1078" t="str">
        <f t="shared" si="400"/>
        <v>1-5-1S91°</v>
      </c>
      <c r="AR3168" s="1078" t="str">
        <f t="shared" si="401"/>
        <v>30</v>
      </c>
      <c r="AS3168" s="1078" t="str">
        <f t="shared" si="402"/>
        <v>260/260/OFF</v>
      </c>
      <c r="AT3168" s="1078" t="str">
        <f t="shared" si="403"/>
        <v>1-5-1S91°</v>
      </c>
      <c r="AV3168" s="1078" t="str">
        <f t="shared" si="396"/>
        <v>114.7.15</v>
      </c>
      <c r="AW3168" s="1344">
        <f t="shared" si="397"/>
        <v>45853</v>
      </c>
    </row>
    <row r="3169" spans="1:49">
      <c r="A3169" s="1077" t="s">
        <v>15701</v>
      </c>
      <c r="B3169" s="1077" t="s">
        <v>617</v>
      </c>
      <c r="C3169" s="1077">
        <v>600</v>
      </c>
      <c r="D3169" s="1077">
        <v>1.7350000000000001</v>
      </c>
      <c r="E3169" s="1077" t="s">
        <v>15094</v>
      </c>
      <c r="F3169" s="1077" t="s">
        <v>984</v>
      </c>
      <c r="G3169" s="1077">
        <v>5</v>
      </c>
      <c r="H3169" s="1077" t="s">
        <v>955</v>
      </c>
      <c r="I3169" s="1077" t="s">
        <v>126</v>
      </c>
      <c r="J3169" s="1077">
        <v>2.7</v>
      </c>
      <c r="K3169" s="1077" t="s">
        <v>15702</v>
      </c>
      <c r="L3169" s="1077" t="s">
        <v>4854</v>
      </c>
      <c r="M3169" s="1077">
        <v>150.30000000000001</v>
      </c>
      <c r="N3169" s="1077" t="s">
        <v>945</v>
      </c>
      <c r="O3169" s="1077">
        <v>3.7575000000000003</v>
      </c>
      <c r="P3169" s="1077">
        <v>3.0060000000000002</v>
      </c>
      <c r="Q3169" s="1077" t="s">
        <v>15703</v>
      </c>
      <c r="R3169" s="1077">
        <v>31</v>
      </c>
      <c r="T3169" s="1077">
        <v>13</v>
      </c>
      <c r="U3169" s="1077">
        <v>7</v>
      </c>
      <c r="V3169" s="1077" t="s">
        <v>648</v>
      </c>
      <c r="W3169" s="1077">
        <v>115</v>
      </c>
      <c r="X3169" s="1077">
        <v>50</v>
      </c>
      <c r="Y3169" s="1077">
        <v>1.7</v>
      </c>
      <c r="Z3169" s="1077">
        <v>6.5</v>
      </c>
      <c r="AA3169" s="1077" t="s">
        <v>15704</v>
      </c>
      <c r="AH3169" s="1077" t="s">
        <v>812</v>
      </c>
      <c r="AI3169" s="1077">
        <v>93.14</v>
      </c>
      <c r="AJ3169" s="1077">
        <v>-1.0900000000000001</v>
      </c>
      <c r="AK3169" s="1077">
        <v>3.94</v>
      </c>
      <c r="AM3169" s="1078" t="s">
        <v>15532</v>
      </c>
      <c r="AN3169" s="1078" t="s">
        <v>15781</v>
      </c>
      <c r="AO3169" s="1078">
        <f t="shared" si="398"/>
        <v>600</v>
      </c>
      <c r="AP3169" s="1078">
        <f t="shared" si="399"/>
        <v>1.7350000000000001</v>
      </c>
      <c r="AQ3169" s="1078" t="str">
        <f t="shared" si="400"/>
        <v>1-5-1S91°</v>
      </c>
      <c r="AR3169" s="1078" t="str">
        <f t="shared" si="401"/>
        <v>30</v>
      </c>
      <c r="AS3169" s="1078" t="str">
        <f t="shared" si="402"/>
        <v>260/260/OFF</v>
      </c>
      <c r="AT3169" s="1078" t="str">
        <f t="shared" si="403"/>
        <v>1-5-1S91°</v>
      </c>
      <c r="AV3169" s="1078" t="str">
        <f t="shared" si="396"/>
        <v>114.7.27</v>
      </c>
      <c r="AW3169" s="1344">
        <f t="shared" si="397"/>
        <v>45865</v>
      </c>
    </row>
    <row r="3170" spans="1:49">
      <c r="A3170" s="1077" t="s">
        <v>15705</v>
      </c>
      <c r="B3170" s="1077" t="s">
        <v>210</v>
      </c>
      <c r="C3170" s="1077">
        <v>650</v>
      </c>
      <c r="D3170" s="1077">
        <v>1.76</v>
      </c>
      <c r="E3170" s="1077" t="s">
        <v>15094</v>
      </c>
      <c r="F3170" s="1077" t="s">
        <v>2001</v>
      </c>
      <c r="G3170" s="1077">
        <v>5</v>
      </c>
      <c r="H3170" s="1077" t="s">
        <v>6023</v>
      </c>
      <c r="I3170" s="1077" t="s">
        <v>126</v>
      </c>
      <c r="J3170" s="1077">
        <v>3</v>
      </c>
      <c r="K3170" s="1077" t="s">
        <v>15407</v>
      </c>
      <c r="L3170" s="1077" t="s">
        <v>6291</v>
      </c>
      <c r="M3170" s="1077">
        <v>150.80000000000001</v>
      </c>
      <c r="N3170" s="1077" t="s">
        <v>945</v>
      </c>
      <c r="O3170" s="1077">
        <v>3.7700000000000005</v>
      </c>
      <c r="P3170" s="1077">
        <v>3.0160000000000005</v>
      </c>
      <c r="Q3170" s="1077">
        <v>4</v>
      </c>
      <c r="R3170" s="1077">
        <v>19</v>
      </c>
      <c r="T3170" s="1077">
        <v>28.3</v>
      </c>
      <c r="U3170" s="1077">
        <v>4.3</v>
      </c>
      <c r="V3170" s="1077" t="s">
        <v>648</v>
      </c>
      <c r="W3170" s="1077">
        <v>100</v>
      </c>
      <c r="X3170" s="1077">
        <v>50</v>
      </c>
      <c r="Y3170" s="1077">
        <v>1.5</v>
      </c>
      <c r="Z3170" s="1077">
        <v>6.5</v>
      </c>
      <c r="AA3170" s="1077" t="s">
        <v>15706</v>
      </c>
      <c r="AH3170" s="1077" t="s">
        <v>1421</v>
      </c>
      <c r="AI3170" s="1077">
        <v>91.51</v>
      </c>
      <c r="AJ3170" s="1077">
        <v>-0.31</v>
      </c>
      <c r="AK3170" s="1077">
        <v>1.46</v>
      </c>
      <c r="AM3170" s="1078" t="s">
        <v>15535</v>
      </c>
      <c r="AN3170" s="1078" t="s">
        <v>15782</v>
      </c>
      <c r="AO3170" s="1078">
        <f t="shared" si="398"/>
        <v>650</v>
      </c>
      <c r="AP3170" s="1078">
        <f t="shared" si="399"/>
        <v>1.76</v>
      </c>
      <c r="AQ3170" s="1078" t="str">
        <f t="shared" si="400"/>
        <v>1-5-1S91°</v>
      </c>
      <c r="AR3170" s="1078" t="str">
        <f t="shared" si="401"/>
        <v>29.9</v>
      </c>
      <c r="AS3170" s="1078" t="str">
        <f t="shared" si="402"/>
        <v>350/310/OFF</v>
      </c>
      <c r="AT3170" s="1078" t="str">
        <f t="shared" si="403"/>
        <v>1-5-1S91°</v>
      </c>
      <c r="AV3170" s="1078" t="str">
        <f t="shared" si="396"/>
        <v>114.7.24</v>
      </c>
      <c r="AW3170" s="1344">
        <f t="shared" si="397"/>
        <v>45862</v>
      </c>
    </row>
    <row r="3171" spans="1:49">
      <c r="A3171" s="1077" t="s">
        <v>15707</v>
      </c>
      <c r="B3171" s="1077" t="s">
        <v>754</v>
      </c>
      <c r="C3171" s="1077">
        <v>500</v>
      </c>
      <c r="D3171" s="1077">
        <v>1.655</v>
      </c>
      <c r="E3171" s="1077" t="s">
        <v>15108</v>
      </c>
      <c r="F3171" s="1077" t="s">
        <v>648</v>
      </c>
      <c r="G3171" s="1077">
        <v>4</v>
      </c>
      <c r="H3171" s="1077" t="s">
        <v>1649</v>
      </c>
      <c r="I3171" s="1077" t="s">
        <v>126</v>
      </c>
      <c r="J3171" s="1077">
        <v>1.8</v>
      </c>
      <c r="K3171" s="1077" t="s">
        <v>15566</v>
      </c>
      <c r="L3171" s="1077" t="s">
        <v>6742</v>
      </c>
      <c r="M3171" s="1077">
        <v>155</v>
      </c>
      <c r="N3171" s="1077" t="s">
        <v>945</v>
      </c>
      <c r="O3171" s="1077">
        <v>3.875</v>
      </c>
      <c r="P3171" s="1077">
        <v>3.1</v>
      </c>
      <c r="Q3171" s="1077">
        <v>4</v>
      </c>
      <c r="R3171" s="1077">
        <v>25</v>
      </c>
      <c r="T3171" s="1077">
        <v>18</v>
      </c>
      <c r="U3171" s="1077">
        <v>3.8</v>
      </c>
      <c r="V3171" s="1077" t="s">
        <v>648</v>
      </c>
      <c r="W3171" s="1077">
        <v>135</v>
      </c>
      <c r="X3171" s="1077">
        <v>80</v>
      </c>
      <c r="Y3171" s="1077">
        <v>1.2</v>
      </c>
      <c r="Z3171" s="1077" t="s">
        <v>648</v>
      </c>
      <c r="AA3171" s="1077" t="s">
        <v>15668</v>
      </c>
      <c r="AH3171" s="1077" t="s">
        <v>783</v>
      </c>
      <c r="AI3171" s="1077">
        <v>95.57</v>
      </c>
      <c r="AJ3171" s="1077">
        <v>-0.51</v>
      </c>
      <c r="AK3171" s="1077">
        <v>1.52</v>
      </c>
      <c r="AM3171" s="1078" t="s">
        <v>15579</v>
      </c>
      <c r="AN3171" s="1078" t="s">
        <v>15783</v>
      </c>
      <c r="AO3171" s="1078">
        <f t="shared" si="398"/>
        <v>500</v>
      </c>
      <c r="AP3171" s="1078">
        <f t="shared" si="399"/>
        <v>1.655</v>
      </c>
      <c r="AQ3171" s="1078" t="str">
        <f t="shared" si="400"/>
        <v>1-4-1S83°Z+S</v>
      </c>
      <c r="AR3171" s="1078" t="str">
        <f t="shared" si="401"/>
        <v>NA</v>
      </c>
      <c r="AS3171" s="1078" t="str">
        <f t="shared" si="402"/>
        <v>225/225/OFF</v>
      </c>
      <c r="AT3171" s="1078" t="str">
        <f t="shared" si="403"/>
        <v>1-4-1S83°Z+S</v>
      </c>
      <c r="AV3171" s="1078" t="str">
        <f t="shared" si="396"/>
        <v>114.7.28</v>
      </c>
      <c r="AW3171" s="1344">
        <f t="shared" si="397"/>
        <v>45866</v>
      </c>
    </row>
    <row r="3172" spans="1:49">
      <c r="A3172" s="1077" t="s">
        <v>15708</v>
      </c>
      <c r="B3172" s="1077" t="s">
        <v>754</v>
      </c>
      <c r="C3172" s="1077">
        <v>500</v>
      </c>
      <c r="D3172" s="1077">
        <v>1.65</v>
      </c>
      <c r="E3172" s="1077" t="s">
        <v>15121</v>
      </c>
      <c r="F3172" s="1077" t="s">
        <v>648</v>
      </c>
      <c r="G3172" s="1077">
        <v>4</v>
      </c>
      <c r="H3172" s="1077" t="s">
        <v>1072</v>
      </c>
      <c r="I3172" s="1077" t="s">
        <v>126</v>
      </c>
      <c r="J3172" s="1077">
        <v>1.3</v>
      </c>
      <c r="K3172" s="1077" t="s">
        <v>15709</v>
      </c>
      <c r="L3172" s="1077" t="s">
        <v>6742</v>
      </c>
      <c r="M3172" s="1077">
        <v>155</v>
      </c>
      <c r="N3172" s="1077" t="s">
        <v>945</v>
      </c>
      <c r="O3172" s="1077">
        <v>3.875</v>
      </c>
      <c r="P3172" s="1077">
        <v>3.1</v>
      </c>
      <c r="Q3172" s="1077">
        <v>4</v>
      </c>
      <c r="R3172" s="1077">
        <v>25</v>
      </c>
      <c r="T3172" s="1077">
        <v>18</v>
      </c>
      <c r="U3172" s="1077">
        <v>3.8</v>
      </c>
      <c r="V3172" s="1077" t="s">
        <v>648</v>
      </c>
      <c r="W3172" s="1077">
        <v>135</v>
      </c>
      <c r="X3172" s="1077">
        <v>80</v>
      </c>
      <c r="Y3172" s="1077">
        <v>1.2</v>
      </c>
      <c r="Z3172" s="1077" t="s">
        <v>648</v>
      </c>
      <c r="AA3172" s="1077" t="s">
        <v>15636</v>
      </c>
      <c r="AB3172" s="1077" t="s">
        <v>15710</v>
      </c>
      <c r="AH3172" s="1077" t="s">
        <v>782</v>
      </c>
      <c r="AM3172" s="1078" t="s">
        <v>15612</v>
      </c>
      <c r="AN3172" s="1078" t="s">
        <v>15784</v>
      </c>
      <c r="AO3172" s="1078">
        <f t="shared" si="398"/>
        <v>500</v>
      </c>
      <c r="AP3172" s="1078">
        <f t="shared" si="399"/>
        <v>1.65</v>
      </c>
      <c r="AQ3172" s="1078" t="str">
        <f t="shared" si="400"/>
        <v>1-5-1S85°S+Z</v>
      </c>
      <c r="AR3172" s="1078" t="str">
        <f t="shared" si="401"/>
        <v>NA</v>
      </c>
      <c r="AS3172" s="1078" t="str">
        <f t="shared" si="402"/>
        <v>168/OFF</v>
      </c>
      <c r="AT3172" s="1078" t="str">
        <f t="shared" si="403"/>
        <v>1-5-1S85°S+Z</v>
      </c>
      <c r="AV3172" s="1078" t="str">
        <f t="shared" si="396"/>
        <v>114.8.1</v>
      </c>
      <c r="AW3172" s="1344">
        <f t="shared" si="397"/>
        <v>45870</v>
      </c>
    </row>
    <row r="3173" spans="1:49">
      <c r="A3173" s="1077" t="s">
        <v>15711</v>
      </c>
      <c r="B3173" s="1077" t="s">
        <v>663</v>
      </c>
      <c r="C3173" s="1077">
        <v>600</v>
      </c>
      <c r="D3173" s="1077">
        <v>1.84</v>
      </c>
      <c r="E3173" s="1077" t="s">
        <v>15109</v>
      </c>
      <c r="F3173" s="1077" t="s">
        <v>648</v>
      </c>
      <c r="G3173" s="1077">
        <v>5.5</v>
      </c>
      <c r="H3173" s="1077" t="s">
        <v>3764</v>
      </c>
      <c r="I3173" s="1077" t="s">
        <v>7858</v>
      </c>
      <c r="K3173" s="1077" t="s">
        <v>15712</v>
      </c>
      <c r="L3173" s="1077" t="s">
        <v>6238</v>
      </c>
      <c r="M3173" s="1077">
        <v>296</v>
      </c>
      <c r="N3173" s="1077" t="s">
        <v>945</v>
      </c>
      <c r="O3173" s="1077">
        <v>7.4</v>
      </c>
      <c r="P3173" s="1077">
        <v>5.92</v>
      </c>
      <c r="Q3173" s="1077">
        <v>3</v>
      </c>
      <c r="R3173" s="1077">
        <v>17</v>
      </c>
      <c r="T3173" s="1077">
        <v>10.5</v>
      </c>
      <c r="U3173" s="1077">
        <v>6.1</v>
      </c>
      <c r="V3173" s="1077" t="s">
        <v>648</v>
      </c>
      <c r="W3173" s="1077">
        <v>110</v>
      </c>
      <c r="X3173" s="1077">
        <v>90</v>
      </c>
      <c r="Y3173" s="1077">
        <v>1.1000000000000001</v>
      </c>
      <c r="Z3173" s="1077" t="s">
        <v>648</v>
      </c>
      <c r="AA3173" s="1077" t="s">
        <v>15693</v>
      </c>
      <c r="AB3173" s="1077" t="s">
        <v>15713</v>
      </c>
      <c r="AH3173" s="1077" t="s">
        <v>1990</v>
      </c>
      <c r="AI3173" s="1077">
        <v>90.93</v>
      </c>
      <c r="AJ3173" s="1077">
        <v>-1.57</v>
      </c>
      <c r="AK3173" s="1077">
        <v>6.38</v>
      </c>
      <c r="AM3173" s="1078" t="s">
        <v>15511</v>
      </c>
      <c r="AN3173" s="1078" t="s">
        <v>15785</v>
      </c>
      <c r="AO3173" s="1078">
        <f t="shared" si="398"/>
        <v>600</v>
      </c>
      <c r="AP3173" s="1078">
        <f t="shared" si="399"/>
        <v>1.84</v>
      </c>
      <c r="AQ3173" s="1078" t="str">
        <f t="shared" si="400"/>
        <v>1-5-1S85°Z+S</v>
      </c>
      <c r="AR3173" s="1078" t="str">
        <f t="shared" si="401"/>
        <v>NA</v>
      </c>
      <c r="AS3173" s="1078" t="str">
        <f t="shared" si="402"/>
        <v>167/160</v>
      </c>
      <c r="AT3173" s="1078" t="str">
        <f t="shared" si="403"/>
        <v>1-5-1S85°Z+S</v>
      </c>
      <c r="AV3173" s="1078" t="str">
        <f t="shared" si="396"/>
        <v>114.7.10</v>
      </c>
      <c r="AW3173" s="1344">
        <f t="shared" si="397"/>
        <v>45848</v>
      </c>
    </row>
    <row r="3174" spans="1:49">
      <c r="A3174" s="1077" t="s">
        <v>15714</v>
      </c>
      <c r="B3174" s="1077" t="s">
        <v>6940</v>
      </c>
      <c r="C3174" s="1077">
        <v>500</v>
      </c>
      <c r="D3174" s="1077">
        <v>1.73</v>
      </c>
      <c r="E3174" s="1077" t="s">
        <v>15122</v>
      </c>
      <c r="F3174" s="1077" t="s">
        <v>984</v>
      </c>
      <c r="G3174" s="1077">
        <v>5</v>
      </c>
      <c r="H3174" s="1077" t="s">
        <v>955</v>
      </c>
      <c r="I3174" s="1077" t="s">
        <v>7105</v>
      </c>
      <c r="J3174" s="1077">
        <v>1</v>
      </c>
      <c r="K3174" s="1077" t="s">
        <v>15715</v>
      </c>
      <c r="L3174" s="1077" t="s">
        <v>15699</v>
      </c>
      <c r="M3174" s="1077">
        <v>308.39999999999998</v>
      </c>
      <c r="N3174" s="1077" t="s">
        <v>945</v>
      </c>
      <c r="O3174" s="1077">
        <v>7.71</v>
      </c>
      <c r="P3174" s="1077">
        <v>6.1679999999999993</v>
      </c>
      <c r="Q3174" s="1077">
        <v>2.8</v>
      </c>
      <c r="R3174" s="1077">
        <v>26</v>
      </c>
      <c r="T3174" s="1077">
        <v>14.5</v>
      </c>
      <c r="U3174" s="1077">
        <v>5</v>
      </c>
      <c r="V3174" s="1077" t="s">
        <v>648</v>
      </c>
      <c r="W3174" s="1077" t="s">
        <v>6990</v>
      </c>
      <c r="X3174" s="1077">
        <v>10</v>
      </c>
      <c r="Y3174" s="1077">
        <v>1.7</v>
      </c>
      <c r="Z3174" s="1077" t="s">
        <v>648</v>
      </c>
      <c r="AA3174" s="1077" t="s">
        <v>15648</v>
      </c>
      <c r="AB3174" s="1077" t="s">
        <v>7945</v>
      </c>
      <c r="AH3174" s="1077" t="s">
        <v>684</v>
      </c>
      <c r="AI3174" s="1077">
        <v>15.06</v>
      </c>
      <c r="AJ3174" s="1077">
        <v>0.4</v>
      </c>
      <c r="AK3174" s="1077">
        <v>0.4</v>
      </c>
      <c r="AM3174" s="1078" t="s">
        <v>15512</v>
      </c>
      <c r="AN3174" s="1078" t="s">
        <v>15786</v>
      </c>
      <c r="AO3174" s="1078">
        <f t="shared" si="398"/>
        <v>500</v>
      </c>
      <c r="AP3174" s="1078">
        <f t="shared" si="399"/>
        <v>1.73</v>
      </c>
      <c r="AQ3174" s="1078" t="str">
        <f t="shared" si="400"/>
        <v>1-5-1S91°Z+S</v>
      </c>
      <c r="AR3174" s="1078" t="str">
        <f t="shared" si="401"/>
        <v>30</v>
      </c>
      <c r="AS3174" s="1078" t="str">
        <f t="shared" si="402"/>
        <v>260/260/OFF</v>
      </c>
      <c r="AT3174" s="1078" t="str">
        <f t="shared" si="403"/>
        <v>1-5-1S91°Z+S</v>
      </c>
      <c r="AV3174" s="1078" t="str">
        <f t="shared" si="396"/>
        <v>114.7.11</v>
      </c>
      <c r="AW3174" s="1344">
        <f t="shared" si="397"/>
        <v>45849</v>
      </c>
    </row>
    <row r="3175" spans="1:49">
      <c r="A3175" s="1077" t="s">
        <v>15716</v>
      </c>
      <c r="B3175" s="1077" t="s">
        <v>7214</v>
      </c>
      <c r="C3175" s="1077">
        <v>550</v>
      </c>
      <c r="D3175" s="1077">
        <v>1.76</v>
      </c>
      <c r="E3175" s="1077" t="s">
        <v>15109</v>
      </c>
      <c r="F3175" s="1077" t="s">
        <v>648</v>
      </c>
      <c r="G3175" s="1077">
        <v>4.5</v>
      </c>
      <c r="H3175" s="1077" t="s">
        <v>6375</v>
      </c>
      <c r="I3175" s="1077" t="s">
        <v>15717</v>
      </c>
      <c r="J3175" s="1077">
        <v>3</v>
      </c>
      <c r="K3175" s="1077" t="s">
        <v>15571</v>
      </c>
      <c r="L3175" s="1077" t="s">
        <v>6043</v>
      </c>
      <c r="M3175" s="1077">
        <v>308</v>
      </c>
      <c r="N3175" s="1077" t="s">
        <v>945</v>
      </c>
      <c r="O3175" s="1077">
        <v>7.7</v>
      </c>
      <c r="P3175" s="1077">
        <v>6.16</v>
      </c>
      <c r="Q3175" s="1077">
        <v>4</v>
      </c>
      <c r="R3175" s="1077">
        <v>22</v>
      </c>
      <c r="T3175" s="1077">
        <v>23.5</v>
      </c>
      <c r="U3175" s="1077">
        <v>4</v>
      </c>
      <c r="V3175" s="1077" t="s">
        <v>648</v>
      </c>
      <c r="W3175" s="1077">
        <v>135</v>
      </c>
      <c r="X3175" s="1077">
        <v>90</v>
      </c>
      <c r="Y3175" s="1077">
        <v>1.4</v>
      </c>
      <c r="Z3175" s="1077" t="s">
        <v>648</v>
      </c>
      <c r="AA3175" s="1077" t="s">
        <v>15648</v>
      </c>
      <c r="AH3175" s="1077" t="s">
        <v>614</v>
      </c>
      <c r="AI3175" s="1077">
        <v>94.87</v>
      </c>
      <c r="AJ3175" s="1077">
        <v>-0.93</v>
      </c>
      <c r="AK3175" s="1077">
        <v>2.1800000000000002</v>
      </c>
      <c r="AM3175" s="1078" t="s">
        <v>15513</v>
      </c>
      <c r="AN3175" s="1078" t="s">
        <v>15787</v>
      </c>
      <c r="AO3175" s="1078">
        <f t="shared" si="398"/>
        <v>550</v>
      </c>
      <c r="AP3175" s="1078">
        <f t="shared" si="399"/>
        <v>1.76</v>
      </c>
      <c r="AQ3175" s="1078" t="str">
        <f t="shared" si="400"/>
        <v>1-5-1S85°Z+S</v>
      </c>
      <c r="AR3175" s="1078" t="str">
        <f t="shared" si="401"/>
        <v>NA</v>
      </c>
      <c r="AS3175" s="1078" t="str">
        <f t="shared" si="402"/>
        <v>181/OFF</v>
      </c>
      <c r="AT3175" s="1078" t="str">
        <f t="shared" si="403"/>
        <v>1-5-1S85°Z+S</v>
      </c>
      <c r="AV3175" s="1078" t="str">
        <f t="shared" si="396"/>
        <v>114.7.11</v>
      </c>
      <c r="AW3175" s="1344">
        <f t="shared" si="397"/>
        <v>45849</v>
      </c>
    </row>
    <row r="3176" spans="1:49">
      <c r="A3176" s="1077" t="s">
        <v>15718</v>
      </c>
      <c r="B3176" s="1077" t="s">
        <v>7261</v>
      </c>
      <c r="C3176" s="1077">
        <v>650</v>
      </c>
      <c r="D3176" s="1077">
        <v>1.7849999999999999</v>
      </c>
      <c r="E3176" s="1077" t="s">
        <v>15122</v>
      </c>
      <c r="F3176" s="1077" t="s">
        <v>1469</v>
      </c>
      <c r="G3176" s="1077">
        <v>4</v>
      </c>
      <c r="H3176" s="1077" t="s">
        <v>15719</v>
      </c>
      <c r="I3176" s="1077" t="s">
        <v>6918</v>
      </c>
      <c r="K3176" s="1077" t="s">
        <v>15720</v>
      </c>
      <c r="L3176" s="1077" t="s">
        <v>7264</v>
      </c>
      <c r="M3176" s="1077">
        <v>303</v>
      </c>
      <c r="N3176" s="1077" t="s">
        <v>945</v>
      </c>
      <c r="O3176" s="1077">
        <v>7.5750000000000002</v>
      </c>
      <c r="P3176" s="1077">
        <v>6.0600000000000005</v>
      </c>
      <c r="Q3176" s="1077">
        <v>3.5</v>
      </c>
      <c r="R3176" s="1077">
        <v>24</v>
      </c>
      <c r="T3176" s="1077">
        <v>16</v>
      </c>
      <c r="U3176" s="1077">
        <v>3</v>
      </c>
      <c r="V3176" s="1077" t="s">
        <v>648</v>
      </c>
      <c r="W3176" s="1077">
        <v>90</v>
      </c>
      <c r="X3176" s="1077">
        <v>10</v>
      </c>
      <c r="Y3176" s="1077">
        <v>1.5</v>
      </c>
      <c r="Z3176" s="1077" t="s">
        <v>648</v>
      </c>
      <c r="AA3176" s="1077" t="s">
        <v>15657</v>
      </c>
      <c r="AH3176" s="1077" t="s">
        <v>1482</v>
      </c>
      <c r="AI3176" s="1077">
        <v>62.79</v>
      </c>
      <c r="AJ3176" s="1077">
        <v>3.98</v>
      </c>
      <c r="AK3176" s="1077">
        <v>14.71</v>
      </c>
      <c r="AM3176" s="1078" t="s">
        <v>15527</v>
      </c>
      <c r="AN3176" s="1078" t="s">
        <v>15788</v>
      </c>
      <c r="AO3176" s="1078">
        <f t="shared" si="398"/>
        <v>650</v>
      </c>
      <c r="AP3176" s="1078">
        <f t="shared" si="399"/>
        <v>1.7849999999999999</v>
      </c>
      <c r="AQ3176" s="1078" t="str">
        <f t="shared" si="400"/>
        <v>1-5-1S91°Z+S</v>
      </c>
      <c r="AR3176" s="1078" t="str">
        <f t="shared" si="401"/>
        <v>30.5</v>
      </c>
      <c r="AS3176" s="1078" t="str">
        <f t="shared" si="402"/>
        <v>308/308/190</v>
      </c>
      <c r="AT3176" s="1078" t="str">
        <f t="shared" si="403"/>
        <v>1-5-1S91°Z+S</v>
      </c>
      <c r="AV3176" s="1078" t="str">
        <f t="shared" si="396"/>
        <v>114.7.16</v>
      </c>
      <c r="AW3176" s="1344">
        <f t="shared" si="397"/>
        <v>45854</v>
      </c>
    </row>
    <row r="3177" spans="1:49">
      <c r="A3177" s="1077" t="s">
        <v>15721</v>
      </c>
      <c r="B3177" s="1077" t="s">
        <v>714</v>
      </c>
      <c r="C3177" s="1077">
        <v>650</v>
      </c>
      <c r="D3177" s="1077">
        <v>1.76</v>
      </c>
      <c r="E3177" s="1077" t="s">
        <v>15121</v>
      </c>
      <c r="F3177" s="1077" t="s">
        <v>648</v>
      </c>
      <c r="G3177" s="1077">
        <v>5</v>
      </c>
      <c r="H3177" s="1077" t="s">
        <v>7947</v>
      </c>
      <c r="I3177" s="1077" t="s">
        <v>7709</v>
      </c>
      <c r="J3177" s="1077">
        <v>3.7</v>
      </c>
      <c r="K3177" s="1077" t="s">
        <v>15722</v>
      </c>
      <c r="L3177" s="1077" t="s">
        <v>6291</v>
      </c>
      <c r="M3177" s="1077">
        <v>298.8</v>
      </c>
      <c r="N3177" s="1077" t="s">
        <v>945</v>
      </c>
      <c r="O3177" s="1077">
        <v>7.4700000000000006</v>
      </c>
      <c r="P3177" s="1077">
        <v>5.976</v>
      </c>
      <c r="Q3177" s="1077">
        <v>4</v>
      </c>
      <c r="R3177" s="1077">
        <v>20.5</v>
      </c>
      <c r="T3177" s="1077">
        <v>21</v>
      </c>
      <c r="U3177" s="1077">
        <v>3.5</v>
      </c>
      <c r="V3177" s="1077" t="s">
        <v>648</v>
      </c>
      <c r="W3177" s="1077">
        <v>20</v>
      </c>
      <c r="X3177" s="1077">
        <v>10</v>
      </c>
      <c r="Y3177" s="1077">
        <v>1.2</v>
      </c>
      <c r="Z3177" s="1077" t="s">
        <v>648</v>
      </c>
      <c r="AA3177" s="1077" t="s">
        <v>15657</v>
      </c>
      <c r="AH3177" s="1077" t="s">
        <v>681</v>
      </c>
      <c r="AI3177" s="1077">
        <v>92.06</v>
      </c>
      <c r="AJ3177" s="1077">
        <v>-0.24</v>
      </c>
      <c r="AK3177" s="1077">
        <v>1.31</v>
      </c>
      <c r="AM3177" s="1078" t="s">
        <v>15529</v>
      </c>
      <c r="AN3177" s="1078" t="s">
        <v>15789</v>
      </c>
      <c r="AO3177" s="1078">
        <f t="shared" si="398"/>
        <v>650</v>
      </c>
      <c r="AP3177" s="1078">
        <f t="shared" si="399"/>
        <v>1.76</v>
      </c>
      <c r="AQ3177" s="1078" t="str">
        <f t="shared" si="400"/>
        <v>1-5-1S85°S+Z</v>
      </c>
      <c r="AR3177" s="1078" t="str">
        <f t="shared" si="401"/>
        <v>NA</v>
      </c>
      <c r="AS3177" s="1078" t="str">
        <f t="shared" si="402"/>
        <v>176/173</v>
      </c>
      <c r="AT3177" s="1078" t="str">
        <f t="shared" si="403"/>
        <v>1-5-1S85°S+Z</v>
      </c>
      <c r="AV3177" s="1078" t="str">
        <f t="shared" si="396"/>
        <v>114.7.16</v>
      </c>
      <c r="AW3177" s="1344">
        <f t="shared" si="397"/>
        <v>45854</v>
      </c>
    </row>
    <row r="3178" spans="1:49">
      <c r="A3178" s="1077" t="s">
        <v>15723</v>
      </c>
      <c r="B3178" s="1077" t="s">
        <v>663</v>
      </c>
      <c r="C3178" s="1077">
        <v>600</v>
      </c>
      <c r="D3178" s="1077">
        <v>1.8049999999999999</v>
      </c>
      <c r="E3178" s="1077" t="s">
        <v>15121</v>
      </c>
      <c r="F3178" s="1077" t="s">
        <v>648</v>
      </c>
      <c r="G3178" s="1077">
        <v>5</v>
      </c>
      <c r="H3178" s="1077" t="s">
        <v>2135</v>
      </c>
      <c r="I3178" s="1077" t="s">
        <v>6867</v>
      </c>
      <c r="K3178" s="1077" t="s">
        <v>15724</v>
      </c>
      <c r="L3178" s="1077" t="s">
        <v>6238</v>
      </c>
      <c r="M3178" s="1077">
        <v>296.39999999999998</v>
      </c>
      <c r="N3178" s="1077" t="s">
        <v>945</v>
      </c>
      <c r="O3178" s="1077">
        <v>7.41</v>
      </c>
      <c r="P3178" s="1077">
        <v>5.9279999999999999</v>
      </c>
      <c r="Q3178" s="1077">
        <v>3.5</v>
      </c>
      <c r="R3178" s="1077">
        <v>20</v>
      </c>
      <c r="T3178" s="1077">
        <v>14.7</v>
      </c>
      <c r="U3178" s="1077">
        <v>5.5</v>
      </c>
      <c r="V3178" s="1077" t="s">
        <v>648</v>
      </c>
      <c r="W3178" s="1077" t="s">
        <v>2816</v>
      </c>
      <c r="X3178" s="1077">
        <v>10</v>
      </c>
      <c r="Y3178" s="1077">
        <v>1.1000000000000001</v>
      </c>
      <c r="Z3178" s="1077" t="s">
        <v>648</v>
      </c>
      <c r="AA3178" s="1077" t="s">
        <v>6806</v>
      </c>
      <c r="AB3178" s="1077" t="s">
        <v>15725</v>
      </c>
      <c r="AH3178" s="1077" t="s">
        <v>868</v>
      </c>
      <c r="AI3178" s="1077">
        <v>90.8</v>
      </c>
      <c r="AJ3178" s="1077">
        <v>-1.5</v>
      </c>
      <c r="AK3178" s="1077">
        <v>6.24</v>
      </c>
      <c r="AM3178" s="1078" t="s">
        <v>15790</v>
      </c>
      <c r="AN3178" s="1078" t="s">
        <v>15791</v>
      </c>
      <c r="AO3178" s="1078">
        <f t="shared" si="398"/>
        <v>600</v>
      </c>
      <c r="AP3178" s="1078">
        <f t="shared" si="399"/>
        <v>1.8049999999999999</v>
      </c>
      <c r="AQ3178" s="1078" t="str">
        <f t="shared" si="400"/>
        <v>1-5-1S85°S+Z</v>
      </c>
      <c r="AR3178" s="1078" t="str">
        <f t="shared" si="401"/>
        <v>NA</v>
      </c>
      <c r="AS3178" s="1078" t="str">
        <f t="shared" si="402"/>
        <v>165/160</v>
      </c>
      <c r="AT3178" s="1078" t="str">
        <f t="shared" si="403"/>
        <v>1-5-1S85°S+Z</v>
      </c>
      <c r="AV3178" s="1078" t="str">
        <f t="shared" si="396"/>
        <v>114.1.17</v>
      </c>
      <c r="AW3178" s="1344">
        <f t="shared" si="397"/>
        <v>45674</v>
      </c>
    </row>
    <row r="3179" spans="1:49">
      <c r="A3179" s="1077" t="s">
        <v>15726</v>
      </c>
      <c r="B3179" s="1077" t="s">
        <v>467</v>
      </c>
      <c r="C3179" s="1077">
        <v>600</v>
      </c>
      <c r="D3179" s="1077">
        <v>1.81</v>
      </c>
      <c r="E3179" s="1077" t="s">
        <v>15122</v>
      </c>
      <c r="F3179" s="1077" t="s">
        <v>648</v>
      </c>
      <c r="G3179" s="1077">
        <v>5</v>
      </c>
      <c r="H3179" s="1077" t="s">
        <v>15727</v>
      </c>
      <c r="I3179" s="1077" t="s">
        <v>7372</v>
      </c>
      <c r="J3179" s="1077">
        <v>3.7</v>
      </c>
      <c r="K3179" s="1077" t="s">
        <v>15728</v>
      </c>
      <c r="L3179" s="1077" t="s">
        <v>6291</v>
      </c>
      <c r="M3179" s="1077">
        <v>295.10000000000002</v>
      </c>
      <c r="N3179" s="1077" t="s">
        <v>945</v>
      </c>
      <c r="O3179" s="1077">
        <v>7.3775000000000013</v>
      </c>
      <c r="P3179" s="1077">
        <v>5.9020000000000001</v>
      </c>
      <c r="Q3179" s="1077">
        <v>4</v>
      </c>
      <c r="R3179" s="1077">
        <v>17.399999999999999</v>
      </c>
      <c r="T3179" s="1077">
        <v>31</v>
      </c>
      <c r="U3179" s="1077">
        <v>3.5</v>
      </c>
      <c r="V3179" s="1077" t="s">
        <v>648</v>
      </c>
      <c r="W3179" s="1077" t="s">
        <v>6880</v>
      </c>
      <c r="X3179" s="1077">
        <v>40</v>
      </c>
      <c r="Y3179" s="1077">
        <v>1</v>
      </c>
      <c r="Z3179" s="1077" t="s">
        <v>648</v>
      </c>
      <c r="AA3179" s="1077" t="s">
        <v>15729</v>
      </c>
      <c r="AH3179" s="1077" t="s">
        <v>622</v>
      </c>
      <c r="AI3179" s="1077">
        <v>91.89</v>
      </c>
      <c r="AJ3179" s="1077">
        <v>-0.69</v>
      </c>
      <c r="AK3179" s="1077">
        <v>1.73</v>
      </c>
      <c r="AM3179" s="1078" t="s">
        <v>15533</v>
      </c>
      <c r="AN3179" s="1078" t="s">
        <v>15792</v>
      </c>
      <c r="AO3179" s="1078">
        <f t="shared" si="398"/>
        <v>600</v>
      </c>
      <c r="AP3179" s="1078">
        <f t="shared" si="399"/>
        <v>1.81</v>
      </c>
      <c r="AQ3179" s="1078" t="str">
        <f t="shared" si="400"/>
        <v>1-5-1S91°Z+S</v>
      </c>
      <c r="AR3179" s="1078" t="str">
        <f t="shared" si="401"/>
        <v>NA</v>
      </c>
      <c r="AS3179" s="1078" t="str">
        <f t="shared" si="402"/>
        <v>353/323OFF</v>
      </c>
      <c r="AT3179" s="1078" t="str">
        <f t="shared" si="403"/>
        <v>1-5-1S91°Z+S</v>
      </c>
      <c r="AV3179" s="1078" t="str">
        <f t="shared" si="396"/>
        <v>114.7.23</v>
      </c>
      <c r="AW3179" s="1344">
        <f t="shared" si="397"/>
        <v>45861</v>
      </c>
    </row>
    <row r="3180" spans="1:49">
      <c r="A3180" s="1077" t="s">
        <v>15730</v>
      </c>
      <c r="B3180" s="1077" t="s">
        <v>714</v>
      </c>
      <c r="C3180" s="1077">
        <v>650</v>
      </c>
      <c r="D3180" s="1077">
        <v>1.76</v>
      </c>
      <c r="E3180" s="1077" t="s">
        <v>15121</v>
      </c>
      <c r="F3180" s="1077" t="s">
        <v>648</v>
      </c>
      <c r="G3180" s="1077">
        <v>5</v>
      </c>
      <c r="H3180" s="1077" t="s">
        <v>15731</v>
      </c>
      <c r="I3180" s="1077" t="s">
        <v>7709</v>
      </c>
      <c r="J3180" s="1077">
        <v>3.7</v>
      </c>
      <c r="K3180" s="1077" t="s">
        <v>15722</v>
      </c>
      <c r="L3180" s="1077" t="s">
        <v>6291</v>
      </c>
      <c r="M3180" s="1077">
        <v>298.8</v>
      </c>
      <c r="N3180" s="1077" t="s">
        <v>945</v>
      </c>
      <c r="O3180" s="1077">
        <v>7.4700000000000006</v>
      </c>
      <c r="P3180" s="1077">
        <v>5.976</v>
      </c>
      <c r="Q3180" s="1077">
        <v>4</v>
      </c>
      <c r="R3180" s="1077">
        <v>20.5</v>
      </c>
      <c r="T3180" s="1077">
        <v>21</v>
      </c>
      <c r="U3180" s="1077">
        <v>3.5</v>
      </c>
      <c r="V3180" s="1077" t="s">
        <v>648</v>
      </c>
      <c r="W3180" s="1077">
        <v>20</v>
      </c>
      <c r="X3180" s="1077">
        <v>10</v>
      </c>
      <c r="Y3180" s="1077">
        <v>1.2</v>
      </c>
      <c r="Z3180" s="1077" t="s">
        <v>648</v>
      </c>
      <c r="AA3180" s="1077" t="s">
        <v>15732</v>
      </c>
      <c r="AH3180" s="1077" t="s">
        <v>1053</v>
      </c>
      <c r="AI3180" s="1077">
        <v>91.95</v>
      </c>
      <c r="AJ3180" s="1077">
        <v>-0.31</v>
      </c>
      <c r="AK3180" s="1077">
        <v>1.32</v>
      </c>
      <c r="AM3180" s="1078" t="s">
        <v>15531</v>
      </c>
      <c r="AN3180" s="1078" t="s">
        <v>15793</v>
      </c>
      <c r="AO3180" s="1078">
        <f t="shared" si="398"/>
        <v>650</v>
      </c>
      <c r="AP3180" s="1078">
        <f t="shared" si="399"/>
        <v>1.76</v>
      </c>
      <c r="AQ3180" s="1078" t="str">
        <f t="shared" si="400"/>
        <v>1-5-1S85°S+Z</v>
      </c>
      <c r="AR3180" s="1078" t="str">
        <f t="shared" si="401"/>
        <v>NA</v>
      </c>
      <c r="AS3180" s="1078" t="str">
        <f t="shared" si="402"/>
        <v>175/173</v>
      </c>
      <c r="AT3180" s="1078" t="str">
        <f t="shared" si="403"/>
        <v>1-5-1S85°S+Z</v>
      </c>
      <c r="AV3180" s="1078" t="str">
        <f t="shared" si="396"/>
        <v>114.7.22</v>
      </c>
      <c r="AW3180" s="1344">
        <f t="shared" si="397"/>
        <v>45860</v>
      </c>
    </row>
    <row r="3181" spans="1:49">
      <c r="A3181" s="1077" t="s">
        <v>15733</v>
      </c>
      <c r="B3181" s="1077" t="s">
        <v>836</v>
      </c>
      <c r="C3181" s="1077">
        <v>600</v>
      </c>
      <c r="D3181" s="1077">
        <v>1.82</v>
      </c>
      <c r="E3181" s="1077" t="s">
        <v>15116</v>
      </c>
      <c r="F3181" s="1077" t="s">
        <v>6901</v>
      </c>
      <c r="G3181" s="1077">
        <v>4</v>
      </c>
      <c r="H3181" s="1077" t="s">
        <v>6902</v>
      </c>
      <c r="I3181" s="1077" t="s">
        <v>6918</v>
      </c>
      <c r="K3181" s="1077" t="s">
        <v>15734</v>
      </c>
      <c r="L3181" s="1077" t="s">
        <v>7831</v>
      </c>
      <c r="M3181" s="1077">
        <v>303.89999999999998</v>
      </c>
      <c r="N3181" s="1077" t="s">
        <v>945</v>
      </c>
      <c r="O3181" s="1077">
        <v>7.5975000000000001</v>
      </c>
      <c r="P3181" s="1077">
        <v>6.0779999999999994</v>
      </c>
      <c r="Q3181" s="1077">
        <v>3.5</v>
      </c>
      <c r="R3181" s="1077">
        <v>24.5</v>
      </c>
      <c r="T3181" s="1077">
        <v>12.7</v>
      </c>
      <c r="U3181" s="1077">
        <v>2.6</v>
      </c>
      <c r="V3181" s="1077" t="s">
        <v>648</v>
      </c>
      <c r="W3181" s="1077">
        <v>95</v>
      </c>
      <c r="X3181" s="1077">
        <v>10</v>
      </c>
      <c r="Y3181" s="1077">
        <v>1.5</v>
      </c>
      <c r="Z3181" s="1077" t="s">
        <v>648</v>
      </c>
      <c r="AA3181" s="1077" t="s">
        <v>15706</v>
      </c>
      <c r="AH3181" s="1077" t="s">
        <v>3213</v>
      </c>
      <c r="AI3181" s="1077">
        <v>54.53</v>
      </c>
      <c r="AJ3181" s="1077">
        <v>1.48</v>
      </c>
      <c r="AK3181" s="1077">
        <v>4.34</v>
      </c>
      <c r="AM3181" s="1078" t="s">
        <v>15539</v>
      </c>
      <c r="AN3181" s="1078" t="s">
        <v>15794</v>
      </c>
      <c r="AO3181" s="1078">
        <f t="shared" si="398"/>
        <v>600</v>
      </c>
      <c r="AP3181" s="1078">
        <f t="shared" si="399"/>
        <v>1.82</v>
      </c>
      <c r="AQ3181" s="1078" t="str">
        <f t="shared" si="400"/>
        <v>1-5-1S83°Z+S</v>
      </c>
      <c r="AR3181" s="1078" t="str">
        <f t="shared" si="401"/>
        <v>33.6</v>
      </c>
      <c r="AS3181" s="1078" t="str">
        <f t="shared" si="402"/>
        <v>310/310/190</v>
      </c>
      <c r="AT3181" s="1078" t="str">
        <f t="shared" si="403"/>
        <v>1-5-1S83°Z+S</v>
      </c>
      <c r="AV3181" s="1078" t="str">
        <f t="shared" si="396"/>
        <v>114.7.24</v>
      </c>
      <c r="AW3181" s="1344">
        <f t="shared" si="397"/>
        <v>45862</v>
      </c>
    </row>
    <row r="3182" spans="1:49">
      <c r="A3182" s="1077" t="s">
        <v>15735</v>
      </c>
      <c r="B3182" s="1077" t="s">
        <v>775</v>
      </c>
      <c r="C3182" s="1077">
        <v>600</v>
      </c>
      <c r="D3182" s="1077">
        <v>1.79</v>
      </c>
      <c r="E3182" s="1077" t="s">
        <v>15122</v>
      </c>
      <c r="F3182" s="1077" t="s">
        <v>1469</v>
      </c>
      <c r="G3182" s="1077">
        <v>4</v>
      </c>
      <c r="H3182" s="1077" t="s">
        <v>6902</v>
      </c>
      <c r="I3182" s="1077" t="s">
        <v>7001</v>
      </c>
      <c r="K3182" s="1077" t="s">
        <v>15736</v>
      </c>
      <c r="L3182" s="1077" t="s">
        <v>7842</v>
      </c>
      <c r="M3182" s="1077">
        <v>303</v>
      </c>
      <c r="N3182" s="1077" t="s">
        <v>945</v>
      </c>
      <c r="O3182" s="1077">
        <v>7.5750000000000002</v>
      </c>
      <c r="P3182" s="1077">
        <v>6.0600000000000005</v>
      </c>
      <c r="Q3182" s="1077">
        <v>3.5</v>
      </c>
      <c r="R3182" s="1077">
        <v>24</v>
      </c>
      <c r="T3182" s="1077">
        <v>16</v>
      </c>
      <c r="U3182" s="1077">
        <v>3</v>
      </c>
      <c r="V3182" s="1077" t="s">
        <v>648</v>
      </c>
      <c r="W3182" s="1077">
        <v>90</v>
      </c>
      <c r="X3182" s="1077">
        <v>10</v>
      </c>
      <c r="Y3182" s="1077">
        <v>1.5</v>
      </c>
      <c r="Z3182" s="1077" t="s">
        <v>648</v>
      </c>
      <c r="AA3182" s="1077" t="s">
        <v>15677</v>
      </c>
      <c r="AH3182" s="1077" t="s">
        <v>1417</v>
      </c>
      <c r="AM3182" s="1078" t="s">
        <v>15617</v>
      </c>
      <c r="AN3182" s="1078" t="s">
        <v>15795</v>
      </c>
      <c r="AO3182" s="1078">
        <f t="shared" si="398"/>
        <v>600</v>
      </c>
      <c r="AP3182" s="1078">
        <f t="shared" si="399"/>
        <v>1.79</v>
      </c>
      <c r="AQ3182" s="1078" t="str">
        <f t="shared" si="400"/>
        <v>1-5-1S91°Z+S</v>
      </c>
      <c r="AR3182" s="1078" t="str">
        <f t="shared" si="401"/>
        <v>30.5</v>
      </c>
      <c r="AS3182" s="1078" t="str">
        <f t="shared" si="402"/>
        <v>310/310/190</v>
      </c>
      <c r="AT3182" s="1078" t="str">
        <f t="shared" si="403"/>
        <v>1-5-1S91°Z+S</v>
      </c>
      <c r="AV3182" s="1078" t="str">
        <f t="shared" si="396"/>
        <v>114.8.6</v>
      </c>
      <c r="AW3182" s="1344">
        <f t="shared" si="397"/>
        <v>45875</v>
      </c>
    </row>
    <row r="3183" spans="1:49">
      <c r="A3183" s="1077" t="s">
        <v>15737</v>
      </c>
      <c r="B3183" s="1077" t="s">
        <v>836</v>
      </c>
      <c r="C3183" s="1077">
        <v>600</v>
      </c>
      <c r="D3183" s="1077">
        <v>1.82</v>
      </c>
      <c r="E3183" s="1077" t="s">
        <v>15116</v>
      </c>
      <c r="F3183" s="1077" t="s">
        <v>6901</v>
      </c>
      <c r="G3183" s="1077">
        <v>4</v>
      </c>
      <c r="H3183" s="1077" t="s">
        <v>6902</v>
      </c>
      <c r="I3183" s="1077" t="s">
        <v>6918</v>
      </c>
      <c r="K3183" s="1077" t="s">
        <v>15734</v>
      </c>
      <c r="L3183" s="1077" t="s">
        <v>7831</v>
      </c>
      <c r="M3183" s="1077">
        <v>303.89999999999998</v>
      </c>
      <c r="N3183" s="1077" t="s">
        <v>945</v>
      </c>
      <c r="O3183" s="1077">
        <v>7.5975000000000001</v>
      </c>
      <c r="P3183" s="1077">
        <v>6.0779999999999994</v>
      </c>
      <c r="Q3183" s="1077">
        <v>3.5</v>
      </c>
      <c r="R3183" s="1077">
        <v>24.5</v>
      </c>
      <c r="T3183" s="1077">
        <v>12.7</v>
      </c>
      <c r="U3183" s="1077">
        <v>2.6</v>
      </c>
      <c r="V3183" s="1077" t="s">
        <v>648</v>
      </c>
      <c r="W3183" s="1077">
        <v>95</v>
      </c>
      <c r="X3183" s="1077">
        <v>10</v>
      </c>
      <c r="Y3183" s="1077">
        <v>1.5</v>
      </c>
      <c r="Z3183" s="1077" t="s">
        <v>648</v>
      </c>
      <c r="AA3183" s="1077" t="s">
        <v>15738</v>
      </c>
      <c r="AH3183" s="1077" t="s">
        <v>468</v>
      </c>
      <c r="AM3183" s="1078" t="s">
        <v>15621</v>
      </c>
      <c r="AN3183" s="1078" t="s">
        <v>15796</v>
      </c>
      <c r="AO3183" s="1078">
        <f t="shared" si="398"/>
        <v>600</v>
      </c>
      <c r="AP3183" s="1078">
        <f t="shared" si="399"/>
        <v>1.82</v>
      </c>
      <c r="AQ3183" s="1078" t="str">
        <f t="shared" si="400"/>
        <v>1-5-1S83°Z+S</v>
      </c>
      <c r="AR3183" s="1078" t="str">
        <f t="shared" si="401"/>
        <v>33.6</v>
      </c>
      <c r="AS3183" s="1078" t="str">
        <f t="shared" si="402"/>
        <v>310/310/190</v>
      </c>
      <c r="AT3183" s="1078" t="str">
        <f t="shared" si="403"/>
        <v>1-5-1S83°Z+S</v>
      </c>
      <c r="AV3183" s="1078" t="str">
        <f t="shared" si="396"/>
        <v>114.8.12</v>
      </c>
      <c r="AW3183" s="1344">
        <f t="shared" si="397"/>
        <v>45881</v>
      </c>
    </row>
    <row r="3184" spans="1:49">
      <c r="A3184" s="1077" t="s">
        <v>15739</v>
      </c>
      <c r="B3184" s="1077" t="s">
        <v>6907</v>
      </c>
      <c r="C3184" s="1077">
        <v>600</v>
      </c>
      <c r="D3184" s="1077">
        <v>1.81</v>
      </c>
      <c r="E3184" s="1077" t="s">
        <v>15121</v>
      </c>
      <c r="F3184" s="1077" t="s">
        <v>648</v>
      </c>
      <c r="G3184" s="1077">
        <v>5</v>
      </c>
      <c r="H3184" s="1077" t="s">
        <v>7129</v>
      </c>
      <c r="I3184" s="1077" t="s">
        <v>6941</v>
      </c>
      <c r="J3184" s="1077">
        <v>2.9</v>
      </c>
      <c r="K3184" s="1077" t="s">
        <v>15740</v>
      </c>
      <c r="L3184" s="1077" t="s">
        <v>15741</v>
      </c>
      <c r="M3184" s="1077">
        <v>295.10000000000002</v>
      </c>
      <c r="N3184" s="1077" t="s">
        <v>945</v>
      </c>
      <c r="O3184" s="1077">
        <v>7.3775000000000013</v>
      </c>
      <c r="P3184" s="1077">
        <v>5.9020000000000001</v>
      </c>
      <c r="Q3184" s="1077">
        <v>4</v>
      </c>
      <c r="R3184" s="1077">
        <v>19.100000000000001</v>
      </c>
      <c r="T3184" s="1077">
        <v>25.2</v>
      </c>
      <c r="U3184" s="1077">
        <v>3.3</v>
      </c>
      <c r="V3184" s="1077" t="s">
        <v>648</v>
      </c>
      <c r="W3184" s="1077">
        <v>60</v>
      </c>
      <c r="X3184" s="1077">
        <v>10</v>
      </c>
      <c r="Y3184" s="1077">
        <v>1.8</v>
      </c>
      <c r="Z3184" s="1077" t="s">
        <v>648</v>
      </c>
      <c r="AA3184" s="1077" t="s">
        <v>15738</v>
      </c>
      <c r="AH3184" s="1077" t="s">
        <v>647</v>
      </c>
      <c r="AM3184" s="1078" t="s">
        <v>15625</v>
      </c>
      <c r="AN3184" s="1078" t="s">
        <v>15797</v>
      </c>
      <c r="AO3184" s="1078">
        <f t="shared" si="398"/>
        <v>600</v>
      </c>
      <c r="AP3184" s="1078">
        <f t="shared" si="399"/>
        <v>1.81</v>
      </c>
      <c r="AQ3184" s="1078" t="str">
        <f t="shared" si="400"/>
        <v>1-5-1S85°S+Z</v>
      </c>
      <c r="AR3184" s="1078" t="str">
        <f t="shared" si="401"/>
        <v>NA</v>
      </c>
      <c r="AS3184" s="1078" t="str">
        <f t="shared" si="402"/>
        <v>190/168</v>
      </c>
      <c r="AT3184" s="1078" t="str">
        <f t="shared" si="403"/>
        <v>1-5-1S85°S+Z</v>
      </c>
      <c r="AV3184" s="1078" t="str">
        <f t="shared" si="396"/>
        <v>114.8.12</v>
      </c>
      <c r="AW3184" s="1344">
        <f t="shared" si="397"/>
        <v>45881</v>
      </c>
    </row>
    <row r="3185" spans="1:49">
      <c r="A3185" s="1077" t="s">
        <v>15742</v>
      </c>
      <c r="B3185" s="1077" t="s">
        <v>8513</v>
      </c>
      <c r="C3185" s="1077">
        <v>600</v>
      </c>
      <c r="D3185" s="1077">
        <v>1.76</v>
      </c>
      <c r="E3185" s="1077" t="s">
        <v>15575</v>
      </c>
      <c r="F3185" s="1077" t="s">
        <v>648</v>
      </c>
      <c r="G3185" s="1077">
        <v>5</v>
      </c>
      <c r="H3185" s="1077" t="s">
        <v>15743</v>
      </c>
      <c r="I3185" s="1077" t="s">
        <v>471</v>
      </c>
      <c r="J3185" s="1077">
        <v>1.3</v>
      </c>
      <c r="K3185" s="1077" t="s">
        <v>15744</v>
      </c>
      <c r="L3185" s="1077" t="s">
        <v>8571</v>
      </c>
      <c r="M3185" s="1077">
        <v>326.39999999999998</v>
      </c>
      <c r="N3185" s="1077" t="s">
        <v>945</v>
      </c>
      <c r="O3185" s="1077">
        <v>8.16</v>
      </c>
      <c r="P3185" s="1077">
        <v>6.5279999999999996</v>
      </c>
      <c r="Q3185" s="1077">
        <v>3</v>
      </c>
      <c r="R3185" s="1077">
        <v>21</v>
      </c>
      <c r="T3185" s="1077">
        <v>14.4</v>
      </c>
      <c r="U3185" s="1077">
        <v>3.6</v>
      </c>
      <c r="V3185" s="1077" t="s">
        <v>648</v>
      </c>
      <c r="W3185" s="1077">
        <v>50</v>
      </c>
      <c r="X3185" s="1077">
        <v>10</v>
      </c>
      <c r="Y3185" s="1077">
        <v>1</v>
      </c>
      <c r="Z3185" s="1077" t="s">
        <v>648</v>
      </c>
      <c r="AA3185" s="1077" t="s">
        <v>15706</v>
      </c>
      <c r="AB3185" s="1077" t="s">
        <v>15745</v>
      </c>
      <c r="AH3185" s="1077" t="s">
        <v>1417</v>
      </c>
      <c r="AI3185" s="1077">
        <v>90.29</v>
      </c>
      <c r="AJ3185" s="1077">
        <v>-1.68</v>
      </c>
      <c r="AK3185" s="1077">
        <v>5.8</v>
      </c>
      <c r="AM3185" s="1078" t="s">
        <v>15540</v>
      </c>
      <c r="AN3185" s="1078" t="s">
        <v>15798</v>
      </c>
      <c r="AO3185" s="1078">
        <f t="shared" si="398"/>
        <v>600</v>
      </c>
      <c r="AP3185" s="1078">
        <f t="shared" si="399"/>
        <v>1.76</v>
      </c>
      <c r="AQ3185" s="1078" t="str">
        <f t="shared" si="400"/>
        <v>1-5-1S85°Z+S</v>
      </c>
      <c r="AR3185" s="1078" t="str">
        <f t="shared" si="401"/>
        <v>NA</v>
      </c>
      <c r="AS3185" s="1078" t="str">
        <f t="shared" si="402"/>
        <v>181/162</v>
      </c>
      <c r="AT3185" s="1078" t="str">
        <f t="shared" si="403"/>
        <v>1-5-1S85°Z+S</v>
      </c>
      <c r="AV3185" s="1078" t="str">
        <f t="shared" si="396"/>
        <v>114.7.24</v>
      </c>
      <c r="AW3185" s="1344">
        <f t="shared" si="397"/>
        <v>45862</v>
      </c>
    </row>
    <row r="3186" spans="1:49">
      <c r="A3186" s="1077" t="s">
        <v>15746</v>
      </c>
      <c r="B3186" s="1077" t="s">
        <v>8524</v>
      </c>
      <c r="C3186" s="1077">
        <v>500</v>
      </c>
      <c r="D3186" s="1077">
        <v>1.84</v>
      </c>
      <c r="E3186" s="1077" t="s">
        <v>15575</v>
      </c>
      <c r="F3186" s="1077" t="s">
        <v>648</v>
      </c>
      <c r="G3186" s="1077">
        <v>5</v>
      </c>
      <c r="H3186" s="1077" t="s">
        <v>2135</v>
      </c>
      <c r="I3186" s="1077" t="s">
        <v>460</v>
      </c>
      <c r="J3186" s="1077">
        <v>1.2</v>
      </c>
      <c r="K3186" s="1077" t="s">
        <v>15747</v>
      </c>
      <c r="L3186" s="1077" t="s">
        <v>8527</v>
      </c>
      <c r="M3186" s="1077">
        <v>421.5</v>
      </c>
      <c r="N3186" s="1077" t="s">
        <v>945</v>
      </c>
      <c r="O3186" s="1077">
        <v>10.537500000000001</v>
      </c>
      <c r="P3186" s="1077">
        <v>8.43</v>
      </c>
      <c r="Q3186" s="1077">
        <v>3</v>
      </c>
      <c r="R3186" s="1077">
        <v>19.100000000000001</v>
      </c>
      <c r="T3186" s="1077">
        <v>12.2</v>
      </c>
      <c r="U3186" s="1077">
        <v>5.8</v>
      </c>
      <c r="V3186" s="1077" t="s">
        <v>648</v>
      </c>
      <c r="W3186" s="1077">
        <v>35</v>
      </c>
      <c r="X3186" s="1077">
        <v>10</v>
      </c>
      <c r="Y3186" s="1077">
        <v>1.2</v>
      </c>
      <c r="Z3186" s="1077" t="s">
        <v>648</v>
      </c>
      <c r="AA3186" s="1077" t="s">
        <v>15668</v>
      </c>
      <c r="AB3186" s="1077" t="s">
        <v>15748</v>
      </c>
      <c r="AH3186" s="1077" t="s">
        <v>647</v>
      </c>
      <c r="AI3186" s="1077">
        <v>90.37</v>
      </c>
      <c r="AJ3186" s="1077">
        <v>-1.65</v>
      </c>
      <c r="AK3186" s="1077">
        <v>6.28</v>
      </c>
      <c r="AM3186" s="1078" t="s">
        <v>15578</v>
      </c>
      <c r="AN3186" s="1078" t="s">
        <v>15799</v>
      </c>
      <c r="AO3186" s="1078">
        <f t="shared" si="398"/>
        <v>500</v>
      </c>
      <c r="AP3186" s="1078">
        <f t="shared" si="399"/>
        <v>1.84</v>
      </c>
      <c r="AQ3186" s="1078" t="str">
        <f t="shared" si="400"/>
        <v>1-5-1S85°Z+S</v>
      </c>
      <c r="AR3186" s="1078" t="str">
        <f t="shared" si="401"/>
        <v>NA</v>
      </c>
      <c r="AS3186" s="1078" t="str">
        <f t="shared" si="402"/>
        <v>165/160</v>
      </c>
      <c r="AT3186" s="1078" t="str">
        <f t="shared" si="403"/>
        <v>1-5-1S85°Z+S</v>
      </c>
      <c r="AV3186" s="1078" t="str">
        <f t="shared" si="396"/>
        <v>114.7.28</v>
      </c>
      <c r="AW3186" s="1344">
        <f t="shared" si="397"/>
        <v>45866</v>
      </c>
    </row>
    <row r="3187" spans="1:49">
      <c r="A3187" s="1077" t="s">
        <v>15749</v>
      </c>
      <c r="B3187" s="1077" t="s">
        <v>654</v>
      </c>
      <c r="C3187" s="1077">
        <v>550</v>
      </c>
      <c r="D3187" s="1077">
        <v>1.68</v>
      </c>
      <c r="E3187" s="1077" t="s">
        <v>15575</v>
      </c>
      <c r="F3187" s="1077" t="s">
        <v>648</v>
      </c>
      <c r="G3187" s="1077">
        <v>5.5</v>
      </c>
      <c r="H3187" s="1077" t="s">
        <v>5094</v>
      </c>
      <c r="I3187" s="1077" t="s">
        <v>643</v>
      </c>
      <c r="J3187" s="1077">
        <v>3.2</v>
      </c>
      <c r="K3187" s="1077" t="s">
        <v>15750</v>
      </c>
      <c r="L3187" s="1077" t="s">
        <v>8960</v>
      </c>
      <c r="M3187" s="1077">
        <v>427.4</v>
      </c>
      <c r="N3187" s="1077" t="s">
        <v>945</v>
      </c>
      <c r="O3187" s="1077">
        <v>10.685</v>
      </c>
      <c r="P3187" s="1077">
        <v>8.548</v>
      </c>
      <c r="Q3187" s="1077">
        <v>3.5</v>
      </c>
      <c r="R3187" s="1077">
        <v>24</v>
      </c>
      <c r="T3187" s="1077">
        <v>14.9</v>
      </c>
      <c r="U3187" s="1077">
        <v>4.2</v>
      </c>
      <c r="V3187" s="1077" t="s">
        <v>648</v>
      </c>
      <c r="W3187" s="1077">
        <v>120</v>
      </c>
      <c r="X3187" s="1077">
        <v>90</v>
      </c>
      <c r="Y3187" s="1077">
        <v>1</v>
      </c>
      <c r="Z3187" s="1077" t="s">
        <v>648</v>
      </c>
      <c r="AA3187" s="1077" t="s">
        <v>15751</v>
      </c>
      <c r="AH3187" s="1077" t="s">
        <v>853</v>
      </c>
      <c r="AI3187" s="1077">
        <v>90.98</v>
      </c>
      <c r="AJ3187" s="1077">
        <v>2.17</v>
      </c>
      <c r="AK3187" s="1077">
        <v>-0.33</v>
      </c>
      <c r="AM3187" s="1078" t="s">
        <v>15583</v>
      </c>
      <c r="AN3187" s="1078" t="s">
        <v>15800</v>
      </c>
      <c r="AO3187" s="1078">
        <f t="shared" si="398"/>
        <v>550</v>
      </c>
      <c r="AP3187" s="1078">
        <f t="shared" si="399"/>
        <v>1.68</v>
      </c>
      <c r="AQ3187" s="1078" t="str">
        <f t="shared" si="400"/>
        <v>1-5-1S85°Z+S</v>
      </c>
      <c r="AR3187" s="1078" t="str">
        <f t="shared" si="401"/>
        <v>NA</v>
      </c>
      <c r="AS3187" s="1078" t="str">
        <f t="shared" si="402"/>
        <v>185/170</v>
      </c>
      <c r="AT3187" s="1078" t="str">
        <f t="shared" si="403"/>
        <v>1-5-1S85°Z+S</v>
      </c>
      <c r="AV3187" s="1078" t="str">
        <f t="shared" si="396"/>
        <v>114.7.30</v>
      </c>
      <c r="AW3187" s="1344">
        <f t="shared" si="397"/>
        <v>45868</v>
      </c>
    </row>
    <row r="3188" spans="1:49">
      <c r="A3188" s="1077" t="s">
        <v>15752</v>
      </c>
      <c r="B3188" s="1077" t="s">
        <v>15624</v>
      </c>
      <c r="C3188" s="1077">
        <v>500</v>
      </c>
      <c r="D3188" s="1077">
        <v>1.7649999999999999</v>
      </c>
      <c r="E3188" s="1077" t="s">
        <v>15089</v>
      </c>
      <c r="F3188" s="1077" t="s">
        <v>954</v>
      </c>
      <c r="G3188" s="1077">
        <v>2</v>
      </c>
      <c r="H3188" s="1077" t="s">
        <v>1649</v>
      </c>
      <c r="I3188" s="1077" t="s">
        <v>126</v>
      </c>
      <c r="J3188" s="1077">
        <v>1.3</v>
      </c>
      <c r="K3188" s="1077" t="s">
        <v>15753</v>
      </c>
      <c r="L3188" s="1077" t="s">
        <v>15754</v>
      </c>
      <c r="M3188" s="1077">
        <v>46</v>
      </c>
      <c r="N3188" s="1077" t="s">
        <v>945</v>
      </c>
      <c r="O3188" s="1077">
        <v>1.1500000000000001</v>
      </c>
      <c r="P3188" s="1077">
        <v>0.92</v>
      </c>
      <c r="Q3188" s="1077">
        <v>3</v>
      </c>
      <c r="R3188" s="1077">
        <v>26</v>
      </c>
      <c r="T3188" s="1077">
        <v>35</v>
      </c>
      <c r="U3188" s="1077">
        <v>3</v>
      </c>
      <c r="V3188" s="1077" t="s">
        <v>648</v>
      </c>
      <c r="W3188" s="1077">
        <v>135</v>
      </c>
      <c r="X3188" s="1077">
        <v>75</v>
      </c>
      <c r="Y3188" s="1077">
        <v>3</v>
      </c>
      <c r="Z3188" s="1077">
        <v>5</v>
      </c>
      <c r="AA3188" s="1077" t="s">
        <v>15640</v>
      </c>
      <c r="AH3188" s="1077" t="s">
        <v>1143</v>
      </c>
      <c r="AM3188" s="1078" t="s">
        <v>15622</v>
      </c>
      <c r="AN3188" s="1078" t="s">
        <v>15801</v>
      </c>
      <c r="AO3188" s="1078">
        <f t="shared" si="398"/>
        <v>500</v>
      </c>
      <c r="AP3188" s="1078">
        <f t="shared" si="399"/>
        <v>1.7649999999999999</v>
      </c>
      <c r="AQ3188" s="1078" t="str">
        <f t="shared" si="400"/>
        <v>1-4-1S83°</v>
      </c>
      <c r="AR3188" s="1078" t="str">
        <f t="shared" si="401"/>
        <v>31</v>
      </c>
      <c r="AS3188" s="1078" t="str">
        <f t="shared" si="402"/>
        <v>225/225/OFF</v>
      </c>
      <c r="AT3188" s="1078" t="str">
        <f t="shared" si="403"/>
        <v>1-4-1S83°</v>
      </c>
      <c r="AV3188" s="1078" t="str">
        <f t="shared" si="396"/>
        <v>114.8.11</v>
      </c>
      <c r="AW3188" s="1344">
        <f t="shared" si="397"/>
        <v>45880</v>
      </c>
    </row>
    <row r="3189" spans="1:49">
      <c r="A3189" s="1077" t="s">
        <v>15635</v>
      </c>
      <c r="B3189" s="1077" t="s">
        <v>453</v>
      </c>
      <c r="C3189" s="1077">
        <v>650</v>
      </c>
      <c r="D3189" s="1077">
        <v>1.72</v>
      </c>
      <c r="E3189" s="1077" t="s">
        <v>15089</v>
      </c>
      <c r="F3189" s="1077" t="s">
        <v>1773</v>
      </c>
      <c r="G3189" s="1077" t="s">
        <v>1767</v>
      </c>
      <c r="H3189" s="1077" t="s">
        <v>1029</v>
      </c>
      <c r="I3189" s="1077" t="s">
        <v>126</v>
      </c>
      <c r="J3189" s="1077">
        <v>0.8</v>
      </c>
      <c r="K3189" s="1077" t="s">
        <v>15308</v>
      </c>
      <c r="L3189" s="1077" t="s">
        <v>1821</v>
      </c>
      <c r="M3189" s="1077">
        <v>74.8</v>
      </c>
      <c r="N3189" s="1077" t="s">
        <v>945</v>
      </c>
      <c r="O3189" s="1077">
        <v>1.87</v>
      </c>
      <c r="P3189" s="1077">
        <v>1.496</v>
      </c>
      <c r="Q3189" s="1077">
        <v>4</v>
      </c>
      <c r="R3189" s="1077">
        <v>23</v>
      </c>
      <c r="T3189" s="1077">
        <v>18.600000000000001</v>
      </c>
      <c r="U3189" s="1077">
        <v>3.5</v>
      </c>
      <c r="V3189" s="1077" t="s">
        <v>648</v>
      </c>
      <c r="W3189" s="1077">
        <v>105</v>
      </c>
      <c r="X3189" s="1077">
        <v>80</v>
      </c>
      <c r="Y3189" s="1077">
        <v>2</v>
      </c>
      <c r="Z3189" s="1077">
        <v>4.5</v>
      </c>
      <c r="AA3189" s="1077" t="s">
        <v>15636</v>
      </c>
      <c r="AH3189" s="1077" t="s">
        <v>722</v>
      </c>
      <c r="AM3189" s="1078" t="s">
        <v>15613</v>
      </c>
      <c r="AN3189" s="1078" t="s">
        <v>15755</v>
      </c>
      <c r="AO3189" s="1078">
        <f t="shared" si="398"/>
        <v>650</v>
      </c>
      <c r="AP3189" s="1078">
        <f t="shared" si="399"/>
        <v>1.72</v>
      </c>
      <c r="AQ3189" s="1078" t="str">
        <f t="shared" si="400"/>
        <v>1-4-1S83°</v>
      </c>
      <c r="AR3189" s="1078" t="str">
        <f t="shared" si="401"/>
        <v>30.2</v>
      </c>
      <c r="AS3189" s="1078" t="str">
        <f t="shared" si="402"/>
        <v>250/250/OFF</v>
      </c>
      <c r="AT3189" s="1078" t="str">
        <f t="shared" si="403"/>
        <v>1-4-1S83°</v>
      </c>
      <c r="AV3189" s="1078" t="str">
        <f t="shared" si="396"/>
        <v>114.8.1</v>
      </c>
      <c r="AW3189" s="1344">
        <f t="shared" si="397"/>
        <v>45870</v>
      </c>
    </row>
    <row r="3190" spans="1:49">
      <c r="A3190" s="1077" t="s">
        <v>15637</v>
      </c>
      <c r="B3190" s="1077" t="s">
        <v>850</v>
      </c>
      <c r="C3190" s="1077">
        <v>550</v>
      </c>
      <c r="D3190" s="1077">
        <v>1.68</v>
      </c>
      <c r="E3190" s="1077" t="s">
        <v>15095</v>
      </c>
      <c r="F3190" s="1077" t="s">
        <v>984</v>
      </c>
      <c r="G3190" s="1077" t="s">
        <v>940</v>
      </c>
      <c r="H3190" s="1077" t="s">
        <v>1017</v>
      </c>
      <c r="I3190" s="1077" t="s">
        <v>626</v>
      </c>
      <c r="J3190" s="1077">
        <v>1.1000000000000001</v>
      </c>
      <c r="K3190" s="1077" t="s">
        <v>15638</v>
      </c>
      <c r="L3190" s="1077" t="s">
        <v>15639</v>
      </c>
      <c r="M3190" s="1077">
        <v>78</v>
      </c>
      <c r="N3190" s="1077" t="s">
        <v>945</v>
      </c>
      <c r="O3190" s="1077">
        <v>1.9500000000000002</v>
      </c>
      <c r="P3190" s="1077">
        <v>1.56</v>
      </c>
      <c r="Q3190" s="1077">
        <v>3</v>
      </c>
      <c r="R3190" s="1077">
        <v>29.5</v>
      </c>
      <c r="T3190" s="1077">
        <v>9.6</v>
      </c>
      <c r="U3190" s="1077">
        <v>6.8</v>
      </c>
      <c r="V3190" s="1077" t="s">
        <v>648</v>
      </c>
      <c r="W3190" s="1077">
        <v>135</v>
      </c>
      <c r="X3190" s="1077">
        <v>65</v>
      </c>
      <c r="Y3190" s="1077">
        <v>1.4</v>
      </c>
      <c r="Z3190" s="1077">
        <v>4</v>
      </c>
      <c r="AA3190" s="1077" t="s">
        <v>15640</v>
      </c>
      <c r="AH3190" s="1077" t="s">
        <v>3213</v>
      </c>
      <c r="AM3190" s="1078" t="s">
        <v>15623</v>
      </c>
      <c r="AN3190" s="1078" t="s">
        <v>15756</v>
      </c>
      <c r="AO3190" s="1078">
        <f t="shared" si="398"/>
        <v>550</v>
      </c>
      <c r="AP3190" s="1078">
        <f t="shared" si="399"/>
        <v>1.68</v>
      </c>
      <c r="AQ3190" s="1078" t="str">
        <f t="shared" si="400"/>
        <v>1-5-1S83°</v>
      </c>
      <c r="AR3190" s="1078" t="str">
        <f t="shared" si="401"/>
        <v>30</v>
      </c>
      <c r="AS3190" s="1078" t="str">
        <f t="shared" si="402"/>
        <v>200/200/OFF</v>
      </c>
      <c r="AT3190" s="1078" t="str">
        <f t="shared" si="403"/>
        <v>1-5-1S83°</v>
      </c>
      <c r="AV3190" s="1078" t="str">
        <f t="shared" si="396"/>
        <v>114.8.11</v>
      </c>
      <c r="AW3190" s="1344">
        <f t="shared" si="397"/>
        <v>45880</v>
      </c>
    </row>
    <row r="3191" spans="1:49">
      <c r="A3191" s="1077" t="s">
        <v>15803</v>
      </c>
      <c r="B3191" s="1077" t="s">
        <v>453</v>
      </c>
      <c r="C3191" s="1077">
        <v>700</v>
      </c>
      <c r="D3191" s="1077">
        <v>1.71</v>
      </c>
      <c r="E3191" s="1077" t="s">
        <v>15089</v>
      </c>
      <c r="F3191" s="1077" t="s">
        <v>1773</v>
      </c>
      <c r="G3191" s="1077" t="s">
        <v>1767</v>
      </c>
      <c r="H3191" s="1077" t="s">
        <v>3967</v>
      </c>
      <c r="I3191" s="1077" t="s">
        <v>126</v>
      </c>
      <c r="J3191" s="1077">
        <v>0.9</v>
      </c>
      <c r="K3191" s="1077" t="s">
        <v>15804</v>
      </c>
      <c r="L3191" s="1077" t="s">
        <v>1776</v>
      </c>
      <c r="M3191" s="1077">
        <v>74.8</v>
      </c>
      <c r="N3191" s="1077" t="s">
        <v>945</v>
      </c>
      <c r="O3191" s="1077">
        <v>1.87</v>
      </c>
      <c r="P3191" s="1077">
        <v>1.496</v>
      </c>
      <c r="Q3191" s="1077">
        <v>4</v>
      </c>
      <c r="R3191" s="1077">
        <v>23</v>
      </c>
      <c r="T3191" s="1077">
        <v>18.600000000000001</v>
      </c>
      <c r="U3191" s="1077">
        <v>3.5</v>
      </c>
      <c r="V3191" s="1077" t="s">
        <v>648</v>
      </c>
      <c r="W3191" s="1077">
        <v>105</v>
      </c>
      <c r="X3191" s="1077">
        <v>80</v>
      </c>
      <c r="Y3191" s="1077">
        <v>2</v>
      </c>
      <c r="Z3191" s="1077">
        <v>4.5</v>
      </c>
      <c r="AA3191" s="1077" t="s">
        <v>15805</v>
      </c>
      <c r="AH3191" s="1077" t="s">
        <v>466</v>
      </c>
      <c r="AM3191" s="1078" t="s">
        <v>15627</v>
      </c>
      <c r="AN3191" s="1078" t="s">
        <v>15806</v>
      </c>
      <c r="AO3191" s="1078">
        <f t="shared" si="398"/>
        <v>700</v>
      </c>
      <c r="AP3191" s="1078">
        <f t="shared" si="399"/>
        <v>1.71</v>
      </c>
      <c r="AQ3191" s="1078" t="str">
        <f t="shared" si="400"/>
        <v>1-4-1S83°</v>
      </c>
      <c r="AR3191" s="1078" t="str">
        <f t="shared" si="401"/>
        <v>30.2</v>
      </c>
      <c r="AS3191" s="1078" t="str">
        <f t="shared" si="402"/>
        <v>257/257/OFF</v>
      </c>
      <c r="AT3191" s="1078" t="str">
        <f t="shared" si="403"/>
        <v>1-4-1S83°</v>
      </c>
      <c r="AV3191" s="1078" t="str">
        <f t="shared" si="396"/>
        <v>114.8.15</v>
      </c>
      <c r="AW3191" s="1344">
        <f t="shared" si="397"/>
        <v>45884</v>
      </c>
    </row>
    <row r="3192" spans="1:49">
      <c r="A3192" s="1077" t="s">
        <v>15807</v>
      </c>
      <c r="B3192" s="1077" t="s">
        <v>453</v>
      </c>
      <c r="C3192" s="1077">
        <v>650</v>
      </c>
      <c r="D3192" s="1077">
        <v>1.71</v>
      </c>
      <c r="E3192" s="1077" t="s">
        <v>15089</v>
      </c>
      <c r="F3192" s="1077" t="s">
        <v>984</v>
      </c>
      <c r="G3192" s="1077" t="s">
        <v>1767</v>
      </c>
      <c r="H3192" s="1077" t="s">
        <v>1831</v>
      </c>
      <c r="I3192" s="1077" t="s">
        <v>126</v>
      </c>
      <c r="J3192" s="1077">
        <v>1.1000000000000001</v>
      </c>
      <c r="K3192" s="1077" t="s">
        <v>2282</v>
      </c>
      <c r="L3192" s="1077" t="s">
        <v>1821</v>
      </c>
      <c r="M3192" s="1077">
        <v>77</v>
      </c>
      <c r="N3192" s="1077" t="s">
        <v>945</v>
      </c>
      <c r="O3192" s="1077">
        <v>1.925</v>
      </c>
      <c r="P3192" s="1077">
        <v>1.54</v>
      </c>
      <c r="Q3192" s="1077">
        <v>4.2</v>
      </c>
      <c r="R3192" s="1077">
        <v>24</v>
      </c>
      <c r="T3192" s="1077">
        <v>9</v>
      </c>
      <c r="U3192" s="1077">
        <v>2.2000000000000002</v>
      </c>
      <c r="V3192" s="1077" t="s">
        <v>648</v>
      </c>
      <c r="W3192" s="1077">
        <v>110</v>
      </c>
      <c r="X3192" s="1077" t="s">
        <v>1130</v>
      </c>
      <c r="Y3192" s="1077">
        <v>2.1</v>
      </c>
      <c r="Z3192" s="1077">
        <v>2.5</v>
      </c>
      <c r="AA3192" s="1077" t="s">
        <v>15808</v>
      </c>
      <c r="AB3192" s="1077" t="s">
        <v>981</v>
      </c>
      <c r="AH3192" s="1077" t="s">
        <v>482</v>
      </c>
      <c r="AM3192" s="1078" t="s">
        <v>15629</v>
      </c>
      <c r="AN3192" s="1078" t="s">
        <v>15809</v>
      </c>
      <c r="AO3192" s="1078">
        <f t="shared" si="398"/>
        <v>650</v>
      </c>
      <c r="AP3192" s="1078">
        <f t="shared" si="399"/>
        <v>1.71</v>
      </c>
      <c r="AQ3192" s="1078" t="str">
        <f t="shared" si="400"/>
        <v>1-4-1S83°</v>
      </c>
      <c r="AR3192" s="1078" t="str">
        <f t="shared" si="401"/>
        <v>30</v>
      </c>
      <c r="AS3192" s="1078" t="str">
        <f t="shared" si="402"/>
        <v>260/260/165</v>
      </c>
      <c r="AT3192" s="1078" t="str">
        <f t="shared" si="403"/>
        <v>1-4-1S83°</v>
      </c>
      <c r="AV3192" s="1078" t="str">
        <f t="shared" si="396"/>
        <v>114.8.18</v>
      </c>
      <c r="AW3192" s="1344">
        <f t="shared" si="397"/>
        <v>45887</v>
      </c>
    </row>
    <row r="3193" spans="1:49">
      <c r="A3193" s="1077" t="s">
        <v>15810</v>
      </c>
      <c r="B3193" s="1077" t="s">
        <v>617</v>
      </c>
      <c r="C3193" s="1077">
        <v>600</v>
      </c>
      <c r="D3193" s="1077">
        <v>1.7350000000000001</v>
      </c>
      <c r="E3193" s="1077" t="s">
        <v>15094</v>
      </c>
      <c r="F3193" s="1077" t="s">
        <v>984</v>
      </c>
      <c r="G3193" s="1077">
        <v>5</v>
      </c>
      <c r="H3193" s="1077" t="s">
        <v>955</v>
      </c>
      <c r="I3193" s="1077" t="s">
        <v>126</v>
      </c>
      <c r="J3193" s="1077">
        <v>2.8</v>
      </c>
      <c r="K3193" s="1077" t="s">
        <v>15702</v>
      </c>
      <c r="L3193" s="1077" t="s">
        <v>4854</v>
      </c>
      <c r="M3193" s="1077">
        <v>150.30000000000001</v>
      </c>
      <c r="N3193" s="1077" t="s">
        <v>945</v>
      </c>
      <c r="O3193" s="1077">
        <v>3.7575000000000003</v>
      </c>
      <c r="P3193" s="1077">
        <v>3.0060000000000002</v>
      </c>
      <c r="Q3193" s="1077">
        <v>2.8</v>
      </c>
      <c r="R3193" s="1077">
        <v>31</v>
      </c>
      <c r="T3193" s="1077">
        <v>13</v>
      </c>
      <c r="U3193" s="1077">
        <v>7</v>
      </c>
      <c r="V3193" s="1077" t="s">
        <v>648</v>
      </c>
      <c r="W3193" s="1077">
        <v>115</v>
      </c>
      <c r="X3193" s="1077">
        <v>50</v>
      </c>
      <c r="Y3193" s="1077">
        <v>1.7</v>
      </c>
      <c r="Z3193" s="1077">
        <v>6.5</v>
      </c>
      <c r="AA3193" s="1077" t="s">
        <v>15808</v>
      </c>
      <c r="AH3193" s="1077" t="s">
        <v>813</v>
      </c>
      <c r="AM3193" s="1078" t="s">
        <v>15628</v>
      </c>
      <c r="AN3193" s="1078" t="s">
        <v>15811</v>
      </c>
      <c r="AO3193" s="1078">
        <f t="shared" si="398"/>
        <v>600</v>
      </c>
      <c r="AP3193" s="1078">
        <f t="shared" si="399"/>
        <v>1.7350000000000001</v>
      </c>
      <c r="AQ3193" s="1078" t="str">
        <f t="shared" si="400"/>
        <v>1-5-1S91°</v>
      </c>
      <c r="AR3193" s="1078" t="str">
        <f t="shared" si="401"/>
        <v>30</v>
      </c>
      <c r="AS3193" s="1078" t="str">
        <f t="shared" si="402"/>
        <v>260/260/OFF</v>
      </c>
      <c r="AT3193" s="1078" t="str">
        <f t="shared" si="403"/>
        <v>1-5-1S91°</v>
      </c>
      <c r="AV3193" s="1078" t="str">
        <f t="shared" si="396"/>
        <v>114.8.18</v>
      </c>
      <c r="AW3193" s="1344">
        <f t="shared" si="397"/>
        <v>45887</v>
      </c>
    </row>
    <row r="3194" spans="1:49">
      <c r="A3194" s="1077" t="s">
        <v>15812</v>
      </c>
      <c r="B3194" s="1077" t="s">
        <v>847</v>
      </c>
      <c r="C3194" s="1077">
        <v>550</v>
      </c>
      <c r="D3194" s="1077">
        <v>1.79</v>
      </c>
      <c r="E3194" s="1077" t="s">
        <v>15111</v>
      </c>
      <c r="F3194" s="1077" t="s">
        <v>975</v>
      </c>
      <c r="G3194" s="1077">
        <v>4</v>
      </c>
      <c r="H3194" s="1077" t="s">
        <v>15813</v>
      </c>
      <c r="I3194" s="1077" t="s">
        <v>648</v>
      </c>
      <c r="J3194" s="1077">
        <v>0</v>
      </c>
      <c r="K3194" s="1077" t="s">
        <v>15814</v>
      </c>
      <c r="L3194" s="1077" t="s">
        <v>5037</v>
      </c>
      <c r="M3194" s="1077">
        <v>150</v>
      </c>
      <c r="N3194" s="1077" t="s">
        <v>945</v>
      </c>
      <c r="O3194" s="1077">
        <v>3.75</v>
      </c>
      <c r="P3194" s="1077">
        <v>3</v>
      </c>
      <c r="Q3194" s="1077">
        <v>3.5</v>
      </c>
      <c r="R3194" s="1077">
        <v>21.8</v>
      </c>
      <c r="T3194" s="1077">
        <v>19.5</v>
      </c>
      <c r="U3194" s="1077">
        <v>1.8</v>
      </c>
      <c r="V3194" s="1077" t="s">
        <v>648</v>
      </c>
      <c r="W3194" s="1077" t="s">
        <v>648</v>
      </c>
      <c r="X3194" s="1077" t="s">
        <v>648</v>
      </c>
      <c r="Y3194" s="1077">
        <v>2.1</v>
      </c>
      <c r="Z3194" s="1077">
        <v>5</v>
      </c>
      <c r="AA3194" s="1077" t="s">
        <v>15815</v>
      </c>
      <c r="AH3194" s="1077" t="s">
        <v>958</v>
      </c>
      <c r="AM3194" s="1078" t="s">
        <v>15633</v>
      </c>
      <c r="AN3194" s="1078" t="s">
        <v>15816</v>
      </c>
      <c r="AO3194" s="1078">
        <f t="shared" si="398"/>
        <v>550</v>
      </c>
      <c r="AP3194" s="1078">
        <f t="shared" si="399"/>
        <v>1.79</v>
      </c>
      <c r="AQ3194" s="1078" t="str">
        <f t="shared" si="400"/>
        <v>1-5-1S91</v>
      </c>
      <c r="AR3194" s="1078" t="str">
        <f t="shared" si="401"/>
        <v>31.5</v>
      </c>
      <c r="AS3194" s="1078" t="str">
        <f t="shared" si="402"/>
        <v>305/305/160</v>
      </c>
      <c r="AT3194" s="1078" t="str">
        <f t="shared" si="403"/>
        <v>1-5-1S91</v>
      </c>
      <c r="AV3194" s="1078" t="str">
        <f t="shared" si="396"/>
        <v>114.8.21</v>
      </c>
      <c r="AW3194" s="1344">
        <f t="shared" si="397"/>
        <v>45890</v>
      </c>
    </row>
    <row r="3195" spans="1:49">
      <c r="A3195" s="1077" t="s">
        <v>15817</v>
      </c>
      <c r="B3195" s="1077" t="s">
        <v>836</v>
      </c>
      <c r="C3195" s="1077">
        <v>600</v>
      </c>
      <c r="D3195" s="1077">
        <v>1.82</v>
      </c>
      <c r="E3195" s="1077" t="s">
        <v>15116</v>
      </c>
      <c r="F3195" s="1077" t="s">
        <v>6901</v>
      </c>
      <c r="G3195" s="1077">
        <v>4</v>
      </c>
      <c r="H3195" s="1077" t="s">
        <v>6902</v>
      </c>
      <c r="I3195" s="1077" t="s">
        <v>6918</v>
      </c>
      <c r="K3195" s="1077" t="s">
        <v>15734</v>
      </c>
      <c r="L3195" s="1077" t="s">
        <v>7831</v>
      </c>
      <c r="M3195" s="1077">
        <v>303.89999999999998</v>
      </c>
      <c r="N3195" s="1077" t="s">
        <v>945</v>
      </c>
      <c r="O3195" s="1077">
        <v>7.5975000000000001</v>
      </c>
      <c r="P3195" s="1077">
        <v>6.0779999999999994</v>
      </c>
      <c r="Q3195" s="1077">
        <v>3.5</v>
      </c>
      <c r="R3195" s="1077">
        <v>24.5</v>
      </c>
      <c r="T3195" s="1077">
        <v>12.7</v>
      </c>
      <c r="U3195" s="1077">
        <v>2.6</v>
      </c>
      <c r="V3195" s="1077" t="s">
        <v>648</v>
      </c>
      <c r="W3195" s="1077">
        <v>95</v>
      </c>
      <c r="X3195" s="1077">
        <v>10</v>
      </c>
      <c r="Y3195" s="1077">
        <v>1.5</v>
      </c>
      <c r="Z3195" s="1077" t="s">
        <v>648</v>
      </c>
      <c r="AA3195" s="1077" t="s">
        <v>15815</v>
      </c>
      <c r="AH3195" s="1077" t="s">
        <v>966</v>
      </c>
      <c r="AM3195" s="1078" t="s">
        <v>15631</v>
      </c>
      <c r="AN3195" s="1078" t="s">
        <v>15818</v>
      </c>
      <c r="AO3195" s="1078">
        <f t="shared" si="398"/>
        <v>600</v>
      </c>
      <c r="AP3195" s="1078">
        <f t="shared" si="399"/>
        <v>1.82</v>
      </c>
      <c r="AQ3195" s="1078" t="str">
        <f t="shared" si="400"/>
        <v>1-5-1S83°Z+S</v>
      </c>
      <c r="AR3195" s="1078" t="str">
        <f t="shared" si="401"/>
        <v>33.6</v>
      </c>
      <c r="AS3195" s="1078" t="str">
        <f t="shared" si="402"/>
        <v>310/310/190</v>
      </c>
      <c r="AT3195" s="1078" t="str">
        <f t="shared" si="403"/>
        <v>1-5-1S83°Z+S</v>
      </c>
      <c r="AV3195" s="1078" t="str">
        <f t="shared" si="396"/>
        <v>114.8.21</v>
      </c>
      <c r="AW3195" s="1344">
        <f t="shared" si="397"/>
        <v>45890</v>
      </c>
    </row>
    <row r="3196" spans="1:49">
      <c r="A3196" s="1077" t="s">
        <v>15819</v>
      </c>
      <c r="B3196" s="1077" t="s">
        <v>8346</v>
      </c>
      <c r="C3196" s="1077">
        <v>600</v>
      </c>
      <c r="D3196" s="1077">
        <v>1.76</v>
      </c>
      <c r="E3196" s="1077" t="s">
        <v>15116</v>
      </c>
      <c r="F3196" s="1077" t="s">
        <v>2234</v>
      </c>
      <c r="G3196" s="1077">
        <v>5</v>
      </c>
      <c r="H3196" s="1077" t="s">
        <v>6116</v>
      </c>
      <c r="I3196" s="1077" t="s">
        <v>6918</v>
      </c>
      <c r="J3196" s="1077">
        <v>3</v>
      </c>
      <c r="K3196" s="1077" t="s">
        <v>15820</v>
      </c>
      <c r="L3196" s="1077" t="s">
        <v>5253</v>
      </c>
      <c r="M3196" s="1077">
        <v>303</v>
      </c>
      <c r="N3196" s="1077" t="s">
        <v>945</v>
      </c>
      <c r="O3196" s="1077">
        <v>7.5750000000000002</v>
      </c>
      <c r="P3196" s="1077">
        <v>6.0600000000000005</v>
      </c>
      <c r="Q3196" s="1077">
        <v>4</v>
      </c>
      <c r="R3196" s="1077">
        <v>24</v>
      </c>
      <c r="T3196" s="1077">
        <v>22</v>
      </c>
      <c r="U3196" s="1077">
        <v>3.8</v>
      </c>
      <c r="V3196" s="1077" t="s">
        <v>648</v>
      </c>
      <c r="W3196" s="1077">
        <v>100</v>
      </c>
      <c r="X3196" s="1077">
        <v>40</v>
      </c>
      <c r="Y3196" s="1077">
        <v>1.2</v>
      </c>
      <c r="Z3196" s="1077" t="s">
        <v>648</v>
      </c>
      <c r="AA3196" s="1077" t="s">
        <v>15821</v>
      </c>
      <c r="AH3196" s="1077" t="s">
        <v>1238</v>
      </c>
      <c r="AM3196" s="1078" t="s">
        <v>15632</v>
      </c>
      <c r="AN3196" s="1078" t="s">
        <v>15822</v>
      </c>
      <c r="AO3196" s="1078">
        <f t="shared" si="398"/>
        <v>600</v>
      </c>
      <c r="AP3196" s="1078">
        <f t="shared" si="399"/>
        <v>1.76</v>
      </c>
      <c r="AQ3196" s="1078" t="str">
        <f t="shared" si="400"/>
        <v>1-5-1S83°Z+S</v>
      </c>
      <c r="AR3196" s="1078" t="str">
        <f t="shared" si="401"/>
        <v>33.5</v>
      </c>
      <c r="AS3196" s="1078" t="str">
        <f t="shared" si="402"/>
        <v>320/320/OFF</v>
      </c>
      <c r="AT3196" s="1078" t="str">
        <f t="shared" si="403"/>
        <v>1-5-1S83°Z+S</v>
      </c>
      <c r="AV3196" s="1078" t="str">
        <f t="shared" si="396"/>
        <v>114.8.20</v>
      </c>
      <c r="AW3196" s="1344">
        <f t="shared" si="397"/>
        <v>45889</v>
      </c>
    </row>
    <row r="3197" spans="1:49">
      <c r="A3197" s="1077" t="s">
        <v>15823</v>
      </c>
      <c r="B3197" s="1077" t="s">
        <v>6940</v>
      </c>
      <c r="C3197" s="1077">
        <v>500</v>
      </c>
      <c r="D3197" s="1077">
        <v>1.7849999999999999</v>
      </c>
      <c r="E3197" s="1077" t="s">
        <v>15122</v>
      </c>
      <c r="F3197" s="1077" t="s">
        <v>984</v>
      </c>
      <c r="G3197" s="1077">
        <v>5</v>
      </c>
      <c r="H3197" s="1077" t="s">
        <v>955</v>
      </c>
      <c r="I3197" s="1077" t="s">
        <v>7105</v>
      </c>
      <c r="J3197" s="1077">
        <v>1</v>
      </c>
      <c r="K3197" s="1077" t="s">
        <v>15824</v>
      </c>
      <c r="L3197" s="1077" t="s">
        <v>4952</v>
      </c>
      <c r="M3197" s="1077">
        <v>308.39999999999998</v>
      </c>
      <c r="N3197" s="1077" t="s">
        <v>945</v>
      </c>
      <c r="O3197" s="1077">
        <v>7.71</v>
      </c>
      <c r="P3197" s="1077">
        <v>6.1679999999999993</v>
      </c>
      <c r="Q3197" s="1077">
        <v>2.8</v>
      </c>
      <c r="R3197" s="1077">
        <v>26</v>
      </c>
      <c r="T3197" s="1077">
        <v>14.5</v>
      </c>
      <c r="U3197" s="1077">
        <v>5</v>
      </c>
      <c r="V3197" s="1077" t="s">
        <v>648</v>
      </c>
      <c r="W3197" s="1077" t="s">
        <v>6990</v>
      </c>
      <c r="X3197" s="1077">
        <v>10</v>
      </c>
      <c r="Y3197" s="1077">
        <v>1.7</v>
      </c>
      <c r="Z3197" s="1077" t="s">
        <v>648</v>
      </c>
      <c r="AA3197" s="1077" t="s">
        <v>15648</v>
      </c>
      <c r="AB3197" s="1077" t="s">
        <v>2162</v>
      </c>
      <c r="AH3197" s="1077" t="s">
        <v>1137</v>
      </c>
      <c r="AM3197" s="1078" t="s">
        <v>15634</v>
      </c>
      <c r="AN3197" s="1078" t="s">
        <v>15825</v>
      </c>
      <c r="AO3197" s="1078">
        <f t="shared" si="398"/>
        <v>500</v>
      </c>
      <c r="AP3197" s="1078">
        <f t="shared" si="399"/>
        <v>1.7849999999999999</v>
      </c>
      <c r="AQ3197" s="1078" t="str">
        <f t="shared" si="400"/>
        <v>1-5-1S91°Z+S</v>
      </c>
      <c r="AR3197" s="1078" t="str">
        <f t="shared" si="401"/>
        <v>30</v>
      </c>
      <c r="AS3197" s="1078" t="str">
        <f t="shared" si="402"/>
        <v>260/260/OFF</v>
      </c>
      <c r="AT3197" s="1078" t="str">
        <f t="shared" si="403"/>
        <v>1-5-1S91°Z+S</v>
      </c>
      <c r="AV3197" s="1078" t="str">
        <f t="shared" si="396"/>
        <v>114.7.11</v>
      </c>
      <c r="AW3197" s="1344">
        <f t="shared" si="397"/>
        <v>45849</v>
      </c>
    </row>
    <row r="3198" spans="1:49">
      <c r="A3198" s="1077" t="s">
        <v>15897</v>
      </c>
      <c r="B3198" s="1077" t="s">
        <v>1659</v>
      </c>
      <c r="C3198" s="1077">
        <v>500</v>
      </c>
      <c r="D3198" s="1077">
        <v>1.7</v>
      </c>
      <c r="E3198" s="1077" t="s">
        <v>15095</v>
      </c>
      <c r="F3198" s="1077" t="s">
        <v>984</v>
      </c>
      <c r="G3198" s="1077" t="s">
        <v>1016</v>
      </c>
      <c r="H3198" s="1077" t="s">
        <v>1660</v>
      </c>
      <c r="I3198" s="1077" t="s">
        <v>626</v>
      </c>
      <c r="J3198" s="1077">
        <v>1.2</v>
      </c>
      <c r="K3198" s="1077" t="s">
        <v>15898</v>
      </c>
      <c r="L3198" s="1077" t="s">
        <v>1356</v>
      </c>
      <c r="M3198" s="1077">
        <v>49.5</v>
      </c>
      <c r="N3198" s="1077" t="s">
        <v>945</v>
      </c>
      <c r="O3198" s="1077">
        <v>1.2375</v>
      </c>
      <c r="P3198" s="1077">
        <v>0.99</v>
      </c>
      <c r="Q3198" s="1077">
        <v>3</v>
      </c>
      <c r="R3198" s="1077">
        <v>31</v>
      </c>
      <c r="T3198" s="1077">
        <v>11</v>
      </c>
      <c r="U3198" s="1077">
        <v>6.5</v>
      </c>
      <c r="V3198" s="1077" t="s">
        <v>648</v>
      </c>
      <c r="W3198" s="1077">
        <v>165</v>
      </c>
      <c r="X3198" s="1077">
        <v>90</v>
      </c>
      <c r="Y3198" s="1077">
        <v>2</v>
      </c>
      <c r="Z3198" s="1077">
        <v>3</v>
      </c>
      <c r="AA3198" s="1077" t="s">
        <v>15899</v>
      </c>
      <c r="AH3198" s="1077" t="s">
        <v>621</v>
      </c>
      <c r="AM3198" s="1078" t="s">
        <v>15877</v>
      </c>
      <c r="AN3198" s="1078" t="s">
        <v>15900</v>
      </c>
      <c r="AO3198" s="1078">
        <f t="shared" si="398"/>
        <v>500</v>
      </c>
      <c r="AP3198" s="1078">
        <f t="shared" si="399"/>
        <v>1.7</v>
      </c>
      <c r="AQ3198" s="1078" t="str">
        <f t="shared" si="400"/>
        <v>1-5-1S83°</v>
      </c>
      <c r="AR3198" s="1078" t="str">
        <f t="shared" si="401"/>
        <v>30</v>
      </c>
      <c r="AS3198" s="1078" t="str">
        <f t="shared" si="402"/>
        <v>180/180/OFF</v>
      </c>
      <c r="AT3198" s="1078" t="str">
        <f t="shared" si="403"/>
        <v>1-5-1S83°</v>
      </c>
      <c r="AV3198" s="1078" t="str">
        <f t="shared" si="396"/>
        <v>114.9.16</v>
      </c>
      <c r="AW3198" s="1344">
        <f t="shared" si="397"/>
        <v>45916</v>
      </c>
    </row>
    <row r="3199" spans="1:49">
      <c r="A3199" s="1077" t="s">
        <v>15901</v>
      </c>
      <c r="B3199" s="1077" t="s">
        <v>1891</v>
      </c>
      <c r="C3199" s="1077">
        <v>600</v>
      </c>
      <c r="D3199" s="1077">
        <v>1.7</v>
      </c>
      <c r="E3199" s="1077" t="s">
        <v>15089</v>
      </c>
      <c r="F3199" s="1077" t="s">
        <v>984</v>
      </c>
      <c r="G3199" s="1077" t="s">
        <v>940</v>
      </c>
      <c r="H3199" s="1077" t="s">
        <v>1301</v>
      </c>
      <c r="I3199" s="1077" t="s">
        <v>126</v>
      </c>
      <c r="J3199" s="1077">
        <v>0.7</v>
      </c>
      <c r="K3199" s="1077" t="s">
        <v>15902</v>
      </c>
      <c r="L3199" s="1077" t="s">
        <v>1811</v>
      </c>
      <c r="M3199" s="1077">
        <v>74.599999999999994</v>
      </c>
      <c r="N3199" s="1077" t="s">
        <v>945</v>
      </c>
      <c r="O3199" s="1077">
        <v>1.865</v>
      </c>
      <c r="P3199" s="1077">
        <v>1.492</v>
      </c>
      <c r="Q3199" s="1077">
        <v>3.5</v>
      </c>
      <c r="R3199" s="1077">
        <v>29</v>
      </c>
      <c r="T3199" s="1077">
        <v>12.5</v>
      </c>
      <c r="U3199" s="1077">
        <v>5.0999999999999996</v>
      </c>
      <c r="V3199" s="1077" t="s">
        <v>648</v>
      </c>
      <c r="W3199" s="1077">
        <v>95</v>
      </c>
      <c r="X3199" s="1077">
        <v>60</v>
      </c>
      <c r="Y3199" s="1077">
        <v>1.8</v>
      </c>
      <c r="Z3199" s="1077">
        <v>4.5</v>
      </c>
      <c r="AA3199" s="1077" t="s">
        <v>15903</v>
      </c>
      <c r="AB3199" s="1077" t="s">
        <v>15904</v>
      </c>
      <c r="AH3199" s="1077" t="s">
        <v>878</v>
      </c>
      <c r="AI3199" s="1077">
        <v>92.94</v>
      </c>
      <c r="AJ3199" s="1077">
        <v>-0.99</v>
      </c>
      <c r="AK3199" s="1077">
        <v>4.6100000000000003</v>
      </c>
      <c r="AM3199" s="1078" t="s">
        <v>15830</v>
      </c>
      <c r="AN3199" s="1078" t="s">
        <v>15905</v>
      </c>
      <c r="AO3199" s="1078">
        <f t="shared" si="398"/>
        <v>600</v>
      </c>
      <c r="AP3199" s="1078">
        <f t="shared" si="399"/>
        <v>1.7</v>
      </c>
      <c r="AQ3199" s="1078" t="str">
        <f t="shared" si="400"/>
        <v>1-4-1S83°</v>
      </c>
      <c r="AR3199" s="1078" t="str">
        <f t="shared" si="401"/>
        <v>30</v>
      </c>
      <c r="AS3199" s="1078" t="str">
        <f t="shared" si="402"/>
        <v>242/242/OFF</v>
      </c>
      <c r="AT3199" s="1078" t="str">
        <f t="shared" si="403"/>
        <v>1-4-1S83°</v>
      </c>
      <c r="AV3199" s="1078" t="str">
        <f t="shared" si="396"/>
        <v>114.8.29</v>
      </c>
      <c r="AW3199" s="1344">
        <f t="shared" si="397"/>
        <v>45898</v>
      </c>
    </row>
    <row r="3200" spans="1:49">
      <c r="A3200" s="1077" t="s">
        <v>15906</v>
      </c>
      <c r="B3200" s="1077" t="s">
        <v>453</v>
      </c>
      <c r="C3200" s="1077">
        <v>650</v>
      </c>
      <c r="D3200" s="1077">
        <v>1.73</v>
      </c>
      <c r="E3200" s="1077" t="s">
        <v>15896</v>
      </c>
      <c r="F3200" s="1077" t="s">
        <v>984</v>
      </c>
      <c r="G3200" s="1077" t="s">
        <v>1767</v>
      </c>
      <c r="H3200" s="1077" t="s">
        <v>1889</v>
      </c>
      <c r="I3200" s="1077" t="s">
        <v>126</v>
      </c>
      <c r="J3200" s="1077">
        <v>1.1000000000000001</v>
      </c>
      <c r="K3200" s="1077" t="s">
        <v>15907</v>
      </c>
      <c r="L3200" s="1077" t="s">
        <v>2465</v>
      </c>
      <c r="M3200" s="1077">
        <v>77</v>
      </c>
      <c r="N3200" s="1077" t="s">
        <v>945</v>
      </c>
      <c r="O3200" s="1077">
        <v>1.925</v>
      </c>
      <c r="P3200" s="1077">
        <v>1.54</v>
      </c>
      <c r="Q3200" s="1077">
        <v>4.2</v>
      </c>
      <c r="R3200" s="1077">
        <v>24</v>
      </c>
      <c r="T3200" s="1077">
        <v>9</v>
      </c>
      <c r="U3200" s="1077">
        <v>2.2000000000000002</v>
      </c>
      <c r="V3200" s="1077" t="s">
        <v>648</v>
      </c>
      <c r="W3200" s="1077">
        <v>110</v>
      </c>
      <c r="X3200" s="1077" t="s">
        <v>1130</v>
      </c>
      <c r="Y3200" s="1077">
        <v>2.1</v>
      </c>
      <c r="Z3200" s="1077">
        <v>2.5</v>
      </c>
      <c r="AA3200" s="1077" t="s">
        <v>15908</v>
      </c>
      <c r="AB3200" s="1077" t="s">
        <v>981</v>
      </c>
      <c r="AH3200" s="1077" t="s">
        <v>726</v>
      </c>
      <c r="AI3200" s="1077">
        <v>90.29</v>
      </c>
      <c r="AJ3200" s="1077">
        <v>-0.26</v>
      </c>
      <c r="AK3200" s="1077">
        <v>0.56999999999999995</v>
      </c>
      <c r="AM3200" s="1078" t="s">
        <v>15829</v>
      </c>
      <c r="AN3200" s="1078" t="s">
        <v>15909</v>
      </c>
      <c r="AO3200" s="1078">
        <f t="shared" si="398"/>
        <v>650</v>
      </c>
      <c r="AP3200" s="1078">
        <f t="shared" si="399"/>
        <v>1.73</v>
      </c>
      <c r="AQ3200" s="1078" t="str">
        <f t="shared" si="400"/>
        <v>1-4-1S83°S撚</v>
      </c>
      <c r="AR3200" s="1078" t="str">
        <f t="shared" si="401"/>
        <v>30</v>
      </c>
      <c r="AS3200" s="1078" t="str">
        <f t="shared" si="402"/>
        <v>265/265/165</v>
      </c>
      <c r="AT3200" s="1078" t="str">
        <f t="shared" si="403"/>
        <v>1-4-1S83°S撚</v>
      </c>
      <c r="AV3200" s="1078" t="str">
        <f t="shared" si="396"/>
        <v>114.8.28</v>
      </c>
      <c r="AW3200" s="1344">
        <f t="shared" si="397"/>
        <v>45897</v>
      </c>
    </row>
    <row r="3201" spans="1:49">
      <c r="A3201" s="1077" t="s">
        <v>15910</v>
      </c>
      <c r="B3201" s="1077" t="s">
        <v>1815</v>
      </c>
      <c r="C3201" s="1077">
        <v>650</v>
      </c>
      <c r="D3201" s="1077">
        <v>1.73</v>
      </c>
      <c r="E3201" s="1077" t="s">
        <v>15098</v>
      </c>
      <c r="F3201" s="1077" t="s">
        <v>954</v>
      </c>
      <c r="G3201" s="1077" t="s">
        <v>1767</v>
      </c>
      <c r="H3201" s="1077" t="s">
        <v>1793</v>
      </c>
      <c r="I3201" s="1077" t="s">
        <v>126</v>
      </c>
      <c r="J3201" s="1077">
        <v>0.9</v>
      </c>
      <c r="K3201" s="1077" t="s">
        <v>15911</v>
      </c>
      <c r="L3201" s="1077" t="s">
        <v>1817</v>
      </c>
      <c r="M3201" s="1077">
        <v>75.099999999999994</v>
      </c>
      <c r="N3201" s="1077" t="s">
        <v>945</v>
      </c>
      <c r="O3201" s="1077">
        <v>1.8774999999999999</v>
      </c>
      <c r="P3201" s="1077">
        <v>1.502</v>
      </c>
      <c r="Q3201" s="1077">
        <v>4</v>
      </c>
      <c r="R3201" s="1077">
        <v>19</v>
      </c>
      <c r="T3201" s="1077">
        <v>21</v>
      </c>
      <c r="U3201" s="1077">
        <v>3.5</v>
      </c>
      <c r="V3201" s="1077" t="s">
        <v>648</v>
      </c>
      <c r="W3201" s="1077">
        <v>110</v>
      </c>
      <c r="X3201" s="1077">
        <v>65</v>
      </c>
      <c r="Y3201" s="1077">
        <v>1.6</v>
      </c>
      <c r="Z3201" s="1077">
        <v>4</v>
      </c>
      <c r="AA3201" s="1077" t="s">
        <v>15903</v>
      </c>
      <c r="AB3201" s="1077" t="s">
        <v>981</v>
      </c>
      <c r="AH3201" s="1077" t="s">
        <v>994</v>
      </c>
      <c r="AI3201" s="1077">
        <v>94.71</v>
      </c>
      <c r="AJ3201" s="1077">
        <v>-0.36</v>
      </c>
      <c r="AK3201" s="1077">
        <v>1.24</v>
      </c>
      <c r="AM3201" s="1078" t="s">
        <v>15834</v>
      </c>
      <c r="AN3201" s="1078" t="s">
        <v>15912</v>
      </c>
      <c r="AO3201" s="1078">
        <f t="shared" si="398"/>
        <v>650</v>
      </c>
      <c r="AP3201" s="1078">
        <f t="shared" si="399"/>
        <v>1.73</v>
      </c>
      <c r="AQ3201" s="1078" t="str">
        <f t="shared" si="400"/>
        <v>1-4-1S91°</v>
      </c>
      <c r="AR3201" s="1078" t="str">
        <f t="shared" si="401"/>
        <v>31</v>
      </c>
      <c r="AS3201" s="1078" t="str">
        <f t="shared" si="402"/>
        <v>270/270/OFF</v>
      </c>
      <c r="AT3201" s="1078" t="str">
        <f t="shared" si="403"/>
        <v>1-4-1S91°</v>
      </c>
      <c r="AV3201" s="1078" t="str">
        <f t="shared" si="396"/>
        <v>114.8.29</v>
      </c>
      <c r="AW3201" s="1344">
        <f t="shared" si="397"/>
        <v>45898</v>
      </c>
    </row>
    <row r="3202" spans="1:49">
      <c r="A3202" s="1077" t="s">
        <v>15913</v>
      </c>
      <c r="B3202" s="1077" t="s">
        <v>472</v>
      </c>
      <c r="C3202" s="1077">
        <v>600</v>
      </c>
      <c r="D3202" s="1077">
        <v>1.7</v>
      </c>
      <c r="E3202" s="1077" t="s">
        <v>15089</v>
      </c>
      <c r="F3202" s="1077" t="s">
        <v>984</v>
      </c>
      <c r="G3202" s="1077" t="s">
        <v>1767</v>
      </c>
      <c r="H3202" s="1077" t="s">
        <v>1301</v>
      </c>
      <c r="I3202" s="1077" t="s">
        <v>126</v>
      </c>
      <c r="J3202" s="1077">
        <v>0.8</v>
      </c>
      <c r="K3202" s="1077" t="s">
        <v>15902</v>
      </c>
      <c r="L3202" s="1077" t="s">
        <v>1811</v>
      </c>
      <c r="M3202" s="1077">
        <v>74.599999999999994</v>
      </c>
      <c r="N3202" s="1077" t="s">
        <v>945</v>
      </c>
      <c r="O3202" s="1077">
        <v>1.865</v>
      </c>
      <c r="P3202" s="1077">
        <v>1.492</v>
      </c>
      <c r="Q3202" s="1077">
        <v>3.5</v>
      </c>
      <c r="R3202" s="1077">
        <v>28.5</v>
      </c>
      <c r="T3202" s="1077">
        <v>12.5</v>
      </c>
      <c r="U3202" s="1077">
        <v>5.0999999999999996</v>
      </c>
      <c r="V3202" s="1077" t="s">
        <v>648</v>
      </c>
      <c r="W3202" s="1077">
        <v>95</v>
      </c>
      <c r="X3202" s="1077">
        <v>60</v>
      </c>
      <c r="Y3202" s="1077">
        <v>1.8</v>
      </c>
      <c r="Z3202" s="1077">
        <v>4.5</v>
      </c>
      <c r="AA3202" s="1077" t="s">
        <v>15908</v>
      </c>
      <c r="AB3202" s="1077" t="s">
        <v>15914</v>
      </c>
      <c r="AH3202" s="1077" t="s">
        <v>456</v>
      </c>
      <c r="AI3202" s="1077">
        <v>93.05</v>
      </c>
      <c r="AJ3202" s="1077">
        <v>-0.9</v>
      </c>
      <c r="AK3202" s="1077">
        <v>4.6500000000000004</v>
      </c>
      <c r="AM3202" s="1078" t="s">
        <v>15831</v>
      </c>
      <c r="AN3202" s="1078" t="s">
        <v>15915</v>
      </c>
      <c r="AO3202" s="1078">
        <f t="shared" si="398"/>
        <v>600</v>
      </c>
      <c r="AP3202" s="1078">
        <f t="shared" si="399"/>
        <v>1.7</v>
      </c>
      <c r="AQ3202" s="1078" t="str">
        <f t="shared" si="400"/>
        <v>1-4-1S83°</v>
      </c>
      <c r="AR3202" s="1078" t="str">
        <f t="shared" si="401"/>
        <v>30</v>
      </c>
      <c r="AS3202" s="1078" t="str">
        <f t="shared" si="402"/>
        <v>242/242/OFF</v>
      </c>
      <c r="AT3202" s="1078" t="str">
        <f t="shared" si="403"/>
        <v>1-4-1S83°</v>
      </c>
      <c r="AV3202" s="1078" t="str">
        <f t="shared" ref="AV3202:AV3265" si="404">AA3202</f>
        <v>114.8.28</v>
      </c>
      <c r="AW3202" s="1344">
        <f t="shared" si="397"/>
        <v>45897</v>
      </c>
    </row>
    <row r="3203" spans="1:49">
      <c r="A3203" s="1077" t="s">
        <v>15916</v>
      </c>
      <c r="B3203" s="1077" t="s">
        <v>453</v>
      </c>
      <c r="C3203" s="1077">
        <v>700</v>
      </c>
      <c r="D3203" s="1077">
        <v>1.76</v>
      </c>
      <c r="E3203" s="1077" t="s">
        <v>15089</v>
      </c>
      <c r="F3203" s="1077" t="s">
        <v>1773</v>
      </c>
      <c r="G3203" s="1077" t="s">
        <v>1767</v>
      </c>
      <c r="H3203" s="1077" t="s">
        <v>1029</v>
      </c>
      <c r="I3203" s="1077" t="s">
        <v>126</v>
      </c>
      <c r="J3203" s="1077">
        <v>1</v>
      </c>
      <c r="K3203" s="1077" t="s">
        <v>15907</v>
      </c>
      <c r="L3203" s="1077" t="s">
        <v>2465</v>
      </c>
      <c r="M3203" s="1077">
        <v>74.8</v>
      </c>
      <c r="N3203" s="1077" t="s">
        <v>945</v>
      </c>
      <c r="O3203" s="1077">
        <v>1.87</v>
      </c>
      <c r="P3203" s="1077">
        <v>1.496</v>
      </c>
      <c r="Q3203" s="1077">
        <v>4</v>
      </c>
      <c r="R3203" s="1077">
        <v>23</v>
      </c>
      <c r="T3203" s="1077">
        <v>18.600000000000001</v>
      </c>
      <c r="U3203" s="1077">
        <v>3.5</v>
      </c>
      <c r="V3203" s="1077" t="s">
        <v>648</v>
      </c>
      <c r="W3203" s="1077">
        <v>105</v>
      </c>
      <c r="X3203" s="1077">
        <v>80</v>
      </c>
      <c r="Y3203" s="1077">
        <v>2</v>
      </c>
      <c r="Z3203" s="1077">
        <v>4.5</v>
      </c>
      <c r="AA3203" s="1077" t="s">
        <v>15917</v>
      </c>
      <c r="AH3203" s="1077" t="s">
        <v>3213</v>
      </c>
      <c r="AM3203" s="1078" t="s">
        <v>15847</v>
      </c>
      <c r="AN3203" s="1078" t="s">
        <v>15918</v>
      </c>
      <c r="AO3203" s="1078">
        <f t="shared" si="398"/>
        <v>700</v>
      </c>
      <c r="AP3203" s="1078">
        <f t="shared" si="399"/>
        <v>1.76</v>
      </c>
      <c r="AQ3203" s="1078" t="str">
        <f t="shared" si="400"/>
        <v>1-4-1S83°</v>
      </c>
      <c r="AR3203" s="1078" t="str">
        <f t="shared" si="401"/>
        <v>30.2</v>
      </c>
      <c r="AS3203" s="1078" t="str">
        <f t="shared" si="402"/>
        <v>250/250/OFF</v>
      </c>
      <c r="AT3203" s="1078" t="str">
        <f t="shared" si="403"/>
        <v>1-4-1S83°</v>
      </c>
      <c r="AV3203" s="1078" t="str">
        <f t="shared" si="404"/>
        <v>114.9.5</v>
      </c>
      <c r="AW3203" s="1344">
        <f t="shared" ref="AW3203:AW3266" si="405">DATE(VALUE(LEFT(AV3203,FIND(".",AV3203)-1))+1911,
       VALUE(MID(AV3203,FIND(".",AV3203)+1,FIND(".",AV3203,FIND(".",AV3203)+1)-FIND(".",AV3203)-1)),
       VALUE(RIGHT(AV3203,LEN(AV3203)-FIND("~",SUBSTITUTE(AV3203,".","~",2)))))</f>
        <v>45905</v>
      </c>
    </row>
    <row r="3204" spans="1:49">
      <c r="A3204" s="1077" t="s">
        <v>15919</v>
      </c>
      <c r="B3204" s="1077" t="s">
        <v>453</v>
      </c>
      <c r="C3204" s="1077">
        <v>750</v>
      </c>
      <c r="D3204" s="1077">
        <v>1.71</v>
      </c>
      <c r="E3204" s="1077" t="s">
        <v>15089</v>
      </c>
      <c r="F3204" s="1077" t="s">
        <v>1773</v>
      </c>
      <c r="G3204" s="1077" t="s">
        <v>1767</v>
      </c>
      <c r="H3204" s="1077" t="s">
        <v>2009</v>
      </c>
      <c r="I3204" s="1077" t="s">
        <v>126</v>
      </c>
      <c r="J3204" s="1077">
        <v>1</v>
      </c>
      <c r="K3204" s="1077" t="s">
        <v>15920</v>
      </c>
      <c r="L3204" s="1077" t="s">
        <v>1821</v>
      </c>
      <c r="M3204" s="1077">
        <v>74.8</v>
      </c>
      <c r="N3204" s="1077" t="s">
        <v>945</v>
      </c>
      <c r="O3204" s="1077">
        <v>1.87</v>
      </c>
      <c r="P3204" s="1077">
        <v>1.496</v>
      </c>
      <c r="Q3204" s="1077">
        <v>4</v>
      </c>
      <c r="R3204" s="1077">
        <v>23</v>
      </c>
      <c r="T3204" s="1077">
        <v>18.600000000000001</v>
      </c>
      <c r="U3204" s="1077">
        <v>3.5</v>
      </c>
      <c r="V3204" s="1077" t="s">
        <v>648</v>
      </c>
      <c r="W3204" s="1077">
        <v>105</v>
      </c>
      <c r="X3204" s="1077">
        <v>80</v>
      </c>
      <c r="Y3204" s="1077">
        <v>2</v>
      </c>
      <c r="Z3204" s="1077">
        <v>4.5</v>
      </c>
      <c r="AA3204" s="1077" t="s">
        <v>15921</v>
      </c>
      <c r="AH3204" s="1077" t="s">
        <v>803</v>
      </c>
      <c r="AM3204" s="1078" t="s">
        <v>15844</v>
      </c>
      <c r="AN3204" s="1078" t="s">
        <v>15922</v>
      </c>
      <c r="AO3204" s="1078">
        <f t="shared" si="398"/>
        <v>750</v>
      </c>
      <c r="AP3204" s="1078">
        <f t="shared" si="399"/>
        <v>1.71</v>
      </c>
      <c r="AQ3204" s="1078" t="str">
        <f t="shared" si="400"/>
        <v>1-4-1S83°</v>
      </c>
      <c r="AR3204" s="1078" t="str">
        <f t="shared" si="401"/>
        <v>30.2</v>
      </c>
      <c r="AS3204" s="1078" t="str">
        <f t="shared" si="402"/>
        <v>265/265/OFF</v>
      </c>
      <c r="AT3204" s="1078" t="str">
        <f t="shared" si="403"/>
        <v>1-4-1S83°</v>
      </c>
      <c r="AV3204" s="1078" t="str">
        <f t="shared" si="404"/>
        <v>114.9.4</v>
      </c>
      <c r="AW3204" s="1344">
        <f t="shared" si="405"/>
        <v>45904</v>
      </c>
    </row>
    <row r="3205" spans="1:49">
      <c r="A3205" s="1077" t="s">
        <v>15923</v>
      </c>
      <c r="B3205" s="1077" t="s">
        <v>15035</v>
      </c>
      <c r="C3205" s="1077">
        <v>550</v>
      </c>
      <c r="D3205" s="1077">
        <v>1.63</v>
      </c>
      <c r="E3205" s="1077" t="s">
        <v>15089</v>
      </c>
      <c r="F3205" s="1077" t="s">
        <v>1514</v>
      </c>
      <c r="G3205" s="1077" t="s">
        <v>1767</v>
      </c>
      <c r="H3205" s="1077" t="s">
        <v>1226</v>
      </c>
      <c r="I3205" s="1077" t="s">
        <v>126</v>
      </c>
      <c r="J3205" s="1077">
        <v>0.7</v>
      </c>
      <c r="K3205" s="1077" t="s">
        <v>15924</v>
      </c>
      <c r="L3205" s="1077" t="s">
        <v>6742</v>
      </c>
      <c r="M3205" s="1077">
        <v>77.599999999999994</v>
      </c>
      <c r="N3205" s="1077" t="s">
        <v>945</v>
      </c>
      <c r="O3205" s="1077">
        <v>1.94</v>
      </c>
      <c r="P3205" s="1077">
        <v>1.5519999999999998</v>
      </c>
      <c r="Q3205" s="1077">
        <v>4</v>
      </c>
      <c r="R3205" s="1077">
        <v>23</v>
      </c>
      <c r="T3205" s="1077">
        <v>21</v>
      </c>
      <c r="U3205" s="1077">
        <v>3.7</v>
      </c>
      <c r="V3205" s="1077" t="s">
        <v>648</v>
      </c>
      <c r="W3205" s="1077">
        <v>105</v>
      </c>
      <c r="X3205" s="1077">
        <v>65</v>
      </c>
      <c r="Y3205" s="1077">
        <v>1.6</v>
      </c>
      <c r="Z3205" s="1077">
        <v>4.5</v>
      </c>
      <c r="AA3205" s="1077" t="s">
        <v>15925</v>
      </c>
      <c r="AH3205" s="1077" t="s">
        <v>1452</v>
      </c>
      <c r="AM3205" s="1078" t="s">
        <v>15851</v>
      </c>
      <c r="AN3205" s="1078" t="s">
        <v>15926</v>
      </c>
      <c r="AO3205" s="1078">
        <f t="shared" si="398"/>
        <v>550</v>
      </c>
      <c r="AP3205" s="1078">
        <f t="shared" si="399"/>
        <v>1.63</v>
      </c>
      <c r="AQ3205" s="1078" t="str">
        <f t="shared" si="400"/>
        <v>1-4-1S83°</v>
      </c>
      <c r="AR3205" s="1078" t="str">
        <f t="shared" si="401"/>
        <v>32</v>
      </c>
      <c r="AS3205" s="1078" t="str">
        <f t="shared" si="402"/>
        <v>230/230/OFF</v>
      </c>
      <c r="AT3205" s="1078" t="str">
        <f t="shared" si="403"/>
        <v>1-4-1S83°</v>
      </c>
      <c r="AV3205" s="1078" t="str">
        <f t="shared" si="404"/>
        <v>114.9.8</v>
      </c>
      <c r="AW3205" s="1344">
        <f t="shared" si="405"/>
        <v>45908</v>
      </c>
    </row>
    <row r="3206" spans="1:49">
      <c r="A3206" s="1077" t="s">
        <v>15927</v>
      </c>
      <c r="B3206" s="1077" t="s">
        <v>453</v>
      </c>
      <c r="C3206" s="1077">
        <v>750</v>
      </c>
      <c r="D3206" s="1077">
        <v>1.71</v>
      </c>
      <c r="E3206" s="1077" t="s">
        <v>15089</v>
      </c>
      <c r="F3206" s="1077" t="s">
        <v>1773</v>
      </c>
      <c r="G3206" s="1077" t="s">
        <v>1767</v>
      </c>
      <c r="H3206" s="1077" t="s">
        <v>2009</v>
      </c>
      <c r="I3206" s="1077" t="s">
        <v>126</v>
      </c>
      <c r="J3206" s="1077">
        <v>1.1000000000000001</v>
      </c>
      <c r="K3206" s="1077" t="s">
        <v>15920</v>
      </c>
      <c r="L3206" s="1077" t="s">
        <v>1821</v>
      </c>
      <c r="M3206" s="1077">
        <v>74.8</v>
      </c>
      <c r="N3206" s="1077" t="s">
        <v>945</v>
      </c>
      <c r="O3206" s="1077">
        <v>1.87</v>
      </c>
      <c r="P3206" s="1077">
        <v>1.496</v>
      </c>
      <c r="Q3206" s="1077">
        <v>4</v>
      </c>
      <c r="R3206" s="1077">
        <v>23</v>
      </c>
      <c r="T3206" s="1077">
        <v>18.600000000000001</v>
      </c>
      <c r="U3206" s="1077">
        <v>3.5</v>
      </c>
      <c r="V3206" s="1077" t="s">
        <v>648</v>
      </c>
      <c r="W3206" s="1077">
        <v>105</v>
      </c>
      <c r="X3206" s="1077">
        <v>80</v>
      </c>
      <c r="Y3206" s="1077">
        <v>2</v>
      </c>
      <c r="Z3206" s="1077">
        <v>4.5</v>
      </c>
      <c r="AA3206" s="1077" t="s">
        <v>15928</v>
      </c>
      <c r="AH3206" s="1077" t="s">
        <v>1588</v>
      </c>
      <c r="AM3206" s="1078" t="s">
        <v>15853</v>
      </c>
      <c r="AN3206" s="1078" t="s">
        <v>15929</v>
      </c>
      <c r="AO3206" s="1078">
        <f t="shared" si="398"/>
        <v>750</v>
      </c>
      <c r="AP3206" s="1078">
        <f t="shared" si="399"/>
        <v>1.71</v>
      </c>
      <c r="AQ3206" s="1078" t="str">
        <f t="shared" si="400"/>
        <v>1-4-1S83°</v>
      </c>
      <c r="AR3206" s="1078" t="str">
        <f t="shared" si="401"/>
        <v>30.2</v>
      </c>
      <c r="AS3206" s="1078" t="str">
        <f t="shared" si="402"/>
        <v>265/265/OFF</v>
      </c>
      <c r="AT3206" s="1078" t="str">
        <f t="shared" si="403"/>
        <v>1-4-1S83°</v>
      </c>
      <c r="AV3206" s="1078" t="str">
        <f t="shared" si="404"/>
        <v>114.9.9</v>
      </c>
      <c r="AW3206" s="1344">
        <f t="shared" si="405"/>
        <v>45909</v>
      </c>
    </row>
    <row r="3207" spans="1:49">
      <c r="A3207" s="1077" t="s">
        <v>15930</v>
      </c>
      <c r="B3207" s="1077" t="s">
        <v>453</v>
      </c>
      <c r="C3207" s="1077">
        <v>700</v>
      </c>
      <c r="D3207" s="1077">
        <v>1.73</v>
      </c>
      <c r="E3207" s="1077" t="s">
        <v>15089</v>
      </c>
      <c r="F3207" s="1077" t="s">
        <v>984</v>
      </c>
      <c r="G3207" s="1077" t="s">
        <v>1767</v>
      </c>
      <c r="H3207" s="1077" t="s">
        <v>3248</v>
      </c>
      <c r="I3207" s="1077" t="s">
        <v>126</v>
      </c>
      <c r="J3207" s="1077">
        <v>1.2</v>
      </c>
      <c r="K3207" s="1077" t="s">
        <v>15907</v>
      </c>
      <c r="L3207" s="1077" t="s">
        <v>2465</v>
      </c>
      <c r="M3207" s="1077">
        <v>77</v>
      </c>
      <c r="N3207" s="1077" t="s">
        <v>945</v>
      </c>
      <c r="O3207" s="1077">
        <v>1.925</v>
      </c>
      <c r="P3207" s="1077">
        <v>1.54</v>
      </c>
      <c r="Q3207" s="1077">
        <v>4.2</v>
      </c>
      <c r="R3207" s="1077">
        <v>24</v>
      </c>
      <c r="T3207" s="1077">
        <v>9</v>
      </c>
      <c r="U3207" s="1077">
        <v>2.2000000000000002</v>
      </c>
      <c r="V3207" s="1077" t="s">
        <v>648</v>
      </c>
      <c r="W3207" s="1077">
        <v>110</v>
      </c>
      <c r="X3207" s="1077" t="s">
        <v>1130</v>
      </c>
      <c r="Y3207" s="1077">
        <v>2.1</v>
      </c>
      <c r="Z3207" s="1077">
        <v>2.5</v>
      </c>
      <c r="AA3207" s="1077" t="s">
        <v>15931</v>
      </c>
      <c r="AB3207" s="1077" t="s">
        <v>981</v>
      </c>
      <c r="AH3207" s="1077" t="s">
        <v>466</v>
      </c>
      <c r="AM3207" s="1078" t="s">
        <v>15875</v>
      </c>
      <c r="AN3207" s="1078" t="s">
        <v>15932</v>
      </c>
      <c r="AO3207" s="1078">
        <f t="shared" si="398"/>
        <v>700</v>
      </c>
      <c r="AP3207" s="1078">
        <f t="shared" si="399"/>
        <v>1.73</v>
      </c>
      <c r="AQ3207" s="1078" t="str">
        <f t="shared" si="400"/>
        <v>1-4-1S83°</v>
      </c>
      <c r="AR3207" s="1078" t="str">
        <f t="shared" si="401"/>
        <v>30</v>
      </c>
      <c r="AS3207" s="1078" t="str">
        <f t="shared" si="402"/>
        <v>270/270/165</v>
      </c>
      <c r="AT3207" s="1078" t="str">
        <f t="shared" si="403"/>
        <v>1-4-1S83°</v>
      </c>
      <c r="AV3207" s="1078" t="str">
        <f t="shared" si="404"/>
        <v>114.9.15</v>
      </c>
      <c r="AW3207" s="1344">
        <f t="shared" si="405"/>
        <v>45915</v>
      </c>
    </row>
    <row r="3208" spans="1:49">
      <c r="A3208" s="1077" t="s">
        <v>15933</v>
      </c>
      <c r="B3208" s="1077" t="s">
        <v>453</v>
      </c>
      <c r="C3208" s="1077">
        <v>750</v>
      </c>
      <c r="D3208" s="1077">
        <v>1.71</v>
      </c>
      <c r="E3208" s="1077" t="s">
        <v>15089</v>
      </c>
      <c r="F3208" s="1077" t="s">
        <v>1773</v>
      </c>
      <c r="G3208" s="1077" t="s">
        <v>1767</v>
      </c>
      <c r="H3208" s="1077" t="s">
        <v>2009</v>
      </c>
      <c r="I3208" s="1077" t="s">
        <v>126</v>
      </c>
      <c r="J3208" s="1077">
        <v>1.1000000000000001</v>
      </c>
      <c r="K3208" s="1077" t="s">
        <v>15920</v>
      </c>
      <c r="L3208" s="1077" t="s">
        <v>1821</v>
      </c>
      <c r="M3208" s="1077">
        <v>74.8</v>
      </c>
      <c r="N3208" s="1077" t="s">
        <v>945</v>
      </c>
      <c r="O3208" s="1077">
        <v>1.87</v>
      </c>
      <c r="P3208" s="1077">
        <v>1.496</v>
      </c>
      <c r="Q3208" s="1077">
        <v>4</v>
      </c>
      <c r="R3208" s="1077">
        <v>23</v>
      </c>
      <c r="T3208" s="1077">
        <v>18.600000000000001</v>
      </c>
      <c r="U3208" s="1077">
        <v>3.5</v>
      </c>
      <c r="V3208" s="1077" t="s">
        <v>648</v>
      </c>
      <c r="W3208" s="1077">
        <v>105</v>
      </c>
      <c r="X3208" s="1077">
        <v>80</v>
      </c>
      <c r="Y3208" s="1077">
        <v>2</v>
      </c>
      <c r="Z3208" s="1077">
        <v>4.5</v>
      </c>
      <c r="AA3208" s="1077" t="s">
        <v>15934</v>
      </c>
      <c r="AH3208" s="1077" t="s">
        <v>842</v>
      </c>
      <c r="AM3208" s="1078" t="s">
        <v>15882</v>
      </c>
      <c r="AN3208" s="1078" t="s">
        <v>15935</v>
      </c>
      <c r="AO3208" s="1078">
        <f t="shared" si="398"/>
        <v>750</v>
      </c>
      <c r="AP3208" s="1078">
        <f t="shared" si="399"/>
        <v>1.71</v>
      </c>
      <c r="AQ3208" s="1078" t="str">
        <f t="shared" si="400"/>
        <v>1-4-1S83°</v>
      </c>
      <c r="AR3208" s="1078" t="str">
        <f t="shared" si="401"/>
        <v>30.2</v>
      </c>
      <c r="AS3208" s="1078" t="str">
        <f t="shared" si="402"/>
        <v>265/265/OFF</v>
      </c>
      <c r="AT3208" s="1078" t="str">
        <f t="shared" si="403"/>
        <v>1-4-1S83°</v>
      </c>
      <c r="AV3208" s="1078" t="str">
        <f t="shared" si="404"/>
        <v>114.9.17</v>
      </c>
      <c r="AW3208" s="1344">
        <f t="shared" si="405"/>
        <v>45917</v>
      </c>
    </row>
    <row r="3209" spans="1:49">
      <c r="A3209" s="1077" t="s">
        <v>15936</v>
      </c>
      <c r="B3209" s="1077" t="s">
        <v>715</v>
      </c>
      <c r="C3209" s="1077">
        <v>650</v>
      </c>
      <c r="D3209" s="1077">
        <v>1.7</v>
      </c>
      <c r="E3209" s="1077" t="s">
        <v>15095</v>
      </c>
      <c r="F3209" s="1077" t="s">
        <v>1897</v>
      </c>
      <c r="G3209" s="1077" t="s">
        <v>940</v>
      </c>
      <c r="H3209" s="1077" t="s">
        <v>1226</v>
      </c>
      <c r="I3209" s="1077" t="s">
        <v>126</v>
      </c>
      <c r="J3209" s="1077">
        <v>1.1000000000000001</v>
      </c>
      <c r="K3209" s="1077" t="s">
        <v>15937</v>
      </c>
      <c r="L3209" s="1077" t="s">
        <v>4548</v>
      </c>
      <c r="M3209" s="1077">
        <v>101.5</v>
      </c>
      <c r="N3209" s="1077" t="s">
        <v>945</v>
      </c>
      <c r="O3209" s="1077">
        <v>2.5375000000000001</v>
      </c>
      <c r="P3209" s="1077">
        <v>2.0300000000000002</v>
      </c>
      <c r="Q3209" s="1077">
        <v>4</v>
      </c>
      <c r="R3209" s="1077">
        <v>23</v>
      </c>
      <c r="T3209" s="1077">
        <v>12</v>
      </c>
      <c r="U3209" s="1077">
        <v>4.5</v>
      </c>
      <c r="V3209" s="1077" t="s">
        <v>648</v>
      </c>
      <c r="W3209" s="1077">
        <v>125</v>
      </c>
      <c r="X3209" s="1077">
        <v>80</v>
      </c>
      <c r="Y3209" s="1077">
        <v>1.5</v>
      </c>
      <c r="Z3209" s="1077">
        <v>4</v>
      </c>
      <c r="AA3209" s="1077" t="s">
        <v>15934</v>
      </c>
      <c r="AH3209" s="1077" t="s">
        <v>1244</v>
      </c>
      <c r="AM3209" s="1078" t="s">
        <v>15885</v>
      </c>
      <c r="AN3209" s="1078" t="s">
        <v>15938</v>
      </c>
      <c r="AO3209" s="1078">
        <f t="shared" si="398"/>
        <v>650</v>
      </c>
      <c r="AP3209" s="1078">
        <f t="shared" si="399"/>
        <v>1.7</v>
      </c>
      <c r="AQ3209" s="1078" t="str">
        <f t="shared" si="400"/>
        <v>1-5-1S83°</v>
      </c>
      <c r="AR3209" s="1078" t="str">
        <f t="shared" si="401"/>
        <v>30.8</v>
      </c>
      <c r="AS3209" s="1078" t="str">
        <f t="shared" si="402"/>
        <v>230/230/OFF</v>
      </c>
      <c r="AT3209" s="1078" t="str">
        <f t="shared" si="403"/>
        <v>1-5-1S83°</v>
      </c>
      <c r="AV3209" s="1078" t="str">
        <f t="shared" si="404"/>
        <v>114.9.17</v>
      </c>
      <c r="AW3209" s="1344">
        <f t="shared" si="405"/>
        <v>45917</v>
      </c>
    </row>
    <row r="3210" spans="1:49">
      <c r="A3210" s="1077" t="s">
        <v>15939</v>
      </c>
      <c r="B3210" s="1077" t="s">
        <v>715</v>
      </c>
      <c r="C3210" s="1077">
        <v>650</v>
      </c>
      <c r="D3210" s="1077">
        <v>1.7050000000000001</v>
      </c>
      <c r="E3210" s="1077" t="s">
        <v>15095</v>
      </c>
      <c r="F3210" s="1077" t="s">
        <v>1897</v>
      </c>
      <c r="G3210" s="1077" t="s">
        <v>940</v>
      </c>
      <c r="H3210" s="1077" t="s">
        <v>1226</v>
      </c>
      <c r="I3210" s="1077" t="s">
        <v>126</v>
      </c>
      <c r="J3210" s="1077">
        <v>1.1000000000000001</v>
      </c>
      <c r="K3210" s="1077" t="s">
        <v>15937</v>
      </c>
      <c r="L3210" s="1077" t="s">
        <v>4548</v>
      </c>
      <c r="M3210" s="1077">
        <v>101.5</v>
      </c>
      <c r="N3210" s="1077" t="s">
        <v>945</v>
      </c>
      <c r="O3210" s="1077">
        <v>2.5375000000000001</v>
      </c>
      <c r="P3210" s="1077">
        <v>2.0300000000000002</v>
      </c>
      <c r="Q3210" s="1077">
        <v>4</v>
      </c>
      <c r="R3210" s="1077">
        <v>23</v>
      </c>
      <c r="T3210" s="1077">
        <v>12</v>
      </c>
      <c r="U3210" s="1077">
        <v>4.5</v>
      </c>
      <c r="V3210" s="1077" t="s">
        <v>648</v>
      </c>
      <c r="W3210" s="1077">
        <v>125</v>
      </c>
      <c r="X3210" s="1077">
        <v>80</v>
      </c>
      <c r="Y3210" s="1077">
        <v>1.5</v>
      </c>
      <c r="Z3210" s="1077">
        <v>4</v>
      </c>
      <c r="AA3210" s="1077" t="s">
        <v>15940</v>
      </c>
      <c r="AH3210" s="1077" t="s">
        <v>1170</v>
      </c>
      <c r="AM3210" s="1078" t="s">
        <v>15886</v>
      </c>
      <c r="AN3210" s="1078" t="s">
        <v>15941</v>
      </c>
      <c r="AO3210" s="1078">
        <f t="shared" si="398"/>
        <v>650</v>
      </c>
      <c r="AP3210" s="1078">
        <f t="shared" si="399"/>
        <v>1.7050000000000001</v>
      </c>
      <c r="AQ3210" s="1078" t="str">
        <f t="shared" si="400"/>
        <v>1-5-1S83°</v>
      </c>
      <c r="AR3210" s="1078" t="str">
        <f t="shared" si="401"/>
        <v>30.8</v>
      </c>
      <c r="AS3210" s="1078" t="str">
        <f t="shared" si="402"/>
        <v>230/230/OFF</v>
      </c>
      <c r="AT3210" s="1078" t="str">
        <f t="shared" si="403"/>
        <v>1-5-1S83°</v>
      </c>
      <c r="AV3210" s="1078" t="str">
        <f t="shared" si="404"/>
        <v>114.9.18</v>
      </c>
      <c r="AW3210" s="1344">
        <f t="shared" si="405"/>
        <v>45918</v>
      </c>
    </row>
    <row r="3211" spans="1:49">
      <c r="A3211" s="1077" t="s">
        <v>15942</v>
      </c>
      <c r="B3211" s="1077" t="s">
        <v>4767</v>
      </c>
      <c r="C3211" s="1077">
        <v>680</v>
      </c>
      <c r="D3211" s="1077">
        <v>1.7</v>
      </c>
      <c r="E3211" s="1077" t="s">
        <v>15121</v>
      </c>
      <c r="F3211" s="1077" t="s">
        <v>648</v>
      </c>
      <c r="G3211" s="1077">
        <v>5</v>
      </c>
      <c r="H3211" s="1077" t="s">
        <v>6375</v>
      </c>
      <c r="I3211" s="1077" t="s">
        <v>126</v>
      </c>
      <c r="J3211" s="1077">
        <v>1.5</v>
      </c>
      <c r="K3211" s="1077" t="s">
        <v>15943</v>
      </c>
      <c r="L3211" s="1077" t="s">
        <v>2465</v>
      </c>
      <c r="M3211" s="1077">
        <v>158</v>
      </c>
      <c r="N3211" s="1077" t="s">
        <v>945</v>
      </c>
      <c r="O3211" s="1077">
        <v>3.95</v>
      </c>
      <c r="P3211" s="1077">
        <v>3.16</v>
      </c>
      <c r="Q3211" s="1077">
        <v>4</v>
      </c>
      <c r="R3211" s="1077" t="s">
        <v>15944</v>
      </c>
      <c r="T3211" s="1077">
        <v>20.399999999999999</v>
      </c>
      <c r="U3211" s="1077">
        <v>3.8</v>
      </c>
      <c r="V3211" s="1077" t="s">
        <v>648</v>
      </c>
      <c r="W3211" s="1077">
        <v>110</v>
      </c>
      <c r="X3211" s="1077">
        <v>60</v>
      </c>
      <c r="Y3211" s="1077">
        <v>1.7</v>
      </c>
      <c r="Z3211" s="1077" t="s">
        <v>648</v>
      </c>
      <c r="AA3211" s="1077" t="s">
        <v>15945</v>
      </c>
      <c r="AH3211" s="1077" t="s">
        <v>614</v>
      </c>
      <c r="AI3211" s="1077">
        <v>92.1</v>
      </c>
      <c r="AJ3211" s="1077">
        <v>-0.12</v>
      </c>
      <c r="AK3211" s="1077">
        <v>0.61</v>
      </c>
      <c r="AM3211" s="1078" t="s">
        <v>15827</v>
      </c>
      <c r="AN3211" s="1078" t="s">
        <v>15946</v>
      </c>
      <c r="AO3211" s="1078">
        <f t="shared" ref="AO3211:AO3274" si="406">C3211</f>
        <v>680</v>
      </c>
      <c r="AP3211" s="1078">
        <f t="shared" ref="AP3211:AP3274" si="407">D3211</f>
        <v>1.7</v>
      </c>
      <c r="AQ3211" s="1078" t="str">
        <f t="shared" ref="AQ3211:AQ3274" si="408">E3211</f>
        <v>1-5-1S85°S+Z</v>
      </c>
      <c r="AR3211" s="1078" t="str">
        <f t="shared" ref="AR3211:AR3274" si="409">F3211</f>
        <v>NA</v>
      </c>
      <c r="AS3211" s="1078" t="str">
        <f t="shared" ref="AS3211:AS3274" si="410">H3211</f>
        <v>181/OFF</v>
      </c>
      <c r="AT3211" s="1078" t="str">
        <f t="shared" ref="AT3211:AT3274" si="411">E3211</f>
        <v>1-5-1S85°S+Z</v>
      </c>
      <c r="AV3211" s="1078" t="str">
        <f t="shared" si="404"/>
        <v>114.8.27</v>
      </c>
      <c r="AW3211" s="1344">
        <f t="shared" si="405"/>
        <v>45896</v>
      </c>
    </row>
    <row r="3212" spans="1:49">
      <c r="A3212" s="1077" t="s">
        <v>15947</v>
      </c>
      <c r="B3212" s="1077" t="s">
        <v>754</v>
      </c>
      <c r="C3212" s="1077">
        <v>650</v>
      </c>
      <c r="D3212" s="1077">
        <v>1.665</v>
      </c>
      <c r="E3212" s="1077" t="s">
        <v>15121</v>
      </c>
      <c r="F3212" s="1077" t="s">
        <v>648</v>
      </c>
      <c r="G3212" s="1077">
        <v>4</v>
      </c>
      <c r="H3212" s="1077" t="s">
        <v>1936</v>
      </c>
      <c r="I3212" s="1077" t="s">
        <v>126</v>
      </c>
      <c r="J3212" s="1077">
        <v>1.8</v>
      </c>
      <c r="K3212" s="1077" t="s">
        <v>15709</v>
      </c>
      <c r="L3212" s="1077" t="s">
        <v>15948</v>
      </c>
      <c r="M3212" s="1077">
        <v>155</v>
      </c>
      <c r="N3212" s="1077" t="s">
        <v>945</v>
      </c>
      <c r="O3212" s="1077">
        <v>3.875</v>
      </c>
      <c r="P3212" s="1077">
        <v>3.1</v>
      </c>
      <c r="Q3212" s="1077">
        <v>4</v>
      </c>
      <c r="R3212" s="1077">
        <v>25</v>
      </c>
      <c r="T3212" s="1077">
        <v>18</v>
      </c>
      <c r="U3212" s="1077">
        <v>3.8</v>
      </c>
      <c r="V3212" s="1077" t="s">
        <v>648</v>
      </c>
      <c r="W3212" s="1077">
        <v>135</v>
      </c>
      <c r="X3212" s="1077">
        <v>80</v>
      </c>
      <c r="Y3212" s="1077">
        <v>1.2</v>
      </c>
      <c r="Z3212" s="1077" t="s">
        <v>648</v>
      </c>
      <c r="AA3212" s="1077" t="s">
        <v>15917</v>
      </c>
      <c r="AB3212" s="1077" t="s">
        <v>15710</v>
      </c>
      <c r="AH3212" s="1077" t="s">
        <v>1053</v>
      </c>
      <c r="AM3212" s="1078" t="s">
        <v>15846</v>
      </c>
      <c r="AN3212" s="1078" t="s">
        <v>15949</v>
      </c>
      <c r="AO3212" s="1078">
        <f t="shared" si="406"/>
        <v>650</v>
      </c>
      <c r="AP3212" s="1078">
        <f t="shared" si="407"/>
        <v>1.665</v>
      </c>
      <c r="AQ3212" s="1078" t="str">
        <f t="shared" si="408"/>
        <v>1-5-1S85°S+Z</v>
      </c>
      <c r="AR3212" s="1078" t="str">
        <f t="shared" si="409"/>
        <v>NA</v>
      </c>
      <c r="AS3212" s="1078" t="str">
        <f t="shared" si="410"/>
        <v>175/OFF</v>
      </c>
      <c r="AT3212" s="1078" t="str">
        <f t="shared" si="411"/>
        <v>1-5-1S85°S+Z</v>
      </c>
      <c r="AV3212" s="1078" t="str">
        <f t="shared" si="404"/>
        <v>114.9.5</v>
      </c>
      <c r="AW3212" s="1344">
        <f t="shared" si="405"/>
        <v>45905</v>
      </c>
    </row>
    <row r="3213" spans="1:49">
      <c r="A3213" s="1077" t="s">
        <v>15950</v>
      </c>
      <c r="B3213" s="1077" t="s">
        <v>844</v>
      </c>
      <c r="C3213" s="1077">
        <v>600</v>
      </c>
      <c r="D3213" s="1077">
        <v>1.79</v>
      </c>
      <c r="E3213" s="1077" t="s">
        <v>15094</v>
      </c>
      <c r="F3213" s="1077" t="s">
        <v>954</v>
      </c>
      <c r="G3213" s="1077">
        <v>5</v>
      </c>
      <c r="H3213" s="1077" t="s">
        <v>5126</v>
      </c>
      <c r="I3213" s="1077" t="s">
        <v>460</v>
      </c>
      <c r="J3213" s="1077">
        <v>4</v>
      </c>
      <c r="K3213" s="1077" t="s">
        <v>15951</v>
      </c>
      <c r="L3213" s="1077" t="s">
        <v>6238</v>
      </c>
      <c r="M3213" s="1077">
        <v>151.69999999999999</v>
      </c>
      <c r="N3213" s="1077" t="s">
        <v>945</v>
      </c>
      <c r="O3213" s="1077">
        <v>3.7925</v>
      </c>
      <c r="P3213" s="1077">
        <v>3.0339999999999998</v>
      </c>
      <c r="Q3213" s="1077">
        <v>3</v>
      </c>
      <c r="R3213" s="1077">
        <v>19.7</v>
      </c>
      <c r="T3213" s="1077">
        <v>11.5</v>
      </c>
      <c r="U3213" s="1077">
        <v>5.3</v>
      </c>
      <c r="V3213" s="1077" t="s">
        <v>648</v>
      </c>
      <c r="W3213" s="1077">
        <v>105</v>
      </c>
      <c r="X3213" s="1077">
        <v>95</v>
      </c>
      <c r="Y3213" s="1077">
        <v>1.5</v>
      </c>
      <c r="Z3213" s="1077">
        <v>5</v>
      </c>
      <c r="AA3213" s="1077" t="s">
        <v>15648</v>
      </c>
      <c r="AB3213" s="1077" t="s">
        <v>15952</v>
      </c>
      <c r="AH3213" s="1077" t="s">
        <v>990</v>
      </c>
      <c r="AM3213" s="1078" t="s">
        <v>15849</v>
      </c>
      <c r="AN3213" s="1078" t="s">
        <v>15953</v>
      </c>
      <c r="AO3213" s="1078">
        <f t="shared" si="406"/>
        <v>600</v>
      </c>
      <c r="AP3213" s="1078">
        <f t="shared" si="407"/>
        <v>1.79</v>
      </c>
      <c r="AQ3213" s="1078" t="str">
        <f t="shared" si="408"/>
        <v>1-5-1S91°</v>
      </c>
      <c r="AR3213" s="1078" t="str">
        <f t="shared" si="409"/>
        <v>31</v>
      </c>
      <c r="AS3213" s="1078" t="str">
        <f t="shared" si="410"/>
        <v>300/300/140</v>
      </c>
      <c r="AT3213" s="1078" t="str">
        <f t="shared" si="411"/>
        <v>1-5-1S91°</v>
      </c>
      <c r="AV3213" s="1078" t="str">
        <f t="shared" si="404"/>
        <v>114.7.11</v>
      </c>
      <c r="AW3213" s="1344">
        <f t="shared" si="405"/>
        <v>45849</v>
      </c>
    </row>
    <row r="3214" spans="1:49">
      <c r="A3214" s="1077" t="s">
        <v>15954</v>
      </c>
      <c r="B3214" s="1077" t="s">
        <v>754</v>
      </c>
      <c r="C3214" s="1077">
        <v>700</v>
      </c>
      <c r="D3214" s="1077">
        <v>1.655</v>
      </c>
      <c r="E3214" s="1077" t="s">
        <v>15121</v>
      </c>
      <c r="F3214" s="1077" t="s">
        <v>648</v>
      </c>
      <c r="G3214" s="1077">
        <v>4</v>
      </c>
      <c r="H3214" s="1077" t="s">
        <v>4776</v>
      </c>
      <c r="I3214" s="1077" t="s">
        <v>126</v>
      </c>
      <c r="J3214" s="1077">
        <v>1.9</v>
      </c>
      <c r="K3214" s="1077" t="s">
        <v>15955</v>
      </c>
      <c r="L3214" s="1077" t="s">
        <v>15948</v>
      </c>
      <c r="M3214" s="1077">
        <v>155</v>
      </c>
      <c r="N3214" s="1077" t="s">
        <v>945</v>
      </c>
      <c r="O3214" s="1077">
        <v>3.875</v>
      </c>
      <c r="P3214" s="1077">
        <v>3.1</v>
      </c>
      <c r="Q3214" s="1077">
        <v>4</v>
      </c>
      <c r="R3214" s="1077">
        <v>25</v>
      </c>
      <c r="T3214" s="1077">
        <v>18</v>
      </c>
      <c r="U3214" s="1077">
        <v>3.8</v>
      </c>
      <c r="V3214" s="1077" t="s">
        <v>648</v>
      </c>
      <c r="W3214" s="1077">
        <v>135</v>
      </c>
      <c r="X3214" s="1077">
        <v>80</v>
      </c>
      <c r="Y3214" s="1077">
        <v>1.2</v>
      </c>
      <c r="Z3214" s="1077" t="s">
        <v>648</v>
      </c>
      <c r="AA3214" s="1077" t="s">
        <v>15956</v>
      </c>
      <c r="AB3214" s="1077" t="s">
        <v>15710</v>
      </c>
      <c r="AH3214" s="1077" t="s">
        <v>681</v>
      </c>
      <c r="AM3214" s="1078" t="s">
        <v>15854</v>
      </c>
      <c r="AN3214" s="1078" t="s">
        <v>15957</v>
      </c>
      <c r="AO3214" s="1078">
        <f t="shared" si="406"/>
        <v>700</v>
      </c>
      <c r="AP3214" s="1078">
        <f t="shared" si="407"/>
        <v>1.655</v>
      </c>
      <c r="AQ3214" s="1078" t="str">
        <f t="shared" si="408"/>
        <v>1-5-1S85°S+Z</v>
      </c>
      <c r="AR3214" s="1078" t="str">
        <f t="shared" si="409"/>
        <v>NA</v>
      </c>
      <c r="AS3214" s="1078" t="str">
        <f t="shared" si="410"/>
        <v>178/OFF</v>
      </c>
      <c r="AT3214" s="1078" t="str">
        <f t="shared" si="411"/>
        <v>1-5-1S85°S+Z</v>
      </c>
      <c r="AV3214" s="1078" t="str">
        <f t="shared" si="404"/>
        <v>114.9.10</v>
      </c>
      <c r="AW3214" s="1344">
        <f t="shared" si="405"/>
        <v>45910</v>
      </c>
    </row>
    <row r="3215" spans="1:49">
      <c r="A3215" s="1077" t="s">
        <v>15958</v>
      </c>
      <c r="B3215" s="1077" t="s">
        <v>7055</v>
      </c>
      <c r="C3215" s="1077">
        <v>600</v>
      </c>
      <c r="D3215" s="1077">
        <v>1.77</v>
      </c>
      <c r="E3215" s="1077" t="s">
        <v>15121</v>
      </c>
      <c r="F3215" s="1077" t="s">
        <v>984</v>
      </c>
      <c r="G3215" s="1077">
        <v>5.5</v>
      </c>
      <c r="H3215" s="1077" t="s">
        <v>2039</v>
      </c>
      <c r="I3215" s="1077" t="s">
        <v>7001</v>
      </c>
      <c r="J3215" s="1077">
        <v>3</v>
      </c>
      <c r="K3215" s="1077" t="s">
        <v>15959</v>
      </c>
      <c r="L3215" s="1077" t="s">
        <v>4946</v>
      </c>
      <c r="M3215" s="1077">
        <v>296</v>
      </c>
      <c r="N3215" s="1077" t="s">
        <v>945</v>
      </c>
      <c r="O3215" s="1077">
        <v>7.4</v>
      </c>
      <c r="P3215" s="1077">
        <v>5.92</v>
      </c>
      <c r="Q3215" s="1077">
        <v>3</v>
      </c>
      <c r="R3215" s="1077">
        <v>27</v>
      </c>
      <c r="T3215" s="1077">
        <v>17.5</v>
      </c>
      <c r="U3215" s="1077">
        <v>6</v>
      </c>
      <c r="V3215" s="1077" t="s">
        <v>648</v>
      </c>
      <c r="W3215" s="1077">
        <v>90</v>
      </c>
      <c r="X3215" s="1077">
        <v>10</v>
      </c>
      <c r="Y3215" s="1077">
        <v>1.2</v>
      </c>
      <c r="Z3215" s="1077" t="s">
        <v>648</v>
      </c>
      <c r="AA3215" s="1077" t="s">
        <v>15899</v>
      </c>
      <c r="AH3215" s="1077" t="s">
        <v>783</v>
      </c>
      <c r="AM3215" s="1078" t="s">
        <v>15880</v>
      </c>
      <c r="AN3215" s="1078" t="s">
        <v>15960</v>
      </c>
      <c r="AO3215" s="1078">
        <f t="shared" si="406"/>
        <v>600</v>
      </c>
      <c r="AP3215" s="1078">
        <f t="shared" si="407"/>
        <v>1.77</v>
      </c>
      <c r="AQ3215" s="1078" t="str">
        <f t="shared" si="408"/>
        <v>1-5-1S85°S+Z</v>
      </c>
      <c r="AR3215" s="1078" t="str">
        <f t="shared" si="409"/>
        <v>30</v>
      </c>
      <c r="AS3215" s="1078" t="str">
        <f t="shared" si="410"/>
        <v>162/OFF</v>
      </c>
      <c r="AT3215" s="1078" t="str">
        <f t="shared" si="411"/>
        <v>1-5-1S85°S+Z</v>
      </c>
      <c r="AV3215" s="1078" t="str">
        <f t="shared" si="404"/>
        <v>114.9.16</v>
      </c>
      <c r="AW3215" s="1344">
        <f t="shared" si="405"/>
        <v>45916</v>
      </c>
    </row>
    <row r="3216" spans="1:49">
      <c r="A3216" s="1077" t="s">
        <v>15961</v>
      </c>
      <c r="B3216" s="1077" t="s">
        <v>467</v>
      </c>
      <c r="C3216" s="1077">
        <v>600</v>
      </c>
      <c r="D3216" s="1077">
        <v>1.77</v>
      </c>
      <c r="E3216" s="1077">
        <v>102.5</v>
      </c>
      <c r="F3216" s="1077" t="s">
        <v>4070</v>
      </c>
      <c r="G3216" s="1077">
        <v>5.5</v>
      </c>
      <c r="H3216" s="1077" t="s">
        <v>7676</v>
      </c>
      <c r="I3216" s="1077" t="s">
        <v>7995</v>
      </c>
      <c r="J3216" s="1077">
        <v>3.7</v>
      </c>
      <c r="K3216" s="1077" t="s">
        <v>15962</v>
      </c>
      <c r="L3216" s="1077" t="s">
        <v>4666</v>
      </c>
      <c r="M3216" s="1077">
        <v>295.10000000000002</v>
      </c>
      <c r="N3216" s="1077" t="s">
        <v>945</v>
      </c>
      <c r="O3216" s="1077">
        <v>7.3775000000000013</v>
      </c>
      <c r="P3216" s="1077">
        <v>5.9020000000000001</v>
      </c>
      <c r="Q3216" s="1077">
        <v>4</v>
      </c>
      <c r="R3216" s="1077">
        <v>20</v>
      </c>
      <c r="T3216" s="1077">
        <v>31</v>
      </c>
      <c r="U3216" s="1077">
        <v>3.5</v>
      </c>
      <c r="V3216" s="1077" t="s">
        <v>648</v>
      </c>
      <c r="W3216" s="1077">
        <v>100</v>
      </c>
      <c r="X3216" s="1077">
        <v>40</v>
      </c>
      <c r="Y3216" s="1077">
        <v>1</v>
      </c>
      <c r="Z3216" s="1077" t="s">
        <v>648</v>
      </c>
      <c r="AA3216" s="1077" t="s">
        <v>15963</v>
      </c>
      <c r="AH3216" s="1077" t="s">
        <v>887</v>
      </c>
      <c r="AM3216" s="1078" t="s">
        <v>15858</v>
      </c>
      <c r="AN3216" s="1078" t="s">
        <v>15964</v>
      </c>
      <c r="AO3216" s="1078">
        <f t="shared" si="406"/>
        <v>600</v>
      </c>
      <c r="AP3216" s="1078">
        <f t="shared" si="407"/>
        <v>1.77</v>
      </c>
      <c r="AQ3216" s="1078">
        <f t="shared" si="408"/>
        <v>102.5</v>
      </c>
      <c r="AR3216" s="1078" t="str">
        <f t="shared" si="409"/>
        <v>15.5</v>
      </c>
      <c r="AS3216" s="1078" t="str">
        <f t="shared" si="410"/>
        <v>500/460/OFF</v>
      </c>
      <c r="AT3216" s="1078">
        <f t="shared" si="411"/>
        <v>102.5</v>
      </c>
      <c r="AV3216" s="1078" t="str">
        <f t="shared" si="404"/>
        <v>114.9.12</v>
      </c>
      <c r="AW3216" s="1344">
        <f t="shared" si="405"/>
        <v>45912</v>
      </c>
    </row>
    <row r="3217" spans="1:49">
      <c r="A3217" s="1077" t="s">
        <v>15965</v>
      </c>
      <c r="B3217" s="1077" t="s">
        <v>467</v>
      </c>
      <c r="C3217" s="1077">
        <v>600</v>
      </c>
      <c r="D3217" s="1077">
        <v>1.77</v>
      </c>
      <c r="E3217" s="1077">
        <v>102.5</v>
      </c>
      <c r="F3217" s="1077" t="s">
        <v>4070</v>
      </c>
      <c r="G3217" s="1077">
        <v>5.5</v>
      </c>
      <c r="H3217" s="1077" t="s">
        <v>7123</v>
      </c>
      <c r="I3217" s="1077" t="s">
        <v>15414</v>
      </c>
      <c r="J3217" s="1077">
        <v>3.7</v>
      </c>
      <c r="K3217" s="1077" t="s">
        <v>15966</v>
      </c>
      <c r="L3217" s="1077" t="s">
        <v>4666</v>
      </c>
      <c r="M3217" s="1077">
        <v>295.10000000000002</v>
      </c>
      <c r="N3217" s="1077" t="s">
        <v>945</v>
      </c>
      <c r="O3217" s="1077">
        <v>7.3775000000000013</v>
      </c>
      <c r="P3217" s="1077">
        <v>5.9020000000000001</v>
      </c>
      <c r="Q3217" s="1077">
        <v>4</v>
      </c>
      <c r="R3217" s="1077">
        <v>20</v>
      </c>
      <c r="T3217" s="1077">
        <v>31</v>
      </c>
      <c r="U3217" s="1077">
        <v>3.5</v>
      </c>
      <c r="V3217" s="1077" t="s">
        <v>648</v>
      </c>
      <c r="W3217" s="1077">
        <v>100</v>
      </c>
      <c r="X3217" s="1077">
        <v>40</v>
      </c>
      <c r="Y3217" s="1077">
        <v>1</v>
      </c>
      <c r="Z3217" s="1077" t="s">
        <v>648</v>
      </c>
      <c r="AA3217" s="1077" t="s">
        <v>15934</v>
      </c>
      <c r="AH3217" s="1077" t="s">
        <v>870</v>
      </c>
      <c r="AM3217" s="1078" t="s">
        <v>15883</v>
      </c>
      <c r="AN3217" s="1078" t="s">
        <v>15967</v>
      </c>
      <c r="AO3217" s="1078">
        <f t="shared" si="406"/>
        <v>600</v>
      </c>
      <c r="AP3217" s="1078">
        <f t="shared" si="407"/>
        <v>1.77</v>
      </c>
      <c r="AQ3217" s="1078">
        <f t="shared" si="408"/>
        <v>102.5</v>
      </c>
      <c r="AR3217" s="1078" t="str">
        <f t="shared" si="409"/>
        <v>15.5</v>
      </c>
      <c r="AS3217" s="1078" t="str">
        <f t="shared" si="410"/>
        <v>495/455/OFF</v>
      </c>
      <c r="AT3217" s="1078">
        <f t="shared" si="411"/>
        <v>102.5</v>
      </c>
      <c r="AV3217" s="1078" t="str">
        <f t="shared" si="404"/>
        <v>114.9.17</v>
      </c>
      <c r="AW3217" s="1344">
        <f t="shared" si="405"/>
        <v>45917</v>
      </c>
    </row>
    <row r="3218" spans="1:49">
      <c r="A3218" s="1077" t="s">
        <v>15968</v>
      </c>
      <c r="B3218" s="1077" t="s">
        <v>467</v>
      </c>
      <c r="C3218" s="1077">
        <v>650</v>
      </c>
      <c r="D3218" s="1077">
        <v>1.81</v>
      </c>
      <c r="E3218" s="1077" t="s">
        <v>15122</v>
      </c>
      <c r="F3218" s="1077" t="s">
        <v>648</v>
      </c>
      <c r="G3218" s="1077">
        <v>5</v>
      </c>
      <c r="H3218" s="1077" t="s">
        <v>15969</v>
      </c>
      <c r="I3218" s="1077" t="s">
        <v>15970</v>
      </c>
      <c r="J3218" s="1077">
        <v>3.7</v>
      </c>
      <c r="K3218" s="1077" t="s">
        <v>15971</v>
      </c>
      <c r="L3218" s="1077" t="s">
        <v>6291</v>
      </c>
      <c r="M3218" s="1077">
        <v>295.10000000000002</v>
      </c>
      <c r="N3218" s="1077" t="s">
        <v>945</v>
      </c>
      <c r="O3218" s="1077">
        <v>7.3775000000000013</v>
      </c>
      <c r="P3218" s="1077">
        <v>5.9020000000000001</v>
      </c>
      <c r="Q3218" s="1077">
        <v>4</v>
      </c>
      <c r="R3218" s="1077">
        <v>17.399999999999999</v>
      </c>
      <c r="T3218" s="1077">
        <v>31</v>
      </c>
      <c r="U3218" s="1077">
        <v>3.5</v>
      </c>
      <c r="V3218" s="1077" t="s">
        <v>648</v>
      </c>
      <c r="W3218" s="1077" t="s">
        <v>6880</v>
      </c>
      <c r="X3218" s="1077">
        <v>40</v>
      </c>
      <c r="Y3218" s="1077">
        <v>1</v>
      </c>
      <c r="Z3218" s="1077" t="s">
        <v>648</v>
      </c>
      <c r="AA3218" s="1077" t="s">
        <v>15940</v>
      </c>
      <c r="AH3218" s="1077" t="s">
        <v>722</v>
      </c>
      <c r="AM3218" s="1078" t="s">
        <v>15887</v>
      </c>
      <c r="AN3218" s="1078" t="s">
        <v>15972</v>
      </c>
      <c r="AO3218" s="1078">
        <f t="shared" si="406"/>
        <v>650</v>
      </c>
      <c r="AP3218" s="1078">
        <f t="shared" si="407"/>
        <v>1.81</v>
      </c>
      <c r="AQ3218" s="1078" t="str">
        <f t="shared" si="408"/>
        <v>1-5-1S91°Z+S</v>
      </c>
      <c r="AR3218" s="1078" t="str">
        <f t="shared" si="409"/>
        <v>NA</v>
      </c>
      <c r="AS3218" s="1078" t="str">
        <f t="shared" si="410"/>
        <v>355/325OFF</v>
      </c>
      <c r="AT3218" s="1078" t="str">
        <f t="shared" si="411"/>
        <v>1-5-1S91°Z+S</v>
      </c>
      <c r="AV3218" s="1078" t="str">
        <f t="shared" si="404"/>
        <v>114.9.18</v>
      </c>
      <c r="AW3218" s="1344">
        <f t="shared" si="405"/>
        <v>45918</v>
      </c>
    </row>
    <row r="3219" spans="1:49">
      <c r="A3219" s="1077" t="s">
        <v>15973</v>
      </c>
      <c r="B3219" s="1077" t="s">
        <v>8394</v>
      </c>
      <c r="C3219" s="1077">
        <v>600</v>
      </c>
      <c r="D3219" s="1077">
        <v>1.76</v>
      </c>
      <c r="E3219" s="1077" t="s">
        <v>15089</v>
      </c>
      <c r="F3219" s="1077" t="s">
        <v>1514</v>
      </c>
      <c r="G3219" s="1077">
        <v>2</v>
      </c>
      <c r="H3219" s="1077" t="s">
        <v>1274</v>
      </c>
      <c r="I3219" s="1077" t="s">
        <v>942</v>
      </c>
      <c r="J3219" s="1077">
        <v>2.5</v>
      </c>
      <c r="K3219" s="1077" t="s">
        <v>15974</v>
      </c>
      <c r="L3219" s="1077" t="s">
        <v>8396</v>
      </c>
      <c r="M3219" s="1077">
        <v>30.8</v>
      </c>
      <c r="N3219" s="1077" t="s">
        <v>945</v>
      </c>
      <c r="O3219" s="1077">
        <v>0.77</v>
      </c>
      <c r="P3219" s="1077">
        <v>0.61599999999999999</v>
      </c>
      <c r="Q3219" s="1077">
        <v>3.5</v>
      </c>
      <c r="R3219" s="1077">
        <v>26</v>
      </c>
      <c r="T3219" s="1077">
        <v>39</v>
      </c>
      <c r="U3219" s="1077">
        <v>4</v>
      </c>
      <c r="V3219" s="1077" t="s">
        <v>648</v>
      </c>
      <c r="W3219" s="1077">
        <v>140</v>
      </c>
      <c r="X3219" s="1077">
        <v>80</v>
      </c>
      <c r="Y3219" s="1077">
        <v>2.5</v>
      </c>
      <c r="Z3219" s="1077">
        <v>4</v>
      </c>
      <c r="AA3219" s="1077" t="s">
        <v>15908</v>
      </c>
      <c r="AH3219" s="1077" t="s">
        <v>1482</v>
      </c>
      <c r="AI3219" s="1077">
        <v>88.11</v>
      </c>
      <c r="AJ3219" s="1077">
        <v>-0.18</v>
      </c>
      <c r="AK3219" s="1077">
        <v>0.33</v>
      </c>
      <c r="AM3219" s="1078" t="s">
        <v>15833</v>
      </c>
      <c r="AN3219" s="1078" t="s">
        <v>15975</v>
      </c>
      <c r="AO3219" s="1078">
        <f t="shared" si="406"/>
        <v>600</v>
      </c>
      <c r="AP3219" s="1078">
        <f t="shared" si="407"/>
        <v>1.76</v>
      </c>
      <c r="AQ3219" s="1078" t="str">
        <f t="shared" si="408"/>
        <v>1-4-1S83°</v>
      </c>
      <c r="AR3219" s="1078" t="str">
        <f t="shared" si="409"/>
        <v>32</v>
      </c>
      <c r="AS3219" s="1078" t="str">
        <f t="shared" si="410"/>
        <v>210/210/OFF</v>
      </c>
      <c r="AT3219" s="1078" t="str">
        <f t="shared" si="411"/>
        <v>1-4-1S83°</v>
      </c>
      <c r="AV3219" s="1078" t="str">
        <f t="shared" si="404"/>
        <v>114.8.28</v>
      </c>
      <c r="AW3219" s="1344">
        <f t="shared" si="405"/>
        <v>45897</v>
      </c>
    </row>
    <row r="3220" spans="1:49">
      <c r="A3220" s="1077" t="s">
        <v>15976</v>
      </c>
      <c r="B3220" s="1077" t="s">
        <v>654</v>
      </c>
      <c r="C3220" s="1077">
        <v>550</v>
      </c>
      <c r="D3220" s="1077">
        <v>1.68</v>
      </c>
      <c r="E3220" s="1077" t="s">
        <v>15575</v>
      </c>
      <c r="F3220" s="1077" t="s">
        <v>648</v>
      </c>
      <c r="G3220" s="1077">
        <v>5.5</v>
      </c>
      <c r="H3220" s="1077" t="s">
        <v>5094</v>
      </c>
      <c r="I3220" s="1077" t="s">
        <v>643</v>
      </c>
      <c r="J3220" s="1077">
        <v>3.2</v>
      </c>
      <c r="K3220" s="1077" t="s">
        <v>15750</v>
      </c>
      <c r="L3220" s="1077" t="s">
        <v>8960</v>
      </c>
      <c r="M3220" s="1077">
        <v>427.4</v>
      </c>
      <c r="N3220" s="1077" t="s">
        <v>945</v>
      </c>
      <c r="O3220" s="1077">
        <v>10.685</v>
      </c>
      <c r="P3220" s="1077">
        <v>8.548</v>
      </c>
      <c r="Q3220" s="1077">
        <v>3.5</v>
      </c>
      <c r="R3220" s="1077">
        <v>24</v>
      </c>
      <c r="T3220" s="1077">
        <v>14.9</v>
      </c>
      <c r="U3220" s="1077">
        <v>4.2</v>
      </c>
      <c r="V3220" s="1077" t="s">
        <v>648</v>
      </c>
      <c r="W3220" s="1077">
        <v>120</v>
      </c>
      <c r="X3220" s="1077">
        <v>90</v>
      </c>
      <c r="Y3220" s="1077">
        <v>1</v>
      </c>
      <c r="Z3220" s="1077" t="s">
        <v>648</v>
      </c>
      <c r="AA3220" s="1077" t="s">
        <v>15977</v>
      </c>
      <c r="AH3220" s="1077" t="s">
        <v>647</v>
      </c>
      <c r="AM3220" s="1078" t="s">
        <v>15837</v>
      </c>
      <c r="AN3220" s="1078" t="s">
        <v>15978</v>
      </c>
      <c r="AO3220" s="1078">
        <f t="shared" si="406"/>
        <v>550</v>
      </c>
      <c r="AP3220" s="1078">
        <f t="shared" si="407"/>
        <v>1.68</v>
      </c>
      <c r="AQ3220" s="1078" t="str">
        <f t="shared" si="408"/>
        <v>1-5-1S85°Z+S</v>
      </c>
      <c r="AR3220" s="1078" t="str">
        <f t="shared" si="409"/>
        <v>NA</v>
      </c>
      <c r="AS3220" s="1078" t="str">
        <f t="shared" si="410"/>
        <v>185/170</v>
      </c>
      <c r="AT3220" s="1078" t="str">
        <f t="shared" si="411"/>
        <v>1-5-1S85°Z+S</v>
      </c>
      <c r="AV3220" s="1078" t="str">
        <f t="shared" si="404"/>
        <v>114.9.2</v>
      </c>
      <c r="AW3220" s="1344">
        <f t="shared" si="405"/>
        <v>45902</v>
      </c>
    </row>
    <row r="3221" spans="1:49">
      <c r="A3221" s="1077" t="s">
        <v>15979</v>
      </c>
      <c r="B3221" s="1077" t="s">
        <v>15879</v>
      </c>
      <c r="C3221" s="1077">
        <v>600</v>
      </c>
      <c r="D3221" s="1077">
        <v>1.74</v>
      </c>
      <c r="E3221" s="1077" t="s">
        <v>15980</v>
      </c>
      <c r="F3221" s="1077" t="s">
        <v>648</v>
      </c>
      <c r="G3221" s="1077">
        <v>4</v>
      </c>
      <c r="H3221" s="1077" t="s">
        <v>6608</v>
      </c>
      <c r="I3221" s="1077" t="s">
        <v>126</v>
      </c>
      <c r="J3221" s="1077">
        <v>2</v>
      </c>
      <c r="K3221" s="1077" t="s">
        <v>15981</v>
      </c>
      <c r="L3221" s="1077" t="s">
        <v>4064</v>
      </c>
      <c r="M3221" s="1077">
        <v>202</v>
      </c>
      <c r="N3221" s="1077" t="s">
        <v>945</v>
      </c>
      <c r="O3221" s="1077">
        <v>5.0500000000000007</v>
      </c>
      <c r="P3221" s="1077">
        <v>4.04</v>
      </c>
      <c r="Q3221" s="1077">
        <v>4</v>
      </c>
      <c r="R3221" s="1077">
        <v>20</v>
      </c>
      <c r="T3221" s="1077">
        <v>11</v>
      </c>
      <c r="U3221" s="1077">
        <v>3.7</v>
      </c>
      <c r="V3221" s="1077" t="s">
        <v>648</v>
      </c>
      <c r="W3221" s="1077">
        <v>115</v>
      </c>
      <c r="X3221" s="1077">
        <v>70</v>
      </c>
      <c r="Y3221" s="1077">
        <v>1.6</v>
      </c>
      <c r="Z3221" s="1077" t="s">
        <v>648</v>
      </c>
      <c r="AA3221" s="1077" t="s">
        <v>15899</v>
      </c>
      <c r="AH3221" s="1077" t="s">
        <v>782</v>
      </c>
      <c r="AM3221" s="1078" t="s">
        <v>15878</v>
      </c>
      <c r="AN3221" s="1078" t="s">
        <v>15982</v>
      </c>
      <c r="AO3221" s="1078">
        <f t="shared" si="406"/>
        <v>600</v>
      </c>
      <c r="AP3221" s="1078">
        <f t="shared" si="407"/>
        <v>1.74</v>
      </c>
      <c r="AQ3221" s="1078" t="str">
        <f t="shared" si="408"/>
        <v>1-5-1S85°S+Z</v>
      </c>
      <c r="AR3221" s="1078" t="str">
        <f t="shared" si="409"/>
        <v>NA</v>
      </c>
      <c r="AS3221" s="1078" t="str">
        <f t="shared" si="410"/>
        <v>170/150</v>
      </c>
      <c r="AT3221" s="1078" t="str">
        <f t="shared" si="411"/>
        <v>1-5-1S85°S+Z</v>
      </c>
      <c r="AV3221" s="1078" t="str">
        <f t="shared" si="404"/>
        <v>114.9.16</v>
      </c>
      <c r="AW3221" s="1344">
        <f t="shared" si="405"/>
        <v>45916</v>
      </c>
    </row>
    <row r="3222" spans="1:49">
      <c r="A3222" s="1077" t="s">
        <v>16236</v>
      </c>
      <c r="B3222" s="1077" t="s">
        <v>1423</v>
      </c>
      <c r="C3222" s="1077">
        <v>500</v>
      </c>
      <c r="D3222" s="1077">
        <v>1.71</v>
      </c>
      <c r="E3222" s="1077" t="s">
        <v>15089</v>
      </c>
      <c r="F3222" s="1077" t="s">
        <v>954</v>
      </c>
      <c r="G3222" s="1077" t="s">
        <v>1016</v>
      </c>
      <c r="H3222" s="1077" t="s">
        <v>1274</v>
      </c>
      <c r="I3222" s="1077" t="s">
        <v>126</v>
      </c>
      <c r="J3222" s="1077">
        <v>1.4</v>
      </c>
      <c r="K3222" s="1077" t="s">
        <v>1713</v>
      </c>
      <c r="L3222" s="1077" t="s">
        <v>1425</v>
      </c>
      <c r="M3222" s="1077">
        <v>52</v>
      </c>
      <c r="N3222" s="1077" t="s">
        <v>945</v>
      </c>
      <c r="O3222" s="1077">
        <v>1.3</v>
      </c>
      <c r="P3222" s="1077">
        <v>1.04</v>
      </c>
      <c r="Q3222" s="1077">
        <v>3</v>
      </c>
      <c r="R3222" s="1077">
        <v>23</v>
      </c>
      <c r="T3222" s="1077">
        <v>29</v>
      </c>
      <c r="U3222" s="1077">
        <v>3.3</v>
      </c>
      <c r="V3222" s="1077" t="s">
        <v>648</v>
      </c>
      <c r="W3222" s="1077">
        <v>130</v>
      </c>
      <c r="X3222" s="1077">
        <v>75</v>
      </c>
      <c r="Y3222" s="1077">
        <v>2.4</v>
      </c>
      <c r="Z3222" s="1077">
        <v>4.5</v>
      </c>
      <c r="AA3222" s="1077" t="s">
        <v>16237</v>
      </c>
      <c r="AH3222" s="1077" t="s">
        <v>830</v>
      </c>
      <c r="AJ3222" s="1077">
        <v>93.77</v>
      </c>
      <c r="AK3222" s="1077">
        <v>-0.2</v>
      </c>
      <c r="AL3222" s="1077">
        <v>0.28999999999999998</v>
      </c>
      <c r="AM3222" s="1078" t="s">
        <v>16508</v>
      </c>
      <c r="AN3222" s="1078" t="s">
        <v>16509</v>
      </c>
      <c r="AO3222" s="1078">
        <f t="shared" si="406"/>
        <v>500</v>
      </c>
      <c r="AP3222" s="1078">
        <f t="shared" si="407"/>
        <v>1.71</v>
      </c>
      <c r="AQ3222" s="1078" t="str">
        <f t="shared" si="408"/>
        <v>1-4-1S83°</v>
      </c>
      <c r="AR3222" s="1078" t="str">
        <f t="shared" si="409"/>
        <v>31</v>
      </c>
      <c r="AS3222" s="1078" t="str">
        <f t="shared" si="410"/>
        <v>210/210/OFF</v>
      </c>
      <c r="AT3222" s="1078" t="str">
        <f t="shared" si="411"/>
        <v>1-4-1S83°</v>
      </c>
      <c r="AV3222" s="1078" t="str">
        <f t="shared" si="404"/>
        <v>114.10.17</v>
      </c>
      <c r="AW3222" s="1344">
        <f t="shared" si="405"/>
        <v>45947</v>
      </c>
    </row>
    <row r="3223" spans="1:49">
      <c r="A3223" s="1077" t="s">
        <v>16238</v>
      </c>
      <c r="B3223" s="1077" t="s">
        <v>1463</v>
      </c>
      <c r="C3223" s="1077">
        <v>600</v>
      </c>
      <c r="D3223" s="1077">
        <v>1.65</v>
      </c>
      <c r="E3223" s="1077" t="s">
        <v>15089</v>
      </c>
      <c r="F3223" s="1077" t="s">
        <v>984</v>
      </c>
      <c r="G3223" s="1077">
        <v>2</v>
      </c>
      <c r="H3223" s="1077" t="s">
        <v>16239</v>
      </c>
      <c r="I3223" s="1077" t="s">
        <v>942</v>
      </c>
      <c r="J3223" s="1077">
        <v>1</v>
      </c>
      <c r="K3223" s="1077" t="s">
        <v>16240</v>
      </c>
      <c r="L3223" s="1077" t="s">
        <v>1466</v>
      </c>
      <c r="M3223" s="1077">
        <v>51.5</v>
      </c>
      <c r="N3223" s="1077" t="s">
        <v>945</v>
      </c>
      <c r="O3223" s="1077">
        <v>1.2875000000000001</v>
      </c>
      <c r="P3223" s="1077">
        <v>1.03</v>
      </c>
      <c r="Q3223" s="1077">
        <v>4</v>
      </c>
      <c r="R3223" s="1077">
        <v>28</v>
      </c>
      <c r="T3223" s="1077">
        <v>21.2</v>
      </c>
      <c r="U3223" s="1077">
        <v>3.6</v>
      </c>
      <c r="V3223" s="1077" t="s">
        <v>648</v>
      </c>
      <c r="W3223" s="1077">
        <v>150</v>
      </c>
      <c r="X3223" s="1077">
        <v>80</v>
      </c>
      <c r="Y3223" s="1077">
        <v>2</v>
      </c>
      <c r="Z3223" s="1077">
        <v>4</v>
      </c>
      <c r="AA3223" s="1077" t="s">
        <v>16241</v>
      </c>
      <c r="AH3223" s="1077" t="s">
        <v>647</v>
      </c>
      <c r="AJ3223" s="1077">
        <v>94.37</v>
      </c>
      <c r="AK3223" s="1077">
        <v>-0.43</v>
      </c>
      <c r="AL3223" s="1077">
        <v>0.98</v>
      </c>
      <c r="AM3223" s="1078" t="s">
        <v>16510</v>
      </c>
      <c r="AN3223" s="1078" t="s">
        <v>16511</v>
      </c>
      <c r="AO3223" s="1078">
        <f t="shared" si="406"/>
        <v>600</v>
      </c>
      <c r="AP3223" s="1078">
        <f t="shared" si="407"/>
        <v>1.65</v>
      </c>
      <c r="AQ3223" s="1078" t="str">
        <f t="shared" si="408"/>
        <v>1-4-1S83°</v>
      </c>
      <c r="AR3223" s="1078" t="str">
        <f t="shared" si="409"/>
        <v>30</v>
      </c>
      <c r="AS3223" s="1078" t="str">
        <f t="shared" si="410"/>
        <v>224/224/OFF</v>
      </c>
      <c r="AT3223" s="1078" t="str">
        <f t="shared" si="411"/>
        <v>1-4-1S83°</v>
      </c>
      <c r="AV3223" s="1078" t="str">
        <f t="shared" si="404"/>
        <v>114.11.20</v>
      </c>
      <c r="AW3223" s="1344">
        <f t="shared" si="405"/>
        <v>45981</v>
      </c>
    </row>
    <row r="3224" spans="1:49">
      <c r="A3224" s="1077" t="s">
        <v>16242</v>
      </c>
      <c r="B3224" s="1077" t="s">
        <v>1463</v>
      </c>
      <c r="C3224" s="1077">
        <v>630</v>
      </c>
      <c r="D3224" s="1077">
        <v>1.65</v>
      </c>
      <c r="E3224" s="1077" t="s">
        <v>15089</v>
      </c>
      <c r="F3224" s="1077" t="s">
        <v>984</v>
      </c>
      <c r="G3224" s="1077">
        <v>2</v>
      </c>
      <c r="H3224" s="1077" t="s">
        <v>16239</v>
      </c>
      <c r="I3224" s="1077" t="s">
        <v>942</v>
      </c>
      <c r="J3224" s="1077">
        <v>1.1000000000000001</v>
      </c>
      <c r="K3224" s="1077" t="s">
        <v>16134</v>
      </c>
      <c r="L3224" s="1077" t="s">
        <v>1466</v>
      </c>
      <c r="M3224" s="1077">
        <v>51.5</v>
      </c>
      <c r="N3224" s="1077" t="s">
        <v>945</v>
      </c>
      <c r="O3224" s="1077">
        <v>1.2875000000000001</v>
      </c>
      <c r="P3224" s="1077">
        <v>1.03</v>
      </c>
      <c r="Q3224" s="1077">
        <v>4</v>
      </c>
      <c r="R3224" s="1077">
        <v>28</v>
      </c>
      <c r="T3224" s="1077">
        <v>21.2</v>
      </c>
      <c r="U3224" s="1077">
        <v>3.6</v>
      </c>
      <c r="V3224" s="1077" t="s">
        <v>648</v>
      </c>
      <c r="W3224" s="1077">
        <v>150</v>
      </c>
      <c r="X3224" s="1077">
        <v>80</v>
      </c>
      <c r="Y3224" s="1077">
        <v>2</v>
      </c>
      <c r="Z3224" s="1077">
        <v>4</v>
      </c>
      <c r="AA3224" s="1077" t="s">
        <v>16243</v>
      </c>
      <c r="AH3224" s="1077" t="s">
        <v>813</v>
      </c>
      <c r="AJ3224" s="1077">
        <v>94.72</v>
      </c>
      <c r="AK3224" s="1077">
        <v>-0.56999999999999995</v>
      </c>
      <c r="AL3224" s="1077">
        <v>1.02</v>
      </c>
      <c r="AM3224" s="1078" t="s">
        <v>16133</v>
      </c>
      <c r="AN3224" s="1078" t="s">
        <v>16512</v>
      </c>
      <c r="AO3224" s="1078">
        <f t="shared" si="406"/>
        <v>630</v>
      </c>
      <c r="AP3224" s="1078">
        <f t="shared" si="407"/>
        <v>1.65</v>
      </c>
      <c r="AQ3224" s="1078" t="str">
        <f t="shared" si="408"/>
        <v>1-4-1S83°</v>
      </c>
      <c r="AR3224" s="1078" t="str">
        <f t="shared" si="409"/>
        <v>30</v>
      </c>
      <c r="AS3224" s="1078" t="str">
        <f t="shared" si="410"/>
        <v>224/224/OFF</v>
      </c>
      <c r="AT3224" s="1078" t="str">
        <f t="shared" si="411"/>
        <v>1-4-1S83°</v>
      </c>
      <c r="AV3224" s="1078" t="str">
        <f t="shared" si="404"/>
        <v>115.1.11</v>
      </c>
      <c r="AW3224" s="1344">
        <f t="shared" si="405"/>
        <v>46033</v>
      </c>
    </row>
    <row r="3225" spans="1:49">
      <c r="A3225" s="1077" t="s">
        <v>16244</v>
      </c>
      <c r="B3225" s="1077" t="s">
        <v>1463</v>
      </c>
      <c r="C3225" s="1077">
        <v>630</v>
      </c>
      <c r="D3225" s="1077">
        <v>1.65</v>
      </c>
      <c r="E3225" s="1077" t="s">
        <v>15096</v>
      </c>
      <c r="F3225" s="1077" t="s">
        <v>984</v>
      </c>
      <c r="G3225" s="1077">
        <v>2</v>
      </c>
      <c r="H3225" s="1077" t="s">
        <v>16239</v>
      </c>
      <c r="I3225" s="1077" t="s">
        <v>942</v>
      </c>
      <c r="J3225" s="1077">
        <v>1.1000000000000001</v>
      </c>
      <c r="K3225" s="1077" t="s">
        <v>16199</v>
      </c>
      <c r="L3225" s="1077" t="s">
        <v>1466</v>
      </c>
      <c r="M3225" s="1077">
        <v>51.5</v>
      </c>
      <c r="N3225" s="1077" t="s">
        <v>945</v>
      </c>
      <c r="O3225" s="1077">
        <v>1.2875000000000001</v>
      </c>
      <c r="P3225" s="1077">
        <v>1.03</v>
      </c>
      <c r="Q3225" s="1077">
        <v>4</v>
      </c>
      <c r="R3225" s="1077">
        <v>28</v>
      </c>
      <c r="T3225" s="1077">
        <v>21.2</v>
      </c>
      <c r="U3225" s="1077">
        <v>3.6</v>
      </c>
      <c r="V3225" s="1077" t="s">
        <v>648</v>
      </c>
      <c r="W3225" s="1077">
        <v>150</v>
      </c>
      <c r="X3225" s="1077">
        <v>80</v>
      </c>
      <c r="Y3225" s="1077">
        <v>2</v>
      </c>
      <c r="Z3225" s="1077">
        <v>4</v>
      </c>
      <c r="AA3225" s="1077" t="s">
        <v>16245</v>
      </c>
      <c r="AH3225" s="1077" t="s">
        <v>884</v>
      </c>
      <c r="AJ3225" s="1077">
        <v>94.28</v>
      </c>
      <c r="AK3225" s="1077">
        <v>-0.42</v>
      </c>
      <c r="AL3225" s="1077">
        <v>0.47</v>
      </c>
      <c r="AM3225" s="1078" t="s">
        <v>16195</v>
      </c>
      <c r="AN3225" s="1078" t="s">
        <v>16513</v>
      </c>
      <c r="AO3225" s="1078">
        <f t="shared" si="406"/>
        <v>630</v>
      </c>
      <c r="AP3225" s="1078">
        <f t="shared" si="407"/>
        <v>1.65</v>
      </c>
      <c r="AQ3225" s="1078" t="str">
        <f t="shared" si="408"/>
        <v>1-4-1S87°</v>
      </c>
      <c r="AR3225" s="1078" t="str">
        <f t="shared" si="409"/>
        <v>30</v>
      </c>
      <c r="AS3225" s="1078" t="str">
        <f t="shared" si="410"/>
        <v>224/224/OFF</v>
      </c>
      <c r="AT3225" s="1078" t="str">
        <f t="shared" si="411"/>
        <v>1-4-1S87°</v>
      </c>
      <c r="AV3225" s="1078" t="str">
        <f t="shared" si="404"/>
        <v>115.3.2</v>
      </c>
      <c r="AW3225" s="1344">
        <f t="shared" si="405"/>
        <v>46083</v>
      </c>
    </row>
    <row r="3226" spans="1:49">
      <c r="A3226" s="1077" t="s">
        <v>16246</v>
      </c>
      <c r="B3226" s="1077" t="s">
        <v>1783</v>
      </c>
      <c r="C3226" s="1077">
        <v>500</v>
      </c>
      <c r="D3226" s="1077">
        <v>1.68</v>
      </c>
      <c r="E3226" s="1077" t="s">
        <v>15089</v>
      </c>
      <c r="F3226" s="1077" t="s">
        <v>2001</v>
      </c>
      <c r="G3226" s="1077" t="s">
        <v>1784</v>
      </c>
      <c r="H3226" s="1077" t="s">
        <v>2295</v>
      </c>
      <c r="I3226" s="1077" t="s">
        <v>126</v>
      </c>
      <c r="J3226" s="1077">
        <v>0.3</v>
      </c>
      <c r="K3226" s="1077" t="s">
        <v>16247</v>
      </c>
      <c r="L3226" s="1077" t="s">
        <v>1787</v>
      </c>
      <c r="M3226" s="1077">
        <v>76.099999999999994</v>
      </c>
      <c r="N3226" s="1077" t="s">
        <v>945</v>
      </c>
      <c r="O3226" s="1077">
        <v>1.9024999999999999</v>
      </c>
      <c r="P3226" s="1077">
        <v>1.522</v>
      </c>
      <c r="Q3226" s="1077">
        <v>3.5</v>
      </c>
      <c r="R3226" s="1077">
        <v>21</v>
      </c>
      <c r="T3226" s="1077">
        <v>13</v>
      </c>
      <c r="U3226" s="1077">
        <v>4</v>
      </c>
      <c r="V3226" s="1077" t="s">
        <v>648</v>
      </c>
      <c r="W3226" s="1077">
        <v>30</v>
      </c>
      <c r="X3226" s="1077">
        <v>10</v>
      </c>
      <c r="Y3226" s="1077">
        <v>2.5</v>
      </c>
      <c r="Z3226" s="1077">
        <v>2</v>
      </c>
      <c r="AA3226" s="1077" t="s">
        <v>16248</v>
      </c>
      <c r="AH3226" s="1077" t="s">
        <v>1143</v>
      </c>
      <c r="AI3226" s="1077">
        <v>94.93</v>
      </c>
      <c r="AJ3226" s="1077">
        <v>-0.4</v>
      </c>
      <c r="AK3226" s="1077">
        <v>1.38</v>
      </c>
      <c r="AM3226" s="1078" t="s">
        <v>16043</v>
      </c>
      <c r="AN3226" s="1078" t="s">
        <v>16514</v>
      </c>
      <c r="AO3226" s="1078">
        <f t="shared" si="406"/>
        <v>500</v>
      </c>
      <c r="AP3226" s="1078">
        <f t="shared" si="407"/>
        <v>1.68</v>
      </c>
      <c r="AQ3226" s="1078" t="str">
        <f t="shared" si="408"/>
        <v>1-4-1S83°</v>
      </c>
      <c r="AR3226" s="1078" t="str">
        <f t="shared" si="409"/>
        <v>29.9</v>
      </c>
      <c r="AS3226" s="1078" t="str">
        <f t="shared" si="410"/>
        <v>205/205/OFF</v>
      </c>
      <c r="AT3226" s="1078" t="str">
        <f t="shared" si="411"/>
        <v>1-4-1S83°</v>
      </c>
      <c r="AV3226" s="1078" t="str">
        <f t="shared" si="404"/>
        <v>114.10.29</v>
      </c>
      <c r="AW3226" s="1344">
        <f t="shared" si="405"/>
        <v>45959</v>
      </c>
    </row>
    <row r="3227" spans="1:49">
      <c r="A3227" s="1077" t="s">
        <v>16249</v>
      </c>
      <c r="B3227" s="1077" t="s">
        <v>620</v>
      </c>
      <c r="C3227" s="1077">
        <v>550</v>
      </c>
      <c r="D3227" s="1077">
        <v>1.73</v>
      </c>
      <c r="E3227" s="1077" t="s">
        <v>15089</v>
      </c>
      <c r="F3227" s="1077" t="s">
        <v>975</v>
      </c>
      <c r="G3227" s="1077" t="s">
        <v>940</v>
      </c>
      <c r="H3227" s="1077" t="s">
        <v>2067</v>
      </c>
      <c r="I3227" s="1077" t="s">
        <v>626</v>
      </c>
      <c r="J3227" s="1077">
        <v>1.6</v>
      </c>
      <c r="K3227" s="1077" t="s">
        <v>16250</v>
      </c>
      <c r="L3227" s="1077" t="s">
        <v>1821</v>
      </c>
      <c r="M3227" s="1077">
        <v>77</v>
      </c>
      <c r="N3227" s="1077" t="s">
        <v>945</v>
      </c>
      <c r="O3227" s="1077">
        <v>1.925</v>
      </c>
      <c r="P3227" s="1077">
        <v>1.54</v>
      </c>
      <c r="Q3227" s="1077">
        <v>3.5</v>
      </c>
      <c r="R3227" s="1077">
        <v>22</v>
      </c>
      <c r="T3227" s="1077">
        <v>9</v>
      </c>
      <c r="U3227" s="1077">
        <v>3</v>
      </c>
      <c r="V3227" s="1077" t="s">
        <v>648</v>
      </c>
      <c r="W3227" s="1077">
        <v>140</v>
      </c>
      <c r="X3227" s="1077">
        <v>80</v>
      </c>
      <c r="Y3227" s="1077">
        <v>2.1</v>
      </c>
      <c r="Z3227" s="1077">
        <v>2.5</v>
      </c>
      <c r="AA3227" s="1077" t="s">
        <v>16248</v>
      </c>
      <c r="AH3227" s="1077" t="s">
        <v>963</v>
      </c>
      <c r="AI3227" s="1077">
        <v>91.82</v>
      </c>
      <c r="AJ3227" s="1077">
        <v>-0.26</v>
      </c>
      <c r="AK3227" s="1077">
        <v>1.1000000000000001</v>
      </c>
      <c r="AM3227" s="1078" t="s">
        <v>16515</v>
      </c>
      <c r="AN3227" s="1078" t="s">
        <v>16516</v>
      </c>
      <c r="AO3227" s="1078">
        <f t="shared" si="406"/>
        <v>550</v>
      </c>
      <c r="AP3227" s="1078">
        <f t="shared" si="407"/>
        <v>1.73</v>
      </c>
      <c r="AQ3227" s="1078" t="str">
        <f t="shared" si="408"/>
        <v>1-4-1S83°</v>
      </c>
      <c r="AR3227" s="1078" t="str">
        <f t="shared" si="409"/>
        <v>31.5</v>
      </c>
      <c r="AS3227" s="1078" t="str">
        <f t="shared" si="410"/>
        <v>250/250/150</v>
      </c>
      <c r="AT3227" s="1078" t="str">
        <f t="shared" si="411"/>
        <v>1-4-1S83°</v>
      </c>
      <c r="AV3227" s="1078" t="str">
        <f t="shared" si="404"/>
        <v>114.10.29</v>
      </c>
      <c r="AW3227" s="1344">
        <f t="shared" si="405"/>
        <v>45959</v>
      </c>
    </row>
    <row r="3228" spans="1:49">
      <c r="A3228" s="1077" t="s">
        <v>16251</v>
      </c>
      <c r="B3228" s="1077" t="s">
        <v>472</v>
      </c>
      <c r="C3228" s="1077">
        <v>650</v>
      </c>
      <c r="D3228" s="1077">
        <v>1.69</v>
      </c>
      <c r="E3228" s="1077" t="s">
        <v>15089</v>
      </c>
      <c r="F3228" s="1077" t="s">
        <v>984</v>
      </c>
      <c r="G3228" s="1077" t="s">
        <v>1767</v>
      </c>
      <c r="H3228" s="1077" t="s">
        <v>1836</v>
      </c>
      <c r="I3228" s="1077" t="s">
        <v>126</v>
      </c>
      <c r="J3228" s="1077">
        <v>0.8</v>
      </c>
      <c r="K3228" s="1077" t="s">
        <v>16252</v>
      </c>
      <c r="L3228" s="1077" t="s">
        <v>1811</v>
      </c>
      <c r="M3228" s="1077">
        <v>74.599999999999994</v>
      </c>
      <c r="N3228" s="1077" t="s">
        <v>945</v>
      </c>
      <c r="O3228" s="1077">
        <v>1.865</v>
      </c>
      <c r="P3228" s="1077">
        <v>1.492</v>
      </c>
      <c r="Q3228" s="1077">
        <v>3.5</v>
      </c>
      <c r="R3228" s="1077">
        <v>28.5</v>
      </c>
      <c r="T3228" s="1077">
        <v>12.5</v>
      </c>
      <c r="U3228" s="1077">
        <v>5.0999999999999996</v>
      </c>
      <c r="V3228" s="1077" t="s">
        <v>648</v>
      </c>
      <c r="W3228" s="1077">
        <v>95</v>
      </c>
      <c r="X3228" s="1077">
        <v>60</v>
      </c>
      <c r="Y3228" s="1077">
        <v>1.8</v>
      </c>
      <c r="Z3228" s="1077">
        <v>4.5</v>
      </c>
      <c r="AA3228" s="1077" t="s">
        <v>16253</v>
      </c>
      <c r="AB3228" s="1077" t="s">
        <v>16254</v>
      </c>
      <c r="AH3228" s="1077" t="s">
        <v>622</v>
      </c>
      <c r="AI3228" s="1077">
        <v>93.32</v>
      </c>
      <c r="AJ3228" s="1077">
        <v>-1.1000000000000001</v>
      </c>
      <c r="AK3228" s="1077">
        <v>3.77</v>
      </c>
      <c r="AM3228" s="1078" t="s">
        <v>16517</v>
      </c>
      <c r="AN3228" s="1078" t="s">
        <v>16518</v>
      </c>
      <c r="AO3228" s="1078">
        <f t="shared" si="406"/>
        <v>650</v>
      </c>
      <c r="AP3228" s="1078">
        <f t="shared" si="407"/>
        <v>1.69</v>
      </c>
      <c r="AQ3228" s="1078" t="str">
        <f t="shared" si="408"/>
        <v>1-4-1S83°</v>
      </c>
      <c r="AR3228" s="1078" t="str">
        <f t="shared" si="409"/>
        <v>30</v>
      </c>
      <c r="AS3228" s="1078" t="str">
        <f t="shared" si="410"/>
        <v>247/247/OFF</v>
      </c>
      <c r="AT3228" s="1078" t="str">
        <f t="shared" si="411"/>
        <v>1-4-1S83°</v>
      </c>
      <c r="AV3228" s="1078" t="str">
        <f t="shared" si="404"/>
        <v>114.10.30</v>
      </c>
      <c r="AW3228" s="1344">
        <f t="shared" si="405"/>
        <v>45960</v>
      </c>
    </row>
    <row r="3229" spans="1:49">
      <c r="A3229" s="1077" t="s">
        <v>16255</v>
      </c>
      <c r="B3229" s="1077" t="s">
        <v>1947</v>
      </c>
      <c r="C3229" s="1077">
        <v>550</v>
      </c>
      <c r="D3229" s="1077">
        <v>1.7150000000000001</v>
      </c>
      <c r="E3229" s="1077" t="s">
        <v>15096</v>
      </c>
      <c r="F3229" s="1077" t="s">
        <v>1469</v>
      </c>
      <c r="G3229" s="1077" t="s">
        <v>1016</v>
      </c>
      <c r="H3229" s="1077" t="s">
        <v>1948</v>
      </c>
      <c r="I3229" s="1077" t="s">
        <v>626</v>
      </c>
      <c r="J3229" s="1077">
        <v>0.5</v>
      </c>
      <c r="K3229" s="1077" t="s">
        <v>16256</v>
      </c>
      <c r="L3229" s="1077" t="s">
        <v>1950</v>
      </c>
      <c r="M3229" s="1077">
        <v>77</v>
      </c>
      <c r="N3229" s="1077" t="s">
        <v>945</v>
      </c>
      <c r="O3229" s="1077">
        <v>1.925</v>
      </c>
      <c r="P3229" s="1077">
        <v>1.54</v>
      </c>
      <c r="Q3229" s="1077">
        <v>3</v>
      </c>
      <c r="R3229" s="1077">
        <v>24</v>
      </c>
      <c r="T3229" s="1077">
        <v>29</v>
      </c>
      <c r="U3229" s="1077">
        <v>2.9</v>
      </c>
      <c r="V3229" s="1077" t="s">
        <v>648</v>
      </c>
      <c r="W3229" s="1077">
        <v>30</v>
      </c>
      <c r="X3229" s="1077">
        <v>10</v>
      </c>
      <c r="Y3229" s="1077">
        <v>1.5</v>
      </c>
      <c r="Z3229" s="1077">
        <v>5.5</v>
      </c>
      <c r="AA3229" s="1077" t="s">
        <v>16257</v>
      </c>
      <c r="AH3229" s="1077" t="s">
        <v>456</v>
      </c>
      <c r="AI3229" s="1077">
        <v>69.069999999999993</v>
      </c>
      <c r="AJ3229" s="1077">
        <v>0.28999999999999998</v>
      </c>
      <c r="AK3229" s="1077">
        <v>1.45</v>
      </c>
      <c r="AM3229" s="1078" t="s">
        <v>16519</v>
      </c>
      <c r="AN3229" s="1078" t="s">
        <v>16520</v>
      </c>
      <c r="AO3229" s="1078">
        <f t="shared" si="406"/>
        <v>550</v>
      </c>
      <c r="AP3229" s="1078">
        <f t="shared" si="407"/>
        <v>1.7150000000000001</v>
      </c>
      <c r="AQ3229" s="1078" t="str">
        <f t="shared" si="408"/>
        <v>1-4-1S87°</v>
      </c>
      <c r="AR3229" s="1078" t="str">
        <f t="shared" si="409"/>
        <v>30.5</v>
      </c>
      <c r="AS3229" s="1078" t="str">
        <f t="shared" si="410"/>
        <v>265/265/130</v>
      </c>
      <c r="AT3229" s="1078" t="str">
        <f t="shared" si="411"/>
        <v>1-4-1S87°</v>
      </c>
      <c r="AV3229" s="1078" t="str">
        <f t="shared" si="404"/>
        <v>114.11.10</v>
      </c>
      <c r="AW3229" s="1344">
        <f t="shared" si="405"/>
        <v>45971</v>
      </c>
    </row>
    <row r="3230" spans="1:49">
      <c r="A3230" s="1077" t="s">
        <v>16258</v>
      </c>
      <c r="B3230" s="1077" t="s">
        <v>1842</v>
      </c>
      <c r="C3230" s="1077">
        <v>500</v>
      </c>
      <c r="D3230" s="1077">
        <v>1.68</v>
      </c>
      <c r="E3230" s="1077" t="s">
        <v>15095</v>
      </c>
      <c r="F3230" s="1077" t="s">
        <v>984</v>
      </c>
      <c r="G3230" s="1077" t="s">
        <v>1016</v>
      </c>
      <c r="H3230" s="1077" t="s">
        <v>1649</v>
      </c>
      <c r="I3230" s="1077" t="s">
        <v>126</v>
      </c>
      <c r="J3230" s="1077">
        <v>0.8</v>
      </c>
      <c r="K3230" s="1077" t="s">
        <v>15662</v>
      </c>
      <c r="L3230" s="1077" t="s">
        <v>1844</v>
      </c>
      <c r="M3230" s="1077">
        <v>77.099999999999994</v>
      </c>
      <c r="N3230" s="1077" t="s">
        <v>945</v>
      </c>
      <c r="O3230" s="1077">
        <v>1.9275</v>
      </c>
      <c r="P3230" s="1077">
        <v>1.5419999999999998</v>
      </c>
      <c r="Q3230" s="1077">
        <v>3.5</v>
      </c>
      <c r="R3230" s="1077">
        <v>25</v>
      </c>
      <c r="T3230" s="1077">
        <v>18</v>
      </c>
      <c r="U3230" s="1077">
        <v>4</v>
      </c>
      <c r="V3230" s="1077" t="s">
        <v>648</v>
      </c>
      <c r="W3230" s="1077">
        <v>110</v>
      </c>
      <c r="X3230" s="1077">
        <v>70</v>
      </c>
      <c r="Y3230" s="1077">
        <v>1.8</v>
      </c>
      <c r="Z3230" s="1077">
        <v>4.5</v>
      </c>
      <c r="AA3230" s="1077" t="s">
        <v>16259</v>
      </c>
      <c r="AH3230" s="1077" t="s">
        <v>712</v>
      </c>
      <c r="AI3230" s="1077">
        <v>94.96</v>
      </c>
      <c r="AJ3230" s="1077">
        <v>-0.32</v>
      </c>
      <c r="AK3230" s="1077">
        <v>1.03</v>
      </c>
      <c r="AM3230" s="1078" t="s">
        <v>16521</v>
      </c>
      <c r="AN3230" s="1078" t="s">
        <v>16522</v>
      </c>
      <c r="AO3230" s="1078">
        <f t="shared" si="406"/>
        <v>500</v>
      </c>
      <c r="AP3230" s="1078">
        <f t="shared" si="407"/>
        <v>1.68</v>
      </c>
      <c r="AQ3230" s="1078" t="str">
        <f t="shared" si="408"/>
        <v>1-5-1S83°</v>
      </c>
      <c r="AR3230" s="1078" t="str">
        <f t="shared" si="409"/>
        <v>30</v>
      </c>
      <c r="AS3230" s="1078" t="str">
        <f t="shared" si="410"/>
        <v>225/225/OFF</v>
      </c>
      <c r="AT3230" s="1078" t="str">
        <f t="shared" si="411"/>
        <v>1-5-1S83°</v>
      </c>
      <c r="AV3230" s="1078" t="str">
        <f t="shared" si="404"/>
        <v>114.11.3</v>
      </c>
      <c r="AW3230" s="1344">
        <f t="shared" si="405"/>
        <v>45964</v>
      </c>
    </row>
    <row r="3231" spans="1:49">
      <c r="A3231" s="1077" t="s">
        <v>16260</v>
      </c>
      <c r="B3231" s="1077" t="s">
        <v>1842</v>
      </c>
      <c r="C3231" s="1077">
        <v>500</v>
      </c>
      <c r="D3231" s="1077">
        <v>1.68</v>
      </c>
      <c r="E3231" s="1077" t="s">
        <v>15095</v>
      </c>
      <c r="F3231" s="1077" t="s">
        <v>984</v>
      </c>
      <c r="G3231" s="1077" t="s">
        <v>1016</v>
      </c>
      <c r="H3231" s="1077" t="s">
        <v>1533</v>
      </c>
      <c r="I3231" s="1077" t="s">
        <v>126</v>
      </c>
      <c r="J3231" s="1077">
        <v>0.7</v>
      </c>
      <c r="K3231" s="1077" t="s">
        <v>16261</v>
      </c>
      <c r="L3231" s="1077" t="s">
        <v>1844</v>
      </c>
      <c r="M3231" s="1077">
        <v>77.099999999999994</v>
      </c>
      <c r="N3231" s="1077" t="s">
        <v>945</v>
      </c>
      <c r="O3231" s="1077">
        <v>1.9275</v>
      </c>
      <c r="P3231" s="1077">
        <v>1.5419999999999998</v>
      </c>
      <c r="Q3231" s="1077">
        <v>3.5</v>
      </c>
      <c r="R3231" s="1077">
        <v>25</v>
      </c>
      <c r="T3231" s="1077">
        <v>18</v>
      </c>
      <c r="U3231" s="1077">
        <v>4</v>
      </c>
      <c r="V3231" s="1077" t="s">
        <v>648</v>
      </c>
      <c r="W3231" s="1077">
        <v>110</v>
      </c>
      <c r="X3231" s="1077">
        <v>70</v>
      </c>
      <c r="Y3231" s="1077">
        <v>1.8</v>
      </c>
      <c r="Z3231" s="1077">
        <v>4.5</v>
      </c>
      <c r="AA3231" s="1077" t="s">
        <v>16262</v>
      </c>
      <c r="AH3231" s="1077" t="s">
        <v>1267</v>
      </c>
      <c r="AI3231" s="1077">
        <v>94.59</v>
      </c>
      <c r="AJ3231" s="1077">
        <v>-0.65</v>
      </c>
      <c r="AK3231" s="1077">
        <v>1.67</v>
      </c>
      <c r="AM3231" s="1078" t="s">
        <v>16055</v>
      </c>
      <c r="AN3231" s="1078" t="s">
        <v>16523</v>
      </c>
      <c r="AO3231" s="1078">
        <f t="shared" si="406"/>
        <v>500</v>
      </c>
      <c r="AP3231" s="1078">
        <f t="shared" si="407"/>
        <v>1.68</v>
      </c>
      <c r="AQ3231" s="1078" t="str">
        <f t="shared" si="408"/>
        <v>1-5-1S83°</v>
      </c>
      <c r="AR3231" s="1078" t="str">
        <f t="shared" si="409"/>
        <v>30</v>
      </c>
      <c r="AS3231" s="1078" t="str">
        <f t="shared" si="410"/>
        <v>223/223/OFF</v>
      </c>
      <c r="AT3231" s="1078" t="str">
        <f t="shared" si="411"/>
        <v>1-5-1S83°</v>
      </c>
      <c r="AV3231" s="1078" t="str">
        <f t="shared" si="404"/>
        <v>114.11.14</v>
      </c>
      <c r="AW3231" s="1344">
        <f t="shared" si="405"/>
        <v>45975</v>
      </c>
    </row>
    <row r="3232" spans="1:49">
      <c r="A3232" s="1077" t="s">
        <v>16263</v>
      </c>
      <c r="B3232" s="1077" t="s">
        <v>1729</v>
      </c>
      <c r="C3232" s="1077">
        <v>800</v>
      </c>
      <c r="D3232" s="1077">
        <v>1.71</v>
      </c>
      <c r="E3232" s="1077" t="s">
        <v>15089</v>
      </c>
      <c r="F3232" s="1077" t="s">
        <v>1773</v>
      </c>
      <c r="G3232" s="1077" t="s">
        <v>1767</v>
      </c>
      <c r="H3232" s="1077" t="s">
        <v>16264</v>
      </c>
      <c r="I3232" s="1077" t="s">
        <v>126</v>
      </c>
      <c r="J3232" s="1077">
        <v>1.1000000000000001</v>
      </c>
      <c r="K3232" s="1077" t="s">
        <v>16265</v>
      </c>
      <c r="L3232" s="1077" t="s">
        <v>1776</v>
      </c>
      <c r="M3232" s="1077">
        <v>74.8</v>
      </c>
      <c r="N3232" s="1077" t="s">
        <v>945</v>
      </c>
      <c r="O3232" s="1077">
        <v>1.87</v>
      </c>
      <c r="P3232" s="1077">
        <v>1.496</v>
      </c>
      <c r="Q3232" s="1077">
        <v>4</v>
      </c>
      <c r="R3232" s="1077">
        <v>23</v>
      </c>
      <c r="T3232" s="1077">
        <v>18.600000000000001</v>
      </c>
      <c r="U3232" s="1077">
        <v>3.5</v>
      </c>
      <c r="V3232" s="1077" t="s">
        <v>648</v>
      </c>
      <c r="W3232" s="1077">
        <v>105</v>
      </c>
      <c r="X3232" s="1077">
        <v>80</v>
      </c>
      <c r="Y3232" s="1077">
        <v>2</v>
      </c>
      <c r="Z3232" s="1077">
        <v>4.5</v>
      </c>
      <c r="AA3232" s="1077" t="s">
        <v>16241</v>
      </c>
      <c r="AH3232" s="1077" t="s">
        <v>482</v>
      </c>
      <c r="AI3232" s="1077">
        <v>93.35</v>
      </c>
      <c r="AJ3232" s="1077">
        <v>-0.14000000000000001</v>
      </c>
      <c r="AK3232" s="1077">
        <v>1.06</v>
      </c>
      <c r="AM3232" s="1078" t="s">
        <v>16059</v>
      </c>
      <c r="AN3232" s="1078" t="s">
        <v>16524</v>
      </c>
      <c r="AO3232" s="1078">
        <f t="shared" si="406"/>
        <v>800</v>
      </c>
      <c r="AP3232" s="1078">
        <f t="shared" si="407"/>
        <v>1.71</v>
      </c>
      <c r="AQ3232" s="1078" t="str">
        <f t="shared" si="408"/>
        <v>1-4-1S83°</v>
      </c>
      <c r="AR3232" s="1078" t="str">
        <f t="shared" si="409"/>
        <v>30.2</v>
      </c>
      <c r="AS3232" s="1078" t="str">
        <f t="shared" si="410"/>
        <v>266/266/OFF</v>
      </c>
      <c r="AT3232" s="1078" t="str">
        <f t="shared" si="411"/>
        <v>1-4-1S83°</v>
      </c>
      <c r="AV3232" s="1078" t="str">
        <f t="shared" si="404"/>
        <v>114.11.20</v>
      </c>
      <c r="AW3232" s="1344">
        <f t="shared" si="405"/>
        <v>45981</v>
      </c>
    </row>
    <row r="3233" spans="1:49">
      <c r="A3233" s="1077" t="s">
        <v>16266</v>
      </c>
      <c r="B3233" s="1077" t="s">
        <v>472</v>
      </c>
      <c r="C3233" s="1077">
        <v>650</v>
      </c>
      <c r="D3233" s="1077">
        <v>1.69</v>
      </c>
      <c r="E3233" s="1077" t="s">
        <v>15089</v>
      </c>
      <c r="F3233" s="1077" t="s">
        <v>984</v>
      </c>
      <c r="G3233" s="1077" t="s">
        <v>1767</v>
      </c>
      <c r="H3233" s="1077" t="s">
        <v>1836</v>
      </c>
      <c r="I3233" s="1077" t="s">
        <v>126</v>
      </c>
      <c r="J3233" s="1077">
        <v>0.8</v>
      </c>
      <c r="K3233" s="1077" t="s">
        <v>16267</v>
      </c>
      <c r="L3233" s="1077" t="s">
        <v>1811</v>
      </c>
      <c r="M3233" s="1077">
        <v>74.599999999999994</v>
      </c>
      <c r="N3233" s="1077" t="s">
        <v>945</v>
      </c>
      <c r="O3233" s="1077">
        <v>1.865</v>
      </c>
      <c r="P3233" s="1077">
        <v>1.492</v>
      </c>
      <c r="Q3233" s="1077">
        <v>3.5</v>
      </c>
      <c r="R3233" s="1077">
        <v>28.5</v>
      </c>
      <c r="T3233" s="1077">
        <v>12.5</v>
      </c>
      <c r="U3233" s="1077">
        <v>5.0999999999999996</v>
      </c>
      <c r="V3233" s="1077" t="s">
        <v>648</v>
      </c>
      <c r="W3233" s="1077">
        <v>95</v>
      </c>
      <c r="X3233" s="1077">
        <v>60</v>
      </c>
      <c r="Y3233" s="1077">
        <v>1.8</v>
      </c>
      <c r="Z3233" s="1077">
        <v>4.5</v>
      </c>
      <c r="AA3233" s="1077" t="s">
        <v>16268</v>
      </c>
      <c r="AB3233" s="1077" t="s">
        <v>16269</v>
      </c>
      <c r="AH3233" s="1077" t="s">
        <v>878</v>
      </c>
      <c r="AI3233" s="1077">
        <v>93.45</v>
      </c>
      <c r="AJ3233" s="1077">
        <v>-0.54</v>
      </c>
      <c r="AK3233" s="1077">
        <v>3.76</v>
      </c>
      <c r="AM3233" s="1078" t="s">
        <v>16062</v>
      </c>
      <c r="AN3233" s="1078" t="s">
        <v>16525</v>
      </c>
      <c r="AO3233" s="1078">
        <f t="shared" si="406"/>
        <v>650</v>
      </c>
      <c r="AP3233" s="1078">
        <f t="shared" si="407"/>
        <v>1.69</v>
      </c>
      <c r="AQ3233" s="1078" t="str">
        <f t="shared" si="408"/>
        <v>1-4-1S83°</v>
      </c>
      <c r="AR3233" s="1078" t="str">
        <f t="shared" si="409"/>
        <v>30</v>
      </c>
      <c r="AS3233" s="1078" t="str">
        <f t="shared" si="410"/>
        <v>247/247/OFF</v>
      </c>
      <c r="AT3233" s="1078" t="str">
        <f t="shared" si="411"/>
        <v>1-4-1S83°</v>
      </c>
      <c r="AV3233" s="1078" t="str">
        <f t="shared" si="404"/>
        <v>114.12.15</v>
      </c>
      <c r="AW3233" s="1344">
        <f t="shared" si="405"/>
        <v>46006</v>
      </c>
    </row>
    <row r="3234" spans="1:49">
      <c r="A3234" s="1077" t="s">
        <v>16270</v>
      </c>
      <c r="B3234" s="1077" t="s">
        <v>1783</v>
      </c>
      <c r="C3234" s="1077">
        <v>500</v>
      </c>
      <c r="D3234" s="1077">
        <v>1.675</v>
      </c>
      <c r="E3234" s="1077" t="s">
        <v>15089</v>
      </c>
      <c r="F3234" s="1077" t="s">
        <v>2001</v>
      </c>
      <c r="G3234" s="1077" t="s">
        <v>1784</v>
      </c>
      <c r="H3234" s="1077" t="s">
        <v>2295</v>
      </c>
      <c r="I3234" s="1077" t="s">
        <v>126</v>
      </c>
      <c r="J3234" s="1077">
        <v>0.3</v>
      </c>
      <c r="K3234" s="1077" t="s">
        <v>16271</v>
      </c>
      <c r="L3234" s="1077" t="s">
        <v>1787</v>
      </c>
      <c r="M3234" s="1077">
        <v>76.099999999999994</v>
      </c>
      <c r="N3234" s="1077" t="s">
        <v>945</v>
      </c>
      <c r="O3234" s="1077">
        <v>1.9024999999999999</v>
      </c>
      <c r="P3234" s="1077">
        <v>1.522</v>
      </c>
      <c r="Q3234" s="1077">
        <v>3.5</v>
      </c>
      <c r="R3234" s="1077">
        <v>21</v>
      </c>
      <c r="T3234" s="1077">
        <v>13</v>
      </c>
      <c r="U3234" s="1077">
        <v>4</v>
      </c>
      <c r="V3234" s="1077" t="s">
        <v>648</v>
      </c>
      <c r="W3234" s="1077">
        <v>30</v>
      </c>
      <c r="X3234" s="1077">
        <v>10</v>
      </c>
      <c r="Y3234" s="1077">
        <v>2.5</v>
      </c>
      <c r="Z3234" s="1077">
        <v>2</v>
      </c>
      <c r="AA3234" s="1077" t="s">
        <v>16272</v>
      </c>
      <c r="AH3234" s="1077" t="s">
        <v>1186</v>
      </c>
      <c r="AI3234" s="1077">
        <v>95.22</v>
      </c>
      <c r="AJ3234" s="1077">
        <v>-0.21</v>
      </c>
      <c r="AK3234" s="1077">
        <v>0.79</v>
      </c>
      <c r="AM3234" s="1078" t="s">
        <v>16526</v>
      </c>
      <c r="AN3234" s="1078" t="s">
        <v>16527</v>
      </c>
      <c r="AO3234" s="1078">
        <f t="shared" si="406"/>
        <v>500</v>
      </c>
      <c r="AP3234" s="1078">
        <f t="shared" si="407"/>
        <v>1.675</v>
      </c>
      <c r="AQ3234" s="1078" t="str">
        <f t="shared" si="408"/>
        <v>1-4-1S83°</v>
      </c>
      <c r="AR3234" s="1078" t="str">
        <f t="shared" si="409"/>
        <v>29.9</v>
      </c>
      <c r="AS3234" s="1078" t="str">
        <f t="shared" si="410"/>
        <v>205/205/OFF</v>
      </c>
      <c r="AT3234" s="1078" t="str">
        <f t="shared" si="411"/>
        <v>1-4-1S83°</v>
      </c>
      <c r="AV3234" s="1078" t="str">
        <f t="shared" si="404"/>
        <v>114.12.3</v>
      </c>
      <c r="AW3234" s="1344">
        <f t="shared" si="405"/>
        <v>45994</v>
      </c>
    </row>
    <row r="3235" spans="1:49">
      <c r="A3235" s="1077" t="s">
        <v>16273</v>
      </c>
      <c r="B3235" s="1077" t="s">
        <v>771</v>
      </c>
      <c r="C3235" s="1077">
        <v>700</v>
      </c>
      <c r="D3235" s="1077">
        <v>1.75</v>
      </c>
      <c r="E3235" s="1077" t="s">
        <v>15089</v>
      </c>
      <c r="F3235" s="1077" t="s">
        <v>984</v>
      </c>
      <c r="G3235" s="1077">
        <v>5</v>
      </c>
      <c r="H3235" s="1077" t="s">
        <v>955</v>
      </c>
      <c r="I3235" s="1077" t="s">
        <v>126</v>
      </c>
      <c r="J3235" s="1077">
        <v>1.4</v>
      </c>
      <c r="K3235" s="1077" t="s">
        <v>16274</v>
      </c>
      <c r="L3235" s="1077" t="s">
        <v>2174</v>
      </c>
      <c r="M3235" s="1077">
        <v>75</v>
      </c>
      <c r="N3235" s="1077" t="s">
        <v>945</v>
      </c>
      <c r="O3235" s="1077">
        <v>1.875</v>
      </c>
      <c r="P3235" s="1077">
        <v>1.5</v>
      </c>
      <c r="Q3235" s="1077">
        <v>4</v>
      </c>
      <c r="R3235" s="1077">
        <v>23</v>
      </c>
      <c r="T3235" s="1077">
        <v>26.5</v>
      </c>
      <c r="U3235" s="1077">
        <v>3.8</v>
      </c>
      <c r="V3235" s="1077" t="s">
        <v>648</v>
      </c>
      <c r="W3235" s="1077">
        <v>100</v>
      </c>
      <c r="X3235" s="1077">
        <v>45</v>
      </c>
      <c r="Y3235" s="1077">
        <v>1.6</v>
      </c>
      <c r="Z3235" s="1077">
        <v>5</v>
      </c>
      <c r="AA3235" s="1077" t="s">
        <v>16275</v>
      </c>
      <c r="AH3235" s="1077" t="s">
        <v>887</v>
      </c>
      <c r="AI3235" s="1077">
        <v>92.3</v>
      </c>
      <c r="AJ3235" s="1077">
        <v>0.1</v>
      </c>
      <c r="AK3235" s="1077">
        <v>0.75</v>
      </c>
      <c r="AM3235" s="1078" t="s">
        <v>16086</v>
      </c>
      <c r="AN3235" s="1078" t="s">
        <v>16528</v>
      </c>
      <c r="AO3235" s="1078">
        <f t="shared" si="406"/>
        <v>700</v>
      </c>
      <c r="AP3235" s="1078">
        <f t="shared" si="407"/>
        <v>1.75</v>
      </c>
      <c r="AQ3235" s="1078" t="str">
        <f t="shared" si="408"/>
        <v>1-4-1S83°</v>
      </c>
      <c r="AR3235" s="1078" t="str">
        <f t="shared" si="409"/>
        <v>30</v>
      </c>
      <c r="AS3235" s="1078" t="str">
        <f t="shared" si="410"/>
        <v>260/260/OFF</v>
      </c>
      <c r="AT3235" s="1078" t="str">
        <f t="shared" si="411"/>
        <v>1-4-1S83°</v>
      </c>
      <c r="AV3235" s="1078" t="str">
        <f t="shared" si="404"/>
        <v>114.12.11</v>
      </c>
      <c r="AW3235" s="1344">
        <f t="shared" si="405"/>
        <v>46002</v>
      </c>
    </row>
    <row r="3236" spans="1:49">
      <c r="A3236" s="1077" t="s">
        <v>16276</v>
      </c>
      <c r="B3236" s="1077" t="s">
        <v>1783</v>
      </c>
      <c r="C3236" s="1077">
        <v>500</v>
      </c>
      <c r="D3236" s="1077">
        <v>1.675</v>
      </c>
      <c r="E3236" s="1077" t="s">
        <v>15089</v>
      </c>
      <c r="F3236" s="1077" t="s">
        <v>2001</v>
      </c>
      <c r="G3236" s="1077" t="s">
        <v>1784</v>
      </c>
      <c r="H3236" s="1077" t="s">
        <v>2295</v>
      </c>
      <c r="I3236" s="1077" t="s">
        <v>126</v>
      </c>
      <c r="J3236" s="1077">
        <v>0.3</v>
      </c>
      <c r="K3236" s="1077" t="s">
        <v>16277</v>
      </c>
      <c r="L3236" s="1077" t="s">
        <v>2590</v>
      </c>
      <c r="M3236" s="1077">
        <v>76.099999999999994</v>
      </c>
      <c r="N3236" s="1077" t="s">
        <v>945</v>
      </c>
      <c r="O3236" s="1077">
        <v>1.9024999999999999</v>
      </c>
      <c r="P3236" s="1077">
        <v>1.522</v>
      </c>
      <c r="Q3236" s="1077">
        <v>3.5</v>
      </c>
      <c r="R3236" s="1077">
        <v>21</v>
      </c>
      <c r="T3236" s="1077">
        <v>13</v>
      </c>
      <c r="U3236" s="1077">
        <v>4</v>
      </c>
      <c r="V3236" s="1077" t="s">
        <v>648</v>
      </c>
      <c r="W3236" s="1077">
        <v>30</v>
      </c>
      <c r="X3236" s="1077">
        <v>10</v>
      </c>
      <c r="Y3236" s="1077">
        <v>2.5</v>
      </c>
      <c r="Z3236" s="1077">
        <v>2</v>
      </c>
      <c r="AA3236" s="1077" t="s">
        <v>16278</v>
      </c>
      <c r="AH3236" s="1077" t="s">
        <v>1221</v>
      </c>
      <c r="AI3236" s="1077">
        <v>94.54</v>
      </c>
      <c r="AJ3236" s="1077">
        <v>-0.32</v>
      </c>
      <c r="AK3236" s="1077">
        <v>0.96</v>
      </c>
      <c r="AM3236" s="1078" t="s">
        <v>16087</v>
      </c>
      <c r="AN3236" s="1078" t="s">
        <v>16529</v>
      </c>
      <c r="AO3236" s="1078">
        <f t="shared" si="406"/>
        <v>500</v>
      </c>
      <c r="AP3236" s="1078">
        <f t="shared" si="407"/>
        <v>1.675</v>
      </c>
      <c r="AQ3236" s="1078" t="str">
        <f t="shared" si="408"/>
        <v>1-4-1S83°</v>
      </c>
      <c r="AR3236" s="1078" t="str">
        <f t="shared" si="409"/>
        <v>29.9</v>
      </c>
      <c r="AS3236" s="1078" t="str">
        <f t="shared" si="410"/>
        <v>205/205/OFF</v>
      </c>
      <c r="AT3236" s="1078" t="str">
        <f t="shared" si="411"/>
        <v>1-4-1S83°</v>
      </c>
      <c r="AV3236" s="1078" t="str">
        <f t="shared" si="404"/>
        <v>114.12.12</v>
      </c>
      <c r="AW3236" s="1344">
        <f t="shared" si="405"/>
        <v>46003</v>
      </c>
    </row>
    <row r="3237" spans="1:49">
      <c r="A3237" s="1077" t="s">
        <v>16279</v>
      </c>
      <c r="B3237" s="1077" t="s">
        <v>1842</v>
      </c>
      <c r="C3237" s="1077">
        <v>500</v>
      </c>
      <c r="D3237" s="1077">
        <v>1.68</v>
      </c>
      <c r="E3237" s="1077" t="s">
        <v>15095</v>
      </c>
      <c r="F3237" s="1077" t="s">
        <v>984</v>
      </c>
      <c r="G3237" s="1077" t="s">
        <v>1016</v>
      </c>
      <c r="H3237" s="1077" t="s">
        <v>1533</v>
      </c>
      <c r="I3237" s="1077" t="s">
        <v>126</v>
      </c>
      <c r="J3237" s="1077">
        <v>0.7</v>
      </c>
      <c r="K3237" s="1077" t="s">
        <v>16280</v>
      </c>
      <c r="L3237" s="1077" t="s">
        <v>1844</v>
      </c>
      <c r="M3237" s="1077">
        <v>77.099999999999994</v>
      </c>
      <c r="N3237" s="1077" t="s">
        <v>945</v>
      </c>
      <c r="O3237" s="1077">
        <v>1.9275</v>
      </c>
      <c r="P3237" s="1077">
        <v>1.5419999999999998</v>
      </c>
      <c r="Q3237" s="1077">
        <v>3.5</v>
      </c>
      <c r="R3237" s="1077">
        <v>25</v>
      </c>
      <c r="T3237" s="1077">
        <v>18</v>
      </c>
      <c r="U3237" s="1077">
        <v>4</v>
      </c>
      <c r="V3237" s="1077" t="s">
        <v>648</v>
      </c>
      <c r="W3237" s="1077">
        <v>110</v>
      </c>
      <c r="X3237" s="1077">
        <v>70</v>
      </c>
      <c r="Y3237" s="1077">
        <v>1.8</v>
      </c>
      <c r="Z3237" s="1077">
        <v>4.5</v>
      </c>
      <c r="AA3237" s="1077" t="s">
        <v>16281</v>
      </c>
      <c r="AH3237" s="1077" t="s">
        <v>812</v>
      </c>
      <c r="AI3237" s="1077">
        <v>94.58</v>
      </c>
      <c r="AJ3237" s="1077">
        <v>-0.36</v>
      </c>
      <c r="AK3237" s="1077">
        <v>1.3</v>
      </c>
      <c r="AM3237" s="1078" t="s">
        <v>16102</v>
      </c>
      <c r="AN3237" s="1078" t="s">
        <v>16530</v>
      </c>
      <c r="AO3237" s="1078">
        <f t="shared" si="406"/>
        <v>500</v>
      </c>
      <c r="AP3237" s="1078">
        <f t="shared" si="407"/>
        <v>1.68</v>
      </c>
      <c r="AQ3237" s="1078" t="str">
        <f t="shared" si="408"/>
        <v>1-5-1S83°</v>
      </c>
      <c r="AR3237" s="1078" t="str">
        <f t="shared" si="409"/>
        <v>30</v>
      </c>
      <c r="AS3237" s="1078" t="str">
        <f t="shared" si="410"/>
        <v>223/223/OFF</v>
      </c>
      <c r="AT3237" s="1078" t="str">
        <f t="shared" si="411"/>
        <v>1-5-1S83°</v>
      </c>
      <c r="AV3237" s="1078" t="str">
        <f t="shared" si="404"/>
        <v>114.12.18</v>
      </c>
      <c r="AW3237" s="1344">
        <f t="shared" si="405"/>
        <v>46009</v>
      </c>
    </row>
    <row r="3238" spans="1:49">
      <c r="A3238" s="1077" t="s">
        <v>16282</v>
      </c>
      <c r="B3238" s="1077" t="s">
        <v>620</v>
      </c>
      <c r="C3238" s="1077">
        <v>550</v>
      </c>
      <c r="D3238" s="1077">
        <v>1.73</v>
      </c>
      <c r="E3238" s="1077" t="s">
        <v>15089</v>
      </c>
      <c r="F3238" s="1077" t="s">
        <v>975</v>
      </c>
      <c r="G3238" s="1077" t="s">
        <v>940</v>
      </c>
      <c r="H3238" s="1077" t="s">
        <v>2067</v>
      </c>
      <c r="I3238" s="1077" t="s">
        <v>626</v>
      </c>
      <c r="J3238" s="1077">
        <v>1.6</v>
      </c>
      <c r="K3238" s="1077" t="s">
        <v>15920</v>
      </c>
      <c r="L3238" s="1077" t="s">
        <v>1821</v>
      </c>
      <c r="M3238" s="1077">
        <v>77</v>
      </c>
      <c r="N3238" s="1077" t="s">
        <v>945</v>
      </c>
      <c r="O3238" s="1077">
        <v>1.925</v>
      </c>
      <c r="P3238" s="1077">
        <v>1.54</v>
      </c>
      <c r="Q3238" s="1077">
        <v>3.5</v>
      </c>
      <c r="R3238" s="1077">
        <v>22</v>
      </c>
      <c r="T3238" s="1077">
        <v>9</v>
      </c>
      <c r="U3238" s="1077">
        <v>3</v>
      </c>
      <c r="V3238" s="1077" t="s">
        <v>648</v>
      </c>
      <c r="W3238" s="1077">
        <v>140</v>
      </c>
      <c r="X3238" s="1077">
        <v>80</v>
      </c>
      <c r="Y3238" s="1077">
        <v>2.1</v>
      </c>
      <c r="Z3238" s="1077">
        <v>2.5</v>
      </c>
      <c r="AA3238" s="1077" t="s">
        <v>16283</v>
      </c>
      <c r="AH3238" s="1077" t="s">
        <v>1421</v>
      </c>
      <c r="AI3238" s="1077">
        <v>91.9</v>
      </c>
      <c r="AJ3238" s="1077">
        <v>-0.45</v>
      </c>
      <c r="AK3238" s="1077">
        <v>1.1100000000000001</v>
      </c>
      <c r="AM3238" s="1078" t="s">
        <v>16107</v>
      </c>
      <c r="AN3238" s="1078" t="s">
        <v>16531</v>
      </c>
      <c r="AO3238" s="1078">
        <f t="shared" si="406"/>
        <v>550</v>
      </c>
      <c r="AP3238" s="1078">
        <f t="shared" si="407"/>
        <v>1.73</v>
      </c>
      <c r="AQ3238" s="1078" t="str">
        <f t="shared" si="408"/>
        <v>1-4-1S83°</v>
      </c>
      <c r="AR3238" s="1078" t="str">
        <f t="shared" si="409"/>
        <v>31.5</v>
      </c>
      <c r="AS3238" s="1078" t="str">
        <f t="shared" si="410"/>
        <v>250/250/150</v>
      </c>
      <c r="AT3238" s="1078" t="str">
        <f t="shared" si="411"/>
        <v>1-4-1S83°</v>
      </c>
      <c r="AV3238" s="1078" t="str">
        <f t="shared" si="404"/>
        <v>114.12.22</v>
      </c>
      <c r="AW3238" s="1344">
        <f t="shared" si="405"/>
        <v>46013</v>
      </c>
    </row>
    <row r="3239" spans="1:49">
      <c r="A3239" s="1077" t="s">
        <v>16284</v>
      </c>
      <c r="B3239" s="1077" t="s">
        <v>1783</v>
      </c>
      <c r="C3239" s="1077">
        <v>500</v>
      </c>
      <c r="D3239" s="1077">
        <v>1.675</v>
      </c>
      <c r="E3239" s="1077" t="s">
        <v>15096</v>
      </c>
      <c r="F3239" s="1077" t="s">
        <v>2001</v>
      </c>
      <c r="G3239" s="1077" t="s">
        <v>1784</v>
      </c>
      <c r="H3239" s="1077" t="s">
        <v>2295</v>
      </c>
      <c r="I3239" s="1077" t="s">
        <v>126</v>
      </c>
      <c r="J3239" s="1077">
        <v>0.3</v>
      </c>
      <c r="K3239" s="1077" t="s">
        <v>16247</v>
      </c>
      <c r="L3239" s="1077" t="s">
        <v>1787</v>
      </c>
      <c r="M3239" s="1077">
        <v>76.099999999999994</v>
      </c>
      <c r="N3239" s="1077" t="s">
        <v>945</v>
      </c>
      <c r="O3239" s="1077">
        <v>1.9024999999999999</v>
      </c>
      <c r="P3239" s="1077">
        <v>1.522</v>
      </c>
      <c r="Q3239" s="1077">
        <v>3.5</v>
      </c>
      <c r="R3239" s="1077">
        <v>21</v>
      </c>
      <c r="T3239" s="1077">
        <v>13</v>
      </c>
      <c r="U3239" s="1077">
        <v>4</v>
      </c>
      <c r="V3239" s="1077" t="s">
        <v>648</v>
      </c>
      <c r="W3239" s="1077">
        <v>30</v>
      </c>
      <c r="X3239" s="1077">
        <v>10</v>
      </c>
      <c r="Y3239" s="1077">
        <v>2.5</v>
      </c>
      <c r="Z3239" s="1077">
        <v>2</v>
      </c>
      <c r="AA3239" s="1077" t="s">
        <v>16285</v>
      </c>
      <c r="AH3239" s="1077" t="s">
        <v>622</v>
      </c>
      <c r="AI3239" s="1077">
        <v>94.87</v>
      </c>
      <c r="AJ3239" s="1077">
        <v>-0.38</v>
      </c>
      <c r="AK3239" s="1077">
        <v>1.61</v>
      </c>
      <c r="AM3239" s="1078" t="s">
        <v>16121</v>
      </c>
      <c r="AN3239" s="1078" t="s">
        <v>16532</v>
      </c>
      <c r="AO3239" s="1078">
        <f t="shared" si="406"/>
        <v>500</v>
      </c>
      <c r="AP3239" s="1078">
        <f t="shared" si="407"/>
        <v>1.675</v>
      </c>
      <c r="AQ3239" s="1078" t="str">
        <f t="shared" si="408"/>
        <v>1-4-1S87°</v>
      </c>
      <c r="AR3239" s="1078" t="str">
        <f t="shared" si="409"/>
        <v>29.9</v>
      </c>
      <c r="AS3239" s="1078" t="str">
        <f t="shared" si="410"/>
        <v>205/205/OFF</v>
      </c>
      <c r="AT3239" s="1078" t="str">
        <f t="shared" si="411"/>
        <v>1-4-1S87°</v>
      </c>
      <c r="AV3239" s="1078" t="str">
        <f t="shared" si="404"/>
        <v>114.12.31</v>
      </c>
      <c r="AW3239" s="1344">
        <f t="shared" si="405"/>
        <v>46022</v>
      </c>
    </row>
    <row r="3240" spans="1:49">
      <c r="A3240" s="1077" t="s">
        <v>16286</v>
      </c>
      <c r="B3240" s="1077" t="s">
        <v>1891</v>
      </c>
      <c r="C3240" s="1077">
        <v>650</v>
      </c>
      <c r="D3240" s="1077">
        <v>1.69</v>
      </c>
      <c r="E3240" s="1077" t="s">
        <v>15089</v>
      </c>
      <c r="F3240" s="1077" t="s">
        <v>984</v>
      </c>
      <c r="G3240" s="1077" t="s">
        <v>940</v>
      </c>
      <c r="H3240" s="1077" t="s">
        <v>1301</v>
      </c>
      <c r="I3240" s="1077" t="s">
        <v>126</v>
      </c>
      <c r="J3240" s="1077">
        <v>0.7</v>
      </c>
      <c r="K3240" s="1077" t="s">
        <v>16267</v>
      </c>
      <c r="L3240" s="1077" t="s">
        <v>1811</v>
      </c>
      <c r="M3240" s="1077">
        <v>74.599999999999994</v>
      </c>
      <c r="N3240" s="1077" t="s">
        <v>945</v>
      </c>
      <c r="O3240" s="1077">
        <v>1.865</v>
      </c>
      <c r="P3240" s="1077">
        <v>1.492</v>
      </c>
      <c r="Q3240" s="1077">
        <v>3.5</v>
      </c>
      <c r="R3240" s="1077">
        <v>29</v>
      </c>
      <c r="T3240" s="1077">
        <v>12.5</v>
      </c>
      <c r="U3240" s="1077">
        <v>5.0999999999999996</v>
      </c>
      <c r="V3240" s="1077" t="s">
        <v>648</v>
      </c>
      <c r="W3240" s="1077">
        <v>95</v>
      </c>
      <c r="X3240" s="1077">
        <v>60</v>
      </c>
      <c r="Y3240" s="1077">
        <v>1.8</v>
      </c>
      <c r="Z3240" s="1077">
        <v>4.5</v>
      </c>
      <c r="AA3240" s="1077" t="s">
        <v>16287</v>
      </c>
      <c r="AB3240" s="1077" t="s">
        <v>16288</v>
      </c>
      <c r="AH3240" s="1077" t="s">
        <v>483</v>
      </c>
      <c r="AI3240" s="1077">
        <v>93.65</v>
      </c>
      <c r="AJ3240" s="1077">
        <v>-0.9</v>
      </c>
      <c r="AK3240" s="1077">
        <v>3.61</v>
      </c>
      <c r="AM3240" s="1078" t="s">
        <v>16150</v>
      </c>
      <c r="AN3240" s="1078" t="s">
        <v>16533</v>
      </c>
      <c r="AO3240" s="1078">
        <f t="shared" si="406"/>
        <v>650</v>
      </c>
      <c r="AP3240" s="1078">
        <f t="shared" si="407"/>
        <v>1.69</v>
      </c>
      <c r="AQ3240" s="1078" t="str">
        <f t="shared" si="408"/>
        <v>1-4-1S83°</v>
      </c>
      <c r="AR3240" s="1078" t="str">
        <f t="shared" si="409"/>
        <v>30</v>
      </c>
      <c r="AS3240" s="1078" t="str">
        <f t="shared" si="410"/>
        <v>242/242/OFF</v>
      </c>
      <c r="AT3240" s="1078" t="str">
        <f t="shared" si="411"/>
        <v>1-4-1S83°</v>
      </c>
      <c r="AV3240" s="1078" t="str">
        <f t="shared" si="404"/>
        <v>115.1.28</v>
      </c>
      <c r="AW3240" s="1344">
        <f t="shared" si="405"/>
        <v>46050</v>
      </c>
    </row>
    <row r="3241" spans="1:49">
      <c r="A3241" s="1077" t="s">
        <v>16289</v>
      </c>
      <c r="B3241" s="1077" t="s">
        <v>424</v>
      </c>
      <c r="C3241" s="1077">
        <v>780</v>
      </c>
      <c r="D3241" s="1077">
        <v>1.78</v>
      </c>
      <c r="E3241" s="1077" t="s">
        <v>15089</v>
      </c>
      <c r="F3241" s="1077" t="s">
        <v>954</v>
      </c>
      <c r="G3241" s="1077" t="s">
        <v>1767</v>
      </c>
      <c r="H3241" s="1077" t="s">
        <v>16290</v>
      </c>
      <c r="I3241" s="1077" t="s">
        <v>126</v>
      </c>
      <c r="J3241" s="1077">
        <v>1.8</v>
      </c>
      <c r="K3241" s="1077" t="s">
        <v>15645</v>
      </c>
      <c r="L3241" s="1077" t="s">
        <v>1968</v>
      </c>
      <c r="M3241" s="1077">
        <v>73</v>
      </c>
      <c r="N3241" s="1077" t="s">
        <v>945</v>
      </c>
      <c r="O3241" s="1077">
        <v>1.8250000000000002</v>
      </c>
      <c r="P3241" s="1077">
        <v>1.46</v>
      </c>
      <c r="Q3241" s="1077">
        <v>4</v>
      </c>
      <c r="R3241" s="1077">
        <v>21.6</v>
      </c>
      <c r="T3241" s="1077">
        <v>32</v>
      </c>
      <c r="U3241" s="1077">
        <v>3.5</v>
      </c>
      <c r="V3241" s="1077" t="s">
        <v>648</v>
      </c>
      <c r="W3241" s="1077">
        <v>110</v>
      </c>
      <c r="X3241" s="1077">
        <v>60</v>
      </c>
      <c r="Y3241" s="1077">
        <v>1.5</v>
      </c>
      <c r="Z3241" s="1077">
        <v>5.5</v>
      </c>
      <c r="AA3241" s="1077" t="s">
        <v>16224</v>
      </c>
      <c r="AH3241" s="1077" t="s">
        <v>2609</v>
      </c>
      <c r="AI3241" s="1077">
        <v>91.8</v>
      </c>
      <c r="AJ3241" s="1077">
        <v>-0.24</v>
      </c>
      <c r="AK3241" s="1077">
        <v>0.88</v>
      </c>
      <c r="AM3241" s="1078" t="s">
        <v>16187</v>
      </c>
      <c r="AN3241" s="1078" t="s">
        <v>16534</v>
      </c>
      <c r="AO3241" s="1078">
        <f t="shared" si="406"/>
        <v>780</v>
      </c>
      <c r="AP3241" s="1078">
        <f t="shared" si="407"/>
        <v>1.78</v>
      </c>
      <c r="AQ3241" s="1078" t="str">
        <f t="shared" si="408"/>
        <v>1-4-1S83°</v>
      </c>
      <c r="AR3241" s="1078" t="str">
        <f t="shared" si="409"/>
        <v>31</v>
      </c>
      <c r="AS3241" s="1078" t="str">
        <f t="shared" si="410"/>
        <v>279/279/OFF</v>
      </c>
      <c r="AT3241" s="1078" t="str">
        <f t="shared" si="411"/>
        <v>1-4-1S83°</v>
      </c>
      <c r="AV3241" s="1078" t="str">
        <f t="shared" si="404"/>
        <v>115.2.23</v>
      </c>
      <c r="AW3241" s="1344">
        <f t="shared" si="405"/>
        <v>46076</v>
      </c>
    </row>
    <row r="3242" spans="1:49">
      <c r="A3242" s="1077" t="s">
        <v>16291</v>
      </c>
      <c r="B3242" s="1077" t="s">
        <v>840</v>
      </c>
      <c r="C3242" s="1077">
        <v>600</v>
      </c>
      <c r="D3242" s="1077">
        <v>1.77</v>
      </c>
      <c r="E3242" s="1077" t="s">
        <v>15095</v>
      </c>
      <c r="F3242" s="1077" t="s">
        <v>954</v>
      </c>
      <c r="G3242" s="1077" t="s">
        <v>940</v>
      </c>
      <c r="H3242" s="1077" t="s">
        <v>1017</v>
      </c>
      <c r="I3242" s="1077" t="s">
        <v>126</v>
      </c>
      <c r="J3242" s="1077">
        <v>1.7</v>
      </c>
      <c r="K3242" s="1077" t="s">
        <v>16292</v>
      </c>
      <c r="L3242" s="1077" t="s">
        <v>1964</v>
      </c>
      <c r="M3242" s="1077">
        <v>75.400000000000006</v>
      </c>
      <c r="N3242" s="1077" t="s">
        <v>945</v>
      </c>
      <c r="O3242" s="1077">
        <v>1.8850000000000002</v>
      </c>
      <c r="P3242" s="1077">
        <v>1.5080000000000002</v>
      </c>
      <c r="Q3242" s="1077">
        <v>3</v>
      </c>
      <c r="R3242" s="1077">
        <v>26</v>
      </c>
      <c r="T3242" s="1077">
        <v>18</v>
      </c>
      <c r="U3242" s="1077">
        <v>6</v>
      </c>
      <c r="V3242" s="1077" t="s">
        <v>648</v>
      </c>
      <c r="W3242" s="1077">
        <v>120</v>
      </c>
      <c r="X3242" s="1077">
        <v>80</v>
      </c>
      <c r="Y3242" s="1077">
        <v>2</v>
      </c>
      <c r="Z3242" s="1077">
        <v>6</v>
      </c>
      <c r="AA3242" s="1077" t="s">
        <v>16245</v>
      </c>
      <c r="AH3242" s="1077" t="s">
        <v>762</v>
      </c>
      <c r="AI3242" s="1077">
        <v>92.1</v>
      </c>
      <c r="AJ3242" s="1077">
        <v>-0.49</v>
      </c>
      <c r="AK3242" s="1077">
        <v>2.46</v>
      </c>
      <c r="AM3242" s="1078" t="s">
        <v>16197</v>
      </c>
      <c r="AN3242" s="1078" t="s">
        <v>16535</v>
      </c>
      <c r="AO3242" s="1078">
        <f t="shared" si="406"/>
        <v>600</v>
      </c>
      <c r="AP3242" s="1078">
        <f t="shared" si="407"/>
        <v>1.77</v>
      </c>
      <c r="AQ3242" s="1078" t="str">
        <f t="shared" si="408"/>
        <v>1-5-1S83°</v>
      </c>
      <c r="AR3242" s="1078" t="str">
        <f t="shared" si="409"/>
        <v>31</v>
      </c>
      <c r="AS3242" s="1078" t="str">
        <f t="shared" si="410"/>
        <v>200/200/OFF</v>
      </c>
      <c r="AT3242" s="1078" t="str">
        <f t="shared" si="411"/>
        <v>1-5-1S83°</v>
      </c>
      <c r="AV3242" s="1078" t="str">
        <f t="shared" si="404"/>
        <v>115.3.2</v>
      </c>
      <c r="AW3242" s="1344">
        <f t="shared" si="405"/>
        <v>46083</v>
      </c>
    </row>
    <row r="3243" spans="1:49">
      <c r="A3243" s="1077" t="s">
        <v>16293</v>
      </c>
      <c r="B3243" s="1077" t="s">
        <v>453</v>
      </c>
      <c r="C3243" s="1077">
        <v>700</v>
      </c>
      <c r="D3243" s="1077">
        <v>1.66</v>
      </c>
      <c r="E3243" s="1077" t="s">
        <v>15095</v>
      </c>
      <c r="F3243" s="1077" t="s">
        <v>1773</v>
      </c>
      <c r="G3243" s="1077" t="s">
        <v>1016</v>
      </c>
      <c r="H3243" s="1077" t="s">
        <v>16294</v>
      </c>
      <c r="I3243" s="1077" t="s">
        <v>942</v>
      </c>
      <c r="J3243" s="1077">
        <v>0.5</v>
      </c>
      <c r="K3243" s="1077" t="s">
        <v>15920</v>
      </c>
      <c r="L3243" s="1077" t="s">
        <v>1821</v>
      </c>
      <c r="M3243" s="1077">
        <v>76.5</v>
      </c>
      <c r="N3243" s="1077" t="s">
        <v>945</v>
      </c>
      <c r="O3243" s="1077">
        <v>1.9125000000000001</v>
      </c>
      <c r="P3243" s="1077">
        <v>1.53</v>
      </c>
      <c r="Q3243" s="1077">
        <v>4</v>
      </c>
      <c r="R3243" s="1077">
        <v>21</v>
      </c>
      <c r="T3243" s="1077">
        <v>18</v>
      </c>
      <c r="U3243" s="1077">
        <v>3</v>
      </c>
      <c r="V3243" s="1077" t="s">
        <v>648</v>
      </c>
      <c r="W3243" s="1077">
        <v>30</v>
      </c>
      <c r="X3243" s="1077">
        <v>10</v>
      </c>
      <c r="Y3243" s="1077">
        <v>1.2</v>
      </c>
      <c r="Z3243" s="1077">
        <v>4</v>
      </c>
      <c r="AA3243" s="1077" t="s">
        <v>16295</v>
      </c>
      <c r="AH3243" s="1077" t="s">
        <v>680</v>
      </c>
      <c r="AI3243" s="1077">
        <v>92.77</v>
      </c>
      <c r="AJ3243" s="1077">
        <v>-0.19</v>
      </c>
      <c r="AK3243" s="1077">
        <v>0.83</v>
      </c>
      <c r="AM3243" s="1078" t="s">
        <v>16190</v>
      </c>
      <c r="AN3243" s="1078" t="s">
        <v>16536</v>
      </c>
      <c r="AO3243" s="1078">
        <f t="shared" si="406"/>
        <v>700</v>
      </c>
      <c r="AP3243" s="1078">
        <f t="shared" si="407"/>
        <v>1.66</v>
      </c>
      <c r="AQ3243" s="1078" t="str">
        <f t="shared" si="408"/>
        <v>1-5-1S83°</v>
      </c>
      <c r="AR3243" s="1078" t="str">
        <f t="shared" si="409"/>
        <v>30.2</v>
      </c>
      <c r="AS3243" s="1078" t="str">
        <f t="shared" si="410"/>
        <v>260/260/130</v>
      </c>
      <c r="AT3243" s="1078" t="str">
        <f t="shared" si="411"/>
        <v>1-5-1S83°</v>
      </c>
      <c r="AV3243" s="1078" t="str">
        <f t="shared" si="404"/>
        <v>115.2.25</v>
      </c>
      <c r="AW3243" s="1344">
        <f t="shared" si="405"/>
        <v>46078</v>
      </c>
    </row>
    <row r="3244" spans="1:49">
      <c r="A3244" s="1077" t="s">
        <v>16296</v>
      </c>
      <c r="B3244" s="1077" t="s">
        <v>1783</v>
      </c>
      <c r="C3244" s="1077">
        <v>500</v>
      </c>
      <c r="D3244" s="1077">
        <v>1.68</v>
      </c>
      <c r="E3244" s="1077" t="s">
        <v>15096</v>
      </c>
      <c r="F3244" s="1077" t="s">
        <v>2001</v>
      </c>
      <c r="G3244" s="1077" t="s">
        <v>1784</v>
      </c>
      <c r="H3244" s="1077" t="s">
        <v>2295</v>
      </c>
      <c r="I3244" s="1077" t="s">
        <v>126</v>
      </c>
      <c r="J3244" s="1077">
        <v>0.3</v>
      </c>
      <c r="K3244" s="1077" t="s">
        <v>16297</v>
      </c>
      <c r="L3244" s="1077" t="s">
        <v>1787</v>
      </c>
      <c r="M3244" s="1077">
        <v>76.099999999999994</v>
      </c>
      <c r="N3244" s="1077" t="s">
        <v>945</v>
      </c>
      <c r="O3244" s="1077">
        <v>1.9024999999999999</v>
      </c>
      <c r="P3244" s="1077">
        <v>1.522</v>
      </c>
      <c r="Q3244" s="1077">
        <v>3.5</v>
      </c>
      <c r="R3244" s="1077">
        <v>21</v>
      </c>
      <c r="T3244" s="1077">
        <v>13</v>
      </c>
      <c r="U3244" s="1077">
        <v>4</v>
      </c>
      <c r="V3244" s="1077" t="s">
        <v>648</v>
      </c>
      <c r="W3244" s="1077">
        <v>30</v>
      </c>
      <c r="X3244" s="1077">
        <v>10</v>
      </c>
      <c r="Y3244" s="1077">
        <v>2.5</v>
      </c>
      <c r="Z3244" s="1077">
        <v>2</v>
      </c>
      <c r="AA3244" s="1077" t="s">
        <v>16298</v>
      </c>
      <c r="AH3244" s="1077" t="s">
        <v>466</v>
      </c>
      <c r="AI3244" s="1077">
        <v>94.92</v>
      </c>
      <c r="AJ3244" s="1077">
        <v>-0.18</v>
      </c>
      <c r="AK3244" s="1077">
        <v>1.52</v>
      </c>
      <c r="AM3244" s="1078" t="s">
        <v>16192</v>
      </c>
      <c r="AN3244" s="1078" t="s">
        <v>16537</v>
      </c>
      <c r="AO3244" s="1078">
        <f t="shared" si="406"/>
        <v>500</v>
      </c>
      <c r="AP3244" s="1078">
        <f t="shared" si="407"/>
        <v>1.68</v>
      </c>
      <c r="AQ3244" s="1078" t="str">
        <f t="shared" si="408"/>
        <v>1-4-1S87°</v>
      </c>
      <c r="AR3244" s="1078" t="str">
        <f t="shared" si="409"/>
        <v>29.9</v>
      </c>
      <c r="AS3244" s="1078" t="str">
        <f t="shared" si="410"/>
        <v>205/205/OFF</v>
      </c>
      <c r="AT3244" s="1078" t="str">
        <f t="shared" si="411"/>
        <v>1-4-1S87°</v>
      </c>
      <c r="AV3244" s="1078" t="str">
        <f t="shared" si="404"/>
        <v>115.2.26</v>
      </c>
      <c r="AW3244" s="1344">
        <f t="shared" si="405"/>
        <v>46079</v>
      </c>
    </row>
    <row r="3245" spans="1:49">
      <c r="A3245" s="1077" t="s">
        <v>16299</v>
      </c>
      <c r="B3245" s="1077" t="s">
        <v>771</v>
      </c>
      <c r="C3245" s="1077">
        <v>700</v>
      </c>
      <c r="D3245" s="1077">
        <v>1.7450000000000001</v>
      </c>
      <c r="E3245" s="1077" t="s">
        <v>15096</v>
      </c>
      <c r="F3245" s="1077" t="s">
        <v>984</v>
      </c>
      <c r="G3245" s="1077">
        <v>2</v>
      </c>
      <c r="H3245" s="1077" t="s">
        <v>1061</v>
      </c>
      <c r="I3245" s="1077" t="s">
        <v>126</v>
      </c>
      <c r="J3245" s="1077">
        <v>1.3</v>
      </c>
      <c r="K3245" s="1077" t="s">
        <v>16274</v>
      </c>
      <c r="L3245" s="1077" t="s">
        <v>2174</v>
      </c>
      <c r="M3245" s="1077">
        <v>75</v>
      </c>
      <c r="N3245" s="1077" t="s">
        <v>945</v>
      </c>
      <c r="O3245" s="1077">
        <v>1.875</v>
      </c>
      <c r="P3245" s="1077">
        <v>1.5</v>
      </c>
      <c r="Q3245" s="1077">
        <v>4</v>
      </c>
      <c r="R3245" s="1077">
        <v>23</v>
      </c>
      <c r="T3245" s="1077">
        <v>26.5</v>
      </c>
      <c r="U3245" s="1077">
        <v>3.8</v>
      </c>
      <c r="V3245" s="1077" t="s">
        <v>648</v>
      </c>
      <c r="W3245" s="1077">
        <v>100</v>
      </c>
      <c r="X3245" s="1077">
        <v>45</v>
      </c>
      <c r="Y3245" s="1077">
        <v>1.6</v>
      </c>
      <c r="Z3245" s="1077">
        <v>5</v>
      </c>
      <c r="AA3245" s="1077" t="s">
        <v>16300</v>
      </c>
      <c r="AH3245" s="1077" t="s">
        <v>889</v>
      </c>
      <c r="AM3245" s="1078" t="s">
        <v>16202</v>
      </c>
      <c r="AN3245" s="1078" t="s">
        <v>16538</v>
      </c>
      <c r="AO3245" s="1078">
        <f t="shared" si="406"/>
        <v>700</v>
      </c>
      <c r="AP3245" s="1078">
        <f t="shared" si="407"/>
        <v>1.7450000000000001</v>
      </c>
      <c r="AQ3245" s="1078" t="str">
        <f t="shared" si="408"/>
        <v>1-4-1S87°</v>
      </c>
      <c r="AR3245" s="1078" t="str">
        <f t="shared" si="409"/>
        <v>30</v>
      </c>
      <c r="AS3245" s="1078" t="str">
        <f t="shared" si="410"/>
        <v>255/255/OFF</v>
      </c>
      <c r="AT3245" s="1078" t="str">
        <f t="shared" si="411"/>
        <v>1-4-1S87°</v>
      </c>
      <c r="AV3245" s="1078" t="str">
        <f t="shared" si="404"/>
        <v>115.3.4</v>
      </c>
      <c r="AW3245" s="1344">
        <f t="shared" si="405"/>
        <v>46085</v>
      </c>
    </row>
    <row r="3246" spans="1:49">
      <c r="A3246" s="1077" t="s">
        <v>16301</v>
      </c>
      <c r="B3246" s="1077" t="s">
        <v>298</v>
      </c>
      <c r="C3246" s="1077">
        <v>700</v>
      </c>
      <c r="D3246" s="1077">
        <v>1.76</v>
      </c>
      <c r="E3246" s="1077" t="s">
        <v>15095</v>
      </c>
      <c r="F3246" s="1077" t="s">
        <v>954</v>
      </c>
      <c r="G3246" s="1077" t="s">
        <v>1767</v>
      </c>
      <c r="H3246" s="1077" t="s">
        <v>1077</v>
      </c>
      <c r="I3246" s="1077" t="s">
        <v>626</v>
      </c>
      <c r="J3246" s="1077">
        <v>2.4</v>
      </c>
      <c r="K3246" s="1077" t="s">
        <v>16302</v>
      </c>
      <c r="L3246" s="1077" t="s">
        <v>4487</v>
      </c>
      <c r="M3246" s="1077">
        <v>101.5</v>
      </c>
      <c r="N3246" s="1077" t="s">
        <v>945</v>
      </c>
      <c r="O3246" s="1077">
        <v>2.5375000000000001</v>
      </c>
      <c r="P3246" s="1077">
        <v>2.0300000000000002</v>
      </c>
      <c r="Q3246" s="1077">
        <v>3.5</v>
      </c>
      <c r="R3246" s="1077">
        <v>19</v>
      </c>
      <c r="T3246" s="1077">
        <v>24</v>
      </c>
      <c r="U3246" s="1077">
        <v>5.4</v>
      </c>
      <c r="V3246" s="1077" t="s">
        <v>648</v>
      </c>
      <c r="W3246" s="1077">
        <v>135</v>
      </c>
      <c r="X3246" s="1077">
        <v>10</v>
      </c>
      <c r="Y3246" s="1077">
        <v>1.3</v>
      </c>
      <c r="Z3246" s="1077">
        <v>6</v>
      </c>
      <c r="AA3246" s="1077" t="s">
        <v>16303</v>
      </c>
      <c r="AH3246" s="1077" t="s">
        <v>762</v>
      </c>
      <c r="AI3246" s="1077">
        <v>91.32</v>
      </c>
      <c r="AJ3246" s="1077">
        <v>-0.42</v>
      </c>
      <c r="AK3246" s="1077">
        <v>1.1100000000000001</v>
      </c>
      <c r="AM3246" s="1078" t="s">
        <v>16539</v>
      </c>
      <c r="AN3246" s="1078" t="s">
        <v>16540</v>
      </c>
      <c r="AO3246" s="1078">
        <f t="shared" si="406"/>
        <v>700</v>
      </c>
      <c r="AP3246" s="1078">
        <f t="shared" si="407"/>
        <v>1.76</v>
      </c>
      <c r="AQ3246" s="1078" t="str">
        <f t="shared" si="408"/>
        <v>1-5-1S83°</v>
      </c>
      <c r="AR3246" s="1078" t="str">
        <f t="shared" si="409"/>
        <v>31</v>
      </c>
      <c r="AS3246" s="1078" t="str">
        <f t="shared" si="410"/>
        <v>245/245/OFF</v>
      </c>
      <c r="AT3246" s="1078" t="str">
        <f t="shared" si="411"/>
        <v>1-5-1S83°</v>
      </c>
      <c r="AV3246" s="1078" t="str">
        <f t="shared" si="404"/>
        <v>114.10.7</v>
      </c>
      <c r="AW3246" s="1344">
        <f t="shared" si="405"/>
        <v>45937</v>
      </c>
    </row>
    <row r="3247" spans="1:49">
      <c r="A3247" s="1077" t="s">
        <v>16304</v>
      </c>
      <c r="B3247" s="1077" t="s">
        <v>715</v>
      </c>
      <c r="C3247" s="1077">
        <v>650</v>
      </c>
      <c r="D3247" s="1077">
        <v>1.7050000000000001</v>
      </c>
      <c r="E3247" s="1077" t="s">
        <v>15095</v>
      </c>
      <c r="F3247" s="1077" t="s">
        <v>1897</v>
      </c>
      <c r="G3247" s="1077" t="s">
        <v>940</v>
      </c>
      <c r="H3247" s="1077" t="s">
        <v>1226</v>
      </c>
      <c r="I3247" s="1077" t="s">
        <v>126</v>
      </c>
      <c r="J3247" s="1077">
        <v>1.1000000000000001</v>
      </c>
      <c r="K3247" s="1077" t="s">
        <v>16305</v>
      </c>
      <c r="L3247" s="1077" t="s">
        <v>4548</v>
      </c>
      <c r="M3247" s="1077">
        <v>101.5</v>
      </c>
      <c r="N3247" s="1077" t="s">
        <v>945</v>
      </c>
      <c r="O3247" s="1077">
        <v>2.5375000000000001</v>
      </c>
      <c r="P3247" s="1077">
        <v>2.0300000000000002</v>
      </c>
      <c r="Q3247" s="1077">
        <v>4</v>
      </c>
      <c r="R3247" s="1077">
        <v>23</v>
      </c>
      <c r="T3247" s="1077">
        <v>12</v>
      </c>
      <c r="U3247" s="1077">
        <v>4.5</v>
      </c>
      <c r="V3247" s="1077" t="s">
        <v>648</v>
      </c>
      <c r="W3247" s="1077">
        <v>125</v>
      </c>
      <c r="X3247" s="1077">
        <v>80</v>
      </c>
      <c r="Y3247" s="1077">
        <v>1.5</v>
      </c>
      <c r="Z3247" s="1077">
        <v>4</v>
      </c>
      <c r="AA3247" s="1077" t="s">
        <v>16306</v>
      </c>
      <c r="AH3247" s="1077" t="s">
        <v>621</v>
      </c>
      <c r="AI3247" s="1077">
        <v>94.12</v>
      </c>
      <c r="AJ3247" s="1077">
        <v>-1.06</v>
      </c>
      <c r="AK3247" s="1077">
        <v>1.73</v>
      </c>
      <c r="AM3247" s="1078" t="s">
        <v>16541</v>
      </c>
      <c r="AN3247" s="1078" t="s">
        <v>16542</v>
      </c>
      <c r="AO3247" s="1078">
        <f t="shared" si="406"/>
        <v>650</v>
      </c>
      <c r="AP3247" s="1078">
        <f t="shared" si="407"/>
        <v>1.7050000000000001</v>
      </c>
      <c r="AQ3247" s="1078" t="str">
        <f t="shared" si="408"/>
        <v>1-5-1S83°</v>
      </c>
      <c r="AR3247" s="1078" t="str">
        <f t="shared" si="409"/>
        <v>30.8</v>
      </c>
      <c r="AS3247" s="1078" t="str">
        <f t="shared" si="410"/>
        <v>230/230/OFF</v>
      </c>
      <c r="AT3247" s="1078" t="str">
        <f t="shared" si="411"/>
        <v>1-5-1S83°</v>
      </c>
      <c r="AV3247" s="1078" t="str">
        <f t="shared" si="404"/>
        <v>114.10.28</v>
      </c>
      <c r="AW3247" s="1344">
        <f t="shared" si="405"/>
        <v>45958</v>
      </c>
    </row>
    <row r="3248" spans="1:49">
      <c r="A3248" s="1077" t="s">
        <v>16307</v>
      </c>
      <c r="B3248" s="1077" t="s">
        <v>715</v>
      </c>
      <c r="C3248" s="1077">
        <v>650</v>
      </c>
      <c r="D3248" s="1077">
        <v>1.7</v>
      </c>
      <c r="E3248" s="1077" t="s">
        <v>15095</v>
      </c>
      <c r="F3248" s="1077" t="s">
        <v>1897</v>
      </c>
      <c r="G3248" s="1077" t="s">
        <v>940</v>
      </c>
      <c r="H3248" s="1077" t="s">
        <v>1226</v>
      </c>
      <c r="I3248" s="1077" t="s">
        <v>126</v>
      </c>
      <c r="J3248" s="1077">
        <v>1.1000000000000001</v>
      </c>
      <c r="K3248" s="1077" t="s">
        <v>16305</v>
      </c>
      <c r="L3248" s="1077" t="s">
        <v>4548</v>
      </c>
      <c r="M3248" s="1077">
        <v>101.5</v>
      </c>
      <c r="N3248" s="1077" t="s">
        <v>945</v>
      </c>
      <c r="O3248" s="1077">
        <v>2.5375000000000001</v>
      </c>
      <c r="P3248" s="1077">
        <v>2.0300000000000002</v>
      </c>
      <c r="Q3248" s="1077">
        <v>4</v>
      </c>
      <c r="R3248" s="1077">
        <v>23</v>
      </c>
      <c r="T3248" s="1077">
        <v>12</v>
      </c>
      <c r="U3248" s="1077">
        <v>4.5</v>
      </c>
      <c r="V3248" s="1077" t="s">
        <v>648</v>
      </c>
      <c r="W3248" s="1077">
        <v>125</v>
      </c>
      <c r="X3248" s="1077">
        <v>80</v>
      </c>
      <c r="Y3248" s="1077">
        <v>1.5</v>
      </c>
      <c r="Z3248" s="1077">
        <v>4</v>
      </c>
      <c r="AA3248" s="1077" t="s">
        <v>16306</v>
      </c>
      <c r="AH3248" s="1077" t="s">
        <v>813</v>
      </c>
      <c r="AI3248" s="1077">
        <v>94.44</v>
      </c>
      <c r="AJ3248" s="1077">
        <v>-0.97</v>
      </c>
      <c r="AK3248" s="1077">
        <v>1.79</v>
      </c>
      <c r="AM3248" s="1078" t="s">
        <v>16543</v>
      </c>
      <c r="AN3248" s="1078" t="s">
        <v>16544</v>
      </c>
      <c r="AO3248" s="1078">
        <f t="shared" si="406"/>
        <v>650</v>
      </c>
      <c r="AP3248" s="1078">
        <f t="shared" si="407"/>
        <v>1.7</v>
      </c>
      <c r="AQ3248" s="1078" t="str">
        <f t="shared" si="408"/>
        <v>1-5-1S83°</v>
      </c>
      <c r="AR3248" s="1078" t="str">
        <f t="shared" si="409"/>
        <v>30.8</v>
      </c>
      <c r="AS3248" s="1078" t="str">
        <f t="shared" si="410"/>
        <v>230/230/OFF</v>
      </c>
      <c r="AT3248" s="1078" t="str">
        <f t="shared" si="411"/>
        <v>1-5-1S83°</v>
      </c>
      <c r="AV3248" s="1078" t="str">
        <f t="shared" si="404"/>
        <v>114.10.28</v>
      </c>
      <c r="AW3248" s="1344">
        <f t="shared" si="405"/>
        <v>45958</v>
      </c>
    </row>
    <row r="3249" spans="1:49">
      <c r="A3249" s="1077" t="s">
        <v>16308</v>
      </c>
      <c r="B3249" s="1077" t="s">
        <v>715</v>
      </c>
      <c r="C3249" s="1077">
        <v>650</v>
      </c>
      <c r="D3249" s="1077">
        <v>1.7050000000000001</v>
      </c>
      <c r="E3249" s="1077" t="s">
        <v>15095</v>
      </c>
      <c r="F3249" s="1077" t="s">
        <v>1897</v>
      </c>
      <c r="G3249" s="1077" t="s">
        <v>940</v>
      </c>
      <c r="H3249" s="1077" t="s">
        <v>1226</v>
      </c>
      <c r="I3249" s="1077" t="s">
        <v>126</v>
      </c>
      <c r="J3249" s="1077">
        <v>1.2</v>
      </c>
      <c r="K3249" s="1077" t="s">
        <v>16309</v>
      </c>
      <c r="L3249" s="1077" t="s">
        <v>4548</v>
      </c>
      <c r="M3249" s="1077">
        <v>101.5</v>
      </c>
      <c r="N3249" s="1077" t="s">
        <v>945</v>
      </c>
      <c r="O3249" s="1077">
        <v>2.5375000000000001</v>
      </c>
      <c r="P3249" s="1077">
        <v>2.0300000000000002</v>
      </c>
      <c r="Q3249" s="1077">
        <v>4</v>
      </c>
      <c r="R3249" s="1077">
        <v>23</v>
      </c>
      <c r="T3249" s="1077">
        <v>12</v>
      </c>
      <c r="U3249" s="1077">
        <v>4.5</v>
      </c>
      <c r="V3249" s="1077" t="s">
        <v>648</v>
      </c>
      <c r="W3249" s="1077">
        <v>125</v>
      </c>
      <c r="X3249" s="1077">
        <v>80</v>
      </c>
      <c r="Y3249" s="1077">
        <v>1.5</v>
      </c>
      <c r="Z3249" s="1077">
        <v>4</v>
      </c>
      <c r="AA3249" s="1077" t="s">
        <v>16310</v>
      </c>
      <c r="AH3249" s="1077" t="s">
        <v>813</v>
      </c>
      <c r="AI3249" s="1077">
        <v>94.12</v>
      </c>
      <c r="AJ3249" s="1077">
        <v>-0.79</v>
      </c>
      <c r="AK3249" s="1077">
        <v>1.73</v>
      </c>
      <c r="AM3249" s="1078" t="s">
        <v>16545</v>
      </c>
      <c r="AN3249" s="1078" t="s">
        <v>16546</v>
      </c>
      <c r="AO3249" s="1078">
        <f t="shared" si="406"/>
        <v>650</v>
      </c>
      <c r="AP3249" s="1078">
        <f t="shared" si="407"/>
        <v>1.7050000000000001</v>
      </c>
      <c r="AQ3249" s="1078" t="str">
        <f t="shared" si="408"/>
        <v>1-5-1S83°</v>
      </c>
      <c r="AR3249" s="1078" t="str">
        <f t="shared" si="409"/>
        <v>30.8</v>
      </c>
      <c r="AS3249" s="1078" t="str">
        <f t="shared" si="410"/>
        <v>230/230/OFF</v>
      </c>
      <c r="AT3249" s="1078" t="str">
        <f t="shared" si="411"/>
        <v>1-5-1S83°</v>
      </c>
      <c r="AV3249" s="1078" t="str">
        <f t="shared" si="404"/>
        <v>114.12.10</v>
      </c>
      <c r="AW3249" s="1344">
        <f t="shared" si="405"/>
        <v>46001</v>
      </c>
    </row>
    <row r="3250" spans="1:49">
      <c r="A3250" s="1077" t="s">
        <v>16311</v>
      </c>
      <c r="B3250" s="1077" t="s">
        <v>298</v>
      </c>
      <c r="C3250" s="1077">
        <v>700</v>
      </c>
      <c r="D3250" s="1077">
        <v>1.7549999999999999</v>
      </c>
      <c r="E3250" s="1077" t="s">
        <v>15095</v>
      </c>
      <c r="F3250" s="1077" t="s">
        <v>954</v>
      </c>
      <c r="G3250" s="1077" t="s">
        <v>1767</v>
      </c>
      <c r="H3250" s="1077" t="s">
        <v>1077</v>
      </c>
      <c r="I3250" s="1077" t="s">
        <v>626</v>
      </c>
      <c r="J3250" s="1077">
        <v>2.4</v>
      </c>
      <c r="K3250" s="1077" t="s">
        <v>16302</v>
      </c>
      <c r="L3250" s="1077" t="s">
        <v>4487</v>
      </c>
      <c r="M3250" s="1077">
        <v>101.5</v>
      </c>
      <c r="N3250" s="1077" t="s">
        <v>945</v>
      </c>
      <c r="O3250" s="1077">
        <v>2.5375000000000001</v>
      </c>
      <c r="P3250" s="1077">
        <v>2.0300000000000002</v>
      </c>
      <c r="Q3250" s="1077">
        <v>3.5</v>
      </c>
      <c r="R3250" s="1077">
        <v>19</v>
      </c>
      <c r="T3250" s="1077">
        <v>24</v>
      </c>
      <c r="U3250" s="1077">
        <v>5.4</v>
      </c>
      <c r="V3250" s="1077" t="s">
        <v>648</v>
      </c>
      <c r="W3250" s="1077">
        <v>135</v>
      </c>
      <c r="X3250" s="1077">
        <v>10</v>
      </c>
      <c r="Y3250" s="1077">
        <v>1.3</v>
      </c>
      <c r="Z3250" s="1077">
        <v>6</v>
      </c>
      <c r="AA3250" s="1077" t="s">
        <v>16268</v>
      </c>
      <c r="AH3250" s="1077" t="s">
        <v>758</v>
      </c>
      <c r="AI3250" s="1077">
        <v>91.37</v>
      </c>
      <c r="AJ3250" s="1077">
        <v>-0.04</v>
      </c>
      <c r="AK3250" s="1077">
        <v>0.82</v>
      </c>
      <c r="AM3250" s="1078" t="s">
        <v>16094</v>
      </c>
      <c r="AN3250" s="1078" t="s">
        <v>16547</v>
      </c>
      <c r="AO3250" s="1078">
        <f t="shared" si="406"/>
        <v>700</v>
      </c>
      <c r="AP3250" s="1078">
        <f t="shared" si="407"/>
        <v>1.7549999999999999</v>
      </c>
      <c r="AQ3250" s="1078" t="str">
        <f t="shared" si="408"/>
        <v>1-5-1S83°</v>
      </c>
      <c r="AR3250" s="1078" t="str">
        <f t="shared" si="409"/>
        <v>31</v>
      </c>
      <c r="AS3250" s="1078" t="str">
        <f t="shared" si="410"/>
        <v>245/245/OFF</v>
      </c>
      <c r="AT3250" s="1078" t="str">
        <f t="shared" si="411"/>
        <v>1-5-1S83°</v>
      </c>
      <c r="AV3250" s="1078" t="str">
        <f t="shared" si="404"/>
        <v>114.12.15</v>
      </c>
      <c r="AW3250" s="1344">
        <f t="shared" si="405"/>
        <v>46006</v>
      </c>
    </row>
    <row r="3251" spans="1:49">
      <c r="A3251" s="1077" t="s">
        <v>16312</v>
      </c>
      <c r="B3251" s="1077" t="s">
        <v>715</v>
      </c>
      <c r="C3251" s="1077">
        <v>650</v>
      </c>
      <c r="D3251" s="1077">
        <v>1.6950000000000001</v>
      </c>
      <c r="E3251" s="1077" t="s">
        <v>15099</v>
      </c>
      <c r="F3251" s="1077" t="s">
        <v>1897</v>
      </c>
      <c r="G3251" s="1077" t="s">
        <v>940</v>
      </c>
      <c r="H3251" s="1077" t="s">
        <v>1226</v>
      </c>
      <c r="I3251" s="1077" t="s">
        <v>126</v>
      </c>
      <c r="J3251" s="1077">
        <v>1.2</v>
      </c>
      <c r="K3251" s="1077" t="s">
        <v>16309</v>
      </c>
      <c r="L3251" s="1077" t="s">
        <v>4548</v>
      </c>
      <c r="M3251" s="1077">
        <v>101.5</v>
      </c>
      <c r="N3251" s="1077" t="s">
        <v>945</v>
      </c>
      <c r="O3251" s="1077">
        <v>2.5375000000000001</v>
      </c>
      <c r="P3251" s="1077">
        <v>2.0300000000000002</v>
      </c>
      <c r="Q3251" s="1077">
        <v>4</v>
      </c>
      <c r="R3251" s="1077">
        <v>23</v>
      </c>
      <c r="T3251" s="1077">
        <v>12</v>
      </c>
      <c r="U3251" s="1077">
        <v>4.5</v>
      </c>
      <c r="V3251" s="1077" t="s">
        <v>648</v>
      </c>
      <c r="W3251" s="1077">
        <v>125</v>
      </c>
      <c r="X3251" s="1077">
        <v>80</v>
      </c>
      <c r="Y3251" s="1077">
        <v>1.5</v>
      </c>
      <c r="Z3251" s="1077">
        <v>4</v>
      </c>
      <c r="AA3251" s="1077" t="s">
        <v>16313</v>
      </c>
      <c r="AH3251" s="1077" t="s">
        <v>619</v>
      </c>
      <c r="AI3251" s="1077">
        <v>94.49</v>
      </c>
      <c r="AJ3251" s="1077">
        <v>-0.91</v>
      </c>
      <c r="AK3251" s="1077">
        <v>1.65</v>
      </c>
      <c r="AM3251" s="1078" t="s">
        <v>16548</v>
      </c>
      <c r="AN3251" s="1078" t="s">
        <v>16549</v>
      </c>
      <c r="AO3251" s="1078">
        <f t="shared" si="406"/>
        <v>650</v>
      </c>
      <c r="AP3251" s="1078">
        <f t="shared" si="407"/>
        <v>1.6950000000000001</v>
      </c>
      <c r="AQ3251" s="1078" t="str">
        <f t="shared" si="408"/>
        <v>1-5-1S87°</v>
      </c>
      <c r="AR3251" s="1078" t="str">
        <f t="shared" si="409"/>
        <v>30.8</v>
      </c>
      <c r="AS3251" s="1078" t="str">
        <f t="shared" si="410"/>
        <v>230/230/OFF</v>
      </c>
      <c r="AT3251" s="1078" t="str">
        <f t="shared" si="411"/>
        <v>1-5-1S87°</v>
      </c>
      <c r="AV3251" s="1078" t="str">
        <f t="shared" si="404"/>
        <v>115.1.5</v>
      </c>
      <c r="AW3251" s="1344">
        <f t="shared" si="405"/>
        <v>46027</v>
      </c>
    </row>
    <row r="3252" spans="1:49">
      <c r="A3252" s="1077" t="s">
        <v>16314</v>
      </c>
      <c r="B3252" s="1077" t="s">
        <v>298</v>
      </c>
      <c r="C3252" s="1077">
        <v>700</v>
      </c>
      <c r="D3252" s="1077">
        <v>1.7549999999999999</v>
      </c>
      <c r="E3252" s="1077" t="s">
        <v>15099</v>
      </c>
      <c r="F3252" s="1077" t="s">
        <v>954</v>
      </c>
      <c r="G3252" s="1077" t="s">
        <v>1767</v>
      </c>
      <c r="H3252" s="1077" t="s">
        <v>1301</v>
      </c>
      <c r="I3252" s="1077" t="s">
        <v>626</v>
      </c>
      <c r="J3252" s="1077">
        <v>2.4</v>
      </c>
      <c r="K3252" s="1077" t="s">
        <v>16315</v>
      </c>
      <c r="L3252" s="1077" t="s">
        <v>4487</v>
      </c>
      <c r="M3252" s="1077">
        <v>101.5</v>
      </c>
      <c r="N3252" s="1077" t="s">
        <v>945</v>
      </c>
      <c r="O3252" s="1077">
        <v>2.5375000000000001</v>
      </c>
      <c r="P3252" s="1077">
        <v>2.0300000000000002</v>
      </c>
      <c r="Q3252" s="1077">
        <v>3.5</v>
      </c>
      <c r="R3252" s="1077">
        <v>19</v>
      </c>
      <c r="T3252" s="1077">
        <v>24</v>
      </c>
      <c r="U3252" s="1077">
        <v>5.4</v>
      </c>
      <c r="V3252" s="1077" t="s">
        <v>648</v>
      </c>
      <c r="W3252" s="1077">
        <v>135</v>
      </c>
      <c r="X3252" s="1077">
        <v>10</v>
      </c>
      <c r="Y3252" s="1077">
        <v>1.3</v>
      </c>
      <c r="Z3252" s="1077">
        <v>6</v>
      </c>
      <c r="AA3252" s="1077" t="s">
        <v>16316</v>
      </c>
      <c r="AH3252" s="1077" t="s">
        <v>762</v>
      </c>
      <c r="AI3252" s="1077">
        <v>90.7</v>
      </c>
      <c r="AJ3252" s="1077">
        <v>-0.04</v>
      </c>
      <c r="AK3252" s="1077">
        <v>0.77</v>
      </c>
      <c r="AM3252" s="1078" t="s">
        <v>16550</v>
      </c>
      <c r="AN3252" s="1078" t="s">
        <v>16551</v>
      </c>
      <c r="AO3252" s="1078">
        <f t="shared" si="406"/>
        <v>700</v>
      </c>
      <c r="AP3252" s="1078">
        <f t="shared" si="407"/>
        <v>1.7549999999999999</v>
      </c>
      <c r="AQ3252" s="1078" t="str">
        <f t="shared" si="408"/>
        <v>1-5-1S87°</v>
      </c>
      <c r="AR3252" s="1078" t="str">
        <f t="shared" si="409"/>
        <v>31</v>
      </c>
      <c r="AS3252" s="1078" t="str">
        <f t="shared" si="410"/>
        <v>242/242/OFF</v>
      </c>
      <c r="AT3252" s="1078" t="str">
        <f t="shared" si="411"/>
        <v>1-5-1S87°</v>
      </c>
      <c r="AV3252" s="1078" t="str">
        <f t="shared" si="404"/>
        <v>115.1.6</v>
      </c>
      <c r="AW3252" s="1344">
        <f t="shared" si="405"/>
        <v>46028</v>
      </c>
    </row>
    <row r="3253" spans="1:49">
      <c r="A3253" s="1077" t="s">
        <v>16317</v>
      </c>
      <c r="B3253" s="1077" t="s">
        <v>715</v>
      </c>
      <c r="C3253" s="1077">
        <v>650</v>
      </c>
      <c r="D3253" s="1077">
        <v>1.7050000000000001</v>
      </c>
      <c r="E3253" s="1077" t="s">
        <v>15095</v>
      </c>
      <c r="F3253" s="1077" t="s">
        <v>1897</v>
      </c>
      <c r="G3253" s="1077" t="s">
        <v>940</v>
      </c>
      <c r="H3253" s="1077" t="s">
        <v>1226</v>
      </c>
      <c r="I3253" s="1077" t="s">
        <v>126</v>
      </c>
      <c r="J3253" s="1077">
        <v>1.2</v>
      </c>
      <c r="K3253" s="1077" t="s">
        <v>16309</v>
      </c>
      <c r="L3253" s="1077" t="s">
        <v>4548</v>
      </c>
      <c r="M3253" s="1077">
        <v>101.5</v>
      </c>
      <c r="N3253" s="1077" t="s">
        <v>945</v>
      </c>
      <c r="O3253" s="1077">
        <v>2.5375000000000001</v>
      </c>
      <c r="P3253" s="1077">
        <v>2.0300000000000002</v>
      </c>
      <c r="Q3253" s="1077">
        <v>4</v>
      </c>
      <c r="R3253" s="1077">
        <v>23</v>
      </c>
      <c r="T3253" s="1077">
        <v>12</v>
      </c>
      <c r="U3253" s="1077">
        <v>4.5</v>
      </c>
      <c r="V3253" s="1077" t="s">
        <v>648</v>
      </c>
      <c r="W3253" s="1077">
        <v>125</v>
      </c>
      <c r="X3253" s="1077">
        <v>80</v>
      </c>
      <c r="Y3253" s="1077">
        <v>1.5</v>
      </c>
      <c r="Z3253" s="1077">
        <v>4</v>
      </c>
      <c r="AA3253" s="1077" t="s">
        <v>16318</v>
      </c>
      <c r="AH3253" s="1077" t="s">
        <v>889</v>
      </c>
      <c r="AI3253" s="1077">
        <v>94.73</v>
      </c>
      <c r="AJ3253" s="1077">
        <v>-0.81</v>
      </c>
      <c r="AK3253" s="1077">
        <v>1.41</v>
      </c>
      <c r="AM3253" s="1078" t="s">
        <v>16552</v>
      </c>
      <c r="AN3253" s="1078" t="s">
        <v>16553</v>
      </c>
      <c r="AO3253" s="1078">
        <f t="shared" si="406"/>
        <v>650</v>
      </c>
      <c r="AP3253" s="1078">
        <f t="shared" si="407"/>
        <v>1.7050000000000001</v>
      </c>
      <c r="AQ3253" s="1078" t="str">
        <f t="shared" si="408"/>
        <v>1-5-1S83°</v>
      </c>
      <c r="AR3253" s="1078" t="str">
        <f t="shared" si="409"/>
        <v>30.8</v>
      </c>
      <c r="AS3253" s="1078" t="str">
        <f t="shared" si="410"/>
        <v>230/230/OFF</v>
      </c>
      <c r="AT3253" s="1078" t="str">
        <f t="shared" si="411"/>
        <v>1-5-1S83°</v>
      </c>
      <c r="AV3253" s="1078" t="str">
        <f t="shared" si="404"/>
        <v>115.1.9</v>
      </c>
      <c r="AW3253" s="1344">
        <f t="shared" si="405"/>
        <v>46031</v>
      </c>
    </row>
    <row r="3254" spans="1:49">
      <c r="A3254" s="1077" t="s">
        <v>16319</v>
      </c>
      <c r="B3254" s="1077" t="s">
        <v>715</v>
      </c>
      <c r="C3254" s="1077">
        <v>650</v>
      </c>
      <c r="D3254" s="1077">
        <v>1.6950000000000001</v>
      </c>
      <c r="E3254" s="1077" t="s">
        <v>15095</v>
      </c>
      <c r="F3254" s="1077" t="s">
        <v>1897</v>
      </c>
      <c r="G3254" s="1077" t="s">
        <v>940</v>
      </c>
      <c r="H3254" s="1077" t="s">
        <v>1226</v>
      </c>
      <c r="I3254" s="1077" t="s">
        <v>126</v>
      </c>
      <c r="J3254" s="1077">
        <v>1.2</v>
      </c>
      <c r="K3254" s="1077" t="s">
        <v>16309</v>
      </c>
      <c r="L3254" s="1077" t="s">
        <v>4548</v>
      </c>
      <c r="M3254" s="1077">
        <v>101.5</v>
      </c>
      <c r="N3254" s="1077" t="s">
        <v>945</v>
      </c>
      <c r="O3254" s="1077">
        <v>2.5375000000000001</v>
      </c>
      <c r="P3254" s="1077">
        <v>2.0300000000000002</v>
      </c>
      <c r="Q3254" s="1077">
        <v>4</v>
      </c>
      <c r="R3254" s="1077">
        <v>23</v>
      </c>
      <c r="T3254" s="1077">
        <v>12</v>
      </c>
      <c r="U3254" s="1077">
        <v>4.5</v>
      </c>
      <c r="V3254" s="1077" t="s">
        <v>648</v>
      </c>
      <c r="W3254" s="1077">
        <v>125</v>
      </c>
      <c r="X3254" s="1077">
        <v>80</v>
      </c>
      <c r="Y3254" s="1077">
        <v>1.5</v>
      </c>
      <c r="Z3254" s="1077">
        <v>4</v>
      </c>
      <c r="AA3254" s="1077" t="s">
        <v>16320</v>
      </c>
      <c r="AH3254" s="1077" t="s">
        <v>884</v>
      </c>
      <c r="AI3254" s="1077">
        <v>94.25</v>
      </c>
      <c r="AJ3254" s="1077">
        <v>-0.89</v>
      </c>
      <c r="AK3254" s="1077">
        <v>1.8</v>
      </c>
      <c r="AM3254" s="1078" t="s">
        <v>16554</v>
      </c>
      <c r="AN3254" s="1078" t="s">
        <v>16555</v>
      </c>
      <c r="AO3254" s="1078">
        <f t="shared" si="406"/>
        <v>650</v>
      </c>
      <c r="AP3254" s="1078">
        <f t="shared" si="407"/>
        <v>1.6950000000000001</v>
      </c>
      <c r="AQ3254" s="1078" t="str">
        <f t="shared" si="408"/>
        <v>1-5-1S83°</v>
      </c>
      <c r="AR3254" s="1078" t="str">
        <f t="shared" si="409"/>
        <v>30.8</v>
      </c>
      <c r="AS3254" s="1078" t="str">
        <f t="shared" si="410"/>
        <v>230/230/OFF</v>
      </c>
      <c r="AT3254" s="1078" t="str">
        <f t="shared" si="411"/>
        <v>1-5-1S83°</v>
      </c>
      <c r="AV3254" s="1078" t="str">
        <f t="shared" si="404"/>
        <v>115.1.14</v>
      </c>
      <c r="AW3254" s="1344">
        <f t="shared" si="405"/>
        <v>46036</v>
      </c>
    </row>
    <row r="3255" spans="1:49">
      <c r="A3255" s="1077" t="s">
        <v>16321</v>
      </c>
      <c r="B3255" s="1077" t="s">
        <v>298</v>
      </c>
      <c r="C3255" s="1077">
        <v>700</v>
      </c>
      <c r="D3255" s="1077">
        <v>1.7549999999999999</v>
      </c>
      <c r="E3255" s="1077" t="s">
        <v>15099</v>
      </c>
      <c r="F3255" s="1077" t="s">
        <v>954</v>
      </c>
      <c r="G3255" s="1077" t="s">
        <v>1767</v>
      </c>
      <c r="H3255" s="1077" t="s">
        <v>1301</v>
      </c>
      <c r="I3255" s="1077" t="s">
        <v>626</v>
      </c>
      <c r="J3255" s="1077">
        <v>2.4</v>
      </c>
      <c r="K3255" s="1077" t="s">
        <v>16322</v>
      </c>
      <c r="L3255" s="1077" t="s">
        <v>4029</v>
      </c>
      <c r="M3255" s="1077">
        <v>101.5</v>
      </c>
      <c r="N3255" s="1077" t="s">
        <v>945</v>
      </c>
      <c r="O3255" s="1077">
        <v>2.5375000000000001</v>
      </c>
      <c r="P3255" s="1077">
        <v>2.0300000000000002</v>
      </c>
      <c r="Q3255" s="1077">
        <v>3.5</v>
      </c>
      <c r="R3255" s="1077">
        <v>19</v>
      </c>
      <c r="T3255" s="1077">
        <v>24</v>
      </c>
      <c r="U3255" s="1077">
        <v>5.4</v>
      </c>
      <c r="V3255" s="1077" t="s">
        <v>648</v>
      </c>
      <c r="W3255" s="1077">
        <v>135</v>
      </c>
      <c r="X3255" s="1077">
        <v>10</v>
      </c>
      <c r="Y3255" s="1077">
        <v>1.3</v>
      </c>
      <c r="Z3255" s="1077">
        <v>6</v>
      </c>
      <c r="AA3255" s="1077" t="s">
        <v>16323</v>
      </c>
      <c r="AH3255" s="1077" t="s">
        <v>1221</v>
      </c>
      <c r="AI3255" s="1077">
        <v>91.27</v>
      </c>
      <c r="AJ3255" s="1077">
        <v>-0.69</v>
      </c>
      <c r="AK3255" s="1077">
        <v>1</v>
      </c>
      <c r="AM3255" s="1078" t="s">
        <v>16174</v>
      </c>
      <c r="AN3255" s="1078" t="s">
        <v>16556</v>
      </c>
      <c r="AO3255" s="1078">
        <f t="shared" si="406"/>
        <v>700</v>
      </c>
      <c r="AP3255" s="1078">
        <f t="shared" si="407"/>
        <v>1.7549999999999999</v>
      </c>
      <c r="AQ3255" s="1078" t="str">
        <f t="shared" si="408"/>
        <v>1-5-1S87°</v>
      </c>
      <c r="AR3255" s="1078" t="str">
        <f t="shared" si="409"/>
        <v>31</v>
      </c>
      <c r="AS3255" s="1078" t="str">
        <f t="shared" si="410"/>
        <v>242/242/OFF</v>
      </c>
      <c r="AT3255" s="1078" t="str">
        <f t="shared" si="411"/>
        <v>1-5-1S87°</v>
      </c>
      <c r="AV3255" s="1078" t="str">
        <f t="shared" si="404"/>
        <v>115.2.4</v>
      </c>
      <c r="AW3255" s="1344">
        <f t="shared" si="405"/>
        <v>46057</v>
      </c>
    </row>
    <row r="3256" spans="1:49">
      <c r="A3256" s="1077" t="s">
        <v>16324</v>
      </c>
      <c r="B3256" s="1077" t="s">
        <v>715</v>
      </c>
      <c r="C3256" s="1077">
        <v>680</v>
      </c>
      <c r="D3256" s="1077">
        <v>1.7050000000000001</v>
      </c>
      <c r="E3256" s="1077" t="s">
        <v>15095</v>
      </c>
      <c r="F3256" s="1077" t="s">
        <v>1897</v>
      </c>
      <c r="G3256" s="1077" t="s">
        <v>940</v>
      </c>
      <c r="H3256" s="1077" t="s">
        <v>1327</v>
      </c>
      <c r="I3256" s="1077" t="s">
        <v>126</v>
      </c>
      <c r="J3256" s="1077">
        <v>1.2</v>
      </c>
      <c r="K3256" s="1077" t="s">
        <v>16325</v>
      </c>
      <c r="L3256" s="1077" t="s">
        <v>4548</v>
      </c>
      <c r="M3256" s="1077">
        <v>101.5</v>
      </c>
      <c r="N3256" s="1077" t="s">
        <v>945</v>
      </c>
      <c r="O3256" s="1077">
        <v>2.5375000000000001</v>
      </c>
      <c r="P3256" s="1077">
        <v>2.0300000000000002</v>
      </c>
      <c r="Q3256" s="1077">
        <v>4</v>
      </c>
      <c r="R3256" s="1077">
        <v>23</v>
      </c>
      <c r="T3256" s="1077">
        <v>12</v>
      </c>
      <c r="U3256" s="1077">
        <v>4.5</v>
      </c>
      <c r="V3256" s="1077" t="s">
        <v>648</v>
      </c>
      <c r="W3256" s="1077">
        <v>125</v>
      </c>
      <c r="X3256" s="1077">
        <v>80</v>
      </c>
      <c r="Y3256" s="1077">
        <v>1.5</v>
      </c>
      <c r="Z3256" s="1077">
        <v>4</v>
      </c>
      <c r="AA3256" s="1077" t="s">
        <v>16326</v>
      </c>
      <c r="AH3256" s="1077" t="s">
        <v>1588</v>
      </c>
      <c r="AI3256" s="1077">
        <v>94.07</v>
      </c>
      <c r="AJ3256" s="1077">
        <v>-1.37</v>
      </c>
      <c r="AK3256" s="1077">
        <v>2.5</v>
      </c>
      <c r="AM3256" s="1078" t="s">
        <v>16182</v>
      </c>
      <c r="AN3256" s="1078" t="s">
        <v>16557</v>
      </c>
      <c r="AO3256" s="1078">
        <f t="shared" si="406"/>
        <v>680</v>
      </c>
      <c r="AP3256" s="1078">
        <f t="shared" si="407"/>
        <v>1.7050000000000001</v>
      </c>
      <c r="AQ3256" s="1078" t="str">
        <f t="shared" si="408"/>
        <v>1-5-1S83°</v>
      </c>
      <c r="AR3256" s="1078" t="str">
        <f t="shared" si="409"/>
        <v>30.8</v>
      </c>
      <c r="AS3256" s="1078" t="str">
        <f t="shared" si="410"/>
        <v>232/232/OFF</v>
      </c>
      <c r="AT3256" s="1078" t="str">
        <f t="shared" si="411"/>
        <v>1-5-1S83°</v>
      </c>
      <c r="AV3256" s="1078" t="str">
        <f t="shared" si="404"/>
        <v>115.2.5</v>
      </c>
      <c r="AW3256" s="1344">
        <f t="shared" si="405"/>
        <v>46058</v>
      </c>
    </row>
    <row r="3257" spans="1:49">
      <c r="A3257" s="1077" t="s">
        <v>16327</v>
      </c>
      <c r="B3257" s="1077" t="s">
        <v>715</v>
      </c>
      <c r="C3257" s="1077">
        <v>650</v>
      </c>
      <c r="D3257" s="1077">
        <v>1.6950000000000001</v>
      </c>
      <c r="E3257" s="1077" t="s">
        <v>15095</v>
      </c>
      <c r="F3257" s="1077" t="s">
        <v>1897</v>
      </c>
      <c r="G3257" s="1077" t="s">
        <v>940</v>
      </c>
      <c r="H3257" s="1077" t="s">
        <v>1226</v>
      </c>
      <c r="I3257" s="1077" t="s">
        <v>126</v>
      </c>
      <c r="J3257" s="1077">
        <v>1.2</v>
      </c>
      <c r="K3257" s="1077" t="s">
        <v>16328</v>
      </c>
      <c r="L3257" s="1077" t="s">
        <v>4548</v>
      </c>
      <c r="M3257" s="1077">
        <v>101.5</v>
      </c>
      <c r="N3257" s="1077" t="s">
        <v>945</v>
      </c>
      <c r="O3257" s="1077">
        <v>2.5375000000000001</v>
      </c>
      <c r="P3257" s="1077">
        <v>2.0300000000000002</v>
      </c>
      <c r="Q3257" s="1077">
        <v>4</v>
      </c>
      <c r="R3257" s="1077">
        <v>23</v>
      </c>
      <c r="T3257" s="1077">
        <v>12</v>
      </c>
      <c r="U3257" s="1077">
        <v>4.5</v>
      </c>
      <c r="V3257" s="1077" t="s">
        <v>648</v>
      </c>
      <c r="W3257" s="1077">
        <v>125</v>
      </c>
      <c r="X3257" s="1077" t="s">
        <v>1063</v>
      </c>
      <c r="Y3257" s="1077">
        <v>1.5</v>
      </c>
      <c r="Z3257" s="1077">
        <v>4</v>
      </c>
      <c r="AA3257" s="1077" t="s">
        <v>16221</v>
      </c>
      <c r="AH3257" s="1077" t="s">
        <v>3213</v>
      </c>
      <c r="AI3257" s="1077">
        <v>94.2</v>
      </c>
      <c r="AJ3257" s="1077">
        <v>-1.05</v>
      </c>
      <c r="AK3257" s="1077">
        <v>2.11</v>
      </c>
      <c r="AM3257" s="1078" t="s">
        <v>16181</v>
      </c>
      <c r="AN3257" s="1078" t="s">
        <v>16558</v>
      </c>
      <c r="AO3257" s="1078">
        <f t="shared" si="406"/>
        <v>650</v>
      </c>
      <c r="AP3257" s="1078">
        <f t="shared" si="407"/>
        <v>1.6950000000000001</v>
      </c>
      <c r="AQ3257" s="1078" t="str">
        <f t="shared" si="408"/>
        <v>1-5-1S83°</v>
      </c>
      <c r="AR3257" s="1078" t="str">
        <f t="shared" si="409"/>
        <v>30.8</v>
      </c>
      <c r="AS3257" s="1078" t="str">
        <f t="shared" si="410"/>
        <v>230/230/OFF</v>
      </c>
      <c r="AT3257" s="1078" t="str">
        <f t="shared" si="411"/>
        <v>1-5-1S83°</v>
      </c>
      <c r="AV3257" s="1078" t="str">
        <f t="shared" si="404"/>
        <v>115.2.6</v>
      </c>
      <c r="AW3257" s="1344">
        <f t="shared" si="405"/>
        <v>46059</v>
      </c>
    </row>
    <row r="3258" spans="1:49">
      <c r="A3258" s="1077" t="s">
        <v>16329</v>
      </c>
      <c r="B3258" s="1077" t="s">
        <v>715</v>
      </c>
      <c r="C3258" s="1077">
        <v>650</v>
      </c>
      <c r="D3258" s="1077">
        <v>1.6950000000000001</v>
      </c>
      <c r="E3258" s="1077" t="s">
        <v>15099</v>
      </c>
      <c r="F3258" s="1077" t="s">
        <v>1897</v>
      </c>
      <c r="G3258" s="1077" t="s">
        <v>940</v>
      </c>
      <c r="H3258" s="1077" t="s">
        <v>16330</v>
      </c>
      <c r="I3258" s="1077" t="s">
        <v>126</v>
      </c>
      <c r="J3258" s="1077">
        <v>1.2</v>
      </c>
      <c r="K3258" s="1077" t="s">
        <v>16328</v>
      </c>
      <c r="L3258" s="1077" t="s">
        <v>4548</v>
      </c>
      <c r="M3258" s="1077">
        <v>101.5</v>
      </c>
      <c r="N3258" s="1077" t="s">
        <v>945</v>
      </c>
      <c r="O3258" s="1077">
        <v>2.5375000000000001</v>
      </c>
      <c r="P3258" s="1077">
        <v>2.0300000000000002</v>
      </c>
      <c r="Q3258" s="1077">
        <v>4</v>
      </c>
      <c r="R3258" s="1077">
        <v>23</v>
      </c>
      <c r="T3258" s="1077">
        <v>12</v>
      </c>
      <c r="U3258" s="1077">
        <v>4.5</v>
      </c>
      <c r="V3258" s="1077" t="s">
        <v>648</v>
      </c>
      <c r="W3258" s="1077">
        <v>125</v>
      </c>
      <c r="X3258" s="1077" t="s">
        <v>1063</v>
      </c>
      <c r="Y3258" s="1077">
        <v>1.5</v>
      </c>
      <c r="Z3258" s="1077">
        <v>4</v>
      </c>
      <c r="AA3258" s="1077" t="s">
        <v>16300</v>
      </c>
      <c r="AH3258" s="1077" t="s">
        <v>619</v>
      </c>
      <c r="AM3258" s="1078" t="s">
        <v>16201</v>
      </c>
      <c r="AN3258" s="1078" t="s">
        <v>16559</v>
      </c>
      <c r="AO3258" s="1078">
        <f t="shared" si="406"/>
        <v>650</v>
      </c>
      <c r="AP3258" s="1078">
        <f t="shared" si="407"/>
        <v>1.6950000000000001</v>
      </c>
      <c r="AQ3258" s="1078" t="str">
        <f t="shared" si="408"/>
        <v>1-5-1S87°</v>
      </c>
      <c r="AR3258" s="1078" t="str">
        <f t="shared" si="409"/>
        <v>30.8</v>
      </c>
      <c r="AS3258" s="1078" t="str">
        <f t="shared" si="410"/>
        <v>229/229/OFF</v>
      </c>
      <c r="AT3258" s="1078" t="str">
        <f t="shared" si="411"/>
        <v>1-5-1S87°</v>
      </c>
      <c r="AV3258" s="1078" t="str">
        <f t="shared" si="404"/>
        <v>115.3.4</v>
      </c>
      <c r="AW3258" s="1344">
        <f t="shared" si="405"/>
        <v>46085</v>
      </c>
    </row>
    <row r="3259" spans="1:49">
      <c r="A3259" s="1077" t="s">
        <v>16331</v>
      </c>
      <c r="B3259" s="1077" t="s">
        <v>210</v>
      </c>
      <c r="C3259" s="1077">
        <v>670</v>
      </c>
      <c r="D3259" s="1077">
        <v>1.7649999999999999</v>
      </c>
      <c r="E3259" s="1077" t="s">
        <v>15094</v>
      </c>
      <c r="F3259" s="1077" t="s">
        <v>984</v>
      </c>
      <c r="G3259" s="1077">
        <v>5</v>
      </c>
      <c r="H3259" s="1077" t="s">
        <v>6560</v>
      </c>
      <c r="I3259" s="1077" t="s">
        <v>126</v>
      </c>
      <c r="J3259" s="1077">
        <v>0.7</v>
      </c>
      <c r="K3259" s="1077" t="s">
        <v>16332</v>
      </c>
      <c r="L3259" s="1077" t="s">
        <v>6291</v>
      </c>
      <c r="M3259" s="1077">
        <v>151.5</v>
      </c>
      <c r="N3259" s="1077" t="s">
        <v>945</v>
      </c>
      <c r="O3259" s="1077">
        <v>3.7875000000000001</v>
      </c>
      <c r="P3259" s="1077">
        <v>3.0300000000000002</v>
      </c>
      <c r="Q3259" s="1077">
        <v>3.5</v>
      </c>
      <c r="R3259" s="1077">
        <v>19.100000000000001</v>
      </c>
      <c r="T3259" s="1077">
        <v>23.7</v>
      </c>
      <c r="U3259" s="1077">
        <v>3.2</v>
      </c>
      <c r="V3259" s="1077" t="s">
        <v>648</v>
      </c>
      <c r="W3259" s="1077">
        <v>35</v>
      </c>
      <c r="X3259" s="1077">
        <v>10</v>
      </c>
      <c r="Y3259" s="1077">
        <v>1</v>
      </c>
      <c r="Z3259" s="1077">
        <v>6</v>
      </c>
      <c r="AA3259" s="1077" t="s">
        <v>16333</v>
      </c>
      <c r="AH3259" s="1077" t="s">
        <v>722</v>
      </c>
      <c r="AI3259" s="1077">
        <v>91.22</v>
      </c>
      <c r="AJ3259" s="1077">
        <v>-0.41</v>
      </c>
      <c r="AK3259" s="1077">
        <v>1.9</v>
      </c>
      <c r="AM3259" s="1078" t="s">
        <v>16560</v>
      </c>
      <c r="AN3259" s="1078" t="s">
        <v>16561</v>
      </c>
      <c r="AO3259" s="1078">
        <f t="shared" si="406"/>
        <v>670</v>
      </c>
      <c r="AP3259" s="1078">
        <f t="shared" si="407"/>
        <v>1.7649999999999999</v>
      </c>
      <c r="AQ3259" s="1078" t="str">
        <f t="shared" si="408"/>
        <v>1-5-1S91°</v>
      </c>
      <c r="AR3259" s="1078" t="str">
        <f t="shared" si="409"/>
        <v>30</v>
      </c>
      <c r="AS3259" s="1078" t="str">
        <f t="shared" si="410"/>
        <v>350/310/155</v>
      </c>
      <c r="AT3259" s="1078" t="str">
        <f t="shared" si="411"/>
        <v>1-5-1S91°</v>
      </c>
      <c r="AV3259" s="1078" t="str">
        <f t="shared" si="404"/>
        <v>114.12.9</v>
      </c>
      <c r="AW3259" s="1344">
        <f t="shared" si="405"/>
        <v>46000</v>
      </c>
    </row>
    <row r="3260" spans="1:49">
      <c r="A3260" s="1077" t="s">
        <v>16334</v>
      </c>
      <c r="B3260" s="1077" t="s">
        <v>465</v>
      </c>
      <c r="C3260" s="1077">
        <v>700</v>
      </c>
      <c r="D3260" s="1077">
        <v>1.75</v>
      </c>
      <c r="E3260" s="1077" t="s">
        <v>15108</v>
      </c>
      <c r="F3260" s="1077" t="s">
        <v>648</v>
      </c>
      <c r="G3260" s="1077">
        <v>5</v>
      </c>
      <c r="H3260" s="1077" t="s">
        <v>2259</v>
      </c>
      <c r="I3260" s="1077" t="s">
        <v>460</v>
      </c>
      <c r="J3260" s="1077">
        <v>2.2999999999999998</v>
      </c>
      <c r="K3260" s="1077" t="s">
        <v>16335</v>
      </c>
      <c r="L3260" s="1077" t="s">
        <v>6335</v>
      </c>
      <c r="M3260" s="1077">
        <v>149.5</v>
      </c>
      <c r="N3260" s="1077" t="s">
        <v>945</v>
      </c>
      <c r="O3260" s="1077">
        <v>3.7375000000000003</v>
      </c>
      <c r="P3260" s="1077">
        <v>2.99</v>
      </c>
      <c r="Q3260" s="1077">
        <v>4</v>
      </c>
      <c r="R3260" s="1077">
        <v>21</v>
      </c>
      <c r="T3260" s="1077">
        <v>37</v>
      </c>
      <c r="U3260" s="1077">
        <v>3.7</v>
      </c>
      <c r="V3260" s="1077" t="s">
        <v>648</v>
      </c>
      <c r="W3260" s="1077">
        <v>110</v>
      </c>
      <c r="X3260" s="1077">
        <v>40</v>
      </c>
      <c r="Y3260" s="1077">
        <v>2.2000000000000002</v>
      </c>
      <c r="Z3260" s="1077" t="s">
        <v>648</v>
      </c>
      <c r="AA3260" s="1077" t="s">
        <v>16336</v>
      </c>
      <c r="AH3260" s="1077" t="s">
        <v>994</v>
      </c>
      <c r="AI3260" s="1077">
        <v>91.68</v>
      </c>
      <c r="AJ3260" s="1077">
        <v>-0.39</v>
      </c>
      <c r="AK3260" s="1077">
        <v>1.78</v>
      </c>
      <c r="AM3260" s="1078" t="s">
        <v>16099</v>
      </c>
      <c r="AN3260" s="1078" t="s">
        <v>16562</v>
      </c>
      <c r="AO3260" s="1078">
        <f t="shared" si="406"/>
        <v>700</v>
      </c>
      <c r="AP3260" s="1078">
        <f t="shared" si="407"/>
        <v>1.75</v>
      </c>
      <c r="AQ3260" s="1078" t="str">
        <f t="shared" si="408"/>
        <v>1-4-1S83°Z+S</v>
      </c>
      <c r="AR3260" s="1078" t="str">
        <f t="shared" si="409"/>
        <v>NA</v>
      </c>
      <c r="AS3260" s="1078" t="str">
        <f t="shared" si="410"/>
        <v>275/275/OFF</v>
      </c>
      <c r="AT3260" s="1078" t="str">
        <f t="shared" si="411"/>
        <v>1-4-1S83°Z+S</v>
      </c>
      <c r="AV3260" s="1078" t="str">
        <f t="shared" si="404"/>
        <v>114.12.17</v>
      </c>
      <c r="AW3260" s="1344">
        <f t="shared" si="405"/>
        <v>46008</v>
      </c>
    </row>
    <row r="3261" spans="1:49">
      <c r="A3261" s="1077" t="s">
        <v>16337</v>
      </c>
      <c r="B3261" s="1077" t="s">
        <v>15040</v>
      </c>
      <c r="C3261" s="1077">
        <v>600</v>
      </c>
      <c r="D3261" s="1077">
        <v>1.76</v>
      </c>
      <c r="E3261" s="1077" t="s">
        <v>15094</v>
      </c>
      <c r="F3261" s="1077" t="s">
        <v>975</v>
      </c>
      <c r="G3261" s="1077">
        <v>5</v>
      </c>
      <c r="H3261" s="1077" t="s">
        <v>5888</v>
      </c>
      <c r="I3261" s="1077" t="s">
        <v>126</v>
      </c>
      <c r="J3261" s="1077">
        <v>2.9</v>
      </c>
      <c r="K3261" s="1077" t="s">
        <v>16338</v>
      </c>
      <c r="L3261" s="1077" t="s">
        <v>16339</v>
      </c>
      <c r="M3261" s="1077">
        <v>152</v>
      </c>
      <c r="N3261" s="1077" t="s">
        <v>945</v>
      </c>
      <c r="O3261" s="1077">
        <v>3.8000000000000003</v>
      </c>
      <c r="P3261" s="1077">
        <v>3.04</v>
      </c>
      <c r="Q3261" s="1077">
        <v>3.5</v>
      </c>
      <c r="R3261" s="1077">
        <v>22</v>
      </c>
      <c r="T3261" s="1077">
        <v>29</v>
      </c>
      <c r="U3261" s="1077">
        <v>3.8</v>
      </c>
      <c r="V3261" s="1077" t="s">
        <v>648</v>
      </c>
      <c r="W3261" s="1077">
        <v>110</v>
      </c>
      <c r="X3261" s="1077">
        <v>60</v>
      </c>
      <c r="Y3261" s="1077">
        <v>1.5</v>
      </c>
      <c r="Z3261" s="1077">
        <v>6</v>
      </c>
      <c r="AA3261" s="1077" t="s">
        <v>16340</v>
      </c>
      <c r="AH3261" s="1077" t="s">
        <v>1376</v>
      </c>
      <c r="AI3261" s="1077">
        <v>17.23</v>
      </c>
      <c r="AJ3261" s="1077">
        <v>-0.3</v>
      </c>
      <c r="AK3261" s="1077">
        <v>-0.42</v>
      </c>
      <c r="AM3261" s="1078" t="s">
        <v>16114</v>
      </c>
      <c r="AN3261" s="1078" t="s">
        <v>16563</v>
      </c>
      <c r="AO3261" s="1078">
        <f t="shared" si="406"/>
        <v>600</v>
      </c>
      <c r="AP3261" s="1078">
        <f t="shared" si="407"/>
        <v>1.76</v>
      </c>
      <c r="AQ3261" s="1078" t="str">
        <f t="shared" si="408"/>
        <v>1-5-1S91°</v>
      </c>
      <c r="AR3261" s="1078" t="str">
        <f t="shared" si="409"/>
        <v>31.5</v>
      </c>
      <c r="AS3261" s="1078" t="str">
        <f t="shared" si="410"/>
        <v>340/340/OFF</v>
      </c>
      <c r="AT3261" s="1078" t="str">
        <f t="shared" si="411"/>
        <v>1-5-1S91°</v>
      </c>
      <c r="AV3261" s="1078" t="str">
        <f t="shared" si="404"/>
        <v>114.12.29</v>
      </c>
      <c r="AW3261" s="1344">
        <f t="shared" si="405"/>
        <v>46020</v>
      </c>
    </row>
    <row r="3262" spans="1:49">
      <c r="A3262" s="1077" t="s">
        <v>16341</v>
      </c>
      <c r="B3262" s="1077" t="s">
        <v>799</v>
      </c>
      <c r="C3262" s="1077">
        <v>670</v>
      </c>
      <c r="D3262" s="1077">
        <v>1.76</v>
      </c>
      <c r="E3262" s="1077" t="s">
        <v>15094</v>
      </c>
      <c r="F3262" s="1077" t="s">
        <v>984</v>
      </c>
      <c r="G3262" s="1077">
        <v>5</v>
      </c>
      <c r="H3262" s="1077" t="s">
        <v>16342</v>
      </c>
      <c r="I3262" s="1077" t="s">
        <v>126</v>
      </c>
      <c r="J3262" s="1077">
        <v>0.7</v>
      </c>
      <c r="K3262" s="1077" t="s">
        <v>16343</v>
      </c>
      <c r="L3262" s="1077" t="s">
        <v>4666</v>
      </c>
      <c r="M3262" s="1077">
        <v>151.5</v>
      </c>
      <c r="N3262" s="1077" t="s">
        <v>945</v>
      </c>
      <c r="O3262" s="1077">
        <v>3.7875000000000001</v>
      </c>
      <c r="P3262" s="1077">
        <v>3.0300000000000002</v>
      </c>
      <c r="Q3262" s="1077">
        <v>3.5</v>
      </c>
      <c r="R3262" s="1077">
        <v>19.100000000000001</v>
      </c>
      <c r="T3262" s="1077">
        <v>23.7</v>
      </c>
      <c r="U3262" s="1077">
        <v>3.2</v>
      </c>
      <c r="V3262" s="1077" t="s">
        <v>648</v>
      </c>
      <c r="W3262" s="1077">
        <v>35</v>
      </c>
      <c r="X3262" s="1077">
        <v>10</v>
      </c>
      <c r="Y3262" s="1077">
        <v>1</v>
      </c>
      <c r="Z3262" s="1077">
        <v>6</v>
      </c>
      <c r="AA3262" s="1077" t="s">
        <v>16340</v>
      </c>
      <c r="AH3262" s="1077" t="s">
        <v>680</v>
      </c>
      <c r="AI3262" s="1077">
        <v>92.27</v>
      </c>
      <c r="AJ3262" s="1077">
        <v>-0.88</v>
      </c>
      <c r="AK3262" s="1077">
        <v>1.62</v>
      </c>
      <c r="AM3262" s="1078" t="s">
        <v>16115</v>
      </c>
      <c r="AN3262" s="1078" t="s">
        <v>16564</v>
      </c>
      <c r="AO3262" s="1078">
        <f t="shared" si="406"/>
        <v>670</v>
      </c>
      <c r="AP3262" s="1078">
        <f t="shared" si="407"/>
        <v>1.76</v>
      </c>
      <c r="AQ3262" s="1078" t="str">
        <f t="shared" si="408"/>
        <v>1-5-1S91°</v>
      </c>
      <c r="AR3262" s="1078" t="str">
        <f t="shared" si="409"/>
        <v>30</v>
      </c>
      <c r="AS3262" s="1078" t="str">
        <f t="shared" si="410"/>
        <v>350/310/160</v>
      </c>
      <c r="AT3262" s="1078" t="str">
        <f t="shared" si="411"/>
        <v>1-5-1S91°</v>
      </c>
      <c r="AV3262" s="1078" t="str">
        <f t="shared" si="404"/>
        <v>114.12.29</v>
      </c>
      <c r="AW3262" s="1344">
        <f t="shared" si="405"/>
        <v>46020</v>
      </c>
    </row>
    <row r="3263" spans="1:49">
      <c r="A3263" s="1077" t="s">
        <v>16344</v>
      </c>
      <c r="B3263" s="1077" t="s">
        <v>5005</v>
      </c>
      <c r="C3263" s="1077">
        <v>500</v>
      </c>
      <c r="D3263" s="1077">
        <v>1.71</v>
      </c>
      <c r="E3263" s="1077" t="s">
        <v>15109</v>
      </c>
      <c r="F3263" s="1077" t="s">
        <v>648</v>
      </c>
      <c r="G3263" s="1077">
        <v>4</v>
      </c>
      <c r="H3263" s="1077" t="s">
        <v>1379</v>
      </c>
      <c r="I3263" s="1077" t="s">
        <v>126</v>
      </c>
      <c r="J3263" s="1077">
        <v>1.8</v>
      </c>
      <c r="K3263" s="1077" t="s">
        <v>16345</v>
      </c>
      <c r="L3263" s="1077" t="s">
        <v>6535</v>
      </c>
      <c r="M3263" s="1077">
        <v>154</v>
      </c>
      <c r="N3263" s="1077" t="s">
        <v>945</v>
      </c>
      <c r="O3263" s="1077">
        <v>3.85</v>
      </c>
      <c r="P3263" s="1077">
        <v>3.08</v>
      </c>
      <c r="Q3263" s="1077">
        <v>3.5</v>
      </c>
      <c r="R3263" s="1077">
        <v>25</v>
      </c>
      <c r="T3263" s="1077">
        <v>15</v>
      </c>
      <c r="U3263" s="1077">
        <v>4.2</v>
      </c>
      <c r="V3263" s="1077" t="s">
        <v>648</v>
      </c>
      <c r="W3263" s="1077">
        <v>140</v>
      </c>
      <c r="X3263" s="1077">
        <v>90</v>
      </c>
      <c r="Y3263" s="1077">
        <v>1.6</v>
      </c>
      <c r="Z3263" s="1077" t="s">
        <v>648</v>
      </c>
      <c r="AA3263" s="1077" t="s">
        <v>16313</v>
      </c>
      <c r="AH3263" s="1077" t="s">
        <v>1170</v>
      </c>
      <c r="AI3263" s="1077">
        <v>94.77</v>
      </c>
      <c r="AJ3263" s="1077">
        <v>-1.05</v>
      </c>
      <c r="AK3263" s="1077">
        <v>3.07</v>
      </c>
      <c r="AM3263" s="1078" t="s">
        <v>16565</v>
      </c>
      <c r="AN3263" s="1078" t="s">
        <v>16566</v>
      </c>
      <c r="AO3263" s="1078">
        <f t="shared" si="406"/>
        <v>500</v>
      </c>
      <c r="AP3263" s="1078">
        <f t="shared" si="407"/>
        <v>1.71</v>
      </c>
      <c r="AQ3263" s="1078" t="str">
        <f t="shared" si="408"/>
        <v>1-5-1S85°Z+S</v>
      </c>
      <c r="AR3263" s="1078" t="str">
        <f t="shared" si="409"/>
        <v>NA</v>
      </c>
      <c r="AS3263" s="1078" t="str">
        <f t="shared" si="410"/>
        <v>167/OFF</v>
      </c>
      <c r="AT3263" s="1078" t="str">
        <f t="shared" si="411"/>
        <v>1-5-1S85°Z+S</v>
      </c>
      <c r="AV3263" s="1078" t="str">
        <f t="shared" si="404"/>
        <v>115.1.5</v>
      </c>
      <c r="AW3263" s="1344">
        <f t="shared" si="405"/>
        <v>46027</v>
      </c>
    </row>
    <row r="3264" spans="1:49">
      <c r="A3264" s="1077" t="s">
        <v>16346</v>
      </c>
      <c r="B3264" s="1077" t="s">
        <v>210</v>
      </c>
      <c r="C3264" s="1077">
        <v>670</v>
      </c>
      <c r="D3264" s="1077">
        <v>1.7649999999999999</v>
      </c>
      <c r="E3264" s="1077" t="s">
        <v>15099</v>
      </c>
      <c r="F3264" s="1077" t="s">
        <v>984</v>
      </c>
      <c r="G3264" s="1077">
        <v>5</v>
      </c>
      <c r="H3264" s="1077" t="s">
        <v>6560</v>
      </c>
      <c r="I3264" s="1077" t="s">
        <v>126</v>
      </c>
      <c r="J3264" s="1077">
        <v>0.7</v>
      </c>
      <c r="K3264" s="1077" t="s">
        <v>16347</v>
      </c>
      <c r="L3264" s="1077" t="s">
        <v>6291</v>
      </c>
      <c r="M3264" s="1077">
        <v>151.5</v>
      </c>
      <c r="N3264" s="1077" t="s">
        <v>945</v>
      </c>
      <c r="O3264" s="1077">
        <v>3.7875000000000001</v>
      </c>
      <c r="P3264" s="1077">
        <v>3.0300000000000002</v>
      </c>
      <c r="Q3264" s="1077">
        <v>3.5</v>
      </c>
      <c r="R3264" s="1077">
        <v>19.100000000000001</v>
      </c>
      <c r="T3264" s="1077">
        <v>23.7</v>
      </c>
      <c r="U3264" s="1077">
        <v>3.2</v>
      </c>
      <c r="V3264" s="1077" t="s">
        <v>648</v>
      </c>
      <c r="W3264" s="1077">
        <v>35</v>
      </c>
      <c r="X3264" s="1077">
        <v>10</v>
      </c>
      <c r="Y3264" s="1077">
        <v>1</v>
      </c>
      <c r="Z3264" s="1077">
        <v>6</v>
      </c>
      <c r="AA3264" s="1077" t="s">
        <v>16313</v>
      </c>
      <c r="AH3264" s="1077" t="s">
        <v>990</v>
      </c>
      <c r="AI3264" s="1077">
        <v>91.62</v>
      </c>
      <c r="AJ3264" s="1077">
        <v>-0.51</v>
      </c>
      <c r="AK3264" s="1077">
        <v>1.48</v>
      </c>
      <c r="AM3264" s="1078" t="s">
        <v>16567</v>
      </c>
      <c r="AN3264" s="1078" t="s">
        <v>16568</v>
      </c>
      <c r="AO3264" s="1078">
        <f t="shared" si="406"/>
        <v>670</v>
      </c>
      <c r="AP3264" s="1078">
        <f t="shared" si="407"/>
        <v>1.7649999999999999</v>
      </c>
      <c r="AQ3264" s="1078" t="str">
        <f t="shared" si="408"/>
        <v>1-5-1S87°</v>
      </c>
      <c r="AR3264" s="1078" t="str">
        <f t="shared" si="409"/>
        <v>30</v>
      </c>
      <c r="AS3264" s="1078" t="str">
        <f t="shared" si="410"/>
        <v>350/310/155</v>
      </c>
      <c r="AT3264" s="1078" t="str">
        <f t="shared" si="411"/>
        <v>1-5-1S87°</v>
      </c>
      <c r="AV3264" s="1078" t="str">
        <f t="shared" si="404"/>
        <v>115.1.5</v>
      </c>
      <c r="AW3264" s="1344">
        <f t="shared" si="405"/>
        <v>46027</v>
      </c>
    </row>
    <row r="3265" spans="1:49">
      <c r="A3265" s="1077" t="s">
        <v>16348</v>
      </c>
      <c r="B3265" s="1077" t="s">
        <v>210</v>
      </c>
      <c r="C3265" s="1077">
        <v>650</v>
      </c>
      <c r="D3265" s="1077">
        <v>1.76</v>
      </c>
      <c r="E3265" s="1077" t="s">
        <v>15099</v>
      </c>
      <c r="F3265" s="1077" t="s">
        <v>2001</v>
      </c>
      <c r="G3265" s="1077">
        <v>5</v>
      </c>
      <c r="H3265" s="1077" t="s">
        <v>6023</v>
      </c>
      <c r="I3265" s="1077" t="s">
        <v>126</v>
      </c>
      <c r="J3265" s="1077">
        <v>3</v>
      </c>
      <c r="K3265" s="1077" t="s">
        <v>16347</v>
      </c>
      <c r="L3265" s="1077" t="s">
        <v>6291</v>
      </c>
      <c r="M3265" s="1077">
        <v>150.80000000000001</v>
      </c>
      <c r="N3265" s="1077" t="s">
        <v>945</v>
      </c>
      <c r="O3265" s="1077">
        <v>3.7700000000000005</v>
      </c>
      <c r="P3265" s="1077">
        <v>3.0160000000000005</v>
      </c>
      <c r="Q3265" s="1077">
        <v>4</v>
      </c>
      <c r="R3265" s="1077">
        <v>19</v>
      </c>
      <c r="T3265" s="1077">
        <v>28.3</v>
      </c>
      <c r="U3265" s="1077">
        <v>4.3</v>
      </c>
      <c r="V3265" s="1077" t="s">
        <v>648</v>
      </c>
      <c r="W3265" s="1077">
        <v>100</v>
      </c>
      <c r="X3265" s="1077">
        <v>50</v>
      </c>
      <c r="Y3265" s="1077">
        <v>1.5</v>
      </c>
      <c r="Z3265" s="1077">
        <v>6.5</v>
      </c>
      <c r="AA3265" s="1077" t="s">
        <v>16313</v>
      </c>
      <c r="AH3265" s="1077" t="s">
        <v>2609</v>
      </c>
      <c r="AI3265" s="1077">
        <v>91.77</v>
      </c>
      <c r="AJ3265" s="1077">
        <v>-0.6</v>
      </c>
      <c r="AK3265" s="1077">
        <v>1.53</v>
      </c>
      <c r="AM3265" s="1078" t="s">
        <v>16569</v>
      </c>
      <c r="AN3265" s="1078" t="s">
        <v>16570</v>
      </c>
      <c r="AO3265" s="1078">
        <f t="shared" si="406"/>
        <v>650</v>
      </c>
      <c r="AP3265" s="1078">
        <f t="shared" si="407"/>
        <v>1.76</v>
      </c>
      <c r="AQ3265" s="1078" t="str">
        <f t="shared" si="408"/>
        <v>1-5-1S87°</v>
      </c>
      <c r="AR3265" s="1078" t="str">
        <f t="shared" si="409"/>
        <v>29.9</v>
      </c>
      <c r="AS3265" s="1078" t="str">
        <f t="shared" si="410"/>
        <v>350/310/OFF</v>
      </c>
      <c r="AT3265" s="1078" t="str">
        <f t="shared" si="411"/>
        <v>1-5-1S87°</v>
      </c>
      <c r="AV3265" s="1078" t="str">
        <f t="shared" si="404"/>
        <v>115.1.5</v>
      </c>
      <c r="AW3265" s="1344">
        <f t="shared" si="405"/>
        <v>46027</v>
      </c>
    </row>
    <row r="3266" spans="1:49">
      <c r="A3266" s="1077" t="s">
        <v>16349</v>
      </c>
      <c r="B3266" s="1077" t="s">
        <v>757</v>
      </c>
      <c r="C3266" s="1077">
        <v>525</v>
      </c>
      <c r="D3266" s="1077">
        <v>1.7649999999999999</v>
      </c>
      <c r="E3266" s="1077" t="s">
        <v>15111</v>
      </c>
      <c r="F3266" s="1077" t="s">
        <v>975</v>
      </c>
      <c r="G3266" s="1077">
        <v>4</v>
      </c>
      <c r="H3266" s="1077" t="s">
        <v>2570</v>
      </c>
      <c r="I3266" s="1077" t="s">
        <v>126</v>
      </c>
      <c r="J3266" s="1077">
        <v>3</v>
      </c>
      <c r="K3266" s="1077" t="s">
        <v>16350</v>
      </c>
      <c r="L3266" s="1077" t="s">
        <v>6118</v>
      </c>
      <c r="M3266" s="1077">
        <v>148.5</v>
      </c>
      <c r="N3266" s="1077" t="s">
        <v>945</v>
      </c>
      <c r="O3266" s="1077">
        <v>3.7125000000000004</v>
      </c>
      <c r="P3266" s="1077">
        <v>2.97</v>
      </c>
      <c r="Q3266" s="1077">
        <v>3.5</v>
      </c>
      <c r="R3266" s="1077">
        <v>21.5</v>
      </c>
      <c r="T3266" s="1077">
        <v>30</v>
      </c>
      <c r="U3266" s="1077">
        <v>3.6</v>
      </c>
      <c r="V3266" s="1077" t="s">
        <v>648</v>
      </c>
      <c r="W3266" s="1077">
        <v>120</v>
      </c>
      <c r="X3266" s="1077">
        <v>70</v>
      </c>
      <c r="Y3266" s="1077">
        <v>1.8</v>
      </c>
      <c r="Z3266" s="1077">
        <v>6.5</v>
      </c>
      <c r="AA3266" s="1077" t="s">
        <v>16351</v>
      </c>
      <c r="AH3266" s="1077" t="s">
        <v>958</v>
      </c>
      <c r="AI3266" s="1077">
        <v>12.86</v>
      </c>
      <c r="AJ3266" s="1077">
        <v>-0.28000000000000003</v>
      </c>
      <c r="AK3266" s="1077">
        <v>0.65</v>
      </c>
      <c r="AM3266" s="1078" t="s">
        <v>16126</v>
      </c>
      <c r="AN3266" s="1078" t="s">
        <v>16571</v>
      </c>
      <c r="AO3266" s="1078">
        <f t="shared" si="406"/>
        <v>525</v>
      </c>
      <c r="AP3266" s="1078">
        <f t="shared" si="407"/>
        <v>1.7649999999999999</v>
      </c>
      <c r="AQ3266" s="1078" t="str">
        <f t="shared" si="408"/>
        <v>1-5-1S91</v>
      </c>
      <c r="AR3266" s="1078" t="str">
        <f t="shared" si="409"/>
        <v>31.5</v>
      </c>
      <c r="AS3266" s="1078" t="str">
        <f t="shared" si="410"/>
        <v>330/330/OFF</v>
      </c>
      <c r="AT3266" s="1078" t="str">
        <f t="shared" si="411"/>
        <v>1-5-1S91</v>
      </c>
      <c r="AV3266" s="1078" t="str">
        <f t="shared" ref="AV3266:AV3329" si="412">AA3266</f>
        <v>115.1.7</v>
      </c>
      <c r="AW3266" s="1344">
        <f t="shared" si="405"/>
        <v>46029</v>
      </c>
    </row>
    <row r="3267" spans="1:49">
      <c r="A3267" s="1077" t="s">
        <v>16352</v>
      </c>
      <c r="B3267" s="1077" t="s">
        <v>754</v>
      </c>
      <c r="C3267" s="1077">
        <v>600</v>
      </c>
      <c r="D3267" s="1077">
        <v>1.645</v>
      </c>
      <c r="E3267" s="1077" t="s">
        <v>15121</v>
      </c>
      <c r="F3267" s="1077" t="s">
        <v>648</v>
      </c>
      <c r="G3267" s="1077">
        <v>4</v>
      </c>
      <c r="H3267" s="1077" t="s">
        <v>2326</v>
      </c>
      <c r="I3267" s="1077" t="s">
        <v>126</v>
      </c>
      <c r="J3267" s="1077">
        <v>1.5</v>
      </c>
      <c r="K3267" s="1077" t="s">
        <v>15683</v>
      </c>
      <c r="L3267" s="1077" t="s">
        <v>6742</v>
      </c>
      <c r="M3267" s="1077">
        <v>155</v>
      </c>
      <c r="N3267" s="1077" t="s">
        <v>945</v>
      </c>
      <c r="O3267" s="1077">
        <v>3.875</v>
      </c>
      <c r="P3267" s="1077">
        <v>3.1</v>
      </c>
      <c r="Q3267" s="1077">
        <v>4</v>
      </c>
      <c r="R3267" s="1077">
        <v>25</v>
      </c>
      <c r="T3267" s="1077">
        <v>18</v>
      </c>
      <c r="U3267" s="1077">
        <v>3.8</v>
      </c>
      <c r="V3267" s="1077" t="s">
        <v>648</v>
      </c>
      <c r="W3267" s="1077">
        <v>135</v>
      </c>
      <c r="X3267" s="1077">
        <v>80</v>
      </c>
      <c r="Y3267" s="1077">
        <v>1.2</v>
      </c>
      <c r="Z3267" s="1077" t="s">
        <v>648</v>
      </c>
      <c r="AA3267" s="1077" t="s">
        <v>16353</v>
      </c>
      <c r="AH3267" s="1077" t="s">
        <v>785</v>
      </c>
      <c r="AI3267" s="1077">
        <v>95.05</v>
      </c>
      <c r="AJ3267" s="1077">
        <v>-0.67</v>
      </c>
      <c r="AK3267" s="1077">
        <v>2.29</v>
      </c>
      <c r="AM3267" s="1078" t="s">
        <v>16572</v>
      </c>
      <c r="AN3267" s="1078" t="s">
        <v>16573</v>
      </c>
      <c r="AO3267" s="1078">
        <f t="shared" si="406"/>
        <v>600</v>
      </c>
      <c r="AP3267" s="1078">
        <f t="shared" si="407"/>
        <v>1.645</v>
      </c>
      <c r="AQ3267" s="1078" t="str">
        <f t="shared" si="408"/>
        <v>1-5-1S85°S+Z</v>
      </c>
      <c r="AR3267" s="1078" t="str">
        <f t="shared" si="409"/>
        <v>NA</v>
      </c>
      <c r="AS3267" s="1078" t="str">
        <f t="shared" si="410"/>
        <v>173/OFF</v>
      </c>
      <c r="AT3267" s="1078" t="str">
        <f t="shared" si="411"/>
        <v>1-5-1S85°S+Z</v>
      </c>
      <c r="AV3267" s="1078" t="str">
        <f t="shared" si="412"/>
        <v>115.1.12</v>
      </c>
      <c r="AW3267" s="1344">
        <f t="shared" ref="AW3267:AW3330" si="413">DATE(VALUE(LEFT(AV3267,FIND(".",AV3267)-1))+1911,
       VALUE(MID(AV3267,FIND(".",AV3267)+1,FIND(".",AV3267,FIND(".",AV3267)+1)-FIND(".",AV3267)-1)),
       VALUE(RIGHT(AV3267,LEN(AV3267)-FIND("~",SUBSTITUTE(AV3267,".","~",2)))))</f>
        <v>46034</v>
      </c>
    </row>
    <row r="3268" spans="1:49">
      <c r="A3268" s="1077" t="s">
        <v>16354</v>
      </c>
      <c r="B3268" s="1077" t="s">
        <v>754</v>
      </c>
      <c r="C3268" s="1077">
        <v>600</v>
      </c>
      <c r="D3268" s="1077">
        <v>1.65</v>
      </c>
      <c r="E3268" s="1077" t="s">
        <v>15121</v>
      </c>
      <c r="F3268" s="1077" t="s">
        <v>648</v>
      </c>
      <c r="G3268" s="1077">
        <v>4</v>
      </c>
      <c r="H3268" s="1077" t="s">
        <v>2326</v>
      </c>
      <c r="I3268" s="1077" t="s">
        <v>126</v>
      </c>
      <c r="J3268" s="1077">
        <v>1.5</v>
      </c>
      <c r="K3268" s="1077" t="s">
        <v>15683</v>
      </c>
      <c r="L3268" s="1077" t="s">
        <v>6742</v>
      </c>
      <c r="M3268" s="1077">
        <v>155</v>
      </c>
      <c r="N3268" s="1077" t="s">
        <v>945</v>
      </c>
      <c r="O3268" s="1077">
        <v>3.875</v>
      </c>
      <c r="P3268" s="1077">
        <v>3.1</v>
      </c>
      <c r="Q3268" s="1077">
        <v>4</v>
      </c>
      <c r="R3268" s="1077">
        <v>25</v>
      </c>
      <c r="T3268" s="1077">
        <v>18</v>
      </c>
      <c r="U3268" s="1077">
        <v>3.8</v>
      </c>
      <c r="V3268" s="1077" t="s">
        <v>648</v>
      </c>
      <c r="W3268" s="1077">
        <v>135</v>
      </c>
      <c r="X3268" s="1077">
        <v>80</v>
      </c>
      <c r="Y3268" s="1077">
        <v>1.2</v>
      </c>
      <c r="Z3268" s="1077" t="s">
        <v>648</v>
      </c>
      <c r="AA3268" s="1077" t="s">
        <v>16318</v>
      </c>
      <c r="AH3268" s="1077" t="s">
        <v>712</v>
      </c>
      <c r="AI3268" s="1077">
        <v>95.79</v>
      </c>
      <c r="AJ3268" s="1077">
        <v>-0.82</v>
      </c>
      <c r="AK3268" s="1077">
        <v>2.04</v>
      </c>
      <c r="AM3268" s="1078" t="s">
        <v>16131</v>
      </c>
      <c r="AN3268" s="1078" t="s">
        <v>16574</v>
      </c>
      <c r="AO3268" s="1078">
        <f t="shared" si="406"/>
        <v>600</v>
      </c>
      <c r="AP3268" s="1078">
        <f t="shared" si="407"/>
        <v>1.65</v>
      </c>
      <c r="AQ3268" s="1078" t="str">
        <f t="shared" si="408"/>
        <v>1-5-1S85°S+Z</v>
      </c>
      <c r="AR3268" s="1078" t="str">
        <f t="shared" si="409"/>
        <v>NA</v>
      </c>
      <c r="AS3268" s="1078" t="str">
        <f t="shared" si="410"/>
        <v>173/OFF</v>
      </c>
      <c r="AT3268" s="1078" t="str">
        <f t="shared" si="411"/>
        <v>1-5-1S85°S+Z</v>
      </c>
      <c r="AV3268" s="1078" t="str">
        <f t="shared" si="412"/>
        <v>115.1.9</v>
      </c>
      <c r="AW3268" s="1344">
        <f t="shared" si="413"/>
        <v>46031</v>
      </c>
    </row>
    <row r="3269" spans="1:49">
      <c r="A3269" s="1077" t="s">
        <v>16355</v>
      </c>
      <c r="B3269" s="1077" t="s">
        <v>16141</v>
      </c>
      <c r="C3269" s="1077">
        <v>700</v>
      </c>
      <c r="D3269" s="1077">
        <v>1.7549999999999999</v>
      </c>
      <c r="E3269" s="1077" t="s">
        <v>15108</v>
      </c>
      <c r="F3269" s="1077" t="s">
        <v>648</v>
      </c>
      <c r="G3269" s="1077">
        <v>5</v>
      </c>
      <c r="H3269" s="1077" t="s">
        <v>2259</v>
      </c>
      <c r="I3269" s="1077" t="s">
        <v>460</v>
      </c>
      <c r="J3269" s="1077">
        <v>2.1</v>
      </c>
      <c r="K3269" s="1077" t="s">
        <v>16335</v>
      </c>
      <c r="L3269" s="1077" t="s">
        <v>6335</v>
      </c>
      <c r="M3269" s="1077">
        <v>149.5</v>
      </c>
      <c r="N3269" s="1077" t="s">
        <v>945</v>
      </c>
      <c r="O3269" s="1077">
        <v>3.7375000000000003</v>
      </c>
      <c r="P3269" s="1077">
        <v>2.99</v>
      </c>
      <c r="Q3269" s="1077">
        <v>4</v>
      </c>
      <c r="R3269" s="1077">
        <v>21</v>
      </c>
      <c r="T3269" s="1077">
        <v>37</v>
      </c>
      <c r="U3269" s="1077">
        <v>3.7</v>
      </c>
      <c r="V3269" s="1077" t="s">
        <v>648</v>
      </c>
      <c r="W3269" s="1077">
        <v>110</v>
      </c>
      <c r="X3269" s="1077">
        <v>40</v>
      </c>
      <c r="Y3269" s="1077">
        <v>2.2000000000000002</v>
      </c>
      <c r="Z3269" s="1077" t="s">
        <v>648</v>
      </c>
      <c r="AA3269" s="1077" t="s">
        <v>16356</v>
      </c>
      <c r="AH3269" s="1077" t="s">
        <v>621</v>
      </c>
      <c r="AI3269" s="1077">
        <v>91.69</v>
      </c>
      <c r="AJ3269" s="1077">
        <v>-0.39</v>
      </c>
      <c r="AK3269" s="1077">
        <v>1.5</v>
      </c>
      <c r="AM3269" s="1078" t="s">
        <v>16140</v>
      </c>
      <c r="AN3269" s="1078" t="s">
        <v>16575</v>
      </c>
      <c r="AO3269" s="1078">
        <f t="shared" si="406"/>
        <v>700</v>
      </c>
      <c r="AP3269" s="1078">
        <f t="shared" si="407"/>
        <v>1.7549999999999999</v>
      </c>
      <c r="AQ3269" s="1078" t="str">
        <f t="shared" si="408"/>
        <v>1-4-1S83°Z+S</v>
      </c>
      <c r="AR3269" s="1078" t="str">
        <f t="shared" si="409"/>
        <v>NA</v>
      </c>
      <c r="AS3269" s="1078" t="str">
        <f t="shared" si="410"/>
        <v>275/275/OFF</v>
      </c>
      <c r="AT3269" s="1078" t="str">
        <f t="shared" si="411"/>
        <v>1-4-1S83°Z+S</v>
      </c>
      <c r="AV3269" s="1078" t="str">
        <f t="shared" si="412"/>
        <v>115.1.21</v>
      </c>
      <c r="AW3269" s="1344">
        <f t="shared" si="413"/>
        <v>46043</v>
      </c>
    </row>
    <row r="3270" spans="1:49">
      <c r="A3270" s="1077" t="s">
        <v>16357</v>
      </c>
      <c r="B3270" s="1077" t="s">
        <v>210</v>
      </c>
      <c r="C3270" s="1077">
        <v>650</v>
      </c>
      <c r="D3270" s="1077">
        <v>1.76</v>
      </c>
      <c r="E3270" s="1077" t="s">
        <v>15099</v>
      </c>
      <c r="F3270" s="1077" t="s">
        <v>2001</v>
      </c>
      <c r="G3270" s="1077">
        <v>5</v>
      </c>
      <c r="H3270" s="1077" t="s">
        <v>6023</v>
      </c>
      <c r="I3270" s="1077" t="s">
        <v>126</v>
      </c>
      <c r="J3270" s="1077">
        <v>3</v>
      </c>
      <c r="K3270" s="1077" t="s">
        <v>16358</v>
      </c>
      <c r="L3270" s="1077" t="s">
        <v>4666</v>
      </c>
      <c r="M3270" s="1077">
        <v>150.80000000000001</v>
      </c>
      <c r="N3270" s="1077" t="s">
        <v>945</v>
      </c>
      <c r="O3270" s="1077">
        <v>3.7700000000000005</v>
      </c>
      <c r="P3270" s="1077">
        <v>3.0160000000000005</v>
      </c>
      <c r="Q3270" s="1077">
        <v>4</v>
      </c>
      <c r="R3270" s="1077">
        <v>19</v>
      </c>
      <c r="T3270" s="1077">
        <v>28.3</v>
      </c>
      <c r="U3270" s="1077">
        <v>4.3</v>
      </c>
      <c r="V3270" s="1077" t="s">
        <v>648</v>
      </c>
      <c r="W3270" s="1077">
        <v>100</v>
      </c>
      <c r="X3270" s="1077">
        <v>50</v>
      </c>
      <c r="Y3270" s="1077">
        <v>1.5</v>
      </c>
      <c r="Z3270" s="1077">
        <v>6.5</v>
      </c>
      <c r="AA3270" s="1077" t="s">
        <v>16359</v>
      </c>
      <c r="AH3270" s="1077" t="s">
        <v>468</v>
      </c>
      <c r="AI3270" s="1077">
        <v>91.76</v>
      </c>
      <c r="AJ3270" s="1077">
        <v>-0.9</v>
      </c>
      <c r="AK3270" s="1077">
        <v>1.19</v>
      </c>
      <c r="AM3270" s="1078" t="s">
        <v>16144</v>
      </c>
      <c r="AN3270" s="1078" t="s">
        <v>16576</v>
      </c>
      <c r="AO3270" s="1078">
        <f t="shared" si="406"/>
        <v>650</v>
      </c>
      <c r="AP3270" s="1078">
        <f t="shared" si="407"/>
        <v>1.76</v>
      </c>
      <c r="AQ3270" s="1078" t="str">
        <f t="shared" si="408"/>
        <v>1-5-1S87°</v>
      </c>
      <c r="AR3270" s="1078" t="str">
        <f t="shared" si="409"/>
        <v>29.9</v>
      </c>
      <c r="AS3270" s="1078" t="str">
        <f t="shared" si="410"/>
        <v>350/310/OFF</v>
      </c>
      <c r="AT3270" s="1078" t="str">
        <f t="shared" si="411"/>
        <v>1-5-1S87°</v>
      </c>
      <c r="AV3270" s="1078" t="str">
        <f t="shared" si="412"/>
        <v>115.1.22</v>
      </c>
      <c r="AW3270" s="1344">
        <f t="shared" si="413"/>
        <v>46044</v>
      </c>
    </row>
    <row r="3271" spans="1:49">
      <c r="A3271" s="1077" t="s">
        <v>16360</v>
      </c>
      <c r="B3271" s="1077" t="s">
        <v>16141</v>
      </c>
      <c r="C3271" s="1077">
        <v>700</v>
      </c>
      <c r="D3271" s="1077">
        <v>1.75</v>
      </c>
      <c r="E3271" s="1077" t="s">
        <v>15108</v>
      </c>
      <c r="F3271" s="1077" t="s">
        <v>648</v>
      </c>
      <c r="G3271" s="1077">
        <v>5</v>
      </c>
      <c r="H3271" s="1077" t="s">
        <v>2259</v>
      </c>
      <c r="I3271" s="1077" t="s">
        <v>460</v>
      </c>
      <c r="J3271" s="1077">
        <v>2.2000000000000002</v>
      </c>
      <c r="K3271" s="1077" t="s">
        <v>16361</v>
      </c>
      <c r="L3271" s="1077" t="s">
        <v>4864</v>
      </c>
      <c r="M3271" s="1077">
        <v>149.5</v>
      </c>
      <c r="N3271" s="1077" t="s">
        <v>945</v>
      </c>
      <c r="O3271" s="1077">
        <v>3.7375000000000003</v>
      </c>
      <c r="P3271" s="1077">
        <v>2.99</v>
      </c>
      <c r="Q3271" s="1077">
        <v>4</v>
      </c>
      <c r="R3271" s="1077">
        <v>21</v>
      </c>
      <c r="T3271" s="1077">
        <v>37</v>
      </c>
      <c r="U3271" s="1077">
        <v>3.7</v>
      </c>
      <c r="V3271" s="1077" t="s">
        <v>648</v>
      </c>
      <c r="W3271" s="1077">
        <v>110</v>
      </c>
      <c r="X3271" s="1077">
        <v>40</v>
      </c>
      <c r="Y3271" s="1077">
        <v>2.2000000000000002</v>
      </c>
      <c r="Z3271" s="1077" t="s">
        <v>648</v>
      </c>
      <c r="AA3271" s="1077" t="s">
        <v>16362</v>
      </c>
      <c r="AH3271" s="1077" t="s">
        <v>482</v>
      </c>
      <c r="AI3271" s="1077">
        <v>91.61</v>
      </c>
      <c r="AJ3271" s="1077">
        <v>-0.95</v>
      </c>
      <c r="AK3271" s="1077">
        <v>1.51</v>
      </c>
      <c r="AM3271" s="1078" t="s">
        <v>16145</v>
      </c>
      <c r="AN3271" s="1078" t="s">
        <v>16577</v>
      </c>
      <c r="AO3271" s="1078">
        <f t="shared" si="406"/>
        <v>700</v>
      </c>
      <c r="AP3271" s="1078">
        <f t="shared" si="407"/>
        <v>1.75</v>
      </c>
      <c r="AQ3271" s="1078" t="str">
        <f t="shared" si="408"/>
        <v>1-4-1S83°Z+S</v>
      </c>
      <c r="AR3271" s="1078" t="str">
        <f t="shared" si="409"/>
        <v>NA</v>
      </c>
      <c r="AS3271" s="1078" t="str">
        <f t="shared" si="410"/>
        <v>275/275/OFF</v>
      </c>
      <c r="AT3271" s="1078" t="str">
        <f t="shared" si="411"/>
        <v>1-4-1S83°Z+S</v>
      </c>
      <c r="AV3271" s="1078" t="str">
        <f t="shared" si="412"/>
        <v>115.1.23</v>
      </c>
      <c r="AW3271" s="1344">
        <f t="shared" si="413"/>
        <v>46045</v>
      </c>
    </row>
    <row r="3272" spans="1:49">
      <c r="A3272" s="1077" t="s">
        <v>16363</v>
      </c>
      <c r="B3272" s="1077" t="s">
        <v>210</v>
      </c>
      <c r="C3272" s="1077">
        <v>670</v>
      </c>
      <c r="D3272" s="1077">
        <v>1.7649999999999999</v>
      </c>
      <c r="E3272" s="1077" t="s">
        <v>15099</v>
      </c>
      <c r="F3272" s="1077" t="s">
        <v>984</v>
      </c>
      <c r="G3272" s="1077">
        <v>5</v>
      </c>
      <c r="H3272" s="1077" t="s">
        <v>6560</v>
      </c>
      <c r="I3272" s="1077" t="s">
        <v>126</v>
      </c>
      <c r="J3272" s="1077">
        <v>0.7</v>
      </c>
      <c r="K3272" s="1077" t="s">
        <v>16358</v>
      </c>
      <c r="L3272" s="1077" t="s">
        <v>4666</v>
      </c>
      <c r="M3272" s="1077">
        <v>151.5</v>
      </c>
      <c r="N3272" s="1077" t="s">
        <v>945</v>
      </c>
      <c r="O3272" s="1077">
        <v>3.7875000000000001</v>
      </c>
      <c r="P3272" s="1077">
        <v>3.0300000000000002</v>
      </c>
      <c r="Q3272" s="1077">
        <v>3.5</v>
      </c>
      <c r="R3272" s="1077">
        <v>19.100000000000001</v>
      </c>
      <c r="T3272" s="1077">
        <v>23.7</v>
      </c>
      <c r="U3272" s="1077">
        <v>3.2</v>
      </c>
      <c r="V3272" s="1077" t="s">
        <v>648</v>
      </c>
      <c r="W3272" s="1077">
        <v>35</v>
      </c>
      <c r="X3272" s="1077">
        <v>10</v>
      </c>
      <c r="Y3272" s="1077">
        <v>1</v>
      </c>
      <c r="Z3272" s="1077">
        <v>6</v>
      </c>
      <c r="AA3272" s="1077" t="s">
        <v>16287</v>
      </c>
      <c r="AH3272" s="1077" t="s">
        <v>758</v>
      </c>
      <c r="AI3272" s="1077">
        <v>91.62</v>
      </c>
      <c r="AJ3272" s="1077">
        <v>-1.21</v>
      </c>
      <c r="AK3272" s="1077">
        <v>1.49</v>
      </c>
      <c r="AM3272" s="1078" t="s">
        <v>16152</v>
      </c>
      <c r="AN3272" s="1078" t="s">
        <v>16578</v>
      </c>
      <c r="AO3272" s="1078">
        <f t="shared" si="406"/>
        <v>670</v>
      </c>
      <c r="AP3272" s="1078">
        <f t="shared" si="407"/>
        <v>1.7649999999999999</v>
      </c>
      <c r="AQ3272" s="1078" t="str">
        <f t="shared" si="408"/>
        <v>1-5-1S87°</v>
      </c>
      <c r="AR3272" s="1078" t="str">
        <f t="shared" si="409"/>
        <v>30</v>
      </c>
      <c r="AS3272" s="1078" t="str">
        <f t="shared" si="410"/>
        <v>350/310/155</v>
      </c>
      <c r="AT3272" s="1078" t="str">
        <f t="shared" si="411"/>
        <v>1-5-1S87°</v>
      </c>
      <c r="AV3272" s="1078" t="str">
        <f t="shared" si="412"/>
        <v>115.1.28</v>
      </c>
      <c r="AW3272" s="1344">
        <f t="shared" si="413"/>
        <v>46050</v>
      </c>
    </row>
    <row r="3273" spans="1:49">
      <c r="A3273" s="1077" t="s">
        <v>16364</v>
      </c>
      <c r="B3273" s="1077" t="s">
        <v>617</v>
      </c>
      <c r="C3273" s="1077">
        <v>700</v>
      </c>
      <c r="D3273" s="1077">
        <v>1.7350000000000001</v>
      </c>
      <c r="E3273" s="1077" t="s">
        <v>15094</v>
      </c>
      <c r="F3273" s="1077" t="s">
        <v>984</v>
      </c>
      <c r="G3273" s="1077">
        <v>5</v>
      </c>
      <c r="H3273" s="1077" t="s">
        <v>16365</v>
      </c>
      <c r="I3273" s="1077" t="s">
        <v>126</v>
      </c>
      <c r="J3273" s="1077">
        <v>2.9</v>
      </c>
      <c r="K3273" s="1077" t="s">
        <v>16366</v>
      </c>
      <c r="L3273" s="1077" t="s">
        <v>4946</v>
      </c>
      <c r="M3273" s="1077">
        <v>150.30000000000001</v>
      </c>
      <c r="N3273" s="1077" t="s">
        <v>945</v>
      </c>
      <c r="O3273" s="1077">
        <v>3.7575000000000003</v>
      </c>
      <c r="P3273" s="1077">
        <v>3.0060000000000002</v>
      </c>
      <c r="Q3273" s="1077">
        <v>2.8</v>
      </c>
      <c r="R3273" s="1077">
        <v>31</v>
      </c>
      <c r="T3273" s="1077">
        <v>13</v>
      </c>
      <c r="U3273" s="1077">
        <v>7</v>
      </c>
      <c r="V3273" s="1077" t="s">
        <v>648</v>
      </c>
      <c r="W3273" s="1077">
        <v>115</v>
      </c>
      <c r="X3273" s="1077">
        <v>50</v>
      </c>
      <c r="Y3273" s="1077">
        <v>1.7</v>
      </c>
      <c r="Z3273" s="1077">
        <v>6.5</v>
      </c>
      <c r="AA3273" s="1077" t="s">
        <v>16367</v>
      </c>
      <c r="AH3273" s="1077" t="s">
        <v>722</v>
      </c>
      <c r="AI3273" s="1077">
        <v>92.9</v>
      </c>
      <c r="AJ3273" s="1077">
        <v>-1.05</v>
      </c>
      <c r="AK3273" s="1077">
        <v>3.73</v>
      </c>
      <c r="AM3273" s="1078" t="s">
        <v>16148</v>
      </c>
      <c r="AN3273" s="1078" t="s">
        <v>16579</v>
      </c>
      <c r="AO3273" s="1078">
        <f t="shared" si="406"/>
        <v>700</v>
      </c>
      <c r="AP3273" s="1078">
        <f t="shared" si="407"/>
        <v>1.7350000000000001</v>
      </c>
      <c r="AQ3273" s="1078" t="str">
        <f t="shared" si="408"/>
        <v>1-5-1S91°</v>
      </c>
      <c r="AR3273" s="1078" t="str">
        <f t="shared" si="409"/>
        <v>30</v>
      </c>
      <c r="AS3273" s="1078" t="str">
        <f t="shared" si="410"/>
        <v>263/263/OFF</v>
      </c>
      <c r="AT3273" s="1078" t="str">
        <f t="shared" si="411"/>
        <v>1-5-1S91°</v>
      </c>
      <c r="AV3273" s="1078" t="str">
        <f t="shared" si="412"/>
        <v>115.1.26</v>
      </c>
      <c r="AW3273" s="1344">
        <f t="shared" si="413"/>
        <v>46048</v>
      </c>
    </row>
    <row r="3274" spans="1:49">
      <c r="A3274" s="1077" t="s">
        <v>16368</v>
      </c>
      <c r="B3274" s="1077" t="s">
        <v>16369</v>
      </c>
      <c r="C3274" s="1077">
        <v>670</v>
      </c>
      <c r="D3274" s="1077">
        <v>1.75</v>
      </c>
      <c r="E3274" s="1077" t="s">
        <v>15094</v>
      </c>
      <c r="F3274" s="1077" t="s">
        <v>984</v>
      </c>
      <c r="G3274" s="1077">
        <v>5</v>
      </c>
      <c r="H3274" s="1077" t="s">
        <v>16370</v>
      </c>
      <c r="I3274" s="1077" t="s">
        <v>126</v>
      </c>
      <c r="J3274" s="1077">
        <v>0.8</v>
      </c>
      <c r="K3274" s="1077" t="s">
        <v>16371</v>
      </c>
      <c r="L3274" s="1077" t="s">
        <v>4666</v>
      </c>
      <c r="M3274" s="1077">
        <v>151.5</v>
      </c>
      <c r="N3274" s="1077" t="s">
        <v>945</v>
      </c>
      <c r="O3274" s="1077">
        <v>3.7875000000000001</v>
      </c>
      <c r="P3274" s="1077">
        <v>3.0300000000000002</v>
      </c>
      <c r="Q3274" s="1077">
        <v>3.5</v>
      </c>
      <c r="R3274" s="1077">
        <v>19.100000000000001</v>
      </c>
      <c r="T3274" s="1077">
        <v>23.7</v>
      </c>
      <c r="U3274" s="1077">
        <v>3.2</v>
      </c>
      <c r="V3274" s="1077" t="s">
        <v>648</v>
      </c>
      <c r="W3274" s="1077">
        <v>35</v>
      </c>
      <c r="X3274" s="1077">
        <v>10</v>
      </c>
      <c r="Y3274" s="1077">
        <v>1</v>
      </c>
      <c r="Z3274" s="1077">
        <v>6</v>
      </c>
      <c r="AA3274" s="1077" t="s">
        <v>16287</v>
      </c>
      <c r="AH3274" s="1077" t="s">
        <v>456</v>
      </c>
      <c r="AI3274" s="1077">
        <v>91.9</v>
      </c>
      <c r="AJ3274" s="1077">
        <v>-0.61</v>
      </c>
      <c r="AK3274" s="1077">
        <v>1.67</v>
      </c>
      <c r="AM3274" s="1078" t="s">
        <v>16151</v>
      </c>
      <c r="AN3274" s="1078" t="s">
        <v>16580</v>
      </c>
      <c r="AO3274" s="1078">
        <f t="shared" si="406"/>
        <v>670</v>
      </c>
      <c r="AP3274" s="1078">
        <f t="shared" si="407"/>
        <v>1.75</v>
      </c>
      <c r="AQ3274" s="1078" t="str">
        <f t="shared" si="408"/>
        <v>1-5-1S91°</v>
      </c>
      <c r="AR3274" s="1078" t="str">
        <f t="shared" si="409"/>
        <v>30</v>
      </c>
      <c r="AS3274" s="1078" t="str">
        <f t="shared" si="410"/>
        <v>355/315/160</v>
      </c>
      <c r="AT3274" s="1078" t="str">
        <f t="shared" si="411"/>
        <v>1-5-1S91°</v>
      </c>
      <c r="AV3274" s="1078" t="str">
        <f t="shared" si="412"/>
        <v>115.1.28</v>
      </c>
      <c r="AW3274" s="1344">
        <f t="shared" si="413"/>
        <v>46050</v>
      </c>
    </row>
    <row r="3275" spans="1:49">
      <c r="A3275" s="1077" t="s">
        <v>16372</v>
      </c>
      <c r="B3275" s="1077" t="s">
        <v>844</v>
      </c>
      <c r="C3275" s="1077">
        <v>600</v>
      </c>
      <c r="D3275" s="1077">
        <v>1.74</v>
      </c>
      <c r="E3275" s="1077" t="s">
        <v>15094</v>
      </c>
      <c r="F3275" s="1077" t="s">
        <v>954</v>
      </c>
      <c r="G3275" s="1077">
        <v>5</v>
      </c>
      <c r="H3275" s="1077" t="s">
        <v>5126</v>
      </c>
      <c r="I3275" s="1077" t="s">
        <v>648</v>
      </c>
      <c r="J3275" s="1077">
        <v>0</v>
      </c>
      <c r="K3275" s="1077" t="s">
        <v>16373</v>
      </c>
      <c r="L3275" s="1077" t="s">
        <v>6238</v>
      </c>
      <c r="M3275" s="1077">
        <v>151</v>
      </c>
      <c r="N3275" s="1077" t="s">
        <v>945</v>
      </c>
      <c r="O3275" s="1077">
        <v>3.7750000000000004</v>
      </c>
      <c r="P3275" s="1077">
        <v>3.02</v>
      </c>
      <c r="Q3275" s="1077">
        <v>3</v>
      </c>
      <c r="R3275" s="1077">
        <v>22.4</v>
      </c>
      <c r="T3275" s="1077">
        <v>15</v>
      </c>
      <c r="U3275" s="1077">
        <v>3.7</v>
      </c>
      <c r="V3275" s="1077" t="s">
        <v>648</v>
      </c>
      <c r="W3275" s="1077" t="s">
        <v>648</v>
      </c>
      <c r="X3275" s="1077" t="s">
        <v>648</v>
      </c>
      <c r="Y3275" s="1077">
        <v>1.5</v>
      </c>
      <c r="Z3275" s="1077">
        <v>5.5</v>
      </c>
      <c r="AA3275" s="1077" t="s">
        <v>16221</v>
      </c>
      <c r="AB3275" s="1077" t="s">
        <v>2064</v>
      </c>
      <c r="AH3275" s="1077" t="s">
        <v>877</v>
      </c>
      <c r="AI3275" s="1077">
        <v>91.5</v>
      </c>
      <c r="AJ3275" s="1077">
        <v>-1.3</v>
      </c>
      <c r="AK3275" s="1077">
        <v>5.39</v>
      </c>
      <c r="AM3275" s="1078" t="s">
        <v>16581</v>
      </c>
      <c r="AN3275" s="1078" t="s">
        <v>16582</v>
      </c>
      <c r="AO3275" s="1078">
        <f t="shared" ref="AO3275:AO3338" si="414">C3275</f>
        <v>600</v>
      </c>
      <c r="AP3275" s="1078">
        <f t="shared" ref="AP3275:AP3338" si="415">D3275</f>
        <v>1.74</v>
      </c>
      <c r="AQ3275" s="1078" t="str">
        <f t="shared" ref="AQ3275:AQ3338" si="416">E3275</f>
        <v>1-5-1S91°</v>
      </c>
      <c r="AR3275" s="1078" t="str">
        <f t="shared" ref="AR3275:AR3338" si="417">F3275</f>
        <v>31</v>
      </c>
      <c r="AS3275" s="1078" t="str">
        <f t="shared" ref="AS3275:AS3338" si="418">H3275</f>
        <v>300/300/140</v>
      </c>
      <c r="AT3275" s="1078" t="str">
        <f t="shared" ref="AT3275:AT3338" si="419">E3275</f>
        <v>1-5-1S91°</v>
      </c>
      <c r="AV3275" s="1078" t="str">
        <f t="shared" si="412"/>
        <v>115.2.6</v>
      </c>
      <c r="AW3275" s="1344">
        <f t="shared" si="413"/>
        <v>46059</v>
      </c>
    </row>
    <row r="3276" spans="1:49">
      <c r="A3276" s="1077" t="s">
        <v>16374</v>
      </c>
      <c r="B3276" s="1077" t="s">
        <v>465</v>
      </c>
      <c r="C3276" s="1077">
        <v>700</v>
      </c>
      <c r="D3276" s="1077">
        <v>1.75</v>
      </c>
      <c r="E3276" s="1077" t="s">
        <v>15108</v>
      </c>
      <c r="F3276" s="1077" t="s">
        <v>648</v>
      </c>
      <c r="G3276" s="1077">
        <v>5</v>
      </c>
      <c r="H3276" s="1077" t="s">
        <v>2259</v>
      </c>
      <c r="I3276" s="1077" t="s">
        <v>460</v>
      </c>
      <c r="J3276" s="1077">
        <v>2.2999999999999998</v>
      </c>
      <c r="K3276" s="1077" t="s">
        <v>16375</v>
      </c>
      <c r="L3276" s="1077" t="s">
        <v>6335</v>
      </c>
      <c r="M3276" s="1077">
        <v>149.5</v>
      </c>
      <c r="N3276" s="1077" t="s">
        <v>945</v>
      </c>
      <c r="O3276" s="1077">
        <v>3.7375000000000003</v>
      </c>
      <c r="P3276" s="1077">
        <v>2.99</v>
      </c>
      <c r="Q3276" s="1077">
        <v>4</v>
      </c>
      <c r="R3276" s="1077">
        <v>21</v>
      </c>
      <c r="T3276" s="1077">
        <v>37</v>
      </c>
      <c r="U3276" s="1077">
        <v>3.7</v>
      </c>
      <c r="V3276" s="1077" t="s">
        <v>648</v>
      </c>
      <c r="W3276" s="1077">
        <v>110</v>
      </c>
      <c r="X3276" s="1077">
        <v>40</v>
      </c>
      <c r="Y3276" s="1077">
        <v>2.2000000000000002</v>
      </c>
      <c r="Z3276" s="1077" t="s">
        <v>648</v>
      </c>
      <c r="AA3276" s="1077" t="s">
        <v>16376</v>
      </c>
      <c r="AH3276" s="1077" t="s">
        <v>878</v>
      </c>
      <c r="AI3276" s="1077">
        <v>91.23</v>
      </c>
      <c r="AJ3276" s="1077">
        <v>-0.97</v>
      </c>
      <c r="AK3276" s="1077">
        <v>1.37</v>
      </c>
      <c r="AM3276" s="1078" t="s">
        <v>16188</v>
      </c>
      <c r="AN3276" s="1078" t="s">
        <v>16583</v>
      </c>
      <c r="AO3276" s="1078">
        <f t="shared" si="414"/>
        <v>700</v>
      </c>
      <c r="AP3276" s="1078">
        <f t="shared" si="415"/>
        <v>1.75</v>
      </c>
      <c r="AQ3276" s="1078" t="str">
        <f t="shared" si="416"/>
        <v>1-4-1S83°Z+S</v>
      </c>
      <c r="AR3276" s="1078" t="str">
        <f t="shared" si="417"/>
        <v>NA</v>
      </c>
      <c r="AS3276" s="1078" t="str">
        <f t="shared" si="418"/>
        <v>275/275/OFF</v>
      </c>
      <c r="AT3276" s="1078" t="str">
        <f t="shared" si="419"/>
        <v>1-4-1S83°Z+S</v>
      </c>
      <c r="AV3276" s="1078" t="str">
        <f t="shared" si="412"/>
        <v>115.2.24</v>
      </c>
      <c r="AW3276" s="1344">
        <f t="shared" si="413"/>
        <v>46077</v>
      </c>
    </row>
    <row r="3277" spans="1:49">
      <c r="A3277" s="1077" t="s">
        <v>16377</v>
      </c>
      <c r="B3277" s="1077" t="s">
        <v>465</v>
      </c>
      <c r="C3277" s="1077">
        <v>700</v>
      </c>
      <c r="D3277" s="1077">
        <v>1.7549999999999999</v>
      </c>
      <c r="E3277" s="1077" t="s">
        <v>15108</v>
      </c>
      <c r="F3277" s="1077" t="s">
        <v>648</v>
      </c>
      <c r="G3277" s="1077">
        <v>5</v>
      </c>
      <c r="H3277" s="1077" t="s">
        <v>2259</v>
      </c>
      <c r="I3277" s="1077" t="s">
        <v>460</v>
      </c>
      <c r="J3277" s="1077">
        <v>2.1</v>
      </c>
      <c r="K3277" s="1077" t="s">
        <v>16375</v>
      </c>
      <c r="L3277" s="1077" t="s">
        <v>4864</v>
      </c>
      <c r="M3277" s="1077">
        <v>149.5</v>
      </c>
      <c r="N3277" s="1077" t="s">
        <v>945</v>
      </c>
      <c r="O3277" s="1077">
        <v>3.7375000000000003</v>
      </c>
      <c r="P3277" s="1077">
        <v>2.99</v>
      </c>
      <c r="Q3277" s="1077">
        <v>4</v>
      </c>
      <c r="R3277" s="1077">
        <v>21</v>
      </c>
      <c r="T3277" s="1077">
        <v>37</v>
      </c>
      <c r="U3277" s="1077">
        <v>3.7</v>
      </c>
      <c r="V3277" s="1077" t="s">
        <v>648</v>
      </c>
      <c r="W3277" s="1077">
        <v>110</v>
      </c>
      <c r="X3277" s="1077">
        <v>40</v>
      </c>
      <c r="Y3277" s="1077">
        <v>2.2000000000000002</v>
      </c>
      <c r="Z3277" s="1077" t="s">
        <v>648</v>
      </c>
      <c r="AA3277" s="1077" t="s">
        <v>16298</v>
      </c>
      <c r="AH3277" s="1077" t="s">
        <v>990</v>
      </c>
      <c r="AI3277" s="1077">
        <v>91.51</v>
      </c>
      <c r="AJ3277" s="1077">
        <v>-1.1000000000000001</v>
      </c>
      <c r="AK3277" s="1077">
        <v>1.56</v>
      </c>
      <c r="AM3277" s="1078" t="s">
        <v>16191</v>
      </c>
      <c r="AN3277" s="1078" t="s">
        <v>16584</v>
      </c>
      <c r="AO3277" s="1078">
        <f t="shared" si="414"/>
        <v>700</v>
      </c>
      <c r="AP3277" s="1078">
        <f t="shared" si="415"/>
        <v>1.7549999999999999</v>
      </c>
      <c r="AQ3277" s="1078" t="str">
        <f t="shared" si="416"/>
        <v>1-4-1S83°Z+S</v>
      </c>
      <c r="AR3277" s="1078" t="str">
        <f t="shared" si="417"/>
        <v>NA</v>
      </c>
      <c r="AS3277" s="1078" t="str">
        <f t="shared" si="418"/>
        <v>275/275/OFF</v>
      </c>
      <c r="AT3277" s="1078" t="str">
        <f t="shared" si="419"/>
        <v>1-4-1S83°Z+S</v>
      </c>
      <c r="AV3277" s="1078" t="str">
        <f t="shared" si="412"/>
        <v>115.2.26</v>
      </c>
      <c r="AW3277" s="1344">
        <f t="shared" si="413"/>
        <v>46079</v>
      </c>
    </row>
    <row r="3278" spans="1:49">
      <c r="A3278" s="1077" t="s">
        <v>15947</v>
      </c>
      <c r="B3278" s="1077" t="s">
        <v>754</v>
      </c>
      <c r="C3278" s="1077">
        <v>650</v>
      </c>
      <c r="D3278" s="1077">
        <v>1.665</v>
      </c>
      <c r="E3278" s="1077" t="s">
        <v>15121</v>
      </c>
      <c r="F3278" s="1077" t="s">
        <v>648</v>
      </c>
      <c r="G3278" s="1077">
        <v>4</v>
      </c>
      <c r="H3278" s="1077" t="s">
        <v>1936</v>
      </c>
      <c r="I3278" s="1077" t="s">
        <v>126</v>
      </c>
      <c r="J3278" s="1077">
        <v>1.8</v>
      </c>
      <c r="K3278" s="1077" t="s">
        <v>15709</v>
      </c>
      <c r="L3278" s="1077" t="s">
        <v>15948</v>
      </c>
      <c r="M3278" s="1077">
        <v>155</v>
      </c>
      <c r="N3278" s="1077" t="s">
        <v>945</v>
      </c>
      <c r="O3278" s="1077">
        <v>3.875</v>
      </c>
      <c r="P3278" s="1077">
        <v>3.1</v>
      </c>
      <c r="Q3278" s="1077">
        <v>4</v>
      </c>
      <c r="R3278" s="1077">
        <v>25</v>
      </c>
      <c r="T3278" s="1077">
        <v>18</v>
      </c>
      <c r="U3278" s="1077">
        <v>3.8</v>
      </c>
      <c r="V3278" s="1077" t="s">
        <v>648</v>
      </c>
      <c r="W3278" s="1077">
        <v>135</v>
      </c>
      <c r="X3278" s="1077">
        <v>80</v>
      </c>
      <c r="Y3278" s="1077">
        <v>1.2</v>
      </c>
      <c r="Z3278" s="1077" t="s">
        <v>648</v>
      </c>
      <c r="AA3278" s="1077" t="s">
        <v>15917</v>
      </c>
      <c r="AB3278" s="1077" t="s">
        <v>15710</v>
      </c>
      <c r="AH3278" s="1077" t="s">
        <v>1053</v>
      </c>
      <c r="AI3278" s="1077">
        <v>95.56</v>
      </c>
      <c r="AJ3278" s="1077">
        <v>-0.57999999999999996</v>
      </c>
      <c r="AK3278" s="1077">
        <v>1.66</v>
      </c>
      <c r="AM3278" s="1078" t="s">
        <v>15846</v>
      </c>
      <c r="AN3278" s="1078" t="s">
        <v>15949</v>
      </c>
      <c r="AO3278" s="1078">
        <f t="shared" si="414"/>
        <v>650</v>
      </c>
      <c r="AP3278" s="1078">
        <f t="shared" si="415"/>
        <v>1.665</v>
      </c>
      <c r="AQ3278" s="1078" t="str">
        <f t="shared" si="416"/>
        <v>1-5-1S85°S+Z</v>
      </c>
      <c r="AR3278" s="1078" t="str">
        <f t="shared" si="417"/>
        <v>NA</v>
      </c>
      <c r="AS3278" s="1078" t="str">
        <f t="shared" si="418"/>
        <v>175/OFF</v>
      </c>
      <c r="AT3278" s="1078" t="str">
        <f t="shared" si="419"/>
        <v>1-5-1S85°S+Z</v>
      </c>
      <c r="AV3278" s="1078" t="str">
        <f t="shared" si="412"/>
        <v>114.9.5</v>
      </c>
      <c r="AW3278" s="1344">
        <f t="shared" si="413"/>
        <v>45905</v>
      </c>
    </row>
    <row r="3279" spans="1:49">
      <c r="A3279" s="1077" t="s">
        <v>15950</v>
      </c>
      <c r="B3279" s="1077" t="s">
        <v>844</v>
      </c>
      <c r="C3279" s="1077">
        <v>600</v>
      </c>
      <c r="D3279" s="1077">
        <v>1.79</v>
      </c>
      <c r="E3279" s="1077" t="s">
        <v>15094</v>
      </c>
      <c r="F3279" s="1077" t="s">
        <v>954</v>
      </c>
      <c r="G3279" s="1077">
        <v>5</v>
      </c>
      <c r="H3279" s="1077" t="s">
        <v>5126</v>
      </c>
      <c r="I3279" s="1077" t="s">
        <v>460</v>
      </c>
      <c r="J3279" s="1077">
        <v>4</v>
      </c>
      <c r="K3279" s="1077" t="s">
        <v>15951</v>
      </c>
      <c r="L3279" s="1077" t="s">
        <v>6238</v>
      </c>
      <c r="M3279" s="1077">
        <v>151.69999999999999</v>
      </c>
      <c r="N3279" s="1077" t="s">
        <v>945</v>
      </c>
      <c r="O3279" s="1077">
        <v>3.7925</v>
      </c>
      <c r="P3279" s="1077">
        <v>3.0339999999999998</v>
      </c>
      <c r="Q3279" s="1077">
        <v>3</v>
      </c>
      <c r="R3279" s="1077">
        <v>19.7</v>
      </c>
      <c r="T3279" s="1077">
        <v>11.5</v>
      </c>
      <c r="U3279" s="1077">
        <v>5.3</v>
      </c>
      <c r="V3279" s="1077" t="s">
        <v>648</v>
      </c>
      <c r="W3279" s="1077">
        <v>105</v>
      </c>
      <c r="X3279" s="1077">
        <v>95</v>
      </c>
      <c r="Y3279" s="1077">
        <v>1.5</v>
      </c>
      <c r="Z3279" s="1077">
        <v>5</v>
      </c>
      <c r="AA3279" s="1077" t="s">
        <v>15648</v>
      </c>
      <c r="AB3279" s="1077" t="s">
        <v>15952</v>
      </c>
      <c r="AH3279" s="1077" t="s">
        <v>990</v>
      </c>
      <c r="AI3279" s="1077">
        <v>91.04</v>
      </c>
      <c r="AJ3279" s="1077">
        <v>-1.35</v>
      </c>
      <c r="AK3279" s="1077">
        <v>6.42</v>
      </c>
      <c r="AM3279" s="1078" t="s">
        <v>15849</v>
      </c>
      <c r="AN3279" s="1078" t="s">
        <v>15953</v>
      </c>
      <c r="AO3279" s="1078">
        <f t="shared" si="414"/>
        <v>600</v>
      </c>
      <c r="AP3279" s="1078">
        <f t="shared" si="415"/>
        <v>1.79</v>
      </c>
      <c r="AQ3279" s="1078" t="str">
        <f t="shared" si="416"/>
        <v>1-5-1S91°</v>
      </c>
      <c r="AR3279" s="1078" t="str">
        <f t="shared" si="417"/>
        <v>31</v>
      </c>
      <c r="AS3279" s="1078" t="str">
        <f t="shared" si="418"/>
        <v>300/300/140</v>
      </c>
      <c r="AT3279" s="1078" t="str">
        <f t="shared" si="419"/>
        <v>1-5-1S91°</v>
      </c>
      <c r="AV3279" s="1078" t="str">
        <f t="shared" si="412"/>
        <v>114.7.11</v>
      </c>
      <c r="AW3279" s="1344">
        <f t="shared" si="413"/>
        <v>45849</v>
      </c>
    </row>
    <row r="3280" spans="1:49">
      <c r="A3280" s="1077" t="s">
        <v>15954</v>
      </c>
      <c r="B3280" s="1077" t="s">
        <v>754</v>
      </c>
      <c r="C3280" s="1077">
        <v>700</v>
      </c>
      <c r="D3280" s="1077">
        <v>1.655</v>
      </c>
      <c r="E3280" s="1077" t="s">
        <v>15121</v>
      </c>
      <c r="F3280" s="1077" t="s">
        <v>648</v>
      </c>
      <c r="G3280" s="1077">
        <v>4</v>
      </c>
      <c r="H3280" s="1077" t="s">
        <v>4776</v>
      </c>
      <c r="I3280" s="1077" t="s">
        <v>126</v>
      </c>
      <c r="J3280" s="1077">
        <v>1.9</v>
      </c>
      <c r="K3280" s="1077" t="s">
        <v>15955</v>
      </c>
      <c r="L3280" s="1077" t="s">
        <v>15948</v>
      </c>
      <c r="M3280" s="1077">
        <v>155</v>
      </c>
      <c r="N3280" s="1077" t="s">
        <v>945</v>
      </c>
      <c r="O3280" s="1077">
        <v>3.875</v>
      </c>
      <c r="P3280" s="1077">
        <v>3.1</v>
      </c>
      <c r="Q3280" s="1077">
        <v>4</v>
      </c>
      <c r="R3280" s="1077">
        <v>25</v>
      </c>
      <c r="T3280" s="1077">
        <v>18</v>
      </c>
      <c r="U3280" s="1077">
        <v>3.8</v>
      </c>
      <c r="V3280" s="1077" t="s">
        <v>648</v>
      </c>
      <c r="W3280" s="1077">
        <v>135</v>
      </c>
      <c r="X3280" s="1077">
        <v>80</v>
      </c>
      <c r="Y3280" s="1077">
        <v>1.2</v>
      </c>
      <c r="Z3280" s="1077" t="s">
        <v>648</v>
      </c>
      <c r="AA3280" s="1077" t="s">
        <v>15956</v>
      </c>
      <c r="AB3280" s="1077" t="s">
        <v>15710</v>
      </c>
      <c r="AH3280" s="1077" t="s">
        <v>681</v>
      </c>
      <c r="AI3280" s="1077">
        <v>95.11</v>
      </c>
      <c r="AJ3280" s="1077">
        <v>-0.42</v>
      </c>
      <c r="AK3280" s="1077">
        <v>2.13</v>
      </c>
      <c r="AM3280" s="1078" t="s">
        <v>15854</v>
      </c>
      <c r="AN3280" s="1078" t="s">
        <v>15957</v>
      </c>
      <c r="AO3280" s="1078">
        <f t="shared" si="414"/>
        <v>700</v>
      </c>
      <c r="AP3280" s="1078">
        <f t="shared" si="415"/>
        <v>1.655</v>
      </c>
      <c r="AQ3280" s="1078" t="str">
        <f t="shared" si="416"/>
        <v>1-5-1S85°S+Z</v>
      </c>
      <c r="AR3280" s="1078" t="str">
        <f t="shared" si="417"/>
        <v>NA</v>
      </c>
      <c r="AS3280" s="1078" t="str">
        <f t="shared" si="418"/>
        <v>178/OFF</v>
      </c>
      <c r="AT3280" s="1078" t="str">
        <f t="shared" si="419"/>
        <v>1-5-1S85°S+Z</v>
      </c>
      <c r="AV3280" s="1078" t="str">
        <f t="shared" si="412"/>
        <v>114.9.10</v>
      </c>
      <c r="AW3280" s="1344">
        <f t="shared" si="413"/>
        <v>45910</v>
      </c>
    </row>
    <row r="3281" spans="1:49">
      <c r="A3281" s="1077" t="s">
        <v>16378</v>
      </c>
      <c r="B3281" s="1077" t="s">
        <v>210</v>
      </c>
      <c r="C3281" s="1077">
        <v>650</v>
      </c>
      <c r="D3281" s="1077">
        <v>1.76</v>
      </c>
      <c r="E3281" s="1077" t="s">
        <v>15094</v>
      </c>
      <c r="F3281" s="1077" t="s">
        <v>2001</v>
      </c>
      <c r="G3281" s="1077">
        <v>5</v>
      </c>
      <c r="H3281" s="1077" t="s">
        <v>6023</v>
      </c>
      <c r="I3281" s="1077" t="s">
        <v>126</v>
      </c>
      <c r="J3281" s="1077">
        <v>3</v>
      </c>
      <c r="K3281" s="1077" t="s">
        <v>16379</v>
      </c>
      <c r="L3281" s="1077" t="s">
        <v>6291</v>
      </c>
      <c r="M3281" s="1077">
        <v>150.80000000000001</v>
      </c>
      <c r="N3281" s="1077" t="s">
        <v>945</v>
      </c>
      <c r="O3281" s="1077">
        <v>3.7700000000000005</v>
      </c>
      <c r="P3281" s="1077">
        <v>3.0160000000000005</v>
      </c>
      <c r="Q3281" s="1077">
        <v>4</v>
      </c>
      <c r="R3281" s="1077">
        <v>19</v>
      </c>
      <c r="T3281" s="1077">
        <v>28.3</v>
      </c>
      <c r="U3281" s="1077">
        <v>4.3</v>
      </c>
      <c r="V3281" s="1077" t="s">
        <v>648</v>
      </c>
      <c r="W3281" s="1077">
        <v>100</v>
      </c>
      <c r="X3281" s="1077">
        <v>50</v>
      </c>
      <c r="Y3281" s="1077">
        <v>1.5</v>
      </c>
      <c r="Z3281" s="1077">
        <v>6.5</v>
      </c>
      <c r="AA3281" s="1077" t="s">
        <v>16380</v>
      </c>
      <c r="AH3281" s="1077" t="s">
        <v>3213</v>
      </c>
      <c r="AI3281" s="1077">
        <v>91.82</v>
      </c>
      <c r="AJ3281" s="1077">
        <v>-0.2</v>
      </c>
      <c r="AK3281" s="1077">
        <v>1.48</v>
      </c>
      <c r="AM3281" s="1078" t="s">
        <v>16585</v>
      </c>
      <c r="AN3281" s="1078" t="s">
        <v>16586</v>
      </c>
      <c r="AO3281" s="1078">
        <f t="shared" si="414"/>
        <v>650</v>
      </c>
      <c r="AP3281" s="1078">
        <f t="shared" si="415"/>
        <v>1.76</v>
      </c>
      <c r="AQ3281" s="1078" t="str">
        <f t="shared" si="416"/>
        <v>1-5-1S91°</v>
      </c>
      <c r="AR3281" s="1078" t="str">
        <f t="shared" si="417"/>
        <v>29.9</v>
      </c>
      <c r="AS3281" s="1078" t="str">
        <f t="shared" si="418"/>
        <v>350/310/OFF</v>
      </c>
      <c r="AT3281" s="1078" t="str">
        <f t="shared" si="419"/>
        <v>1-5-1S91°</v>
      </c>
      <c r="AV3281" s="1078" t="str">
        <f t="shared" si="412"/>
        <v>114.9.25</v>
      </c>
      <c r="AW3281" s="1344">
        <f t="shared" si="413"/>
        <v>45925</v>
      </c>
    </row>
    <row r="3282" spans="1:49">
      <c r="A3282" s="1077" t="s">
        <v>16381</v>
      </c>
      <c r="B3282" s="1077" t="s">
        <v>4767</v>
      </c>
      <c r="C3282" s="1077">
        <v>700</v>
      </c>
      <c r="D3282" s="1077">
        <v>1.7150000000000001</v>
      </c>
      <c r="E3282" s="1077" t="s">
        <v>15121</v>
      </c>
      <c r="F3282" s="1077" t="s">
        <v>648</v>
      </c>
      <c r="G3282" s="1077">
        <v>5</v>
      </c>
      <c r="H3282" s="1077" t="s">
        <v>3356</v>
      </c>
      <c r="I3282" s="1077" t="s">
        <v>126</v>
      </c>
      <c r="J3282" s="1077">
        <v>1.4</v>
      </c>
      <c r="K3282" s="1077" t="s">
        <v>16382</v>
      </c>
      <c r="L3282" s="1077" t="s">
        <v>1821</v>
      </c>
      <c r="M3282" s="1077">
        <v>148</v>
      </c>
      <c r="N3282" s="1077" t="s">
        <v>945</v>
      </c>
      <c r="O3282" s="1077">
        <v>3.7</v>
      </c>
      <c r="P3282" s="1077">
        <v>2.96</v>
      </c>
      <c r="Q3282" s="1077">
        <v>4</v>
      </c>
      <c r="R3282" s="1077">
        <v>20.8</v>
      </c>
      <c r="T3282" s="1077">
        <v>20.399999999999999</v>
      </c>
      <c r="U3282" s="1077">
        <v>3.8</v>
      </c>
      <c r="V3282" s="1077" t="s">
        <v>648</v>
      </c>
      <c r="W3282" s="1077">
        <v>110</v>
      </c>
      <c r="X3282" s="1077">
        <v>60</v>
      </c>
      <c r="Y3282" s="1077">
        <v>1.7</v>
      </c>
      <c r="Z3282" s="1077" t="s">
        <v>648</v>
      </c>
      <c r="AA3282" s="1077" t="s">
        <v>16383</v>
      </c>
      <c r="AH3282" s="1077" t="s">
        <v>726</v>
      </c>
      <c r="AI3282" s="1077">
        <v>93.39</v>
      </c>
      <c r="AJ3282" s="1077">
        <v>-0.1</v>
      </c>
      <c r="AK3282" s="1077">
        <v>0.73</v>
      </c>
      <c r="AM3282" s="1078" t="s">
        <v>16587</v>
      </c>
      <c r="AN3282" s="1078" t="s">
        <v>16588</v>
      </c>
      <c r="AO3282" s="1078">
        <f t="shared" si="414"/>
        <v>700</v>
      </c>
      <c r="AP3282" s="1078">
        <f t="shared" si="415"/>
        <v>1.7150000000000001</v>
      </c>
      <c r="AQ3282" s="1078" t="str">
        <f t="shared" si="416"/>
        <v>1-5-1S85°S+Z</v>
      </c>
      <c r="AR3282" s="1078" t="str">
        <f t="shared" si="417"/>
        <v>NA</v>
      </c>
      <c r="AS3282" s="1078" t="str">
        <f t="shared" si="418"/>
        <v>182/OFF</v>
      </c>
      <c r="AT3282" s="1078" t="str">
        <f t="shared" si="419"/>
        <v>1-5-1S85°S+Z</v>
      </c>
      <c r="AV3282" s="1078" t="str">
        <f t="shared" si="412"/>
        <v>114.10.9</v>
      </c>
      <c r="AW3282" s="1344">
        <f t="shared" si="413"/>
        <v>45939</v>
      </c>
    </row>
    <row r="3283" spans="1:49">
      <c r="A3283" s="1077" t="s">
        <v>16384</v>
      </c>
      <c r="B3283" s="1077" t="s">
        <v>844</v>
      </c>
      <c r="C3283" s="1077">
        <v>600</v>
      </c>
      <c r="D3283" s="1077">
        <v>1.79</v>
      </c>
      <c r="E3283" s="1077" t="s">
        <v>15094</v>
      </c>
      <c r="F3283" s="1077" t="s">
        <v>954</v>
      </c>
      <c r="G3283" s="1077">
        <v>5</v>
      </c>
      <c r="H3283" s="1077" t="s">
        <v>5126</v>
      </c>
      <c r="I3283" s="1077" t="s">
        <v>460</v>
      </c>
      <c r="J3283" s="1077">
        <v>4</v>
      </c>
      <c r="K3283" s="1077" t="s">
        <v>16385</v>
      </c>
      <c r="L3283" s="1077" t="s">
        <v>6238</v>
      </c>
      <c r="M3283" s="1077">
        <v>151.69999999999999</v>
      </c>
      <c r="N3283" s="1077" t="s">
        <v>945</v>
      </c>
      <c r="O3283" s="1077">
        <v>3.7925</v>
      </c>
      <c r="P3283" s="1077">
        <v>3.0339999999999998</v>
      </c>
      <c r="Q3283" s="1077">
        <v>3</v>
      </c>
      <c r="R3283" s="1077">
        <v>19.7</v>
      </c>
      <c r="T3283" s="1077">
        <v>11.5</v>
      </c>
      <c r="U3283" s="1077">
        <v>5.3</v>
      </c>
      <c r="V3283" s="1077" t="s">
        <v>648</v>
      </c>
      <c r="W3283" s="1077">
        <v>105</v>
      </c>
      <c r="X3283" s="1077">
        <v>95</v>
      </c>
      <c r="Y3283" s="1077">
        <v>1.5</v>
      </c>
      <c r="Z3283" s="1077">
        <v>5</v>
      </c>
      <c r="AA3283" s="1077" t="s">
        <v>16303</v>
      </c>
      <c r="AB3283" s="1077" t="s">
        <v>16386</v>
      </c>
      <c r="AH3283" s="1077" t="s">
        <v>482</v>
      </c>
      <c r="AI3283" s="1077">
        <v>91.38</v>
      </c>
      <c r="AJ3283" s="1077">
        <v>-1.81</v>
      </c>
      <c r="AK3283" s="1077">
        <v>5.64</v>
      </c>
      <c r="AM3283" s="1078" t="s">
        <v>16589</v>
      </c>
      <c r="AN3283" s="1078" t="s">
        <v>16590</v>
      </c>
      <c r="AO3283" s="1078">
        <f t="shared" si="414"/>
        <v>600</v>
      </c>
      <c r="AP3283" s="1078">
        <f t="shared" si="415"/>
        <v>1.79</v>
      </c>
      <c r="AQ3283" s="1078" t="str">
        <f t="shared" si="416"/>
        <v>1-5-1S91°</v>
      </c>
      <c r="AR3283" s="1078" t="str">
        <f t="shared" si="417"/>
        <v>31</v>
      </c>
      <c r="AS3283" s="1078" t="str">
        <f t="shared" si="418"/>
        <v>300/300/140</v>
      </c>
      <c r="AT3283" s="1078" t="str">
        <f t="shared" si="419"/>
        <v>1-5-1S91°</v>
      </c>
      <c r="AV3283" s="1078" t="str">
        <f t="shared" si="412"/>
        <v>114.10.7</v>
      </c>
      <c r="AW3283" s="1344">
        <f t="shared" si="413"/>
        <v>45937</v>
      </c>
    </row>
    <row r="3284" spans="1:49">
      <c r="A3284" s="1077" t="s">
        <v>16387</v>
      </c>
      <c r="B3284" s="1077" t="s">
        <v>210</v>
      </c>
      <c r="C3284" s="1077">
        <v>650</v>
      </c>
      <c r="D3284" s="1077">
        <v>1.76</v>
      </c>
      <c r="E3284" s="1077" t="s">
        <v>15094</v>
      </c>
      <c r="F3284" s="1077" t="s">
        <v>4013</v>
      </c>
      <c r="G3284" s="1077">
        <v>5</v>
      </c>
      <c r="H3284" s="1077" t="s">
        <v>6126</v>
      </c>
      <c r="I3284" s="1077" t="s">
        <v>126</v>
      </c>
      <c r="J3284" s="1077">
        <v>1.9</v>
      </c>
      <c r="K3284" s="1077" t="s">
        <v>16347</v>
      </c>
      <c r="L3284" s="1077" t="s">
        <v>6291</v>
      </c>
      <c r="M3284" s="1077">
        <v>152.19999999999999</v>
      </c>
      <c r="N3284" s="1077" t="s">
        <v>945</v>
      </c>
      <c r="O3284" s="1077">
        <v>3.8049999999999997</v>
      </c>
      <c r="P3284" s="1077">
        <v>3.044</v>
      </c>
      <c r="Q3284" s="1077">
        <v>4</v>
      </c>
      <c r="R3284" s="1077">
        <v>19</v>
      </c>
      <c r="T3284" s="1077">
        <v>16</v>
      </c>
      <c r="U3284" s="1077">
        <v>4</v>
      </c>
      <c r="V3284" s="1077" t="s">
        <v>648</v>
      </c>
      <c r="W3284" s="1077">
        <v>95</v>
      </c>
      <c r="X3284" s="1077">
        <v>20</v>
      </c>
      <c r="Y3284" s="1077">
        <v>1.5</v>
      </c>
      <c r="Z3284" s="1077">
        <v>5</v>
      </c>
      <c r="AA3284" s="1077" t="s">
        <v>16383</v>
      </c>
      <c r="AH3284" s="1077" t="s">
        <v>468</v>
      </c>
      <c r="AI3284" s="1077">
        <v>91.41</v>
      </c>
      <c r="AJ3284" s="1077">
        <v>-0.51</v>
      </c>
      <c r="AK3284" s="1077">
        <v>0.93</v>
      </c>
      <c r="AM3284" s="1078" t="s">
        <v>16039</v>
      </c>
      <c r="AN3284" s="1078" t="s">
        <v>16591</v>
      </c>
      <c r="AO3284" s="1078">
        <f t="shared" si="414"/>
        <v>650</v>
      </c>
      <c r="AP3284" s="1078">
        <f t="shared" si="415"/>
        <v>1.76</v>
      </c>
      <c r="AQ3284" s="1078" t="str">
        <f t="shared" si="416"/>
        <v>1-5-1S91°</v>
      </c>
      <c r="AR3284" s="1078" t="str">
        <f t="shared" si="417"/>
        <v>30.3</v>
      </c>
      <c r="AS3284" s="1078" t="str">
        <f t="shared" si="418"/>
        <v>310/270/158</v>
      </c>
      <c r="AT3284" s="1078" t="str">
        <f t="shared" si="419"/>
        <v>1-5-1S91°</v>
      </c>
      <c r="AV3284" s="1078" t="str">
        <f t="shared" si="412"/>
        <v>114.10.9</v>
      </c>
      <c r="AW3284" s="1344">
        <f t="shared" si="413"/>
        <v>45939</v>
      </c>
    </row>
    <row r="3285" spans="1:49">
      <c r="A3285" s="1077" t="s">
        <v>16388</v>
      </c>
      <c r="B3285" s="1077" t="s">
        <v>210</v>
      </c>
      <c r="C3285" s="1077">
        <v>650</v>
      </c>
      <c r="D3285" s="1077">
        <v>1.76</v>
      </c>
      <c r="E3285" s="1077" t="s">
        <v>15094</v>
      </c>
      <c r="F3285" s="1077" t="s">
        <v>2001</v>
      </c>
      <c r="G3285" s="1077">
        <v>5</v>
      </c>
      <c r="H3285" s="1077" t="s">
        <v>6023</v>
      </c>
      <c r="I3285" s="1077" t="s">
        <v>126</v>
      </c>
      <c r="J3285" s="1077">
        <v>3</v>
      </c>
      <c r="K3285" s="1077" t="s">
        <v>16347</v>
      </c>
      <c r="L3285" s="1077" t="s">
        <v>6291</v>
      </c>
      <c r="M3285" s="1077">
        <v>150.80000000000001</v>
      </c>
      <c r="N3285" s="1077" t="s">
        <v>945</v>
      </c>
      <c r="O3285" s="1077">
        <v>3.7700000000000005</v>
      </c>
      <c r="P3285" s="1077">
        <v>3.0160000000000005</v>
      </c>
      <c r="Q3285" s="1077">
        <v>4</v>
      </c>
      <c r="R3285" s="1077">
        <v>19</v>
      </c>
      <c r="T3285" s="1077">
        <v>28.3</v>
      </c>
      <c r="U3285" s="1077">
        <v>4.3</v>
      </c>
      <c r="V3285" s="1077" t="s">
        <v>648</v>
      </c>
      <c r="W3285" s="1077">
        <v>100</v>
      </c>
      <c r="X3285" s="1077">
        <v>50</v>
      </c>
      <c r="Y3285" s="1077">
        <v>1.5</v>
      </c>
      <c r="Z3285" s="1077">
        <v>6.5</v>
      </c>
      <c r="AA3285" s="1077" t="s">
        <v>15706</v>
      </c>
      <c r="AH3285" s="1077" t="s">
        <v>1221</v>
      </c>
      <c r="AI3285" s="1077">
        <v>91.83</v>
      </c>
      <c r="AJ3285" s="1077">
        <v>-0.95</v>
      </c>
      <c r="AK3285" s="1077">
        <v>1.42</v>
      </c>
      <c r="AM3285" s="1078" t="s">
        <v>16592</v>
      </c>
      <c r="AN3285" s="1078" t="s">
        <v>16593</v>
      </c>
      <c r="AO3285" s="1078">
        <f t="shared" si="414"/>
        <v>650</v>
      </c>
      <c r="AP3285" s="1078">
        <f t="shared" si="415"/>
        <v>1.76</v>
      </c>
      <c r="AQ3285" s="1078" t="str">
        <f t="shared" si="416"/>
        <v>1-5-1S91°</v>
      </c>
      <c r="AR3285" s="1078" t="str">
        <f t="shared" si="417"/>
        <v>29.9</v>
      </c>
      <c r="AS3285" s="1078" t="str">
        <f t="shared" si="418"/>
        <v>350/310/OFF</v>
      </c>
      <c r="AT3285" s="1078" t="str">
        <f t="shared" si="419"/>
        <v>1-5-1S91°</v>
      </c>
      <c r="AV3285" s="1078" t="str">
        <f t="shared" si="412"/>
        <v>114.7.24</v>
      </c>
      <c r="AW3285" s="1344">
        <f t="shared" si="413"/>
        <v>45862</v>
      </c>
    </row>
    <row r="3286" spans="1:49">
      <c r="A3286" s="1077" t="s">
        <v>16389</v>
      </c>
      <c r="B3286" s="1077" t="s">
        <v>16042</v>
      </c>
      <c r="C3286" s="1077">
        <v>600</v>
      </c>
      <c r="D3286" s="1077">
        <v>1.6950000000000001</v>
      </c>
      <c r="E3286" s="1077" t="s">
        <v>15121</v>
      </c>
      <c r="F3286" s="1077" t="s">
        <v>648</v>
      </c>
      <c r="G3286" s="1077">
        <v>5</v>
      </c>
      <c r="H3286" s="1077" t="s">
        <v>1936</v>
      </c>
      <c r="I3286" s="1077" t="s">
        <v>126</v>
      </c>
      <c r="J3286" s="1077">
        <v>1.3</v>
      </c>
      <c r="K3286" s="1077" t="s">
        <v>16382</v>
      </c>
      <c r="L3286" s="1077" t="s">
        <v>1821</v>
      </c>
      <c r="M3286" s="1077">
        <v>150</v>
      </c>
      <c r="N3286" s="1077" t="s">
        <v>945</v>
      </c>
      <c r="O3286" s="1077">
        <v>3.75</v>
      </c>
      <c r="P3286" s="1077">
        <v>3</v>
      </c>
      <c r="Q3286" s="1077">
        <v>4</v>
      </c>
      <c r="R3286" s="1077" t="s">
        <v>16390</v>
      </c>
      <c r="T3286" s="1077">
        <v>20.399999999999999</v>
      </c>
      <c r="U3286" s="1077">
        <v>3.8</v>
      </c>
      <c r="V3286" s="1077" t="s">
        <v>648</v>
      </c>
      <c r="W3286" s="1077">
        <v>110</v>
      </c>
      <c r="X3286" s="1077">
        <v>60</v>
      </c>
      <c r="Y3286" s="1077">
        <v>1.7</v>
      </c>
      <c r="Z3286" s="1077" t="s">
        <v>648</v>
      </c>
      <c r="AA3286" s="1077" t="s">
        <v>16391</v>
      </c>
      <c r="AH3286" s="1077" t="s">
        <v>614</v>
      </c>
      <c r="AI3286" s="1077">
        <v>93.29</v>
      </c>
      <c r="AJ3286" s="1077">
        <v>-0.19</v>
      </c>
      <c r="AK3286" s="1077">
        <v>1.1499999999999999</v>
      </c>
      <c r="AM3286" s="1078" t="s">
        <v>16041</v>
      </c>
      <c r="AN3286" s="1078" t="s">
        <v>16594</v>
      </c>
      <c r="AO3286" s="1078">
        <f t="shared" si="414"/>
        <v>600</v>
      </c>
      <c r="AP3286" s="1078">
        <f t="shared" si="415"/>
        <v>1.6950000000000001</v>
      </c>
      <c r="AQ3286" s="1078" t="str">
        <f t="shared" si="416"/>
        <v>1-5-1S85°S+Z</v>
      </c>
      <c r="AR3286" s="1078" t="str">
        <f t="shared" si="417"/>
        <v>NA</v>
      </c>
      <c r="AS3286" s="1078" t="str">
        <f t="shared" si="418"/>
        <v>175/OFF</v>
      </c>
      <c r="AT3286" s="1078" t="str">
        <f t="shared" si="419"/>
        <v>1-5-1S85°S+Z</v>
      </c>
      <c r="AV3286" s="1078" t="str">
        <f t="shared" si="412"/>
        <v>114.10.15</v>
      </c>
      <c r="AW3286" s="1344">
        <f t="shared" si="413"/>
        <v>45945</v>
      </c>
    </row>
    <row r="3287" spans="1:49">
      <c r="A3287" s="1077" t="s">
        <v>16392</v>
      </c>
      <c r="B3287" s="1077" t="s">
        <v>617</v>
      </c>
      <c r="C3287" s="1077">
        <v>700</v>
      </c>
      <c r="D3287" s="1077">
        <v>1.7350000000000001</v>
      </c>
      <c r="E3287" s="1077" t="s">
        <v>15094</v>
      </c>
      <c r="F3287" s="1077" t="s">
        <v>984</v>
      </c>
      <c r="G3287" s="1077">
        <v>5</v>
      </c>
      <c r="H3287" s="1077" t="s">
        <v>16393</v>
      </c>
      <c r="I3287" s="1077" t="s">
        <v>126</v>
      </c>
      <c r="J3287" s="1077">
        <v>2.9</v>
      </c>
      <c r="K3287" s="1077" t="s">
        <v>15702</v>
      </c>
      <c r="L3287" s="1077" t="s">
        <v>4854</v>
      </c>
      <c r="M3287" s="1077">
        <v>150.30000000000001</v>
      </c>
      <c r="N3287" s="1077" t="s">
        <v>945</v>
      </c>
      <c r="O3287" s="1077">
        <v>3.7575000000000003</v>
      </c>
      <c r="P3287" s="1077">
        <v>3.0060000000000002</v>
      </c>
      <c r="Q3287" s="1077">
        <v>2.8</v>
      </c>
      <c r="R3287" s="1077">
        <v>31</v>
      </c>
      <c r="T3287" s="1077">
        <v>13</v>
      </c>
      <c r="U3287" s="1077">
        <v>7</v>
      </c>
      <c r="V3287" s="1077" t="s">
        <v>648</v>
      </c>
      <c r="W3287" s="1077">
        <v>115</v>
      </c>
      <c r="X3287" s="1077">
        <v>50</v>
      </c>
      <c r="Y3287" s="1077">
        <v>1.7</v>
      </c>
      <c r="Z3287" s="1077">
        <v>6.5</v>
      </c>
      <c r="AA3287" s="1077" t="s">
        <v>16394</v>
      </c>
      <c r="AH3287" s="1077" t="s">
        <v>966</v>
      </c>
      <c r="AI3287" s="1077">
        <v>93.05</v>
      </c>
      <c r="AJ3287" s="1077">
        <v>-1</v>
      </c>
      <c r="AK3287" s="1077">
        <v>4.46</v>
      </c>
      <c r="AM3287" s="1078" t="s">
        <v>16595</v>
      </c>
      <c r="AN3287" s="1078" t="s">
        <v>16596</v>
      </c>
      <c r="AO3287" s="1078">
        <f t="shared" si="414"/>
        <v>700</v>
      </c>
      <c r="AP3287" s="1078">
        <f t="shared" si="415"/>
        <v>1.7350000000000001</v>
      </c>
      <c r="AQ3287" s="1078" t="str">
        <f t="shared" si="416"/>
        <v>1-5-1S91°</v>
      </c>
      <c r="AR3287" s="1078" t="str">
        <f t="shared" si="417"/>
        <v>30</v>
      </c>
      <c r="AS3287" s="1078" t="str">
        <f t="shared" si="418"/>
        <v>264/264/OFF</v>
      </c>
      <c r="AT3287" s="1078" t="str">
        <f t="shared" si="419"/>
        <v>1-5-1S91°</v>
      </c>
      <c r="AV3287" s="1078" t="str">
        <f t="shared" si="412"/>
        <v>114.10.31</v>
      </c>
      <c r="AW3287" s="1344">
        <f t="shared" si="413"/>
        <v>45961</v>
      </c>
    </row>
    <row r="3288" spans="1:49">
      <c r="A3288" s="1077" t="s">
        <v>16395</v>
      </c>
      <c r="B3288" s="1077" t="s">
        <v>5239</v>
      </c>
      <c r="C3288" s="1077">
        <v>670</v>
      </c>
      <c r="D3288" s="1077">
        <v>1.76</v>
      </c>
      <c r="E3288" s="1077" t="s">
        <v>15094</v>
      </c>
      <c r="F3288" s="1077" t="s">
        <v>984</v>
      </c>
      <c r="G3288" s="1077">
        <v>5</v>
      </c>
      <c r="H3288" s="1077" t="s">
        <v>6754</v>
      </c>
      <c r="I3288" s="1077" t="s">
        <v>648</v>
      </c>
      <c r="J3288" s="1077">
        <v>0</v>
      </c>
      <c r="K3288" s="1077" t="s">
        <v>16396</v>
      </c>
      <c r="L3288" s="1077" t="s">
        <v>6291</v>
      </c>
      <c r="M3288" s="1077">
        <v>151.5</v>
      </c>
      <c r="N3288" s="1077" t="s">
        <v>945</v>
      </c>
      <c r="O3288" s="1077">
        <v>3.7875000000000001</v>
      </c>
      <c r="P3288" s="1077">
        <v>3.0300000000000002</v>
      </c>
      <c r="Q3288" s="1077">
        <v>4</v>
      </c>
      <c r="R3288" s="1077">
        <v>23</v>
      </c>
      <c r="T3288" s="1077">
        <v>21</v>
      </c>
      <c r="U3288" s="1077">
        <v>2.8</v>
      </c>
      <c r="V3288" s="1077" t="s">
        <v>648</v>
      </c>
      <c r="W3288" s="1077" t="s">
        <v>648</v>
      </c>
      <c r="X3288" s="1077">
        <v>0</v>
      </c>
      <c r="Y3288" s="1077">
        <v>1.5</v>
      </c>
      <c r="Z3288" s="1077">
        <v>6</v>
      </c>
      <c r="AA3288" s="1077" t="s">
        <v>16259</v>
      </c>
      <c r="AH3288" s="1077" t="s">
        <v>854</v>
      </c>
      <c r="AI3288" s="1077">
        <v>91.89</v>
      </c>
      <c r="AJ3288" s="1077">
        <v>-0.31</v>
      </c>
      <c r="AK3288" s="1077">
        <v>1.69</v>
      </c>
      <c r="AM3288" s="1078" t="s">
        <v>16597</v>
      </c>
      <c r="AN3288" s="1078" t="s">
        <v>16598</v>
      </c>
      <c r="AO3288" s="1078">
        <f t="shared" si="414"/>
        <v>670</v>
      </c>
      <c r="AP3288" s="1078">
        <f t="shared" si="415"/>
        <v>1.76</v>
      </c>
      <c r="AQ3288" s="1078" t="str">
        <f t="shared" si="416"/>
        <v>1-5-1S91°</v>
      </c>
      <c r="AR3288" s="1078" t="str">
        <f t="shared" si="417"/>
        <v>30</v>
      </c>
      <c r="AS3288" s="1078" t="str">
        <f t="shared" si="418"/>
        <v>315/305/135</v>
      </c>
      <c r="AT3288" s="1078" t="str">
        <f t="shared" si="419"/>
        <v>1-5-1S91°</v>
      </c>
      <c r="AV3288" s="1078" t="str">
        <f t="shared" si="412"/>
        <v>114.11.3</v>
      </c>
      <c r="AW3288" s="1344">
        <f t="shared" si="413"/>
        <v>45964</v>
      </c>
    </row>
    <row r="3289" spans="1:49">
      <c r="A3289" s="1077" t="s">
        <v>16397</v>
      </c>
      <c r="B3289" s="1077" t="s">
        <v>844</v>
      </c>
      <c r="C3289" s="1077">
        <v>600</v>
      </c>
      <c r="D3289" s="1077">
        <v>1.7949999999999999</v>
      </c>
      <c r="E3289" s="1077" t="s">
        <v>15094</v>
      </c>
      <c r="F3289" s="1077" t="s">
        <v>954</v>
      </c>
      <c r="G3289" s="1077">
        <v>5</v>
      </c>
      <c r="H3289" s="1077" t="s">
        <v>5126</v>
      </c>
      <c r="I3289" s="1077" t="s">
        <v>460</v>
      </c>
      <c r="J3289" s="1077">
        <v>4</v>
      </c>
      <c r="K3289" s="1077" t="s">
        <v>16398</v>
      </c>
      <c r="L3289" s="1077" t="s">
        <v>6238</v>
      </c>
      <c r="M3289" s="1077">
        <v>151.69999999999999</v>
      </c>
      <c r="N3289" s="1077" t="s">
        <v>945</v>
      </c>
      <c r="O3289" s="1077">
        <v>3.7925</v>
      </c>
      <c r="P3289" s="1077">
        <v>3.0339999999999998</v>
      </c>
      <c r="Q3289" s="1077">
        <v>3</v>
      </c>
      <c r="R3289" s="1077">
        <v>19.7</v>
      </c>
      <c r="T3289" s="1077">
        <v>11.5</v>
      </c>
      <c r="U3289" s="1077">
        <v>5.3</v>
      </c>
      <c r="V3289" s="1077" t="s">
        <v>648</v>
      </c>
      <c r="W3289" s="1077">
        <v>105</v>
      </c>
      <c r="X3289" s="1077">
        <v>95</v>
      </c>
      <c r="Y3289" s="1077">
        <v>1.5</v>
      </c>
      <c r="Z3289" s="1077">
        <v>5</v>
      </c>
      <c r="AA3289" s="1077" t="s">
        <v>16303</v>
      </c>
      <c r="AB3289" s="1077" t="s">
        <v>16399</v>
      </c>
      <c r="AH3289" s="1077" t="s">
        <v>684</v>
      </c>
      <c r="AI3289" s="1077">
        <v>91.45</v>
      </c>
      <c r="AJ3289" s="1077">
        <v>-1.29</v>
      </c>
      <c r="AK3289" s="1077">
        <v>5.19</v>
      </c>
      <c r="AM3289" s="1078" t="s">
        <v>16599</v>
      </c>
      <c r="AN3289" s="1078" t="s">
        <v>16600</v>
      </c>
      <c r="AO3289" s="1078">
        <f t="shared" si="414"/>
        <v>600</v>
      </c>
      <c r="AP3289" s="1078">
        <f t="shared" si="415"/>
        <v>1.7949999999999999</v>
      </c>
      <c r="AQ3289" s="1078" t="str">
        <f t="shared" si="416"/>
        <v>1-5-1S91°</v>
      </c>
      <c r="AR3289" s="1078" t="str">
        <f t="shared" si="417"/>
        <v>31</v>
      </c>
      <c r="AS3289" s="1078" t="str">
        <f t="shared" si="418"/>
        <v>300/300/140</v>
      </c>
      <c r="AT3289" s="1078" t="str">
        <f t="shared" si="419"/>
        <v>1-5-1S91°</v>
      </c>
      <c r="AV3289" s="1078" t="str">
        <f t="shared" si="412"/>
        <v>114.10.7</v>
      </c>
      <c r="AW3289" s="1344">
        <f t="shared" si="413"/>
        <v>45937</v>
      </c>
    </row>
    <row r="3290" spans="1:49">
      <c r="A3290" s="1077" t="s">
        <v>16400</v>
      </c>
      <c r="B3290" s="1077" t="s">
        <v>16105</v>
      </c>
      <c r="C3290" s="1077">
        <v>600</v>
      </c>
      <c r="D3290" s="1077">
        <v>1.74</v>
      </c>
      <c r="E3290" s="1077" t="s">
        <v>15116</v>
      </c>
      <c r="F3290" s="1077" t="s">
        <v>648</v>
      </c>
      <c r="G3290" s="1077">
        <v>5</v>
      </c>
      <c r="H3290" s="1077" t="s">
        <v>2009</v>
      </c>
      <c r="I3290" s="1077" t="s">
        <v>126</v>
      </c>
      <c r="J3290" s="1077">
        <v>1.4</v>
      </c>
      <c r="K3290" s="1077" t="s">
        <v>16401</v>
      </c>
      <c r="L3290" s="1077" t="s">
        <v>1821</v>
      </c>
      <c r="M3290" s="1077">
        <v>148</v>
      </c>
      <c r="N3290" s="1077" t="s">
        <v>945</v>
      </c>
      <c r="O3290" s="1077">
        <v>3.7</v>
      </c>
      <c r="P3290" s="1077">
        <v>2.96</v>
      </c>
      <c r="Q3290" s="1077">
        <v>4</v>
      </c>
      <c r="R3290" s="1077">
        <v>20</v>
      </c>
      <c r="T3290" s="1077">
        <v>25</v>
      </c>
      <c r="U3290" s="1077">
        <v>3.7</v>
      </c>
      <c r="V3290" s="1077" t="s">
        <v>648</v>
      </c>
      <c r="W3290" s="1077">
        <v>110</v>
      </c>
      <c r="X3290" s="1077">
        <v>50</v>
      </c>
      <c r="Y3290" s="1077">
        <v>1.5</v>
      </c>
      <c r="Z3290" s="1077" t="s">
        <v>648</v>
      </c>
      <c r="AA3290" s="1077" t="s">
        <v>16253</v>
      </c>
      <c r="AH3290" s="1077" t="s">
        <v>862</v>
      </c>
      <c r="AI3290" s="1077">
        <v>92.61</v>
      </c>
      <c r="AJ3290" s="1077">
        <v>-0.23</v>
      </c>
      <c r="AK3290" s="1077">
        <v>1.78</v>
      </c>
      <c r="AM3290" s="1078" t="s">
        <v>16103</v>
      </c>
      <c r="AN3290" s="1078" t="s">
        <v>16601</v>
      </c>
      <c r="AO3290" s="1078">
        <f t="shared" si="414"/>
        <v>600</v>
      </c>
      <c r="AP3290" s="1078">
        <f t="shared" si="415"/>
        <v>1.74</v>
      </c>
      <c r="AQ3290" s="1078" t="str">
        <f t="shared" si="416"/>
        <v>1-5-1S83°Z+S</v>
      </c>
      <c r="AR3290" s="1078" t="str">
        <f t="shared" si="417"/>
        <v>NA</v>
      </c>
      <c r="AS3290" s="1078" t="str">
        <f t="shared" si="418"/>
        <v>265/265/OFF</v>
      </c>
      <c r="AT3290" s="1078" t="str">
        <f t="shared" si="419"/>
        <v>1-5-1S83°Z+S</v>
      </c>
      <c r="AV3290" s="1078" t="str">
        <f t="shared" si="412"/>
        <v>114.10.30</v>
      </c>
      <c r="AW3290" s="1344">
        <f t="shared" si="413"/>
        <v>45960</v>
      </c>
    </row>
    <row r="3291" spans="1:49">
      <c r="A3291" s="1077" t="s">
        <v>16402</v>
      </c>
      <c r="B3291" s="1077" t="s">
        <v>465</v>
      </c>
      <c r="C3291" s="1077">
        <v>700</v>
      </c>
      <c r="D3291" s="1077">
        <v>1.75</v>
      </c>
      <c r="E3291" s="1077" t="s">
        <v>15108</v>
      </c>
      <c r="F3291" s="1077" t="s">
        <v>648</v>
      </c>
      <c r="G3291" s="1077">
        <v>5</v>
      </c>
      <c r="H3291" s="1077" t="s">
        <v>2259</v>
      </c>
      <c r="I3291" s="1077" t="s">
        <v>460</v>
      </c>
      <c r="J3291" s="1077">
        <v>2.2000000000000002</v>
      </c>
      <c r="K3291" s="1077" t="s">
        <v>15681</v>
      </c>
      <c r="L3291" s="1077" t="s">
        <v>6335</v>
      </c>
      <c r="M3291" s="1077">
        <v>149.5</v>
      </c>
      <c r="N3291" s="1077" t="s">
        <v>945</v>
      </c>
      <c r="O3291" s="1077">
        <v>3.7375000000000003</v>
      </c>
      <c r="P3291" s="1077">
        <v>2.99</v>
      </c>
      <c r="Q3291" s="1077">
        <v>4</v>
      </c>
      <c r="R3291" s="1077">
        <v>21</v>
      </c>
      <c r="T3291" s="1077">
        <v>37</v>
      </c>
      <c r="U3291" s="1077">
        <v>3.7</v>
      </c>
      <c r="V3291" s="1077" t="s">
        <v>648</v>
      </c>
      <c r="W3291" s="1077">
        <v>110</v>
      </c>
      <c r="X3291" s="1077">
        <v>40</v>
      </c>
      <c r="Y3291" s="1077">
        <v>2.2000000000000002</v>
      </c>
      <c r="Z3291" s="1077" t="s">
        <v>648</v>
      </c>
      <c r="AA3291" s="1077" t="s">
        <v>16403</v>
      </c>
      <c r="AH3291" s="1077" t="s">
        <v>619</v>
      </c>
      <c r="AI3291" s="1077">
        <v>91.68</v>
      </c>
      <c r="AJ3291" s="1077">
        <v>-0.23</v>
      </c>
      <c r="AK3291" s="1077">
        <v>1.22</v>
      </c>
      <c r="AM3291" s="1078" t="s">
        <v>16602</v>
      </c>
      <c r="AN3291" s="1078" t="s">
        <v>16603</v>
      </c>
      <c r="AO3291" s="1078">
        <f t="shared" si="414"/>
        <v>700</v>
      </c>
      <c r="AP3291" s="1078">
        <f t="shared" si="415"/>
        <v>1.75</v>
      </c>
      <c r="AQ3291" s="1078" t="str">
        <f t="shared" si="416"/>
        <v>1-4-1S83°Z+S</v>
      </c>
      <c r="AR3291" s="1078" t="str">
        <f t="shared" si="417"/>
        <v>NA</v>
      </c>
      <c r="AS3291" s="1078" t="str">
        <f t="shared" si="418"/>
        <v>275/275/OFF</v>
      </c>
      <c r="AT3291" s="1078" t="str">
        <f t="shared" si="419"/>
        <v>1-4-1S83°Z+S</v>
      </c>
      <c r="AV3291" s="1078" t="str">
        <f t="shared" si="412"/>
        <v>114.11.5</v>
      </c>
      <c r="AW3291" s="1344">
        <f t="shared" si="413"/>
        <v>45966</v>
      </c>
    </row>
    <row r="3292" spans="1:49">
      <c r="A3292" s="1077" t="s">
        <v>16404</v>
      </c>
      <c r="B3292" s="1077" t="s">
        <v>465</v>
      </c>
      <c r="C3292" s="1077">
        <v>700</v>
      </c>
      <c r="D3292" s="1077">
        <v>1.75</v>
      </c>
      <c r="E3292" s="1077" t="s">
        <v>15108</v>
      </c>
      <c r="F3292" s="1077" t="s">
        <v>648</v>
      </c>
      <c r="G3292" s="1077">
        <v>5</v>
      </c>
      <c r="H3292" s="1077" t="s">
        <v>2259</v>
      </c>
      <c r="I3292" s="1077" t="s">
        <v>460</v>
      </c>
      <c r="J3292" s="1077">
        <v>2.2000000000000002</v>
      </c>
      <c r="K3292" s="1077" t="s">
        <v>15681</v>
      </c>
      <c r="L3292" s="1077" t="s">
        <v>6335</v>
      </c>
      <c r="M3292" s="1077">
        <v>149.5</v>
      </c>
      <c r="N3292" s="1077" t="s">
        <v>945</v>
      </c>
      <c r="O3292" s="1077">
        <v>3.7375000000000003</v>
      </c>
      <c r="P3292" s="1077">
        <v>2.99</v>
      </c>
      <c r="Q3292" s="1077">
        <v>4</v>
      </c>
      <c r="R3292" s="1077">
        <v>21</v>
      </c>
      <c r="T3292" s="1077">
        <v>37</v>
      </c>
      <c r="U3292" s="1077">
        <v>3.7</v>
      </c>
      <c r="V3292" s="1077" t="s">
        <v>648</v>
      </c>
      <c r="W3292" s="1077">
        <v>110</v>
      </c>
      <c r="X3292" s="1077">
        <v>40</v>
      </c>
      <c r="Y3292" s="1077">
        <v>2.2000000000000002</v>
      </c>
      <c r="Z3292" s="1077" t="s">
        <v>648</v>
      </c>
      <c r="AA3292" s="1077" t="s">
        <v>16405</v>
      </c>
      <c r="AH3292" s="1077" t="s">
        <v>783</v>
      </c>
      <c r="AI3292" s="1077">
        <v>92</v>
      </c>
      <c r="AJ3292" s="1077">
        <v>-0.56000000000000005</v>
      </c>
      <c r="AK3292" s="1077">
        <v>1.48</v>
      </c>
      <c r="AM3292" s="1078" t="s">
        <v>16053</v>
      </c>
      <c r="AN3292" s="1078" t="s">
        <v>16604</v>
      </c>
      <c r="AO3292" s="1078">
        <f t="shared" si="414"/>
        <v>700</v>
      </c>
      <c r="AP3292" s="1078">
        <f t="shared" si="415"/>
        <v>1.75</v>
      </c>
      <c r="AQ3292" s="1078" t="str">
        <f t="shared" si="416"/>
        <v>1-4-1S83°Z+S</v>
      </c>
      <c r="AR3292" s="1078" t="str">
        <f t="shared" si="417"/>
        <v>NA</v>
      </c>
      <c r="AS3292" s="1078" t="str">
        <f t="shared" si="418"/>
        <v>275/275/OFF</v>
      </c>
      <c r="AT3292" s="1078" t="str">
        <f t="shared" si="419"/>
        <v>1-4-1S83°Z+S</v>
      </c>
      <c r="AV3292" s="1078" t="str">
        <f t="shared" si="412"/>
        <v>114.11.6</v>
      </c>
      <c r="AW3292" s="1344">
        <f t="shared" si="413"/>
        <v>45967</v>
      </c>
    </row>
    <row r="3293" spans="1:49">
      <c r="A3293" s="1077" t="s">
        <v>16406</v>
      </c>
      <c r="B3293" s="1077" t="s">
        <v>416</v>
      </c>
      <c r="C3293" s="1077">
        <v>670</v>
      </c>
      <c r="D3293" s="1077">
        <v>1.77</v>
      </c>
      <c r="E3293" s="1077" t="s">
        <v>15094</v>
      </c>
      <c r="F3293" s="1077" t="s">
        <v>984</v>
      </c>
      <c r="G3293" s="1077">
        <v>5</v>
      </c>
      <c r="H3293" s="1077" t="s">
        <v>6560</v>
      </c>
      <c r="I3293" s="1077" t="s">
        <v>126</v>
      </c>
      <c r="J3293" s="1077">
        <v>0.8</v>
      </c>
      <c r="K3293" s="1077" t="s">
        <v>16396</v>
      </c>
      <c r="L3293" s="1077" t="s">
        <v>6291</v>
      </c>
      <c r="M3293" s="1077">
        <v>151.5</v>
      </c>
      <c r="N3293" s="1077" t="s">
        <v>945</v>
      </c>
      <c r="O3293" s="1077">
        <v>3.7875000000000001</v>
      </c>
      <c r="P3293" s="1077">
        <v>3.0300000000000002</v>
      </c>
      <c r="Q3293" s="1077">
        <v>3.5</v>
      </c>
      <c r="R3293" s="1077">
        <v>19.100000000000001</v>
      </c>
      <c r="T3293" s="1077">
        <v>23.7</v>
      </c>
      <c r="U3293" s="1077">
        <v>3.2</v>
      </c>
      <c r="V3293" s="1077" t="s">
        <v>648</v>
      </c>
      <c r="W3293" s="1077">
        <v>35</v>
      </c>
      <c r="X3293" s="1077">
        <v>10</v>
      </c>
      <c r="Y3293" s="1077">
        <v>1</v>
      </c>
      <c r="Z3293" s="1077">
        <v>6</v>
      </c>
      <c r="AA3293" s="1077" t="s">
        <v>16407</v>
      </c>
      <c r="AH3293" s="1077" t="s">
        <v>618</v>
      </c>
      <c r="AI3293" s="1077">
        <v>91.19</v>
      </c>
      <c r="AJ3293" s="1077">
        <v>-0.28000000000000003</v>
      </c>
      <c r="AK3293" s="1077">
        <v>2.0499999999999998</v>
      </c>
      <c r="AM3293" s="1078" t="s">
        <v>16605</v>
      </c>
      <c r="AN3293" s="1078" t="s">
        <v>16606</v>
      </c>
      <c r="AO3293" s="1078">
        <f t="shared" si="414"/>
        <v>670</v>
      </c>
      <c r="AP3293" s="1078">
        <f t="shared" si="415"/>
        <v>1.77</v>
      </c>
      <c r="AQ3293" s="1078" t="str">
        <f t="shared" si="416"/>
        <v>1-5-1S91°</v>
      </c>
      <c r="AR3293" s="1078" t="str">
        <f t="shared" si="417"/>
        <v>30</v>
      </c>
      <c r="AS3293" s="1078" t="str">
        <f t="shared" si="418"/>
        <v>350/310/155</v>
      </c>
      <c r="AT3293" s="1078" t="str">
        <f t="shared" si="419"/>
        <v>1-5-1S91°</v>
      </c>
      <c r="AV3293" s="1078" t="str">
        <f t="shared" si="412"/>
        <v>114.11.13</v>
      </c>
      <c r="AW3293" s="1344">
        <f t="shared" si="413"/>
        <v>45974</v>
      </c>
    </row>
    <row r="3294" spans="1:49">
      <c r="A3294" s="1077" t="s">
        <v>16408</v>
      </c>
      <c r="B3294" s="1077" t="s">
        <v>465</v>
      </c>
      <c r="C3294" s="1077">
        <v>700</v>
      </c>
      <c r="D3294" s="1077">
        <v>1.75</v>
      </c>
      <c r="E3294" s="1077" t="s">
        <v>15108</v>
      </c>
      <c r="F3294" s="1077" t="s">
        <v>648</v>
      </c>
      <c r="G3294" s="1077">
        <v>5</v>
      </c>
      <c r="H3294" s="1077" t="s">
        <v>2259</v>
      </c>
      <c r="I3294" s="1077" t="s">
        <v>460</v>
      </c>
      <c r="J3294" s="1077">
        <v>2.2000000000000002</v>
      </c>
      <c r="K3294" s="1077" t="s">
        <v>15681</v>
      </c>
      <c r="L3294" s="1077" t="s">
        <v>6335</v>
      </c>
      <c r="M3294" s="1077">
        <v>149.5</v>
      </c>
      <c r="N3294" s="1077" t="s">
        <v>945</v>
      </c>
      <c r="O3294" s="1077">
        <v>3.7375000000000003</v>
      </c>
      <c r="P3294" s="1077">
        <v>2.99</v>
      </c>
      <c r="Q3294" s="1077">
        <v>4</v>
      </c>
      <c r="R3294" s="1077">
        <v>21</v>
      </c>
      <c r="T3294" s="1077">
        <v>37</v>
      </c>
      <c r="U3294" s="1077">
        <v>3.7</v>
      </c>
      <c r="V3294" s="1077" t="s">
        <v>648</v>
      </c>
      <c r="W3294" s="1077">
        <v>110</v>
      </c>
      <c r="X3294" s="1077">
        <v>40</v>
      </c>
      <c r="Y3294" s="1077">
        <v>2.2000000000000002</v>
      </c>
      <c r="Z3294" s="1077" t="s">
        <v>648</v>
      </c>
      <c r="AA3294" s="1077" t="s">
        <v>16409</v>
      </c>
      <c r="AH3294" s="1077" t="s">
        <v>3213</v>
      </c>
      <c r="AI3294" s="1077">
        <v>91.46</v>
      </c>
      <c r="AJ3294" s="1077">
        <v>-0.61</v>
      </c>
      <c r="AK3294" s="1077">
        <v>1.56</v>
      </c>
      <c r="AM3294" s="1078" t="s">
        <v>16058</v>
      </c>
      <c r="AN3294" s="1078" t="s">
        <v>16607</v>
      </c>
      <c r="AO3294" s="1078">
        <f t="shared" si="414"/>
        <v>700</v>
      </c>
      <c r="AP3294" s="1078">
        <f t="shared" si="415"/>
        <v>1.75</v>
      </c>
      <c r="AQ3294" s="1078" t="str">
        <f t="shared" si="416"/>
        <v>1-4-1S83°Z+S</v>
      </c>
      <c r="AR3294" s="1078" t="str">
        <f t="shared" si="417"/>
        <v>NA</v>
      </c>
      <c r="AS3294" s="1078" t="str">
        <f t="shared" si="418"/>
        <v>275/275/OFF</v>
      </c>
      <c r="AT3294" s="1078" t="str">
        <f t="shared" si="419"/>
        <v>1-4-1S83°Z+S</v>
      </c>
      <c r="AV3294" s="1078" t="str">
        <f t="shared" si="412"/>
        <v>114.11.19</v>
      </c>
      <c r="AW3294" s="1344">
        <f t="shared" si="413"/>
        <v>45980</v>
      </c>
    </row>
    <row r="3295" spans="1:49">
      <c r="A3295" s="1077" t="s">
        <v>16410</v>
      </c>
      <c r="B3295" s="1077" t="s">
        <v>210</v>
      </c>
      <c r="C3295" s="1077">
        <v>700</v>
      </c>
      <c r="D3295" s="1077">
        <v>1.7649999999999999</v>
      </c>
      <c r="E3295" s="1077" t="s">
        <v>15094</v>
      </c>
      <c r="F3295" s="1077" t="s">
        <v>4013</v>
      </c>
      <c r="G3295" s="1077">
        <v>5</v>
      </c>
      <c r="H3295" s="1077" t="s">
        <v>16411</v>
      </c>
      <c r="I3295" s="1077" t="s">
        <v>126</v>
      </c>
      <c r="J3295" s="1077">
        <v>1.7</v>
      </c>
      <c r="K3295" s="1077" t="s">
        <v>16412</v>
      </c>
      <c r="L3295" s="1077" t="s">
        <v>6291</v>
      </c>
      <c r="M3295" s="1077">
        <v>152.19999999999999</v>
      </c>
      <c r="N3295" s="1077" t="s">
        <v>945</v>
      </c>
      <c r="O3295" s="1077">
        <v>3.8049999999999997</v>
      </c>
      <c r="P3295" s="1077">
        <v>3.044</v>
      </c>
      <c r="Q3295" s="1077">
        <v>4</v>
      </c>
      <c r="R3295" s="1077">
        <v>19</v>
      </c>
      <c r="T3295" s="1077">
        <v>16</v>
      </c>
      <c r="U3295" s="1077">
        <v>4</v>
      </c>
      <c r="V3295" s="1077" t="s">
        <v>648</v>
      </c>
      <c r="W3295" s="1077">
        <v>95</v>
      </c>
      <c r="X3295" s="1077">
        <v>20</v>
      </c>
      <c r="Y3295" s="1077">
        <v>1.5</v>
      </c>
      <c r="Z3295" s="1077">
        <v>5</v>
      </c>
      <c r="AA3295" s="1077" t="s">
        <v>16241</v>
      </c>
      <c r="AH3295" s="1077" t="s">
        <v>1170</v>
      </c>
      <c r="AI3295" s="1077">
        <v>91.55</v>
      </c>
      <c r="AJ3295" s="1077">
        <v>-0.15</v>
      </c>
      <c r="AK3295" s="1077">
        <v>1.17</v>
      </c>
      <c r="AM3295" s="1078" t="s">
        <v>16608</v>
      </c>
      <c r="AN3295" s="1078" t="s">
        <v>16609</v>
      </c>
      <c r="AO3295" s="1078">
        <f t="shared" si="414"/>
        <v>700</v>
      </c>
      <c r="AP3295" s="1078">
        <f t="shared" si="415"/>
        <v>1.7649999999999999</v>
      </c>
      <c r="AQ3295" s="1078" t="str">
        <f t="shared" si="416"/>
        <v>1-5-1S91°</v>
      </c>
      <c r="AR3295" s="1078" t="str">
        <f t="shared" si="417"/>
        <v>30.3</v>
      </c>
      <c r="AS3295" s="1078" t="str">
        <f t="shared" si="418"/>
        <v>320/280/160</v>
      </c>
      <c r="AT3295" s="1078" t="str">
        <f t="shared" si="419"/>
        <v>1-5-1S91°</v>
      </c>
      <c r="AV3295" s="1078" t="str">
        <f t="shared" si="412"/>
        <v>114.11.20</v>
      </c>
      <c r="AW3295" s="1344">
        <f t="shared" si="413"/>
        <v>45981</v>
      </c>
    </row>
    <row r="3296" spans="1:49">
      <c r="A3296" s="1077" t="s">
        <v>16413</v>
      </c>
      <c r="B3296" s="1077" t="s">
        <v>757</v>
      </c>
      <c r="C3296" s="1077">
        <v>500</v>
      </c>
      <c r="D3296" s="1077">
        <v>1.77</v>
      </c>
      <c r="E3296" s="1077" t="s">
        <v>15111</v>
      </c>
      <c r="F3296" s="1077" t="s">
        <v>975</v>
      </c>
      <c r="G3296" s="1077">
        <v>4</v>
      </c>
      <c r="H3296" s="1077" t="s">
        <v>6766</v>
      </c>
      <c r="I3296" s="1077" t="s">
        <v>126</v>
      </c>
      <c r="J3296" s="1077">
        <v>3</v>
      </c>
      <c r="K3296" s="1077" t="s">
        <v>16414</v>
      </c>
      <c r="L3296" s="1077" t="s">
        <v>6118</v>
      </c>
      <c r="M3296" s="1077">
        <v>148.5</v>
      </c>
      <c r="N3296" s="1077" t="s">
        <v>945</v>
      </c>
      <c r="O3296" s="1077">
        <v>3.7125000000000004</v>
      </c>
      <c r="P3296" s="1077">
        <v>2.97</v>
      </c>
      <c r="Q3296" s="1077">
        <v>3.5</v>
      </c>
      <c r="R3296" s="1077">
        <v>21.5</v>
      </c>
      <c r="T3296" s="1077">
        <v>30</v>
      </c>
      <c r="U3296" s="1077">
        <v>3.6</v>
      </c>
      <c r="V3296" s="1077" t="s">
        <v>648</v>
      </c>
      <c r="W3296" s="1077">
        <v>120</v>
      </c>
      <c r="X3296" s="1077">
        <v>70</v>
      </c>
      <c r="Y3296" s="1077">
        <v>1.8</v>
      </c>
      <c r="Z3296" s="1077">
        <v>6.5</v>
      </c>
      <c r="AA3296" s="1077" t="s">
        <v>16415</v>
      </c>
      <c r="AH3296" s="1077" t="s">
        <v>483</v>
      </c>
      <c r="AI3296" s="1077">
        <v>12.92</v>
      </c>
      <c r="AJ3296" s="1077">
        <v>0</v>
      </c>
      <c r="AK3296" s="1077">
        <v>0.56999999999999995</v>
      </c>
      <c r="AM3296" s="1078" t="s">
        <v>16610</v>
      </c>
      <c r="AN3296" s="1078" t="s">
        <v>16611</v>
      </c>
      <c r="AO3296" s="1078">
        <f t="shared" si="414"/>
        <v>500</v>
      </c>
      <c r="AP3296" s="1078">
        <f t="shared" si="415"/>
        <v>1.77</v>
      </c>
      <c r="AQ3296" s="1078" t="str">
        <f t="shared" si="416"/>
        <v>1-5-1S91</v>
      </c>
      <c r="AR3296" s="1078" t="str">
        <f t="shared" si="417"/>
        <v>31.5</v>
      </c>
      <c r="AS3296" s="1078" t="str">
        <f t="shared" si="418"/>
        <v>325/325/OFF</v>
      </c>
      <c r="AT3296" s="1078" t="str">
        <f t="shared" si="419"/>
        <v>1-5-1S91</v>
      </c>
      <c r="AV3296" s="1078" t="str">
        <f t="shared" si="412"/>
        <v>114.11.24</v>
      </c>
      <c r="AW3296" s="1344">
        <f t="shared" si="413"/>
        <v>45985</v>
      </c>
    </row>
    <row r="3297" spans="1:49">
      <c r="A3297" s="1077" t="s">
        <v>16416</v>
      </c>
      <c r="B3297" s="1077" t="s">
        <v>714</v>
      </c>
      <c r="C3297" s="1077">
        <v>700</v>
      </c>
      <c r="D3297" s="1077">
        <v>1.78</v>
      </c>
      <c r="E3297" s="1077" t="s">
        <v>15109</v>
      </c>
      <c r="F3297" s="1077" t="s">
        <v>648</v>
      </c>
      <c r="G3297" s="1077" t="s">
        <v>6865</v>
      </c>
      <c r="H3297" s="1077" t="s">
        <v>8286</v>
      </c>
      <c r="I3297" s="1077" t="s">
        <v>7257</v>
      </c>
      <c r="J3297" s="1077">
        <v>3.7</v>
      </c>
      <c r="K3297" s="1077" t="s">
        <v>16417</v>
      </c>
      <c r="L3297" s="1077" t="s">
        <v>6291</v>
      </c>
      <c r="M3297" s="1077">
        <v>300.8</v>
      </c>
      <c r="N3297" s="1077" t="s">
        <v>945</v>
      </c>
      <c r="O3297" s="1077">
        <v>7.5200000000000005</v>
      </c>
      <c r="P3297" s="1077">
        <v>6.016</v>
      </c>
      <c r="Q3297" s="1077">
        <v>4</v>
      </c>
      <c r="R3297" s="1077">
        <v>17</v>
      </c>
      <c r="T3297" s="1077">
        <v>31.4</v>
      </c>
      <c r="U3297" s="1077">
        <v>3.6</v>
      </c>
      <c r="V3297" s="1077" t="s">
        <v>648</v>
      </c>
      <c r="W3297" s="1077">
        <v>65</v>
      </c>
      <c r="X3297" s="1077">
        <v>10</v>
      </c>
      <c r="Y3297" s="1077">
        <v>1.5</v>
      </c>
      <c r="Z3297" s="1077" t="s">
        <v>648</v>
      </c>
      <c r="AA3297" s="1077" t="s">
        <v>16418</v>
      </c>
      <c r="AH3297" s="1077" t="s">
        <v>647</v>
      </c>
      <c r="AI3297" s="1077">
        <v>91.76</v>
      </c>
      <c r="AJ3297" s="1077">
        <v>-0.11</v>
      </c>
      <c r="AK3297" s="1077">
        <v>1.35</v>
      </c>
      <c r="AM3297" s="1078" t="s">
        <v>16612</v>
      </c>
      <c r="AN3297" s="1078" t="s">
        <v>16613</v>
      </c>
      <c r="AO3297" s="1078">
        <f t="shared" si="414"/>
        <v>700</v>
      </c>
      <c r="AP3297" s="1078">
        <f t="shared" si="415"/>
        <v>1.78</v>
      </c>
      <c r="AQ3297" s="1078" t="str">
        <f t="shared" si="416"/>
        <v>1-5-1S85°Z+S</v>
      </c>
      <c r="AR3297" s="1078" t="str">
        <f t="shared" si="417"/>
        <v>NA</v>
      </c>
      <c r="AS3297" s="1078" t="str">
        <f t="shared" si="418"/>
        <v>198/OFF</v>
      </c>
      <c r="AT3297" s="1078" t="str">
        <f t="shared" si="419"/>
        <v>1-5-1S85°Z+S</v>
      </c>
      <c r="AV3297" s="1078" t="str">
        <f t="shared" si="412"/>
        <v>112.10.1</v>
      </c>
      <c r="AW3297" s="1344">
        <f t="shared" si="413"/>
        <v>45200</v>
      </c>
    </row>
    <row r="3298" spans="1:49">
      <c r="A3298" s="1077" t="s">
        <v>16419</v>
      </c>
      <c r="B3298" s="1077" t="s">
        <v>663</v>
      </c>
      <c r="C3298" s="1077">
        <v>600</v>
      </c>
      <c r="D3298" s="1077">
        <v>1.84</v>
      </c>
      <c r="E3298" s="1077" t="s">
        <v>15109</v>
      </c>
      <c r="F3298" s="1077" t="s">
        <v>648</v>
      </c>
      <c r="G3298" s="1077">
        <v>5.5</v>
      </c>
      <c r="H3298" s="1077" t="s">
        <v>3764</v>
      </c>
      <c r="I3298" s="1077" t="s">
        <v>7913</v>
      </c>
      <c r="K3298" s="1077" t="s">
        <v>16420</v>
      </c>
      <c r="L3298" s="1077" t="s">
        <v>6238</v>
      </c>
      <c r="M3298" s="1077">
        <v>296</v>
      </c>
      <c r="N3298" s="1077" t="s">
        <v>945</v>
      </c>
      <c r="O3298" s="1077">
        <v>7.4</v>
      </c>
      <c r="P3298" s="1077">
        <v>5.92</v>
      </c>
      <c r="Q3298" s="1077">
        <v>3</v>
      </c>
      <c r="R3298" s="1077">
        <v>17</v>
      </c>
      <c r="T3298" s="1077">
        <v>10.5</v>
      </c>
      <c r="U3298" s="1077">
        <v>6.1</v>
      </c>
      <c r="V3298" s="1077" t="s">
        <v>648</v>
      </c>
      <c r="W3298" s="1077">
        <v>110</v>
      </c>
      <c r="X3298" s="1077">
        <v>90</v>
      </c>
      <c r="Y3298" s="1077">
        <v>1.1000000000000001</v>
      </c>
      <c r="Z3298" s="1077" t="s">
        <v>648</v>
      </c>
      <c r="AA3298" s="1077" t="s">
        <v>16421</v>
      </c>
      <c r="AB3298" s="1077" t="s">
        <v>16422</v>
      </c>
      <c r="AH3298" s="1077" t="s">
        <v>783</v>
      </c>
      <c r="AI3298" s="1077">
        <v>91.66</v>
      </c>
      <c r="AJ3298" s="1077">
        <v>-1.54</v>
      </c>
      <c r="AK3298" s="1077">
        <v>5.85</v>
      </c>
      <c r="AM3298" s="1078" t="s">
        <v>16614</v>
      </c>
      <c r="AN3298" s="1078" t="s">
        <v>16615</v>
      </c>
      <c r="AO3298" s="1078">
        <f t="shared" si="414"/>
        <v>600</v>
      </c>
      <c r="AP3298" s="1078">
        <f t="shared" si="415"/>
        <v>1.84</v>
      </c>
      <c r="AQ3298" s="1078" t="str">
        <f t="shared" si="416"/>
        <v>1-5-1S85°Z+S</v>
      </c>
      <c r="AR3298" s="1078" t="str">
        <f t="shared" si="417"/>
        <v>NA</v>
      </c>
      <c r="AS3298" s="1078" t="str">
        <f t="shared" si="418"/>
        <v>167/160</v>
      </c>
      <c r="AT3298" s="1078" t="str">
        <f t="shared" si="419"/>
        <v>1-5-1S85°Z+S</v>
      </c>
      <c r="AV3298" s="1078" t="str">
        <f t="shared" si="412"/>
        <v>114.10.14</v>
      </c>
      <c r="AW3298" s="1344">
        <f t="shared" si="413"/>
        <v>45944</v>
      </c>
    </row>
    <row r="3299" spans="1:49">
      <c r="A3299" s="1077" t="s">
        <v>16423</v>
      </c>
      <c r="B3299" s="1077" t="s">
        <v>7261</v>
      </c>
      <c r="C3299" s="1077">
        <v>650</v>
      </c>
      <c r="D3299" s="1077">
        <v>1.77</v>
      </c>
      <c r="E3299" s="1077" t="s">
        <v>15122</v>
      </c>
      <c r="F3299" s="1077" t="s">
        <v>1469</v>
      </c>
      <c r="G3299" s="1077">
        <v>4</v>
      </c>
      <c r="H3299" s="1077" t="s">
        <v>15719</v>
      </c>
      <c r="I3299" s="1077" t="s">
        <v>6918</v>
      </c>
      <c r="K3299" s="1077" t="s">
        <v>16424</v>
      </c>
      <c r="L3299" s="1077" t="s">
        <v>7264</v>
      </c>
      <c r="M3299" s="1077">
        <v>303</v>
      </c>
      <c r="N3299" s="1077" t="s">
        <v>945</v>
      </c>
      <c r="O3299" s="1077">
        <v>7.5750000000000002</v>
      </c>
      <c r="P3299" s="1077">
        <v>6.0600000000000005</v>
      </c>
      <c r="Q3299" s="1077">
        <v>3.5</v>
      </c>
      <c r="R3299" s="1077">
        <v>24</v>
      </c>
      <c r="T3299" s="1077">
        <v>16</v>
      </c>
      <c r="U3299" s="1077">
        <v>3</v>
      </c>
      <c r="V3299" s="1077" t="s">
        <v>648</v>
      </c>
      <c r="W3299" s="1077">
        <v>90</v>
      </c>
      <c r="X3299" s="1077">
        <v>10</v>
      </c>
      <c r="Y3299" s="1077">
        <v>1.5</v>
      </c>
      <c r="Z3299" s="1077" t="s">
        <v>648</v>
      </c>
      <c r="AA3299" s="1077" t="s">
        <v>16383</v>
      </c>
      <c r="AH3299" s="1077" t="s">
        <v>456</v>
      </c>
      <c r="AI3299" s="1077">
        <v>62.24</v>
      </c>
      <c r="AJ3299" s="1077">
        <v>4.07</v>
      </c>
      <c r="AK3299" s="1077">
        <v>14.57</v>
      </c>
      <c r="AM3299" s="1078" t="s">
        <v>16616</v>
      </c>
      <c r="AN3299" s="1078" t="s">
        <v>16617</v>
      </c>
      <c r="AO3299" s="1078">
        <f t="shared" si="414"/>
        <v>650</v>
      </c>
      <c r="AP3299" s="1078">
        <f t="shared" si="415"/>
        <v>1.77</v>
      </c>
      <c r="AQ3299" s="1078" t="str">
        <f t="shared" si="416"/>
        <v>1-5-1S91°Z+S</v>
      </c>
      <c r="AR3299" s="1078" t="str">
        <f t="shared" si="417"/>
        <v>30.5</v>
      </c>
      <c r="AS3299" s="1078" t="str">
        <f t="shared" si="418"/>
        <v>308/308/190</v>
      </c>
      <c r="AT3299" s="1078" t="str">
        <f t="shared" si="419"/>
        <v>1-5-1S91°Z+S</v>
      </c>
      <c r="AV3299" s="1078" t="str">
        <f t="shared" si="412"/>
        <v>114.10.9</v>
      </c>
      <c r="AW3299" s="1344">
        <f t="shared" si="413"/>
        <v>45939</v>
      </c>
    </row>
    <row r="3300" spans="1:49">
      <c r="A3300" s="1077" t="s">
        <v>16425</v>
      </c>
      <c r="B3300" s="1077" t="s">
        <v>6940</v>
      </c>
      <c r="C3300" s="1077">
        <v>500</v>
      </c>
      <c r="D3300" s="1077">
        <v>1.79</v>
      </c>
      <c r="E3300" s="1077" t="s">
        <v>15122</v>
      </c>
      <c r="F3300" s="1077" t="s">
        <v>984</v>
      </c>
      <c r="G3300" s="1077">
        <v>5</v>
      </c>
      <c r="H3300" s="1077" t="s">
        <v>955</v>
      </c>
      <c r="I3300" s="1077" t="s">
        <v>7105</v>
      </c>
      <c r="J3300" s="1077">
        <v>1</v>
      </c>
      <c r="K3300" s="1077" t="s">
        <v>15824</v>
      </c>
      <c r="L3300" s="1077" t="s">
        <v>4952</v>
      </c>
      <c r="M3300" s="1077">
        <v>308.39999999999998</v>
      </c>
      <c r="N3300" s="1077" t="s">
        <v>945</v>
      </c>
      <c r="O3300" s="1077">
        <v>7.71</v>
      </c>
      <c r="P3300" s="1077">
        <v>6.1679999999999993</v>
      </c>
      <c r="Q3300" s="1077">
        <v>2.8</v>
      </c>
      <c r="R3300" s="1077">
        <v>29</v>
      </c>
      <c r="T3300" s="1077">
        <v>14.5</v>
      </c>
      <c r="U3300" s="1077">
        <v>5</v>
      </c>
      <c r="V3300" s="1077" t="s">
        <v>648</v>
      </c>
      <c r="W3300" s="1077" t="s">
        <v>6990</v>
      </c>
      <c r="X3300" s="1077">
        <v>10</v>
      </c>
      <c r="Y3300" s="1077">
        <v>1.7</v>
      </c>
      <c r="Z3300" s="1077" t="s">
        <v>648</v>
      </c>
      <c r="AA3300" s="1077" t="s">
        <v>16303</v>
      </c>
      <c r="AB3300" s="1077" t="s">
        <v>16426</v>
      </c>
      <c r="AH3300" s="1077" t="s">
        <v>878</v>
      </c>
      <c r="AI3300" s="1077">
        <v>15.06</v>
      </c>
      <c r="AJ3300" s="1077">
        <v>-7.0000000000000007E-2</v>
      </c>
      <c r="AK3300" s="1077">
        <v>0.88</v>
      </c>
      <c r="AM3300" s="1078" t="s">
        <v>16618</v>
      </c>
      <c r="AN3300" s="1078" t="s">
        <v>16619</v>
      </c>
      <c r="AO3300" s="1078">
        <f t="shared" si="414"/>
        <v>500</v>
      </c>
      <c r="AP3300" s="1078">
        <f t="shared" si="415"/>
        <v>1.79</v>
      </c>
      <c r="AQ3300" s="1078" t="str">
        <f t="shared" si="416"/>
        <v>1-5-1S91°Z+S</v>
      </c>
      <c r="AR3300" s="1078" t="str">
        <f t="shared" si="417"/>
        <v>30</v>
      </c>
      <c r="AS3300" s="1078" t="str">
        <f t="shared" si="418"/>
        <v>260/260/OFF</v>
      </c>
      <c r="AT3300" s="1078" t="str">
        <f t="shared" si="419"/>
        <v>1-5-1S91°Z+S</v>
      </c>
      <c r="AV3300" s="1078" t="str">
        <f t="shared" si="412"/>
        <v>114.10.7</v>
      </c>
      <c r="AW3300" s="1344">
        <f t="shared" si="413"/>
        <v>45937</v>
      </c>
    </row>
    <row r="3301" spans="1:49">
      <c r="A3301" s="1077" t="s">
        <v>16427</v>
      </c>
      <c r="B3301" s="1077" t="s">
        <v>467</v>
      </c>
      <c r="C3301" s="1077">
        <v>650</v>
      </c>
      <c r="D3301" s="1077">
        <v>1.7949999999999999</v>
      </c>
      <c r="E3301" s="1077" t="s">
        <v>15109</v>
      </c>
      <c r="F3301" s="1077" t="s">
        <v>648</v>
      </c>
      <c r="G3301" s="1077" t="s">
        <v>6865</v>
      </c>
      <c r="H3301" s="1077" t="s">
        <v>7863</v>
      </c>
      <c r="I3301" s="1077" t="s">
        <v>6937</v>
      </c>
      <c r="J3301" s="1077">
        <v>3.7</v>
      </c>
      <c r="K3301" s="1077" t="s">
        <v>16428</v>
      </c>
      <c r="L3301" s="1077" t="s">
        <v>4666</v>
      </c>
      <c r="M3301" s="1077">
        <v>295.10000000000002</v>
      </c>
      <c r="N3301" s="1077" t="s">
        <v>945</v>
      </c>
      <c r="O3301" s="1077">
        <v>7.3775000000000013</v>
      </c>
      <c r="P3301" s="1077">
        <v>5.9020000000000001</v>
      </c>
      <c r="Q3301" s="1077">
        <v>4</v>
      </c>
      <c r="R3301" s="1077">
        <v>17.399999999999999</v>
      </c>
      <c r="T3301" s="1077">
        <v>31</v>
      </c>
      <c r="U3301" s="1077">
        <v>3.5</v>
      </c>
      <c r="V3301" s="1077" t="s">
        <v>648</v>
      </c>
      <c r="W3301" s="1077" t="s">
        <v>6880</v>
      </c>
      <c r="X3301" s="1077">
        <v>40</v>
      </c>
      <c r="Y3301" s="1077">
        <v>1</v>
      </c>
      <c r="Z3301" s="1077" t="s">
        <v>648</v>
      </c>
      <c r="AA3301" s="1077" t="s">
        <v>16429</v>
      </c>
      <c r="AH3301" s="1077" t="s">
        <v>868</v>
      </c>
      <c r="AI3301" s="1077">
        <v>94.89</v>
      </c>
      <c r="AJ3301" s="1077">
        <v>-0.59</v>
      </c>
      <c r="AK3301" s="1077">
        <v>2.57</v>
      </c>
      <c r="AM3301" s="1078" t="s">
        <v>16037</v>
      </c>
      <c r="AN3301" s="1078" t="s">
        <v>16620</v>
      </c>
      <c r="AO3301" s="1078">
        <f t="shared" si="414"/>
        <v>650</v>
      </c>
      <c r="AP3301" s="1078">
        <f t="shared" si="415"/>
        <v>1.7949999999999999</v>
      </c>
      <c r="AQ3301" s="1078" t="str">
        <f t="shared" si="416"/>
        <v>1-5-1S85°Z+S</v>
      </c>
      <c r="AR3301" s="1078" t="str">
        <f t="shared" si="417"/>
        <v>NA</v>
      </c>
      <c r="AS3301" s="1078" t="str">
        <f t="shared" si="418"/>
        <v>204/OFF</v>
      </c>
      <c r="AT3301" s="1078" t="str">
        <f t="shared" si="419"/>
        <v>1-5-1S85°Z+S</v>
      </c>
      <c r="AV3301" s="1078" t="str">
        <f t="shared" si="412"/>
        <v>114.10.10</v>
      </c>
      <c r="AW3301" s="1344">
        <f t="shared" si="413"/>
        <v>45940</v>
      </c>
    </row>
    <row r="3302" spans="1:49">
      <c r="A3302" s="1077" t="s">
        <v>16430</v>
      </c>
      <c r="B3302" s="1077" t="s">
        <v>855</v>
      </c>
      <c r="C3302" s="1077">
        <v>500</v>
      </c>
      <c r="D3302" s="1077">
        <v>1.75</v>
      </c>
      <c r="E3302" s="1077" t="s">
        <v>15109</v>
      </c>
      <c r="F3302" s="1077" t="s">
        <v>648</v>
      </c>
      <c r="G3302" s="1077">
        <v>5</v>
      </c>
      <c r="H3302" s="1077" t="s">
        <v>4776</v>
      </c>
      <c r="I3302" s="1077" t="s">
        <v>7150</v>
      </c>
      <c r="K3302" s="1077" t="s">
        <v>16431</v>
      </c>
      <c r="L3302" s="1077" t="s">
        <v>7424</v>
      </c>
      <c r="M3302" s="1077">
        <v>295</v>
      </c>
      <c r="N3302" s="1077" t="s">
        <v>945</v>
      </c>
      <c r="O3302" s="1077">
        <v>7.375</v>
      </c>
      <c r="P3302" s="1077">
        <v>5.9</v>
      </c>
      <c r="Q3302" s="1077">
        <v>4</v>
      </c>
      <c r="R3302" s="1077">
        <v>19</v>
      </c>
      <c r="T3302" s="1077">
        <v>27.8</v>
      </c>
      <c r="U3302" s="1077">
        <v>3.9</v>
      </c>
      <c r="V3302" s="1077" t="s">
        <v>648</v>
      </c>
      <c r="W3302" s="1077">
        <v>125</v>
      </c>
      <c r="X3302" s="1077">
        <v>90</v>
      </c>
      <c r="Y3302" s="1077">
        <v>1.5</v>
      </c>
      <c r="Z3302" s="1077" t="s">
        <v>648</v>
      </c>
      <c r="AA3302" s="1077" t="s">
        <v>16432</v>
      </c>
      <c r="AH3302" s="1077" t="s">
        <v>726</v>
      </c>
      <c r="AI3302" s="1077">
        <v>94.79</v>
      </c>
      <c r="AJ3302" s="1077">
        <v>-1.03</v>
      </c>
      <c r="AK3302" s="1077">
        <v>2.94</v>
      </c>
      <c r="AM3302" s="1078" t="s">
        <v>16621</v>
      </c>
      <c r="AN3302" s="1078" t="s">
        <v>16622</v>
      </c>
      <c r="AO3302" s="1078">
        <f t="shared" si="414"/>
        <v>500</v>
      </c>
      <c r="AP3302" s="1078">
        <f t="shared" si="415"/>
        <v>1.75</v>
      </c>
      <c r="AQ3302" s="1078" t="str">
        <f t="shared" si="416"/>
        <v>1-5-1S85°Z+S</v>
      </c>
      <c r="AR3302" s="1078" t="str">
        <f t="shared" si="417"/>
        <v>NA</v>
      </c>
      <c r="AS3302" s="1078" t="str">
        <f t="shared" si="418"/>
        <v>178/OFF</v>
      </c>
      <c r="AT3302" s="1078" t="str">
        <f t="shared" si="419"/>
        <v>1-5-1S85°Z+S</v>
      </c>
      <c r="AV3302" s="1078" t="str">
        <f t="shared" si="412"/>
        <v>114.10.21</v>
      </c>
      <c r="AW3302" s="1344">
        <f t="shared" si="413"/>
        <v>45951</v>
      </c>
    </row>
    <row r="3303" spans="1:49">
      <c r="A3303" s="1077" t="s">
        <v>16433</v>
      </c>
      <c r="B3303" s="1077" t="s">
        <v>7114</v>
      </c>
      <c r="C3303" s="1077">
        <v>600</v>
      </c>
      <c r="D3303" s="1077">
        <v>1.77</v>
      </c>
      <c r="E3303" s="1077" t="s">
        <v>15122</v>
      </c>
      <c r="F3303" s="1077" t="s">
        <v>2234</v>
      </c>
      <c r="G3303" s="1077">
        <v>5</v>
      </c>
      <c r="H3303" s="1077" t="s">
        <v>1793</v>
      </c>
      <c r="I3303" s="1077" t="s">
        <v>7588</v>
      </c>
      <c r="J3303" s="1077">
        <v>3</v>
      </c>
      <c r="K3303" s="1077" t="s">
        <v>16434</v>
      </c>
      <c r="L3303" s="1077" t="s">
        <v>4854</v>
      </c>
      <c r="M3303" s="1077">
        <v>300.7</v>
      </c>
      <c r="N3303" s="1077" t="s">
        <v>945</v>
      </c>
      <c r="O3303" s="1077">
        <v>7.5175000000000001</v>
      </c>
      <c r="P3303" s="1077">
        <v>6.0140000000000002</v>
      </c>
      <c r="Q3303" s="1077">
        <v>3</v>
      </c>
      <c r="R3303" s="1077">
        <v>30.5</v>
      </c>
      <c r="T3303" s="1077">
        <v>14.7</v>
      </c>
      <c r="U3303" s="1077">
        <v>6.1</v>
      </c>
      <c r="V3303" s="1077" t="s">
        <v>648</v>
      </c>
      <c r="W3303" s="1077">
        <v>115</v>
      </c>
      <c r="X3303" s="1077">
        <v>45</v>
      </c>
      <c r="Y3303" s="1077">
        <v>1.5</v>
      </c>
      <c r="Z3303" s="1077" t="s">
        <v>648</v>
      </c>
      <c r="AA3303" s="1077" t="s">
        <v>16435</v>
      </c>
      <c r="AH3303" s="1077" t="s">
        <v>889</v>
      </c>
      <c r="AI3303" s="1077">
        <v>93.18</v>
      </c>
      <c r="AJ3303" s="1077">
        <v>-1.2</v>
      </c>
      <c r="AK3303" s="1077">
        <v>5.73</v>
      </c>
      <c r="AM3303" s="1078" t="s">
        <v>16623</v>
      </c>
      <c r="AN3303" s="1078" t="s">
        <v>16624</v>
      </c>
      <c r="AO3303" s="1078">
        <f t="shared" si="414"/>
        <v>600</v>
      </c>
      <c r="AP3303" s="1078">
        <f t="shared" si="415"/>
        <v>1.77</v>
      </c>
      <c r="AQ3303" s="1078" t="str">
        <f t="shared" si="416"/>
        <v>1-5-1S91°Z+S</v>
      </c>
      <c r="AR3303" s="1078" t="str">
        <f t="shared" si="417"/>
        <v>33.5</v>
      </c>
      <c r="AS3303" s="1078" t="str">
        <f t="shared" si="418"/>
        <v>270/270/OFF</v>
      </c>
      <c r="AT3303" s="1078" t="str">
        <f t="shared" si="419"/>
        <v>1-5-1S91°Z+S</v>
      </c>
      <c r="AV3303" s="1078" t="str">
        <f t="shared" si="412"/>
        <v>114.10.23</v>
      </c>
      <c r="AW3303" s="1344">
        <f t="shared" si="413"/>
        <v>45953</v>
      </c>
    </row>
    <row r="3304" spans="1:49">
      <c r="A3304" s="1077" t="s">
        <v>16436</v>
      </c>
      <c r="B3304" s="1077" t="s">
        <v>467</v>
      </c>
      <c r="C3304" s="1077">
        <v>700</v>
      </c>
      <c r="D3304" s="1077">
        <v>1.78</v>
      </c>
      <c r="E3304" s="1077" t="s">
        <v>15109</v>
      </c>
      <c r="F3304" s="1077" t="s">
        <v>648</v>
      </c>
      <c r="G3304" s="1077" t="s">
        <v>6865</v>
      </c>
      <c r="H3304" s="1077" t="s">
        <v>8286</v>
      </c>
      <c r="I3304" s="1077" t="s">
        <v>7257</v>
      </c>
      <c r="J3304" s="1077">
        <v>3.7</v>
      </c>
      <c r="K3304" s="1077" t="s">
        <v>15971</v>
      </c>
      <c r="L3304" s="1077" t="s">
        <v>6291</v>
      </c>
      <c r="M3304" s="1077">
        <v>300.8</v>
      </c>
      <c r="N3304" s="1077" t="s">
        <v>945</v>
      </c>
      <c r="O3304" s="1077">
        <v>7.5200000000000005</v>
      </c>
      <c r="P3304" s="1077">
        <v>6.016</v>
      </c>
      <c r="Q3304" s="1077">
        <v>4</v>
      </c>
      <c r="R3304" s="1077">
        <v>17</v>
      </c>
      <c r="T3304" s="1077">
        <v>31.4</v>
      </c>
      <c r="U3304" s="1077">
        <v>3.6</v>
      </c>
      <c r="V3304" s="1077" t="s">
        <v>648</v>
      </c>
      <c r="W3304" s="1077">
        <v>65</v>
      </c>
      <c r="X3304" s="1077">
        <v>10</v>
      </c>
      <c r="Y3304" s="1077">
        <v>1.5</v>
      </c>
      <c r="Z3304" s="1077" t="s">
        <v>648</v>
      </c>
      <c r="AA3304" s="1077" t="s">
        <v>6376</v>
      </c>
      <c r="AH3304" s="1077" t="s">
        <v>782</v>
      </c>
      <c r="AI3304" s="1077">
        <v>91.76</v>
      </c>
      <c r="AJ3304" s="1077">
        <v>-0.17</v>
      </c>
      <c r="AK3304" s="1077">
        <v>1.96</v>
      </c>
      <c r="AM3304" s="1078" t="s">
        <v>16625</v>
      </c>
      <c r="AN3304" s="1078" t="s">
        <v>16626</v>
      </c>
      <c r="AO3304" s="1078">
        <f t="shared" si="414"/>
        <v>700</v>
      </c>
      <c r="AP3304" s="1078">
        <f t="shared" si="415"/>
        <v>1.78</v>
      </c>
      <c r="AQ3304" s="1078" t="str">
        <f t="shared" si="416"/>
        <v>1-5-1S85°Z+S</v>
      </c>
      <c r="AR3304" s="1078" t="str">
        <f t="shared" si="417"/>
        <v>NA</v>
      </c>
      <c r="AS3304" s="1078" t="str">
        <f t="shared" si="418"/>
        <v>198/OFF</v>
      </c>
      <c r="AT3304" s="1078" t="str">
        <f t="shared" si="419"/>
        <v>1-5-1S85°Z+S</v>
      </c>
      <c r="AV3304" s="1078" t="str">
        <f t="shared" si="412"/>
        <v>112.11.7</v>
      </c>
      <c r="AW3304" s="1344">
        <f t="shared" si="413"/>
        <v>45237</v>
      </c>
    </row>
    <row r="3305" spans="1:49">
      <c r="A3305" s="1077" t="s">
        <v>16437</v>
      </c>
      <c r="B3305" s="1077" t="s">
        <v>467</v>
      </c>
      <c r="C3305" s="1077">
        <v>670</v>
      </c>
      <c r="D3305" s="1077">
        <v>1.7949999999999999</v>
      </c>
      <c r="E3305" s="1077" t="s">
        <v>15109</v>
      </c>
      <c r="F3305" s="1077" t="s">
        <v>648</v>
      </c>
      <c r="G3305" s="1077" t="s">
        <v>6865</v>
      </c>
      <c r="H3305" s="1077" t="s">
        <v>7863</v>
      </c>
      <c r="I3305" s="1077" t="s">
        <v>6967</v>
      </c>
      <c r="J3305" s="1077">
        <v>3.7</v>
      </c>
      <c r="K3305" s="1077" t="s">
        <v>16438</v>
      </c>
      <c r="L3305" s="1077" t="s">
        <v>4666</v>
      </c>
      <c r="M3305" s="1077">
        <v>295.10000000000002</v>
      </c>
      <c r="N3305" s="1077" t="s">
        <v>945</v>
      </c>
      <c r="O3305" s="1077">
        <v>7.3775000000000013</v>
      </c>
      <c r="P3305" s="1077">
        <v>5.9020000000000001</v>
      </c>
      <c r="Q3305" s="1077">
        <v>4</v>
      </c>
      <c r="R3305" s="1077">
        <v>17.399999999999999</v>
      </c>
      <c r="T3305" s="1077">
        <v>31</v>
      </c>
      <c r="U3305" s="1077">
        <v>3.5</v>
      </c>
      <c r="V3305" s="1077" t="s">
        <v>648</v>
      </c>
      <c r="W3305" s="1077" t="s">
        <v>6880</v>
      </c>
      <c r="X3305" s="1077">
        <v>40</v>
      </c>
      <c r="Y3305" s="1077">
        <v>1</v>
      </c>
      <c r="Z3305" s="1077" t="s">
        <v>648</v>
      </c>
      <c r="AA3305" s="1077" t="s">
        <v>16415</v>
      </c>
      <c r="AH3305" s="1077" t="s">
        <v>650</v>
      </c>
      <c r="AI3305" s="1077">
        <v>94.9</v>
      </c>
      <c r="AJ3305" s="1077">
        <v>-0.49</v>
      </c>
      <c r="AK3305" s="1077">
        <v>2.4300000000000002</v>
      </c>
      <c r="AM3305" s="1078" t="s">
        <v>16060</v>
      </c>
      <c r="AN3305" s="1078" t="s">
        <v>16627</v>
      </c>
      <c r="AO3305" s="1078">
        <f t="shared" si="414"/>
        <v>670</v>
      </c>
      <c r="AP3305" s="1078">
        <f t="shared" si="415"/>
        <v>1.7949999999999999</v>
      </c>
      <c r="AQ3305" s="1078" t="str">
        <f t="shared" si="416"/>
        <v>1-5-1S85°Z+S</v>
      </c>
      <c r="AR3305" s="1078" t="str">
        <f t="shared" si="417"/>
        <v>NA</v>
      </c>
      <c r="AS3305" s="1078" t="str">
        <f t="shared" si="418"/>
        <v>204/OFF</v>
      </c>
      <c r="AT3305" s="1078" t="str">
        <f t="shared" si="419"/>
        <v>1-5-1S85°Z+S</v>
      </c>
      <c r="AV3305" s="1078" t="str">
        <f t="shared" si="412"/>
        <v>114.11.24</v>
      </c>
      <c r="AW3305" s="1344">
        <f t="shared" si="413"/>
        <v>45985</v>
      </c>
    </row>
    <row r="3306" spans="1:49">
      <c r="A3306" s="1077" t="s">
        <v>16439</v>
      </c>
      <c r="B3306" s="1077" t="s">
        <v>467</v>
      </c>
      <c r="C3306" s="1077">
        <v>700</v>
      </c>
      <c r="D3306" s="1077">
        <v>1.78</v>
      </c>
      <c r="E3306" s="1077" t="s">
        <v>15109</v>
      </c>
      <c r="F3306" s="1077" t="s">
        <v>648</v>
      </c>
      <c r="G3306" s="1077" t="s">
        <v>6865</v>
      </c>
      <c r="H3306" s="1077" t="s">
        <v>8286</v>
      </c>
      <c r="I3306" s="1077" t="s">
        <v>7257</v>
      </c>
      <c r="J3306" s="1077">
        <v>3.7</v>
      </c>
      <c r="K3306" s="1077" t="s">
        <v>15971</v>
      </c>
      <c r="L3306" s="1077" t="s">
        <v>6291</v>
      </c>
      <c r="M3306" s="1077">
        <v>300.8</v>
      </c>
      <c r="N3306" s="1077" t="s">
        <v>945</v>
      </c>
      <c r="O3306" s="1077">
        <v>7.5200000000000005</v>
      </c>
      <c r="P3306" s="1077">
        <v>6.016</v>
      </c>
      <c r="Q3306" s="1077">
        <v>4</v>
      </c>
      <c r="R3306" s="1077">
        <v>17</v>
      </c>
      <c r="T3306" s="1077">
        <v>31.4</v>
      </c>
      <c r="U3306" s="1077">
        <v>3.6</v>
      </c>
      <c r="V3306" s="1077" t="s">
        <v>648</v>
      </c>
      <c r="W3306" s="1077">
        <v>65</v>
      </c>
      <c r="X3306" s="1077">
        <v>10</v>
      </c>
      <c r="Y3306" s="1077">
        <v>1.5</v>
      </c>
      <c r="Z3306" s="1077" t="s">
        <v>648</v>
      </c>
      <c r="AA3306" s="1077" t="s">
        <v>3849</v>
      </c>
      <c r="AH3306" s="1077" t="s">
        <v>803</v>
      </c>
      <c r="AI3306" s="1077">
        <v>91.82</v>
      </c>
      <c r="AJ3306" s="1077">
        <v>-0.44</v>
      </c>
      <c r="AK3306" s="1077">
        <v>1.8</v>
      </c>
      <c r="AM3306" s="1078" t="s">
        <v>16080</v>
      </c>
      <c r="AN3306" s="1078" t="s">
        <v>16628</v>
      </c>
      <c r="AO3306" s="1078">
        <f t="shared" si="414"/>
        <v>700</v>
      </c>
      <c r="AP3306" s="1078">
        <f t="shared" si="415"/>
        <v>1.78</v>
      </c>
      <c r="AQ3306" s="1078" t="str">
        <f t="shared" si="416"/>
        <v>1-5-1S85°Z+S</v>
      </c>
      <c r="AR3306" s="1078" t="str">
        <f t="shared" si="417"/>
        <v>NA</v>
      </c>
      <c r="AS3306" s="1078" t="str">
        <f t="shared" si="418"/>
        <v>198/OFF</v>
      </c>
      <c r="AT3306" s="1078" t="str">
        <f t="shared" si="419"/>
        <v>1-5-1S85°Z+S</v>
      </c>
      <c r="AV3306" s="1078" t="str">
        <f t="shared" si="412"/>
        <v>112.12.5</v>
      </c>
      <c r="AW3306" s="1344">
        <f t="shared" si="413"/>
        <v>45265</v>
      </c>
    </row>
    <row r="3307" spans="1:49">
      <c r="A3307" s="1077" t="s">
        <v>16440</v>
      </c>
      <c r="B3307" s="1077" t="s">
        <v>467</v>
      </c>
      <c r="C3307" s="1077">
        <v>600</v>
      </c>
      <c r="D3307" s="1077">
        <v>1.77</v>
      </c>
      <c r="E3307" s="1077">
        <v>102.5</v>
      </c>
      <c r="F3307" s="1077" t="s">
        <v>4070</v>
      </c>
      <c r="G3307" s="1077">
        <v>5.5</v>
      </c>
      <c r="H3307" s="1077" t="s">
        <v>7676</v>
      </c>
      <c r="I3307" s="1077" t="s">
        <v>16441</v>
      </c>
      <c r="J3307" s="1077">
        <v>3.7</v>
      </c>
      <c r="K3307" s="1077" t="s">
        <v>16442</v>
      </c>
      <c r="L3307" s="1077" t="s">
        <v>4666</v>
      </c>
      <c r="M3307" s="1077">
        <v>295.10000000000002</v>
      </c>
      <c r="N3307" s="1077" t="s">
        <v>945</v>
      </c>
      <c r="O3307" s="1077">
        <v>7.3775000000000013</v>
      </c>
      <c r="P3307" s="1077">
        <v>5.9020000000000001</v>
      </c>
      <c r="Q3307" s="1077">
        <v>4</v>
      </c>
      <c r="R3307" s="1077">
        <v>20</v>
      </c>
      <c r="T3307" s="1077">
        <v>31</v>
      </c>
      <c r="U3307" s="1077">
        <v>3.5</v>
      </c>
      <c r="V3307" s="1077" t="s">
        <v>648</v>
      </c>
      <c r="W3307" s="1077">
        <v>100</v>
      </c>
      <c r="X3307" s="1077">
        <v>40</v>
      </c>
      <c r="Y3307" s="1077">
        <v>1</v>
      </c>
      <c r="Z3307" s="1077" t="s">
        <v>648</v>
      </c>
      <c r="AA3307" s="1077" t="s">
        <v>16443</v>
      </c>
      <c r="AH3307" s="1077" t="s">
        <v>762</v>
      </c>
      <c r="AI3307" s="1077">
        <v>94.61</v>
      </c>
      <c r="AJ3307" s="1077">
        <v>-0.41</v>
      </c>
      <c r="AK3307" s="1077">
        <v>2.41</v>
      </c>
      <c r="AM3307" s="1078" t="s">
        <v>16629</v>
      </c>
      <c r="AN3307" s="1078" t="s">
        <v>16630</v>
      </c>
      <c r="AO3307" s="1078">
        <f t="shared" si="414"/>
        <v>600</v>
      </c>
      <c r="AP3307" s="1078">
        <f t="shared" si="415"/>
        <v>1.77</v>
      </c>
      <c r="AQ3307" s="1078">
        <f t="shared" si="416"/>
        <v>102.5</v>
      </c>
      <c r="AR3307" s="1078" t="str">
        <f t="shared" si="417"/>
        <v>15.5</v>
      </c>
      <c r="AS3307" s="1078" t="str">
        <f t="shared" si="418"/>
        <v>500/460/OFF</v>
      </c>
      <c r="AT3307" s="1078">
        <f t="shared" si="419"/>
        <v>102.5</v>
      </c>
      <c r="AV3307" s="1078" t="str">
        <f t="shared" si="412"/>
        <v>114.12.8</v>
      </c>
      <c r="AW3307" s="1344">
        <f t="shared" si="413"/>
        <v>45999</v>
      </c>
    </row>
    <row r="3308" spans="1:49">
      <c r="A3308" s="1077" t="s">
        <v>16444</v>
      </c>
      <c r="B3308" s="1077" t="s">
        <v>467</v>
      </c>
      <c r="C3308" s="1077">
        <v>600</v>
      </c>
      <c r="D3308" s="1077">
        <v>1.77</v>
      </c>
      <c r="E3308" s="1077">
        <v>102.5</v>
      </c>
      <c r="F3308" s="1077" t="s">
        <v>4070</v>
      </c>
      <c r="G3308" s="1077">
        <v>5.5</v>
      </c>
      <c r="H3308" s="1077" t="s">
        <v>7642</v>
      </c>
      <c r="I3308" s="1077" t="s">
        <v>15417</v>
      </c>
      <c r="J3308" s="1077">
        <v>3.7</v>
      </c>
      <c r="K3308" s="1077" t="s">
        <v>16445</v>
      </c>
      <c r="L3308" s="1077" t="s">
        <v>4666</v>
      </c>
      <c r="M3308" s="1077">
        <v>295.10000000000002</v>
      </c>
      <c r="N3308" s="1077" t="s">
        <v>945</v>
      </c>
      <c r="O3308" s="1077">
        <v>7.3775000000000013</v>
      </c>
      <c r="P3308" s="1077">
        <v>5.9020000000000001</v>
      </c>
      <c r="Q3308" s="1077">
        <v>4</v>
      </c>
      <c r="R3308" s="1077">
        <v>20</v>
      </c>
      <c r="T3308" s="1077">
        <v>31</v>
      </c>
      <c r="U3308" s="1077">
        <v>3.5</v>
      </c>
      <c r="V3308" s="1077" t="s">
        <v>648</v>
      </c>
      <c r="W3308" s="1077">
        <v>100</v>
      </c>
      <c r="X3308" s="1077">
        <v>40</v>
      </c>
      <c r="Y3308" s="1077">
        <v>1</v>
      </c>
      <c r="Z3308" s="1077" t="s">
        <v>648</v>
      </c>
      <c r="AA3308" s="1077" t="s">
        <v>16333</v>
      </c>
      <c r="AH3308" s="1077" t="s">
        <v>966</v>
      </c>
      <c r="AI3308" s="1077">
        <v>94.94</v>
      </c>
      <c r="AJ3308" s="1077">
        <v>-0.96</v>
      </c>
      <c r="AK3308" s="1077">
        <v>2.41</v>
      </c>
      <c r="AM3308" s="1078" t="s">
        <v>16083</v>
      </c>
      <c r="AN3308" s="1078" t="s">
        <v>16631</v>
      </c>
      <c r="AO3308" s="1078">
        <f t="shared" si="414"/>
        <v>600</v>
      </c>
      <c r="AP3308" s="1078">
        <f t="shared" si="415"/>
        <v>1.77</v>
      </c>
      <c r="AQ3308" s="1078">
        <f t="shared" si="416"/>
        <v>102.5</v>
      </c>
      <c r="AR3308" s="1078" t="str">
        <f t="shared" si="417"/>
        <v>15.5</v>
      </c>
      <c r="AS3308" s="1078" t="str">
        <f t="shared" si="418"/>
        <v>499/459/OFF</v>
      </c>
      <c r="AT3308" s="1078">
        <f t="shared" si="419"/>
        <v>102.5</v>
      </c>
      <c r="AV3308" s="1078" t="str">
        <f t="shared" si="412"/>
        <v>114.12.9</v>
      </c>
      <c r="AW3308" s="1344">
        <f t="shared" si="413"/>
        <v>46000</v>
      </c>
    </row>
    <row r="3309" spans="1:49">
      <c r="A3309" s="1077" t="s">
        <v>16446</v>
      </c>
      <c r="B3309" s="1077" t="s">
        <v>467</v>
      </c>
      <c r="C3309" s="1077">
        <v>650</v>
      </c>
      <c r="D3309" s="1077">
        <v>1.8049999999999999</v>
      </c>
      <c r="E3309" s="1077" t="s">
        <v>15109</v>
      </c>
      <c r="F3309" s="1077" t="s">
        <v>648</v>
      </c>
      <c r="G3309" s="1077" t="s">
        <v>6865</v>
      </c>
      <c r="H3309" s="1077" t="s">
        <v>7984</v>
      </c>
      <c r="I3309" s="1077" t="s">
        <v>6937</v>
      </c>
      <c r="J3309" s="1077">
        <v>3.7</v>
      </c>
      <c r="K3309" s="1077" t="s">
        <v>16447</v>
      </c>
      <c r="L3309" s="1077" t="s">
        <v>4666</v>
      </c>
      <c r="M3309" s="1077">
        <v>295.10000000000002</v>
      </c>
      <c r="N3309" s="1077" t="s">
        <v>945</v>
      </c>
      <c r="O3309" s="1077">
        <v>7.3775000000000013</v>
      </c>
      <c r="P3309" s="1077">
        <v>5.9020000000000001</v>
      </c>
      <c r="Q3309" s="1077">
        <v>4</v>
      </c>
      <c r="R3309" s="1077">
        <v>17.399999999999999</v>
      </c>
      <c r="T3309" s="1077">
        <v>31</v>
      </c>
      <c r="U3309" s="1077">
        <v>3.5</v>
      </c>
      <c r="V3309" s="1077" t="s">
        <v>648</v>
      </c>
      <c r="W3309" s="1077" t="s">
        <v>6880</v>
      </c>
      <c r="X3309" s="1077">
        <v>40</v>
      </c>
      <c r="Y3309" s="1077">
        <v>1</v>
      </c>
      <c r="Z3309" s="1077" t="s">
        <v>648</v>
      </c>
      <c r="AA3309" s="1077" t="s">
        <v>16310</v>
      </c>
      <c r="AH3309" s="1077" t="s">
        <v>1417</v>
      </c>
      <c r="AI3309" s="1077">
        <v>94.83</v>
      </c>
      <c r="AJ3309" s="1077">
        <v>-0.97</v>
      </c>
      <c r="AK3309" s="1077">
        <v>2.17</v>
      </c>
      <c r="AM3309" s="1078" t="s">
        <v>16085</v>
      </c>
      <c r="AN3309" s="1078" t="s">
        <v>16632</v>
      </c>
      <c r="AO3309" s="1078">
        <f t="shared" si="414"/>
        <v>650</v>
      </c>
      <c r="AP3309" s="1078">
        <f t="shared" si="415"/>
        <v>1.8049999999999999</v>
      </c>
      <c r="AQ3309" s="1078" t="str">
        <f t="shared" si="416"/>
        <v>1-5-1S85°Z+S</v>
      </c>
      <c r="AR3309" s="1078" t="str">
        <f t="shared" si="417"/>
        <v>NA</v>
      </c>
      <c r="AS3309" s="1078" t="str">
        <f t="shared" si="418"/>
        <v>201/OFF</v>
      </c>
      <c r="AT3309" s="1078" t="str">
        <f t="shared" si="419"/>
        <v>1-5-1S85°Z+S</v>
      </c>
      <c r="AV3309" s="1078" t="str">
        <f t="shared" si="412"/>
        <v>114.12.10</v>
      </c>
      <c r="AW3309" s="1344">
        <f t="shared" si="413"/>
        <v>46001</v>
      </c>
    </row>
    <row r="3310" spans="1:49">
      <c r="A3310" s="1077" t="s">
        <v>16448</v>
      </c>
      <c r="B3310" s="1077" t="s">
        <v>467</v>
      </c>
      <c r="C3310" s="1077">
        <v>600</v>
      </c>
      <c r="D3310" s="1077">
        <v>1.7649999999999999</v>
      </c>
      <c r="E3310" s="1077">
        <v>102.5</v>
      </c>
      <c r="F3310" s="1077" t="s">
        <v>4070</v>
      </c>
      <c r="G3310" s="1077">
        <v>5.5</v>
      </c>
      <c r="H3310" s="1077" t="s">
        <v>7123</v>
      </c>
      <c r="I3310" s="1077" t="s">
        <v>16449</v>
      </c>
      <c r="J3310" s="1077">
        <v>3.7</v>
      </c>
      <c r="K3310" s="1077" t="s">
        <v>16450</v>
      </c>
      <c r="L3310" s="1077" t="s">
        <v>4666</v>
      </c>
      <c r="M3310" s="1077">
        <v>295.10000000000002</v>
      </c>
      <c r="N3310" s="1077" t="s">
        <v>945</v>
      </c>
      <c r="O3310" s="1077">
        <v>7.3775000000000013</v>
      </c>
      <c r="P3310" s="1077">
        <v>5.9020000000000001</v>
      </c>
      <c r="Q3310" s="1077">
        <v>4</v>
      </c>
      <c r="R3310" s="1077">
        <v>20</v>
      </c>
      <c r="T3310" s="1077">
        <v>31</v>
      </c>
      <c r="U3310" s="1077">
        <v>3.5</v>
      </c>
      <c r="V3310" s="1077" t="s">
        <v>648</v>
      </c>
      <c r="W3310" s="1077">
        <v>100</v>
      </c>
      <c r="X3310" s="1077">
        <v>40</v>
      </c>
      <c r="Y3310" s="1077">
        <v>1</v>
      </c>
      <c r="Z3310" s="1077" t="s">
        <v>648</v>
      </c>
      <c r="AA3310" s="1077" t="s">
        <v>16268</v>
      </c>
      <c r="AH3310" s="1077" t="s">
        <v>958</v>
      </c>
      <c r="AI3310" s="1077">
        <v>95.1</v>
      </c>
      <c r="AJ3310" s="1077">
        <v>-1.27</v>
      </c>
      <c r="AK3310" s="1077">
        <v>2.4700000000000002</v>
      </c>
      <c r="AM3310" s="1078" t="s">
        <v>16633</v>
      </c>
      <c r="AN3310" s="1078" t="s">
        <v>16634</v>
      </c>
      <c r="AO3310" s="1078">
        <f t="shared" si="414"/>
        <v>600</v>
      </c>
      <c r="AP3310" s="1078">
        <f t="shared" si="415"/>
        <v>1.7649999999999999</v>
      </c>
      <c r="AQ3310" s="1078">
        <f t="shared" si="416"/>
        <v>102.5</v>
      </c>
      <c r="AR3310" s="1078" t="str">
        <f t="shared" si="417"/>
        <v>15.5</v>
      </c>
      <c r="AS3310" s="1078" t="str">
        <f t="shared" si="418"/>
        <v>495/455/OFF</v>
      </c>
      <c r="AT3310" s="1078">
        <f t="shared" si="419"/>
        <v>102.5</v>
      </c>
      <c r="AV3310" s="1078" t="str">
        <f t="shared" si="412"/>
        <v>114.12.15</v>
      </c>
      <c r="AW3310" s="1344">
        <f t="shared" si="413"/>
        <v>46006</v>
      </c>
    </row>
    <row r="3311" spans="1:49">
      <c r="A3311" s="1077" t="s">
        <v>16451</v>
      </c>
      <c r="B3311" s="1077" t="s">
        <v>836</v>
      </c>
      <c r="C3311" s="1077">
        <v>600</v>
      </c>
      <c r="D3311" s="1077">
        <v>1.78</v>
      </c>
      <c r="E3311" s="1077" t="s">
        <v>15122</v>
      </c>
      <c r="F3311" s="1077" t="s">
        <v>1469</v>
      </c>
      <c r="G3311" s="1077">
        <v>4</v>
      </c>
      <c r="H3311" s="1077" t="s">
        <v>6902</v>
      </c>
      <c r="I3311" s="1077" t="s">
        <v>6918</v>
      </c>
      <c r="K3311" s="1077" t="s">
        <v>16452</v>
      </c>
      <c r="L3311" s="1077" t="s">
        <v>7831</v>
      </c>
      <c r="M3311" s="1077">
        <v>303</v>
      </c>
      <c r="N3311" s="1077" t="s">
        <v>945</v>
      </c>
      <c r="O3311" s="1077">
        <v>7.5750000000000002</v>
      </c>
      <c r="P3311" s="1077">
        <v>6.0600000000000005</v>
      </c>
      <c r="Q3311" s="1077">
        <v>3.5</v>
      </c>
      <c r="R3311" s="1077">
        <v>24</v>
      </c>
      <c r="T3311" s="1077">
        <v>16</v>
      </c>
      <c r="U3311" s="1077">
        <v>3</v>
      </c>
      <c r="V3311" s="1077" t="s">
        <v>648</v>
      </c>
      <c r="W3311" s="1077">
        <v>90</v>
      </c>
      <c r="X3311" s="1077">
        <v>10</v>
      </c>
      <c r="Y3311" s="1077">
        <v>1.5</v>
      </c>
      <c r="Z3311" s="1077" t="s">
        <v>648</v>
      </c>
      <c r="AA3311" s="1077" t="s">
        <v>16268</v>
      </c>
      <c r="AH3311" s="1077" t="s">
        <v>483</v>
      </c>
      <c r="AI3311" s="1077">
        <v>56.89</v>
      </c>
      <c r="AJ3311" s="1077">
        <v>1.28</v>
      </c>
      <c r="AK3311" s="1077">
        <v>4.43</v>
      </c>
      <c r="AM3311" s="1078" t="s">
        <v>16092</v>
      </c>
      <c r="AN3311" s="1078" t="s">
        <v>16635</v>
      </c>
      <c r="AO3311" s="1078">
        <f t="shared" si="414"/>
        <v>600</v>
      </c>
      <c r="AP3311" s="1078">
        <f t="shared" si="415"/>
        <v>1.78</v>
      </c>
      <c r="AQ3311" s="1078" t="str">
        <f t="shared" si="416"/>
        <v>1-5-1S91°Z+S</v>
      </c>
      <c r="AR3311" s="1078" t="str">
        <f t="shared" si="417"/>
        <v>30.5</v>
      </c>
      <c r="AS3311" s="1078" t="str">
        <f t="shared" si="418"/>
        <v>310/310/190</v>
      </c>
      <c r="AT3311" s="1078" t="str">
        <f t="shared" si="419"/>
        <v>1-5-1S91°Z+S</v>
      </c>
      <c r="AV3311" s="1078" t="str">
        <f t="shared" si="412"/>
        <v>114.12.15</v>
      </c>
      <c r="AW3311" s="1344">
        <f t="shared" si="413"/>
        <v>46006</v>
      </c>
    </row>
    <row r="3312" spans="1:49">
      <c r="A3312" s="1077" t="s">
        <v>16453</v>
      </c>
      <c r="B3312" s="1077" t="s">
        <v>467</v>
      </c>
      <c r="C3312" s="1077">
        <v>650</v>
      </c>
      <c r="D3312" s="1077">
        <v>1.7949999999999999</v>
      </c>
      <c r="E3312" s="1077" t="s">
        <v>15109</v>
      </c>
      <c r="F3312" s="1077" t="s">
        <v>648</v>
      </c>
      <c r="G3312" s="1077" t="s">
        <v>6865</v>
      </c>
      <c r="H3312" s="1077" t="s">
        <v>7984</v>
      </c>
      <c r="I3312" s="1077" t="s">
        <v>6937</v>
      </c>
      <c r="J3312" s="1077">
        <v>3.7</v>
      </c>
      <c r="K3312" s="1077" t="s">
        <v>16454</v>
      </c>
      <c r="L3312" s="1077" t="s">
        <v>4666</v>
      </c>
      <c r="M3312" s="1077">
        <v>295.10000000000002</v>
      </c>
      <c r="N3312" s="1077" t="s">
        <v>945</v>
      </c>
      <c r="O3312" s="1077">
        <v>7.3775000000000013</v>
      </c>
      <c r="P3312" s="1077">
        <v>5.9020000000000001</v>
      </c>
      <c r="Q3312" s="1077">
        <v>4</v>
      </c>
      <c r="R3312" s="1077">
        <v>17.399999999999999</v>
      </c>
      <c r="T3312" s="1077">
        <v>31</v>
      </c>
      <c r="U3312" s="1077">
        <v>3.5</v>
      </c>
      <c r="V3312" s="1077" t="s">
        <v>648</v>
      </c>
      <c r="W3312" s="1077" t="s">
        <v>6880</v>
      </c>
      <c r="X3312" s="1077">
        <v>40</v>
      </c>
      <c r="Y3312" s="1077">
        <v>1</v>
      </c>
      <c r="Z3312" s="1077" t="s">
        <v>648</v>
      </c>
      <c r="AA3312" s="1077" t="s">
        <v>16281</v>
      </c>
      <c r="AH3312" s="1077" t="s">
        <v>681</v>
      </c>
      <c r="AI3312" s="1077">
        <v>94.79</v>
      </c>
      <c r="AJ3312" s="1077">
        <v>-1.06</v>
      </c>
      <c r="AK3312" s="1077">
        <v>2.61</v>
      </c>
      <c r="AM3312" s="1078" t="s">
        <v>16101</v>
      </c>
      <c r="AN3312" s="1078" t="s">
        <v>16636</v>
      </c>
      <c r="AO3312" s="1078">
        <f t="shared" si="414"/>
        <v>650</v>
      </c>
      <c r="AP3312" s="1078">
        <f t="shared" si="415"/>
        <v>1.7949999999999999</v>
      </c>
      <c r="AQ3312" s="1078" t="str">
        <f t="shared" si="416"/>
        <v>1-5-1S85°Z+S</v>
      </c>
      <c r="AR3312" s="1078" t="str">
        <f t="shared" si="417"/>
        <v>NA</v>
      </c>
      <c r="AS3312" s="1078" t="str">
        <f t="shared" si="418"/>
        <v>201/OFF</v>
      </c>
      <c r="AT3312" s="1078" t="str">
        <f t="shared" si="419"/>
        <v>1-5-1S85°Z+S</v>
      </c>
      <c r="AV3312" s="1078" t="str">
        <f t="shared" si="412"/>
        <v>114.12.18</v>
      </c>
      <c r="AW3312" s="1344">
        <f t="shared" si="413"/>
        <v>46009</v>
      </c>
    </row>
    <row r="3313" spans="1:49">
      <c r="A3313" s="1077" t="s">
        <v>16455</v>
      </c>
      <c r="B3313" s="1077" t="s">
        <v>714</v>
      </c>
      <c r="C3313" s="1077">
        <v>650</v>
      </c>
      <c r="D3313" s="1077">
        <v>1.8</v>
      </c>
      <c r="E3313" s="1077" t="s">
        <v>15109</v>
      </c>
      <c r="F3313" s="1077" t="s">
        <v>648</v>
      </c>
      <c r="G3313" s="1077" t="s">
        <v>6865</v>
      </c>
      <c r="H3313" s="1077" t="s">
        <v>7863</v>
      </c>
      <c r="I3313" s="1077" t="s">
        <v>6967</v>
      </c>
      <c r="J3313" s="1077">
        <v>3.7</v>
      </c>
      <c r="K3313" s="1077" t="s">
        <v>16456</v>
      </c>
      <c r="L3313" s="1077" t="s">
        <v>6291</v>
      </c>
      <c r="M3313" s="1077">
        <v>295.10000000000002</v>
      </c>
      <c r="N3313" s="1077" t="s">
        <v>945</v>
      </c>
      <c r="O3313" s="1077">
        <v>7.3775000000000013</v>
      </c>
      <c r="P3313" s="1077">
        <v>5.9020000000000001</v>
      </c>
      <c r="Q3313" s="1077">
        <v>4</v>
      </c>
      <c r="R3313" s="1077">
        <v>17.399999999999999</v>
      </c>
      <c r="T3313" s="1077">
        <v>31</v>
      </c>
      <c r="U3313" s="1077">
        <v>3.5</v>
      </c>
      <c r="V3313" s="1077" t="s">
        <v>648</v>
      </c>
      <c r="W3313" s="1077" t="s">
        <v>6880</v>
      </c>
      <c r="X3313" s="1077">
        <v>40</v>
      </c>
      <c r="Y3313" s="1077">
        <v>1</v>
      </c>
      <c r="Z3313" s="1077" t="s">
        <v>648</v>
      </c>
      <c r="AA3313" s="1077" t="s">
        <v>16340</v>
      </c>
      <c r="AH3313" s="1077" t="s">
        <v>647</v>
      </c>
      <c r="AI3313" s="1077">
        <v>91.34</v>
      </c>
      <c r="AJ3313" s="1077">
        <v>-0.52</v>
      </c>
      <c r="AK3313" s="1077">
        <v>1.77</v>
      </c>
      <c r="AM3313" s="1078" t="s">
        <v>16110</v>
      </c>
      <c r="AN3313" s="1078" t="s">
        <v>16637</v>
      </c>
      <c r="AO3313" s="1078">
        <f t="shared" si="414"/>
        <v>650</v>
      </c>
      <c r="AP3313" s="1078">
        <f t="shared" si="415"/>
        <v>1.8</v>
      </c>
      <c r="AQ3313" s="1078" t="str">
        <f t="shared" si="416"/>
        <v>1-5-1S85°Z+S</v>
      </c>
      <c r="AR3313" s="1078" t="str">
        <f t="shared" si="417"/>
        <v>NA</v>
      </c>
      <c r="AS3313" s="1078" t="str">
        <f t="shared" si="418"/>
        <v>204/OFF</v>
      </c>
      <c r="AT3313" s="1078" t="str">
        <f t="shared" si="419"/>
        <v>1-5-1S85°Z+S</v>
      </c>
      <c r="AV3313" s="1078" t="str">
        <f t="shared" si="412"/>
        <v>114.12.29</v>
      </c>
      <c r="AW3313" s="1344">
        <f t="shared" si="413"/>
        <v>46020</v>
      </c>
    </row>
    <row r="3314" spans="1:49">
      <c r="A3314" s="1077" t="s">
        <v>8056</v>
      </c>
      <c r="B3314" s="1077" t="s">
        <v>8057</v>
      </c>
      <c r="C3314" s="1077">
        <v>600</v>
      </c>
      <c r="D3314" s="1077">
        <v>1.8</v>
      </c>
      <c r="E3314" s="1077" t="s">
        <v>15116</v>
      </c>
      <c r="F3314" s="1077" t="s">
        <v>2234</v>
      </c>
      <c r="G3314" s="1077">
        <v>5</v>
      </c>
      <c r="H3314" s="1077" t="s">
        <v>6952</v>
      </c>
      <c r="I3314" s="1077" t="s">
        <v>7150</v>
      </c>
      <c r="K3314" s="1077" t="s">
        <v>8058</v>
      </c>
      <c r="L3314" s="1077" t="s">
        <v>8059</v>
      </c>
      <c r="M3314" s="1077">
        <v>303</v>
      </c>
      <c r="N3314" s="1077" t="s">
        <v>945</v>
      </c>
      <c r="O3314" s="1077">
        <v>7.5750000000000002</v>
      </c>
      <c r="P3314" s="1077">
        <v>6.0600000000000005</v>
      </c>
      <c r="Q3314" s="1077">
        <v>3.5</v>
      </c>
      <c r="R3314" s="1077">
        <v>21</v>
      </c>
      <c r="T3314" s="1077">
        <v>24</v>
      </c>
      <c r="U3314" s="1077">
        <v>3.4</v>
      </c>
      <c r="V3314" s="1077" t="s">
        <v>648</v>
      </c>
      <c r="W3314" s="1077">
        <v>115</v>
      </c>
      <c r="X3314" s="1077">
        <v>85</v>
      </c>
      <c r="Y3314" s="1077">
        <v>1.2</v>
      </c>
      <c r="Z3314" s="1077" t="s">
        <v>648</v>
      </c>
      <c r="AA3314" s="1077" t="s">
        <v>8040</v>
      </c>
      <c r="AH3314" s="1077" t="s">
        <v>958</v>
      </c>
      <c r="AM3314" s="1078" t="s">
        <v>14200</v>
      </c>
      <c r="AN3314" s="1078" t="s">
        <v>16638</v>
      </c>
      <c r="AO3314" s="1078">
        <f t="shared" si="414"/>
        <v>600</v>
      </c>
      <c r="AP3314" s="1078">
        <f t="shared" si="415"/>
        <v>1.8</v>
      </c>
      <c r="AQ3314" s="1078" t="str">
        <f t="shared" si="416"/>
        <v>1-5-1S83°Z+S</v>
      </c>
      <c r="AR3314" s="1078" t="str">
        <f t="shared" si="417"/>
        <v>33.5</v>
      </c>
      <c r="AS3314" s="1078" t="str">
        <f t="shared" si="418"/>
        <v>340/340/140</v>
      </c>
      <c r="AT3314" s="1078" t="str">
        <f t="shared" si="419"/>
        <v>1-5-1S83°Z+S</v>
      </c>
      <c r="AV3314" s="1078" t="str">
        <f t="shared" si="412"/>
        <v>111.5.17</v>
      </c>
      <c r="AW3314" s="1344">
        <f t="shared" si="413"/>
        <v>44698</v>
      </c>
    </row>
    <row r="3315" spans="1:49">
      <c r="A3315" s="1077" t="s">
        <v>8060</v>
      </c>
      <c r="B3315" s="1077" t="s">
        <v>7068</v>
      </c>
      <c r="C3315" s="1077">
        <v>500</v>
      </c>
      <c r="D3315" s="1077">
        <v>1.79</v>
      </c>
      <c r="E3315" s="1077" t="s">
        <v>15112</v>
      </c>
      <c r="F3315" s="1077" t="s">
        <v>975</v>
      </c>
      <c r="G3315" s="1077">
        <v>5</v>
      </c>
      <c r="H3315" s="1077" t="s">
        <v>2876</v>
      </c>
      <c r="I3315" s="1077" t="s">
        <v>6909</v>
      </c>
      <c r="K3315" s="1077" t="s">
        <v>8061</v>
      </c>
      <c r="L3315" s="1077" t="s">
        <v>5037</v>
      </c>
      <c r="M3315" s="1077">
        <v>293.2</v>
      </c>
      <c r="N3315" s="1077" t="s">
        <v>945</v>
      </c>
      <c r="O3315" s="1077">
        <v>7.33</v>
      </c>
      <c r="P3315" s="1077">
        <v>5.8639999999999999</v>
      </c>
      <c r="Q3315" s="1077">
        <v>3.5</v>
      </c>
      <c r="R3315" s="1077">
        <v>21</v>
      </c>
      <c r="T3315" s="1077">
        <v>25</v>
      </c>
      <c r="U3315" s="1077">
        <v>4.2</v>
      </c>
      <c r="V3315" s="1077" t="s">
        <v>648</v>
      </c>
      <c r="W3315" s="1077">
        <v>110</v>
      </c>
      <c r="X3315" s="1077">
        <v>20</v>
      </c>
      <c r="Y3315" s="1077">
        <v>1.6</v>
      </c>
      <c r="Z3315" s="1077" t="s">
        <v>648</v>
      </c>
      <c r="AA3315" s="1077" t="s">
        <v>1497</v>
      </c>
      <c r="AH3315" s="1077" t="s">
        <v>618</v>
      </c>
      <c r="AM3315" s="1078" t="s">
        <v>14201</v>
      </c>
      <c r="AN3315" s="1078" t="s">
        <v>16639</v>
      </c>
      <c r="AO3315" s="1078">
        <f t="shared" si="414"/>
        <v>500</v>
      </c>
      <c r="AP3315" s="1078">
        <f t="shared" si="415"/>
        <v>1.79</v>
      </c>
      <c r="AQ3315" s="1078" t="str">
        <f t="shared" si="416"/>
        <v>1-5-1S87°Z+S</v>
      </c>
      <c r="AR3315" s="1078" t="str">
        <f t="shared" si="417"/>
        <v>31.5</v>
      </c>
      <c r="AS3315" s="1078" t="str">
        <f t="shared" si="418"/>
        <v>290/290/OFF</v>
      </c>
      <c r="AT3315" s="1078" t="str">
        <f t="shared" si="419"/>
        <v>1-5-1S87°Z+S</v>
      </c>
      <c r="AV3315" s="1078" t="str">
        <f t="shared" si="412"/>
        <v>111.5.31</v>
      </c>
      <c r="AW3315" s="1344">
        <f t="shared" si="413"/>
        <v>44712</v>
      </c>
    </row>
    <row r="3316" spans="1:49">
      <c r="A3316" s="1077" t="s">
        <v>8062</v>
      </c>
      <c r="B3316" s="1077" t="s">
        <v>775</v>
      </c>
      <c r="C3316" s="1077">
        <v>600</v>
      </c>
      <c r="D3316" s="1077">
        <v>1.8</v>
      </c>
      <c r="E3316" s="1077" t="s">
        <v>15116</v>
      </c>
      <c r="F3316" s="1077" t="s">
        <v>2234</v>
      </c>
      <c r="G3316" s="1077">
        <v>4</v>
      </c>
      <c r="H3316" s="1077" t="s">
        <v>6902</v>
      </c>
      <c r="I3316" s="1077" t="s">
        <v>6903</v>
      </c>
      <c r="K3316" s="1077" t="s">
        <v>8063</v>
      </c>
      <c r="L3316" s="1077" t="s">
        <v>6933</v>
      </c>
      <c r="M3316" s="1077">
        <v>302</v>
      </c>
      <c r="N3316" s="1077" t="s">
        <v>945</v>
      </c>
      <c r="O3316" s="1077">
        <v>7.5500000000000007</v>
      </c>
      <c r="P3316" s="1077">
        <v>6.04</v>
      </c>
      <c r="Q3316" s="1077">
        <v>3.5</v>
      </c>
      <c r="R3316" s="1077">
        <v>27.3</v>
      </c>
      <c r="T3316" s="1077">
        <v>13.3</v>
      </c>
      <c r="U3316" s="1077">
        <v>2.2999999999999998</v>
      </c>
      <c r="V3316" s="1077" t="s">
        <v>648</v>
      </c>
      <c r="W3316" s="1077" t="s">
        <v>4947</v>
      </c>
      <c r="X3316" s="1077">
        <v>10</v>
      </c>
      <c r="Y3316" s="1077">
        <v>1.6</v>
      </c>
      <c r="Z3316" s="1077" t="s">
        <v>648</v>
      </c>
      <c r="AA3316" s="1077" t="s">
        <v>1497</v>
      </c>
      <c r="AH3316" s="1077" t="s">
        <v>680</v>
      </c>
      <c r="AM3316" s="1078" t="s">
        <v>14203</v>
      </c>
      <c r="AN3316" s="1078" t="s">
        <v>16640</v>
      </c>
      <c r="AO3316" s="1078">
        <f t="shared" si="414"/>
        <v>600</v>
      </c>
      <c r="AP3316" s="1078">
        <f t="shared" si="415"/>
        <v>1.8</v>
      </c>
      <c r="AQ3316" s="1078" t="str">
        <f t="shared" si="416"/>
        <v>1-5-1S83°Z+S</v>
      </c>
      <c r="AR3316" s="1078" t="str">
        <f t="shared" si="417"/>
        <v>33.5</v>
      </c>
      <c r="AS3316" s="1078" t="str">
        <f t="shared" si="418"/>
        <v>310/310/190</v>
      </c>
      <c r="AT3316" s="1078" t="str">
        <f t="shared" si="419"/>
        <v>1-5-1S83°Z+S</v>
      </c>
      <c r="AV3316" s="1078" t="str">
        <f t="shared" si="412"/>
        <v>111.5.31</v>
      </c>
      <c r="AW3316" s="1344">
        <f t="shared" si="413"/>
        <v>44712</v>
      </c>
    </row>
    <row r="3317" spans="1:49">
      <c r="A3317" s="1077" t="s">
        <v>8064</v>
      </c>
      <c r="B3317" s="1077" t="s">
        <v>7080</v>
      </c>
      <c r="C3317" s="1077">
        <v>600</v>
      </c>
      <c r="D3317" s="1077">
        <v>1.8</v>
      </c>
      <c r="E3317" s="1077" t="s">
        <v>15116</v>
      </c>
      <c r="F3317" s="1077" t="s">
        <v>2234</v>
      </c>
      <c r="G3317" s="1077">
        <v>3.5</v>
      </c>
      <c r="H3317" s="1077" t="s">
        <v>6952</v>
      </c>
      <c r="I3317" s="1077" t="s">
        <v>6953</v>
      </c>
      <c r="K3317" s="1077" t="s">
        <v>7081</v>
      </c>
      <c r="L3317" s="1077" t="s">
        <v>7082</v>
      </c>
      <c r="M3317" s="1077">
        <v>303</v>
      </c>
      <c r="N3317" s="1077" t="s">
        <v>945</v>
      </c>
      <c r="O3317" s="1077">
        <v>7.5750000000000002</v>
      </c>
      <c r="P3317" s="1077">
        <v>6.0600000000000005</v>
      </c>
      <c r="Q3317" s="1077">
        <v>3.5</v>
      </c>
      <c r="R3317" s="1077">
        <v>22</v>
      </c>
      <c r="T3317" s="1077">
        <v>23</v>
      </c>
      <c r="U3317" s="1077">
        <v>3.2</v>
      </c>
      <c r="V3317" s="1077" t="s">
        <v>648</v>
      </c>
      <c r="W3317" s="1077">
        <v>115</v>
      </c>
      <c r="X3317" s="1077">
        <v>85</v>
      </c>
      <c r="Y3317" s="1077">
        <v>1.2</v>
      </c>
      <c r="Z3317" s="1077" t="s">
        <v>648</v>
      </c>
      <c r="AA3317" s="1077" t="s">
        <v>1497</v>
      </c>
      <c r="AH3317" s="1077" t="s">
        <v>468</v>
      </c>
      <c r="AM3317" s="1078" t="s">
        <v>14205</v>
      </c>
      <c r="AN3317" s="1078" t="s">
        <v>16641</v>
      </c>
      <c r="AO3317" s="1078">
        <f t="shared" si="414"/>
        <v>600</v>
      </c>
      <c r="AP3317" s="1078">
        <f t="shared" si="415"/>
        <v>1.8</v>
      </c>
      <c r="AQ3317" s="1078" t="str">
        <f t="shared" si="416"/>
        <v>1-5-1S83°Z+S</v>
      </c>
      <c r="AR3317" s="1078" t="str">
        <f t="shared" si="417"/>
        <v>33.5</v>
      </c>
      <c r="AS3317" s="1078" t="str">
        <f t="shared" si="418"/>
        <v>340/340/140</v>
      </c>
      <c r="AT3317" s="1078" t="str">
        <f t="shared" si="419"/>
        <v>1-5-1S83°Z+S</v>
      </c>
      <c r="AV3317" s="1078" t="str">
        <f t="shared" si="412"/>
        <v>111.5.31</v>
      </c>
      <c r="AW3317" s="1344">
        <f t="shared" si="413"/>
        <v>44712</v>
      </c>
    </row>
    <row r="3318" spans="1:49">
      <c r="A3318" s="1077" t="s">
        <v>8065</v>
      </c>
      <c r="B3318" s="1077" t="s">
        <v>7068</v>
      </c>
      <c r="C3318" s="1077">
        <v>500</v>
      </c>
      <c r="D3318" s="1077">
        <v>1.79</v>
      </c>
      <c r="E3318" s="1077" t="s">
        <v>15112</v>
      </c>
      <c r="F3318" s="1077" t="s">
        <v>975</v>
      </c>
      <c r="G3318" s="1077">
        <v>5</v>
      </c>
      <c r="H3318" s="1077" t="s">
        <v>2876</v>
      </c>
      <c r="I3318" s="1077" t="s">
        <v>6909</v>
      </c>
      <c r="K3318" s="1077" t="s">
        <v>8066</v>
      </c>
      <c r="L3318" s="1077" t="s">
        <v>5037</v>
      </c>
      <c r="M3318" s="1077">
        <v>293.2</v>
      </c>
      <c r="N3318" s="1077" t="s">
        <v>945</v>
      </c>
      <c r="O3318" s="1077">
        <v>7.33</v>
      </c>
      <c r="P3318" s="1077">
        <v>5.8639999999999999</v>
      </c>
      <c r="Q3318" s="1077">
        <v>3.5</v>
      </c>
      <c r="R3318" s="1077">
        <v>21</v>
      </c>
      <c r="T3318" s="1077">
        <v>25</v>
      </c>
      <c r="U3318" s="1077">
        <v>4.2</v>
      </c>
      <c r="V3318" s="1077" t="s">
        <v>648</v>
      </c>
      <c r="W3318" s="1077">
        <v>110</v>
      </c>
      <c r="X3318" s="1077">
        <v>20</v>
      </c>
      <c r="Y3318" s="1077">
        <v>1.6</v>
      </c>
      <c r="Z3318" s="1077" t="s">
        <v>648</v>
      </c>
      <c r="AA3318" s="1077" t="s">
        <v>8067</v>
      </c>
      <c r="AH3318" s="1077" t="s">
        <v>762</v>
      </c>
      <c r="AM3318" s="1078" t="s">
        <v>14207</v>
      </c>
      <c r="AN3318" s="1078" t="s">
        <v>16642</v>
      </c>
      <c r="AO3318" s="1078">
        <f t="shared" si="414"/>
        <v>500</v>
      </c>
      <c r="AP3318" s="1078">
        <f t="shared" si="415"/>
        <v>1.79</v>
      </c>
      <c r="AQ3318" s="1078" t="str">
        <f t="shared" si="416"/>
        <v>1-5-1S87°Z+S</v>
      </c>
      <c r="AR3318" s="1078" t="str">
        <f t="shared" si="417"/>
        <v>31.5</v>
      </c>
      <c r="AS3318" s="1078" t="str">
        <f t="shared" si="418"/>
        <v>290/290/OFF</v>
      </c>
      <c r="AT3318" s="1078" t="str">
        <f t="shared" si="419"/>
        <v>1-5-1S87°Z+S</v>
      </c>
      <c r="AV3318" s="1078" t="str">
        <f t="shared" si="412"/>
        <v>111.6.2</v>
      </c>
      <c r="AW3318" s="1344">
        <f t="shared" si="413"/>
        <v>44714</v>
      </c>
    </row>
    <row r="3319" spans="1:49">
      <c r="A3319" s="1077" t="s">
        <v>8068</v>
      </c>
      <c r="B3319" s="1077" t="s">
        <v>7593</v>
      </c>
      <c r="C3319" s="1077">
        <v>500</v>
      </c>
      <c r="D3319" s="1077">
        <v>1.75</v>
      </c>
      <c r="E3319" s="1077">
        <v>102.5</v>
      </c>
      <c r="F3319" s="1077" t="s">
        <v>4070</v>
      </c>
      <c r="G3319" s="1077" t="s">
        <v>6865</v>
      </c>
      <c r="H3319" s="1077" t="s">
        <v>8028</v>
      </c>
      <c r="I3319" s="1077" t="s">
        <v>6988</v>
      </c>
      <c r="J3319" s="1077">
        <v>3.7</v>
      </c>
      <c r="K3319" s="1077" t="s">
        <v>8069</v>
      </c>
      <c r="L3319" s="1077" t="s">
        <v>5152</v>
      </c>
      <c r="M3319" s="1077">
        <v>300.8</v>
      </c>
      <c r="N3319" s="1077" t="s">
        <v>945</v>
      </c>
      <c r="O3319" s="1077">
        <v>7.5200000000000005</v>
      </c>
      <c r="P3319" s="1077">
        <v>6.016</v>
      </c>
      <c r="Q3319" s="1077">
        <v>4</v>
      </c>
      <c r="R3319" s="1077">
        <v>17</v>
      </c>
      <c r="T3319" s="1077">
        <v>31.4</v>
      </c>
      <c r="U3319" s="1077">
        <v>3.6</v>
      </c>
      <c r="V3319" s="1077" t="s">
        <v>648</v>
      </c>
      <c r="W3319" s="1077">
        <v>65</v>
      </c>
      <c r="X3319" s="1077">
        <v>10</v>
      </c>
      <c r="Y3319" s="1077">
        <v>1.5</v>
      </c>
      <c r="Z3319" s="1077" t="s">
        <v>648</v>
      </c>
      <c r="AA3319" s="1077" t="s">
        <v>2218</v>
      </c>
      <c r="AH3319" s="1077" t="s">
        <v>1643</v>
      </c>
      <c r="AM3319" s="1078" t="s">
        <v>14209</v>
      </c>
      <c r="AN3319" s="1078" t="s">
        <v>16643</v>
      </c>
      <c r="AO3319" s="1078">
        <f t="shared" si="414"/>
        <v>500</v>
      </c>
      <c r="AP3319" s="1078">
        <f t="shared" si="415"/>
        <v>1.75</v>
      </c>
      <c r="AQ3319" s="1078">
        <f t="shared" si="416"/>
        <v>102.5</v>
      </c>
      <c r="AR3319" s="1078" t="str">
        <f t="shared" si="417"/>
        <v>15.5</v>
      </c>
      <c r="AS3319" s="1078" t="str">
        <f t="shared" si="418"/>
        <v>460/420/OFF</v>
      </c>
      <c r="AT3319" s="1078">
        <f t="shared" si="419"/>
        <v>102.5</v>
      </c>
      <c r="AV3319" s="1078" t="str">
        <f t="shared" si="412"/>
        <v>111.6.6</v>
      </c>
      <c r="AW3319" s="1344">
        <f t="shared" si="413"/>
        <v>44718</v>
      </c>
    </row>
    <row r="3320" spans="1:49">
      <c r="A3320" s="1077" t="s">
        <v>8070</v>
      </c>
      <c r="B3320" s="1077" t="s">
        <v>7763</v>
      </c>
      <c r="C3320" s="1077">
        <v>600</v>
      </c>
      <c r="D3320" s="1077">
        <v>1.76</v>
      </c>
      <c r="E3320" s="1077" t="s">
        <v>15116</v>
      </c>
      <c r="F3320" s="1077" t="s">
        <v>2234</v>
      </c>
      <c r="G3320" s="1077">
        <v>5</v>
      </c>
      <c r="H3320" s="1077" t="s">
        <v>6952</v>
      </c>
      <c r="I3320" s="1077" t="s">
        <v>7150</v>
      </c>
      <c r="J3320" s="1077">
        <v>3</v>
      </c>
      <c r="K3320" s="1077" t="s">
        <v>8071</v>
      </c>
      <c r="L3320" s="1077" t="s">
        <v>7765</v>
      </c>
      <c r="M3320" s="1077">
        <v>310</v>
      </c>
      <c r="N3320" s="1077" t="s">
        <v>945</v>
      </c>
      <c r="O3320" s="1077">
        <v>7.75</v>
      </c>
      <c r="P3320" s="1077">
        <v>6.2</v>
      </c>
      <c r="Q3320" s="1077">
        <v>3.5</v>
      </c>
      <c r="R3320" s="1077">
        <v>22</v>
      </c>
      <c r="T3320" s="1077">
        <v>22</v>
      </c>
      <c r="U3320" s="1077">
        <v>3.5</v>
      </c>
      <c r="V3320" s="1077" t="s">
        <v>648</v>
      </c>
      <c r="W3320" s="1077">
        <v>110</v>
      </c>
      <c r="X3320" s="1077">
        <v>85</v>
      </c>
      <c r="Y3320" s="1077">
        <v>1</v>
      </c>
      <c r="Z3320" s="1077" t="s">
        <v>648</v>
      </c>
      <c r="AA3320" s="1077" t="s">
        <v>8072</v>
      </c>
      <c r="AH3320" s="1077" t="s">
        <v>889</v>
      </c>
      <c r="AM3320" s="1078" t="s">
        <v>14211</v>
      </c>
      <c r="AN3320" s="1078" t="s">
        <v>16644</v>
      </c>
      <c r="AO3320" s="1078">
        <f t="shared" si="414"/>
        <v>600</v>
      </c>
      <c r="AP3320" s="1078">
        <f t="shared" si="415"/>
        <v>1.76</v>
      </c>
      <c r="AQ3320" s="1078" t="str">
        <f t="shared" si="416"/>
        <v>1-5-1S83°Z+S</v>
      </c>
      <c r="AR3320" s="1078" t="str">
        <f t="shared" si="417"/>
        <v>33.5</v>
      </c>
      <c r="AS3320" s="1078" t="str">
        <f t="shared" si="418"/>
        <v>340/340/140</v>
      </c>
      <c r="AT3320" s="1078" t="str">
        <f t="shared" si="419"/>
        <v>1-5-1S83°Z+S</v>
      </c>
      <c r="AV3320" s="1078" t="str">
        <f t="shared" si="412"/>
        <v>111.6.7</v>
      </c>
      <c r="AW3320" s="1344">
        <f t="shared" si="413"/>
        <v>44719</v>
      </c>
    </row>
    <row r="3321" spans="1:49">
      <c r="A3321" s="1077" t="s">
        <v>8073</v>
      </c>
      <c r="B3321" s="1077" t="s">
        <v>7894</v>
      </c>
      <c r="C3321" s="1077">
        <v>500</v>
      </c>
      <c r="D3321" s="1077">
        <v>1.79</v>
      </c>
      <c r="E3321" s="1077" t="s">
        <v>15116</v>
      </c>
      <c r="F3321" s="1077" t="s">
        <v>2234</v>
      </c>
      <c r="G3321" s="1077">
        <v>5</v>
      </c>
      <c r="H3321" s="1077" t="s">
        <v>1806</v>
      </c>
      <c r="I3321" s="1077" t="s">
        <v>7095</v>
      </c>
      <c r="J3321" s="1077">
        <v>3</v>
      </c>
      <c r="K3321" s="1077" t="s">
        <v>8074</v>
      </c>
      <c r="L3321" s="1077" t="s">
        <v>7896</v>
      </c>
      <c r="M3321" s="1077">
        <v>300.8</v>
      </c>
      <c r="N3321" s="1077" t="s">
        <v>945</v>
      </c>
      <c r="O3321" s="1077">
        <v>7.5200000000000005</v>
      </c>
      <c r="P3321" s="1077">
        <v>6.016</v>
      </c>
      <c r="Q3321" s="1077">
        <v>3.5</v>
      </c>
      <c r="R3321" s="1077">
        <v>21</v>
      </c>
      <c r="T3321" s="1077">
        <v>25</v>
      </c>
      <c r="U3321" s="1077">
        <v>4.2</v>
      </c>
      <c r="V3321" s="1077" t="s">
        <v>648</v>
      </c>
      <c r="W3321" s="1077">
        <v>110</v>
      </c>
      <c r="X3321" s="1077">
        <v>20</v>
      </c>
      <c r="Y3321" s="1077">
        <v>1.2</v>
      </c>
      <c r="Z3321" s="1077" t="s">
        <v>648</v>
      </c>
      <c r="AA3321" s="1077" t="s">
        <v>2221</v>
      </c>
      <c r="AH3321" s="1077" t="s">
        <v>456</v>
      </c>
      <c r="AM3321" s="1078" t="s">
        <v>14213</v>
      </c>
      <c r="AN3321" s="1078" t="s">
        <v>16645</v>
      </c>
      <c r="AO3321" s="1078">
        <f t="shared" si="414"/>
        <v>500</v>
      </c>
      <c r="AP3321" s="1078">
        <f t="shared" si="415"/>
        <v>1.79</v>
      </c>
      <c r="AQ3321" s="1078" t="str">
        <f t="shared" si="416"/>
        <v>1-5-1S83°Z+S</v>
      </c>
      <c r="AR3321" s="1078" t="str">
        <f t="shared" si="417"/>
        <v>33.5</v>
      </c>
      <c r="AS3321" s="1078" t="str">
        <f t="shared" si="418"/>
        <v>280/280/OFF</v>
      </c>
      <c r="AT3321" s="1078" t="str">
        <f t="shared" si="419"/>
        <v>1-5-1S83°Z+S</v>
      </c>
      <c r="AV3321" s="1078" t="str">
        <f t="shared" si="412"/>
        <v>111.6.9</v>
      </c>
      <c r="AW3321" s="1344">
        <f t="shared" si="413"/>
        <v>44721</v>
      </c>
    </row>
    <row r="3322" spans="1:49">
      <c r="A3322" s="1077" t="s">
        <v>8075</v>
      </c>
      <c r="B3322" s="1077" t="s">
        <v>714</v>
      </c>
      <c r="C3322" s="1077">
        <v>550</v>
      </c>
      <c r="D3322" s="1077">
        <v>1.7669999999999999</v>
      </c>
      <c r="E3322" s="1077" t="s">
        <v>15121</v>
      </c>
      <c r="F3322" s="1077" t="s">
        <v>648</v>
      </c>
      <c r="G3322" s="1077">
        <v>5</v>
      </c>
      <c r="H3322" s="1077" t="s">
        <v>8076</v>
      </c>
      <c r="I3322" s="1077" t="s">
        <v>8077</v>
      </c>
      <c r="J3322" s="1077">
        <v>3.7</v>
      </c>
      <c r="K3322" s="1077" t="s">
        <v>8031</v>
      </c>
      <c r="L3322" s="1077" t="s">
        <v>4666</v>
      </c>
      <c r="M3322" s="1077">
        <v>298.8</v>
      </c>
      <c r="N3322" s="1077" t="s">
        <v>945</v>
      </c>
      <c r="O3322" s="1077">
        <v>7.4700000000000006</v>
      </c>
      <c r="P3322" s="1077">
        <v>5.976</v>
      </c>
      <c r="Q3322" s="1077">
        <v>4</v>
      </c>
      <c r="R3322" s="1077">
        <v>20.5</v>
      </c>
      <c r="T3322" s="1077">
        <v>21</v>
      </c>
      <c r="U3322" s="1077">
        <v>3.5</v>
      </c>
      <c r="V3322" s="1077" t="s">
        <v>648</v>
      </c>
      <c r="W3322" s="1077">
        <v>30</v>
      </c>
      <c r="X3322" s="1077">
        <v>10</v>
      </c>
      <c r="Y3322" s="1077">
        <v>1.2</v>
      </c>
      <c r="Z3322" s="1077" t="s">
        <v>648</v>
      </c>
      <c r="AA3322" s="1077" t="s">
        <v>5633</v>
      </c>
      <c r="AH3322" s="1077" t="s">
        <v>803</v>
      </c>
      <c r="AM3322" s="1078" t="s">
        <v>14214</v>
      </c>
      <c r="AN3322" s="1078" t="s">
        <v>16646</v>
      </c>
      <c r="AO3322" s="1078">
        <f t="shared" si="414"/>
        <v>550</v>
      </c>
      <c r="AP3322" s="1078">
        <f t="shared" si="415"/>
        <v>1.7669999999999999</v>
      </c>
      <c r="AQ3322" s="1078" t="str">
        <f t="shared" si="416"/>
        <v>1-5-1S85°S+Z</v>
      </c>
      <c r="AR3322" s="1078" t="str">
        <f t="shared" si="417"/>
        <v>NA</v>
      </c>
      <c r="AS3322" s="1078" t="str">
        <f t="shared" si="418"/>
        <v>172/165</v>
      </c>
      <c r="AT3322" s="1078" t="str">
        <f t="shared" si="419"/>
        <v>1-5-1S85°S+Z</v>
      </c>
      <c r="AV3322" s="1078" t="str">
        <f t="shared" si="412"/>
        <v>111.6.13</v>
      </c>
      <c r="AW3322" s="1344">
        <f t="shared" si="413"/>
        <v>44725</v>
      </c>
    </row>
    <row r="3323" spans="1:49">
      <c r="A3323" s="1077" t="s">
        <v>8078</v>
      </c>
      <c r="B3323" s="1077" t="s">
        <v>8043</v>
      </c>
      <c r="C3323" s="1077">
        <v>550</v>
      </c>
      <c r="D3323" s="1077">
        <v>1.83</v>
      </c>
      <c r="E3323" s="1077" t="s">
        <v>15122</v>
      </c>
      <c r="F3323" s="1077" t="s">
        <v>2234</v>
      </c>
      <c r="G3323" s="1077">
        <v>5</v>
      </c>
      <c r="H3323" s="1077" t="s">
        <v>2708</v>
      </c>
      <c r="I3323" s="1077" t="s">
        <v>7647</v>
      </c>
      <c r="J3323" s="1077">
        <v>3.2</v>
      </c>
      <c r="K3323" s="1077" t="s">
        <v>8079</v>
      </c>
      <c r="L3323" s="1077" t="s">
        <v>5556</v>
      </c>
      <c r="M3323" s="1077">
        <v>293</v>
      </c>
      <c r="N3323" s="1077" t="s">
        <v>945</v>
      </c>
      <c r="O3323" s="1077">
        <v>7.3250000000000002</v>
      </c>
      <c r="P3323" s="1077">
        <v>5.86</v>
      </c>
      <c r="Q3323" s="1077">
        <v>4</v>
      </c>
      <c r="R3323" s="1077">
        <v>23.4</v>
      </c>
      <c r="T3323" s="1077">
        <v>27</v>
      </c>
      <c r="U3323" s="1077">
        <v>3.5</v>
      </c>
      <c r="V3323" s="1077" t="s">
        <v>648</v>
      </c>
      <c r="W3323" s="1077">
        <v>60</v>
      </c>
      <c r="X3323" s="1077">
        <v>10</v>
      </c>
      <c r="Y3323" s="1077">
        <v>1.2</v>
      </c>
      <c r="Z3323" s="1077" t="s">
        <v>648</v>
      </c>
      <c r="AA3323" s="1077" t="s">
        <v>5628</v>
      </c>
      <c r="AH3323" s="1077" t="s">
        <v>622</v>
      </c>
      <c r="AM3323" s="1078" t="s">
        <v>14216</v>
      </c>
      <c r="AN3323" s="1078" t="s">
        <v>16647</v>
      </c>
      <c r="AO3323" s="1078">
        <f t="shared" si="414"/>
        <v>550</v>
      </c>
      <c r="AP3323" s="1078">
        <f t="shared" si="415"/>
        <v>1.83</v>
      </c>
      <c r="AQ3323" s="1078" t="str">
        <f t="shared" si="416"/>
        <v>1-5-1S91°Z+S</v>
      </c>
      <c r="AR3323" s="1078" t="str">
        <f t="shared" si="417"/>
        <v>33.5</v>
      </c>
      <c r="AS3323" s="1078" t="str">
        <f t="shared" si="418"/>
        <v>295/295/OFF</v>
      </c>
      <c r="AT3323" s="1078" t="str">
        <f t="shared" si="419"/>
        <v>1-5-1S91°Z+S</v>
      </c>
      <c r="AV3323" s="1078" t="str">
        <f t="shared" si="412"/>
        <v>111.6.15</v>
      </c>
      <c r="AW3323" s="1344">
        <f t="shared" si="413"/>
        <v>44727</v>
      </c>
    </row>
    <row r="3324" spans="1:49">
      <c r="A3324" s="1077" t="s">
        <v>16457</v>
      </c>
      <c r="B3324" s="1077" t="s">
        <v>663</v>
      </c>
      <c r="C3324" s="1077">
        <v>600</v>
      </c>
      <c r="D3324" s="1077">
        <v>1.84</v>
      </c>
      <c r="E3324" s="1077" t="s">
        <v>15109</v>
      </c>
      <c r="F3324" s="1077" t="s">
        <v>648</v>
      </c>
      <c r="G3324" s="1077">
        <v>5.5</v>
      </c>
      <c r="H3324" s="1077" t="s">
        <v>3764</v>
      </c>
      <c r="I3324" s="1077" t="s">
        <v>7913</v>
      </c>
      <c r="K3324" s="1077" t="s">
        <v>16458</v>
      </c>
      <c r="L3324" s="1077" t="s">
        <v>6238</v>
      </c>
      <c r="M3324" s="1077">
        <v>296</v>
      </c>
      <c r="N3324" s="1077" t="s">
        <v>945</v>
      </c>
      <c r="O3324" s="1077">
        <v>7.4</v>
      </c>
      <c r="P3324" s="1077">
        <v>5.92</v>
      </c>
      <c r="Q3324" s="1077">
        <v>3</v>
      </c>
      <c r="R3324" s="1077">
        <v>17</v>
      </c>
      <c r="T3324" s="1077">
        <v>10.5</v>
      </c>
      <c r="U3324" s="1077">
        <v>6.1</v>
      </c>
      <c r="V3324" s="1077" t="s">
        <v>648</v>
      </c>
      <c r="W3324" s="1077">
        <v>110</v>
      </c>
      <c r="X3324" s="1077">
        <v>90</v>
      </c>
      <c r="Y3324" s="1077">
        <v>1.1000000000000001</v>
      </c>
      <c r="Z3324" s="1077" t="s">
        <v>648</v>
      </c>
      <c r="AA3324" s="1077" t="s">
        <v>16214</v>
      </c>
      <c r="AB3324" s="1077" t="s">
        <v>16459</v>
      </c>
      <c r="AH3324" s="1077" t="s">
        <v>646</v>
      </c>
      <c r="AI3324" s="1077">
        <v>91.81</v>
      </c>
      <c r="AJ3324" s="1077">
        <v>-1.58</v>
      </c>
      <c r="AK3324" s="1077">
        <v>6.27</v>
      </c>
      <c r="AM3324" s="1078" t="s">
        <v>16109</v>
      </c>
      <c r="AN3324" s="1078" t="s">
        <v>16648</v>
      </c>
      <c r="AO3324" s="1078">
        <f t="shared" si="414"/>
        <v>600</v>
      </c>
      <c r="AP3324" s="1078">
        <f t="shared" si="415"/>
        <v>1.84</v>
      </c>
      <c r="AQ3324" s="1078" t="str">
        <f t="shared" si="416"/>
        <v>1-5-1S85°Z+S</v>
      </c>
      <c r="AR3324" s="1078" t="str">
        <f t="shared" si="417"/>
        <v>NA</v>
      </c>
      <c r="AS3324" s="1078" t="str">
        <f t="shared" si="418"/>
        <v>167/160</v>
      </c>
      <c r="AT3324" s="1078" t="str">
        <f t="shared" si="419"/>
        <v>1-5-1S85°Z+S</v>
      </c>
      <c r="AV3324" s="1078" t="str">
        <f t="shared" si="412"/>
        <v>114.12.26</v>
      </c>
      <c r="AW3324" s="1344">
        <f t="shared" si="413"/>
        <v>46017</v>
      </c>
    </row>
    <row r="3325" spans="1:49">
      <c r="A3325" s="1077" t="s">
        <v>16460</v>
      </c>
      <c r="B3325" s="1077" t="s">
        <v>7261</v>
      </c>
      <c r="C3325" s="1077">
        <v>650</v>
      </c>
      <c r="D3325" s="1077">
        <v>1.77</v>
      </c>
      <c r="E3325" s="1077" t="s">
        <v>15122</v>
      </c>
      <c r="F3325" s="1077" t="s">
        <v>1469</v>
      </c>
      <c r="G3325" s="1077">
        <v>4</v>
      </c>
      <c r="H3325" s="1077" t="s">
        <v>15719</v>
      </c>
      <c r="I3325" s="1077" t="s">
        <v>6918</v>
      </c>
      <c r="K3325" s="1077" t="s">
        <v>16461</v>
      </c>
      <c r="L3325" s="1077" t="s">
        <v>7264</v>
      </c>
      <c r="M3325" s="1077">
        <v>303</v>
      </c>
      <c r="N3325" s="1077" t="s">
        <v>945</v>
      </c>
      <c r="O3325" s="1077">
        <v>7.5750000000000002</v>
      </c>
      <c r="P3325" s="1077">
        <v>6.0600000000000005</v>
      </c>
      <c r="Q3325" s="1077">
        <v>3.5</v>
      </c>
      <c r="R3325" s="1077">
        <v>24</v>
      </c>
      <c r="T3325" s="1077">
        <v>16</v>
      </c>
      <c r="U3325" s="1077">
        <v>3</v>
      </c>
      <c r="V3325" s="1077" t="s">
        <v>648</v>
      </c>
      <c r="W3325" s="1077">
        <v>90</v>
      </c>
      <c r="X3325" s="1077">
        <v>10</v>
      </c>
      <c r="Y3325" s="1077">
        <v>1.5</v>
      </c>
      <c r="Z3325" s="1077" t="s">
        <v>648</v>
      </c>
      <c r="AA3325" s="1077" t="s">
        <v>16462</v>
      </c>
      <c r="AH3325" s="1077" t="s">
        <v>456</v>
      </c>
      <c r="AI3325" s="1077">
        <v>61.65</v>
      </c>
      <c r="AJ3325" s="1077">
        <v>3.6</v>
      </c>
      <c r="AK3325" s="1077">
        <v>15.02</v>
      </c>
      <c r="AM3325" s="1078" t="s">
        <v>16119</v>
      </c>
      <c r="AN3325" s="1078" t="s">
        <v>16649</v>
      </c>
      <c r="AO3325" s="1078">
        <f t="shared" si="414"/>
        <v>650</v>
      </c>
      <c r="AP3325" s="1078">
        <f t="shared" si="415"/>
        <v>1.77</v>
      </c>
      <c r="AQ3325" s="1078" t="str">
        <f t="shared" si="416"/>
        <v>1-5-1S91°Z+S</v>
      </c>
      <c r="AR3325" s="1078" t="str">
        <f t="shared" si="417"/>
        <v>30.5</v>
      </c>
      <c r="AS3325" s="1078" t="str">
        <f t="shared" si="418"/>
        <v>308/308/190</v>
      </c>
      <c r="AT3325" s="1078" t="str">
        <f t="shared" si="419"/>
        <v>1-5-1S91°Z+S</v>
      </c>
      <c r="AV3325" s="1078" t="str">
        <f t="shared" si="412"/>
        <v>114.12.30</v>
      </c>
      <c r="AW3325" s="1344">
        <f t="shared" si="413"/>
        <v>46021</v>
      </c>
    </row>
    <row r="3326" spans="1:49">
      <c r="A3326" s="1077" t="s">
        <v>16463</v>
      </c>
      <c r="B3326" s="1077" t="s">
        <v>714</v>
      </c>
      <c r="C3326" s="1077">
        <v>700</v>
      </c>
      <c r="D3326" s="1077">
        <v>1.8</v>
      </c>
      <c r="E3326" s="1077" t="s">
        <v>15109</v>
      </c>
      <c r="F3326" s="1077" t="s">
        <v>648</v>
      </c>
      <c r="G3326" s="1077" t="s">
        <v>6865</v>
      </c>
      <c r="H3326" s="1077" t="s">
        <v>16464</v>
      </c>
      <c r="I3326" s="1077" t="s">
        <v>7864</v>
      </c>
      <c r="J3326" s="1077">
        <v>3.7</v>
      </c>
      <c r="K3326" s="1077" t="s">
        <v>16465</v>
      </c>
      <c r="L3326" s="1077" t="s">
        <v>4666</v>
      </c>
      <c r="M3326" s="1077">
        <v>295.10000000000002</v>
      </c>
      <c r="N3326" s="1077" t="s">
        <v>945</v>
      </c>
      <c r="O3326" s="1077">
        <v>7.3775000000000013</v>
      </c>
      <c r="P3326" s="1077">
        <v>5.9020000000000001</v>
      </c>
      <c r="Q3326" s="1077">
        <v>4</v>
      </c>
      <c r="R3326" s="1077">
        <v>17.399999999999999</v>
      </c>
      <c r="T3326" s="1077">
        <v>31</v>
      </c>
      <c r="U3326" s="1077">
        <v>3.5</v>
      </c>
      <c r="V3326" s="1077" t="s">
        <v>648</v>
      </c>
      <c r="W3326" s="1077" t="s">
        <v>6880</v>
      </c>
      <c r="X3326" s="1077">
        <v>40</v>
      </c>
      <c r="Y3326" s="1077">
        <v>1</v>
      </c>
      <c r="Z3326" s="1077" t="s">
        <v>648</v>
      </c>
      <c r="AA3326" s="1077" t="s">
        <v>16320</v>
      </c>
      <c r="AH3326" s="1077" t="s">
        <v>782</v>
      </c>
      <c r="AI3326" s="1077">
        <v>92.06</v>
      </c>
      <c r="AJ3326" s="1077">
        <v>-0.59</v>
      </c>
      <c r="AK3326" s="1077">
        <v>1.88</v>
      </c>
      <c r="AM3326" s="1078" t="s">
        <v>16650</v>
      </c>
      <c r="AN3326" s="1078" t="s">
        <v>16651</v>
      </c>
      <c r="AO3326" s="1078">
        <f t="shared" si="414"/>
        <v>700</v>
      </c>
      <c r="AP3326" s="1078">
        <f t="shared" si="415"/>
        <v>1.8</v>
      </c>
      <c r="AQ3326" s="1078" t="str">
        <f t="shared" si="416"/>
        <v>1-5-1S85°Z+S</v>
      </c>
      <c r="AR3326" s="1078" t="str">
        <f t="shared" si="417"/>
        <v>NA</v>
      </c>
      <c r="AS3326" s="1078" t="str">
        <f t="shared" si="418"/>
        <v>210/OFF</v>
      </c>
      <c r="AT3326" s="1078" t="str">
        <f t="shared" si="419"/>
        <v>1-5-1S85°Z+S</v>
      </c>
      <c r="AV3326" s="1078" t="str">
        <f t="shared" si="412"/>
        <v>115.1.14</v>
      </c>
      <c r="AW3326" s="1344">
        <f t="shared" si="413"/>
        <v>46036</v>
      </c>
    </row>
    <row r="3327" spans="1:49">
      <c r="A3327" s="1077" t="s">
        <v>16466</v>
      </c>
      <c r="B3327" s="1077" t="s">
        <v>467</v>
      </c>
      <c r="C3327" s="1077">
        <v>670</v>
      </c>
      <c r="D3327" s="1077">
        <v>1.7949999999999999</v>
      </c>
      <c r="E3327" s="1077" t="s">
        <v>15109</v>
      </c>
      <c r="F3327" s="1077" t="s">
        <v>648</v>
      </c>
      <c r="G3327" s="1077" t="s">
        <v>6865</v>
      </c>
      <c r="H3327" s="1077" t="s">
        <v>7863</v>
      </c>
      <c r="I3327" s="1077" t="s">
        <v>6967</v>
      </c>
      <c r="J3327" s="1077">
        <v>3.7</v>
      </c>
      <c r="K3327" s="1077" t="s">
        <v>16467</v>
      </c>
      <c r="L3327" s="1077" t="s">
        <v>4666</v>
      </c>
      <c r="M3327" s="1077">
        <v>295.10000000000002</v>
      </c>
      <c r="N3327" s="1077" t="s">
        <v>945</v>
      </c>
      <c r="O3327" s="1077">
        <v>7.3775000000000013</v>
      </c>
      <c r="P3327" s="1077">
        <v>5.9020000000000001</v>
      </c>
      <c r="Q3327" s="1077">
        <v>4</v>
      </c>
      <c r="R3327" s="1077">
        <v>17.399999999999999</v>
      </c>
      <c r="T3327" s="1077">
        <v>31</v>
      </c>
      <c r="U3327" s="1077">
        <v>3.5</v>
      </c>
      <c r="V3327" s="1077" t="s">
        <v>648</v>
      </c>
      <c r="W3327" s="1077" t="s">
        <v>6880</v>
      </c>
      <c r="X3327" s="1077">
        <v>40</v>
      </c>
      <c r="Y3327" s="1077">
        <v>1</v>
      </c>
      <c r="Z3327" s="1077" t="s">
        <v>648</v>
      </c>
      <c r="AA3327" s="1077" t="s">
        <v>16468</v>
      </c>
      <c r="AH3327" s="1077" t="s">
        <v>646</v>
      </c>
      <c r="AI3327" s="1077">
        <v>94.99</v>
      </c>
      <c r="AJ3327" s="1077">
        <v>-0.95</v>
      </c>
      <c r="AK3327" s="1077">
        <v>2.29</v>
      </c>
      <c r="AM3327" s="1078" t="s">
        <v>16138</v>
      </c>
      <c r="AN3327" s="1078" t="s">
        <v>16652</v>
      </c>
      <c r="AO3327" s="1078">
        <f t="shared" si="414"/>
        <v>670</v>
      </c>
      <c r="AP3327" s="1078">
        <f t="shared" si="415"/>
        <v>1.7949999999999999</v>
      </c>
      <c r="AQ3327" s="1078" t="str">
        <f t="shared" si="416"/>
        <v>1-5-1S85°Z+S</v>
      </c>
      <c r="AR3327" s="1078" t="str">
        <f t="shared" si="417"/>
        <v>NA</v>
      </c>
      <c r="AS3327" s="1078" t="str">
        <f t="shared" si="418"/>
        <v>204/OFF</v>
      </c>
      <c r="AT3327" s="1078" t="str">
        <f t="shared" si="419"/>
        <v>1-5-1S85°Z+S</v>
      </c>
      <c r="AV3327" s="1078" t="str">
        <f t="shared" si="412"/>
        <v>115.1.16</v>
      </c>
      <c r="AW3327" s="1344">
        <f t="shared" si="413"/>
        <v>46038</v>
      </c>
    </row>
    <row r="3328" spans="1:49">
      <c r="A3328" s="1077" t="s">
        <v>16469</v>
      </c>
      <c r="B3328" s="1077" t="s">
        <v>717</v>
      </c>
      <c r="C3328" s="1077">
        <v>650</v>
      </c>
      <c r="D3328" s="1077">
        <v>1.7849999999999999</v>
      </c>
      <c r="E3328" s="1077" t="s">
        <v>15122</v>
      </c>
      <c r="F3328" s="1077" t="s">
        <v>954</v>
      </c>
      <c r="G3328" s="1077">
        <v>4</v>
      </c>
      <c r="H3328" s="1077" t="s">
        <v>6902</v>
      </c>
      <c r="I3328" s="1077" t="s">
        <v>7001</v>
      </c>
      <c r="K3328" s="1077" t="s">
        <v>16470</v>
      </c>
      <c r="L3328" s="1077" t="s">
        <v>7781</v>
      </c>
      <c r="M3328" s="1077">
        <v>303</v>
      </c>
      <c r="N3328" s="1077" t="s">
        <v>945</v>
      </c>
      <c r="O3328" s="1077">
        <v>7.5750000000000002</v>
      </c>
      <c r="P3328" s="1077">
        <v>6.0600000000000005</v>
      </c>
      <c r="Q3328" s="1077">
        <v>3.5</v>
      </c>
      <c r="R3328" s="1077">
        <v>24</v>
      </c>
      <c r="T3328" s="1077">
        <v>16</v>
      </c>
      <c r="U3328" s="1077">
        <v>3</v>
      </c>
      <c r="V3328" s="1077" t="s">
        <v>648</v>
      </c>
      <c r="W3328" s="1077">
        <v>90</v>
      </c>
      <c r="X3328" s="1077">
        <v>10</v>
      </c>
      <c r="Y3328" s="1077">
        <v>1.5</v>
      </c>
      <c r="Z3328" s="1077" t="s">
        <v>648</v>
      </c>
      <c r="AA3328" s="1077" t="s">
        <v>16356</v>
      </c>
      <c r="AH3328" s="1077" t="s">
        <v>650</v>
      </c>
      <c r="AI3328" s="1077">
        <v>92.33</v>
      </c>
      <c r="AJ3328" s="1077">
        <v>-0.35</v>
      </c>
      <c r="AK3328" s="1077">
        <v>1.94</v>
      </c>
      <c r="AM3328" s="1078" t="s">
        <v>16653</v>
      </c>
      <c r="AN3328" s="1078" t="s">
        <v>16654</v>
      </c>
      <c r="AO3328" s="1078">
        <f t="shared" si="414"/>
        <v>650</v>
      </c>
      <c r="AP3328" s="1078">
        <f t="shared" si="415"/>
        <v>1.7849999999999999</v>
      </c>
      <c r="AQ3328" s="1078" t="str">
        <f t="shared" si="416"/>
        <v>1-5-1S91°Z+S</v>
      </c>
      <c r="AR3328" s="1078" t="str">
        <f t="shared" si="417"/>
        <v>31</v>
      </c>
      <c r="AS3328" s="1078" t="str">
        <f t="shared" si="418"/>
        <v>310/310/190</v>
      </c>
      <c r="AT3328" s="1078" t="str">
        <f t="shared" si="419"/>
        <v>1-5-1S91°Z+S</v>
      </c>
      <c r="AV3328" s="1078" t="str">
        <f t="shared" si="412"/>
        <v>115.1.21</v>
      </c>
      <c r="AW3328" s="1344">
        <f t="shared" si="413"/>
        <v>46043</v>
      </c>
    </row>
    <row r="3329" spans="1:49">
      <c r="A3329" s="1077" t="s">
        <v>16471</v>
      </c>
      <c r="B3329" s="1077" t="s">
        <v>714</v>
      </c>
      <c r="C3329" s="1077">
        <v>700</v>
      </c>
      <c r="D3329" s="1077">
        <v>1.8</v>
      </c>
      <c r="E3329" s="1077" t="s">
        <v>15109</v>
      </c>
      <c r="F3329" s="1077" t="s">
        <v>648</v>
      </c>
      <c r="G3329" s="1077" t="s">
        <v>6865</v>
      </c>
      <c r="H3329" s="1077" t="s">
        <v>16464</v>
      </c>
      <c r="I3329" s="1077" t="s">
        <v>7864</v>
      </c>
      <c r="J3329" s="1077">
        <v>3.7</v>
      </c>
      <c r="K3329" s="1077" t="s">
        <v>16472</v>
      </c>
      <c r="L3329" s="1077" t="s">
        <v>4666</v>
      </c>
      <c r="M3329" s="1077">
        <v>295.10000000000002</v>
      </c>
      <c r="N3329" s="1077" t="s">
        <v>945</v>
      </c>
      <c r="O3329" s="1077">
        <v>7.3775000000000013</v>
      </c>
      <c r="P3329" s="1077">
        <v>5.9020000000000001</v>
      </c>
      <c r="Q3329" s="1077">
        <v>4</v>
      </c>
      <c r="R3329" s="1077">
        <v>17.399999999999999</v>
      </c>
      <c r="T3329" s="1077">
        <v>31</v>
      </c>
      <c r="U3329" s="1077">
        <v>3.5</v>
      </c>
      <c r="V3329" s="1077" t="s">
        <v>648</v>
      </c>
      <c r="W3329" s="1077" t="s">
        <v>6880</v>
      </c>
      <c r="X3329" s="1077">
        <v>40</v>
      </c>
      <c r="Y3329" s="1077">
        <v>1</v>
      </c>
      <c r="Z3329" s="1077" t="s">
        <v>648</v>
      </c>
      <c r="AA3329" s="1077" t="s">
        <v>16473</v>
      </c>
      <c r="AH3329" s="1077" t="s">
        <v>614</v>
      </c>
      <c r="AI3329" s="1077">
        <v>92.33</v>
      </c>
      <c r="AJ3329" s="1077">
        <v>-0.35</v>
      </c>
      <c r="AK3329" s="1077">
        <v>1.94</v>
      </c>
      <c r="AM3329" s="1078" t="s">
        <v>16172</v>
      </c>
      <c r="AN3329" s="1078" t="s">
        <v>16655</v>
      </c>
      <c r="AO3329" s="1078">
        <f t="shared" si="414"/>
        <v>700</v>
      </c>
      <c r="AP3329" s="1078">
        <f t="shared" si="415"/>
        <v>1.8</v>
      </c>
      <c r="AQ3329" s="1078" t="str">
        <f t="shared" si="416"/>
        <v>1-5-1S85°Z+S</v>
      </c>
      <c r="AR3329" s="1078" t="str">
        <f t="shared" si="417"/>
        <v>NA</v>
      </c>
      <c r="AS3329" s="1078" t="str">
        <f t="shared" si="418"/>
        <v>210/OFF</v>
      </c>
      <c r="AT3329" s="1078" t="str">
        <f t="shared" si="419"/>
        <v>1-5-1S85°Z+S</v>
      </c>
      <c r="AV3329" s="1078" t="str">
        <f t="shared" si="412"/>
        <v>115.2.2</v>
      </c>
      <c r="AW3329" s="1344">
        <f t="shared" si="413"/>
        <v>46055</v>
      </c>
    </row>
    <row r="3330" spans="1:49">
      <c r="A3330" s="1077" t="s">
        <v>16474</v>
      </c>
      <c r="B3330" s="1077" t="s">
        <v>7713</v>
      </c>
      <c r="C3330" s="1077">
        <v>700</v>
      </c>
      <c r="D3330" s="1077">
        <v>1.7949999999999999</v>
      </c>
      <c r="E3330" s="1077" t="s">
        <v>15109</v>
      </c>
      <c r="F3330" s="1077" t="s">
        <v>648</v>
      </c>
      <c r="G3330" s="1077" t="s">
        <v>6865</v>
      </c>
      <c r="H3330" s="1077" t="s">
        <v>7987</v>
      </c>
      <c r="I3330" s="1077" t="s">
        <v>6967</v>
      </c>
      <c r="J3330" s="1077">
        <v>3.7</v>
      </c>
      <c r="K3330" s="1077" t="s">
        <v>16454</v>
      </c>
      <c r="L3330" s="1077" t="s">
        <v>4666</v>
      </c>
      <c r="M3330" s="1077">
        <v>295.10000000000002</v>
      </c>
      <c r="N3330" s="1077" t="s">
        <v>945</v>
      </c>
      <c r="O3330" s="1077">
        <v>7.3775000000000013</v>
      </c>
      <c r="P3330" s="1077">
        <v>5.9020000000000001</v>
      </c>
      <c r="Q3330" s="1077">
        <v>4</v>
      </c>
      <c r="R3330" s="1077">
        <v>17.399999999999999</v>
      </c>
      <c r="T3330" s="1077">
        <v>31</v>
      </c>
      <c r="U3330" s="1077">
        <v>3.5</v>
      </c>
      <c r="V3330" s="1077" t="s">
        <v>648</v>
      </c>
      <c r="W3330" s="1077" t="s">
        <v>6880</v>
      </c>
      <c r="X3330" s="1077" t="s">
        <v>16475</v>
      </c>
      <c r="Y3330" s="1077">
        <v>1</v>
      </c>
      <c r="Z3330" s="1077" t="s">
        <v>648</v>
      </c>
      <c r="AA3330" s="1077" t="s">
        <v>16326</v>
      </c>
      <c r="AH3330" s="1077" t="s">
        <v>726</v>
      </c>
      <c r="AI3330" s="1077">
        <v>94.91</v>
      </c>
      <c r="AJ3330" s="1077">
        <v>-0.94</v>
      </c>
      <c r="AK3330" s="1077">
        <v>2.27</v>
      </c>
      <c r="AM3330" s="1078" t="s">
        <v>16178</v>
      </c>
      <c r="AN3330" s="1078" t="s">
        <v>16656</v>
      </c>
      <c r="AO3330" s="1078">
        <f t="shared" si="414"/>
        <v>700</v>
      </c>
      <c r="AP3330" s="1078">
        <f t="shared" si="415"/>
        <v>1.7949999999999999</v>
      </c>
      <c r="AQ3330" s="1078" t="str">
        <f t="shared" si="416"/>
        <v>1-5-1S85°Z+S</v>
      </c>
      <c r="AR3330" s="1078" t="str">
        <f t="shared" si="417"/>
        <v>NA</v>
      </c>
      <c r="AS3330" s="1078" t="str">
        <f t="shared" si="418"/>
        <v>206/OFF</v>
      </c>
      <c r="AT3330" s="1078" t="str">
        <f t="shared" si="419"/>
        <v>1-5-1S85°Z+S</v>
      </c>
      <c r="AV3330" s="1078" t="str">
        <f t="shared" ref="AV3330:AV3347" si="420">AA3330</f>
        <v>115.2.5</v>
      </c>
      <c r="AW3330" s="1344">
        <f t="shared" si="413"/>
        <v>46058</v>
      </c>
    </row>
    <row r="3331" spans="1:49">
      <c r="A3331" s="1077" t="s">
        <v>16476</v>
      </c>
      <c r="B3331" s="1077" t="s">
        <v>775</v>
      </c>
      <c r="C3331" s="1077">
        <v>600</v>
      </c>
      <c r="D3331" s="1077">
        <v>1.79</v>
      </c>
      <c r="E3331" s="1077" t="s">
        <v>15122</v>
      </c>
      <c r="F3331" s="1077" t="s">
        <v>1469</v>
      </c>
      <c r="G3331" s="1077">
        <v>4</v>
      </c>
      <c r="H3331" s="1077" t="s">
        <v>6902</v>
      </c>
      <c r="I3331" s="1077" t="s">
        <v>6918</v>
      </c>
      <c r="K3331" s="1077" t="s">
        <v>16477</v>
      </c>
      <c r="L3331" s="1077" t="s">
        <v>7842</v>
      </c>
      <c r="M3331" s="1077">
        <v>303</v>
      </c>
      <c r="N3331" s="1077" t="s">
        <v>945</v>
      </c>
      <c r="O3331" s="1077">
        <v>7.5750000000000002</v>
      </c>
      <c r="P3331" s="1077">
        <v>6.0600000000000005</v>
      </c>
      <c r="Q3331" s="1077">
        <v>3.5</v>
      </c>
      <c r="R3331" s="1077">
        <v>24</v>
      </c>
      <c r="T3331" s="1077">
        <v>16</v>
      </c>
      <c r="U3331" s="1077">
        <v>3</v>
      </c>
      <c r="V3331" s="1077" t="s">
        <v>648</v>
      </c>
      <c r="W3331" s="1077">
        <v>90</v>
      </c>
      <c r="X3331" s="1077">
        <v>10</v>
      </c>
      <c r="Y3331" s="1077">
        <v>1.5</v>
      </c>
      <c r="Z3331" s="1077" t="s">
        <v>648</v>
      </c>
      <c r="AA3331" s="1077" t="s">
        <v>16323</v>
      </c>
      <c r="AH3331" s="1077" t="s">
        <v>831</v>
      </c>
      <c r="AI3331" s="1077">
        <v>58.74</v>
      </c>
      <c r="AJ3331" s="1077">
        <v>1.21</v>
      </c>
      <c r="AK3331" s="1077">
        <v>10.14</v>
      </c>
      <c r="AM3331" s="1078" t="s">
        <v>16175</v>
      </c>
      <c r="AN3331" s="1078" t="s">
        <v>16657</v>
      </c>
      <c r="AO3331" s="1078">
        <f t="shared" si="414"/>
        <v>600</v>
      </c>
      <c r="AP3331" s="1078">
        <f t="shared" si="415"/>
        <v>1.79</v>
      </c>
      <c r="AQ3331" s="1078" t="str">
        <f t="shared" si="416"/>
        <v>1-5-1S91°Z+S</v>
      </c>
      <c r="AR3331" s="1078" t="str">
        <f t="shared" si="417"/>
        <v>30.5</v>
      </c>
      <c r="AS3331" s="1078" t="str">
        <f t="shared" si="418"/>
        <v>310/310/190</v>
      </c>
      <c r="AT3331" s="1078" t="str">
        <f t="shared" si="419"/>
        <v>1-5-1S91°Z+S</v>
      </c>
      <c r="AV3331" s="1078" t="str">
        <f t="shared" si="420"/>
        <v>115.2.4</v>
      </c>
      <c r="AW3331" s="1344">
        <f t="shared" ref="AW3331" si="421">DATE(VALUE(LEFT(AV3331,FIND(".",AV3331)-1))+1911,
       VALUE(MID(AV3331,FIND(".",AV3331)+1,FIND(".",AV3331,FIND(".",AV3331)+1)-FIND(".",AV3331)-1)),
       VALUE(RIGHT(AV3331,LEN(AV3331)-FIND("~",SUBSTITUTE(AV3331,".","~",2)))))</f>
        <v>46057</v>
      </c>
    </row>
    <row r="3332" spans="1:49">
      <c r="A3332" s="1077" t="s">
        <v>16478</v>
      </c>
      <c r="B3332" s="1077" t="s">
        <v>16180</v>
      </c>
      <c r="C3332" s="1077">
        <v>600</v>
      </c>
      <c r="D3332" s="1077">
        <v>1.75</v>
      </c>
      <c r="E3332" s="1077" t="s">
        <v>15116</v>
      </c>
      <c r="F3332" s="1077" t="s">
        <v>2167</v>
      </c>
      <c r="G3332" s="1077">
        <v>5</v>
      </c>
      <c r="H3332" s="1077" t="s">
        <v>8336</v>
      </c>
      <c r="I3332" s="1077" t="s">
        <v>7150</v>
      </c>
      <c r="J3332" s="1077">
        <v>3.7</v>
      </c>
      <c r="K3332" s="1077" t="s">
        <v>16479</v>
      </c>
      <c r="L3332" s="1077" t="s">
        <v>16480</v>
      </c>
      <c r="M3332" s="1077">
        <v>310</v>
      </c>
      <c r="N3332" s="1077" t="s">
        <v>945</v>
      </c>
      <c r="O3332" s="1077">
        <v>7.75</v>
      </c>
      <c r="P3332" s="1077">
        <v>6.2</v>
      </c>
      <c r="Q3332" s="1077">
        <v>3.5</v>
      </c>
      <c r="R3332" s="1077">
        <v>24</v>
      </c>
      <c r="T3332" s="1077">
        <v>28</v>
      </c>
      <c r="U3332" s="1077">
        <v>3.5</v>
      </c>
      <c r="V3332" s="1077" t="s">
        <v>648</v>
      </c>
      <c r="W3332" s="1077">
        <v>110</v>
      </c>
      <c r="X3332" s="1077">
        <v>80</v>
      </c>
      <c r="Y3332" s="1077">
        <v>1.5</v>
      </c>
      <c r="Z3332" s="1077" t="s">
        <v>648</v>
      </c>
      <c r="AA3332" s="1077" t="s">
        <v>16326</v>
      </c>
      <c r="AH3332" s="1077" t="s">
        <v>887</v>
      </c>
      <c r="AI3332" s="1077">
        <v>92.09</v>
      </c>
      <c r="AJ3332" s="1077">
        <v>0.02</v>
      </c>
      <c r="AK3332" s="1077">
        <v>2.83</v>
      </c>
      <c r="AM3332" s="1078" t="s">
        <v>16179</v>
      </c>
      <c r="AN3332" s="1078" t="s">
        <v>16658</v>
      </c>
      <c r="AO3332" s="1078">
        <f t="shared" si="414"/>
        <v>600</v>
      </c>
      <c r="AP3332" s="1078">
        <f t="shared" si="415"/>
        <v>1.75</v>
      </c>
      <c r="AQ3332" s="1078" t="str">
        <f t="shared" si="416"/>
        <v>1-5-1S83°Z+S</v>
      </c>
      <c r="AR3332" s="1078" t="str">
        <f t="shared" si="417"/>
        <v>33</v>
      </c>
      <c r="AS3332" s="1078" t="str">
        <f t="shared" si="418"/>
        <v>350/350/OFF</v>
      </c>
      <c r="AT3332" s="1078" t="str">
        <f t="shared" si="419"/>
        <v>1-5-1S83°Z+S</v>
      </c>
      <c r="AV3332" s="1078" t="str">
        <f t="shared" si="420"/>
        <v>115.2.5</v>
      </c>
      <c r="AW3332" s="1344">
        <f t="shared" ref="AW3332:AW3352" si="422">DATE(VALUE(LEFT(AV3332,FIND(".",AV3332)-1))+1911,
       VALUE(MID(AV3332,FIND(".",AV3332)+1,FIND(".",AV3332,FIND(".",AV3332)+1)-FIND(".",AV3332)-1)),
       VALUE(RIGHT(AV3332,LEN(AV3332)-FIND("~",SUBSTITUTE(AV3332,".","~",2)))))</f>
        <v>46058</v>
      </c>
    </row>
    <row r="3333" spans="1:49">
      <c r="A3333" s="1077" t="s">
        <v>16481</v>
      </c>
      <c r="B3333" s="1077" t="s">
        <v>8513</v>
      </c>
      <c r="C3333" s="1077">
        <v>600</v>
      </c>
      <c r="D3333" s="1077">
        <v>1.76</v>
      </c>
      <c r="E3333" s="1077" t="s">
        <v>16681</v>
      </c>
      <c r="F3333" s="1077" t="s">
        <v>648</v>
      </c>
      <c r="G3333" s="1077">
        <v>5</v>
      </c>
      <c r="H3333" s="1077" t="s">
        <v>15743</v>
      </c>
      <c r="I3333" s="1077" t="s">
        <v>471</v>
      </c>
      <c r="J3333" s="1077">
        <v>1.3</v>
      </c>
      <c r="K3333" s="1077" t="s">
        <v>16482</v>
      </c>
      <c r="L3333" s="1077" t="s">
        <v>8571</v>
      </c>
      <c r="M3333" s="1077">
        <v>326.39999999999998</v>
      </c>
      <c r="N3333" s="1077" t="s">
        <v>945</v>
      </c>
      <c r="O3333" s="1077">
        <v>8.16</v>
      </c>
      <c r="P3333" s="1077">
        <v>6.5279999999999996</v>
      </c>
      <c r="Q3333" s="1077">
        <v>3</v>
      </c>
      <c r="R3333" s="1077">
        <v>21</v>
      </c>
      <c r="T3333" s="1077">
        <v>14.4</v>
      </c>
      <c r="U3333" s="1077">
        <v>3.6</v>
      </c>
      <c r="V3333" s="1077" t="s">
        <v>648</v>
      </c>
      <c r="W3333" s="1077">
        <v>50</v>
      </c>
      <c r="X3333" s="1077">
        <v>10</v>
      </c>
      <c r="Y3333" s="1077">
        <v>1</v>
      </c>
      <c r="Z3333" s="1077" t="s">
        <v>648</v>
      </c>
      <c r="AA3333" s="1077" t="s">
        <v>16380</v>
      </c>
      <c r="AB3333" s="1077" t="s">
        <v>16483</v>
      </c>
      <c r="AH3333" s="1077" t="s">
        <v>614</v>
      </c>
      <c r="AI3333" s="1077">
        <v>91.33</v>
      </c>
      <c r="AJ3333" s="1077">
        <v>-1.72</v>
      </c>
      <c r="AK3333" s="1077">
        <v>6.54</v>
      </c>
      <c r="AM3333" s="1078" t="s">
        <v>16659</v>
      </c>
      <c r="AN3333" s="1078" t="s">
        <v>16660</v>
      </c>
      <c r="AO3333" s="1078">
        <f t="shared" si="414"/>
        <v>600</v>
      </c>
      <c r="AP3333" s="1078">
        <f t="shared" si="415"/>
        <v>1.76</v>
      </c>
      <c r="AQ3333" s="1078" t="str">
        <f t="shared" si="416"/>
        <v>1-5-1S+ZS85°</v>
      </c>
      <c r="AR3333" s="1078" t="str">
        <f t="shared" si="417"/>
        <v>NA</v>
      </c>
      <c r="AS3333" s="1078" t="str">
        <f t="shared" si="418"/>
        <v>181/162</v>
      </c>
      <c r="AT3333" s="1078" t="str">
        <f t="shared" si="419"/>
        <v>1-5-1S+ZS85°</v>
      </c>
      <c r="AV3333" s="1078" t="str">
        <f t="shared" si="420"/>
        <v>114.9.25</v>
      </c>
      <c r="AW3333" s="1344">
        <f t="shared" si="422"/>
        <v>45925</v>
      </c>
    </row>
    <row r="3334" spans="1:49">
      <c r="A3334" s="1077" t="s">
        <v>16484</v>
      </c>
      <c r="B3334" s="1077" t="s">
        <v>654</v>
      </c>
      <c r="C3334" s="1077">
        <v>550</v>
      </c>
      <c r="D3334" s="1077">
        <v>1.68</v>
      </c>
      <c r="E3334" s="1077" t="s">
        <v>16682</v>
      </c>
      <c r="F3334" s="1077" t="s">
        <v>648</v>
      </c>
      <c r="G3334" s="1077">
        <v>5.5</v>
      </c>
      <c r="H3334" s="1077" t="s">
        <v>5732</v>
      </c>
      <c r="I3334" s="1077" t="s">
        <v>643</v>
      </c>
      <c r="J3334" s="1077">
        <v>3.2</v>
      </c>
      <c r="K3334" s="1077" t="s">
        <v>15750</v>
      </c>
      <c r="L3334" s="1077" t="s">
        <v>8960</v>
      </c>
      <c r="M3334" s="1077">
        <v>427.4</v>
      </c>
      <c r="N3334" s="1077" t="s">
        <v>945</v>
      </c>
      <c r="O3334" s="1077">
        <v>10.685</v>
      </c>
      <c r="P3334" s="1077">
        <v>8.548</v>
      </c>
      <c r="Q3334" s="1077">
        <v>3.5</v>
      </c>
      <c r="R3334" s="1077">
        <v>24</v>
      </c>
      <c r="T3334" s="1077">
        <v>14.9</v>
      </c>
      <c r="U3334" s="1077">
        <v>4.2</v>
      </c>
      <c r="V3334" s="1077" t="s">
        <v>648</v>
      </c>
      <c r="W3334" s="1077">
        <v>120</v>
      </c>
      <c r="X3334" s="1077">
        <v>90</v>
      </c>
      <c r="Y3334" s="1077">
        <v>1</v>
      </c>
      <c r="Z3334" s="1077" t="s">
        <v>648</v>
      </c>
      <c r="AA3334" s="1077" t="s">
        <v>16485</v>
      </c>
      <c r="AH3334" s="1077" t="s">
        <v>1186</v>
      </c>
      <c r="AI3334" s="1077">
        <v>87.49</v>
      </c>
      <c r="AJ3334" s="1077">
        <v>0.91</v>
      </c>
      <c r="AK3334" s="1077">
        <v>0.43</v>
      </c>
      <c r="AM3334" s="1078" t="s">
        <v>16661</v>
      </c>
      <c r="AN3334" s="1078" t="s">
        <v>16662</v>
      </c>
      <c r="AO3334" s="1078">
        <f t="shared" si="414"/>
        <v>550</v>
      </c>
      <c r="AP3334" s="1078">
        <f t="shared" si="415"/>
        <v>1.68</v>
      </c>
      <c r="AQ3334" s="1078" t="str">
        <f t="shared" si="416"/>
        <v>1-5-1Z+SS85°</v>
      </c>
      <c r="AR3334" s="1078" t="str">
        <f t="shared" si="417"/>
        <v>NA</v>
      </c>
      <c r="AS3334" s="1078" t="str">
        <f t="shared" si="418"/>
        <v>183/170</v>
      </c>
      <c r="AT3334" s="1078" t="str">
        <f t="shared" si="419"/>
        <v>1-5-1Z+SS85°</v>
      </c>
      <c r="AV3334" s="1078" t="str">
        <f t="shared" si="420"/>
        <v>114.10.1</v>
      </c>
      <c r="AW3334" s="1344">
        <f t="shared" si="422"/>
        <v>45931</v>
      </c>
    </row>
    <row r="3335" spans="1:49">
      <c r="A3335" s="1077" t="s">
        <v>16486</v>
      </c>
      <c r="B3335" s="1077" t="s">
        <v>16198</v>
      </c>
      <c r="C3335" s="1077">
        <v>600</v>
      </c>
      <c r="D3335" s="1077">
        <v>1.7490000000000001</v>
      </c>
      <c r="E3335" s="1077" t="s">
        <v>16683</v>
      </c>
      <c r="F3335" s="1077" t="s">
        <v>2234</v>
      </c>
      <c r="G3335" s="1077">
        <v>5</v>
      </c>
      <c r="H3335" s="1077" t="s">
        <v>5980</v>
      </c>
      <c r="I3335" s="1077" t="s">
        <v>643</v>
      </c>
      <c r="J3335" s="1077">
        <v>3</v>
      </c>
      <c r="K3335" s="1077" t="s">
        <v>16487</v>
      </c>
      <c r="L3335" s="1077" t="s">
        <v>16227</v>
      </c>
      <c r="M3335" s="1077">
        <v>450</v>
      </c>
      <c r="N3335" s="1077" t="s">
        <v>945</v>
      </c>
      <c r="O3335" s="1077">
        <v>11.25</v>
      </c>
      <c r="P3335" s="1077">
        <v>9</v>
      </c>
      <c r="Q3335" s="1077">
        <v>3.5</v>
      </c>
      <c r="R3335" s="1077">
        <v>27.8</v>
      </c>
      <c r="T3335" s="1077">
        <v>18</v>
      </c>
      <c r="U3335" s="1077">
        <v>4</v>
      </c>
      <c r="V3335" s="1077" t="s">
        <v>648</v>
      </c>
      <c r="W3335" s="1077">
        <v>110</v>
      </c>
      <c r="X3335" s="1077">
        <v>70</v>
      </c>
      <c r="Y3335" s="1077">
        <v>1.2</v>
      </c>
      <c r="Z3335" s="1077" t="s">
        <v>648</v>
      </c>
      <c r="AA3335" s="1077" t="s">
        <v>16303</v>
      </c>
      <c r="AH3335" s="1077" t="s">
        <v>1143</v>
      </c>
      <c r="AI3335" s="1077">
        <v>15.28</v>
      </c>
      <c r="AJ3335" s="1077">
        <v>0.18</v>
      </c>
      <c r="AK3335" s="1077">
        <v>0.45</v>
      </c>
      <c r="AM3335" s="1078" t="s">
        <v>16663</v>
      </c>
      <c r="AN3335" s="1078" t="s">
        <v>16664</v>
      </c>
      <c r="AO3335" s="1078">
        <f t="shared" si="414"/>
        <v>600</v>
      </c>
      <c r="AP3335" s="1078">
        <f t="shared" si="415"/>
        <v>1.7490000000000001</v>
      </c>
      <c r="AQ3335" s="1078" t="str">
        <f t="shared" si="416"/>
        <v>1-5-1Z+SS83°</v>
      </c>
      <c r="AR3335" s="1078" t="str">
        <f t="shared" si="417"/>
        <v>33.5</v>
      </c>
      <c r="AS3335" s="1078" t="str">
        <f t="shared" si="418"/>
        <v>360/360/OFF</v>
      </c>
      <c r="AT3335" s="1078" t="str">
        <f t="shared" si="419"/>
        <v>1-5-1Z+SS83°</v>
      </c>
      <c r="AV3335" s="1078" t="str">
        <f t="shared" si="420"/>
        <v>114.10.7</v>
      </c>
      <c r="AW3335" s="1344">
        <f t="shared" si="422"/>
        <v>45937</v>
      </c>
    </row>
    <row r="3336" spans="1:49">
      <c r="A3336" s="1077" t="s">
        <v>16488</v>
      </c>
      <c r="B3336" s="1077" t="s">
        <v>8438</v>
      </c>
      <c r="C3336" s="1077">
        <v>600</v>
      </c>
      <c r="D3336" s="1077">
        <v>1.7450000000000001</v>
      </c>
      <c r="E3336" s="1077" t="s">
        <v>15094</v>
      </c>
      <c r="F3336" s="1077" t="s">
        <v>954</v>
      </c>
      <c r="G3336" s="1077">
        <v>5</v>
      </c>
      <c r="H3336" s="1077" t="s">
        <v>16489</v>
      </c>
      <c r="I3336" s="1077" t="s">
        <v>460</v>
      </c>
      <c r="J3336" s="1077">
        <v>2.2999999999999998</v>
      </c>
      <c r="K3336" s="1077" t="s">
        <v>16490</v>
      </c>
      <c r="L3336" s="1077" t="s">
        <v>8571</v>
      </c>
      <c r="M3336" s="1077">
        <v>166.5</v>
      </c>
      <c r="N3336" s="1077" t="s">
        <v>945</v>
      </c>
      <c r="O3336" s="1077">
        <v>4.1625000000000005</v>
      </c>
      <c r="P3336" s="1077">
        <v>3.33</v>
      </c>
      <c r="Q3336" s="1077">
        <v>3</v>
      </c>
      <c r="R3336" s="1077">
        <v>23.8</v>
      </c>
      <c r="T3336" s="1077">
        <v>11.2</v>
      </c>
      <c r="U3336" s="1077">
        <v>3.5</v>
      </c>
      <c r="V3336" s="1077" t="s">
        <v>648</v>
      </c>
      <c r="W3336" s="1077">
        <v>105</v>
      </c>
      <c r="X3336" s="1077">
        <v>50</v>
      </c>
      <c r="Y3336" s="1077">
        <v>1.4</v>
      </c>
      <c r="Z3336" s="1077">
        <v>5</v>
      </c>
      <c r="AA3336" s="1077" t="s">
        <v>16491</v>
      </c>
      <c r="AB3336" s="1077" t="s">
        <v>16492</v>
      </c>
      <c r="AH3336" s="1077" t="s">
        <v>782</v>
      </c>
      <c r="AI3336" s="1077">
        <v>90.84</v>
      </c>
      <c r="AJ3336" s="1077">
        <v>-1.43</v>
      </c>
      <c r="AK3336" s="1077">
        <v>5.49</v>
      </c>
      <c r="AM3336" s="1078" t="s">
        <v>16665</v>
      </c>
      <c r="AN3336" s="1078" t="s">
        <v>16666</v>
      </c>
      <c r="AO3336" s="1078">
        <f t="shared" si="414"/>
        <v>600</v>
      </c>
      <c r="AP3336" s="1078">
        <f t="shared" si="415"/>
        <v>1.7450000000000001</v>
      </c>
      <c r="AQ3336" s="1078" t="str">
        <f t="shared" si="416"/>
        <v>1-5-1S91°</v>
      </c>
      <c r="AR3336" s="1078" t="str">
        <f t="shared" si="417"/>
        <v>31</v>
      </c>
      <c r="AS3336" s="1078" t="str">
        <f t="shared" si="418"/>
        <v>317/317/160</v>
      </c>
      <c r="AT3336" s="1078" t="str">
        <f t="shared" si="419"/>
        <v>1-5-1S91°</v>
      </c>
      <c r="AV3336" s="1078" t="str">
        <f t="shared" si="420"/>
        <v>114.10.16</v>
      </c>
      <c r="AW3336" s="1344">
        <f t="shared" si="422"/>
        <v>45946</v>
      </c>
    </row>
    <row r="3337" spans="1:49">
      <c r="A3337" s="1077" t="s">
        <v>16493</v>
      </c>
      <c r="B3337" s="1077" t="s">
        <v>8524</v>
      </c>
      <c r="C3337" s="1077">
        <v>500</v>
      </c>
      <c r="D3337" s="1077">
        <v>1.84</v>
      </c>
      <c r="E3337" s="1077" t="s">
        <v>16681</v>
      </c>
      <c r="F3337" s="1077" t="s">
        <v>648</v>
      </c>
      <c r="G3337" s="1077">
        <v>5</v>
      </c>
      <c r="H3337" s="1077" t="s">
        <v>2135</v>
      </c>
      <c r="I3337" s="1077" t="s">
        <v>460</v>
      </c>
      <c r="J3337" s="1077">
        <v>1.2</v>
      </c>
      <c r="K3337" s="1077" t="s">
        <v>16213</v>
      </c>
      <c r="L3337" s="1077" t="s">
        <v>8527</v>
      </c>
      <c r="M3337" s="1077">
        <v>421.5</v>
      </c>
      <c r="N3337" s="1077" t="s">
        <v>945</v>
      </c>
      <c r="O3337" s="1077">
        <v>10.537500000000001</v>
      </c>
      <c r="P3337" s="1077">
        <v>8.43</v>
      </c>
      <c r="Q3337" s="1077">
        <v>3</v>
      </c>
      <c r="R3337" s="1077">
        <v>19.100000000000001</v>
      </c>
      <c r="T3337" s="1077">
        <v>12.2</v>
      </c>
      <c r="U3337" s="1077">
        <v>5.8</v>
      </c>
      <c r="V3337" s="1077" t="s">
        <v>648</v>
      </c>
      <c r="W3337" s="1077">
        <v>35</v>
      </c>
      <c r="X3337" s="1077">
        <v>10</v>
      </c>
      <c r="Y3337" s="1077">
        <v>1.2</v>
      </c>
      <c r="Z3337" s="1077" t="s">
        <v>648</v>
      </c>
      <c r="AA3337" s="1077" t="s">
        <v>16494</v>
      </c>
      <c r="AB3337" s="1077" t="s">
        <v>16495</v>
      </c>
      <c r="AH3337" s="1077" t="s">
        <v>1417</v>
      </c>
      <c r="AI3337" s="1077">
        <v>91.33</v>
      </c>
      <c r="AJ3337" s="1077">
        <v>-1.58</v>
      </c>
      <c r="AK3337" s="1077">
        <v>5.98</v>
      </c>
      <c r="AM3337" s="1078" t="s">
        <v>16667</v>
      </c>
      <c r="AN3337" s="1078" t="s">
        <v>16668</v>
      </c>
      <c r="AO3337" s="1078">
        <f t="shared" si="414"/>
        <v>500</v>
      </c>
      <c r="AP3337" s="1078">
        <f t="shared" si="415"/>
        <v>1.84</v>
      </c>
      <c r="AQ3337" s="1078" t="str">
        <f t="shared" si="416"/>
        <v>1-5-1S+ZS85°</v>
      </c>
      <c r="AR3337" s="1078" t="str">
        <f t="shared" si="417"/>
        <v>NA</v>
      </c>
      <c r="AS3337" s="1078" t="str">
        <f t="shared" si="418"/>
        <v>165/160</v>
      </c>
      <c r="AT3337" s="1078" t="str">
        <f t="shared" si="419"/>
        <v>1-5-1S+ZS85°</v>
      </c>
      <c r="AV3337" s="1078" t="str">
        <f t="shared" si="420"/>
        <v>114.10.27</v>
      </c>
      <c r="AW3337" s="1344">
        <f t="shared" si="422"/>
        <v>45957</v>
      </c>
    </row>
    <row r="3338" spans="1:49">
      <c r="A3338" s="1077" t="s">
        <v>16496</v>
      </c>
      <c r="B3338" s="1077" t="s">
        <v>8594</v>
      </c>
      <c r="C3338" s="1077">
        <v>600</v>
      </c>
      <c r="D3338" s="1077">
        <v>1.69</v>
      </c>
      <c r="E3338" s="1077" t="s">
        <v>15094</v>
      </c>
      <c r="F3338" s="1077" t="s">
        <v>984</v>
      </c>
      <c r="G3338" s="1077">
        <v>5</v>
      </c>
      <c r="H3338" s="1077" t="s">
        <v>2540</v>
      </c>
      <c r="I3338" s="1077" t="s">
        <v>643</v>
      </c>
      <c r="J3338" s="1077">
        <v>2.9</v>
      </c>
      <c r="K3338" s="1077" t="s">
        <v>16497</v>
      </c>
      <c r="L3338" s="1077" t="s">
        <v>8937</v>
      </c>
      <c r="M3338" s="1077">
        <v>225</v>
      </c>
      <c r="N3338" s="1077" t="s">
        <v>945</v>
      </c>
      <c r="O3338" s="1077">
        <v>5.625</v>
      </c>
      <c r="P3338" s="1077">
        <v>4.5</v>
      </c>
      <c r="Q3338" s="1077">
        <v>2.5</v>
      </c>
      <c r="R3338" s="1077">
        <v>28</v>
      </c>
      <c r="T3338" s="1077">
        <v>13.1</v>
      </c>
      <c r="U3338" s="1077">
        <v>6.1</v>
      </c>
      <c r="V3338" s="1077" t="s">
        <v>648</v>
      </c>
      <c r="W3338" s="1077">
        <v>100</v>
      </c>
      <c r="X3338" s="1077">
        <v>80</v>
      </c>
      <c r="Y3338" s="1077">
        <v>1.8</v>
      </c>
      <c r="Z3338" s="1077">
        <v>7.5</v>
      </c>
      <c r="AA3338" s="1077" t="s">
        <v>16432</v>
      </c>
      <c r="AH3338" s="1077" t="s">
        <v>1186</v>
      </c>
      <c r="AI3338" s="1077">
        <v>92.59</v>
      </c>
      <c r="AJ3338" s="1077">
        <v>-1.2</v>
      </c>
      <c r="AK3338" s="1077">
        <v>5.36</v>
      </c>
      <c r="AM3338" s="1078" t="s">
        <v>16669</v>
      </c>
      <c r="AN3338" s="1078" t="s">
        <v>16670</v>
      </c>
      <c r="AO3338" s="1078">
        <f t="shared" si="414"/>
        <v>600</v>
      </c>
      <c r="AP3338" s="1078">
        <f t="shared" si="415"/>
        <v>1.69</v>
      </c>
      <c r="AQ3338" s="1078" t="str">
        <f t="shared" si="416"/>
        <v>1-5-1S91°</v>
      </c>
      <c r="AR3338" s="1078" t="str">
        <f t="shared" si="417"/>
        <v>30</v>
      </c>
      <c r="AS3338" s="1078" t="str">
        <f t="shared" si="418"/>
        <v>300/300/OFF</v>
      </c>
      <c r="AT3338" s="1078" t="str">
        <f t="shared" si="419"/>
        <v>1-5-1S91°</v>
      </c>
      <c r="AV3338" s="1078" t="str">
        <f t="shared" si="420"/>
        <v>114.10.21</v>
      </c>
      <c r="AW3338" s="1344">
        <f t="shared" si="422"/>
        <v>45951</v>
      </c>
    </row>
    <row r="3339" spans="1:49">
      <c r="A3339" s="1077" t="s">
        <v>16498</v>
      </c>
      <c r="B3339" s="1077" t="s">
        <v>654</v>
      </c>
      <c r="C3339" s="1077">
        <v>550</v>
      </c>
      <c r="D3339" s="1077">
        <v>1.68</v>
      </c>
      <c r="E3339" s="1077" t="s">
        <v>16682</v>
      </c>
      <c r="F3339" s="1077" t="s">
        <v>648</v>
      </c>
      <c r="G3339" s="1077">
        <v>5.5</v>
      </c>
      <c r="H3339" s="1077" t="s">
        <v>9033</v>
      </c>
      <c r="I3339" s="1077" t="s">
        <v>643</v>
      </c>
      <c r="J3339" s="1077">
        <v>3.3</v>
      </c>
      <c r="K3339" s="1077" t="s">
        <v>16499</v>
      </c>
      <c r="L3339" s="1077" t="s">
        <v>8960</v>
      </c>
      <c r="M3339" s="1077">
        <v>427.4</v>
      </c>
      <c r="N3339" s="1077" t="s">
        <v>945</v>
      </c>
      <c r="O3339" s="1077">
        <v>10.685</v>
      </c>
      <c r="P3339" s="1077">
        <v>8.548</v>
      </c>
      <c r="Q3339" s="1077">
        <v>3.5</v>
      </c>
      <c r="R3339" s="1077">
        <v>24</v>
      </c>
      <c r="T3339" s="1077">
        <v>14.9</v>
      </c>
      <c r="U3339" s="1077">
        <v>4.2</v>
      </c>
      <c r="V3339" s="1077" t="s">
        <v>648</v>
      </c>
      <c r="W3339" s="1077">
        <v>120</v>
      </c>
      <c r="X3339" s="1077">
        <v>90</v>
      </c>
      <c r="Y3339" s="1077">
        <v>1</v>
      </c>
      <c r="Z3339" s="1077" t="s">
        <v>648</v>
      </c>
      <c r="AA3339" s="1077" t="s">
        <v>16409</v>
      </c>
      <c r="AH3339" s="1077" t="s">
        <v>785</v>
      </c>
      <c r="AI3339" s="1077">
        <v>91.18</v>
      </c>
      <c r="AJ3339" s="1077">
        <v>-0.38</v>
      </c>
      <c r="AK3339" s="1077">
        <v>1.38</v>
      </c>
      <c r="AM3339" s="1078" t="s">
        <v>16671</v>
      </c>
      <c r="AN3339" s="1078" t="s">
        <v>16672</v>
      </c>
      <c r="AO3339" s="1078">
        <f t="shared" ref="AO3339:AO3347" si="423">C3339</f>
        <v>550</v>
      </c>
      <c r="AP3339" s="1078">
        <f t="shared" ref="AP3339:AP3347" si="424">D3339</f>
        <v>1.68</v>
      </c>
      <c r="AQ3339" s="1078" t="str">
        <f t="shared" ref="AQ3339:AQ3347" si="425">E3339</f>
        <v>1-5-1Z+SS85°</v>
      </c>
      <c r="AR3339" s="1078" t="str">
        <f t="shared" ref="AR3339:AR3347" si="426">F3339</f>
        <v>NA</v>
      </c>
      <c r="AS3339" s="1078" t="str">
        <f t="shared" ref="AS3339:AS3347" si="427">H3339</f>
        <v>180/170</v>
      </c>
      <c r="AT3339" s="1078" t="str">
        <f t="shared" ref="AT3339:AT3347" si="428">E3339</f>
        <v>1-5-1Z+SS85°</v>
      </c>
      <c r="AV3339" s="1078" t="str">
        <f t="shared" si="420"/>
        <v>114.11.19</v>
      </c>
      <c r="AW3339" s="1344">
        <f t="shared" si="422"/>
        <v>45980</v>
      </c>
    </row>
    <row r="3340" spans="1:49">
      <c r="A3340" s="1077" t="s">
        <v>16500</v>
      </c>
      <c r="B3340" s="1077" t="s">
        <v>8438</v>
      </c>
      <c r="C3340" s="1077">
        <v>600</v>
      </c>
      <c r="D3340" s="1077">
        <v>1.7450000000000001</v>
      </c>
      <c r="E3340" s="1077" t="s">
        <v>15094</v>
      </c>
      <c r="F3340" s="1077" t="s">
        <v>954</v>
      </c>
      <c r="G3340" s="1077">
        <v>5</v>
      </c>
      <c r="H3340" s="1077" t="s">
        <v>16489</v>
      </c>
      <c r="I3340" s="1077" t="s">
        <v>460</v>
      </c>
      <c r="J3340" s="1077">
        <v>2.2000000000000002</v>
      </c>
      <c r="K3340" s="1077" t="s">
        <v>16501</v>
      </c>
      <c r="L3340" s="1077" t="s">
        <v>8571</v>
      </c>
      <c r="M3340" s="1077">
        <v>166.5</v>
      </c>
      <c r="N3340" s="1077" t="s">
        <v>945</v>
      </c>
      <c r="O3340" s="1077">
        <v>4.1625000000000005</v>
      </c>
      <c r="P3340" s="1077">
        <v>3.33</v>
      </c>
      <c r="Q3340" s="1077">
        <v>3</v>
      </c>
      <c r="R3340" s="1077">
        <v>23.8</v>
      </c>
      <c r="T3340" s="1077">
        <v>11.2</v>
      </c>
      <c r="U3340" s="1077">
        <v>3.5</v>
      </c>
      <c r="V3340" s="1077" t="s">
        <v>648</v>
      </c>
      <c r="W3340" s="1077">
        <v>105</v>
      </c>
      <c r="X3340" s="1077">
        <v>50</v>
      </c>
      <c r="Y3340" s="1077">
        <v>1.4</v>
      </c>
      <c r="Z3340" s="1077">
        <v>5</v>
      </c>
      <c r="AA3340" s="1077" t="s">
        <v>16491</v>
      </c>
      <c r="AB3340" s="1077" t="s">
        <v>6529</v>
      </c>
      <c r="AH3340" s="1077" t="s">
        <v>877</v>
      </c>
      <c r="AI3340" s="1077">
        <v>91.42</v>
      </c>
      <c r="AJ3340" s="1077">
        <v>-1.25</v>
      </c>
      <c r="AK3340" s="1077">
        <v>5.94</v>
      </c>
      <c r="AM3340" s="1078" t="s">
        <v>16093</v>
      </c>
      <c r="AN3340" s="1078" t="s">
        <v>16673</v>
      </c>
      <c r="AO3340" s="1078">
        <f t="shared" si="423"/>
        <v>600</v>
      </c>
      <c r="AP3340" s="1078">
        <f t="shared" si="424"/>
        <v>1.7450000000000001</v>
      </c>
      <c r="AQ3340" s="1078" t="str">
        <f t="shared" si="425"/>
        <v>1-5-1S91°</v>
      </c>
      <c r="AR3340" s="1078" t="str">
        <f t="shared" si="426"/>
        <v>31</v>
      </c>
      <c r="AS3340" s="1078" t="str">
        <f t="shared" si="427"/>
        <v>317/317/160</v>
      </c>
      <c r="AT3340" s="1078" t="str">
        <f t="shared" si="428"/>
        <v>1-5-1S91°</v>
      </c>
      <c r="AV3340" s="1078" t="str">
        <f t="shared" si="420"/>
        <v>114.10.16</v>
      </c>
      <c r="AW3340" s="1344">
        <f t="shared" si="422"/>
        <v>45946</v>
      </c>
    </row>
    <row r="3341" spans="1:49">
      <c r="A3341" s="1077" t="s">
        <v>16502</v>
      </c>
      <c r="B3341" s="1077" t="s">
        <v>8513</v>
      </c>
      <c r="C3341" s="1077">
        <v>550</v>
      </c>
      <c r="D3341" s="1077">
        <v>1.7649999999999999</v>
      </c>
      <c r="E3341" s="1077" t="s">
        <v>16681</v>
      </c>
      <c r="F3341" s="1077" t="s">
        <v>648</v>
      </c>
      <c r="G3341" s="1077">
        <v>5</v>
      </c>
      <c r="H3341" s="1077" t="s">
        <v>8136</v>
      </c>
      <c r="I3341" s="1077" t="s">
        <v>471</v>
      </c>
      <c r="J3341" s="1077">
        <v>1.2</v>
      </c>
      <c r="K3341" s="1077" t="s">
        <v>16482</v>
      </c>
      <c r="L3341" s="1077" t="s">
        <v>8571</v>
      </c>
      <c r="M3341" s="1077">
        <v>326.39999999999998</v>
      </c>
      <c r="N3341" s="1077" t="s">
        <v>945</v>
      </c>
      <c r="O3341" s="1077">
        <v>8.16</v>
      </c>
      <c r="P3341" s="1077">
        <v>6.5279999999999996</v>
      </c>
      <c r="Q3341" s="1077">
        <v>3</v>
      </c>
      <c r="R3341" s="1077">
        <v>21</v>
      </c>
      <c r="T3341" s="1077">
        <v>14.4</v>
      </c>
      <c r="U3341" s="1077">
        <v>3.6</v>
      </c>
      <c r="V3341" s="1077" t="s">
        <v>648</v>
      </c>
      <c r="W3341" s="1077">
        <v>50</v>
      </c>
      <c r="X3341" s="1077">
        <v>10</v>
      </c>
      <c r="Y3341" s="1077">
        <v>1</v>
      </c>
      <c r="Z3341" s="1077" t="s">
        <v>648</v>
      </c>
      <c r="AA3341" s="1077" t="s">
        <v>16503</v>
      </c>
      <c r="AB3341" s="1077" t="s">
        <v>16504</v>
      </c>
      <c r="AH3341" s="1077" t="s">
        <v>782</v>
      </c>
      <c r="AI3341" s="1077">
        <v>91.87</v>
      </c>
      <c r="AJ3341" s="1077">
        <v>-1.85</v>
      </c>
      <c r="AK3341" s="1077">
        <v>6.47</v>
      </c>
      <c r="AM3341" s="1078" t="s">
        <v>16674</v>
      </c>
      <c r="AN3341" s="1078" t="s">
        <v>16675</v>
      </c>
      <c r="AO3341" s="1078">
        <f t="shared" si="423"/>
        <v>550</v>
      </c>
      <c r="AP3341" s="1078">
        <f t="shared" si="424"/>
        <v>1.7649999999999999</v>
      </c>
      <c r="AQ3341" s="1078" t="str">
        <f t="shared" si="425"/>
        <v>1-5-1S+ZS85°</v>
      </c>
      <c r="AR3341" s="1078" t="str">
        <f t="shared" si="426"/>
        <v>NA</v>
      </c>
      <c r="AS3341" s="1078" t="str">
        <f t="shared" si="427"/>
        <v>178/165</v>
      </c>
      <c r="AT3341" s="1078" t="str">
        <f t="shared" si="428"/>
        <v>1-5-1S+ZS85°</v>
      </c>
      <c r="AV3341" s="1078" t="str">
        <f t="shared" si="420"/>
        <v>114.12.19</v>
      </c>
      <c r="AW3341" s="1344">
        <f t="shared" si="422"/>
        <v>46010</v>
      </c>
    </row>
    <row r="3342" spans="1:49">
      <c r="A3342" s="1077" t="s">
        <v>16505</v>
      </c>
      <c r="B3342" s="1077" t="s">
        <v>8513</v>
      </c>
      <c r="C3342" s="1077">
        <v>550</v>
      </c>
      <c r="D3342" s="1077">
        <v>1.7649999999999999</v>
      </c>
      <c r="E3342" s="1077" t="s">
        <v>16681</v>
      </c>
      <c r="F3342" s="1077" t="s">
        <v>648</v>
      </c>
      <c r="G3342" s="1077">
        <v>5</v>
      </c>
      <c r="H3342" s="1077" t="s">
        <v>8136</v>
      </c>
      <c r="I3342" s="1077" t="s">
        <v>471</v>
      </c>
      <c r="J3342" s="1077">
        <v>1.2</v>
      </c>
      <c r="K3342" s="1077" t="s">
        <v>16506</v>
      </c>
      <c r="L3342" s="1077" t="s">
        <v>8571</v>
      </c>
      <c r="M3342" s="1077">
        <v>326.39999999999998</v>
      </c>
      <c r="N3342" s="1077" t="s">
        <v>945</v>
      </c>
      <c r="O3342" s="1077">
        <v>8.16</v>
      </c>
      <c r="P3342" s="1077">
        <v>6.5279999999999996</v>
      </c>
      <c r="Q3342" s="1077">
        <v>3</v>
      </c>
      <c r="R3342" s="1077">
        <v>21</v>
      </c>
      <c r="T3342" s="1077">
        <v>14.4</v>
      </c>
      <c r="U3342" s="1077">
        <v>3.6</v>
      </c>
      <c r="V3342" s="1077" t="s">
        <v>648</v>
      </c>
      <c r="W3342" s="1077">
        <v>50</v>
      </c>
      <c r="X3342" s="1077">
        <v>10</v>
      </c>
      <c r="Y3342" s="1077">
        <v>1</v>
      </c>
      <c r="Z3342" s="1077" t="s">
        <v>648</v>
      </c>
      <c r="AA3342" s="1077" t="s">
        <v>16283</v>
      </c>
      <c r="AB3342" s="1077" t="s">
        <v>16507</v>
      </c>
      <c r="AH3342" s="1077" t="s">
        <v>712</v>
      </c>
      <c r="AI3342" s="1077">
        <v>91.49</v>
      </c>
      <c r="AJ3342" s="1077">
        <v>-1.5</v>
      </c>
      <c r="AK3342" s="1077">
        <v>6.31</v>
      </c>
      <c r="AM3342" s="1078" t="s">
        <v>16676</v>
      </c>
      <c r="AN3342" s="1078" t="s">
        <v>16677</v>
      </c>
      <c r="AO3342" s="1078">
        <f t="shared" si="423"/>
        <v>550</v>
      </c>
      <c r="AP3342" s="1078">
        <f t="shared" si="424"/>
        <v>1.7649999999999999</v>
      </c>
      <c r="AQ3342" s="1078" t="str">
        <f t="shared" si="425"/>
        <v>1-5-1S+ZS85°</v>
      </c>
      <c r="AR3342" s="1078" t="str">
        <f t="shared" si="426"/>
        <v>NA</v>
      </c>
      <c r="AS3342" s="1078" t="str">
        <f t="shared" si="427"/>
        <v>178/165</v>
      </c>
      <c r="AT3342" s="1078" t="str">
        <f t="shared" si="428"/>
        <v>1-5-1S+ZS85°</v>
      </c>
      <c r="AV3342" s="1078" t="str">
        <f t="shared" si="420"/>
        <v>114.12.22</v>
      </c>
      <c r="AW3342" s="1344">
        <f t="shared" si="422"/>
        <v>46013</v>
      </c>
    </row>
    <row r="3343" spans="1:49">
      <c r="A3343" s="1077" t="s">
        <v>16211</v>
      </c>
      <c r="B3343" s="1077" t="s">
        <v>16212</v>
      </c>
      <c r="C3343" s="1077">
        <v>500</v>
      </c>
      <c r="D3343" s="1077">
        <v>1.84</v>
      </c>
      <c r="E3343" s="1077" t="s">
        <v>16681</v>
      </c>
      <c r="F3343" s="1077" t="s">
        <v>648</v>
      </c>
      <c r="G3343" s="1077">
        <v>5</v>
      </c>
      <c r="H3343" s="1077" t="s">
        <v>2135</v>
      </c>
      <c r="I3343" s="1077" t="s">
        <v>643</v>
      </c>
      <c r="J3343" s="1077">
        <v>3.3</v>
      </c>
      <c r="K3343" s="1077" t="s">
        <v>16213</v>
      </c>
      <c r="L3343" s="1077" t="s">
        <v>8527</v>
      </c>
      <c r="M3343" s="1077">
        <v>430.5</v>
      </c>
      <c r="N3343" s="1077" t="s">
        <v>945</v>
      </c>
      <c r="O3343" s="1077">
        <v>10.762500000000001</v>
      </c>
      <c r="P3343" s="1077">
        <v>8.61</v>
      </c>
      <c r="Q3343" s="1077">
        <v>3</v>
      </c>
      <c r="R3343" s="1077">
        <v>24.8</v>
      </c>
      <c r="T3343" s="1077">
        <v>8.5</v>
      </c>
      <c r="U3343" s="1077">
        <v>6.3</v>
      </c>
      <c r="V3343" s="1077" t="s">
        <v>648</v>
      </c>
      <c r="W3343" s="1077">
        <v>110</v>
      </c>
      <c r="X3343" s="1077">
        <v>90</v>
      </c>
      <c r="Y3343" s="1077">
        <v>1.2</v>
      </c>
      <c r="Z3343" s="1077" t="s">
        <v>648</v>
      </c>
      <c r="AA3343" s="1077" t="s">
        <v>16214</v>
      </c>
      <c r="AB3343" s="1077" t="s">
        <v>16215</v>
      </c>
      <c r="AH3343" s="1077" t="s">
        <v>3067</v>
      </c>
      <c r="AI3343" s="1077">
        <v>91.32</v>
      </c>
      <c r="AJ3343" s="1077">
        <v>-1.48</v>
      </c>
      <c r="AK3343" s="1077">
        <v>6.01</v>
      </c>
      <c r="AM3343" s="1078" t="s">
        <v>16229</v>
      </c>
      <c r="AN3343" s="1078" t="s">
        <v>16230</v>
      </c>
      <c r="AO3343" s="1078">
        <f t="shared" si="423"/>
        <v>500</v>
      </c>
      <c r="AP3343" s="1078">
        <f t="shared" si="424"/>
        <v>1.84</v>
      </c>
      <c r="AQ3343" s="1078" t="str">
        <f t="shared" si="425"/>
        <v>1-5-1S+ZS85°</v>
      </c>
      <c r="AR3343" s="1078" t="str">
        <f t="shared" si="426"/>
        <v>NA</v>
      </c>
      <c r="AS3343" s="1078" t="str">
        <f t="shared" si="427"/>
        <v>165/160</v>
      </c>
      <c r="AT3343" s="1078" t="str">
        <f t="shared" si="428"/>
        <v>1-5-1S+ZS85°</v>
      </c>
      <c r="AV3343" s="1078" t="str">
        <f t="shared" si="420"/>
        <v>114.12.26</v>
      </c>
      <c r="AW3343" s="1344">
        <f t="shared" si="422"/>
        <v>46017</v>
      </c>
    </row>
    <row r="3344" spans="1:49">
      <c r="A3344" s="1077" t="s">
        <v>16216</v>
      </c>
      <c r="B3344" s="1077" t="s">
        <v>8984</v>
      </c>
      <c r="C3344" s="1077">
        <v>500</v>
      </c>
      <c r="D3344" s="1077">
        <v>1.66</v>
      </c>
      <c r="E3344" s="1077" t="s">
        <v>16684</v>
      </c>
      <c r="F3344" s="1077" t="s">
        <v>648</v>
      </c>
      <c r="G3344" s="1077">
        <v>2</v>
      </c>
      <c r="H3344" s="1077" t="s">
        <v>6877</v>
      </c>
      <c r="I3344" s="1077" t="s">
        <v>942</v>
      </c>
      <c r="J3344" s="1077">
        <v>0.6</v>
      </c>
      <c r="K3344" s="1077" t="s">
        <v>16217</v>
      </c>
      <c r="L3344" s="1077" t="s">
        <v>4062</v>
      </c>
      <c r="M3344" s="1077">
        <v>62</v>
      </c>
      <c r="N3344" s="1077" t="s">
        <v>945</v>
      </c>
      <c r="O3344" s="1077">
        <v>1.55</v>
      </c>
      <c r="P3344" s="1077">
        <v>1.55</v>
      </c>
      <c r="Q3344" s="1077">
        <v>3.5</v>
      </c>
      <c r="R3344" s="1077">
        <v>16</v>
      </c>
      <c r="T3344" s="1077">
        <v>23</v>
      </c>
      <c r="U3344" s="1077">
        <v>3</v>
      </c>
      <c r="V3344" s="1077" t="s">
        <v>648</v>
      </c>
      <c r="W3344" s="1077">
        <v>125</v>
      </c>
      <c r="X3344" s="1077">
        <v>80</v>
      </c>
      <c r="Y3344" s="1077">
        <v>2</v>
      </c>
      <c r="Z3344" s="1077">
        <v>3</v>
      </c>
      <c r="AA3344" s="1077" t="s">
        <v>16218</v>
      </c>
      <c r="AH3344" s="1077" t="s">
        <v>1053</v>
      </c>
      <c r="AI3344" s="1077">
        <v>93.9</v>
      </c>
      <c r="AJ3344" s="1077">
        <v>-0.23</v>
      </c>
      <c r="AK3344" s="1077">
        <v>0.72</v>
      </c>
      <c r="AM3344" s="1078" t="s">
        <v>16173</v>
      </c>
      <c r="AN3344" s="1078" t="s">
        <v>16231</v>
      </c>
      <c r="AO3344" s="1078">
        <f t="shared" si="423"/>
        <v>500</v>
      </c>
      <c r="AP3344" s="1078">
        <f t="shared" si="424"/>
        <v>1.66</v>
      </c>
      <c r="AQ3344" s="1078" t="str">
        <f t="shared" si="425"/>
        <v>1-6-1ZS85°</v>
      </c>
      <c r="AR3344" s="1078" t="str">
        <f t="shared" si="426"/>
        <v>NA</v>
      </c>
      <c r="AS3344" s="1078" t="str">
        <f t="shared" si="427"/>
        <v>200/OFF</v>
      </c>
      <c r="AT3344" s="1078" t="str">
        <f t="shared" si="428"/>
        <v>1-6-1ZS85°</v>
      </c>
      <c r="AV3344" s="1078" t="str">
        <f t="shared" si="420"/>
        <v>115.2.3</v>
      </c>
      <c r="AW3344" s="1344">
        <f t="shared" si="422"/>
        <v>46056</v>
      </c>
    </row>
    <row r="3345" spans="1:49">
      <c r="A3345" s="1077" t="s">
        <v>16219</v>
      </c>
      <c r="B3345" s="1077" t="s">
        <v>8958</v>
      </c>
      <c r="C3345" s="1077">
        <v>550</v>
      </c>
      <c r="D3345" s="1077">
        <v>1.68</v>
      </c>
      <c r="E3345" s="1077" t="s">
        <v>16682</v>
      </c>
      <c r="F3345" s="1077" t="s">
        <v>648</v>
      </c>
      <c r="G3345" s="1077">
        <v>5.5</v>
      </c>
      <c r="H3345" s="1077" t="s">
        <v>5732</v>
      </c>
      <c r="I3345" s="1077" t="s">
        <v>643</v>
      </c>
      <c r="J3345" s="1077">
        <v>3.2</v>
      </c>
      <c r="K3345" s="1077" t="s">
        <v>15750</v>
      </c>
      <c r="L3345" s="1077" t="s">
        <v>8960</v>
      </c>
      <c r="M3345" s="1077">
        <v>427.4</v>
      </c>
      <c r="N3345" s="1077" t="s">
        <v>945</v>
      </c>
      <c r="O3345" s="1077">
        <v>10.685</v>
      </c>
      <c r="P3345" s="1077">
        <v>8.548</v>
      </c>
      <c r="Q3345" s="1077">
        <v>3.5</v>
      </c>
      <c r="R3345" s="1077">
        <v>24</v>
      </c>
      <c r="T3345" s="1077">
        <v>14.9</v>
      </c>
      <c r="U3345" s="1077">
        <v>4.2</v>
      </c>
      <c r="V3345" s="1077" t="s">
        <v>648</v>
      </c>
      <c r="W3345" s="1077">
        <v>120</v>
      </c>
      <c r="X3345" s="1077" t="s">
        <v>16220</v>
      </c>
      <c r="Y3345" s="1077">
        <v>1</v>
      </c>
      <c r="Z3345" s="1077" t="s">
        <v>648</v>
      </c>
      <c r="AA3345" s="1077" t="s">
        <v>16221</v>
      </c>
      <c r="AH3345" s="1077" t="s">
        <v>948</v>
      </c>
      <c r="AI3345" s="1077">
        <v>91.14</v>
      </c>
      <c r="AJ3345" s="1077">
        <v>-0.34</v>
      </c>
      <c r="AK3345" s="1077">
        <v>1.51</v>
      </c>
      <c r="AM3345" s="1078" t="s">
        <v>16232</v>
      </c>
      <c r="AN3345" s="1078" t="s">
        <v>16233</v>
      </c>
      <c r="AO3345" s="1078">
        <f t="shared" si="423"/>
        <v>550</v>
      </c>
      <c r="AP3345" s="1078">
        <f t="shared" si="424"/>
        <v>1.68</v>
      </c>
      <c r="AQ3345" s="1078" t="str">
        <f t="shared" si="425"/>
        <v>1-5-1Z+SS85°</v>
      </c>
      <c r="AR3345" s="1078" t="str">
        <f t="shared" si="426"/>
        <v>NA</v>
      </c>
      <c r="AS3345" s="1078" t="str">
        <f t="shared" si="427"/>
        <v>183/170</v>
      </c>
      <c r="AT3345" s="1078" t="str">
        <f t="shared" si="428"/>
        <v>1-5-1Z+SS85°</v>
      </c>
      <c r="AV3345" s="1078" t="str">
        <f t="shared" si="420"/>
        <v>115.2.6</v>
      </c>
      <c r="AW3345" s="1344">
        <f t="shared" si="422"/>
        <v>46059</v>
      </c>
    </row>
    <row r="3346" spans="1:49">
      <c r="A3346" s="1077" t="s">
        <v>16222</v>
      </c>
      <c r="B3346" s="1077" t="s">
        <v>8958</v>
      </c>
      <c r="C3346" s="1077">
        <v>550</v>
      </c>
      <c r="D3346" s="1077">
        <v>1.68</v>
      </c>
      <c r="E3346" s="1077" t="s">
        <v>16682</v>
      </c>
      <c r="F3346" s="1077" t="s">
        <v>648</v>
      </c>
      <c r="G3346" s="1077">
        <v>5.5</v>
      </c>
      <c r="H3346" s="1077" t="s">
        <v>5732</v>
      </c>
      <c r="I3346" s="1077" t="s">
        <v>643</v>
      </c>
      <c r="J3346" s="1077">
        <v>3.2</v>
      </c>
      <c r="K3346" s="1077" t="s">
        <v>16223</v>
      </c>
      <c r="L3346" s="1077" t="s">
        <v>8560</v>
      </c>
      <c r="M3346" s="1077">
        <v>427.4</v>
      </c>
      <c r="N3346" s="1077" t="s">
        <v>945</v>
      </c>
      <c r="O3346" s="1077">
        <v>10.685</v>
      </c>
      <c r="P3346" s="1077">
        <v>8.548</v>
      </c>
      <c r="Q3346" s="1077">
        <v>3.5</v>
      </c>
      <c r="R3346" s="1077">
        <v>24</v>
      </c>
      <c r="T3346" s="1077">
        <v>14.9</v>
      </c>
      <c r="U3346" s="1077">
        <v>4.2</v>
      </c>
      <c r="V3346" s="1077" t="s">
        <v>648</v>
      </c>
      <c r="W3346" s="1077">
        <v>120</v>
      </c>
      <c r="X3346" s="1077" t="s">
        <v>16220</v>
      </c>
      <c r="Y3346" s="1077">
        <v>1</v>
      </c>
      <c r="Z3346" s="1077" t="s">
        <v>648</v>
      </c>
      <c r="AA3346" s="1077" t="s">
        <v>16224</v>
      </c>
      <c r="AH3346" s="1077" t="s">
        <v>1023</v>
      </c>
      <c r="AI3346" s="1077">
        <v>90.76</v>
      </c>
      <c r="AJ3346" s="1077">
        <v>-0.94</v>
      </c>
      <c r="AK3346" s="1077">
        <v>1.6</v>
      </c>
      <c r="AM3346" s="1078" t="s">
        <v>16186</v>
      </c>
      <c r="AN3346" s="1078" t="s">
        <v>16234</v>
      </c>
      <c r="AO3346" s="1078">
        <f t="shared" si="423"/>
        <v>550</v>
      </c>
      <c r="AP3346" s="1078">
        <f t="shared" si="424"/>
        <v>1.68</v>
      </c>
      <c r="AQ3346" s="1078" t="str">
        <f t="shared" si="425"/>
        <v>1-5-1Z+SS85°</v>
      </c>
      <c r="AR3346" s="1078" t="str">
        <f t="shared" si="426"/>
        <v>NA</v>
      </c>
      <c r="AS3346" s="1078" t="str">
        <f t="shared" si="427"/>
        <v>183/170</v>
      </c>
      <c r="AT3346" s="1078" t="str">
        <f t="shared" si="428"/>
        <v>1-5-1Z+SS85°</v>
      </c>
      <c r="AV3346" s="1078" t="str">
        <f t="shared" si="420"/>
        <v>115.2.23</v>
      </c>
      <c r="AW3346" s="1344">
        <f t="shared" si="422"/>
        <v>46076</v>
      </c>
    </row>
    <row r="3347" spans="1:49">
      <c r="A3347" s="1077" t="s">
        <v>16225</v>
      </c>
      <c r="B3347" s="1077" t="s">
        <v>16198</v>
      </c>
      <c r="C3347" s="1077">
        <v>500</v>
      </c>
      <c r="D3347" s="1077">
        <v>1.68</v>
      </c>
      <c r="E3347" s="1077" t="s">
        <v>16685</v>
      </c>
      <c r="F3347" s="1077" t="s">
        <v>975</v>
      </c>
      <c r="G3347" s="1077">
        <v>5</v>
      </c>
      <c r="H3347" s="1077" t="s">
        <v>8336</v>
      </c>
      <c r="I3347" s="1077" t="s">
        <v>643</v>
      </c>
      <c r="J3347" s="1077">
        <v>3</v>
      </c>
      <c r="K3347" s="1077" t="s">
        <v>16226</v>
      </c>
      <c r="L3347" s="1077" t="s">
        <v>16227</v>
      </c>
      <c r="M3347" s="1077">
        <v>450</v>
      </c>
      <c r="N3347" s="1077" t="s">
        <v>945</v>
      </c>
      <c r="O3347" s="1077">
        <v>11.25</v>
      </c>
      <c r="P3347" s="1077">
        <v>9</v>
      </c>
      <c r="Q3347" s="1077">
        <v>3.5</v>
      </c>
      <c r="R3347" s="1077">
        <v>27.8</v>
      </c>
      <c r="T3347" s="1077">
        <v>18</v>
      </c>
      <c r="U3347" s="1077">
        <v>4</v>
      </c>
      <c r="V3347" s="1077" t="s">
        <v>648</v>
      </c>
      <c r="W3347" s="1077">
        <v>110</v>
      </c>
      <c r="X3347" s="1077">
        <v>70</v>
      </c>
      <c r="Y3347" s="1077">
        <v>1.2</v>
      </c>
      <c r="Z3347" s="1077" t="s">
        <v>648</v>
      </c>
      <c r="AA3347" s="1077" t="s">
        <v>16228</v>
      </c>
      <c r="AH3347" s="1077" t="s">
        <v>1186</v>
      </c>
      <c r="AI3347" s="1077">
        <v>15.06</v>
      </c>
      <c r="AJ3347" s="1077">
        <v>-7.0000000000000007E-2</v>
      </c>
      <c r="AK3347" s="1077">
        <v>0.16</v>
      </c>
      <c r="AM3347" s="1078" t="s">
        <v>16196</v>
      </c>
      <c r="AN3347" s="1078" t="s">
        <v>16235</v>
      </c>
      <c r="AO3347" s="1078">
        <f t="shared" si="423"/>
        <v>500</v>
      </c>
      <c r="AP3347" s="1078">
        <f t="shared" si="424"/>
        <v>1.68</v>
      </c>
      <c r="AQ3347" s="1078" t="str">
        <f t="shared" si="425"/>
        <v>1-5-1Z+SS91°</v>
      </c>
      <c r="AR3347" s="1078" t="str">
        <f t="shared" si="426"/>
        <v>31.5</v>
      </c>
      <c r="AS3347" s="1078" t="str">
        <f t="shared" si="427"/>
        <v>350/350/OFF</v>
      </c>
      <c r="AT3347" s="1078" t="str">
        <f t="shared" si="428"/>
        <v>1-5-1Z+SS91°</v>
      </c>
      <c r="AV3347" s="1078" t="str">
        <f t="shared" si="420"/>
        <v>115.3.3</v>
      </c>
      <c r="AW3347" s="1344">
        <f t="shared" si="422"/>
        <v>46084</v>
      </c>
    </row>
    <row r="3348" spans="1:49">
      <c r="A3348" s="1077" t="s">
        <v>16686</v>
      </c>
      <c r="B3348" s="1077" t="s">
        <v>3750</v>
      </c>
      <c r="C3348" s="1077">
        <v>700</v>
      </c>
      <c r="D3348" s="1077">
        <v>1.7949999999999999</v>
      </c>
      <c r="E3348" s="1077" t="s">
        <v>16687</v>
      </c>
      <c r="F3348" s="1077" t="s">
        <v>1469</v>
      </c>
      <c r="G3348" s="1077" t="s">
        <v>1767</v>
      </c>
      <c r="H3348" s="1077" t="s">
        <v>2059</v>
      </c>
      <c r="I3348" s="1077" t="s">
        <v>126</v>
      </c>
      <c r="J3348" s="1077">
        <v>0.5</v>
      </c>
      <c r="K3348" s="1077" t="s">
        <v>15645</v>
      </c>
      <c r="L3348" s="1077" t="s">
        <v>1968</v>
      </c>
      <c r="M3348" s="1077">
        <v>74.5</v>
      </c>
      <c r="N3348" s="1077" t="s">
        <v>945</v>
      </c>
      <c r="O3348" s="1077">
        <v>1.8625</v>
      </c>
      <c r="P3348" s="1077">
        <v>1.49</v>
      </c>
      <c r="Q3348" s="1077">
        <v>4</v>
      </c>
      <c r="R3348" s="1077">
        <v>22</v>
      </c>
      <c r="T3348" s="1077">
        <v>19.5</v>
      </c>
      <c r="U3348" s="1077">
        <v>2.2999999999999998</v>
      </c>
      <c r="V3348" s="1077" t="s">
        <v>648</v>
      </c>
      <c r="W3348" s="1077">
        <v>40</v>
      </c>
      <c r="X3348" s="1077">
        <v>10</v>
      </c>
      <c r="Y3348" s="1077">
        <v>1.2</v>
      </c>
      <c r="Z3348" s="1077">
        <v>4</v>
      </c>
      <c r="AA3348" s="1077" t="s">
        <v>16688</v>
      </c>
      <c r="AH3348" s="1077" t="s">
        <v>877</v>
      </c>
      <c r="AM3348" s="1078" t="s">
        <v>16208</v>
      </c>
      <c r="AN3348" s="1078" t="s">
        <v>16700</v>
      </c>
      <c r="AO3348" s="1078">
        <f t="shared" ref="AO3348:AO3352" si="429">C3348</f>
        <v>700</v>
      </c>
      <c r="AP3348" s="1078">
        <f t="shared" ref="AP3348:AP3352" si="430">D3348</f>
        <v>1.7949999999999999</v>
      </c>
      <c r="AQ3348" s="1078" t="str">
        <f t="shared" ref="AQ3348:AQ3352" si="431">E3348</f>
        <v>1-4-1  S83°</v>
      </c>
      <c r="AR3348" s="1078" t="str">
        <f t="shared" ref="AR3348:AR3352" si="432">F3348</f>
        <v>30.5</v>
      </c>
      <c r="AS3348" s="1078" t="str">
        <f t="shared" ref="AS3348:AS3352" si="433">H3348</f>
        <v>295/295/160</v>
      </c>
      <c r="AT3348" s="1078" t="str">
        <f t="shared" ref="AT3348:AT3352" si="434">E3348</f>
        <v>1-4-1  S83°</v>
      </c>
      <c r="AV3348" s="1078" t="str">
        <f t="shared" ref="AV3348:AV3352" si="435">AA3348</f>
        <v>115.3.6</v>
      </c>
      <c r="AW3348" s="1344">
        <f t="shared" si="422"/>
        <v>46087</v>
      </c>
    </row>
    <row r="3349" spans="1:49">
      <c r="A3349" s="1077" t="s">
        <v>16689</v>
      </c>
      <c r="B3349" s="1077" t="s">
        <v>1783</v>
      </c>
      <c r="C3349" s="1077">
        <v>500</v>
      </c>
      <c r="D3349" s="1077">
        <v>1.675</v>
      </c>
      <c r="E3349" s="1077" t="s">
        <v>16690</v>
      </c>
      <c r="F3349" s="1077" t="s">
        <v>2001</v>
      </c>
      <c r="G3349" s="1077" t="s">
        <v>1784</v>
      </c>
      <c r="H3349" s="1077" t="s">
        <v>2295</v>
      </c>
      <c r="I3349" s="1077" t="s">
        <v>126</v>
      </c>
      <c r="J3349" s="1077">
        <v>0.3</v>
      </c>
      <c r="K3349" s="1077" t="s">
        <v>16297</v>
      </c>
      <c r="L3349" s="1077" t="s">
        <v>1787</v>
      </c>
      <c r="M3349" s="1077">
        <v>76.099999999999994</v>
      </c>
      <c r="N3349" s="1077" t="s">
        <v>945</v>
      </c>
      <c r="O3349" s="1077">
        <v>1.9024999999999999</v>
      </c>
      <c r="P3349" s="1077">
        <v>1.522</v>
      </c>
      <c r="Q3349" s="1077">
        <v>3.5</v>
      </c>
      <c r="R3349" s="1077">
        <v>21</v>
      </c>
      <c r="T3349" s="1077">
        <v>13</v>
      </c>
      <c r="U3349" s="1077">
        <v>4</v>
      </c>
      <c r="V3349" s="1077" t="s">
        <v>648</v>
      </c>
      <c r="W3349" s="1077">
        <v>30</v>
      </c>
      <c r="X3349" s="1077">
        <v>10</v>
      </c>
      <c r="Y3349" s="1077">
        <v>2.5</v>
      </c>
      <c r="Z3349" s="1077">
        <v>2</v>
      </c>
      <c r="AA3349" s="1077" t="s">
        <v>16691</v>
      </c>
      <c r="AH3349" s="1077" t="s">
        <v>994</v>
      </c>
      <c r="AM3349" s="1078" t="s">
        <v>16210</v>
      </c>
      <c r="AN3349" s="1078" t="s">
        <v>16701</v>
      </c>
      <c r="AO3349" s="1078">
        <f t="shared" si="429"/>
        <v>500</v>
      </c>
      <c r="AP3349" s="1078">
        <f t="shared" si="430"/>
        <v>1.675</v>
      </c>
      <c r="AQ3349" s="1078" t="str">
        <f t="shared" si="431"/>
        <v>1-4-1  S87°</v>
      </c>
      <c r="AR3349" s="1078" t="str">
        <f t="shared" si="432"/>
        <v>29.9</v>
      </c>
      <c r="AS3349" s="1078" t="str">
        <f t="shared" si="433"/>
        <v>205/205/OFF</v>
      </c>
      <c r="AT3349" s="1078" t="str">
        <f t="shared" si="434"/>
        <v>1-4-1  S87°</v>
      </c>
      <c r="AV3349" s="1078" t="str">
        <f t="shared" si="435"/>
        <v>115.3.9</v>
      </c>
      <c r="AW3349" s="1344">
        <f t="shared" si="422"/>
        <v>46090</v>
      </c>
    </row>
    <row r="3350" spans="1:49">
      <c r="A3350" s="1077" t="s">
        <v>16692</v>
      </c>
      <c r="B3350" s="1077" t="s">
        <v>453</v>
      </c>
      <c r="C3350" s="1077">
        <v>800</v>
      </c>
      <c r="D3350" s="1077">
        <v>1.72</v>
      </c>
      <c r="E3350" s="1077" t="s">
        <v>16687</v>
      </c>
      <c r="F3350" s="1077" t="s">
        <v>1773</v>
      </c>
      <c r="G3350" s="1077" t="s">
        <v>1767</v>
      </c>
      <c r="H3350" s="1077" t="s">
        <v>1793</v>
      </c>
      <c r="I3350" s="1077" t="s">
        <v>126</v>
      </c>
      <c r="J3350" s="1077">
        <v>1.2</v>
      </c>
      <c r="K3350" s="1077" t="s">
        <v>16693</v>
      </c>
      <c r="L3350" s="1077" t="s">
        <v>1776</v>
      </c>
      <c r="M3350" s="1077">
        <v>74.8</v>
      </c>
      <c r="N3350" s="1077" t="s">
        <v>945</v>
      </c>
      <c r="O3350" s="1077">
        <v>1.87</v>
      </c>
      <c r="P3350" s="1077">
        <v>1.496</v>
      </c>
      <c r="Q3350" s="1077">
        <v>4</v>
      </c>
      <c r="R3350" s="1077">
        <v>23</v>
      </c>
      <c r="T3350" s="1077">
        <v>18.600000000000001</v>
      </c>
      <c r="U3350" s="1077">
        <v>3.5</v>
      </c>
      <c r="V3350" s="1077" t="s">
        <v>648</v>
      </c>
      <c r="W3350" s="1077">
        <v>105</v>
      </c>
      <c r="X3350" s="1077">
        <v>80</v>
      </c>
      <c r="Y3350" s="1077">
        <v>2</v>
      </c>
      <c r="Z3350" s="1077">
        <v>4.5</v>
      </c>
      <c r="AA3350" s="1077" t="s">
        <v>16694</v>
      </c>
      <c r="AH3350" s="1077" t="s">
        <v>868</v>
      </c>
      <c r="AM3350" s="1078" t="s">
        <v>16678</v>
      </c>
      <c r="AN3350" s="1078" t="s">
        <v>16702</v>
      </c>
      <c r="AO3350" s="1078">
        <f t="shared" si="429"/>
        <v>800</v>
      </c>
      <c r="AP3350" s="1078">
        <f t="shared" si="430"/>
        <v>1.72</v>
      </c>
      <c r="AQ3350" s="1078" t="str">
        <f t="shared" si="431"/>
        <v>1-4-1  S83°</v>
      </c>
      <c r="AR3350" s="1078" t="str">
        <f t="shared" si="432"/>
        <v>30.2</v>
      </c>
      <c r="AS3350" s="1078" t="str">
        <f t="shared" si="433"/>
        <v>270/270/OFF</v>
      </c>
      <c r="AT3350" s="1078" t="str">
        <f t="shared" si="434"/>
        <v>1-4-1  S83°</v>
      </c>
      <c r="AV3350" s="1078" t="str">
        <f t="shared" si="435"/>
        <v>115.3.11</v>
      </c>
      <c r="AW3350" s="1344">
        <f t="shared" si="422"/>
        <v>46092</v>
      </c>
    </row>
    <row r="3351" spans="1:49">
      <c r="A3351" s="1077" t="s">
        <v>16696</v>
      </c>
      <c r="B3351" s="1077" t="s">
        <v>715</v>
      </c>
      <c r="C3351" s="1077">
        <v>680</v>
      </c>
      <c r="D3351" s="1077">
        <v>1.7050000000000001</v>
      </c>
      <c r="E3351" s="1077" t="s">
        <v>16695</v>
      </c>
      <c r="F3351" s="1077" t="s">
        <v>1897</v>
      </c>
      <c r="G3351" s="1077" t="s">
        <v>940</v>
      </c>
      <c r="H3351" s="1077" t="s">
        <v>1327</v>
      </c>
      <c r="I3351" s="1077" t="s">
        <v>126</v>
      </c>
      <c r="J3351" s="1077">
        <v>1.2</v>
      </c>
      <c r="K3351" s="1077" t="s">
        <v>16325</v>
      </c>
      <c r="L3351" s="1077" t="s">
        <v>4548</v>
      </c>
      <c r="M3351" s="1077">
        <v>101.5</v>
      </c>
      <c r="N3351" s="1077" t="s">
        <v>945</v>
      </c>
      <c r="O3351" s="1077">
        <v>2.5375000000000001</v>
      </c>
      <c r="P3351" s="1077">
        <v>2.0300000000000002</v>
      </c>
      <c r="Q3351" s="1077">
        <v>4</v>
      </c>
      <c r="R3351" s="1077">
        <v>23</v>
      </c>
      <c r="T3351" s="1077">
        <v>12</v>
      </c>
      <c r="U3351" s="1077">
        <v>4.5</v>
      </c>
      <c r="V3351" s="1077" t="s">
        <v>648</v>
      </c>
      <c r="W3351" s="1077">
        <v>125</v>
      </c>
      <c r="X3351" s="1077">
        <v>80</v>
      </c>
      <c r="Y3351" s="1077">
        <v>1.5</v>
      </c>
      <c r="Z3351" s="1077">
        <v>4</v>
      </c>
      <c r="AA3351" s="1077" t="s">
        <v>16694</v>
      </c>
      <c r="AH3351" s="1077" t="s">
        <v>3213</v>
      </c>
      <c r="AM3351" s="1078" t="s">
        <v>16679</v>
      </c>
      <c r="AN3351" s="1078" t="s">
        <v>16703</v>
      </c>
      <c r="AO3351" s="1078">
        <f t="shared" si="429"/>
        <v>680</v>
      </c>
      <c r="AP3351" s="1078">
        <f t="shared" si="430"/>
        <v>1.7050000000000001</v>
      </c>
      <c r="AQ3351" s="1078" t="str">
        <f t="shared" si="431"/>
        <v>1-5-1  S87°</v>
      </c>
      <c r="AR3351" s="1078" t="str">
        <f t="shared" si="432"/>
        <v>30.8</v>
      </c>
      <c r="AS3351" s="1078" t="str">
        <f t="shared" si="433"/>
        <v>232/232/OFF</v>
      </c>
      <c r="AT3351" s="1078" t="str">
        <f t="shared" si="434"/>
        <v>1-5-1  S87°</v>
      </c>
      <c r="AV3351" s="1078" t="str">
        <f t="shared" si="435"/>
        <v>115.3.11</v>
      </c>
      <c r="AW3351" s="1344">
        <f t="shared" si="422"/>
        <v>46092</v>
      </c>
    </row>
    <row r="3352" spans="1:49">
      <c r="A3352" s="1077" t="s">
        <v>16697</v>
      </c>
      <c r="B3352" s="1077" t="s">
        <v>754</v>
      </c>
      <c r="C3352" s="1077">
        <v>600</v>
      </c>
      <c r="D3352" s="1077">
        <v>1.65</v>
      </c>
      <c r="E3352" s="1077" t="s">
        <v>16698</v>
      </c>
      <c r="F3352" s="1077" t="s">
        <v>648</v>
      </c>
      <c r="G3352" s="1077">
        <v>4</v>
      </c>
      <c r="H3352" s="1077" t="s">
        <v>2326</v>
      </c>
      <c r="I3352" s="1077" t="s">
        <v>126</v>
      </c>
      <c r="J3352" s="1077">
        <v>1.5</v>
      </c>
      <c r="K3352" s="1077" t="s">
        <v>16699</v>
      </c>
      <c r="L3352" s="1077" t="s">
        <v>6742</v>
      </c>
      <c r="M3352" s="1077">
        <v>155</v>
      </c>
      <c r="N3352" s="1077" t="s">
        <v>945</v>
      </c>
      <c r="O3352" s="1077">
        <v>3.875</v>
      </c>
      <c r="P3352" s="1077">
        <v>3.1</v>
      </c>
      <c r="Q3352" s="1077">
        <v>4</v>
      </c>
      <c r="R3352" s="1077">
        <v>25</v>
      </c>
      <c r="T3352" s="1077">
        <v>18</v>
      </c>
      <c r="U3352" s="1077">
        <v>3.8</v>
      </c>
      <c r="V3352" s="1077" t="s">
        <v>648</v>
      </c>
      <c r="W3352" s="1077">
        <v>135</v>
      </c>
      <c r="X3352" s="1077">
        <v>80</v>
      </c>
      <c r="Y3352" s="1077">
        <v>1.2</v>
      </c>
      <c r="Z3352" s="1077" t="s">
        <v>648</v>
      </c>
      <c r="AA3352" s="1077" t="s">
        <v>16688</v>
      </c>
      <c r="AH3352" s="1077" t="s">
        <v>812</v>
      </c>
      <c r="AM3352" s="1078" t="s">
        <v>16209</v>
      </c>
      <c r="AN3352" s="1078" t="s">
        <v>16704</v>
      </c>
      <c r="AO3352" s="1078">
        <f t="shared" si="429"/>
        <v>600</v>
      </c>
      <c r="AP3352" s="1078">
        <f t="shared" si="430"/>
        <v>1.65</v>
      </c>
      <c r="AQ3352" s="1078" t="str">
        <f t="shared" si="431"/>
        <v xml:space="preserve">1-5-1 S85° S+Z </v>
      </c>
      <c r="AR3352" s="1078" t="str">
        <f t="shared" si="432"/>
        <v>NA</v>
      </c>
      <c r="AS3352" s="1078" t="str">
        <f t="shared" si="433"/>
        <v>173/OFF</v>
      </c>
      <c r="AT3352" s="1078" t="str">
        <f t="shared" si="434"/>
        <v xml:space="preserve">1-5-1 S85° S+Z </v>
      </c>
      <c r="AV3352" s="1078" t="str">
        <f t="shared" si="435"/>
        <v>115.3.6</v>
      </c>
      <c r="AW3352" s="1344">
        <f t="shared" si="422"/>
        <v>46087</v>
      </c>
    </row>
  </sheetData>
  <phoneticPr fontId="1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1B17-8491-404D-A264-23E682E936FB}">
  <sheetPr codeName="工作表14">
    <tabColor rgb="FF7030A0"/>
  </sheetPr>
  <dimension ref="A1:AM441"/>
  <sheetViews>
    <sheetView showGridLines="0" zoomScale="70" zoomScaleNormal="70" workbookViewId="0">
      <pane ySplit="4" topLeftCell="A5" activePane="bottomLeft" state="frozen"/>
      <selection activeCell="A3108" sqref="A3108"/>
      <selection pane="bottomLeft" activeCell="A2" sqref="A2"/>
    </sheetView>
  </sheetViews>
  <sheetFormatPr defaultRowHeight="16.5"/>
  <cols>
    <col min="1" max="1" width="13.125" style="842" bestFit="1" customWidth="1"/>
    <col min="2" max="2" width="15.125" style="842" bestFit="1" customWidth="1"/>
    <col min="3" max="3" width="2.125" style="842" customWidth="1"/>
    <col min="4" max="4" width="8.625" style="842" bestFit="1" customWidth="1"/>
    <col min="5" max="5" width="9.5" style="842" bestFit="1" customWidth="1"/>
    <col min="6" max="6" width="6.625" style="842" bestFit="1" customWidth="1"/>
    <col min="7" max="7" width="8.5" style="842" bestFit="1" customWidth="1"/>
    <col min="8" max="8" width="15.5" style="842" bestFit="1" customWidth="1"/>
    <col min="9" max="9" width="8.5" style="842" bestFit="1" customWidth="1"/>
    <col min="10" max="10" width="9.25" style="842" bestFit="1" customWidth="1"/>
    <col min="11" max="11" width="12.5" style="842" bestFit="1" customWidth="1"/>
    <col min="12" max="12" width="15.375" style="842" bestFit="1" customWidth="1"/>
    <col min="13" max="13" width="13.875" style="842" bestFit="1" customWidth="1"/>
    <col min="14" max="14" width="11.25" style="842" bestFit="1" customWidth="1"/>
    <col min="15" max="15" width="5.375" customWidth="1"/>
    <col min="17" max="17" width="10.125" customWidth="1"/>
    <col min="18" max="22" width="11.375" customWidth="1"/>
    <col min="23" max="23" width="4.125" style="887" customWidth="1"/>
    <col min="24" max="24" width="9.625" style="891" bestFit="1" customWidth="1"/>
    <col min="25" max="25" width="10.75" style="891" bestFit="1" customWidth="1"/>
    <col min="26" max="27" width="6.25" style="854" bestFit="1" customWidth="1"/>
    <col min="28" max="28" width="13.25" style="854" bestFit="1" customWidth="1"/>
    <col min="29" max="29" width="10.125" style="854" bestFit="1" customWidth="1"/>
    <col min="30" max="30" width="10.125" style="892" customWidth="1"/>
    <col min="31" max="31" width="5" style="618" bestFit="1" customWidth="1"/>
    <col min="32" max="32" width="9.375" style="618" bestFit="1" customWidth="1"/>
    <col min="33" max="33" width="7.5" style="618" bestFit="1" customWidth="1"/>
    <col min="34" max="34" width="8.625" style="618" bestFit="1" customWidth="1"/>
    <col min="35" max="35" width="5.5" style="618" bestFit="1" customWidth="1"/>
    <col min="36" max="36" width="9" style="618"/>
    <col min="37" max="37" width="7.5" style="618" bestFit="1" customWidth="1"/>
    <col min="38" max="38" width="8.625" style="618" bestFit="1" customWidth="1"/>
    <col min="39" max="39" width="20.75" bestFit="1" customWidth="1"/>
  </cols>
  <sheetData>
    <row r="1" spans="1:39" ht="20.25" thickTop="1" thickBot="1">
      <c r="A1" s="1027" t="s">
        <v>15826</v>
      </c>
      <c r="B1" s="832" t="s">
        <v>727</v>
      </c>
      <c r="C1" s="832" t="s">
        <v>728</v>
      </c>
      <c r="D1" s="832" t="s">
        <v>729</v>
      </c>
      <c r="E1" s="832" t="s">
        <v>730</v>
      </c>
      <c r="F1" s="832" t="s">
        <v>731</v>
      </c>
      <c r="G1" s="832" t="s">
        <v>732</v>
      </c>
      <c r="H1" s="832" t="s">
        <v>733</v>
      </c>
      <c r="I1" s="833" t="s">
        <v>734</v>
      </c>
      <c r="J1" s="832" t="s">
        <v>735</v>
      </c>
      <c r="K1" s="832" t="s">
        <v>736</v>
      </c>
      <c r="L1" s="833" t="s">
        <v>737</v>
      </c>
      <c r="M1" s="833" t="s">
        <v>738</v>
      </c>
      <c r="N1" s="833" t="s">
        <v>739</v>
      </c>
      <c r="P1" s="834"/>
      <c r="Q1" s="835"/>
      <c r="R1" s="835"/>
      <c r="S1" s="835"/>
      <c r="T1" s="835"/>
      <c r="U1" s="835"/>
      <c r="V1" s="836"/>
      <c r="W1" s="837"/>
      <c r="X1" s="838" t="s">
        <v>740</v>
      </c>
      <c r="Y1" s="838" t="s">
        <v>741</v>
      </c>
      <c r="Z1" s="904" t="s">
        <v>602</v>
      </c>
      <c r="AA1" s="839" t="s">
        <v>742</v>
      </c>
      <c r="AB1" s="840" t="s">
        <v>743</v>
      </c>
      <c r="AC1" s="840" t="s">
        <v>744</v>
      </c>
      <c r="AD1" s="841" t="s">
        <v>745</v>
      </c>
      <c r="AE1" s="618" t="s">
        <v>746</v>
      </c>
      <c r="AF1" s="618" t="s">
        <v>747</v>
      </c>
      <c r="AG1" s="618" t="s">
        <v>748</v>
      </c>
      <c r="AH1" s="618" t="s">
        <v>745</v>
      </c>
      <c r="AI1" s="618" t="s">
        <v>746</v>
      </c>
      <c r="AJ1" s="618" t="s">
        <v>747</v>
      </c>
      <c r="AK1" s="618" t="s">
        <v>748</v>
      </c>
      <c r="AL1" s="618" t="s">
        <v>745</v>
      </c>
      <c r="AM1" s="1008" t="s">
        <v>801</v>
      </c>
    </row>
    <row r="2" spans="1:39" ht="19.5" thickTop="1" thickBot="1">
      <c r="B2" s="843"/>
      <c r="C2" s="843"/>
      <c r="D2" s="844"/>
      <c r="E2" s="845"/>
      <c r="F2" s="844"/>
      <c r="G2" s="844"/>
      <c r="H2" s="844"/>
      <c r="I2" s="844"/>
      <c r="J2" s="844"/>
      <c r="K2" s="844"/>
      <c r="L2" s="844"/>
      <c r="M2" s="844"/>
      <c r="N2" s="844"/>
      <c r="P2" s="846"/>
      <c r="Q2" s="847"/>
      <c r="R2" s="848"/>
      <c r="S2" s="849"/>
      <c r="T2" s="848"/>
      <c r="U2" s="850"/>
      <c r="V2" s="851"/>
      <c r="W2" s="852"/>
      <c r="X2" s="838">
        <f t="shared" ref="X2:Y33" si="0">U2*100</f>
        <v>0</v>
      </c>
      <c r="Y2" s="838">
        <f t="shared" si="0"/>
        <v>0</v>
      </c>
      <c r="Z2" s="853">
        <f>P2</f>
        <v>0</v>
      </c>
      <c r="AA2" s="853" t="str">
        <f>"2F"&amp;Q2</f>
        <v>2F</v>
      </c>
      <c r="AB2" s="854" t="str">
        <f t="shared" ref="AB2:AB65" si="1">X2&amp;"\"&amp;Y2</f>
        <v>0\0</v>
      </c>
      <c r="AC2" s="854">
        <f>T2</f>
        <v>0</v>
      </c>
      <c r="AD2" s="855" t="e">
        <f>VLOOKUP(AA2,AF:AH,3,0)*100</f>
        <v>#N/A</v>
      </c>
      <c r="AH2" s="856"/>
      <c r="AL2" s="856"/>
    </row>
    <row r="3" spans="1:39">
      <c r="B3" s="843"/>
      <c r="C3" s="843"/>
      <c r="D3" s="857"/>
      <c r="E3" s="857"/>
      <c r="F3" s="857"/>
      <c r="G3" s="857"/>
      <c r="H3" s="857"/>
      <c r="I3" s="857"/>
      <c r="J3" s="857"/>
      <c r="K3" s="857"/>
      <c r="L3" s="857"/>
      <c r="M3" s="857"/>
      <c r="N3" s="857"/>
      <c r="P3" s="846"/>
      <c r="Q3" s="847"/>
      <c r="R3" s="848"/>
      <c r="S3" s="849"/>
      <c r="T3" s="848"/>
      <c r="U3" s="850"/>
      <c r="V3" s="851"/>
      <c r="W3" s="852"/>
      <c r="X3" s="838">
        <f t="shared" si="0"/>
        <v>0</v>
      </c>
      <c r="Y3" s="838">
        <f t="shared" si="0"/>
        <v>0</v>
      </c>
      <c r="Z3" s="853">
        <f t="shared" ref="Z3:Z66" si="2">P3</f>
        <v>0</v>
      </c>
      <c r="AA3" s="853" t="str">
        <f t="shared" ref="AA3:AA66" si="3">"2F"&amp;Q3</f>
        <v>2F</v>
      </c>
      <c r="AB3" s="854" t="str">
        <f t="shared" si="1"/>
        <v>0\0</v>
      </c>
      <c r="AC3" s="854">
        <f t="shared" ref="AC3:AC66" si="4">T3</f>
        <v>0</v>
      </c>
      <c r="AD3" s="855" t="e">
        <f t="shared" ref="AD3:AD66" si="5">VLOOKUP(AA3,AF:AH,3,0)*100</f>
        <v>#N/A</v>
      </c>
      <c r="AH3" s="856"/>
      <c r="AL3" s="856"/>
    </row>
    <row r="4" spans="1:39">
      <c r="B4" s="843"/>
      <c r="C4" s="843"/>
      <c r="D4" s="857"/>
      <c r="E4" s="857"/>
      <c r="F4" s="857"/>
      <c r="G4" s="857"/>
      <c r="H4" s="857"/>
      <c r="I4" s="857"/>
      <c r="J4" s="857"/>
      <c r="K4" s="857"/>
      <c r="L4" s="857"/>
      <c r="M4" s="857"/>
      <c r="N4" s="857"/>
      <c r="P4" s="846"/>
      <c r="Q4" s="847"/>
      <c r="R4" s="848"/>
      <c r="S4" s="849"/>
      <c r="T4" s="848"/>
      <c r="U4" s="850"/>
      <c r="V4" s="851"/>
      <c r="W4" s="852"/>
      <c r="X4" s="838">
        <f t="shared" si="0"/>
        <v>0</v>
      </c>
      <c r="Y4" s="838">
        <f t="shared" si="0"/>
        <v>0</v>
      </c>
      <c r="Z4" s="853">
        <f t="shared" si="2"/>
        <v>0</v>
      </c>
      <c r="AA4" s="853" t="str">
        <f t="shared" si="3"/>
        <v>2F</v>
      </c>
      <c r="AB4" s="854" t="str">
        <f t="shared" si="1"/>
        <v>0\0</v>
      </c>
      <c r="AC4" s="854">
        <f t="shared" si="4"/>
        <v>0</v>
      </c>
      <c r="AD4" s="855" t="e">
        <f t="shared" si="5"/>
        <v>#N/A</v>
      </c>
      <c r="AH4" s="856"/>
      <c r="AL4" s="856"/>
    </row>
    <row r="5" spans="1:39" ht="17.25" thickBot="1">
      <c r="B5" s="858"/>
      <c r="C5" s="858"/>
      <c r="D5" s="859"/>
      <c r="E5" s="859"/>
      <c r="F5" s="859"/>
      <c r="G5" s="859"/>
      <c r="H5" s="859"/>
      <c r="I5" s="859"/>
      <c r="J5" s="859"/>
      <c r="K5" s="859"/>
      <c r="L5" s="859"/>
      <c r="M5" s="859"/>
      <c r="N5" s="859"/>
      <c r="P5" s="846"/>
      <c r="Q5" s="860"/>
      <c r="R5" s="848"/>
      <c r="S5" s="861"/>
      <c r="T5" s="848"/>
      <c r="U5" s="862"/>
      <c r="V5" s="863"/>
      <c r="W5" s="852"/>
      <c r="X5" s="838">
        <f t="shared" si="0"/>
        <v>0</v>
      </c>
      <c r="Y5" s="838">
        <f t="shared" si="0"/>
        <v>0</v>
      </c>
      <c r="Z5" s="853">
        <f t="shared" si="2"/>
        <v>0</v>
      </c>
      <c r="AA5" s="853" t="str">
        <f t="shared" si="3"/>
        <v>2F</v>
      </c>
      <c r="AB5" s="854" t="str">
        <f t="shared" si="1"/>
        <v>0\0</v>
      </c>
      <c r="AC5" s="854">
        <f t="shared" si="4"/>
        <v>0</v>
      </c>
      <c r="AD5" s="855" t="e">
        <f t="shared" si="5"/>
        <v>#N/A</v>
      </c>
      <c r="AH5" s="856"/>
      <c r="AL5" s="856"/>
    </row>
    <row r="6" spans="1:39" ht="19.5" thickTop="1" thickBot="1">
      <c r="B6" s="843"/>
      <c r="C6" s="843"/>
      <c r="D6" s="844"/>
      <c r="E6" s="845"/>
      <c r="F6" s="844"/>
      <c r="G6" s="844"/>
      <c r="H6" s="844"/>
      <c r="I6" s="844"/>
      <c r="J6" s="844"/>
      <c r="K6" s="844"/>
      <c r="L6" s="844"/>
      <c r="M6" s="844"/>
      <c r="N6" s="844"/>
      <c r="P6" s="846"/>
      <c r="Q6" s="847"/>
      <c r="R6" s="848"/>
      <c r="S6" s="849"/>
      <c r="T6" s="848"/>
      <c r="U6" s="850"/>
      <c r="V6" s="863"/>
      <c r="W6" s="852"/>
      <c r="X6" s="838">
        <f t="shared" si="0"/>
        <v>0</v>
      </c>
      <c r="Y6" s="838">
        <f t="shared" si="0"/>
        <v>0</v>
      </c>
      <c r="Z6" s="853">
        <f t="shared" si="2"/>
        <v>0</v>
      </c>
      <c r="AA6" s="853" t="str">
        <f t="shared" si="3"/>
        <v>2F</v>
      </c>
      <c r="AB6" s="854" t="str">
        <f t="shared" si="1"/>
        <v>0\0</v>
      </c>
      <c r="AC6" s="854">
        <f t="shared" si="4"/>
        <v>0</v>
      </c>
      <c r="AD6" s="855" t="e">
        <f t="shared" si="5"/>
        <v>#N/A</v>
      </c>
      <c r="AH6" s="856"/>
      <c r="AL6" s="856"/>
    </row>
    <row r="7" spans="1:39">
      <c r="B7" s="843"/>
      <c r="C7" s="843"/>
      <c r="D7" s="857"/>
      <c r="E7" s="857"/>
      <c r="F7" s="857"/>
      <c r="G7" s="857"/>
      <c r="H7" s="857"/>
      <c r="I7" s="857"/>
      <c r="J7" s="857"/>
      <c r="K7" s="857"/>
      <c r="L7" s="857"/>
      <c r="M7" s="857"/>
      <c r="N7" s="857"/>
      <c r="P7" s="846"/>
      <c r="Q7" s="860"/>
      <c r="R7" s="848"/>
      <c r="S7" s="861"/>
      <c r="T7" s="848"/>
      <c r="U7" s="862"/>
      <c r="V7" s="863"/>
      <c r="W7" s="852"/>
      <c r="X7" s="838">
        <f t="shared" si="0"/>
        <v>0</v>
      </c>
      <c r="Y7" s="838">
        <f t="shared" si="0"/>
        <v>0</v>
      </c>
      <c r="Z7" s="853">
        <f t="shared" si="2"/>
        <v>0</v>
      </c>
      <c r="AA7" s="853" t="str">
        <f t="shared" si="3"/>
        <v>2F</v>
      </c>
      <c r="AB7" s="854" t="str">
        <f t="shared" si="1"/>
        <v>0\0</v>
      </c>
      <c r="AC7" s="854">
        <f t="shared" si="4"/>
        <v>0</v>
      </c>
      <c r="AD7" s="855" t="e">
        <f t="shared" si="5"/>
        <v>#N/A</v>
      </c>
      <c r="AH7" s="856"/>
      <c r="AL7" s="856"/>
    </row>
    <row r="8" spans="1:39">
      <c r="B8" s="843"/>
      <c r="C8" s="843"/>
      <c r="D8" s="857"/>
      <c r="E8" s="857"/>
      <c r="F8" s="857"/>
      <c r="G8" s="857"/>
      <c r="H8" s="857"/>
      <c r="I8" s="857"/>
      <c r="J8" s="857"/>
      <c r="K8" s="857"/>
      <c r="L8" s="857"/>
      <c r="M8" s="857"/>
      <c r="N8" s="857"/>
      <c r="P8" s="846"/>
      <c r="Q8" s="847"/>
      <c r="R8" s="848"/>
      <c r="S8" s="849"/>
      <c r="T8" s="848"/>
      <c r="U8" s="850"/>
      <c r="V8" s="863"/>
      <c r="W8" s="852"/>
      <c r="X8" s="838">
        <f t="shared" si="0"/>
        <v>0</v>
      </c>
      <c r="Y8" s="838">
        <f t="shared" si="0"/>
        <v>0</v>
      </c>
      <c r="Z8" s="853">
        <f t="shared" si="2"/>
        <v>0</v>
      </c>
      <c r="AA8" s="853" t="str">
        <f t="shared" si="3"/>
        <v>2F</v>
      </c>
      <c r="AB8" s="854" t="str">
        <f t="shared" si="1"/>
        <v>0\0</v>
      </c>
      <c r="AC8" s="854">
        <f t="shared" si="4"/>
        <v>0</v>
      </c>
      <c r="AD8" s="855" t="e">
        <f t="shared" si="5"/>
        <v>#N/A</v>
      </c>
      <c r="AH8" s="856"/>
      <c r="AL8" s="856"/>
    </row>
    <row r="9" spans="1:39" ht="17.25" thickBot="1">
      <c r="B9" s="858"/>
      <c r="C9" s="858"/>
      <c r="D9" s="859"/>
      <c r="E9" s="859"/>
      <c r="F9" s="859"/>
      <c r="G9" s="859"/>
      <c r="H9" s="859"/>
      <c r="I9" s="859"/>
      <c r="J9" s="859"/>
      <c r="K9" s="859"/>
      <c r="L9" s="859"/>
      <c r="M9" s="859"/>
      <c r="N9" s="859"/>
      <c r="P9" s="846"/>
      <c r="Q9" s="864"/>
      <c r="R9" s="848"/>
      <c r="S9" s="861"/>
      <c r="T9" s="848"/>
      <c r="U9" s="862"/>
      <c r="V9" s="863"/>
      <c r="W9" s="852"/>
      <c r="X9" s="838">
        <f t="shared" si="0"/>
        <v>0</v>
      </c>
      <c r="Y9" s="838">
        <f t="shared" si="0"/>
        <v>0</v>
      </c>
      <c r="Z9" s="853">
        <f t="shared" si="2"/>
        <v>0</v>
      </c>
      <c r="AA9" s="853" t="str">
        <f t="shared" si="3"/>
        <v>2F</v>
      </c>
      <c r="AB9" s="854" t="str">
        <f t="shared" si="1"/>
        <v>0\0</v>
      </c>
      <c r="AC9" s="854">
        <f t="shared" si="4"/>
        <v>0</v>
      </c>
      <c r="AD9" s="855" t="e">
        <f t="shared" si="5"/>
        <v>#N/A</v>
      </c>
      <c r="AH9" s="856"/>
      <c r="AL9" s="856"/>
    </row>
    <row r="10" spans="1:39" ht="19.5" thickTop="1" thickBot="1">
      <c r="B10" s="843"/>
      <c r="C10" s="843"/>
      <c r="D10" s="844"/>
      <c r="E10" s="845"/>
      <c r="F10" s="844"/>
      <c r="G10" s="844"/>
      <c r="H10" s="844"/>
      <c r="I10" s="844"/>
      <c r="J10" s="844"/>
      <c r="K10" s="844"/>
      <c r="L10" s="844"/>
      <c r="M10" s="844"/>
      <c r="N10" s="844"/>
      <c r="P10" s="846"/>
      <c r="Q10" s="864"/>
      <c r="R10" s="848"/>
      <c r="S10" s="861"/>
      <c r="T10" s="848"/>
      <c r="U10" s="862"/>
      <c r="V10" s="863"/>
      <c r="W10" s="852"/>
      <c r="X10" s="838">
        <f t="shared" si="0"/>
        <v>0</v>
      </c>
      <c r="Y10" s="838">
        <f t="shared" si="0"/>
        <v>0</v>
      </c>
      <c r="Z10" s="853">
        <f t="shared" si="2"/>
        <v>0</v>
      </c>
      <c r="AA10" s="853" t="str">
        <f t="shared" si="3"/>
        <v>2F</v>
      </c>
      <c r="AB10" s="854" t="str">
        <f t="shared" si="1"/>
        <v>0\0</v>
      </c>
      <c r="AC10" s="854">
        <f t="shared" si="4"/>
        <v>0</v>
      </c>
      <c r="AD10" s="855" t="e">
        <f t="shared" si="5"/>
        <v>#N/A</v>
      </c>
      <c r="AH10" s="856"/>
      <c r="AL10" s="856"/>
    </row>
    <row r="11" spans="1:39">
      <c r="B11" s="843"/>
      <c r="C11" s="843"/>
      <c r="D11" s="857"/>
      <c r="E11" s="857"/>
      <c r="F11" s="857"/>
      <c r="G11" s="857"/>
      <c r="H11" s="857"/>
      <c r="I11" s="857"/>
      <c r="J11" s="857"/>
      <c r="K11" s="857"/>
      <c r="L11" s="857"/>
      <c r="M11" s="857"/>
      <c r="N11" s="857"/>
      <c r="P11" s="846"/>
      <c r="Q11" s="864"/>
      <c r="R11" s="848"/>
      <c r="S11" s="861"/>
      <c r="T11" s="848"/>
      <c r="U11" s="862"/>
      <c r="V11" s="863"/>
      <c r="W11" s="852"/>
      <c r="X11" s="838">
        <f t="shared" si="0"/>
        <v>0</v>
      </c>
      <c r="Y11" s="838">
        <f t="shared" si="0"/>
        <v>0</v>
      </c>
      <c r="Z11" s="853">
        <f t="shared" si="2"/>
        <v>0</v>
      </c>
      <c r="AA11" s="853" t="str">
        <f t="shared" si="3"/>
        <v>2F</v>
      </c>
      <c r="AB11" s="854" t="str">
        <f t="shared" si="1"/>
        <v>0\0</v>
      </c>
      <c r="AC11" s="854">
        <f t="shared" si="4"/>
        <v>0</v>
      </c>
      <c r="AD11" s="855" t="e">
        <f t="shared" si="5"/>
        <v>#N/A</v>
      </c>
      <c r="AH11" s="856"/>
      <c r="AL11" s="856"/>
    </row>
    <row r="12" spans="1:39">
      <c r="B12" s="843"/>
      <c r="C12" s="843"/>
      <c r="D12" s="857"/>
      <c r="E12" s="857"/>
      <c r="F12" s="857"/>
      <c r="G12" s="857"/>
      <c r="H12" s="857"/>
      <c r="I12" s="857"/>
      <c r="J12" s="857"/>
      <c r="K12" s="857"/>
      <c r="L12" s="857"/>
      <c r="M12" s="857"/>
      <c r="N12" s="857"/>
      <c r="P12" s="846"/>
      <c r="Q12" s="847"/>
      <c r="R12" s="848"/>
      <c r="S12" s="849"/>
      <c r="T12" s="848"/>
      <c r="U12" s="865"/>
      <c r="V12" s="863"/>
      <c r="W12" s="852"/>
      <c r="X12" s="838">
        <f t="shared" si="0"/>
        <v>0</v>
      </c>
      <c r="Y12" s="838">
        <f t="shared" si="0"/>
        <v>0</v>
      </c>
      <c r="Z12" s="853">
        <f t="shared" si="2"/>
        <v>0</v>
      </c>
      <c r="AA12" s="853" t="str">
        <f t="shared" si="3"/>
        <v>2F</v>
      </c>
      <c r="AB12" s="854" t="str">
        <f t="shared" si="1"/>
        <v>0\0</v>
      </c>
      <c r="AC12" s="854">
        <f t="shared" si="4"/>
        <v>0</v>
      </c>
      <c r="AD12" s="855" t="e">
        <f t="shared" si="5"/>
        <v>#N/A</v>
      </c>
      <c r="AH12" s="856"/>
      <c r="AL12" s="856"/>
    </row>
    <row r="13" spans="1:39" ht="17.25" thickBot="1">
      <c r="B13" s="858"/>
      <c r="C13" s="858"/>
      <c r="D13" s="859"/>
      <c r="E13" s="859"/>
      <c r="F13" s="859"/>
      <c r="G13" s="859"/>
      <c r="H13" s="859"/>
      <c r="I13" s="859"/>
      <c r="J13" s="859"/>
      <c r="K13" s="859"/>
      <c r="L13" s="859"/>
      <c r="M13" s="859"/>
      <c r="N13" s="859"/>
      <c r="P13" s="846"/>
      <c r="Q13" s="847"/>
      <c r="R13" s="848"/>
      <c r="S13" s="849"/>
      <c r="T13" s="848"/>
      <c r="U13" s="850"/>
      <c r="V13" s="863"/>
      <c r="W13" s="852"/>
      <c r="X13" s="838">
        <f t="shared" si="0"/>
        <v>0</v>
      </c>
      <c r="Y13" s="838">
        <f t="shared" si="0"/>
        <v>0</v>
      </c>
      <c r="Z13" s="853">
        <f t="shared" si="2"/>
        <v>0</v>
      </c>
      <c r="AA13" s="853" t="str">
        <f t="shared" si="3"/>
        <v>2F</v>
      </c>
      <c r="AB13" s="854" t="str">
        <f t="shared" si="1"/>
        <v>0\0</v>
      </c>
      <c r="AC13" s="854">
        <f t="shared" si="4"/>
        <v>0</v>
      </c>
      <c r="AD13" s="855" t="e">
        <f t="shared" si="5"/>
        <v>#N/A</v>
      </c>
      <c r="AH13" s="856"/>
      <c r="AL13" s="856"/>
    </row>
    <row r="14" spans="1:39" ht="19.5" thickTop="1" thickBot="1">
      <c r="B14" s="843"/>
      <c r="C14" s="843"/>
      <c r="D14" s="844"/>
      <c r="E14" s="845"/>
      <c r="F14" s="844"/>
      <c r="G14" s="844"/>
      <c r="H14" s="844"/>
      <c r="I14" s="844"/>
      <c r="J14" s="844"/>
      <c r="K14" s="844"/>
      <c r="L14" s="844"/>
      <c r="M14" s="844"/>
      <c r="N14" s="844"/>
      <c r="P14" s="846"/>
      <c r="Q14" s="847"/>
      <c r="R14" s="848"/>
      <c r="S14" s="849"/>
      <c r="T14" s="848"/>
      <c r="U14" s="850"/>
      <c r="V14" s="863"/>
      <c r="W14" s="852"/>
      <c r="X14" s="838">
        <f t="shared" si="0"/>
        <v>0</v>
      </c>
      <c r="Y14" s="838">
        <f t="shared" si="0"/>
        <v>0</v>
      </c>
      <c r="Z14" s="853">
        <f t="shared" si="2"/>
        <v>0</v>
      </c>
      <c r="AA14" s="853" t="str">
        <f t="shared" si="3"/>
        <v>2F</v>
      </c>
      <c r="AB14" s="854" t="str">
        <f t="shared" si="1"/>
        <v>0\0</v>
      </c>
      <c r="AC14" s="854">
        <f t="shared" si="4"/>
        <v>0</v>
      </c>
      <c r="AD14" s="855" t="e">
        <f t="shared" si="5"/>
        <v>#N/A</v>
      </c>
      <c r="AH14" s="856"/>
      <c r="AL14" s="856"/>
    </row>
    <row r="15" spans="1:39">
      <c r="B15" s="843"/>
      <c r="C15" s="843"/>
      <c r="D15" s="857"/>
      <c r="E15" s="857"/>
      <c r="F15" s="857"/>
      <c r="G15" s="857"/>
      <c r="H15" s="857"/>
      <c r="I15" s="857"/>
      <c r="J15" s="857"/>
      <c r="K15" s="857"/>
      <c r="L15" s="857"/>
      <c r="M15" s="857"/>
      <c r="N15" s="857"/>
      <c r="P15" s="846"/>
      <c r="Q15" s="860"/>
      <c r="R15" s="848"/>
      <c r="S15" s="861"/>
      <c r="T15" s="848"/>
      <c r="U15" s="862"/>
      <c r="V15" s="863"/>
      <c r="W15" s="852"/>
      <c r="X15" s="838">
        <f t="shared" si="0"/>
        <v>0</v>
      </c>
      <c r="Y15" s="838">
        <f t="shared" si="0"/>
        <v>0</v>
      </c>
      <c r="Z15" s="853">
        <f t="shared" si="2"/>
        <v>0</v>
      </c>
      <c r="AA15" s="853" t="str">
        <f t="shared" si="3"/>
        <v>2F</v>
      </c>
      <c r="AB15" s="854" t="str">
        <f t="shared" si="1"/>
        <v>0\0</v>
      </c>
      <c r="AC15" s="854">
        <f t="shared" si="4"/>
        <v>0</v>
      </c>
      <c r="AD15" s="855" t="e">
        <f t="shared" si="5"/>
        <v>#N/A</v>
      </c>
      <c r="AH15" s="856"/>
      <c r="AL15" s="856"/>
    </row>
    <row r="16" spans="1:39">
      <c r="B16" s="843"/>
      <c r="C16" s="843"/>
      <c r="D16" s="857"/>
      <c r="E16" s="857"/>
      <c r="F16" s="857"/>
      <c r="G16" s="857"/>
      <c r="H16" s="857"/>
      <c r="I16" s="857"/>
      <c r="J16" s="857"/>
      <c r="K16" s="857"/>
      <c r="L16" s="857"/>
      <c r="M16" s="857"/>
      <c r="N16" s="857"/>
      <c r="P16" s="846"/>
      <c r="Q16" s="860"/>
      <c r="R16" s="848"/>
      <c r="S16" s="861"/>
      <c r="T16" s="848"/>
      <c r="U16" s="862"/>
      <c r="V16" s="863"/>
      <c r="W16" s="852"/>
      <c r="X16" s="838">
        <f t="shared" si="0"/>
        <v>0</v>
      </c>
      <c r="Y16" s="838">
        <f t="shared" si="0"/>
        <v>0</v>
      </c>
      <c r="Z16" s="853">
        <f t="shared" si="2"/>
        <v>0</v>
      </c>
      <c r="AA16" s="853" t="str">
        <f t="shared" si="3"/>
        <v>2F</v>
      </c>
      <c r="AB16" s="854" t="str">
        <f t="shared" si="1"/>
        <v>0\0</v>
      </c>
      <c r="AC16" s="854">
        <f t="shared" si="4"/>
        <v>0</v>
      </c>
      <c r="AD16" s="855" t="e">
        <f t="shared" si="5"/>
        <v>#N/A</v>
      </c>
      <c r="AH16" s="856"/>
      <c r="AL16" s="856"/>
    </row>
    <row r="17" spans="2:38" ht="17.25" thickBot="1">
      <c r="B17" s="858"/>
      <c r="C17" s="858"/>
      <c r="D17" s="859"/>
      <c r="E17" s="859"/>
      <c r="F17" s="859"/>
      <c r="G17" s="859"/>
      <c r="H17" s="859"/>
      <c r="I17" s="859"/>
      <c r="J17" s="859"/>
      <c r="K17" s="859"/>
      <c r="L17" s="859"/>
      <c r="M17" s="859"/>
      <c r="N17" s="859"/>
      <c r="P17" s="846"/>
      <c r="Q17" s="860"/>
      <c r="R17" s="848"/>
      <c r="S17" s="861"/>
      <c r="T17" s="848"/>
      <c r="U17" s="862"/>
      <c r="V17" s="863"/>
      <c r="W17" s="852"/>
      <c r="X17" s="838">
        <f t="shared" si="0"/>
        <v>0</v>
      </c>
      <c r="Y17" s="838">
        <f t="shared" si="0"/>
        <v>0</v>
      </c>
      <c r="Z17" s="853">
        <f t="shared" si="2"/>
        <v>0</v>
      </c>
      <c r="AA17" s="853" t="str">
        <f t="shared" si="3"/>
        <v>2F</v>
      </c>
      <c r="AB17" s="854" t="str">
        <f t="shared" si="1"/>
        <v>0\0</v>
      </c>
      <c r="AC17" s="854">
        <f t="shared" si="4"/>
        <v>0</v>
      </c>
      <c r="AD17" s="855" t="e">
        <f t="shared" si="5"/>
        <v>#N/A</v>
      </c>
      <c r="AH17" s="856"/>
      <c r="AL17" s="856"/>
    </row>
    <row r="18" spans="2:38" ht="19.5" thickTop="1" thickBot="1">
      <c r="B18" s="843"/>
      <c r="C18" s="843"/>
      <c r="D18" s="844"/>
      <c r="E18" s="845"/>
      <c r="F18" s="844"/>
      <c r="G18" s="844"/>
      <c r="H18" s="844"/>
      <c r="I18" s="844"/>
      <c r="J18" s="844"/>
      <c r="K18" s="844"/>
      <c r="L18" s="844"/>
      <c r="M18" s="844"/>
      <c r="N18" s="844"/>
      <c r="P18" s="846"/>
      <c r="Q18" s="860"/>
      <c r="R18" s="848"/>
      <c r="S18" s="861"/>
      <c r="T18" s="848"/>
      <c r="U18" s="862"/>
      <c r="V18" s="863"/>
      <c r="W18" s="852"/>
      <c r="X18" s="838">
        <f t="shared" si="0"/>
        <v>0</v>
      </c>
      <c r="Y18" s="838">
        <f t="shared" si="0"/>
        <v>0</v>
      </c>
      <c r="Z18" s="853">
        <f t="shared" si="2"/>
        <v>0</v>
      </c>
      <c r="AA18" s="853" t="str">
        <f t="shared" si="3"/>
        <v>2F</v>
      </c>
      <c r="AB18" s="854" t="str">
        <f t="shared" si="1"/>
        <v>0\0</v>
      </c>
      <c r="AC18" s="854">
        <f t="shared" si="4"/>
        <v>0</v>
      </c>
      <c r="AD18" s="855" t="e">
        <f t="shared" si="5"/>
        <v>#N/A</v>
      </c>
      <c r="AH18" s="856"/>
      <c r="AL18" s="856"/>
    </row>
    <row r="19" spans="2:38">
      <c r="B19" s="843"/>
      <c r="C19" s="843"/>
      <c r="D19" s="857"/>
      <c r="E19" s="857"/>
      <c r="F19" s="857"/>
      <c r="G19" s="857"/>
      <c r="H19" s="857"/>
      <c r="I19" s="857"/>
      <c r="J19" s="857"/>
      <c r="K19" s="857"/>
      <c r="L19" s="857"/>
      <c r="M19" s="857"/>
      <c r="N19" s="857"/>
      <c r="P19" s="846"/>
      <c r="Q19" s="860"/>
      <c r="R19" s="848"/>
      <c r="S19" s="861"/>
      <c r="T19" s="848"/>
      <c r="U19" s="862"/>
      <c r="V19" s="863"/>
      <c r="W19" s="852"/>
      <c r="X19" s="838">
        <f t="shared" si="0"/>
        <v>0</v>
      </c>
      <c r="Y19" s="838">
        <f t="shared" si="0"/>
        <v>0</v>
      </c>
      <c r="Z19" s="853">
        <f t="shared" si="2"/>
        <v>0</v>
      </c>
      <c r="AA19" s="853" t="str">
        <f t="shared" si="3"/>
        <v>2F</v>
      </c>
      <c r="AB19" s="854" t="str">
        <f t="shared" si="1"/>
        <v>0\0</v>
      </c>
      <c r="AC19" s="854">
        <f t="shared" si="4"/>
        <v>0</v>
      </c>
      <c r="AD19" s="855" t="e">
        <f t="shared" si="5"/>
        <v>#N/A</v>
      </c>
      <c r="AH19" s="856"/>
      <c r="AL19" s="856"/>
    </row>
    <row r="20" spans="2:38">
      <c r="B20" s="843"/>
      <c r="C20" s="843"/>
      <c r="D20" s="857"/>
      <c r="E20" s="857"/>
      <c r="F20" s="857"/>
      <c r="G20" s="857"/>
      <c r="H20" s="857"/>
      <c r="I20" s="857"/>
      <c r="J20" s="857"/>
      <c r="K20" s="857"/>
      <c r="L20" s="857"/>
      <c r="M20" s="857"/>
      <c r="N20" s="857"/>
      <c r="P20" s="846"/>
      <c r="Q20" s="847"/>
      <c r="R20" s="848"/>
      <c r="S20" s="849"/>
      <c r="T20" s="848"/>
      <c r="U20" s="865"/>
      <c r="V20" s="863"/>
      <c r="W20" s="852"/>
      <c r="X20" s="838">
        <f t="shared" si="0"/>
        <v>0</v>
      </c>
      <c r="Y20" s="838">
        <f t="shared" si="0"/>
        <v>0</v>
      </c>
      <c r="Z20" s="853">
        <f t="shared" si="2"/>
        <v>0</v>
      </c>
      <c r="AA20" s="853" t="str">
        <f t="shared" si="3"/>
        <v>2F</v>
      </c>
      <c r="AB20" s="854" t="str">
        <f t="shared" si="1"/>
        <v>0\0</v>
      </c>
      <c r="AC20" s="854">
        <f t="shared" si="4"/>
        <v>0</v>
      </c>
      <c r="AD20" s="855" t="e">
        <f t="shared" si="5"/>
        <v>#N/A</v>
      </c>
      <c r="AH20" s="856"/>
      <c r="AL20" s="856"/>
    </row>
    <row r="21" spans="2:38" ht="17.25" thickBot="1">
      <c r="B21" s="858"/>
      <c r="C21" s="858"/>
      <c r="D21" s="859"/>
      <c r="E21" s="859"/>
      <c r="F21" s="859"/>
      <c r="G21" s="859"/>
      <c r="H21" s="859"/>
      <c r="I21" s="859"/>
      <c r="J21" s="859"/>
      <c r="K21" s="859"/>
      <c r="L21" s="859"/>
      <c r="M21" s="859"/>
      <c r="N21" s="859"/>
      <c r="P21" s="846"/>
      <c r="Q21" s="847"/>
      <c r="R21" s="848"/>
      <c r="S21" s="849"/>
      <c r="T21" s="848"/>
      <c r="U21" s="865"/>
      <c r="V21" s="863"/>
      <c r="W21" s="852"/>
      <c r="X21" s="838">
        <f t="shared" si="0"/>
        <v>0</v>
      </c>
      <c r="Y21" s="838">
        <f t="shared" si="0"/>
        <v>0</v>
      </c>
      <c r="Z21" s="853">
        <f t="shared" si="2"/>
        <v>0</v>
      </c>
      <c r="AA21" s="853" t="str">
        <f t="shared" si="3"/>
        <v>2F</v>
      </c>
      <c r="AB21" s="854" t="str">
        <f t="shared" si="1"/>
        <v>0\0</v>
      </c>
      <c r="AC21" s="854">
        <f t="shared" si="4"/>
        <v>0</v>
      </c>
      <c r="AD21" s="855" t="e">
        <f t="shared" si="5"/>
        <v>#N/A</v>
      </c>
      <c r="AH21" s="856"/>
      <c r="AL21" s="856"/>
    </row>
    <row r="22" spans="2:38" ht="19.5" thickTop="1" thickBot="1">
      <c r="B22" s="843"/>
      <c r="C22" s="843"/>
      <c r="D22" s="844"/>
      <c r="E22" s="845"/>
      <c r="F22" s="844"/>
      <c r="G22" s="844"/>
      <c r="H22" s="844"/>
      <c r="I22" s="844"/>
      <c r="J22" s="844"/>
      <c r="K22" s="844"/>
      <c r="L22" s="844"/>
      <c r="M22" s="844"/>
      <c r="N22" s="844"/>
      <c r="P22" s="846"/>
      <c r="Q22" s="847"/>
      <c r="R22" s="848"/>
      <c r="S22" s="849"/>
      <c r="T22" s="848"/>
      <c r="U22" s="865"/>
      <c r="V22" s="863"/>
      <c r="W22" s="852"/>
      <c r="X22" s="838">
        <f t="shared" si="0"/>
        <v>0</v>
      </c>
      <c r="Y22" s="838">
        <f t="shared" si="0"/>
        <v>0</v>
      </c>
      <c r="Z22" s="853">
        <f t="shared" si="2"/>
        <v>0</v>
      </c>
      <c r="AA22" s="853" t="str">
        <f t="shared" si="3"/>
        <v>2F</v>
      </c>
      <c r="AB22" s="854" t="str">
        <f t="shared" si="1"/>
        <v>0\0</v>
      </c>
      <c r="AC22" s="854">
        <f t="shared" si="4"/>
        <v>0</v>
      </c>
      <c r="AD22" s="855" t="e">
        <f t="shared" si="5"/>
        <v>#N/A</v>
      </c>
      <c r="AH22" s="856"/>
      <c r="AL22" s="856"/>
    </row>
    <row r="23" spans="2:38">
      <c r="B23" s="843"/>
      <c r="C23" s="843"/>
      <c r="D23" s="857"/>
      <c r="E23" s="857"/>
      <c r="F23" s="857"/>
      <c r="G23" s="857"/>
      <c r="H23" s="857"/>
      <c r="I23" s="857"/>
      <c r="J23" s="857"/>
      <c r="K23" s="857"/>
      <c r="L23" s="857"/>
      <c r="M23" s="857"/>
      <c r="N23" s="857"/>
      <c r="P23" s="846"/>
      <c r="Q23" s="847"/>
      <c r="R23" s="848"/>
      <c r="S23" s="849"/>
      <c r="T23" s="848"/>
      <c r="U23" s="850"/>
      <c r="V23" s="863"/>
      <c r="W23" s="852"/>
      <c r="X23" s="838">
        <f t="shared" si="0"/>
        <v>0</v>
      </c>
      <c r="Y23" s="838">
        <f t="shared" si="0"/>
        <v>0</v>
      </c>
      <c r="Z23" s="853">
        <f t="shared" si="2"/>
        <v>0</v>
      </c>
      <c r="AA23" s="853" t="str">
        <f t="shared" si="3"/>
        <v>2F</v>
      </c>
      <c r="AB23" s="854" t="str">
        <f t="shared" si="1"/>
        <v>0\0</v>
      </c>
      <c r="AC23" s="854">
        <f t="shared" si="4"/>
        <v>0</v>
      </c>
      <c r="AD23" s="855" t="e">
        <f t="shared" si="5"/>
        <v>#N/A</v>
      </c>
      <c r="AH23" s="856"/>
      <c r="AL23" s="856"/>
    </row>
    <row r="24" spans="2:38">
      <c r="B24" s="843"/>
      <c r="C24" s="843"/>
      <c r="D24" s="857"/>
      <c r="E24" s="857"/>
      <c r="F24" s="857"/>
      <c r="G24" s="857"/>
      <c r="H24" s="857"/>
      <c r="I24" s="857"/>
      <c r="J24" s="857"/>
      <c r="K24" s="857"/>
      <c r="L24" s="857"/>
      <c r="M24" s="857"/>
      <c r="N24" s="857"/>
      <c r="P24" s="846"/>
      <c r="Q24" s="847"/>
      <c r="R24" s="848"/>
      <c r="S24" s="861"/>
      <c r="T24" s="848"/>
      <c r="U24" s="850"/>
      <c r="V24" s="863"/>
      <c r="W24" s="852"/>
      <c r="X24" s="838">
        <f t="shared" si="0"/>
        <v>0</v>
      </c>
      <c r="Y24" s="838">
        <f t="shared" si="0"/>
        <v>0</v>
      </c>
      <c r="Z24" s="853">
        <f t="shared" si="2"/>
        <v>0</v>
      </c>
      <c r="AA24" s="853" t="str">
        <f t="shared" si="3"/>
        <v>2F</v>
      </c>
      <c r="AB24" s="854" t="str">
        <f t="shared" si="1"/>
        <v>0\0</v>
      </c>
      <c r="AC24" s="854">
        <f t="shared" si="4"/>
        <v>0</v>
      </c>
      <c r="AD24" s="855" t="e">
        <f t="shared" si="5"/>
        <v>#N/A</v>
      </c>
      <c r="AH24" s="856"/>
      <c r="AL24" s="856"/>
    </row>
    <row r="25" spans="2:38" ht="17.25" thickBot="1">
      <c r="B25" s="858"/>
      <c r="C25" s="858"/>
      <c r="D25" s="859"/>
      <c r="E25" s="859"/>
      <c r="F25" s="859"/>
      <c r="G25" s="859"/>
      <c r="H25" s="859"/>
      <c r="I25" s="859"/>
      <c r="J25" s="859"/>
      <c r="K25" s="859"/>
      <c r="L25" s="859"/>
      <c r="M25" s="859"/>
      <c r="N25" s="859"/>
      <c r="P25" s="846"/>
      <c r="Q25" s="847"/>
      <c r="R25" s="848"/>
      <c r="S25" s="861"/>
      <c r="T25" s="848"/>
      <c r="U25" s="850"/>
      <c r="V25" s="863"/>
      <c r="W25" s="852"/>
      <c r="X25" s="838">
        <f t="shared" si="0"/>
        <v>0</v>
      </c>
      <c r="Y25" s="838">
        <f t="shared" si="0"/>
        <v>0</v>
      </c>
      <c r="Z25" s="853">
        <f t="shared" si="2"/>
        <v>0</v>
      </c>
      <c r="AA25" s="853" t="str">
        <f t="shared" si="3"/>
        <v>2F</v>
      </c>
      <c r="AB25" s="854" t="str">
        <f t="shared" si="1"/>
        <v>0\0</v>
      </c>
      <c r="AC25" s="854">
        <f t="shared" si="4"/>
        <v>0</v>
      </c>
      <c r="AD25" s="855" t="e">
        <f t="shared" si="5"/>
        <v>#N/A</v>
      </c>
      <c r="AH25" s="856"/>
      <c r="AL25" s="856"/>
    </row>
    <row r="26" spans="2:38" ht="19.5" thickTop="1" thickBot="1">
      <c r="B26" s="843"/>
      <c r="C26" s="843"/>
      <c r="D26" s="844"/>
      <c r="E26" s="845"/>
      <c r="F26" s="844"/>
      <c r="G26" s="844"/>
      <c r="H26" s="844"/>
      <c r="I26" s="844"/>
      <c r="J26" s="844"/>
      <c r="K26" s="844"/>
      <c r="L26" s="844"/>
      <c r="M26" s="844"/>
      <c r="N26" s="844"/>
      <c r="P26" s="866"/>
      <c r="Q26" s="847"/>
      <c r="R26" s="848"/>
      <c r="S26" s="849"/>
      <c r="T26" s="848"/>
      <c r="U26" s="865"/>
      <c r="V26" s="863"/>
      <c r="W26" s="852"/>
      <c r="X26" s="838">
        <f t="shared" si="0"/>
        <v>0</v>
      </c>
      <c r="Y26" s="838">
        <f t="shared" si="0"/>
        <v>0</v>
      </c>
      <c r="Z26" s="853">
        <f t="shared" si="2"/>
        <v>0</v>
      </c>
      <c r="AA26" s="853" t="str">
        <f t="shared" si="3"/>
        <v>2F</v>
      </c>
      <c r="AB26" s="854" t="str">
        <f t="shared" si="1"/>
        <v>0\0</v>
      </c>
      <c r="AC26" s="854">
        <f t="shared" si="4"/>
        <v>0</v>
      </c>
      <c r="AD26" s="855" t="e">
        <f t="shared" si="5"/>
        <v>#N/A</v>
      </c>
      <c r="AH26" s="856"/>
      <c r="AL26" s="856"/>
    </row>
    <row r="27" spans="2:38">
      <c r="B27" s="843"/>
      <c r="C27" s="843"/>
      <c r="D27" s="857"/>
      <c r="E27" s="857"/>
      <c r="F27" s="857"/>
      <c r="G27" s="857"/>
      <c r="H27" s="857"/>
      <c r="I27" s="857"/>
      <c r="J27" s="857"/>
      <c r="K27" s="857"/>
      <c r="L27" s="857"/>
      <c r="M27" s="857"/>
      <c r="N27" s="857"/>
      <c r="P27" s="866"/>
      <c r="Q27" s="847"/>
      <c r="R27" s="848"/>
      <c r="S27" s="849"/>
      <c r="T27" s="848"/>
      <c r="U27" s="865"/>
      <c r="V27" s="863"/>
      <c r="W27" s="852"/>
      <c r="X27" s="838">
        <f t="shared" si="0"/>
        <v>0</v>
      </c>
      <c r="Y27" s="838">
        <f t="shared" si="0"/>
        <v>0</v>
      </c>
      <c r="Z27" s="853">
        <f t="shared" si="2"/>
        <v>0</v>
      </c>
      <c r="AA27" s="853" t="str">
        <f t="shared" si="3"/>
        <v>2F</v>
      </c>
      <c r="AB27" s="854" t="str">
        <f t="shared" si="1"/>
        <v>0\0</v>
      </c>
      <c r="AC27" s="854">
        <f t="shared" si="4"/>
        <v>0</v>
      </c>
      <c r="AD27" s="855" t="e">
        <f t="shared" si="5"/>
        <v>#N/A</v>
      </c>
      <c r="AH27" s="856"/>
      <c r="AL27" s="856"/>
    </row>
    <row r="28" spans="2:38">
      <c r="B28" s="843"/>
      <c r="C28" s="843"/>
      <c r="D28" s="857"/>
      <c r="E28" s="857"/>
      <c r="F28" s="857"/>
      <c r="G28" s="857"/>
      <c r="H28" s="857"/>
      <c r="I28" s="857"/>
      <c r="J28" s="857"/>
      <c r="K28" s="857"/>
      <c r="L28" s="857"/>
      <c r="M28" s="857"/>
      <c r="N28" s="857"/>
      <c r="P28" s="866"/>
      <c r="Q28" s="847"/>
      <c r="R28" s="848"/>
      <c r="S28" s="849"/>
      <c r="T28" s="848"/>
      <c r="U28" s="865"/>
      <c r="V28" s="863"/>
      <c r="W28" s="852"/>
      <c r="X28" s="838">
        <f t="shared" si="0"/>
        <v>0</v>
      </c>
      <c r="Y28" s="838">
        <f t="shared" si="0"/>
        <v>0</v>
      </c>
      <c r="Z28" s="853">
        <f t="shared" si="2"/>
        <v>0</v>
      </c>
      <c r="AA28" s="853" t="str">
        <f t="shared" si="3"/>
        <v>2F</v>
      </c>
      <c r="AB28" s="854" t="str">
        <f t="shared" si="1"/>
        <v>0\0</v>
      </c>
      <c r="AC28" s="854">
        <f t="shared" si="4"/>
        <v>0</v>
      </c>
      <c r="AD28" s="855" t="e">
        <f t="shared" si="5"/>
        <v>#N/A</v>
      </c>
      <c r="AH28" s="856"/>
      <c r="AL28" s="856"/>
    </row>
    <row r="29" spans="2:38" ht="17.25" thickBot="1">
      <c r="B29" s="858"/>
      <c r="C29" s="858"/>
      <c r="D29" s="859"/>
      <c r="E29" s="859"/>
      <c r="F29" s="859"/>
      <c r="G29" s="859"/>
      <c r="H29" s="859"/>
      <c r="I29" s="859"/>
      <c r="J29" s="859"/>
      <c r="K29" s="859"/>
      <c r="L29" s="859"/>
      <c r="M29" s="859"/>
      <c r="N29" s="859"/>
      <c r="P29" s="846"/>
      <c r="Q29" s="847"/>
      <c r="R29" s="848"/>
      <c r="S29" s="849"/>
      <c r="T29" s="848"/>
      <c r="U29" s="850"/>
      <c r="V29" s="863"/>
      <c r="W29" s="852"/>
      <c r="X29" s="838">
        <f t="shared" si="0"/>
        <v>0</v>
      </c>
      <c r="Y29" s="838">
        <f t="shared" si="0"/>
        <v>0</v>
      </c>
      <c r="Z29" s="853">
        <f t="shared" si="2"/>
        <v>0</v>
      </c>
      <c r="AA29" s="853" t="str">
        <f t="shared" si="3"/>
        <v>2F</v>
      </c>
      <c r="AB29" s="854" t="str">
        <f t="shared" si="1"/>
        <v>0\0</v>
      </c>
      <c r="AC29" s="854">
        <f t="shared" si="4"/>
        <v>0</v>
      </c>
      <c r="AD29" s="855" t="e">
        <f t="shared" si="5"/>
        <v>#N/A</v>
      </c>
      <c r="AH29" s="856"/>
      <c r="AL29" s="856"/>
    </row>
    <row r="30" spans="2:38" ht="19.5" thickTop="1" thickBot="1">
      <c r="B30" s="843"/>
      <c r="C30" s="843"/>
      <c r="D30" s="844"/>
      <c r="E30" s="845"/>
      <c r="F30" s="844"/>
      <c r="G30" s="844"/>
      <c r="H30" s="844"/>
      <c r="I30" s="844"/>
      <c r="J30" s="844"/>
      <c r="K30" s="844"/>
      <c r="L30" s="844"/>
      <c r="M30" s="844"/>
      <c r="N30" s="844"/>
      <c r="P30" s="846"/>
      <c r="Q30" s="847"/>
      <c r="R30" s="848"/>
      <c r="S30" s="849"/>
      <c r="T30" s="848"/>
      <c r="U30" s="850"/>
      <c r="V30" s="863"/>
      <c r="W30" s="852"/>
      <c r="X30" s="838">
        <f t="shared" si="0"/>
        <v>0</v>
      </c>
      <c r="Y30" s="838">
        <f t="shared" si="0"/>
        <v>0</v>
      </c>
      <c r="Z30" s="853">
        <f t="shared" si="2"/>
        <v>0</v>
      </c>
      <c r="AA30" s="853" t="str">
        <f t="shared" si="3"/>
        <v>2F</v>
      </c>
      <c r="AB30" s="854" t="str">
        <f t="shared" si="1"/>
        <v>0\0</v>
      </c>
      <c r="AC30" s="854">
        <f t="shared" si="4"/>
        <v>0</v>
      </c>
      <c r="AD30" s="855" t="e">
        <f t="shared" si="5"/>
        <v>#N/A</v>
      </c>
      <c r="AH30" s="856"/>
      <c r="AL30" s="856"/>
    </row>
    <row r="31" spans="2:38">
      <c r="B31" s="843"/>
      <c r="C31" s="843"/>
      <c r="D31" s="857"/>
      <c r="E31" s="857"/>
      <c r="F31" s="857"/>
      <c r="G31" s="857"/>
      <c r="H31" s="857"/>
      <c r="I31" s="857"/>
      <c r="J31" s="857"/>
      <c r="K31" s="857"/>
      <c r="L31" s="857"/>
      <c r="M31" s="857"/>
      <c r="N31" s="857"/>
      <c r="P31" s="846"/>
      <c r="Q31" s="847"/>
      <c r="R31" s="848"/>
      <c r="S31" s="849"/>
      <c r="T31" s="848"/>
      <c r="U31" s="850"/>
      <c r="V31" s="863"/>
      <c r="W31" s="852"/>
      <c r="X31" s="838">
        <f t="shared" si="0"/>
        <v>0</v>
      </c>
      <c r="Y31" s="838">
        <f t="shared" si="0"/>
        <v>0</v>
      </c>
      <c r="Z31" s="853">
        <f t="shared" si="2"/>
        <v>0</v>
      </c>
      <c r="AA31" s="853" t="str">
        <f t="shared" si="3"/>
        <v>2F</v>
      </c>
      <c r="AB31" s="854" t="str">
        <f t="shared" si="1"/>
        <v>0\0</v>
      </c>
      <c r="AC31" s="854">
        <f t="shared" si="4"/>
        <v>0</v>
      </c>
      <c r="AD31" s="855" t="e">
        <f t="shared" si="5"/>
        <v>#N/A</v>
      </c>
      <c r="AH31" s="856"/>
      <c r="AL31" s="856"/>
    </row>
    <row r="32" spans="2:38">
      <c r="B32" s="843"/>
      <c r="C32" s="843"/>
      <c r="D32" s="857"/>
      <c r="E32" s="857"/>
      <c r="F32" s="857"/>
      <c r="G32" s="857"/>
      <c r="H32" s="857"/>
      <c r="I32" s="857"/>
      <c r="J32" s="857"/>
      <c r="K32" s="857"/>
      <c r="L32" s="857"/>
      <c r="M32" s="857"/>
      <c r="N32" s="857"/>
      <c r="P32" s="846"/>
      <c r="Q32" s="847"/>
      <c r="R32" s="848"/>
      <c r="S32" s="849"/>
      <c r="T32" s="848"/>
      <c r="U32" s="850"/>
      <c r="V32" s="863"/>
      <c r="W32" s="852"/>
      <c r="X32" s="838">
        <f t="shared" si="0"/>
        <v>0</v>
      </c>
      <c r="Y32" s="838">
        <f t="shared" si="0"/>
        <v>0</v>
      </c>
      <c r="Z32" s="853">
        <f t="shared" si="2"/>
        <v>0</v>
      </c>
      <c r="AA32" s="853" t="str">
        <f t="shared" si="3"/>
        <v>2F</v>
      </c>
      <c r="AB32" s="854" t="str">
        <f t="shared" si="1"/>
        <v>0\0</v>
      </c>
      <c r="AC32" s="854">
        <f t="shared" si="4"/>
        <v>0</v>
      </c>
      <c r="AD32" s="855" t="e">
        <f t="shared" si="5"/>
        <v>#N/A</v>
      </c>
      <c r="AH32" s="856"/>
      <c r="AL32" s="856"/>
    </row>
    <row r="33" spans="2:38" ht="17.25" thickBot="1">
      <c r="B33" s="858"/>
      <c r="C33" s="858"/>
      <c r="D33" s="859"/>
      <c r="E33" s="859"/>
      <c r="F33" s="859"/>
      <c r="G33" s="859"/>
      <c r="H33" s="859"/>
      <c r="I33" s="859"/>
      <c r="J33" s="859"/>
      <c r="K33" s="859"/>
      <c r="L33" s="859"/>
      <c r="M33" s="859"/>
      <c r="N33" s="859"/>
      <c r="P33" s="846"/>
      <c r="Q33" s="847"/>
      <c r="R33" s="848"/>
      <c r="S33" s="849"/>
      <c r="T33" s="848"/>
      <c r="U33" s="850"/>
      <c r="V33" s="863"/>
      <c r="W33" s="852"/>
      <c r="X33" s="838">
        <f t="shared" si="0"/>
        <v>0</v>
      </c>
      <c r="Y33" s="838">
        <f t="shared" si="0"/>
        <v>0</v>
      </c>
      <c r="Z33" s="853">
        <f t="shared" si="2"/>
        <v>0</v>
      </c>
      <c r="AA33" s="853" t="str">
        <f t="shared" si="3"/>
        <v>2F</v>
      </c>
      <c r="AB33" s="854" t="str">
        <f t="shared" si="1"/>
        <v>0\0</v>
      </c>
      <c r="AC33" s="854">
        <f t="shared" si="4"/>
        <v>0</v>
      </c>
      <c r="AD33" s="855" t="e">
        <f t="shared" si="5"/>
        <v>#N/A</v>
      </c>
      <c r="AH33" s="856"/>
      <c r="AL33" s="856"/>
    </row>
    <row r="34" spans="2:38" ht="19.5" thickTop="1" thickBot="1">
      <c r="B34" s="843"/>
      <c r="C34" s="843"/>
      <c r="D34" s="844"/>
      <c r="E34" s="845"/>
      <c r="F34" s="844"/>
      <c r="G34" s="844"/>
      <c r="H34" s="844"/>
      <c r="I34" s="844"/>
      <c r="J34" s="844"/>
      <c r="K34" s="844"/>
      <c r="L34" s="844"/>
      <c r="M34" s="844"/>
      <c r="N34" s="844"/>
      <c r="P34" s="846"/>
      <c r="Q34" s="847"/>
      <c r="R34" s="848"/>
      <c r="S34" s="849"/>
      <c r="T34" s="848"/>
      <c r="U34" s="850"/>
      <c r="V34" s="863"/>
      <c r="W34" s="852"/>
      <c r="X34" s="838">
        <f t="shared" ref="X34:Y65" si="6">U34*100</f>
        <v>0</v>
      </c>
      <c r="Y34" s="838">
        <f t="shared" si="6"/>
        <v>0</v>
      </c>
      <c r="Z34" s="853">
        <f t="shared" si="2"/>
        <v>0</v>
      </c>
      <c r="AA34" s="853" t="str">
        <f t="shared" si="3"/>
        <v>2F</v>
      </c>
      <c r="AB34" s="854" t="str">
        <f t="shared" si="1"/>
        <v>0\0</v>
      </c>
      <c r="AC34" s="854">
        <f t="shared" si="4"/>
        <v>0</v>
      </c>
      <c r="AD34" s="855" t="e">
        <f t="shared" si="5"/>
        <v>#N/A</v>
      </c>
      <c r="AH34" s="856"/>
      <c r="AL34" s="856"/>
    </row>
    <row r="35" spans="2:38">
      <c r="B35" s="843"/>
      <c r="C35" s="843"/>
      <c r="D35" s="857"/>
      <c r="E35" s="857"/>
      <c r="F35" s="857"/>
      <c r="G35" s="857"/>
      <c r="H35" s="857"/>
      <c r="I35" s="857"/>
      <c r="J35" s="857"/>
      <c r="K35" s="857"/>
      <c r="L35" s="857"/>
      <c r="M35" s="857"/>
      <c r="N35" s="857"/>
      <c r="P35" s="846"/>
      <c r="Q35" s="847"/>
      <c r="R35" s="848"/>
      <c r="S35" s="849"/>
      <c r="T35" s="848"/>
      <c r="U35" s="850"/>
      <c r="V35" s="863"/>
      <c r="W35" s="852"/>
      <c r="X35" s="838">
        <f t="shared" si="6"/>
        <v>0</v>
      </c>
      <c r="Y35" s="838">
        <f t="shared" si="6"/>
        <v>0</v>
      </c>
      <c r="Z35" s="853">
        <f t="shared" si="2"/>
        <v>0</v>
      </c>
      <c r="AA35" s="853" t="str">
        <f t="shared" si="3"/>
        <v>2F</v>
      </c>
      <c r="AB35" s="854" t="str">
        <f t="shared" si="1"/>
        <v>0\0</v>
      </c>
      <c r="AC35" s="854">
        <f t="shared" si="4"/>
        <v>0</v>
      </c>
      <c r="AD35" s="855" t="e">
        <f t="shared" si="5"/>
        <v>#N/A</v>
      </c>
      <c r="AH35" s="856"/>
      <c r="AL35" s="856"/>
    </row>
    <row r="36" spans="2:38">
      <c r="B36" s="843"/>
      <c r="C36" s="843"/>
      <c r="D36" s="857"/>
      <c r="E36" s="857"/>
      <c r="F36" s="857"/>
      <c r="G36" s="857"/>
      <c r="H36" s="857"/>
      <c r="I36" s="857"/>
      <c r="J36" s="857"/>
      <c r="K36" s="857"/>
      <c r="L36" s="857"/>
      <c r="M36" s="857"/>
      <c r="N36" s="857"/>
      <c r="P36" s="846"/>
      <c r="Q36" s="847"/>
      <c r="R36" s="848"/>
      <c r="S36" s="849"/>
      <c r="T36" s="848"/>
      <c r="U36" s="850"/>
      <c r="V36" s="863"/>
      <c r="W36" s="852"/>
      <c r="X36" s="838">
        <f t="shared" si="6"/>
        <v>0</v>
      </c>
      <c r="Y36" s="838">
        <f t="shared" si="6"/>
        <v>0</v>
      </c>
      <c r="Z36" s="853">
        <f t="shared" si="2"/>
        <v>0</v>
      </c>
      <c r="AA36" s="853" t="str">
        <f t="shared" si="3"/>
        <v>2F</v>
      </c>
      <c r="AB36" s="854" t="str">
        <f t="shared" si="1"/>
        <v>0\0</v>
      </c>
      <c r="AC36" s="854">
        <f t="shared" si="4"/>
        <v>0</v>
      </c>
      <c r="AD36" s="855" t="e">
        <f t="shared" si="5"/>
        <v>#N/A</v>
      </c>
      <c r="AH36" s="856"/>
      <c r="AL36" s="856"/>
    </row>
    <row r="37" spans="2:38" ht="17.25" thickBot="1">
      <c r="B37" s="858"/>
      <c r="C37" s="858"/>
      <c r="D37" s="859"/>
      <c r="E37" s="859"/>
      <c r="F37" s="859"/>
      <c r="G37" s="859"/>
      <c r="H37" s="859"/>
      <c r="I37" s="859"/>
      <c r="J37" s="859"/>
      <c r="K37" s="859"/>
      <c r="L37" s="859"/>
      <c r="M37" s="859"/>
      <c r="N37" s="859"/>
      <c r="P37" s="846"/>
      <c r="Q37" s="847"/>
      <c r="R37" s="848"/>
      <c r="S37" s="849"/>
      <c r="T37" s="848"/>
      <c r="U37" s="850"/>
      <c r="V37" s="863"/>
      <c r="W37" s="852"/>
      <c r="X37" s="838">
        <f t="shared" si="6"/>
        <v>0</v>
      </c>
      <c r="Y37" s="838">
        <f t="shared" si="6"/>
        <v>0</v>
      </c>
      <c r="Z37" s="853">
        <f t="shared" si="2"/>
        <v>0</v>
      </c>
      <c r="AA37" s="853" t="str">
        <f t="shared" si="3"/>
        <v>2F</v>
      </c>
      <c r="AB37" s="854" t="str">
        <f t="shared" si="1"/>
        <v>0\0</v>
      </c>
      <c r="AC37" s="854">
        <f t="shared" si="4"/>
        <v>0</v>
      </c>
      <c r="AD37" s="855" t="e">
        <f t="shared" si="5"/>
        <v>#N/A</v>
      </c>
      <c r="AH37" s="856"/>
      <c r="AL37" s="856"/>
    </row>
    <row r="38" spans="2:38" ht="19.5" thickTop="1" thickBot="1">
      <c r="B38" s="843"/>
      <c r="C38" s="843"/>
      <c r="D38" s="844"/>
      <c r="E38" s="845"/>
      <c r="F38" s="844"/>
      <c r="G38" s="844"/>
      <c r="H38" s="844"/>
      <c r="I38" s="844"/>
      <c r="J38" s="844"/>
      <c r="K38" s="844"/>
      <c r="L38" s="844"/>
      <c r="M38" s="844"/>
      <c r="N38" s="844"/>
      <c r="P38" s="846"/>
      <c r="Q38" s="847"/>
      <c r="R38" s="848"/>
      <c r="S38" s="849"/>
      <c r="T38" s="848"/>
      <c r="U38" s="850"/>
      <c r="V38" s="863"/>
      <c r="W38" s="852"/>
      <c r="X38" s="838">
        <f t="shared" si="6"/>
        <v>0</v>
      </c>
      <c r="Y38" s="838">
        <f t="shared" si="6"/>
        <v>0</v>
      </c>
      <c r="Z38" s="853">
        <f t="shared" si="2"/>
        <v>0</v>
      </c>
      <c r="AA38" s="853" t="str">
        <f t="shared" si="3"/>
        <v>2F</v>
      </c>
      <c r="AB38" s="854" t="str">
        <f t="shared" si="1"/>
        <v>0\0</v>
      </c>
      <c r="AC38" s="854">
        <f t="shared" si="4"/>
        <v>0</v>
      </c>
      <c r="AD38" s="855" t="e">
        <f t="shared" si="5"/>
        <v>#N/A</v>
      </c>
      <c r="AH38" s="856"/>
      <c r="AL38" s="856"/>
    </row>
    <row r="39" spans="2:38">
      <c r="B39" s="843"/>
      <c r="C39" s="843"/>
      <c r="D39" s="857"/>
      <c r="E39" s="857"/>
      <c r="F39" s="857"/>
      <c r="G39" s="857"/>
      <c r="H39" s="857"/>
      <c r="I39" s="857"/>
      <c r="J39" s="857"/>
      <c r="K39" s="857"/>
      <c r="L39" s="857"/>
      <c r="M39" s="857"/>
      <c r="N39" s="857"/>
      <c r="P39" s="846"/>
      <c r="Q39" s="847"/>
      <c r="R39" s="848"/>
      <c r="S39" s="849"/>
      <c r="T39" s="848"/>
      <c r="U39" s="850"/>
      <c r="V39" s="863"/>
      <c r="W39" s="852"/>
      <c r="X39" s="838">
        <f t="shared" si="6"/>
        <v>0</v>
      </c>
      <c r="Y39" s="838">
        <f t="shared" si="6"/>
        <v>0</v>
      </c>
      <c r="Z39" s="853">
        <f t="shared" si="2"/>
        <v>0</v>
      </c>
      <c r="AA39" s="853" t="str">
        <f t="shared" si="3"/>
        <v>2F</v>
      </c>
      <c r="AB39" s="854" t="str">
        <f t="shared" si="1"/>
        <v>0\0</v>
      </c>
      <c r="AC39" s="854">
        <f t="shared" si="4"/>
        <v>0</v>
      </c>
      <c r="AD39" s="855" t="e">
        <f t="shared" si="5"/>
        <v>#N/A</v>
      </c>
      <c r="AH39" s="856"/>
      <c r="AL39" s="856"/>
    </row>
    <row r="40" spans="2:38">
      <c r="B40" s="843"/>
      <c r="C40" s="843"/>
      <c r="D40" s="857"/>
      <c r="E40" s="857"/>
      <c r="F40" s="857"/>
      <c r="G40" s="857"/>
      <c r="H40" s="857"/>
      <c r="I40" s="857"/>
      <c r="J40" s="857"/>
      <c r="K40" s="857"/>
      <c r="L40" s="857"/>
      <c r="M40" s="857"/>
      <c r="N40" s="857"/>
      <c r="P40" s="846"/>
      <c r="Q40" s="847"/>
      <c r="R40" s="848"/>
      <c r="S40" s="849"/>
      <c r="T40" s="848"/>
      <c r="U40" s="850"/>
      <c r="V40" s="863"/>
      <c r="W40" s="852"/>
      <c r="X40" s="838">
        <f t="shared" si="6"/>
        <v>0</v>
      </c>
      <c r="Y40" s="838">
        <f t="shared" si="6"/>
        <v>0</v>
      </c>
      <c r="Z40" s="853">
        <f t="shared" si="2"/>
        <v>0</v>
      </c>
      <c r="AA40" s="853" t="str">
        <f t="shared" si="3"/>
        <v>2F</v>
      </c>
      <c r="AB40" s="854" t="str">
        <f t="shared" si="1"/>
        <v>0\0</v>
      </c>
      <c r="AC40" s="854">
        <f t="shared" si="4"/>
        <v>0</v>
      </c>
      <c r="AD40" s="855" t="e">
        <f t="shared" si="5"/>
        <v>#N/A</v>
      </c>
      <c r="AH40" s="856"/>
      <c r="AL40" s="856"/>
    </row>
    <row r="41" spans="2:38" ht="17.25" thickBot="1">
      <c r="B41" s="858"/>
      <c r="C41" s="858"/>
      <c r="D41" s="859"/>
      <c r="E41" s="859"/>
      <c r="F41" s="859"/>
      <c r="G41" s="859"/>
      <c r="H41" s="859"/>
      <c r="I41" s="859"/>
      <c r="J41" s="859"/>
      <c r="K41" s="859"/>
      <c r="L41" s="859"/>
      <c r="M41" s="859"/>
      <c r="N41" s="859"/>
      <c r="P41" s="846"/>
      <c r="Q41" s="847"/>
      <c r="R41" s="848"/>
      <c r="S41" s="849"/>
      <c r="T41" s="848"/>
      <c r="U41" s="850"/>
      <c r="V41" s="863"/>
      <c r="W41" s="852"/>
      <c r="X41" s="838">
        <f t="shared" si="6"/>
        <v>0</v>
      </c>
      <c r="Y41" s="838">
        <f t="shared" si="6"/>
        <v>0</v>
      </c>
      <c r="Z41" s="853">
        <f t="shared" si="2"/>
        <v>0</v>
      </c>
      <c r="AA41" s="853" t="str">
        <f t="shared" si="3"/>
        <v>2F</v>
      </c>
      <c r="AB41" s="854" t="str">
        <f t="shared" si="1"/>
        <v>0\0</v>
      </c>
      <c r="AC41" s="854">
        <f t="shared" si="4"/>
        <v>0</v>
      </c>
      <c r="AD41" s="855" t="e">
        <f t="shared" si="5"/>
        <v>#N/A</v>
      </c>
      <c r="AH41" s="856"/>
      <c r="AL41" s="856"/>
    </row>
    <row r="42" spans="2:38" ht="19.5" thickTop="1" thickBot="1">
      <c r="B42" s="843"/>
      <c r="C42" s="843"/>
      <c r="D42" s="844"/>
      <c r="E42" s="845"/>
      <c r="F42" s="844"/>
      <c r="G42" s="844"/>
      <c r="H42" s="844"/>
      <c r="I42" s="844"/>
      <c r="J42" s="844"/>
      <c r="K42" s="844"/>
      <c r="L42" s="844"/>
      <c r="M42" s="844"/>
      <c r="N42" s="844"/>
      <c r="P42" s="846"/>
      <c r="Q42" s="864"/>
      <c r="R42" s="848"/>
      <c r="S42" s="861"/>
      <c r="T42" s="848"/>
      <c r="U42" s="850"/>
      <c r="V42" s="863"/>
      <c r="W42" s="852"/>
      <c r="X42" s="838">
        <f t="shared" si="6"/>
        <v>0</v>
      </c>
      <c r="Y42" s="838">
        <f t="shared" si="6"/>
        <v>0</v>
      </c>
      <c r="Z42" s="853">
        <f t="shared" si="2"/>
        <v>0</v>
      </c>
      <c r="AA42" s="853" t="str">
        <f t="shared" si="3"/>
        <v>2F</v>
      </c>
      <c r="AB42" s="854" t="str">
        <f t="shared" si="1"/>
        <v>0\0</v>
      </c>
      <c r="AC42" s="854">
        <f t="shared" si="4"/>
        <v>0</v>
      </c>
      <c r="AD42" s="855" t="e">
        <f t="shared" si="5"/>
        <v>#N/A</v>
      </c>
      <c r="AH42" s="856"/>
      <c r="AL42" s="856"/>
    </row>
    <row r="43" spans="2:38">
      <c r="B43" s="843"/>
      <c r="C43" s="843"/>
      <c r="D43" s="857"/>
      <c r="E43" s="857"/>
      <c r="F43" s="857"/>
      <c r="G43" s="857"/>
      <c r="H43" s="857"/>
      <c r="I43" s="857"/>
      <c r="J43" s="857"/>
      <c r="K43" s="857"/>
      <c r="L43" s="857"/>
      <c r="M43" s="857"/>
      <c r="N43" s="857"/>
      <c r="P43" s="846"/>
      <c r="Q43" s="864"/>
      <c r="R43" s="848"/>
      <c r="S43" s="861"/>
      <c r="T43" s="848"/>
      <c r="U43" s="850"/>
      <c r="V43" s="863"/>
      <c r="W43" s="852"/>
      <c r="X43" s="838">
        <f t="shared" si="6"/>
        <v>0</v>
      </c>
      <c r="Y43" s="838">
        <f t="shared" si="6"/>
        <v>0</v>
      </c>
      <c r="Z43" s="853">
        <f t="shared" si="2"/>
        <v>0</v>
      </c>
      <c r="AA43" s="853" t="str">
        <f t="shared" si="3"/>
        <v>2F</v>
      </c>
      <c r="AB43" s="854" t="str">
        <f t="shared" si="1"/>
        <v>0\0</v>
      </c>
      <c r="AC43" s="854">
        <f t="shared" si="4"/>
        <v>0</v>
      </c>
      <c r="AD43" s="855" t="e">
        <f t="shared" si="5"/>
        <v>#N/A</v>
      </c>
      <c r="AH43" s="856"/>
      <c r="AL43" s="856"/>
    </row>
    <row r="44" spans="2:38">
      <c r="B44" s="843"/>
      <c r="C44" s="843"/>
      <c r="D44" s="857"/>
      <c r="E44" s="857"/>
      <c r="F44" s="857"/>
      <c r="G44" s="857"/>
      <c r="H44" s="857"/>
      <c r="I44" s="857"/>
      <c r="J44" s="857"/>
      <c r="K44" s="857"/>
      <c r="L44" s="857"/>
      <c r="M44" s="857"/>
      <c r="N44" s="857"/>
      <c r="P44" s="846"/>
      <c r="Q44" s="864"/>
      <c r="R44" s="848"/>
      <c r="S44" s="861"/>
      <c r="T44" s="848"/>
      <c r="U44" s="850"/>
      <c r="V44" s="863"/>
      <c r="W44" s="852"/>
      <c r="X44" s="838">
        <f t="shared" si="6"/>
        <v>0</v>
      </c>
      <c r="Y44" s="838">
        <f t="shared" si="6"/>
        <v>0</v>
      </c>
      <c r="Z44" s="853">
        <f t="shared" si="2"/>
        <v>0</v>
      </c>
      <c r="AA44" s="853" t="str">
        <f t="shared" si="3"/>
        <v>2F</v>
      </c>
      <c r="AB44" s="854" t="str">
        <f t="shared" si="1"/>
        <v>0\0</v>
      </c>
      <c r="AC44" s="854">
        <f t="shared" si="4"/>
        <v>0</v>
      </c>
      <c r="AD44" s="855" t="e">
        <f t="shared" si="5"/>
        <v>#N/A</v>
      </c>
      <c r="AH44" s="856"/>
      <c r="AL44" s="856"/>
    </row>
    <row r="45" spans="2:38" ht="17.25" thickBot="1">
      <c r="B45" s="858"/>
      <c r="C45" s="858"/>
      <c r="D45" s="859"/>
      <c r="E45" s="859"/>
      <c r="F45" s="859"/>
      <c r="G45" s="859"/>
      <c r="H45" s="859"/>
      <c r="I45" s="859"/>
      <c r="J45" s="859"/>
      <c r="K45" s="859"/>
      <c r="L45" s="859"/>
      <c r="M45" s="859"/>
      <c r="N45" s="859"/>
      <c r="P45" s="846"/>
      <c r="Q45" s="864"/>
      <c r="R45" s="848"/>
      <c r="S45" s="861"/>
      <c r="T45" s="848"/>
      <c r="U45" s="850"/>
      <c r="V45" s="863"/>
      <c r="W45" s="852"/>
      <c r="X45" s="838">
        <f t="shared" si="6"/>
        <v>0</v>
      </c>
      <c r="Y45" s="838">
        <f t="shared" si="6"/>
        <v>0</v>
      </c>
      <c r="Z45" s="853">
        <f t="shared" si="2"/>
        <v>0</v>
      </c>
      <c r="AA45" s="853" t="str">
        <f t="shared" si="3"/>
        <v>2F</v>
      </c>
      <c r="AB45" s="854" t="str">
        <f t="shared" si="1"/>
        <v>0\0</v>
      </c>
      <c r="AC45" s="854">
        <f t="shared" si="4"/>
        <v>0</v>
      </c>
      <c r="AD45" s="855" t="e">
        <f t="shared" si="5"/>
        <v>#N/A</v>
      </c>
      <c r="AH45" s="856"/>
      <c r="AL45" s="856"/>
    </row>
    <row r="46" spans="2:38" ht="19.5" thickTop="1" thickBot="1">
      <c r="B46" s="843"/>
      <c r="C46" s="843"/>
      <c r="D46" s="844"/>
      <c r="E46" s="845"/>
      <c r="F46" s="844"/>
      <c r="G46" s="844"/>
      <c r="H46" s="844"/>
      <c r="I46" s="844"/>
      <c r="J46" s="844"/>
      <c r="K46" s="844"/>
      <c r="L46" s="844"/>
      <c r="M46" s="844"/>
      <c r="N46" s="844"/>
      <c r="P46" s="846"/>
      <c r="Q46" s="864"/>
      <c r="R46" s="848"/>
      <c r="S46" s="861"/>
      <c r="T46" s="848"/>
      <c r="U46" s="850"/>
      <c r="V46" s="863"/>
      <c r="W46" s="852"/>
      <c r="X46" s="838">
        <f t="shared" si="6"/>
        <v>0</v>
      </c>
      <c r="Y46" s="838">
        <f t="shared" si="6"/>
        <v>0</v>
      </c>
      <c r="Z46" s="853">
        <f t="shared" si="2"/>
        <v>0</v>
      </c>
      <c r="AA46" s="853" t="str">
        <f t="shared" si="3"/>
        <v>2F</v>
      </c>
      <c r="AB46" s="854" t="str">
        <f t="shared" si="1"/>
        <v>0\0</v>
      </c>
      <c r="AC46" s="854">
        <f t="shared" si="4"/>
        <v>0</v>
      </c>
      <c r="AD46" s="855" t="e">
        <f t="shared" si="5"/>
        <v>#N/A</v>
      </c>
      <c r="AH46" s="856"/>
      <c r="AL46" s="856"/>
    </row>
    <row r="47" spans="2:38">
      <c r="B47" s="843"/>
      <c r="C47" s="843"/>
      <c r="D47" s="857"/>
      <c r="E47" s="857"/>
      <c r="F47" s="857"/>
      <c r="G47" s="857"/>
      <c r="H47" s="857"/>
      <c r="I47" s="857"/>
      <c r="J47" s="857"/>
      <c r="K47" s="857"/>
      <c r="L47" s="857"/>
      <c r="M47" s="857"/>
      <c r="N47" s="857"/>
      <c r="P47" s="846"/>
      <c r="Q47" s="860"/>
      <c r="R47" s="848"/>
      <c r="S47" s="861"/>
      <c r="T47" s="867"/>
      <c r="U47" s="865"/>
      <c r="V47" s="868"/>
      <c r="W47" s="852"/>
      <c r="X47" s="838">
        <f t="shared" si="6"/>
        <v>0</v>
      </c>
      <c r="Y47" s="838">
        <f t="shared" si="6"/>
        <v>0</v>
      </c>
      <c r="Z47" s="853">
        <f t="shared" si="2"/>
        <v>0</v>
      </c>
      <c r="AA47" s="853" t="str">
        <f t="shared" si="3"/>
        <v>2F</v>
      </c>
      <c r="AB47" s="854" t="str">
        <f t="shared" si="1"/>
        <v>0\0</v>
      </c>
      <c r="AC47" s="854">
        <f t="shared" si="4"/>
        <v>0</v>
      </c>
      <c r="AD47" s="855" t="e">
        <f t="shared" si="5"/>
        <v>#N/A</v>
      </c>
      <c r="AH47" s="856"/>
      <c r="AL47" s="856"/>
    </row>
    <row r="48" spans="2:38">
      <c r="B48" s="843"/>
      <c r="C48" s="843"/>
      <c r="D48" s="857"/>
      <c r="E48" s="857"/>
      <c r="F48" s="857"/>
      <c r="G48" s="857"/>
      <c r="H48" s="857"/>
      <c r="I48" s="857"/>
      <c r="J48" s="857"/>
      <c r="K48" s="857"/>
      <c r="L48" s="857"/>
      <c r="M48" s="857"/>
      <c r="N48" s="857"/>
      <c r="P48" s="846"/>
      <c r="Q48" s="895"/>
      <c r="R48" s="867"/>
      <c r="S48" s="896"/>
      <c r="T48" s="867"/>
      <c r="U48" s="897"/>
      <c r="V48" s="898"/>
      <c r="W48" s="852"/>
      <c r="X48" s="838">
        <f t="shared" si="6"/>
        <v>0</v>
      </c>
      <c r="Y48" s="838">
        <f t="shared" si="6"/>
        <v>0</v>
      </c>
      <c r="Z48" s="853">
        <f t="shared" si="2"/>
        <v>0</v>
      </c>
      <c r="AA48" s="853" t="str">
        <f t="shared" si="3"/>
        <v>2F</v>
      </c>
      <c r="AB48" s="854" t="str">
        <f t="shared" si="1"/>
        <v>0\0</v>
      </c>
      <c r="AC48" s="854">
        <f t="shared" si="4"/>
        <v>0</v>
      </c>
      <c r="AD48" s="855" t="e">
        <f t="shared" si="5"/>
        <v>#N/A</v>
      </c>
      <c r="AH48" s="856"/>
      <c r="AL48" s="856"/>
    </row>
    <row r="49" spans="2:38" ht="17.25" thickBot="1">
      <c r="B49" s="858"/>
      <c r="C49" s="858"/>
      <c r="D49" s="859"/>
      <c r="E49" s="859"/>
      <c r="F49" s="859"/>
      <c r="G49" s="859"/>
      <c r="H49" s="859"/>
      <c r="I49" s="859"/>
      <c r="J49" s="859"/>
      <c r="K49" s="859"/>
      <c r="L49" s="859"/>
      <c r="M49" s="859"/>
      <c r="N49" s="859"/>
      <c r="P49" s="846"/>
      <c r="Q49" s="899"/>
      <c r="R49" s="867"/>
      <c r="S49" s="896"/>
      <c r="T49" s="867"/>
      <c r="U49" s="897"/>
      <c r="V49" s="898"/>
      <c r="W49" s="852"/>
      <c r="X49" s="838">
        <f t="shared" si="6"/>
        <v>0</v>
      </c>
      <c r="Y49" s="838">
        <f t="shared" si="6"/>
        <v>0</v>
      </c>
      <c r="Z49" s="853">
        <f t="shared" si="2"/>
        <v>0</v>
      </c>
      <c r="AA49" s="853" t="str">
        <f t="shared" si="3"/>
        <v>2F</v>
      </c>
      <c r="AB49" s="854" t="str">
        <f t="shared" si="1"/>
        <v>0\0</v>
      </c>
      <c r="AC49" s="854">
        <f t="shared" si="4"/>
        <v>0</v>
      </c>
      <c r="AD49" s="855" t="e">
        <f t="shared" si="5"/>
        <v>#N/A</v>
      </c>
      <c r="AH49" s="856"/>
      <c r="AL49" s="856"/>
    </row>
    <row r="50" spans="2:38" ht="19.5" thickTop="1" thickBot="1">
      <c r="B50" s="843"/>
      <c r="C50" s="843"/>
      <c r="D50" s="844"/>
      <c r="E50" s="845"/>
      <c r="F50" s="844"/>
      <c r="G50" s="844"/>
      <c r="H50" s="844"/>
      <c r="I50" s="844"/>
      <c r="J50" s="844"/>
      <c r="K50" s="844"/>
      <c r="L50" s="844"/>
      <c r="M50" s="844"/>
      <c r="N50" s="844"/>
      <c r="P50" s="846"/>
      <c r="Q50" s="899"/>
      <c r="R50" s="867"/>
      <c r="S50" s="900"/>
      <c r="T50" s="867"/>
      <c r="U50" s="897"/>
      <c r="V50" s="898"/>
      <c r="W50" s="852"/>
      <c r="X50" s="838">
        <f t="shared" si="6"/>
        <v>0</v>
      </c>
      <c r="Y50" s="838">
        <f t="shared" si="6"/>
        <v>0</v>
      </c>
      <c r="Z50" s="853">
        <f t="shared" si="2"/>
        <v>0</v>
      </c>
      <c r="AA50" s="853" t="str">
        <f t="shared" si="3"/>
        <v>2F</v>
      </c>
      <c r="AB50" s="854" t="str">
        <f t="shared" si="1"/>
        <v>0\0</v>
      </c>
      <c r="AC50" s="854">
        <f t="shared" si="4"/>
        <v>0</v>
      </c>
      <c r="AD50" s="855" t="e">
        <f t="shared" si="5"/>
        <v>#N/A</v>
      </c>
      <c r="AH50" s="856"/>
      <c r="AL50" s="856"/>
    </row>
    <row r="51" spans="2:38">
      <c r="B51" s="843"/>
      <c r="C51" s="843"/>
      <c r="D51" s="857"/>
      <c r="E51" s="857"/>
      <c r="F51" s="857"/>
      <c r="G51" s="857"/>
      <c r="H51" s="857"/>
      <c r="I51" s="857"/>
      <c r="J51" s="857"/>
      <c r="K51" s="857"/>
      <c r="L51" s="857"/>
      <c r="M51" s="857"/>
      <c r="N51" s="857"/>
      <c r="P51" s="846"/>
      <c r="Q51" s="899"/>
      <c r="R51" s="867"/>
      <c r="S51" s="900"/>
      <c r="T51" s="867"/>
      <c r="U51" s="897"/>
      <c r="V51" s="898"/>
      <c r="W51" s="852"/>
      <c r="X51" s="838">
        <f t="shared" si="6"/>
        <v>0</v>
      </c>
      <c r="Y51" s="838">
        <f t="shared" si="6"/>
        <v>0</v>
      </c>
      <c r="Z51" s="853">
        <f t="shared" si="2"/>
        <v>0</v>
      </c>
      <c r="AA51" s="853" t="str">
        <f t="shared" si="3"/>
        <v>2F</v>
      </c>
      <c r="AB51" s="854" t="str">
        <f t="shared" si="1"/>
        <v>0\0</v>
      </c>
      <c r="AC51" s="854">
        <f t="shared" si="4"/>
        <v>0</v>
      </c>
      <c r="AD51" s="855" t="e">
        <f t="shared" si="5"/>
        <v>#N/A</v>
      </c>
      <c r="AH51" s="856"/>
      <c r="AL51" s="856"/>
    </row>
    <row r="52" spans="2:38">
      <c r="B52" s="843"/>
      <c r="C52" s="843"/>
      <c r="D52" s="857"/>
      <c r="E52" s="857"/>
      <c r="F52" s="857"/>
      <c r="G52" s="857"/>
      <c r="H52" s="857"/>
      <c r="I52" s="857"/>
      <c r="J52" s="857"/>
      <c r="K52" s="857"/>
      <c r="L52" s="857"/>
      <c r="M52" s="857"/>
      <c r="N52" s="857"/>
      <c r="P52" s="846"/>
      <c r="Q52" s="899"/>
      <c r="R52" s="867"/>
      <c r="S52" s="900"/>
      <c r="T52" s="867"/>
      <c r="U52" s="897"/>
      <c r="V52" s="898"/>
      <c r="W52" s="852"/>
      <c r="X52" s="838">
        <f t="shared" si="6"/>
        <v>0</v>
      </c>
      <c r="Y52" s="838">
        <f t="shared" si="6"/>
        <v>0</v>
      </c>
      <c r="Z52" s="853">
        <f t="shared" si="2"/>
        <v>0</v>
      </c>
      <c r="AA52" s="853" t="str">
        <f t="shared" si="3"/>
        <v>2F</v>
      </c>
      <c r="AB52" s="854" t="str">
        <f t="shared" si="1"/>
        <v>0\0</v>
      </c>
      <c r="AC52" s="854">
        <f t="shared" si="4"/>
        <v>0</v>
      </c>
      <c r="AD52" s="855" t="e">
        <f t="shared" si="5"/>
        <v>#N/A</v>
      </c>
      <c r="AH52" s="856"/>
      <c r="AL52" s="856"/>
    </row>
    <row r="53" spans="2:38" ht="17.25" thickBot="1">
      <c r="B53" s="858"/>
      <c r="C53" s="858"/>
      <c r="D53" s="859"/>
      <c r="E53" s="859"/>
      <c r="F53" s="859"/>
      <c r="G53" s="859"/>
      <c r="H53" s="859"/>
      <c r="I53" s="859"/>
      <c r="J53" s="859"/>
      <c r="K53" s="859"/>
      <c r="L53" s="859"/>
      <c r="M53" s="859"/>
      <c r="N53" s="859"/>
      <c r="P53" s="846"/>
      <c r="Q53" s="899"/>
      <c r="R53" s="867"/>
      <c r="S53" s="900"/>
      <c r="T53" s="867"/>
      <c r="U53" s="897"/>
      <c r="V53" s="898"/>
      <c r="W53" s="852"/>
      <c r="X53" s="838">
        <f t="shared" si="6"/>
        <v>0</v>
      </c>
      <c r="Y53" s="838">
        <f t="shared" si="6"/>
        <v>0</v>
      </c>
      <c r="Z53" s="853">
        <f t="shared" si="2"/>
        <v>0</v>
      </c>
      <c r="AA53" s="853" t="str">
        <f t="shared" si="3"/>
        <v>2F</v>
      </c>
      <c r="AB53" s="854" t="str">
        <f t="shared" si="1"/>
        <v>0\0</v>
      </c>
      <c r="AC53" s="854">
        <f t="shared" si="4"/>
        <v>0</v>
      </c>
      <c r="AD53" s="855" t="e">
        <f t="shared" si="5"/>
        <v>#N/A</v>
      </c>
      <c r="AH53" s="856"/>
      <c r="AL53" s="856"/>
    </row>
    <row r="54" spans="2:38" ht="19.5" thickTop="1" thickBot="1">
      <c r="B54" s="843"/>
      <c r="C54" s="843"/>
      <c r="D54" s="844"/>
      <c r="E54" s="845"/>
      <c r="F54" s="844"/>
      <c r="G54" s="844"/>
      <c r="H54" s="844"/>
      <c r="I54" s="844"/>
      <c r="J54" s="844"/>
      <c r="K54" s="844"/>
      <c r="L54" s="844"/>
      <c r="M54" s="844"/>
      <c r="N54" s="844"/>
      <c r="P54" s="846"/>
      <c r="Q54" s="899"/>
      <c r="R54" s="867"/>
      <c r="S54" s="900"/>
      <c r="T54" s="867"/>
      <c r="U54" s="897"/>
      <c r="V54" s="898"/>
      <c r="W54" s="852"/>
      <c r="X54" s="838">
        <f t="shared" si="6"/>
        <v>0</v>
      </c>
      <c r="Y54" s="838">
        <f t="shared" si="6"/>
        <v>0</v>
      </c>
      <c r="Z54" s="853">
        <f t="shared" si="2"/>
        <v>0</v>
      </c>
      <c r="AA54" s="853" t="str">
        <f t="shared" si="3"/>
        <v>2F</v>
      </c>
      <c r="AB54" s="854" t="str">
        <f t="shared" si="1"/>
        <v>0\0</v>
      </c>
      <c r="AC54" s="854">
        <f t="shared" si="4"/>
        <v>0</v>
      </c>
      <c r="AD54" s="855" t="e">
        <f t="shared" si="5"/>
        <v>#N/A</v>
      </c>
      <c r="AH54" s="856"/>
      <c r="AL54" s="856"/>
    </row>
    <row r="55" spans="2:38">
      <c r="B55" s="843"/>
      <c r="C55" s="843"/>
      <c r="D55" s="857"/>
      <c r="E55" s="857"/>
      <c r="F55" s="857"/>
      <c r="G55" s="857"/>
      <c r="H55" s="857"/>
      <c r="I55" s="857"/>
      <c r="J55" s="857"/>
      <c r="K55" s="857"/>
      <c r="L55" s="857"/>
      <c r="M55" s="857"/>
      <c r="N55" s="857"/>
      <c r="P55" s="846"/>
      <c r="Q55" s="899"/>
      <c r="R55" s="867"/>
      <c r="S55" s="900"/>
      <c r="T55" s="867"/>
      <c r="U55" s="897"/>
      <c r="V55" s="898"/>
      <c r="W55" s="852"/>
      <c r="X55" s="838">
        <f t="shared" si="6"/>
        <v>0</v>
      </c>
      <c r="Y55" s="838">
        <f t="shared" si="6"/>
        <v>0</v>
      </c>
      <c r="Z55" s="853">
        <f t="shared" si="2"/>
        <v>0</v>
      </c>
      <c r="AA55" s="853" t="str">
        <f t="shared" si="3"/>
        <v>2F</v>
      </c>
      <c r="AB55" s="854" t="str">
        <f t="shared" si="1"/>
        <v>0\0</v>
      </c>
      <c r="AC55" s="854">
        <f t="shared" si="4"/>
        <v>0</v>
      </c>
      <c r="AD55" s="855" t="e">
        <f t="shared" si="5"/>
        <v>#N/A</v>
      </c>
      <c r="AH55" s="856"/>
      <c r="AL55" s="856"/>
    </row>
    <row r="56" spans="2:38">
      <c r="B56" s="843"/>
      <c r="C56" s="843"/>
      <c r="D56" s="857"/>
      <c r="E56" s="857"/>
      <c r="F56" s="857"/>
      <c r="G56" s="857"/>
      <c r="H56" s="857"/>
      <c r="I56" s="857"/>
      <c r="J56" s="857"/>
      <c r="K56" s="857"/>
      <c r="L56" s="857"/>
      <c r="M56" s="857"/>
      <c r="N56" s="857"/>
      <c r="P56" s="846"/>
      <c r="Q56" s="901"/>
      <c r="R56" s="867"/>
      <c r="S56" s="902"/>
      <c r="T56" s="867"/>
      <c r="U56" s="897"/>
      <c r="V56" s="898"/>
      <c r="W56" s="852"/>
      <c r="X56" s="838">
        <f t="shared" si="6"/>
        <v>0</v>
      </c>
      <c r="Y56" s="838">
        <f t="shared" si="6"/>
        <v>0</v>
      </c>
      <c r="Z56" s="853">
        <f t="shared" si="2"/>
        <v>0</v>
      </c>
      <c r="AA56" s="853" t="str">
        <f t="shared" si="3"/>
        <v>2F</v>
      </c>
      <c r="AB56" s="854" t="str">
        <f t="shared" si="1"/>
        <v>0\0</v>
      </c>
      <c r="AC56" s="854">
        <f t="shared" si="4"/>
        <v>0</v>
      </c>
      <c r="AD56" s="855" t="e">
        <f t="shared" si="5"/>
        <v>#N/A</v>
      </c>
      <c r="AH56" s="856"/>
      <c r="AL56" s="856"/>
    </row>
    <row r="57" spans="2:38" ht="17.25" thickBot="1">
      <c r="B57" s="858"/>
      <c r="C57" s="858"/>
      <c r="D57" s="859"/>
      <c r="E57" s="859"/>
      <c r="F57" s="859"/>
      <c r="G57" s="859"/>
      <c r="H57" s="859"/>
      <c r="I57" s="859"/>
      <c r="J57" s="859"/>
      <c r="K57" s="859"/>
      <c r="L57" s="859"/>
      <c r="M57" s="859"/>
      <c r="N57" s="859"/>
      <c r="P57" s="846"/>
      <c r="Q57" s="901"/>
      <c r="R57" s="867"/>
      <c r="S57" s="902"/>
      <c r="T57" s="867"/>
      <c r="U57" s="897"/>
      <c r="V57" s="898"/>
      <c r="W57" s="852"/>
      <c r="X57" s="838">
        <f t="shared" si="6"/>
        <v>0</v>
      </c>
      <c r="Y57" s="838">
        <f t="shared" si="6"/>
        <v>0</v>
      </c>
      <c r="Z57" s="853">
        <f t="shared" si="2"/>
        <v>0</v>
      </c>
      <c r="AA57" s="853" t="str">
        <f t="shared" si="3"/>
        <v>2F</v>
      </c>
      <c r="AB57" s="854" t="str">
        <f t="shared" si="1"/>
        <v>0\0</v>
      </c>
      <c r="AC57" s="854">
        <f t="shared" si="4"/>
        <v>0</v>
      </c>
      <c r="AD57" s="855" t="e">
        <f t="shared" si="5"/>
        <v>#N/A</v>
      </c>
      <c r="AH57" s="856"/>
      <c r="AL57" s="856"/>
    </row>
    <row r="58" spans="2:38" ht="19.5" thickTop="1" thickBot="1">
      <c r="B58" s="843"/>
      <c r="C58" s="843"/>
      <c r="D58" s="844"/>
      <c r="E58" s="845"/>
      <c r="F58" s="844"/>
      <c r="G58" s="844"/>
      <c r="H58" s="844"/>
      <c r="I58" s="844"/>
      <c r="J58" s="844"/>
      <c r="K58" s="844"/>
      <c r="L58" s="844"/>
      <c r="M58" s="844"/>
      <c r="N58" s="844"/>
      <c r="P58" s="846"/>
      <c r="Q58" s="901"/>
      <c r="R58" s="867"/>
      <c r="S58" s="902"/>
      <c r="T58" s="867"/>
      <c r="U58" s="897"/>
      <c r="V58" s="898"/>
      <c r="W58" s="852"/>
      <c r="X58" s="838">
        <f t="shared" si="6"/>
        <v>0</v>
      </c>
      <c r="Y58" s="838">
        <f t="shared" si="6"/>
        <v>0</v>
      </c>
      <c r="Z58" s="853">
        <f t="shared" si="2"/>
        <v>0</v>
      </c>
      <c r="AA58" s="853" t="str">
        <f t="shared" si="3"/>
        <v>2F</v>
      </c>
      <c r="AB58" s="854" t="str">
        <f t="shared" si="1"/>
        <v>0\0</v>
      </c>
      <c r="AC58" s="854">
        <f t="shared" si="4"/>
        <v>0</v>
      </c>
      <c r="AD58" s="855" t="e">
        <f t="shared" si="5"/>
        <v>#N/A</v>
      </c>
      <c r="AH58" s="856"/>
      <c r="AL58" s="856"/>
    </row>
    <row r="59" spans="2:38">
      <c r="B59" s="843"/>
      <c r="C59" s="843"/>
      <c r="D59" s="857"/>
      <c r="E59" s="857"/>
      <c r="F59" s="857"/>
      <c r="G59" s="857"/>
      <c r="H59" s="857"/>
      <c r="I59" s="857"/>
      <c r="J59" s="857"/>
      <c r="K59" s="857"/>
      <c r="L59" s="857"/>
      <c r="M59" s="857"/>
      <c r="N59" s="857"/>
      <c r="P59" s="846"/>
      <c r="Q59" s="860"/>
      <c r="R59" s="848"/>
      <c r="S59" s="861"/>
      <c r="T59" s="867"/>
      <c r="U59" s="850"/>
      <c r="V59" s="863"/>
      <c r="W59" s="852"/>
      <c r="X59" s="838">
        <f t="shared" si="6"/>
        <v>0</v>
      </c>
      <c r="Y59" s="838">
        <f t="shared" si="6"/>
        <v>0</v>
      </c>
      <c r="Z59" s="853">
        <f t="shared" si="2"/>
        <v>0</v>
      </c>
      <c r="AA59" s="853" t="str">
        <f t="shared" si="3"/>
        <v>2F</v>
      </c>
      <c r="AB59" s="854" t="str">
        <f t="shared" si="1"/>
        <v>0\0</v>
      </c>
      <c r="AC59" s="854">
        <f t="shared" si="4"/>
        <v>0</v>
      </c>
      <c r="AD59" s="855" t="e">
        <f t="shared" si="5"/>
        <v>#N/A</v>
      </c>
      <c r="AH59" s="856"/>
      <c r="AL59" s="856"/>
    </row>
    <row r="60" spans="2:38">
      <c r="B60" s="843"/>
      <c r="C60" s="843"/>
      <c r="D60" s="857"/>
      <c r="E60" s="857"/>
      <c r="F60" s="857"/>
      <c r="G60" s="857"/>
      <c r="H60" s="857"/>
      <c r="I60" s="857"/>
      <c r="J60" s="857"/>
      <c r="K60" s="857"/>
      <c r="L60" s="857"/>
      <c r="M60" s="857"/>
      <c r="N60" s="857"/>
      <c r="P60" s="846"/>
      <c r="Q60" s="864"/>
      <c r="R60" s="848"/>
      <c r="S60" s="861"/>
      <c r="T60" s="867"/>
      <c r="U60" s="850"/>
      <c r="V60" s="863"/>
      <c r="W60" s="852"/>
      <c r="X60" s="838">
        <f t="shared" si="6"/>
        <v>0</v>
      </c>
      <c r="Y60" s="838">
        <f t="shared" si="6"/>
        <v>0</v>
      </c>
      <c r="Z60" s="853">
        <f t="shared" si="2"/>
        <v>0</v>
      </c>
      <c r="AA60" s="853" t="str">
        <f t="shared" si="3"/>
        <v>2F</v>
      </c>
      <c r="AB60" s="854" t="str">
        <f t="shared" si="1"/>
        <v>0\0</v>
      </c>
      <c r="AC60" s="854">
        <f t="shared" si="4"/>
        <v>0</v>
      </c>
      <c r="AD60" s="855" t="e">
        <f t="shared" si="5"/>
        <v>#N/A</v>
      </c>
      <c r="AH60" s="856"/>
      <c r="AL60" s="856"/>
    </row>
    <row r="61" spans="2:38" ht="17.25" thickBot="1">
      <c r="B61" s="858"/>
      <c r="C61" s="858"/>
      <c r="D61" s="859"/>
      <c r="E61" s="859"/>
      <c r="F61" s="859"/>
      <c r="G61" s="859"/>
      <c r="H61" s="859"/>
      <c r="I61" s="859"/>
      <c r="J61" s="859"/>
      <c r="K61" s="859"/>
      <c r="L61" s="859"/>
      <c r="M61" s="859"/>
      <c r="N61" s="859"/>
      <c r="P61" s="846"/>
      <c r="Q61" s="860"/>
      <c r="R61" s="848"/>
      <c r="S61" s="861"/>
      <c r="T61" s="867"/>
      <c r="U61" s="865"/>
      <c r="V61" s="868"/>
      <c r="W61" s="852"/>
      <c r="X61" s="838">
        <f t="shared" si="6"/>
        <v>0</v>
      </c>
      <c r="Y61" s="838">
        <f t="shared" si="6"/>
        <v>0</v>
      </c>
      <c r="Z61" s="853">
        <f t="shared" si="2"/>
        <v>0</v>
      </c>
      <c r="AA61" s="853" t="str">
        <f t="shared" si="3"/>
        <v>2F</v>
      </c>
      <c r="AB61" s="854" t="str">
        <f t="shared" si="1"/>
        <v>0\0</v>
      </c>
      <c r="AC61" s="854">
        <f t="shared" si="4"/>
        <v>0</v>
      </c>
      <c r="AD61" s="855" t="e">
        <f t="shared" si="5"/>
        <v>#N/A</v>
      </c>
      <c r="AH61" s="856"/>
      <c r="AL61" s="856"/>
    </row>
    <row r="62" spans="2:38" ht="19.5" thickTop="1" thickBot="1">
      <c r="B62" s="843"/>
      <c r="C62" s="843"/>
      <c r="D62" s="844"/>
      <c r="E62" s="845"/>
      <c r="F62" s="844"/>
      <c r="G62" s="844"/>
      <c r="H62" s="844"/>
      <c r="I62" s="844"/>
      <c r="J62" s="844"/>
      <c r="K62" s="844"/>
      <c r="L62" s="844"/>
      <c r="M62" s="844"/>
      <c r="N62" s="844"/>
      <c r="P62" s="846"/>
      <c r="Q62" s="864"/>
      <c r="R62" s="848"/>
      <c r="S62" s="861"/>
      <c r="T62" s="867"/>
      <c r="U62" s="850"/>
      <c r="V62" s="863"/>
      <c r="W62" s="852"/>
      <c r="X62" s="838">
        <f t="shared" si="6"/>
        <v>0</v>
      </c>
      <c r="Y62" s="838">
        <f t="shared" si="6"/>
        <v>0</v>
      </c>
      <c r="Z62" s="853">
        <f t="shared" si="2"/>
        <v>0</v>
      </c>
      <c r="AA62" s="853" t="str">
        <f t="shared" si="3"/>
        <v>2F</v>
      </c>
      <c r="AB62" s="854" t="str">
        <f t="shared" si="1"/>
        <v>0\0</v>
      </c>
      <c r="AC62" s="854">
        <f t="shared" si="4"/>
        <v>0</v>
      </c>
      <c r="AD62" s="855" t="e">
        <f t="shared" si="5"/>
        <v>#N/A</v>
      </c>
      <c r="AH62" s="856"/>
      <c r="AL62" s="856"/>
    </row>
    <row r="63" spans="2:38">
      <c r="B63" s="843"/>
      <c r="C63" s="843"/>
      <c r="D63" s="857"/>
      <c r="E63" s="857"/>
      <c r="F63" s="857"/>
      <c r="G63" s="857"/>
      <c r="H63" s="857"/>
      <c r="I63" s="857"/>
      <c r="J63" s="857"/>
      <c r="K63" s="857"/>
      <c r="L63" s="857"/>
      <c r="M63" s="857"/>
      <c r="N63" s="857"/>
      <c r="P63" s="846"/>
      <c r="Q63" s="860"/>
      <c r="R63" s="848"/>
      <c r="S63" s="861"/>
      <c r="T63" s="867"/>
      <c r="U63" s="865"/>
      <c r="V63" s="868"/>
      <c r="W63" s="852"/>
      <c r="X63" s="838">
        <f t="shared" si="6"/>
        <v>0</v>
      </c>
      <c r="Y63" s="838">
        <f t="shared" si="6"/>
        <v>0</v>
      </c>
      <c r="Z63" s="853">
        <f t="shared" si="2"/>
        <v>0</v>
      </c>
      <c r="AA63" s="853" t="str">
        <f t="shared" si="3"/>
        <v>2F</v>
      </c>
      <c r="AB63" s="854" t="str">
        <f t="shared" si="1"/>
        <v>0\0</v>
      </c>
      <c r="AC63" s="854">
        <f t="shared" si="4"/>
        <v>0</v>
      </c>
      <c r="AD63" s="855" t="e">
        <f t="shared" si="5"/>
        <v>#N/A</v>
      </c>
      <c r="AH63" s="856"/>
      <c r="AL63" s="856"/>
    </row>
    <row r="64" spans="2:38">
      <c r="B64" s="843"/>
      <c r="C64" s="843"/>
      <c r="D64" s="857"/>
      <c r="E64" s="857"/>
      <c r="F64" s="857"/>
      <c r="G64" s="857"/>
      <c r="H64" s="857"/>
      <c r="I64" s="857"/>
      <c r="J64" s="857"/>
      <c r="K64" s="857"/>
      <c r="L64" s="857"/>
      <c r="M64" s="857"/>
      <c r="N64" s="857"/>
      <c r="P64" s="846"/>
      <c r="Q64" s="860"/>
      <c r="R64" s="848"/>
      <c r="S64" s="861"/>
      <c r="T64" s="867"/>
      <c r="U64" s="865"/>
      <c r="V64" s="868"/>
      <c r="W64" s="852"/>
      <c r="X64" s="838">
        <f t="shared" si="6"/>
        <v>0</v>
      </c>
      <c r="Y64" s="838">
        <f t="shared" si="6"/>
        <v>0</v>
      </c>
      <c r="Z64" s="853">
        <f t="shared" si="2"/>
        <v>0</v>
      </c>
      <c r="AA64" s="853" t="str">
        <f t="shared" si="3"/>
        <v>2F</v>
      </c>
      <c r="AB64" s="854" t="str">
        <f t="shared" si="1"/>
        <v>0\0</v>
      </c>
      <c r="AC64" s="854">
        <f t="shared" si="4"/>
        <v>0</v>
      </c>
      <c r="AD64" s="855" t="e">
        <f t="shared" si="5"/>
        <v>#N/A</v>
      </c>
      <c r="AH64" s="856"/>
      <c r="AL64" s="856"/>
    </row>
    <row r="65" spans="2:38" ht="17.25" thickBot="1">
      <c r="B65" s="858"/>
      <c r="C65" s="858"/>
      <c r="D65" s="859"/>
      <c r="E65" s="859"/>
      <c r="F65" s="859"/>
      <c r="G65" s="859"/>
      <c r="H65" s="859"/>
      <c r="I65" s="859"/>
      <c r="J65" s="859"/>
      <c r="K65" s="859"/>
      <c r="L65" s="859"/>
      <c r="M65" s="859"/>
      <c r="N65" s="859"/>
      <c r="P65" s="846"/>
      <c r="Q65" s="860"/>
      <c r="R65" s="848"/>
      <c r="S65" s="861"/>
      <c r="T65" s="867"/>
      <c r="U65" s="865"/>
      <c r="V65" s="868"/>
      <c r="W65" s="852"/>
      <c r="X65" s="838">
        <f t="shared" si="6"/>
        <v>0</v>
      </c>
      <c r="Y65" s="838">
        <f t="shared" si="6"/>
        <v>0</v>
      </c>
      <c r="Z65" s="853">
        <f t="shared" si="2"/>
        <v>0</v>
      </c>
      <c r="AA65" s="853" t="str">
        <f t="shared" si="3"/>
        <v>2F</v>
      </c>
      <c r="AB65" s="854" t="str">
        <f t="shared" si="1"/>
        <v>0\0</v>
      </c>
      <c r="AC65" s="854">
        <f t="shared" si="4"/>
        <v>0</v>
      </c>
      <c r="AD65" s="855" t="e">
        <f t="shared" si="5"/>
        <v>#N/A</v>
      </c>
      <c r="AH65" s="856"/>
      <c r="AL65" s="856"/>
    </row>
    <row r="66" spans="2:38" ht="19.5" thickTop="1" thickBot="1">
      <c r="B66" s="843"/>
      <c r="C66" s="843"/>
      <c r="D66" s="844"/>
      <c r="E66" s="845"/>
      <c r="F66" s="844"/>
      <c r="G66" s="844"/>
      <c r="H66" s="844"/>
      <c r="I66" s="844"/>
      <c r="J66" s="844"/>
      <c r="K66" s="844"/>
      <c r="L66" s="844"/>
      <c r="M66" s="844"/>
      <c r="N66" s="844"/>
      <c r="P66" s="846"/>
      <c r="Q66" s="864"/>
      <c r="R66" s="848"/>
      <c r="S66" s="861"/>
      <c r="T66" s="867"/>
      <c r="U66" s="865"/>
      <c r="V66" s="868"/>
      <c r="W66" s="852"/>
      <c r="X66" s="838">
        <f t="shared" ref="X66:Y86" si="7">U66*100</f>
        <v>0</v>
      </c>
      <c r="Y66" s="838">
        <f t="shared" si="7"/>
        <v>0</v>
      </c>
      <c r="Z66" s="853">
        <f t="shared" si="2"/>
        <v>0</v>
      </c>
      <c r="AA66" s="853" t="str">
        <f t="shared" si="3"/>
        <v>2F</v>
      </c>
      <c r="AB66" s="854" t="str">
        <f t="shared" ref="AB66:AB84" si="8">X66&amp;"\"&amp;Y66</f>
        <v>0\0</v>
      </c>
      <c r="AC66" s="854">
        <f t="shared" si="4"/>
        <v>0</v>
      </c>
      <c r="AD66" s="855" t="e">
        <f t="shared" si="5"/>
        <v>#N/A</v>
      </c>
      <c r="AH66" s="856"/>
    </row>
    <row r="67" spans="2:38">
      <c r="B67" s="843"/>
      <c r="C67" s="843"/>
      <c r="D67" s="857"/>
      <c r="E67" s="857"/>
      <c r="F67" s="857"/>
      <c r="G67" s="857"/>
      <c r="H67" s="857"/>
      <c r="I67" s="857"/>
      <c r="J67" s="857"/>
      <c r="K67" s="857"/>
      <c r="L67" s="857"/>
      <c r="M67" s="857"/>
      <c r="N67" s="857"/>
      <c r="P67" s="846"/>
      <c r="Q67" s="864"/>
      <c r="R67" s="848"/>
      <c r="S67" s="861"/>
      <c r="T67" s="867"/>
      <c r="U67" s="865"/>
      <c r="V67" s="868"/>
      <c r="W67" s="852"/>
      <c r="X67" s="838">
        <f t="shared" si="7"/>
        <v>0</v>
      </c>
      <c r="Y67" s="838">
        <f t="shared" si="7"/>
        <v>0</v>
      </c>
      <c r="Z67" s="853">
        <f t="shared" ref="Z67:Z84" si="9">P67</f>
        <v>0</v>
      </c>
      <c r="AA67" s="853" t="str">
        <f t="shared" ref="AA67:AA77" si="10">"2F"&amp;Q67</f>
        <v>2F</v>
      </c>
      <c r="AB67" s="854" t="str">
        <f t="shared" si="8"/>
        <v>0\0</v>
      </c>
      <c r="AC67" s="854">
        <f t="shared" ref="AC67:AC84" si="11">T67</f>
        <v>0</v>
      </c>
      <c r="AD67" s="855" t="e">
        <f t="shared" ref="AD67:AD84" si="12">VLOOKUP(AA67,AF:AH,3,0)*100</f>
        <v>#N/A</v>
      </c>
      <c r="AH67" s="856"/>
    </row>
    <row r="68" spans="2:38">
      <c r="B68" s="843"/>
      <c r="C68" s="843"/>
      <c r="D68" s="857"/>
      <c r="E68" s="857"/>
      <c r="F68" s="857"/>
      <c r="G68" s="857"/>
      <c r="H68" s="857"/>
      <c r="I68" s="857"/>
      <c r="J68" s="857"/>
      <c r="K68" s="857"/>
      <c r="L68" s="857"/>
      <c r="M68" s="857"/>
      <c r="N68" s="857"/>
      <c r="P68" s="846"/>
      <c r="Q68" s="864"/>
      <c r="R68" s="848"/>
      <c r="S68" s="861"/>
      <c r="T68" s="867"/>
      <c r="U68" s="865"/>
      <c r="V68" s="868"/>
      <c r="W68" s="852"/>
      <c r="X68" s="838">
        <f t="shared" si="7"/>
        <v>0</v>
      </c>
      <c r="Y68" s="838">
        <f t="shared" si="7"/>
        <v>0</v>
      </c>
      <c r="Z68" s="853">
        <f t="shared" si="9"/>
        <v>0</v>
      </c>
      <c r="AA68" s="853" t="str">
        <f t="shared" si="10"/>
        <v>2F</v>
      </c>
      <c r="AB68" s="854" t="str">
        <f t="shared" si="8"/>
        <v>0\0</v>
      </c>
      <c r="AC68" s="854">
        <f t="shared" si="11"/>
        <v>0</v>
      </c>
      <c r="AD68" s="855" t="e">
        <f t="shared" si="12"/>
        <v>#N/A</v>
      </c>
      <c r="AH68" s="856"/>
    </row>
    <row r="69" spans="2:38" ht="17.25" thickBot="1">
      <c r="B69" s="858"/>
      <c r="C69" s="858"/>
      <c r="D69" s="859"/>
      <c r="E69" s="859"/>
      <c r="F69" s="859"/>
      <c r="G69" s="859"/>
      <c r="H69" s="859"/>
      <c r="I69" s="859"/>
      <c r="J69" s="859"/>
      <c r="K69" s="859"/>
      <c r="L69" s="859"/>
      <c r="M69" s="859"/>
      <c r="N69" s="859"/>
      <c r="P69" s="846"/>
      <c r="Q69" s="864"/>
      <c r="R69" s="848"/>
      <c r="S69" s="861"/>
      <c r="T69" s="867"/>
      <c r="U69" s="865"/>
      <c r="V69" s="868"/>
      <c r="W69" s="852"/>
      <c r="X69" s="838">
        <f t="shared" si="7"/>
        <v>0</v>
      </c>
      <c r="Y69" s="838">
        <f t="shared" si="7"/>
        <v>0</v>
      </c>
      <c r="Z69" s="853">
        <f t="shared" si="9"/>
        <v>0</v>
      </c>
      <c r="AA69" s="853" t="str">
        <f t="shared" si="10"/>
        <v>2F</v>
      </c>
      <c r="AB69" s="854" t="str">
        <f t="shared" si="8"/>
        <v>0\0</v>
      </c>
      <c r="AC69" s="854">
        <f t="shared" si="11"/>
        <v>0</v>
      </c>
      <c r="AD69" s="855" t="e">
        <f t="shared" si="12"/>
        <v>#N/A</v>
      </c>
      <c r="AH69" s="856"/>
    </row>
    <row r="70" spans="2:38" ht="19.5" thickTop="1" thickBot="1">
      <c r="B70" s="843"/>
      <c r="C70" s="843"/>
      <c r="D70" s="844"/>
      <c r="E70" s="845"/>
      <c r="F70" s="844"/>
      <c r="G70" s="844"/>
      <c r="H70" s="844"/>
      <c r="I70" s="844"/>
      <c r="J70" s="844"/>
      <c r="K70" s="844"/>
      <c r="L70" s="844"/>
      <c r="M70" s="844"/>
      <c r="N70" s="844"/>
      <c r="P70" s="846"/>
      <c r="Q70" s="860"/>
      <c r="R70" s="848"/>
      <c r="S70" s="861"/>
      <c r="T70" s="867"/>
      <c r="U70" s="850"/>
      <c r="V70" s="863"/>
      <c r="W70" s="852"/>
      <c r="X70" s="838">
        <f t="shared" si="7"/>
        <v>0</v>
      </c>
      <c r="Y70" s="838">
        <f t="shared" si="7"/>
        <v>0</v>
      </c>
      <c r="Z70" s="853">
        <f t="shared" si="9"/>
        <v>0</v>
      </c>
      <c r="AA70" s="853" t="str">
        <f t="shared" si="10"/>
        <v>2F</v>
      </c>
      <c r="AB70" s="854" t="str">
        <f t="shared" si="8"/>
        <v>0\0</v>
      </c>
      <c r="AC70" s="854">
        <f t="shared" si="11"/>
        <v>0</v>
      </c>
      <c r="AD70" s="855" t="e">
        <f t="shared" si="12"/>
        <v>#N/A</v>
      </c>
      <c r="AH70" s="856"/>
    </row>
    <row r="71" spans="2:38" ht="17.25" thickBot="1">
      <c r="B71" s="843"/>
      <c r="C71" s="843"/>
      <c r="D71" s="857"/>
      <c r="E71" s="857"/>
      <c r="F71" s="857"/>
      <c r="G71" s="857"/>
      <c r="H71" s="857"/>
      <c r="I71" s="857"/>
      <c r="J71" s="857"/>
      <c r="K71" s="857"/>
      <c r="L71" s="857"/>
      <c r="M71" s="857"/>
      <c r="N71" s="857"/>
      <c r="P71" s="869"/>
      <c r="Q71" s="870"/>
      <c r="R71" s="871"/>
      <c r="S71" s="872"/>
      <c r="T71" s="871"/>
      <c r="U71" s="873"/>
      <c r="V71" s="874"/>
      <c r="W71" s="852"/>
      <c r="X71" s="838">
        <f t="shared" si="7"/>
        <v>0</v>
      </c>
      <c r="Y71" s="838">
        <f t="shared" si="7"/>
        <v>0</v>
      </c>
      <c r="Z71" s="853">
        <f t="shared" si="9"/>
        <v>0</v>
      </c>
      <c r="AA71" s="853" t="str">
        <f t="shared" si="10"/>
        <v>2F</v>
      </c>
      <c r="AB71" s="854" t="str">
        <f t="shared" si="8"/>
        <v>0\0</v>
      </c>
      <c r="AC71" s="854">
        <f t="shared" si="11"/>
        <v>0</v>
      </c>
      <c r="AD71" s="855" t="e">
        <f t="shared" si="12"/>
        <v>#N/A</v>
      </c>
      <c r="AH71" s="856"/>
    </row>
    <row r="72" spans="2:38" ht="17.25" thickTop="1">
      <c r="B72" s="843"/>
      <c r="C72" s="843"/>
      <c r="D72" s="857"/>
      <c r="E72" s="857"/>
      <c r="F72" s="857"/>
      <c r="G72" s="857"/>
      <c r="H72" s="857"/>
      <c r="I72" s="857"/>
      <c r="J72" s="857"/>
      <c r="K72" s="857"/>
      <c r="L72" s="857"/>
      <c r="M72" s="857"/>
      <c r="N72" s="857"/>
      <c r="P72" s="875"/>
      <c r="Q72" s="875"/>
      <c r="R72" s="876"/>
      <c r="S72" s="875"/>
      <c r="T72" s="876"/>
      <c r="U72" s="877"/>
      <c r="V72" s="877"/>
      <c r="W72" s="852"/>
      <c r="X72" s="838">
        <f t="shared" si="7"/>
        <v>0</v>
      </c>
      <c r="Y72" s="838">
        <f t="shared" si="7"/>
        <v>0</v>
      </c>
      <c r="Z72" s="853">
        <f t="shared" si="9"/>
        <v>0</v>
      </c>
      <c r="AA72" s="853" t="str">
        <f t="shared" si="10"/>
        <v>2F</v>
      </c>
      <c r="AB72" s="854" t="str">
        <f t="shared" si="8"/>
        <v>0\0</v>
      </c>
      <c r="AC72" s="854">
        <f t="shared" si="11"/>
        <v>0</v>
      </c>
      <c r="AD72" s="855" t="e">
        <f t="shared" si="12"/>
        <v>#N/A</v>
      </c>
      <c r="AH72" s="856"/>
    </row>
    <row r="73" spans="2:38" ht="17.25" thickBot="1">
      <c r="B73" s="858"/>
      <c r="C73" s="858"/>
      <c r="D73" s="859"/>
      <c r="E73" s="859"/>
      <c r="F73" s="859"/>
      <c r="G73" s="859"/>
      <c r="H73" s="859"/>
      <c r="I73" s="859"/>
      <c r="J73" s="859"/>
      <c r="K73" s="859"/>
      <c r="L73" s="859"/>
      <c r="M73" s="859"/>
      <c r="N73" s="859"/>
      <c r="P73" s="878"/>
      <c r="Q73" s="878"/>
      <c r="R73" s="879"/>
      <c r="S73" s="878"/>
      <c r="T73" s="879"/>
      <c r="U73" s="880"/>
      <c r="V73" s="880"/>
      <c r="W73" s="852"/>
      <c r="X73" s="838">
        <f t="shared" si="7"/>
        <v>0</v>
      </c>
      <c r="Y73" s="838">
        <f t="shared" si="7"/>
        <v>0</v>
      </c>
      <c r="Z73" s="853">
        <f t="shared" si="9"/>
        <v>0</v>
      </c>
      <c r="AA73" s="853" t="str">
        <f t="shared" si="10"/>
        <v>2F</v>
      </c>
      <c r="AB73" s="854" t="str">
        <f t="shared" si="8"/>
        <v>0\0</v>
      </c>
      <c r="AC73" s="854">
        <f t="shared" si="11"/>
        <v>0</v>
      </c>
      <c r="AD73" s="855" t="e">
        <f t="shared" si="12"/>
        <v>#N/A</v>
      </c>
      <c r="AH73" s="856"/>
    </row>
    <row r="74" spans="2:38" ht="19.5" thickTop="1" thickBot="1">
      <c r="B74" s="843"/>
      <c r="C74" s="843"/>
      <c r="D74" s="844"/>
      <c r="E74" s="845"/>
      <c r="F74" s="844"/>
      <c r="G74" s="844"/>
      <c r="H74" s="844"/>
      <c r="I74" s="844"/>
      <c r="J74" s="844"/>
      <c r="K74" s="844"/>
      <c r="L74" s="844"/>
      <c r="M74" s="844"/>
      <c r="N74" s="844"/>
      <c r="P74" s="881"/>
      <c r="Q74" s="882"/>
      <c r="R74" s="883"/>
      <c r="S74" s="884"/>
      <c r="T74" s="885"/>
      <c r="U74" s="886"/>
      <c r="V74" s="886"/>
      <c r="W74" s="852"/>
      <c r="X74" s="838">
        <f t="shared" si="7"/>
        <v>0</v>
      </c>
      <c r="Y74" s="838">
        <f t="shared" si="7"/>
        <v>0</v>
      </c>
      <c r="Z74" s="853">
        <f t="shared" si="9"/>
        <v>0</v>
      </c>
      <c r="AA74" s="853" t="str">
        <f t="shared" si="10"/>
        <v>2F</v>
      </c>
      <c r="AB74" s="854" t="str">
        <f t="shared" si="8"/>
        <v>0\0</v>
      </c>
      <c r="AC74" s="854">
        <f t="shared" si="11"/>
        <v>0</v>
      </c>
      <c r="AD74" s="855" t="e">
        <f t="shared" si="12"/>
        <v>#N/A</v>
      </c>
      <c r="AH74" s="856"/>
    </row>
    <row r="75" spans="2:38">
      <c r="B75" s="843"/>
      <c r="C75" s="843"/>
      <c r="D75" s="857"/>
      <c r="E75" s="857"/>
      <c r="F75" s="857"/>
      <c r="G75" s="857"/>
      <c r="H75" s="857"/>
      <c r="I75" s="857"/>
      <c r="J75" s="857"/>
      <c r="K75" s="857"/>
      <c r="L75" s="857"/>
      <c r="M75" s="857"/>
      <c r="N75" s="857"/>
      <c r="P75" s="881"/>
      <c r="Q75" s="882"/>
      <c r="R75" s="883"/>
      <c r="S75" s="884"/>
      <c r="T75" s="885"/>
      <c r="U75" s="886"/>
      <c r="V75" s="886"/>
      <c r="W75" s="852"/>
      <c r="X75" s="838">
        <f t="shared" si="7"/>
        <v>0</v>
      </c>
      <c r="Y75" s="838">
        <f t="shared" si="7"/>
        <v>0</v>
      </c>
      <c r="Z75" s="853">
        <f t="shared" si="9"/>
        <v>0</v>
      </c>
      <c r="AA75" s="853" t="str">
        <f t="shared" si="10"/>
        <v>2F</v>
      </c>
      <c r="AB75" s="854" t="str">
        <f t="shared" si="8"/>
        <v>0\0</v>
      </c>
      <c r="AC75" s="854">
        <f t="shared" si="11"/>
        <v>0</v>
      </c>
      <c r="AD75" s="855" t="e">
        <f t="shared" si="12"/>
        <v>#N/A</v>
      </c>
      <c r="AH75" s="856"/>
    </row>
    <row r="76" spans="2:38">
      <c r="B76" s="843"/>
      <c r="C76" s="843"/>
      <c r="D76" s="857"/>
      <c r="E76" s="857"/>
      <c r="F76" s="857"/>
      <c r="G76" s="857"/>
      <c r="H76" s="857"/>
      <c r="I76" s="857"/>
      <c r="J76" s="857"/>
      <c r="K76" s="857"/>
      <c r="L76" s="857"/>
      <c r="M76" s="857"/>
      <c r="N76" s="857"/>
      <c r="P76" s="881"/>
      <c r="Q76" s="882"/>
      <c r="R76" s="883"/>
      <c r="S76" s="884"/>
      <c r="T76" s="885"/>
      <c r="U76" s="886"/>
      <c r="V76" s="886"/>
      <c r="W76" s="852"/>
      <c r="X76" s="838">
        <f t="shared" si="7"/>
        <v>0</v>
      </c>
      <c r="Y76" s="838">
        <f t="shared" si="7"/>
        <v>0</v>
      </c>
      <c r="Z76" s="853">
        <f t="shared" si="9"/>
        <v>0</v>
      </c>
      <c r="AA76" s="853" t="str">
        <f t="shared" si="10"/>
        <v>2F</v>
      </c>
      <c r="AB76" s="854" t="str">
        <f t="shared" si="8"/>
        <v>0\0</v>
      </c>
      <c r="AC76" s="854">
        <f t="shared" si="11"/>
        <v>0</v>
      </c>
      <c r="AD76" s="855" t="e">
        <f t="shared" si="12"/>
        <v>#N/A</v>
      </c>
      <c r="AH76" s="856"/>
    </row>
    <row r="77" spans="2:38" ht="17.25" thickBot="1">
      <c r="B77" s="858"/>
      <c r="C77" s="858"/>
      <c r="D77" s="859"/>
      <c r="E77" s="859"/>
      <c r="F77" s="859"/>
      <c r="G77" s="859"/>
      <c r="H77" s="859"/>
      <c r="I77" s="859"/>
      <c r="J77" s="859"/>
      <c r="K77" s="859"/>
      <c r="L77" s="859"/>
      <c r="M77" s="859"/>
      <c r="N77" s="859"/>
      <c r="P77" s="881"/>
      <c r="Q77" s="882"/>
      <c r="R77" s="883"/>
      <c r="S77" s="884"/>
      <c r="T77" s="885"/>
      <c r="U77" s="886"/>
      <c r="V77" s="886"/>
      <c r="W77" s="852"/>
      <c r="X77" s="838">
        <f t="shared" si="7"/>
        <v>0</v>
      </c>
      <c r="Y77" s="838">
        <f t="shared" si="7"/>
        <v>0</v>
      </c>
      <c r="Z77" s="853">
        <f t="shared" si="9"/>
        <v>0</v>
      </c>
      <c r="AA77" s="853" t="str">
        <f t="shared" si="10"/>
        <v>2F</v>
      </c>
      <c r="AB77" s="854" t="str">
        <f t="shared" si="8"/>
        <v>0\0</v>
      </c>
      <c r="AC77" s="854">
        <f t="shared" si="11"/>
        <v>0</v>
      </c>
      <c r="AD77" s="855" t="e">
        <f t="shared" si="12"/>
        <v>#N/A</v>
      </c>
      <c r="AH77" s="856"/>
    </row>
    <row r="78" spans="2:38" ht="19.5" thickTop="1" thickBot="1">
      <c r="B78" s="843"/>
      <c r="C78" s="843"/>
      <c r="D78" s="844"/>
      <c r="E78" s="845"/>
      <c r="F78" s="844"/>
      <c r="G78" s="844"/>
      <c r="H78" s="844"/>
      <c r="I78" s="844"/>
      <c r="J78" s="844"/>
      <c r="K78" s="844"/>
      <c r="L78" s="844"/>
      <c r="M78" s="844"/>
      <c r="N78" s="844"/>
      <c r="P78" s="881"/>
      <c r="Q78" s="853"/>
      <c r="R78" s="885"/>
      <c r="S78" s="884"/>
      <c r="T78" s="885"/>
      <c r="U78" s="886"/>
      <c r="V78" s="880"/>
      <c r="X78" s="838">
        <f t="shared" si="7"/>
        <v>0</v>
      </c>
      <c r="Y78" s="838">
        <f t="shared" si="7"/>
        <v>0</v>
      </c>
      <c r="Z78" s="853">
        <f t="shared" si="9"/>
        <v>0</v>
      </c>
      <c r="AA78" s="853" t="str">
        <f>"2F"&amp;Q78</f>
        <v>2F</v>
      </c>
      <c r="AB78" s="854" t="str">
        <f t="shared" si="8"/>
        <v>0\0</v>
      </c>
      <c r="AC78" s="854">
        <f t="shared" si="11"/>
        <v>0</v>
      </c>
      <c r="AD78" s="855" t="e">
        <f t="shared" si="12"/>
        <v>#N/A</v>
      </c>
      <c r="AH78" s="856"/>
    </row>
    <row r="79" spans="2:38">
      <c r="B79" s="843"/>
      <c r="C79" s="843"/>
      <c r="D79" s="857"/>
      <c r="E79" s="857"/>
      <c r="F79" s="857"/>
      <c r="G79" s="857"/>
      <c r="H79" s="857"/>
      <c r="I79" s="857"/>
      <c r="J79" s="857"/>
      <c r="K79" s="857"/>
      <c r="L79" s="857"/>
      <c r="M79" s="857"/>
      <c r="N79" s="857"/>
      <c r="P79" s="881"/>
      <c r="Q79" s="882"/>
      <c r="R79" s="883"/>
      <c r="S79" s="884"/>
      <c r="T79" s="885"/>
      <c r="U79" s="886"/>
      <c r="V79" s="886"/>
      <c r="X79" s="838">
        <f t="shared" si="7"/>
        <v>0</v>
      </c>
      <c r="Y79" s="838">
        <f t="shared" si="7"/>
        <v>0</v>
      </c>
      <c r="Z79" s="853">
        <f t="shared" si="9"/>
        <v>0</v>
      </c>
      <c r="AA79" s="853" t="str">
        <f t="shared" ref="AA79:AA84" si="13">"2F"&amp;Q79</f>
        <v>2F</v>
      </c>
      <c r="AB79" s="854" t="str">
        <f t="shared" si="8"/>
        <v>0\0</v>
      </c>
      <c r="AC79" s="854">
        <f t="shared" si="11"/>
        <v>0</v>
      </c>
      <c r="AD79" s="855" t="e">
        <f t="shared" si="12"/>
        <v>#N/A</v>
      </c>
      <c r="AH79" s="856"/>
    </row>
    <row r="80" spans="2:38">
      <c r="B80" s="843"/>
      <c r="C80" s="843"/>
      <c r="D80" s="857"/>
      <c r="E80" s="857"/>
      <c r="F80" s="857"/>
      <c r="G80" s="857"/>
      <c r="H80" s="857"/>
      <c r="I80" s="857"/>
      <c r="J80" s="857"/>
      <c r="K80" s="857"/>
      <c r="L80" s="857"/>
      <c r="M80" s="857"/>
      <c r="N80" s="857"/>
      <c r="P80" s="881"/>
      <c r="Q80" s="888"/>
      <c r="R80" s="883"/>
      <c r="S80" s="884"/>
      <c r="T80" s="885"/>
      <c r="U80" s="886"/>
      <c r="V80" s="886"/>
      <c r="X80" s="838">
        <f t="shared" si="7"/>
        <v>0</v>
      </c>
      <c r="Y80" s="838">
        <f t="shared" si="7"/>
        <v>0</v>
      </c>
      <c r="Z80" s="853">
        <f t="shared" si="9"/>
        <v>0</v>
      </c>
      <c r="AA80" s="853" t="str">
        <f t="shared" si="13"/>
        <v>2F</v>
      </c>
      <c r="AB80" s="854" t="str">
        <f t="shared" si="8"/>
        <v>0\0</v>
      </c>
      <c r="AC80" s="854">
        <f t="shared" si="11"/>
        <v>0</v>
      </c>
      <c r="AD80" s="855" t="e">
        <f t="shared" si="12"/>
        <v>#N/A</v>
      </c>
      <c r="AH80" s="856"/>
    </row>
    <row r="81" spans="2:34" ht="17.25" thickBot="1">
      <c r="B81" s="858"/>
      <c r="C81" s="858"/>
      <c r="D81" s="859"/>
      <c r="E81" s="859"/>
      <c r="F81" s="859"/>
      <c r="G81" s="859"/>
      <c r="H81" s="859"/>
      <c r="I81" s="859"/>
      <c r="J81" s="859"/>
      <c r="K81" s="859"/>
      <c r="L81" s="859"/>
      <c r="M81" s="859"/>
      <c r="N81" s="859"/>
      <c r="P81" s="881"/>
      <c r="Q81" s="888"/>
      <c r="R81" s="883"/>
      <c r="S81" s="884"/>
      <c r="T81" s="885"/>
      <c r="U81" s="886"/>
      <c r="V81" s="886"/>
      <c r="X81" s="838">
        <f t="shared" si="7"/>
        <v>0</v>
      </c>
      <c r="Y81" s="838">
        <f t="shared" si="7"/>
        <v>0</v>
      </c>
      <c r="Z81" s="853">
        <f t="shared" si="9"/>
        <v>0</v>
      </c>
      <c r="AA81" s="853" t="str">
        <f t="shared" si="13"/>
        <v>2F</v>
      </c>
      <c r="AB81" s="854" t="str">
        <f t="shared" si="8"/>
        <v>0\0</v>
      </c>
      <c r="AC81" s="854">
        <f t="shared" si="11"/>
        <v>0</v>
      </c>
      <c r="AD81" s="855" t="e">
        <f t="shared" si="12"/>
        <v>#N/A</v>
      </c>
      <c r="AH81" s="856"/>
    </row>
    <row r="82" spans="2:34" ht="19.5" thickTop="1" thickBot="1">
      <c r="B82" s="843"/>
      <c r="C82" s="843"/>
      <c r="D82" s="844"/>
      <c r="E82" s="845"/>
      <c r="F82" s="844"/>
      <c r="G82" s="844"/>
      <c r="H82" s="844"/>
      <c r="I82" s="844"/>
      <c r="J82" s="844"/>
      <c r="K82" s="844"/>
      <c r="L82" s="844"/>
      <c r="M82" s="844"/>
      <c r="N82" s="844"/>
      <c r="P82" s="881"/>
      <c r="Q82" s="882"/>
      <c r="R82" s="883"/>
      <c r="S82" s="884"/>
      <c r="T82" s="885"/>
      <c r="U82" s="889"/>
      <c r="V82" s="889"/>
      <c r="X82" s="838">
        <f t="shared" si="7"/>
        <v>0</v>
      </c>
      <c r="Y82" s="838">
        <f t="shared" si="7"/>
        <v>0</v>
      </c>
      <c r="Z82" s="853">
        <f t="shared" si="9"/>
        <v>0</v>
      </c>
      <c r="AA82" s="853" t="str">
        <f t="shared" si="13"/>
        <v>2F</v>
      </c>
      <c r="AB82" s="854" t="str">
        <f t="shared" si="8"/>
        <v>0\0</v>
      </c>
      <c r="AC82" s="854">
        <f t="shared" si="11"/>
        <v>0</v>
      </c>
      <c r="AD82" s="855" t="e">
        <f t="shared" si="12"/>
        <v>#N/A</v>
      </c>
      <c r="AH82" s="856"/>
    </row>
    <row r="83" spans="2:34">
      <c r="B83" s="843"/>
      <c r="C83" s="843"/>
      <c r="D83" s="857"/>
      <c r="E83" s="857"/>
      <c r="F83" s="857"/>
      <c r="G83" s="857"/>
      <c r="H83" s="857"/>
      <c r="I83" s="857"/>
      <c r="J83" s="857"/>
      <c r="K83" s="857"/>
      <c r="L83" s="857"/>
      <c r="M83" s="857"/>
      <c r="N83" s="857"/>
      <c r="P83" s="881"/>
      <c r="Q83" s="882"/>
      <c r="R83" s="883"/>
      <c r="S83" s="884"/>
      <c r="T83" s="885"/>
      <c r="U83" s="889"/>
      <c r="V83" s="889"/>
      <c r="X83" s="838">
        <f t="shared" si="7"/>
        <v>0</v>
      </c>
      <c r="Y83" s="838">
        <f t="shared" si="7"/>
        <v>0</v>
      </c>
      <c r="Z83" s="853">
        <f t="shared" si="9"/>
        <v>0</v>
      </c>
      <c r="AA83" s="853" t="str">
        <f t="shared" si="13"/>
        <v>2F</v>
      </c>
      <c r="AB83" s="854" t="str">
        <f t="shared" si="8"/>
        <v>0\0</v>
      </c>
      <c r="AC83" s="854">
        <f t="shared" si="11"/>
        <v>0</v>
      </c>
      <c r="AD83" s="855" t="e">
        <f t="shared" si="12"/>
        <v>#N/A</v>
      </c>
      <c r="AH83" s="856"/>
    </row>
    <row r="84" spans="2:34">
      <c r="B84" s="843"/>
      <c r="C84" s="843"/>
      <c r="D84" s="857"/>
      <c r="E84" s="857"/>
      <c r="F84" s="857"/>
      <c r="G84" s="857"/>
      <c r="H84" s="857"/>
      <c r="I84" s="857"/>
      <c r="J84" s="857"/>
      <c r="K84" s="857"/>
      <c r="L84" s="857"/>
      <c r="M84" s="857"/>
      <c r="N84" s="857"/>
      <c r="P84" s="881"/>
      <c r="Q84" s="882"/>
      <c r="R84" s="883"/>
      <c r="S84" s="884"/>
      <c r="T84" s="885"/>
      <c r="U84" s="889"/>
      <c r="V84" s="889"/>
      <c r="X84" s="838">
        <f t="shared" si="7"/>
        <v>0</v>
      </c>
      <c r="Y84" s="838">
        <f t="shared" si="7"/>
        <v>0</v>
      </c>
      <c r="Z84" s="853">
        <f t="shared" si="9"/>
        <v>0</v>
      </c>
      <c r="AA84" s="853" t="str">
        <f t="shared" si="13"/>
        <v>2F</v>
      </c>
      <c r="AB84" s="854" t="str">
        <f t="shared" si="8"/>
        <v>0\0</v>
      </c>
      <c r="AC84" s="854">
        <f t="shared" si="11"/>
        <v>0</v>
      </c>
      <c r="AD84" s="855" t="e">
        <f t="shared" si="12"/>
        <v>#N/A</v>
      </c>
      <c r="AH84" s="856"/>
    </row>
    <row r="85" spans="2:34" ht="17.25" thickBot="1">
      <c r="B85" s="858"/>
      <c r="C85" s="858"/>
      <c r="D85" s="859"/>
      <c r="E85" s="859"/>
      <c r="F85" s="859"/>
      <c r="G85" s="859"/>
      <c r="H85" s="859"/>
      <c r="I85" s="859"/>
      <c r="J85" s="859"/>
      <c r="K85" s="859"/>
      <c r="L85" s="859"/>
      <c r="M85" s="859"/>
      <c r="N85" s="859"/>
      <c r="P85" s="881"/>
      <c r="Q85" s="853"/>
      <c r="R85" s="885"/>
      <c r="S85" s="890"/>
      <c r="T85" s="885"/>
      <c r="U85" s="886"/>
      <c r="V85" s="880"/>
      <c r="X85" s="838">
        <f t="shared" si="7"/>
        <v>0</v>
      </c>
      <c r="Y85" s="838">
        <f t="shared" si="7"/>
        <v>0</v>
      </c>
      <c r="AD85" s="855"/>
      <c r="AH85" s="856"/>
    </row>
    <row r="86" spans="2:34" ht="19.5" thickTop="1" thickBot="1">
      <c r="B86" s="843"/>
      <c r="C86" s="843"/>
      <c r="D86" s="844"/>
      <c r="E86" s="845"/>
      <c r="F86" s="844"/>
      <c r="G86" s="844"/>
      <c r="H86" s="844"/>
      <c r="I86" s="844"/>
      <c r="J86" s="844"/>
      <c r="K86" s="844"/>
      <c r="L86" s="844"/>
      <c r="M86" s="844"/>
      <c r="N86" s="844"/>
      <c r="P86" s="878"/>
      <c r="Q86" s="878"/>
      <c r="R86" s="879"/>
      <c r="S86" s="878"/>
      <c r="T86" s="879"/>
      <c r="U86" s="880"/>
      <c r="V86" s="880"/>
      <c r="X86" s="838">
        <f t="shared" si="7"/>
        <v>0</v>
      </c>
      <c r="Y86" s="838">
        <f t="shared" si="7"/>
        <v>0</v>
      </c>
      <c r="AD86" s="855"/>
      <c r="AH86" s="856"/>
    </row>
    <row r="87" spans="2:34">
      <c r="B87" s="843"/>
      <c r="C87" s="843"/>
      <c r="D87" s="857"/>
      <c r="E87" s="857"/>
      <c r="F87" s="857"/>
      <c r="G87" s="857"/>
      <c r="H87" s="857"/>
      <c r="I87" s="857"/>
      <c r="J87" s="857"/>
      <c r="K87" s="857"/>
      <c r="L87" s="857"/>
      <c r="M87" s="857"/>
      <c r="N87" s="857"/>
      <c r="AD87" s="855"/>
      <c r="AH87" s="856"/>
    </row>
    <row r="88" spans="2:34">
      <c r="B88" s="843"/>
      <c r="C88" s="843"/>
      <c r="D88" s="857"/>
      <c r="E88" s="857"/>
      <c r="F88" s="857"/>
      <c r="G88" s="857"/>
      <c r="H88" s="857"/>
      <c r="I88" s="857"/>
      <c r="J88" s="857"/>
      <c r="K88" s="857"/>
      <c r="L88" s="857"/>
      <c r="M88" s="857"/>
      <c r="N88" s="857"/>
      <c r="AD88" s="855"/>
      <c r="AH88" s="856"/>
    </row>
    <row r="89" spans="2:34" ht="17.25" thickBot="1">
      <c r="B89" s="858"/>
      <c r="C89" s="858"/>
      <c r="D89" s="859"/>
      <c r="E89" s="859"/>
      <c r="F89" s="859"/>
      <c r="G89" s="859"/>
      <c r="H89" s="859"/>
      <c r="I89" s="859"/>
      <c r="J89" s="859"/>
      <c r="K89" s="859"/>
      <c r="L89" s="859"/>
      <c r="M89" s="859"/>
      <c r="N89" s="859"/>
      <c r="AD89" s="855"/>
      <c r="AH89" s="856"/>
    </row>
    <row r="90" spans="2:34" ht="19.5" thickTop="1" thickBot="1">
      <c r="B90" s="843"/>
      <c r="C90" s="843"/>
      <c r="D90" s="844"/>
      <c r="E90" s="845"/>
      <c r="F90" s="844"/>
      <c r="G90" s="844"/>
      <c r="H90" s="844"/>
      <c r="I90" s="844"/>
      <c r="J90" s="844"/>
      <c r="K90" s="844"/>
      <c r="L90" s="844"/>
      <c r="M90" s="844"/>
      <c r="N90" s="844"/>
      <c r="AD90" s="855"/>
      <c r="AH90" s="856"/>
    </row>
    <row r="91" spans="2:34">
      <c r="B91" s="843"/>
      <c r="C91" s="843"/>
      <c r="D91" s="857"/>
      <c r="E91" s="857"/>
      <c r="F91" s="857"/>
      <c r="G91" s="857"/>
      <c r="H91" s="857"/>
      <c r="I91" s="857"/>
      <c r="J91" s="857"/>
      <c r="K91" s="857"/>
      <c r="L91" s="857"/>
      <c r="M91" s="857"/>
      <c r="N91" s="857"/>
      <c r="AD91" s="855"/>
    </row>
    <row r="92" spans="2:34">
      <c r="B92" s="843"/>
      <c r="C92" s="843"/>
      <c r="D92" s="857"/>
      <c r="E92" s="857"/>
      <c r="F92" s="857"/>
      <c r="G92" s="857"/>
      <c r="H92" s="857"/>
      <c r="I92" s="857"/>
      <c r="J92" s="857"/>
      <c r="K92" s="857"/>
      <c r="L92" s="857"/>
      <c r="M92" s="857"/>
      <c r="N92" s="857"/>
      <c r="AD92" s="855"/>
    </row>
    <row r="93" spans="2:34" ht="17.25" thickBot="1">
      <c r="B93" s="858"/>
      <c r="C93" s="858"/>
      <c r="D93" s="859"/>
      <c r="E93" s="859"/>
      <c r="F93" s="859"/>
      <c r="G93" s="859"/>
      <c r="H93" s="859"/>
      <c r="I93" s="859"/>
      <c r="J93" s="859"/>
      <c r="K93" s="859"/>
      <c r="L93" s="859"/>
      <c r="M93" s="859"/>
      <c r="N93" s="859"/>
      <c r="AD93" s="855"/>
    </row>
    <row r="94" spans="2:34" ht="19.5" thickTop="1" thickBot="1">
      <c r="B94" s="843"/>
      <c r="C94" s="843"/>
      <c r="D94" s="844"/>
      <c r="E94" s="845"/>
      <c r="F94" s="844"/>
      <c r="G94" s="844"/>
      <c r="H94" s="844"/>
      <c r="I94" s="844"/>
      <c r="J94" s="844"/>
      <c r="K94" s="844"/>
      <c r="L94" s="844"/>
      <c r="M94" s="844"/>
      <c r="N94" s="844"/>
      <c r="AD94" s="855"/>
    </row>
    <row r="95" spans="2:34">
      <c r="B95" s="843"/>
      <c r="C95" s="843"/>
      <c r="D95" s="857"/>
      <c r="E95" s="857"/>
      <c r="F95" s="857"/>
      <c r="G95" s="857"/>
      <c r="H95" s="857"/>
      <c r="I95" s="857"/>
      <c r="J95" s="857"/>
      <c r="K95" s="857"/>
      <c r="L95" s="857"/>
      <c r="M95" s="857"/>
      <c r="N95" s="857"/>
      <c r="AD95" s="855"/>
    </row>
    <row r="96" spans="2:34">
      <c r="B96" s="843"/>
      <c r="C96" s="843"/>
      <c r="D96" s="857"/>
      <c r="E96" s="857"/>
      <c r="F96" s="857"/>
      <c r="G96" s="857"/>
      <c r="H96" s="857"/>
      <c r="I96" s="857"/>
      <c r="J96" s="857"/>
      <c r="K96" s="857"/>
      <c r="L96" s="857"/>
      <c r="M96" s="857"/>
      <c r="N96" s="857"/>
      <c r="AD96" s="855"/>
    </row>
    <row r="97" spans="2:30" ht="17.25" thickBot="1">
      <c r="B97" s="858"/>
      <c r="C97" s="858"/>
      <c r="D97" s="859"/>
      <c r="E97" s="859"/>
      <c r="F97" s="859"/>
      <c r="G97" s="859"/>
      <c r="H97" s="859"/>
      <c r="I97" s="859"/>
      <c r="J97" s="859"/>
      <c r="K97" s="859"/>
      <c r="L97" s="859"/>
      <c r="M97" s="859"/>
      <c r="N97" s="859"/>
      <c r="AD97" s="855"/>
    </row>
    <row r="98" spans="2:30" ht="19.5" thickTop="1" thickBot="1">
      <c r="B98" s="843"/>
      <c r="C98" s="843"/>
      <c r="D98" s="844"/>
      <c r="E98" s="845"/>
      <c r="F98" s="844"/>
      <c r="G98" s="844"/>
      <c r="H98" s="844"/>
      <c r="I98" s="844"/>
      <c r="J98" s="844"/>
      <c r="K98" s="844"/>
      <c r="L98" s="844"/>
      <c r="M98" s="844"/>
      <c r="N98" s="844"/>
      <c r="AD98" s="855"/>
    </row>
    <row r="99" spans="2:30">
      <c r="B99" s="843"/>
      <c r="C99" s="843"/>
      <c r="D99" s="857"/>
      <c r="E99" s="857"/>
      <c r="F99" s="857"/>
      <c r="G99" s="857"/>
      <c r="H99" s="857"/>
      <c r="I99" s="857"/>
      <c r="J99" s="857"/>
      <c r="K99" s="857"/>
      <c r="L99" s="857"/>
      <c r="M99" s="857"/>
      <c r="N99" s="857"/>
      <c r="AD99" s="855"/>
    </row>
    <row r="100" spans="2:30">
      <c r="B100" s="843"/>
      <c r="C100" s="843"/>
      <c r="D100" s="857"/>
      <c r="E100" s="857"/>
      <c r="F100" s="857"/>
      <c r="G100" s="857"/>
      <c r="H100" s="857"/>
      <c r="I100" s="857"/>
      <c r="J100" s="857"/>
      <c r="K100" s="857"/>
      <c r="L100" s="857"/>
      <c r="M100" s="857"/>
      <c r="N100" s="857"/>
      <c r="AD100" s="855"/>
    </row>
    <row r="101" spans="2:30" ht="17.25" thickBot="1">
      <c r="B101" s="858"/>
      <c r="C101" s="858"/>
      <c r="D101" s="859"/>
      <c r="E101" s="859"/>
      <c r="F101" s="859"/>
      <c r="G101" s="859"/>
      <c r="H101" s="859"/>
      <c r="I101" s="859"/>
      <c r="J101" s="859"/>
      <c r="K101" s="859"/>
      <c r="L101" s="859"/>
      <c r="M101" s="859"/>
      <c r="N101" s="859"/>
      <c r="AD101" s="855"/>
    </row>
    <row r="102" spans="2:30" ht="19.5" thickTop="1" thickBot="1">
      <c r="B102" s="843"/>
      <c r="C102" s="843"/>
      <c r="D102" s="844"/>
      <c r="E102" s="845"/>
      <c r="F102" s="844"/>
      <c r="G102" s="844"/>
      <c r="H102" s="844"/>
      <c r="I102" s="844"/>
      <c r="J102" s="844"/>
      <c r="K102" s="844"/>
      <c r="L102" s="844"/>
      <c r="M102" s="844"/>
      <c r="N102" s="844"/>
      <c r="AD102" s="855"/>
    </row>
    <row r="103" spans="2:30">
      <c r="B103" s="843"/>
      <c r="C103" s="843"/>
      <c r="D103" s="857"/>
      <c r="E103" s="857"/>
      <c r="F103" s="857"/>
      <c r="G103" s="857"/>
      <c r="H103" s="857"/>
      <c r="I103" s="857"/>
      <c r="J103" s="857"/>
      <c r="K103" s="857"/>
      <c r="L103" s="857"/>
      <c r="M103" s="857"/>
      <c r="N103" s="857"/>
      <c r="AD103" s="855"/>
    </row>
    <row r="104" spans="2:30">
      <c r="B104" s="843"/>
      <c r="C104" s="843"/>
      <c r="D104" s="857"/>
      <c r="E104" s="857"/>
      <c r="F104" s="857"/>
      <c r="G104" s="857"/>
      <c r="H104" s="857"/>
      <c r="I104" s="857"/>
      <c r="J104" s="857"/>
      <c r="K104" s="857"/>
      <c r="L104" s="857"/>
      <c r="M104" s="857"/>
      <c r="N104" s="857"/>
      <c r="AD104" s="855"/>
    </row>
    <row r="105" spans="2:30" ht="17.25" thickBot="1">
      <c r="B105" s="858"/>
      <c r="C105" s="858"/>
      <c r="D105" s="859"/>
      <c r="E105" s="859"/>
      <c r="F105" s="859"/>
      <c r="G105" s="859"/>
      <c r="H105" s="859"/>
      <c r="I105" s="859"/>
      <c r="J105" s="859"/>
      <c r="K105" s="859"/>
      <c r="L105" s="859"/>
      <c r="M105" s="859"/>
      <c r="N105" s="859"/>
      <c r="AD105" s="855"/>
    </row>
    <row r="106" spans="2:30" ht="19.5" thickTop="1" thickBot="1">
      <c r="B106" s="843"/>
      <c r="C106" s="843"/>
      <c r="D106" s="844"/>
      <c r="E106" s="845"/>
      <c r="F106" s="844"/>
      <c r="G106" s="844"/>
      <c r="H106" s="844"/>
      <c r="I106" s="844"/>
      <c r="J106" s="844"/>
      <c r="K106" s="844"/>
      <c r="L106" s="844"/>
      <c r="M106" s="844"/>
      <c r="N106" s="844"/>
      <c r="AD106" s="855"/>
    </row>
    <row r="107" spans="2:30">
      <c r="B107" s="843"/>
      <c r="C107" s="843"/>
      <c r="D107" s="857"/>
      <c r="E107" s="857"/>
      <c r="F107" s="857"/>
      <c r="G107" s="857"/>
      <c r="H107" s="857"/>
      <c r="I107" s="857"/>
      <c r="J107" s="857"/>
      <c r="K107" s="857"/>
      <c r="L107" s="857"/>
      <c r="M107" s="857"/>
      <c r="N107" s="857"/>
      <c r="AD107" s="855"/>
    </row>
    <row r="108" spans="2:30">
      <c r="B108" s="843"/>
      <c r="C108" s="843"/>
      <c r="D108" s="857"/>
      <c r="E108" s="857"/>
      <c r="F108" s="857"/>
      <c r="G108" s="857"/>
      <c r="H108" s="857"/>
      <c r="I108" s="857"/>
      <c r="J108" s="857"/>
      <c r="K108" s="857"/>
      <c r="L108" s="857"/>
      <c r="M108" s="857"/>
      <c r="N108" s="857"/>
      <c r="AD108" s="855"/>
    </row>
    <row r="109" spans="2:30" ht="17.25" thickBot="1">
      <c r="B109" s="858"/>
      <c r="C109" s="858"/>
      <c r="D109" s="859"/>
      <c r="E109" s="859"/>
      <c r="F109" s="859"/>
      <c r="G109" s="859"/>
      <c r="H109" s="859"/>
      <c r="I109" s="859"/>
      <c r="J109" s="859"/>
      <c r="K109" s="859"/>
      <c r="L109" s="859"/>
      <c r="M109" s="859"/>
      <c r="N109" s="859"/>
      <c r="AD109" s="855"/>
    </row>
    <row r="110" spans="2:30" ht="19.5" thickTop="1" thickBot="1">
      <c r="B110" s="843"/>
      <c r="C110" s="843"/>
      <c r="D110" s="844"/>
      <c r="E110" s="845"/>
      <c r="F110" s="844"/>
      <c r="G110" s="844"/>
      <c r="H110" s="844"/>
      <c r="I110" s="844"/>
      <c r="J110" s="844"/>
      <c r="K110" s="844"/>
      <c r="L110" s="844"/>
      <c r="M110" s="844"/>
      <c r="N110" s="844"/>
    </row>
    <row r="111" spans="2:30">
      <c r="B111" s="843"/>
      <c r="C111" s="843"/>
      <c r="D111" s="857"/>
      <c r="E111" s="857"/>
      <c r="F111" s="857"/>
      <c r="G111" s="857"/>
      <c r="H111" s="857"/>
      <c r="I111" s="857"/>
      <c r="J111" s="857"/>
      <c r="K111" s="857"/>
      <c r="L111" s="857"/>
      <c r="M111" s="857"/>
      <c r="N111" s="857"/>
    </row>
    <row r="112" spans="2:30">
      <c r="B112" s="843"/>
      <c r="C112" s="843"/>
      <c r="D112" s="857"/>
      <c r="E112" s="857"/>
      <c r="F112" s="857"/>
      <c r="G112" s="857"/>
      <c r="H112" s="857"/>
      <c r="I112" s="857"/>
      <c r="J112" s="857"/>
      <c r="K112" s="857"/>
      <c r="L112" s="857"/>
      <c r="M112" s="857"/>
      <c r="N112" s="857"/>
    </row>
    <row r="113" spans="2:14" ht="17.25" thickBot="1">
      <c r="B113" s="858"/>
      <c r="C113" s="858"/>
      <c r="D113" s="859"/>
      <c r="E113" s="859"/>
      <c r="F113" s="859"/>
      <c r="G113" s="859"/>
      <c r="H113" s="859"/>
      <c r="I113" s="859"/>
      <c r="J113" s="859"/>
      <c r="K113" s="859"/>
      <c r="L113" s="859"/>
      <c r="M113" s="859"/>
      <c r="N113" s="859"/>
    </row>
    <row r="114" spans="2:14" ht="19.5" thickTop="1" thickBot="1">
      <c r="B114" s="843"/>
      <c r="C114" s="843"/>
      <c r="D114" s="844"/>
      <c r="E114" s="845"/>
      <c r="F114" s="844"/>
      <c r="G114" s="844"/>
      <c r="H114" s="844"/>
      <c r="I114" s="844"/>
      <c r="J114" s="844"/>
      <c r="K114" s="844"/>
      <c r="L114" s="844"/>
      <c r="M114" s="844"/>
      <c r="N114" s="844"/>
    </row>
    <row r="115" spans="2:14">
      <c r="B115" s="843"/>
      <c r="C115" s="843"/>
      <c r="D115" s="857"/>
      <c r="E115" s="857"/>
      <c r="F115" s="857"/>
      <c r="G115" s="857"/>
      <c r="H115" s="857"/>
      <c r="I115" s="857"/>
      <c r="J115" s="857"/>
      <c r="K115" s="857"/>
      <c r="L115" s="857"/>
      <c r="M115" s="857"/>
      <c r="N115" s="857"/>
    </row>
    <row r="116" spans="2:14">
      <c r="B116" s="843"/>
      <c r="C116" s="843"/>
      <c r="D116" s="857"/>
      <c r="E116" s="857"/>
      <c r="F116" s="857"/>
      <c r="G116" s="857"/>
      <c r="H116" s="857"/>
      <c r="I116" s="857"/>
      <c r="J116" s="857"/>
      <c r="K116" s="857"/>
      <c r="L116" s="857"/>
      <c r="M116" s="857"/>
      <c r="N116" s="857"/>
    </row>
    <row r="117" spans="2:14" ht="17.25" thickBot="1">
      <c r="B117" s="858"/>
      <c r="C117" s="858"/>
      <c r="D117" s="859"/>
      <c r="E117" s="859"/>
      <c r="F117" s="859"/>
      <c r="G117" s="859"/>
      <c r="H117" s="859"/>
      <c r="I117" s="859"/>
      <c r="J117" s="859"/>
      <c r="K117" s="859"/>
      <c r="L117" s="859"/>
      <c r="M117" s="859"/>
      <c r="N117" s="859"/>
    </row>
    <row r="118" spans="2:14" ht="19.5" thickTop="1" thickBot="1">
      <c r="B118" s="843"/>
      <c r="C118" s="843"/>
      <c r="D118" s="844"/>
      <c r="E118" s="845"/>
      <c r="F118" s="844"/>
      <c r="G118" s="844"/>
      <c r="H118" s="844"/>
      <c r="I118" s="844"/>
      <c r="J118" s="844"/>
      <c r="K118" s="844"/>
      <c r="L118" s="844"/>
      <c r="M118" s="844"/>
      <c r="N118" s="844"/>
    </row>
    <row r="119" spans="2:14">
      <c r="B119" s="843"/>
      <c r="C119" s="843"/>
      <c r="D119" s="857"/>
      <c r="E119" s="857"/>
      <c r="F119" s="857"/>
      <c r="G119" s="857"/>
      <c r="H119" s="857"/>
      <c r="I119" s="857"/>
      <c r="J119" s="857"/>
      <c r="K119" s="857"/>
      <c r="L119" s="857"/>
      <c r="M119" s="857"/>
      <c r="N119" s="857"/>
    </row>
    <row r="120" spans="2:14">
      <c r="B120" s="843"/>
      <c r="C120" s="843"/>
      <c r="D120" s="857"/>
      <c r="E120" s="857"/>
      <c r="F120" s="857"/>
      <c r="G120" s="857"/>
      <c r="H120" s="857"/>
      <c r="I120" s="857"/>
      <c r="J120" s="857"/>
      <c r="K120" s="857"/>
      <c r="L120" s="857"/>
      <c r="M120" s="857"/>
      <c r="N120" s="857"/>
    </row>
    <row r="121" spans="2:14" ht="17.25" thickBot="1">
      <c r="B121" s="858"/>
      <c r="C121" s="858"/>
      <c r="D121" s="859"/>
      <c r="E121" s="859"/>
      <c r="F121" s="859"/>
      <c r="G121" s="859"/>
      <c r="H121" s="859"/>
      <c r="I121" s="859"/>
      <c r="J121" s="859"/>
      <c r="K121" s="859"/>
      <c r="L121" s="859"/>
      <c r="M121" s="859"/>
      <c r="N121" s="859"/>
    </row>
    <row r="122" spans="2:14" ht="19.5" thickTop="1" thickBot="1">
      <c r="B122" s="843"/>
      <c r="C122" s="843"/>
      <c r="D122" s="844"/>
      <c r="E122" s="845"/>
      <c r="F122" s="844"/>
      <c r="G122" s="844"/>
      <c r="H122" s="844"/>
      <c r="I122" s="844"/>
      <c r="J122" s="844"/>
      <c r="K122" s="844"/>
      <c r="L122" s="844"/>
      <c r="M122" s="844"/>
      <c r="N122" s="844"/>
    </row>
    <row r="123" spans="2:14">
      <c r="B123" s="843"/>
      <c r="C123" s="843"/>
      <c r="D123" s="857"/>
      <c r="E123" s="857"/>
      <c r="F123" s="857"/>
      <c r="G123" s="857"/>
      <c r="H123" s="857"/>
      <c r="I123" s="857"/>
      <c r="J123" s="857"/>
      <c r="K123" s="857"/>
      <c r="L123" s="857"/>
      <c r="M123" s="857"/>
      <c r="N123" s="857"/>
    </row>
    <row r="124" spans="2:14">
      <c r="B124" s="843"/>
      <c r="C124" s="843"/>
      <c r="D124" s="857"/>
      <c r="E124" s="857"/>
      <c r="F124" s="857"/>
      <c r="G124" s="857"/>
      <c r="H124" s="857"/>
      <c r="I124" s="857"/>
      <c r="J124" s="857"/>
      <c r="K124" s="857"/>
      <c r="L124" s="857"/>
      <c r="M124" s="857"/>
      <c r="N124" s="857"/>
    </row>
    <row r="125" spans="2:14" ht="17.25" thickBot="1">
      <c r="B125" s="858"/>
      <c r="C125" s="858"/>
      <c r="D125" s="859"/>
      <c r="E125" s="859"/>
      <c r="F125" s="859"/>
      <c r="G125" s="859"/>
      <c r="H125" s="859"/>
      <c r="I125" s="859"/>
      <c r="J125" s="859"/>
      <c r="K125" s="859"/>
      <c r="L125" s="859"/>
      <c r="M125" s="859"/>
      <c r="N125" s="859"/>
    </row>
    <row r="126" spans="2:14" ht="19.5" thickTop="1" thickBot="1">
      <c r="B126" s="843"/>
      <c r="C126" s="843"/>
      <c r="D126" s="844"/>
      <c r="E126" s="845"/>
      <c r="F126" s="844"/>
      <c r="G126" s="844"/>
      <c r="H126" s="844"/>
      <c r="I126" s="844"/>
      <c r="J126" s="844"/>
      <c r="K126" s="844"/>
      <c r="L126" s="844"/>
      <c r="M126" s="844"/>
      <c r="N126" s="844"/>
    </row>
    <row r="127" spans="2:14">
      <c r="B127" s="843"/>
      <c r="C127" s="843"/>
      <c r="D127" s="857"/>
      <c r="E127" s="857"/>
      <c r="F127" s="857"/>
      <c r="G127" s="857"/>
      <c r="H127" s="857"/>
      <c r="I127" s="857"/>
      <c r="J127" s="857"/>
      <c r="K127" s="857"/>
      <c r="L127" s="857"/>
      <c r="M127" s="857"/>
      <c r="N127" s="857"/>
    </row>
    <row r="128" spans="2:14">
      <c r="B128" s="843"/>
      <c r="C128" s="843"/>
      <c r="D128" s="857"/>
      <c r="E128" s="857"/>
      <c r="F128" s="857"/>
      <c r="G128" s="857"/>
      <c r="H128" s="857"/>
      <c r="I128" s="857"/>
      <c r="J128" s="857"/>
      <c r="K128" s="857"/>
      <c r="L128" s="857"/>
      <c r="M128" s="857"/>
      <c r="N128" s="857"/>
    </row>
    <row r="129" spans="2:14" ht="17.25" thickBot="1">
      <c r="B129" s="858"/>
      <c r="C129" s="858"/>
      <c r="D129" s="859"/>
      <c r="E129" s="859"/>
      <c r="F129" s="859"/>
      <c r="G129" s="859"/>
      <c r="H129" s="859"/>
      <c r="I129" s="859"/>
      <c r="J129" s="859"/>
      <c r="K129" s="859"/>
      <c r="L129" s="859"/>
      <c r="M129" s="859"/>
      <c r="N129" s="859"/>
    </row>
    <row r="130" spans="2:14" ht="19.5" thickTop="1" thickBot="1">
      <c r="B130" s="843"/>
      <c r="C130" s="843"/>
      <c r="D130" s="844"/>
      <c r="E130" s="845"/>
      <c r="F130" s="844"/>
      <c r="G130" s="844"/>
      <c r="H130" s="844"/>
      <c r="I130" s="844"/>
      <c r="J130" s="844"/>
      <c r="K130" s="844"/>
      <c r="L130" s="844"/>
      <c r="M130" s="844"/>
      <c r="N130" s="844"/>
    </row>
    <row r="131" spans="2:14">
      <c r="B131" s="843"/>
      <c r="C131" s="843"/>
      <c r="D131" s="857"/>
      <c r="E131" s="857"/>
      <c r="F131" s="857"/>
      <c r="G131" s="857"/>
      <c r="H131" s="857"/>
      <c r="I131" s="857"/>
      <c r="J131" s="857"/>
      <c r="K131" s="857"/>
      <c r="L131" s="857"/>
      <c r="M131" s="857"/>
      <c r="N131" s="857"/>
    </row>
    <row r="132" spans="2:14">
      <c r="B132" s="843"/>
      <c r="C132" s="843"/>
      <c r="D132" s="857"/>
      <c r="E132" s="857"/>
      <c r="F132" s="857"/>
      <c r="G132" s="857"/>
      <c r="H132" s="857"/>
      <c r="I132" s="857"/>
      <c r="J132" s="857"/>
      <c r="K132" s="857"/>
      <c r="L132" s="857"/>
      <c r="M132" s="857"/>
      <c r="N132" s="857"/>
    </row>
    <row r="133" spans="2:14" ht="17.25" thickBot="1">
      <c r="B133" s="858"/>
      <c r="C133" s="858"/>
      <c r="D133" s="859"/>
      <c r="E133" s="859"/>
      <c r="F133" s="859"/>
      <c r="G133" s="859"/>
      <c r="H133" s="859"/>
      <c r="I133" s="859"/>
      <c r="J133" s="859"/>
      <c r="K133" s="859"/>
      <c r="L133" s="859"/>
      <c r="M133" s="859"/>
      <c r="N133" s="859"/>
    </row>
    <row r="134" spans="2:14" ht="19.5" thickTop="1" thickBot="1">
      <c r="B134" s="843"/>
      <c r="C134" s="843"/>
      <c r="D134" s="844"/>
      <c r="E134" s="845"/>
      <c r="F134" s="844"/>
      <c r="G134" s="844"/>
      <c r="H134" s="844"/>
      <c r="I134" s="844"/>
      <c r="J134" s="844"/>
      <c r="K134" s="844"/>
      <c r="L134" s="844"/>
      <c r="M134" s="844"/>
      <c r="N134" s="844"/>
    </row>
    <row r="135" spans="2:14">
      <c r="B135" s="843"/>
      <c r="C135" s="843"/>
      <c r="D135" s="857"/>
      <c r="E135" s="857"/>
      <c r="F135" s="857"/>
      <c r="G135" s="857"/>
      <c r="H135" s="857"/>
      <c r="I135" s="857"/>
      <c r="J135" s="857"/>
      <c r="K135" s="857"/>
      <c r="L135" s="857"/>
      <c r="M135" s="857"/>
      <c r="N135" s="857"/>
    </row>
    <row r="136" spans="2:14">
      <c r="B136" s="843"/>
      <c r="C136" s="843"/>
      <c r="D136" s="857"/>
      <c r="E136" s="857"/>
      <c r="F136" s="857"/>
      <c r="G136" s="857"/>
      <c r="H136" s="857"/>
      <c r="I136" s="857"/>
      <c r="J136" s="857"/>
      <c r="K136" s="857"/>
      <c r="L136" s="857"/>
      <c r="M136" s="857"/>
      <c r="N136" s="857"/>
    </row>
    <row r="137" spans="2:14" ht="17.25" thickBot="1">
      <c r="B137" s="858"/>
      <c r="C137" s="858"/>
      <c r="D137" s="859"/>
      <c r="E137" s="859"/>
      <c r="F137" s="859"/>
      <c r="G137" s="859"/>
      <c r="H137" s="859"/>
      <c r="I137" s="859"/>
      <c r="J137" s="859"/>
      <c r="K137" s="859"/>
      <c r="L137" s="859"/>
      <c r="M137" s="859"/>
      <c r="N137" s="859"/>
    </row>
    <row r="138" spans="2:14" ht="19.5" thickTop="1" thickBot="1">
      <c r="B138" s="843"/>
      <c r="C138" s="843"/>
      <c r="D138" s="844"/>
      <c r="E138" s="845"/>
      <c r="F138" s="844"/>
      <c r="G138" s="844"/>
      <c r="H138" s="844"/>
      <c r="I138" s="844"/>
      <c r="J138" s="844"/>
      <c r="K138" s="844"/>
      <c r="L138" s="844"/>
      <c r="M138" s="844"/>
      <c r="N138" s="844"/>
    </row>
    <row r="139" spans="2:14">
      <c r="B139" s="843"/>
      <c r="C139" s="843"/>
      <c r="D139" s="857"/>
      <c r="E139" s="857"/>
      <c r="F139" s="857"/>
      <c r="G139" s="857"/>
      <c r="H139" s="857"/>
      <c r="I139" s="857"/>
      <c r="J139" s="857"/>
      <c r="K139" s="857"/>
      <c r="L139" s="857"/>
      <c r="M139" s="857"/>
      <c r="N139" s="857"/>
    </row>
    <row r="140" spans="2:14">
      <c r="B140" s="843"/>
      <c r="C140" s="843"/>
      <c r="D140" s="857"/>
      <c r="E140" s="857"/>
      <c r="F140" s="857"/>
      <c r="G140" s="857"/>
      <c r="H140" s="857"/>
      <c r="I140" s="857"/>
      <c r="J140" s="857"/>
      <c r="K140" s="857"/>
      <c r="L140" s="857"/>
      <c r="M140" s="857"/>
      <c r="N140" s="857"/>
    </row>
    <row r="141" spans="2:14" ht="17.25" thickBot="1">
      <c r="B141" s="858"/>
      <c r="C141" s="858"/>
      <c r="D141" s="859"/>
      <c r="E141" s="859"/>
      <c r="F141" s="859"/>
      <c r="G141" s="859"/>
      <c r="H141" s="859"/>
      <c r="I141" s="859"/>
      <c r="J141" s="859"/>
      <c r="K141" s="859"/>
      <c r="L141" s="859"/>
      <c r="M141" s="859"/>
      <c r="N141" s="859"/>
    </row>
    <row r="142" spans="2:14" ht="19.5" thickTop="1" thickBot="1">
      <c r="B142" s="843"/>
      <c r="C142" s="843"/>
      <c r="D142" s="844"/>
      <c r="E142" s="845"/>
      <c r="F142" s="844"/>
      <c r="G142" s="844"/>
      <c r="H142" s="844"/>
      <c r="I142" s="844"/>
      <c r="J142" s="844"/>
      <c r="K142" s="844"/>
      <c r="L142" s="844"/>
      <c r="M142" s="844"/>
      <c r="N142" s="844"/>
    </row>
    <row r="143" spans="2:14">
      <c r="B143" s="843"/>
      <c r="C143" s="843"/>
      <c r="D143" s="857"/>
      <c r="E143" s="857"/>
      <c r="F143" s="857"/>
      <c r="G143" s="857"/>
      <c r="H143" s="857"/>
      <c r="I143" s="857"/>
      <c r="J143" s="857"/>
      <c r="K143" s="857"/>
      <c r="L143" s="857"/>
      <c r="M143" s="857"/>
      <c r="N143" s="857"/>
    </row>
    <row r="144" spans="2:14">
      <c r="B144" s="843"/>
      <c r="C144" s="843"/>
      <c r="D144" s="857"/>
      <c r="E144" s="857"/>
      <c r="F144" s="857"/>
      <c r="G144" s="857"/>
      <c r="H144" s="857"/>
      <c r="I144" s="857"/>
      <c r="J144" s="857"/>
      <c r="K144" s="857"/>
      <c r="L144" s="857"/>
      <c r="M144" s="857"/>
      <c r="N144" s="857"/>
    </row>
    <row r="145" spans="2:14" ht="17.25" thickBot="1">
      <c r="B145" s="858"/>
      <c r="C145" s="858"/>
      <c r="D145" s="859"/>
      <c r="E145" s="859"/>
      <c r="F145" s="859"/>
      <c r="G145" s="859"/>
      <c r="H145" s="859"/>
      <c r="I145" s="859"/>
      <c r="J145" s="859"/>
      <c r="K145" s="859"/>
      <c r="L145" s="859"/>
      <c r="M145" s="859"/>
      <c r="N145" s="859"/>
    </row>
    <row r="146" spans="2:14" ht="19.5" thickTop="1" thickBot="1">
      <c r="B146" s="843"/>
      <c r="C146" s="843"/>
      <c r="D146" s="844"/>
      <c r="E146" s="845"/>
      <c r="F146" s="844"/>
      <c r="G146" s="844"/>
      <c r="H146" s="844"/>
      <c r="I146" s="844"/>
      <c r="J146" s="844"/>
      <c r="K146" s="844"/>
      <c r="L146" s="844"/>
      <c r="M146" s="844"/>
      <c r="N146" s="844"/>
    </row>
    <row r="147" spans="2:14">
      <c r="B147" s="843"/>
      <c r="C147" s="843"/>
      <c r="D147" s="857"/>
      <c r="E147" s="857"/>
      <c r="F147" s="857"/>
      <c r="G147" s="857"/>
      <c r="H147" s="857"/>
      <c r="I147" s="857"/>
      <c r="J147" s="857"/>
      <c r="K147" s="857"/>
      <c r="L147" s="857"/>
      <c r="M147" s="857"/>
      <c r="N147" s="857"/>
    </row>
    <row r="148" spans="2:14">
      <c r="B148" s="843"/>
      <c r="C148" s="843"/>
      <c r="D148" s="857"/>
      <c r="E148" s="857"/>
      <c r="F148" s="857"/>
      <c r="G148" s="857"/>
      <c r="H148" s="857"/>
      <c r="I148" s="857"/>
      <c r="J148" s="857"/>
      <c r="K148" s="857"/>
      <c r="L148" s="857"/>
      <c r="M148" s="857"/>
      <c r="N148" s="857"/>
    </row>
    <row r="149" spans="2:14" ht="17.25" thickBot="1">
      <c r="B149" s="858"/>
      <c r="C149" s="858"/>
      <c r="D149" s="859"/>
      <c r="E149" s="859"/>
      <c r="F149" s="859"/>
      <c r="G149" s="859"/>
      <c r="H149" s="859"/>
      <c r="I149" s="859"/>
      <c r="J149" s="859"/>
      <c r="K149" s="859"/>
      <c r="L149" s="859"/>
      <c r="M149" s="859"/>
      <c r="N149" s="859"/>
    </row>
    <row r="150" spans="2:14" ht="19.5" thickTop="1" thickBot="1">
      <c r="B150" s="843"/>
      <c r="C150" s="843"/>
      <c r="D150" s="844"/>
      <c r="E150" s="845"/>
      <c r="F150" s="844"/>
      <c r="G150" s="844"/>
      <c r="H150" s="844"/>
      <c r="I150" s="844"/>
      <c r="J150" s="844"/>
      <c r="K150" s="844"/>
      <c r="L150" s="844"/>
      <c r="M150" s="844"/>
      <c r="N150" s="844"/>
    </row>
    <row r="151" spans="2:14">
      <c r="B151" s="843"/>
      <c r="C151" s="843"/>
      <c r="D151" s="857"/>
      <c r="E151" s="857"/>
      <c r="F151" s="857"/>
      <c r="G151" s="857"/>
      <c r="H151" s="857"/>
      <c r="I151" s="857"/>
      <c r="J151" s="857"/>
      <c r="K151" s="857"/>
      <c r="L151" s="857"/>
      <c r="M151" s="857"/>
      <c r="N151" s="857"/>
    </row>
    <row r="152" spans="2:14">
      <c r="B152" s="843"/>
      <c r="C152" s="843"/>
      <c r="D152" s="857"/>
      <c r="E152" s="857"/>
      <c r="F152" s="857"/>
      <c r="G152" s="857"/>
      <c r="H152" s="857"/>
      <c r="I152" s="857"/>
      <c r="J152" s="857"/>
      <c r="K152" s="857"/>
      <c r="L152" s="857"/>
      <c r="M152" s="857"/>
      <c r="N152" s="857"/>
    </row>
    <row r="153" spans="2:14" ht="17.25" thickBot="1">
      <c r="B153" s="858"/>
      <c r="C153" s="858"/>
      <c r="D153" s="859"/>
      <c r="E153" s="859"/>
      <c r="F153" s="859"/>
      <c r="G153" s="859"/>
      <c r="H153" s="859"/>
      <c r="I153" s="859"/>
      <c r="J153" s="859"/>
      <c r="K153" s="859"/>
      <c r="L153" s="859"/>
      <c r="M153" s="859"/>
      <c r="N153" s="859"/>
    </row>
    <row r="154" spans="2:14" ht="19.5" thickTop="1" thickBot="1">
      <c r="B154" s="843"/>
      <c r="C154" s="843"/>
      <c r="D154" s="844"/>
      <c r="E154" s="845"/>
      <c r="F154" s="844"/>
      <c r="G154" s="844"/>
      <c r="H154" s="844"/>
      <c r="I154" s="844"/>
      <c r="J154" s="844"/>
      <c r="K154" s="844"/>
      <c r="L154" s="844"/>
      <c r="M154" s="844"/>
      <c r="N154" s="844"/>
    </row>
    <row r="155" spans="2:14">
      <c r="B155" s="843"/>
      <c r="C155" s="843"/>
      <c r="D155" s="857"/>
      <c r="E155" s="857"/>
      <c r="F155" s="857"/>
      <c r="G155" s="857"/>
      <c r="H155" s="857"/>
      <c r="I155" s="857"/>
      <c r="J155" s="857"/>
      <c r="K155" s="857"/>
      <c r="L155" s="857"/>
      <c r="M155" s="857"/>
      <c r="N155" s="857"/>
    </row>
    <row r="156" spans="2:14">
      <c r="B156" s="843"/>
      <c r="C156" s="843"/>
      <c r="D156" s="857"/>
      <c r="E156" s="857"/>
      <c r="F156" s="857"/>
      <c r="G156" s="857"/>
      <c r="H156" s="857"/>
      <c r="I156" s="857"/>
      <c r="J156" s="857"/>
      <c r="K156" s="857"/>
      <c r="L156" s="857"/>
      <c r="M156" s="857"/>
      <c r="N156" s="857"/>
    </row>
    <row r="157" spans="2:14" ht="17.25" thickBot="1">
      <c r="B157" s="858"/>
      <c r="C157" s="858"/>
      <c r="D157" s="859"/>
      <c r="E157" s="859"/>
      <c r="F157" s="859"/>
      <c r="G157" s="859"/>
      <c r="H157" s="859"/>
      <c r="I157" s="859"/>
      <c r="J157" s="859"/>
      <c r="K157" s="859"/>
      <c r="L157" s="859"/>
      <c r="M157" s="859"/>
      <c r="N157" s="859"/>
    </row>
    <row r="158" spans="2:14" ht="19.5" thickTop="1" thickBot="1">
      <c r="B158" s="843"/>
      <c r="C158" s="843"/>
      <c r="D158" s="844"/>
      <c r="E158" s="845"/>
      <c r="F158" s="844"/>
      <c r="G158" s="844"/>
      <c r="H158" s="844"/>
      <c r="I158" s="844"/>
      <c r="J158" s="844"/>
      <c r="K158" s="844"/>
      <c r="L158" s="844"/>
      <c r="M158" s="844"/>
      <c r="N158" s="844"/>
    </row>
    <row r="159" spans="2:14">
      <c r="B159" s="843"/>
      <c r="C159" s="843"/>
      <c r="D159" s="857"/>
      <c r="E159" s="857"/>
      <c r="F159" s="857"/>
      <c r="G159" s="857"/>
      <c r="H159" s="857"/>
      <c r="I159" s="857"/>
      <c r="J159" s="857"/>
      <c r="K159" s="857"/>
      <c r="L159" s="857"/>
      <c r="M159" s="857"/>
      <c r="N159" s="857"/>
    </row>
    <row r="160" spans="2:14">
      <c r="B160" s="843"/>
      <c r="C160" s="843"/>
      <c r="D160" s="857"/>
      <c r="E160" s="857"/>
      <c r="F160" s="857"/>
      <c r="G160" s="857"/>
      <c r="H160" s="857"/>
      <c r="I160" s="857"/>
      <c r="J160" s="857"/>
      <c r="K160" s="857"/>
      <c r="L160" s="857"/>
      <c r="M160" s="857"/>
      <c r="N160" s="857"/>
    </row>
    <row r="161" spans="2:14" ht="17.25" thickBot="1">
      <c r="B161" s="858"/>
      <c r="C161" s="858"/>
      <c r="D161" s="859"/>
      <c r="E161" s="859"/>
      <c r="F161" s="859"/>
      <c r="G161" s="859"/>
      <c r="H161" s="859"/>
      <c r="I161" s="859"/>
      <c r="J161" s="859"/>
      <c r="K161" s="859"/>
      <c r="L161" s="859"/>
      <c r="M161" s="859"/>
      <c r="N161" s="859"/>
    </row>
    <row r="162" spans="2:14" ht="19.5" thickTop="1" thickBot="1">
      <c r="B162" s="843"/>
      <c r="C162" s="843"/>
      <c r="D162" s="844"/>
      <c r="E162" s="845"/>
      <c r="F162" s="844"/>
      <c r="G162" s="844"/>
      <c r="H162" s="844"/>
      <c r="I162" s="844"/>
      <c r="J162" s="844"/>
      <c r="K162" s="844"/>
      <c r="L162" s="844"/>
      <c r="M162" s="844"/>
      <c r="N162" s="844"/>
    </row>
    <row r="163" spans="2:14">
      <c r="B163" s="843"/>
      <c r="C163" s="843"/>
      <c r="D163" s="857"/>
      <c r="E163" s="857"/>
      <c r="F163" s="857"/>
      <c r="G163" s="857"/>
      <c r="H163" s="857"/>
      <c r="I163" s="857"/>
      <c r="J163" s="857"/>
      <c r="K163" s="857"/>
      <c r="L163" s="857"/>
      <c r="M163" s="857"/>
      <c r="N163" s="857"/>
    </row>
    <row r="164" spans="2:14">
      <c r="B164" s="843"/>
      <c r="C164" s="843"/>
      <c r="D164" s="857"/>
      <c r="E164" s="857"/>
      <c r="F164" s="857"/>
      <c r="G164" s="857"/>
      <c r="H164" s="857"/>
      <c r="I164" s="857"/>
      <c r="J164" s="857"/>
      <c r="K164" s="857"/>
      <c r="L164" s="857"/>
      <c r="M164" s="857"/>
      <c r="N164" s="857"/>
    </row>
    <row r="165" spans="2:14" ht="17.25" thickBot="1">
      <c r="B165" s="858"/>
      <c r="C165" s="858"/>
      <c r="D165" s="859"/>
      <c r="E165" s="859"/>
      <c r="F165" s="859"/>
      <c r="G165" s="859"/>
      <c r="H165" s="859"/>
      <c r="I165" s="859"/>
      <c r="J165" s="859"/>
      <c r="K165" s="859"/>
      <c r="L165" s="859"/>
      <c r="M165" s="859"/>
      <c r="N165" s="859"/>
    </row>
    <row r="166" spans="2:14" ht="19.5" thickTop="1" thickBot="1">
      <c r="B166" s="843"/>
      <c r="C166" s="843"/>
      <c r="D166" s="844"/>
      <c r="E166" s="845"/>
      <c r="F166" s="844"/>
      <c r="G166" s="844"/>
      <c r="H166" s="844"/>
      <c r="I166" s="844"/>
      <c r="J166" s="844"/>
      <c r="K166" s="844"/>
      <c r="L166" s="844"/>
      <c r="M166" s="844"/>
      <c r="N166" s="844"/>
    </row>
    <row r="167" spans="2:14">
      <c r="B167" s="843"/>
      <c r="C167" s="843"/>
      <c r="D167" s="857"/>
      <c r="E167" s="857"/>
      <c r="F167" s="857"/>
      <c r="G167" s="857"/>
      <c r="H167" s="857"/>
      <c r="I167" s="857"/>
      <c r="J167" s="857"/>
      <c r="K167" s="857"/>
      <c r="L167" s="857"/>
      <c r="M167" s="857"/>
      <c r="N167" s="857"/>
    </row>
    <row r="168" spans="2:14">
      <c r="B168" s="843"/>
      <c r="C168" s="843"/>
      <c r="D168" s="857"/>
      <c r="E168" s="857"/>
      <c r="F168" s="857"/>
      <c r="G168" s="857"/>
      <c r="H168" s="857"/>
      <c r="I168" s="857"/>
      <c r="J168" s="857"/>
      <c r="K168" s="857"/>
      <c r="L168" s="857"/>
      <c r="M168" s="857"/>
      <c r="N168" s="857"/>
    </row>
    <row r="169" spans="2:14" ht="17.25" thickBot="1">
      <c r="B169" s="858"/>
      <c r="C169" s="858"/>
      <c r="D169" s="859"/>
      <c r="E169" s="859"/>
      <c r="F169" s="859"/>
      <c r="G169" s="859"/>
      <c r="H169" s="859"/>
      <c r="I169" s="859"/>
      <c r="J169" s="859"/>
      <c r="K169" s="859"/>
      <c r="L169" s="859"/>
      <c r="M169" s="859"/>
      <c r="N169" s="859"/>
    </row>
    <row r="170" spans="2:14" ht="19.5" thickTop="1" thickBot="1">
      <c r="B170" s="843"/>
      <c r="C170" s="843"/>
      <c r="D170" s="844"/>
      <c r="E170" s="845"/>
      <c r="F170" s="844"/>
      <c r="G170" s="844"/>
      <c r="H170" s="844"/>
      <c r="I170" s="844"/>
      <c r="J170" s="844"/>
      <c r="K170" s="844"/>
      <c r="L170" s="844"/>
      <c r="M170" s="844"/>
      <c r="N170" s="844"/>
    </row>
    <row r="171" spans="2:14">
      <c r="B171" s="843"/>
      <c r="C171" s="843"/>
      <c r="D171" s="857"/>
      <c r="E171" s="857"/>
      <c r="F171" s="857"/>
      <c r="G171" s="857"/>
      <c r="H171" s="857"/>
      <c r="I171" s="857"/>
      <c r="J171" s="857"/>
      <c r="K171" s="857"/>
      <c r="L171" s="857"/>
      <c r="M171" s="857"/>
      <c r="N171" s="857"/>
    </row>
    <row r="172" spans="2:14">
      <c r="B172" s="843"/>
      <c r="C172" s="843"/>
      <c r="D172" s="857"/>
      <c r="E172" s="857"/>
      <c r="F172" s="857"/>
      <c r="G172" s="857"/>
      <c r="H172" s="857"/>
      <c r="I172" s="857"/>
      <c r="J172" s="857"/>
      <c r="K172" s="857"/>
      <c r="L172" s="857"/>
      <c r="M172" s="857"/>
      <c r="N172" s="857"/>
    </row>
    <row r="173" spans="2:14" ht="17.25" thickBot="1">
      <c r="B173" s="858"/>
      <c r="C173" s="858"/>
      <c r="D173" s="859"/>
      <c r="E173" s="859"/>
      <c r="F173" s="859"/>
      <c r="G173" s="859"/>
      <c r="H173" s="859"/>
      <c r="I173" s="859"/>
      <c r="J173" s="859"/>
      <c r="K173" s="859"/>
      <c r="L173" s="859"/>
      <c r="M173" s="859"/>
      <c r="N173" s="859"/>
    </row>
    <row r="174" spans="2:14" ht="19.5" thickTop="1" thickBot="1">
      <c r="B174" s="843"/>
      <c r="C174" s="843"/>
      <c r="D174" s="844"/>
      <c r="E174" s="845"/>
      <c r="F174" s="844"/>
      <c r="G174" s="844"/>
      <c r="H174" s="844"/>
      <c r="I174" s="844"/>
      <c r="J174" s="844"/>
      <c r="K174" s="844"/>
      <c r="L174" s="844"/>
      <c r="M174" s="844"/>
      <c r="N174" s="844"/>
    </row>
    <row r="175" spans="2:14">
      <c r="B175" s="843"/>
      <c r="C175" s="843"/>
      <c r="D175" s="857"/>
      <c r="E175" s="857"/>
      <c r="F175" s="857"/>
      <c r="G175" s="857"/>
      <c r="H175" s="857"/>
      <c r="I175" s="857"/>
      <c r="J175" s="857"/>
      <c r="K175" s="857"/>
      <c r="L175" s="857"/>
      <c r="M175" s="857"/>
      <c r="N175" s="857"/>
    </row>
    <row r="176" spans="2:14">
      <c r="B176" s="843"/>
      <c r="C176" s="843"/>
      <c r="D176" s="857"/>
      <c r="E176" s="857"/>
      <c r="F176" s="857"/>
      <c r="G176" s="857"/>
      <c r="H176" s="857"/>
      <c r="I176" s="857"/>
      <c r="J176" s="857"/>
      <c r="K176" s="857"/>
      <c r="L176" s="857"/>
      <c r="M176" s="857"/>
      <c r="N176" s="857"/>
    </row>
    <row r="177" spans="2:14" ht="17.25" thickBot="1">
      <c r="B177" s="858"/>
      <c r="C177" s="858"/>
      <c r="D177" s="859"/>
      <c r="E177" s="859"/>
      <c r="F177" s="859"/>
      <c r="G177" s="859"/>
      <c r="H177" s="859"/>
      <c r="I177" s="859"/>
      <c r="J177" s="859"/>
      <c r="K177" s="859"/>
      <c r="L177" s="859"/>
      <c r="M177" s="859"/>
      <c r="N177" s="859"/>
    </row>
    <row r="178" spans="2:14" ht="19.5" thickTop="1" thickBot="1">
      <c r="B178" s="843"/>
      <c r="C178" s="843"/>
      <c r="D178" s="844"/>
      <c r="E178" s="845"/>
      <c r="F178" s="844"/>
      <c r="G178" s="844"/>
      <c r="H178" s="844"/>
      <c r="I178" s="844"/>
      <c r="J178" s="844"/>
      <c r="K178" s="844"/>
      <c r="L178" s="844"/>
      <c r="M178" s="844"/>
      <c r="N178" s="844"/>
    </row>
    <row r="179" spans="2:14">
      <c r="B179" s="843"/>
      <c r="C179" s="843"/>
      <c r="D179" s="857"/>
      <c r="E179" s="857"/>
      <c r="F179" s="857"/>
      <c r="G179" s="857"/>
      <c r="H179" s="857"/>
      <c r="I179" s="857"/>
      <c r="J179" s="857"/>
      <c r="K179" s="857"/>
      <c r="L179" s="857"/>
      <c r="M179" s="857"/>
      <c r="N179" s="857"/>
    </row>
    <row r="180" spans="2:14">
      <c r="B180" s="843"/>
      <c r="C180" s="843"/>
      <c r="D180" s="857"/>
      <c r="E180" s="857"/>
      <c r="F180" s="857"/>
      <c r="G180" s="857"/>
      <c r="H180" s="857"/>
      <c r="I180" s="857"/>
      <c r="J180" s="857"/>
      <c r="K180" s="857"/>
      <c r="L180" s="857"/>
      <c r="M180" s="857"/>
      <c r="N180" s="857"/>
    </row>
    <row r="181" spans="2:14" ht="17.25" thickBot="1">
      <c r="B181" s="858"/>
      <c r="C181" s="858"/>
      <c r="D181" s="859"/>
      <c r="E181" s="859"/>
      <c r="F181" s="859"/>
      <c r="G181" s="859"/>
      <c r="H181" s="859"/>
      <c r="I181" s="859"/>
      <c r="J181" s="859"/>
      <c r="K181" s="859"/>
      <c r="L181" s="859"/>
      <c r="M181" s="859"/>
      <c r="N181" s="859"/>
    </row>
    <row r="182" spans="2:14" ht="19.5" thickTop="1" thickBot="1">
      <c r="B182" s="843"/>
      <c r="C182" s="843"/>
      <c r="D182" s="844"/>
      <c r="E182" s="845"/>
      <c r="F182" s="844"/>
      <c r="G182" s="844"/>
      <c r="H182" s="844"/>
      <c r="I182" s="844"/>
      <c r="J182" s="844"/>
      <c r="K182" s="844"/>
      <c r="L182" s="844"/>
      <c r="M182" s="844"/>
      <c r="N182" s="844"/>
    </row>
    <row r="183" spans="2:14">
      <c r="B183" s="843"/>
      <c r="C183" s="843"/>
      <c r="D183" s="857"/>
      <c r="E183" s="857"/>
      <c r="F183" s="857"/>
      <c r="G183" s="857"/>
      <c r="H183" s="857"/>
      <c r="I183" s="857"/>
      <c r="J183" s="857"/>
      <c r="K183" s="857"/>
      <c r="L183" s="857"/>
      <c r="M183" s="857"/>
      <c r="N183" s="857"/>
    </row>
    <row r="184" spans="2:14">
      <c r="B184" s="843"/>
      <c r="C184" s="843"/>
      <c r="D184" s="857"/>
      <c r="E184" s="857"/>
      <c r="F184" s="857"/>
      <c r="G184" s="857"/>
      <c r="H184" s="857"/>
      <c r="I184" s="857"/>
      <c r="J184" s="857"/>
      <c r="K184" s="857"/>
      <c r="L184" s="857"/>
      <c r="M184" s="857"/>
      <c r="N184" s="857"/>
    </row>
    <row r="185" spans="2:14" ht="17.25" thickBot="1">
      <c r="B185" s="858"/>
      <c r="C185" s="858"/>
      <c r="D185" s="859"/>
      <c r="E185" s="859"/>
      <c r="F185" s="859"/>
      <c r="G185" s="859"/>
      <c r="H185" s="859"/>
      <c r="I185" s="859"/>
      <c r="J185" s="859"/>
      <c r="K185" s="859"/>
      <c r="L185" s="859"/>
      <c r="M185" s="859"/>
      <c r="N185" s="859"/>
    </row>
    <row r="186" spans="2:14" ht="19.5" thickTop="1" thickBot="1">
      <c r="B186" s="843"/>
      <c r="C186" s="843"/>
      <c r="D186" s="844"/>
      <c r="E186" s="845"/>
      <c r="F186" s="844"/>
      <c r="G186" s="844"/>
      <c r="H186" s="844"/>
      <c r="I186" s="844"/>
      <c r="J186" s="844"/>
      <c r="K186" s="844"/>
      <c r="L186" s="844"/>
      <c r="M186" s="844"/>
      <c r="N186" s="844"/>
    </row>
    <row r="187" spans="2:14">
      <c r="B187" s="843"/>
      <c r="C187" s="843"/>
      <c r="D187" s="857"/>
      <c r="E187" s="857"/>
      <c r="F187" s="857"/>
      <c r="G187" s="857"/>
      <c r="H187" s="857"/>
      <c r="I187" s="857"/>
      <c r="J187" s="857"/>
      <c r="K187" s="857"/>
      <c r="L187" s="857"/>
      <c r="M187" s="857"/>
      <c r="N187" s="857"/>
    </row>
    <row r="188" spans="2:14">
      <c r="B188" s="843"/>
      <c r="C188" s="843"/>
      <c r="D188" s="857"/>
      <c r="E188" s="857"/>
      <c r="F188" s="857"/>
      <c r="G188" s="857"/>
      <c r="H188" s="857"/>
      <c r="I188" s="857"/>
      <c r="J188" s="857"/>
      <c r="K188" s="857"/>
      <c r="L188" s="857"/>
      <c r="M188" s="857"/>
      <c r="N188" s="857"/>
    </row>
    <row r="189" spans="2:14" ht="17.25" thickBot="1">
      <c r="B189" s="858"/>
      <c r="C189" s="858"/>
      <c r="D189" s="859"/>
      <c r="E189" s="859"/>
      <c r="F189" s="859"/>
      <c r="G189" s="859"/>
      <c r="H189" s="859"/>
      <c r="I189" s="859"/>
      <c r="J189" s="859"/>
      <c r="K189" s="859"/>
      <c r="L189" s="859"/>
      <c r="M189" s="859"/>
      <c r="N189" s="859"/>
    </row>
    <row r="190" spans="2:14" ht="19.5" thickTop="1" thickBot="1">
      <c r="B190" s="843"/>
      <c r="C190" s="843"/>
      <c r="D190" s="893"/>
      <c r="E190" s="845"/>
      <c r="F190" s="844"/>
      <c r="G190" s="844"/>
      <c r="H190" s="844"/>
      <c r="I190" s="844"/>
      <c r="J190" s="844"/>
      <c r="K190" s="844"/>
      <c r="L190" s="844"/>
      <c r="M190" s="844"/>
      <c r="N190" s="844"/>
    </row>
    <row r="191" spans="2:14">
      <c r="B191" s="843"/>
      <c r="C191" s="843"/>
      <c r="D191" s="857"/>
      <c r="E191" s="857"/>
      <c r="F191" s="857"/>
      <c r="G191" s="857"/>
      <c r="H191" s="857"/>
      <c r="I191" s="857"/>
      <c r="J191" s="857"/>
      <c r="K191" s="857"/>
      <c r="L191" s="857"/>
      <c r="M191" s="857"/>
      <c r="N191" s="857"/>
    </row>
    <row r="192" spans="2:14">
      <c r="B192" s="843"/>
      <c r="C192" s="843"/>
      <c r="D192" s="857"/>
      <c r="E192" s="857"/>
      <c r="F192" s="857"/>
      <c r="G192" s="857"/>
      <c r="H192" s="857"/>
      <c r="I192" s="857"/>
      <c r="J192" s="857"/>
      <c r="K192" s="857"/>
      <c r="L192" s="857"/>
      <c r="M192" s="857"/>
      <c r="N192" s="857"/>
    </row>
    <row r="193" spans="2:14" ht="17.25" thickBot="1">
      <c r="B193" s="858"/>
      <c r="C193" s="858"/>
      <c r="D193" s="859"/>
      <c r="E193" s="859"/>
      <c r="F193" s="859"/>
      <c r="G193" s="859"/>
      <c r="H193" s="859"/>
      <c r="I193" s="859"/>
      <c r="J193" s="859"/>
      <c r="K193" s="859"/>
      <c r="L193" s="859"/>
      <c r="M193" s="859"/>
      <c r="N193" s="859"/>
    </row>
    <row r="194" spans="2:14" ht="19.5" thickTop="1" thickBot="1">
      <c r="B194" s="843"/>
      <c r="C194" s="843"/>
      <c r="D194" s="844"/>
      <c r="E194" s="845"/>
      <c r="F194" s="844"/>
      <c r="G194" s="844"/>
      <c r="H194" s="844"/>
      <c r="I194" s="844"/>
      <c r="J194" s="844"/>
      <c r="K194" s="844"/>
      <c r="L194" s="844"/>
      <c r="M194" s="844"/>
      <c r="N194" s="844"/>
    </row>
    <row r="195" spans="2:14">
      <c r="B195" s="843"/>
      <c r="C195" s="843"/>
      <c r="D195" s="857"/>
      <c r="E195" s="857"/>
      <c r="F195" s="857"/>
      <c r="G195" s="857"/>
      <c r="H195" s="857"/>
      <c r="I195" s="857"/>
      <c r="J195" s="857"/>
      <c r="K195" s="857"/>
      <c r="L195" s="857"/>
      <c r="M195" s="857"/>
      <c r="N195" s="857"/>
    </row>
    <row r="196" spans="2:14">
      <c r="B196" s="843"/>
      <c r="C196" s="843"/>
      <c r="D196" s="857"/>
      <c r="E196" s="857"/>
      <c r="F196" s="857"/>
      <c r="G196" s="857"/>
      <c r="H196" s="857"/>
      <c r="I196" s="857"/>
      <c r="J196" s="857"/>
      <c r="K196" s="857"/>
      <c r="L196" s="857"/>
      <c r="M196" s="857"/>
      <c r="N196" s="857"/>
    </row>
    <row r="197" spans="2:14" ht="17.25" thickBot="1">
      <c r="B197" s="858"/>
      <c r="C197" s="858"/>
      <c r="D197" s="859"/>
      <c r="E197" s="859"/>
      <c r="F197" s="859"/>
      <c r="G197" s="859"/>
      <c r="H197" s="859"/>
      <c r="I197" s="859"/>
      <c r="J197" s="859"/>
      <c r="K197" s="859"/>
      <c r="L197" s="859"/>
      <c r="M197" s="859"/>
      <c r="N197" s="859"/>
    </row>
    <row r="198" spans="2:14" ht="19.5" thickTop="1" thickBot="1">
      <c r="B198" s="843"/>
      <c r="C198" s="843"/>
      <c r="D198" s="844"/>
      <c r="E198" s="845"/>
      <c r="F198" s="844"/>
      <c r="G198" s="844"/>
      <c r="H198" s="844"/>
      <c r="I198" s="844"/>
      <c r="J198" s="844"/>
      <c r="K198" s="844"/>
      <c r="L198" s="844"/>
      <c r="M198" s="844"/>
      <c r="N198" s="844"/>
    </row>
    <row r="199" spans="2:14">
      <c r="B199" s="843"/>
      <c r="C199" s="843"/>
      <c r="D199" s="857"/>
      <c r="E199" s="857"/>
      <c r="F199" s="857"/>
      <c r="G199" s="857"/>
      <c r="H199" s="857"/>
      <c r="I199" s="857"/>
      <c r="J199" s="857"/>
      <c r="K199" s="857"/>
      <c r="L199" s="857"/>
      <c r="M199" s="857"/>
      <c r="N199" s="857"/>
    </row>
    <row r="200" spans="2:14">
      <c r="B200" s="843"/>
      <c r="C200" s="843"/>
      <c r="D200" s="857"/>
      <c r="E200" s="857"/>
      <c r="F200" s="857"/>
      <c r="G200" s="857"/>
      <c r="H200" s="857"/>
      <c r="I200" s="857"/>
      <c r="J200" s="857"/>
      <c r="K200" s="857"/>
      <c r="L200" s="857"/>
      <c r="M200" s="857"/>
      <c r="N200" s="857"/>
    </row>
    <row r="201" spans="2:14" ht="17.25" thickBot="1">
      <c r="B201" s="858"/>
      <c r="C201" s="858"/>
      <c r="D201" s="859"/>
      <c r="E201" s="859"/>
      <c r="F201" s="859"/>
      <c r="G201" s="859"/>
      <c r="H201" s="859"/>
      <c r="I201" s="859"/>
      <c r="J201" s="859"/>
      <c r="K201" s="859"/>
      <c r="L201" s="859"/>
      <c r="M201" s="859"/>
      <c r="N201" s="859"/>
    </row>
    <row r="202" spans="2:14" ht="19.5" thickTop="1" thickBot="1">
      <c r="B202" s="843"/>
      <c r="C202" s="843"/>
      <c r="D202" s="844"/>
      <c r="E202" s="845"/>
      <c r="F202" s="844"/>
      <c r="G202" s="844"/>
      <c r="H202" s="844"/>
      <c r="I202" s="844"/>
      <c r="J202" s="844"/>
      <c r="K202" s="844"/>
      <c r="L202" s="844"/>
      <c r="M202" s="844"/>
      <c r="N202" s="844"/>
    </row>
    <row r="203" spans="2:14">
      <c r="B203" s="843"/>
      <c r="C203" s="843"/>
      <c r="D203" s="857"/>
      <c r="E203" s="857"/>
      <c r="F203" s="857"/>
      <c r="G203" s="857"/>
      <c r="H203" s="857"/>
      <c r="I203" s="857"/>
      <c r="J203" s="857"/>
      <c r="K203" s="857"/>
      <c r="L203" s="857"/>
      <c r="M203" s="857"/>
      <c r="N203" s="857"/>
    </row>
    <row r="204" spans="2:14">
      <c r="B204" s="843"/>
      <c r="C204" s="843"/>
      <c r="D204" s="857"/>
      <c r="E204" s="857"/>
      <c r="F204" s="857"/>
      <c r="G204" s="857"/>
      <c r="H204" s="857"/>
      <c r="I204" s="857"/>
      <c r="J204" s="857"/>
      <c r="K204" s="857"/>
      <c r="L204" s="857"/>
      <c r="M204" s="857"/>
      <c r="N204" s="857"/>
    </row>
    <row r="205" spans="2:14" ht="17.25" thickBot="1">
      <c r="B205" s="858"/>
      <c r="C205" s="858"/>
      <c r="D205" s="859"/>
      <c r="E205" s="859"/>
      <c r="F205" s="859"/>
      <c r="G205" s="859"/>
      <c r="H205" s="859"/>
      <c r="I205" s="859"/>
      <c r="J205" s="859"/>
      <c r="K205" s="859"/>
      <c r="L205" s="859"/>
      <c r="M205" s="859"/>
      <c r="N205" s="859"/>
    </row>
    <row r="206" spans="2:14" ht="19.5" thickTop="1" thickBot="1">
      <c r="B206" s="843"/>
      <c r="C206" s="843"/>
      <c r="D206" s="844"/>
      <c r="E206" s="845"/>
      <c r="F206" s="844"/>
      <c r="G206" s="844"/>
      <c r="H206" s="844"/>
      <c r="I206" s="844"/>
      <c r="J206" s="844"/>
      <c r="K206" s="844"/>
      <c r="L206" s="844"/>
      <c r="M206" s="844"/>
      <c r="N206" s="844"/>
    </row>
    <row r="207" spans="2:14">
      <c r="B207" s="843"/>
      <c r="C207" s="843"/>
      <c r="D207" s="857"/>
      <c r="E207" s="857"/>
      <c r="F207" s="857"/>
      <c r="G207" s="857"/>
      <c r="H207" s="857"/>
      <c r="I207" s="857"/>
      <c r="J207" s="857"/>
      <c r="K207" s="857"/>
      <c r="L207" s="857"/>
      <c r="M207" s="857"/>
      <c r="N207" s="857"/>
    </row>
    <row r="208" spans="2:14">
      <c r="B208" s="843"/>
      <c r="C208" s="843"/>
      <c r="D208" s="857"/>
      <c r="E208" s="857"/>
      <c r="F208" s="857"/>
      <c r="G208" s="857"/>
      <c r="H208" s="857"/>
      <c r="I208" s="857"/>
      <c r="J208" s="857"/>
      <c r="K208" s="857"/>
      <c r="L208" s="857"/>
      <c r="M208" s="857"/>
      <c r="N208" s="857"/>
    </row>
    <row r="209" spans="2:14" ht="17.25" thickBot="1">
      <c r="B209" s="858"/>
      <c r="C209" s="858"/>
      <c r="D209" s="859"/>
      <c r="E209" s="859"/>
      <c r="F209" s="859"/>
      <c r="G209" s="859"/>
      <c r="H209" s="859"/>
      <c r="I209" s="859"/>
      <c r="J209" s="859"/>
      <c r="K209" s="859"/>
      <c r="L209" s="859"/>
      <c r="M209" s="859"/>
      <c r="N209" s="859"/>
    </row>
    <row r="210" spans="2:14" ht="19.5" thickTop="1" thickBot="1">
      <c r="B210" s="843"/>
      <c r="C210" s="843"/>
      <c r="D210" s="844"/>
      <c r="E210" s="845"/>
      <c r="F210" s="844"/>
      <c r="G210" s="844"/>
      <c r="H210" s="844"/>
      <c r="I210" s="844"/>
      <c r="J210" s="844"/>
      <c r="K210" s="844"/>
      <c r="L210" s="844"/>
      <c r="M210" s="844"/>
      <c r="N210" s="844"/>
    </row>
    <row r="211" spans="2:14">
      <c r="B211" s="843"/>
      <c r="C211" s="843"/>
      <c r="D211" s="857"/>
      <c r="E211" s="857"/>
      <c r="F211" s="857"/>
      <c r="G211" s="857"/>
      <c r="H211" s="857"/>
      <c r="I211" s="857"/>
      <c r="J211" s="857"/>
      <c r="K211" s="857"/>
      <c r="L211" s="857"/>
      <c r="M211" s="857"/>
      <c r="N211" s="857"/>
    </row>
    <row r="212" spans="2:14">
      <c r="B212" s="843"/>
      <c r="C212" s="843"/>
      <c r="D212" s="857"/>
      <c r="E212" s="857"/>
      <c r="F212" s="857"/>
      <c r="G212" s="857"/>
      <c r="H212" s="857"/>
      <c r="I212" s="857"/>
      <c r="J212" s="857"/>
      <c r="K212" s="857"/>
      <c r="L212" s="857"/>
      <c r="M212" s="857"/>
      <c r="N212" s="857"/>
    </row>
    <row r="213" spans="2:14" ht="17.25" thickBot="1">
      <c r="B213" s="858"/>
      <c r="C213" s="858"/>
      <c r="D213" s="859"/>
      <c r="E213" s="859"/>
      <c r="F213" s="859"/>
      <c r="G213" s="859"/>
      <c r="H213" s="859"/>
      <c r="I213" s="859"/>
      <c r="J213" s="859"/>
      <c r="K213" s="859"/>
      <c r="L213" s="859"/>
      <c r="M213" s="859"/>
      <c r="N213" s="859"/>
    </row>
    <row r="214" spans="2:14" ht="19.5" thickTop="1" thickBot="1">
      <c r="B214" s="843"/>
      <c r="C214" s="843"/>
      <c r="D214" s="844"/>
      <c r="E214" s="845"/>
      <c r="F214" s="844"/>
      <c r="G214" s="844"/>
      <c r="H214" s="844"/>
      <c r="I214" s="844"/>
      <c r="J214" s="844"/>
      <c r="K214" s="844"/>
      <c r="L214" s="844"/>
      <c r="M214" s="844"/>
      <c r="N214" s="844"/>
    </row>
    <row r="215" spans="2:14">
      <c r="B215" s="843"/>
      <c r="C215" s="843"/>
      <c r="D215" s="857"/>
      <c r="E215" s="857"/>
      <c r="F215" s="857"/>
      <c r="G215" s="857"/>
      <c r="H215" s="857"/>
      <c r="I215" s="857"/>
      <c r="J215" s="857"/>
      <c r="K215" s="857"/>
      <c r="L215" s="857"/>
      <c r="M215" s="857"/>
      <c r="N215" s="857"/>
    </row>
    <row r="216" spans="2:14">
      <c r="B216" s="843"/>
      <c r="C216" s="843"/>
      <c r="D216" s="857"/>
      <c r="E216" s="857"/>
      <c r="F216" s="857"/>
      <c r="G216" s="857"/>
      <c r="H216" s="857"/>
      <c r="I216" s="857"/>
      <c r="J216" s="857"/>
      <c r="K216" s="857"/>
      <c r="L216" s="857"/>
      <c r="M216" s="857"/>
      <c r="N216" s="857"/>
    </row>
    <row r="217" spans="2:14" ht="17.25" thickBot="1">
      <c r="B217" s="858"/>
      <c r="C217" s="858"/>
      <c r="D217" s="859"/>
      <c r="E217" s="859"/>
      <c r="F217" s="859"/>
      <c r="G217" s="859"/>
      <c r="H217" s="859"/>
      <c r="I217" s="859"/>
      <c r="J217" s="859"/>
      <c r="K217" s="859"/>
      <c r="L217" s="859"/>
      <c r="M217" s="859"/>
      <c r="N217" s="859"/>
    </row>
    <row r="218" spans="2:14" ht="19.5" thickTop="1" thickBot="1">
      <c r="B218" s="894"/>
      <c r="C218" s="843"/>
      <c r="D218" s="844"/>
      <c r="E218" s="845"/>
      <c r="F218" s="844"/>
      <c r="G218" s="844"/>
      <c r="H218" s="844"/>
      <c r="I218" s="844"/>
      <c r="J218" s="844"/>
      <c r="K218" s="844"/>
      <c r="L218" s="844"/>
      <c r="M218" s="844"/>
      <c r="N218" s="844"/>
    </row>
    <row r="219" spans="2:14">
      <c r="B219" s="843"/>
      <c r="C219" s="843"/>
      <c r="D219" s="857"/>
      <c r="E219" s="857"/>
      <c r="F219" s="857"/>
      <c r="G219" s="857"/>
      <c r="H219" s="857"/>
      <c r="I219" s="857"/>
      <c r="J219" s="857"/>
      <c r="K219" s="857"/>
      <c r="L219" s="857"/>
      <c r="M219" s="857"/>
      <c r="N219" s="857"/>
    </row>
    <row r="220" spans="2:14">
      <c r="B220" s="843"/>
      <c r="C220" s="843"/>
      <c r="D220" s="857"/>
      <c r="E220" s="857"/>
      <c r="F220" s="857"/>
      <c r="G220" s="857"/>
      <c r="H220" s="857"/>
      <c r="I220" s="857"/>
      <c r="J220" s="857"/>
      <c r="K220" s="857"/>
      <c r="L220" s="857"/>
      <c r="M220" s="857"/>
      <c r="N220" s="857"/>
    </row>
    <row r="221" spans="2:14" ht="17.25" thickBot="1">
      <c r="B221" s="858"/>
      <c r="C221" s="858"/>
      <c r="D221" s="859"/>
      <c r="E221" s="859"/>
      <c r="F221" s="859"/>
      <c r="G221" s="859"/>
      <c r="H221" s="859"/>
      <c r="I221" s="859"/>
      <c r="J221" s="859"/>
      <c r="K221" s="859"/>
      <c r="L221" s="859"/>
      <c r="M221" s="859"/>
      <c r="N221" s="859"/>
    </row>
    <row r="222" spans="2:14" ht="19.5" thickTop="1" thickBot="1">
      <c r="B222" s="843"/>
      <c r="C222" s="843"/>
      <c r="D222" s="844"/>
      <c r="E222" s="845"/>
      <c r="F222" s="844"/>
      <c r="G222" s="844"/>
      <c r="H222" s="844"/>
      <c r="I222" s="844"/>
      <c r="J222" s="844"/>
      <c r="K222" s="844"/>
      <c r="L222" s="844"/>
      <c r="M222" s="844"/>
      <c r="N222" s="844"/>
    </row>
    <row r="223" spans="2:14">
      <c r="B223" s="843"/>
      <c r="C223" s="843"/>
      <c r="D223" s="857"/>
      <c r="E223" s="857"/>
      <c r="F223" s="857"/>
      <c r="G223" s="857"/>
      <c r="H223" s="857"/>
      <c r="I223" s="857"/>
      <c r="J223" s="857"/>
      <c r="K223" s="857"/>
      <c r="L223" s="857"/>
      <c r="M223" s="857"/>
      <c r="N223" s="857"/>
    </row>
    <row r="224" spans="2:14">
      <c r="B224" s="843"/>
      <c r="C224" s="843"/>
      <c r="D224" s="857"/>
      <c r="E224" s="857"/>
      <c r="F224" s="857"/>
      <c r="G224" s="857"/>
      <c r="H224" s="857"/>
      <c r="I224" s="857"/>
      <c r="J224" s="857"/>
      <c r="K224" s="857"/>
      <c r="L224" s="857"/>
      <c r="M224" s="857"/>
      <c r="N224" s="857"/>
    </row>
    <row r="225" spans="2:14" ht="17.25" thickBot="1">
      <c r="B225" s="858"/>
      <c r="C225" s="858"/>
      <c r="D225" s="859"/>
      <c r="E225" s="859"/>
      <c r="F225" s="859"/>
      <c r="G225" s="859"/>
      <c r="H225" s="859"/>
      <c r="I225" s="859"/>
      <c r="J225" s="859"/>
      <c r="K225" s="859"/>
      <c r="L225" s="859"/>
      <c r="M225" s="859"/>
      <c r="N225" s="859"/>
    </row>
    <row r="226" spans="2:14" ht="19.5" thickTop="1" thickBot="1">
      <c r="B226" s="843"/>
      <c r="C226" s="843"/>
      <c r="D226" s="844"/>
      <c r="E226" s="845"/>
      <c r="F226" s="844"/>
      <c r="G226" s="844"/>
      <c r="H226" s="844"/>
      <c r="I226" s="844"/>
      <c r="J226" s="844"/>
      <c r="K226" s="844"/>
      <c r="L226" s="844"/>
      <c r="M226" s="844"/>
      <c r="N226" s="844"/>
    </row>
    <row r="227" spans="2:14">
      <c r="B227" s="843"/>
      <c r="C227" s="843"/>
      <c r="D227" s="857"/>
      <c r="E227" s="857"/>
      <c r="F227" s="857"/>
      <c r="G227" s="857"/>
      <c r="H227" s="857"/>
      <c r="I227" s="857"/>
      <c r="J227" s="857"/>
      <c r="K227" s="857"/>
      <c r="L227" s="857"/>
      <c r="M227" s="857"/>
      <c r="N227" s="857"/>
    </row>
    <row r="228" spans="2:14">
      <c r="B228" s="843"/>
      <c r="C228" s="843"/>
      <c r="D228" s="857"/>
      <c r="E228" s="857"/>
      <c r="F228" s="857"/>
      <c r="G228" s="857"/>
      <c r="H228" s="857"/>
      <c r="I228" s="857"/>
      <c r="J228" s="857"/>
      <c r="K228" s="857"/>
      <c r="L228" s="857"/>
      <c r="M228" s="857"/>
      <c r="N228" s="857"/>
    </row>
    <row r="229" spans="2:14" ht="17.25" thickBot="1">
      <c r="B229" s="858"/>
      <c r="C229" s="858"/>
      <c r="D229" s="859"/>
      <c r="E229" s="859"/>
      <c r="F229" s="859"/>
      <c r="G229" s="859"/>
      <c r="H229" s="859"/>
      <c r="I229" s="859"/>
      <c r="J229" s="859"/>
      <c r="K229" s="859"/>
      <c r="L229" s="859"/>
      <c r="M229" s="859"/>
      <c r="N229" s="859"/>
    </row>
    <row r="230" spans="2:14" ht="19.5" thickTop="1" thickBot="1">
      <c r="B230" s="843"/>
      <c r="C230" s="843"/>
      <c r="D230" s="844"/>
      <c r="E230" s="845"/>
      <c r="F230" s="844"/>
      <c r="G230" s="844"/>
      <c r="H230" s="844"/>
      <c r="I230" s="844"/>
      <c r="J230" s="844"/>
      <c r="K230" s="844"/>
      <c r="L230" s="844"/>
      <c r="M230" s="844"/>
      <c r="N230" s="844"/>
    </row>
    <row r="231" spans="2:14">
      <c r="B231" s="843"/>
      <c r="C231" s="843"/>
      <c r="D231" s="857"/>
      <c r="E231" s="857"/>
      <c r="F231" s="857"/>
      <c r="G231" s="857"/>
      <c r="H231" s="857"/>
      <c r="I231" s="857"/>
      <c r="J231" s="857"/>
      <c r="K231" s="857"/>
      <c r="L231" s="857"/>
      <c r="M231" s="857"/>
      <c r="N231" s="857"/>
    </row>
    <row r="232" spans="2:14">
      <c r="B232" s="843"/>
      <c r="C232" s="843"/>
      <c r="D232" s="857"/>
      <c r="E232" s="857"/>
      <c r="F232" s="857"/>
      <c r="G232" s="857"/>
      <c r="H232" s="857"/>
      <c r="I232" s="857"/>
      <c r="J232" s="857"/>
      <c r="K232" s="857"/>
      <c r="L232" s="857"/>
      <c r="M232" s="857"/>
      <c r="N232" s="857"/>
    </row>
    <row r="233" spans="2:14" ht="17.25" thickBot="1">
      <c r="B233" s="858"/>
      <c r="C233" s="858"/>
      <c r="D233" s="859"/>
      <c r="E233" s="859"/>
      <c r="F233" s="859"/>
      <c r="G233" s="859"/>
      <c r="H233" s="859"/>
      <c r="I233" s="859"/>
      <c r="J233" s="859"/>
      <c r="K233" s="859"/>
      <c r="L233" s="859"/>
      <c r="M233" s="859"/>
      <c r="N233" s="859"/>
    </row>
    <row r="234" spans="2:14" ht="19.5" thickTop="1" thickBot="1">
      <c r="B234" s="894"/>
      <c r="C234" s="843"/>
      <c r="D234" s="844"/>
      <c r="E234" s="845"/>
      <c r="F234" s="844"/>
      <c r="G234" s="844"/>
      <c r="H234" s="844"/>
      <c r="I234" s="844"/>
      <c r="J234" s="844"/>
      <c r="K234" s="844"/>
      <c r="L234" s="844"/>
      <c r="M234" s="844"/>
      <c r="N234" s="844"/>
    </row>
    <row r="235" spans="2:14">
      <c r="B235" s="843"/>
      <c r="C235" s="843"/>
      <c r="D235" s="857"/>
      <c r="E235" s="857"/>
      <c r="F235" s="857"/>
      <c r="G235" s="857"/>
      <c r="H235" s="857"/>
      <c r="I235" s="857"/>
      <c r="J235" s="857"/>
      <c r="K235" s="857"/>
      <c r="L235" s="857"/>
      <c r="M235" s="857"/>
      <c r="N235" s="857"/>
    </row>
    <row r="236" spans="2:14">
      <c r="B236" s="843"/>
      <c r="C236" s="843"/>
      <c r="D236" s="857"/>
      <c r="E236" s="857"/>
      <c r="F236" s="857"/>
      <c r="G236" s="857"/>
      <c r="H236" s="857"/>
      <c r="I236" s="857"/>
      <c r="J236" s="857"/>
      <c r="K236" s="857"/>
      <c r="L236" s="857"/>
      <c r="M236" s="857"/>
      <c r="N236" s="857"/>
    </row>
    <row r="237" spans="2:14" ht="17.25" thickBot="1">
      <c r="B237" s="858"/>
      <c r="C237" s="858"/>
      <c r="D237" s="859"/>
      <c r="E237" s="859"/>
      <c r="F237" s="859"/>
      <c r="G237" s="859"/>
      <c r="H237" s="859"/>
      <c r="I237" s="859"/>
      <c r="J237" s="859"/>
      <c r="K237" s="859"/>
      <c r="L237" s="859"/>
      <c r="M237" s="859"/>
      <c r="N237" s="859"/>
    </row>
    <row r="238" spans="2:14" ht="19.5" thickTop="1" thickBot="1">
      <c r="B238" s="843"/>
      <c r="C238" s="843"/>
      <c r="D238" s="844"/>
      <c r="E238" s="845"/>
      <c r="F238" s="844"/>
      <c r="G238" s="844"/>
      <c r="H238" s="844"/>
      <c r="I238" s="844"/>
      <c r="J238" s="844"/>
      <c r="K238" s="844"/>
      <c r="L238" s="844"/>
      <c r="M238" s="844"/>
      <c r="N238" s="844"/>
    </row>
    <row r="239" spans="2:14">
      <c r="B239" s="843"/>
      <c r="C239" s="843"/>
      <c r="D239" s="857"/>
      <c r="E239" s="857"/>
      <c r="F239" s="857"/>
      <c r="G239" s="857"/>
      <c r="H239" s="857"/>
      <c r="I239" s="857"/>
      <c r="J239" s="857"/>
      <c r="K239" s="857"/>
      <c r="L239" s="857"/>
      <c r="M239" s="857"/>
      <c r="N239" s="857"/>
    </row>
    <row r="240" spans="2:14">
      <c r="B240" s="843"/>
      <c r="C240" s="843"/>
      <c r="D240" s="857"/>
      <c r="E240" s="857"/>
      <c r="F240" s="857"/>
      <c r="G240" s="857"/>
      <c r="H240" s="857"/>
      <c r="I240" s="857"/>
      <c r="J240" s="857"/>
      <c r="K240" s="857"/>
      <c r="L240" s="857"/>
      <c r="M240" s="857"/>
      <c r="N240" s="857"/>
    </row>
    <row r="241" spans="2:14" ht="17.25" thickBot="1">
      <c r="B241" s="858"/>
      <c r="C241" s="858"/>
      <c r="D241" s="859"/>
      <c r="E241" s="859"/>
      <c r="F241" s="859"/>
      <c r="G241" s="859"/>
      <c r="H241" s="859"/>
      <c r="I241" s="859"/>
      <c r="J241" s="859"/>
      <c r="K241" s="859"/>
      <c r="L241" s="859"/>
      <c r="M241" s="859"/>
      <c r="N241" s="859"/>
    </row>
    <row r="242" spans="2:14" ht="19.5" thickTop="1" thickBot="1">
      <c r="B242" s="843"/>
      <c r="C242" s="843"/>
      <c r="D242" s="844"/>
      <c r="E242" s="845"/>
      <c r="F242" s="844"/>
      <c r="G242" s="844"/>
      <c r="H242" s="844"/>
      <c r="I242" s="844"/>
      <c r="J242" s="844"/>
      <c r="K242" s="844"/>
      <c r="L242" s="844"/>
      <c r="M242" s="844"/>
      <c r="N242" s="844"/>
    </row>
    <row r="243" spans="2:14">
      <c r="B243" s="843"/>
      <c r="C243" s="843"/>
      <c r="D243" s="857"/>
      <c r="E243" s="857"/>
      <c r="F243" s="857"/>
      <c r="G243" s="857"/>
      <c r="H243" s="857"/>
      <c r="I243" s="857"/>
      <c r="J243" s="857"/>
      <c r="K243" s="857"/>
      <c r="L243" s="857"/>
      <c r="M243" s="857"/>
      <c r="N243" s="857"/>
    </row>
    <row r="244" spans="2:14">
      <c r="B244" s="843"/>
      <c r="C244" s="843"/>
      <c r="D244" s="857"/>
      <c r="E244" s="857"/>
      <c r="F244" s="857"/>
      <c r="G244" s="857"/>
      <c r="H244" s="857"/>
      <c r="I244" s="857"/>
      <c r="J244" s="857"/>
      <c r="K244" s="857"/>
      <c r="L244" s="857"/>
      <c r="M244" s="857"/>
      <c r="N244" s="857"/>
    </row>
    <row r="245" spans="2:14" ht="17.25" thickBot="1">
      <c r="B245" s="858"/>
      <c r="C245" s="858"/>
      <c r="D245" s="859"/>
      <c r="E245" s="859"/>
      <c r="F245" s="859"/>
      <c r="G245" s="859"/>
      <c r="H245" s="859"/>
      <c r="I245" s="859"/>
      <c r="J245" s="859"/>
      <c r="K245" s="859"/>
      <c r="L245" s="859"/>
      <c r="M245" s="859"/>
      <c r="N245" s="859"/>
    </row>
    <row r="246" spans="2:14" ht="19.5" thickTop="1" thickBot="1">
      <c r="B246" s="843"/>
      <c r="C246" s="843"/>
      <c r="D246" s="844"/>
      <c r="E246" s="845"/>
      <c r="F246" s="844"/>
      <c r="G246" s="844"/>
      <c r="H246" s="844"/>
      <c r="I246" s="844"/>
      <c r="J246" s="844"/>
      <c r="K246" s="844"/>
      <c r="L246" s="844"/>
      <c r="M246" s="844"/>
      <c r="N246" s="844"/>
    </row>
    <row r="247" spans="2:14">
      <c r="B247" s="843"/>
      <c r="C247" s="843"/>
      <c r="D247" s="857"/>
      <c r="E247" s="857"/>
      <c r="F247" s="857"/>
      <c r="G247" s="857"/>
      <c r="H247" s="857"/>
      <c r="I247" s="857"/>
      <c r="J247" s="857"/>
      <c r="K247" s="857"/>
      <c r="L247" s="857"/>
      <c r="M247" s="857"/>
      <c r="N247" s="857"/>
    </row>
    <row r="248" spans="2:14">
      <c r="B248" s="843"/>
      <c r="C248" s="843"/>
      <c r="D248" s="857"/>
      <c r="E248" s="857"/>
      <c r="F248" s="857"/>
      <c r="G248" s="857"/>
      <c r="H248" s="857"/>
      <c r="I248" s="857"/>
      <c r="J248" s="857"/>
      <c r="K248" s="857"/>
      <c r="L248" s="857"/>
      <c r="M248" s="857"/>
      <c r="N248" s="857"/>
    </row>
    <row r="249" spans="2:14" ht="17.25" thickBot="1">
      <c r="B249" s="858"/>
      <c r="C249" s="858"/>
      <c r="D249" s="859"/>
      <c r="E249" s="859"/>
      <c r="F249" s="859"/>
      <c r="G249" s="859"/>
      <c r="H249" s="859"/>
      <c r="I249" s="859"/>
      <c r="J249" s="859"/>
      <c r="K249" s="859"/>
      <c r="L249" s="859"/>
      <c r="M249" s="859"/>
      <c r="N249" s="859"/>
    </row>
    <row r="250" spans="2:14" ht="19.5" thickTop="1" thickBot="1">
      <c r="B250" s="843"/>
      <c r="C250" s="843"/>
      <c r="D250" s="844"/>
      <c r="E250" s="845"/>
      <c r="F250" s="844"/>
      <c r="G250" s="844"/>
      <c r="H250" s="844"/>
      <c r="I250" s="844"/>
      <c r="J250" s="844"/>
      <c r="K250" s="844"/>
      <c r="L250" s="844"/>
      <c r="M250" s="844"/>
      <c r="N250" s="844"/>
    </row>
    <row r="251" spans="2:14">
      <c r="B251" s="843"/>
      <c r="C251" s="843"/>
      <c r="D251" s="857"/>
      <c r="E251" s="857"/>
      <c r="F251" s="857"/>
      <c r="G251" s="857"/>
      <c r="H251" s="857"/>
      <c r="I251" s="857"/>
      <c r="J251" s="857"/>
      <c r="K251" s="857"/>
      <c r="L251" s="857"/>
      <c r="M251" s="857"/>
      <c r="N251" s="857"/>
    </row>
    <row r="252" spans="2:14">
      <c r="B252" s="843"/>
      <c r="C252" s="843"/>
      <c r="D252" s="857"/>
      <c r="E252" s="857"/>
      <c r="F252" s="857"/>
      <c r="G252" s="857"/>
      <c r="H252" s="857"/>
      <c r="I252" s="857"/>
      <c r="J252" s="857"/>
      <c r="K252" s="857"/>
      <c r="L252" s="857"/>
      <c r="M252" s="857"/>
      <c r="N252" s="857"/>
    </row>
    <row r="253" spans="2:14" ht="17.25" thickBot="1">
      <c r="B253" s="858"/>
      <c r="C253" s="858"/>
      <c r="D253" s="859"/>
      <c r="E253" s="859"/>
      <c r="F253" s="859"/>
      <c r="G253" s="859"/>
      <c r="H253" s="859"/>
      <c r="I253" s="859"/>
      <c r="J253" s="859"/>
      <c r="K253" s="859"/>
      <c r="L253" s="859"/>
      <c r="M253" s="859"/>
      <c r="N253" s="859"/>
    </row>
    <row r="254" spans="2:14" ht="19.5" thickTop="1" thickBot="1">
      <c r="B254" s="843"/>
      <c r="C254" s="843"/>
      <c r="D254" s="844"/>
      <c r="E254" s="845"/>
      <c r="F254" s="844"/>
      <c r="G254" s="844"/>
      <c r="H254" s="844"/>
      <c r="I254" s="844"/>
      <c r="J254" s="844"/>
      <c r="K254" s="844"/>
      <c r="L254" s="844"/>
      <c r="M254" s="844"/>
      <c r="N254" s="844"/>
    </row>
    <row r="255" spans="2:14">
      <c r="B255" s="843"/>
      <c r="C255" s="843"/>
      <c r="D255" s="857"/>
      <c r="E255" s="857"/>
      <c r="F255" s="857"/>
      <c r="G255" s="857"/>
      <c r="H255" s="857"/>
      <c r="I255" s="857"/>
      <c r="J255" s="857"/>
      <c r="K255" s="857"/>
      <c r="L255" s="857"/>
      <c r="M255" s="857"/>
      <c r="N255" s="857"/>
    </row>
    <row r="256" spans="2:14">
      <c r="B256" s="843"/>
      <c r="C256" s="843"/>
      <c r="D256" s="857"/>
      <c r="E256" s="857"/>
      <c r="F256" s="857"/>
      <c r="G256" s="857"/>
      <c r="H256" s="857"/>
      <c r="I256" s="857"/>
      <c r="J256" s="857"/>
      <c r="K256" s="857"/>
      <c r="L256" s="857"/>
      <c r="M256" s="857"/>
      <c r="N256" s="857"/>
    </row>
    <row r="257" spans="2:14" ht="17.25" thickBot="1">
      <c r="B257" s="858"/>
      <c r="C257" s="858"/>
      <c r="D257" s="859"/>
      <c r="E257" s="859"/>
      <c r="F257" s="859"/>
      <c r="G257" s="859"/>
      <c r="H257" s="859"/>
      <c r="I257" s="859"/>
      <c r="J257" s="859"/>
      <c r="K257" s="859"/>
      <c r="L257" s="859"/>
      <c r="M257" s="859"/>
      <c r="N257" s="859"/>
    </row>
    <row r="258" spans="2:14" ht="19.5" thickTop="1" thickBot="1">
      <c r="B258" s="843"/>
      <c r="C258" s="843"/>
      <c r="D258" s="844"/>
      <c r="E258" s="845"/>
      <c r="F258" s="844"/>
      <c r="G258" s="844"/>
      <c r="H258" s="844"/>
      <c r="I258" s="844"/>
      <c r="J258" s="844"/>
      <c r="K258" s="844"/>
      <c r="L258" s="844"/>
      <c r="M258" s="844"/>
      <c r="N258" s="844"/>
    </row>
    <row r="259" spans="2:14">
      <c r="B259" s="843"/>
      <c r="C259" s="843"/>
      <c r="D259" s="857"/>
      <c r="E259" s="857"/>
      <c r="F259" s="857"/>
      <c r="G259" s="857"/>
      <c r="H259" s="857"/>
      <c r="I259" s="857"/>
      <c r="J259" s="857"/>
      <c r="K259" s="857"/>
      <c r="L259" s="857"/>
      <c r="M259" s="857"/>
      <c r="N259" s="857"/>
    </row>
    <row r="260" spans="2:14">
      <c r="B260" s="843"/>
      <c r="C260" s="843"/>
      <c r="D260" s="857"/>
      <c r="E260" s="857"/>
      <c r="F260" s="857"/>
      <c r="G260" s="857"/>
      <c r="H260" s="857"/>
      <c r="I260" s="857"/>
      <c r="J260" s="857"/>
      <c r="K260" s="857"/>
      <c r="L260" s="857"/>
      <c r="M260" s="857"/>
      <c r="N260" s="857"/>
    </row>
    <row r="261" spans="2:14" ht="17.25" thickBot="1">
      <c r="B261" s="858"/>
      <c r="C261" s="858"/>
      <c r="D261" s="859"/>
      <c r="E261" s="859"/>
      <c r="F261" s="859"/>
      <c r="G261" s="859"/>
      <c r="H261" s="859"/>
      <c r="I261" s="859"/>
      <c r="J261" s="859"/>
      <c r="K261" s="859"/>
      <c r="L261" s="859"/>
      <c r="M261" s="859"/>
      <c r="N261" s="859"/>
    </row>
    <row r="262" spans="2:14" ht="19.5" thickTop="1" thickBot="1">
      <c r="B262" s="843"/>
      <c r="C262" s="843"/>
      <c r="D262" s="844"/>
      <c r="E262" s="845"/>
      <c r="F262" s="844"/>
      <c r="G262" s="844"/>
      <c r="H262" s="844"/>
      <c r="I262" s="844"/>
      <c r="J262" s="844"/>
      <c r="K262" s="844"/>
      <c r="L262" s="844"/>
      <c r="M262" s="844"/>
      <c r="N262" s="844"/>
    </row>
    <row r="263" spans="2:14">
      <c r="B263" s="843"/>
      <c r="C263" s="843"/>
      <c r="D263" s="857"/>
      <c r="E263" s="857"/>
      <c r="F263" s="857"/>
      <c r="G263" s="857"/>
      <c r="H263" s="857"/>
      <c r="I263" s="857"/>
      <c r="J263" s="857"/>
      <c r="K263" s="857"/>
      <c r="L263" s="857"/>
      <c r="M263" s="857"/>
      <c r="N263" s="857"/>
    </row>
    <row r="264" spans="2:14">
      <c r="B264" s="843"/>
      <c r="C264" s="843"/>
      <c r="D264" s="857"/>
      <c r="E264" s="857"/>
      <c r="F264" s="857"/>
      <c r="G264" s="857"/>
      <c r="H264" s="857"/>
      <c r="I264" s="857"/>
      <c r="J264" s="857"/>
      <c r="K264" s="857"/>
      <c r="L264" s="857"/>
      <c r="M264" s="857"/>
      <c r="N264" s="857"/>
    </row>
    <row r="265" spans="2:14" ht="17.25" thickBot="1">
      <c r="B265" s="858"/>
      <c r="C265" s="858"/>
      <c r="D265" s="859"/>
      <c r="E265" s="859"/>
      <c r="F265" s="859"/>
      <c r="G265" s="859"/>
      <c r="H265" s="859"/>
      <c r="I265" s="859"/>
      <c r="J265" s="859"/>
      <c r="K265" s="859"/>
      <c r="L265" s="859"/>
      <c r="M265" s="859"/>
      <c r="N265" s="859"/>
    </row>
    <row r="266" spans="2:14" ht="19.5" thickTop="1" thickBot="1">
      <c r="B266" s="843"/>
      <c r="C266" s="843"/>
      <c r="D266" s="844"/>
      <c r="E266" s="845"/>
      <c r="F266" s="844"/>
      <c r="G266" s="844"/>
      <c r="H266" s="844"/>
      <c r="I266" s="844"/>
      <c r="J266" s="844"/>
      <c r="K266" s="844"/>
      <c r="L266" s="844"/>
      <c r="M266" s="844"/>
      <c r="N266" s="844"/>
    </row>
    <row r="267" spans="2:14">
      <c r="B267" s="843"/>
      <c r="C267" s="843"/>
      <c r="D267" s="857"/>
      <c r="E267" s="857"/>
      <c r="F267" s="857"/>
      <c r="G267" s="857"/>
      <c r="H267" s="857"/>
      <c r="I267" s="857"/>
      <c r="J267" s="857"/>
      <c r="K267" s="857"/>
      <c r="L267" s="857"/>
      <c r="M267" s="857"/>
      <c r="N267" s="857"/>
    </row>
    <row r="268" spans="2:14">
      <c r="B268" s="843"/>
      <c r="C268" s="843"/>
      <c r="D268" s="857"/>
      <c r="E268" s="857"/>
      <c r="F268" s="857"/>
      <c r="G268" s="857"/>
      <c r="H268" s="857"/>
      <c r="I268" s="857"/>
      <c r="J268" s="857"/>
      <c r="K268" s="857"/>
      <c r="L268" s="857"/>
      <c r="M268" s="857"/>
      <c r="N268" s="857"/>
    </row>
    <row r="269" spans="2:14" ht="17.25" thickBot="1">
      <c r="B269" s="858"/>
      <c r="C269" s="858"/>
      <c r="D269" s="859"/>
      <c r="E269" s="859"/>
      <c r="F269" s="859"/>
      <c r="G269" s="859"/>
      <c r="H269" s="859"/>
      <c r="I269" s="859"/>
      <c r="J269" s="859"/>
      <c r="K269" s="859"/>
      <c r="L269" s="859"/>
      <c r="M269" s="859"/>
      <c r="N269" s="859"/>
    </row>
    <row r="270" spans="2:14" ht="19.5" thickTop="1" thickBot="1">
      <c r="B270" s="843"/>
      <c r="C270" s="843"/>
      <c r="D270" s="844"/>
      <c r="E270" s="845"/>
      <c r="F270" s="844"/>
      <c r="G270" s="844"/>
      <c r="H270" s="844"/>
      <c r="I270" s="844"/>
      <c r="J270" s="844"/>
      <c r="K270" s="844"/>
      <c r="L270" s="844"/>
      <c r="M270" s="844"/>
      <c r="N270" s="844"/>
    </row>
    <row r="271" spans="2:14">
      <c r="B271" s="843"/>
      <c r="C271" s="843"/>
      <c r="D271" s="857"/>
      <c r="E271" s="857"/>
      <c r="F271" s="857"/>
      <c r="G271" s="857"/>
      <c r="H271" s="857"/>
      <c r="I271" s="857"/>
      <c r="J271" s="857"/>
      <c r="K271" s="857"/>
      <c r="L271" s="857"/>
      <c r="M271" s="857"/>
      <c r="N271" s="857"/>
    </row>
    <row r="272" spans="2:14">
      <c r="B272" s="843"/>
      <c r="C272" s="843"/>
      <c r="D272" s="857"/>
      <c r="E272" s="857"/>
      <c r="F272" s="857"/>
      <c r="G272" s="857"/>
      <c r="H272" s="857"/>
      <c r="I272" s="857"/>
      <c r="J272" s="857"/>
      <c r="K272" s="857"/>
      <c r="L272" s="857"/>
      <c r="M272" s="857"/>
      <c r="N272" s="857"/>
    </row>
    <row r="273" spans="2:14" ht="17.25" thickBot="1">
      <c r="B273" s="858"/>
      <c r="C273" s="858"/>
      <c r="D273" s="859"/>
      <c r="E273" s="859"/>
      <c r="F273" s="859"/>
      <c r="G273" s="859"/>
      <c r="H273" s="859"/>
      <c r="I273" s="859"/>
      <c r="J273" s="859"/>
      <c r="K273" s="859"/>
      <c r="L273" s="859"/>
      <c r="M273" s="859"/>
      <c r="N273" s="859"/>
    </row>
    <row r="274" spans="2:14" ht="19.5" thickTop="1" thickBot="1">
      <c r="B274" s="843"/>
      <c r="C274" s="843"/>
      <c r="D274" s="844"/>
      <c r="E274" s="845"/>
      <c r="F274" s="844"/>
      <c r="G274" s="844"/>
      <c r="H274" s="844"/>
      <c r="I274" s="844"/>
      <c r="J274" s="844"/>
      <c r="K274" s="844"/>
      <c r="L274" s="844"/>
      <c r="M274" s="844"/>
      <c r="N274" s="844"/>
    </row>
    <row r="275" spans="2:14">
      <c r="B275" s="843"/>
      <c r="C275" s="843"/>
      <c r="D275" s="857"/>
      <c r="E275" s="857"/>
      <c r="F275" s="857"/>
      <c r="G275" s="857"/>
      <c r="H275" s="857"/>
      <c r="I275" s="857"/>
      <c r="J275" s="857"/>
      <c r="K275" s="857"/>
      <c r="L275" s="857"/>
      <c r="M275" s="857"/>
      <c r="N275" s="857"/>
    </row>
    <row r="276" spans="2:14">
      <c r="B276" s="843"/>
      <c r="C276" s="843"/>
      <c r="D276" s="857"/>
      <c r="E276" s="857"/>
      <c r="F276" s="857"/>
      <c r="G276" s="857"/>
      <c r="H276" s="857"/>
      <c r="I276" s="857"/>
      <c r="J276" s="857"/>
      <c r="K276" s="857"/>
      <c r="L276" s="857"/>
      <c r="M276" s="857"/>
      <c r="N276" s="857"/>
    </row>
    <row r="277" spans="2:14" ht="17.25" thickBot="1">
      <c r="B277" s="858"/>
      <c r="C277" s="858"/>
      <c r="D277" s="859"/>
      <c r="E277" s="859"/>
      <c r="F277" s="859"/>
      <c r="G277" s="859"/>
      <c r="H277" s="859"/>
      <c r="I277" s="859"/>
      <c r="J277" s="859"/>
      <c r="K277" s="859"/>
      <c r="L277" s="859"/>
      <c r="M277" s="859"/>
      <c r="N277" s="859"/>
    </row>
    <row r="278" spans="2:14" ht="19.5" thickTop="1" thickBot="1">
      <c r="D278" s="844"/>
      <c r="E278" s="845"/>
      <c r="F278" s="844"/>
      <c r="G278" s="844"/>
      <c r="H278" s="844"/>
      <c r="I278" s="844"/>
      <c r="J278" s="844"/>
      <c r="K278" s="844"/>
      <c r="L278" s="844"/>
      <c r="M278" s="844"/>
      <c r="N278" s="844"/>
    </row>
    <row r="281" spans="2:14" ht="17.25" thickBot="1">
      <c r="B281" s="858"/>
      <c r="C281" s="858"/>
      <c r="D281" s="859"/>
      <c r="E281" s="859"/>
      <c r="F281" s="859"/>
      <c r="G281" s="859"/>
      <c r="H281" s="859"/>
      <c r="I281" s="859"/>
      <c r="J281" s="859"/>
      <c r="K281" s="859"/>
      <c r="L281" s="859"/>
      <c r="M281" s="859"/>
      <c r="N281" s="859"/>
    </row>
    <row r="282" spans="2:14" ht="19.5" thickTop="1" thickBot="1">
      <c r="D282" s="844"/>
      <c r="E282" s="845"/>
      <c r="F282" s="844"/>
      <c r="G282" s="844"/>
      <c r="H282" s="844"/>
      <c r="I282" s="844"/>
      <c r="J282" s="844"/>
      <c r="K282" s="844"/>
      <c r="L282" s="844"/>
      <c r="M282" s="844"/>
      <c r="N282" s="844"/>
    </row>
    <row r="285" spans="2:14" ht="17.25" thickBot="1">
      <c r="B285" s="858"/>
      <c r="C285" s="858"/>
      <c r="D285" s="859"/>
      <c r="E285" s="859"/>
      <c r="F285" s="859"/>
      <c r="G285" s="859"/>
      <c r="H285" s="859"/>
      <c r="I285" s="859"/>
      <c r="J285" s="859"/>
      <c r="K285" s="859"/>
      <c r="L285" s="859"/>
      <c r="M285" s="859"/>
      <c r="N285" s="859"/>
    </row>
    <row r="286" spans="2:14" ht="19.5" thickTop="1" thickBot="1">
      <c r="D286" s="844"/>
      <c r="E286" s="845"/>
      <c r="F286" s="844"/>
      <c r="G286" s="844"/>
      <c r="H286" s="844"/>
      <c r="I286" s="844"/>
      <c r="J286" s="844"/>
      <c r="K286" s="844"/>
      <c r="L286" s="844"/>
      <c r="M286" s="844"/>
      <c r="N286" s="844"/>
    </row>
    <row r="289" spans="2:14" ht="17.25" thickBot="1">
      <c r="B289" s="858"/>
      <c r="C289" s="858"/>
      <c r="D289" s="859"/>
      <c r="E289" s="859"/>
      <c r="F289" s="859"/>
      <c r="G289" s="859"/>
      <c r="H289" s="859"/>
      <c r="I289" s="859"/>
      <c r="J289" s="859"/>
      <c r="K289" s="859"/>
      <c r="L289" s="859"/>
      <c r="M289" s="859"/>
      <c r="N289" s="859"/>
    </row>
    <row r="290" spans="2:14" ht="19.5" thickTop="1" thickBot="1">
      <c r="D290" s="844"/>
      <c r="E290" s="845"/>
      <c r="F290" s="844"/>
      <c r="G290" s="844"/>
      <c r="H290" s="844"/>
      <c r="I290" s="844"/>
      <c r="J290" s="844"/>
      <c r="K290" s="844"/>
      <c r="L290" s="844"/>
      <c r="M290" s="844"/>
      <c r="N290" s="844"/>
    </row>
    <row r="293" spans="2:14" ht="17.25" thickBot="1">
      <c r="B293" s="858"/>
      <c r="C293" s="858"/>
      <c r="D293" s="859"/>
      <c r="E293" s="859"/>
      <c r="F293" s="859"/>
      <c r="G293" s="859"/>
      <c r="H293" s="859"/>
      <c r="I293" s="859"/>
      <c r="J293" s="859"/>
      <c r="K293" s="859"/>
      <c r="L293" s="859"/>
      <c r="M293" s="859"/>
      <c r="N293" s="859"/>
    </row>
    <row r="294" spans="2:14" ht="19.5" thickTop="1" thickBot="1">
      <c r="D294" s="844"/>
      <c r="E294" s="845"/>
      <c r="F294" s="844"/>
      <c r="G294" s="844"/>
      <c r="H294" s="844"/>
      <c r="I294" s="844"/>
      <c r="J294" s="844"/>
      <c r="K294" s="844"/>
      <c r="L294" s="844"/>
      <c r="M294" s="844"/>
      <c r="N294" s="844"/>
    </row>
    <row r="297" spans="2:14" ht="17.25" thickBot="1">
      <c r="B297" s="858"/>
      <c r="C297" s="858"/>
      <c r="D297" s="859"/>
      <c r="E297" s="859"/>
      <c r="F297" s="859"/>
      <c r="G297" s="859"/>
      <c r="H297" s="859"/>
      <c r="I297" s="859"/>
      <c r="J297" s="859"/>
      <c r="K297" s="859"/>
      <c r="L297" s="859"/>
      <c r="M297" s="859"/>
      <c r="N297" s="859"/>
    </row>
    <row r="298" spans="2:14" ht="19.5" thickTop="1" thickBot="1">
      <c r="D298" s="844"/>
      <c r="E298" s="845"/>
      <c r="F298" s="844"/>
      <c r="G298" s="844"/>
      <c r="H298" s="844"/>
      <c r="I298" s="844"/>
      <c r="J298" s="844"/>
      <c r="K298" s="844"/>
      <c r="L298" s="844"/>
      <c r="M298" s="844"/>
      <c r="N298" s="844"/>
    </row>
    <row r="301" spans="2:14" ht="17.25" thickBot="1">
      <c r="B301" s="858"/>
      <c r="C301" s="858"/>
      <c r="D301" s="859"/>
      <c r="E301" s="859"/>
      <c r="F301" s="859"/>
      <c r="G301" s="859"/>
      <c r="H301" s="859"/>
      <c r="I301" s="859"/>
      <c r="J301" s="859"/>
      <c r="K301" s="859"/>
      <c r="L301" s="859"/>
      <c r="M301" s="859"/>
      <c r="N301" s="859"/>
    </row>
    <row r="302" spans="2:14" ht="19.5" thickTop="1" thickBot="1">
      <c r="D302" s="844"/>
      <c r="E302" s="845"/>
      <c r="F302" s="844"/>
      <c r="G302" s="844"/>
      <c r="H302" s="844"/>
      <c r="I302" s="844"/>
      <c r="J302" s="844"/>
      <c r="K302" s="844"/>
      <c r="L302" s="844"/>
      <c r="M302" s="844"/>
      <c r="N302" s="844"/>
    </row>
    <row r="305" spans="2:14" ht="17.25" thickBot="1">
      <c r="B305" s="858"/>
      <c r="C305" s="858"/>
      <c r="D305" s="859"/>
      <c r="E305" s="859"/>
      <c r="F305" s="859"/>
      <c r="G305" s="859"/>
      <c r="H305" s="859"/>
      <c r="I305" s="859"/>
      <c r="J305" s="859"/>
      <c r="K305" s="859"/>
      <c r="L305" s="859"/>
      <c r="M305" s="859"/>
      <c r="N305" s="859"/>
    </row>
    <row r="306" spans="2:14" ht="19.5" thickTop="1" thickBot="1">
      <c r="D306" s="844"/>
      <c r="E306" s="845"/>
      <c r="F306" s="844"/>
      <c r="G306" s="844"/>
      <c r="H306" s="844"/>
      <c r="I306" s="844"/>
      <c r="J306" s="844"/>
      <c r="K306" s="844"/>
      <c r="L306" s="844"/>
      <c r="M306" s="844"/>
      <c r="N306" s="844"/>
    </row>
    <row r="309" spans="2:14" ht="17.25" thickBot="1">
      <c r="B309" s="858"/>
      <c r="C309" s="858"/>
      <c r="D309" s="859"/>
      <c r="E309" s="859"/>
      <c r="F309" s="859"/>
      <c r="G309" s="859"/>
      <c r="H309" s="859"/>
      <c r="I309" s="859"/>
      <c r="J309" s="859"/>
      <c r="K309" s="859"/>
      <c r="L309" s="859"/>
      <c r="M309" s="859"/>
      <c r="N309" s="859"/>
    </row>
    <row r="310" spans="2:14" ht="19.5" thickTop="1" thickBot="1">
      <c r="D310" s="844"/>
      <c r="E310" s="845"/>
      <c r="F310" s="844"/>
      <c r="G310" s="844"/>
      <c r="H310" s="844"/>
      <c r="I310" s="844"/>
      <c r="J310" s="844"/>
      <c r="K310" s="844"/>
      <c r="L310" s="844"/>
      <c r="M310" s="844"/>
      <c r="N310" s="844"/>
    </row>
    <row r="313" spans="2:14" ht="17.25" thickBot="1">
      <c r="B313" s="858"/>
      <c r="C313" s="858"/>
      <c r="D313" s="859"/>
      <c r="E313" s="859"/>
      <c r="F313" s="859"/>
      <c r="G313" s="859"/>
      <c r="H313" s="859"/>
      <c r="I313" s="859"/>
      <c r="J313" s="859"/>
      <c r="K313" s="859"/>
      <c r="L313" s="859"/>
      <c r="M313" s="859"/>
      <c r="N313" s="859"/>
    </row>
    <row r="314" spans="2:14" ht="19.5" thickTop="1" thickBot="1">
      <c r="D314" s="844"/>
      <c r="E314" s="845"/>
      <c r="F314" s="844"/>
      <c r="G314" s="844"/>
      <c r="H314" s="844"/>
      <c r="I314" s="844"/>
      <c r="J314" s="844"/>
      <c r="K314" s="844"/>
      <c r="L314" s="844"/>
      <c r="M314" s="844"/>
      <c r="N314" s="844"/>
    </row>
    <row r="317" spans="2:14" ht="17.25" thickBot="1">
      <c r="B317" s="858"/>
      <c r="C317" s="858"/>
      <c r="D317" s="859"/>
      <c r="E317" s="859"/>
      <c r="F317" s="859"/>
      <c r="G317" s="859"/>
      <c r="H317" s="859"/>
      <c r="I317" s="859"/>
      <c r="J317" s="859"/>
      <c r="K317" s="859"/>
      <c r="L317" s="859"/>
      <c r="M317" s="859"/>
      <c r="N317" s="859"/>
    </row>
    <row r="318" spans="2:14" ht="19.5" thickTop="1" thickBot="1">
      <c r="D318" s="844"/>
      <c r="E318" s="845"/>
      <c r="F318" s="844"/>
      <c r="G318" s="844"/>
      <c r="H318" s="844"/>
      <c r="I318" s="844"/>
      <c r="J318" s="844"/>
      <c r="K318" s="844"/>
      <c r="L318" s="844"/>
      <c r="M318" s="844"/>
      <c r="N318" s="844"/>
    </row>
    <row r="321" spans="2:14" ht="17.25" thickBot="1">
      <c r="B321" s="858"/>
      <c r="C321" s="858"/>
      <c r="D321" s="859"/>
      <c r="E321" s="859"/>
      <c r="F321" s="859"/>
      <c r="G321" s="859"/>
      <c r="H321" s="859"/>
      <c r="I321" s="859"/>
      <c r="J321" s="859"/>
      <c r="K321" s="859"/>
      <c r="L321" s="859"/>
      <c r="M321" s="859"/>
      <c r="N321" s="859"/>
    </row>
    <row r="322" spans="2:14" ht="19.5" thickTop="1" thickBot="1">
      <c r="D322" s="844"/>
      <c r="E322" s="845"/>
      <c r="F322" s="844"/>
      <c r="G322" s="844"/>
      <c r="H322" s="844"/>
      <c r="I322" s="844"/>
      <c r="J322" s="844"/>
      <c r="K322" s="844"/>
      <c r="L322" s="844"/>
      <c r="M322" s="844"/>
      <c r="N322" s="844"/>
    </row>
    <row r="325" spans="2:14" ht="17.25" thickBot="1">
      <c r="B325" s="858"/>
      <c r="C325" s="858"/>
      <c r="D325" s="859"/>
      <c r="E325" s="859"/>
      <c r="F325" s="859"/>
      <c r="G325" s="859"/>
      <c r="H325" s="859"/>
      <c r="I325" s="859"/>
      <c r="J325" s="859"/>
      <c r="K325" s="859"/>
      <c r="L325" s="859"/>
      <c r="M325" s="859"/>
      <c r="N325" s="859"/>
    </row>
    <row r="326" spans="2:14" ht="19.5" thickTop="1" thickBot="1">
      <c r="D326" s="844"/>
      <c r="E326" s="845"/>
      <c r="F326" s="844"/>
      <c r="G326" s="844"/>
      <c r="H326" s="844"/>
      <c r="I326" s="844"/>
      <c r="J326" s="844"/>
      <c r="K326" s="844"/>
      <c r="L326" s="844"/>
      <c r="M326" s="844"/>
      <c r="N326" s="844"/>
    </row>
    <row r="329" spans="2:14" ht="17.25" thickBot="1">
      <c r="B329" s="858"/>
      <c r="C329" s="858"/>
      <c r="D329" s="859"/>
      <c r="E329" s="859"/>
      <c r="F329" s="859"/>
      <c r="G329" s="859"/>
      <c r="H329" s="859"/>
      <c r="I329" s="859"/>
      <c r="J329" s="859"/>
      <c r="K329" s="859"/>
      <c r="L329" s="859"/>
      <c r="M329" s="859"/>
      <c r="N329" s="859"/>
    </row>
    <row r="330" spans="2:14" ht="19.5" thickTop="1" thickBot="1">
      <c r="D330" s="844"/>
      <c r="E330" s="845"/>
      <c r="F330" s="844"/>
      <c r="G330" s="844"/>
      <c r="H330" s="844"/>
      <c r="I330" s="844"/>
      <c r="J330" s="844"/>
      <c r="K330" s="844"/>
      <c r="L330" s="844"/>
      <c r="M330" s="844"/>
      <c r="N330" s="844"/>
    </row>
    <row r="333" spans="2:14" ht="17.25" thickBot="1">
      <c r="B333" s="858"/>
      <c r="C333" s="858"/>
      <c r="D333" s="859"/>
      <c r="E333" s="859"/>
      <c r="F333" s="859"/>
      <c r="G333" s="859"/>
      <c r="H333" s="859"/>
      <c r="I333" s="859"/>
      <c r="J333" s="859"/>
      <c r="K333" s="859"/>
      <c r="L333" s="859"/>
      <c r="M333" s="859"/>
      <c r="N333" s="859"/>
    </row>
    <row r="334" spans="2:14" ht="19.5" thickTop="1" thickBot="1">
      <c r="D334" s="844"/>
      <c r="E334" s="845"/>
      <c r="F334" s="844"/>
      <c r="G334" s="844"/>
      <c r="H334" s="844"/>
      <c r="I334" s="844"/>
      <c r="J334" s="844"/>
      <c r="K334" s="844"/>
      <c r="L334" s="844"/>
      <c r="M334" s="844"/>
      <c r="N334" s="844"/>
    </row>
    <row r="337" spans="2:14" ht="17.25" thickBot="1">
      <c r="B337" s="858"/>
      <c r="C337" s="858"/>
      <c r="D337" s="859"/>
      <c r="E337" s="859"/>
      <c r="F337" s="859"/>
      <c r="G337" s="859"/>
      <c r="H337" s="859"/>
      <c r="I337" s="859"/>
      <c r="J337" s="859"/>
      <c r="K337" s="859"/>
      <c r="L337" s="859"/>
      <c r="M337" s="859"/>
      <c r="N337" s="859"/>
    </row>
    <row r="338" spans="2:14" ht="19.5" thickTop="1" thickBot="1">
      <c r="D338" s="844"/>
      <c r="E338" s="845"/>
      <c r="F338" s="844"/>
      <c r="G338" s="844"/>
      <c r="H338" s="844"/>
      <c r="I338" s="844"/>
      <c r="J338" s="844"/>
      <c r="K338" s="844"/>
      <c r="L338" s="844"/>
      <c r="M338" s="844"/>
      <c r="N338" s="844"/>
    </row>
    <row r="341" spans="2:14" ht="17.25" thickBot="1">
      <c r="B341" s="858"/>
      <c r="C341" s="858"/>
      <c r="D341" s="859"/>
      <c r="E341" s="859"/>
      <c r="F341" s="859"/>
      <c r="G341" s="859"/>
      <c r="H341" s="859"/>
      <c r="I341" s="859"/>
      <c r="J341" s="859"/>
      <c r="K341" s="859"/>
      <c r="L341" s="859"/>
      <c r="M341" s="859"/>
      <c r="N341" s="859"/>
    </row>
    <row r="342" spans="2:14" ht="19.5" thickTop="1" thickBot="1">
      <c r="D342" s="844"/>
      <c r="E342" s="845"/>
      <c r="F342" s="844"/>
      <c r="G342" s="844"/>
      <c r="H342" s="844"/>
      <c r="I342" s="844"/>
      <c r="J342" s="844"/>
      <c r="K342" s="844"/>
      <c r="L342" s="844"/>
      <c r="M342" s="844"/>
      <c r="N342" s="844"/>
    </row>
    <row r="345" spans="2:14" ht="17.25" thickBot="1">
      <c r="B345" s="858"/>
      <c r="C345" s="858"/>
      <c r="D345" s="859"/>
      <c r="E345" s="859"/>
      <c r="F345" s="859"/>
      <c r="G345" s="859"/>
      <c r="H345" s="859"/>
      <c r="I345" s="859"/>
      <c r="J345" s="859"/>
      <c r="K345" s="859"/>
      <c r="L345" s="859"/>
      <c r="M345" s="859"/>
      <c r="N345" s="859"/>
    </row>
    <row r="346" spans="2:14" ht="19.5" thickTop="1" thickBot="1">
      <c r="D346" s="844"/>
      <c r="E346" s="845"/>
      <c r="F346" s="844"/>
      <c r="G346" s="844"/>
      <c r="H346" s="844"/>
      <c r="I346" s="844"/>
      <c r="J346" s="844"/>
      <c r="K346" s="844"/>
      <c r="L346" s="844"/>
      <c r="M346" s="844"/>
      <c r="N346" s="844"/>
    </row>
    <row r="349" spans="2:14" ht="17.25" thickBot="1">
      <c r="B349" s="858"/>
      <c r="C349" s="858"/>
      <c r="D349" s="859"/>
      <c r="E349" s="859"/>
      <c r="F349" s="859"/>
      <c r="G349" s="859"/>
      <c r="H349" s="859"/>
      <c r="I349" s="859"/>
      <c r="J349" s="859"/>
      <c r="K349" s="859"/>
      <c r="L349" s="859"/>
      <c r="M349" s="859"/>
      <c r="N349" s="859"/>
    </row>
    <row r="350" spans="2:14" ht="19.5" thickTop="1" thickBot="1">
      <c r="D350" s="844"/>
      <c r="E350" s="845"/>
      <c r="F350" s="844"/>
      <c r="G350" s="844"/>
      <c r="H350" s="844"/>
      <c r="I350" s="844"/>
      <c r="J350" s="844"/>
      <c r="K350" s="844"/>
      <c r="L350" s="844"/>
      <c r="M350" s="844"/>
      <c r="N350" s="844"/>
    </row>
    <row r="353" spans="2:14" ht="17.25" thickBot="1">
      <c r="B353" s="858"/>
      <c r="C353" s="858"/>
      <c r="D353" s="859"/>
      <c r="E353" s="859"/>
      <c r="F353" s="859"/>
      <c r="G353" s="859"/>
      <c r="H353" s="859"/>
      <c r="I353" s="859"/>
      <c r="J353" s="859"/>
      <c r="K353" s="859"/>
      <c r="L353" s="859"/>
      <c r="M353" s="859"/>
      <c r="N353" s="859"/>
    </row>
    <row r="354" spans="2:14" ht="19.5" thickTop="1" thickBot="1">
      <c r="D354" s="844"/>
      <c r="E354" s="845"/>
      <c r="F354" s="844"/>
      <c r="G354" s="844"/>
      <c r="H354" s="844"/>
      <c r="I354" s="844"/>
      <c r="J354" s="844"/>
      <c r="K354" s="844"/>
      <c r="L354" s="844"/>
      <c r="M354" s="844"/>
      <c r="N354" s="844"/>
    </row>
    <row r="357" spans="2:14" ht="17.25" thickBot="1">
      <c r="B357" s="858"/>
      <c r="C357" s="858"/>
      <c r="D357" s="859"/>
      <c r="E357" s="859"/>
      <c r="F357" s="859"/>
      <c r="G357" s="859"/>
      <c r="H357" s="859"/>
      <c r="I357" s="859"/>
      <c r="J357" s="859"/>
      <c r="K357" s="859"/>
      <c r="L357" s="859"/>
      <c r="M357" s="859"/>
      <c r="N357" s="859"/>
    </row>
    <row r="358" spans="2:14" ht="19.5" thickTop="1" thickBot="1">
      <c r="D358" s="844"/>
      <c r="E358" s="845"/>
      <c r="F358" s="844"/>
      <c r="G358" s="844"/>
      <c r="H358" s="844"/>
      <c r="I358" s="844"/>
      <c r="J358" s="844"/>
      <c r="K358" s="844"/>
      <c r="L358" s="844"/>
      <c r="M358" s="844"/>
      <c r="N358" s="844"/>
    </row>
    <row r="361" spans="2:14" ht="17.25" thickBot="1">
      <c r="B361" s="858"/>
      <c r="C361" s="858"/>
      <c r="D361" s="859"/>
      <c r="E361" s="859"/>
      <c r="F361" s="859"/>
      <c r="G361" s="859"/>
      <c r="H361" s="859"/>
      <c r="I361" s="859"/>
      <c r="J361" s="859"/>
      <c r="K361" s="859"/>
      <c r="L361" s="859"/>
      <c r="M361" s="859"/>
      <c r="N361" s="859"/>
    </row>
    <row r="362" spans="2:14" ht="19.5" thickTop="1" thickBot="1">
      <c r="D362" s="844"/>
      <c r="E362" s="845"/>
      <c r="F362" s="844"/>
      <c r="G362" s="844"/>
      <c r="H362" s="844"/>
      <c r="I362" s="844"/>
      <c r="J362" s="844"/>
      <c r="K362" s="844"/>
      <c r="L362" s="844"/>
      <c r="M362" s="844"/>
      <c r="N362" s="844"/>
    </row>
    <row r="365" spans="2:14" ht="17.25" thickBot="1">
      <c r="B365" s="858"/>
      <c r="C365" s="858"/>
      <c r="D365" s="859"/>
      <c r="E365" s="859"/>
      <c r="F365" s="859"/>
      <c r="G365" s="859"/>
      <c r="H365" s="859"/>
      <c r="I365" s="859"/>
      <c r="J365" s="859"/>
      <c r="K365" s="859"/>
      <c r="L365" s="859"/>
      <c r="M365" s="859"/>
      <c r="N365" s="859"/>
    </row>
    <row r="366" spans="2:14" ht="19.5" thickTop="1" thickBot="1">
      <c r="D366" s="844"/>
      <c r="E366" s="845"/>
      <c r="F366" s="844"/>
      <c r="G366" s="844"/>
      <c r="H366" s="844"/>
      <c r="I366" s="844"/>
      <c r="J366" s="844"/>
      <c r="K366" s="844"/>
      <c r="L366" s="844"/>
      <c r="M366" s="844"/>
      <c r="N366" s="844"/>
    </row>
    <row r="369" spans="2:14" ht="17.25" thickBot="1">
      <c r="B369" s="858"/>
      <c r="C369" s="858"/>
      <c r="D369" s="859"/>
      <c r="E369" s="859"/>
      <c r="F369" s="859"/>
      <c r="G369" s="859"/>
      <c r="H369" s="859"/>
      <c r="I369" s="859"/>
      <c r="J369" s="859"/>
      <c r="K369" s="859"/>
      <c r="L369" s="859"/>
      <c r="M369" s="859"/>
      <c r="N369" s="859"/>
    </row>
    <row r="370" spans="2:14" ht="19.5" thickTop="1" thickBot="1">
      <c r="D370" s="844"/>
      <c r="E370" s="845"/>
      <c r="F370" s="844"/>
      <c r="G370" s="844"/>
      <c r="H370" s="844"/>
      <c r="I370" s="844"/>
      <c r="J370" s="844"/>
      <c r="K370" s="844"/>
      <c r="L370" s="844"/>
      <c r="M370" s="844"/>
      <c r="N370" s="844"/>
    </row>
    <row r="373" spans="2:14" ht="17.25" thickBot="1">
      <c r="B373" s="858"/>
      <c r="C373" s="858"/>
      <c r="D373" s="859"/>
      <c r="E373" s="859"/>
      <c r="F373" s="859"/>
      <c r="G373" s="859"/>
      <c r="H373" s="859"/>
      <c r="I373" s="859"/>
      <c r="J373" s="859"/>
      <c r="K373" s="859"/>
      <c r="L373" s="859"/>
      <c r="M373" s="859"/>
      <c r="N373" s="859"/>
    </row>
    <row r="374" spans="2:14" ht="19.5" thickTop="1" thickBot="1">
      <c r="D374" s="844"/>
      <c r="E374" s="845"/>
      <c r="F374" s="844"/>
      <c r="G374" s="844"/>
      <c r="H374" s="844"/>
      <c r="I374" s="844"/>
      <c r="J374" s="844"/>
      <c r="K374" s="844"/>
      <c r="L374" s="844"/>
      <c r="M374" s="844"/>
      <c r="N374" s="844"/>
    </row>
    <row r="377" spans="2:14" ht="17.25" thickBot="1">
      <c r="B377" s="858"/>
      <c r="C377" s="858"/>
      <c r="D377" s="859"/>
      <c r="E377" s="859"/>
      <c r="F377" s="859"/>
      <c r="G377" s="859"/>
      <c r="H377" s="859"/>
      <c r="I377" s="859"/>
      <c r="J377" s="859"/>
      <c r="K377" s="859"/>
      <c r="L377" s="859"/>
      <c r="M377" s="859"/>
      <c r="N377" s="859"/>
    </row>
    <row r="378" spans="2:14" ht="19.5" thickTop="1" thickBot="1">
      <c r="D378" s="844"/>
      <c r="E378" s="845"/>
      <c r="F378" s="844"/>
      <c r="G378" s="844"/>
      <c r="H378" s="844"/>
      <c r="I378" s="844"/>
      <c r="J378" s="844"/>
      <c r="K378" s="844"/>
      <c r="L378" s="844"/>
      <c r="M378" s="844"/>
      <c r="N378" s="844"/>
    </row>
    <row r="381" spans="2:14" ht="17.25" thickBot="1">
      <c r="B381" s="858"/>
      <c r="C381" s="858"/>
      <c r="D381" s="859"/>
      <c r="E381" s="859"/>
      <c r="F381" s="859"/>
      <c r="G381" s="859"/>
      <c r="H381" s="859"/>
      <c r="I381" s="859"/>
      <c r="J381" s="859"/>
      <c r="K381" s="859"/>
      <c r="L381" s="859"/>
      <c r="M381" s="859"/>
      <c r="N381" s="859"/>
    </row>
    <row r="382" spans="2:14" ht="19.5" thickTop="1" thickBot="1">
      <c r="D382" s="844"/>
      <c r="E382" s="845"/>
      <c r="F382" s="844"/>
      <c r="G382" s="844"/>
      <c r="H382" s="844"/>
      <c r="I382" s="844"/>
      <c r="J382" s="844"/>
      <c r="K382" s="844"/>
      <c r="L382" s="844"/>
      <c r="M382" s="844"/>
      <c r="N382" s="844"/>
    </row>
    <row r="385" spans="2:14" ht="17.25" thickBot="1">
      <c r="B385" s="858"/>
      <c r="C385" s="858"/>
      <c r="D385" s="859"/>
      <c r="E385" s="859"/>
      <c r="F385" s="859"/>
      <c r="G385" s="859"/>
      <c r="H385" s="859"/>
      <c r="I385" s="859"/>
      <c r="J385" s="859"/>
      <c r="K385" s="859"/>
      <c r="L385" s="859"/>
      <c r="M385" s="859"/>
      <c r="N385" s="859"/>
    </row>
    <row r="386" spans="2:14" ht="19.5" thickTop="1" thickBot="1">
      <c r="D386" s="844"/>
      <c r="E386" s="845"/>
      <c r="F386" s="844"/>
      <c r="G386" s="844"/>
      <c r="H386" s="844"/>
      <c r="I386" s="844"/>
      <c r="J386" s="844"/>
      <c r="K386" s="844"/>
      <c r="L386" s="844"/>
      <c r="M386" s="844"/>
      <c r="N386" s="844"/>
    </row>
    <row r="389" spans="2:14" ht="17.25" thickBot="1">
      <c r="B389" s="858"/>
      <c r="C389" s="858"/>
      <c r="D389" s="859"/>
      <c r="E389" s="859"/>
      <c r="F389" s="859"/>
      <c r="G389" s="859"/>
      <c r="H389" s="859"/>
      <c r="I389" s="859"/>
      <c r="J389" s="859"/>
      <c r="K389" s="859"/>
      <c r="L389" s="859"/>
      <c r="M389" s="859"/>
      <c r="N389" s="859"/>
    </row>
    <row r="390" spans="2:14" ht="19.5" thickTop="1" thickBot="1">
      <c r="D390" s="844"/>
      <c r="E390" s="845"/>
      <c r="F390" s="844"/>
      <c r="G390" s="844"/>
      <c r="H390" s="844"/>
      <c r="I390" s="844"/>
      <c r="J390" s="844"/>
      <c r="K390" s="844"/>
      <c r="L390" s="844"/>
      <c r="M390" s="844"/>
      <c r="N390" s="844"/>
    </row>
    <row r="393" spans="2:14" ht="17.25" thickBot="1">
      <c r="B393" s="858"/>
      <c r="C393" s="858"/>
      <c r="D393" s="859"/>
      <c r="E393" s="859"/>
      <c r="F393" s="859"/>
      <c r="G393" s="859"/>
      <c r="H393" s="859"/>
      <c r="I393" s="859"/>
      <c r="J393" s="859"/>
      <c r="K393" s="859"/>
      <c r="L393" s="859"/>
      <c r="M393" s="859"/>
      <c r="N393" s="859"/>
    </row>
    <row r="394" spans="2:14" ht="19.5" thickTop="1" thickBot="1">
      <c r="D394" s="844"/>
      <c r="E394" s="845"/>
      <c r="F394" s="844"/>
      <c r="G394" s="844"/>
      <c r="H394" s="844"/>
      <c r="I394" s="844"/>
      <c r="J394" s="844"/>
      <c r="K394" s="844"/>
      <c r="L394" s="844"/>
      <c r="M394" s="844"/>
      <c r="N394" s="844"/>
    </row>
    <row r="397" spans="2:14" ht="17.25" thickBot="1">
      <c r="B397" s="858"/>
      <c r="C397" s="858"/>
      <c r="D397" s="859"/>
      <c r="E397" s="859"/>
      <c r="F397" s="859"/>
      <c r="G397" s="859"/>
      <c r="H397" s="859"/>
      <c r="I397" s="859"/>
      <c r="J397" s="859"/>
      <c r="K397" s="859"/>
      <c r="L397" s="859"/>
      <c r="M397" s="859"/>
      <c r="N397" s="859"/>
    </row>
    <row r="398" spans="2:14" ht="19.5" thickTop="1" thickBot="1">
      <c r="D398" s="844"/>
      <c r="E398" s="845"/>
      <c r="F398" s="844"/>
      <c r="G398" s="844"/>
      <c r="H398" s="844"/>
      <c r="I398" s="844"/>
      <c r="J398" s="844"/>
      <c r="K398" s="844"/>
      <c r="L398" s="844"/>
      <c r="M398" s="844"/>
      <c r="N398" s="844"/>
    </row>
    <row r="401" spans="2:14" ht="17.25" thickBot="1">
      <c r="B401" s="858"/>
      <c r="C401" s="858"/>
      <c r="D401" s="859"/>
      <c r="E401" s="859"/>
      <c r="F401" s="859"/>
      <c r="G401" s="859"/>
      <c r="H401" s="859"/>
      <c r="I401" s="859"/>
      <c r="J401" s="859"/>
      <c r="K401" s="859"/>
      <c r="L401" s="859"/>
      <c r="M401" s="859"/>
      <c r="N401" s="859"/>
    </row>
    <row r="402" spans="2:14" ht="19.5" thickTop="1" thickBot="1">
      <c r="D402" s="844"/>
      <c r="E402" s="845"/>
      <c r="F402" s="844"/>
      <c r="G402" s="844"/>
      <c r="H402" s="844"/>
      <c r="I402" s="844"/>
      <c r="J402" s="844"/>
      <c r="K402" s="844"/>
      <c r="L402" s="844"/>
      <c r="M402" s="844"/>
      <c r="N402" s="844"/>
    </row>
    <row r="405" spans="2:14" ht="17.25" thickBot="1">
      <c r="B405" s="858"/>
      <c r="C405" s="858"/>
      <c r="D405" s="859"/>
      <c r="E405" s="859"/>
      <c r="F405" s="859"/>
      <c r="G405" s="859"/>
      <c r="H405" s="859"/>
      <c r="I405" s="859"/>
      <c r="J405" s="859"/>
      <c r="K405" s="859"/>
      <c r="L405" s="859"/>
      <c r="M405" s="859"/>
      <c r="N405" s="859"/>
    </row>
    <row r="406" spans="2:14" ht="19.5" thickTop="1" thickBot="1">
      <c r="D406" s="844"/>
      <c r="E406" s="845"/>
      <c r="F406" s="844"/>
      <c r="G406" s="844"/>
      <c r="H406" s="844"/>
      <c r="I406" s="844"/>
      <c r="J406" s="844"/>
      <c r="K406" s="844"/>
      <c r="L406" s="844"/>
      <c r="M406" s="844"/>
      <c r="N406" s="844"/>
    </row>
    <row r="409" spans="2:14" ht="17.25" thickBot="1">
      <c r="B409" s="858"/>
      <c r="C409" s="858"/>
      <c r="D409" s="859"/>
      <c r="E409" s="859"/>
      <c r="F409" s="859"/>
      <c r="G409" s="859"/>
      <c r="H409" s="859"/>
      <c r="I409" s="859"/>
      <c r="J409" s="859"/>
      <c r="K409" s="859"/>
      <c r="L409" s="859"/>
      <c r="M409" s="859"/>
      <c r="N409" s="859"/>
    </row>
    <row r="410" spans="2:14" ht="19.5" thickTop="1" thickBot="1">
      <c r="D410" s="844"/>
      <c r="E410" s="845"/>
      <c r="F410" s="844"/>
      <c r="G410" s="844"/>
      <c r="H410" s="844"/>
      <c r="I410" s="844"/>
      <c r="J410" s="844"/>
      <c r="K410" s="844"/>
      <c r="L410" s="844"/>
      <c r="M410" s="844"/>
      <c r="N410" s="844"/>
    </row>
    <row r="413" spans="2:14" ht="17.25" thickBot="1">
      <c r="B413" s="858"/>
      <c r="C413" s="858"/>
      <c r="D413" s="859"/>
      <c r="E413" s="859"/>
      <c r="F413" s="859"/>
      <c r="G413" s="859"/>
      <c r="H413" s="859"/>
      <c r="I413" s="859"/>
      <c r="J413" s="859"/>
      <c r="K413" s="859"/>
      <c r="L413" s="859"/>
      <c r="M413" s="859"/>
      <c r="N413" s="859"/>
    </row>
    <row r="414" spans="2:14" ht="19.5" thickTop="1" thickBot="1">
      <c r="D414" s="844"/>
      <c r="E414" s="845"/>
      <c r="F414" s="844"/>
      <c r="G414" s="844"/>
      <c r="H414" s="844"/>
      <c r="I414" s="844"/>
      <c r="J414" s="844"/>
      <c r="K414" s="844"/>
      <c r="L414" s="844"/>
      <c r="M414" s="844"/>
      <c r="N414" s="844"/>
    </row>
    <row r="417" spans="2:14" ht="17.25" thickBot="1">
      <c r="B417" s="858"/>
      <c r="C417" s="858"/>
      <c r="D417" s="859"/>
      <c r="E417" s="859"/>
      <c r="F417" s="859"/>
      <c r="G417" s="859"/>
      <c r="H417" s="859"/>
      <c r="I417" s="859"/>
      <c r="J417" s="859"/>
      <c r="K417" s="859"/>
      <c r="L417" s="859"/>
      <c r="M417" s="859"/>
      <c r="N417" s="859"/>
    </row>
    <row r="418" spans="2:14" ht="19.5" thickTop="1" thickBot="1">
      <c r="D418" s="844"/>
      <c r="E418" s="845"/>
      <c r="F418" s="844"/>
      <c r="G418" s="844"/>
      <c r="H418" s="844"/>
      <c r="I418" s="844"/>
      <c r="J418" s="844"/>
      <c r="K418" s="844"/>
      <c r="L418" s="844"/>
      <c r="M418" s="844"/>
      <c r="N418" s="844"/>
    </row>
    <row r="421" spans="2:14" ht="17.25" thickBot="1">
      <c r="B421" s="858"/>
      <c r="C421" s="858"/>
      <c r="D421" s="859"/>
      <c r="E421" s="859"/>
      <c r="F421" s="859"/>
      <c r="G421" s="859"/>
      <c r="H421" s="859"/>
      <c r="I421" s="859"/>
      <c r="J421" s="859"/>
      <c r="K421" s="859"/>
      <c r="L421" s="859"/>
      <c r="M421" s="859"/>
      <c r="N421" s="859"/>
    </row>
    <row r="422" spans="2:14" ht="19.5" thickTop="1" thickBot="1">
      <c r="D422" s="844"/>
      <c r="E422" s="845"/>
      <c r="F422" s="844"/>
      <c r="G422" s="844"/>
      <c r="H422" s="844"/>
      <c r="I422" s="844"/>
      <c r="J422" s="844"/>
      <c r="K422" s="844"/>
      <c r="L422" s="844"/>
      <c r="M422" s="844"/>
      <c r="N422" s="844"/>
    </row>
    <row r="425" spans="2:14" ht="17.25" thickBot="1">
      <c r="B425" s="858"/>
      <c r="C425" s="858"/>
      <c r="D425" s="859"/>
      <c r="E425" s="859"/>
      <c r="F425" s="859"/>
      <c r="G425" s="859"/>
      <c r="H425" s="859"/>
      <c r="I425" s="859"/>
      <c r="J425" s="859"/>
      <c r="K425" s="859"/>
      <c r="L425" s="859"/>
      <c r="M425" s="859"/>
      <c r="N425" s="859"/>
    </row>
    <row r="426" spans="2:14" ht="19.5" thickTop="1" thickBot="1">
      <c r="D426" s="844"/>
      <c r="E426" s="845"/>
      <c r="F426" s="844"/>
      <c r="G426" s="844"/>
      <c r="H426" s="844"/>
      <c r="I426" s="844"/>
      <c r="J426" s="844"/>
      <c r="K426" s="844"/>
      <c r="L426" s="844"/>
      <c r="M426" s="844"/>
      <c r="N426" s="844"/>
    </row>
    <row r="429" spans="2:14" ht="17.25" thickBot="1">
      <c r="B429" s="858"/>
      <c r="C429" s="858"/>
      <c r="D429" s="859"/>
      <c r="E429" s="859"/>
      <c r="F429" s="859"/>
      <c r="G429" s="859"/>
      <c r="H429" s="859"/>
      <c r="I429" s="859"/>
      <c r="J429" s="859"/>
      <c r="K429" s="859"/>
      <c r="L429" s="859"/>
      <c r="M429" s="859"/>
      <c r="N429" s="859"/>
    </row>
    <row r="430" spans="2:14" ht="19.5" thickTop="1" thickBot="1">
      <c r="D430" s="844"/>
      <c r="E430" s="845"/>
      <c r="F430" s="844"/>
      <c r="G430" s="844"/>
      <c r="H430" s="844"/>
      <c r="I430" s="844"/>
      <c r="J430" s="844"/>
      <c r="K430" s="844"/>
      <c r="L430" s="844"/>
      <c r="M430" s="844"/>
      <c r="N430" s="844"/>
    </row>
    <row r="433" spans="2:14" ht="17.25" thickBot="1">
      <c r="B433" s="858"/>
      <c r="C433" s="858"/>
      <c r="D433" s="859"/>
      <c r="E433" s="859"/>
      <c r="F433" s="859"/>
      <c r="G433" s="859"/>
      <c r="H433" s="859"/>
      <c r="I433" s="859"/>
      <c r="J433" s="859"/>
      <c r="K433" s="859"/>
      <c r="L433" s="859"/>
      <c r="M433" s="859"/>
      <c r="N433" s="859"/>
    </row>
    <row r="434" spans="2:14" ht="19.5" thickTop="1" thickBot="1">
      <c r="D434" s="844"/>
      <c r="E434" s="845"/>
      <c r="F434" s="844"/>
      <c r="G434" s="844"/>
      <c r="H434" s="844"/>
      <c r="I434" s="844"/>
      <c r="J434" s="844"/>
      <c r="K434" s="844"/>
      <c r="L434" s="844"/>
      <c r="M434" s="844"/>
      <c r="N434" s="844"/>
    </row>
    <row r="437" spans="2:14" ht="17.25" thickBot="1">
      <c r="B437" s="858"/>
      <c r="C437" s="858"/>
      <c r="D437" s="859"/>
      <c r="E437" s="859"/>
      <c r="F437" s="859"/>
      <c r="G437" s="859"/>
      <c r="H437" s="859"/>
      <c r="I437" s="859"/>
      <c r="J437" s="859"/>
      <c r="K437" s="859"/>
      <c r="L437" s="859"/>
      <c r="M437" s="859"/>
      <c r="N437" s="859"/>
    </row>
    <row r="438" spans="2:14" ht="19.5" thickTop="1" thickBot="1">
      <c r="D438" s="844"/>
      <c r="E438" s="845"/>
      <c r="F438" s="844"/>
      <c r="G438" s="844"/>
      <c r="H438" s="844"/>
      <c r="I438" s="844"/>
      <c r="J438" s="844"/>
      <c r="K438" s="844"/>
      <c r="L438" s="844"/>
      <c r="M438" s="844"/>
      <c r="N438" s="844"/>
    </row>
    <row r="441" spans="2:14">
      <c r="B441" s="858"/>
      <c r="C441" s="858"/>
      <c r="D441" s="859"/>
      <c r="E441" s="859"/>
      <c r="F441" s="859"/>
      <c r="G441" s="859"/>
      <c r="H441" s="859"/>
      <c r="I441" s="859"/>
      <c r="J441" s="859"/>
      <c r="K441" s="859"/>
      <c r="L441" s="859"/>
      <c r="M441" s="859"/>
      <c r="N441" s="859"/>
    </row>
  </sheetData>
  <phoneticPr fontId="12" type="noConversion"/>
  <conditionalFormatting sqref="U2:U71">
    <cfRule type="cellIs" dxfId="564" priority="1" stopIfTrue="1" operator="greaterThanOrEqual">
      <formula>5</formula>
    </cfRule>
  </conditionalFormatting>
  <conditionalFormatting sqref="U74:U85">
    <cfRule type="cellIs" dxfId="563" priority="141" stopIfTrue="1" operator="greaterThanOrEqual">
      <formula>5</formula>
    </cfRule>
  </conditionalFormatting>
  <conditionalFormatting sqref="V2:V71">
    <cfRule type="cellIs" dxfId="562" priority="2" stopIfTrue="1" operator="lessThanOrEqual">
      <formula>70</formula>
    </cfRule>
  </conditionalFormatting>
  <conditionalFormatting sqref="V74:V85">
    <cfRule type="cellIs" dxfId="561" priority="142" stopIfTrue="1" operator="lessThanOrEqual">
      <formula>70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D8D-F939-4DD7-8A47-9FBC9C7F5D38}">
  <sheetPr codeName="工作表15">
    <tabColor rgb="FF7030A0"/>
  </sheetPr>
  <dimension ref="A1:AA1071"/>
  <sheetViews>
    <sheetView zoomScale="90" zoomScaleNormal="90" workbookViewId="0">
      <pane ySplit="15" topLeftCell="A273" activePane="bottomLeft" state="frozen"/>
      <selection activeCell="A3108" sqref="A3108"/>
      <selection pane="bottomLeft" sqref="A1:V1048576"/>
    </sheetView>
  </sheetViews>
  <sheetFormatPr defaultRowHeight="19.5"/>
  <cols>
    <col min="1" max="1" width="12.125" style="1446" customWidth="1"/>
    <col min="2" max="2" width="8.5" style="316" customWidth="1"/>
    <col min="3" max="3" width="6.125" style="316" bestFit="1" customWidth="1"/>
    <col min="4" max="4" width="7" style="946" customWidth="1"/>
    <col min="5" max="5" width="16.75" style="945" bestFit="1" customWidth="1"/>
    <col min="6" max="6" width="18.5" style="945" customWidth="1"/>
    <col min="7" max="7" width="5.875" style="945" customWidth="1"/>
    <col min="8" max="8" width="10.25" style="316" customWidth="1"/>
    <col min="9" max="9" width="6.5" style="316" bestFit="1" customWidth="1"/>
    <col min="10" max="10" width="9" style="316"/>
    <col min="11" max="11" width="13.5" style="945" customWidth="1"/>
    <col min="12" max="12" width="9" style="946"/>
    <col min="13" max="13" width="9" style="948"/>
    <col min="14" max="14" width="8.125" style="949" customWidth="1"/>
    <col min="15" max="15" width="11.125" style="949" customWidth="1"/>
    <col min="16" max="17" width="6.875" style="949" customWidth="1"/>
    <col min="18" max="18" width="6.875" style="316" customWidth="1"/>
    <col min="19" max="19" width="5.5" style="1226" customWidth="1"/>
    <col min="20" max="20" width="5.5" style="1156" customWidth="1"/>
    <col min="21" max="21" width="10.125" style="1156" customWidth="1"/>
    <col min="22" max="22" width="5.5" style="1156" customWidth="1"/>
    <col min="23" max="23" width="16" style="1175" customWidth="1"/>
    <col min="24" max="25" width="10.625" style="1175" customWidth="1"/>
    <col min="26" max="27" width="8.625" style="1175" customWidth="1"/>
  </cols>
  <sheetData>
    <row r="1" spans="1:27" ht="32.25" thickBot="1">
      <c r="A1" s="1443" t="s">
        <v>39</v>
      </c>
      <c r="B1" s="930" t="s">
        <v>859</v>
      </c>
      <c r="C1" s="930" t="s">
        <v>56</v>
      </c>
      <c r="D1" s="930"/>
      <c r="E1" s="931" t="s">
        <v>41</v>
      </c>
      <c r="F1" s="931" t="s">
        <v>42</v>
      </c>
      <c r="G1" s="931" t="s">
        <v>43</v>
      </c>
      <c r="H1" s="930" t="s">
        <v>64</v>
      </c>
      <c r="I1" s="930" t="s">
        <v>860</v>
      </c>
      <c r="J1" s="930" t="s">
        <v>63</v>
      </c>
      <c r="K1" s="932" t="s">
        <v>861</v>
      </c>
      <c r="L1" s="933" t="s">
        <v>84</v>
      </c>
      <c r="M1" s="934" t="s">
        <v>489</v>
      </c>
      <c r="N1" s="935" t="s">
        <v>486</v>
      </c>
      <c r="O1" s="935" t="s">
        <v>16796</v>
      </c>
      <c r="P1" s="935" t="s">
        <v>911</v>
      </c>
      <c r="Q1" s="1224" t="s">
        <v>16797</v>
      </c>
      <c r="R1" s="935" t="s">
        <v>16798</v>
      </c>
      <c r="S1" s="1225" t="s">
        <v>16799</v>
      </c>
      <c r="T1" s="1155" t="s">
        <v>16800</v>
      </c>
      <c r="U1" s="1155" t="s">
        <v>16801</v>
      </c>
      <c r="V1" s="1155" t="s">
        <v>16802</v>
      </c>
      <c r="W1" s="1172"/>
      <c r="X1" s="1173"/>
      <c r="Y1" s="1173"/>
      <c r="Z1" s="1174" t="s">
        <v>15587</v>
      </c>
      <c r="AA1" s="1174" t="s">
        <v>15351</v>
      </c>
    </row>
    <row r="2" spans="1:27" ht="20.25" thickBot="1">
      <c r="A2" s="1444" t="s">
        <v>16565</v>
      </c>
      <c r="B2" s="936">
        <v>0.33819444444444452</v>
      </c>
      <c r="C2" s="937">
        <f t="shared" ref="C2:C65" si="0">IFERROR(1440/D2, "")</f>
        <v>2.9568788501026688</v>
      </c>
      <c r="D2" s="1445">
        <f t="shared" ref="D2:D65" si="1">IF(B2="", "", IF(B2&lt;1, B2*1440, B2))</f>
        <v>487.00000000000011</v>
      </c>
      <c r="E2" s="938" t="s">
        <v>5005</v>
      </c>
      <c r="F2" s="938" t="s">
        <v>16123</v>
      </c>
      <c r="G2" s="938">
        <v>500</v>
      </c>
      <c r="H2" s="939" t="s">
        <v>126</v>
      </c>
      <c r="I2" s="939">
        <v>1.8</v>
      </c>
      <c r="J2" s="939" t="s">
        <v>251</v>
      </c>
      <c r="K2" s="938" t="s">
        <v>853</v>
      </c>
      <c r="L2" s="941">
        <v>4</v>
      </c>
      <c r="M2" s="942">
        <v>46027</v>
      </c>
      <c r="N2" s="943" t="s">
        <v>16803</v>
      </c>
      <c r="O2" s="943" t="s">
        <v>16804</v>
      </c>
      <c r="P2" s="943">
        <v>1.71</v>
      </c>
      <c r="Q2" s="943">
        <v>1.69</v>
      </c>
      <c r="R2" s="316">
        <v>0.4</v>
      </c>
      <c r="Z2" s="1176">
        <v>20</v>
      </c>
      <c r="AA2" s="1176">
        <v>700</v>
      </c>
    </row>
    <row r="3" spans="1:27" ht="20.25" thickBot="1">
      <c r="A3" s="1444" t="s">
        <v>16572</v>
      </c>
      <c r="B3" s="936">
        <v>0.28263888888888888</v>
      </c>
      <c r="C3" s="937">
        <f t="shared" si="0"/>
        <v>3.538083538083538</v>
      </c>
      <c r="D3" s="1445">
        <f t="shared" si="1"/>
        <v>407</v>
      </c>
      <c r="E3" s="938" t="s">
        <v>754</v>
      </c>
      <c r="F3" s="938" t="s">
        <v>16132</v>
      </c>
      <c r="G3" s="938">
        <v>600</v>
      </c>
      <c r="H3" s="939" t="s">
        <v>126</v>
      </c>
      <c r="I3" s="940">
        <v>1.5</v>
      </c>
      <c r="J3" s="939" t="s">
        <v>251</v>
      </c>
      <c r="K3" s="938" t="s">
        <v>785</v>
      </c>
      <c r="L3" s="941">
        <v>4</v>
      </c>
      <c r="M3" s="942">
        <v>46034</v>
      </c>
      <c r="N3" s="943" t="s">
        <v>16805</v>
      </c>
      <c r="O3" s="943" t="s">
        <v>16806</v>
      </c>
      <c r="P3" s="943">
        <v>1.645</v>
      </c>
      <c r="Q3" s="943">
        <v>1.78</v>
      </c>
      <c r="R3" s="316">
        <v>0.45</v>
      </c>
      <c r="Z3" s="1176">
        <v>30</v>
      </c>
      <c r="AA3" s="1176">
        <v>700</v>
      </c>
    </row>
    <row r="4" spans="1:27" ht="20.25" thickBot="1">
      <c r="A4" s="1444" t="s">
        <v>16131</v>
      </c>
      <c r="B4" s="936">
        <v>0.28263888888888888</v>
      </c>
      <c r="C4" s="937">
        <f t="shared" si="0"/>
        <v>3.538083538083538</v>
      </c>
      <c r="D4" s="1445">
        <f t="shared" si="1"/>
        <v>407</v>
      </c>
      <c r="E4" s="938" t="s">
        <v>754</v>
      </c>
      <c r="F4" s="938" t="s">
        <v>16132</v>
      </c>
      <c r="G4" s="938">
        <v>600</v>
      </c>
      <c r="H4" s="939" t="s">
        <v>126</v>
      </c>
      <c r="I4" s="940">
        <v>1.5</v>
      </c>
      <c r="J4" s="939" t="s">
        <v>250</v>
      </c>
      <c r="K4" s="938" t="s">
        <v>712</v>
      </c>
      <c r="L4" s="941">
        <v>4</v>
      </c>
      <c r="M4" s="942">
        <v>46031</v>
      </c>
      <c r="N4" s="943" t="s">
        <v>239</v>
      </c>
      <c r="O4" s="943" t="s">
        <v>16806</v>
      </c>
      <c r="P4" s="943">
        <v>1.65</v>
      </c>
      <c r="Q4" s="943">
        <v>1.73</v>
      </c>
      <c r="R4" s="316">
        <v>0.5</v>
      </c>
      <c r="Z4" s="1176">
        <v>35</v>
      </c>
      <c r="AA4" s="1176">
        <v>700</v>
      </c>
    </row>
    <row r="5" spans="1:27" ht="20.25" thickBot="1">
      <c r="A5" s="1444" t="s">
        <v>16209</v>
      </c>
      <c r="B5" s="936">
        <v>0.28194444444444439</v>
      </c>
      <c r="C5" s="937">
        <f t="shared" si="0"/>
        <v>3.5467980295566508</v>
      </c>
      <c r="D5" s="1445">
        <f t="shared" si="1"/>
        <v>405.99999999999994</v>
      </c>
      <c r="E5" s="938" t="s">
        <v>754</v>
      </c>
      <c r="F5" s="938" t="s">
        <v>16807</v>
      </c>
      <c r="G5" s="938">
        <v>600</v>
      </c>
      <c r="H5" s="939" t="s">
        <v>126</v>
      </c>
      <c r="I5" s="940">
        <v>1.5</v>
      </c>
      <c r="J5" s="939" t="s">
        <v>250</v>
      </c>
      <c r="K5" s="938" t="s">
        <v>812</v>
      </c>
      <c r="L5" s="941">
        <v>4</v>
      </c>
      <c r="M5" s="942">
        <v>46087</v>
      </c>
      <c r="N5" s="943" t="s">
        <v>16808</v>
      </c>
      <c r="O5" s="943" t="s">
        <v>16809</v>
      </c>
      <c r="P5" s="943">
        <v>1.65</v>
      </c>
      <c r="Q5" s="943">
        <v>1.69</v>
      </c>
      <c r="R5" s="316">
        <v>0.5</v>
      </c>
      <c r="U5" s="1226"/>
      <c r="Z5" s="1176">
        <v>40</v>
      </c>
      <c r="AA5" s="1176">
        <v>700</v>
      </c>
    </row>
    <row r="6" spans="1:27" ht="20.25" thickBot="1">
      <c r="A6" s="1444" t="s">
        <v>15340</v>
      </c>
      <c r="B6" s="936">
        <v>0.19722222222222219</v>
      </c>
      <c r="C6" s="937">
        <f t="shared" si="0"/>
        <v>5.0704225352112688</v>
      </c>
      <c r="D6" s="1445">
        <f t="shared" si="1"/>
        <v>283.99999999999994</v>
      </c>
      <c r="E6" s="938" t="s">
        <v>467</v>
      </c>
      <c r="F6" s="938" t="s">
        <v>16810</v>
      </c>
      <c r="G6" s="938">
        <v>600</v>
      </c>
      <c r="H6" s="316" t="s">
        <v>471</v>
      </c>
      <c r="I6" s="940">
        <v>2.9</v>
      </c>
      <c r="J6" s="939" t="s">
        <v>250</v>
      </c>
      <c r="K6" s="938" t="s">
        <v>482</v>
      </c>
      <c r="L6" s="941">
        <v>5.5</v>
      </c>
      <c r="M6" s="942">
        <v>45803</v>
      </c>
      <c r="N6" s="943" t="s">
        <v>233</v>
      </c>
      <c r="O6" s="943" t="s">
        <v>16811</v>
      </c>
      <c r="P6" s="943">
        <v>1.7549999999999999</v>
      </c>
      <c r="Q6" s="943"/>
      <c r="R6" s="316">
        <v>0.6</v>
      </c>
      <c r="Z6" s="1176">
        <v>50</v>
      </c>
      <c r="AA6" s="1176">
        <v>1100</v>
      </c>
    </row>
    <row r="7" spans="1:27" ht="20.25" thickBot="1">
      <c r="A7" s="1444" t="s">
        <v>15367</v>
      </c>
      <c r="B7" s="936">
        <v>0.1847222222222222</v>
      </c>
      <c r="C7" s="937">
        <f t="shared" si="0"/>
        <v>5.4135338345864659</v>
      </c>
      <c r="D7" s="1445">
        <f t="shared" si="1"/>
        <v>266</v>
      </c>
      <c r="E7" s="938" t="s">
        <v>467</v>
      </c>
      <c r="F7" s="938" t="s">
        <v>16812</v>
      </c>
      <c r="G7" s="938">
        <v>650</v>
      </c>
      <c r="H7" s="316" t="s">
        <v>460</v>
      </c>
      <c r="I7" s="940">
        <v>2.7</v>
      </c>
      <c r="J7" s="939" t="s">
        <v>250</v>
      </c>
      <c r="K7" s="938" t="s">
        <v>646</v>
      </c>
      <c r="L7" s="941">
        <v>5.5</v>
      </c>
      <c r="M7" s="942">
        <v>45814</v>
      </c>
      <c r="N7" s="943" t="s">
        <v>237</v>
      </c>
      <c r="O7" s="943" t="s">
        <v>619</v>
      </c>
      <c r="P7" s="943">
        <v>1.8049999999999999</v>
      </c>
      <c r="Q7" s="943" t="s">
        <v>16813</v>
      </c>
      <c r="R7" s="316">
        <v>0.8</v>
      </c>
      <c r="Z7" s="1176">
        <v>51</v>
      </c>
      <c r="AA7" s="1176">
        <v>770</v>
      </c>
    </row>
    <row r="8" spans="1:27" ht="20.25" thickBot="1">
      <c r="A8" s="1444" t="s">
        <v>15369</v>
      </c>
      <c r="B8" s="936">
        <v>0.19722222222222219</v>
      </c>
      <c r="C8" s="937">
        <f t="shared" si="0"/>
        <v>5.0704225352112688</v>
      </c>
      <c r="D8" s="1445">
        <f t="shared" si="1"/>
        <v>283.99999999999994</v>
      </c>
      <c r="E8" s="938" t="s">
        <v>467</v>
      </c>
      <c r="F8" s="938" t="s">
        <v>16812</v>
      </c>
      <c r="G8" s="938">
        <v>600</v>
      </c>
      <c r="H8" s="316" t="s">
        <v>643</v>
      </c>
      <c r="I8" s="940">
        <v>2.2000000000000002</v>
      </c>
      <c r="J8" s="939" t="s">
        <v>250</v>
      </c>
      <c r="K8" s="938" t="s">
        <v>1376</v>
      </c>
      <c r="L8" s="941">
        <v>5.5</v>
      </c>
      <c r="M8" s="942">
        <v>45814</v>
      </c>
      <c r="N8" s="943" t="s">
        <v>231</v>
      </c>
      <c r="O8" s="943" t="s">
        <v>619</v>
      </c>
      <c r="P8" s="943">
        <v>1.77</v>
      </c>
      <c r="Q8" s="943"/>
      <c r="R8" s="316">
        <v>0.6</v>
      </c>
      <c r="Z8" s="1176">
        <v>75</v>
      </c>
      <c r="AA8" s="1176">
        <v>1060</v>
      </c>
    </row>
    <row r="9" spans="1:27" ht="20.25" thickBot="1">
      <c r="A9" s="1444" t="s">
        <v>15372</v>
      </c>
      <c r="B9" s="936">
        <v>0.16388888888888889</v>
      </c>
      <c r="C9" s="937">
        <f t="shared" si="0"/>
        <v>6.101694915254237</v>
      </c>
      <c r="D9" s="1445">
        <f t="shared" si="1"/>
        <v>236</v>
      </c>
      <c r="E9" s="938" t="s">
        <v>714</v>
      </c>
      <c r="F9" s="938" t="s">
        <v>16814</v>
      </c>
      <c r="G9" s="938">
        <v>650</v>
      </c>
      <c r="H9" s="316" t="s">
        <v>460</v>
      </c>
      <c r="I9" s="940">
        <v>1</v>
      </c>
      <c r="J9" s="939" t="s">
        <v>250</v>
      </c>
      <c r="K9" s="938" t="s">
        <v>853</v>
      </c>
      <c r="L9" s="941">
        <v>5</v>
      </c>
      <c r="M9" s="942">
        <v>45819</v>
      </c>
      <c r="N9" s="943" t="s">
        <v>16815</v>
      </c>
      <c r="O9" s="943" t="s">
        <v>16816</v>
      </c>
      <c r="P9" s="943">
        <v>1.76</v>
      </c>
      <c r="Q9" s="943">
        <v>1.81</v>
      </c>
      <c r="R9" s="316">
        <v>0.8</v>
      </c>
      <c r="Z9" s="1176">
        <v>100</v>
      </c>
      <c r="AA9" s="1176">
        <v>900</v>
      </c>
    </row>
    <row r="10" spans="1:27" ht="20.25" thickBot="1">
      <c r="A10" s="1444" t="s">
        <v>15448</v>
      </c>
      <c r="B10" s="936">
        <v>0.1791666666666667</v>
      </c>
      <c r="C10" s="937">
        <f t="shared" si="0"/>
        <v>5.5813953488372077</v>
      </c>
      <c r="D10" s="1445">
        <f t="shared" si="1"/>
        <v>258.00000000000006</v>
      </c>
      <c r="E10" s="938" t="s">
        <v>467</v>
      </c>
      <c r="F10" s="938" t="s">
        <v>16817</v>
      </c>
      <c r="G10" s="938">
        <v>670</v>
      </c>
      <c r="H10" s="316" t="s">
        <v>460</v>
      </c>
      <c r="I10" s="940">
        <v>2.8</v>
      </c>
      <c r="J10" s="939" t="s">
        <v>251</v>
      </c>
      <c r="K10" s="938" t="s">
        <v>680</v>
      </c>
      <c r="L10" s="941">
        <v>5.5</v>
      </c>
      <c r="M10" s="942">
        <v>45825</v>
      </c>
      <c r="N10" s="943" t="s">
        <v>16818</v>
      </c>
      <c r="O10" s="943" t="s">
        <v>1376</v>
      </c>
      <c r="P10" s="943">
        <v>1.79</v>
      </c>
      <c r="Q10" s="943">
        <v>1.76</v>
      </c>
      <c r="R10" s="316">
        <v>0.8</v>
      </c>
      <c r="Z10" s="1176">
        <v>150</v>
      </c>
      <c r="AA10" s="1176">
        <v>1060</v>
      </c>
    </row>
    <row r="11" spans="1:27" ht="20.25" thickBot="1">
      <c r="A11" s="1444" t="s">
        <v>15511</v>
      </c>
      <c r="B11" s="936">
        <v>0.20416666666666669</v>
      </c>
      <c r="C11" s="937">
        <f t="shared" si="0"/>
        <v>4.8979591836734686</v>
      </c>
      <c r="D11" s="1445">
        <f t="shared" si="1"/>
        <v>294.00000000000006</v>
      </c>
      <c r="E11" s="938" t="s">
        <v>663</v>
      </c>
      <c r="F11" s="938" t="s">
        <v>16819</v>
      </c>
      <c r="G11" s="938">
        <v>600</v>
      </c>
      <c r="H11" s="939" t="s">
        <v>460</v>
      </c>
      <c r="I11" s="940">
        <v>3.7</v>
      </c>
      <c r="J11" s="939" t="s">
        <v>251</v>
      </c>
      <c r="K11" s="938" t="s">
        <v>782</v>
      </c>
      <c r="L11" s="941">
        <v>5.5</v>
      </c>
      <c r="M11" s="942">
        <v>45848</v>
      </c>
      <c r="N11" s="943" t="s">
        <v>16820</v>
      </c>
      <c r="O11" s="943" t="s">
        <v>684</v>
      </c>
      <c r="P11" s="943">
        <v>1.84</v>
      </c>
      <c r="Q11" s="943">
        <v>1.86</v>
      </c>
      <c r="R11" s="316">
        <v>0.85</v>
      </c>
      <c r="Z11" s="1177">
        <v>165</v>
      </c>
      <c r="AA11" s="1177">
        <v>1060</v>
      </c>
    </row>
    <row r="12" spans="1:27" ht="20.25" thickBot="1">
      <c r="A12" s="1444" t="s">
        <v>15513</v>
      </c>
      <c r="B12" s="936">
        <v>0.17291666666666669</v>
      </c>
      <c r="C12" s="937">
        <f t="shared" si="0"/>
        <v>5.783132530120481</v>
      </c>
      <c r="D12" s="1445">
        <f t="shared" si="1"/>
        <v>249.00000000000003</v>
      </c>
      <c r="E12" s="938" t="s">
        <v>7214</v>
      </c>
      <c r="F12" s="945" t="s">
        <v>16821</v>
      </c>
      <c r="G12" s="938">
        <v>550</v>
      </c>
      <c r="H12" s="939" t="s">
        <v>460</v>
      </c>
      <c r="I12" s="939">
        <v>3.6</v>
      </c>
      <c r="J12" s="939" t="s">
        <v>251</v>
      </c>
      <c r="K12" s="938" t="s">
        <v>614</v>
      </c>
      <c r="L12" s="941">
        <v>4.5</v>
      </c>
      <c r="M12" s="942">
        <v>45849</v>
      </c>
      <c r="N12" s="943" t="s">
        <v>16803</v>
      </c>
      <c r="O12" s="943" t="s">
        <v>8404</v>
      </c>
      <c r="P12" s="943">
        <v>1.76</v>
      </c>
      <c r="Q12" s="943">
        <v>1.93</v>
      </c>
      <c r="R12" s="316">
        <v>0.75</v>
      </c>
      <c r="Z12" s="1176">
        <v>300</v>
      </c>
      <c r="AA12" s="1176">
        <v>1125</v>
      </c>
    </row>
    <row r="13" spans="1:27" ht="20.25" thickBot="1">
      <c r="A13" s="1444" t="s">
        <v>15529</v>
      </c>
      <c r="B13" s="936">
        <v>0.1645833333333333</v>
      </c>
      <c r="C13" s="937">
        <f t="shared" si="0"/>
        <v>6.0759493670886089</v>
      </c>
      <c r="D13" s="1445">
        <f t="shared" si="1"/>
        <v>236.99999999999994</v>
      </c>
      <c r="E13" s="938" t="s">
        <v>714</v>
      </c>
      <c r="F13" s="938" t="s">
        <v>16822</v>
      </c>
      <c r="G13" s="938">
        <v>650</v>
      </c>
      <c r="H13" s="939" t="s">
        <v>460</v>
      </c>
      <c r="I13" s="939">
        <v>1</v>
      </c>
      <c r="J13" s="939" t="s">
        <v>251</v>
      </c>
      <c r="K13" s="938" t="s">
        <v>681</v>
      </c>
      <c r="L13" s="941">
        <v>5</v>
      </c>
      <c r="M13" s="942">
        <v>45854</v>
      </c>
      <c r="N13" s="943" t="s">
        <v>16805</v>
      </c>
      <c r="O13" s="943" t="s">
        <v>16811</v>
      </c>
      <c r="P13" s="943">
        <v>1.76</v>
      </c>
      <c r="Q13" s="943">
        <v>1.86</v>
      </c>
      <c r="R13" s="316">
        <v>0.8</v>
      </c>
      <c r="Z13" s="1177">
        <v>450</v>
      </c>
      <c r="AA13" s="1177">
        <v>700</v>
      </c>
    </row>
    <row r="14" spans="1:27">
      <c r="A14" s="1444" t="s">
        <v>15790</v>
      </c>
      <c r="B14" s="936">
        <v>0.18194444444444441</v>
      </c>
      <c r="C14" s="937">
        <f t="shared" si="0"/>
        <v>5.4961832061068714</v>
      </c>
      <c r="D14" s="1445">
        <f t="shared" si="1"/>
        <v>261.99999999999994</v>
      </c>
      <c r="E14" s="938" t="s">
        <v>663</v>
      </c>
      <c r="F14" s="938" t="s">
        <v>16819</v>
      </c>
      <c r="G14" s="938">
        <v>600</v>
      </c>
      <c r="H14" s="939" t="s">
        <v>471</v>
      </c>
      <c r="I14" s="939">
        <v>1.7</v>
      </c>
      <c r="J14" s="939" t="s">
        <v>251</v>
      </c>
      <c r="K14" s="938" t="s">
        <v>868</v>
      </c>
      <c r="L14" s="941">
        <v>5</v>
      </c>
      <c r="M14" s="942">
        <v>45860</v>
      </c>
      <c r="N14" s="943" t="s">
        <v>16820</v>
      </c>
      <c r="O14" s="943" t="s">
        <v>684</v>
      </c>
      <c r="P14" s="943">
        <v>1.8049999999999999</v>
      </c>
      <c r="Q14" s="943">
        <v>1.83</v>
      </c>
      <c r="R14" s="316">
        <v>0.85</v>
      </c>
    </row>
    <row r="15" spans="1:27">
      <c r="A15" s="1444" t="s">
        <v>15531</v>
      </c>
      <c r="B15" s="936">
        <v>0.16388888888888889</v>
      </c>
      <c r="C15" s="937">
        <f t="shared" si="0"/>
        <v>6.101694915254237</v>
      </c>
      <c r="D15" s="1445">
        <f t="shared" si="1"/>
        <v>236</v>
      </c>
      <c r="E15" s="938" t="s">
        <v>714</v>
      </c>
      <c r="F15" s="938" t="s">
        <v>16822</v>
      </c>
      <c r="G15" s="938">
        <v>650</v>
      </c>
      <c r="H15" s="939" t="s">
        <v>460</v>
      </c>
      <c r="I15" s="940">
        <v>1</v>
      </c>
      <c r="J15" s="939" t="s">
        <v>251</v>
      </c>
      <c r="K15" s="938" t="s">
        <v>776</v>
      </c>
      <c r="L15" s="941">
        <v>5</v>
      </c>
      <c r="M15" s="942">
        <v>45860</v>
      </c>
      <c r="N15" s="943" t="s">
        <v>16815</v>
      </c>
      <c r="O15" s="943" t="s">
        <v>16811</v>
      </c>
      <c r="P15" s="943">
        <v>1.76</v>
      </c>
      <c r="Q15" s="943">
        <v>1.97</v>
      </c>
      <c r="R15" s="316">
        <v>0.7</v>
      </c>
    </row>
    <row r="16" spans="1:27">
      <c r="A16" s="1444" t="s">
        <v>15625</v>
      </c>
      <c r="B16" s="936">
        <v>0.18333333333333329</v>
      </c>
      <c r="C16" s="937">
        <f t="shared" si="0"/>
        <v>5.4545454545454559</v>
      </c>
      <c r="D16" s="1445">
        <f t="shared" si="1"/>
        <v>263.99999999999994</v>
      </c>
      <c r="E16" s="938" t="s">
        <v>6907</v>
      </c>
      <c r="F16" s="938" t="s">
        <v>16823</v>
      </c>
      <c r="G16" s="938">
        <v>600</v>
      </c>
      <c r="H16" s="939" t="s">
        <v>460</v>
      </c>
      <c r="I16" s="939">
        <v>1.3</v>
      </c>
      <c r="J16" s="939" t="s">
        <v>251</v>
      </c>
      <c r="K16" s="938" t="s">
        <v>647</v>
      </c>
      <c r="L16" s="941">
        <v>5</v>
      </c>
      <c r="M16" s="942">
        <v>45881</v>
      </c>
      <c r="N16" s="943" t="s">
        <v>16820</v>
      </c>
      <c r="O16" s="943" t="s">
        <v>16824</v>
      </c>
      <c r="P16" s="943">
        <v>1.81</v>
      </c>
      <c r="Q16" s="943">
        <v>1.78</v>
      </c>
      <c r="R16" s="316">
        <v>0.95</v>
      </c>
    </row>
    <row r="17" spans="1:21">
      <c r="A17" s="1444" t="s">
        <v>16825</v>
      </c>
      <c r="B17" s="936">
        <v>0.24444444444444441</v>
      </c>
      <c r="C17" s="937">
        <f t="shared" si="0"/>
        <v>4.0909090909090917</v>
      </c>
      <c r="D17" s="1445">
        <f t="shared" si="1"/>
        <v>351.99999999999994</v>
      </c>
      <c r="E17" s="938" t="s">
        <v>855</v>
      </c>
      <c r="F17" s="938" t="s">
        <v>16826</v>
      </c>
      <c r="G17" s="938">
        <v>500</v>
      </c>
      <c r="H17" s="939" t="s">
        <v>643</v>
      </c>
      <c r="I17" s="939">
        <v>2</v>
      </c>
      <c r="J17" s="939" t="s">
        <v>251</v>
      </c>
      <c r="K17" s="938" t="s">
        <v>16025</v>
      </c>
      <c r="L17" s="941">
        <v>5.5</v>
      </c>
      <c r="M17" s="942">
        <v>45894</v>
      </c>
      <c r="N17" s="943" t="s">
        <v>16820</v>
      </c>
      <c r="O17" s="943" t="s">
        <v>16827</v>
      </c>
      <c r="P17" s="943">
        <v>1.75</v>
      </c>
      <c r="Q17" s="943">
        <v>1.82</v>
      </c>
      <c r="R17" s="316">
        <v>0.8</v>
      </c>
    </row>
    <row r="18" spans="1:21">
      <c r="A18" s="1444" t="s">
        <v>15828</v>
      </c>
      <c r="B18" s="936">
        <v>0.18194444444444441</v>
      </c>
      <c r="C18" s="937">
        <f t="shared" si="0"/>
        <v>5.4961832061068714</v>
      </c>
      <c r="D18" s="1445">
        <f t="shared" si="1"/>
        <v>261.99999999999994</v>
      </c>
      <c r="E18" s="938" t="s">
        <v>663</v>
      </c>
      <c r="F18" s="938" t="s">
        <v>16828</v>
      </c>
      <c r="G18" s="938">
        <v>600</v>
      </c>
      <c r="H18" s="939" t="s">
        <v>471</v>
      </c>
      <c r="I18" s="939">
        <v>1.7</v>
      </c>
      <c r="J18" s="939" t="s">
        <v>251</v>
      </c>
      <c r="K18" s="938" t="s">
        <v>853</v>
      </c>
      <c r="L18" s="941">
        <v>5</v>
      </c>
      <c r="M18" s="942">
        <v>45897</v>
      </c>
      <c r="N18" s="943" t="s">
        <v>16815</v>
      </c>
      <c r="O18" s="943" t="s">
        <v>724</v>
      </c>
      <c r="P18" s="943">
        <v>1.8049999999999999</v>
      </c>
      <c r="Q18" s="943">
        <v>1.87</v>
      </c>
      <c r="R18" s="316">
        <v>0.85</v>
      </c>
    </row>
    <row r="19" spans="1:21">
      <c r="A19" s="1444" t="s">
        <v>15880</v>
      </c>
      <c r="B19" s="936">
        <v>0.1986111111111111</v>
      </c>
      <c r="C19" s="937">
        <f t="shared" si="0"/>
        <v>5.034965034965035</v>
      </c>
      <c r="D19" s="1445">
        <f t="shared" si="1"/>
        <v>286</v>
      </c>
      <c r="E19" s="938" t="s">
        <v>7055</v>
      </c>
      <c r="F19" s="938" t="s">
        <v>16829</v>
      </c>
      <c r="G19" s="938">
        <v>600</v>
      </c>
      <c r="H19" s="939" t="s">
        <v>643</v>
      </c>
      <c r="I19" s="939">
        <v>1.7</v>
      </c>
      <c r="J19" s="939" t="s">
        <v>251</v>
      </c>
      <c r="K19" s="938" t="s">
        <v>783</v>
      </c>
      <c r="L19" s="941">
        <v>5.5</v>
      </c>
      <c r="M19" s="942">
        <v>45916</v>
      </c>
      <c r="N19" s="943" t="s">
        <v>16820</v>
      </c>
      <c r="O19" s="943" t="s">
        <v>16809</v>
      </c>
      <c r="P19" s="943">
        <v>1.77</v>
      </c>
      <c r="Q19" s="943">
        <v>1.67</v>
      </c>
      <c r="R19" s="316">
        <v>0.8</v>
      </c>
    </row>
    <row r="20" spans="1:21">
      <c r="A20" s="1444" t="s">
        <v>15858</v>
      </c>
      <c r="B20" s="936">
        <v>0.19722222222222219</v>
      </c>
      <c r="C20" s="937">
        <f t="shared" si="0"/>
        <v>5.0704225352112688</v>
      </c>
      <c r="D20" s="1445">
        <f t="shared" si="1"/>
        <v>283.99999999999994</v>
      </c>
      <c r="E20" s="938" t="s">
        <v>467</v>
      </c>
      <c r="F20" s="938" t="s">
        <v>16817</v>
      </c>
      <c r="G20" s="938">
        <v>600</v>
      </c>
      <c r="H20" s="939" t="s">
        <v>471</v>
      </c>
      <c r="I20" s="944">
        <v>3</v>
      </c>
      <c r="J20" s="939" t="s">
        <v>250</v>
      </c>
      <c r="K20" s="938" t="s">
        <v>887</v>
      </c>
      <c r="L20" s="941">
        <v>5.5</v>
      </c>
      <c r="M20" s="942">
        <v>45912</v>
      </c>
      <c r="N20" s="943" t="s">
        <v>234</v>
      </c>
      <c r="O20" s="943" t="s">
        <v>1376</v>
      </c>
      <c r="P20" s="943">
        <v>1.77</v>
      </c>
      <c r="Q20" s="943">
        <v>1.68</v>
      </c>
      <c r="R20" s="316">
        <v>0.7</v>
      </c>
    </row>
    <row r="21" spans="1:21">
      <c r="A21" s="1444" t="s">
        <v>15883</v>
      </c>
      <c r="B21" s="936">
        <v>0.1965277777777778</v>
      </c>
      <c r="C21" s="937">
        <f t="shared" si="0"/>
        <v>5.0883392226148398</v>
      </c>
      <c r="D21" s="1445">
        <f t="shared" si="1"/>
        <v>283.00000000000006</v>
      </c>
      <c r="E21" s="938" t="s">
        <v>467</v>
      </c>
      <c r="F21" s="938" t="s">
        <v>15884</v>
      </c>
      <c r="G21" s="938">
        <v>600</v>
      </c>
      <c r="H21" s="939" t="s">
        <v>471</v>
      </c>
      <c r="I21" s="940">
        <v>2.9</v>
      </c>
      <c r="J21" s="939" t="s">
        <v>250</v>
      </c>
      <c r="K21" s="938" t="s">
        <v>870</v>
      </c>
      <c r="L21" s="941">
        <v>5.5</v>
      </c>
      <c r="M21" s="942">
        <v>45917</v>
      </c>
      <c r="N21" s="943" t="s">
        <v>233</v>
      </c>
      <c r="O21" s="943" t="s">
        <v>8404</v>
      </c>
      <c r="P21" s="943">
        <v>1.7649999999999999</v>
      </c>
      <c r="Q21" s="943">
        <v>1.72</v>
      </c>
      <c r="R21" s="316">
        <v>0.6</v>
      </c>
    </row>
    <row r="22" spans="1:21">
      <c r="A22" s="1444" t="s">
        <v>16612</v>
      </c>
      <c r="B22" s="936">
        <v>0.16875000000000001</v>
      </c>
      <c r="C22" s="937">
        <f t="shared" si="0"/>
        <v>5.9259259259259256</v>
      </c>
      <c r="D22" s="1445">
        <f t="shared" si="1"/>
        <v>243.00000000000003</v>
      </c>
      <c r="E22" s="938" t="s">
        <v>714</v>
      </c>
      <c r="F22" s="938" t="s">
        <v>16830</v>
      </c>
      <c r="G22" s="938">
        <v>700</v>
      </c>
      <c r="H22" s="939" t="s">
        <v>460</v>
      </c>
      <c r="I22" s="940">
        <v>2</v>
      </c>
      <c r="J22" s="939" t="s">
        <v>250</v>
      </c>
      <c r="K22" s="938" t="s">
        <v>647</v>
      </c>
      <c r="L22" s="941">
        <v>5.5</v>
      </c>
      <c r="M22" s="942">
        <v>45931</v>
      </c>
      <c r="N22" s="943" t="s">
        <v>16805</v>
      </c>
      <c r="O22" s="943" t="s">
        <v>868</v>
      </c>
      <c r="P22" s="943">
        <v>1.78</v>
      </c>
      <c r="Q22" s="943">
        <v>1.8</v>
      </c>
      <c r="R22" s="316">
        <v>0.95</v>
      </c>
    </row>
    <row r="23" spans="1:21">
      <c r="A23" s="1444" t="s">
        <v>16614</v>
      </c>
      <c r="B23" s="936">
        <v>0.20416666666666669</v>
      </c>
      <c r="C23" s="937">
        <f t="shared" si="0"/>
        <v>4.8979591836734686</v>
      </c>
      <c r="D23" s="1445">
        <f t="shared" si="1"/>
        <v>294.00000000000006</v>
      </c>
      <c r="E23" s="938" t="s">
        <v>663</v>
      </c>
      <c r="F23" s="938" t="s">
        <v>16831</v>
      </c>
      <c r="G23" s="938">
        <v>600</v>
      </c>
      <c r="H23" s="939" t="s">
        <v>460</v>
      </c>
      <c r="I23" s="939">
        <v>3.8</v>
      </c>
      <c r="J23" s="939" t="s">
        <v>251</v>
      </c>
      <c r="K23" s="938" t="s">
        <v>783</v>
      </c>
      <c r="L23" s="941">
        <v>5.5</v>
      </c>
      <c r="M23" s="942">
        <v>45944</v>
      </c>
      <c r="N23" s="943" t="s">
        <v>16820</v>
      </c>
      <c r="O23" s="943" t="s">
        <v>16832</v>
      </c>
      <c r="P23" s="943">
        <v>1.84</v>
      </c>
      <c r="Q23" s="943">
        <v>1.82</v>
      </c>
      <c r="R23" s="316">
        <v>0.85</v>
      </c>
    </row>
    <row r="24" spans="1:21">
      <c r="A24" s="1444" t="s">
        <v>16037</v>
      </c>
      <c r="B24" s="936">
        <v>0.18333333333333329</v>
      </c>
      <c r="C24" s="937">
        <f t="shared" si="0"/>
        <v>5.4545454545454559</v>
      </c>
      <c r="D24" s="1445">
        <f t="shared" si="1"/>
        <v>263.99999999999994</v>
      </c>
      <c r="E24" s="938" t="s">
        <v>714</v>
      </c>
      <c r="F24" s="938" t="s">
        <v>15884</v>
      </c>
      <c r="G24" s="938">
        <v>650</v>
      </c>
      <c r="H24" s="939" t="s">
        <v>460</v>
      </c>
      <c r="I24" s="939">
        <v>2.7</v>
      </c>
      <c r="J24" s="939" t="s">
        <v>250</v>
      </c>
      <c r="K24" s="938" t="s">
        <v>868</v>
      </c>
      <c r="L24" s="941">
        <v>5.5</v>
      </c>
      <c r="M24" s="942">
        <v>45938</v>
      </c>
      <c r="N24" s="943" t="s">
        <v>16833</v>
      </c>
      <c r="O24" s="943" t="s">
        <v>8404</v>
      </c>
      <c r="P24" s="943">
        <v>1.7949999999999999</v>
      </c>
      <c r="Q24" s="943">
        <v>1.88</v>
      </c>
      <c r="R24" s="316">
        <v>0.75</v>
      </c>
    </row>
    <row r="25" spans="1:21">
      <c r="A25" s="1444" t="s">
        <v>16621</v>
      </c>
      <c r="B25" s="936">
        <v>0.2409722222222222</v>
      </c>
      <c r="C25" s="937">
        <f t="shared" si="0"/>
        <v>4.1498559077809807</v>
      </c>
      <c r="D25" s="1445">
        <f t="shared" si="1"/>
        <v>346.99999999999994</v>
      </c>
      <c r="E25" s="938" t="s">
        <v>855</v>
      </c>
      <c r="F25" s="938" t="s">
        <v>16826</v>
      </c>
      <c r="G25" s="938">
        <v>500</v>
      </c>
      <c r="H25" s="939" t="s">
        <v>643</v>
      </c>
      <c r="I25" s="939">
        <v>2.9</v>
      </c>
      <c r="J25" s="939" t="s">
        <v>250</v>
      </c>
      <c r="K25" s="938" t="s">
        <v>726</v>
      </c>
      <c r="L25" s="941">
        <v>5.5</v>
      </c>
      <c r="M25" s="942">
        <v>45951</v>
      </c>
      <c r="N25" s="943" t="s">
        <v>16834</v>
      </c>
      <c r="O25" s="943" t="s">
        <v>16827</v>
      </c>
      <c r="P25" s="943">
        <v>1.75</v>
      </c>
      <c r="Q25" s="943">
        <v>1.85</v>
      </c>
      <c r="R25" s="316">
        <v>0.8</v>
      </c>
    </row>
    <row r="26" spans="1:21">
      <c r="A26" s="1444" t="s">
        <v>16625</v>
      </c>
      <c r="B26" s="936">
        <v>0.16875000000000001</v>
      </c>
      <c r="C26" s="937">
        <f t="shared" si="0"/>
        <v>5.9259259259259256</v>
      </c>
      <c r="D26" s="1445">
        <f t="shared" si="1"/>
        <v>243.00000000000003</v>
      </c>
      <c r="E26" s="938" t="s">
        <v>467</v>
      </c>
      <c r="F26" s="938" t="s">
        <v>15888</v>
      </c>
      <c r="G26" s="938">
        <v>700</v>
      </c>
      <c r="H26" s="939" t="s">
        <v>460</v>
      </c>
      <c r="I26" s="939">
        <v>2</v>
      </c>
      <c r="J26" s="939" t="s">
        <v>250</v>
      </c>
      <c r="K26" s="938" t="s">
        <v>15881</v>
      </c>
      <c r="L26" s="941">
        <v>5.5</v>
      </c>
      <c r="M26" s="942">
        <v>45968</v>
      </c>
      <c r="N26" s="943" t="s">
        <v>16805</v>
      </c>
      <c r="O26" s="943" t="s">
        <v>16824</v>
      </c>
      <c r="P26" s="943">
        <v>1.78</v>
      </c>
      <c r="Q26" s="943">
        <v>1.83</v>
      </c>
      <c r="R26" s="316">
        <v>0.95</v>
      </c>
    </row>
    <row r="27" spans="1:21">
      <c r="A27" s="1444" t="s">
        <v>16060</v>
      </c>
      <c r="B27" s="936">
        <v>0.1791666666666667</v>
      </c>
      <c r="C27" s="937">
        <f t="shared" si="0"/>
        <v>5.5813953488372077</v>
      </c>
      <c r="D27" s="1445">
        <f t="shared" si="1"/>
        <v>258.00000000000006</v>
      </c>
      <c r="E27" s="938" t="s">
        <v>467</v>
      </c>
      <c r="F27" s="938" t="s">
        <v>16061</v>
      </c>
      <c r="G27" s="938">
        <v>670</v>
      </c>
      <c r="H27" s="939" t="s">
        <v>460</v>
      </c>
      <c r="I27" s="940">
        <v>2.8</v>
      </c>
      <c r="J27" s="939" t="s">
        <v>250</v>
      </c>
      <c r="K27" s="938" t="s">
        <v>650</v>
      </c>
      <c r="L27" s="941">
        <v>5.5</v>
      </c>
      <c r="M27" s="942">
        <v>45985</v>
      </c>
      <c r="N27" s="943" t="s">
        <v>16835</v>
      </c>
      <c r="O27" s="943" t="s">
        <v>16836</v>
      </c>
      <c r="P27" s="943">
        <v>1.7949999999999999</v>
      </c>
      <c r="Q27" s="943">
        <v>1.88</v>
      </c>
      <c r="R27" s="316">
        <v>0.7</v>
      </c>
    </row>
    <row r="28" spans="1:21">
      <c r="A28" s="1444" t="s">
        <v>16080</v>
      </c>
      <c r="B28" s="936">
        <v>0.16944444444444451</v>
      </c>
      <c r="C28" s="937">
        <f t="shared" si="0"/>
        <v>5.9016393442622928</v>
      </c>
      <c r="D28" s="1445">
        <f t="shared" si="1"/>
        <v>244.00000000000009</v>
      </c>
      <c r="E28" s="938" t="s">
        <v>467</v>
      </c>
      <c r="F28" s="938" t="s">
        <v>15888</v>
      </c>
      <c r="G28" s="938">
        <v>700</v>
      </c>
      <c r="H28" s="939" t="s">
        <v>460</v>
      </c>
      <c r="I28" s="940">
        <v>2</v>
      </c>
      <c r="J28" s="939" t="s">
        <v>251</v>
      </c>
      <c r="K28" s="938" t="s">
        <v>803</v>
      </c>
      <c r="L28" s="941">
        <v>5.5</v>
      </c>
      <c r="M28" s="942">
        <v>45996</v>
      </c>
      <c r="N28" s="943" t="s">
        <v>16820</v>
      </c>
      <c r="O28" s="943" t="s">
        <v>16824</v>
      </c>
      <c r="P28" s="943">
        <v>1.78</v>
      </c>
      <c r="Q28" s="943">
        <v>1.78</v>
      </c>
      <c r="R28" s="316">
        <v>1</v>
      </c>
    </row>
    <row r="29" spans="1:21">
      <c r="A29" s="1444" t="s">
        <v>16629</v>
      </c>
      <c r="B29" s="936">
        <v>0.19791666666666671</v>
      </c>
      <c r="C29" s="937">
        <f t="shared" si="0"/>
        <v>5.0526315789473673</v>
      </c>
      <c r="D29" s="1445">
        <f t="shared" si="1"/>
        <v>285.00000000000006</v>
      </c>
      <c r="E29" s="938" t="s">
        <v>467</v>
      </c>
      <c r="F29" s="938" t="s">
        <v>16061</v>
      </c>
      <c r="G29" s="938">
        <v>600</v>
      </c>
      <c r="H29" s="939" t="s">
        <v>471</v>
      </c>
      <c r="I29" s="940">
        <v>3.1</v>
      </c>
      <c r="J29" s="939" t="s">
        <v>251</v>
      </c>
      <c r="K29" s="938" t="s">
        <v>15802</v>
      </c>
      <c r="L29" s="941">
        <v>5.5</v>
      </c>
      <c r="M29" s="942">
        <v>45999</v>
      </c>
      <c r="N29" s="943" t="s">
        <v>234</v>
      </c>
      <c r="O29" s="943" t="s">
        <v>3988</v>
      </c>
      <c r="P29" s="943">
        <v>1.77</v>
      </c>
      <c r="Q29" s="943">
        <v>1.68</v>
      </c>
      <c r="R29" s="316">
        <v>0.8</v>
      </c>
      <c r="U29" s="1226"/>
    </row>
    <row r="30" spans="1:21">
      <c r="A30" s="1444" t="s">
        <v>16083</v>
      </c>
      <c r="B30" s="936">
        <v>0.19722222222222219</v>
      </c>
      <c r="C30" s="937">
        <f t="shared" si="0"/>
        <v>5.0704225352112688</v>
      </c>
      <c r="D30" s="1445">
        <f t="shared" si="1"/>
        <v>283.99999999999994</v>
      </c>
      <c r="E30" s="938" t="s">
        <v>467</v>
      </c>
      <c r="F30" s="938" t="s">
        <v>16084</v>
      </c>
      <c r="G30" s="938">
        <v>600</v>
      </c>
      <c r="H30" s="939" t="s">
        <v>643</v>
      </c>
      <c r="I30" s="940">
        <v>2.2000000000000002</v>
      </c>
      <c r="J30" s="939" t="s">
        <v>250</v>
      </c>
      <c r="K30" s="938" t="s">
        <v>15893</v>
      </c>
      <c r="L30" s="941">
        <v>5.5</v>
      </c>
      <c r="M30" s="942">
        <v>46000</v>
      </c>
      <c r="N30" s="943" t="s">
        <v>231</v>
      </c>
      <c r="O30" s="943" t="s">
        <v>1376</v>
      </c>
      <c r="P30" s="943">
        <v>1.77</v>
      </c>
      <c r="Q30" s="943">
        <v>1.84</v>
      </c>
      <c r="R30" s="316">
        <v>0.7</v>
      </c>
    </row>
    <row r="31" spans="1:21">
      <c r="A31" s="1444" t="s">
        <v>16085</v>
      </c>
      <c r="B31" s="936">
        <v>0.1847222222222222</v>
      </c>
      <c r="C31" s="937">
        <f t="shared" si="0"/>
        <v>5.4135338345864659</v>
      </c>
      <c r="D31" s="1445">
        <f t="shared" si="1"/>
        <v>266</v>
      </c>
      <c r="E31" s="938" t="s">
        <v>467</v>
      </c>
      <c r="F31" s="938" t="s">
        <v>16084</v>
      </c>
      <c r="G31" s="938">
        <v>650</v>
      </c>
      <c r="H31" s="316" t="s">
        <v>460</v>
      </c>
      <c r="I31" s="940">
        <v>2.7</v>
      </c>
      <c r="J31" s="939" t="s">
        <v>250</v>
      </c>
      <c r="K31" s="938" t="s">
        <v>15541</v>
      </c>
      <c r="L31" s="941">
        <v>5.5</v>
      </c>
      <c r="M31" s="942">
        <v>46001</v>
      </c>
      <c r="N31" s="943" t="s">
        <v>237</v>
      </c>
      <c r="O31" s="943" t="s">
        <v>1376</v>
      </c>
      <c r="P31" s="943">
        <v>1.8049999999999999</v>
      </c>
      <c r="Q31" s="943">
        <v>1.81</v>
      </c>
      <c r="R31" s="316">
        <v>0.8</v>
      </c>
    </row>
    <row r="32" spans="1:21">
      <c r="A32" s="1444" t="s">
        <v>16633</v>
      </c>
      <c r="B32" s="936">
        <v>0.19722222222222219</v>
      </c>
      <c r="C32" s="937">
        <f t="shared" si="0"/>
        <v>5.0704225352112688</v>
      </c>
      <c r="D32" s="1445">
        <f t="shared" si="1"/>
        <v>283.99999999999994</v>
      </c>
      <c r="E32" s="938" t="s">
        <v>467</v>
      </c>
      <c r="F32" s="938" t="s">
        <v>16095</v>
      </c>
      <c r="G32" s="938">
        <v>600</v>
      </c>
      <c r="H32" s="939" t="s">
        <v>471</v>
      </c>
      <c r="I32" s="940">
        <v>2.8</v>
      </c>
      <c r="J32" s="939" t="s">
        <v>251</v>
      </c>
      <c r="K32" s="938" t="s">
        <v>474</v>
      </c>
      <c r="L32" s="941">
        <v>5.5</v>
      </c>
      <c r="M32" s="942">
        <v>46006</v>
      </c>
      <c r="N32" s="943" t="s">
        <v>233</v>
      </c>
      <c r="O32" s="943" t="s">
        <v>878</v>
      </c>
      <c r="P32" s="943">
        <v>1.7649999999999999</v>
      </c>
      <c r="Q32" s="943">
        <v>1.68</v>
      </c>
      <c r="R32" s="316">
        <v>0.6</v>
      </c>
    </row>
    <row r="33" spans="1:18">
      <c r="A33" s="1444" t="s">
        <v>16101</v>
      </c>
      <c r="B33" s="936">
        <v>0.18263888888888891</v>
      </c>
      <c r="C33" s="937">
        <f t="shared" si="0"/>
        <v>5.4752851711026613</v>
      </c>
      <c r="D33" s="1445">
        <f t="shared" si="1"/>
        <v>263</v>
      </c>
      <c r="E33" s="938" t="s">
        <v>467</v>
      </c>
      <c r="F33" s="938" t="s">
        <v>16095</v>
      </c>
      <c r="G33" s="945">
        <v>650</v>
      </c>
      <c r="H33" s="316" t="s">
        <v>460</v>
      </c>
      <c r="I33" s="316">
        <v>2.7</v>
      </c>
      <c r="J33" s="939" t="s">
        <v>251</v>
      </c>
      <c r="K33" s="938" t="s">
        <v>681</v>
      </c>
      <c r="L33" s="941">
        <v>5.5</v>
      </c>
      <c r="M33" s="942">
        <v>46009</v>
      </c>
      <c r="N33" s="943" t="s">
        <v>16837</v>
      </c>
      <c r="O33" s="943" t="s">
        <v>878</v>
      </c>
      <c r="P33" s="943">
        <v>1.7949999999999999</v>
      </c>
      <c r="Q33" s="943">
        <v>1.855</v>
      </c>
      <c r="R33" s="316">
        <v>0.75</v>
      </c>
    </row>
    <row r="34" spans="1:18">
      <c r="A34" s="1444" t="s">
        <v>16110</v>
      </c>
      <c r="B34" s="936">
        <v>0.1847222222222222</v>
      </c>
      <c r="C34" s="937">
        <f t="shared" si="0"/>
        <v>5.4135338345864659</v>
      </c>
      <c r="D34" s="1445">
        <f t="shared" si="1"/>
        <v>266</v>
      </c>
      <c r="E34" s="938" t="s">
        <v>714</v>
      </c>
      <c r="F34" s="938" t="s">
        <v>16118</v>
      </c>
      <c r="G34" s="938">
        <v>650</v>
      </c>
      <c r="H34" s="939" t="s">
        <v>460</v>
      </c>
      <c r="I34" s="940">
        <v>2.8</v>
      </c>
      <c r="J34" s="939" t="s">
        <v>251</v>
      </c>
      <c r="K34" s="938" t="s">
        <v>647</v>
      </c>
      <c r="L34" s="941">
        <v>5.5</v>
      </c>
      <c r="M34" s="942">
        <v>46020</v>
      </c>
      <c r="N34" s="943" t="s">
        <v>16815</v>
      </c>
      <c r="O34" s="943" t="s">
        <v>16838</v>
      </c>
      <c r="P34" s="943">
        <v>1.8</v>
      </c>
      <c r="Q34" s="943">
        <v>1.75</v>
      </c>
      <c r="R34" s="316">
        <v>0.75</v>
      </c>
    </row>
    <row r="35" spans="1:18">
      <c r="A35" s="1444" t="s">
        <v>16109</v>
      </c>
      <c r="B35" s="936">
        <v>0.20208333333333331</v>
      </c>
      <c r="C35" s="937">
        <f t="shared" si="0"/>
        <v>4.9484536082474238</v>
      </c>
      <c r="D35" s="1445">
        <f t="shared" si="1"/>
        <v>290.99999999999994</v>
      </c>
      <c r="E35" s="938" t="s">
        <v>663</v>
      </c>
      <c r="F35" s="938" t="s">
        <v>16111</v>
      </c>
      <c r="G35" s="938">
        <v>600</v>
      </c>
      <c r="H35" s="939" t="s">
        <v>460</v>
      </c>
      <c r="I35" s="939">
        <v>3.8</v>
      </c>
      <c r="J35" s="939" t="s">
        <v>251</v>
      </c>
      <c r="K35" s="938" t="s">
        <v>16112</v>
      </c>
      <c r="L35" s="941">
        <v>5.5</v>
      </c>
      <c r="M35" s="942">
        <v>46017</v>
      </c>
      <c r="N35" s="943" t="s">
        <v>16805</v>
      </c>
      <c r="O35" s="943" t="s">
        <v>16839</v>
      </c>
      <c r="P35" s="943">
        <v>1.84</v>
      </c>
      <c r="Q35" s="943">
        <v>1.91</v>
      </c>
      <c r="R35" s="316">
        <v>0.85</v>
      </c>
    </row>
    <row r="36" spans="1:18">
      <c r="A36" s="1444" t="s">
        <v>16650</v>
      </c>
      <c r="B36" s="936">
        <v>0.17152777777777781</v>
      </c>
      <c r="C36" s="937">
        <f t="shared" si="0"/>
        <v>5.8299595141700395</v>
      </c>
      <c r="D36" s="1445">
        <f t="shared" si="1"/>
        <v>247.00000000000003</v>
      </c>
      <c r="E36" s="938" t="s">
        <v>714</v>
      </c>
      <c r="F36" s="938" t="s">
        <v>16137</v>
      </c>
      <c r="G36" s="938">
        <v>700</v>
      </c>
      <c r="H36" s="939" t="s">
        <v>460</v>
      </c>
      <c r="I36" s="939">
        <v>2.9</v>
      </c>
      <c r="J36" s="939" t="s">
        <v>251</v>
      </c>
      <c r="K36" s="938" t="s">
        <v>15881</v>
      </c>
      <c r="L36" s="941">
        <v>5.5</v>
      </c>
      <c r="M36" s="942">
        <v>46036</v>
      </c>
      <c r="N36" s="943" t="s">
        <v>16815</v>
      </c>
      <c r="O36" s="943" t="s">
        <v>619</v>
      </c>
      <c r="P36" s="943">
        <v>1.8</v>
      </c>
      <c r="Q36" s="943">
        <v>1.76</v>
      </c>
      <c r="R36" s="316">
        <v>0.75</v>
      </c>
    </row>
    <row r="37" spans="1:18">
      <c r="A37" s="1444" t="s">
        <v>16138</v>
      </c>
      <c r="B37" s="936">
        <v>0.17152777777777781</v>
      </c>
      <c r="C37" s="937">
        <f t="shared" si="0"/>
        <v>5.8299595141700395</v>
      </c>
      <c r="D37" s="1445">
        <f t="shared" si="1"/>
        <v>247.00000000000003</v>
      </c>
      <c r="E37" s="938" t="s">
        <v>467</v>
      </c>
      <c r="F37" s="938" t="s">
        <v>16139</v>
      </c>
      <c r="G37" s="938">
        <v>700</v>
      </c>
      <c r="H37" s="939" t="s">
        <v>460</v>
      </c>
      <c r="I37" s="939">
        <v>2.8</v>
      </c>
      <c r="J37" s="939" t="s">
        <v>250</v>
      </c>
      <c r="K37" s="938" t="s">
        <v>16112</v>
      </c>
      <c r="L37" s="941">
        <v>5.5</v>
      </c>
      <c r="M37" s="942">
        <v>46038</v>
      </c>
      <c r="N37" s="943" t="s">
        <v>417</v>
      </c>
      <c r="O37" s="943" t="s">
        <v>723</v>
      </c>
      <c r="P37" s="943">
        <v>1.7949999999999999</v>
      </c>
      <c r="Q37" s="943">
        <v>1.927</v>
      </c>
      <c r="R37" s="316">
        <v>0.7</v>
      </c>
    </row>
    <row r="38" spans="1:18">
      <c r="A38" s="1444" t="s">
        <v>16172</v>
      </c>
      <c r="B38" s="936">
        <v>0.17222222222222219</v>
      </c>
      <c r="C38" s="937">
        <f t="shared" si="0"/>
        <v>5.8064516129032269</v>
      </c>
      <c r="D38" s="1445">
        <f t="shared" si="1"/>
        <v>247.99999999999997</v>
      </c>
      <c r="E38" s="938" t="s">
        <v>714</v>
      </c>
      <c r="F38" s="938" t="s">
        <v>16840</v>
      </c>
      <c r="G38" s="938">
        <v>700</v>
      </c>
      <c r="H38" s="939" t="s">
        <v>460</v>
      </c>
      <c r="I38" s="939">
        <v>2.9</v>
      </c>
      <c r="J38" s="939" t="s">
        <v>251</v>
      </c>
      <c r="K38" s="938" t="s">
        <v>614</v>
      </c>
      <c r="L38" s="941">
        <v>5.5</v>
      </c>
      <c r="M38" s="942">
        <v>46055</v>
      </c>
      <c r="N38" s="943" t="s">
        <v>16820</v>
      </c>
      <c r="O38" s="943" t="s">
        <v>16841</v>
      </c>
      <c r="P38" s="943">
        <v>1.8</v>
      </c>
      <c r="Q38" s="943">
        <v>1.81</v>
      </c>
      <c r="R38" s="316">
        <v>0.75</v>
      </c>
    </row>
    <row r="39" spans="1:18">
      <c r="A39" s="1444" t="s">
        <v>16178</v>
      </c>
      <c r="B39" s="936">
        <v>0.1701388888888889</v>
      </c>
      <c r="C39" s="937">
        <f t="shared" si="0"/>
        <v>5.8775510204081636</v>
      </c>
      <c r="D39" s="1445">
        <f t="shared" si="1"/>
        <v>245</v>
      </c>
      <c r="E39" s="938" t="s">
        <v>7713</v>
      </c>
      <c r="F39" s="938" t="s">
        <v>16095</v>
      </c>
      <c r="G39" s="938">
        <v>700</v>
      </c>
      <c r="H39" s="939" t="s">
        <v>460</v>
      </c>
      <c r="I39" s="940">
        <v>2.8</v>
      </c>
      <c r="J39" s="939" t="s">
        <v>251</v>
      </c>
      <c r="K39" s="938" t="s">
        <v>726</v>
      </c>
      <c r="L39" s="941">
        <v>5.5</v>
      </c>
      <c r="M39" s="942">
        <v>46058</v>
      </c>
      <c r="N39" s="943" t="s">
        <v>16837</v>
      </c>
      <c r="O39" s="943" t="s">
        <v>619</v>
      </c>
      <c r="P39" s="943">
        <v>1.7949999999999999</v>
      </c>
      <c r="Q39" s="943">
        <v>1.88</v>
      </c>
      <c r="R39" s="316">
        <v>0.75</v>
      </c>
    </row>
    <row r="40" spans="1:18">
      <c r="A40" s="1444" t="s">
        <v>16842</v>
      </c>
      <c r="B40" s="936">
        <v>0.16944444444444451</v>
      </c>
      <c r="C40" s="937">
        <f t="shared" si="0"/>
        <v>5.9016393442622928</v>
      </c>
      <c r="D40" s="1445">
        <f t="shared" si="1"/>
        <v>244.00000000000009</v>
      </c>
      <c r="E40" s="938" t="s">
        <v>467</v>
      </c>
      <c r="F40" s="938" t="s">
        <v>16840</v>
      </c>
      <c r="G40" s="938">
        <v>700</v>
      </c>
      <c r="H40" s="939" t="s">
        <v>460</v>
      </c>
      <c r="I40" s="940">
        <v>2</v>
      </c>
      <c r="J40" s="939" t="s">
        <v>251</v>
      </c>
      <c r="K40" s="938" t="s">
        <v>647</v>
      </c>
      <c r="L40" s="941">
        <v>5.5</v>
      </c>
      <c r="M40" s="942">
        <v>46094</v>
      </c>
      <c r="N40" s="943" t="s">
        <v>16820</v>
      </c>
      <c r="O40" s="943" t="s">
        <v>16841</v>
      </c>
      <c r="P40" s="943">
        <v>1.78</v>
      </c>
      <c r="Q40" s="943">
        <v>1.895</v>
      </c>
      <c r="R40" s="316">
        <v>1</v>
      </c>
    </row>
    <row r="41" spans="1:18" hidden="1">
      <c r="A41" s="1444" t="s">
        <v>16674</v>
      </c>
      <c r="B41" s="936">
        <v>0.17986111111111111</v>
      </c>
      <c r="C41" s="937">
        <f t="shared" si="0"/>
        <v>5.5598455598455603</v>
      </c>
      <c r="D41" s="1445">
        <f t="shared" si="1"/>
        <v>259</v>
      </c>
      <c r="E41" s="938" t="s">
        <v>8513</v>
      </c>
      <c r="F41" s="938" t="s">
        <v>16843</v>
      </c>
      <c r="G41" s="938">
        <v>550</v>
      </c>
      <c r="H41" s="939" t="s">
        <v>471</v>
      </c>
      <c r="I41" s="939">
        <v>1.2</v>
      </c>
      <c r="J41" s="939" t="s">
        <v>251</v>
      </c>
      <c r="K41" s="938" t="s">
        <v>15881</v>
      </c>
      <c r="L41" s="941">
        <v>5</v>
      </c>
      <c r="M41" s="942">
        <v>46010</v>
      </c>
      <c r="N41" s="943" t="s">
        <v>16805</v>
      </c>
      <c r="O41" s="943" t="s">
        <v>712</v>
      </c>
      <c r="P41" s="943">
        <v>1.7649999999999999</v>
      </c>
      <c r="Q41" s="943">
        <v>1.81</v>
      </c>
      <c r="R41" s="316">
        <v>0.8</v>
      </c>
    </row>
    <row r="42" spans="1:18" hidden="1">
      <c r="A42" s="1444" t="s">
        <v>16676</v>
      </c>
      <c r="B42" s="936">
        <v>0.1791666666666667</v>
      </c>
      <c r="C42" s="937">
        <f t="shared" si="0"/>
        <v>5.5813953488372077</v>
      </c>
      <c r="D42" s="1445">
        <f t="shared" si="1"/>
        <v>258.00000000000006</v>
      </c>
      <c r="E42" s="938" t="s">
        <v>8513</v>
      </c>
      <c r="F42" s="938" t="s">
        <v>16844</v>
      </c>
      <c r="G42" s="938">
        <v>550</v>
      </c>
      <c r="H42" s="939" t="s">
        <v>471</v>
      </c>
      <c r="I42" s="316">
        <v>1.2</v>
      </c>
      <c r="J42" s="939" t="s">
        <v>251</v>
      </c>
      <c r="K42" s="938" t="s">
        <v>712</v>
      </c>
      <c r="L42" s="941">
        <v>5</v>
      </c>
      <c r="M42" s="942">
        <v>46013</v>
      </c>
      <c r="N42" s="943" t="s">
        <v>16805</v>
      </c>
      <c r="O42" s="943" t="s">
        <v>621</v>
      </c>
      <c r="P42" s="943">
        <v>1.7649999999999999</v>
      </c>
      <c r="Q42" s="943">
        <v>1.81</v>
      </c>
      <c r="R42" s="316">
        <v>0.8</v>
      </c>
    </row>
    <row r="43" spans="1:18" hidden="1">
      <c r="A43" s="1444" t="s">
        <v>16229</v>
      </c>
      <c r="B43" s="936">
        <v>0.15069444444444441</v>
      </c>
      <c r="C43" s="937">
        <f t="shared" si="0"/>
        <v>6.635944700460831</v>
      </c>
      <c r="D43" s="1445">
        <f t="shared" si="1"/>
        <v>216.99999999999994</v>
      </c>
      <c r="E43" s="938" t="s">
        <v>8524</v>
      </c>
      <c r="F43" s="938" t="s">
        <v>16845</v>
      </c>
      <c r="G43" s="938">
        <v>500</v>
      </c>
      <c r="H43" s="939" t="s">
        <v>643</v>
      </c>
      <c r="I43" s="940">
        <v>3.3</v>
      </c>
      <c r="J43" s="939" t="s">
        <v>251</v>
      </c>
      <c r="K43" s="938" t="s">
        <v>1023</v>
      </c>
      <c r="L43" s="941">
        <v>5</v>
      </c>
      <c r="M43" s="942">
        <v>46017</v>
      </c>
      <c r="N43" s="943" t="s">
        <v>16815</v>
      </c>
      <c r="O43" s="943" t="s">
        <v>853</v>
      </c>
      <c r="P43" s="943">
        <v>1.84</v>
      </c>
      <c r="Q43" s="943">
        <v>2.1</v>
      </c>
      <c r="R43" s="316">
        <v>0.8</v>
      </c>
    </row>
    <row r="44" spans="1:18" hidden="1">
      <c r="A44" s="1444" t="s">
        <v>16173</v>
      </c>
      <c r="B44" s="936">
        <v>0.40486111111111112</v>
      </c>
      <c r="C44" s="937">
        <f t="shared" si="0"/>
        <v>2.4699828473413379</v>
      </c>
      <c r="D44" s="1445">
        <f t="shared" si="1"/>
        <v>583</v>
      </c>
      <c r="E44" s="938" t="s">
        <v>8984</v>
      </c>
      <c r="F44" s="938" t="s">
        <v>16846</v>
      </c>
      <c r="G44" s="938">
        <v>500</v>
      </c>
      <c r="H44" s="939" t="s">
        <v>942</v>
      </c>
      <c r="I44" s="940">
        <v>0.6</v>
      </c>
      <c r="J44" s="939" t="s">
        <v>250</v>
      </c>
      <c r="K44" s="938" t="s">
        <v>776</v>
      </c>
      <c r="L44" s="941">
        <v>2</v>
      </c>
      <c r="M44" s="942">
        <v>46056</v>
      </c>
      <c r="N44" s="943" t="s">
        <v>16847</v>
      </c>
      <c r="O44" s="943" t="s">
        <v>16848</v>
      </c>
      <c r="P44" s="943">
        <v>1.66</v>
      </c>
      <c r="Q44" s="943">
        <v>1.64</v>
      </c>
      <c r="R44" s="316">
        <v>0.2</v>
      </c>
    </row>
    <row r="45" spans="1:18" hidden="1">
      <c r="A45" s="1444" t="s">
        <v>16232</v>
      </c>
      <c r="B45" s="936">
        <v>0.15208333333333329</v>
      </c>
      <c r="C45" s="937">
        <f t="shared" si="0"/>
        <v>6.5753424657534261</v>
      </c>
      <c r="D45" s="1445">
        <f t="shared" si="1"/>
        <v>218.99999999999994</v>
      </c>
      <c r="E45" s="938" t="s">
        <v>8958</v>
      </c>
      <c r="F45" s="938" t="s">
        <v>16849</v>
      </c>
      <c r="G45" s="938">
        <v>550</v>
      </c>
      <c r="H45" s="939" t="s">
        <v>643</v>
      </c>
      <c r="I45" s="939">
        <v>3.2</v>
      </c>
      <c r="J45" s="939" t="s">
        <v>251</v>
      </c>
      <c r="K45" s="938" t="s">
        <v>948</v>
      </c>
      <c r="L45" s="941">
        <v>5.5</v>
      </c>
      <c r="M45" s="942">
        <v>46059</v>
      </c>
      <c r="N45" s="943" t="s">
        <v>16815</v>
      </c>
      <c r="O45" s="943" t="s">
        <v>16850</v>
      </c>
      <c r="P45" s="943">
        <v>1.68</v>
      </c>
      <c r="Q45" s="943">
        <v>1.925</v>
      </c>
      <c r="R45" s="316">
        <v>1</v>
      </c>
    </row>
    <row r="46" spans="1:18" hidden="1">
      <c r="A46" s="1444" t="s">
        <v>16186</v>
      </c>
      <c r="B46" s="936">
        <v>0.15208333333333329</v>
      </c>
      <c r="C46" s="937">
        <f t="shared" si="0"/>
        <v>6.5753424657534261</v>
      </c>
      <c r="D46" s="1445">
        <f t="shared" si="1"/>
        <v>218.99999999999994</v>
      </c>
      <c r="E46" s="938" t="s">
        <v>8958</v>
      </c>
      <c r="F46" s="938" t="s">
        <v>16851</v>
      </c>
      <c r="G46" s="938">
        <v>550</v>
      </c>
      <c r="H46" s="939" t="s">
        <v>643</v>
      </c>
      <c r="I46" s="940">
        <v>3.2</v>
      </c>
      <c r="J46" s="939" t="s">
        <v>251</v>
      </c>
      <c r="K46" s="938" t="s">
        <v>1023</v>
      </c>
      <c r="L46" s="941">
        <v>5.5</v>
      </c>
      <c r="M46" s="942">
        <v>46076</v>
      </c>
      <c r="N46" s="943" t="s">
        <v>16815</v>
      </c>
      <c r="O46" s="943" t="s">
        <v>16852</v>
      </c>
      <c r="P46" s="943">
        <v>1.68</v>
      </c>
      <c r="Q46" s="943">
        <v>1.99</v>
      </c>
      <c r="R46" s="316">
        <v>1</v>
      </c>
    </row>
    <row r="47" spans="1:18" hidden="1">
      <c r="A47" s="1444" t="s">
        <v>16853</v>
      </c>
      <c r="B47" s="936">
        <v>0.16388888888888889</v>
      </c>
      <c r="C47" s="937">
        <f t="shared" si="0"/>
        <v>6.101694915254237</v>
      </c>
      <c r="D47" s="1445">
        <f t="shared" si="1"/>
        <v>236</v>
      </c>
      <c r="E47" s="938" t="s">
        <v>714</v>
      </c>
      <c r="F47" s="938" t="s">
        <v>16840</v>
      </c>
      <c r="G47" s="938">
        <v>650</v>
      </c>
      <c r="H47" s="939" t="s">
        <v>460</v>
      </c>
      <c r="I47" s="939">
        <v>1</v>
      </c>
      <c r="J47" s="939" t="s">
        <v>251</v>
      </c>
      <c r="K47" s="938" t="s">
        <v>948</v>
      </c>
      <c r="L47" s="941">
        <v>5</v>
      </c>
      <c r="M47" s="942">
        <v>46100</v>
      </c>
      <c r="N47" s="943" t="s">
        <v>16820</v>
      </c>
      <c r="O47" s="943" t="s">
        <v>16841</v>
      </c>
      <c r="P47" s="943">
        <v>1.76</v>
      </c>
      <c r="Q47" s="943">
        <v>1.88</v>
      </c>
      <c r="R47" s="316">
        <v>0.7</v>
      </c>
    </row>
    <row r="48" spans="1:18" hidden="1">
      <c r="A48" s="1444" t="s">
        <v>16854</v>
      </c>
      <c r="B48" s="936">
        <v>0.17222222222222219</v>
      </c>
      <c r="C48" s="937">
        <f t="shared" si="0"/>
        <v>5.8064516129032269</v>
      </c>
      <c r="D48" s="1445">
        <f t="shared" si="1"/>
        <v>247.99999999999997</v>
      </c>
      <c r="E48" s="938" t="s">
        <v>7214</v>
      </c>
      <c r="F48" s="938" t="s">
        <v>16821</v>
      </c>
      <c r="G48" s="938">
        <v>550</v>
      </c>
      <c r="H48" s="939" t="s">
        <v>460</v>
      </c>
      <c r="I48" s="939">
        <v>3.5</v>
      </c>
      <c r="J48" s="939" t="s">
        <v>251</v>
      </c>
      <c r="K48" s="938" t="s">
        <v>831</v>
      </c>
      <c r="L48" s="941">
        <v>4.5</v>
      </c>
      <c r="M48" s="942">
        <v>46101</v>
      </c>
      <c r="N48" s="943" t="s">
        <v>16815</v>
      </c>
      <c r="O48" s="943" t="s">
        <v>8404</v>
      </c>
      <c r="P48" s="943">
        <v>1.76</v>
      </c>
      <c r="Q48" s="943">
        <v>1.98</v>
      </c>
      <c r="R48" s="316">
        <v>0.75</v>
      </c>
    </row>
    <row r="49" spans="1:18" hidden="1">
      <c r="A49" s="1444" t="s">
        <v>16855</v>
      </c>
      <c r="B49" s="936">
        <v>0.1701388888888889</v>
      </c>
      <c r="C49" s="937">
        <f t="shared" si="0"/>
        <v>5.8775510204081636</v>
      </c>
      <c r="D49" s="1445">
        <f t="shared" si="1"/>
        <v>245</v>
      </c>
      <c r="E49" s="938" t="s">
        <v>714</v>
      </c>
      <c r="F49" s="938" t="s">
        <v>16840</v>
      </c>
      <c r="G49" s="938">
        <v>700</v>
      </c>
      <c r="H49" s="939" t="s">
        <v>460</v>
      </c>
      <c r="I49" s="940">
        <v>2.9</v>
      </c>
      <c r="J49" s="939" t="s">
        <v>250</v>
      </c>
      <c r="K49" s="938" t="s">
        <v>783</v>
      </c>
      <c r="L49" s="941">
        <v>5.5</v>
      </c>
      <c r="M49" s="942">
        <v>46105</v>
      </c>
      <c r="N49" s="943" t="s">
        <v>16820</v>
      </c>
      <c r="O49" s="943" t="s">
        <v>16841</v>
      </c>
      <c r="P49" s="943">
        <v>1.7849999999999999</v>
      </c>
      <c r="Q49" s="943">
        <v>1.88</v>
      </c>
      <c r="R49" s="316">
        <v>0.75</v>
      </c>
    </row>
    <row r="50" spans="1:18" hidden="1">
      <c r="A50" s="1444" t="s">
        <v>16856</v>
      </c>
      <c r="B50" s="936">
        <v>0.1680555555555556</v>
      </c>
      <c r="C50" s="937">
        <f t="shared" si="0"/>
        <v>5.9504132231404947</v>
      </c>
      <c r="D50" s="1445">
        <f t="shared" si="1"/>
        <v>242.00000000000006</v>
      </c>
      <c r="E50" s="938" t="s">
        <v>714</v>
      </c>
      <c r="F50" s="938" t="s">
        <v>16840</v>
      </c>
      <c r="G50" s="938">
        <v>700</v>
      </c>
      <c r="H50" s="939" t="s">
        <v>460</v>
      </c>
      <c r="I50" s="939">
        <v>1.9</v>
      </c>
      <c r="J50" s="939" t="s">
        <v>250</v>
      </c>
      <c r="K50" s="938" t="s">
        <v>614</v>
      </c>
      <c r="L50" s="941">
        <v>5.5</v>
      </c>
      <c r="M50" s="942">
        <v>46105</v>
      </c>
      <c r="N50" s="943" t="s">
        <v>16815</v>
      </c>
      <c r="O50" s="943" t="s">
        <v>16841</v>
      </c>
      <c r="P50" s="943">
        <v>1.77</v>
      </c>
      <c r="Q50" s="943">
        <v>1.9</v>
      </c>
      <c r="R50" s="316">
        <v>1</v>
      </c>
    </row>
    <row r="51" spans="1:18" hidden="1">
      <c r="A51" s="1444" t="s">
        <v>16857</v>
      </c>
      <c r="B51" s="936">
        <v>0.31527777777777782</v>
      </c>
      <c r="C51" s="937">
        <f t="shared" si="0"/>
        <v>3.1718061674008808</v>
      </c>
      <c r="D51" s="1445">
        <f t="shared" si="1"/>
        <v>454.00000000000006</v>
      </c>
      <c r="E51" s="938" t="s">
        <v>4767</v>
      </c>
      <c r="F51" s="938" t="s">
        <v>16858</v>
      </c>
      <c r="G51" s="938">
        <v>650</v>
      </c>
      <c r="H51" s="939" t="s">
        <v>126</v>
      </c>
      <c r="I51" s="939">
        <v>1.4</v>
      </c>
      <c r="J51" s="939" t="s">
        <v>250</v>
      </c>
      <c r="K51" s="938" t="s">
        <v>647</v>
      </c>
      <c r="L51" s="941">
        <v>5</v>
      </c>
      <c r="M51" s="942">
        <v>46111</v>
      </c>
      <c r="N51" s="943" t="s">
        <v>16847</v>
      </c>
      <c r="O51" s="943" t="s">
        <v>878</v>
      </c>
      <c r="P51" s="943">
        <v>1.74</v>
      </c>
      <c r="Q51" s="943">
        <v>1.72</v>
      </c>
      <c r="R51" s="316">
        <v>0.65</v>
      </c>
    </row>
    <row r="52" spans="1:18" hidden="1">
      <c r="A52" s="1444" t="s">
        <v>16859</v>
      </c>
      <c r="B52" s="936">
        <v>0.63263888888888886</v>
      </c>
      <c r="C52" s="937">
        <f t="shared" si="0"/>
        <v>1.5806805708013172</v>
      </c>
      <c r="D52" s="1445">
        <f t="shared" si="1"/>
        <v>911</v>
      </c>
      <c r="E52" s="938" t="s">
        <v>15035</v>
      </c>
      <c r="F52" s="938" t="s">
        <v>16860</v>
      </c>
      <c r="G52" s="938">
        <v>650</v>
      </c>
      <c r="H52" s="939" t="s">
        <v>126</v>
      </c>
      <c r="I52" s="939">
        <v>1.2</v>
      </c>
      <c r="J52" s="939" t="s">
        <v>250</v>
      </c>
      <c r="K52" s="938" t="s">
        <v>712</v>
      </c>
      <c r="L52" s="941">
        <v>5</v>
      </c>
      <c r="M52" s="942">
        <v>46111</v>
      </c>
      <c r="N52" s="943" t="s">
        <v>417</v>
      </c>
      <c r="O52" s="943" t="s">
        <v>16809</v>
      </c>
      <c r="P52" s="943">
        <v>1.66</v>
      </c>
      <c r="Q52" s="943">
        <v>1.88</v>
      </c>
      <c r="R52" s="316">
        <v>0.35</v>
      </c>
    </row>
    <row r="53" spans="1:18" hidden="1">
      <c r="A53" s="1444" t="s">
        <v>16861</v>
      </c>
      <c r="B53" s="936">
        <v>0.35555555555555562</v>
      </c>
      <c r="C53" s="937">
        <f t="shared" si="0"/>
        <v>2.8124999999999996</v>
      </c>
      <c r="D53" s="1445">
        <f t="shared" si="1"/>
        <v>512.00000000000011</v>
      </c>
      <c r="E53" s="938" t="s">
        <v>4767</v>
      </c>
      <c r="F53" s="938" t="s">
        <v>16862</v>
      </c>
      <c r="G53" s="938">
        <v>600</v>
      </c>
      <c r="H53" s="939" t="s">
        <v>126</v>
      </c>
      <c r="I53" s="939">
        <v>1.3</v>
      </c>
      <c r="J53" s="939" t="s">
        <v>250</v>
      </c>
      <c r="K53" s="938" t="s">
        <v>803</v>
      </c>
      <c r="L53" s="941">
        <v>5</v>
      </c>
      <c r="M53" s="942">
        <v>46119</v>
      </c>
      <c r="N53" s="943" t="s">
        <v>16808</v>
      </c>
      <c r="O53" s="943" t="s">
        <v>621</v>
      </c>
      <c r="P53" s="943">
        <v>1.6950000000000001</v>
      </c>
      <c r="Q53" s="943">
        <v>1.64</v>
      </c>
      <c r="R53" s="316">
        <v>0.45</v>
      </c>
    </row>
    <row r="54" spans="1:18" hidden="1">
      <c r="A54" s="1444" t="s">
        <v>16863</v>
      </c>
      <c r="B54" s="936">
        <v>0.17222222222222219</v>
      </c>
      <c r="C54" s="937">
        <f t="shared" si="0"/>
        <v>5.8064516129032269</v>
      </c>
      <c r="D54" s="1445">
        <f t="shared" si="1"/>
        <v>247.99999999999997</v>
      </c>
      <c r="E54" s="938" t="s">
        <v>714</v>
      </c>
      <c r="F54" s="938" t="s">
        <v>16864</v>
      </c>
      <c r="G54" s="938">
        <v>625</v>
      </c>
      <c r="H54" s="939" t="s">
        <v>460</v>
      </c>
      <c r="I54" s="940">
        <v>1.7</v>
      </c>
      <c r="J54" s="939" t="s">
        <v>250</v>
      </c>
      <c r="K54" s="938" t="s">
        <v>842</v>
      </c>
      <c r="L54" s="941">
        <v>5</v>
      </c>
      <c r="M54" s="942">
        <v>46119</v>
      </c>
      <c r="N54" s="943" t="s">
        <v>16805</v>
      </c>
      <c r="O54" s="943" t="s">
        <v>16865</v>
      </c>
      <c r="P54" s="943">
        <v>1.77</v>
      </c>
      <c r="Q54" s="943">
        <v>1.9</v>
      </c>
      <c r="R54" s="316">
        <v>1</v>
      </c>
    </row>
    <row r="55" spans="1:18" hidden="1">
      <c r="A55" s="1444" t="s">
        <v>16866</v>
      </c>
      <c r="B55" s="936">
        <v>0.16666666666666671</v>
      </c>
      <c r="C55" s="937">
        <f t="shared" si="0"/>
        <v>5.9999999999999982</v>
      </c>
      <c r="D55" s="1445">
        <f t="shared" si="1"/>
        <v>240.00000000000006</v>
      </c>
      <c r="E55" s="938" t="s">
        <v>714</v>
      </c>
      <c r="F55" s="938" t="s">
        <v>16864</v>
      </c>
      <c r="G55" s="938">
        <v>650</v>
      </c>
      <c r="H55" s="939" t="s">
        <v>460</v>
      </c>
      <c r="I55" s="940">
        <v>2.5</v>
      </c>
      <c r="J55" s="939" t="s">
        <v>250</v>
      </c>
      <c r="K55" s="938" t="s">
        <v>785</v>
      </c>
      <c r="L55" s="941">
        <v>5</v>
      </c>
      <c r="M55" s="942">
        <v>46119</v>
      </c>
      <c r="N55" s="943" t="s">
        <v>16803</v>
      </c>
      <c r="O55" s="943" t="s">
        <v>16865</v>
      </c>
      <c r="P55" s="943">
        <v>1.7849999999999999</v>
      </c>
      <c r="Q55" s="943">
        <v>1.88</v>
      </c>
      <c r="R55" s="316">
        <v>0.75</v>
      </c>
    </row>
    <row r="56" spans="1:18" hidden="1">
      <c r="A56" s="1444" t="s">
        <v>16716</v>
      </c>
      <c r="B56" s="936">
        <v>0.16944444444444451</v>
      </c>
      <c r="C56" s="937">
        <f t="shared" si="0"/>
        <v>5.9016393442622928</v>
      </c>
      <c r="D56" s="1445">
        <f t="shared" si="1"/>
        <v>244.00000000000009</v>
      </c>
      <c r="E56" s="938" t="s">
        <v>16719</v>
      </c>
      <c r="F56" s="938" t="s">
        <v>16717</v>
      </c>
      <c r="G56" s="945">
        <v>700</v>
      </c>
      <c r="H56" s="939" t="s">
        <v>460</v>
      </c>
      <c r="I56" s="316">
        <v>2.9</v>
      </c>
      <c r="J56" s="939" t="s">
        <v>251</v>
      </c>
      <c r="K56" s="938" t="s">
        <v>618</v>
      </c>
      <c r="L56" s="941">
        <v>5.5</v>
      </c>
      <c r="M56" s="942">
        <v>46121</v>
      </c>
      <c r="N56" s="943" t="s">
        <v>235</v>
      </c>
      <c r="O56" s="943" t="s">
        <v>684</v>
      </c>
      <c r="P56" s="943">
        <v>1.79</v>
      </c>
      <c r="Q56" s="943">
        <v>1.73</v>
      </c>
      <c r="R56" s="316">
        <v>0.7</v>
      </c>
    </row>
    <row r="57" spans="1:18" hidden="1">
      <c r="A57" s="1444" t="s">
        <v>16718</v>
      </c>
      <c r="B57" s="936">
        <v>0.17152777777777781</v>
      </c>
      <c r="C57" s="937">
        <f t="shared" si="0"/>
        <v>5.8299595141700395</v>
      </c>
      <c r="D57" s="1445">
        <f t="shared" si="1"/>
        <v>247.00000000000003</v>
      </c>
      <c r="E57" s="938" t="s">
        <v>16719</v>
      </c>
      <c r="F57" s="938" t="s">
        <v>16717</v>
      </c>
      <c r="G57" s="938">
        <v>700</v>
      </c>
      <c r="H57" s="939" t="s">
        <v>460</v>
      </c>
      <c r="I57" s="939">
        <v>2.8</v>
      </c>
      <c r="J57" s="939" t="s">
        <v>251</v>
      </c>
      <c r="K57" s="938" t="s">
        <v>813</v>
      </c>
      <c r="L57" s="941">
        <v>5.5</v>
      </c>
      <c r="M57" s="942">
        <v>46124</v>
      </c>
      <c r="N57" s="943" t="s">
        <v>417</v>
      </c>
      <c r="O57" s="943" t="s">
        <v>684</v>
      </c>
      <c r="P57" s="943">
        <v>1.7949999999999999</v>
      </c>
      <c r="Q57" s="943">
        <v>1.9159999999999999</v>
      </c>
      <c r="R57" s="316">
        <v>0.7</v>
      </c>
    </row>
    <row r="58" spans="1:18" hidden="1">
      <c r="A58" s="1444" t="s">
        <v>16720</v>
      </c>
      <c r="B58" s="936">
        <v>0.17152777777777781</v>
      </c>
      <c r="C58" s="937">
        <f t="shared" si="0"/>
        <v>5.8299595141700395</v>
      </c>
      <c r="D58" s="1445">
        <f t="shared" si="1"/>
        <v>247.00000000000003</v>
      </c>
      <c r="E58" s="938" t="s">
        <v>16719</v>
      </c>
      <c r="F58" s="938" t="s">
        <v>16722</v>
      </c>
      <c r="G58" s="938">
        <v>700</v>
      </c>
      <c r="H58" s="939" t="s">
        <v>460</v>
      </c>
      <c r="I58" s="939">
        <v>2.8</v>
      </c>
      <c r="J58" s="939" t="s">
        <v>250</v>
      </c>
      <c r="K58" s="938" t="s">
        <v>650</v>
      </c>
      <c r="L58" s="941">
        <v>5.5</v>
      </c>
      <c r="M58" s="942">
        <v>46126</v>
      </c>
      <c r="N58" s="943" t="s">
        <v>237</v>
      </c>
      <c r="O58" s="943" t="s">
        <v>16841</v>
      </c>
      <c r="P58" s="943">
        <v>1.7949999999999999</v>
      </c>
      <c r="Q58" s="943">
        <v>1.8</v>
      </c>
      <c r="R58" s="316">
        <v>0.78</v>
      </c>
    </row>
    <row r="59" spans="1:18" hidden="1">
      <c r="A59" s="1444" t="s">
        <v>16867</v>
      </c>
      <c r="B59" s="936">
        <v>0.15138888888888891</v>
      </c>
      <c r="C59" s="937">
        <f t="shared" si="0"/>
        <v>6.6055045871559628</v>
      </c>
      <c r="D59" s="1445">
        <f t="shared" si="1"/>
        <v>218.00000000000003</v>
      </c>
      <c r="E59" s="938" t="s">
        <v>16723</v>
      </c>
      <c r="F59" s="938" t="s">
        <v>16851</v>
      </c>
      <c r="G59" s="938">
        <v>550</v>
      </c>
      <c r="H59" s="939" t="s">
        <v>643</v>
      </c>
      <c r="I59" s="939">
        <v>3.2</v>
      </c>
      <c r="J59" s="939" t="s">
        <v>251</v>
      </c>
      <c r="K59" s="938" t="s">
        <v>456</v>
      </c>
      <c r="L59" s="941">
        <v>5.5</v>
      </c>
      <c r="M59" s="942">
        <v>46127</v>
      </c>
      <c r="N59" s="943" t="s">
        <v>16815</v>
      </c>
      <c r="O59" s="943" t="s">
        <v>16868</v>
      </c>
      <c r="P59" s="943">
        <v>1.68</v>
      </c>
      <c r="Q59" s="943">
        <v>1.87</v>
      </c>
      <c r="R59" s="316">
        <v>1</v>
      </c>
    </row>
    <row r="60" spans="1:18" hidden="1">
      <c r="A60" s="1444" t="s">
        <v>16869</v>
      </c>
      <c r="B60" s="936">
        <v>0.16666666666666671</v>
      </c>
      <c r="C60" s="937">
        <f t="shared" si="0"/>
        <v>5.9999999999999982</v>
      </c>
      <c r="D60" s="1445">
        <f t="shared" si="1"/>
        <v>240.00000000000006</v>
      </c>
      <c r="E60" s="938" t="s">
        <v>714</v>
      </c>
      <c r="F60" s="938" t="s">
        <v>16870</v>
      </c>
      <c r="G60" s="938">
        <v>650</v>
      </c>
      <c r="H60" s="939" t="s">
        <v>460</v>
      </c>
      <c r="I60" s="940">
        <v>2.4</v>
      </c>
      <c r="J60" s="939" t="s">
        <v>250</v>
      </c>
      <c r="K60" s="938" t="s">
        <v>726</v>
      </c>
      <c r="L60" s="941">
        <v>5</v>
      </c>
      <c r="M60" s="942">
        <v>46132</v>
      </c>
      <c r="N60" s="943" t="s">
        <v>16803</v>
      </c>
      <c r="O60" s="943" t="s">
        <v>1376</v>
      </c>
      <c r="P60" s="943">
        <v>1.7849999999999999</v>
      </c>
      <c r="Q60" s="943">
        <v>1.84</v>
      </c>
      <c r="R60" s="316">
        <v>0.75</v>
      </c>
    </row>
    <row r="61" spans="1:18" hidden="1">
      <c r="A61" s="1444" t="s">
        <v>16871</v>
      </c>
      <c r="B61" s="936">
        <v>0.16666666666666671</v>
      </c>
      <c r="C61" s="937">
        <f t="shared" si="0"/>
        <v>5.9999999999999982</v>
      </c>
      <c r="D61" s="1445">
        <f t="shared" si="1"/>
        <v>240.00000000000006</v>
      </c>
      <c r="E61" s="938" t="s">
        <v>714</v>
      </c>
      <c r="F61" s="938" t="s">
        <v>16870</v>
      </c>
      <c r="G61" s="938">
        <v>650</v>
      </c>
      <c r="H61" s="939" t="s">
        <v>460</v>
      </c>
      <c r="I61" s="940">
        <v>1.7</v>
      </c>
      <c r="J61" s="939" t="s">
        <v>250</v>
      </c>
      <c r="K61" s="938" t="s">
        <v>16112</v>
      </c>
      <c r="L61" s="941">
        <v>5</v>
      </c>
      <c r="M61" s="942">
        <v>46132</v>
      </c>
      <c r="N61" s="943" t="s">
        <v>16805</v>
      </c>
      <c r="O61" s="943" t="s">
        <v>1376</v>
      </c>
      <c r="P61" s="943">
        <v>1.7649999999999999</v>
      </c>
      <c r="Q61" s="943">
        <v>1.83</v>
      </c>
      <c r="R61" s="316">
        <v>1</v>
      </c>
    </row>
    <row r="62" spans="1:18" hidden="1">
      <c r="A62" s="1444" t="s">
        <v>16721</v>
      </c>
      <c r="B62" s="936">
        <v>0.1965277777777778</v>
      </c>
      <c r="C62" s="937">
        <f t="shared" si="0"/>
        <v>5.0883392226148398</v>
      </c>
      <c r="D62" s="1445">
        <f t="shared" si="1"/>
        <v>283.00000000000006</v>
      </c>
      <c r="E62" s="938" t="s">
        <v>16719</v>
      </c>
      <c r="F62" s="938" t="s">
        <v>16722</v>
      </c>
      <c r="G62" s="938">
        <v>600</v>
      </c>
      <c r="H62" s="316" t="s">
        <v>643</v>
      </c>
      <c r="I62" s="939">
        <v>2.1</v>
      </c>
      <c r="J62" s="939" t="s">
        <v>250</v>
      </c>
      <c r="K62" s="938" t="s">
        <v>16729</v>
      </c>
      <c r="L62" s="941">
        <v>5.5</v>
      </c>
      <c r="M62" s="942">
        <v>46132</v>
      </c>
      <c r="N62" s="943" t="s">
        <v>16872</v>
      </c>
      <c r="O62" s="943" t="s">
        <v>16841</v>
      </c>
      <c r="P62" s="943">
        <v>1.7749999999999999</v>
      </c>
      <c r="Q62" s="943">
        <v>1.72</v>
      </c>
      <c r="R62" s="316">
        <v>0.6</v>
      </c>
    </row>
    <row r="63" spans="1:18" hidden="1">
      <c r="A63" s="1444" t="s">
        <v>16730</v>
      </c>
      <c r="B63" s="936">
        <v>0.15138888888888891</v>
      </c>
      <c r="C63" s="937">
        <f t="shared" si="0"/>
        <v>6.6055045871559628</v>
      </c>
      <c r="D63" s="1445">
        <f t="shared" si="1"/>
        <v>218.00000000000003</v>
      </c>
      <c r="E63" s="938" t="s">
        <v>16723</v>
      </c>
      <c r="F63" s="938" t="s">
        <v>16733</v>
      </c>
      <c r="G63" s="938">
        <v>550</v>
      </c>
      <c r="H63" s="316" t="s">
        <v>643</v>
      </c>
      <c r="I63" s="939">
        <v>3.2</v>
      </c>
      <c r="J63" s="939" t="s">
        <v>251</v>
      </c>
      <c r="K63" s="938" t="s">
        <v>783</v>
      </c>
      <c r="L63" s="941">
        <v>5.5</v>
      </c>
      <c r="M63" s="942">
        <v>46133</v>
      </c>
      <c r="N63" s="943" t="s">
        <v>16815</v>
      </c>
      <c r="O63" s="943" t="s">
        <v>758</v>
      </c>
      <c r="P63" s="943">
        <v>1.68</v>
      </c>
      <c r="Q63" s="943">
        <v>1.94</v>
      </c>
      <c r="R63" s="316">
        <v>1</v>
      </c>
    </row>
    <row r="64" spans="1:18" hidden="1">
      <c r="A64" s="1444" t="s">
        <v>16736</v>
      </c>
      <c r="B64" s="936">
        <v>0.1701388888888889</v>
      </c>
      <c r="C64" s="937">
        <f t="shared" si="0"/>
        <v>5.8775510204081636</v>
      </c>
      <c r="D64" s="1445">
        <f t="shared" si="1"/>
        <v>245</v>
      </c>
      <c r="E64" s="938" t="s">
        <v>16719</v>
      </c>
      <c r="F64" s="938" t="s">
        <v>16717</v>
      </c>
      <c r="G64" s="938">
        <v>700</v>
      </c>
      <c r="H64" s="939" t="s">
        <v>460</v>
      </c>
      <c r="I64" s="939">
        <v>2.8</v>
      </c>
      <c r="J64" s="939" t="s">
        <v>251</v>
      </c>
      <c r="K64" s="938" t="s">
        <v>863</v>
      </c>
      <c r="L64" s="941">
        <v>5.5</v>
      </c>
      <c r="M64" s="942">
        <v>46135</v>
      </c>
      <c r="N64" s="943" t="s">
        <v>16820</v>
      </c>
      <c r="O64" s="943" t="s">
        <v>684</v>
      </c>
      <c r="P64" s="943">
        <v>1.7949999999999999</v>
      </c>
      <c r="Q64" s="943">
        <v>1.85</v>
      </c>
      <c r="R64" s="316">
        <v>0.7</v>
      </c>
    </row>
    <row r="65" spans="1:22" hidden="1">
      <c r="A65" s="1444" t="s">
        <v>16735</v>
      </c>
      <c r="B65" s="936">
        <v>0.2013888888888889</v>
      </c>
      <c r="C65" s="937">
        <f t="shared" si="0"/>
        <v>4.9655172413793105</v>
      </c>
      <c r="D65" s="1445">
        <f t="shared" si="1"/>
        <v>290</v>
      </c>
      <c r="E65" s="938" t="s">
        <v>663</v>
      </c>
      <c r="F65" s="938" t="s">
        <v>16740</v>
      </c>
      <c r="G65" s="938">
        <v>600</v>
      </c>
      <c r="H65" s="939" t="s">
        <v>460</v>
      </c>
      <c r="I65" s="939">
        <v>3.8</v>
      </c>
      <c r="J65" s="939" t="s">
        <v>250</v>
      </c>
      <c r="K65" s="938" t="s">
        <v>614</v>
      </c>
      <c r="L65" s="941">
        <v>5.5</v>
      </c>
      <c r="M65" s="942">
        <v>46140</v>
      </c>
      <c r="N65" s="943" t="s">
        <v>16847</v>
      </c>
      <c r="O65" s="943" t="s">
        <v>16816</v>
      </c>
      <c r="P65" s="943">
        <v>1.84</v>
      </c>
      <c r="Q65" s="943">
        <v>1.89</v>
      </c>
      <c r="R65" s="316">
        <v>0.85</v>
      </c>
    </row>
    <row r="66" spans="1:22" hidden="1">
      <c r="A66" s="1444" t="s">
        <v>16743</v>
      </c>
      <c r="B66" s="936">
        <v>0.1590277777777778</v>
      </c>
      <c r="C66" s="937">
        <f t="shared" ref="C66:C129" si="2">IFERROR(1440/D66, "")</f>
        <v>6.2882096069868991</v>
      </c>
      <c r="D66" s="1445">
        <f t="shared" ref="D66:D129" si="3">IF(B66="", "", IF(B66&lt;1, B66*1440, B66))</f>
        <v>229.00000000000003</v>
      </c>
      <c r="E66" s="938" t="s">
        <v>16719</v>
      </c>
      <c r="F66" s="938" t="s">
        <v>16750</v>
      </c>
      <c r="G66" s="938">
        <v>670</v>
      </c>
      <c r="H66" s="939" t="s">
        <v>460</v>
      </c>
      <c r="I66" s="939">
        <v>1.7</v>
      </c>
      <c r="J66" s="939" t="s">
        <v>250</v>
      </c>
      <c r="K66" s="938" t="s">
        <v>712</v>
      </c>
      <c r="L66" s="941">
        <v>5</v>
      </c>
      <c r="M66" s="942">
        <v>46142</v>
      </c>
      <c r="N66" s="943" t="s">
        <v>16805</v>
      </c>
      <c r="O66" s="943" t="s">
        <v>619</v>
      </c>
      <c r="P66" s="943">
        <v>1.7649999999999999</v>
      </c>
      <c r="Q66" s="943">
        <v>1.84</v>
      </c>
      <c r="R66" s="316">
        <v>1</v>
      </c>
    </row>
    <row r="67" spans="1:22" hidden="1">
      <c r="A67" s="1444" t="s">
        <v>16742</v>
      </c>
      <c r="B67" s="936">
        <v>0.16180555555555559</v>
      </c>
      <c r="C67" s="937">
        <f t="shared" si="2"/>
        <v>6.1802575107296125</v>
      </c>
      <c r="D67" s="1445">
        <f t="shared" si="3"/>
        <v>233.00000000000006</v>
      </c>
      <c r="E67" s="938" t="s">
        <v>16719</v>
      </c>
      <c r="F67" s="938" t="s">
        <v>16750</v>
      </c>
      <c r="G67" s="938">
        <v>670</v>
      </c>
      <c r="H67" s="939" t="s">
        <v>460</v>
      </c>
      <c r="I67" s="940">
        <v>2.4</v>
      </c>
      <c r="J67" s="939" t="s">
        <v>250</v>
      </c>
      <c r="K67" s="938" t="s">
        <v>647</v>
      </c>
      <c r="L67" s="941">
        <v>5</v>
      </c>
      <c r="M67" s="942">
        <v>46141</v>
      </c>
      <c r="N67" s="943" t="s">
        <v>16803</v>
      </c>
      <c r="O67" s="943" t="s">
        <v>619</v>
      </c>
      <c r="P67" s="943">
        <v>1.7849999999999999</v>
      </c>
      <c r="Q67" s="943">
        <v>1.85</v>
      </c>
      <c r="R67" s="316">
        <v>0.75</v>
      </c>
    </row>
    <row r="68" spans="1:22" hidden="1">
      <c r="A68" s="1444" t="s">
        <v>16759</v>
      </c>
      <c r="B68" s="936">
        <v>0.17152777777777775</v>
      </c>
      <c r="C68" s="937">
        <f t="shared" si="2"/>
        <v>5.8299595141700413</v>
      </c>
      <c r="D68" s="1445">
        <f t="shared" si="3"/>
        <v>246.99999999999997</v>
      </c>
      <c r="E68" s="938" t="s">
        <v>16719</v>
      </c>
      <c r="F68" s="938" t="s">
        <v>16760</v>
      </c>
      <c r="G68" s="938">
        <v>700</v>
      </c>
      <c r="H68" s="939" t="s">
        <v>460</v>
      </c>
      <c r="I68" s="944">
        <v>2.9</v>
      </c>
      <c r="J68" s="939" t="s">
        <v>250</v>
      </c>
      <c r="K68" s="938" t="s">
        <v>842</v>
      </c>
      <c r="L68" s="941">
        <v>5.5</v>
      </c>
      <c r="M68" s="942">
        <v>46147</v>
      </c>
      <c r="N68" s="943" t="s">
        <v>237</v>
      </c>
      <c r="O68" s="943" t="s">
        <v>16873</v>
      </c>
      <c r="P68" s="943">
        <v>1.7949999999999999</v>
      </c>
      <c r="Q68" s="943">
        <v>1.8</v>
      </c>
      <c r="R68" s="316">
        <v>0.75</v>
      </c>
    </row>
    <row r="69" spans="1:22" hidden="1">
      <c r="A69" s="1444" t="s">
        <v>16767</v>
      </c>
      <c r="B69" s="936">
        <v>0.17083333333333331</v>
      </c>
      <c r="C69" s="937">
        <f t="shared" si="2"/>
        <v>5.8536585365853666</v>
      </c>
      <c r="D69" s="1445">
        <f t="shared" si="3"/>
        <v>245.99999999999997</v>
      </c>
      <c r="E69" s="938" t="s">
        <v>16719</v>
      </c>
      <c r="F69" s="938" t="s">
        <v>16766</v>
      </c>
      <c r="G69" s="938">
        <v>700</v>
      </c>
      <c r="H69" s="939" t="s">
        <v>460</v>
      </c>
      <c r="I69" s="939">
        <v>2.8</v>
      </c>
      <c r="J69" s="939" t="s">
        <v>251</v>
      </c>
      <c r="K69" s="938" t="s">
        <v>877</v>
      </c>
      <c r="L69" s="941">
        <v>5.5</v>
      </c>
      <c r="M69" s="942">
        <v>46149</v>
      </c>
      <c r="N69" s="943" t="s">
        <v>417</v>
      </c>
      <c r="O69" s="943" t="s">
        <v>16832</v>
      </c>
      <c r="P69" s="943">
        <v>1.7949999999999999</v>
      </c>
      <c r="Q69" s="943" t="s">
        <v>16874</v>
      </c>
      <c r="R69" s="316">
        <v>0.7</v>
      </c>
    </row>
    <row r="70" spans="1:22" hidden="1">
      <c r="A70" s="1444" t="s">
        <v>16765</v>
      </c>
      <c r="B70" s="936">
        <v>0.1701388888888889</v>
      </c>
      <c r="C70" s="937">
        <f t="shared" si="2"/>
        <v>5.8775510204081636</v>
      </c>
      <c r="D70" s="1445">
        <f t="shared" si="3"/>
        <v>245</v>
      </c>
      <c r="E70" s="938" t="s">
        <v>16719</v>
      </c>
      <c r="F70" s="938" t="s">
        <v>16766</v>
      </c>
      <c r="G70" s="938">
        <v>700</v>
      </c>
      <c r="H70" s="939" t="s">
        <v>460</v>
      </c>
      <c r="I70" s="940">
        <v>2.9</v>
      </c>
      <c r="J70" s="939" t="s">
        <v>251</v>
      </c>
      <c r="K70" s="938" t="s">
        <v>785</v>
      </c>
      <c r="L70" s="941">
        <v>5.5</v>
      </c>
      <c r="M70" s="942">
        <v>46149</v>
      </c>
      <c r="N70" s="943" t="s">
        <v>235</v>
      </c>
      <c r="O70" s="943" t="s">
        <v>16832</v>
      </c>
      <c r="P70" s="943">
        <v>1.79</v>
      </c>
      <c r="Q70" s="943">
        <v>1.76</v>
      </c>
      <c r="R70" s="316">
        <v>0.7</v>
      </c>
    </row>
    <row r="71" spans="1:22" hidden="1">
      <c r="A71" s="1444" t="s">
        <v>16772</v>
      </c>
      <c r="B71" s="936">
        <v>0.19791666666666671</v>
      </c>
      <c r="C71" s="937">
        <f t="shared" si="2"/>
        <v>5.0526315789473673</v>
      </c>
      <c r="D71" s="1445">
        <f t="shared" si="3"/>
        <v>285.00000000000006</v>
      </c>
      <c r="E71" s="938" t="s">
        <v>16719</v>
      </c>
      <c r="F71" s="938" t="s">
        <v>16760</v>
      </c>
      <c r="G71" s="938">
        <v>600</v>
      </c>
      <c r="H71" s="939" t="s">
        <v>643</v>
      </c>
      <c r="I71" s="939">
        <v>2</v>
      </c>
      <c r="J71" s="939" t="s">
        <v>250</v>
      </c>
      <c r="K71" s="938" t="s">
        <v>1376</v>
      </c>
      <c r="L71" s="941">
        <v>5.5</v>
      </c>
      <c r="M71" s="942">
        <v>46150</v>
      </c>
      <c r="N71" s="943" t="s">
        <v>233</v>
      </c>
      <c r="O71" s="943" t="s">
        <v>16873</v>
      </c>
      <c r="P71" s="943">
        <v>1.7749999999999999</v>
      </c>
      <c r="Q71" s="943">
        <v>1.7350000000000001</v>
      </c>
      <c r="R71" s="316">
        <v>0.6</v>
      </c>
    </row>
    <row r="72" spans="1:22" hidden="1">
      <c r="A72" s="1444" t="s">
        <v>16775</v>
      </c>
      <c r="B72" s="936">
        <v>0.17083333333333331</v>
      </c>
      <c r="C72" s="937">
        <f t="shared" si="2"/>
        <v>5.8536585365853666</v>
      </c>
      <c r="D72" s="1445">
        <f t="shared" si="3"/>
        <v>245.99999999999997</v>
      </c>
      <c r="E72" s="938" t="s">
        <v>16719</v>
      </c>
      <c r="F72" s="938" t="s">
        <v>16766</v>
      </c>
      <c r="G72" s="938">
        <v>700</v>
      </c>
      <c r="H72" s="939" t="s">
        <v>460</v>
      </c>
      <c r="I72" s="940">
        <v>2.8</v>
      </c>
      <c r="J72" s="939" t="s">
        <v>251</v>
      </c>
      <c r="K72" s="938" t="s">
        <v>776</v>
      </c>
      <c r="L72" s="941">
        <v>5.5</v>
      </c>
      <c r="M72" s="942">
        <v>46153</v>
      </c>
      <c r="N72" s="943" t="s">
        <v>16820</v>
      </c>
      <c r="O72" s="943" t="s">
        <v>16832</v>
      </c>
      <c r="P72" s="943">
        <v>1.7949999999999999</v>
      </c>
      <c r="Q72" s="943">
        <v>1.88</v>
      </c>
      <c r="R72" s="316">
        <v>0.7</v>
      </c>
    </row>
    <row r="73" spans="1:22" hidden="1">
      <c r="A73" s="1446" t="s">
        <v>15877</v>
      </c>
      <c r="B73" s="316">
        <v>754</v>
      </c>
      <c r="C73" s="937">
        <f t="shared" si="2"/>
        <v>1.909814323607427</v>
      </c>
      <c r="D73" s="1447">
        <f t="shared" si="3"/>
        <v>754</v>
      </c>
      <c r="E73" s="945" t="s">
        <v>1659</v>
      </c>
      <c r="F73" s="938" t="s">
        <v>16875</v>
      </c>
      <c r="G73" s="945">
        <v>500</v>
      </c>
      <c r="H73" s="316" t="s">
        <v>626</v>
      </c>
      <c r="I73" s="316">
        <v>1.2</v>
      </c>
      <c r="J73" s="939" t="s">
        <v>250</v>
      </c>
      <c r="K73" s="938" t="s">
        <v>621</v>
      </c>
      <c r="L73" s="941">
        <v>2</v>
      </c>
      <c r="M73" s="942">
        <v>45915</v>
      </c>
      <c r="N73" s="943" t="s">
        <v>220</v>
      </c>
      <c r="O73" s="943" t="s">
        <v>618</v>
      </c>
      <c r="P73" s="943">
        <v>1.7</v>
      </c>
      <c r="Q73" s="943">
        <v>1.66</v>
      </c>
      <c r="R73" s="316">
        <v>6.5</v>
      </c>
      <c r="S73" s="1226" t="s">
        <v>16876</v>
      </c>
      <c r="T73" s="1156" t="s">
        <v>16877</v>
      </c>
      <c r="U73" s="1156" t="s">
        <v>16878</v>
      </c>
      <c r="V73" s="1156" t="s">
        <v>16879</v>
      </c>
    </row>
    <row r="74" spans="1:22" hidden="1">
      <c r="A74" s="1446" t="s">
        <v>16508</v>
      </c>
      <c r="B74" s="316">
        <v>710</v>
      </c>
      <c r="C74" s="937">
        <f t="shared" si="2"/>
        <v>2.028169014084507</v>
      </c>
      <c r="D74" s="1447">
        <f t="shared" si="3"/>
        <v>710</v>
      </c>
      <c r="E74" s="945" t="s">
        <v>1423</v>
      </c>
      <c r="F74" s="945" t="s">
        <v>16880</v>
      </c>
      <c r="G74" s="945">
        <v>500</v>
      </c>
      <c r="H74" s="316" t="s">
        <v>126</v>
      </c>
      <c r="I74" s="316">
        <v>1.4</v>
      </c>
      <c r="J74" s="939" t="s">
        <v>250</v>
      </c>
      <c r="K74" s="938" t="s">
        <v>830</v>
      </c>
      <c r="L74" s="941">
        <v>2</v>
      </c>
      <c r="M74" s="942">
        <v>45947</v>
      </c>
      <c r="N74" s="943" t="s">
        <v>16881</v>
      </c>
      <c r="O74" s="943" t="s">
        <v>1643</v>
      </c>
      <c r="P74" s="943">
        <v>1.71</v>
      </c>
      <c r="Q74" s="943">
        <v>1.87</v>
      </c>
      <c r="R74" s="316">
        <v>5.5</v>
      </c>
      <c r="S74" s="1226" t="s">
        <v>16882</v>
      </c>
      <c r="T74" s="1156" t="s">
        <v>16877</v>
      </c>
      <c r="U74" s="1156" t="s">
        <v>16878</v>
      </c>
      <c r="V74" s="1156" t="s">
        <v>16879</v>
      </c>
    </row>
    <row r="75" spans="1:22" hidden="1">
      <c r="A75" s="1444" t="s">
        <v>15371</v>
      </c>
      <c r="B75" s="939">
        <v>891</v>
      </c>
      <c r="C75" s="937">
        <f t="shared" si="2"/>
        <v>1.6161616161616161</v>
      </c>
      <c r="D75" s="1448">
        <f t="shared" si="3"/>
        <v>891</v>
      </c>
      <c r="E75" s="938" t="s">
        <v>1783</v>
      </c>
      <c r="F75" s="938" t="s">
        <v>16883</v>
      </c>
      <c r="G75" s="938">
        <v>500</v>
      </c>
      <c r="H75" s="316" t="s">
        <v>126</v>
      </c>
      <c r="I75" s="939">
        <v>0.25</v>
      </c>
      <c r="J75" s="939" t="s">
        <v>250</v>
      </c>
      <c r="K75" s="938" t="s">
        <v>889</v>
      </c>
      <c r="L75" s="941">
        <v>3.7</v>
      </c>
      <c r="M75" s="942">
        <v>45817</v>
      </c>
      <c r="N75" s="943" t="s">
        <v>219</v>
      </c>
      <c r="O75" s="943" t="s">
        <v>16884</v>
      </c>
      <c r="P75" s="943">
        <v>1.67</v>
      </c>
      <c r="Q75" s="943">
        <v>1.85</v>
      </c>
      <c r="R75" s="316">
        <v>7.5</v>
      </c>
    </row>
    <row r="76" spans="1:22" hidden="1">
      <c r="A76" s="1444" t="s">
        <v>16885</v>
      </c>
      <c r="B76" s="939">
        <v>825</v>
      </c>
      <c r="C76" s="937">
        <f t="shared" si="2"/>
        <v>1.7454545454545454</v>
      </c>
      <c r="D76" s="1448">
        <f t="shared" si="3"/>
        <v>825</v>
      </c>
      <c r="E76" s="938" t="s">
        <v>840</v>
      </c>
      <c r="F76" s="938" t="s">
        <v>16886</v>
      </c>
      <c r="G76" s="938">
        <v>600</v>
      </c>
      <c r="H76" s="316" t="s">
        <v>126</v>
      </c>
      <c r="I76" s="316">
        <v>1.6</v>
      </c>
      <c r="J76" s="939" t="s">
        <v>250</v>
      </c>
      <c r="K76" s="938" t="s">
        <v>804</v>
      </c>
      <c r="L76" s="941">
        <v>4</v>
      </c>
      <c r="M76" s="942">
        <v>45827</v>
      </c>
      <c r="N76" s="943" t="s">
        <v>16887</v>
      </c>
      <c r="O76" s="943"/>
      <c r="P76" s="943">
        <v>1.76</v>
      </c>
      <c r="Q76" s="943">
        <v>1.73</v>
      </c>
      <c r="R76" s="316">
        <v>12</v>
      </c>
    </row>
    <row r="77" spans="1:22" hidden="1">
      <c r="A77" s="1446" t="s">
        <v>15377</v>
      </c>
      <c r="B77" s="316">
        <v>953</v>
      </c>
      <c r="C77" s="937">
        <f t="shared" si="2"/>
        <v>1.5110178384050368</v>
      </c>
      <c r="D77" s="1447">
        <f t="shared" si="3"/>
        <v>953</v>
      </c>
      <c r="E77" s="945" t="s">
        <v>15029</v>
      </c>
      <c r="F77" s="945" t="s">
        <v>16888</v>
      </c>
      <c r="G77" s="945">
        <v>650</v>
      </c>
      <c r="H77" s="316" t="s">
        <v>126</v>
      </c>
      <c r="I77" s="316">
        <v>1.2</v>
      </c>
      <c r="J77" s="939" t="s">
        <v>250</v>
      </c>
      <c r="K77" s="938" t="s">
        <v>15378</v>
      </c>
      <c r="L77" s="941">
        <v>5</v>
      </c>
      <c r="M77" s="942">
        <v>45824</v>
      </c>
      <c r="N77" s="943" t="s">
        <v>230</v>
      </c>
      <c r="O77" s="943" t="s">
        <v>1238</v>
      </c>
      <c r="P77" s="943">
        <v>1.71</v>
      </c>
      <c r="Q77" s="943">
        <v>1.71</v>
      </c>
      <c r="R77" s="316">
        <v>14</v>
      </c>
    </row>
    <row r="78" spans="1:22" hidden="1">
      <c r="A78" s="1446" t="s">
        <v>15449</v>
      </c>
      <c r="B78" s="316">
        <v>950</v>
      </c>
      <c r="C78" s="937">
        <f t="shared" si="2"/>
        <v>1.5157894736842106</v>
      </c>
      <c r="D78" s="1447">
        <f t="shared" si="3"/>
        <v>950</v>
      </c>
      <c r="E78" s="945" t="s">
        <v>1815</v>
      </c>
      <c r="F78" s="945" t="s">
        <v>16889</v>
      </c>
      <c r="G78" s="945">
        <v>650</v>
      </c>
      <c r="H78" s="316" t="s">
        <v>126</v>
      </c>
      <c r="I78" s="316">
        <v>0.9</v>
      </c>
      <c r="J78" s="939" t="s">
        <v>250</v>
      </c>
      <c r="K78" s="938" t="s">
        <v>878</v>
      </c>
      <c r="L78" s="941">
        <v>5</v>
      </c>
      <c r="M78" s="942">
        <v>45827</v>
      </c>
      <c r="N78" s="943" t="s">
        <v>222</v>
      </c>
      <c r="O78" s="943" t="s">
        <v>16890</v>
      </c>
      <c r="P78" s="943">
        <v>1.73</v>
      </c>
      <c r="Q78" s="943" t="s">
        <v>16891</v>
      </c>
      <c r="R78" s="316">
        <v>8</v>
      </c>
    </row>
    <row r="79" spans="1:22" hidden="1">
      <c r="A79" s="1444" t="s">
        <v>15450</v>
      </c>
      <c r="B79" s="939">
        <v>508</v>
      </c>
      <c r="C79" s="937">
        <f t="shared" si="2"/>
        <v>2.8346456692913384</v>
      </c>
      <c r="D79" s="1448">
        <f t="shared" si="3"/>
        <v>508</v>
      </c>
      <c r="E79" s="938" t="s">
        <v>625</v>
      </c>
      <c r="F79" s="938" t="s">
        <v>16892</v>
      </c>
      <c r="G79" s="938">
        <v>500</v>
      </c>
      <c r="H79" s="316" t="s">
        <v>126</v>
      </c>
      <c r="I79" s="939">
        <v>1.6</v>
      </c>
      <c r="J79" s="939" t="s">
        <v>251</v>
      </c>
      <c r="K79" s="938" t="s">
        <v>619</v>
      </c>
      <c r="L79" s="941">
        <v>2</v>
      </c>
      <c r="M79" s="942">
        <v>45827</v>
      </c>
      <c r="N79" s="943" t="s">
        <v>16893</v>
      </c>
      <c r="O79" s="943" t="s">
        <v>2384</v>
      </c>
      <c r="P79" s="943">
        <v>1.84</v>
      </c>
      <c r="Q79" s="943">
        <v>1.9</v>
      </c>
      <c r="R79" s="316">
        <v>6</v>
      </c>
    </row>
    <row r="80" spans="1:22" hidden="1">
      <c r="A80" s="1444" t="s">
        <v>15451</v>
      </c>
      <c r="B80" s="939">
        <v>503</v>
      </c>
      <c r="C80" s="937">
        <f t="shared" si="2"/>
        <v>2.8628230616302188</v>
      </c>
      <c r="D80" s="1448">
        <f t="shared" si="3"/>
        <v>503</v>
      </c>
      <c r="E80" s="945" t="s">
        <v>625</v>
      </c>
      <c r="F80" s="945" t="s">
        <v>16894</v>
      </c>
      <c r="G80" s="945">
        <v>500</v>
      </c>
      <c r="H80" s="316" t="s">
        <v>126</v>
      </c>
      <c r="I80" s="316">
        <v>1.5</v>
      </c>
      <c r="J80" s="939" t="s">
        <v>251</v>
      </c>
      <c r="K80" s="938" t="s">
        <v>813</v>
      </c>
      <c r="L80" s="941">
        <v>2</v>
      </c>
      <c r="M80" s="942">
        <v>45827</v>
      </c>
      <c r="N80" s="943" t="s">
        <v>16895</v>
      </c>
      <c r="O80" s="943" t="s">
        <v>16827</v>
      </c>
      <c r="P80" s="943">
        <v>1.82</v>
      </c>
      <c r="Q80" s="943">
        <v>1.77</v>
      </c>
      <c r="R80" s="316">
        <v>7</v>
      </c>
    </row>
    <row r="81" spans="1:22" hidden="1">
      <c r="A81" s="1444" t="s">
        <v>15457</v>
      </c>
      <c r="B81" s="939">
        <v>840</v>
      </c>
      <c r="C81" s="937">
        <f t="shared" si="2"/>
        <v>1.7142857142857142</v>
      </c>
      <c r="D81" s="1448">
        <f t="shared" si="3"/>
        <v>840</v>
      </c>
      <c r="E81" s="938" t="s">
        <v>424</v>
      </c>
      <c r="F81" s="938" t="s">
        <v>16896</v>
      </c>
      <c r="G81" s="938">
        <v>750</v>
      </c>
      <c r="H81" s="316" t="s">
        <v>126</v>
      </c>
      <c r="I81" s="316">
        <v>1.8</v>
      </c>
      <c r="J81" s="939" t="s">
        <v>250</v>
      </c>
      <c r="K81" s="938" t="s">
        <v>876</v>
      </c>
      <c r="L81" s="941">
        <v>5</v>
      </c>
      <c r="M81" s="942">
        <v>45831</v>
      </c>
      <c r="N81" s="943" t="s">
        <v>226</v>
      </c>
      <c r="O81" s="943" t="s">
        <v>621</v>
      </c>
      <c r="P81" s="943">
        <v>1.7849999999999999</v>
      </c>
      <c r="Q81" s="943">
        <v>1.81</v>
      </c>
      <c r="R81" s="316">
        <v>12</v>
      </c>
    </row>
    <row r="82" spans="1:22" hidden="1">
      <c r="A82" s="1446" t="s">
        <v>15502</v>
      </c>
      <c r="B82" s="316">
        <v>891</v>
      </c>
      <c r="C82" s="937">
        <f t="shared" si="2"/>
        <v>1.6161616161616161</v>
      </c>
      <c r="D82" s="1447">
        <f t="shared" si="3"/>
        <v>891</v>
      </c>
      <c r="E82" s="945" t="s">
        <v>1783</v>
      </c>
      <c r="F82" s="945" t="s">
        <v>16897</v>
      </c>
      <c r="G82" s="945">
        <v>500</v>
      </c>
      <c r="H82" s="316" t="s">
        <v>126</v>
      </c>
      <c r="I82" s="316">
        <v>0.25</v>
      </c>
      <c r="J82" s="939" t="s">
        <v>250</v>
      </c>
      <c r="K82" s="938" t="s">
        <v>483</v>
      </c>
      <c r="L82" s="941">
        <v>3.7</v>
      </c>
      <c r="M82" s="942">
        <v>45842</v>
      </c>
      <c r="N82" s="943" t="s">
        <v>220</v>
      </c>
      <c r="O82" s="943" t="s">
        <v>618</v>
      </c>
      <c r="P82" s="943">
        <v>1.67</v>
      </c>
      <c r="Q82" s="943" t="s">
        <v>16898</v>
      </c>
      <c r="R82" s="316">
        <v>8.5</v>
      </c>
    </row>
    <row r="83" spans="1:22" hidden="1">
      <c r="A83" s="1446" t="s">
        <v>15503</v>
      </c>
      <c r="B83" s="316">
        <v>811</v>
      </c>
      <c r="C83" s="937">
        <f t="shared" si="2"/>
        <v>1.7755856966707768</v>
      </c>
      <c r="D83" s="1447">
        <f t="shared" si="3"/>
        <v>811</v>
      </c>
      <c r="E83" s="945" t="s">
        <v>424</v>
      </c>
      <c r="F83" s="938" t="s">
        <v>15504</v>
      </c>
      <c r="G83" s="945">
        <v>780</v>
      </c>
      <c r="H83" s="316" t="s">
        <v>126</v>
      </c>
      <c r="I83" s="316">
        <v>1.8</v>
      </c>
      <c r="J83" s="939" t="s">
        <v>250</v>
      </c>
      <c r="K83" s="938" t="s">
        <v>619</v>
      </c>
      <c r="L83" s="941">
        <v>5</v>
      </c>
      <c r="M83" s="942">
        <v>45842</v>
      </c>
      <c r="N83" s="943" t="s">
        <v>227</v>
      </c>
      <c r="O83" s="943" t="s">
        <v>15881</v>
      </c>
      <c r="P83" s="943">
        <v>1.78</v>
      </c>
      <c r="Q83" s="943" t="s">
        <v>16899</v>
      </c>
      <c r="R83" s="316">
        <v>13</v>
      </c>
    </row>
    <row r="84" spans="1:22" hidden="1">
      <c r="A84" s="1446" t="s">
        <v>15508</v>
      </c>
      <c r="B84" s="939">
        <v>1037</v>
      </c>
      <c r="C84" s="937">
        <f t="shared" si="2"/>
        <v>1.3886210221793636</v>
      </c>
      <c r="D84" s="1448">
        <f t="shared" si="3"/>
        <v>1037</v>
      </c>
      <c r="E84" s="938" t="s">
        <v>472</v>
      </c>
      <c r="F84" s="945" t="s">
        <v>15506</v>
      </c>
      <c r="G84" s="938">
        <v>600</v>
      </c>
      <c r="H84" s="316" t="s">
        <v>126</v>
      </c>
      <c r="I84" s="939">
        <v>0.8</v>
      </c>
      <c r="J84" s="939" t="s">
        <v>250</v>
      </c>
      <c r="K84" s="938" t="s">
        <v>466</v>
      </c>
      <c r="L84" s="941">
        <v>5</v>
      </c>
      <c r="M84" s="942">
        <v>45849</v>
      </c>
      <c r="N84" s="943" t="s">
        <v>217</v>
      </c>
      <c r="O84" s="943" t="s">
        <v>16816</v>
      </c>
      <c r="P84" s="943">
        <v>1.7</v>
      </c>
      <c r="Q84" s="943">
        <v>1.9</v>
      </c>
      <c r="R84" s="316">
        <v>11</v>
      </c>
      <c r="S84" s="1226">
        <v>-3.5</v>
      </c>
      <c r="T84" s="1156">
        <v>-5.6</v>
      </c>
      <c r="U84" s="1158" t="s">
        <v>16900</v>
      </c>
      <c r="V84" s="1156" t="s">
        <v>16879</v>
      </c>
    </row>
    <row r="85" spans="1:22" hidden="1">
      <c r="A85" s="1444" t="s">
        <v>15509</v>
      </c>
      <c r="B85" s="939">
        <v>1037</v>
      </c>
      <c r="C85" s="937">
        <f t="shared" si="2"/>
        <v>1.3886210221793636</v>
      </c>
      <c r="D85" s="1447">
        <f t="shared" si="3"/>
        <v>1037</v>
      </c>
      <c r="E85" s="938" t="s">
        <v>472</v>
      </c>
      <c r="F85" s="945" t="s">
        <v>15506</v>
      </c>
      <c r="G85" s="938">
        <v>600</v>
      </c>
      <c r="H85" s="316" t="s">
        <v>126</v>
      </c>
      <c r="I85" s="939">
        <v>0.8</v>
      </c>
      <c r="J85" s="939" t="s">
        <v>250</v>
      </c>
      <c r="K85" s="938" t="s">
        <v>813</v>
      </c>
      <c r="L85" s="941">
        <v>5</v>
      </c>
      <c r="M85" s="942">
        <v>45852</v>
      </c>
      <c r="N85" s="943" t="s">
        <v>215</v>
      </c>
      <c r="O85" s="943" t="s">
        <v>16816</v>
      </c>
      <c r="P85" s="943">
        <v>1.7</v>
      </c>
      <c r="Q85" s="943">
        <v>1.95</v>
      </c>
      <c r="R85" s="316">
        <v>11.5</v>
      </c>
    </row>
    <row r="86" spans="1:22" hidden="1">
      <c r="A86" s="1444" t="s">
        <v>15505</v>
      </c>
      <c r="B86" s="939">
        <v>831</v>
      </c>
      <c r="C86" s="937">
        <f t="shared" si="2"/>
        <v>1.7328519855595668</v>
      </c>
      <c r="D86" s="1448">
        <f t="shared" si="3"/>
        <v>831</v>
      </c>
      <c r="E86" s="938" t="s">
        <v>1891</v>
      </c>
      <c r="F86" s="938" t="s">
        <v>15506</v>
      </c>
      <c r="G86" s="938">
        <v>600</v>
      </c>
      <c r="H86" s="316" t="s">
        <v>126</v>
      </c>
      <c r="I86" s="944">
        <v>0.8</v>
      </c>
      <c r="J86" s="939" t="s">
        <v>250</v>
      </c>
      <c r="K86" s="938" t="s">
        <v>762</v>
      </c>
      <c r="L86" s="941">
        <v>4</v>
      </c>
      <c r="M86" s="942">
        <v>45847</v>
      </c>
      <c r="N86" s="943" t="s">
        <v>218</v>
      </c>
      <c r="O86" s="943" t="s">
        <v>16816</v>
      </c>
      <c r="P86" s="943">
        <v>1.7</v>
      </c>
      <c r="Q86" s="943">
        <v>1.9</v>
      </c>
      <c r="R86" s="316">
        <v>11</v>
      </c>
    </row>
    <row r="87" spans="1:22" hidden="1">
      <c r="A87" s="1446" t="s">
        <v>15514</v>
      </c>
      <c r="B87" s="316">
        <v>1099</v>
      </c>
      <c r="C87" s="937">
        <f t="shared" si="2"/>
        <v>1.3102820746132848</v>
      </c>
      <c r="D87" s="1447">
        <f t="shared" si="3"/>
        <v>1099</v>
      </c>
      <c r="E87" s="945" t="s">
        <v>2129</v>
      </c>
      <c r="F87" s="945" t="s">
        <v>15528</v>
      </c>
      <c r="G87" s="945">
        <v>550</v>
      </c>
      <c r="H87" s="316" t="s">
        <v>126</v>
      </c>
      <c r="I87" s="316">
        <v>1</v>
      </c>
      <c r="J87" s="939" t="s">
        <v>250</v>
      </c>
      <c r="K87" s="938" t="s">
        <v>994</v>
      </c>
      <c r="L87" s="941">
        <v>5</v>
      </c>
      <c r="M87" s="942">
        <v>45854</v>
      </c>
      <c r="N87" s="943" t="s">
        <v>16901</v>
      </c>
      <c r="O87" s="943" t="s">
        <v>16811</v>
      </c>
      <c r="P87" s="943">
        <v>1.73</v>
      </c>
      <c r="Q87" s="943">
        <v>1.85</v>
      </c>
      <c r="R87" s="316">
        <v>11.5</v>
      </c>
    </row>
    <row r="88" spans="1:22" hidden="1">
      <c r="A88" s="1446" t="s">
        <v>15530</v>
      </c>
      <c r="B88" s="316">
        <v>823</v>
      </c>
      <c r="C88" s="937">
        <f t="shared" si="2"/>
        <v>1.7496962332928312</v>
      </c>
      <c r="D88" s="1447">
        <f t="shared" si="3"/>
        <v>823</v>
      </c>
      <c r="E88" s="945" t="s">
        <v>840</v>
      </c>
      <c r="F88" s="945" t="s">
        <v>16902</v>
      </c>
      <c r="G88" s="945">
        <v>600</v>
      </c>
      <c r="H88" s="316" t="s">
        <v>126</v>
      </c>
      <c r="I88" s="316">
        <v>1.6</v>
      </c>
      <c r="J88" s="939" t="s">
        <v>250</v>
      </c>
      <c r="K88" s="938" t="s">
        <v>804</v>
      </c>
      <c r="L88" s="941">
        <v>4</v>
      </c>
      <c r="M88" s="942">
        <v>45856</v>
      </c>
      <c r="N88" s="943" t="s">
        <v>219</v>
      </c>
      <c r="O88" s="943" t="s">
        <v>862</v>
      </c>
      <c r="P88" s="943">
        <v>1.76</v>
      </c>
      <c r="Q88" s="943">
        <v>1.63</v>
      </c>
      <c r="R88" s="316">
        <v>12</v>
      </c>
      <c r="S88" s="1226" t="s">
        <v>16903</v>
      </c>
      <c r="T88" s="1156" t="s">
        <v>16904</v>
      </c>
      <c r="U88" s="1156" t="s">
        <v>16905</v>
      </c>
      <c r="V88" s="1156" t="s">
        <v>16879</v>
      </c>
    </row>
    <row r="89" spans="1:22" hidden="1">
      <c r="A89" s="1444" t="s">
        <v>15536</v>
      </c>
      <c r="B89" s="939">
        <v>478</v>
      </c>
      <c r="C89" s="937">
        <f t="shared" si="2"/>
        <v>3.01255230125523</v>
      </c>
      <c r="D89" s="1448">
        <f t="shared" si="3"/>
        <v>478</v>
      </c>
      <c r="E89" s="938" t="s">
        <v>1842</v>
      </c>
      <c r="F89" s="938" t="s">
        <v>16906</v>
      </c>
      <c r="G89" s="938">
        <v>500</v>
      </c>
      <c r="H89" s="316" t="s">
        <v>126</v>
      </c>
      <c r="I89" s="944">
        <v>0.8</v>
      </c>
      <c r="J89" s="939" t="s">
        <v>250</v>
      </c>
      <c r="K89" s="938" t="s">
        <v>650</v>
      </c>
      <c r="L89" s="941">
        <v>2</v>
      </c>
      <c r="M89" s="942">
        <v>45863</v>
      </c>
      <c r="N89" s="943" t="s">
        <v>212</v>
      </c>
      <c r="O89" s="943" t="s">
        <v>16907</v>
      </c>
      <c r="P89" s="943">
        <v>1.68</v>
      </c>
      <c r="Q89" s="943">
        <v>1.74</v>
      </c>
      <c r="R89" s="316">
        <v>8.5</v>
      </c>
    </row>
    <row r="90" spans="1:22" hidden="1">
      <c r="A90" s="1444" t="s">
        <v>15582</v>
      </c>
      <c r="B90" s="939">
        <v>946</v>
      </c>
      <c r="C90" s="937">
        <f t="shared" si="2"/>
        <v>1.522198731501057</v>
      </c>
      <c r="D90" s="1447">
        <f t="shared" si="3"/>
        <v>946</v>
      </c>
      <c r="E90" s="938" t="s">
        <v>453</v>
      </c>
      <c r="F90" s="945" t="s">
        <v>16908</v>
      </c>
      <c r="G90" s="938">
        <v>650</v>
      </c>
      <c r="H90" s="316" t="s">
        <v>126</v>
      </c>
      <c r="I90" s="944">
        <v>1.1000000000000001</v>
      </c>
      <c r="J90" s="939" t="s">
        <v>250</v>
      </c>
      <c r="K90" s="938" t="s">
        <v>889</v>
      </c>
      <c r="L90" s="941">
        <v>5</v>
      </c>
      <c r="M90" s="942">
        <v>45867</v>
      </c>
      <c r="N90" s="943" t="s">
        <v>226</v>
      </c>
      <c r="O90" s="943" t="s">
        <v>723</v>
      </c>
      <c r="P90" s="943">
        <v>1.7150000000000001</v>
      </c>
      <c r="Q90" s="943">
        <v>1.82</v>
      </c>
      <c r="R90" s="316">
        <v>12.5</v>
      </c>
      <c r="S90" s="1226" t="s">
        <v>16909</v>
      </c>
      <c r="T90" s="1156" t="s">
        <v>16910</v>
      </c>
      <c r="U90" s="1156" t="s">
        <v>16911</v>
      </c>
      <c r="V90" s="1156" t="s">
        <v>16879</v>
      </c>
    </row>
    <row r="91" spans="1:22" hidden="1">
      <c r="A91" s="1446" t="s">
        <v>15613</v>
      </c>
      <c r="B91" s="316">
        <v>958</v>
      </c>
      <c r="C91" s="937">
        <f t="shared" si="2"/>
        <v>1.5031315240083507</v>
      </c>
      <c r="D91" s="1447">
        <f t="shared" si="3"/>
        <v>958</v>
      </c>
      <c r="E91" s="945" t="s">
        <v>453</v>
      </c>
      <c r="F91" s="945" t="s">
        <v>16912</v>
      </c>
      <c r="G91" s="945">
        <v>650</v>
      </c>
      <c r="H91" s="316" t="s">
        <v>126</v>
      </c>
      <c r="I91" s="316">
        <v>0.8</v>
      </c>
      <c r="J91" s="939" t="s">
        <v>250</v>
      </c>
      <c r="K91" s="938" t="s">
        <v>722</v>
      </c>
      <c r="L91" s="941">
        <v>5</v>
      </c>
      <c r="M91" s="942">
        <v>45870</v>
      </c>
      <c r="N91" s="943" t="s">
        <v>215</v>
      </c>
      <c r="O91" s="943" t="s">
        <v>1221</v>
      </c>
      <c r="P91" s="943">
        <v>1.72</v>
      </c>
      <c r="Q91" s="943">
        <v>1.86</v>
      </c>
      <c r="R91" s="316">
        <v>11</v>
      </c>
      <c r="S91" s="1226" t="s">
        <v>16913</v>
      </c>
      <c r="T91" s="1156" t="s">
        <v>16914</v>
      </c>
      <c r="U91" s="1156" t="s">
        <v>16915</v>
      </c>
      <c r="V91" s="1156" t="s">
        <v>16879</v>
      </c>
    </row>
    <row r="92" spans="1:22" hidden="1">
      <c r="A92" s="1446" t="s">
        <v>15623</v>
      </c>
      <c r="B92" s="316">
        <v>865</v>
      </c>
      <c r="C92" s="937">
        <f t="shared" si="2"/>
        <v>1.6647398843930636</v>
      </c>
      <c r="D92" s="1447">
        <f t="shared" si="3"/>
        <v>865</v>
      </c>
      <c r="E92" s="945" t="s">
        <v>850</v>
      </c>
      <c r="F92" s="938" t="s">
        <v>16026</v>
      </c>
      <c r="G92" s="945">
        <v>550</v>
      </c>
      <c r="H92" s="316" t="s">
        <v>626</v>
      </c>
      <c r="I92" s="316">
        <v>1.1000000000000001</v>
      </c>
      <c r="J92" s="939" t="s">
        <v>250</v>
      </c>
      <c r="K92" s="938" t="s">
        <v>3213</v>
      </c>
      <c r="L92" s="941">
        <v>4</v>
      </c>
      <c r="M92" s="942">
        <v>45880</v>
      </c>
      <c r="N92" s="943" t="s">
        <v>218</v>
      </c>
      <c r="O92" s="943" t="s">
        <v>16916</v>
      </c>
      <c r="P92" s="943">
        <v>1.68</v>
      </c>
      <c r="Q92" s="943">
        <v>1.68</v>
      </c>
      <c r="R92" s="316">
        <v>8</v>
      </c>
      <c r="S92" s="1226" t="s">
        <v>16917</v>
      </c>
      <c r="T92" s="1156" t="s">
        <v>16918</v>
      </c>
      <c r="U92" s="1156" t="s">
        <v>16919</v>
      </c>
      <c r="V92" s="1156" t="s">
        <v>16879</v>
      </c>
    </row>
    <row r="93" spans="1:22" hidden="1">
      <c r="A93" s="1446" t="s">
        <v>15627</v>
      </c>
      <c r="B93" s="939">
        <v>843</v>
      </c>
      <c r="C93" s="937">
        <f t="shared" si="2"/>
        <v>1.708185053380783</v>
      </c>
      <c r="D93" s="1448">
        <f t="shared" si="3"/>
        <v>843</v>
      </c>
      <c r="E93" s="945" t="s">
        <v>453</v>
      </c>
      <c r="F93" s="938" t="s">
        <v>16920</v>
      </c>
      <c r="G93" s="938">
        <v>730</v>
      </c>
      <c r="H93" s="316" t="s">
        <v>126</v>
      </c>
      <c r="I93" s="939">
        <v>0.9</v>
      </c>
      <c r="J93" s="939" t="s">
        <v>250</v>
      </c>
      <c r="K93" s="938" t="s">
        <v>466</v>
      </c>
      <c r="L93" s="941">
        <v>5</v>
      </c>
      <c r="M93" s="942">
        <v>45884</v>
      </c>
      <c r="N93" s="943" t="s">
        <v>230</v>
      </c>
      <c r="O93" s="943" t="s">
        <v>684</v>
      </c>
      <c r="P93" s="943">
        <v>1.71</v>
      </c>
      <c r="Q93" s="943">
        <v>1.85</v>
      </c>
      <c r="R93" s="316">
        <v>13</v>
      </c>
      <c r="S93" s="1226" t="s">
        <v>16913</v>
      </c>
      <c r="T93" s="1156" t="s">
        <v>16914</v>
      </c>
      <c r="U93" s="1156" t="s">
        <v>16913</v>
      </c>
      <c r="V93" s="1156" t="s">
        <v>16879</v>
      </c>
    </row>
    <row r="94" spans="1:22" hidden="1">
      <c r="A94" s="1446" t="s">
        <v>15629</v>
      </c>
      <c r="B94" s="316">
        <v>951</v>
      </c>
      <c r="C94" s="937">
        <f t="shared" si="2"/>
        <v>1.5141955835962144</v>
      </c>
      <c r="D94" s="1447">
        <f t="shared" si="3"/>
        <v>951</v>
      </c>
      <c r="E94" s="945" t="s">
        <v>453</v>
      </c>
      <c r="F94" s="938" t="s">
        <v>16908</v>
      </c>
      <c r="G94" s="945">
        <v>650</v>
      </c>
      <c r="H94" s="316" t="s">
        <v>126</v>
      </c>
      <c r="I94" s="316">
        <v>1.1000000000000001</v>
      </c>
      <c r="J94" s="939" t="s">
        <v>250</v>
      </c>
      <c r="K94" s="938" t="s">
        <v>482</v>
      </c>
      <c r="L94" s="941">
        <v>5</v>
      </c>
      <c r="M94" s="942">
        <v>45887</v>
      </c>
      <c r="N94" s="943" t="s">
        <v>16921</v>
      </c>
      <c r="O94" s="943" t="s">
        <v>723</v>
      </c>
      <c r="P94" s="943">
        <v>1.71</v>
      </c>
      <c r="Q94" s="943">
        <v>1.95</v>
      </c>
      <c r="R94" s="316">
        <v>11</v>
      </c>
      <c r="S94" s="1226" t="s">
        <v>16909</v>
      </c>
      <c r="T94" s="1156" t="s">
        <v>16910</v>
      </c>
      <c r="U94" s="1156" t="s">
        <v>16922</v>
      </c>
      <c r="V94" s="1156" t="s">
        <v>16879</v>
      </c>
    </row>
    <row r="95" spans="1:22" hidden="1">
      <c r="A95" s="1444" t="s">
        <v>16923</v>
      </c>
      <c r="B95" s="939">
        <v>564</v>
      </c>
      <c r="C95" s="937">
        <f t="shared" si="2"/>
        <v>2.5531914893617023</v>
      </c>
      <c r="D95" s="1448">
        <f t="shared" si="3"/>
        <v>564</v>
      </c>
      <c r="E95" s="938" t="s">
        <v>3201</v>
      </c>
      <c r="F95" s="945" t="s">
        <v>16924</v>
      </c>
      <c r="G95" s="938">
        <v>450</v>
      </c>
      <c r="H95" s="316" t="s">
        <v>942</v>
      </c>
      <c r="I95" s="944">
        <v>1.2</v>
      </c>
      <c r="J95" s="939" t="s">
        <v>250</v>
      </c>
      <c r="K95" s="938" t="s">
        <v>783</v>
      </c>
      <c r="L95" s="941">
        <v>2</v>
      </c>
      <c r="M95" s="942">
        <v>45896</v>
      </c>
      <c r="N95" s="943" t="s">
        <v>16925</v>
      </c>
      <c r="O95" s="943" t="s">
        <v>482</v>
      </c>
      <c r="P95" s="943">
        <v>1.79</v>
      </c>
      <c r="Q95" s="943">
        <v>1.9</v>
      </c>
      <c r="R95" s="316">
        <v>8</v>
      </c>
      <c r="S95" s="1226" t="s">
        <v>16917</v>
      </c>
      <c r="T95" s="1156" t="s">
        <v>16926</v>
      </c>
      <c r="U95" s="1156" t="s">
        <v>16903</v>
      </c>
      <c r="V95" s="1156" t="s">
        <v>16879</v>
      </c>
    </row>
    <row r="96" spans="1:22" hidden="1">
      <c r="A96" s="1446" t="s">
        <v>16927</v>
      </c>
      <c r="B96" s="316">
        <v>852</v>
      </c>
      <c r="C96" s="937">
        <f t="shared" si="2"/>
        <v>1.6901408450704225</v>
      </c>
      <c r="D96" s="1448">
        <f t="shared" si="3"/>
        <v>852</v>
      </c>
      <c r="E96" s="945" t="s">
        <v>1858</v>
      </c>
      <c r="F96" s="945" t="s">
        <v>16928</v>
      </c>
      <c r="G96" s="945">
        <v>650</v>
      </c>
      <c r="H96" s="316" t="s">
        <v>126</v>
      </c>
      <c r="I96" s="316">
        <v>0.8</v>
      </c>
      <c r="J96" s="939" t="s">
        <v>250</v>
      </c>
      <c r="K96" s="938" t="s">
        <v>15802</v>
      </c>
      <c r="L96" s="941">
        <v>4.5</v>
      </c>
      <c r="M96" s="942">
        <v>45891</v>
      </c>
      <c r="N96" s="943" t="s">
        <v>222</v>
      </c>
      <c r="O96" s="943" t="s">
        <v>8404</v>
      </c>
      <c r="P96" s="943">
        <v>1.73</v>
      </c>
      <c r="Q96" s="943">
        <v>1.9</v>
      </c>
      <c r="R96" s="316">
        <v>10.5</v>
      </c>
      <c r="S96" s="1226" t="s">
        <v>16929</v>
      </c>
      <c r="T96" s="1156" t="s">
        <v>16930</v>
      </c>
      <c r="U96" s="1156" t="s">
        <v>16931</v>
      </c>
      <c r="V96" s="1156" t="s">
        <v>16879</v>
      </c>
    </row>
    <row r="97" spans="1:22" hidden="1">
      <c r="A97" s="1446" t="s">
        <v>15830</v>
      </c>
      <c r="B97" s="316">
        <v>762</v>
      </c>
      <c r="C97" s="937">
        <f t="shared" si="2"/>
        <v>1.889763779527559</v>
      </c>
      <c r="D97" s="1447">
        <f t="shared" si="3"/>
        <v>762</v>
      </c>
      <c r="E97" s="945" t="s">
        <v>1891</v>
      </c>
      <c r="F97" s="938" t="s">
        <v>15832</v>
      </c>
      <c r="G97" s="945">
        <v>650</v>
      </c>
      <c r="H97" s="316" t="s">
        <v>126</v>
      </c>
      <c r="I97" s="316">
        <v>0.7</v>
      </c>
      <c r="J97" s="939" t="s">
        <v>250</v>
      </c>
      <c r="K97" s="938" t="s">
        <v>878</v>
      </c>
      <c r="L97" s="941">
        <v>4</v>
      </c>
      <c r="M97" s="942">
        <v>45898</v>
      </c>
      <c r="N97" s="943" t="s">
        <v>218</v>
      </c>
      <c r="O97" s="943" t="s">
        <v>16932</v>
      </c>
      <c r="P97" s="943">
        <v>1.7</v>
      </c>
      <c r="Q97" s="943">
        <v>1.86</v>
      </c>
      <c r="R97" s="316">
        <v>11</v>
      </c>
      <c r="S97" s="1226" t="s">
        <v>16931</v>
      </c>
      <c r="T97" s="1156" t="s">
        <v>16904</v>
      </c>
      <c r="U97" s="1156" t="s">
        <v>16933</v>
      </c>
      <c r="V97" s="1156" t="s">
        <v>16879</v>
      </c>
    </row>
    <row r="98" spans="1:22" hidden="1">
      <c r="A98" s="1444" t="s">
        <v>15829</v>
      </c>
      <c r="B98" s="939">
        <v>890</v>
      </c>
      <c r="C98" s="937">
        <f t="shared" si="2"/>
        <v>1.6179775280898876</v>
      </c>
      <c r="D98" s="1447">
        <f t="shared" si="3"/>
        <v>890</v>
      </c>
      <c r="E98" s="938" t="s">
        <v>453</v>
      </c>
      <c r="F98" s="938" t="s">
        <v>16934</v>
      </c>
      <c r="G98" s="938">
        <v>690</v>
      </c>
      <c r="H98" s="316" t="s">
        <v>126</v>
      </c>
      <c r="I98" s="944">
        <v>1.1000000000000001</v>
      </c>
      <c r="J98" s="939" t="s">
        <v>250</v>
      </c>
      <c r="K98" s="938" t="s">
        <v>726</v>
      </c>
      <c r="L98" s="941">
        <v>5</v>
      </c>
      <c r="M98" s="942">
        <v>45897</v>
      </c>
      <c r="N98" s="943" t="s">
        <v>16935</v>
      </c>
      <c r="O98" s="943" t="s">
        <v>868</v>
      </c>
      <c r="P98" s="943">
        <v>1.73</v>
      </c>
      <c r="Q98" s="943">
        <v>1.99</v>
      </c>
      <c r="R98" s="316">
        <v>12.5</v>
      </c>
      <c r="S98" s="1226" t="s">
        <v>16909</v>
      </c>
      <c r="T98" s="1156" t="s">
        <v>16910</v>
      </c>
      <c r="U98" s="1156" t="s">
        <v>16936</v>
      </c>
      <c r="V98" s="1156" t="s">
        <v>16879</v>
      </c>
    </row>
    <row r="99" spans="1:22" hidden="1">
      <c r="A99" s="1446" t="s">
        <v>15834</v>
      </c>
      <c r="B99" s="316">
        <v>950</v>
      </c>
      <c r="C99" s="937">
        <f t="shared" si="2"/>
        <v>1.5157894736842106</v>
      </c>
      <c r="D99" s="1447">
        <f t="shared" si="3"/>
        <v>950</v>
      </c>
      <c r="E99" s="945" t="s">
        <v>1815</v>
      </c>
      <c r="F99" s="938" t="s">
        <v>15835</v>
      </c>
      <c r="G99" s="945">
        <v>650</v>
      </c>
      <c r="H99" s="316" t="s">
        <v>126</v>
      </c>
      <c r="I99" s="939">
        <v>0.9</v>
      </c>
      <c r="J99" s="939" t="s">
        <v>250</v>
      </c>
      <c r="K99" s="938" t="s">
        <v>994</v>
      </c>
      <c r="L99" s="941">
        <v>5</v>
      </c>
      <c r="M99" s="942">
        <v>45898</v>
      </c>
      <c r="N99" s="943" t="s">
        <v>16937</v>
      </c>
      <c r="O99" s="943" t="s">
        <v>618</v>
      </c>
      <c r="P99" s="943">
        <v>1.73</v>
      </c>
      <c r="Q99" s="943">
        <v>1.85</v>
      </c>
      <c r="R99" s="316">
        <v>7.5</v>
      </c>
      <c r="S99" s="1226" t="s">
        <v>16882</v>
      </c>
      <c r="T99" s="1156" t="s">
        <v>16938</v>
      </c>
      <c r="U99" s="1156" t="s">
        <v>16939</v>
      </c>
      <c r="V99" s="1156" t="s">
        <v>16879</v>
      </c>
    </row>
    <row r="100" spans="1:22" hidden="1">
      <c r="A100" s="1444" t="s">
        <v>15834</v>
      </c>
      <c r="B100" s="939">
        <v>932</v>
      </c>
      <c r="C100" s="937">
        <f t="shared" si="2"/>
        <v>1.5450643776824033</v>
      </c>
      <c r="D100" s="1448">
        <f t="shared" si="3"/>
        <v>932</v>
      </c>
      <c r="E100" s="938" t="s">
        <v>1815</v>
      </c>
      <c r="F100" s="938" t="s">
        <v>15835</v>
      </c>
      <c r="G100" s="938">
        <v>660</v>
      </c>
      <c r="H100" s="939" t="s">
        <v>126</v>
      </c>
      <c r="I100" s="944">
        <v>0.9</v>
      </c>
      <c r="J100" s="939" t="s">
        <v>250</v>
      </c>
      <c r="K100" s="938" t="s">
        <v>994</v>
      </c>
      <c r="L100" s="941">
        <v>5</v>
      </c>
      <c r="M100" s="942">
        <v>45905</v>
      </c>
      <c r="N100" s="943" t="s">
        <v>16940</v>
      </c>
      <c r="O100" s="943" t="s">
        <v>618</v>
      </c>
      <c r="P100" s="943">
        <v>1.73</v>
      </c>
      <c r="Q100" s="943">
        <v>1.83</v>
      </c>
      <c r="R100" s="316">
        <v>7.5</v>
      </c>
      <c r="S100" s="1226" t="s">
        <v>16882</v>
      </c>
      <c r="T100" s="1156" t="s">
        <v>16938</v>
      </c>
      <c r="U100" s="1156" t="s">
        <v>16939</v>
      </c>
      <c r="V100" s="1156" t="s">
        <v>16879</v>
      </c>
    </row>
    <row r="101" spans="1:22" hidden="1">
      <c r="A101" s="1446" t="s">
        <v>15831</v>
      </c>
      <c r="B101" s="316">
        <v>1037</v>
      </c>
      <c r="C101" s="937">
        <f t="shared" si="2"/>
        <v>1.3886210221793636</v>
      </c>
      <c r="D101" s="1447">
        <f t="shared" si="3"/>
        <v>1037</v>
      </c>
      <c r="E101" s="945" t="s">
        <v>472</v>
      </c>
      <c r="F101" s="938" t="s">
        <v>15832</v>
      </c>
      <c r="G101" s="945">
        <v>600</v>
      </c>
      <c r="H101" s="316" t="s">
        <v>126</v>
      </c>
      <c r="I101" s="316">
        <v>0.8</v>
      </c>
      <c r="J101" s="939" t="s">
        <v>250</v>
      </c>
      <c r="K101" s="938" t="s">
        <v>456</v>
      </c>
      <c r="L101" s="941">
        <v>5</v>
      </c>
      <c r="M101" s="942">
        <v>45897</v>
      </c>
      <c r="N101" s="943" t="s">
        <v>220</v>
      </c>
      <c r="O101" s="943" t="s">
        <v>16932</v>
      </c>
      <c r="P101" s="943">
        <v>1.7</v>
      </c>
      <c r="Q101" s="943">
        <v>1.94</v>
      </c>
      <c r="R101" s="316">
        <v>11</v>
      </c>
      <c r="S101" s="1226" t="s">
        <v>16941</v>
      </c>
      <c r="T101" s="1156" t="s">
        <v>16904</v>
      </c>
      <c r="U101" s="1156" t="s">
        <v>16942</v>
      </c>
      <c r="V101" s="1156" t="s">
        <v>16879</v>
      </c>
    </row>
    <row r="102" spans="1:22" hidden="1">
      <c r="A102" s="1446" t="s">
        <v>15831</v>
      </c>
      <c r="B102" s="316">
        <v>1031</v>
      </c>
      <c r="C102" s="937">
        <f t="shared" si="2"/>
        <v>1.396702230843841</v>
      </c>
      <c r="D102" s="1447">
        <f t="shared" si="3"/>
        <v>1031</v>
      </c>
      <c r="E102" s="945" t="s">
        <v>472</v>
      </c>
      <c r="F102" s="945" t="s">
        <v>15832</v>
      </c>
      <c r="G102" s="945">
        <v>600</v>
      </c>
      <c r="H102" s="939" t="s">
        <v>126</v>
      </c>
      <c r="I102" s="316">
        <v>0.8</v>
      </c>
      <c r="J102" s="939" t="s">
        <v>250</v>
      </c>
      <c r="K102" s="938" t="s">
        <v>456</v>
      </c>
      <c r="L102" s="941">
        <v>5</v>
      </c>
      <c r="M102" s="942">
        <v>45905</v>
      </c>
      <c r="N102" s="943" t="s">
        <v>220</v>
      </c>
      <c r="O102" s="943" t="s">
        <v>16932</v>
      </c>
      <c r="P102" s="943">
        <v>1.7</v>
      </c>
      <c r="Q102" s="943">
        <v>2</v>
      </c>
      <c r="R102" s="316">
        <v>11</v>
      </c>
      <c r="S102" s="1226" t="s">
        <v>16941</v>
      </c>
      <c r="T102" s="1156" t="s">
        <v>16904</v>
      </c>
      <c r="U102" s="1156" t="s">
        <v>16943</v>
      </c>
      <c r="V102" s="1156" t="s">
        <v>16879</v>
      </c>
    </row>
    <row r="103" spans="1:22" hidden="1">
      <c r="A103" s="1444" t="s">
        <v>15847</v>
      </c>
      <c r="B103" s="939">
        <v>890</v>
      </c>
      <c r="C103" s="937">
        <f t="shared" si="2"/>
        <v>1.6179775280898876</v>
      </c>
      <c r="D103" s="1448">
        <f t="shared" si="3"/>
        <v>890</v>
      </c>
      <c r="E103" s="938" t="s">
        <v>453</v>
      </c>
      <c r="F103" s="938" t="s">
        <v>16934</v>
      </c>
      <c r="G103" s="938">
        <v>700</v>
      </c>
      <c r="H103" s="316" t="s">
        <v>126</v>
      </c>
      <c r="I103" s="940">
        <v>1</v>
      </c>
      <c r="J103" s="939" t="s">
        <v>250</v>
      </c>
      <c r="K103" s="938" t="s">
        <v>845</v>
      </c>
      <c r="L103" s="941">
        <v>5</v>
      </c>
      <c r="M103" s="942">
        <v>45905</v>
      </c>
      <c r="N103" s="943" t="s">
        <v>230</v>
      </c>
      <c r="O103" s="943" t="s">
        <v>868</v>
      </c>
      <c r="P103" s="943">
        <v>1.76</v>
      </c>
      <c r="Q103" s="943">
        <v>1.78</v>
      </c>
      <c r="R103" s="316">
        <v>11.5</v>
      </c>
      <c r="S103" s="1226" t="s">
        <v>16913</v>
      </c>
      <c r="T103" s="1156" t="s">
        <v>16914</v>
      </c>
      <c r="U103" s="1156" t="s">
        <v>16944</v>
      </c>
      <c r="V103" s="1156" t="s">
        <v>16879</v>
      </c>
    </row>
    <row r="104" spans="1:22" hidden="1">
      <c r="A104" s="1444" t="s">
        <v>15844</v>
      </c>
      <c r="B104" s="939">
        <v>831</v>
      </c>
      <c r="C104" s="937">
        <f t="shared" si="2"/>
        <v>1.7328519855595668</v>
      </c>
      <c r="D104" s="1448">
        <f t="shared" si="3"/>
        <v>831</v>
      </c>
      <c r="E104" s="938" t="s">
        <v>453</v>
      </c>
      <c r="F104" s="938" t="s">
        <v>15845</v>
      </c>
      <c r="G104" s="938">
        <v>750</v>
      </c>
      <c r="H104" s="316" t="s">
        <v>126</v>
      </c>
      <c r="I104" s="940">
        <v>1</v>
      </c>
      <c r="J104" s="939" t="s">
        <v>250</v>
      </c>
      <c r="K104" s="938" t="s">
        <v>803</v>
      </c>
      <c r="L104" s="941">
        <v>5</v>
      </c>
      <c r="M104" s="942">
        <v>45904</v>
      </c>
      <c r="N104" s="943" t="s">
        <v>215</v>
      </c>
      <c r="O104" s="943" t="s">
        <v>16865</v>
      </c>
      <c r="P104" s="943">
        <v>1.71</v>
      </c>
      <c r="Q104" s="943">
        <v>1.81</v>
      </c>
      <c r="R104" s="316">
        <v>12</v>
      </c>
      <c r="S104" s="1226" t="s">
        <v>16913</v>
      </c>
      <c r="T104" s="1156" t="s">
        <v>16914</v>
      </c>
      <c r="U104" s="1156" t="s">
        <v>16945</v>
      </c>
      <c r="V104" s="1156" t="s">
        <v>16879</v>
      </c>
    </row>
    <row r="105" spans="1:22" hidden="1">
      <c r="A105" s="1446" t="s">
        <v>15851</v>
      </c>
      <c r="B105" s="316">
        <v>1078</v>
      </c>
      <c r="C105" s="937">
        <f t="shared" si="2"/>
        <v>1.3358070500927643</v>
      </c>
      <c r="D105" s="1447">
        <f t="shared" si="3"/>
        <v>1078</v>
      </c>
      <c r="E105" s="945" t="s">
        <v>15035</v>
      </c>
      <c r="F105" s="945" t="s">
        <v>15852</v>
      </c>
      <c r="G105" s="945">
        <v>550</v>
      </c>
      <c r="H105" s="316" t="s">
        <v>126</v>
      </c>
      <c r="I105" s="316">
        <v>0.7</v>
      </c>
      <c r="J105" s="939" t="s">
        <v>250</v>
      </c>
      <c r="K105" s="938" t="s">
        <v>758</v>
      </c>
      <c r="L105" s="941">
        <v>5</v>
      </c>
      <c r="M105" s="942">
        <v>45908</v>
      </c>
      <c r="N105" s="943" t="s">
        <v>227</v>
      </c>
      <c r="O105" s="943" t="s">
        <v>16806</v>
      </c>
      <c r="P105" s="943">
        <v>1.63</v>
      </c>
      <c r="Q105" s="943">
        <v>1.87</v>
      </c>
      <c r="R105" s="316">
        <v>8</v>
      </c>
      <c r="S105" s="1226" t="s">
        <v>16878</v>
      </c>
      <c r="T105" s="1156" t="s">
        <v>16946</v>
      </c>
      <c r="U105" s="1156" t="s">
        <v>16947</v>
      </c>
      <c r="V105" s="1156" t="s">
        <v>16879</v>
      </c>
    </row>
    <row r="106" spans="1:22" hidden="1">
      <c r="A106" s="1446" t="s">
        <v>15853</v>
      </c>
      <c r="B106" s="316">
        <v>793</v>
      </c>
      <c r="C106" s="937">
        <f t="shared" si="2"/>
        <v>1.815889029003783</v>
      </c>
      <c r="D106" s="1448">
        <f t="shared" si="3"/>
        <v>793</v>
      </c>
      <c r="E106" s="945" t="s">
        <v>453</v>
      </c>
      <c r="F106" s="945" t="s">
        <v>15845</v>
      </c>
      <c r="G106" s="945">
        <v>780</v>
      </c>
      <c r="H106" s="316" t="s">
        <v>126</v>
      </c>
      <c r="I106" s="316">
        <v>1.1000000000000001</v>
      </c>
      <c r="J106" s="939" t="s">
        <v>251</v>
      </c>
      <c r="K106" s="938" t="s">
        <v>724</v>
      </c>
      <c r="L106" s="941">
        <v>5</v>
      </c>
      <c r="M106" s="942">
        <v>45909</v>
      </c>
      <c r="N106" s="943" t="s">
        <v>16925</v>
      </c>
      <c r="O106" s="943" t="s">
        <v>16865</v>
      </c>
      <c r="P106" s="943">
        <v>1.71</v>
      </c>
      <c r="Q106" s="943">
        <v>1.76</v>
      </c>
      <c r="R106" s="316">
        <v>12</v>
      </c>
      <c r="S106" s="1226" t="s">
        <v>16913</v>
      </c>
      <c r="T106" s="1156" t="s">
        <v>16914</v>
      </c>
      <c r="U106" s="1156" t="s">
        <v>16944</v>
      </c>
      <c r="V106" s="1156" t="s">
        <v>16879</v>
      </c>
    </row>
    <row r="107" spans="1:22" hidden="1">
      <c r="A107" s="1446" t="s">
        <v>15875</v>
      </c>
      <c r="B107" s="316">
        <v>873</v>
      </c>
      <c r="C107" s="937">
        <f t="shared" si="2"/>
        <v>1.6494845360824741</v>
      </c>
      <c r="D107" s="1447">
        <f t="shared" si="3"/>
        <v>873</v>
      </c>
      <c r="E107" s="945" t="s">
        <v>453</v>
      </c>
      <c r="F107" s="938" t="s">
        <v>16934</v>
      </c>
      <c r="G107" s="945">
        <v>700</v>
      </c>
      <c r="H107" s="316" t="s">
        <v>126</v>
      </c>
      <c r="I107" s="316">
        <v>1.2</v>
      </c>
      <c r="J107" s="939" t="s">
        <v>250</v>
      </c>
      <c r="K107" s="938" t="s">
        <v>466</v>
      </c>
      <c r="L107" s="941">
        <v>5</v>
      </c>
      <c r="M107" s="942">
        <v>45915</v>
      </c>
      <c r="N107" s="943" t="s">
        <v>226</v>
      </c>
      <c r="O107" s="943" t="s">
        <v>868</v>
      </c>
      <c r="P107" s="943">
        <v>1.73</v>
      </c>
      <c r="Q107" s="943">
        <v>2</v>
      </c>
      <c r="R107" s="316">
        <v>12.5</v>
      </c>
      <c r="S107" s="1226" t="s">
        <v>16909</v>
      </c>
      <c r="T107" s="1156" t="s">
        <v>16910</v>
      </c>
      <c r="U107" s="1156" t="s">
        <v>16936</v>
      </c>
      <c r="V107" s="1156" t="s">
        <v>16879</v>
      </c>
    </row>
    <row r="108" spans="1:22" hidden="1">
      <c r="A108" s="1444" t="s">
        <v>15882</v>
      </c>
      <c r="B108" s="939">
        <v>770</v>
      </c>
      <c r="C108" s="937">
        <f t="shared" si="2"/>
        <v>1.8701298701298701</v>
      </c>
      <c r="D108" s="1448">
        <f t="shared" si="3"/>
        <v>770</v>
      </c>
      <c r="E108" s="945" t="s">
        <v>453</v>
      </c>
      <c r="F108" s="945" t="s">
        <v>15845</v>
      </c>
      <c r="G108" s="938">
        <v>800</v>
      </c>
      <c r="H108" s="316" t="s">
        <v>126</v>
      </c>
      <c r="I108" s="316">
        <v>1.1000000000000001</v>
      </c>
      <c r="J108" s="939" t="s">
        <v>250</v>
      </c>
      <c r="K108" s="938" t="s">
        <v>842</v>
      </c>
      <c r="L108" s="941">
        <v>5</v>
      </c>
      <c r="M108" s="942">
        <v>45917</v>
      </c>
      <c r="N108" s="943" t="s">
        <v>222</v>
      </c>
      <c r="O108" s="943" t="s">
        <v>16865</v>
      </c>
      <c r="P108" s="943">
        <v>1.71</v>
      </c>
      <c r="Q108" s="943">
        <v>1.82</v>
      </c>
      <c r="R108" s="316">
        <v>12</v>
      </c>
      <c r="S108" s="1226" t="s">
        <v>16913</v>
      </c>
      <c r="T108" s="1156" t="s">
        <v>16948</v>
      </c>
      <c r="U108" s="1156" t="s">
        <v>16949</v>
      </c>
      <c r="V108" s="1156" t="s">
        <v>16879</v>
      </c>
    </row>
    <row r="109" spans="1:22" hidden="1">
      <c r="A109" s="1446" t="s">
        <v>16950</v>
      </c>
      <c r="B109" s="316">
        <v>828</v>
      </c>
      <c r="C109" s="937">
        <f t="shared" si="2"/>
        <v>1.7391304347826086</v>
      </c>
      <c r="D109" s="1447">
        <f t="shared" si="3"/>
        <v>828</v>
      </c>
      <c r="E109" s="945" t="s">
        <v>453</v>
      </c>
      <c r="F109" s="945" t="s">
        <v>16951</v>
      </c>
      <c r="G109" s="945">
        <v>750</v>
      </c>
      <c r="H109" s="316" t="s">
        <v>126</v>
      </c>
      <c r="I109" s="316">
        <v>1.1000000000000001</v>
      </c>
      <c r="J109" s="939" t="s">
        <v>250</v>
      </c>
      <c r="K109" s="938" t="s">
        <v>15893</v>
      </c>
      <c r="L109" s="941">
        <v>5</v>
      </c>
      <c r="M109" s="942">
        <v>45922</v>
      </c>
      <c r="N109" s="943" t="s">
        <v>227</v>
      </c>
      <c r="O109" s="943" t="s">
        <v>16907</v>
      </c>
      <c r="P109" s="943">
        <v>1.71</v>
      </c>
      <c r="Q109" s="943">
        <v>1.82</v>
      </c>
      <c r="R109" s="316">
        <v>14</v>
      </c>
      <c r="S109" s="1226" t="s">
        <v>16909</v>
      </c>
      <c r="T109" s="1156" t="s">
        <v>16910</v>
      </c>
      <c r="U109" s="1156" t="s">
        <v>16952</v>
      </c>
      <c r="V109" s="1156" t="s">
        <v>16879</v>
      </c>
    </row>
    <row r="110" spans="1:22" hidden="1">
      <c r="A110" s="1446" t="s">
        <v>16953</v>
      </c>
      <c r="B110" s="316">
        <v>751</v>
      </c>
      <c r="C110" s="937">
        <f t="shared" si="2"/>
        <v>1.9174434087882823</v>
      </c>
      <c r="D110" s="1447">
        <f t="shared" si="3"/>
        <v>751</v>
      </c>
      <c r="E110" s="945" t="s">
        <v>1891</v>
      </c>
      <c r="F110" s="945" t="s">
        <v>16954</v>
      </c>
      <c r="G110" s="945">
        <v>660</v>
      </c>
      <c r="H110" s="316" t="s">
        <v>126</v>
      </c>
      <c r="I110" s="316">
        <v>0.7</v>
      </c>
      <c r="J110" s="939" t="s">
        <v>250</v>
      </c>
      <c r="K110" s="938" t="s">
        <v>619</v>
      </c>
      <c r="L110" s="941">
        <v>4</v>
      </c>
      <c r="M110" s="942">
        <v>45925</v>
      </c>
      <c r="N110" s="943" t="s">
        <v>218</v>
      </c>
      <c r="O110" s="943" t="s">
        <v>16955</v>
      </c>
      <c r="P110" s="943">
        <v>1.7</v>
      </c>
      <c r="Q110" s="943">
        <v>1.88</v>
      </c>
      <c r="R110" s="316">
        <v>11</v>
      </c>
      <c r="S110" s="1226" t="s">
        <v>16931</v>
      </c>
      <c r="T110" s="1156" t="s">
        <v>16904</v>
      </c>
      <c r="U110" s="1156" t="s">
        <v>16933</v>
      </c>
      <c r="V110" s="1156" t="s">
        <v>16879</v>
      </c>
    </row>
    <row r="111" spans="1:22" hidden="1">
      <c r="A111" s="1446" t="s">
        <v>16956</v>
      </c>
      <c r="B111" s="316">
        <v>823</v>
      </c>
      <c r="C111" s="937">
        <f t="shared" si="2"/>
        <v>1.7496962332928312</v>
      </c>
      <c r="D111" s="1447">
        <f t="shared" si="3"/>
        <v>823</v>
      </c>
      <c r="E111" s="945" t="s">
        <v>840</v>
      </c>
      <c r="F111" s="938" t="s">
        <v>16200</v>
      </c>
      <c r="G111" s="945">
        <v>600</v>
      </c>
      <c r="H111" s="316" t="s">
        <v>126</v>
      </c>
      <c r="I111" s="316">
        <v>1.6</v>
      </c>
      <c r="J111" s="939" t="s">
        <v>250</v>
      </c>
      <c r="K111" s="938" t="s">
        <v>474</v>
      </c>
      <c r="L111" s="941">
        <v>4</v>
      </c>
      <c r="M111" s="942">
        <v>45930</v>
      </c>
      <c r="N111" s="943" t="s">
        <v>229</v>
      </c>
      <c r="O111" s="943" t="s">
        <v>16957</v>
      </c>
      <c r="P111" s="943">
        <v>1.77</v>
      </c>
      <c r="Q111" s="943">
        <v>1.76</v>
      </c>
      <c r="R111" s="316">
        <v>15</v>
      </c>
      <c r="S111" s="1226" t="s">
        <v>16903</v>
      </c>
      <c r="T111" s="1156" t="s">
        <v>16904</v>
      </c>
      <c r="U111" s="1156" t="s">
        <v>16905</v>
      </c>
      <c r="V111" s="1156" t="s">
        <v>16879</v>
      </c>
    </row>
    <row r="112" spans="1:22" hidden="1">
      <c r="A112" s="1446" t="s">
        <v>16958</v>
      </c>
      <c r="B112" s="316">
        <v>836</v>
      </c>
      <c r="C112" s="937">
        <f t="shared" si="2"/>
        <v>1.7224880382775121</v>
      </c>
      <c r="D112" s="1447">
        <f t="shared" si="3"/>
        <v>836</v>
      </c>
      <c r="E112" s="945" t="s">
        <v>453</v>
      </c>
      <c r="F112" s="938" t="s">
        <v>16033</v>
      </c>
      <c r="G112" s="945">
        <v>740</v>
      </c>
      <c r="H112" s="316" t="s">
        <v>126</v>
      </c>
      <c r="I112" s="316">
        <v>1.2</v>
      </c>
      <c r="J112" s="939" t="s">
        <v>250</v>
      </c>
      <c r="K112" s="938" t="s">
        <v>994</v>
      </c>
      <c r="L112" s="941">
        <v>5</v>
      </c>
      <c r="M112" s="942">
        <v>45932</v>
      </c>
      <c r="N112" s="943" t="s">
        <v>226</v>
      </c>
      <c r="O112" s="943" t="s">
        <v>16916</v>
      </c>
      <c r="P112" s="943">
        <v>1.71</v>
      </c>
      <c r="Q112" s="943">
        <v>1.78</v>
      </c>
      <c r="R112" s="316">
        <v>13.5</v>
      </c>
      <c r="S112" s="1226" t="s">
        <v>16909</v>
      </c>
      <c r="T112" s="1156" t="s">
        <v>16910</v>
      </c>
      <c r="U112" s="1156" t="s">
        <v>16910</v>
      </c>
      <c r="V112" s="1156" t="s">
        <v>16879</v>
      </c>
    </row>
    <row r="113" spans="1:22" hidden="1">
      <c r="A113" s="1444" t="s">
        <v>16959</v>
      </c>
      <c r="B113" s="939">
        <v>952</v>
      </c>
      <c r="C113" s="937">
        <f t="shared" si="2"/>
        <v>1.5126050420168067</v>
      </c>
      <c r="D113" s="1448">
        <f t="shared" si="3"/>
        <v>952</v>
      </c>
      <c r="E113" s="938" t="s">
        <v>472</v>
      </c>
      <c r="F113" s="938" t="s">
        <v>16954</v>
      </c>
      <c r="G113" s="938">
        <v>650</v>
      </c>
      <c r="H113" s="316" t="s">
        <v>126</v>
      </c>
      <c r="I113" s="944">
        <v>0.8</v>
      </c>
      <c r="J113" s="939" t="s">
        <v>250</v>
      </c>
      <c r="K113" s="938" t="s">
        <v>618</v>
      </c>
      <c r="L113" s="941">
        <v>5</v>
      </c>
      <c r="M113" s="942">
        <v>45937</v>
      </c>
      <c r="N113" s="943" t="s">
        <v>220</v>
      </c>
      <c r="O113" s="943" t="s">
        <v>16955</v>
      </c>
      <c r="P113" s="943">
        <v>1.7</v>
      </c>
      <c r="Q113" s="943">
        <v>1.95</v>
      </c>
      <c r="R113" s="943">
        <v>11</v>
      </c>
      <c r="S113" s="1227" t="s">
        <v>16941</v>
      </c>
      <c r="T113" s="1157" t="s">
        <v>16904</v>
      </c>
      <c r="U113" s="1157" t="s">
        <v>16943</v>
      </c>
      <c r="V113" s="1157" t="s">
        <v>16879</v>
      </c>
    </row>
    <row r="114" spans="1:22" hidden="1">
      <c r="A114" s="1444" t="s">
        <v>16960</v>
      </c>
      <c r="B114" s="939">
        <v>791</v>
      </c>
      <c r="C114" s="937">
        <f t="shared" si="2"/>
        <v>1.8204804045512011</v>
      </c>
      <c r="D114" s="1447">
        <f t="shared" si="3"/>
        <v>791</v>
      </c>
      <c r="E114" s="938" t="s">
        <v>424</v>
      </c>
      <c r="F114" s="938" t="s">
        <v>15504</v>
      </c>
      <c r="G114" s="938">
        <v>800</v>
      </c>
      <c r="H114" s="316" t="s">
        <v>126</v>
      </c>
      <c r="I114" s="316">
        <v>1.8</v>
      </c>
      <c r="J114" s="939" t="s">
        <v>250</v>
      </c>
      <c r="K114" s="938" t="s">
        <v>622</v>
      </c>
      <c r="L114" s="941">
        <v>5</v>
      </c>
      <c r="M114" s="942">
        <v>45933</v>
      </c>
      <c r="N114" s="943" t="s">
        <v>227</v>
      </c>
      <c r="O114" s="943" t="s">
        <v>15881</v>
      </c>
      <c r="P114" s="943">
        <v>1.78</v>
      </c>
      <c r="Q114" s="943">
        <v>1.79</v>
      </c>
      <c r="R114" s="316">
        <v>13.5</v>
      </c>
      <c r="S114" s="1226" t="s">
        <v>16944</v>
      </c>
      <c r="T114" s="1156" t="s">
        <v>16961</v>
      </c>
      <c r="U114" s="1156" t="s">
        <v>16909</v>
      </c>
      <c r="V114" s="1156" t="s">
        <v>16879</v>
      </c>
    </row>
    <row r="115" spans="1:22" hidden="1">
      <c r="A115" s="1446" t="s">
        <v>16962</v>
      </c>
      <c r="B115" s="939">
        <v>793</v>
      </c>
      <c r="C115" s="937">
        <f t="shared" si="2"/>
        <v>1.815889029003783</v>
      </c>
      <c r="D115" s="1448">
        <f t="shared" si="3"/>
        <v>793</v>
      </c>
      <c r="E115" s="938" t="s">
        <v>850</v>
      </c>
      <c r="F115" s="945" t="s">
        <v>16963</v>
      </c>
      <c r="G115" s="938">
        <v>600</v>
      </c>
      <c r="H115" s="316" t="s">
        <v>626</v>
      </c>
      <c r="I115" s="944">
        <v>1.1000000000000001</v>
      </c>
      <c r="J115" s="939" t="s">
        <v>250</v>
      </c>
      <c r="K115" s="938" t="s">
        <v>877</v>
      </c>
      <c r="L115" s="941">
        <v>4</v>
      </c>
      <c r="M115" s="942">
        <v>45950</v>
      </c>
      <c r="N115" s="943" t="s">
        <v>16964</v>
      </c>
      <c r="O115" s="943" t="s">
        <v>16965</v>
      </c>
      <c r="P115" s="943">
        <v>1.675</v>
      </c>
      <c r="Q115" s="943">
        <v>1.76</v>
      </c>
      <c r="R115" s="316">
        <v>9.5</v>
      </c>
      <c r="S115" s="1226" t="s">
        <v>16966</v>
      </c>
      <c r="T115" s="1156" t="s">
        <v>16967</v>
      </c>
      <c r="U115" s="1156" t="s">
        <v>16944</v>
      </c>
      <c r="V115" s="1156" t="s">
        <v>16879</v>
      </c>
    </row>
    <row r="116" spans="1:22" hidden="1">
      <c r="A116" s="1444" t="s">
        <v>16968</v>
      </c>
      <c r="B116" s="939">
        <v>751</v>
      </c>
      <c r="C116" s="937">
        <f t="shared" si="2"/>
        <v>1.9174434087882823</v>
      </c>
      <c r="D116" s="1448">
        <f t="shared" si="3"/>
        <v>751</v>
      </c>
      <c r="E116" s="938" t="s">
        <v>1891</v>
      </c>
      <c r="F116" s="938" t="s">
        <v>16969</v>
      </c>
      <c r="G116" s="938">
        <v>660</v>
      </c>
      <c r="H116" s="316" t="s">
        <v>126</v>
      </c>
      <c r="I116" s="316">
        <v>0.7</v>
      </c>
      <c r="J116" s="939" t="s">
        <v>250</v>
      </c>
      <c r="K116" s="938" t="s">
        <v>845</v>
      </c>
      <c r="L116" s="941">
        <v>4</v>
      </c>
      <c r="M116" s="942">
        <v>45957</v>
      </c>
      <c r="N116" s="943" t="s">
        <v>218</v>
      </c>
      <c r="O116" s="943" t="s">
        <v>762</v>
      </c>
      <c r="P116" s="943">
        <v>1.69</v>
      </c>
      <c r="Q116" s="943">
        <v>1.92</v>
      </c>
      <c r="R116" s="316">
        <v>11</v>
      </c>
      <c r="S116" s="1226" t="s">
        <v>16931</v>
      </c>
      <c r="T116" s="1156" t="s">
        <v>16904</v>
      </c>
      <c r="U116" s="1156" t="s">
        <v>16970</v>
      </c>
      <c r="V116" s="1156" t="s">
        <v>16879</v>
      </c>
    </row>
    <row r="117" spans="1:22" hidden="1">
      <c r="A117" s="1446" t="s">
        <v>16043</v>
      </c>
      <c r="B117" s="316">
        <v>901</v>
      </c>
      <c r="C117" s="937">
        <f t="shared" si="2"/>
        <v>1.5982241953385128</v>
      </c>
      <c r="D117" s="1447">
        <f t="shared" si="3"/>
        <v>901</v>
      </c>
      <c r="E117" s="945" t="s">
        <v>1783</v>
      </c>
      <c r="F117" s="945" t="s">
        <v>16044</v>
      </c>
      <c r="G117" s="945">
        <v>500</v>
      </c>
      <c r="H117" s="316" t="s">
        <v>126</v>
      </c>
      <c r="I117" s="316">
        <v>0.3</v>
      </c>
      <c r="J117" s="939" t="s">
        <v>250</v>
      </c>
      <c r="K117" s="938" t="s">
        <v>1143</v>
      </c>
      <c r="L117" s="941">
        <v>3.7</v>
      </c>
      <c r="M117" s="942">
        <v>45959</v>
      </c>
      <c r="N117" s="943" t="s">
        <v>16971</v>
      </c>
      <c r="O117" s="943" t="s">
        <v>15881</v>
      </c>
      <c r="P117" s="943">
        <v>1.68</v>
      </c>
      <c r="Q117" s="943">
        <v>2.0299999999999998</v>
      </c>
      <c r="R117" s="316">
        <v>8.5</v>
      </c>
      <c r="S117" s="1226" t="s">
        <v>16972</v>
      </c>
      <c r="T117" s="1156" t="s">
        <v>16961</v>
      </c>
      <c r="U117" s="1156" t="s">
        <v>16973</v>
      </c>
      <c r="V117" s="1156" t="s">
        <v>16879</v>
      </c>
    </row>
    <row r="118" spans="1:22" hidden="1">
      <c r="A118" s="1446" t="s">
        <v>16515</v>
      </c>
      <c r="B118" s="316">
        <v>1112</v>
      </c>
      <c r="C118" s="937">
        <f t="shared" si="2"/>
        <v>1.2949640287769784</v>
      </c>
      <c r="D118" s="1447">
        <f t="shared" si="3"/>
        <v>1112</v>
      </c>
      <c r="E118" s="945" t="s">
        <v>620</v>
      </c>
      <c r="F118" s="938" t="s">
        <v>16974</v>
      </c>
      <c r="G118" s="945">
        <v>550</v>
      </c>
      <c r="H118" s="316" t="s">
        <v>626</v>
      </c>
      <c r="I118" s="316">
        <v>1.6</v>
      </c>
      <c r="J118" s="939" t="s">
        <v>251</v>
      </c>
      <c r="K118" s="938" t="s">
        <v>16715</v>
      </c>
      <c r="L118" s="941">
        <v>5</v>
      </c>
      <c r="M118" s="942">
        <v>45959</v>
      </c>
      <c r="N118" s="943" t="s">
        <v>16975</v>
      </c>
      <c r="O118" s="943" t="s">
        <v>16976</v>
      </c>
      <c r="P118" s="943">
        <v>1.73</v>
      </c>
      <c r="Q118" s="943">
        <v>1.88</v>
      </c>
      <c r="R118" s="316">
        <v>6</v>
      </c>
      <c r="S118" s="1226" t="s">
        <v>16977</v>
      </c>
      <c r="T118" s="1156" t="s">
        <v>16914</v>
      </c>
      <c r="U118" s="1156" t="s">
        <v>16961</v>
      </c>
    </row>
    <row r="119" spans="1:22" hidden="1">
      <c r="A119" s="1446" t="s">
        <v>16517</v>
      </c>
      <c r="B119" s="316">
        <v>950</v>
      </c>
      <c r="C119" s="937">
        <f t="shared" si="2"/>
        <v>1.5157894736842106</v>
      </c>
      <c r="D119" s="1448">
        <f t="shared" si="3"/>
        <v>950</v>
      </c>
      <c r="E119" s="945" t="s">
        <v>472</v>
      </c>
      <c r="F119" s="945" t="s">
        <v>16969</v>
      </c>
      <c r="G119" s="945">
        <v>650</v>
      </c>
      <c r="H119" s="316" t="s">
        <v>126</v>
      </c>
      <c r="I119" s="316">
        <v>0.8</v>
      </c>
      <c r="J119" s="939" t="s">
        <v>250</v>
      </c>
      <c r="K119" s="938" t="s">
        <v>622</v>
      </c>
      <c r="L119" s="941">
        <v>5</v>
      </c>
      <c r="M119" s="942">
        <v>45960</v>
      </c>
      <c r="N119" s="943" t="s">
        <v>220</v>
      </c>
      <c r="O119" s="943" t="s">
        <v>762</v>
      </c>
      <c r="P119" s="943">
        <v>1.69</v>
      </c>
      <c r="Q119" s="943">
        <v>2.0499999999999998</v>
      </c>
      <c r="R119" s="316">
        <v>11</v>
      </c>
      <c r="S119" s="1226" t="s">
        <v>16941</v>
      </c>
      <c r="T119" s="1156" t="s">
        <v>16904</v>
      </c>
      <c r="U119" s="1156" t="s">
        <v>16978</v>
      </c>
      <c r="V119" s="1156" t="s">
        <v>16879</v>
      </c>
    </row>
    <row r="120" spans="1:22" hidden="1">
      <c r="A120" s="1444" t="s">
        <v>16521</v>
      </c>
      <c r="B120" s="939">
        <v>478</v>
      </c>
      <c r="C120" s="937">
        <f t="shared" si="2"/>
        <v>3.01255230125523</v>
      </c>
      <c r="D120" s="1447">
        <f t="shared" si="3"/>
        <v>478</v>
      </c>
      <c r="E120" s="938" t="s">
        <v>1842</v>
      </c>
      <c r="F120" s="938" t="s">
        <v>16906</v>
      </c>
      <c r="G120" s="938">
        <v>500</v>
      </c>
      <c r="H120" s="316" t="s">
        <v>126</v>
      </c>
      <c r="I120" s="944">
        <v>0.8</v>
      </c>
      <c r="J120" s="939" t="s">
        <v>250</v>
      </c>
      <c r="K120" s="938" t="s">
        <v>712</v>
      </c>
      <c r="L120" s="941">
        <v>2</v>
      </c>
      <c r="M120" s="942">
        <v>45964</v>
      </c>
      <c r="N120" s="943" t="s">
        <v>16979</v>
      </c>
      <c r="O120" s="943" t="s">
        <v>16907</v>
      </c>
      <c r="P120" s="943">
        <v>1.68</v>
      </c>
      <c r="Q120" s="943">
        <v>1.65</v>
      </c>
      <c r="R120" s="316">
        <v>8.5</v>
      </c>
      <c r="S120" s="1226" t="s">
        <v>16913</v>
      </c>
      <c r="T120" s="1156" t="s">
        <v>16980</v>
      </c>
      <c r="U120" s="1156" t="s">
        <v>16929</v>
      </c>
      <c r="V120" s="1156" t="s">
        <v>16981</v>
      </c>
    </row>
    <row r="121" spans="1:22" hidden="1">
      <c r="A121" s="1444" t="s">
        <v>15456</v>
      </c>
      <c r="B121" s="939">
        <v>612</v>
      </c>
      <c r="C121" s="937">
        <f t="shared" si="2"/>
        <v>2.3529411764705883</v>
      </c>
      <c r="D121" s="1448">
        <f t="shared" si="3"/>
        <v>612</v>
      </c>
      <c r="E121" s="938" t="s">
        <v>715</v>
      </c>
      <c r="F121" s="938" t="s">
        <v>16982</v>
      </c>
      <c r="G121" s="938">
        <v>600</v>
      </c>
      <c r="H121" s="316" t="s">
        <v>126</v>
      </c>
      <c r="I121" s="316">
        <v>1.1000000000000001</v>
      </c>
      <c r="J121" s="939" t="s">
        <v>250</v>
      </c>
      <c r="K121" s="938" t="s">
        <v>621</v>
      </c>
      <c r="L121" s="941">
        <v>4</v>
      </c>
      <c r="M121" s="942">
        <v>45832</v>
      </c>
      <c r="N121" s="943" t="s">
        <v>16983</v>
      </c>
      <c r="O121" s="943" t="s">
        <v>862</v>
      </c>
      <c r="P121" s="943">
        <v>1.7</v>
      </c>
      <c r="Q121" s="943">
        <v>1.68</v>
      </c>
      <c r="R121" s="316">
        <v>8.5</v>
      </c>
    </row>
    <row r="122" spans="1:22" hidden="1">
      <c r="A122" s="1444" t="s">
        <v>15580</v>
      </c>
      <c r="B122" s="939">
        <v>612</v>
      </c>
      <c r="C122" s="937">
        <f t="shared" si="2"/>
        <v>2.3529411764705883</v>
      </c>
      <c r="D122" s="1447">
        <f t="shared" si="3"/>
        <v>612</v>
      </c>
      <c r="E122" s="938" t="s">
        <v>715</v>
      </c>
      <c r="F122" s="938" t="s">
        <v>16984</v>
      </c>
      <c r="G122" s="938">
        <v>600</v>
      </c>
      <c r="H122" s="316" t="s">
        <v>126</v>
      </c>
      <c r="I122" s="316">
        <v>1</v>
      </c>
      <c r="J122" s="939" t="s">
        <v>250</v>
      </c>
      <c r="K122" s="938" t="s">
        <v>474</v>
      </c>
      <c r="L122" s="941">
        <v>4</v>
      </c>
      <c r="M122" s="942">
        <v>45866</v>
      </c>
      <c r="N122" s="943" t="s">
        <v>228</v>
      </c>
      <c r="O122" s="943" t="s">
        <v>868</v>
      </c>
      <c r="P122" s="943">
        <v>1.6950000000000001</v>
      </c>
      <c r="Q122" s="943">
        <v>1.6</v>
      </c>
      <c r="R122" s="316">
        <v>8</v>
      </c>
    </row>
    <row r="123" spans="1:22" hidden="1">
      <c r="A123" s="1444" t="s">
        <v>15537</v>
      </c>
      <c r="B123" s="939">
        <v>690</v>
      </c>
      <c r="C123" s="937">
        <f t="shared" si="2"/>
        <v>2.0869565217391304</v>
      </c>
      <c r="D123" s="1448">
        <f t="shared" si="3"/>
        <v>690</v>
      </c>
      <c r="E123" s="938" t="s">
        <v>298</v>
      </c>
      <c r="F123" s="938" t="s">
        <v>15538</v>
      </c>
      <c r="G123" s="938">
        <v>650</v>
      </c>
      <c r="H123" s="316" t="s">
        <v>626</v>
      </c>
      <c r="I123" s="944">
        <v>2.4</v>
      </c>
      <c r="J123" s="939" t="s">
        <v>250</v>
      </c>
      <c r="K123" s="938" t="s">
        <v>803</v>
      </c>
      <c r="L123" s="941">
        <v>5</v>
      </c>
      <c r="M123" s="942">
        <v>45863</v>
      </c>
      <c r="N123" s="943" t="s">
        <v>16985</v>
      </c>
      <c r="O123" s="943" t="s">
        <v>862</v>
      </c>
      <c r="P123" s="943">
        <v>1.7549999999999999</v>
      </c>
      <c r="Q123" s="943">
        <v>1.6</v>
      </c>
      <c r="R123" s="316">
        <v>12.5</v>
      </c>
    </row>
    <row r="124" spans="1:22" hidden="1">
      <c r="A124" s="1446" t="s">
        <v>15581</v>
      </c>
      <c r="B124" s="316">
        <v>612</v>
      </c>
      <c r="C124" s="937">
        <f t="shared" si="2"/>
        <v>2.3529411764705883</v>
      </c>
      <c r="D124" s="1447">
        <f t="shared" si="3"/>
        <v>612</v>
      </c>
      <c r="E124" s="945" t="s">
        <v>715</v>
      </c>
      <c r="F124" s="938" t="s">
        <v>16984</v>
      </c>
      <c r="G124" s="945">
        <v>600</v>
      </c>
      <c r="H124" s="316" t="s">
        <v>126</v>
      </c>
      <c r="I124" s="316">
        <v>1.1000000000000001</v>
      </c>
      <c r="J124" s="939" t="s">
        <v>250</v>
      </c>
      <c r="K124" s="938" t="s">
        <v>468</v>
      </c>
      <c r="L124" s="941">
        <v>4</v>
      </c>
      <c r="M124" s="942">
        <v>45867</v>
      </c>
      <c r="N124" s="943" t="s">
        <v>16983</v>
      </c>
      <c r="O124" s="943" t="s">
        <v>868</v>
      </c>
      <c r="P124" s="943">
        <v>1.7</v>
      </c>
      <c r="Q124" s="943">
        <v>1.61</v>
      </c>
      <c r="R124" s="316">
        <v>8.5</v>
      </c>
      <c r="S124" s="1226" t="s">
        <v>16986</v>
      </c>
      <c r="T124" s="1156" t="s">
        <v>16028</v>
      </c>
      <c r="U124" s="1156" t="s">
        <v>16987</v>
      </c>
      <c r="V124" s="1156" t="s">
        <v>16879</v>
      </c>
    </row>
    <row r="125" spans="1:22" hidden="1">
      <c r="A125" s="1446" t="s">
        <v>15614</v>
      </c>
      <c r="B125" s="939">
        <v>690</v>
      </c>
      <c r="C125" s="937">
        <f t="shared" si="2"/>
        <v>2.0869565217391304</v>
      </c>
      <c r="D125" s="1447">
        <f t="shared" si="3"/>
        <v>690</v>
      </c>
      <c r="E125" s="938" t="s">
        <v>298</v>
      </c>
      <c r="F125" s="945" t="s">
        <v>16988</v>
      </c>
      <c r="G125" s="938">
        <v>650</v>
      </c>
      <c r="H125" s="316" t="s">
        <v>626</v>
      </c>
      <c r="I125" s="316">
        <v>2.2999999999999998</v>
      </c>
      <c r="J125" s="939" t="s">
        <v>250</v>
      </c>
      <c r="K125" s="938" t="s">
        <v>618</v>
      </c>
      <c r="L125" s="941">
        <v>5</v>
      </c>
      <c r="M125" s="942">
        <v>45874</v>
      </c>
      <c r="N125" s="943" t="s">
        <v>16989</v>
      </c>
      <c r="O125" s="943" t="s">
        <v>16965</v>
      </c>
      <c r="P125" s="943">
        <v>1.7549999999999999</v>
      </c>
      <c r="Q125" s="943">
        <v>1.82</v>
      </c>
      <c r="R125" s="316">
        <v>12.5</v>
      </c>
      <c r="S125" s="1226" t="s">
        <v>16931</v>
      </c>
      <c r="T125" s="1156" t="s">
        <v>16990</v>
      </c>
      <c r="U125" s="1156" t="s">
        <v>16944</v>
      </c>
      <c r="V125" s="1156" t="s">
        <v>16879</v>
      </c>
    </row>
    <row r="126" spans="1:22" hidden="1">
      <c r="A126" s="1444" t="s">
        <v>15618</v>
      </c>
      <c r="B126" s="939">
        <v>588</v>
      </c>
      <c r="C126" s="937">
        <f t="shared" si="2"/>
        <v>2.4489795918367347</v>
      </c>
      <c r="D126" s="1448">
        <f t="shared" si="3"/>
        <v>588</v>
      </c>
      <c r="E126" s="938" t="s">
        <v>715</v>
      </c>
      <c r="F126" s="938" t="s">
        <v>16991</v>
      </c>
      <c r="G126" s="938">
        <v>620</v>
      </c>
      <c r="H126" s="316" t="s">
        <v>126</v>
      </c>
      <c r="I126" s="944">
        <v>1.1000000000000001</v>
      </c>
      <c r="J126" s="939" t="s">
        <v>250</v>
      </c>
      <c r="K126" s="938" t="s">
        <v>876</v>
      </c>
      <c r="L126" s="941">
        <v>4</v>
      </c>
      <c r="M126" s="942">
        <v>45875</v>
      </c>
      <c r="N126" s="943" t="s">
        <v>214</v>
      </c>
      <c r="O126" s="943" t="s">
        <v>878</v>
      </c>
      <c r="P126" s="943">
        <v>1.7</v>
      </c>
      <c r="Q126" s="943">
        <v>1.62</v>
      </c>
      <c r="R126" s="316">
        <v>8.5</v>
      </c>
      <c r="S126" s="1226">
        <v>-6.3</v>
      </c>
      <c r="T126" s="1156" t="s">
        <v>16028</v>
      </c>
      <c r="U126" s="1156" t="s">
        <v>16029</v>
      </c>
      <c r="V126" s="1156" t="s">
        <v>16879</v>
      </c>
    </row>
    <row r="127" spans="1:22" hidden="1">
      <c r="A127" s="1446" t="s">
        <v>15619</v>
      </c>
      <c r="B127" s="316">
        <v>609</v>
      </c>
      <c r="C127" s="937">
        <f t="shared" si="2"/>
        <v>2.3645320197044337</v>
      </c>
      <c r="D127" s="1447">
        <f t="shared" si="3"/>
        <v>609</v>
      </c>
      <c r="E127" s="945" t="s">
        <v>715</v>
      </c>
      <c r="F127" s="945" t="s">
        <v>16991</v>
      </c>
      <c r="G127" s="945">
        <v>600</v>
      </c>
      <c r="H127" s="316" t="s">
        <v>126</v>
      </c>
      <c r="I127" s="316">
        <v>1</v>
      </c>
      <c r="J127" s="939" t="s">
        <v>250</v>
      </c>
      <c r="K127" s="938" t="s">
        <v>868</v>
      </c>
      <c r="L127" s="941">
        <v>4</v>
      </c>
      <c r="M127" s="942">
        <v>45876</v>
      </c>
      <c r="N127" s="943" t="s">
        <v>228</v>
      </c>
      <c r="O127" s="943" t="s">
        <v>878</v>
      </c>
      <c r="P127" s="943">
        <v>1.7050000000000001</v>
      </c>
      <c r="Q127" s="943">
        <v>1.6</v>
      </c>
      <c r="R127" s="316">
        <v>7.5</v>
      </c>
      <c r="S127" s="1226" t="s">
        <v>16986</v>
      </c>
      <c r="T127" s="1156" t="s">
        <v>16028</v>
      </c>
      <c r="U127" s="1156" t="s">
        <v>16992</v>
      </c>
      <c r="V127" s="1156" t="s">
        <v>16879</v>
      </c>
    </row>
    <row r="128" spans="1:22" hidden="1">
      <c r="A128" s="1446" t="s">
        <v>15890</v>
      </c>
      <c r="B128" s="939">
        <v>648</v>
      </c>
      <c r="C128" s="937">
        <f t="shared" si="2"/>
        <v>2.2222222222222223</v>
      </c>
      <c r="D128" s="1448">
        <f t="shared" si="3"/>
        <v>648</v>
      </c>
      <c r="E128" s="938" t="s">
        <v>298</v>
      </c>
      <c r="F128" s="945" t="s">
        <v>15891</v>
      </c>
      <c r="G128" s="938">
        <v>700</v>
      </c>
      <c r="H128" s="316" t="s">
        <v>126</v>
      </c>
      <c r="I128" s="944">
        <v>2</v>
      </c>
      <c r="J128" s="939" t="s">
        <v>250</v>
      </c>
      <c r="K128" s="938" t="s">
        <v>877</v>
      </c>
      <c r="L128" s="941">
        <v>5</v>
      </c>
      <c r="M128" s="942">
        <v>45919</v>
      </c>
      <c r="N128" s="943" t="s">
        <v>16989</v>
      </c>
      <c r="O128" s="943" t="s">
        <v>621</v>
      </c>
      <c r="P128" s="943">
        <v>1.75</v>
      </c>
      <c r="Q128" s="943">
        <v>1.7</v>
      </c>
      <c r="R128" s="316">
        <v>13</v>
      </c>
      <c r="S128" s="1226" t="s">
        <v>16917</v>
      </c>
      <c r="T128" s="1156" t="s">
        <v>16993</v>
      </c>
      <c r="U128" s="1156" t="s">
        <v>16994</v>
      </c>
      <c r="V128" s="1156" t="s">
        <v>16879</v>
      </c>
    </row>
    <row r="129" spans="1:22" hidden="1">
      <c r="A129" s="1444" t="s">
        <v>15885</v>
      </c>
      <c r="B129" s="939">
        <v>561</v>
      </c>
      <c r="C129" s="937">
        <f t="shared" si="2"/>
        <v>2.5668449197860963</v>
      </c>
      <c r="D129" s="1447">
        <f t="shared" si="3"/>
        <v>561</v>
      </c>
      <c r="E129" s="945" t="s">
        <v>715</v>
      </c>
      <c r="F129" s="938" t="s">
        <v>16995</v>
      </c>
      <c r="G129" s="938">
        <v>650</v>
      </c>
      <c r="H129" s="316" t="s">
        <v>126</v>
      </c>
      <c r="I129" s="316">
        <v>1.1000000000000001</v>
      </c>
      <c r="J129" s="939" t="s">
        <v>250</v>
      </c>
      <c r="K129" s="938" t="s">
        <v>483</v>
      </c>
      <c r="L129" s="941">
        <v>4</v>
      </c>
      <c r="M129" s="942">
        <v>45917</v>
      </c>
      <c r="N129" s="943" t="s">
        <v>214</v>
      </c>
      <c r="O129" s="943" t="s">
        <v>16996</v>
      </c>
      <c r="P129" s="943">
        <v>1.7</v>
      </c>
      <c r="Q129" s="943" t="s">
        <v>16997</v>
      </c>
      <c r="R129" s="316">
        <v>8.5</v>
      </c>
      <c r="S129" s="1226" t="s">
        <v>16986</v>
      </c>
      <c r="T129" s="1156" t="s">
        <v>16028</v>
      </c>
      <c r="U129" s="1156" t="s">
        <v>16998</v>
      </c>
      <c r="V129" s="1156" t="s">
        <v>16879</v>
      </c>
    </row>
    <row r="130" spans="1:22" hidden="1">
      <c r="A130" s="1446" t="s">
        <v>15886</v>
      </c>
      <c r="B130" s="316">
        <v>562</v>
      </c>
      <c r="C130" s="937">
        <f t="shared" ref="C130:C193" si="4">IFERROR(1440/D130, "")</f>
        <v>2.5622775800711746</v>
      </c>
      <c r="D130" s="1448">
        <f t="shared" ref="D130:D193" si="5">IF(B130="", "", IF(B130&lt;1, B130*1440, B130))</f>
        <v>562</v>
      </c>
      <c r="E130" s="945" t="s">
        <v>715</v>
      </c>
      <c r="F130" s="938" t="s">
        <v>16995</v>
      </c>
      <c r="G130" s="945">
        <v>650</v>
      </c>
      <c r="H130" s="316" t="s">
        <v>126</v>
      </c>
      <c r="I130" s="316">
        <v>1.1000000000000001</v>
      </c>
      <c r="J130" s="939" t="s">
        <v>250</v>
      </c>
      <c r="K130" s="938" t="s">
        <v>853</v>
      </c>
      <c r="L130" s="941">
        <v>4</v>
      </c>
      <c r="M130" s="942">
        <v>45918</v>
      </c>
      <c r="N130" s="943" t="s">
        <v>16999</v>
      </c>
      <c r="O130" s="943" t="s">
        <v>16996</v>
      </c>
      <c r="P130" s="943">
        <v>1.7050000000000001</v>
      </c>
      <c r="Q130" s="943">
        <v>1.64</v>
      </c>
      <c r="R130" s="316">
        <v>8</v>
      </c>
      <c r="S130" s="1226" t="s">
        <v>16986</v>
      </c>
      <c r="T130" s="1156" t="s">
        <v>16028</v>
      </c>
      <c r="U130" s="1156" t="s">
        <v>16992</v>
      </c>
      <c r="V130" s="1156" t="s">
        <v>16879</v>
      </c>
    </row>
    <row r="131" spans="1:22" hidden="1">
      <c r="A131" s="1446" t="s">
        <v>16539</v>
      </c>
      <c r="B131" s="316">
        <v>641</v>
      </c>
      <c r="C131" s="937">
        <f t="shared" si="4"/>
        <v>2.2464898595943836</v>
      </c>
      <c r="D131" s="1447">
        <f t="shared" si="5"/>
        <v>641</v>
      </c>
      <c r="E131" s="945" t="s">
        <v>298</v>
      </c>
      <c r="F131" s="945" t="s">
        <v>15891</v>
      </c>
      <c r="G131" s="945">
        <v>700</v>
      </c>
      <c r="H131" s="316" t="s">
        <v>626</v>
      </c>
      <c r="I131" s="316">
        <v>2.4</v>
      </c>
      <c r="J131" s="939" t="s">
        <v>250</v>
      </c>
      <c r="K131" s="938" t="s">
        <v>762</v>
      </c>
      <c r="L131" s="941">
        <v>5</v>
      </c>
      <c r="M131" s="942">
        <v>45937</v>
      </c>
      <c r="N131" s="943" t="s">
        <v>223</v>
      </c>
      <c r="O131" s="943" t="s">
        <v>621</v>
      </c>
      <c r="P131" s="943">
        <v>1.76</v>
      </c>
      <c r="Q131" s="943">
        <v>1.88</v>
      </c>
      <c r="R131" s="316">
        <v>12.5</v>
      </c>
      <c r="S131" s="1226" t="s">
        <v>16931</v>
      </c>
      <c r="T131" s="1156" t="s">
        <v>16990</v>
      </c>
      <c r="U131" s="1156" t="s">
        <v>17000</v>
      </c>
      <c r="V131" s="1156" t="s">
        <v>16879</v>
      </c>
    </row>
    <row r="132" spans="1:22" hidden="1">
      <c r="A132" s="1444" t="s">
        <v>16541</v>
      </c>
      <c r="B132" s="939">
        <v>563</v>
      </c>
      <c r="C132" s="937">
        <f t="shared" si="4"/>
        <v>2.5577264653641207</v>
      </c>
      <c r="D132" s="1448">
        <f t="shared" si="5"/>
        <v>563</v>
      </c>
      <c r="E132" s="945" t="s">
        <v>715</v>
      </c>
      <c r="F132" s="945" t="s">
        <v>17001</v>
      </c>
      <c r="G132" s="938">
        <v>650</v>
      </c>
      <c r="H132" s="316" t="s">
        <v>126</v>
      </c>
      <c r="I132" s="939">
        <v>1.1000000000000001</v>
      </c>
      <c r="J132" s="939" t="s">
        <v>250</v>
      </c>
      <c r="K132" s="938" t="s">
        <v>621</v>
      </c>
      <c r="L132" s="941">
        <v>4</v>
      </c>
      <c r="M132" s="942">
        <v>45958</v>
      </c>
      <c r="N132" s="943" t="s">
        <v>228</v>
      </c>
      <c r="O132" s="943" t="s">
        <v>862</v>
      </c>
      <c r="P132" s="943">
        <v>1.7050000000000001</v>
      </c>
      <c r="Q132" s="943">
        <v>1.64</v>
      </c>
      <c r="R132" s="316">
        <v>8</v>
      </c>
      <c r="S132" s="1226" t="s">
        <v>16986</v>
      </c>
      <c r="T132" s="1156" t="s">
        <v>16028</v>
      </c>
      <c r="U132" s="1156" t="s">
        <v>17002</v>
      </c>
      <c r="V132" s="1156" t="s">
        <v>16879</v>
      </c>
    </row>
    <row r="133" spans="1:22" hidden="1">
      <c r="A133" s="1446" t="s">
        <v>16543</v>
      </c>
      <c r="B133" s="316">
        <v>561</v>
      </c>
      <c r="C133" s="937">
        <f t="shared" si="4"/>
        <v>2.5668449197860963</v>
      </c>
      <c r="D133" s="1447">
        <f t="shared" si="5"/>
        <v>561</v>
      </c>
      <c r="E133" s="945" t="s">
        <v>715</v>
      </c>
      <c r="F133" s="945" t="s">
        <v>17001</v>
      </c>
      <c r="G133" s="945">
        <v>650</v>
      </c>
      <c r="H133" s="316" t="s">
        <v>126</v>
      </c>
      <c r="I133" s="316">
        <v>1.1000000000000001</v>
      </c>
      <c r="J133" s="939" t="s">
        <v>250</v>
      </c>
      <c r="K133" s="938" t="s">
        <v>813</v>
      </c>
      <c r="L133" s="941">
        <v>4</v>
      </c>
      <c r="M133" s="942">
        <v>45958</v>
      </c>
      <c r="N133" s="943" t="s">
        <v>214</v>
      </c>
      <c r="O133" s="943" t="s">
        <v>862</v>
      </c>
      <c r="P133" s="943">
        <v>1.7</v>
      </c>
      <c r="Q133" s="943">
        <v>1.67</v>
      </c>
      <c r="R133" s="316">
        <v>8.5</v>
      </c>
      <c r="S133" s="1226" t="s">
        <v>16986</v>
      </c>
      <c r="T133" s="1156" t="s">
        <v>16028</v>
      </c>
      <c r="U133" s="1156" t="s">
        <v>17003</v>
      </c>
      <c r="V133" s="1156" t="s">
        <v>16879</v>
      </c>
    </row>
    <row r="134" spans="1:22" hidden="1">
      <c r="A134" s="1444" t="s">
        <v>15083</v>
      </c>
      <c r="B134" s="316">
        <v>449</v>
      </c>
      <c r="C134" s="937">
        <f t="shared" si="4"/>
        <v>3.2071269487750556</v>
      </c>
      <c r="D134" s="1447">
        <f t="shared" si="5"/>
        <v>449</v>
      </c>
      <c r="E134" s="945" t="s">
        <v>799</v>
      </c>
      <c r="F134" s="945" t="s">
        <v>15460</v>
      </c>
      <c r="G134" s="945">
        <v>690</v>
      </c>
      <c r="H134" s="316" t="s">
        <v>126</v>
      </c>
      <c r="I134" s="316">
        <v>0.9</v>
      </c>
      <c r="J134" s="939" t="s">
        <v>250</v>
      </c>
      <c r="K134" s="938" t="s">
        <v>15461</v>
      </c>
      <c r="L134" s="941">
        <v>5</v>
      </c>
      <c r="M134" s="942">
        <v>45779</v>
      </c>
      <c r="N134" s="943" t="s">
        <v>224</v>
      </c>
      <c r="O134" s="943" t="s">
        <v>16907</v>
      </c>
      <c r="P134" s="943">
        <v>1.77</v>
      </c>
      <c r="Q134" s="943">
        <v>1.74</v>
      </c>
    </row>
    <row r="135" spans="1:22" hidden="1">
      <c r="A135" s="1446" t="s">
        <v>15087</v>
      </c>
      <c r="B135" s="316">
        <v>482</v>
      </c>
      <c r="C135" s="937">
        <f t="shared" si="4"/>
        <v>2.9875518672199171</v>
      </c>
      <c r="D135" s="1447">
        <f t="shared" si="5"/>
        <v>482</v>
      </c>
      <c r="E135" s="945" t="s">
        <v>754</v>
      </c>
      <c r="F135" s="938" t="s">
        <v>17004</v>
      </c>
      <c r="G135" s="945">
        <v>500</v>
      </c>
      <c r="H135" s="316" t="s">
        <v>126</v>
      </c>
      <c r="I135" s="940">
        <v>2</v>
      </c>
      <c r="J135" s="939" t="s">
        <v>250</v>
      </c>
      <c r="K135" s="938" t="s">
        <v>618</v>
      </c>
      <c r="L135" s="941">
        <v>4</v>
      </c>
      <c r="M135" s="942">
        <v>45783</v>
      </c>
      <c r="N135" s="943" t="s">
        <v>225</v>
      </c>
      <c r="O135" s="943" t="s">
        <v>16873</v>
      </c>
      <c r="P135" s="943">
        <v>1.655</v>
      </c>
      <c r="Q135" s="943">
        <v>1.95</v>
      </c>
      <c r="R135" s="316">
        <v>13</v>
      </c>
    </row>
    <row r="136" spans="1:22" hidden="1">
      <c r="A136" s="1444" t="s">
        <v>15283</v>
      </c>
      <c r="B136" s="939">
        <v>516</v>
      </c>
      <c r="C136" s="937">
        <f t="shared" si="4"/>
        <v>2.7906976744186047</v>
      </c>
      <c r="D136" s="1447">
        <f t="shared" si="5"/>
        <v>516</v>
      </c>
      <c r="E136" s="938" t="s">
        <v>617</v>
      </c>
      <c r="F136" s="938" t="s">
        <v>811</v>
      </c>
      <c r="G136" s="938">
        <v>600</v>
      </c>
      <c r="H136" s="316" t="s">
        <v>126</v>
      </c>
      <c r="I136" s="944">
        <v>2.7</v>
      </c>
      <c r="J136" s="939" t="s">
        <v>250</v>
      </c>
      <c r="K136" s="938" t="s">
        <v>845</v>
      </c>
      <c r="L136" s="941">
        <v>5</v>
      </c>
      <c r="M136" s="942">
        <v>45786</v>
      </c>
      <c r="N136" s="943" t="s">
        <v>17005</v>
      </c>
      <c r="O136" s="943" t="s">
        <v>16890</v>
      </c>
      <c r="P136" s="943">
        <v>1.75</v>
      </c>
      <c r="Q136" s="943">
        <v>2.04</v>
      </c>
      <c r="R136" s="316">
        <v>18</v>
      </c>
    </row>
    <row r="137" spans="1:22" hidden="1">
      <c r="A137" s="1446" t="s">
        <v>15293</v>
      </c>
      <c r="B137" s="316">
        <v>514</v>
      </c>
      <c r="C137" s="937">
        <f t="shared" si="4"/>
        <v>2.8015564202334629</v>
      </c>
      <c r="D137" s="1447">
        <f t="shared" si="5"/>
        <v>514</v>
      </c>
      <c r="E137" s="945" t="s">
        <v>617</v>
      </c>
      <c r="F137" s="938" t="s">
        <v>17006</v>
      </c>
      <c r="G137" s="945">
        <v>600</v>
      </c>
      <c r="H137" s="316" t="s">
        <v>126</v>
      </c>
      <c r="I137" s="316">
        <v>2.7</v>
      </c>
      <c r="J137" s="939" t="s">
        <v>251</v>
      </c>
      <c r="K137" s="938" t="s">
        <v>619</v>
      </c>
      <c r="L137" s="941">
        <v>5</v>
      </c>
      <c r="M137" s="942">
        <v>45796</v>
      </c>
      <c r="N137" s="943" t="s">
        <v>17005</v>
      </c>
      <c r="O137" s="943" t="s">
        <v>17007</v>
      </c>
      <c r="P137" s="943">
        <v>1.74</v>
      </c>
      <c r="Q137" s="943">
        <v>2.0099999999999998</v>
      </c>
      <c r="R137" s="316">
        <v>18</v>
      </c>
    </row>
    <row r="138" spans="1:22" hidden="1">
      <c r="A138" s="1444" t="s">
        <v>15436</v>
      </c>
      <c r="B138" s="939">
        <v>472</v>
      </c>
      <c r="C138" s="937">
        <f t="shared" si="4"/>
        <v>3.0508474576271185</v>
      </c>
      <c r="D138" s="1447">
        <f t="shared" si="5"/>
        <v>472</v>
      </c>
      <c r="E138" s="945" t="s">
        <v>210</v>
      </c>
      <c r="F138" s="945" t="s">
        <v>15462</v>
      </c>
      <c r="G138" s="938">
        <v>650</v>
      </c>
      <c r="H138" s="316" t="s">
        <v>126</v>
      </c>
      <c r="I138" s="944">
        <v>3</v>
      </c>
      <c r="J138" s="939" t="s">
        <v>250</v>
      </c>
      <c r="K138" s="938" t="s">
        <v>646</v>
      </c>
      <c r="L138" s="941">
        <v>5</v>
      </c>
      <c r="M138" s="942">
        <v>45800</v>
      </c>
      <c r="N138" s="943" t="s">
        <v>17008</v>
      </c>
      <c r="O138" s="943" t="s">
        <v>868</v>
      </c>
      <c r="P138" s="943">
        <v>1.76</v>
      </c>
      <c r="Q138" s="943">
        <v>1.76</v>
      </c>
      <c r="R138" s="316">
        <v>16.5</v>
      </c>
    </row>
    <row r="139" spans="1:22" hidden="1">
      <c r="A139" s="1444" t="s">
        <v>15362</v>
      </c>
      <c r="B139" s="939">
        <v>469</v>
      </c>
      <c r="C139" s="937">
        <f t="shared" si="4"/>
        <v>3.0703624733475481</v>
      </c>
      <c r="D139" s="1448">
        <f t="shared" si="5"/>
        <v>469</v>
      </c>
      <c r="E139" s="938" t="s">
        <v>210</v>
      </c>
      <c r="F139" s="945" t="s">
        <v>17009</v>
      </c>
      <c r="G139" s="938">
        <v>650</v>
      </c>
      <c r="H139" s="939" t="s">
        <v>126</v>
      </c>
      <c r="I139" s="316">
        <v>1.9</v>
      </c>
      <c r="J139" s="939" t="s">
        <v>250</v>
      </c>
      <c r="K139" s="938" t="s">
        <v>868</v>
      </c>
      <c r="L139" s="941">
        <v>5</v>
      </c>
      <c r="M139" s="942">
        <v>45810</v>
      </c>
      <c r="N139" s="943" t="s">
        <v>223</v>
      </c>
      <c r="O139" s="943" t="s">
        <v>16932</v>
      </c>
      <c r="P139" s="943">
        <v>1.76</v>
      </c>
      <c r="Q139" s="943">
        <v>1.63</v>
      </c>
      <c r="R139" s="316">
        <v>18</v>
      </c>
    </row>
    <row r="140" spans="1:22" hidden="1">
      <c r="A140" s="1444" t="s">
        <v>15374</v>
      </c>
      <c r="B140" s="939">
        <v>504</v>
      </c>
      <c r="C140" s="937">
        <f t="shared" si="4"/>
        <v>2.8571428571428572</v>
      </c>
      <c r="D140" s="1447">
        <f t="shared" si="5"/>
        <v>504</v>
      </c>
      <c r="E140" s="938" t="s">
        <v>757</v>
      </c>
      <c r="F140" s="938" t="s">
        <v>15375</v>
      </c>
      <c r="G140" s="938">
        <v>500</v>
      </c>
      <c r="H140" s="316" t="s">
        <v>126</v>
      </c>
      <c r="I140" s="939">
        <v>3</v>
      </c>
      <c r="J140" s="939" t="s">
        <v>250</v>
      </c>
      <c r="K140" s="938" t="s">
        <v>724</v>
      </c>
      <c r="L140" s="941">
        <v>4</v>
      </c>
      <c r="M140" s="942">
        <v>45821</v>
      </c>
      <c r="N140" s="943" t="s">
        <v>17010</v>
      </c>
      <c r="O140" s="943" t="s">
        <v>1221</v>
      </c>
      <c r="P140" s="943">
        <v>1.77</v>
      </c>
      <c r="Q140" s="943">
        <v>1.9</v>
      </c>
      <c r="R140" s="316">
        <v>12</v>
      </c>
    </row>
    <row r="141" spans="1:22" hidden="1">
      <c r="A141" s="1444" t="s">
        <v>15452</v>
      </c>
      <c r="B141" s="939">
        <v>509</v>
      </c>
      <c r="C141" s="937">
        <f t="shared" si="4"/>
        <v>2.8290766208251474</v>
      </c>
      <c r="D141" s="1448">
        <f t="shared" si="5"/>
        <v>509</v>
      </c>
      <c r="E141" s="938" t="s">
        <v>617</v>
      </c>
      <c r="F141" s="945" t="s">
        <v>17011</v>
      </c>
      <c r="G141" s="938">
        <v>600</v>
      </c>
      <c r="H141" s="316" t="s">
        <v>126</v>
      </c>
      <c r="I141" s="940">
        <v>2.7</v>
      </c>
      <c r="J141" s="939" t="s">
        <v>250</v>
      </c>
      <c r="K141" s="938" t="s">
        <v>1137</v>
      </c>
      <c r="L141" s="941">
        <v>5</v>
      </c>
      <c r="M141" s="942">
        <v>45828</v>
      </c>
      <c r="N141" s="943" t="s">
        <v>17005</v>
      </c>
      <c r="O141" s="943" t="s">
        <v>17012</v>
      </c>
      <c r="P141" s="943">
        <v>1.74</v>
      </c>
      <c r="Q141" s="943">
        <v>2.06</v>
      </c>
      <c r="R141" s="316">
        <v>18</v>
      </c>
    </row>
    <row r="142" spans="1:22" hidden="1">
      <c r="A142" s="1446" t="s">
        <v>15777</v>
      </c>
      <c r="B142" s="316">
        <v>516</v>
      </c>
      <c r="C142" s="937">
        <f t="shared" si="4"/>
        <v>2.7906976744186047</v>
      </c>
      <c r="D142" s="1448">
        <f t="shared" si="5"/>
        <v>516</v>
      </c>
      <c r="E142" s="945" t="s">
        <v>844</v>
      </c>
      <c r="F142" s="945" t="s">
        <v>17013</v>
      </c>
      <c r="G142" s="945">
        <v>600</v>
      </c>
      <c r="H142" s="316" t="s">
        <v>460</v>
      </c>
      <c r="I142" s="316">
        <v>4</v>
      </c>
      <c r="J142" s="939" t="s">
        <v>251</v>
      </c>
      <c r="K142" s="938" t="s">
        <v>464</v>
      </c>
      <c r="L142" s="941">
        <v>5</v>
      </c>
      <c r="M142" s="942">
        <v>45849</v>
      </c>
      <c r="N142" s="943" t="s">
        <v>223</v>
      </c>
      <c r="O142" s="943" t="s">
        <v>684</v>
      </c>
      <c r="P142" s="943">
        <v>1.79</v>
      </c>
      <c r="Q142" s="943">
        <v>1.8</v>
      </c>
      <c r="R142" s="316">
        <v>18</v>
      </c>
    </row>
    <row r="143" spans="1:22" hidden="1">
      <c r="A143" s="1446" t="s">
        <v>15779</v>
      </c>
      <c r="B143" s="316">
        <v>605</v>
      </c>
      <c r="C143" s="937">
        <f t="shared" si="4"/>
        <v>2.3801652892561984</v>
      </c>
      <c r="D143" s="1447">
        <f t="shared" si="5"/>
        <v>605</v>
      </c>
      <c r="E143" s="945" t="s">
        <v>4950</v>
      </c>
      <c r="F143" s="945" t="s">
        <v>17014</v>
      </c>
      <c r="G143" s="945">
        <v>500</v>
      </c>
      <c r="H143" s="316" t="s">
        <v>126</v>
      </c>
      <c r="I143" s="316">
        <v>0.6</v>
      </c>
      <c r="J143" s="939" t="s">
        <v>250</v>
      </c>
      <c r="K143" s="938" t="s">
        <v>474</v>
      </c>
      <c r="L143" s="941">
        <v>5</v>
      </c>
      <c r="M143" s="942">
        <v>45853</v>
      </c>
      <c r="N143" s="943" t="s">
        <v>17010</v>
      </c>
      <c r="O143" s="943" t="s">
        <v>16827</v>
      </c>
      <c r="P143" s="943">
        <v>1.74</v>
      </c>
      <c r="Q143" s="943">
        <v>1.78</v>
      </c>
      <c r="R143" s="316">
        <v>15</v>
      </c>
    </row>
    <row r="144" spans="1:22" hidden="1">
      <c r="A144" s="1446" t="s">
        <v>15532</v>
      </c>
      <c r="B144" s="316">
        <v>509</v>
      </c>
      <c r="C144" s="937">
        <f t="shared" si="4"/>
        <v>2.8290766208251474</v>
      </c>
      <c r="D144" s="1448">
        <f t="shared" si="5"/>
        <v>509</v>
      </c>
      <c r="E144" s="945" t="s">
        <v>617</v>
      </c>
      <c r="F144" s="945" t="s">
        <v>15534</v>
      </c>
      <c r="G144" s="945">
        <v>600</v>
      </c>
      <c r="H144" s="316" t="s">
        <v>126</v>
      </c>
      <c r="I144" s="316">
        <v>2.7</v>
      </c>
      <c r="J144" s="939" t="s">
        <v>250</v>
      </c>
      <c r="K144" s="938" t="s">
        <v>812</v>
      </c>
      <c r="L144" s="941">
        <v>5</v>
      </c>
      <c r="M144" s="942">
        <v>45865</v>
      </c>
      <c r="N144" s="943" t="s">
        <v>16989</v>
      </c>
      <c r="O144" s="943" t="s">
        <v>726</v>
      </c>
      <c r="P144" s="943">
        <v>1.7350000000000001</v>
      </c>
      <c r="Q144" s="943">
        <v>1.7</v>
      </c>
      <c r="R144" s="316">
        <v>17.5</v>
      </c>
    </row>
    <row r="145" spans="1:22" hidden="1">
      <c r="A145" s="1444" t="s">
        <v>15535</v>
      </c>
      <c r="B145" s="316">
        <v>471</v>
      </c>
      <c r="C145" s="937">
        <f t="shared" si="4"/>
        <v>3.0573248407643314</v>
      </c>
      <c r="D145" s="1447">
        <f t="shared" si="5"/>
        <v>471</v>
      </c>
      <c r="E145" s="945" t="s">
        <v>210</v>
      </c>
      <c r="F145" s="938" t="s">
        <v>17009</v>
      </c>
      <c r="G145" s="945">
        <v>650</v>
      </c>
      <c r="H145" s="316" t="s">
        <v>126</v>
      </c>
      <c r="I145" s="316">
        <v>3</v>
      </c>
      <c r="J145" s="939" t="s">
        <v>250</v>
      </c>
      <c r="K145" s="938" t="s">
        <v>621</v>
      </c>
      <c r="L145" s="941">
        <v>5</v>
      </c>
      <c r="M145" s="942">
        <v>45862</v>
      </c>
      <c r="N145" s="943" t="s">
        <v>17005</v>
      </c>
      <c r="O145" s="943" t="s">
        <v>16932</v>
      </c>
      <c r="P145" s="943">
        <v>1.76</v>
      </c>
      <c r="Q145" s="943">
        <v>1.72</v>
      </c>
      <c r="R145" s="316">
        <v>16.5</v>
      </c>
    </row>
    <row r="146" spans="1:22" hidden="1">
      <c r="A146" s="1444" t="s">
        <v>15579</v>
      </c>
      <c r="B146" s="939">
        <v>482</v>
      </c>
      <c r="C146" s="937">
        <f t="shared" si="4"/>
        <v>2.9875518672199171</v>
      </c>
      <c r="D146" s="1448">
        <f t="shared" si="5"/>
        <v>482</v>
      </c>
      <c r="E146" s="938" t="s">
        <v>754</v>
      </c>
      <c r="F146" s="938" t="s">
        <v>17015</v>
      </c>
      <c r="G146" s="938">
        <v>500</v>
      </c>
      <c r="H146" s="316" t="s">
        <v>126</v>
      </c>
      <c r="I146" s="939">
        <v>1.8</v>
      </c>
      <c r="J146" s="939" t="s">
        <v>250</v>
      </c>
      <c r="K146" s="938" t="s">
        <v>783</v>
      </c>
      <c r="L146" s="941">
        <v>4</v>
      </c>
      <c r="M146" s="942">
        <v>45866</v>
      </c>
      <c r="N146" s="943" t="s">
        <v>225</v>
      </c>
      <c r="O146" s="943" t="s">
        <v>785</v>
      </c>
      <c r="P146" s="943">
        <v>1.655</v>
      </c>
      <c r="Q146" s="943" t="s">
        <v>17016</v>
      </c>
      <c r="R146" s="316">
        <v>14</v>
      </c>
    </row>
    <row r="147" spans="1:22" hidden="1">
      <c r="A147" s="1444" t="s">
        <v>15615</v>
      </c>
      <c r="B147" s="939">
        <v>440</v>
      </c>
      <c r="C147" s="937">
        <f t="shared" si="4"/>
        <v>3.2727272727272729</v>
      </c>
      <c r="D147" s="1448">
        <f t="shared" si="5"/>
        <v>440</v>
      </c>
      <c r="E147" s="945" t="s">
        <v>465</v>
      </c>
      <c r="F147" s="938" t="s">
        <v>15616</v>
      </c>
      <c r="G147" s="938">
        <v>710</v>
      </c>
      <c r="H147" s="316" t="s">
        <v>460</v>
      </c>
      <c r="I147" s="944">
        <v>2</v>
      </c>
      <c r="J147" s="939" t="s">
        <v>250</v>
      </c>
      <c r="K147" s="938" t="s">
        <v>1221</v>
      </c>
      <c r="L147" s="941">
        <v>5</v>
      </c>
      <c r="M147" s="942">
        <v>45874</v>
      </c>
      <c r="N147" s="943" t="s">
        <v>229</v>
      </c>
      <c r="O147" s="943" t="s">
        <v>16811</v>
      </c>
      <c r="P147" s="943">
        <v>1.76</v>
      </c>
      <c r="Q147" s="943">
        <v>1.9</v>
      </c>
      <c r="R147" s="316">
        <v>18</v>
      </c>
      <c r="S147" s="1226" t="s">
        <v>16913</v>
      </c>
      <c r="T147" s="1156" t="s">
        <v>16987</v>
      </c>
      <c r="U147" s="1156" t="s">
        <v>16944</v>
      </c>
      <c r="V147" s="1156" t="s">
        <v>16879</v>
      </c>
    </row>
    <row r="148" spans="1:22" hidden="1">
      <c r="A148" s="1446" t="s">
        <v>15620</v>
      </c>
      <c r="B148" s="316">
        <v>457</v>
      </c>
      <c r="C148" s="937">
        <f t="shared" si="4"/>
        <v>3.1509846827133479</v>
      </c>
      <c r="D148" s="1447">
        <f t="shared" si="5"/>
        <v>457</v>
      </c>
      <c r="E148" s="945" t="s">
        <v>754</v>
      </c>
      <c r="F148" s="938" t="s">
        <v>16132</v>
      </c>
      <c r="G148" s="945">
        <v>530</v>
      </c>
      <c r="H148" s="316" t="s">
        <v>126</v>
      </c>
      <c r="I148" s="316">
        <v>1.8</v>
      </c>
      <c r="J148" s="939" t="s">
        <v>250</v>
      </c>
      <c r="K148" s="938" t="s">
        <v>17017</v>
      </c>
      <c r="L148" s="941">
        <v>4</v>
      </c>
      <c r="M148" s="942">
        <v>45877</v>
      </c>
      <c r="N148" s="943" t="s">
        <v>225</v>
      </c>
      <c r="O148" s="943" t="s">
        <v>16806</v>
      </c>
      <c r="P148" s="943">
        <v>1.655</v>
      </c>
      <c r="Q148" s="943">
        <v>1.95</v>
      </c>
      <c r="R148" s="316">
        <v>14</v>
      </c>
      <c r="S148" s="1226" t="s">
        <v>16878</v>
      </c>
      <c r="T148" s="1156" t="s">
        <v>16987</v>
      </c>
      <c r="U148" s="1156" t="s">
        <v>17018</v>
      </c>
      <c r="V148" s="1156" t="s">
        <v>16879</v>
      </c>
    </row>
    <row r="149" spans="1:22" hidden="1">
      <c r="A149" s="1444" t="s">
        <v>15628</v>
      </c>
      <c r="B149" s="939">
        <v>442</v>
      </c>
      <c r="C149" s="937">
        <f t="shared" si="4"/>
        <v>3.2579185520361991</v>
      </c>
      <c r="D149" s="1447">
        <f t="shared" si="5"/>
        <v>442</v>
      </c>
      <c r="E149" s="938" t="s">
        <v>617</v>
      </c>
      <c r="F149" s="945" t="s">
        <v>15534</v>
      </c>
      <c r="G149" s="938">
        <v>700</v>
      </c>
      <c r="H149" s="316" t="s">
        <v>126</v>
      </c>
      <c r="I149" s="944">
        <v>2.9</v>
      </c>
      <c r="J149" s="939" t="s">
        <v>250</v>
      </c>
      <c r="K149" s="938" t="s">
        <v>813</v>
      </c>
      <c r="L149" s="941">
        <v>5</v>
      </c>
      <c r="M149" s="942">
        <v>45887</v>
      </c>
      <c r="N149" s="943" t="s">
        <v>16985</v>
      </c>
      <c r="O149" s="943" t="s">
        <v>726</v>
      </c>
      <c r="P149" s="943">
        <v>1.7350000000000001</v>
      </c>
      <c r="Q149" s="943">
        <v>1.72</v>
      </c>
      <c r="R149" s="316">
        <v>17.5</v>
      </c>
      <c r="S149" s="1226" t="s">
        <v>16966</v>
      </c>
      <c r="T149" s="1156" t="s">
        <v>17019</v>
      </c>
      <c r="U149" s="1156" t="s">
        <v>16878</v>
      </c>
      <c r="V149" s="1156" t="s">
        <v>16879</v>
      </c>
    </row>
    <row r="150" spans="1:22" hidden="1">
      <c r="A150" s="1446" t="s">
        <v>15633</v>
      </c>
      <c r="B150" s="939">
        <v>456</v>
      </c>
      <c r="C150" s="937">
        <f t="shared" si="4"/>
        <v>3.1578947368421053</v>
      </c>
      <c r="D150" s="1448">
        <f t="shared" si="5"/>
        <v>456</v>
      </c>
      <c r="E150" s="938" t="s">
        <v>847</v>
      </c>
      <c r="F150" s="945" t="s">
        <v>17020</v>
      </c>
      <c r="G150" s="938">
        <v>550</v>
      </c>
      <c r="H150" s="316" t="s">
        <v>648</v>
      </c>
      <c r="I150" s="940"/>
      <c r="J150" s="939" t="s">
        <v>250</v>
      </c>
      <c r="K150" s="938" t="s">
        <v>474</v>
      </c>
      <c r="L150" s="941">
        <v>4</v>
      </c>
      <c r="M150" s="942">
        <v>45890</v>
      </c>
      <c r="N150" s="943" t="s">
        <v>17010</v>
      </c>
      <c r="O150" s="943" t="s">
        <v>8404</v>
      </c>
      <c r="P150" s="943">
        <v>1.79</v>
      </c>
      <c r="Q150" s="943">
        <v>1.9</v>
      </c>
      <c r="R150" s="316">
        <v>27</v>
      </c>
      <c r="S150" s="1226" t="s">
        <v>17021</v>
      </c>
      <c r="T150" s="1156" t="s">
        <v>17022</v>
      </c>
      <c r="U150" s="1156" t="s">
        <v>17023</v>
      </c>
      <c r="V150" s="1156" t="s">
        <v>16879</v>
      </c>
    </row>
    <row r="151" spans="1:22" hidden="1">
      <c r="A151" s="1444" t="s">
        <v>15849</v>
      </c>
      <c r="B151" s="939">
        <v>514</v>
      </c>
      <c r="C151" s="937">
        <f t="shared" si="4"/>
        <v>2.8015564202334629</v>
      </c>
      <c r="D151" s="1447">
        <f t="shared" si="5"/>
        <v>514</v>
      </c>
      <c r="E151" s="938" t="s">
        <v>844</v>
      </c>
      <c r="F151" s="938" t="s">
        <v>15850</v>
      </c>
      <c r="G151" s="938">
        <v>600</v>
      </c>
      <c r="H151" s="316" t="s">
        <v>460</v>
      </c>
      <c r="I151" s="944">
        <v>4</v>
      </c>
      <c r="J151" s="939" t="s">
        <v>251</v>
      </c>
      <c r="K151" s="938" t="s">
        <v>990</v>
      </c>
      <c r="L151" s="941">
        <v>5</v>
      </c>
      <c r="M151" s="942">
        <v>45908</v>
      </c>
      <c r="N151" s="943" t="s">
        <v>17024</v>
      </c>
      <c r="O151" s="943" t="s">
        <v>724</v>
      </c>
      <c r="P151" s="943">
        <v>1.79</v>
      </c>
      <c r="Q151" s="943">
        <v>1.8</v>
      </c>
      <c r="R151" s="316">
        <v>18</v>
      </c>
      <c r="S151" s="1226" t="s">
        <v>16903</v>
      </c>
      <c r="T151" s="1156" t="s">
        <v>16946</v>
      </c>
      <c r="U151" s="1156" t="s">
        <v>16904</v>
      </c>
      <c r="V151" s="1156" t="s">
        <v>16981</v>
      </c>
    </row>
    <row r="152" spans="1:22" hidden="1">
      <c r="A152" s="1446" t="s">
        <v>16585</v>
      </c>
      <c r="B152" s="316">
        <v>470</v>
      </c>
      <c r="C152" s="937">
        <f t="shared" si="4"/>
        <v>3.0638297872340425</v>
      </c>
      <c r="D152" s="1447">
        <f t="shared" si="5"/>
        <v>470</v>
      </c>
      <c r="E152" s="945" t="s">
        <v>210</v>
      </c>
      <c r="F152" s="938" t="s">
        <v>17025</v>
      </c>
      <c r="G152" s="945">
        <v>650</v>
      </c>
      <c r="H152" s="316" t="s">
        <v>126</v>
      </c>
      <c r="I152" s="316">
        <v>3</v>
      </c>
      <c r="J152" s="939" t="s">
        <v>250</v>
      </c>
      <c r="K152" s="938" t="s">
        <v>845</v>
      </c>
      <c r="L152" s="941">
        <v>5</v>
      </c>
      <c r="M152" s="942">
        <v>45925</v>
      </c>
      <c r="N152" s="943" t="s">
        <v>17026</v>
      </c>
      <c r="O152" s="943" t="s">
        <v>16916</v>
      </c>
      <c r="P152" s="943">
        <v>1.76</v>
      </c>
      <c r="Q152" s="943">
        <v>1.68</v>
      </c>
      <c r="R152" s="316">
        <v>16.5</v>
      </c>
      <c r="S152" s="1226" t="s">
        <v>17027</v>
      </c>
      <c r="T152" s="1156" t="s">
        <v>16933</v>
      </c>
      <c r="U152" s="1156" t="s">
        <v>16944</v>
      </c>
      <c r="V152" s="1156" t="s">
        <v>16879</v>
      </c>
    </row>
    <row r="153" spans="1:22" hidden="1">
      <c r="A153" s="1446" t="s">
        <v>16589</v>
      </c>
      <c r="B153" s="316">
        <v>514</v>
      </c>
      <c r="C153" s="937">
        <f t="shared" si="4"/>
        <v>2.8015564202334629</v>
      </c>
      <c r="D153" s="1447">
        <f t="shared" si="5"/>
        <v>514</v>
      </c>
      <c r="E153" s="945" t="s">
        <v>844</v>
      </c>
      <c r="F153" s="938" t="s">
        <v>17028</v>
      </c>
      <c r="G153" s="945">
        <v>600</v>
      </c>
      <c r="H153" s="316" t="s">
        <v>460</v>
      </c>
      <c r="I153" s="316">
        <v>4</v>
      </c>
      <c r="J153" s="939" t="s">
        <v>251</v>
      </c>
      <c r="K153" s="938" t="s">
        <v>482</v>
      </c>
      <c r="L153" s="941">
        <v>5</v>
      </c>
      <c r="M153" s="942">
        <v>45937</v>
      </c>
      <c r="N153" s="943" t="s">
        <v>17024</v>
      </c>
      <c r="O153" s="943" t="s">
        <v>17029</v>
      </c>
      <c r="P153" s="943">
        <v>1.79</v>
      </c>
      <c r="Q153" s="943">
        <v>1.76</v>
      </c>
      <c r="R153" s="943">
        <v>18</v>
      </c>
      <c r="S153" s="1227" t="s">
        <v>17030</v>
      </c>
      <c r="T153" s="1157" t="s">
        <v>16946</v>
      </c>
      <c r="U153" s="1157" t="s">
        <v>16946</v>
      </c>
      <c r="V153" s="1157" t="s">
        <v>16981</v>
      </c>
    </row>
    <row r="154" spans="1:22" hidden="1">
      <c r="A154" s="1444" t="s">
        <v>16039</v>
      </c>
      <c r="B154" s="939">
        <v>471</v>
      </c>
      <c r="C154" s="937">
        <f t="shared" si="4"/>
        <v>3.0573248407643314</v>
      </c>
      <c r="D154" s="1448">
        <f t="shared" si="5"/>
        <v>471</v>
      </c>
      <c r="E154" s="938" t="s">
        <v>210</v>
      </c>
      <c r="F154" s="938" t="s">
        <v>16040</v>
      </c>
      <c r="G154" s="938">
        <v>650</v>
      </c>
      <c r="H154" s="316" t="s">
        <v>126</v>
      </c>
      <c r="I154" s="939">
        <v>1.9</v>
      </c>
      <c r="J154" s="939" t="s">
        <v>250</v>
      </c>
      <c r="K154" s="938" t="s">
        <v>468</v>
      </c>
      <c r="L154" s="941">
        <v>5</v>
      </c>
      <c r="M154" s="942">
        <v>45939</v>
      </c>
      <c r="N154" s="943" t="s">
        <v>225</v>
      </c>
      <c r="O154" s="943" t="s">
        <v>17031</v>
      </c>
      <c r="P154" s="943">
        <v>1.76</v>
      </c>
      <c r="Q154" s="943">
        <v>1.67</v>
      </c>
      <c r="R154" s="316">
        <v>18</v>
      </c>
      <c r="S154" s="1226" t="s">
        <v>16909</v>
      </c>
      <c r="T154" s="1156" t="s">
        <v>16942</v>
      </c>
      <c r="U154" s="1156" t="s">
        <v>17032</v>
      </c>
      <c r="V154" s="1156" t="s">
        <v>16879</v>
      </c>
    </row>
    <row r="155" spans="1:22" hidden="1">
      <c r="A155" s="1446" t="s">
        <v>16592</v>
      </c>
      <c r="B155" s="316">
        <v>470</v>
      </c>
      <c r="C155" s="937">
        <f t="shared" si="4"/>
        <v>3.0638297872340425</v>
      </c>
      <c r="D155" s="1448">
        <f t="shared" si="5"/>
        <v>470</v>
      </c>
      <c r="E155" s="938" t="s">
        <v>210</v>
      </c>
      <c r="F155" s="938" t="s">
        <v>16040</v>
      </c>
      <c r="G155" s="945">
        <v>650</v>
      </c>
      <c r="H155" s="316" t="s">
        <v>126</v>
      </c>
      <c r="I155" s="316">
        <v>3</v>
      </c>
      <c r="J155" s="939" t="s">
        <v>250</v>
      </c>
      <c r="K155" s="938" t="s">
        <v>17033</v>
      </c>
      <c r="L155" s="941">
        <v>5</v>
      </c>
      <c r="M155" s="942">
        <v>45943</v>
      </c>
      <c r="N155" s="943" t="s">
        <v>17034</v>
      </c>
      <c r="O155" s="943" t="s">
        <v>17031</v>
      </c>
      <c r="P155" s="943">
        <v>1.76</v>
      </c>
      <c r="Q155" s="943">
        <v>1.73</v>
      </c>
      <c r="R155" s="316">
        <v>16.5</v>
      </c>
      <c r="S155" s="1226" t="s">
        <v>17035</v>
      </c>
      <c r="T155" s="1156" t="s">
        <v>16933</v>
      </c>
      <c r="U155" s="1156" t="s">
        <v>16945</v>
      </c>
      <c r="V155" s="1156" t="s">
        <v>16879</v>
      </c>
    </row>
    <row r="156" spans="1:22" hidden="1">
      <c r="A156" s="1444" t="s">
        <v>16595</v>
      </c>
      <c r="B156" s="939">
        <v>510</v>
      </c>
      <c r="C156" s="937">
        <f t="shared" si="4"/>
        <v>2.8235294117647061</v>
      </c>
      <c r="D156" s="1448">
        <f t="shared" si="5"/>
        <v>510</v>
      </c>
      <c r="E156" s="938" t="s">
        <v>617</v>
      </c>
      <c r="F156" s="938" t="s">
        <v>15534</v>
      </c>
      <c r="G156" s="938">
        <v>700</v>
      </c>
      <c r="H156" s="316" t="s">
        <v>126</v>
      </c>
      <c r="I156" s="944">
        <v>2.8</v>
      </c>
      <c r="J156" s="939" t="s">
        <v>250</v>
      </c>
      <c r="K156" s="938" t="s">
        <v>966</v>
      </c>
      <c r="L156" s="941">
        <v>5</v>
      </c>
      <c r="M156" s="942">
        <v>45961</v>
      </c>
      <c r="N156" s="943" t="s">
        <v>227</v>
      </c>
      <c r="O156" s="943" t="s">
        <v>726</v>
      </c>
      <c r="P156" s="943">
        <v>1.7350000000000001</v>
      </c>
      <c r="Q156" s="943">
        <v>1.76</v>
      </c>
      <c r="R156" s="316">
        <v>17.5</v>
      </c>
      <c r="S156" s="1226" t="s">
        <v>16966</v>
      </c>
      <c r="T156" s="1156" t="s">
        <v>17022</v>
      </c>
      <c r="U156" s="1156" t="s">
        <v>17036</v>
      </c>
      <c r="V156" s="1156" t="s">
        <v>16879</v>
      </c>
    </row>
    <row r="157" spans="1:22" hidden="1">
      <c r="A157" s="1444" t="s">
        <v>16597</v>
      </c>
      <c r="B157" s="939">
        <v>456</v>
      </c>
      <c r="C157" s="937">
        <f t="shared" si="4"/>
        <v>3.1578947368421053</v>
      </c>
      <c r="D157" s="1448">
        <f t="shared" si="5"/>
        <v>456</v>
      </c>
      <c r="E157" s="938" t="s">
        <v>5239</v>
      </c>
      <c r="F157" s="938" t="s">
        <v>17037</v>
      </c>
      <c r="G157" s="938">
        <v>670</v>
      </c>
      <c r="H157" s="316" t="s">
        <v>648</v>
      </c>
      <c r="I157" s="944"/>
      <c r="J157" s="939"/>
      <c r="K157" s="938" t="s">
        <v>854</v>
      </c>
      <c r="L157" s="941">
        <v>5</v>
      </c>
      <c r="M157" s="942">
        <v>45964</v>
      </c>
      <c r="N157" s="943" t="s">
        <v>229</v>
      </c>
      <c r="O157" s="943" t="s">
        <v>17038</v>
      </c>
      <c r="P157" s="943">
        <v>1.849</v>
      </c>
      <c r="Q157" s="943">
        <v>1.67</v>
      </c>
      <c r="R157" s="316">
        <v>17.5</v>
      </c>
      <c r="S157" s="1226" t="s">
        <v>16949</v>
      </c>
      <c r="T157" s="1156" t="s">
        <v>16987</v>
      </c>
      <c r="U157" s="1156" t="s">
        <v>17039</v>
      </c>
      <c r="V157" s="1156" t="s">
        <v>17040</v>
      </c>
    </row>
    <row r="158" spans="1:22" hidden="1">
      <c r="A158" s="1446" t="s">
        <v>16103</v>
      </c>
      <c r="B158" s="316">
        <v>517</v>
      </c>
      <c r="C158" s="937">
        <f t="shared" si="4"/>
        <v>2.7852998065764023</v>
      </c>
      <c r="D158" s="1448">
        <f t="shared" si="5"/>
        <v>517</v>
      </c>
      <c r="E158" s="945" t="s">
        <v>16105</v>
      </c>
      <c r="F158" s="945" t="s">
        <v>16106</v>
      </c>
      <c r="G158" s="945">
        <v>600</v>
      </c>
      <c r="H158" s="316" t="s">
        <v>126</v>
      </c>
      <c r="I158" s="316">
        <v>1.4</v>
      </c>
      <c r="J158" s="939" t="s">
        <v>251</v>
      </c>
      <c r="K158" s="938" t="s">
        <v>862</v>
      </c>
      <c r="L158" s="941">
        <v>5</v>
      </c>
      <c r="M158" s="942">
        <v>46010</v>
      </c>
      <c r="N158" s="943" t="s">
        <v>17041</v>
      </c>
      <c r="O158" s="943" t="s">
        <v>16932</v>
      </c>
      <c r="P158" s="943">
        <v>1.74</v>
      </c>
      <c r="Q158" s="943">
        <v>1.62</v>
      </c>
      <c r="R158" s="316">
        <v>8</v>
      </c>
      <c r="S158" s="1226" t="s">
        <v>16913</v>
      </c>
      <c r="T158" s="1156" t="s">
        <v>17019</v>
      </c>
      <c r="U158" s="1156" t="s">
        <v>16029</v>
      </c>
    </row>
    <row r="159" spans="1:22" hidden="1">
      <c r="A159" s="1444" t="s">
        <v>15339</v>
      </c>
      <c r="B159" s="939">
        <v>193</v>
      </c>
      <c r="C159" s="937">
        <f t="shared" si="4"/>
        <v>7.4611398963730569</v>
      </c>
      <c r="D159" s="1447">
        <f t="shared" si="5"/>
        <v>193</v>
      </c>
      <c r="E159" s="938" t="s">
        <v>717</v>
      </c>
      <c r="F159" s="945" t="s">
        <v>17042</v>
      </c>
      <c r="G159" s="938">
        <v>650</v>
      </c>
      <c r="H159" s="316" t="s">
        <v>643</v>
      </c>
      <c r="I159" s="316">
        <v>1.7</v>
      </c>
      <c r="J159" s="939" t="s">
        <v>250</v>
      </c>
      <c r="K159" s="938" t="s">
        <v>854</v>
      </c>
      <c r="L159" s="941">
        <v>4</v>
      </c>
      <c r="M159" s="942">
        <v>45803</v>
      </c>
      <c r="N159" s="943" t="s">
        <v>16901</v>
      </c>
      <c r="O159" s="943" t="s">
        <v>1238</v>
      </c>
      <c r="P159" s="943">
        <v>1.7849999999999999</v>
      </c>
      <c r="Q159" s="943">
        <v>1.85</v>
      </c>
      <c r="R159" s="316">
        <v>33</v>
      </c>
    </row>
    <row r="160" spans="1:22">
      <c r="A160" s="1444" t="s">
        <v>15344</v>
      </c>
      <c r="B160" s="939">
        <v>287</v>
      </c>
      <c r="C160" s="937">
        <f t="shared" si="4"/>
        <v>5.0174216027874561</v>
      </c>
      <c r="D160" s="1448">
        <f t="shared" si="5"/>
        <v>287</v>
      </c>
      <c r="E160" s="938" t="s">
        <v>467</v>
      </c>
      <c r="F160" s="945" t="s">
        <v>17043</v>
      </c>
      <c r="G160" s="938">
        <v>600</v>
      </c>
      <c r="H160" s="939" t="s">
        <v>643</v>
      </c>
      <c r="I160" s="944">
        <v>2.1</v>
      </c>
      <c r="J160" s="939" t="s">
        <v>250</v>
      </c>
      <c r="K160" s="938" t="s">
        <v>474</v>
      </c>
      <c r="L160" s="941">
        <v>5.5</v>
      </c>
      <c r="M160" s="942">
        <v>45804</v>
      </c>
      <c r="N160" s="943" t="s">
        <v>217</v>
      </c>
      <c r="O160" s="943" t="s">
        <v>868</v>
      </c>
      <c r="P160" s="943">
        <v>1.81</v>
      </c>
      <c r="Q160" s="943">
        <v>1.72</v>
      </c>
      <c r="R160" s="316">
        <v>21</v>
      </c>
    </row>
    <row r="161" spans="1:22">
      <c r="A161" s="1446" t="s">
        <v>15350</v>
      </c>
      <c r="B161" s="316">
        <v>288</v>
      </c>
      <c r="C161" s="937">
        <f t="shared" si="4"/>
        <v>5</v>
      </c>
      <c r="D161" s="1447">
        <f t="shared" si="5"/>
        <v>288</v>
      </c>
      <c r="E161" s="945" t="s">
        <v>467</v>
      </c>
      <c r="F161" s="945" t="s">
        <v>16814</v>
      </c>
      <c r="G161" s="945">
        <v>600</v>
      </c>
      <c r="H161" s="316" t="s">
        <v>460</v>
      </c>
      <c r="I161" s="316">
        <v>2.9</v>
      </c>
      <c r="J161" s="939" t="s">
        <v>250</v>
      </c>
      <c r="K161" s="938" t="s">
        <v>1221</v>
      </c>
      <c r="L161" s="941">
        <v>5.5</v>
      </c>
      <c r="M161" s="942">
        <v>45805</v>
      </c>
      <c r="N161" s="943" t="s">
        <v>224</v>
      </c>
      <c r="O161" s="943" t="s">
        <v>16816</v>
      </c>
      <c r="P161" s="943">
        <v>1.81</v>
      </c>
      <c r="Q161" s="943">
        <v>1.62</v>
      </c>
      <c r="R161" s="316">
        <v>21</v>
      </c>
    </row>
    <row r="162" spans="1:22">
      <c r="A162" s="1446" t="s">
        <v>15454</v>
      </c>
      <c r="B162" s="316">
        <v>250</v>
      </c>
      <c r="C162" s="937">
        <f t="shared" si="4"/>
        <v>5.76</v>
      </c>
      <c r="D162" s="1447">
        <f t="shared" si="5"/>
        <v>250</v>
      </c>
      <c r="E162" s="945" t="s">
        <v>7214</v>
      </c>
      <c r="F162" s="945" t="s">
        <v>17044</v>
      </c>
      <c r="G162" s="945">
        <v>550</v>
      </c>
      <c r="H162" s="316" t="s">
        <v>460</v>
      </c>
      <c r="I162" s="316">
        <v>4.3</v>
      </c>
      <c r="J162" s="939" t="s">
        <v>251</v>
      </c>
      <c r="K162" s="938" t="s">
        <v>466</v>
      </c>
      <c r="L162" s="941">
        <v>4.5</v>
      </c>
      <c r="M162" s="942">
        <v>45828</v>
      </c>
      <c r="N162" s="943" t="s">
        <v>229</v>
      </c>
      <c r="O162" s="943" t="s">
        <v>877</v>
      </c>
      <c r="P162" s="943">
        <v>1.74</v>
      </c>
      <c r="Q162" s="943">
        <v>1.88</v>
      </c>
      <c r="R162" s="316">
        <v>18</v>
      </c>
    </row>
    <row r="163" spans="1:22">
      <c r="A163" s="1446" t="s">
        <v>15459</v>
      </c>
      <c r="B163" s="316">
        <v>245</v>
      </c>
      <c r="C163" s="937">
        <f t="shared" si="4"/>
        <v>5.8775510204081636</v>
      </c>
      <c r="D163" s="1448">
        <f t="shared" si="5"/>
        <v>245</v>
      </c>
      <c r="E163" s="945" t="s">
        <v>7214</v>
      </c>
      <c r="F163" s="945" t="s">
        <v>16821</v>
      </c>
      <c r="G163" s="945">
        <v>550</v>
      </c>
      <c r="H163" s="316" t="s">
        <v>460</v>
      </c>
      <c r="I163" s="316">
        <v>4.3</v>
      </c>
      <c r="J163" s="939" t="s">
        <v>251</v>
      </c>
      <c r="K163" s="938" t="s">
        <v>482</v>
      </c>
      <c r="L163" s="941">
        <v>4.5</v>
      </c>
      <c r="M163" s="942">
        <v>45835</v>
      </c>
      <c r="N163" s="943" t="s">
        <v>229</v>
      </c>
      <c r="O163" s="943" t="s">
        <v>8404</v>
      </c>
      <c r="P163" s="943">
        <v>1.74</v>
      </c>
      <c r="Q163" s="943">
        <v>1.82</v>
      </c>
      <c r="R163" s="316">
        <v>17</v>
      </c>
    </row>
    <row r="164" spans="1:22">
      <c r="A164" s="1446" t="s">
        <v>15512</v>
      </c>
      <c r="B164" s="939">
        <v>297</v>
      </c>
      <c r="C164" s="937">
        <f t="shared" si="4"/>
        <v>4.8484848484848486</v>
      </c>
      <c r="D164" s="1447">
        <f t="shared" si="5"/>
        <v>297</v>
      </c>
      <c r="E164" s="945" t="s">
        <v>6940</v>
      </c>
      <c r="F164" s="945" t="s">
        <v>17045</v>
      </c>
      <c r="G164" s="945">
        <v>500</v>
      </c>
      <c r="H164" s="316" t="s">
        <v>460</v>
      </c>
      <c r="I164" s="944">
        <v>1.6</v>
      </c>
      <c r="J164" s="939" t="s">
        <v>250</v>
      </c>
      <c r="K164" s="1133" t="s">
        <v>684</v>
      </c>
      <c r="L164" s="941">
        <v>5</v>
      </c>
      <c r="M164" s="942">
        <v>45849</v>
      </c>
      <c r="N164" s="943" t="s">
        <v>17046</v>
      </c>
      <c r="O164" s="943" t="s">
        <v>16827</v>
      </c>
      <c r="P164" s="943">
        <v>1.73</v>
      </c>
      <c r="Q164" s="943">
        <v>1.9</v>
      </c>
      <c r="R164" s="316">
        <v>24</v>
      </c>
    </row>
    <row r="165" spans="1:22">
      <c r="A165" s="1446" t="s">
        <v>15527</v>
      </c>
      <c r="B165" s="316">
        <v>192</v>
      </c>
      <c r="C165" s="937">
        <f t="shared" si="4"/>
        <v>7.5</v>
      </c>
      <c r="D165" s="1447">
        <f t="shared" si="5"/>
        <v>192</v>
      </c>
      <c r="E165" s="945" t="s">
        <v>7261</v>
      </c>
      <c r="F165" s="938" t="s">
        <v>17047</v>
      </c>
      <c r="G165" s="945">
        <v>650</v>
      </c>
      <c r="H165" s="939" t="s">
        <v>643</v>
      </c>
      <c r="I165" s="316">
        <v>1.6</v>
      </c>
      <c r="J165" s="939" t="s">
        <v>250</v>
      </c>
      <c r="K165" s="938" t="s">
        <v>1482</v>
      </c>
      <c r="L165" s="941">
        <v>4</v>
      </c>
      <c r="M165" s="942">
        <v>45854</v>
      </c>
      <c r="N165" s="943" t="s">
        <v>17048</v>
      </c>
      <c r="O165" s="943" t="s">
        <v>16811</v>
      </c>
      <c r="P165" s="943">
        <v>1.78</v>
      </c>
      <c r="Q165" s="943">
        <v>1.8</v>
      </c>
      <c r="R165" s="316">
        <v>31.5</v>
      </c>
    </row>
    <row r="166" spans="1:22">
      <c r="A166" s="1444" t="s">
        <v>15533</v>
      </c>
      <c r="B166" s="939">
        <v>248</v>
      </c>
      <c r="C166" s="937">
        <f t="shared" si="4"/>
        <v>5.806451612903226</v>
      </c>
      <c r="D166" s="1447">
        <f t="shared" si="5"/>
        <v>248</v>
      </c>
      <c r="E166" s="938" t="s">
        <v>467</v>
      </c>
      <c r="F166" s="938" t="s">
        <v>17049</v>
      </c>
      <c r="G166" s="938">
        <v>640</v>
      </c>
      <c r="H166" s="316" t="s">
        <v>460</v>
      </c>
      <c r="I166" s="944">
        <v>3</v>
      </c>
      <c r="J166" s="939" t="s">
        <v>250</v>
      </c>
      <c r="K166" s="938" t="s">
        <v>622</v>
      </c>
      <c r="L166" s="941">
        <v>5</v>
      </c>
      <c r="M166" s="942">
        <v>45862</v>
      </c>
      <c r="N166" s="943" t="s">
        <v>224</v>
      </c>
      <c r="O166" s="943" t="s">
        <v>17038</v>
      </c>
      <c r="P166" s="943">
        <v>1.81</v>
      </c>
      <c r="Q166" s="943" t="s">
        <v>17050</v>
      </c>
      <c r="R166" s="316">
        <v>21</v>
      </c>
      <c r="S166" s="1226" t="s">
        <v>16903</v>
      </c>
      <c r="T166" s="1156" t="s">
        <v>17051</v>
      </c>
      <c r="U166" s="1156" t="s">
        <v>17052</v>
      </c>
      <c r="V166" s="1156" t="s">
        <v>16879</v>
      </c>
    </row>
    <row r="167" spans="1:22">
      <c r="A167" s="1446" t="s">
        <v>15539</v>
      </c>
      <c r="B167" s="316">
        <v>214</v>
      </c>
      <c r="C167" s="937">
        <f t="shared" si="4"/>
        <v>6.7289719626168223</v>
      </c>
      <c r="D167" s="1447">
        <f t="shared" si="5"/>
        <v>214</v>
      </c>
      <c r="E167" s="945" t="s">
        <v>836</v>
      </c>
      <c r="F167" s="938" t="s">
        <v>17053</v>
      </c>
      <c r="G167" s="945">
        <v>600</v>
      </c>
      <c r="H167" s="316" t="s">
        <v>643</v>
      </c>
      <c r="I167" s="316">
        <v>1.6</v>
      </c>
      <c r="J167" s="939" t="s">
        <v>251</v>
      </c>
      <c r="K167" s="938" t="s">
        <v>3213</v>
      </c>
      <c r="L167" s="941">
        <v>4</v>
      </c>
      <c r="M167" s="942">
        <v>45862</v>
      </c>
      <c r="N167" s="943" t="s">
        <v>17054</v>
      </c>
      <c r="O167" s="943" t="s">
        <v>1376</v>
      </c>
      <c r="P167" s="943">
        <v>1.82</v>
      </c>
      <c r="Q167" s="943">
        <v>1.95</v>
      </c>
      <c r="R167" s="316">
        <v>12</v>
      </c>
    </row>
    <row r="168" spans="1:22">
      <c r="A168" s="1446" t="s">
        <v>15617</v>
      </c>
      <c r="B168" s="316">
        <v>209</v>
      </c>
      <c r="C168" s="937">
        <f t="shared" si="4"/>
        <v>6.8899521531100483</v>
      </c>
      <c r="D168" s="1447">
        <f t="shared" si="5"/>
        <v>209</v>
      </c>
      <c r="E168" s="945" t="s">
        <v>775</v>
      </c>
      <c r="F168" s="938" t="s">
        <v>17055</v>
      </c>
      <c r="G168" s="945">
        <v>600</v>
      </c>
      <c r="H168" s="316" t="s">
        <v>643</v>
      </c>
      <c r="I168" s="316">
        <v>1.7</v>
      </c>
      <c r="J168" s="939" t="s">
        <v>250</v>
      </c>
      <c r="K168" s="938" t="s">
        <v>16025</v>
      </c>
      <c r="L168" s="941">
        <v>4</v>
      </c>
      <c r="M168" s="942">
        <v>45875</v>
      </c>
      <c r="N168" s="943" t="s">
        <v>16901</v>
      </c>
      <c r="O168" s="943" t="s">
        <v>868</v>
      </c>
      <c r="P168" s="943">
        <v>1.79</v>
      </c>
      <c r="Q168" s="943">
        <v>1.85</v>
      </c>
      <c r="R168" s="316">
        <v>32.5</v>
      </c>
      <c r="S168" s="1226" t="s">
        <v>17056</v>
      </c>
      <c r="T168" s="1156" t="s">
        <v>17022</v>
      </c>
      <c r="U168" s="1156" t="s">
        <v>17057</v>
      </c>
      <c r="V168" s="1156" t="s">
        <v>16879</v>
      </c>
    </row>
    <row r="169" spans="1:22">
      <c r="A169" s="1444" t="s">
        <v>15621</v>
      </c>
      <c r="B169" s="316">
        <v>206</v>
      </c>
      <c r="C169" s="937">
        <f t="shared" si="4"/>
        <v>6.9902912621359219</v>
      </c>
      <c r="D169" s="1447">
        <f t="shared" si="5"/>
        <v>206</v>
      </c>
      <c r="E169" s="945" t="s">
        <v>836</v>
      </c>
      <c r="F169" s="938" t="s">
        <v>17053</v>
      </c>
      <c r="G169" s="945">
        <v>600</v>
      </c>
      <c r="H169" s="316" t="s">
        <v>643</v>
      </c>
      <c r="I169" s="316">
        <v>1.6</v>
      </c>
      <c r="J169" s="939" t="s">
        <v>251</v>
      </c>
      <c r="K169" s="938" t="s">
        <v>468</v>
      </c>
      <c r="L169" s="941">
        <v>4</v>
      </c>
      <c r="M169" s="942">
        <v>45881</v>
      </c>
      <c r="N169" s="943" t="s">
        <v>16975</v>
      </c>
      <c r="O169" s="943" t="s">
        <v>1376</v>
      </c>
      <c r="P169" s="943">
        <v>1.82</v>
      </c>
      <c r="Q169" s="943">
        <v>2.14</v>
      </c>
      <c r="R169" s="316">
        <v>12</v>
      </c>
      <c r="S169" s="1226" t="s">
        <v>16878</v>
      </c>
      <c r="T169" s="1156" t="s">
        <v>17022</v>
      </c>
      <c r="U169" s="1156" t="s">
        <v>17058</v>
      </c>
    </row>
    <row r="170" spans="1:22">
      <c r="A170" s="1446" t="s">
        <v>15631</v>
      </c>
      <c r="B170" s="316">
        <v>207</v>
      </c>
      <c r="C170" s="937">
        <f t="shared" si="4"/>
        <v>6.9565217391304346</v>
      </c>
      <c r="D170" s="1448">
        <f t="shared" si="5"/>
        <v>207</v>
      </c>
      <c r="E170" s="945" t="s">
        <v>836</v>
      </c>
      <c r="F170" s="938" t="s">
        <v>17053</v>
      </c>
      <c r="G170" s="945">
        <v>600</v>
      </c>
      <c r="H170" s="316" t="s">
        <v>643</v>
      </c>
      <c r="I170" s="316">
        <v>1.6</v>
      </c>
      <c r="J170" s="939" t="s">
        <v>251</v>
      </c>
      <c r="K170" s="938" t="s">
        <v>15893</v>
      </c>
      <c r="L170" s="941">
        <v>4</v>
      </c>
      <c r="M170" s="942">
        <v>45890</v>
      </c>
      <c r="N170" s="943" t="s">
        <v>16975</v>
      </c>
      <c r="O170" s="943" t="s">
        <v>1376</v>
      </c>
      <c r="P170" s="943">
        <v>1.82</v>
      </c>
      <c r="Q170" s="943">
        <v>2.2000000000000002</v>
      </c>
      <c r="R170" s="316">
        <v>12</v>
      </c>
      <c r="S170" s="1226" t="s">
        <v>16878</v>
      </c>
      <c r="T170" s="1156" t="s">
        <v>17022</v>
      </c>
      <c r="U170" s="1156" t="s">
        <v>17059</v>
      </c>
    </row>
    <row r="171" spans="1:22">
      <c r="A171" s="1446" t="s">
        <v>15632</v>
      </c>
      <c r="B171" s="939">
        <v>251</v>
      </c>
      <c r="C171" s="937">
        <f t="shared" si="4"/>
        <v>5.7370517928286855</v>
      </c>
      <c r="D171" s="1448">
        <f t="shared" si="5"/>
        <v>251</v>
      </c>
      <c r="E171" s="938" t="s">
        <v>8346</v>
      </c>
      <c r="F171" s="938" t="s">
        <v>17060</v>
      </c>
      <c r="G171" s="938">
        <v>600</v>
      </c>
      <c r="H171" s="316" t="s">
        <v>643</v>
      </c>
      <c r="I171" s="944">
        <v>1.6</v>
      </c>
      <c r="J171" s="939" t="s">
        <v>251</v>
      </c>
      <c r="K171" s="938" t="s">
        <v>1238</v>
      </c>
      <c r="L171" s="941">
        <v>5</v>
      </c>
      <c r="M171" s="942">
        <v>45889</v>
      </c>
      <c r="N171" s="943" t="s">
        <v>17061</v>
      </c>
      <c r="O171" s="943" t="s">
        <v>16890</v>
      </c>
      <c r="P171" s="943">
        <v>1.76</v>
      </c>
      <c r="Q171" s="943">
        <v>1.67</v>
      </c>
      <c r="R171" s="316">
        <v>10</v>
      </c>
      <c r="S171" s="1226" t="s">
        <v>16917</v>
      </c>
      <c r="T171" s="1156" t="s">
        <v>16878</v>
      </c>
      <c r="U171" s="1156" t="s">
        <v>17062</v>
      </c>
    </row>
    <row r="172" spans="1:22">
      <c r="A172" s="1446" t="s">
        <v>15634</v>
      </c>
      <c r="B172" s="316">
        <v>299</v>
      </c>
      <c r="C172" s="937">
        <f t="shared" si="4"/>
        <v>4.816053511705686</v>
      </c>
      <c r="D172" s="1447">
        <f t="shared" si="5"/>
        <v>299</v>
      </c>
      <c r="E172" s="945" t="s">
        <v>6940</v>
      </c>
      <c r="F172" s="938" t="s">
        <v>17063</v>
      </c>
      <c r="G172" s="945">
        <v>500</v>
      </c>
      <c r="H172" s="316" t="s">
        <v>460</v>
      </c>
      <c r="I172" s="316">
        <v>1.6</v>
      </c>
      <c r="J172" s="939" t="s">
        <v>250</v>
      </c>
      <c r="K172" s="938" t="s">
        <v>485</v>
      </c>
      <c r="L172" s="941">
        <v>5</v>
      </c>
      <c r="M172" s="942">
        <v>45890</v>
      </c>
      <c r="N172" s="943" t="s">
        <v>17046</v>
      </c>
      <c r="O172" s="943" t="s">
        <v>16955</v>
      </c>
      <c r="P172" s="943">
        <v>1.7849999999999999</v>
      </c>
      <c r="Q172" s="943">
        <v>1.9</v>
      </c>
      <c r="R172" s="316">
        <v>25</v>
      </c>
      <c r="S172" s="1226" t="s">
        <v>16961</v>
      </c>
      <c r="T172" s="1156" t="s">
        <v>16980</v>
      </c>
      <c r="U172" s="1156" t="s">
        <v>17064</v>
      </c>
      <c r="V172" s="1156" t="s">
        <v>16879</v>
      </c>
    </row>
    <row r="173" spans="1:22">
      <c r="A173" s="1444" t="s">
        <v>17065</v>
      </c>
      <c r="B173" s="316">
        <v>323</v>
      </c>
      <c r="C173" s="937">
        <f t="shared" si="4"/>
        <v>4.458204334365325</v>
      </c>
      <c r="D173" s="1447">
        <f t="shared" si="5"/>
        <v>323</v>
      </c>
      <c r="E173" s="945" t="s">
        <v>7068</v>
      </c>
      <c r="F173" s="938" t="s">
        <v>17066</v>
      </c>
      <c r="G173" s="945">
        <v>500</v>
      </c>
      <c r="H173" s="316" t="s">
        <v>643</v>
      </c>
      <c r="I173" s="316">
        <v>3.4</v>
      </c>
      <c r="J173" s="939" t="s">
        <v>251</v>
      </c>
      <c r="K173" s="938" t="s">
        <v>468</v>
      </c>
      <c r="L173" s="941">
        <v>5</v>
      </c>
      <c r="M173" s="942">
        <v>45901</v>
      </c>
      <c r="N173" s="943" t="s">
        <v>17046</v>
      </c>
      <c r="O173" s="943" t="s">
        <v>862</v>
      </c>
      <c r="P173" s="943">
        <v>1.8049999999999999</v>
      </c>
      <c r="Q173" s="943">
        <v>1.88</v>
      </c>
      <c r="R173" s="316">
        <v>15</v>
      </c>
      <c r="S173" s="1226" t="s">
        <v>17067</v>
      </c>
      <c r="T173" s="1156" t="s">
        <v>16990</v>
      </c>
      <c r="U173" s="1156" t="s">
        <v>16986</v>
      </c>
      <c r="V173" s="1156" t="s">
        <v>16879</v>
      </c>
    </row>
    <row r="174" spans="1:22">
      <c r="A174" s="1444" t="s">
        <v>15889</v>
      </c>
      <c r="B174" s="939">
        <v>208</v>
      </c>
      <c r="C174" s="937">
        <f t="shared" si="4"/>
        <v>6.9230769230769234</v>
      </c>
      <c r="D174" s="1447">
        <f t="shared" si="5"/>
        <v>208</v>
      </c>
      <c r="E174" s="938" t="s">
        <v>836</v>
      </c>
      <c r="F174" s="938" t="s">
        <v>17068</v>
      </c>
      <c r="G174" s="938">
        <v>600</v>
      </c>
      <c r="H174" s="316" t="s">
        <v>643</v>
      </c>
      <c r="I174" s="944">
        <v>1.7</v>
      </c>
      <c r="J174" s="939" t="s">
        <v>250</v>
      </c>
      <c r="K174" s="938" t="s">
        <v>830</v>
      </c>
      <c r="L174" s="941">
        <v>4</v>
      </c>
      <c r="M174" s="942">
        <v>45919</v>
      </c>
      <c r="N174" s="943" t="s">
        <v>230</v>
      </c>
      <c r="O174" s="943" t="s">
        <v>868</v>
      </c>
      <c r="P174" s="943">
        <v>1.79</v>
      </c>
      <c r="Q174" s="943">
        <v>1.78</v>
      </c>
      <c r="R174" s="316">
        <v>33</v>
      </c>
      <c r="S174" s="1226" t="s">
        <v>17056</v>
      </c>
      <c r="T174" s="1156" t="s">
        <v>17022</v>
      </c>
      <c r="U174" s="1156" t="s">
        <v>16904</v>
      </c>
      <c r="V174" s="1156" t="s">
        <v>16879</v>
      </c>
    </row>
    <row r="175" spans="1:22">
      <c r="A175" s="1444" t="s">
        <v>15887</v>
      </c>
      <c r="B175" s="939">
        <v>240</v>
      </c>
      <c r="C175" s="937">
        <f t="shared" si="4"/>
        <v>6</v>
      </c>
      <c r="D175" s="1448">
        <f t="shared" si="5"/>
        <v>240</v>
      </c>
      <c r="E175" s="938" t="s">
        <v>467</v>
      </c>
      <c r="F175" s="938" t="s">
        <v>15888</v>
      </c>
      <c r="G175" s="938">
        <v>650</v>
      </c>
      <c r="H175" s="316" t="s">
        <v>460</v>
      </c>
      <c r="I175" s="316">
        <v>3.1</v>
      </c>
      <c r="J175" s="939" t="s">
        <v>250</v>
      </c>
      <c r="K175" s="938" t="s">
        <v>722</v>
      </c>
      <c r="L175" s="941">
        <v>5</v>
      </c>
      <c r="M175" s="942">
        <v>45918</v>
      </c>
      <c r="N175" s="943" t="s">
        <v>224</v>
      </c>
      <c r="O175" s="943" t="s">
        <v>16824</v>
      </c>
      <c r="P175" s="943">
        <v>1.81</v>
      </c>
      <c r="Q175" s="943">
        <v>1.65</v>
      </c>
      <c r="R175" s="316">
        <v>21</v>
      </c>
      <c r="S175" s="1226" t="s">
        <v>16903</v>
      </c>
      <c r="T175" s="1156" t="s">
        <v>17051</v>
      </c>
      <c r="U175" s="1156" t="s">
        <v>17069</v>
      </c>
      <c r="V175" s="1156" t="s">
        <v>16879</v>
      </c>
    </row>
    <row r="176" spans="1:22">
      <c r="A176" s="1444" t="s">
        <v>16616</v>
      </c>
      <c r="B176" s="939">
        <v>192</v>
      </c>
      <c r="C176" s="937">
        <f t="shared" si="4"/>
        <v>7.5</v>
      </c>
      <c r="D176" s="1448">
        <f t="shared" si="5"/>
        <v>192</v>
      </c>
      <c r="E176" s="938" t="s">
        <v>7261</v>
      </c>
      <c r="F176" s="938" t="s">
        <v>17070</v>
      </c>
      <c r="G176" s="938">
        <v>650</v>
      </c>
      <c r="H176" s="316" t="s">
        <v>643</v>
      </c>
      <c r="I176" s="316">
        <v>1.6</v>
      </c>
      <c r="J176" s="939" t="s">
        <v>250</v>
      </c>
      <c r="K176" s="938" t="s">
        <v>456</v>
      </c>
      <c r="L176" s="941">
        <v>4</v>
      </c>
      <c r="M176" s="942">
        <v>45939</v>
      </c>
      <c r="N176" s="943" t="s">
        <v>230</v>
      </c>
      <c r="O176" s="943"/>
      <c r="P176" s="943">
        <v>1.77</v>
      </c>
      <c r="Q176" s="943">
        <v>1.82</v>
      </c>
      <c r="R176" s="316">
        <v>33</v>
      </c>
      <c r="S176" s="1226" t="s">
        <v>17056</v>
      </c>
      <c r="T176" s="1156" t="s">
        <v>17022</v>
      </c>
      <c r="U176" s="1156" t="s">
        <v>17071</v>
      </c>
      <c r="V176" s="1156" t="s">
        <v>16879</v>
      </c>
    </row>
    <row r="177" spans="1:22">
      <c r="A177" s="1446" t="s">
        <v>16618</v>
      </c>
      <c r="B177" s="316">
        <v>301</v>
      </c>
      <c r="C177" s="937">
        <f t="shared" si="4"/>
        <v>4.7840531561461797</v>
      </c>
      <c r="D177" s="1447">
        <f t="shared" si="5"/>
        <v>301</v>
      </c>
      <c r="E177" s="945" t="s">
        <v>6940</v>
      </c>
      <c r="F177" s="945" t="s">
        <v>17063</v>
      </c>
      <c r="G177" s="945">
        <v>500</v>
      </c>
      <c r="H177" s="316" t="s">
        <v>460</v>
      </c>
      <c r="I177" s="316">
        <v>1.6</v>
      </c>
      <c r="J177" s="939" t="s">
        <v>250</v>
      </c>
      <c r="K177" s="938" t="s">
        <v>878</v>
      </c>
      <c r="L177" s="941">
        <v>5</v>
      </c>
      <c r="M177" s="942">
        <v>45937</v>
      </c>
      <c r="N177" s="943" t="s">
        <v>17046</v>
      </c>
      <c r="O177" s="943" t="s">
        <v>16955</v>
      </c>
      <c r="P177" s="943">
        <v>1.79</v>
      </c>
      <c r="Q177" s="943">
        <v>1.83</v>
      </c>
      <c r="R177" s="943">
        <v>27</v>
      </c>
      <c r="S177" s="1227" t="s">
        <v>16961</v>
      </c>
      <c r="T177" s="1157" t="s">
        <v>16980</v>
      </c>
      <c r="U177" s="1157" t="s">
        <v>17072</v>
      </c>
      <c r="V177" s="1157" t="s">
        <v>16879</v>
      </c>
    </row>
    <row r="178" spans="1:22">
      <c r="A178" s="1444" t="s">
        <v>16623</v>
      </c>
      <c r="B178" s="939">
        <v>256</v>
      </c>
      <c r="C178" s="937">
        <f t="shared" si="4"/>
        <v>5.625</v>
      </c>
      <c r="D178" s="1447">
        <f t="shared" si="5"/>
        <v>256</v>
      </c>
      <c r="E178" s="938" t="s">
        <v>7114</v>
      </c>
      <c r="F178" s="938" t="s">
        <v>17073</v>
      </c>
      <c r="G178" s="938">
        <v>600</v>
      </c>
      <c r="H178" s="939" t="s">
        <v>643</v>
      </c>
      <c r="I178" s="944">
        <v>2</v>
      </c>
      <c r="J178" s="939" t="s">
        <v>251</v>
      </c>
      <c r="K178" s="938" t="s">
        <v>889</v>
      </c>
      <c r="L178" s="941">
        <v>5</v>
      </c>
      <c r="M178" s="942">
        <v>45953</v>
      </c>
      <c r="N178" s="943" t="s">
        <v>17074</v>
      </c>
      <c r="O178" s="943" t="s">
        <v>726</v>
      </c>
      <c r="P178" s="943">
        <v>1.77</v>
      </c>
      <c r="Q178" s="943">
        <v>1.67</v>
      </c>
      <c r="R178" s="316">
        <v>12</v>
      </c>
      <c r="S178" s="1226" t="s">
        <v>16977</v>
      </c>
      <c r="T178" s="1156" t="s">
        <v>16903</v>
      </c>
      <c r="U178" s="1156" t="s">
        <v>17075</v>
      </c>
      <c r="V178" s="1156" t="s">
        <v>17076</v>
      </c>
    </row>
    <row r="179" spans="1:22">
      <c r="A179" s="1446" t="s">
        <v>15335</v>
      </c>
      <c r="B179" s="316">
        <v>341</v>
      </c>
      <c r="C179" s="937">
        <f t="shared" si="4"/>
        <v>4.2228739002932549</v>
      </c>
      <c r="D179" s="1447">
        <f t="shared" si="5"/>
        <v>341</v>
      </c>
      <c r="E179" s="945" t="s">
        <v>8594</v>
      </c>
      <c r="F179" s="938" t="s">
        <v>17077</v>
      </c>
      <c r="G179" s="945">
        <v>600</v>
      </c>
      <c r="H179" s="939" t="s">
        <v>643</v>
      </c>
      <c r="I179" s="316">
        <v>3</v>
      </c>
      <c r="J179" s="939" t="s">
        <v>250</v>
      </c>
      <c r="K179" s="1133" t="s">
        <v>684</v>
      </c>
      <c r="L179" s="941">
        <v>5</v>
      </c>
      <c r="M179" s="942">
        <v>45799</v>
      </c>
      <c r="N179" s="943" t="s">
        <v>17078</v>
      </c>
      <c r="O179" s="943" t="s">
        <v>17079</v>
      </c>
      <c r="P179" s="943">
        <v>1.71</v>
      </c>
      <c r="Q179" s="943">
        <v>1.77</v>
      </c>
      <c r="R179" s="316">
        <v>28</v>
      </c>
    </row>
    <row r="180" spans="1:22">
      <c r="A180" s="1444" t="s">
        <v>15622</v>
      </c>
      <c r="B180" s="939">
        <v>810</v>
      </c>
      <c r="C180" s="937">
        <f t="shared" si="4"/>
        <v>1.7777777777777777</v>
      </c>
      <c r="D180" s="1448">
        <f t="shared" si="5"/>
        <v>810</v>
      </c>
      <c r="E180" s="938" t="s">
        <v>15624</v>
      </c>
      <c r="F180" s="938" t="s">
        <v>17080</v>
      </c>
      <c r="G180" s="938">
        <v>500</v>
      </c>
      <c r="H180" s="316" t="s">
        <v>126</v>
      </c>
      <c r="I180" s="316">
        <v>1.3</v>
      </c>
      <c r="J180" s="939" t="s">
        <v>251</v>
      </c>
      <c r="K180" s="938" t="s">
        <v>1143</v>
      </c>
      <c r="L180" s="941">
        <v>2</v>
      </c>
      <c r="M180" s="942">
        <v>45880</v>
      </c>
      <c r="N180" s="943" t="s">
        <v>16895</v>
      </c>
      <c r="O180" s="943" t="s">
        <v>16848</v>
      </c>
      <c r="P180" s="943">
        <v>1.7649999999999999</v>
      </c>
      <c r="Q180" s="943">
        <v>1.84</v>
      </c>
      <c r="R180" s="316">
        <v>5</v>
      </c>
      <c r="S180" s="1226" t="s">
        <v>17081</v>
      </c>
      <c r="T180" s="1156" t="s">
        <v>17082</v>
      </c>
      <c r="U180" s="1156" t="s">
        <v>17083</v>
      </c>
    </row>
    <row r="181" spans="1:22">
      <c r="A181" s="1446" t="s">
        <v>15833</v>
      </c>
      <c r="B181" s="316">
        <v>1010</v>
      </c>
      <c r="C181" s="937">
        <f t="shared" si="4"/>
        <v>1.4257425742574257</v>
      </c>
      <c r="D181" s="1447">
        <f t="shared" si="5"/>
        <v>1010</v>
      </c>
      <c r="E181" s="945" t="s">
        <v>8394</v>
      </c>
      <c r="F181" s="938" t="s">
        <v>17084</v>
      </c>
      <c r="G181" s="945">
        <v>600</v>
      </c>
      <c r="H181" s="316" t="s">
        <v>942</v>
      </c>
      <c r="I181" s="316">
        <v>2.5</v>
      </c>
      <c r="J181" s="939" t="s">
        <v>250</v>
      </c>
      <c r="K181" s="938" t="s">
        <v>1482</v>
      </c>
      <c r="L181" s="941">
        <v>2</v>
      </c>
      <c r="M181" s="942">
        <v>45897</v>
      </c>
      <c r="N181" s="943" t="s">
        <v>17024</v>
      </c>
      <c r="O181" s="943" t="s">
        <v>17012</v>
      </c>
      <c r="P181" s="943">
        <v>1.76</v>
      </c>
      <c r="Q181" s="943">
        <v>1.88</v>
      </c>
      <c r="R181" s="316">
        <v>7</v>
      </c>
      <c r="S181" s="1226" t="s">
        <v>17030</v>
      </c>
      <c r="T181" s="1156" t="s">
        <v>16942</v>
      </c>
      <c r="U181" s="1156" t="s">
        <v>17030</v>
      </c>
      <c r="V181" s="1156" t="s">
        <v>16879</v>
      </c>
    </row>
    <row r="182" spans="1:22">
      <c r="A182" s="1446" t="s">
        <v>17085</v>
      </c>
      <c r="B182" s="316">
        <v>206</v>
      </c>
      <c r="C182" s="937">
        <f t="shared" si="4"/>
        <v>6.9902912621359219</v>
      </c>
      <c r="D182" s="1447">
        <f t="shared" si="5"/>
        <v>206</v>
      </c>
      <c r="E182" s="945" t="s">
        <v>16198</v>
      </c>
      <c r="F182" s="938" t="s">
        <v>17086</v>
      </c>
      <c r="G182" s="945">
        <v>500</v>
      </c>
      <c r="H182" s="316" t="s">
        <v>643</v>
      </c>
      <c r="I182" s="316">
        <v>3.1</v>
      </c>
      <c r="J182" s="939" t="s">
        <v>251</v>
      </c>
      <c r="K182" s="938" t="s">
        <v>830</v>
      </c>
      <c r="L182" s="941">
        <v>5</v>
      </c>
      <c r="M182" s="942">
        <v>45931</v>
      </c>
      <c r="N182" s="943" t="s">
        <v>17046</v>
      </c>
      <c r="O182" s="943" t="s">
        <v>16873</v>
      </c>
      <c r="P182" s="943">
        <v>1.7</v>
      </c>
      <c r="Q182" s="943">
        <v>1.94</v>
      </c>
      <c r="R182" s="316">
        <v>23</v>
      </c>
      <c r="S182" s="1226" t="s">
        <v>17075</v>
      </c>
      <c r="T182" s="1156" t="s">
        <v>17087</v>
      </c>
      <c r="U182" s="1156" t="s">
        <v>17030</v>
      </c>
      <c r="V182" s="1156" t="s">
        <v>16879</v>
      </c>
    </row>
    <row r="183" spans="1:22">
      <c r="A183" s="1446" t="s">
        <v>16663</v>
      </c>
      <c r="B183" s="316">
        <v>172</v>
      </c>
      <c r="C183" s="937">
        <f t="shared" si="4"/>
        <v>8.3720930232558146</v>
      </c>
      <c r="D183" s="1447">
        <f t="shared" si="5"/>
        <v>172</v>
      </c>
      <c r="E183" s="945" t="s">
        <v>16198</v>
      </c>
      <c r="F183" s="938" t="s">
        <v>17086</v>
      </c>
      <c r="G183" s="945">
        <v>600</v>
      </c>
      <c r="H183" s="316" t="s">
        <v>643</v>
      </c>
      <c r="I183" s="316">
        <v>3</v>
      </c>
      <c r="J183" s="939" t="s">
        <v>251</v>
      </c>
      <c r="K183" s="938" t="s">
        <v>1143</v>
      </c>
      <c r="L183" s="941">
        <v>5</v>
      </c>
      <c r="M183" s="942">
        <v>45937</v>
      </c>
      <c r="N183" s="943" t="s">
        <v>16895</v>
      </c>
      <c r="O183" s="943" t="s">
        <v>16873</v>
      </c>
      <c r="P183" s="943">
        <v>1.7490000000000001</v>
      </c>
      <c r="Q183" s="943">
        <v>1.68</v>
      </c>
      <c r="R183" s="316">
        <v>10</v>
      </c>
      <c r="S183" s="1226" t="s">
        <v>16903</v>
      </c>
      <c r="T183" s="1156" t="s">
        <v>17027</v>
      </c>
      <c r="U183" s="1156" t="s">
        <v>17088</v>
      </c>
    </row>
    <row r="184" spans="1:22">
      <c r="A184" s="1444" t="s">
        <v>16665</v>
      </c>
      <c r="B184" s="939">
        <v>470</v>
      </c>
      <c r="C184" s="937">
        <f t="shared" si="4"/>
        <v>3.0638297872340425</v>
      </c>
      <c r="D184" s="1448">
        <f t="shared" si="5"/>
        <v>470</v>
      </c>
      <c r="E184" s="938" t="s">
        <v>8438</v>
      </c>
      <c r="F184" s="938" t="s">
        <v>17089</v>
      </c>
      <c r="G184" s="938">
        <v>600</v>
      </c>
      <c r="H184" s="316" t="s">
        <v>460</v>
      </c>
      <c r="I184" s="316">
        <v>2.2999999999999998</v>
      </c>
      <c r="J184" s="939" t="s">
        <v>250</v>
      </c>
      <c r="K184" s="938" t="s">
        <v>782</v>
      </c>
      <c r="L184" s="941">
        <v>5</v>
      </c>
      <c r="M184" s="942">
        <v>45946</v>
      </c>
      <c r="N184" s="943" t="s">
        <v>17048</v>
      </c>
      <c r="O184" s="943" t="s">
        <v>712</v>
      </c>
      <c r="P184" s="943">
        <v>1.7450000000000001</v>
      </c>
      <c r="Q184" s="943">
        <v>1.8</v>
      </c>
      <c r="R184" s="316">
        <v>16.5</v>
      </c>
      <c r="S184" s="1226" t="s">
        <v>17030</v>
      </c>
      <c r="T184" s="1156" t="s">
        <v>16946</v>
      </c>
      <c r="U184" s="1156" t="s">
        <v>17087</v>
      </c>
      <c r="V184" s="1156" t="s">
        <v>16879</v>
      </c>
    </row>
    <row r="185" spans="1:22">
      <c r="A185" s="1446" t="s">
        <v>16669</v>
      </c>
      <c r="B185" s="316">
        <v>337</v>
      </c>
      <c r="C185" s="937">
        <f t="shared" si="4"/>
        <v>4.2729970326409497</v>
      </c>
      <c r="D185" s="1447">
        <f t="shared" si="5"/>
        <v>337</v>
      </c>
      <c r="E185" s="945" t="s">
        <v>8594</v>
      </c>
      <c r="F185" s="945" t="s">
        <v>17090</v>
      </c>
      <c r="G185" s="945">
        <v>600</v>
      </c>
      <c r="H185" s="939" t="s">
        <v>643</v>
      </c>
      <c r="I185" s="316">
        <v>2.9</v>
      </c>
      <c r="J185" s="939" t="s">
        <v>250</v>
      </c>
      <c r="K185" s="938" t="s">
        <v>876</v>
      </c>
      <c r="L185" s="941">
        <v>5</v>
      </c>
      <c r="M185" s="942">
        <v>45951</v>
      </c>
      <c r="N185" s="943" t="s">
        <v>17091</v>
      </c>
      <c r="O185" s="943" t="s">
        <v>16809</v>
      </c>
      <c r="P185" s="943">
        <v>1.69</v>
      </c>
      <c r="Q185" s="943">
        <v>1.86</v>
      </c>
      <c r="R185" s="316">
        <v>22</v>
      </c>
      <c r="S185" s="1226" t="s">
        <v>17092</v>
      </c>
      <c r="T185" s="1156" t="s">
        <v>17019</v>
      </c>
      <c r="U185" s="1156" t="s">
        <v>16987</v>
      </c>
      <c r="V185" s="1156" t="s">
        <v>16981</v>
      </c>
    </row>
    <row r="186" spans="1:22">
      <c r="A186" s="1446" t="s">
        <v>16602</v>
      </c>
      <c r="B186" s="316">
        <v>444</v>
      </c>
      <c r="C186" s="937">
        <f t="shared" si="4"/>
        <v>3.2432432432432434</v>
      </c>
      <c r="D186" s="1447">
        <f t="shared" si="5"/>
        <v>444</v>
      </c>
      <c r="E186" s="945" t="s">
        <v>465</v>
      </c>
      <c r="F186" s="945" t="s">
        <v>15616</v>
      </c>
      <c r="G186" s="945">
        <v>700</v>
      </c>
      <c r="H186" s="316" t="s">
        <v>460</v>
      </c>
      <c r="I186" s="316">
        <v>2.2000000000000002</v>
      </c>
      <c r="J186" s="939" t="s">
        <v>250</v>
      </c>
      <c r="K186" s="1133" t="s">
        <v>619</v>
      </c>
      <c r="L186" s="941">
        <v>5</v>
      </c>
      <c r="M186" s="942">
        <v>45966</v>
      </c>
      <c r="N186" s="943" t="s">
        <v>215</v>
      </c>
      <c r="O186" s="943" t="s">
        <v>16811</v>
      </c>
      <c r="P186" s="943">
        <v>1.75</v>
      </c>
      <c r="Q186" s="943">
        <v>1.77</v>
      </c>
      <c r="R186" s="316">
        <v>19.5</v>
      </c>
      <c r="S186" s="1226" t="s">
        <v>16913</v>
      </c>
      <c r="T186" s="1156" t="s">
        <v>16987</v>
      </c>
      <c r="U186" s="1156" t="s">
        <v>17030</v>
      </c>
      <c r="V186" s="1156" t="s">
        <v>16879</v>
      </c>
    </row>
    <row r="187" spans="1:22">
      <c r="A187" s="1446" t="s">
        <v>16599</v>
      </c>
      <c r="B187" s="316">
        <v>510</v>
      </c>
      <c r="C187" s="937">
        <f t="shared" si="4"/>
        <v>2.8235294117647061</v>
      </c>
      <c r="D187" s="1448">
        <f t="shared" si="5"/>
        <v>510</v>
      </c>
      <c r="E187" s="945" t="s">
        <v>844</v>
      </c>
      <c r="F187" s="938" t="s">
        <v>17093</v>
      </c>
      <c r="G187" s="945">
        <v>600</v>
      </c>
      <c r="H187" s="316" t="s">
        <v>460</v>
      </c>
      <c r="I187" s="316">
        <v>4</v>
      </c>
      <c r="J187" s="939" t="s">
        <v>251</v>
      </c>
      <c r="K187" s="1133" t="s">
        <v>684</v>
      </c>
      <c r="L187" s="941">
        <v>5</v>
      </c>
      <c r="M187" s="942">
        <v>45966</v>
      </c>
      <c r="N187" s="943" t="s">
        <v>17024</v>
      </c>
      <c r="O187" s="943" t="s">
        <v>1137</v>
      </c>
      <c r="P187" s="943">
        <v>1.7949999999999999</v>
      </c>
      <c r="Q187" s="943">
        <v>1.85</v>
      </c>
      <c r="R187" s="316">
        <v>18</v>
      </c>
      <c r="S187" s="1226" t="s">
        <v>17030</v>
      </c>
      <c r="T187" s="1156" t="s">
        <v>16946</v>
      </c>
      <c r="U187" s="1156" t="s">
        <v>17087</v>
      </c>
      <c r="V187" s="1156" t="s">
        <v>16981</v>
      </c>
    </row>
    <row r="188" spans="1:22">
      <c r="A188" s="1446" t="s">
        <v>16053</v>
      </c>
      <c r="B188" s="316">
        <v>444</v>
      </c>
      <c r="C188" s="937">
        <f t="shared" si="4"/>
        <v>3.2432432432432434</v>
      </c>
      <c r="D188" s="1447">
        <f t="shared" si="5"/>
        <v>444</v>
      </c>
      <c r="E188" s="945" t="s">
        <v>465</v>
      </c>
      <c r="F188" s="945" t="s">
        <v>15616</v>
      </c>
      <c r="G188" s="945">
        <v>700</v>
      </c>
      <c r="H188" s="316" t="s">
        <v>460</v>
      </c>
      <c r="I188" s="316">
        <v>2.2000000000000002</v>
      </c>
      <c r="J188" s="939" t="s">
        <v>250</v>
      </c>
      <c r="K188" s="938" t="s">
        <v>783</v>
      </c>
      <c r="L188" s="941">
        <v>5</v>
      </c>
      <c r="M188" s="942">
        <v>45967</v>
      </c>
      <c r="N188" s="943" t="s">
        <v>218</v>
      </c>
      <c r="O188" s="943" t="s">
        <v>16811</v>
      </c>
      <c r="P188" s="943">
        <v>1.75</v>
      </c>
      <c r="Q188" s="943">
        <v>1.78</v>
      </c>
      <c r="R188" s="316">
        <v>19.5</v>
      </c>
      <c r="S188" s="1226" t="s">
        <v>16913</v>
      </c>
      <c r="T188" s="1156" t="s">
        <v>16987</v>
      </c>
      <c r="U188" s="1156" t="s">
        <v>16903</v>
      </c>
      <c r="V188" s="1156" t="s">
        <v>16879</v>
      </c>
    </row>
    <row r="189" spans="1:22">
      <c r="A189" s="1446" t="s">
        <v>16519</v>
      </c>
      <c r="B189" s="316">
        <v>440</v>
      </c>
      <c r="C189" s="937">
        <f t="shared" si="4"/>
        <v>3.2727272727272729</v>
      </c>
      <c r="D189" s="1447">
        <f t="shared" si="5"/>
        <v>440</v>
      </c>
      <c r="E189" s="945" t="s">
        <v>1947</v>
      </c>
      <c r="F189" s="945" t="s">
        <v>17094</v>
      </c>
      <c r="G189" s="945">
        <v>550</v>
      </c>
      <c r="H189" s="316" t="s">
        <v>626</v>
      </c>
      <c r="I189" s="316">
        <v>0.5</v>
      </c>
      <c r="J189" s="939" t="s">
        <v>250</v>
      </c>
      <c r="K189" s="938" t="s">
        <v>456</v>
      </c>
      <c r="L189" s="941">
        <v>2</v>
      </c>
      <c r="M189" s="942">
        <v>45971</v>
      </c>
      <c r="N189" s="943" t="s">
        <v>16901</v>
      </c>
      <c r="O189" s="943"/>
      <c r="P189" s="943">
        <v>1.7150000000000001</v>
      </c>
      <c r="Q189" s="943">
        <v>1.86</v>
      </c>
      <c r="R189" s="316">
        <v>12.5</v>
      </c>
      <c r="S189" s="1226" t="s">
        <v>16941</v>
      </c>
      <c r="T189" s="1156" t="s">
        <v>16961</v>
      </c>
      <c r="U189" s="1156" t="s">
        <v>17000</v>
      </c>
      <c r="V189" s="1156" t="s">
        <v>16879</v>
      </c>
    </row>
    <row r="190" spans="1:22">
      <c r="A190" s="1446" t="s">
        <v>16605</v>
      </c>
      <c r="B190" s="316">
        <v>460</v>
      </c>
      <c r="C190" s="937">
        <f t="shared" si="4"/>
        <v>3.1304347826086958</v>
      </c>
      <c r="D190" s="1447">
        <f t="shared" si="5"/>
        <v>460</v>
      </c>
      <c r="E190" s="945" t="s">
        <v>416</v>
      </c>
      <c r="F190" s="938" t="s">
        <v>17037</v>
      </c>
      <c r="G190" s="945">
        <v>670</v>
      </c>
      <c r="H190" s="316" t="s">
        <v>126</v>
      </c>
      <c r="I190" s="316">
        <v>0.8</v>
      </c>
      <c r="J190" s="939" t="s">
        <v>250</v>
      </c>
      <c r="K190" s="938" t="s">
        <v>618</v>
      </c>
      <c r="L190" s="941">
        <v>5</v>
      </c>
      <c r="M190" s="942">
        <v>45974</v>
      </c>
      <c r="N190" s="943" t="s">
        <v>229</v>
      </c>
      <c r="O190" s="943" t="s">
        <v>17038</v>
      </c>
      <c r="P190" s="943">
        <v>1.77</v>
      </c>
      <c r="Q190" s="943">
        <v>1.75</v>
      </c>
      <c r="R190" s="943">
        <v>11</v>
      </c>
      <c r="S190" s="1227" t="s">
        <v>16903</v>
      </c>
      <c r="T190" s="1157" t="s">
        <v>16903</v>
      </c>
      <c r="U190" s="1157" t="s">
        <v>17095</v>
      </c>
      <c r="V190" s="1157" t="s">
        <v>16879</v>
      </c>
    </row>
    <row r="191" spans="1:22">
      <c r="A191" s="1444" t="s">
        <v>16055</v>
      </c>
      <c r="B191" s="316">
        <v>480</v>
      </c>
      <c r="C191" s="937">
        <f t="shared" si="4"/>
        <v>3</v>
      </c>
      <c r="D191" s="1447">
        <f t="shared" si="5"/>
        <v>480</v>
      </c>
      <c r="E191" s="938" t="s">
        <v>1842</v>
      </c>
      <c r="F191" s="938" t="s">
        <v>16056</v>
      </c>
      <c r="G191" s="945">
        <v>500</v>
      </c>
      <c r="H191" s="316" t="s">
        <v>126</v>
      </c>
      <c r="I191" s="316">
        <v>0.8</v>
      </c>
      <c r="J191" s="939" t="s">
        <v>250</v>
      </c>
      <c r="K191" s="938" t="s">
        <v>831</v>
      </c>
      <c r="L191" s="941">
        <v>2</v>
      </c>
      <c r="M191" s="942">
        <v>45975</v>
      </c>
      <c r="N191" s="943" t="s">
        <v>212</v>
      </c>
      <c r="O191" s="943" t="s">
        <v>17096</v>
      </c>
      <c r="P191" s="943">
        <v>1.68</v>
      </c>
      <c r="Q191" s="943">
        <v>1.67</v>
      </c>
      <c r="R191" s="316">
        <v>8.5</v>
      </c>
      <c r="S191" s="1226" t="s">
        <v>16913</v>
      </c>
      <c r="T191" s="1156" t="s">
        <v>16980</v>
      </c>
      <c r="U191" s="1156" t="s">
        <v>17097</v>
      </c>
      <c r="V191" s="1156" t="s">
        <v>16981</v>
      </c>
    </row>
    <row r="192" spans="1:22">
      <c r="A192" s="1444" t="s">
        <v>16058</v>
      </c>
      <c r="B192" s="939">
        <v>440</v>
      </c>
      <c r="C192" s="937">
        <f t="shared" si="4"/>
        <v>3.2727272727272729</v>
      </c>
      <c r="D192" s="1447">
        <f t="shared" si="5"/>
        <v>440</v>
      </c>
      <c r="E192" s="945" t="s">
        <v>465</v>
      </c>
      <c r="F192" s="945" t="s">
        <v>15616</v>
      </c>
      <c r="G192" s="938">
        <v>700</v>
      </c>
      <c r="H192" s="316" t="s">
        <v>460</v>
      </c>
      <c r="I192" s="316">
        <v>2.2000000000000002</v>
      </c>
      <c r="J192" s="939" t="s">
        <v>250</v>
      </c>
      <c r="K192" s="938" t="s">
        <v>845</v>
      </c>
      <c r="L192" s="941">
        <v>5</v>
      </c>
      <c r="M192" s="942">
        <v>45980</v>
      </c>
      <c r="N192" s="943" t="s">
        <v>224</v>
      </c>
      <c r="O192" s="943" t="s">
        <v>16811</v>
      </c>
      <c r="P192" s="943">
        <v>1.75</v>
      </c>
      <c r="Q192" s="943">
        <v>1.78</v>
      </c>
      <c r="R192" s="316">
        <v>28</v>
      </c>
      <c r="S192" s="1226" t="s">
        <v>16913</v>
      </c>
      <c r="T192" s="1156" t="s">
        <v>16987</v>
      </c>
      <c r="U192" s="1156" t="s">
        <v>16903</v>
      </c>
      <c r="V192" s="1156" t="s">
        <v>16879</v>
      </c>
    </row>
    <row r="193" spans="1:22">
      <c r="A193" s="1444" t="s">
        <v>16608</v>
      </c>
      <c r="B193" s="939">
        <v>439</v>
      </c>
      <c r="C193" s="937">
        <f t="shared" si="4"/>
        <v>3.2801822323462413</v>
      </c>
      <c r="D193" s="1448">
        <f t="shared" si="5"/>
        <v>439</v>
      </c>
      <c r="E193" s="938" t="s">
        <v>210</v>
      </c>
      <c r="F193" s="938" t="s">
        <v>17098</v>
      </c>
      <c r="G193" s="938">
        <v>700</v>
      </c>
      <c r="H193" s="316" t="s">
        <v>126</v>
      </c>
      <c r="I193" s="940">
        <v>1.5</v>
      </c>
      <c r="J193" s="939" t="s">
        <v>250</v>
      </c>
      <c r="K193" s="938" t="s">
        <v>853</v>
      </c>
      <c r="L193" s="941">
        <v>5</v>
      </c>
      <c r="M193" s="942">
        <v>45981</v>
      </c>
      <c r="N193" s="943" t="s">
        <v>227</v>
      </c>
      <c r="O193" s="943" t="s">
        <v>16824</v>
      </c>
      <c r="P193" s="943">
        <v>1.7649999999999999</v>
      </c>
      <c r="Q193" s="943">
        <v>1.7</v>
      </c>
      <c r="R193" s="316">
        <v>18.5</v>
      </c>
      <c r="S193" s="1226" t="s">
        <v>17000</v>
      </c>
      <c r="T193" s="1156" t="s">
        <v>16942</v>
      </c>
      <c r="U193" s="1156" t="s">
        <v>17099</v>
      </c>
      <c r="V193" s="1156" t="s">
        <v>16879</v>
      </c>
    </row>
    <row r="194" spans="1:22">
      <c r="A194" s="1444" t="s">
        <v>16059</v>
      </c>
      <c r="B194" s="939">
        <v>770</v>
      </c>
      <c r="C194" s="937">
        <f t="shared" ref="C194:C257" si="6">IFERROR(1440/D194, "")</f>
        <v>1.8701298701298701</v>
      </c>
      <c r="D194" s="1448">
        <f t="shared" ref="D194:D257" si="7">IF(B194="", "", IF(B194&lt;1, B194*1440, B194))</f>
        <v>770</v>
      </c>
      <c r="E194" s="938" t="s">
        <v>1729</v>
      </c>
      <c r="F194" s="938" t="s">
        <v>16033</v>
      </c>
      <c r="G194" s="938">
        <v>800</v>
      </c>
      <c r="H194" s="316" t="s">
        <v>126</v>
      </c>
      <c r="I194" s="316">
        <v>1.1000000000000001</v>
      </c>
      <c r="J194" s="939" t="s">
        <v>250</v>
      </c>
      <c r="K194" s="938" t="s">
        <v>482</v>
      </c>
      <c r="L194" s="941">
        <v>5</v>
      </c>
      <c r="M194" s="942">
        <v>45981</v>
      </c>
      <c r="N194" s="943" t="s">
        <v>226</v>
      </c>
      <c r="O194" s="943" t="s">
        <v>16916</v>
      </c>
      <c r="P194" s="943">
        <v>1.71</v>
      </c>
      <c r="Q194" s="943">
        <v>1.88</v>
      </c>
      <c r="R194" s="316">
        <v>12</v>
      </c>
      <c r="S194" s="1226" t="s">
        <v>17000</v>
      </c>
      <c r="T194" s="1156" t="s">
        <v>17100</v>
      </c>
      <c r="U194" s="1156" t="s">
        <v>16913</v>
      </c>
      <c r="V194" s="1156" t="s">
        <v>16879</v>
      </c>
    </row>
    <row r="195" spans="1:22">
      <c r="A195" s="1446" t="s">
        <v>16510</v>
      </c>
      <c r="B195" s="316">
        <v>617</v>
      </c>
      <c r="C195" s="937">
        <f t="shared" si="6"/>
        <v>2.3338735818476497</v>
      </c>
      <c r="D195" s="1448">
        <f t="shared" si="7"/>
        <v>617</v>
      </c>
      <c r="E195" s="945" t="s">
        <v>1463</v>
      </c>
      <c r="F195" s="938" t="s">
        <v>16240</v>
      </c>
      <c r="G195" s="945">
        <v>600</v>
      </c>
      <c r="H195" s="316" t="s">
        <v>942</v>
      </c>
      <c r="I195" s="316">
        <v>1</v>
      </c>
      <c r="J195" s="939" t="s">
        <v>250</v>
      </c>
      <c r="K195" s="938" t="s">
        <v>647</v>
      </c>
      <c r="L195" s="941">
        <v>2</v>
      </c>
      <c r="M195" s="942">
        <v>45981</v>
      </c>
      <c r="N195" s="943" t="s">
        <v>214</v>
      </c>
      <c r="O195" s="943" t="s">
        <v>17038</v>
      </c>
      <c r="P195" s="943">
        <v>1.65</v>
      </c>
      <c r="Q195" s="943">
        <v>1.69</v>
      </c>
      <c r="R195" s="316">
        <v>7.5</v>
      </c>
      <c r="S195" s="1226" t="s">
        <v>16882</v>
      </c>
      <c r="T195" s="1156" t="s">
        <v>17101</v>
      </c>
      <c r="U195" s="1156" t="s">
        <v>17102</v>
      </c>
      <c r="V195" s="1156" t="s">
        <v>16981</v>
      </c>
    </row>
    <row r="196" spans="1:22">
      <c r="A196" s="1446" t="s">
        <v>16610</v>
      </c>
      <c r="B196" s="316">
        <v>504</v>
      </c>
      <c r="C196" s="937">
        <f t="shared" si="6"/>
        <v>2.8571428571428572</v>
      </c>
      <c r="D196" s="1447">
        <f t="shared" si="7"/>
        <v>504</v>
      </c>
      <c r="E196" s="945" t="s">
        <v>757</v>
      </c>
      <c r="F196" s="938" t="s">
        <v>17103</v>
      </c>
      <c r="G196" s="945">
        <v>500</v>
      </c>
      <c r="H196" s="316" t="s">
        <v>126</v>
      </c>
      <c r="I196" s="316">
        <v>3</v>
      </c>
      <c r="J196" s="939" t="s">
        <v>250</v>
      </c>
      <c r="K196" s="938" t="s">
        <v>483</v>
      </c>
      <c r="L196" s="941">
        <v>4</v>
      </c>
      <c r="M196" s="942">
        <v>45985</v>
      </c>
      <c r="N196" s="943" t="s">
        <v>216</v>
      </c>
      <c r="O196" s="943" t="s">
        <v>16996</v>
      </c>
      <c r="P196" s="943">
        <v>1.77</v>
      </c>
      <c r="Q196" s="943">
        <v>1.78</v>
      </c>
      <c r="R196" s="316">
        <v>12</v>
      </c>
      <c r="S196" s="1226" t="s">
        <v>16903</v>
      </c>
      <c r="T196" s="1156" t="s">
        <v>17075</v>
      </c>
      <c r="U196" s="1156" t="s">
        <v>17104</v>
      </c>
      <c r="V196" s="1156" t="s">
        <v>16879</v>
      </c>
    </row>
    <row r="197" spans="1:22">
      <c r="A197" s="1444" t="s">
        <v>16526</v>
      </c>
      <c r="B197" s="939">
        <v>901</v>
      </c>
      <c r="C197" s="937">
        <f t="shared" si="6"/>
        <v>1.5982241953385128</v>
      </c>
      <c r="D197" s="1448">
        <f t="shared" si="7"/>
        <v>901</v>
      </c>
      <c r="E197" s="938" t="s">
        <v>1783</v>
      </c>
      <c r="F197" s="938" t="s">
        <v>17105</v>
      </c>
      <c r="G197" s="945">
        <v>500</v>
      </c>
      <c r="H197" s="316" t="s">
        <v>126</v>
      </c>
      <c r="I197" s="939">
        <v>0.4</v>
      </c>
      <c r="J197" s="939" t="s">
        <v>250</v>
      </c>
      <c r="K197" s="938" t="s">
        <v>876</v>
      </c>
      <c r="L197" s="941">
        <v>3.7</v>
      </c>
      <c r="M197" s="942">
        <v>45994</v>
      </c>
      <c r="N197" s="943" t="s">
        <v>223</v>
      </c>
      <c r="O197" s="943" t="s">
        <v>17031</v>
      </c>
      <c r="P197" s="943">
        <v>1.675</v>
      </c>
      <c r="Q197" s="943">
        <v>1.91</v>
      </c>
      <c r="R197" s="316">
        <v>8.5</v>
      </c>
      <c r="S197" s="1226" t="s">
        <v>16972</v>
      </c>
      <c r="T197" s="1156" t="s">
        <v>16961</v>
      </c>
      <c r="U197" s="1156" t="s">
        <v>16931</v>
      </c>
      <c r="V197" s="1156" t="s">
        <v>16879</v>
      </c>
    </row>
    <row r="198" spans="1:22">
      <c r="A198" s="1446" t="s">
        <v>16560</v>
      </c>
      <c r="B198" s="316">
        <v>461</v>
      </c>
      <c r="C198" s="937">
        <f t="shared" si="6"/>
        <v>3.1236442516268981</v>
      </c>
      <c r="D198" s="1447">
        <f t="shared" si="7"/>
        <v>461</v>
      </c>
      <c r="E198" s="945" t="s">
        <v>210</v>
      </c>
      <c r="F198" s="938" t="s">
        <v>17106</v>
      </c>
      <c r="G198" s="945">
        <v>670</v>
      </c>
      <c r="H198" s="316" t="s">
        <v>126</v>
      </c>
      <c r="I198" s="316">
        <v>0.7</v>
      </c>
      <c r="J198" s="939" t="s">
        <v>250</v>
      </c>
      <c r="K198" s="938" t="s">
        <v>464</v>
      </c>
      <c r="L198" s="941">
        <v>5</v>
      </c>
      <c r="M198" s="942">
        <v>46000</v>
      </c>
      <c r="N198" s="943" t="s">
        <v>229</v>
      </c>
      <c r="O198" s="943" t="s">
        <v>16827</v>
      </c>
      <c r="P198" s="943">
        <v>1.7649999999999999</v>
      </c>
      <c r="Q198" s="943">
        <v>1.78</v>
      </c>
      <c r="R198" s="316">
        <v>11.5</v>
      </c>
      <c r="S198" s="1226" t="s">
        <v>16903</v>
      </c>
      <c r="T198" s="1156" t="s">
        <v>16903</v>
      </c>
      <c r="U198" s="1156" t="s">
        <v>17107</v>
      </c>
      <c r="V198" s="1156" t="s">
        <v>16879</v>
      </c>
    </row>
    <row r="199" spans="1:22">
      <c r="A199" s="1446" t="s">
        <v>16545</v>
      </c>
      <c r="B199" s="316">
        <v>563</v>
      </c>
      <c r="C199" s="937">
        <f t="shared" si="6"/>
        <v>2.5577264653641207</v>
      </c>
      <c r="D199" s="1447">
        <f t="shared" si="7"/>
        <v>563</v>
      </c>
      <c r="E199" s="945" t="s">
        <v>715</v>
      </c>
      <c r="F199" s="938" t="s">
        <v>16081</v>
      </c>
      <c r="G199" s="945">
        <v>650</v>
      </c>
      <c r="H199" s="316" t="s">
        <v>126</v>
      </c>
      <c r="I199" s="316">
        <v>1.2</v>
      </c>
      <c r="J199" s="939" t="s">
        <v>250</v>
      </c>
      <c r="K199" s="938" t="s">
        <v>813</v>
      </c>
      <c r="L199" s="941">
        <v>4</v>
      </c>
      <c r="M199" s="942">
        <v>46001</v>
      </c>
      <c r="N199" s="943" t="s">
        <v>16999</v>
      </c>
      <c r="O199" s="943" t="s">
        <v>16824</v>
      </c>
      <c r="P199" s="943">
        <v>1.7050000000000001</v>
      </c>
      <c r="Q199" s="943">
        <v>1.65</v>
      </c>
      <c r="R199" s="316">
        <v>8</v>
      </c>
      <c r="S199" s="1226" t="s">
        <v>16986</v>
      </c>
      <c r="T199" s="1156" t="s">
        <v>16028</v>
      </c>
      <c r="U199" s="1156" t="s">
        <v>17075</v>
      </c>
      <c r="V199" s="1156" t="s">
        <v>16879</v>
      </c>
    </row>
    <row r="200" spans="1:22">
      <c r="A200" s="1446" t="s">
        <v>16086</v>
      </c>
      <c r="B200" s="316">
        <v>889</v>
      </c>
      <c r="C200" s="937">
        <f t="shared" si="6"/>
        <v>1.6197975253093364</v>
      </c>
      <c r="D200" s="1448">
        <f t="shared" si="7"/>
        <v>889</v>
      </c>
      <c r="E200" s="945" t="s">
        <v>771</v>
      </c>
      <c r="F200" s="938" t="s">
        <v>16088</v>
      </c>
      <c r="G200" s="945">
        <v>700</v>
      </c>
      <c r="H200" s="316" t="s">
        <v>126</v>
      </c>
      <c r="I200" s="316">
        <v>1.4</v>
      </c>
      <c r="J200" s="939" t="s">
        <v>250</v>
      </c>
      <c r="K200" s="938" t="s">
        <v>887</v>
      </c>
      <c r="L200" s="941">
        <v>5</v>
      </c>
      <c r="M200" s="942">
        <v>46002</v>
      </c>
      <c r="N200" s="943" t="s">
        <v>214</v>
      </c>
      <c r="O200" s="943" t="s">
        <v>17108</v>
      </c>
      <c r="P200" s="943">
        <v>1.75</v>
      </c>
      <c r="Q200" s="943">
        <v>1.79</v>
      </c>
      <c r="R200" s="316">
        <v>10</v>
      </c>
      <c r="S200" s="1226" t="s">
        <v>17056</v>
      </c>
      <c r="T200" s="1156" t="s">
        <v>16990</v>
      </c>
      <c r="U200" s="1156" t="s">
        <v>17109</v>
      </c>
      <c r="V200" s="1156" t="s">
        <v>16879</v>
      </c>
    </row>
    <row r="201" spans="1:22">
      <c r="A201" s="1446" t="s">
        <v>16087</v>
      </c>
      <c r="B201" s="316">
        <v>888</v>
      </c>
      <c r="C201" s="937">
        <f t="shared" si="6"/>
        <v>1.6216216216216217</v>
      </c>
      <c r="D201" s="1447">
        <f t="shared" si="7"/>
        <v>888</v>
      </c>
      <c r="E201" s="945" t="s">
        <v>1783</v>
      </c>
      <c r="F201" s="945" t="s">
        <v>16089</v>
      </c>
      <c r="G201" s="945">
        <v>500</v>
      </c>
      <c r="H201" s="316" t="s">
        <v>126</v>
      </c>
      <c r="I201" s="316">
        <v>0.3</v>
      </c>
      <c r="J201" s="939" t="s">
        <v>250</v>
      </c>
      <c r="K201" s="938" t="s">
        <v>16091</v>
      </c>
      <c r="L201" s="941">
        <v>3.7</v>
      </c>
      <c r="M201" s="942">
        <v>46003</v>
      </c>
      <c r="N201" s="943" t="s">
        <v>228</v>
      </c>
      <c r="O201" s="943" t="s">
        <v>862</v>
      </c>
      <c r="P201" s="943">
        <v>1.675</v>
      </c>
      <c r="Q201" s="943">
        <v>1.9</v>
      </c>
      <c r="R201" s="943">
        <v>8.5</v>
      </c>
      <c r="S201" s="1227" t="s">
        <v>16972</v>
      </c>
      <c r="T201" s="1157" t="s">
        <v>16961</v>
      </c>
      <c r="U201" s="1157" t="s">
        <v>16931</v>
      </c>
      <c r="V201" s="1157" t="s">
        <v>16879</v>
      </c>
    </row>
    <row r="202" spans="1:22">
      <c r="A202" s="1444" t="s">
        <v>16062</v>
      </c>
      <c r="B202" s="939">
        <v>950</v>
      </c>
      <c r="C202" s="937">
        <f t="shared" si="6"/>
        <v>1.5157894736842106</v>
      </c>
      <c r="D202" s="1448">
        <f t="shared" si="7"/>
        <v>950</v>
      </c>
      <c r="E202" s="938" t="s">
        <v>472</v>
      </c>
      <c r="F202" s="945" t="s">
        <v>16090</v>
      </c>
      <c r="G202" s="938">
        <v>650</v>
      </c>
      <c r="H202" s="316" t="s">
        <v>126</v>
      </c>
      <c r="I202" s="316">
        <v>0.8</v>
      </c>
      <c r="J202" s="939" t="s">
        <v>250</v>
      </c>
      <c r="K202" s="938" t="s">
        <v>878</v>
      </c>
      <c r="L202" s="941">
        <v>5</v>
      </c>
      <c r="M202" s="942">
        <v>46006</v>
      </c>
      <c r="N202" s="943" t="s">
        <v>220</v>
      </c>
      <c r="O202" s="943" t="s">
        <v>16873</v>
      </c>
      <c r="P202" s="943">
        <v>1.69</v>
      </c>
      <c r="Q202" s="943" t="s">
        <v>17110</v>
      </c>
      <c r="R202" s="316">
        <v>12</v>
      </c>
      <c r="S202" s="1226" t="s">
        <v>16941</v>
      </c>
      <c r="T202" s="1156" t="s">
        <v>16904</v>
      </c>
      <c r="U202" s="1156" t="s">
        <v>17111</v>
      </c>
      <c r="V202" s="1156" t="s">
        <v>16879</v>
      </c>
    </row>
    <row r="203" spans="1:22">
      <c r="A203" s="1446" t="s">
        <v>16093</v>
      </c>
      <c r="B203" s="316">
        <v>470</v>
      </c>
      <c r="C203" s="937">
        <f t="shared" si="6"/>
        <v>3.0638297872340425</v>
      </c>
      <c r="D203" s="1447">
        <f t="shared" si="7"/>
        <v>470</v>
      </c>
      <c r="E203" s="945" t="s">
        <v>8438</v>
      </c>
      <c r="F203" s="945" t="s">
        <v>16097</v>
      </c>
      <c r="G203" s="945">
        <v>600</v>
      </c>
      <c r="H203" s="316" t="s">
        <v>460</v>
      </c>
      <c r="I203" s="316">
        <v>2.2000000000000002</v>
      </c>
      <c r="J203" s="939" t="s">
        <v>251</v>
      </c>
      <c r="K203" s="938" t="s">
        <v>877</v>
      </c>
      <c r="L203" s="941">
        <v>5</v>
      </c>
      <c r="M203" s="942">
        <v>46006</v>
      </c>
      <c r="N203" s="943" t="s">
        <v>17024</v>
      </c>
      <c r="O203" s="943" t="s">
        <v>621</v>
      </c>
      <c r="P203" s="943">
        <v>1.7450000000000001</v>
      </c>
      <c r="Q203" s="943">
        <v>1.9</v>
      </c>
      <c r="R203" s="316">
        <v>16.5</v>
      </c>
      <c r="S203" s="1226" t="s">
        <v>17030</v>
      </c>
      <c r="T203" s="1156" t="s">
        <v>16946</v>
      </c>
      <c r="U203" s="1156" t="s">
        <v>17112</v>
      </c>
      <c r="V203" s="1156" t="s">
        <v>16879</v>
      </c>
    </row>
    <row r="204" spans="1:22">
      <c r="A204" s="1444" t="s">
        <v>16092</v>
      </c>
      <c r="B204" s="939">
        <v>208</v>
      </c>
      <c r="C204" s="937">
        <f t="shared" si="6"/>
        <v>6.9230769230769234</v>
      </c>
      <c r="D204" s="1447">
        <f t="shared" si="7"/>
        <v>208</v>
      </c>
      <c r="E204" s="938" t="s">
        <v>836</v>
      </c>
      <c r="F204" s="938" t="s">
        <v>16096</v>
      </c>
      <c r="G204" s="938">
        <v>600</v>
      </c>
      <c r="H204" s="939" t="s">
        <v>643</v>
      </c>
      <c r="I204" s="940">
        <v>1.6</v>
      </c>
      <c r="J204" s="939" t="s">
        <v>250</v>
      </c>
      <c r="K204" s="938" t="s">
        <v>483</v>
      </c>
      <c r="L204" s="941">
        <v>4</v>
      </c>
      <c r="M204" s="942">
        <v>46006</v>
      </c>
      <c r="N204" s="943" t="s">
        <v>230</v>
      </c>
      <c r="O204" s="943" t="s">
        <v>619</v>
      </c>
      <c r="P204" s="943">
        <v>1.78</v>
      </c>
      <c r="Q204" s="943">
        <v>1.72</v>
      </c>
      <c r="R204" s="316">
        <v>34</v>
      </c>
      <c r="S204" s="1226" t="s">
        <v>17056</v>
      </c>
      <c r="T204" s="1156" t="s">
        <v>17022</v>
      </c>
      <c r="U204" s="1156" t="s">
        <v>17112</v>
      </c>
      <c r="V204" s="1156" t="s">
        <v>16879</v>
      </c>
    </row>
    <row r="205" spans="1:22">
      <c r="A205" s="1444" t="s">
        <v>16094</v>
      </c>
      <c r="B205" s="939">
        <v>641</v>
      </c>
      <c r="C205" s="937">
        <f t="shared" si="6"/>
        <v>2.2464898595943836</v>
      </c>
      <c r="D205" s="1448">
        <f t="shared" si="7"/>
        <v>641</v>
      </c>
      <c r="E205" s="938" t="s">
        <v>298</v>
      </c>
      <c r="F205" s="938" t="s">
        <v>15891</v>
      </c>
      <c r="G205" s="938">
        <v>700</v>
      </c>
      <c r="H205" s="316" t="s">
        <v>626</v>
      </c>
      <c r="I205" s="944">
        <v>2.4</v>
      </c>
      <c r="J205" s="939" t="s">
        <v>250</v>
      </c>
      <c r="K205" s="938" t="s">
        <v>758</v>
      </c>
      <c r="L205" s="941">
        <v>5</v>
      </c>
      <c r="M205" s="942">
        <v>46006</v>
      </c>
      <c r="N205" s="943" t="s">
        <v>227</v>
      </c>
      <c r="O205" s="943" t="s">
        <v>621</v>
      </c>
      <c r="P205" s="943">
        <v>1.7549999999999999</v>
      </c>
      <c r="Q205" s="943">
        <v>1.95</v>
      </c>
      <c r="R205" s="316">
        <v>12.5</v>
      </c>
      <c r="S205" s="1226" t="s">
        <v>16931</v>
      </c>
      <c r="T205" s="1156" t="s">
        <v>16990</v>
      </c>
      <c r="U205" s="1156" t="s">
        <v>17035</v>
      </c>
      <c r="V205" s="1156" t="s">
        <v>16879</v>
      </c>
    </row>
    <row r="206" spans="1:22">
      <c r="A206" s="1444" t="s">
        <v>16099</v>
      </c>
      <c r="B206" s="939">
        <v>443</v>
      </c>
      <c r="C206" s="937">
        <f t="shared" si="6"/>
        <v>3.2505643340857788</v>
      </c>
      <c r="D206" s="1448">
        <f t="shared" si="7"/>
        <v>443</v>
      </c>
      <c r="E206" s="945" t="s">
        <v>465</v>
      </c>
      <c r="F206" s="945" t="s">
        <v>16100</v>
      </c>
      <c r="G206" s="945">
        <v>700</v>
      </c>
      <c r="H206" s="316" t="s">
        <v>460</v>
      </c>
      <c r="I206" s="940">
        <v>2.2999999999999998</v>
      </c>
      <c r="J206" s="939" t="s">
        <v>250</v>
      </c>
      <c r="K206" s="938" t="s">
        <v>994</v>
      </c>
      <c r="L206" s="941">
        <v>5</v>
      </c>
      <c r="M206" s="942">
        <v>46008</v>
      </c>
      <c r="N206" s="943" t="s">
        <v>215</v>
      </c>
      <c r="O206" s="943" t="s">
        <v>482</v>
      </c>
      <c r="P206" s="943">
        <v>1.75</v>
      </c>
      <c r="Q206" s="943">
        <v>1.85</v>
      </c>
      <c r="R206" s="316">
        <v>32</v>
      </c>
      <c r="S206" s="1226" t="s">
        <v>16913</v>
      </c>
      <c r="T206" s="1156" t="s">
        <v>16987</v>
      </c>
      <c r="U206" s="1156" t="s">
        <v>17113</v>
      </c>
      <c r="V206" s="1156" t="s">
        <v>16879</v>
      </c>
    </row>
    <row r="207" spans="1:22">
      <c r="A207" s="1446" t="s">
        <v>16102</v>
      </c>
      <c r="B207" s="939">
        <v>480</v>
      </c>
      <c r="C207" s="937">
        <f t="shared" si="6"/>
        <v>3</v>
      </c>
      <c r="D207" s="1448">
        <f t="shared" si="7"/>
        <v>480</v>
      </c>
      <c r="E207" s="938" t="s">
        <v>1842</v>
      </c>
      <c r="F207" s="938" t="s">
        <v>16104</v>
      </c>
      <c r="G207" s="945">
        <v>500</v>
      </c>
      <c r="H207" s="316" t="s">
        <v>126</v>
      </c>
      <c r="I207" s="944">
        <v>0.7</v>
      </c>
      <c r="J207" s="939" t="s">
        <v>250</v>
      </c>
      <c r="K207" s="938" t="s">
        <v>863</v>
      </c>
      <c r="L207" s="941">
        <v>2</v>
      </c>
      <c r="M207" s="942">
        <v>46009</v>
      </c>
      <c r="N207" s="943" t="s">
        <v>212</v>
      </c>
      <c r="O207" s="943" t="s">
        <v>17038</v>
      </c>
      <c r="P207" s="943">
        <v>1.68</v>
      </c>
      <c r="Q207" s="943">
        <v>1.74</v>
      </c>
      <c r="R207" s="316">
        <v>7.5</v>
      </c>
      <c r="S207" s="1226" t="s">
        <v>16913</v>
      </c>
      <c r="T207" s="1156" t="s">
        <v>16980</v>
      </c>
      <c r="U207" s="1156" t="s">
        <v>17114</v>
      </c>
      <c r="V207" s="1156" t="s">
        <v>16981</v>
      </c>
    </row>
    <row r="208" spans="1:22">
      <c r="A208" s="1444" t="s">
        <v>16107</v>
      </c>
      <c r="B208" s="939">
        <v>1112</v>
      </c>
      <c r="C208" s="937">
        <f t="shared" si="6"/>
        <v>1.2949640287769784</v>
      </c>
      <c r="D208" s="1448">
        <f t="shared" si="7"/>
        <v>1112</v>
      </c>
      <c r="E208" s="938" t="s">
        <v>620</v>
      </c>
      <c r="F208" s="938" t="s">
        <v>15845</v>
      </c>
      <c r="G208" s="938">
        <v>550</v>
      </c>
      <c r="H208" s="316" t="s">
        <v>626</v>
      </c>
      <c r="I208" s="316">
        <v>1.6</v>
      </c>
      <c r="J208" s="939" t="s">
        <v>251</v>
      </c>
      <c r="K208" s="938" t="s">
        <v>621</v>
      </c>
      <c r="L208" s="941">
        <v>5</v>
      </c>
      <c r="M208" s="942">
        <v>46013</v>
      </c>
      <c r="N208" s="943" t="s">
        <v>16893</v>
      </c>
      <c r="O208" s="943" t="s">
        <v>16865</v>
      </c>
      <c r="P208" s="943">
        <v>1.73</v>
      </c>
      <c r="Q208" s="943">
        <v>2.0499999999999998</v>
      </c>
      <c r="R208" s="316">
        <v>5.5</v>
      </c>
      <c r="S208" s="1226" t="s">
        <v>16977</v>
      </c>
      <c r="T208" s="1156" t="s">
        <v>16914</v>
      </c>
      <c r="U208" s="1156" t="s">
        <v>17115</v>
      </c>
    </row>
    <row r="209" spans="1:22">
      <c r="A209" s="1446" t="s">
        <v>16114</v>
      </c>
      <c r="B209" s="316">
        <v>513</v>
      </c>
      <c r="C209" s="937">
        <f t="shared" si="6"/>
        <v>2.807017543859649</v>
      </c>
      <c r="D209" s="1448">
        <f t="shared" si="7"/>
        <v>513</v>
      </c>
      <c r="E209" s="945" t="s">
        <v>15040</v>
      </c>
      <c r="F209" s="945" t="s">
        <v>16116</v>
      </c>
      <c r="G209" s="945">
        <v>600</v>
      </c>
      <c r="H209" s="316" t="s">
        <v>126</v>
      </c>
      <c r="I209" s="316">
        <v>2.9</v>
      </c>
      <c r="J209" s="939" t="s">
        <v>250</v>
      </c>
      <c r="K209" s="938" t="s">
        <v>1376</v>
      </c>
      <c r="L209" s="941">
        <v>5</v>
      </c>
      <c r="M209" s="942">
        <v>46020</v>
      </c>
      <c r="N209" s="943" t="s">
        <v>216</v>
      </c>
      <c r="O209" s="943" t="s">
        <v>8404</v>
      </c>
      <c r="P209" s="943">
        <v>1.76</v>
      </c>
      <c r="Q209" s="943">
        <v>1.84</v>
      </c>
      <c r="R209" s="316">
        <v>14</v>
      </c>
      <c r="S209" s="1226" t="s">
        <v>17030</v>
      </c>
      <c r="T209" s="1156" t="s">
        <v>17075</v>
      </c>
      <c r="U209" s="1156" t="s">
        <v>16913</v>
      </c>
      <c r="V209" s="1156" t="s">
        <v>16879</v>
      </c>
    </row>
    <row r="210" spans="1:22">
      <c r="A210" s="1444" t="s">
        <v>16115</v>
      </c>
      <c r="B210" s="939">
        <v>461</v>
      </c>
      <c r="C210" s="937">
        <f t="shared" si="6"/>
        <v>3.1236442516268981</v>
      </c>
      <c r="D210" s="1447">
        <f t="shared" si="7"/>
        <v>461</v>
      </c>
      <c r="E210" s="945" t="s">
        <v>799</v>
      </c>
      <c r="F210" s="945" t="s">
        <v>16117</v>
      </c>
      <c r="G210" s="938">
        <v>670</v>
      </c>
      <c r="H210" s="316" t="s">
        <v>126</v>
      </c>
      <c r="I210" s="944">
        <v>0.7</v>
      </c>
      <c r="J210" s="939" t="s">
        <v>250</v>
      </c>
      <c r="K210" s="938" t="s">
        <v>680</v>
      </c>
      <c r="L210" s="941">
        <v>5</v>
      </c>
      <c r="M210" s="942">
        <v>46020</v>
      </c>
      <c r="N210" s="943" t="s">
        <v>229</v>
      </c>
      <c r="O210" s="943" t="s">
        <v>619</v>
      </c>
      <c r="P210" s="943">
        <v>1.76</v>
      </c>
      <c r="Q210" s="943">
        <v>1.82</v>
      </c>
      <c r="R210" s="316">
        <v>12</v>
      </c>
      <c r="S210" s="1226" t="s">
        <v>16903</v>
      </c>
      <c r="T210" s="1156" t="s">
        <v>16903</v>
      </c>
      <c r="U210" s="1156" t="s">
        <v>17116</v>
      </c>
      <c r="V210" s="1156" t="s">
        <v>16879</v>
      </c>
    </row>
    <row r="211" spans="1:22">
      <c r="A211" s="1444" t="s">
        <v>16119</v>
      </c>
      <c r="B211" s="939">
        <v>192</v>
      </c>
      <c r="C211" s="937">
        <f t="shared" si="6"/>
        <v>7.5</v>
      </c>
      <c r="D211" s="1447">
        <f t="shared" si="7"/>
        <v>192</v>
      </c>
      <c r="E211" s="938" t="s">
        <v>7261</v>
      </c>
      <c r="F211" s="945" t="s">
        <v>16120</v>
      </c>
      <c r="G211" s="938">
        <v>650</v>
      </c>
      <c r="H211" s="316" t="s">
        <v>643</v>
      </c>
      <c r="I211" s="939">
        <v>1.6</v>
      </c>
      <c r="J211" s="939" t="s">
        <v>250</v>
      </c>
      <c r="K211" s="938" t="s">
        <v>456</v>
      </c>
      <c r="L211" s="941">
        <v>4</v>
      </c>
      <c r="M211" s="942">
        <v>46021</v>
      </c>
      <c r="N211" s="943" t="s">
        <v>230</v>
      </c>
      <c r="O211" s="943" t="s">
        <v>619</v>
      </c>
      <c r="P211" s="943">
        <v>1.77</v>
      </c>
      <c r="Q211" s="943">
        <v>1.78</v>
      </c>
      <c r="R211" s="316">
        <v>34</v>
      </c>
      <c r="S211" s="1226" t="s">
        <v>17056</v>
      </c>
      <c r="T211" s="1156" t="s">
        <v>17022</v>
      </c>
      <c r="U211" s="1156" t="s">
        <v>17117</v>
      </c>
      <c r="V211" s="1156" t="s">
        <v>16879</v>
      </c>
    </row>
    <row r="212" spans="1:22">
      <c r="A212" s="1446" t="s">
        <v>16121</v>
      </c>
      <c r="B212" s="316">
        <v>895</v>
      </c>
      <c r="C212" s="937">
        <f t="shared" si="6"/>
        <v>1.6089385474860336</v>
      </c>
      <c r="D212" s="1447">
        <f t="shared" si="7"/>
        <v>895</v>
      </c>
      <c r="E212" s="945" t="s">
        <v>1783</v>
      </c>
      <c r="F212" s="938" t="s">
        <v>16044</v>
      </c>
      <c r="G212" s="945">
        <v>500</v>
      </c>
      <c r="H212" s="316" t="s">
        <v>126</v>
      </c>
      <c r="I212" s="316">
        <v>0.3</v>
      </c>
      <c r="J212" s="939" t="s">
        <v>250</v>
      </c>
      <c r="K212" s="938" t="s">
        <v>622</v>
      </c>
      <c r="L212" s="941">
        <v>3.7</v>
      </c>
      <c r="M212" s="942">
        <v>46022</v>
      </c>
      <c r="N212" s="943" t="s">
        <v>228</v>
      </c>
      <c r="O212" s="943" t="s">
        <v>15881</v>
      </c>
      <c r="P212" s="943">
        <v>1.675</v>
      </c>
      <c r="Q212" s="943">
        <v>2.16</v>
      </c>
      <c r="R212" s="316">
        <v>8.5</v>
      </c>
      <c r="S212" s="1226" t="s">
        <v>16972</v>
      </c>
      <c r="T212" s="1156" t="s">
        <v>17100</v>
      </c>
      <c r="U212" s="1156" t="s">
        <v>17118</v>
      </c>
      <c r="V212" s="1156" t="s">
        <v>16879</v>
      </c>
    </row>
    <row r="213" spans="1:22">
      <c r="A213" s="1444" t="s">
        <v>16567</v>
      </c>
      <c r="B213" s="939">
        <v>461</v>
      </c>
      <c r="C213" s="937">
        <f t="shared" si="6"/>
        <v>3.1236442516268981</v>
      </c>
      <c r="D213" s="1447">
        <f t="shared" si="7"/>
        <v>461</v>
      </c>
      <c r="E213" s="938" t="s">
        <v>210</v>
      </c>
      <c r="F213" s="938" t="s">
        <v>16040</v>
      </c>
      <c r="G213" s="938">
        <v>670</v>
      </c>
      <c r="H213" s="316" t="s">
        <v>126</v>
      </c>
      <c r="I213" s="316">
        <v>0.7</v>
      </c>
      <c r="J213" s="939" t="s">
        <v>250</v>
      </c>
      <c r="K213" s="938" t="s">
        <v>16128</v>
      </c>
      <c r="L213" s="941">
        <v>5</v>
      </c>
      <c r="M213" s="942">
        <v>46027</v>
      </c>
      <c r="N213" s="943" t="s">
        <v>17026</v>
      </c>
      <c r="O213" s="943" t="s">
        <v>17031</v>
      </c>
      <c r="P213" s="943">
        <v>1.7649999999999999</v>
      </c>
      <c r="Q213" s="943">
        <v>1.75</v>
      </c>
      <c r="R213" s="316">
        <v>11.5</v>
      </c>
      <c r="S213" s="1226" t="s">
        <v>16903</v>
      </c>
      <c r="T213" s="1156" t="s">
        <v>16903</v>
      </c>
      <c r="U213" s="1156" t="s">
        <v>17119</v>
      </c>
      <c r="V213" s="1156" t="s">
        <v>16879</v>
      </c>
    </row>
    <row r="214" spans="1:22">
      <c r="A214" s="1444" t="s">
        <v>16569</v>
      </c>
      <c r="B214" s="939">
        <v>470</v>
      </c>
      <c r="C214" s="937">
        <f t="shared" si="6"/>
        <v>3.0638297872340425</v>
      </c>
      <c r="D214" s="1448">
        <f t="shared" si="7"/>
        <v>470</v>
      </c>
      <c r="E214" s="938" t="s">
        <v>210</v>
      </c>
      <c r="F214" s="938" t="s">
        <v>16040</v>
      </c>
      <c r="G214" s="938">
        <v>650</v>
      </c>
      <c r="H214" s="316" t="s">
        <v>126</v>
      </c>
      <c r="I214" s="316">
        <v>3</v>
      </c>
      <c r="J214" s="939" t="s">
        <v>250</v>
      </c>
      <c r="K214" s="938" t="s">
        <v>618</v>
      </c>
      <c r="L214" s="941">
        <v>5</v>
      </c>
      <c r="M214" s="942">
        <v>46027</v>
      </c>
      <c r="N214" s="943" t="s">
        <v>17034</v>
      </c>
      <c r="O214" s="943" t="s">
        <v>17031</v>
      </c>
      <c r="P214" s="943">
        <v>1.76</v>
      </c>
      <c r="Q214" s="943">
        <v>1.82</v>
      </c>
      <c r="R214" s="316">
        <v>16.5</v>
      </c>
      <c r="S214" s="1226" t="s">
        <v>17035</v>
      </c>
      <c r="T214" s="1156" t="s">
        <v>16933</v>
      </c>
      <c r="U214" s="1156" t="s">
        <v>17035</v>
      </c>
      <c r="V214" s="1156" t="s">
        <v>16879</v>
      </c>
    </row>
    <row r="215" spans="1:22">
      <c r="A215" s="1444" t="s">
        <v>16548</v>
      </c>
      <c r="B215" s="939">
        <v>570</v>
      </c>
      <c r="C215" s="937">
        <f t="shared" si="6"/>
        <v>2.5263157894736841</v>
      </c>
      <c r="D215" s="1448">
        <f t="shared" si="7"/>
        <v>570</v>
      </c>
      <c r="E215" s="938" t="s">
        <v>715</v>
      </c>
      <c r="F215" s="938" t="s">
        <v>16081</v>
      </c>
      <c r="G215" s="938">
        <v>650</v>
      </c>
      <c r="H215" s="316" t="s">
        <v>126</v>
      </c>
      <c r="I215" s="944">
        <v>1.2</v>
      </c>
      <c r="J215" s="939" t="s">
        <v>251</v>
      </c>
      <c r="K215" s="938" t="s">
        <v>619</v>
      </c>
      <c r="L215" s="941">
        <v>4</v>
      </c>
      <c r="M215" s="942">
        <v>46027</v>
      </c>
      <c r="N215" s="943" t="s">
        <v>217</v>
      </c>
      <c r="O215" s="943" t="s">
        <v>726</v>
      </c>
      <c r="P215" s="943">
        <v>1.6950000000000001</v>
      </c>
      <c r="Q215" s="943">
        <v>1.7</v>
      </c>
      <c r="R215" s="316">
        <v>8</v>
      </c>
      <c r="S215" s="1226" t="s">
        <v>16028</v>
      </c>
      <c r="T215" s="1156" t="s">
        <v>16028</v>
      </c>
      <c r="U215" s="1156" t="s">
        <v>17067</v>
      </c>
      <c r="V215" s="1156" t="s">
        <v>16879</v>
      </c>
    </row>
    <row r="216" spans="1:22">
      <c r="A216" s="1444" t="s">
        <v>16550</v>
      </c>
      <c r="B216" s="939">
        <v>649</v>
      </c>
      <c r="C216" s="937">
        <f t="shared" si="6"/>
        <v>2.2187981510015407</v>
      </c>
      <c r="D216" s="1447">
        <f t="shared" si="7"/>
        <v>649</v>
      </c>
      <c r="E216" s="938" t="s">
        <v>298</v>
      </c>
      <c r="F216" s="938" t="s">
        <v>16125</v>
      </c>
      <c r="G216" s="938">
        <v>700</v>
      </c>
      <c r="H216" s="316" t="s">
        <v>626</v>
      </c>
      <c r="I216" s="944">
        <v>2.4</v>
      </c>
      <c r="J216" s="939" t="s">
        <v>250</v>
      </c>
      <c r="K216" s="938" t="s">
        <v>15802</v>
      </c>
      <c r="L216" s="941">
        <v>5</v>
      </c>
      <c r="M216" s="942">
        <v>46028</v>
      </c>
      <c r="N216" s="943" t="s">
        <v>227</v>
      </c>
      <c r="O216" s="943" t="s">
        <v>724</v>
      </c>
      <c r="P216" s="943">
        <v>1.7549999999999999</v>
      </c>
      <c r="Q216" s="943">
        <v>1.97</v>
      </c>
      <c r="R216" s="316">
        <v>12.5</v>
      </c>
      <c r="S216" s="1226" t="s">
        <v>16931</v>
      </c>
      <c r="T216" s="1156" t="s">
        <v>17120</v>
      </c>
      <c r="U216" s="1156" t="s">
        <v>17121</v>
      </c>
      <c r="V216" s="1156" t="s">
        <v>16879</v>
      </c>
    </row>
    <row r="217" spans="1:22">
      <c r="A217" s="1444" t="s">
        <v>16126</v>
      </c>
      <c r="B217" s="316">
        <v>485</v>
      </c>
      <c r="C217" s="937">
        <f t="shared" si="6"/>
        <v>2.9690721649484537</v>
      </c>
      <c r="D217" s="1447">
        <f t="shared" si="7"/>
        <v>485</v>
      </c>
      <c r="E217" s="945" t="s">
        <v>757</v>
      </c>
      <c r="F217" s="938" t="s">
        <v>16130</v>
      </c>
      <c r="G217" s="945">
        <v>525</v>
      </c>
      <c r="H217" s="316" t="s">
        <v>126</v>
      </c>
      <c r="I217" s="316">
        <v>3</v>
      </c>
      <c r="J217" s="939" t="s">
        <v>250</v>
      </c>
      <c r="K217" s="938" t="s">
        <v>474</v>
      </c>
      <c r="L217" s="941">
        <v>4</v>
      </c>
      <c r="M217" s="942">
        <v>46029</v>
      </c>
      <c r="N217" s="943" t="s">
        <v>216</v>
      </c>
      <c r="O217" s="943" t="s">
        <v>878</v>
      </c>
      <c r="P217" s="943">
        <v>1.7649999999999999</v>
      </c>
      <c r="Q217" s="943">
        <v>1.83</v>
      </c>
      <c r="R217" s="316">
        <v>13</v>
      </c>
      <c r="S217" s="1226" t="s">
        <v>16903</v>
      </c>
      <c r="T217" s="1156" t="s">
        <v>17075</v>
      </c>
      <c r="U217" s="1156" t="s">
        <v>17104</v>
      </c>
      <c r="V217" s="1156" t="s">
        <v>16879</v>
      </c>
    </row>
    <row r="218" spans="1:22">
      <c r="A218" s="1444" t="s">
        <v>16552</v>
      </c>
      <c r="B218" s="939">
        <v>570</v>
      </c>
      <c r="C218" s="937">
        <f t="shared" si="6"/>
        <v>2.5263157894736841</v>
      </c>
      <c r="D218" s="1448">
        <f t="shared" si="7"/>
        <v>570</v>
      </c>
      <c r="E218" s="938" t="s">
        <v>715</v>
      </c>
      <c r="F218" s="938" t="s">
        <v>16081</v>
      </c>
      <c r="G218" s="938">
        <v>650</v>
      </c>
      <c r="H218" s="316" t="s">
        <v>126</v>
      </c>
      <c r="I218" s="944">
        <v>1.2</v>
      </c>
      <c r="J218" s="939" t="s">
        <v>250</v>
      </c>
      <c r="K218" s="938" t="s">
        <v>889</v>
      </c>
      <c r="L218" s="941">
        <v>4</v>
      </c>
      <c r="M218" s="942">
        <v>46031</v>
      </c>
      <c r="N218" s="943" t="s">
        <v>226</v>
      </c>
      <c r="O218" s="943" t="s">
        <v>726</v>
      </c>
      <c r="P218" s="943">
        <v>1.7050000000000001</v>
      </c>
      <c r="Q218" s="943">
        <v>1.65</v>
      </c>
      <c r="R218" s="316">
        <v>8</v>
      </c>
      <c r="S218" s="1226" t="s">
        <v>16986</v>
      </c>
      <c r="T218" s="1156" t="s">
        <v>16028</v>
      </c>
      <c r="U218" s="1156" t="s">
        <v>16942</v>
      </c>
      <c r="V218" s="1156" t="s">
        <v>16879</v>
      </c>
    </row>
    <row r="219" spans="1:22">
      <c r="A219" s="1444" t="s">
        <v>16133</v>
      </c>
      <c r="B219" s="939">
        <v>580</v>
      </c>
      <c r="C219" s="937">
        <f t="shared" si="6"/>
        <v>2.4827586206896552</v>
      </c>
      <c r="D219" s="1447">
        <f t="shared" si="7"/>
        <v>580</v>
      </c>
      <c r="E219" s="938" t="s">
        <v>1463</v>
      </c>
      <c r="F219" s="938" t="s">
        <v>16134</v>
      </c>
      <c r="G219" s="938">
        <v>630</v>
      </c>
      <c r="H219" s="316" t="s">
        <v>942</v>
      </c>
      <c r="I219" s="944">
        <v>1.1000000000000001</v>
      </c>
      <c r="J219" s="939" t="s">
        <v>250</v>
      </c>
      <c r="K219" s="938" t="s">
        <v>813</v>
      </c>
      <c r="L219" s="941">
        <v>2</v>
      </c>
      <c r="M219" s="942">
        <v>46033</v>
      </c>
      <c r="N219" s="943" t="s">
        <v>214</v>
      </c>
      <c r="O219" s="943" t="s">
        <v>16865</v>
      </c>
      <c r="P219" s="943">
        <v>1.65</v>
      </c>
      <c r="Q219" s="943">
        <v>1.9</v>
      </c>
      <c r="R219" s="316">
        <v>7.5</v>
      </c>
      <c r="S219" s="1226" t="s">
        <v>16882</v>
      </c>
      <c r="T219" s="1156" t="s">
        <v>17101</v>
      </c>
      <c r="U219" s="1156" t="s">
        <v>17119</v>
      </c>
      <c r="V219" s="1156" t="s">
        <v>16981</v>
      </c>
    </row>
    <row r="220" spans="1:22">
      <c r="A220" s="1444" t="s">
        <v>16554</v>
      </c>
      <c r="B220" s="316">
        <v>557</v>
      </c>
      <c r="C220" s="937">
        <f t="shared" si="6"/>
        <v>2.5852782764811488</v>
      </c>
      <c r="D220" s="1447">
        <f t="shared" si="7"/>
        <v>557</v>
      </c>
      <c r="E220" s="938" t="s">
        <v>715</v>
      </c>
      <c r="F220" s="938" t="s">
        <v>16081</v>
      </c>
      <c r="G220" s="945">
        <v>650</v>
      </c>
      <c r="H220" s="316" t="s">
        <v>126</v>
      </c>
      <c r="I220" s="316">
        <v>1.2</v>
      </c>
      <c r="J220" s="939" t="s">
        <v>250</v>
      </c>
      <c r="K220" s="938" t="s">
        <v>804</v>
      </c>
      <c r="L220" s="941">
        <v>4</v>
      </c>
      <c r="M220" s="942">
        <v>46036</v>
      </c>
      <c r="N220" s="943" t="s">
        <v>221</v>
      </c>
      <c r="O220" s="943" t="s">
        <v>726</v>
      </c>
      <c r="P220" s="943">
        <v>1.6950000000000001</v>
      </c>
      <c r="Q220" s="943">
        <v>1.7</v>
      </c>
      <c r="R220" s="316">
        <v>8</v>
      </c>
      <c r="S220" s="1226" t="s">
        <v>16986</v>
      </c>
      <c r="T220" s="1156" t="s">
        <v>16028</v>
      </c>
      <c r="U220" s="1156" t="s">
        <v>17067</v>
      </c>
      <c r="V220" s="1156" t="s">
        <v>16879</v>
      </c>
    </row>
    <row r="221" spans="1:22">
      <c r="A221" s="1446" t="s">
        <v>16653</v>
      </c>
      <c r="B221" s="316">
        <v>193</v>
      </c>
      <c r="C221" s="937">
        <f t="shared" si="6"/>
        <v>7.4611398963730569</v>
      </c>
      <c r="D221" s="1447">
        <f t="shared" si="7"/>
        <v>193</v>
      </c>
      <c r="E221" s="945" t="s">
        <v>717</v>
      </c>
      <c r="F221" s="945" t="s">
        <v>16142</v>
      </c>
      <c r="G221" s="945">
        <v>650</v>
      </c>
      <c r="H221" s="316" t="s">
        <v>643</v>
      </c>
      <c r="I221" s="939">
        <v>1.7</v>
      </c>
      <c r="J221" s="939" t="s">
        <v>250</v>
      </c>
      <c r="K221" s="938" t="s">
        <v>650</v>
      </c>
      <c r="L221" s="941">
        <v>4</v>
      </c>
      <c r="M221" s="942">
        <v>46043</v>
      </c>
      <c r="N221" s="943" t="s">
        <v>230</v>
      </c>
      <c r="O221" s="943" t="s">
        <v>16811</v>
      </c>
      <c r="P221" s="943">
        <v>1.7849999999999999</v>
      </c>
      <c r="Q221" s="943">
        <v>1.78</v>
      </c>
      <c r="R221" s="316">
        <v>34</v>
      </c>
      <c r="S221" s="1226" t="s">
        <v>17056</v>
      </c>
      <c r="T221" s="1156" t="s">
        <v>17022</v>
      </c>
      <c r="U221" s="1156" t="s">
        <v>17122</v>
      </c>
      <c r="V221" s="1156" t="s">
        <v>16879</v>
      </c>
    </row>
    <row r="222" spans="1:22">
      <c r="A222" s="1446" t="s">
        <v>16140</v>
      </c>
      <c r="B222" s="316">
        <v>444</v>
      </c>
      <c r="C222" s="937">
        <f t="shared" si="6"/>
        <v>3.2432432432432434</v>
      </c>
      <c r="D222" s="1447">
        <f t="shared" si="7"/>
        <v>444</v>
      </c>
      <c r="E222" s="945" t="s">
        <v>16141</v>
      </c>
      <c r="F222" s="945" t="s">
        <v>16100</v>
      </c>
      <c r="G222" s="945">
        <v>700</v>
      </c>
      <c r="H222" s="316" t="s">
        <v>460</v>
      </c>
      <c r="I222" s="316">
        <v>2.2000000000000002</v>
      </c>
      <c r="J222" s="939" t="s">
        <v>250</v>
      </c>
      <c r="K222" s="938" t="s">
        <v>621</v>
      </c>
      <c r="L222" s="941">
        <v>5</v>
      </c>
      <c r="M222" s="942">
        <v>46043</v>
      </c>
      <c r="N222" s="943" t="s">
        <v>218</v>
      </c>
      <c r="O222" s="943" t="s">
        <v>482</v>
      </c>
      <c r="P222" s="943">
        <v>1.7549999999999999</v>
      </c>
      <c r="Q222" s="943">
        <v>2</v>
      </c>
      <c r="R222" s="316">
        <v>26.5</v>
      </c>
      <c r="S222" s="1226" t="s">
        <v>16913</v>
      </c>
      <c r="T222" s="1156" t="s">
        <v>16987</v>
      </c>
      <c r="U222" s="1156" t="s">
        <v>17123</v>
      </c>
      <c r="V222" s="1156" t="s">
        <v>16879</v>
      </c>
    </row>
    <row r="223" spans="1:22">
      <c r="A223" s="1444" t="s">
        <v>16144</v>
      </c>
      <c r="B223" s="939">
        <v>471</v>
      </c>
      <c r="C223" s="937">
        <f t="shared" si="6"/>
        <v>3.0573248407643314</v>
      </c>
      <c r="D223" s="1447">
        <f t="shared" si="7"/>
        <v>471</v>
      </c>
      <c r="E223" s="938" t="s">
        <v>210</v>
      </c>
      <c r="F223" s="938" t="s">
        <v>16146</v>
      </c>
      <c r="G223" s="938">
        <v>650</v>
      </c>
      <c r="H223" s="316" t="s">
        <v>126</v>
      </c>
      <c r="I223" s="944">
        <v>3</v>
      </c>
      <c r="J223" s="939" t="s">
        <v>250</v>
      </c>
      <c r="K223" s="938" t="s">
        <v>468</v>
      </c>
      <c r="L223" s="941">
        <v>5</v>
      </c>
      <c r="M223" s="942">
        <v>46044</v>
      </c>
      <c r="N223" s="943" t="s">
        <v>17034</v>
      </c>
      <c r="O223" s="943" t="s">
        <v>16890</v>
      </c>
      <c r="P223" s="943">
        <v>1.76</v>
      </c>
      <c r="Q223" s="943">
        <v>1.75</v>
      </c>
      <c r="R223" s="316">
        <v>16.5</v>
      </c>
      <c r="S223" s="1226" t="s">
        <v>17035</v>
      </c>
      <c r="T223" s="1156" t="s">
        <v>16933</v>
      </c>
      <c r="U223" s="1156" t="s">
        <v>17124</v>
      </c>
      <c r="V223" s="1156" t="s">
        <v>16879</v>
      </c>
    </row>
    <row r="224" spans="1:22">
      <c r="A224" s="1444" t="s">
        <v>16145</v>
      </c>
      <c r="B224" s="939">
        <v>440</v>
      </c>
      <c r="C224" s="937">
        <f t="shared" si="6"/>
        <v>3.2727272727272729</v>
      </c>
      <c r="D224" s="1448">
        <f t="shared" si="7"/>
        <v>440</v>
      </c>
      <c r="E224" s="938" t="s">
        <v>16141</v>
      </c>
      <c r="F224" s="938" t="s">
        <v>16147</v>
      </c>
      <c r="G224" s="938">
        <v>700</v>
      </c>
      <c r="H224" s="316" t="s">
        <v>460</v>
      </c>
      <c r="I224" s="944">
        <v>2.2000000000000002</v>
      </c>
      <c r="J224" s="939" t="s">
        <v>250</v>
      </c>
      <c r="K224" s="938" t="s">
        <v>482</v>
      </c>
      <c r="L224" s="941">
        <v>5</v>
      </c>
      <c r="M224" s="942">
        <v>46045</v>
      </c>
      <c r="N224" s="943" t="s">
        <v>224</v>
      </c>
      <c r="O224" s="943" t="s">
        <v>16916</v>
      </c>
      <c r="P224" s="943">
        <v>1.75</v>
      </c>
      <c r="Q224" s="943" t="s">
        <v>17125</v>
      </c>
      <c r="R224" s="316">
        <v>28</v>
      </c>
      <c r="S224" s="1226" t="s">
        <v>16913</v>
      </c>
      <c r="T224" s="1156" t="s">
        <v>16987</v>
      </c>
      <c r="U224" s="1156" t="s">
        <v>17039</v>
      </c>
      <c r="V224" s="1156" t="s">
        <v>16879</v>
      </c>
    </row>
    <row r="225" spans="1:22">
      <c r="A225" s="1446" t="s">
        <v>16148</v>
      </c>
      <c r="B225" s="316">
        <v>437</v>
      </c>
      <c r="C225" s="937">
        <f t="shared" si="6"/>
        <v>3.2951945080091534</v>
      </c>
      <c r="D225" s="1448">
        <f t="shared" si="7"/>
        <v>437</v>
      </c>
      <c r="E225" s="945" t="s">
        <v>617</v>
      </c>
      <c r="F225" s="945" t="s">
        <v>16149</v>
      </c>
      <c r="G225" s="945">
        <v>700</v>
      </c>
      <c r="H225" s="316" t="s">
        <v>126</v>
      </c>
      <c r="I225" s="316">
        <v>2.9</v>
      </c>
      <c r="J225" s="939" t="s">
        <v>250</v>
      </c>
      <c r="K225" s="938" t="s">
        <v>464</v>
      </c>
      <c r="L225" s="941">
        <v>5</v>
      </c>
      <c r="M225" s="942">
        <v>46048</v>
      </c>
      <c r="N225" s="943" t="s">
        <v>220</v>
      </c>
      <c r="O225" s="943" t="s">
        <v>17007</v>
      </c>
      <c r="P225" s="943">
        <v>1.75</v>
      </c>
      <c r="Q225" s="943">
        <v>1.94</v>
      </c>
      <c r="R225" s="316">
        <v>18.5</v>
      </c>
      <c r="S225" s="1226" t="s">
        <v>16926</v>
      </c>
      <c r="T225" s="1156" t="s">
        <v>17019</v>
      </c>
      <c r="U225" s="1156" t="s">
        <v>17126</v>
      </c>
      <c r="V225" s="1156" t="s">
        <v>16879</v>
      </c>
    </row>
    <row r="226" spans="1:22">
      <c r="A226" s="1444" t="s">
        <v>16150</v>
      </c>
      <c r="B226" s="316">
        <v>767</v>
      </c>
      <c r="C226" s="937">
        <f t="shared" si="6"/>
        <v>1.8774445893089962</v>
      </c>
      <c r="D226" s="1448">
        <f t="shared" si="7"/>
        <v>767</v>
      </c>
      <c r="E226" s="945" t="s">
        <v>1891</v>
      </c>
      <c r="F226" s="945" t="s">
        <v>16090</v>
      </c>
      <c r="G226" s="945">
        <v>650</v>
      </c>
      <c r="H226" s="316" t="s">
        <v>126</v>
      </c>
      <c r="I226" s="316">
        <v>0.7</v>
      </c>
      <c r="J226" s="939" t="s">
        <v>251</v>
      </c>
      <c r="K226" s="938" t="s">
        <v>483</v>
      </c>
      <c r="L226" s="941">
        <v>4</v>
      </c>
      <c r="M226" s="942">
        <v>46050</v>
      </c>
      <c r="N226" s="943" t="s">
        <v>217</v>
      </c>
      <c r="O226" s="943" t="s">
        <v>16873</v>
      </c>
      <c r="P226" s="943">
        <v>1.69</v>
      </c>
      <c r="Q226" s="943">
        <v>1.84</v>
      </c>
      <c r="R226" s="316">
        <v>10</v>
      </c>
      <c r="S226" s="1226" t="s">
        <v>16931</v>
      </c>
      <c r="T226" s="1156" t="s">
        <v>16904</v>
      </c>
      <c r="U226" s="1156" t="s">
        <v>17127</v>
      </c>
      <c r="V226" s="1156" t="s">
        <v>16879</v>
      </c>
    </row>
    <row r="227" spans="1:22">
      <c r="A227" s="1444" t="s">
        <v>16152</v>
      </c>
      <c r="B227" s="939">
        <v>463</v>
      </c>
      <c r="C227" s="937">
        <f t="shared" si="6"/>
        <v>3.1101511879049677</v>
      </c>
      <c r="D227" s="1447">
        <f t="shared" si="7"/>
        <v>463</v>
      </c>
      <c r="E227" s="938" t="s">
        <v>210</v>
      </c>
      <c r="F227" s="938" t="s">
        <v>16146</v>
      </c>
      <c r="G227" s="938">
        <v>670</v>
      </c>
      <c r="H227" s="316" t="s">
        <v>126</v>
      </c>
      <c r="I227" s="944">
        <v>0.7</v>
      </c>
      <c r="J227" s="939" t="s">
        <v>250</v>
      </c>
      <c r="K227" s="938" t="s">
        <v>758</v>
      </c>
      <c r="L227" s="941">
        <v>5</v>
      </c>
      <c r="M227" s="942">
        <v>46050</v>
      </c>
      <c r="N227" s="943" t="s">
        <v>17026</v>
      </c>
      <c r="O227" s="943" t="s">
        <v>16890</v>
      </c>
      <c r="P227" s="943">
        <v>1.7649999999999999</v>
      </c>
      <c r="Q227" s="943">
        <v>1.77</v>
      </c>
      <c r="R227" s="316">
        <v>12</v>
      </c>
      <c r="S227" s="1226" t="s">
        <v>16903</v>
      </c>
      <c r="T227" s="1156" t="s">
        <v>16903</v>
      </c>
      <c r="U227" s="1156" t="s">
        <v>16944</v>
      </c>
      <c r="V227" s="1156" t="s">
        <v>16879</v>
      </c>
    </row>
    <row r="228" spans="1:22">
      <c r="A228" s="1444" t="s">
        <v>16151</v>
      </c>
      <c r="B228" s="939">
        <v>457</v>
      </c>
      <c r="C228" s="937">
        <f t="shared" si="6"/>
        <v>3.1509846827133479</v>
      </c>
      <c r="D228" s="1447">
        <f t="shared" si="7"/>
        <v>457</v>
      </c>
      <c r="E228" s="938" t="s">
        <v>210</v>
      </c>
      <c r="F228" s="938" t="s">
        <v>16153</v>
      </c>
      <c r="G228" s="938">
        <v>670</v>
      </c>
      <c r="H228" s="316" t="s">
        <v>126</v>
      </c>
      <c r="I228" s="944">
        <v>0.8</v>
      </c>
      <c r="J228" s="939" t="s">
        <v>250</v>
      </c>
      <c r="K228" s="938" t="s">
        <v>456</v>
      </c>
      <c r="L228" s="941">
        <v>5</v>
      </c>
      <c r="M228" s="942">
        <v>46050</v>
      </c>
      <c r="N228" s="943" t="s">
        <v>229</v>
      </c>
      <c r="O228" s="943" t="s">
        <v>16841</v>
      </c>
      <c r="P228" s="943">
        <v>1.75</v>
      </c>
      <c r="Q228" s="943">
        <v>1.85</v>
      </c>
      <c r="R228" s="316">
        <v>11</v>
      </c>
      <c r="S228" s="1226" t="s">
        <v>16903</v>
      </c>
      <c r="T228" s="1156" t="s">
        <v>16903</v>
      </c>
      <c r="U228" s="1156" t="s">
        <v>17128</v>
      </c>
      <c r="V228" s="1156" t="s">
        <v>16879</v>
      </c>
    </row>
    <row r="229" spans="1:22">
      <c r="A229" s="1444" t="s">
        <v>16174</v>
      </c>
      <c r="B229" s="939">
        <v>649</v>
      </c>
      <c r="C229" s="937">
        <f t="shared" si="6"/>
        <v>2.2187981510015407</v>
      </c>
      <c r="D229" s="1447">
        <f t="shared" si="7"/>
        <v>649</v>
      </c>
      <c r="E229" s="938" t="s">
        <v>298</v>
      </c>
      <c r="F229" s="945" t="s">
        <v>17129</v>
      </c>
      <c r="G229" s="938">
        <v>700</v>
      </c>
      <c r="H229" s="939" t="s">
        <v>626</v>
      </c>
      <c r="I229" s="939">
        <v>2.4</v>
      </c>
      <c r="J229" s="939" t="s">
        <v>250</v>
      </c>
      <c r="K229" s="938" t="s">
        <v>16091</v>
      </c>
      <c r="L229" s="941">
        <v>5</v>
      </c>
      <c r="M229" s="942">
        <v>46057</v>
      </c>
      <c r="N229" s="943" t="s">
        <v>227</v>
      </c>
      <c r="O229" s="943" t="s">
        <v>16873</v>
      </c>
      <c r="P229" s="943">
        <v>1.7549999999999999</v>
      </c>
      <c r="Q229" s="943">
        <v>1.84</v>
      </c>
      <c r="R229" s="316">
        <v>12.5</v>
      </c>
      <c r="S229" s="1226" t="s">
        <v>16931</v>
      </c>
      <c r="T229" s="1156" t="s">
        <v>17120</v>
      </c>
      <c r="U229" s="1156" t="s">
        <v>17130</v>
      </c>
      <c r="V229" s="1156" t="s">
        <v>16879</v>
      </c>
    </row>
    <row r="230" spans="1:22">
      <c r="A230" s="1446" t="s">
        <v>16175</v>
      </c>
      <c r="B230" s="316">
        <v>208</v>
      </c>
      <c r="C230" s="937">
        <f t="shared" si="6"/>
        <v>6.9230769230769234</v>
      </c>
      <c r="D230" s="1447">
        <f t="shared" si="7"/>
        <v>208</v>
      </c>
      <c r="E230" s="945" t="s">
        <v>775</v>
      </c>
      <c r="F230" s="945" t="s">
        <v>17131</v>
      </c>
      <c r="G230" s="945">
        <v>600</v>
      </c>
      <c r="H230" s="316" t="s">
        <v>643</v>
      </c>
      <c r="I230" s="316">
        <v>1.6</v>
      </c>
      <c r="J230" s="939" t="s">
        <v>250</v>
      </c>
      <c r="K230" s="938" t="s">
        <v>831</v>
      </c>
      <c r="L230" s="941">
        <v>4</v>
      </c>
      <c r="M230" s="942">
        <v>46057</v>
      </c>
      <c r="N230" s="943" t="s">
        <v>230</v>
      </c>
      <c r="O230" s="943" t="s">
        <v>16865</v>
      </c>
      <c r="P230" s="943">
        <v>1.79</v>
      </c>
      <c r="Q230" s="943">
        <v>1.79</v>
      </c>
      <c r="R230" s="316">
        <v>34</v>
      </c>
      <c r="S230" s="1226" t="s">
        <v>17056</v>
      </c>
      <c r="T230" s="1156" t="s">
        <v>17022</v>
      </c>
      <c r="U230" s="1156" t="s">
        <v>16977</v>
      </c>
      <c r="V230" s="1156" t="s">
        <v>16879</v>
      </c>
    </row>
    <row r="231" spans="1:22">
      <c r="A231" s="1446" t="s">
        <v>16179</v>
      </c>
      <c r="B231" s="316">
        <v>250</v>
      </c>
      <c r="C231" s="937">
        <f t="shared" si="6"/>
        <v>5.76</v>
      </c>
      <c r="D231" s="1447">
        <f t="shared" si="7"/>
        <v>250</v>
      </c>
      <c r="E231" s="945" t="s">
        <v>16180</v>
      </c>
      <c r="F231" s="945" t="s">
        <v>17132</v>
      </c>
      <c r="G231" s="945">
        <v>600</v>
      </c>
      <c r="H231" s="316" t="s">
        <v>643</v>
      </c>
      <c r="I231" s="316">
        <v>2.9</v>
      </c>
      <c r="J231" s="939" t="s">
        <v>251</v>
      </c>
      <c r="K231" s="938" t="s">
        <v>887</v>
      </c>
      <c r="L231" s="941">
        <v>5</v>
      </c>
      <c r="M231" s="942">
        <v>46058</v>
      </c>
      <c r="N231" s="943" t="s">
        <v>17133</v>
      </c>
      <c r="O231" s="943" t="s">
        <v>17134</v>
      </c>
      <c r="P231" s="943">
        <v>1.75</v>
      </c>
      <c r="Q231" s="943">
        <v>1.69</v>
      </c>
      <c r="R231" s="316">
        <v>11</v>
      </c>
      <c r="S231" s="1226" t="s">
        <v>16938</v>
      </c>
      <c r="T231" s="1156" t="s">
        <v>16903</v>
      </c>
      <c r="U231" s="1156" t="s">
        <v>17135</v>
      </c>
    </row>
    <row r="232" spans="1:22">
      <c r="A232" s="1444" t="s">
        <v>16182</v>
      </c>
      <c r="B232" s="939">
        <v>541</v>
      </c>
      <c r="C232" s="937">
        <f t="shared" si="6"/>
        <v>2.6617375231053604</v>
      </c>
      <c r="D232" s="1448">
        <f t="shared" si="7"/>
        <v>541</v>
      </c>
      <c r="E232" s="938" t="s">
        <v>715</v>
      </c>
      <c r="F232" s="938" t="s">
        <v>17136</v>
      </c>
      <c r="G232" s="938">
        <v>680</v>
      </c>
      <c r="H232" s="316" t="s">
        <v>126</v>
      </c>
      <c r="I232" s="316">
        <v>1.2</v>
      </c>
      <c r="J232" s="939" t="s">
        <v>250</v>
      </c>
      <c r="K232" s="938" t="s">
        <v>724</v>
      </c>
      <c r="L232" s="941">
        <v>4</v>
      </c>
      <c r="M232" s="942">
        <v>46058</v>
      </c>
      <c r="N232" s="943" t="s">
        <v>226</v>
      </c>
      <c r="O232" s="943" t="s">
        <v>726</v>
      </c>
      <c r="P232" s="943">
        <v>1.7050000000000001</v>
      </c>
      <c r="Q232" s="943">
        <v>1.61</v>
      </c>
      <c r="R232" s="316">
        <v>8</v>
      </c>
      <c r="S232" s="1226" t="s">
        <v>16986</v>
      </c>
      <c r="T232" s="1156" t="s">
        <v>16028</v>
      </c>
      <c r="U232" s="1156" t="s">
        <v>17137</v>
      </c>
      <c r="V232" s="1156" t="s">
        <v>16879</v>
      </c>
    </row>
    <row r="233" spans="1:22">
      <c r="A233" s="1444" t="s">
        <v>16581</v>
      </c>
      <c r="B233" s="316">
        <v>507</v>
      </c>
      <c r="C233" s="937">
        <f t="shared" si="6"/>
        <v>2.8402366863905324</v>
      </c>
      <c r="D233" s="1447">
        <f t="shared" si="7"/>
        <v>507</v>
      </c>
      <c r="E233" s="947" t="s">
        <v>844</v>
      </c>
      <c r="F233" s="945" t="s">
        <v>17138</v>
      </c>
      <c r="G233" s="945">
        <v>600</v>
      </c>
      <c r="H233" s="316" t="s">
        <v>648</v>
      </c>
      <c r="J233" s="939"/>
      <c r="K233" s="938" t="s">
        <v>877</v>
      </c>
      <c r="L233" s="941">
        <v>5</v>
      </c>
      <c r="M233" s="942">
        <v>46059</v>
      </c>
      <c r="N233" s="943" t="s">
        <v>17078</v>
      </c>
      <c r="O233" s="943" t="s">
        <v>16811</v>
      </c>
      <c r="P233" s="943">
        <v>1.74</v>
      </c>
      <c r="Q233" s="943">
        <v>1.76</v>
      </c>
      <c r="R233" s="316">
        <v>21</v>
      </c>
      <c r="S233" s="1226" t="s">
        <v>16931</v>
      </c>
      <c r="T233" s="1156" t="s">
        <v>16946</v>
      </c>
      <c r="U233" s="1156" t="s">
        <v>17067</v>
      </c>
      <c r="V233" s="1156" t="s">
        <v>17040</v>
      </c>
    </row>
    <row r="234" spans="1:22">
      <c r="A234" s="1446" t="s">
        <v>16181</v>
      </c>
      <c r="B234" s="316">
        <v>557</v>
      </c>
      <c r="C234" s="937">
        <f t="shared" si="6"/>
        <v>2.5852782764811488</v>
      </c>
      <c r="D234" s="1448">
        <f t="shared" si="7"/>
        <v>557</v>
      </c>
      <c r="E234" s="945" t="s">
        <v>715</v>
      </c>
      <c r="F234" s="945" t="s">
        <v>17139</v>
      </c>
      <c r="G234" s="945">
        <v>650</v>
      </c>
      <c r="H234" s="316" t="s">
        <v>126</v>
      </c>
      <c r="I234" s="316">
        <v>1.2</v>
      </c>
      <c r="J234" s="939" t="s">
        <v>250</v>
      </c>
      <c r="K234" s="938" t="s">
        <v>3213</v>
      </c>
      <c r="L234" s="941">
        <v>4</v>
      </c>
      <c r="M234" s="942">
        <v>46059</v>
      </c>
      <c r="N234" s="943" t="s">
        <v>221</v>
      </c>
      <c r="O234" s="943" t="s">
        <v>862</v>
      </c>
      <c r="P234" s="943">
        <v>1.6950000000000001</v>
      </c>
      <c r="Q234" s="943" t="s">
        <v>17140</v>
      </c>
      <c r="R234" s="316">
        <v>8</v>
      </c>
      <c r="S234" s="1226" t="s">
        <v>16986</v>
      </c>
      <c r="T234" s="1156" t="s">
        <v>16028</v>
      </c>
      <c r="U234" s="1156" t="s">
        <v>17141</v>
      </c>
      <c r="V234" s="1156" t="s">
        <v>16879</v>
      </c>
    </row>
    <row r="235" spans="1:22">
      <c r="A235" s="1444" t="s">
        <v>16187</v>
      </c>
      <c r="B235" s="939">
        <v>811</v>
      </c>
      <c r="C235" s="937">
        <f t="shared" si="6"/>
        <v>1.7755856966707768</v>
      </c>
      <c r="D235" s="1448">
        <f t="shared" si="7"/>
        <v>811</v>
      </c>
      <c r="E235" s="938" t="s">
        <v>424</v>
      </c>
      <c r="F235" s="938" t="s">
        <v>15504</v>
      </c>
      <c r="G235" s="938">
        <v>780</v>
      </c>
      <c r="H235" s="316" t="s">
        <v>126</v>
      </c>
      <c r="I235" s="316">
        <v>1.8</v>
      </c>
      <c r="J235" s="939" t="s">
        <v>250</v>
      </c>
      <c r="K235" s="938" t="s">
        <v>618</v>
      </c>
      <c r="L235" s="941">
        <v>5</v>
      </c>
      <c r="M235" s="942">
        <v>46076</v>
      </c>
      <c r="N235" s="943" t="s">
        <v>17005</v>
      </c>
      <c r="O235" s="943" t="s">
        <v>15881</v>
      </c>
      <c r="P235" s="943">
        <v>1.78</v>
      </c>
      <c r="Q235" s="943">
        <v>1.87</v>
      </c>
      <c r="R235" s="316">
        <v>13</v>
      </c>
      <c r="S235" s="1226" t="s">
        <v>16944</v>
      </c>
      <c r="T235" s="1156" t="s">
        <v>16961</v>
      </c>
      <c r="U235" s="1156" t="s">
        <v>16913</v>
      </c>
      <c r="V235" s="1156" t="s">
        <v>16879</v>
      </c>
    </row>
    <row r="236" spans="1:22">
      <c r="A236" s="1444" t="s">
        <v>16188</v>
      </c>
      <c r="B236" s="939">
        <v>441</v>
      </c>
      <c r="C236" s="937">
        <f t="shared" si="6"/>
        <v>3.2653061224489797</v>
      </c>
      <c r="D236" s="1448">
        <f t="shared" si="7"/>
        <v>441</v>
      </c>
      <c r="E236" s="938" t="s">
        <v>465</v>
      </c>
      <c r="F236" s="938" t="s">
        <v>16189</v>
      </c>
      <c r="G236" s="938">
        <v>700</v>
      </c>
      <c r="H236" s="316" t="s">
        <v>460</v>
      </c>
      <c r="I236" s="316">
        <v>2.2999999999999998</v>
      </c>
      <c r="J236" s="939" t="s">
        <v>250</v>
      </c>
      <c r="K236" s="938" t="s">
        <v>878</v>
      </c>
      <c r="L236" s="941">
        <v>5</v>
      </c>
      <c r="M236" s="942">
        <v>46076</v>
      </c>
      <c r="N236" s="943" t="s">
        <v>215</v>
      </c>
      <c r="O236" s="943" t="s">
        <v>15881</v>
      </c>
      <c r="P236" s="943">
        <v>1.75</v>
      </c>
      <c r="Q236" s="943" t="s">
        <v>17142</v>
      </c>
      <c r="R236" s="316">
        <v>32</v>
      </c>
      <c r="S236" s="1226" t="s">
        <v>16913</v>
      </c>
      <c r="T236" s="1156" t="s">
        <v>16987</v>
      </c>
      <c r="U236" s="1156" t="s">
        <v>17143</v>
      </c>
      <c r="V236" s="1156" t="s">
        <v>16879</v>
      </c>
    </row>
    <row r="237" spans="1:22">
      <c r="A237" s="1446" t="s">
        <v>16190</v>
      </c>
      <c r="B237" s="316">
        <v>343</v>
      </c>
      <c r="C237" s="937">
        <f t="shared" si="6"/>
        <v>4.1982507288629733</v>
      </c>
      <c r="D237" s="1447">
        <f t="shared" si="7"/>
        <v>343</v>
      </c>
      <c r="E237" s="945" t="s">
        <v>453</v>
      </c>
      <c r="F237" s="945" t="s">
        <v>15845</v>
      </c>
      <c r="G237" s="945">
        <v>700</v>
      </c>
      <c r="H237" s="316" t="s">
        <v>942</v>
      </c>
      <c r="I237" s="316">
        <v>0.5</v>
      </c>
      <c r="J237" s="939" t="s">
        <v>250</v>
      </c>
      <c r="K237" s="938" t="s">
        <v>16728</v>
      </c>
      <c r="L237" s="941">
        <v>2</v>
      </c>
      <c r="M237" s="942">
        <v>46078</v>
      </c>
      <c r="N237" s="943" t="s">
        <v>16940</v>
      </c>
      <c r="O237" s="943" t="s">
        <v>16865</v>
      </c>
      <c r="P237" s="943">
        <v>1.66</v>
      </c>
      <c r="Q237" s="943">
        <v>1.65</v>
      </c>
      <c r="R237" s="316">
        <v>13</v>
      </c>
      <c r="S237" s="1226" t="s">
        <v>16903</v>
      </c>
      <c r="T237" s="1156" t="s">
        <v>16882</v>
      </c>
      <c r="U237" s="1156" t="s">
        <v>17030</v>
      </c>
      <c r="V237" s="1156" t="s">
        <v>16879</v>
      </c>
    </row>
    <row r="238" spans="1:22">
      <c r="A238" s="1444" t="s">
        <v>16192</v>
      </c>
      <c r="B238" s="939">
        <v>901</v>
      </c>
      <c r="C238" s="937">
        <f t="shared" si="6"/>
        <v>1.5982241953385128</v>
      </c>
      <c r="D238" s="1448">
        <f t="shared" si="7"/>
        <v>901</v>
      </c>
      <c r="E238" s="938" t="s">
        <v>1783</v>
      </c>
      <c r="F238" s="938" t="s">
        <v>17144</v>
      </c>
      <c r="G238" s="938">
        <v>500</v>
      </c>
      <c r="H238" s="316" t="s">
        <v>126</v>
      </c>
      <c r="I238" s="944">
        <v>0.3</v>
      </c>
      <c r="J238" s="939" t="s">
        <v>250</v>
      </c>
      <c r="K238" s="938" t="s">
        <v>466</v>
      </c>
      <c r="L238" s="941">
        <v>3.7</v>
      </c>
      <c r="M238" s="942">
        <v>46079</v>
      </c>
      <c r="N238" s="943" t="s">
        <v>17145</v>
      </c>
      <c r="O238" s="943" t="s">
        <v>17146</v>
      </c>
      <c r="P238" s="943">
        <v>1.68</v>
      </c>
      <c r="Q238" s="943">
        <v>1.96</v>
      </c>
      <c r="R238" s="316">
        <v>8.5</v>
      </c>
      <c r="S238" s="1226" t="s">
        <v>16972</v>
      </c>
      <c r="T238" s="1156" t="s">
        <v>16961</v>
      </c>
      <c r="U238" s="1156" t="s">
        <v>17147</v>
      </c>
      <c r="V238" s="1156" t="s">
        <v>16879</v>
      </c>
    </row>
    <row r="239" spans="1:22">
      <c r="A239" s="1444" t="s">
        <v>16191</v>
      </c>
      <c r="B239" s="939">
        <v>443</v>
      </c>
      <c r="C239" s="937">
        <f t="shared" si="6"/>
        <v>3.2505643340857788</v>
      </c>
      <c r="D239" s="1448">
        <f t="shared" si="7"/>
        <v>443</v>
      </c>
      <c r="E239" s="938" t="s">
        <v>465</v>
      </c>
      <c r="F239" s="938" t="s">
        <v>16189</v>
      </c>
      <c r="G239" s="938">
        <v>700</v>
      </c>
      <c r="H239" s="316" t="s">
        <v>460</v>
      </c>
      <c r="I239" s="316">
        <v>2.1</v>
      </c>
      <c r="J239" s="939" t="s">
        <v>250</v>
      </c>
      <c r="K239" s="938" t="s">
        <v>16193</v>
      </c>
      <c r="L239" s="941">
        <v>5</v>
      </c>
      <c r="M239" s="942">
        <v>46079</v>
      </c>
      <c r="N239" s="943" t="s">
        <v>218</v>
      </c>
      <c r="O239" s="943" t="s">
        <v>15881</v>
      </c>
      <c r="P239" s="943">
        <v>1.7549999999999999</v>
      </c>
      <c r="Q239" s="943">
        <v>1.94</v>
      </c>
      <c r="R239" s="316">
        <v>26.5</v>
      </c>
      <c r="S239" s="1226" t="s">
        <v>16949</v>
      </c>
      <c r="T239" s="1156" t="s">
        <v>16987</v>
      </c>
      <c r="U239" s="1156" t="s">
        <v>17000</v>
      </c>
      <c r="V239" s="1156" t="s">
        <v>16879</v>
      </c>
    </row>
    <row r="240" spans="1:22">
      <c r="A240" s="1444" t="s">
        <v>16195</v>
      </c>
      <c r="B240" s="316">
        <v>585</v>
      </c>
      <c r="C240" s="937">
        <f t="shared" si="6"/>
        <v>2.4615384615384617</v>
      </c>
      <c r="D240" s="1447">
        <f t="shared" si="7"/>
        <v>585</v>
      </c>
      <c r="E240" s="945" t="s">
        <v>1463</v>
      </c>
      <c r="F240" s="938" t="s">
        <v>16199</v>
      </c>
      <c r="G240" s="945">
        <v>630</v>
      </c>
      <c r="H240" s="316" t="s">
        <v>942</v>
      </c>
      <c r="I240" s="316">
        <v>1.1000000000000001</v>
      </c>
      <c r="J240" s="939" t="s">
        <v>250</v>
      </c>
      <c r="K240" s="938" t="s">
        <v>804</v>
      </c>
      <c r="L240" s="941">
        <v>2</v>
      </c>
      <c r="M240" s="942">
        <v>46083</v>
      </c>
      <c r="N240" s="943" t="s">
        <v>16983</v>
      </c>
      <c r="O240" s="943" t="s">
        <v>723</v>
      </c>
      <c r="P240" s="943">
        <v>1.65</v>
      </c>
      <c r="Q240" s="943">
        <v>1.95</v>
      </c>
      <c r="R240" s="316">
        <v>8.5</v>
      </c>
      <c r="S240" s="1226" t="s">
        <v>16882</v>
      </c>
      <c r="T240" s="1156" t="s">
        <v>17101</v>
      </c>
      <c r="U240" s="1156" t="s">
        <v>17119</v>
      </c>
      <c r="V240" s="1156" t="s">
        <v>16981</v>
      </c>
    </row>
    <row r="241" spans="1:22">
      <c r="A241" s="1444" t="s">
        <v>16197</v>
      </c>
      <c r="B241" s="316">
        <v>823</v>
      </c>
      <c r="C241" s="937">
        <f t="shared" si="6"/>
        <v>1.7496962332928312</v>
      </c>
      <c r="D241" s="1447">
        <f t="shared" si="7"/>
        <v>823</v>
      </c>
      <c r="E241" s="945" t="s">
        <v>840</v>
      </c>
      <c r="F241" s="938" t="s">
        <v>16200</v>
      </c>
      <c r="G241" s="945">
        <v>600</v>
      </c>
      <c r="H241" s="316" t="s">
        <v>126</v>
      </c>
      <c r="I241" s="316">
        <v>1.7</v>
      </c>
      <c r="J241" s="939" t="s">
        <v>251</v>
      </c>
      <c r="K241" s="938" t="s">
        <v>15802</v>
      </c>
      <c r="L241" s="941">
        <v>4</v>
      </c>
      <c r="M241" s="942">
        <v>46083</v>
      </c>
      <c r="N241" s="943" t="s">
        <v>217</v>
      </c>
      <c r="O241" s="943" t="s">
        <v>16848</v>
      </c>
      <c r="P241" s="943">
        <v>1.77</v>
      </c>
      <c r="Q241" s="943">
        <v>1.76</v>
      </c>
      <c r="R241" s="316">
        <v>13.5</v>
      </c>
      <c r="S241" s="1226" t="s">
        <v>16903</v>
      </c>
      <c r="T241" s="1156" t="s">
        <v>16904</v>
      </c>
      <c r="U241" s="1156" t="s">
        <v>17148</v>
      </c>
      <c r="V241" s="1156" t="s">
        <v>16879</v>
      </c>
    </row>
    <row r="242" spans="1:22">
      <c r="A242" s="1444" t="s">
        <v>16196</v>
      </c>
      <c r="B242" s="939">
        <v>207</v>
      </c>
      <c r="C242" s="937">
        <f t="shared" si="6"/>
        <v>6.9565217391304346</v>
      </c>
      <c r="D242" s="1448">
        <f t="shared" si="7"/>
        <v>207</v>
      </c>
      <c r="E242" s="938" t="s">
        <v>16198</v>
      </c>
      <c r="F242" s="938" t="s">
        <v>17149</v>
      </c>
      <c r="G242" s="938">
        <v>500</v>
      </c>
      <c r="H242" s="316" t="s">
        <v>643</v>
      </c>
      <c r="I242" s="944">
        <v>3</v>
      </c>
      <c r="J242" s="939" t="s">
        <v>250</v>
      </c>
      <c r="K242" s="938" t="s">
        <v>876</v>
      </c>
      <c r="L242" s="941">
        <v>5</v>
      </c>
      <c r="M242" s="942">
        <v>46084</v>
      </c>
      <c r="N242" s="943" t="s">
        <v>17046</v>
      </c>
      <c r="O242" s="943" t="s">
        <v>16827</v>
      </c>
      <c r="P242" s="943">
        <v>1.68</v>
      </c>
      <c r="Q242" s="943">
        <v>1.9</v>
      </c>
      <c r="R242" s="316">
        <v>19</v>
      </c>
      <c r="S242" s="1226" t="s">
        <v>16903</v>
      </c>
      <c r="T242" s="1156" t="s">
        <v>17027</v>
      </c>
      <c r="U242" s="1156" t="s">
        <v>17150</v>
      </c>
      <c r="V242" s="1156" t="s">
        <v>16879</v>
      </c>
    </row>
    <row r="243" spans="1:22">
      <c r="A243" s="1444" t="s">
        <v>16201</v>
      </c>
      <c r="B243" s="316">
        <v>557</v>
      </c>
      <c r="C243" s="937">
        <f t="shared" si="6"/>
        <v>2.5852782764811488</v>
      </c>
      <c r="D243" s="1447">
        <f t="shared" si="7"/>
        <v>557</v>
      </c>
      <c r="E243" s="945" t="s">
        <v>715</v>
      </c>
      <c r="F243" s="945" t="s">
        <v>17139</v>
      </c>
      <c r="G243" s="945">
        <v>650</v>
      </c>
      <c r="H243" s="316" t="s">
        <v>126</v>
      </c>
      <c r="I243" s="316">
        <v>1.2</v>
      </c>
      <c r="J243" s="939" t="s">
        <v>250</v>
      </c>
      <c r="K243" s="938" t="s">
        <v>619</v>
      </c>
      <c r="L243" s="941">
        <v>4</v>
      </c>
      <c r="M243" s="942">
        <v>46085</v>
      </c>
      <c r="N243" s="943" t="s">
        <v>221</v>
      </c>
      <c r="O243" s="943" t="s">
        <v>862</v>
      </c>
      <c r="P243" s="943">
        <v>1.6950000000000001</v>
      </c>
      <c r="Q243" s="943">
        <v>1.8</v>
      </c>
      <c r="R243" s="316">
        <v>8</v>
      </c>
      <c r="S243" s="1226" t="s">
        <v>16986</v>
      </c>
      <c r="T243" s="1156" t="s">
        <v>16028</v>
      </c>
      <c r="U243" s="1156" t="s">
        <v>17151</v>
      </c>
      <c r="V243" s="1156" t="s">
        <v>16879</v>
      </c>
    </row>
    <row r="244" spans="1:22">
      <c r="A244" s="1444" t="s">
        <v>16202</v>
      </c>
      <c r="B244" s="316">
        <v>356</v>
      </c>
      <c r="C244" s="937">
        <f t="shared" si="6"/>
        <v>4.0449438202247192</v>
      </c>
      <c r="D244" s="1447">
        <f t="shared" si="7"/>
        <v>356</v>
      </c>
      <c r="E244" s="945" t="s">
        <v>771</v>
      </c>
      <c r="F244" s="938" t="s">
        <v>16088</v>
      </c>
      <c r="G244" s="945">
        <v>700</v>
      </c>
      <c r="H244" s="316" t="s">
        <v>126</v>
      </c>
      <c r="I244" s="316">
        <v>1.3</v>
      </c>
      <c r="J244" s="939" t="s">
        <v>250</v>
      </c>
      <c r="K244" s="938" t="s">
        <v>889</v>
      </c>
      <c r="L244" s="941">
        <v>2</v>
      </c>
      <c r="M244" s="942">
        <v>46085</v>
      </c>
      <c r="N244" s="943" t="s">
        <v>16989</v>
      </c>
      <c r="O244" s="943" t="s">
        <v>17108</v>
      </c>
      <c r="P244" s="943">
        <v>1.7450000000000001</v>
      </c>
      <c r="Q244" s="943">
        <v>1.84</v>
      </c>
      <c r="R244" s="316">
        <v>11</v>
      </c>
      <c r="S244" s="1226" t="s">
        <v>17056</v>
      </c>
      <c r="T244" s="1156" t="s">
        <v>17120</v>
      </c>
      <c r="U244" s="1156" t="s">
        <v>17035</v>
      </c>
      <c r="V244" s="1156" t="s">
        <v>16879</v>
      </c>
    </row>
    <row r="245" spans="1:22">
      <c r="A245" s="1444" t="s">
        <v>16208</v>
      </c>
      <c r="B245" s="316">
        <v>891</v>
      </c>
      <c r="C245" s="937">
        <f t="shared" si="6"/>
        <v>1.6161616161616161</v>
      </c>
      <c r="D245" s="1447">
        <f t="shared" si="7"/>
        <v>891</v>
      </c>
      <c r="E245" s="938" t="s">
        <v>3750</v>
      </c>
      <c r="F245" s="938" t="s">
        <v>15504</v>
      </c>
      <c r="G245" s="945">
        <v>700</v>
      </c>
      <c r="H245" s="316" t="s">
        <v>126</v>
      </c>
      <c r="I245" s="316">
        <v>0.5</v>
      </c>
      <c r="J245" s="939" t="s">
        <v>250</v>
      </c>
      <c r="K245" s="938" t="s">
        <v>877</v>
      </c>
      <c r="L245" s="941">
        <v>5</v>
      </c>
      <c r="M245" s="942">
        <v>46087</v>
      </c>
      <c r="N245" s="943" t="s">
        <v>17005</v>
      </c>
      <c r="O245" s="943" t="s">
        <v>15881</v>
      </c>
      <c r="P245" s="943">
        <v>1.7949999999999999</v>
      </c>
      <c r="Q245" s="943">
        <v>1.7</v>
      </c>
      <c r="R245" s="316">
        <v>13</v>
      </c>
      <c r="S245" s="1226" t="s">
        <v>16941</v>
      </c>
      <c r="T245" s="1156" t="s">
        <v>16961</v>
      </c>
      <c r="U245" s="1156" t="s">
        <v>17022</v>
      </c>
      <c r="V245" s="1156" t="s">
        <v>16879</v>
      </c>
    </row>
    <row r="246" spans="1:22">
      <c r="A246" s="1444" t="s">
        <v>16210</v>
      </c>
      <c r="B246" s="316">
        <v>895</v>
      </c>
      <c r="C246" s="937">
        <f t="shared" si="6"/>
        <v>1.6089385474860336</v>
      </c>
      <c r="D246" s="1447">
        <f t="shared" si="7"/>
        <v>895</v>
      </c>
      <c r="E246" s="938" t="s">
        <v>1783</v>
      </c>
      <c r="F246" s="938" t="s">
        <v>17144</v>
      </c>
      <c r="G246" s="945">
        <v>500</v>
      </c>
      <c r="H246" s="316" t="s">
        <v>126</v>
      </c>
      <c r="I246" s="316">
        <v>0.3</v>
      </c>
      <c r="J246" s="939" t="s">
        <v>250</v>
      </c>
      <c r="K246" s="938" t="s">
        <v>994</v>
      </c>
      <c r="L246" s="941">
        <v>3.7</v>
      </c>
      <c r="M246" s="942">
        <v>46090</v>
      </c>
      <c r="N246" s="943" t="s">
        <v>16999</v>
      </c>
      <c r="O246" s="943" t="s">
        <v>17146</v>
      </c>
      <c r="P246" s="943">
        <v>1.675</v>
      </c>
      <c r="Q246" s="943">
        <v>2.13</v>
      </c>
      <c r="R246" s="316">
        <v>8</v>
      </c>
      <c r="S246" s="1226" t="s">
        <v>16972</v>
      </c>
      <c r="T246" s="1156" t="s">
        <v>17115</v>
      </c>
      <c r="U246" s="1156" t="s">
        <v>17152</v>
      </c>
      <c r="V246" s="1156" t="s">
        <v>16879</v>
      </c>
    </row>
    <row r="247" spans="1:22">
      <c r="A247" s="1444" t="s">
        <v>16679</v>
      </c>
      <c r="B247" s="939">
        <v>539</v>
      </c>
      <c r="C247" s="937">
        <f t="shared" si="6"/>
        <v>2.6716141001855287</v>
      </c>
      <c r="D247" s="1448">
        <f t="shared" si="7"/>
        <v>539</v>
      </c>
      <c r="E247" s="938" t="s">
        <v>715</v>
      </c>
      <c r="F247" s="938" t="s">
        <v>17136</v>
      </c>
      <c r="G247" s="938">
        <v>680</v>
      </c>
      <c r="H247" s="316" t="s">
        <v>126</v>
      </c>
      <c r="I247" s="944">
        <v>1.2</v>
      </c>
      <c r="J247" s="939" t="s">
        <v>250</v>
      </c>
      <c r="K247" s="938" t="s">
        <v>845</v>
      </c>
      <c r="L247" s="941">
        <v>4</v>
      </c>
      <c r="M247" s="942">
        <v>46092</v>
      </c>
      <c r="N247" s="943" t="s">
        <v>226</v>
      </c>
      <c r="O247" s="943" t="s">
        <v>726</v>
      </c>
      <c r="P247" s="943">
        <v>1.7050000000000001</v>
      </c>
      <c r="Q247" s="943">
        <v>1.7</v>
      </c>
      <c r="R247" s="316">
        <v>8</v>
      </c>
      <c r="S247" s="1226" t="s">
        <v>16986</v>
      </c>
      <c r="T247" s="1156" t="s">
        <v>16028</v>
      </c>
      <c r="U247" s="1156" t="s">
        <v>17153</v>
      </c>
      <c r="V247" s="1156" t="s">
        <v>16879</v>
      </c>
    </row>
    <row r="248" spans="1:22">
      <c r="A248" s="1444" t="s">
        <v>16678</v>
      </c>
      <c r="B248" s="316">
        <v>770</v>
      </c>
      <c r="C248" s="937">
        <f t="shared" si="6"/>
        <v>1.8701298701298701</v>
      </c>
      <c r="D248" s="1447">
        <f t="shared" si="7"/>
        <v>770</v>
      </c>
      <c r="E248" s="938" t="s">
        <v>453</v>
      </c>
      <c r="F248" s="938" t="s">
        <v>17154</v>
      </c>
      <c r="G248" s="938">
        <v>800</v>
      </c>
      <c r="H248" s="316" t="s">
        <v>126</v>
      </c>
      <c r="I248" s="939">
        <v>1.2</v>
      </c>
      <c r="J248" s="939" t="s">
        <v>250</v>
      </c>
      <c r="K248" s="938" t="s">
        <v>868</v>
      </c>
      <c r="L248" s="941">
        <v>5</v>
      </c>
      <c r="M248" s="942">
        <v>46092</v>
      </c>
      <c r="N248" s="943" t="s">
        <v>222</v>
      </c>
      <c r="O248" s="943" t="s">
        <v>16827</v>
      </c>
      <c r="P248" s="943">
        <v>1.72</v>
      </c>
      <c r="Q248" s="943">
        <v>1.2</v>
      </c>
      <c r="R248" s="316">
        <v>13</v>
      </c>
      <c r="S248" s="1226" t="s">
        <v>17000</v>
      </c>
      <c r="T248" s="1156" t="s">
        <v>17100</v>
      </c>
      <c r="U248" s="1156" t="s">
        <v>17121</v>
      </c>
      <c r="V248" s="1156" t="s">
        <v>16879</v>
      </c>
    </row>
    <row r="249" spans="1:22">
      <c r="A249" s="1444" t="s">
        <v>17155</v>
      </c>
      <c r="B249" s="316">
        <v>600</v>
      </c>
      <c r="C249" s="937">
        <f t="shared" si="6"/>
        <v>2.4</v>
      </c>
      <c r="D249" s="1448">
        <f t="shared" si="7"/>
        <v>600</v>
      </c>
      <c r="E249" s="945" t="s">
        <v>17156</v>
      </c>
      <c r="F249" s="945" t="s">
        <v>17157</v>
      </c>
      <c r="G249" s="945">
        <v>600</v>
      </c>
      <c r="H249" s="316" t="s">
        <v>126</v>
      </c>
      <c r="I249" s="316">
        <v>0.8</v>
      </c>
      <c r="J249" s="939" t="s">
        <v>250</v>
      </c>
      <c r="K249" s="938" t="s">
        <v>650</v>
      </c>
      <c r="L249" s="941">
        <v>3</v>
      </c>
      <c r="M249" s="942">
        <v>46097</v>
      </c>
      <c r="N249" s="943" t="s">
        <v>16989</v>
      </c>
      <c r="O249" s="943" t="s">
        <v>17031</v>
      </c>
      <c r="P249" s="943">
        <v>1.69</v>
      </c>
      <c r="Q249" s="943">
        <v>1.72</v>
      </c>
      <c r="R249" s="316">
        <v>9.5</v>
      </c>
      <c r="S249" s="1226" t="s">
        <v>16913</v>
      </c>
      <c r="T249" s="1156" t="s">
        <v>16914</v>
      </c>
      <c r="U249" s="1156" t="s">
        <v>17158</v>
      </c>
      <c r="V249" s="1156" t="s">
        <v>16879</v>
      </c>
    </row>
    <row r="250" spans="1:22">
      <c r="A250" s="1444" t="s">
        <v>17159</v>
      </c>
      <c r="B250" s="316">
        <v>515</v>
      </c>
      <c r="C250" s="937">
        <f t="shared" si="6"/>
        <v>2.796116504854369</v>
      </c>
      <c r="D250" s="1447">
        <f t="shared" si="7"/>
        <v>515</v>
      </c>
      <c r="E250" s="945" t="s">
        <v>625</v>
      </c>
      <c r="F250" s="945" t="s">
        <v>17160</v>
      </c>
      <c r="G250" s="945">
        <v>500</v>
      </c>
      <c r="H250" s="316" t="s">
        <v>126</v>
      </c>
      <c r="I250" s="316">
        <v>1.8</v>
      </c>
      <c r="J250" s="939" t="s">
        <v>250</v>
      </c>
      <c r="K250" s="938" t="s">
        <v>782</v>
      </c>
      <c r="L250" s="941">
        <v>2</v>
      </c>
      <c r="M250" s="942">
        <v>46098</v>
      </c>
      <c r="N250" s="943" t="s">
        <v>17161</v>
      </c>
      <c r="O250" s="943" t="s">
        <v>482</v>
      </c>
      <c r="P250" s="943">
        <v>1.79</v>
      </c>
      <c r="Q250" s="943">
        <v>1.9</v>
      </c>
      <c r="R250" s="316">
        <v>8</v>
      </c>
      <c r="S250" s="1226" t="s">
        <v>16903</v>
      </c>
      <c r="T250" s="1156" t="s">
        <v>17162</v>
      </c>
      <c r="U250" s="1156" t="s">
        <v>16903</v>
      </c>
      <c r="V250" s="1156" t="s">
        <v>16879</v>
      </c>
    </row>
    <row r="251" spans="1:22">
      <c r="A251" s="1444" t="s">
        <v>17163</v>
      </c>
      <c r="B251" s="939">
        <v>188</v>
      </c>
      <c r="C251" s="937">
        <f t="shared" si="6"/>
        <v>7.6595744680851068</v>
      </c>
      <c r="D251" s="1448">
        <f t="shared" si="7"/>
        <v>188</v>
      </c>
      <c r="E251" s="938" t="s">
        <v>16198</v>
      </c>
      <c r="F251" s="938" t="s">
        <v>17149</v>
      </c>
      <c r="G251" s="938">
        <v>550</v>
      </c>
      <c r="H251" s="316" t="s">
        <v>643</v>
      </c>
      <c r="I251" s="939">
        <v>3.1</v>
      </c>
      <c r="J251" s="939" t="s">
        <v>250</v>
      </c>
      <c r="K251" s="938" t="s">
        <v>889</v>
      </c>
      <c r="L251" s="941">
        <v>5</v>
      </c>
      <c r="M251" s="942">
        <v>46099</v>
      </c>
      <c r="N251" s="943" t="s">
        <v>17046</v>
      </c>
      <c r="O251" s="943" t="s">
        <v>963</v>
      </c>
      <c r="P251" s="943">
        <v>1.68</v>
      </c>
      <c r="Q251" s="943">
        <v>1.91</v>
      </c>
      <c r="R251" s="316">
        <v>21</v>
      </c>
      <c r="S251" s="1226" t="s">
        <v>16903</v>
      </c>
      <c r="T251" s="1156" t="s">
        <v>17027</v>
      </c>
      <c r="U251" s="1156" t="s">
        <v>17119</v>
      </c>
      <c r="V251" s="1156" t="s">
        <v>16879</v>
      </c>
    </row>
    <row r="252" spans="1:22">
      <c r="A252" s="1444" t="s">
        <v>17164</v>
      </c>
      <c r="B252" s="316">
        <v>437</v>
      </c>
      <c r="C252" s="937">
        <f t="shared" si="6"/>
        <v>3.2951945080091534</v>
      </c>
      <c r="D252" s="1448">
        <f t="shared" si="7"/>
        <v>437</v>
      </c>
      <c r="E252" s="945" t="s">
        <v>617</v>
      </c>
      <c r="F252" s="945" t="s">
        <v>17165</v>
      </c>
      <c r="G252" s="945">
        <v>700</v>
      </c>
      <c r="H252" s="316" t="s">
        <v>126</v>
      </c>
      <c r="I252" s="316">
        <v>3</v>
      </c>
      <c r="J252" s="939" t="s">
        <v>250</v>
      </c>
      <c r="K252" s="938" t="s">
        <v>1143</v>
      </c>
      <c r="L252" s="941">
        <v>5</v>
      </c>
      <c r="M252" s="942">
        <v>46099</v>
      </c>
      <c r="N252" s="943" t="s">
        <v>220</v>
      </c>
      <c r="O252" s="943" t="s">
        <v>17166</v>
      </c>
      <c r="P252" s="943">
        <v>1.7350000000000001</v>
      </c>
      <c r="Q252" s="943">
        <v>1.8</v>
      </c>
      <c r="R252" s="316">
        <v>18.5</v>
      </c>
      <c r="S252" s="1226" t="s">
        <v>16977</v>
      </c>
      <c r="T252" s="1156" t="s">
        <v>17019</v>
      </c>
      <c r="U252" s="1156" t="s">
        <v>17167</v>
      </c>
      <c r="V252" s="1156" t="s">
        <v>16879</v>
      </c>
    </row>
    <row r="253" spans="1:22">
      <c r="A253" s="1444" t="s">
        <v>17168</v>
      </c>
      <c r="B253" s="939">
        <v>349</v>
      </c>
      <c r="C253" s="937">
        <f t="shared" si="6"/>
        <v>4.126074498567335</v>
      </c>
      <c r="D253" s="1448">
        <f t="shared" si="7"/>
        <v>349</v>
      </c>
      <c r="E253" s="938" t="s">
        <v>17169</v>
      </c>
      <c r="F253" s="938" t="s">
        <v>17170</v>
      </c>
      <c r="G253" s="938">
        <v>700</v>
      </c>
      <c r="H253" s="316" t="s">
        <v>460</v>
      </c>
      <c r="I253" s="316">
        <v>0.8</v>
      </c>
      <c r="J253" s="939" t="s">
        <v>250</v>
      </c>
      <c r="K253" s="938" t="s">
        <v>876</v>
      </c>
      <c r="L253" s="941">
        <v>4</v>
      </c>
      <c r="M253" s="942">
        <v>46099</v>
      </c>
      <c r="N253" s="943" t="s">
        <v>17008</v>
      </c>
      <c r="O253" s="943" t="s">
        <v>724</v>
      </c>
      <c r="P253" s="943">
        <v>1.73</v>
      </c>
      <c r="Q253" s="943">
        <v>1.8</v>
      </c>
      <c r="R253" s="316">
        <v>32</v>
      </c>
      <c r="S253" s="1226" t="s">
        <v>16913</v>
      </c>
      <c r="T253" s="1156" t="s">
        <v>16987</v>
      </c>
      <c r="U253" s="1156" t="s">
        <v>17119</v>
      </c>
      <c r="V253" s="1156" t="s">
        <v>16879</v>
      </c>
    </row>
    <row r="254" spans="1:22">
      <c r="A254" s="1444" t="s">
        <v>17171</v>
      </c>
      <c r="B254" s="316">
        <v>915</v>
      </c>
      <c r="C254" s="937">
        <f t="shared" si="6"/>
        <v>1.5737704918032787</v>
      </c>
      <c r="D254" s="1447">
        <f t="shared" si="7"/>
        <v>915</v>
      </c>
      <c r="E254" s="945" t="s">
        <v>3750</v>
      </c>
      <c r="F254" s="945" t="s">
        <v>16706</v>
      </c>
      <c r="G254" s="945">
        <v>700</v>
      </c>
      <c r="H254" s="316" t="s">
        <v>126</v>
      </c>
      <c r="I254" s="316">
        <v>0.5</v>
      </c>
      <c r="J254" s="939" t="s">
        <v>250</v>
      </c>
      <c r="K254" s="938" t="s">
        <v>618</v>
      </c>
      <c r="L254" s="941">
        <v>5</v>
      </c>
      <c r="M254" s="942">
        <v>46101</v>
      </c>
      <c r="N254" s="943" t="s">
        <v>17005</v>
      </c>
      <c r="O254" s="943" t="s">
        <v>16932</v>
      </c>
      <c r="P254" s="943">
        <v>1.7949999999999999</v>
      </c>
      <c r="Q254" s="943">
        <v>1.8</v>
      </c>
      <c r="R254" s="316">
        <v>13</v>
      </c>
      <c r="S254" s="1226" t="s">
        <v>16941</v>
      </c>
      <c r="T254" s="1156" t="s">
        <v>16961</v>
      </c>
      <c r="U254" s="1156" t="s">
        <v>17172</v>
      </c>
      <c r="V254" s="1156" t="s">
        <v>16879</v>
      </c>
    </row>
    <row r="255" spans="1:22">
      <c r="A255" s="1444" t="s">
        <v>17173</v>
      </c>
      <c r="B255" s="316">
        <v>437</v>
      </c>
      <c r="C255" s="937">
        <f t="shared" si="6"/>
        <v>3.2951945080091534</v>
      </c>
      <c r="D255" s="1447">
        <f t="shared" si="7"/>
        <v>437</v>
      </c>
      <c r="E255" s="945" t="s">
        <v>4944</v>
      </c>
      <c r="F255" s="945" t="s">
        <v>17165</v>
      </c>
      <c r="G255" s="945">
        <v>700</v>
      </c>
      <c r="H255" s="316" t="s">
        <v>126</v>
      </c>
      <c r="I255" s="316">
        <v>3</v>
      </c>
      <c r="J255" s="939" t="s">
        <v>251</v>
      </c>
      <c r="K255" s="938" t="s">
        <v>16728</v>
      </c>
      <c r="L255" s="941">
        <v>5</v>
      </c>
      <c r="M255" s="942">
        <v>46101</v>
      </c>
      <c r="N255" s="943" t="s">
        <v>220</v>
      </c>
      <c r="O255" s="943" t="s">
        <v>17166</v>
      </c>
      <c r="P255" s="943">
        <v>1.7350000000000001</v>
      </c>
      <c r="Q255" s="943" t="s">
        <v>17174</v>
      </c>
      <c r="R255" s="316">
        <v>18.5</v>
      </c>
      <c r="S255" s="1226" t="s">
        <v>16977</v>
      </c>
      <c r="T255" s="1156" t="s">
        <v>17022</v>
      </c>
      <c r="U255" s="1156" t="s">
        <v>17175</v>
      </c>
      <c r="V255" s="1156" t="s">
        <v>16879</v>
      </c>
    </row>
    <row r="256" spans="1:22">
      <c r="A256" s="1444" t="s">
        <v>17176</v>
      </c>
      <c r="B256" s="939">
        <v>633</v>
      </c>
      <c r="C256" s="937">
        <f t="shared" si="6"/>
        <v>2.2748815165876777</v>
      </c>
      <c r="D256" s="1447">
        <f t="shared" si="7"/>
        <v>633</v>
      </c>
      <c r="E256" s="938" t="s">
        <v>17177</v>
      </c>
      <c r="F256" s="945" t="s">
        <v>17178</v>
      </c>
      <c r="G256" s="938">
        <v>600</v>
      </c>
      <c r="H256" s="316" t="s">
        <v>126</v>
      </c>
      <c r="I256" s="939">
        <v>0.7</v>
      </c>
      <c r="J256" s="939" t="s">
        <v>250</v>
      </c>
      <c r="K256" s="938" t="s">
        <v>681</v>
      </c>
      <c r="L256" s="941">
        <v>2</v>
      </c>
      <c r="M256" s="942">
        <v>46107</v>
      </c>
      <c r="N256" s="943" t="s">
        <v>16989</v>
      </c>
      <c r="O256" s="943" t="s">
        <v>17031</v>
      </c>
      <c r="P256" s="943">
        <v>1.68</v>
      </c>
      <c r="Q256" s="943">
        <v>1.63</v>
      </c>
      <c r="R256" s="316">
        <v>5.5</v>
      </c>
      <c r="S256" s="1226" t="s">
        <v>16882</v>
      </c>
      <c r="T256" s="1156" t="s">
        <v>17101</v>
      </c>
      <c r="U256" s="1156" t="s">
        <v>17075</v>
      </c>
      <c r="V256" s="1156" t="s">
        <v>16981</v>
      </c>
    </row>
    <row r="257" spans="1:22">
      <c r="A257" s="1444" t="s">
        <v>17179</v>
      </c>
      <c r="B257" s="316">
        <v>639</v>
      </c>
      <c r="C257" s="937">
        <f t="shared" si="6"/>
        <v>2.2535211267605635</v>
      </c>
      <c r="D257" s="1447">
        <f t="shared" si="7"/>
        <v>639</v>
      </c>
      <c r="E257" s="945" t="s">
        <v>298</v>
      </c>
      <c r="F257" s="945" t="s">
        <v>16707</v>
      </c>
      <c r="G257" s="945">
        <v>700</v>
      </c>
      <c r="H257" s="316" t="s">
        <v>648</v>
      </c>
      <c r="J257" s="939" t="s">
        <v>250</v>
      </c>
      <c r="K257" s="938" t="s">
        <v>621</v>
      </c>
      <c r="L257" s="941">
        <v>5</v>
      </c>
      <c r="M257" s="942">
        <v>46108</v>
      </c>
      <c r="N257" s="943" t="s">
        <v>16964</v>
      </c>
      <c r="O257" s="943" t="s">
        <v>1221</v>
      </c>
      <c r="P257" s="943">
        <v>1.76</v>
      </c>
      <c r="Q257" s="943">
        <v>1.69</v>
      </c>
      <c r="R257" s="316">
        <v>14</v>
      </c>
      <c r="S257" s="1226" t="s">
        <v>16947</v>
      </c>
      <c r="T257" s="1156" t="s">
        <v>17180</v>
      </c>
      <c r="U257" s="1156" t="s">
        <v>16926</v>
      </c>
      <c r="V257" s="1156" t="s">
        <v>17040</v>
      </c>
    </row>
    <row r="258" spans="1:22">
      <c r="A258" s="1444" t="s">
        <v>16708</v>
      </c>
      <c r="B258" s="316">
        <v>810</v>
      </c>
      <c r="C258" s="937">
        <f t="shared" ref="C258:C321" si="8">IFERROR(1440/D258, "")</f>
        <v>1.7777777777777777</v>
      </c>
      <c r="D258" s="1447">
        <f t="shared" ref="D258:D321" si="9">IF(B258="", "", IF(B258&lt;1, B258*1440, B258))</f>
        <v>810</v>
      </c>
      <c r="E258" s="945" t="s">
        <v>424</v>
      </c>
      <c r="F258" s="938" t="s">
        <v>16706</v>
      </c>
      <c r="G258" s="945">
        <v>780</v>
      </c>
      <c r="H258" s="939" t="s">
        <v>126</v>
      </c>
      <c r="I258" s="316">
        <v>1.8</v>
      </c>
      <c r="J258" s="939" t="s">
        <v>250</v>
      </c>
      <c r="K258" s="938" t="s">
        <v>1238</v>
      </c>
      <c r="L258" s="941">
        <v>5</v>
      </c>
      <c r="M258" s="942">
        <v>46111</v>
      </c>
      <c r="N258" s="943" t="s">
        <v>214</v>
      </c>
      <c r="O258" s="943" t="s">
        <v>16932</v>
      </c>
      <c r="P258" s="943">
        <v>1.78</v>
      </c>
      <c r="Q258" s="943">
        <v>1.6</v>
      </c>
      <c r="R258" s="316">
        <v>13</v>
      </c>
      <c r="S258" s="1226" t="s">
        <v>16944</v>
      </c>
      <c r="T258" s="1156" t="s">
        <v>16961</v>
      </c>
      <c r="U258" s="1156" t="s">
        <v>16903</v>
      </c>
      <c r="V258" s="1156" t="s">
        <v>16879</v>
      </c>
    </row>
    <row r="259" spans="1:22">
      <c r="A259" s="1444" t="s">
        <v>17181</v>
      </c>
      <c r="B259" s="316">
        <v>471</v>
      </c>
      <c r="C259" s="937">
        <f t="shared" si="8"/>
        <v>3.0573248407643314</v>
      </c>
      <c r="D259" s="1447">
        <f t="shared" si="9"/>
        <v>471</v>
      </c>
      <c r="E259" s="945" t="s">
        <v>210</v>
      </c>
      <c r="F259" s="938" t="s">
        <v>16153</v>
      </c>
      <c r="G259" s="945">
        <v>650</v>
      </c>
      <c r="H259" s="939" t="s">
        <v>126</v>
      </c>
      <c r="I259" s="316">
        <v>1.9</v>
      </c>
      <c r="J259" s="939" t="s">
        <v>250</v>
      </c>
      <c r="K259" s="938" t="s">
        <v>464</v>
      </c>
      <c r="L259" s="941">
        <v>5</v>
      </c>
      <c r="M259" s="942">
        <v>46111</v>
      </c>
      <c r="N259" s="943" t="s">
        <v>17026</v>
      </c>
      <c r="O259" s="943" t="s">
        <v>16841</v>
      </c>
      <c r="P259" s="943">
        <v>1.76</v>
      </c>
      <c r="Q259" s="943">
        <v>1.8</v>
      </c>
      <c r="R259" s="316">
        <v>18</v>
      </c>
      <c r="S259" s="1226" t="s">
        <v>16944</v>
      </c>
      <c r="T259" s="1156" t="s">
        <v>16942</v>
      </c>
      <c r="U259" s="1156" t="s">
        <v>17153</v>
      </c>
      <c r="V259" s="1156" t="s">
        <v>16879</v>
      </c>
    </row>
    <row r="260" spans="1:22">
      <c r="A260" s="1444" t="s">
        <v>17182</v>
      </c>
      <c r="B260" s="316">
        <v>539</v>
      </c>
      <c r="C260" s="937">
        <f t="shared" si="8"/>
        <v>2.6716141001855287</v>
      </c>
      <c r="D260" s="1447">
        <f t="shared" si="9"/>
        <v>539</v>
      </c>
      <c r="E260" s="945" t="s">
        <v>715</v>
      </c>
      <c r="F260" s="938" t="s">
        <v>17183</v>
      </c>
      <c r="G260" s="945">
        <v>680</v>
      </c>
      <c r="H260" s="939" t="s">
        <v>126</v>
      </c>
      <c r="I260" s="316">
        <v>1.2</v>
      </c>
      <c r="J260" s="939" t="s">
        <v>250</v>
      </c>
      <c r="K260" s="938" t="s">
        <v>622</v>
      </c>
      <c r="L260" s="941">
        <v>4</v>
      </c>
      <c r="M260" s="942">
        <v>46112</v>
      </c>
      <c r="N260" s="943" t="s">
        <v>226</v>
      </c>
      <c r="O260" s="943" t="s">
        <v>16827</v>
      </c>
      <c r="P260" s="943">
        <v>1.7050000000000001</v>
      </c>
      <c r="Q260" s="943" t="s">
        <v>17184</v>
      </c>
      <c r="R260" s="316">
        <v>8</v>
      </c>
      <c r="S260" s="1226" t="s">
        <v>16986</v>
      </c>
      <c r="T260" s="1156" t="s">
        <v>16028</v>
      </c>
      <c r="U260" s="1156" t="s">
        <v>16929</v>
      </c>
      <c r="V260" s="1156" t="s">
        <v>16879</v>
      </c>
    </row>
    <row r="261" spans="1:22">
      <c r="A261" s="1444" t="s">
        <v>17185</v>
      </c>
      <c r="B261" s="939">
        <v>322</v>
      </c>
      <c r="C261" s="937">
        <f t="shared" si="8"/>
        <v>4.4720496894409933</v>
      </c>
      <c r="D261" s="1447">
        <f t="shared" si="9"/>
        <v>322</v>
      </c>
      <c r="E261" s="938" t="s">
        <v>7068</v>
      </c>
      <c r="F261" s="938" t="s">
        <v>17186</v>
      </c>
      <c r="G261" s="938">
        <v>500</v>
      </c>
      <c r="H261" s="316" t="s">
        <v>643</v>
      </c>
      <c r="I261" s="316">
        <v>3.4</v>
      </c>
      <c r="J261" s="939" t="s">
        <v>251</v>
      </c>
      <c r="K261" s="938" t="s">
        <v>483</v>
      </c>
      <c r="L261" s="941">
        <v>5</v>
      </c>
      <c r="M261" s="942">
        <v>46114</v>
      </c>
      <c r="N261" s="943" t="s">
        <v>17046</v>
      </c>
      <c r="O261" s="943" t="s">
        <v>482</v>
      </c>
      <c r="P261" s="943">
        <v>1.7949999999999999</v>
      </c>
      <c r="Q261" s="943">
        <v>1.86</v>
      </c>
      <c r="R261" s="316">
        <v>15</v>
      </c>
      <c r="S261" s="1226" t="s">
        <v>17067</v>
      </c>
      <c r="T261" s="1156" t="s">
        <v>17120</v>
      </c>
      <c r="U261" s="1156" t="s">
        <v>16961</v>
      </c>
      <c r="V261" s="1156" t="s">
        <v>16981</v>
      </c>
    </row>
    <row r="262" spans="1:22">
      <c r="A262" s="1444" t="s">
        <v>17187</v>
      </c>
      <c r="B262" s="939">
        <v>459</v>
      </c>
      <c r="C262" s="937">
        <f t="shared" si="8"/>
        <v>3.1372549019607843</v>
      </c>
      <c r="D262" s="1447">
        <f t="shared" si="9"/>
        <v>459</v>
      </c>
      <c r="E262" s="938" t="s">
        <v>210</v>
      </c>
      <c r="F262" s="938" t="s">
        <v>17188</v>
      </c>
      <c r="G262" s="938">
        <v>670</v>
      </c>
      <c r="H262" s="316" t="s">
        <v>126</v>
      </c>
      <c r="I262" s="944">
        <v>0.8</v>
      </c>
      <c r="J262" s="939" t="s">
        <v>250</v>
      </c>
      <c r="K262" s="938" t="s">
        <v>724</v>
      </c>
      <c r="L262" s="941">
        <v>5</v>
      </c>
      <c r="M262" s="942">
        <v>46114</v>
      </c>
      <c r="N262" s="943" t="s">
        <v>229</v>
      </c>
      <c r="O262" s="943" t="s">
        <v>16865</v>
      </c>
      <c r="P262" s="943">
        <v>1.75</v>
      </c>
      <c r="Q262" s="943" t="s">
        <v>17189</v>
      </c>
      <c r="R262" s="316">
        <v>11</v>
      </c>
      <c r="S262" s="1226" t="s">
        <v>17000</v>
      </c>
      <c r="T262" s="1156" t="s">
        <v>16903</v>
      </c>
      <c r="U262" s="1156" t="s">
        <v>17190</v>
      </c>
      <c r="V262" s="1156" t="s">
        <v>16879</v>
      </c>
    </row>
    <row r="263" spans="1:22">
      <c r="A263" s="1444" t="s">
        <v>16712</v>
      </c>
      <c r="B263" s="939">
        <v>649</v>
      </c>
      <c r="C263" s="937">
        <f t="shared" si="8"/>
        <v>2.2187981510015407</v>
      </c>
      <c r="D263" s="1448">
        <f t="shared" si="9"/>
        <v>649</v>
      </c>
      <c r="E263" s="945" t="s">
        <v>16714</v>
      </c>
      <c r="F263" s="938" t="s">
        <v>16707</v>
      </c>
      <c r="G263" s="938">
        <v>700</v>
      </c>
      <c r="H263" s="316" t="s">
        <v>626</v>
      </c>
      <c r="I263" s="316">
        <v>2.4</v>
      </c>
      <c r="J263" s="939" t="s">
        <v>250</v>
      </c>
      <c r="K263" s="938" t="s">
        <v>16715</v>
      </c>
      <c r="L263" s="941">
        <v>5</v>
      </c>
      <c r="M263" s="942">
        <v>46119</v>
      </c>
      <c r="N263" s="943" t="s">
        <v>227</v>
      </c>
      <c r="O263" s="943" t="s">
        <v>1221</v>
      </c>
      <c r="P263" s="943">
        <v>1.7549999999999999</v>
      </c>
      <c r="Q263" s="943">
        <v>1.88</v>
      </c>
      <c r="R263" s="316">
        <v>12.5</v>
      </c>
      <c r="S263" s="1226" t="s">
        <v>16931</v>
      </c>
      <c r="T263" s="1156" t="s">
        <v>16990</v>
      </c>
      <c r="U263" s="1156" t="s">
        <v>17191</v>
      </c>
      <c r="V263" s="1156" t="s">
        <v>16879</v>
      </c>
    </row>
    <row r="264" spans="1:22">
      <c r="A264" s="1444" t="s">
        <v>17192</v>
      </c>
      <c r="B264" s="316">
        <v>470</v>
      </c>
      <c r="C264" s="937">
        <f t="shared" si="8"/>
        <v>3.0638297872340425</v>
      </c>
      <c r="D264" s="1447">
        <f t="shared" si="9"/>
        <v>470</v>
      </c>
      <c r="E264" s="945" t="s">
        <v>17193</v>
      </c>
      <c r="F264" s="938" t="s">
        <v>17188</v>
      </c>
      <c r="G264" s="945">
        <v>650</v>
      </c>
      <c r="H264" s="316" t="s">
        <v>126</v>
      </c>
      <c r="I264" s="316">
        <v>1.9</v>
      </c>
      <c r="J264" s="939" t="s">
        <v>250</v>
      </c>
      <c r="K264" s="938" t="s">
        <v>877</v>
      </c>
      <c r="L264" s="941">
        <v>5</v>
      </c>
      <c r="M264" s="942">
        <v>46119</v>
      </c>
      <c r="N264" s="943" t="s">
        <v>17034</v>
      </c>
      <c r="O264" s="943" t="s">
        <v>16865</v>
      </c>
      <c r="P264" s="943">
        <v>1.76</v>
      </c>
      <c r="Q264" s="943">
        <v>1.77</v>
      </c>
      <c r="R264" s="316">
        <v>18</v>
      </c>
      <c r="S264" s="1226" t="s">
        <v>16944</v>
      </c>
      <c r="T264" s="1156" t="s">
        <v>16942</v>
      </c>
      <c r="U264" s="1156" t="s">
        <v>17194</v>
      </c>
      <c r="V264" s="1156" t="s">
        <v>16879</v>
      </c>
    </row>
    <row r="265" spans="1:22">
      <c r="A265" s="1444" t="s">
        <v>17195</v>
      </c>
      <c r="B265" s="939">
        <v>437</v>
      </c>
      <c r="C265" s="937">
        <f t="shared" si="8"/>
        <v>3.2951945080091534</v>
      </c>
      <c r="D265" s="1448">
        <f t="shared" si="9"/>
        <v>437</v>
      </c>
      <c r="E265" s="938" t="s">
        <v>617</v>
      </c>
      <c r="F265" s="938" t="s">
        <v>17196</v>
      </c>
      <c r="G265" s="938">
        <v>700</v>
      </c>
      <c r="H265" s="316" t="s">
        <v>126</v>
      </c>
      <c r="I265" s="316">
        <v>3</v>
      </c>
      <c r="J265" s="939" t="s">
        <v>250</v>
      </c>
      <c r="K265" s="938" t="s">
        <v>1143</v>
      </c>
      <c r="L265" s="941">
        <v>5</v>
      </c>
      <c r="M265" s="942">
        <v>46121</v>
      </c>
      <c r="N265" s="943" t="s">
        <v>220</v>
      </c>
      <c r="O265" s="943" t="s">
        <v>618</v>
      </c>
      <c r="P265" s="943">
        <v>1.7350000000000001</v>
      </c>
      <c r="Q265" s="943" t="s">
        <v>17197</v>
      </c>
      <c r="R265" s="316">
        <v>18.5</v>
      </c>
      <c r="S265" s="1226" t="s">
        <v>16977</v>
      </c>
      <c r="T265" s="1156" t="s">
        <v>17019</v>
      </c>
      <c r="U265" s="1156" t="s">
        <v>16909</v>
      </c>
      <c r="V265" s="1156" t="s">
        <v>16879</v>
      </c>
    </row>
    <row r="266" spans="1:22">
      <c r="A266" s="1444" t="s">
        <v>17198</v>
      </c>
      <c r="B266" s="316">
        <v>505</v>
      </c>
      <c r="C266" s="937">
        <f t="shared" si="8"/>
        <v>2.8514851485148514</v>
      </c>
      <c r="D266" s="1447">
        <f t="shared" si="9"/>
        <v>505</v>
      </c>
      <c r="E266" s="945" t="s">
        <v>844</v>
      </c>
      <c r="F266" s="938" t="s">
        <v>17199</v>
      </c>
      <c r="G266" s="945">
        <v>600</v>
      </c>
      <c r="H266" s="316" t="s">
        <v>648</v>
      </c>
      <c r="J266" s="939" t="s">
        <v>250</v>
      </c>
      <c r="K266" s="938" t="s">
        <v>474</v>
      </c>
      <c r="L266" s="941">
        <v>5</v>
      </c>
      <c r="M266" s="942">
        <v>46125</v>
      </c>
      <c r="N266" s="943" t="s">
        <v>220</v>
      </c>
      <c r="O266" s="943" t="s">
        <v>16816</v>
      </c>
      <c r="P266" s="943">
        <v>1.76</v>
      </c>
      <c r="Q266" s="943">
        <v>1.95</v>
      </c>
      <c r="R266" s="316">
        <v>21</v>
      </c>
      <c r="S266" s="1226" t="s">
        <v>16931</v>
      </c>
      <c r="T266" s="1156" t="s">
        <v>16946</v>
      </c>
      <c r="U266" s="1156" t="s">
        <v>16966</v>
      </c>
      <c r="V266" s="1156" t="s">
        <v>17040</v>
      </c>
    </row>
    <row r="267" spans="1:22">
      <c r="A267" s="1444" t="s">
        <v>16725</v>
      </c>
      <c r="B267" s="316">
        <v>502</v>
      </c>
      <c r="C267" s="937">
        <f t="shared" si="8"/>
        <v>2.8685258964143427</v>
      </c>
      <c r="D267" s="1447">
        <f t="shared" si="9"/>
        <v>502</v>
      </c>
      <c r="E267" s="945" t="s">
        <v>4944</v>
      </c>
      <c r="F267" s="945" t="s">
        <v>16726</v>
      </c>
      <c r="G267" s="945">
        <v>600</v>
      </c>
      <c r="H267" s="316" t="s">
        <v>126</v>
      </c>
      <c r="I267" s="316">
        <v>3</v>
      </c>
      <c r="J267" s="939" t="s">
        <v>250</v>
      </c>
      <c r="K267" s="938" t="s">
        <v>889</v>
      </c>
      <c r="L267" s="941">
        <v>5</v>
      </c>
      <c r="M267" s="942">
        <v>46129</v>
      </c>
      <c r="N267" s="943" t="s">
        <v>221</v>
      </c>
      <c r="O267" s="943" t="s">
        <v>621</v>
      </c>
      <c r="P267" s="943">
        <v>1.72</v>
      </c>
      <c r="Q267" s="943">
        <v>1.59</v>
      </c>
      <c r="R267" s="316">
        <v>14.5</v>
      </c>
      <c r="S267" s="1226" t="s">
        <v>16977</v>
      </c>
      <c r="T267" s="1156" t="s">
        <v>17019</v>
      </c>
      <c r="U267" s="1156" t="s">
        <v>16903</v>
      </c>
      <c r="V267" s="1156" t="s">
        <v>16879</v>
      </c>
    </row>
    <row r="268" spans="1:22">
      <c r="A268" s="1444" t="s">
        <v>16724</v>
      </c>
      <c r="B268" s="939">
        <v>480</v>
      </c>
      <c r="C268" s="937">
        <f t="shared" si="8"/>
        <v>3</v>
      </c>
      <c r="D268" s="1448">
        <f t="shared" si="9"/>
        <v>480</v>
      </c>
      <c r="E268" s="938" t="s">
        <v>1842</v>
      </c>
      <c r="F268" s="945" t="s">
        <v>16727</v>
      </c>
      <c r="G268" s="938">
        <v>500</v>
      </c>
      <c r="H268" s="316" t="s">
        <v>126</v>
      </c>
      <c r="I268" s="944">
        <v>0.7</v>
      </c>
      <c r="J268" s="939" t="s">
        <v>250</v>
      </c>
      <c r="K268" s="938" t="s">
        <v>16728</v>
      </c>
      <c r="L268" s="941">
        <v>2</v>
      </c>
      <c r="M268" s="942">
        <v>46129</v>
      </c>
      <c r="N268" s="943" t="s">
        <v>16881</v>
      </c>
      <c r="O268" s="943" t="s">
        <v>16824</v>
      </c>
      <c r="P268" s="943">
        <v>1.68</v>
      </c>
      <c r="Q268" s="943">
        <v>1.78</v>
      </c>
      <c r="R268" s="316">
        <v>7.5</v>
      </c>
      <c r="S268" s="1226" t="s">
        <v>16913</v>
      </c>
      <c r="T268" s="1156" t="s">
        <v>16980</v>
      </c>
      <c r="U268" s="1156" t="s">
        <v>17200</v>
      </c>
      <c r="V268" s="1156" t="s">
        <v>16981</v>
      </c>
    </row>
    <row r="269" spans="1:22">
      <c r="A269" s="1444" t="s">
        <v>17201</v>
      </c>
      <c r="B269" s="316">
        <v>865</v>
      </c>
      <c r="C269" s="937">
        <f t="shared" si="8"/>
        <v>1.6647398843930636</v>
      </c>
      <c r="D269" s="1447">
        <f t="shared" si="9"/>
        <v>865</v>
      </c>
      <c r="E269" s="945" t="s">
        <v>2677</v>
      </c>
      <c r="F269" s="938" t="s">
        <v>16963</v>
      </c>
      <c r="G269" s="945">
        <v>550</v>
      </c>
      <c r="H269" s="939" t="s">
        <v>626</v>
      </c>
      <c r="I269" s="316">
        <v>1.1000000000000001</v>
      </c>
      <c r="J269" s="939" t="s">
        <v>250</v>
      </c>
      <c r="K269" s="938" t="s">
        <v>804</v>
      </c>
      <c r="L269" s="941">
        <v>4</v>
      </c>
      <c r="M269" s="942">
        <v>46129</v>
      </c>
      <c r="N269" s="943" t="s">
        <v>219</v>
      </c>
      <c r="O269" s="943" t="s">
        <v>16965</v>
      </c>
      <c r="P269" s="943">
        <v>1.68</v>
      </c>
      <c r="Q269" s="943">
        <v>1.66</v>
      </c>
      <c r="R269" s="316">
        <v>9</v>
      </c>
      <c r="S269" s="1226" t="s">
        <v>16966</v>
      </c>
      <c r="T269" s="1156" t="s">
        <v>16967</v>
      </c>
      <c r="U269" s="1156" t="s">
        <v>16944</v>
      </c>
      <c r="V269" s="1156" t="s">
        <v>16879</v>
      </c>
    </row>
    <row r="270" spans="1:22">
      <c r="A270" s="1444" t="s">
        <v>17202</v>
      </c>
      <c r="B270" s="316">
        <v>458</v>
      </c>
      <c r="C270" s="937">
        <f t="shared" si="8"/>
        <v>3.1441048034934496</v>
      </c>
      <c r="D270" s="1447">
        <f t="shared" si="9"/>
        <v>458</v>
      </c>
      <c r="E270" s="945" t="s">
        <v>210</v>
      </c>
      <c r="F270" s="938" t="s">
        <v>16732</v>
      </c>
      <c r="G270" s="945">
        <v>670</v>
      </c>
      <c r="H270" s="939" t="s">
        <v>126</v>
      </c>
      <c r="I270" s="316">
        <v>0.8</v>
      </c>
      <c r="J270" s="939" t="s">
        <v>250</v>
      </c>
      <c r="K270" s="938" t="s">
        <v>466</v>
      </c>
      <c r="L270" s="941">
        <v>5</v>
      </c>
      <c r="M270" s="942">
        <v>46133</v>
      </c>
      <c r="N270" s="943" t="s">
        <v>17203</v>
      </c>
      <c r="O270" s="943" t="s">
        <v>1376</v>
      </c>
      <c r="P270" s="943">
        <v>1.75</v>
      </c>
      <c r="Q270" s="943">
        <v>1.69</v>
      </c>
      <c r="R270" s="316">
        <v>11</v>
      </c>
      <c r="S270" s="1226" t="s">
        <v>17000</v>
      </c>
      <c r="T270" s="1156" t="s">
        <v>16903</v>
      </c>
      <c r="U270" s="1156" t="s">
        <v>17204</v>
      </c>
      <c r="V270" s="1156" t="s">
        <v>16879</v>
      </c>
    </row>
    <row r="271" spans="1:22">
      <c r="A271" s="1444" t="s">
        <v>16731</v>
      </c>
      <c r="B271" s="939">
        <v>478</v>
      </c>
      <c r="C271" s="937">
        <f t="shared" si="8"/>
        <v>3.01255230125523</v>
      </c>
      <c r="D271" s="1448">
        <f t="shared" si="9"/>
        <v>478</v>
      </c>
      <c r="E271" s="945" t="s">
        <v>210</v>
      </c>
      <c r="F271" s="938" t="s">
        <v>16732</v>
      </c>
      <c r="G271" s="938">
        <v>650</v>
      </c>
      <c r="H271" s="316" t="s">
        <v>648</v>
      </c>
      <c r="I271" s="944"/>
      <c r="J271" s="939" t="s">
        <v>250</v>
      </c>
      <c r="K271" s="938" t="s">
        <v>876</v>
      </c>
      <c r="L271" s="941">
        <v>5</v>
      </c>
      <c r="M271" s="942">
        <v>46133</v>
      </c>
      <c r="N271" s="943" t="s">
        <v>17078</v>
      </c>
      <c r="O271" s="943" t="s">
        <v>1376</v>
      </c>
      <c r="P271" s="943">
        <v>1.77</v>
      </c>
      <c r="Q271" s="943">
        <v>1.8</v>
      </c>
      <c r="R271" s="316">
        <v>16</v>
      </c>
      <c r="S271" s="1226" t="s">
        <v>16947</v>
      </c>
      <c r="T271" s="1156" t="s">
        <v>16987</v>
      </c>
      <c r="U271" s="1156" t="s">
        <v>17205</v>
      </c>
      <c r="V271" s="1156" t="s">
        <v>17040</v>
      </c>
    </row>
    <row r="272" spans="1:22">
      <c r="A272" s="1444" t="s">
        <v>17206</v>
      </c>
      <c r="B272" s="316">
        <v>471</v>
      </c>
      <c r="C272" s="937">
        <f t="shared" si="8"/>
        <v>3.0573248407643314</v>
      </c>
      <c r="D272" s="1447">
        <f t="shared" si="9"/>
        <v>471</v>
      </c>
      <c r="E272" s="945" t="s">
        <v>210</v>
      </c>
      <c r="F272" s="938" t="s">
        <v>16732</v>
      </c>
      <c r="G272" s="945">
        <v>650</v>
      </c>
      <c r="H272" s="939" t="s">
        <v>126</v>
      </c>
      <c r="I272" s="316">
        <v>1.9</v>
      </c>
      <c r="J272" s="939" t="s">
        <v>250</v>
      </c>
      <c r="K272" s="938" t="s">
        <v>621</v>
      </c>
      <c r="L272" s="941">
        <v>5</v>
      </c>
      <c r="M272" s="942">
        <v>46135</v>
      </c>
      <c r="N272" s="943" t="s">
        <v>17026</v>
      </c>
      <c r="O272" s="943" t="s">
        <v>1376</v>
      </c>
      <c r="P272" s="943">
        <v>1.76</v>
      </c>
      <c r="Q272" s="943" t="s">
        <v>17207</v>
      </c>
      <c r="R272" s="316">
        <v>18</v>
      </c>
      <c r="S272" s="1226" t="s">
        <v>16944</v>
      </c>
      <c r="T272" s="1156" t="s">
        <v>16942</v>
      </c>
      <c r="U272" s="1156" t="s">
        <v>16942</v>
      </c>
      <c r="V272" s="1156" t="s">
        <v>16879</v>
      </c>
    </row>
    <row r="273" spans="1:22">
      <c r="A273" s="1444" t="s">
        <v>16734</v>
      </c>
      <c r="B273" s="939">
        <v>441</v>
      </c>
      <c r="C273" s="937">
        <f t="shared" si="8"/>
        <v>3.2653061224489797</v>
      </c>
      <c r="D273" s="1447">
        <f t="shared" si="9"/>
        <v>441</v>
      </c>
      <c r="E273" s="938" t="s">
        <v>16738</v>
      </c>
      <c r="F273" s="938" t="s">
        <v>16739</v>
      </c>
      <c r="G273" s="938">
        <v>700</v>
      </c>
      <c r="H273" s="316" t="s">
        <v>460</v>
      </c>
      <c r="I273" s="944">
        <v>2.2999999999999998</v>
      </c>
      <c r="J273" s="939" t="s">
        <v>250</v>
      </c>
      <c r="K273" s="938" t="s">
        <v>16091</v>
      </c>
      <c r="L273" s="941">
        <v>5</v>
      </c>
      <c r="M273" s="942">
        <v>46136</v>
      </c>
      <c r="N273" s="943" t="s">
        <v>224</v>
      </c>
      <c r="O273" s="943" t="s">
        <v>16811</v>
      </c>
      <c r="P273" s="943">
        <v>1.75</v>
      </c>
      <c r="Q273" s="943">
        <v>1.73</v>
      </c>
      <c r="R273" s="316">
        <v>27</v>
      </c>
      <c r="S273" s="1226" t="s">
        <v>17035</v>
      </c>
      <c r="T273" s="1156" t="s">
        <v>16987</v>
      </c>
      <c r="U273" s="1156" t="s">
        <v>17150</v>
      </c>
      <c r="V273" s="1156" t="s">
        <v>16879</v>
      </c>
    </row>
    <row r="274" spans="1:22">
      <c r="A274" s="1444" t="s">
        <v>16744</v>
      </c>
      <c r="B274" s="316">
        <v>443</v>
      </c>
      <c r="C274" s="937">
        <f t="shared" si="8"/>
        <v>3.2505643340857788</v>
      </c>
      <c r="D274" s="1448">
        <f t="shared" si="9"/>
        <v>443</v>
      </c>
      <c r="E274" s="945" t="s">
        <v>16738</v>
      </c>
      <c r="F274" s="938" t="s">
        <v>16739</v>
      </c>
      <c r="G274" s="945">
        <v>700</v>
      </c>
      <c r="H274" s="316" t="s">
        <v>460</v>
      </c>
      <c r="I274" s="316">
        <v>2.1</v>
      </c>
      <c r="J274" s="939" t="s">
        <v>250</v>
      </c>
      <c r="K274" s="938" t="s">
        <v>724</v>
      </c>
      <c r="L274" s="941">
        <v>5</v>
      </c>
      <c r="M274" s="942">
        <v>46141</v>
      </c>
      <c r="N274" s="943" t="s">
        <v>17208</v>
      </c>
      <c r="O274" s="943" t="s">
        <v>16811</v>
      </c>
      <c r="P274" s="943">
        <v>1.7549999999999999</v>
      </c>
      <c r="Q274" s="943">
        <v>1.92</v>
      </c>
      <c r="R274" s="316">
        <v>27</v>
      </c>
      <c r="S274" s="1226" t="s">
        <v>17035</v>
      </c>
      <c r="T274" s="1156" t="s">
        <v>16987</v>
      </c>
      <c r="U274" s="1156" t="s">
        <v>16878</v>
      </c>
      <c r="V274" s="1156" t="s">
        <v>16879</v>
      </c>
    </row>
    <row r="275" spans="1:22">
      <c r="A275" s="1444" t="s">
        <v>16745</v>
      </c>
      <c r="B275" s="939">
        <v>585</v>
      </c>
      <c r="C275" s="937">
        <f t="shared" si="8"/>
        <v>2.4615384615384617</v>
      </c>
      <c r="D275" s="1448">
        <f t="shared" si="9"/>
        <v>585</v>
      </c>
      <c r="E275" s="938" t="s">
        <v>1463</v>
      </c>
      <c r="F275" s="938" t="s">
        <v>16199</v>
      </c>
      <c r="G275" s="938">
        <v>630</v>
      </c>
      <c r="H275" s="316" t="s">
        <v>942</v>
      </c>
      <c r="I275" s="940">
        <v>1.1000000000000001</v>
      </c>
      <c r="J275" s="939" t="s">
        <v>250</v>
      </c>
      <c r="K275" s="938" t="s">
        <v>622</v>
      </c>
      <c r="L275" s="941">
        <v>2</v>
      </c>
      <c r="M275" s="942">
        <v>46141</v>
      </c>
      <c r="N275" s="943" t="s">
        <v>219</v>
      </c>
      <c r="O275" s="943" t="s">
        <v>17209</v>
      </c>
      <c r="P275" s="943">
        <v>1.65</v>
      </c>
      <c r="Q275" s="943">
        <v>2.1</v>
      </c>
      <c r="R275" s="316">
        <v>8.5</v>
      </c>
      <c r="S275" s="1226" t="s">
        <v>16882</v>
      </c>
      <c r="T275" s="1156" t="s">
        <v>17101</v>
      </c>
      <c r="U275" s="1156" t="s">
        <v>17119</v>
      </c>
      <c r="V275" s="1156" t="s">
        <v>16981</v>
      </c>
    </row>
    <row r="276" spans="1:22">
      <c r="A276" s="1444" t="s">
        <v>16747</v>
      </c>
      <c r="B276" s="939">
        <v>471</v>
      </c>
      <c r="C276" s="937">
        <f t="shared" si="8"/>
        <v>3.0573248407643314</v>
      </c>
      <c r="D276" s="1448">
        <f t="shared" si="9"/>
        <v>471</v>
      </c>
      <c r="E276" s="938" t="s">
        <v>210</v>
      </c>
      <c r="F276" s="938" t="s">
        <v>16749</v>
      </c>
      <c r="G276" s="938">
        <v>650</v>
      </c>
      <c r="H276" s="316" t="s">
        <v>126</v>
      </c>
      <c r="I276" s="316">
        <v>1.9</v>
      </c>
      <c r="J276" s="939" t="s">
        <v>250</v>
      </c>
      <c r="K276" s="938" t="s">
        <v>3213</v>
      </c>
      <c r="L276" s="941">
        <v>5</v>
      </c>
      <c r="M276" s="942">
        <v>46141</v>
      </c>
      <c r="N276" s="943" t="s">
        <v>17026</v>
      </c>
      <c r="O276" s="943" t="s">
        <v>619</v>
      </c>
      <c r="P276" s="943">
        <v>1.76</v>
      </c>
      <c r="Q276" s="943" t="s">
        <v>17207</v>
      </c>
      <c r="R276" s="316">
        <v>18</v>
      </c>
      <c r="S276" s="1226" t="s">
        <v>16944</v>
      </c>
      <c r="T276" s="1156" t="s">
        <v>16942</v>
      </c>
      <c r="U276" s="1156" t="s">
        <v>17210</v>
      </c>
      <c r="V276" s="1156" t="s">
        <v>16879</v>
      </c>
    </row>
    <row r="277" spans="1:22">
      <c r="A277" s="1444" t="s">
        <v>16751</v>
      </c>
      <c r="B277" s="316">
        <v>208</v>
      </c>
      <c r="C277" s="937">
        <f t="shared" si="8"/>
        <v>6.9230769230769234</v>
      </c>
      <c r="D277" s="1447">
        <f t="shared" si="9"/>
        <v>208</v>
      </c>
      <c r="E277" s="945" t="s">
        <v>836</v>
      </c>
      <c r="F277" s="938" t="s">
        <v>16752</v>
      </c>
      <c r="G277" s="945">
        <v>600</v>
      </c>
      <c r="H277" s="316" t="s">
        <v>643</v>
      </c>
      <c r="I277" s="316">
        <v>1.6</v>
      </c>
      <c r="J277" s="939" t="s">
        <v>250</v>
      </c>
      <c r="K277" s="938" t="s">
        <v>456</v>
      </c>
      <c r="L277" s="941">
        <v>4</v>
      </c>
      <c r="M277" s="942">
        <v>46142</v>
      </c>
      <c r="N277" s="943" t="s">
        <v>230</v>
      </c>
      <c r="O277" s="943" t="s">
        <v>1376</v>
      </c>
      <c r="P277" s="943">
        <v>1.78</v>
      </c>
      <c r="Q277" s="943">
        <v>1.68</v>
      </c>
      <c r="R277" s="316">
        <v>35</v>
      </c>
      <c r="S277" s="1226" t="s">
        <v>17056</v>
      </c>
      <c r="T277" s="1156" t="s">
        <v>17022</v>
      </c>
      <c r="U277" s="1156" t="s">
        <v>17019</v>
      </c>
      <c r="V277" s="1156" t="s">
        <v>16879</v>
      </c>
    </row>
    <row r="278" spans="1:22">
      <c r="A278" s="1444" t="s">
        <v>16746</v>
      </c>
      <c r="B278" s="316">
        <v>441</v>
      </c>
      <c r="C278" s="937">
        <f t="shared" si="8"/>
        <v>3.2653061224489797</v>
      </c>
      <c r="D278" s="1447">
        <f t="shared" si="9"/>
        <v>441</v>
      </c>
      <c r="E278" s="945" t="s">
        <v>16738</v>
      </c>
      <c r="F278" s="938" t="s">
        <v>16753</v>
      </c>
      <c r="G278" s="945">
        <v>700</v>
      </c>
      <c r="H278" s="316" t="s">
        <v>460</v>
      </c>
      <c r="I278" s="316">
        <v>2.2999999999999998</v>
      </c>
      <c r="J278" s="939" t="s">
        <v>250</v>
      </c>
      <c r="K278" s="938" t="s">
        <v>1143</v>
      </c>
      <c r="L278" s="941">
        <v>5</v>
      </c>
      <c r="M278" s="942">
        <v>46142</v>
      </c>
      <c r="N278" s="943" t="s">
        <v>17008</v>
      </c>
      <c r="O278" s="943" t="s">
        <v>1143</v>
      </c>
      <c r="P278" s="943">
        <v>1.75</v>
      </c>
      <c r="Q278" s="943">
        <v>1.75</v>
      </c>
      <c r="R278" s="316">
        <v>32</v>
      </c>
      <c r="S278" s="1226" t="s">
        <v>16913</v>
      </c>
      <c r="T278" s="1156" t="s">
        <v>16987</v>
      </c>
      <c r="U278" s="1156" t="s">
        <v>17205</v>
      </c>
      <c r="V278" s="1156" t="s">
        <v>16879</v>
      </c>
    </row>
    <row r="279" spans="1:22">
      <c r="A279" s="1444" t="s">
        <v>16763</v>
      </c>
      <c r="B279" s="316">
        <v>502</v>
      </c>
      <c r="C279" s="937">
        <f t="shared" si="8"/>
        <v>2.8685258964143427</v>
      </c>
      <c r="D279" s="1447">
        <f t="shared" si="9"/>
        <v>502</v>
      </c>
      <c r="E279" s="945" t="s">
        <v>617</v>
      </c>
      <c r="F279" s="938" t="s">
        <v>16726</v>
      </c>
      <c r="G279" s="945">
        <v>600</v>
      </c>
      <c r="H279" s="316" t="s">
        <v>126</v>
      </c>
      <c r="I279" s="316">
        <v>3</v>
      </c>
      <c r="J279" s="939" t="s">
        <v>250</v>
      </c>
      <c r="K279" s="938" t="s">
        <v>474</v>
      </c>
      <c r="L279" s="941">
        <v>5</v>
      </c>
      <c r="M279" s="942">
        <v>46148</v>
      </c>
      <c r="N279" s="943" t="s">
        <v>221</v>
      </c>
      <c r="O279" s="943" t="s">
        <v>621</v>
      </c>
      <c r="P279" s="943">
        <v>1.72</v>
      </c>
      <c r="Q279" s="943" t="s">
        <v>17211</v>
      </c>
      <c r="R279" s="316">
        <v>12.5</v>
      </c>
      <c r="S279" s="1226" t="s">
        <v>16977</v>
      </c>
      <c r="T279" s="1156" t="s">
        <v>17019</v>
      </c>
      <c r="U279" s="1156" t="s">
        <v>16878</v>
      </c>
      <c r="V279" s="1156" t="s">
        <v>16879</v>
      </c>
    </row>
    <row r="280" spans="1:22">
      <c r="A280" s="1444" t="s">
        <v>16764</v>
      </c>
      <c r="B280" s="939">
        <v>508</v>
      </c>
      <c r="C280" s="937">
        <f t="shared" si="8"/>
        <v>2.8346456692913384</v>
      </c>
      <c r="D280" s="1448">
        <f t="shared" si="9"/>
        <v>508</v>
      </c>
      <c r="E280" s="938" t="s">
        <v>15040</v>
      </c>
      <c r="F280" s="938" t="s">
        <v>16773</v>
      </c>
      <c r="G280" s="938">
        <v>600</v>
      </c>
      <c r="H280" s="316" t="s">
        <v>126</v>
      </c>
      <c r="I280" s="316">
        <v>3.2</v>
      </c>
      <c r="J280" s="939" t="s">
        <v>251</v>
      </c>
      <c r="K280" s="938" t="s">
        <v>646</v>
      </c>
      <c r="L280" s="941">
        <v>5</v>
      </c>
      <c r="M280" s="942">
        <v>46149</v>
      </c>
      <c r="N280" s="943" t="s">
        <v>17010</v>
      </c>
      <c r="O280" s="943" t="s">
        <v>1376</v>
      </c>
      <c r="P280" s="943">
        <v>1.73</v>
      </c>
      <c r="Q280" s="943">
        <v>1.86</v>
      </c>
      <c r="R280" s="316">
        <v>15</v>
      </c>
      <c r="S280" s="1226" t="s">
        <v>17067</v>
      </c>
      <c r="T280" s="1156" t="s">
        <v>17075</v>
      </c>
      <c r="U280" s="1156" t="s">
        <v>17030</v>
      </c>
      <c r="V280" s="1156" t="s">
        <v>16879</v>
      </c>
    </row>
    <row r="281" spans="1:22">
      <c r="A281" s="1444" t="s">
        <v>16776</v>
      </c>
      <c r="B281" s="316">
        <v>710</v>
      </c>
      <c r="C281" s="937">
        <f t="shared" si="8"/>
        <v>2.028169014084507</v>
      </c>
      <c r="D281" s="1447">
        <f t="shared" si="9"/>
        <v>710</v>
      </c>
      <c r="E281" s="945" t="s">
        <v>4330</v>
      </c>
      <c r="F281" s="938" t="s">
        <v>16779</v>
      </c>
      <c r="G281" s="945">
        <v>500</v>
      </c>
      <c r="H281" s="316" t="s">
        <v>126</v>
      </c>
      <c r="I281" s="316">
        <v>0.9</v>
      </c>
      <c r="J281" s="939" t="s">
        <v>251</v>
      </c>
      <c r="K281" s="938" t="s">
        <v>994</v>
      </c>
      <c r="L281" s="941">
        <v>4</v>
      </c>
      <c r="M281" s="942">
        <v>46153</v>
      </c>
      <c r="N281" s="943" t="s">
        <v>17212</v>
      </c>
      <c r="O281" s="943" t="s">
        <v>17108</v>
      </c>
      <c r="P281" s="943">
        <v>1.8</v>
      </c>
      <c r="Q281" s="943">
        <v>2.12</v>
      </c>
      <c r="R281" s="316">
        <v>6</v>
      </c>
      <c r="S281" s="1226" t="s">
        <v>17056</v>
      </c>
      <c r="T281" s="1156" t="s">
        <v>16878</v>
      </c>
      <c r="U281" s="1156" t="s">
        <v>17000</v>
      </c>
      <c r="V281" s="1156" t="s">
        <v>17040</v>
      </c>
    </row>
    <row r="282" spans="1:22">
      <c r="A282" s="1444" t="s">
        <v>16777</v>
      </c>
      <c r="B282" s="316">
        <v>517</v>
      </c>
      <c r="C282" s="937">
        <f t="shared" si="8"/>
        <v>2.7852998065764023</v>
      </c>
      <c r="D282" s="1448">
        <f t="shared" si="9"/>
        <v>517</v>
      </c>
      <c r="E282" s="945" t="s">
        <v>16105</v>
      </c>
      <c r="F282" s="938" t="s">
        <v>16780</v>
      </c>
      <c r="G282" s="945">
        <v>600</v>
      </c>
      <c r="H282" s="316" t="s">
        <v>126</v>
      </c>
      <c r="I282" s="316">
        <v>1.3</v>
      </c>
      <c r="J282" s="939" t="s">
        <v>251</v>
      </c>
      <c r="K282" s="938" t="s">
        <v>485</v>
      </c>
      <c r="L282" s="941">
        <v>5</v>
      </c>
      <c r="M282" s="942">
        <v>46153</v>
      </c>
      <c r="N282" s="943" t="s">
        <v>17213</v>
      </c>
      <c r="O282" s="943" t="s">
        <v>16976</v>
      </c>
      <c r="P282" s="943">
        <v>1.75</v>
      </c>
      <c r="Q282" s="943">
        <v>1.6</v>
      </c>
      <c r="R282" s="316">
        <v>7</v>
      </c>
      <c r="S282" s="1226" t="s">
        <v>16913</v>
      </c>
      <c r="T282" s="1156" t="s">
        <v>17019</v>
      </c>
      <c r="U282" s="1156" t="s">
        <v>16903</v>
      </c>
      <c r="V282" s="1156" t="s">
        <v>17040</v>
      </c>
    </row>
    <row r="283" spans="1:22">
      <c r="A283" s="1444" t="s">
        <v>16787</v>
      </c>
      <c r="B283" s="1449">
        <v>0.16388888888888889</v>
      </c>
      <c r="C283" s="937">
        <f t="shared" si="8"/>
        <v>6.101694915254237</v>
      </c>
      <c r="D283" s="1448">
        <f t="shared" si="9"/>
        <v>236</v>
      </c>
      <c r="E283" s="945" t="s">
        <v>15018</v>
      </c>
      <c r="F283" s="938" t="s">
        <v>17214</v>
      </c>
      <c r="G283" s="945">
        <v>650</v>
      </c>
      <c r="H283" s="316" t="s">
        <v>278</v>
      </c>
      <c r="I283" s="316">
        <v>1</v>
      </c>
      <c r="J283" s="939" t="s">
        <v>250</v>
      </c>
      <c r="K283" s="938" t="s">
        <v>726</v>
      </c>
      <c r="L283" s="941">
        <v>5</v>
      </c>
      <c r="M283" s="942">
        <v>46164</v>
      </c>
      <c r="N283" s="943" t="s">
        <v>908</v>
      </c>
      <c r="O283" s="943" t="s">
        <v>619</v>
      </c>
      <c r="P283" s="943">
        <v>1.76</v>
      </c>
      <c r="Q283" s="943">
        <v>2</v>
      </c>
      <c r="R283" s="316">
        <v>0.7</v>
      </c>
    </row>
    <row r="284" spans="1:22">
      <c r="A284" s="1444" t="s">
        <v>16790</v>
      </c>
      <c r="B284" s="316">
        <v>817</v>
      </c>
      <c r="C284" s="937">
        <f t="shared" si="8"/>
        <v>1.7625458996328029</v>
      </c>
      <c r="D284" s="1447">
        <f t="shared" si="9"/>
        <v>817</v>
      </c>
      <c r="E284" s="945" t="s">
        <v>16031</v>
      </c>
      <c r="F284" s="945" t="s">
        <v>17215</v>
      </c>
      <c r="G284" s="945">
        <v>600</v>
      </c>
      <c r="H284" s="316" t="s">
        <v>158</v>
      </c>
      <c r="I284" s="316">
        <v>0.7</v>
      </c>
      <c r="J284" s="939" t="s">
        <v>251</v>
      </c>
      <c r="K284" s="938" t="s">
        <v>17216</v>
      </c>
      <c r="L284" s="941">
        <v>4</v>
      </c>
      <c r="M284" s="942">
        <v>46167</v>
      </c>
      <c r="N284" s="943" t="s">
        <v>457</v>
      </c>
      <c r="O284" s="943" t="s">
        <v>16806</v>
      </c>
      <c r="P284" s="943">
        <v>1.6850000000000001</v>
      </c>
      <c r="Q284" s="943">
        <v>1.96</v>
      </c>
      <c r="R284" s="316">
        <v>10</v>
      </c>
      <c r="S284" s="1226" t="s">
        <v>16027</v>
      </c>
      <c r="T284" s="1156" t="s">
        <v>15585</v>
      </c>
      <c r="U284" s="1156" t="s">
        <v>16030</v>
      </c>
      <c r="V284" s="1156" t="s">
        <v>15584</v>
      </c>
    </row>
    <row r="285" spans="1:22">
      <c r="A285" s="1444" t="s">
        <v>16791</v>
      </c>
      <c r="B285" s="1449">
        <v>0.31666666666666665</v>
      </c>
      <c r="C285" s="937">
        <f t="shared" si="8"/>
        <v>3.1578947368421053</v>
      </c>
      <c r="D285" s="1447">
        <f t="shared" si="9"/>
        <v>456</v>
      </c>
      <c r="E285" s="945" t="s">
        <v>17217</v>
      </c>
      <c r="F285" s="938" t="s">
        <v>17218</v>
      </c>
      <c r="G285" s="945">
        <v>550</v>
      </c>
      <c r="H285" s="316" t="s">
        <v>158</v>
      </c>
      <c r="I285" s="316">
        <v>1.7</v>
      </c>
      <c r="J285" s="939" t="s">
        <v>250</v>
      </c>
      <c r="K285" s="938" t="s">
        <v>618</v>
      </c>
      <c r="L285" s="941">
        <v>4</v>
      </c>
      <c r="M285" s="942">
        <v>46169</v>
      </c>
      <c r="N285" s="943" t="s">
        <v>867</v>
      </c>
      <c r="O285" s="943" t="s">
        <v>17219</v>
      </c>
      <c r="P285" s="943">
        <v>1.7250000000000001</v>
      </c>
      <c r="Q285" s="943">
        <v>1.74</v>
      </c>
      <c r="R285" s="316">
        <v>0.5</v>
      </c>
    </row>
    <row r="286" spans="1:22">
      <c r="A286" s="1444"/>
      <c r="C286" s="937" t="str">
        <f t="shared" si="8"/>
        <v/>
      </c>
      <c r="D286" s="1447" t="str">
        <f t="shared" si="9"/>
        <v/>
      </c>
      <c r="J286" s="939"/>
      <c r="K286" s="938"/>
      <c r="L286" s="941"/>
      <c r="M286" s="942"/>
      <c r="N286" s="943"/>
      <c r="O286" s="943"/>
      <c r="P286" s="943"/>
      <c r="Q286" s="943"/>
    </row>
    <row r="287" spans="1:22">
      <c r="A287" s="1444"/>
      <c r="C287" s="937" t="str">
        <f t="shared" si="8"/>
        <v/>
      </c>
      <c r="D287" s="1447" t="str">
        <f t="shared" si="9"/>
        <v/>
      </c>
      <c r="F287" s="938"/>
      <c r="J287" s="939"/>
      <c r="K287" s="938"/>
      <c r="L287" s="941"/>
      <c r="M287" s="942"/>
      <c r="N287" s="943"/>
      <c r="O287" s="943"/>
      <c r="P287" s="943"/>
      <c r="Q287" s="943"/>
    </row>
    <row r="288" spans="1:22">
      <c r="A288" s="1444"/>
      <c r="B288" s="939"/>
      <c r="C288" s="937" t="str">
        <f t="shared" si="8"/>
        <v/>
      </c>
      <c r="D288" s="1448" t="str">
        <f t="shared" si="9"/>
        <v/>
      </c>
      <c r="E288" s="938"/>
      <c r="F288" s="938"/>
      <c r="G288" s="938"/>
      <c r="I288" s="944"/>
      <c r="J288" s="939"/>
      <c r="K288" s="938"/>
      <c r="L288" s="941"/>
      <c r="M288" s="942"/>
      <c r="N288" s="943"/>
      <c r="O288" s="943"/>
      <c r="P288" s="943"/>
      <c r="Q288" s="943"/>
    </row>
    <row r="289" spans="1:17">
      <c r="A289" s="1444"/>
      <c r="C289" s="937" t="str">
        <f t="shared" si="8"/>
        <v/>
      </c>
      <c r="D289" s="1447" t="str">
        <f t="shared" si="9"/>
        <v/>
      </c>
      <c r="J289" s="939"/>
      <c r="K289" s="938"/>
      <c r="L289" s="941"/>
      <c r="M289" s="942"/>
      <c r="N289" s="943"/>
      <c r="O289" s="943"/>
      <c r="P289" s="943"/>
      <c r="Q289" s="943"/>
    </row>
    <row r="290" spans="1:17">
      <c r="A290" s="1444"/>
      <c r="C290" s="937" t="str">
        <f t="shared" si="8"/>
        <v/>
      </c>
      <c r="D290" s="1447" t="str">
        <f t="shared" si="9"/>
        <v/>
      </c>
      <c r="H290" s="939"/>
      <c r="J290" s="939"/>
      <c r="K290" s="938"/>
      <c r="L290" s="941"/>
      <c r="M290" s="942"/>
      <c r="N290" s="943"/>
      <c r="O290" s="943"/>
      <c r="P290" s="943"/>
      <c r="Q290" s="943"/>
    </row>
    <row r="291" spans="1:17">
      <c r="A291" s="1444"/>
      <c r="C291" s="937" t="str">
        <f t="shared" si="8"/>
        <v/>
      </c>
      <c r="D291" s="1447" t="str">
        <f t="shared" si="9"/>
        <v/>
      </c>
      <c r="E291" s="938"/>
      <c r="F291" s="938"/>
      <c r="G291" s="938"/>
      <c r="H291" s="939"/>
      <c r="I291" s="939"/>
      <c r="J291" s="939"/>
      <c r="K291" s="938"/>
      <c r="L291" s="941"/>
      <c r="M291" s="942"/>
      <c r="N291" s="943"/>
      <c r="O291" s="943"/>
      <c r="P291" s="943"/>
      <c r="Q291" s="943"/>
    </row>
    <row r="292" spans="1:17">
      <c r="A292" s="1444"/>
      <c r="B292" s="939"/>
      <c r="C292" s="937" t="str">
        <f t="shared" si="8"/>
        <v/>
      </c>
      <c r="D292" s="1448" t="str">
        <f t="shared" si="9"/>
        <v/>
      </c>
      <c r="E292" s="938"/>
      <c r="F292" s="938"/>
      <c r="G292" s="938"/>
      <c r="I292" s="944"/>
      <c r="J292" s="939"/>
      <c r="K292" s="938"/>
      <c r="L292" s="941"/>
      <c r="M292" s="942"/>
      <c r="N292" s="943"/>
      <c r="O292" s="943"/>
      <c r="P292" s="943"/>
      <c r="Q292" s="943"/>
    </row>
    <row r="293" spans="1:17">
      <c r="A293" s="1444"/>
      <c r="B293" s="939"/>
      <c r="C293" s="937" t="str">
        <f t="shared" si="8"/>
        <v/>
      </c>
      <c r="D293" s="1448" t="str">
        <f t="shared" si="9"/>
        <v/>
      </c>
      <c r="E293" s="938"/>
      <c r="F293" s="938"/>
      <c r="G293" s="938"/>
      <c r="I293" s="940"/>
      <c r="J293" s="939"/>
      <c r="K293" s="938"/>
      <c r="L293" s="941"/>
      <c r="M293" s="942"/>
      <c r="N293" s="943"/>
      <c r="O293" s="943"/>
      <c r="P293" s="943"/>
      <c r="Q293" s="943"/>
    </row>
    <row r="294" spans="1:17">
      <c r="A294" s="1444"/>
      <c r="B294" s="939"/>
      <c r="C294" s="937" t="str">
        <f t="shared" si="8"/>
        <v/>
      </c>
      <c r="D294" s="1448" t="str">
        <f t="shared" si="9"/>
        <v/>
      </c>
      <c r="E294" s="938"/>
      <c r="F294" s="938"/>
      <c r="G294" s="938"/>
      <c r="I294" s="944"/>
      <c r="J294" s="939"/>
      <c r="K294" s="938"/>
      <c r="L294" s="941"/>
      <c r="M294" s="942"/>
      <c r="N294" s="943"/>
      <c r="O294" s="943"/>
      <c r="P294" s="943"/>
      <c r="Q294" s="943"/>
    </row>
    <row r="295" spans="1:17">
      <c r="A295" s="1444"/>
      <c r="C295" s="937" t="str">
        <f t="shared" si="8"/>
        <v/>
      </c>
      <c r="D295" s="1447" t="str">
        <f t="shared" si="9"/>
        <v/>
      </c>
      <c r="F295" s="938"/>
      <c r="J295" s="939"/>
      <c r="K295" s="938"/>
      <c r="L295" s="941"/>
      <c r="M295" s="942"/>
      <c r="N295" s="943"/>
      <c r="O295" s="943"/>
      <c r="P295" s="943"/>
      <c r="Q295" s="943"/>
    </row>
    <row r="296" spans="1:17">
      <c r="A296" s="1444"/>
      <c r="B296" s="939"/>
      <c r="C296" s="937" t="str">
        <f t="shared" si="8"/>
        <v/>
      </c>
      <c r="D296" s="1448" t="str">
        <f t="shared" si="9"/>
        <v/>
      </c>
      <c r="E296" s="938"/>
      <c r="F296" s="938"/>
      <c r="G296" s="938"/>
      <c r="I296" s="944"/>
      <c r="J296" s="939"/>
      <c r="K296" s="938"/>
      <c r="L296" s="941"/>
      <c r="M296" s="942"/>
      <c r="N296" s="943"/>
      <c r="O296" s="943"/>
      <c r="P296" s="943"/>
      <c r="Q296" s="943"/>
    </row>
    <row r="297" spans="1:17">
      <c r="A297" s="1444"/>
      <c r="B297" s="939"/>
      <c r="C297" s="937" t="str">
        <f t="shared" si="8"/>
        <v/>
      </c>
      <c r="D297" s="1448" t="str">
        <f t="shared" si="9"/>
        <v/>
      </c>
      <c r="E297" s="938"/>
      <c r="F297" s="938"/>
      <c r="G297" s="938"/>
      <c r="J297" s="939"/>
      <c r="K297" s="938"/>
      <c r="L297" s="941"/>
      <c r="M297" s="942"/>
      <c r="N297" s="943"/>
      <c r="O297" s="943"/>
      <c r="P297" s="943"/>
      <c r="Q297" s="943"/>
    </row>
    <row r="298" spans="1:17">
      <c r="A298" s="1444"/>
      <c r="B298" s="939"/>
      <c r="C298" s="937" t="str">
        <f t="shared" si="8"/>
        <v/>
      </c>
      <c r="D298" s="1448" t="str">
        <f t="shared" si="9"/>
        <v/>
      </c>
      <c r="E298" s="938"/>
      <c r="F298" s="938"/>
      <c r="G298" s="938"/>
      <c r="I298" s="944"/>
      <c r="J298" s="939"/>
      <c r="K298" s="938"/>
      <c r="L298" s="941"/>
      <c r="M298" s="942"/>
      <c r="N298" s="943"/>
      <c r="O298" s="943"/>
      <c r="P298" s="943"/>
      <c r="Q298" s="943"/>
    </row>
    <row r="299" spans="1:17">
      <c r="A299" s="1444"/>
      <c r="C299" s="937" t="str">
        <f t="shared" si="8"/>
        <v/>
      </c>
      <c r="D299" s="1447" t="str">
        <f t="shared" si="9"/>
        <v/>
      </c>
      <c r="J299" s="939"/>
      <c r="K299" s="938"/>
      <c r="L299" s="941"/>
      <c r="M299" s="942"/>
      <c r="N299" s="943"/>
      <c r="O299" s="943"/>
      <c r="P299" s="943"/>
      <c r="Q299" s="943"/>
    </row>
    <row r="300" spans="1:17">
      <c r="A300" s="1444"/>
      <c r="B300" s="939"/>
      <c r="C300" s="937" t="str">
        <f t="shared" si="8"/>
        <v/>
      </c>
      <c r="D300" s="1448" t="str">
        <f t="shared" si="9"/>
        <v/>
      </c>
      <c r="E300" s="938"/>
      <c r="F300" s="938"/>
      <c r="G300" s="938"/>
      <c r="J300" s="939"/>
      <c r="K300" s="938"/>
      <c r="L300" s="941"/>
      <c r="M300" s="942"/>
      <c r="N300" s="943"/>
      <c r="O300" s="943"/>
      <c r="P300" s="943"/>
      <c r="Q300" s="943"/>
    </row>
    <row r="301" spans="1:17">
      <c r="A301" s="1444"/>
      <c r="C301" s="937" t="str">
        <f t="shared" si="8"/>
        <v/>
      </c>
      <c r="D301" s="1447" t="str">
        <f t="shared" si="9"/>
        <v/>
      </c>
      <c r="J301" s="939"/>
      <c r="K301" s="938"/>
      <c r="L301" s="941"/>
      <c r="M301" s="942"/>
      <c r="N301" s="943"/>
      <c r="O301" s="943"/>
      <c r="P301" s="943"/>
      <c r="Q301" s="943"/>
    </row>
    <row r="302" spans="1:17">
      <c r="A302" s="1444"/>
      <c r="B302" s="939"/>
      <c r="C302" s="937" t="str">
        <f t="shared" si="8"/>
        <v/>
      </c>
      <c r="D302" s="1448" t="str">
        <f t="shared" si="9"/>
        <v/>
      </c>
      <c r="E302" s="938"/>
      <c r="F302" s="938"/>
      <c r="G302" s="938"/>
      <c r="J302" s="939"/>
      <c r="K302" s="938"/>
      <c r="L302" s="941"/>
      <c r="M302" s="942"/>
      <c r="N302" s="943"/>
      <c r="O302" s="943"/>
      <c r="P302" s="943"/>
      <c r="Q302" s="943"/>
    </row>
    <row r="303" spans="1:17">
      <c r="A303" s="1444"/>
      <c r="C303" s="937" t="str">
        <f t="shared" si="8"/>
        <v/>
      </c>
      <c r="D303" s="1447" t="str">
        <f t="shared" si="9"/>
        <v/>
      </c>
      <c r="F303" s="938"/>
      <c r="J303" s="939"/>
      <c r="K303" s="938"/>
      <c r="L303" s="941"/>
      <c r="M303" s="942"/>
      <c r="N303" s="943"/>
      <c r="O303" s="943"/>
      <c r="P303" s="943"/>
      <c r="Q303" s="943"/>
    </row>
    <row r="304" spans="1:17">
      <c r="A304" s="1444"/>
      <c r="B304" s="939"/>
      <c r="C304" s="937" t="str">
        <f t="shared" si="8"/>
        <v/>
      </c>
      <c r="D304" s="1448" t="str">
        <f t="shared" si="9"/>
        <v/>
      </c>
      <c r="E304" s="938"/>
      <c r="F304" s="938"/>
      <c r="G304" s="938"/>
      <c r="J304" s="939"/>
      <c r="K304" s="938"/>
      <c r="L304" s="941"/>
      <c r="M304" s="942"/>
      <c r="N304" s="943"/>
      <c r="O304" s="943"/>
      <c r="P304" s="943"/>
      <c r="Q304" s="943"/>
    </row>
    <row r="305" spans="1:17">
      <c r="A305" s="1444"/>
      <c r="B305" s="939"/>
      <c r="C305" s="937" t="str">
        <f t="shared" si="8"/>
        <v/>
      </c>
      <c r="D305" s="1448" t="str">
        <f t="shared" si="9"/>
        <v/>
      </c>
      <c r="E305" s="938"/>
      <c r="F305" s="938"/>
      <c r="G305" s="938"/>
      <c r="J305" s="939"/>
      <c r="K305" s="938"/>
      <c r="L305" s="941"/>
      <c r="M305" s="942"/>
      <c r="N305" s="943"/>
      <c r="O305" s="943"/>
      <c r="P305" s="943"/>
      <c r="Q305" s="943"/>
    </row>
    <row r="306" spans="1:17">
      <c r="A306" s="1444"/>
      <c r="C306" s="937" t="str">
        <f t="shared" si="8"/>
        <v/>
      </c>
      <c r="D306" s="1447" t="str">
        <f t="shared" si="9"/>
        <v/>
      </c>
      <c r="J306" s="939"/>
      <c r="K306" s="938"/>
      <c r="L306" s="941"/>
      <c r="M306" s="942"/>
      <c r="N306" s="943"/>
      <c r="O306" s="943"/>
      <c r="P306" s="943"/>
      <c r="Q306" s="943"/>
    </row>
    <row r="307" spans="1:17">
      <c r="A307" s="1444"/>
      <c r="C307" s="937" t="str">
        <f t="shared" si="8"/>
        <v/>
      </c>
      <c r="D307" s="1447" t="str">
        <f t="shared" si="9"/>
        <v/>
      </c>
      <c r="J307" s="939"/>
      <c r="K307" s="938"/>
      <c r="L307" s="941"/>
      <c r="M307" s="942"/>
      <c r="N307" s="943"/>
      <c r="O307" s="943"/>
      <c r="P307" s="943"/>
      <c r="Q307" s="943"/>
    </row>
    <row r="308" spans="1:17">
      <c r="A308" s="1444"/>
      <c r="B308" s="939"/>
      <c r="C308" s="937" t="str">
        <f t="shared" si="8"/>
        <v/>
      </c>
      <c r="D308" s="1448" t="str">
        <f t="shared" si="9"/>
        <v/>
      </c>
      <c r="E308" s="938"/>
      <c r="F308" s="938"/>
      <c r="G308" s="938"/>
      <c r="I308" s="944"/>
      <c r="J308" s="939"/>
      <c r="K308" s="938"/>
      <c r="L308" s="941"/>
      <c r="M308" s="942"/>
      <c r="N308" s="943"/>
      <c r="O308" s="943"/>
      <c r="P308" s="943"/>
      <c r="Q308" s="943"/>
    </row>
    <row r="309" spans="1:17">
      <c r="A309" s="1444"/>
      <c r="C309" s="937" t="str">
        <f t="shared" si="8"/>
        <v/>
      </c>
      <c r="D309" s="1447" t="str">
        <f t="shared" si="9"/>
        <v/>
      </c>
      <c r="I309" s="944"/>
      <c r="J309" s="939"/>
      <c r="K309" s="938"/>
      <c r="L309" s="941"/>
      <c r="M309" s="942"/>
      <c r="N309" s="943"/>
      <c r="O309" s="943"/>
      <c r="P309" s="943"/>
      <c r="Q309" s="943"/>
    </row>
    <row r="310" spans="1:17">
      <c r="A310" s="1444"/>
      <c r="C310" s="937" t="str">
        <f t="shared" si="8"/>
        <v/>
      </c>
      <c r="D310" s="1447" t="str">
        <f t="shared" si="9"/>
        <v/>
      </c>
      <c r="J310" s="939"/>
      <c r="K310" s="938"/>
      <c r="L310" s="941"/>
      <c r="M310" s="942"/>
      <c r="N310" s="943"/>
      <c r="O310" s="943"/>
      <c r="P310" s="943"/>
      <c r="Q310" s="943"/>
    </row>
    <row r="311" spans="1:17">
      <c r="A311" s="1444"/>
      <c r="B311" s="939"/>
      <c r="C311" s="937" t="str">
        <f t="shared" si="8"/>
        <v/>
      </c>
      <c r="D311" s="1448" t="str">
        <f t="shared" si="9"/>
        <v/>
      </c>
      <c r="E311" s="938"/>
      <c r="F311" s="938"/>
      <c r="G311" s="938"/>
      <c r="I311" s="944"/>
      <c r="J311" s="939"/>
      <c r="K311" s="938"/>
      <c r="L311" s="941"/>
      <c r="M311" s="942"/>
      <c r="N311" s="943"/>
      <c r="O311" s="943"/>
      <c r="P311" s="943"/>
      <c r="Q311" s="943"/>
    </row>
    <row r="312" spans="1:17">
      <c r="A312" s="1444"/>
      <c r="C312" s="937" t="str">
        <f t="shared" si="8"/>
        <v/>
      </c>
      <c r="D312" s="1447" t="str">
        <f t="shared" si="9"/>
        <v/>
      </c>
      <c r="J312" s="939"/>
      <c r="K312" s="938"/>
      <c r="L312" s="941"/>
      <c r="M312" s="942"/>
      <c r="N312" s="943"/>
      <c r="O312" s="943"/>
      <c r="P312" s="943"/>
      <c r="Q312" s="943"/>
    </row>
    <row r="313" spans="1:17">
      <c r="A313" s="1444"/>
      <c r="C313" s="937" t="str">
        <f t="shared" si="8"/>
        <v/>
      </c>
      <c r="D313" s="1447" t="str">
        <f t="shared" si="9"/>
        <v/>
      </c>
      <c r="J313" s="939"/>
      <c r="K313" s="938"/>
      <c r="L313" s="941"/>
      <c r="M313" s="942"/>
      <c r="N313" s="943"/>
      <c r="O313" s="943"/>
      <c r="P313" s="943"/>
      <c r="Q313" s="943"/>
    </row>
    <row r="314" spans="1:17">
      <c r="A314" s="1444"/>
      <c r="B314" s="939"/>
      <c r="C314" s="937" t="str">
        <f t="shared" si="8"/>
        <v/>
      </c>
      <c r="D314" s="1448" t="str">
        <f t="shared" si="9"/>
        <v/>
      </c>
      <c r="E314" s="938"/>
      <c r="F314" s="938"/>
      <c r="G314" s="938"/>
      <c r="I314" s="939"/>
      <c r="J314" s="939"/>
      <c r="K314" s="938"/>
      <c r="L314" s="941"/>
      <c r="M314" s="942"/>
      <c r="N314" s="943"/>
      <c r="O314" s="943"/>
      <c r="P314" s="943"/>
      <c r="Q314" s="943"/>
    </row>
    <row r="315" spans="1:17">
      <c r="A315" s="1444"/>
      <c r="C315" s="937" t="str">
        <f t="shared" si="8"/>
        <v/>
      </c>
      <c r="D315" s="1447" t="str">
        <f t="shared" si="9"/>
        <v/>
      </c>
      <c r="J315" s="939"/>
      <c r="K315" s="938"/>
      <c r="L315" s="941"/>
      <c r="M315" s="942"/>
      <c r="N315" s="943"/>
      <c r="O315" s="943"/>
      <c r="P315" s="943"/>
      <c r="Q315" s="943"/>
    </row>
    <row r="316" spans="1:17">
      <c r="A316" s="1444"/>
      <c r="B316" s="939"/>
      <c r="C316" s="937" t="str">
        <f t="shared" si="8"/>
        <v/>
      </c>
      <c r="D316" s="1448" t="str">
        <f t="shared" si="9"/>
        <v/>
      </c>
      <c r="E316" s="938"/>
      <c r="F316" s="938"/>
      <c r="G316" s="938"/>
      <c r="H316" s="939"/>
      <c r="I316" s="939"/>
      <c r="J316" s="939"/>
      <c r="K316" s="938"/>
      <c r="L316" s="941"/>
      <c r="M316" s="942"/>
      <c r="N316" s="943"/>
      <c r="O316" s="943"/>
      <c r="P316" s="943"/>
      <c r="Q316" s="943"/>
    </row>
    <row r="317" spans="1:17">
      <c r="A317" s="1444"/>
      <c r="C317" s="937" t="str">
        <f t="shared" si="8"/>
        <v/>
      </c>
      <c r="D317" s="1447" t="str">
        <f t="shared" si="9"/>
        <v/>
      </c>
      <c r="F317" s="938"/>
      <c r="J317" s="939"/>
      <c r="K317" s="938"/>
      <c r="L317" s="941"/>
      <c r="M317" s="942"/>
      <c r="N317" s="943"/>
      <c r="O317" s="943"/>
      <c r="P317" s="943"/>
      <c r="Q317" s="943"/>
    </row>
    <row r="318" spans="1:17">
      <c r="A318" s="1444"/>
      <c r="C318" s="937" t="str">
        <f t="shared" si="8"/>
        <v/>
      </c>
      <c r="D318" s="1447" t="str">
        <f t="shared" si="9"/>
        <v/>
      </c>
      <c r="J318" s="939"/>
      <c r="K318" s="938"/>
      <c r="L318" s="941"/>
      <c r="M318" s="942"/>
      <c r="N318" s="943"/>
      <c r="O318" s="943"/>
      <c r="P318" s="943"/>
      <c r="Q318" s="943"/>
    </row>
    <row r="319" spans="1:17">
      <c r="A319" s="1444"/>
      <c r="B319" s="939"/>
      <c r="C319" s="937" t="str">
        <f t="shared" si="8"/>
        <v/>
      </c>
      <c r="D319" s="1448" t="str">
        <f t="shared" si="9"/>
        <v/>
      </c>
      <c r="E319" s="938"/>
      <c r="F319" s="938"/>
      <c r="G319" s="938"/>
      <c r="I319" s="944"/>
      <c r="J319" s="939"/>
      <c r="K319" s="938"/>
      <c r="L319" s="941"/>
      <c r="M319" s="942"/>
      <c r="N319" s="943"/>
      <c r="O319" s="943"/>
      <c r="P319" s="943"/>
      <c r="Q319" s="943"/>
    </row>
    <row r="320" spans="1:17">
      <c r="A320" s="1444"/>
      <c r="B320" s="939"/>
      <c r="C320" s="937" t="str">
        <f t="shared" si="8"/>
        <v/>
      </c>
      <c r="D320" s="1448" t="str">
        <f t="shared" si="9"/>
        <v/>
      </c>
      <c r="E320" s="938"/>
      <c r="G320" s="938"/>
      <c r="J320" s="939"/>
      <c r="K320" s="938"/>
      <c r="L320" s="941"/>
      <c r="M320" s="942"/>
      <c r="N320" s="943"/>
      <c r="O320" s="943"/>
      <c r="P320" s="943"/>
      <c r="Q320" s="943"/>
    </row>
    <row r="321" spans="1:17">
      <c r="A321" s="1444"/>
      <c r="B321" s="939"/>
      <c r="C321" s="937" t="str">
        <f t="shared" si="8"/>
        <v/>
      </c>
      <c r="D321" s="1448" t="str">
        <f t="shared" si="9"/>
        <v/>
      </c>
      <c r="E321" s="938"/>
      <c r="F321" s="938"/>
      <c r="G321" s="938"/>
      <c r="H321" s="939"/>
      <c r="I321" s="944"/>
      <c r="J321" s="939"/>
      <c r="K321" s="938"/>
      <c r="L321" s="941"/>
      <c r="M321" s="942"/>
      <c r="N321" s="943"/>
      <c r="O321" s="943"/>
      <c r="P321" s="943"/>
      <c r="Q321" s="943"/>
    </row>
    <row r="322" spans="1:17">
      <c r="A322" s="1444"/>
      <c r="C322" s="937" t="str">
        <f t="shared" ref="C322:C385" si="10">IFERROR(1440/D322, "")</f>
        <v/>
      </c>
      <c r="D322" s="1447" t="str">
        <f t="shared" ref="D322:D385" si="11">IF(B322="", "", IF(B322&lt;1, B322*1440, B322))</f>
        <v/>
      </c>
      <c r="E322" s="938"/>
      <c r="F322" s="938"/>
      <c r="H322" s="939"/>
      <c r="I322" s="939"/>
      <c r="J322" s="939"/>
      <c r="K322" s="938"/>
      <c r="L322" s="941"/>
      <c r="M322" s="942"/>
      <c r="N322" s="943"/>
      <c r="O322" s="943"/>
      <c r="P322" s="943"/>
      <c r="Q322" s="943"/>
    </row>
    <row r="323" spans="1:17">
      <c r="A323" s="1444"/>
      <c r="B323" s="939"/>
      <c r="C323" s="937" t="str">
        <f t="shared" si="10"/>
        <v/>
      </c>
      <c r="D323" s="1448" t="str">
        <f t="shared" si="11"/>
        <v/>
      </c>
      <c r="E323" s="938"/>
      <c r="F323" s="938"/>
      <c r="G323" s="938"/>
      <c r="I323" s="939"/>
      <c r="J323" s="939"/>
      <c r="K323" s="938"/>
      <c r="L323" s="941"/>
      <c r="M323" s="942"/>
      <c r="N323" s="943"/>
      <c r="O323" s="943"/>
      <c r="P323" s="943"/>
      <c r="Q323" s="943"/>
    </row>
    <row r="324" spans="1:17">
      <c r="A324" s="1444"/>
      <c r="C324" s="937" t="str">
        <f t="shared" si="10"/>
        <v/>
      </c>
      <c r="D324" s="1447" t="str">
        <f t="shared" si="11"/>
        <v/>
      </c>
      <c r="F324" s="938"/>
      <c r="J324" s="939"/>
      <c r="K324" s="938"/>
      <c r="L324" s="941"/>
      <c r="M324" s="942"/>
      <c r="N324" s="943"/>
      <c r="O324" s="943"/>
      <c r="P324" s="943"/>
      <c r="Q324" s="943"/>
    </row>
    <row r="325" spans="1:17">
      <c r="A325" s="1444"/>
      <c r="C325" s="937" t="str">
        <f t="shared" si="10"/>
        <v/>
      </c>
      <c r="D325" s="1447" t="str">
        <f t="shared" si="11"/>
        <v/>
      </c>
      <c r="E325" s="938"/>
      <c r="J325" s="939"/>
      <c r="K325" s="938"/>
      <c r="L325" s="941"/>
      <c r="M325" s="942"/>
      <c r="N325" s="943"/>
      <c r="O325" s="943"/>
      <c r="P325" s="943"/>
      <c r="Q325" s="943"/>
    </row>
    <row r="326" spans="1:17">
      <c r="A326" s="1444"/>
      <c r="B326" s="939"/>
      <c r="C326" s="937" t="str">
        <f t="shared" si="10"/>
        <v/>
      </c>
      <c r="D326" s="1448" t="str">
        <f t="shared" si="11"/>
        <v/>
      </c>
      <c r="E326" s="938"/>
      <c r="F326" s="938"/>
      <c r="G326" s="938"/>
      <c r="H326" s="939"/>
      <c r="I326" s="944"/>
      <c r="J326" s="939"/>
      <c r="K326" s="938"/>
      <c r="L326" s="941"/>
      <c r="M326" s="942"/>
      <c r="N326" s="943"/>
      <c r="O326" s="943"/>
      <c r="P326" s="943"/>
      <c r="Q326" s="943"/>
    </row>
    <row r="327" spans="1:17">
      <c r="A327" s="1444"/>
      <c r="B327" s="939"/>
      <c r="C327" s="937" t="str">
        <f t="shared" si="10"/>
        <v/>
      </c>
      <c r="D327" s="1448" t="str">
        <f t="shared" si="11"/>
        <v/>
      </c>
      <c r="E327" s="938"/>
      <c r="F327" s="938"/>
      <c r="G327" s="938"/>
      <c r="J327" s="939"/>
      <c r="K327" s="938"/>
      <c r="L327" s="941"/>
      <c r="M327" s="942"/>
      <c r="N327" s="943"/>
      <c r="O327" s="943"/>
      <c r="P327" s="943"/>
      <c r="Q327" s="943"/>
    </row>
    <row r="328" spans="1:17">
      <c r="A328" s="1444"/>
      <c r="B328" s="939"/>
      <c r="C328" s="937" t="str">
        <f t="shared" si="10"/>
        <v/>
      </c>
      <c r="D328" s="1448" t="str">
        <f t="shared" si="11"/>
        <v/>
      </c>
      <c r="E328" s="938"/>
      <c r="F328" s="938"/>
      <c r="G328" s="938"/>
      <c r="J328" s="939"/>
      <c r="K328" s="938"/>
      <c r="L328" s="941"/>
      <c r="M328" s="942"/>
      <c r="N328" s="943"/>
      <c r="O328" s="943"/>
      <c r="P328" s="943"/>
      <c r="Q328" s="943"/>
    </row>
    <row r="329" spans="1:17">
      <c r="A329" s="1444"/>
      <c r="B329" s="939"/>
      <c r="C329" s="937" t="str">
        <f t="shared" si="10"/>
        <v/>
      </c>
      <c r="D329" s="1448" t="str">
        <f t="shared" si="11"/>
        <v/>
      </c>
      <c r="E329" s="938"/>
      <c r="F329" s="938"/>
      <c r="G329" s="938"/>
      <c r="I329" s="944"/>
      <c r="J329" s="939"/>
      <c r="K329" s="938"/>
      <c r="L329" s="941"/>
      <c r="M329" s="942"/>
      <c r="N329" s="943"/>
      <c r="O329" s="943"/>
      <c r="P329" s="943"/>
      <c r="Q329" s="943"/>
    </row>
    <row r="330" spans="1:17">
      <c r="A330" s="1444"/>
      <c r="B330" s="939"/>
      <c r="C330" s="937" t="str">
        <f t="shared" si="10"/>
        <v/>
      </c>
      <c r="D330" s="1448" t="str">
        <f t="shared" si="11"/>
        <v/>
      </c>
      <c r="E330" s="938"/>
      <c r="F330" s="938"/>
      <c r="G330" s="938"/>
      <c r="I330" s="944"/>
      <c r="J330" s="939"/>
      <c r="K330" s="938"/>
      <c r="L330" s="941"/>
      <c r="M330" s="942"/>
      <c r="N330" s="943"/>
      <c r="O330" s="943"/>
      <c r="P330" s="943"/>
      <c r="Q330" s="943"/>
    </row>
    <row r="331" spans="1:17">
      <c r="A331" s="1444"/>
      <c r="C331" s="937" t="str">
        <f t="shared" si="10"/>
        <v/>
      </c>
      <c r="D331" s="1447" t="str">
        <f t="shared" si="11"/>
        <v/>
      </c>
      <c r="J331" s="939"/>
      <c r="K331" s="938"/>
      <c r="L331" s="941"/>
      <c r="M331" s="942"/>
      <c r="N331" s="943"/>
      <c r="O331" s="943"/>
      <c r="P331" s="943"/>
      <c r="Q331" s="943"/>
    </row>
    <row r="332" spans="1:17">
      <c r="A332" s="1444"/>
      <c r="C332" s="937" t="str">
        <f t="shared" si="10"/>
        <v/>
      </c>
      <c r="D332" s="1447" t="str">
        <f t="shared" si="11"/>
        <v/>
      </c>
      <c r="J332" s="939"/>
      <c r="K332" s="938"/>
      <c r="L332" s="941"/>
      <c r="M332" s="942"/>
      <c r="N332" s="943"/>
      <c r="O332" s="943"/>
      <c r="P332" s="943"/>
      <c r="Q332" s="943"/>
    </row>
    <row r="333" spans="1:17">
      <c r="A333" s="1444"/>
      <c r="B333" s="939"/>
      <c r="C333" s="937" t="str">
        <f t="shared" si="10"/>
        <v/>
      </c>
      <c r="D333" s="1448" t="str">
        <f t="shared" si="11"/>
        <v/>
      </c>
      <c r="E333" s="938"/>
      <c r="F333" s="938"/>
      <c r="G333" s="938"/>
      <c r="J333" s="939"/>
      <c r="K333" s="938"/>
      <c r="L333" s="941"/>
      <c r="M333" s="942"/>
      <c r="N333" s="943"/>
      <c r="O333" s="943"/>
      <c r="P333" s="943"/>
      <c r="Q333" s="943"/>
    </row>
    <row r="334" spans="1:17">
      <c r="A334" s="1444"/>
      <c r="B334" s="939"/>
      <c r="C334" s="937" t="str">
        <f t="shared" si="10"/>
        <v/>
      </c>
      <c r="D334" s="1448" t="str">
        <f t="shared" si="11"/>
        <v/>
      </c>
      <c r="E334" s="938"/>
      <c r="G334" s="938"/>
      <c r="I334" s="944"/>
      <c r="J334" s="939"/>
      <c r="K334" s="938"/>
      <c r="L334" s="941"/>
      <c r="M334" s="942"/>
      <c r="N334" s="943"/>
      <c r="O334" s="943"/>
      <c r="P334" s="943"/>
      <c r="Q334" s="943"/>
    </row>
    <row r="335" spans="1:17">
      <c r="A335" s="1444"/>
      <c r="B335" s="939"/>
      <c r="C335" s="937" t="str">
        <f t="shared" si="10"/>
        <v/>
      </c>
      <c r="D335" s="1448" t="str">
        <f t="shared" si="11"/>
        <v/>
      </c>
      <c r="E335" s="938"/>
      <c r="F335" s="938"/>
      <c r="G335" s="938"/>
      <c r="J335" s="939"/>
      <c r="K335" s="938"/>
      <c r="L335" s="941"/>
      <c r="M335" s="942"/>
      <c r="N335" s="943"/>
      <c r="O335" s="943"/>
      <c r="P335" s="943"/>
      <c r="Q335" s="943"/>
    </row>
    <row r="336" spans="1:17">
      <c r="A336" s="1444"/>
      <c r="C336" s="937" t="str">
        <f t="shared" si="10"/>
        <v/>
      </c>
      <c r="D336" s="1447" t="str">
        <f t="shared" si="11"/>
        <v/>
      </c>
      <c r="J336" s="939"/>
      <c r="K336" s="938"/>
      <c r="L336" s="941"/>
      <c r="M336" s="942"/>
      <c r="N336" s="943"/>
      <c r="O336" s="943"/>
      <c r="P336" s="943"/>
      <c r="Q336" s="943"/>
    </row>
    <row r="337" spans="1:17">
      <c r="A337" s="1444"/>
      <c r="B337" s="939"/>
      <c r="C337" s="937" t="str">
        <f t="shared" si="10"/>
        <v/>
      </c>
      <c r="D337" s="1448" t="str">
        <f t="shared" si="11"/>
        <v/>
      </c>
      <c r="E337" s="938"/>
      <c r="F337" s="938"/>
      <c r="G337" s="938"/>
      <c r="H337" s="939"/>
      <c r="I337" s="940"/>
      <c r="J337" s="939"/>
      <c r="K337" s="938"/>
      <c r="L337" s="941"/>
      <c r="M337" s="942"/>
      <c r="N337" s="943"/>
      <c r="O337" s="943"/>
      <c r="P337" s="943"/>
      <c r="Q337" s="943"/>
    </row>
    <row r="338" spans="1:17">
      <c r="A338" s="1444"/>
      <c r="C338" s="937" t="str">
        <f t="shared" si="10"/>
        <v/>
      </c>
      <c r="D338" s="1447" t="str">
        <f t="shared" si="11"/>
        <v/>
      </c>
      <c r="F338" s="938"/>
      <c r="G338" s="938"/>
      <c r="I338" s="944"/>
      <c r="J338" s="939"/>
      <c r="K338" s="938"/>
      <c r="L338" s="941"/>
      <c r="M338" s="942"/>
      <c r="N338" s="943"/>
      <c r="O338" s="943"/>
      <c r="P338" s="943"/>
      <c r="Q338" s="943"/>
    </row>
    <row r="339" spans="1:17">
      <c r="A339" s="1444"/>
      <c r="C339" s="937" t="str">
        <f t="shared" si="10"/>
        <v/>
      </c>
      <c r="D339" s="1447" t="str">
        <f t="shared" si="11"/>
        <v/>
      </c>
      <c r="J339" s="939"/>
      <c r="K339" s="938"/>
      <c r="L339" s="941"/>
      <c r="M339" s="942"/>
      <c r="N339" s="943"/>
      <c r="O339" s="943"/>
      <c r="P339" s="943"/>
      <c r="Q339" s="943"/>
    </row>
    <row r="340" spans="1:17">
      <c r="A340" s="1444"/>
      <c r="C340" s="937" t="str">
        <f t="shared" si="10"/>
        <v/>
      </c>
      <c r="D340" s="1447" t="str">
        <f t="shared" si="11"/>
        <v/>
      </c>
      <c r="J340" s="939"/>
      <c r="K340" s="938"/>
      <c r="L340" s="941"/>
      <c r="M340" s="942"/>
      <c r="N340" s="943"/>
      <c r="O340" s="943"/>
      <c r="P340" s="943"/>
      <c r="Q340" s="943"/>
    </row>
    <row r="341" spans="1:17">
      <c r="A341" s="1444"/>
      <c r="C341" s="937" t="str">
        <f t="shared" si="10"/>
        <v/>
      </c>
      <c r="D341" s="1447" t="str">
        <f t="shared" si="11"/>
        <v/>
      </c>
      <c r="J341" s="939"/>
      <c r="K341" s="938"/>
      <c r="L341" s="941"/>
      <c r="M341" s="942"/>
      <c r="N341" s="943"/>
      <c r="O341" s="943"/>
      <c r="P341" s="943"/>
      <c r="Q341" s="943"/>
    </row>
    <row r="342" spans="1:17">
      <c r="A342" s="1444"/>
      <c r="B342" s="939"/>
      <c r="C342" s="937" t="str">
        <f t="shared" si="10"/>
        <v/>
      </c>
      <c r="D342" s="1448" t="str">
        <f t="shared" si="11"/>
        <v/>
      </c>
      <c r="E342" s="938"/>
      <c r="F342" s="938"/>
      <c r="G342" s="938"/>
      <c r="J342" s="939"/>
      <c r="K342" s="938"/>
      <c r="L342" s="941"/>
      <c r="M342" s="942"/>
      <c r="N342" s="943"/>
      <c r="O342" s="943"/>
      <c r="P342" s="943"/>
      <c r="Q342" s="943"/>
    </row>
    <row r="343" spans="1:17">
      <c r="A343" s="1444"/>
      <c r="B343" s="939"/>
      <c r="C343" s="937" t="str">
        <f t="shared" si="10"/>
        <v/>
      </c>
      <c r="D343" s="1448" t="str">
        <f t="shared" si="11"/>
        <v/>
      </c>
      <c r="E343" s="938"/>
      <c r="F343" s="938"/>
      <c r="G343" s="938"/>
      <c r="J343" s="939"/>
      <c r="K343" s="938"/>
      <c r="L343" s="941"/>
      <c r="M343" s="942"/>
      <c r="N343" s="943"/>
      <c r="O343" s="943"/>
      <c r="P343" s="943"/>
      <c r="Q343" s="943"/>
    </row>
    <row r="344" spans="1:17">
      <c r="A344" s="1444"/>
      <c r="C344" s="937" t="str">
        <f t="shared" si="10"/>
        <v/>
      </c>
      <c r="D344" s="1447" t="str">
        <f t="shared" si="11"/>
        <v/>
      </c>
      <c r="J344" s="939"/>
      <c r="K344" s="938"/>
      <c r="L344" s="941"/>
      <c r="M344" s="942"/>
      <c r="N344" s="943"/>
      <c r="O344" s="943"/>
      <c r="P344" s="943"/>
      <c r="Q344" s="943"/>
    </row>
    <row r="345" spans="1:17">
      <c r="A345" s="1444"/>
      <c r="C345" s="937" t="str">
        <f t="shared" si="10"/>
        <v/>
      </c>
      <c r="D345" s="1447" t="str">
        <f t="shared" si="11"/>
        <v/>
      </c>
      <c r="J345" s="939"/>
      <c r="K345" s="938"/>
      <c r="L345" s="941"/>
      <c r="M345" s="942"/>
      <c r="N345" s="943"/>
      <c r="O345" s="943"/>
      <c r="P345" s="943"/>
      <c r="Q345" s="943"/>
    </row>
    <row r="346" spans="1:17">
      <c r="A346" s="1444"/>
      <c r="C346" s="937" t="str">
        <f t="shared" si="10"/>
        <v/>
      </c>
      <c r="D346" s="1447" t="str">
        <f t="shared" si="11"/>
        <v/>
      </c>
      <c r="E346" s="938"/>
      <c r="F346" s="938"/>
      <c r="G346" s="938"/>
      <c r="H346" s="939"/>
      <c r="I346" s="939"/>
      <c r="J346" s="939"/>
      <c r="K346" s="938"/>
      <c r="L346" s="941"/>
      <c r="M346" s="942"/>
      <c r="N346" s="943"/>
      <c r="O346" s="943"/>
      <c r="P346" s="943"/>
      <c r="Q346" s="943"/>
    </row>
    <row r="347" spans="1:17">
      <c r="A347" s="1444"/>
      <c r="C347" s="937" t="str">
        <f t="shared" si="10"/>
        <v/>
      </c>
      <c r="D347" s="1447" t="str">
        <f t="shared" si="11"/>
        <v/>
      </c>
      <c r="J347" s="939"/>
      <c r="K347" s="938"/>
      <c r="L347" s="941"/>
      <c r="M347" s="942"/>
      <c r="N347" s="943"/>
      <c r="O347" s="943"/>
      <c r="P347" s="943"/>
      <c r="Q347" s="943"/>
    </row>
    <row r="348" spans="1:17">
      <c r="A348" s="1444"/>
      <c r="C348" s="937" t="str">
        <f t="shared" si="10"/>
        <v/>
      </c>
      <c r="D348" s="1447" t="str">
        <f t="shared" si="11"/>
        <v/>
      </c>
      <c r="H348" s="939"/>
      <c r="J348" s="939"/>
      <c r="K348" s="938"/>
      <c r="L348" s="941"/>
      <c r="M348" s="942"/>
      <c r="N348" s="943"/>
      <c r="O348" s="943"/>
      <c r="P348" s="943"/>
      <c r="Q348" s="943"/>
    </row>
    <row r="349" spans="1:17">
      <c r="A349" s="1444"/>
      <c r="C349" s="937" t="str">
        <f t="shared" si="10"/>
        <v/>
      </c>
      <c r="D349" s="1447" t="str">
        <f t="shared" si="11"/>
        <v/>
      </c>
      <c r="J349" s="939"/>
      <c r="K349" s="938"/>
      <c r="L349" s="941"/>
      <c r="M349" s="942"/>
      <c r="N349" s="943"/>
      <c r="O349" s="943"/>
      <c r="P349" s="943"/>
      <c r="Q349" s="943"/>
    </row>
    <row r="350" spans="1:17">
      <c r="A350" s="1444"/>
      <c r="B350" s="939"/>
      <c r="C350" s="937" t="str">
        <f t="shared" si="10"/>
        <v/>
      </c>
      <c r="D350" s="1448" t="str">
        <f t="shared" si="11"/>
        <v/>
      </c>
      <c r="E350" s="938"/>
      <c r="G350" s="938"/>
      <c r="J350" s="939"/>
      <c r="K350" s="938"/>
      <c r="L350" s="941"/>
      <c r="M350" s="942"/>
      <c r="N350" s="943"/>
      <c r="O350" s="943"/>
      <c r="P350" s="943"/>
      <c r="Q350" s="943"/>
    </row>
    <row r="351" spans="1:17">
      <c r="A351" s="1444"/>
      <c r="C351" s="937" t="str">
        <f t="shared" si="10"/>
        <v/>
      </c>
      <c r="D351" s="1447" t="str">
        <f t="shared" si="11"/>
        <v/>
      </c>
      <c r="F351" s="938"/>
      <c r="J351" s="939"/>
      <c r="K351" s="938"/>
      <c r="L351" s="941"/>
      <c r="M351" s="942"/>
      <c r="N351" s="943"/>
      <c r="O351" s="943"/>
      <c r="P351" s="943"/>
      <c r="Q351" s="943"/>
    </row>
    <row r="352" spans="1:17">
      <c r="A352" s="1444"/>
      <c r="C352" s="937" t="str">
        <f t="shared" si="10"/>
        <v/>
      </c>
      <c r="D352" s="1447" t="str">
        <f t="shared" si="11"/>
        <v/>
      </c>
      <c r="J352" s="939"/>
      <c r="K352" s="938"/>
      <c r="L352" s="941"/>
      <c r="M352" s="942"/>
      <c r="N352" s="943"/>
      <c r="O352" s="943"/>
      <c r="P352" s="943"/>
      <c r="Q352" s="943"/>
    </row>
    <row r="353" spans="1:17">
      <c r="A353" s="1444"/>
      <c r="C353" s="937" t="str">
        <f t="shared" si="10"/>
        <v/>
      </c>
      <c r="D353" s="1447" t="str">
        <f t="shared" si="11"/>
        <v/>
      </c>
      <c r="J353" s="939"/>
      <c r="K353" s="938"/>
      <c r="L353" s="941"/>
      <c r="M353" s="942"/>
      <c r="N353" s="943"/>
      <c r="O353" s="943"/>
      <c r="P353" s="943"/>
      <c r="Q353" s="943"/>
    </row>
    <row r="354" spans="1:17">
      <c r="A354" s="1444"/>
      <c r="C354" s="937" t="str">
        <f t="shared" si="10"/>
        <v/>
      </c>
      <c r="D354" s="1447" t="str">
        <f t="shared" si="11"/>
        <v/>
      </c>
      <c r="J354" s="939"/>
      <c r="K354" s="938"/>
      <c r="L354" s="941"/>
      <c r="M354" s="942"/>
      <c r="N354" s="943"/>
      <c r="O354" s="943"/>
      <c r="P354" s="943"/>
      <c r="Q354" s="943"/>
    </row>
    <row r="355" spans="1:17">
      <c r="A355" s="1444"/>
      <c r="B355" s="939"/>
      <c r="C355" s="937" t="str">
        <f t="shared" si="10"/>
        <v/>
      </c>
      <c r="D355" s="1448" t="str">
        <f t="shared" si="11"/>
        <v/>
      </c>
      <c r="E355" s="938"/>
      <c r="F355" s="938"/>
      <c r="G355" s="938"/>
      <c r="H355" s="939"/>
      <c r="I355" s="940"/>
      <c r="J355" s="939"/>
      <c r="K355" s="938"/>
      <c r="L355" s="941"/>
      <c r="M355" s="942"/>
      <c r="N355" s="943"/>
      <c r="O355" s="943"/>
      <c r="P355" s="943"/>
      <c r="Q355" s="943"/>
    </row>
    <row r="356" spans="1:17">
      <c r="A356" s="1444"/>
      <c r="C356" s="937" t="str">
        <f t="shared" si="10"/>
        <v/>
      </c>
      <c r="D356" s="1447" t="str">
        <f t="shared" si="11"/>
        <v/>
      </c>
      <c r="F356" s="938"/>
      <c r="J356" s="939"/>
      <c r="K356" s="938"/>
      <c r="L356" s="941"/>
      <c r="M356" s="942"/>
      <c r="N356" s="943"/>
      <c r="O356" s="943"/>
      <c r="P356" s="943"/>
      <c r="Q356" s="943"/>
    </row>
    <row r="357" spans="1:17">
      <c r="A357" s="1444"/>
      <c r="C357" s="937" t="str">
        <f t="shared" si="10"/>
        <v/>
      </c>
      <c r="D357" s="1447" t="str">
        <f t="shared" si="11"/>
        <v/>
      </c>
      <c r="F357" s="938"/>
      <c r="J357" s="939"/>
      <c r="K357" s="938"/>
      <c r="L357" s="941"/>
      <c r="M357" s="942"/>
      <c r="N357" s="943"/>
      <c r="O357" s="943"/>
      <c r="P357" s="943"/>
      <c r="Q357" s="943"/>
    </row>
    <row r="358" spans="1:17">
      <c r="A358" s="1444"/>
      <c r="C358" s="937" t="str">
        <f t="shared" si="10"/>
        <v/>
      </c>
      <c r="D358" s="1447" t="str">
        <f t="shared" si="11"/>
        <v/>
      </c>
      <c r="F358" s="938"/>
      <c r="J358" s="939"/>
      <c r="K358" s="938"/>
      <c r="L358" s="941"/>
      <c r="M358" s="942"/>
      <c r="N358" s="943"/>
      <c r="O358" s="943"/>
      <c r="P358" s="943"/>
      <c r="Q358" s="943"/>
    </row>
    <row r="359" spans="1:17">
      <c r="A359" s="1444"/>
      <c r="B359" s="939"/>
      <c r="C359" s="937" t="str">
        <f t="shared" si="10"/>
        <v/>
      </c>
      <c r="D359" s="1448" t="str">
        <f t="shared" si="11"/>
        <v/>
      </c>
      <c r="E359" s="938"/>
      <c r="F359" s="938"/>
      <c r="G359" s="938"/>
      <c r="J359" s="939"/>
      <c r="K359" s="938"/>
      <c r="L359" s="941"/>
      <c r="M359" s="942"/>
      <c r="N359" s="943"/>
      <c r="O359" s="943"/>
      <c r="P359" s="943"/>
      <c r="Q359" s="943"/>
    </row>
    <row r="360" spans="1:17">
      <c r="A360" s="1444"/>
      <c r="C360" s="937" t="str">
        <f t="shared" si="10"/>
        <v/>
      </c>
      <c r="D360" s="1447" t="str">
        <f t="shared" si="11"/>
        <v/>
      </c>
      <c r="J360" s="939"/>
      <c r="K360" s="938"/>
      <c r="L360" s="941"/>
      <c r="M360" s="942"/>
      <c r="N360" s="943"/>
      <c r="O360" s="943"/>
      <c r="P360" s="943"/>
      <c r="Q360" s="943"/>
    </row>
    <row r="361" spans="1:17">
      <c r="A361" s="1444"/>
      <c r="B361" s="939"/>
      <c r="C361" s="937" t="str">
        <f t="shared" si="10"/>
        <v/>
      </c>
      <c r="D361" s="1448" t="str">
        <f t="shared" si="11"/>
        <v/>
      </c>
      <c r="E361" s="938"/>
      <c r="F361" s="938"/>
      <c r="G361" s="938"/>
      <c r="J361" s="939"/>
      <c r="K361" s="938"/>
      <c r="L361" s="941"/>
      <c r="M361" s="942"/>
      <c r="N361" s="943"/>
      <c r="O361" s="943"/>
      <c r="P361" s="943"/>
      <c r="Q361" s="943"/>
    </row>
    <row r="362" spans="1:17">
      <c r="A362" s="1444"/>
      <c r="B362" s="939"/>
      <c r="C362" s="937" t="str">
        <f t="shared" si="10"/>
        <v/>
      </c>
      <c r="D362" s="1448" t="str">
        <f t="shared" si="11"/>
        <v/>
      </c>
      <c r="E362" s="938"/>
      <c r="F362" s="938"/>
      <c r="G362" s="938"/>
      <c r="I362" s="944"/>
      <c r="J362" s="939"/>
      <c r="K362" s="938"/>
      <c r="L362" s="941"/>
      <c r="M362" s="942"/>
      <c r="N362" s="943"/>
      <c r="O362" s="943"/>
      <c r="P362" s="943"/>
      <c r="Q362" s="943"/>
    </row>
    <row r="363" spans="1:17">
      <c r="A363" s="1444"/>
      <c r="C363" s="937" t="str">
        <f t="shared" si="10"/>
        <v/>
      </c>
      <c r="D363" s="1447" t="str">
        <f t="shared" si="11"/>
        <v/>
      </c>
      <c r="J363" s="939"/>
      <c r="K363" s="938"/>
      <c r="L363" s="941"/>
      <c r="M363" s="942"/>
      <c r="N363" s="943"/>
      <c r="O363" s="943"/>
      <c r="P363" s="943"/>
      <c r="Q363" s="943"/>
    </row>
    <row r="364" spans="1:17">
      <c r="A364" s="1444"/>
      <c r="C364" s="937" t="str">
        <f t="shared" si="10"/>
        <v/>
      </c>
      <c r="D364" s="1447" t="str">
        <f t="shared" si="11"/>
        <v/>
      </c>
      <c r="J364" s="939"/>
      <c r="K364" s="938"/>
      <c r="L364" s="941"/>
      <c r="M364" s="942"/>
      <c r="N364" s="943"/>
      <c r="O364" s="943"/>
      <c r="P364" s="943"/>
      <c r="Q364" s="943"/>
    </row>
    <row r="365" spans="1:17">
      <c r="A365" s="1444"/>
      <c r="C365" s="937" t="str">
        <f t="shared" si="10"/>
        <v/>
      </c>
      <c r="D365" s="1447" t="str">
        <f t="shared" si="11"/>
        <v/>
      </c>
      <c r="H365" s="939"/>
      <c r="J365" s="939"/>
      <c r="K365" s="938"/>
      <c r="L365" s="941"/>
      <c r="M365" s="942"/>
      <c r="N365" s="943"/>
      <c r="O365" s="943"/>
      <c r="P365" s="943"/>
      <c r="Q365" s="943"/>
    </row>
    <row r="366" spans="1:17">
      <c r="A366" s="1444"/>
      <c r="C366" s="937" t="str">
        <f t="shared" si="10"/>
        <v/>
      </c>
      <c r="D366" s="1447" t="str">
        <f t="shared" si="11"/>
        <v/>
      </c>
      <c r="J366" s="939"/>
      <c r="K366" s="938"/>
      <c r="L366" s="941"/>
      <c r="M366" s="942"/>
      <c r="N366" s="943"/>
      <c r="O366" s="943"/>
      <c r="P366" s="943"/>
      <c r="Q366" s="943"/>
    </row>
    <row r="367" spans="1:17">
      <c r="A367" s="1444"/>
      <c r="C367" s="937" t="str">
        <f t="shared" si="10"/>
        <v/>
      </c>
      <c r="D367" s="1447" t="str">
        <f t="shared" si="11"/>
        <v/>
      </c>
      <c r="J367" s="939"/>
      <c r="K367" s="938"/>
      <c r="L367" s="941"/>
      <c r="M367" s="942"/>
      <c r="N367" s="943"/>
      <c r="O367" s="943"/>
      <c r="P367" s="943"/>
      <c r="Q367" s="943"/>
    </row>
    <row r="368" spans="1:17">
      <c r="A368" s="1444"/>
      <c r="B368" s="939"/>
      <c r="C368" s="937" t="str">
        <f t="shared" si="10"/>
        <v/>
      </c>
      <c r="D368" s="1448" t="str">
        <f t="shared" si="11"/>
        <v/>
      </c>
      <c r="E368" s="938"/>
      <c r="G368" s="938"/>
      <c r="J368" s="939"/>
      <c r="K368" s="938"/>
      <c r="L368" s="941"/>
      <c r="M368" s="942"/>
      <c r="N368" s="943"/>
      <c r="O368" s="943"/>
      <c r="P368" s="943"/>
      <c r="Q368" s="943"/>
    </row>
    <row r="369" spans="1:17">
      <c r="A369" s="1444"/>
      <c r="C369" s="937" t="str">
        <f t="shared" si="10"/>
        <v/>
      </c>
      <c r="D369" s="1447" t="str">
        <f t="shared" si="11"/>
        <v/>
      </c>
      <c r="F369" s="938"/>
      <c r="J369" s="939"/>
      <c r="K369" s="938"/>
      <c r="L369" s="941"/>
      <c r="M369" s="942"/>
      <c r="N369" s="943"/>
      <c r="O369" s="943"/>
      <c r="P369" s="943"/>
      <c r="Q369" s="943"/>
    </row>
    <row r="370" spans="1:17">
      <c r="A370" s="1444"/>
      <c r="C370" s="937" t="str">
        <f t="shared" si="10"/>
        <v/>
      </c>
      <c r="D370" s="1447" t="str">
        <f t="shared" si="11"/>
        <v/>
      </c>
      <c r="J370" s="939"/>
      <c r="K370" s="938"/>
      <c r="L370" s="941"/>
      <c r="M370" s="942"/>
      <c r="N370" s="943"/>
      <c r="O370" s="943"/>
      <c r="P370" s="943"/>
      <c r="Q370" s="943"/>
    </row>
    <row r="371" spans="1:17">
      <c r="A371" s="1444"/>
      <c r="B371" s="939"/>
      <c r="C371" s="937" t="str">
        <f t="shared" si="10"/>
        <v/>
      </c>
      <c r="D371" s="1448" t="str">
        <f t="shared" si="11"/>
        <v/>
      </c>
      <c r="E371" s="938"/>
      <c r="F371" s="938"/>
      <c r="G371" s="938"/>
      <c r="I371" s="944"/>
      <c r="J371" s="939"/>
      <c r="K371" s="938"/>
      <c r="L371" s="941"/>
      <c r="M371" s="942"/>
      <c r="N371" s="943"/>
      <c r="O371" s="943"/>
      <c r="P371" s="943"/>
      <c r="Q371" s="943"/>
    </row>
    <row r="372" spans="1:17">
      <c r="A372" s="1444"/>
      <c r="B372" s="939"/>
      <c r="C372" s="937" t="str">
        <f t="shared" si="10"/>
        <v/>
      </c>
      <c r="D372" s="1448" t="str">
        <f t="shared" si="11"/>
        <v/>
      </c>
      <c r="E372" s="938"/>
      <c r="F372" s="938"/>
      <c r="G372" s="938"/>
      <c r="J372" s="939"/>
      <c r="K372" s="938"/>
      <c r="L372" s="941"/>
      <c r="M372" s="942"/>
      <c r="N372" s="943"/>
      <c r="O372" s="943"/>
      <c r="P372" s="943"/>
      <c r="Q372" s="943"/>
    </row>
    <row r="373" spans="1:17">
      <c r="A373" s="1444"/>
      <c r="C373" s="937" t="str">
        <f t="shared" si="10"/>
        <v/>
      </c>
      <c r="D373" s="1447" t="str">
        <f t="shared" si="11"/>
        <v/>
      </c>
      <c r="F373" s="938"/>
      <c r="J373" s="939"/>
      <c r="K373" s="938"/>
      <c r="L373" s="941"/>
      <c r="M373" s="942"/>
      <c r="N373" s="943"/>
      <c r="O373" s="943"/>
      <c r="P373" s="943"/>
      <c r="Q373" s="943"/>
    </row>
    <row r="374" spans="1:17">
      <c r="A374" s="1444"/>
      <c r="C374" s="937" t="str">
        <f t="shared" si="10"/>
        <v/>
      </c>
      <c r="D374" s="1447" t="str">
        <f t="shared" si="11"/>
        <v/>
      </c>
      <c r="F374" s="938"/>
      <c r="J374" s="939"/>
      <c r="K374" s="938"/>
      <c r="L374" s="941"/>
      <c r="M374" s="942"/>
      <c r="N374" s="943"/>
      <c r="O374" s="943"/>
      <c r="P374" s="943"/>
      <c r="Q374" s="943"/>
    </row>
    <row r="375" spans="1:17">
      <c r="A375" s="1444"/>
      <c r="B375" s="939"/>
      <c r="C375" s="937" t="str">
        <f t="shared" si="10"/>
        <v/>
      </c>
      <c r="D375" s="1448" t="str">
        <f t="shared" si="11"/>
        <v/>
      </c>
      <c r="E375" s="938"/>
      <c r="F375" s="938"/>
      <c r="G375" s="938"/>
      <c r="J375" s="939"/>
      <c r="K375" s="938"/>
      <c r="L375" s="941"/>
      <c r="M375" s="942"/>
      <c r="N375" s="943"/>
      <c r="O375" s="943"/>
      <c r="P375" s="943"/>
      <c r="Q375" s="943"/>
    </row>
    <row r="376" spans="1:17">
      <c r="A376" s="1444"/>
      <c r="C376" s="937" t="str">
        <f t="shared" si="10"/>
        <v/>
      </c>
      <c r="D376" s="1447" t="str">
        <f t="shared" si="11"/>
        <v/>
      </c>
      <c r="F376" s="938"/>
      <c r="J376" s="939"/>
      <c r="K376" s="938"/>
      <c r="L376" s="941"/>
      <c r="M376" s="942"/>
      <c r="N376" s="943"/>
      <c r="O376" s="943"/>
      <c r="P376" s="943"/>
      <c r="Q376" s="943"/>
    </row>
    <row r="377" spans="1:17">
      <c r="A377" s="1444"/>
      <c r="C377" s="937" t="str">
        <f t="shared" si="10"/>
        <v/>
      </c>
      <c r="D377" s="1447" t="str">
        <f t="shared" si="11"/>
        <v/>
      </c>
      <c r="J377" s="939"/>
      <c r="K377" s="938"/>
      <c r="L377" s="941"/>
      <c r="M377" s="942"/>
      <c r="N377" s="943"/>
      <c r="O377" s="943"/>
      <c r="P377" s="943"/>
      <c r="Q377" s="943"/>
    </row>
    <row r="378" spans="1:17">
      <c r="A378" s="1444"/>
      <c r="B378" s="939"/>
      <c r="C378" s="937" t="str">
        <f t="shared" si="10"/>
        <v/>
      </c>
      <c r="D378" s="1448" t="str">
        <f t="shared" si="11"/>
        <v/>
      </c>
      <c r="E378" s="938"/>
      <c r="F378" s="938"/>
      <c r="G378" s="938"/>
      <c r="H378" s="939"/>
      <c r="I378" s="939"/>
      <c r="J378" s="939"/>
      <c r="K378" s="938"/>
      <c r="L378" s="941"/>
      <c r="M378" s="942"/>
      <c r="N378" s="943"/>
      <c r="O378" s="943"/>
      <c r="P378" s="943"/>
      <c r="Q378" s="943"/>
    </row>
    <row r="379" spans="1:17">
      <c r="A379" s="1444"/>
      <c r="B379" s="939"/>
      <c r="C379" s="937" t="str">
        <f t="shared" si="10"/>
        <v/>
      </c>
      <c r="D379" s="1448" t="str">
        <f t="shared" si="11"/>
        <v/>
      </c>
      <c r="E379" s="938"/>
      <c r="F379" s="938"/>
      <c r="G379" s="938"/>
      <c r="J379" s="939"/>
      <c r="K379" s="938"/>
      <c r="L379" s="941"/>
      <c r="M379" s="942"/>
      <c r="N379" s="943"/>
      <c r="O379" s="943"/>
      <c r="P379" s="943"/>
      <c r="Q379" s="943"/>
    </row>
    <row r="380" spans="1:17">
      <c r="A380" s="1444"/>
      <c r="C380" s="937" t="str">
        <f t="shared" si="10"/>
        <v/>
      </c>
      <c r="D380" s="1447" t="str">
        <f t="shared" si="11"/>
        <v/>
      </c>
      <c r="J380" s="939"/>
      <c r="K380" s="938"/>
      <c r="L380" s="941"/>
      <c r="M380" s="942"/>
      <c r="N380" s="943"/>
      <c r="O380" s="943"/>
      <c r="P380" s="943"/>
      <c r="Q380" s="943"/>
    </row>
    <row r="381" spans="1:17">
      <c r="A381" s="1444"/>
      <c r="B381" s="939"/>
      <c r="C381" s="937" t="str">
        <f t="shared" si="10"/>
        <v/>
      </c>
      <c r="D381" s="1448" t="str">
        <f t="shared" si="11"/>
        <v/>
      </c>
      <c r="E381" s="938"/>
      <c r="F381" s="938"/>
      <c r="G381" s="938"/>
      <c r="I381" s="944"/>
      <c r="J381" s="939"/>
      <c r="K381" s="938"/>
      <c r="L381" s="941"/>
      <c r="M381" s="942"/>
      <c r="N381" s="943"/>
      <c r="O381" s="943"/>
      <c r="P381" s="943"/>
      <c r="Q381" s="943"/>
    </row>
    <row r="382" spans="1:17">
      <c r="A382" s="1444"/>
      <c r="B382" s="939"/>
      <c r="C382" s="937" t="str">
        <f t="shared" si="10"/>
        <v/>
      </c>
      <c r="D382" s="1448" t="str">
        <f t="shared" si="11"/>
        <v/>
      </c>
      <c r="E382" s="938"/>
      <c r="F382" s="938"/>
      <c r="G382" s="938"/>
      <c r="I382" s="944"/>
      <c r="J382" s="939"/>
      <c r="K382" s="938"/>
      <c r="L382" s="941"/>
      <c r="M382" s="942"/>
      <c r="N382" s="943"/>
      <c r="O382" s="943"/>
      <c r="P382" s="943"/>
      <c r="Q382" s="943"/>
    </row>
    <row r="383" spans="1:17">
      <c r="A383" s="1444"/>
      <c r="B383" s="939"/>
      <c r="C383" s="937" t="str">
        <f t="shared" si="10"/>
        <v/>
      </c>
      <c r="D383" s="1448" t="str">
        <f t="shared" si="11"/>
        <v/>
      </c>
      <c r="F383" s="938"/>
      <c r="J383" s="939"/>
      <c r="K383" s="938"/>
      <c r="L383" s="941"/>
      <c r="M383" s="942"/>
      <c r="N383" s="943"/>
      <c r="O383" s="943"/>
      <c r="P383" s="943"/>
      <c r="Q383" s="943"/>
    </row>
    <row r="384" spans="1:17">
      <c r="A384" s="1444"/>
      <c r="C384" s="937" t="str">
        <f t="shared" si="10"/>
        <v/>
      </c>
      <c r="D384" s="1448" t="str">
        <f t="shared" si="11"/>
        <v/>
      </c>
      <c r="J384" s="939"/>
      <c r="K384" s="938"/>
      <c r="L384" s="941"/>
      <c r="M384" s="942"/>
      <c r="N384" s="943"/>
      <c r="O384" s="943"/>
      <c r="P384" s="943"/>
      <c r="Q384" s="943"/>
    </row>
    <row r="385" spans="1:17">
      <c r="A385" s="1444"/>
      <c r="C385" s="937" t="str">
        <f t="shared" si="10"/>
        <v/>
      </c>
      <c r="D385" s="1447" t="str">
        <f t="shared" si="11"/>
        <v/>
      </c>
      <c r="J385" s="939"/>
      <c r="K385" s="938"/>
      <c r="L385" s="941"/>
      <c r="M385" s="942"/>
      <c r="N385" s="943"/>
      <c r="O385" s="943"/>
      <c r="P385" s="943"/>
      <c r="Q385" s="943"/>
    </row>
    <row r="386" spans="1:17">
      <c r="A386" s="1444"/>
      <c r="C386" s="937" t="str">
        <f t="shared" ref="C386:C449" si="12">IFERROR(1440/D386, "")</f>
        <v/>
      </c>
      <c r="D386" s="1447" t="str">
        <f t="shared" ref="D386:D449" si="13">IF(B386="", "", IF(B386&lt;1, B386*1440, B386))</f>
        <v/>
      </c>
      <c r="F386" s="938"/>
      <c r="J386" s="939"/>
      <c r="K386" s="938"/>
      <c r="L386" s="941"/>
      <c r="M386" s="942"/>
      <c r="N386" s="943"/>
      <c r="O386" s="943"/>
      <c r="P386" s="943"/>
      <c r="Q386" s="943"/>
    </row>
    <row r="387" spans="1:17">
      <c r="A387" s="1444"/>
      <c r="B387" s="939"/>
      <c r="C387" s="937" t="str">
        <f t="shared" si="12"/>
        <v/>
      </c>
      <c r="D387" s="1448" t="str">
        <f t="shared" si="13"/>
        <v/>
      </c>
      <c r="E387" s="938"/>
      <c r="F387" s="938"/>
      <c r="G387" s="938"/>
      <c r="I387" s="944"/>
      <c r="J387" s="939"/>
      <c r="K387" s="938"/>
      <c r="L387" s="941"/>
      <c r="M387" s="942"/>
      <c r="N387" s="943"/>
      <c r="O387" s="943"/>
      <c r="P387" s="943"/>
      <c r="Q387" s="943"/>
    </row>
    <row r="388" spans="1:17">
      <c r="A388" s="1444"/>
      <c r="C388" s="937" t="str">
        <f t="shared" si="12"/>
        <v/>
      </c>
      <c r="D388" s="1447" t="str">
        <f t="shared" si="13"/>
        <v/>
      </c>
      <c r="J388" s="939"/>
      <c r="K388" s="938"/>
      <c r="L388" s="941"/>
      <c r="M388" s="942"/>
      <c r="N388" s="943"/>
      <c r="O388" s="943"/>
      <c r="P388" s="943"/>
      <c r="Q388" s="943"/>
    </row>
    <row r="389" spans="1:17">
      <c r="A389" s="1444"/>
      <c r="C389" s="937" t="str">
        <f t="shared" si="12"/>
        <v/>
      </c>
      <c r="D389" s="1447" t="str">
        <f t="shared" si="13"/>
        <v/>
      </c>
      <c r="F389" s="938"/>
      <c r="J389" s="939"/>
      <c r="K389" s="938"/>
      <c r="L389" s="941"/>
      <c r="M389" s="942"/>
      <c r="N389" s="943"/>
      <c r="O389" s="943"/>
      <c r="P389" s="943"/>
      <c r="Q389" s="943"/>
    </row>
    <row r="390" spans="1:17">
      <c r="A390" s="1444"/>
      <c r="B390" s="939"/>
      <c r="C390" s="937" t="str">
        <f t="shared" si="12"/>
        <v/>
      </c>
      <c r="D390" s="1448" t="str">
        <f t="shared" si="13"/>
        <v/>
      </c>
      <c r="E390" s="938"/>
      <c r="F390" s="938"/>
      <c r="G390" s="938"/>
      <c r="I390" s="944"/>
      <c r="J390" s="939"/>
      <c r="K390" s="938"/>
      <c r="L390" s="941"/>
      <c r="M390" s="942"/>
      <c r="N390" s="943"/>
      <c r="O390" s="943"/>
      <c r="P390" s="943"/>
      <c r="Q390" s="943"/>
    </row>
    <row r="391" spans="1:17">
      <c r="A391" s="1444"/>
      <c r="C391" s="937" t="str">
        <f t="shared" si="12"/>
        <v/>
      </c>
      <c r="D391" s="1447" t="str">
        <f t="shared" si="13"/>
        <v/>
      </c>
      <c r="J391" s="939"/>
      <c r="K391" s="938"/>
      <c r="L391" s="941"/>
      <c r="M391" s="942"/>
      <c r="N391" s="943"/>
      <c r="O391" s="943"/>
      <c r="P391" s="943"/>
      <c r="Q391" s="943"/>
    </row>
    <row r="392" spans="1:17">
      <c r="A392" s="1444"/>
      <c r="C392" s="937" t="str">
        <f t="shared" si="12"/>
        <v/>
      </c>
      <c r="D392" s="1447" t="str">
        <f t="shared" si="13"/>
        <v/>
      </c>
      <c r="J392" s="939"/>
      <c r="K392" s="938"/>
      <c r="L392" s="941"/>
      <c r="M392" s="942"/>
      <c r="N392" s="943"/>
      <c r="O392" s="943"/>
      <c r="P392" s="943"/>
      <c r="Q392" s="943"/>
    </row>
    <row r="393" spans="1:17">
      <c r="A393" s="1444"/>
      <c r="B393" s="939"/>
      <c r="C393" s="937" t="str">
        <f t="shared" si="12"/>
        <v/>
      </c>
      <c r="D393" s="1448" t="str">
        <f t="shared" si="13"/>
        <v/>
      </c>
      <c r="E393" s="938"/>
      <c r="F393" s="938"/>
      <c r="G393" s="938"/>
      <c r="I393" s="940"/>
      <c r="J393" s="939"/>
      <c r="K393" s="938"/>
      <c r="L393" s="941"/>
      <c r="M393" s="942"/>
      <c r="N393" s="943"/>
      <c r="O393" s="943"/>
      <c r="P393" s="943"/>
      <c r="Q393" s="943"/>
    </row>
    <row r="394" spans="1:17">
      <c r="A394" s="1444"/>
      <c r="C394" s="937" t="str">
        <f t="shared" si="12"/>
        <v/>
      </c>
      <c r="D394" s="1447" t="str">
        <f t="shared" si="13"/>
        <v/>
      </c>
      <c r="F394" s="938"/>
      <c r="J394" s="939"/>
      <c r="K394" s="938"/>
      <c r="L394" s="941"/>
      <c r="M394" s="942"/>
      <c r="N394" s="943"/>
      <c r="O394" s="943"/>
      <c r="P394" s="943"/>
      <c r="Q394" s="943"/>
    </row>
    <row r="395" spans="1:17">
      <c r="A395" s="1444"/>
      <c r="C395" s="937" t="str">
        <f t="shared" si="12"/>
        <v/>
      </c>
      <c r="D395" s="1447" t="str">
        <f t="shared" si="13"/>
        <v/>
      </c>
      <c r="F395" s="938"/>
      <c r="J395" s="939"/>
      <c r="K395" s="938"/>
      <c r="L395" s="941"/>
      <c r="M395" s="942"/>
      <c r="N395" s="943"/>
      <c r="O395" s="943"/>
      <c r="P395" s="943"/>
      <c r="Q395" s="943"/>
    </row>
    <row r="396" spans="1:17">
      <c r="A396" s="1444"/>
      <c r="B396" s="939"/>
      <c r="C396" s="937" t="str">
        <f t="shared" si="12"/>
        <v/>
      </c>
      <c r="D396" s="1448" t="str">
        <f t="shared" si="13"/>
        <v/>
      </c>
      <c r="E396" s="938"/>
      <c r="F396" s="938"/>
      <c r="G396" s="938"/>
      <c r="J396" s="939"/>
      <c r="K396" s="938"/>
      <c r="L396" s="941"/>
      <c r="M396" s="942"/>
      <c r="N396" s="943"/>
      <c r="O396" s="943"/>
      <c r="P396" s="943"/>
      <c r="Q396" s="943"/>
    </row>
    <row r="397" spans="1:17">
      <c r="A397" s="1444"/>
      <c r="C397" s="937" t="str">
        <f t="shared" si="12"/>
        <v/>
      </c>
      <c r="D397" s="1447" t="str">
        <f t="shared" si="13"/>
        <v/>
      </c>
      <c r="J397" s="939"/>
      <c r="K397" s="938"/>
      <c r="L397" s="941"/>
      <c r="M397" s="942"/>
      <c r="N397" s="943"/>
      <c r="O397" s="943"/>
      <c r="P397" s="943"/>
      <c r="Q397" s="943"/>
    </row>
    <row r="398" spans="1:17">
      <c r="A398" s="1444"/>
      <c r="B398" s="939"/>
      <c r="C398" s="937" t="str">
        <f t="shared" si="12"/>
        <v/>
      </c>
      <c r="D398" s="1448" t="str">
        <f t="shared" si="13"/>
        <v/>
      </c>
      <c r="E398" s="938"/>
      <c r="G398" s="938"/>
      <c r="J398" s="939"/>
      <c r="K398" s="938"/>
      <c r="L398" s="941"/>
      <c r="M398" s="942"/>
      <c r="N398" s="943"/>
      <c r="O398" s="943"/>
      <c r="P398" s="943"/>
      <c r="Q398" s="943"/>
    </row>
    <row r="399" spans="1:17">
      <c r="A399" s="1444"/>
      <c r="B399" s="939"/>
      <c r="C399" s="937" t="str">
        <f t="shared" si="12"/>
        <v/>
      </c>
      <c r="D399" s="1448" t="str">
        <f t="shared" si="13"/>
        <v/>
      </c>
      <c r="E399" s="938"/>
      <c r="F399" s="938"/>
      <c r="G399" s="938"/>
      <c r="I399" s="944"/>
      <c r="J399" s="939"/>
      <c r="K399" s="938"/>
      <c r="L399" s="941"/>
      <c r="M399" s="942"/>
      <c r="N399" s="943"/>
      <c r="O399" s="943"/>
      <c r="P399" s="943"/>
      <c r="Q399" s="943"/>
    </row>
    <row r="400" spans="1:17">
      <c r="A400" s="1444"/>
      <c r="B400" s="939"/>
      <c r="C400" s="937" t="str">
        <f t="shared" si="12"/>
        <v/>
      </c>
      <c r="D400" s="1448" t="str">
        <f t="shared" si="13"/>
        <v/>
      </c>
      <c r="E400" s="938"/>
      <c r="F400" s="938"/>
      <c r="G400" s="938"/>
      <c r="I400" s="940"/>
      <c r="J400" s="939"/>
      <c r="K400" s="938"/>
      <c r="L400" s="941"/>
      <c r="M400" s="942"/>
      <c r="N400" s="943"/>
      <c r="O400" s="943"/>
      <c r="P400" s="943"/>
      <c r="Q400" s="943"/>
    </row>
    <row r="401" spans="1:17">
      <c r="A401" s="1444"/>
      <c r="C401" s="937" t="str">
        <f t="shared" si="12"/>
        <v/>
      </c>
      <c r="D401" s="1447" t="str">
        <f t="shared" si="13"/>
        <v/>
      </c>
      <c r="F401" s="938"/>
      <c r="J401" s="939"/>
      <c r="K401" s="938"/>
      <c r="L401" s="941"/>
      <c r="M401" s="942"/>
      <c r="N401" s="943"/>
      <c r="O401" s="943"/>
      <c r="P401" s="943"/>
      <c r="Q401" s="943"/>
    </row>
    <row r="402" spans="1:17">
      <c r="A402" s="1444"/>
      <c r="B402" s="939"/>
      <c r="C402" s="937" t="str">
        <f t="shared" si="12"/>
        <v/>
      </c>
      <c r="D402" s="1448" t="str">
        <f t="shared" si="13"/>
        <v/>
      </c>
      <c r="E402" s="938"/>
      <c r="F402" s="938"/>
      <c r="G402" s="938"/>
      <c r="H402" s="939"/>
      <c r="I402" s="940"/>
      <c r="J402" s="939"/>
      <c r="K402" s="938"/>
      <c r="L402" s="941"/>
      <c r="M402" s="942"/>
      <c r="N402" s="943"/>
      <c r="O402" s="943"/>
      <c r="P402" s="943"/>
      <c r="Q402" s="943"/>
    </row>
    <row r="403" spans="1:17">
      <c r="A403" s="1444"/>
      <c r="B403" s="939"/>
      <c r="C403" s="937" t="str">
        <f t="shared" si="12"/>
        <v/>
      </c>
      <c r="D403" s="1448" t="str">
        <f t="shared" si="13"/>
        <v/>
      </c>
      <c r="E403" s="938"/>
      <c r="F403" s="938"/>
      <c r="G403" s="938"/>
      <c r="I403" s="940"/>
      <c r="J403" s="939"/>
      <c r="K403" s="938"/>
      <c r="L403" s="941"/>
      <c r="M403" s="942"/>
      <c r="N403" s="943"/>
      <c r="O403" s="943"/>
      <c r="P403" s="943"/>
      <c r="Q403" s="943"/>
    </row>
    <row r="404" spans="1:17">
      <c r="A404" s="1444"/>
      <c r="C404" s="937" t="str">
        <f t="shared" si="12"/>
        <v/>
      </c>
      <c r="D404" s="1447" t="str">
        <f t="shared" si="13"/>
        <v/>
      </c>
      <c r="J404" s="939"/>
      <c r="K404" s="938"/>
      <c r="L404" s="941"/>
      <c r="M404" s="942"/>
      <c r="N404" s="943"/>
      <c r="O404" s="943"/>
      <c r="P404" s="943"/>
      <c r="Q404" s="943"/>
    </row>
    <row r="405" spans="1:17">
      <c r="A405" s="1444"/>
      <c r="B405" s="939"/>
      <c r="C405" s="937" t="str">
        <f t="shared" si="12"/>
        <v/>
      </c>
      <c r="D405" s="1448" t="str">
        <f t="shared" si="13"/>
        <v/>
      </c>
      <c r="E405" s="938"/>
      <c r="F405" s="938"/>
      <c r="G405" s="938"/>
      <c r="J405" s="939"/>
      <c r="K405" s="938"/>
      <c r="L405" s="941"/>
      <c r="M405" s="942"/>
      <c r="N405" s="943"/>
      <c r="O405" s="943"/>
      <c r="P405" s="943"/>
      <c r="Q405" s="943"/>
    </row>
    <row r="406" spans="1:17">
      <c r="A406" s="1444"/>
      <c r="B406" s="939"/>
      <c r="C406" s="937" t="str">
        <f t="shared" si="12"/>
        <v/>
      </c>
      <c r="D406" s="1448" t="str">
        <f t="shared" si="13"/>
        <v/>
      </c>
      <c r="E406" s="938"/>
      <c r="F406" s="938"/>
      <c r="G406" s="938"/>
      <c r="J406" s="939"/>
      <c r="K406" s="938"/>
      <c r="L406" s="941"/>
      <c r="M406" s="942"/>
      <c r="N406" s="943"/>
      <c r="O406" s="943"/>
      <c r="P406" s="943"/>
      <c r="Q406" s="943"/>
    </row>
    <row r="407" spans="1:17">
      <c r="A407" s="1444"/>
      <c r="C407" s="937" t="str">
        <f t="shared" si="12"/>
        <v/>
      </c>
      <c r="D407" s="1447" t="str">
        <f t="shared" si="13"/>
        <v/>
      </c>
      <c r="H407" s="939"/>
      <c r="J407" s="939"/>
      <c r="K407" s="938"/>
      <c r="L407" s="941"/>
      <c r="M407" s="942"/>
      <c r="N407" s="943"/>
      <c r="O407" s="943"/>
      <c r="P407" s="943"/>
      <c r="Q407" s="943"/>
    </row>
    <row r="408" spans="1:17">
      <c r="A408" s="1444"/>
      <c r="C408" s="937" t="str">
        <f t="shared" si="12"/>
        <v/>
      </c>
      <c r="D408" s="1447" t="str">
        <f t="shared" si="13"/>
        <v/>
      </c>
      <c r="J408" s="939"/>
      <c r="K408" s="938"/>
      <c r="L408" s="941"/>
      <c r="M408" s="942"/>
      <c r="N408" s="943"/>
      <c r="O408" s="943"/>
      <c r="P408" s="943"/>
      <c r="Q408" s="943"/>
    </row>
    <row r="409" spans="1:17">
      <c r="A409" s="1444"/>
      <c r="B409" s="939"/>
      <c r="C409" s="937" t="str">
        <f t="shared" si="12"/>
        <v/>
      </c>
      <c r="D409" s="1448" t="str">
        <f t="shared" si="13"/>
        <v/>
      </c>
      <c r="E409" s="938"/>
      <c r="F409" s="938"/>
      <c r="G409" s="938"/>
      <c r="I409" s="944"/>
      <c r="J409" s="939"/>
      <c r="K409" s="938"/>
      <c r="L409" s="941"/>
      <c r="M409" s="942"/>
      <c r="N409" s="943"/>
      <c r="O409" s="943"/>
      <c r="P409" s="943"/>
      <c r="Q409" s="943"/>
    </row>
    <row r="410" spans="1:17">
      <c r="A410" s="1444"/>
      <c r="C410" s="937" t="str">
        <f t="shared" si="12"/>
        <v/>
      </c>
      <c r="D410" s="1447" t="str">
        <f t="shared" si="13"/>
        <v/>
      </c>
      <c r="J410" s="939"/>
      <c r="K410" s="938"/>
      <c r="L410" s="941"/>
      <c r="M410" s="942"/>
      <c r="N410" s="943"/>
      <c r="O410" s="943"/>
      <c r="P410" s="943"/>
      <c r="Q410" s="943"/>
    </row>
    <row r="411" spans="1:17">
      <c r="A411" s="1444"/>
      <c r="C411" s="937" t="str">
        <f t="shared" si="12"/>
        <v/>
      </c>
      <c r="D411" s="1447" t="str">
        <f t="shared" si="13"/>
        <v/>
      </c>
      <c r="J411" s="939"/>
      <c r="K411" s="938"/>
      <c r="L411" s="941"/>
      <c r="M411" s="942"/>
      <c r="N411" s="943"/>
      <c r="O411" s="943"/>
      <c r="P411" s="943"/>
      <c r="Q411" s="943"/>
    </row>
    <row r="412" spans="1:17">
      <c r="A412" s="1444"/>
      <c r="B412" s="939"/>
      <c r="C412" s="937" t="str">
        <f t="shared" si="12"/>
        <v/>
      </c>
      <c r="D412" s="1448" t="str">
        <f t="shared" si="13"/>
        <v/>
      </c>
      <c r="E412" s="938"/>
      <c r="F412" s="938"/>
      <c r="G412" s="938"/>
      <c r="H412" s="939"/>
      <c r="I412" s="940"/>
      <c r="J412" s="939"/>
      <c r="K412" s="938"/>
      <c r="L412" s="941"/>
      <c r="M412" s="942"/>
      <c r="N412" s="943"/>
      <c r="O412" s="943"/>
      <c r="P412" s="943"/>
      <c r="Q412" s="943"/>
    </row>
    <row r="413" spans="1:17">
      <c r="A413" s="1444"/>
      <c r="B413" s="939"/>
      <c r="C413" s="937" t="str">
        <f t="shared" si="12"/>
        <v/>
      </c>
      <c r="D413" s="1448" t="str">
        <f t="shared" si="13"/>
        <v/>
      </c>
      <c r="E413" s="938"/>
      <c r="F413" s="938"/>
      <c r="G413" s="938"/>
      <c r="I413" s="939"/>
      <c r="J413" s="939"/>
      <c r="K413" s="938"/>
      <c r="L413" s="941"/>
      <c r="M413" s="942"/>
      <c r="N413" s="943"/>
      <c r="O413" s="943"/>
      <c r="P413" s="943"/>
      <c r="Q413" s="943"/>
    </row>
    <row r="414" spans="1:17">
      <c r="A414" s="1444"/>
      <c r="C414" s="937" t="str">
        <f t="shared" si="12"/>
        <v/>
      </c>
      <c r="D414" s="1447" t="str">
        <f t="shared" si="13"/>
        <v/>
      </c>
      <c r="E414" s="938"/>
      <c r="F414" s="938"/>
      <c r="J414" s="939"/>
      <c r="K414" s="938"/>
      <c r="L414" s="941"/>
      <c r="M414" s="942"/>
      <c r="N414" s="943"/>
      <c r="O414" s="943"/>
      <c r="P414" s="943"/>
      <c r="Q414" s="943"/>
    </row>
    <row r="415" spans="1:17">
      <c r="A415" s="1444"/>
      <c r="C415" s="937" t="str">
        <f t="shared" si="12"/>
        <v/>
      </c>
      <c r="D415" s="1447" t="str">
        <f t="shared" si="13"/>
        <v/>
      </c>
      <c r="F415" s="938"/>
      <c r="J415" s="939"/>
      <c r="K415" s="938"/>
      <c r="L415" s="941"/>
      <c r="M415" s="942"/>
      <c r="N415" s="943"/>
      <c r="O415" s="943"/>
      <c r="P415" s="943"/>
      <c r="Q415" s="943"/>
    </row>
    <row r="416" spans="1:17">
      <c r="A416" s="1444"/>
      <c r="C416" s="937" t="str">
        <f t="shared" si="12"/>
        <v/>
      </c>
      <c r="D416" s="1447" t="str">
        <f t="shared" si="13"/>
        <v/>
      </c>
      <c r="J416" s="939"/>
      <c r="K416" s="938"/>
      <c r="L416" s="941"/>
      <c r="M416" s="942"/>
      <c r="N416" s="943"/>
      <c r="O416" s="943"/>
      <c r="P416" s="943"/>
      <c r="Q416" s="943"/>
    </row>
    <row r="417" spans="1:17">
      <c r="A417" s="1444"/>
      <c r="C417" s="937" t="str">
        <f t="shared" si="12"/>
        <v/>
      </c>
      <c r="D417" s="1447" t="str">
        <f t="shared" si="13"/>
        <v/>
      </c>
      <c r="J417" s="939"/>
      <c r="K417" s="938"/>
      <c r="L417" s="941"/>
      <c r="M417" s="942"/>
      <c r="N417" s="943"/>
      <c r="O417" s="943"/>
      <c r="P417" s="943"/>
      <c r="Q417" s="943"/>
    </row>
    <row r="418" spans="1:17">
      <c r="A418" s="1444"/>
      <c r="B418" s="939"/>
      <c r="C418" s="937" t="str">
        <f t="shared" si="12"/>
        <v/>
      </c>
      <c r="D418" s="1448" t="str">
        <f t="shared" si="13"/>
        <v/>
      </c>
      <c r="E418" s="938"/>
      <c r="F418" s="938"/>
      <c r="G418" s="938"/>
      <c r="J418" s="939"/>
      <c r="K418" s="938"/>
      <c r="L418" s="941"/>
      <c r="M418" s="942"/>
      <c r="N418" s="943"/>
      <c r="O418" s="943"/>
      <c r="P418" s="943"/>
      <c r="Q418" s="943"/>
    </row>
    <row r="419" spans="1:17">
      <c r="A419" s="1444"/>
      <c r="C419" s="937" t="str">
        <f t="shared" si="12"/>
        <v/>
      </c>
      <c r="D419" s="1447" t="str">
        <f t="shared" si="13"/>
        <v/>
      </c>
      <c r="J419" s="939"/>
      <c r="K419" s="938"/>
      <c r="L419" s="941"/>
      <c r="M419" s="942"/>
      <c r="N419" s="943"/>
      <c r="O419" s="943"/>
      <c r="P419" s="943"/>
      <c r="Q419" s="943"/>
    </row>
    <row r="420" spans="1:17">
      <c r="A420" s="1444"/>
      <c r="C420" s="937" t="str">
        <f t="shared" si="12"/>
        <v/>
      </c>
      <c r="D420" s="1447" t="str">
        <f t="shared" si="13"/>
        <v/>
      </c>
      <c r="J420" s="939"/>
      <c r="K420" s="938"/>
      <c r="L420" s="941"/>
      <c r="M420" s="942"/>
      <c r="N420" s="943"/>
      <c r="O420" s="943"/>
      <c r="P420" s="943"/>
      <c r="Q420" s="943"/>
    </row>
    <row r="421" spans="1:17">
      <c r="A421" s="1444"/>
      <c r="C421" s="937" t="str">
        <f t="shared" si="12"/>
        <v/>
      </c>
      <c r="D421" s="1447" t="str">
        <f t="shared" si="13"/>
        <v/>
      </c>
      <c r="J421" s="939"/>
      <c r="K421" s="938"/>
      <c r="L421" s="941"/>
      <c r="M421" s="942"/>
      <c r="N421" s="943"/>
      <c r="O421" s="943"/>
      <c r="P421" s="943"/>
      <c r="Q421" s="943"/>
    </row>
    <row r="422" spans="1:17">
      <c r="A422" s="1444"/>
      <c r="C422" s="937" t="str">
        <f t="shared" si="12"/>
        <v/>
      </c>
      <c r="D422" s="1447" t="str">
        <f t="shared" si="13"/>
        <v/>
      </c>
      <c r="J422" s="939"/>
      <c r="K422" s="938"/>
      <c r="L422" s="941"/>
      <c r="M422" s="942"/>
      <c r="N422" s="943"/>
      <c r="O422" s="943"/>
      <c r="P422" s="943"/>
      <c r="Q422" s="943"/>
    </row>
    <row r="423" spans="1:17">
      <c r="A423" s="1444"/>
      <c r="C423" s="937" t="str">
        <f t="shared" si="12"/>
        <v/>
      </c>
      <c r="D423" s="1447" t="str">
        <f t="shared" si="13"/>
        <v/>
      </c>
      <c r="J423" s="939"/>
      <c r="K423" s="938"/>
      <c r="L423" s="941"/>
      <c r="M423" s="942"/>
      <c r="N423" s="943"/>
      <c r="O423" s="943"/>
      <c r="P423" s="943"/>
      <c r="Q423" s="943"/>
    </row>
    <row r="424" spans="1:17">
      <c r="A424" s="1444"/>
      <c r="C424" s="937" t="str">
        <f t="shared" si="12"/>
        <v/>
      </c>
      <c r="D424" s="1447" t="str">
        <f t="shared" si="13"/>
        <v/>
      </c>
      <c r="F424" s="938"/>
      <c r="J424" s="939"/>
      <c r="K424" s="938"/>
      <c r="L424" s="941"/>
      <c r="M424" s="942"/>
      <c r="N424" s="943"/>
      <c r="O424" s="943"/>
      <c r="P424" s="943"/>
      <c r="Q424" s="943"/>
    </row>
    <row r="425" spans="1:17">
      <c r="A425" s="1444"/>
      <c r="B425" s="939"/>
      <c r="C425" s="937" t="str">
        <f t="shared" si="12"/>
        <v/>
      </c>
      <c r="D425" s="1448" t="str">
        <f t="shared" si="13"/>
        <v/>
      </c>
      <c r="E425" s="938"/>
      <c r="F425" s="938"/>
      <c r="G425" s="938"/>
      <c r="I425" s="939"/>
      <c r="J425" s="939"/>
      <c r="K425" s="938"/>
      <c r="L425" s="941"/>
      <c r="M425" s="942"/>
      <c r="N425" s="943"/>
      <c r="O425" s="943"/>
      <c r="P425" s="943"/>
      <c r="Q425" s="943"/>
    </row>
    <row r="426" spans="1:17">
      <c r="A426" s="1444"/>
      <c r="B426" s="939"/>
      <c r="C426" s="937" t="str">
        <f t="shared" si="12"/>
        <v/>
      </c>
      <c r="D426" s="1448" t="str">
        <f t="shared" si="13"/>
        <v/>
      </c>
      <c r="E426" s="938"/>
      <c r="F426" s="938"/>
      <c r="G426" s="938"/>
      <c r="I426" s="944"/>
      <c r="J426" s="939"/>
      <c r="K426" s="938"/>
      <c r="L426" s="941"/>
      <c r="M426" s="942"/>
      <c r="N426" s="943"/>
      <c r="O426" s="943"/>
      <c r="P426" s="943"/>
      <c r="Q426" s="943"/>
    </row>
    <row r="427" spans="1:17">
      <c r="A427" s="1444"/>
      <c r="C427" s="937" t="str">
        <f t="shared" si="12"/>
        <v/>
      </c>
      <c r="D427" s="1447" t="str">
        <f t="shared" si="13"/>
        <v/>
      </c>
      <c r="J427" s="939"/>
      <c r="K427" s="938"/>
      <c r="L427" s="941"/>
      <c r="M427" s="942"/>
      <c r="N427" s="943"/>
      <c r="O427" s="943"/>
      <c r="P427" s="943"/>
      <c r="Q427" s="943"/>
    </row>
    <row r="428" spans="1:17">
      <c r="A428" s="1444"/>
      <c r="B428" s="939"/>
      <c r="C428" s="937" t="str">
        <f t="shared" si="12"/>
        <v/>
      </c>
      <c r="D428" s="1448" t="str">
        <f t="shared" si="13"/>
        <v/>
      </c>
      <c r="E428" s="938"/>
      <c r="F428" s="938"/>
      <c r="G428" s="938"/>
      <c r="I428" s="944"/>
      <c r="J428" s="939"/>
      <c r="K428" s="938"/>
      <c r="L428" s="941"/>
      <c r="M428" s="942"/>
      <c r="N428" s="943"/>
      <c r="O428" s="943"/>
      <c r="P428" s="943"/>
      <c r="Q428" s="943"/>
    </row>
    <row r="429" spans="1:17">
      <c r="A429" s="1444"/>
      <c r="C429" s="937" t="str">
        <f t="shared" si="12"/>
        <v/>
      </c>
      <c r="D429" s="1447" t="str">
        <f t="shared" si="13"/>
        <v/>
      </c>
      <c r="F429" s="938"/>
      <c r="J429" s="939"/>
      <c r="K429" s="938"/>
      <c r="L429" s="941"/>
      <c r="M429" s="942"/>
      <c r="N429" s="943"/>
      <c r="O429" s="943"/>
      <c r="P429" s="943"/>
      <c r="Q429" s="943"/>
    </row>
    <row r="430" spans="1:17">
      <c r="A430" s="1444"/>
      <c r="C430" s="937" t="str">
        <f t="shared" si="12"/>
        <v/>
      </c>
      <c r="D430" s="1447" t="str">
        <f t="shared" si="13"/>
        <v/>
      </c>
      <c r="J430" s="939"/>
      <c r="K430" s="938"/>
      <c r="L430" s="941"/>
      <c r="M430" s="942"/>
      <c r="N430" s="943"/>
      <c r="O430" s="943"/>
      <c r="P430" s="943"/>
      <c r="Q430" s="943"/>
    </row>
    <row r="431" spans="1:17">
      <c r="A431" s="1444"/>
      <c r="B431" s="939"/>
      <c r="C431" s="937" t="str">
        <f t="shared" si="12"/>
        <v/>
      </c>
      <c r="D431" s="1448" t="str">
        <f t="shared" si="13"/>
        <v/>
      </c>
      <c r="E431" s="938"/>
      <c r="F431" s="938"/>
      <c r="G431" s="938"/>
      <c r="I431" s="944"/>
      <c r="J431" s="939"/>
      <c r="K431" s="938"/>
      <c r="L431" s="941"/>
      <c r="M431" s="942"/>
      <c r="N431" s="943"/>
      <c r="O431" s="943"/>
      <c r="P431" s="943"/>
      <c r="Q431" s="943"/>
    </row>
    <row r="432" spans="1:17">
      <c r="A432" s="1444"/>
      <c r="B432" s="939"/>
      <c r="C432" s="937" t="str">
        <f t="shared" si="12"/>
        <v/>
      </c>
      <c r="D432" s="1448" t="str">
        <f t="shared" si="13"/>
        <v/>
      </c>
      <c r="E432" s="938"/>
      <c r="F432" s="938"/>
      <c r="G432" s="938"/>
      <c r="I432" s="944"/>
      <c r="J432" s="939"/>
      <c r="K432" s="938"/>
      <c r="L432" s="941"/>
      <c r="M432" s="942"/>
      <c r="N432" s="943"/>
      <c r="O432" s="943"/>
      <c r="P432" s="943"/>
      <c r="Q432" s="943"/>
    </row>
    <row r="433" spans="1:17">
      <c r="A433" s="1444"/>
      <c r="B433" s="939"/>
      <c r="C433" s="937" t="str">
        <f t="shared" si="12"/>
        <v/>
      </c>
      <c r="D433" s="1448" t="str">
        <f t="shared" si="13"/>
        <v/>
      </c>
      <c r="E433" s="938"/>
      <c r="F433" s="938"/>
      <c r="G433" s="938"/>
      <c r="J433" s="939"/>
      <c r="K433" s="938"/>
      <c r="L433" s="941"/>
      <c r="M433" s="942"/>
      <c r="N433" s="943"/>
      <c r="O433" s="943"/>
      <c r="P433" s="943"/>
      <c r="Q433" s="943"/>
    </row>
    <row r="434" spans="1:17">
      <c r="A434" s="1444"/>
      <c r="C434" s="937" t="str">
        <f t="shared" si="12"/>
        <v/>
      </c>
      <c r="D434" s="1447" t="str">
        <f t="shared" si="13"/>
        <v/>
      </c>
      <c r="J434" s="939"/>
      <c r="K434" s="938"/>
      <c r="L434" s="941"/>
      <c r="M434" s="942"/>
      <c r="N434" s="943"/>
      <c r="O434" s="943"/>
      <c r="P434" s="943"/>
      <c r="Q434" s="943"/>
    </row>
    <row r="435" spans="1:17">
      <c r="A435" s="1444"/>
      <c r="C435" s="937" t="str">
        <f t="shared" si="12"/>
        <v/>
      </c>
      <c r="D435" s="1447" t="str">
        <f t="shared" si="13"/>
        <v/>
      </c>
      <c r="K435" s="938"/>
      <c r="L435" s="941"/>
      <c r="M435" s="942"/>
      <c r="N435" s="943"/>
      <c r="O435" s="943"/>
      <c r="P435" s="943"/>
      <c r="Q435" s="943"/>
    </row>
    <row r="436" spans="1:17">
      <c r="A436" s="1444"/>
      <c r="C436" s="937" t="str">
        <f t="shared" si="12"/>
        <v/>
      </c>
      <c r="D436" s="1447" t="str">
        <f t="shared" si="13"/>
        <v/>
      </c>
      <c r="J436" s="939"/>
      <c r="K436" s="938"/>
      <c r="L436" s="941"/>
      <c r="M436" s="942"/>
      <c r="N436" s="943"/>
      <c r="O436" s="943"/>
      <c r="P436" s="943"/>
      <c r="Q436" s="943"/>
    </row>
    <row r="437" spans="1:17">
      <c r="A437" s="1444"/>
      <c r="B437" s="939"/>
      <c r="C437" s="937" t="str">
        <f t="shared" si="12"/>
        <v/>
      </c>
      <c r="D437" s="1448" t="str">
        <f t="shared" si="13"/>
        <v/>
      </c>
      <c r="E437" s="938"/>
      <c r="F437" s="938"/>
      <c r="G437" s="938"/>
      <c r="H437" s="939"/>
      <c r="J437" s="939"/>
      <c r="K437" s="938"/>
      <c r="L437" s="941"/>
      <c r="M437" s="942"/>
      <c r="N437" s="943"/>
      <c r="O437" s="943"/>
      <c r="P437" s="943"/>
      <c r="Q437" s="943"/>
    </row>
    <row r="438" spans="1:17">
      <c r="A438" s="1444"/>
      <c r="C438" s="937" t="str">
        <f t="shared" si="12"/>
        <v/>
      </c>
      <c r="D438" s="1447" t="str">
        <f t="shared" si="13"/>
        <v/>
      </c>
      <c r="F438" s="938"/>
      <c r="J438" s="939"/>
      <c r="K438" s="938"/>
      <c r="L438" s="941"/>
      <c r="M438" s="942"/>
      <c r="N438" s="943"/>
      <c r="O438" s="943"/>
      <c r="P438" s="943"/>
      <c r="Q438" s="943"/>
    </row>
    <row r="439" spans="1:17">
      <c r="A439" s="1444"/>
      <c r="C439" s="937" t="str">
        <f t="shared" si="12"/>
        <v/>
      </c>
      <c r="D439" s="1447" t="str">
        <f t="shared" si="13"/>
        <v/>
      </c>
      <c r="F439" s="938"/>
      <c r="J439" s="939"/>
      <c r="K439" s="938"/>
      <c r="L439" s="941"/>
      <c r="M439" s="942"/>
      <c r="N439" s="943"/>
      <c r="O439" s="943"/>
      <c r="P439" s="943"/>
      <c r="Q439" s="943"/>
    </row>
    <row r="440" spans="1:17">
      <c r="A440" s="1444"/>
      <c r="B440" s="939"/>
      <c r="C440" s="937" t="str">
        <f t="shared" si="12"/>
        <v/>
      </c>
      <c r="D440" s="1448" t="str">
        <f t="shared" si="13"/>
        <v/>
      </c>
      <c r="E440" s="938"/>
      <c r="F440" s="938"/>
      <c r="G440" s="938"/>
      <c r="I440" s="944"/>
      <c r="J440" s="939"/>
      <c r="K440" s="938"/>
      <c r="L440" s="941"/>
      <c r="M440" s="942"/>
      <c r="N440" s="943"/>
      <c r="O440" s="943"/>
      <c r="P440" s="943"/>
      <c r="Q440" s="943"/>
    </row>
    <row r="441" spans="1:17">
      <c r="A441" s="1444"/>
      <c r="B441" s="939"/>
      <c r="C441" s="937" t="str">
        <f t="shared" si="12"/>
        <v/>
      </c>
      <c r="D441" s="1448" t="str">
        <f t="shared" si="13"/>
        <v/>
      </c>
      <c r="E441" s="938"/>
      <c r="F441" s="938"/>
      <c r="G441" s="938"/>
      <c r="J441" s="939"/>
      <c r="K441" s="938"/>
      <c r="L441" s="941"/>
      <c r="M441" s="942"/>
      <c r="N441" s="943"/>
      <c r="O441" s="943"/>
      <c r="P441" s="943"/>
      <c r="Q441" s="943"/>
    </row>
    <row r="442" spans="1:17">
      <c r="A442" s="1444"/>
      <c r="C442" s="937" t="str">
        <f t="shared" si="12"/>
        <v/>
      </c>
      <c r="D442" s="1447" t="str">
        <f t="shared" si="13"/>
        <v/>
      </c>
      <c r="J442" s="939"/>
      <c r="K442" s="938"/>
      <c r="L442" s="941"/>
      <c r="M442" s="942"/>
      <c r="N442" s="943"/>
      <c r="O442" s="943"/>
      <c r="P442" s="943"/>
      <c r="Q442" s="943"/>
    </row>
    <row r="443" spans="1:17">
      <c r="A443" s="1444"/>
      <c r="C443" s="937" t="str">
        <f t="shared" si="12"/>
        <v/>
      </c>
      <c r="D443" s="1447" t="str">
        <f t="shared" si="13"/>
        <v/>
      </c>
      <c r="J443" s="939"/>
      <c r="K443" s="938"/>
      <c r="L443" s="941"/>
      <c r="M443" s="942"/>
      <c r="N443" s="943"/>
      <c r="O443" s="943"/>
      <c r="P443" s="943"/>
      <c r="Q443" s="943"/>
    </row>
    <row r="444" spans="1:17">
      <c r="A444" s="1444"/>
      <c r="C444" s="937" t="str">
        <f t="shared" si="12"/>
        <v/>
      </c>
      <c r="D444" s="1447" t="str">
        <f t="shared" si="13"/>
        <v/>
      </c>
      <c r="J444" s="939"/>
      <c r="K444" s="938"/>
      <c r="L444" s="941"/>
      <c r="M444" s="942"/>
      <c r="N444" s="943"/>
      <c r="O444" s="943"/>
      <c r="P444" s="943"/>
      <c r="Q444" s="943"/>
    </row>
    <row r="445" spans="1:17">
      <c r="A445" s="1444"/>
      <c r="B445" s="939"/>
      <c r="C445" s="937" t="str">
        <f t="shared" si="12"/>
        <v/>
      </c>
      <c r="D445" s="1448" t="str">
        <f t="shared" si="13"/>
        <v/>
      </c>
      <c r="E445" s="938"/>
      <c r="F445" s="938"/>
      <c r="G445" s="938"/>
      <c r="J445" s="939"/>
      <c r="K445" s="938"/>
      <c r="L445" s="941"/>
      <c r="M445" s="942"/>
      <c r="N445" s="943"/>
      <c r="O445" s="943"/>
      <c r="P445" s="943"/>
      <c r="Q445" s="943"/>
    </row>
    <row r="446" spans="1:17">
      <c r="A446" s="1444"/>
      <c r="B446" s="939"/>
      <c r="C446" s="937" t="str">
        <f t="shared" si="12"/>
        <v/>
      </c>
      <c r="D446" s="1448" t="str">
        <f t="shared" si="13"/>
        <v/>
      </c>
      <c r="E446" s="938"/>
      <c r="F446" s="938"/>
      <c r="G446" s="938"/>
      <c r="J446" s="939"/>
      <c r="K446" s="938"/>
      <c r="L446" s="941"/>
      <c r="M446" s="942"/>
      <c r="N446" s="943"/>
      <c r="O446" s="943"/>
      <c r="P446" s="943"/>
      <c r="Q446" s="943"/>
    </row>
    <row r="447" spans="1:17">
      <c r="A447" s="1444"/>
      <c r="C447" s="937" t="str">
        <f t="shared" si="12"/>
        <v/>
      </c>
      <c r="D447" s="1447" t="str">
        <f t="shared" si="13"/>
        <v/>
      </c>
      <c r="F447" s="938"/>
      <c r="J447" s="939"/>
      <c r="K447" s="938"/>
      <c r="L447" s="941"/>
      <c r="M447" s="942"/>
      <c r="N447" s="943"/>
      <c r="O447" s="943"/>
      <c r="P447" s="943"/>
      <c r="Q447" s="943"/>
    </row>
    <row r="448" spans="1:17">
      <c r="A448" s="1444"/>
      <c r="C448" s="937" t="str">
        <f t="shared" si="12"/>
        <v/>
      </c>
      <c r="D448" s="1447" t="str">
        <f t="shared" si="13"/>
        <v/>
      </c>
      <c r="J448" s="939"/>
      <c r="K448" s="938"/>
      <c r="L448" s="941"/>
      <c r="M448" s="942"/>
      <c r="N448" s="943"/>
      <c r="O448" s="943"/>
      <c r="P448" s="943"/>
      <c r="Q448" s="943"/>
    </row>
    <row r="449" spans="1:17">
      <c r="A449" s="1444"/>
      <c r="B449" s="939"/>
      <c r="C449" s="937" t="str">
        <f t="shared" si="12"/>
        <v/>
      </c>
      <c r="D449" s="1448" t="str">
        <f t="shared" si="13"/>
        <v/>
      </c>
      <c r="E449" s="938"/>
      <c r="F449" s="938"/>
      <c r="G449" s="938"/>
      <c r="H449" s="939"/>
      <c r="I449" s="944"/>
      <c r="J449" s="939"/>
      <c r="K449" s="938"/>
      <c r="L449" s="941"/>
      <c r="M449" s="942"/>
      <c r="N449" s="943"/>
      <c r="O449" s="943"/>
      <c r="P449" s="943"/>
      <c r="Q449" s="943"/>
    </row>
    <row r="450" spans="1:17">
      <c r="A450" s="1444"/>
      <c r="B450" s="939"/>
      <c r="C450" s="937" t="str">
        <f t="shared" ref="C450:C513" si="14">IFERROR(1440/D450, "")</f>
        <v/>
      </c>
      <c r="D450" s="1448" t="str">
        <f t="shared" ref="D450:D513" si="15">IF(B450="", "", IF(B450&lt;1, B450*1440, B450))</f>
        <v/>
      </c>
      <c r="E450" s="938"/>
      <c r="F450" s="938"/>
      <c r="G450" s="938"/>
      <c r="J450" s="939"/>
      <c r="K450" s="938"/>
      <c r="L450" s="941"/>
      <c r="M450" s="942"/>
      <c r="N450" s="943"/>
      <c r="O450" s="943"/>
      <c r="P450" s="943"/>
      <c r="Q450" s="943"/>
    </row>
    <row r="451" spans="1:17">
      <c r="A451" s="1444"/>
      <c r="C451" s="937" t="str">
        <f t="shared" si="14"/>
        <v/>
      </c>
      <c r="D451" s="1447" t="str">
        <f t="shared" si="15"/>
        <v/>
      </c>
      <c r="J451" s="939"/>
      <c r="K451" s="938"/>
      <c r="L451" s="941"/>
      <c r="M451" s="942"/>
      <c r="N451" s="943"/>
      <c r="O451" s="943"/>
      <c r="P451" s="943"/>
      <c r="Q451" s="943"/>
    </row>
    <row r="452" spans="1:17">
      <c r="A452" s="1444"/>
      <c r="C452" s="937" t="str">
        <f t="shared" si="14"/>
        <v/>
      </c>
      <c r="D452" s="1447" t="str">
        <f t="shared" si="15"/>
        <v/>
      </c>
      <c r="J452" s="939"/>
      <c r="K452" s="938"/>
      <c r="L452" s="941"/>
      <c r="M452" s="942"/>
      <c r="N452" s="943"/>
      <c r="O452" s="943"/>
      <c r="P452" s="943"/>
      <c r="Q452" s="943"/>
    </row>
    <row r="453" spans="1:17">
      <c r="A453" s="1444"/>
      <c r="B453" s="939"/>
      <c r="C453" s="937" t="str">
        <f t="shared" si="14"/>
        <v/>
      </c>
      <c r="D453" s="1448" t="str">
        <f t="shared" si="15"/>
        <v/>
      </c>
      <c r="E453" s="938"/>
      <c r="F453" s="938"/>
      <c r="G453" s="938"/>
      <c r="I453" s="939"/>
      <c r="J453" s="939"/>
      <c r="K453" s="938"/>
      <c r="L453" s="941"/>
      <c r="M453" s="942"/>
      <c r="N453" s="943"/>
      <c r="O453" s="943"/>
      <c r="P453" s="943"/>
      <c r="Q453" s="943"/>
    </row>
    <row r="454" spans="1:17">
      <c r="A454" s="1444"/>
      <c r="C454" s="937" t="str">
        <f t="shared" si="14"/>
        <v/>
      </c>
      <c r="D454" s="1447" t="str">
        <f t="shared" si="15"/>
        <v/>
      </c>
      <c r="F454" s="938"/>
      <c r="J454" s="939"/>
      <c r="K454" s="938"/>
      <c r="L454" s="941"/>
      <c r="M454" s="942"/>
      <c r="N454" s="943"/>
      <c r="O454" s="943"/>
      <c r="P454" s="943"/>
      <c r="Q454" s="943"/>
    </row>
    <row r="455" spans="1:17">
      <c r="A455" s="1444"/>
      <c r="C455" s="937" t="str">
        <f t="shared" si="14"/>
        <v/>
      </c>
      <c r="D455" s="1447" t="str">
        <f t="shared" si="15"/>
        <v/>
      </c>
      <c r="J455" s="939"/>
      <c r="K455" s="938"/>
      <c r="L455" s="941"/>
      <c r="M455" s="942"/>
      <c r="N455" s="943"/>
      <c r="O455" s="943"/>
      <c r="P455" s="943"/>
      <c r="Q455" s="943"/>
    </row>
    <row r="456" spans="1:17">
      <c r="A456" s="1444"/>
      <c r="C456" s="937" t="str">
        <f t="shared" si="14"/>
        <v/>
      </c>
      <c r="D456" s="1447" t="str">
        <f t="shared" si="15"/>
        <v/>
      </c>
      <c r="J456" s="939"/>
      <c r="K456" s="938"/>
      <c r="L456" s="941"/>
      <c r="M456" s="942"/>
      <c r="N456" s="943"/>
      <c r="O456" s="943"/>
      <c r="P456" s="943"/>
      <c r="Q456" s="943"/>
    </row>
    <row r="457" spans="1:17">
      <c r="A457" s="1444"/>
      <c r="C457" s="937" t="str">
        <f t="shared" si="14"/>
        <v/>
      </c>
      <c r="D457" s="1447" t="str">
        <f t="shared" si="15"/>
        <v/>
      </c>
      <c r="J457" s="939"/>
      <c r="K457" s="938"/>
      <c r="L457" s="941"/>
      <c r="M457" s="942"/>
      <c r="N457" s="943"/>
      <c r="O457" s="943"/>
      <c r="P457" s="943"/>
      <c r="Q457" s="943"/>
    </row>
    <row r="458" spans="1:17">
      <c r="A458" s="1444"/>
      <c r="C458" s="937" t="str">
        <f t="shared" si="14"/>
        <v/>
      </c>
      <c r="D458" s="1447" t="str">
        <f t="shared" si="15"/>
        <v/>
      </c>
      <c r="J458" s="939"/>
      <c r="K458" s="938"/>
      <c r="L458" s="941"/>
      <c r="M458" s="942"/>
      <c r="N458" s="943"/>
      <c r="O458" s="943"/>
      <c r="P458" s="943"/>
      <c r="Q458" s="943"/>
    </row>
    <row r="459" spans="1:17">
      <c r="A459" s="1444"/>
      <c r="C459" s="937" t="str">
        <f t="shared" si="14"/>
        <v/>
      </c>
      <c r="D459" s="1447" t="str">
        <f t="shared" si="15"/>
        <v/>
      </c>
      <c r="J459" s="939"/>
      <c r="K459" s="938"/>
      <c r="L459" s="941"/>
      <c r="M459" s="942"/>
      <c r="N459" s="943"/>
      <c r="O459" s="943"/>
      <c r="P459" s="943"/>
      <c r="Q459" s="943"/>
    </row>
    <row r="460" spans="1:17">
      <c r="A460" s="1444"/>
      <c r="C460" s="937" t="str">
        <f t="shared" si="14"/>
        <v/>
      </c>
      <c r="D460" s="1447" t="str">
        <f t="shared" si="15"/>
        <v/>
      </c>
      <c r="J460" s="939"/>
      <c r="K460" s="938"/>
      <c r="L460" s="941"/>
      <c r="M460" s="942"/>
      <c r="N460" s="943"/>
      <c r="O460" s="943"/>
      <c r="P460" s="943"/>
      <c r="Q460" s="943"/>
    </row>
    <row r="461" spans="1:17">
      <c r="A461" s="1444"/>
      <c r="C461" s="937" t="str">
        <f t="shared" si="14"/>
        <v/>
      </c>
      <c r="D461" s="1447" t="str">
        <f t="shared" si="15"/>
        <v/>
      </c>
      <c r="J461" s="939"/>
      <c r="K461" s="938"/>
      <c r="L461" s="941"/>
      <c r="M461" s="942"/>
      <c r="N461" s="943"/>
      <c r="O461" s="943"/>
      <c r="P461" s="943"/>
      <c r="Q461" s="943"/>
    </row>
    <row r="462" spans="1:17">
      <c r="A462" s="1444"/>
      <c r="B462" s="939"/>
      <c r="C462" s="937" t="str">
        <f t="shared" si="14"/>
        <v/>
      </c>
      <c r="D462" s="1448" t="str">
        <f t="shared" si="15"/>
        <v/>
      </c>
      <c r="E462" s="938"/>
      <c r="G462" s="938"/>
      <c r="I462" s="944"/>
      <c r="J462" s="939"/>
      <c r="K462" s="938"/>
      <c r="L462" s="941"/>
      <c r="M462" s="942"/>
      <c r="N462" s="943"/>
      <c r="O462" s="943"/>
      <c r="P462" s="943"/>
      <c r="Q462" s="943"/>
    </row>
    <row r="463" spans="1:17">
      <c r="A463" s="1444"/>
      <c r="C463" s="937" t="str">
        <f t="shared" si="14"/>
        <v/>
      </c>
      <c r="D463" s="1447" t="str">
        <f t="shared" si="15"/>
        <v/>
      </c>
      <c r="H463" s="939"/>
      <c r="J463" s="939"/>
      <c r="K463" s="938"/>
      <c r="L463" s="941"/>
      <c r="M463" s="942"/>
      <c r="N463" s="943"/>
      <c r="O463" s="943"/>
      <c r="P463" s="943"/>
      <c r="Q463" s="943"/>
    </row>
    <row r="464" spans="1:17">
      <c r="A464" s="1444"/>
      <c r="B464" s="939"/>
      <c r="C464" s="937" t="str">
        <f t="shared" si="14"/>
        <v/>
      </c>
      <c r="D464" s="1448" t="str">
        <f t="shared" si="15"/>
        <v/>
      </c>
      <c r="E464" s="938"/>
      <c r="F464" s="938"/>
      <c r="G464" s="938"/>
      <c r="J464" s="939"/>
      <c r="K464" s="938"/>
      <c r="L464" s="941"/>
      <c r="M464" s="942"/>
      <c r="N464" s="943"/>
      <c r="O464" s="943"/>
      <c r="P464" s="943"/>
      <c r="Q464" s="943"/>
    </row>
    <row r="465" spans="1:17">
      <c r="A465" s="1444"/>
      <c r="C465" s="937" t="str">
        <f t="shared" si="14"/>
        <v/>
      </c>
      <c r="D465" s="1447" t="str">
        <f t="shared" si="15"/>
        <v/>
      </c>
      <c r="J465" s="939"/>
      <c r="K465" s="938"/>
      <c r="L465" s="941"/>
      <c r="M465" s="942"/>
      <c r="N465" s="943"/>
      <c r="O465" s="943"/>
      <c r="P465" s="943"/>
      <c r="Q465" s="943"/>
    </row>
    <row r="466" spans="1:17">
      <c r="A466" s="1444"/>
      <c r="B466" s="939"/>
      <c r="C466" s="937" t="str">
        <f t="shared" si="14"/>
        <v/>
      </c>
      <c r="D466" s="1448" t="str">
        <f t="shared" si="15"/>
        <v/>
      </c>
      <c r="E466" s="938"/>
      <c r="F466" s="938"/>
      <c r="G466" s="938"/>
      <c r="I466" s="944"/>
      <c r="J466" s="939"/>
      <c r="K466" s="938"/>
      <c r="L466" s="941"/>
      <c r="M466" s="942"/>
      <c r="N466" s="943"/>
      <c r="O466" s="943"/>
      <c r="P466" s="943"/>
      <c r="Q466" s="943"/>
    </row>
    <row r="467" spans="1:17">
      <c r="A467" s="1444"/>
      <c r="C467" s="937" t="str">
        <f t="shared" si="14"/>
        <v/>
      </c>
      <c r="D467" s="1447" t="str">
        <f t="shared" si="15"/>
        <v/>
      </c>
      <c r="J467" s="939"/>
      <c r="K467" s="938"/>
      <c r="L467" s="941"/>
      <c r="M467" s="942"/>
      <c r="N467" s="943"/>
      <c r="O467" s="943"/>
      <c r="P467" s="943"/>
      <c r="Q467" s="943"/>
    </row>
    <row r="468" spans="1:17">
      <c r="A468" s="1444"/>
      <c r="C468" s="937" t="str">
        <f t="shared" si="14"/>
        <v/>
      </c>
      <c r="D468" s="1447" t="str">
        <f t="shared" si="15"/>
        <v/>
      </c>
      <c r="F468" s="938"/>
      <c r="J468" s="939"/>
      <c r="K468" s="938"/>
      <c r="L468" s="941"/>
      <c r="M468" s="942"/>
      <c r="N468" s="943"/>
      <c r="O468" s="943"/>
      <c r="P468" s="943"/>
      <c r="Q468" s="943"/>
    </row>
    <row r="469" spans="1:17">
      <c r="A469" s="1444"/>
      <c r="B469" s="939"/>
      <c r="C469" s="937" t="str">
        <f t="shared" si="14"/>
        <v/>
      </c>
      <c r="D469" s="1448" t="str">
        <f t="shared" si="15"/>
        <v/>
      </c>
      <c r="E469" s="938"/>
      <c r="F469" s="938"/>
      <c r="G469" s="938"/>
      <c r="J469" s="939"/>
      <c r="K469" s="938"/>
      <c r="L469" s="941"/>
      <c r="M469" s="942"/>
      <c r="N469" s="943"/>
      <c r="O469" s="943"/>
      <c r="P469" s="943"/>
      <c r="Q469" s="943"/>
    </row>
    <row r="470" spans="1:17">
      <c r="A470" s="1444"/>
      <c r="C470" s="937" t="str">
        <f t="shared" si="14"/>
        <v/>
      </c>
      <c r="D470" s="1447" t="str">
        <f t="shared" si="15"/>
        <v/>
      </c>
      <c r="J470" s="939"/>
      <c r="K470" s="938"/>
      <c r="L470" s="941"/>
      <c r="M470" s="942"/>
      <c r="N470" s="943"/>
      <c r="O470" s="943"/>
      <c r="P470" s="943"/>
      <c r="Q470" s="943"/>
    </row>
    <row r="471" spans="1:17">
      <c r="A471" s="1444"/>
      <c r="B471" s="939"/>
      <c r="C471" s="937" t="str">
        <f t="shared" si="14"/>
        <v/>
      </c>
      <c r="D471" s="1448" t="str">
        <f t="shared" si="15"/>
        <v/>
      </c>
      <c r="E471" s="938"/>
      <c r="F471" s="938"/>
      <c r="G471" s="938"/>
      <c r="J471" s="939"/>
      <c r="K471" s="938"/>
      <c r="L471" s="941"/>
      <c r="M471" s="942"/>
      <c r="N471" s="943"/>
      <c r="O471" s="943"/>
      <c r="P471" s="943"/>
      <c r="Q471" s="943"/>
    </row>
    <row r="472" spans="1:17">
      <c r="A472" s="1444"/>
      <c r="C472" s="937" t="str">
        <f t="shared" si="14"/>
        <v/>
      </c>
      <c r="D472" s="1448" t="str">
        <f t="shared" si="15"/>
        <v/>
      </c>
      <c r="J472" s="939"/>
      <c r="K472" s="938"/>
      <c r="L472" s="941"/>
      <c r="M472" s="942"/>
      <c r="N472" s="943"/>
      <c r="O472" s="943"/>
      <c r="P472" s="943"/>
      <c r="Q472" s="943"/>
    </row>
    <row r="473" spans="1:17">
      <c r="A473" s="1444"/>
      <c r="B473" s="939"/>
      <c r="C473" s="937" t="str">
        <f t="shared" si="14"/>
        <v/>
      </c>
      <c r="D473" s="1448" t="str">
        <f t="shared" si="15"/>
        <v/>
      </c>
      <c r="E473" s="938"/>
      <c r="F473" s="938"/>
      <c r="G473" s="938"/>
      <c r="I473" s="944"/>
      <c r="J473" s="939"/>
      <c r="K473" s="938"/>
      <c r="L473" s="941"/>
      <c r="M473" s="942"/>
      <c r="N473" s="943"/>
      <c r="O473" s="943"/>
      <c r="P473" s="943"/>
      <c r="Q473" s="943"/>
    </row>
    <row r="474" spans="1:17">
      <c r="A474" s="1444"/>
      <c r="C474" s="937" t="str">
        <f t="shared" si="14"/>
        <v/>
      </c>
      <c r="D474" s="1447" t="str">
        <f t="shared" si="15"/>
        <v/>
      </c>
      <c r="H474" s="939"/>
      <c r="J474" s="939"/>
      <c r="K474" s="938"/>
      <c r="L474" s="941"/>
      <c r="M474" s="942"/>
      <c r="N474" s="943"/>
      <c r="O474" s="943"/>
      <c r="P474" s="943"/>
      <c r="Q474" s="943"/>
    </row>
    <row r="475" spans="1:17">
      <c r="A475" s="1444"/>
      <c r="C475" s="937" t="str">
        <f t="shared" si="14"/>
        <v/>
      </c>
      <c r="D475" s="1447" t="str">
        <f t="shared" si="15"/>
        <v/>
      </c>
      <c r="J475" s="939"/>
      <c r="K475" s="938"/>
      <c r="L475" s="941"/>
      <c r="M475" s="942"/>
      <c r="N475" s="943"/>
      <c r="O475" s="943"/>
      <c r="P475" s="943"/>
      <c r="Q475" s="943"/>
    </row>
    <row r="476" spans="1:17">
      <c r="A476" s="1444"/>
      <c r="C476" s="937" t="str">
        <f t="shared" si="14"/>
        <v/>
      </c>
      <c r="D476" s="1447" t="str">
        <f t="shared" si="15"/>
        <v/>
      </c>
      <c r="J476" s="939"/>
      <c r="K476" s="938"/>
      <c r="L476" s="941"/>
      <c r="M476" s="942"/>
      <c r="N476" s="943"/>
      <c r="O476" s="943"/>
      <c r="P476" s="943"/>
      <c r="Q476" s="943"/>
    </row>
    <row r="477" spans="1:17">
      <c r="A477" s="1444"/>
      <c r="C477" s="937" t="str">
        <f t="shared" si="14"/>
        <v/>
      </c>
      <c r="D477" s="1448" t="str">
        <f t="shared" si="15"/>
        <v/>
      </c>
      <c r="J477" s="939"/>
      <c r="K477" s="938"/>
      <c r="L477" s="941"/>
      <c r="M477" s="942"/>
      <c r="N477" s="943"/>
      <c r="O477" s="943"/>
      <c r="P477" s="943"/>
      <c r="Q477" s="943"/>
    </row>
    <row r="478" spans="1:17">
      <c r="A478" s="1444"/>
      <c r="C478" s="937" t="str">
        <f t="shared" si="14"/>
        <v/>
      </c>
      <c r="D478" s="1447" t="str">
        <f t="shared" si="15"/>
        <v/>
      </c>
      <c r="H478" s="939"/>
      <c r="J478" s="939"/>
      <c r="K478" s="938"/>
      <c r="L478" s="941"/>
      <c r="M478" s="942"/>
      <c r="N478" s="943"/>
      <c r="O478" s="943"/>
      <c r="P478" s="943"/>
      <c r="Q478" s="943"/>
    </row>
    <row r="479" spans="1:17">
      <c r="A479" s="1444"/>
      <c r="B479" s="939"/>
      <c r="C479" s="937" t="str">
        <f t="shared" si="14"/>
        <v/>
      </c>
      <c r="D479" s="1448" t="str">
        <f t="shared" si="15"/>
        <v/>
      </c>
      <c r="E479" s="938"/>
      <c r="G479" s="938"/>
      <c r="I479" s="939"/>
      <c r="J479" s="939"/>
      <c r="K479" s="938"/>
      <c r="L479" s="941"/>
      <c r="M479" s="942"/>
      <c r="N479" s="943"/>
      <c r="O479" s="943"/>
      <c r="P479" s="943"/>
      <c r="Q479" s="943"/>
    </row>
    <row r="480" spans="1:17">
      <c r="A480" s="1444"/>
      <c r="C480" s="937" t="str">
        <f t="shared" si="14"/>
        <v/>
      </c>
      <c r="D480" s="1447" t="str">
        <f t="shared" si="15"/>
        <v/>
      </c>
      <c r="E480" s="938"/>
      <c r="F480" s="938"/>
      <c r="G480" s="938"/>
      <c r="H480" s="939"/>
      <c r="I480" s="939"/>
      <c r="J480" s="939"/>
      <c r="K480" s="938"/>
      <c r="L480" s="941"/>
      <c r="M480" s="942"/>
      <c r="N480" s="943"/>
      <c r="O480" s="943"/>
      <c r="P480" s="943"/>
      <c r="Q480" s="943"/>
    </row>
    <row r="481" spans="1:17">
      <c r="A481" s="1444"/>
      <c r="C481" s="937" t="str">
        <f t="shared" si="14"/>
        <v/>
      </c>
      <c r="D481" s="1447" t="str">
        <f t="shared" si="15"/>
        <v/>
      </c>
      <c r="F481" s="938"/>
      <c r="J481" s="939"/>
      <c r="K481" s="938"/>
      <c r="L481" s="941"/>
      <c r="M481" s="942"/>
      <c r="N481" s="943"/>
      <c r="O481" s="943"/>
      <c r="P481" s="943"/>
      <c r="Q481" s="943"/>
    </row>
    <row r="482" spans="1:17">
      <c r="A482" s="1444"/>
      <c r="C482" s="937" t="str">
        <f t="shared" si="14"/>
        <v/>
      </c>
      <c r="D482" s="1447" t="str">
        <f t="shared" si="15"/>
        <v/>
      </c>
      <c r="J482" s="939"/>
      <c r="K482" s="938"/>
      <c r="L482" s="941"/>
      <c r="M482" s="942"/>
      <c r="N482" s="943"/>
      <c r="O482" s="943"/>
      <c r="P482" s="943"/>
      <c r="Q482" s="943"/>
    </row>
    <row r="483" spans="1:17">
      <c r="A483" s="1444"/>
      <c r="C483" s="937" t="str">
        <f t="shared" si="14"/>
        <v/>
      </c>
      <c r="D483" s="1447" t="str">
        <f t="shared" si="15"/>
        <v/>
      </c>
      <c r="J483" s="939"/>
      <c r="K483" s="938"/>
      <c r="L483" s="941"/>
      <c r="M483" s="942"/>
      <c r="N483" s="943"/>
      <c r="O483" s="943"/>
      <c r="P483" s="943"/>
      <c r="Q483" s="943"/>
    </row>
    <row r="484" spans="1:17">
      <c r="A484" s="1444"/>
      <c r="C484" s="937" t="str">
        <f t="shared" si="14"/>
        <v/>
      </c>
      <c r="D484" s="1447" t="str">
        <f t="shared" si="15"/>
        <v/>
      </c>
      <c r="J484" s="939"/>
      <c r="K484" s="938"/>
      <c r="L484" s="941"/>
      <c r="M484" s="942"/>
      <c r="N484" s="943"/>
      <c r="O484" s="943"/>
      <c r="P484" s="943"/>
      <c r="Q484" s="943"/>
    </row>
    <row r="485" spans="1:17">
      <c r="A485" s="1444"/>
      <c r="C485" s="937" t="str">
        <f t="shared" si="14"/>
        <v/>
      </c>
      <c r="D485" s="1447" t="str">
        <f t="shared" si="15"/>
        <v/>
      </c>
      <c r="J485" s="939"/>
      <c r="K485" s="938"/>
      <c r="L485" s="941"/>
      <c r="M485" s="942"/>
      <c r="N485" s="943"/>
      <c r="O485" s="943"/>
      <c r="P485" s="943"/>
      <c r="Q485" s="943"/>
    </row>
    <row r="486" spans="1:17">
      <c r="A486" s="1444"/>
      <c r="C486" s="937" t="str">
        <f t="shared" si="14"/>
        <v/>
      </c>
      <c r="D486" s="1447" t="str">
        <f t="shared" si="15"/>
        <v/>
      </c>
      <c r="J486" s="939"/>
      <c r="K486" s="938"/>
      <c r="L486" s="941"/>
      <c r="M486" s="942"/>
      <c r="N486" s="943"/>
      <c r="O486" s="943"/>
      <c r="P486" s="943"/>
      <c r="Q486" s="943"/>
    </row>
    <row r="487" spans="1:17">
      <c r="A487" s="1444"/>
      <c r="C487" s="937" t="str">
        <f t="shared" si="14"/>
        <v/>
      </c>
      <c r="D487" s="1447" t="str">
        <f t="shared" si="15"/>
        <v/>
      </c>
      <c r="J487" s="939"/>
      <c r="K487" s="938"/>
      <c r="L487" s="941"/>
      <c r="M487" s="942"/>
      <c r="N487" s="943"/>
      <c r="O487" s="943"/>
      <c r="P487" s="943"/>
      <c r="Q487" s="943"/>
    </row>
    <row r="488" spans="1:17">
      <c r="A488" s="1444"/>
      <c r="B488" s="939"/>
      <c r="C488" s="937" t="str">
        <f t="shared" si="14"/>
        <v/>
      </c>
      <c r="D488" s="1448" t="str">
        <f t="shared" si="15"/>
        <v/>
      </c>
      <c r="E488" s="938"/>
      <c r="F488" s="938"/>
      <c r="G488" s="938"/>
      <c r="J488" s="939"/>
      <c r="K488" s="938"/>
      <c r="L488" s="941"/>
      <c r="M488" s="942"/>
      <c r="N488" s="943"/>
      <c r="O488" s="943"/>
      <c r="P488" s="943"/>
      <c r="Q488" s="943"/>
    </row>
    <row r="489" spans="1:17">
      <c r="A489" s="1444"/>
      <c r="B489" s="939"/>
      <c r="C489" s="937" t="str">
        <f t="shared" si="14"/>
        <v/>
      </c>
      <c r="D489" s="1448" t="str">
        <f t="shared" si="15"/>
        <v/>
      </c>
      <c r="E489" s="938"/>
      <c r="F489" s="938"/>
      <c r="G489" s="938"/>
      <c r="I489" s="944"/>
      <c r="J489" s="939"/>
      <c r="K489" s="938"/>
      <c r="L489" s="941"/>
      <c r="M489" s="942"/>
      <c r="N489" s="943"/>
      <c r="O489" s="943"/>
      <c r="P489" s="943"/>
      <c r="Q489" s="943"/>
    </row>
    <row r="490" spans="1:17">
      <c r="A490" s="1444"/>
      <c r="C490" s="937" t="str">
        <f t="shared" si="14"/>
        <v/>
      </c>
      <c r="D490" s="1447" t="str">
        <f t="shared" si="15"/>
        <v/>
      </c>
      <c r="F490" s="938"/>
      <c r="H490" s="939"/>
      <c r="J490" s="939"/>
      <c r="K490" s="938"/>
      <c r="L490" s="941"/>
      <c r="M490" s="942"/>
      <c r="N490" s="943"/>
      <c r="O490" s="943"/>
      <c r="P490" s="943"/>
      <c r="Q490" s="943"/>
    </row>
    <row r="491" spans="1:17">
      <c r="A491" s="1444"/>
      <c r="B491" s="939"/>
      <c r="C491" s="937" t="str">
        <f t="shared" si="14"/>
        <v/>
      </c>
      <c r="D491" s="1448" t="str">
        <f t="shared" si="15"/>
        <v/>
      </c>
      <c r="E491" s="938"/>
      <c r="F491" s="938"/>
      <c r="G491" s="938"/>
      <c r="J491" s="939"/>
      <c r="K491" s="938"/>
      <c r="L491" s="941"/>
      <c r="M491" s="942"/>
      <c r="N491" s="943"/>
      <c r="O491" s="943"/>
      <c r="P491" s="943"/>
      <c r="Q491" s="943"/>
    </row>
    <row r="492" spans="1:17">
      <c r="A492" s="1444"/>
      <c r="C492" s="937" t="str">
        <f t="shared" si="14"/>
        <v/>
      </c>
      <c r="D492" s="1447" t="str">
        <f t="shared" si="15"/>
        <v/>
      </c>
      <c r="J492" s="939"/>
      <c r="K492" s="938"/>
      <c r="L492" s="941"/>
      <c r="M492" s="942"/>
      <c r="N492" s="943"/>
      <c r="O492" s="943"/>
      <c r="P492" s="943"/>
      <c r="Q492" s="943"/>
    </row>
    <row r="493" spans="1:17">
      <c r="A493" s="1444"/>
      <c r="B493" s="939"/>
      <c r="C493" s="937" t="str">
        <f t="shared" si="14"/>
        <v/>
      </c>
      <c r="D493" s="1448" t="str">
        <f t="shared" si="15"/>
        <v/>
      </c>
      <c r="E493" s="938"/>
      <c r="F493" s="938"/>
      <c r="G493" s="938"/>
      <c r="H493" s="939"/>
      <c r="I493" s="940"/>
      <c r="J493" s="939"/>
      <c r="K493" s="938"/>
      <c r="L493" s="941"/>
      <c r="M493" s="942"/>
      <c r="N493" s="943"/>
      <c r="O493" s="943"/>
      <c r="P493" s="943"/>
      <c r="Q493" s="943"/>
    </row>
    <row r="494" spans="1:17">
      <c r="A494" s="1444"/>
      <c r="B494" s="939"/>
      <c r="C494" s="937" t="str">
        <f t="shared" si="14"/>
        <v/>
      </c>
      <c r="D494" s="1448" t="str">
        <f t="shared" si="15"/>
        <v/>
      </c>
      <c r="E494" s="938"/>
      <c r="F494" s="938"/>
      <c r="G494" s="938"/>
      <c r="H494" s="939"/>
      <c r="I494" s="939"/>
      <c r="J494" s="939"/>
      <c r="K494" s="938"/>
      <c r="L494" s="941"/>
      <c r="M494" s="942"/>
      <c r="N494" s="943"/>
      <c r="O494" s="943"/>
      <c r="P494" s="943"/>
      <c r="Q494" s="943"/>
    </row>
    <row r="495" spans="1:17">
      <c r="A495" s="1444"/>
      <c r="C495" s="937" t="str">
        <f t="shared" si="14"/>
        <v/>
      </c>
      <c r="D495" s="1447" t="str">
        <f t="shared" si="15"/>
        <v/>
      </c>
      <c r="J495" s="939"/>
      <c r="K495" s="938"/>
      <c r="L495" s="941"/>
      <c r="M495" s="942"/>
      <c r="N495" s="943"/>
      <c r="O495" s="943"/>
      <c r="P495" s="943"/>
      <c r="Q495" s="943"/>
    </row>
    <row r="496" spans="1:17">
      <c r="A496" s="1444"/>
      <c r="B496" s="939"/>
      <c r="C496" s="937" t="str">
        <f t="shared" si="14"/>
        <v/>
      </c>
      <c r="D496" s="1448" t="str">
        <f t="shared" si="15"/>
        <v/>
      </c>
      <c r="E496" s="938"/>
      <c r="F496" s="938"/>
      <c r="G496" s="938"/>
      <c r="J496" s="939"/>
      <c r="K496" s="938"/>
      <c r="L496" s="941"/>
      <c r="M496" s="942"/>
      <c r="N496" s="943"/>
      <c r="O496" s="943"/>
      <c r="P496" s="943"/>
      <c r="Q496" s="943"/>
    </row>
    <row r="497" spans="1:17">
      <c r="A497" s="1444"/>
      <c r="C497" s="937" t="str">
        <f t="shared" si="14"/>
        <v/>
      </c>
      <c r="D497" s="1447" t="str">
        <f t="shared" si="15"/>
        <v/>
      </c>
      <c r="F497" s="938"/>
      <c r="H497" s="939"/>
      <c r="I497" s="939"/>
      <c r="J497" s="939"/>
      <c r="K497" s="938"/>
      <c r="L497" s="941"/>
      <c r="M497" s="942"/>
      <c r="N497" s="943"/>
      <c r="O497" s="943"/>
      <c r="P497" s="943"/>
      <c r="Q497" s="943"/>
    </row>
    <row r="498" spans="1:17">
      <c r="A498" s="1444"/>
      <c r="B498" s="939"/>
      <c r="C498" s="937" t="str">
        <f t="shared" si="14"/>
        <v/>
      </c>
      <c r="D498" s="1448" t="str">
        <f t="shared" si="15"/>
        <v/>
      </c>
      <c r="E498" s="938"/>
      <c r="F498" s="938"/>
      <c r="G498" s="938"/>
      <c r="J498" s="939"/>
      <c r="K498" s="938"/>
      <c r="L498" s="941"/>
      <c r="M498" s="942"/>
      <c r="N498" s="943"/>
      <c r="O498" s="943"/>
      <c r="P498" s="943"/>
      <c r="Q498" s="943"/>
    </row>
    <row r="499" spans="1:17">
      <c r="A499" s="1444"/>
      <c r="B499" s="939"/>
      <c r="C499" s="937" t="str">
        <f t="shared" si="14"/>
        <v/>
      </c>
      <c r="D499" s="1448" t="str">
        <f t="shared" si="15"/>
        <v/>
      </c>
      <c r="E499" s="938"/>
      <c r="F499" s="938"/>
      <c r="G499" s="938"/>
      <c r="I499" s="939"/>
      <c r="J499" s="939"/>
      <c r="K499" s="938"/>
      <c r="L499" s="941"/>
      <c r="M499" s="942"/>
      <c r="N499" s="943"/>
      <c r="O499" s="943"/>
      <c r="P499" s="943"/>
      <c r="Q499" s="943"/>
    </row>
    <row r="500" spans="1:17">
      <c r="A500" s="1444"/>
      <c r="C500" s="937" t="str">
        <f t="shared" si="14"/>
        <v/>
      </c>
      <c r="D500" s="1447" t="str">
        <f t="shared" si="15"/>
        <v/>
      </c>
      <c r="J500" s="939"/>
      <c r="K500" s="938"/>
      <c r="L500" s="941"/>
      <c r="M500" s="942"/>
      <c r="N500" s="943"/>
      <c r="O500" s="943"/>
      <c r="P500" s="943"/>
      <c r="Q500" s="943"/>
    </row>
    <row r="501" spans="1:17">
      <c r="A501" s="1444"/>
      <c r="B501" s="939"/>
      <c r="C501" s="937" t="str">
        <f t="shared" si="14"/>
        <v/>
      </c>
      <c r="D501" s="1448" t="str">
        <f t="shared" si="15"/>
        <v/>
      </c>
      <c r="E501" s="938"/>
      <c r="F501" s="938"/>
      <c r="G501" s="938"/>
      <c r="I501" s="944"/>
      <c r="J501" s="939"/>
      <c r="K501" s="938"/>
      <c r="L501" s="941"/>
      <c r="M501" s="942"/>
      <c r="N501" s="943"/>
      <c r="O501" s="943"/>
      <c r="P501" s="943"/>
      <c r="Q501" s="943"/>
    </row>
    <row r="502" spans="1:17">
      <c r="A502" s="1444"/>
      <c r="C502" s="937" t="str">
        <f t="shared" si="14"/>
        <v/>
      </c>
      <c r="D502" s="1447" t="str">
        <f t="shared" si="15"/>
        <v/>
      </c>
      <c r="J502" s="939"/>
      <c r="K502" s="938"/>
      <c r="L502" s="941"/>
      <c r="M502" s="942"/>
      <c r="N502" s="943"/>
      <c r="O502" s="943"/>
      <c r="P502" s="943"/>
      <c r="Q502" s="943"/>
    </row>
    <row r="503" spans="1:17">
      <c r="A503" s="1444"/>
      <c r="C503" s="937" t="str">
        <f t="shared" si="14"/>
        <v/>
      </c>
      <c r="D503" s="1447" t="str">
        <f t="shared" si="15"/>
        <v/>
      </c>
      <c r="J503" s="939"/>
      <c r="K503" s="938"/>
      <c r="L503" s="941"/>
      <c r="M503" s="942"/>
      <c r="N503" s="943"/>
      <c r="O503" s="943"/>
      <c r="P503" s="943"/>
      <c r="Q503" s="943"/>
    </row>
    <row r="504" spans="1:17">
      <c r="A504" s="1444"/>
      <c r="C504" s="937" t="str">
        <f t="shared" si="14"/>
        <v/>
      </c>
      <c r="D504" s="1447" t="str">
        <f t="shared" si="15"/>
        <v/>
      </c>
      <c r="J504" s="939"/>
      <c r="K504" s="938"/>
      <c r="L504" s="941"/>
      <c r="M504" s="942"/>
      <c r="N504" s="943"/>
      <c r="O504" s="943"/>
      <c r="P504" s="943"/>
      <c r="Q504" s="943"/>
    </row>
    <row r="505" spans="1:17">
      <c r="A505" s="1444"/>
      <c r="B505" s="939"/>
      <c r="C505" s="937" t="str">
        <f t="shared" si="14"/>
        <v/>
      </c>
      <c r="D505" s="1448" t="str">
        <f t="shared" si="15"/>
        <v/>
      </c>
      <c r="E505" s="938"/>
      <c r="F505" s="938"/>
      <c r="G505" s="938"/>
      <c r="I505" s="944"/>
      <c r="J505" s="939"/>
      <c r="K505" s="938"/>
      <c r="L505" s="941"/>
      <c r="M505" s="942"/>
      <c r="N505" s="943"/>
      <c r="O505" s="943"/>
      <c r="P505" s="943"/>
      <c r="Q505" s="943"/>
    </row>
    <row r="506" spans="1:17">
      <c r="A506" s="1444"/>
      <c r="B506" s="939"/>
      <c r="C506" s="937" t="str">
        <f t="shared" si="14"/>
        <v/>
      </c>
      <c r="D506" s="1448" t="str">
        <f t="shared" si="15"/>
        <v/>
      </c>
      <c r="E506" s="938"/>
      <c r="F506" s="938"/>
      <c r="G506" s="938"/>
      <c r="I506" s="944"/>
      <c r="J506" s="939"/>
      <c r="K506" s="938"/>
      <c r="L506" s="941"/>
      <c r="M506" s="942"/>
      <c r="N506" s="943"/>
      <c r="O506" s="943"/>
      <c r="P506" s="943"/>
      <c r="Q506" s="943"/>
    </row>
    <row r="507" spans="1:17">
      <c r="A507" s="1444"/>
      <c r="C507" s="937" t="str">
        <f t="shared" si="14"/>
        <v/>
      </c>
      <c r="D507" s="1447" t="str">
        <f t="shared" si="15"/>
        <v/>
      </c>
      <c r="J507" s="939"/>
      <c r="K507" s="938"/>
      <c r="L507" s="941"/>
      <c r="M507" s="942"/>
      <c r="N507" s="943"/>
      <c r="O507" s="943"/>
      <c r="P507" s="943"/>
      <c r="Q507" s="943"/>
    </row>
    <row r="508" spans="1:17">
      <c r="A508" s="1444"/>
      <c r="B508" s="939"/>
      <c r="C508" s="937" t="str">
        <f t="shared" si="14"/>
        <v/>
      </c>
      <c r="D508" s="1448" t="str">
        <f t="shared" si="15"/>
        <v/>
      </c>
      <c r="E508" s="938"/>
      <c r="G508" s="938"/>
      <c r="J508" s="939"/>
      <c r="K508" s="938"/>
      <c r="L508" s="941"/>
      <c r="M508" s="942"/>
      <c r="N508" s="943"/>
      <c r="O508" s="943"/>
      <c r="P508" s="943"/>
      <c r="Q508" s="943"/>
    </row>
    <row r="509" spans="1:17">
      <c r="A509" s="1444"/>
      <c r="B509" s="939"/>
      <c r="C509" s="937" t="str">
        <f t="shared" si="14"/>
        <v/>
      </c>
      <c r="D509" s="1448" t="str">
        <f t="shared" si="15"/>
        <v/>
      </c>
      <c r="E509" s="938"/>
      <c r="G509" s="938"/>
      <c r="J509" s="939"/>
      <c r="K509" s="938"/>
      <c r="L509" s="941"/>
      <c r="M509" s="942"/>
      <c r="N509" s="943"/>
      <c r="O509" s="943"/>
      <c r="P509" s="943"/>
      <c r="Q509" s="943"/>
    </row>
    <row r="510" spans="1:17">
      <c r="A510" s="1444"/>
      <c r="C510" s="937" t="str">
        <f t="shared" si="14"/>
        <v/>
      </c>
      <c r="D510" s="1447" t="str">
        <f t="shared" si="15"/>
        <v/>
      </c>
      <c r="J510" s="939"/>
      <c r="K510" s="938"/>
      <c r="L510" s="941"/>
      <c r="M510" s="942"/>
      <c r="N510" s="943"/>
      <c r="O510" s="943"/>
      <c r="P510" s="943"/>
      <c r="Q510" s="943"/>
    </row>
    <row r="511" spans="1:17">
      <c r="A511" s="1444"/>
      <c r="C511" s="937" t="str">
        <f t="shared" si="14"/>
        <v/>
      </c>
      <c r="D511" s="1447" t="str">
        <f t="shared" si="15"/>
        <v/>
      </c>
      <c r="F511" s="938"/>
      <c r="H511" s="939"/>
      <c r="J511" s="939"/>
      <c r="K511" s="938"/>
      <c r="L511" s="941"/>
      <c r="M511" s="942"/>
      <c r="N511" s="943"/>
      <c r="O511" s="943"/>
      <c r="P511" s="943"/>
      <c r="Q511" s="943"/>
    </row>
    <row r="512" spans="1:17">
      <c r="A512" s="1444"/>
      <c r="C512" s="937" t="str">
        <f t="shared" si="14"/>
        <v/>
      </c>
      <c r="D512" s="1447" t="str">
        <f t="shared" si="15"/>
        <v/>
      </c>
      <c r="J512" s="939"/>
      <c r="K512" s="938"/>
      <c r="L512" s="941"/>
      <c r="M512" s="942"/>
      <c r="N512" s="943"/>
      <c r="O512" s="943"/>
      <c r="P512" s="943"/>
      <c r="Q512" s="943"/>
    </row>
    <row r="513" spans="1:17">
      <c r="A513" s="1444"/>
      <c r="B513" s="939"/>
      <c r="C513" s="937" t="str">
        <f t="shared" si="14"/>
        <v/>
      </c>
      <c r="D513" s="1448" t="str">
        <f t="shared" si="15"/>
        <v/>
      </c>
      <c r="G513" s="938"/>
      <c r="J513" s="939"/>
      <c r="K513" s="938"/>
      <c r="L513" s="941"/>
      <c r="M513" s="942"/>
      <c r="N513" s="943"/>
      <c r="O513" s="943"/>
      <c r="P513" s="943"/>
      <c r="Q513" s="943"/>
    </row>
    <row r="514" spans="1:17">
      <c r="A514" s="1444"/>
      <c r="B514" s="939"/>
      <c r="C514" s="937" t="str">
        <f t="shared" ref="C514:C577" si="16">IFERROR(1440/D514, "")</f>
        <v/>
      </c>
      <c r="D514" s="1448" t="str">
        <f t="shared" ref="D514:D577" si="17">IF(B514="", "", IF(B514&lt;1, B514*1440, B514))</f>
        <v/>
      </c>
      <c r="E514" s="938"/>
      <c r="F514" s="938"/>
      <c r="G514" s="938"/>
      <c r="I514" s="944"/>
      <c r="J514" s="939"/>
      <c r="K514" s="938"/>
      <c r="L514" s="941"/>
      <c r="M514" s="942"/>
      <c r="N514" s="943"/>
      <c r="O514" s="943"/>
      <c r="P514" s="943"/>
      <c r="Q514" s="943"/>
    </row>
    <row r="515" spans="1:17">
      <c r="A515" s="1444"/>
      <c r="C515" s="937" t="str">
        <f t="shared" si="16"/>
        <v/>
      </c>
      <c r="D515" s="1447" t="str">
        <f t="shared" si="17"/>
        <v/>
      </c>
      <c r="J515" s="939"/>
      <c r="K515" s="938"/>
      <c r="L515" s="941"/>
      <c r="M515" s="942"/>
      <c r="N515" s="943"/>
      <c r="O515" s="943"/>
      <c r="P515" s="943"/>
      <c r="Q515" s="943"/>
    </row>
    <row r="516" spans="1:17">
      <c r="A516" s="1444"/>
      <c r="B516" s="939"/>
      <c r="C516" s="937" t="str">
        <f t="shared" si="16"/>
        <v/>
      </c>
      <c r="D516" s="1448" t="str">
        <f t="shared" si="17"/>
        <v/>
      </c>
      <c r="F516" s="938"/>
      <c r="G516" s="938"/>
      <c r="I516" s="944"/>
      <c r="J516" s="939"/>
      <c r="K516" s="938"/>
      <c r="L516" s="941"/>
      <c r="M516" s="942"/>
      <c r="N516" s="943"/>
      <c r="O516" s="943"/>
      <c r="P516" s="943"/>
      <c r="Q516" s="943"/>
    </row>
    <row r="517" spans="1:17">
      <c r="A517" s="1444"/>
      <c r="B517" s="939"/>
      <c r="C517" s="937" t="str">
        <f t="shared" si="16"/>
        <v/>
      </c>
      <c r="D517" s="1448" t="str">
        <f t="shared" si="17"/>
        <v/>
      </c>
      <c r="E517" s="938"/>
      <c r="F517" s="938"/>
      <c r="G517" s="938"/>
      <c r="J517" s="939"/>
      <c r="K517" s="938"/>
      <c r="L517" s="941"/>
      <c r="M517" s="942"/>
      <c r="N517" s="943"/>
      <c r="O517" s="943"/>
      <c r="P517" s="943"/>
      <c r="Q517" s="943"/>
    </row>
    <row r="518" spans="1:17">
      <c r="A518" s="1444"/>
      <c r="C518" s="937" t="str">
        <f t="shared" si="16"/>
        <v/>
      </c>
      <c r="D518" s="1447" t="str">
        <f t="shared" si="17"/>
        <v/>
      </c>
      <c r="J518" s="939"/>
      <c r="K518" s="938"/>
      <c r="L518" s="941"/>
      <c r="M518" s="942"/>
      <c r="N518" s="943"/>
      <c r="O518" s="943"/>
      <c r="P518" s="943"/>
      <c r="Q518" s="943"/>
    </row>
    <row r="519" spans="1:17">
      <c r="A519" s="1444"/>
      <c r="C519" s="937" t="str">
        <f t="shared" si="16"/>
        <v/>
      </c>
      <c r="D519" s="1447" t="str">
        <f t="shared" si="17"/>
        <v/>
      </c>
      <c r="J519" s="939"/>
      <c r="K519" s="938"/>
      <c r="L519" s="941"/>
      <c r="M519" s="942"/>
      <c r="N519" s="943"/>
      <c r="O519" s="943"/>
      <c r="P519" s="943"/>
      <c r="Q519" s="943"/>
    </row>
    <row r="520" spans="1:17">
      <c r="A520" s="1444"/>
      <c r="C520" s="937" t="str">
        <f t="shared" si="16"/>
        <v/>
      </c>
      <c r="D520" s="1447" t="str">
        <f t="shared" si="17"/>
        <v/>
      </c>
      <c r="J520" s="939"/>
      <c r="K520" s="938"/>
      <c r="L520" s="941"/>
      <c r="M520" s="942"/>
      <c r="N520" s="943"/>
      <c r="O520" s="943"/>
      <c r="P520" s="943"/>
      <c r="Q520" s="943"/>
    </row>
    <row r="521" spans="1:17">
      <c r="A521" s="1444"/>
      <c r="C521" s="937" t="str">
        <f t="shared" si="16"/>
        <v/>
      </c>
      <c r="D521" s="1447" t="str">
        <f t="shared" si="17"/>
        <v/>
      </c>
      <c r="J521" s="939"/>
      <c r="K521" s="938"/>
      <c r="L521" s="941"/>
      <c r="M521" s="942"/>
      <c r="N521" s="943"/>
      <c r="O521" s="943"/>
      <c r="P521" s="943"/>
      <c r="Q521" s="943"/>
    </row>
    <row r="522" spans="1:17">
      <c r="A522" s="1444"/>
      <c r="B522" s="939"/>
      <c r="C522" s="937" t="str">
        <f t="shared" si="16"/>
        <v/>
      </c>
      <c r="D522" s="1448" t="str">
        <f t="shared" si="17"/>
        <v/>
      </c>
      <c r="E522" s="938"/>
      <c r="F522" s="938"/>
      <c r="G522" s="938"/>
      <c r="I522" s="944"/>
      <c r="J522" s="939"/>
      <c r="K522" s="938"/>
      <c r="L522" s="941"/>
      <c r="M522" s="942"/>
      <c r="N522" s="943"/>
      <c r="O522" s="943"/>
      <c r="P522" s="943"/>
      <c r="Q522" s="943"/>
    </row>
    <row r="523" spans="1:17">
      <c r="A523" s="1444"/>
      <c r="C523" s="937" t="str">
        <f t="shared" si="16"/>
        <v/>
      </c>
      <c r="D523" s="1447" t="str">
        <f t="shared" si="17"/>
        <v/>
      </c>
      <c r="F523" s="938"/>
      <c r="J523" s="939"/>
      <c r="K523" s="938"/>
      <c r="L523" s="941"/>
      <c r="M523" s="942"/>
      <c r="N523" s="943"/>
      <c r="O523" s="943"/>
      <c r="P523" s="943"/>
      <c r="Q523" s="943"/>
    </row>
    <row r="524" spans="1:17">
      <c r="A524" s="1444"/>
      <c r="B524" s="939"/>
      <c r="C524" s="937" t="str">
        <f t="shared" si="16"/>
        <v/>
      </c>
      <c r="D524" s="1448" t="str">
        <f t="shared" si="17"/>
        <v/>
      </c>
      <c r="E524" s="938"/>
      <c r="F524" s="938"/>
      <c r="G524" s="938"/>
      <c r="H524" s="939"/>
      <c r="I524" s="940"/>
      <c r="J524" s="939"/>
      <c r="K524" s="938"/>
      <c r="L524" s="941"/>
      <c r="M524" s="942"/>
      <c r="N524" s="943"/>
      <c r="O524" s="943"/>
      <c r="P524" s="943"/>
      <c r="Q524" s="943"/>
    </row>
    <row r="525" spans="1:17">
      <c r="A525" s="1444"/>
      <c r="B525" s="939"/>
      <c r="C525" s="937" t="str">
        <f t="shared" si="16"/>
        <v/>
      </c>
      <c r="D525" s="1448" t="str">
        <f t="shared" si="17"/>
        <v/>
      </c>
      <c r="E525" s="938"/>
      <c r="G525" s="938"/>
      <c r="J525" s="939"/>
      <c r="K525" s="938"/>
      <c r="L525" s="941"/>
      <c r="M525" s="942"/>
      <c r="N525" s="943"/>
      <c r="O525" s="943"/>
      <c r="P525" s="943"/>
      <c r="Q525" s="943"/>
    </row>
    <row r="526" spans="1:17">
      <c r="A526" s="1444"/>
      <c r="B526" s="939"/>
      <c r="C526" s="937" t="str">
        <f t="shared" si="16"/>
        <v/>
      </c>
      <c r="D526" s="1448" t="str">
        <f t="shared" si="17"/>
        <v/>
      </c>
      <c r="E526" s="938"/>
      <c r="F526" s="938"/>
      <c r="G526" s="938"/>
      <c r="H526" s="939"/>
      <c r="I526" s="940"/>
      <c r="J526" s="939"/>
      <c r="K526" s="938"/>
      <c r="L526" s="941"/>
      <c r="M526" s="942"/>
      <c r="N526" s="943"/>
      <c r="O526" s="943"/>
      <c r="P526" s="943"/>
      <c r="Q526" s="943"/>
    </row>
    <row r="527" spans="1:17">
      <c r="A527" s="1444"/>
      <c r="B527" s="939"/>
      <c r="C527" s="937" t="str">
        <f t="shared" si="16"/>
        <v/>
      </c>
      <c r="D527" s="1448" t="str">
        <f t="shared" si="17"/>
        <v/>
      </c>
      <c r="E527" s="938"/>
      <c r="F527" s="938"/>
      <c r="G527" s="938"/>
      <c r="J527" s="939"/>
      <c r="K527" s="938"/>
      <c r="L527" s="941"/>
      <c r="M527" s="942"/>
      <c r="N527" s="943"/>
      <c r="O527" s="943"/>
      <c r="P527" s="943"/>
      <c r="Q527" s="943"/>
    </row>
    <row r="528" spans="1:17">
      <c r="A528" s="1444"/>
      <c r="B528" s="939"/>
      <c r="C528" s="937" t="str">
        <f t="shared" si="16"/>
        <v/>
      </c>
      <c r="D528" s="1448" t="str">
        <f t="shared" si="17"/>
        <v/>
      </c>
      <c r="E528" s="938"/>
      <c r="F528" s="938"/>
      <c r="G528" s="938"/>
      <c r="H528" s="939"/>
      <c r="J528" s="939"/>
      <c r="K528" s="938"/>
      <c r="L528" s="941"/>
      <c r="M528" s="942"/>
      <c r="N528" s="943"/>
      <c r="O528" s="943"/>
      <c r="P528" s="943"/>
      <c r="Q528" s="943"/>
    </row>
    <row r="529" spans="1:17">
      <c r="A529" s="1444"/>
      <c r="B529" s="939"/>
      <c r="C529" s="937" t="str">
        <f t="shared" si="16"/>
        <v/>
      </c>
      <c r="D529" s="1448" t="str">
        <f t="shared" si="17"/>
        <v/>
      </c>
      <c r="E529" s="938"/>
      <c r="F529" s="938"/>
      <c r="G529" s="938"/>
      <c r="I529" s="944"/>
      <c r="J529" s="939"/>
      <c r="K529" s="938"/>
      <c r="L529" s="941"/>
      <c r="M529" s="942"/>
      <c r="N529" s="943"/>
      <c r="O529" s="943"/>
      <c r="P529" s="943"/>
      <c r="Q529" s="943"/>
    </row>
    <row r="530" spans="1:17">
      <c r="A530" s="1444"/>
      <c r="B530" s="939"/>
      <c r="C530" s="937" t="str">
        <f t="shared" si="16"/>
        <v/>
      </c>
      <c r="D530" s="1448" t="str">
        <f t="shared" si="17"/>
        <v/>
      </c>
      <c r="E530" s="938"/>
      <c r="F530" s="938"/>
      <c r="G530" s="938"/>
      <c r="J530" s="939"/>
      <c r="K530" s="938"/>
      <c r="L530" s="941"/>
      <c r="M530" s="942"/>
      <c r="N530" s="943"/>
      <c r="O530" s="943"/>
      <c r="P530" s="943"/>
      <c r="Q530" s="943"/>
    </row>
    <row r="531" spans="1:17">
      <c r="A531" s="1444"/>
      <c r="C531" s="937" t="str">
        <f t="shared" si="16"/>
        <v/>
      </c>
      <c r="D531" s="1447" t="str">
        <f t="shared" si="17"/>
        <v/>
      </c>
      <c r="F531" s="938"/>
      <c r="J531" s="939"/>
      <c r="K531" s="938"/>
      <c r="L531" s="941"/>
      <c r="M531" s="942"/>
      <c r="N531" s="943"/>
      <c r="O531" s="943"/>
      <c r="P531" s="943"/>
      <c r="Q531" s="943"/>
    </row>
    <row r="532" spans="1:17">
      <c r="A532" s="1444"/>
      <c r="C532" s="937" t="str">
        <f t="shared" si="16"/>
        <v/>
      </c>
      <c r="D532" s="1447" t="str">
        <f t="shared" si="17"/>
        <v/>
      </c>
      <c r="J532" s="939"/>
      <c r="K532" s="938"/>
      <c r="L532" s="941"/>
      <c r="M532" s="942"/>
      <c r="N532" s="943"/>
      <c r="O532" s="943"/>
      <c r="P532" s="943"/>
      <c r="Q532" s="943"/>
    </row>
    <row r="533" spans="1:17">
      <c r="A533" s="1444"/>
      <c r="C533" s="937" t="str">
        <f t="shared" si="16"/>
        <v/>
      </c>
      <c r="D533" s="1447" t="str">
        <f t="shared" si="17"/>
        <v/>
      </c>
      <c r="J533" s="939"/>
      <c r="K533" s="938"/>
      <c r="L533" s="941"/>
      <c r="M533" s="942"/>
      <c r="N533" s="943"/>
      <c r="O533" s="943"/>
      <c r="P533" s="943"/>
      <c r="Q533" s="943"/>
    </row>
    <row r="534" spans="1:17">
      <c r="A534" s="1444"/>
      <c r="C534" s="937" t="str">
        <f t="shared" si="16"/>
        <v/>
      </c>
      <c r="D534" s="1447" t="str">
        <f t="shared" si="17"/>
        <v/>
      </c>
      <c r="J534" s="939"/>
      <c r="K534" s="938"/>
      <c r="L534" s="941"/>
      <c r="M534" s="942"/>
      <c r="N534" s="943"/>
      <c r="O534" s="943"/>
      <c r="P534" s="943"/>
      <c r="Q534" s="943"/>
    </row>
    <row r="535" spans="1:17">
      <c r="A535" s="1444"/>
      <c r="B535" s="939"/>
      <c r="C535" s="937" t="str">
        <f t="shared" si="16"/>
        <v/>
      </c>
      <c r="D535" s="1448" t="str">
        <f t="shared" si="17"/>
        <v/>
      </c>
      <c r="E535" s="938"/>
      <c r="F535" s="938"/>
      <c r="G535" s="938"/>
      <c r="I535" s="944"/>
      <c r="J535" s="939"/>
      <c r="K535" s="938"/>
      <c r="L535" s="941"/>
      <c r="M535" s="942"/>
      <c r="N535" s="943"/>
      <c r="O535" s="943"/>
      <c r="P535" s="943"/>
      <c r="Q535" s="943"/>
    </row>
    <row r="536" spans="1:17">
      <c r="A536" s="1444"/>
      <c r="C536" s="937" t="str">
        <f t="shared" si="16"/>
        <v/>
      </c>
      <c r="D536" s="1447" t="str">
        <f t="shared" si="17"/>
        <v/>
      </c>
      <c r="F536" s="938"/>
      <c r="J536" s="939"/>
      <c r="K536" s="938"/>
      <c r="L536" s="941"/>
      <c r="M536" s="942"/>
      <c r="N536" s="943"/>
      <c r="O536" s="943"/>
      <c r="P536" s="943"/>
      <c r="Q536" s="943"/>
    </row>
    <row r="537" spans="1:17">
      <c r="A537" s="1444"/>
      <c r="B537" s="939"/>
      <c r="C537" s="937" t="str">
        <f t="shared" si="16"/>
        <v/>
      </c>
      <c r="D537" s="1448" t="str">
        <f t="shared" si="17"/>
        <v/>
      </c>
      <c r="E537" s="938"/>
      <c r="F537" s="938"/>
      <c r="G537" s="938"/>
      <c r="J537" s="939"/>
      <c r="K537" s="938"/>
      <c r="L537" s="941"/>
      <c r="M537" s="942"/>
      <c r="N537" s="943"/>
      <c r="O537" s="943"/>
      <c r="P537" s="943"/>
      <c r="Q537" s="943"/>
    </row>
    <row r="538" spans="1:17">
      <c r="A538" s="1444"/>
      <c r="B538" s="939"/>
      <c r="C538" s="937" t="str">
        <f t="shared" si="16"/>
        <v/>
      </c>
      <c r="D538" s="1448" t="str">
        <f t="shared" si="17"/>
        <v/>
      </c>
      <c r="E538" s="938"/>
      <c r="F538" s="938"/>
      <c r="G538" s="938"/>
      <c r="I538" s="944"/>
      <c r="J538" s="939"/>
      <c r="K538" s="938"/>
      <c r="L538" s="941"/>
      <c r="M538" s="942"/>
      <c r="N538" s="943"/>
      <c r="O538" s="943"/>
      <c r="P538" s="943"/>
      <c r="Q538" s="943"/>
    </row>
    <row r="539" spans="1:17">
      <c r="A539" s="1444"/>
      <c r="C539" s="937" t="str">
        <f t="shared" si="16"/>
        <v/>
      </c>
      <c r="D539" s="1447" t="str">
        <f t="shared" si="17"/>
        <v/>
      </c>
      <c r="J539" s="939"/>
      <c r="K539" s="938"/>
      <c r="L539" s="941"/>
      <c r="M539" s="942"/>
      <c r="N539" s="943"/>
      <c r="O539" s="943"/>
      <c r="P539" s="943"/>
      <c r="Q539" s="943"/>
    </row>
    <row r="540" spans="1:17">
      <c r="A540" s="1444"/>
      <c r="B540" s="939"/>
      <c r="C540" s="937" t="str">
        <f t="shared" si="16"/>
        <v/>
      </c>
      <c r="D540" s="1448" t="str">
        <f t="shared" si="17"/>
        <v/>
      </c>
      <c r="E540" s="938"/>
      <c r="F540" s="938"/>
      <c r="G540" s="938"/>
      <c r="J540" s="939"/>
      <c r="K540" s="938"/>
      <c r="L540" s="941"/>
      <c r="M540" s="942"/>
      <c r="N540" s="943"/>
      <c r="O540" s="943"/>
      <c r="P540" s="943"/>
      <c r="Q540" s="943"/>
    </row>
    <row r="541" spans="1:17">
      <c r="A541" s="1444"/>
      <c r="C541" s="937" t="str">
        <f t="shared" si="16"/>
        <v/>
      </c>
      <c r="D541" s="1447" t="str">
        <f t="shared" si="17"/>
        <v/>
      </c>
      <c r="J541" s="939"/>
      <c r="K541" s="938"/>
      <c r="L541" s="941"/>
      <c r="M541" s="942"/>
      <c r="N541" s="943"/>
      <c r="O541" s="943"/>
      <c r="P541" s="943"/>
      <c r="Q541" s="943"/>
    </row>
    <row r="542" spans="1:17">
      <c r="A542" s="1444"/>
      <c r="B542" s="939"/>
      <c r="C542" s="937" t="str">
        <f t="shared" si="16"/>
        <v/>
      </c>
      <c r="D542" s="1448" t="str">
        <f t="shared" si="17"/>
        <v/>
      </c>
      <c r="E542" s="938"/>
      <c r="G542" s="938"/>
      <c r="J542" s="939"/>
      <c r="K542" s="938"/>
      <c r="L542" s="941"/>
      <c r="M542" s="942"/>
      <c r="N542" s="943"/>
      <c r="O542" s="943"/>
      <c r="P542" s="943"/>
      <c r="Q542" s="943"/>
    </row>
    <row r="543" spans="1:17">
      <c r="A543" s="1444"/>
      <c r="C543" s="937" t="str">
        <f t="shared" si="16"/>
        <v/>
      </c>
      <c r="D543" s="1447" t="str">
        <f t="shared" si="17"/>
        <v/>
      </c>
      <c r="J543" s="939"/>
      <c r="K543" s="938"/>
      <c r="L543" s="941"/>
      <c r="M543" s="942"/>
      <c r="N543" s="943"/>
      <c r="O543" s="943"/>
      <c r="P543" s="943"/>
      <c r="Q543" s="943"/>
    </row>
    <row r="544" spans="1:17">
      <c r="A544" s="1444"/>
      <c r="C544" s="937" t="str">
        <f t="shared" si="16"/>
        <v/>
      </c>
      <c r="D544" s="1447" t="str">
        <f t="shared" si="17"/>
        <v/>
      </c>
      <c r="J544" s="939"/>
      <c r="K544" s="938"/>
      <c r="L544" s="941"/>
      <c r="M544" s="942"/>
      <c r="N544" s="943"/>
      <c r="O544" s="943"/>
      <c r="P544" s="943"/>
      <c r="Q544" s="943"/>
    </row>
    <row r="545" spans="1:17">
      <c r="A545" s="1444"/>
      <c r="B545" s="939"/>
      <c r="C545" s="937" t="str">
        <f t="shared" si="16"/>
        <v/>
      </c>
      <c r="D545" s="1448" t="str">
        <f t="shared" si="17"/>
        <v/>
      </c>
      <c r="E545" s="938"/>
      <c r="F545" s="938"/>
      <c r="G545" s="938"/>
      <c r="I545" s="944"/>
      <c r="J545" s="939"/>
      <c r="K545" s="938"/>
      <c r="L545" s="941"/>
      <c r="M545" s="942"/>
      <c r="N545" s="943"/>
      <c r="O545" s="943"/>
      <c r="P545" s="943"/>
      <c r="Q545" s="943"/>
    </row>
    <row r="546" spans="1:17">
      <c r="A546" s="1444"/>
      <c r="B546" s="939"/>
      <c r="C546" s="937" t="str">
        <f t="shared" si="16"/>
        <v/>
      </c>
      <c r="D546" s="1448" t="str">
        <f t="shared" si="17"/>
        <v/>
      </c>
      <c r="E546" s="938"/>
      <c r="F546" s="938"/>
      <c r="G546" s="938"/>
      <c r="J546" s="939"/>
      <c r="K546" s="938"/>
      <c r="L546" s="941"/>
      <c r="M546" s="942"/>
      <c r="N546" s="943"/>
      <c r="O546" s="943"/>
      <c r="P546" s="943"/>
      <c r="Q546" s="943"/>
    </row>
    <row r="547" spans="1:17">
      <c r="A547" s="1444"/>
      <c r="B547" s="939"/>
      <c r="C547" s="937" t="str">
        <f t="shared" si="16"/>
        <v/>
      </c>
      <c r="D547" s="1448" t="str">
        <f t="shared" si="17"/>
        <v/>
      </c>
      <c r="E547" s="938"/>
      <c r="F547" s="938"/>
      <c r="G547" s="938"/>
      <c r="I547" s="944"/>
      <c r="J547" s="939"/>
      <c r="K547" s="938"/>
      <c r="L547" s="941"/>
      <c r="M547" s="942"/>
      <c r="N547" s="943"/>
      <c r="O547" s="943"/>
      <c r="P547" s="943"/>
      <c r="Q547" s="943"/>
    </row>
    <row r="548" spans="1:17">
      <c r="A548" s="1444"/>
      <c r="B548" s="939"/>
      <c r="C548" s="937" t="str">
        <f t="shared" si="16"/>
        <v/>
      </c>
      <c r="D548" s="1448" t="str">
        <f t="shared" si="17"/>
        <v/>
      </c>
      <c r="E548" s="938"/>
      <c r="F548" s="938"/>
      <c r="G548" s="938"/>
      <c r="J548" s="939"/>
      <c r="K548" s="938"/>
      <c r="L548" s="941"/>
      <c r="M548" s="942"/>
      <c r="N548" s="943"/>
      <c r="O548" s="943"/>
      <c r="P548" s="943"/>
      <c r="Q548" s="943"/>
    </row>
    <row r="549" spans="1:17">
      <c r="A549" s="1444"/>
      <c r="B549" s="939"/>
      <c r="C549" s="937" t="str">
        <f t="shared" si="16"/>
        <v/>
      </c>
      <c r="D549" s="1448" t="str">
        <f t="shared" si="17"/>
        <v/>
      </c>
      <c r="E549" s="938"/>
      <c r="F549" s="938"/>
      <c r="G549" s="938"/>
      <c r="H549" s="939"/>
      <c r="I549" s="939"/>
      <c r="J549" s="939"/>
      <c r="K549" s="938"/>
      <c r="L549" s="941"/>
      <c r="M549" s="942"/>
      <c r="N549" s="943"/>
      <c r="O549" s="943"/>
      <c r="P549" s="943"/>
      <c r="Q549" s="943"/>
    </row>
    <row r="550" spans="1:17">
      <c r="A550" s="1444"/>
      <c r="C550" s="937" t="str">
        <f t="shared" si="16"/>
        <v/>
      </c>
      <c r="D550" s="1447" t="str">
        <f t="shared" si="17"/>
        <v/>
      </c>
      <c r="J550" s="939"/>
      <c r="K550" s="938"/>
      <c r="L550" s="941"/>
      <c r="M550" s="942"/>
      <c r="N550" s="943"/>
      <c r="O550" s="943"/>
      <c r="P550" s="943"/>
      <c r="Q550" s="943"/>
    </row>
    <row r="551" spans="1:17">
      <c r="A551" s="1444"/>
      <c r="C551" s="937" t="str">
        <f t="shared" si="16"/>
        <v/>
      </c>
      <c r="D551" s="1447" t="str">
        <f t="shared" si="17"/>
        <v/>
      </c>
      <c r="J551" s="939"/>
      <c r="K551" s="938"/>
      <c r="L551" s="941"/>
      <c r="M551" s="942"/>
      <c r="N551" s="943"/>
      <c r="O551" s="943"/>
      <c r="P551" s="943"/>
      <c r="Q551" s="943"/>
    </row>
    <row r="552" spans="1:17">
      <c r="A552" s="1444"/>
      <c r="B552" s="939"/>
      <c r="C552" s="937" t="str">
        <f t="shared" si="16"/>
        <v/>
      </c>
      <c r="D552" s="1448" t="str">
        <f t="shared" si="17"/>
        <v/>
      </c>
      <c r="E552" s="938"/>
      <c r="F552" s="938"/>
      <c r="G552" s="938"/>
      <c r="J552" s="939"/>
      <c r="K552" s="938"/>
      <c r="L552" s="941"/>
      <c r="M552" s="942"/>
      <c r="N552" s="943"/>
      <c r="O552" s="943"/>
      <c r="P552" s="943"/>
      <c r="Q552" s="943"/>
    </row>
    <row r="553" spans="1:17">
      <c r="A553" s="1444"/>
      <c r="B553" s="939"/>
      <c r="C553" s="937" t="str">
        <f t="shared" si="16"/>
        <v/>
      </c>
      <c r="D553" s="1448" t="str">
        <f t="shared" si="17"/>
        <v/>
      </c>
      <c r="E553" s="938"/>
      <c r="F553" s="938"/>
      <c r="G553" s="938"/>
      <c r="H553" s="939"/>
      <c r="I553" s="940"/>
      <c r="J553" s="939"/>
      <c r="K553" s="938"/>
      <c r="L553" s="941"/>
      <c r="M553" s="942"/>
      <c r="N553" s="943"/>
      <c r="O553" s="943"/>
      <c r="P553" s="943"/>
      <c r="Q553" s="943"/>
    </row>
    <row r="554" spans="1:17">
      <c r="A554" s="1444"/>
      <c r="B554" s="939"/>
      <c r="C554" s="937" t="str">
        <f t="shared" si="16"/>
        <v/>
      </c>
      <c r="D554" s="1448" t="str">
        <f t="shared" si="17"/>
        <v/>
      </c>
      <c r="E554" s="938"/>
      <c r="F554" s="938"/>
      <c r="G554" s="938"/>
      <c r="I554" s="940"/>
      <c r="J554" s="939"/>
      <c r="K554" s="938"/>
      <c r="L554" s="941"/>
      <c r="M554" s="942"/>
      <c r="N554" s="943"/>
      <c r="O554" s="943"/>
      <c r="P554" s="943"/>
      <c r="Q554" s="943"/>
    </row>
    <row r="555" spans="1:17">
      <c r="A555" s="1444"/>
      <c r="B555" s="939"/>
      <c r="C555" s="937" t="str">
        <f t="shared" si="16"/>
        <v/>
      </c>
      <c r="D555" s="1448" t="str">
        <f t="shared" si="17"/>
        <v/>
      </c>
      <c r="E555" s="938"/>
      <c r="F555" s="938"/>
      <c r="G555" s="938"/>
      <c r="J555" s="939"/>
      <c r="K555" s="938"/>
      <c r="L555" s="941"/>
      <c r="M555" s="942"/>
      <c r="N555" s="943"/>
      <c r="O555" s="943"/>
      <c r="P555" s="943"/>
      <c r="Q555" s="943"/>
    </row>
    <row r="556" spans="1:17">
      <c r="A556" s="1444"/>
      <c r="C556" s="937" t="str">
        <f t="shared" si="16"/>
        <v/>
      </c>
      <c r="D556" s="1447" t="str">
        <f t="shared" si="17"/>
        <v/>
      </c>
      <c r="J556" s="939"/>
      <c r="K556" s="938"/>
      <c r="L556" s="941"/>
      <c r="M556" s="942"/>
      <c r="N556" s="943"/>
      <c r="O556" s="943"/>
      <c r="P556" s="943"/>
      <c r="Q556" s="943"/>
    </row>
    <row r="557" spans="1:17">
      <c r="A557" s="1444"/>
      <c r="C557" s="937" t="str">
        <f t="shared" si="16"/>
        <v/>
      </c>
      <c r="D557" s="1447" t="str">
        <f t="shared" si="17"/>
        <v/>
      </c>
      <c r="J557" s="939"/>
      <c r="K557" s="938"/>
      <c r="L557" s="941"/>
      <c r="M557" s="942"/>
      <c r="N557" s="943"/>
      <c r="O557" s="943"/>
      <c r="P557" s="943"/>
      <c r="Q557" s="943"/>
    </row>
    <row r="558" spans="1:17">
      <c r="A558" s="1444"/>
      <c r="B558" s="939"/>
      <c r="C558" s="937" t="str">
        <f t="shared" si="16"/>
        <v/>
      </c>
      <c r="D558" s="1448" t="str">
        <f t="shared" si="17"/>
        <v/>
      </c>
      <c r="E558" s="938"/>
      <c r="F558" s="938"/>
      <c r="G558" s="938"/>
      <c r="J558" s="939"/>
      <c r="K558" s="938"/>
      <c r="L558" s="941"/>
      <c r="M558" s="942"/>
      <c r="N558" s="943"/>
      <c r="O558" s="943"/>
      <c r="P558" s="943"/>
      <c r="Q558" s="943"/>
    </row>
    <row r="559" spans="1:17">
      <c r="A559" s="1444"/>
      <c r="C559" s="937" t="str">
        <f t="shared" si="16"/>
        <v/>
      </c>
      <c r="D559" s="1447" t="str">
        <f t="shared" si="17"/>
        <v/>
      </c>
      <c r="H559" s="939"/>
      <c r="J559" s="939"/>
      <c r="K559" s="938"/>
      <c r="L559" s="941"/>
      <c r="M559" s="942"/>
      <c r="N559" s="943"/>
      <c r="O559" s="943"/>
      <c r="P559" s="943"/>
      <c r="Q559" s="943"/>
    </row>
    <row r="560" spans="1:17">
      <c r="A560" s="1444"/>
      <c r="B560" s="939"/>
      <c r="C560" s="937" t="str">
        <f t="shared" si="16"/>
        <v/>
      </c>
      <c r="D560" s="1448" t="str">
        <f t="shared" si="17"/>
        <v/>
      </c>
      <c r="E560" s="938"/>
      <c r="F560" s="938"/>
      <c r="G560" s="938"/>
      <c r="I560" s="944"/>
      <c r="J560" s="939"/>
      <c r="K560" s="938"/>
      <c r="L560" s="941"/>
      <c r="M560" s="942"/>
      <c r="N560" s="943"/>
      <c r="O560" s="943"/>
      <c r="P560" s="943"/>
      <c r="Q560" s="943"/>
    </row>
    <row r="561" spans="1:17">
      <c r="A561" s="1444"/>
      <c r="B561" s="939"/>
      <c r="C561" s="937" t="str">
        <f t="shared" si="16"/>
        <v/>
      </c>
      <c r="D561" s="1448" t="str">
        <f t="shared" si="17"/>
        <v/>
      </c>
      <c r="E561" s="938"/>
      <c r="F561" s="938"/>
      <c r="G561" s="938"/>
      <c r="J561" s="939"/>
      <c r="K561" s="938"/>
      <c r="L561" s="941"/>
      <c r="M561" s="942"/>
      <c r="N561" s="943"/>
      <c r="O561" s="943"/>
      <c r="P561" s="943"/>
      <c r="Q561" s="943"/>
    </row>
    <row r="562" spans="1:17">
      <c r="A562" s="1444"/>
      <c r="C562" s="937" t="str">
        <f t="shared" si="16"/>
        <v/>
      </c>
      <c r="D562" s="1447" t="str">
        <f t="shared" si="17"/>
        <v/>
      </c>
      <c r="J562" s="939"/>
      <c r="K562" s="938"/>
      <c r="L562" s="941"/>
      <c r="M562" s="942"/>
      <c r="N562" s="943"/>
      <c r="O562" s="943"/>
      <c r="P562" s="943"/>
      <c r="Q562" s="943"/>
    </row>
    <row r="563" spans="1:17">
      <c r="A563" s="1444"/>
      <c r="B563" s="939"/>
      <c r="C563" s="937" t="str">
        <f t="shared" si="16"/>
        <v/>
      </c>
      <c r="D563" s="1448" t="str">
        <f t="shared" si="17"/>
        <v/>
      </c>
      <c r="E563" s="938"/>
      <c r="F563" s="938"/>
      <c r="G563" s="938"/>
      <c r="J563" s="939"/>
      <c r="K563" s="938"/>
      <c r="L563" s="941"/>
      <c r="M563" s="942"/>
      <c r="N563" s="943"/>
      <c r="O563" s="943"/>
      <c r="P563" s="943"/>
      <c r="Q563" s="943"/>
    </row>
    <row r="564" spans="1:17">
      <c r="A564" s="1444"/>
      <c r="C564" s="937" t="str">
        <f t="shared" si="16"/>
        <v/>
      </c>
      <c r="D564" s="1447" t="str">
        <f t="shared" si="17"/>
        <v/>
      </c>
      <c r="J564" s="939"/>
      <c r="K564" s="938"/>
      <c r="L564" s="941"/>
      <c r="M564" s="942"/>
      <c r="N564" s="943"/>
      <c r="O564" s="943"/>
      <c r="P564" s="943"/>
      <c r="Q564" s="943"/>
    </row>
    <row r="565" spans="1:17">
      <c r="A565" s="1444"/>
      <c r="C565" s="937" t="str">
        <f t="shared" si="16"/>
        <v/>
      </c>
      <c r="D565" s="1447" t="str">
        <f t="shared" si="17"/>
        <v/>
      </c>
      <c r="J565" s="939"/>
      <c r="K565" s="938"/>
      <c r="L565" s="941"/>
      <c r="M565" s="942"/>
      <c r="N565" s="943"/>
      <c r="O565" s="943"/>
      <c r="P565" s="943"/>
      <c r="Q565" s="943"/>
    </row>
    <row r="566" spans="1:17">
      <c r="A566" s="1444"/>
      <c r="C566" s="937" t="str">
        <f t="shared" si="16"/>
        <v/>
      </c>
      <c r="D566" s="1447" t="str">
        <f t="shared" si="17"/>
        <v/>
      </c>
      <c r="K566" s="938"/>
      <c r="L566" s="941"/>
      <c r="M566" s="942"/>
      <c r="N566" s="943"/>
      <c r="O566" s="943"/>
      <c r="P566" s="943"/>
      <c r="Q566" s="943"/>
    </row>
    <row r="567" spans="1:17">
      <c r="A567" s="1444"/>
      <c r="B567" s="939"/>
      <c r="C567" s="937" t="str">
        <f t="shared" si="16"/>
        <v/>
      </c>
      <c r="D567" s="1448" t="str">
        <f t="shared" si="17"/>
        <v/>
      </c>
      <c r="E567" s="938"/>
      <c r="F567" s="938"/>
      <c r="G567" s="938"/>
      <c r="H567" s="939"/>
      <c r="I567" s="940"/>
      <c r="J567" s="939"/>
      <c r="K567" s="938"/>
      <c r="L567" s="941"/>
      <c r="M567" s="942"/>
      <c r="N567" s="943"/>
      <c r="O567" s="943"/>
      <c r="P567" s="943"/>
      <c r="Q567" s="943"/>
    </row>
    <row r="568" spans="1:17">
      <c r="A568" s="1444"/>
      <c r="C568" s="937" t="str">
        <f t="shared" si="16"/>
        <v/>
      </c>
      <c r="D568" s="1447" t="str">
        <f t="shared" si="17"/>
        <v/>
      </c>
      <c r="H568" s="939"/>
      <c r="J568" s="939"/>
      <c r="K568" s="938"/>
      <c r="L568" s="941"/>
      <c r="M568" s="942"/>
      <c r="N568" s="943"/>
      <c r="O568" s="943"/>
      <c r="P568" s="943"/>
      <c r="Q568" s="943"/>
    </row>
    <row r="569" spans="1:17">
      <c r="A569" s="1444"/>
      <c r="C569" s="937" t="str">
        <f t="shared" si="16"/>
        <v/>
      </c>
      <c r="D569" s="1447" t="str">
        <f t="shared" si="17"/>
        <v/>
      </c>
      <c r="J569" s="939"/>
      <c r="K569" s="938"/>
      <c r="L569" s="941"/>
      <c r="M569" s="942"/>
      <c r="N569" s="943"/>
      <c r="O569" s="943"/>
      <c r="P569" s="943"/>
      <c r="Q569" s="943"/>
    </row>
    <row r="570" spans="1:17">
      <c r="A570" s="1444"/>
      <c r="B570" s="939"/>
      <c r="C570" s="937" t="str">
        <f t="shared" si="16"/>
        <v/>
      </c>
      <c r="D570" s="1448" t="str">
        <f t="shared" si="17"/>
        <v/>
      </c>
      <c r="E570" s="938"/>
      <c r="F570" s="938"/>
      <c r="G570" s="938"/>
      <c r="J570" s="939"/>
      <c r="K570" s="938"/>
      <c r="L570" s="941"/>
      <c r="M570" s="942"/>
      <c r="N570" s="943"/>
      <c r="O570" s="943"/>
      <c r="P570" s="943"/>
      <c r="Q570" s="943"/>
    </row>
    <row r="571" spans="1:17">
      <c r="A571" s="1444"/>
      <c r="C571" s="937" t="str">
        <f t="shared" si="16"/>
        <v/>
      </c>
      <c r="D571" s="1447" t="str">
        <f t="shared" si="17"/>
        <v/>
      </c>
      <c r="J571" s="939"/>
      <c r="K571" s="938"/>
      <c r="L571" s="941"/>
      <c r="M571" s="942"/>
      <c r="N571" s="943"/>
      <c r="O571" s="943"/>
      <c r="P571" s="943"/>
      <c r="Q571" s="943"/>
    </row>
    <row r="572" spans="1:17">
      <c r="A572" s="1444"/>
      <c r="C572" s="937" t="str">
        <f t="shared" si="16"/>
        <v/>
      </c>
      <c r="D572" s="1447" t="str">
        <f t="shared" si="17"/>
        <v/>
      </c>
      <c r="J572" s="939"/>
      <c r="K572" s="938"/>
      <c r="L572" s="941"/>
      <c r="M572" s="942"/>
      <c r="N572" s="943"/>
      <c r="O572" s="943"/>
      <c r="P572" s="943"/>
      <c r="Q572" s="943"/>
    </row>
    <row r="573" spans="1:17">
      <c r="A573" s="1444"/>
      <c r="B573" s="939"/>
      <c r="C573" s="937" t="str">
        <f t="shared" si="16"/>
        <v/>
      </c>
      <c r="D573" s="1448" t="str">
        <f t="shared" si="17"/>
        <v/>
      </c>
      <c r="E573" s="938"/>
      <c r="F573" s="938"/>
      <c r="G573" s="938"/>
      <c r="I573" s="944"/>
      <c r="J573" s="939"/>
      <c r="K573" s="938"/>
      <c r="L573" s="941"/>
      <c r="M573" s="942"/>
      <c r="N573" s="943"/>
      <c r="O573" s="943"/>
      <c r="P573" s="943"/>
      <c r="Q573" s="943"/>
    </row>
    <row r="574" spans="1:17">
      <c r="A574" s="1444"/>
      <c r="B574" s="939"/>
      <c r="C574" s="937" t="str">
        <f t="shared" si="16"/>
        <v/>
      </c>
      <c r="D574" s="1448" t="str">
        <f t="shared" si="17"/>
        <v/>
      </c>
      <c r="E574" s="938"/>
      <c r="F574" s="938"/>
      <c r="G574" s="938"/>
      <c r="J574" s="939"/>
      <c r="K574" s="938"/>
      <c r="L574" s="941"/>
      <c r="M574" s="942"/>
      <c r="N574" s="943"/>
      <c r="O574" s="943"/>
      <c r="P574" s="943"/>
      <c r="Q574" s="943"/>
    </row>
    <row r="575" spans="1:17">
      <c r="A575" s="1444"/>
      <c r="B575" s="939"/>
      <c r="C575" s="937" t="str">
        <f t="shared" si="16"/>
        <v/>
      </c>
      <c r="D575" s="1448" t="str">
        <f t="shared" si="17"/>
        <v/>
      </c>
      <c r="E575" s="938"/>
      <c r="F575" s="938"/>
      <c r="G575" s="938"/>
      <c r="I575" s="944"/>
      <c r="J575" s="939"/>
      <c r="K575" s="938"/>
      <c r="L575" s="941"/>
      <c r="M575" s="942"/>
      <c r="N575" s="943"/>
      <c r="O575" s="943"/>
      <c r="P575" s="943"/>
      <c r="Q575" s="943"/>
    </row>
    <row r="576" spans="1:17">
      <c r="A576" s="1444"/>
      <c r="C576" s="937" t="str">
        <f t="shared" si="16"/>
        <v/>
      </c>
      <c r="D576" s="1447" t="str">
        <f t="shared" si="17"/>
        <v/>
      </c>
      <c r="J576" s="939"/>
      <c r="K576" s="938"/>
      <c r="L576" s="941"/>
      <c r="M576" s="942"/>
      <c r="N576" s="943"/>
      <c r="O576" s="943"/>
      <c r="P576" s="943"/>
      <c r="Q576" s="943"/>
    </row>
    <row r="577" spans="1:17">
      <c r="A577" s="1444"/>
      <c r="B577" s="939"/>
      <c r="C577" s="937" t="str">
        <f t="shared" si="16"/>
        <v/>
      </c>
      <c r="D577" s="1448" t="str">
        <f t="shared" si="17"/>
        <v/>
      </c>
      <c r="E577" s="938"/>
      <c r="G577" s="938"/>
      <c r="J577" s="939"/>
      <c r="K577" s="938"/>
      <c r="L577" s="941"/>
      <c r="M577" s="942"/>
      <c r="N577" s="943"/>
      <c r="O577" s="943"/>
      <c r="P577" s="943"/>
      <c r="Q577" s="943"/>
    </row>
    <row r="578" spans="1:17">
      <c r="A578" s="1444"/>
      <c r="C578" s="937" t="str">
        <f t="shared" ref="C578:C641" si="18">IFERROR(1440/D578, "")</f>
        <v/>
      </c>
      <c r="D578" s="1447" t="str">
        <f t="shared" ref="D578:D641" si="19">IF(B578="", "", IF(B578&lt;1, B578*1440, B578))</f>
        <v/>
      </c>
      <c r="F578" s="938"/>
      <c r="J578" s="939"/>
      <c r="K578" s="938"/>
      <c r="L578" s="941"/>
      <c r="M578" s="942"/>
      <c r="N578" s="943"/>
      <c r="O578" s="943"/>
      <c r="P578" s="943"/>
      <c r="Q578" s="943"/>
    </row>
    <row r="579" spans="1:17">
      <c r="A579" s="1444"/>
      <c r="B579" s="939"/>
      <c r="C579" s="937" t="str">
        <f t="shared" si="18"/>
        <v/>
      </c>
      <c r="D579" s="1448" t="str">
        <f t="shared" si="19"/>
        <v/>
      </c>
      <c r="E579" s="938"/>
      <c r="F579" s="938"/>
      <c r="G579" s="938"/>
      <c r="I579" s="944"/>
      <c r="J579" s="939"/>
      <c r="K579" s="938"/>
      <c r="L579" s="941"/>
      <c r="M579" s="942"/>
      <c r="N579" s="943"/>
      <c r="O579" s="943"/>
      <c r="P579" s="943"/>
      <c r="Q579" s="943"/>
    </row>
    <row r="580" spans="1:17">
      <c r="A580" s="1444"/>
      <c r="B580" s="939"/>
      <c r="C580" s="937" t="str">
        <f t="shared" si="18"/>
        <v/>
      </c>
      <c r="D580" s="1448" t="str">
        <f t="shared" si="19"/>
        <v/>
      </c>
      <c r="E580" s="938"/>
      <c r="F580" s="938"/>
      <c r="G580" s="938"/>
      <c r="J580" s="939"/>
      <c r="K580" s="938"/>
      <c r="L580" s="941"/>
      <c r="M580" s="942"/>
      <c r="N580" s="943"/>
      <c r="O580" s="943"/>
      <c r="P580" s="943"/>
      <c r="Q580" s="943"/>
    </row>
    <row r="581" spans="1:17">
      <c r="A581" s="1444"/>
      <c r="B581" s="939"/>
      <c r="C581" s="937" t="str">
        <f t="shared" si="18"/>
        <v/>
      </c>
      <c r="D581" s="1448" t="str">
        <f t="shared" si="19"/>
        <v/>
      </c>
      <c r="E581" s="938"/>
      <c r="F581" s="938"/>
      <c r="G581" s="938"/>
      <c r="J581" s="939"/>
      <c r="K581" s="938"/>
      <c r="L581" s="941"/>
      <c r="M581" s="942"/>
      <c r="N581" s="943"/>
      <c r="O581" s="943"/>
      <c r="P581" s="943"/>
      <c r="Q581" s="943"/>
    </row>
    <row r="582" spans="1:17">
      <c r="A582" s="1444"/>
      <c r="C582" s="937" t="str">
        <f t="shared" si="18"/>
        <v/>
      </c>
      <c r="D582" s="1447" t="str">
        <f t="shared" si="19"/>
        <v/>
      </c>
      <c r="E582" s="938"/>
      <c r="F582" s="938"/>
      <c r="G582" s="938"/>
      <c r="H582" s="939"/>
      <c r="I582" s="940"/>
      <c r="J582" s="939"/>
      <c r="K582" s="938"/>
      <c r="L582" s="941"/>
      <c r="M582" s="942"/>
      <c r="N582" s="943"/>
      <c r="O582" s="943"/>
      <c r="P582" s="943"/>
      <c r="Q582" s="943"/>
    </row>
    <row r="583" spans="1:17">
      <c r="A583" s="1444"/>
      <c r="C583" s="937" t="str">
        <f t="shared" si="18"/>
        <v/>
      </c>
      <c r="D583" s="1447" t="str">
        <f t="shared" si="19"/>
        <v/>
      </c>
      <c r="F583" s="938"/>
      <c r="J583" s="939"/>
      <c r="K583" s="938"/>
      <c r="L583" s="941"/>
      <c r="M583" s="942"/>
      <c r="N583" s="943"/>
      <c r="O583" s="943"/>
      <c r="P583" s="943"/>
      <c r="Q583" s="943"/>
    </row>
    <row r="584" spans="1:17">
      <c r="A584" s="1444"/>
      <c r="B584" s="939"/>
      <c r="C584" s="937" t="str">
        <f t="shared" si="18"/>
        <v/>
      </c>
      <c r="D584" s="1448" t="str">
        <f t="shared" si="19"/>
        <v/>
      </c>
      <c r="E584" s="938"/>
      <c r="F584" s="938"/>
      <c r="G584" s="938"/>
      <c r="H584" s="939"/>
      <c r="I584" s="939"/>
      <c r="J584" s="939"/>
      <c r="K584" s="938"/>
      <c r="L584" s="941"/>
      <c r="M584" s="942"/>
      <c r="N584" s="943"/>
      <c r="O584" s="943"/>
      <c r="P584" s="943"/>
      <c r="Q584" s="943"/>
    </row>
    <row r="585" spans="1:17">
      <c r="A585" s="1444"/>
      <c r="C585" s="937" t="str">
        <f t="shared" si="18"/>
        <v/>
      </c>
      <c r="D585" s="1447" t="str">
        <f t="shared" si="19"/>
        <v/>
      </c>
      <c r="J585" s="939"/>
      <c r="K585" s="938"/>
      <c r="L585" s="941"/>
      <c r="M585" s="942"/>
      <c r="N585" s="943"/>
      <c r="O585" s="943"/>
      <c r="P585" s="943"/>
      <c r="Q585" s="943"/>
    </row>
    <row r="586" spans="1:17">
      <c r="A586" s="1444"/>
      <c r="B586" s="939"/>
      <c r="C586" s="937" t="str">
        <f t="shared" si="18"/>
        <v/>
      </c>
      <c r="D586" s="1448" t="str">
        <f t="shared" si="19"/>
        <v/>
      </c>
      <c r="E586" s="938"/>
      <c r="F586" s="938"/>
      <c r="G586" s="938"/>
      <c r="I586" s="944"/>
      <c r="J586" s="939"/>
      <c r="K586" s="938"/>
      <c r="L586" s="941"/>
      <c r="M586" s="942"/>
      <c r="N586" s="943"/>
      <c r="O586" s="943"/>
      <c r="P586" s="943"/>
      <c r="Q586" s="943"/>
    </row>
    <row r="587" spans="1:17">
      <c r="A587" s="1444"/>
      <c r="B587" s="939"/>
      <c r="C587" s="937" t="str">
        <f t="shared" si="18"/>
        <v/>
      </c>
      <c r="D587" s="1448" t="str">
        <f t="shared" si="19"/>
        <v/>
      </c>
      <c r="E587" s="938"/>
      <c r="F587" s="938"/>
      <c r="G587" s="938"/>
      <c r="I587" s="944"/>
      <c r="J587" s="939"/>
      <c r="K587" s="938"/>
      <c r="L587" s="941"/>
      <c r="M587" s="942"/>
      <c r="N587" s="943"/>
      <c r="O587" s="943"/>
      <c r="P587" s="943"/>
      <c r="Q587" s="943"/>
    </row>
    <row r="588" spans="1:17">
      <c r="A588" s="1444"/>
      <c r="C588" s="937" t="str">
        <f t="shared" si="18"/>
        <v/>
      </c>
      <c r="D588" s="1447" t="str">
        <f t="shared" si="19"/>
        <v/>
      </c>
      <c r="H588" s="939"/>
      <c r="J588" s="939"/>
      <c r="K588" s="938"/>
      <c r="L588" s="941"/>
      <c r="M588" s="942"/>
      <c r="N588" s="943"/>
      <c r="O588" s="943"/>
      <c r="P588" s="943"/>
      <c r="Q588" s="943"/>
    </row>
    <row r="589" spans="1:17">
      <c r="A589" s="1444"/>
      <c r="B589" s="939"/>
      <c r="C589" s="937" t="str">
        <f t="shared" si="18"/>
        <v/>
      </c>
      <c r="D589" s="1448" t="str">
        <f t="shared" si="19"/>
        <v/>
      </c>
      <c r="E589" s="938"/>
      <c r="F589" s="938"/>
      <c r="G589" s="938"/>
      <c r="I589" s="944"/>
      <c r="J589" s="939"/>
      <c r="K589" s="938"/>
      <c r="L589" s="941"/>
      <c r="M589" s="942"/>
      <c r="N589" s="943"/>
      <c r="O589" s="943"/>
      <c r="P589" s="943"/>
      <c r="Q589" s="943"/>
    </row>
    <row r="590" spans="1:17">
      <c r="A590" s="1444"/>
      <c r="B590" s="939"/>
      <c r="C590" s="937" t="str">
        <f t="shared" si="18"/>
        <v/>
      </c>
      <c r="D590" s="1448" t="str">
        <f t="shared" si="19"/>
        <v/>
      </c>
      <c r="H590" s="939"/>
      <c r="I590" s="940"/>
      <c r="J590" s="939"/>
      <c r="K590" s="938"/>
      <c r="L590" s="941"/>
      <c r="M590" s="942"/>
      <c r="N590" s="943"/>
      <c r="O590" s="943"/>
      <c r="P590" s="943"/>
      <c r="Q590" s="943"/>
    </row>
    <row r="591" spans="1:17">
      <c r="A591" s="1444"/>
      <c r="B591" s="939"/>
      <c r="C591" s="937" t="str">
        <f t="shared" si="18"/>
        <v/>
      </c>
      <c r="D591" s="1448" t="str">
        <f t="shared" si="19"/>
        <v/>
      </c>
      <c r="E591" s="938"/>
      <c r="F591" s="938"/>
      <c r="G591" s="938"/>
      <c r="I591" s="944"/>
      <c r="J591" s="939"/>
      <c r="K591" s="938"/>
      <c r="L591" s="941"/>
      <c r="M591" s="942"/>
      <c r="N591" s="943"/>
      <c r="O591" s="943"/>
      <c r="P591" s="943"/>
      <c r="Q591" s="943"/>
    </row>
    <row r="592" spans="1:17">
      <c r="A592" s="1444"/>
      <c r="C592" s="937" t="str">
        <f t="shared" si="18"/>
        <v/>
      </c>
      <c r="D592" s="1447" t="str">
        <f t="shared" si="19"/>
        <v/>
      </c>
      <c r="J592" s="939"/>
      <c r="K592" s="938"/>
      <c r="L592" s="941"/>
      <c r="M592" s="942"/>
      <c r="N592" s="943"/>
      <c r="O592" s="943"/>
      <c r="P592" s="943"/>
      <c r="Q592" s="943"/>
    </row>
    <row r="593" spans="1:17">
      <c r="A593" s="1444"/>
      <c r="B593" s="939"/>
      <c r="C593" s="937" t="str">
        <f t="shared" si="18"/>
        <v/>
      </c>
      <c r="D593" s="1448" t="str">
        <f t="shared" si="19"/>
        <v/>
      </c>
      <c r="E593" s="938"/>
      <c r="F593" s="938"/>
      <c r="G593" s="938"/>
      <c r="H593" s="939"/>
      <c r="J593" s="939"/>
      <c r="K593" s="938"/>
      <c r="L593" s="941"/>
      <c r="M593" s="942"/>
      <c r="N593" s="943"/>
      <c r="O593" s="943"/>
      <c r="P593" s="943"/>
      <c r="Q593" s="943"/>
    </row>
    <row r="594" spans="1:17">
      <c r="A594" s="1444"/>
      <c r="C594" s="937" t="str">
        <f t="shared" si="18"/>
        <v/>
      </c>
      <c r="D594" s="1447" t="str">
        <f t="shared" si="19"/>
        <v/>
      </c>
      <c r="F594" s="938"/>
      <c r="J594" s="939"/>
      <c r="K594" s="938"/>
      <c r="L594" s="941"/>
      <c r="M594" s="942"/>
      <c r="N594" s="943"/>
      <c r="O594" s="943"/>
      <c r="P594" s="943"/>
      <c r="Q594" s="943"/>
    </row>
    <row r="595" spans="1:17">
      <c r="A595" s="1444"/>
      <c r="B595" s="939"/>
      <c r="C595" s="937" t="str">
        <f t="shared" si="18"/>
        <v/>
      </c>
      <c r="D595" s="1448" t="str">
        <f t="shared" si="19"/>
        <v/>
      </c>
      <c r="E595" s="938"/>
      <c r="F595" s="938"/>
      <c r="G595" s="938"/>
      <c r="I595" s="944"/>
      <c r="J595" s="939"/>
      <c r="K595" s="938"/>
      <c r="L595" s="941"/>
      <c r="M595" s="942"/>
      <c r="N595" s="943"/>
      <c r="O595" s="943"/>
      <c r="P595" s="943"/>
      <c r="Q595" s="943"/>
    </row>
    <row r="596" spans="1:17">
      <c r="A596" s="1444"/>
      <c r="C596" s="937" t="str">
        <f t="shared" si="18"/>
        <v/>
      </c>
      <c r="D596" s="1447" t="str">
        <f t="shared" si="19"/>
        <v/>
      </c>
      <c r="J596" s="939"/>
      <c r="K596" s="938"/>
      <c r="L596" s="941"/>
      <c r="M596" s="942"/>
      <c r="N596" s="943"/>
      <c r="O596" s="943"/>
      <c r="P596" s="943"/>
      <c r="Q596" s="943"/>
    </row>
    <row r="597" spans="1:17">
      <c r="A597" s="1444"/>
      <c r="C597" s="937" t="str">
        <f t="shared" si="18"/>
        <v/>
      </c>
      <c r="D597" s="1447" t="str">
        <f t="shared" si="19"/>
        <v/>
      </c>
      <c r="F597" s="938"/>
      <c r="J597" s="939"/>
      <c r="K597" s="938"/>
      <c r="L597" s="941"/>
      <c r="M597" s="942"/>
      <c r="N597" s="943"/>
      <c r="O597" s="943"/>
      <c r="P597" s="943"/>
      <c r="Q597" s="943"/>
    </row>
    <row r="598" spans="1:17">
      <c r="A598" s="1444"/>
      <c r="B598" s="939"/>
      <c r="C598" s="937" t="str">
        <f t="shared" si="18"/>
        <v/>
      </c>
      <c r="D598" s="1448" t="str">
        <f t="shared" si="19"/>
        <v/>
      </c>
      <c r="E598" s="938"/>
      <c r="G598" s="938"/>
      <c r="I598" s="944"/>
      <c r="J598" s="939"/>
      <c r="K598" s="938"/>
      <c r="L598" s="941"/>
      <c r="M598" s="942"/>
      <c r="N598" s="943"/>
      <c r="O598" s="943"/>
      <c r="P598" s="943"/>
      <c r="Q598" s="943"/>
    </row>
    <row r="599" spans="1:17">
      <c r="A599" s="1444"/>
      <c r="C599" s="937" t="str">
        <f t="shared" si="18"/>
        <v/>
      </c>
      <c r="D599" s="1447" t="str">
        <f t="shared" si="19"/>
        <v/>
      </c>
      <c r="J599" s="939"/>
      <c r="K599" s="938"/>
      <c r="L599" s="941"/>
      <c r="M599" s="942"/>
      <c r="N599" s="943"/>
      <c r="O599" s="943"/>
      <c r="P599" s="943"/>
      <c r="Q599" s="943"/>
    </row>
    <row r="600" spans="1:17">
      <c r="A600" s="1444"/>
      <c r="C600" s="937" t="str">
        <f t="shared" si="18"/>
        <v/>
      </c>
      <c r="D600" s="1447" t="str">
        <f t="shared" si="19"/>
        <v/>
      </c>
      <c r="J600" s="939"/>
      <c r="K600" s="938"/>
      <c r="L600" s="941"/>
      <c r="M600" s="942"/>
      <c r="N600" s="943"/>
      <c r="O600" s="943"/>
      <c r="P600" s="943"/>
      <c r="Q600" s="943"/>
    </row>
    <row r="601" spans="1:17">
      <c r="A601" s="1444"/>
      <c r="C601" s="937" t="str">
        <f t="shared" si="18"/>
        <v/>
      </c>
      <c r="D601" s="1447" t="str">
        <f t="shared" si="19"/>
        <v/>
      </c>
      <c r="J601" s="939"/>
      <c r="K601" s="938"/>
      <c r="L601" s="941"/>
      <c r="M601" s="942"/>
      <c r="N601" s="943"/>
      <c r="O601" s="943"/>
      <c r="P601" s="943"/>
      <c r="Q601" s="943"/>
    </row>
    <row r="602" spans="1:17">
      <c r="A602" s="1444"/>
      <c r="C602" s="937" t="str">
        <f t="shared" si="18"/>
        <v/>
      </c>
      <c r="D602" s="1447" t="str">
        <f t="shared" si="19"/>
        <v/>
      </c>
      <c r="J602" s="939"/>
      <c r="K602" s="938"/>
      <c r="L602" s="941"/>
      <c r="M602" s="942"/>
      <c r="N602" s="943"/>
      <c r="O602" s="943"/>
      <c r="P602" s="943"/>
      <c r="Q602" s="943"/>
    </row>
    <row r="603" spans="1:17">
      <c r="A603" s="1444"/>
      <c r="C603" s="937" t="str">
        <f t="shared" si="18"/>
        <v/>
      </c>
      <c r="D603" s="1447" t="str">
        <f t="shared" si="19"/>
        <v/>
      </c>
      <c r="J603" s="939"/>
      <c r="K603" s="938"/>
      <c r="L603" s="941"/>
      <c r="M603" s="942"/>
      <c r="N603" s="943"/>
      <c r="O603" s="943"/>
      <c r="P603" s="943"/>
      <c r="Q603" s="943"/>
    </row>
    <row r="604" spans="1:17">
      <c r="A604" s="1444"/>
      <c r="C604" s="937" t="str">
        <f t="shared" si="18"/>
        <v/>
      </c>
      <c r="D604" s="1447" t="str">
        <f t="shared" si="19"/>
        <v/>
      </c>
      <c r="J604" s="939"/>
      <c r="K604" s="938"/>
      <c r="L604" s="941"/>
      <c r="M604" s="942"/>
      <c r="N604" s="943"/>
      <c r="O604" s="943"/>
      <c r="P604" s="943"/>
      <c r="Q604" s="943"/>
    </row>
    <row r="605" spans="1:17">
      <c r="A605" s="1444"/>
      <c r="B605" s="939"/>
      <c r="C605" s="937" t="str">
        <f t="shared" si="18"/>
        <v/>
      </c>
      <c r="D605" s="1448" t="str">
        <f t="shared" si="19"/>
        <v/>
      </c>
      <c r="E605" s="938"/>
      <c r="F605" s="938"/>
      <c r="G605" s="938"/>
      <c r="I605" s="944"/>
      <c r="J605" s="939"/>
      <c r="K605" s="938"/>
      <c r="L605" s="941"/>
      <c r="M605" s="942"/>
      <c r="N605" s="943"/>
      <c r="O605" s="943"/>
      <c r="P605" s="943"/>
      <c r="Q605" s="943"/>
    </row>
    <row r="606" spans="1:17">
      <c r="A606" s="1444"/>
      <c r="B606" s="939"/>
      <c r="C606" s="937" t="str">
        <f t="shared" si="18"/>
        <v/>
      </c>
      <c r="D606" s="1448" t="str">
        <f t="shared" si="19"/>
        <v/>
      </c>
      <c r="E606" s="938"/>
      <c r="G606" s="938"/>
      <c r="J606" s="939"/>
      <c r="K606" s="938"/>
      <c r="L606" s="941"/>
      <c r="M606" s="942"/>
      <c r="N606" s="943"/>
      <c r="O606" s="943"/>
      <c r="P606" s="943"/>
      <c r="Q606" s="943"/>
    </row>
    <row r="607" spans="1:17">
      <c r="A607" s="1444"/>
      <c r="B607" s="939"/>
      <c r="C607" s="937" t="str">
        <f t="shared" si="18"/>
        <v/>
      </c>
      <c r="D607" s="1448" t="str">
        <f t="shared" si="19"/>
        <v/>
      </c>
      <c r="E607" s="938"/>
      <c r="F607" s="938"/>
      <c r="G607" s="938"/>
      <c r="H607" s="939"/>
      <c r="I607" s="944"/>
      <c r="J607" s="939"/>
      <c r="K607" s="938"/>
      <c r="L607" s="941"/>
      <c r="M607" s="942"/>
      <c r="N607" s="943"/>
      <c r="O607" s="943"/>
      <c r="P607" s="943"/>
      <c r="Q607" s="943"/>
    </row>
    <row r="608" spans="1:17">
      <c r="A608" s="1444"/>
      <c r="C608" s="937" t="str">
        <f t="shared" si="18"/>
        <v/>
      </c>
      <c r="D608" s="1447" t="str">
        <f t="shared" si="19"/>
        <v/>
      </c>
      <c r="F608" s="938"/>
      <c r="J608" s="939"/>
      <c r="K608" s="938"/>
      <c r="L608" s="941"/>
      <c r="M608" s="942"/>
      <c r="N608" s="943"/>
      <c r="O608" s="943"/>
      <c r="P608" s="943"/>
      <c r="Q608" s="943"/>
    </row>
    <row r="609" spans="1:17">
      <c r="A609" s="1444"/>
      <c r="B609" s="939"/>
      <c r="C609" s="937" t="str">
        <f t="shared" si="18"/>
        <v/>
      </c>
      <c r="D609" s="1448" t="str">
        <f t="shared" si="19"/>
        <v/>
      </c>
      <c r="E609" s="938"/>
      <c r="F609" s="938"/>
      <c r="G609" s="938"/>
      <c r="J609" s="939"/>
      <c r="K609" s="938"/>
      <c r="L609" s="941"/>
      <c r="M609" s="942"/>
      <c r="N609" s="943"/>
      <c r="O609" s="943"/>
      <c r="P609" s="943"/>
      <c r="Q609" s="943"/>
    </row>
    <row r="610" spans="1:17">
      <c r="A610" s="1444"/>
      <c r="B610" s="939"/>
      <c r="C610" s="937" t="str">
        <f t="shared" si="18"/>
        <v/>
      </c>
      <c r="D610" s="1448" t="str">
        <f t="shared" si="19"/>
        <v/>
      </c>
      <c r="E610" s="938"/>
      <c r="F610" s="938"/>
      <c r="G610" s="938"/>
      <c r="I610" s="944"/>
      <c r="J610" s="939"/>
      <c r="K610" s="938"/>
      <c r="L610" s="941"/>
      <c r="M610" s="942"/>
      <c r="N610" s="943"/>
      <c r="O610" s="943"/>
      <c r="P610" s="943"/>
      <c r="Q610" s="943"/>
    </row>
    <row r="611" spans="1:17">
      <c r="A611" s="1444"/>
      <c r="B611" s="939"/>
      <c r="C611" s="937" t="str">
        <f t="shared" si="18"/>
        <v/>
      </c>
      <c r="D611" s="1448" t="str">
        <f t="shared" si="19"/>
        <v/>
      </c>
      <c r="E611" s="938"/>
      <c r="F611" s="938"/>
      <c r="G611" s="938"/>
      <c r="I611" s="944"/>
      <c r="J611" s="939"/>
      <c r="K611" s="938"/>
      <c r="L611" s="941"/>
      <c r="M611" s="942"/>
      <c r="N611" s="943"/>
      <c r="O611" s="943"/>
      <c r="P611" s="943"/>
      <c r="Q611" s="943"/>
    </row>
    <row r="612" spans="1:17">
      <c r="A612" s="1444"/>
      <c r="B612" s="939"/>
      <c r="C612" s="937" t="str">
        <f t="shared" si="18"/>
        <v/>
      </c>
      <c r="D612" s="1448" t="str">
        <f t="shared" si="19"/>
        <v/>
      </c>
      <c r="E612" s="938"/>
      <c r="G612" s="938"/>
      <c r="J612" s="939"/>
      <c r="K612" s="938"/>
      <c r="L612" s="941"/>
      <c r="M612" s="942"/>
      <c r="N612" s="943"/>
      <c r="O612" s="943"/>
      <c r="P612" s="943"/>
      <c r="Q612" s="943"/>
    </row>
    <row r="613" spans="1:17">
      <c r="A613" s="1444"/>
      <c r="B613" s="939"/>
      <c r="C613" s="937" t="str">
        <f t="shared" si="18"/>
        <v/>
      </c>
      <c r="D613" s="1448" t="str">
        <f t="shared" si="19"/>
        <v/>
      </c>
      <c r="E613" s="938"/>
      <c r="F613" s="938"/>
      <c r="G613" s="938"/>
      <c r="I613" s="944"/>
      <c r="J613" s="939"/>
      <c r="K613" s="938"/>
      <c r="L613" s="941"/>
      <c r="M613" s="942"/>
      <c r="N613" s="943"/>
      <c r="O613" s="943"/>
      <c r="P613" s="943"/>
      <c r="Q613" s="943"/>
    </row>
    <row r="614" spans="1:17">
      <c r="A614" s="1444"/>
      <c r="C614" s="937" t="str">
        <f t="shared" si="18"/>
        <v/>
      </c>
      <c r="D614" s="1447" t="str">
        <f t="shared" si="19"/>
        <v/>
      </c>
      <c r="J614" s="939"/>
      <c r="K614" s="938"/>
      <c r="L614" s="941"/>
      <c r="M614" s="942"/>
      <c r="N614" s="943"/>
      <c r="O614" s="943"/>
      <c r="P614" s="943"/>
      <c r="Q614" s="943"/>
    </row>
    <row r="615" spans="1:17">
      <c r="A615" s="1444"/>
      <c r="B615" s="939"/>
      <c r="C615" s="937" t="str">
        <f t="shared" si="18"/>
        <v/>
      </c>
      <c r="D615" s="1448" t="str">
        <f t="shared" si="19"/>
        <v/>
      </c>
      <c r="E615" s="938"/>
      <c r="F615" s="938"/>
      <c r="G615" s="938"/>
      <c r="I615" s="944"/>
      <c r="J615" s="939"/>
      <c r="K615" s="938"/>
      <c r="L615" s="941"/>
      <c r="M615" s="942"/>
      <c r="N615" s="943"/>
      <c r="O615" s="943"/>
      <c r="P615" s="943"/>
      <c r="Q615" s="943"/>
    </row>
    <row r="616" spans="1:17">
      <c r="A616" s="1444"/>
      <c r="B616" s="939"/>
      <c r="C616" s="937" t="str">
        <f t="shared" si="18"/>
        <v/>
      </c>
      <c r="D616" s="1448" t="str">
        <f t="shared" si="19"/>
        <v/>
      </c>
      <c r="E616" s="938"/>
      <c r="F616" s="938"/>
      <c r="G616" s="938"/>
      <c r="I616" s="944"/>
      <c r="J616" s="939"/>
      <c r="K616" s="938"/>
      <c r="L616" s="941"/>
      <c r="M616" s="942"/>
      <c r="N616" s="943"/>
      <c r="O616" s="943"/>
      <c r="P616" s="943"/>
      <c r="Q616" s="943"/>
    </row>
    <row r="617" spans="1:17">
      <c r="A617" s="1444"/>
      <c r="C617" s="937" t="str">
        <f t="shared" si="18"/>
        <v/>
      </c>
      <c r="D617" s="1447" t="str">
        <f t="shared" si="19"/>
        <v/>
      </c>
      <c r="J617" s="939"/>
      <c r="K617" s="938"/>
      <c r="L617" s="941"/>
      <c r="M617" s="942"/>
      <c r="N617" s="943"/>
      <c r="O617" s="943"/>
      <c r="P617" s="943"/>
      <c r="Q617" s="943"/>
    </row>
    <row r="618" spans="1:17">
      <c r="A618" s="1444"/>
      <c r="B618" s="939"/>
      <c r="C618" s="937" t="str">
        <f t="shared" si="18"/>
        <v/>
      </c>
      <c r="D618" s="1448" t="str">
        <f t="shared" si="19"/>
        <v/>
      </c>
      <c r="E618" s="938"/>
      <c r="F618" s="938"/>
      <c r="G618" s="938"/>
      <c r="J618" s="939"/>
      <c r="K618" s="938"/>
      <c r="L618" s="941"/>
      <c r="M618" s="942"/>
      <c r="N618" s="943"/>
      <c r="O618" s="943"/>
      <c r="P618" s="943"/>
      <c r="Q618" s="943"/>
    </row>
    <row r="619" spans="1:17">
      <c r="A619" s="1444"/>
      <c r="C619" s="937" t="str">
        <f t="shared" si="18"/>
        <v/>
      </c>
      <c r="D619" s="1447" t="str">
        <f t="shared" si="19"/>
        <v/>
      </c>
      <c r="J619" s="939"/>
      <c r="K619" s="938"/>
      <c r="L619" s="941"/>
      <c r="M619" s="942"/>
      <c r="N619" s="943"/>
      <c r="O619" s="943"/>
      <c r="P619" s="943"/>
      <c r="Q619" s="943"/>
    </row>
    <row r="620" spans="1:17">
      <c r="A620" s="1444"/>
      <c r="B620" s="939"/>
      <c r="C620" s="937" t="str">
        <f t="shared" si="18"/>
        <v/>
      </c>
      <c r="D620" s="1448" t="str">
        <f t="shared" si="19"/>
        <v/>
      </c>
      <c r="E620" s="938"/>
      <c r="G620" s="938"/>
      <c r="J620" s="939"/>
      <c r="K620" s="938"/>
      <c r="L620" s="941"/>
      <c r="M620" s="942"/>
      <c r="N620" s="943"/>
      <c r="O620" s="943"/>
      <c r="P620" s="943"/>
      <c r="Q620" s="943"/>
    </row>
    <row r="621" spans="1:17">
      <c r="A621" s="1444"/>
      <c r="B621" s="939"/>
      <c r="C621" s="937" t="str">
        <f t="shared" si="18"/>
        <v/>
      </c>
      <c r="D621" s="1448" t="str">
        <f t="shared" si="19"/>
        <v/>
      </c>
      <c r="E621" s="938"/>
      <c r="F621" s="938"/>
      <c r="G621" s="938"/>
      <c r="H621" s="939"/>
      <c r="J621" s="939"/>
      <c r="K621" s="938"/>
      <c r="L621" s="941"/>
      <c r="M621" s="942"/>
      <c r="N621" s="943"/>
      <c r="O621" s="943"/>
      <c r="P621" s="943"/>
      <c r="Q621" s="943"/>
    </row>
    <row r="622" spans="1:17">
      <c r="A622" s="1444"/>
      <c r="B622" s="939"/>
      <c r="C622" s="937" t="str">
        <f t="shared" si="18"/>
        <v/>
      </c>
      <c r="D622" s="1448" t="str">
        <f t="shared" si="19"/>
        <v/>
      </c>
      <c r="E622" s="938"/>
      <c r="F622" s="938"/>
      <c r="G622" s="938"/>
      <c r="J622" s="939"/>
      <c r="K622" s="938"/>
      <c r="L622" s="941"/>
      <c r="M622" s="942"/>
      <c r="N622" s="943"/>
      <c r="O622" s="943"/>
      <c r="P622" s="943"/>
      <c r="Q622" s="943"/>
    </row>
    <row r="623" spans="1:17">
      <c r="A623" s="1444"/>
      <c r="C623" s="937" t="str">
        <f t="shared" si="18"/>
        <v/>
      </c>
      <c r="D623" s="1447" t="str">
        <f t="shared" si="19"/>
        <v/>
      </c>
      <c r="J623" s="939"/>
      <c r="K623" s="938"/>
      <c r="L623" s="941"/>
      <c r="M623" s="942"/>
      <c r="N623" s="943"/>
      <c r="O623" s="943"/>
      <c r="P623" s="943"/>
      <c r="Q623" s="943"/>
    </row>
    <row r="624" spans="1:17">
      <c r="A624" s="1444"/>
      <c r="C624" s="937" t="str">
        <f t="shared" si="18"/>
        <v/>
      </c>
      <c r="D624" s="1447" t="str">
        <f t="shared" si="19"/>
        <v/>
      </c>
      <c r="J624" s="939"/>
      <c r="K624" s="938"/>
      <c r="L624" s="941"/>
      <c r="M624" s="942"/>
      <c r="N624" s="943"/>
      <c r="O624" s="943"/>
      <c r="P624" s="943"/>
      <c r="Q624" s="943"/>
    </row>
    <row r="625" spans="1:17">
      <c r="A625" s="1444"/>
      <c r="C625" s="937" t="str">
        <f t="shared" si="18"/>
        <v/>
      </c>
      <c r="D625" s="1447" t="str">
        <f t="shared" si="19"/>
        <v/>
      </c>
      <c r="J625" s="939"/>
      <c r="K625" s="938"/>
      <c r="L625" s="941"/>
      <c r="M625" s="942"/>
      <c r="N625" s="943"/>
      <c r="O625" s="943"/>
      <c r="P625" s="943"/>
      <c r="Q625" s="943"/>
    </row>
    <row r="626" spans="1:17">
      <c r="A626" s="1444"/>
      <c r="C626" s="937" t="str">
        <f t="shared" si="18"/>
        <v/>
      </c>
      <c r="D626" s="1447" t="str">
        <f t="shared" si="19"/>
        <v/>
      </c>
      <c r="J626" s="939"/>
      <c r="K626" s="938"/>
      <c r="L626" s="941"/>
      <c r="M626" s="942"/>
      <c r="N626" s="943"/>
      <c r="O626" s="943"/>
      <c r="P626" s="943"/>
      <c r="Q626" s="943"/>
    </row>
    <row r="627" spans="1:17">
      <c r="A627" s="1444"/>
      <c r="C627" s="937" t="str">
        <f t="shared" si="18"/>
        <v/>
      </c>
      <c r="D627" s="1447" t="str">
        <f t="shared" si="19"/>
        <v/>
      </c>
      <c r="F627" s="938"/>
      <c r="J627" s="939"/>
      <c r="K627" s="938"/>
      <c r="L627" s="941"/>
      <c r="M627" s="942"/>
      <c r="N627" s="943"/>
      <c r="O627" s="943"/>
      <c r="P627" s="943"/>
      <c r="Q627" s="943"/>
    </row>
    <row r="628" spans="1:17">
      <c r="A628" s="1444"/>
      <c r="C628" s="937" t="str">
        <f t="shared" si="18"/>
        <v/>
      </c>
      <c r="D628" s="1447" t="str">
        <f t="shared" si="19"/>
        <v/>
      </c>
      <c r="J628" s="939"/>
      <c r="K628" s="938"/>
      <c r="L628" s="941"/>
      <c r="M628" s="942"/>
      <c r="N628" s="943"/>
      <c r="O628" s="943"/>
      <c r="P628" s="943"/>
      <c r="Q628" s="943"/>
    </row>
    <row r="629" spans="1:17">
      <c r="A629" s="1444"/>
      <c r="B629" s="939"/>
      <c r="C629" s="937" t="str">
        <f t="shared" si="18"/>
        <v/>
      </c>
      <c r="D629" s="1448" t="str">
        <f t="shared" si="19"/>
        <v/>
      </c>
      <c r="E629" s="938"/>
      <c r="F629" s="938"/>
      <c r="G629" s="938"/>
      <c r="I629" s="944"/>
      <c r="J629" s="939"/>
      <c r="K629" s="938"/>
      <c r="L629" s="941"/>
      <c r="M629" s="942"/>
      <c r="N629" s="943"/>
      <c r="O629" s="943"/>
      <c r="P629" s="943"/>
      <c r="Q629" s="943"/>
    </row>
    <row r="630" spans="1:17">
      <c r="A630" s="1444"/>
      <c r="C630" s="937" t="str">
        <f t="shared" si="18"/>
        <v/>
      </c>
      <c r="D630" s="1447" t="str">
        <f t="shared" si="19"/>
        <v/>
      </c>
      <c r="J630" s="939"/>
      <c r="K630" s="938"/>
      <c r="L630" s="941"/>
      <c r="M630" s="942"/>
      <c r="N630" s="943"/>
      <c r="O630" s="943"/>
      <c r="P630" s="943"/>
      <c r="Q630" s="943"/>
    </row>
    <row r="631" spans="1:17">
      <c r="A631" s="1444"/>
      <c r="C631" s="937" t="str">
        <f t="shared" si="18"/>
        <v/>
      </c>
      <c r="D631" s="1447" t="str">
        <f t="shared" si="19"/>
        <v/>
      </c>
      <c r="J631" s="939"/>
      <c r="K631" s="938"/>
      <c r="L631" s="941"/>
      <c r="M631" s="942"/>
      <c r="N631" s="943"/>
      <c r="O631" s="943"/>
      <c r="P631" s="943"/>
      <c r="Q631" s="943"/>
    </row>
    <row r="632" spans="1:17">
      <c r="A632" s="1444"/>
      <c r="C632" s="937" t="str">
        <f t="shared" si="18"/>
        <v/>
      </c>
      <c r="D632" s="1447" t="str">
        <f t="shared" si="19"/>
        <v/>
      </c>
      <c r="J632" s="939"/>
      <c r="K632" s="938"/>
      <c r="L632" s="941"/>
      <c r="M632" s="942"/>
      <c r="N632" s="943"/>
      <c r="O632" s="943"/>
      <c r="P632" s="943"/>
      <c r="Q632" s="943"/>
    </row>
    <row r="633" spans="1:17">
      <c r="A633" s="1444"/>
      <c r="B633" s="939"/>
      <c r="C633" s="937" t="str">
        <f t="shared" si="18"/>
        <v/>
      </c>
      <c r="D633" s="1448" t="str">
        <f t="shared" si="19"/>
        <v/>
      </c>
      <c r="E633" s="938"/>
      <c r="G633" s="938"/>
      <c r="J633" s="939"/>
      <c r="K633" s="938"/>
      <c r="L633" s="941"/>
      <c r="M633" s="942"/>
      <c r="N633" s="943"/>
      <c r="O633" s="943"/>
      <c r="P633" s="943"/>
      <c r="Q633" s="943"/>
    </row>
    <row r="634" spans="1:17">
      <c r="A634" s="1444"/>
      <c r="B634" s="939"/>
      <c r="C634" s="937" t="str">
        <f t="shared" si="18"/>
        <v/>
      </c>
      <c r="D634" s="1448" t="str">
        <f t="shared" si="19"/>
        <v/>
      </c>
      <c r="E634" s="938"/>
      <c r="F634" s="938"/>
      <c r="G634" s="938"/>
      <c r="J634" s="939"/>
      <c r="K634" s="938"/>
      <c r="L634" s="941"/>
      <c r="M634" s="942"/>
      <c r="N634" s="943"/>
      <c r="O634" s="943"/>
      <c r="P634" s="943"/>
      <c r="Q634" s="943"/>
    </row>
    <row r="635" spans="1:17">
      <c r="A635" s="1444"/>
      <c r="B635" s="939"/>
      <c r="C635" s="937" t="str">
        <f t="shared" si="18"/>
        <v/>
      </c>
      <c r="D635" s="1448" t="str">
        <f t="shared" si="19"/>
        <v/>
      </c>
      <c r="E635" s="938"/>
      <c r="F635" s="938"/>
      <c r="G635" s="938"/>
      <c r="H635" s="939"/>
      <c r="I635" s="939"/>
      <c r="J635" s="939"/>
      <c r="K635" s="938"/>
      <c r="L635" s="941"/>
      <c r="M635" s="942"/>
      <c r="N635" s="943"/>
      <c r="O635" s="943"/>
      <c r="P635" s="943"/>
      <c r="Q635" s="943"/>
    </row>
    <row r="636" spans="1:17">
      <c r="A636" s="1444"/>
      <c r="C636" s="937" t="str">
        <f t="shared" si="18"/>
        <v/>
      </c>
      <c r="D636" s="1447" t="str">
        <f t="shared" si="19"/>
        <v/>
      </c>
      <c r="J636" s="939"/>
      <c r="K636" s="938"/>
      <c r="L636" s="941"/>
      <c r="M636" s="942"/>
      <c r="N636" s="943"/>
      <c r="O636" s="943"/>
      <c r="P636" s="943"/>
      <c r="Q636" s="943"/>
    </row>
    <row r="637" spans="1:17">
      <c r="A637" s="1444"/>
      <c r="B637" s="939"/>
      <c r="C637" s="937" t="str">
        <f t="shared" si="18"/>
        <v/>
      </c>
      <c r="D637" s="1448" t="str">
        <f t="shared" si="19"/>
        <v/>
      </c>
      <c r="E637" s="938"/>
      <c r="F637" s="938"/>
      <c r="G637" s="938"/>
      <c r="I637" s="944"/>
      <c r="J637" s="939"/>
      <c r="K637" s="938"/>
      <c r="L637" s="941"/>
      <c r="M637" s="942"/>
      <c r="N637" s="943"/>
      <c r="O637" s="943"/>
      <c r="P637" s="943"/>
      <c r="Q637" s="943"/>
    </row>
    <row r="638" spans="1:17">
      <c r="A638" s="1444"/>
      <c r="B638" s="939"/>
      <c r="C638" s="937" t="str">
        <f t="shared" si="18"/>
        <v/>
      </c>
      <c r="D638" s="1448" t="str">
        <f t="shared" si="19"/>
        <v/>
      </c>
      <c r="E638" s="938"/>
      <c r="F638" s="938"/>
      <c r="G638" s="938"/>
      <c r="J638" s="939"/>
      <c r="K638" s="938"/>
      <c r="L638" s="941"/>
      <c r="M638" s="942"/>
      <c r="N638" s="943"/>
      <c r="O638" s="943"/>
      <c r="P638" s="943"/>
      <c r="Q638" s="943"/>
    </row>
    <row r="639" spans="1:17">
      <c r="A639" s="1444"/>
      <c r="C639" s="937" t="str">
        <f t="shared" si="18"/>
        <v/>
      </c>
      <c r="D639" s="1447" t="str">
        <f t="shared" si="19"/>
        <v/>
      </c>
      <c r="J639" s="939"/>
      <c r="K639" s="938"/>
      <c r="L639" s="941"/>
      <c r="M639" s="942"/>
      <c r="N639" s="943"/>
      <c r="O639" s="943"/>
      <c r="P639" s="943"/>
      <c r="Q639" s="943"/>
    </row>
    <row r="640" spans="1:17">
      <c r="A640" s="1444"/>
      <c r="C640" s="937" t="str">
        <f t="shared" si="18"/>
        <v/>
      </c>
      <c r="D640" s="1447" t="str">
        <f t="shared" si="19"/>
        <v/>
      </c>
      <c r="J640" s="939"/>
      <c r="K640" s="938"/>
      <c r="L640" s="941"/>
      <c r="M640" s="942"/>
      <c r="N640" s="943"/>
      <c r="O640" s="943"/>
      <c r="P640" s="943"/>
      <c r="Q640" s="943"/>
    </row>
    <row r="641" spans="1:17">
      <c r="A641" s="1444"/>
      <c r="C641" s="937" t="str">
        <f t="shared" si="18"/>
        <v/>
      </c>
      <c r="D641" s="1447" t="str">
        <f t="shared" si="19"/>
        <v/>
      </c>
      <c r="J641" s="939"/>
      <c r="K641" s="938"/>
      <c r="L641" s="941"/>
      <c r="M641" s="942"/>
      <c r="N641" s="943"/>
      <c r="O641" s="943"/>
      <c r="P641" s="943"/>
      <c r="Q641" s="943"/>
    </row>
    <row r="642" spans="1:17">
      <c r="A642" s="1444"/>
      <c r="C642" s="937" t="str">
        <f t="shared" ref="C642:C705" si="20">IFERROR(1440/D642, "")</f>
        <v/>
      </c>
      <c r="D642" s="1447" t="str">
        <f t="shared" ref="D642:D705" si="21">IF(B642="", "", IF(B642&lt;1, B642*1440, B642))</f>
        <v/>
      </c>
      <c r="F642" s="938"/>
      <c r="J642" s="939"/>
      <c r="K642" s="938"/>
      <c r="L642" s="941"/>
      <c r="M642" s="942"/>
      <c r="N642" s="943"/>
      <c r="O642" s="943"/>
      <c r="P642" s="943"/>
      <c r="Q642" s="943"/>
    </row>
    <row r="643" spans="1:17">
      <c r="A643" s="1444"/>
      <c r="B643" s="939"/>
      <c r="C643" s="937" t="str">
        <f t="shared" si="20"/>
        <v/>
      </c>
      <c r="D643" s="1448" t="str">
        <f t="shared" si="21"/>
        <v/>
      </c>
      <c r="E643" s="938"/>
      <c r="F643" s="938"/>
      <c r="G643" s="938"/>
      <c r="J643" s="939"/>
      <c r="K643" s="938"/>
      <c r="L643" s="941"/>
      <c r="M643" s="942"/>
      <c r="N643" s="943"/>
      <c r="O643" s="943"/>
      <c r="P643" s="943"/>
      <c r="Q643" s="943"/>
    </row>
    <row r="644" spans="1:17">
      <c r="A644" s="1444"/>
      <c r="B644" s="939"/>
      <c r="C644" s="937" t="str">
        <f t="shared" si="20"/>
        <v/>
      </c>
      <c r="D644" s="1448" t="str">
        <f t="shared" si="21"/>
        <v/>
      </c>
      <c r="E644" s="938"/>
      <c r="F644" s="938"/>
      <c r="G644" s="938"/>
      <c r="I644" s="944"/>
      <c r="J644" s="939"/>
      <c r="K644" s="938"/>
      <c r="L644" s="941"/>
      <c r="M644" s="942"/>
      <c r="N644" s="943"/>
      <c r="O644" s="943"/>
      <c r="P644" s="943"/>
      <c r="Q644" s="943"/>
    </row>
    <row r="645" spans="1:17">
      <c r="A645" s="1444"/>
      <c r="B645" s="939"/>
      <c r="C645" s="937" t="str">
        <f t="shared" si="20"/>
        <v/>
      </c>
      <c r="D645" s="1448" t="str">
        <f t="shared" si="21"/>
        <v/>
      </c>
      <c r="E645" s="938"/>
      <c r="F645" s="938"/>
      <c r="G645" s="938"/>
      <c r="I645" s="944"/>
      <c r="J645" s="939"/>
      <c r="K645" s="938"/>
      <c r="L645" s="941"/>
      <c r="M645" s="942"/>
      <c r="N645" s="943"/>
      <c r="O645" s="943"/>
      <c r="P645" s="943"/>
      <c r="Q645" s="943"/>
    </row>
    <row r="646" spans="1:17">
      <c r="A646" s="1444"/>
      <c r="B646" s="939"/>
      <c r="C646" s="937" t="str">
        <f t="shared" si="20"/>
        <v/>
      </c>
      <c r="D646" s="1448" t="str">
        <f t="shared" si="21"/>
        <v/>
      </c>
      <c r="E646" s="938"/>
      <c r="F646" s="938"/>
      <c r="G646" s="938"/>
      <c r="H646" s="939"/>
      <c r="I646" s="944"/>
      <c r="J646" s="939"/>
      <c r="K646" s="938"/>
      <c r="L646" s="941"/>
      <c r="M646" s="942"/>
      <c r="N646" s="943"/>
      <c r="O646" s="943"/>
      <c r="P646" s="943"/>
      <c r="Q646" s="943"/>
    </row>
    <row r="647" spans="1:17">
      <c r="A647" s="1444"/>
      <c r="C647" s="937" t="str">
        <f t="shared" si="20"/>
        <v/>
      </c>
      <c r="D647" s="1447" t="str">
        <f t="shared" si="21"/>
        <v/>
      </c>
      <c r="J647" s="939"/>
      <c r="K647" s="938"/>
      <c r="L647" s="941"/>
      <c r="M647" s="942"/>
      <c r="N647" s="943"/>
      <c r="O647" s="943"/>
      <c r="P647" s="943"/>
      <c r="Q647" s="943"/>
    </row>
    <row r="648" spans="1:17">
      <c r="A648" s="1444"/>
      <c r="B648" s="939"/>
      <c r="C648" s="937" t="str">
        <f t="shared" si="20"/>
        <v/>
      </c>
      <c r="D648" s="1448" t="str">
        <f t="shared" si="21"/>
        <v/>
      </c>
      <c r="E648" s="938"/>
      <c r="F648" s="938"/>
      <c r="G648" s="938"/>
      <c r="J648" s="939"/>
      <c r="K648" s="938"/>
      <c r="L648" s="941"/>
      <c r="M648" s="942"/>
      <c r="N648" s="943"/>
      <c r="O648" s="943"/>
      <c r="P648" s="943"/>
      <c r="Q648" s="943"/>
    </row>
    <row r="649" spans="1:17">
      <c r="A649" s="1444"/>
      <c r="C649" s="937" t="str">
        <f t="shared" si="20"/>
        <v/>
      </c>
      <c r="D649" s="1447" t="str">
        <f t="shared" si="21"/>
        <v/>
      </c>
      <c r="J649" s="939"/>
      <c r="K649" s="938"/>
      <c r="L649" s="941"/>
      <c r="M649" s="942"/>
      <c r="N649" s="943"/>
      <c r="O649" s="943"/>
      <c r="P649" s="943"/>
      <c r="Q649" s="943"/>
    </row>
    <row r="650" spans="1:17">
      <c r="A650" s="1444"/>
      <c r="C650" s="937" t="str">
        <f t="shared" si="20"/>
        <v/>
      </c>
      <c r="D650" s="1447" t="str">
        <f t="shared" si="21"/>
        <v/>
      </c>
      <c r="J650" s="939"/>
      <c r="K650" s="938"/>
      <c r="L650" s="941"/>
      <c r="M650" s="942"/>
      <c r="N650" s="943"/>
      <c r="O650" s="943"/>
      <c r="P650" s="943"/>
      <c r="Q650" s="943"/>
    </row>
    <row r="651" spans="1:17">
      <c r="A651" s="1444"/>
      <c r="C651" s="937" t="str">
        <f t="shared" si="20"/>
        <v/>
      </c>
      <c r="D651" s="1447" t="str">
        <f t="shared" si="21"/>
        <v/>
      </c>
      <c r="K651" s="938"/>
      <c r="L651" s="941"/>
      <c r="M651" s="942"/>
      <c r="N651" s="943"/>
      <c r="O651" s="943"/>
      <c r="P651" s="943"/>
      <c r="Q651" s="943"/>
    </row>
    <row r="652" spans="1:17">
      <c r="A652" s="1444"/>
      <c r="C652" s="937" t="str">
        <f t="shared" si="20"/>
        <v/>
      </c>
      <c r="D652" s="1447" t="str">
        <f t="shared" si="21"/>
        <v/>
      </c>
      <c r="K652" s="938"/>
      <c r="L652" s="941"/>
      <c r="M652" s="942"/>
      <c r="N652" s="943"/>
      <c r="O652" s="943"/>
      <c r="P652" s="943"/>
      <c r="Q652" s="943"/>
    </row>
    <row r="653" spans="1:17">
      <c r="A653" s="1444"/>
      <c r="C653" s="937" t="str">
        <f t="shared" si="20"/>
        <v/>
      </c>
      <c r="D653" s="1447" t="str">
        <f t="shared" si="21"/>
        <v/>
      </c>
      <c r="K653" s="938"/>
      <c r="L653" s="941"/>
      <c r="M653" s="942"/>
      <c r="N653" s="943"/>
      <c r="O653" s="943"/>
      <c r="P653" s="943"/>
      <c r="Q653" s="943"/>
    </row>
    <row r="654" spans="1:17">
      <c r="A654" s="1444"/>
      <c r="C654" s="937" t="str">
        <f t="shared" si="20"/>
        <v/>
      </c>
      <c r="D654" s="1447" t="str">
        <f t="shared" si="21"/>
        <v/>
      </c>
      <c r="K654" s="938"/>
      <c r="L654" s="941"/>
      <c r="M654" s="942"/>
      <c r="N654" s="943"/>
      <c r="O654" s="943"/>
      <c r="P654" s="943"/>
      <c r="Q654" s="943"/>
    </row>
    <row r="655" spans="1:17">
      <c r="A655" s="1444"/>
      <c r="C655" s="937" t="str">
        <f t="shared" si="20"/>
        <v/>
      </c>
      <c r="D655" s="1447" t="str">
        <f t="shared" si="21"/>
        <v/>
      </c>
      <c r="K655" s="938"/>
      <c r="L655" s="941"/>
      <c r="M655" s="942"/>
      <c r="N655" s="943"/>
      <c r="O655" s="943"/>
      <c r="P655" s="943"/>
      <c r="Q655" s="943"/>
    </row>
    <row r="656" spans="1:17">
      <c r="A656" s="1444"/>
      <c r="C656" s="937" t="str">
        <f t="shared" si="20"/>
        <v/>
      </c>
      <c r="D656" s="1447" t="str">
        <f t="shared" si="21"/>
        <v/>
      </c>
      <c r="K656" s="938"/>
      <c r="L656" s="941"/>
      <c r="M656" s="942"/>
      <c r="N656" s="943"/>
      <c r="O656" s="943"/>
      <c r="P656" s="943"/>
      <c r="Q656" s="943"/>
    </row>
    <row r="657" spans="1:17">
      <c r="A657" s="1444"/>
      <c r="C657" s="937" t="str">
        <f t="shared" si="20"/>
        <v/>
      </c>
      <c r="D657" s="1447" t="str">
        <f t="shared" si="21"/>
        <v/>
      </c>
      <c r="K657" s="938"/>
      <c r="L657" s="941"/>
      <c r="M657" s="942"/>
      <c r="N657" s="943"/>
      <c r="O657" s="943"/>
      <c r="P657" s="943"/>
      <c r="Q657" s="943"/>
    </row>
    <row r="658" spans="1:17">
      <c r="A658" s="1444"/>
      <c r="C658" s="937" t="str">
        <f t="shared" si="20"/>
        <v/>
      </c>
      <c r="D658" s="1447" t="str">
        <f t="shared" si="21"/>
        <v/>
      </c>
      <c r="K658" s="938"/>
      <c r="L658" s="941"/>
      <c r="M658" s="942"/>
      <c r="N658" s="943"/>
      <c r="O658" s="943"/>
      <c r="P658" s="943"/>
      <c r="Q658" s="943"/>
    </row>
    <row r="659" spans="1:17">
      <c r="A659" s="1444"/>
      <c r="C659" s="937" t="str">
        <f t="shared" si="20"/>
        <v/>
      </c>
      <c r="D659" s="1447" t="str">
        <f t="shared" si="21"/>
        <v/>
      </c>
      <c r="K659" s="938"/>
      <c r="L659" s="941"/>
      <c r="M659" s="942"/>
      <c r="N659" s="943"/>
      <c r="O659" s="943"/>
      <c r="P659" s="943"/>
      <c r="Q659" s="943"/>
    </row>
    <row r="660" spans="1:17">
      <c r="A660" s="1444"/>
      <c r="C660" s="937" t="str">
        <f t="shared" si="20"/>
        <v/>
      </c>
      <c r="D660" s="1447" t="str">
        <f t="shared" si="21"/>
        <v/>
      </c>
      <c r="K660" s="938"/>
      <c r="L660" s="941"/>
      <c r="M660" s="942"/>
      <c r="N660" s="943"/>
      <c r="O660" s="943"/>
      <c r="P660" s="943"/>
      <c r="Q660" s="943"/>
    </row>
    <row r="661" spans="1:17">
      <c r="A661" s="1444"/>
      <c r="C661" s="937" t="str">
        <f t="shared" si="20"/>
        <v/>
      </c>
      <c r="D661" s="1447" t="str">
        <f t="shared" si="21"/>
        <v/>
      </c>
      <c r="K661" s="938"/>
      <c r="L661" s="941"/>
      <c r="M661" s="942"/>
      <c r="N661" s="943"/>
      <c r="O661" s="943"/>
      <c r="P661" s="943"/>
      <c r="Q661" s="943"/>
    </row>
    <row r="662" spans="1:17">
      <c r="A662" s="1444"/>
      <c r="C662" s="937" t="str">
        <f t="shared" si="20"/>
        <v/>
      </c>
      <c r="D662" s="1447" t="str">
        <f t="shared" si="21"/>
        <v/>
      </c>
      <c r="K662" s="938"/>
      <c r="L662" s="941"/>
      <c r="M662" s="942"/>
      <c r="N662" s="943"/>
      <c r="O662" s="943"/>
      <c r="P662" s="943"/>
      <c r="Q662" s="943"/>
    </row>
    <row r="663" spans="1:17">
      <c r="A663" s="1444"/>
      <c r="C663" s="937" t="str">
        <f t="shared" si="20"/>
        <v/>
      </c>
      <c r="D663" s="1447" t="str">
        <f t="shared" si="21"/>
        <v/>
      </c>
      <c r="K663" s="938"/>
      <c r="L663" s="941"/>
      <c r="M663" s="942"/>
      <c r="N663" s="943"/>
      <c r="O663" s="943"/>
      <c r="P663" s="943"/>
      <c r="Q663" s="943"/>
    </row>
    <row r="664" spans="1:17">
      <c r="A664" s="1444"/>
      <c r="C664" s="937" t="str">
        <f t="shared" si="20"/>
        <v/>
      </c>
      <c r="D664" s="1447" t="str">
        <f t="shared" si="21"/>
        <v/>
      </c>
      <c r="K664" s="938"/>
      <c r="L664" s="941"/>
      <c r="M664" s="942"/>
      <c r="N664" s="943"/>
      <c r="O664" s="943"/>
      <c r="P664" s="943"/>
      <c r="Q664" s="943"/>
    </row>
    <row r="665" spans="1:17">
      <c r="A665" s="1444"/>
      <c r="C665" s="937" t="str">
        <f t="shared" si="20"/>
        <v/>
      </c>
      <c r="D665" s="1447" t="str">
        <f t="shared" si="21"/>
        <v/>
      </c>
      <c r="K665" s="938"/>
      <c r="L665" s="941"/>
      <c r="M665" s="942"/>
      <c r="N665" s="943"/>
      <c r="O665" s="943"/>
      <c r="P665" s="943"/>
      <c r="Q665" s="943"/>
    </row>
    <row r="666" spans="1:17">
      <c r="A666" s="1444"/>
      <c r="C666" s="937" t="str">
        <f t="shared" si="20"/>
        <v/>
      </c>
      <c r="D666" s="1447" t="str">
        <f t="shared" si="21"/>
        <v/>
      </c>
      <c r="K666" s="938"/>
      <c r="L666" s="941"/>
      <c r="M666" s="942"/>
      <c r="N666" s="943"/>
      <c r="O666" s="943"/>
      <c r="P666" s="943"/>
      <c r="Q666" s="943"/>
    </row>
    <row r="667" spans="1:17">
      <c r="A667" s="1444"/>
      <c r="C667" s="937" t="str">
        <f t="shared" si="20"/>
        <v/>
      </c>
      <c r="D667" s="1447" t="str">
        <f t="shared" si="21"/>
        <v/>
      </c>
      <c r="K667" s="938"/>
      <c r="L667" s="941"/>
      <c r="M667" s="942"/>
      <c r="N667" s="943"/>
      <c r="O667" s="943"/>
      <c r="P667" s="943"/>
      <c r="Q667" s="943"/>
    </row>
    <row r="668" spans="1:17">
      <c r="A668" s="1444"/>
      <c r="C668" s="937" t="str">
        <f t="shared" si="20"/>
        <v/>
      </c>
      <c r="D668" s="1447" t="str">
        <f t="shared" si="21"/>
        <v/>
      </c>
      <c r="K668" s="938"/>
      <c r="L668" s="941"/>
      <c r="M668" s="942"/>
      <c r="N668" s="943"/>
      <c r="O668" s="943"/>
      <c r="P668" s="943"/>
      <c r="Q668" s="943"/>
    </row>
    <row r="669" spans="1:17">
      <c r="A669" s="1444"/>
      <c r="C669" s="937" t="str">
        <f t="shared" si="20"/>
        <v/>
      </c>
      <c r="D669" s="1447" t="str">
        <f t="shared" si="21"/>
        <v/>
      </c>
      <c r="K669" s="938"/>
      <c r="L669" s="941"/>
      <c r="M669" s="942"/>
      <c r="N669" s="943"/>
      <c r="O669" s="943"/>
      <c r="P669" s="943"/>
      <c r="Q669" s="943"/>
    </row>
    <row r="670" spans="1:17">
      <c r="A670" s="1444"/>
      <c r="C670" s="937" t="str">
        <f t="shared" si="20"/>
        <v/>
      </c>
      <c r="D670" s="1447" t="str">
        <f t="shared" si="21"/>
        <v/>
      </c>
      <c r="K670" s="938"/>
      <c r="M670" s="942"/>
      <c r="N670" s="943"/>
      <c r="O670" s="943"/>
      <c r="P670" s="943"/>
      <c r="Q670" s="943"/>
    </row>
    <row r="671" spans="1:17">
      <c r="A671" s="1444"/>
      <c r="C671" s="937" t="str">
        <f t="shared" si="20"/>
        <v/>
      </c>
      <c r="D671" s="1447" t="str">
        <f t="shared" si="21"/>
        <v/>
      </c>
      <c r="K671" s="938"/>
      <c r="M671" s="942"/>
      <c r="N671" s="943"/>
      <c r="O671" s="943"/>
      <c r="P671" s="943"/>
      <c r="Q671" s="943"/>
    </row>
    <row r="672" spans="1:17">
      <c r="A672" s="1444"/>
      <c r="C672" s="937" t="str">
        <f t="shared" si="20"/>
        <v/>
      </c>
      <c r="D672" s="1447" t="str">
        <f t="shared" si="21"/>
        <v/>
      </c>
      <c r="K672" s="938"/>
      <c r="M672" s="942"/>
      <c r="N672" s="943"/>
      <c r="O672" s="943"/>
      <c r="P672" s="943"/>
      <c r="Q672" s="943"/>
    </row>
    <row r="673" spans="1:17">
      <c r="A673" s="1444"/>
      <c r="C673" s="937" t="str">
        <f t="shared" si="20"/>
        <v/>
      </c>
      <c r="D673" s="1447" t="str">
        <f t="shared" si="21"/>
        <v/>
      </c>
      <c r="K673" s="938"/>
      <c r="M673" s="942"/>
      <c r="N673" s="943"/>
      <c r="O673" s="943"/>
      <c r="P673" s="943"/>
      <c r="Q673" s="943"/>
    </row>
    <row r="674" spans="1:17">
      <c r="A674" s="1444"/>
      <c r="C674" s="937" t="str">
        <f t="shared" si="20"/>
        <v/>
      </c>
      <c r="D674" s="1447" t="str">
        <f t="shared" si="21"/>
        <v/>
      </c>
      <c r="K674" s="938"/>
      <c r="M674" s="942"/>
      <c r="N674" s="943"/>
      <c r="O674" s="943"/>
      <c r="P674" s="943"/>
      <c r="Q674" s="943"/>
    </row>
    <row r="675" spans="1:17">
      <c r="A675" s="1444"/>
      <c r="C675" s="937" t="str">
        <f t="shared" si="20"/>
        <v/>
      </c>
      <c r="D675" s="1447" t="str">
        <f t="shared" si="21"/>
        <v/>
      </c>
      <c r="K675" s="938"/>
      <c r="M675" s="942"/>
      <c r="N675" s="943"/>
      <c r="O675" s="943"/>
      <c r="P675" s="943"/>
      <c r="Q675" s="943"/>
    </row>
    <row r="676" spans="1:17">
      <c r="A676" s="1444"/>
      <c r="C676" s="937" t="str">
        <f t="shared" si="20"/>
        <v/>
      </c>
      <c r="D676" s="1447" t="str">
        <f t="shared" si="21"/>
        <v/>
      </c>
      <c r="K676" s="938"/>
      <c r="M676" s="942"/>
      <c r="N676" s="943"/>
      <c r="O676" s="943"/>
      <c r="P676" s="943"/>
      <c r="Q676" s="943"/>
    </row>
    <row r="677" spans="1:17">
      <c r="A677" s="1444"/>
      <c r="C677" s="937" t="str">
        <f t="shared" si="20"/>
        <v/>
      </c>
      <c r="D677" s="1447" t="str">
        <f t="shared" si="21"/>
        <v/>
      </c>
      <c r="K677" s="938"/>
      <c r="M677" s="942"/>
      <c r="N677" s="943"/>
      <c r="O677" s="943"/>
      <c r="P677" s="943"/>
      <c r="Q677" s="943"/>
    </row>
    <row r="678" spans="1:17">
      <c r="A678" s="1444"/>
      <c r="C678" s="937" t="str">
        <f t="shared" si="20"/>
        <v/>
      </c>
      <c r="D678" s="1447" t="str">
        <f t="shared" si="21"/>
        <v/>
      </c>
      <c r="K678" s="938"/>
      <c r="M678" s="942"/>
      <c r="N678" s="943"/>
      <c r="O678" s="943"/>
      <c r="P678" s="943"/>
      <c r="Q678" s="943"/>
    </row>
    <row r="679" spans="1:17">
      <c r="A679" s="1444"/>
      <c r="C679" s="937" t="str">
        <f t="shared" si="20"/>
        <v/>
      </c>
      <c r="D679" s="1447" t="str">
        <f t="shared" si="21"/>
        <v/>
      </c>
      <c r="K679" s="938"/>
      <c r="M679" s="942"/>
      <c r="N679" s="943"/>
      <c r="O679" s="943"/>
      <c r="P679" s="943"/>
      <c r="Q679" s="943"/>
    </row>
    <row r="680" spans="1:17">
      <c r="A680" s="1444"/>
      <c r="C680" s="937" t="str">
        <f t="shared" si="20"/>
        <v/>
      </c>
      <c r="D680" s="1447" t="str">
        <f t="shared" si="21"/>
        <v/>
      </c>
      <c r="K680" s="938"/>
      <c r="M680" s="942"/>
      <c r="N680" s="943"/>
      <c r="O680" s="943"/>
      <c r="P680" s="943"/>
      <c r="Q680" s="943"/>
    </row>
    <row r="681" spans="1:17">
      <c r="A681" s="1444"/>
      <c r="C681" s="937" t="str">
        <f t="shared" si="20"/>
        <v/>
      </c>
      <c r="D681" s="1447" t="str">
        <f t="shared" si="21"/>
        <v/>
      </c>
      <c r="K681" s="938"/>
      <c r="M681" s="942"/>
      <c r="N681" s="943"/>
      <c r="O681" s="943"/>
      <c r="P681" s="943"/>
      <c r="Q681" s="943"/>
    </row>
    <row r="682" spans="1:17">
      <c r="A682" s="1444"/>
      <c r="C682" s="937" t="str">
        <f t="shared" si="20"/>
        <v/>
      </c>
      <c r="D682" s="1447" t="str">
        <f t="shared" si="21"/>
        <v/>
      </c>
      <c r="K682" s="938"/>
      <c r="M682" s="942"/>
      <c r="N682" s="943"/>
      <c r="O682" s="943"/>
      <c r="P682" s="943"/>
      <c r="Q682" s="943"/>
    </row>
    <row r="683" spans="1:17">
      <c r="A683" s="1444"/>
      <c r="C683" s="937" t="str">
        <f t="shared" si="20"/>
        <v/>
      </c>
      <c r="D683" s="1447" t="str">
        <f t="shared" si="21"/>
        <v/>
      </c>
      <c r="K683" s="938"/>
      <c r="M683" s="942"/>
      <c r="N683" s="943"/>
      <c r="O683" s="943"/>
      <c r="P683" s="943"/>
      <c r="Q683" s="943"/>
    </row>
    <row r="684" spans="1:17">
      <c r="A684" s="1444"/>
      <c r="C684" s="937" t="str">
        <f t="shared" si="20"/>
        <v/>
      </c>
      <c r="D684" s="1447" t="str">
        <f t="shared" si="21"/>
        <v/>
      </c>
      <c r="K684" s="938"/>
      <c r="M684" s="942"/>
      <c r="N684" s="943"/>
      <c r="O684" s="943"/>
      <c r="P684" s="943"/>
      <c r="Q684" s="943"/>
    </row>
    <row r="685" spans="1:17">
      <c r="A685" s="1444"/>
      <c r="C685" s="937" t="str">
        <f t="shared" si="20"/>
        <v/>
      </c>
      <c r="D685" s="1447" t="str">
        <f t="shared" si="21"/>
        <v/>
      </c>
      <c r="K685" s="938"/>
      <c r="M685" s="942"/>
      <c r="N685" s="943"/>
      <c r="O685" s="943"/>
      <c r="P685" s="943"/>
      <c r="Q685" s="943"/>
    </row>
    <row r="686" spans="1:17">
      <c r="A686" s="1444"/>
      <c r="C686" s="937" t="str">
        <f t="shared" si="20"/>
        <v/>
      </c>
      <c r="D686" s="1447" t="str">
        <f t="shared" si="21"/>
        <v/>
      </c>
      <c r="K686" s="938"/>
      <c r="M686" s="942"/>
      <c r="N686" s="943"/>
      <c r="O686" s="943"/>
      <c r="P686" s="943"/>
      <c r="Q686" s="943"/>
    </row>
    <row r="687" spans="1:17">
      <c r="A687" s="1444"/>
      <c r="C687" s="937" t="str">
        <f t="shared" si="20"/>
        <v/>
      </c>
      <c r="D687" s="1447" t="str">
        <f t="shared" si="21"/>
        <v/>
      </c>
      <c r="K687" s="938"/>
      <c r="M687" s="942"/>
      <c r="N687" s="943"/>
      <c r="O687" s="943"/>
      <c r="P687" s="943"/>
      <c r="Q687" s="943"/>
    </row>
    <row r="688" spans="1:17">
      <c r="A688" s="1444"/>
      <c r="C688" s="937" t="str">
        <f t="shared" si="20"/>
        <v/>
      </c>
      <c r="D688" s="1447" t="str">
        <f t="shared" si="21"/>
        <v/>
      </c>
      <c r="K688" s="938"/>
      <c r="M688" s="942"/>
      <c r="N688" s="943"/>
      <c r="O688" s="943"/>
      <c r="P688" s="943"/>
      <c r="Q688" s="943"/>
    </row>
    <row r="689" spans="1:17">
      <c r="A689" s="1444"/>
      <c r="C689" s="937" t="str">
        <f t="shared" si="20"/>
        <v/>
      </c>
      <c r="D689" s="1447" t="str">
        <f t="shared" si="21"/>
        <v/>
      </c>
      <c r="K689" s="938"/>
      <c r="M689" s="942"/>
      <c r="N689" s="943"/>
      <c r="O689" s="943"/>
      <c r="P689" s="943"/>
      <c r="Q689" s="943"/>
    </row>
    <row r="690" spans="1:17">
      <c r="A690" s="1444"/>
      <c r="C690" s="937" t="str">
        <f t="shared" si="20"/>
        <v/>
      </c>
      <c r="D690" s="1447" t="str">
        <f t="shared" si="21"/>
        <v/>
      </c>
      <c r="K690" s="938"/>
      <c r="M690" s="942"/>
      <c r="N690" s="943"/>
      <c r="O690" s="943"/>
      <c r="P690" s="943"/>
      <c r="Q690" s="943"/>
    </row>
    <row r="691" spans="1:17">
      <c r="A691" s="1444"/>
      <c r="C691" s="937" t="str">
        <f t="shared" si="20"/>
        <v/>
      </c>
      <c r="D691" s="1447" t="str">
        <f t="shared" si="21"/>
        <v/>
      </c>
      <c r="K691" s="938"/>
      <c r="M691" s="942"/>
      <c r="N691" s="943"/>
      <c r="O691" s="943"/>
      <c r="P691" s="943"/>
      <c r="Q691" s="943"/>
    </row>
    <row r="692" spans="1:17">
      <c r="A692" s="1444"/>
      <c r="C692" s="937" t="str">
        <f t="shared" si="20"/>
        <v/>
      </c>
      <c r="D692" s="1447" t="str">
        <f t="shared" si="21"/>
        <v/>
      </c>
      <c r="K692" s="938"/>
      <c r="M692" s="942"/>
      <c r="N692" s="943"/>
      <c r="O692" s="943"/>
      <c r="P692" s="943"/>
      <c r="Q692" s="943"/>
    </row>
    <row r="693" spans="1:17">
      <c r="A693" s="1444"/>
      <c r="C693" s="937" t="str">
        <f t="shared" si="20"/>
        <v/>
      </c>
      <c r="D693" s="1447" t="str">
        <f t="shared" si="21"/>
        <v/>
      </c>
      <c r="K693" s="938"/>
      <c r="M693" s="942"/>
      <c r="N693" s="943"/>
      <c r="O693" s="943"/>
      <c r="P693" s="943"/>
      <c r="Q693" s="943"/>
    </row>
    <row r="694" spans="1:17">
      <c r="A694" s="1444"/>
      <c r="C694" s="937" t="str">
        <f t="shared" si="20"/>
        <v/>
      </c>
      <c r="D694" s="1447" t="str">
        <f t="shared" si="21"/>
        <v/>
      </c>
      <c r="K694" s="938"/>
      <c r="M694" s="942"/>
      <c r="N694" s="943"/>
      <c r="O694" s="943"/>
      <c r="P694" s="943"/>
      <c r="Q694" s="943"/>
    </row>
    <row r="695" spans="1:17">
      <c r="A695" s="1444"/>
      <c r="C695" s="937" t="str">
        <f t="shared" si="20"/>
        <v/>
      </c>
      <c r="D695" s="1447" t="str">
        <f t="shared" si="21"/>
        <v/>
      </c>
      <c r="K695" s="938"/>
      <c r="M695" s="942"/>
      <c r="N695" s="943"/>
      <c r="O695" s="943"/>
      <c r="P695" s="943"/>
      <c r="Q695" s="943"/>
    </row>
    <row r="696" spans="1:17">
      <c r="A696" s="1444"/>
      <c r="C696" s="937" t="str">
        <f t="shared" si="20"/>
        <v/>
      </c>
      <c r="D696" s="1447" t="str">
        <f t="shared" si="21"/>
        <v/>
      </c>
      <c r="K696" s="938"/>
      <c r="M696" s="942"/>
      <c r="N696" s="943"/>
      <c r="O696" s="943"/>
      <c r="P696" s="943"/>
      <c r="Q696" s="943"/>
    </row>
    <row r="697" spans="1:17">
      <c r="A697" s="1444"/>
      <c r="C697" s="937" t="str">
        <f t="shared" si="20"/>
        <v/>
      </c>
      <c r="D697" s="1447" t="str">
        <f t="shared" si="21"/>
        <v/>
      </c>
      <c r="K697" s="938"/>
      <c r="M697" s="942"/>
      <c r="N697" s="943"/>
      <c r="O697" s="943"/>
      <c r="P697" s="943"/>
      <c r="Q697" s="943"/>
    </row>
    <row r="698" spans="1:17">
      <c r="A698" s="1444"/>
      <c r="C698" s="937" t="str">
        <f t="shared" si="20"/>
        <v/>
      </c>
      <c r="D698" s="1447" t="str">
        <f t="shared" si="21"/>
        <v/>
      </c>
      <c r="K698" s="938"/>
      <c r="M698" s="942"/>
      <c r="N698" s="943"/>
      <c r="O698" s="943"/>
      <c r="P698" s="943"/>
      <c r="Q698" s="943"/>
    </row>
    <row r="699" spans="1:17">
      <c r="A699" s="1444"/>
      <c r="C699" s="937" t="str">
        <f t="shared" si="20"/>
        <v/>
      </c>
      <c r="D699" s="1447" t="str">
        <f t="shared" si="21"/>
        <v/>
      </c>
      <c r="K699" s="938"/>
      <c r="M699" s="942"/>
      <c r="N699" s="943"/>
      <c r="O699" s="943"/>
      <c r="P699" s="943"/>
      <c r="Q699" s="943"/>
    </row>
    <row r="700" spans="1:17">
      <c r="A700" s="1444"/>
      <c r="C700" s="937" t="str">
        <f t="shared" si="20"/>
        <v/>
      </c>
      <c r="D700" s="1447" t="str">
        <f t="shared" si="21"/>
        <v/>
      </c>
      <c r="K700" s="938"/>
      <c r="M700" s="942"/>
      <c r="N700" s="943"/>
      <c r="O700" s="943"/>
      <c r="P700" s="943"/>
      <c r="Q700" s="943"/>
    </row>
    <row r="701" spans="1:17">
      <c r="A701" s="1444"/>
      <c r="C701" s="937" t="str">
        <f t="shared" si="20"/>
        <v/>
      </c>
      <c r="D701" s="1447" t="str">
        <f t="shared" si="21"/>
        <v/>
      </c>
      <c r="K701" s="938"/>
      <c r="M701" s="942"/>
      <c r="N701" s="943"/>
      <c r="O701" s="943"/>
      <c r="P701" s="943"/>
      <c r="Q701" s="943"/>
    </row>
    <row r="702" spans="1:17">
      <c r="A702" s="1444"/>
      <c r="C702" s="937" t="str">
        <f t="shared" si="20"/>
        <v/>
      </c>
      <c r="D702" s="1447" t="str">
        <f t="shared" si="21"/>
        <v/>
      </c>
      <c r="K702" s="938"/>
      <c r="M702" s="942"/>
      <c r="N702" s="943"/>
      <c r="O702" s="943"/>
      <c r="P702" s="943"/>
      <c r="Q702" s="943"/>
    </row>
    <row r="703" spans="1:17">
      <c r="A703" s="1444"/>
      <c r="C703" s="937" t="str">
        <f t="shared" si="20"/>
        <v/>
      </c>
      <c r="D703" s="1447" t="str">
        <f t="shared" si="21"/>
        <v/>
      </c>
      <c r="K703" s="938"/>
      <c r="M703" s="942"/>
      <c r="N703" s="943"/>
      <c r="O703" s="943"/>
      <c r="P703" s="943"/>
      <c r="Q703" s="943"/>
    </row>
    <row r="704" spans="1:17">
      <c r="A704" s="1444"/>
      <c r="C704" s="937" t="str">
        <f t="shared" si="20"/>
        <v/>
      </c>
      <c r="D704" s="1447" t="str">
        <f t="shared" si="21"/>
        <v/>
      </c>
      <c r="K704" s="938"/>
      <c r="M704" s="942"/>
      <c r="N704" s="943"/>
      <c r="O704" s="943"/>
      <c r="P704" s="943"/>
      <c r="Q704" s="943"/>
    </row>
    <row r="705" spans="1:17">
      <c r="A705" s="1444"/>
      <c r="C705" s="937" t="str">
        <f t="shared" si="20"/>
        <v/>
      </c>
      <c r="D705" s="1447" t="str">
        <f t="shared" si="21"/>
        <v/>
      </c>
      <c r="K705" s="938"/>
      <c r="M705" s="942"/>
      <c r="N705" s="943"/>
      <c r="O705" s="943"/>
      <c r="P705" s="943"/>
      <c r="Q705" s="943"/>
    </row>
    <row r="706" spans="1:17">
      <c r="A706" s="1444"/>
      <c r="C706" s="937" t="str">
        <f t="shared" ref="C706:C769" si="22">IFERROR(1440/D706, "")</f>
        <v/>
      </c>
      <c r="D706" s="1447" t="str">
        <f t="shared" ref="D706:D769" si="23">IF(B706="", "", IF(B706&lt;1, B706*1440, B706))</f>
        <v/>
      </c>
      <c r="K706" s="938"/>
      <c r="M706" s="942"/>
      <c r="N706" s="943"/>
      <c r="O706" s="943"/>
      <c r="P706" s="943"/>
      <c r="Q706" s="943"/>
    </row>
    <row r="707" spans="1:17">
      <c r="A707" s="1444"/>
      <c r="C707" s="937" t="str">
        <f t="shared" si="22"/>
        <v/>
      </c>
      <c r="D707" s="1447" t="str">
        <f t="shared" si="23"/>
        <v/>
      </c>
      <c r="K707" s="938"/>
      <c r="M707" s="942"/>
      <c r="N707" s="943"/>
      <c r="O707" s="943"/>
      <c r="P707" s="943"/>
      <c r="Q707" s="943"/>
    </row>
    <row r="708" spans="1:17">
      <c r="A708" s="1444"/>
      <c r="C708" s="937" t="str">
        <f t="shared" si="22"/>
        <v/>
      </c>
      <c r="D708" s="1447" t="str">
        <f t="shared" si="23"/>
        <v/>
      </c>
      <c r="K708" s="938"/>
      <c r="M708" s="942"/>
      <c r="N708" s="943"/>
      <c r="O708" s="943"/>
      <c r="P708" s="943"/>
      <c r="Q708" s="943"/>
    </row>
    <row r="709" spans="1:17">
      <c r="A709" s="1444"/>
      <c r="C709" s="937" t="str">
        <f t="shared" si="22"/>
        <v/>
      </c>
      <c r="D709" s="1447" t="str">
        <f t="shared" si="23"/>
        <v/>
      </c>
      <c r="K709" s="938"/>
      <c r="M709" s="942"/>
      <c r="N709" s="943"/>
      <c r="O709" s="943"/>
      <c r="P709" s="943"/>
      <c r="Q709" s="943"/>
    </row>
    <row r="710" spans="1:17">
      <c r="A710" s="1444"/>
      <c r="C710" s="937" t="str">
        <f t="shared" si="22"/>
        <v/>
      </c>
      <c r="D710" s="1447" t="str">
        <f t="shared" si="23"/>
        <v/>
      </c>
      <c r="K710" s="938"/>
      <c r="M710" s="942"/>
      <c r="N710" s="943"/>
      <c r="O710" s="943"/>
      <c r="P710" s="943"/>
      <c r="Q710" s="943"/>
    </row>
    <row r="711" spans="1:17">
      <c r="A711" s="1444"/>
      <c r="C711" s="937" t="str">
        <f t="shared" si="22"/>
        <v/>
      </c>
      <c r="D711" s="1447" t="str">
        <f t="shared" si="23"/>
        <v/>
      </c>
      <c r="K711" s="938"/>
      <c r="M711" s="942"/>
      <c r="N711" s="943"/>
      <c r="O711" s="943"/>
      <c r="P711" s="943"/>
      <c r="Q711" s="943"/>
    </row>
    <row r="712" spans="1:17">
      <c r="A712" s="1444"/>
      <c r="C712" s="937" t="str">
        <f t="shared" si="22"/>
        <v/>
      </c>
      <c r="D712" s="1447" t="str">
        <f t="shared" si="23"/>
        <v/>
      </c>
      <c r="K712" s="938"/>
      <c r="M712" s="942"/>
      <c r="N712" s="943"/>
      <c r="O712" s="943"/>
      <c r="P712" s="943"/>
      <c r="Q712" s="943"/>
    </row>
    <row r="713" spans="1:17">
      <c r="A713" s="1444"/>
      <c r="C713" s="937" t="str">
        <f t="shared" si="22"/>
        <v/>
      </c>
      <c r="D713" s="1447" t="str">
        <f t="shared" si="23"/>
        <v/>
      </c>
      <c r="K713" s="938"/>
      <c r="M713" s="942"/>
      <c r="N713" s="943"/>
      <c r="O713" s="943"/>
      <c r="P713" s="943"/>
      <c r="Q713" s="943"/>
    </row>
    <row r="714" spans="1:17">
      <c r="A714" s="1444"/>
      <c r="C714" s="937" t="str">
        <f t="shared" si="22"/>
        <v/>
      </c>
      <c r="D714" s="1447" t="str">
        <f t="shared" si="23"/>
        <v/>
      </c>
      <c r="K714" s="938"/>
      <c r="M714" s="942"/>
      <c r="N714" s="943"/>
      <c r="O714" s="943"/>
      <c r="P714" s="943"/>
      <c r="Q714" s="943"/>
    </row>
    <row r="715" spans="1:17">
      <c r="A715" s="1444"/>
      <c r="C715" s="937" t="str">
        <f t="shared" si="22"/>
        <v/>
      </c>
      <c r="D715" s="1447" t="str">
        <f t="shared" si="23"/>
        <v/>
      </c>
      <c r="K715" s="938"/>
      <c r="M715" s="942"/>
      <c r="N715" s="943"/>
      <c r="O715" s="943"/>
      <c r="P715" s="943"/>
      <c r="Q715" s="943"/>
    </row>
    <row r="716" spans="1:17">
      <c r="A716" s="1444"/>
      <c r="C716" s="937" t="str">
        <f t="shared" si="22"/>
        <v/>
      </c>
      <c r="D716" s="1447" t="str">
        <f t="shared" si="23"/>
        <v/>
      </c>
      <c r="K716" s="938"/>
      <c r="M716" s="942"/>
      <c r="N716" s="943"/>
      <c r="O716" s="943"/>
      <c r="P716" s="943"/>
      <c r="Q716" s="943"/>
    </row>
    <row r="717" spans="1:17">
      <c r="A717" s="1444"/>
      <c r="C717" s="937" t="str">
        <f t="shared" si="22"/>
        <v/>
      </c>
      <c r="D717" s="1447" t="str">
        <f t="shared" si="23"/>
        <v/>
      </c>
      <c r="K717" s="938"/>
      <c r="M717" s="942"/>
      <c r="N717" s="943"/>
      <c r="O717" s="943"/>
      <c r="P717" s="943"/>
      <c r="Q717" s="943"/>
    </row>
    <row r="718" spans="1:17">
      <c r="A718" s="1444"/>
      <c r="C718" s="937" t="str">
        <f t="shared" si="22"/>
        <v/>
      </c>
      <c r="D718" s="1447" t="str">
        <f t="shared" si="23"/>
        <v/>
      </c>
      <c r="K718" s="938"/>
      <c r="M718" s="942"/>
      <c r="N718" s="943"/>
      <c r="O718" s="943"/>
      <c r="P718" s="943"/>
      <c r="Q718" s="943"/>
    </row>
    <row r="719" spans="1:17">
      <c r="A719" s="1444"/>
      <c r="C719" s="937" t="str">
        <f t="shared" si="22"/>
        <v/>
      </c>
      <c r="D719" s="1447" t="str">
        <f t="shared" si="23"/>
        <v/>
      </c>
      <c r="K719" s="938"/>
      <c r="M719" s="942"/>
      <c r="N719" s="943"/>
      <c r="O719" s="943"/>
      <c r="P719" s="943"/>
      <c r="Q719" s="943"/>
    </row>
    <row r="720" spans="1:17">
      <c r="A720" s="1444"/>
      <c r="C720" s="937" t="str">
        <f t="shared" si="22"/>
        <v/>
      </c>
      <c r="D720" s="1447" t="str">
        <f t="shared" si="23"/>
        <v/>
      </c>
      <c r="K720" s="938"/>
      <c r="M720" s="942"/>
      <c r="N720" s="943"/>
      <c r="O720" s="943"/>
      <c r="P720" s="943"/>
      <c r="Q720" s="943"/>
    </row>
    <row r="721" spans="1:17">
      <c r="A721" s="1444"/>
      <c r="C721" s="937" t="str">
        <f t="shared" si="22"/>
        <v/>
      </c>
      <c r="D721" s="1447" t="str">
        <f t="shared" si="23"/>
        <v/>
      </c>
      <c r="K721" s="938"/>
      <c r="M721" s="942"/>
      <c r="N721" s="943"/>
      <c r="O721" s="943"/>
      <c r="P721" s="943"/>
      <c r="Q721" s="943"/>
    </row>
    <row r="722" spans="1:17">
      <c r="A722" s="1444"/>
      <c r="C722" s="937" t="str">
        <f t="shared" si="22"/>
        <v/>
      </c>
      <c r="D722" s="1447" t="str">
        <f t="shared" si="23"/>
        <v/>
      </c>
      <c r="K722" s="938"/>
      <c r="M722" s="942"/>
      <c r="N722" s="943"/>
      <c r="O722" s="943"/>
      <c r="P722" s="943"/>
      <c r="Q722" s="943"/>
    </row>
    <row r="723" spans="1:17">
      <c r="A723" s="1444"/>
      <c r="C723" s="937" t="str">
        <f t="shared" si="22"/>
        <v/>
      </c>
      <c r="D723" s="1447" t="str">
        <f t="shared" si="23"/>
        <v/>
      </c>
      <c r="K723" s="938"/>
      <c r="M723" s="942"/>
      <c r="N723" s="943"/>
      <c r="O723" s="943"/>
      <c r="P723" s="943"/>
      <c r="Q723" s="943"/>
    </row>
    <row r="724" spans="1:17">
      <c r="A724" s="1444"/>
      <c r="C724" s="937" t="str">
        <f t="shared" si="22"/>
        <v/>
      </c>
      <c r="D724" s="1447" t="str">
        <f t="shared" si="23"/>
        <v/>
      </c>
      <c r="K724" s="938"/>
      <c r="M724" s="942"/>
      <c r="N724" s="943"/>
      <c r="O724" s="943"/>
      <c r="P724" s="943"/>
      <c r="Q724" s="943"/>
    </row>
    <row r="725" spans="1:17">
      <c r="A725" s="1444"/>
      <c r="C725" s="937" t="str">
        <f t="shared" si="22"/>
        <v/>
      </c>
      <c r="D725" s="1447" t="str">
        <f t="shared" si="23"/>
        <v/>
      </c>
      <c r="K725" s="938"/>
      <c r="M725" s="942"/>
      <c r="N725" s="943"/>
      <c r="O725" s="943"/>
      <c r="P725" s="943"/>
      <c r="Q725" s="943"/>
    </row>
    <row r="726" spans="1:17">
      <c r="A726" s="1444"/>
      <c r="C726" s="937" t="str">
        <f t="shared" si="22"/>
        <v/>
      </c>
      <c r="D726" s="1447" t="str">
        <f t="shared" si="23"/>
        <v/>
      </c>
      <c r="K726" s="938"/>
      <c r="M726" s="942"/>
      <c r="N726" s="943"/>
      <c r="O726" s="943"/>
      <c r="P726" s="943"/>
      <c r="Q726" s="943"/>
    </row>
    <row r="727" spans="1:17">
      <c r="A727" s="1444"/>
      <c r="C727" s="937" t="str">
        <f t="shared" si="22"/>
        <v/>
      </c>
      <c r="D727" s="1447" t="str">
        <f t="shared" si="23"/>
        <v/>
      </c>
      <c r="K727" s="938"/>
      <c r="M727" s="942"/>
      <c r="N727" s="943"/>
      <c r="O727" s="943"/>
      <c r="P727" s="943"/>
      <c r="Q727" s="943"/>
    </row>
    <row r="728" spans="1:17">
      <c r="A728" s="1444"/>
      <c r="C728" s="937" t="str">
        <f t="shared" si="22"/>
        <v/>
      </c>
      <c r="D728" s="1447" t="str">
        <f t="shared" si="23"/>
        <v/>
      </c>
      <c r="K728" s="938"/>
      <c r="M728" s="942"/>
      <c r="N728" s="943"/>
      <c r="O728" s="943"/>
      <c r="P728" s="943"/>
      <c r="Q728" s="943"/>
    </row>
    <row r="729" spans="1:17">
      <c r="A729" s="1444"/>
      <c r="C729" s="937" t="str">
        <f t="shared" si="22"/>
        <v/>
      </c>
      <c r="D729" s="1447" t="str">
        <f t="shared" si="23"/>
        <v/>
      </c>
      <c r="K729" s="938"/>
      <c r="M729" s="942"/>
      <c r="N729" s="943"/>
      <c r="O729" s="943"/>
      <c r="P729" s="943"/>
      <c r="Q729" s="943"/>
    </row>
    <row r="730" spans="1:17">
      <c r="A730" s="1444"/>
      <c r="C730" s="937" t="str">
        <f t="shared" si="22"/>
        <v/>
      </c>
      <c r="D730" s="1447" t="str">
        <f t="shared" si="23"/>
        <v/>
      </c>
      <c r="K730" s="938"/>
      <c r="M730" s="942"/>
      <c r="N730" s="943"/>
      <c r="O730" s="943"/>
      <c r="P730" s="943"/>
      <c r="Q730" s="943"/>
    </row>
    <row r="731" spans="1:17">
      <c r="A731" s="1444"/>
      <c r="C731" s="937" t="str">
        <f t="shared" si="22"/>
        <v/>
      </c>
      <c r="D731" s="1447" t="str">
        <f t="shared" si="23"/>
        <v/>
      </c>
      <c r="K731" s="938"/>
      <c r="M731" s="942"/>
      <c r="N731" s="943"/>
      <c r="O731" s="943"/>
      <c r="P731" s="943"/>
      <c r="Q731" s="943"/>
    </row>
    <row r="732" spans="1:17">
      <c r="A732" s="1444"/>
      <c r="C732" s="937" t="str">
        <f t="shared" si="22"/>
        <v/>
      </c>
      <c r="D732" s="1447" t="str">
        <f t="shared" si="23"/>
        <v/>
      </c>
      <c r="K732" s="938"/>
      <c r="M732" s="942"/>
      <c r="N732" s="943"/>
      <c r="O732" s="943"/>
      <c r="P732" s="943"/>
      <c r="Q732" s="943"/>
    </row>
    <row r="733" spans="1:17">
      <c r="A733" s="1444"/>
      <c r="C733" s="937" t="str">
        <f t="shared" si="22"/>
        <v/>
      </c>
      <c r="D733" s="1447" t="str">
        <f t="shared" si="23"/>
        <v/>
      </c>
      <c r="K733" s="938"/>
      <c r="M733" s="942"/>
      <c r="N733" s="943"/>
      <c r="O733" s="943"/>
      <c r="P733" s="943"/>
      <c r="Q733" s="943"/>
    </row>
    <row r="734" spans="1:17">
      <c r="A734" s="1444"/>
      <c r="C734" s="937" t="str">
        <f t="shared" si="22"/>
        <v/>
      </c>
      <c r="D734" s="1447" t="str">
        <f t="shared" si="23"/>
        <v/>
      </c>
      <c r="K734" s="938"/>
      <c r="M734" s="942"/>
      <c r="N734" s="943"/>
      <c r="O734" s="943"/>
      <c r="P734" s="943"/>
      <c r="Q734" s="943"/>
    </row>
    <row r="735" spans="1:17">
      <c r="A735" s="1444"/>
      <c r="C735" s="937" t="str">
        <f t="shared" si="22"/>
        <v/>
      </c>
      <c r="D735" s="1447" t="str">
        <f t="shared" si="23"/>
        <v/>
      </c>
      <c r="K735" s="938"/>
      <c r="M735" s="942"/>
      <c r="N735" s="943"/>
      <c r="O735" s="943"/>
      <c r="P735" s="943"/>
      <c r="Q735" s="943"/>
    </row>
    <row r="736" spans="1:17">
      <c r="A736" s="1444"/>
      <c r="C736" s="937" t="str">
        <f t="shared" si="22"/>
        <v/>
      </c>
      <c r="D736" s="1447" t="str">
        <f t="shared" si="23"/>
        <v/>
      </c>
      <c r="K736" s="938"/>
      <c r="M736" s="942"/>
      <c r="N736" s="943"/>
      <c r="O736" s="943"/>
      <c r="P736" s="943"/>
      <c r="Q736" s="943"/>
    </row>
    <row r="737" spans="1:17">
      <c r="A737" s="1444"/>
      <c r="C737" s="937" t="str">
        <f t="shared" si="22"/>
        <v/>
      </c>
      <c r="D737" s="1447" t="str">
        <f t="shared" si="23"/>
        <v/>
      </c>
      <c r="K737" s="938"/>
      <c r="M737" s="942"/>
      <c r="N737" s="943"/>
      <c r="O737" s="943"/>
      <c r="P737" s="943"/>
      <c r="Q737" s="943"/>
    </row>
    <row r="738" spans="1:17">
      <c r="A738" s="1444"/>
      <c r="C738" s="937" t="str">
        <f t="shared" si="22"/>
        <v/>
      </c>
      <c r="D738" s="1447" t="str">
        <f t="shared" si="23"/>
        <v/>
      </c>
      <c r="K738" s="938"/>
      <c r="M738" s="942"/>
      <c r="N738" s="943"/>
      <c r="O738" s="943"/>
      <c r="P738" s="943"/>
      <c r="Q738" s="943"/>
    </row>
    <row r="739" spans="1:17">
      <c r="A739" s="1444"/>
      <c r="C739" s="937" t="str">
        <f t="shared" si="22"/>
        <v/>
      </c>
      <c r="D739" s="1447" t="str">
        <f t="shared" si="23"/>
        <v/>
      </c>
      <c r="K739" s="938"/>
      <c r="M739" s="942"/>
      <c r="N739" s="943"/>
      <c r="O739" s="943"/>
      <c r="P739" s="943"/>
      <c r="Q739" s="943"/>
    </row>
    <row r="740" spans="1:17">
      <c r="A740" s="1444"/>
      <c r="C740" s="937" t="str">
        <f t="shared" si="22"/>
        <v/>
      </c>
      <c r="D740" s="1447" t="str">
        <f t="shared" si="23"/>
        <v/>
      </c>
      <c r="K740" s="938"/>
      <c r="M740" s="942"/>
      <c r="N740" s="943"/>
      <c r="O740" s="943"/>
      <c r="P740" s="943"/>
      <c r="Q740" s="943"/>
    </row>
    <row r="741" spans="1:17">
      <c r="A741" s="1444"/>
      <c r="C741" s="937" t="str">
        <f t="shared" si="22"/>
        <v/>
      </c>
      <c r="D741" s="1447" t="str">
        <f t="shared" si="23"/>
        <v/>
      </c>
      <c r="K741" s="938"/>
      <c r="M741" s="942"/>
      <c r="N741" s="943"/>
      <c r="O741" s="943"/>
      <c r="P741" s="943"/>
      <c r="Q741" s="943"/>
    </row>
    <row r="742" spans="1:17">
      <c r="A742" s="1444"/>
      <c r="C742" s="937" t="str">
        <f t="shared" si="22"/>
        <v/>
      </c>
      <c r="D742" s="1447" t="str">
        <f t="shared" si="23"/>
        <v/>
      </c>
      <c r="K742" s="938"/>
      <c r="M742" s="942"/>
      <c r="N742" s="943"/>
      <c r="O742" s="943"/>
      <c r="P742" s="943"/>
      <c r="Q742" s="943"/>
    </row>
    <row r="743" spans="1:17">
      <c r="A743" s="1444"/>
      <c r="C743" s="937" t="str">
        <f t="shared" si="22"/>
        <v/>
      </c>
      <c r="D743" s="1447" t="str">
        <f t="shared" si="23"/>
        <v/>
      </c>
      <c r="K743" s="938"/>
      <c r="M743" s="942"/>
      <c r="N743" s="943"/>
      <c r="O743" s="943"/>
      <c r="P743" s="943"/>
      <c r="Q743" s="943"/>
    </row>
    <row r="744" spans="1:17">
      <c r="A744" s="1444"/>
      <c r="C744" s="937" t="str">
        <f t="shared" si="22"/>
        <v/>
      </c>
      <c r="D744" s="1447" t="str">
        <f t="shared" si="23"/>
        <v/>
      </c>
      <c r="K744" s="938"/>
      <c r="M744" s="942"/>
      <c r="N744" s="943"/>
      <c r="O744" s="943"/>
      <c r="P744" s="943"/>
      <c r="Q744" s="943"/>
    </row>
    <row r="745" spans="1:17">
      <c r="A745" s="1444"/>
      <c r="C745" s="937" t="str">
        <f t="shared" si="22"/>
        <v/>
      </c>
      <c r="D745" s="1447" t="str">
        <f t="shared" si="23"/>
        <v/>
      </c>
      <c r="K745" s="938"/>
      <c r="M745" s="942"/>
      <c r="N745" s="943"/>
      <c r="O745" s="943"/>
      <c r="P745" s="943"/>
      <c r="Q745" s="943"/>
    </row>
    <row r="746" spans="1:17">
      <c r="A746" s="1444"/>
      <c r="C746" s="937" t="str">
        <f t="shared" si="22"/>
        <v/>
      </c>
      <c r="D746" s="1447" t="str">
        <f t="shared" si="23"/>
        <v/>
      </c>
      <c r="K746" s="938"/>
      <c r="M746" s="942"/>
      <c r="N746" s="943"/>
      <c r="O746" s="943"/>
      <c r="P746" s="943"/>
      <c r="Q746" s="943"/>
    </row>
    <row r="747" spans="1:17">
      <c r="A747" s="1444"/>
      <c r="C747" s="937" t="str">
        <f t="shared" si="22"/>
        <v/>
      </c>
      <c r="D747" s="1447" t="str">
        <f t="shared" si="23"/>
        <v/>
      </c>
      <c r="K747" s="938"/>
      <c r="M747" s="942"/>
      <c r="N747" s="943"/>
      <c r="O747" s="943"/>
      <c r="P747" s="943"/>
      <c r="Q747" s="943"/>
    </row>
    <row r="748" spans="1:17">
      <c r="A748" s="1444"/>
      <c r="C748" s="937" t="str">
        <f t="shared" si="22"/>
        <v/>
      </c>
      <c r="D748" s="1447" t="str">
        <f t="shared" si="23"/>
        <v/>
      </c>
      <c r="K748" s="938"/>
      <c r="M748" s="942"/>
      <c r="N748" s="943"/>
      <c r="O748" s="943"/>
      <c r="P748" s="943"/>
      <c r="Q748" s="943"/>
    </row>
    <row r="749" spans="1:17">
      <c r="A749" s="1444"/>
      <c r="C749" s="937" t="str">
        <f t="shared" si="22"/>
        <v/>
      </c>
      <c r="D749" s="1447" t="str">
        <f t="shared" si="23"/>
        <v/>
      </c>
      <c r="K749" s="938"/>
      <c r="M749" s="942"/>
      <c r="N749" s="943"/>
      <c r="O749" s="943"/>
      <c r="P749" s="943"/>
      <c r="Q749" s="943"/>
    </row>
    <row r="750" spans="1:17">
      <c r="A750" s="1444"/>
      <c r="C750" s="937" t="str">
        <f t="shared" si="22"/>
        <v/>
      </c>
      <c r="D750" s="1447" t="str">
        <f t="shared" si="23"/>
        <v/>
      </c>
      <c r="K750" s="938"/>
      <c r="M750" s="942"/>
      <c r="N750" s="943"/>
      <c r="O750" s="943"/>
      <c r="P750" s="943"/>
      <c r="Q750" s="943"/>
    </row>
    <row r="751" spans="1:17">
      <c r="A751" s="1444"/>
      <c r="C751" s="937" t="str">
        <f t="shared" si="22"/>
        <v/>
      </c>
      <c r="D751" s="1447" t="str">
        <f t="shared" si="23"/>
        <v/>
      </c>
      <c r="K751" s="938"/>
      <c r="M751" s="942"/>
      <c r="N751" s="943"/>
      <c r="O751" s="943"/>
      <c r="P751" s="943"/>
      <c r="Q751" s="943"/>
    </row>
    <row r="752" spans="1:17">
      <c r="A752" s="1444"/>
      <c r="C752" s="937" t="str">
        <f t="shared" si="22"/>
        <v/>
      </c>
      <c r="D752" s="1447" t="str">
        <f t="shared" si="23"/>
        <v/>
      </c>
      <c r="K752" s="938"/>
      <c r="M752" s="942"/>
      <c r="N752" s="943"/>
      <c r="O752" s="943"/>
      <c r="P752" s="943"/>
      <c r="Q752" s="943"/>
    </row>
    <row r="753" spans="1:17">
      <c r="A753" s="1444"/>
      <c r="C753" s="937" t="str">
        <f t="shared" si="22"/>
        <v/>
      </c>
      <c r="D753" s="1447" t="str">
        <f t="shared" si="23"/>
        <v/>
      </c>
      <c r="K753" s="938"/>
      <c r="M753" s="942"/>
      <c r="N753" s="943"/>
      <c r="O753" s="943"/>
      <c r="P753" s="943"/>
      <c r="Q753" s="943"/>
    </row>
    <row r="754" spans="1:17">
      <c r="A754" s="1444"/>
      <c r="C754" s="937" t="str">
        <f t="shared" si="22"/>
        <v/>
      </c>
      <c r="D754" s="1447" t="str">
        <f t="shared" si="23"/>
        <v/>
      </c>
      <c r="K754" s="938"/>
      <c r="M754" s="942"/>
      <c r="N754" s="943"/>
      <c r="O754" s="943"/>
      <c r="P754" s="943"/>
      <c r="Q754" s="943"/>
    </row>
    <row r="755" spans="1:17">
      <c r="A755" s="1444"/>
      <c r="C755" s="937" t="str">
        <f t="shared" si="22"/>
        <v/>
      </c>
      <c r="D755" s="1447" t="str">
        <f t="shared" si="23"/>
        <v/>
      </c>
      <c r="K755" s="938"/>
      <c r="M755" s="942"/>
      <c r="N755" s="943"/>
      <c r="O755" s="943"/>
      <c r="P755" s="943"/>
      <c r="Q755" s="943"/>
    </row>
    <row r="756" spans="1:17">
      <c r="A756" s="1444"/>
      <c r="C756" s="937" t="str">
        <f t="shared" si="22"/>
        <v/>
      </c>
      <c r="D756" s="1447" t="str">
        <f t="shared" si="23"/>
        <v/>
      </c>
      <c r="K756" s="938"/>
      <c r="M756" s="942"/>
      <c r="N756" s="943"/>
      <c r="O756" s="943"/>
      <c r="P756" s="943"/>
      <c r="Q756" s="943"/>
    </row>
    <row r="757" spans="1:17">
      <c r="A757" s="1444"/>
      <c r="C757" s="937" t="str">
        <f t="shared" si="22"/>
        <v/>
      </c>
      <c r="D757" s="1447" t="str">
        <f t="shared" si="23"/>
        <v/>
      </c>
      <c r="K757" s="938"/>
      <c r="M757" s="942"/>
      <c r="N757" s="943"/>
      <c r="O757" s="943"/>
      <c r="P757" s="943"/>
      <c r="Q757" s="943"/>
    </row>
    <row r="758" spans="1:17">
      <c r="A758" s="1444"/>
      <c r="C758" s="937" t="str">
        <f t="shared" si="22"/>
        <v/>
      </c>
      <c r="D758" s="1447" t="str">
        <f t="shared" si="23"/>
        <v/>
      </c>
      <c r="K758" s="938"/>
      <c r="M758" s="942"/>
      <c r="N758" s="943"/>
      <c r="O758" s="943"/>
      <c r="P758" s="943"/>
      <c r="Q758" s="943"/>
    </row>
    <row r="759" spans="1:17">
      <c r="A759" s="1444"/>
      <c r="C759" s="937" t="str">
        <f t="shared" si="22"/>
        <v/>
      </c>
      <c r="D759" s="1447" t="str">
        <f t="shared" si="23"/>
        <v/>
      </c>
      <c r="K759" s="938"/>
      <c r="M759" s="942"/>
      <c r="N759" s="943"/>
      <c r="O759" s="943"/>
      <c r="P759" s="943"/>
      <c r="Q759" s="943"/>
    </row>
    <row r="760" spans="1:17">
      <c r="A760" s="1444"/>
      <c r="C760" s="937" t="str">
        <f t="shared" si="22"/>
        <v/>
      </c>
      <c r="D760" s="1447" t="str">
        <f t="shared" si="23"/>
        <v/>
      </c>
      <c r="K760" s="938"/>
      <c r="M760" s="942"/>
      <c r="N760" s="943"/>
      <c r="O760" s="943"/>
      <c r="P760" s="943"/>
      <c r="Q760" s="943"/>
    </row>
    <row r="761" spans="1:17">
      <c r="A761" s="1444"/>
      <c r="C761" s="937" t="str">
        <f t="shared" si="22"/>
        <v/>
      </c>
      <c r="D761" s="1447" t="str">
        <f t="shared" si="23"/>
        <v/>
      </c>
      <c r="K761" s="938"/>
      <c r="M761" s="942"/>
      <c r="N761" s="943"/>
      <c r="O761" s="943"/>
      <c r="P761" s="943"/>
      <c r="Q761" s="943"/>
    </row>
    <row r="762" spans="1:17">
      <c r="A762" s="1444"/>
      <c r="C762" s="937" t="str">
        <f t="shared" si="22"/>
        <v/>
      </c>
      <c r="D762" s="1447" t="str">
        <f t="shared" si="23"/>
        <v/>
      </c>
      <c r="K762" s="938"/>
      <c r="M762" s="942"/>
      <c r="N762" s="943"/>
      <c r="O762" s="943"/>
      <c r="P762" s="943"/>
      <c r="Q762" s="943"/>
    </row>
    <row r="763" spans="1:17">
      <c r="A763" s="1444"/>
      <c r="C763" s="937" t="str">
        <f t="shared" si="22"/>
        <v/>
      </c>
      <c r="D763" s="1447" t="str">
        <f t="shared" si="23"/>
        <v/>
      </c>
      <c r="K763" s="938"/>
      <c r="M763" s="942"/>
      <c r="N763" s="943"/>
      <c r="O763" s="943"/>
      <c r="P763" s="943"/>
      <c r="Q763" s="943"/>
    </row>
    <row r="764" spans="1:17">
      <c r="A764" s="1444"/>
      <c r="C764" s="937" t="str">
        <f t="shared" si="22"/>
        <v/>
      </c>
      <c r="D764" s="1447" t="str">
        <f t="shared" si="23"/>
        <v/>
      </c>
      <c r="K764" s="938"/>
      <c r="M764" s="942"/>
      <c r="N764" s="943"/>
      <c r="O764" s="943"/>
      <c r="P764" s="943"/>
      <c r="Q764" s="943"/>
    </row>
    <row r="765" spans="1:17">
      <c r="A765" s="1444"/>
      <c r="C765" s="937" t="str">
        <f t="shared" si="22"/>
        <v/>
      </c>
      <c r="D765" s="1447" t="str">
        <f t="shared" si="23"/>
        <v/>
      </c>
      <c r="K765" s="938"/>
      <c r="M765" s="942"/>
      <c r="N765" s="943"/>
      <c r="O765" s="943"/>
      <c r="P765" s="943"/>
      <c r="Q765" s="943"/>
    </row>
    <row r="766" spans="1:17">
      <c r="A766" s="1444"/>
      <c r="C766" s="937" t="str">
        <f t="shared" si="22"/>
        <v/>
      </c>
      <c r="D766" s="1447" t="str">
        <f t="shared" si="23"/>
        <v/>
      </c>
      <c r="K766" s="938"/>
      <c r="M766" s="942"/>
      <c r="N766" s="943"/>
      <c r="O766" s="943"/>
      <c r="P766" s="943"/>
      <c r="Q766" s="943"/>
    </row>
    <row r="767" spans="1:17">
      <c r="A767" s="1444"/>
      <c r="C767" s="937" t="str">
        <f t="shared" si="22"/>
        <v/>
      </c>
      <c r="D767" s="1447" t="str">
        <f t="shared" si="23"/>
        <v/>
      </c>
      <c r="K767" s="938"/>
      <c r="M767" s="942"/>
      <c r="N767" s="943"/>
      <c r="O767" s="943"/>
      <c r="P767" s="943"/>
      <c r="Q767" s="943"/>
    </row>
    <row r="768" spans="1:17">
      <c r="A768" s="1444"/>
      <c r="C768" s="937" t="str">
        <f t="shared" si="22"/>
        <v/>
      </c>
      <c r="D768" s="1447" t="str">
        <f t="shared" si="23"/>
        <v/>
      </c>
      <c r="K768" s="938"/>
      <c r="M768" s="942"/>
      <c r="N768" s="943"/>
      <c r="O768" s="943"/>
      <c r="P768" s="943"/>
      <c r="Q768" s="943"/>
    </row>
    <row r="769" spans="1:17">
      <c r="A769" s="1444"/>
      <c r="C769" s="937" t="str">
        <f t="shared" si="22"/>
        <v/>
      </c>
      <c r="D769" s="1447" t="str">
        <f t="shared" si="23"/>
        <v/>
      </c>
      <c r="K769" s="938"/>
      <c r="M769" s="942"/>
      <c r="N769" s="943"/>
      <c r="O769" s="943"/>
      <c r="P769" s="943"/>
      <c r="Q769" s="943"/>
    </row>
    <row r="770" spans="1:17">
      <c r="A770" s="1444"/>
      <c r="C770" s="937" t="str">
        <f t="shared" ref="C770:C833" si="24">IFERROR(1440/D770, "")</f>
        <v/>
      </c>
      <c r="D770" s="1447" t="str">
        <f t="shared" ref="D770:D833" si="25">IF(B770="", "", IF(B770&lt;1, B770*1440, B770))</f>
        <v/>
      </c>
      <c r="K770" s="938"/>
      <c r="M770" s="942"/>
      <c r="N770" s="943"/>
      <c r="O770" s="943"/>
      <c r="P770" s="943"/>
      <c r="Q770" s="943"/>
    </row>
    <row r="771" spans="1:17">
      <c r="A771" s="1444"/>
      <c r="C771" s="937" t="str">
        <f t="shared" si="24"/>
        <v/>
      </c>
      <c r="D771" s="1447" t="str">
        <f t="shared" si="25"/>
        <v/>
      </c>
      <c r="K771" s="938"/>
      <c r="M771" s="942"/>
      <c r="N771" s="943"/>
      <c r="O771" s="943"/>
      <c r="P771" s="943"/>
      <c r="Q771" s="943"/>
    </row>
    <row r="772" spans="1:17">
      <c r="A772" s="1444"/>
      <c r="C772" s="937" t="str">
        <f t="shared" si="24"/>
        <v/>
      </c>
      <c r="D772" s="1447" t="str">
        <f t="shared" si="25"/>
        <v/>
      </c>
      <c r="K772" s="938"/>
      <c r="M772" s="942"/>
      <c r="N772" s="943"/>
      <c r="O772" s="943"/>
      <c r="P772" s="943"/>
      <c r="Q772" s="943"/>
    </row>
    <row r="773" spans="1:17">
      <c r="A773" s="1444"/>
      <c r="C773" s="937" t="str">
        <f t="shared" si="24"/>
        <v/>
      </c>
      <c r="D773" s="1447" t="str">
        <f t="shared" si="25"/>
        <v/>
      </c>
      <c r="K773" s="938"/>
      <c r="M773" s="942"/>
      <c r="N773" s="943"/>
      <c r="O773" s="943"/>
      <c r="P773" s="943"/>
      <c r="Q773" s="943"/>
    </row>
    <row r="774" spans="1:17">
      <c r="A774" s="1444"/>
      <c r="C774" s="937" t="str">
        <f t="shared" si="24"/>
        <v/>
      </c>
      <c r="D774" s="1447" t="str">
        <f t="shared" si="25"/>
        <v/>
      </c>
      <c r="K774" s="938"/>
      <c r="M774" s="942"/>
      <c r="N774" s="943"/>
      <c r="O774" s="943"/>
      <c r="P774" s="943"/>
      <c r="Q774" s="943"/>
    </row>
    <row r="775" spans="1:17">
      <c r="A775" s="1444"/>
      <c r="C775" s="937" t="str">
        <f t="shared" si="24"/>
        <v/>
      </c>
      <c r="D775" s="1447" t="str">
        <f t="shared" si="25"/>
        <v/>
      </c>
      <c r="K775" s="938"/>
      <c r="M775" s="942"/>
      <c r="N775" s="943"/>
      <c r="O775" s="943"/>
      <c r="P775" s="943"/>
      <c r="Q775" s="943"/>
    </row>
    <row r="776" spans="1:17">
      <c r="A776" s="1444"/>
      <c r="C776" s="937" t="str">
        <f t="shared" si="24"/>
        <v/>
      </c>
      <c r="D776" s="1447" t="str">
        <f t="shared" si="25"/>
        <v/>
      </c>
      <c r="K776" s="938"/>
      <c r="M776" s="942"/>
      <c r="N776" s="943"/>
      <c r="O776" s="943"/>
      <c r="P776" s="943"/>
      <c r="Q776" s="943"/>
    </row>
    <row r="777" spans="1:17">
      <c r="A777" s="1444"/>
      <c r="C777" s="937" t="str">
        <f t="shared" si="24"/>
        <v/>
      </c>
      <c r="D777" s="1447" t="str">
        <f t="shared" si="25"/>
        <v/>
      </c>
      <c r="K777" s="938"/>
      <c r="M777" s="942"/>
      <c r="N777" s="943"/>
      <c r="O777" s="943"/>
      <c r="P777" s="943"/>
      <c r="Q777" s="943"/>
    </row>
    <row r="778" spans="1:17">
      <c r="A778" s="1444"/>
      <c r="C778" s="937" t="str">
        <f t="shared" si="24"/>
        <v/>
      </c>
      <c r="D778" s="1447" t="str">
        <f t="shared" si="25"/>
        <v/>
      </c>
      <c r="K778" s="938"/>
      <c r="M778" s="942"/>
      <c r="N778" s="943"/>
      <c r="O778" s="943"/>
      <c r="P778" s="943"/>
      <c r="Q778" s="943"/>
    </row>
    <row r="779" spans="1:17">
      <c r="A779" s="1444"/>
      <c r="C779" s="937" t="str">
        <f t="shared" si="24"/>
        <v/>
      </c>
      <c r="D779" s="1447" t="str">
        <f t="shared" si="25"/>
        <v/>
      </c>
      <c r="K779" s="938"/>
      <c r="M779" s="942"/>
      <c r="N779" s="943"/>
      <c r="O779" s="943"/>
      <c r="P779" s="943"/>
      <c r="Q779" s="943"/>
    </row>
    <row r="780" spans="1:17">
      <c r="A780" s="1444"/>
      <c r="C780" s="937" t="str">
        <f t="shared" si="24"/>
        <v/>
      </c>
      <c r="D780" s="1447" t="str">
        <f t="shared" si="25"/>
        <v/>
      </c>
      <c r="K780" s="938"/>
      <c r="M780" s="942"/>
      <c r="N780" s="943"/>
      <c r="O780" s="943"/>
      <c r="P780" s="943"/>
      <c r="Q780" s="943"/>
    </row>
    <row r="781" spans="1:17">
      <c r="A781" s="1444"/>
      <c r="C781" s="937" t="str">
        <f t="shared" si="24"/>
        <v/>
      </c>
      <c r="D781" s="1447" t="str">
        <f t="shared" si="25"/>
        <v/>
      </c>
      <c r="K781" s="938"/>
      <c r="M781" s="942"/>
      <c r="N781" s="943"/>
      <c r="O781" s="943"/>
      <c r="P781" s="943"/>
      <c r="Q781" s="943"/>
    </row>
    <row r="782" spans="1:17">
      <c r="A782" s="1444"/>
      <c r="C782" s="937" t="str">
        <f t="shared" si="24"/>
        <v/>
      </c>
      <c r="D782" s="1447" t="str">
        <f t="shared" si="25"/>
        <v/>
      </c>
      <c r="K782" s="938"/>
      <c r="M782" s="942"/>
      <c r="N782" s="943"/>
      <c r="O782" s="943"/>
      <c r="P782" s="943"/>
      <c r="Q782" s="943"/>
    </row>
    <row r="783" spans="1:17">
      <c r="A783" s="1444"/>
      <c r="C783" s="937" t="str">
        <f t="shared" si="24"/>
        <v/>
      </c>
      <c r="D783" s="1447" t="str">
        <f t="shared" si="25"/>
        <v/>
      </c>
      <c r="K783" s="938"/>
      <c r="M783" s="942"/>
      <c r="N783" s="943"/>
      <c r="O783" s="943"/>
      <c r="P783" s="943"/>
      <c r="Q783" s="943"/>
    </row>
    <row r="784" spans="1:17">
      <c r="A784" s="1444"/>
      <c r="C784" s="937" t="str">
        <f t="shared" si="24"/>
        <v/>
      </c>
      <c r="D784" s="1447" t="str">
        <f t="shared" si="25"/>
        <v/>
      </c>
      <c r="K784" s="938"/>
      <c r="M784" s="942"/>
      <c r="N784" s="943"/>
      <c r="O784" s="943"/>
      <c r="P784" s="943"/>
      <c r="Q784" s="943"/>
    </row>
    <row r="785" spans="1:17">
      <c r="A785" s="1444"/>
      <c r="C785" s="937" t="str">
        <f t="shared" si="24"/>
        <v/>
      </c>
      <c r="D785" s="1447" t="str">
        <f t="shared" si="25"/>
        <v/>
      </c>
      <c r="K785" s="938"/>
      <c r="M785" s="942"/>
      <c r="N785" s="943"/>
      <c r="O785" s="943"/>
      <c r="P785" s="943"/>
      <c r="Q785" s="943"/>
    </row>
    <row r="786" spans="1:17">
      <c r="A786" s="1444"/>
      <c r="C786" s="937" t="str">
        <f t="shared" si="24"/>
        <v/>
      </c>
      <c r="D786" s="1447" t="str">
        <f t="shared" si="25"/>
        <v/>
      </c>
      <c r="K786" s="938"/>
      <c r="M786" s="942"/>
      <c r="N786" s="943"/>
      <c r="O786" s="943"/>
      <c r="P786" s="943"/>
      <c r="Q786" s="943"/>
    </row>
    <row r="787" spans="1:17">
      <c r="A787" s="1444"/>
      <c r="C787" s="937" t="str">
        <f t="shared" si="24"/>
        <v/>
      </c>
      <c r="D787" s="1447" t="str">
        <f t="shared" si="25"/>
        <v/>
      </c>
      <c r="K787" s="938"/>
      <c r="M787" s="942"/>
      <c r="N787" s="943"/>
      <c r="O787" s="943"/>
      <c r="P787" s="943"/>
      <c r="Q787" s="943"/>
    </row>
    <row r="788" spans="1:17">
      <c r="A788" s="1444"/>
      <c r="C788" s="937" t="str">
        <f t="shared" si="24"/>
        <v/>
      </c>
      <c r="D788" s="1447" t="str">
        <f t="shared" si="25"/>
        <v/>
      </c>
      <c r="K788" s="938"/>
      <c r="M788" s="942"/>
      <c r="N788" s="943"/>
      <c r="O788" s="943"/>
      <c r="P788" s="943"/>
      <c r="Q788" s="943"/>
    </row>
    <row r="789" spans="1:17">
      <c r="A789" s="1444"/>
      <c r="C789" s="937" t="str">
        <f t="shared" si="24"/>
        <v/>
      </c>
      <c r="D789" s="1447" t="str">
        <f t="shared" si="25"/>
        <v/>
      </c>
      <c r="K789" s="938"/>
      <c r="M789" s="942"/>
      <c r="N789" s="943"/>
      <c r="O789" s="943"/>
      <c r="P789" s="943"/>
      <c r="Q789" s="943"/>
    </row>
    <row r="790" spans="1:17">
      <c r="A790" s="1444"/>
      <c r="C790" s="937" t="str">
        <f t="shared" si="24"/>
        <v/>
      </c>
      <c r="D790" s="1447" t="str">
        <f t="shared" si="25"/>
        <v/>
      </c>
      <c r="K790" s="938"/>
      <c r="M790" s="942"/>
      <c r="N790" s="943"/>
      <c r="O790" s="943"/>
      <c r="P790" s="943"/>
      <c r="Q790" s="943"/>
    </row>
    <row r="791" spans="1:17">
      <c r="A791" s="1444"/>
      <c r="C791" s="937" t="str">
        <f t="shared" si="24"/>
        <v/>
      </c>
      <c r="D791" s="1447" t="str">
        <f t="shared" si="25"/>
        <v/>
      </c>
      <c r="K791" s="938"/>
      <c r="M791" s="942"/>
      <c r="N791" s="943"/>
      <c r="O791" s="943"/>
      <c r="P791" s="943"/>
      <c r="Q791" s="943"/>
    </row>
    <row r="792" spans="1:17">
      <c r="A792" s="1444"/>
      <c r="C792" s="937" t="str">
        <f t="shared" si="24"/>
        <v/>
      </c>
      <c r="D792" s="1447" t="str">
        <f t="shared" si="25"/>
        <v/>
      </c>
      <c r="K792" s="938"/>
      <c r="M792" s="942"/>
      <c r="N792" s="943"/>
      <c r="O792" s="943"/>
      <c r="P792" s="943"/>
      <c r="Q792" s="943"/>
    </row>
    <row r="793" spans="1:17">
      <c r="A793" s="1444"/>
      <c r="C793" s="937" t="str">
        <f t="shared" si="24"/>
        <v/>
      </c>
      <c r="D793" s="1447" t="str">
        <f t="shared" si="25"/>
        <v/>
      </c>
      <c r="K793" s="938"/>
      <c r="M793" s="942"/>
      <c r="N793" s="943"/>
      <c r="O793" s="943"/>
      <c r="P793" s="943"/>
      <c r="Q793" s="943"/>
    </row>
    <row r="794" spans="1:17">
      <c r="A794" s="1444"/>
      <c r="C794" s="937" t="str">
        <f t="shared" si="24"/>
        <v/>
      </c>
      <c r="D794" s="1447" t="str">
        <f t="shared" si="25"/>
        <v/>
      </c>
      <c r="K794" s="938"/>
      <c r="M794" s="942"/>
      <c r="N794" s="943"/>
      <c r="O794" s="943"/>
      <c r="P794" s="943"/>
      <c r="Q794" s="943"/>
    </row>
    <row r="795" spans="1:17">
      <c r="A795" s="1444"/>
      <c r="C795" s="937" t="str">
        <f t="shared" si="24"/>
        <v/>
      </c>
      <c r="D795" s="1447" t="str">
        <f t="shared" si="25"/>
        <v/>
      </c>
      <c r="K795" s="938"/>
      <c r="M795" s="942"/>
      <c r="N795" s="943"/>
      <c r="O795" s="943"/>
      <c r="P795" s="943"/>
      <c r="Q795" s="943"/>
    </row>
    <row r="796" spans="1:17">
      <c r="A796" s="1444"/>
      <c r="C796" s="937" t="str">
        <f t="shared" si="24"/>
        <v/>
      </c>
      <c r="D796" s="1447" t="str">
        <f t="shared" si="25"/>
        <v/>
      </c>
      <c r="K796" s="938"/>
      <c r="M796" s="942"/>
      <c r="N796" s="943"/>
      <c r="O796" s="943"/>
      <c r="P796" s="943"/>
      <c r="Q796" s="943"/>
    </row>
    <row r="797" spans="1:17">
      <c r="A797" s="1444"/>
      <c r="C797" s="937" t="str">
        <f t="shared" si="24"/>
        <v/>
      </c>
      <c r="D797" s="1447" t="str">
        <f t="shared" si="25"/>
        <v/>
      </c>
      <c r="K797" s="938"/>
      <c r="M797" s="942"/>
      <c r="N797" s="943"/>
      <c r="O797" s="943"/>
      <c r="P797" s="943"/>
      <c r="Q797" s="943"/>
    </row>
    <row r="798" spans="1:17">
      <c r="A798" s="1444"/>
      <c r="C798" s="937" t="str">
        <f t="shared" si="24"/>
        <v/>
      </c>
      <c r="D798" s="1447" t="str">
        <f t="shared" si="25"/>
        <v/>
      </c>
      <c r="K798" s="938"/>
      <c r="M798" s="942"/>
      <c r="N798" s="943"/>
      <c r="O798" s="943"/>
      <c r="P798" s="943"/>
      <c r="Q798" s="943"/>
    </row>
    <row r="799" spans="1:17">
      <c r="A799" s="1444"/>
      <c r="C799" s="937" t="str">
        <f t="shared" si="24"/>
        <v/>
      </c>
      <c r="D799" s="1447" t="str">
        <f t="shared" si="25"/>
        <v/>
      </c>
      <c r="K799" s="938"/>
      <c r="M799" s="942"/>
      <c r="N799" s="943"/>
      <c r="O799" s="943"/>
      <c r="P799" s="943"/>
      <c r="Q799" s="943"/>
    </row>
    <row r="800" spans="1:17">
      <c r="A800" s="1444"/>
      <c r="C800" s="937" t="str">
        <f t="shared" si="24"/>
        <v/>
      </c>
      <c r="D800" s="1447" t="str">
        <f t="shared" si="25"/>
        <v/>
      </c>
      <c r="K800" s="938"/>
      <c r="M800" s="942"/>
      <c r="N800" s="943"/>
      <c r="O800" s="943"/>
      <c r="P800" s="943"/>
      <c r="Q800" s="943"/>
    </row>
    <row r="801" spans="1:17">
      <c r="A801" s="1444"/>
      <c r="C801" s="937" t="str">
        <f t="shared" si="24"/>
        <v/>
      </c>
      <c r="D801" s="1447" t="str">
        <f t="shared" si="25"/>
        <v/>
      </c>
      <c r="K801" s="938"/>
      <c r="M801" s="942"/>
      <c r="N801" s="943"/>
      <c r="O801" s="943"/>
      <c r="P801" s="943"/>
      <c r="Q801" s="943"/>
    </row>
    <row r="802" spans="1:17">
      <c r="A802" s="1444"/>
      <c r="C802" s="937" t="str">
        <f t="shared" si="24"/>
        <v/>
      </c>
      <c r="D802" s="1447" t="str">
        <f t="shared" si="25"/>
        <v/>
      </c>
      <c r="K802" s="938"/>
      <c r="M802" s="942"/>
      <c r="N802" s="943"/>
      <c r="O802" s="943"/>
      <c r="P802" s="943"/>
      <c r="Q802" s="943"/>
    </row>
    <row r="803" spans="1:17">
      <c r="A803" s="1444"/>
      <c r="C803" s="937" t="str">
        <f t="shared" si="24"/>
        <v/>
      </c>
      <c r="D803" s="1447" t="str">
        <f t="shared" si="25"/>
        <v/>
      </c>
      <c r="K803" s="938"/>
      <c r="M803" s="942"/>
      <c r="N803" s="943"/>
      <c r="O803" s="943"/>
      <c r="P803" s="943"/>
      <c r="Q803" s="943"/>
    </row>
    <row r="804" spans="1:17">
      <c r="A804" s="1444"/>
      <c r="C804" s="937" t="str">
        <f t="shared" si="24"/>
        <v/>
      </c>
      <c r="D804" s="1447" t="str">
        <f t="shared" si="25"/>
        <v/>
      </c>
      <c r="K804" s="938"/>
      <c r="M804" s="942"/>
      <c r="N804" s="943"/>
      <c r="O804" s="943"/>
      <c r="P804" s="943"/>
      <c r="Q804" s="943"/>
    </row>
    <row r="805" spans="1:17">
      <c r="A805" s="1444"/>
      <c r="C805" s="937" t="str">
        <f t="shared" si="24"/>
        <v/>
      </c>
      <c r="D805" s="1447" t="str">
        <f t="shared" si="25"/>
        <v/>
      </c>
      <c r="K805" s="938"/>
      <c r="M805" s="942"/>
      <c r="N805" s="943"/>
      <c r="O805" s="943"/>
      <c r="P805" s="943"/>
      <c r="Q805" s="943"/>
    </row>
    <row r="806" spans="1:17">
      <c r="A806" s="1444"/>
      <c r="C806" s="937" t="str">
        <f t="shared" si="24"/>
        <v/>
      </c>
      <c r="D806" s="1447" t="str">
        <f t="shared" si="25"/>
        <v/>
      </c>
      <c r="K806" s="938"/>
      <c r="M806" s="942"/>
      <c r="N806" s="943"/>
      <c r="O806" s="943"/>
      <c r="P806" s="943"/>
      <c r="Q806" s="943"/>
    </row>
    <row r="807" spans="1:17">
      <c r="A807" s="1444"/>
      <c r="C807" s="937" t="str">
        <f t="shared" si="24"/>
        <v/>
      </c>
      <c r="D807" s="1447" t="str">
        <f t="shared" si="25"/>
        <v/>
      </c>
      <c r="K807" s="938"/>
      <c r="M807" s="942"/>
      <c r="N807" s="943"/>
      <c r="O807" s="943"/>
      <c r="P807" s="943"/>
      <c r="Q807" s="943"/>
    </row>
    <row r="808" spans="1:17">
      <c r="A808" s="1444"/>
      <c r="C808" s="937" t="str">
        <f t="shared" si="24"/>
        <v/>
      </c>
      <c r="D808" s="1447" t="str">
        <f t="shared" si="25"/>
        <v/>
      </c>
      <c r="K808" s="938"/>
      <c r="M808" s="942"/>
      <c r="N808" s="943"/>
      <c r="O808" s="943"/>
      <c r="P808" s="943"/>
      <c r="Q808" s="943"/>
    </row>
    <row r="809" spans="1:17">
      <c r="A809" s="1444"/>
      <c r="C809" s="937" t="str">
        <f t="shared" si="24"/>
        <v/>
      </c>
      <c r="D809" s="1447" t="str">
        <f t="shared" si="25"/>
        <v/>
      </c>
      <c r="K809" s="938"/>
      <c r="M809" s="942"/>
      <c r="N809" s="943"/>
      <c r="O809" s="943"/>
      <c r="P809" s="943"/>
      <c r="Q809" s="943"/>
    </row>
    <row r="810" spans="1:17">
      <c r="A810" s="1444"/>
      <c r="C810" s="937" t="str">
        <f t="shared" si="24"/>
        <v/>
      </c>
      <c r="D810" s="1447" t="str">
        <f t="shared" si="25"/>
        <v/>
      </c>
      <c r="K810" s="938"/>
      <c r="M810" s="942"/>
      <c r="N810" s="943"/>
      <c r="O810" s="943"/>
      <c r="P810" s="943"/>
      <c r="Q810" s="943"/>
    </row>
    <row r="811" spans="1:17">
      <c r="A811" s="1444"/>
      <c r="C811" s="937" t="str">
        <f t="shared" si="24"/>
        <v/>
      </c>
      <c r="D811" s="1447" t="str">
        <f t="shared" si="25"/>
        <v/>
      </c>
      <c r="K811" s="938"/>
      <c r="M811" s="942"/>
      <c r="N811" s="943"/>
      <c r="O811" s="943"/>
      <c r="P811" s="943"/>
      <c r="Q811" s="943"/>
    </row>
    <row r="812" spans="1:17">
      <c r="A812" s="1444"/>
      <c r="C812" s="937" t="str">
        <f t="shared" si="24"/>
        <v/>
      </c>
      <c r="D812" s="1447" t="str">
        <f t="shared" si="25"/>
        <v/>
      </c>
      <c r="K812" s="938"/>
      <c r="M812" s="942"/>
      <c r="N812" s="943"/>
      <c r="O812" s="943"/>
      <c r="P812" s="943"/>
      <c r="Q812" s="943"/>
    </row>
    <row r="813" spans="1:17">
      <c r="A813" s="1444"/>
      <c r="C813" s="937" t="str">
        <f t="shared" si="24"/>
        <v/>
      </c>
      <c r="D813" s="1447" t="str">
        <f t="shared" si="25"/>
        <v/>
      </c>
      <c r="K813" s="938"/>
      <c r="M813" s="942"/>
      <c r="N813" s="943"/>
      <c r="O813" s="943"/>
      <c r="P813" s="943"/>
      <c r="Q813" s="943"/>
    </row>
    <row r="814" spans="1:17">
      <c r="A814" s="1444"/>
      <c r="C814" s="937" t="str">
        <f t="shared" si="24"/>
        <v/>
      </c>
      <c r="D814" s="1447" t="str">
        <f t="shared" si="25"/>
        <v/>
      </c>
      <c r="K814" s="938"/>
      <c r="M814" s="942"/>
      <c r="N814" s="943"/>
      <c r="O814" s="943"/>
      <c r="P814" s="943"/>
      <c r="Q814" s="943"/>
    </row>
    <row r="815" spans="1:17">
      <c r="A815" s="1444"/>
      <c r="C815" s="937" t="str">
        <f t="shared" si="24"/>
        <v/>
      </c>
      <c r="D815" s="1447" t="str">
        <f t="shared" si="25"/>
        <v/>
      </c>
      <c r="K815" s="938"/>
      <c r="M815" s="942"/>
      <c r="N815" s="943"/>
      <c r="O815" s="943"/>
      <c r="P815" s="943"/>
      <c r="Q815" s="943"/>
    </row>
    <row r="816" spans="1:17">
      <c r="A816" s="1444"/>
      <c r="C816" s="937" t="str">
        <f t="shared" si="24"/>
        <v/>
      </c>
      <c r="D816" s="1447" t="str">
        <f t="shared" si="25"/>
        <v/>
      </c>
      <c r="K816" s="938"/>
      <c r="M816" s="942"/>
      <c r="N816" s="943"/>
      <c r="O816" s="943"/>
      <c r="P816" s="943"/>
      <c r="Q816" s="943"/>
    </row>
    <row r="817" spans="1:17">
      <c r="A817" s="1444"/>
      <c r="C817" s="937" t="str">
        <f t="shared" si="24"/>
        <v/>
      </c>
      <c r="D817" s="1447" t="str">
        <f t="shared" si="25"/>
        <v/>
      </c>
      <c r="K817" s="938"/>
      <c r="M817" s="942"/>
      <c r="N817" s="943"/>
      <c r="O817" s="943"/>
      <c r="P817" s="943"/>
      <c r="Q817" s="943"/>
    </row>
    <row r="818" spans="1:17">
      <c r="A818" s="1444"/>
      <c r="C818" s="937" t="str">
        <f t="shared" si="24"/>
        <v/>
      </c>
      <c r="D818" s="1447" t="str">
        <f t="shared" si="25"/>
        <v/>
      </c>
      <c r="K818" s="938"/>
      <c r="M818" s="942"/>
      <c r="N818" s="943"/>
      <c r="O818" s="943"/>
      <c r="P818" s="943"/>
      <c r="Q818" s="943"/>
    </row>
    <row r="819" spans="1:17">
      <c r="A819" s="1444"/>
      <c r="C819" s="937" t="str">
        <f t="shared" si="24"/>
        <v/>
      </c>
      <c r="D819" s="1447" t="str">
        <f t="shared" si="25"/>
        <v/>
      </c>
      <c r="K819" s="938"/>
      <c r="M819" s="942"/>
      <c r="N819" s="943"/>
      <c r="O819" s="943"/>
      <c r="P819" s="943"/>
      <c r="Q819" s="943"/>
    </row>
    <row r="820" spans="1:17">
      <c r="A820" s="1444"/>
      <c r="C820" s="937" t="str">
        <f t="shared" si="24"/>
        <v/>
      </c>
      <c r="D820" s="1447" t="str">
        <f t="shared" si="25"/>
        <v/>
      </c>
      <c r="K820" s="938"/>
      <c r="M820" s="942"/>
      <c r="N820" s="943"/>
      <c r="O820" s="943"/>
      <c r="P820" s="943"/>
      <c r="Q820" s="943"/>
    </row>
    <row r="821" spans="1:17">
      <c r="A821" s="1444"/>
      <c r="C821" s="937" t="str">
        <f t="shared" si="24"/>
        <v/>
      </c>
      <c r="D821" s="1447" t="str">
        <f t="shared" si="25"/>
        <v/>
      </c>
      <c r="K821" s="938"/>
      <c r="M821" s="942"/>
      <c r="N821" s="943"/>
      <c r="O821" s="943"/>
      <c r="P821" s="943"/>
      <c r="Q821" s="943"/>
    </row>
    <row r="822" spans="1:17">
      <c r="A822" s="1444"/>
      <c r="C822" s="937" t="str">
        <f t="shared" si="24"/>
        <v/>
      </c>
      <c r="D822" s="1447" t="str">
        <f t="shared" si="25"/>
        <v/>
      </c>
      <c r="K822" s="938"/>
      <c r="M822" s="942"/>
      <c r="N822" s="943"/>
      <c r="O822" s="943"/>
      <c r="P822" s="943"/>
      <c r="Q822" s="943"/>
    </row>
    <row r="823" spans="1:17">
      <c r="A823" s="1444"/>
      <c r="C823" s="937" t="str">
        <f t="shared" si="24"/>
        <v/>
      </c>
      <c r="D823" s="1447" t="str">
        <f t="shared" si="25"/>
        <v/>
      </c>
      <c r="K823" s="938"/>
      <c r="M823" s="942"/>
      <c r="N823" s="943"/>
      <c r="O823" s="943"/>
      <c r="P823" s="943"/>
      <c r="Q823" s="943"/>
    </row>
    <row r="824" spans="1:17">
      <c r="A824" s="1444"/>
      <c r="C824" s="937" t="str">
        <f t="shared" si="24"/>
        <v/>
      </c>
      <c r="D824" s="1447" t="str">
        <f t="shared" si="25"/>
        <v/>
      </c>
      <c r="K824" s="938"/>
      <c r="M824" s="942"/>
      <c r="N824" s="943"/>
      <c r="O824" s="943"/>
      <c r="P824" s="943"/>
      <c r="Q824" s="943"/>
    </row>
    <row r="825" spans="1:17">
      <c r="A825" s="1444"/>
      <c r="C825" s="937" t="str">
        <f t="shared" si="24"/>
        <v/>
      </c>
      <c r="D825" s="1447" t="str">
        <f t="shared" si="25"/>
        <v/>
      </c>
      <c r="K825" s="938"/>
      <c r="M825" s="942"/>
      <c r="N825" s="943"/>
      <c r="O825" s="943"/>
      <c r="P825" s="943"/>
      <c r="Q825" s="943"/>
    </row>
    <row r="826" spans="1:17">
      <c r="A826" s="1444"/>
      <c r="C826" s="937" t="str">
        <f t="shared" si="24"/>
        <v/>
      </c>
      <c r="D826" s="1447" t="str">
        <f t="shared" si="25"/>
        <v/>
      </c>
      <c r="K826" s="938"/>
      <c r="M826" s="942"/>
      <c r="N826" s="943"/>
      <c r="O826" s="943"/>
      <c r="P826" s="943"/>
      <c r="Q826" s="943"/>
    </row>
    <row r="827" spans="1:17">
      <c r="A827" s="1444"/>
      <c r="C827" s="937" t="str">
        <f t="shared" si="24"/>
        <v/>
      </c>
      <c r="D827" s="1447" t="str">
        <f t="shared" si="25"/>
        <v/>
      </c>
      <c r="K827" s="938"/>
      <c r="M827" s="942"/>
      <c r="N827" s="943"/>
      <c r="O827" s="943"/>
      <c r="P827" s="943"/>
      <c r="Q827" s="943"/>
    </row>
    <row r="828" spans="1:17">
      <c r="A828" s="1444"/>
      <c r="C828" s="937" t="str">
        <f t="shared" si="24"/>
        <v/>
      </c>
      <c r="D828" s="1447" t="str">
        <f t="shared" si="25"/>
        <v/>
      </c>
      <c r="K828" s="938"/>
      <c r="M828" s="942"/>
      <c r="N828" s="943"/>
      <c r="O828" s="943"/>
      <c r="P828" s="943"/>
      <c r="Q828" s="943"/>
    </row>
    <row r="829" spans="1:17">
      <c r="A829" s="1444"/>
      <c r="C829" s="937" t="str">
        <f t="shared" si="24"/>
        <v/>
      </c>
      <c r="D829" s="1447" t="str">
        <f t="shared" si="25"/>
        <v/>
      </c>
      <c r="K829" s="938"/>
      <c r="M829" s="942"/>
      <c r="N829" s="943"/>
      <c r="O829" s="943"/>
      <c r="P829" s="943"/>
      <c r="Q829" s="943"/>
    </row>
    <row r="830" spans="1:17">
      <c r="A830" s="1444"/>
      <c r="C830" s="937" t="str">
        <f t="shared" si="24"/>
        <v/>
      </c>
      <c r="D830" s="1447" t="str">
        <f t="shared" si="25"/>
        <v/>
      </c>
      <c r="K830" s="938"/>
      <c r="M830" s="942"/>
      <c r="N830" s="943"/>
      <c r="O830" s="943"/>
      <c r="P830" s="943"/>
      <c r="Q830" s="943"/>
    </row>
    <row r="831" spans="1:17">
      <c r="A831" s="1444"/>
      <c r="C831" s="937" t="str">
        <f t="shared" si="24"/>
        <v/>
      </c>
      <c r="D831" s="1447" t="str">
        <f t="shared" si="25"/>
        <v/>
      </c>
      <c r="K831" s="938"/>
      <c r="M831" s="942"/>
      <c r="N831" s="943"/>
      <c r="O831" s="943"/>
      <c r="P831" s="943"/>
      <c r="Q831" s="943"/>
    </row>
    <row r="832" spans="1:17">
      <c r="A832" s="1444"/>
      <c r="C832" s="937" t="str">
        <f t="shared" si="24"/>
        <v/>
      </c>
      <c r="D832" s="1447" t="str">
        <f t="shared" si="25"/>
        <v/>
      </c>
      <c r="K832" s="938"/>
      <c r="M832" s="942"/>
      <c r="N832" s="943"/>
      <c r="O832" s="943"/>
      <c r="P832" s="943"/>
      <c r="Q832" s="943"/>
    </row>
    <row r="833" spans="1:17">
      <c r="A833" s="1444"/>
      <c r="C833" s="937" t="str">
        <f t="shared" si="24"/>
        <v/>
      </c>
      <c r="D833" s="1447" t="str">
        <f t="shared" si="25"/>
        <v/>
      </c>
      <c r="K833" s="938"/>
      <c r="M833" s="942"/>
      <c r="N833" s="943"/>
      <c r="O833" s="943"/>
      <c r="P833" s="943"/>
      <c r="Q833" s="943"/>
    </row>
    <row r="834" spans="1:17">
      <c r="A834" s="1444"/>
      <c r="C834" s="937" t="str">
        <f t="shared" ref="C834:C897" si="26">IFERROR(1440/D834, "")</f>
        <v/>
      </c>
      <c r="D834" s="1447" t="str">
        <f t="shared" ref="D834:D897" si="27">IF(B834="", "", IF(B834&lt;1, B834*1440, B834))</f>
        <v/>
      </c>
      <c r="K834" s="938"/>
      <c r="M834" s="942"/>
      <c r="N834" s="943"/>
      <c r="O834" s="943"/>
      <c r="P834" s="943"/>
      <c r="Q834" s="943"/>
    </row>
    <row r="835" spans="1:17">
      <c r="A835" s="1444"/>
      <c r="C835" s="937" t="str">
        <f t="shared" si="26"/>
        <v/>
      </c>
      <c r="D835" s="1447" t="str">
        <f t="shared" si="27"/>
        <v/>
      </c>
      <c r="K835" s="938"/>
      <c r="M835" s="942"/>
      <c r="N835" s="943"/>
      <c r="O835" s="943"/>
      <c r="P835" s="943"/>
      <c r="Q835" s="943"/>
    </row>
    <row r="836" spans="1:17">
      <c r="A836" s="1444"/>
      <c r="C836" s="937" t="str">
        <f t="shared" si="26"/>
        <v/>
      </c>
      <c r="D836" s="1447" t="str">
        <f t="shared" si="27"/>
        <v/>
      </c>
      <c r="K836" s="938"/>
      <c r="M836" s="942"/>
      <c r="N836" s="943"/>
      <c r="O836" s="943"/>
      <c r="P836" s="943"/>
      <c r="Q836" s="943"/>
    </row>
    <row r="837" spans="1:17">
      <c r="A837" s="1444"/>
      <c r="C837" s="937" t="str">
        <f t="shared" si="26"/>
        <v/>
      </c>
      <c r="D837" s="1447" t="str">
        <f t="shared" si="27"/>
        <v/>
      </c>
      <c r="K837" s="938"/>
      <c r="M837" s="942"/>
      <c r="N837" s="943"/>
      <c r="O837" s="943"/>
      <c r="P837" s="943"/>
      <c r="Q837" s="943"/>
    </row>
    <row r="838" spans="1:17">
      <c r="A838" s="1444"/>
      <c r="C838" s="937" t="str">
        <f t="shared" si="26"/>
        <v/>
      </c>
      <c r="D838" s="1447" t="str">
        <f t="shared" si="27"/>
        <v/>
      </c>
      <c r="K838" s="938"/>
      <c r="M838" s="942"/>
      <c r="N838" s="943"/>
      <c r="O838" s="943"/>
      <c r="P838" s="943"/>
      <c r="Q838" s="943"/>
    </row>
    <row r="839" spans="1:17">
      <c r="A839" s="1444"/>
      <c r="C839" s="937" t="str">
        <f t="shared" si="26"/>
        <v/>
      </c>
      <c r="D839" s="1447" t="str">
        <f t="shared" si="27"/>
        <v/>
      </c>
      <c r="K839" s="938"/>
      <c r="M839" s="942"/>
      <c r="N839" s="943"/>
      <c r="O839" s="943"/>
      <c r="P839" s="943"/>
      <c r="Q839" s="943"/>
    </row>
    <row r="840" spans="1:17">
      <c r="A840" s="1444"/>
      <c r="C840" s="937" t="str">
        <f t="shared" si="26"/>
        <v/>
      </c>
      <c r="D840" s="1447" t="str">
        <f t="shared" si="27"/>
        <v/>
      </c>
      <c r="K840" s="938"/>
      <c r="M840" s="942"/>
      <c r="N840" s="943"/>
      <c r="O840" s="943"/>
      <c r="P840" s="943"/>
      <c r="Q840" s="943"/>
    </row>
    <row r="841" spans="1:17">
      <c r="A841" s="1444"/>
      <c r="C841" s="937" t="str">
        <f t="shared" si="26"/>
        <v/>
      </c>
      <c r="D841" s="1447" t="str">
        <f t="shared" si="27"/>
        <v/>
      </c>
      <c r="K841" s="938"/>
      <c r="M841" s="942"/>
      <c r="N841" s="943"/>
      <c r="O841" s="943"/>
      <c r="P841" s="943"/>
      <c r="Q841" s="943"/>
    </row>
    <row r="842" spans="1:17">
      <c r="A842" s="1444"/>
      <c r="C842" s="937" t="str">
        <f t="shared" si="26"/>
        <v/>
      </c>
      <c r="D842" s="1447" t="str">
        <f t="shared" si="27"/>
        <v/>
      </c>
      <c r="K842" s="938"/>
      <c r="M842" s="942"/>
      <c r="N842" s="943"/>
      <c r="O842" s="943"/>
      <c r="P842" s="943"/>
      <c r="Q842" s="943"/>
    </row>
    <row r="843" spans="1:17">
      <c r="A843" s="1444"/>
      <c r="C843" s="937" t="str">
        <f t="shared" si="26"/>
        <v/>
      </c>
      <c r="D843" s="1447" t="str">
        <f t="shared" si="27"/>
        <v/>
      </c>
      <c r="K843" s="938"/>
      <c r="M843" s="942"/>
      <c r="N843" s="943"/>
      <c r="O843" s="943"/>
      <c r="P843" s="943"/>
      <c r="Q843" s="943"/>
    </row>
    <row r="844" spans="1:17">
      <c r="A844" s="1444"/>
      <c r="C844" s="937" t="str">
        <f t="shared" si="26"/>
        <v/>
      </c>
      <c r="D844" s="1447" t="str">
        <f t="shared" si="27"/>
        <v/>
      </c>
      <c r="K844" s="938"/>
      <c r="M844" s="942"/>
      <c r="N844" s="943"/>
      <c r="O844" s="943"/>
      <c r="P844" s="943"/>
      <c r="Q844" s="943"/>
    </row>
    <row r="845" spans="1:17">
      <c r="A845" s="1444"/>
      <c r="C845" s="937" t="str">
        <f t="shared" si="26"/>
        <v/>
      </c>
      <c r="D845" s="1447" t="str">
        <f t="shared" si="27"/>
        <v/>
      </c>
      <c r="K845" s="938"/>
      <c r="M845" s="942"/>
      <c r="N845" s="943"/>
      <c r="O845" s="943"/>
      <c r="P845" s="943"/>
      <c r="Q845" s="943"/>
    </row>
    <row r="846" spans="1:17">
      <c r="A846" s="1444"/>
      <c r="C846" s="937" t="str">
        <f t="shared" si="26"/>
        <v/>
      </c>
      <c r="D846" s="1447" t="str">
        <f t="shared" si="27"/>
        <v/>
      </c>
      <c r="K846" s="938"/>
      <c r="M846" s="942"/>
      <c r="N846" s="943"/>
      <c r="O846" s="943"/>
      <c r="P846" s="943"/>
      <c r="Q846" s="943"/>
    </row>
    <row r="847" spans="1:17">
      <c r="A847" s="1444"/>
      <c r="C847" s="937" t="str">
        <f t="shared" si="26"/>
        <v/>
      </c>
      <c r="D847" s="1447" t="str">
        <f t="shared" si="27"/>
        <v/>
      </c>
      <c r="K847" s="938"/>
      <c r="M847" s="942"/>
      <c r="N847" s="943"/>
      <c r="O847" s="943"/>
      <c r="P847" s="943"/>
      <c r="Q847" s="943"/>
    </row>
    <row r="848" spans="1:17">
      <c r="A848" s="1444"/>
      <c r="C848" s="937" t="str">
        <f t="shared" si="26"/>
        <v/>
      </c>
      <c r="D848" s="1447" t="str">
        <f t="shared" si="27"/>
        <v/>
      </c>
      <c r="K848" s="938"/>
      <c r="M848" s="942"/>
      <c r="N848" s="943"/>
      <c r="O848" s="943"/>
      <c r="P848" s="943"/>
      <c r="Q848" s="943"/>
    </row>
    <row r="849" spans="1:17">
      <c r="A849" s="1444"/>
      <c r="C849" s="937" t="str">
        <f t="shared" si="26"/>
        <v/>
      </c>
      <c r="D849" s="1447" t="str">
        <f t="shared" si="27"/>
        <v/>
      </c>
      <c r="K849" s="938"/>
      <c r="M849" s="942"/>
      <c r="N849" s="943"/>
      <c r="O849" s="943"/>
      <c r="P849" s="943"/>
      <c r="Q849" s="943"/>
    </row>
    <row r="850" spans="1:17">
      <c r="A850" s="1444"/>
      <c r="C850" s="937" t="str">
        <f t="shared" si="26"/>
        <v/>
      </c>
      <c r="D850" s="1447" t="str">
        <f t="shared" si="27"/>
        <v/>
      </c>
      <c r="K850" s="938"/>
      <c r="M850" s="942"/>
      <c r="N850" s="943"/>
      <c r="O850" s="943"/>
      <c r="P850" s="943"/>
      <c r="Q850" s="943"/>
    </row>
    <row r="851" spans="1:17">
      <c r="A851" s="1444"/>
      <c r="C851" s="937" t="str">
        <f t="shared" si="26"/>
        <v/>
      </c>
      <c r="D851" s="1447" t="str">
        <f t="shared" si="27"/>
        <v/>
      </c>
      <c r="K851" s="938"/>
      <c r="M851" s="942"/>
      <c r="N851" s="943"/>
      <c r="O851" s="943"/>
      <c r="P851" s="943"/>
      <c r="Q851" s="943"/>
    </row>
    <row r="852" spans="1:17">
      <c r="A852" s="1444"/>
      <c r="C852" s="937" t="str">
        <f t="shared" si="26"/>
        <v/>
      </c>
      <c r="D852" s="1447" t="str">
        <f t="shared" si="27"/>
        <v/>
      </c>
      <c r="K852" s="938"/>
      <c r="M852" s="942"/>
      <c r="N852" s="943"/>
      <c r="O852" s="943"/>
      <c r="P852" s="943"/>
      <c r="Q852" s="943"/>
    </row>
    <row r="853" spans="1:17">
      <c r="A853" s="1444"/>
      <c r="C853" s="937" t="str">
        <f t="shared" si="26"/>
        <v/>
      </c>
      <c r="D853" s="1447" t="str">
        <f t="shared" si="27"/>
        <v/>
      </c>
      <c r="K853" s="938"/>
      <c r="M853" s="942"/>
      <c r="N853" s="943"/>
      <c r="O853" s="943"/>
      <c r="P853" s="943"/>
      <c r="Q853" s="943"/>
    </row>
    <row r="854" spans="1:17">
      <c r="A854" s="1444"/>
      <c r="C854" s="937" t="str">
        <f t="shared" si="26"/>
        <v/>
      </c>
      <c r="D854" s="1447" t="str">
        <f t="shared" si="27"/>
        <v/>
      </c>
      <c r="K854" s="938"/>
      <c r="M854" s="942"/>
      <c r="N854" s="943"/>
      <c r="O854" s="943"/>
      <c r="P854" s="943"/>
      <c r="Q854" s="943"/>
    </row>
    <row r="855" spans="1:17">
      <c r="A855" s="1444"/>
      <c r="C855" s="937" t="str">
        <f t="shared" si="26"/>
        <v/>
      </c>
      <c r="D855" s="1447" t="str">
        <f t="shared" si="27"/>
        <v/>
      </c>
      <c r="K855" s="938"/>
      <c r="M855" s="942"/>
      <c r="N855" s="943"/>
      <c r="O855" s="943"/>
      <c r="P855" s="943"/>
      <c r="Q855" s="943"/>
    </row>
    <row r="856" spans="1:17">
      <c r="A856" s="1444"/>
      <c r="C856" s="937" t="str">
        <f t="shared" si="26"/>
        <v/>
      </c>
      <c r="D856" s="1447" t="str">
        <f t="shared" si="27"/>
        <v/>
      </c>
      <c r="K856" s="938"/>
      <c r="M856" s="942"/>
      <c r="N856" s="943"/>
      <c r="O856" s="943"/>
      <c r="P856" s="943"/>
      <c r="Q856" s="943"/>
    </row>
    <row r="857" spans="1:17">
      <c r="A857" s="1444"/>
      <c r="C857" s="937" t="str">
        <f t="shared" si="26"/>
        <v/>
      </c>
      <c r="D857" s="1447" t="str">
        <f t="shared" si="27"/>
        <v/>
      </c>
      <c r="K857" s="938"/>
      <c r="M857" s="942"/>
      <c r="N857" s="943"/>
      <c r="O857" s="943"/>
      <c r="P857" s="943"/>
      <c r="Q857" s="943"/>
    </row>
    <row r="858" spans="1:17">
      <c r="A858" s="1444"/>
      <c r="C858" s="937" t="str">
        <f t="shared" si="26"/>
        <v/>
      </c>
      <c r="D858" s="1447" t="str">
        <f t="shared" si="27"/>
        <v/>
      </c>
      <c r="K858" s="938"/>
      <c r="M858" s="942"/>
      <c r="N858" s="943"/>
      <c r="O858" s="943"/>
      <c r="P858" s="943"/>
      <c r="Q858" s="943"/>
    </row>
    <row r="859" spans="1:17">
      <c r="A859" s="1444"/>
      <c r="C859" s="937" t="str">
        <f t="shared" si="26"/>
        <v/>
      </c>
      <c r="D859" s="1447" t="str">
        <f t="shared" si="27"/>
        <v/>
      </c>
      <c r="K859" s="938"/>
      <c r="M859" s="942"/>
      <c r="N859" s="943"/>
      <c r="O859" s="943"/>
      <c r="P859" s="943"/>
      <c r="Q859" s="943"/>
    </row>
    <row r="860" spans="1:17">
      <c r="A860" s="1444"/>
      <c r="C860" s="937" t="str">
        <f t="shared" si="26"/>
        <v/>
      </c>
      <c r="D860" s="1447" t="str">
        <f t="shared" si="27"/>
        <v/>
      </c>
      <c r="K860" s="938"/>
      <c r="M860" s="942"/>
      <c r="N860" s="943"/>
      <c r="O860" s="943"/>
      <c r="P860" s="943"/>
      <c r="Q860" s="943"/>
    </row>
    <row r="861" spans="1:17">
      <c r="A861" s="1444"/>
      <c r="C861" s="937" t="str">
        <f t="shared" si="26"/>
        <v/>
      </c>
      <c r="D861" s="1447" t="str">
        <f t="shared" si="27"/>
        <v/>
      </c>
      <c r="K861" s="938"/>
      <c r="M861" s="942"/>
      <c r="N861" s="943"/>
      <c r="O861" s="943"/>
      <c r="P861" s="943"/>
      <c r="Q861" s="943"/>
    </row>
    <row r="862" spans="1:17">
      <c r="A862" s="1444"/>
      <c r="C862" s="937" t="str">
        <f t="shared" si="26"/>
        <v/>
      </c>
      <c r="D862" s="1447" t="str">
        <f t="shared" si="27"/>
        <v/>
      </c>
      <c r="K862" s="938"/>
      <c r="M862" s="942"/>
      <c r="N862" s="943"/>
      <c r="O862" s="943"/>
      <c r="P862" s="943"/>
      <c r="Q862" s="943"/>
    </row>
    <row r="863" spans="1:17">
      <c r="A863" s="1444"/>
      <c r="C863" s="937" t="str">
        <f t="shared" si="26"/>
        <v/>
      </c>
      <c r="D863" s="1447" t="str">
        <f t="shared" si="27"/>
        <v/>
      </c>
      <c r="K863" s="938"/>
      <c r="M863" s="942"/>
      <c r="N863" s="943"/>
      <c r="O863" s="943"/>
      <c r="P863" s="943"/>
      <c r="Q863" s="943"/>
    </row>
    <row r="864" spans="1:17">
      <c r="A864" s="1444"/>
      <c r="C864" s="937" t="str">
        <f t="shared" si="26"/>
        <v/>
      </c>
      <c r="D864" s="1447" t="str">
        <f t="shared" si="27"/>
        <v/>
      </c>
      <c r="K864" s="938"/>
      <c r="M864" s="942"/>
      <c r="N864" s="943"/>
      <c r="O864" s="943"/>
      <c r="P864" s="943"/>
      <c r="Q864" s="943"/>
    </row>
    <row r="865" spans="1:17">
      <c r="A865" s="1444"/>
      <c r="C865" s="937" t="str">
        <f t="shared" si="26"/>
        <v/>
      </c>
      <c r="D865" s="1447" t="str">
        <f t="shared" si="27"/>
        <v/>
      </c>
      <c r="K865" s="938"/>
      <c r="M865" s="942"/>
      <c r="N865" s="943"/>
      <c r="O865" s="943"/>
      <c r="P865" s="943"/>
      <c r="Q865" s="943"/>
    </row>
    <row r="866" spans="1:17">
      <c r="A866" s="1444"/>
      <c r="C866" s="937" t="str">
        <f t="shared" si="26"/>
        <v/>
      </c>
      <c r="D866" s="1447" t="str">
        <f t="shared" si="27"/>
        <v/>
      </c>
      <c r="K866" s="938"/>
      <c r="M866" s="942"/>
      <c r="N866" s="943"/>
      <c r="O866" s="943"/>
      <c r="P866" s="943"/>
      <c r="Q866" s="943"/>
    </row>
    <row r="867" spans="1:17">
      <c r="A867" s="1444"/>
      <c r="C867" s="937" t="str">
        <f t="shared" si="26"/>
        <v/>
      </c>
      <c r="D867" s="1447" t="str">
        <f t="shared" si="27"/>
        <v/>
      </c>
      <c r="K867" s="938"/>
      <c r="M867" s="942"/>
      <c r="N867" s="943"/>
      <c r="O867" s="943"/>
      <c r="P867" s="943"/>
      <c r="Q867" s="943"/>
    </row>
    <row r="868" spans="1:17">
      <c r="A868" s="1444"/>
      <c r="C868" s="937" t="str">
        <f t="shared" si="26"/>
        <v/>
      </c>
      <c r="D868" s="1447" t="str">
        <f t="shared" si="27"/>
        <v/>
      </c>
      <c r="K868" s="938"/>
      <c r="M868" s="942"/>
      <c r="N868" s="943"/>
      <c r="O868" s="943"/>
      <c r="P868" s="943"/>
      <c r="Q868" s="943"/>
    </row>
    <row r="869" spans="1:17">
      <c r="A869" s="1444"/>
      <c r="C869" s="937" t="str">
        <f t="shared" si="26"/>
        <v/>
      </c>
      <c r="D869" s="1447" t="str">
        <f t="shared" si="27"/>
        <v/>
      </c>
      <c r="K869" s="938"/>
      <c r="M869" s="942"/>
      <c r="N869" s="943"/>
      <c r="O869" s="943"/>
      <c r="P869" s="943"/>
      <c r="Q869" s="943"/>
    </row>
    <row r="870" spans="1:17">
      <c r="A870" s="1444"/>
      <c r="C870" s="937" t="str">
        <f t="shared" si="26"/>
        <v/>
      </c>
      <c r="D870" s="1447" t="str">
        <f t="shared" si="27"/>
        <v/>
      </c>
      <c r="K870" s="938"/>
      <c r="M870" s="942"/>
      <c r="N870" s="943"/>
      <c r="O870" s="943"/>
      <c r="P870" s="943"/>
      <c r="Q870" s="943"/>
    </row>
    <row r="871" spans="1:17">
      <c r="A871" s="1444"/>
      <c r="C871" s="937" t="str">
        <f t="shared" si="26"/>
        <v/>
      </c>
      <c r="D871" s="1447" t="str">
        <f t="shared" si="27"/>
        <v/>
      </c>
      <c r="K871" s="938"/>
      <c r="M871" s="942"/>
      <c r="N871" s="943"/>
      <c r="O871" s="943"/>
      <c r="P871" s="943"/>
      <c r="Q871" s="943"/>
    </row>
    <row r="872" spans="1:17">
      <c r="A872" s="1444"/>
      <c r="C872" s="937" t="str">
        <f t="shared" si="26"/>
        <v/>
      </c>
      <c r="D872" s="1447" t="str">
        <f t="shared" si="27"/>
        <v/>
      </c>
      <c r="K872" s="938"/>
      <c r="M872" s="942"/>
      <c r="N872" s="943"/>
      <c r="O872" s="943"/>
      <c r="P872" s="943"/>
      <c r="Q872" s="943"/>
    </row>
    <row r="873" spans="1:17">
      <c r="A873" s="1444"/>
      <c r="C873" s="937" t="str">
        <f t="shared" si="26"/>
        <v/>
      </c>
      <c r="D873" s="1447" t="str">
        <f t="shared" si="27"/>
        <v/>
      </c>
      <c r="K873" s="938"/>
      <c r="M873" s="942"/>
      <c r="N873" s="943"/>
      <c r="O873" s="943"/>
      <c r="P873" s="943"/>
      <c r="Q873" s="943"/>
    </row>
    <row r="874" spans="1:17">
      <c r="A874" s="1444"/>
      <c r="C874" s="937" t="str">
        <f t="shared" si="26"/>
        <v/>
      </c>
      <c r="D874" s="1447" t="str">
        <f t="shared" si="27"/>
        <v/>
      </c>
      <c r="K874" s="938"/>
      <c r="M874" s="942"/>
      <c r="N874" s="943"/>
      <c r="O874" s="943"/>
      <c r="P874" s="943"/>
      <c r="Q874" s="943"/>
    </row>
    <row r="875" spans="1:17">
      <c r="A875" s="1444"/>
      <c r="C875" s="937" t="str">
        <f t="shared" si="26"/>
        <v/>
      </c>
      <c r="D875" s="1447" t="str">
        <f t="shared" si="27"/>
        <v/>
      </c>
      <c r="K875" s="938"/>
      <c r="M875" s="942"/>
      <c r="N875" s="943"/>
      <c r="O875" s="943"/>
      <c r="P875" s="943"/>
      <c r="Q875" s="943"/>
    </row>
    <row r="876" spans="1:17">
      <c r="A876" s="1444"/>
      <c r="C876" s="937" t="str">
        <f t="shared" si="26"/>
        <v/>
      </c>
      <c r="D876" s="1447" t="str">
        <f t="shared" si="27"/>
        <v/>
      </c>
      <c r="K876" s="938"/>
      <c r="M876" s="942"/>
      <c r="N876" s="943"/>
      <c r="O876" s="943"/>
      <c r="P876" s="943"/>
      <c r="Q876" s="943"/>
    </row>
    <row r="877" spans="1:17">
      <c r="A877" s="1444"/>
      <c r="C877" s="937" t="str">
        <f t="shared" si="26"/>
        <v/>
      </c>
      <c r="D877" s="1447" t="str">
        <f t="shared" si="27"/>
        <v/>
      </c>
      <c r="K877" s="938"/>
      <c r="M877" s="942"/>
      <c r="N877" s="943"/>
      <c r="O877" s="943"/>
      <c r="P877" s="943"/>
      <c r="Q877" s="943"/>
    </row>
    <row r="878" spans="1:17">
      <c r="A878" s="1444"/>
      <c r="C878" s="937" t="str">
        <f t="shared" si="26"/>
        <v/>
      </c>
      <c r="D878" s="1447" t="str">
        <f t="shared" si="27"/>
        <v/>
      </c>
      <c r="K878" s="938"/>
      <c r="M878" s="942"/>
      <c r="N878" s="943"/>
      <c r="O878" s="943"/>
      <c r="P878" s="943"/>
      <c r="Q878" s="943"/>
    </row>
    <row r="879" spans="1:17">
      <c r="A879" s="1444"/>
      <c r="C879" s="937" t="str">
        <f t="shared" si="26"/>
        <v/>
      </c>
      <c r="D879" s="1447" t="str">
        <f t="shared" si="27"/>
        <v/>
      </c>
      <c r="K879" s="938"/>
      <c r="M879" s="942"/>
      <c r="N879" s="943"/>
      <c r="O879" s="943"/>
      <c r="P879" s="943"/>
      <c r="Q879" s="943"/>
    </row>
    <row r="880" spans="1:17">
      <c r="A880" s="1444"/>
      <c r="C880" s="937" t="str">
        <f t="shared" si="26"/>
        <v/>
      </c>
      <c r="D880" s="1447" t="str">
        <f t="shared" si="27"/>
        <v/>
      </c>
      <c r="K880" s="938"/>
      <c r="M880" s="942"/>
      <c r="N880" s="943"/>
      <c r="O880" s="943"/>
      <c r="P880" s="943"/>
      <c r="Q880" s="943"/>
    </row>
    <row r="881" spans="1:17">
      <c r="A881" s="1444"/>
      <c r="C881" s="937" t="str">
        <f t="shared" si="26"/>
        <v/>
      </c>
      <c r="D881" s="1447" t="str">
        <f t="shared" si="27"/>
        <v/>
      </c>
      <c r="K881" s="938"/>
      <c r="M881" s="942"/>
      <c r="N881" s="943"/>
      <c r="O881" s="943"/>
      <c r="P881" s="943"/>
      <c r="Q881" s="943"/>
    </row>
    <row r="882" spans="1:17">
      <c r="A882" s="1444"/>
      <c r="C882" s="937" t="str">
        <f t="shared" si="26"/>
        <v/>
      </c>
      <c r="D882" s="1447" t="str">
        <f t="shared" si="27"/>
        <v/>
      </c>
      <c r="K882" s="938"/>
      <c r="M882" s="942"/>
      <c r="N882" s="943"/>
      <c r="O882" s="943"/>
      <c r="P882" s="943"/>
      <c r="Q882" s="943"/>
    </row>
    <row r="883" spans="1:17">
      <c r="A883" s="1444"/>
      <c r="C883" s="937" t="str">
        <f t="shared" si="26"/>
        <v/>
      </c>
      <c r="D883" s="1447" t="str">
        <f t="shared" si="27"/>
        <v/>
      </c>
      <c r="K883" s="938"/>
      <c r="M883" s="942"/>
      <c r="N883" s="943"/>
      <c r="O883" s="943"/>
      <c r="P883" s="943"/>
      <c r="Q883" s="943"/>
    </row>
    <row r="884" spans="1:17">
      <c r="A884" s="1444"/>
      <c r="C884" s="937" t="str">
        <f t="shared" si="26"/>
        <v/>
      </c>
      <c r="D884" s="1447" t="str">
        <f t="shared" si="27"/>
        <v/>
      </c>
      <c r="K884" s="938"/>
      <c r="M884" s="942"/>
      <c r="N884" s="943"/>
      <c r="O884" s="943"/>
      <c r="P884" s="943"/>
      <c r="Q884" s="943"/>
    </row>
    <row r="885" spans="1:17">
      <c r="A885" s="1444"/>
      <c r="C885" s="937" t="str">
        <f t="shared" si="26"/>
        <v/>
      </c>
      <c r="D885" s="1447" t="str">
        <f t="shared" si="27"/>
        <v/>
      </c>
      <c r="K885" s="938"/>
      <c r="M885" s="942"/>
      <c r="N885" s="943"/>
      <c r="O885" s="943"/>
      <c r="P885" s="943"/>
      <c r="Q885" s="943"/>
    </row>
    <row r="886" spans="1:17">
      <c r="A886" s="1444"/>
      <c r="C886" s="937" t="str">
        <f t="shared" si="26"/>
        <v/>
      </c>
      <c r="D886" s="1447" t="str">
        <f t="shared" si="27"/>
        <v/>
      </c>
      <c r="K886" s="938"/>
      <c r="M886" s="942"/>
      <c r="N886" s="943"/>
      <c r="O886" s="943"/>
      <c r="P886" s="943"/>
      <c r="Q886" s="943"/>
    </row>
    <row r="887" spans="1:17">
      <c r="A887" s="1444"/>
      <c r="C887" s="937" t="str">
        <f t="shared" si="26"/>
        <v/>
      </c>
      <c r="D887" s="1447" t="str">
        <f t="shared" si="27"/>
        <v/>
      </c>
      <c r="K887" s="938"/>
      <c r="M887" s="942"/>
      <c r="N887" s="943"/>
      <c r="O887" s="943"/>
      <c r="P887" s="943"/>
      <c r="Q887" s="943"/>
    </row>
    <row r="888" spans="1:17">
      <c r="A888" s="1444"/>
      <c r="C888" s="937" t="str">
        <f t="shared" si="26"/>
        <v/>
      </c>
      <c r="D888" s="1447" t="str">
        <f t="shared" si="27"/>
        <v/>
      </c>
      <c r="K888" s="938"/>
      <c r="M888" s="942"/>
      <c r="N888" s="943"/>
      <c r="O888" s="943"/>
      <c r="P888" s="943"/>
      <c r="Q888" s="943"/>
    </row>
    <row r="889" spans="1:17">
      <c r="A889" s="1444"/>
      <c r="C889" s="937" t="str">
        <f t="shared" si="26"/>
        <v/>
      </c>
      <c r="D889" s="1447" t="str">
        <f t="shared" si="27"/>
        <v/>
      </c>
      <c r="K889" s="938"/>
      <c r="M889" s="942"/>
      <c r="N889" s="943"/>
      <c r="O889" s="943"/>
      <c r="P889" s="943"/>
      <c r="Q889" s="943"/>
    </row>
    <row r="890" spans="1:17">
      <c r="A890" s="1444"/>
      <c r="C890" s="937" t="str">
        <f t="shared" si="26"/>
        <v/>
      </c>
      <c r="D890" s="1447" t="str">
        <f t="shared" si="27"/>
        <v/>
      </c>
      <c r="K890" s="938"/>
      <c r="M890" s="942"/>
      <c r="N890" s="943"/>
      <c r="O890" s="943"/>
      <c r="P890" s="943"/>
      <c r="Q890" s="943"/>
    </row>
    <row r="891" spans="1:17">
      <c r="A891" s="1444"/>
      <c r="C891" s="937" t="str">
        <f t="shared" si="26"/>
        <v/>
      </c>
      <c r="D891" s="1447" t="str">
        <f t="shared" si="27"/>
        <v/>
      </c>
      <c r="K891" s="938"/>
      <c r="M891" s="942"/>
      <c r="N891" s="943"/>
      <c r="O891" s="943"/>
      <c r="P891" s="943"/>
      <c r="Q891" s="943"/>
    </row>
    <row r="892" spans="1:17">
      <c r="A892" s="1444"/>
      <c r="C892" s="937" t="str">
        <f t="shared" si="26"/>
        <v/>
      </c>
      <c r="D892" s="1447" t="str">
        <f t="shared" si="27"/>
        <v/>
      </c>
      <c r="K892" s="938"/>
      <c r="M892" s="942"/>
      <c r="N892" s="943"/>
      <c r="O892" s="943"/>
      <c r="P892" s="943"/>
      <c r="Q892" s="943"/>
    </row>
    <row r="893" spans="1:17">
      <c r="A893" s="1444"/>
      <c r="C893" s="937" t="str">
        <f t="shared" si="26"/>
        <v/>
      </c>
      <c r="D893" s="1447" t="str">
        <f t="shared" si="27"/>
        <v/>
      </c>
      <c r="K893" s="938"/>
      <c r="M893" s="942"/>
      <c r="N893" s="943"/>
      <c r="O893" s="943"/>
      <c r="P893" s="943"/>
      <c r="Q893" s="943"/>
    </row>
    <row r="894" spans="1:17">
      <c r="A894" s="1444"/>
      <c r="C894" s="937" t="str">
        <f t="shared" si="26"/>
        <v/>
      </c>
      <c r="D894" s="1447" t="str">
        <f t="shared" si="27"/>
        <v/>
      </c>
      <c r="K894" s="938"/>
      <c r="M894" s="942"/>
      <c r="N894" s="943"/>
      <c r="O894" s="943"/>
      <c r="P894" s="943"/>
      <c r="Q894" s="943"/>
    </row>
    <row r="895" spans="1:17">
      <c r="A895" s="1444"/>
      <c r="C895" s="937" t="str">
        <f t="shared" si="26"/>
        <v/>
      </c>
      <c r="D895" s="1447" t="str">
        <f t="shared" si="27"/>
        <v/>
      </c>
      <c r="K895" s="938"/>
      <c r="M895" s="942"/>
      <c r="N895" s="943"/>
      <c r="O895" s="943"/>
      <c r="P895" s="943"/>
      <c r="Q895" s="943"/>
    </row>
    <row r="896" spans="1:17">
      <c r="A896" s="1444"/>
      <c r="C896" s="937" t="str">
        <f t="shared" si="26"/>
        <v/>
      </c>
      <c r="D896" s="1447" t="str">
        <f t="shared" si="27"/>
        <v/>
      </c>
      <c r="K896" s="938"/>
      <c r="M896" s="942"/>
      <c r="N896" s="943"/>
      <c r="O896" s="943"/>
      <c r="P896" s="943"/>
      <c r="Q896" s="943"/>
    </row>
    <row r="897" spans="1:17">
      <c r="A897" s="1444"/>
      <c r="C897" s="937" t="str">
        <f t="shared" si="26"/>
        <v/>
      </c>
      <c r="D897" s="1447" t="str">
        <f t="shared" si="27"/>
        <v/>
      </c>
      <c r="K897" s="938"/>
      <c r="M897" s="942"/>
      <c r="N897" s="943"/>
      <c r="O897" s="943"/>
      <c r="P897" s="943"/>
      <c r="Q897" s="943"/>
    </row>
    <row r="898" spans="1:17">
      <c r="A898" s="1444"/>
      <c r="C898" s="937" t="str">
        <f t="shared" ref="C898:C961" si="28">IFERROR(1440/D898, "")</f>
        <v/>
      </c>
      <c r="D898" s="1447" t="str">
        <f t="shared" ref="D898:D961" si="29">IF(B898="", "", IF(B898&lt;1, B898*1440, B898))</f>
        <v/>
      </c>
      <c r="K898" s="938"/>
      <c r="M898" s="942"/>
      <c r="N898" s="943"/>
      <c r="O898" s="943"/>
      <c r="P898" s="943"/>
      <c r="Q898" s="943"/>
    </row>
    <row r="899" spans="1:17">
      <c r="A899" s="1444"/>
      <c r="C899" s="937" t="str">
        <f t="shared" si="28"/>
        <v/>
      </c>
      <c r="D899" s="1447" t="str">
        <f t="shared" si="29"/>
        <v/>
      </c>
      <c r="K899" s="938"/>
      <c r="M899" s="942"/>
      <c r="N899" s="943"/>
      <c r="O899" s="943"/>
      <c r="P899" s="943"/>
      <c r="Q899" s="943"/>
    </row>
    <row r="900" spans="1:17">
      <c r="A900" s="1444"/>
      <c r="C900" s="937" t="str">
        <f t="shared" si="28"/>
        <v/>
      </c>
      <c r="D900" s="1447" t="str">
        <f t="shared" si="29"/>
        <v/>
      </c>
      <c r="K900" s="938"/>
      <c r="M900" s="942"/>
      <c r="N900" s="943"/>
      <c r="O900" s="943"/>
      <c r="P900" s="943"/>
      <c r="Q900" s="943"/>
    </row>
    <row r="901" spans="1:17">
      <c r="A901" s="1444"/>
      <c r="C901" s="937" t="str">
        <f t="shared" si="28"/>
        <v/>
      </c>
      <c r="D901" s="1447" t="str">
        <f t="shared" si="29"/>
        <v/>
      </c>
      <c r="K901" s="938"/>
      <c r="M901" s="942"/>
      <c r="N901" s="943"/>
      <c r="O901" s="943"/>
      <c r="P901" s="943"/>
      <c r="Q901" s="943"/>
    </row>
    <row r="902" spans="1:17">
      <c r="A902" s="1444"/>
      <c r="C902" s="937" t="str">
        <f t="shared" si="28"/>
        <v/>
      </c>
      <c r="D902" s="1447" t="str">
        <f t="shared" si="29"/>
        <v/>
      </c>
      <c r="K902" s="938"/>
      <c r="M902" s="942"/>
      <c r="N902" s="943"/>
      <c r="O902" s="943"/>
      <c r="P902" s="943"/>
      <c r="Q902" s="943"/>
    </row>
    <row r="903" spans="1:17">
      <c r="A903" s="1444"/>
      <c r="C903" s="937" t="str">
        <f t="shared" si="28"/>
        <v/>
      </c>
      <c r="D903" s="1447" t="str">
        <f t="shared" si="29"/>
        <v/>
      </c>
      <c r="K903" s="938"/>
      <c r="M903" s="942"/>
      <c r="N903" s="943"/>
      <c r="O903" s="943"/>
      <c r="P903" s="943"/>
      <c r="Q903" s="943"/>
    </row>
    <row r="904" spans="1:17">
      <c r="A904" s="1444"/>
      <c r="C904" s="937" t="str">
        <f t="shared" si="28"/>
        <v/>
      </c>
      <c r="D904" s="1447" t="str">
        <f t="shared" si="29"/>
        <v/>
      </c>
      <c r="K904" s="938"/>
      <c r="M904" s="942"/>
      <c r="N904" s="943"/>
      <c r="O904" s="943"/>
      <c r="P904" s="943"/>
      <c r="Q904" s="943"/>
    </row>
    <row r="905" spans="1:17">
      <c r="A905" s="1444"/>
      <c r="C905" s="937" t="str">
        <f t="shared" si="28"/>
        <v/>
      </c>
      <c r="D905" s="1447" t="str">
        <f t="shared" si="29"/>
        <v/>
      </c>
      <c r="K905" s="938"/>
      <c r="M905" s="942"/>
      <c r="N905" s="943"/>
      <c r="O905" s="943"/>
      <c r="P905" s="943"/>
      <c r="Q905" s="943"/>
    </row>
    <row r="906" spans="1:17">
      <c r="A906" s="1444"/>
      <c r="C906" s="937" t="str">
        <f t="shared" si="28"/>
        <v/>
      </c>
      <c r="D906" s="1447" t="str">
        <f t="shared" si="29"/>
        <v/>
      </c>
      <c r="K906" s="938"/>
      <c r="M906" s="942"/>
      <c r="N906" s="943"/>
      <c r="O906" s="943"/>
      <c r="P906" s="943"/>
      <c r="Q906" s="943"/>
    </row>
    <row r="907" spans="1:17">
      <c r="A907" s="1444"/>
      <c r="C907" s="937" t="str">
        <f t="shared" si="28"/>
        <v/>
      </c>
      <c r="D907" s="1447" t="str">
        <f t="shared" si="29"/>
        <v/>
      </c>
      <c r="K907" s="938"/>
      <c r="M907" s="942"/>
      <c r="N907" s="943"/>
      <c r="O907" s="943"/>
      <c r="P907" s="943"/>
      <c r="Q907" s="943"/>
    </row>
    <row r="908" spans="1:17">
      <c r="A908" s="1444"/>
      <c r="C908" s="937" t="str">
        <f t="shared" si="28"/>
        <v/>
      </c>
      <c r="D908" s="1447" t="str">
        <f t="shared" si="29"/>
        <v/>
      </c>
      <c r="K908" s="938"/>
      <c r="M908" s="942"/>
      <c r="N908" s="943"/>
      <c r="O908" s="943"/>
      <c r="P908" s="943"/>
      <c r="Q908" s="943"/>
    </row>
    <row r="909" spans="1:17">
      <c r="A909" s="1444"/>
      <c r="C909" s="937" t="str">
        <f t="shared" si="28"/>
        <v/>
      </c>
      <c r="D909" s="1447" t="str">
        <f t="shared" si="29"/>
        <v/>
      </c>
      <c r="K909" s="938"/>
      <c r="M909" s="942"/>
      <c r="N909" s="943"/>
      <c r="O909" s="943"/>
      <c r="P909" s="943"/>
      <c r="Q909" s="943"/>
    </row>
    <row r="910" spans="1:17">
      <c r="A910" s="1444"/>
      <c r="C910" s="937" t="str">
        <f t="shared" si="28"/>
        <v/>
      </c>
      <c r="D910" s="1447" t="str">
        <f t="shared" si="29"/>
        <v/>
      </c>
      <c r="K910" s="938"/>
      <c r="M910" s="942"/>
      <c r="N910" s="943"/>
      <c r="O910" s="943"/>
      <c r="P910" s="943"/>
      <c r="Q910" s="943"/>
    </row>
    <row r="911" spans="1:17">
      <c r="A911" s="1444"/>
      <c r="C911" s="937" t="str">
        <f t="shared" si="28"/>
        <v/>
      </c>
      <c r="D911" s="1447" t="str">
        <f t="shared" si="29"/>
        <v/>
      </c>
      <c r="K911" s="938"/>
      <c r="M911" s="942"/>
      <c r="N911" s="943"/>
      <c r="O911" s="943"/>
      <c r="P911" s="943"/>
      <c r="Q911" s="943"/>
    </row>
    <row r="912" spans="1:17">
      <c r="A912" s="1444"/>
      <c r="C912" s="937" t="str">
        <f t="shared" si="28"/>
        <v/>
      </c>
      <c r="D912" s="1447" t="str">
        <f t="shared" si="29"/>
        <v/>
      </c>
      <c r="K912" s="938"/>
      <c r="M912" s="942"/>
      <c r="N912" s="943"/>
      <c r="O912" s="943"/>
      <c r="P912" s="943"/>
      <c r="Q912" s="943"/>
    </row>
    <row r="913" spans="1:17">
      <c r="A913" s="1444"/>
      <c r="C913" s="937" t="str">
        <f t="shared" si="28"/>
        <v/>
      </c>
      <c r="D913" s="1447" t="str">
        <f t="shared" si="29"/>
        <v/>
      </c>
      <c r="K913" s="938"/>
      <c r="M913" s="942"/>
      <c r="N913" s="943"/>
      <c r="O913" s="943"/>
      <c r="P913" s="943"/>
      <c r="Q913" s="943"/>
    </row>
    <row r="914" spans="1:17">
      <c r="A914" s="1444"/>
      <c r="C914" s="937" t="str">
        <f t="shared" si="28"/>
        <v/>
      </c>
      <c r="D914" s="1447" t="str">
        <f t="shared" si="29"/>
        <v/>
      </c>
      <c r="K914" s="938"/>
      <c r="M914" s="942"/>
      <c r="N914" s="943"/>
      <c r="O914" s="943"/>
      <c r="P914" s="943"/>
      <c r="Q914" s="943"/>
    </row>
    <row r="915" spans="1:17">
      <c r="A915" s="1444"/>
      <c r="C915" s="937" t="str">
        <f t="shared" si="28"/>
        <v/>
      </c>
      <c r="D915" s="1447" t="str">
        <f t="shared" si="29"/>
        <v/>
      </c>
      <c r="K915" s="938"/>
      <c r="M915" s="942"/>
      <c r="N915" s="943"/>
      <c r="O915" s="943"/>
      <c r="P915" s="943"/>
      <c r="Q915" s="943"/>
    </row>
    <row r="916" spans="1:17">
      <c r="A916" s="1444"/>
      <c r="C916" s="937" t="str">
        <f t="shared" si="28"/>
        <v/>
      </c>
      <c r="D916" s="1447" t="str">
        <f t="shared" si="29"/>
        <v/>
      </c>
      <c r="K916" s="938"/>
      <c r="M916" s="942"/>
      <c r="N916" s="943"/>
      <c r="O916" s="943"/>
      <c r="P916" s="943"/>
      <c r="Q916" s="943"/>
    </row>
    <row r="917" spans="1:17">
      <c r="A917" s="1444"/>
      <c r="C917" s="937" t="str">
        <f t="shared" si="28"/>
        <v/>
      </c>
      <c r="D917" s="1447" t="str">
        <f t="shared" si="29"/>
        <v/>
      </c>
      <c r="K917" s="938"/>
      <c r="M917" s="942"/>
      <c r="N917" s="943"/>
      <c r="O917" s="943"/>
      <c r="P917" s="943"/>
      <c r="Q917" s="943"/>
    </row>
    <row r="918" spans="1:17">
      <c r="A918" s="1444"/>
      <c r="C918" s="937" t="str">
        <f t="shared" si="28"/>
        <v/>
      </c>
      <c r="D918" s="1447" t="str">
        <f t="shared" si="29"/>
        <v/>
      </c>
      <c r="K918" s="938"/>
      <c r="M918" s="942"/>
      <c r="N918" s="943"/>
      <c r="O918" s="943"/>
      <c r="P918" s="943"/>
      <c r="Q918" s="943"/>
    </row>
    <row r="919" spans="1:17">
      <c r="A919" s="1444"/>
      <c r="C919" s="937" t="str">
        <f t="shared" si="28"/>
        <v/>
      </c>
      <c r="D919" s="1447" t="str">
        <f t="shared" si="29"/>
        <v/>
      </c>
      <c r="K919" s="938"/>
      <c r="M919" s="942"/>
      <c r="N919" s="943"/>
      <c r="O919" s="943"/>
      <c r="P919" s="943"/>
      <c r="Q919" s="943"/>
    </row>
    <row r="920" spans="1:17">
      <c r="A920" s="1444"/>
      <c r="C920" s="937" t="str">
        <f t="shared" si="28"/>
        <v/>
      </c>
      <c r="D920" s="1447" t="str">
        <f t="shared" si="29"/>
        <v/>
      </c>
      <c r="K920" s="938"/>
      <c r="M920" s="942"/>
      <c r="N920" s="943"/>
      <c r="O920" s="943"/>
      <c r="P920" s="943"/>
      <c r="Q920" s="943"/>
    </row>
    <row r="921" spans="1:17">
      <c r="A921" s="1444"/>
      <c r="C921" s="937" t="str">
        <f t="shared" si="28"/>
        <v/>
      </c>
      <c r="D921" s="1447" t="str">
        <f t="shared" si="29"/>
        <v/>
      </c>
      <c r="K921" s="938"/>
      <c r="M921" s="942"/>
      <c r="N921" s="943"/>
      <c r="O921" s="943"/>
      <c r="P921" s="943"/>
      <c r="Q921" s="943"/>
    </row>
    <row r="922" spans="1:17">
      <c r="A922" s="1444"/>
      <c r="C922" s="937" t="str">
        <f t="shared" si="28"/>
        <v/>
      </c>
      <c r="D922" s="1447" t="str">
        <f t="shared" si="29"/>
        <v/>
      </c>
      <c r="K922" s="938"/>
      <c r="M922" s="942"/>
      <c r="N922" s="943"/>
      <c r="O922" s="943"/>
      <c r="P922" s="943"/>
      <c r="Q922" s="943"/>
    </row>
    <row r="923" spans="1:17">
      <c r="A923" s="1444"/>
      <c r="C923" s="937" t="str">
        <f t="shared" si="28"/>
        <v/>
      </c>
      <c r="D923" s="1447" t="str">
        <f t="shared" si="29"/>
        <v/>
      </c>
      <c r="K923" s="938"/>
      <c r="M923" s="942"/>
      <c r="N923" s="943"/>
      <c r="O923" s="943"/>
      <c r="P923" s="943"/>
      <c r="Q923" s="943"/>
    </row>
    <row r="924" spans="1:17">
      <c r="A924" s="1444"/>
      <c r="C924" s="937" t="str">
        <f t="shared" si="28"/>
        <v/>
      </c>
      <c r="D924" s="1447" t="str">
        <f t="shared" si="29"/>
        <v/>
      </c>
      <c r="K924" s="938"/>
      <c r="M924" s="942"/>
      <c r="N924" s="943"/>
      <c r="O924" s="943"/>
      <c r="P924" s="943"/>
      <c r="Q924" s="943"/>
    </row>
    <row r="925" spans="1:17">
      <c r="A925" s="1444"/>
      <c r="C925" s="937" t="str">
        <f t="shared" si="28"/>
        <v/>
      </c>
      <c r="D925" s="1447" t="str">
        <f t="shared" si="29"/>
        <v/>
      </c>
      <c r="K925" s="938"/>
      <c r="M925" s="942"/>
      <c r="N925" s="943"/>
      <c r="O925" s="943"/>
      <c r="P925" s="943"/>
      <c r="Q925" s="943"/>
    </row>
    <row r="926" spans="1:17">
      <c r="A926" s="1444"/>
      <c r="C926" s="937" t="str">
        <f t="shared" si="28"/>
        <v/>
      </c>
      <c r="D926" s="1447" t="str">
        <f t="shared" si="29"/>
        <v/>
      </c>
      <c r="K926" s="938"/>
      <c r="M926" s="942"/>
      <c r="N926" s="943"/>
      <c r="O926" s="943"/>
      <c r="P926" s="943"/>
      <c r="Q926" s="943"/>
    </row>
    <row r="927" spans="1:17">
      <c r="A927" s="1444"/>
      <c r="C927" s="937" t="str">
        <f t="shared" si="28"/>
        <v/>
      </c>
      <c r="D927" s="1447" t="str">
        <f t="shared" si="29"/>
        <v/>
      </c>
      <c r="K927" s="938"/>
      <c r="M927" s="942"/>
      <c r="N927" s="943"/>
      <c r="O927" s="943"/>
      <c r="P927" s="943"/>
      <c r="Q927" s="943"/>
    </row>
    <row r="928" spans="1:17">
      <c r="A928" s="1444"/>
      <c r="C928" s="937" t="str">
        <f t="shared" si="28"/>
        <v/>
      </c>
      <c r="D928" s="1447" t="str">
        <f t="shared" si="29"/>
        <v/>
      </c>
      <c r="K928" s="938"/>
      <c r="M928" s="942"/>
      <c r="N928" s="943"/>
      <c r="O928" s="943"/>
      <c r="P928" s="943"/>
      <c r="Q928" s="943"/>
    </row>
    <row r="929" spans="1:17">
      <c r="A929" s="1444"/>
      <c r="C929" s="937" t="str">
        <f t="shared" si="28"/>
        <v/>
      </c>
      <c r="D929" s="1447" t="str">
        <f t="shared" si="29"/>
        <v/>
      </c>
      <c r="K929" s="938"/>
      <c r="M929" s="942"/>
      <c r="N929" s="943"/>
      <c r="O929" s="943"/>
      <c r="P929" s="943"/>
      <c r="Q929" s="943"/>
    </row>
    <row r="930" spans="1:17">
      <c r="A930" s="1444"/>
      <c r="C930" s="937" t="str">
        <f t="shared" si="28"/>
        <v/>
      </c>
      <c r="D930" s="1447" t="str">
        <f t="shared" si="29"/>
        <v/>
      </c>
      <c r="K930" s="938"/>
      <c r="M930" s="942"/>
      <c r="N930" s="943"/>
      <c r="O930" s="943"/>
      <c r="P930" s="943"/>
      <c r="Q930" s="943"/>
    </row>
    <row r="931" spans="1:17">
      <c r="A931" s="1444"/>
      <c r="C931" s="937" t="str">
        <f t="shared" si="28"/>
        <v/>
      </c>
      <c r="D931" s="1447" t="str">
        <f t="shared" si="29"/>
        <v/>
      </c>
      <c r="K931" s="938"/>
      <c r="M931" s="942"/>
      <c r="N931" s="943"/>
      <c r="O931" s="943"/>
      <c r="P931" s="943"/>
      <c r="Q931" s="943"/>
    </row>
    <row r="932" spans="1:17">
      <c r="A932" s="1444"/>
      <c r="C932" s="937" t="str">
        <f t="shared" si="28"/>
        <v/>
      </c>
      <c r="D932" s="1447" t="str">
        <f t="shared" si="29"/>
        <v/>
      </c>
      <c r="K932" s="938"/>
      <c r="M932" s="942"/>
      <c r="N932" s="943"/>
      <c r="O932" s="943"/>
      <c r="P932" s="943"/>
      <c r="Q932" s="943"/>
    </row>
    <row r="933" spans="1:17">
      <c r="A933" s="1444"/>
      <c r="C933" s="937" t="str">
        <f t="shared" si="28"/>
        <v/>
      </c>
      <c r="D933" s="1447" t="str">
        <f t="shared" si="29"/>
        <v/>
      </c>
      <c r="K933" s="938"/>
      <c r="M933" s="942"/>
      <c r="N933" s="943"/>
      <c r="O933" s="943"/>
      <c r="P933" s="943"/>
      <c r="Q933" s="943"/>
    </row>
    <row r="934" spans="1:17">
      <c r="A934" s="1444"/>
      <c r="C934" s="937" t="str">
        <f t="shared" si="28"/>
        <v/>
      </c>
      <c r="D934" s="1447" t="str">
        <f t="shared" si="29"/>
        <v/>
      </c>
      <c r="K934" s="938"/>
      <c r="M934" s="942"/>
      <c r="N934" s="943"/>
      <c r="O934" s="943"/>
      <c r="P934" s="943"/>
      <c r="Q934" s="943"/>
    </row>
    <row r="935" spans="1:17">
      <c r="A935" s="1444"/>
      <c r="C935" s="937" t="str">
        <f t="shared" si="28"/>
        <v/>
      </c>
      <c r="D935" s="1447" t="str">
        <f t="shared" si="29"/>
        <v/>
      </c>
      <c r="K935" s="938"/>
      <c r="M935" s="942"/>
      <c r="N935" s="943"/>
      <c r="O935" s="943"/>
      <c r="P935" s="943"/>
      <c r="Q935" s="943"/>
    </row>
    <row r="936" spans="1:17">
      <c r="A936" s="1444"/>
      <c r="C936" s="937" t="str">
        <f t="shared" si="28"/>
        <v/>
      </c>
      <c r="D936" s="1447" t="str">
        <f t="shared" si="29"/>
        <v/>
      </c>
      <c r="K936" s="938"/>
      <c r="M936" s="942"/>
      <c r="N936" s="943"/>
      <c r="O936" s="943"/>
      <c r="P936" s="943"/>
      <c r="Q936" s="943"/>
    </row>
    <row r="937" spans="1:17">
      <c r="A937" s="1444"/>
      <c r="C937" s="937" t="str">
        <f t="shared" si="28"/>
        <v/>
      </c>
      <c r="D937" s="1447" t="str">
        <f t="shared" si="29"/>
        <v/>
      </c>
      <c r="K937" s="938"/>
      <c r="M937" s="942"/>
      <c r="N937" s="943"/>
      <c r="O937" s="943"/>
      <c r="P937" s="943"/>
      <c r="Q937" s="943"/>
    </row>
    <row r="938" spans="1:17">
      <c r="A938" s="1444"/>
      <c r="C938" s="937" t="str">
        <f t="shared" si="28"/>
        <v/>
      </c>
      <c r="D938" s="1447" t="str">
        <f t="shared" si="29"/>
        <v/>
      </c>
      <c r="K938" s="938"/>
      <c r="M938" s="942"/>
      <c r="N938" s="943"/>
      <c r="O938" s="943"/>
      <c r="P938" s="943"/>
      <c r="Q938" s="943"/>
    </row>
    <row r="939" spans="1:17">
      <c r="A939" s="1444"/>
      <c r="C939" s="937" t="str">
        <f t="shared" si="28"/>
        <v/>
      </c>
      <c r="D939" s="1447" t="str">
        <f t="shared" si="29"/>
        <v/>
      </c>
      <c r="K939" s="938"/>
      <c r="M939" s="942"/>
      <c r="N939" s="943"/>
      <c r="O939" s="943"/>
      <c r="P939" s="943"/>
      <c r="Q939" s="943"/>
    </row>
    <row r="940" spans="1:17">
      <c r="A940" s="1444"/>
      <c r="C940" s="937" t="str">
        <f t="shared" si="28"/>
        <v/>
      </c>
      <c r="D940" s="1447" t="str">
        <f t="shared" si="29"/>
        <v/>
      </c>
      <c r="K940" s="938"/>
      <c r="M940" s="942"/>
      <c r="N940" s="943"/>
      <c r="O940" s="943"/>
      <c r="P940" s="943"/>
      <c r="Q940" s="943"/>
    </row>
    <row r="941" spans="1:17">
      <c r="A941" s="1444"/>
      <c r="C941" s="937" t="str">
        <f t="shared" si="28"/>
        <v/>
      </c>
      <c r="D941" s="1447" t="str">
        <f t="shared" si="29"/>
        <v/>
      </c>
      <c r="K941" s="938"/>
      <c r="M941" s="942"/>
      <c r="N941" s="943"/>
      <c r="O941" s="943"/>
      <c r="P941" s="943"/>
      <c r="Q941" s="943"/>
    </row>
    <row r="942" spans="1:17">
      <c r="A942" s="1444"/>
      <c r="C942" s="937" t="str">
        <f t="shared" si="28"/>
        <v/>
      </c>
      <c r="D942" s="1447" t="str">
        <f t="shared" si="29"/>
        <v/>
      </c>
      <c r="K942" s="938"/>
      <c r="M942" s="942"/>
      <c r="N942" s="943"/>
      <c r="O942" s="943"/>
      <c r="P942" s="943"/>
      <c r="Q942" s="943"/>
    </row>
    <row r="943" spans="1:17">
      <c r="A943" s="1444"/>
      <c r="C943" s="937" t="str">
        <f t="shared" si="28"/>
        <v/>
      </c>
      <c r="D943" s="1447" t="str">
        <f t="shared" si="29"/>
        <v/>
      </c>
      <c r="K943" s="938"/>
      <c r="M943" s="942"/>
      <c r="N943" s="943"/>
      <c r="O943" s="943"/>
      <c r="P943" s="943"/>
      <c r="Q943" s="943"/>
    </row>
    <row r="944" spans="1:17">
      <c r="A944" s="1444"/>
      <c r="C944" s="937" t="str">
        <f t="shared" si="28"/>
        <v/>
      </c>
      <c r="D944" s="1447" t="str">
        <f t="shared" si="29"/>
        <v/>
      </c>
      <c r="K944" s="938"/>
      <c r="M944" s="942"/>
      <c r="N944" s="943"/>
      <c r="O944" s="943"/>
      <c r="P944" s="943"/>
      <c r="Q944" s="943"/>
    </row>
    <row r="945" spans="1:17">
      <c r="A945" s="1444"/>
      <c r="C945" s="937" t="str">
        <f t="shared" si="28"/>
        <v/>
      </c>
      <c r="D945" s="1447" t="str">
        <f t="shared" si="29"/>
        <v/>
      </c>
      <c r="K945" s="938"/>
      <c r="M945" s="942"/>
      <c r="N945" s="943"/>
      <c r="O945" s="943"/>
      <c r="P945" s="943"/>
      <c r="Q945" s="943"/>
    </row>
    <row r="946" spans="1:17">
      <c r="A946" s="1444"/>
      <c r="C946" s="937" t="str">
        <f t="shared" si="28"/>
        <v/>
      </c>
      <c r="D946" s="1447" t="str">
        <f t="shared" si="29"/>
        <v/>
      </c>
      <c r="K946" s="938"/>
      <c r="M946" s="942"/>
      <c r="N946" s="943"/>
      <c r="O946" s="943"/>
      <c r="P946" s="943"/>
      <c r="Q946" s="943"/>
    </row>
    <row r="947" spans="1:17">
      <c r="A947" s="1444"/>
      <c r="C947" s="937" t="str">
        <f t="shared" si="28"/>
        <v/>
      </c>
      <c r="D947" s="1447" t="str">
        <f t="shared" si="29"/>
        <v/>
      </c>
      <c r="K947" s="938"/>
      <c r="M947" s="942"/>
      <c r="N947" s="943"/>
      <c r="O947" s="943"/>
      <c r="P947" s="943"/>
      <c r="Q947" s="943"/>
    </row>
    <row r="948" spans="1:17">
      <c r="A948" s="1444"/>
      <c r="C948" s="937" t="str">
        <f t="shared" si="28"/>
        <v/>
      </c>
      <c r="D948" s="1447" t="str">
        <f t="shared" si="29"/>
        <v/>
      </c>
      <c r="K948" s="938"/>
      <c r="M948" s="942"/>
      <c r="N948" s="943"/>
      <c r="O948" s="943"/>
      <c r="P948" s="943"/>
      <c r="Q948" s="943"/>
    </row>
    <row r="949" spans="1:17">
      <c r="A949" s="1444"/>
      <c r="C949" s="937" t="str">
        <f t="shared" si="28"/>
        <v/>
      </c>
      <c r="D949" s="1447" t="str">
        <f t="shared" si="29"/>
        <v/>
      </c>
      <c r="K949" s="938"/>
      <c r="M949" s="942"/>
      <c r="N949" s="943"/>
      <c r="O949" s="943"/>
      <c r="P949" s="943"/>
      <c r="Q949" s="943"/>
    </row>
    <row r="950" spans="1:17">
      <c r="A950" s="1444"/>
      <c r="C950" s="937" t="str">
        <f t="shared" si="28"/>
        <v/>
      </c>
      <c r="D950" s="1447" t="str">
        <f t="shared" si="29"/>
        <v/>
      </c>
      <c r="K950" s="938"/>
      <c r="M950" s="942"/>
      <c r="N950" s="943"/>
      <c r="O950" s="943"/>
      <c r="P950" s="943"/>
      <c r="Q950" s="943"/>
    </row>
    <row r="951" spans="1:17">
      <c r="A951" s="1444"/>
      <c r="C951" s="937" t="str">
        <f t="shared" si="28"/>
        <v/>
      </c>
      <c r="D951" s="1447" t="str">
        <f t="shared" si="29"/>
        <v/>
      </c>
      <c r="K951" s="938"/>
      <c r="M951" s="942"/>
      <c r="N951" s="943"/>
      <c r="O951" s="943"/>
      <c r="P951" s="943"/>
      <c r="Q951" s="943"/>
    </row>
    <row r="952" spans="1:17">
      <c r="A952" s="1444"/>
      <c r="C952" s="937" t="str">
        <f t="shared" si="28"/>
        <v/>
      </c>
      <c r="D952" s="1447" t="str">
        <f t="shared" si="29"/>
        <v/>
      </c>
      <c r="K952" s="938"/>
      <c r="M952" s="942"/>
      <c r="N952" s="943"/>
      <c r="O952" s="943"/>
      <c r="P952" s="943"/>
      <c r="Q952" s="943"/>
    </row>
    <row r="953" spans="1:17">
      <c r="A953" s="1444"/>
      <c r="C953" s="937" t="str">
        <f t="shared" si="28"/>
        <v/>
      </c>
      <c r="D953" s="1447" t="str">
        <f t="shared" si="29"/>
        <v/>
      </c>
      <c r="K953" s="938"/>
      <c r="M953" s="942"/>
      <c r="N953" s="943"/>
      <c r="O953" s="943"/>
      <c r="P953" s="943"/>
      <c r="Q953" s="943"/>
    </row>
    <row r="954" spans="1:17">
      <c r="A954" s="1444"/>
      <c r="C954" s="937" t="str">
        <f t="shared" si="28"/>
        <v/>
      </c>
      <c r="D954" s="1447" t="str">
        <f t="shared" si="29"/>
        <v/>
      </c>
      <c r="K954" s="938"/>
      <c r="M954" s="942"/>
      <c r="N954" s="943"/>
      <c r="O954" s="943"/>
      <c r="P954" s="943"/>
      <c r="Q954" s="943"/>
    </row>
    <row r="955" spans="1:17">
      <c r="A955" s="1444"/>
      <c r="C955" s="937" t="str">
        <f t="shared" si="28"/>
        <v/>
      </c>
      <c r="D955" s="1447" t="str">
        <f t="shared" si="29"/>
        <v/>
      </c>
      <c r="K955" s="938"/>
      <c r="M955" s="942"/>
      <c r="N955" s="943"/>
      <c r="O955" s="943"/>
      <c r="P955" s="943"/>
      <c r="Q955" s="943"/>
    </row>
    <row r="956" spans="1:17">
      <c r="A956" s="1444"/>
      <c r="C956" s="937" t="str">
        <f t="shared" si="28"/>
        <v/>
      </c>
      <c r="D956" s="1447" t="str">
        <f t="shared" si="29"/>
        <v/>
      </c>
      <c r="K956" s="938"/>
      <c r="M956" s="942"/>
      <c r="N956" s="943"/>
      <c r="O956" s="943"/>
      <c r="P956" s="943"/>
      <c r="Q956" s="943"/>
    </row>
    <row r="957" spans="1:17">
      <c r="A957" s="1444"/>
      <c r="C957" s="937" t="str">
        <f t="shared" si="28"/>
        <v/>
      </c>
      <c r="D957" s="1447" t="str">
        <f t="shared" si="29"/>
        <v/>
      </c>
      <c r="K957" s="938"/>
      <c r="M957" s="942"/>
      <c r="N957" s="943"/>
      <c r="O957" s="943"/>
      <c r="P957" s="943"/>
      <c r="Q957" s="943"/>
    </row>
    <row r="958" spans="1:17">
      <c r="A958" s="1444"/>
      <c r="C958" s="937" t="str">
        <f t="shared" si="28"/>
        <v/>
      </c>
      <c r="D958" s="1447" t="str">
        <f t="shared" si="29"/>
        <v/>
      </c>
      <c r="K958" s="938"/>
      <c r="M958" s="942"/>
      <c r="N958" s="943"/>
      <c r="O958" s="943"/>
      <c r="P958" s="943"/>
      <c r="Q958" s="943"/>
    </row>
    <row r="959" spans="1:17">
      <c r="A959" s="1444"/>
      <c r="C959" s="937" t="str">
        <f t="shared" si="28"/>
        <v/>
      </c>
      <c r="D959" s="1447" t="str">
        <f t="shared" si="29"/>
        <v/>
      </c>
      <c r="K959" s="938"/>
      <c r="M959" s="942"/>
      <c r="N959" s="943"/>
      <c r="O959" s="943"/>
      <c r="P959" s="943"/>
      <c r="Q959" s="943"/>
    </row>
    <row r="960" spans="1:17">
      <c r="A960" s="1444"/>
      <c r="C960" s="937" t="str">
        <f t="shared" si="28"/>
        <v/>
      </c>
      <c r="D960" s="1447" t="str">
        <f t="shared" si="29"/>
        <v/>
      </c>
      <c r="K960" s="938"/>
      <c r="M960" s="942"/>
      <c r="N960" s="943"/>
      <c r="O960" s="943"/>
      <c r="P960" s="943"/>
      <c r="Q960" s="943"/>
    </row>
    <row r="961" spans="1:17">
      <c r="A961" s="1444"/>
      <c r="C961" s="937" t="str">
        <f t="shared" si="28"/>
        <v/>
      </c>
      <c r="D961" s="1447" t="str">
        <f t="shared" si="29"/>
        <v/>
      </c>
      <c r="K961" s="938"/>
      <c r="M961" s="942"/>
      <c r="N961" s="943"/>
      <c r="O961" s="943"/>
      <c r="P961" s="943"/>
      <c r="Q961" s="943"/>
    </row>
    <row r="962" spans="1:17">
      <c r="A962" s="1444"/>
      <c r="C962" s="937" t="str">
        <f t="shared" ref="C962:C1025" si="30">IFERROR(1440/D962, "")</f>
        <v/>
      </c>
      <c r="D962" s="1447" t="str">
        <f t="shared" ref="D962:D1025" si="31">IF(B962="", "", IF(B962&lt;1, B962*1440, B962))</f>
        <v/>
      </c>
      <c r="K962" s="938"/>
      <c r="M962" s="942"/>
      <c r="N962" s="943"/>
      <c r="O962" s="943"/>
      <c r="P962" s="943"/>
      <c r="Q962" s="943"/>
    </row>
    <row r="963" spans="1:17">
      <c r="A963" s="1444"/>
      <c r="C963" s="937" t="str">
        <f t="shared" si="30"/>
        <v/>
      </c>
      <c r="D963" s="1447" t="str">
        <f t="shared" si="31"/>
        <v/>
      </c>
      <c r="K963" s="938"/>
      <c r="M963" s="942"/>
      <c r="N963" s="943"/>
      <c r="O963" s="943"/>
      <c r="P963" s="943"/>
      <c r="Q963" s="943"/>
    </row>
    <row r="964" spans="1:17">
      <c r="A964" s="1444"/>
      <c r="C964" s="937" t="str">
        <f t="shared" si="30"/>
        <v/>
      </c>
      <c r="D964" s="1447" t="str">
        <f t="shared" si="31"/>
        <v/>
      </c>
      <c r="K964" s="938"/>
      <c r="M964" s="942"/>
      <c r="N964" s="943"/>
      <c r="O964" s="943"/>
      <c r="P964" s="943"/>
      <c r="Q964" s="943"/>
    </row>
    <row r="965" spans="1:17">
      <c r="A965" s="1444"/>
      <c r="C965" s="937" t="str">
        <f t="shared" si="30"/>
        <v/>
      </c>
      <c r="D965" s="1447" t="str">
        <f t="shared" si="31"/>
        <v/>
      </c>
      <c r="K965" s="938"/>
      <c r="M965" s="942"/>
      <c r="N965" s="943"/>
      <c r="O965" s="943"/>
      <c r="P965" s="943"/>
      <c r="Q965" s="943"/>
    </row>
    <row r="966" spans="1:17">
      <c r="A966" s="1444"/>
      <c r="C966" s="937" t="str">
        <f t="shared" si="30"/>
        <v/>
      </c>
      <c r="D966" s="1447" t="str">
        <f t="shared" si="31"/>
        <v/>
      </c>
      <c r="K966" s="938"/>
      <c r="M966" s="942"/>
      <c r="N966" s="943"/>
      <c r="O966" s="943"/>
      <c r="P966" s="943"/>
      <c r="Q966" s="943"/>
    </row>
    <row r="967" spans="1:17">
      <c r="A967" s="1444"/>
      <c r="C967" s="937" t="str">
        <f t="shared" si="30"/>
        <v/>
      </c>
      <c r="D967" s="1447" t="str">
        <f t="shared" si="31"/>
        <v/>
      </c>
      <c r="K967" s="938"/>
      <c r="M967" s="942"/>
      <c r="N967" s="943"/>
      <c r="O967" s="943"/>
      <c r="P967" s="943"/>
      <c r="Q967" s="943"/>
    </row>
    <row r="968" spans="1:17">
      <c r="A968" s="1444"/>
      <c r="C968" s="937" t="str">
        <f t="shared" si="30"/>
        <v/>
      </c>
      <c r="D968" s="1447" t="str">
        <f t="shared" si="31"/>
        <v/>
      </c>
      <c r="K968" s="938"/>
      <c r="M968" s="942"/>
      <c r="N968" s="943"/>
      <c r="O968" s="943"/>
      <c r="P968" s="943"/>
      <c r="Q968" s="943"/>
    </row>
    <row r="969" spans="1:17">
      <c r="A969" s="1444"/>
      <c r="C969" s="937" t="str">
        <f t="shared" si="30"/>
        <v/>
      </c>
      <c r="D969" s="1447" t="str">
        <f t="shared" si="31"/>
        <v/>
      </c>
      <c r="K969" s="938"/>
      <c r="M969" s="942"/>
      <c r="N969" s="943"/>
      <c r="O969" s="943"/>
      <c r="P969" s="943"/>
      <c r="Q969" s="943"/>
    </row>
    <row r="970" spans="1:17">
      <c r="A970" s="1444"/>
      <c r="C970" s="937" t="str">
        <f t="shared" si="30"/>
        <v/>
      </c>
      <c r="D970" s="1447" t="str">
        <f t="shared" si="31"/>
        <v/>
      </c>
      <c r="K970" s="938"/>
      <c r="M970" s="942"/>
      <c r="N970" s="943"/>
      <c r="O970" s="943"/>
      <c r="P970" s="943"/>
      <c r="Q970" s="943"/>
    </row>
    <row r="971" spans="1:17">
      <c r="A971" s="1444"/>
      <c r="C971" s="937" t="str">
        <f t="shared" si="30"/>
        <v/>
      </c>
      <c r="D971" s="1447" t="str">
        <f t="shared" si="31"/>
        <v/>
      </c>
      <c r="K971" s="938"/>
      <c r="M971" s="942"/>
      <c r="N971" s="943"/>
      <c r="O971" s="943"/>
      <c r="P971" s="943"/>
      <c r="Q971" s="943"/>
    </row>
    <row r="972" spans="1:17">
      <c r="A972" s="1444"/>
      <c r="C972" s="937" t="str">
        <f t="shared" si="30"/>
        <v/>
      </c>
      <c r="D972" s="1447" t="str">
        <f t="shared" si="31"/>
        <v/>
      </c>
      <c r="K972" s="938"/>
      <c r="M972" s="942"/>
      <c r="N972" s="943"/>
      <c r="O972" s="943"/>
      <c r="P972" s="943"/>
      <c r="Q972" s="943"/>
    </row>
    <row r="973" spans="1:17">
      <c r="A973" s="1444"/>
      <c r="C973" s="937" t="str">
        <f t="shared" si="30"/>
        <v/>
      </c>
      <c r="D973" s="1447" t="str">
        <f t="shared" si="31"/>
        <v/>
      </c>
      <c r="K973" s="938"/>
      <c r="M973" s="942"/>
      <c r="N973" s="943"/>
      <c r="O973" s="943"/>
      <c r="P973" s="943"/>
      <c r="Q973" s="943"/>
    </row>
    <row r="974" spans="1:17">
      <c r="A974" s="1444"/>
      <c r="C974" s="937" t="str">
        <f t="shared" si="30"/>
        <v/>
      </c>
      <c r="D974" s="1447" t="str">
        <f t="shared" si="31"/>
        <v/>
      </c>
      <c r="K974" s="938"/>
      <c r="M974" s="942"/>
      <c r="N974" s="943"/>
      <c r="O974" s="943"/>
      <c r="P974" s="943"/>
      <c r="Q974" s="943"/>
    </row>
    <row r="975" spans="1:17">
      <c r="A975" s="1444"/>
      <c r="C975" s="937" t="str">
        <f t="shared" si="30"/>
        <v/>
      </c>
      <c r="D975" s="1447" t="str">
        <f t="shared" si="31"/>
        <v/>
      </c>
      <c r="K975" s="938"/>
      <c r="M975" s="942"/>
      <c r="N975" s="943"/>
      <c r="O975" s="943"/>
      <c r="P975" s="943"/>
      <c r="Q975" s="943"/>
    </row>
    <row r="976" spans="1:17">
      <c r="A976" s="1444"/>
      <c r="C976" s="937" t="str">
        <f t="shared" si="30"/>
        <v/>
      </c>
      <c r="D976" s="1447" t="str">
        <f t="shared" si="31"/>
        <v/>
      </c>
      <c r="K976" s="938"/>
      <c r="M976" s="942"/>
      <c r="N976" s="943"/>
      <c r="O976" s="943"/>
      <c r="P976" s="943"/>
      <c r="Q976" s="943"/>
    </row>
    <row r="977" spans="1:17">
      <c r="A977" s="1444"/>
      <c r="C977" s="937" t="str">
        <f t="shared" si="30"/>
        <v/>
      </c>
      <c r="D977" s="1447" t="str">
        <f t="shared" si="31"/>
        <v/>
      </c>
      <c r="K977" s="938"/>
      <c r="M977" s="942"/>
      <c r="N977" s="943"/>
      <c r="O977" s="943"/>
      <c r="P977" s="943"/>
      <c r="Q977" s="943"/>
    </row>
    <row r="978" spans="1:17">
      <c r="A978" s="1444"/>
      <c r="C978" s="937" t="str">
        <f t="shared" si="30"/>
        <v/>
      </c>
      <c r="D978" s="1447" t="str">
        <f t="shared" si="31"/>
        <v/>
      </c>
      <c r="K978" s="938"/>
      <c r="M978" s="942"/>
      <c r="N978" s="943"/>
      <c r="O978" s="943"/>
      <c r="P978" s="943"/>
      <c r="Q978" s="943"/>
    </row>
    <row r="979" spans="1:17">
      <c r="A979" s="1444"/>
      <c r="C979" s="937" t="str">
        <f t="shared" si="30"/>
        <v/>
      </c>
      <c r="D979" s="1447" t="str">
        <f t="shared" si="31"/>
        <v/>
      </c>
      <c r="K979" s="938"/>
      <c r="M979" s="942"/>
      <c r="N979" s="943"/>
      <c r="O979" s="943"/>
      <c r="P979" s="943"/>
      <c r="Q979" s="943"/>
    </row>
    <row r="980" spans="1:17">
      <c r="A980" s="1444"/>
      <c r="C980" s="937" t="str">
        <f t="shared" si="30"/>
        <v/>
      </c>
      <c r="D980" s="1447" t="str">
        <f t="shared" si="31"/>
        <v/>
      </c>
      <c r="K980" s="938"/>
      <c r="M980" s="942"/>
      <c r="N980" s="943"/>
      <c r="O980" s="943"/>
      <c r="P980" s="943"/>
      <c r="Q980" s="943"/>
    </row>
    <row r="981" spans="1:17">
      <c r="A981" s="1444"/>
      <c r="C981" s="937" t="str">
        <f t="shared" si="30"/>
        <v/>
      </c>
      <c r="D981" s="1447" t="str">
        <f t="shared" si="31"/>
        <v/>
      </c>
      <c r="K981" s="938"/>
      <c r="M981" s="942"/>
      <c r="N981" s="943"/>
      <c r="O981" s="943"/>
      <c r="P981" s="943"/>
      <c r="Q981" s="943"/>
    </row>
    <row r="982" spans="1:17">
      <c r="A982" s="1444"/>
      <c r="C982" s="937" t="str">
        <f t="shared" si="30"/>
        <v/>
      </c>
      <c r="D982" s="1447" t="str">
        <f t="shared" si="31"/>
        <v/>
      </c>
      <c r="K982" s="938"/>
      <c r="M982" s="942"/>
      <c r="N982" s="943"/>
      <c r="O982" s="943"/>
      <c r="P982" s="943"/>
      <c r="Q982" s="943"/>
    </row>
    <row r="983" spans="1:17">
      <c r="A983" s="1444"/>
      <c r="C983" s="937" t="str">
        <f t="shared" si="30"/>
        <v/>
      </c>
      <c r="D983" s="1447" t="str">
        <f t="shared" si="31"/>
        <v/>
      </c>
      <c r="K983" s="938"/>
      <c r="M983" s="942"/>
      <c r="N983" s="943"/>
      <c r="O983" s="943"/>
      <c r="P983" s="943"/>
      <c r="Q983" s="943"/>
    </row>
    <row r="984" spans="1:17">
      <c r="A984" s="1444"/>
      <c r="C984" s="937" t="str">
        <f t="shared" si="30"/>
        <v/>
      </c>
      <c r="D984" s="1447" t="str">
        <f t="shared" si="31"/>
        <v/>
      </c>
      <c r="K984" s="938"/>
      <c r="M984" s="942"/>
      <c r="N984" s="943"/>
      <c r="O984" s="943"/>
      <c r="P984" s="943"/>
      <c r="Q984" s="943"/>
    </row>
    <row r="985" spans="1:17">
      <c r="A985" s="1444"/>
      <c r="C985" s="937" t="str">
        <f t="shared" si="30"/>
        <v/>
      </c>
      <c r="D985" s="1447" t="str">
        <f t="shared" si="31"/>
        <v/>
      </c>
      <c r="K985" s="938"/>
      <c r="M985" s="942"/>
      <c r="N985" s="943"/>
      <c r="O985" s="943"/>
      <c r="P985" s="943"/>
      <c r="Q985" s="943"/>
    </row>
    <row r="986" spans="1:17">
      <c r="A986" s="1444"/>
      <c r="C986" s="937" t="str">
        <f t="shared" si="30"/>
        <v/>
      </c>
      <c r="D986" s="1447" t="str">
        <f t="shared" si="31"/>
        <v/>
      </c>
      <c r="K986" s="938"/>
      <c r="M986" s="942"/>
      <c r="N986" s="943"/>
      <c r="O986" s="943"/>
      <c r="P986" s="943"/>
      <c r="Q986" s="943"/>
    </row>
    <row r="987" spans="1:17">
      <c r="A987" s="1444"/>
      <c r="C987" s="937" t="str">
        <f t="shared" si="30"/>
        <v/>
      </c>
      <c r="D987" s="1447" t="str">
        <f t="shared" si="31"/>
        <v/>
      </c>
      <c r="K987" s="938"/>
      <c r="M987" s="942"/>
      <c r="N987" s="943"/>
      <c r="O987" s="943"/>
      <c r="P987" s="943"/>
      <c r="Q987" s="943"/>
    </row>
    <row r="988" spans="1:17">
      <c r="A988" s="1444"/>
      <c r="C988" s="937" t="str">
        <f t="shared" si="30"/>
        <v/>
      </c>
      <c r="D988" s="1447" t="str">
        <f t="shared" si="31"/>
        <v/>
      </c>
      <c r="K988" s="938"/>
      <c r="M988" s="942"/>
      <c r="N988" s="943"/>
      <c r="O988" s="943"/>
      <c r="P988" s="943"/>
      <c r="Q988" s="943"/>
    </row>
    <row r="989" spans="1:17">
      <c r="A989" s="1444"/>
      <c r="C989" s="937" t="str">
        <f t="shared" si="30"/>
        <v/>
      </c>
      <c r="D989" s="1447" t="str">
        <f t="shared" si="31"/>
        <v/>
      </c>
      <c r="K989" s="938"/>
      <c r="M989" s="942"/>
      <c r="N989" s="943"/>
      <c r="O989" s="943"/>
      <c r="P989" s="943"/>
      <c r="Q989" s="943"/>
    </row>
    <row r="990" spans="1:17">
      <c r="A990" s="1444"/>
      <c r="C990" s="937" t="str">
        <f t="shared" si="30"/>
        <v/>
      </c>
      <c r="D990" s="1447" t="str">
        <f t="shared" si="31"/>
        <v/>
      </c>
      <c r="K990" s="938"/>
      <c r="M990" s="942"/>
      <c r="N990" s="943"/>
      <c r="O990" s="943"/>
      <c r="P990" s="943"/>
      <c r="Q990" s="943"/>
    </row>
    <row r="991" spans="1:17">
      <c r="A991" s="1444"/>
      <c r="C991" s="937" t="str">
        <f t="shared" si="30"/>
        <v/>
      </c>
      <c r="D991" s="1447" t="str">
        <f t="shared" si="31"/>
        <v/>
      </c>
      <c r="K991" s="938"/>
      <c r="M991" s="942"/>
      <c r="N991" s="943"/>
      <c r="O991" s="943"/>
      <c r="P991" s="943"/>
      <c r="Q991" s="943"/>
    </row>
    <row r="992" spans="1:17">
      <c r="A992" s="1444"/>
      <c r="C992" s="937" t="str">
        <f t="shared" si="30"/>
        <v/>
      </c>
      <c r="D992" s="1447" t="str">
        <f t="shared" si="31"/>
        <v/>
      </c>
      <c r="K992" s="938"/>
      <c r="M992" s="942"/>
      <c r="N992" s="943"/>
      <c r="O992" s="943"/>
      <c r="P992" s="943"/>
      <c r="Q992" s="943"/>
    </row>
    <row r="993" spans="1:17">
      <c r="A993" s="1444"/>
      <c r="C993" s="937" t="str">
        <f t="shared" si="30"/>
        <v/>
      </c>
      <c r="D993" s="1447" t="str">
        <f t="shared" si="31"/>
        <v/>
      </c>
      <c r="K993" s="938"/>
      <c r="M993" s="942"/>
      <c r="N993" s="943"/>
      <c r="O993" s="943"/>
      <c r="P993" s="943"/>
      <c r="Q993" s="943"/>
    </row>
    <row r="994" spans="1:17">
      <c r="A994" s="1444"/>
      <c r="C994" s="937" t="str">
        <f t="shared" si="30"/>
        <v/>
      </c>
      <c r="D994" s="1447" t="str">
        <f t="shared" si="31"/>
        <v/>
      </c>
      <c r="K994" s="938"/>
      <c r="M994" s="942"/>
      <c r="N994" s="943"/>
      <c r="O994" s="943"/>
      <c r="P994" s="943"/>
      <c r="Q994" s="943"/>
    </row>
    <row r="995" spans="1:17">
      <c r="A995" s="1444"/>
      <c r="C995" s="937" t="str">
        <f t="shared" si="30"/>
        <v/>
      </c>
      <c r="D995" s="1447" t="str">
        <f t="shared" si="31"/>
        <v/>
      </c>
      <c r="K995" s="938"/>
      <c r="M995" s="942"/>
      <c r="N995" s="943"/>
      <c r="O995" s="943"/>
      <c r="P995" s="943"/>
      <c r="Q995" s="943"/>
    </row>
    <row r="996" spans="1:17">
      <c r="A996" s="1444"/>
      <c r="C996" s="937" t="str">
        <f t="shared" si="30"/>
        <v/>
      </c>
      <c r="D996" s="1447" t="str">
        <f t="shared" si="31"/>
        <v/>
      </c>
      <c r="K996" s="938"/>
      <c r="M996" s="942"/>
      <c r="N996" s="943"/>
      <c r="O996" s="943"/>
      <c r="P996" s="943"/>
      <c r="Q996" s="943"/>
    </row>
    <row r="997" spans="1:17">
      <c r="A997" s="1444"/>
      <c r="C997" s="937" t="str">
        <f t="shared" si="30"/>
        <v/>
      </c>
      <c r="D997" s="1447" t="str">
        <f t="shared" si="31"/>
        <v/>
      </c>
      <c r="K997" s="938"/>
      <c r="M997" s="942"/>
      <c r="N997" s="943"/>
      <c r="O997" s="943"/>
      <c r="P997" s="943"/>
      <c r="Q997" s="943"/>
    </row>
    <row r="998" spans="1:17">
      <c r="A998" s="1444"/>
      <c r="C998" s="937" t="str">
        <f t="shared" si="30"/>
        <v/>
      </c>
      <c r="D998" s="1447" t="str">
        <f t="shared" si="31"/>
        <v/>
      </c>
      <c r="K998" s="938"/>
      <c r="M998" s="942"/>
      <c r="N998" s="943"/>
      <c r="O998" s="943"/>
      <c r="P998" s="943"/>
      <c r="Q998" s="943"/>
    </row>
    <row r="999" spans="1:17">
      <c r="A999" s="1444"/>
      <c r="C999" s="937" t="str">
        <f t="shared" si="30"/>
        <v/>
      </c>
      <c r="D999" s="1447" t="str">
        <f t="shared" si="31"/>
        <v/>
      </c>
      <c r="K999" s="938"/>
      <c r="M999" s="942"/>
      <c r="N999" s="943"/>
      <c r="O999" s="943"/>
      <c r="P999" s="943"/>
      <c r="Q999" s="943"/>
    </row>
    <row r="1000" spans="1:17">
      <c r="A1000" s="1444"/>
      <c r="C1000" s="937" t="str">
        <f t="shared" si="30"/>
        <v/>
      </c>
      <c r="D1000" s="1447" t="str">
        <f t="shared" si="31"/>
        <v/>
      </c>
      <c r="K1000" s="938"/>
      <c r="M1000" s="942"/>
      <c r="N1000" s="943"/>
      <c r="O1000" s="943"/>
      <c r="P1000" s="943"/>
      <c r="Q1000" s="943"/>
    </row>
    <row r="1001" spans="1:17">
      <c r="A1001" s="1444"/>
      <c r="C1001" s="937" t="str">
        <f t="shared" si="30"/>
        <v/>
      </c>
      <c r="D1001" s="1447" t="str">
        <f t="shared" si="31"/>
        <v/>
      </c>
      <c r="K1001" s="938"/>
      <c r="M1001" s="942"/>
      <c r="N1001" s="943"/>
      <c r="O1001" s="943"/>
      <c r="P1001" s="943"/>
      <c r="Q1001" s="943"/>
    </row>
    <row r="1002" spans="1:17">
      <c r="A1002" s="1444"/>
      <c r="C1002" s="937" t="str">
        <f t="shared" si="30"/>
        <v/>
      </c>
      <c r="D1002" s="1447" t="str">
        <f t="shared" si="31"/>
        <v/>
      </c>
      <c r="K1002" s="938"/>
      <c r="M1002" s="942"/>
      <c r="N1002" s="943"/>
      <c r="O1002" s="943"/>
      <c r="P1002" s="943"/>
      <c r="Q1002" s="943"/>
    </row>
    <row r="1003" spans="1:17">
      <c r="A1003" s="1444"/>
      <c r="C1003" s="937" t="str">
        <f t="shared" si="30"/>
        <v/>
      </c>
      <c r="D1003" s="1447" t="str">
        <f t="shared" si="31"/>
        <v/>
      </c>
      <c r="K1003" s="938"/>
      <c r="M1003" s="942"/>
      <c r="N1003" s="943"/>
      <c r="O1003" s="943"/>
      <c r="P1003" s="943"/>
      <c r="Q1003" s="943"/>
    </row>
    <row r="1004" spans="1:17">
      <c r="A1004" s="1444"/>
      <c r="C1004" s="937" t="str">
        <f t="shared" si="30"/>
        <v/>
      </c>
      <c r="D1004" s="1447" t="str">
        <f t="shared" si="31"/>
        <v/>
      </c>
      <c r="K1004" s="938"/>
      <c r="M1004" s="942"/>
      <c r="N1004" s="943"/>
      <c r="O1004" s="943"/>
      <c r="P1004" s="943"/>
      <c r="Q1004" s="943"/>
    </row>
    <row r="1005" spans="1:17">
      <c r="A1005" s="1444"/>
      <c r="C1005" s="937" t="str">
        <f t="shared" si="30"/>
        <v/>
      </c>
      <c r="D1005" s="1447" t="str">
        <f t="shared" si="31"/>
        <v/>
      </c>
      <c r="K1005" s="938"/>
      <c r="M1005" s="942"/>
      <c r="N1005" s="943"/>
      <c r="O1005" s="943"/>
      <c r="P1005" s="943"/>
      <c r="Q1005" s="943"/>
    </row>
    <row r="1006" spans="1:17">
      <c r="A1006" s="1444"/>
      <c r="C1006" s="937" t="str">
        <f t="shared" si="30"/>
        <v/>
      </c>
      <c r="D1006" s="1447" t="str">
        <f t="shared" si="31"/>
        <v/>
      </c>
      <c r="K1006" s="938"/>
      <c r="M1006" s="942"/>
      <c r="N1006" s="943"/>
      <c r="O1006" s="943"/>
      <c r="P1006" s="943"/>
      <c r="Q1006" s="943"/>
    </row>
    <row r="1007" spans="1:17">
      <c r="A1007" s="1444"/>
      <c r="C1007" s="937" t="str">
        <f t="shared" si="30"/>
        <v/>
      </c>
      <c r="D1007" s="1447" t="str">
        <f t="shared" si="31"/>
        <v/>
      </c>
      <c r="K1007" s="938"/>
      <c r="M1007" s="942"/>
      <c r="N1007" s="943"/>
      <c r="O1007" s="943"/>
      <c r="P1007" s="943"/>
      <c r="Q1007" s="943"/>
    </row>
    <row r="1008" spans="1:17">
      <c r="A1008" s="1444"/>
      <c r="C1008" s="937" t="str">
        <f t="shared" si="30"/>
        <v/>
      </c>
      <c r="D1008" s="1447" t="str">
        <f t="shared" si="31"/>
        <v/>
      </c>
      <c r="K1008" s="938"/>
      <c r="M1008" s="942"/>
      <c r="N1008" s="943"/>
      <c r="O1008" s="943"/>
      <c r="P1008" s="943"/>
      <c r="Q1008" s="943"/>
    </row>
    <row r="1009" spans="1:17">
      <c r="A1009" s="1444"/>
      <c r="C1009" s="937" t="str">
        <f t="shared" si="30"/>
        <v/>
      </c>
      <c r="D1009" s="1447" t="str">
        <f t="shared" si="31"/>
        <v/>
      </c>
      <c r="K1009" s="938"/>
      <c r="M1009" s="942"/>
      <c r="N1009" s="943"/>
      <c r="O1009" s="943"/>
      <c r="P1009" s="943"/>
      <c r="Q1009" s="943"/>
    </row>
    <row r="1010" spans="1:17">
      <c r="A1010" s="1444"/>
      <c r="C1010" s="937" t="str">
        <f t="shared" si="30"/>
        <v/>
      </c>
      <c r="D1010" s="1447" t="str">
        <f t="shared" si="31"/>
        <v/>
      </c>
      <c r="K1010" s="938"/>
      <c r="M1010" s="942"/>
      <c r="N1010" s="943"/>
      <c r="O1010" s="943"/>
      <c r="P1010" s="943"/>
      <c r="Q1010" s="943"/>
    </row>
    <row r="1011" spans="1:17">
      <c r="A1011" s="1444"/>
      <c r="C1011" s="937" t="str">
        <f t="shared" si="30"/>
        <v/>
      </c>
      <c r="D1011" s="1447" t="str">
        <f t="shared" si="31"/>
        <v/>
      </c>
      <c r="K1011" s="938"/>
      <c r="M1011" s="942"/>
      <c r="N1011" s="943"/>
      <c r="O1011" s="943"/>
      <c r="P1011" s="943"/>
      <c r="Q1011" s="943"/>
    </row>
    <row r="1012" spans="1:17">
      <c r="A1012" s="1444"/>
      <c r="C1012" s="937" t="str">
        <f t="shared" si="30"/>
        <v/>
      </c>
      <c r="D1012" s="1447" t="str">
        <f t="shared" si="31"/>
        <v/>
      </c>
      <c r="K1012" s="938"/>
      <c r="M1012" s="942"/>
      <c r="N1012" s="943"/>
      <c r="O1012" s="943"/>
      <c r="P1012" s="943"/>
      <c r="Q1012" s="943"/>
    </row>
    <row r="1013" spans="1:17">
      <c r="A1013" s="1444"/>
      <c r="C1013" s="937" t="str">
        <f t="shared" si="30"/>
        <v/>
      </c>
      <c r="D1013" s="1447" t="str">
        <f t="shared" si="31"/>
        <v/>
      </c>
      <c r="K1013" s="938"/>
      <c r="M1013" s="942"/>
      <c r="N1013" s="943"/>
      <c r="O1013" s="943"/>
      <c r="P1013" s="943"/>
      <c r="Q1013" s="943"/>
    </row>
    <row r="1014" spans="1:17">
      <c r="A1014" s="1444"/>
      <c r="C1014" s="937" t="str">
        <f t="shared" si="30"/>
        <v/>
      </c>
      <c r="D1014" s="1447" t="str">
        <f t="shared" si="31"/>
        <v/>
      </c>
      <c r="K1014" s="938"/>
      <c r="M1014" s="942"/>
      <c r="N1014" s="943"/>
      <c r="O1014" s="943"/>
      <c r="P1014" s="943"/>
      <c r="Q1014" s="943"/>
    </row>
    <row r="1015" spans="1:17">
      <c r="A1015" s="1444"/>
      <c r="C1015" s="937" t="str">
        <f t="shared" si="30"/>
        <v/>
      </c>
      <c r="D1015" s="1447" t="str">
        <f t="shared" si="31"/>
        <v/>
      </c>
      <c r="K1015" s="938"/>
      <c r="M1015" s="942"/>
      <c r="N1015" s="943"/>
      <c r="O1015" s="943"/>
      <c r="P1015" s="943"/>
      <c r="Q1015" s="943"/>
    </row>
    <row r="1016" spans="1:17">
      <c r="A1016" s="1444"/>
      <c r="C1016" s="937" t="str">
        <f t="shared" si="30"/>
        <v/>
      </c>
      <c r="D1016" s="1447" t="str">
        <f t="shared" si="31"/>
        <v/>
      </c>
      <c r="K1016" s="938"/>
      <c r="M1016" s="942"/>
      <c r="N1016" s="943"/>
      <c r="O1016" s="943"/>
      <c r="P1016" s="943"/>
      <c r="Q1016" s="943"/>
    </row>
    <row r="1017" spans="1:17">
      <c r="A1017" s="1444"/>
      <c r="C1017" s="937" t="str">
        <f t="shared" si="30"/>
        <v/>
      </c>
      <c r="D1017" s="1447" t="str">
        <f t="shared" si="31"/>
        <v/>
      </c>
      <c r="K1017" s="938"/>
      <c r="M1017" s="942"/>
      <c r="N1017" s="943"/>
      <c r="O1017" s="943"/>
      <c r="P1017" s="943"/>
      <c r="Q1017" s="943"/>
    </row>
    <row r="1018" spans="1:17">
      <c r="A1018" s="1444"/>
      <c r="C1018" s="937" t="str">
        <f t="shared" si="30"/>
        <v/>
      </c>
      <c r="D1018" s="1447" t="str">
        <f t="shared" si="31"/>
        <v/>
      </c>
      <c r="K1018" s="938"/>
      <c r="M1018" s="942"/>
      <c r="N1018" s="943"/>
      <c r="O1018" s="943"/>
      <c r="P1018" s="943"/>
      <c r="Q1018" s="943"/>
    </row>
    <row r="1019" spans="1:17">
      <c r="A1019" s="1444"/>
      <c r="C1019" s="937" t="str">
        <f t="shared" si="30"/>
        <v/>
      </c>
      <c r="D1019" s="1447" t="str">
        <f t="shared" si="31"/>
        <v/>
      </c>
      <c r="K1019" s="938"/>
      <c r="M1019" s="942"/>
      <c r="N1019" s="943"/>
      <c r="O1019" s="943"/>
      <c r="P1019" s="943"/>
      <c r="Q1019" s="943"/>
    </row>
    <row r="1020" spans="1:17">
      <c r="A1020" s="1444"/>
      <c r="C1020" s="937" t="str">
        <f t="shared" si="30"/>
        <v/>
      </c>
      <c r="D1020" s="1447" t="str">
        <f t="shared" si="31"/>
        <v/>
      </c>
      <c r="K1020" s="938"/>
      <c r="M1020" s="942"/>
      <c r="N1020" s="943"/>
      <c r="O1020" s="943"/>
      <c r="P1020" s="943"/>
      <c r="Q1020" s="943"/>
    </row>
    <row r="1021" spans="1:17">
      <c r="A1021" s="1444"/>
      <c r="C1021" s="937" t="str">
        <f t="shared" si="30"/>
        <v/>
      </c>
      <c r="D1021" s="1447" t="str">
        <f t="shared" si="31"/>
        <v/>
      </c>
      <c r="K1021" s="938"/>
      <c r="M1021" s="942"/>
      <c r="N1021" s="943"/>
      <c r="O1021" s="943"/>
      <c r="P1021" s="943"/>
      <c r="Q1021" s="943"/>
    </row>
    <row r="1022" spans="1:17">
      <c r="A1022" s="1444"/>
      <c r="C1022" s="937" t="str">
        <f t="shared" si="30"/>
        <v/>
      </c>
      <c r="D1022" s="1447" t="str">
        <f t="shared" si="31"/>
        <v/>
      </c>
      <c r="K1022" s="938"/>
      <c r="M1022" s="942"/>
      <c r="N1022" s="943"/>
      <c r="O1022" s="943"/>
      <c r="P1022" s="943"/>
      <c r="Q1022" s="943"/>
    </row>
    <row r="1023" spans="1:17">
      <c r="A1023" s="1444"/>
      <c r="C1023" s="937" t="str">
        <f t="shared" si="30"/>
        <v/>
      </c>
      <c r="D1023" s="1447" t="str">
        <f t="shared" si="31"/>
        <v/>
      </c>
      <c r="K1023" s="938"/>
      <c r="M1023" s="942"/>
      <c r="N1023" s="943"/>
      <c r="O1023" s="943"/>
      <c r="P1023" s="943"/>
      <c r="Q1023" s="943"/>
    </row>
    <row r="1024" spans="1:17">
      <c r="A1024" s="1444"/>
      <c r="C1024" s="937" t="str">
        <f t="shared" si="30"/>
        <v/>
      </c>
      <c r="D1024" s="1447" t="str">
        <f t="shared" si="31"/>
        <v/>
      </c>
      <c r="K1024" s="938"/>
      <c r="M1024" s="942"/>
      <c r="N1024" s="943"/>
      <c r="O1024" s="943"/>
      <c r="P1024" s="943"/>
      <c r="Q1024" s="943"/>
    </row>
    <row r="1025" spans="1:17">
      <c r="A1025" s="1444"/>
      <c r="C1025" s="937" t="str">
        <f t="shared" si="30"/>
        <v/>
      </c>
      <c r="D1025" s="1447" t="str">
        <f t="shared" si="31"/>
        <v/>
      </c>
      <c r="K1025" s="938"/>
      <c r="M1025" s="942"/>
      <c r="N1025" s="943"/>
      <c r="O1025" s="943"/>
      <c r="P1025" s="943"/>
      <c r="Q1025" s="943"/>
    </row>
    <row r="1026" spans="1:17">
      <c r="A1026" s="1444"/>
      <c r="C1026" s="937" t="str">
        <f t="shared" ref="C1026:C1071" si="32">IFERROR(1440/D1026, "")</f>
        <v/>
      </c>
      <c r="D1026" s="1447" t="str">
        <f t="shared" ref="D1026:D1071" si="33">IF(B1026="", "", IF(B1026&lt;1, B1026*1440, B1026))</f>
        <v/>
      </c>
      <c r="K1026" s="938"/>
      <c r="M1026" s="942"/>
      <c r="N1026" s="943"/>
      <c r="O1026" s="943"/>
      <c r="P1026" s="943"/>
      <c r="Q1026" s="943"/>
    </row>
    <row r="1027" spans="1:17">
      <c r="A1027" s="1444"/>
      <c r="C1027" s="937" t="str">
        <f t="shared" si="32"/>
        <v/>
      </c>
      <c r="D1027" s="1447" t="str">
        <f t="shared" si="33"/>
        <v/>
      </c>
      <c r="K1027" s="938"/>
      <c r="M1027" s="942"/>
      <c r="N1027" s="943"/>
      <c r="O1027" s="943"/>
      <c r="P1027" s="943"/>
      <c r="Q1027" s="943"/>
    </row>
    <row r="1028" spans="1:17">
      <c r="A1028" s="1444"/>
      <c r="C1028" s="937" t="str">
        <f t="shared" si="32"/>
        <v/>
      </c>
      <c r="D1028" s="1447" t="str">
        <f t="shared" si="33"/>
        <v/>
      </c>
      <c r="K1028" s="938"/>
      <c r="M1028" s="942"/>
      <c r="N1028" s="943"/>
      <c r="O1028" s="943"/>
      <c r="P1028" s="943"/>
      <c r="Q1028" s="943"/>
    </row>
    <row r="1029" spans="1:17">
      <c r="A1029" s="1444"/>
      <c r="C1029" s="937" t="str">
        <f t="shared" si="32"/>
        <v/>
      </c>
      <c r="D1029" s="1447" t="str">
        <f t="shared" si="33"/>
        <v/>
      </c>
      <c r="K1029" s="938"/>
      <c r="M1029" s="942"/>
      <c r="N1029" s="943"/>
      <c r="O1029" s="943"/>
      <c r="P1029" s="943"/>
      <c r="Q1029" s="943"/>
    </row>
    <row r="1030" spans="1:17">
      <c r="A1030" s="1444"/>
      <c r="C1030" s="937" t="str">
        <f t="shared" si="32"/>
        <v/>
      </c>
      <c r="D1030" s="1447" t="str">
        <f t="shared" si="33"/>
        <v/>
      </c>
      <c r="K1030" s="938"/>
      <c r="M1030" s="942"/>
      <c r="N1030" s="943"/>
      <c r="O1030" s="943"/>
      <c r="P1030" s="943"/>
      <c r="Q1030" s="943"/>
    </row>
    <row r="1031" spans="1:17">
      <c r="A1031" s="1444"/>
      <c r="C1031" s="937" t="str">
        <f t="shared" si="32"/>
        <v/>
      </c>
      <c r="D1031" s="1447" t="str">
        <f t="shared" si="33"/>
        <v/>
      </c>
      <c r="K1031" s="938"/>
      <c r="M1031" s="942"/>
      <c r="N1031" s="943"/>
      <c r="O1031" s="943"/>
      <c r="P1031" s="943"/>
      <c r="Q1031" s="943"/>
    </row>
    <row r="1032" spans="1:17">
      <c r="A1032" s="1444"/>
      <c r="C1032" s="937" t="str">
        <f t="shared" si="32"/>
        <v/>
      </c>
      <c r="D1032" s="1447" t="str">
        <f t="shared" si="33"/>
        <v/>
      </c>
      <c r="K1032" s="938"/>
      <c r="M1032" s="942"/>
      <c r="N1032" s="943"/>
      <c r="O1032" s="943"/>
      <c r="P1032" s="943"/>
      <c r="Q1032" s="943"/>
    </row>
    <row r="1033" spans="1:17">
      <c r="A1033" s="1444"/>
      <c r="C1033" s="937" t="str">
        <f t="shared" si="32"/>
        <v/>
      </c>
      <c r="D1033" s="1447" t="str">
        <f t="shared" si="33"/>
        <v/>
      </c>
      <c r="K1033" s="938"/>
      <c r="M1033" s="942"/>
      <c r="N1033" s="943"/>
      <c r="O1033" s="943"/>
      <c r="P1033" s="943"/>
      <c r="Q1033" s="943"/>
    </row>
    <row r="1034" spans="1:17">
      <c r="A1034" s="1444"/>
      <c r="C1034" s="937" t="str">
        <f t="shared" si="32"/>
        <v/>
      </c>
      <c r="D1034" s="1447" t="str">
        <f t="shared" si="33"/>
        <v/>
      </c>
      <c r="K1034" s="938"/>
      <c r="M1034" s="942"/>
      <c r="N1034" s="943"/>
      <c r="O1034" s="943"/>
      <c r="P1034" s="943"/>
      <c r="Q1034" s="943"/>
    </row>
    <row r="1035" spans="1:17">
      <c r="A1035" s="1444"/>
      <c r="C1035" s="937" t="str">
        <f t="shared" si="32"/>
        <v/>
      </c>
      <c r="D1035" s="1447" t="str">
        <f t="shared" si="33"/>
        <v/>
      </c>
      <c r="K1035" s="938"/>
      <c r="M1035" s="942"/>
      <c r="N1035" s="943"/>
      <c r="O1035" s="943"/>
      <c r="P1035" s="943"/>
      <c r="Q1035" s="943"/>
    </row>
    <row r="1036" spans="1:17">
      <c r="A1036" s="1444"/>
      <c r="C1036" s="937" t="str">
        <f t="shared" si="32"/>
        <v/>
      </c>
      <c r="D1036" s="1447" t="str">
        <f t="shared" si="33"/>
        <v/>
      </c>
    </row>
    <row r="1037" spans="1:17">
      <c r="A1037" s="1444"/>
      <c r="C1037" s="937" t="str">
        <f t="shared" si="32"/>
        <v/>
      </c>
      <c r="D1037" s="1447" t="str">
        <f t="shared" si="33"/>
        <v/>
      </c>
    </row>
    <row r="1038" spans="1:17">
      <c r="A1038" s="1444"/>
      <c r="C1038" s="937" t="str">
        <f t="shared" si="32"/>
        <v/>
      </c>
      <c r="D1038" s="1447" t="str">
        <f t="shared" si="33"/>
        <v/>
      </c>
    </row>
    <row r="1039" spans="1:17">
      <c r="A1039" s="1444"/>
      <c r="C1039" s="937" t="str">
        <f t="shared" si="32"/>
        <v/>
      </c>
      <c r="D1039" s="1447" t="str">
        <f t="shared" si="33"/>
        <v/>
      </c>
    </row>
    <row r="1040" spans="1:17">
      <c r="A1040" s="1444"/>
      <c r="C1040" s="937" t="str">
        <f t="shared" si="32"/>
        <v/>
      </c>
      <c r="D1040" s="1447" t="str">
        <f t="shared" si="33"/>
        <v/>
      </c>
    </row>
    <row r="1041" spans="1:4">
      <c r="A1041" s="1444"/>
      <c r="C1041" s="937" t="str">
        <f t="shared" si="32"/>
        <v/>
      </c>
      <c r="D1041" s="1447" t="str">
        <f t="shared" si="33"/>
        <v/>
      </c>
    </row>
    <row r="1042" spans="1:4">
      <c r="A1042" s="1444"/>
      <c r="C1042" s="937" t="str">
        <f t="shared" si="32"/>
        <v/>
      </c>
      <c r="D1042" s="1447" t="str">
        <f t="shared" si="33"/>
        <v/>
      </c>
    </row>
    <row r="1043" spans="1:4">
      <c r="A1043" s="1444"/>
      <c r="C1043" s="937" t="str">
        <f t="shared" si="32"/>
        <v/>
      </c>
      <c r="D1043" s="1447" t="str">
        <f t="shared" si="33"/>
        <v/>
      </c>
    </row>
    <row r="1044" spans="1:4">
      <c r="A1044" s="1444"/>
      <c r="C1044" s="937" t="str">
        <f t="shared" si="32"/>
        <v/>
      </c>
      <c r="D1044" s="1447" t="str">
        <f t="shared" si="33"/>
        <v/>
      </c>
    </row>
    <row r="1045" spans="1:4">
      <c r="A1045" s="1444"/>
      <c r="C1045" s="937" t="str">
        <f t="shared" si="32"/>
        <v/>
      </c>
      <c r="D1045" s="1447" t="str">
        <f t="shared" si="33"/>
        <v/>
      </c>
    </row>
    <row r="1046" spans="1:4">
      <c r="A1046" s="1444"/>
      <c r="C1046" s="937" t="str">
        <f t="shared" si="32"/>
        <v/>
      </c>
      <c r="D1046" s="1447" t="str">
        <f t="shared" si="33"/>
        <v/>
      </c>
    </row>
    <row r="1047" spans="1:4">
      <c r="A1047" s="1444"/>
      <c r="C1047" s="937" t="str">
        <f t="shared" si="32"/>
        <v/>
      </c>
      <c r="D1047" s="1447" t="str">
        <f t="shared" si="33"/>
        <v/>
      </c>
    </row>
    <row r="1048" spans="1:4">
      <c r="A1048" s="1444"/>
      <c r="C1048" s="937" t="str">
        <f t="shared" si="32"/>
        <v/>
      </c>
      <c r="D1048" s="1447" t="str">
        <f t="shared" si="33"/>
        <v/>
      </c>
    </row>
    <row r="1049" spans="1:4">
      <c r="A1049" s="1444"/>
      <c r="C1049" s="937" t="str">
        <f t="shared" si="32"/>
        <v/>
      </c>
      <c r="D1049" s="1447" t="str">
        <f t="shared" si="33"/>
        <v/>
      </c>
    </row>
    <row r="1050" spans="1:4">
      <c r="A1050" s="1444"/>
      <c r="C1050" s="937" t="str">
        <f t="shared" si="32"/>
        <v/>
      </c>
      <c r="D1050" s="1447" t="str">
        <f t="shared" si="33"/>
        <v/>
      </c>
    </row>
    <row r="1051" spans="1:4">
      <c r="A1051" s="1444"/>
      <c r="C1051" s="937" t="str">
        <f t="shared" si="32"/>
        <v/>
      </c>
      <c r="D1051" s="1447" t="str">
        <f t="shared" si="33"/>
        <v/>
      </c>
    </row>
    <row r="1052" spans="1:4">
      <c r="A1052" s="1444"/>
      <c r="C1052" s="937" t="str">
        <f t="shared" si="32"/>
        <v/>
      </c>
      <c r="D1052" s="1447" t="str">
        <f t="shared" si="33"/>
        <v/>
      </c>
    </row>
    <row r="1053" spans="1:4">
      <c r="A1053" s="1444"/>
      <c r="C1053" s="937" t="str">
        <f t="shared" si="32"/>
        <v/>
      </c>
      <c r="D1053" s="1447" t="str">
        <f t="shared" si="33"/>
        <v/>
      </c>
    </row>
    <row r="1054" spans="1:4">
      <c r="A1054" s="1444"/>
      <c r="C1054" s="937" t="str">
        <f t="shared" si="32"/>
        <v/>
      </c>
      <c r="D1054" s="1447" t="str">
        <f t="shared" si="33"/>
        <v/>
      </c>
    </row>
    <row r="1055" spans="1:4">
      <c r="A1055" s="1444"/>
      <c r="C1055" s="937" t="str">
        <f t="shared" si="32"/>
        <v/>
      </c>
      <c r="D1055" s="1447" t="str">
        <f t="shared" si="33"/>
        <v/>
      </c>
    </row>
    <row r="1056" spans="1:4">
      <c r="A1056" s="1444"/>
      <c r="C1056" s="937" t="str">
        <f t="shared" si="32"/>
        <v/>
      </c>
      <c r="D1056" s="1447" t="str">
        <f t="shared" si="33"/>
        <v/>
      </c>
    </row>
    <row r="1057" spans="1:4">
      <c r="A1057" s="1444"/>
      <c r="C1057" s="937" t="str">
        <f t="shared" si="32"/>
        <v/>
      </c>
      <c r="D1057" s="1447" t="str">
        <f t="shared" si="33"/>
        <v/>
      </c>
    </row>
    <row r="1058" spans="1:4">
      <c r="A1058" s="1444"/>
      <c r="C1058" s="937" t="str">
        <f t="shared" si="32"/>
        <v/>
      </c>
      <c r="D1058" s="1447" t="str">
        <f t="shared" si="33"/>
        <v/>
      </c>
    </row>
    <row r="1059" spans="1:4">
      <c r="A1059" s="1444"/>
      <c r="C1059" s="937" t="str">
        <f t="shared" si="32"/>
        <v/>
      </c>
      <c r="D1059" s="1447" t="str">
        <f t="shared" si="33"/>
        <v/>
      </c>
    </row>
    <row r="1060" spans="1:4">
      <c r="A1060" s="1444"/>
      <c r="C1060" s="937" t="str">
        <f t="shared" si="32"/>
        <v/>
      </c>
      <c r="D1060" s="1447" t="str">
        <f t="shared" si="33"/>
        <v/>
      </c>
    </row>
    <row r="1061" spans="1:4">
      <c r="A1061" s="1444"/>
      <c r="C1061" s="937" t="str">
        <f t="shared" si="32"/>
        <v/>
      </c>
      <c r="D1061" s="1447" t="str">
        <f t="shared" si="33"/>
        <v/>
      </c>
    </row>
    <row r="1062" spans="1:4">
      <c r="A1062" s="1444"/>
      <c r="C1062" s="937" t="str">
        <f t="shared" si="32"/>
        <v/>
      </c>
      <c r="D1062" s="1447" t="str">
        <f t="shared" si="33"/>
        <v/>
      </c>
    </row>
    <row r="1063" spans="1:4">
      <c r="A1063" s="1444"/>
      <c r="C1063" s="937" t="str">
        <f t="shared" si="32"/>
        <v/>
      </c>
      <c r="D1063" s="1447" t="str">
        <f t="shared" si="33"/>
        <v/>
      </c>
    </row>
    <row r="1064" spans="1:4">
      <c r="A1064" s="1444"/>
      <c r="C1064" s="937" t="str">
        <f t="shared" si="32"/>
        <v/>
      </c>
      <c r="D1064" s="1447" t="str">
        <f t="shared" si="33"/>
        <v/>
      </c>
    </row>
    <row r="1065" spans="1:4">
      <c r="A1065" s="1444"/>
      <c r="C1065" s="937" t="str">
        <f t="shared" si="32"/>
        <v/>
      </c>
      <c r="D1065" s="1447" t="str">
        <f t="shared" si="33"/>
        <v/>
      </c>
    </row>
    <row r="1066" spans="1:4">
      <c r="A1066" s="1444"/>
      <c r="C1066" s="937" t="str">
        <f t="shared" si="32"/>
        <v/>
      </c>
      <c r="D1066" s="1447" t="str">
        <f t="shared" si="33"/>
        <v/>
      </c>
    </row>
    <row r="1067" spans="1:4">
      <c r="A1067" s="1444"/>
      <c r="C1067" s="937" t="str">
        <f t="shared" si="32"/>
        <v/>
      </c>
      <c r="D1067" s="1447" t="str">
        <f t="shared" si="33"/>
        <v/>
      </c>
    </row>
    <row r="1068" spans="1:4">
      <c r="A1068" s="1444"/>
      <c r="C1068" s="937" t="str">
        <f t="shared" si="32"/>
        <v/>
      </c>
      <c r="D1068" s="1447" t="str">
        <f t="shared" si="33"/>
        <v/>
      </c>
    </row>
    <row r="1069" spans="1:4">
      <c r="A1069" s="1444"/>
      <c r="C1069" s="937" t="str">
        <f t="shared" si="32"/>
        <v/>
      </c>
      <c r="D1069" s="1447" t="str">
        <f t="shared" si="33"/>
        <v/>
      </c>
    </row>
    <row r="1070" spans="1:4">
      <c r="A1070" s="1444"/>
      <c r="C1070" s="937" t="str">
        <f t="shared" si="32"/>
        <v/>
      </c>
      <c r="D1070" s="1447" t="str">
        <f t="shared" si="33"/>
        <v/>
      </c>
    </row>
    <row r="1071" spans="1:4">
      <c r="A1071" s="1444"/>
      <c r="C1071" s="937" t="str">
        <f t="shared" si="32"/>
        <v/>
      </c>
      <c r="D1071" s="1447" t="str">
        <f t="shared" si="33"/>
        <v/>
      </c>
    </row>
  </sheetData>
  <protectedRanges>
    <protectedRange password="CC05" sqref="B543" name="範圍1_1_8_1_2_1_1_1_1_1_1_1_1_1_1_2_1_1_1_1_1_1_1_1_1_1_1_1_1_1_2_2_1_1_1_1_2_1_1_2_1_1_1_1_1_1_1_1_1_1_1_1_1_1_2_1"/>
    <protectedRange password="CC05" sqref="A99 A88:A89 A91 A93:A97 A101:A104 A106:A109 A112:A118 A120:A158" name="範圍1_1_4_2_1_1_1_1_2_1_2_3_1_1_1_2_1_1_1_1_1_1_1_1_1_1_1_1_1_2_1_2_3_2_1_1_1_1_2_1_1_2_1_1_1_1_1_1_1_1_1_1_1_1_1_1_2_1"/>
    <protectedRange password="CC05" sqref="B99 B88:B89 B91 B93:B97 B101:B104 B106:B109 B507:B510 B111:B118 B120:B158 B577 B573" name="範圍1_1_4_2_1_1_1_1_1_1_1_2_2_1_1_1_1_1_1_1_1_1_1_1_1_1_1_1_1_1_2_1_2_2_2_1_1_1_1_2_1_1_2_1_1_1_1_1_1_1_1_1_1_1_1_1_1_2_1"/>
    <protectedRange password="CC05" sqref="E156:G156 G157:G158 E157:E158 G88:G89 E88:E89 E96:E97 G91 E142:G142 G104 E91 E93:E94 G505 E505 E568 G568 G93:G102 E108 E460:E461 G107:G109 E510:G510 E507:E509 G507:G509 F524 F530 E113 G113:G124 E115:E124 G143:G155 E143:E155 E99:E104 G126:G141 E126:E141 G573 E577 G576:G577 F474:F475" name="範圍1_1_5_2_1_1_1_1_1_1_1_2_2_1_1_1_1_1_1_1_1_1_1_1_1_1_1_1_1_1_2_1_2_3_2_1_1_1_1_2_1_1_2_1_1_1_1_1_1_1_1_1_1_1_1_1_1_2_1"/>
    <protectedRange password="CC05" sqref="G103 E95 F494 E573" name="範圍1_1_5_2_1_1_1_1_1_1_1_1_1_2_1_1_1_2_1_1_1_1_1_1_1_1_1_1_1_1_1_1_1_1_1_2_1_1_1_1_2_1_1_2_1_1_1_1_1_1_1_1_1_1_1_1_1_1_2_1"/>
    <protectedRange password="CC05" sqref="B110" name="範圍1_1_4_2_1_1_1_2_1_1_1_1_1_1_1_1_1_1_1_1_1_1_1_1_1_1_1_1_1_1_1_1_2_2_1_1_1_1_2_1_1_2_1_1_1_1_1_1_1_1_1_1_1_1_1_1_2_1"/>
    <protectedRange password="CC05" sqref="G106 E106:E107 E114 E494 E109 G494:G495" name="範圍1_1_5_2_1_1_1_1_1_1_1_1_1_1_1_1_1_1_1_1_1_1_1_1_1_1_1_1_1_1_1_1_1_1_1_2_2_1_1_1_1_2_1_1_2_1_1_1_1_1_1_1_1_1_1_1_1_1_1_2_1"/>
    <protectedRange password="CC05" sqref="A90" name="範圍1_1_4_2_1_1_1_1_2_1_2_1_1_2_1_1_1_1_1_1_1_1_1_1_1_1_1_1_1_1_1_1_1_1_1_2_1_1_1_1_2_1_1_2_1_1_1_1_1_1_1_1_1_1_1_1_1_1_2_1"/>
    <protectedRange password="CC05" sqref="B90" name="範圍1_1_4_2_1_1_1_1_1_1_1_2_1_1_2_1_1_1_1_1_1_1_1_1_1_1_1_1_1_1_1_1_1_1_1_1_2_1_1_1_1_2_1_1_2_1_1_1_1_1_1_1_1_1_1_1_1_1_1_2_1"/>
    <protectedRange password="CC05" sqref="E98 G90 E90 E576" name="範圍1_1_5_2_1_1_1_1_1_1_1_2_1_1_2_1_1_1_1_1_1_1_1_1_1_1_1_1_1_1_1_1_1_1_1_1_2_1_1_1_1_2_1_1_2_1_1_1_1_1_1_1_1_1_1_1_1_1_1_2_1"/>
    <protectedRange password="CC05" sqref="A98" name="範圍1_1_4_2_1_1_1_1_2_1_2_1_1_1_1_1_1_1_1_1_1_1_1_1_1_1_2_1_1_1_1_1_1_2_1_1_1_1_2_1_1_2_1_1_1_1_1_1_1_1_1_1_1_1_1_1_2_1"/>
    <protectedRange password="CC05" sqref="B98 B576" name="範圍1_1_4_2_1_1_1_1_1_1_1_2_1_1_1_1_1_1_1_1_1_1_1_1_1_1_1_2_1_1_1_1_1_1_2_1_1_1_1_2_1_1_2_1_1_1_1_1_1_1_1_1_1_1_1_1_1_2_1"/>
    <protectedRange password="CC05" sqref="A100" name="範圍1_1_4_2_1_1_1_1_2_1_2_3_1_1_1_1_1_1_1_1_1_1_1_1_1_1_2_1_1_1_1_1_1_2_1_1_1_1_2_1_1_2_1_1_1_1_1_1_1_1_1_1_1_1_1_1_2_1"/>
    <protectedRange password="CC05" sqref="B100" name="範圍1_1_4_2_1_1_1_1_1_1_1_2_2_1_1_1_1_1_1_1_2_1_1_1_1_1_1_1_1_1_1_1_1_2_1_1_1_1_2_1_1_2_1_1_1_1_1_1_1_1_1_1_1_1_1_1_2_1"/>
    <protectedRange password="CC05" sqref="F157:F158 F568 F507:F508 F143:F155 F133 F136:F141 F516 F520" name="範圍1_1_5_2_1_1_1_1_1_1_1_1_1_2_1_2_1_1_1_1_1_1_1_1_1_1_1_1_1_1_1_2_1_2_2_2_1_1_1_1_2_1_1_2_1_1_1_1_1_1_1_1_1_1_1_1_1_1_2_1"/>
    <protectedRange password="CC05" sqref="A92" name="範圍1_1_4_2_1_1_1_1_2_1_2_3_1_1_1_2_1_1_1_1_1_1_1_1_1_1_1_1_1_1_1_1_1_1_2_1_1_1_1_2_1_1_2_1_1_1_1_1_1_1_1_1_1_1_1_1_1_2_1"/>
    <protectedRange password="CC05" sqref="B92" name="範圍1_1_4_2_1_1_1_1_1_1_1_2_2_1_1_1_1_1_1_1_1_1_1_1_1_1_1_1_1_1_1_1_1_1_1_2_1_1_1_1_2_1_1_2_1_1_1_1_1_1_1_1_1_1_1_1_1_1_2_1"/>
    <protectedRange password="CC05" sqref="G92 E92" name="範圍1_1_5_2_1_1_1_1_1_1_1_2_2_1_1_1_1_1_1_1_1_1_1_1_1_1_1_1_1_1_1_1_1_1_1_2_1_1_1_1_2_1_1_2_1_1_1_1_1_1_1_1_1_1_1_1_1_1_2_1"/>
    <protectedRange password="CC05" sqref="B105" name="範圍1_1_4_2_1_1_1_1_1_1_1_2_2_1_1_1_1_1_1_1_1_1_1_1_1_1_1_1_1_1_2_1_1_1_1_2_1_1_1_1_2_1_1_2_1_1_1_1_1_1_1_1_1_1_1_1_1_1_2_1"/>
    <protectedRange password="CC05" sqref="G105" name="範圍1_1_5_2_1_1_1_1_1_1_1_2_2_1_1_1_1_1_1_1_1_1_1_1_1_1_1_1_1_1_2_1_1_1_1_2_1_1_1_1_2_1_1_2_1_1_1_1_1_1_1_1_1_1_1_1_1_1_2_1"/>
    <protectedRange password="CC05" sqref="A69" name="範圍1_1_8_1_2_1_1_1_1_1_1_1_1_1_1_2_1_1_1_1_1_1_1_1_1_1_1_1_1_1_2_1_1_1_3_1_1_1_1_2_1_1_2_1_1_1_1_1_1_1_1_1_1_1_1_1_1_2_1"/>
    <protectedRange password="CC05" sqref="A28 A9:A14 A3:A7 A63 A65:A68 A86 A40:A41 A70:A77 A48:A54 A16:A22 A43:A46 A31:A38" name="範圍1_1_4_2_1_1_1_1_2_1_2_3_1_1_1_2_1_1_1_1_1_1_1_1_1_1_1_1_1_2_1_2_3_1_1_1_1_1_1_1_1_2_1_1_2_1_1_1_1_1_1_1_1_1_1_1_1_1_1_2_1"/>
    <protectedRange password="CC05" sqref="B48:B50 B9:B14 B16:B18 B3:B7 B41:B46 B35:B38" name="範圍1_1_4_2_1_1_1_2_1_1_2_1_1_1_2_1_1_1_1_1_1_1_1_1_1_1_1_1_1_1_1_1_1_1_1_1_1_1_1_1_2_1_1_2_1_1_1_1_1_1_1_1_1_1_1_1_1_1_2_1"/>
    <protectedRange password="CC05" sqref="B19:B22 B28 B63 B51:B55 B86 B65:B78 B31:B34" name="範圍1_1_4_2_1_1_1_1_1_1_1_2_2_1_1_1_1_1_1_1_1_1_1_1_1_1_1_1_1_1_2_1_2_2_1_1_1_1_1_1_1_1_2_1_1_2_1_1_1_1_1_1_1_1_1_1_1_1_1_1_2_1"/>
    <protectedRange password="CC05" sqref="A24 A79" name="範圍1_1_4_2_1_1_1_1_2_1_2_1_1_1_1_1_1_1_1_1_1_1_1_1_1_1_1_1_1_1_1_1_1_1_1_1_1_1_1_1_1_1_2_1_1_2_1_1_1_1_1_1_1_1_1_1_1_1_1_1_2_1"/>
    <protectedRange password="CC05" sqref="B24 B79" name="範圍1_1_4_2_1_1_1_1_1_1_1_2_1_1_1_1_1_1_1_1_1_1_1_1_1_1_1_1_1_1_1_1_1_1_1_1_1_1_1_1_1_1_1_2_1_1_2_1_1_1_1_1_1_1_1_1_1_1_1_1_1_2_1"/>
    <protectedRange password="CC05" sqref="E28 G65 E86 G86 E63 G63 E52:E56 G51:G55 E65 E67:E80 G68:G78 G28 F47 F49:F51 G19:G22 E19:E22 G31:G34 E31:E36 E43" name="範圍1_1_5_2_1_1_1_1_1_1_1_2_2_1_1_1_1_1_1_1_1_1_1_1_1_1_1_1_1_1_2_1_2_3_1_1_1_1_1_1_1_1_2_1_1_2_1_1_1_1_1_1_1_1_1_1_1_1_1_1_2_1"/>
    <protectedRange password="CC05" sqref="E3:G7 G67 F533 F79 F89:F90 F92 F54:F57 F67:F68 F61 F63 F76:F77 F349 F52 F15 E9:F9 F351 F353 F359 F333 F295 F308 F321:F322 F325 F335 F337 F343 F301 E10:G14 F311:F314 G35:G36 F305 F317:F318 E48:E51 G48:G50 E16:G18 F255 F262:F264 F269 F19:F23 E39 E25:F25 F231 F243 F245:F246 F26:F34 F251 F37:F40 E41:G41 E44:G46 F240 F42:G43" name="範圍1_1_5_2_1_1_1_1_1_1_1_1_1_2_1_1_1_2_1_1_1_1_1_1_1_1_1_1_1_1_1_1_1_1_1_1_2_1_1_1_1_1_1_2_1_1_2_1_1_1_1_1_1_1_1_2_1_1_1_1_1_2_1"/>
    <protectedRange password="CC05" sqref="E24 G24 G79 E37:E38 G37:G38" name="範圍1_1_5_2_1_1_1_1_1_1_1_2_1_1_1_1_1_1_1_1_1_1_1_1_1_1_1_1_1_1_1_1_1_1_1_1_1_1_1_1_1_1_1_2_1_1_2_1_1_1_1_1_1_1_1_1_1_1_1_1_1_2_1"/>
    <protectedRange password="CC05" sqref="A39 A8 A84" name="範圍1_1_4_2_1_1_1_1_2_1_2_2_1_1_1_1_1_1_1_1_1_1_1_1_1_1_1_1_1_1_1_1_1_1_1_1_1_1_1_1_1_1_2_1_1_2_1_1_1_1_1_1_1_1_2_1_1_1_1_1_2_1"/>
    <protectedRange password="CC05" sqref="B8 B84 B39:B40" name="範圍1_1_4_2_1_1_1_2_1_1_1_1_1_1_1_1_1_1_1_1_1_1_1_1_1_1_1_1_1_1_1_1_2_1_1_1_1_1_1_1_1_2_1_1_2_1_1_1_1_1_1_1_1_2_1_1_1_1_1_2_1"/>
    <protectedRange password="CC05" sqref="E8:G8 E84 G84 F53 F60 F62 F64:F66 F69:F75 G39" name="範圍1_1_5_2_1_1_1_1_1_1_1_1_1_1_1_1_1_1_1_1_1_1_1_1_1_1_1_1_1_1_1_1_1_1_1_2_1_1_1_1_1_1_1_1_2_1_1_2_1_1_1_1_1_1_1_1_2_1_1_1_1_1_2_1"/>
    <protectedRange password="CC05" sqref="A29 A85 A78 A55" name="範圍1_1_4_2_1_1_1_1_2_1_2_1_1_2_1_1_1_1_1_1_1_1_1_1_1_1_1_1_1_1_1_1_1_1_1_1_1_1_1_1_1_1_1_2_1_1_2_1_1_1_1_1_1_1_1_1_1_1_1_1_1_2_1"/>
    <protectedRange password="CC05" sqref="B29 B85" name="範圍1_1_4_2_1_1_1_1_1_1_1_2_1_1_2_1_1_1_1_1_1_1_1_1_1_1_1_1_1_1_1_1_1_1_1_1_1_1_1_1_1_1_1_1_2_1_1_2_1_1_1_1_1_1_1_1_1_1_1_1_1_1_2_1"/>
    <protectedRange password="CC05" sqref="G85 E85 G29 F48 E29:E30 F249:F250" name="範圍1_1_5_2_1_1_1_1_1_1_1_2_1_1_2_1_1_1_1_1_1_1_1_1_1_1_1_1_1_1_1_1_1_1_1_1_1_1_1_1_1_1_1_1_2_1_1_2_1_1_1_1_1_1_1_1_1_1_1_1_1_1_2_1"/>
    <protectedRange password="CC05" sqref="A30" name="範圍1_1_4_2_1_1_1_1_2_1_2_1_1_1_1_1_1_1_1_1_1_1_1_1_1_1_2_1_1_1_1_1_1_1_1_1_1_1_1_1_1_2_1_1_2_1_1_1_1_1_1_1_1_1_1_1_1_1_1_2_1"/>
    <protectedRange password="CC05" sqref="B30" name="範圍1_1_4_2_1_1_1_1_1_1_1_2_1_1_1_1_1_1_1_1_1_1_1_1_1_1_1_2_1_1_1_1_1_1_1_1_1_1_1_1_1_1_2_1_1_2_1_1_1_1_1_1_1_1_1_1_1_1_1_1_2_1"/>
    <protectedRange password="CC05" sqref="G30 G64 G87 G66" name="範圍1_1_5_2_1_1_1_1_1_1_1_2_1_1_1_1_1_1_1_1_1_1_1_1_1_1_1_2_1_1_1_1_1_1_1_1_1_1_1_1_1_1_2_1_1_2_1_1_1_1_1_1_1_1_1_1_1_1_1_1_2_1"/>
    <protectedRange password="CC05" sqref="A64 A87" name="範圍1_1_4_2_1_1_1_1_2_1_2_3_1_1_1_1_1_1_1_1_1_1_1_1_1_1_2_1_1_1_1_1_1_1_1_1_1_1_1_1_1_2_1_1_2_1_1_1_1_1_1_1_1_1_1_1_1_1_1_2_1"/>
    <protectedRange password="CC05" sqref="B64 B87" name="範圍1_1_4_2_1_1_1_1_1_1_1_2_2_1_1_1_1_1_1_1_2_1_1_1_1_1_1_1_1_1_1_1_1_1_1_1_1_1_1_1_1_2_1_1_2_1_1_1_1_1_1_1_1_1_1_1_1_1_1_2_1"/>
    <protectedRange password="CC05" sqref="E64 E87 E66" name="範圍1_1_5_2_1_1_1_1_1_1_1_2_2_1_1_1_1_1_1_1_2_1_1_1_1_1_1_1_1_1_1_1_1_1_1_1_1_1_1_1_1_2_1_1_2_1_1_1_1_1_1_1_1_1_1_1_1_1_1_2_1"/>
    <protectedRange password="CC05" sqref="A25:A27 A80 A82:A83" name="範圍1_1_4_2_1_1_1_1_2_1_2_3_1_2_1_1_1_1_1_1_1_1_1_1_1_1_1_1_1_1_1_1_1_1_1_1_1_1_1_1_1_2_1_1_2_1_1_1_1_1_1_1_1_1_1_1_1_1_1_2_1"/>
    <protectedRange password="CC05" sqref="B25:B27 B80 B82:B83" name="範圍1_1_4_2_1_1_1_2_1_1_2_1_2_1_1_1_1_1_1_1_1_1_1_1_1_1_1_1_1_1_1_1_1_1_1_1_1_1_1_1_2_1_1_2_1_1_1_1_1_1_1_1_1_1_1_1_1_1_2_1"/>
    <protectedRange password="CC05" sqref="E82:E83 F121:F125 F127 F102:F103 F93 F573 F95 G80 G82:G83 G25:G27 E26:E27 G40 E40 E42" name="範圍1_1_5_2_1_1_1_1_1_1_1_1_1_2_1_2_1_1_1_1_1_1_1_1_1_1_1_1_1_1_1_2_1_2_2_1_1_1_1_1_1_1_1_2_1_1_2_1_1_1_1_1_1_1_1_1_1_1_1_1_1_2_1"/>
    <protectedRange password="CC05" sqref="A15" name="範圍1_1_4_2_1_1_1_1_2_1_2_3_1_1_1_1_1_1_1_1_1_1_1_1_1_1_1_1_1_1_1_1_1_1_1_1_1_1_1_1_1_1_2_1_1_2_1_1_1_1_1_1_1_1_1_1_1_1_1_1_2_1"/>
    <protectedRange password="CC05" sqref="B47 B15" name="範圍1_1_4_2_1_1_1_2_1_1_2_1_1_1_1_1_1_1_1_1_1_1_1_1_1_1_1_1_1_1_1_1_1_1_1_1_1_1_1_1_1_2_1_1_2_1_1_1_1_1_1_1_1_1_1_1_1_1_1_2_1"/>
    <protectedRange password="CC05" sqref="E15 G15" name="範圍1_1_5_2_1_1_1_1_1_1_1_1_1_2_1_1_1_1_1_1_1_1_1_1_1_1_1_1_1_1_1_1_1_1_1_1_1_1_1_1_1_1_1_1_2_1_1_2_1_1_1_1_1_1_1_1_1_1_1_1_1_1_2_1"/>
    <protectedRange password="CC05" sqref="A56 A58 A60" name="範圍1_1_4_2_1_1_1_1_2_1_2_3_1_1_1_2_1_1_1_1_1_1_1_1_1_1_1_1_1_2_1_2_1_1_1_2_1_1_1_1_1_1_2_1_1_2_1_1_1_1_1_1_1_1_1_1_1_1_1_1_2_1"/>
    <protectedRange password="CC05" sqref="B56 B58 B60" name="範圍1_1_4_2_1_1_1_1_1_1_1_2_2_1_1_1_1_1_1_1_1_1_1_1_1_1_1_1_1_1_2_1_2_1_1_1_2_1_1_1_1_1_1_2_1_1_2_1_1_1_1_1_1_1_1_1_1_1_1_1_1_2_1"/>
    <protectedRange password="CC05" sqref="G56 E58:G58 E60:E61 G60" name="範圍1_1_5_2_1_1_1_1_1_1_1_2_2_1_1_1_1_1_1_1_1_1_1_1_1_1_1_1_1_1_2_1_2_1_1_1_2_1_1_1_1_1_1_2_1_1_2_1_1_1_1_1_1_1_1_1_1_1_1_1_1_2_1"/>
    <protectedRange password="CC05" sqref="A61" name="範圍1_1_4_2_1_1_1_1_2_1_2_3_1_1_1_2_1_1_1_1_1_1_1_1_1_1_1_1_1_2_1_2_2_1_1_1_1_1_1_1_1_1_2_1_1_2_1_1_1_1_1_1_1_1_1_1_1_1_1_1_2_1"/>
    <protectedRange password="CC05" sqref="B61" name="範圍1_1_4_2_1_1_1_2_1_1_1_1_1_1_1_1_1_1_1_1_1_1_1_1_1_1_1_1_1_1_1_1_1_1_1_1_1_1_1_1_1_1_2_1_1_2_1_1_1_1_1_1_1_1_1_1_1_1_1_1_2_1"/>
    <protectedRange password="CC05" sqref="G61" name="範圍1_1_5_2_1_1_1_1_1_1_1_1_1_1_1_1_1_1_1_1_1_1_1_1_1_1_1_1_1_1_1_1_1_1_1_1_1_1_1_1_1_1_1_1_1_2_1_1_2_1_1_1_1_1_1_1_1_1_1_1_1_1_1_2_1"/>
    <protectedRange password="CC05" sqref="F505:F506 F509 F134:F135 F126 F130:F132 F104:F120 F94 F576:F577 F96:F101 F580 F582 F78 F80 F587:F588 F594 F591:F592 F82:F88 F91" name="範圍1_1_5_2_1_1_1_1_1_1_1_1_1_2_1_1_1_2_1_1_1_1_1_1_1_1_1_1_1_1_1_1_1_1_1_1_1_1_1_1_1_1_1_1_2_1_1_2_1_1_1_1_1_1_1_1_1_1_1_1_1_1_2_1"/>
    <protectedRange password="CC05" sqref="A57" name="範圍1_1_4_2_1_1_1_1_2_1_2_3_1_1_1_2_1_1_1_1_1_1_1_1_1_1_1_1_1_2_1_2_1_1_1_1_1_1_1_1_1_1_1_2_1_1_2_1_1_1_1_1_1_1_1_1_1_1_1_1_1_2_1"/>
    <protectedRange password="CC05" sqref="B57" name="範圍1_1_4_2_1_1_1_1_1_1_1_2_2_1_1_1_1_1_1_1_1_1_1_1_1_1_1_1_1_1_2_1_2_1_1_1_1_1_1_1_1_1_1_1_2_1_1_2_1_1_1_1_1_1_1_1_1_1_1_1_1_1_2_1"/>
    <protectedRange password="CC05" sqref="E57 G57" name="範圍1_1_5_2_1_1_1_1_1_1_1_2_2_1_1_1_1_1_1_1_1_1_1_1_1_1_1_1_1_1_2_1_2_1_1_1_1_1_1_1_1_1_1_1_2_1_1_2_1_1_1_1_1_1_1_1_1_1_1_1_1_1_2_1"/>
    <protectedRange password="CC05" sqref="A161:B162" name="範圍1_1_1_2_2_1_1_1_3_1_1_2_1_1_1_1_1_1_1_1_1_1_1_2_1_1_1_1_1_1_1_1_1_1_1_1_1_1_1_1_1_2_1_1_2_1_1_1_1_1_1_1_1_1_1_1_1_1_1_2_1"/>
    <protectedRange password="CC05" sqref="E161:G162" name="範圍1_1_3_2_2_1_1_1_3_1_1_2_1_1_1_1_1_1_1_1_1_1_1_2_1_1_1_1_1_1_1_1_1_1_1_1_1_1_1_1_1_2_1_1_2_1_1_1_1_1_1_1_1_1_1_1_1_1_1_2_1"/>
    <protectedRange password="CC05" sqref="A47 A246:B246 A311:B313 A315:B322 A314" name="範圍1_1_8_1_2_1_1_1_1_1_1_1_1_1_1_1_1_2_1_1_1_1_1_1_1_1_1_1_1_1_1_1_1_1_1_1_1_1_2_1_1_2_1_1_1_1_1_1_1_1_1_1_1_1_1_1_2_1"/>
    <protectedRange password="CC05" sqref="A287:B287 A310:B310" name="範圍1_1_8_1_2_1_1_1_1_1_1_1_1_2_1_1_1_1_1_1_1_1_1_1_1_1_1_1_1_1_1_1_1_1_1_1_1_2_1_1_2_1_1_1_1_1_1_1_1_1_1_1_1_1_1_2_1"/>
    <protectedRange password="CC05" sqref="A265:B270 B257 B314 A276:B286" name="範圍1_1_8_1_2_1_1_1_1_1_1_1_1_1_1_2_1_1_1_1_1_1_1_1_1_1_1_1_1_1_2_1_1_1_2_1_1_1_1_1_2_1_1_2_1_1_1_1_1_1_1_1_2_1_1_1_1_1_2_1"/>
    <protectedRange password="CC05" sqref="F391 F400 F402" name="範圍1_1_7_2_1_1_1_2_2_1_1_1_1_1_1_1_2_1_1_1_1_1_1_1_1_1_1_1_1_1_1_1_1_1_1_1_1_1_1_1_2_1_1_2_1_1_1_1_1_1_1_1_1_1_1_1_1_1_2_1"/>
    <protectedRange password="CC05" sqref="A59" name="範圍1_1_4_2_1_1_1_1_2_1_2_3_1_1_1_2_1_1_1_1_1_1_1_1_1_1_1_1_1_2_1_2_3_1_1_1_1_1_1_1_1_2_1_1_2_1_1_2_1_1_1_1_1_1_1_1_1_1_2_1"/>
    <protectedRange password="CC05" sqref="B59" name="範圍1_1_4_2_1_1_1_2_1_1_2_1_1_1_2_1_1_1_1_1_1_1_1_1_1_1_1_1_1_1_1_1_1_1_1_1_1_1_1_1_2_1_1_2_1_1_2_1_1_1_1_1_1_1_1_1_1_2_1"/>
    <protectedRange password="CC05" sqref="E59:G59" name="範圍1_1_5_2_1_1_1_1_1_1_1_1_1_2_1_1_1_2_1_1_1_1_1_1_1_1_1_1_1_1_1_1_1_1_1_1_2_1_1_1_1_1_1_2_1_1_2_1_1_2_1_1_1_1_1_1_1_1_1_1_2_1"/>
    <protectedRange password="CC05" sqref="A23" name="範圍1_1_4_2_1_1_1_1_2_1_2_2_1_1_1_1_1_1_1_1_1_1_1_1_1_1_1_1_1_1_1_1_1_1_1_1_1_1_1_1_1_1_2_1_1_2_1_1_1_1_1_1_1_1_1_1_1_1_1_1_1_2_1"/>
    <protectedRange password="CC05" sqref="B23" name="範圍1_1_4_2_1_1_1_2_1_1_1_1_1_1_1_1_1_1_1_1_1_1_1_1_1_1_1_1_1_1_1_1_2_1_1_1_1_1_1_1_1_2_1_1_2_1_1_1_1_1_1_1_1_1_1_1_1_1_1_1_2_1"/>
    <protectedRange password="CC05" sqref="E23 G23" name="範圍1_1_5_2_1_1_1_1_1_1_1_1_1_1_1_1_1_1_1_1_1_1_1_1_1_1_1_1_1_1_1_1_1_1_1_2_1_1_1_1_1_1_1_1_2_1_1_2_1_1_1_1_1_1_1_1_1_1_1_1_1_1_1_2_1"/>
    <protectedRange password="CC05" sqref="A271:B275" name="範圍1_1_8_1_2_1_1_1_1_1_1_1_1_1_1_2_1_1_1_1_1_1_1_1_1_1_1_1_1_1_2_1_1_1_2_1_1_1_1_1_2_1_1_2_1_1_1_1_1_1_1_1_1_1_1_1_1_1_1_2_1"/>
  </protectedRanges>
  <phoneticPr fontId="12" type="noConversion"/>
  <dataValidations count="1">
    <dataValidation type="list" allowBlank="1" showInputMessage="1" showErrorMessage="1" sqref="K2:K1035" xr:uid="{A77AE1A0-8898-48B9-AF07-7DF0B026B5DC}">
      <formula1>DTY紙管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AF21-FC1F-4774-BCE2-37C2ECFC6191}">
  <sheetPr codeName="工作表16">
    <tabColor rgb="FF7030A0"/>
  </sheetPr>
  <dimension ref="A1:AV1231"/>
  <sheetViews>
    <sheetView zoomScale="70" zoomScaleNormal="70" workbookViewId="0">
      <pane ySplit="1" topLeftCell="A1199" activePane="bottomLeft" state="frozen"/>
      <selection activeCell="A3108" sqref="A3108"/>
      <selection pane="bottomLeft" activeCell="A1232" sqref="A1232:XFD1262"/>
    </sheetView>
  </sheetViews>
  <sheetFormatPr defaultRowHeight="16.5"/>
  <cols>
    <col min="1" max="1" width="9.5" style="974" bestFit="1" customWidth="1"/>
    <col min="2" max="2" width="5.5" style="974" bestFit="1" customWidth="1"/>
    <col min="3" max="3" width="9" style="974"/>
    <col min="4" max="4" width="3.25" style="974" customWidth="1"/>
    <col min="5" max="5" width="18.5" style="974" customWidth="1"/>
    <col min="6" max="6" width="24.25" style="974" customWidth="1"/>
    <col min="7" max="7" width="6" style="974" bestFit="1" customWidth="1"/>
    <col min="8" max="8" width="9" style="974"/>
    <col min="9" max="9" width="5.25" style="974" customWidth="1"/>
    <col min="10" max="25" width="5.75" style="1003" customWidth="1"/>
    <col min="26" max="26" width="7.625" style="1004" bestFit="1" customWidth="1"/>
    <col min="27" max="27" width="7.25" style="1005" customWidth="1"/>
    <col min="28" max="28" width="9" style="1003"/>
    <col min="29" max="29" width="10.625" style="1004" bestFit="1" customWidth="1"/>
    <col min="30" max="30" width="7.375" style="1004" customWidth="1"/>
    <col min="31" max="31" width="7.875" style="1004" customWidth="1"/>
    <col min="32" max="32" width="4.625" style="1003" customWidth="1"/>
    <col min="33" max="33" width="4.875" style="1003" customWidth="1"/>
    <col min="34" max="37" width="10.875" style="974" customWidth="1"/>
    <col min="38" max="38" width="7.625" style="1003" customWidth="1"/>
    <col min="39" max="43" width="9" style="974"/>
    <col min="44" max="44" width="11.125" style="974" customWidth="1"/>
    <col min="45" max="45" width="6" style="974" bestFit="1" customWidth="1"/>
    <col min="46" max="46" width="5" style="974" bestFit="1" customWidth="1"/>
    <col min="47" max="47" width="6.25" style="974" customWidth="1"/>
    <col min="48" max="48" width="9.5" style="974" bestFit="1" customWidth="1"/>
  </cols>
  <sheetData>
    <row r="1" spans="1:48" ht="50.25" thickBot="1">
      <c r="A1" s="950" t="s">
        <v>37</v>
      </c>
      <c r="B1" s="950" t="s">
        <v>38</v>
      </c>
      <c r="C1" s="950" t="s">
        <v>39</v>
      </c>
      <c r="D1" s="951" t="s">
        <v>40</v>
      </c>
      <c r="E1" s="952" t="s">
        <v>41</v>
      </c>
      <c r="F1" s="953" t="s">
        <v>42</v>
      </c>
      <c r="G1" s="953" t="s">
        <v>43</v>
      </c>
      <c r="H1" s="953" t="s">
        <v>83</v>
      </c>
      <c r="I1" s="954" t="s">
        <v>84</v>
      </c>
      <c r="J1" s="950" t="s">
        <v>44</v>
      </c>
      <c r="K1" s="950" t="s">
        <v>45</v>
      </c>
      <c r="L1" s="950" t="s">
        <v>46</v>
      </c>
      <c r="M1" s="950" t="s">
        <v>46</v>
      </c>
      <c r="N1" s="955" t="s">
        <v>47</v>
      </c>
      <c r="O1" s="950" t="s">
        <v>48</v>
      </c>
      <c r="P1" s="950" t="s">
        <v>49</v>
      </c>
      <c r="Q1" s="950" t="s">
        <v>49</v>
      </c>
      <c r="R1" s="955" t="s">
        <v>50</v>
      </c>
      <c r="S1" s="950" t="s">
        <v>51</v>
      </c>
      <c r="T1" s="950" t="s">
        <v>52</v>
      </c>
      <c r="U1" s="950" t="s">
        <v>52</v>
      </c>
      <c r="V1" s="955" t="s">
        <v>53</v>
      </c>
      <c r="W1" s="950" t="s">
        <v>54</v>
      </c>
      <c r="X1" s="950" t="s">
        <v>55</v>
      </c>
      <c r="Y1" s="956" t="s">
        <v>55</v>
      </c>
      <c r="Z1" s="1399" t="s">
        <v>56</v>
      </c>
      <c r="AA1" s="957" t="s">
        <v>57</v>
      </c>
      <c r="AB1" s="1400" t="s">
        <v>58</v>
      </c>
      <c r="AC1" s="957" t="s">
        <v>59</v>
      </c>
      <c r="AD1" s="957" t="s">
        <v>60</v>
      </c>
      <c r="AE1" s="957" t="s">
        <v>85</v>
      </c>
      <c r="AF1" s="958" t="s">
        <v>61</v>
      </c>
      <c r="AG1" s="1401" t="s">
        <v>62</v>
      </c>
      <c r="AH1" s="1321" t="s">
        <v>718</v>
      </c>
      <c r="AI1" s="960" t="s">
        <v>719</v>
      </c>
      <c r="AJ1" s="960" t="s">
        <v>720</v>
      </c>
      <c r="AK1" s="1402" t="s">
        <v>721</v>
      </c>
      <c r="AL1" s="959" t="s">
        <v>15983</v>
      </c>
      <c r="AM1" s="960" t="s">
        <v>15984</v>
      </c>
      <c r="AN1" s="960" t="s">
        <v>15985</v>
      </c>
      <c r="AO1" s="960" t="s">
        <v>15986</v>
      </c>
      <c r="AP1" s="960" t="s">
        <v>15987</v>
      </c>
      <c r="AQ1" s="960" t="s">
        <v>15988</v>
      </c>
      <c r="AR1" s="961" t="s">
        <v>15989</v>
      </c>
      <c r="AS1" s="953" t="s">
        <v>15990</v>
      </c>
      <c r="AT1" s="953" t="s">
        <v>15991</v>
      </c>
      <c r="AU1" s="953" t="s">
        <v>15992</v>
      </c>
      <c r="AV1" s="953" t="s">
        <v>15993</v>
      </c>
    </row>
    <row r="2" spans="1:48">
      <c r="A2" s="962">
        <v>46143</v>
      </c>
      <c r="B2" s="963" t="s">
        <v>212</v>
      </c>
      <c r="C2" s="963" t="s">
        <v>16724</v>
      </c>
      <c r="D2" s="1403"/>
      <c r="E2" s="964" t="str">
        <f>IFERROR(VLOOKUP(C2, [6]條件!$A:$L, 5, 0), "")</f>
        <v>75/72CE</v>
      </c>
      <c r="F2" s="965" t="str">
        <f>IFERROR(VLOOKUP(C2, [6]條件!$A:$L, 6, 0), "")</f>
        <v>FP01422</v>
      </c>
      <c r="G2" s="1404">
        <f>IFERROR(VLOOKUP(C2, [6]條件!$A:$L, 7, 0), "")</f>
        <v>500</v>
      </c>
      <c r="H2" s="965" t="str">
        <f>IF(ISNA(VLOOKUP(C2,[6]條件!$A$1:$K$932,11,0)),"",(VLOOKUP(C2,[6]條件!$A$1:$K$932,11,0)))</f>
        <v>藍底白十字</v>
      </c>
      <c r="I2" s="966">
        <f>IF(ISNA(VLOOKUP(C2,[6]條件!$A$1:$L$932,12,0)),"",(VLOOKUP(C2,[6]條件!$A$1:$L$932,12,0)))</f>
        <v>2</v>
      </c>
      <c r="J2" s="967"/>
      <c r="K2" s="967"/>
      <c r="L2" s="968" t="s">
        <v>127</v>
      </c>
      <c r="M2" s="968"/>
      <c r="N2" s="969"/>
      <c r="O2" s="967"/>
      <c r="P2" s="968" t="s">
        <v>127</v>
      </c>
      <c r="Q2" s="968"/>
      <c r="R2" s="969"/>
      <c r="S2" s="967"/>
      <c r="T2" s="981" t="s">
        <v>632</v>
      </c>
      <c r="U2" s="968"/>
      <c r="V2" s="969"/>
      <c r="W2" s="967"/>
      <c r="X2" s="981" t="s">
        <v>632</v>
      </c>
      <c r="Y2" s="970"/>
      <c r="Z2" s="1405">
        <f>IFERROR(VLOOKUP(C2, [6]條件!$A:$L, 3, 0), "")</f>
        <v>3</v>
      </c>
      <c r="AA2" s="971" t="str">
        <f>IF(OR(L2={"改紡","檢修","了機","清車","FINAL","停機","SAMPLE","TEST","絲開發"}), L2, IFERROR(IF(C2="", "", (SUM(J2, N2, R2, V2)/3 * AG2) * IF(AND(AF2="S", AS2="雙"), 0.5, 1)), ""))</f>
        <v>了機</v>
      </c>
      <c r="AB2" s="1406" t="str">
        <f t="shared" ref="AB2:AB32" si="0">IF(K2="","",IF(ISERROR(1-(SUM(K2,O2,S2,W2)/208/Z2)),"",(1-(SUM(K2,O2,S2,W2)/208/Z2))))</f>
        <v/>
      </c>
      <c r="AC2" s="971" t="str">
        <f>IF(OR(L2={"改紡","檢修","了機","清車","FINAL","停機","SAMPLE","TEST"}), "", IFERROR(IF(C2="", "", AVERAGE(L2:M2, P2:Q2, T2:U2, X2:Y2)/100), ""))</f>
        <v/>
      </c>
      <c r="AD2" s="971" t="str">
        <f t="shared" ref="AD2:AD65" si="1">IF(ISERROR(AA2/8),"",(AA2/8))</f>
        <v/>
      </c>
      <c r="AE2" s="971" t="str">
        <f>IF(OR(L2="改紡", L2="檢修", L2="了機"), "",
   IF(AND(C2&lt;&gt;"", J2&lt;&gt;""),
      IFERROR((SUM(J2, N2, R2, V2) - SUM(K2, O2, S2, W2))/24 * AG2, ""),
   "")
)</f>
        <v/>
      </c>
      <c r="AF2" s="972" t="str">
        <f t="shared" ref="AF2:AF65" si="2">LEFT(B2, 1)</f>
        <v>A</v>
      </c>
      <c r="AG2" s="1407">
        <v>1</v>
      </c>
      <c r="AH2" s="1001" t="s">
        <v>16154</v>
      </c>
      <c r="AI2" s="1001" t="s">
        <v>16154</v>
      </c>
      <c r="AJ2" s="1166" t="s">
        <v>630</v>
      </c>
      <c r="AK2" s="1408" t="s">
        <v>630</v>
      </c>
      <c r="AL2" s="1409">
        <v>52</v>
      </c>
      <c r="AM2" s="1322">
        <v>46126</v>
      </c>
      <c r="AN2" s="1322">
        <v>46127</v>
      </c>
      <c r="AO2" s="1322">
        <v>46128</v>
      </c>
      <c r="AP2" s="1322">
        <v>46131</v>
      </c>
      <c r="AQ2" s="1322">
        <v>46132</v>
      </c>
      <c r="AR2" s="973"/>
      <c r="AS2" s="965" t="str">
        <f t="shared" ref="AS2:AS65" si="3">IF(RIGHT(F2, 2) = "×2", "雙", "單")</f>
        <v>單</v>
      </c>
      <c r="AT2" s="965" t="str">
        <f t="shared" ref="AT2:AT65" si="4">IF(OR(AF2="J", AF2="T", AF2="M"), IF(AG2=1, "全", "半"), IF(AF2="A", IF(AG2=0.5, IF(AS2="雙", "全", ""), IF(AG2=1, IF(AS2="雙", "半", "全"), IF(AG2=2, "半", ""))), IF(AF2="S", AG2 &amp; "sec", "")))</f>
        <v>全</v>
      </c>
      <c r="AU2" s="965">
        <f t="shared" ref="AU2:AU65" si="5">IFERROR(VALUE(LEFT(E2, FIND("/", E2)-1)), "")</f>
        <v>75</v>
      </c>
      <c r="AV2" s="965" t="str">
        <f t="shared" ref="AV2:AV65" si="6">IFERROR(IF(AF2="S", (AU2*G2*AC2*0.03456/100/1000) * (AG2*12/144) * IF(AS2="單", 1, 0.5), IF(AF2="A", (AU2*G2*AC2*0.03456/100/1000) * IF(AT2="全", 1, 0.5), IF(OR(AF2="T", AF2="J", AF2="M"), (AU2*G2*AC2*0.03456/100/1000) * IF(AS2="單", 1, 2) * IF(AT2="全", 1, 0.5), 0))), "")</f>
        <v/>
      </c>
    </row>
    <row r="3" spans="1:48">
      <c r="A3" s="975">
        <f t="shared" ref="A3:A42" si="7">A2</f>
        <v>46143</v>
      </c>
      <c r="B3" s="976" t="s">
        <v>214</v>
      </c>
      <c r="C3" s="976" t="s">
        <v>16708</v>
      </c>
      <c r="D3" s="1410"/>
      <c r="E3" s="977" t="str">
        <f>IFERROR(VLOOKUP(C3, [6]條件!$A:$L, 5, 0), "")</f>
        <v>75/36SDR</v>
      </c>
      <c r="F3" s="978" t="str">
        <f>IFERROR(VLOOKUP(C3, [6]條件!$A:$L, 6, 0), "")</f>
        <v>FP81386R</v>
      </c>
      <c r="G3" s="1411">
        <f>IFERROR(VLOOKUP(C3, [6]條件!$A:$L, 7, 0), "")</f>
        <v>780</v>
      </c>
      <c r="H3" s="978" t="str">
        <f>IF(ISNA(VLOOKUP(C3,[6]條件!$A$1:$K$932,11,0)),"",(VLOOKUP(C3,[6]條件!$A$1:$K$932,11,0)))</f>
        <v>綠底白點</v>
      </c>
      <c r="I3" s="979">
        <f>IF(ISNA(VLOOKUP(C3,[6]條件!$A$1:$L$932,12,0)),"",(VLOOKUP(C3,[6]條件!$A$1:$L$932,12,0)))</f>
        <v>5</v>
      </c>
      <c r="J3" s="980">
        <v>11</v>
      </c>
      <c r="K3" s="980">
        <v>0</v>
      </c>
      <c r="L3" s="981">
        <v>9306</v>
      </c>
      <c r="M3" s="981">
        <v>8249</v>
      </c>
      <c r="N3" s="982">
        <v>11</v>
      </c>
      <c r="O3" s="980">
        <v>0</v>
      </c>
      <c r="P3" s="981">
        <v>9064</v>
      </c>
      <c r="Q3" s="981">
        <v>8396</v>
      </c>
      <c r="R3" s="982">
        <v>10</v>
      </c>
      <c r="S3" s="980">
        <v>0</v>
      </c>
      <c r="T3" s="981">
        <v>9178</v>
      </c>
      <c r="U3" s="981">
        <v>8393</v>
      </c>
      <c r="V3" s="982">
        <v>15</v>
      </c>
      <c r="W3" s="980">
        <v>0</v>
      </c>
      <c r="X3" s="981">
        <v>9306</v>
      </c>
      <c r="Y3" s="983">
        <v>8371</v>
      </c>
      <c r="Z3" s="1412">
        <f>IFERROR(VLOOKUP(C3, [6]條件!$A:$L, 3, 0), "")</f>
        <v>1.7777777777777777</v>
      </c>
      <c r="AA3" s="984">
        <f>IF(OR(L3={"改紡","檢修","了機","清車","FINAL","停機","SAMPLE","TEST","絲開發"}), L3, IFERROR(IF(C3="", "", (SUM(J3, N3, R3, V3)/3 * AG3) * IF(AND(AF3="S", AS3="雙"), 0.5, 1)), ""))</f>
        <v>15.666666666666666</v>
      </c>
      <c r="AB3" s="1413">
        <f t="shared" si="0"/>
        <v>1</v>
      </c>
      <c r="AC3" s="984">
        <f>IF(OR(L3={"改紡","檢修","了機","清車","FINAL","停機","SAMPLE","TEST"}), "", IFERROR(IF(C3="", "", AVERAGE(L3:M3, P3:Q3, T3:U3, X3:Y3)/100), ""))</f>
        <v>87.828749999999999</v>
      </c>
      <c r="AD3" s="984">
        <f t="shared" si="1"/>
        <v>1.9583333333333333</v>
      </c>
      <c r="AE3" s="984">
        <f t="shared" ref="AE3:AE10" si="8">IF(OR(L3="改紡", L3="檢修", L3="了機"), "",
IF(AND(C3&lt;&gt;"", J3&lt;&gt;""),
IFERROR((SUM(J3, N3, R3, V3) - SUM(K3, O3, S3, W3))/24 * AG3, ""),
"")
)</f>
        <v>1.9583333333333333</v>
      </c>
      <c r="AF3" s="985" t="str">
        <f t="shared" si="2"/>
        <v>A</v>
      </c>
      <c r="AG3" s="1414">
        <v>1</v>
      </c>
      <c r="AH3" s="1002" t="s">
        <v>16154</v>
      </c>
      <c r="AI3" s="1002" t="s">
        <v>16154</v>
      </c>
      <c r="AJ3" s="1166" t="s">
        <v>630</v>
      </c>
      <c r="AK3" s="1408" t="s">
        <v>630</v>
      </c>
      <c r="AL3" s="1415">
        <v>50</v>
      </c>
      <c r="AM3" s="1323">
        <v>46136</v>
      </c>
      <c r="AN3" s="1323">
        <v>46137</v>
      </c>
      <c r="AO3" s="1323">
        <v>46138</v>
      </c>
      <c r="AP3" s="1323">
        <v>46139</v>
      </c>
      <c r="AQ3" s="1323">
        <v>46141</v>
      </c>
      <c r="AR3" s="987"/>
      <c r="AS3" s="978" t="str">
        <f t="shared" si="3"/>
        <v>單</v>
      </c>
      <c r="AT3" s="978" t="str">
        <f t="shared" si="4"/>
        <v>全</v>
      </c>
      <c r="AU3" s="978">
        <f t="shared" si="5"/>
        <v>75</v>
      </c>
      <c r="AV3" s="978">
        <f t="shared" si="6"/>
        <v>1.775686536</v>
      </c>
    </row>
    <row r="4" spans="1:48">
      <c r="A4" s="975">
        <f t="shared" si="7"/>
        <v>46143</v>
      </c>
      <c r="B4" s="976" t="s">
        <v>215</v>
      </c>
      <c r="C4" s="976" t="s">
        <v>16188</v>
      </c>
      <c r="D4" s="1410" t="s">
        <v>633</v>
      </c>
      <c r="E4" s="977" t="str">
        <f>IFERROR(VLOOKUP(C4, [6]條件!$A:$L, 5, 0), "")</f>
        <v>75/24/2SDR2</v>
      </c>
      <c r="F4" s="978" t="str">
        <f>IFERROR(VLOOKUP(C4, [6]條件!$A:$L, 6, 0), "")</f>
        <v>FP81363R×2</v>
      </c>
      <c r="G4" s="1411">
        <f>IFERROR(VLOOKUP(C4, [6]條件!$A:$L, 7, 0), "")</f>
        <v>700</v>
      </c>
      <c r="H4" s="978" t="str">
        <f>IF(ISNA(VLOOKUP(C4,[6]條件!$A$1:$K$932,11,0)),"",(VLOOKUP(C4,[6]條件!$A$1:$K$932,11,0)))</f>
        <v>白綠條紋</v>
      </c>
      <c r="I4" s="979">
        <f>IF(ISNA(VLOOKUP(C4,[6]條件!$A$1:$L$932,12,0)),"",(VLOOKUP(C4,[6]條件!$A$1:$L$932,12,0)))</f>
        <v>5</v>
      </c>
      <c r="J4" s="980">
        <v>4</v>
      </c>
      <c r="K4" s="980">
        <v>0</v>
      </c>
      <c r="L4" s="981">
        <v>8451</v>
      </c>
      <c r="M4" s="981"/>
      <c r="N4" s="982">
        <v>4</v>
      </c>
      <c r="O4" s="980">
        <v>0</v>
      </c>
      <c r="P4" s="981">
        <v>8635</v>
      </c>
      <c r="Q4" s="981"/>
      <c r="R4" s="982">
        <v>6</v>
      </c>
      <c r="S4" s="980">
        <v>0</v>
      </c>
      <c r="T4" s="981">
        <v>8592</v>
      </c>
      <c r="U4" s="981"/>
      <c r="V4" s="982">
        <v>6</v>
      </c>
      <c r="W4" s="980">
        <v>0</v>
      </c>
      <c r="X4" s="981">
        <v>8406</v>
      </c>
      <c r="Y4" s="983"/>
      <c r="Z4" s="1412">
        <f>IFERROR(VLOOKUP(C4, [6]條件!$A:$L, 3, 0), "")</f>
        <v>3.2653061224489797</v>
      </c>
      <c r="AA4" s="984">
        <f>IF(OR(L4={"改紡","檢修","了機","清車","FINAL","停機","SAMPLE","TEST","絲開發"}), L4, IFERROR(IF(C4="", "", (SUM(J4, N4, R4, V4)/3 * AG4) * IF(AND(AF4="S", AS4="雙"), 0.5, 1)), ""))</f>
        <v>6.666666666666667</v>
      </c>
      <c r="AB4" s="1413">
        <f t="shared" si="0"/>
        <v>1</v>
      </c>
      <c r="AC4" s="984">
        <f>IF(OR(L4={"改紡","檢修","了機","清車","FINAL","停機","SAMPLE","TEST"}), "", IFERROR(IF(C4="", "", AVERAGE(L4:M4, P4:Q4, T4:U4, X4:Y4)/100), ""))</f>
        <v>85.21</v>
      </c>
      <c r="AD4" s="984">
        <f t="shared" si="1"/>
        <v>0.83333333333333337</v>
      </c>
      <c r="AE4" s="984">
        <f t="shared" si="8"/>
        <v>0.83333333333333337</v>
      </c>
      <c r="AF4" s="985" t="str">
        <f t="shared" si="2"/>
        <v>A</v>
      </c>
      <c r="AG4" s="1414">
        <v>1</v>
      </c>
      <c r="AH4" s="1002" t="s">
        <v>16154</v>
      </c>
      <c r="AI4" s="1002" t="s">
        <v>16154</v>
      </c>
      <c r="AJ4" s="1166" t="s">
        <v>630</v>
      </c>
      <c r="AK4" s="1416" t="s">
        <v>630</v>
      </c>
      <c r="AL4" s="1415">
        <v>53</v>
      </c>
      <c r="AM4" s="1323">
        <v>46106</v>
      </c>
      <c r="AN4" s="1323">
        <v>46108</v>
      </c>
      <c r="AO4" s="1323">
        <v>46109</v>
      </c>
      <c r="AP4" s="1323">
        <v>46111</v>
      </c>
      <c r="AQ4" s="1323"/>
      <c r="AR4" s="987"/>
      <c r="AS4" s="978" t="str">
        <f t="shared" si="3"/>
        <v>雙</v>
      </c>
      <c r="AT4" s="978" t="str">
        <f t="shared" si="4"/>
        <v>半</v>
      </c>
      <c r="AU4" s="978">
        <f t="shared" si="5"/>
        <v>75</v>
      </c>
      <c r="AV4" s="978">
        <f t="shared" si="6"/>
        <v>0.77302512000000001</v>
      </c>
    </row>
    <row r="5" spans="1:48">
      <c r="A5" s="975">
        <f t="shared" si="7"/>
        <v>46143</v>
      </c>
      <c r="B5" s="976" t="s">
        <v>215</v>
      </c>
      <c r="C5" s="976" t="s">
        <v>16746</v>
      </c>
      <c r="D5" s="1410" t="s">
        <v>633</v>
      </c>
      <c r="E5" s="977" t="str">
        <f>IFERROR(VLOOKUP(C5, [6]條件!$A:$L, 5, 0), "")</f>
        <v>75/24/2SDr</v>
      </c>
      <c r="F5" s="978" t="str">
        <f>IFERROR(VLOOKUP(C5, [6]條件!$A:$L, 6, 0), "")</f>
        <v>FP81391R×2</v>
      </c>
      <c r="G5" s="1411">
        <f>IFERROR(VLOOKUP(C5, [6]條件!$A:$L, 7, 0), "")</f>
        <v>700</v>
      </c>
      <c r="H5" s="978" t="str">
        <f>IF(ISNA(VLOOKUP(C5,[6]條件!$A$1:$K$932,11,0)),"",(VLOOKUP(C5,[6]條件!$A$1:$K$932,11,0)))</f>
        <v>紅底白點</v>
      </c>
      <c r="I5" s="979">
        <f>IF(ISNA(VLOOKUP(C5,[6]條件!$A$1:$L$932,12,0)),"",(VLOOKUP(C5,[6]條件!$A$1:$L$932,12,0)))</f>
        <v>5</v>
      </c>
      <c r="J5" s="980">
        <v>16</v>
      </c>
      <c r="K5" s="980">
        <v>0</v>
      </c>
      <c r="L5" s="981"/>
      <c r="M5" s="981">
        <v>8458</v>
      </c>
      <c r="N5" s="982">
        <v>0</v>
      </c>
      <c r="O5" s="980">
        <v>0</v>
      </c>
      <c r="P5" s="981"/>
      <c r="Q5" s="981">
        <v>8596</v>
      </c>
      <c r="R5" s="982">
        <v>4</v>
      </c>
      <c r="S5" s="980">
        <v>0</v>
      </c>
      <c r="T5" s="981">
        <v>8533</v>
      </c>
      <c r="U5" s="981"/>
      <c r="V5" s="982">
        <v>8</v>
      </c>
      <c r="W5" s="980">
        <v>0</v>
      </c>
      <c r="X5" s="981"/>
      <c r="Y5" s="983">
        <v>8380</v>
      </c>
      <c r="Z5" s="1412">
        <f>IFERROR(VLOOKUP(C5, [6]條件!$A:$L, 3, 0), "")</f>
        <v>3.2653061224489797</v>
      </c>
      <c r="AA5" s="984">
        <f>IF(OR(L5={"改紡","檢修","了機","清車","FINAL","停機","SAMPLE","TEST","絲開發"}), L5, IFERROR(IF(C5="", "", (SUM(J5, N5, R5, V5)/3 * AG5) * IF(AND(AF5="S", AS5="雙"), 0.5, 1)), ""))</f>
        <v>9.3333333333333339</v>
      </c>
      <c r="AB5" s="1413">
        <f t="shared" si="0"/>
        <v>1</v>
      </c>
      <c r="AC5" s="984">
        <f>IF(OR(L5={"改紡","檢修","了機","清車","FINAL","停機","SAMPLE","TEST"}), "", IFERROR(IF(C5="", "", AVERAGE(L5:M5, P5:Q5, T5:U5, X5:Y5)/100), ""))</f>
        <v>84.917500000000004</v>
      </c>
      <c r="AD5" s="984">
        <f t="shared" si="1"/>
        <v>1.1666666666666667</v>
      </c>
      <c r="AE5" s="984">
        <f t="shared" si="8"/>
        <v>1.1666666666666667</v>
      </c>
      <c r="AF5" s="985" t="str">
        <f t="shared" si="2"/>
        <v>A</v>
      </c>
      <c r="AG5" s="1414">
        <v>1</v>
      </c>
      <c r="AH5" s="1002" t="s">
        <v>16154</v>
      </c>
      <c r="AI5" s="1002" t="s">
        <v>16154</v>
      </c>
      <c r="AJ5" s="986" t="s">
        <v>630</v>
      </c>
      <c r="AK5" s="1417" t="s">
        <v>630</v>
      </c>
      <c r="AL5" s="1415">
        <v>53</v>
      </c>
      <c r="AM5" s="1323">
        <v>46114</v>
      </c>
      <c r="AN5" s="1323">
        <v>46115</v>
      </c>
      <c r="AO5" s="1323">
        <v>46118</v>
      </c>
      <c r="AP5" s="1323">
        <v>46119</v>
      </c>
      <c r="AQ5" s="1323"/>
      <c r="AR5" s="987"/>
      <c r="AS5" s="978" t="str">
        <f t="shared" si="3"/>
        <v>雙</v>
      </c>
      <c r="AT5" s="978" t="str">
        <f t="shared" si="4"/>
        <v>半</v>
      </c>
      <c r="AU5" s="978">
        <f t="shared" si="5"/>
        <v>75</v>
      </c>
      <c r="AV5" s="978">
        <f t="shared" si="6"/>
        <v>0.77037156000000007</v>
      </c>
    </row>
    <row r="6" spans="1:48">
      <c r="A6" s="975">
        <f t="shared" si="7"/>
        <v>46143</v>
      </c>
      <c r="B6" s="976" t="s">
        <v>216</v>
      </c>
      <c r="C6" s="976" t="s">
        <v>632</v>
      </c>
      <c r="D6" s="1410"/>
      <c r="E6" s="977" t="str">
        <f>IFERROR(VLOOKUP(C6, [6]條件!$A:$L, 5, 0), "")</f>
        <v/>
      </c>
      <c r="F6" s="978" t="str">
        <f>IFERROR(VLOOKUP(C6, [6]條件!$A:$L, 6, 0), "")</f>
        <v/>
      </c>
      <c r="G6" s="1411" t="str">
        <f>IFERROR(VLOOKUP(C6, [6]條件!$A:$L, 7, 0), "")</f>
        <v/>
      </c>
      <c r="H6" s="978" t="str">
        <f>IF(ISNA(VLOOKUP(C6,[6]條件!$A$1:$K$932,11,0)),"",(VLOOKUP(C6,[6]條件!$A$1:$K$932,11,0)))</f>
        <v/>
      </c>
      <c r="I6" s="979" t="str">
        <f>IF(ISNA(VLOOKUP(C6,[6]條件!$A$1:$L$932,12,0)),"",(VLOOKUP(C6,[6]條件!$A$1:$L$932,12,0)))</f>
        <v/>
      </c>
      <c r="J6" s="980"/>
      <c r="K6" s="980"/>
      <c r="L6" s="981" t="s">
        <v>632</v>
      </c>
      <c r="M6" s="981"/>
      <c r="N6" s="982"/>
      <c r="O6" s="980"/>
      <c r="P6" s="981" t="s">
        <v>632</v>
      </c>
      <c r="Q6" s="981"/>
      <c r="R6" s="982"/>
      <c r="S6" s="980"/>
      <c r="T6" s="981" t="s">
        <v>632</v>
      </c>
      <c r="U6" s="981"/>
      <c r="V6" s="982"/>
      <c r="W6" s="980"/>
      <c r="X6" s="981" t="s">
        <v>632</v>
      </c>
      <c r="Y6" s="983"/>
      <c r="Z6" s="1412" t="str">
        <f>IFERROR(VLOOKUP(C6, [6]條件!$A:$L, 3, 0), "")</f>
        <v/>
      </c>
      <c r="AA6" s="984" t="str">
        <f>IF(OR(L6={"改紡","檢修","了機","清車","FINAL","停機","SAMPLE","TEST","絲開發"}), L6, IFERROR(IF(C6="", "", (SUM(J6, N6, R6, V6)/3 * AG6) * IF(AND(AF6="S", AS6="雙"), 0.5, 1)), ""))</f>
        <v>停機</v>
      </c>
      <c r="AB6" s="1413" t="str">
        <f t="shared" si="0"/>
        <v/>
      </c>
      <c r="AC6" s="984" t="str">
        <f>IF(OR(L6={"改紡","檢修","了機","清車","FINAL","停機","SAMPLE","TEST"}), "", IFERROR(IF(C6="", "", AVERAGE(L6:M6, P6:Q6, T6:U6, X6:Y6)/100), ""))</f>
        <v/>
      </c>
      <c r="AD6" s="984" t="str">
        <f t="shared" si="1"/>
        <v/>
      </c>
      <c r="AE6" s="984" t="str">
        <f t="shared" si="8"/>
        <v/>
      </c>
      <c r="AF6" s="985" t="str">
        <f t="shared" si="2"/>
        <v>A</v>
      </c>
      <c r="AG6" s="1414">
        <v>1</v>
      </c>
      <c r="AH6" s="1002" t="s">
        <v>640</v>
      </c>
      <c r="AI6" s="1002" t="s">
        <v>640</v>
      </c>
      <c r="AJ6" s="986" t="s">
        <v>640</v>
      </c>
      <c r="AK6" s="1417" t="s">
        <v>640</v>
      </c>
      <c r="AL6" s="1415"/>
      <c r="AM6" s="1323"/>
      <c r="AN6" s="1323"/>
      <c r="AO6" s="1323"/>
      <c r="AP6" s="1323"/>
      <c r="AQ6" s="1323"/>
      <c r="AR6" s="987"/>
      <c r="AS6" s="978" t="str">
        <f t="shared" si="3"/>
        <v>單</v>
      </c>
      <c r="AT6" s="978" t="str">
        <f t="shared" si="4"/>
        <v>全</v>
      </c>
      <c r="AU6" s="978" t="str">
        <f t="shared" si="5"/>
        <v/>
      </c>
      <c r="AV6" s="978" t="str">
        <f t="shared" si="6"/>
        <v/>
      </c>
    </row>
    <row r="7" spans="1:48">
      <c r="A7" s="975">
        <f t="shared" si="7"/>
        <v>46143</v>
      </c>
      <c r="B7" s="976" t="s">
        <v>217</v>
      </c>
      <c r="C7" s="976" t="s">
        <v>16197</v>
      </c>
      <c r="D7" s="1410"/>
      <c r="E7" s="977" t="str">
        <f>IFERROR(VLOOKUP(C7, [6]條件!$A:$L, 5, 0), "")</f>
        <v>75/36HC</v>
      </c>
      <c r="F7" s="978" t="str">
        <f>IFERROR(VLOOKUP(C7, [6]條件!$A:$L, 6, 0), "")</f>
        <v>FP81857R</v>
      </c>
      <c r="G7" s="1411">
        <f>IFERROR(VLOOKUP(C7, [6]條件!$A:$L, 7, 0), "")</f>
        <v>600</v>
      </c>
      <c r="H7" s="978" t="str">
        <f>IF(ISNA(VLOOKUP(C7,[6]條件!$A$1:$K$932,11,0)),"",(VLOOKUP(C7,[6]條件!$A$1:$K$932,11,0)))</f>
        <v>白底綠方塊</v>
      </c>
      <c r="I7" s="979">
        <f>IF(ISNA(VLOOKUP(C7,[6]條件!$A$1:$L$932,12,0)),"",(VLOOKUP(C7,[6]條件!$A$1:$L$932,12,0)))</f>
        <v>4</v>
      </c>
      <c r="J7" s="980">
        <v>23</v>
      </c>
      <c r="K7" s="980">
        <v>0</v>
      </c>
      <c r="L7" s="981">
        <v>8434</v>
      </c>
      <c r="M7" s="981">
        <v>9053</v>
      </c>
      <c r="N7" s="982">
        <v>9</v>
      </c>
      <c r="O7" s="980">
        <v>1</v>
      </c>
      <c r="P7" s="981">
        <v>8681</v>
      </c>
      <c r="Q7" s="981">
        <v>8935</v>
      </c>
      <c r="R7" s="982">
        <v>12</v>
      </c>
      <c r="S7" s="980">
        <v>0</v>
      </c>
      <c r="T7" s="981">
        <v>8648</v>
      </c>
      <c r="U7" s="981">
        <v>8996</v>
      </c>
      <c r="V7" s="982">
        <v>30</v>
      </c>
      <c r="W7" s="980">
        <v>2</v>
      </c>
      <c r="X7" s="981">
        <v>8601</v>
      </c>
      <c r="Y7" s="983">
        <v>8783</v>
      </c>
      <c r="Z7" s="1412">
        <f>IFERROR(VLOOKUP(C7, [6]條件!$A:$L, 3, 0), "")</f>
        <v>1.7496962332928312</v>
      </c>
      <c r="AA7" s="984">
        <f>IF(OR(L7={"改紡","檢修","了機","清車","FINAL","停機","SAMPLE","TEST","絲開發"}), L7, IFERROR(IF(C7="", "", (SUM(J7, N7, R7, V7)/3 * AG7) * IF(AND(AF7="S", AS7="雙"), 0.5, 1)), ""))</f>
        <v>24.666666666666668</v>
      </c>
      <c r="AB7" s="1413">
        <f t="shared" si="0"/>
        <v>0.99175681089743595</v>
      </c>
      <c r="AC7" s="984">
        <f>IF(OR(L7={"改紡","檢修","了機","清車","FINAL","停機","SAMPLE","TEST"}), "", IFERROR(IF(C7="", "", AVERAGE(L7:M7, P7:Q7, T7:U7, X7:Y7)/100), ""))</f>
        <v>87.663749999999993</v>
      </c>
      <c r="AD7" s="984">
        <f t="shared" si="1"/>
        <v>3.0833333333333335</v>
      </c>
      <c r="AE7" s="984">
        <f t="shared" si="8"/>
        <v>2.9583333333333335</v>
      </c>
      <c r="AF7" s="985" t="str">
        <f t="shared" si="2"/>
        <v>A</v>
      </c>
      <c r="AG7" s="1414">
        <v>1</v>
      </c>
      <c r="AH7" s="1002" t="s">
        <v>631</v>
      </c>
      <c r="AI7" s="1002" t="s">
        <v>631</v>
      </c>
      <c r="AJ7" s="1002" t="s">
        <v>725</v>
      </c>
      <c r="AK7" s="981" t="s">
        <v>725</v>
      </c>
      <c r="AL7" s="1415">
        <v>54</v>
      </c>
      <c r="AM7" s="1323">
        <v>45950</v>
      </c>
      <c r="AN7" s="1323">
        <v>45951</v>
      </c>
      <c r="AO7" s="1323">
        <v>45953</v>
      </c>
      <c r="AP7" s="1323">
        <v>45954</v>
      </c>
      <c r="AQ7" s="1323">
        <v>45956</v>
      </c>
      <c r="AR7" s="987"/>
      <c r="AS7" s="978" t="str">
        <f t="shared" si="3"/>
        <v>單</v>
      </c>
      <c r="AT7" s="978" t="str">
        <f t="shared" si="4"/>
        <v>全</v>
      </c>
      <c r="AU7" s="978">
        <f t="shared" si="5"/>
        <v>75</v>
      </c>
      <c r="AV7" s="978">
        <f t="shared" si="6"/>
        <v>1.3633466400000001</v>
      </c>
    </row>
    <row r="8" spans="1:48">
      <c r="A8" s="975">
        <f t="shared" si="7"/>
        <v>46143</v>
      </c>
      <c r="B8" s="976" t="s">
        <v>218</v>
      </c>
      <c r="C8" s="976" t="s">
        <v>16744</v>
      </c>
      <c r="D8" s="1410" t="s">
        <v>633</v>
      </c>
      <c r="E8" s="977" t="str">
        <f>IFERROR(VLOOKUP(C8, [6]條件!$A:$L, 5, 0), "")</f>
        <v>75/24/2SDr</v>
      </c>
      <c r="F8" s="978" t="str">
        <f>IFERROR(VLOOKUP(C8, [6]條件!$A:$L, 6, 0), "")</f>
        <v>FP81382R×2</v>
      </c>
      <c r="G8" s="1411">
        <f>IFERROR(VLOOKUP(C8, [6]條件!$A:$L, 7, 0), "")</f>
        <v>700</v>
      </c>
      <c r="H8" s="978" t="str">
        <f>IF(ISNA(VLOOKUP(C8,[6]條件!$A$1:$K$932,11,0)),"",(VLOOKUP(C8,[6]條件!$A$1:$K$932,11,0)))</f>
        <v>藍色</v>
      </c>
      <c r="I8" s="979">
        <f>IF(ISNA(VLOOKUP(C8,[6]條件!$A$1:$L$932,12,0)),"",(VLOOKUP(C8,[6]條件!$A$1:$L$932,12,0)))</f>
        <v>5</v>
      </c>
      <c r="J8" s="980">
        <v>6</v>
      </c>
      <c r="K8" s="980">
        <v>0</v>
      </c>
      <c r="L8" s="981">
        <v>9434</v>
      </c>
      <c r="M8" s="981"/>
      <c r="N8" s="982">
        <v>6</v>
      </c>
      <c r="O8" s="980">
        <v>2</v>
      </c>
      <c r="P8" s="981">
        <v>9384</v>
      </c>
      <c r="Q8" s="981"/>
      <c r="R8" s="982">
        <v>8</v>
      </c>
      <c r="S8" s="980">
        <v>0</v>
      </c>
      <c r="T8" s="981">
        <v>9307</v>
      </c>
      <c r="U8" s="981"/>
      <c r="V8" s="982">
        <v>4</v>
      </c>
      <c r="W8" s="980">
        <v>0</v>
      </c>
      <c r="X8" s="981">
        <v>9400</v>
      </c>
      <c r="Y8" s="983"/>
      <c r="Z8" s="1412">
        <f>IFERROR(VLOOKUP(C8, [6]條件!$A:$L, 3, 0), "")</f>
        <v>3.2505643340857788</v>
      </c>
      <c r="AA8" s="984">
        <f>IF(OR(L8={"改紡","檢修","了機","清車","FINAL","停機","SAMPLE","TEST","絲開發"}), L8, IFERROR(IF(C8="", "", (SUM(J8, N8, R8, V8)/3 * AG8) * IF(AND(AF8="S", AS8="雙"), 0.5, 1)), ""))</f>
        <v>8</v>
      </c>
      <c r="AB8" s="1413">
        <f t="shared" si="0"/>
        <v>0.99704193376068373</v>
      </c>
      <c r="AC8" s="984">
        <f>IF(OR(L8={"改紡","檢修","了機","清車","FINAL","停機","SAMPLE","TEST"}), "", IFERROR(IF(C8="", "", AVERAGE(L8:M8, P8:Q8, T8:U8, X8:Y8)/100), ""))</f>
        <v>93.8125</v>
      </c>
      <c r="AD8" s="984">
        <f t="shared" si="1"/>
        <v>1</v>
      </c>
      <c r="AE8" s="984">
        <f t="shared" si="8"/>
        <v>0.91666666666666663</v>
      </c>
      <c r="AF8" s="985" t="str">
        <f t="shared" si="2"/>
        <v>A</v>
      </c>
      <c r="AG8" s="1414">
        <v>1</v>
      </c>
      <c r="AH8" s="1002" t="s">
        <v>631</v>
      </c>
      <c r="AI8" s="1002" t="s">
        <v>631</v>
      </c>
      <c r="AJ8" s="1418" t="s">
        <v>725</v>
      </c>
      <c r="AK8" s="981" t="s">
        <v>725</v>
      </c>
      <c r="AL8" s="1415">
        <v>50</v>
      </c>
      <c r="AM8" s="1323">
        <v>46103</v>
      </c>
      <c r="AN8" s="1323"/>
      <c r="AO8" s="1323"/>
      <c r="AP8" s="1323"/>
      <c r="AQ8" s="1323"/>
      <c r="AR8" s="987"/>
      <c r="AS8" s="978" t="str">
        <f t="shared" si="3"/>
        <v>雙</v>
      </c>
      <c r="AT8" s="978" t="str">
        <f t="shared" si="4"/>
        <v>半</v>
      </c>
      <c r="AU8" s="978">
        <f t="shared" si="5"/>
        <v>75</v>
      </c>
      <c r="AV8" s="978">
        <f t="shared" si="6"/>
        <v>0.85106700000000002</v>
      </c>
    </row>
    <row r="9" spans="1:48">
      <c r="A9" s="975">
        <f t="shared" si="7"/>
        <v>46143</v>
      </c>
      <c r="B9" s="976" t="s">
        <v>218</v>
      </c>
      <c r="C9" s="976" t="s">
        <v>16191</v>
      </c>
      <c r="D9" s="1410" t="s">
        <v>633</v>
      </c>
      <c r="E9" s="977" t="str">
        <f>IFERROR(VLOOKUP(C9, [6]條件!$A:$L, 5, 0), "")</f>
        <v>75/24/2SDR2</v>
      </c>
      <c r="F9" s="978" t="str">
        <f>IFERROR(VLOOKUP(C9, [6]條件!$A:$L, 6, 0), "")</f>
        <v>FP81363R×2</v>
      </c>
      <c r="G9" s="1411">
        <f>IFERROR(VLOOKUP(C9, [6]條件!$A:$L, 7, 0), "")</f>
        <v>700</v>
      </c>
      <c r="H9" s="978" t="str">
        <f>IF(ISNA(VLOOKUP(C9,[6]條件!$A$1:$K$932,11,0)),"",(VLOOKUP(C9,[6]條件!$A$1:$K$932,11,0)))</f>
        <v>橘黑三角</v>
      </c>
      <c r="I9" s="979">
        <f>IF(ISNA(VLOOKUP(C9,[6]條件!$A$1:$L$932,12,0)),"",(VLOOKUP(C9,[6]條件!$A$1:$L$932,12,0)))</f>
        <v>5</v>
      </c>
      <c r="J9" s="980">
        <v>34</v>
      </c>
      <c r="K9" s="980">
        <v>0</v>
      </c>
      <c r="L9" s="981"/>
      <c r="M9" s="981">
        <v>8988</v>
      </c>
      <c r="N9" s="982">
        <v>6</v>
      </c>
      <c r="O9" s="980">
        <v>0</v>
      </c>
      <c r="P9" s="981"/>
      <c r="Q9" s="981">
        <v>9575</v>
      </c>
      <c r="R9" s="982">
        <v>6</v>
      </c>
      <c r="S9" s="980">
        <v>0</v>
      </c>
      <c r="T9" s="981">
        <v>9553</v>
      </c>
      <c r="U9" s="981"/>
      <c r="V9" s="982">
        <v>16</v>
      </c>
      <c r="W9" s="980">
        <v>0</v>
      </c>
      <c r="X9" s="981"/>
      <c r="Y9" s="983">
        <v>9504</v>
      </c>
      <c r="Z9" s="1412">
        <f>IFERROR(VLOOKUP(C9, [6]條件!$A:$L, 3, 0), "")</f>
        <v>3.2505643340857788</v>
      </c>
      <c r="AA9" s="984">
        <f>IF(OR(L9={"改紡","檢修","了機","清車","FINAL","停機","SAMPLE","TEST","絲開發"}), L9, IFERROR(IF(C9="", "", (SUM(J9, N9, R9, V9)/3 * AG9) * IF(AND(AF9="S", AS9="雙"), 0.5, 1)), ""))</f>
        <v>20.666666666666668</v>
      </c>
      <c r="AB9" s="1413">
        <f t="shared" si="0"/>
        <v>1</v>
      </c>
      <c r="AC9" s="984">
        <f>IF(OR(L9={"改紡","檢修","了機","清車","FINAL","停機","SAMPLE","TEST"}), "", IFERROR(IF(C9="", "", AVERAGE(L9:M9, P9:Q9, T9:U9, X9:Y9)/100), ""))</f>
        <v>94.05</v>
      </c>
      <c r="AD9" s="984">
        <f t="shared" si="1"/>
        <v>2.5833333333333335</v>
      </c>
      <c r="AE9" s="984">
        <f t="shared" si="8"/>
        <v>2.5833333333333335</v>
      </c>
      <c r="AF9" s="985" t="str">
        <f t="shared" si="2"/>
        <v>A</v>
      </c>
      <c r="AG9" s="1414">
        <v>1</v>
      </c>
      <c r="AH9" s="1002" t="s">
        <v>631</v>
      </c>
      <c r="AI9" s="1002" t="s">
        <v>631</v>
      </c>
      <c r="AJ9" s="1166" t="s">
        <v>725</v>
      </c>
      <c r="AK9" s="1408" t="s">
        <v>725</v>
      </c>
      <c r="AL9" s="1415">
        <v>53</v>
      </c>
      <c r="AM9" s="1323">
        <v>46100</v>
      </c>
      <c r="AN9" s="1323">
        <v>46103</v>
      </c>
      <c r="AO9" s="1323">
        <v>46104</v>
      </c>
      <c r="AP9" s="1323">
        <v>46111</v>
      </c>
      <c r="AQ9" s="1323"/>
      <c r="AR9" s="987"/>
      <c r="AS9" s="978" t="str">
        <f t="shared" si="3"/>
        <v>雙</v>
      </c>
      <c r="AT9" s="978" t="str">
        <f t="shared" si="4"/>
        <v>半</v>
      </c>
      <c r="AU9" s="978">
        <f t="shared" si="5"/>
        <v>75</v>
      </c>
      <c r="AV9" s="978">
        <f t="shared" si="6"/>
        <v>0.85322160000000014</v>
      </c>
    </row>
    <row r="10" spans="1:48">
      <c r="A10" s="975">
        <f t="shared" si="7"/>
        <v>46143</v>
      </c>
      <c r="B10" s="976" t="s">
        <v>219</v>
      </c>
      <c r="C10" s="976" t="s">
        <v>16745</v>
      </c>
      <c r="D10" s="1410" t="s">
        <v>16748</v>
      </c>
      <c r="E10" s="977" t="str">
        <f>IFERROR(VLOOKUP(C10, [6]條件!$A:$L, 5, 0), "")</f>
        <v>50/72BSD3</v>
      </c>
      <c r="F10" s="978" t="str">
        <f>IFERROR(VLOOKUP(C10, [6]條件!$A:$L, 6, 0), "")</f>
        <v>FP80141</v>
      </c>
      <c r="G10" s="1411">
        <f>IFERROR(VLOOKUP(C10, [6]條件!$A:$L, 7, 0), "")</f>
        <v>630</v>
      </c>
      <c r="H10" s="978" t="str">
        <f>IF(ISNA(VLOOKUP(C10,[6]條件!$A$1:$K$932,11,0)),"",(VLOOKUP(C10,[6]條件!$A$1:$K$932,11,0)))</f>
        <v>洋綠色</v>
      </c>
      <c r="I10" s="979">
        <f>IF(ISNA(VLOOKUP(C10,[6]條件!$A$1:$L$932,12,0)),"",(VLOOKUP(C10,[6]條件!$A$1:$L$932,12,0)))</f>
        <v>2</v>
      </c>
      <c r="J10" s="980">
        <v>21</v>
      </c>
      <c r="K10" s="980">
        <v>1</v>
      </c>
      <c r="L10" s="981">
        <v>9837</v>
      </c>
      <c r="M10" s="981">
        <v>9656</v>
      </c>
      <c r="N10" s="982">
        <v>5</v>
      </c>
      <c r="O10" s="980">
        <v>0</v>
      </c>
      <c r="P10" s="981">
        <v>9847</v>
      </c>
      <c r="Q10" s="981">
        <v>9848</v>
      </c>
      <c r="R10" s="982">
        <v>10</v>
      </c>
      <c r="S10" s="980">
        <v>3</v>
      </c>
      <c r="T10" s="981">
        <v>9785</v>
      </c>
      <c r="U10" s="981">
        <v>9876</v>
      </c>
      <c r="V10" s="982">
        <v>17</v>
      </c>
      <c r="W10" s="980">
        <v>7</v>
      </c>
      <c r="X10" s="981">
        <v>9717</v>
      </c>
      <c r="Y10" s="983">
        <v>9850</v>
      </c>
      <c r="Z10" s="1412">
        <f>IFERROR(VLOOKUP(C10, [6]條件!$A:$L, 3, 0), "")</f>
        <v>2.4615384615384617</v>
      </c>
      <c r="AA10" s="984">
        <f>IF(OR(L10={"改紡","檢修","了機","清車","FINAL","停機","SAMPLE","TEST","絲開發"}), L10, IFERROR(IF(C10="", "", (SUM(J10, N10, R10, V10)/3 * AG10) * IF(AND(AF10="S", AS10="雙"), 0.5, 1)), ""))</f>
        <v>17.666666666666668</v>
      </c>
      <c r="AB10" s="1413">
        <f t="shared" si="0"/>
        <v>0.978515625</v>
      </c>
      <c r="AC10" s="984">
        <f>IF(OR(L10={"改紡","檢修","了機","清車","FINAL","停機","SAMPLE","TEST"}), "", IFERROR(IF(C10="", "", AVERAGE(L10:M10, P10:Q10, T10:U10, X10:Y10)/100), ""))</f>
        <v>98.02</v>
      </c>
      <c r="AD10" s="984">
        <f t="shared" si="1"/>
        <v>2.2083333333333335</v>
      </c>
      <c r="AE10" s="984">
        <f t="shared" si="8"/>
        <v>1.75</v>
      </c>
      <c r="AF10" s="985" t="str">
        <f t="shared" si="2"/>
        <v>A</v>
      </c>
      <c r="AG10" s="1414">
        <v>1</v>
      </c>
      <c r="AH10" s="1002" t="s">
        <v>16154</v>
      </c>
      <c r="AI10" s="1002" t="s">
        <v>16154</v>
      </c>
      <c r="AJ10" s="1166" t="s">
        <v>630</v>
      </c>
      <c r="AK10" s="1408" t="s">
        <v>630</v>
      </c>
      <c r="AL10" s="1415">
        <v>57</v>
      </c>
      <c r="AM10" s="1324">
        <v>46084</v>
      </c>
      <c r="AN10" s="1323">
        <v>46085</v>
      </c>
      <c r="AO10" s="1323">
        <v>46086</v>
      </c>
      <c r="AP10" s="1323"/>
      <c r="AQ10" s="1323"/>
      <c r="AR10" s="987"/>
      <c r="AS10" s="978" t="str">
        <f t="shared" si="3"/>
        <v>單</v>
      </c>
      <c r="AT10" s="978" t="str">
        <f t="shared" si="4"/>
        <v>全</v>
      </c>
      <c r="AU10" s="978">
        <f t="shared" si="5"/>
        <v>50</v>
      </c>
      <c r="AV10" s="978">
        <f t="shared" si="6"/>
        <v>1.0670849280000001</v>
      </c>
    </row>
    <row r="11" spans="1:48">
      <c r="A11" s="975">
        <f t="shared" si="7"/>
        <v>46143</v>
      </c>
      <c r="B11" s="976" t="s">
        <v>220</v>
      </c>
      <c r="C11" s="976" t="s">
        <v>632</v>
      </c>
      <c r="D11" s="1410"/>
      <c r="E11" s="977" t="str">
        <f>IFERROR(VLOOKUP(C11, [6]條件!$A:$L, 5, 0), "")</f>
        <v/>
      </c>
      <c r="F11" s="978" t="str">
        <f>IFERROR(VLOOKUP(C11, [6]條件!$A:$L, 6, 0), "")</f>
        <v/>
      </c>
      <c r="G11" s="1411" t="str">
        <f>IFERROR(VLOOKUP(C11, [6]條件!$A:$L, 7, 0), "")</f>
        <v/>
      </c>
      <c r="H11" s="978" t="str">
        <f>IF(ISNA(VLOOKUP(C11,[6]條件!$A$1:$K$932,11,0)),"",(VLOOKUP(C11,[6]條件!$A$1:$K$932,11,0)))</f>
        <v/>
      </c>
      <c r="I11" s="979" t="str">
        <f>IF(ISNA(VLOOKUP(C11,[6]條件!$A$1:$L$932,12,0)),"",(VLOOKUP(C11,[6]條件!$A$1:$L$932,12,0)))</f>
        <v/>
      </c>
      <c r="J11" s="980"/>
      <c r="K11" s="980"/>
      <c r="L11" s="981" t="s">
        <v>632</v>
      </c>
      <c r="M11" s="981"/>
      <c r="N11" s="982"/>
      <c r="O11" s="980"/>
      <c r="P11" s="981" t="s">
        <v>632</v>
      </c>
      <c r="Q11" s="981"/>
      <c r="R11" s="982"/>
      <c r="S11" s="980"/>
      <c r="T11" s="981" t="s">
        <v>632</v>
      </c>
      <c r="U11" s="981"/>
      <c r="V11" s="982"/>
      <c r="W11" s="980"/>
      <c r="X11" s="981" t="s">
        <v>632</v>
      </c>
      <c r="Y11" s="983"/>
      <c r="Z11" s="1412" t="str">
        <f>IFERROR(VLOOKUP(C11, [6]條件!$A:$L, 3, 0), "")</f>
        <v/>
      </c>
      <c r="AA11" s="984" t="str">
        <f>IF(OR(L11={"改紡","檢修","了機","清車","FINAL","停機","SAMPLE","TEST","絲開發"}), L11, IFERROR(IF(C11="", "", (SUM(J11, N11, R11, V11)/3 * AG11) * IF(AND(AF11="S", AS11="雙"), 0.5, 1)), ""))</f>
        <v>停機</v>
      </c>
      <c r="AB11" s="1413" t="str">
        <f t="shared" si="0"/>
        <v/>
      </c>
      <c r="AC11" s="984" t="str">
        <f>IF(OR(L11={"改紡","檢修","了機","清車","FINAL","停機","SAMPLE","TEST"}), "", IFERROR(IF(C11="", "", AVERAGE(L11:M11, P11:Q11, T11:U11, X11:Y11)/100), ""))</f>
        <v/>
      </c>
      <c r="AD11" s="984" t="str">
        <f t="shared" si="1"/>
        <v/>
      </c>
      <c r="AE11" s="984" t="str">
        <f>IF(OR(L11="改紡", L11="檢修", L11="了機"), "",
   IF(AND(C11&lt;&gt;"", J11&lt;&gt;""),
      IFERROR((SUM(J11, N11, R11, V11) - SUM(K11, O11, S11, W11))/24 * AG11, ""),
   "")
)</f>
        <v/>
      </c>
      <c r="AF11" s="985" t="str">
        <f t="shared" si="2"/>
        <v>A</v>
      </c>
      <c r="AG11" s="1414">
        <v>1</v>
      </c>
      <c r="AH11" s="1002" t="s">
        <v>640</v>
      </c>
      <c r="AI11" s="1002" t="s">
        <v>640</v>
      </c>
      <c r="AJ11" s="1002" t="s">
        <v>640</v>
      </c>
      <c r="AK11" s="981" t="s">
        <v>640</v>
      </c>
      <c r="AL11" s="1415"/>
      <c r="AM11" s="1323"/>
      <c r="AN11" s="1323"/>
      <c r="AO11" s="1323"/>
      <c r="AP11" s="1323"/>
      <c r="AQ11" s="1323"/>
      <c r="AR11" s="987"/>
      <c r="AS11" s="978" t="str">
        <f t="shared" si="3"/>
        <v>單</v>
      </c>
      <c r="AT11" s="978" t="str">
        <f t="shared" si="4"/>
        <v>全</v>
      </c>
      <c r="AU11" s="978" t="str">
        <f t="shared" si="5"/>
        <v/>
      </c>
      <c r="AV11" s="978" t="str">
        <f t="shared" si="6"/>
        <v/>
      </c>
    </row>
    <row r="12" spans="1:48">
      <c r="A12" s="975">
        <f t="shared" si="7"/>
        <v>46143</v>
      </c>
      <c r="B12" s="976" t="s">
        <v>221</v>
      </c>
      <c r="C12" s="976" t="s">
        <v>16725</v>
      </c>
      <c r="D12" s="1410"/>
      <c r="E12" s="977" t="str">
        <f>IFERROR(VLOOKUP(C12, [6]條件!$A:$L, 5, 0), "")</f>
        <v>150/48HC</v>
      </c>
      <c r="F12" s="978" t="str">
        <f>IFERROR(VLOOKUP(C12, [6]條件!$A:$L, 6, 0), "")</f>
        <v>FP82781</v>
      </c>
      <c r="G12" s="1411">
        <f>IFERROR(VLOOKUP(C12, [6]條件!$A:$L, 7, 0), "")</f>
        <v>600</v>
      </c>
      <c r="H12" s="978" t="str">
        <f>IF(ISNA(VLOOKUP(C12,[6]條件!$A$1:$K$932,11,0)),"",(VLOOKUP(C12,[6]條件!$A$1:$K$932,11,0)))</f>
        <v>黃底白點</v>
      </c>
      <c r="I12" s="979">
        <f>IF(ISNA(VLOOKUP(C12,[6]條件!$A$1:$L$932,12,0)),"",(VLOOKUP(C12,[6]條件!$A$1:$L$932,12,0)))</f>
        <v>5</v>
      </c>
      <c r="J12" s="980">
        <v>15</v>
      </c>
      <c r="K12" s="980">
        <v>0</v>
      </c>
      <c r="L12" s="981">
        <v>8799</v>
      </c>
      <c r="M12" s="981">
        <v>8298</v>
      </c>
      <c r="N12" s="982">
        <v>10</v>
      </c>
      <c r="O12" s="980">
        <v>2</v>
      </c>
      <c r="P12" s="981">
        <v>8822</v>
      </c>
      <c r="Q12" s="981">
        <v>8355</v>
      </c>
      <c r="R12" s="982">
        <v>5</v>
      </c>
      <c r="S12" s="980">
        <v>0</v>
      </c>
      <c r="T12" s="981">
        <v>8734</v>
      </c>
      <c r="U12" s="981">
        <v>8223</v>
      </c>
      <c r="V12" s="982">
        <v>14</v>
      </c>
      <c r="W12" s="980">
        <v>1</v>
      </c>
      <c r="X12" s="981">
        <v>8167</v>
      </c>
      <c r="Y12" s="983">
        <v>8745</v>
      </c>
      <c r="Z12" s="1412">
        <f>IFERROR(VLOOKUP(C12, [6]條件!$A:$L, 3, 0), "")</f>
        <v>2.8685258964143427</v>
      </c>
      <c r="AA12" s="984">
        <f>IF(OR(L12={"改紡","檢修","了機","清車","FINAL","停機","SAMPLE","TEST","絲開發"}), L12, IFERROR(IF(C12="", "", (SUM(J12, N12, R12, V12)/3 * AG12) * IF(AND(AF12="S", AS12="雙"), 0.5, 1)), ""))</f>
        <v>14.666666666666666</v>
      </c>
      <c r="AB12" s="1413">
        <f t="shared" si="0"/>
        <v>0.99497195512820513</v>
      </c>
      <c r="AC12" s="984">
        <f>IF(OR(L12={"改紡","檢修","了機","清車","FINAL","停機","SAMPLE","TEST"}), "", IFERROR(IF(C12="", "", AVERAGE(L12:M12, P12:Q12, T12:U12, X12:Y12)/100), ""))</f>
        <v>85.178749999999994</v>
      </c>
      <c r="AD12" s="984">
        <f t="shared" si="1"/>
        <v>1.8333333333333333</v>
      </c>
      <c r="AE12" s="984">
        <f t="shared" ref="AE12:AE22" si="9">IF(OR(L12="改紡", L12="檢修", L12="了機"), "",
IF(AND(C12&lt;&gt;"", J12&lt;&gt;""),
IFERROR((SUM(J12, N12, R12, V12) - SUM(K12, O12, S12, W12))/24 * AG12, ""),
"")
)</f>
        <v>1.7083333333333333</v>
      </c>
      <c r="AF12" s="985" t="str">
        <f t="shared" si="2"/>
        <v>A</v>
      </c>
      <c r="AG12" s="1414">
        <v>1</v>
      </c>
      <c r="AH12" s="1002" t="s">
        <v>16154</v>
      </c>
      <c r="AI12" s="1002" t="s">
        <v>16154</v>
      </c>
      <c r="AJ12" s="1418" t="s">
        <v>630</v>
      </c>
      <c r="AK12" s="981" t="s">
        <v>630</v>
      </c>
      <c r="AL12" s="1415">
        <v>54</v>
      </c>
      <c r="AM12" s="1323">
        <v>46137</v>
      </c>
      <c r="AN12" s="1323">
        <v>46138</v>
      </c>
      <c r="AO12" s="1323">
        <v>46139</v>
      </c>
      <c r="AP12" s="1323"/>
      <c r="AQ12" s="1323"/>
      <c r="AR12" s="987"/>
      <c r="AS12" s="978" t="str">
        <f t="shared" si="3"/>
        <v>單</v>
      </c>
      <c r="AT12" s="978" t="str">
        <f t="shared" si="4"/>
        <v>全</v>
      </c>
      <c r="AU12" s="978">
        <f t="shared" si="5"/>
        <v>150</v>
      </c>
      <c r="AV12" s="978">
        <f t="shared" si="6"/>
        <v>2.6493998400000001</v>
      </c>
    </row>
    <row r="13" spans="1:48">
      <c r="A13" s="975">
        <f t="shared" si="7"/>
        <v>46143</v>
      </c>
      <c r="B13" s="976" t="s">
        <v>222</v>
      </c>
      <c r="C13" s="976" t="s">
        <v>632</v>
      </c>
      <c r="D13" s="1410"/>
      <c r="E13" s="977" t="str">
        <f>IFERROR(VLOOKUP(C13, [6]條件!$A:$L, 5, 0), "")</f>
        <v/>
      </c>
      <c r="F13" s="978" t="str">
        <f>IFERROR(VLOOKUP(C13, [6]條件!$A:$L, 6, 0), "")</f>
        <v/>
      </c>
      <c r="G13" s="1411" t="str">
        <f>IFERROR(VLOOKUP(C13, [6]條件!$A:$L, 7, 0), "")</f>
        <v/>
      </c>
      <c r="H13" s="978" t="str">
        <f>IF(ISNA(VLOOKUP(C13,[6]條件!$A$1:$K$932,11,0)),"",(VLOOKUP(C13,[6]條件!$A$1:$K$932,11,0)))</f>
        <v/>
      </c>
      <c r="I13" s="979" t="str">
        <f>IF(ISNA(VLOOKUP(C13,[6]條件!$A$1:$L$932,12,0)),"",(VLOOKUP(C13,[6]條件!$A$1:$L$932,12,0)))</f>
        <v/>
      </c>
      <c r="J13" s="980"/>
      <c r="K13" s="980"/>
      <c r="L13" s="981" t="s">
        <v>632</v>
      </c>
      <c r="M13" s="981"/>
      <c r="N13" s="982"/>
      <c r="O13" s="980"/>
      <c r="P13" s="981" t="s">
        <v>632</v>
      </c>
      <c r="Q13" s="981"/>
      <c r="R13" s="982"/>
      <c r="S13" s="980"/>
      <c r="T13" s="981" t="s">
        <v>632</v>
      </c>
      <c r="U13" s="981"/>
      <c r="V13" s="982"/>
      <c r="W13" s="980"/>
      <c r="X13" s="981" t="s">
        <v>632</v>
      </c>
      <c r="Y13" s="983"/>
      <c r="Z13" s="1412" t="str">
        <f>IFERROR(VLOOKUP(C13, [6]條件!$A:$L, 3, 0), "")</f>
        <v/>
      </c>
      <c r="AA13" s="984" t="str">
        <f>IF(OR(L13={"改紡","檢修","了機","清車","FINAL","停機","SAMPLE","TEST","絲開發"}), L13, IFERROR(IF(C13="", "", (SUM(J13, N13, R13, V13)/3 * AG13) * IF(AND(AF13="S", AS13="雙"), 0.5, 1)), ""))</f>
        <v>停機</v>
      </c>
      <c r="AB13" s="1413" t="str">
        <f t="shared" si="0"/>
        <v/>
      </c>
      <c r="AC13" s="984" t="str">
        <f>IF(OR(L13={"改紡","檢修","了機","清車","FINAL","停機","SAMPLE","TEST"}), "", IFERROR(IF(C13="", "", AVERAGE(L13:M13, P13:Q13, T13:U13, X13:Y13)/100), ""))</f>
        <v/>
      </c>
      <c r="AD13" s="984" t="str">
        <f t="shared" si="1"/>
        <v/>
      </c>
      <c r="AE13" s="984" t="str">
        <f t="shared" si="9"/>
        <v/>
      </c>
      <c r="AF13" s="985" t="str">
        <f t="shared" si="2"/>
        <v>A</v>
      </c>
      <c r="AG13" s="1414">
        <v>1</v>
      </c>
      <c r="AH13" s="1002" t="s">
        <v>640</v>
      </c>
      <c r="AI13" s="1002" t="s">
        <v>640</v>
      </c>
      <c r="AJ13" s="1166" t="s">
        <v>640</v>
      </c>
      <c r="AK13" s="1408" t="s">
        <v>640</v>
      </c>
      <c r="AL13" s="1415"/>
      <c r="AM13" s="1323"/>
      <c r="AN13" s="1323"/>
      <c r="AO13" s="1323"/>
      <c r="AP13" s="1323"/>
      <c r="AQ13" s="1323"/>
      <c r="AR13" s="987"/>
      <c r="AS13" s="978" t="str">
        <f t="shared" si="3"/>
        <v>單</v>
      </c>
      <c r="AT13" s="978" t="str">
        <f t="shared" si="4"/>
        <v>全</v>
      </c>
      <c r="AU13" s="978" t="str">
        <f t="shared" si="5"/>
        <v/>
      </c>
      <c r="AV13" s="978" t="str">
        <f t="shared" si="6"/>
        <v/>
      </c>
    </row>
    <row r="14" spans="1:48">
      <c r="A14" s="975">
        <f t="shared" si="7"/>
        <v>46143</v>
      </c>
      <c r="B14" s="976" t="s">
        <v>223</v>
      </c>
      <c r="C14" s="976" t="s">
        <v>632</v>
      </c>
      <c r="D14" s="1410"/>
      <c r="E14" s="977" t="str">
        <f>IFERROR(VLOOKUP(C14, [6]條件!$A:$L, 5, 0), "")</f>
        <v/>
      </c>
      <c r="F14" s="978" t="str">
        <f>IFERROR(VLOOKUP(C14, [6]條件!$A:$L, 6, 0), "")</f>
        <v/>
      </c>
      <c r="G14" s="1411" t="str">
        <f>IFERROR(VLOOKUP(C14, [6]條件!$A:$L, 7, 0), "")</f>
        <v/>
      </c>
      <c r="H14" s="978" t="str">
        <f>IF(ISNA(VLOOKUP(C14,[6]條件!$A$1:$K$932,11,0)),"",(VLOOKUP(C14,[6]條件!$A$1:$K$932,11,0)))</f>
        <v/>
      </c>
      <c r="I14" s="979" t="str">
        <f>IF(ISNA(VLOOKUP(C14,[6]條件!$A$1:$L$932,12,0)),"",(VLOOKUP(C14,[6]條件!$A$1:$L$932,12,0)))</f>
        <v/>
      </c>
      <c r="J14" s="980"/>
      <c r="K14" s="980"/>
      <c r="L14" s="981" t="s">
        <v>632</v>
      </c>
      <c r="M14" s="981"/>
      <c r="N14" s="982"/>
      <c r="O14" s="980"/>
      <c r="P14" s="981" t="s">
        <v>632</v>
      </c>
      <c r="Q14" s="981"/>
      <c r="R14" s="982"/>
      <c r="S14" s="980"/>
      <c r="T14" s="981" t="s">
        <v>632</v>
      </c>
      <c r="U14" s="981"/>
      <c r="V14" s="982"/>
      <c r="W14" s="980"/>
      <c r="X14" s="981" t="s">
        <v>632</v>
      </c>
      <c r="Y14" s="983"/>
      <c r="Z14" s="1412" t="str">
        <f>IFERROR(VLOOKUP(C14, [6]條件!$A:$L, 3, 0), "")</f>
        <v/>
      </c>
      <c r="AA14" s="984" t="str">
        <f>IF(OR(L14={"改紡","檢修","了機","清車","FINAL","停機","SAMPLE","TEST","絲開發"}), L14, IFERROR(IF(C14="", "", (SUM(J14, N14, R14, V14)/3 * AG14) * IF(AND(AF14="S", AS14="雙"), 0.5, 1)), ""))</f>
        <v>停機</v>
      </c>
      <c r="AB14" s="1413" t="str">
        <f t="shared" si="0"/>
        <v/>
      </c>
      <c r="AC14" s="984" t="str">
        <f>IF(OR(L14={"改紡","檢修","了機","清車","FINAL","停機","SAMPLE","TEST"}), "", IFERROR(IF(C14="", "", AVERAGE(L14:M14, P14:Q14, T14:U14, X14:Y14)/100), ""))</f>
        <v/>
      </c>
      <c r="AD14" s="984" t="str">
        <f t="shared" si="1"/>
        <v/>
      </c>
      <c r="AE14" s="984" t="str">
        <f t="shared" si="9"/>
        <v/>
      </c>
      <c r="AF14" s="985" t="str">
        <f t="shared" si="2"/>
        <v>A</v>
      </c>
      <c r="AG14" s="1414">
        <v>1</v>
      </c>
      <c r="AH14" s="1002" t="s">
        <v>640</v>
      </c>
      <c r="AI14" s="1002" t="s">
        <v>640</v>
      </c>
      <c r="AJ14" s="1166" t="s">
        <v>640</v>
      </c>
      <c r="AK14" s="1408" t="s">
        <v>640</v>
      </c>
      <c r="AL14" s="1415"/>
      <c r="AM14" s="1324"/>
      <c r="AN14" s="1323"/>
      <c r="AO14" s="1323"/>
      <c r="AP14" s="1323"/>
      <c r="AQ14" s="1323"/>
      <c r="AR14" s="987"/>
      <c r="AS14" s="978" t="str">
        <f t="shared" si="3"/>
        <v>單</v>
      </c>
      <c r="AT14" s="978" t="str">
        <f t="shared" si="4"/>
        <v>全</v>
      </c>
      <c r="AU14" s="978" t="str">
        <f t="shared" si="5"/>
        <v/>
      </c>
      <c r="AV14" s="978" t="str">
        <f t="shared" si="6"/>
        <v/>
      </c>
    </row>
    <row r="15" spans="1:48">
      <c r="A15" s="975">
        <f t="shared" si="7"/>
        <v>46143</v>
      </c>
      <c r="B15" s="976" t="s">
        <v>224</v>
      </c>
      <c r="C15" s="976" t="s">
        <v>16734</v>
      </c>
      <c r="D15" s="1410" t="s">
        <v>633</v>
      </c>
      <c r="E15" s="977" t="str">
        <f>IFERROR(VLOOKUP(C15, [6]條件!$A:$L, 5, 0), "")</f>
        <v>75/24/2SDr</v>
      </c>
      <c r="F15" s="978" t="str">
        <f>IFERROR(VLOOKUP(C15, [6]條件!$A:$L, 6, 0), "")</f>
        <v>FP81382R×2</v>
      </c>
      <c r="G15" s="1411">
        <f>IFERROR(VLOOKUP(C15, [6]條件!$A:$L, 7, 0), "")</f>
        <v>700</v>
      </c>
      <c r="H15" s="978" t="str">
        <f>IF(ISNA(VLOOKUP(C15,[6]條件!$A$1:$K$932,11,0)),"",(VLOOKUP(C15,[6]條件!$A$1:$K$932,11,0)))</f>
        <v>白底紫三角</v>
      </c>
      <c r="I15" s="979">
        <f>IF(ISNA(VLOOKUP(C15,[6]條件!$A$1:$L$932,12,0)),"",(VLOOKUP(C15,[6]條件!$A$1:$L$932,12,0)))</f>
        <v>5</v>
      </c>
      <c r="J15" s="980">
        <v>32</v>
      </c>
      <c r="K15" s="980">
        <v>6</v>
      </c>
      <c r="L15" s="981">
        <v>9391</v>
      </c>
      <c r="M15" s="981">
        <v>8927</v>
      </c>
      <c r="N15" s="982">
        <v>2</v>
      </c>
      <c r="O15" s="980">
        <v>0</v>
      </c>
      <c r="P15" s="981">
        <v>9630</v>
      </c>
      <c r="Q15" s="981">
        <v>9072</v>
      </c>
      <c r="R15" s="982">
        <v>4</v>
      </c>
      <c r="S15" s="980">
        <v>0</v>
      </c>
      <c r="T15" s="981">
        <v>9602</v>
      </c>
      <c r="U15" s="981">
        <v>9073</v>
      </c>
      <c r="V15" s="982">
        <v>24</v>
      </c>
      <c r="W15" s="980">
        <v>3</v>
      </c>
      <c r="X15" s="981">
        <v>9543</v>
      </c>
      <c r="Y15" s="983">
        <v>9000</v>
      </c>
      <c r="Z15" s="1412">
        <f>IFERROR(VLOOKUP(C15, [6]條件!$A:$L, 3, 0), "")</f>
        <v>3.2653061224489797</v>
      </c>
      <c r="AA15" s="984">
        <f>IF(OR(L15={"改紡","檢修","了機","清車","FINAL","停機","SAMPLE","TEST","絲開發"}), L15, IFERROR(IF(C15="", "", (SUM(J15, N15, R15, V15)/3 * AG15) * IF(AND(AF15="S", AS15="雙"), 0.5, 1)), ""))</f>
        <v>10.333333333333334</v>
      </c>
      <c r="AB15" s="1413">
        <f t="shared" si="0"/>
        <v>0.98674879807692306</v>
      </c>
      <c r="AC15" s="984">
        <f>IF(OR(L15={"改紡","檢修","了機","清車","FINAL","停機","SAMPLE","TEST"}), "", IFERROR(IF(C15="", "", AVERAGE(L15:M15, P15:Q15, T15:U15, X15:Y15)/100), ""))</f>
        <v>92.797499999999999</v>
      </c>
      <c r="AD15" s="984">
        <f t="shared" si="1"/>
        <v>1.2916666666666667</v>
      </c>
      <c r="AE15" s="984">
        <f t="shared" si="9"/>
        <v>1.1041666666666667</v>
      </c>
      <c r="AF15" s="985" t="str">
        <f t="shared" si="2"/>
        <v>A</v>
      </c>
      <c r="AG15" s="1414">
        <v>0.5</v>
      </c>
      <c r="AH15" s="1002" t="s">
        <v>631</v>
      </c>
      <c r="AI15" s="1002" t="s">
        <v>631</v>
      </c>
      <c r="AJ15" s="1002" t="s">
        <v>725</v>
      </c>
      <c r="AK15" s="981" t="s">
        <v>725</v>
      </c>
      <c r="AL15" s="1415">
        <v>50</v>
      </c>
      <c r="AM15" s="1323">
        <v>46100</v>
      </c>
      <c r="AN15" s="1323">
        <v>46102</v>
      </c>
      <c r="AO15" s="1323">
        <v>46103</v>
      </c>
      <c r="AP15" s="1323">
        <v>46104</v>
      </c>
      <c r="AQ15" s="1323">
        <v>46106</v>
      </c>
      <c r="AR15" s="987"/>
      <c r="AS15" s="978" t="str">
        <f t="shared" si="3"/>
        <v>雙</v>
      </c>
      <c r="AT15" s="978" t="str">
        <f t="shared" si="4"/>
        <v>全</v>
      </c>
      <c r="AU15" s="978">
        <f t="shared" si="5"/>
        <v>75</v>
      </c>
      <c r="AV15" s="978">
        <f t="shared" si="6"/>
        <v>1.6837178400000004</v>
      </c>
    </row>
    <row r="16" spans="1:48">
      <c r="A16" s="975">
        <f t="shared" si="7"/>
        <v>46143</v>
      </c>
      <c r="B16" s="976" t="s">
        <v>225</v>
      </c>
      <c r="C16" s="976" t="s">
        <v>16747</v>
      </c>
      <c r="D16" s="1410"/>
      <c r="E16" s="977" t="str">
        <f>IFERROR(VLOOKUP(C16, [6]條件!$A:$L, 5, 0), "")</f>
        <v>150/48SDR</v>
      </c>
      <c r="F16" s="978" t="str">
        <f>IFERROR(VLOOKUP(C16, [6]條件!$A:$L, 6, 0), "")</f>
        <v>FP82169R</v>
      </c>
      <c r="G16" s="1411">
        <f>IFERROR(VLOOKUP(C16, [6]條件!$A:$L, 7, 0), "")</f>
        <v>650</v>
      </c>
      <c r="H16" s="978" t="str">
        <f>IF(ISNA(VLOOKUP(C16,[6]條件!$A$1:$K$932,11,0)),"",(VLOOKUP(C16,[6]條件!$A$1:$K$932,11,0)))</f>
        <v>綠藍三角</v>
      </c>
      <c r="I16" s="979">
        <f>IF(ISNA(VLOOKUP(C16,[6]條件!$A$1:$L$932,12,0)),"",(VLOOKUP(C16,[6]條件!$A$1:$L$932,12,0)))</f>
        <v>5</v>
      </c>
      <c r="J16" s="980">
        <v>11</v>
      </c>
      <c r="K16" s="980">
        <v>0</v>
      </c>
      <c r="L16" s="981" t="s">
        <v>16079</v>
      </c>
      <c r="M16" s="981">
        <v>9191</v>
      </c>
      <c r="N16" s="982">
        <v>18</v>
      </c>
      <c r="O16" s="980">
        <v>0</v>
      </c>
      <c r="P16" s="981">
        <v>9668</v>
      </c>
      <c r="Q16" s="981">
        <v>9163</v>
      </c>
      <c r="R16" s="982">
        <v>11</v>
      </c>
      <c r="S16" s="980">
        <v>2</v>
      </c>
      <c r="T16" s="981">
        <v>9654</v>
      </c>
      <c r="U16" s="981">
        <v>9174</v>
      </c>
      <c r="V16" s="982">
        <v>5</v>
      </c>
      <c r="W16" s="980">
        <v>1</v>
      </c>
      <c r="X16" s="981">
        <v>9596</v>
      </c>
      <c r="Y16" s="983">
        <v>9086</v>
      </c>
      <c r="Z16" s="1412">
        <f>IFERROR(VLOOKUP(C16, [6]條件!$A:$L, 3, 0), "")</f>
        <v>3.0573248407643314</v>
      </c>
      <c r="AA16" s="984">
        <f>IF(OR(L16={"改紡","檢修","了機","清車","FINAL","停機","SAMPLE","TEST","絲開發"}), L16, IFERROR(IF(C16="", "", (SUM(J16, N16, R16, V16)/3 * AG16) * IF(AND(AF16="S", AS16="雙"), 0.5, 1)), ""))</f>
        <v>15</v>
      </c>
      <c r="AB16" s="1413">
        <f t="shared" si="0"/>
        <v>0.99528245192307696</v>
      </c>
      <c r="AC16" s="984">
        <f>IF(OR(L16={"改紡","檢修","了機","清車","FINAL","停機","SAMPLE","TEST"}), "", IFERROR(IF(C16="", "", AVERAGE(L16:M16, P16:Q16, T16:U16, X16:Y16)/100), ""))</f>
        <v>93.617142857142866</v>
      </c>
      <c r="AD16" s="984">
        <f t="shared" si="1"/>
        <v>1.875</v>
      </c>
      <c r="AE16" s="984">
        <f t="shared" si="9"/>
        <v>1.75</v>
      </c>
      <c r="AF16" s="985" t="str">
        <f t="shared" si="2"/>
        <v>A</v>
      </c>
      <c r="AG16" s="1414">
        <v>1</v>
      </c>
      <c r="AH16" s="1002" t="s">
        <v>636</v>
      </c>
      <c r="AI16" s="1002" t="s">
        <v>636</v>
      </c>
      <c r="AJ16" s="1002" t="s">
        <v>815</v>
      </c>
      <c r="AK16" s="981" t="s">
        <v>815</v>
      </c>
      <c r="AL16" s="1415">
        <v>48</v>
      </c>
      <c r="AM16" s="1323">
        <v>46141</v>
      </c>
      <c r="AN16" s="1323"/>
      <c r="AO16" s="1323"/>
      <c r="AP16" s="1323"/>
      <c r="AQ16" s="1323"/>
      <c r="AR16" s="987"/>
      <c r="AS16" s="978" t="str">
        <f t="shared" si="3"/>
        <v>單</v>
      </c>
      <c r="AT16" s="978" t="str">
        <f t="shared" si="4"/>
        <v>全</v>
      </c>
      <c r="AU16" s="978">
        <f t="shared" si="5"/>
        <v>150</v>
      </c>
      <c r="AV16" s="978">
        <f t="shared" si="6"/>
        <v>3.154523245714286</v>
      </c>
    </row>
    <row r="17" spans="1:48">
      <c r="A17" s="975">
        <f t="shared" si="7"/>
        <v>46143</v>
      </c>
      <c r="B17" s="976" t="s">
        <v>226</v>
      </c>
      <c r="C17" s="976" t="s">
        <v>632</v>
      </c>
      <c r="D17" s="1410"/>
      <c r="E17" s="977" t="str">
        <f>IFERROR(VLOOKUP(C17, [6]條件!$A:$L, 5, 0), "")</f>
        <v/>
      </c>
      <c r="F17" s="978" t="str">
        <f>IFERROR(VLOOKUP(C17, [6]條件!$A:$L, 6, 0), "")</f>
        <v/>
      </c>
      <c r="G17" s="1411" t="str">
        <f>IFERROR(VLOOKUP(C17, [6]條件!$A:$L, 7, 0), "")</f>
        <v/>
      </c>
      <c r="H17" s="978" t="str">
        <f>IF(ISNA(VLOOKUP(C17,[6]條件!$A$1:$K$932,11,0)),"",(VLOOKUP(C17,[6]條件!$A$1:$K$932,11,0)))</f>
        <v/>
      </c>
      <c r="I17" s="979" t="str">
        <f>IF(ISNA(VLOOKUP(C17,[6]條件!$A$1:$L$932,12,0)),"",(VLOOKUP(C17,[6]條件!$A$1:$L$932,12,0)))</f>
        <v/>
      </c>
      <c r="J17" s="980"/>
      <c r="K17" s="980"/>
      <c r="L17" s="981" t="s">
        <v>632</v>
      </c>
      <c r="M17" s="981"/>
      <c r="N17" s="982"/>
      <c r="O17" s="980"/>
      <c r="P17" s="981" t="s">
        <v>632</v>
      </c>
      <c r="Q17" s="981"/>
      <c r="R17" s="982"/>
      <c r="S17" s="980"/>
      <c r="T17" s="981" t="s">
        <v>632</v>
      </c>
      <c r="U17" s="981"/>
      <c r="V17" s="982"/>
      <c r="W17" s="980"/>
      <c r="X17" s="981" t="s">
        <v>632</v>
      </c>
      <c r="Y17" s="983"/>
      <c r="Z17" s="1412" t="str">
        <f>IFERROR(VLOOKUP(C17, [6]條件!$A:$L, 3, 0), "")</f>
        <v/>
      </c>
      <c r="AA17" s="984" t="str">
        <f>IF(OR(L17={"改紡","檢修","了機","清車","FINAL","停機","SAMPLE","TEST","絲開發"}), L17, IFERROR(IF(C17="", "", (SUM(J17, N17, R17, V17)/3 * AG17) * IF(AND(AF17="S", AS17="雙"), 0.5, 1)), ""))</f>
        <v>停機</v>
      </c>
      <c r="AB17" s="1413" t="str">
        <f t="shared" si="0"/>
        <v/>
      </c>
      <c r="AC17" s="984" t="str">
        <f>IF(OR(L17={"改紡","檢修","了機","清車","FINAL","停機","SAMPLE","TEST"}), "", IFERROR(IF(C17="", "", AVERAGE(L17:M17, P17:Q17, T17:U17, X17:Y17)/100), ""))</f>
        <v/>
      </c>
      <c r="AD17" s="984" t="str">
        <f t="shared" si="1"/>
        <v/>
      </c>
      <c r="AE17" s="984" t="str">
        <f t="shared" si="9"/>
        <v/>
      </c>
      <c r="AF17" s="985" t="str">
        <f t="shared" si="2"/>
        <v>A</v>
      </c>
      <c r="AG17" s="1414">
        <v>1</v>
      </c>
      <c r="AH17" s="1002" t="s">
        <v>640</v>
      </c>
      <c r="AI17" s="1002" t="s">
        <v>640</v>
      </c>
      <c r="AJ17" s="1002" t="s">
        <v>640</v>
      </c>
      <c r="AK17" s="981" t="s">
        <v>640</v>
      </c>
      <c r="AL17" s="1415"/>
      <c r="AM17" s="1323"/>
      <c r="AN17" s="1323"/>
      <c r="AO17" s="1323"/>
      <c r="AP17" s="1323"/>
      <c r="AQ17" s="1323"/>
      <c r="AR17" s="987"/>
      <c r="AS17" s="978" t="str">
        <f t="shared" si="3"/>
        <v>單</v>
      </c>
      <c r="AT17" s="978" t="str">
        <f t="shared" si="4"/>
        <v>全</v>
      </c>
      <c r="AU17" s="978" t="str">
        <f t="shared" si="5"/>
        <v/>
      </c>
      <c r="AV17" s="978" t="str">
        <f t="shared" si="6"/>
        <v/>
      </c>
    </row>
    <row r="18" spans="1:48">
      <c r="A18" s="975">
        <f t="shared" si="7"/>
        <v>46143</v>
      </c>
      <c r="B18" s="976" t="s">
        <v>227</v>
      </c>
      <c r="C18" s="976" t="s">
        <v>16712</v>
      </c>
      <c r="D18" s="1410"/>
      <c r="E18" s="977" t="str">
        <f>IFERROR(VLOOKUP(C18, [6]條件!$A:$L, 5, 0), "")</f>
        <v>100/36SDr</v>
      </c>
      <c r="F18" s="978" t="str">
        <f>IFERROR(VLOOKUP(C18, [6]條件!$A:$L, 6, 0), "")</f>
        <v>FP81384R</v>
      </c>
      <c r="G18" s="1411">
        <f>IFERROR(VLOOKUP(C18, [6]條件!$A:$L, 7, 0), "")</f>
        <v>700</v>
      </c>
      <c r="H18" s="978" t="str">
        <f>IF(ISNA(VLOOKUP(C18,[6]條件!$A$1:$K$932,11,0)),"",(VLOOKUP(C18,[6]條件!$A$1:$K$932,11,0)))</f>
        <v>白底紅三角</v>
      </c>
      <c r="I18" s="979">
        <f>IF(ISNA(VLOOKUP(C18,[6]條件!$A$1:$L$932,12,0)),"",(VLOOKUP(C18,[6]條件!$A$1:$L$932,12,0)))</f>
        <v>5</v>
      </c>
      <c r="J18" s="980">
        <v>16</v>
      </c>
      <c r="K18" s="980">
        <v>1</v>
      </c>
      <c r="L18" s="981">
        <v>7659</v>
      </c>
      <c r="M18" s="981">
        <v>8262</v>
      </c>
      <c r="N18" s="982">
        <v>11</v>
      </c>
      <c r="O18" s="980">
        <v>0</v>
      </c>
      <c r="P18" s="981">
        <v>7693</v>
      </c>
      <c r="Q18" s="981">
        <v>8279</v>
      </c>
      <c r="R18" s="982">
        <v>11</v>
      </c>
      <c r="S18" s="980">
        <v>0</v>
      </c>
      <c r="T18" s="981">
        <v>7617</v>
      </c>
      <c r="U18" s="981">
        <v>8274</v>
      </c>
      <c r="V18" s="982">
        <v>14</v>
      </c>
      <c r="W18" s="980">
        <v>1</v>
      </c>
      <c r="X18" s="981">
        <v>7759</v>
      </c>
      <c r="Y18" s="983">
        <v>8169</v>
      </c>
      <c r="Z18" s="1412">
        <f>IFERROR(VLOOKUP(C18, [6]條件!$A:$L, 3, 0), "")</f>
        <v>2.2187981510015407</v>
      </c>
      <c r="AA18" s="984">
        <f>IF(OR(L18={"改紡","檢修","了機","清車","FINAL","停機","SAMPLE","TEST","絲開發"}), L18, IFERROR(IF(C18="", "", (SUM(J18, N18, R18, V18)/3 * AG18) * IF(AND(AF18="S", AS18="雙"), 0.5, 1)), ""))</f>
        <v>17.333333333333332</v>
      </c>
      <c r="AB18" s="1413">
        <f t="shared" si="0"/>
        <v>0.99566639957264957</v>
      </c>
      <c r="AC18" s="984">
        <f>IF(OR(L18={"改紡","檢修","了機","清車","FINAL","停機","SAMPLE","TEST"}), "", IFERROR(IF(C18="", "", AVERAGE(L18:M18, P18:Q18, T18:U18, X18:Y18)/100), ""))</f>
        <v>79.64</v>
      </c>
      <c r="AD18" s="984">
        <f t="shared" si="1"/>
        <v>2.1666666666666665</v>
      </c>
      <c r="AE18" s="984">
        <f t="shared" si="9"/>
        <v>2.0833333333333335</v>
      </c>
      <c r="AF18" s="985" t="str">
        <f t="shared" si="2"/>
        <v>A</v>
      </c>
      <c r="AG18" s="1414">
        <v>1</v>
      </c>
      <c r="AH18" s="1002" t="s">
        <v>631</v>
      </c>
      <c r="AI18" s="1002" t="s">
        <v>631</v>
      </c>
      <c r="AJ18" s="1418" t="s">
        <v>725</v>
      </c>
      <c r="AK18" s="981" t="s">
        <v>725</v>
      </c>
      <c r="AL18" s="1415">
        <v>50</v>
      </c>
      <c r="AM18" s="1323">
        <v>46129</v>
      </c>
      <c r="AN18" s="1323">
        <v>46130</v>
      </c>
      <c r="AO18" s="1323">
        <v>46131</v>
      </c>
      <c r="AP18" s="1323">
        <v>46134</v>
      </c>
      <c r="AQ18" s="1323"/>
      <c r="AR18" s="987"/>
      <c r="AS18" s="978" t="str">
        <f t="shared" si="3"/>
        <v>單</v>
      </c>
      <c r="AT18" s="978" t="str">
        <f t="shared" si="4"/>
        <v>全</v>
      </c>
      <c r="AU18" s="978">
        <f t="shared" si="5"/>
        <v>100</v>
      </c>
      <c r="AV18" s="978">
        <f t="shared" si="6"/>
        <v>1.92665088</v>
      </c>
    </row>
    <row r="19" spans="1:48">
      <c r="A19" s="975">
        <f t="shared" si="7"/>
        <v>46143</v>
      </c>
      <c r="B19" s="976" t="s">
        <v>228</v>
      </c>
      <c r="C19" s="976" t="s">
        <v>632</v>
      </c>
      <c r="D19" s="1410"/>
      <c r="E19" s="977" t="str">
        <f>IFERROR(VLOOKUP(C19, [6]條件!$A:$L, 5, 0), "")</f>
        <v/>
      </c>
      <c r="F19" s="978" t="str">
        <f>IFERROR(VLOOKUP(C19, [6]條件!$A:$L, 6, 0), "")</f>
        <v/>
      </c>
      <c r="G19" s="1411" t="str">
        <f>IFERROR(VLOOKUP(C19, [6]條件!$A:$L, 7, 0), "")</f>
        <v/>
      </c>
      <c r="H19" s="978" t="str">
        <f>IF(ISNA(VLOOKUP(C19,[6]條件!$A$1:$K$932,11,0)),"",(VLOOKUP(C19,[6]條件!$A$1:$K$932,11,0)))</f>
        <v/>
      </c>
      <c r="I19" s="979" t="str">
        <f>IF(ISNA(VLOOKUP(C19,[6]條件!$A$1:$L$932,12,0)),"",(VLOOKUP(C19,[6]條件!$A$1:$L$932,12,0)))</f>
        <v/>
      </c>
      <c r="J19" s="980"/>
      <c r="K19" s="980"/>
      <c r="L19" s="981" t="s">
        <v>632</v>
      </c>
      <c r="M19" s="981"/>
      <c r="N19" s="982"/>
      <c r="O19" s="980"/>
      <c r="P19" s="981" t="s">
        <v>632</v>
      </c>
      <c r="Q19" s="981"/>
      <c r="R19" s="982"/>
      <c r="S19" s="980"/>
      <c r="T19" s="981" t="s">
        <v>632</v>
      </c>
      <c r="U19" s="981"/>
      <c r="V19" s="982"/>
      <c r="W19" s="980"/>
      <c r="X19" s="981" t="s">
        <v>632</v>
      </c>
      <c r="Y19" s="983"/>
      <c r="Z19" s="1412" t="str">
        <f>IFERROR(VLOOKUP(C19, [6]條件!$A:$L, 3, 0), "")</f>
        <v/>
      </c>
      <c r="AA19" s="984" t="str">
        <f>IF(OR(L19={"改紡","檢修","了機","清車","FINAL","停機","SAMPLE","TEST","絲開發"}), L19, IFERROR(IF(C19="", "", (SUM(J19, N19, R19, V19)/3 * AG19) * IF(AND(AF19="S", AS19="雙"), 0.5, 1)), ""))</f>
        <v>停機</v>
      </c>
      <c r="AB19" s="1413" t="str">
        <f t="shared" si="0"/>
        <v/>
      </c>
      <c r="AC19" s="984" t="str">
        <f>IF(OR(L19={"改紡","檢修","了機","清車","FINAL","停機","SAMPLE","TEST"}), "", IFERROR(IF(C19="", "", AVERAGE(L19:M19, P19:Q19, T19:U19, X19:Y19)/100), ""))</f>
        <v/>
      </c>
      <c r="AD19" s="984" t="str">
        <f t="shared" si="1"/>
        <v/>
      </c>
      <c r="AE19" s="984" t="str">
        <f t="shared" si="9"/>
        <v/>
      </c>
      <c r="AF19" s="985" t="str">
        <f t="shared" si="2"/>
        <v>A</v>
      </c>
      <c r="AG19" s="1414">
        <v>1</v>
      </c>
      <c r="AH19" s="1002" t="s">
        <v>640</v>
      </c>
      <c r="AI19" s="1002" t="s">
        <v>640</v>
      </c>
      <c r="AJ19" s="1132" t="s">
        <v>640</v>
      </c>
      <c r="AK19" s="1419" t="s">
        <v>640</v>
      </c>
      <c r="AL19" s="1420"/>
      <c r="AM19" s="1323"/>
      <c r="AN19" s="1323"/>
      <c r="AO19" s="1323"/>
      <c r="AP19" s="1323"/>
      <c r="AQ19" s="1323"/>
      <c r="AR19" s="987"/>
      <c r="AS19" s="978" t="str">
        <f t="shared" si="3"/>
        <v>單</v>
      </c>
      <c r="AT19" s="978" t="str">
        <f t="shared" si="4"/>
        <v>全</v>
      </c>
      <c r="AU19" s="978" t="str">
        <f t="shared" si="5"/>
        <v/>
      </c>
      <c r="AV19" s="978" t="str">
        <f t="shared" si="6"/>
        <v/>
      </c>
    </row>
    <row r="20" spans="1:48">
      <c r="A20" s="975">
        <f t="shared" si="7"/>
        <v>46143</v>
      </c>
      <c r="B20" s="976" t="s">
        <v>229</v>
      </c>
      <c r="C20" s="976" t="s">
        <v>632</v>
      </c>
      <c r="D20" s="1410"/>
      <c r="E20" s="977" t="str">
        <f>IFERROR(VLOOKUP(C20, [6]條件!$A:$L, 5, 0), "")</f>
        <v/>
      </c>
      <c r="F20" s="978" t="str">
        <f>IFERROR(VLOOKUP(C20, [6]條件!$A:$L, 6, 0), "")</f>
        <v/>
      </c>
      <c r="G20" s="1411" t="str">
        <f>IFERROR(VLOOKUP(C20, [6]條件!$A:$L, 7, 0), "")</f>
        <v/>
      </c>
      <c r="H20" s="978" t="str">
        <f>IF(ISNA(VLOOKUP(C20,[6]條件!$A$1:$K$932,11,0)),"",(VLOOKUP(C20,[6]條件!$A$1:$K$932,11,0)))</f>
        <v/>
      </c>
      <c r="I20" s="979" t="str">
        <f>IF(ISNA(VLOOKUP(C20,[6]條件!$A$1:$L$932,12,0)),"",(VLOOKUP(C20,[6]條件!$A$1:$L$932,12,0)))</f>
        <v/>
      </c>
      <c r="J20" s="980"/>
      <c r="K20" s="980"/>
      <c r="L20" s="981" t="s">
        <v>632</v>
      </c>
      <c r="M20" s="981"/>
      <c r="N20" s="982"/>
      <c r="O20" s="980"/>
      <c r="P20" s="981" t="s">
        <v>632</v>
      </c>
      <c r="Q20" s="981"/>
      <c r="R20" s="982"/>
      <c r="S20" s="980"/>
      <c r="T20" s="981" t="s">
        <v>632</v>
      </c>
      <c r="U20" s="981"/>
      <c r="V20" s="982"/>
      <c r="W20" s="980"/>
      <c r="X20" s="981" t="s">
        <v>632</v>
      </c>
      <c r="Y20" s="983"/>
      <c r="Z20" s="1412" t="str">
        <f>IFERROR(VLOOKUP(C20, [6]條件!$A:$L, 3, 0), "")</f>
        <v/>
      </c>
      <c r="AA20" s="984" t="str">
        <f>IF(OR(L20={"改紡","檢修","了機","清車","FINAL","停機","SAMPLE","TEST","絲開發"}), L20, IFERROR(IF(C20="", "", (SUM(J20, N20, R20, V20)/3 * AG20) * IF(AND(AF20="S", AS20="雙"), 0.5, 1)), ""))</f>
        <v>停機</v>
      </c>
      <c r="AB20" s="1413" t="str">
        <f t="shared" si="0"/>
        <v/>
      </c>
      <c r="AC20" s="984" t="str">
        <f>IF(OR(L20={"改紡","檢修","了機","清車","FINAL","停機","SAMPLE","TEST"}), "", IFERROR(IF(C20="", "", AVERAGE(L20:M20, P20:Q20, T20:U20, X20:Y20)/100), ""))</f>
        <v/>
      </c>
      <c r="AD20" s="984" t="str">
        <f t="shared" si="1"/>
        <v/>
      </c>
      <c r="AE20" s="984" t="str">
        <f t="shared" si="9"/>
        <v/>
      </c>
      <c r="AF20" s="985" t="str">
        <f t="shared" si="2"/>
        <v>A</v>
      </c>
      <c r="AG20" s="1414">
        <v>2</v>
      </c>
      <c r="AH20" s="1002" t="s">
        <v>631</v>
      </c>
      <c r="AI20" s="1002" t="s">
        <v>631</v>
      </c>
      <c r="AJ20" s="986" t="s">
        <v>725</v>
      </c>
      <c r="AK20" s="1417" t="s">
        <v>725</v>
      </c>
      <c r="AL20" s="1421"/>
      <c r="AM20" s="1323"/>
      <c r="AN20" s="1323"/>
      <c r="AO20" s="1323"/>
      <c r="AP20" s="1323"/>
      <c r="AQ20" s="1323"/>
      <c r="AR20" s="987"/>
      <c r="AS20" s="978" t="str">
        <f t="shared" si="3"/>
        <v>單</v>
      </c>
      <c r="AT20" s="978" t="str">
        <f t="shared" si="4"/>
        <v>半</v>
      </c>
      <c r="AU20" s="978" t="str">
        <f t="shared" si="5"/>
        <v/>
      </c>
      <c r="AV20" s="978" t="str">
        <f t="shared" si="6"/>
        <v/>
      </c>
    </row>
    <row r="21" spans="1:48">
      <c r="A21" s="975">
        <f t="shared" si="7"/>
        <v>46143</v>
      </c>
      <c r="B21" s="976" t="s">
        <v>230</v>
      </c>
      <c r="C21" s="976" t="s">
        <v>16751</v>
      </c>
      <c r="D21" s="1410"/>
      <c r="E21" s="977" t="str">
        <f>IFERROR(VLOOKUP(C21, [6]條件!$A:$L, 5, 0), "")</f>
        <v>150/48/2GY5</v>
      </c>
      <c r="F21" s="978" t="str">
        <f>IFERROR(VLOOKUP(C21, [6]條件!$A:$L, 6, 0), "")</f>
        <v>FP02422×2</v>
      </c>
      <c r="G21" s="1411">
        <f>IFERROR(VLOOKUP(C21, [6]條件!$A:$L, 7, 0), "")</f>
        <v>600</v>
      </c>
      <c r="H21" s="978" t="str">
        <f>IF(ISNA(VLOOKUP(C21,[6]條件!$A$1:$K$932,11,0)),"",(VLOOKUP(C21,[6]條件!$A$1:$K$932,11,0)))</f>
        <v>白底紅星</v>
      </c>
      <c r="I21" s="979">
        <f>IF(ISNA(VLOOKUP(C21,[6]條件!$A$1:$L$932,12,0)),"",(VLOOKUP(C21,[6]條件!$A$1:$L$932,12,0)))</f>
        <v>4</v>
      </c>
      <c r="J21" s="980"/>
      <c r="K21" s="980"/>
      <c r="L21" s="981" t="s">
        <v>642</v>
      </c>
      <c r="M21" s="981"/>
      <c r="N21" s="982"/>
      <c r="O21" s="980"/>
      <c r="P21" s="981" t="s">
        <v>642</v>
      </c>
      <c r="Q21" s="981"/>
      <c r="R21" s="982"/>
      <c r="S21" s="980"/>
      <c r="T21" s="981" t="s">
        <v>642</v>
      </c>
      <c r="U21" s="981"/>
      <c r="V21" s="982"/>
      <c r="W21" s="980"/>
      <c r="X21" s="981" t="s">
        <v>642</v>
      </c>
      <c r="Y21" s="983"/>
      <c r="Z21" s="1412">
        <f>IFERROR(VLOOKUP(C21, [6]條件!$A:$L, 3, 0), "")</f>
        <v>6.9230769230769234</v>
      </c>
      <c r="AA21" s="984" t="str">
        <f>IF(OR(L21={"改紡","檢修","了機","清車","FINAL","停機","SAMPLE","TEST","絲開發"}), L21, IFERROR(IF(C21="", "", (SUM(J21, N21, R21, V21)/3 * AG21) * IF(AND(AF21="S", AS21="雙"), 0.5, 1)), ""))</f>
        <v>改紡</v>
      </c>
      <c r="AB21" s="1413" t="str">
        <f t="shared" si="0"/>
        <v/>
      </c>
      <c r="AC21" s="984" t="str">
        <f>IF(OR(L21={"改紡","檢修","了機","清車","FINAL","停機","SAMPLE","TEST"}), "", IFERROR(IF(C21="", "", AVERAGE(L21:M21, P21:Q21, T21:U21, X21:Y21)/100), ""))</f>
        <v/>
      </c>
      <c r="AD21" s="984" t="str">
        <f t="shared" si="1"/>
        <v/>
      </c>
      <c r="AE21" s="984" t="str">
        <f t="shared" si="9"/>
        <v/>
      </c>
      <c r="AF21" s="985" t="str">
        <f t="shared" si="2"/>
        <v>A</v>
      </c>
      <c r="AG21" s="1414">
        <v>1</v>
      </c>
      <c r="AH21" s="1002" t="s">
        <v>631</v>
      </c>
      <c r="AI21" s="1002" t="s">
        <v>631</v>
      </c>
      <c r="AJ21" s="986" t="s">
        <v>725</v>
      </c>
      <c r="AK21" s="1417" t="s">
        <v>725</v>
      </c>
      <c r="AL21" s="1415"/>
      <c r="AM21" s="1323"/>
      <c r="AN21" s="1323"/>
      <c r="AO21" s="1323"/>
      <c r="AP21" s="1323"/>
      <c r="AQ21" s="1323"/>
      <c r="AR21" s="987"/>
      <c r="AS21" s="978" t="str">
        <f t="shared" si="3"/>
        <v>雙</v>
      </c>
      <c r="AT21" s="978" t="str">
        <f t="shared" si="4"/>
        <v>半</v>
      </c>
      <c r="AU21" s="978">
        <f t="shared" si="5"/>
        <v>150</v>
      </c>
      <c r="AV21" s="978" t="str">
        <f t="shared" si="6"/>
        <v/>
      </c>
    </row>
    <row r="22" spans="1:48">
      <c r="A22" s="975">
        <f t="shared" si="7"/>
        <v>46143</v>
      </c>
      <c r="B22" s="976" t="s">
        <v>231</v>
      </c>
      <c r="C22" s="976" t="s">
        <v>632</v>
      </c>
      <c r="D22" s="1410"/>
      <c r="E22" s="977" t="str">
        <f>IFERROR(VLOOKUP(C22, [6]條件!$A:$L, 5, 0), "")</f>
        <v/>
      </c>
      <c r="F22" s="978" t="str">
        <f>IFERROR(VLOOKUP(C22, [6]條件!$A:$L, 6, 0), "")</f>
        <v/>
      </c>
      <c r="G22" s="1411" t="str">
        <f>IFERROR(VLOOKUP(C22, [6]條件!$A:$L, 7, 0), "")</f>
        <v/>
      </c>
      <c r="H22" s="978" t="str">
        <f>IF(ISNA(VLOOKUP(C22,[6]條件!$A$1:$K$932,11,0)),"",(VLOOKUP(C22,[6]條件!$A$1:$K$932,11,0)))</f>
        <v/>
      </c>
      <c r="I22" s="979" t="str">
        <f>IF(ISNA(VLOOKUP(C22,[6]條件!$A$1:$L$932,12,0)),"",(VLOOKUP(C22,[6]條件!$A$1:$L$932,12,0)))</f>
        <v/>
      </c>
      <c r="J22" s="980"/>
      <c r="K22" s="980"/>
      <c r="L22" s="981" t="s">
        <v>632</v>
      </c>
      <c r="M22" s="981"/>
      <c r="N22" s="982"/>
      <c r="O22" s="980"/>
      <c r="P22" s="981" t="s">
        <v>632</v>
      </c>
      <c r="Q22" s="981"/>
      <c r="R22" s="982"/>
      <c r="S22" s="980"/>
      <c r="T22" s="981" t="s">
        <v>632</v>
      </c>
      <c r="U22" s="981"/>
      <c r="V22" s="982"/>
      <c r="W22" s="980"/>
      <c r="X22" s="981" t="s">
        <v>632</v>
      </c>
      <c r="Y22" s="983"/>
      <c r="Z22" s="1412" t="str">
        <f>IFERROR(VLOOKUP(C22, [6]條件!$A:$L, 3, 0), "")</f>
        <v/>
      </c>
      <c r="AA22" s="984" t="str">
        <f>IF(OR(L22={"改紡","檢修","了機","清車","FINAL","停機","SAMPLE","TEST","絲開發"}), L22, IFERROR(IF(C22="", "", (SUM(J22, N22, R22, V22)/3 * AG22) * IF(AND(AF22="S", AS22="雙"), 0.5, 1)), ""))</f>
        <v>停機</v>
      </c>
      <c r="AB22" s="1413" t="str">
        <f t="shared" si="0"/>
        <v/>
      </c>
      <c r="AC22" s="984" t="str">
        <f>IF(OR(L22={"改紡","檢修","了機","清車","FINAL","停機","SAMPLE","TEST"}), "", IFERROR(IF(C22="", "", AVERAGE(L22:M22, P22:Q22, T22:U22, X22:Y22)/100), ""))</f>
        <v/>
      </c>
      <c r="AD22" s="984" t="str">
        <f t="shared" si="1"/>
        <v/>
      </c>
      <c r="AE22" s="984" t="str">
        <f t="shared" si="9"/>
        <v/>
      </c>
      <c r="AF22" s="985" t="str">
        <f t="shared" si="2"/>
        <v>J</v>
      </c>
      <c r="AG22" s="1414">
        <v>1</v>
      </c>
      <c r="AH22" s="1002" t="s">
        <v>640</v>
      </c>
      <c r="AI22" s="1002" t="s">
        <v>640</v>
      </c>
      <c r="AJ22" s="986" t="s">
        <v>640</v>
      </c>
      <c r="AK22" s="1417" t="s">
        <v>640</v>
      </c>
      <c r="AL22" s="1415"/>
      <c r="AM22" s="1323"/>
      <c r="AN22" s="1323"/>
      <c r="AO22" s="1323"/>
      <c r="AP22" s="1323"/>
      <c r="AQ22" s="1323"/>
      <c r="AR22" s="987"/>
      <c r="AS22" s="978" t="str">
        <f t="shared" si="3"/>
        <v>單</v>
      </c>
      <c r="AT22" s="978" t="str">
        <f t="shared" si="4"/>
        <v>全</v>
      </c>
      <c r="AU22" s="978" t="str">
        <f t="shared" si="5"/>
        <v/>
      </c>
      <c r="AV22" s="978" t="str">
        <f t="shared" si="6"/>
        <v/>
      </c>
    </row>
    <row r="23" spans="1:48">
      <c r="A23" s="975">
        <f t="shared" si="7"/>
        <v>46143</v>
      </c>
      <c r="B23" s="976" t="s">
        <v>233</v>
      </c>
      <c r="C23" s="976" t="s">
        <v>16721</v>
      </c>
      <c r="D23" s="1410" t="s">
        <v>633</v>
      </c>
      <c r="E23" s="977" t="str">
        <f>IFERROR(VLOOKUP(C23, [6]條件!$A:$L, 5, 0), "")</f>
        <v>150/48/2SDr</v>
      </c>
      <c r="F23" s="978" t="str">
        <f>IFERROR(VLOOKUP(C23, [6]條件!$A:$L, 6, 0), "")</f>
        <v>FP82168R×2</v>
      </c>
      <c r="G23" s="1411">
        <f>IFERROR(VLOOKUP(C23, [6]條件!$A:$L, 7, 0), "")</f>
        <v>600</v>
      </c>
      <c r="H23" s="978" t="str">
        <f>IF(ISNA(VLOOKUP(C23,[6]條件!$A$1:$K$932,11,0)),"",(VLOOKUP(C23,[6]條件!$A$1:$K$932,11,0)))</f>
        <v>白紅愛心</v>
      </c>
      <c r="I23" s="979">
        <f>IF(ISNA(VLOOKUP(C23,[6]條件!$A$1:$L$932,12,0)),"",(VLOOKUP(C23,[6]條件!$A$1:$L$932,12,0)))</f>
        <v>5.5</v>
      </c>
      <c r="J23" s="980">
        <v>25</v>
      </c>
      <c r="K23" s="980">
        <v>6</v>
      </c>
      <c r="L23" s="981">
        <v>6730</v>
      </c>
      <c r="M23" s="981"/>
      <c r="N23" s="982">
        <v>9</v>
      </c>
      <c r="O23" s="980">
        <v>4</v>
      </c>
      <c r="P23" s="981">
        <v>7250</v>
      </c>
      <c r="Q23" s="981"/>
      <c r="R23" s="982">
        <v>9</v>
      </c>
      <c r="S23" s="980">
        <v>0</v>
      </c>
      <c r="T23" s="981">
        <v>7280</v>
      </c>
      <c r="U23" s="981"/>
      <c r="V23" s="982">
        <v>14</v>
      </c>
      <c r="W23" s="980">
        <v>1</v>
      </c>
      <c r="X23" s="981">
        <v>7220</v>
      </c>
      <c r="Y23" s="983"/>
      <c r="Z23" s="1412">
        <f>IFERROR(VLOOKUP(C23, [6]條件!$A:$L, 3, 0), "")</f>
        <v>5.0883392226148398</v>
      </c>
      <c r="AA23" s="984">
        <f>IF(OR(L23={"改紡","檢修","了機","清車","FINAL","停機","SAMPLE","TEST","絲開發"}), L23, IFERROR(IF(C23="", "", (SUM(J23, N23, R23, V23)/3 * AG23) * IF(AND(AF23="S", AS23="雙"), 0.5, 1)), ""))</f>
        <v>19</v>
      </c>
      <c r="AB23" s="1413">
        <f t="shared" si="0"/>
        <v>0.98960670405982909</v>
      </c>
      <c r="AC23" s="984">
        <f>IF(OR(L23={"改紡","檢修","了機","清車","FINAL","停機","SAMPLE","TEST"}), "", IFERROR(IF(C23="", "", AVERAGE(L23:M23, P23:Q23, T23:U23, X23:Y23)/100), ""))</f>
        <v>71.2</v>
      </c>
      <c r="AD23" s="984">
        <f t="shared" si="1"/>
        <v>2.375</v>
      </c>
      <c r="AE23" s="984">
        <f>IF(OR(L23="改紡", L23="檢修", L23="了機"), "",
   IF(AND(C23&lt;&gt;"", J23&lt;&gt;""),
      IFERROR((SUM(J23, N23, R23, V23) - SUM(K23, O23, S23, W23))/24 * AG23, ""),
   "")
)</f>
        <v>1.9166666666666667</v>
      </c>
      <c r="AF23" s="985" t="str">
        <f t="shared" si="2"/>
        <v>J</v>
      </c>
      <c r="AG23" s="1414">
        <v>1</v>
      </c>
      <c r="AH23" s="1002" t="s">
        <v>637</v>
      </c>
      <c r="AI23" s="1002" t="s">
        <v>637</v>
      </c>
      <c r="AJ23" s="1002" t="s">
        <v>815</v>
      </c>
      <c r="AK23" s="981" t="s">
        <v>815</v>
      </c>
      <c r="AL23" s="1415">
        <v>55</v>
      </c>
      <c r="AM23" s="1323">
        <v>46134</v>
      </c>
      <c r="AN23" s="1323">
        <v>46138</v>
      </c>
      <c r="AO23" s="1323">
        <v>46139</v>
      </c>
      <c r="AP23" s="1323">
        <v>46140</v>
      </c>
      <c r="AQ23" s="1323"/>
      <c r="AR23" s="987"/>
      <c r="AS23" s="978" t="str">
        <f t="shared" si="3"/>
        <v>雙</v>
      </c>
      <c r="AT23" s="978" t="str">
        <f t="shared" si="4"/>
        <v>全</v>
      </c>
      <c r="AU23" s="978">
        <f t="shared" si="5"/>
        <v>150</v>
      </c>
      <c r="AV23" s="978">
        <f t="shared" si="6"/>
        <v>4.4292096000000001</v>
      </c>
    </row>
    <row r="24" spans="1:48">
      <c r="A24" s="975">
        <f t="shared" si="7"/>
        <v>46143</v>
      </c>
      <c r="B24" s="976" t="s">
        <v>234</v>
      </c>
      <c r="C24" s="976" t="s">
        <v>632</v>
      </c>
      <c r="D24" s="1410"/>
      <c r="E24" s="977" t="str">
        <f>IFERROR(VLOOKUP(C24, [6]條件!$A:$L, 5, 0), "")</f>
        <v/>
      </c>
      <c r="F24" s="978" t="str">
        <f>IFERROR(VLOOKUP(C24, [6]條件!$A:$L, 6, 0), "")</f>
        <v/>
      </c>
      <c r="G24" s="1411" t="str">
        <f>IFERROR(VLOOKUP(C24, [6]條件!$A:$L, 7, 0), "")</f>
        <v/>
      </c>
      <c r="H24" s="978" t="str">
        <f>IF(ISNA(VLOOKUP(C24,[6]條件!$A$1:$K$932,11,0)),"",(VLOOKUP(C24,[6]條件!$A$1:$K$932,11,0)))</f>
        <v/>
      </c>
      <c r="I24" s="979" t="str">
        <f>IF(ISNA(VLOOKUP(C24,[6]條件!$A$1:$L$932,12,0)),"",(VLOOKUP(C24,[6]條件!$A$1:$L$932,12,0)))</f>
        <v/>
      </c>
      <c r="J24" s="980"/>
      <c r="K24" s="980"/>
      <c r="L24" s="981" t="s">
        <v>632</v>
      </c>
      <c r="M24" s="981"/>
      <c r="N24" s="982"/>
      <c r="O24" s="980"/>
      <c r="P24" s="981" t="s">
        <v>632</v>
      </c>
      <c r="Q24" s="981"/>
      <c r="R24" s="982"/>
      <c r="S24" s="980"/>
      <c r="T24" s="981" t="s">
        <v>632</v>
      </c>
      <c r="U24" s="981"/>
      <c r="V24" s="982"/>
      <c r="W24" s="980"/>
      <c r="X24" s="981" t="s">
        <v>632</v>
      </c>
      <c r="Y24" s="983"/>
      <c r="Z24" s="1412" t="str">
        <f>IFERROR(VLOOKUP(C24, [6]條件!$A:$L, 3, 0), "")</f>
        <v/>
      </c>
      <c r="AA24" s="984" t="str">
        <f>IF(OR(L24={"改紡","檢修","了機","清車","FINAL","停機","SAMPLE","TEST","絲開發"}), L24, IFERROR(IF(C24="", "", (SUM(J24, N24, R24, V24)/3 * AG24) * IF(AND(AF24="S", AS24="雙"), 0.5, 1)), ""))</f>
        <v>停機</v>
      </c>
      <c r="AB24" s="1413" t="str">
        <f t="shared" si="0"/>
        <v/>
      </c>
      <c r="AC24" s="984" t="str">
        <f>IF(OR(L24={"改紡","檢修","了機","清車","FINAL","停機","SAMPLE","TEST"}), "", IFERROR(IF(C24="", "", AVERAGE(L24:M24, P24:Q24, T24:U24, X24:Y24)/100), ""))</f>
        <v/>
      </c>
      <c r="AD24" s="984" t="str">
        <f t="shared" si="1"/>
        <v/>
      </c>
      <c r="AE24" s="984" t="str">
        <f t="shared" ref="AE24:AE32" si="10">IF(OR(L24="改紡", L24="檢修", L24="了機"), "",
IF(AND(C24&lt;&gt;"", J24&lt;&gt;""),
IFERROR((SUM(J24, N24, R24, V24) - SUM(K24, O24, S24, W24))/24 * AG24, ""),
"")
)</f>
        <v/>
      </c>
      <c r="AF24" s="985" t="str">
        <f t="shared" si="2"/>
        <v>J</v>
      </c>
      <c r="AG24" s="1414">
        <v>1</v>
      </c>
      <c r="AH24" s="1002" t="s">
        <v>640</v>
      </c>
      <c r="AI24" s="1002" t="s">
        <v>640</v>
      </c>
      <c r="AJ24" s="986" t="s">
        <v>640</v>
      </c>
      <c r="AK24" s="1417" t="s">
        <v>640</v>
      </c>
      <c r="AL24" s="1415"/>
      <c r="AM24" s="1323"/>
      <c r="AN24" s="1323"/>
      <c r="AO24" s="1323"/>
      <c r="AP24" s="1323"/>
      <c r="AQ24" s="1323"/>
      <c r="AR24" s="987"/>
      <c r="AS24" s="978" t="str">
        <f t="shared" si="3"/>
        <v>單</v>
      </c>
      <c r="AT24" s="978" t="str">
        <f t="shared" si="4"/>
        <v>全</v>
      </c>
      <c r="AU24" s="978" t="str">
        <f t="shared" si="5"/>
        <v/>
      </c>
      <c r="AV24" s="978" t="str">
        <f t="shared" si="6"/>
        <v/>
      </c>
    </row>
    <row r="25" spans="1:48">
      <c r="A25" s="975">
        <f t="shared" si="7"/>
        <v>46143</v>
      </c>
      <c r="B25" s="976" t="s">
        <v>235</v>
      </c>
      <c r="C25" s="976" t="s">
        <v>16716</v>
      </c>
      <c r="D25" s="1410" t="s">
        <v>633</v>
      </c>
      <c r="E25" s="977" t="str">
        <f>IFERROR(VLOOKUP(C25, [6]條件!$A:$L, 5, 0), "")</f>
        <v>150/48/2SDr</v>
      </c>
      <c r="F25" s="978" t="str">
        <f>IFERROR(VLOOKUP(C25, [6]條件!$A:$L, 6, 0), "")</f>
        <v>FP82170R×2</v>
      </c>
      <c r="G25" s="1411">
        <f>IFERROR(VLOOKUP(C25, [6]條件!$A:$L, 7, 0), "")</f>
        <v>700</v>
      </c>
      <c r="H25" s="978" t="str">
        <f>IF(ISNA(VLOOKUP(C25,[6]條件!$A$1:$K$932,11,0)),"",(VLOOKUP(C25,[6]條件!$A$1:$K$932,11,0)))</f>
        <v>紫色</v>
      </c>
      <c r="I25" s="979">
        <f>IF(ISNA(VLOOKUP(C25,[6]條件!$A$1:$L$932,12,0)),"",(VLOOKUP(C25,[6]條件!$A$1:$L$932,12,0)))</f>
        <v>5.5</v>
      </c>
      <c r="J25" s="980">
        <v>40</v>
      </c>
      <c r="K25" s="980">
        <v>1</v>
      </c>
      <c r="L25" s="981">
        <v>7960</v>
      </c>
      <c r="M25" s="981">
        <v>8800</v>
      </c>
      <c r="N25" s="982">
        <v>9</v>
      </c>
      <c r="O25" s="980">
        <v>0</v>
      </c>
      <c r="P25" s="981">
        <v>7870</v>
      </c>
      <c r="Q25" s="981">
        <v>8800</v>
      </c>
      <c r="R25" s="982">
        <v>24</v>
      </c>
      <c r="S25" s="980">
        <v>0</v>
      </c>
      <c r="T25" s="981">
        <v>7040</v>
      </c>
      <c r="U25" s="981">
        <v>8890</v>
      </c>
      <c r="V25" s="982">
        <v>57</v>
      </c>
      <c r="W25" s="980">
        <v>0</v>
      </c>
      <c r="X25" s="981">
        <v>8240</v>
      </c>
      <c r="Y25" s="983">
        <v>8890</v>
      </c>
      <c r="Z25" s="1412">
        <f>IFERROR(VLOOKUP(C25, [6]條件!$A:$L, 3, 0), "")</f>
        <v>5.9016393442622928</v>
      </c>
      <c r="AA25" s="984">
        <f>IF(OR(L25={"改紡","檢修","了機","清車","FINAL","停機","SAMPLE","TEST","絲開發"}), L25, IFERROR(IF(C25="", "", (SUM(J25, N25, R25, V25)/3 * AG25) * IF(AND(AF25="S", AS25="雙"), 0.5, 1)), ""))</f>
        <v>43.333333333333336</v>
      </c>
      <c r="AB25" s="1413">
        <f t="shared" si="0"/>
        <v>0.99918536324786322</v>
      </c>
      <c r="AC25" s="984">
        <f>IF(OR(L25={"改紡","檢修","了機","清車","FINAL","停機","SAMPLE","TEST"}), "", IFERROR(IF(C25="", "", AVERAGE(L25:M25, P25:Q25, T25:U25, X25:Y25)/100), ""))</f>
        <v>83.112499999999997</v>
      </c>
      <c r="AD25" s="984">
        <f t="shared" si="1"/>
        <v>5.416666666666667</v>
      </c>
      <c r="AE25" s="984">
        <f t="shared" si="10"/>
        <v>5.375</v>
      </c>
      <c r="AF25" s="985" t="str">
        <f t="shared" si="2"/>
        <v>T</v>
      </c>
      <c r="AG25" s="1414">
        <v>1</v>
      </c>
      <c r="AH25" s="1002" t="s">
        <v>15337</v>
      </c>
      <c r="AI25" s="1002" t="s">
        <v>15892</v>
      </c>
      <c r="AJ25" s="986" t="s">
        <v>835</v>
      </c>
      <c r="AK25" s="1417" t="s">
        <v>835</v>
      </c>
      <c r="AL25" s="1415">
        <v>56</v>
      </c>
      <c r="AM25" s="1323">
        <v>46139</v>
      </c>
      <c r="AN25" s="1323">
        <v>46140</v>
      </c>
      <c r="AO25" s="1323">
        <v>46141</v>
      </c>
      <c r="AP25" s="1323"/>
      <c r="AQ25" s="1323"/>
      <c r="AR25" s="987"/>
      <c r="AS25" s="978" t="str">
        <f t="shared" si="3"/>
        <v>雙</v>
      </c>
      <c r="AT25" s="978" t="str">
        <f t="shared" si="4"/>
        <v>全</v>
      </c>
      <c r="AU25" s="978">
        <f t="shared" si="5"/>
        <v>150</v>
      </c>
      <c r="AV25" s="978">
        <f t="shared" si="6"/>
        <v>6.0319728000000001</v>
      </c>
    </row>
    <row r="26" spans="1:48">
      <c r="A26" s="975">
        <f t="shared" si="7"/>
        <v>46143</v>
      </c>
      <c r="B26" s="976" t="s">
        <v>237</v>
      </c>
      <c r="C26" s="976" t="s">
        <v>16720</v>
      </c>
      <c r="D26" s="1410" t="s">
        <v>633</v>
      </c>
      <c r="E26" s="977" t="str">
        <f>IFERROR(VLOOKUP(C26, [6]條件!$A:$L, 5, 0), "")</f>
        <v>150/48/2SDr</v>
      </c>
      <c r="F26" s="978" t="str">
        <f>IFERROR(VLOOKUP(C26, [6]條件!$A:$L, 6, 0), "")</f>
        <v>FP82168R×2</v>
      </c>
      <c r="G26" s="1411">
        <f>IFERROR(VLOOKUP(C26, [6]條件!$A:$L, 7, 0), "")</f>
        <v>700</v>
      </c>
      <c r="H26" s="978" t="str">
        <f>IF(ISNA(VLOOKUP(C26,[6]條件!$A$1:$K$932,11,0)),"",(VLOOKUP(C26,[6]條件!$A$1:$K$932,11,0)))</f>
        <v>紫底白點</v>
      </c>
      <c r="I26" s="979">
        <f>IF(ISNA(VLOOKUP(C26,[6]條件!$A$1:$L$932,12,0)),"",(VLOOKUP(C26,[6]條件!$A$1:$L$932,12,0)))</f>
        <v>5.5</v>
      </c>
      <c r="J26" s="980">
        <v>42</v>
      </c>
      <c r="K26" s="980">
        <v>3</v>
      </c>
      <c r="L26" s="981">
        <v>9440</v>
      </c>
      <c r="M26" s="981">
        <v>8520</v>
      </c>
      <c r="N26" s="982">
        <v>2</v>
      </c>
      <c r="O26" s="980">
        <v>0</v>
      </c>
      <c r="P26" s="981">
        <v>8890</v>
      </c>
      <c r="Q26" s="981">
        <v>7690</v>
      </c>
      <c r="R26" s="982">
        <v>27</v>
      </c>
      <c r="S26" s="980">
        <v>4</v>
      </c>
      <c r="T26" s="981">
        <v>9170</v>
      </c>
      <c r="U26" s="981">
        <v>8610</v>
      </c>
      <c r="V26" s="982">
        <v>29</v>
      </c>
      <c r="W26" s="980">
        <v>8</v>
      </c>
      <c r="X26" s="981">
        <v>9170</v>
      </c>
      <c r="Y26" s="983">
        <v>8610</v>
      </c>
      <c r="Z26" s="1412">
        <f>IFERROR(VLOOKUP(C26, [6]條件!$A:$L, 3, 0), "")</f>
        <v>5.8299595141700395</v>
      </c>
      <c r="AA26" s="984">
        <f>IF(OR(L26={"改紡","檢修","了機","清車","FINAL","停機","SAMPLE","TEST","絲開發"}), L26, IFERROR(IF(C26="", "", (SUM(J26, N26, R26, V26)/3 * AG26) * IF(AND(AF26="S", AS26="雙"), 0.5, 1)), ""))</f>
        <v>33.333333333333336</v>
      </c>
      <c r="AB26" s="1413">
        <f t="shared" si="0"/>
        <v>0.98763020833333337</v>
      </c>
      <c r="AC26" s="984">
        <f>IF(OR(L26={"改紡","檢修","了機","清車","FINAL","停機","SAMPLE","TEST"}), "", IFERROR(IF(C26="", "", AVERAGE(L26:M26, P26:Q26, T26:U26, X26:Y26)/100), ""))</f>
        <v>87.625</v>
      </c>
      <c r="AD26" s="984">
        <f t="shared" si="1"/>
        <v>4.166666666666667</v>
      </c>
      <c r="AE26" s="984">
        <f t="shared" si="10"/>
        <v>3.5416666666666665</v>
      </c>
      <c r="AF26" s="985" t="str">
        <f t="shared" si="2"/>
        <v>T</v>
      </c>
      <c r="AG26" s="1414">
        <v>1</v>
      </c>
      <c r="AH26" s="1002" t="s">
        <v>638</v>
      </c>
      <c r="AI26" s="1002" t="s">
        <v>638</v>
      </c>
      <c r="AJ26" s="986" t="s">
        <v>639</v>
      </c>
      <c r="AK26" s="1417" t="s">
        <v>639</v>
      </c>
      <c r="AL26" s="1415">
        <v>55</v>
      </c>
      <c r="AM26" s="1323">
        <v>46138</v>
      </c>
      <c r="AN26" s="1323">
        <v>46140</v>
      </c>
      <c r="AO26" s="1323">
        <v>46141</v>
      </c>
      <c r="AP26" s="1323"/>
      <c r="AQ26" s="1323"/>
      <c r="AR26" s="987"/>
      <c r="AS26" s="978" t="str">
        <f t="shared" si="3"/>
        <v>雙</v>
      </c>
      <c r="AT26" s="978" t="str">
        <f t="shared" si="4"/>
        <v>全</v>
      </c>
      <c r="AU26" s="978">
        <f t="shared" si="5"/>
        <v>150</v>
      </c>
      <c r="AV26" s="978">
        <f t="shared" si="6"/>
        <v>6.3594719999999993</v>
      </c>
    </row>
    <row r="27" spans="1:48">
      <c r="A27" s="975">
        <f t="shared" si="7"/>
        <v>46143</v>
      </c>
      <c r="B27" s="976" t="s">
        <v>238</v>
      </c>
      <c r="C27" s="976" t="s">
        <v>16743</v>
      </c>
      <c r="D27" s="1410"/>
      <c r="E27" s="977" t="str">
        <f>IFERROR(VLOOKUP(C27, [6]條件!$A:$L, 5, 0), "")</f>
        <v>150/48/2SDr</v>
      </c>
      <c r="F27" s="978" t="str">
        <f>IFERROR(VLOOKUP(C27, [6]條件!$A:$L, 6, 0), "")</f>
        <v>FP82169R×2</v>
      </c>
      <c r="G27" s="1411">
        <f>IFERROR(VLOOKUP(C27, [6]條件!$A:$L, 7, 0), "")</f>
        <v>670</v>
      </c>
      <c r="H27" s="978" t="str">
        <f>IF(ISNA(VLOOKUP(C27,[6]條件!$A$1:$K$932,11,0)),"",(VLOOKUP(C27,[6]條件!$A$1:$K$932,11,0)))</f>
        <v>黃底紅點</v>
      </c>
      <c r="I27" s="979">
        <f>IF(ISNA(VLOOKUP(C27,[6]條件!$A$1:$L$932,12,0)),"",(VLOOKUP(C27,[6]條件!$A$1:$L$932,12,0)))</f>
        <v>5</v>
      </c>
      <c r="J27" s="980">
        <v>21</v>
      </c>
      <c r="K27" s="980">
        <v>0</v>
      </c>
      <c r="L27" s="981">
        <v>8890</v>
      </c>
      <c r="M27" s="981"/>
      <c r="N27" s="982">
        <v>12</v>
      </c>
      <c r="O27" s="980">
        <v>0</v>
      </c>
      <c r="P27" s="981">
        <v>7840</v>
      </c>
      <c r="Q27" s="981"/>
      <c r="R27" s="982">
        <v>50</v>
      </c>
      <c r="S27" s="980">
        <v>0</v>
      </c>
      <c r="T27" s="981">
        <v>9350</v>
      </c>
      <c r="U27" s="981"/>
      <c r="V27" s="982">
        <v>20</v>
      </c>
      <c r="W27" s="980">
        <v>0</v>
      </c>
      <c r="X27" s="981">
        <v>8150</v>
      </c>
      <c r="Y27" s="983"/>
      <c r="Z27" s="1412">
        <f>IFERROR(VLOOKUP(C27, [6]條件!$A:$L, 3, 0), "")</f>
        <v>6.2882096069868991</v>
      </c>
      <c r="AA27" s="984">
        <f>IF(OR(L27={"改紡","檢修","了機","清車","FINAL","停機","SAMPLE","TEST","絲開發"}), L27, IFERROR(IF(C27="", "", (SUM(J27, N27, R27, V27)/3 * AG27) * IF(AND(AF27="S", AS27="雙"), 0.5, 1)), ""))</f>
        <v>68.666666666666671</v>
      </c>
      <c r="AB27" s="1413">
        <f t="shared" si="0"/>
        <v>1</v>
      </c>
      <c r="AC27" s="984">
        <f>IF(OR(L27={"改紡","檢修","了機","清車","FINAL","停機","SAMPLE","TEST"}), "", IFERROR(IF(C27="", "", AVERAGE(L27:M27, P27:Q27, T27:U27, X27:Y27)/100), ""))</f>
        <v>85.575000000000003</v>
      </c>
      <c r="AD27" s="984">
        <f t="shared" si="1"/>
        <v>8.5833333333333339</v>
      </c>
      <c r="AE27" s="984">
        <f t="shared" si="10"/>
        <v>8.5833333333333339</v>
      </c>
      <c r="AF27" s="985" t="str">
        <f t="shared" si="2"/>
        <v>T</v>
      </c>
      <c r="AG27" s="1414">
        <v>2</v>
      </c>
      <c r="AH27" s="1002" t="s">
        <v>15337</v>
      </c>
      <c r="AI27" s="1002" t="s">
        <v>15892</v>
      </c>
      <c r="AJ27" s="986" t="s">
        <v>835</v>
      </c>
      <c r="AK27" s="1417" t="s">
        <v>835</v>
      </c>
      <c r="AL27" s="1415">
        <v>48</v>
      </c>
      <c r="AM27" s="1323">
        <v>46141</v>
      </c>
      <c r="AN27" s="1323">
        <v>46142</v>
      </c>
      <c r="AO27" s="1323"/>
      <c r="AP27" s="1323"/>
      <c r="AQ27" s="1323"/>
      <c r="AR27" s="987"/>
      <c r="AS27" s="978" t="str">
        <f t="shared" si="3"/>
        <v>雙</v>
      </c>
      <c r="AT27" s="978" t="str">
        <f t="shared" si="4"/>
        <v>半</v>
      </c>
      <c r="AU27" s="978">
        <f t="shared" si="5"/>
        <v>150</v>
      </c>
      <c r="AV27" s="978">
        <f t="shared" si="6"/>
        <v>2.9722593599999998</v>
      </c>
    </row>
    <row r="28" spans="1:48">
      <c r="A28" s="975">
        <f t="shared" si="7"/>
        <v>46143</v>
      </c>
      <c r="B28" s="976" t="s">
        <v>238</v>
      </c>
      <c r="C28" s="976" t="s">
        <v>16742</v>
      </c>
      <c r="D28" s="1410"/>
      <c r="E28" s="977" t="str">
        <f>IFERROR(VLOOKUP(C28, [6]條件!$A:$L, 5, 0), "")</f>
        <v>150/48/2SDr</v>
      </c>
      <c r="F28" s="978" t="str">
        <f>IFERROR(VLOOKUP(C28, [6]條件!$A:$L, 6, 0), "")</f>
        <v>FP82169R×2</v>
      </c>
      <c r="G28" s="1411">
        <f>IFERROR(VLOOKUP(C28, [6]條件!$A:$L, 7, 0), "")</f>
        <v>670</v>
      </c>
      <c r="H28" s="978" t="str">
        <f>IF(ISNA(VLOOKUP(C28,[6]條件!$A$1:$K$932,11,0)),"",(VLOOKUP(C28,[6]條件!$A$1:$K$932,11,0)))</f>
        <v>紅底藍點</v>
      </c>
      <c r="I28" s="979">
        <f>IF(ISNA(VLOOKUP(C28,[6]條件!$A$1:$L$932,12,0)),"",(VLOOKUP(C28,[6]條件!$A$1:$L$932,12,0)))</f>
        <v>5</v>
      </c>
      <c r="J28" s="980">
        <v>20</v>
      </c>
      <c r="K28" s="980">
        <v>0</v>
      </c>
      <c r="L28" s="981"/>
      <c r="M28" s="981">
        <v>8244</v>
      </c>
      <c r="N28" s="982">
        <v>10</v>
      </c>
      <c r="O28" s="980">
        <v>0</v>
      </c>
      <c r="P28" s="981"/>
      <c r="Q28" s="981">
        <v>7870</v>
      </c>
      <c r="R28" s="982">
        <v>17</v>
      </c>
      <c r="S28" s="980">
        <v>0</v>
      </c>
      <c r="T28" s="981">
        <v>7500</v>
      </c>
      <c r="U28" s="981"/>
      <c r="V28" s="982">
        <v>39</v>
      </c>
      <c r="W28" s="980">
        <v>0</v>
      </c>
      <c r="X28" s="981"/>
      <c r="Y28" s="983">
        <v>8150</v>
      </c>
      <c r="Z28" s="1412">
        <f>IFERROR(VLOOKUP(C28, [6]條件!$A:$L, 3, 0), "")</f>
        <v>6.1802575107296125</v>
      </c>
      <c r="AA28" s="984">
        <f>IF(OR(L28={"改紡","檢修","了機","清車","FINAL","停機","SAMPLE","TEST","絲開發"}), L28, IFERROR(IF(C28="", "", (SUM(J28, N28, R28, V28)/3 * AG28) * IF(AND(AF28="S", AS28="雙"), 0.5, 1)), ""))</f>
        <v>57.333333333333336</v>
      </c>
      <c r="AB28" s="1413">
        <f t="shared" si="0"/>
        <v>1</v>
      </c>
      <c r="AC28" s="984">
        <f>IF(OR(L28={"改紡","檢修","了機","清車","FINAL","停機","SAMPLE","TEST"}), "", IFERROR(IF(C28="", "", AVERAGE(L28:M28, P28:Q28, T28:U28, X28:Y28)/100), ""))</f>
        <v>79.41</v>
      </c>
      <c r="AD28" s="984">
        <f t="shared" si="1"/>
        <v>7.166666666666667</v>
      </c>
      <c r="AE28" s="984">
        <f t="shared" si="10"/>
        <v>7.166666666666667</v>
      </c>
      <c r="AF28" s="985" t="str">
        <f t="shared" si="2"/>
        <v>T</v>
      </c>
      <c r="AG28" s="1414">
        <v>2</v>
      </c>
      <c r="AH28" s="1002" t="s">
        <v>15337</v>
      </c>
      <c r="AI28" s="1002" t="s">
        <v>15892</v>
      </c>
      <c r="AJ28" s="986" t="s">
        <v>835</v>
      </c>
      <c r="AK28" s="1417" t="s">
        <v>835</v>
      </c>
      <c r="AL28" s="1415">
        <v>48</v>
      </c>
      <c r="AM28" s="1323">
        <v>46141</v>
      </c>
      <c r="AN28" s="1323">
        <v>46142</v>
      </c>
      <c r="AO28" s="1323"/>
      <c r="AP28" s="1323"/>
      <c r="AQ28" s="1323"/>
      <c r="AR28" s="987"/>
      <c r="AS28" s="978" t="str">
        <f t="shared" si="3"/>
        <v>雙</v>
      </c>
      <c r="AT28" s="978" t="str">
        <f t="shared" si="4"/>
        <v>半</v>
      </c>
      <c r="AU28" s="978">
        <f t="shared" si="5"/>
        <v>150</v>
      </c>
      <c r="AV28" s="978">
        <f t="shared" si="6"/>
        <v>2.7581316480000004</v>
      </c>
    </row>
    <row r="29" spans="1:48">
      <c r="A29" s="975">
        <f t="shared" si="7"/>
        <v>46143</v>
      </c>
      <c r="B29" s="976" t="s">
        <v>239</v>
      </c>
      <c r="C29" s="976" t="s">
        <v>16735</v>
      </c>
      <c r="D29" s="1410"/>
      <c r="E29" s="977" t="str">
        <f>IFERROR(VLOOKUP(C29, [6]條件!$A:$L, 5, 0), "")</f>
        <v>150/48/2SR6</v>
      </c>
      <c r="F29" s="978" t="str">
        <f>IFERROR(VLOOKUP(C29, [6]條件!$A:$L, 6, 0), "")</f>
        <v>FP82658×2</v>
      </c>
      <c r="G29" s="1411">
        <f>IFERROR(VLOOKUP(C29, [6]條件!$A:$L, 7, 0), "")</f>
        <v>600</v>
      </c>
      <c r="H29" s="978" t="str">
        <f>IF(ISNA(VLOOKUP(C29,[6]條件!$A$1:$K$932,11,0)),"",(VLOOKUP(C29,[6]條件!$A$1:$K$932,11,0)))</f>
        <v>黃底黑點</v>
      </c>
      <c r="I29" s="979">
        <f>IF(ISNA(VLOOKUP(C29,[6]條件!$A$1:$L$932,12,0)),"",(VLOOKUP(C29,[6]條件!$A$1:$L$932,12,0)))</f>
        <v>5.5</v>
      </c>
      <c r="J29" s="980">
        <v>28</v>
      </c>
      <c r="K29" s="980">
        <v>0</v>
      </c>
      <c r="L29" s="981"/>
      <c r="M29" s="981">
        <v>6480</v>
      </c>
      <c r="N29" s="982">
        <v>31</v>
      </c>
      <c r="O29" s="980">
        <v>2</v>
      </c>
      <c r="P29" s="981" t="s">
        <v>632</v>
      </c>
      <c r="Q29" s="981">
        <v>8150</v>
      </c>
      <c r="R29" s="982">
        <v>16</v>
      </c>
      <c r="S29" s="980">
        <v>0</v>
      </c>
      <c r="T29" s="981" t="s">
        <v>632</v>
      </c>
      <c r="U29" s="981">
        <v>7870</v>
      </c>
      <c r="V29" s="982">
        <v>37</v>
      </c>
      <c r="W29" s="980">
        <v>5</v>
      </c>
      <c r="X29" s="981" t="s">
        <v>632</v>
      </c>
      <c r="Y29" s="983">
        <v>7690</v>
      </c>
      <c r="Z29" s="1412">
        <f>IFERROR(VLOOKUP(C29, [6]條件!$A:$L, 3, 0), "")</f>
        <v>4.9655172413793105</v>
      </c>
      <c r="AA29" s="984">
        <f>IF(OR(L29={"改紡","檢修","了機","清車","FINAL","停機","SAMPLE","TEST","絲開發"}), L29, IFERROR(IF(C29="", "", (SUM(J29, N29, R29, V29)/3 * AG29) * IF(AND(AF29="S", AS29="雙"), 0.5, 1)), ""))</f>
        <v>74.666666666666671</v>
      </c>
      <c r="AB29" s="1413">
        <f t="shared" si="0"/>
        <v>0.99322248931623935</v>
      </c>
      <c r="AC29" s="984">
        <f>IF(OR(L29={"改紡","檢修","了機","清車","FINAL","停機","SAMPLE","TEST"}), "", IFERROR(IF(C29="", "", AVERAGE(L29:M29, P29:Q29, T29:U29, X29:Y29)/100), ""))</f>
        <v>75.474999999999994</v>
      </c>
      <c r="AD29" s="984">
        <f t="shared" si="1"/>
        <v>9.3333333333333339</v>
      </c>
      <c r="AE29" s="984">
        <f t="shared" si="10"/>
        <v>8.75</v>
      </c>
      <c r="AF29" s="985" t="str">
        <f t="shared" si="2"/>
        <v>T</v>
      </c>
      <c r="AG29" s="1414">
        <v>2</v>
      </c>
      <c r="AH29" s="1002" t="s">
        <v>638</v>
      </c>
      <c r="AI29" s="1002" t="s">
        <v>638</v>
      </c>
      <c r="AJ29" s="986" t="s">
        <v>639</v>
      </c>
      <c r="AK29" s="1417" t="s">
        <v>639</v>
      </c>
      <c r="AL29" s="1415">
        <v>56</v>
      </c>
      <c r="AM29" s="1323">
        <v>46116</v>
      </c>
      <c r="AN29" s="1323">
        <v>46117</v>
      </c>
      <c r="AO29" s="1323"/>
      <c r="AP29" s="1323"/>
      <c r="AQ29" s="1323"/>
      <c r="AR29" s="987"/>
      <c r="AS29" s="978" t="str">
        <f t="shared" si="3"/>
        <v>雙</v>
      </c>
      <c r="AT29" s="978" t="str">
        <f t="shared" si="4"/>
        <v>半</v>
      </c>
      <c r="AU29" s="978">
        <f t="shared" si="5"/>
        <v>150</v>
      </c>
      <c r="AV29" s="978">
        <f t="shared" si="6"/>
        <v>2.3475743999999996</v>
      </c>
    </row>
    <row r="30" spans="1:48">
      <c r="A30" s="975">
        <f t="shared" si="7"/>
        <v>46143</v>
      </c>
      <c r="B30" s="976" t="s">
        <v>388</v>
      </c>
      <c r="C30" s="976" t="s">
        <v>16730</v>
      </c>
      <c r="D30" s="1410" t="s">
        <v>633</v>
      </c>
      <c r="E30" s="977" t="str">
        <f>IFERROR(VLOOKUP(C30, [6]條件!$A:$L, 5, 0), "")</f>
        <v>225/72/2SDr</v>
      </c>
      <c r="F30" s="978" t="str">
        <f>IFERROR(VLOOKUP(C30, [6]條件!$A:$L, 6, 0), "")</f>
        <v>FP83024R×2</v>
      </c>
      <c r="G30" s="1411">
        <f>IFERROR(VLOOKUP(C30, [6]條件!$A:$L, 7, 0), "")</f>
        <v>550</v>
      </c>
      <c r="H30" s="978" t="str">
        <f>IF(ISNA(VLOOKUP(C30,[6]條件!$A$1:$K$932,11,0)),"",(VLOOKUP(C30,[6]條件!$A$1:$K$932,11,0)))</f>
        <v>灰色</v>
      </c>
      <c r="I30" s="979">
        <f>IF(ISNA(VLOOKUP(C30,[6]條件!$A$1:$L$932,12,0)),"",(VLOOKUP(C30,[6]條件!$A$1:$L$932,12,0)))</f>
        <v>5.5</v>
      </c>
      <c r="J30" s="980">
        <v>17</v>
      </c>
      <c r="K30" s="980">
        <v>4</v>
      </c>
      <c r="L30" s="981">
        <v>6940</v>
      </c>
      <c r="M30" s="981"/>
      <c r="N30" s="982">
        <v>8</v>
      </c>
      <c r="O30" s="980">
        <v>0</v>
      </c>
      <c r="P30" s="981">
        <v>6740</v>
      </c>
      <c r="Q30" s="981"/>
      <c r="R30" s="982">
        <v>16</v>
      </c>
      <c r="S30" s="980">
        <v>0</v>
      </c>
      <c r="T30" s="981">
        <v>7310</v>
      </c>
      <c r="U30" s="981"/>
      <c r="V30" s="982">
        <v>11</v>
      </c>
      <c r="W30" s="980">
        <v>0</v>
      </c>
      <c r="X30" s="981">
        <v>7410</v>
      </c>
      <c r="Y30" s="983"/>
      <c r="Z30" s="1412">
        <f>IFERROR(VLOOKUP(C30, [6]條件!$A:$L, 3, 0), "")</f>
        <v>6.6055045871559628</v>
      </c>
      <c r="AA30" s="984">
        <f>IF(OR(L30={"改紡","檢修","了機","清車","FINAL","停機","SAMPLE","TEST","絲開發"}), L30, IFERROR(IF(C30="", "", (SUM(J30, N30, R30, V30)/3 * AG30) * IF(AND(AF30="S", AS30="雙"), 0.5, 1)), ""))</f>
        <v>34.666666666666664</v>
      </c>
      <c r="AB30" s="1413">
        <f t="shared" si="0"/>
        <v>0.99708867521367517</v>
      </c>
      <c r="AC30" s="984">
        <f>IF(OR(L30={"改紡","檢修","了機","清車","FINAL","停機","SAMPLE","TEST"}), "", IFERROR(IF(C30="", "", AVERAGE(L30:M30, P30:Q30, T30:U30, X30:Y30)/100), ""))</f>
        <v>71</v>
      </c>
      <c r="AD30" s="984">
        <f t="shared" si="1"/>
        <v>4.333333333333333</v>
      </c>
      <c r="AE30" s="984">
        <f t="shared" si="10"/>
        <v>4</v>
      </c>
      <c r="AF30" s="985" t="str">
        <f t="shared" si="2"/>
        <v>T</v>
      </c>
      <c r="AG30" s="1414">
        <v>2</v>
      </c>
      <c r="AH30" s="1002" t="s">
        <v>15337</v>
      </c>
      <c r="AI30" s="1002" t="s">
        <v>15892</v>
      </c>
      <c r="AJ30" s="986" t="s">
        <v>835</v>
      </c>
      <c r="AK30" s="1417" t="s">
        <v>835</v>
      </c>
      <c r="AL30" s="1415">
        <v>53</v>
      </c>
      <c r="AM30" s="1323">
        <v>46125</v>
      </c>
      <c r="AN30" s="1323">
        <v>46126</v>
      </c>
      <c r="AO30" s="1323">
        <v>46127</v>
      </c>
      <c r="AP30" s="1323"/>
      <c r="AQ30" s="1323"/>
      <c r="AR30" s="987"/>
      <c r="AS30" s="978" t="str">
        <f t="shared" si="3"/>
        <v>雙</v>
      </c>
      <c r="AT30" s="978" t="str">
        <f t="shared" si="4"/>
        <v>半</v>
      </c>
      <c r="AU30" s="978">
        <f t="shared" si="5"/>
        <v>225</v>
      </c>
      <c r="AV30" s="978">
        <f t="shared" si="6"/>
        <v>3.0365279999999997</v>
      </c>
    </row>
    <row r="31" spans="1:48">
      <c r="A31" s="975">
        <f t="shared" si="7"/>
        <v>46143</v>
      </c>
      <c r="B31" s="976" t="s">
        <v>388</v>
      </c>
      <c r="C31" s="976" t="s">
        <v>16736</v>
      </c>
      <c r="D31" s="1410" t="s">
        <v>633</v>
      </c>
      <c r="E31" s="977" t="str">
        <f>IFERROR(VLOOKUP(C31, [6]條件!$A:$L, 5, 0), "")</f>
        <v>150/48/2SDr</v>
      </c>
      <c r="F31" s="978" t="str">
        <f>IFERROR(VLOOKUP(C31, [6]條件!$A:$L, 6, 0), "")</f>
        <v>FP82170R×2</v>
      </c>
      <c r="G31" s="1411">
        <f>IFERROR(VLOOKUP(C31, [6]條件!$A:$L, 7, 0), "")</f>
        <v>700</v>
      </c>
      <c r="H31" s="978" t="str">
        <f>IF(ISNA(VLOOKUP(C31,[6]條件!$A$1:$K$932,11,0)),"",(VLOOKUP(C31,[6]條件!$A$1:$K$932,11,0)))</f>
        <v>粉紅</v>
      </c>
      <c r="I31" s="979">
        <f>IF(ISNA(VLOOKUP(C31,[6]條件!$A$1:$L$932,12,0)),"",(VLOOKUP(C31,[6]條件!$A$1:$L$932,12,0)))</f>
        <v>5.5</v>
      </c>
      <c r="J31" s="980">
        <v>10</v>
      </c>
      <c r="K31" s="980">
        <v>0</v>
      </c>
      <c r="L31" s="981"/>
      <c r="M31" s="981">
        <v>9070</v>
      </c>
      <c r="N31" s="982">
        <v>9</v>
      </c>
      <c r="O31" s="980">
        <v>0</v>
      </c>
      <c r="P31" s="981"/>
      <c r="Q31" s="981">
        <v>8500</v>
      </c>
      <c r="R31" s="982">
        <v>18</v>
      </c>
      <c r="S31" s="980">
        <v>0</v>
      </c>
      <c r="T31" s="981">
        <v>9260</v>
      </c>
      <c r="U31" s="981"/>
      <c r="V31" s="982">
        <v>29</v>
      </c>
      <c r="W31" s="980">
        <v>0</v>
      </c>
      <c r="X31" s="981"/>
      <c r="Y31" s="983">
        <v>9630</v>
      </c>
      <c r="Z31" s="1412">
        <f>IFERROR(VLOOKUP(C31, [6]條件!$A:$L, 3, 0), "")</f>
        <v>5.8775510204081636</v>
      </c>
      <c r="AA31" s="984">
        <f>IF(OR(L31={"改紡","檢修","了機","清車","FINAL","停機","SAMPLE","TEST","絲開發"}), L31, IFERROR(IF(C31="", "", (SUM(J31, N31, R31, V31)/3 * AG31) * IF(AND(AF31="S", AS31="雙"), 0.5, 1)), ""))</f>
        <v>44</v>
      </c>
      <c r="AB31" s="1413">
        <f t="shared" si="0"/>
        <v>1</v>
      </c>
      <c r="AC31" s="984">
        <f>IF(OR(L31={"改紡","檢修","了機","清車","FINAL","停機","SAMPLE","TEST"}), "", IFERROR(IF(C31="", "", AVERAGE(L31:M31, P31:Q31, T31:U31, X31:Y31)/100), ""))</f>
        <v>91.15</v>
      </c>
      <c r="AD31" s="984">
        <f t="shared" si="1"/>
        <v>5.5</v>
      </c>
      <c r="AE31" s="984">
        <f t="shared" si="10"/>
        <v>5.5</v>
      </c>
      <c r="AF31" s="985" t="str">
        <f t="shared" si="2"/>
        <v>T</v>
      </c>
      <c r="AG31" s="1414">
        <v>2</v>
      </c>
      <c r="AH31" s="1002" t="s">
        <v>15337</v>
      </c>
      <c r="AI31" s="1002" t="s">
        <v>15892</v>
      </c>
      <c r="AJ31" s="986" t="s">
        <v>835</v>
      </c>
      <c r="AK31" s="1417" t="s">
        <v>835</v>
      </c>
      <c r="AL31" s="1415">
        <v>56</v>
      </c>
      <c r="AM31" s="1323">
        <v>46139</v>
      </c>
      <c r="AN31" s="1323">
        <v>46140</v>
      </c>
      <c r="AO31" s="1323"/>
      <c r="AP31" s="1323"/>
      <c r="AQ31" s="1323"/>
      <c r="AR31" s="987"/>
      <c r="AS31" s="978" t="str">
        <f t="shared" si="3"/>
        <v>雙</v>
      </c>
      <c r="AT31" s="978" t="str">
        <f t="shared" si="4"/>
        <v>半</v>
      </c>
      <c r="AU31" s="978">
        <f t="shared" si="5"/>
        <v>150</v>
      </c>
      <c r="AV31" s="978">
        <f t="shared" si="6"/>
        <v>3.3076511999999996</v>
      </c>
    </row>
    <row r="32" spans="1:48">
      <c r="A32" s="975">
        <f t="shared" si="7"/>
        <v>46143</v>
      </c>
      <c r="B32" s="976" t="s">
        <v>417</v>
      </c>
      <c r="C32" s="976" t="s">
        <v>16718</v>
      </c>
      <c r="D32" s="1410" t="s">
        <v>633</v>
      </c>
      <c r="E32" s="977" t="str">
        <f>IFERROR(VLOOKUP(C32, [6]條件!$A:$L, 5, 0), "")</f>
        <v>150/48/2SDr</v>
      </c>
      <c r="F32" s="978" t="str">
        <f>IFERROR(VLOOKUP(C32, [6]條件!$A:$L, 6, 0), "")</f>
        <v>FP82170R×2</v>
      </c>
      <c r="G32" s="1411">
        <f>IFERROR(VLOOKUP(C32, [6]條件!$A:$L, 7, 0), "")</f>
        <v>700</v>
      </c>
      <c r="H32" s="978" t="str">
        <f>IF(ISNA(VLOOKUP(C32,[6]條件!$A$1:$K$932,11,0)),"",(VLOOKUP(C32,[6]條件!$A$1:$K$932,11,0)))</f>
        <v>黃黑條紋</v>
      </c>
      <c r="I32" s="979">
        <f>IF(ISNA(VLOOKUP(C32,[6]條件!$A$1:$L$932,12,0)),"",(VLOOKUP(C32,[6]條件!$A$1:$L$932,12,0)))</f>
        <v>5.5</v>
      </c>
      <c r="J32" s="980">
        <v>40</v>
      </c>
      <c r="K32" s="980">
        <v>0</v>
      </c>
      <c r="L32" s="981">
        <v>6110</v>
      </c>
      <c r="M32" s="981">
        <v>9170</v>
      </c>
      <c r="N32" s="982">
        <v>41</v>
      </c>
      <c r="O32" s="980">
        <v>10</v>
      </c>
      <c r="P32" s="981">
        <v>9350</v>
      </c>
      <c r="Q32" s="981">
        <v>8060</v>
      </c>
      <c r="R32" s="982">
        <v>29</v>
      </c>
      <c r="S32" s="980">
        <v>6</v>
      </c>
      <c r="T32" s="981">
        <v>8320</v>
      </c>
      <c r="U32" s="981">
        <v>9350</v>
      </c>
      <c r="V32" s="982">
        <v>45</v>
      </c>
      <c r="W32" s="980">
        <v>19</v>
      </c>
      <c r="X32" s="981">
        <v>7590</v>
      </c>
      <c r="Y32" s="983">
        <v>9260</v>
      </c>
      <c r="Z32" s="1412">
        <f>IFERROR(VLOOKUP(C32, [6]條件!$A:$L, 3, 0), "")</f>
        <v>5.8299595141700395</v>
      </c>
      <c r="AA32" s="984">
        <f>IF(OR(L32={"改紡","檢修","了機","清車","FINAL","停機","SAMPLE","TEST","絲開發"}), L32, IFERROR(IF(C32="", "", (SUM(J32, N32, R32, V32)/3 * AG32) * IF(AND(AF32="S", AS32="雙"), 0.5, 1)), ""))</f>
        <v>51.666666666666664</v>
      </c>
      <c r="AB32" s="1413">
        <f t="shared" si="0"/>
        <v>0.97113715277777779</v>
      </c>
      <c r="AC32" s="984">
        <f>IF(OR(L32={"改紡","檢修","了機","清車","FINAL","停機","SAMPLE","TEST"}), "", IFERROR(IF(C32="", "", AVERAGE(L32:M32, P32:Q32, T32:U32, X32:Y32)/100), ""))</f>
        <v>84.012500000000003</v>
      </c>
      <c r="AD32" s="984">
        <f t="shared" si="1"/>
        <v>6.458333333333333</v>
      </c>
      <c r="AE32" s="984">
        <f t="shared" si="10"/>
        <v>5</v>
      </c>
      <c r="AF32" s="985" t="str">
        <f t="shared" si="2"/>
        <v>T</v>
      </c>
      <c r="AG32" s="1414">
        <v>1</v>
      </c>
      <c r="AH32" s="1002" t="s">
        <v>638</v>
      </c>
      <c r="AI32" s="1002" t="s">
        <v>638</v>
      </c>
      <c r="AJ32" s="986" t="s">
        <v>639</v>
      </c>
      <c r="AK32" s="1417" t="s">
        <v>639</v>
      </c>
      <c r="AL32" s="1415">
        <v>56</v>
      </c>
      <c r="AM32" s="1323">
        <v>46139</v>
      </c>
      <c r="AN32" s="1323">
        <v>46140</v>
      </c>
      <c r="AO32" s="1323">
        <v>46141</v>
      </c>
      <c r="AP32" s="1323"/>
      <c r="AQ32" s="1323"/>
      <c r="AR32" s="987"/>
      <c r="AS32" s="978" t="str">
        <f t="shared" si="3"/>
        <v>雙</v>
      </c>
      <c r="AT32" s="978" t="str">
        <f t="shared" si="4"/>
        <v>全</v>
      </c>
      <c r="AU32" s="978">
        <f t="shared" si="5"/>
        <v>150</v>
      </c>
      <c r="AV32" s="978">
        <f t="shared" si="6"/>
        <v>6.0972911999999999</v>
      </c>
    </row>
    <row r="33" spans="1:48">
      <c r="A33" s="975">
        <f t="shared" si="7"/>
        <v>46143</v>
      </c>
      <c r="B33" s="976" t="s">
        <v>240</v>
      </c>
      <c r="C33" s="988" t="s">
        <v>632</v>
      </c>
      <c r="D33" s="1410"/>
      <c r="E33" s="977" t="str">
        <f>IFERROR(VLOOKUP(C33, [6]條件!$A:$L, 5, 0), "")</f>
        <v/>
      </c>
      <c r="F33" s="978" t="str">
        <f>IFERROR(VLOOKUP(C33, [6]條件!$A:$L, 6, 0), "")</f>
        <v/>
      </c>
      <c r="G33" s="1411" t="str">
        <f>IFERROR(VLOOKUP(C33, [6]條件!$A:$L, 7, 0), "")</f>
        <v/>
      </c>
      <c r="H33" s="978" t="str">
        <f>IF(ISNA(VLOOKUP(C33,[6]條件!$A$1:$K$932,11,0)),"",(VLOOKUP(C33,[6]條件!$A$1:$K$932,11,0)))</f>
        <v/>
      </c>
      <c r="I33" s="979" t="str">
        <f>IF(ISNA(VLOOKUP(C33,[6]條件!$A$1:$L$932,12,0)),"",(VLOOKUP(C33,[6]條件!$A$1:$L$932,12,0)))</f>
        <v/>
      </c>
      <c r="J33" s="980"/>
      <c r="K33" s="980"/>
      <c r="L33" s="981" t="s">
        <v>632</v>
      </c>
      <c r="M33" s="981"/>
      <c r="N33" s="982"/>
      <c r="O33" s="980"/>
      <c r="P33" s="981" t="s">
        <v>632</v>
      </c>
      <c r="Q33" s="981"/>
      <c r="R33" s="982"/>
      <c r="S33" s="980"/>
      <c r="T33" s="981" t="s">
        <v>632</v>
      </c>
      <c r="U33" s="981"/>
      <c r="V33" s="982"/>
      <c r="W33" s="980"/>
      <c r="X33" s="981" t="s">
        <v>632</v>
      </c>
      <c r="Y33" s="983"/>
      <c r="Z33" s="1422" t="str">
        <f>IFERROR(VLOOKUP(C33, [6]條件!$A:$L, 3, 0), "")</f>
        <v/>
      </c>
      <c r="AA33" s="1167" t="str">
        <f>IF(OR(L33={"改紡","檢修","了機","清車","FINAL","停機","SAMPLE","TEST","絲開發"}), L33, IFERROR(IF(C33="", "", (SUM(J33, N33, R33, V33)/3 * AG33) * IF(AND(AF33="S", AS33="雙"), 0.5, 1)), ""))</f>
        <v>停機</v>
      </c>
      <c r="AB33" s="1423" t="str">
        <f>IF(K33="","",IF(ISERROR(1-((SUM(K33,O33,S33,W33)/((AG33*12)-(AG33*0.44)))/Z33)),"",(1-((SUM(K33,O33,S33,W33)/((AG33*12)-(AG33*0.44)))/Z33))))</f>
        <v/>
      </c>
      <c r="AC33" s="1167" t="str">
        <f>IF(OR(L33={"改紡","檢修","了機","清車","FINAL","停機","SAMPLE","TEST"}), "", IFERROR(IF(C33="", "", AVERAGE(L33:M33, P33:Q33, T33:U33, X33:Y33)/100), ""))</f>
        <v/>
      </c>
      <c r="AD33" s="1167" t="str">
        <f t="shared" si="1"/>
        <v/>
      </c>
      <c r="AE33" s="1167" t="str">
        <f>IF(P33="了機","",IF(J33="","",IF(ISERROR((SUM(J33,N33,R33,V33)-SUM(K33,O33,S33,W33))/24),"",((SUM(J33,N33,R33,V33)-SUM(K33,O33,S33,W33))/24))))</f>
        <v/>
      </c>
      <c r="AF33" s="1168" t="str">
        <f t="shared" si="2"/>
        <v>S</v>
      </c>
      <c r="AG33" s="1424">
        <v>12</v>
      </c>
      <c r="AH33" s="1002" t="s">
        <v>636</v>
      </c>
      <c r="AI33" s="1002" t="s">
        <v>636</v>
      </c>
      <c r="AJ33" s="1002" t="s">
        <v>815</v>
      </c>
      <c r="AK33" s="981" t="s">
        <v>815</v>
      </c>
      <c r="AL33" s="1415"/>
      <c r="AM33" s="1323"/>
      <c r="AN33" s="1323"/>
      <c r="AO33" s="1323"/>
      <c r="AP33" s="1323"/>
      <c r="AQ33" s="1323"/>
      <c r="AR33" s="987"/>
      <c r="AS33" s="978" t="str">
        <f t="shared" si="3"/>
        <v>單</v>
      </c>
      <c r="AT33" s="978" t="str">
        <f t="shared" si="4"/>
        <v>12sec</v>
      </c>
      <c r="AU33" s="978" t="str">
        <f t="shared" si="5"/>
        <v/>
      </c>
      <c r="AV33" s="978" t="str">
        <f t="shared" si="6"/>
        <v/>
      </c>
    </row>
    <row r="34" spans="1:48">
      <c r="A34" s="975">
        <f t="shared" si="7"/>
        <v>46143</v>
      </c>
      <c r="B34" s="976" t="s">
        <v>242</v>
      </c>
      <c r="C34" s="976" t="s">
        <v>385</v>
      </c>
      <c r="D34" s="1410"/>
      <c r="E34" s="977" t="str">
        <f>IFERROR(VLOOKUP(C34, [6]條件!$A:$L, 5, 0), "")</f>
        <v/>
      </c>
      <c r="F34" s="978" t="str">
        <f>IFERROR(VLOOKUP(C34, [6]條件!$A:$L, 6, 0), "")</f>
        <v/>
      </c>
      <c r="G34" s="1411" t="str">
        <f>IFERROR(VLOOKUP(C34, [6]條件!$A:$L, 7, 0), "")</f>
        <v/>
      </c>
      <c r="H34" s="978" t="str">
        <f>IF(ISNA(VLOOKUP(C34,[6]條件!$A$1:$K$932,11,0)),"",(VLOOKUP(C34,[6]條件!$A$1:$K$932,11,0)))</f>
        <v/>
      </c>
      <c r="I34" s="979" t="str">
        <f>IF(ISNA(VLOOKUP(C34,[6]條件!$A$1:$L$932,12,0)),"",(VLOOKUP(C34,[6]條件!$A$1:$L$932,12,0)))</f>
        <v/>
      </c>
      <c r="J34" s="980"/>
      <c r="K34" s="980"/>
      <c r="L34" s="981" t="s">
        <v>385</v>
      </c>
      <c r="M34" s="981"/>
      <c r="N34" s="982"/>
      <c r="O34" s="980"/>
      <c r="P34" s="981" t="s">
        <v>385</v>
      </c>
      <c r="Q34" s="981"/>
      <c r="R34" s="982"/>
      <c r="S34" s="980"/>
      <c r="T34" s="981" t="s">
        <v>385</v>
      </c>
      <c r="U34" s="981"/>
      <c r="V34" s="982"/>
      <c r="W34" s="980"/>
      <c r="X34" s="981" t="s">
        <v>385</v>
      </c>
      <c r="Y34" s="983"/>
      <c r="Z34" s="1422" t="str">
        <f>IFERROR(VLOOKUP(C34, [6]條件!$A:$L, 3, 0), "")</f>
        <v/>
      </c>
      <c r="AA34" s="1167" t="str">
        <f>IF(OR(L34={"改紡","檢修","了機","清車","FINAL","停機","SAMPLE","TEST","絲開發"}), L34, IFERROR(IF(C34="", "", (SUM(J34, N34, R34, V34)/3 * AG34) * IF(AND(AF34="S", AS34="雙"), 0.5, 1)), ""))</f>
        <v>絲開發</v>
      </c>
      <c r="AB34" s="1423" t="str">
        <f>IF(K34="","",IF(ISERROR(1-((SUM(K34,O34,S34,W34)/((AG34*12)-(AG34*0.44)))/Z34)),"",(1-((SUM(K34,O34,S34,W34)/((AG34*12)-(AG34*0.44)))/Z34))))</f>
        <v/>
      </c>
      <c r="AC34" s="1167" t="str">
        <f>IF(OR(L34={"改紡","檢修","了機","清車","FINAL","停機","SAMPLE","TEST"}), "", IFERROR(IF(C34="", "", AVERAGE(L34:M34, P34:Q34, T34:U34, X34:Y34)/100), ""))</f>
        <v/>
      </c>
      <c r="AD34" s="1167" t="str">
        <f t="shared" si="1"/>
        <v/>
      </c>
      <c r="AE34" s="1167" t="str">
        <f>IF(P34="了機","",IF(J34="","",IF(ISERROR((SUM(J34,N34,R34,V34)-SUM(K34,O34,S34,W34))/24),"",((SUM(J34,N34,R34,V34)-SUM(K34,O34,S34,W34))/24))))</f>
        <v/>
      </c>
      <c r="AF34" s="1168" t="str">
        <f t="shared" si="2"/>
        <v>S</v>
      </c>
      <c r="AG34" s="1424">
        <v>5</v>
      </c>
      <c r="AH34" s="1002" t="s">
        <v>636</v>
      </c>
      <c r="AI34" s="1002" t="s">
        <v>636</v>
      </c>
      <c r="AJ34" s="986" t="s">
        <v>815</v>
      </c>
      <c r="AK34" s="1417" t="s">
        <v>815</v>
      </c>
      <c r="AL34" s="1415"/>
      <c r="AM34" s="1323"/>
      <c r="AN34" s="1323"/>
      <c r="AO34" s="1323"/>
      <c r="AP34" s="1323"/>
      <c r="AQ34" s="1323"/>
      <c r="AR34" s="987"/>
      <c r="AS34" s="978" t="str">
        <f t="shared" si="3"/>
        <v>單</v>
      </c>
      <c r="AT34" s="978" t="str">
        <f t="shared" si="4"/>
        <v>5sec</v>
      </c>
      <c r="AU34" s="978" t="str">
        <f t="shared" si="5"/>
        <v/>
      </c>
      <c r="AV34" s="978" t="str">
        <f t="shared" si="6"/>
        <v/>
      </c>
    </row>
    <row r="35" spans="1:48">
      <c r="A35" s="975">
        <f t="shared" si="7"/>
        <v>46143</v>
      </c>
      <c r="B35" s="976" t="s">
        <v>16078</v>
      </c>
      <c r="C35" s="988" t="s">
        <v>16185</v>
      </c>
      <c r="D35" s="1410"/>
      <c r="E35" s="977" t="str">
        <f>IFERROR(VLOOKUP(C35, [6]條件!$A:$L, 5, 0), "")</f>
        <v/>
      </c>
      <c r="F35" s="978" t="str">
        <f>IFERROR(VLOOKUP(C35, [6]條件!$A:$L, 6, 0), "")</f>
        <v/>
      </c>
      <c r="G35" s="1411" t="str">
        <f>IFERROR(VLOOKUP(C35, [6]條件!$A:$L, 7, 0), "")</f>
        <v/>
      </c>
      <c r="H35" s="978" t="str">
        <f>IF(ISNA(VLOOKUP(C35,[6]條件!$A$1:$K$932,11,0)),"",(VLOOKUP(C35,[6]條件!$A$1:$K$932,11,0)))</f>
        <v/>
      </c>
      <c r="I35" s="979" t="str">
        <f>IF(ISNA(VLOOKUP(C35,[6]條件!$A$1:$L$932,12,0)),"",(VLOOKUP(C35,[6]條件!$A$1:$L$932,12,0)))</f>
        <v/>
      </c>
      <c r="J35" s="980"/>
      <c r="K35" s="980"/>
      <c r="L35" s="981" t="s">
        <v>632</v>
      </c>
      <c r="M35" s="981"/>
      <c r="N35" s="982"/>
      <c r="O35" s="980"/>
      <c r="P35" s="981" t="s">
        <v>632</v>
      </c>
      <c r="Q35" s="981"/>
      <c r="R35" s="982"/>
      <c r="S35" s="980"/>
      <c r="T35" s="981" t="s">
        <v>632</v>
      </c>
      <c r="U35" s="981"/>
      <c r="V35" s="982"/>
      <c r="W35" s="980"/>
      <c r="X35" s="981" t="s">
        <v>632</v>
      </c>
      <c r="Y35" s="983"/>
      <c r="Z35" s="1412" t="str">
        <f>IFERROR(VLOOKUP(C35, [6]條件!$A:$L, 3, 0), "")</f>
        <v/>
      </c>
      <c r="AA35" s="984" t="str">
        <f>IF(OR(L35={"改紡","檢修","了機","清車","FINAL","停機","SAMPLE","TEST","絲開發"}), L35, IFERROR(IF(C35="", "", (SUM(J35, N35, R35, V35)/3 * AG35) * IF(AND(AF35="S", AS35="雙"), 0.5, 1)), ""))</f>
        <v>停機</v>
      </c>
      <c r="AB35" s="1413" t="str">
        <f t="shared" ref="AB35:AB73" si="11">IF(K35="","",IF(ISERROR(1-(SUM(K35,O35,S35,W35)/208/Z35)),"",(1-(SUM(K35,O35,S35,W35)/208/Z35))))</f>
        <v/>
      </c>
      <c r="AC35" s="984" t="str">
        <f>IF(OR(L35={"改紡","檢修","了機","清車","FINAL","停機","SAMPLE","TEST"}), "", IFERROR(IF(C35="", "", AVERAGE(L35:M35, P35:Q35, T35:U35, X35:Y35)/100), ""))</f>
        <v/>
      </c>
      <c r="AD35" s="984" t="str">
        <f t="shared" si="1"/>
        <v/>
      </c>
      <c r="AE35" s="984" t="str">
        <f>IF(OR(L35="改紡", L35="檢修", L35="了機"), "",
   IF(AND(C35&lt;&gt;"", J35&lt;&gt;""),
      IFERROR((SUM(J35, N35, R35, V35) - SUM(K35, O35, S35, W35))/24 * AG35, ""),
   "")
)</f>
        <v/>
      </c>
      <c r="AF35" s="985" t="str">
        <f t="shared" si="2"/>
        <v>M</v>
      </c>
      <c r="AG35" s="1414">
        <v>1</v>
      </c>
      <c r="AH35" s="1002" t="s">
        <v>640</v>
      </c>
      <c r="AI35" s="986" t="s">
        <v>640</v>
      </c>
      <c r="AJ35" s="986" t="s">
        <v>640</v>
      </c>
      <c r="AK35" s="1417" t="s">
        <v>640</v>
      </c>
      <c r="AL35" s="1415"/>
      <c r="AM35" s="1323"/>
      <c r="AN35" s="1323"/>
      <c r="AO35" s="1323"/>
      <c r="AP35" s="1323"/>
      <c r="AQ35" s="1323"/>
      <c r="AR35" s="987"/>
      <c r="AS35" s="978" t="str">
        <f t="shared" si="3"/>
        <v>單</v>
      </c>
      <c r="AT35" s="978" t="str">
        <f t="shared" si="4"/>
        <v>全</v>
      </c>
      <c r="AU35" s="978" t="str">
        <f t="shared" si="5"/>
        <v/>
      </c>
      <c r="AV35" s="978" t="str">
        <f t="shared" si="6"/>
        <v/>
      </c>
    </row>
    <row r="36" spans="1:48">
      <c r="A36" s="975">
        <f t="shared" si="7"/>
        <v>46143</v>
      </c>
      <c r="B36" s="976" t="s">
        <v>243</v>
      </c>
      <c r="C36" s="988" t="s">
        <v>16185</v>
      </c>
      <c r="D36" s="1410"/>
      <c r="E36" s="977" t="str">
        <f>IFERROR(VLOOKUP(C36, [6]條件!$A:$L, 5, 0), "")</f>
        <v/>
      </c>
      <c r="F36" s="978" t="str">
        <f>IFERROR(VLOOKUP(C36, [6]條件!$A:$L, 6, 0), "")</f>
        <v/>
      </c>
      <c r="G36" s="1411" t="str">
        <f>IFERROR(VLOOKUP(C36, [6]條件!$A:$L, 7, 0), "")</f>
        <v/>
      </c>
      <c r="H36" s="978" t="str">
        <f>IF(ISNA(VLOOKUP(C36,[6]條件!$A$1:$K$932,11,0)),"",(VLOOKUP(C36,[6]條件!$A$1:$K$932,11,0)))</f>
        <v/>
      </c>
      <c r="I36" s="979" t="str">
        <f>IF(ISNA(VLOOKUP(C36,[6]條件!$A$1:$L$932,12,0)),"",(VLOOKUP(C36,[6]條件!$A$1:$L$932,12,0)))</f>
        <v/>
      </c>
      <c r="J36" s="980"/>
      <c r="K36" s="980"/>
      <c r="L36" s="981" t="s">
        <v>632</v>
      </c>
      <c r="M36" s="981"/>
      <c r="N36" s="982"/>
      <c r="O36" s="980"/>
      <c r="P36" s="981" t="s">
        <v>632</v>
      </c>
      <c r="Q36" s="981"/>
      <c r="R36" s="982"/>
      <c r="S36" s="980"/>
      <c r="T36" s="981" t="s">
        <v>632</v>
      </c>
      <c r="U36" s="981"/>
      <c r="V36" s="982"/>
      <c r="W36" s="980"/>
      <c r="X36" s="981" t="s">
        <v>632</v>
      </c>
      <c r="Y36" s="983"/>
      <c r="Z36" s="1412" t="str">
        <f>IFERROR(VLOOKUP(C36, [6]條件!$A:$L, 3, 0), "")</f>
        <v/>
      </c>
      <c r="AA36" s="984" t="str">
        <f>IF(OR(L36={"改紡","檢修","了機","清車","FINAL","停機","SAMPLE","TEST","絲開發"}), L36, IFERROR(IF(C36="", "", (SUM(J36, N36, R36, V36)/3 * AG36) * IF(AND(AF36="S", AS36="雙"), 0.5, 1)), ""))</f>
        <v>停機</v>
      </c>
      <c r="AB36" s="1413" t="str">
        <f t="shared" si="11"/>
        <v/>
      </c>
      <c r="AC36" s="984" t="str">
        <f>IF(OR(L36={"改紡","檢修","了機","清車","FINAL","停機","SAMPLE","TEST"}), "", IFERROR(IF(C36="", "", AVERAGE(L36:M36, P36:Q36, T36:U36, X36:Y36)/100), ""))</f>
        <v/>
      </c>
      <c r="AD36" s="984" t="str">
        <f t="shared" si="1"/>
        <v/>
      </c>
      <c r="AE36" s="984" t="str">
        <f t="shared" ref="AE36:AE73" si="12">IF(OR(L36="改紡", L36="檢修", L36="了機"), "",
IF(AND(C36&lt;&gt;"", J36&lt;&gt;""),
IFERROR((SUM(J36, N36, R36, V36) - SUM(K36, O36, S36, W36))/24 * AG36, ""),
"")
)</f>
        <v/>
      </c>
      <c r="AF36" s="985" t="str">
        <f t="shared" si="2"/>
        <v>M</v>
      </c>
      <c r="AG36" s="1414">
        <v>1</v>
      </c>
      <c r="AH36" s="1002" t="s">
        <v>640</v>
      </c>
      <c r="AI36" s="986" t="s">
        <v>640</v>
      </c>
      <c r="AJ36" s="986" t="s">
        <v>640</v>
      </c>
      <c r="AK36" s="1417" t="s">
        <v>640</v>
      </c>
      <c r="AL36" s="1415"/>
      <c r="AM36" s="1323"/>
      <c r="AN36" s="1323"/>
      <c r="AO36" s="1323"/>
      <c r="AP36" s="1323"/>
      <c r="AQ36" s="1323"/>
      <c r="AR36" s="987"/>
      <c r="AS36" s="978" t="str">
        <f t="shared" si="3"/>
        <v>單</v>
      </c>
      <c r="AT36" s="978" t="str">
        <f t="shared" si="4"/>
        <v>全</v>
      </c>
      <c r="AU36" s="978" t="str">
        <f t="shared" si="5"/>
        <v/>
      </c>
      <c r="AV36" s="978" t="str">
        <f t="shared" si="6"/>
        <v/>
      </c>
    </row>
    <row r="37" spans="1:48">
      <c r="A37" s="975">
        <f t="shared" si="7"/>
        <v>46143</v>
      </c>
      <c r="B37" s="976" t="s">
        <v>244</v>
      </c>
      <c r="C37" s="988" t="s">
        <v>16185</v>
      </c>
      <c r="D37" s="1410"/>
      <c r="E37" s="977" t="str">
        <f>IFERROR(VLOOKUP(C37, [6]條件!$A:$L, 5, 0), "")</f>
        <v/>
      </c>
      <c r="F37" s="978" t="str">
        <f>IFERROR(VLOOKUP(C37, [6]條件!$A:$L, 6, 0), "")</f>
        <v/>
      </c>
      <c r="G37" s="1411" t="str">
        <f>IFERROR(VLOOKUP(C37, [6]條件!$A:$L, 7, 0), "")</f>
        <v/>
      </c>
      <c r="H37" s="978" t="str">
        <f>IF(ISNA(VLOOKUP(C37,[6]條件!$A$1:$K$932,11,0)),"",(VLOOKUP(C37,[6]條件!$A$1:$K$932,11,0)))</f>
        <v/>
      </c>
      <c r="I37" s="979" t="str">
        <f>IF(ISNA(VLOOKUP(C37,[6]條件!$A$1:$L$932,12,0)),"",(VLOOKUP(C37,[6]條件!$A$1:$L$932,12,0)))</f>
        <v/>
      </c>
      <c r="J37" s="980"/>
      <c r="K37" s="980"/>
      <c r="L37" s="981" t="s">
        <v>632</v>
      </c>
      <c r="M37" s="981"/>
      <c r="N37" s="982"/>
      <c r="O37" s="980"/>
      <c r="P37" s="981" t="s">
        <v>632</v>
      </c>
      <c r="Q37" s="981"/>
      <c r="R37" s="982"/>
      <c r="S37" s="980"/>
      <c r="T37" s="981" t="s">
        <v>632</v>
      </c>
      <c r="U37" s="981"/>
      <c r="V37" s="982"/>
      <c r="W37" s="980"/>
      <c r="X37" s="981" t="s">
        <v>632</v>
      </c>
      <c r="Y37" s="983"/>
      <c r="Z37" s="1412" t="str">
        <f>IFERROR(VLOOKUP(C37, [6]條件!$A:$L, 3, 0), "")</f>
        <v/>
      </c>
      <c r="AA37" s="984" t="str">
        <f>IF(OR(L37={"改紡","檢修","了機","清車","FINAL","停機","SAMPLE","TEST","絲開發"}), L37, IFERROR(IF(C37="", "", (SUM(J37, N37, R37, V37)/3 * AG37) * IF(AND(AF37="S", AS37="雙"), 0.5, 1)), ""))</f>
        <v>停機</v>
      </c>
      <c r="AB37" s="1413" t="str">
        <f t="shared" si="11"/>
        <v/>
      </c>
      <c r="AC37" s="984" t="str">
        <f>IF(OR(L37={"改紡","檢修","了機","清車","FINAL","停機","SAMPLE","TEST"}), "", IFERROR(IF(C37="", "", AVERAGE(L37:M37, P37:Q37, T37:U37, X37:Y37)/100), ""))</f>
        <v/>
      </c>
      <c r="AD37" s="984" t="str">
        <f t="shared" si="1"/>
        <v/>
      </c>
      <c r="AE37" s="984" t="str">
        <f t="shared" si="12"/>
        <v/>
      </c>
      <c r="AF37" s="985" t="str">
        <f t="shared" si="2"/>
        <v>M</v>
      </c>
      <c r="AG37" s="1414">
        <v>1</v>
      </c>
      <c r="AH37" s="1002" t="s">
        <v>640</v>
      </c>
      <c r="AI37" s="986" t="s">
        <v>640</v>
      </c>
      <c r="AJ37" s="986" t="s">
        <v>640</v>
      </c>
      <c r="AK37" s="1417" t="s">
        <v>640</v>
      </c>
      <c r="AL37" s="1415"/>
      <c r="AM37" s="1323"/>
      <c r="AN37" s="1323"/>
      <c r="AO37" s="1323"/>
      <c r="AP37" s="1323"/>
      <c r="AQ37" s="1323"/>
      <c r="AR37" s="987"/>
      <c r="AS37" s="978" t="str">
        <f t="shared" si="3"/>
        <v>單</v>
      </c>
      <c r="AT37" s="978" t="str">
        <f t="shared" si="4"/>
        <v>全</v>
      </c>
      <c r="AU37" s="978" t="str">
        <f t="shared" si="5"/>
        <v/>
      </c>
      <c r="AV37" s="978" t="str">
        <f t="shared" si="6"/>
        <v/>
      </c>
    </row>
    <row r="38" spans="1:48">
      <c r="A38" s="975">
        <f t="shared" si="7"/>
        <v>46143</v>
      </c>
      <c r="B38" s="976" t="s">
        <v>245</v>
      </c>
      <c r="C38" s="988" t="s">
        <v>16185</v>
      </c>
      <c r="D38" s="1410"/>
      <c r="E38" s="977" t="str">
        <f>IFERROR(VLOOKUP(C38, [6]條件!$A:$L, 5, 0), "")</f>
        <v/>
      </c>
      <c r="F38" s="978" t="str">
        <f>IFERROR(VLOOKUP(C38, [6]條件!$A:$L, 6, 0), "")</f>
        <v/>
      </c>
      <c r="G38" s="1411" t="str">
        <f>IFERROR(VLOOKUP(C38, [6]條件!$A:$L, 7, 0), "")</f>
        <v/>
      </c>
      <c r="H38" s="978" t="str">
        <f>IF(ISNA(VLOOKUP(C38,[6]條件!$A$1:$K$932,11,0)),"",(VLOOKUP(C38,[6]條件!$A$1:$K$932,11,0)))</f>
        <v/>
      </c>
      <c r="I38" s="979" t="str">
        <f>IF(ISNA(VLOOKUP(C38,[6]條件!$A$1:$L$932,12,0)),"",(VLOOKUP(C38,[6]條件!$A$1:$L$932,12,0)))</f>
        <v/>
      </c>
      <c r="J38" s="980"/>
      <c r="K38" s="980"/>
      <c r="L38" s="981" t="s">
        <v>632</v>
      </c>
      <c r="M38" s="981"/>
      <c r="N38" s="982"/>
      <c r="O38" s="980"/>
      <c r="P38" s="981" t="s">
        <v>632</v>
      </c>
      <c r="Q38" s="981"/>
      <c r="R38" s="982"/>
      <c r="S38" s="980"/>
      <c r="T38" s="981" t="s">
        <v>632</v>
      </c>
      <c r="U38" s="981"/>
      <c r="V38" s="982"/>
      <c r="W38" s="980"/>
      <c r="X38" s="981" t="s">
        <v>632</v>
      </c>
      <c r="Y38" s="983"/>
      <c r="Z38" s="1412" t="str">
        <f>IFERROR(VLOOKUP(C38, [6]條件!$A:$L, 3, 0), "")</f>
        <v/>
      </c>
      <c r="AA38" s="984" t="str">
        <f>IF(OR(L38={"改紡","檢修","了機","清車","FINAL","停機","SAMPLE","TEST","絲開發"}), L38, IFERROR(IF(C38="", "", (SUM(J38, N38, R38, V38)/3 * AG38) * IF(AND(AF38="S", AS38="雙"), 0.5, 1)), ""))</f>
        <v>停機</v>
      </c>
      <c r="AB38" s="1413" t="str">
        <f t="shared" si="11"/>
        <v/>
      </c>
      <c r="AC38" s="984" t="str">
        <f>IF(OR(L38={"改紡","檢修","了機","清車","FINAL","停機","SAMPLE","TEST"}), "", IFERROR(IF(C38="", "", AVERAGE(L38:M38, P38:Q38, T38:U38, X38:Y38)/100), ""))</f>
        <v/>
      </c>
      <c r="AD38" s="984" t="str">
        <f t="shared" si="1"/>
        <v/>
      </c>
      <c r="AE38" s="984" t="str">
        <f t="shared" si="12"/>
        <v/>
      </c>
      <c r="AF38" s="985" t="str">
        <f t="shared" si="2"/>
        <v>M</v>
      </c>
      <c r="AG38" s="1414">
        <v>1</v>
      </c>
      <c r="AH38" s="1002" t="s">
        <v>640</v>
      </c>
      <c r="AI38" s="986" t="s">
        <v>640</v>
      </c>
      <c r="AJ38" s="986" t="s">
        <v>640</v>
      </c>
      <c r="AK38" s="1417" t="s">
        <v>640</v>
      </c>
      <c r="AL38" s="1415"/>
      <c r="AM38" s="1323"/>
      <c r="AN38" s="1323"/>
      <c r="AO38" s="1323"/>
      <c r="AP38" s="1323"/>
      <c r="AQ38" s="1323"/>
      <c r="AR38" s="987"/>
      <c r="AS38" s="978" t="str">
        <f t="shared" si="3"/>
        <v>單</v>
      </c>
      <c r="AT38" s="978" t="str">
        <f t="shared" si="4"/>
        <v>全</v>
      </c>
      <c r="AU38" s="978" t="str">
        <f t="shared" si="5"/>
        <v/>
      </c>
      <c r="AV38" s="978" t="str">
        <f t="shared" si="6"/>
        <v/>
      </c>
    </row>
    <row r="39" spans="1:48">
      <c r="A39" s="975">
        <f t="shared" si="7"/>
        <v>46143</v>
      </c>
      <c r="B39" s="976" t="s">
        <v>246</v>
      </c>
      <c r="C39" s="988" t="s">
        <v>16185</v>
      </c>
      <c r="D39" s="1410"/>
      <c r="E39" s="977" t="str">
        <f>IFERROR(VLOOKUP(C39, [6]條件!$A:$L, 5, 0), "")</f>
        <v/>
      </c>
      <c r="F39" s="978" t="str">
        <f>IFERROR(VLOOKUP(C39, [6]條件!$A:$L, 6, 0), "")</f>
        <v/>
      </c>
      <c r="G39" s="1411" t="str">
        <f>IFERROR(VLOOKUP(C39, [6]條件!$A:$L, 7, 0), "")</f>
        <v/>
      </c>
      <c r="H39" s="978" t="str">
        <f>IF(ISNA(VLOOKUP(C39,[6]條件!$A$1:$K$932,11,0)),"",(VLOOKUP(C39,[6]條件!$A$1:$K$932,11,0)))</f>
        <v/>
      </c>
      <c r="I39" s="979" t="str">
        <f>IF(ISNA(VLOOKUP(C39,[6]條件!$A$1:$L$932,12,0)),"",(VLOOKUP(C39,[6]條件!$A$1:$L$932,12,0)))</f>
        <v/>
      </c>
      <c r="J39" s="980"/>
      <c r="K39" s="980"/>
      <c r="L39" s="981" t="s">
        <v>632</v>
      </c>
      <c r="M39" s="981"/>
      <c r="N39" s="982"/>
      <c r="O39" s="980"/>
      <c r="P39" s="981" t="s">
        <v>632</v>
      </c>
      <c r="Q39" s="981"/>
      <c r="R39" s="982"/>
      <c r="S39" s="980"/>
      <c r="T39" s="981" t="s">
        <v>632</v>
      </c>
      <c r="U39" s="981"/>
      <c r="V39" s="982"/>
      <c r="W39" s="980"/>
      <c r="X39" s="981" t="s">
        <v>632</v>
      </c>
      <c r="Y39" s="983"/>
      <c r="Z39" s="1412" t="str">
        <f>IFERROR(VLOOKUP(C39, [6]條件!$A:$L, 3, 0), "")</f>
        <v/>
      </c>
      <c r="AA39" s="984" t="str">
        <f>IF(OR(L39={"改紡","檢修","了機","清車","FINAL","停機","SAMPLE","TEST","絲開發"}), L39, IFERROR(IF(C39="", "", (SUM(J39, N39, R39, V39)/3 * AG39) * IF(AND(AF39="S", AS39="雙"), 0.5, 1)), ""))</f>
        <v>停機</v>
      </c>
      <c r="AB39" s="1413" t="str">
        <f t="shared" si="11"/>
        <v/>
      </c>
      <c r="AC39" s="984" t="str">
        <f>IF(OR(L39={"改紡","檢修","了機","清車","FINAL","停機","SAMPLE","TEST"}), "", IFERROR(IF(C39="", "", AVERAGE(L39:M39, P39:Q39, T39:U39, X39:Y39)/100), ""))</f>
        <v/>
      </c>
      <c r="AD39" s="984" t="str">
        <f t="shared" si="1"/>
        <v/>
      </c>
      <c r="AE39" s="984" t="str">
        <f t="shared" si="12"/>
        <v/>
      </c>
      <c r="AF39" s="985" t="str">
        <f t="shared" si="2"/>
        <v>M</v>
      </c>
      <c r="AG39" s="1414">
        <v>1</v>
      </c>
      <c r="AH39" s="1002" t="s">
        <v>640</v>
      </c>
      <c r="AI39" s="986" t="s">
        <v>640</v>
      </c>
      <c r="AJ39" s="986" t="s">
        <v>640</v>
      </c>
      <c r="AK39" s="1417" t="s">
        <v>640</v>
      </c>
      <c r="AL39" s="1415"/>
      <c r="AM39" s="1323"/>
      <c r="AN39" s="1323"/>
      <c r="AO39" s="1323"/>
      <c r="AP39" s="1323"/>
      <c r="AQ39" s="1323"/>
      <c r="AR39" s="987"/>
      <c r="AS39" s="978" t="str">
        <f t="shared" si="3"/>
        <v>單</v>
      </c>
      <c r="AT39" s="978" t="str">
        <f t="shared" si="4"/>
        <v>全</v>
      </c>
      <c r="AU39" s="978" t="str">
        <f t="shared" si="5"/>
        <v/>
      </c>
      <c r="AV39" s="978" t="str">
        <f t="shared" si="6"/>
        <v/>
      </c>
    </row>
    <row r="40" spans="1:48">
      <c r="A40" s="975">
        <f t="shared" si="7"/>
        <v>46143</v>
      </c>
      <c r="B40" s="976" t="s">
        <v>247</v>
      </c>
      <c r="C40" s="988" t="s">
        <v>16185</v>
      </c>
      <c r="D40" s="1410"/>
      <c r="E40" s="977" t="str">
        <f>IFERROR(VLOOKUP(C40, [6]條件!$A:$L, 5, 0), "")</f>
        <v/>
      </c>
      <c r="F40" s="978" t="str">
        <f>IFERROR(VLOOKUP(C40, [6]條件!$A:$L, 6, 0), "")</f>
        <v/>
      </c>
      <c r="G40" s="1411" t="str">
        <f>IFERROR(VLOOKUP(C40, [6]條件!$A:$L, 7, 0), "")</f>
        <v/>
      </c>
      <c r="H40" s="978" t="str">
        <f>IF(ISNA(VLOOKUP(C40,[6]條件!$A$1:$K$932,11,0)),"",(VLOOKUP(C40,[6]條件!$A$1:$K$932,11,0)))</f>
        <v/>
      </c>
      <c r="I40" s="979" t="str">
        <f>IF(ISNA(VLOOKUP(C40,[6]條件!$A$1:$L$932,12,0)),"",(VLOOKUP(C40,[6]條件!$A$1:$L$932,12,0)))</f>
        <v/>
      </c>
      <c r="J40" s="980"/>
      <c r="K40" s="980"/>
      <c r="L40" s="981" t="s">
        <v>632</v>
      </c>
      <c r="M40" s="981"/>
      <c r="N40" s="982"/>
      <c r="O40" s="980"/>
      <c r="P40" s="981" t="s">
        <v>632</v>
      </c>
      <c r="Q40" s="981"/>
      <c r="R40" s="982"/>
      <c r="S40" s="980"/>
      <c r="T40" s="981" t="s">
        <v>632</v>
      </c>
      <c r="U40" s="981"/>
      <c r="V40" s="982"/>
      <c r="W40" s="980"/>
      <c r="X40" s="981" t="s">
        <v>632</v>
      </c>
      <c r="Y40" s="983"/>
      <c r="Z40" s="1412" t="str">
        <f>IFERROR(VLOOKUP(C40, [6]條件!$A:$L, 3, 0), "")</f>
        <v/>
      </c>
      <c r="AA40" s="984" t="str">
        <f>IF(OR(L40={"改紡","檢修","了機","清車","FINAL","停機","SAMPLE","TEST","絲開發"}), L40, IFERROR(IF(C40="", "", (SUM(J40, N40, R40, V40)/3 * AG40) * IF(AND(AF40="S", AS40="雙"), 0.5, 1)), ""))</f>
        <v>停機</v>
      </c>
      <c r="AB40" s="1413" t="str">
        <f t="shared" si="11"/>
        <v/>
      </c>
      <c r="AC40" s="984" t="str">
        <f>IF(OR(L40={"改紡","檢修","了機","清車","FINAL","停機","SAMPLE","TEST"}), "", IFERROR(IF(C40="", "", AVERAGE(L40:M40, P40:Q40, T40:U40, X40:Y40)/100), ""))</f>
        <v/>
      </c>
      <c r="AD40" s="984" t="str">
        <f t="shared" si="1"/>
        <v/>
      </c>
      <c r="AE40" s="984" t="str">
        <f t="shared" si="12"/>
        <v/>
      </c>
      <c r="AF40" s="985" t="str">
        <f t="shared" si="2"/>
        <v>M</v>
      </c>
      <c r="AG40" s="1414">
        <v>1</v>
      </c>
      <c r="AH40" s="1002" t="s">
        <v>640</v>
      </c>
      <c r="AI40" s="986" t="s">
        <v>640</v>
      </c>
      <c r="AJ40" s="986" t="s">
        <v>640</v>
      </c>
      <c r="AK40" s="1417" t="s">
        <v>640</v>
      </c>
      <c r="AL40" s="1415"/>
      <c r="AM40" s="1323"/>
      <c r="AN40" s="1323"/>
      <c r="AO40" s="1323"/>
      <c r="AP40" s="1323"/>
      <c r="AQ40" s="1323"/>
      <c r="AR40" s="987"/>
      <c r="AS40" s="978" t="str">
        <f t="shared" si="3"/>
        <v>單</v>
      </c>
      <c r="AT40" s="978" t="str">
        <f t="shared" si="4"/>
        <v>全</v>
      </c>
      <c r="AU40" s="978" t="str">
        <f t="shared" si="5"/>
        <v/>
      </c>
      <c r="AV40" s="978" t="str">
        <f t="shared" si="6"/>
        <v/>
      </c>
    </row>
    <row r="41" spans="1:48">
      <c r="A41" s="975">
        <f t="shared" si="7"/>
        <v>46143</v>
      </c>
      <c r="B41" s="976" t="s">
        <v>248</v>
      </c>
      <c r="C41" s="988" t="s">
        <v>16185</v>
      </c>
      <c r="D41" s="1410"/>
      <c r="E41" s="977" t="str">
        <f>IFERROR(VLOOKUP(C41, [6]條件!$A:$L, 5, 0), "")</f>
        <v/>
      </c>
      <c r="F41" s="978" t="str">
        <f>IFERROR(VLOOKUP(C41, [6]條件!$A:$L, 6, 0), "")</f>
        <v/>
      </c>
      <c r="G41" s="1411" t="str">
        <f>IFERROR(VLOOKUP(C41, [6]條件!$A:$L, 7, 0), "")</f>
        <v/>
      </c>
      <c r="H41" s="978" t="str">
        <f>IF(ISNA(VLOOKUP(C41,[6]條件!$A$1:$K$932,11,0)),"",(VLOOKUP(C41,[6]條件!$A$1:$K$932,11,0)))</f>
        <v/>
      </c>
      <c r="I41" s="979" t="str">
        <f>IF(ISNA(VLOOKUP(C41,[6]條件!$A$1:$L$932,12,0)),"",(VLOOKUP(C41,[6]條件!$A$1:$L$932,12,0)))</f>
        <v/>
      </c>
      <c r="J41" s="980"/>
      <c r="K41" s="980"/>
      <c r="L41" s="981" t="s">
        <v>632</v>
      </c>
      <c r="M41" s="981"/>
      <c r="N41" s="982"/>
      <c r="O41" s="980"/>
      <c r="P41" s="981" t="s">
        <v>632</v>
      </c>
      <c r="Q41" s="981"/>
      <c r="R41" s="982"/>
      <c r="S41" s="980"/>
      <c r="T41" s="981" t="s">
        <v>632</v>
      </c>
      <c r="U41" s="981"/>
      <c r="V41" s="982"/>
      <c r="W41" s="980"/>
      <c r="X41" s="981" t="s">
        <v>632</v>
      </c>
      <c r="Y41" s="983"/>
      <c r="Z41" s="1412" t="str">
        <f>IFERROR(VLOOKUP(C41, [6]條件!$A:$L, 3, 0), "")</f>
        <v/>
      </c>
      <c r="AA41" s="984" t="str">
        <f>IF(OR(L41={"改紡","檢修","了機","清車","FINAL","停機","SAMPLE","TEST","絲開發"}), L41, IFERROR(IF(C41="", "", (SUM(J41, N41, R41, V41)/3 * AG41) * IF(AND(AF41="S", AS41="雙"), 0.5, 1)), ""))</f>
        <v>停機</v>
      </c>
      <c r="AB41" s="1413" t="str">
        <f t="shared" si="11"/>
        <v/>
      </c>
      <c r="AC41" s="984" t="str">
        <f>IF(OR(L41={"改紡","檢修","了機","清車","FINAL","停機","SAMPLE","TEST"}), "", IFERROR(IF(C41="", "", AVERAGE(L41:M41, P41:Q41, T41:U41, X41:Y41)/100), ""))</f>
        <v/>
      </c>
      <c r="AD41" s="984" t="str">
        <f t="shared" si="1"/>
        <v/>
      </c>
      <c r="AE41" s="984" t="str">
        <f t="shared" si="12"/>
        <v/>
      </c>
      <c r="AF41" s="985" t="str">
        <f t="shared" si="2"/>
        <v>M</v>
      </c>
      <c r="AG41" s="1414">
        <v>1</v>
      </c>
      <c r="AH41" s="1002" t="s">
        <v>640</v>
      </c>
      <c r="AI41" s="986" t="s">
        <v>640</v>
      </c>
      <c r="AJ41" s="986" t="s">
        <v>640</v>
      </c>
      <c r="AK41" s="1417" t="s">
        <v>640</v>
      </c>
      <c r="AL41" s="1415"/>
      <c r="AM41" s="1323"/>
      <c r="AN41" s="1323"/>
      <c r="AO41" s="1323"/>
      <c r="AP41" s="1323"/>
      <c r="AQ41" s="1323"/>
      <c r="AR41" s="987"/>
      <c r="AS41" s="978" t="str">
        <f t="shared" si="3"/>
        <v>單</v>
      </c>
      <c r="AT41" s="978" t="str">
        <f t="shared" si="4"/>
        <v>全</v>
      </c>
      <c r="AU41" s="978" t="str">
        <f t="shared" si="5"/>
        <v/>
      </c>
      <c r="AV41" s="978" t="str">
        <f t="shared" si="6"/>
        <v/>
      </c>
    </row>
    <row r="42" spans="1:48" ht="17.25" thickBot="1">
      <c r="A42" s="989">
        <f t="shared" si="7"/>
        <v>46143</v>
      </c>
      <c r="B42" s="990" t="s">
        <v>249</v>
      </c>
      <c r="C42" s="991" t="s">
        <v>16185</v>
      </c>
      <c r="D42" s="1425"/>
      <c r="E42" s="1169" t="str">
        <f>IFERROR(VLOOKUP(C42, [6]條件!$A:$L, 5, 0), "")</f>
        <v/>
      </c>
      <c r="F42" s="992" t="str">
        <f>IFERROR(VLOOKUP(C42, [6]條件!$A:$L, 6, 0), "")</f>
        <v/>
      </c>
      <c r="G42" s="1426" t="str">
        <f>IFERROR(VLOOKUP(C42, [6]條件!$A:$L, 7, 0), "")</f>
        <v/>
      </c>
      <c r="H42" s="992" t="str">
        <f>IF(ISNA(VLOOKUP(C42,[6]條件!$A$1:$K$932,11,0)),"",(VLOOKUP(C42,[6]條件!$A$1:$K$932,11,0)))</f>
        <v/>
      </c>
      <c r="I42" s="1170" t="str">
        <f>IF(ISNA(VLOOKUP(C42,[6]條件!$A$1:$L$932,12,0)),"",(VLOOKUP(C42,[6]條件!$A$1:$L$932,12,0)))</f>
        <v/>
      </c>
      <c r="J42" s="993"/>
      <c r="K42" s="993"/>
      <c r="L42" s="994" t="s">
        <v>632</v>
      </c>
      <c r="M42" s="994"/>
      <c r="N42" s="995"/>
      <c r="O42" s="993"/>
      <c r="P42" s="994" t="s">
        <v>632</v>
      </c>
      <c r="Q42" s="994"/>
      <c r="R42" s="995"/>
      <c r="S42" s="993"/>
      <c r="T42" s="994" t="s">
        <v>632</v>
      </c>
      <c r="U42" s="994"/>
      <c r="V42" s="995"/>
      <c r="W42" s="993"/>
      <c r="X42" s="994" t="s">
        <v>632</v>
      </c>
      <c r="Y42" s="996"/>
      <c r="Z42" s="1427" t="str">
        <f>IFERROR(VLOOKUP(C42, [6]條件!$A:$L, 3, 0), "")</f>
        <v/>
      </c>
      <c r="AA42" s="997" t="str">
        <f>IF(OR(L42={"改紡","檢修","了機","清車","FINAL","停機","SAMPLE","TEST","絲開發"}), L42, IFERROR(IF(C42="", "", (SUM(J42, N42, R42, V42)/3 * AG42) * IF(AND(AF42="S", AS42="雙"), 0.5, 1)), ""))</f>
        <v>停機</v>
      </c>
      <c r="AB42" s="1428" t="str">
        <f t="shared" si="11"/>
        <v/>
      </c>
      <c r="AC42" s="997" t="str">
        <f>IF(OR(L42={"改紡","檢修","了機","清車","FINAL","停機","SAMPLE","TEST"}), "", IFERROR(IF(C42="", "", AVERAGE(L42:M42, P42:Q42, T42:U42, X42:Y42)/100), ""))</f>
        <v/>
      </c>
      <c r="AD42" s="997" t="str">
        <f t="shared" si="1"/>
        <v/>
      </c>
      <c r="AE42" s="997" t="str">
        <f t="shared" si="12"/>
        <v/>
      </c>
      <c r="AF42" s="998" t="str">
        <f t="shared" si="2"/>
        <v>M</v>
      </c>
      <c r="AG42" s="1429">
        <v>1</v>
      </c>
      <c r="AH42" s="1171" t="s">
        <v>640</v>
      </c>
      <c r="AI42" s="999" t="s">
        <v>640</v>
      </c>
      <c r="AJ42" s="999" t="s">
        <v>640</v>
      </c>
      <c r="AK42" s="1430" t="s">
        <v>640</v>
      </c>
      <c r="AL42" s="1431"/>
      <c r="AM42" s="1325"/>
      <c r="AN42" s="1325"/>
      <c r="AO42" s="1325"/>
      <c r="AP42" s="1325"/>
      <c r="AQ42" s="1325"/>
      <c r="AR42" s="1000"/>
      <c r="AS42" s="992" t="str">
        <f t="shared" si="3"/>
        <v>單</v>
      </c>
      <c r="AT42" s="992" t="str">
        <f t="shared" si="4"/>
        <v>全</v>
      </c>
      <c r="AU42" s="992" t="str">
        <f t="shared" si="5"/>
        <v/>
      </c>
      <c r="AV42" s="992" t="str">
        <f t="shared" si="6"/>
        <v/>
      </c>
    </row>
    <row r="43" spans="1:48">
      <c r="A43" s="962">
        <v>46144</v>
      </c>
      <c r="B43" s="963" t="s">
        <v>212</v>
      </c>
      <c r="C43" s="963" t="s">
        <v>632</v>
      </c>
      <c r="D43" s="1403"/>
      <c r="E43" s="964" t="str">
        <f>IFERROR(VLOOKUP(C43, [6]條件!$A:$L, 5, 0), "")</f>
        <v/>
      </c>
      <c r="F43" s="965" t="str">
        <f>IFERROR(VLOOKUP(C43, [6]條件!$A:$L, 6, 0), "")</f>
        <v/>
      </c>
      <c r="G43" s="1404" t="str">
        <f>IFERROR(VLOOKUP(C43, [6]條件!$A:$L, 7, 0), "")</f>
        <v/>
      </c>
      <c r="H43" s="965" t="str">
        <f>IF(ISNA(VLOOKUP(C43,[6]條件!$A$1:$K$932,11,0)),"",(VLOOKUP(C43,[6]條件!$A$1:$K$932,11,0)))</f>
        <v/>
      </c>
      <c r="I43" s="966" t="str">
        <f>IF(ISNA(VLOOKUP(C43,[6]條件!$A$1:$L$932,12,0)),"",(VLOOKUP(C43,[6]條件!$A$1:$L$932,12,0)))</f>
        <v/>
      </c>
      <c r="J43" s="967"/>
      <c r="K43" s="967"/>
      <c r="L43" s="968" t="s">
        <v>632</v>
      </c>
      <c r="M43" s="968"/>
      <c r="N43" s="969"/>
      <c r="O43" s="967"/>
      <c r="P43" s="968" t="s">
        <v>632</v>
      </c>
      <c r="Q43" s="968"/>
      <c r="R43" s="969"/>
      <c r="S43" s="967"/>
      <c r="T43" s="981" t="s">
        <v>632</v>
      </c>
      <c r="U43" s="968"/>
      <c r="V43" s="969"/>
      <c r="W43" s="967"/>
      <c r="X43" s="981" t="s">
        <v>632</v>
      </c>
      <c r="Y43" s="970"/>
      <c r="Z43" s="1405" t="str">
        <f>IFERROR(VLOOKUP(C43, [6]條件!$A:$L, 3, 0), "")</f>
        <v/>
      </c>
      <c r="AA43" s="971" t="str">
        <f>IF(OR(L43={"改紡","檢修","了機","清車","FINAL","停機","SAMPLE","TEST","絲開發"}), L43, IFERROR(IF(C43="", "", (SUM(J43, N43, R43, V43)/3 * AG43) * IF(AND(AF43="S", AS43="雙"), 0.5, 1)), ""))</f>
        <v>停機</v>
      </c>
      <c r="AB43" s="1406" t="str">
        <f t="shared" si="11"/>
        <v/>
      </c>
      <c r="AC43" s="971" t="str">
        <f>IF(OR(L43={"改紡","檢修","了機","清車","FINAL","停機","SAMPLE","TEST"}), "", IFERROR(IF(C43="", "", AVERAGE(L43:M43, P43:Q43, T43:U43, X43:Y43)/100), ""))</f>
        <v/>
      </c>
      <c r="AD43" s="971" t="str">
        <f t="shared" si="1"/>
        <v/>
      </c>
      <c r="AE43" s="971" t="str">
        <f t="shared" si="12"/>
        <v/>
      </c>
      <c r="AF43" s="972" t="str">
        <f t="shared" si="2"/>
        <v>A</v>
      </c>
      <c r="AG43" s="1407">
        <v>1</v>
      </c>
      <c r="AH43" s="1001" t="s">
        <v>641</v>
      </c>
      <c r="AI43" s="1001" t="s">
        <v>641</v>
      </c>
      <c r="AJ43" s="1166" t="s">
        <v>630</v>
      </c>
      <c r="AK43" s="1408" t="s">
        <v>630</v>
      </c>
      <c r="AL43" s="1409"/>
      <c r="AM43" s="1322"/>
      <c r="AN43" s="1322"/>
      <c r="AO43" s="1322"/>
      <c r="AP43" s="1322"/>
      <c r="AQ43" s="1322"/>
      <c r="AR43" s="973"/>
      <c r="AS43" s="965" t="str">
        <f t="shared" si="3"/>
        <v>單</v>
      </c>
      <c r="AT43" s="965" t="str">
        <f t="shared" si="4"/>
        <v>全</v>
      </c>
      <c r="AU43" s="965" t="str">
        <f t="shared" si="5"/>
        <v/>
      </c>
      <c r="AV43" s="965" t="str">
        <f t="shared" si="6"/>
        <v/>
      </c>
    </row>
    <row r="44" spans="1:48">
      <c r="A44" s="975">
        <f t="shared" ref="A44:A83" si="13">A43</f>
        <v>46144</v>
      </c>
      <c r="B44" s="976" t="s">
        <v>214</v>
      </c>
      <c r="C44" s="976" t="s">
        <v>16708</v>
      </c>
      <c r="D44" s="1410"/>
      <c r="E44" s="977" t="str">
        <f>IFERROR(VLOOKUP(C44, [6]條件!$A:$L, 5, 0), "")</f>
        <v>75/36SDR</v>
      </c>
      <c r="F44" s="978" t="str">
        <f>IFERROR(VLOOKUP(C44, [6]條件!$A:$L, 6, 0), "")</f>
        <v>FP81386R</v>
      </c>
      <c r="G44" s="1411">
        <f>IFERROR(VLOOKUP(C44, [6]條件!$A:$L, 7, 0), "")</f>
        <v>780</v>
      </c>
      <c r="H44" s="978" t="str">
        <f>IF(ISNA(VLOOKUP(C44,[6]條件!$A$1:$K$932,11,0)),"",(VLOOKUP(C44,[6]條件!$A$1:$K$932,11,0)))</f>
        <v>綠底白點</v>
      </c>
      <c r="I44" s="979">
        <f>IF(ISNA(VLOOKUP(C44,[6]條件!$A$1:$L$932,12,0)),"",(VLOOKUP(C44,[6]條件!$A$1:$L$932,12,0)))</f>
        <v>5</v>
      </c>
      <c r="J44" s="980">
        <v>15</v>
      </c>
      <c r="K44" s="980">
        <v>0</v>
      </c>
      <c r="L44" s="981">
        <v>9321</v>
      </c>
      <c r="M44" s="981">
        <v>8439</v>
      </c>
      <c r="N44" s="982">
        <v>7</v>
      </c>
      <c r="O44" s="980">
        <v>0</v>
      </c>
      <c r="P44" s="981">
        <v>9297</v>
      </c>
      <c r="Q44" s="981">
        <v>8597</v>
      </c>
      <c r="R44" s="982">
        <v>11</v>
      </c>
      <c r="S44" s="980">
        <v>0</v>
      </c>
      <c r="T44" s="981">
        <v>9356</v>
      </c>
      <c r="U44" s="981">
        <v>8554</v>
      </c>
      <c r="V44" s="982">
        <v>9</v>
      </c>
      <c r="W44" s="980">
        <v>0</v>
      </c>
      <c r="X44" s="981">
        <v>9411</v>
      </c>
      <c r="Y44" s="983">
        <v>8485</v>
      </c>
      <c r="Z44" s="1412">
        <f>IFERROR(VLOOKUP(C44, [6]條件!$A:$L, 3, 0), "")</f>
        <v>1.7777777777777777</v>
      </c>
      <c r="AA44" s="984">
        <f>IF(OR(L44={"改紡","檢修","了機","清車","FINAL","停機","SAMPLE","TEST","絲開發"}), L44, IFERROR(IF(C44="", "", (SUM(J44, N44, R44, V44)/3 * AG44) * IF(AND(AF44="S", AS44="雙"), 0.5, 1)), ""))</f>
        <v>14</v>
      </c>
      <c r="AB44" s="1413">
        <f t="shared" si="11"/>
        <v>1</v>
      </c>
      <c r="AC44" s="984">
        <f>IF(OR(L44={"改紡","檢修","了機","清車","FINAL","停機","SAMPLE","TEST"}), "", IFERROR(IF(C44="", "", AVERAGE(L44:M44, P44:Q44, T44:U44, X44:Y44)/100), ""))</f>
        <v>89.325000000000003</v>
      </c>
      <c r="AD44" s="984">
        <f t="shared" si="1"/>
        <v>1.75</v>
      </c>
      <c r="AE44" s="984">
        <f t="shared" si="12"/>
        <v>1.75</v>
      </c>
      <c r="AF44" s="985" t="str">
        <f t="shared" si="2"/>
        <v>A</v>
      </c>
      <c r="AG44" s="1414">
        <v>1</v>
      </c>
      <c r="AH44" s="1002" t="s">
        <v>641</v>
      </c>
      <c r="AI44" s="1002" t="s">
        <v>641</v>
      </c>
      <c r="AJ44" s="1166" t="s">
        <v>630</v>
      </c>
      <c r="AK44" s="1408" t="s">
        <v>630</v>
      </c>
      <c r="AL44" s="1415">
        <v>50</v>
      </c>
      <c r="AM44" s="1323">
        <v>46138</v>
      </c>
      <c r="AN44" s="1323">
        <v>46139</v>
      </c>
      <c r="AO44" s="1323">
        <v>46140</v>
      </c>
      <c r="AP44" s="1323">
        <v>46141</v>
      </c>
      <c r="AQ44" s="1323"/>
      <c r="AR44" s="987"/>
      <c r="AS44" s="978" t="str">
        <f t="shared" si="3"/>
        <v>單</v>
      </c>
      <c r="AT44" s="978" t="str">
        <f t="shared" si="4"/>
        <v>全</v>
      </c>
      <c r="AU44" s="978">
        <f t="shared" si="5"/>
        <v>75</v>
      </c>
      <c r="AV44" s="978">
        <f t="shared" si="6"/>
        <v>1.8059371200000001</v>
      </c>
    </row>
    <row r="45" spans="1:48">
      <c r="A45" s="975">
        <f t="shared" si="13"/>
        <v>46144</v>
      </c>
      <c r="B45" s="976" t="s">
        <v>215</v>
      </c>
      <c r="C45" s="976" t="s">
        <v>16188</v>
      </c>
      <c r="D45" s="1410" t="s">
        <v>633</v>
      </c>
      <c r="E45" s="977" t="str">
        <f>IFERROR(VLOOKUP(C45, [6]條件!$A:$L, 5, 0), "")</f>
        <v>75/24/2SDR2</v>
      </c>
      <c r="F45" s="978" t="str">
        <f>IFERROR(VLOOKUP(C45, [6]條件!$A:$L, 6, 0), "")</f>
        <v>FP81363R×2</v>
      </c>
      <c r="G45" s="1411">
        <f>IFERROR(VLOOKUP(C45, [6]條件!$A:$L, 7, 0), "")</f>
        <v>700</v>
      </c>
      <c r="H45" s="978" t="str">
        <f>IF(ISNA(VLOOKUP(C45,[6]條件!$A$1:$K$932,11,0)),"",(VLOOKUP(C45,[6]條件!$A$1:$K$932,11,0)))</f>
        <v>白綠條紋</v>
      </c>
      <c r="I45" s="979">
        <f>IF(ISNA(VLOOKUP(C45,[6]條件!$A$1:$L$932,12,0)),"",(VLOOKUP(C45,[6]條件!$A$1:$L$932,12,0)))</f>
        <v>5</v>
      </c>
      <c r="J45" s="980"/>
      <c r="K45" s="980"/>
      <c r="L45" s="981" t="s">
        <v>127</v>
      </c>
      <c r="M45" s="981"/>
      <c r="N45" s="982"/>
      <c r="O45" s="980"/>
      <c r="P45" s="981" t="s">
        <v>127</v>
      </c>
      <c r="Q45" s="981"/>
      <c r="R45" s="982"/>
      <c r="S45" s="980"/>
      <c r="T45" s="981" t="s">
        <v>127</v>
      </c>
      <c r="U45" s="981"/>
      <c r="V45" s="982"/>
      <c r="W45" s="980"/>
      <c r="X45" s="981" t="s">
        <v>127</v>
      </c>
      <c r="Y45" s="983"/>
      <c r="Z45" s="1412">
        <f>IFERROR(VLOOKUP(C45, [6]條件!$A:$L, 3, 0), "")</f>
        <v>3.2653061224489797</v>
      </c>
      <c r="AA45" s="984" t="str">
        <f>IF(OR(L45={"改紡","檢修","了機","清車","FINAL","停機","SAMPLE","TEST","絲開發"}), L45, IFERROR(IF(C45="", "", (SUM(J45, N45, R45, V45)/3 * AG45) * IF(AND(AF45="S", AS45="雙"), 0.5, 1)), ""))</f>
        <v>了機</v>
      </c>
      <c r="AB45" s="1413" t="str">
        <f t="shared" si="11"/>
        <v/>
      </c>
      <c r="AC45" s="984" t="str">
        <f>IF(OR(L45={"改紡","檢修","了機","清車","FINAL","停機","SAMPLE","TEST"}), "", IFERROR(IF(C45="", "", AVERAGE(L45:M45, P45:Q45, T45:U45, X45:Y45)/100), ""))</f>
        <v/>
      </c>
      <c r="AD45" s="984" t="str">
        <f t="shared" si="1"/>
        <v/>
      </c>
      <c r="AE45" s="984" t="str">
        <f t="shared" si="12"/>
        <v/>
      </c>
      <c r="AF45" s="985" t="str">
        <f t="shared" si="2"/>
        <v>A</v>
      </c>
      <c r="AG45" s="1414">
        <v>1</v>
      </c>
      <c r="AH45" s="1002" t="s">
        <v>631</v>
      </c>
      <c r="AI45" s="1002" t="s">
        <v>631</v>
      </c>
      <c r="AJ45" s="1166" t="s">
        <v>634</v>
      </c>
      <c r="AK45" s="1416" t="s">
        <v>634</v>
      </c>
      <c r="AL45" s="1415">
        <v>53</v>
      </c>
      <c r="AM45" s="1323">
        <v>46109</v>
      </c>
      <c r="AN45" s="1323">
        <v>46110</v>
      </c>
      <c r="AO45" s="1323">
        <v>46111</v>
      </c>
      <c r="AP45" s="1323">
        <v>46112</v>
      </c>
      <c r="AQ45" s="1323"/>
      <c r="AR45" s="987"/>
      <c r="AS45" s="978" t="str">
        <f t="shared" si="3"/>
        <v>雙</v>
      </c>
      <c r="AT45" s="978" t="str">
        <f t="shared" si="4"/>
        <v>半</v>
      </c>
      <c r="AU45" s="978">
        <f t="shared" si="5"/>
        <v>75</v>
      </c>
      <c r="AV45" s="978" t="str">
        <f t="shared" si="6"/>
        <v/>
      </c>
    </row>
    <row r="46" spans="1:48">
      <c r="A46" s="975">
        <f t="shared" si="13"/>
        <v>46144</v>
      </c>
      <c r="B46" s="976" t="s">
        <v>215</v>
      </c>
      <c r="C46" s="976" t="s">
        <v>16746</v>
      </c>
      <c r="D46" s="1410" t="s">
        <v>633</v>
      </c>
      <c r="E46" s="977" t="str">
        <f>IFERROR(VLOOKUP(C46, [6]條件!$A:$L, 5, 0), "")</f>
        <v>75/24/2SDr</v>
      </c>
      <c r="F46" s="978" t="str">
        <f>IFERROR(VLOOKUP(C46, [6]條件!$A:$L, 6, 0), "")</f>
        <v>FP81391R×2</v>
      </c>
      <c r="G46" s="1411">
        <f>IFERROR(VLOOKUP(C46, [6]條件!$A:$L, 7, 0), "")</f>
        <v>700</v>
      </c>
      <c r="H46" s="978" t="str">
        <f>IF(ISNA(VLOOKUP(C46,[6]條件!$A$1:$K$932,11,0)),"",(VLOOKUP(C46,[6]條件!$A$1:$K$932,11,0)))</f>
        <v>紅底白點</v>
      </c>
      <c r="I46" s="979">
        <f>IF(ISNA(VLOOKUP(C46,[6]條件!$A$1:$L$932,12,0)),"",(VLOOKUP(C46,[6]條件!$A$1:$L$932,12,0)))</f>
        <v>5</v>
      </c>
      <c r="J46" s="980">
        <v>18</v>
      </c>
      <c r="K46" s="980">
        <v>0</v>
      </c>
      <c r="L46" s="981"/>
      <c r="M46" s="981">
        <v>8434</v>
      </c>
      <c r="N46" s="982">
        <v>28</v>
      </c>
      <c r="O46" s="980">
        <v>0</v>
      </c>
      <c r="P46" s="981"/>
      <c r="Q46" s="981">
        <v>6663</v>
      </c>
      <c r="R46" s="982">
        <v>14</v>
      </c>
      <c r="S46" s="980">
        <v>0</v>
      </c>
      <c r="T46" s="981"/>
      <c r="U46" s="981">
        <v>7304</v>
      </c>
      <c r="V46" s="982">
        <v>8</v>
      </c>
      <c r="W46" s="980">
        <v>0</v>
      </c>
      <c r="X46" s="981"/>
      <c r="Y46" s="983">
        <v>7986</v>
      </c>
      <c r="Z46" s="1412">
        <f>IFERROR(VLOOKUP(C46, [6]條件!$A:$L, 3, 0), "")</f>
        <v>3.2653061224489797</v>
      </c>
      <c r="AA46" s="984">
        <f>IF(OR(L46={"改紡","檢修","了機","清車","FINAL","停機","SAMPLE","TEST","絲開發"}), L46, IFERROR(IF(C46="", "", (SUM(J46, N46, R46, V46)/3 * AG46) * IF(AND(AF46="S", AS46="雙"), 0.5, 1)), ""))</f>
        <v>22.666666666666668</v>
      </c>
      <c r="AB46" s="1413">
        <f t="shared" si="11"/>
        <v>1</v>
      </c>
      <c r="AC46" s="984">
        <f>IF(OR(L46={"改紡","檢修","了機","清車","FINAL","停機","SAMPLE","TEST"}), "", IFERROR(IF(C46="", "", AVERAGE(L46:M46, P46:Q46, T46:U46, X46:Y46)/100), ""))</f>
        <v>75.967500000000001</v>
      </c>
      <c r="AD46" s="984">
        <f t="shared" si="1"/>
        <v>2.8333333333333335</v>
      </c>
      <c r="AE46" s="984">
        <f t="shared" si="12"/>
        <v>2.8333333333333335</v>
      </c>
      <c r="AF46" s="985" t="str">
        <f t="shared" si="2"/>
        <v>A</v>
      </c>
      <c r="AG46" s="1414">
        <v>1</v>
      </c>
      <c r="AH46" s="1002" t="s">
        <v>631</v>
      </c>
      <c r="AI46" s="1002" t="s">
        <v>631</v>
      </c>
      <c r="AJ46" s="986" t="s">
        <v>634</v>
      </c>
      <c r="AK46" s="1417" t="s">
        <v>634</v>
      </c>
      <c r="AL46" s="1415">
        <v>53</v>
      </c>
      <c r="AM46" s="1323">
        <v>46115</v>
      </c>
      <c r="AN46" s="1323">
        <v>46117</v>
      </c>
      <c r="AO46" s="1323">
        <v>46118</v>
      </c>
      <c r="AP46" s="1323"/>
      <c r="AQ46" s="1323"/>
      <c r="AR46" s="987"/>
      <c r="AS46" s="978" t="str">
        <f t="shared" si="3"/>
        <v>雙</v>
      </c>
      <c r="AT46" s="978" t="str">
        <f t="shared" si="4"/>
        <v>半</v>
      </c>
      <c r="AU46" s="978">
        <f t="shared" si="5"/>
        <v>75</v>
      </c>
      <c r="AV46" s="978">
        <f t="shared" si="6"/>
        <v>0.68917715999999996</v>
      </c>
    </row>
    <row r="47" spans="1:48">
      <c r="A47" s="975">
        <f t="shared" si="13"/>
        <v>46144</v>
      </c>
      <c r="B47" s="976" t="s">
        <v>216</v>
      </c>
      <c r="C47" s="976" t="s">
        <v>632</v>
      </c>
      <c r="D47" s="1410"/>
      <c r="E47" s="977" t="str">
        <f>IFERROR(VLOOKUP(C47, [6]條件!$A:$L, 5, 0), "")</f>
        <v/>
      </c>
      <c r="F47" s="978" t="str">
        <f>IFERROR(VLOOKUP(C47, [6]條件!$A:$L, 6, 0), "")</f>
        <v/>
      </c>
      <c r="G47" s="1411" t="str">
        <f>IFERROR(VLOOKUP(C47, [6]條件!$A:$L, 7, 0), "")</f>
        <v/>
      </c>
      <c r="H47" s="978" t="str">
        <f>IF(ISNA(VLOOKUP(C47,[6]條件!$A$1:$K$932,11,0)),"",(VLOOKUP(C47,[6]條件!$A$1:$K$932,11,0)))</f>
        <v/>
      </c>
      <c r="I47" s="979" t="str">
        <f>IF(ISNA(VLOOKUP(C47,[6]條件!$A$1:$L$932,12,0)),"",(VLOOKUP(C47,[6]條件!$A$1:$L$932,12,0)))</f>
        <v/>
      </c>
      <c r="J47" s="980"/>
      <c r="K47" s="980"/>
      <c r="L47" s="981" t="s">
        <v>632</v>
      </c>
      <c r="M47" s="981"/>
      <c r="N47" s="982"/>
      <c r="O47" s="980"/>
      <c r="P47" s="981" t="s">
        <v>632</v>
      </c>
      <c r="Q47" s="981"/>
      <c r="R47" s="982"/>
      <c r="S47" s="980"/>
      <c r="T47" s="981" t="s">
        <v>632</v>
      </c>
      <c r="U47" s="981"/>
      <c r="V47" s="982"/>
      <c r="W47" s="980"/>
      <c r="X47" s="981" t="s">
        <v>632</v>
      </c>
      <c r="Y47" s="983"/>
      <c r="Z47" s="1412" t="str">
        <f>IFERROR(VLOOKUP(C47, [6]條件!$A:$L, 3, 0), "")</f>
        <v/>
      </c>
      <c r="AA47" s="984" t="str">
        <f>IF(OR(L47={"改紡","檢修","了機","清車","FINAL","停機","SAMPLE","TEST","絲開發"}), L47, IFERROR(IF(C47="", "", (SUM(J47, N47, R47, V47)/3 * AG47) * IF(AND(AF47="S", AS47="雙"), 0.5, 1)), ""))</f>
        <v>停機</v>
      </c>
      <c r="AB47" s="1413" t="str">
        <f t="shared" si="11"/>
        <v/>
      </c>
      <c r="AC47" s="984" t="str">
        <f>IF(OR(L47={"改紡","檢修","了機","清車","FINAL","停機","SAMPLE","TEST"}), "", IFERROR(IF(C47="", "", AVERAGE(L47:M47, P47:Q47, T47:U47, X47:Y47)/100), ""))</f>
        <v/>
      </c>
      <c r="AD47" s="984" t="str">
        <f t="shared" si="1"/>
        <v/>
      </c>
      <c r="AE47" s="984" t="str">
        <f t="shared" si="12"/>
        <v/>
      </c>
      <c r="AF47" s="985" t="str">
        <f t="shared" si="2"/>
        <v>A</v>
      </c>
      <c r="AG47" s="1414">
        <v>1</v>
      </c>
      <c r="AH47" s="1002" t="s">
        <v>631</v>
      </c>
      <c r="AI47" s="1002" t="s">
        <v>631</v>
      </c>
      <c r="AJ47" s="986" t="s">
        <v>634</v>
      </c>
      <c r="AK47" s="1417" t="s">
        <v>634</v>
      </c>
      <c r="AL47" s="1415"/>
      <c r="AM47" s="1323"/>
      <c r="AN47" s="1323"/>
      <c r="AO47" s="1323"/>
      <c r="AP47" s="1323"/>
      <c r="AQ47" s="1323"/>
      <c r="AR47" s="987"/>
      <c r="AS47" s="978" t="str">
        <f t="shared" si="3"/>
        <v>單</v>
      </c>
      <c r="AT47" s="978" t="str">
        <f t="shared" si="4"/>
        <v>全</v>
      </c>
      <c r="AU47" s="978" t="str">
        <f t="shared" si="5"/>
        <v/>
      </c>
      <c r="AV47" s="978" t="str">
        <f t="shared" si="6"/>
        <v/>
      </c>
    </row>
    <row r="48" spans="1:48">
      <c r="A48" s="975">
        <f t="shared" si="13"/>
        <v>46144</v>
      </c>
      <c r="B48" s="976" t="s">
        <v>217</v>
      </c>
      <c r="C48" s="976" t="s">
        <v>16197</v>
      </c>
      <c r="D48" s="1410"/>
      <c r="E48" s="977" t="str">
        <f>IFERROR(VLOOKUP(C48, [6]條件!$A:$L, 5, 0), "")</f>
        <v>75/36HC</v>
      </c>
      <c r="F48" s="978" t="str">
        <f>IFERROR(VLOOKUP(C48, [6]條件!$A:$L, 6, 0), "")</f>
        <v>FP81857R</v>
      </c>
      <c r="G48" s="1411">
        <f>IFERROR(VLOOKUP(C48, [6]條件!$A:$L, 7, 0), "")</f>
        <v>600</v>
      </c>
      <c r="H48" s="978" t="str">
        <f>IF(ISNA(VLOOKUP(C48,[6]條件!$A$1:$K$932,11,0)),"",(VLOOKUP(C48,[6]條件!$A$1:$K$932,11,0)))</f>
        <v>白底綠方塊</v>
      </c>
      <c r="I48" s="979">
        <f>IF(ISNA(VLOOKUP(C48,[6]條件!$A$1:$L$932,12,0)),"",(VLOOKUP(C48,[6]條件!$A$1:$L$932,12,0)))</f>
        <v>4</v>
      </c>
      <c r="J48" s="980">
        <v>17</v>
      </c>
      <c r="K48" s="980">
        <v>0</v>
      </c>
      <c r="L48" s="981">
        <v>8289</v>
      </c>
      <c r="M48" s="981">
        <v>8892</v>
      </c>
      <c r="N48" s="982">
        <v>5</v>
      </c>
      <c r="O48" s="980">
        <v>2</v>
      </c>
      <c r="P48" s="981">
        <v>8457</v>
      </c>
      <c r="Q48" s="981">
        <v>8918</v>
      </c>
      <c r="R48" s="982">
        <v>10</v>
      </c>
      <c r="S48" s="980">
        <v>0</v>
      </c>
      <c r="T48" s="981">
        <v>8450</v>
      </c>
      <c r="U48" s="981">
        <v>8865</v>
      </c>
      <c r="V48" s="982">
        <v>22</v>
      </c>
      <c r="W48" s="980">
        <v>0</v>
      </c>
      <c r="X48" s="981">
        <v>8359</v>
      </c>
      <c r="Y48" s="983">
        <v>8730</v>
      </c>
      <c r="Z48" s="1412">
        <f>IFERROR(VLOOKUP(C48, [6]條件!$A:$L, 3, 0), "")</f>
        <v>1.7496962332928312</v>
      </c>
      <c r="AA48" s="984">
        <f>IF(OR(L48={"改紡","檢修","了機","清車","FINAL","停機","SAMPLE","TEST","絲開發"}), L48, IFERROR(IF(C48="", "", (SUM(J48, N48, R48, V48)/3 * AG48) * IF(AND(AF48="S", AS48="雙"), 0.5, 1)), ""))</f>
        <v>18</v>
      </c>
      <c r="AB48" s="1413">
        <f t="shared" si="11"/>
        <v>0.99450454059829063</v>
      </c>
      <c r="AC48" s="984">
        <f>IF(OR(L48={"改紡","檢修","了機","清車","FINAL","停機","SAMPLE","TEST"}), "", IFERROR(IF(C48="", "", AVERAGE(L48:M48, P48:Q48, T48:U48, X48:Y48)/100), ""))</f>
        <v>86.2</v>
      </c>
      <c r="AD48" s="984">
        <f t="shared" si="1"/>
        <v>2.25</v>
      </c>
      <c r="AE48" s="984">
        <f t="shared" si="12"/>
        <v>2.1666666666666665</v>
      </c>
      <c r="AF48" s="985" t="str">
        <f t="shared" si="2"/>
        <v>A</v>
      </c>
      <c r="AG48" s="1414">
        <v>1</v>
      </c>
      <c r="AH48" s="1002" t="s">
        <v>631</v>
      </c>
      <c r="AI48" s="1002" t="s">
        <v>631</v>
      </c>
      <c r="AJ48" s="1002" t="s">
        <v>634</v>
      </c>
      <c r="AK48" s="981" t="s">
        <v>634</v>
      </c>
      <c r="AL48" s="1415">
        <v>54</v>
      </c>
      <c r="AM48" s="1323">
        <v>45950</v>
      </c>
      <c r="AN48" s="1323">
        <v>45952</v>
      </c>
      <c r="AO48" s="1323">
        <v>45954</v>
      </c>
      <c r="AP48" s="1323">
        <v>45955</v>
      </c>
      <c r="AQ48" s="1323"/>
      <c r="AR48" s="987"/>
      <c r="AS48" s="978" t="str">
        <f t="shared" si="3"/>
        <v>單</v>
      </c>
      <c r="AT48" s="978" t="str">
        <f t="shared" si="4"/>
        <v>全</v>
      </c>
      <c r="AU48" s="978">
        <f t="shared" si="5"/>
        <v>75</v>
      </c>
      <c r="AV48" s="978">
        <f t="shared" si="6"/>
        <v>1.3405824</v>
      </c>
    </row>
    <row r="49" spans="1:48">
      <c r="A49" s="975">
        <f t="shared" si="13"/>
        <v>46144</v>
      </c>
      <c r="B49" s="976" t="s">
        <v>218</v>
      </c>
      <c r="C49" s="976" t="s">
        <v>16744</v>
      </c>
      <c r="D49" s="1410" t="s">
        <v>633</v>
      </c>
      <c r="E49" s="977" t="str">
        <f>IFERROR(VLOOKUP(C49, [6]條件!$A:$L, 5, 0), "")</f>
        <v>75/24/2SDr</v>
      </c>
      <c r="F49" s="978" t="str">
        <f>IFERROR(VLOOKUP(C49, [6]條件!$A:$L, 6, 0), "")</f>
        <v>FP81382R×2</v>
      </c>
      <c r="G49" s="1411">
        <f>IFERROR(VLOOKUP(C49, [6]條件!$A:$L, 7, 0), "")</f>
        <v>700</v>
      </c>
      <c r="H49" s="978" t="str">
        <f>IF(ISNA(VLOOKUP(C49,[6]條件!$A$1:$K$932,11,0)),"",(VLOOKUP(C49,[6]條件!$A$1:$K$932,11,0)))</f>
        <v>藍色</v>
      </c>
      <c r="I49" s="979">
        <f>IF(ISNA(VLOOKUP(C49,[6]條件!$A$1:$L$932,12,0)),"",(VLOOKUP(C49,[6]條件!$A$1:$L$932,12,0)))</f>
        <v>5</v>
      </c>
      <c r="J49" s="980">
        <v>4</v>
      </c>
      <c r="K49" s="980">
        <v>2</v>
      </c>
      <c r="L49" s="981">
        <v>9436</v>
      </c>
      <c r="M49" s="981"/>
      <c r="N49" s="982">
        <v>2</v>
      </c>
      <c r="O49" s="980">
        <v>0</v>
      </c>
      <c r="P49" s="981">
        <v>9418</v>
      </c>
      <c r="Q49" s="981"/>
      <c r="R49" s="982">
        <v>2</v>
      </c>
      <c r="S49" s="980">
        <v>0</v>
      </c>
      <c r="T49" s="981">
        <v>9430</v>
      </c>
      <c r="U49" s="981"/>
      <c r="V49" s="982">
        <v>6</v>
      </c>
      <c r="W49" s="980">
        <v>4</v>
      </c>
      <c r="X49" s="981">
        <v>9315</v>
      </c>
      <c r="Y49" s="983"/>
      <c r="Z49" s="1412">
        <f>IFERROR(VLOOKUP(C49, [6]條件!$A:$L, 3, 0), "")</f>
        <v>3.2505643340857788</v>
      </c>
      <c r="AA49" s="984">
        <f>IF(OR(L49={"改紡","檢修","了機","清車","FINAL","停機","SAMPLE","TEST","絲開發"}), L49, IFERROR(IF(C49="", "", (SUM(J49, N49, R49, V49)/3 * AG49) * IF(AND(AF49="S", AS49="雙"), 0.5, 1)), ""))</f>
        <v>4.666666666666667</v>
      </c>
      <c r="AB49" s="1413">
        <f t="shared" si="11"/>
        <v>0.9911258012820513</v>
      </c>
      <c r="AC49" s="984">
        <f>IF(OR(L49={"改紡","檢修","了機","清車","FINAL","停機","SAMPLE","TEST"}), "", IFERROR(IF(C49="", "", AVERAGE(L49:M49, P49:Q49, T49:U49, X49:Y49)/100), ""))</f>
        <v>93.997500000000002</v>
      </c>
      <c r="AD49" s="984">
        <f t="shared" si="1"/>
        <v>0.58333333333333337</v>
      </c>
      <c r="AE49" s="984">
        <f t="shared" si="12"/>
        <v>0.33333333333333331</v>
      </c>
      <c r="AF49" s="985" t="str">
        <f t="shared" si="2"/>
        <v>A</v>
      </c>
      <c r="AG49" s="1414">
        <v>1</v>
      </c>
      <c r="AH49" s="1002" t="s">
        <v>631</v>
      </c>
      <c r="AI49" s="1002" t="s">
        <v>631</v>
      </c>
      <c r="AJ49" s="1418" t="s">
        <v>634</v>
      </c>
      <c r="AK49" s="981" t="s">
        <v>634</v>
      </c>
      <c r="AL49" s="1415">
        <v>50</v>
      </c>
      <c r="AM49" s="1323">
        <v>46104</v>
      </c>
      <c r="AN49" s="1323">
        <v>46106</v>
      </c>
      <c r="AO49" s="1323">
        <v>46107</v>
      </c>
      <c r="AP49" s="1323"/>
      <c r="AQ49" s="1323"/>
      <c r="AR49" s="987"/>
      <c r="AS49" s="978" t="str">
        <f t="shared" si="3"/>
        <v>雙</v>
      </c>
      <c r="AT49" s="978" t="str">
        <f t="shared" si="4"/>
        <v>半</v>
      </c>
      <c r="AU49" s="978">
        <f t="shared" si="5"/>
        <v>75</v>
      </c>
      <c r="AV49" s="978">
        <f t="shared" si="6"/>
        <v>0.85274532000000014</v>
      </c>
    </row>
    <row r="50" spans="1:48">
      <c r="A50" s="975">
        <f t="shared" si="13"/>
        <v>46144</v>
      </c>
      <c r="B50" s="976" t="s">
        <v>218</v>
      </c>
      <c r="C50" s="976" t="s">
        <v>16191</v>
      </c>
      <c r="D50" s="1410" t="s">
        <v>633</v>
      </c>
      <c r="E50" s="977" t="str">
        <f>IFERROR(VLOOKUP(C50, [6]條件!$A:$L, 5, 0), "")</f>
        <v>75/24/2SDR2</v>
      </c>
      <c r="F50" s="978" t="str">
        <f>IFERROR(VLOOKUP(C50, [6]條件!$A:$L, 6, 0), "")</f>
        <v>FP81363R×2</v>
      </c>
      <c r="G50" s="1411">
        <f>IFERROR(VLOOKUP(C50, [6]條件!$A:$L, 7, 0), "")</f>
        <v>700</v>
      </c>
      <c r="H50" s="978" t="str">
        <f>IF(ISNA(VLOOKUP(C50,[6]條件!$A$1:$K$932,11,0)),"",(VLOOKUP(C50,[6]條件!$A$1:$K$932,11,0)))</f>
        <v>橘黑三角</v>
      </c>
      <c r="I50" s="979">
        <f>IF(ISNA(VLOOKUP(C50,[6]條件!$A$1:$L$932,12,0)),"",(VLOOKUP(C50,[6]條件!$A$1:$L$932,12,0)))</f>
        <v>5</v>
      </c>
      <c r="J50" s="980"/>
      <c r="K50" s="980"/>
      <c r="L50" s="981" t="s">
        <v>127</v>
      </c>
      <c r="M50" s="981"/>
      <c r="N50" s="982"/>
      <c r="O50" s="980"/>
      <c r="P50" s="981"/>
      <c r="Q50" s="981" t="s">
        <v>127</v>
      </c>
      <c r="R50" s="982"/>
      <c r="S50" s="980"/>
      <c r="T50" s="981"/>
      <c r="U50" s="981" t="s">
        <v>127</v>
      </c>
      <c r="V50" s="982"/>
      <c r="W50" s="980"/>
      <c r="X50" s="981"/>
      <c r="Y50" s="983" t="s">
        <v>127</v>
      </c>
      <c r="Z50" s="1412">
        <f>IFERROR(VLOOKUP(C50, [6]條件!$A:$L, 3, 0), "")</f>
        <v>3.2505643340857788</v>
      </c>
      <c r="AA50" s="984" t="str">
        <f>IF(OR(L50={"改紡","檢修","了機","清車","FINAL","停機","SAMPLE","TEST","絲開發"}), L50, IFERROR(IF(C50="", "", (SUM(J50, N50, R50, V50)/3 * AG50) * IF(AND(AF50="S", AS50="雙"), 0.5, 1)), ""))</f>
        <v>了機</v>
      </c>
      <c r="AB50" s="1413" t="str">
        <f t="shared" si="11"/>
        <v/>
      </c>
      <c r="AC50" s="984" t="str">
        <f>IF(OR(L50={"改紡","檢修","了機","清車","FINAL","停機","SAMPLE","TEST"}), "", IFERROR(IF(C50="", "", AVERAGE(L50:M50, P50:Q50, T50:U50, X50:Y50)/100), ""))</f>
        <v/>
      </c>
      <c r="AD50" s="984" t="str">
        <f t="shared" si="1"/>
        <v/>
      </c>
      <c r="AE50" s="984" t="str">
        <f t="shared" si="12"/>
        <v/>
      </c>
      <c r="AF50" s="985" t="str">
        <f t="shared" si="2"/>
        <v>A</v>
      </c>
      <c r="AG50" s="1414">
        <v>1</v>
      </c>
      <c r="AH50" s="1002" t="s">
        <v>631</v>
      </c>
      <c r="AI50" s="1002" t="s">
        <v>631</v>
      </c>
      <c r="AJ50" s="1166" t="s">
        <v>634</v>
      </c>
      <c r="AK50" s="1408" t="s">
        <v>634</v>
      </c>
      <c r="AL50" s="1415">
        <v>50</v>
      </c>
      <c r="AM50" s="1323">
        <v>46108</v>
      </c>
      <c r="AN50" s="1323">
        <v>46109</v>
      </c>
      <c r="AO50" s="1323">
        <v>46110</v>
      </c>
      <c r="AP50" s="1323">
        <v>46111</v>
      </c>
      <c r="AQ50" s="1323"/>
      <c r="AR50" s="987"/>
      <c r="AS50" s="978" t="str">
        <f t="shared" si="3"/>
        <v>雙</v>
      </c>
      <c r="AT50" s="978" t="str">
        <f t="shared" si="4"/>
        <v>半</v>
      </c>
      <c r="AU50" s="978">
        <f t="shared" si="5"/>
        <v>75</v>
      </c>
      <c r="AV50" s="978" t="str">
        <f t="shared" si="6"/>
        <v/>
      </c>
    </row>
    <row r="51" spans="1:48">
      <c r="A51" s="975">
        <f t="shared" si="13"/>
        <v>46144</v>
      </c>
      <c r="B51" s="976" t="s">
        <v>219</v>
      </c>
      <c r="C51" s="976" t="s">
        <v>16745</v>
      </c>
      <c r="D51" s="1410" t="s">
        <v>16748</v>
      </c>
      <c r="E51" s="977" t="str">
        <f>IFERROR(VLOOKUP(C51, [6]條件!$A:$L, 5, 0), "")</f>
        <v>50/72BSD3</v>
      </c>
      <c r="F51" s="978" t="str">
        <f>IFERROR(VLOOKUP(C51, [6]條件!$A:$L, 6, 0), "")</f>
        <v>FP80141</v>
      </c>
      <c r="G51" s="1411">
        <f>IFERROR(VLOOKUP(C51, [6]條件!$A:$L, 7, 0), "")</f>
        <v>630</v>
      </c>
      <c r="H51" s="978" t="str">
        <f>IF(ISNA(VLOOKUP(C51,[6]條件!$A$1:$K$932,11,0)),"",(VLOOKUP(C51,[6]條件!$A$1:$K$932,11,0)))</f>
        <v>洋綠色</v>
      </c>
      <c r="I51" s="979">
        <f>IF(ISNA(VLOOKUP(C51,[6]條件!$A$1:$L$932,12,0)),"",(VLOOKUP(C51,[6]條件!$A$1:$L$932,12,0)))</f>
        <v>2</v>
      </c>
      <c r="J51" s="980">
        <v>17</v>
      </c>
      <c r="K51" s="980">
        <v>0</v>
      </c>
      <c r="L51" s="981">
        <v>9678</v>
      </c>
      <c r="M51" s="981">
        <v>9803</v>
      </c>
      <c r="N51" s="982">
        <v>4</v>
      </c>
      <c r="O51" s="980">
        <v>0</v>
      </c>
      <c r="P51" s="981">
        <v>9853</v>
      </c>
      <c r="Q51" s="981">
        <v>9895</v>
      </c>
      <c r="R51" s="982">
        <v>7</v>
      </c>
      <c r="S51" s="980">
        <v>2</v>
      </c>
      <c r="T51" s="981">
        <v>9838</v>
      </c>
      <c r="U51" s="981">
        <v>9859</v>
      </c>
      <c r="V51" s="982">
        <v>16</v>
      </c>
      <c r="W51" s="980">
        <v>3</v>
      </c>
      <c r="X51" s="981">
        <v>9870</v>
      </c>
      <c r="Y51" s="983">
        <v>9780</v>
      </c>
      <c r="Z51" s="1412">
        <f>IFERROR(VLOOKUP(C51, [6]條件!$A:$L, 3, 0), "")</f>
        <v>2.4615384615384617</v>
      </c>
      <c r="AA51" s="984">
        <f>IF(OR(L51={"改紡","檢修","了機","清車","FINAL","停機","SAMPLE","TEST","絲開發"}), L51, IFERROR(IF(C51="", "", (SUM(J51, N51, R51, V51)/3 * AG51) * IF(AND(AF51="S", AS51="雙"), 0.5, 1)), ""))</f>
        <v>14.666666666666666</v>
      </c>
      <c r="AB51" s="1413">
        <f t="shared" si="11"/>
        <v>0.990234375</v>
      </c>
      <c r="AC51" s="984">
        <f>IF(OR(L51={"改紡","檢修","了機","清車","FINAL","停機","SAMPLE","TEST"}), "", IFERROR(IF(C51="", "", AVERAGE(L51:M51, P51:Q51, T51:U51, X51:Y51)/100), ""))</f>
        <v>98.22</v>
      </c>
      <c r="AD51" s="984">
        <f t="shared" si="1"/>
        <v>1.8333333333333333</v>
      </c>
      <c r="AE51" s="984">
        <f t="shared" si="12"/>
        <v>1.625</v>
      </c>
      <c r="AF51" s="985" t="str">
        <f t="shared" si="2"/>
        <v>A</v>
      </c>
      <c r="AG51" s="1414">
        <v>1</v>
      </c>
      <c r="AH51" s="1002" t="s">
        <v>641</v>
      </c>
      <c r="AI51" s="1002" t="s">
        <v>641</v>
      </c>
      <c r="AJ51" s="1166" t="s">
        <v>630</v>
      </c>
      <c r="AK51" s="1408" t="s">
        <v>630</v>
      </c>
      <c r="AL51" s="1415">
        <v>57</v>
      </c>
      <c r="AM51" s="1324">
        <v>46086</v>
      </c>
      <c r="AN51" s="1323">
        <v>46087</v>
      </c>
      <c r="AO51" s="1323"/>
      <c r="AP51" s="1323"/>
      <c r="AQ51" s="1323"/>
      <c r="AR51" s="987"/>
      <c r="AS51" s="978" t="str">
        <f t="shared" si="3"/>
        <v>單</v>
      </c>
      <c r="AT51" s="978" t="str">
        <f t="shared" si="4"/>
        <v>全</v>
      </c>
      <c r="AU51" s="978">
        <f t="shared" si="5"/>
        <v>50</v>
      </c>
      <c r="AV51" s="978">
        <f t="shared" si="6"/>
        <v>1.0692622079999998</v>
      </c>
    </row>
    <row r="52" spans="1:48">
      <c r="A52" s="975">
        <f t="shared" si="13"/>
        <v>46144</v>
      </c>
      <c r="B52" s="976" t="s">
        <v>220</v>
      </c>
      <c r="C52" s="976" t="s">
        <v>632</v>
      </c>
      <c r="D52" s="1410"/>
      <c r="E52" s="977" t="str">
        <f>IFERROR(VLOOKUP(C52, [6]條件!$A:$L, 5, 0), "")</f>
        <v/>
      </c>
      <c r="F52" s="978" t="str">
        <f>IFERROR(VLOOKUP(C52, [6]條件!$A:$L, 6, 0), "")</f>
        <v/>
      </c>
      <c r="G52" s="1411" t="str">
        <f>IFERROR(VLOOKUP(C52, [6]條件!$A:$L, 7, 0), "")</f>
        <v/>
      </c>
      <c r="H52" s="978" t="str">
        <f>IF(ISNA(VLOOKUP(C52,[6]條件!$A$1:$K$932,11,0)),"",(VLOOKUP(C52,[6]條件!$A$1:$K$932,11,0)))</f>
        <v/>
      </c>
      <c r="I52" s="979" t="str">
        <f>IF(ISNA(VLOOKUP(C52,[6]條件!$A$1:$L$932,12,0)),"",(VLOOKUP(C52,[6]條件!$A$1:$L$932,12,0)))</f>
        <v/>
      </c>
      <c r="J52" s="980"/>
      <c r="K52" s="980"/>
      <c r="L52" s="981" t="s">
        <v>632</v>
      </c>
      <c r="M52" s="981"/>
      <c r="N52" s="982"/>
      <c r="O52" s="980"/>
      <c r="P52" s="981" t="s">
        <v>632</v>
      </c>
      <c r="Q52" s="981"/>
      <c r="R52" s="982"/>
      <c r="S52" s="980"/>
      <c r="T52" s="981" t="s">
        <v>632</v>
      </c>
      <c r="U52" s="981"/>
      <c r="V52" s="982"/>
      <c r="W52" s="980"/>
      <c r="X52" s="981" t="s">
        <v>632</v>
      </c>
      <c r="Y52" s="983"/>
      <c r="Z52" s="1412" t="str">
        <f>IFERROR(VLOOKUP(C52, [6]條件!$A:$L, 3, 0), "")</f>
        <v/>
      </c>
      <c r="AA52" s="984" t="str">
        <f>IF(OR(L52={"改紡","檢修","了機","清車","FINAL","停機","SAMPLE","TEST","絲開發"}), L52, IFERROR(IF(C52="", "", (SUM(J52, N52, R52, V52)/3 * AG52) * IF(AND(AF52="S", AS52="雙"), 0.5, 1)), ""))</f>
        <v>停機</v>
      </c>
      <c r="AB52" s="1413" t="str">
        <f t="shared" si="11"/>
        <v/>
      </c>
      <c r="AC52" s="984" t="str">
        <f>IF(OR(L52={"改紡","檢修","了機","清車","FINAL","停機","SAMPLE","TEST"}), "", IFERROR(IF(C52="", "", AVERAGE(L52:M52, P52:Q52, T52:U52, X52:Y52)/100), ""))</f>
        <v/>
      </c>
      <c r="AD52" s="984" t="str">
        <f t="shared" si="1"/>
        <v/>
      </c>
      <c r="AE52" s="984" t="str">
        <f t="shared" si="12"/>
        <v/>
      </c>
      <c r="AF52" s="985" t="str">
        <f t="shared" si="2"/>
        <v>A</v>
      </c>
      <c r="AG52" s="1414">
        <v>1</v>
      </c>
      <c r="AH52" s="1002" t="s">
        <v>641</v>
      </c>
      <c r="AI52" s="1002" t="s">
        <v>641</v>
      </c>
      <c r="AJ52" s="1002" t="s">
        <v>630</v>
      </c>
      <c r="AK52" s="981" t="s">
        <v>630</v>
      </c>
      <c r="AL52" s="1415"/>
      <c r="AM52" s="1323"/>
      <c r="AN52" s="1323"/>
      <c r="AO52" s="1323"/>
      <c r="AP52" s="1323"/>
      <c r="AQ52" s="1323"/>
      <c r="AR52" s="987"/>
      <c r="AS52" s="978" t="str">
        <f t="shared" si="3"/>
        <v>單</v>
      </c>
      <c r="AT52" s="978" t="str">
        <f t="shared" si="4"/>
        <v>全</v>
      </c>
      <c r="AU52" s="978" t="str">
        <f t="shared" si="5"/>
        <v/>
      </c>
      <c r="AV52" s="978" t="str">
        <f t="shared" si="6"/>
        <v/>
      </c>
    </row>
    <row r="53" spans="1:48">
      <c r="A53" s="975">
        <f t="shared" si="13"/>
        <v>46144</v>
      </c>
      <c r="B53" s="976" t="s">
        <v>221</v>
      </c>
      <c r="C53" s="976" t="s">
        <v>16725</v>
      </c>
      <c r="D53" s="1410"/>
      <c r="E53" s="977" t="str">
        <f>IFERROR(VLOOKUP(C53, [6]條件!$A:$L, 5, 0), "")</f>
        <v>150/48HC</v>
      </c>
      <c r="F53" s="978" t="str">
        <f>IFERROR(VLOOKUP(C53, [6]條件!$A:$L, 6, 0), "")</f>
        <v>FP82781</v>
      </c>
      <c r="G53" s="1411">
        <f>IFERROR(VLOOKUP(C53, [6]條件!$A:$L, 7, 0), "")</f>
        <v>600</v>
      </c>
      <c r="H53" s="978" t="str">
        <f>IF(ISNA(VLOOKUP(C53,[6]條件!$A$1:$K$932,11,0)),"",(VLOOKUP(C53,[6]條件!$A$1:$K$932,11,0)))</f>
        <v>黃底白點</v>
      </c>
      <c r="I53" s="979">
        <f>IF(ISNA(VLOOKUP(C53,[6]條件!$A$1:$L$932,12,0)),"",(VLOOKUP(C53,[6]條件!$A$1:$L$932,12,0)))</f>
        <v>5</v>
      </c>
      <c r="J53" s="980">
        <v>15</v>
      </c>
      <c r="K53" s="980">
        <v>0</v>
      </c>
      <c r="L53" s="981">
        <v>8594</v>
      </c>
      <c r="M53" s="981">
        <v>8037</v>
      </c>
      <c r="N53" s="982">
        <v>12</v>
      </c>
      <c r="O53" s="980">
        <v>0</v>
      </c>
      <c r="P53" s="981">
        <v>8649</v>
      </c>
      <c r="Q53" s="981">
        <v>8223</v>
      </c>
      <c r="R53" s="982">
        <v>12</v>
      </c>
      <c r="S53" s="980">
        <v>0</v>
      </c>
      <c r="T53" s="981">
        <v>8691</v>
      </c>
      <c r="U53" s="981">
        <v>8323</v>
      </c>
      <c r="V53" s="982">
        <v>33</v>
      </c>
      <c r="W53" s="980">
        <v>0</v>
      </c>
      <c r="X53" s="981">
        <v>8648</v>
      </c>
      <c r="Y53" s="983">
        <v>8394</v>
      </c>
      <c r="Z53" s="1412">
        <f>IFERROR(VLOOKUP(C53, [6]條件!$A:$L, 3, 0), "")</f>
        <v>2.8685258964143427</v>
      </c>
      <c r="AA53" s="984">
        <f>IF(OR(L53={"改紡","檢修","了機","清車","FINAL","停機","SAMPLE","TEST","絲開發"}), L53, IFERROR(IF(C53="", "", (SUM(J53, N53, R53, V53)/3 * AG53) * IF(AND(AF53="S", AS53="雙"), 0.5, 1)), ""))</f>
        <v>24</v>
      </c>
      <c r="AB53" s="1413">
        <f t="shared" si="11"/>
        <v>1</v>
      </c>
      <c r="AC53" s="984">
        <f>IF(OR(L53={"改紡","檢修","了機","清車","FINAL","停機","SAMPLE","TEST"}), "", IFERROR(IF(C53="", "", AVERAGE(L53:M53, P53:Q53, T53:U53, X53:Y53)/100), ""))</f>
        <v>84.448750000000004</v>
      </c>
      <c r="AD53" s="984">
        <f t="shared" si="1"/>
        <v>3</v>
      </c>
      <c r="AE53" s="984">
        <f t="shared" si="12"/>
        <v>3</v>
      </c>
      <c r="AF53" s="985" t="str">
        <f t="shared" si="2"/>
        <v>A</v>
      </c>
      <c r="AG53" s="1414">
        <v>1</v>
      </c>
      <c r="AH53" s="1002" t="s">
        <v>641</v>
      </c>
      <c r="AI53" s="1002" t="s">
        <v>641</v>
      </c>
      <c r="AJ53" s="1418" t="s">
        <v>630</v>
      </c>
      <c r="AK53" s="981" t="s">
        <v>630</v>
      </c>
      <c r="AL53" s="1415">
        <v>54</v>
      </c>
      <c r="AM53" s="1323">
        <v>46139</v>
      </c>
      <c r="AN53" s="1323">
        <v>46140</v>
      </c>
      <c r="AO53" s="1323">
        <v>46141</v>
      </c>
      <c r="AP53" s="1323"/>
      <c r="AQ53" s="1323"/>
      <c r="AR53" s="987"/>
      <c r="AS53" s="978" t="str">
        <f t="shared" si="3"/>
        <v>單</v>
      </c>
      <c r="AT53" s="978" t="str">
        <f t="shared" si="4"/>
        <v>全</v>
      </c>
      <c r="AU53" s="978">
        <f t="shared" si="5"/>
        <v>150</v>
      </c>
      <c r="AV53" s="978">
        <f t="shared" si="6"/>
        <v>2.6266939199999997</v>
      </c>
    </row>
    <row r="54" spans="1:48">
      <c r="A54" s="975">
        <f t="shared" si="13"/>
        <v>46144</v>
      </c>
      <c r="B54" s="976" t="s">
        <v>222</v>
      </c>
      <c r="C54" s="976" t="s">
        <v>632</v>
      </c>
      <c r="D54" s="1410"/>
      <c r="E54" s="977" t="str">
        <f>IFERROR(VLOOKUP(C54, [6]條件!$A:$L, 5, 0), "")</f>
        <v/>
      </c>
      <c r="F54" s="978" t="str">
        <f>IFERROR(VLOOKUP(C54, [6]條件!$A:$L, 6, 0), "")</f>
        <v/>
      </c>
      <c r="G54" s="1411" t="str">
        <f>IFERROR(VLOOKUP(C54, [6]條件!$A:$L, 7, 0), "")</f>
        <v/>
      </c>
      <c r="H54" s="978" t="str">
        <f>IF(ISNA(VLOOKUP(C54,[6]條件!$A$1:$K$932,11,0)),"",(VLOOKUP(C54,[6]條件!$A$1:$K$932,11,0)))</f>
        <v/>
      </c>
      <c r="I54" s="979" t="str">
        <f>IF(ISNA(VLOOKUP(C54,[6]條件!$A$1:$L$932,12,0)),"",(VLOOKUP(C54,[6]條件!$A$1:$L$932,12,0)))</f>
        <v/>
      </c>
      <c r="J54" s="980"/>
      <c r="K54" s="980"/>
      <c r="L54" s="981" t="s">
        <v>632</v>
      </c>
      <c r="M54" s="981"/>
      <c r="N54" s="982"/>
      <c r="O54" s="980"/>
      <c r="P54" s="981" t="s">
        <v>632</v>
      </c>
      <c r="Q54" s="981"/>
      <c r="R54" s="982"/>
      <c r="S54" s="980"/>
      <c r="T54" s="981" t="s">
        <v>632</v>
      </c>
      <c r="U54" s="981"/>
      <c r="V54" s="982"/>
      <c r="W54" s="980"/>
      <c r="X54" s="981" t="s">
        <v>632</v>
      </c>
      <c r="Y54" s="983"/>
      <c r="Z54" s="1412" t="str">
        <f>IFERROR(VLOOKUP(C54, [6]條件!$A:$L, 3, 0), "")</f>
        <v/>
      </c>
      <c r="AA54" s="984" t="str">
        <f>IF(OR(L54={"改紡","檢修","了機","清車","FINAL","停機","SAMPLE","TEST","絲開發"}), L54, IFERROR(IF(C54="", "", (SUM(J54, N54, R54, V54)/3 * AG54) * IF(AND(AF54="S", AS54="雙"), 0.5, 1)), ""))</f>
        <v>停機</v>
      </c>
      <c r="AB54" s="1413" t="str">
        <f t="shared" si="11"/>
        <v/>
      </c>
      <c r="AC54" s="984" t="str">
        <f>IF(OR(L54={"改紡","檢修","了機","清車","FINAL","停機","SAMPLE","TEST"}), "", IFERROR(IF(C54="", "", AVERAGE(L54:M54, P54:Q54, T54:U54, X54:Y54)/100), ""))</f>
        <v/>
      </c>
      <c r="AD54" s="984" t="str">
        <f t="shared" si="1"/>
        <v/>
      </c>
      <c r="AE54" s="984" t="str">
        <f t="shared" si="12"/>
        <v/>
      </c>
      <c r="AF54" s="985" t="str">
        <f t="shared" si="2"/>
        <v>A</v>
      </c>
      <c r="AG54" s="1414">
        <v>1</v>
      </c>
      <c r="AH54" s="1002" t="s">
        <v>636</v>
      </c>
      <c r="AI54" s="1002" t="s">
        <v>636</v>
      </c>
      <c r="AJ54" s="1166" t="s">
        <v>829</v>
      </c>
      <c r="AK54" s="1408" t="s">
        <v>829</v>
      </c>
      <c r="AL54" s="1415"/>
      <c r="AM54" s="1323"/>
      <c r="AN54" s="1323"/>
      <c r="AO54" s="1323"/>
      <c r="AP54" s="1323"/>
      <c r="AQ54" s="1323"/>
      <c r="AR54" s="987"/>
      <c r="AS54" s="978" t="str">
        <f t="shared" si="3"/>
        <v>單</v>
      </c>
      <c r="AT54" s="978" t="str">
        <f t="shared" si="4"/>
        <v>全</v>
      </c>
      <c r="AU54" s="978" t="str">
        <f t="shared" si="5"/>
        <v/>
      </c>
      <c r="AV54" s="978" t="str">
        <f t="shared" si="6"/>
        <v/>
      </c>
    </row>
    <row r="55" spans="1:48">
      <c r="A55" s="975">
        <f t="shared" si="13"/>
        <v>46144</v>
      </c>
      <c r="B55" s="976" t="s">
        <v>223</v>
      </c>
      <c r="C55" s="976" t="s">
        <v>632</v>
      </c>
      <c r="D55" s="1410"/>
      <c r="E55" s="977" t="str">
        <f>IFERROR(VLOOKUP(C55, [6]條件!$A:$L, 5, 0), "")</f>
        <v/>
      </c>
      <c r="F55" s="978" t="str">
        <f>IFERROR(VLOOKUP(C55, [6]條件!$A:$L, 6, 0), "")</f>
        <v/>
      </c>
      <c r="G55" s="1411" t="str">
        <f>IFERROR(VLOOKUP(C55, [6]條件!$A:$L, 7, 0), "")</f>
        <v/>
      </c>
      <c r="H55" s="978" t="str">
        <f>IF(ISNA(VLOOKUP(C55,[6]條件!$A$1:$K$932,11,0)),"",(VLOOKUP(C55,[6]條件!$A$1:$K$932,11,0)))</f>
        <v/>
      </c>
      <c r="I55" s="979" t="str">
        <f>IF(ISNA(VLOOKUP(C55,[6]條件!$A$1:$L$932,12,0)),"",(VLOOKUP(C55,[6]條件!$A$1:$L$932,12,0)))</f>
        <v/>
      </c>
      <c r="J55" s="980"/>
      <c r="K55" s="980"/>
      <c r="L55" s="981" t="s">
        <v>632</v>
      </c>
      <c r="M55" s="981"/>
      <c r="N55" s="982"/>
      <c r="O55" s="980"/>
      <c r="P55" s="981" t="s">
        <v>632</v>
      </c>
      <c r="Q55" s="981"/>
      <c r="R55" s="982"/>
      <c r="S55" s="980"/>
      <c r="T55" s="981" t="s">
        <v>632</v>
      </c>
      <c r="U55" s="981"/>
      <c r="V55" s="982"/>
      <c r="W55" s="980"/>
      <c r="X55" s="981" t="s">
        <v>632</v>
      </c>
      <c r="Y55" s="983"/>
      <c r="Z55" s="1412" t="str">
        <f>IFERROR(VLOOKUP(C55, [6]條件!$A:$L, 3, 0), "")</f>
        <v/>
      </c>
      <c r="AA55" s="984" t="str">
        <f>IF(OR(L55={"改紡","檢修","了機","清車","FINAL","停機","SAMPLE","TEST","絲開發"}), L55, IFERROR(IF(C55="", "", (SUM(J55, N55, R55, V55)/3 * AG55) * IF(AND(AF55="S", AS55="雙"), 0.5, 1)), ""))</f>
        <v>停機</v>
      </c>
      <c r="AB55" s="1413" t="str">
        <f t="shared" si="11"/>
        <v/>
      </c>
      <c r="AC55" s="984" t="str">
        <f>IF(OR(L55={"改紡","檢修","了機","清車","FINAL","停機","SAMPLE","TEST"}), "", IFERROR(IF(C55="", "", AVERAGE(L55:M55, P55:Q55, T55:U55, X55:Y55)/100), ""))</f>
        <v/>
      </c>
      <c r="AD55" s="984" t="str">
        <f t="shared" si="1"/>
        <v/>
      </c>
      <c r="AE55" s="984" t="str">
        <f t="shared" si="12"/>
        <v/>
      </c>
      <c r="AF55" s="985" t="str">
        <f t="shared" si="2"/>
        <v>A</v>
      </c>
      <c r="AG55" s="1414">
        <v>1</v>
      </c>
      <c r="AH55" s="1002" t="s">
        <v>636</v>
      </c>
      <c r="AI55" s="1002" t="s">
        <v>636</v>
      </c>
      <c r="AJ55" s="1166" t="s">
        <v>829</v>
      </c>
      <c r="AK55" s="1408" t="s">
        <v>829</v>
      </c>
      <c r="AL55" s="1415"/>
      <c r="AM55" s="1324"/>
      <c r="AN55" s="1323"/>
      <c r="AO55" s="1323"/>
      <c r="AP55" s="1323"/>
      <c r="AQ55" s="1323"/>
      <c r="AR55" s="987"/>
      <c r="AS55" s="978" t="str">
        <f t="shared" si="3"/>
        <v>單</v>
      </c>
      <c r="AT55" s="978" t="str">
        <f t="shared" si="4"/>
        <v>全</v>
      </c>
      <c r="AU55" s="978" t="str">
        <f t="shared" si="5"/>
        <v/>
      </c>
      <c r="AV55" s="978" t="str">
        <f t="shared" si="6"/>
        <v/>
      </c>
    </row>
    <row r="56" spans="1:48">
      <c r="A56" s="975">
        <f t="shared" si="13"/>
        <v>46144</v>
      </c>
      <c r="B56" s="976" t="s">
        <v>224</v>
      </c>
      <c r="C56" s="976" t="s">
        <v>16734</v>
      </c>
      <c r="D56" s="1410" t="s">
        <v>633</v>
      </c>
      <c r="E56" s="977" t="str">
        <f>IFERROR(VLOOKUP(C56, [6]條件!$A:$L, 5, 0), "")</f>
        <v>75/24/2SDr</v>
      </c>
      <c r="F56" s="978" t="str">
        <f>IFERROR(VLOOKUP(C56, [6]條件!$A:$L, 6, 0), "")</f>
        <v>FP81382R×2</v>
      </c>
      <c r="G56" s="1411">
        <f>IFERROR(VLOOKUP(C56, [6]條件!$A:$L, 7, 0), "")</f>
        <v>700</v>
      </c>
      <c r="H56" s="978" t="str">
        <f>IF(ISNA(VLOOKUP(C56,[6]條件!$A$1:$K$932,11,0)),"",(VLOOKUP(C56,[6]條件!$A$1:$K$932,11,0)))</f>
        <v>白底紫三角</v>
      </c>
      <c r="I56" s="979">
        <f>IF(ISNA(VLOOKUP(C56,[6]條件!$A$1:$L$932,12,0)),"",(VLOOKUP(C56,[6]條件!$A$1:$L$932,12,0)))</f>
        <v>5</v>
      </c>
      <c r="J56" s="980">
        <v>36</v>
      </c>
      <c r="K56" s="980">
        <v>2</v>
      </c>
      <c r="L56" s="981">
        <v>9496</v>
      </c>
      <c r="M56" s="981">
        <v>8964</v>
      </c>
      <c r="N56" s="982">
        <v>321</v>
      </c>
      <c r="O56" s="980">
        <v>0</v>
      </c>
      <c r="P56" s="981">
        <v>8800</v>
      </c>
      <c r="Q56" s="981">
        <v>8548</v>
      </c>
      <c r="R56" s="982">
        <v>46</v>
      </c>
      <c r="S56" s="980">
        <v>0</v>
      </c>
      <c r="T56" s="981">
        <v>8685</v>
      </c>
      <c r="U56" s="981">
        <v>8583</v>
      </c>
      <c r="V56" s="982">
        <v>24</v>
      </c>
      <c r="W56" s="980">
        <v>2</v>
      </c>
      <c r="X56" s="981">
        <v>9068</v>
      </c>
      <c r="Y56" s="983">
        <v>8753</v>
      </c>
      <c r="Z56" s="1412">
        <f>IFERROR(VLOOKUP(C56, [6]條件!$A:$L, 3, 0), "")</f>
        <v>3.2653061224489797</v>
      </c>
      <c r="AA56" s="984">
        <f>IF(OR(L56={"改紡","檢修","了機","清車","FINAL","停機","SAMPLE","TEST","絲開發"}), L56, IFERROR(IF(C56="", "", (SUM(J56, N56, R56, V56)/3 * AG56) * IF(AND(AF56="S", AS56="雙"), 0.5, 1)), ""))</f>
        <v>71.166666666666671</v>
      </c>
      <c r="AB56" s="1413">
        <f t="shared" si="11"/>
        <v>0.99411057692307692</v>
      </c>
      <c r="AC56" s="984">
        <f>IF(OR(L56={"改紡","檢修","了機","清車","FINAL","停機","SAMPLE","TEST"}), "", IFERROR(IF(C56="", "", AVERAGE(L56:M56, P56:Q56, T56:U56, X56:Y56)/100), ""))</f>
        <v>88.621250000000003</v>
      </c>
      <c r="AD56" s="984">
        <f t="shared" si="1"/>
        <v>8.8958333333333339</v>
      </c>
      <c r="AE56" s="984">
        <f t="shared" si="12"/>
        <v>8.8125</v>
      </c>
      <c r="AF56" s="985" t="str">
        <f t="shared" si="2"/>
        <v>A</v>
      </c>
      <c r="AG56" s="1414">
        <v>0.5</v>
      </c>
      <c r="AH56" s="1002" t="s">
        <v>631</v>
      </c>
      <c r="AI56" s="1002" t="s">
        <v>631</v>
      </c>
      <c r="AJ56" s="1002" t="s">
        <v>634</v>
      </c>
      <c r="AK56" s="981" t="s">
        <v>634</v>
      </c>
      <c r="AL56" s="1415">
        <v>50</v>
      </c>
      <c r="AM56" s="1323">
        <v>46100</v>
      </c>
      <c r="AN56" s="1323">
        <v>46101</v>
      </c>
      <c r="AO56" s="1323">
        <v>46102</v>
      </c>
      <c r="AP56" s="1323">
        <v>46103</v>
      </c>
      <c r="AQ56" s="1323">
        <v>46105</v>
      </c>
      <c r="AR56" s="987"/>
      <c r="AS56" s="978" t="str">
        <f t="shared" si="3"/>
        <v>雙</v>
      </c>
      <c r="AT56" s="978" t="str">
        <f t="shared" si="4"/>
        <v>全</v>
      </c>
      <c r="AU56" s="978">
        <f t="shared" si="5"/>
        <v>75</v>
      </c>
      <c r="AV56" s="978">
        <f t="shared" si="6"/>
        <v>1.6079439600000001</v>
      </c>
    </row>
    <row r="57" spans="1:48">
      <c r="A57" s="975">
        <f t="shared" si="13"/>
        <v>46144</v>
      </c>
      <c r="B57" s="976" t="s">
        <v>225</v>
      </c>
      <c r="C57" s="976" t="s">
        <v>16747</v>
      </c>
      <c r="D57" s="1410"/>
      <c r="E57" s="977" t="str">
        <f>IFERROR(VLOOKUP(C57, [6]條件!$A:$L, 5, 0), "")</f>
        <v>150/48SDR</v>
      </c>
      <c r="F57" s="978" t="str">
        <f>IFERROR(VLOOKUP(C57, [6]條件!$A:$L, 6, 0), "")</f>
        <v>FP82169R</v>
      </c>
      <c r="G57" s="1411">
        <f>IFERROR(VLOOKUP(C57, [6]條件!$A:$L, 7, 0), "")</f>
        <v>650</v>
      </c>
      <c r="H57" s="978" t="str">
        <f>IF(ISNA(VLOOKUP(C57,[6]條件!$A$1:$K$932,11,0)),"",(VLOOKUP(C57,[6]條件!$A$1:$K$932,11,0)))</f>
        <v>綠藍三角</v>
      </c>
      <c r="I57" s="979">
        <f>IF(ISNA(VLOOKUP(C57,[6]條件!$A$1:$L$932,12,0)),"",(VLOOKUP(C57,[6]條件!$A$1:$L$932,12,0)))</f>
        <v>5</v>
      </c>
      <c r="J57" s="980">
        <v>15</v>
      </c>
      <c r="K57" s="980">
        <v>0</v>
      </c>
      <c r="L57" s="981">
        <v>9510</v>
      </c>
      <c r="M57" s="981">
        <v>8985</v>
      </c>
      <c r="N57" s="982">
        <v>12</v>
      </c>
      <c r="O57" s="980">
        <v>0</v>
      </c>
      <c r="P57" s="981">
        <v>9610</v>
      </c>
      <c r="Q57" s="981">
        <v>9105</v>
      </c>
      <c r="R57" s="982">
        <v>6</v>
      </c>
      <c r="S57" s="980">
        <v>1</v>
      </c>
      <c r="T57" s="981">
        <v>9637</v>
      </c>
      <c r="U57" s="981">
        <v>9106</v>
      </c>
      <c r="V57" s="982">
        <v>20</v>
      </c>
      <c r="W57" s="980">
        <v>1</v>
      </c>
      <c r="X57" s="981">
        <v>9660</v>
      </c>
      <c r="Y57" s="983">
        <v>9068</v>
      </c>
      <c r="Z57" s="1412">
        <f>IFERROR(VLOOKUP(C57, [6]條件!$A:$L, 3, 0), "")</f>
        <v>3.0573248407643314</v>
      </c>
      <c r="AA57" s="984">
        <f>IF(OR(L57={"改紡","檢修","了機","清車","FINAL","停機","SAMPLE","TEST","絲開發"}), L57, IFERROR(IF(C57="", "", (SUM(J57, N57, R57, V57)/3 * AG57) * IF(AND(AF57="S", AS57="雙"), 0.5, 1)), ""))</f>
        <v>17.666666666666668</v>
      </c>
      <c r="AB57" s="1413">
        <f t="shared" si="11"/>
        <v>0.99685496794871797</v>
      </c>
      <c r="AC57" s="984">
        <f>IF(OR(L57={"改紡","檢修","了機","清車","FINAL","停機","SAMPLE","TEST"}), "", IFERROR(IF(C57="", "", AVERAGE(L57:M57, P57:Q57, T57:U57, X57:Y57)/100), ""))</f>
        <v>93.351249999999993</v>
      </c>
      <c r="AD57" s="984">
        <f t="shared" si="1"/>
        <v>2.2083333333333335</v>
      </c>
      <c r="AE57" s="984">
        <f t="shared" si="12"/>
        <v>2.125</v>
      </c>
      <c r="AF57" s="985" t="str">
        <f t="shared" si="2"/>
        <v>A</v>
      </c>
      <c r="AG57" s="1414">
        <v>1</v>
      </c>
      <c r="AH57" s="1002" t="s">
        <v>641</v>
      </c>
      <c r="AI57" s="1002" t="s">
        <v>641</v>
      </c>
      <c r="AJ57" s="1002" t="s">
        <v>630</v>
      </c>
      <c r="AK57" s="981" t="s">
        <v>630</v>
      </c>
      <c r="AL57" s="1415">
        <v>48</v>
      </c>
      <c r="AM57" s="1323">
        <v>46142</v>
      </c>
      <c r="AN57" s="1323">
        <v>46143</v>
      </c>
      <c r="AO57" s="1323"/>
      <c r="AP57" s="1323"/>
      <c r="AQ57" s="1323"/>
      <c r="AR57" s="987"/>
      <c r="AS57" s="978" t="str">
        <f t="shared" si="3"/>
        <v>單</v>
      </c>
      <c r="AT57" s="978" t="str">
        <f t="shared" si="4"/>
        <v>全</v>
      </c>
      <c r="AU57" s="978">
        <f t="shared" si="5"/>
        <v>150</v>
      </c>
      <c r="AV57" s="978">
        <f t="shared" si="6"/>
        <v>3.1455637200000002</v>
      </c>
    </row>
    <row r="58" spans="1:48">
      <c r="A58" s="975">
        <f t="shared" si="13"/>
        <v>46144</v>
      </c>
      <c r="B58" s="976" t="s">
        <v>226</v>
      </c>
      <c r="C58" s="976" t="s">
        <v>632</v>
      </c>
      <c r="D58" s="1410"/>
      <c r="E58" s="977" t="str">
        <f>IFERROR(VLOOKUP(C58, [6]條件!$A:$L, 5, 0), "")</f>
        <v/>
      </c>
      <c r="F58" s="978" t="str">
        <f>IFERROR(VLOOKUP(C58, [6]條件!$A:$L, 6, 0), "")</f>
        <v/>
      </c>
      <c r="G58" s="1411" t="str">
        <f>IFERROR(VLOOKUP(C58, [6]條件!$A:$L, 7, 0), "")</f>
        <v/>
      </c>
      <c r="H58" s="978" t="str">
        <f>IF(ISNA(VLOOKUP(C58,[6]條件!$A$1:$K$932,11,0)),"",(VLOOKUP(C58,[6]條件!$A$1:$K$932,11,0)))</f>
        <v/>
      </c>
      <c r="I58" s="979" t="str">
        <f>IF(ISNA(VLOOKUP(C58,[6]條件!$A$1:$L$932,12,0)),"",(VLOOKUP(C58,[6]條件!$A$1:$L$932,12,0)))</f>
        <v/>
      </c>
      <c r="J58" s="980"/>
      <c r="K58" s="980"/>
      <c r="L58" s="981" t="s">
        <v>632</v>
      </c>
      <c r="M58" s="981"/>
      <c r="N58" s="982"/>
      <c r="O58" s="980"/>
      <c r="P58" s="981" t="s">
        <v>632</v>
      </c>
      <c r="Q58" s="981"/>
      <c r="R58" s="982"/>
      <c r="S58" s="980"/>
      <c r="T58" s="981" t="s">
        <v>632</v>
      </c>
      <c r="U58" s="981"/>
      <c r="V58" s="982"/>
      <c r="W58" s="980"/>
      <c r="X58" s="981" t="s">
        <v>632</v>
      </c>
      <c r="Y58" s="983"/>
      <c r="Z58" s="1412" t="str">
        <f>IFERROR(VLOOKUP(C58, [6]條件!$A:$L, 3, 0), "")</f>
        <v/>
      </c>
      <c r="AA58" s="984" t="str">
        <f>IF(OR(L58={"改紡","檢修","了機","清車","FINAL","停機","SAMPLE","TEST","絲開發"}), L58, IFERROR(IF(C58="", "", (SUM(J58, N58, R58, V58)/3 * AG58) * IF(AND(AF58="S", AS58="雙"), 0.5, 1)), ""))</f>
        <v>停機</v>
      </c>
      <c r="AB58" s="1413" t="str">
        <f t="shared" si="11"/>
        <v/>
      </c>
      <c r="AC58" s="984" t="str">
        <f>IF(OR(L58={"改紡","檢修","了機","清車","FINAL","停機","SAMPLE","TEST"}), "", IFERROR(IF(C58="", "", AVERAGE(L58:M58, P58:Q58, T58:U58, X58:Y58)/100), ""))</f>
        <v/>
      </c>
      <c r="AD58" s="984" t="str">
        <f t="shared" si="1"/>
        <v/>
      </c>
      <c r="AE58" s="984" t="str">
        <f t="shared" si="12"/>
        <v/>
      </c>
      <c r="AF58" s="985" t="str">
        <f t="shared" si="2"/>
        <v>A</v>
      </c>
      <c r="AG58" s="1414">
        <v>1</v>
      </c>
      <c r="AH58" s="1002" t="s">
        <v>641</v>
      </c>
      <c r="AI58" s="1002" t="s">
        <v>641</v>
      </c>
      <c r="AJ58" s="1002" t="s">
        <v>630</v>
      </c>
      <c r="AK58" s="981" t="s">
        <v>630</v>
      </c>
      <c r="AL58" s="1415"/>
      <c r="AM58" s="1323"/>
      <c r="AN58" s="1323"/>
      <c r="AO58" s="1323"/>
      <c r="AP58" s="1323"/>
      <c r="AQ58" s="1323"/>
      <c r="AR58" s="987"/>
      <c r="AS58" s="978" t="str">
        <f t="shared" si="3"/>
        <v>單</v>
      </c>
      <c r="AT58" s="978" t="str">
        <f t="shared" si="4"/>
        <v>全</v>
      </c>
      <c r="AU58" s="978" t="str">
        <f t="shared" si="5"/>
        <v/>
      </c>
      <c r="AV58" s="978" t="str">
        <f t="shared" si="6"/>
        <v/>
      </c>
    </row>
    <row r="59" spans="1:48">
      <c r="A59" s="975">
        <f t="shared" si="13"/>
        <v>46144</v>
      </c>
      <c r="B59" s="976" t="s">
        <v>227</v>
      </c>
      <c r="C59" s="976" t="s">
        <v>16712</v>
      </c>
      <c r="D59" s="1410"/>
      <c r="E59" s="977" t="str">
        <f>IFERROR(VLOOKUP(C59, [6]條件!$A:$L, 5, 0), "")</f>
        <v>100/36SDr</v>
      </c>
      <c r="F59" s="978" t="str">
        <f>IFERROR(VLOOKUP(C59, [6]條件!$A:$L, 6, 0), "")</f>
        <v>FP81384R</v>
      </c>
      <c r="G59" s="1411">
        <f>IFERROR(VLOOKUP(C59, [6]條件!$A:$L, 7, 0), "")</f>
        <v>700</v>
      </c>
      <c r="H59" s="978" t="str">
        <f>IF(ISNA(VLOOKUP(C59,[6]條件!$A$1:$K$932,11,0)),"",(VLOOKUP(C59,[6]條件!$A$1:$K$932,11,0)))</f>
        <v>白底紅三角</v>
      </c>
      <c r="I59" s="979">
        <f>IF(ISNA(VLOOKUP(C59,[6]條件!$A$1:$L$932,12,0)),"",(VLOOKUP(C59,[6]條件!$A$1:$L$932,12,0)))</f>
        <v>5</v>
      </c>
      <c r="J59" s="980">
        <v>22</v>
      </c>
      <c r="K59" s="980">
        <v>0</v>
      </c>
      <c r="L59" s="981">
        <v>7753</v>
      </c>
      <c r="M59" s="981">
        <v>7985</v>
      </c>
      <c r="N59" s="982">
        <v>4</v>
      </c>
      <c r="O59" s="980">
        <v>0</v>
      </c>
      <c r="P59" s="981">
        <v>7902</v>
      </c>
      <c r="Q59" s="981">
        <v>8201</v>
      </c>
      <c r="R59" s="982">
        <v>6</v>
      </c>
      <c r="S59" s="980">
        <v>0</v>
      </c>
      <c r="T59" s="981">
        <v>7984</v>
      </c>
      <c r="U59" s="981">
        <v>8208</v>
      </c>
      <c r="V59" s="982">
        <v>20</v>
      </c>
      <c r="W59" s="980">
        <v>0</v>
      </c>
      <c r="X59" s="981">
        <v>7488</v>
      </c>
      <c r="Y59" s="983">
        <v>7902</v>
      </c>
      <c r="Z59" s="1412">
        <f>IFERROR(VLOOKUP(C59, [6]條件!$A:$L, 3, 0), "")</f>
        <v>2.2187981510015407</v>
      </c>
      <c r="AA59" s="984">
        <f>IF(OR(L59={"改紡","檢修","了機","清車","FINAL","停機","SAMPLE","TEST","絲開發"}), L59, IFERROR(IF(C59="", "", (SUM(J59, N59, R59, V59)/3 * AG59) * IF(AND(AF59="S", AS59="雙"), 0.5, 1)), ""))</f>
        <v>17.333333333333332</v>
      </c>
      <c r="AB59" s="1413">
        <f t="shared" si="11"/>
        <v>1</v>
      </c>
      <c r="AC59" s="984">
        <f>IF(OR(L59={"改紡","檢修","了機","清車","FINAL","停機","SAMPLE","TEST"}), "", IFERROR(IF(C59="", "", AVERAGE(L59:M59, P59:Q59, T59:U59, X59:Y59)/100), ""))</f>
        <v>79.278750000000002</v>
      </c>
      <c r="AD59" s="984">
        <f t="shared" si="1"/>
        <v>2.1666666666666665</v>
      </c>
      <c r="AE59" s="984">
        <f t="shared" si="12"/>
        <v>2.1666666666666665</v>
      </c>
      <c r="AF59" s="985" t="str">
        <f t="shared" si="2"/>
        <v>A</v>
      </c>
      <c r="AG59" s="1414">
        <v>1</v>
      </c>
      <c r="AH59" s="1002" t="s">
        <v>636</v>
      </c>
      <c r="AI59" s="1002" t="s">
        <v>636</v>
      </c>
      <c r="AJ59" s="1418" t="s">
        <v>829</v>
      </c>
      <c r="AK59" s="981" t="s">
        <v>829</v>
      </c>
      <c r="AL59" s="1415">
        <v>50</v>
      </c>
      <c r="AM59" s="1323">
        <v>46131</v>
      </c>
      <c r="AN59" s="1323">
        <v>46132</v>
      </c>
      <c r="AO59" s="1323">
        <v>46133</v>
      </c>
      <c r="AP59" s="1323">
        <v>46134</v>
      </c>
      <c r="AQ59" s="1323"/>
      <c r="AR59" s="987"/>
      <c r="AS59" s="978" t="str">
        <f t="shared" si="3"/>
        <v>單</v>
      </c>
      <c r="AT59" s="978" t="str">
        <f t="shared" si="4"/>
        <v>全</v>
      </c>
      <c r="AU59" s="978">
        <f t="shared" si="5"/>
        <v>100</v>
      </c>
      <c r="AV59" s="978">
        <f t="shared" si="6"/>
        <v>1.9179115200000001</v>
      </c>
    </row>
    <row r="60" spans="1:48">
      <c r="A60" s="975">
        <f t="shared" si="13"/>
        <v>46144</v>
      </c>
      <c r="B60" s="976" t="s">
        <v>228</v>
      </c>
      <c r="C60" s="976" t="s">
        <v>632</v>
      </c>
      <c r="D60" s="1410"/>
      <c r="E60" s="977" t="str">
        <f>IFERROR(VLOOKUP(C60, [6]條件!$A:$L, 5, 0), "")</f>
        <v/>
      </c>
      <c r="F60" s="978" t="str">
        <f>IFERROR(VLOOKUP(C60, [6]條件!$A:$L, 6, 0), "")</f>
        <v/>
      </c>
      <c r="G60" s="1411" t="str">
        <f>IFERROR(VLOOKUP(C60, [6]條件!$A:$L, 7, 0), "")</f>
        <v/>
      </c>
      <c r="H60" s="978" t="str">
        <f>IF(ISNA(VLOOKUP(C60,[6]條件!$A$1:$K$932,11,0)),"",(VLOOKUP(C60,[6]條件!$A$1:$K$932,11,0)))</f>
        <v/>
      </c>
      <c r="I60" s="979" t="str">
        <f>IF(ISNA(VLOOKUP(C60,[6]條件!$A$1:$L$932,12,0)),"",(VLOOKUP(C60,[6]條件!$A$1:$L$932,12,0)))</f>
        <v/>
      </c>
      <c r="J60" s="980"/>
      <c r="K60" s="980"/>
      <c r="L60" s="981" t="s">
        <v>632</v>
      </c>
      <c r="M60" s="981"/>
      <c r="N60" s="982"/>
      <c r="O60" s="980"/>
      <c r="P60" s="981" t="s">
        <v>632</v>
      </c>
      <c r="Q60" s="981"/>
      <c r="R60" s="982"/>
      <c r="S60" s="980"/>
      <c r="T60" s="981" t="s">
        <v>632</v>
      </c>
      <c r="U60" s="981"/>
      <c r="V60" s="982"/>
      <c r="W60" s="980"/>
      <c r="X60" s="981" t="s">
        <v>632</v>
      </c>
      <c r="Y60" s="983"/>
      <c r="Z60" s="1412" t="str">
        <f>IFERROR(VLOOKUP(C60, [6]條件!$A:$L, 3, 0), "")</f>
        <v/>
      </c>
      <c r="AA60" s="984" t="str">
        <f>IF(OR(L60={"改紡","檢修","了機","清車","FINAL","停機","SAMPLE","TEST","絲開發"}), L60, IFERROR(IF(C60="", "", (SUM(J60, N60, R60, V60)/3 * AG60) * IF(AND(AF60="S", AS60="雙"), 0.5, 1)), ""))</f>
        <v>停機</v>
      </c>
      <c r="AB60" s="1413" t="str">
        <f t="shared" si="11"/>
        <v/>
      </c>
      <c r="AC60" s="984" t="str">
        <f>IF(OR(L60={"改紡","檢修","了機","清車","FINAL","停機","SAMPLE","TEST"}), "", IFERROR(IF(C60="", "", AVERAGE(L60:M60, P60:Q60, T60:U60, X60:Y60)/100), ""))</f>
        <v/>
      </c>
      <c r="AD60" s="984" t="str">
        <f t="shared" si="1"/>
        <v/>
      </c>
      <c r="AE60" s="984" t="str">
        <f t="shared" si="12"/>
        <v/>
      </c>
      <c r="AF60" s="985" t="str">
        <f t="shared" si="2"/>
        <v>A</v>
      </c>
      <c r="AG60" s="1414">
        <v>1</v>
      </c>
      <c r="AH60" s="1002" t="s">
        <v>636</v>
      </c>
      <c r="AI60" s="1002" t="s">
        <v>636</v>
      </c>
      <c r="AJ60" s="1132" t="s">
        <v>829</v>
      </c>
      <c r="AK60" s="1419" t="s">
        <v>829</v>
      </c>
      <c r="AL60" s="1420"/>
      <c r="AM60" s="1323"/>
      <c r="AN60" s="1323"/>
      <c r="AO60" s="1323"/>
      <c r="AP60" s="1323"/>
      <c r="AQ60" s="1323"/>
      <c r="AR60" s="987"/>
      <c r="AS60" s="978" t="str">
        <f t="shared" si="3"/>
        <v>單</v>
      </c>
      <c r="AT60" s="978" t="str">
        <f t="shared" si="4"/>
        <v>全</v>
      </c>
      <c r="AU60" s="978" t="str">
        <f t="shared" si="5"/>
        <v/>
      </c>
      <c r="AV60" s="978" t="str">
        <f t="shared" si="6"/>
        <v/>
      </c>
    </row>
    <row r="61" spans="1:48">
      <c r="A61" s="975">
        <f t="shared" si="13"/>
        <v>46144</v>
      </c>
      <c r="B61" s="976" t="s">
        <v>229</v>
      </c>
      <c r="C61" s="976" t="s">
        <v>632</v>
      </c>
      <c r="D61" s="1410"/>
      <c r="E61" s="977" t="str">
        <f>IFERROR(VLOOKUP(C61, [6]條件!$A:$L, 5, 0), "")</f>
        <v/>
      </c>
      <c r="F61" s="978" t="str">
        <f>IFERROR(VLOOKUP(C61, [6]條件!$A:$L, 6, 0), "")</f>
        <v/>
      </c>
      <c r="G61" s="1411" t="str">
        <f>IFERROR(VLOOKUP(C61, [6]條件!$A:$L, 7, 0), "")</f>
        <v/>
      </c>
      <c r="H61" s="978" t="str">
        <f>IF(ISNA(VLOOKUP(C61,[6]條件!$A$1:$K$932,11,0)),"",(VLOOKUP(C61,[6]條件!$A$1:$K$932,11,0)))</f>
        <v/>
      </c>
      <c r="I61" s="979" t="str">
        <f>IF(ISNA(VLOOKUP(C61,[6]條件!$A$1:$L$932,12,0)),"",(VLOOKUP(C61,[6]條件!$A$1:$L$932,12,0)))</f>
        <v/>
      </c>
      <c r="J61" s="980"/>
      <c r="K61" s="980"/>
      <c r="L61" s="981" t="s">
        <v>632</v>
      </c>
      <c r="M61" s="981"/>
      <c r="N61" s="982"/>
      <c r="O61" s="980"/>
      <c r="P61" s="981" t="s">
        <v>632</v>
      </c>
      <c r="Q61" s="981"/>
      <c r="R61" s="982"/>
      <c r="S61" s="980"/>
      <c r="T61" s="981" t="s">
        <v>632</v>
      </c>
      <c r="U61" s="981"/>
      <c r="V61" s="982"/>
      <c r="W61" s="980"/>
      <c r="X61" s="981" t="s">
        <v>632</v>
      </c>
      <c r="Y61" s="983"/>
      <c r="Z61" s="1412" t="str">
        <f>IFERROR(VLOOKUP(C61, [6]條件!$A:$L, 3, 0), "")</f>
        <v/>
      </c>
      <c r="AA61" s="984" t="str">
        <f>IF(OR(L61={"改紡","檢修","了機","清車","FINAL","停機","SAMPLE","TEST","絲開發"}), L61, IFERROR(IF(C61="", "", (SUM(J61, N61, R61, V61)/3 * AG61) * IF(AND(AF61="S", AS61="雙"), 0.5, 1)), ""))</f>
        <v>停機</v>
      </c>
      <c r="AB61" s="1413" t="str">
        <f t="shared" si="11"/>
        <v/>
      </c>
      <c r="AC61" s="984" t="str">
        <f>IF(OR(L61={"改紡","檢修","了機","清車","FINAL","停機","SAMPLE","TEST"}), "", IFERROR(IF(C61="", "", AVERAGE(L61:M61, P61:Q61, T61:U61, X61:Y61)/100), ""))</f>
        <v/>
      </c>
      <c r="AD61" s="984" t="str">
        <f t="shared" si="1"/>
        <v/>
      </c>
      <c r="AE61" s="984" t="str">
        <f t="shared" si="12"/>
        <v/>
      </c>
      <c r="AF61" s="985" t="str">
        <f t="shared" si="2"/>
        <v>A</v>
      </c>
      <c r="AG61" s="1414">
        <v>2</v>
      </c>
      <c r="AH61" s="1002" t="s">
        <v>636</v>
      </c>
      <c r="AI61" s="1002" t="s">
        <v>636</v>
      </c>
      <c r="AJ61" s="986" t="s">
        <v>829</v>
      </c>
      <c r="AK61" s="1417" t="s">
        <v>829</v>
      </c>
      <c r="AL61" s="1421"/>
      <c r="AM61" s="1323"/>
      <c r="AN61" s="1323"/>
      <c r="AO61" s="1323"/>
      <c r="AP61" s="1323"/>
      <c r="AQ61" s="1323"/>
      <c r="AR61" s="987"/>
      <c r="AS61" s="978" t="str">
        <f t="shared" si="3"/>
        <v>單</v>
      </c>
      <c r="AT61" s="978" t="str">
        <f t="shared" si="4"/>
        <v>半</v>
      </c>
      <c r="AU61" s="978" t="str">
        <f t="shared" si="5"/>
        <v/>
      </c>
      <c r="AV61" s="978" t="str">
        <f t="shared" si="6"/>
        <v/>
      </c>
    </row>
    <row r="62" spans="1:48">
      <c r="A62" s="975">
        <f t="shared" si="13"/>
        <v>46144</v>
      </c>
      <c r="B62" s="976" t="s">
        <v>230</v>
      </c>
      <c r="C62" s="976" t="s">
        <v>16751</v>
      </c>
      <c r="D62" s="1410"/>
      <c r="E62" s="977" t="str">
        <f>IFERROR(VLOOKUP(C62, [6]條件!$A:$L, 5, 0), "")</f>
        <v>150/48/2GY5</v>
      </c>
      <c r="F62" s="978" t="str">
        <f>IFERROR(VLOOKUP(C62, [6]條件!$A:$L, 6, 0), "")</f>
        <v>FP02422×2</v>
      </c>
      <c r="G62" s="1411">
        <f>IFERROR(VLOOKUP(C62, [6]條件!$A:$L, 7, 0), "")</f>
        <v>600</v>
      </c>
      <c r="H62" s="978" t="str">
        <f>IF(ISNA(VLOOKUP(C62,[6]條件!$A$1:$K$932,11,0)),"",(VLOOKUP(C62,[6]條件!$A$1:$K$932,11,0)))</f>
        <v>白底紅星</v>
      </c>
      <c r="I62" s="979">
        <f>IF(ISNA(VLOOKUP(C62,[6]條件!$A$1:$L$932,12,0)),"",(VLOOKUP(C62,[6]條件!$A$1:$L$932,12,0)))</f>
        <v>4</v>
      </c>
      <c r="J62" s="980"/>
      <c r="K62" s="980"/>
      <c r="L62" s="981" t="s">
        <v>642</v>
      </c>
      <c r="M62" s="981"/>
      <c r="N62" s="982">
        <v>18</v>
      </c>
      <c r="O62" s="980">
        <v>0</v>
      </c>
      <c r="P62" s="981">
        <v>5475</v>
      </c>
      <c r="Q62" s="981" t="s">
        <v>16755</v>
      </c>
      <c r="R62" s="982">
        <v>86</v>
      </c>
      <c r="S62" s="980">
        <v>0</v>
      </c>
      <c r="T62" s="981">
        <v>6002</v>
      </c>
      <c r="U62" s="981" t="s">
        <v>16755</v>
      </c>
      <c r="V62" s="982">
        <v>60</v>
      </c>
      <c r="W62" s="980">
        <v>0</v>
      </c>
      <c r="X62" s="981">
        <v>6660</v>
      </c>
      <c r="Y62" s="983" t="s">
        <v>16755</v>
      </c>
      <c r="Z62" s="1412">
        <f>IFERROR(VLOOKUP(C62, [6]條件!$A:$L, 3, 0), "")</f>
        <v>6.9230769230769234</v>
      </c>
      <c r="AA62" s="984" t="str">
        <f>IF(OR(L62={"改紡","檢修","了機","清車","FINAL","停機","SAMPLE","TEST","絲開發"}), L62, IFERROR(IF(C62="", "", (SUM(J62, N62, R62, V62)/3 * AG62) * IF(AND(AF62="S", AS62="雙"), 0.5, 1)), ""))</f>
        <v>改紡</v>
      </c>
      <c r="AB62" s="1413" t="str">
        <f t="shared" si="11"/>
        <v/>
      </c>
      <c r="AC62" s="984" t="str">
        <f>IF(OR(L62={"改紡","檢修","了機","清車","FINAL","停機","SAMPLE","TEST"}), "", IFERROR(IF(C62="", "", AVERAGE(L62:M62, P62:Q62, T62:U62, X62:Y62)/100), ""))</f>
        <v/>
      </c>
      <c r="AD62" s="984" t="str">
        <f t="shared" si="1"/>
        <v/>
      </c>
      <c r="AE62" s="984" t="str">
        <f t="shared" si="12"/>
        <v/>
      </c>
      <c r="AF62" s="985" t="str">
        <f t="shared" si="2"/>
        <v>A</v>
      </c>
      <c r="AG62" s="1414">
        <v>1</v>
      </c>
      <c r="AH62" s="1002" t="s">
        <v>631</v>
      </c>
      <c r="AI62" s="1002" t="s">
        <v>631</v>
      </c>
      <c r="AJ62" s="986" t="s">
        <v>634</v>
      </c>
      <c r="AK62" s="1417" t="s">
        <v>634</v>
      </c>
      <c r="AL62" s="1415">
        <v>52</v>
      </c>
      <c r="AM62" s="1323">
        <v>46141</v>
      </c>
      <c r="AN62" s="1323">
        <v>46142</v>
      </c>
      <c r="AO62" s="1323"/>
      <c r="AP62" s="1323"/>
      <c r="AQ62" s="1323"/>
      <c r="AR62" s="987"/>
      <c r="AS62" s="978" t="str">
        <f t="shared" si="3"/>
        <v>雙</v>
      </c>
      <c r="AT62" s="978" t="str">
        <f t="shared" si="4"/>
        <v>半</v>
      </c>
      <c r="AU62" s="978">
        <f t="shared" si="5"/>
        <v>150</v>
      </c>
      <c r="AV62" s="978" t="str">
        <f t="shared" si="6"/>
        <v/>
      </c>
    </row>
    <row r="63" spans="1:48">
      <c r="A63" s="975">
        <f t="shared" si="13"/>
        <v>46144</v>
      </c>
      <c r="B63" s="976" t="s">
        <v>231</v>
      </c>
      <c r="C63" s="976" t="s">
        <v>632</v>
      </c>
      <c r="D63" s="1410"/>
      <c r="E63" s="977" t="str">
        <f>IFERROR(VLOOKUP(C63, [6]條件!$A:$L, 5, 0), "")</f>
        <v/>
      </c>
      <c r="F63" s="978" t="str">
        <f>IFERROR(VLOOKUP(C63, [6]條件!$A:$L, 6, 0), "")</f>
        <v/>
      </c>
      <c r="G63" s="1411" t="str">
        <f>IFERROR(VLOOKUP(C63, [6]條件!$A:$L, 7, 0), "")</f>
        <v/>
      </c>
      <c r="H63" s="978" t="str">
        <f>IF(ISNA(VLOOKUP(C63,[6]條件!$A$1:$K$932,11,0)),"",(VLOOKUP(C63,[6]條件!$A$1:$K$932,11,0)))</f>
        <v/>
      </c>
      <c r="I63" s="979" t="str">
        <f>IF(ISNA(VLOOKUP(C63,[6]條件!$A$1:$L$932,12,0)),"",(VLOOKUP(C63,[6]條件!$A$1:$L$932,12,0)))</f>
        <v/>
      </c>
      <c r="J63" s="980"/>
      <c r="K63" s="980"/>
      <c r="L63" s="981" t="s">
        <v>632</v>
      </c>
      <c r="M63" s="981"/>
      <c r="N63" s="982"/>
      <c r="O63" s="980"/>
      <c r="P63" s="981" t="s">
        <v>632</v>
      </c>
      <c r="Q63" s="981"/>
      <c r="R63" s="982"/>
      <c r="S63" s="980"/>
      <c r="T63" s="981" t="s">
        <v>632</v>
      </c>
      <c r="U63" s="981"/>
      <c r="V63" s="982"/>
      <c r="W63" s="980"/>
      <c r="X63" s="981" t="s">
        <v>632</v>
      </c>
      <c r="Y63" s="983"/>
      <c r="Z63" s="1412" t="str">
        <f>IFERROR(VLOOKUP(C63, [6]條件!$A:$L, 3, 0), "")</f>
        <v/>
      </c>
      <c r="AA63" s="984" t="str">
        <f>IF(OR(L63={"改紡","檢修","了機","清車","FINAL","停機","SAMPLE","TEST","絲開發"}), L63, IFERROR(IF(C63="", "", (SUM(J63, N63, R63, V63)/3 * AG63) * IF(AND(AF63="S", AS63="雙"), 0.5, 1)), ""))</f>
        <v>停機</v>
      </c>
      <c r="AB63" s="1413" t="str">
        <f t="shared" si="11"/>
        <v/>
      </c>
      <c r="AC63" s="984" t="str">
        <f>IF(OR(L63={"改紡","檢修","了機","清車","FINAL","停機","SAMPLE","TEST"}), "", IFERROR(IF(C63="", "", AVERAGE(L63:M63, P63:Q63, T63:U63, X63:Y63)/100), ""))</f>
        <v/>
      </c>
      <c r="AD63" s="984" t="str">
        <f t="shared" si="1"/>
        <v/>
      </c>
      <c r="AE63" s="984" t="str">
        <f t="shared" si="12"/>
        <v/>
      </c>
      <c r="AF63" s="985" t="str">
        <f t="shared" si="2"/>
        <v>J</v>
      </c>
      <c r="AG63" s="1414">
        <v>1</v>
      </c>
      <c r="AH63" s="1002" t="s">
        <v>637</v>
      </c>
      <c r="AI63" s="1002" t="s">
        <v>637</v>
      </c>
      <c r="AJ63" s="986" t="s">
        <v>15370</v>
      </c>
      <c r="AK63" s="1417" t="s">
        <v>15370</v>
      </c>
      <c r="AL63" s="1415"/>
      <c r="AM63" s="1323"/>
      <c r="AN63" s="1323"/>
      <c r="AO63" s="1323"/>
      <c r="AP63" s="1323"/>
      <c r="AQ63" s="1323"/>
      <c r="AR63" s="987"/>
      <c r="AS63" s="978" t="str">
        <f t="shared" si="3"/>
        <v>單</v>
      </c>
      <c r="AT63" s="978" t="str">
        <f t="shared" si="4"/>
        <v>全</v>
      </c>
      <c r="AU63" s="978" t="str">
        <f t="shared" si="5"/>
        <v/>
      </c>
      <c r="AV63" s="978" t="str">
        <f t="shared" si="6"/>
        <v/>
      </c>
    </row>
    <row r="64" spans="1:48">
      <c r="A64" s="975">
        <f t="shared" si="13"/>
        <v>46144</v>
      </c>
      <c r="B64" s="976" t="s">
        <v>233</v>
      </c>
      <c r="C64" s="976" t="s">
        <v>16721</v>
      </c>
      <c r="D64" s="1410" t="s">
        <v>633</v>
      </c>
      <c r="E64" s="977" t="str">
        <f>IFERROR(VLOOKUP(C64, [6]條件!$A:$L, 5, 0), "")</f>
        <v>150/48/2SDr</v>
      </c>
      <c r="F64" s="978" t="str">
        <f>IFERROR(VLOOKUP(C64, [6]條件!$A:$L, 6, 0), "")</f>
        <v>FP82168R×2</v>
      </c>
      <c r="G64" s="1411">
        <f>IFERROR(VLOOKUP(C64, [6]條件!$A:$L, 7, 0), "")</f>
        <v>600</v>
      </c>
      <c r="H64" s="978" t="str">
        <f>IF(ISNA(VLOOKUP(C64,[6]條件!$A$1:$K$932,11,0)),"",(VLOOKUP(C64,[6]條件!$A$1:$K$932,11,0)))</f>
        <v>白紅愛心</v>
      </c>
      <c r="I64" s="979">
        <f>IF(ISNA(VLOOKUP(C64,[6]條件!$A$1:$L$932,12,0)),"",(VLOOKUP(C64,[6]條件!$A$1:$L$932,12,0)))</f>
        <v>5.5</v>
      </c>
      <c r="J64" s="980">
        <v>17</v>
      </c>
      <c r="K64" s="980">
        <v>6</v>
      </c>
      <c r="L64" s="981">
        <v>7120</v>
      </c>
      <c r="M64" s="981"/>
      <c r="N64" s="982">
        <v>11</v>
      </c>
      <c r="O64" s="980">
        <v>2</v>
      </c>
      <c r="P64" s="981">
        <v>7160</v>
      </c>
      <c r="Q64" s="981"/>
      <c r="R64" s="982">
        <v>11</v>
      </c>
      <c r="S64" s="980">
        <v>1</v>
      </c>
      <c r="T64" s="981">
        <v>7270</v>
      </c>
      <c r="U64" s="981"/>
      <c r="V64" s="982">
        <v>26</v>
      </c>
      <c r="W64" s="980">
        <v>1</v>
      </c>
      <c r="X64" s="981">
        <v>7260</v>
      </c>
      <c r="Y64" s="983"/>
      <c r="Z64" s="1412">
        <f>IFERROR(VLOOKUP(C64, [6]條件!$A:$L, 3, 0), "")</f>
        <v>5.0883392226148398</v>
      </c>
      <c r="AA64" s="984">
        <f>IF(OR(L64={"改紡","檢修","了機","清車","FINAL","停機","SAMPLE","TEST","絲開發"}), L64, IFERROR(IF(C64="", "", (SUM(J64, N64, R64, V64)/3 * AG64) * IF(AND(AF64="S", AS64="雙"), 0.5, 1)), ""))</f>
        <v>21.666666666666668</v>
      </c>
      <c r="AB64" s="1413">
        <f t="shared" si="11"/>
        <v>0.99055154914529919</v>
      </c>
      <c r="AC64" s="984">
        <f>IF(OR(L64={"改紡","檢修","了機","清車","FINAL","停機","SAMPLE","TEST"}), "", IFERROR(IF(C64="", "", AVERAGE(L64:M64, P64:Q64, T64:U64, X64:Y64)/100), ""))</f>
        <v>72.025000000000006</v>
      </c>
      <c r="AD64" s="984">
        <f t="shared" si="1"/>
        <v>2.7083333333333335</v>
      </c>
      <c r="AE64" s="984">
        <f t="shared" si="12"/>
        <v>2.2916666666666665</v>
      </c>
      <c r="AF64" s="985" t="str">
        <f t="shared" si="2"/>
        <v>J</v>
      </c>
      <c r="AG64" s="1414">
        <v>1</v>
      </c>
      <c r="AH64" s="1002" t="s">
        <v>637</v>
      </c>
      <c r="AI64" s="1002" t="s">
        <v>637</v>
      </c>
      <c r="AJ64" s="1002" t="s">
        <v>15370</v>
      </c>
      <c r="AK64" s="981" t="s">
        <v>15370</v>
      </c>
      <c r="AL64" s="1415">
        <v>55</v>
      </c>
      <c r="AM64" s="1323">
        <v>46137</v>
      </c>
      <c r="AN64" s="1323">
        <v>46139</v>
      </c>
      <c r="AO64" s="1323">
        <v>46141</v>
      </c>
      <c r="AP64" s="1323"/>
      <c r="AQ64" s="1323"/>
      <c r="AR64" s="987"/>
      <c r="AS64" s="978" t="str">
        <f t="shared" si="3"/>
        <v>雙</v>
      </c>
      <c r="AT64" s="978" t="str">
        <f t="shared" si="4"/>
        <v>全</v>
      </c>
      <c r="AU64" s="978">
        <f t="shared" si="5"/>
        <v>150</v>
      </c>
      <c r="AV64" s="978">
        <f t="shared" si="6"/>
        <v>4.4805312000000006</v>
      </c>
    </row>
    <row r="65" spans="1:48">
      <c r="A65" s="975">
        <f t="shared" si="13"/>
        <v>46144</v>
      </c>
      <c r="B65" s="976" t="s">
        <v>234</v>
      </c>
      <c r="C65" s="976" t="s">
        <v>632</v>
      </c>
      <c r="D65" s="1410"/>
      <c r="E65" s="977" t="str">
        <f>IFERROR(VLOOKUP(C65, [6]條件!$A:$L, 5, 0), "")</f>
        <v/>
      </c>
      <c r="F65" s="978" t="str">
        <f>IFERROR(VLOOKUP(C65, [6]條件!$A:$L, 6, 0), "")</f>
        <v/>
      </c>
      <c r="G65" s="1411" t="str">
        <f>IFERROR(VLOOKUP(C65, [6]條件!$A:$L, 7, 0), "")</f>
        <v/>
      </c>
      <c r="H65" s="978" t="str">
        <f>IF(ISNA(VLOOKUP(C65,[6]條件!$A$1:$K$932,11,0)),"",(VLOOKUP(C65,[6]條件!$A$1:$K$932,11,0)))</f>
        <v/>
      </c>
      <c r="I65" s="979" t="str">
        <f>IF(ISNA(VLOOKUP(C65,[6]條件!$A$1:$L$932,12,0)),"",(VLOOKUP(C65,[6]條件!$A$1:$L$932,12,0)))</f>
        <v/>
      </c>
      <c r="J65" s="980"/>
      <c r="K65" s="980"/>
      <c r="L65" s="981" t="s">
        <v>632</v>
      </c>
      <c r="M65" s="981"/>
      <c r="N65" s="982"/>
      <c r="O65" s="980"/>
      <c r="P65" s="981" t="s">
        <v>632</v>
      </c>
      <c r="Q65" s="981"/>
      <c r="R65" s="982"/>
      <c r="S65" s="980"/>
      <c r="T65" s="981" t="s">
        <v>632</v>
      </c>
      <c r="U65" s="981"/>
      <c r="V65" s="982"/>
      <c r="W65" s="980"/>
      <c r="X65" s="981" t="s">
        <v>632</v>
      </c>
      <c r="Y65" s="983"/>
      <c r="Z65" s="1412" t="str">
        <f>IFERROR(VLOOKUP(C65, [6]條件!$A:$L, 3, 0), "")</f>
        <v/>
      </c>
      <c r="AA65" s="984" t="str">
        <f>IF(OR(L65={"改紡","檢修","了機","清車","FINAL","停機","SAMPLE","TEST","絲開發"}), L65, IFERROR(IF(C65="", "", (SUM(J65, N65, R65, V65)/3 * AG65) * IF(AND(AF65="S", AS65="雙"), 0.5, 1)), ""))</f>
        <v>停機</v>
      </c>
      <c r="AB65" s="1413" t="str">
        <f t="shared" si="11"/>
        <v/>
      </c>
      <c r="AC65" s="984" t="str">
        <f>IF(OR(L65={"改紡","檢修","了機","清車","FINAL","停機","SAMPLE","TEST"}), "", IFERROR(IF(C65="", "", AVERAGE(L65:M65, P65:Q65, T65:U65, X65:Y65)/100), ""))</f>
        <v/>
      </c>
      <c r="AD65" s="984" t="str">
        <f t="shared" si="1"/>
        <v/>
      </c>
      <c r="AE65" s="984" t="str">
        <f t="shared" si="12"/>
        <v/>
      </c>
      <c r="AF65" s="985" t="str">
        <f t="shared" si="2"/>
        <v>J</v>
      </c>
      <c r="AG65" s="1414">
        <v>1</v>
      </c>
      <c r="AH65" s="1002" t="s">
        <v>637</v>
      </c>
      <c r="AI65" s="1002" t="s">
        <v>637</v>
      </c>
      <c r="AJ65" s="986" t="s">
        <v>15370</v>
      </c>
      <c r="AK65" s="1417" t="s">
        <v>15370</v>
      </c>
      <c r="AL65" s="1415"/>
      <c r="AM65" s="1323"/>
      <c r="AN65" s="1323"/>
      <c r="AO65" s="1323"/>
      <c r="AP65" s="1323"/>
      <c r="AQ65" s="1323"/>
      <c r="AR65" s="987"/>
      <c r="AS65" s="978" t="str">
        <f t="shared" si="3"/>
        <v>單</v>
      </c>
      <c r="AT65" s="978" t="str">
        <f t="shared" si="4"/>
        <v>全</v>
      </c>
      <c r="AU65" s="978" t="str">
        <f t="shared" si="5"/>
        <v/>
      </c>
      <c r="AV65" s="978" t="str">
        <f t="shared" si="6"/>
        <v/>
      </c>
    </row>
    <row r="66" spans="1:48">
      <c r="A66" s="975">
        <f t="shared" si="13"/>
        <v>46144</v>
      </c>
      <c r="B66" s="976" t="s">
        <v>235</v>
      </c>
      <c r="C66" s="976" t="s">
        <v>16716</v>
      </c>
      <c r="D66" s="1410" t="s">
        <v>633</v>
      </c>
      <c r="E66" s="977" t="str">
        <f>IFERROR(VLOOKUP(C66, [6]條件!$A:$L, 5, 0), "")</f>
        <v>150/48/2SDr</v>
      </c>
      <c r="F66" s="978" t="str">
        <f>IFERROR(VLOOKUP(C66, [6]條件!$A:$L, 6, 0), "")</f>
        <v>FP82170R×2</v>
      </c>
      <c r="G66" s="1411">
        <f>IFERROR(VLOOKUP(C66, [6]條件!$A:$L, 7, 0), "")</f>
        <v>700</v>
      </c>
      <c r="H66" s="978" t="str">
        <f>IF(ISNA(VLOOKUP(C66,[6]條件!$A$1:$K$932,11,0)),"",(VLOOKUP(C66,[6]條件!$A$1:$K$932,11,0)))</f>
        <v>紫色</v>
      </c>
      <c r="I66" s="979">
        <f>IF(ISNA(VLOOKUP(C66,[6]條件!$A$1:$L$932,12,0)),"",(VLOOKUP(C66,[6]條件!$A$1:$L$932,12,0)))</f>
        <v>5.5</v>
      </c>
      <c r="J66" s="980">
        <v>32</v>
      </c>
      <c r="K66" s="980">
        <v>0</v>
      </c>
      <c r="L66" s="981">
        <v>7500</v>
      </c>
      <c r="M66" s="981">
        <v>8150</v>
      </c>
      <c r="N66" s="982">
        <v>12</v>
      </c>
      <c r="O66" s="980">
        <v>0</v>
      </c>
      <c r="P66" s="981">
        <v>7590</v>
      </c>
      <c r="Q66" s="981">
        <v>7690</v>
      </c>
      <c r="R66" s="982">
        <v>16</v>
      </c>
      <c r="S66" s="980">
        <v>1</v>
      </c>
      <c r="T66" s="981">
        <v>7870</v>
      </c>
      <c r="U66" s="981">
        <v>6940</v>
      </c>
      <c r="V66" s="982">
        <v>46</v>
      </c>
      <c r="W66" s="980">
        <v>0</v>
      </c>
      <c r="X66" s="981">
        <v>7870</v>
      </c>
      <c r="Y66" s="983">
        <v>7690</v>
      </c>
      <c r="Z66" s="1412">
        <f>IFERROR(VLOOKUP(C66, [6]條件!$A:$L, 3, 0), "")</f>
        <v>5.9016393442622928</v>
      </c>
      <c r="AA66" s="984">
        <f>IF(OR(L66={"改紡","檢修","了機","清車","FINAL","停機","SAMPLE","TEST","絲開發"}), L66, IFERROR(IF(C66="", "", (SUM(J66, N66, R66, V66)/3 * AG66) * IF(AND(AF66="S", AS66="雙"), 0.5, 1)), ""))</f>
        <v>35.333333333333336</v>
      </c>
      <c r="AB66" s="1413">
        <f t="shared" si="11"/>
        <v>0.99918536324786322</v>
      </c>
      <c r="AC66" s="984">
        <f>IF(OR(L66={"改紡","檢修","了機","清車","FINAL","停機","SAMPLE","TEST"}), "", IFERROR(IF(C66="", "", AVERAGE(L66:M66, P66:Q66, T66:U66, X66:Y66)/100), ""))</f>
        <v>76.625</v>
      </c>
      <c r="AD66" s="984">
        <f t="shared" ref="AD66:AD129" si="14">IF(ISERROR(AA66/8),"",(AA66/8))</f>
        <v>4.416666666666667</v>
      </c>
      <c r="AE66" s="984">
        <f t="shared" si="12"/>
        <v>4.375</v>
      </c>
      <c r="AF66" s="985" t="str">
        <f t="shared" ref="AF66:AF129" si="15">LEFT(B66, 1)</f>
        <v>T</v>
      </c>
      <c r="AG66" s="1414">
        <v>1</v>
      </c>
      <c r="AH66" s="1002" t="s">
        <v>651</v>
      </c>
      <c r="AI66" s="1002" t="s">
        <v>651</v>
      </c>
      <c r="AJ66" s="986" t="s">
        <v>835</v>
      </c>
      <c r="AK66" s="1417" t="s">
        <v>835</v>
      </c>
      <c r="AL66" s="1415">
        <v>56</v>
      </c>
      <c r="AM66" s="1323">
        <v>46132</v>
      </c>
      <c r="AN66" s="1323">
        <v>46135</v>
      </c>
      <c r="AO66" s="1323">
        <v>46138</v>
      </c>
      <c r="AP66" s="1323">
        <v>46139</v>
      </c>
      <c r="AQ66" s="1323">
        <v>46142</v>
      </c>
      <c r="AR66" s="987"/>
      <c r="AS66" s="978" t="str">
        <f t="shared" ref="AS66:AS129" si="16">IF(RIGHT(F66, 2) = "×2", "雙", "單")</f>
        <v>雙</v>
      </c>
      <c r="AT66" s="978" t="str">
        <f t="shared" ref="AT66:AT129" si="17">IF(OR(AF66="J", AF66="T", AF66="M"), IF(AG66=1, "全", "半"), IF(AF66="A", IF(AG66=0.5, IF(AS66="雙", "全", ""), IF(AG66=1, IF(AS66="雙", "半", "全"), IF(AG66=2, "半", ""))), IF(AF66="S", AG66 &amp; "sec", "")))</f>
        <v>全</v>
      </c>
      <c r="AU66" s="978">
        <f t="shared" ref="AU66:AU129" si="18">IFERROR(VALUE(LEFT(E66, FIND("/", E66)-1)), "")</f>
        <v>150</v>
      </c>
      <c r="AV66" s="978">
        <f t="shared" ref="AV66:AV129" si="19">IFERROR(IF(AF66="S", (AU66*G66*AC66*0.03456/100/1000) * (AG66*12/144) * IF(AS66="單", 1, 0.5), IF(AF66="A", (AU66*G66*AC66*0.03456/100/1000) * IF(AT66="全", 1, 0.5), IF(OR(AF66="T", AF66="J", AF66="M"), (AU66*G66*AC66*0.03456/100/1000) * IF(AS66="單", 1, 2) * IF(AT66="全", 1, 0.5), 0))), "")</f>
        <v>5.5611359999999994</v>
      </c>
    </row>
    <row r="67" spans="1:48">
      <c r="A67" s="975">
        <f t="shared" si="13"/>
        <v>46144</v>
      </c>
      <c r="B67" s="976" t="s">
        <v>237</v>
      </c>
      <c r="C67" s="976" t="s">
        <v>16720</v>
      </c>
      <c r="D67" s="1410" t="s">
        <v>633</v>
      </c>
      <c r="E67" s="977" t="str">
        <f>IFERROR(VLOOKUP(C67, [6]條件!$A:$L, 5, 0), "")</f>
        <v>150/48/2SDr</v>
      </c>
      <c r="F67" s="978" t="str">
        <f>IFERROR(VLOOKUP(C67, [6]條件!$A:$L, 6, 0), "")</f>
        <v>FP82168R×2</v>
      </c>
      <c r="G67" s="1411">
        <f>IFERROR(VLOOKUP(C67, [6]條件!$A:$L, 7, 0), "")</f>
        <v>700</v>
      </c>
      <c r="H67" s="978" t="str">
        <f>IF(ISNA(VLOOKUP(C67,[6]條件!$A$1:$K$932,11,0)),"",(VLOOKUP(C67,[6]條件!$A$1:$K$932,11,0)))</f>
        <v>紫底白點</v>
      </c>
      <c r="I67" s="979">
        <f>IF(ISNA(VLOOKUP(C67,[6]條件!$A$1:$L$932,12,0)),"",(VLOOKUP(C67,[6]條件!$A$1:$L$932,12,0)))</f>
        <v>5.5</v>
      </c>
      <c r="J67" s="980">
        <v>28</v>
      </c>
      <c r="K67" s="980">
        <v>9</v>
      </c>
      <c r="L67" s="981">
        <v>7780</v>
      </c>
      <c r="M67" s="981">
        <v>8610</v>
      </c>
      <c r="N67" s="982">
        <v>50</v>
      </c>
      <c r="O67" s="980">
        <v>12</v>
      </c>
      <c r="P67" s="981">
        <v>9350</v>
      </c>
      <c r="Q67" s="981">
        <v>8430</v>
      </c>
      <c r="R67" s="982">
        <v>23</v>
      </c>
      <c r="S67" s="980">
        <v>6</v>
      </c>
      <c r="T67" s="981">
        <v>9630</v>
      </c>
      <c r="U67" s="981">
        <v>8890</v>
      </c>
      <c r="V67" s="982">
        <v>35</v>
      </c>
      <c r="W67" s="980">
        <v>7</v>
      </c>
      <c r="X67" s="981">
        <v>9540</v>
      </c>
      <c r="Y67" s="983">
        <v>8980</v>
      </c>
      <c r="Z67" s="1412">
        <f>IFERROR(VLOOKUP(C67, [6]條件!$A:$L, 3, 0), "")</f>
        <v>5.8299595141700395</v>
      </c>
      <c r="AA67" s="984">
        <f>IF(OR(L67={"改紡","檢修","了機","清車","FINAL","停機","SAMPLE","TEST","絲開發"}), L67, IFERROR(IF(C67="", "", (SUM(J67, N67, R67, V67)/3 * AG67) * IF(AND(AF67="S", AS67="雙"), 0.5, 1)), ""))</f>
        <v>45.333333333333336</v>
      </c>
      <c r="AB67" s="1413">
        <f t="shared" si="11"/>
        <v>0.97196180555555556</v>
      </c>
      <c r="AC67" s="984">
        <f>IF(OR(L67={"改紡","檢修","了機","清車","FINAL","停機","SAMPLE","TEST"}), "", IFERROR(IF(C67="", "", AVERAGE(L67:M67, P67:Q67, T67:U67, X67:Y67)/100), ""))</f>
        <v>89.012500000000003</v>
      </c>
      <c r="AD67" s="984">
        <f t="shared" si="14"/>
        <v>5.666666666666667</v>
      </c>
      <c r="AE67" s="984">
        <f t="shared" si="12"/>
        <v>4.25</v>
      </c>
      <c r="AF67" s="985" t="str">
        <f t="shared" si="15"/>
        <v>T</v>
      </c>
      <c r="AG67" s="1414">
        <v>1</v>
      </c>
      <c r="AH67" s="1002" t="s">
        <v>638</v>
      </c>
      <c r="AI67" s="1002" t="s">
        <v>638</v>
      </c>
      <c r="AJ67" s="986" t="s">
        <v>16113</v>
      </c>
      <c r="AK67" s="1417" t="s">
        <v>16113</v>
      </c>
      <c r="AL67" s="1415">
        <v>55</v>
      </c>
      <c r="AM67" s="1323">
        <v>46138</v>
      </c>
      <c r="AN67" s="1323">
        <v>46140</v>
      </c>
      <c r="AO67" s="1323">
        <v>46141</v>
      </c>
      <c r="AP67" s="1323">
        <v>46142</v>
      </c>
      <c r="AQ67" s="1323"/>
      <c r="AR67" s="987"/>
      <c r="AS67" s="978" t="str">
        <f t="shared" si="16"/>
        <v>雙</v>
      </c>
      <c r="AT67" s="978" t="str">
        <f t="shared" si="17"/>
        <v>全</v>
      </c>
      <c r="AU67" s="978">
        <f t="shared" si="18"/>
        <v>150</v>
      </c>
      <c r="AV67" s="978">
        <f t="shared" si="19"/>
        <v>6.4601711999999996</v>
      </c>
    </row>
    <row r="68" spans="1:48">
      <c r="A68" s="975">
        <f t="shared" si="13"/>
        <v>46144</v>
      </c>
      <c r="B68" s="976" t="s">
        <v>238</v>
      </c>
      <c r="C68" s="976" t="s">
        <v>16743</v>
      </c>
      <c r="D68" s="1410"/>
      <c r="E68" s="977" t="str">
        <f>IFERROR(VLOOKUP(C68, [6]條件!$A:$L, 5, 0), "")</f>
        <v>150/48/2SDr</v>
      </c>
      <c r="F68" s="978" t="str">
        <f>IFERROR(VLOOKUP(C68, [6]條件!$A:$L, 6, 0), "")</f>
        <v>FP82169R×2</v>
      </c>
      <c r="G68" s="1411">
        <f>IFERROR(VLOOKUP(C68, [6]條件!$A:$L, 7, 0), "")</f>
        <v>670</v>
      </c>
      <c r="H68" s="978" t="str">
        <f>IF(ISNA(VLOOKUP(C68,[6]條件!$A$1:$K$932,11,0)),"",(VLOOKUP(C68,[6]條件!$A$1:$K$932,11,0)))</f>
        <v>黃底紅點</v>
      </c>
      <c r="I68" s="979">
        <f>IF(ISNA(VLOOKUP(C68,[6]條件!$A$1:$L$932,12,0)),"",(VLOOKUP(C68,[6]條件!$A$1:$L$932,12,0)))</f>
        <v>5</v>
      </c>
      <c r="J68" s="980">
        <v>25</v>
      </c>
      <c r="K68" s="980">
        <v>0</v>
      </c>
      <c r="L68" s="981">
        <v>7590</v>
      </c>
      <c r="M68" s="981"/>
      <c r="N68" s="982">
        <v>25</v>
      </c>
      <c r="O68" s="980">
        <v>0</v>
      </c>
      <c r="P68" s="981">
        <v>7130</v>
      </c>
      <c r="Q68" s="981"/>
      <c r="R68" s="982">
        <v>15</v>
      </c>
      <c r="S68" s="980">
        <v>2</v>
      </c>
      <c r="T68" s="981">
        <v>6300</v>
      </c>
      <c r="U68" s="981"/>
      <c r="V68" s="982">
        <v>48</v>
      </c>
      <c r="W68" s="980">
        <v>0</v>
      </c>
      <c r="X68" s="981">
        <v>8330</v>
      </c>
      <c r="Y68" s="983"/>
      <c r="Z68" s="1412">
        <f>IFERROR(VLOOKUP(C68, [6]條件!$A:$L, 3, 0), "")</f>
        <v>6.2882096069868991</v>
      </c>
      <c r="AA68" s="984">
        <f>IF(OR(L68={"改紡","檢修","了機","清車","FINAL","停機","SAMPLE","TEST","絲開發"}), L68, IFERROR(IF(C68="", "", (SUM(J68, N68, R68, V68)/3 * AG68) * IF(AND(AF68="S", AS68="雙"), 0.5, 1)), ""))</f>
        <v>75.333333333333329</v>
      </c>
      <c r="AB68" s="1413">
        <f t="shared" si="11"/>
        <v>0.9984708867521368</v>
      </c>
      <c r="AC68" s="984">
        <f>IF(OR(L68={"改紡","檢修","了機","清車","FINAL","停機","SAMPLE","TEST"}), "", IFERROR(IF(C68="", "", AVERAGE(L68:M68, P68:Q68, T68:U68, X68:Y68)/100), ""))</f>
        <v>73.375</v>
      </c>
      <c r="AD68" s="984">
        <f t="shared" si="14"/>
        <v>9.4166666666666661</v>
      </c>
      <c r="AE68" s="984">
        <f t="shared" si="12"/>
        <v>9.25</v>
      </c>
      <c r="AF68" s="985" t="str">
        <f t="shared" si="15"/>
        <v>T</v>
      </c>
      <c r="AG68" s="1414">
        <v>2</v>
      </c>
      <c r="AH68" s="1002" t="s">
        <v>651</v>
      </c>
      <c r="AI68" s="1002" t="s">
        <v>651</v>
      </c>
      <c r="AJ68" s="986" t="s">
        <v>835</v>
      </c>
      <c r="AK68" s="1417" t="s">
        <v>835</v>
      </c>
      <c r="AL68" s="1415">
        <v>48</v>
      </c>
      <c r="AM68" s="1323">
        <v>46142</v>
      </c>
      <c r="AN68" s="1323">
        <v>46143</v>
      </c>
      <c r="AO68" s="1323"/>
      <c r="AP68" s="1323"/>
      <c r="AQ68" s="1323"/>
      <c r="AR68" s="987"/>
      <c r="AS68" s="978" t="str">
        <f t="shared" si="16"/>
        <v>雙</v>
      </c>
      <c r="AT68" s="978" t="str">
        <f t="shared" si="17"/>
        <v>半</v>
      </c>
      <c r="AU68" s="978">
        <f t="shared" si="18"/>
        <v>150</v>
      </c>
      <c r="AV68" s="978">
        <f t="shared" si="19"/>
        <v>2.5485192000000003</v>
      </c>
    </row>
    <row r="69" spans="1:48">
      <c r="A69" s="975">
        <f t="shared" si="13"/>
        <v>46144</v>
      </c>
      <c r="B69" s="976" t="s">
        <v>238</v>
      </c>
      <c r="C69" s="976" t="s">
        <v>16742</v>
      </c>
      <c r="D69" s="1410"/>
      <c r="E69" s="977" t="str">
        <f>IFERROR(VLOOKUP(C69, [6]條件!$A:$L, 5, 0), "")</f>
        <v>150/48/2SDr</v>
      </c>
      <c r="F69" s="978" t="str">
        <f>IFERROR(VLOOKUP(C69, [6]條件!$A:$L, 6, 0), "")</f>
        <v>FP82169R×2</v>
      </c>
      <c r="G69" s="1411">
        <f>IFERROR(VLOOKUP(C69, [6]條件!$A:$L, 7, 0), "")</f>
        <v>670</v>
      </c>
      <c r="H69" s="978" t="str">
        <f>IF(ISNA(VLOOKUP(C69,[6]條件!$A$1:$K$932,11,0)),"",(VLOOKUP(C69,[6]條件!$A$1:$K$932,11,0)))</f>
        <v>紅底藍點</v>
      </c>
      <c r="I69" s="979">
        <f>IF(ISNA(VLOOKUP(C69,[6]條件!$A$1:$L$932,12,0)),"",(VLOOKUP(C69,[6]條件!$A$1:$L$932,12,0)))</f>
        <v>5</v>
      </c>
      <c r="J69" s="980">
        <v>37</v>
      </c>
      <c r="K69" s="980">
        <v>0</v>
      </c>
      <c r="L69" s="981"/>
      <c r="M69" s="981">
        <v>8800</v>
      </c>
      <c r="N69" s="982">
        <v>14</v>
      </c>
      <c r="O69" s="980">
        <v>0</v>
      </c>
      <c r="P69" s="981"/>
      <c r="Q69" s="981">
        <v>8800</v>
      </c>
      <c r="R69" s="982">
        <v>18</v>
      </c>
      <c r="S69" s="980">
        <v>0</v>
      </c>
      <c r="T69" s="981"/>
      <c r="U69" s="981">
        <v>8700</v>
      </c>
      <c r="V69" s="982">
        <v>24</v>
      </c>
      <c r="W69" s="980">
        <v>0</v>
      </c>
      <c r="X69" s="981"/>
      <c r="Y69" s="983">
        <v>8610</v>
      </c>
      <c r="Z69" s="1412">
        <f>IFERROR(VLOOKUP(C69, [6]條件!$A:$L, 3, 0), "")</f>
        <v>6.1802575107296125</v>
      </c>
      <c r="AA69" s="984">
        <f>IF(OR(L69={"改紡","檢修","了機","清車","FINAL","停機","SAMPLE","TEST","絲開發"}), L69, IFERROR(IF(C69="", "", (SUM(J69, N69, R69, V69)/3 * AG69) * IF(AND(AF69="S", AS69="雙"), 0.5, 1)), ""))</f>
        <v>62</v>
      </c>
      <c r="AB69" s="1413">
        <f t="shared" si="11"/>
        <v>1</v>
      </c>
      <c r="AC69" s="984">
        <f>IF(OR(L69={"改紡","檢修","了機","清車","FINAL","停機","SAMPLE","TEST"}), "", IFERROR(IF(C69="", "", AVERAGE(L69:M69, P69:Q69, T69:U69, X69:Y69)/100), ""))</f>
        <v>87.275000000000006</v>
      </c>
      <c r="AD69" s="984">
        <f t="shared" si="14"/>
        <v>7.75</v>
      </c>
      <c r="AE69" s="984">
        <f t="shared" si="12"/>
        <v>7.75</v>
      </c>
      <c r="AF69" s="985" t="str">
        <f t="shared" si="15"/>
        <v>T</v>
      </c>
      <c r="AG69" s="1414">
        <v>2</v>
      </c>
      <c r="AH69" s="1002" t="s">
        <v>651</v>
      </c>
      <c r="AI69" s="1002" t="s">
        <v>651</v>
      </c>
      <c r="AJ69" s="986" t="s">
        <v>835</v>
      </c>
      <c r="AK69" s="1417" t="s">
        <v>835</v>
      </c>
      <c r="AL69" s="1415">
        <v>48</v>
      </c>
      <c r="AM69" s="1323">
        <v>46142</v>
      </c>
      <c r="AN69" s="1323">
        <v>46143</v>
      </c>
      <c r="AO69" s="1323"/>
      <c r="AP69" s="1323"/>
      <c r="AQ69" s="1323"/>
      <c r="AR69" s="987"/>
      <c r="AS69" s="978" t="str">
        <f t="shared" si="16"/>
        <v>雙</v>
      </c>
      <c r="AT69" s="978" t="str">
        <f t="shared" si="17"/>
        <v>半</v>
      </c>
      <c r="AU69" s="978">
        <f t="shared" si="18"/>
        <v>150</v>
      </c>
      <c r="AV69" s="978">
        <f t="shared" si="19"/>
        <v>3.0313051199999999</v>
      </c>
    </row>
    <row r="70" spans="1:48">
      <c r="A70" s="975">
        <f t="shared" si="13"/>
        <v>46144</v>
      </c>
      <c r="B70" s="976" t="s">
        <v>239</v>
      </c>
      <c r="C70" s="976" t="s">
        <v>16735</v>
      </c>
      <c r="D70" s="1410"/>
      <c r="E70" s="977" t="str">
        <f>IFERROR(VLOOKUP(C70, [6]條件!$A:$L, 5, 0), "")</f>
        <v>150/48/2SR6</v>
      </c>
      <c r="F70" s="978" t="str">
        <f>IFERROR(VLOOKUP(C70, [6]條件!$A:$L, 6, 0), "")</f>
        <v>FP82658×2</v>
      </c>
      <c r="G70" s="1411">
        <f>IFERROR(VLOOKUP(C70, [6]條件!$A:$L, 7, 0), "")</f>
        <v>600</v>
      </c>
      <c r="H70" s="978" t="str">
        <f>IF(ISNA(VLOOKUP(C70,[6]條件!$A$1:$K$932,11,0)),"",(VLOOKUP(C70,[6]條件!$A$1:$K$932,11,0)))</f>
        <v>黃底黑點</v>
      </c>
      <c r="I70" s="979">
        <f>IF(ISNA(VLOOKUP(C70,[6]條件!$A$1:$L$932,12,0)),"",(VLOOKUP(C70,[6]條件!$A$1:$L$932,12,0)))</f>
        <v>5.5</v>
      </c>
      <c r="J70" s="980">
        <v>21</v>
      </c>
      <c r="K70" s="980">
        <v>3</v>
      </c>
      <c r="L70" s="981"/>
      <c r="M70" s="981">
        <v>6670</v>
      </c>
      <c r="N70" s="982">
        <v>27</v>
      </c>
      <c r="O70" s="980">
        <v>2</v>
      </c>
      <c r="P70" s="981" t="s">
        <v>632</v>
      </c>
      <c r="Q70" s="981">
        <v>8240</v>
      </c>
      <c r="R70" s="982">
        <v>13</v>
      </c>
      <c r="S70" s="980">
        <v>1</v>
      </c>
      <c r="T70" s="981" t="s">
        <v>632</v>
      </c>
      <c r="U70" s="981">
        <v>7960</v>
      </c>
      <c r="V70" s="982">
        <v>15</v>
      </c>
      <c r="W70" s="980">
        <v>3</v>
      </c>
      <c r="X70" s="981" t="s">
        <v>632</v>
      </c>
      <c r="Y70" s="983">
        <v>6940</v>
      </c>
      <c r="Z70" s="1412">
        <f>IFERROR(VLOOKUP(C70, [6]條件!$A:$L, 3, 0), "")</f>
        <v>4.9655172413793105</v>
      </c>
      <c r="AA70" s="984">
        <f>IF(OR(L70={"改紡","檢修","了機","清車","FINAL","停機","SAMPLE","TEST","絲開發"}), L70, IFERROR(IF(C70="", "", (SUM(J70, N70, R70, V70)/3 * AG70) * IF(AND(AF70="S", AS70="雙"), 0.5, 1)), ""))</f>
        <v>50.666666666666664</v>
      </c>
      <c r="AB70" s="1413">
        <f t="shared" si="11"/>
        <v>0.99128605769230771</v>
      </c>
      <c r="AC70" s="984">
        <f>IF(OR(L70={"改紡","檢修","了機","清車","FINAL","停機","SAMPLE","TEST"}), "", IFERROR(IF(C70="", "", AVERAGE(L70:M70, P70:Q70, T70:U70, X70:Y70)/100), ""))</f>
        <v>74.525000000000006</v>
      </c>
      <c r="AD70" s="984">
        <f t="shared" si="14"/>
        <v>6.333333333333333</v>
      </c>
      <c r="AE70" s="984">
        <f t="shared" si="12"/>
        <v>5.583333333333333</v>
      </c>
      <c r="AF70" s="985" t="str">
        <f t="shared" si="15"/>
        <v>T</v>
      </c>
      <c r="AG70" s="1414">
        <v>2</v>
      </c>
      <c r="AH70" s="1002" t="s">
        <v>638</v>
      </c>
      <c r="AI70" s="1002" t="s">
        <v>638</v>
      </c>
      <c r="AJ70" s="986" t="s">
        <v>16113</v>
      </c>
      <c r="AK70" s="1417" t="s">
        <v>16113</v>
      </c>
      <c r="AL70" s="1415">
        <v>56</v>
      </c>
      <c r="AM70" s="1323">
        <v>46116</v>
      </c>
      <c r="AN70" s="1323">
        <v>46117</v>
      </c>
      <c r="AO70" s="1323">
        <v>46118</v>
      </c>
      <c r="AP70" s="1323"/>
      <c r="AQ70" s="1323"/>
      <c r="AR70" s="987"/>
      <c r="AS70" s="978" t="str">
        <f t="shared" si="16"/>
        <v>雙</v>
      </c>
      <c r="AT70" s="978" t="str">
        <f t="shared" si="17"/>
        <v>半</v>
      </c>
      <c r="AU70" s="978">
        <f t="shared" si="18"/>
        <v>150</v>
      </c>
      <c r="AV70" s="978">
        <f t="shared" si="19"/>
        <v>2.3180256000000004</v>
      </c>
    </row>
    <row r="71" spans="1:48">
      <c r="A71" s="975">
        <f t="shared" si="13"/>
        <v>46144</v>
      </c>
      <c r="B71" s="976" t="s">
        <v>388</v>
      </c>
      <c r="C71" s="976" t="s">
        <v>16730</v>
      </c>
      <c r="D71" s="1410" t="s">
        <v>633</v>
      </c>
      <c r="E71" s="977" t="str">
        <f>IFERROR(VLOOKUP(C71, [6]條件!$A:$L, 5, 0), "")</f>
        <v>225/72/2SDr</v>
      </c>
      <c r="F71" s="978" t="str">
        <f>IFERROR(VLOOKUP(C71, [6]條件!$A:$L, 6, 0), "")</f>
        <v>FP83024R×2</v>
      </c>
      <c r="G71" s="1411">
        <f>IFERROR(VLOOKUP(C71, [6]條件!$A:$L, 7, 0), "")</f>
        <v>550</v>
      </c>
      <c r="H71" s="978" t="str">
        <f>IF(ISNA(VLOOKUP(C71,[6]條件!$A$1:$K$932,11,0)),"",(VLOOKUP(C71,[6]條件!$A$1:$K$932,11,0)))</f>
        <v>灰色</v>
      </c>
      <c r="I71" s="979">
        <f>IF(ISNA(VLOOKUP(C71,[6]條件!$A$1:$L$932,12,0)),"",(VLOOKUP(C71,[6]條件!$A$1:$L$932,12,0)))</f>
        <v>5.5</v>
      </c>
      <c r="J71" s="980">
        <v>12</v>
      </c>
      <c r="K71" s="980">
        <v>0</v>
      </c>
      <c r="L71" s="981">
        <v>7130</v>
      </c>
      <c r="M71" s="981"/>
      <c r="N71" s="982">
        <v>8</v>
      </c>
      <c r="O71" s="980">
        <v>0</v>
      </c>
      <c r="P71" s="981">
        <v>7220</v>
      </c>
      <c r="Q71" s="981"/>
      <c r="R71" s="982">
        <v>6</v>
      </c>
      <c r="S71" s="980">
        <v>0</v>
      </c>
      <c r="T71" s="981">
        <v>7040</v>
      </c>
      <c r="U71" s="981"/>
      <c r="V71" s="982">
        <v>14</v>
      </c>
      <c r="W71" s="980">
        <v>0</v>
      </c>
      <c r="X71" s="981">
        <v>7040</v>
      </c>
      <c r="Y71" s="983"/>
      <c r="Z71" s="1412">
        <f>IFERROR(VLOOKUP(C71, [6]條件!$A:$L, 3, 0), "")</f>
        <v>6.6055045871559628</v>
      </c>
      <c r="AA71" s="984">
        <f>IF(OR(L71={"改紡","檢修","了機","清車","FINAL","停機","SAMPLE","TEST","絲開發"}), L71, IFERROR(IF(C71="", "", (SUM(J71, N71, R71, V71)/3 * AG71) * IF(AND(AF71="S", AS71="雙"), 0.5, 1)), ""))</f>
        <v>26.666666666666668</v>
      </c>
      <c r="AB71" s="1413">
        <f t="shared" si="11"/>
        <v>1</v>
      </c>
      <c r="AC71" s="984">
        <f>IF(OR(L71={"改紡","檢修","了機","清車","FINAL","停機","SAMPLE","TEST"}), "", IFERROR(IF(C71="", "", AVERAGE(L71:M71, P71:Q71, T71:U71, X71:Y71)/100), ""))</f>
        <v>71.075000000000003</v>
      </c>
      <c r="AD71" s="984">
        <f t="shared" si="14"/>
        <v>3.3333333333333335</v>
      </c>
      <c r="AE71" s="984">
        <f t="shared" si="12"/>
        <v>3.3333333333333335</v>
      </c>
      <c r="AF71" s="985" t="str">
        <f t="shared" si="15"/>
        <v>T</v>
      </c>
      <c r="AG71" s="1414">
        <v>2</v>
      </c>
      <c r="AH71" s="1002" t="s">
        <v>651</v>
      </c>
      <c r="AI71" s="1002" t="s">
        <v>651</v>
      </c>
      <c r="AJ71" s="986" t="s">
        <v>835</v>
      </c>
      <c r="AK71" s="1417" t="s">
        <v>835</v>
      </c>
      <c r="AL71" s="1415">
        <v>53</v>
      </c>
      <c r="AM71" s="1323">
        <v>46126</v>
      </c>
      <c r="AN71" s="1323">
        <v>46127</v>
      </c>
      <c r="AO71" s="1323">
        <v>46130</v>
      </c>
      <c r="AP71" s="1323">
        <v>46131</v>
      </c>
      <c r="AQ71" s="1323"/>
      <c r="AR71" s="987"/>
      <c r="AS71" s="978" t="str">
        <f t="shared" si="16"/>
        <v>雙</v>
      </c>
      <c r="AT71" s="978" t="str">
        <f t="shared" si="17"/>
        <v>半</v>
      </c>
      <c r="AU71" s="978">
        <f t="shared" si="18"/>
        <v>225</v>
      </c>
      <c r="AV71" s="978">
        <f t="shared" si="19"/>
        <v>3.0397355999999998</v>
      </c>
    </row>
    <row r="72" spans="1:48">
      <c r="A72" s="975">
        <f t="shared" si="13"/>
        <v>46144</v>
      </c>
      <c r="B72" s="976" t="s">
        <v>388</v>
      </c>
      <c r="C72" s="976" t="s">
        <v>16736</v>
      </c>
      <c r="D72" s="1410" t="s">
        <v>633</v>
      </c>
      <c r="E72" s="977" t="str">
        <f>IFERROR(VLOOKUP(C72, [6]條件!$A:$L, 5, 0), "")</f>
        <v>150/48/2SDr</v>
      </c>
      <c r="F72" s="978" t="str">
        <f>IFERROR(VLOOKUP(C72, [6]條件!$A:$L, 6, 0), "")</f>
        <v>FP82170R×2</v>
      </c>
      <c r="G72" s="1411">
        <f>IFERROR(VLOOKUP(C72, [6]條件!$A:$L, 7, 0), "")</f>
        <v>700</v>
      </c>
      <c r="H72" s="978" t="str">
        <f>IF(ISNA(VLOOKUP(C72,[6]條件!$A$1:$K$932,11,0)),"",(VLOOKUP(C72,[6]條件!$A$1:$K$932,11,0)))</f>
        <v>粉紅</v>
      </c>
      <c r="I72" s="979">
        <f>IF(ISNA(VLOOKUP(C72,[6]條件!$A$1:$L$932,12,0)),"",(VLOOKUP(C72,[6]條件!$A$1:$L$932,12,0)))</f>
        <v>5.5</v>
      </c>
      <c r="J72" s="980">
        <v>15</v>
      </c>
      <c r="K72" s="980">
        <v>0</v>
      </c>
      <c r="L72" s="981"/>
      <c r="M72" s="981">
        <v>9910</v>
      </c>
      <c r="N72" s="982">
        <v>6</v>
      </c>
      <c r="O72" s="980">
        <v>0</v>
      </c>
      <c r="P72" s="981"/>
      <c r="Q72" s="981">
        <v>9910</v>
      </c>
      <c r="R72" s="982">
        <v>6</v>
      </c>
      <c r="S72" s="980">
        <v>0</v>
      </c>
      <c r="T72" s="981"/>
      <c r="U72" s="981">
        <v>9910</v>
      </c>
      <c r="V72" s="982">
        <v>34</v>
      </c>
      <c r="W72" s="980">
        <v>0</v>
      </c>
      <c r="X72" s="981"/>
      <c r="Y72" s="983">
        <v>9910</v>
      </c>
      <c r="Z72" s="1412">
        <f>IFERROR(VLOOKUP(C72, [6]條件!$A:$L, 3, 0), "")</f>
        <v>5.8775510204081636</v>
      </c>
      <c r="AA72" s="984">
        <f>IF(OR(L72={"改紡","檢修","了機","清車","FINAL","停機","SAMPLE","TEST","絲開發"}), L72, IFERROR(IF(C72="", "", (SUM(J72, N72, R72, V72)/3 * AG72) * IF(AND(AF72="S", AS72="雙"), 0.5, 1)), ""))</f>
        <v>40.666666666666664</v>
      </c>
      <c r="AB72" s="1413">
        <f t="shared" si="11"/>
        <v>1</v>
      </c>
      <c r="AC72" s="984">
        <f>IF(OR(L72={"改紡","檢修","了機","清車","FINAL","停機","SAMPLE","TEST"}), "", IFERROR(IF(C72="", "", AVERAGE(L72:M72, P72:Q72, T72:U72, X72:Y72)/100), ""))</f>
        <v>99.1</v>
      </c>
      <c r="AD72" s="984">
        <f t="shared" si="14"/>
        <v>5.083333333333333</v>
      </c>
      <c r="AE72" s="984">
        <f t="shared" si="12"/>
        <v>5.083333333333333</v>
      </c>
      <c r="AF72" s="985" t="str">
        <f t="shared" si="15"/>
        <v>T</v>
      </c>
      <c r="AG72" s="1414">
        <v>2</v>
      </c>
      <c r="AH72" s="1002" t="s">
        <v>651</v>
      </c>
      <c r="AI72" s="1002" t="s">
        <v>651</v>
      </c>
      <c r="AJ72" s="986" t="s">
        <v>835</v>
      </c>
      <c r="AK72" s="1417" t="s">
        <v>835</v>
      </c>
      <c r="AL72" s="1415">
        <v>56</v>
      </c>
      <c r="AM72" s="1323">
        <v>46140</v>
      </c>
      <c r="AN72" s="1323">
        <v>46141</v>
      </c>
      <c r="AO72" s="1323">
        <v>46142</v>
      </c>
      <c r="AP72" s="1323"/>
      <c r="AQ72" s="1323"/>
      <c r="AR72" s="987"/>
      <c r="AS72" s="978" t="str">
        <f t="shared" si="16"/>
        <v>雙</v>
      </c>
      <c r="AT72" s="978" t="str">
        <f t="shared" si="17"/>
        <v>半</v>
      </c>
      <c r="AU72" s="978">
        <f t="shared" si="18"/>
        <v>150</v>
      </c>
      <c r="AV72" s="978">
        <f t="shared" si="19"/>
        <v>3.5961408000000001</v>
      </c>
    </row>
    <row r="73" spans="1:48">
      <c r="A73" s="975">
        <f t="shared" si="13"/>
        <v>46144</v>
      </c>
      <c r="B73" s="976" t="s">
        <v>417</v>
      </c>
      <c r="C73" s="976" t="s">
        <v>16718</v>
      </c>
      <c r="D73" s="1410" t="s">
        <v>633</v>
      </c>
      <c r="E73" s="977" t="str">
        <f>IFERROR(VLOOKUP(C73, [6]條件!$A:$L, 5, 0), "")</f>
        <v>150/48/2SDr</v>
      </c>
      <c r="F73" s="978" t="str">
        <f>IFERROR(VLOOKUP(C73, [6]條件!$A:$L, 6, 0), "")</f>
        <v>FP82170R×2</v>
      </c>
      <c r="G73" s="1411">
        <f>IFERROR(VLOOKUP(C73, [6]條件!$A:$L, 7, 0), "")</f>
        <v>700</v>
      </c>
      <c r="H73" s="978" t="str">
        <f>IF(ISNA(VLOOKUP(C73,[6]條件!$A$1:$K$932,11,0)),"",(VLOOKUP(C73,[6]條件!$A$1:$K$932,11,0)))</f>
        <v>黃黑條紋</v>
      </c>
      <c r="I73" s="979">
        <f>IF(ISNA(VLOOKUP(C73,[6]條件!$A$1:$L$932,12,0)),"",(VLOOKUP(C73,[6]條件!$A$1:$L$932,12,0)))</f>
        <v>5.5</v>
      </c>
      <c r="J73" s="980">
        <v>63</v>
      </c>
      <c r="K73" s="980">
        <v>14</v>
      </c>
      <c r="L73" s="981">
        <v>9170</v>
      </c>
      <c r="M73" s="981">
        <v>8800</v>
      </c>
      <c r="N73" s="982">
        <v>2</v>
      </c>
      <c r="O73" s="980">
        <v>0</v>
      </c>
      <c r="P73" s="981">
        <v>7040</v>
      </c>
      <c r="Q73" s="981">
        <v>7410</v>
      </c>
      <c r="R73" s="982">
        <v>67</v>
      </c>
      <c r="S73" s="980">
        <v>5</v>
      </c>
      <c r="T73" s="981">
        <v>9260</v>
      </c>
      <c r="U73" s="981">
        <v>9350</v>
      </c>
      <c r="V73" s="982">
        <v>36</v>
      </c>
      <c r="W73" s="980">
        <v>0</v>
      </c>
      <c r="X73" s="981">
        <v>9370</v>
      </c>
      <c r="Y73" s="983">
        <v>7220</v>
      </c>
      <c r="Z73" s="1412">
        <f>IFERROR(VLOOKUP(C73, [6]條件!$A:$L, 3, 0), "")</f>
        <v>5.8299595141700395</v>
      </c>
      <c r="AA73" s="984">
        <f>IF(OR(L73={"改紡","檢修","了機","清車","FINAL","停機","SAMPLE","TEST","絲開發"}), L73, IFERROR(IF(C73="", "", (SUM(J73, N73, R73, V73)/3 * AG73) * IF(AND(AF73="S", AS73="雙"), 0.5, 1)), ""))</f>
        <v>56</v>
      </c>
      <c r="AB73" s="1413">
        <f t="shared" si="11"/>
        <v>0.98433159722222219</v>
      </c>
      <c r="AC73" s="984">
        <f>IF(OR(L73={"改紡","檢修","了機","清車","FINAL","停機","SAMPLE","TEST"}), "", IFERROR(IF(C73="", "", AVERAGE(L73:M73, P73:Q73, T73:U73, X73:Y73)/100), ""))</f>
        <v>84.525000000000006</v>
      </c>
      <c r="AD73" s="984">
        <f t="shared" si="14"/>
        <v>7</v>
      </c>
      <c r="AE73" s="984">
        <f t="shared" si="12"/>
        <v>6.208333333333333</v>
      </c>
      <c r="AF73" s="985" t="str">
        <f t="shared" si="15"/>
        <v>T</v>
      </c>
      <c r="AG73" s="1414">
        <v>1</v>
      </c>
      <c r="AH73" s="1002" t="s">
        <v>638</v>
      </c>
      <c r="AI73" s="1002" t="s">
        <v>638</v>
      </c>
      <c r="AJ73" s="986" t="s">
        <v>16113</v>
      </c>
      <c r="AK73" s="1417" t="s">
        <v>16113</v>
      </c>
      <c r="AL73" s="1415">
        <v>56</v>
      </c>
      <c r="AM73" s="1323">
        <v>46140</v>
      </c>
      <c r="AN73" s="1323">
        <v>46141</v>
      </c>
      <c r="AO73" s="1323">
        <v>46142</v>
      </c>
      <c r="AP73" s="1323"/>
      <c r="AQ73" s="1323"/>
      <c r="AR73" s="987"/>
      <c r="AS73" s="978" t="str">
        <f t="shared" si="16"/>
        <v>雙</v>
      </c>
      <c r="AT73" s="978" t="str">
        <f t="shared" si="17"/>
        <v>全</v>
      </c>
      <c r="AU73" s="978">
        <f t="shared" si="18"/>
        <v>150</v>
      </c>
      <c r="AV73" s="978">
        <f t="shared" si="19"/>
        <v>6.1344864000000001</v>
      </c>
    </row>
    <row r="74" spans="1:48">
      <c r="A74" s="975">
        <f t="shared" si="13"/>
        <v>46144</v>
      </c>
      <c r="B74" s="976" t="s">
        <v>240</v>
      </c>
      <c r="C74" s="988" t="s">
        <v>632</v>
      </c>
      <c r="D74" s="1410"/>
      <c r="E74" s="977" t="str">
        <f>IFERROR(VLOOKUP(C74, [6]條件!$A:$L, 5, 0), "")</f>
        <v/>
      </c>
      <c r="F74" s="978" t="str">
        <f>IFERROR(VLOOKUP(C74, [6]條件!$A:$L, 6, 0), "")</f>
        <v/>
      </c>
      <c r="G74" s="1411" t="str">
        <f>IFERROR(VLOOKUP(C74, [6]條件!$A:$L, 7, 0), "")</f>
        <v/>
      </c>
      <c r="H74" s="978" t="str">
        <f>IF(ISNA(VLOOKUP(C74,[6]條件!$A$1:$K$932,11,0)),"",(VLOOKUP(C74,[6]條件!$A$1:$K$932,11,0)))</f>
        <v/>
      </c>
      <c r="I74" s="979" t="str">
        <f>IF(ISNA(VLOOKUP(C74,[6]條件!$A$1:$L$932,12,0)),"",(VLOOKUP(C74,[6]條件!$A$1:$L$932,12,0)))</f>
        <v/>
      </c>
      <c r="J74" s="980"/>
      <c r="K74" s="980"/>
      <c r="L74" s="981" t="s">
        <v>632</v>
      </c>
      <c r="M74" s="981"/>
      <c r="N74" s="982"/>
      <c r="O74" s="980"/>
      <c r="P74" s="981" t="s">
        <v>632</v>
      </c>
      <c r="Q74" s="981"/>
      <c r="R74" s="982"/>
      <c r="S74" s="980"/>
      <c r="T74" s="981" t="s">
        <v>632</v>
      </c>
      <c r="U74" s="981"/>
      <c r="V74" s="982"/>
      <c r="W74" s="980"/>
      <c r="X74" s="981" t="s">
        <v>632</v>
      </c>
      <c r="Y74" s="983"/>
      <c r="Z74" s="1422" t="str">
        <f>IFERROR(VLOOKUP(C74, [6]條件!$A:$L, 3, 0), "")</f>
        <v/>
      </c>
      <c r="AA74" s="1167" t="str">
        <f>IF(OR(L74={"改紡","檢修","了機","清車","FINAL","停機","SAMPLE","TEST","絲開發"}), L74, IFERROR(IF(C74="", "", (SUM(J74, N74, R74, V74)/3 * AG74) * IF(AND(AF74="S", AS74="雙"), 0.5, 1)), ""))</f>
        <v>停機</v>
      </c>
      <c r="AB74" s="1423" t="str">
        <f>IF(K74="","",IF(ISERROR(1-((SUM(K74,O74,S74,W74)/((AG74*12)-(AG74*0.44)))/Z74)),"",(1-((SUM(K74,O74,S74,W74)/((AG74*12)-(AG74*0.44)))/Z74))))</f>
        <v/>
      </c>
      <c r="AC74" s="1167" t="str">
        <f>IF(OR(L74={"改紡","檢修","了機","清車","FINAL","停機","SAMPLE","TEST"}), "", IFERROR(IF(C74="", "", AVERAGE(L74:M74, P74:Q74, T74:U74, X74:Y74)/100), ""))</f>
        <v/>
      </c>
      <c r="AD74" s="1167" t="str">
        <f t="shared" si="14"/>
        <v/>
      </c>
      <c r="AE74" s="1167" t="str">
        <f>IF(P74="了機","",IF(J74="","",IF(ISERROR((SUM(J74,N74,R74,V74)-SUM(K74,O74,S74,W74))/24),"",((SUM(J74,N74,R74,V74)-SUM(K74,O74,S74,W74))/24))))</f>
        <v/>
      </c>
      <c r="AF74" s="1168" t="str">
        <f t="shared" si="15"/>
        <v>S</v>
      </c>
      <c r="AG74" s="1424">
        <v>12</v>
      </c>
      <c r="AH74" s="1002" t="s">
        <v>636</v>
      </c>
      <c r="AI74" s="1002" t="s">
        <v>636</v>
      </c>
      <c r="AJ74" s="1002" t="s">
        <v>829</v>
      </c>
      <c r="AK74" s="981" t="s">
        <v>829</v>
      </c>
      <c r="AL74" s="1415"/>
      <c r="AM74" s="1323"/>
      <c r="AN74" s="1323"/>
      <c r="AO74" s="1323"/>
      <c r="AP74" s="1323"/>
      <c r="AQ74" s="1323"/>
      <c r="AR74" s="987"/>
      <c r="AS74" s="978" t="str">
        <f t="shared" si="16"/>
        <v>單</v>
      </c>
      <c r="AT74" s="978" t="str">
        <f t="shared" si="17"/>
        <v>12sec</v>
      </c>
      <c r="AU74" s="978" t="str">
        <f t="shared" si="18"/>
        <v/>
      </c>
      <c r="AV74" s="978" t="str">
        <f t="shared" si="19"/>
        <v/>
      </c>
    </row>
    <row r="75" spans="1:48">
      <c r="A75" s="975">
        <f t="shared" si="13"/>
        <v>46144</v>
      </c>
      <c r="B75" s="976" t="s">
        <v>242</v>
      </c>
      <c r="C75" s="976" t="s">
        <v>385</v>
      </c>
      <c r="D75" s="1410"/>
      <c r="E75" s="977" t="str">
        <f>IFERROR(VLOOKUP(C75, [6]條件!$A:$L, 5, 0), "")</f>
        <v/>
      </c>
      <c r="F75" s="978" t="str">
        <f>IFERROR(VLOOKUP(C75, [6]條件!$A:$L, 6, 0), "")</f>
        <v/>
      </c>
      <c r="G75" s="1411" t="str">
        <f>IFERROR(VLOOKUP(C75, [6]條件!$A:$L, 7, 0), "")</f>
        <v/>
      </c>
      <c r="H75" s="978" t="str">
        <f>IF(ISNA(VLOOKUP(C75,[6]條件!$A$1:$K$932,11,0)),"",(VLOOKUP(C75,[6]條件!$A$1:$K$932,11,0)))</f>
        <v/>
      </c>
      <c r="I75" s="979" t="str">
        <f>IF(ISNA(VLOOKUP(C75,[6]條件!$A$1:$L$932,12,0)),"",(VLOOKUP(C75,[6]條件!$A$1:$L$932,12,0)))</f>
        <v/>
      </c>
      <c r="J75" s="980"/>
      <c r="K75" s="980"/>
      <c r="L75" s="981" t="s">
        <v>385</v>
      </c>
      <c r="M75" s="981"/>
      <c r="N75" s="982"/>
      <c r="O75" s="980"/>
      <c r="P75" s="981" t="s">
        <v>385</v>
      </c>
      <c r="Q75" s="981"/>
      <c r="R75" s="982"/>
      <c r="S75" s="980"/>
      <c r="T75" s="981" t="s">
        <v>385</v>
      </c>
      <c r="U75" s="981"/>
      <c r="V75" s="982"/>
      <c r="W75" s="980"/>
      <c r="X75" s="981" t="s">
        <v>385</v>
      </c>
      <c r="Y75" s="983"/>
      <c r="Z75" s="1422" t="str">
        <f>IFERROR(VLOOKUP(C75, [6]條件!$A:$L, 3, 0), "")</f>
        <v/>
      </c>
      <c r="AA75" s="1167" t="str">
        <f>IF(OR(L75={"改紡","檢修","了機","清車","FINAL","停機","SAMPLE","TEST","絲開發"}), L75, IFERROR(IF(C75="", "", (SUM(J75, N75, R75, V75)/3 * AG75) * IF(AND(AF75="S", AS75="雙"), 0.5, 1)), ""))</f>
        <v>絲開發</v>
      </c>
      <c r="AB75" s="1423" t="str">
        <f>IF(K75="","",IF(ISERROR(1-((SUM(K75,O75,S75,W75)/((AG75*12)-(AG75*0.44)))/Z75)),"",(1-((SUM(K75,O75,S75,W75)/((AG75*12)-(AG75*0.44)))/Z75))))</f>
        <v/>
      </c>
      <c r="AC75" s="1167" t="str">
        <f>IF(OR(L75={"改紡","檢修","了機","清車","FINAL","停機","SAMPLE","TEST"}), "", IFERROR(IF(C75="", "", AVERAGE(L75:M75, P75:Q75, T75:U75, X75:Y75)/100), ""))</f>
        <v/>
      </c>
      <c r="AD75" s="1167" t="str">
        <f t="shared" si="14"/>
        <v/>
      </c>
      <c r="AE75" s="1167" t="str">
        <f>IF(P75="了機","",IF(J75="","",IF(ISERROR((SUM(J75,N75,R75,V75)-SUM(K75,O75,S75,W75))/24),"",((SUM(J75,N75,R75,V75)-SUM(K75,O75,S75,W75))/24))))</f>
        <v/>
      </c>
      <c r="AF75" s="1168" t="str">
        <f t="shared" si="15"/>
        <v>S</v>
      </c>
      <c r="AG75" s="1424">
        <v>5</v>
      </c>
      <c r="AH75" s="1002" t="s">
        <v>636</v>
      </c>
      <c r="AI75" s="1002" t="s">
        <v>636</v>
      </c>
      <c r="AJ75" s="986" t="s">
        <v>829</v>
      </c>
      <c r="AK75" s="1417" t="s">
        <v>829</v>
      </c>
      <c r="AL75" s="1415"/>
      <c r="AM75" s="1323"/>
      <c r="AN75" s="1323"/>
      <c r="AO75" s="1323"/>
      <c r="AP75" s="1323"/>
      <c r="AQ75" s="1323"/>
      <c r="AR75" s="987"/>
      <c r="AS75" s="978" t="str">
        <f t="shared" si="16"/>
        <v>單</v>
      </c>
      <c r="AT75" s="978" t="str">
        <f t="shared" si="17"/>
        <v>5sec</v>
      </c>
      <c r="AU75" s="978" t="str">
        <f t="shared" si="18"/>
        <v/>
      </c>
      <c r="AV75" s="978" t="str">
        <f t="shared" si="19"/>
        <v/>
      </c>
    </row>
    <row r="76" spans="1:48">
      <c r="A76" s="975">
        <f t="shared" si="13"/>
        <v>46144</v>
      </c>
      <c r="B76" s="976" t="s">
        <v>16078</v>
      </c>
      <c r="C76" s="988" t="s">
        <v>16185</v>
      </c>
      <c r="D76" s="1410"/>
      <c r="E76" s="977" t="str">
        <f>IFERROR(VLOOKUP(C76, [6]條件!$A:$L, 5, 0), "")</f>
        <v/>
      </c>
      <c r="F76" s="978" t="str">
        <f>IFERROR(VLOOKUP(C76, [6]條件!$A:$L, 6, 0), "")</f>
        <v/>
      </c>
      <c r="G76" s="1411" t="str">
        <f>IFERROR(VLOOKUP(C76, [6]條件!$A:$L, 7, 0), "")</f>
        <v/>
      </c>
      <c r="H76" s="978" t="str">
        <f>IF(ISNA(VLOOKUP(C76,[6]條件!$A$1:$K$932,11,0)),"",(VLOOKUP(C76,[6]條件!$A$1:$K$932,11,0)))</f>
        <v/>
      </c>
      <c r="I76" s="979" t="str">
        <f>IF(ISNA(VLOOKUP(C76,[6]條件!$A$1:$L$932,12,0)),"",(VLOOKUP(C76,[6]條件!$A$1:$L$932,12,0)))</f>
        <v/>
      </c>
      <c r="J76" s="980"/>
      <c r="K76" s="980"/>
      <c r="L76" s="981" t="s">
        <v>632</v>
      </c>
      <c r="M76" s="981"/>
      <c r="N76" s="982"/>
      <c r="O76" s="980"/>
      <c r="P76" s="981" t="s">
        <v>632</v>
      </c>
      <c r="Q76" s="981"/>
      <c r="R76" s="982"/>
      <c r="S76" s="980"/>
      <c r="T76" s="981" t="s">
        <v>632</v>
      </c>
      <c r="U76" s="981"/>
      <c r="V76" s="982"/>
      <c r="W76" s="980"/>
      <c r="X76" s="981" t="s">
        <v>632</v>
      </c>
      <c r="Y76" s="983"/>
      <c r="Z76" s="1412" t="str">
        <f>IFERROR(VLOOKUP(C76, [6]條件!$A:$L, 3, 0), "")</f>
        <v/>
      </c>
      <c r="AA76" s="984" t="str">
        <f>IF(OR(L76={"改紡","檢修","了機","清車","FINAL","停機","SAMPLE","TEST","絲開發"}), L76, IFERROR(IF(C76="", "", (SUM(J76, N76, R76, V76)/3 * AG76) * IF(AND(AF76="S", AS76="雙"), 0.5, 1)), ""))</f>
        <v>停機</v>
      </c>
      <c r="AB76" s="1413" t="str">
        <f t="shared" ref="AB76:AB114" si="20">IF(K76="","",IF(ISERROR(1-(SUM(K76,O76,S76,W76)/208/Z76)),"",(1-(SUM(K76,O76,S76,W76)/208/Z76))))</f>
        <v/>
      </c>
      <c r="AC76" s="984" t="str">
        <f>IF(OR(L76={"改紡","檢修","了機","清車","FINAL","停機","SAMPLE","TEST"}), "", IFERROR(IF(C76="", "", AVERAGE(L76:M76, P76:Q76, T76:U76, X76:Y76)/100), ""))</f>
        <v/>
      </c>
      <c r="AD76" s="984" t="str">
        <f t="shared" si="14"/>
        <v/>
      </c>
      <c r="AE76" s="984" t="str">
        <f>IF(OR(L76="改紡", L76="檢修", L76="了機"), "",
   IF(AND(C76&lt;&gt;"", J76&lt;&gt;""),
      IFERROR((SUM(J76, N76, R76, V76) - SUM(K76, O76, S76, W76))/24 * AG76, ""),
   "")
)</f>
        <v/>
      </c>
      <c r="AF76" s="985" t="str">
        <f t="shared" si="15"/>
        <v>M</v>
      </c>
      <c r="AG76" s="1414">
        <v>1</v>
      </c>
      <c r="AH76" s="1002" t="s">
        <v>640</v>
      </c>
      <c r="AI76" s="986" t="s">
        <v>640</v>
      </c>
      <c r="AJ76" s="986" t="s">
        <v>640</v>
      </c>
      <c r="AK76" s="1417" t="s">
        <v>640</v>
      </c>
      <c r="AL76" s="1415"/>
      <c r="AM76" s="1323"/>
      <c r="AN76" s="1323"/>
      <c r="AO76" s="1323"/>
      <c r="AP76" s="1323"/>
      <c r="AQ76" s="1323"/>
      <c r="AR76" s="987"/>
      <c r="AS76" s="978" t="str">
        <f t="shared" si="16"/>
        <v>單</v>
      </c>
      <c r="AT76" s="978" t="str">
        <f t="shared" si="17"/>
        <v>全</v>
      </c>
      <c r="AU76" s="978" t="str">
        <f t="shared" si="18"/>
        <v/>
      </c>
      <c r="AV76" s="978" t="str">
        <f t="shared" si="19"/>
        <v/>
      </c>
    </row>
    <row r="77" spans="1:48">
      <c r="A77" s="975">
        <f t="shared" si="13"/>
        <v>46144</v>
      </c>
      <c r="B77" s="976" t="s">
        <v>243</v>
      </c>
      <c r="C77" s="988" t="s">
        <v>16185</v>
      </c>
      <c r="D77" s="1410"/>
      <c r="E77" s="977" t="str">
        <f>IFERROR(VLOOKUP(C77, [6]條件!$A:$L, 5, 0), "")</f>
        <v/>
      </c>
      <c r="F77" s="978" t="str">
        <f>IFERROR(VLOOKUP(C77, [6]條件!$A:$L, 6, 0), "")</f>
        <v/>
      </c>
      <c r="G77" s="1411" t="str">
        <f>IFERROR(VLOOKUP(C77, [6]條件!$A:$L, 7, 0), "")</f>
        <v/>
      </c>
      <c r="H77" s="978" t="str">
        <f>IF(ISNA(VLOOKUP(C77,[6]條件!$A$1:$K$932,11,0)),"",(VLOOKUP(C77,[6]條件!$A$1:$K$932,11,0)))</f>
        <v/>
      </c>
      <c r="I77" s="979" t="str">
        <f>IF(ISNA(VLOOKUP(C77,[6]條件!$A$1:$L$932,12,0)),"",(VLOOKUP(C77,[6]條件!$A$1:$L$932,12,0)))</f>
        <v/>
      </c>
      <c r="J77" s="980"/>
      <c r="K77" s="980"/>
      <c r="L77" s="981" t="s">
        <v>632</v>
      </c>
      <c r="M77" s="981"/>
      <c r="N77" s="982"/>
      <c r="O77" s="980"/>
      <c r="P77" s="981" t="s">
        <v>632</v>
      </c>
      <c r="Q77" s="981"/>
      <c r="R77" s="982"/>
      <c r="S77" s="980"/>
      <c r="T77" s="981" t="s">
        <v>632</v>
      </c>
      <c r="U77" s="981"/>
      <c r="V77" s="982"/>
      <c r="W77" s="980"/>
      <c r="X77" s="981" t="s">
        <v>632</v>
      </c>
      <c r="Y77" s="983"/>
      <c r="Z77" s="1412" t="str">
        <f>IFERROR(VLOOKUP(C77, [6]條件!$A:$L, 3, 0), "")</f>
        <v/>
      </c>
      <c r="AA77" s="984" t="str">
        <f>IF(OR(L77={"改紡","檢修","了機","清車","FINAL","停機","SAMPLE","TEST","絲開發"}), L77, IFERROR(IF(C77="", "", (SUM(J77, N77, R77, V77)/3 * AG77) * IF(AND(AF77="S", AS77="雙"), 0.5, 1)), ""))</f>
        <v>停機</v>
      </c>
      <c r="AB77" s="1413" t="str">
        <f t="shared" si="20"/>
        <v/>
      </c>
      <c r="AC77" s="984" t="str">
        <f>IF(OR(L77={"改紡","檢修","了機","清車","FINAL","停機","SAMPLE","TEST"}), "", IFERROR(IF(C77="", "", AVERAGE(L77:M77, P77:Q77, T77:U77, X77:Y77)/100), ""))</f>
        <v/>
      </c>
      <c r="AD77" s="984" t="str">
        <f t="shared" si="14"/>
        <v/>
      </c>
      <c r="AE77" s="984" t="str">
        <f t="shared" ref="AE77:AE114" si="21">IF(OR(L77="改紡", L77="檢修", L77="了機"), "",
IF(AND(C77&lt;&gt;"", J77&lt;&gt;""),
IFERROR((SUM(J77, N77, R77, V77) - SUM(K77, O77, S77, W77))/24 * AG77, ""),
"")
)</f>
        <v/>
      </c>
      <c r="AF77" s="985" t="str">
        <f t="shared" si="15"/>
        <v>M</v>
      </c>
      <c r="AG77" s="1414">
        <v>1</v>
      </c>
      <c r="AH77" s="1002" t="s">
        <v>640</v>
      </c>
      <c r="AI77" s="986" t="s">
        <v>640</v>
      </c>
      <c r="AJ77" s="986" t="s">
        <v>640</v>
      </c>
      <c r="AK77" s="1417" t="s">
        <v>640</v>
      </c>
      <c r="AL77" s="1415"/>
      <c r="AM77" s="1323"/>
      <c r="AN77" s="1323"/>
      <c r="AO77" s="1323"/>
      <c r="AP77" s="1323"/>
      <c r="AQ77" s="1323"/>
      <c r="AR77" s="987"/>
      <c r="AS77" s="978" t="str">
        <f t="shared" si="16"/>
        <v>單</v>
      </c>
      <c r="AT77" s="978" t="str">
        <f t="shared" si="17"/>
        <v>全</v>
      </c>
      <c r="AU77" s="978" t="str">
        <f t="shared" si="18"/>
        <v/>
      </c>
      <c r="AV77" s="978" t="str">
        <f t="shared" si="19"/>
        <v/>
      </c>
    </row>
    <row r="78" spans="1:48">
      <c r="A78" s="975">
        <f t="shared" si="13"/>
        <v>46144</v>
      </c>
      <c r="B78" s="976" t="s">
        <v>244</v>
      </c>
      <c r="C78" s="988" t="s">
        <v>16185</v>
      </c>
      <c r="D78" s="1410"/>
      <c r="E78" s="977" t="str">
        <f>IFERROR(VLOOKUP(C78, [6]條件!$A:$L, 5, 0), "")</f>
        <v/>
      </c>
      <c r="F78" s="978" t="str">
        <f>IFERROR(VLOOKUP(C78, [6]條件!$A:$L, 6, 0), "")</f>
        <v/>
      </c>
      <c r="G78" s="1411" t="str">
        <f>IFERROR(VLOOKUP(C78, [6]條件!$A:$L, 7, 0), "")</f>
        <v/>
      </c>
      <c r="H78" s="978" t="str">
        <f>IF(ISNA(VLOOKUP(C78,[6]條件!$A$1:$K$932,11,0)),"",(VLOOKUP(C78,[6]條件!$A$1:$K$932,11,0)))</f>
        <v/>
      </c>
      <c r="I78" s="979" t="str">
        <f>IF(ISNA(VLOOKUP(C78,[6]條件!$A$1:$L$932,12,0)),"",(VLOOKUP(C78,[6]條件!$A$1:$L$932,12,0)))</f>
        <v/>
      </c>
      <c r="J78" s="980"/>
      <c r="K78" s="980"/>
      <c r="L78" s="981" t="s">
        <v>632</v>
      </c>
      <c r="M78" s="981"/>
      <c r="N78" s="982"/>
      <c r="O78" s="980"/>
      <c r="P78" s="981" t="s">
        <v>632</v>
      </c>
      <c r="Q78" s="981"/>
      <c r="R78" s="982"/>
      <c r="S78" s="980"/>
      <c r="T78" s="981" t="s">
        <v>632</v>
      </c>
      <c r="U78" s="981"/>
      <c r="V78" s="982"/>
      <c r="W78" s="980"/>
      <c r="X78" s="981" t="s">
        <v>632</v>
      </c>
      <c r="Y78" s="983"/>
      <c r="Z78" s="1412" t="str">
        <f>IFERROR(VLOOKUP(C78, [6]條件!$A:$L, 3, 0), "")</f>
        <v/>
      </c>
      <c r="AA78" s="984" t="str">
        <f>IF(OR(L78={"改紡","檢修","了機","清車","FINAL","停機","SAMPLE","TEST","絲開發"}), L78, IFERROR(IF(C78="", "", (SUM(J78, N78, R78, V78)/3 * AG78) * IF(AND(AF78="S", AS78="雙"), 0.5, 1)), ""))</f>
        <v>停機</v>
      </c>
      <c r="AB78" s="1413" t="str">
        <f t="shared" si="20"/>
        <v/>
      </c>
      <c r="AC78" s="984" t="str">
        <f>IF(OR(L78={"改紡","檢修","了機","清車","FINAL","停機","SAMPLE","TEST"}), "", IFERROR(IF(C78="", "", AVERAGE(L78:M78, P78:Q78, T78:U78, X78:Y78)/100), ""))</f>
        <v/>
      </c>
      <c r="AD78" s="984" t="str">
        <f t="shared" si="14"/>
        <v/>
      </c>
      <c r="AE78" s="984" t="str">
        <f t="shared" si="21"/>
        <v/>
      </c>
      <c r="AF78" s="985" t="str">
        <f t="shared" si="15"/>
        <v>M</v>
      </c>
      <c r="AG78" s="1414">
        <v>1</v>
      </c>
      <c r="AH78" s="1002" t="s">
        <v>640</v>
      </c>
      <c r="AI78" s="986" t="s">
        <v>640</v>
      </c>
      <c r="AJ78" s="986" t="s">
        <v>640</v>
      </c>
      <c r="AK78" s="1417" t="s">
        <v>640</v>
      </c>
      <c r="AL78" s="1415"/>
      <c r="AM78" s="1323"/>
      <c r="AN78" s="1323"/>
      <c r="AO78" s="1323"/>
      <c r="AP78" s="1323"/>
      <c r="AQ78" s="1323"/>
      <c r="AR78" s="987"/>
      <c r="AS78" s="978" t="str">
        <f t="shared" si="16"/>
        <v>單</v>
      </c>
      <c r="AT78" s="978" t="str">
        <f t="shared" si="17"/>
        <v>全</v>
      </c>
      <c r="AU78" s="978" t="str">
        <f t="shared" si="18"/>
        <v/>
      </c>
      <c r="AV78" s="978" t="str">
        <f t="shared" si="19"/>
        <v/>
      </c>
    </row>
    <row r="79" spans="1:48">
      <c r="A79" s="975">
        <f t="shared" si="13"/>
        <v>46144</v>
      </c>
      <c r="B79" s="976" t="s">
        <v>245</v>
      </c>
      <c r="C79" s="988" t="s">
        <v>16185</v>
      </c>
      <c r="D79" s="1410"/>
      <c r="E79" s="977" t="str">
        <f>IFERROR(VLOOKUP(C79, [6]條件!$A:$L, 5, 0), "")</f>
        <v/>
      </c>
      <c r="F79" s="978" t="str">
        <f>IFERROR(VLOOKUP(C79, [6]條件!$A:$L, 6, 0), "")</f>
        <v/>
      </c>
      <c r="G79" s="1411" t="str">
        <f>IFERROR(VLOOKUP(C79, [6]條件!$A:$L, 7, 0), "")</f>
        <v/>
      </c>
      <c r="H79" s="978" t="str">
        <f>IF(ISNA(VLOOKUP(C79,[6]條件!$A$1:$K$932,11,0)),"",(VLOOKUP(C79,[6]條件!$A$1:$K$932,11,0)))</f>
        <v/>
      </c>
      <c r="I79" s="979" t="str">
        <f>IF(ISNA(VLOOKUP(C79,[6]條件!$A$1:$L$932,12,0)),"",(VLOOKUP(C79,[6]條件!$A$1:$L$932,12,0)))</f>
        <v/>
      </c>
      <c r="J79" s="980"/>
      <c r="K79" s="980"/>
      <c r="L79" s="981" t="s">
        <v>632</v>
      </c>
      <c r="M79" s="981"/>
      <c r="N79" s="982"/>
      <c r="O79" s="980"/>
      <c r="P79" s="981" t="s">
        <v>632</v>
      </c>
      <c r="Q79" s="981"/>
      <c r="R79" s="982"/>
      <c r="S79" s="980"/>
      <c r="T79" s="981" t="s">
        <v>632</v>
      </c>
      <c r="U79" s="981"/>
      <c r="V79" s="982"/>
      <c r="W79" s="980"/>
      <c r="X79" s="981" t="s">
        <v>632</v>
      </c>
      <c r="Y79" s="983"/>
      <c r="Z79" s="1412" t="str">
        <f>IFERROR(VLOOKUP(C79, [6]條件!$A:$L, 3, 0), "")</f>
        <v/>
      </c>
      <c r="AA79" s="984" t="str">
        <f>IF(OR(L79={"改紡","檢修","了機","清車","FINAL","停機","SAMPLE","TEST","絲開發"}), L79, IFERROR(IF(C79="", "", (SUM(J79, N79, R79, V79)/3 * AG79) * IF(AND(AF79="S", AS79="雙"), 0.5, 1)), ""))</f>
        <v>停機</v>
      </c>
      <c r="AB79" s="1413" t="str">
        <f t="shared" si="20"/>
        <v/>
      </c>
      <c r="AC79" s="984" t="str">
        <f>IF(OR(L79={"改紡","檢修","了機","清車","FINAL","停機","SAMPLE","TEST"}), "", IFERROR(IF(C79="", "", AVERAGE(L79:M79, P79:Q79, T79:U79, X79:Y79)/100), ""))</f>
        <v/>
      </c>
      <c r="AD79" s="984" t="str">
        <f t="shared" si="14"/>
        <v/>
      </c>
      <c r="AE79" s="984" t="str">
        <f t="shared" si="21"/>
        <v/>
      </c>
      <c r="AF79" s="985" t="str">
        <f t="shared" si="15"/>
        <v>M</v>
      </c>
      <c r="AG79" s="1414">
        <v>1</v>
      </c>
      <c r="AH79" s="1002" t="s">
        <v>640</v>
      </c>
      <c r="AI79" s="986" t="s">
        <v>640</v>
      </c>
      <c r="AJ79" s="986" t="s">
        <v>640</v>
      </c>
      <c r="AK79" s="1417" t="s">
        <v>640</v>
      </c>
      <c r="AL79" s="1415"/>
      <c r="AM79" s="1323"/>
      <c r="AN79" s="1323"/>
      <c r="AO79" s="1323"/>
      <c r="AP79" s="1323"/>
      <c r="AQ79" s="1323"/>
      <c r="AR79" s="987"/>
      <c r="AS79" s="978" t="str">
        <f t="shared" si="16"/>
        <v>單</v>
      </c>
      <c r="AT79" s="978" t="str">
        <f t="shared" si="17"/>
        <v>全</v>
      </c>
      <c r="AU79" s="978" t="str">
        <f t="shared" si="18"/>
        <v/>
      </c>
      <c r="AV79" s="978" t="str">
        <f t="shared" si="19"/>
        <v/>
      </c>
    </row>
    <row r="80" spans="1:48">
      <c r="A80" s="975">
        <f t="shared" si="13"/>
        <v>46144</v>
      </c>
      <c r="B80" s="976" t="s">
        <v>246</v>
      </c>
      <c r="C80" s="988" t="s">
        <v>16185</v>
      </c>
      <c r="D80" s="1410"/>
      <c r="E80" s="977" t="str">
        <f>IFERROR(VLOOKUP(C80, [6]條件!$A:$L, 5, 0), "")</f>
        <v/>
      </c>
      <c r="F80" s="978" t="str">
        <f>IFERROR(VLOOKUP(C80, [6]條件!$A:$L, 6, 0), "")</f>
        <v/>
      </c>
      <c r="G80" s="1411" t="str">
        <f>IFERROR(VLOOKUP(C80, [6]條件!$A:$L, 7, 0), "")</f>
        <v/>
      </c>
      <c r="H80" s="978" t="str">
        <f>IF(ISNA(VLOOKUP(C80,[6]條件!$A$1:$K$932,11,0)),"",(VLOOKUP(C80,[6]條件!$A$1:$K$932,11,0)))</f>
        <v/>
      </c>
      <c r="I80" s="979" t="str">
        <f>IF(ISNA(VLOOKUP(C80,[6]條件!$A$1:$L$932,12,0)),"",(VLOOKUP(C80,[6]條件!$A$1:$L$932,12,0)))</f>
        <v/>
      </c>
      <c r="J80" s="980"/>
      <c r="K80" s="980"/>
      <c r="L80" s="981" t="s">
        <v>632</v>
      </c>
      <c r="M80" s="981"/>
      <c r="N80" s="982"/>
      <c r="O80" s="980"/>
      <c r="P80" s="981" t="s">
        <v>632</v>
      </c>
      <c r="Q80" s="981"/>
      <c r="R80" s="982"/>
      <c r="S80" s="980"/>
      <c r="T80" s="981" t="s">
        <v>632</v>
      </c>
      <c r="U80" s="981"/>
      <c r="V80" s="982"/>
      <c r="W80" s="980"/>
      <c r="X80" s="981" t="s">
        <v>632</v>
      </c>
      <c r="Y80" s="983"/>
      <c r="Z80" s="1412" t="str">
        <f>IFERROR(VLOOKUP(C80, [6]條件!$A:$L, 3, 0), "")</f>
        <v/>
      </c>
      <c r="AA80" s="984" t="str">
        <f>IF(OR(L80={"改紡","檢修","了機","清車","FINAL","停機","SAMPLE","TEST","絲開發"}), L80, IFERROR(IF(C80="", "", (SUM(J80, N80, R80, V80)/3 * AG80) * IF(AND(AF80="S", AS80="雙"), 0.5, 1)), ""))</f>
        <v>停機</v>
      </c>
      <c r="AB80" s="1413" t="str">
        <f t="shared" si="20"/>
        <v/>
      </c>
      <c r="AC80" s="984" t="str">
        <f>IF(OR(L80={"改紡","檢修","了機","清車","FINAL","停機","SAMPLE","TEST"}), "", IFERROR(IF(C80="", "", AVERAGE(L80:M80, P80:Q80, T80:U80, X80:Y80)/100), ""))</f>
        <v/>
      </c>
      <c r="AD80" s="984" t="str">
        <f t="shared" si="14"/>
        <v/>
      </c>
      <c r="AE80" s="984" t="str">
        <f t="shared" si="21"/>
        <v/>
      </c>
      <c r="AF80" s="985" t="str">
        <f t="shared" si="15"/>
        <v>M</v>
      </c>
      <c r="AG80" s="1414">
        <v>1</v>
      </c>
      <c r="AH80" s="1002" t="s">
        <v>640</v>
      </c>
      <c r="AI80" s="986" t="s">
        <v>640</v>
      </c>
      <c r="AJ80" s="986" t="s">
        <v>640</v>
      </c>
      <c r="AK80" s="1417" t="s">
        <v>640</v>
      </c>
      <c r="AL80" s="1415"/>
      <c r="AM80" s="1323"/>
      <c r="AN80" s="1323"/>
      <c r="AO80" s="1323"/>
      <c r="AP80" s="1323"/>
      <c r="AQ80" s="1323"/>
      <c r="AR80" s="987"/>
      <c r="AS80" s="978" t="str">
        <f t="shared" si="16"/>
        <v>單</v>
      </c>
      <c r="AT80" s="978" t="str">
        <f t="shared" si="17"/>
        <v>全</v>
      </c>
      <c r="AU80" s="978" t="str">
        <f t="shared" si="18"/>
        <v/>
      </c>
      <c r="AV80" s="978" t="str">
        <f t="shared" si="19"/>
        <v/>
      </c>
    </row>
    <row r="81" spans="1:48">
      <c r="A81" s="975">
        <f t="shared" si="13"/>
        <v>46144</v>
      </c>
      <c r="B81" s="976" t="s">
        <v>247</v>
      </c>
      <c r="C81" s="988" t="s">
        <v>16185</v>
      </c>
      <c r="D81" s="1410"/>
      <c r="E81" s="977" t="str">
        <f>IFERROR(VLOOKUP(C81, [6]條件!$A:$L, 5, 0), "")</f>
        <v/>
      </c>
      <c r="F81" s="978" t="str">
        <f>IFERROR(VLOOKUP(C81, [6]條件!$A:$L, 6, 0), "")</f>
        <v/>
      </c>
      <c r="G81" s="1411" t="str">
        <f>IFERROR(VLOOKUP(C81, [6]條件!$A:$L, 7, 0), "")</f>
        <v/>
      </c>
      <c r="H81" s="978" t="str">
        <f>IF(ISNA(VLOOKUP(C81,[6]條件!$A$1:$K$932,11,0)),"",(VLOOKUP(C81,[6]條件!$A$1:$K$932,11,0)))</f>
        <v/>
      </c>
      <c r="I81" s="979" t="str">
        <f>IF(ISNA(VLOOKUP(C81,[6]條件!$A$1:$L$932,12,0)),"",(VLOOKUP(C81,[6]條件!$A$1:$L$932,12,0)))</f>
        <v/>
      </c>
      <c r="J81" s="980"/>
      <c r="K81" s="980"/>
      <c r="L81" s="981" t="s">
        <v>632</v>
      </c>
      <c r="M81" s="981"/>
      <c r="N81" s="982"/>
      <c r="O81" s="980"/>
      <c r="P81" s="981" t="s">
        <v>632</v>
      </c>
      <c r="Q81" s="981"/>
      <c r="R81" s="982"/>
      <c r="S81" s="980"/>
      <c r="T81" s="981" t="s">
        <v>632</v>
      </c>
      <c r="U81" s="981"/>
      <c r="V81" s="982"/>
      <c r="W81" s="980"/>
      <c r="X81" s="981" t="s">
        <v>632</v>
      </c>
      <c r="Y81" s="983"/>
      <c r="Z81" s="1412" t="str">
        <f>IFERROR(VLOOKUP(C81, [6]條件!$A:$L, 3, 0), "")</f>
        <v/>
      </c>
      <c r="AA81" s="984" t="str">
        <f>IF(OR(L81={"改紡","檢修","了機","清車","FINAL","停機","SAMPLE","TEST","絲開發"}), L81, IFERROR(IF(C81="", "", (SUM(J81, N81, R81, V81)/3 * AG81) * IF(AND(AF81="S", AS81="雙"), 0.5, 1)), ""))</f>
        <v>停機</v>
      </c>
      <c r="AB81" s="1413" t="str">
        <f t="shared" si="20"/>
        <v/>
      </c>
      <c r="AC81" s="984" t="str">
        <f>IF(OR(L81={"改紡","檢修","了機","清車","FINAL","停機","SAMPLE","TEST"}), "", IFERROR(IF(C81="", "", AVERAGE(L81:M81, P81:Q81, T81:U81, X81:Y81)/100), ""))</f>
        <v/>
      </c>
      <c r="AD81" s="984" t="str">
        <f t="shared" si="14"/>
        <v/>
      </c>
      <c r="AE81" s="984" t="str">
        <f t="shared" si="21"/>
        <v/>
      </c>
      <c r="AF81" s="985" t="str">
        <f t="shared" si="15"/>
        <v>M</v>
      </c>
      <c r="AG81" s="1414">
        <v>1</v>
      </c>
      <c r="AH81" s="1002" t="s">
        <v>640</v>
      </c>
      <c r="AI81" s="986" t="s">
        <v>640</v>
      </c>
      <c r="AJ81" s="986" t="s">
        <v>640</v>
      </c>
      <c r="AK81" s="1417" t="s">
        <v>640</v>
      </c>
      <c r="AL81" s="1415"/>
      <c r="AM81" s="1323"/>
      <c r="AN81" s="1323"/>
      <c r="AO81" s="1323"/>
      <c r="AP81" s="1323"/>
      <c r="AQ81" s="1323"/>
      <c r="AR81" s="987"/>
      <c r="AS81" s="978" t="str">
        <f t="shared" si="16"/>
        <v>單</v>
      </c>
      <c r="AT81" s="978" t="str">
        <f t="shared" si="17"/>
        <v>全</v>
      </c>
      <c r="AU81" s="978" t="str">
        <f t="shared" si="18"/>
        <v/>
      </c>
      <c r="AV81" s="978" t="str">
        <f t="shared" si="19"/>
        <v/>
      </c>
    </row>
    <row r="82" spans="1:48">
      <c r="A82" s="975">
        <f t="shared" si="13"/>
        <v>46144</v>
      </c>
      <c r="B82" s="976" t="s">
        <v>248</v>
      </c>
      <c r="C82" s="988" t="s">
        <v>16185</v>
      </c>
      <c r="D82" s="1410"/>
      <c r="E82" s="977" t="str">
        <f>IFERROR(VLOOKUP(C82, [6]條件!$A:$L, 5, 0), "")</f>
        <v/>
      </c>
      <c r="F82" s="978" t="str">
        <f>IFERROR(VLOOKUP(C82, [6]條件!$A:$L, 6, 0), "")</f>
        <v/>
      </c>
      <c r="G82" s="1411" t="str">
        <f>IFERROR(VLOOKUP(C82, [6]條件!$A:$L, 7, 0), "")</f>
        <v/>
      </c>
      <c r="H82" s="978" t="str">
        <f>IF(ISNA(VLOOKUP(C82,[6]條件!$A$1:$K$932,11,0)),"",(VLOOKUP(C82,[6]條件!$A$1:$K$932,11,0)))</f>
        <v/>
      </c>
      <c r="I82" s="979" t="str">
        <f>IF(ISNA(VLOOKUP(C82,[6]條件!$A$1:$L$932,12,0)),"",(VLOOKUP(C82,[6]條件!$A$1:$L$932,12,0)))</f>
        <v/>
      </c>
      <c r="J82" s="980"/>
      <c r="K82" s="980"/>
      <c r="L82" s="981" t="s">
        <v>632</v>
      </c>
      <c r="M82" s="981"/>
      <c r="N82" s="982"/>
      <c r="O82" s="980"/>
      <c r="P82" s="981" t="s">
        <v>632</v>
      </c>
      <c r="Q82" s="981"/>
      <c r="R82" s="982"/>
      <c r="S82" s="980"/>
      <c r="T82" s="981" t="s">
        <v>632</v>
      </c>
      <c r="U82" s="981"/>
      <c r="V82" s="982"/>
      <c r="W82" s="980"/>
      <c r="X82" s="981" t="s">
        <v>632</v>
      </c>
      <c r="Y82" s="983"/>
      <c r="Z82" s="1412" t="str">
        <f>IFERROR(VLOOKUP(C82, [6]條件!$A:$L, 3, 0), "")</f>
        <v/>
      </c>
      <c r="AA82" s="984" t="str">
        <f>IF(OR(L82={"改紡","檢修","了機","清車","FINAL","停機","SAMPLE","TEST","絲開發"}), L82, IFERROR(IF(C82="", "", (SUM(J82, N82, R82, V82)/3 * AG82) * IF(AND(AF82="S", AS82="雙"), 0.5, 1)), ""))</f>
        <v>停機</v>
      </c>
      <c r="AB82" s="1413" t="str">
        <f t="shared" si="20"/>
        <v/>
      </c>
      <c r="AC82" s="984" t="str">
        <f>IF(OR(L82={"改紡","檢修","了機","清車","FINAL","停機","SAMPLE","TEST"}), "", IFERROR(IF(C82="", "", AVERAGE(L82:M82, P82:Q82, T82:U82, X82:Y82)/100), ""))</f>
        <v/>
      </c>
      <c r="AD82" s="984" t="str">
        <f t="shared" si="14"/>
        <v/>
      </c>
      <c r="AE82" s="984" t="str">
        <f t="shared" si="21"/>
        <v/>
      </c>
      <c r="AF82" s="985" t="str">
        <f t="shared" si="15"/>
        <v>M</v>
      </c>
      <c r="AG82" s="1414">
        <v>1</v>
      </c>
      <c r="AH82" s="1002" t="s">
        <v>640</v>
      </c>
      <c r="AI82" s="986" t="s">
        <v>640</v>
      </c>
      <c r="AJ82" s="986" t="s">
        <v>640</v>
      </c>
      <c r="AK82" s="1417" t="s">
        <v>640</v>
      </c>
      <c r="AL82" s="1415"/>
      <c r="AM82" s="1323"/>
      <c r="AN82" s="1323"/>
      <c r="AO82" s="1323"/>
      <c r="AP82" s="1323"/>
      <c r="AQ82" s="1323"/>
      <c r="AR82" s="987"/>
      <c r="AS82" s="978" t="str">
        <f t="shared" si="16"/>
        <v>單</v>
      </c>
      <c r="AT82" s="978" t="str">
        <f t="shared" si="17"/>
        <v>全</v>
      </c>
      <c r="AU82" s="978" t="str">
        <f t="shared" si="18"/>
        <v/>
      </c>
      <c r="AV82" s="978" t="str">
        <f t="shared" si="19"/>
        <v/>
      </c>
    </row>
    <row r="83" spans="1:48" ht="17.25" thickBot="1">
      <c r="A83" s="989">
        <f t="shared" si="13"/>
        <v>46144</v>
      </c>
      <c r="B83" s="990" t="s">
        <v>249</v>
      </c>
      <c r="C83" s="991" t="s">
        <v>16185</v>
      </c>
      <c r="D83" s="1425"/>
      <c r="E83" s="1169" t="str">
        <f>IFERROR(VLOOKUP(C83, [6]條件!$A:$L, 5, 0), "")</f>
        <v/>
      </c>
      <c r="F83" s="992" t="str">
        <f>IFERROR(VLOOKUP(C83, [6]條件!$A:$L, 6, 0), "")</f>
        <v/>
      </c>
      <c r="G83" s="1426" t="str">
        <f>IFERROR(VLOOKUP(C83, [6]條件!$A:$L, 7, 0), "")</f>
        <v/>
      </c>
      <c r="H83" s="992" t="str">
        <f>IF(ISNA(VLOOKUP(C83,[6]條件!$A$1:$K$932,11,0)),"",(VLOOKUP(C83,[6]條件!$A$1:$K$932,11,0)))</f>
        <v/>
      </c>
      <c r="I83" s="1170" t="str">
        <f>IF(ISNA(VLOOKUP(C83,[6]條件!$A$1:$L$932,12,0)),"",(VLOOKUP(C83,[6]條件!$A$1:$L$932,12,0)))</f>
        <v/>
      </c>
      <c r="J83" s="993"/>
      <c r="K83" s="993"/>
      <c r="L83" s="994" t="s">
        <v>632</v>
      </c>
      <c r="M83" s="994"/>
      <c r="N83" s="995"/>
      <c r="O83" s="993"/>
      <c r="P83" s="994" t="s">
        <v>632</v>
      </c>
      <c r="Q83" s="994"/>
      <c r="R83" s="995"/>
      <c r="S83" s="993"/>
      <c r="T83" s="994" t="s">
        <v>632</v>
      </c>
      <c r="U83" s="994"/>
      <c r="V83" s="995"/>
      <c r="W83" s="993"/>
      <c r="X83" s="994" t="s">
        <v>632</v>
      </c>
      <c r="Y83" s="996"/>
      <c r="Z83" s="1427" t="str">
        <f>IFERROR(VLOOKUP(C83, [6]條件!$A:$L, 3, 0), "")</f>
        <v/>
      </c>
      <c r="AA83" s="997" t="str">
        <f>IF(OR(L83={"改紡","檢修","了機","清車","FINAL","停機","SAMPLE","TEST","絲開發"}), L83, IFERROR(IF(C83="", "", (SUM(J83, N83, R83, V83)/3 * AG83) * IF(AND(AF83="S", AS83="雙"), 0.5, 1)), ""))</f>
        <v>停機</v>
      </c>
      <c r="AB83" s="1428" t="str">
        <f t="shared" si="20"/>
        <v/>
      </c>
      <c r="AC83" s="997" t="str">
        <f>IF(OR(L83={"改紡","檢修","了機","清車","FINAL","停機","SAMPLE","TEST"}), "", IFERROR(IF(C83="", "", AVERAGE(L83:M83, P83:Q83, T83:U83, X83:Y83)/100), ""))</f>
        <v/>
      </c>
      <c r="AD83" s="997" t="str">
        <f t="shared" si="14"/>
        <v/>
      </c>
      <c r="AE83" s="997" t="str">
        <f t="shared" si="21"/>
        <v/>
      </c>
      <c r="AF83" s="998" t="str">
        <f t="shared" si="15"/>
        <v>M</v>
      </c>
      <c r="AG83" s="1429">
        <v>1</v>
      </c>
      <c r="AH83" s="1171" t="s">
        <v>640</v>
      </c>
      <c r="AI83" s="999" t="s">
        <v>640</v>
      </c>
      <c r="AJ83" s="999" t="s">
        <v>640</v>
      </c>
      <c r="AK83" s="1430" t="s">
        <v>640</v>
      </c>
      <c r="AL83" s="1431"/>
      <c r="AM83" s="1325"/>
      <c r="AN83" s="1325"/>
      <c r="AO83" s="1325"/>
      <c r="AP83" s="1325"/>
      <c r="AQ83" s="1325"/>
      <c r="AR83" s="1000"/>
      <c r="AS83" s="992" t="str">
        <f t="shared" si="16"/>
        <v>單</v>
      </c>
      <c r="AT83" s="992" t="str">
        <f t="shared" si="17"/>
        <v>全</v>
      </c>
      <c r="AU83" s="992" t="str">
        <f t="shared" si="18"/>
        <v/>
      </c>
      <c r="AV83" s="992" t="str">
        <f t="shared" si="19"/>
        <v/>
      </c>
    </row>
    <row r="84" spans="1:48">
      <c r="A84" s="962">
        <v>46145</v>
      </c>
      <c r="B84" s="963" t="s">
        <v>212</v>
      </c>
      <c r="C84" s="963" t="s">
        <v>632</v>
      </c>
      <c r="D84" s="1403"/>
      <c r="E84" s="964" t="str">
        <f>IFERROR(VLOOKUP(C84, [6]條件!$A:$L, 5, 0), "")</f>
        <v/>
      </c>
      <c r="F84" s="965" t="str">
        <f>IFERROR(VLOOKUP(C84, [6]條件!$A:$L, 6, 0), "")</f>
        <v/>
      </c>
      <c r="G84" s="1404" t="str">
        <f>IFERROR(VLOOKUP(C84, [6]條件!$A:$L, 7, 0), "")</f>
        <v/>
      </c>
      <c r="H84" s="965" t="str">
        <f>IF(ISNA(VLOOKUP(C84,[6]條件!$A$1:$K$932,11,0)),"",(VLOOKUP(C84,[6]條件!$A$1:$K$932,11,0)))</f>
        <v/>
      </c>
      <c r="I84" s="966" t="str">
        <f>IF(ISNA(VLOOKUP(C84,[6]條件!$A$1:$L$932,12,0)),"",(VLOOKUP(C84,[6]條件!$A$1:$L$932,12,0)))</f>
        <v/>
      </c>
      <c r="J84" s="967"/>
      <c r="K84" s="967"/>
      <c r="L84" s="968" t="s">
        <v>632</v>
      </c>
      <c r="M84" s="968"/>
      <c r="N84" s="969"/>
      <c r="O84" s="967"/>
      <c r="P84" s="968" t="s">
        <v>632</v>
      </c>
      <c r="Q84" s="968"/>
      <c r="R84" s="969"/>
      <c r="S84" s="967"/>
      <c r="T84" s="981" t="s">
        <v>632</v>
      </c>
      <c r="U84" s="968"/>
      <c r="V84" s="969"/>
      <c r="W84" s="967"/>
      <c r="X84" s="981" t="s">
        <v>632</v>
      </c>
      <c r="Y84" s="970"/>
      <c r="Z84" s="1405" t="str">
        <f>IFERROR(VLOOKUP(C84, [6]條件!$A:$L, 3, 0), "")</f>
        <v/>
      </c>
      <c r="AA84" s="971" t="str">
        <f>IF(OR(L84={"改紡","檢修","了機","清車","FINAL","停機","SAMPLE","TEST","絲開發"}), L84, IFERROR(IF(C84="", "", (SUM(J84, N84, R84, V84)/3 * AG84) * IF(AND(AF84="S", AS84="雙"), 0.5, 1)), ""))</f>
        <v>停機</v>
      </c>
      <c r="AB84" s="1406" t="str">
        <f t="shared" si="20"/>
        <v/>
      </c>
      <c r="AC84" s="971" t="str">
        <f>IF(OR(L84={"改紡","檢修","了機","清車","FINAL","停機","SAMPLE","TEST"}), "", IFERROR(IF(C84="", "", AVERAGE(L84:M84, P84:Q84, T84:U84, X84:Y84)/100), ""))</f>
        <v/>
      </c>
      <c r="AD84" s="971" t="str">
        <f t="shared" si="14"/>
        <v/>
      </c>
      <c r="AE84" s="971" t="str">
        <f t="shared" si="21"/>
        <v/>
      </c>
      <c r="AF84" s="972" t="str">
        <f t="shared" si="15"/>
        <v>A</v>
      </c>
      <c r="AG84" s="1407">
        <v>1</v>
      </c>
      <c r="AH84" s="1001" t="s">
        <v>641</v>
      </c>
      <c r="AI84" s="1001" t="s">
        <v>641</v>
      </c>
      <c r="AJ84" s="1166" t="s">
        <v>15368</v>
      </c>
      <c r="AK84" s="1408" t="s">
        <v>15368</v>
      </c>
      <c r="AL84" s="1409"/>
      <c r="AM84" s="1322"/>
      <c r="AN84" s="1322"/>
      <c r="AO84" s="1322"/>
      <c r="AP84" s="1322"/>
      <c r="AQ84" s="1322"/>
      <c r="AR84" s="973"/>
      <c r="AS84" s="965" t="str">
        <f t="shared" si="16"/>
        <v>單</v>
      </c>
      <c r="AT84" s="965" t="str">
        <f t="shared" si="17"/>
        <v>全</v>
      </c>
      <c r="AU84" s="965" t="str">
        <f t="shared" si="18"/>
        <v/>
      </c>
      <c r="AV84" s="965" t="str">
        <f t="shared" si="19"/>
        <v/>
      </c>
    </row>
    <row r="85" spans="1:48">
      <c r="A85" s="975">
        <f t="shared" ref="A85:A124" si="22">A84</f>
        <v>46145</v>
      </c>
      <c r="B85" s="976" t="s">
        <v>214</v>
      </c>
      <c r="C85" s="976" t="s">
        <v>16708</v>
      </c>
      <c r="D85" s="1410"/>
      <c r="E85" s="977" t="str">
        <f>IFERROR(VLOOKUP(C85, [6]條件!$A:$L, 5, 0), "")</f>
        <v>75/36SDR</v>
      </c>
      <c r="F85" s="978" t="str">
        <f>IFERROR(VLOOKUP(C85, [6]條件!$A:$L, 6, 0), "")</f>
        <v>FP81386R</v>
      </c>
      <c r="G85" s="1411">
        <f>IFERROR(VLOOKUP(C85, [6]條件!$A:$L, 7, 0), "")</f>
        <v>780</v>
      </c>
      <c r="H85" s="978" t="str">
        <f>IF(ISNA(VLOOKUP(C85,[6]條件!$A$1:$K$932,11,0)),"",(VLOOKUP(C85,[6]條件!$A$1:$K$932,11,0)))</f>
        <v>綠底白點</v>
      </c>
      <c r="I85" s="979">
        <f>IF(ISNA(VLOOKUP(C85,[6]條件!$A$1:$L$932,12,0)),"",(VLOOKUP(C85,[6]條件!$A$1:$L$932,12,0)))</f>
        <v>5</v>
      </c>
      <c r="J85" s="980">
        <v>19</v>
      </c>
      <c r="K85" s="980">
        <v>0</v>
      </c>
      <c r="L85" s="981">
        <v>9128</v>
      </c>
      <c r="M85" s="981">
        <v>8396</v>
      </c>
      <c r="N85" s="982">
        <v>8</v>
      </c>
      <c r="O85" s="980">
        <v>0</v>
      </c>
      <c r="P85" s="981">
        <v>8968</v>
      </c>
      <c r="Q85" s="981">
        <v>8307</v>
      </c>
      <c r="R85" s="982">
        <v>10</v>
      </c>
      <c r="S85" s="980">
        <v>0</v>
      </c>
      <c r="T85" s="981">
        <v>8964</v>
      </c>
      <c r="U85" s="981">
        <v>8349</v>
      </c>
      <c r="V85" s="982">
        <v>22</v>
      </c>
      <c r="W85" s="980">
        <v>0</v>
      </c>
      <c r="X85" s="981">
        <v>8733</v>
      </c>
      <c r="Y85" s="983">
        <v>8456</v>
      </c>
      <c r="Z85" s="1412">
        <f>IFERROR(VLOOKUP(C85, [6]條件!$A:$L, 3, 0), "")</f>
        <v>1.7777777777777777</v>
      </c>
      <c r="AA85" s="984">
        <f>IF(OR(L85={"改紡","檢修","了機","清車","FINAL","停機","SAMPLE","TEST","絲開發"}), L85, IFERROR(IF(C85="", "", (SUM(J85, N85, R85, V85)/3 * AG85) * IF(AND(AF85="S", AS85="雙"), 0.5, 1)), ""))</f>
        <v>19.666666666666668</v>
      </c>
      <c r="AB85" s="1413">
        <f t="shared" si="20"/>
        <v>1</v>
      </c>
      <c r="AC85" s="984">
        <f>IF(OR(L85={"改紡","檢修","了機","清車","FINAL","停機","SAMPLE","TEST"}), "", IFERROR(IF(C85="", "", AVERAGE(L85:M85, P85:Q85, T85:U85, X85:Y85)/100), ""))</f>
        <v>86.626249999999999</v>
      </c>
      <c r="AD85" s="984">
        <f t="shared" si="14"/>
        <v>2.4583333333333335</v>
      </c>
      <c r="AE85" s="984">
        <f t="shared" si="21"/>
        <v>2.4583333333333335</v>
      </c>
      <c r="AF85" s="985" t="str">
        <f t="shared" si="15"/>
        <v>A</v>
      </c>
      <c r="AG85" s="1414">
        <v>1</v>
      </c>
      <c r="AH85" s="1002" t="s">
        <v>641</v>
      </c>
      <c r="AI85" s="1002" t="s">
        <v>641</v>
      </c>
      <c r="AJ85" s="1166" t="s">
        <v>15368</v>
      </c>
      <c r="AK85" s="1408" t="s">
        <v>15368</v>
      </c>
      <c r="AL85" s="1415">
        <v>50</v>
      </c>
      <c r="AM85" s="1323">
        <v>46133</v>
      </c>
      <c r="AN85" s="1323">
        <v>46138</v>
      </c>
      <c r="AO85" s="1323">
        <v>46140</v>
      </c>
      <c r="AP85" s="1323">
        <v>46141</v>
      </c>
      <c r="AQ85" s="1323"/>
      <c r="AR85" s="987"/>
      <c r="AS85" s="978" t="str">
        <f t="shared" si="16"/>
        <v>單</v>
      </c>
      <c r="AT85" s="978" t="str">
        <f t="shared" si="17"/>
        <v>全</v>
      </c>
      <c r="AU85" s="978">
        <f t="shared" si="18"/>
        <v>75</v>
      </c>
      <c r="AV85" s="978">
        <f t="shared" si="19"/>
        <v>1.7513748720000002</v>
      </c>
    </row>
    <row r="86" spans="1:48">
      <c r="A86" s="975">
        <f t="shared" si="22"/>
        <v>46145</v>
      </c>
      <c r="B86" s="976" t="s">
        <v>215</v>
      </c>
      <c r="C86" s="976" t="s">
        <v>16188</v>
      </c>
      <c r="D86" s="1410" t="s">
        <v>633</v>
      </c>
      <c r="E86" s="977" t="str">
        <f>IFERROR(VLOOKUP(C86, [6]條件!$A:$L, 5, 0), "")</f>
        <v>75/24/2SDR2</v>
      </c>
      <c r="F86" s="978" t="str">
        <f>IFERROR(VLOOKUP(C86, [6]條件!$A:$L, 6, 0), "")</f>
        <v>FP81363R×2</v>
      </c>
      <c r="G86" s="1411">
        <f>IFERROR(VLOOKUP(C86, [6]條件!$A:$L, 7, 0), "")</f>
        <v>700</v>
      </c>
      <c r="H86" s="978" t="str">
        <f>IF(ISNA(VLOOKUP(C86,[6]條件!$A$1:$K$932,11,0)),"",(VLOOKUP(C86,[6]條件!$A$1:$K$932,11,0)))</f>
        <v>白綠條紋</v>
      </c>
      <c r="I86" s="979">
        <f>IF(ISNA(VLOOKUP(C86,[6]條件!$A$1:$L$932,12,0)),"",(VLOOKUP(C86,[6]條件!$A$1:$L$932,12,0)))</f>
        <v>5</v>
      </c>
      <c r="J86" s="980"/>
      <c r="K86" s="980"/>
      <c r="L86" s="981" t="s">
        <v>127</v>
      </c>
      <c r="M86" s="981"/>
      <c r="N86" s="982"/>
      <c r="O86" s="980"/>
      <c r="P86" s="981" t="s">
        <v>127</v>
      </c>
      <c r="Q86" s="981"/>
      <c r="R86" s="982"/>
      <c r="S86" s="980"/>
      <c r="T86" s="981" t="s">
        <v>127</v>
      </c>
      <c r="U86" s="981"/>
      <c r="V86" s="982"/>
      <c r="W86" s="980"/>
      <c r="X86" s="981" t="s">
        <v>127</v>
      </c>
      <c r="Y86" s="983"/>
      <c r="Z86" s="1412">
        <f>IFERROR(VLOOKUP(C86, [6]條件!$A:$L, 3, 0), "")</f>
        <v>3.2653061224489797</v>
      </c>
      <c r="AA86" s="984" t="str">
        <f>IF(OR(L86={"改紡","檢修","了機","清車","FINAL","停機","SAMPLE","TEST","絲開發"}), L86, IFERROR(IF(C86="", "", (SUM(J86, N86, R86, V86)/3 * AG86) * IF(AND(AF86="S", AS86="雙"), 0.5, 1)), ""))</f>
        <v>了機</v>
      </c>
      <c r="AB86" s="1413" t="str">
        <f t="shared" si="20"/>
        <v/>
      </c>
      <c r="AC86" s="984" t="str">
        <f>IF(OR(L86={"改紡","檢修","了機","清車","FINAL","停機","SAMPLE","TEST"}), "", IFERROR(IF(C86="", "", AVERAGE(L86:M86, P86:Q86, T86:U86, X86:Y86)/100), ""))</f>
        <v/>
      </c>
      <c r="AD86" s="984" t="str">
        <f t="shared" si="14"/>
        <v/>
      </c>
      <c r="AE86" s="984" t="str">
        <f t="shared" si="21"/>
        <v/>
      </c>
      <c r="AF86" s="985" t="str">
        <f t="shared" si="15"/>
        <v>A</v>
      </c>
      <c r="AG86" s="1414">
        <v>1</v>
      </c>
      <c r="AH86" s="1002" t="s">
        <v>16154</v>
      </c>
      <c r="AI86" s="1002" t="s">
        <v>16154</v>
      </c>
      <c r="AJ86" s="1166" t="s">
        <v>634</v>
      </c>
      <c r="AK86" s="1416" t="s">
        <v>634</v>
      </c>
      <c r="AL86" s="1415">
        <v>53</v>
      </c>
      <c r="AM86" s="1323">
        <v>46108</v>
      </c>
      <c r="AN86" s="1323">
        <v>46109</v>
      </c>
      <c r="AO86" s="1323">
        <v>46110</v>
      </c>
      <c r="AP86" s="1323">
        <v>46111</v>
      </c>
      <c r="AQ86" s="1323"/>
      <c r="AR86" s="987"/>
      <c r="AS86" s="978" t="str">
        <f t="shared" si="16"/>
        <v>雙</v>
      </c>
      <c r="AT86" s="978" t="str">
        <f t="shared" si="17"/>
        <v>半</v>
      </c>
      <c r="AU86" s="978">
        <f t="shared" si="18"/>
        <v>75</v>
      </c>
      <c r="AV86" s="978" t="str">
        <f t="shared" si="19"/>
        <v/>
      </c>
    </row>
    <row r="87" spans="1:48">
      <c r="A87" s="975">
        <f t="shared" si="22"/>
        <v>46145</v>
      </c>
      <c r="B87" s="976" t="s">
        <v>215</v>
      </c>
      <c r="C87" s="976" t="s">
        <v>16746</v>
      </c>
      <c r="D87" s="1410" t="s">
        <v>633</v>
      </c>
      <c r="E87" s="977" t="str">
        <f>IFERROR(VLOOKUP(C87, [6]條件!$A:$L, 5, 0), "")</f>
        <v>75/24/2SDr</v>
      </c>
      <c r="F87" s="978" t="str">
        <f>IFERROR(VLOOKUP(C87, [6]條件!$A:$L, 6, 0), "")</f>
        <v>FP81391R×2</v>
      </c>
      <c r="G87" s="1411">
        <f>IFERROR(VLOOKUP(C87, [6]條件!$A:$L, 7, 0), "")</f>
        <v>700</v>
      </c>
      <c r="H87" s="978" t="str">
        <f>IF(ISNA(VLOOKUP(C87,[6]條件!$A$1:$K$932,11,0)),"",(VLOOKUP(C87,[6]條件!$A$1:$K$932,11,0)))</f>
        <v>紅底白點</v>
      </c>
      <c r="I87" s="979">
        <f>IF(ISNA(VLOOKUP(C87,[6]條件!$A$1:$L$932,12,0)),"",(VLOOKUP(C87,[6]條件!$A$1:$L$932,12,0)))</f>
        <v>5</v>
      </c>
      <c r="J87" s="980">
        <v>24</v>
      </c>
      <c r="K87" s="980">
        <v>0</v>
      </c>
      <c r="L87" s="981"/>
      <c r="M87" s="981">
        <v>7501</v>
      </c>
      <c r="N87" s="982">
        <v>4</v>
      </c>
      <c r="O87" s="980">
        <v>0</v>
      </c>
      <c r="P87" s="981"/>
      <c r="Q87" s="981">
        <v>8416</v>
      </c>
      <c r="R87" s="982">
        <v>4</v>
      </c>
      <c r="S87" s="980">
        <v>0</v>
      </c>
      <c r="T87" s="981"/>
      <c r="U87" s="981">
        <v>8461</v>
      </c>
      <c r="V87" s="982">
        <v>6</v>
      </c>
      <c r="W87" s="980">
        <v>0</v>
      </c>
      <c r="X87" s="981"/>
      <c r="Y87" s="983">
        <v>7996</v>
      </c>
      <c r="Z87" s="1412">
        <f>IFERROR(VLOOKUP(C87, [6]條件!$A:$L, 3, 0), "")</f>
        <v>3.2653061224489797</v>
      </c>
      <c r="AA87" s="984">
        <f>IF(OR(L87={"改紡","檢修","了機","清車","FINAL","停機","SAMPLE","TEST","絲開發"}), L87, IFERROR(IF(C87="", "", (SUM(J87, N87, R87, V87)/3 * AG87) * IF(AND(AF87="S", AS87="雙"), 0.5, 1)), ""))</f>
        <v>12.666666666666666</v>
      </c>
      <c r="AB87" s="1413">
        <f t="shared" si="20"/>
        <v>1</v>
      </c>
      <c r="AC87" s="984">
        <f>IF(OR(L87={"改紡","檢修","了機","清車","FINAL","停機","SAMPLE","TEST"}), "", IFERROR(IF(C87="", "", AVERAGE(L87:M87, P87:Q87, T87:U87, X87:Y87)/100), ""))</f>
        <v>80.935000000000002</v>
      </c>
      <c r="AD87" s="984">
        <f t="shared" si="14"/>
        <v>1.5833333333333333</v>
      </c>
      <c r="AE87" s="984">
        <f t="shared" si="21"/>
        <v>1.5833333333333333</v>
      </c>
      <c r="AF87" s="985" t="str">
        <f t="shared" si="15"/>
        <v>A</v>
      </c>
      <c r="AG87" s="1414">
        <v>1</v>
      </c>
      <c r="AH87" s="1002" t="s">
        <v>16154</v>
      </c>
      <c r="AI87" s="1002" t="s">
        <v>16154</v>
      </c>
      <c r="AJ87" s="986" t="s">
        <v>634</v>
      </c>
      <c r="AK87" s="1417" t="s">
        <v>634</v>
      </c>
      <c r="AL87" s="1415">
        <v>53</v>
      </c>
      <c r="AM87" s="1323">
        <v>46115</v>
      </c>
      <c r="AN87" s="1323">
        <v>46117</v>
      </c>
      <c r="AO87" s="1323">
        <v>46118</v>
      </c>
      <c r="AP87" s="1323"/>
      <c r="AQ87" s="1323"/>
      <c r="AR87" s="987"/>
      <c r="AS87" s="978" t="str">
        <f t="shared" si="16"/>
        <v>雙</v>
      </c>
      <c r="AT87" s="978" t="str">
        <f t="shared" si="17"/>
        <v>半</v>
      </c>
      <c r="AU87" s="978">
        <f t="shared" si="18"/>
        <v>75</v>
      </c>
      <c r="AV87" s="978">
        <f t="shared" si="19"/>
        <v>0.73424232000000011</v>
      </c>
    </row>
    <row r="88" spans="1:48">
      <c r="A88" s="975">
        <f t="shared" si="22"/>
        <v>46145</v>
      </c>
      <c r="B88" s="976" t="s">
        <v>216</v>
      </c>
      <c r="C88" s="976" t="s">
        <v>632</v>
      </c>
      <c r="D88" s="1410"/>
      <c r="E88" s="977" t="str">
        <f>IFERROR(VLOOKUP(C88, [6]條件!$A:$L, 5, 0), "")</f>
        <v/>
      </c>
      <c r="F88" s="978" t="str">
        <f>IFERROR(VLOOKUP(C88, [6]條件!$A:$L, 6, 0), "")</f>
        <v/>
      </c>
      <c r="G88" s="1411" t="str">
        <f>IFERROR(VLOOKUP(C88, [6]條件!$A:$L, 7, 0), "")</f>
        <v/>
      </c>
      <c r="H88" s="978" t="str">
        <f>IF(ISNA(VLOOKUP(C88,[6]條件!$A$1:$K$932,11,0)),"",(VLOOKUP(C88,[6]條件!$A$1:$K$932,11,0)))</f>
        <v/>
      </c>
      <c r="I88" s="979" t="str">
        <f>IF(ISNA(VLOOKUP(C88,[6]條件!$A$1:$L$932,12,0)),"",(VLOOKUP(C88,[6]條件!$A$1:$L$932,12,0)))</f>
        <v/>
      </c>
      <c r="J88" s="980"/>
      <c r="K88" s="980"/>
      <c r="L88" s="981" t="s">
        <v>632</v>
      </c>
      <c r="M88" s="981"/>
      <c r="N88" s="982"/>
      <c r="O88" s="980"/>
      <c r="P88" s="981" t="s">
        <v>632</v>
      </c>
      <c r="Q88" s="981"/>
      <c r="R88" s="982"/>
      <c r="S88" s="980"/>
      <c r="T88" s="981" t="s">
        <v>632</v>
      </c>
      <c r="U88" s="981"/>
      <c r="V88" s="982"/>
      <c r="W88" s="980"/>
      <c r="X88" s="981" t="s">
        <v>632</v>
      </c>
      <c r="Y88" s="983"/>
      <c r="Z88" s="1412" t="str">
        <f>IFERROR(VLOOKUP(C88, [6]條件!$A:$L, 3, 0), "")</f>
        <v/>
      </c>
      <c r="AA88" s="984" t="str">
        <f>IF(OR(L88={"改紡","檢修","了機","清車","FINAL","停機","SAMPLE","TEST","絲開發"}), L88, IFERROR(IF(C88="", "", (SUM(J88, N88, R88, V88)/3 * AG88) * IF(AND(AF88="S", AS88="雙"), 0.5, 1)), ""))</f>
        <v>停機</v>
      </c>
      <c r="AB88" s="1413" t="str">
        <f t="shared" si="20"/>
        <v/>
      </c>
      <c r="AC88" s="984" t="str">
        <f>IF(OR(L88={"改紡","檢修","了機","清車","FINAL","停機","SAMPLE","TEST"}), "", IFERROR(IF(C88="", "", AVERAGE(L88:M88, P88:Q88, T88:U88, X88:Y88)/100), ""))</f>
        <v/>
      </c>
      <c r="AD88" s="984" t="str">
        <f t="shared" si="14"/>
        <v/>
      </c>
      <c r="AE88" s="984" t="str">
        <f t="shared" si="21"/>
        <v/>
      </c>
      <c r="AF88" s="985" t="str">
        <f t="shared" si="15"/>
        <v>A</v>
      </c>
      <c r="AG88" s="1414">
        <v>1</v>
      </c>
      <c r="AH88" s="1002" t="s">
        <v>16154</v>
      </c>
      <c r="AI88" s="1002" t="s">
        <v>16154</v>
      </c>
      <c r="AJ88" s="986" t="s">
        <v>634</v>
      </c>
      <c r="AK88" s="1417" t="s">
        <v>634</v>
      </c>
      <c r="AL88" s="1415"/>
      <c r="AM88" s="1323"/>
      <c r="AN88" s="1323"/>
      <c r="AO88" s="1323"/>
      <c r="AP88" s="1323"/>
      <c r="AQ88" s="1323"/>
      <c r="AR88" s="987"/>
      <c r="AS88" s="978" t="str">
        <f t="shared" si="16"/>
        <v>單</v>
      </c>
      <c r="AT88" s="978" t="str">
        <f t="shared" si="17"/>
        <v>全</v>
      </c>
      <c r="AU88" s="978" t="str">
        <f t="shared" si="18"/>
        <v/>
      </c>
      <c r="AV88" s="978" t="str">
        <f t="shared" si="19"/>
        <v/>
      </c>
    </row>
    <row r="89" spans="1:48">
      <c r="A89" s="975">
        <f t="shared" si="22"/>
        <v>46145</v>
      </c>
      <c r="B89" s="976" t="s">
        <v>217</v>
      </c>
      <c r="C89" s="976" t="s">
        <v>16197</v>
      </c>
      <c r="D89" s="1410"/>
      <c r="E89" s="977" t="str">
        <f>IFERROR(VLOOKUP(C89, [6]條件!$A:$L, 5, 0), "")</f>
        <v>75/36HC</v>
      </c>
      <c r="F89" s="978" t="str">
        <f>IFERROR(VLOOKUP(C89, [6]條件!$A:$L, 6, 0), "")</f>
        <v>FP81857R</v>
      </c>
      <c r="G89" s="1411">
        <f>IFERROR(VLOOKUP(C89, [6]條件!$A:$L, 7, 0), "")</f>
        <v>600</v>
      </c>
      <c r="H89" s="978" t="str">
        <f>IF(ISNA(VLOOKUP(C89,[6]條件!$A$1:$K$932,11,0)),"",(VLOOKUP(C89,[6]條件!$A$1:$K$932,11,0)))</f>
        <v>白底綠方塊</v>
      </c>
      <c r="I89" s="979">
        <f>IF(ISNA(VLOOKUP(C89,[6]條件!$A$1:$L$932,12,0)),"",(VLOOKUP(C89,[6]條件!$A$1:$L$932,12,0)))</f>
        <v>4</v>
      </c>
      <c r="J89" s="980">
        <v>12</v>
      </c>
      <c r="K89" s="980">
        <v>0</v>
      </c>
      <c r="L89" s="981">
        <v>8156</v>
      </c>
      <c r="M89" s="981">
        <v>8593</v>
      </c>
      <c r="N89" s="982">
        <v>17</v>
      </c>
      <c r="O89" s="980">
        <v>4</v>
      </c>
      <c r="P89" s="981">
        <v>8123</v>
      </c>
      <c r="Q89" s="981">
        <v>8160</v>
      </c>
      <c r="R89" s="982">
        <v>8</v>
      </c>
      <c r="S89" s="980">
        <v>0</v>
      </c>
      <c r="T89" s="981">
        <v>8024</v>
      </c>
      <c r="U89" s="981">
        <v>8068</v>
      </c>
      <c r="V89" s="982">
        <v>35</v>
      </c>
      <c r="W89" s="980">
        <v>0</v>
      </c>
      <c r="X89" s="981">
        <v>7431</v>
      </c>
      <c r="Y89" s="983">
        <v>7931</v>
      </c>
      <c r="Z89" s="1412">
        <f>IFERROR(VLOOKUP(C89, [6]條件!$A:$L, 3, 0), "")</f>
        <v>1.7496962332928312</v>
      </c>
      <c r="AA89" s="984">
        <f>IF(OR(L89={"改紡","檢修","了機","清車","FINAL","停機","SAMPLE","TEST","絲開發"}), L89, IFERROR(IF(C89="", "", (SUM(J89, N89, R89, V89)/3 * AG89) * IF(AND(AF89="S", AS89="雙"), 0.5, 1)), ""))</f>
        <v>24</v>
      </c>
      <c r="AB89" s="1413">
        <f t="shared" si="20"/>
        <v>0.98900908119658115</v>
      </c>
      <c r="AC89" s="984">
        <f>IF(OR(L89={"改紡","檢修","了機","清車","FINAL","停機","SAMPLE","TEST"}), "", IFERROR(IF(C89="", "", AVERAGE(L89:M89, P89:Q89, T89:U89, X89:Y89)/100), ""))</f>
        <v>80.607500000000002</v>
      </c>
      <c r="AD89" s="984">
        <f t="shared" si="14"/>
        <v>3</v>
      </c>
      <c r="AE89" s="984">
        <f t="shared" si="21"/>
        <v>2.8333333333333335</v>
      </c>
      <c r="AF89" s="985" t="str">
        <f t="shared" si="15"/>
        <v>A</v>
      </c>
      <c r="AG89" s="1414">
        <v>1</v>
      </c>
      <c r="AH89" s="1002" t="s">
        <v>16154</v>
      </c>
      <c r="AI89" s="1002" t="s">
        <v>16154</v>
      </c>
      <c r="AJ89" s="1002" t="s">
        <v>634</v>
      </c>
      <c r="AK89" s="981" t="s">
        <v>634</v>
      </c>
      <c r="AL89" s="1415">
        <v>54</v>
      </c>
      <c r="AM89" s="1323">
        <v>45948</v>
      </c>
      <c r="AN89" s="1323">
        <v>45950</v>
      </c>
      <c r="AO89" s="1323">
        <v>45952</v>
      </c>
      <c r="AP89" s="1323">
        <v>45953</v>
      </c>
      <c r="AQ89" s="1323">
        <v>45954</v>
      </c>
      <c r="AR89" s="987"/>
      <c r="AS89" s="978" t="str">
        <f t="shared" si="16"/>
        <v>單</v>
      </c>
      <c r="AT89" s="978" t="str">
        <f t="shared" si="17"/>
        <v>全</v>
      </c>
      <c r="AU89" s="978">
        <f t="shared" si="18"/>
        <v>75</v>
      </c>
      <c r="AV89" s="978">
        <f t="shared" si="19"/>
        <v>1.2536078399999999</v>
      </c>
    </row>
    <row r="90" spans="1:48">
      <c r="A90" s="975">
        <f t="shared" si="22"/>
        <v>46145</v>
      </c>
      <c r="B90" s="976" t="s">
        <v>218</v>
      </c>
      <c r="C90" s="976" t="s">
        <v>16744</v>
      </c>
      <c r="D90" s="1410" t="s">
        <v>633</v>
      </c>
      <c r="E90" s="977" t="str">
        <f>IFERROR(VLOOKUP(C90, [6]條件!$A:$L, 5, 0), "")</f>
        <v>75/24/2SDr</v>
      </c>
      <c r="F90" s="978" t="str">
        <f>IFERROR(VLOOKUP(C90, [6]條件!$A:$L, 6, 0), "")</f>
        <v>FP81382R×2</v>
      </c>
      <c r="G90" s="1411">
        <f>IFERROR(VLOOKUP(C90, [6]條件!$A:$L, 7, 0), "")</f>
        <v>700</v>
      </c>
      <c r="H90" s="978" t="str">
        <f>IF(ISNA(VLOOKUP(C90,[6]條件!$A$1:$K$932,11,0)),"",(VLOOKUP(C90,[6]條件!$A$1:$K$932,11,0)))</f>
        <v>藍色</v>
      </c>
      <c r="I90" s="979">
        <f>IF(ISNA(VLOOKUP(C90,[6]條件!$A$1:$L$932,12,0)),"",(VLOOKUP(C90,[6]條件!$A$1:$L$932,12,0)))</f>
        <v>5</v>
      </c>
      <c r="J90" s="980">
        <v>2</v>
      </c>
      <c r="K90" s="980">
        <v>0</v>
      </c>
      <c r="L90" s="981">
        <v>9305</v>
      </c>
      <c r="M90" s="981"/>
      <c r="N90" s="982">
        <v>16</v>
      </c>
      <c r="O90" s="980">
        <v>0</v>
      </c>
      <c r="P90" s="981">
        <v>8887</v>
      </c>
      <c r="Q90" s="981"/>
      <c r="R90" s="982">
        <v>14</v>
      </c>
      <c r="S90" s="980">
        <v>2</v>
      </c>
      <c r="T90" s="981">
        <v>8753</v>
      </c>
      <c r="U90" s="981"/>
      <c r="V90" s="982">
        <v>4</v>
      </c>
      <c r="W90" s="980">
        <v>0</v>
      </c>
      <c r="X90" s="981">
        <v>8721</v>
      </c>
      <c r="Y90" s="983"/>
      <c r="Z90" s="1412">
        <f>IFERROR(VLOOKUP(C90, [6]條件!$A:$L, 3, 0), "")</f>
        <v>3.2505643340857788</v>
      </c>
      <c r="AA90" s="984">
        <f>IF(OR(L90={"改紡","檢修","了機","清車","FINAL","停機","SAMPLE","TEST","絲開發"}), L90, IFERROR(IF(C90="", "", (SUM(J90, N90, R90, V90)/3 * AG90) * IF(AND(AF90="S", AS90="雙"), 0.5, 1)), ""))</f>
        <v>12</v>
      </c>
      <c r="AB90" s="1413">
        <f t="shared" si="20"/>
        <v>0.99704193376068373</v>
      </c>
      <c r="AC90" s="984">
        <f>IF(OR(L90={"改紡","檢修","了機","清車","FINAL","停機","SAMPLE","TEST"}), "", IFERROR(IF(C90="", "", AVERAGE(L90:M90, P90:Q90, T90:U90, X90:Y90)/100), ""))</f>
        <v>89.165000000000006</v>
      </c>
      <c r="AD90" s="984">
        <f t="shared" si="14"/>
        <v>1.5</v>
      </c>
      <c r="AE90" s="984">
        <f t="shared" si="21"/>
        <v>1.4166666666666667</v>
      </c>
      <c r="AF90" s="985" t="str">
        <f t="shared" si="15"/>
        <v>A</v>
      </c>
      <c r="AG90" s="1414">
        <v>1</v>
      </c>
      <c r="AH90" s="1002" t="s">
        <v>16154</v>
      </c>
      <c r="AI90" s="1002" t="s">
        <v>16154</v>
      </c>
      <c r="AJ90" s="1418" t="s">
        <v>634</v>
      </c>
      <c r="AK90" s="981" t="s">
        <v>634</v>
      </c>
      <c r="AL90" s="1415">
        <v>50</v>
      </c>
      <c r="AM90" s="1323">
        <v>46105</v>
      </c>
      <c r="AN90" s="1323">
        <v>46106</v>
      </c>
      <c r="AO90" s="1323">
        <v>46108</v>
      </c>
      <c r="AP90" s="1323"/>
      <c r="AQ90" s="1323"/>
      <c r="AR90" s="987"/>
      <c r="AS90" s="978" t="str">
        <f t="shared" si="16"/>
        <v>雙</v>
      </c>
      <c r="AT90" s="978" t="str">
        <f t="shared" si="17"/>
        <v>半</v>
      </c>
      <c r="AU90" s="978">
        <f t="shared" si="18"/>
        <v>75</v>
      </c>
      <c r="AV90" s="978">
        <f t="shared" si="19"/>
        <v>0.80890487999999994</v>
      </c>
    </row>
    <row r="91" spans="1:48">
      <c r="A91" s="975">
        <f t="shared" si="22"/>
        <v>46145</v>
      </c>
      <c r="B91" s="976" t="s">
        <v>218</v>
      </c>
      <c r="C91" s="976" t="s">
        <v>16191</v>
      </c>
      <c r="D91" s="1410" t="s">
        <v>633</v>
      </c>
      <c r="E91" s="977" t="str">
        <f>IFERROR(VLOOKUP(C91, [6]條件!$A:$L, 5, 0), "")</f>
        <v>75/24/2SDR2</v>
      </c>
      <c r="F91" s="978" t="str">
        <f>IFERROR(VLOOKUP(C91, [6]條件!$A:$L, 6, 0), "")</f>
        <v>FP81363R×2</v>
      </c>
      <c r="G91" s="1411">
        <f>IFERROR(VLOOKUP(C91, [6]條件!$A:$L, 7, 0), "")</f>
        <v>700</v>
      </c>
      <c r="H91" s="978" t="str">
        <f>IF(ISNA(VLOOKUP(C91,[6]條件!$A$1:$K$932,11,0)),"",(VLOOKUP(C91,[6]條件!$A$1:$K$932,11,0)))</f>
        <v>橘黑三角</v>
      </c>
      <c r="I91" s="979">
        <f>IF(ISNA(VLOOKUP(C91,[6]條件!$A$1:$L$932,12,0)),"",(VLOOKUP(C91,[6]條件!$A$1:$L$932,12,0)))</f>
        <v>5</v>
      </c>
      <c r="J91" s="980"/>
      <c r="K91" s="980"/>
      <c r="L91" s="981" t="s">
        <v>127</v>
      </c>
      <c r="M91" s="981"/>
      <c r="N91" s="982"/>
      <c r="O91" s="980"/>
      <c r="P91" s="981"/>
      <c r="Q91" s="981" t="s">
        <v>127</v>
      </c>
      <c r="R91" s="982"/>
      <c r="S91" s="980"/>
      <c r="T91" s="981"/>
      <c r="U91" s="981" t="s">
        <v>127</v>
      </c>
      <c r="V91" s="982"/>
      <c r="W91" s="980"/>
      <c r="X91" s="981"/>
      <c r="Y91" s="983" t="s">
        <v>127</v>
      </c>
      <c r="Z91" s="1412">
        <f>IFERROR(VLOOKUP(C91, [6]條件!$A:$L, 3, 0), "")</f>
        <v>3.2505643340857788</v>
      </c>
      <c r="AA91" s="984" t="str">
        <f>IF(OR(L91={"改紡","檢修","了機","清車","FINAL","停機","SAMPLE","TEST","絲開發"}), L91, IFERROR(IF(C91="", "", (SUM(J91, N91, R91, V91)/3 * AG91) * IF(AND(AF91="S", AS91="雙"), 0.5, 1)), ""))</f>
        <v>了機</v>
      </c>
      <c r="AB91" s="1413" t="str">
        <f t="shared" si="20"/>
        <v/>
      </c>
      <c r="AC91" s="984" t="str">
        <f>IF(OR(L91={"改紡","檢修","了機","清車","FINAL","停機","SAMPLE","TEST"}), "", IFERROR(IF(C91="", "", AVERAGE(L91:M91, P91:Q91, T91:U91, X91:Y91)/100), ""))</f>
        <v/>
      </c>
      <c r="AD91" s="984" t="str">
        <f t="shared" si="14"/>
        <v/>
      </c>
      <c r="AE91" s="984" t="str">
        <f t="shared" si="21"/>
        <v/>
      </c>
      <c r="AF91" s="985" t="str">
        <f t="shared" si="15"/>
        <v>A</v>
      </c>
      <c r="AG91" s="1414">
        <v>1</v>
      </c>
      <c r="AH91" s="1002" t="s">
        <v>16154</v>
      </c>
      <c r="AI91" s="1002" t="s">
        <v>16154</v>
      </c>
      <c r="AJ91" s="1166" t="s">
        <v>634</v>
      </c>
      <c r="AK91" s="1408" t="s">
        <v>634</v>
      </c>
      <c r="AL91" s="1415">
        <v>53</v>
      </c>
      <c r="AM91" s="1323">
        <v>46102</v>
      </c>
      <c r="AN91" s="1323">
        <v>46104</v>
      </c>
      <c r="AO91" s="1323">
        <v>46105</v>
      </c>
      <c r="AP91" s="1323">
        <v>46109</v>
      </c>
      <c r="AQ91" s="1323"/>
      <c r="AR91" s="987"/>
      <c r="AS91" s="978" t="str">
        <f t="shared" si="16"/>
        <v>雙</v>
      </c>
      <c r="AT91" s="978" t="str">
        <f t="shared" si="17"/>
        <v>半</v>
      </c>
      <c r="AU91" s="978">
        <f t="shared" si="18"/>
        <v>75</v>
      </c>
      <c r="AV91" s="978" t="str">
        <f t="shared" si="19"/>
        <v/>
      </c>
    </row>
    <row r="92" spans="1:48">
      <c r="A92" s="975">
        <f t="shared" si="22"/>
        <v>46145</v>
      </c>
      <c r="B92" s="976" t="s">
        <v>219</v>
      </c>
      <c r="C92" s="976" t="s">
        <v>16745</v>
      </c>
      <c r="D92" s="1410" t="s">
        <v>16748</v>
      </c>
      <c r="E92" s="977" t="str">
        <f>IFERROR(VLOOKUP(C92, [6]條件!$A:$L, 5, 0), "")</f>
        <v>50/72BSD3</v>
      </c>
      <c r="F92" s="978" t="str">
        <f>IFERROR(VLOOKUP(C92, [6]條件!$A:$L, 6, 0), "")</f>
        <v>FP80141</v>
      </c>
      <c r="G92" s="1411">
        <f>IFERROR(VLOOKUP(C92, [6]條件!$A:$L, 7, 0), "")</f>
        <v>630</v>
      </c>
      <c r="H92" s="978" t="str">
        <f>IF(ISNA(VLOOKUP(C92,[6]條件!$A$1:$K$932,11,0)),"",(VLOOKUP(C92,[6]條件!$A$1:$K$932,11,0)))</f>
        <v>洋綠色</v>
      </c>
      <c r="I92" s="979">
        <f>IF(ISNA(VLOOKUP(C92,[6]條件!$A$1:$L$932,12,0)),"",(VLOOKUP(C92,[6]條件!$A$1:$L$932,12,0)))</f>
        <v>2</v>
      </c>
      <c r="J92" s="980">
        <v>8</v>
      </c>
      <c r="K92" s="980">
        <v>0</v>
      </c>
      <c r="L92" s="981">
        <v>9715</v>
      </c>
      <c r="M92" s="981">
        <v>9796</v>
      </c>
      <c r="N92" s="982">
        <v>10</v>
      </c>
      <c r="O92" s="980">
        <v>0</v>
      </c>
      <c r="P92" s="981">
        <v>9730</v>
      </c>
      <c r="Q92" s="981">
        <v>9500</v>
      </c>
      <c r="R92" s="982">
        <v>13</v>
      </c>
      <c r="S92" s="980">
        <v>0</v>
      </c>
      <c r="T92" s="981">
        <v>9617</v>
      </c>
      <c r="U92" s="981">
        <v>9579</v>
      </c>
      <c r="V92" s="982">
        <v>14</v>
      </c>
      <c r="W92" s="980">
        <v>0</v>
      </c>
      <c r="X92" s="981">
        <v>9876</v>
      </c>
      <c r="Y92" s="983">
        <v>9698</v>
      </c>
      <c r="Z92" s="1412">
        <f>IFERROR(VLOOKUP(C92, [6]條件!$A:$L, 3, 0), "")</f>
        <v>2.4615384615384617</v>
      </c>
      <c r="AA92" s="984">
        <f>IF(OR(L92={"改紡","檢修","了機","清車","FINAL","停機","SAMPLE","TEST","絲開發"}), L92, IFERROR(IF(C92="", "", (SUM(J92, N92, R92, V92)/3 * AG92) * IF(AND(AF92="S", AS92="雙"), 0.5, 1)), ""))</f>
        <v>15</v>
      </c>
      <c r="AB92" s="1413">
        <f t="shared" si="20"/>
        <v>1</v>
      </c>
      <c r="AC92" s="984">
        <f>IF(OR(L92={"改紡","檢修","了機","清車","FINAL","停機","SAMPLE","TEST"}), "", IFERROR(IF(C92="", "", AVERAGE(L92:M92, P92:Q92, T92:U92, X92:Y92)/100), ""))</f>
        <v>96.888750000000002</v>
      </c>
      <c r="AD92" s="984">
        <f t="shared" si="14"/>
        <v>1.875</v>
      </c>
      <c r="AE92" s="984">
        <f t="shared" si="21"/>
        <v>1.875</v>
      </c>
      <c r="AF92" s="985" t="str">
        <f t="shared" si="15"/>
        <v>A</v>
      </c>
      <c r="AG92" s="1414">
        <v>1</v>
      </c>
      <c r="AH92" s="1002" t="s">
        <v>641</v>
      </c>
      <c r="AI92" s="1002" t="s">
        <v>641</v>
      </c>
      <c r="AJ92" s="1166" t="s">
        <v>15368</v>
      </c>
      <c r="AK92" s="1408" t="s">
        <v>15368</v>
      </c>
      <c r="AL92" s="1415">
        <v>57</v>
      </c>
      <c r="AM92" s="1324">
        <v>46079</v>
      </c>
      <c r="AN92" s="1323">
        <v>46080</v>
      </c>
      <c r="AO92" s="1323">
        <v>46086</v>
      </c>
      <c r="AP92" s="1323">
        <v>46087</v>
      </c>
      <c r="AQ92" s="1323"/>
      <c r="AR92" s="987"/>
      <c r="AS92" s="978" t="str">
        <f t="shared" si="16"/>
        <v>單</v>
      </c>
      <c r="AT92" s="978" t="str">
        <f t="shared" si="17"/>
        <v>全</v>
      </c>
      <c r="AU92" s="978">
        <f t="shared" si="18"/>
        <v>50</v>
      </c>
      <c r="AV92" s="978">
        <f t="shared" si="19"/>
        <v>1.0547696880000001</v>
      </c>
    </row>
    <row r="93" spans="1:48">
      <c r="A93" s="975">
        <f t="shared" si="22"/>
        <v>46145</v>
      </c>
      <c r="B93" s="976" t="s">
        <v>220</v>
      </c>
      <c r="C93" s="976" t="s">
        <v>632</v>
      </c>
      <c r="D93" s="1410"/>
      <c r="E93" s="977" t="str">
        <f>IFERROR(VLOOKUP(C93, [6]條件!$A:$L, 5, 0), "")</f>
        <v/>
      </c>
      <c r="F93" s="978" t="str">
        <f>IFERROR(VLOOKUP(C93, [6]條件!$A:$L, 6, 0), "")</f>
        <v/>
      </c>
      <c r="G93" s="1411" t="str">
        <f>IFERROR(VLOOKUP(C93, [6]條件!$A:$L, 7, 0), "")</f>
        <v/>
      </c>
      <c r="H93" s="978" t="str">
        <f>IF(ISNA(VLOOKUP(C93,[6]條件!$A$1:$K$932,11,0)),"",(VLOOKUP(C93,[6]條件!$A$1:$K$932,11,0)))</f>
        <v/>
      </c>
      <c r="I93" s="979" t="str">
        <f>IF(ISNA(VLOOKUP(C93,[6]條件!$A$1:$L$932,12,0)),"",(VLOOKUP(C93,[6]條件!$A$1:$L$932,12,0)))</f>
        <v/>
      </c>
      <c r="J93" s="980"/>
      <c r="K93" s="980"/>
      <c r="L93" s="981" t="s">
        <v>632</v>
      </c>
      <c r="M93" s="981"/>
      <c r="N93" s="982"/>
      <c r="O93" s="980"/>
      <c r="P93" s="981" t="s">
        <v>632</v>
      </c>
      <c r="Q93" s="981"/>
      <c r="R93" s="982"/>
      <c r="S93" s="980"/>
      <c r="T93" s="981" t="s">
        <v>632</v>
      </c>
      <c r="U93" s="981"/>
      <c r="V93" s="982"/>
      <c r="W93" s="980"/>
      <c r="X93" s="981" t="s">
        <v>632</v>
      </c>
      <c r="Y93" s="983"/>
      <c r="Z93" s="1412" t="str">
        <f>IFERROR(VLOOKUP(C93, [6]條件!$A:$L, 3, 0), "")</f>
        <v/>
      </c>
      <c r="AA93" s="984" t="str">
        <f>IF(OR(L93={"改紡","檢修","了機","清車","FINAL","停機","SAMPLE","TEST","絲開發"}), L93, IFERROR(IF(C93="", "", (SUM(J93, N93, R93, V93)/3 * AG93) * IF(AND(AF93="S", AS93="雙"), 0.5, 1)), ""))</f>
        <v>停機</v>
      </c>
      <c r="AB93" s="1413" t="str">
        <f t="shared" si="20"/>
        <v/>
      </c>
      <c r="AC93" s="984" t="str">
        <f>IF(OR(L93={"改紡","檢修","了機","清車","FINAL","停機","SAMPLE","TEST"}), "", IFERROR(IF(C93="", "", AVERAGE(L93:M93, P93:Q93, T93:U93, X93:Y93)/100), ""))</f>
        <v/>
      </c>
      <c r="AD93" s="984" t="str">
        <f t="shared" si="14"/>
        <v/>
      </c>
      <c r="AE93" s="984" t="str">
        <f t="shared" si="21"/>
        <v/>
      </c>
      <c r="AF93" s="985" t="str">
        <f t="shared" si="15"/>
        <v>A</v>
      </c>
      <c r="AG93" s="1414">
        <v>1</v>
      </c>
      <c r="AH93" s="1002" t="s">
        <v>641</v>
      </c>
      <c r="AI93" s="1002" t="s">
        <v>641</v>
      </c>
      <c r="AJ93" s="1002" t="s">
        <v>15368</v>
      </c>
      <c r="AK93" s="981" t="s">
        <v>15368</v>
      </c>
      <c r="AL93" s="1415"/>
      <c r="AM93" s="1323"/>
      <c r="AN93" s="1323"/>
      <c r="AO93" s="1323"/>
      <c r="AP93" s="1323"/>
      <c r="AQ93" s="1323"/>
      <c r="AR93" s="987"/>
      <c r="AS93" s="978" t="str">
        <f t="shared" si="16"/>
        <v>單</v>
      </c>
      <c r="AT93" s="978" t="str">
        <f t="shared" si="17"/>
        <v>全</v>
      </c>
      <c r="AU93" s="978" t="str">
        <f t="shared" si="18"/>
        <v/>
      </c>
      <c r="AV93" s="978" t="str">
        <f t="shared" si="19"/>
        <v/>
      </c>
    </row>
    <row r="94" spans="1:48">
      <c r="A94" s="975">
        <f t="shared" si="22"/>
        <v>46145</v>
      </c>
      <c r="B94" s="976" t="s">
        <v>221</v>
      </c>
      <c r="C94" s="976" t="s">
        <v>16725</v>
      </c>
      <c r="D94" s="1410"/>
      <c r="E94" s="977" t="str">
        <f>IFERROR(VLOOKUP(C94, [6]條件!$A:$L, 5, 0), "")</f>
        <v>150/48HC</v>
      </c>
      <c r="F94" s="978" t="str">
        <f>IFERROR(VLOOKUP(C94, [6]條件!$A:$L, 6, 0), "")</f>
        <v>FP82781</v>
      </c>
      <c r="G94" s="1411">
        <f>IFERROR(VLOOKUP(C94, [6]條件!$A:$L, 7, 0), "")</f>
        <v>600</v>
      </c>
      <c r="H94" s="978" t="str">
        <f>IF(ISNA(VLOOKUP(C94,[6]條件!$A$1:$K$932,11,0)),"",(VLOOKUP(C94,[6]條件!$A$1:$K$932,11,0)))</f>
        <v>黃底白點</v>
      </c>
      <c r="I94" s="979">
        <f>IF(ISNA(VLOOKUP(C94,[6]條件!$A$1:$L$932,12,0)),"",(VLOOKUP(C94,[6]條件!$A$1:$L$932,12,0)))</f>
        <v>5</v>
      </c>
      <c r="J94" s="980">
        <v>9</v>
      </c>
      <c r="K94" s="980">
        <v>0</v>
      </c>
      <c r="L94" s="981">
        <v>8683</v>
      </c>
      <c r="M94" s="981">
        <v>8250</v>
      </c>
      <c r="N94" s="982">
        <v>16</v>
      </c>
      <c r="O94" s="980">
        <v>0</v>
      </c>
      <c r="P94" s="981">
        <v>8605</v>
      </c>
      <c r="Q94" s="981">
        <v>8372</v>
      </c>
      <c r="R94" s="982">
        <v>3</v>
      </c>
      <c r="S94" s="980">
        <v>0</v>
      </c>
      <c r="T94" s="981">
        <v>8722</v>
      </c>
      <c r="U94" s="981">
        <v>8449</v>
      </c>
      <c r="V94" s="982">
        <v>18</v>
      </c>
      <c r="W94" s="980">
        <v>0</v>
      </c>
      <c r="X94" s="981">
        <v>8626</v>
      </c>
      <c r="Y94" s="983">
        <v>8178</v>
      </c>
      <c r="Z94" s="1412">
        <f>IFERROR(VLOOKUP(C94, [6]條件!$A:$L, 3, 0), "")</f>
        <v>2.8685258964143427</v>
      </c>
      <c r="AA94" s="984">
        <f>IF(OR(L94={"改紡","檢修","了機","清車","FINAL","停機","SAMPLE","TEST","絲開發"}), L94, IFERROR(IF(C94="", "", (SUM(J94, N94, R94, V94)/3 * AG94) * IF(AND(AF94="S", AS94="雙"), 0.5, 1)), ""))</f>
        <v>15.333333333333334</v>
      </c>
      <c r="AB94" s="1413">
        <f t="shared" si="20"/>
        <v>1</v>
      </c>
      <c r="AC94" s="984">
        <f>IF(OR(L94={"改紡","檢修","了機","清車","FINAL","停機","SAMPLE","TEST"}), "", IFERROR(IF(C94="", "", AVERAGE(L94:M94, P94:Q94, T94:U94, X94:Y94)/100), ""))</f>
        <v>84.856250000000003</v>
      </c>
      <c r="AD94" s="984">
        <f t="shared" si="14"/>
        <v>1.9166666666666667</v>
      </c>
      <c r="AE94" s="984">
        <f t="shared" si="21"/>
        <v>1.9166666666666667</v>
      </c>
      <c r="AF94" s="985" t="str">
        <f t="shared" si="15"/>
        <v>A</v>
      </c>
      <c r="AG94" s="1414">
        <v>1</v>
      </c>
      <c r="AH94" s="1002" t="s">
        <v>641</v>
      </c>
      <c r="AI94" s="1002" t="s">
        <v>641</v>
      </c>
      <c r="AJ94" s="1418" t="s">
        <v>15368</v>
      </c>
      <c r="AK94" s="981" t="s">
        <v>15368</v>
      </c>
      <c r="AL94" s="1415">
        <v>54</v>
      </c>
      <c r="AM94" s="1323">
        <v>46140</v>
      </c>
      <c r="AN94" s="1323">
        <v>46141</v>
      </c>
      <c r="AO94" s="1323">
        <v>46142</v>
      </c>
      <c r="AP94" s="1323"/>
      <c r="AQ94" s="1323"/>
      <c r="AR94" s="987"/>
      <c r="AS94" s="978" t="str">
        <f t="shared" si="16"/>
        <v>單</v>
      </c>
      <c r="AT94" s="978" t="str">
        <f t="shared" si="17"/>
        <v>全</v>
      </c>
      <c r="AU94" s="978">
        <f t="shared" si="18"/>
        <v>150</v>
      </c>
      <c r="AV94" s="978">
        <f t="shared" si="19"/>
        <v>2.6393688000000002</v>
      </c>
    </row>
    <row r="95" spans="1:48">
      <c r="A95" s="975">
        <f t="shared" si="22"/>
        <v>46145</v>
      </c>
      <c r="B95" s="976" t="s">
        <v>222</v>
      </c>
      <c r="C95" s="976" t="s">
        <v>632</v>
      </c>
      <c r="D95" s="1410"/>
      <c r="E95" s="977" t="str">
        <f>IFERROR(VLOOKUP(C95, [6]條件!$A:$L, 5, 0), "")</f>
        <v/>
      </c>
      <c r="F95" s="978" t="str">
        <f>IFERROR(VLOOKUP(C95, [6]條件!$A:$L, 6, 0), "")</f>
        <v/>
      </c>
      <c r="G95" s="1411" t="str">
        <f>IFERROR(VLOOKUP(C95, [6]條件!$A:$L, 7, 0), "")</f>
        <v/>
      </c>
      <c r="H95" s="978" t="str">
        <f>IF(ISNA(VLOOKUP(C95,[6]條件!$A$1:$K$932,11,0)),"",(VLOOKUP(C95,[6]條件!$A$1:$K$932,11,0)))</f>
        <v/>
      </c>
      <c r="I95" s="979" t="str">
        <f>IF(ISNA(VLOOKUP(C95,[6]條件!$A$1:$L$932,12,0)),"",(VLOOKUP(C95,[6]條件!$A$1:$L$932,12,0)))</f>
        <v/>
      </c>
      <c r="J95" s="980"/>
      <c r="K95" s="980"/>
      <c r="L95" s="981" t="s">
        <v>632</v>
      </c>
      <c r="M95" s="981"/>
      <c r="N95" s="982"/>
      <c r="O95" s="980"/>
      <c r="P95" s="981" t="s">
        <v>632</v>
      </c>
      <c r="Q95" s="981"/>
      <c r="R95" s="982"/>
      <c r="S95" s="980"/>
      <c r="T95" s="981" t="s">
        <v>632</v>
      </c>
      <c r="U95" s="981"/>
      <c r="V95" s="982"/>
      <c r="W95" s="980"/>
      <c r="X95" s="981" t="s">
        <v>632</v>
      </c>
      <c r="Y95" s="983"/>
      <c r="Z95" s="1412" t="str">
        <f>IFERROR(VLOOKUP(C95, [6]條件!$A:$L, 3, 0), "")</f>
        <v/>
      </c>
      <c r="AA95" s="984" t="str">
        <f>IF(OR(L95={"改紡","檢修","了機","清車","FINAL","停機","SAMPLE","TEST","絲開發"}), L95, IFERROR(IF(C95="", "", (SUM(J95, N95, R95, V95)/3 * AG95) * IF(AND(AF95="S", AS95="雙"), 0.5, 1)), ""))</f>
        <v>停機</v>
      </c>
      <c r="AB95" s="1413" t="str">
        <f t="shared" si="20"/>
        <v/>
      </c>
      <c r="AC95" s="984" t="str">
        <f>IF(OR(L95={"改紡","檢修","了機","清車","FINAL","停機","SAMPLE","TEST"}), "", IFERROR(IF(C95="", "", AVERAGE(L95:M95, P95:Q95, T95:U95, X95:Y95)/100), ""))</f>
        <v/>
      </c>
      <c r="AD95" s="984" t="str">
        <f t="shared" si="14"/>
        <v/>
      </c>
      <c r="AE95" s="984" t="str">
        <f t="shared" si="21"/>
        <v/>
      </c>
      <c r="AF95" s="985" t="str">
        <f t="shared" si="15"/>
        <v>A</v>
      </c>
      <c r="AG95" s="1414">
        <v>1</v>
      </c>
      <c r="AH95" s="1002" t="s">
        <v>636</v>
      </c>
      <c r="AI95" s="1002" t="s">
        <v>629</v>
      </c>
      <c r="AJ95" s="1166" t="s">
        <v>630</v>
      </c>
      <c r="AK95" s="1408" t="s">
        <v>630</v>
      </c>
      <c r="AL95" s="1415"/>
      <c r="AM95" s="1323"/>
      <c r="AN95" s="1323"/>
      <c r="AO95" s="1323"/>
      <c r="AP95" s="1323"/>
      <c r="AQ95" s="1323"/>
      <c r="AR95" s="987"/>
      <c r="AS95" s="978" t="str">
        <f t="shared" si="16"/>
        <v>單</v>
      </c>
      <c r="AT95" s="978" t="str">
        <f t="shared" si="17"/>
        <v>全</v>
      </c>
      <c r="AU95" s="978" t="str">
        <f t="shared" si="18"/>
        <v/>
      </c>
      <c r="AV95" s="978" t="str">
        <f t="shared" si="19"/>
        <v/>
      </c>
    </row>
    <row r="96" spans="1:48">
      <c r="A96" s="975">
        <f t="shared" si="22"/>
        <v>46145</v>
      </c>
      <c r="B96" s="976" t="s">
        <v>223</v>
      </c>
      <c r="C96" s="976" t="s">
        <v>632</v>
      </c>
      <c r="D96" s="1410"/>
      <c r="E96" s="977" t="str">
        <f>IFERROR(VLOOKUP(C96, [6]條件!$A:$L, 5, 0), "")</f>
        <v/>
      </c>
      <c r="F96" s="978" t="str">
        <f>IFERROR(VLOOKUP(C96, [6]條件!$A:$L, 6, 0), "")</f>
        <v/>
      </c>
      <c r="G96" s="1411" t="str">
        <f>IFERROR(VLOOKUP(C96, [6]條件!$A:$L, 7, 0), "")</f>
        <v/>
      </c>
      <c r="H96" s="978" t="str">
        <f>IF(ISNA(VLOOKUP(C96,[6]條件!$A$1:$K$932,11,0)),"",(VLOOKUP(C96,[6]條件!$A$1:$K$932,11,0)))</f>
        <v/>
      </c>
      <c r="I96" s="979" t="str">
        <f>IF(ISNA(VLOOKUP(C96,[6]條件!$A$1:$L$932,12,0)),"",(VLOOKUP(C96,[6]條件!$A$1:$L$932,12,0)))</f>
        <v/>
      </c>
      <c r="J96" s="980"/>
      <c r="K96" s="980"/>
      <c r="L96" s="981" t="s">
        <v>632</v>
      </c>
      <c r="M96" s="981"/>
      <c r="N96" s="982"/>
      <c r="O96" s="980"/>
      <c r="P96" s="981" t="s">
        <v>632</v>
      </c>
      <c r="Q96" s="981"/>
      <c r="R96" s="982"/>
      <c r="S96" s="980"/>
      <c r="T96" s="981" t="s">
        <v>632</v>
      </c>
      <c r="U96" s="981"/>
      <c r="V96" s="982"/>
      <c r="W96" s="980"/>
      <c r="X96" s="981" t="s">
        <v>632</v>
      </c>
      <c r="Y96" s="983"/>
      <c r="Z96" s="1412" t="str">
        <f>IFERROR(VLOOKUP(C96, [6]條件!$A:$L, 3, 0), "")</f>
        <v/>
      </c>
      <c r="AA96" s="984" t="str">
        <f>IF(OR(L96={"改紡","檢修","了機","清車","FINAL","停機","SAMPLE","TEST","絲開發"}), L96, IFERROR(IF(C96="", "", (SUM(J96, N96, R96, V96)/3 * AG96) * IF(AND(AF96="S", AS96="雙"), 0.5, 1)), ""))</f>
        <v>停機</v>
      </c>
      <c r="AB96" s="1413" t="str">
        <f t="shared" si="20"/>
        <v/>
      </c>
      <c r="AC96" s="984" t="str">
        <f>IF(OR(L96={"改紡","檢修","了機","清車","FINAL","停機","SAMPLE","TEST"}), "", IFERROR(IF(C96="", "", AVERAGE(L96:M96, P96:Q96, T96:U96, X96:Y96)/100), ""))</f>
        <v/>
      </c>
      <c r="AD96" s="984" t="str">
        <f t="shared" si="14"/>
        <v/>
      </c>
      <c r="AE96" s="984" t="str">
        <f t="shared" si="21"/>
        <v/>
      </c>
      <c r="AF96" s="985" t="str">
        <f t="shared" si="15"/>
        <v>A</v>
      </c>
      <c r="AG96" s="1414">
        <v>1</v>
      </c>
      <c r="AH96" s="1002" t="s">
        <v>636</v>
      </c>
      <c r="AI96" s="1002" t="s">
        <v>629</v>
      </c>
      <c r="AJ96" s="1166" t="s">
        <v>630</v>
      </c>
      <c r="AK96" s="1408" t="s">
        <v>630</v>
      </c>
      <c r="AL96" s="1415"/>
      <c r="AM96" s="1324"/>
      <c r="AN96" s="1323"/>
      <c r="AO96" s="1323"/>
      <c r="AP96" s="1323"/>
      <c r="AQ96" s="1323"/>
      <c r="AR96" s="987"/>
      <c r="AS96" s="978" t="str">
        <f t="shared" si="16"/>
        <v>單</v>
      </c>
      <c r="AT96" s="978" t="str">
        <f t="shared" si="17"/>
        <v>全</v>
      </c>
      <c r="AU96" s="978" t="str">
        <f t="shared" si="18"/>
        <v/>
      </c>
      <c r="AV96" s="978" t="str">
        <f t="shared" si="19"/>
        <v/>
      </c>
    </row>
    <row r="97" spans="1:48">
      <c r="A97" s="975">
        <f t="shared" si="22"/>
        <v>46145</v>
      </c>
      <c r="B97" s="976" t="s">
        <v>224</v>
      </c>
      <c r="C97" s="976" t="s">
        <v>16734</v>
      </c>
      <c r="D97" s="1410" t="s">
        <v>633</v>
      </c>
      <c r="E97" s="977" t="str">
        <f>IFERROR(VLOOKUP(C97, [6]條件!$A:$L, 5, 0), "")</f>
        <v>75/24/2SDr</v>
      </c>
      <c r="F97" s="978" t="str">
        <f>IFERROR(VLOOKUP(C97, [6]條件!$A:$L, 6, 0), "")</f>
        <v>FP81382R×2</v>
      </c>
      <c r="G97" s="1411">
        <f>IFERROR(VLOOKUP(C97, [6]條件!$A:$L, 7, 0), "")</f>
        <v>700</v>
      </c>
      <c r="H97" s="978" t="str">
        <f>IF(ISNA(VLOOKUP(C97,[6]條件!$A$1:$K$932,11,0)),"",(VLOOKUP(C97,[6]條件!$A$1:$K$932,11,0)))</f>
        <v>白底紫三角</v>
      </c>
      <c r="I97" s="979">
        <f>IF(ISNA(VLOOKUP(C97,[6]條件!$A$1:$L$932,12,0)),"",(VLOOKUP(C97,[6]條件!$A$1:$L$932,12,0)))</f>
        <v>5</v>
      </c>
      <c r="J97" s="980">
        <v>18</v>
      </c>
      <c r="K97" s="980">
        <v>0</v>
      </c>
      <c r="L97" s="981">
        <v>9276</v>
      </c>
      <c r="M97" s="981">
        <v>8902</v>
      </c>
      <c r="N97" s="982">
        <v>14</v>
      </c>
      <c r="O97" s="980">
        <v>2</v>
      </c>
      <c r="P97" s="981">
        <v>9182</v>
      </c>
      <c r="Q97" s="981">
        <v>8777</v>
      </c>
      <c r="R97" s="982">
        <v>18</v>
      </c>
      <c r="S97" s="980">
        <v>2</v>
      </c>
      <c r="T97" s="981">
        <v>9060</v>
      </c>
      <c r="U97" s="981">
        <v>8669</v>
      </c>
      <c r="V97" s="982">
        <v>20</v>
      </c>
      <c r="W97" s="980">
        <v>2</v>
      </c>
      <c r="X97" s="981">
        <v>8918</v>
      </c>
      <c r="Y97" s="983">
        <v>8612</v>
      </c>
      <c r="Z97" s="1412">
        <f>IFERROR(VLOOKUP(C97, [6]條件!$A:$L, 3, 0), "")</f>
        <v>3.2653061224489797</v>
      </c>
      <c r="AA97" s="984">
        <f>IF(OR(L97={"改紡","檢修","了機","清車","FINAL","停機","SAMPLE","TEST","絲開發"}), L97, IFERROR(IF(C97="", "", (SUM(J97, N97, R97, V97)/3 * AG97) * IF(AND(AF97="S", AS97="雙"), 0.5, 1)), ""))</f>
        <v>11.666666666666666</v>
      </c>
      <c r="AB97" s="1413">
        <f t="shared" si="20"/>
        <v>0.99116586538461537</v>
      </c>
      <c r="AC97" s="984">
        <f>IF(OR(L97={"改紡","檢修","了機","清車","FINAL","停機","SAMPLE","TEST"}), "", IFERROR(IF(C97="", "", AVERAGE(L97:M97, P97:Q97, T97:U97, X97:Y97)/100), ""))</f>
        <v>89.245000000000005</v>
      </c>
      <c r="AD97" s="984">
        <f t="shared" si="14"/>
        <v>1.4583333333333333</v>
      </c>
      <c r="AE97" s="984">
        <f t="shared" si="21"/>
        <v>1.3333333333333333</v>
      </c>
      <c r="AF97" s="985" t="str">
        <f t="shared" si="15"/>
        <v>A</v>
      </c>
      <c r="AG97" s="1414">
        <v>0.5</v>
      </c>
      <c r="AH97" s="1002" t="s">
        <v>16154</v>
      </c>
      <c r="AI97" s="1002" t="s">
        <v>16154</v>
      </c>
      <c r="AJ97" s="1002" t="s">
        <v>634</v>
      </c>
      <c r="AK97" s="981" t="s">
        <v>634</v>
      </c>
      <c r="AL97" s="1415">
        <v>50</v>
      </c>
      <c r="AM97" s="1323">
        <v>46102</v>
      </c>
      <c r="AN97" s="1323">
        <v>46103</v>
      </c>
      <c r="AO97" s="1323"/>
      <c r="AP97" s="1323"/>
      <c r="AQ97" s="1323"/>
      <c r="AR97" s="987"/>
      <c r="AS97" s="978" t="str">
        <f t="shared" si="16"/>
        <v>雙</v>
      </c>
      <c r="AT97" s="978" t="str">
        <f t="shared" si="17"/>
        <v>全</v>
      </c>
      <c r="AU97" s="978">
        <f t="shared" si="18"/>
        <v>75</v>
      </c>
      <c r="AV97" s="978">
        <f t="shared" si="19"/>
        <v>1.6192612799999999</v>
      </c>
    </row>
    <row r="98" spans="1:48">
      <c r="A98" s="975">
        <f t="shared" si="22"/>
        <v>46145</v>
      </c>
      <c r="B98" s="976" t="s">
        <v>225</v>
      </c>
      <c r="C98" s="976" t="s">
        <v>16747</v>
      </c>
      <c r="D98" s="1410"/>
      <c r="E98" s="977" t="str">
        <f>IFERROR(VLOOKUP(C98, [6]條件!$A:$L, 5, 0), "")</f>
        <v>150/48SDR</v>
      </c>
      <c r="F98" s="978" t="str">
        <f>IFERROR(VLOOKUP(C98, [6]條件!$A:$L, 6, 0), "")</f>
        <v>FP82169R</v>
      </c>
      <c r="G98" s="1411">
        <f>IFERROR(VLOOKUP(C98, [6]條件!$A:$L, 7, 0), "")</f>
        <v>650</v>
      </c>
      <c r="H98" s="978" t="str">
        <f>IF(ISNA(VLOOKUP(C98,[6]條件!$A$1:$K$932,11,0)),"",(VLOOKUP(C98,[6]條件!$A$1:$K$932,11,0)))</f>
        <v>綠藍三角</v>
      </c>
      <c r="I98" s="979">
        <f>IF(ISNA(VLOOKUP(C98,[6]條件!$A$1:$L$932,12,0)),"",(VLOOKUP(C98,[6]條件!$A$1:$L$932,12,0)))</f>
        <v>5</v>
      </c>
      <c r="J98" s="980">
        <v>14</v>
      </c>
      <c r="K98" s="980">
        <v>0</v>
      </c>
      <c r="L98" s="981">
        <v>9596</v>
      </c>
      <c r="M98" s="981">
        <v>8717</v>
      </c>
      <c r="N98" s="982">
        <v>19</v>
      </c>
      <c r="O98" s="980">
        <v>0</v>
      </c>
      <c r="P98" s="981">
        <v>9508</v>
      </c>
      <c r="Q98" s="981">
        <v>8868</v>
      </c>
      <c r="R98" s="982">
        <v>4</v>
      </c>
      <c r="S98" s="980">
        <v>0</v>
      </c>
      <c r="T98" s="981">
        <v>9604</v>
      </c>
      <c r="U98" s="981">
        <v>8887</v>
      </c>
      <c r="V98" s="982">
        <v>21</v>
      </c>
      <c r="W98" s="980">
        <v>0</v>
      </c>
      <c r="X98" s="981">
        <v>9588</v>
      </c>
      <c r="Y98" s="983">
        <v>8677</v>
      </c>
      <c r="Z98" s="1412">
        <f>IFERROR(VLOOKUP(C98, [6]條件!$A:$L, 3, 0), "")</f>
        <v>3.0573248407643314</v>
      </c>
      <c r="AA98" s="984">
        <f>IF(OR(L98={"改紡","檢修","了機","清車","FINAL","停機","SAMPLE","TEST","絲開發"}), L98, IFERROR(IF(C98="", "", (SUM(J98, N98, R98, V98)/3 * AG98) * IF(AND(AF98="S", AS98="雙"), 0.5, 1)), ""))</f>
        <v>19.333333333333332</v>
      </c>
      <c r="AB98" s="1413">
        <f t="shared" si="20"/>
        <v>1</v>
      </c>
      <c r="AC98" s="984">
        <f>IF(OR(L98={"改紡","檢修","了機","清車","FINAL","停機","SAMPLE","TEST"}), "", IFERROR(IF(C98="", "", AVERAGE(L98:M98, P98:Q98, T98:U98, X98:Y98)/100), ""))</f>
        <v>91.806250000000006</v>
      </c>
      <c r="AD98" s="984">
        <f t="shared" si="14"/>
        <v>2.4166666666666665</v>
      </c>
      <c r="AE98" s="984">
        <f t="shared" si="21"/>
        <v>2.4166666666666665</v>
      </c>
      <c r="AF98" s="985" t="str">
        <f t="shared" si="15"/>
        <v>A</v>
      </c>
      <c r="AG98" s="1414">
        <v>1</v>
      </c>
      <c r="AH98" s="1002" t="s">
        <v>641</v>
      </c>
      <c r="AI98" s="1002" t="s">
        <v>641</v>
      </c>
      <c r="AJ98" s="1002" t="s">
        <v>15368</v>
      </c>
      <c r="AK98" s="981" t="s">
        <v>15368</v>
      </c>
      <c r="AL98" s="1415">
        <v>48</v>
      </c>
      <c r="AM98" s="1323">
        <v>46143</v>
      </c>
      <c r="AN98" s="1323">
        <v>46144</v>
      </c>
      <c r="AO98" s="1323"/>
      <c r="AP98" s="1323"/>
      <c r="AQ98" s="1323"/>
      <c r="AR98" s="987"/>
      <c r="AS98" s="978" t="str">
        <f t="shared" si="16"/>
        <v>單</v>
      </c>
      <c r="AT98" s="978" t="str">
        <f t="shared" si="17"/>
        <v>全</v>
      </c>
      <c r="AU98" s="978">
        <f t="shared" si="18"/>
        <v>150</v>
      </c>
      <c r="AV98" s="978">
        <f t="shared" si="19"/>
        <v>3.0935033999999999</v>
      </c>
    </row>
    <row r="99" spans="1:48">
      <c r="A99" s="975">
        <f t="shared" si="22"/>
        <v>46145</v>
      </c>
      <c r="B99" s="976" t="s">
        <v>226</v>
      </c>
      <c r="C99" s="976" t="s">
        <v>632</v>
      </c>
      <c r="D99" s="1410"/>
      <c r="E99" s="977" t="str">
        <f>IFERROR(VLOOKUP(C99, [6]條件!$A:$L, 5, 0), "")</f>
        <v/>
      </c>
      <c r="F99" s="978" t="str">
        <f>IFERROR(VLOOKUP(C99, [6]條件!$A:$L, 6, 0), "")</f>
        <v/>
      </c>
      <c r="G99" s="1411" t="str">
        <f>IFERROR(VLOOKUP(C99, [6]條件!$A:$L, 7, 0), "")</f>
        <v/>
      </c>
      <c r="H99" s="978" t="str">
        <f>IF(ISNA(VLOOKUP(C99,[6]條件!$A$1:$K$932,11,0)),"",(VLOOKUP(C99,[6]條件!$A$1:$K$932,11,0)))</f>
        <v/>
      </c>
      <c r="I99" s="979" t="str">
        <f>IF(ISNA(VLOOKUP(C99,[6]條件!$A$1:$L$932,12,0)),"",(VLOOKUP(C99,[6]條件!$A$1:$L$932,12,0)))</f>
        <v/>
      </c>
      <c r="J99" s="980"/>
      <c r="K99" s="980"/>
      <c r="L99" s="981" t="s">
        <v>632</v>
      </c>
      <c r="M99" s="981"/>
      <c r="N99" s="982"/>
      <c r="O99" s="980"/>
      <c r="P99" s="981" t="s">
        <v>632</v>
      </c>
      <c r="Q99" s="981"/>
      <c r="R99" s="982"/>
      <c r="S99" s="980"/>
      <c r="T99" s="981" t="s">
        <v>632</v>
      </c>
      <c r="U99" s="981"/>
      <c r="V99" s="982"/>
      <c r="W99" s="980"/>
      <c r="X99" s="981" t="s">
        <v>632</v>
      </c>
      <c r="Y99" s="983"/>
      <c r="Z99" s="1412" t="str">
        <f>IFERROR(VLOOKUP(C99, [6]條件!$A:$L, 3, 0), "")</f>
        <v/>
      </c>
      <c r="AA99" s="984" t="str">
        <f>IF(OR(L99={"改紡","檢修","了機","清車","FINAL","停機","SAMPLE","TEST","絲開發"}), L99, IFERROR(IF(C99="", "", (SUM(J99, N99, R99, V99)/3 * AG99) * IF(AND(AF99="S", AS99="雙"), 0.5, 1)), ""))</f>
        <v>停機</v>
      </c>
      <c r="AB99" s="1413" t="str">
        <f t="shared" si="20"/>
        <v/>
      </c>
      <c r="AC99" s="984" t="str">
        <f>IF(OR(L99={"改紡","檢修","了機","清車","FINAL","停機","SAMPLE","TEST"}), "", IFERROR(IF(C99="", "", AVERAGE(L99:M99, P99:Q99, T99:U99, X99:Y99)/100), ""))</f>
        <v/>
      </c>
      <c r="AD99" s="984" t="str">
        <f t="shared" si="14"/>
        <v/>
      </c>
      <c r="AE99" s="984" t="str">
        <f t="shared" si="21"/>
        <v/>
      </c>
      <c r="AF99" s="985" t="str">
        <f t="shared" si="15"/>
        <v>A</v>
      </c>
      <c r="AG99" s="1414">
        <v>1</v>
      </c>
      <c r="AH99" s="1002" t="s">
        <v>641</v>
      </c>
      <c r="AI99" s="1002" t="s">
        <v>641</v>
      </c>
      <c r="AJ99" s="1002" t="s">
        <v>15368</v>
      </c>
      <c r="AK99" s="981" t="s">
        <v>15368</v>
      </c>
      <c r="AL99" s="1415"/>
      <c r="AM99" s="1323"/>
      <c r="AN99" s="1323"/>
      <c r="AO99" s="1323"/>
      <c r="AP99" s="1323"/>
      <c r="AQ99" s="1323"/>
      <c r="AR99" s="987"/>
      <c r="AS99" s="978" t="str">
        <f t="shared" si="16"/>
        <v>單</v>
      </c>
      <c r="AT99" s="978" t="str">
        <f t="shared" si="17"/>
        <v>全</v>
      </c>
      <c r="AU99" s="978" t="str">
        <f t="shared" si="18"/>
        <v/>
      </c>
      <c r="AV99" s="978" t="str">
        <f t="shared" si="19"/>
        <v/>
      </c>
    </row>
    <row r="100" spans="1:48">
      <c r="A100" s="975">
        <f t="shared" si="22"/>
        <v>46145</v>
      </c>
      <c r="B100" s="976" t="s">
        <v>227</v>
      </c>
      <c r="C100" s="976" t="s">
        <v>16712</v>
      </c>
      <c r="D100" s="1410"/>
      <c r="E100" s="977" t="str">
        <f>IFERROR(VLOOKUP(C100, [6]條件!$A:$L, 5, 0), "")</f>
        <v>100/36SDr</v>
      </c>
      <c r="F100" s="978" t="str">
        <f>IFERROR(VLOOKUP(C100, [6]條件!$A:$L, 6, 0), "")</f>
        <v>FP81384R</v>
      </c>
      <c r="G100" s="1411">
        <f>IFERROR(VLOOKUP(C100, [6]條件!$A:$L, 7, 0), "")</f>
        <v>700</v>
      </c>
      <c r="H100" s="978" t="str">
        <f>IF(ISNA(VLOOKUP(C100,[6]條件!$A$1:$K$932,11,0)),"",(VLOOKUP(C100,[6]條件!$A$1:$K$932,11,0)))</f>
        <v>白底紅三角</v>
      </c>
      <c r="I100" s="979">
        <f>IF(ISNA(VLOOKUP(C100,[6]條件!$A$1:$L$932,12,0)),"",(VLOOKUP(C100,[6]條件!$A$1:$L$932,12,0)))</f>
        <v>5</v>
      </c>
      <c r="J100" s="980">
        <v>23</v>
      </c>
      <c r="K100" s="980">
        <v>0</v>
      </c>
      <c r="L100" s="981">
        <v>7817</v>
      </c>
      <c r="M100" s="981">
        <v>7722</v>
      </c>
      <c r="N100" s="982">
        <v>11</v>
      </c>
      <c r="O100" s="980">
        <v>0</v>
      </c>
      <c r="P100" s="981">
        <v>7907</v>
      </c>
      <c r="Q100" s="981">
        <v>8024</v>
      </c>
      <c r="R100" s="982">
        <v>9</v>
      </c>
      <c r="S100" s="980">
        <v>0</v>
      </c>
      <c r="T100" s="981">
        <v>7833</v>
      </c>
      <c r="U100" s="981">
        <v>8025</v>
      </c>
      <c r="V100" s="982">
        <v>16</v>
      </c>
      <c r="W100" s="980">
        <v>0</v>
      </c>
      <c r="X100" s="981">
        <v>7594</v>
      </c>
      <c r="Y100" s="983">
        <v>7749</v>
      </c>
      <c r="Z100" s="1412">
        <f>IFERROR(VLOOKUP(C100, [6]條件!$A:$L, 3, 0), "")</f>
        <v>2.2187981510015407</v>
      </c>
      <c r="AA100" s="984">
        <f>IF(OR(L100={"改紡","檢修","了機","清車","FINAL","停機","SAMPLE","TEST","絲開發"}), L100, IFERROR(IF(C100="", "", (SUM(J100, N100, R100, V100)/3 * AG100) * IF(AND(AF100="S", AS100="雙"), 0.5, 1)), ""))</f>
        <v>19.666666666666668</v>
      </c>
      <c r="AB100" s="1413">
        <f t="shared" si="20"/>
        <v>1</v>
      </c>
      <c r="AC100" s="984">
        <f>IF(OR(L100={"改紡","檢修","了機","清車","FINAL","停機","SAMPLE","TEST"}), "", IFERROR(IF(C100="", "", AVERAGE(L100:M100, P100:Q100, T100:U100, X100:Y100)/100), ""))</f>
        <v>78.338750000000005</v>
      </c>
      <c r="AD100" s="984">
        <f t="shared" si="14"/>
        <v>2.4583333333333335</v>
      </c>
      <c r="AE100" s="984">
        <f t="shared" si="21"/>
        <v>2.4583333333333335</v>
      </c>
      <c r="AF100" s="985" t="str">
        <f t="shared" si="15"/>
        <v>A</v>
      </c>
      <c r="AG100" s="1414">
        <v>1</v>
      </c>
      <c r="AH100" s="1002" t="s">
        <v>636</v>
      </c>
      <c r="AI100" s="1002" t="s">
        <v>629</v>
      </c>
      <c r="AJ100" s="1418" t="s">
        <v>829</v>
      </c>
      <c r="AK100" s="981" t="s">
        <v>829</v>
      </c>
      <c r="AL100" s="1415">
        <v>50</v>
      </c>
      <c r="AM100" s="1323">
        <v>46132</v>
      </c>
      <c r="AN100" s="1323">
        <v>46133</v>
      </c>
      <c r="AO100" s="1323">
        <v>46135</v>
      </c>
      <c r="AP100" s="1323">
        <v>46136</v>
      </c>
      <c r="AQ100" s="1323"/>
      <c r="AR100" s="987"/>
      <c r="AS100" s="978" t="str">
        <f t="shared" si="16"/>
        <v>單</v>
      </c>
      <c r="AT100" s="978" t="str">
        <f t="shared" si="17"/>
        <v>全</v>
      </c>
      <c r="AU100" s="978">
        <f t="shared" si="18"/>
        <v>100</v>
      </c>
      <c r="AV100" s="978">
        <f t="shared" si="19"/>
        <v>1.8951710399999999</v>
      </c>
    </row>
    <row r="101" spans="1:48">
      <c r="A101" s="975">
        <f t="shared" si="22"/>
        <v>46145</v>
      </c>
      <c r="B101" s="976" t="s">
        <v>228</v>
      </c>
      <c r="C101" s="976" t="s">
        <v>632</v>
      </c>
      <c r="D101" s="1410"/>
      <c r="E101" s="977" t="str">
        <f>IFERROR(VLOOKUP(C101, [6]條件!$A:$L, 5, 0), "")</f>
        <v/>
      </c>
      <c r="F101" s="978" t="str">
        <f>IFERROR(VLOOKUP(C101, [6]條件!$A:$L, 6, 0), "")</f>
        <v/>
      </c>
      <c r="G101" s="1411" t="str">
        <f>IFERROR(VLOOKUP(C101, [6]條件!$A:$L, 7, 0), "")</f>
        <v/>
      </c>
      <c r="H101" s="978" t="str">
        <f>IF(ISNA(VLOOKUP(C101,[6]條件!$A$1:$K$932,11,0)),"",(VLOOKUP(C101,[6]條件!$A$1:$K$932,11,0)))</f>
        <v/>
      </c>
      <c r="I101" s="979" t="str">
        <f>IF(ISNA(VLOOKUP(C101,[6]條件!$A$1:$L$932,12,0)),"",(VLOOKUP(C101,[6]條件!$A$1:$L$932,12,0)))</f>
        <v/>
      </c>
      <c r="J101" s="980"/>
      <c r="K101" s="980"/>
      <c r="L101" s="981" t="s">
        <v>632</v>
      </c>
      <c r="M101" s="981"/>
      <c r="N101" s="982"/>
      <c r="O101" s="980"/>
      <c r="P101" s="981" t="s">
        <v>632</v>
      </c>
      <c r="Q101" s="981"/>
      <c r="R101" s="982"/>
      <c r="S101" s="980"/>
      <c r="T101" s="981" t="s">
        <v>632</v>
      </c>
      <c r="U101" s="981"/>
      <c r="V101" s="982"/>
      <c r="W101" s="980"/>
      <c r="X101" s="981" t="s">
        <v>632</v>
      </c>
      <c r="Y101" s="983"/>
      <c r="Z101" s="1412" t="str">
        <f>IFERROR(VLOOKUP(C101, [6]條件!$A:$L, 3, 0), "")</f>
        <v/>
      </c>
      <c r="AA101" s="984" t="str">
        <f>IF(OR(L101={"改紡","檢修","了機","清車","FINAL","停機","SAMPLE","TEST","絲開發"}), L101, IFERROR(IF(C101="", "", (SUM(J101, N101, R101, V101)/3 * AG101) * IF(AND(AF101="S", AS101="雙"), 0.5, 1)), ""))</f>
        <v>停機</v>
      </c>
      <c r="AB101" s="1413" t="str">
        <f t="shared" si="20"/>
        <v/>
      </c>
      <c r="AC101" s="984" t="str">
        <f>IF(OR(L101={"改紡","檢修","了機","清車","FINAL","停機","SAMPLE","TEST"}), "", IFERROR(IF(C101="", "", AVERAGE(L101:M101, P101:Q101, T101:U101, X101:Y101)/100), ""))</f>
        <v/>
      </c>
      <c r="AD101" s="984" t="str">
        <f t="shared" si="14"/>
        <v/>
      </c>
      <c r="AE101" s="984" t="str">
        <f t="shared" si="21"/>
        <v/>
      </c>
      <c r="AF101" s="985" t="str">
        <f t="shared" si="15"/>
        <v>A</v>
      </c>
      <c r="AG101" s="1414">
        <v>1</v>
      </c>
      <c r="AH101" s="1002" t="s">
        <v>636</v>
      </c>
      <c r="AI101" s="1002" t="s">
        <v>629</v>
      </c>
      <c r="AJ101" s="1132" t="s">
        <v>630</v>
      </c>
      <c r="AK101" s="1419" t="s">
        <v>630</v>
      </c>
      <c r="AL101" s="1420"/>
      <c r="AM101" s="1323"/>
      <c r="AN101" s="1323"/>
      <c r="AO101" s="1323"/>
      <c r="AP101" s="1323"/>
      <c r="AQ101" s="1323"/>
      <c r="AR101" s="987"/>
      <c r="AS101" s="978" t="str">
        <f t="shared" si="16"/>
        <v>單</v>
      </c>
      <c r="AT101" s="978" t="str">
        <f t="shared" si="17"/>
        <v>全</v>
      </c>
      <c r="AU101" s="978" t="str">
        <f t="shared" si="18"/>
        <v/>
      </c>
      <c r="AV101" s="978" t="str">
        <f t="shared" si="19"/>
        <v/>
      </c>
    </row>
    <row r="102" spans="1:48">
      <c r="A102" s="975">
        <f t="shared" si="22"/>
        <v>46145</v>
      </c>
      <c r="B102" s="976" t="s">
        <v>229</v>
      </c>
      <c r="C102" s="976" t="s">
        <v>632</v>
      </c>
      <c r="D102" s="1410"/>
      <c r="E102" s="977" t="str">
        <f>IFERROR(VLOOKUP(C102, [6]條件!$A:$L, 5, 0), "")</f>
        <v/>
      </c>
      <c r="F102" s="978" t="str">
        <f>IFERROR(VLOOKUP(C102, [6]條件!$A:$L, 6, 0), "")</f>
        <v/>
      </c>
      <c r="G102" s="1411" t="str">
        <f>IFERROR(VLOOKUP(C102, [6]條件!$A:$L, 7, 0), "")</f>
        <v/>
      </c>
      <c r="H102" s="978" t="str">
        <f>IF(ISNA(VLOOKUP(C102,[6]條件!$A$1:$K$932,11,0)),"",(VLOOKUP(C102,[6]條件!$A$1:$K$932,11,0)))</f>
        <v/>
      </c>
      <c r="I102" s="979" t="str">
        <f>IF(ISNA(VLOOKUP(C102,[6]條件!$A$1:$L$932,12,0)),"",(VLOOKUP(C102,[6]條件!$A$1:$L$932,12,0)))</f>
        <v/>
      </c>
      <c r="J102" s="980"/>
      <c r="K102" s="980"/>
      <c r="L102" s="981" t="s">
        <v>632</v>
      </c>
      <c r="M102" s="981"/>
      <c r="N102" s="982"/>
      <c r="O102" s="980"/>
      <c r="P102" s="981" t="s">
        <v>632</v>
      </c>
      <c r="Q102" s="981"/>
      <c r="R102" s="982"/>
      <c r="S102" s="980"/>
      <c r="T102" s="981" t="s">
        <v>632</v>
      </c>
      <c r="U102" s="981"/>
      <c r="V102" s="982"/>
      <c r="W102" s="980"/>
      <c r="X102" s="981" t="s">
        <v>632</v>
      </c>
      <c r="Y102" s="983"/>
      <c r="Z102" s="1412" t="str">
        <f>IFERROR(VLOOKUP(C102, [6]條件!$A:$L, 3, 0), "")</f>
        <v/>
      </c>
      <c r="AA102" s="984" t="str">
        <f>IF(OR(L102={"改紡","檢修","了機","清車","FINAL","停機","SAMPLE","TEST","絲開發"}), L102, IFERROR(IF(C102="", "", (SUM(J102, N102, R102, V102)/3 * AG102) * IF(AND(AF102="S", AS102="雙"), 0.5, 1)), ""))</f>
        <v>停機</v>
      </c>
      <c r="AB102" s="1413" t="str">
        <f t="shared" si="20"/>
        <v/>
      </c>
      <c r="AC102" s="984" t="str">
        <f>IF(OR(L102={"改紡","檢修","了機","清車","FINAL","停機","SAMPLE","TEST"}), "", IFERROR(IF(C102="", "", AVERAGE(L102:M102, P102:Q102, T102:U102, X102:Y102)/100), ""))</f>
        <v/>
      </c>
      <c r="AD102" s="984" t="str">
        <f t="shared" si="14"/>
        <v/>
      </c>
      <c r="AE102" s="984" t="str">
        <f t="shared" si="21"/>
        <v/>
      </c>
      <c r="AF102" s="985" t="str">
        <f t="shared" si="15"/>
        <v>A</v>
      </c>
      <c r="AG102" s="1414">
        <v>2</v>
      </c>
      <c r="AH102" s="1002" t="s">
        <v>636</v>
      </c>
      <c r="AI102" s="1002" t="s">
        <v>629</v>
      </c>
      <c r="AJ102" s="986" t="s">
        <v>630</v>
      </c>
      <c r="AK102" s="1417" t="s">
        <v>630</v>
      </c>
      <c r="AL102" s="1421"/>
      <c r="AM102" s="1323"/>
      <c r="AN102" s="1323"/>
      <c r="AO102" s="1323"/>
      <c r="AP102" s="1323"/>
      <c r="AQ102" s="1323"/>
      <c r="AR102" s="987"/>
      <c r="AS102" s="978" t="str">
        <f t="shared" si="16"/>
        <v>單</v>
      </c>
      <c r="AT102" s="978" t="str">
        <f t="shared" si="17"/>
        <v>半</v>
      </c>
      <c r="AU102" s="978" t="str">
        <f t="shared" si="18"/>
        <v/>
      </c>
      <c r="AV102" s="978" t="str">
        <f t="shared" si="19"/>
        <v/>
      </c>
    </row>
    <row r="103" spans="1:48">
      <c r="A103" s="975">
        <f t="shared" si="22"/>
        <v>46145</v>
      </c>
      <c r="B103" s="976" t="s">
        <v>230</v>
      </c>
      <c r="C103" s="976" t="s">
        <v>16751</v>
      </c>
      <c r="D103" s="1410"/>
      <c r="E103" s="977" t="str">
        <f>IFERROR(VLOOKUP(C103, [6]條件!$A:$L, 5, 0), "")</f>
        <v>150/48/2GY5</v>
      </c>
      <c r="F103" s="978" t="str">
        <f>IFERROR(VLOOKUP(C103, [6]條件!$A:$L, 6, 0), "")</f>
        <v>FP02422×2</v>
      </c>
      <c r="G103" s="1411">
        <f>IFERROR(VLOOKUP(C103, [6]條件!$A:$L, 7, 0), "")</f>
        <v>600</v>
      </c>
      <c r="H103" s="978" t="str">
        <f>IF(ISNA(VLOOKUP(C103,[6]條件!$A$1:$K$932,11,0)),"",(VLOOKUP(C103,[6]條件!$A$1:$K$932,11,0)))</f>
        <v>白底紅星</v>
      </c>
      <c r="I103" s="979">
        <f>IF(ISNA(VLOOKUP(C103,[6]條件!$A$1:$L$932,12,0)),"",(VLOOKUP(C103,[6]條件!$A$1:$L$932,12,0)))</f>
        <v>4</v>
      </c>
      <c r="J103" s="980">
        <v>60</v>
      </c>
      <c r="K103" s="980">
        <v>0</v>
      </c>
      <c r="L103" s="981" t="s">
        <v>477</v>
      </c>
      <c r="M103" s="981" t="s">
        <v>477</v>
      </c>
      <c r="N103" s="982">
        <v>112</v>
      </c>
      <c r="O103" s="980">
        <v>0</v>
      </c>
      <c r="P103" s="981">
        <v>6746</v>
      </c>
      <c r="Q103" s="981">
        <v>6290</v>
      </c>
      <c r="R103" s="982">
        <v>86</v>
      </c>
      <c r="S103" s="980">
        <v>0</v>
      </c>
      <c r="T103" s="981">
        <v>6867</v>
      </c>
      <c r="U103" s="981">
        <v>7719</v>
      </c>
      <c r="V103" s="982">
        <v>112</v>
      </c>
      <c r="W103" s="980">
        <v>4</v>
      </c>
      <c r="X103" s="981">
        <v>5726</v>
      </c>
      <c r="Y103" s="983">
        <v>8672</v>
      </c>
      <c r="Z103" s="1412">
        <f>IFERROR(VLOOKUP(C103, [6]條件!$A:$L, 3, 0), "")</f>
        <v>6.9230769230769234</v>
      </c>
      <c r="AA103" s="984">
        <f>IF(OR(L103={"改紡","檢修","了機","清車","FINAL","停機","SAMPLE","TEST","絲開發"}), L103, IFERROR(IF(C103="", "", (SUM(J103, N103, R103, V103)/3 * AG103) * IF(AND(AF103="S", AS103="雙"), 0.5, 1)), ""))</f>
        <v>61.666666666666664</v>
      </c>
      <c r="AB103" s="1413">
        <f t="shared" si="20"/>
        <v>0.99722222222222223</v>
      </c>
      <c r="AC103" s="984">
        <f>IF(OR(L103={"改紡","檢修","了機","清車","FINAL","停機","SAMPLE","TEST"}), "", IFERROR(IF(C103="", "", AVERAGE(L103:M103, P103:Q103, T103:U103, X103:Y103)/100), ""))</f>
        <v>70.033333333333331</v>
      </c>
      <c r="AD103" s="984">
        <f t="shared" si="14"/>
        <v>7.708333333333333</v>
      </c>
      <c r="AE103" s="984">
        <f t="shared" si="21"/>
        <v>7.625</v>
      </c>
      <c r="AF103" s="985" t="str">
        <f t="shared" si="15"/>
        <v>A</v>
      </c>
      <c r="AG103" s="1414">
        <v>0.5</v>
      </c>
      <c r="AH103" s="1002" t="s">
        <v>16154</v>
      </c>
      <c r="AI103" s="1002" t="s">
        <v>16154</v>
      </c>
      <c r="AJ103" s="986" t="s">
        <v>634</v>
      </c>
      <c r="AK103" s="1417" t="s">
        <v>634</v>
      </c>
      <c r="AL103" s="1415">
        <v>52</v>
      </c>
      <c r="AM103" s="1323">
        <v>46142</v>
      </c>
      <c r="AN103" s="1323">
        <v>46143</v>
      </c>
      <c r="AO103" s="1323"/>
      <c r="AP103" s="1323"/>
      <c r="AQ103" s="1323"/>
      <c r="AR103" s="987"/>
      <c r="AS103" s="978" t="str">
        <f t="shared" si="16"/>
        <v>雙</v>
      </c>
      <c r="AT103" s="978" t="str">
        <f t="shared" si="17"/>
        <v>全</v>
      </c>
      <c r="AU103" s="978">
        <f t="shared" si="18"/>
        <v>150</v>
      </c>
      <c r="AV103" s="978">
        <f t="shared" si="19"/>
        <v>2.1783168000000002</v>
      </c>
    </row>
    <row r="104" spans="1:48">
      <c r="A104" s="975">
        <f t="shared" si="22"/>
        <v>46145</v>
      </c>
      <c r="B104" s="976" t="s">
        <v>231</v>
      </c>
      <c r="C104" s="976" t="s">
        <v>632</v>
      </c>
      <c r="D104" s="1410"/>
      <c r="E104" s="977" t="str">
        <f>IFERROR(VLOOKUP(C104, [6]條件!$A:$L, 5, 0), "")</f>
        <v/>
      </c>
      <c r="F104" s="978" t="str">
        <f>IFERROR(VLOOKUP(C104, [6]條件!$A:$L, 6, 0), "")</f>
        <v/>
      </c>
      <c r="G104" s="1411" t="str">
        <f>IFERROR(VLOOKUP(C104, [6]條件!$A:$L, 7, 0), "")</f>
        <v/>
      </c>
      <c r="H104" s="978" t="str">
        <f>IF(ISNA(VLOOKUP(C104,[6]條件!$A$1:$K$932,11,0)),"",(VLOOKUP(C104,[6]條件!$A$1:$K$932,11,0)))</f>
        <v/>
      </c>
      <c r="I104" s="979" t="str">
        <f>IF(ISNA(VLOOKUP(C104,[6]條件!$A$1:$L$932,12,0)),"",(VLOOKUP(C104,[6]條件!$A$1:$L$932,12,0)))</f>
        <v/>
      </c>
      <c r="J104" s="980"/>
      <c r="K104" s="980"/>
      <c r="L104" s="981" t="s">
        <v>632</v>
      </c>
      <c r="M104" s="981"/>
      <c r="N104" s="982"/>
      <c r="O104" s="980"/>
      <c r="P104" s="981" t="s">
        <v>632</v>
      </c>
      <c r="Q104" s="981"/>
      <c r="R104" s="982"/>
      <c r="S104" s="980"/>
      <c r="T104" s="981" t="s">
        <v>632</v>
      </c>
      <c r="U104" s="981"/>
      <c r="V104" s="982"/>
      <c r="W104" s="980"/>
      <c r="X104" s="981" t="s">
        <v>632</v>
      </c>
      <c r="Y104" s="983"/>
      <c r="Z104" s="1412" t="str">
        <f>IFERROR(VLOOKUP(C104, [6]條件!$A:$L, 3, 0), "")</f>
        <v/>
      </c>
      <c r="AA104" s="984" t="str">
        <f>IF(OR(L104={"改紡","檢修","了機","清車","FINAL","停機","SAMPLE","TEST","絲開發"}), L104, IFERROR(IF(C104="", "", (SUM(J104, N104, R104, V104)/3 * AG104) * IF(AND(AF104="S", AS104="雙"), 0.5, 1)), ""))</f>
        <v>停機</v>
      </c>
      <c r="AB104" s="1413" t="str">
        <f t="shared" si="20"/>
        <v/>
      </c>
      <c r="AC104" s="984" t="str">
        <f>IF(OR(L104={"改紡","檢修","了機","清車","FINAL","停機","SAMPLE","TEST"}), "", IFERROR(IF(C104="", "", AVERAGE(L104:M104, P104:Q104, T104:U104, X104:Y104)/100), ""))</f>
        <v/>
      </c>
      <c r="AD104" s="984" t="str">
        <f t="shared" si="14"/>
        <v/>
      </c>
      <c r="AE104" s="984" t="str">
        <f t="shared" si="21"/>
        <v/>
      </c>
      <c r="AF104" s="985" t="str">
        <f t="shared" si="15"/>
        <v>J</v>
      </c>
      <c r="AG104" s="1414">
        <v>1</v>
      </c>
      <c r="AH104" s="1002" t="s">
        <v>637</v>
      </c>
      <c r="AI104" s="1002" t="s">
        <v>637</v>
      </c>
      <c r="AJ104" s="986" t="s">
        <v>15370</v>
      </c>
      <c r="AK104" s="1417" t="s">
        <v>15370</v>
      </c>
      <c r="AL104" s="1415"/>
      <c r="AM104" s="1323"/>
      <c r="AN104" s="1323"/>
      <c r="AO104" s="1323"/>
      <c r="AP104" s="1323"/>
      <c r="AQ104" s="1323"/>
      <c r="AR104" s="987"/>
      <c r="AS104" s="978" t="str">
        <f t="shared" si="16"/>
        <v>單</v>
      </c>
      <c r="AT104" s="978" t="str">
        <f t="shared" si="17"/>
        <v>全</v>
      </c>
      <c r="AU104" s="978" t="str">
        <f t="shared" si="18"/>
        <v/>
      </c>
      <c r="AV104" s="978" t="str">
        <f t="shared" si="19"/>
        <v/>
      </c>
    </row>
    <row r="105" spans="1:48">
      <c r="A105" s="975">
        <f t="shared" si="22"/>
        <v>46145</v>
      </c>
      <c r="B105" s="976" t="s">
        <v>233</v>
      </c>
      <c r="C105" s="976" t="s">
        <v>16721</v>
      </c>
      <c r="D105" s="1410" t="s">
        <v>633</v>
      </c>
      <c r="E105" s="977" t="str">
        <f>IFERROR(VLOOKUP(C105, [6]條件!$A:$L, 5, 0), "")</f>
        <v>150/48/2SDr</v>
      </c>
      <c r="F105" s="978" t="str">
        <f>IFERROR(VLOOKUP(C105, [6]條件!$A:$L, 6, 0), "")</f>
        <v>FP82168R×2</v>
      </c>
      <c r="G105" s="1411">
        <f>IFERROR(VLOOKUP(C105, [6]條件!$A:$L, 7, 0), "")</f>
        <v>600</v>
      </c>
      <c r="H105" s="978" t="str">
        <f>IF(ISNA(VLOOKUP(C105,[6]條件!$A$1:$K$932,11,0)),"",(VLOOKUP(C105,[6]條件!$A$1:$K$932,11,0)))</f>
        <v>白紅愛心</v>
      </c>
      <c r="I105" s="979">
        <f>IF(ISNA(VLOOKUP(C105,[6]條件!$A$1:$L$932,12,0)),"",(VLOOKUP(C105,[6]條件!$A$1:$L$932,12,0)))</f>
        <v>5.5</v>
      </c>
      <c r="J105" s="980">
        <v>22</v>
      </c>
      <c r="K105" s="980">
        <v>4</v>
      </c>
      <c r="L105" s="981">
        <v>6920</v>
      </c>
      <c r="M105" s="981"/>
      <c r="N105" s="982">
        <v>9</v>
      </c>
      <c r="O105" s="980">
        <v>1</v>
      </c>
      <c r="P105" s="981">
        <v>7320</v>
      </c>
      <c r="Q105" s="981"/>
      <c r="R105" s="982">
        <v>15</v>
      </c>
      <c r="S105" s="980">
        <v>1</v>
      </c>
      <c r="T105" s="981">
        <v>7280</v>
      </c>
      <c r="U105" s="981"/>
      <c r="V105" s="982">
        <v>15</v>
      </c>
      <c r="W105" s="980">
        <v>0</v>
      </c>
      <c r="X105" s="981">
        <v>7230</v>
      </c>
      <c r="Y105" s="983"/>
      <c r="Z105" s="1412">
        <f>IFERROR(VLOOKUP(C105, [6]條件!$A:$L, 3, 0), "")</f>
        <v>5.0883392226148398</v>
      </c>
      <c r="AA105" s="984">
        <f>IF(OR(L105={"改紡","檢修","了機","清車","FINAL","停機","SAMPLE","TEST","絲開發"}), L105, IFERROR(IF(C105="", "", (SUM(J105, N105, R105, V105)/3 * AG105) * IF(AND(AF105="S", AS105="雙"), 0.5, 1)), ""))</f>
        <v>20.333333333333332</v>
      </c>
      <c r="AB105" s="1413">
        <f t="shared" si="20"/>
        <v>0.99433092948717949</v>
      </c>
      <c r="AC105" s="984">
        <f>IF(OR(L105={"改紡","檢修","了機","清車","FINAL","停機","SAMPLE","TEST"}), "", IFERROR(IF(C105="", "", AVERAGE(L105:M105, P105:Q105, T105:U105, X105:Y105)/100), ""))</f>
        <v>71.875</v>
      </c>
      <c r="AD105" s="984">
        <f t="shared" si="14"/>
        <v>2.5416666666666665</v>
      </c>
      <c r="AE105" s="984">
        <f t="shared" si="21"/>
        <v>2.2916666666666665</v>
      </c>
      <c r="AF105" s="985" t="str">
        <f t="shared" si="15"/>
        <v>J</v>
      </c>
      <c r="AG105" s="1414">
        <v>1</v>
      </c>
      <c r="AH105" s="1002" t="s">
        <v>637</v>
      </c>
      <c r="AI105" s="1002" t="s">
        <v>637</v>
      </c>
      <c r="AJ105" s="1002" t="s">
        <v>15370</v>
      </c>
      <c r="AK105" s="981" t="s">
        <v>15370</v>
      </c>
      <c r="AL105" s="1415">
        <v>55</v>
      </c>
      <c r="AM105" s="1323">
        <v>46139</v>
      </c>
      <c r="AN105" s="1323">
        <v>46140</v>
      </c>
      <c r="AO105" s="1323">
        <v>46141</v>
      </c>
      <c r="AP105" s="1323">
        <v>46142</v>
      </c>
      <c r="AQ105" s="1323"/>
      <c r="AR105" s="987"/>
      <c r="AS105" s="978" t="str">
        <f t="shared" si="16"/>
        <v>雙</v>
      </c>
      <c r="AT105" s="978" t="str">
        <f t="shared" si="17"/>
        <v>全</v>
      </c>
      <c r="AU105" s="978">
        <f t="shared" si="18"/>
        <v>150</v>
      </c>
      <c r="AV105" s="978">
        <f t="shared" si="19"/>
        <v>4.4711999999999996</v>
      </c>
    </row>
    <row r="106" spans="1:48">
      <c r="A106" s="975">
        <f t="shared" si="22"/>
        <v>46145</v>
      </c>
      <c r="B106" s="976" t="s">
        <v>234</v>
      </c>
      <c r="C106" s="976" t="s">
        <v>632</v>
      </c>
      <c r="D106" s="1410"/>
      <c r="E106" s="977" t="str">
        <f>IFERROR(VLOOKUP(C106, [6]條件!$A:$L, 5, 0), "")</f>
        <v/>
      </c>
      <c r="F106" s="978" t="str">
        <f>IFERROR(VLOOKUP(C106, [6]條件!$A:$L, 6, 0), "")</f>
        <v/>
      </c>
      <c r="G106" s="1411" t="str">
        <f>IFERROR(VLOOKUP(C106, [6]條件!$A:$L, 7, 0), "")</f>
        <v/>
      </c>
      <c r="H106" s="978" t="str">
        <f>IF(ISNA(VLOOKUP(C106,[6]條件!$A$1:$K$932,11,0)),"",(VLOOKUP(C106,[6]條件!$A$1:$K$932,11,0)))</f>
        <v/>
      </c>
      <c r="I106" s="979" t="str">
        <f>IF(ISNA(VLOOKUP(C106,[6]條件!$A$1:$L$932,12,0)),"",(VLOOKUP(C106,[6]條件!$A$1:$L$932,12,0)))</f>
        <v/>
      </c>
      <c r="J106" s="980"/>
      <c r="K106" s="980"/>
      <c r="L106" s="981" t="s">
        <v>632</v>
      </c>
      <c r="M106" s="981"/>
      <c r="N106" s="982"/>
      <c r="O106" s="980"/>
      <c r="P106" s="981" t="s">
        <v>632</v>
      </c>
      <c r="Q106" s="981"/>
      <c r="R106" s="982"/>
      <c r="S106" s="980"/>
      <c r="T106" s="981" t="s">
        <v>632</v>
      </c>
      <c r="U106" s="981"/>
      <c r="V106" s="982"/>
      <c r="W106" s="980"/>
      <c r="X106" s="981" t="s">
        <v>632</v>
      </c>
      <c r="Y106" s="983"/>
      <c r="Z106" s="1412" t="str">
        <f>IFERROR(VLOOKUP(C106, [6]條件!$A:$L, 3, 0), "")</f>
        <v/>
      </c>
      <c r="AA106" s="984" t="str">
        <f>IF(OR(L106={"改紡","檢修","了機","清車","FINAL","停機","SAMPLE","TEST","絲開發"}), L106, IFERROR(IF(C106="", "", (SUM(J106, N106, R106, V106)/3 * AG106) * IF(AND(AF106="S", AS106="雙"), 0.5, 1)), ""))</f>
        <v>停機</v>
      </c>
      <c r="AB106" s="1413" t="str">
        <f t="shared" si="20"/>
        <v/>
      </c>
      <c r="AC106" s="984" t="str">
        <f>IF(OR(L106={"改紡","檢修","了機","清車","FINAL","停機","SAMPLE","TEST"}), "", IFERROR(IF(C106="", "", AVERAGE(L106:M106, P106:Q106, T106:U106, X106:Y106)/100), ""))</f>
        <v/>
      </c>
      <c r="AD106" s="984" t="str">
        <f t="shared" si="14"/>
        <v/>
      </c>
      <c r="AE106" s="984" t="str">
        <f t="shared" si="21"/>
        <v/>
      </c>
      <c r="AF106" s="985" t="str">
        <f t="shared" si="15"/>
        <v>J</v>
      </c>
      <c r="AG106" s="1414">
        <v>1</v>
      </c>
      <c r="AH106" s="1002" t="s">
        <v>637</v>
      </c>
      <c r="AI106" s="1002" t="s">
        <v>637</v>
      </c>
      <c r="AJ106" s="986" t="s">
        <v>15370</v>
      </c>
      <c r="AK106" s="1417" t="s">
        <v>15370</v>
      </c>
      <c r="AL106" s="1415"/>
      <c r="AM106" s="1323"/>
      <c r="AN106" s="1323"/>
      <c r="AO106" s="1323"/>
      <c r="AP106" s="1323"/>
      <c r="AQ106" s="1323"/>
      <c r="AR106" s="987"/>
      <c r="AS106" s="978" t="str">
        <f t="shared" si="16"/>
        <v>單</v>
      </c>
      <c r="AT106" s="978" t="str">
        <f t="shared" si="17"/>
        <v>全</v>
      </c>
      <c r="AU106" s="978" t="str">
        <f t="shared" si="18"/>
        <v/>
      </c>
      <c r="AV106" s="978" t="str">
        <f t="shared" si="19"/>
        <v/>
      </c>
    </row>
    <row r="107" spans="1:48">
      <c r="A107" s="975">
        <f t="shared" si="22"/>
        <v>46145</v>
      </c>
      <c r="B107" s="976" t="s">
        <v>235</v>
      </c>
      <c r="C107" s="976" t="s">
        <v>16716</v>
      </c>
      <c r="D107" s="1410" t="s">
        <v>633</v>
      </c>
      <c r="E107" s="977" t="str">
        <f>IFERROR(VLOOKUP(C107, [6]條件!$A:$L, 5, 0), "")</f>
        <v>150/48/2SDr</v>
      </c>
      <c r="F107" s="978" t="str">
        <f>IFERROR(VLOOKUP(C107, [6]條件!$A:$L, 6, 0), "")</f>
        <v>FP82170R×2</v>
      </c>
      <c r="G107" s="1411">
        <f>IFERROR(VLOOKUP(C107, [6]條件!$A:$L, 7, 0), "")</f>
        <v>700</v>
      </c>
      <c r="H107" s="978" t="str">
        <f>IF(ISNA(VLOOKUP(C107,[6]條件!$A$1:$K$932,11,0)),"",(VLOOKUP(C107,[6]條件!$A$1:$K$932,11,0)))</f>
        <v>紫色</v>
      </c>
      <c r="I107" s="979">
        <f>IF(ISNA(VLOOKUP(C107,[6]條件!$A$1:$L$932,12,0)),"",(VLOOKUP(C107,[6]條件!$A$1:$L$932,12,0)))</f>
        <v>5.5</v>
      </c>
      <c r="J107" s="980">
        <v>34</v>
      </c>
      <c r="K107" s="980">
        <v>0</v>
      </c>
      <c r="L107" s="981">
        <v>7870</v>
      </c>
      <c r="M107" s="981">
        <v>7500</v>
      </c>
      <c r="N107" s="982">
        <v>18</v>
      </c>
      <c r="O107" s="980">
        <v>0</v>
      </c>
      <c r="P107" s="981">
        <v>7310</v>
      </c>
      <c r="Q107" s="981">
        <v>8700</v>
      </c>
      <c r="R107" s="982">
        <v>8</v>
      </c>
      <c r="S107" s="980">
        <v>0</v>
      </c>
      <c r="T107" s="981">
        <v>7310</v>
      </c>
      <c r="U107" s="981">
        <v>8060</v>
      </c>
      <c r="V107" s="982">
        <v>41</v>
      </c>
      <c r="W107" s="980">
        <v>0</v>
      </c>
      <c r="X107" s="981">
        <v>6850</v>
      </c>
      <c r="Y107" s="983">
        <v>7960</v>
      </c>
      <c r="Z107" s="1412">
        <f>IFERROR(VLOOKUP(C107, [6]條件!$A:$L, 3, 0), "")</f>
        <v>5.9016393442622928</v>
      </c>
      <c r="AA107" s="984">
        <f>IF(OR(L107={"改紡","檢修","了機","清車","FINAL","停機","SAMPLE","TEST","絲開發"}), L107, IFERROR(IF(C107="", "", (SUM(J107, N107, R107, V107)/3 * AG107) * IF(AND(AF107="S", AS107="雙"), 0.5, 1)), ""))</f>
        <v>33.666666666666664</v>
      </c>
      <c r="AB107" s="1413">
        <f t="shared" si="20"/>
        <v>1</v>
      </c>
      <c r="AC107" s="984">
        <f>IF(OR(L107={"改紡","檢修","了機","清車","FINAL","停機","SAMPLE","TEST"}), "", IFERROR(IF(C107="", "", AVERAGE(L107:M107, P107:Q107, T107:U107, X107:Y107)/100), ""))</f>
        <v>76.95</v>
      </c>
      <c r="AD107" s="984">
        <f t="shared" si="14"/>
        <v>4.208333333333333</v>
      </c>
      <c r="AE107" s="984">
        <f t="shared" si="21"/>
        <v>4.208333333333333</v>
      </c>
      <c r="AF107" s="985" t="str">
        <f t="shared" si="15"/>
        <v>T</v>
      </c>
      <c r="AG107" s="1414">
        <v>1</v>
      </c>
      <c r="AH107" s="1002" t="s">
        <v>651</v>
      </c>
      <c r="AI107" s="1002" t="s">
        <v>651</v>
      </c>
      <c r="AJ107" s="986" t="s">
        <v>652</v>
      </c>
      <c r="AK107" s="1417" t="s">
        <v>652</v>
      </c>
      <c r="AL107" s="1415">
        <v>56</v>
      </c>
      <c r="AM107" s="1323">
        <v>46141</v>
      </c>
      <c r="AN107" s="1323">
        <v>46142</v>
      </c>
      <c r="AO107" s="1323">
        <v>46143</v>
      </c>
      <c r="AP107" s="1323"/>
      <c r="AQ107" s="1323"/>
      <c r="AR107" s="987"/>
      <c r="AS107" s="978" t="str">
        <f t="shared" si="16"/>
        <v>雙</v>
      </c>
      <c r="AT107" s="978" t="str">
        <f t="shared" si="17"/>
        <v>全</v>
      </c>
      <c r="AU107" s="978">
        <f t="shared" si="18"/>
        <v>150</v>
      </c>
      <c r="AV107" s="978">
        <f t="shared" si="19"/>
        <v>5.5847232</v>
      </c>
    </row>
    <row r="108" spans="1:48">
      <c r="A108" s="975">
        <f t="shared" si="22"/>
        <v>46145</v>
      </c>
      <c r="B108" s="976" t="s">
        <v>237</v>
      </c>
      <c r="C108" s="976" t="s">
        <v>16720</v>
      </c>
      <c r="D108" s="1410" t="s">
        <v>633</v>
      </c>
      <c r="E108" s="977" t="str">
        <f>IFERROR(VLOOKUP(C108, [6]條件!$A:$L, 5, 0), "")</f>
        <v>150/48/2SDr</v>
      </c>
      <c r="F108" s="978" t="str">
        <f>IFERROR(VLOOKUP(C108, [6]條件!$A:$L, 6, 0), "")</f>
        <v>FP82168R×2</v>
      </c>
      <c r="G108" s="1411">
        <f>IFERROR(VLOOKUP(C108, [6]條件!$A:$L, 7, 0), "")</f>
        <v>700</v>
      </c>
      <c r="H108" s="978" t="str">
        <f>IF(ISNA(VLOOKUP(C108,[6]條件!$A$1:$K$932,11,0)),"",(VLOOKUP(C108,[6]條件!$A$1:$K$932,11,0)))</f>
        <v>紫底白點</v>
      </c>
      <c r="I108" s="979">
        <f>IF(ISNA(VLOOKUP(C108,[6]條件!$A$1:$L$932,12,0)),"",(VLOOKUP(C108,[6]條件!$A$1:$L$932,12,0)))</f>
        <v>5.5</v>
      </c>
      <c r="J108" s="980">
        <v>40</v>
      </c>
      <c r="K108" s="980">
        <v>2</v>
      </c>
      <c r="L108" s="981">
        <v>9350</v>
      </c>
      <c r="M108" s="981">
        <v>8610</v>
      </c>
      <c r="N108" s="982">
        <v>14</v>
      </c>
      <c r="O108" s="980">
        <v>0</v>
      </c>
      <c r="P108" s="981">
        <v>9720</v>
      </c>
      <c r="Q108" s="981">
        <v>7870</v>
      </c>
      <c r="R108" s="982">
        <v>10</v>
      </c>
      <c r="S108" s="980">
        <v>0</v>
      </c>
      <c r="T108" s="981">
        <v>9540</v>
      </c>
      <c r="U108" s="981">
        <v>7040</v>
      </c>
      <c r="V108" s="982"/>
      <c r="W108" s="980"/>
      <c r="X108" s="981" t="s">
        <v>127</v>
      </c>
      <c r="Y108" s="983"/>
      <c r="Z108" s="1412">
        <f>IFERROR(VLOOKUP(C108, [6]條件!$A:$L, 3, 0), "")</f>
        <v>5.8299595141700395</v>
      </c>
      <c r="AA108" s="984">
        <f>IF(OR(L108={"改紡","檢修","了機","清車","FINAL","停機","SAMPLE","TEST","絲開發"}), L108, IFERROR(IF(C108="", "", (SUM(J108, N108, R108, V108)/3 * AG108) * IF(AND(AF108="S", AS108="雙"), 0.5, 1)), ""))</f>
        <v>21.333333333333332</v>
      </c>
      <c r="AB108" s="1413">
        <f t="shared" si="20"/>
        <v>0.99835069444444446</v>
      </c>
      <c r="AC108" s="984">
        <f>IF(OR(L108={"改紡","檢修","了機","清車","FINAL","停機","SAMPLE","TEST"}), "", IFERROR(IF(C108="", "", AVERAGE(L108:M108, P108:Q108, T108:U108, X108:Y108)/100), ""))</f>
        <v>86.88333333333334</v>
      </c>
      <c r="AD108" s="984">
        <f t="shared" si="14"/>
        <v>2.6666666666666665</v>
      </c>
      <c r="AE108" s="984">
        <f t="shared" si="21"/>
        <v>2.5833333333333335</v>
      </c>
      <c r="AF108" s="985" t="str">
        <f t="shared" si="15"/>
        <v>T</v>
      </c>
      <c r="AG108" s="1414">
        <v>1</v>
      </c>
      <c r="AH108" s="1002" t="s">
        <v>638</v>
      </c>
      <c r="AI108" s="1002" t="s">
        <v>638</v>
      </c>
      <c r="AJ108" s="986" t="s">
        <v>835</v>
      </c>
      <c r="AK108" s="1417" t="s">
        <v>835</v>
      </c>
      <c r="AL108" s="1415">
        <v>55</v>
      </c>
      <c r="AM108" s="1323">
        <v>46140</v>
      </c>
      <c r="AN108" s="1323">
        <v>46141</v>
      </c>
      <c r="AO108" s="1323">
        <v>46142</v>
      </c>
      <c r="AP108" s="1323"/>
      <c r="AQ108" s="1323"/>
      <c r="AR108" s="987"/>
      <c r="AS108" s="978" t="str">
        <f t="shared" si="16"/>
        <v>雙</v>
      </c>
      <c r="AT108" s="978" t="str">
        <f t="shared" si="17"/>
        <v>全</v>
      </c>
      <c r="AU108" s="978">
        <f t="shared" si="18"/>
        <v>150</v>
      </c>
      <c r="AV108" s="978">
        <f t="shared" si="19"/>
        <v>6.3056447999999996</v>
      </c>
    </row>
    <row r="109" spans="1:48">
      <c r="A109" s="975">
        <f t="shared" si="22"/>
        <v>46145</v>
      </c>
      <c r="B109" s="976" t="s">
        <v>238</v>
      </c>
      <c r="C109" s="976" t="s">
        <v>16743</v>
      </c>
      <c r="D109" s="1410"/>
      <c r="E109" s="977" t="str">
        <f>IFERROR(VLOOKUP(C109, [6]條件!$A:$L, 5, 0), "")</f>
        <v>150/48/2SDr</v>
      </c>
      <c r="F109" s="978" t="str">
        <f>IFERROR(VLOOKUP(C109, [6]條件!$A:$L, 6, 0), "")</f>
        <v>FP82169R×2</v>
      </c>
      <c r="G109" s="1411">
        <f>IFERROR(VLOOKUP(C109, [6]條件!$A:$L, 7, 0), "")</f>
        <v>670</v>
      </c>
      <c r="H109" s="978" t="str">
        <f>IF(ISNA(VLOOKUP(C109,[6]條件!$A$1:$K$932,11,0)),"",(VLOOKUP(C109,[6]條件!$A$1:$K$932,11,0)))</f>
        <v>黃底紅點</v>
      </c>
      <c r="I109" s="979">
        <f>IF(ISNA(VLOOKUP(C109,[6]條件!$A$1:$L$932,12,0)),"",(VLOOKUP(C109,[6]條件!$A$1:$L$932,12,0)))</f>
        <v>5</v>
      </c>
      <c r="J109" s="980">
        <v>16</v>
      </c>
      <c r="K109" s="980">
        <v>0</v>
      </c>
      <c r="L109" s="981">
        <v>8520</v>
      </c>
      <c r="M109" s="981"/>
      <c r="N109" s="982">
        <v>7</v>
      </c>
      <c r="O109" s="980">
        <v>0</v>
      </c>
      <c r="P109" s="981">
        <v>8610</v>
      </c>
      <c r="Q109" s="981"/>
      <c r="R109" s="982">
        <v>30</v>
      </c>
      <c r="S109" s="980">
        <v>0</v>
      </c>
      <c r="T109" s="981">
        <v>9260</v>
      </c>
      <c r="U109" s="981"/>
      <c r="V109" s="982">
        <v>33</v>
      </c>
      <c r="W109" s="980">
        <v>0</v>
      </c>
      <c r="X109" s="981">
        <v>9260</v>
      </c>
      <c r="Y109" s="983"/>
      <c r="Z109" s="1412">
        <f>IFERROR(VLOOKUP(C109, [6]條件!$A:$L, 3, 0), "")</f>
        <v>6.2882096069868991</v>
      </c>
      <c r="AA109" s="984">
        <f>IF(OR(L109={"改紡","檢修","了機","清車","FINAL","停機","SAMPLE","TEST","絲開發"}), L109, IFERROR(IF(C109="", "", (SUM(J109, N109, R109, V109)/3 * AG109) * IF(AND(AF109="S", AS109="雙"), 0.5, 1)), ""))</f>
        <v>57.333333333333336</v>
      </c>
      <c r="AB109" s="1413">
        <f t="shared" si="20"/>
        <v>1</v>
      </c>
      <c r="AC109" s="984">
        <f>IF(OR(L109={"改紡","檢修","了機","清車","FINAL","停機","SAMPLE","TEST"}), "", IFERROR(IF(C109="", "", AVERAGE(L109:M109, P109:Q109, T109:U109, X109:Y109)/100), ""))</f>
        <v>89.125</v>
      </c>
      <c r="AD109" s="984">
        <f t="shared" si="14"/>
        <v>7.166666666666667</v>
      </c>
      <c r="AE109" s="984">
        <f t="shared" si="21"/>
        <v>7.166666666666667</v>
      </c>
      <c r="AF109" s="985" t="str">
        <f t="shared" si="15"/>
        <v>T</v>
      </c>
      <c r="AG109" s="1414">
        <v>2</v>
      </c>
      <c r="AH109" s="1002" t="s">
        <v>651</v>
      </c>
      <c r="AI109" s="1002" t="s">
        <v>651</v>
      </c>
      <c r="AJ109" s="986" t="s">
        <v>652</v>
      </c>
      <c r="AK109" s="1417" t="s">
        <v>652</v>
      </c>
      <c r="AL109" s="1415">
        <v>48</v>
      </c>
      <c r="AM109" s="1323">
        <v>46143</v>
      </c>
      <c r="AN109" s="1323">
        <v>46144</v>
      </c>
      <c r="AO109" s="1323"/>
      <c r="AP109" s="1323"/>
      <c r="AQ109" s="1323"/>
      <c r="AR109" s="987"/>
      <c r="AS109" s="978" t="str">
        <f t="shared" si="16"/>
        <v>雙</v>
      </c>
      <c r="AT109" s="978" t="str">
        <f t="shared" si="17"/>
        <v>半</v>
      </c>
      <c r="AU109" s="978">
        <f t="shared" si="18"/>
        <v>150</v>
      </c>
      <c r="AV109" s="978">
        <f t="shared" si="19"/>
        <v>3.0955608000000003</v>
      </c>
    </row>
    <row r="110" spans="1:48">
      <c r="A110" s="975">
        <f t="shared" si="22"/>
        <v>46145</v>
      </c>
      <c r="B110" s="976" t="s">
        <v>238</v>
      </c>
      <c r="C110" s="976" t="s">
        <v>16742</v>
      </c>
      <c r="D110" s="1410"/>
      <c r="E110" s="977" t="str">
        <f>IFERROR(VLOOKUP(C110, [6]條件!$A:$L, 5, 0), "")</f>
        <v>150/48/2SDr</v>
      </c>
      <c r="F110" s="978" t="str">
        <f>IFERROR(VLOOKUP(C110, [6]條件!$A:$L, 6, 0), "")</f>
        <v>FP82169R×2</v>
      </c>
      <c r="G110" s="1411">
        <f>IFERROR(VLOOKUP(C110, [6]條件!$A:$L, 7, 0), "")</f>
        <v>670</v>
      </c>
      <c r="H110" s="978" t="str">
        <f>IF(ISNA(VLOOKUP(C110,[6]條件!$A$1:$K$932,11,0)),"",(VLOOKUP(C110,[6]條件!$A$1:$K$932,11,0)))</f>
        <v>紅底藍點</v>
      </c>
      <c r="I110" s="979">
        <f>IF(ISNA(VLOOKUP(C110,[6]條件!$A$1:$L$932,12,0)),"",(VLOOKUP(C110,[6]條件!$A$1:$L$932,12,0)))</f>
        <v>5</v>
      </c>
      <c r="J110" s="980">
        <v>19</v>
      </c>
      <c r="K110" s="980">
        <v>0</v>
      </c>
      <c r="L110" s="981"/>
      <c r="M110" s="981">
        <v>8060</v>
      </c>
      <c r="N110" s="982">
        <v>18</v>
      </c>
      <c r="O110" s="980">
        <v>0</v>
      </c>
      <c r="P110" s="981"/>
      <c r="Q110" s="981">
        <v>7870</v>
      </c>
      <c r="R110" s="982">
        <v>20</v>
      </c>
      <c r="S110" s="980">
        <v>0</v>
      </c>
      <c r="T110" s="981"/>
      <c r="U110" s="981">
        <v>8240</v>
      </c>
      <c r="V110" s="982">
        <v>47</v>
      </c>
      <c r="W110" s="980">
        <v>0</v>
      </c>
      <c r="X110" s="981"/>
      <c r="Y110" s="983">
        <v>8980</v>
      </c>
      <c r="Z110" s="1412">
        <f>IFERROR(VLOOKUP(C110, [6]條件!$A:$L, 3, 0), "")</f>
        <v>6.1802575107296125</v>
      </c>
      <c r="AA110" s="984">
        <f>IF(OR(L110={"改紡","檢修","了機","清車","FINAL","停機","SAMPLE","TEST","絲開發"}), L110, IFERROR(IF(C110="", "", (SUM(J110, N110, R110, V110)/3 * AG110) * IF(AND(AF110="S", AS110="雙"), 0.5, 1)), ""))</f>
        <v>69.333333333333329</v>
      </c>
      <c r="AB110" s="1413">
        <f t="shared" si="20"/>
        <v>1</v>
      </c>
      <c r="AC110" s="984">
        <f>IF(OR(L110={"改紡","檢修","了機","清車","FINAL","停機","SAMPLE","TEST"}), "", IFERROR(IF(C110="", "", AVERAGE(L110:M110, P110:Q110, T110:U110, X110:Y110)/100), ""))</f>
        <v>82.875</v>
      </c>
      <c r="AD110" s="984">
        <f t="shared" si="14"/>
        <v>8.6666666666666661</v>
      </c>
      <c r="AE110" s="984">
        <f t="shared" si="21"/>
        <v>8.6666666666666661</v>
      </c>
      <c r="AF110" s="985" t="str">
        <f t="shared" si="15"/>
        <v>T</v>
      </c>
      <c r="AG110" s="1414">
        <v>2</v>
      </c>
      <c r="AH110" s="1002" t="s">
        <v>651</v>
      </c>
      <c r="AI110" s="1002" t="s">
        <v>651</v>
      </c>
      <c r="AJ110" s="986" t="s">
        <v>652</v>
      </c>
      <c r="AK110" s="1417" t="s">
        <v>652</v>
      </c>
      <c r="AL110" s="1415">
        <v>48</v>
      </c>
      <c r="AM110" s="1323">
        <v>46142</v>
      </c>
      <c r="AN110" s="1323">
        <v>46143</v>
      </c>
      <c r="AO110" s="1323">
        <v>46144</v>
      </c>
      <c r="AP110" s="1323"/>
      <c r="AQ110" s="1323"/>
      <c r="AR110" s="987"/>
      <c r="AS110" s="978" t="str">
        <f t="shared" si="16"/>
        <v>雙</v>
      </c>
      <c r="AT110" s="978" t="str">
        <f t="shared" si="17"/>
        <v>半</v>
      </c>
      <c r="AU110" s="978">
        <f t="shared" si="18"/>
        <v>150</v>
      </c>
      <c r="AV110" s="978">
        <f t="shared" si="19"/>
        <v>2.8784808000000002</v>
      </c>
    </row>
    <row r="111" spans="1:48">
      <c r="A111" s="975">
        <f t="shared" si="22"/>
        <v>46145</v>
      </c>
      <c r="B111" s="976" t="s">
        <v>239</v>
      </c>
      <c r="C111" s="976" t="s">
        <v>16735</v>
      </c>
      <c r="D111" s="1410"/>
      <c r="E111" s="977" t="str">
        <f>IFERROR(VLOOKUP(C111, [6]條件!$A:$L, 5, 0), "")</f>
        <v>150/48/2SR6</v>
      </c>
      <c r="F111" s="978" t="str">
        <f>IFERROR(VLOOKUP(C111, [6]條件!$A:$L, 6, 0), "")</f>
        <v>FP82658×2</v>
      </c>
      <c r="G111" s="1411">
        <f>IFERROR(VLOOKUP(C111, [6]條件!$A:$L, 7, 0), "")</f>
        <v>600</v>
      </c>
      <c r="H111" s="978" t="str">
        <f>IF(ISNA(VLOOKUP(C111,[6]條件!$A$1:$K$932,11,0)),"",(VLOOKUP(C111,[6]條件!$A$1:$K$932,11,0)))</f>
        <v>黃底黑點</v>
      </c>
      <c r="I111" s="979">
        <f>IF(ISNA(VLOOKUP(C111,[6]條件!$A$1:$L$932,12,0)),"",(VLOOKUP(C111,[6]條件!$A$1:$L$932,12,0)))</f>
        <v>5.5</v>
      </c>
      <c r="J111" s="980">
        <v>29</v>
      </c>
      <c r="K111" s="980">
        <v>5</v>
      </c>
      <c r="L111" s="981"/>
      <c r="M111" s="981">
        <v>6200</v>
      </c>
      <c r="N111" s="982">
        <v>30</v>
      </c>
      <c r="O111" s="980">
        <v>2</v>
      </c>
      <c r="P111" s="981" t="s">
        <v>632</v>
      </c>
      <c r="Q111" s="981">
        <v>7780</v>
      </c>
      <c r="R111" s="982">
        <v>19</v>
      </c>
      <c r="S111" s="980">
        <v>0</v>
      </c>
      <c r="T111" s="981" t="s">
        <v>632</v>
      </c>
      <c r="U111" s="981">
        <v>7640</v>
      </c>
      <c r="V111" s="982"/>
      <c r="W111" s="980"/>
      <c r="X111" s="981" t="s">
        <v>632</v>
      </c>
      <c r="Y111" s="983"/>
      <c r="Z111" s="1412">
        <f>IFERROR(VLOOKUP(C111, [6]條件!$A:$L, 3, 0), "")</f>
        <v>4.9655172413793105</v>
      </c>
      <c r="AA111" s="984">
        <f>IF(OR(L111={"改紡","檢修","了機","清車","FINAL","停機","SAMPLE","TEST","絲開發"}), L111, IFERROR(IF(C111="", "", (SUM(J111, N111, R111, V111)/3 * AG111) * IF(AND(AF111="S", AS111="雙"), 0.5, 1)), ""))</f>
        <v>52</v>
      </c>
      <c r="AB111" s="1413">
        <f t="shared" si="20"/>
        <v>0.99322248931623935</v>
      </c>
      <c r="AC111" s="984">
        <f>IF(OR(L111={"改紡","檢修","了機","清車","FINAL","停機","SAMPLE","TEST"}), "", IFERROR(IF(C111="", "", AVERAGE(L111:M111, P111:Q111, T111:U111, X111:Y111)/100), ""))</f>
        <v>72.066666666666663</v>
      </c>
      <c r="AD111" s="984">
        <f t="shared" si="14"/>
        <v>6.5</v>
      </c>
      <c r="AE111" s="984">
        <f t="shared" si="21"/>
        <v>5.916666666666667</v>
      </c>
      <c r="AF111" s="985" t="str">
        <f t="shared" si="15"/>
        <v>T</v>
      </c>
      <c r="AG111" s="1414">
        <v>2</v>
      </c>
      <c r="AH111" s="1002" t="s">
        <v>638</v>
      </c>
      <c r="AI111" s="1002" t="s">
        <v>638</v>
      </c>
      <c r="AJ111" s="986" t="s">
        <v>835</v>
      </c>
      <c r="AK111" s="1417" t="s">
        <v>835</v>
      </c>
      <c r="AL111" s="1415">
        <v>56</v>
      </c>
      <c r="AM111" s="1323">
        <v>46117</v>
      </c>
      <c r="AN111" s="1323">
        <v>46118</v>
      </c>
      <c r="AO111" s="1323"/>
      <c r="AP111" s="1323"/>
      <c r="AQ111" s="1323"/>
      <c r="AR111" s="987"/>
      <c r="AS111" s="978" t="str">
        <f t="shared" si="16"/>
        <v>雙</v>
      </c>
      <c r="AT111" s="978" t="str">
        <f t="shared" si="17"/>
        <v>半</v>
      </c>
      <c r="AU111" s="978">
        <f t="shared" si="18"/>
        <v>150</v>
      </c>
      <c r="AV111" s="978">
        <f t="shared" si="19"/>
        <v>2.2415615999999998</v>
      </c>
    </row>
    <row r="112" spans="1:48">
      <c r="A112" s="975">
        <f t="shared" si="22"/>
        <v>46145</v>
      </c>
      <c r="B112" s="976" t="s">
        <v>388</v>
      </c>
      <c r="C112" s="976" t="s">
        <v>16730</v>
      </c>
      <c r="D112" s="1410" t="s">
        <v>633</v>
      </c>
      <c r="E112" s="977" t="str">
        <f>IFERROR(VLOOKUP(C112, [6]條件!$A:$L, 5, 0), "")</f>
        <v>225/72/2SDr</v>
      </c>
      <c r="F112" s="978" t="str">
        <f>IFERROR(VLOOKUP(C112, [6]條件!$A:$L, 6, 0), "")</f>
        <v>FP83024R×2</v>
      </c>
      <c r="G112" s="1411">
        <f>IFERROR(VLOOKUP(C112, [6]條件!$A:$L, 7, 0), "")</f>
        <v>550</v>
      </c>
      <c r="H112" s="978" t="str">
        <f>IF(ISNA(VLOOKUP(C112,[6]條件!$A$1:$K$932,11,0)),"",(VLOOKUP(C112,[6]條件!$A$1:$K$932,11,0)))</f>
        <v>灰色</v>
      </c>
      <c r="I112" s="979">
        <f>IF(ISNA(VLOOKUP(C112,[6]條件!$A$1:$L$932,12,0)),"",(VLOOKUP(C112,[6]條件!$A$1:$L$932,12,0)))</f>
        <v>5.5</v>
      </c>
      <c r="J112" s="980">
        <v>19</v>
      </c>
      <c r="K112" s="980">
        <v>0</v>
      </c>
      <c r="L112" s="981">
        <v>6480</v>
      </c>
      <c r="M112" s="981"/>
      <c r="N112" s="982">
        <v>17</v>
      </c>
      <c r="O112" s="980">
        <v>0</v>
      </c>
      <c r="P112" s="981">
        <v>6850</v>
      </c>
      <c r="Q112" s="981"/>
      <c r="R112" s="982">
        <v>12</v>
      </c>
      <c r="S112" s="980">
        <v>0</v>
      </c>
      <c r="T112" s="981">
        <v>7040</v>
      </c>
      <c r="U112" s="981"/>
      <c r="V112" s="982">
        <v>33</v>
      </c>
      <c r="W112" s="980">
        <v>0</v>
      </c>
      <c r="X112" s="981"/>
      <c r="Y112" s="983">
        <v>6760</v>
      </c>
      <c r="Z112" s="1412">
        <f>IFERROR(VLOOKUP(C112, [6]條件!$A:$L, 3, 0), "")</f>
        <v>6.6055045871559628</v>
      </c>
      <c r="AA112" s="984">
        <f>IF(OR(L112={"改紡","檢修","了機","清車","FINAL","停機","SAMPLE","TEST","絲開發"}), L112, IFERROR(IF(C112="", "", (SUM(J112, N112, R112, V112)/3 * AG112) * IF(AND(AF112="S", AS112="雙"), 0.5, 1)), ""))</f>
        <v>54</v>
      </c>
      <c r="AB112" s="1413">
        <f t="shared" si="20"/>
        <v>1</v>
      </c>
      <c r="AC112" s="984">
        <f>IF(OR(L112={"改紡","檢修","了機","清車","FINAL","停機","SAMPLE","TEST"}), "", IFERROR(IF(C112="", "", AVERAGE(L112:M112, P112:Q112, T112:U112, X112:Y112)/100), ""))</f>
        <v>67.825000000000003</v>
      </c>
      <c r="AD112" s="984">
        <f t="shared" si="14"/>
        <v>6.75</v>
      </c>
      <c r="AE112" s="984">
        <f t="shared" si="21"/>
        <v>6.75</v>
      </c>
      <c r="AF112" s="985" t="str">
        <f t="shared" si="15"/>
        <v>T</v>
      </c>
      <c r="AG112" s="1414">
        <v>2</v>
      </c>
      <c r="AH112" s="1002" t="s">
        <v>651</v>
      </c>
      <c r="AI112" s="1002" t="s">
        <v>651</v>
      </c>
      <c r="AJ112" s="986" t="s">
        <v>652</v>
      </c>
      <c r="AK112" s="1417" t="s">
        <v>652</v>
      </c>
      <c r="AL112" s="1415">
        <v>53</v>
      </c>
      <c r="AM112" s="1323">
        <v>46128</v>
      </c>
      <c r="AN112" s="1323">
        <v>46129</v>
      </c>
      <c r="AO112" s="1323">
        <v>46130</v>
      </c>
      <c r="AP112" s="1323">
        <v>46131</v>
      </c>
      <c r="AQ112" s="1323">
        <v>46133</v>
      </c>
      <c r="AR112" s="987"/>
      <c r="AS112" s="978" t="str">
        <f t="shared" si="16"/>
        <v>雙</v>
      </c>
      <c r="AT112" s="978" t="str">
        <f t="shared" si="17"/>
        <v>半</v>
      </c>
      <c r="AU112" s="978">
        <f t="shared" si="18"/>
        <v>225</v>
      </c>
      <c r="AV112" s="978">
        <f t="shared" si="19"/>
        <v>2.9007396000000005</v>
      </c>
    </row>
    <row r="113" spans="1:48">
      <c r="A113" s="975">
        <f t="shared" si="22"/>
        <v>46145</v>
      </c>
      <c r="B113" s="976" t="s">
        <v>388</v>
      </c>
      <c r="C113" s="976" t="s">
        <v>16736</v>
      </c>
      <c r="D113" s="1410" t="s">
        <v>633</v>
      </c>
      <c r="E113" s="977" t="str">
        <f>IFERROR(VLOOKUP(C113, [6]條件!$A:$L, 5, 0), "")</f>
        <v>150/48/2SDr</v>
      </c>
      <c r="F113" s="978" t="str">
        <f>IFERROR(VLOOKUP(C113, [6]條件!$A:$L, 6, 0), "")</f>
        <v>FP82170R×2</v>
      </c>
      <c r="G113" s="1411">
        <f>IFERROR(VLOOKUP(C113, [6]條件!$A:$L, 7, 0), "")</f>
        <v>700</v>
      </c>
      <c r="H113" s="978" t="str">
        <f>IF(ISNA(VLOOKUP(C113,[6]條件!$A$1:$K$932,11,0)),"",(VLOOKUP(C113,[6]條件!$A$1:$K$932,11,0)))</f>
        <v>粉紅</v>
      </c>
      <c r="I113" s="979">
        <f>IF(ISNA(VLOOKUP(C113,[6]條件!$A$1:$L$932,12,0)),"",(VLOOKUP(C113,[6]條件!$A$1:$L$932,12,0)))</f>
        <v>5.5</v>
      </c>
      <c r="J113" s="980">
        <v>24</v>
      </c>
      <c r="K113" s="980">
        <v>0</v>
      </c>
      <c r="L113" s="981"/>
      <c r="M113" s="981">
        <v>8610</v>
      </c>
      <c r="N113" s="982">
        <v>13</v>
      </c>
      <c r="O113" s="980">
        <v>0</v>
      </c>
      <c r="P113" s="981"/>
      <c r="Q113" s="981">
        <v>9440</v>
      </c>
      <c r="R113" s="982">
        <v>7</v>
      </c>
      <c r="S113" s="980">
        <v>0</v>
      </c>
      <c r="T113" s="981"/>
      <c r="U113" s="981">
        <v>9810</v>
      </c>
      <c r="V113" s="982">
        <v>21</v>
      </c>
      <c r="W113" s="980">
        <v>0</v>
      </c>
      <c r="X113" s="981">
        <v>7590</v>
      </c>
      <c r="Y113" s="983"/>
      <c r="Z113" s="1412">
        <f>IFERROR(VLOOKUP(C113, [6]條件!$A:$L, 3, 0), "")</f>
        <v>5.8775510204081636</v>
      </c>
      <c r="AA113" s="984">
        <f>IF(OR(L113={"改紡","檢修","了機","清車","FINAL","停機","SAMPLE","TEST","絲開發"}), L113, IFERROR(IF(C113="", "", (SUM(J113, N113, R113, V113)/3 * AG113) * IF(AND(AF113="S", AS113="雙"), 0.5, 1)), ""))</f>
        <v>43.333333333333336</v>
      </c>
      <c r="AB113" s="1413">
        <f t="shared" si="20"/>
        <v>1</v>
      </c>
      <c r="AC113" s="984">
        <f>IF(OR(L113={"改紡","檢修","了機","清車","FINAL","停機","SAMPLE","TEST"}), "", IFERROR(IF(C113="", "", AVERAGE(L113:M113, P113:Q113, T113:U113, X113:Y113)/100), ""))</f>
        <v>88.625</v>
      </c>
      <c r="AD113" s="984">
        <f t="shared" si="14"/>
        <v>5.416666666666667</v>
      </c>
      <c r="AE113" s="984">
        <f t="shared" si="21"/>
        <v>5.416666666666667</v>
      </c>
      <c r="AF113" s="985" t="str">
        <f t="shared" si="15"/>
        <v>T</v>
      </c>
      <c r="AG113" s="1414">
        <v>2</v>
      </c>
      <c r="AH113" s="1002" t="s">
        <v>651</v>
      </c>
      <c r="AI113" s="1002" t="s">
        <v>651</v>
      </c>
      <c r="AJ113" s="986" t="s">
        <v>652</v>
      </c>
      <c r="AK113" s="1417" t="s">
        <v>652</v>
      </c>
      <c r="AL113" s="1415">
        <v>56</v>
      </c>
      <c r="AM113" s="1323">
        <v>46141</v>
      </c>
      <c r="AN113" s="1323">
        <v>46142</v>
      </c>
      <c r="AO113" s="1323"/>
      <c r="AP113" s="1323"/>
      <c r="AQ113" s="1323"/>
      <c r="AR113" s="987"/>
      <c r="AS113" s="978" t="str">
        <f t="shared" si="16"/>
        <v>雙</v>
      </c>
      <c r="AT113" s="978" t="str">
        <f t="shared" si="17"/>
        <v>半</v>
      </c>
      <c r="AU113" s="978">
        <f t="shared" si="18"/>
        <v>150</v>
      </c>
      <c r="AV113" s="978">
        <f t="shared" si="19"/>
        <v>3.2160240000000004</v>
      </c>
    </row>
    <row r="114" spans="1:48">
      <c r="A114" s="975">
        <f t="shared" si="22"/>
        <v>46145</v>
      </c>
      <c r="B114" s="976" t="s">
        <v>417</v>
      </c>
      <c r="C114" s="976" t="s">
        <v>16718</v>
      </c>
      <c r="D114" s="1410" t="s">
        <v>633</v>
      </c>
      <c r="E114" s="977" t="str">
        <f>IFERROR(VLOOKUP(C114, [6]條件!$A:$L, 5, 0), "")</f>
        <v>150/48/2SDr</v>
      </c>
      <c r="F114" s="978" t="str">
        <f>IFERROR(VLOOKUP(C114, [6]條件!$A:$L, 6, 0), "")</f>
        <v>FP82170R×2</v>
      </c>
      <c r="G114" s="1411">
        <f>IFERROR(VLOOKUP(C114, [6]條件!$A:$L, 7, 0), "")</f>
        <v>700</v>
      </c>
      <c r="H114" s="978" t="str">
        <f>IF(ISNA(VLOOKUP(C114,[6]條件!$A$1:$K$932,11,0)),"",(VLOOKUP(C114,[6]條件!$A$1:$K$932,11,0)))</f>
        <v>黃黑條紋</v>
      </c>
      <c r="I114" s="979">
        <f>IF(ISNA(VLOOKUP(C114,[6]條件!$A$1:$L$932,12,0)),"",(VLOOKUP(C114,[6]條件!$A$1:$L$932,12,0)))</f>
        <v>5.5</v>
      </c>
      <c r="J114" s="980">
        <v>45</v>
      </c>
      <c r="K114" s="980">
        <v>7</v>
      </c>
      <c r="L114" s="981">
        <v>6670</v>
      </c>
      <c r="M114" s="981">
        <v>9070</v>
      </c>
      <c r="N114" s="982">
        <v>26</v>
      </c>
      <c r="O114" s="980">
        <v>7</v>
      </c>
      <c r="P114" s="981">
        <v>7960</v>
      </c>
      <c r="Q114" s="981">
        <v>7310</v>
      </c>
      <c r="R114" s="982">
        <v>58</v>
      </c>
      <c r="S114" s="980">
        <v>13</v>
      </c>
      <c r="T114" s="981">
        <v>9350</v>
      </c>
      <c r="U114" s="981">
        <v>8890</v>
      </c>
      <c r="V114" s="982">
        <v>20</v>
      </c>
      <c r="W114" s="980">
        <v>0</v>
      </c>
      <c r="X114" s="981"/>
      <c r="Y114" s="983">
        <v>9540</v>
      </c>
      <c r="Z114" s="1412">
        <f>IFERROR(VLOOKUP(C114, [6]條件!$A:$L, 3, 0), "")</f>
        <v>5.8299595141700395</v>
      </c>
      <c r="AA114" s="984">
        <f>IF(OR(L114={"改紡","檢修","了機","清車","FINAL","停機","SAMPLE","TEST","絲開發"}), L114, IFERROR(IF(C114="", "", (SUM(J114, N114, R114, V114)/3 * AG114) * IF(AND(AF114="S", AS114="雙"), 0.5, 1)), ""))</f>
        <v>49.666666666666664</v>
      </c>
      <c r="AB114" s="1413">
        <f t="shared" si="20"/>
        <v>0.97773437500000004</v>
      </c>
      <c r="AC114" s="984">
        <f>IF(OR(L114={"改紡","檢修","了機","清車","FINAL","停機","SAMPLE","TEST"}), "", IFERROR(IF(C114="", "", AVERAGE(L114:M114, P114:Q114, T114:U114, X114:Y114)/100), ""))</f>
        <v>83.985714285714295</v>
      </c>
      <c r="AD114" s="984">
        <f t="shared" si="14"/>
        <v>6.208333333333333</v>
      </c>
      <c r="AE114" s="984">
        <f t="shared" si="21"/>
        <v>5.083333333333333</v>
      </c>
      <c r="AF114" s="985" t="str">
        <f t="shared" si="15"/>
        <v>T</v>
      </c>
      <c r="AG114" s="1414">
        <v>1</v>
      </c>
      <c r="AH114" s="1002" t="s">
        <v>638</v>
      </c>
      <c r="AI114" s="1002" t="s">
        <v>638</v>
      </c>
      <c r="AJ114" s="986" t="s">
        <v>835</v>
      </c>
      <c r="AK114" s="1417" t="s">
        <v>835</v>
      </c>
      <c r="AL114" s="1415">
        <v>56</v>
      </c>
      <c r="AM114" s="1323">
        <v>46139</v>
      </c>
      <c r="AN114" s="1323">
        <v>46140</v>
      </c>
      <c r="AO114" s="1323">
        <v>46141</v>
      </c>
      <c r="AP114" s="1323">
        <v>46142</v>
      </c>
      <c r="AQ114" s="1323">
        <v>46143</v>
      </c>
      <c r="AR114" s="987"/>
      <c r="AS114" s="978" t="str">
        <f t="shared" si="16"/>
        <v>雙</v>
      </c>
      <c r="AT114" s="978" t="str">
        <f t="shared" si="17"/>
        <v>全</v>
      </c>
      <c r="AU114" s="978">
        <f t="shared" si="18"/>
        <v>150</v>
      </c>
      <c r="AV114" s="978">
        <f t="shared" si="19"/>
        <v>6.0953472000000009</v>
      </c>
    </row>
    <row r="115" spans="1:48">
      <c r="A115" s="975">
        <f t="shared" si="22"/>
        <v>46145</v>
      </c>
      <c r="B115" s="976" t="s">
        <v>240</v>
      </c>
      <c r="C115" s="988" t="s">
        <v>632</v>
      </c>
      <c r="D115" s="1410"/>
      <c r="E115" s="977" t="str">
        <f>IFERROR(VLOOKUP(C115, [6]條件!$A:$L, 5, 0), "")</f>
        <v/>
      </c>
      <c r="F115" s="978" t="str">
        <f>IFERROR(VLOOKUP(C115, [6]條件!$A:$L, 6, 0), "")</f>
        <v/>
      </c>
      <c r="G115" s="1411" t="str">
        <f>IFERROR(VLOOKUP(C115, [6]條件!$A:$L, 7, 0), "")</f>
        <v/>
      </c>
      <c r="H115" s="978" t="str">
        <f>IF(ISNA(VLOOKUP(C115,[6]條件!$A$1:$K$932,11,0)),"",(VLOOKUP(C115,[6]條件!$A$1:$K$932,11,0)))</f>
        <v/>
      </c>
      <c r="I115" s="979" t="str">
        <f>IF(ISNA(VLOOKUP(C115,[6]條件!$A$1:$L$932,12,0)),"",(VLOOKUP(C115,[6]條件!$A$1:$L$932,12,0)))</f>
        <v/>
      </c>
      <c r="J115" s="980"/>
      <c r="K115" s="980"/>
      <c r="L115" s="981" t="s">
        <v>632</v>
      </c>
      <c r="M115" s="981"/>
      <c r="N115" s="982"/>
      <c r="O115" s="980"/>
      <c r="P115" s="981" t="s">
        <v>632</v>
      </c>
      <c r="Q115" s="981"/>
      <c r="R115" s="982"/>
      <c r="S115" s="980"/>
      <c r="T115" s="981" t="s">
        <v>632</v>
      </c>
      <c r="U115" s="981"/>
      <c r="V115" s="982"/>
      <c r="W115" s="980"/>
      <c r="X115" s="981" t="s">
        <v>632</v>
      </c>
      <c r="Y115" s="983"/>
      <c r="Z115" s="1422" t="str">
        <f>IFERROR(VLOOKUP(C115, [6]條件!$A:$L, 3, 0), "")</f>
        <v/>
      </c>
      <c r="AA115" s="1167" t="str">
        <f>IF(OR(L115={"改紡","檢修","了機","清車","FINAL","停機","SAMPLE","TEST","絲開發"}), L115, IFERROR(IF(C115="", "", (SUM(J115, N115, R115, V115)/3 * AG115) * IF(AND(AF115="S", AS115="雙"), 0.5, 1)), ""))</f>
        <v>停機</v>
      </c>
      <c r="AB115" s="1423" t="str">
        <f>IF(K115="","",IF(ISERROR(1-((SUM(K115,O115,S115,W115)/((AG115*12)-(AG115*0.44)))/Z115)),"",(1-((SUM(K115,O115,S115,W115)/((AG115*12)-(AG115*0.44)))/Z115))))</f>
        <v/>
      </c>
      <c r="AC115" s="1167" t="str">
        <f>IF(OR(L115={"改紡","檢修","了機","清車","FINAL","停機","SAMPLE","TEST"}), "", IFERROR(IF(C115="", "", AVERAGE(L115:M115, P115:Q115, T115:U115, X115:Y115)/100), ""))</f>
        <v/>
      </c>
      <c r="AD115" s="1167" t="str">
        <f t="shared" si="14"/>
        <v/>
      </c>
      <c r="AE115" s="1167" t="str">
        <f>IF(P115="了機","",IF(J115="","",IF(ISERROR((SUM(J115,N115,R115,V115)-SUM(K115,O115,S115,W115))/24),"",((SUM(J115,N115,R115,V115)-SUM(K115,O115,S115,W115))/24))))</f>
        <v/>
      </c>
      <c r="AF115" s="1168" t="str">
        <f t="shared" si="15"/>
        <v>S</v>
      </c>
      <c r="AG115" s="1424">
        <v>12</v>
      </c>
      <c r="AH115" s="1002" t="s">
        <v>636</v>
      </c>
      <c r="AI115" s="1002" t="s">
        <v>640</v>
      </c>
      <c r="AJ115" s="1002" t="s">
        <v>829</v>
      </c>
      <c r="AK115" s="981" t="s">
        <v>829</v>
      </c>
      <c r="AL115" s="1415"/>
      <c r="AM115" s="1323"/>
      <c r="AN115" s="1323"/>
      <c r="AO115" s="1323"/>
      <c r="AP115" s="1323"/>
      <c r="AQ115" s="1323"/>
      <c r="AR115" s="987"/>
      <c r="AS115" s="978" t="str">
        <f t="shared" si="16"/>
        <v>單</v>
      </c>
      <c r="AT115" s="978" t="str">
        <f t="shared" si="17"/>
        <v>12sec</v>
      </c>
      <c r="AU115" s="978" t="str">
        <f t="shared" si="18"/>
        <v/>
      </c>
      <c r="AV115" s="978" t="str">
        <f t="shared" si="19"/>
        <v/>
      </c>
    </row>
    <row r="116" spans="1:48">
      <c r="A116" s="975">
        <f t="shared" si="22"/>
        <v>46145</v>
      </c>
      <c r="B116" s="976" t="s">
        <v>242</v>
      </c>
      <c r="C116" s="976" t="s">
        <v>385</v>
      </c>
      <c r="D116" s="1410"/>
      <c r="E116" s="977" t="str">
        <f>IFERROR(VLOOKUP(C116, [6]條件!$A:$L, 5, 0), "")</f>
        <v/>
      </c>
      <c r="F116" s="978" t="str">
        <f>IFERROR(VLOOKUP(C116, [6]條件!$A:$L, 6, 0), "")</f>
        <v/>
      </c>
      <c r="G116" s="1411" t="str">
        <f>IFERROR(VLOOKUP(C116, [6]條件!$A:$L, 7, 0), "")</f>
        <v/>
      </c>
      <c r="H116" s="978" t="str">
        <f>IF(ISNA(VLOOKUP(C116,[6]條件!$A$1:$K$932,11,0)),"",(VLOOKUP(C116,[6]條件!$A$1:$K$932,11,0)))</f>
        <v/>
      </c>
      <c r="I116" s="979" t="str">
        <f>IF(ISNA(VLOOKUP(C116,[6]條件!$A$1:$L$932,12,0)),"",(VLOOKUP(C116,[6]條件!$A$1:$L$932,12,0)))</f>
        <v/>
      </c>
      <c r="J116" s="980"/>
      <c r="K116" s="980"/>
      <c r="L116" s="981" t="s">
        <v>385</v>
      </c>
      <c r="M116" s="981"/>
      <c r="N116" s="982"/>
      <c r="O116" s="980"/>
      <c r="P116" s="981" t="s">
        <v>385</v>
      </c>
      <c r="Q116" s="981"/>
      <c r="R116" s="982"/>
      <c r="S116" s="980"/>
      <c r="T116" s="981" t="s">
        <v>385</v>
      </c>
      <c r="U116" s="981"/>
      <c r="V116" s="982"/>
      <c r="W116" s="980"/>
      <c r="X116" s="981" t="s">
        <v>385</v>
      </c>
      <c r="Y116" s="983"/>
      <c r="Z116" s="1422" t="str">
        <f>IFERROR(VLOOKUP(C116, [6]條件!$A:$L, 3, 0), "")</f>
        <v/>
      </c>
      <c r="AA116" s="1167" t="str">
        <f>IF(OR(L116={"改紡","檢修","了機","清車","FINAL","停機","SAMPLE","TEST","絲開發"}), L116, IFERROR(IF(C116="", "", (SUM(J116, N116, R116, V116)/3 * AG116) * IF(AND(AF116="S", AS116="雙"), 0.5, 1)), ""))</f>
        <v>絲開發</v>
      </c>
      <c r="AB116" s="1423" t="str">
        <f>IF(K116="","",IF(ISERROR(1-((SUM(K116,O116,S116,W116)/((AG116*12)-(AG116*0.44)))/Z116)),"",(1-((SUM(K116,O116,S116,W116)/((AG116*12)-(AG116*0.44)))/Z116))))</f>
        <v/>
      </c>
      <c r="AC116" s="1167" t="str">
        <f>IF(OR(L116={"改紡","檢修","了機","清車","FINAL","停機","SAMPLE","TEST"}), "", IFERROR(IF(C116="", "", AVERAGE(L116:M116, P116:Q116, T116:U116, X116:Y116)/100), ""))</f>
        <v/>
      </c>
      <c r="AD116" s="1167" t="str">
        <f t="shared" si="14"/>
        <v/>
      </c>
      <c r="AE116" s="1167" t="str">
        <f>IF(P116="了機","",IF(J116="","",IF(ISERROR((SUM(J116,N116,R116,V116)-SUM(K116,O116,S116,W116))/24),"",((SUM(J116,N116,R116,V116)-SUM(K116,O116,S116,W116))/24))))</f>
        <v/>
      </c>
      <c r="AF116" s="1168" t="str">
        <f t="shared" si="15"/>
        <v>S</v>
      </c>
      <c r="AG116" s="1424">
        <v>5</v>
      </c>
      <c r="AH116" s="1002" t="s">
        <v>636</v>
      </c>
      <c r="AI116" s="1002" t="s">
        <v>640</v>
      </c>
      <c r="AJ116" s="986" t="s">
        <v>829</v>
      </c>
      <c r="AK116" s="1417" t="s">
        <v>829</v>
      </c>
      <c r="AL116" s="1415"/>
      <c r="AM116" s="1323"/>
      <c r="AN116" s="1323"/>
      <c r="AO116" s="1323"/>
      <c r="AP116" s="1323"/>
      <c r="AQ116" s="1323"/>
      <c r="AR116" s="987"/>
      <c r="AS116" s="978" t="str">
        <f t="shared" si="16"/>
        <v>單</v>
      </c>
      <c r="AT116" s="978" t="str">
        <f t="shared" si="17"/>
        <v>5sec</v>
      </c>
      <c r="AU116" s="978" t="str">
        <f t="shared" si="18"/>
        <v/>
      </c>
      <c r="AV116" s="978" t="str">
        <f t="shared" si="19"/>
        <v/>
      </c>
    </row>
    <row r="117" spans="1:48">
      <c r="A117" s="975">
        <f t="shared" si="22"/>
        <v>46145</v>
      </c>
      <c r="B117" s="976" t="s">
        <v>16078</v>
      </c>
      <c r="C117" s="988" t="s">
        <v>16185</v>
      </c>
      <c r="D117" s="1410"/>
      <c r="E117" s="977" t="str">
        <f>IFERROR(VLOOKUP(C117, [6]條件!$A:$L, 5, 0), "")</f>
        <v/>
      </c>
      <c r="F117" s="978" t="str">
        <f>IFERROR(VLOOKUP(C117, [6]條件!$A:$L, 6, 0), "")</f>
        <v/>
      </c>
      <c r="G117" s="1411" t="str">
        <f>IFERROR(VLOOKUP(C117, [6]條件!$A:$L, 7, 0), "")</f>
        <v/>
      </c>
      <c r="H117" s="978" t="str">
        <f>IF(ISNA(VLOOKUP(C117,[6]條件!$A$1:$K$932,11,0)),"",(VLOOKUP(C117,[6]條件!$A$1:$K$932,11,0)))</f>
        <v/>
      </c>
      <c r="I117" s="979" t="str">
        <f>IF(ISNA(VLOOKUP(C117,[6]條件!$A$1:$L$932,12,0)),"",(VLOOKUP(C117,[6]條件!$A$1:$L$932,12,0)))</f>
        <v/>
      </c>
      <c r="J117" s="980"/>
      <c r="K117" s="980"/>
      <c r="L117" s="981" t="s">
        <v>632</v>
      </c>
      <c r="M117" s="981"/>
      <c r="N117" s="982"/>
      <c r="O117" s="980"/>
      <c r="P117" s="981" t="s">
        <v>632</v>
      </c>
      <c r="Q117" s="981"/>
      <c r="R117" s="982"/>
      <c r="S117" s="980"/>
      <c r="T117" s="981" t="s">
        <v>632</v>
      </c>
      <c r="U117" s="981"/>
      <c r="V117" s="982"/>
      <c r="W117" s="980"/>
      <c r="X117" s="981" t="s">
        <v>632</v>
      </c>
      <c r="Y117" s="983"/>
      <c r="Z117" s="1412" t="str">
        <f>IFERROR(VLOOKUP(C117, [6]條件!$A:$L, 3, 0), "")</f>
        <v/>
      </c>
      <c r="AA117" s="984" t="str">
        <f>IF(OR(L117={"改紡","檢修","了機","清車","FINAL","停機","SAMPLE","TEST","絲開發"}), L117, IFERROR(IF(C117="", "", (SUM(J117, N117, R117, V117)/3 * AG117) * IF(AND(AF117="S", AS117="雙"), 0.5, 1)), ""))</f>
        <v>停機</v>
      </c>
      <c r="AB117" s="1413" t="str">
        <f t="shared" ref="AB117:AB155" si="23">IF(K117="","",IF(ISERROR(1-(SUM(K117,O117,S117,W117)/208/Z117)),"",(1-(SUM(K117,O117,S117,W117)/208/Z117))))</f>
        <v/>
      </c>
      <c r="AC117" s="984" t="str">
        <f>IF(OR(L117={"改紡","檢修","了機","清車","FINAL","停機","SAMPLE","TEST"}), "", IFERROR(IF(C117="", "", AVERAGE(L117:M117, P117:Q117, T117:U117, X117:Y117)/100), ""))</f>
        <v/>
      </c>
      <c r="AD117" s="984" t="str">
        <f t="shared" si="14"/>
        <v/>
      </c>
      <c r="AE117" s="984" t="str">
        <f>IF(OR(L117="改紡", L117="檢修", L117="了機"), "",
   IF(AND(C117&lt;&gt;"", J117&lt;&gt;""),
      IFERROR((SUM(J117, N117, R117, V117) - SUM(K117, O117, S117, W117))/24 * AG117, ""),
   "")
)</f>
        <v/>
      </c>
      <c r="AF117" s="985" t="str">
        <f t="shared" si="15"/>
        <v>M</v>
      </c>
      <c r="AG117" s="1414">
        <v>1</v>
      </c>
      <c r="AH117" s="1002" t="s">
        <v>640</v>
      </c>
      <c r="AI117" s="1002" t="s">
        <v>640</v>
      </c>
      <c r="AJ117" s="986" t="s">
        <v>640</v>
      </c>
      <c r="AK117" s="1417" t="s">
        <v>640</v>
      </c>
      <c r="AL117" s="1415"/>
      <c r="AM117" s="1323"/>
      <c r="AN117" s="1323"/>
      <c r="AO117" s="1323"/>
      <c r="AP117" s="1323"/>
      <c r="AQ117" s="1323"/>
      <c r="AR117" s="987"/>
      <c r="AS117" s="978" t="str">
        <f t="shared" si="16"/>
        <v>單</v>
      </c>
      <c r="AT117" s="978" t="str">
        <f t="shared" si="17"/>
        <v>全</v>
      </c>
      <c r="AU117" s="978" t="str">
        <f t="shared" si="18"/>
        <v/>
      </c>
      <c r="AV117" s="978" t="str">
        <f t="shared" si="19"/>
        <v/>
      </c>
    </row>
    <row r="118" spans="1:48">
      <c r="A118" s="975">
        <f t="shared" si="22"/>
        <v>46145</v>
      </c>
      <c r="B118" s="976" t="s">
        <v>243</v>
      </c>
      <c r="C118" s="988" t="s">
        <v>16185</v>
      </c>
      <c r="D118" s="1410"/>
      <c r="E118" s="977" t="str">
        <f>IFERROR(VLOOKUP(C118, [6]條件!$A:$L, 5, 0), "")</f>
        <v/>
      </c>
      <c r="F118" s="978" t="str">
        <f>IFERROR(VLOOKUP(C118, [6]條件!$A:$L, 6, 0), "")</f>
        <v/>
      </c>
      <c r="G118" s="1411" t="str">
        <f>IFERROR(VLOOKUP(C118, [6]條件!$A:$L, 7, 0), "")</f>
        <v/>
      </c>
      <c r="H118" s="978" t="str">
        <f>IF(ISNA(VLOOKUP(C118,[6]條件!$A$1:$K$932,11,0)),"",(VLOOKUP(C118,[6]條件!$A$1:$K$932,11,0)))</f>
        <v/>
      </c>
      <c r="I118" s="979" t="str">
        <f>IF(ISNA(VLOOKUP(C118,[6]條件!$A$1:$L$932,12,0)),"",(VLOOKUP(C118,[6]條件!$A$1:$L$932,12,0)))</f>
        <v/>
      </c>
      <c r="J118" s="980"/>
      <c r="K118" s="980"/>
      <c r="L118" s="981" t="s">
        <v>632</v>
      </c>
      <c r="M118" s="981"/>
      <c r="N118" s="982"/>
      <c r="O118" s="980"/>
      <c r="P118" s="981" t="s">
        <v>632</v>
      </c>
      <c r="Q118" s="981"/>
      <c r="R118" s="982"/>
      <c r="S118" s="980"/>
      <c r="T118" s="981" t="s">
        <v>632</v>
      </c>
      <c r="U118" s="981"/>
      <c r="V118" s="982"/>
      <c r="W118" s="980"/>
      <c r="X118" s="981" t="s">
        <v>632</v>
      </c>
      <c r="Y118" s="983"/>
      <c r="Z118" s="1412" t="str">
        <f>IFERROR(VLOOKUP(C118, [6]條件!$A:$L, 3, 0), "")</f>
        <v/>
      </c>
      <c r="AA118" s="984" t="str">
        <f>IF(OR(L118={"改紡","檢修","了機","清車","FINAL","停機","SAMPLE","TEST","絲開發"}), L118, IFERROR(IF(C118="", "", (SUM(J118, N118, R118, V118)/3 * AG118) * IF(AND(AF118="S", AS118="雙"), 0.5, 1)), ""))</f>
        <v>停機</v>
      </c>
      <c r="AB118" s="1413" t="str">
        <f t="shared" si="23"/>
        <v/>
      </c>
      <c r="AC118" s="984" t="str">
        <f>IF(OR(L118={"改紡","檢修","了機","清車","FINAL","停機","SAMPLE","TEST"}), "", IFERROR(IF(C118="", "", AVERAGE(L118:M118, P118:Q118, T118:U118, X118:Y118)/100), ""))</f>
        <v/>
      </c>
      <c r="AD118" s="984" t="str">
        <f t="shared" si="14"/>
        <v/>
      </c>
      <c r="AE118" s="984" t="str">
        <f t="shared" ref="AE118:AE155" si="24">IF(OR(L118="改紡", L118="檢修", L118="了機"), "",
IF(AND(C118&lt;&gt;"", J118&lt;&gt;""),
IFERROR((SUM(J118, N118, R118, V118) - SUM(K118, O118, S118, W118))/24 * AG118, ""),
"")
)</f>
        <v/>
      </c>
      <c r="AF118" s="985" t="str">
        <f t="shared" si="15"/>
        <v>M</v>
      </c>
      <c r="AG118" s="1414">
        <v>1</v>
      </c>
      <c r="AH118" s="1002" t="s">
        <v>640</v>
      </c>
      <c r="AI118" s="1002" t="s">
        <v>640</v>
      </c>
      <c r="AJ118" s="986" t="s">
        <v>640</v>
      </c>
      <c r="AK118" s="1417" t="s">
        <v>640</v>
      </c>
      <c r="AL118" s="1415"/>
      <c r="AM118" s="1323"/>
      <c r="AN118" s="1323"/>
      <c r="AO118" s="1323"/>
      <c r="AP118" s="1323"/>
      <c r="AQ118" s="1323"/>
      <c r="AR118" s="987"/>
      <c r="AS118" s="978" t="str">
        <f t="shared" si="16"/>
        <v>單</v>
      </c>
      <c r="AT118" s="978" t="str">
        <f t="shared" si="17"/>
        <v>全</v>
      </c>
      <c r="AU118" s="978" t="str">
        <f t="shared" si="18"/>
        <v/>
      </c>
      <c r="AV118" s="978" t="str">
        <f t="shared" si="19"/>
        <v/>
      </c>
    </row>
    <row r="119" spans="1:48">
      <c r="A119" s="975">
        <f t="shared" si="22"/>
        <v>46145</v>
      </c>
      <c r="B119" s="976" t="s">
        <v>244</v>
      </c>
      <c r="C119" s="988" t="s">
        <v>16185</v>
      </c>
      <c r="D119" s="1410"/>
      <c r="E119" s="977" t="str">
        <f>IFERROR(VLOOKUP(C119, [6]條件!$A:$L, 5, 0), "")</f>
        <v/>
      </c>
      <c r="F119" s="978" t="str">
        <f>IFERROR(VLOOKUP(C119, [6]條件!$A:$L, 6, 0), "")</f>
        <v/>
      </c>
      <c r="G119" s="1411" t="str">
        <f>IFERROR(VLOOKUP(C119, [6]條件!$A:$L, 7, 0), "")</f>
        <v/>
      </c>
      <c r="H119" s="978" t="str">
        <f>IF(ISNA(VLOOKUP(C119,[6]條件!$A$1:$K$932,11,0)),"",(VLOOKUP(C119,[6]條件!$A$1:$K$932,11,0)))</f>
        <v/>
      </c>
      <c r="I119" s="979" t="str">
        <f>IF(ISNA(VLOOKUP(C119,[6]條件!$A$1:$L$932,12,0)),"",(VLOOKUP(C119,[6]條件!$A$1:$L$932,12,0)))</f>
        <v/>
      </c>
      <c r="J119" s="980"/>
      <c r="K119" s="980"/>
      <c r="L119" s="981" t="s">
        <v>632</v>
      </c>
      <c r="M119" s="981"/>
      <c r="N119" s="982"/>
      <c r="O119" s="980"/>
      <c r="P119" s="981" t="s">
        <v>632</v>
      </c>
      <c r="Q119" s="981"/>
      <c r="R119" s="982"/>
      <c r="S119" s="980"/>
      <c r="T119" s="981" t="s">
        <v>632</v>
      </c>
      <c r="U119" s="981"/>
      <c r="V119" s="982"/>
      <c r="W119" s="980"/>
      <c r="X119" s="981" t="s">
        <v>632</v>
      </c>
      <c r="Y119" s="983"/>
      <c r="Z119" s="1412" t="str">
        <f>IFERROR(VLOOKUP(C119, [6]條件!$A:$L, 3, 0), "")</f>
        <v/>
      </c>
      <c r="AA119" s="984" t="str">
        <f>IF(OR(L119={"改紡","檢修","了機","清車","FINAL","停機","SAMPLE","TEST","絲開發"}), L119, IFERROR(IF(C119="", "", (SUM(J119, N119, R119, V119)/3 * AG119) * IF(AND(AF119="S", AS119="雙"), 0.5, 1)), ""))</f>
        <v>停機</v>
      </c>
      <c r="AB119" s="1413" t="str">
        <f t="shared" si="23"/>
        <v/>
      </c>
      <c r="AC119" s="984" t="str">
        <f>IF(OR(L119={"改紡","檢修","了機","清車","FINAL","停機","SAMPLE","TEST"}), "", IFERROR(IF(C119="", "", AVERAGE(L119:M119, P119:Q119, T119:U119, X119:Y119)/100), ""))</f>
        <v/>
      </c>
      <c r="AD119" s="984" t="str">
        <f t="shared" si="14"/>
        <v/>
      </c>
      <c r="AE119" s="984" t="str">
        <f t="shared" si="24"/>
        <v/>
      </c>
      <c r="AF119" s="985" t="str">
        <f t="shared" si="15"/>
        <v>M</v>
      </c>
      <c r="AG119" s="1414">
        <v>1</v>
      </c>
      <c r="AH119" s="1002" t="s">
        <v>640</v>
      </c>
      <c r="AI119" s="1002" t="s">
        <v>640</v>
      </c>
      <c r="AJ119" s="986" t="s">
        <v>640</v>
      </c>
      <c r="AK119" s="1417" t="s">
        <v>640</v>
      </c>
      <c r="AL119" s="1415"/>
      <c r="AM119" s="1323"/>
      <c r="AN119" s="1323"/>
      <c r="AO119" s="1323"/>
      <c r="AP119" s="1323"/>
      <c r="AQ119" s="1323"/>
      <c r="AR119" s="987"/>
      <c r="AS119" s="978" t="str">
        <f t="shared" si="16"/>
        <v>單</v>
      </c>
      <c r="AT119" s="978" t="str">
        <f t="shared" si="17"/>
        <v>全</v>
      </c>
      <c r="AU119" s="978" t="str">
        <f t="shared" si="18"/>
        <v/>
      </c>
      <c r="AV119" s="978" t="str">
        <f t="shared" si="19"/>
        <v/>
      </c>
    </row>
    <row r="120" spans="1:48">
      <c r="A120" s="975">
        <f t="shared" si="22"/>
        <v>46145</v>
      </c>
      <c r="B120" s="976" t="s">
        <v>245</v>
      </c>
      <c r="C120" s="988" t="s">
        <v>16185</v>
      </c>
      <c r="D120" s="1410"/>
      <c r="E120" s="977" t="str">
        <f>IFERROR(VLOOKUP(C120, [6]條件!$A:$L, 5, 0), "")</f>
        <v/>
      </c>
      <c r="F120" s="978" t="str">
        <f>IFERROR(VLOOKUP(C120, [6]條件!$A:$L, 6, 0), "")</f>
        <v/>
      </c>
      <c r="G120" s="1411" t="str">
        <f>IFERROR(VLOOKUP(C120, [6]條件!$A:$L, 7, 0), "")</f>
        <v/>
      </c>
      <c r="H120" s="978" t="str">
        <f>IF(ISNA(VLOOKUP(C120,[6]條件!$A$1:$K$932,11,0)),"",(VLOOKUP(C120,[6]條件!$A$1:$K$932,11,0)))</f>
        <v/>
      </c>
      <c r="I120" s="979" t="str">
        <f>IF(ISNA(VLOOKUP(C120,[6]條件!$A$1:$L$932,12,0)),"",(VLOOKUP(C120,[6]條件!$A$1:$L$932,12,0)))</f>
        <v/>
      </c>
      <c r="J120" s="980"/>
      <c r="K120" s="980"/>
      <c r="L120" s="981" t="s">
        <v>632</v>
      </c>
      <c r="M120" s="981"/>
      <c r="N120" s="982"/>
      <c r="O120" s="980"/>
      <c r="P120" s="981" t="s">
        <v>632</v>
      </c>
      <c r="Q120" s="981"/>
      <c r="R120" s="982"/>
      <c r="S120" s="980"/>
      <c r="T120" s="981" t="s">
        <v>632</v>
      </c>
      <c r="U120" s="981"/>
      <c r="V120" s="982"/>
      <c r="W120" s="980"/>
      <c r="X120" s="981" t="s">
        <v>632</v>
      </c>
      <c r="Y120" s="983"/>
      <c r="Z120" s="1412" t="str">
        <f>IFERROR(VLOOKUP(C120, [6]條件!$A:$L, 3, 0), "")</f>
        <v/>
      </c>
      <c r="AA120" s="984" t="str">
        <f>IF(OR(L120={"改紡","檢修","了機","清車","FINAL","停機","SAMPLE","TEST","絲開發"}), L120, IFERROR(IF(C120="", "", (SUM(J120, N120, R120, V120)/3 * AG120) * IF(AND(AF120="S", AS120="雙"), 0.5, 1)), ""))</f>
        <v>停機</v>
      </c>
      <c r="AB120" s="1413" t="str">
        <f t="shared" si="23"/>
        <v/>
      </c>
      <c r="AC120" s="984" t="str">
        <f>IF(OR(L120={"改紡","檢修","了機","清車","FINAL","停機","SAMPLE","TEST"}), "", IFERROR(IF(C120="", "", AVERAGE(L120:M120, P120:Q120, T120:U120, X120:Y120)/100), ""))</f>
        <v/>
      </c>
      <c r="AD120" s="984" t="str">
        <f t="shared" si="14"/>
        <v/>
      </c>
      <c r="AE120" s="984" t="str">
        <f t="shared" si="24"/>
        <v/>
      </c>
      <c r="AF120" s="985" t="str">
        <f t="shared" si="15"/>
        <v>M</v>
      </c>
      <c r="AG120" s="1414">
        <v>1</v>
      </c>
      <c r="AH120" s="1002" t="s">
        <v>640</v>
      </c>
      <c r="AI120" s="1002" t="s">
        <v>640</v>
      </c>
      <c r="AJ120" s="986" t="s">
        <v>640</v>
      </c>
      <c r="AK120" s="1417" t="s">
        <v>640</v>
      </c>
      <c r="AL120" s="1415"/>
      <c r="AM120" s="1323"/>
      <c r="AN120" s="1323"/>
      <c r="AO120" s="1323"/>
      <c r="AP120" s="1323"/>
      <c r="AQ120" s="1323"/>
      <c r="AR120" s="987"/>
      <c r="AS120" s="978" t="str">
        <f t="shared" si="16"/>
        <v>單</v>
      </c>
      <c r="AT120" s="978" t="str">
        <f t="shared" si="17"/>
        <v>全</v>
      </c>
      <c r="AU120" s="978" t="str">
        <f t="shared" si="18"/>
        <v/>
      </c>
      <c r="AV120" s="978" t="str">
        <f t="shared" si="19"/>
        <v/>
      </c>
    </row>
    <row r="121" spans="1:48">
      <c r="A121" s="975">
        <f t="shared" si="22"/>
        <v>46145</v>
      </c>
      <c r="B121" s="976" t="s">
        <v>246</v>
      </c>
      <c r="C121" s="988" t="s">
        <v>16185</v>
      </c>
      <c r="D121" s="1410"/>
      <c r="E121" s="977" t="str">
        <f>IFERROR(VLOOKUP(C121, [6]條件!$A:$L, 5, 0), "")</f>
        <v/>
      </c>
      <c r="F121" s="978" t="str">
        <f>IFERROR(VLOOKUP(C121, [6]條件!$A:$L, 6, 0), "")</f>
        <v/>
      </c>
      <c r="G121" s="1411" t="str">
        <f>IFERROR(VLOOKUP(C121, [6]條件!$A:$L, 7, 0), "")</f>
        <v/>
      </c>
      <c r="H121" s="978" t="str">
        <f>IF(ISNA(VLOOKUP(C121,[6]條件!$A$1:$K$932,11,0)),"",(VLOOKUP(C121,[6]條件!$A$1:$K$932,11,0)))</f>
        <v/>
      </c>
      <c r="I121" s="979" t="str">
        <f>IF(ISNA(VLOOKUP(C121,[6]條件!$A$1:$L$932,12,0)),"",(VLOOKUP(C121,[6]條件!$A$1:$L$932,12,0)))</f>
        <v/>
      </c>
      <c r="J121" s="980"/>
      <c r="K121" s="980"/>
      <c r="L121" s="981" t="s">
        <v>632</v>
      </c>
      <c r="M121" s="981"/>
      <c r="N121" s="982"/>
      <c r="O121" s="980"/>
      <c r="P121" s="981" t="s">
        <v>632</v>
      </c>
      <c r="Q121" s="981"/>
      <c r="R121" s="982"/>
      <c r="S121" s="980"/>
      <c r="T121" s="981" t="s">
        <v>632</v>
      </c>
      <c r="U121" s="981"/>
      <c r="V121" s="982"/>
      <c r="W121" s="980"/>
      <c r="X121" s="981" t="s">
        <v>632</v>
      </c>
      <c r="Y121" s="983"/>
      <c r="Z121" s="1412" t="str">
        <f>IFERROR(VLOOKUP(C121, [6]條件!$A:$L, 3, 0), "")</f>
        <v/>
      </c>
      <c r="AA121" s="984" t="str">
        <f>IF(OR(L121={"改紡","檢修","了機","清車","FINAL","停機","SAMPLE","TEST","絲開發"}), L121, IFERROR(IF(C121="", "", (SUM(J121, N121, R121, V121)/3 * AG121) * IF(AND(AF121="S", AS121="雙"), 0.5, 1)), ""))</f>
        <v>停機</v>
      </c>
      <c r="AB121" s="1413" t="str">
        <f t="shared" si="23"/>
        <v/>
      </c>
      <c r="AC121" s="984" t="str">
        <f>IF(OR(L121={"改紡","檢修","了機","清車","FINAL","停機","SAMPLE","TEST"}), "", IFERROR(IF(C121="", "", AVERAGE(L121:M121, P121:Q121, T121:U121, X121:Y121)/100), ""))</f>
        <v/>
      </c>
      <c r="AD121" s="984" t="str">
        <f t="shared" si="14"/>
        <v/>
      </c>
      <c r="AE121" s="984" t="str">
        <f t="shared" si="24"/>
        <v/>
      </c>
      <c r="AF121" s="985" t="str">
        <f t="shared" si="15"/>
        <v>M</v>
      </c>
      <c r="AG121" s="1414">
        <v>1</v>
      </c>
      <c r="AH121" s="1002" t="s">
        <v>640</v>
      </c>
      <c r="AI121" s="1002" t="s">
        <v>640</v>
      </c>
      <c r="AJ121" s="986" t="s">
        <v>640</v>
      </c>
      <c r="AK121" s="1417" t="s">
        <v>640</v>
      </c>
      <c r="AL121" s="1415"/>
      <c r="AM121" s="1323"/>
      <c r="AN121" s="1323"/>
      <c r="AO121" s="1323"/>
      <c r="AP121" s="1323"/>
      <c r="AQ121" s="1323"/>
      <c r="AR121" s="987"/>
      <c r="AS121" s="978" t="str">
        <f t="shared" si="16"/>
        <v>單</v>
      </c>
      <c r="AT121" s="978" t="str">
        <f t="shared" si="17"/>
        <v>全</v>
      </c>
      <c r="AU121" s="978" t="str">
        <f t="shared" si="18"/>
        <v/>
      </c>
      <c r="AV121" s="978" t="str">
        <f t="shared" si="19"/>
        <v/>
      </c>
    </row>
    <row r="122" spans="1:48">
      <c r="A122" s="975">
        <f t="shared" si="22"/>
        <v>46145</v>
      </c>
      <c r="B122" s="976" t="s">
        <v>247</v>
      </c>
      <c r="C122" s="988" t="s">
        <v>16185</v>
      </c>
      <c r="D122" s="1410"/>
      <c r="E122" s="977" t="str">
        <f>IFERROR(VLOOKUP(C122, [6]條件!$A:$L, 5, 0), "")</f>
        <v/>
      </c>
      <c r="F122" s="978" t="str">
        <f>IFERROR(VLOOKUP(C122, [6]條件!$A:$L, 6, 0), "")</f>
        <v/>
      </c>
      <c r="G122" s="1411" t="str">
        <f>IFERROR(VLOOKUP(C122, [6]條件!$A:$L, 7, 0), "")</f>
        <v/>
      </c>
      <c r="H122" s="978" t="str">
        <f>IF(ISNA(VLOOKUP(C122,[6]條件!$A$1:$K$932,11,0)),"",(VLOOKUP(C122,[6]條件!$A$1:$K$932,11,0)))</f>
        <v/>
      </c>
      <c r="I122" s="979" t="str">
        <f>IF(ISNA(VLOOKUP(C122,[6]條件!$A$1:$L$932,12,0)),"",(VLOOKUP(C122,[6]條件!$A$1:$L$932,12,0)))</f>
        <v/>
      </c>
      <c r="J122" s="980"/>
      <c r="K122" s="980"/>
      <c r="L122" s="981" t="s">
        <v>632</v>
      </c>
      <c r="M122" s="981"/>
      <c r="N122" s="982"/>
      <c r="O122" s="980"/>
      <c r="P122" s="981" t="s">
        <v>632</v>
      </c>
      <c r="Q122" s="981"/>
      <c r="R122" s="982"/>
      <c r="S122" s="980"/>
      <c r="T122" s="981" t="s">
        <v>632</v>
      </c>
      <c r="U122" s="981"/>
      <c r="V122" s="982"/>
      <c r="W122" s="980"/>
      <c r="X122" s="981" t="s">
        <v>632</v>
      </c>
      <c r="Y122" s="983"/>
      <c r="Z122" s="1412" t="str">
        <f>IFERROR(VLOOKUP(C122, [6]條件!$A:$L, 3, 0), "")</f>
        <v/>
      </c>
      <c r="AA122" s="984" t="str">
        <f>IF(OR(L122={"改紡","檢修","了機","清車","FINAL","停機","SAMPLE","TEST","絲開發"}), L122, IFERROR(IF(C122="", "", (SUM(J122, N122, R122, V122)/3 * AG122) * IF(AND(AF122="S", AS122="雙"), 0.5, 1)), ""))</f>
        <v>停機</v>
      </c>
      <c r="AB122" s="1413" t="str">
        <f t="shared" si="23"/>
        <v/>
      </c>
      <c r="AC122" s="984" t="str">
        <f>IF(OR(L122={"改紡","檢修","了機","清車","FINAL","停機","SAMPLE","TEST"}), "", IFERROR(IF(C122="", "", AVERAGE(L122:M122, P122:Q122, T122:U122, X122:Y122)/100), ""))</f>
        <v/>
      </c>
      <c r="AD122" s="984" t="str">
        <f t="shared" si="14"/>
        <v/>
      </c>
      <c r="AE122" s="984" t="str">
        <f t="shared" si="24"/>
        <v/>
      </c>
      <c r="AF122" s="985" t="str">
        <f t="shared" si="15"/>
        <v>M</v>
      </c>
      <c r="AG122" s="1414">
        <v>1</v>
      </c>
      <c r="AH122" s="1002" t="s">
        <v>640</v>
      </c>
      <c r="AI122" s="1002" t="s">
        <v>640</v>
      </c>
      <c r="AJ122" s="986" t="s">
        <v>640</v>
      </c>
      <c r="AK122" s="1417" t="s">
        <v>640</v>
      </c>
      <c r="AL122" s="1415"/>
      <c r="AM122" s="1323"/>
      <c r="AN122" s="1323"/>
      <c r="AO122" s="1323"/>
      <c r="AP122" s="1323"/>
      <c r="AQ122" s="1323"/>
      <c r="AR122" s="987"/>
      <c r="AS122" s="978" t="str">
        <f t="shared" si="16"/>
        <v>單</v>
      </c>
      <c r="AT122" s="978" t="str">
        <f t="shared" si="17"/>
        <v>全</v>
      </c>
      <c r="AU122" s="978" t="str">
        <f t="shared" si="18"/>
        <v/>
      </c>
      <c r="AV122" s="978" t="str">
        <f t="shared" si="19"/>
        <v/>
      </c>
    </row>
    <row r="123" spans="1:48">
      <c r="A123" s="975">
        <f t="shared" si="22"/>
        <v>46145</v>
      </c>
      <c r="B123" s="976" t="s">
        <v>248</v>
      </c>
      <c r="C123" s="988" t="s">
        <v>16185</v>
      </c>
      <c r="D123" s="1410"/>
      <c r="E123" s="977" t="str">
        <f>IFERROR(VLOOKUP(C123, [6]條件!$A:$L, 5, 0), "")</f>
        <v/>
      </c>
      <c r="F123" s="978" t="str">
        <f>IFERROR(VLOOKUP(C123, [6]條件!$A:$L, 6, 0), "")</f>
        <v/>
      </c>
      <c r="G123" s="1411" t="str">
        <f>IFERROR(VLOOKUP(C123, [6]條件!$A:$L, 7, 0), "")</f>
        <v/>
      </c>
      <c r="H123" s="978" t="str">
        <f>IF(ISNA(VLOOKUP(C123,[6]條件!$A$1:$K$932,11,0)),"",(VLOOKUP(C123,[6]條件!$A$1:$K$932,11,0)))</f>
        <v/>
      </c>
      <c r="I123" s="979" t="str">
        <f>IF(ISNA(VLOOKUP(C123,[6]條件!$A$1:$L$932,12,0)),"",(VLOOKUP(C123,[6]條件!$A$1:$L$932,12,0)))</f>
        <v/>
      </c>
      <c r="J123" s="980"/>
      <c r="K123" s="980"/>
      <c r="L123" s="981" t="s">
        <v>632</v>
      </c>
      <c r="M123" s="981"/>
      <c r="N123" s="982"/>
      <c r="O123" s="980"/>
      <c r="P123" s="981" t="s">
        <v>632</v>
      </c>
      <c r="Q123" s="981"/>
      <c r="R123" s="982"/>
      <c r="S123" s="980"/>
      <c r="T123" s="981" t="s">
        <v>632</v>
      </c>
      <c r="U123" s="981"/>
      <c r="V123" s="982"/>
      <c r="W123" s="980"/>
      <c r="X123" s="981" t="s">
        <v>632</v>
      </c>
      <c r="Y123" s="983"/>
      <c r="Z123" s="1412" t="str">
        <f>IFERROR(VLOOKUP(C123, [6]條件!$A:$L, 3, 0), "")</f>
        <v/>
      </c>
      <c r="AA123" s="984" t="str">
        <f>IF(OR(L123={"改紡","檢修","了機","清車","FINAL","停機","SAMPLE","TEST","絲開發"}), L123, IFERROR(IF(C123="", "", (SUM(J123, N123, R123, V123)/3 * AG123) * IF(AND(AF123="S", AS123="雙"), 0.5, 1)), ""))</f>
        <v>停機</v>
      </c>
      <c r="AB123" s="1413" t="str">
        <f t="shared" si="23"/>
        <v/>
      </c>
      <c r="AC123" s="984" t="str">
        <f>IF(OR(L123={"改紡","檢修","了機","清車","FINAL","停機","SAMPLE","TEST"}), "", IFERROR(IF(C123="", "", AVERAGE(L123:M123, P123:Q123, T123:U123, X123:Y123)/100), ""))</f>
        <v/>
      </c>
      <c r="AD123" s="984" t="str">
        <f t="shared" si="14"/>
        <v/>
      </c>
      <c r="AE123" s="984" t="str">
        <f t="shared" si="24"/>
        <v/>
      </c>
      <c r="AF123" s="985" t="str">
        <f t="shared" si="15"/>
        <v>M</v>
      </c>
      <c r="AG123" s="1414">
        <v>1</v>
      </c>
      <c r="AH123" s="1002" t="s">
        <v>640</v>
      </c>
      <c r="AI123" s="1002" t="s">
        <v>640</v>
      </c>
      <c r="AJ123" s="986" t="s">
        <v>640</v>
      </c>
      <c r="AK123" s="1417" t="s">
        <v>640</v>
      </c>
      <c r="AL123" s="1415"/>
      <c r="AM123" s="1323"/>
      <c r="AN123" s="1323"/>
      <c r="AO123" s="1323"/>
      <c r="AP123" s="1323"/>
      <c r="AQ123" s="1323"/>
      <c r="AR123" s="987"/>
      <c r="AS123" s="978" t="str">
        <f t="shared" si="16"/>
        <v>單</v>
      </c>
      <c r="AT123" s="978" t="str">
        <f t="shared" si="17"/>
        <v>全</v>
      </c>
      <c r="AU123" s="978" t="str">
        <f t="shared" si="18"/>
        <v/>
      </c>
      <c r="AV123" s="978" t="str">
        <f t="shared" si="19"/>
        <v/>
      </c>
    </row>
    <row r="124" spans="1:48" ht="17.25" thickBot="1">
      <c r="A124" s="989">
        <f t="shared" si="22"/>
        <v>46145</v>
      </c>
      <c r="B124" s="990" t="s">
        <v>249</v>
      </c>
      <c r="C124" s="991" t="s">
        <v>16185</v>
      </c>
      <c r="D124" s="1425"/>
      <c r="E124" s="1169" t="str">
        <f>IFERROR(VLOOKUP(C124, [6]條件!$A:$L, 5, 0), "")</f>
        <v/>
      </c>
      <c r="F124" s="992" t="str">
        <f>IFERROR(VLOOKUP(C124, [6]條件!$A:$L, 6, 0), "")</f>
        <v/>
      </c>
      <c r="G124" s="1426" t="str">
        <f>IFERROR(VLOOKUP(C124, [6]條件!$A:$L, 7, 0), "")</f>
        <v/>
      </c>
      <c r="H124" s="992" t="str">
        <f>IF(ISNA(VLOOKUP(C124,[6]條件!$A$1:$K$932,11,0)),"",(VLOOKUP(C124,[6]條件!$A$1:$K$932,11,0)))</f>
        <v/>
      </c>
      <c r="I124" s="1170" t="str">
        <f>IF(ISNA(VLOOKUP(C124,[6]條件!$A$1:$L$932,12,0)),"",(VLOOKUP(C124,[6]條件!$A$1:$L$932,12,0)))</f>
        <v/>
      </c>
      <c r="J124" s="993"/>
      <c r="K124" s="993"/>
      <c r="L124" s="994" t="s">
        <v>632</v>
      </c>
      <c r="M124" s="994"/>
      <c r="N124" s="995"/>
      <c r="O124" s="993"/>
      <c r="P124" s="994" t="s">
        <v>632</v>
      </c>
      <c r="Q124" s="994"/>
      <c r="R124" s="995"/>
      <c r="S124" s="993"/>
      <c r="T124" s="994" t="s">
        <v>632</v>
      </c>
      <c r="U124" s="994"/>
      <c r="V124" s="995"/>
      <c r="W124" s="993"/>
      <c r="X124" s="994" t="s">
        <v>632</v>
      </c>
      <c r="Y124" s="996"/>
      <c r="Z124" s="1427" t="str">
        <f>IFERROR(VLOOKUP(C124, [6]條件!$A:$L, 3, 0), "")</f>
        <v/>
      </c>
      <c r="AA124" s="997" t="str">
        <f>IF(OR(L124={"改紡","檢修","了機","清車","FINAL","停機","SAMPLE","TEST","絲開發"}), L124, IFERROR(IF(C124="", "", (SUM(J124, N124, R124, V124)/3 * AG124) * IF(AND(AF124="S", AS124="雙"), 0.5, 1)), ""))</f>
        <v>停機</v>
      </c>
      <c r="AB124" s="1428" t="str">
        <f t="shared" si="23"/>
        <v/>
      </c>
      <c r="AC124" s="997" t="str">
        <f>IF(OR(L124={"改紡","檢修","了機","清車","FINAL","停機","SAMPLE","TEST"}), "", IFERROR(IF(C124="", "", AVERAGE(L124:M124, P124:Q124, T124:U124, X124:Y124)/100), ""))</f>
        <v/>
      </c>
      <c r="AD124" s="997" t="str">
        <f t="shared" si="14"/>
        <v/>
      </c>
      <c r="AE124" s="997" t="str">
        <f t="shared" si="24"/>
        <v/>
      </c>
      <c r="AF124" s="998" t="str">
        <f t="shared" si="15"/>
        <v>M</v>
      </c>
      <c r="AG124" s="1429">
        <v>1</v>
      </c>
      <c r="AH124" s="1171" t="s">
        <v>640</v>
      </c>
      <c r="AI124" s="1171" t="s">
        <v>640</v>
      </c>
      <c r="AJ124" s="999" t="s">
        <v>640</v>
      </c>
      <c r="AK124" s="1430" t="s">
        <v>640</v>
      </c>
      <c r="AL124" s="1431"/>
      <c r="AM124" s="1325"/>
      <c r="AN124" s="1325"/>
      <c r="AO124" s="1325"/>
      <c r="AP124" s="1325"/>
      <c r="AQ124" s="1325"/>
      <c r="AR124" s="1000"/>
      <c r="AS124" s="992" t="str">
        <f t="shared" si="16"/>
        <v>單</v>
      </c>
      <c r="AT124" s="992" t="str">
        <f t="shared" si="17"/>
        <v>全</v>
      </c>
      <c r="AU124" s="992" t="str">
        <f t="shared" si="18"/>
        <v/>
      </c>
      <c r="AV124" s="992" t="str">
        <f t="shared" si="19"/>
        <v/>
      </c>
    </row>
    <row r="125" spans="1:48">
      <c r="A125" s="962">
        <v>46146</v>
      </c>
      <c r="B125" s="963" t="s">
        <v>212</v>
      </c>
      <c r="C125" s="963" t="s">
        <v>632</v>
      </c>
      <c r="D125" s="1403"/>
      <c r="E125" s="964" t="str">
        <f>IFERROR(VLOOKUP(C125, [6]條件!$A:$L, 5, 0), "")</f>
        <v/>
      </c>
      <c r="F125" s="965" t="str">
        <f>IFERROR(VLOOKUP(C125, [6]條件!$A:$L, 6, 0), "")</f>
        <v/>
      </c>
      <c r="G125" s="1404" t="str">
        <f>IFERROR(VLOOKUP(C125, [6]條件!$A:$L, 7, 0), "")</f>
        <v/>
      </c>
      <c r="H125" s="965" t="str">
        <f>IF(ISNA(VLOOKUP(C125,[6]條件!$A$1:$K$932,11,0)),"",(VLOOKUP(C125,[6]條件!$A$1:$K$932,11,0)))</f>
        <v/>
      </c>
      <c r="I125" s="966" t="str">
        <f>IF(ISNA(VLOOKUP(C125,[6]條件!$A$1:$L$932,12,0)),"",(VLOOKUP(C125,[6]條件!$A$1:$L$932,12,0)))</f>
        <v/>
      </c>
      <c r="J125" s="967"/>
      <c r="K125" s="967"/>
      <c r="L125" s="968" t="s">
        <v>632</v>
      </c>
      <c r="M125" s="968"/>
      <c r="N125" s="969"/>
      <c r="O125" s="967"/>
      <c r="P125" s="968" t="s">
        <v>632</v>
      </c>
      <c r="Q125" s="968"/>
      <c r="R125" s="969"/>
      <c r="S125" s="967"/>
      <c r="T125" s="981" t="s">
        <v>632</v>
      </c>
      <c r="U125" s="968"/>
      <c r="V125" s="969"/>
      <c r="W125" s="967"/>
      <c r="X125" s="981" t="s">
        <v>632</v>
      </c>
      <c r="Y125" s="970"/>
      <c r="Z125" s="1405" t="str">
        <f>IFERROR(VLOOKUP(C125, [6]條件!$A:$L, 3, 0), "")</f>
        <v/>
      </c>
      <c r="AA125" s="971" t="str">
        <f>IF(OR(L125={"改紡","檢修","了機","清車","FINAL","停機","SAMPLE","TEST","絲開發"}), L125, IFERROR(IF(C125="", "", (SUM(J125, N125, R125, V125)/3 * AG125) * IF(AND(AF125="S", AS125="雙"), 0.5, 1)), ""))</f>
        <v>停機</v>
      </c>
      <c r="AB125" s="1406" t="str">
        <f t="shared" si="23"/>
        <v/>
      </c>
      <c r="AC125" s="971" t="str">
        <f>IF(OR(L125={"改紡","檢修","了機","清車","FINAL","停機","SAMPLE","TEST"}), "", IFERROR(IF(C125="", "", AVERAGE(L125:M125, P125:Q125, T125:U125, X125:Y125)/100), ""))</f>
        <v/>
      </c>
      <c r="AD125" s="971" t="str">
        <f t="shared" si="14"/>
        <v/>
      </c>
      <c r="AE125" s="971" t="str">
        <f t="shared" si="24"/>
        <v/>
      </c>
      <c r="AF125" s="972" t="str">
        <f t="shared" si="15"/>
        <v>A</v>
      </c>
      <c r="AG125" s="1407">
        <v>1</v>
      </c>
      <c r="AH125" s="1001" t="s">
        <v>16154</v>
      </c>
      <c r="AI125" s="1001" t="s">
        <v>629</v>
      </c>
      <c r="AJ125" s="1166" t="s">
        <v>634</v>
      </c>
      <c r="AK125" s="1408" t="s">
        <v>634</v>
      </c>
      <c r="AL125" s="1409"/>
      <c r="AM125" s="1322"/>
      <c r="AN125" s="1322"/>
      <c r="AO125" s="1322"/>
      <c r="AP125" s="1322"/>
      <c r="AQ125" s="1322"/>
      <c r="AR125" s="973"/>
      <c r="AS125" s="965" t="str">
        <f t="shared" si="16"/>
        <v>單</v>
      </c>
      <c r="AT125" s="965" t="str">
        <f t="shared" si="17"/>
        <v>全</v>
      </c>
      <c r="AU125" s="965" t="str">
        <f t="shared" si="18"/>
        <v/>
      </c>
      <c r="AV125" s="965" t="str">
        <f t="shared" si="19"/>
        <v/>
      </c>
    </row>
    <row r="126" spans="1:48">
      <c r="A126" s="975">
        <f t="shared" ref="A126:A165" si="25">A125</f>
        <v>46146</v>
      </c>
      <c r="B126" s="976" t="s">
        <v>214</v>
      </c>
      <c r="C126" s="976" t="s">
        <v>16708</v>
      </c>
      <c r="D126" s="1410"/>
      <c r="E126" s="977" t="str">
        <f>IFERROR(VLOOKUP(C126, [6]條件!$A:$L, 5, 0), "")</f>
        <v>75/36SDR</v>
      </c>
      <c r="F126" s="978" t="str">
        <f>IFERROR(VLOOKUP(C126, [6]條件!$A:$L, 6, 0), "")</f>
        <v>FP81386R</v>
      </c>
      <c r="G126" s="1411">
        <f>IFERROR(VLOOKUP(C126, [6]條件!$A:$L, 7, 0), "")</f>
        <v>780</v>
      </c>
      <c r="H126" s="978" t="str">
        <f>IF(ISNA(VLOOKUP(C126,[6]條件!$A$1:$K$932,11,0)),"",(VLOOKUP(C126,[6]條件!$A$1:$K$932,11,0)))</f>
        <v>綠底白點</v>
      </c>
      <c r="I126" s="979">
        <f>IF(ISNA(VLOOKUP(C126,[6]條件!$A$1:$L$932,12,0)),"",(VLOOKUP(C126,[6]條件!$A$1:$L$932,12,0)))</f>
        <v>5</v>
      </c>
      <c r="J126" s="980">
        <v>10</v>
      </c>
      <c r="K126" s="980">
        <v>0</v>
      </c>
      <c r="L126" s="981">
        <v>9224</v>
      </c>
      <c r="M126" s="981">
        <v>8605</v>
      </c>
      <c r="N126" s="982">
        <v>9</v>
      </c>
      <c r="O126" s="980">
        <v>1</v>
      </c>
      <c r="P126" s="981">
        <v>9017</v>
      </c>
      <c r="Q126" s="981">
        <v>8540</v>
      </c>
      <c r="R126" s="982">
        <v>3</v>
      </c>
      <c r="S126" s="980">
        <v>0</v>
      </c>
      <c r="T126" s="981">
        <v>9101</v>
      </c>
      <c r="U126" s="981">
        <v>8491</v>
      </c>
      <c r="V126" s="982">
        <v>13</v>
      </c>
      <c r="W126" s="980">
        <v>0</v>
      </c>
      <c r="X126" s="981">
        <v>9104</v>
      </c>
      <c r="Y126" s="983">
        <v>8374</v>
      </c>
      <c r="Z126" s="1412">
        <f>IFERROR(VLOOKUP(C126, [6]條件!$A:$L, 3, 0), "")</f>
        <v>1.7777777777777777</v>
      </c>
      <c r="AA126" s="984">
        <f>IF(OR(L126={"改紡","檢修","了機","清車","FINAL","停機","SAMPLE","TEST","絲開發"}), L126, IFERROR(IF(C126="", "", (SUM(J126, N126, R126, V126)/3 * AG126) * IF(AND(AF126="S", AS126="雙"), 0.5, 1)), ""))</f>
        <v>11.666666666666666</v>
      </c>
      <c r="AB126" s="1413">
        <f t="shared" si="23"/>
        <v>0.99729567307692313</v>
      </c>
      <c r="AC126" s="984">
        <f>IF(OR(L126={"改紡","檢修","了機","清車","FINAL","停機","SAMPLE","TEST"}), "", IFERROR(IF(C126="", "", AVERAGE(L126:M126, P126:Q126, T126:U126, X126:Y126)/100), ""))</f>
        <v>88.07</v>
      </c>
      <c r="AD126" s="984">
        <f t="shared" si="14"/>
        <v>1.4583333333333333</v>
      </c>
      <c r="AE126" s="984">
        <f t="shared" si="24"/>
        <v>1.4166666666666667</v>
      </c>
      <c r="AF126" s="985" t="str">
        <f t="shared" si="15"/>
        <v>A</v>
      </c>
      <c r="AG126" s="1414">
        <v>1</v>
      </c>
      <c r="AH126" s="1002" t="s">
        <v>16154</v>
      </c>
      <c r="AI126" s="1002" t="s">
        <v>629</v>
      </c>
      <c r="AJ126" s="1166" t="s">
        <v>634</v>
      </c>
      <c r="AK126" s="1408" t="s">
        <v>634</v>
      </c>
      <c r="AL126" s="1415">
        <v>50</v>
      </c>
      <c r="AM126" s="1323">
        <v>46132</v>
      </c>
      <c r="AN126" s="1323">
        <v>46134</v>
      </c>
      <c r="AO126" s="1323">
        <v>46140</v>
      </c>
      <c r="AP126" s="1323">
        <v>46141</v>
      </c>
      <c r="AQ126" s="1323">
        <v>46143</v>
      </c>
      <c r="AR126" s="987"/>
      <c r="AS126" s="978" t="str">
        <f t="shared" si="16"/>
        <v>單</v>
      </c>
      <c r="AT126" s="978" t="str">
        <f t="shared" si="17"/>
        <v>全</v>
      </c>
      <c r="AU126" s="978">
        <f t="shared" si="18"/>
        <v>75</v>
      </c>
      <c r="AV126" s="978">
        <f t="shared" si="19"/>
        <v>1.780564032</v>
      </c>
    </row>
    <row r="127" spans="1:48">
      <c r="A127" s="975">
        <f t="shared" si="25"/>
        <v>46146</v>
      </c>
      <c r="B127" s="976" t="s">
        <v>215</v>
      </c>
      <c r="C127" s="976" t="s">
        <v>16188</v>
      </c>
      <c r="D127" s="1410" t="s">
        <v>633</v>
      </c>
      <c r="E127" s="977" t="str">
        <f>IFERROR(VLOOKUP(C127, [6]條件!$A:$L, 5, 0), "")</f>
        <v>75/24/2SDR2</v>
      </c>
      <c r="F127" s="978" t="str">
        <f>IFERROR(VLOOKUP(C127, [6]條件!$A:$L, 6, 0), "")</f>
        <v>FP81363R×2</v>
      </c>
      <c r="G127" s="1411">
        <f>IFERROR(VLOOKUP(C127, [6]條件!$A:$L, 7, 0), "")</f>
        <v>700</v>
      </c>
      <c r="H127" s="978" t="str">
        <f>IF(ISNA(VLOOKUP(C127,[6]條件!$A$1:$K$932,11,0)),"",(VLOOKUP(C127,[6]條件!$A$1:$K$932,11,0)))</f>
        <v>白綠條紋</v>
      </c>
      <c r="I127" s="979">
        <f>IF(ISNA(VLOOKUP(C127,[6]條件!$A$1:$L$932,12,0)),"",(VLOOKUP(C127,[6]條件!$A$1:$L$932,12,0)))</f>
        <v>5</v>
      </c>
      <c r="J127" s="980"/>
      <c r="K127" s="980"/>
      <c r="L127" s="981" t="s">
        <v>127</v>
      </c>
      <c r="M127" s="981"/>
      <c r="N127" s="982"/>
      <c r="O127" s="980"/>
      <c r="P127" s="981" t="s">
        <v>127</v>
      </c>
      <c r="Q127" s="981"/>
      <c r="R127" s="982"/>
      <c r="S127" s="980"/>
      <c r="T127" s="981" t="s">
        <v>127</v>
      </c>
      <c r="U127" s="981"/>
      <c r="V127" s="982"/>
      <c r="W127" s="980"/>
      <c r="X127" s="981" t="s">
        <v>127</v>
      </c>
      <c r="Y127" s="983"/>
      <c r="Z127" s="1412">
        <f>IFERROR(VLOOKUP(C127, [6]條件!$A:$L, 3, 0), "")</f>
        <v>3.2653061224489797</v>
      </c>
      <c r="AA127" s="984" t="str">
        <f>IF(OR(L127={"改紡","檢修","了機","清車","FINAL","停機","SAMPLE","TEST","絲開發"}), L127, IFERROR(IF(C127="", "", (SUM(J127, N127, R127, V127)/3 * AG127) * IF(AND(AF127="S", AS127="雙"), 0.5, 1)), ""))</f>
        <v>了機</v>
      </c>
      <c r="AB127" s="1413" t="str">
        <f t="shared" si="23"/>
        <v/>
      </c>
      <c r="AC127" s="984" t="str">
        <f>IF(OR(L127={"改紡","檢修","了機","清車","FINAL","停機","SAMPLE","TEST"}), "", IFERROR(IF(C127="", "", AVERAGE(L127:M127, P127:Q127, T127:U127, X127:Y127)/100), ""))</f>
        <v/>
      </c>
      <c r="AD127" s="984" t="str">
        <f t="shared" si="14"/>
        <v/>
      </c>
      <c r="AE127" s="984" t="str">
        <f t="shared" si="24"/>
        <v/>
      </c>
      <c r="AF127" s="985" t="str">
        <f t="shared" si="15"/>
        <v>A</v>
      </c>
      <c r="AG127" s="1414">
        <v>1</v>
      </c>
      <c r="AH127" s="981" t="s">
        <v>641</v>
      </c>
      <c r="AI127" s="986" t="s">
        <v>641</v>
      </c>
      <c r="AJ127" s="1166" t="s">
        <v>725</v>
      </c>
      <c r="AK127" s="1408" t="s">
        <v>725</v>
      </c>
      <c r="AL127" s="1415">
        <v>53</v>
      </c>
      <c r="AM127" s="1323">
        <v>46109</v>
      </c>
      <c r="AN127" s="1323">
        <v>46110</v>
      </c>
      <c r="AO127" s="1323">
        <v>46111</v>
      </c>
      <c r="AP127" s="1323"/>
      <c r="AQ127" s="1323"/>
      <c r="AR127" s="987"/>
      <c r="AS127" s="978" t="str">
        <f t="shared" si="16"/>
        <v>雙</v>
      </c>
      <c r="AT127" s="978" t="str">
        <f t="shared" si="17"/>
        <v>半</v>
      </c>
      <c r="AU127" s="978">
        <f t="shared" si="18"/>
        <v>75</v>
      </c>
      <c r="AV127" s="978" t="str">
        <f t="shared" si="19"/>
        <v/>
      </c>
    </row>
    <row r="128" spans="1:48">
      <c r="A128" s="975">
        <f t="shared" si="25"/>
        <v>46146</v>
      </c>
      <c r="B128" s="976" t="s">
        <v>215</v>
      </c>
      <c r="C128" s="976" t="s">
        <v>16746</v>
      </c>
      <c r="D128" s="1410" t="s">
        <v>633</v>
      </c>
      <c r="E128" s="977" t="str">
        <f>IFERROR(VLOOKUP(C128, [6]條件!$A:$L, 5, 0), "")</f>
        <v>75/24/2SDr</v>
      </c>
      <c r="F128" s="978" t="str">
        <f>IFERROR(VLOOKUP(C128, [6]條件!$A:$L, 6, 0), "")</f>
        <v>FP81391R×2</v>
      </c>
      <c r="G128" s="1411">
        <f>IFERROR(VLOOKUP(C128, [6]條件!$A:$L, 7, 0), "")</f>
        <v>700</v>
      </c>
      <c r="H128" s="978" t="str">
        <f>IF(ISNA(VLOOKUP(C128,[6]條件!$A$1:$K$932,11,0)),"",(VLOOKUP(C128,[6]條件!$A$1:$K$932,11,0)))</f>
        <v>紅底白點</v>
      </c>
      <c r="I128" s="979">
        <f>IF(ISNA(VLOOKUP(C128,[6]條件!$A$1:$L$932,12,0)),"",(VLOOKUP(C128,[6]條件!$A$1:$L$932,12,0)))</f>
        <v>5</v>
      </c>
      <c r="J128" s="980">
        <v>20</v>
      </c>
      <c r="K128" s="980">
        <v>0</v>
      </c>
      <c r="L128" s="981"/>
      <c r="M128" s="981">
        <v>7913</v>
      </c>
      <c r="N128" s="982">
        <v>14</v>
      </c>
      <c r="O128" s="980">
        <v>0</v>
      </c>
      <c r="P128" s="981"/>
      <c r="Q128" s="981">
        <v>7692</v>
      </c>
      <c r="R128" s="982">
        <v>36</v>
      </c>
      <c r="S128" s="980">
        <v>0</v>
      </c>
      <c r="T128" s="981"/>
      <c r="U128" s="981">
        <v>7431</v>
      </c>
      <c r="V128" s="982">
        <v>28</v>
      </c>
      <c r="W128" s="980">
        <v>0</v>
      </c>
      <c r="X128" s="981"/>
      <c r="Y128" s="983">
        <v>7499</v>
      </c>
      <c r="Z128" s="1412">
        <f>IFERROR(VLOOKUP(C128, [6]條件!$A:$L, 3, 0), "")</f>
        <v>3.2653061224489797</v>
      </c>
      <c r="AA128" s="984">
        <f>IF(OR(L128={"改紡","檢修","了機","清車","FINAL","停機","SAMPLE","TEST","絲開發"}), L128, IFERROR(IF(C128="", "", (SUM(J128, N128, R128, V128)/3 * AG128) * IF(AND(AF128="S", AS128="雙"), 0.5, 1)), ""))</f>
        <v>32.666666666666664</v>
      </c>
      <c r="AB128" s="1413">
        <f t="shared" si="23"/>
        <v>1</v>
      </c>
      <c r="AC128" s="984">
        <f>IF(OR(L128={"改紡","檢修","了機","清車","FINAL","停機","SAMPLE","TEST"}), "", IFERROR(IF(C128="", "", AVERAGE(L128:M128, P128:Q128, T128:U128, X128:Y128)/100), ""))</f>
        <v>76.337500000000006</v>
      </c>
      <c r="AD128" s="984">
        <f t="shared" si="14"/>
        <v>4.083333333333333</v>
      </c>
      <c r="AE128" s="984">
        <f t="shared" si="24"/>
        <v>4.083333333333333</v>
      </c>
      <c r="AF128" s="985" t="str">
        <f t="shared" si="15"/>
        <v>A</v>
      </c>
      <c r="AG128" s="1414">
        <v>1</v>
      </c>
      <c r="AH128" s="981" t="s">
        <v>641</v>
      </c>
      <c r="AI128" s="986" t="s">
        <v>641</v>
      </c>
      <c r="AJ128" s="986" t="s">
        <v>725</v>
      </c>
      <c r="AK128" s="1417" t="s">
        <v>725</v>
      </c>
      <c r="AL128" s="1415">
        <v>53</v>
      </c>
      <c r="AM128" s="1323">
        <v>46115</v>
      </c>
      <c r="AN128" s="1323">
        <v>46116</v>
      </c>
      <c r="AO128" s="1323">
        <v>46117</v>
      </c>
      <c r="AP128" s="1323">
        <v>46118</v>
      </c>
      <c r="AQ128" s="1323"/>
      <c r="AR128" s="987"/>
      <c r="AS128" s="978" t="str">
        <f t="shared" si="16"/>
        <v>雙</v>
      </c>
      <c r="AT128" s="978" t="str">
        <f t="shared" si="17"/>
        <v>半</v>
      </c>
      <c r="AU128" s="978">
        <f t="shared" si="18"/>
        <v>75</v>
      </c>
      <c r="AV128" s="978">
        <f t="shared" si="19"/>
        <v>0.69253380000000009</v>
      </c>
    </row>
    <row r="129" spans="1:48">
      <c r="A129" s="975">
        <f t="shared" si="25"/>
        <v>46146</v>
      </c>
      <c r="B129" s="976" t="s">
        <v>216</v>
      </c>
      <c r="C129" s="976" t="s">
        <v>632</v>
      </c>
      <c r="D129" s="1410"/>
      <c r="E129" s="977" t="str">
        <f>IFERROR(VLOOKUP(C129, [6]條件!$A:$L, 5, 0), "")</f>
        <v/>
      </c>
      <c r="F129" s="978" t="str">
        <f>IFERROR(VLOOKUP(C129, [6]條件!$A:$L, 6, 0), "")</f>
        <v/>
      </c>
      <c r="G129" s="1411" t="str">
        <f>IFERROR(VLOOKUP(C129, [6]條件!$A:$L, 7, 0), "")</f>
        <v/>
      </c>
      <c r="H129" s="978" t="str">
        <f>IF(ISNA(VLOOKUP(C129,[6]條件!$A$1:$K$932,11,0)),"",(VLOOKUP(C129,[6]條件!$A$1:$K$932,11,0)))</f>
        <v/>
      </c>
      <c r="I129" s="979" t="str">
        <f>IF(ISNA(VLOOKUP(C129,[6]條件!$A$1:$L$932,12,0)),"",(VLOOKUP(C129,[6]條件!$A$1:$L$932,12,0)))</f>
        <v/>
      </c>
      <c r="J129" s="980"/>
      <c r="K129" s="980"/>
      <c r="L129" s="981" t="s">
        <v>632</v>
      </c>
      <c r="M129" s="981"/>
      <c r="N129" s="982"/>
      <c r="O129" s="980"/>
      <c r="P129" s="981" t="s">
        <v>632</v>
      </c>
      <c r="Q129" s="981"/>
      <c r="R129" s="982"/>
      <c r="S129" s="980"/>
      <c r="T129" s="981" t="s">
        <v>632</v>
      </c>
      <c r="U129" s="981"/>
      <c r="V129" s="982"/>
      <c r="W129" s="980"/>
      <c r="X129" s="981" t="s">
        <v>632</v>
      </c>
      <c r="Y129" s="983"/>
      <c r="Z129" s="1412" t="str">
        <f>IFERROR(VLOOKUP(C129, [6]條件!$A:$L, 3, 0), "")</f>
        <v/>
      </c>
      <c r="AA129" s="984" t="str">
        <f>IF(OR(L129={"改紡","檢修","了機","清車","FINAL","停機","SAMPLE","TEST","絲開發"}), L129, IFERROR(IF(C129="", "", (SUM(J129, N129, R129, V129)/3 * AG129) * IF(AND(AF129="S", AS129="雙"), 0.5, 1)), ""))</f>
        <v>停機</v>
      </c>
      <c r="AB129" s="1413" t="str">
        <f t="shared" si="23"/>
        <v/>
      </c>
      <c r="AC129" s="984" t="str">
        <f>IF(OR(L129={"改紡","檢修","了機","清車","FINAL","停機","SAMPLE","TEST"}), "", IFERROR(IF(C129="", "", AVERAGE(L129:M129, P129:Q129, T129:U129, X129:Y129)/100), ""))</f>
        <v/>
      </c>
      <c r="AD129" s="984" t="str">
        <f t="shared" si="14"/>
        <v/>
      </c>
      <c r="AE129" s="984" t="str">
        <f t="shared" si="24"/>
        <v/>
      </c>
      <c r="AF129" s="985" t="str">
        <f t="shared" si="15"/>
        <v>A</v>
      </c>
      <c r="AG129" s="1414">
        <v>1</v>
      </c>
      <c r="AH129" s="981" t="s">
        <v>641</v>
      </c>
      <c r="AI129" s="986" t="s">
        <v>641</v>
      </c>
      <c r="AJ129" s="986" t="s">
        <v>725</v>
      </c>
      <c r="AK129" s="1417" t="s">
        <v>725</v>
      </c>
      <c r="AL129" s="1415"/>
      <c r="AM129" s="1323"/>
      <c r="AN129" s="1323"/>
      <c r="AO129" s="1323"/>
      <c r="AP129" s="1323"/>
      <c r="AQ129" s="1323"/>
      <c r="AR129" s="987"/>
      <c r="AS129" s="978" t="str">
        <f t="shared" si="16"/>
        <v>單</v>
      </c>
      <c r="AT129" s="978" t="str">
        <f t="shared" si="17"/>
        <v>全</v>
      </c>
      <c r="AU129" s="978" t="str">
        <f t="shared" si="18"/>
        <v/>
      </c>
      <c r="AV129" s="978" t="str">
        <f t="shared" si="19"/>
        <v/>
      </c>
    </row>
    <row r="130" spans="1:48">
      <c r="A130" s="975">
        <f t="shared" si="25"/>
        <v>46146</v>
      </c>
      <c r="B130" s="976" t="s">
        <v>217</v>
      </c>
      <c r="C130" s="976" t="s">
        <v>16197</v>
      </c>
      <c r="D130" s="1410"/>
      <c r="E130" s="977" t="str">
        <f>IFERROR(VLOOKUP(C130, [6]條件!$A:$L, 5, 0), "")</f>
        <v>75/36HC</v>
      </c>
      <c r="F130" s="978" t="str">
        <f>IFERROR(VLOOKUP(C130, [6]條件!$A:$L, 6, 0), "")</f>
        <v>FP81857R</v>
      </c>
      <c r="G130" s="1411">
        <f>IFERROR(VLOOKUP(C130, [6]條件!$A:$L, 7, 0), "")</f>
        <v>600</v>
      </c>
      <c r="H130" s="978" t="str">
        <f>IF(ISNA(VLOOKUP(C130,[6]條件!$A$1:$K$932,11,0)),"",(VLOOKUP(C130,[6]條件!$A$1:$K$932,11,0)))</f>
        <v>白底綠方塊</v>
      </c>
      <c r="I130" s="979">
        <f>IF(ISNA(VLOOKUP(C130,[6]條件!$A$1:$L$932,12,0)),"",(VLOOKUP(C130,[6]條件!$A$1:$L$932,12,0)))</f>
        <v>4</v>
      </c>
      <c r="J130" s="980">
        <v>40</v>
      </c>
      <c r="K130" s="980">
        <v>0</v>
      </c>
      <c r="L130" s="981">
        <v>8162</v>
      </c>
      <c r="M130" s="981">
        <v>8737</v>
      </c>
      <c r="N130" s="982">
        <v>9</v>
      </c>
      <c r="O130" s="980">
        <v>0</v>
      </c>
      <c r="P130" s="981">
        <v>8259</v>
      </c>
      <c r="Q130" s="981">
        <v>8896</v>
      </c>
      <c r="R130" s="982">
        <v>13</v>
      </c>
      <c r="S130" s="980">
        <v>0</v>
      </c>
      <c r="T130" s="981">
        <v>8230</v>
      </c>
      <c r="U130" s="981">
        <v>8915</v>
      </c>
      <c r="V130" s="982">
        <v>17</v>
      </c>
      <c r="W130" s="980">
        <v>0</v>
      </c>
      <c r="X130" s="981">
        <v>8382</v>
      </c>
      <c r="Y130" s="983">
        <v>8867</v>
      </c>
      <c r="Z130" s="1412">
        <f>IFERROR(VLOOKUP(C130, [6]條件!$A:$L, 3, 0), "")</f>
        <v>1.7496962332928312</v>
      </c>
      <c r="AA130" s="984">
        <f>IF(OR(L130={"改紡","檢修","了機","清車","FINAL","停機","SAMPLE","TEST","絲開發"}), L130, IFERROR(IF(C130="", "", (SUM(J130, N130, R130, V130)/3 * AG130) * IF(AND(AF130="S", AS130="雙"), 0.5, 1)), ""))</f>
        <v>26.333333333333332</v>
      </c>
      <c r="AB130" s="1413">
        <f t="shared" si="23"/>
        <v>1</v>
      </c>
      <c r="AC130" s="984">
        <f>IF(OR(L130={"改紡","檢修","了機","清車","FINAL","停機","SAMPLE","TEST"}), "", IFERROR(IF(C130="", "", AVERAGE(L130:M130, P130:Q130, T130:U130, X130:Y130)/100), ""))</f>
        <v>85.56</v>
      </c>
      <c r="AD130" s="984">
        <f t="shared" ref="AD130:AD193" si="26">IF(ISERROR(AA130/8),"",(AA130/8))</f>
        <v>3.2916666666666665</v>
      </c>
      <c r="AE130" s="984">
        <f t="shared" si="24"/>
        <v>3.2916666666666665</v>
      </c>
      <c r="AF130" s="985" t="str">
        <f t="shared" ref="AF130:AF193" si="27">LEFT(B130, 1)</f>
        <v>A</v>
      </c>
      <c r="AG130" s="1414">
        <v>1</v>
      </c>
      <c r="AH130" s="981" t="s">
        <v>641</v>
      </c>
      <c r="AI130" s="986" t="s">
        <v>641</v>
      </c>
      <c r="AJ130" s="1002" t="s">
        <v>725</v>
      </c>
      <c r="AK130" s="981" t="s">
        <v>725</v>
      </c>
      <c r="AL130" s="1415">
        <v>54</v>
      </c>
      <c r="AM130" s="1323">
        <v>45948</v>
      </c>
      <c r="AN130" s="1323">
        <v>45951</v>
      </c>
      <c r="AO130" s="1323">
        <v>45953</v>
      </c>
      <c r="AP130" s="1323">
        <v>45954</v>
      </c>
      <c r="AQ130" s="1323">
        <v>45955</v>
      </c>
      <c r="AR130" s="987"/>
      <c r="AS130" s="978" t="str">
        <f t="shared" ref="AS130:AS193" si="28">IF(RIGHT(F130, 2) = "×2", "雙", "單")</f>
        <v>單</v>
      </c>
      <c r="AT130" s="978" t="str">
        <f t="shared" ref="AT130:AT193" si="29">IF(OR(AF130="J", AF130="T", AF130="M"), IF(AG130=1, "全", "半"), IF(AF130="A", IF(AG130=0.5, IF(AS130="雙", "全", ""), IF(AG130=1, IF(AS130="雙", "半", "全"), IF(AG130=2, "半", ""))), IF(AF130="S", AG130 &amp; "sec", "")))</f>
        <v>全</v>
      </c>
      <c r="AU130" s="978">
        <f t="shared" ref="AU130:AU193" si="30">IFERROR(VALUE(LEFT(E130, FIND("/", E130)-1)), "")</f>
        <v>75</v>
      </c>
      <c r="AV130" s="978">
        <f t="shared" ref="AV130:AV193" si="31">IFERROR(IF(AF130="S", (AU130*G130*AC130*0.03456/100/1000) * (AG130*12/144) * IF(AS130="單", 1, 0.5), IF(AF130="A", (AU130*G130*AC130*0.03456/100/1000) * IF(AT130="全", 1, 0.5), IF(OR(AF130="T", AF130="J", AF130="M"), (AU130*G130*AC130*0.03456/100/1000) * IF(AS130="單", 1, 2) * IF(AT130="全", 1, 0.5), 0))), "")</f>
        <v>1.33062912</v>
      </c>
    </row>
    <row r="131" spans="1:48">
      <c r="A131" s="975">
        <f t="shared" si="25"/>
        <v>46146</v>
      </c>
      <c r="B131" s="976" t="s">
        <v>218</v>
      </c>
      <c r="C131" s="976" t="s">
        <v>16744</v>
      </c>
      <c r="D131" s="1410" t="s">
        <v>633</v>
      </c>
      <c r="E131" s="977" t="str">
        <f>IFERROR(VLOOKUP(C131, [6]條件!$A:$L, 5, 0), "")</f>
        <v>75/24/2SDr</v>
      </c>
      <c r="F131" s="978" t="str">
        <f>IFERROR(VLOOKUP(C131, [6]條件!$A:$L, 6, 0), "")</f>
        <v>FP81382R×2</v>
      </c>
      <c r="G131" s="1411">
        <f>IFERROR(VLOOKUP(C131, [6]條件!$A:$L, 7, 0), "")</f>
        <v>700</v>
      </c>
      <c r="H131" s="978" t="str">
        <f>IF(ISNA(VLOOKUP(C131,[6]條件!$A$1:$K$932,11,0)),"",(VLOOKUP(C131,[6]條件!$A$1:$K$932,11,0)))</f>
        <v>藍色</v>
      </c>
      <c r="I131" s="979">
        <f>IF(ISNA(VLOOKUP(C131,[6]條件!$A$1:$L$932,12,0)),"",(VLOOKUP(C131,[6]條件!$A$1:$L$932,12,0)))</f>
        <v>5</v>
      </c>
      <c r="J131" s="980">
        <v>14</v>
      </c>
      <c r="K131" s="980">
        <v>0</v>
      </c>
      <c r="L131" s="981">
        <v>8621</v>
      </c>
      <c r="M131" s="981"/>
      <c r="N131" s="982">
        <v>4</v>
      </c>
      <c r="O131" s="980">
        <v>0</v>
      </c>
      <c r="P131" s="981">
        <v>8666</v>
      </c>
      <c r="Q131" s="981"/>
      <c r="R131" s="982">
        <v>0</v>
      </c>
      <c r="S131" s="980">
        <v>0</v>
      </c>
      <c r="T131" s="981">
        <v>8767</v>
      </c>
      <c r="U131" s="981"/>
      <c r="V131" s="982">
        <v>4</v>
      </c>
      <c r="W131" s="980">
        <v>0</v>
      </c>
      <c r="X131" s="981">
        <v>8784</v>
      </c>
      <c r="Y131" s="983"/>
      <c r="Z131" s="1412">
        <f>IFERROR(VLOOKUP(C131, [6]條件!$A:$L, 3, 0), "")</f>
        <v>3.2505643340857788</v>
      </c>
      <c r="AA131" s="984">
        <f>IF(OR(L131={"改紡","檢修","了機","清車","FINAL","停機","SAMPLE","TEST","絲開發"}), L131, IFERROR(IF(C131="", "", (SUM(J131, N131, R131, V131)/3 * AG131) * IF(AND(AF131="S", AS131="雙"), 0.5, 1)), ""))</f>
        <v>7.333333333333333</v>
      </c>
      <c r="AB131" s="1413">
        <f t="shared" si="23"/>
        <v>1</v>
      </c>
      <c r="AC131" s="984">
        <f>IF(OR(L131={"改紡","檢修","了機","清車","FINAL","停機","SAMPLE","TEST"}), "", IFERROR(IF(C131="", "", AVERAGE(L131:M131, P131:Q131, T131:U131, X131:Y131)/100), ""))</f>
        <v>87.094999999999999</v>
      </c>
      <c r="AD131" s="984">
        <f t="shared" si="26"/>
        <v>0.91666666666666663</v>
      </c>
      <c r="AE131" s="984">
        <f t="shared" si="24"/>
        <v>0.91666666666666663</v>
      </c>
      <c r="AF131" s="985" t="str">
        <f t="shared" si="27"/>
        <v>A</v>
      </c>
      <c r="AG131" s="1414">
        <v>1</v>
      </c>
      <c r="AH131" s="981" t="s">
        <v>641</v>
      </c>
      <c r="AI131" s="986" t="s">
        <v>641</v>
      </c>
      <c r="AJ131" s="1418" t="s">
        <v>725</v>
      </c>
      <c r="AK131" s="1432" t="s">
        <v>725</v>
      </c>
      <c r="AL131" s="1415">
        <v>50</v>
      </c>
      <c r="AM131" s="1323">
        <v>46108</v>
      </c>
      <c r="AN131" s="1323">
        <v>46109</v>
      </c>
      <c r="AO131" s="1323"/>
      <c r="AP131" s="1323"/>
      <c r="AQ131" s="1323"/>
      <c r="AR131" s="987"/>
      <c r="AS131" s="978" t="str">
        <f t="shared" si="28"/>
        <v>雙</v>
      </c>
      <c r="AT131" s="978" t="str">
        <f t="shared" si="29"/>
        <v>半</v>
      </c>
      <c r="AU131" s="978">
        <f t="shared" si="30"/>
        <v>75</v>
      </c>
      <c r="AV131" s="978">
        <f t="shared" si="31"/>
        <v>0.79012584000000008</v>
      </c>
    </row>
    <row r="132" spans="1:48">
      <c r="A132" s="975">
        <f t="shared" si="25"/>
        <v>46146</v>
      </c>
      <c r="B132" s="976" t="s">
        <v>218</v>
      </c>
      <c r="C132" s="976" t="s">
        <v>16191</v>
      </c>
      <c r="D132" s="1410" t="s">
        <v>633</v>
      </c>
      <c r="E132" s="977" t="str">
        <f>IFERROR(VLOOKUP(C132, [6]條件!$A:$L, 5, 0), "")</f>
        <v>75/24/2SDR2</v>
      </c>
      <c r="F132" s="978" t="str">
        <f>IFERROR(VLOOKUP(C132, [6]條件!$A:$L, 6, 0), "")</f>
        <v>FP81363R×2</v>
      </c>
      <c r="G132" s="1411">
        <f>IFERROR(VLOOKUP(C132, [6]條件!$A:$L, 7, 0), "")</f>
        <v>700</v>
      </c>
      <c r="H132" s="978" t="str">
        <f>IF(ISNA(VLOOKUP(C132,[6]條件!$A$1:$K$932,11,0)),"",(VLOOKUP(C132,[6]條件!$A$1:$K$932,11,0)))</f>
        <v>橘黑三角</v>
      </c>
      <c r="I132" s="979">
        <f>IF(ISNA(VLOOKUP(C132,[6]條件!$A$1:$L$932,12,0)),"",(VLOOKUP(C132,[6]條件!$A$1:$L$932,12,0)))</f>
        <v>5</v>
      </c>
      <c r="J132" s="980"/>
      <c r="K132" s="980"/>
      <c r="L132" s="981" t="s">
        <v>127</v>
      </c>
      <c r="M132" s="981"/>
      <c r="N132" s="982"/>
      <c r="O132" s="980"/>
      <c r="P132" s="981"/>
      <c r="Q132" s="981" t="s">
        <v>627</v>
      </c>
      <c r="R132" s="982"/>
      <c r="S132" s="980"/>
      <c r="T132" s="981"/>
      <c r="U132" s="981" t="s">
        <v>632</v>
      </c>
      <c r="V132" s="982"/>
      <c r="W132" s="980"/>
      <c r="X132" s="981"/>
      <c r="Y132" s="983" t="s">
        <v>632</v>
      </c>
      <c r="Z132" s="1412">
        <f>IFERROR(VLOOKUP(C132, [6]條件!$A:$L, 3, 0), "")</f>
        <v>3.2505643340857788</v>
      </c>
      <c r="AA132" s="984" t="str">
        <f>IF(OR(L132={"改紡","檢修","了機","清車","FINAL","停機","SAMPLE","TEST","絲開發"}), L132, IFERROR(IF(C132="", "", (SUM(J132, N132, R132, V132)/3 * AG132) * IF(AND(AF132="S", AS132="雙"), 0.5, 1)), ""))</f>
        <v>了機</v>
      </c>
      <c r="AB132" s="1413" t="str">
        <f t="shared" si="23"/>
        <v/>
      </c>
      <c r="AC132" s="984" t="str">
        <f>IF(OR(L132={"改紡","檢修","了機","清車","FINAL","停機","SAMPLE","TEST"}), "", IFERROR(IF(C132="", "", AVERAGE(L132:M132, P132:Q132, T132:U132, X132:Y132)/100), ""))</f>
        <v/>
      </c>
      <c r="AD132" s="984" t="str">
        <f t="shared" si="26"/>
        <v/>
      </c>
      <c r="AE132" s="984" t="str">
        <f t="shared" si="24"/>
        <v/>
      </c>
      <c r="AF132" s="985" t="str">
        <f t="shared" si="27"/>
        <v>A</v>
      </c>
      <c r="AG132" s="1414">
        <v>1</v>
      </c>
      <c r="AH132" s="981" t="s">
        <v>641</v>
      </c>
      <c r="AI132" s="986" t="s">
        <v>641</v>
      </c>
      <c r="AJ132" s="1166" t="s">
        <v>725</v>
      </c>
      <c r="AK132" s="1408" t="s">
        <v>725</v>
      </c>
      <c r="AL132" s="1415">
        <v>53</v>
      </c>
      <c r="AM132" s="1323">
        <v>46108</v>
      </c>
      <c r="AN132" s="1323">
        <v>46109</v>
      </c>
      <c r="AO132" s="1323">
        <v>46110</v>
      </c>
      <c r="AP132" s="1323">
        <v>46112</v>
      </c>
      <c r="AQ132" s="1323"/>
      <c r="AR132" s="987"/>
      <c r="AS132" s="978" t="str">
        <f t="shared" si="28"/>
        <v>雙</v>
      </c>
      <c r="AT132" s="978" t="str">
        <f t="shared" si="29"/>
        <v>半</v>
      </c>
      <c r="AU132" s="978">
        <f t="shared" si="30"/>
        <v>75</v>
      </c>
      <c r="AV132" s="978" t="str">
        <f t="shared" si="31"/>
        <v/>
      </c>
    </row>
    <row r="133" spans="1:48">
      <c r="A133" s="975">
        <f t="shared" si="25"/>
        <v>46146</v>
      </c>
      <c r="B133" s="976" t="s">
        <v>219</v>
      </c>
      <c r="C133" s="976" t="s">
        <v>16745</v>
      </c>
      <c r="D133" s="1410" t="s">
        <v>16748</v>
      </c>
      <c r="E133" s="977" t="str">
        <f>IFERROR(VLOOKUP(C133, [6]條件!$A:$L, 5, 0), "")</f>
        <v>50/72BSD3</v>
      </c>
      <c r="F133" s="978" t="str">
        <f>IFERROR(VLOOKUP(C133, [6]條件!$A:$L, 6, 0), "")</f>
        <v>FP80141</v>
      </c>
      <c r="G133" s="1411">
        <f>IFERROR(VLOOKUP(C133, [6]條件!$A:$L, 7, 0), "")</f>
        <v>630</v>
      </c>
      <c r="H133" s="978" t="str">
        <f>IF(ISNA(VLOOKUP(C133,[6]條件!$A$1:$K$932,11,0)),"",(VLOOKUP(C133,[6]條件!$A$1:$K$932,11,0)))</f>
        <v>洋綠色</v>
      </c>
      <c r="I133" s="979">
        <f>IF(ISNA(VLOOKUP(C133,[6]條件!$A$1:$L$932,12,0)),"",(VLOOKUP(C133,[6]條件!$A$1:$L$932,12,0)))</f>
        <v>2</v>
      </c>
      <c r="J133" s="980">
        <v>16</v>
      </c>
      <c r="K133" s="980">
        <v>2</v>
      </c>
      <c r="L133" s="981">
        <v>9840</v>
      </c>
      <c r="M133" s="981">
        <v>9747</v>
      </c>
      <c r="N133" s="982">
        <v>11</v>
      </c>
      <c r="O133" s="980">
        <v>10</v>
      </c>
      <c r="P133" s="981">
        <v>9731</v>
      </c>
      <c r="Q133" s="981">
        <v>9813</v>
      </c>
      <c r="R133" s="982">
        <v>5</v>
      </c>
      <c r="S133" s="980">
        <v>0</v>
      </c>
      <c r="T133" s="981">
        <v>9752</v>
      </c>
      <c r="U133" s="981">
        <v>9858</v>
      </c>
      <c r="V133" s="982">
        <v>16</v>
      </c>
      <c r="W133" s="980">
        <v>3</v>
      </c>
      <c r="X133" s="981">
        <v>9724</v>
      </c>
      <c r="Y133" s="983">
        <v>9867</v>
      </c>
      <c r="Z133" s="1412">
        <f>IFERROR(VLOOKUP(C133, [6]條件!$A:$L, 3, 0), "")</f>
        <v>2.4615384615384617</v>
      </c>
      <c r="AA133" s="984">
        <f>IF(OR(L133={"改紡","檢修","了機","清車","FINAL","停機","SAMPLE","TEST","絲開發"}), L133, IFERROR(IF(C133="", "", (SUM(J133, N133, R133, V133)/3 * AG133) * IF(AND(AF133="S", AS133="雙"), 0.5, 1)), ""))</f>
        <v>16</v>
      </c>
      <c r="AB133" s="1413">
        <f t="shared" si="23"/>
        <v>0.970703125</v>
      </c>
      <c r="AC133" s="984">
        <f>IF(OR(L133={"改紡","檢修","了機","清車","FINAL","停機","SAMPLE","TEST"}), "", IFERROR(IF(C133="", "", AVERAGE(L133:M133, P133:Q133, T133:U133, X133:Y133)/100), ""))</f>
        <v>97.915000000000006</v>
      </c>
      <c r="AD133" s="984">
        <f t="shared" si="26"/>
        <v>2</v>
      </c>
      <c r="AE133" s="984">
        <f t="shared" si="24"/>
        <v>1.375</v>
      </c>
      <c r="AF133" s="985" t="str">
        <f t="shared" si="27"/>
        <v>A</v>
      </c>
      <c r="AG133" s="1414">
        <v>1</v>
      </c>
      <c r="AH133" s="981" t="s">
        <v>16154</v>
      </c>
      <c r="AI133" s="986" t="s">
        <v>629</v>
      </c>
      <c r="AJ133" s="1166" t="s">
        <v>634</v>
      </c>
      <c r="AK133" s="1408" t="s">
        <v>634</v>
      </c>
      <c r="AL133" s="1415">
        <v>57</v>
      </c>
      <c r="AM133" s="1324">
        <v>46087</v>
      </c>
      <c r="AN133" s="1323">
        <v>46088</v>
      </c>
      <c r="AO133" s="1323"/>
      <c r="AP133" s="1323"/>
      <c r="AQ133" s="1323"/>
      <c r="AR133" s="987"/>
      <c r="AS133" s="978" t="str">
        <f t="shared" si="28"/>
        <v>單</v>
      </c>
      <c r="AT133" s="978" t="str">
        <f t="shared" si="29"/>
        <v>全</v>
      </c>
      <c r="AU133" s="978">
        <f t="shared" si="30"/>
        <v>50</v>
      </c>
      <c r="AV133" s="978">
        <f t="shared" si="31"/>
        <v>1.065941856</v>
      </c>
    </row>
    <row r="134" spans="1:48">
      <c r="A134" s="975">
        <f t="shared" si="25"/>
        <v>46146</v>
      </c>
      <c r="B134" s="976" t="s">
        <v>220</v>
      </c>
      <c r="C134" s="976" t="s">
        <v>632</v>
      </c>
      <c r="D134" s="1410"/>
      <c r="E134" s="977" t="str">
        <f>IFERROR(VLOOKUP(C134, [6]條件!$A:$L, 5, 0), "")</f>
        <v/>
      </c>
      <c r="F134" s="978" t="str">
        <f>IFERROR(VLOOKUP(C134, [6]條件!$A:$L, 6, 0), "")</f>
        <v/>
      </c>
      <c r="G134" s="1411" t="str">
        <f>IFERROR(VLOOKUP(C134, [6]條件!$A:$L, 7, 0), "")</f>
        <v/>
      </c>
      <c r="H134" s="978" t="str">
        <f>IF(ISNA(VLOOKUP(C134,[6]條件!$A$1:$K$932,11,0)),"",(VLOOKUP(C134,[6]條件!$A$1:$K$932,11,0)))</f>
        <v/>
      </c>
      <c r="I134" s="979" t="str">
        <f>IF(ISNA(VLOOKUP(C134,[6]條件!$A$1:$L$932,12,0)),"",(VLOOKUP(C134,[6]條件!$A$1:$L$932,12,0)))</f>
        <v/>
      </c>
      <c r="J134" s="980"/>
      <c r="K134" s="980"/>
      <c r="L134" s="981" t="s">
        <v>632</v>
      </c>
      <c r="M134" s="981"/>
      <c r="N134" s="982"/>
      <c r="O134" s="980"/>
      <c r="P134" s="981" t="s">
        <v>632</v>
      </c>
      <c r="Q134" s="981"/>
      <c r="R134" s="982"/>
      <c r="S134" s="980"/>
      <c r="T134" s="981" t="s">
        <v>632</v>
      </c>
      <c r="U134" s="981"/>
      <c r="V134" s="982"/>
      <c r="W134" s="980"/>
      <c r="X134" s="981" t="s">
        <v>632</v>
      </c>
      <c r="Y134" s="983"/>
      <c r="Z134" s="1412" t="str">
        <f>IFERROR(VLOOKUP(C134, [6]條件!$A:$L, 3, 0), "")</f>
        <v/>
      </c>
      <c r="AA134" s="984" t="str">
        <f>IF(OR(L134={"改紡","檢修","了機","清車","FINAL","停機","SAMPLE","TEST","絲開發"}), L134, IFERROR(IF(C134="", "", (SUM(J134, N134, R134, V134)/3 * AG134) * IF(AND(AF134="S", AS134="雙"), 0.5, 1)), ""))</f>
        <v>停機</v>
      </c>
      <c r="AB134" s="1413" t="str">
        <f t="shared" si="23"/>
        <v/>
      </c>
      <c r="AC134" s="984" t="str">
        <f>IF(OR(L134={"改紡","檢修","了機","清車","FINAL","停機","SAMPLE","TEST"}), "", IFERROR(IF(C134="", "", AVERAGE(L134:M134, P134:Q134, T134:U134, X134:Y134)/100), ""))</f>
        <v/>
      </c>
      <c r="AD134" s="984" t="str">
        <f t="shared" si="26"/>
        <v/>
      </c>
      <c r="AE134" s="984" t="str">
        <f t="shared" si="24"/>
        <v/>
      </c>
      <c r="AF134" s="985" t="str">
        <f t="shared" si="27"/>
        <v>A</v>
      </c>
      <c r="AG134" s="1414">
        <v>1</v>
      </c>
      <c r="AH134" s="981" t="s">
        <v>16154</v>
      </c>
      <c r="AI134" s="986" t="s">
        <v>629</v>
      </c>
      <c r="AJ134" s="1002" t="s">
        <v>15370</v>
      </c>
      <c r="AK134" s="981" t="s">
        <v>15370</v>
      </c>
      <c r="AL134" s="1415"/>
      <c r="AM134" s="1323"/>
      <c r="AN134" s="1323"/>
      <c r="AO134" s="1323"/>
      <c r="AP134" s="1323"/>
      <c r="AQ134" s="1323"/>
      <c r="AR134" s="987"/>
      <c r="AS134" s="978" t="str">
        <f t="shared" si="28"/>
        <v>單</v>
      </c>
      <c r="AT134" s="978" t="str">
        <f t="shared" si="29"/>
        <v>全</v>
      </c>
      <c r="AU134" s="978" t="str">
        <f t="shared" si="30"/>
        <v/>
      </c>
      <c r="AV134" s="978" t="str">
        <f t="shared" si="31"/>
        <v/>
      </c>
    </row>
    <row r="135" spans="1:48">
      <c r="A135" s="975">
        <f t="shared" si="25"/>
        <v>46146</v>
      </c>
      <c r="B135" s="976" t="s">
        <v>221</v>
      </c>
      <c r="C135" s="976" t="s">
        <v>16725</v>
      </c>
      <c r="D135" s="1410"/>
      <c r="E135" s="977" t="str">
        <f>IFERROR(VLOOKUP(C135, [6]條件!$A:$L, 5, 0), "")</f>
        <v>150/48HC</v>
      </c>
      <c r="F135" s="978" t="str">
        <f>IFERROR(VLOOKUP(C135, [6]條件!$A:$L, 6, 0), "")</f>
        <v>FP82781</v>
      </c>
      <c r="G135" s="1411">
        <f>IFERROR(VLOOKUP(C135, [6]條件!$A:$L, 7, 0), "")</f>
        <v>600</v>
      </c>
      <c r="H135" s="978" t="str">
        <f>IF(ISNA(VLOOKUP(C135,[6]條件!$A$1:$K$932,11,0)),"",(VLOOKUP(C135,[6]條件!$A$1:$K$932,11,0)))</f>
        <v>黃底白點</v>
      </c>
      <c r="I135" s="979">
        <f>IF(ISNA(VLOOKUP(C135,[6]條件!$A$1:$L$932,12,0)),"",(VLOOKUP(C135,[6]條件!$A$1:$L$932,12,0)))</f>
        <v>5</v>
      </c>
      <c r="J135" s="980">
        <v>17</v>
      </c>
      <c r="K135" s="980">
        <v>1</v>
      </c>
      <c r="L135" s="981">
        <v>8561</v>
      </c>
      <c r="M135" s="981">
        <v>8282</v>
      </c>
      <c r="N135" s="982">
        <v>5</v>
      </c>
      <c r="O135" s="980">
        <v>2</v>
      </c>
      <c r="P135" s="981">
        <v>8790</v>
      </c>
      <c r="Q135" s="981">
        <v>8413</v>
      </c>
      <c r="R135" s="982">
        <v>9</v>
      </c>
      <c r="S135" s="980">
        <v>1</v>
      </c>
      <c r="T135" s="981">
        <v>8832</v>
      </c>
      <c r="U135" s="981">
        <v>8327</v>
      </c>
      <c r="V135" s="982">
        <v>15</v>
      </c>
      <c r="W135" s="980">
        <v>0</v>
      </c>
      <c r="X135" s="981">
        <v>8835</v>
      </c>
      <c r="Y135" s="983">
        <v>8273</v>
      </c>
      <c r="Z135" s="1412">
        <f>IFERROR(VLOOKUP(C135, [6]條件!$A:$L, 3, 0), "")</f>
        <v>2.8685258964143427</v>
      </c>
      <c r="AA135" s="984">
        <f>IF(OR(L135={"改紡","檢修","了機","清車","FINAL","停機","SAMPLE","TEST","絲開發"}), L135, IFERROR(IF(C135="", "", (SUM(J135, N135, R135, V135)/3 * AG135) * IF(AND(AF135="S", AS135="雙"), 0.5, 1)), ""))</f>
        <v>15.333333333333334</v>
      </c>
      <c r="AB135" s="1413">
        <f t="shared" si="23"/>
        <v>0.99329594017094014</v>
      </c>
      <c r="AC135" s="984">
        <f>IF(OR(L135={"改紡","檢修","了機","清車","FINAL","停機","SAMPLE","TEST"}), "", IFERROR(IF(C135="", "", AVERAGE(L135:M135, P135:Q135, T135:U135, X135:Y135)/100), ""))</f>
        <v>85.391249999999999</v>
      </c>
      <c r="AD135" s="984">
        <f t="shared" si="26"/>
        <v>1.9166666666666667</v>
      </c>
      <c r="AE135" s="984">
        <f t="shared" si="24"/>
        <v>1.75</v>
      </c>
      <c r="AF135" s="985" t="str">
        <f t="shared" si="27"/>
        <v>A</v>
      </c>
      <c r="AG135" s="1414">
        <v>1</v>
      </c>
      <c r="AH135" s="981" t="s">
        <v>16154</v>
      </c>
      <c r="AI135" s="986" t="s">
        <v>629</v>
      </c>
      <c r="AJ135" s="1418" t="s">
        <v>634</v>
      </c>
      <c r="AK135" s="1432" t="s">
        <v>634</v>
      </c>
      <c r="AL135" s="1415">
        <v>54</v>
      </c>
      <c r="AM135" s="1323">
        <v>46140</v>
      </c>
      <c r="AN135" s="1323">
        <v>46141</v>
      </c>
      <c r="AO135" s="1323">
        <v>46142</v>
      </c>
      <c r="AP135" s="1323">
        <v>46143</v>
      </c>
      <c r="AQ135" s="1323"/>
      <c r="AR135" s="987"/>
      <c r="AS135" s="978" t="str">
        <f t="shared" si="28"/>
        <v>單</v>
      </c>
      <c r="AT135" s="978" t="str">
        <f t="shared" si="29"/>
        <v>全</v>
      </c>
      <c r="AU135" s="978">
        <f t="shared" si="30"/>
        <v>150</v>
      </c>
      <c r="AV135" s="978">
        <f t="shared" si="31"/>
        <v>2.6560094400000001</v>
      </c>
    </row>
    <row r="136" spans="1:48">
      <c r="A136" s="975">
        <f t="shared" si="25"/>
        <v>46146</v>
      </c>
      <c r="B136" s="976" t="s">
        <v>222</v>
      </c>
      <c r="C136" s="976" t="s">
        <v>632</v>
      </c>
      <c r="D136" s="1410"/>
      <c r="E136" s="977" t="str">
        <f>IFERROR(VLOOKUP(C136, [6]條件!$A:$L, 5, 0), "")</f>
        <v/>
      </c>
      <c r="F136" s="978" t="str">
        <f>IFERROR(VLOOKUP(C136, [6]條件!$A:$L, 6, 0), "")</f>
        <v/>
      </c>
      <c r="G136" s="1411" t="str">
        <f>IFERROR(VLOOKUP(C136, [6]條件!$A:$L, 7, 0), "")</f>
        <v/>
      </c>
      <c r="H136" s="978" t="str">
        <f>IF(ISNA(VLOOKUP(C136,[6]條件!$A$1:$K$932,11,0)),"",(VLOOKUP(C136,[6]條件!$A$1:$K$932,11,0)))</f>
        <v/>
      </c>
      <c r="I136" s="979" t="str">
        <f>IF(ISNA(VLOOKUP(C136,[6]條件!$A$1:$L$932,12,0)),"",(VLOOKUP(C136,[6]條件!$A$1:$L$932,12,0)))</f>
        <v/>
      </c>
      <c r="J136" s="980"/>
      <c r="K136" s="980"/>
      <c r="L136" s="981" t="s">
        <v>632</v>
      </c>
      <c r="M136" s="981"/>
      <c r="N136" s="982"/>
      <c r="O136" s="980"/>
      <c r="P136" s="981" t="s">
        <v>632</v>
      </c>
      <c r="Q136" s="981"/>
      <c r="R136" s="982"/>
      <c r="S136" s="980"/>
      <c r="T136" s="981" t="s">
        <v>632</v>
      </c>
      <c r="U136" s="981"/>
      <c r="V136" s="982"/>
      <c r="W136" s="980"/>
      <c r="X136" s="981" t="s">
        <v>632</v>
      </c>
      <c r="Y136" s="983"/>
      <c r="Z136" s="1412" t="str">
        <f>IFERROR(VLOOKUP(C136, [6]條件!$A:$L, 3, 0), "")</f>
        <v/>
      </c>
      <c r="AA136" s="984" t="str">
        <f>IF(OR(L136={"改紡","檢修","了機","清車","FINAL","停機","SAMPLE","TEST","絲開發"}), L136, IFERROR(IF(C136="", "", (SUM(J136, N136, R136, V136)/3 * AG136) * IF(AND(AF136="S", AS136="雙"), 0.5, 1)), ""))</f>
        <v>停機</v>
      </c>
      <c r="AB136" s="1413" t="str">
        <f t="shared" si="23"/>
        <v/>
      </c>
      <c r="AC136" s="984" t="str">
        <f>IF(OR(L136={"改紡","檢修","了機","清車","FINAL","停機","SAMPLE","TEST"}), "", IFERROR(IF(C136="", "", AVERAGE(L136:M136, P136:Q136, T136:U136, X136:Y136)/100), ""))</f>
        <v/>
      </c>
      <c r="AD136" s="984" t="str">
        <f t="shared" si="26"/>
        <v/>
      </c>
      <c r="AE136" s="984" t="str">
        <f t="shared" si="24"/>
        <v/>
      </c>
      <c r="AF136" s="985" t="str">
        <f t="shared" si="27"/>
        <v>A</v>
      </c>
      <c r="AG136" s="1414">
        <v>1</v>
      </c>
      <c r="AH136" s="981" t="s">
        <v>815</v>
      </c>
      <c r="AI136" s="986" t="s">
        <v>815</v>
      </c>
      <c r="AJ136" s="1166" t="s">
        <v>829</v>
      </c>
      <c r="AK136" s="1408" t="s">
        <v>829</v>
      </c>
      <c r="AL136" s="1415"/>
      <c r="AM136" s="1323"/>
      <c r="AN136" s="1323"/>
      <c r="AO136" s="1323"/>
      <c r="AP136" s="1323"/>
      <c r="AQ136" s="1323"/>
      <c r="AR136" s="987"/>
      <c r="AS136" s="978" t="str">
        <f t="shared" si="28"/>
        <v>單</v>
      </c>
      <c r="AT136" s="978" t="str">
        <f t="shared" si="29"/>
        <v>全</v>
      </c>
      <c r="AU136" s="978" t="str">
        <f t="shared" si="30"/>
        <v/>
      </c>
      <c r="AV136" s="978" t="str">
        <f t="shared" si="31"/>
        <v/>
      </c>
    </row>
    <row r="137" spans="1:48">
      <c r="A137" s="975">
        <f t="shared" si="25"/>
        <v>46146</v>
      </c>
      <c r="B137" s="976" t="s">
        <v>223</v>
      </c>
      <c r="C137" s="976" t="s">
        <v>632</v>
      </c>
      <c r="D137" s="1410"/>
      <c r="E137" s="977" t="str">
        <f>IFERROR(VLOOKUP(C137, [6]條件!$A:$L, 5, 0), "")</f>
        <v/>
      </c>
      <c r="F137" s="978" t="str">
        <f>IFERROR(VLOOKUP(C137, [6]條件!$A:$L, 6, 0), "")</f>
        <v/>
      </c>
      <c r="G137" s="1411" t="str">
        <f>IFERROR(VLOOKUP(C137, [6]條件!$A:$L, 7, 0), "")</f>
        <v/>
      </c>
      <c r="H137" s="978" t="str">
        <f>IF(ISNA(VLOOKUP(C137,[6]條件!$A$1:$K$932,11,0)),"",(VLOOKUP(C137,[6]條件!$A$1:$K$932,11,0)))</f>
        <v/>
      </c>
      <c r="I137" s="979" t="str">
        <f>IF(ISNA(VLOOKUP(C137,[6]條件!$A$1:$L$932,12,0)),"",(VLOOKUP(C137,[6]條件!$A$1:$L$932,12,0)))</f>
        <v/>
      </c>
      <c r="J137" s="980"/>
      <c r="K137" s="980"/>
      <c r="L137" s="981" t="s">
        <v>632</v>
      </c>
      <c r="M137" s="981"/>
      <c r="N137" s="982"/>
      <c r="O137" s="980"/>
      <c r="P137" s="981" t="s">
        <v>632</v>
      </c>
      <c r="Q137" s="981"/>
      <c r="R137" s="982"/>
      <c r="S137" s="980"/>
      <c r="T137" s="981" t="s">
        <v>632</v>
      </c>
      <c r="U137" s="981"/>
      <c r="V137" s="982"/>
      <c r="W137" s="980"/>
      <c r="X137" s="981" t="s">
        <v>632</v>
      </c>
      <c r="Y137" s="983"/>
      <c r="Z137" s="1412" t="str">
        <f>IFERROR(VLOOKUP(C137, [6]條件!$A:$L, 3, 0), "")</f>
        <v/>
      </c>
      <c r="AA137" s="984" t="str">
        <f>IF(OR(L137={"改紡","檢修","了機","清車","FINAL","停機","SAMPLE","TEST","絲開發"}), L137, IFERROR(IF(C137="", "", (SUM(J137, N137, R137, V137)/3 * AG137) * IF(AND(AF137="S", AS137="雙"), 0.5, 1)), ""))</f>
        <v>停機</v>
      </c>
      <c r="AB137" s="1413" t="str">
        <f t="shared" si="23"/>
        <v/>
      </c>
      <c r="AC137" s="984" t="str">
        <f>IF(OR(L137={"改紡","檢修","了機","清車","FINAL","停機","SAMPLE","TEST"}), "", IFERROR(IF(C137="", "", AVERAGE(L137:M137, P137:Q137, T137:U137, X137:Y137)/100), ""))</f>
        <v/>
      </c>
      <c r="AD137" s="984" t="str">
        <f t="shared" si="26"/>
        <v/>
      </c>
      <c r="AE137" s="984" t="str">
        <f t="shared" si="24"/>
        <v/>
      </c>
      <c r="AF137" s="985" t="str">
        <f t="shared" si="27"/>
        <v>A</v>
      </c>
      <c r="AG137" s="1414">
        <v>1</v>
      </c>
      <c r="AH137" s="981" t="s">
        <v>815</v>
      </c>
      <c r="AI137" s="986" t="s">
        <v>815</v>
      </c>
      <c r="AJ137" s="1166" t="s">
        <v>829</v>
      </c>
      <c r="AK137" s="1408" t="s">
        <v>829</v>
      </c>
      <c r="AL137" s="1415"/>
      <c r="AM137" s="1324"/>
      <c r="AN137" s="1323"/>
      <c r="AO137" s="1323"/>
      <c r="AP137" s="1323"/>
      <c r="AQ137" s="1323"/>
      <c r="AR137" s="987"/>
      <c r="AS137" s="978" t="str">
        <f t="shared" si="28"/>
        <v>單</v>
      </c>
      <c r="AT137" s="978" t="str">
        <f t="shared" si="29"/>
        <v>全</v>
      </c>
      <c r="AU137" s="978" t="str">
        <f t="shared" si="30"/>
        <v/>
      </c>
      <c r="AV137" s="978" t="str">
        <f t="shared" si="31"/>
        <v/>
      </c>
    </row>
    <row r="138" spans="1:48">
      <c r="A138" s="975">
        <f t="shared" si="25"/>
        <v>46146</v>
      </c>
      <c r="B138" s="976" t="s">
        <v>224</v>
      </c>
      <c r="C138" s="976" t="s">
        <v>16734</v>
      </c>
      <c r="D138" s="1410" t="s">
        <v>633</v>
      </c>
      <c r="E138" s="977" t="str">
        <f>IFERROR(VLOOKUP(C138, [6]條件!$A:$L, 5, 0), "")</f>
        <v>75/24/2SDr</v>
      </c>
      <c r="F138" s="978" t="str">
        <f>IFERROR(VLOOKUP(C138, [6]條件!$A:$L, 6, 0), "")</f>
        <v>FP81382R×2</v>
      </c>
      <c r="G138" s="1411">
        <f>IFERROR(VLOOKUP(C138, [6]條件!$A:$L, 7, 0), "")</f>
        <v>700</v>
      </c>
      <c r="H138" s="978" t="str">
        <f>IF(ISNA(VLOOKUP(C138,[6]條件!$A$1:$K$932,11,0)),"",(VLOOKUP(C138,[6]條件!$A$1:$K$932,11,0)))</f>
        <v>白底紫三角</v>
      </c>
      <c r="I138" s="979">
        <f>IF(ISNA(VLOOKUP(C138,[6]條件!$A$1:$L$932,12,0)),"",(VLOOKUP(C138,[6]條件!$A$1:$L$932,12,0)))</f>
        <v>5</v>
      </c>
      <c r="J138" s="980">
        <v>86</v>
      </c>
      <c r="K138" s="980">
        <v>0</v>
      </c>
      <c r="L138" s="981">
        <v>8769</v>
      </c>
      <c r="M138" s="981">
        <v>8674</v>
      </c>
      <c r="N138" s="982">
        <v>22</v>
      </c>
      <c r="O138" s="980">
        <v>0</v>
      </c>
      <c r="P138" s="981">
        <v>8477</v>
      </c>
      <c r="Q138" s="981">
        <v>8371</v>
      </c>
      <c r="R138" s="982">
        <v>60</v>
      </c>
      <c r="S138" s="980">
        <v>0</v>
      </c>
      <c r="T138" s="981">
        <v>8431</v>
      </c>
      <c r="U138" s="981">
        <v>8424</v>
      </c>
      <c r="V138" s="982">
        <v>34</v>
      </c>
      <c r="W138" s="980">
        <v>0</v>
      </c>
      <c r="X138" s="981">
        <v>9093</v>
      </c>
      <c r="Y138" s="983">
        <v>8666</v>
      </c>
      <c r="Z138" s="1412">
        <f>IFERROR(VLOOKUP(C138, [6]條件!$A:$L, 3, 0), "")</f>
        <v>3.2653061224489797</v>
      </c>
      <c r="AA138" s="984">
        <f>IF(OR(L138={"改紡","檢修","了機","清車","FINAL","停機","SAMPLE","TEST","絲開發"}), L138, IFERROR(IF(C138="", "", (SUM(J138, N138, R138, V138)/3 * AG138) * IF(AND(AF138="S", AS138="雙"), 0.5, 1)), ""))</f>
        <v>33.666666666666664</v>
      </c>
      <c r="AB138" s="1413">
        <f t="shared" si="23"/>
        <v>1</v>
      </c>
      <c r="AC138" s="984">
        <f>IF(OR(L138={"改紡","檢修","了機","清車","FINAL","停機","SAMPLE","TEST"}), "", IFERROR(IF(C138="", "", AVERAGE(L138:M138, P138:Q138, T138:U138, X138:Y138)/100), ""))</f>
        <v>86.131249999999994</v>
      </c>
      <c r="AD138" s="984">
        <f t="shared" si="26"/>
        <v>4.208333333333333</v>
      </c>
      <c r="AE138" s="984">
        <f t="shared" si="24"/>
        <v>4.208333333333333</v>
      </c>
      <c r="AF138" s="985" t="str">
        <f t="shared" si="27"/>
        <v>A</v>
      </c>
      <c r="AG138" s="1414">
        <v>0.5</v>
      </c>
      <c r="AH138" s="981" t="s">
        <v>641</v>
      </c>
      <c r="AI138" s="986" t="s">
        <v>641</v>
      </c>
      <c r="AJ138" s="1002" t="s">
        <v>725</v>
      </c>
      <c r="AK138" s="981" t="s">
        <v>725</v>
      </c>
      <c r="AL138" s="1415">
        <v>50</v>
      </c>
      <c r="AM138" s="1323">
        <v>46103</v>
      </c>
      <c r="AN138" s="1323">
        <v>46104</v>
      </c>
      <c r="AO138" s="1323">
        <v>46106</v>
      </c>
      <c r="AP138" s="1323">
        <v>46108</v>
      </c>
      <c r="AQ138" s="1323"/>
      <c r="AR138" s="987"/>
      <c r="AS138" s="978" t="str">
        <f t="shared" si="28"/>
        <v>雙</v>
      </c>
      <c r="AT138" s="978" t="str">
        <f t="shared" si="29"/>
        <v>全</v>
      </c>
      <c r="AU138" s="978">
        <f t="shared" si="30"/>
        <v>75</v>
      </c>
      <c r="AV138" s="978">
        <f t="shared" si="31"/>
        <v>1.5627654</v>
      </c>
    </row>
    <row r="139" spans="1:48">
      <c r="A139" s="975">
        <f t="shared" si="25"/>
        <v>46146</v>
      </c>
      <c r="B139" s="976" t="s">
        <v>225</v>
      </c>
      <c r="C139" s="976" t="s">
        <v>16747</v>
      </c>
      <c r="D139" s="1410"/>
      <c r="E139" s="977" t="str">
        <f>IFERROR(VLOOKUP(C139, [6]條件!$A:$L, 5, 0), "")</f>
        <v>150/48SDR</v>
      </c>
      <c r="F139" s="978" t="str">
        <f>IFERROR(VLOOKUP(C139, [6]條件!$A:$L, 6, 0), "")</f>
        <v>FP82169R</v>
      </c>
      <c r="G139" s="1411">
        <f>IFERROR(VLOOKUP(C139, [6]條件!$A:$L, 7, 0), "")</f>
        <v>650</v>
      </c>
      <c r="H139" s="978" t="str">
        <f>IF(ISNA(VLOOKUP(C139,[6]條件!$A$1:$K$932,11,0)),"",(VLOOKUP(C139,[6]條件!$A$1:$K$932,11,0)))</f>
        <v>綠藍三角</v>
      </c>
      <c r="I139" s="979">
        <f>IF(ISNA(VLOOKUP(C139,[6]條件!$A$1:$L$932,12,0)),"",(VLOOKUP(C139,[6]條件!$A$1:$L$932,12,0)))</f>
        <v>5</v>
      </c>
      <c r="J139" s="980">
        <v>15</v>
      </c>
      <c r="K139" s="980">
        <v>0</v>
      </c>
      <c r="L139" s="981">
        <v>9646</v>
      </c>
      <c r="M139" s="981">
        <v>8790</v>
      </c>
      <c r="N139" s="982">
        <v>21</v>
      </c>
      <c r="O139" s="980">
        <v>0</v>
      </c>
      <c r="P139" s="981">
        <v>9060</v>
      </c>
      <c r="Q139" s="981">
        <v>9104</v>
      </c>
      <c r="R139" s="982">
        <v>6</v>
      </c>
      <c r="S139" s="980">
        <v>0</v>
      </c>
      <c r="T139" s="981">
        <v>9251</v>
      </c>
      <c r="U139" s="981">
        <v>9181</v>
      </c>
      <c r="V139" s="982">
        <v>19</v>
      </c>
      <c r="W139" s="980">
        <v>1</v>
      </c>
      <c r="X139" s="981">
        <v>9361</v>
      </c>
      <c r="Y139" s="983">
        <v>9063</v>
      </c>
      <c r="Z139" s="1412">
        <f>IFERROR(VLOOKUP(C139, [6]條件!$A:$L, 3, 0), "")</f>
        <v>3.0573248407643314</v>
      </c>
      <c r="AA139" s="984">
        <f>IF(OR(L139={"改紡","檢修","了機","清車","FINAL","停機","SAMPLE","TEST","絲開發"}), L139, IFERROR(IF(C139="", "", (SUM(J139, N139, R139, V139)/3 * AG139) * IF(AND(AF139="S", AS139="雙"), 0.5, 1)), ""))</f>
        <v>20.333333333333332</v>
      </c>
      <c r="AB139" s="1413">
        <f t="shared" si="23"/>
        <v>0.99842748397435899</v>
      </c>
      <c r="AC139" s="984">
        <f>IF(OR(L139={"改紡","檢修","了機","清車","FINAL","停機","SAMPLE","TEST"}), "", IFERROR(IF(C139="", "", AVERAGE(L139:M139, P139:Q139, T139:U139, X139:Y139)/100), ""))</f>
        <v>91.82</v>
      </c>
      <c r="AD139" s="984">
        <f t="shared" si="26"/>
        <v>2.5416666666666665</v>
      </c>
      <c r="AE139" s="984">
        <f t="shared" si="24"/>
        <v>2.5</v>
      </c>
      <c r="AF139" s="985" t="str">
        <f t="shared" si="27"/>
        <v>A</v>
      </c>
      <c r="AG139" s="1414">
        <v>1</v>
      </c>
      <c r="AH139" s="981" t="s">
        <v>16154</v>
      </c>
      <c r="AI139" s="986" t="s">
        <v>629</v>
      </c>
      <c r="AJ139" s="1002" t="s">
        <v>634</v>
      </c>
      <c r="AK139" s="981" t="s">
        <v>634</v>
      </c>
      <c r="AL139" s="1415">
        <v>48</v>
      </c>
      <c r="AM139" s="1323">
        <v>46145</v>
      </c>
      <c r="AN139" s="1323"/>
      <c r="AO139" s="1323"/>
      <c r="AP139" s="1323"/>
      <c r="AQ139" s="1323"/>
      <c r="AR139" s="987"/>
      <c r="AS139" s="978" t="str">
        <f t="shared" si="28"/>
        <v>單</v>
      </c>
      <c r="AT139" s="978" t="str">
        <f t="shared" si="29"/>
        <v>全</v>
      </c>
      <c r="AU139" s="978">
        <f t="shared" si="30"/>
        <v>150</v>
      </c>
      <c r="AV139" s="978">
        <f t="shared" si="31"/>
        <v>3.0939667200000005</v>
      </c>
    </row>
    <row r="140" spans="1:48">
      <c r="A140" s="975">
        <f t="shared" si="25"/>
        <v>46146</v>
      </c>
      <c r="B140" s="976" t="s">
        <v>226</v>
      </c>
      <c r="C140" s="976" t="s">
        <v>632</v>
      </c>
      <c r="D140" s="1410"/>
      <c r="E140" s="977" t="str">
        <f>IFERROR(VLOOKUP(C140, [6]條件!$A:$L, 5, 0), "")</f>
        <v/>
      </c>
      <c r="F140" s="978" t="str">
        <f>IFERROR(VLOOKUP(C140, [6]條件!$A:$L, 6, 0), "")</f>
        <v/>
      </c>
      <c r="G140" s="1411" t="str">
        <f>IFERROR(VLOOKUP(C140, [6]條件!$A:$L, 7, 0), "")</f>
        <v/>
      </c>
      <c r="H140" s="978" t="str">
        <f>IF(ISNA(VLOOKUP(C140,[6]條件!$A$1:$K$932,11,0)),"",(VLOOKUP(C140,[6]條件!$A$1:$K$932,11,0)))</f>
        <v/>
      </c>
      <c r="I140" s="979" t="str">
        <f>IF(ISNA(VLOOKUP(C140,[6]條件!$A$1:$L$932,12,0)),"",(VLOOKUP(C140,[6]條件!$A$1:$L$932,12,0)))</f>
        <v/>
      </c>
      <c r="J140" s="980"/>
      <c r="K140" s="980"/>
      <c r="L140" s="981" t="s">
        <v>632</v>
      </c>
      <c r="M140" s="981"/>
      <c r="N140" s="982"/>
      <c r="O140" s="980"/>
      <c r="P140" s="981" t="s">
        <v>632</v>
      </c>
      <c r="Q140" s="981"/>
      <c r="R140" s="982"/>
      <c r="S140" s="980"/>
      <c r="T140" s="981" t="s">
        <v>632</v>
      </c>
      <c r="U140" s="981"/>
      <c r="V140" s="982"/>
      <c r="W140" s="980"/>
      <c r="X140" s="981" t="s">
        <v>632</v>
      </c>
      <c r="Y140" s="983"/>
      <c r="Z140" s="1412" t="str">
        <f>IFERROR(VLOOKUP(C140, [6]條件!$A:$L, 3, 0), "")</f>
        <v/>
      </c>
      <c r="AA140" s="984" t="str">
        <f>IF(OR(L140={"改紡","檢修","了機","清車","FINAL","停機","SAMPLE","TEST","絲開發"}), L140, IFERROR(IF(C140="", "", (SUM(J140, N140, R140, V140)/3 * AG140) * IF(AND(AF140="S", AS140="雙"), 0.5, 1)), ""))</f>
        <v>停機</v>
      </c>
      <c r="AB140" s="1413" t="str">
        <f t="shared" si="23"/>
        <v/>
      </c>
      <c r="AC140" s="984" t="str">
        <f>IF(OR(L140={"改紡","檢修","了機","清車","FINAL","停機","SAMPLE","TEST"}), "", IFERROR(IF(C140="", "", AVERAGE(L140:M140, P140:Q140, T140:U140, X140:Y140)/100), ""))</f>
        <v/>
      </c>
      <c r="AD140" s="984" t="str">
        <f t="shared" si="26"/>
        <v/>
      </c>
      <c r="AE140" s="984" t="str">
        <f t="shared" si="24"/>
        <v/>
      </c>
      <c r="AF140" s="985" t="str">
        <f t="shared" si="27"/>
        <v>A</v>
      </c>
      <c r="AG140" s="1414">
        <v>1</v>
      </c>
      <c r="AH140" s="981" t="s">
        <v>16154</v>
      </c>
      <c r="AI140" s="986" t="s">
        <v>629</v>
      </c>
      <c r="AJ140" s="1002" t="s">
        <v>15370</v>
      </c>
      <c r="AK140" s="981" t="s">
        <v>15370</v>
      </c>
      <c r="AL140" s="1415"/>
      <c r="AM140" s="1323"/>
      <c r="AN140" s="1323"/>
      <c r="AO140" s="1323"/>
      <c r="AP140" s="1323"/>
      <c r="AQ140" s="1323"/>
      <c r="AR140" s="987"/>
      <c r="AS140" s="978" t="str">
        <f t="shared" si="28"/>
        <v>單</v>
      </c>
      <c r="AT140" s="978" t="str">
        <f t="shared" si="29"/>
        <v>全</v>
      </c>
      <c r="AU140" s="978" t="str">
        <f t="shared" si="30"/>
        <v/>
      </c>
      <c r="AV140" s="978" t="str">
        <f t="shared" si="31"/>
        <v/>
      </c>
    </row>
    <row r="141" spans="1:48">
      <c r="A141" s="975">
        <f t="shared" si="25"/>
        <v>46146</v>
      </c>
      <c r="B141" s="976" t="s">
        <v>227</v>
      </c>
      <c r="C141" s="976" t="s">
        <v>16712</v>
      </c>
      <c r="D141" s="1410"/>
      <c r="E141" s="977" t="str">
        <f>IFERROR(VLOOKUP(C141, [6]條件!$A:$L, 5, 0), "")</f>
        <v>100/36SDr</v>
      </c>
      <c r="F141" s="978" t="str">
        <f>IFERROR(VLOOKUP(C141, [6]條件!$A:$L, 6, 0), "")</f>
        <v>FP81384R</v>
      </c>
      <c r="G141" s="1411">
        <f>IFERROR(VLOOKUP(C141, [6]條件!$A:$L, 7, 0), "")</f>
        <v>700</v>
      </c>
      <c r="H141" s="978" t="str">
        <f>IF(ISNA(VLOOKUP(C141,[6]條件!$A$1:$K$932,11,0)),"",(VLOOKUP(C141,[6]條件!$A$1:$K$932,11,0)))</f>
        <v>白底紅三角</v>
      </c>
      <c r="I141" s="979">
        <f>IF(ISNA(VLOOKUP(C141,[6]條件!$A$1:$L$932,12,0)),"",(VLOOKUP(C141,[6]條件!$A$1:$L$932,12,0)))</f>
        <v>5</v>
      </c>
      <c r="J141" s="980">
        <v>11</v>
      </c>
      <c r="K141" s="980">
        <v>0</v>
      </c>
      <c r="L141" s="981">
        <v>7782</v>
      </c>
      <c r="M141" s="981">
        <v>8173</v>
      </c>
      <c r="N141" s="982">
        <v>2</v>
      </c>
      <c r="O141" s="980">
        <v>0</v>
      </c>
      <c r="P141" s="981">
        <v>7870</v>
      </c>
      <c r="Q141" s="981">
        <v>8270</v>
      </c>
      <c r="R141" s="982">
        <v>4</v>
      </c>
      <c r="S141" s="980">
        <v>0</v>
      </c>
      <c r="T141" s="981">
        <v>7866</v>
      </c>
      <c r="U141" s="981">
        <v>8221</v>
      </c>
      <c r="V141" s="982">
        <v>13</v>
      </c>
      <c r="W141" s="980">
        <v>0</v>
      </c>
      <c r="X141" s="981">
        <v>7833</v>
      </c>
      <c r="Y141" s="983">
        <v>8208</v>
      </c>
      <c r="Z141" s="1412">
        <f>IFERROR(VLOOKUP(C141, [6]條件!$A:$L, 3, 0), "")</f>
        <v>2.2187981510015407</v>
      </c>
      <c r="AA141" s="984">
        <f>IF(OR(L141={"改紡","檢修","了機","清車","FINAL","停機","SAMPLE","TEST","絲開發"}), L141, IFERROR(IF(C141="", "", (SUM(J141, N141, R141, V141)/3 * AG141) * IF(AND(AF141="S", AS141="雙"), 0.5, 1)), ""))</f>
        <v>10</v>
      </c>
      <c r="AB141" s="1413">
        <f t="shared" si="23"/>
        <v>1</v>
      </c>
      <c r="AC141" s="984">
        <f>IF(OR(L141={"改紡","檢修","了機","清車","FINAL","停機","SAMPLE","TEST"}), "", IFERROR(IF(C141="", "", AVERAGE(L141:M141, P141:Q141, T141:U141, X141:Y141)/100), ""))</f>
        <v>80.278750000000002</v>
      </c>
      <c r="AD141" s="984">
        <f t="shared" si="26"/>
        <v>1.25</v>
      </c>
      <c r="AE141" s="984">
        <f t="shared" si="24"/>
        <v>1.25</v>
      </c>
      <c r="AF141" s="985" t="str">
        <f t="shared" si="27"/>
        <v>A</v>
      </c>
      <c r="AG141" s="1414">
        <v>1</v>
      </c>
      <c r="AH141" s="981" t="s">
        <v>815</v>
      </c>
      <c r="AI141" s="986" t="s">
        <v>815</v>
      </c>
      <c r="AJ141" s="1418" t="s">
        <v>634</v>
      </c>
      <c r="AK141" s="1432" t="s">
        <v>634</v>
      </c>
      <c r="AL141" s="1415">
        <v>50</v>
      </c>
      <c r="AM141" s="1323">
        <v>46132</v>
      </c>
      <c r="AN141" s="1323">
        <v>46133</v>
      </c>
      <c r="AO141" s="1323">
        <v>46134</v>
      </c>
      <c r="AP141" s="1323">
        <v>46135</v>
      </c>
      <c r="AQ141" s="1323">
        <v>46137</v>
      </c>
      <c r="AR141" s="987"/>
      <c r="AS141" s="978" t="str">
        <f t="shared" si="28"/>
        <v>單</v>
      </c>
      <c r="AT141" s="978" t="str">
        <f t="shared" si="29"/>
        <v>全</v>
      </c>
      <c r="AU141" s="978">
        <f t="shared" si="30"/>
        <v>100</v>
      </c>
      <c r="AV141" s="978">
        <f t="shared" si="31"/>
        <v>1.9421035200000001</v>
      </c>
    </row>
    <row r="142" spans="1:48">
      <c r="A142" s="975">
        <f t="shared" si="25"/>
        <v>46146</v>
      </c>
      <c r="B142" s="976" t="s">
        <v>228</v>
      </c>
      <c r="C142" s="976" t="s">
        <v>632</v>
      </c>
      <c r="D142" s="1410"/>
      <c r="E142" s="977" t="str">
        <f>IFERROR(VLOOKUP(C142, [6]條件!$A:$L, 5, 0), "")</f>
        <v/>
      </c>
      <c r="F142" s="978" t="str">
        <f>IFERROR(VLOOKUP(C142, [6]條件!$A:$L, 6, 0), "")</f>
        <v/>
      </c>
      <c r="G142" s="1411" t="str">
        <f>IFERROR(VLOOKUP(C142, [6]條件!$A:$L, 7, 0), "")</f>
        <v/>
      </c>
      <c r="H142" s="978" t="str">
        <f>IF(ISNA(VLOOKUP(C142,[6]條件!$A$1:$K$932,11,0)),"",(VLOOKUP(C142,[6]條件!$A$1:$K$932,11,0)))</f>
        <v/>
      </c>
      <c r="I142" s="979" t="str">
        <f>IF(ISNA(VLOOKUP(C142,[6]條件!$A$1:$L$932,12,0)),"",(VLOOKUP(C142,[6]條件!$A$1:$L$932,12,0)))</f>
        <v/>
      </c>
      <c r="J142" s="980"/>
      <c r="K142" s="980"/>
      <c r="L142" s="981" t="s">
        <v>632</v>
      </c>
      <c r="M142" s="981"/>
      <c r="N142" s="982"/>
      <c r="O142" s="980"/>
      <c r="P142" s="981" t="s">
        <v>632</v>
      </c>
      <c r="Q142" s="981"/>
      <c r="R142" s="982"/>
      <c r="S142" s="980"/>
      <c r="T142" s="981" t="s">
        <v>632</v>
      </c>
      <c r="U142" s="981"/>
      <c r="V142" s="982"/>
      <c r="W142" s="980"/>
      <c r="X142" s="981" t="s">
        <v>632</v>
      </c>
      <c r="Y142" s="983"/>
      <c r="Z142" s="1412" t="str">
        <f>IFERROR(VLOOKUP(C142, [6]條件!$A:$L, 3, 0), "")</f>
        <v/>
      </c>
      <c r="AA142" s="984" t="str">
        <f>IF(OR(L142={"改紡","檢修","了機","清車","FINAL","停機","SAMPLE","TEST","絲開發"}), L142, IFERROR(IF(C142="", "", (SUM(J142, N142, R142, V142)/3 * AG142) * IF(AND(AF142="S", AS142="雙"), 0.5, 1)), ""))</f>
        <v>停機</v>
      </c>
      <c r="AB142" s="1413" t="str">
        <f t="shared" si="23"/>
        <v/>
      </c>
      <c r="AC142" s="984" t="str">
        <f>IF(OR(L142={"改紡","檢修","了機","清車","FINAL","停機","SAMPLE","TEST"}), "", IFERROR(IF(C142="", "", AVERAGE(L142:M142, P142:Q142, T142:U142, X142:Y142)/100), ""))</f>
        <v/>
      </c>
      <c r="AD142" s="984" t="str">
        <f t="shared" si="26"/>
        <v/>
      </c>
      <c r="AE142" s="984" t="str">
        <f t="shared" si="24"/>
        <v/>
      </c>
      <c r="AF142" s="985" t="str">
        <f t="shared" si="27"/>
        <v>A</v>
      </c>
      <c r="AG142" s="1414">
        <v>1</v>
      </c>
      <c r="AH142" s="981" t="s">
        <v>815</v>
      </c>
      <c r="AI142" s="986" t="s">
        <v>815</v>
      </c>
      <c r="AJ142" s="1132" t="s">
        <v>829</v>
      </c>
      <c r="AK142" s="1419" t="s">
        <v>829</v>
      </c>
      <c r="AL142" s="1420"/>
      <c r="AM142" s="1323"/>
      <c r="AN142" s="1323"/>
      <c r="AO142" s="1323"/>
      <c r="AP142" s="1323"/>
      <c r="AQ142" s="1323"/>
      <c r="AR142" s="987"/>
      <c r="AS142" s="978" t="str">
        <f t="shared" si="28"/>
        <v>單</v>
      </c>
      <c r="AT142" s="978" t="str">
        <f t="shared" si="29"/>
        <v>全</v>
      </c>
      <c r="AU142" s="978" t="str">
        <f t="shared" si="30"/>
        <v/>
      </c>
      <c r="AV142" s="978" t="str">
        <f t="shared" si="31"/>
        <v/>
      </c>
    </row>
    <row r="143" spans="1:48">
      <c r="A143" s="975">
        <f t="shared" si="25"/>
        <v>46146</v>
      </c>
      <c r="B143" s="976" t="s">
        <v>229</v>
      </c>
      <c r="C143" s="976" t="s">
        <v>632</v>
      </c>
      <c r="D143" s="1410"/>
      <c r="E143" s="977" t="str">
        <f>IFERROR(VLOOKUP(C143, [6]條件!$A:$L, 5, 0), "")</f>
        <v/>
      </c>
      <c r="F143" s="978" t="str">
        <f>IFERROR(VLOOKUP(C143, [6]條件!$A:$L, 6, 0), "")</f>
        <v/>
      </c>
      <c r="G143" s="1411" t="str">
        <f>IFERROR(VLOOKUP(C143, [6]條件!$A:$L, 7, 0), "")</f>
        <v/>
      </c>
      <c r="H143" s="978" t="str">
        <f>IF(ISNA(VLOOKUP(C143,[6]條件!$A$1:$K$932,11,0)),"",(VLOOKUP(C143,[6]條件!$A$1:$K$932,11,0)))</f>
        <v/>
      </c>
      <c r="I143" s="979" t="str">
        <f>IF(ISNA(VLOOKUP(C143,[6]條件!$A$1:$L$932,12,0)),"",(VLOOKUP(C143,[6]條件!$A$1:$L$932,12,0)))</f>
        <v/>
      </c>
      <c r="J143" s="980"/>
      <c r="K143" s="980"/>
      <c r="L143" s="981" t="s">
        <v>632</v>
      </c>
      <c r="M143" s="981"/>
      <c r="N143" s="982"/>
      <c r="O143" s="980"/>
      <c r="P143" s="981" t="s">
        <v>632</v>
      </c>
      <c r="Q143" s="981"/>
      <c r="R143" s="982"/>
      <c r="S143" s="980"/>
      <c r="T143" s="981" t="s">
        <v>632</v>
      </c>
      <c r="U143" s="981"/>
      <c r="V143" s="982"/>
      <c r="W143" s="980"/>
      <c r="X143" s="981" t="s">
        <v>632</v>
      </c>
      <c r="Y143" s="983"/>
      <c r="Z143" s="1412" t="str">
        <f>IFERROR(VLOOKUP(C143, [6]條件!$A:$L, 3, 0), "")</f>
        <v/>
      </c>
      <c r="AA143" s="984" t="str">
        <f>IF(OR(L143={"改紡","檢修","了機","清車","FINAL","停機","SAMPLE","TEST","絲開發"}), L143, IFERROR(IF(C143="", "", (SUM(J143, N143, R143, V143)/3 * AG143) * IF(AND(AF143="S", AS143="雙"), 0.5, 1)), ""))</f>
        <v>停機</v>
      </c>
      <c r="AB143" s="1413" t="str">
        <f t="shared" si="23"/>
        <v/>
      </c>
      <c r="AC143" s="984" t="str">
        <f>IF(OR(L143={"改紡","檢修","了機","清車","FINAL","停機","SAMPLE","TEST"}), "", IFERROR(IF(C143="", "", AVERAGE(L143:M143, P143:Q143, T143:U143, X143:Y143)/100), ""))</f>
        <v/>
      </c>
      <c r="AD143" s="984" t="str">
        <f t="shared" si="26"/>
        <v/>
      </c>
      <c r="AE143" s="984" t="str">
        <f t="shared" si="24"/>
        <v/>
      </c>
      <c r="AF143" s="985" t="str">
        <f t="shared" si="27"/>
        <v>A</v>
      </c>
      <c r="AG143" s="1414">
        <v>1</v>
      </c>
      <c r="AH143" s="981" t="s">
        <v>815</v>
      </c>
      <c r="AI143" s="986" t="s">
        <v>815</v>
      </c>
      <c r="AJ143" s="986" t="s">
        <v>829</v>
      </c>
      <c r="AK143" s="1417" t="s">
        <v>829</v>
      </c>
      <c r="AL143" s="1421"/>
      <c r="AM143" s="1323"/>
      <c r="AN143" s="1323"/>
      <c r="AO143" s="1323"/>
      <c r="AP143" s="1323"/>
      <c r="AQ143" s="1323"/>
      <c r="AR143" s="987"/>
      <c r="AS143" s="978" t="str">
        <f t="shared" si="28"/>
        <v>單</v>
      </c>
      <c r="AT143" s="978" t="str">
        <f t="shared" si="29"/>
        <v>全</v>
      </c>
      <c r="AU143" s="978" t="str">
        <f t="shared" si="30"/>
        <v/>
      </c>
      <c r="AV143" s="978" t="str">
        <f t="shared" si="31"/>
        <v/>
      </c>
    </row>
    <row r="144" spans="1:48">
      <c r="A144" s="975">
        <f t="shared" si="25"/>
        <v>46146</v>
      </c>
      <c r="B144" s="976" t="s">
        <v>230</v>
      </c>
      <c r="C144" s="976" t="s">
        <v>16751</v>
      </c>
      <c r="D144" s="1410"/>
      <c r="E144" s="977" t="str">
        <f>IFERROR(VLOOKUP(C144, [6]條件!$A:$L, 5, 0), "")</f>
        <v>150/48/2GY5</v>
      </c>
      <c r="F144" s="978" t="str">
        <f>IFERROR(VLOOKUP(C144, [6]條件!$A:$L, 6, 0), "")</f>
        <v>FP02422×2</v>
      </c>
      <c r="G144" s="1411">
        <f>IFERROR(VLOOKUP(C144, [6]條件!$A:$L, 7, 0), "")</f>
        <v>600</v>
      </c>
      <c r="H144" s="978" t="str">
        <f>IF(ISNA(VLOOKUP(C144,[6]條件!$A$1:$K$932,11,0)),"",(VLOOKUP(C144,[6]條件!$A$1:$K$932,11,0)))</f>
        <v>白底紅星</v>
      </c>
      <c r="I144" s="979">
        <f>IF(ISNA(VLOOKUP(C144,[6]條件!$A$1:$L$932,12,0)),"",(VLOOKUP(C144,[6]條件!$A$1:$L$932,12,0)))</f>
        <v>4</v>
      </c>
      <c r="J144" s="980">
        <v>88</v>
      </c>
      <c r="K144" s="980">
        <v>0</v>
      </c>
      <c r="L144" s="981">
        <v>7375</v>
      </c>
      <c r="M144" s="981">
        <v>8417</v>
      </c>
      <c r="N144" s="982">
        <v>22</v>
      </c>
      <c r="O144" s="980">
        <v>0</v>
      </c>
      <c r="P144" s="981">
        <v>7514</v>
      </c>
      <c r="Q144" s="981">
        <v>7910</v>
      </c>
      <c r="R144" s="982">
        <v>20</v>
      </c>
      <c r="S144" s="980">
        <v>0</v>
      </c>
      <c r="T144" s="981">
        <v>7553</v>
      </c>
      <c r="U144" s="981">
        <v>8008</v>
      </c>
      <c r="V144" s="982">
        <v>40</v>
      </c>
      <c r="W144" s="980">
        <v>0</v>
      </c>
      <c r="X144" s="981">
        <v>7519</v>
      </c>
      <c r="Y144" s="983">
        <v>8527</v>
      </c>
      <c r="Z144" s="1412">
        <f>IFERROR(VLOOKUP(C144, [6]條件!$A:$L, 3, 0), "")</f>
        <v>6.9230769230769234</v>
      </c>
      <c r="AA144" s="984">
        <f>IF(OR(L144={"改紡","檢修","了機","清車","FINAL","停機","SAMPLE","TEST","絲開發"}), L144, IFERROR(IF(C144="", "", (SUM(J144, N144, R144, V144)/3 * AG144) * IF(AND(AF144="S", AS144="雙"), 0.5, 1)), ""))</f>
        <v>28.333333333333332</v>
      </c>
      <c r="AB144" s="1413">
        <f t="shared" si="23"/>
        <v>1</v>
      </c>
      <c r="AC144" s="984">
        <f>IF(OR(L144={"改紡","檢修","了機","清車","FINAL","停機","SAMPLE","TEST"}), "", IFERROR(IF(C144="", "", AVERAGE(L144:M144, P144:Q144, T144:U144, X144:Y144)/100), ""))</f>
        <v>78.528750000000002</v>
      </c>
      <c r="AD144" s="984">
        <f t="shared" si="26"/>
        <v>3.5416666666666665</v>
      </c>
      <c r="AE144" s="984">
        <f t="shared" si="24"/>
        <v>3.5416666666666665</v>
      </c>
      <c r="AF144" s="985" t="str">
        <f t="shared" si="27"/>
        <v>A</v>
      </c>
      <c r="AG144" s="1414">
        <v>0.5</v>
      </c>
      <c r="AH144" s="981" t="s">
        <v>641</v>
      </c>
      <c r="AI144" s="986" t="s">
        <v>641</v>
      </c>
      <c r="AJ144" s="986" t="s">
        <v>725</v>
      </c>
      <c r="AK144" s="1417" t="s">
        <v>725</v>
      </c>
      <c r="AL144" s="1415">
        <v>52</v>
      </c>
      <c r="AM144" s="1323">
        <v>46145</v>
      </c>
      <c r="AN144" s="1323"/>
      <c r="AO144" s="1323"/>
      <c r="AP144" s="1323"/>
      <c r="AQ144" s="1323"/>
      <c r="AR144" s="987"/>
      <c r="AS144" s="978" t="str">
        <f t="shared" si="28"/>
        <v>雙</v>
      </c>
      <c r="AT144" s="978" t="str">
        <f t="shared" si="29"/>
        <v>全</v>
      </c>
      <c r="AU144" s="978">
        <f t="shared" si="30"/>
        <v>150</v>
      </c>
      <c r="AV144" s="978">
        <f t="shared" si="31"/>
        <v>2.4425582399999999</v>
      </c>
    </row>
    <row r="145" spans="1:48">
      <c r="A145" s="975">
        <f t="shared" si="25"/>
        <v>46146</v>
      </c>
      <c r="B145" s="976" t="s">
        <v>231</v>
      </c>
      <c r="C145" s="976" t="s">
        <v>632</v>
      </c>
      <c r="D145" s="1410"/>
      <c r="E145" s="977" t="str">
        <f>IFERROR(VLOOKUP(C145, [6]條件!$A:$L, 5, 0), "")</f>
        <v/>
      </c>
      <c r="F145" s="978" t="str">
        <f>IFERROR(VLOOKUP(C145, [6]條件!$A:$L, 6, 0), "")</f>
        <v/>
      </c>
      <c r="G145" s="1411" t="str">
        <f>IFERROR(VLOOKUP(C145, [6]條件!$A:$L, 7, 0), "")</f>
        <v/>
      </c>
      <c r="H145" s="978" t="str">
        <f>IF(ISNA(VLOOKUP(C145,[6]條件!$A$1:$K$932,11,0)),"",(VLOOKUP(C145,[6]條件!$A$1:$K$932,11,0)))</f>
        <v/>
      </c>
      <c r="I145" s="979" t="str">
        <f>IF(ISNA(VLOOKUP(C145,[6]條件!$A$1:$L$932,12,0)),"",(VLOOKUP(C145,[6]條件!$A$1:$L$932,12,0)))</f>
        <v/>
      </c>
      <c r="J145" s="980"/>
      <c r="K145" s="980"/>
      <c r="L145" s="981" t="s">
        <v>632</v>
      </c>
      <c r="M145" s="981"/>
      <c r="N145" s="982"/>
      <c r="O145" s="980"/>
      <c r="P145" s="981" t="s">
        <v>632</v>
      </c>
      <c r="Q145" s="981"/>
      <c r="R145" s="982"/>
      <c r="S145" s="980"/>
      <c r="T145" s="981" t="s">
        <v>632</v>
      </c>
      <c r="U145" s="981"/>
      <c r="V145" s="982"/>
      <c r="W145" s="980"/>
      <c r="X145" s="981" t="s">
        <v>632</v>
      </c>
      <c r="Y145" s="983"/>
      <c r="Z145" s="1412" t="str">
        <f>IFERROR(VLOOKUP(C145, [6]條件!$A:$L, 3, 0), "")</f>
        <v/>
      </c>
      <c r="AA145" s="984" t="str">
        <f>IF(OR(L145={"改紡","檢修","了機","清車","FINAL","停機","SAMPLE","TEST","絲開發"}), L145, IFERROR(IF(C145="", "", (SUM(J145, N145, R145, V145)/3 * AG145) * IF(AND(AF145="S", AS145="雙"), 0.5, 1)), ""))</f>
        <v>停機</v>
      </c>
      <c r="AB145" s="1413" t="str">
        <f t="shared" si="23"/>
        <v/>
      </c>
      <c r="AC145" s="984" t="str">
        <f>IF(OR(L145={"改紡","檢修","了機","清車","FINAL","停機","SAMPLE","TEST"}), "", IFERROR(IF(C145="", "", AVERAGE(L145:M145, P145:Q145, T145:U145, X145:Y145)/100), ""))</f>
        <v/>
      </c>
      <c r="AD145" s="984" t="str">
        <f t="shared" si="26"/>
        <v/>
      </c>
      <c r="AE145" s="984" t="str">
        <f t="shared" si="24"/>
        <v/>
      </c>
      <c r="AF145" s="985" t="str">
        <f t="shared" si="27"/>
        <v>J</v>
      </c>
      <c r="AG145" s="1414">
        <v>1</v>
      </c>
      <c r="AH145" s="981" t="s">
        <v>637</v>
      </c>
      <c r="AI145" s="986" t="s">
        <v>637</v>
      </c>
      <c r="AJ145" s="986" t="s">
        <v>15370</v>
      </c>
      <c r="AK145" s="1417" t="s">
        <v>15370</v>
      </c>
      <c r="AL145" s="1415"/>
      <c r="AM145" s="1323"/>
      <c r="AN145" s="1323"/>
      <c r="AO145" s="1323"/>
      <c r="AP145" s="1323"/>
      <c r="AQ145" s="1323"/>
      <c r="AR145" s="987"/>
      <c r="AS145" s="978" t="str">
        <f t="shared" si="28"/>
        <v>單</v>
      </c>
      <c r="AT145" s="978" t="str">
        <f t="shared" si="29"/>
        <v>全</v>
      </c>
      <c r="AU145" s="978" t="str">
        <f t="shared" si="30"/>
        <v/>
      </c>
      <c r="AV145" s="978" t="str">
        <f t="shared" si="31"/>
        <v/>
      </c>
    </row>
    <row r="146" spans="1:48">
      <c r="A146" s="975">
        <f t="shared" si="25"/>
        <v>46146</v>
      </c>
      <c r="B146" s="976" t="s">
        <v>233</v>
      </c>
      <c r="C146" s="976" t="s">
        <v>16721</v>
      </c>
      <c r="D146" s="1410" t="s">
        <v>633</v>
      </c>
      <c r="E146" s="977" t="str">
        <f>IFERROR(VLOOKUP(C146, [6]條件!$A:$L, 5, 0), "")</f>
        <v>150/48/2SDr</v>
      </c>
      <c r="F146" s="978" t="str">
        <f>IFERROR(VLOOKUP(C146, [6]條件!$A:$L, 6, 0), "")</f>
        <v>FP82168R×2</v>
      </c>
      <c r="G146" s="1411">
        <f>IFERROR(VLOOKUP(C146, [6]條件!$A:$L, 7, 0), "")</f>
        <v>600</v>
      </c>
      <c r="H146" s="978" t="str">
        <f>IF(ISNA(VLOOKUP(C146,[6]條件!$A$1:$K$932,11,0)),"",(VLOOKUP(C146,[6]條件!$A$1:$K$932,11,0)))</f>
        <v>白紅愛心</v>
      </c>
      <c r="I146" s="979">
        <f>IF(ISNA(VLOOKUP(C146,[6]條件!$A$1:$L$932,12,0)),"",(VLOOKUP(C146,[6]條件!$A$1:$L$932,12,0)))</f>
        <v>5.5</v>
      </c>
      <c r="J146" s="980">
        <v>14</v>
      </c>
      <c r="K146" s="980">
        <v>4</v>
      </c>
      <c r="L146" s="981">
        <v>6810</v>
      </c>
      <c r="M146" s="981"/>
      <c r="N146" s="982">
        <v>8</v>
      </c>
      <c r="O146" s="980">
        <v>1</v>
      </c>
      <c r="P146" s="981">
        <v>6870</v>
      </c>
      <c r="Q146" s="981"/>
      <c r="R146" s="982">
        <v>25</v>
      </c>
      <c r="S146" s="980">
        <v>0</v>
      </c>
      <c r="T146" s="981">
        <v>6510</v>
      </c>
      <c r="U146" s="981"/>
      <c r="V146" s="982">
        <v>34</v>
      </c>
      <c r="W146" s="980">
        <v>0</v>
      </c>
      <c r="X146" s="981">
        <v>6820</v>
      </c>
      <c r="Y146" s="983"/>
      <c r="Z146" s="1412">
        <f>IFERROR(VLOOKUP(C146, [6]條件!$A:$L, 3, 0), "")</f>
        <v>5.0883392226148398</v>
      </c>
      <c r="AA146" s="984">
        <f>IF(OR(L146={"改紡","檢修","了機","清車","FINAL","停機","SAMPLE","TEST","絲開發"}), L146, IFERROR(IF(C146="", "", (SUM(J146, N146, R146, V146)/3 * AG146) * IF(AND(AF146="S", AS146="雙"), 0.5, 1)), ""))</f>
        <v>27</v>
      </c>
      <c r="AB146" s="1413">
        <f t="shared" si="23"/>
        <v>0.9952757745726496</v>
      </c>
      <c r="AC146" s="984">
        <f>IF(OR(L146={"改紡","檢修","了機","清車","FINAL","停機","SAMPLE","TEST"}), "", IFERROR(IF(C146="", "", AVERAGE(L146:M146, P146:Q146, T146:U146, X146:Y146)/100), ""))</f>
        <v>67.525000000000006</v>
      </c>
      <c r="AD146" s="984">
        <f t="shared" si="26"/>
        <v>3.375</v>
      </c>
      <c r="AE146" s="984">
        <f t="shared" si="24"/>
        <v>3.1666666666666665</v>
      </c>
      <c r="AF146" s="985" t="str">
        <f t="shared" si="27"/>
        <v>J</v>
      </c>
      <c r="AG146" s="1414">
        <v>1</v>
      </c>
      <c r="AH146" s="981" t="s">
        <v>637</v>
      </c>
      <c r="AI146" s="986" t="s">
        <v>637</v>
      </c>
      <c r="AJ146" s="1002" t="s">
        <v>15370</v>
      </c>
      <c r="AK146" s="981" t="s">
        <v>15370</v>
      </c>
      <c r="AL146" s="1415">
        <v>55</v>
      </c>
      <c r="AM146" s="1323">
        <v>46140</v>
      </c>
      <c r="AN146" s="1323">
        <v>46141</v>
      </c>
      <c r="AO146" s="1323">
        <v>46142</v>
      </c>
      <c r="AP146" s="1323"/>
      <c r="AQ146" s="1323"/>
      <c r="AR146" s="987"/>
      <c r="AS146" s="978" t="str">
        <f t="shared" si="28"/>
        <v>雙</v>
      </c>
      <c r="AT146" s="978" t="str">
        <f t="shared" si="29"/>
        <v>全</v>
      </c>
      <c r="AU146" s="978">
        <f t="shared" si="30"/>
        <v>150</v>
      </c>
      <c r="AV146" s="978">
        <f t="shared" si="31"/>
        <v>4.2005952000000004</v>
      </c>
    </row>
    <row r="147" spans="1:48">
      <c r="A147" s="975">
        <f t="shared" si="25"/>
        <v>46146</v>
      </c>
      <c r="B147" s="976" t="s">
        <v>234</v>
      </c>
      <c r="C147" s="976" t="s">
        <v>632</v>
      </c>
      <c r="D147" s="1410"/>
      <c r="E147" s="977" t="str">
        <f>IFERROR(VLOOKUP(C147, [6]條件!$A:$L, 5, 0), "")</f>
        <v/>
      </c>
      <c r="F147" s="978" t="str">
        <f>IFERROR(VLOOKUP(C147, [6]條件!$A:$L, 6, 0), "")</f>
        <v/>
      </c>
      <c r="G147" s="1411" t="str">
        <f>IFERROR(VLOOKUP(C147, [6]條件!$A:$L, 7, 0), "")</f>
        <v/>
      </c>
      <c r="H147" s="978" t="str">
        <f>IF(ISNA(VLOOKUP(C147,[6]條件!$A$1:$K$932,11,0)),"",(VLOOKUP(C147,[6]條件!$A$1:$K$932,11,0)))</f>
        <v/>
      </c>
      <c r="I147" s="979" t="str">
        <f>IF(ISNA(VLOOKUP(C147,[6]條件!$A$1:$L$932,12,0)),"",(VLOOKUP(C147,[6]條件!$A$1:$L$932,12,0)))</f>
        <v/>
      </c>
      <c r="J147" s="980"/>
      <c r="K147" s="980"/>
      <c r="L147" s="981" t="s">
        <v>632</v>
      </c>
      <c r="M147" s="981"/>
      <c r="N147" s="982"/>
      <c r="O147" s="980"/>
      <c r="P147" s="981" t="s">
        <v>632</v>
      </c>
      <c r="Q147" s="981"/>
      <c r="R147" s="982"/>
      <c r="S147" s="980"/>
      <c r="T147" s="981" t="s">
        <v>632</v>
      </c>
      <c r="U147" s="981"/>
      <c r="V147" s="982"/>
      <c r="W147" s="980"/>
      <c r="X147" s="981" t="s">
        <v>632</v>
      </c>
      <c r="Y147" s="983"/>
      <c r="Z147" s="1412" t="str">
        <f>IFERROR(VLOOKUP(C147, [6]條件!$A:$L, 3, 0), "")</f>
        <v/>
      </c>
      <c r="AA147" s="984" t="str">
        <f>IF(OR(L147={"改紡","檢修","了機","清車","FINAL","停機","SAMPLE","TEST","絲開發"}), L147, IFERROR(IF(C147="", "", (SUM(J147, N147, R147, V147)/3 * AG147) * IF(AND(AF147="S", AS147="雙"), 0.5, 1)), ""))</f>
        <v>停機</v>
      </c>
      <c r="AB147" s="1413" t="str">
        <f t="shared" si="23"/>
        <v/>
      </c>
      <c r="AC147" s="984" t="str">
        <f>IF(OR(L147={"改紡","檢修","了機","清車","FINAL","停機","SAMPLE","TEST"}), "", IFERROR(IF(C147="", "", AVERAGE(L147:M147, P147:Q147, T147:U147, X147:Y147)/100), ""))</f>
        <v/>
      </c>
      <c r="AD147" s="984" t="str">
        <f t="shared" si="26"/>
        <v/>
      </c>
      <c r="AE147" s="984" t="str">
        <f t="shared" si="24"/>
        <v/>
      </c>
      <c r="AF147" s="985" t="str">
        <f t="shared" si="27"/>
        <v>J</v>
      </c>
      <c r="AG147" s="1414">
        <v>1</v>
      </c>
      <c r="AH147" s="981" t="s">
        <v>637</v>
      </c>
      <c r="AI147" s="986" t="s">
        <v>637</v>
      </c>
      <c r="AJ147" s="986" t="s">
        <v>15370</v>
      </c>
      <c r="AK147" s="1417" t="s">
        <v>15370</v>
      </c>
      <c r="AL147" s="1415"/>
      <c r="AM147" s="1323"/>
      <c r="AN147" s="1323"/>
      <c r="AO147" s="1323"/>
      <c r="AP147" s="1323"/>
      <c r="AQ147" s="1323"/>
      <c r="AR147" s="987"/>
      <c r="AS147" s="978" t="str">
        <f t="shared" si="28"/>
        <v>單</v>
      </c>
      <c r="AT147" s="978" t="str">
        <f t="shared" si="29"/>
        <v>全</v>
      </c>
      <c r="AU147" s="978" t="str">
        <f t="shared" si="30"/>
        <v/>
      </c>
      <c r="AV147" s="978" t="str">
        <f t="shared" si="31"/>
        <v/>
      </c>
    </row>
    <row r="148" spans="1:48">
      <c r="A148" s="975">
        <f t="shared" si="25"/>
        <v>46146</v>
      </c>
      <c r="B148" s="976" t="s">
        <v>235</v>
      </c>
      <c r="C148" s="976" t="s">
        <v>16716</v>
      </c>
      <c r="D148" s="1410" t="s">
        <v>633</v>
      </c>
      <c r="E148" s="977" t="str">
        <f>IFERROR(VLOOKUP(C148, [6]條件!$A:$L, 5, 0), "")</f>
        <v>150/48/2SDr</v>
      </c>
      <c r="F148" s="978" t="str">
        <f>IFERROR(VLOOKUP(C148, [6]條件!$A:$L, 6, 0), "")</f>
        <v>FP82170R×2</v>
      </c>
      <c r="G148" s="1411">
        <f>IFERROR(VLOOKUP(C148, [6]條件!$A:$L, 7, 0), "")</f>
        <v>700</v>
      </c>
      <c r="H148" s="978" t="str">
        <f>IF(ISNA(VLOOKUP(C148,[6]條件!$A$1:$K$932,11,0)),"",(VLOOKUP(C148,[6]條件!$A$1:$K$932,11,0)))</f>
        <v>紫色</v>
      </c>
      <c r="I148" s="979">
        <f>IF(ISNA(VLOOKUP(C148,[6]條件!$A$1:$L$932,12,0)),"",(VLOOKUP(C148,[6]條件!$A$1:$L$932,12,0)))</f>
        <v>5.5</v>
      </c>
      <c r="J148" s="980">
        <v>36</v>
      </c>
      <c r="K148" s="980">
        <v>0</v>
      </c>
      <c r="L148" s="981">
        <v>6850</v>
      </c>
      <c r="M148" s="981">
        <v>8892</v>
      </c>
      <c r="N148" s="982">
        <v>18</v>
      </c>
      <c r="O148" s="980">
        <v>0</v>
      </c>
      <c r="P148" s="981">
        <v>7310</v>
      </c>
      <c r="Q148" s="981">
        <v>8240</v>
      </c>
      <c r="R148" s="982">
        <v>0</v>
      </c>
      <c r="S148" s="980">
        <v>0</v>
      </c>
      <c r="T148" s="981">
        <v>6940</v>
      </c>
      <c r="U148" s="981">
        <v>7960</v>
      </c>
      <c r="V148" s="982"/>
      <c r="W148" s="980"/>
      <c r="X148" s="981" t="s">
        <v>632</v>
      </c>
      <c r="Y148" s="983"/>
      <c r="Z148" s="1412">
        <f>IFERROR(VLOOKUP(C148, [6]條件!$A:$L, 3, 0), "")</f>
        <v>5.9016393442622928</v>
      </c>
      <c r="AA148" s="984">
        <f>IF(OR(L148={"改紡","檢修","了機","清車","FINAL","停機","SAMPLE","TEST","絲開發"}), L148, IFERROR(IF(C148="", "", (SUM(J148, N148, R148, V148)/3 * AG148) * IF(AND(AF148="S", AS148="雙"), 0.5, 1)), ""))</f>
        <v>18</v>
      </c>
      <c r="AB148" s="1413">
        <f t="shared" si="23"/>
        <v>1</v>
      </c>
      <c r="AC148" s="984">
        <f>IF(OR(L148={"改紡","檢修","了機","清車","FINAL","停機","SAMPLE","TEST"}), "", IFERROR(IF(C148="", "", AVERAGE(L148:M148, P148:Q148, T148:U148, X148:Y148)/100), ""))</f>
        <v>76.986666666666665</v>
      </c>
      <c r="AD148" s="984">
        <f t="shared" si="26"/>
        <v>2.25</v>
      </c>
      <c r="AE148" s="984">
        <f t="shared" si="24"/>
        <v>2.25</v>
      </c>
      <c r="AF148" s="985" t="str">
        <f t="shared" si="27"/>
        <v>T</v>
      </c>
      <c r="AG148" s="1414">
        <v>1</v>
      </c>
      <c r="AH148" s="981" t="s">
        <v>651</v>
      </c>
      <c r="AI148" s="986" t="s">
        <v>651</v>
      </c>
      <c r="AJ148" s="986" t="s">
        <v>652</v>
      </c>
      <c r="AK148" s="1417" t="s">
        <v>652</v>
      </c>
      <c r="AL148" s="1415">
        <v>56</v>
      </c>
      <c r="AM148" s="1323">
        <v>46141</v>
      </c>
      <c r="AN148" s="1323">
        <v>46142</v>
      </c>
      <c r="AO148" s="1323">
        <v>46143</v>
      </c>
      <c r="AP148" s="1323">
        <v>46144</v>
      </c>
      <c r="AQ148" s="1323"/>
      <c r="AR148" s="987"/>
      <c r="AS148" s="978" t="str">
        <f t="shared" si="28"/>
        <v>雙</v>
      </c>
      <c r="AT148" s="978" t="str">
        <f t="shared" si="29"/>
        <v>全</v>
      </c>
      <c r="AU148" s="978">
        <f t="shared" si="30"/>
        <v>150</v>
      </c>
      <c r="AV148" s="978">
        <f t="shared" si="31"/>
        <v>5.58738432</v>
      </c>
    </row>
    <row r="149" spans="1:48">
      <c r="A149" s="975">
        <f t="shared" si="25"/>
        <v>46146</v>
      </c>
      <c r="B149" s="976" t="s">
        <v>237</v>
      </c>
      <c r="C149" s="976" t="s">
        <v>16720</v>
      </c>
      <c r="D149" s="1410" t="s">
        <v>633</v>
      </c>
      <c r="E149" s="977" t="str">
        <f>IFERROR(VLOOKUP(C149, [6]條件!$A:$L, 5, 0), "")</f>
        <v>150/48/2SDr</v>
      </c>
      <c r="F149" s="978" t="str">
        <f>IFERROR(VLOOKUP(C149, [6]條件!$A:$L, 6, 0), "")</f>
        <v>FP82168R×2</v>
      </c>
      <c r="G149" s="1411">
        <f>IFERROR(VLOOKUP(C149, [6]條件!$A:$L, 7, 0), "")</f>
        <v>700</v>
      </c>
      <c r="H149" s="978" t="str">
        <f>IF(ISNA(VLOOKUP(C149,[6]條件!$A$1:$K$932,11,0)),"",(VLOOKUP(C149,[6]條件!$A$1:$K$932,11,0)))</f>
        <v>紫底白點</v>
      </c>
      <c r="I149" s="979">
        <f>IF(ISNA(VLOOKUP(C149,[6]條件!$A$1:$L$932,12,0)),"",(VLOOKUP(C149,[6]條件!$A$1:$L$932,12,0)))</f>
        <v>5.5</v>
      </c>
      <c r="J149" s="980"/>
      <c r="K149" s="980"/>
      <c r="L149" s="981" t="s">
        <v>127</v>
      </c>
      <c r="M149" s="981"/>
      <c r="N149" s="982"/>
      <c r="O149" s="980"/>
      <c r="P149" s="981" t="s">
        <v>127</v>
      </c>
      <c r="Q149" s="981"/>
      <c r="R149" s="982"/>
      <c r="S149" s="980"/>
      <c r="T149" s="981" t="s">
        <v>627</v>
      </c>
      <c r="U149" s="981"/>
      <c r="V149" s="982"/>
      <c r="W149" s="980"/>
      <c r="X149" s="981" t="s">
        <v>632</v>
      </c>
      <c r="Y149" s="983"/>
      <c r="Z149" s="1412">
        <f>IFERROR(VLOOKUP(C149, [6]條件!$A:$L, 3, 0), "")</f>
        <v>5.8299595141700395</v>
      </c>
      <c r="AA149" s="984" t="str">
        <f>IF(OR(L149={"改紡","檢修","了機","清車","FINAL","停機","SAMPLE","TEST","絲開發"}), L149, IFERROR(IF(C149="", "", (SUM(J149, N149, R149, V149)/3 * AG149) * IF(AND(AF149="S", AS149="雙"), 0.5, 1)), ""))</f>
        <v>了機</v>
      </c>
      <c r="AB149" s="1413" t="str">
        <f t="shared" si="23"/>
        <v/>
      </c>
      <c r="AC149" s="984" t="str">
        <f>IF(OR(L149={"改紡","檢修","了機","清車","FINAL","停機","SAMPLE","TEST"}), "", IFERROR(IF(C149="", "", AVERAGE(L149:M149, P149:Q149, T149:U149, X149:Y149)/100), ""))</f>
        <v/>
      </c>
      <c r="AD149" s="984" t="str">
        <f t="shared" si="26"/>
        <v/>
      </c>
      <c r="AE149" s="984" t="str">
        <f t="shared" si="24"/>
        <v/>
      </c>
      <c r="AF149" s="985" t="str">
        <f t="shared" si="27"/>
        <v>T</v>
      </c>
      <c r="AG149" s="1414">
        <v>1</v>
      </c>
      <c r="AH149" s="981" t="s">
        <v>15337</v>
      </c>
      <c r="AI149" s="986" t="s">
        <v>15337</v>
      </c>
      <c r="AJ149" s="986" t="s">
        <v>639</v>
      </c>
      <c r="AK149" s="1417" t="s">
        <v>639</v>
      </c>
      <c r="AL149" s="1415">
        <v>55</v>
      </c>
      <c r="AM149" s="1323">
        <v>46137</v>
      </c>
      <c r="AN149" s="1323">
        <v>46140</v>
      </c>
      <c r="AO149" s="1323">
        <v>46141</v>
      </c>
      <c r="AP149" s="1323">
        <v>46142</v>
      </c>
      <c r="AQ149" s="1323"/>
      <c r="AR149" s="987"/>
      <c r="AS149" s="978" t="str">
        <f t="shared" si="28"/>
        <v>雙</v>
      </c>
      <c r="AT149" s="978" t="str">
        <f t="shared" si="29"/>
        <v>全</v>
      </c>
      <c r="AU149" s="978">
        <f t="shared" si="30"/>
        <v>150</v>
      </c>
      <c r="AV149" s="978" t="str">
        <f t="shared" si="31"/>
        <v/>
      </c>
    </row>
    <row r="150" spans="1:48">
      <c r="A150" s="975">
        <f t="shared" si="25"/>
        <v>46146</v>
      </c>
      <c r="B150" s="976" t="s">
        <v>238</v>
      </c>
      <c r="C150" s="976" t="s">
        <v>16743</v>
      </c>
      <c r="D150" s="1410"/>
      <c r="E150" s="977" t="str">
        <f>IFERROR(VLOOKUP(C150, [6]條件!$A:$L, 5, 0), "")</f>
        <v>150/48/2SDr</v>
      </c>
      <c r="F150" s="978" t="str">
        <f>IFERROR(VLOOKUP(C150, [6]條件!$A:$L, 6, 0), "")</f>
        <v>FP82169R×2</v>
      </c>
      <c r="G150" s="1411">
        <f>IFERROR(VLOOKUP(C150, [6]條件!$A:$L, 7, 0), "")</f>
        <v>670</v>
      </c>
      <c r="H150" s="978" t="str">
        <f>IF(ISNA(VLOOKUP(C150,[6]條件!$A$1:$K$932,11,0)),"",(VLOOKUP(C150,[6]條件!$A$1:$K$932,11,0)))</f>
        <v>黃底紅點</v>
      </c>
      <c r="I150" s="979">
        <f>IF(ISNA(VLOOKUP(C150,[6]條件!$A$1:$L$932,12,0)),"",(VLOOKUP(C150,[6]條件!$A$1:$L$932,12,0)))</f>
        <v>5</v>
      </c>
      <c r="J150" s="980">
        <v>22</v>
      </c>
      <c r="K150" s="980">
        <v>0</v>
      </c>
      <c r="L150" s="981">
        <v>8610</v>
      </c>
      <c r="M150" s="981"/>
      <c r="N150" s="982">
        <v>12</v>
      </c>
      <c r="O150" s="980">
        <v>0</v>
      </c>
      <c r="P150" s="981">
        <v>8700</v>
      </c>
      <c r="Q150" s="981"/>
      <c r="R150" s="982">
        <v>17</v>
      </c>
      <c r="S150" s="980">
        <v>0</v>
      </c>
      <c r="T150" s="981">
        <v>8330</v>
      </c>
      <c r="U150" s="981"/>
      <c r="V150" s="982">
        <v>21</v>
      </c>
      <c r="W150" s="980">
        <v>0</v>
      </c>
      <c r="X150" s="981">
        <v>9170</v>
      </c>
      <c r="Y150" s="983"/>
      <c r="Z150" s="1412">
        <f>IFERROR(VLOOKUP(C150, [6]條件!$A:$L, 3, 0), "")</f>
        <v>6.2882096069868991</v>
      </c>
      <c r="AA150" s="984">
        <f>IF(OR(L150={"改紡","檢修","了機","清車","FINAL","停機","SAMPLE","TEST","絲開發"}), L150, IFERROR(IF(C150="", "", (SUM(J150, N150, R150, V150)/3 * AG150) * IF(AND(AF150="S", AS150="雙"), 0.5, 1)), ""))</f>
        <v>48</v>
      </c>
      <c r="AB150" s="1413">
        <f t="shared" si="23"/>
        <v>1</v>
      </c>
      <c r="AC150" s="984">
        <f>IF(OR(L150={"改紡","檢修","了機","清車","FINAL","停機","SAMPLE","TEST"}), "", IFERROR(IF(C150="", "", AVERAGE(L150:M150, P150:Q150, T150:U150, X150:Y150)/100), ""))</f>
        <v>87.025000000000006</v>
      </c>
      <c r="AD150" s="984">
        <f t="shared" si="26"/>
        <v>6</v>
      </c>
      <c r="AE150" s="984">
        <f t="shared" si="24"/>
        <v>6</v>
      </c>
      <c r="AF150" s="985" t="str">
        <f t="shared" si="27"/>
        <v>T</v>
      </c>
      <c r="AG150" s="1414">
        <v>2</v>
      </c>
      <c r="AH150" s="981" t="s">
        <v>651</v>
      </c>
      <c r="AI150" s="986" t="s">
        <v>651</v>
      </c>
      <c r="AJ150" s="986" t="s">
        <v>652</v>
      </c>
      <c r="AK150" s="1417" t="s">
        <v>652</v>
      </c>
      <c r="AL150" s="1415">
        <v>48</v>
      </c>
      <c r="AM150" s="1323">
        <v>46144</v>
      </c>
      <c r="AN150" s="1323">
        <v>46145</v>
      </c>
      <c r="AO150" s="1323"/>
      <c r="AP150" s="1323"/>
      <c r="AQ150" s="1323"/>
      <c r="AR150" s="987"/>
      <c r="AS150" s="978" t="str">
        <f t="shared" si="28"/>
        <v>雙</v>
      </c>
      <c r="AT150" s="978" t="str">
        <f t="shared" si="29"/>
        <v>半</v>
      </c>
      <c r="AU150" s="978">
        <f t="shared" si="30"/>
        <v>150</v>
      </c>
      <c r="AV150" s="978">
        <f t="shared" si="31"/>
        <v>3.0226219199999997</v>
      </c>
    </row>
    <row r="151" spans="1:48">
      <c r="A151" s="975">
        <f t="shared" si="25"/>
        <v>46146</v>
      </c>
      <c r="B151" s="976" t="s">
        <v>238</v>
      </c>
      <c r="C151" s="976" t="s">
        <v>16742</v>
      </c>
      <c r="D151" s="1410"/>
      <c r="E151" s="977" t="str">
        <f>IFERROR(VLOOKUP(C151, [6]條件!$A:$L, 5, 0), "")</f>
        <v>150/48/2SDr</v>
      </c>
      <c r="F151" s="978" t="str">
        <f>IFERROR(VLOOKUP(C151, [6]條件!$A:$L, 6, 0), "")</f>
        <v>FP82169R×2</v>
      </c>
      <c r="G151" s="1411">
        <f>IFERROR(VLOOKUP(C151, [6]條件!$A:$L, 7, 0), "")</f>
        <v>670</v>
      </c>
      <c r="H151" s="978" t="str">
        <f>IF(ISNA(VLOOKUP(C151,[6]條件!$A$1:$K$932,11,0)),"",(VLOOKUP(C151,[6]條件!$A$1:$K$932,11,0)))</f>
        <v>紅底藍點</v>
      </c>
      <c r="I151" s="979">
        <f>IF(ISNA(VLOOKUP(C151,[6]條件!$A$1:$L$932,12,0)),"",(VLOOKUP(C151,[6]條件!$A$1:$L$932,12,0)))</f>
        <v>5</v>
      </c>
      <c r="J151" s="980">
        <v>16</v>
      </c>
      <c r="K151" s="980">
        <v>0</v>
      </c>
      <c r="L151" s="981"/>
      <c r="M151" s="981">
        <v>8610</v>
      </c>
      <c r="N151" s="982">
        <v>16</v>
      </c>
      <c r="O151" s="980">
        <v>0</v>
      </c>
      <c r="P151" s="981"/>
      <c r="Q151" s="981">
        <v>9170</v>
      </c>
      <c r="R151" s="982">
        <v>14</v>
      </c>
      <c r="S151" s="980">
        <v>0</v>
      </c>
      <c r="T151" s="981"/>
      <c r="U151" s="981">
        <v>9260</v>
      </c>
      <c r="V151" s="982">
        <v>27</v>
      </c>
      <c r="W151" s="980">
        <v>0</v>
      </c>
      <c r="X151" s="981"/>
      <c r="Y151" s="983">
        <v>9070</v>
      </c>
      <c r="Z151" s="1412">
        <f>IFERROR(VLOOKUP(C151, [6]條件!$A:$L, 3, 0), "")</f>
        <v>6.1802575107296125</v>
      </c>
      <c r="AA151" s="984">
        <f>IF(OR(L151={"改紡","檢修","了機","清車","FINAL","停機","SAMPLE","TEST","絲開發"}), L151, IFERROR(IF(C151="", "", (SUM(J151, N151, R151, V151)/3 * AG151) * IF(AND(AF151="S", AS151="雙"), 0.5, 1)), ""))</f>
        <v>48.666666666666664</v>
      </c>
      <c r="AB151" s="1413">
        <f t="shared" si="23"/>
        <v>1</v>
      </c>
      <c r="AC151" s="984">
        <f>IF(OR(L151={"改紡","檢修","了機","清車","FINAL","停機","SAMPLE","TEST"}), "", IFERROR(IF(C151="", "", AVERAGE(L151:M151, P151:Q151, T151:U151, X151:Y151)/100), ""))</f>
        <v>90.275000000000006</v>
      </c>
      <c r="AD151" s="984">
        <f t="shared" si="26"/>
        <v>6.083333333333333</v>
      </c>
      <c r="AE151" s="984">
        <f t="shared" si="24"/>
        <v>6.083333333333333</v>
      </c>
      <c r="AF151" s="985" t="str">
        <f t="shared" si="27"/>
        <v>T</v>
      </c>
      <c r="AG151" s="1414">
        <v>2</v>
      </c>
      <c r="AH151" s="981" t="s">
        <v>651</v>
      </c>
      <c r="AI151" s="986" t="s">
        <v>651</v>
      </c>
      <c r="AJ151" s="986" t="s">
        <v>652</v>
      </c>
      <c r="AK151" s="1417" t="s">
        <v>652</v>
      </c>
      <c r="AL151" s="1415">
        <v>48</v>
      </c>
      <c r="AM151" s="1323">
        <v>46144</v>
      </c>
      <c r="AN151" s="1323">
        <v>46145</v>
      </c>
      <c r="AO151" s="1323"/>
      <c r="AP151" s="1323"/>
      <c r="AQ151" s="1323"/>
      <c r="AR151" s="987"/>
      <c r="AS151" s="978" t="str">
        <f t="shared" si="28"/>
        <v>雙</v>
      </c>
      <c r="AT151" s="978" t="str">
        <f t="shared" si="29"/>
        <v>半</v>
      </c>
      <c r="AU151" s="978">
        <f t="shared" si="30"/>
        <v>150</v>
      </c>
      <c r="AV151" s="978">
        <f t="shared" si="31"/>
        <v>3.1355035200000003</v>
      </c>
    </row>
    <row r="152" spans="1:48">
      <c r="A152" s="975">
        <f t="shared" si="25"/>
        <v>46146</v>
      </c>
      <c r="B152" s="976" t="s">
        <v>239</v>
      </c>
      <c r="C152" s="976" t="s">
        <v>16735</v>
      </c>
      <c r="D152" s="1410"/>
      <c r="E152" s="977" t="str">
        <f>IFERROR(VLOOKUP(C152, [6]條件!$A:$L, 5, 0), "")</f>
        <v>150/48/2SR6</v>
      </c>
      <c r="F152" s="978" t="str">
        <f>IFERROR(VLOOKUP(C152, [6]條件!$A:$L, 6, 0), "")</f>
        <v>FP82658×2</v>
      </c>
      <c r="G152" s="1411">
        <f>IFERROR(VLOOKUP(C152, [6]條件!$A:$L, 7, 0), "")</f>
        <v>600</v>
      </c>
      <c r="H152" s="978" t="str">
        <f>IF(ISNA(VLOOKUP(C152,[6]條件!$A$1:$K$932,11,0)),"",(VLOOKUP(C152,[6]條件!$A$1:$K$932,11,0)))</f>
        <v>黃底黑點</v>
      </c>
      <c r="I152" s="979">
        <f>IF(ISNA(VLOOKUP(C152,[6]條件!$A$1:$L$932,12,0)),"",(VLOOKUP(C152,[6]條件!$A$1:$L$932,12,0)))</f>
        <v>5.5</v>
      </c>
      <c r="J152" s="980">
        <v>31</v>
      </c>
      <c r="K152" s="980">
        <v>0</v>
      </c>
      <c r="L152" s="981"/>
      <c r="M152" s="981">
        <v>5830</v>
      </c>
      <c r="N152" s="982">
        <v>32</v>
      </c>
      <c r="O152" s="980">
        <v>0</v>
      </c>
      <c r="P152" s="981" t="s">
        <v>632</v>
      </c>
      <c r="Q152" s="981">
        <v>7130</v>
      </c>
      <c r="R152" s="982">
        <v>27</v>
      </c>
      <c r="S152" s="980">
        <v>2</v>
      </c>
      <c r="T152" s="981" t="s">
        <v>632</v>
      </c>
      <c r="U152" s="981">
        <v>8330</v>
      </c>
      <c r="V152" s="982">
        <v>25</v>
      </c>
      <c r="W152" s="980">
        <v>2</v>
      </c>
      <c r="X152" s="981" t="s">
        <v>632</v>
      </c>
      <c r="Y152" s="983">
        <v>8150</v>
      </c>
      <c r="Z152" s="1412">
        <f>IFERROR(VLOOKUP(C152, [6]條件!$A:$L, 3, 0), "")</f>
        <v>4.9655172413793105</v>
      </c>
      <c r="AA152" s="984">
        <f>IF(OR(L152={"改紡","檢修","了機","清車","FINAL","停機","SAMPLE","TEST","絲開發"}), L152, IFERROR(IF(C152="", "", (SUM(J152, N152, R152, V152)/3 * AG152) * IF(AND(AF152="S", AS152="雙"), 0.5, 1)), ""))</f>
        <v>76.666666666666671</v>
      </c>
      <c r="AB152" s="1413">
        <f t="shared" si="23"/>
        <v>0.99612713675213671</v>
      </c>
      <c r="AC152" s="984">
        <f>IF(OR(L152={"改紡","檢修","了機","清車","FINAL","停機","SAMPLE","TEST"}), "", IFERROR(IF(C152="", "", AVERAGE(L152:M152, P152:Q152, T152:U152, X152:Y152)/100), ""))</f>
        <v>73.599999999999994</v>
      </c>
      <c r="AD152" s="984">
        <f t="shared" si="26"/>
        <v>9.5833333333333339</v>
      </c>
      <c r="AE152" s="984">
        <f t="shared" si="24"/>
        <v>9.25</v>
      </c>
      <c r="AF152" s="985" t="str">
        <f t="shared" si="27"/>
        <v>T</v>
      </c>
      <c r="AG152" s="1414">
        <v>2</v>
      </c>
      <c r="AH152" s="981" t="s">
        <v>15337</v>
      </c>
      <c r="AI152" s="986" t="s">
        <v>15337</v>
      </c>
      <c r="AJ152" s="986" t="s">
        <v>639</v>
      </c>
      <c r="AK152" s="1417" t="s">
        <v>639</v>
      </c>
      <c r="AL152" s="1415">
        <v>56</v>
      </c>
      <c r="AM152" s="1323">
        <v>46117</v>
      </c>
      <c r="AN152" s="1323">
        <v>46118</v>
      </c>
      <c r="AO152" s="1323"/>
      <c r="AP152" s="1323"/>
      <c r="AQ152" s="1323"/>
      <c r="AR152" s="987"/>
      <c r="AS152" s="978" t="str">
        <f t="shared" si="28"/>
        <v>雙</v>
      </c>
      <c r="AT152" s="978" t="str">
        <f t="shared" si="29"/>
        <v>半</v>
      </c>
      <c r="AU152" s="978">
        <f t="shared" si="30"/>
        <v>150</v>
      </c>
      <c r="AV152" s="978">
        <f t="shared" si="31"/>
        <v>2.2892543999999999</v>
      </c>
    </row>
    <row r="153" spans="1:48">
      <c r="A153" s="975">
        <f t="shared" si="25"/>
        <v>46146</v>
      </c>
      <c r="B153" s="976" t="s">
        <v>388</v>
      </c>
      <c r="C153" s="976" t="s">
        <v>16730</v>
      </c>
      <c r="D153" s="1410" t="s">
        <v>633</v>
      </c>
      <c r="E153" s="977" t="str">
        <f>IFERROR(VLOOKUP(C153, [6]條件!$A:$L, 5, 0), "")</f>
        <v>225/72/2SDr</v>
      </c>
      <c r="F153" s="978" t="str">
        <f>IFERROR(VLOOKUP(C153, [6]條件!$A:$L, 6, 0), "")</f>
        <v>FP83024R×2</v>
      </c>
      <c r="G153" s="1411">
        <f>IFERROR(VLOOKUP(C153, [6]條件!$A:$L, 7, 0), "")</f>
        <v>550</v>
      </c>
      <c r="H153" s="978" t="str">
        <f>IF(ISNA(VLOOKUP(C153,[6]條件!$A$1:$K$932,11,0)),"",(VLOOKUP(C153,[6]條件!$A$1:$K$932,11,0)))</f>
        <v>灰色</v>
      </c>
      <c r="I153" s="979">
        <f>IF(ISNA(VLOOKUP(C153,[6]條件!$A$1:$L$932,12,0)),"",(VLOOKUP(C153,[6]條件!$A$1:$L$932,12,0)))</f>
        <v>5.5</v>
      </c>
      <c r="J153" s="980">
        <v>17</v>
      </c>
      <c r="K153" s="980">
        <v>0</v>
      </c>
      <c r="L153" s="981">
        <v>7040</v>
      </c>
      <c r="M153" s="981"/>
      <c r="N153" s="982">
        <v>7</v>
      </c>
      <c r="O153" s="980">
        <v>0</v>
      </c>
      <c r="P153" s="981">
        <v>7200</v>
      </c>
      <c r="Q153" s="981"/>
      <c r="R153" s="982">
        <v>8</v>
      </c>
      <c r="S153" s="980">
        <v>0</v>
      </c>
      <c r="T153" s="981">
        <v>7410</v>
      </c>
      <c r="U153" s="981"/>
      <c r="V153" s="982">
        <v>10</v>
      </c>
      <c r="W153" s="980">
        <v>0</v>
      </c>
      <c r="X153" s="981">
        <v>7410</v>
      </c>
      <c r="Y153" s="983"/>
      <c r="Z153" s="1412">
        <f>IFERROR(VLOOKUP(C153, [6]條件!$A:$L, 3, 0), "")</f>
        <v>6.6055045871559628</v>
      </c>
      <c r="AA153" s="984">
        <f>IF(OR(L153={"改紡","檢修","了機","清車","FINAL","停機","SAMPLE","TEST","絲開發"}), L153, IFERROR(IF(C153="", "", (SUM(J153, N153, R153, V153)/3 * AG153) * IF(AND(AF153="S", AS153="雙"), 0.5, 1)), ""))</f>
        <v>28</v>
      </c>
      <c r="AB153" s="1413">
        <f t="shared" si="23"/>
        <v>1</v>
      </c>
      <c r="AC153" s="984">
        <f>IF(OR(L153={"改紡","檢修","了機","清車","FINAL","停機","SAMPLE","TEST"}), "", IFERROR(IF(C153="", "", AVERAGE(L153:M153, P153:Q153, T153:U153, X153:Y153)/100), ""))</f>
        <v>72.650000000000006</v>
      </c>
      <c r="AD153" s="984">
        <f t="shared" si="26"/>
        <v>3.5</v>
      </c>
      <c r="AE153" s="984">
        <f t="shared" si="24"/>
        <v>3.5</v>
      </c>
      <c r="AF153" s="985" t="str">
        <f t="shared" si="27"/>
        <v>T</v>
      </c>
      <c r="AG153" s="1414">
        <v>2</v>
      </c>
      <c r="AH153" s="981" t="s">
        <v>651</v>
      </c>
      <c r="AI153" s="986" t="s">
        <v>651</v>
      </c>
      <c r="AJ153" s="986" t="s">
        <v>652</v>
      </c>
      <c r="AK153" s="1417" t="s">
        <v>652</v>
      </c>
      <c r="AL153" s="1415">
        <v>53</v>
      </c>
      <c r="AM153" s="1323">
        <v>46128</v>
      </c>
      <c r="AN153" s="1323">
        <v>46130</v>
      </c>
      <c r="AO153" s="1323">
        <v>46131</v>
      </c>
      <c r="AP153" s="1323"/>
      <c r="AQ153" s="1323"/>
      <c r="AR153" s="987"/>
      <c r="AS153" s="978" t="str">
        <f t="shared" si="28"/>
        <v>雙</v>
      </c>
      <c r="AT153" s="978" t="str">
        <f t="shared" si="29"/>
        <v>半</v>
      </c>
      <c r="AU153" s="978">
        <f t="shared" si="30"/>
        <v>225</v>
      </c>
      <c r="AV153" s="978">
        <f t="shared" si="31"/>
        <v>3.1070952000000003</v>
      </c>
    </row>
    <row r="154" spans="1:48">
      <c r="A154" s="975">
        <f t="shared" si="25"/>
        <v>46146</v>
      </c>
      <c r="B154" s="976" t="s">
        <v>388</v>
      </c>
      <c r="C154" s="976" t="s">
        <v>16736</v>
      </c>
      <c r="D154" s="1410" t="s">
        <v>633</v>
      </c>
      <c r="E154" s="977" t="str">
        <f>IFERROR(VLOOKUP(C154, [6]條件!$A:$L, 5, 0), "")</f>
        <v>150/48/2SDr</v>
      </c>
      <c r="F154" s="978" t="str">
        <f>IFERROR(VLOOKUP(C154, [6]條件!$A:$L, 6, 0), "")</f>
        <v>FP82170R×2</v>
      </c>
      <c r="G154" s="1411">
        <f>IFERROR(VLOOKUP(C154, [6]條件!$A:$L, 7, 0), "")</f>
        <v>700</v>
      </c>
      <c r="H154" s="978" t="str">
        <f>IF(ISNA(VLOOKUP(C154,[6]條件!$A$1:$K$932,11,0)),"",(VLOOKUP(C154,[6]條件!$A$1:$K$932,11,0)))</f>
        <v>粉紅</v>
      </c>
      <c r="I154" s="979">
        <f>IF(ISNA(VLOOKUP(C154,[6]條件!$A$1:$L$932,12,0)),"",(VLOOKUP(C154,[6]條件!$A$1:$L$932,12,0)))</f>
        <v>5.5</v>
      </c>
      <c r="J154" s="980">
        <v>18</v>
      </c>
      <c r="K154" s="980">
        <v>0</v>
      </c>
      <c r="L154" s="981"/>
      <c r="M154" s="981">
        <v>9540</v>
      </c>
      <c r="N154" s="982">
        <v>7</v>
      </c>
      <c r="O154" s="980">
        <v>0</v>
      </c>
      <c r="P154" s="981"/>
      <c r="Q154" s="981">
        <v>9540</v>
      </c>
      <c r="R154" s="982">
        <v>11</v>
      </c>
      <c r="S154" s="980">
        <v>0</v>
      </c>
      <c r="T154" s="981"/>
      <c r="U154" s="981">
        <v>9910</v>
      </c>
      <c r="V154" s="982">
        <v>27</v>
      </c>
      <c r="W154" s="980">
        <v>0</v>
      </c>
      <c r="X154" s="981"/>
      <c r="Y154" s="983">
        <v>9910</v>
      </c>
      <c r="Z154" s="1412">
        <f>IFERROR(VLOOKUP(C154, [6]條件!$A:$L, 3, 0), "")</f>
        <v>5.8775510204081636</v>
      </c>
      <c r="AA154" s="984">
        <f>IF(OR(L154={"改紡","檢修","了機","清車","FINAL","停機","SAMPLE","TEST","絲開發"}), L154, IFERROR(IF(C154="", "", (SUM(J154, N154, R154, V154)/3 * AG154) * IF(AND(AF154="S", AS154="雙"), 0.5, 1)), ""))</f>
        <v>42</v>
      </c>
      <c r="AB154" s="1413">
        <f t="shared" si="23"/>
        <v>1</v>
      </c>
      <c r="AC154" s="984">
        <f>IF(OR(L154={"改紡","檢修","了機","清車","FINAL","停機","SAMPLE","TEST"}), "", IFERROR(IF(C154="", "", AVERAGE(L154:M154, P154:Q154, T154:U154, X154:Y154)/100), ""))</f>
        <v>97.25</v>
      </c>
      <c r="AD154" s="984">
        <f t="shared" si="26"/>
        <v>5.25</v>
      </c>
      <c r="AE154" s="984">
        <f t="shared" si="24"/>
        <v>5.25</v>
      </c>
      <c r="AF154" s="985" t="str">
        <f t="shared" si="27"/>
        <v>T</v>
      </c>
      <c r="AG154" s="1414">
        <v>2</v>
      </c>
      <c r="AH154" s="981" t="s">
        <v>651</v>
      </c>
      <c r="AI154" s="986" t="s">
        <v>651</v>
      </c>
      <c r="AJ154" s="986" t="s">
        <v>652</v>
      </c>
      <c r="AK154" s="1417" t="s">
        <v>652</v>
      </c>
      <c r="AL154" s="1415">
        <v>56</v>
      </c>
      <c r="AM154" s="1323">
        <v>46142</v>
      </c>
      <c r="AN154" s="1323">
        <v>46143</v>
      </c>
      <c r="AO154" s="1323">
        <v>46144</v>
      </c>
      <c r="AP154" s="1323"/>
      <c r="AQ154" s="1323"/>
      <c r="AR154" s="987"/>
      <c r="AS154" s="978" t="str">
        <f t="shared" si="28"/>
        <v>雙</v>
      </c>
      <c r="AT154" s="978" t="str">
        <f t="shared" si="29"/>
        <v>半</v>
      </c>
      <c r="AU154" s="978">
        <f t="shared" si="30"/>
        <v>150</v>
      </c>
      <c r="AV154" s="978">
        <f t="shared" si="31"/>
        <v>3.5290079999999997</v>
      </c>
    </row>
    <row r="155" spans="1:48">
      <c r="A155" s="975">
        <f t="shared" si="25"/>
        <v>46146</v>
      </c>
      <c r="B155" s="976" t="s">
        <v>417</v>
      </c>
      <c r="C155" s="976" t="s">
        <v>16718</v>
      </c>
      <c r="D155" s="1410" t="s">
        <v>633</v>
      </c>
      <c r="E155" s="977" t="str">
        <f>IFERROR(VLOOKUP(C155, [6]條件!$A:$L, 5, 0), "")</f>
        <v>150/48/2SDr</v>
      </c>
      <c r="F155" s="978" t="str">
        <f>IFERROR(VLOOKUP(C155, [6]條件!$A:$L, 6, 0), "")</f>
        <v>FP82170R×2</v>
      </c>
      <c r="G155" s="1411">
        <f>IFERROR(VLOOKUP(C155, [6]條件!$A:$L, 7, 0), "")</f>
        <v>700</v>
      </c>
      <c r="H155" s="978" t="str">
        <f>IF(ISNA(VLOOKUP(C155,[6]條件!$A$1:$K$932,11,0)),"",(VLOOKUP(C155,[6]條件!$A$1:$K$932,11,0)))</f>
        <v>黃黑條紋</v>
      </c>
      <c r="I155" s="979">
        <f>IF(ISNA(VLOOKUP(C155,[6]條件!$A$1:$L$932,12,0)),"",(VLOOKUP(C155,[6]條件!$A$1:$L$932,12,0)))</f>
        <v>5.5</v>
      </c>
      <c r="J155" s="980">
        <v>41</v>
      </c>
      <c r="K155" s="980">
        <v>19</v>
      </c>
      <c r="L155" s="981">
        <v>9630</v>
      </c>
      <c r="M155" s="981">
        <v>9260</v>
      </c>
      <c r="N155" s="982">
        <v>21</v>
      </c>
      <c r="O155" s="980">
        <v>7</v>
      </c>
      <c r="P155" s="981">
        <v>9910</v>
      </c>
      <c r="Q155" s="981">
        <v>7870</v>
      </c>
      <c r="R155" s="982">
        <v>38</v>
      </c>
      <c r="S155" s="980">
        <v>17</v>
      </c>
      <c r="T155" s="981">
        <v>9350</v>
      </c>
      <c r="U155" s="981">
        <v>9170</v>
      </c>
      <c r="V155" s="982">
        <v>64</v>
      </c>
      <c r="W155" s="980">
        <v>32</v>
      </c>
      <c r="X155" s="981">
        <v>9350</v>
      </c>
      <c r="Y155" s="983">
        <v>9440</v>
      </c>
      <c r="Z155" s="1412">
        <f>IFERROR(VLOOKUP(C155, [6]條件!$A:$L, 3, 0), "")</f>
        <v>5.8299595141700395</v>
      </c>
      <c r="AA155" s="984">
        <f>IF(OR(L155={"改紡","檢修","了機","清車","FINAL","停機","SAMPLE","TEST","絲開發"}), L155, IFERROR(IF(C155="", "", (SUM(J155, N155, R155, V155)/3 * AG155) * IF(AND(AF155="S", AS155="雙"), 0.5, 1)), ""))</f>
        <v>54.666666666666664</v>
      </c>
      <c r="AB155" s="1413">
        <f t="shared" si="23"/>
        <v>0.93815104166666663</v>
      </c>
      <c r="AC155" s="984">
        <f>IF(OR(L155={"改紡","檢修","了機","清車","FINAL","停機","SAMPLE","TEST"}), "", IFERROR(IF(C155="", "", AVERAGE(L155:M155, P155:Q155, T155:U155, X155:Y155)/100), ""))</f>
        <v>92.474999999999994</v>
      </c>
      <c r="AD155" s="984">
        <f t="shared" si="26"/>
        <v>6.833333333333333</v>
      </c>
      <c r="AE155" s="984">
        <f t="shared" si="24"/>
        <v>3.7083333333333335</v>
      </c>
      <c r="AF155" s="985" t="str">
        <f t="shared" si="27"/>
        <v>T</v>
      </c>
      <c r="AG155" s="1414">
        <v>1</v>
      </c>
      <c r="AH155" s="981" t="s">
        <v>15337</v>
      </c>
      <c r="AI155" s="986" t="s">
        <v>15337</v>
      </c>
      <c r="AJ155" s="986" t="s">
        <v>639</v>
      </c>
      <c r="AK155" s="1417" t="s">
        <v>639</v>
      </c>
      <c r="AL155" s="1415">
        <v>56</v>
      </c>
      <c r="AM155" s="1323">
        <v>46142</v>
      </c>
      <c r="AN155" s="1323">
        <v>46143</v>
      </c>
      <c r="AO155" s="1323">
        <v>46144</v>
      </c>
      <c r="AP155" s="1323"/>
      <c r="AQ155" s="1323"/>
      <c r="AR155" s="987"/>
      <c r="AS155" s="978" t="str">
        <f t="shared" si="28"/>
        <v>雙</v>
      </c>
      <c r="AT155" s="978" t="str">
        <f t="shared" si="29"/>
        <v>全</v>
      </c>
      <c r="AU155" s="978">
        <f t="shared" si="30"/>
        <v>150</v>
      </c>
      <c r="AV155" s="978">
        <f t="shared" si="31"/>
        <v>6.7114656000000004</v>
      </c>
    </row>
    <row r="156" spans="1:48">
      <c r="A156" s="975">
        <f t="shared" si="25"/>
        <v>46146</v>
      </c>
      <c r="B156" s="976" t="s">
        <v>240</v>
      </c>
      <c r="C156" s="988" t="s">
        <v>632</v>
      </c>
      <c r="D156" s="1410"/>
      <c r="E156" s="977" t="str">
        <f>IFERROR(VLOOKUP(C156, [6]條件!$A:$L, 5, 0), "")</f>
        <v/>
      </c>
      <c r="F156" s="978" t="str">
        <f>IFERROR(VLOOKUP(C156, [6]條件!$A:$L, 6, 0), "")</f>
        <v/>
      </c>
      <c r="G156" s="1411" t="str">
        <f>IFERROR(VLOOKUP(C156, [6]條件!$A:$L, 7, 0), "")</f>
        <v/>
      </c>
      <c r="H156" s="978" t="str">
        <f>IF(ISNA(VLOOKUP(C156,[6]條件!$A$1:$K$932,11,0)),"",(VLOOKUP(C156,[6]條件!$A$1:$K$932,11,0)))</f>
        <v/>
      </c>
      <c r="I156" s="979" t="str">
        <f>IF(ISNA(VLOOKUP(C156,[6]條件!$A$1:$L$932,12,0)),"",(VLOOKUP(C156,[6]條件!$A$1:$L$932,12,0)))</f>
        <v/>
      </c>
      <c r="J156" s="980"/>
      <c r="K156" s="980"/>
      <c r="L156" s="981" t="s">
        <v>632</v>
      </c>
      <c r="M156" s="981"/>
      <c r="N156" s="982"/>
      <c r="O156" s="980"/>
      <c r="P156" s="981" t="s">
        <v>632</v>
      </c>
      <c r="Q156" s="981"/>
      <c r="R156" s="982"/>
      <c r="S156" s="980"/>
      <c r="T156" s="981" t="s">
        <v>632</v>
      </c>
      <c r="U156" s="981"/>
      <c r="V156" s="982"/>
      <c r="W156" s="980"/>
      <c r="X156" s="981" t="s">
        <v>632</v>
      </c>
      <c r="Y156" s="983"/>
      <c r="Z156" s="1422" t="str">
        <f>IFERROR(VLOOKUP(C156, [6]條件!$A:$L, 3, 0), "")</f>
        <v/>
      </c>
      <c r="AA156" s="1167" t="str">
        <f>IF(OR(L156={"改紡","檢修","了機","清車","FINAL","停機","SAMPLE","TEST","絲開發"}), L156, IFERROR(IF(C156="", "", (SUM(J156, N156, R156, V156)/3 * AG156) * IF(AND(AF156="S", AS156="雙"), 0.5, 1)), ""))</f>
        <v>停機</v>
      </c>
      <c r="AB156" s="1423" t="str">
        <f>IF(K156="","",IF(ISERROR(1-((SUM(K156,O156,S156,W156)/((AG156*12)-(AG156*0.44)))/Z156)),"",(1-((SUM(K156,O156,S156,W156)/((AG156*12)-(AG156*0.44)))/Z156))))</f>
        <v/>
      </c>
      <c r="AC156" s="1167" t="str">
        <f>IF(OR(L156={"改紡","檢修","了機","清車","FINAL","停機","SAMPLE","TEST"}), "", IFERROR(IF(C156="", "", AVERAGE(L156:M156, P156:Q156, T156:U156, X156:Y156)/100), ""))</f>
        <v/>
      </c>
      <c r="AD156" s="1167" t="str">
        <f t="shared" si="26"/>
        <v/>
      </c>
      <c r="AE156" s="1167" t="str">
        <f>IF(P156="了機","",IF(J156="","",IF(ISERROR((SUM(J156,N156,R156,V156)-SUM(K156,O156,S156,W156))/24),"",((SUM(J156,N156,R156,V156)-SUM(K156,O156,S156,W156))/24))))</f>
        <v/>
      </c>
      <c r="AF156" s="1168" t="str">
        <f t="shared" si="27"/>
        <v>S</v>
      </c>
      <c r="AG156" s="1424">
        <v>12</v>
      </c>
      <c r="AH156" s="981" t="s">
        <v>815</v>
      </c>
      <c r="AI156" s="986" t="s">
        <v>815</v>
      </c>
      <c r="AJ156" s="1002" t="s">
        <v>829</v>
      </c>
      <c r="AK156" s="981" t="s">
        <v>829</v>
      </c>
      <c r="AL156" s="1415"/>
      <c r="AM156" s="1323"/>
      <c r="AN156" s="1323"/>
      <c r="AO156" s="1323"/>
      <c r="AP156" s="1323"/>
      <c r="AQ156" s="1323"/>
      <c r="AR156" s="987"/>
      <c r="AS156" s="978" t="str">
        <f t="shared" si="28"/>
        <v>單</v>
      </c>
      <c r="AT156" s="978" t="str">
        <f t="shared" si="29"/>
        <v>12sec</v>
      </c>
      <c r="AU156" s="978" t="str">
        <f t="shared" si="30"/>
        <v/>
      </c>
      <c r="AV156" s="978" t="str">
        <f t="shared" si="31"/>
        <v/>
      </c>
    </row>
    <row r="157" spans="1:48">
      <c r="A157" s="975">
        <f t="shared" si="25"/>
        <v>46146</v>
      </c>
      <c r="B157" s="976" t="s">
        <v>242</v>
      </c>
      <c r="C157" s="976" t="s">
        <v>385</v>
      </c>
      <c r="D157" s="1410"/>
      <c r="E157" s="977" t="str">
        <f>IFERROR(VLOOKUP(C157, [6]條件!$A:$L, 5, 0), "")</f>
        <v/>
      </c>
      <c r="F157" s="978" t="str">
        <f>IFERROR(VLOOKUP(C157, [6]條件!$A:$L, 6, 0), "")</f>
        <v/>
      </c>
      <c r="G157" s="1411" t="str">
        <f>IFERROR(VLOOKUP(C157, [6]條件!$A:$L, 7, 0), "")</f>
        <v/>
      </c>
      <c r="H157" s="978" t="str">
        <f>IF(ISNA(VLOOKUP(C157,[6]條件!$A$1:$K$932,11,0)),"",(VLOOKUP(C157,[6]條件!$A$1:$K$932,11,0)))</f>
        <v/>
      </c>
      <c r="I157" s="979" t="str">
        <f>IF(ISNA(VLOOKUP(C157,[6]條件!$A$1:$L$932,12,0)),"",(VLOOKUP(C157,[6]條件!$A$1:$L$932,12,0)))</f>
        <v/>
      </c>
      <c r="J157" s="980"/>
      <c r="K157" s="980"/>
      <c r="L157" s="981" t="s">
        <v>385</v>
      </c>
      <c r="M157" s="981"/>
      <c r="N157" s="982"/>
      <c r="O157" s="980"/>
      <c r="P157" s="981" t="s">
        <v>385</v>
      </c>
      <c r="Q157" s="981"/>
      <c r="R157" s="982"/>
      <c r="S157" s="980"/>
      <c r="T157" s="981" t="s">
        <v>385</v>
      </c>
      <c r="U157" s="981"/>
      <c r="V157" s="982"/>
      <c r="W157" s="980"/>
      <c r="X157" s="981" t="s">
        <v>385</v>
      </c>
      <c r="Y157" s="983"/>
      <c r="Z157" s="1422" t="str">
        <f>IFERROR(VLOOKUP(C157, [6]條件!$A:$L, 3, 0), "")</f>
        <v/>
      </c>
      <c r="AA157" s="1167" t="str">
        <f>IF(OR(L157={"改紡","檢修","了機","清車","FINAL","停機","SAMPLE","TEST","絲開發"}), L157, IFERROR(IF(C157="", "", (SUM(J157, N157, R157, V157)/3 * AG157) * IF(AND(AF157="S", AS157="雙"), 0.5, 1)), ""))</f>
        <v>絲開發</v>
      </c>
      <c r="AB157" s="1423" t="str">
        <f>IF(K157="","",IF(ISERROR(1-((SUM(K157,O157,S157,W157)/((AG157*12)-(AG157*0.44)))/Z157)),"",(1-((SUM(K157,O157,S157,W157)/((AG157*12)-(AG157*0.44)))/Z157))))</f>
        <v/>
      </c>
      <c r="AC157" s="1167" t="str">
        <f>IF(OR(L157={"改紡","檢修","了機","清車","FINAL","停機","SAMPLE","TEST"}), "", IFERROR(IF(C157="", "", AVERAGE(L157:M157, P157:Q157, T157:U157, X157:Y157)/100), ""))</f>
        <v/>
      </c>
      <c r="AD157" s="1167" t="str">
        <f t="shared" si="26"/>
        <v/>
      </c>
      <c r="AE157" s="1167" t="str">
        <f>IF(P157="了機","",IF(J157="","",IF(ISERROR((SUM(J157,N157,R157,V157)-SUM(K157,O157,S157,W157))/24),"",((SUM(J157,N157,R157,V157)-SUM(K157,O157,S157,W157))/24))))</f>
        <v/>
      </c>
      <c r="AF157" s="1168" t="str">
        <f t="shared" si="27"/>
        <v>S</v>
      </c>
      <c r="AG157" s="1424">
        <v>5</v>
      </c>
      <c r="AH157" s="981" t="s">
        <v>815</v>
      </c>
      <c r="AI157" s="986" t="s">
        <v>815</v>
      </c>
      <c r="AJ157" s="986" t="s">
        <v>829</v>
      </c>
      <c r="AK157" s="1417" t="s">
        <v>829</v>
      </c>
      <c r="AL157" s="1415"/>
      <c r="AM157" s="1323"/>
      <c r="AN157" s="1323"/>
      <c r="AO157" s="1323"/>
      <c r="AP157" s="1323"/>
      <c r="AQ157" s="1323"/>
      <c r="AR157" s="987"/>
      <c r="AS157" s="978" t="str">
        <f t="shared" si="28"/>
        <v>單</v>
      </c>
      <c r="AT157" s="978" t="str">
        <f t="shared" si="29"/>
        <v>5sec</v>
      </c>
      <c r="AU157" s="978" t="str">
        <f t="shared" si="30"/>
        <v/>
      </c>
      <c r="AV157" s="978" t="str">
        <f t="shared" si="31"/>
        <v/>
      </c>
    </row>
    <row r="158" spans="1:48">
      <c r="A158" s="975">
        <f t="shared" si="25"/>
        <v>46146</v>
      </c>
      <c r="B158" s="976" t="s">
        <v>16078</v>
      </c>
      <c r="C158" s="988" t="s">
        <v>16185</v>
      </c>
      <c r="D158" s="1410"/>
      <c r="E158" s="977" t="str">
        <f>IFERROR(VLOOKUP(C158, [6]條件!$A:$L, 5, 0), "")</f>
        <v/>
      </c>
      <c r="F158" s="978" t="str">
        <f>IFERROR(VLOOKUP(C158, [6]條件!$A:$L, 6, 0), "")</f>
        <v/>
      </c>
      <c r="G158" s="1411" t="str">
        <f>IFERROR(VLOOKUP(C158, [6]條件!$A:$L, 7, 0), "")</f>
        <v/>
      </c>
      <c r="H158" s="978" t="str">
        <f>IF(ISNA(VLOOKUP(C158,[6]條件!$A$1:$K$932,11,0)),"",(VLOOKUP(C158,[6]條件!$A$1:$K$932,11,0)))</f>
        <v/>
      </c>
      <c r="I158" s="979" t="str">
        <f>IF(ISNA(VLOOKUP(C158,[6]條件!$A$1:$L$932,12,0)),"",(VLOOKUP(C158,[6]條件!$A$1:$L$932,12,0)))</f>
        <v/>
      </c>
      <c r="J158" s="980"/>
      <c r="K158" s="980"/>
      <c r="L158" s="981" t="s">
        <v>632</v>
      </c>
      <c r="M158" s="981"/>
      <c r="N158" s="982"/>
      <c r="O158" s="980"/>
      <c r="P158" s="981" t="s">
        <v>632</v>
      </c>
      <c r="Q158" s="981"/>
      <c r="R158" s="982"/>
      <c r="S158" s="980"/>
      <c r="T158" s="981" t="s">
        <v>632</v>
      </c>
      <c r="U158" s="981"/>
      <c r="V158" s="982"/>
      <c r="W158" s="980"/>
      <c r="X158" s="981" t="s">
        <v>632</v>
      </c>
      <c r="Y158" s="983"/>
      <c r="Z158" s="1412" t="str">
        <f>IFERROR(VLOOKUP(C158, [6]條件!$A:$L, 3, 0), "")</f>
        <v/>
      </c>
      <c r="AA158" s="984" t="str">
        <f>IF(OR(L158={"改紡","檢修","了機","清車","FINAL","停機","SAMPLE","TEST","絲開發"}), L158, IFERROR(IF(C158="", "", (SUM(J158, N158, R158, V158)/3 * AG158) * IF(AND(AF158="S", AS158="雙"), 0.5, 1)), ""))</f>
        <v>停機</v>
      </c>
      <c r="AB158" s="1413" t="str">
        <f t="shared" ref="AB158:AB195" si="32">IF(K158="","",IF(ISERROR(1-(SUM(K158,O158,S158,W158)/208/Z158)),"",(1-(SUM(K158,O158,S158,W158)/208/Z158))))</f>
        <v/>
      </c>
      <c r="AC158" s="984" t="str">
        <f>IF(OR(L158={"改紡","檢修","了機","清車","FINAL","停機","SAMPLE","TEST"}), "", IFERROR(IF(C158="", "", AVERAGE(L158:M158, P158:Q158, T158:U158, X158:Y158)/100), ""))</f>
        <v/>
      </c>
      <c r="AD158" s="984" t="str">
        <f t="shared" si="26"/>
        <v/>
      </c>
      <c r="AE158" s="984" t="str">
        <f>IF(OR(L158="改紡", L158="檢修", L158="了機"), "",
   IF(AND(C158&lt;&gt;"", J158&lt;&gt;""),
      IFERROR((SUM(J158, N158, R158, V158) - SUM(K158, O158, S158, W158))/24 * AG158, ""),
   "")
)</f>
        <v/>
      </c>
      <c r="AF158" s="985" t="str">
        <f t="shared" si="27"/>
        <v>M</v>
      </c>
      <c r="AG158" s="1414">
        <v>1</v>
      </c>
      <c r="AH158" s="1002" t="s">
        <v>640</v>
      </c>
      <c r="AI158" s="1002" t="s">
        <v>640</v>
      </c>
      <c r="AJ158" s="986" t="s">
        <v>640</v>
      </c>
      <c r="AK158" s="1417" t="s">
        <v>640</v>
      </c>
      <c r="AL158" s="1415"/>
      <c r="AM158" s="1323"/>
      <c r="AN158" s="1323"/>
      <c r="AO158" s="1323"/>
      <c r="AP158" s="1323"/>
      <c r="AQ158" s="1323"/>
      <c r="AR158" s="987"/>
      <c r="AS158" s="978" t="str">
        <f t="shared" si="28"/>
        <v>單</v>
      </c>
      <c r="AT158" s="978" t="str">
        <f t="shared" si="29"/>
        <v>全</v>
      </c>
      <c r="AU158" s="978" t="str">
        <f t="shared" si="30"/>
        <v/>
      </c>
      <c r="AV158" s="978" t="str">
        <f t="shared" si="31"/>
        <v/>
      </c>
    </row>
    <row r="159" spans="1:48">
      <c r="A159" s="975">
        <f t="shared" si="25"/>
        <v>46146</v>
      </c>
      <c r="B159" s="976" t="s">
        <v>243</v>
      </c>
      <c r="C159" s="988" t="s">
        <v>16185</v>
      </c>
      <c r="D159" s="1410"/>
      <c r="E159" s="977" t="str">
        <f>IFERROR(VLOOKUP(C159, [6]條件!$A:$L, 5, 0), "")</f>
        <v/>
      </c>
      <c r="F159" s="978" t="str">
        <f>IFERROR(VLOOKUP(C159, [6]條件!$A:$L, 6, 0), "")</f>
        <v/>
      </c>
      <c r="G159" s="1411" t="str">
        <f>IFERROR(VLOOKUP(C159, [6]條件!$A:$L, 7, 0), "")</f>
        <v/>
      </c>
      <c r="H159" s="978" t="str">
        <f>IF(ISNA(VLOOKUP(C159,[6]條件!$A$1:$K$932,11,0)),"",(VLOOKUP(C159,[6]條件!$A$1:$K$932,11,0)))</f>
        <v/>
      </c>
      <c r="I159" s="979" t="str">
        <f>IF(ISNA(VLOOKUP(C159,[6]條件!$A$1:$L$932,12,0)),"",(VLOOKUP(C159,[6]條件!$A$1:$L$932,12,0)))</f>
        <v/>
      </c>
      <c r="J159" s="980"/>
      <c r="K159" s="980"/>
      <c r="L159" s="981" t="s">
        <v>632</v>
      </c>
      <c r="M159" s="981"/>
      <c r="N159" s="982"/>
      <c r="O159" s="980"/>
      <c r="P159" s="981" t="s">
        <v>632</v>
      </c>
      <c r="Q159" s="981"/>
      <c r="R159" s="982"/>
      <c r="S159" s="980"/>
      <c r="T159" s="981" t="s">
        <v>632</v>
      </c>
      <c r="U159" s="981"/>
      <c r="V159" s="982"/>
      <c r="W159" s="980"/>
      <c r="X159" s="981" t="s">
        <v>632</v>
      </c>
      <c r="Y159" s="983"/>
      <c r="Z159" s="1412" t="str">
        <f>IFERROR(VLOOKUP(C159, [6]條件!$A:$L, 3, 0), "")</f>
        <v/>
      </c>
      <c r="AA159" s="984" t="str">
        <f>IF(OR(L159={"改紡","檢修","了機","清車","FINAL","停機","SAMPLE","TEST","絲開發"}), L159, IFERROR(IF(C159="", "", (SUM(J159, N159, R159, V159)/3 * AG159) * IF(AND(AF159="S", AS159="雙"), 0.5, 1)), ""))</f>
        <v>停機</v>
      </c>
      <c r="AB159" s="1413" t="str">
        <f t="shared" si="32"/>
        <v/>
      </c>
      <c r="AC159" s="984" t="str">
        <f>IF(OR(L159={"改紡","檢修","了機","清車","FINAL","停機","SAMPLE","TEST"}), "", IFERROR(IF(C159="", "", AVERAGE(L159:M159, P159:Q159, T159:U159, X159:Y159)/100), ""))</f>
        <v/>
      </c>
      <c r="AD159" s="984" t="str">
        <f t="shared" si="26"/>
        <v/>
      </c>
      <c r="AE159" s="984" t="str">
        <f t="shared" ref="AE159:AE195" si="33">IF(OR(L159="改紡", L159="檢修", L159="了機"), "",
IF(AND(C159&lt;&gt;"", J159&lt;&gt;""),
IFERROR((SUM(J159, N159, R159, V159) - SUM(K159, O159, S159, W159))/24 * AG159, ""),
"")
)</f>
        <v/>
      </c>
      <c r="AF159" s="985" t="str">
        <f t="shared" si="27"/>
        <v>M</v>
      </c>
      <c r="AG159" s="1414">
        <v>1</v>
      </c>
      <c r="AH159" s="1002" t="s">
        <v>640</v>
      </c>
      <c r="AI159" s="1002" t="s">
        <v>640</v>
      </c>
      <c r="AJ159" s="986" t="s">
        <v>640</v>
      </c>
      <c r="AK159" s="1417" t="s">
        <v>640</v>
      </c>
      <c r="AL159" s="1415"/>
      <c r="AM159" s="1323"/>
      <c r="AN159" s="1323"/>
      <c r="AO159" s="1323"/>
      <c r="AP159" s="1323"/>
      <c r="AQ159" s="1323"/>
      <c r="AR159" s="987"/>
      <c r="AS159" s="978" t="str">
        <f t="shared" si="28"/>
        <v>單</v>
      </c>
      <c r="AT159" s="978" t="str">
        <f t="shared" si="29"/>
        <v>全</v>
      </c>
      <c r="AU159" s="978" t="str">
        <f t="shared" si="30"/>
        <v/>
      </c>
      <c r="AV159" s="978" t="str">
        <f t="shared" si="31"/>
        <v/>
      </c>
    </row>
    <row r="160" spans="1:48">
      <c r="A160" s="975">
        <f t="shared" si="25"/>
        <v>46146</v>
      </c>
      <c r="B160" s="976" t="s">
        <v>244</v>
      </c>
      <c r="C160" s="988" t="s">
        <v>16185</v>
      </c>
      <c r="D160" s="1410"/>
      <c r="E160" s="977" t="str">
        <f>IFERROR(VLOOKUP(C160, [6]條件!$A:$L, 5, 0), "")</f>
        <v/>
      </c>
      <c r="F160" s="978" t="str">
        <f>IFERROR(VLOOKUP(C160, [6]條件!$A:$L, 6, 0), "")</f>
        <v/>
      </c>
      <c r="G160" s="1411" t="str">
        <f>IFERROR(VLOOKUP(C160, [6]條件!$A:$L, 7, 0), "")</f>
        <v/>
      </c>
      <c r="H160" s="978" t="str">
        <f>IF(ISNA(VLOOKUP(C160,[6]條件!$A$1:$K$932,11,0)),"",(VLOOKUP(C160,[6]條件!$A$1:$K$932,11,0)))</f>
        <v/>
      </c>
      <c r="I160" s="979" t="str">
        <f>IF(ISNA(VLOOKUP(C160,[6]條件!$A$1:$L$932,12,0)),"",(VLOOKUP(C160,[6]條件!$A$1:$L$932,12,0)))</f>
        <v/>
      </c>
      <c r="J160" s="980"/>
      <c r="K160" s="980"/>
      <c r="L160" s="981" t="s">
        <v>632</v>
      </c>
      <c r="M160" s="981"/>
      <c r="N160" s="982"/>
      <c r="O160" s="980"/>
      <c r="P160" s="981" t="s">
        <v>632</v>
      </c>
      <c r="Q160" s="981"/>
      <c r="R160" s="982"/>
      <c r="S160" s="980"/>
      <c r="T160" s="981" t="s">
        <v>632</v>
      </c>
      <c r="U160" s="981"/>
      <c r="V160" s="982"/>
      <c r="W160" s="980"/>
      <c r="X160" s="981" t="s">
        <v>632</v>
      </c>
      <c r="Y160" s="983"/>
      <c r="Z160" s="1412" t="str">
        <f>IFERROR(VLOOKUP(C160, [6]條件!$A:$L, 3, 0), "")</f>
        <v/>
      </c>
      <c r="AA160" s="984" t="str">
        <f>IF(OR(L160={"改紡","檢修","了機","清車","FINAL","停機","SAMPLE","TEST","絲開發"}), L160, IFERROR(IF(C160="", "", (SUM(J160, N160, R160, V160)/3 * AG160) * IF(AND(AF160="S", AS160="雙"), 0.5, 1)), ""))</f>
        <v>停機</v>
      </c>
      <c r="AB160" s="1413" t="str">
        <f t="shared" si="32"/>
        <v/>
      </c>
      <c r="AC160" s="984" t="str">
        <f>IF(OR(L160={"改紡","檢修","了機","清車","FINAL","停機","SAMPLE","TEST"}), "", IFERROR(IF(C160="", "", AVERAGE(L160:M160, P160:Q160, T160:U160, X160:Y160)/100), ""))</f>
        <v/>
      </c>
      <c r="AD160" s="984" t="str">
        <f t="shared" si="26"/>
        <v/>
      </c>
      <c r="AE160" s="984" t="str">
        <f t="shared" si="33"/>
        <v/>
      </c>
      <c r="AF160" s="985" t="str">
        <f t="shared" si="27"/>
        <v>M</v>
      </c>
      <c r="AG160" s="1414">
        <v>1</v>
      </c>
      <c r="AH160" s="1002" t="s">
        <v>640</v>
      </c>
      <c r="AI160" s="1002" t="s">
        <v>640</v>
      </c>
      <c r="AJ160" s="986" t="s">
        <v>640</v>
      </c>
      <c r="AK160" s="1417" t="s">
        <v>640</v>
      </c>
      <c r="AL160" s="1415"/>
      <c r="AM160" s="1323"/>
      <c r="AN160" s="1323"/>
      <c r="AO160" s="1323"/>
      <c r="AP160" s="1323"/>
      <c r="AQ160" s="1323"/>
      <c r="AR160" s="987"/>
      <c r="AS160" s="978" t="str">
        <f t="shared" si="28"/>
        <v>單</v>
      </c>
      <c r="AT160" s="978" t="str">
        <f t="shared" si="29"/>
        <v>全</v>
      </c>
      <c r="AU160" s="978" t="str">
        <f t="shared" si="30"/>
        <v/>
      </c>
      <c r="AV160" s="978" t="str">
        <f t="shared" si="31"/>
        <v/>
      </c>
    </row>
    <row r="161" spans="1:48">
      <c r="A161" s="975">
        <f t="shared" si="25"/>
        <v>46146</v>
      </c>
      <c r="B161" s="976" t="s">
        <v>245</v>
      </c>
      <c r="C161" s="988" t="s">
        <v>16185</v>
      </c>
      <c r="D161" s="1410"/>
      <c r="E161" s="977" t="str">
        <f>IFERROR(VLOOKUP(C161, [6]條件!$A:$L, 5, 0), "")</f>
        <v/>
      </c>
      <c r="F161" s="978" t="str">
        <f>IFERROR(VLOOKUP(C161, [6]條件!$A:$L, 6, 0), "")</f>
        <v/>
      </c>
      <c r="G161" s="1411" t="str">
        <f>IFERROR(VLOOKUP(C161, [6]條件!$A:$L, 7, 0), "")</f>
        <v/>
      </c>
      <c r="H161" s="978" t="str">
        <f>IF(ISNA(VLOOKUP(C161,[6]條件!$A$1:$K$932,11,0)),"",(VLOOKUP(C161,[6]條件!$A$1:$K$932,11,0)))</f>
        <v/>
      </c>
      <c r="I161" s="979" t="str">
        <f>IF(ISNA(VLOOKUP(C161,[6]條件!$A$1:$L$932,12,0)),"",(VLOOKUP(C161,[6]條件!$A$1:$L$932,12,0)))</f>
        <v/>
      </c>
      <c r="J161" s="980"/>
      <c r="K161" s="980"/>
      <c r="L161" s="981" t="s">
        <v>632</v>
      </c>
      <c r="M161" s="981"/>
      <c r="N161" s="982"/>
      <c r="O161" s="980"/>
      <c r="P161" s="981" t="s">
        <v>632</v>
      </c>
      <c r="Q161" s="981"/>
      <c r="R161" s="982"/>
      <c r="S161" s="980"/>
      <c r="T161" s="981" t="s">
        <v>632</v>
      </c>
      <c r="U161" s="981"/>
      <c r="V161" s="982"/>
      <c r="W161" s="980"/>
      <c r="X161" s="981" t="s">
        <v>632</v>
      </c>
      <c r="Y161" s="983"/>
      <c r="Z161" s="1412" t="str">
        <f>IFERROR(VLOOKUP(C161, [6]條件!$A:$L, 3, 0), "")</f>
        <v/>
      </c>
      <c r="AA161" s="984" t="str">
        <f>IF(OR(L161={"改紡","檢修","了機","清車","FINAL","停機","SAMPLE","TEST","絲開發"}), L161, IFERROR(IF(C161="", "", (SUM(J161, N161, R161, V161)/3 * AG161) * IF(AND(AF161="S", AS161="雙"), 0.5, 1)), ""))</f>
        <v>停機</v>
      </c>
      <c r="AB161" s="1413" t="str">
        <f t="shared" si="32"/>
        <v/>
      </c>
      <c r="AC161" s="984" t="str">
        <f>IF(OR(L161={"改紡","檢修","了機","清車","FINAL","停機","SAMPLE","TEST"}), "", IFERROR(IF(C161="", "", AVERAGE(L161:M161, P161:Q161, T161:U161, X161:Y161)/100), ""))</f>
        <v/>
      </c>
      <c r="AD161" s="984" t="str">
        <f t="shared" si="26"/>
        <v/>
      </c>
      <c r="AE161" s="984" t="str">
        <f t="shared" si="33"/>
        <v/>
      </c>
      <c r="AF161" s="985" t="str">
        <f t="shared" si="27"/>
        <v>M</v>
      </c>
      <c r="AG161" s="1414">
        <v>1</v>
      </c>
      <c r="AH161" s="1002" t="s">
        <v>640</v>
      </c>
      <c r="AI161" s="1002" t="s">
        <v>640</v>
      </c>
      <c r="AJ161" s="986" t="s">
        <v>640</v>
      </c>
      <c r="AK161" s="1417" t="s">
        <v>640</v>
      </c>
      <c r="AL161" s="1415"/>
      <c r="AM161" s="1323"/>
      <c r="AN161" s="1323"/>
      <c r="AO161" s="1323"/>
      <c r="AP161" s="1323"/>
      <c r="AQ161" s="1323"/>
      <c r="AR161" s="987"/>
      <c r="AS161" s="978" t="str">
        <f t="shared" si="28"/>
        <v>單</v>
      </c>
      <c r="AT161" s="978" t="str">
        <f t="shared" si="29"/>
        <v>全</v>
      </c>
      <c r="AU161" s="978" t="str">
        <f t="shared" si="30"/>
        <v/>
      </c>
      <c r="AV161" s="978" t="str">
        <f t="shared" si="31"/>
        <v/>
      </c>
    </row>
    <row r="162" spans="1:48">
      <c r="A162" s="975">
        <f t="shared" si="25"/>
        <v>46146</v>
      </c>
      <c r="B162" s="976" t="s">
        <v>246</v>
      </c>
      <c r="C162" s="988" t="s">
        <v>16185</v>
      </c>
      <c r="D162" s="1410"/>
      <c r="E162" s="977" t="str">
        <f>IFERROR(VLOOKUP(C162, [6]條件!$A:$L, 5, 0), "")</f>
        <v/>
      </c>
      <c r="F162" s="978" t="str">
        <f>IFERROR(VLOOKUP(C162, [6]條件!$A:$L, 6, 0), "")</f>
        <v/>
      </c>
      <c r="G162" s="1411" t="str">
        <f>IFERROR(VLOOKUP(C162, [6]條件!$A:$L, 7, 0), "")</f>
        <v/>
      </c>
      <c r="H162" s="978" t="str">
        <f>IF(ISNA(VLOOKUP(C162,[6]條件!$A$1:$K$932,11,0)),"",(VLOOKUP(C162,[6]條件!$A$1:$K$932,11,0)))</f>
        <v/>
      </c>
      <c r="I162" s="979" t="str">
        <f>IF(ISNA(VLOOKUP(C162,[6]條件!$A$1:$L$932,12,0)),"",(VLOOKUP(C162,[6]條件!$A$1:$L$932,12,0)))</f>
        <v/>
      </c>
      <c r="J162" s="980"/>
      <c r="K162" s="980"/>
      <c r="L162" s="981" t="s">
        <v>632</v>
      </c>
      <c r="M162" s="981"/>
      <c r="N162" s="982"/>
      <c r="O162" s="980"/>
      <c r="P162" s="981" t="s">
        <v>632</v>
      </c>
      <c r="Q162" s="981"/>
      <c r="R162" s="982"/>
      <c r="S162" s="980"/>
      <c r="T162" s="981" t="s">
        <v>632</v>
      </c>
      <c r="U162" s="981"/>
      <c r="V162" s="982"/>
      <c r="W162" s="980"/>
      <c r="X162" s="981" t="s">
        <v>632</v>
      </c>
      <c r="Y162" s="983"/>
      <c r="Z162" s="1412" t="str">
        <f>IFERROR(VLOOKUP(C162, [6]條件!$A:$L, 3, 0), "")</f>
        <v/>
      </c>
      <c r="AA162" s="984" t="str">
        <f>IF(OR(L162={"改紡","檢修","了機","清車","FINAL","停機","SAMPLE","TEST","絲開發"}), L162, IFERROR(IF(C162="", "", (SUM(J162, N162, R162, V162)/3 * AG162) * IF(AND(AF162="S", AS162="雙"), 0.5, 1)), ""))</f>
        <v>停機</v>
      </c>
      <c r="AB162" s="1413" t="str">
        <f t="shared" si="32"/>
        <v/>
      </c>
      <c r="AC162" s="984" t="str">
        <f>IF(OR(L162={"改紡","檢修","了機","清車","FINAL","停機","SAMPLE","TEST"}), "", IFERROR(IF(C162="", "", AVERAGE(L162:M162, P162:Q162, T162:U162, X162:Y162)/100), ""))</f>
        <v/>
      </c>
      <c r="AD162" s="984" t="str">
        <f t="shared" si="26"/>
        <v/>
      </c>
      <c r="AE162" s="984" t="str">
        <f t="shared" si="33"/>
        <v/>
      </c>
      <c r="AF162" s="985" t="str">
        <f t="shared" si="27"/>
        <v>M</v>
      </c>
      <c r="AG162" s="1414">
        <v>1</v>
      </c>
      <c r="AH162" s="1002" t="s">
        <v>640</v>
      </c>
      <c r="AI162" s="1002" t="s">
        <v>640</v>
      </c>
      <c r="AJ162" s="986" t="s">
        <v>640</v>
      </c>
      <c r="AK162" s="1417" t="s">
        <v>640</v>
      </c>
      <c r="AL162" s="1415"/>
      <c r="AM162" s="1323"/>
      <c r="AN162" s="1323"/>
      <c r="AO162" s="1323"/>
      <c r="AP162" s="1323"/>
      <c r="AQ162" s="1323"/>
      <c r="AR162" s="987"/>
      <c r="AS162" s="978" t="str">
        <f t="shared" si="28"/>
        <v>單</v>
      </c>
      <c r="AT162" s="978" t="str">
        <f t="shared" si="29"/>
        <v>全</v>
      </c>
      <c r="AU162" s="978" t="str">
        <f t="shared" si="30"/>
        <v/>
      </c>
      <c r="AV162" s="978" t="str">
        <f t="shared" si="31"/>
        <v/>
      </c>
    </row>
    <row r="163" spans="1:48">
      <c r="A163" s="975">
        <f t="shared" si="25"/>
        <v>46146</v>
      </c>
      <c r="B163" s="976" t="s">
        <v>247</v>
      </c>
      <c r="C163" s="988" t="s">
        <v>16185</v>
      </c>
      <c r="D163" s="1410"/>
      <c r="E163" s="977" t="str">
        <f>IFERROR(VLOOKUP(C163, [6]條件!$A:$L, 5, 0), "")</f>
        <v/>
      </c>
      <c r="F163" s="978" t="str">
        <f>IFERROR(VLOOKUP(C163, [6]條件!$A:$L, 6, 0), "")</f>
        <v/>
      </c>
      <c r="G163" s="1411" t="str">
        <f>IFERROR(VLOOKUP(C163, [6]條件!$A:$L, 7, 0), "")</f>
        <v/>
      </c>
      <c r="H163" s="978" t="str">
        <f>IF(ISNA(VLOOKUP(C163,[6]條件!$A$1:$K$932,11,0)),"",(VLOOKUP(C163,[6]條件!$A$1:$K$932,11,0)))</f>
        <v/>
      </c>
      <c r="I163" s="979" t="str">
        <f>IF(ISNA(VLOOKUP(C163,[6]條件!$A$1:$L$932,12,0)),"",(VLOOKUP(C163,[6]條件!$A$1:$L$932,12,0)))</f>
        <v/>
      </c>
      <c r="J163" s="980"/>
      <c r="K163" s="980"/>
      <c r="L163" s="981" t="s">
        <v>632</v>
      </c>
      <c r="M163" s="981"/>
      <c r="N163" s="982"/>
      <c r="O163" s="980"/>
      <c r="P163" s="981" t="s">
        <v>632</v>
      </c>
      <c r="Q163" s="981"/>
      <c r="R163" s="982"/>
      <c r="S163" s="980"/>
      <c r="T163" s="981" t="s">
        <v>632</v>
      </c>
      <c r="U163" s="981"/>
      <c r="V163" s="982"/>
      <c r="W163" s="980"/>
      <c r="X163" s="981" t="s">
        <v>632</v>
      </c>
      <c r="Y163" s="983"/>
      <c r="Z163" s="1412" t="str">
        <f>IFERROR(VLOOKUP(C163, [6]條件!$A:$L, 3, 0), "")</f>
        <v/>
      </c>
      <c r="AA163" s="984" t="str">
        <f>IF(OR(L163={"改紡","檢修","了機","清車","FINAL","停機","SAMPLE","TEST","絲開發"}), L163, IFERROR(IF(C163="", "", (SUM(J163, N163, R163, V163)/3 * AG163) * IF(AND(AF163="S", AS163="雙"), 0.5, 1)), ""))</f>
        <v>停機</v>
      </c>
      <c r="AB163" s="1413" t="str">
        <f t="shared" si="32"/>
        <v/>
      </c>
      <c r="AC163" s="984" t="str">
        <f>IF(OR(L163={"改紡","檢修","了機","清車","FINAL","停機","SAMPLE","TEST"}), "", IFERROR(IF(C163="", "", AVERAGE(L163:M163, P163:Q163, T163:U163, X163:Y163)/100), ""))</f>
        <v/>
      </c>
      <c r="AD163" s="984" t="str">
        <f t="shared" si="26"/>
        <v/>
      </c>
      <c r="AE163" s="984" t="str">
        <f t="shared" si="33"/>
        <v/>
      </c>
      <c r="AF163" s="985" t="str">
        <f t="shared" si="27"/>
        <v>M</v>
      </c>
      <c r="AG163" s="1414">
        <v>1</v>
      </c>
      <c r="AH163" s="1002" t="s">
        <v>640</v>
      </c>
      <c r="AI163" s="1002" t="s">
        <v>640</v>
      </c>
      <c r="AJ163" s="986" t="s">
        <v>640</v>
      </c>
      <c r="AK163" s="1417" t="s">
        <v>640</v>
      </c>
      <c r="AL163" s="1415"/>
      <c r="AM163" s="1323"/>
      <c r="AN163" s="1323"/>
      <c r="AO163" s="1323"/>
      <c r="AP163" s="1323"/>
      <c r="AQ163" s="1323"/>
      <c r="AR163" s="987"/>
      <c r="AS163" s="978" t="str">
        <f t="shared" si="28"/>
        <v>單</v>
      </c>
      <c r="AT163" s="978" t="str">
        <f t="shared" si="29"/>
        <v>全</v>
      </c>
      <c r="AU163" s="978" t="str">
        <f t="shared" si="30"/>
        <v/>
      </c>
      <c r="AV163" s="978" t="str">
        <f t="shared" si="31"/>
        <v/>
      </c>
    </row>
    <row r="164" spans="1:48">
      <c r="A164" s="975">
        <f t="shared" si="25"/>
        <v>46146</v>
      </c>
      <c r="B164" s="976" t="s">
        <v>248</v>
      </c>
      <c r="C164" s="988" t="s">
        <v>16185</v>
      </c>
      <c r="D164" s="1410"/>
      <c r="E164" s="977" t="str">
        <f>IFERROR(VLOOKUP(C164, [6]條件!$A:$L, 5, 0), "")</f>
        <v/>
      </c>
      <c r="F164" s="978" t="str">
        <f>IFERROR(VLOOKUP(C164, [6]條件!$A:$L, 6, 0), "")</f>
        <v/>
      </c>
      <c r="G164" s="1411" t="str">
        <f>IFERROR(VLOOKUP(C164, [6]條件!$A:$L, 7, 0), "")</f>
        <v/>
      </c>
      <c r="H164" s="978" t="str">
        <f>IF(ISNA(VLOOKUP(C164,[6]條件!$A$1:$K$932,11,0)),"",(VLOOKUP(C164,[6]條件!$A$1:$K$932,11,0)))</f>
        <v/>
      </c>
      <c r="I164" s="979" t="str">
        <f>IF(ISNA(VLOOKUP(C164,[6]條件!$A$1:$L$932,12,0)),"",(VLOOKUP(C164,[6]條件!$A$1:$L$932,12,0)))</f>
        <v/>
      </c>
      <c r="J164" s="980"/>
      <c r="K164" s="980"/>
      <c r="L164" s="981" t="s">
        <v>632</v>
      </c>
      <c r="M164" s="981"/>
      <c r="N164" s="982"/>
      <c r="O164" s="980"/>
      <c r="P164" s="981" t="s">
        <v>632</v>
      </c>
      <c r="Q164" s="981"/>
      <c r="R164" s="982"/>
      <c r="S164" s="980"/>
      <c r="T164" s="981" t="s">
        <v>632</v>
      </c>
      <c r="U164" s="981"/>
      <c r="V164" s="982"/>
      <c r="W164" s="980"/>
      <c r="X164" s="981" t="s">
        <v>632</v>
      </c>
      <c r="Y164" s="983"/>
      <c r="Z164" s="1412" t="str">
        <f>IFERROR(VLOOKUP(C164, [6]條件!$A:$L, 3, 0), "")</f>
        <v/>
      </c>
      <c r="AA164" s="984" t="str">
        <f>IF(OR(L164={"改紡","檢修","了機","清車","FINAL","停機","SAMPLE","TEST","絲開發"}), L164, IFERROR(IF(C164="", "", (SUM(J164, N164, R164, V164)/3 * AG164) * IF(AND(AF164="S", AS164="雙"), 0.5, 1)), ""))</f>
        <v>停機</v>
      </c>
      <c r="AB164" s="1413" t="str">
        <f t="shared" si="32"/>
        <v/>
      </c>
      <c r="AC164" s="984" t="str">
        <f>IF(OR(L164={"改紡","檢修","了機","清車","FINAL","停機","SAMPLE","TEST"}), "", IFERROR(IF(C164="", "", AVERAGE(L164:M164, P164:Q164, T164:U164, X164:Y164)/100), ""))</f>
        <v/>
      </c>
      <c r="AD164" s="984" t="str">
        <f t="shared" si="26"/>
        <v/>
      </c>
      <c r="AE164" s="984" t="str">
        <f t="shared" si="33"/>
        <v/>
      </c>
      <c r="AF164" s="985" t="str">
        <f t="shared" si="27"/>
        <v>M</v>
      </c>
      <c r="AG164" s="1414">
        <v>1</v>
      </c>
      <c r="AH164" s="1002" t="s">
        <v>640</v>
      </c>
      <c r="AI164" s="1002" t="s">
        <v>640</v>
      </c>
      <c r="AJ164" s="986" t="s">
        <v>640</v>
      </c>
      <c r="AK164" s="1417" t="s">
        <v>640</v>
      </c>
      <c r="AL164" s="1415"/>
      <c r="AM164" s="1323"/>
      <c r="AN164" s="1323"/>
      <c r="AO164" s="1323"/>
      <c r="AP164" s="1323"/>
      <c r="AQ164" s="1323"/>
      <c r="AR164" s="987"/>
      <c r="AS164" s="978" t="str">
        <f t="shared" si="28"/>
        <v>單</v>
      </c>
      <c r="AT164" s="978" t="str">
        <f t="shared" si="29"/>
        <v>全</v>
      </c>
      <c r="AU164" s="978" t="str">
        <f t="shared" si="30"/>
        <v/>
      </c>
      <c r="AV164" s="978" t="str">
        <f t="shared" si="31"/>
        <v/>
      </c>
    </row>
    <row r="165" spans="1:48" ht="17.25" thickBot="1">
      <c r="A165" s="989">
        <f t="shared" si="25"/>
        <v>46146</v>
      </c>
      <c r="B165" s="990" t="s">
        <v>249</v>
      </c>
      <c r="C165" s="991" t="s">
        <v>16185</v>
      </c>
      <c r="D165" s="1425"/>
      <c r="E165" s="1169" t="str">
        <f>IFERROR(VLOOKUP(C165, [6]條件!$A:$L, 5, 0), "")</f>
        <v/>
      </c>
      <c r="F165" s="992" t="str">
        <f>IFERROR(VLOOKUP(C165, [6]條件!$A:$L, 6, 0), "")</f>
        <v/>
      </c>
      <c r="G165" s="1426" t="str">
        <f>IFERROR(VLOOKUP(C165, [6]條件!$A:$L, 7, 0), "")</f>
        <v/>
      </c>
      <c r="H165" s="992" t="str">
        <f>IF(ISNA(VLOOKUP(C165,[6]條件!$A$1:$K$932,11,0)),"",(VLOOKUP(C165,[6]條件!$A$1:$K$932,11,0)))</f>
        <v/>
      </c>
      <c r="I165" s="1170" t="str">
        <f>IF(ISNA(VLOOKUP(C165,[6]條件!$A$1:$L$932,12,0)),"",(VLOOKUP(C165,[6]條件!$A$1:$L$932,12,0)))</f>
        <v/>
      </c>
      <c r="J165" s="993"/>
      <c r="K165" s="993"/>
      <c r="L165" s="994" t="s">
        <v>632</v>
      </c>
      <c r="M165" s="994"/>
      <c r="N165" s="995"/>
      <c r="O165" s="993"/>
      <c r="P165" s="994" t="s">
        <v>632</v>
      </c>
      <c r="Q165" s="994"/>
      <c r="R165" s="995"/>
      <c r="S165" s="993"/>
      <c r="T165" s="994" t="s">
        <v>632</v>
      </c>
      <c r="U165" s="994"/>
      <c r="V165" s="995"/>
      <c r="W165" s="993"/>
      <c r="X165" s="994" t="s">
        <v>632</v>
      </c>
      <c r="Y165" s="996"/>
      <c r="Z165" s="1427" t="str">
        <f>IFERROR(VLOOKUP(C165, [6]條件!$A:$L, 3, 0), "")</f>
        <v/>
      </c>
      <c r="AA165" s="997" t="str">
        <f>IF(OR(L165={"改紡","檢修","了機","清車","FINAL","停機","SAMPLE","TEST","絲開發"}), L165, IFERROR(IF(C165="", "", (SUM(J165, N165, R165, V165)/3 * AG165) * IF(AND(AF165="S", AS165="雙"), 0.5, 1)), ""))</f>
        <v>停機</v>
      </c>
      <c r="AB165" s="1428" t="str">
        <f t="shared" si="32"/>
        <v/>
      </c>
      <c r="AC165" s="997" t="str">
        <f>IF(OR(L165={"改紡","檢修","了機","清車","FINAL","停機","SAMPLE","TEST"}), "", IFERROR(IF(C165="", "", AVERAGE(L165:M165, P165:Q165, T165:U165, X165:Y165)/100), ""))</f>
        <v/>
      </c>
      <c r="AD165" s="997" t="str">
        <f t="shared" si="26"/>
        <v/>
      </c>
      <c r="AE165" s="997" t="str">
        <f t="shared" si="33"/>
        <v/>
      </c>
      <c r="AF165" s="998" t="str">
        <f t="shared" si="27"/>
        <v>M</v>
      </c>
      <c r="AG165" s="1429">
        <v>1</v>
      </c>
      <c r="AH165" s="1171" t="s">
        <v>640</v>
      </c>
      <c r="AI165" s="1171" t="s">
        <v>640</v>
      </c>
      <c r="AJ165" s="999" t="s">
        <v>640</v>
      </c>
      <c r="AK165" s="1430" t="s">
        <v>640</v>
      </c>
      <c r="AL165" s="1431"/>
      <c r="AM165" s="1325"/>
      <c r="AN165" s="1325"/>
      <c r="AO165" s="1325"/>
      <c r="AP165" s="1325"/>
      <c r="AQ165" s="1325"/>
      <c r="AR165" s="1000"/>
      <c r="AS165" s="992" t="str">
        <f t="shared" si="28"/>
        <v>單</v>
      </c>
      <c r="AT165" s="992" t="str">
        <f t="shared" si="29"/>
        <v>全</v>
      </c>
      <c r="AU165" s="992" t="str">
        <f t="shared" si="30"/>
        <v/>
      </c>
      <c r="AV165" s="992" t="str">
        <f t="shared" si="31"/>
        <v/>
      </c>
    </row>
    <row r="166" spans="1:48">
      <c r="A166" s="962">
        <v>46147</v>
      </c>
      <c r="B166" s="963" t="s">
        <v>212</v>
      </c>
      <c r="C166" s="963" t="s">
        <v>632</v>
      </c>
      <c r="D166" s="1403"/>
      <c r="E166" s="964" t="str">
        <f>IFERROR(VLOOKUP(C166, [6]條件!$A:$L, 5, 0), "")</f>
        <v/>
      </c>
      <c r="F166" s="965" t="str">
        <f>IFERROR(VLOOKUP(C166, [6]條件!$A:$L, 6, 0), "")</f>
        <v/>
      </c>
      <c r="G166" s="1404" t="str">
        <f>IFERROR(VLOOKUP(C166, [6]條件!$A:$L, 7, 0), "")</f>
        <v/>
      </c>
      <c r="H166" s="965" t="str">
        <f>IF(ISNA(VLOOKUP(C166,[6]條件!$A$1:$K$932,11,0)),"",(VLOOKUP(C166,[6]條件!$A$1:$K$932,11,0)))</f>
        <v/>
      </c>
      <c r="I166" s="966" t="str">
        <f>IF(ISNA(VLOOKUP(C166,[6]條件!$A$1:$L$932,12,0)),"",(VLOOKUP(C166,[6]條件!$A$1:$L$932,12,0)))</f>
        <v/>
      </c>
      <c r="J166" s="967"/>
      <c r="K166" s="967"/>
      <c r="L166" s="968" t="s">
        <v>632</v>
      </c>
      <c r="M166" s="968"/>
      <c r="N166" s="969"/>
      <c r="O166" s="967"/>
      <c r="P166" s="968" t="s">
        <v>632</v>
      </c>
      <c r="Q166" s="968"/>
      <c r="R166" s="969"/>
      <c r="S166" s="967"/>
      <c r="T166" s="981" t="s">
        <v>632</v>
      </c>
      <c r="U166" s="968"/>
      <c r="V166" s="969"/>
      <c r="W166" s="967"/>
      <c r="X166" s="981" t="s">
        <v>632</v>
      </c>
      <c r="Y166" s="970"/>
      <c r="Z166" s="1405" t="str">
        <f>IFERROR(VLOOKUP(C166, [6]條件!$A:$L, 3, 0), "")</f>
        <v/>
      </c>
      <c r="AA166" s="971" t="str">
        <f>IF(OR(L166={"改紡","檢修","了機","清車","FINAL","停機","SAMPLE","TEST","絲開發"}), L166, IFERROR(IF(C166="", "", (SUM(J166, N166, R166, V166)/3 * AG166) * IF(AND(AF166="S", AS166="雙"), 0.5, 1)), ""))</f>
        <v>停機</v>
      </c>
      <c r="AB166" s="1406" t="str">
        <f t="shared" si="32"/>
        <v/>
      </c>
      <c r="AC166" s="971" t="str">
        <f>IF(OR(L166={"改紡","檢修","了機","清車","FINAL","停機","SAMPLE","TEST"}), "", IFERROR(IF(C166="", "", AVERAGE(L166:M166, P166:Q166, T166:U166, X166:Y166)/100), ""))</f>
        <v/>
      </c>
      <c r="AD166" s="971" t="str">
        <f t="shared" si="26"/>
        <v/>
      </c>
      <c r="AE166" s="971" t="str">
        <f t="shared" si="33"/>
        <v/>
      </c>
      <c r="AF166" s="972" t="str">
        <f t="shared" si="27"/>
        <v>A</v>
      </c>
      <c r="AG166" s="1407">
        <v>1</v>
      </c>
      <c r="AH166" s="1001" t="s">
        <v>640</v>
      </c>
      <c r="AI166" s="1001" t="s">
        <v>640</v>
      </c>
      <c r="AJ166" s="1166" t="s">
        <v>640</v>
      </c>
      <c r="AK166" s="1408" t="s">
        <v>640</v>
      </c>
      <c r="AL166" s="1409"/>
      <c r="AM166" s="1322"/>
      <c r="AN166" s="1322"/>
      <c r="AO166" s="1322"/>
      <c r="AP166" s="1322"/>
      <c r="AQ166" s="1322"/>
      <c r="AR166" s="973"/>
      <c r="AS166" s="965" t="str">
        <f t="shared" si="28"/>
        <v>單</v>
      </c>
      <c r="AT166" s="965" t="str">
        <f t="shared" si="29"/>
        <v>全</v>
      </c>
      <c r="AU166" s="965" t="str">
        <f t="shared" si="30"/>
        <v/>
      </c>
      <c r="AV166" s="965" t="str">
        <f t="shared" si="31"/>
        <v/>
      </c>
    </row>
    <row r="167" spans="1:48">
      <c r="A167" s="975">
        <f t="shared" ref="A167:A205" si="34">A166</f>
        <v>46147</v>
      </c>
      <c r="B167" s="976" t="s">
        <v>214</v>
      </c>
      <c r="C167" s="976" t="s">
        <v>16708</v>
      </c>
      <c r="D167" s="1410"/>
      <c r="E167" s="977" t="str">
        <f>IFERROR(VLOOKUP(C167, [6]條件!$A:$L, 5, 0), "")</f>
        <v>75/36SDR</v>
      </c>
      <c r="F167" s="978" t="str">
        <f>IFERROR(VLOOKUP(C167, [6]條件!$A:$L, 6, 0), "")</f>
        <v>FP81386R</v>
      </c>
      <c r="G167" s="1411">
        <f>IFERROR(VLOOKUP(C167, [6]條件!$A:$L, 7, 0), "")</f>
        <v>780</v>
      </c>
      <c r="H167" s="978" t="str">
        <f>IF(ISNA(VLOOKUP(C167,[6]條件!$A$1:$K$932,11,0)),"",(VLOOKUP(C167,[6]條件!$A$1:$K$932,11,0)))</f>
        <v>綠底白點</v>
      </c>
      <c r="I167" s="979">
        <f>IF(ISNA(VLOOKUP(C167,[6]條件!$A$1:$L$932,12,0)),"",(VLOOKUP(C167,[6]條件!$A$1:$L$932,12,0)))</f>
        <v>5</v>
      </c>
      <c r="J167" s="980">
        <v>20</v>
      </c>
      <c r="K167" s="980">
        <v>4</v>
      </c>
      <c r="L167" s="981">
        <v>9115</v>
      </c>
      <c r="M167" s="981">
        <v>8636</v>
      </c>
      <c r="N167" s="982">
        <v>7</v>
      </c>
      <c r="O167" s="980">
        <v>0</v>
      </c>
      <c r="P167" s="981">
        <v>9135</v>
      </c>
      <c r="Q167" s="981">
        <v>8680</v>
      </c>
      <c r="R167" s="982">
        <v>12</v>
      </c>
      <c r="S167" s="980">
        <v>1</v>
      </c>
      <c r="T167" s="981">
        <v>9023</v>
      </c>
      <c r="U167" s="981">
        <v>8591</v>
      </c>
      <c r="V167" s="982">
        <v>18</v>
      </c>
      <c r="W167" s="980">
        <v>0</v>
      </c>
      <c r="X167" s="981">
        <v>9024</v>
      </c>
      <c r="Y167" s="983">
        <v>8650</v>
      </c>
      <c r="Z167" s="1412">
        <f>IFERROR(VLOOKUP(C167, [6]條件!$A:$L, 3, 0), "")</f>
        <v>1.7777777777777777</v>
      </c>
      <c r="AA167" s="984">
        <f>IF(OR(L167={"改紡","檢修","了機","清車","FINAL","停機","SAMPLE","TEST","絲開發"}), L167, IFERROR(IF(C167="", "", (SUM(J167, N167, R167, V167)/3 * AG167) * IF(AND(AF167="S", AS167="雙"), 0.5, 1)), ""))</f>
        <v>19</v>
      </c>
      <c r="AB167" s="1413">
        <f t="shared" si="32"/>
        <v>0.98647836538461542</v>
      </c>
      <c r="AC167" s="984">
        <f>IF(OR(L167={"改紡","檢修","了機","清車","FINAL","停機","SAMPLE","TEST"}), "", IFERROR(IF(C167="", "", AVERAGE(L167:M167, P167:Q167, T167:U167, X167:Y167)/100), ""))</f>
        <v>88.567499999999995</v>
      </c>
      <c r="AD167" s="984">
        <f t="shared" si="26"/>
        <v>2.375</v>
      </c>
      <c r="AE167" s="984">
        <f t="shared" si="33"/>
        <v>2.1666666666666665</v>
      </c>
      <c r="AF167" s="985" t="str">
        <f t="shared" si="27"/>
        <v>A</v>
      </c>
      <c r="AG167" s="1414">
        <v>1</v>
      </c>
      <c r="AH167" s="1002" t="s">
        <v>631</v>
      </c>
      <c r="AI167" s="1002" t="s">
        <v>631</v>
      </c>
      <c r="AJ167" s="1166" t="s">
        <v>725</v>
      </c>
      <c r="AK167" s="1408" t="s">
        <v>725</v>
      </c>
      <c r="AL167" s="1415">
        <v>50</v>
      </c>
      <c r="AM167" s="1323">
        <v>46141</v>
      </c>
      <c r="AN167" s="1323">
        <v>46142</v>
      </c>
      <c r="AO167" s="1323">
        <v>46143</v>
      </c>
      <c r="AP167" s="1323">
        <v>46144</v>
      </c>
      <c r="AQ167" s="1323"/>
      <c r="AR167" s="987"/>
      <c r="AS167" s="978" t="str">
        <f t="shared" si="28"/>
        <v>單</v>
      </c>
      <c r="AT167" s="978" t="str">
        <f t="shared" si="29"/>
        <v>全</v>
      </c>
      <c r="AU167" s="978">
        <f t="shared" si="30"/>
        <v>75</v>
      </c>
      <c r="AV167" s="978">
        <f t="shared" si="31"/>
        <v>1.790622288</v>
      </c>
    </row>
    <row r="168" spans="1:48">
      <c r="A168" s="975">
        <f t="shared" si="34"/>
        <v>46147</v>
      </c>
      <c r="B168" s="976" t="s">
        <v>215</v>
      </c>
      <c r="C168" s="976" t="s">
        <v>16188</v>
      </c>
      <c r="D168" s="1410" t="s">
        <v>633</v>
      </c>
      <c r="E168" s="977" t="str">
        <f>IFERROR(VLOOKUP(C168, [6]條件!$A:$L, 5, 0), "")</f>
        <v>75/24/2SDR2</v>
      </c>
      <c r="F168" s="978" t="str">
        <f>IFERROR(VLOOKUP(C168, [6]條件!$A:$L, 6, 0), "")</f>
        <v>FP81363R×2</v>
      </c>
      <c r="G168" s="1411">
        <f>IFERROR(VLOOKUP(C168, [6]條件!$A:$L, 7, 0), "")</f>
        <v>700</v>
      </c>
      <c r="H168" s="978" t="str">
        <f>IF(ISNA(VLOOKUP(C168,[6]條件!$A$1:$K$932,11,0)),"",(VLOOKUP(C168,[6]條件!$A$1:$K$932,11,0)))</f>
        <v>白綠條紋</v>
      </c>
      <c r="I168" s="979">
        <f>IF(ISNA(VLOOKUP(C168,[6]條件!$A$1:$L$932,12,0)),"",(VLOOKUP(C168,[6]條件!$A$1:$L$932,12,0)))</f>
        <v>5</v>
      </c>
      <c r="J168" s="980"/>
      <c r="K168" s="980"/>
      <c r="L168" s="981" t="s">
        <v>127</v>
      </c>
      <c r="M168" s="981"/>
      <c r="N168" s="982"/>
      <c r="O168" s="980"/>
      <c r="P168" s="981" t="s">
        <v>127</v>
      </c>
      <c r="Q168" s="981"/>
      <c r="R168" s="982"/>
      <c r="S168" s="980"/>
      <c r="T168" s="981" t="s">
        <v>127</v>
      </c>
      <c r="U168" s="981"/>
      <c r="V168" s="982"/>
      <c r="W168" s="980"/>
      <c r="X168" s="981" t="s">
        <v>127</v>
      </c>
      <c r="Y168" s="983"/>
      <c r="Z168" s="1412">
        <f>IFERROR(VLOOKUP(C168, [6]條件!$A:$L, 3, 0), "")</f>
        <v>3.2653061224489797</v>
      </c>
      <c r="AA168" s="984" t="str">
        <f>IF(OR(L168={"改紡","檢修","了機","清車","FINAL","停機","SAMPLE","TEST","絲開發"}), L168, IFERROR(IF(C168="", "", (SUM(J168, N168, R168, V168)/3 * AG168) * IF(AND(AF168="S", AS168="雙"), 0.5, 1)), ""))</f>
        <v>了機</v>
      </c>
      <c r="AB168" s="1413" t="str">
        <f t="shared" si="32"/>
        <v/>
      </c>
      <c r="AC168" s="984" t="str">
        <f>IF(OR(L168={"改紡","檢修","了機","清車","FINAL","停機","SAMPLE","TEST"}), "", IFERROR(IF(C168="", "", AVERAGE(L168:M168, P168:Q168, T168:U168, X168:Y168)/100), ""))</f>
        <v/>
      </c>
      <c r="AD168" s="984" t="str">
        <f t="shared" si="26"/>
        <v/>
      </c>
      <c r="AE168" s="984" t="str">
        <f t="shared" si="33"/>
        <v/>
      </c>
      <c r="AF168" s="985" t="str">
        <f t="shared" si="27"/>
        <v>A</v>
      </c>
      <c r="AG168" s="1414">
        <v>1</v>
      </c>
      <c r="AH168" s="1002" t="s">
        <v>16154</v>
      </c>
      <c r="AI168" s="981" t="s">
        <v>16154</v>
      </c>
      <c r="AJ168" s="1166" t="s">
        <v>725</v>
      </c>
      <c r="AK168" s="1408" t="s">
        <v>725</v>
      </c>
      <c r="AL168" s="1415">
        <v>53</v>
      </c>
      <c r="AM168" s="1323">
        <v>46109</v>
      </c>
      <c r="AN168" s="1323">
        <v>46110</v>
      </c>
      <c r="AO168" s="1323">
        <v>46112</v>
      </c>
      <c r="AP168" s="1323"/>
      <c r="AQ168" s="1323"/>
      <c r="AR168" s="987"/>
      <c r="AS168" s="978" t="str">
        <f t="shared" si="28"/>
        <v>雙</v>
      </c>
      <c r="AT168" s="978" t="str">
        <f t="shared" si="29"/>
        <v>半</v>
      </c>
      <c r="AU168" s="978">
        <f t="shared" si="30"/>
        <v>75</v>
      </c>
      <c r="AV168" s="978" t="str">
        <f t="shared" si="31"/>
        <v/>
      </c>
    </row>
    <row r="169" spans="1:48">
      <c r="A169" s="975">
        <f t="shared" si="34"/>
        <v>46147</v>
      </c>
      <c r="B169" s="976" t="s">
        <v>215</v>
      </c>
      <c r="C169" s="976" t="s">
        <v>16746</v>
      </c>
      <c r="D169" s="1410" t="s">
        <v>633</v>
      </c>
      <c r="E169" s="977" t="str">
        <f>IFERROR(VLOOKUP(C169, [6]條件!$A:$L, 5, 0), "")</f>
        <v>75/24/2SDr</v>
      </c>
      <c r="F169" s="978" t="str">
        <f>IFERROR(VLOOKUP(C169, [6]條件!$A:$L, 6, 0), "")</f>
        <v>FP81391R×2</v>
      </c>
      <c r="G169" s="1411">
        <f>IFERROR(VLOOKUP(C169, [6]條件!$A:$L, 7, 0), "")</f>
        <v>700</v>
      </c>
      <c r="H169" s="978" t="str">
        <f>IF(ISNA(VLOOKUP(C169,[6]條件!$A$1:$K$932,11,0)),"",(VLOOKUP(C169,[6]條件!$A$1:$K$932,11,0)))</f>
        <v>紅底白點</v>
      </c>
      <c r="I169" s="979">
        <f>IF(ISNA(VLOOKUP(C169,[6]條件!$A$1:$L$932,12,0)),"",(VLOOKUP(C169,[6]條件!$A$1:$L$932,12,0)))</f>
        <v>5</v>
      </c>
      <c r="J169" s="980">
        <v>6</v>
      </c>
      <c r="K169" s="980">
        <v>0</v>
      </c>
      <c r="L169" s="981">
        <v>5041</v>
      </c>
      <c r="M169" s="981"/>
      <c r="N169" s="982">
        <v>4</v>
      </c>
      <c r="O169" s="980">
        <v>0</v>
      </c>
      <c r="P169" s="981">
        <v>7496</v>
      </c>
      <c r="Q169" s="981"/>
      <c r="R169" s="982">
        <v>10</v>
      </c>
      <c r="S169" s="980">
        <v>0</v>
      </c>
      <c r="T169" s="981"/>
      <c r="U169" s="981">
        <v>7614</v>
      </c>
      <c r="V169" s="982">
        <v>12</v>
      </c>
      <c r="W169" s="980">
        <v>0</v>
      </c>
      <c r="X169" s="981"/>
      <c r="Y169" s="983">
        <v>7373</v>
      </c>
      <c r="Z169" s="1412">
        <f>IFERROR(VLOOKUP(C169, [6]條件!$A:$L, 3, 0), "")</f>
        <v>3.2653061224489797</v>
      </c>
      <c r="AA169" s="984">
        <f>IF(OR(L169={"改紡","檢修","了機","清車","FINAL","停機","SAMPLE","TEST","絲開發"}), L169, IFERROR(IF(C169="", "", (SUM(J169, N169, R169, V169)/3 * AG169) * IF(AND(AF169="S", AS169="雙"), 0.5, 1)), ""))</f>
        <v>10.666666666666666</v>
      </c>
      <c r="AB169" s="1413">
        <f t="shared" si="32"/>
        <v>1</v>
      </c>
      <c r="AC169" s="984">
        <f>IF(OR(L169={"改紡","檢修","了機","清車","FINAL","停機","SAMPLE","TEST"}), "", IFERROR(IF(C169="", "", AVERAGE(L169:M169, P169:Q169, T169:U169, X169:Y169)/100), ""))</f>
        <v>68.81</v>
      </c>
      <c r="AD169" s="984">
        <f t="shared" si="26"/>
        <v>1.3333333333333333</v>
      </c>
      <c r="AE169" s="984">
        <f t="shared" si="33"/>
        <v>1.3333333333333333</v>
      </c>
      <c r="AF169" s="985" t="str">
        <f t="shared" si="27"/>
        <v>A</v>
      </c>
      <c r="AG169" s="1414">
        <v>1</v>
      </c>
      <c r="AH169" s="1002" t="s">
        <v>16154</v>
      </c>
      <c r="AI169" s="1002" t="s">
        <v>16154</v>
      </c>
      <c r="AJ169" s="1433" t="s">
        <v>725</v>
      </c>
      <c r="AK169" s="1434" t="s">
        <v>725</v>
      </c>
      <c r="AL169" s="1415">
        <v>53</v>
      </c>
      <c r="AM169" s="1323">
        <v>46115</v>
      </c>
      <c r="AN169" s="1323">
        <v>46117</v>
      </c>
      <c r="AO169" s="1323"/>
      <c r="AP169" s="1323"/>
      <c r="AQ169" s="1323"/>
      <c r="AR169" s="987"/>
      <c r="AS169" s="978" t="str">
        <f t="shared" si="28"/>
        <v>雙</v>
      </c>
      <c r="AT169" s="978" t="str">
        <f t="shared" si="29"/>
        <v>半</v>
      </c>
      <c r="AU169" s="978">
        <f t="shared" si="30"/>
        <v>75</v>
      </c>
      <c r="AV169" s="978">
        <f t="shared" si="31"/>
        <v>0.62424431999999996</v>
      </c>
    </row>
    <row r="170" spans="1:48">
      <c r="A170" s="975">
        <f t="shared" si="34"/>
        <v>46147</v>
      </c>
      <c r="B170" s="976" t="s">
        <v>216</v>
      </c>
      <c r="C170" s="976" t="s">
        <v>632</v>
      </c>
      <c r="D170" s="1410"/>
      <c r="E170" s="977" t="str">
        <f>IFERROR(VLOOKUP(C170, [6]條件!$A:$L, 5, 0), "")</f>
        <v/>
      </c>
      <c r="F170" s="978" t="str">
        <f>IFERROR(VLOOKUP(C170, [6]條件!$A:$L, 6, 0), "")</f>
        <v/>
      </c>
      <c r="G170" s="1411" t="str">
        <f>IFERROR(VLOOKUP(C170, [6]條件!$A:$L, 7, 0), "")</f>
        <v/>
      </c>
      <c r="H170" s="978" t="str">
        <f>IF(ISNA(VLOOKUP(C170,[6]條件!$A$1:$K$932,11,0)),"",(VLOOKUP(C170,[6]條件!$A$1:$K$932,11,0)))</f>
        <v/>
      </c>
      <c r="I170" s="979" t="str">
        <f>IF(ISNA(VLOOKUP(C170,[6]條件!$A$1:$L$932,12,0)),"",(VLOOKUP(C170,[6]條件!$A$1:$L$932,12,0)))</f>
        <v/>
      </c>
      <c r="J170" s="980"/>
      <c r="K170" s="980"/>
      <c r="L170" s="981" t="s">
        <v>632</v>
      </c>
      <c r="M170" s="981"/>
      <c r="N170" s="982"/>
      <c r="O170" s="980"/>
      <c r="P170" s="981" t="s">
        <v>632</v>
      </c>
      <c r="Q170" s="981"/>
      <c r="R170" s="982"/>
      <c r="S170" s="980"/>
      <c r="T170" s="981" t="s">
        <v>632</v>
      </c>
      <c r="U170" s="981"/>
      <c r="V170" s="982"/>
      <c r="W170" s="980"/>
      <c r="X170" s="981" t="s">
        <v>632</v>
      </c>
      <c r="Y170" s="983"/>
      <c r="Z170" s="1412" t="str">
        <f>IFERROR(VLOOKUP(C170, [6]條件!$A:$L, 3, 0), "")</f>
        <v/>
      </c>
      <c r="AA170" s="984" t="str">
        <f>IF(OR(L170={"改紡","檢修","了機","清車","FINAL","停機","SAMPLE","TEST","絲開發"}), L170, IFERROR(IF(C170="", "", (SUM(J170, N170, R170, V170)/3 * AG170) * IF(AND(AF170="S", AS170="雙"), 0.5, 1)), ""))</f>
        <v>停機</v>
      </c>
      <c r="AB170" s="1413" t="str">
        <f t="shared" si="32"/>
        <v/>
      </c>
      <c r="AC170" s="984" t="str">
        <f>IF(OR(L170={"改紡","檢修","了機","清車","FINAL","停機","SAMPLE","TEST"}), "", IFERROR(IF(C170="", "", AVERAGE(L170:M170, P170:Q170, T170:U170, X170:Y170)/100), ""))</f>
        <v/>
      </c>
      <c r="AD170" s="984" t="str">
        <f t="shared" si="26"/>
        <v/>
      </c>
      <c r="AE170" s="984" t="str">
        <f t="shared" si="33"/>
        <v/>
      </c>
      <c r="AF170" s="985" t="str">
        <f t="shared" si="27"/>
        <v>A</v>
      </c>
      <c r="AG170" s="1414">
        <v>1</v>
      </c>
      <c r="AH170" s="1002" t="s">
        <v>640</v>
      </c>
      <c r="AI170" s="1002" t="s">
        <v>640</v>
      </c>
      <c r="AJ170" s="981" t="s">
        <v>640</v>
      </c>
      <c r="AK170" s="981" t="s">
        <v>640</v>
      </c>
      <c r="AL170" s="1415"/>
      <c r="AM170" s="1323"/>
      <c r="AN170" s="1323"/>
      <c r="AO170" s="1323"/>
      <c r="AP170" s="1323"/>
      <c r="AQ170" s="1323"/>
      <c r="AR170" s="987"/>
      <c r="AS170" s="978" t="str">
        <f t="shared" si="28"/>
        <v>單</v>
      </c>
      <c r="AT170" s="978" t="str">
        <f t="shared" si="29"/>
        <v>全</v>
      </c>
      <c r="AU170" s="978" t="str">
        <f t="shared" si="30"/>
        <v/>
      </c>
      <c r="AV170" s="978" t="str">
        <f t="shared" si="31"/>
        <v/>
      </c>
    </row>
    <row r="171" spans="1:48">
      <c r="A171" s="975">
        <f t="shared" si="34"/>
        <v>46147</v>
      </c>
      <c r="B171" s="976" t="s">
        <v>217</v>
      </c>
      <c r="C171" s="976" t="s">
        <v>16197</v>
      </c>
      <c r="D171" s="1410"/>
      <c r="E171" s="977" t="str">
        <f>IFERROR(VLOOKUP(C171, [6]條件!$A:$L, 5, 0), "")</f>
        <v>75/36HC</v>
      </c>
      <c r="F171" s="978" t="str">
        <f>IFERROR(VLOOKUP(C171, [6]條件!$A:$L, 6, 0), "")</f>
        <v>FP81857R</v>
      </c>
      <c r="G171" s="1411">
        <f>IFERROR(VLOOKUP(C171, [6]條件!$A:$L, 7, 0), "")</f>
        <v>600</v>
      </c>
      <c r="H171" s="978" t="str">
        <f>IF(ISNA(VLOOKUP(C171,[6]條件!$A$1:$K$932,11,0)),"",(VLOOKUP(C171,[6]條件!$A$1:$K$932,11,0)))</f>
        <v>白底綠方塊</v>
      </c>
      <c r="I171" s="979">
        <f>IF(ISNA(VLOOKUP(C171,[6]條件!$A$1:$L$932,12,0)),"",(VLOOKUP(C171,[6]條件!$A$1:$L$932,12,0)))</f>
        <v>4</v>
      </c>
      <c r="J171" s="980">
        <v>23</v>
      </c>
      <c r="K171" s="980">
        <v>0</v>
      </c>
      <c r="L171" s="981">
        <v>8184</v>
      </c>
      <c r="M171" s="981">
        <v>8777</v>
      </c>
      <c r="N171" s="982">
        <v>10</v>
      </c>
      <c r="O171" s="980">
        <v>0</v>
      </c>
      <c r="P171" s="981">
        <v>8169</v>
      </c>
      <c r="Q171" s="981">
        <v>8727</v>
      </c>
      <c r="R171" s="982">
        <v>8</v>
      </c>
      <c r="S171" s="980">
        <v>0</v>
      </c>
      <c r="T171" s="981">
        <v>8194</v>
      </c>
      <c r="U171" s="981">
        <v>8767</v>
      </c>
      <c r="V171" s="982">
        <v>23</v>
      </c>
      <c r="W171" s="980">
        <v>2</v>
      </c>
      <c r="X171" s="981">
        <v>8232</v>
      </c>
      <c r="Y171" s="983">
        <v>8773</v>
      </c>
      <c r="Z171" s="1412">
        <f>IFERROR(VLOOKUP(C171, [6]條件!$A:$L, 3, 0), "")</f>
        <v>1.7496962332928312</v>
      </c>
      <c r="AA171" s="984">
        <f>IF(OR(L171={"改紡","檢修","了機","清車","FINAL","停機","SAMPLE","TEST","絲開發"}), L171, IFERROR(IF(C171="", "", (SUM(J171, N171, R171, V171)/3 * AG171) * IF(AND(AF171="S", AS171="雙"), 0.5, 1)), ""))</f>
        <v>21.333333333333332</v>
      </c>
      <c r="AB171" s="1413">
        <f t="shared" si="32"/>
        <v>0.99450454059829063</v>
      </c>
      <c r="AC171" s="984">
        <f>IF(OR(L171={"改紡","檢修","了機","清車","FINAL","停機","SAMPLE","TEST"}), "", IFERROR(IF(C171="", "", AVERAGE(L171:M171, P171:Q171, T171:U171, X171:Y171)/100), ""))</f>
        <v>84.778750000000002</v>
      </c>
      <c r="AD171" s="984">
        <f t="shared" si="26"/>
        <v>2.6666666666666665</v>
      </c>
      <c r="AE171" s="984">
        <f t="shared" si="33"/>
        <v>2.5833333333333335</v>
      </c>
      <c r="AF171" s="985" t="str">
        <f t="shared" si="27"/>
        <v>A</v>
      </c>
      <c r="AG171" s="1414">
        <v>1</v>
      </c>
      <c r="AH171" s="1002" t="s">
        <v>16154</v>
      </c>
      <c r="AI171" s="1002" t="s">
        <v>16154</v>
      </c>
      <c r="AJ171" s="1002" t="s">
        <v>634</v>
      </c>
      <c r="AK171" s="981" t="s">
        <v>634</v>
      </c>
      <c r="AL171" s="1415">
        <v>54</v>
      </c>
      <c r="AM171" s="1323">
        <v>45949</v>
      </c>
      <c r="AN171" s="1323">
        <v>45951</v>
      </c>
      <c r="AO171" s="1323">
        <v>45952</v>
      </c>
      <c r="AP171" s="1323"/>
      <c r="AQ171" s="1323"/>
      <c r="AR171" s="987"/>
      <c r="AS171" s="978" t="str">
        <f t="shared" si="28"/>
        <v>單</v>
      </c>
      <c r="AT171" s="978" t="str">
        <f t="shared" si="29"/>
        <v>全</v>
      </c>
      <c r="AU171" s="978">
        <f t="shared" si="30"/>
        <v>75</v>
      </c>
      <c r="AV171" s="978">
        <f t="shared" si="31"/>
        <v>1.3184791200000001</v>
      </c>
    </row>
    <row r="172" spans="1:48">
      <c r="A172" s="975">
        <f t="shared" si="34"/>
        <v>46147</v>
      </c>
      <c r="B172" s="976" t="s">
        <v>218</v>
      </c>
      <c r="C172" s="976" t="s">
        <v>16744</v>
      </c>
      <c r="D172" s="1410" t="s">
        <v>633</v>
      </c>
      <c r="E172" s="977" t="str">
        <f>IFERROR(VLOOKUP(C172, [6]條件!$A:$L, 5, 0), "")</f>
        <v>75/24/2SDr</v>
      </c>
      <c r="F172" s="978" t="str">
        <f>IFERROR(VLOOKUP(C172, [6]條件!$A:$L, 6, 0), "")</f>
        <v>FP81382R×2</v>
      </c>
      <c r="G172" s="1411">
        <f>IFERROR(VLOOKUP(C172, [6]條件!$A:$L, 7, 0), "")</f>
        <v>700</v>
      </c>
      <c r="H172" s="978" t="str">
        <f>IF(ISNA(VLOOKUP(C172,[6]條件!$A$1:$K$932,11,0)),"",(VLOOKUP(C172,[6]條件!$A$1:$K$932,11,0)))</f>
        <v>藍色</v>
      </c>
      <c r="I172" s="979">
        <f>IF(ISNA(VLOOKUP(C172,[6]條件!$A$1:$L$932,12,0)),"",(VLOOKUP(C172,[6]條件!$A$1:$L$932,12,0)))</f>
        <v>5</v>
      </c>
      <c r="J172" s="980">
        <v>10</v>
      </c>
      <c r="K172" s="980">
        <v>0</v>
      </c>
      <c r="L172" s="981">
        <v>8717</v>
      </c>
      <c r="M172" s="981" t="s">
        <v>632</v>
      </c>
      <c r="N172" s="982">
        <v>10</v>
      </c>
      <c r="O172" s="980">
        <v>0</v>
      </c>
      <c r="P172" s="981">
        <v>8517</v>
      </c>
      <c r="Q172" s="981" t="s">
        <v>632</v>
      </c>
      <c r="R172" s="982">
        <v>6</v>
      </c>
      <c r="S172" s="980">
        <v>0</v>
      </c>
      <c r="T172" s="981">
        <v>8557</v>
      </c>
      <c r="U172" s="981" t="s">
        <v>632</v>
      </c>
      <c r="V172" s="982">
        <v>8</v>
      </c>
      <c r="W172" s="980">
        <v>0</v>
      </c>
      <c r="X172" s="981">
        <v>8617</v>
      </c>
      <c r="Y172" s="983" t="s">
        <v>632</v>
      </c>
      <c r="Z172" s="1412">
        <f>IFERROR(VLOOKUP(C172, [6]條件!$A:$L, 3, 0), "")</f>
        <v>3.2505643340857788</v>
      </c>
      <c r="AA172" s="984">
        <f>IF(OR(L172={"改紡","檢修","了機","清車","FINAL","停機","SAMPLE","TEST","絲開發"}), L172, IFERROR(IF(C172="", "", (SUM(J172, N172, R172, V172)/3 * AG172) * IF(AND(AF172="S", AS172="雙"), 0.5, 1)), ""))</f>
        <v>11.333333333333334</v>
      </c>
      <c r="AB172" s="1413">
        <f t="shared" si="32"/>
        <v>1</v>
      </c>
      <c r="AC172" s="984">
        <f>IF(OR(L172={"改紡","檢修","了機","清車","FINAL","停機","SAMPLE","TEST"}), "", IFERROR(IF(C172="", "", AVERAGE(L172:M172, P172:Q172, T172:U172, X172:Y172)/100), ""))</f>
        <v>86.02</v>
      </c>
      <c r="AD172" s="984">
        <f t="shared" si="26"/>
        <v>1.4166666666666667</v>
      </c>
      <c r="AE172" s="984">
        <f t="shared" si="33"/>
        <v>1.4166666666666667</v>
      </c>
      <c r="AF172" s="985" t="str">
        <f t="shared" si="27"/>
        <v>A</v>
      </c>
      <c r="AG172" s="1414">
        <v>1</v>
      </c>
      <c r="AH172" s="1002" t="s">
        <v>16154</v>
      </c>
      <c r="AI172" s="1002" t="s">
        <v>16154</v>
      </c>
      <c r="AJ172" s="1002" t="s">
        <v>634</v>
      </c>
      <c r="AK172" s="981" t="s">
        <v>634</v>
      </c>
      <c r="AL172" s="1415">
        <v>50</v>
      </c>
      <c r="AM172" s="1323">
        <v>46105</v>
      </c>
      <c r="AN172" s="1323">
        <v>46106</v>
      </c>
      <c r="AO172" s="1323">
        <v>46107</v>
      </c>
      <c r="AP172" s="1323">
        <v>46109</v>
      </c>
      <c r="AQ172" s="1323"/>
      <c r="AR172" s="987"/>
      <c r="AS172" s="978" t="str">
        <f t="shared" si="28"/>
        <v>雙</v>
      </c>
      <c r="AT172" s="978" t="str">
        <f t="shared" si="29"/>
        <v>半</v>
      </c>
      <c r="AU172" s="978">
        <f t="shared" si="30"/>
        <v>75</v>
      </c>
      <c r="AV172" s="978">
        <f t="shared" si="31"/>
        <v>0.78037343999999997</v>
      </c>
    </row>
    <row r="173" spans="1:48">
      <c r="A173" s="975">
        <f t="shared" si="34"/>
        <v>46147</v>
      </c>
      <c r="B173" s="976" t="s">
        <v>219</v>
      </c>
      <c r="C173" s="976" t="s">
        <v>16745</v>
      </c>
      <c r="D173" s="1410" t="s">
        <v>16748</v>
      </c>
      <c r="E173" s="977" t="str">
        <f>IFERROR(VLOOKUP(C173, [6]條件!$A:$L, 5, 0), "")</f>
        <v>50/72BSD3</v>
      </c>
      <c r="F173" s="978" t="str">
        <f>IFERROR(VLOOKUP(C173, [6]條件!$A:$L, 6, 0), "")</f>
        <v>FP80141</v>
      </c>
      <c r="G173" s="1411">
        <f>IFERROR(VLOOKUP(C173, [6]條件!$A:$L, 7, 0), "")</f>
        <v>630</v>
      </c>
      <c r="H173" s="978" t="str">
        <f>IF(ISNA(VLOOKUP(C173,[6]條件!$A$1:$K$932,11,0)),"",(VLOOKUP(C173,[6]條件!$A$1:$K$932,11,0)))</f>
        <v>洋綠色</v>
      </c>
      <c r="I173" s="979">
        <f>IF(ISNA(VLOOKUP(C173,[6]條件!$A$1:$L$932,12,0)),"",(VLOOKUP(C173,[6]條件!$A$1:$L$932,12,0)))</f>
        <v>2</v>
      </c>
      <c r="J173" s="980">
        <v>22</v>
      </c>
      <c r="K173" s="980">
        <v>4</v>
      </c>
      <c r="L173" s="981">
        <v>9851</v>
      </c>
      <c r="M173" s="981">
        <v>9858</v>
      </c>
      <c r="N173" s="982">
        <v>8</v>
      </c>
      <c r="O173" s="980">
        <v>0</v>
      </c>
      <c r="P173" s="981">
        <v>9852</v>
      </c>
      <c r="Q173" s="981">
        <v>9774</v>
      </c>
      <c r="R173" s="982">
        <v>5</v>
      </c>
      <c r="S173" s="980">
        <v>0</v>
      </c>
      <c r="T173" s="981">
        <v>9769</v>
      </c>
      <c r="U173" s="981">
        <v>9755</v>
      </c>
      <c r="V173" s="982">
        <v>17</v>
      </c>
      <c r="W173" s="980">
        <v>0</v>
      </c>
      <c r="X173" s="981">
        <v>9765</v>
      </c>
      <c r="Y173" s="983">
        <v>9755</v>
      </c>
      <c r="Z173" s="1412">
        <f>IFERROR(VLOOKUP(C173, [6]條件!$A:$L, 3, 0), "")</f>
        <v>2.4615384615384617</v>
      </c>
      <c r="AA173" s="984">
        <f>IF(OR(L173={"改紡","檢修","了機","清車","FINAL","停機","SAMPLE","TEST","絲開發"}), L173, IFERROR(IF(C173="", "", (SUM(J173, N173, R173, V173)/3 * AG173) * IF(AND(AF173="S", AS173="雙"), 0.5, 1)), ""))</f>
        <v>17.333333333333332</v>
      </c>
      <c r="AB173" s="1413">
        <f t="shared" si="32"/>
        <v>0.9921875</v>
      </c>
      <c r="AC173" s="984">
        <f>IF(OR(L173={"改紡","檢修","了機","清車","FINAL","停機","SAMPLE","TEST"}), "", IFERROR(IF(C173="", "", AVERAGE(L173:M173, P173:Q173, T173:U173, X173:Y173)/100), ""))</f>
        <v>97.973749999999995</v>
      </c>
      <c r="AD173" s="984">
        <f t="shared" si="26"/>
        <v>2.1666666666666665</v>
      </c>
      <c r="AE173" s="984">
        <f t="shared" si="33"/>
        <v>2</v>
      </c>
      <c r="AF173" s="985" t="str">
        <f t="shared" si="27"/>
        <v>A</v>
      </c>
      <c r="AG173" s="1414">
        <v>1</v>
      </c>
      <c r="AH173" s="1002" t="s">
        <v>631</v>
      </c>
      <c r="AI173" s="1002" t="s">
        <v>631</v>
      </c>
      <c r="AJ173" s="1418" t="s">
        <v>725</v>
      </c>
      <c r="AK173" s="1432" t="s">
        <v>725</v>
      </c>
      <c r="AL173" s="1415">
        <v>57</v>
      </c>
      <c r="AM173" s="1324">
        <v>46085</v>
      </c>
      <c r="AN173" s="1323">
        <v>46086</v>
      </c>
      <c r="AO173" s="1323">
        <v>46087</v>
      </c>
      <c r="AP173" s="1323">
        <v>46088</v>
      </c>
      <c r="AQ173" s="1323"/>
      <c r="AR173" s="987"/>
      <c r="AS173" s="978" t="str">
        <f t="shared" si="28"/>
        <v>單</v>
      </c>
      <c r="AT173" s="978" t="str">
        <f t="shared" si="29"/>
        <v>全</v>
      </c>
      <c r="AU173" s="978">
        <f t="shared" si="30"/>
        <v>50</v>
      </c>
      <c r="AV173" s="978">
        <f t="shared" si="31"/>
        <v>1.066581432</v>
      </c>
    </row>
    <row r="174" spans="1:48">
      <c r="A174" s="975">
        <f t="shared" si="34"/>
        <v>46147</v>
      </c>
      <c r="B174" s="976" t="s">
        <v>220</v>
      </c>
      <c r="C174" s="976" t="s">
        <v>632</v>
      </c>
      <c r="D174" s="1410"/>
      <c r="E174" s="977" t="str">
        <f>IFERROR(VLOOKUP(C174, [6]條件!$A:$L, 5, 0), "")</f>
        <v/>
      </c>
      <c r="F174" s="978" t="str">
        <f>IFERROR(VLOOKUP(C174, [6]條件!$A:$L, 6, 0), "")</f>
        <v/>
      </c>
      <c r="G174" s="1411" t="str">
        <f>IFERROR(VLOOKUP(C174, [6]條件!$A:$L, 7, 0), "")</f>
        <v/>
      </c>
      <c r="H174" s="978" t="str">
        <f>IF(ISNA(VLOOKUP(C174,[6]條件!$A$1:$K$932,11,0)),"",(VLOOKUP(C174,[6]條件!$A$1:$K$932,11,0)))</f>
        <v/>
      </c>
      <c r="I174" s="979" t="str">
        <f>IF(ISNA(VLOOKUP(C174,[6]條件!$A$1:$L$932,12,0)),"",(VLOOKUP(C174,[6]條件!$A$1:$L$932,12,0)))</f>
        <v/>
      </c>
      <c r="J174" s="980"/>
      <c r="K174" s="980"/>
      <c r="L174" s="981" t="s">
        <v>632</v>
      </c>
      <c r="M174" s="981"/>
      <c r="N174" s="982"/>
      <c r="O174" s="980"/>
      <c r="P174" s="981" t="s">
        <v>632</v>
      </c>
      <c r="Q174" s="981"/>
      <c r="R174" s="982"/>
      <c r="S174" s="980"/>
      <c r="T174" s="981" t="s">
        <v>632</v>
      </c>
      <c r="U174" s="981"/>
      <c r="V174" s="982"/>
      <c r="W174" s="980"/>
      <c r="X174" s="981" t="s">
        <v>632</v>
      </c>
      <c r="Y174" s="983"/>
      <c r="Z174" s="1412" t="str">
        <f>IFERROR(VLOOKUP(C174, [6]條件!$A:$L, 3, 0), "")</f>
        <v/>
      </c>
      <c r="AA174" s="984" t="str">
        <f>IF(OR(L174={"改紡","檢修","了機","清車","FINAL","停機","SAMPLE","TEST","絲開發"}), L174, IFERROR(IF(C174="", "", (SUM(J174, N174, R174, V174)/3 * AG174) * IF(AND(AF174="S", AS174="雙"), 0.5, 1)), ""))</f>
        <v>停機</v>
      </c>
      <c r="AB174" s="1413" t="str">
        <f t="shared" si="32"/>
        <v/>
      </c>
      <c r="AC174" s="984" t="str">
        <f>IF(OR(L174={"改紡","檢修","了機","清車","FINAL","停機","SAMPLE","TEST"}), "", IFERROR(IF(C174="", "", AVERAGE(L174:M174, P174:Q174, T174:U174, X174:Y174)/100), ""))</f>
        <v/>
      </c>
      <c r="AD174" s="984" t="str">
        <f t="shared" si="26"/>
        <v/>
      </c>
      <c r="AE174" s="984" t="str">
        <f t="shared" si="33"/>
        <v/>
      </c>
      <c r="AF174" s="985" t="str">
        <f t="shared" si="27"/>
        <v>A</v>
      </c>
      <c r="AG174" s="1414">
        <v>1</v>
      </c>
      <c r="AH174" s="1002" t="s">
        <v>640</v>
      </c>
      <c r="AI174" s="1002" t="s">
        <v>640</v>
      </c>
      <c r="AJ174" s="986" t="s">
        <v>640</v>
      </c>
      <c r="AK174" s="1417" t="s">
        <v>640</v>
      </c>
      <c r="AL174" s="1415"/>
      <c r="AM174" s="1323"/>
      <c r="AN174" s="1323"/>
      <c r="AO174" s="1323"/>
      <c r="AP174" s="1323"/>
      <c r="AQ174" s="1323"/>
      <c r="AR174" s="987"/>
      <c r="AS174" s="978" t="str">
        <f t="shared" si="28"/>
        <v>單</v>
      </c>
      <c r="AT174" s="978" t="str">
        <f t="shared" si="29"/>
        <v>全</v>
      </c>
      <c r="AU174" s="978" t="str">
        <f t="shared" si="30"/>
        <v/>
      </c>
      <c r="AV174" s="978" t="str">
        <f t="shared" si="31"/>
        <v/>
      </c>
    </row>
    <row r="175" spans="1:48">
      <c r="A175" s="975">
        <f t="shared" si="34"/>
        <v>46147</v>
      </c>
      <c r="B175" s="976" t="s">
        <v>221</v>
      </c>
      <c r="C175" s="976" t="s">
        <v>16725</v>
      </c>
      <c r="D175" s="1410"/>
      <c r="E175" s="977" t="str">
        <f>IFERROR(VLOOKUP(C175, [6]條件!$A:$L, 5, 0), "")</f>
        <v>150/48HC</v>
      </c>
      <c r="F175" s="978" t="str">
        <f>IFERROR(VLOOKUP(C175, [6]條件!$A:$L, 6, 0), "")</f>
        <v>FP82781</v>
      </c>
      <c r="G175" s="1411">
        <f>IFERROR(VLOOKUP(C175, [6]條件!$A:$L, 7, 0), "")</f>
        <v>600</v>
      </c>
      <c r="H175" s="978" t="str">
        <f>IF(ISNA(VLOOKUP(C175,[6]條件!$A$1:$K$932,11,0)),"",(VLOOKUP(C175,[6]條件!$A$1:$K$932,11,0)))</f>
        <v>黃底白點</v>
      </c>
      <c r="I175" s="979">
        <f>IF(ISNA(VLOOKUP(C175,[6]條件!$A$1:$L$932,12,0)),"",(VLOOKUP(C175,[6]條件!$A$1:$L$932,12,0)))</f>
        <v>5</v>
      </c>
      <c r="J175" s="980">
        <v>14</v>
      </c>
      <c r="K175" s="980">
        <v>2</v>
      </c>
      <c r="L175" s="981">
        <v>8791</v>
      </c>
      <c r="M175" s="981">
        <v>8361</v>
      </c>
      <c r="N175" s="982">
        <v>6</v>
      </c>
      <c r="O175" s="980">
        <v>1</v>
      </c>
      <c r="P175" s="981">
        <v>8807</v>
      </c>
      <c r="Q175" s="981">
        <v>8271</v>
      </c>
      <c r="R175" s="982">
        <v>3</v>
      </c>
      <c r="S175" s="980">
        <v>0</v>
      </c>
      <c r="T175" s="981">
        <v>8840</v>
      </c>
      <c r="U175" s="981">
        <v>8372</v>
      </c>
      <c r="V175" s="982">
        <v>12</v>
      </c>
      <c r="W175" s="980">
        <v>2</v>
      </c>
      <c r="X175" s="981">
        <v>8770</v>
      </c>
      <c r="Y175" s="983">
        <v>8414</v>
      </c>
      <c r="Z175" s="1412">
        <f>IFERROR(VLOOKUP(C175, [6]條件!$A:$L, 3, 0), "")</f>
        <v>2.8685258964143427</v>
      </c>
      <c r="AA175" s="984">
        <f>IF(OR(L175={"改紡","檢修","了機","清車","FINAL","停機","SAMPLE","TEST","絲開發"}), L175, IFERROR(IF(C175="", "", (SUM(J175, N175, R175, V175)/3 * AG175) * IF(AND(AF175="S", AS175="雙"), 0.5, 1)), ""))</f>
        <v>11.666666666666666</v>
      </c>
      <c r="AB175" s="1413">
        <f t="shared" si="32"/>
        <v>0.99161992521367526</v>
      </c>
      <c r="AC175" s="984">
        <f>IF(OR(L175={"改紡","檢修","了機","清車","FINAL","停機","SAMPLE","TEST"}), "", IFERROR(IF(C175="", "", AVERAGE(L175:M175, P175:Q175, T175:U175, X175:Y175)/100), ""))</f>
        <v>85.782499999999999</v>
      </c>
      <c r="AD175" s="984">
        <f t="shared" si="26"/>
        <v>1.4583333333333333</v>
      </c>
      <c r="AE175" s="984">
        <f t="shared" si="33"/>
        <v>1.25</v>
      </c>
      <c r="AF175" s="985" t="str">
        <f t="shared" si="27"/>
        <v>A</v>
      </c>
      <c r="AG175" s="1414">
        <v>1</v>
      </c>
      <c r="AH175" s="1002" t="s">
        <v>631</v>
      </c>
      <c r="AI175" s="1002" t="s">
        <v>631</v>
      </c>
      <c r="AJ175" s="1435" t="s">
        <v>725</v>
      </c>
      <c r="AK175" s="1416" t="s">
        <v>725</v>
      </c>
      <c r="AL175" s="1415">
        <v>54</v>
      </c>
      <c r="AM175" s="1323">
        <v>46140</v>
      </c>
      <c r="AN175" s="1323">
        <v>46144</v>
      </c>
      <c r="AO175" s="1323">
        <v>46145</v>
      </c>
      <c r="AP175" s="1323"/>
      <c r="AQ175" s="1323"/>
      <c r="AR175" s="987"/>
      <c r="AS175" s="978" t="str">
        <f t="shared" si="28"/>
        <v>單</v>
      </c>
      <c r="AT175" s="978" t="str">
        <f t="shared" si="29"/>
        <v>全</v>
      </c>
      <c r="AU175" s="978">
        <f t="shared" si="30"/>
        <v>150</v>
      </c>
      <c r="AV175" s="978">
        <f t="shared" si="31"/>
        <v>2.6681788800000001</v>
      </c>
    </row>
    <row r="176" spans="1:48">
      <c r="A176" s="975">
        <f t="shared" si="34"/>
        <v>46147</v>
      </c>
      <c r="B176" s="976" t="s">
        <v>222</v>
      </c>
      <c r="C176" s="976" t="s">
        <v>632</v>
      </c>
      <c r="D176" s="1410"/>
      <c r="E176" s="977" t="str">
        <f>IFERROR(VLOOKUP(C176, [6]條件!$A:$L, 5, 0), "")</f>
        <v/>
      </c>
      <c r="F176" s="978" t="str">
        <f>IFERROR(VLOOKUP(C176, [6]條件!$A:$L, 6, 0), "")</f>
        <v/>
      </c>
      <c r="G176" s="1411" t="str">
        <f>IFERROR(VLOOKUP(C176, [6]條件!$A:$L, 7, 0), "")</f>
        <v/>
      </c>
      <c r="H176" s="978" t="str">
        <f>IF(ISNA(VLOOKUP(C176,[6]條件!$A$1:$K$932,11,0)),"",(VLOOKUP(C176,[6]條件!$A$1:$K$932,11,0)))</f>
        <v/>
      </c>
      <c r="I176" s="979" t="str">
        <f>IF(ISNA(VLOOKUP(C176,[6]條件!$A$1:$L$932,12,0)),"",(VLOOKUP(C176,[6]條件!$A$1:$L$932,12,0)))</f>
        <v/>
      </c>
      <c r="J176" s="980"/>
      <c r="K176" s="980"/>
      <c r="L176" s="981" t="s">
        <v>632</v>
      </c>
      <c r="M176" s="981"/>
      <c r="N176" s="982"/>
      <c r="O176" s="980"/>
      <c r="P176" s="981" t="s">
        <v>632</v>
      </c>
      <c r="Q176" s="981"/>
      <c r="R176" s="982"/>
      <c r="S176" s="980"/>
      <c r="T176" s="981" t="s">
        <v>632</v>
      </c>
      <c r="U176" s="981"/>
      <c r="V176" s="982"/>
      <c r="W176" s="980"/>
      <c r="X176" s="981" t="s">
        <v>632</v>
      </c>
      <c r="Y176" s="983"/>
      <c r="Z176" s="1412" t="str">
        <f>IFERROR(VLOOKUP(C176, [6]條件!$A:$L, 3, 0), "")</f>
        <v/>
      </c>
      <c r="AA176" s="984" t="str">
        <f>IF(OR(L176={"改紡","檢修","了機","清車","FINAL","停機","SAMPLE","TEST","絲開發"}), L176, IFERROR(IF(C176="", "", (SUM(J176, N176, R176, V176)/3 * AG176) * IF(AND(AF176="S", AS176="雙"), 0.5, 1)), ""))</f>
        <v>停機</v>
      </c>
      <c r="AB176" s="1413" t="str">
        <f t="shared" si="32"/>
        <v/>
      </c>
      <c r="AC176" s="984" t="str">
        <f>IF(OR(L176={"改紡","檢修","了機","清車","FINAL","停機","SAMPLE","TEST"}), "", IFERROR(IF(C176="", "", AVERAGE(L176:M176, P176:Q176, T176:U176, X176:Y176)/100), ""))</f>
        <v/>
      </c>
      <c r="AD176" s="984" t="str">
        <f t="shared" si="26"/>
        <v/>
      </c>
      <c r="AE176" s="984" t="str">
        <f t="shared" si="33"/>
        <v/>
      </c>
      <c r="AF176" s="985" t="str">
        <f t="shared" si="27"/>
        <v>A</v>
      </c>
      <c r="AG176" s="1414">
        <v>1</v>
      </c>
      <c r="AH176" s="1002" t="s">
        <v>640</v>
      </c>
      <c r="AI176" s="1002" t="s">
        <v>640</v>
      </c>
      <c r="AJ176" s="981" t="s">
        <v>640</v>
      </c>
      <c r="AK176" s="981" t="s">
        <v>640</v>
      </c>
      <c r="AL176" s="1415"/>
      <c r="AM176" s="1323"/>
      <c r="AN176" s="1323"/>
      <c r="AO176" s="1323"/>
      <c r="AP176" s="1323"/>
      <c r="AQ176" s="1323"/>
      <c r="AR176" s="987"/>
      <c r="AS176" s="978" t="str">
        <f t="shared" si="28"/>
        <v>單</v>
      </c>
      <c r="AT176" s="978" t="str">
        <f t="shared" si="29"/>
        <v>全</v>
      </c>
      <c r="AU176" s="978" t="str">
        <f t="shared" si="30"/>
        <v/>
      </c>
      <c r="AV176" s="978" t="str">
        <f t="shared" si="31"/>
        <v/>
      </c>
    </row>
    <row r="177" spans="1:48">
      <c r="A177" s="975">
        <f t="shared" si="34"/>
        <v>46147</v>
      </c>
      <c r="B177" s="976" t="s">
        <v>223</v>
      </c>
      <c r="C177" s="976" t="s">
        <v>632</v>
      </c>
      <c r="D177" s="1410"/>
      <c r="E177" s="977" t="str">
        <f>IFERROR(VLOOKUP(C177, [6]條件!$A:$L, 5, 0), "")</f>
        <v/>
      </c>
      <c r="F177" s="978" t="str">
        <f>IFERROR(VLOOKUP(C177, [6]條件!$A:$L, 6, 0), "")</f>
        <v/>
      </c>
      <c r="G177" s="1411" t="str">
        <f>IFERROR(VLOOKUP(C177, [6]條件!$A:$L, 7, 0), "")</f>
        <v/>
      </c>
      <c r="H177" s="978" t="str">
        <f>IF(ISNA(VLOOKUP(C177,[6]條件!$A$1:$K$932,11,0)),"",(VLOOKUP(C177,[6]條件!$A$1:$K$932,11,0)))</f>
        <v/>
      </c>
      <c r="I177" s="979" t="str">
        <f>IF(ISNA(VLOOKUP(C177,[6]條件!$A$1:$L$932,12,0)),"",(VLOOKUP(C177,[6]條件!$A$1:$L$932,12,0)))</f>
        <v/>
      </c>
      <c r="J177" s="980"/>
      <c r="K177" s="980"/>
      <c r="L177" s="981" t="s">
        <v>632</v>
      </c>
      <c r="M177" s="981"/>
      <c r="N177" s="982"/>
      <c r="O177" s="980"/>
      <c r="P177" s="981" t="s">
        <v>632</v>
      </c>
      <c r="Q177" s="981"/>
      <c r="R177" s="982"/>
      <c r="S177" s="980"/>
      <c r="T177" s="981" t="s">
        <v>632</v>
      </c>
      <c r="U177" s="981"/>
      <c r="V177" s="982"/>
      <c r="W177" s="980"/>
      <c r="X177" s="981" t="s">
        <v>632</v>
      </c>
      <c r="Y177" s="983"/>
      <c r="Z177" s="1412" t="str">
        <f>IFERROR(VLOOKUP(C177, [6]條件!$A:$L, 3, 0), "")</f>
        <v/>
      </c>
      <c r="AA177" s="984" t="str">
        <f>IF(OR(L177={"改紡","檢修","了機","清車","FINAL","停機","SAMPLE","TEST","絲開發"}), L177, IFERROR(IF(C177="", "", (SUM(J177, N177, R177, V177)/3 * AG177) * IF(AND(AF177="S", AS177="雙"), 0.5, 1)), ""))</f>
        <v>停機</v>
      </c>
      <c r="AB177" s="1413" t="str">
        <f t="shared" si="32"/>
        <v/>
      </c>
      <c r="AC177" s="984" t="str">
        <f>IF(OR(L177={"改紡","檢修","了機","清車","FINAL","停機","SAMPLE","TEST"}), "", IFERROR(IF(C177="", "", AVERAGE(L177:M177, P177:Q177, T177:U177, X177:Y177)/100), ""))</f>
        <v/>
      </c>
      <c r="AD177" s="984" t="str">
        <f t="shared" si="26"/>
        <v/>
      </c>
      <c r="AE177" s="984" t="str">
        <f t="shared" si="33"/>
        <v/>
      </c>
      <c r="AF177" s="985" t="str">
        <f t="shared" si="27"/>
        <v>A</v>
      </c>
      <c r="AG177" s="1414">
        <v>1</v>
      </c>
      <c r="AH177" s="1002" t="s">
        <v>640</v>
      </c>
      <c r="AI177" s="1002" t="s">
        <v>640</v>
      </c>
      <c r="AJ177" s="986" t="s">
        <v>640</v>
      </c>
      <c r="AK177" s="981" t="s">
        <v>640</v>
      </c>
      <c r="AL177" s="1415"/>
      <c r="AM177" s="1324"/>
      <c r="AN177" s="1323"/>
      <c r="AO177" s="1323"/>
      <c r="AP177" s="1323"/>
      <c r="AQ177" s="1323"/>
      <c r="AR177" s="987"/>
      <c r="AS177" s="978" t="str">
        <f t="shared" si="28"/>
        <v>單</v>
      </c>
      <c r="AT177" s="978" t="str">
        <f t="shared" si="29"/>
        <v>全</v>
      </c>
      <c r="AU177" s="978" t="str">
        <f t="shared" si="30"/>
        <v/>
      </c>
      <c r="AV177" s="978" t="str">
        <f t="shared" si="31"/>
        <v/>
      </c>
    </row>
    <row r="178" spans="1:48">
      <c r="A178" s="975">
        <f t="shared" si="34"/>
        <v>46147</v>
      </c>
      <c r="B178" s="976" t="s">
        <v>224</v>
      </c>
      <c r="C178" s="976" t="s">
        <v>16734</v>
      </c>
      <c r="D178" s="1410" t="s">
        <v>633</v>
      </c>
      <c r="E178" s="977" t="str">
        <f>IFERROR(VLOOKUP(C178, [6]條件!$A:$L, 5, 0), "")</f>
        <v>75/24/2SDr</v>
      </c>
      <c r="F178" s="978" t="str">
        <f>IFERROR(VLOOKUP(C178, [6]條件!$A:$L, 6, 0), "")</f>
        <v>FP81382R×2</v>
      </c>
      <c r="G178" s="1411">
        <f>IFERROR(VLOOKUP(C178, [6]條件!$A:$L, 7, 0), "")</f>
        <v>700</v>
      </c>
      <c r="H178" s="978" t="str">
        <f>IF(ISNA(VLOOKUP(C178,[6]條件!$A$1:$K$932,11,0)),"",(VLOOKUP(C178,[6]條件!$A$1:$K$932,11,0)))</f>
        <v>白底紫三角</v>
      </c>
      <c r="I178" s="979">
        <f>IF(ISNA(VLOOKUP(C178,[6]條件!$A$1:$L$932,12,0)),"",(VLOOKUP(C178,[6]條件!$A$1:$L$932,12,0)))</f>
        <v>5</v>
      </c>
      <c r="J178" s="980">
        <v>24</v>
      </c>
      <c r="K178" s="980">
        <v>2</v>
      </c>
      <c r="L178" s="981">
        <v>9132</v>
      </c>
      <c r="M178" s="981">
        <v>8831</v>
      </c>
      <c r="N178" s="982">
        <v>14</v>
      </c>
      <c r="O178" s="980">
        <v>0</v>
      </c>
      <c r="P178" s="981">
        <v>8803</v>
      </c>
      <c r="Q178" s="981">
        <v>8769</v>
      </c>
      <c r="R178" s="982">
        <v>20</v>
      </c>
      <c r="S178" s="980">
        <v>0</v>
      </c>
      <c r="T178" s="981">
        <v>8819</v>
      </c>
      <c r="U178" s="981">
        <v>8787</v>
      </c>
      <c r="V178" s="982">
        <v>24</v>
      </c>
      <c r="W178" s="980">
        <v>0</v>
      </c>
      <c r="X178" s="981">
        <v>9030</v>
      </c>
      <c r="Y178" s="983">
        <v>8879</v>
      </c>
      <c r="Z178" s="1412">
        <f>IFERROR(VLOOKUP(C178, [6]條件!$A:$L, 3, 0), "")</f>
        <v>3.2653061224489797</v>
      </c>
      <c r="AA178" s="984">
        <f>IF(OR(L178={"改紡","檢修","了機","清車","FINAL","停機","SAMPLE","TEST","絲開發"}), L178, IFERROR(IF(C178="", "", (SUM(J178, N178, R178, V178)/3 * AG178) * IF(AND(AF178="S", AS178="雙"), 0.5, 1)), ""))</f>
        <v>13.666666666666666</v>
      </c>
      <c r="AB178" s="1413">
        <f t="shared" si="32"/>
        <v>0.99705528846153846</v>
      </c>
      <c r="AC178" s="984">
        <f>IF(OR(L178={"改紡","檢修","了機","清車","FINAL","停機","SAMPLE","TEST"}), "", IFERROR(IF(C178="", "", AVERAGE(L178:M178, P178:Q178, T178:U178, X178:Y178)/100), ""))</f>
        <v>88.8125</v>
      </c>
      <c r="AD178" s="984">
        <f t="shared" si="26"/>
        <v>1.7083333333333333</v>
      </c>
      <c r="AE178" s="984">
        <f t="shared" si="33"/>
        <v>1.6666666666666667</v>
      </c>
      <c r="AF178" s="985" t="str">
        <f t="shared" si="27"/>
        <v>A</v>
      </c>
      <c r="AG178" s="1414">
        <v>0.5</v>
      </c>
      <c r="AH178" s="1002" t="s">
        <v>16154</v>
      </c>
      <c r="AI178" s="1002" t="s">
        <v>16154</v>
      </c>
      <c r="AJ178" s="986" t="s">
        <v>634</v>
      </c>
      <c r="AK178" s="981" t="s">
        <v>634</v>
      </c>
      <c r="AL178" s="1415">
        <v>50</v>
      </c>
      <c r="AM178" s="1323">
        <v>46087</v>
      </c>
      <c r="AN178" s="1323">
        <v>46108</v>
      </c>
      <c r="AO178" s="1323"/>
      <c r="AP178" s="1323"/>
      <c r="AQ178" s="1323"/>
      <c r="AR178" s="987"/>
      <c r="AS178" s="978" t="str">
        <f t="shared" si="28"/>
        <v>雙</v>
      </c>
      <c r="AT178" s="978" t="str">
        <f t="shared" si="29"/>
        <v>全</v>
      </c>
      <c r="AU178" s="978">
        <f t="shared" si="30"/>
        <v>75</v>
      </c>
      <c r="AV178" s="978">
        <f t="shared" si="31"/>
        <v>1.6114139999999999</v>
      </c>
    </row>
    <row r="179" spans="1:48">
      <c r="A179" s="975">
        <f t="shared" si="34"/>
        <v>46147</v>
      </c>
      <c r="B179" s="976" t="s">
        <v>225</v>
      </c>
      <c r="C179" s="976" t="s">
        <v>16747</v>
      </c>
      <c r="D179" s="1410"/>
      <c r="E179" s="977" t="str">
        <f>IFERROR(VLOOKUP(C179, [6]條件!$A:$L, 5, 0), "")</f>
        <v>150/48SDR</v>
      </c>
      <c r="F179" s="978" t="str">
        <f>IFERROR(VLOOKUP(C179, [6]條件!$A:$L, 6, 0), "")</f>
        <v>FP82169R</v>
      </c>
      <c r="G179" s="1411">
        <f>IFERROR(VLOOKUP(C179, [6]條件!$A:$L, 7, 0), "")</f>
        <v>650</v>
      </c>
      <c r="H179" s="978" t="str">
        <f>IF(ISNA(VLOOKUP(C179,[6]條件!$A$1:$K$932,11,0)),"",(VLOOKUP(C179,[6]條件!$A$1:$K$932,11,0)))</f>
        <v>綠藍三角</v>
      </c>
      <c r="I179" s="979">
        <f>IF(ISNA(VLOOKUP(C179,[6]條件!$A$1:$L$932,12,0)),"",(VLOOKUP(C179,[6]條件!$A$1:$L$932,12,0)))</f>
        <v>5</v>
      </c>
      <c r="J179" s="980">
        <v>8</v>
      </c>
      <c r="K179" s="980">
        <v>0</v>
      </c>
      <c r="L179" s="981">
        <v>9584</v>
      </c>
      <c r="M179" s="981">
        <v>9143</v>
      </c>
      <c r="N179" s="982">
        <v>12</v>
      </c>
      <c r="O179" s="980">
        <v>2</v>
      </c>
      <c r="P179" s="981">
        <v>9502</v>
      </c>
      <c r="Q179" s="981">
        <v>9159</v>
      </c>
      <c r="R179" s="982">
        <v>7</v>
      </c>
      <c r="S179" s="980">
        <v>0</v>
      </c>
      <c r="T179" s="981">
        <v>9334</v>
      </c>
      <c r="U179" s="981">
        <v>9142</v>
      </c>
      <c r="V179" s="982">
        <v>17</v>
      </c>
      <c r="W179" s="980">
        <v>4</v>
      </c>
      <c r="X179" s="981">
        <v>9277</v>
      </c>
      <c r="Y179" s="983">
        <v>8896</v>
      </c>
      <c r="Z179" s="1412">
        <f>IFERROR(VLOOKUP(C179, [6]條件!$A:$L, 3, 0), "")</f>
        <v>3.0573248407643314</v>
      </c>
      <c r="AA179" s="984">
        <f>IF(OR(L179={"改紡","檢修","了機","清車","FINAL","停機","SAMPLE","TEST","絲開發"}), L179, IFERROR(IF(C179="", "", (SUM(J179, N179, R179, V179)/3 * AG179) * IF(AND(AF179="S", AS179="雙"), 0.5, 1)), ""))</f>
        <v>14.666666666666666</v>
      </c>
      <c r="AB179" s="1413">
        <f t="shared" si="32"/>
        <v>0.99056490384615381</v>
      </c>
      <c r="AC179" s="984">
        <f>IF(OR(L179={"改紡","檢修","了機","清車","FINAL","停機","SAMPLE","TEST"}), "", IFERROR(IF(C179="", "", AVERAGE(L179:M179, P179:Q179, T179:U179, X179:Y179)/100), ""))</f>
        <v>92.546250000000001</v>
      </c>
      <c r="AD179" s="984">
        <f t="shared" si="26"/>
        <v>1.8333333333333333</v>
      </c>
      <c r="AE179" s="984">
        <f t="shared" si="33"/>
        <v>1.5833333333333333</v>
      </c>
      <c r="AF179" s="985" t="str">
        <f t="shared" si="27"/>
        <v>A</v>
      </c>
      <c r="AG179" s="1414">
        <v>1</v>
      </c>
      <c r="AH179" s="1002" t="s">
        <v>631</v>
      </c>
      <c r="AI179" s="1002" t="s">
        <v>631</v>
      </c>
      <c r="AJ179" s="1418" t="s">
        <v>725</v>
      </c>
      <c r="AK179" s="1436" t="s">
        <v>725</v>
      </c>
      <c r="AL179" s="1415">
        <v>48</v>
      </c>
      <c r="AM179" s="1323">
        <v>46146</v>
      </c>
      <c r="AN179" s="1323"/>
      <c r="AO179" s="1323"/>
      <c r="AP179" s="1323"/>
      <c r="AQ179" s="1323"/>
      <c r="AR179" s="987"/>
      <c r="AS179" s="978" t="str">
        <f t="shared" si="28"/>
        <v>單</v>
      </c>
      <c r="AT179" s="978" t="str">
        <f t="shared" si="29"/>
        <v>全</v>
      </c>
      <c r="AU179" s="978">
        <f t="shared" si="30"/>
        <v>150</v>
      </c>
      <c r="AV179" s="978">
        <f t="shared" si="31"/>
        <v>3.1184384399999998</v>
      </c>
    </row>
    <row r="180" spans="1:48">
      <c r="A180" s="975">
        <f t="shared" si="34"/>
        <v>46147</v>
      </c>
      <c r="B180" s="976" t="s">
        <v>226</v>
      </c>
      <c r="C180" s="976" t="s">
        <v>632</v>
      </c>
      <c r="D180" s="1410"/>
      <c r="E180" s="977" t="str">
        <f>IFERROR(VLOOKUP(C180, [6]條件!$A:$L, 5, 0), "")</f>
        <v/>
      </c>
      <c r="F180" s="978" t="str">
        <f>IFERROR(VLOOKUP(C180, [6]條件!$A:$L, 6, 0), "")</f>
        <v/>
      </c>
      <c r="G180" s="1411" t="str">
        <f>IFERROR(VLOOKUP(C180, [6]條件!$A:$L, 7, 0), "")</f>
        <v/>
      </c>
      <c r="H180" s="978" t="str">
        <f>IF(ISNA(VLOOKUP(C180,[6]條件!$A$1:$K$932,11,0)),"",(VLOOKUP(C180,[6]條件!$A$1:$K$932,11,0)))</f>
        <v/>
      </c>
      <c r="I180" s="979" t="str">
        <f>IF(ISNA(VLOOKUP(C180,[6]條件!$A$1:$L$932,12,0)),"",(VLOOKUP(C180,[6]條件!$A$1:$L$932,12,0)))</f>
        <v/>
      </c>
      <c r="J180" s="980"/>
      <c r="K180" s="980"/>
      <c r="L180" s="981" t="s">
        <v>632</v>
      </c>
      <c r="M180" s="981"/>
      <c r="N180" s="982"/>
      <c r="O180" s="980"/>
      <c r="P180" s="981" t="s">
        <v>632</v>
      </c>
      <c r="Q180" s="981"/>
      <c r="R180" s="982"/>
      <c r="S180" s="980"/>
      <c r="T180" s="981" t="s">
        <v>632</v>
      </c>
      <c r="U180" s="981"/>
      <c r="V180" s="982"/>
      <c r="W180" s="980"/>
      <c r="X180" s="981" t="s">
        <v>632</v>
      </c>
      <c r="Y180" s="983"/>
      <c r="Z180" s="1412" t="str">
        <f>IFERROR(VLOOKUP(C180, [6]條件!$A:$L, 3, 0), "")</f>
        <v/>
      </c>
      <c r="AA180" s="984" t="str">
        <f>IF(OR(L180={"改紡","檢修","了機","清車","FINAL","停機","SAMPLE","TEST","絲開發"}), L180, IFERROR(IF(C180="", "", (SUM(J180, N180, R180, V180)/3 * AG180) * IF(AND(AF180="S", AS180="雙"), 0.5, 1)), ""))</f>
        <v>停機</v>
      </c>
      <c r="AB180" s="1413" t="str">
        <f t="shared" si="32"/>
        <v/>
      </c>
      <c r="AC180" s="984" t="str">
        <f>IF(OR(L180={"改紡","檢修","了機","清車","FINAL","停機","SAMPLE","TEST"}), "", IFERROR(IF(C180="", "", AVERAGE(L180:M180, P180:Q180, T180:U180, X180:Y180)/100), ""))</f>
        <v/>
      </c>
      <c r="AD180" s="984" t="str">
        <f t="shared" si="26"/>
        <v/>
      </c>
      <c r="AE180" s="984" t="str">
        <f t="shared" si="33"/>
        <v/>
      </c>
      <c r="AF180" s="985" t="str">
        <f t="shared" si="27"/>
        <v>A</v>
      </c>
      <c r="AG180" s="1414">
        <v>1</v>
      </c>
      <c r="AH180" s="1002" t="s">
        <v>640</v>
      </c>
      <c r="AI180" s="1002" t="s">
        <v>640</v>
      </c>
      <c r="AJ180" s="986" t="s">
        <v>640</v>
      </c>
      <c r="AK180" s="981" t="s">
        <v>640</v>
      </c>
      <c r="AL180" s="1415"/>
      <c r="AM180" s="1323"/>
      <c r="AN180" s="1323"/>
      <c r="AO180" s="1323"/>
      <c r="AP180" s="1323"/>
      <c r="AQ180" s="1323"/>
      <c r="AR180" s="987"/>
      <c r="AS180" s="978" t="str">
        <f t="shared" si="28"/>
        <v>單</v>
      </c>
      <c r="AT180" s="978" t="str">
        <f t="shared" si="29"/>
        <v>全</v>
      </c>
      <c r="AU180" s="978" t="str">
        <f t="shared" si="30"/>
        <v/>
      </c>
      <c r="AV180" s="978" t="str">
        <f t="shared" si="31"/>
        <v/>
      </c>
    </row>
    <row r="181" spans="1:48">
      <c r="A181" s="975">
        <f t="shared" si="34"/>
        <v>46147</v>
      </c>
      <c r="B181" s="976" t="s">
        <v>227</v>
      </c>
      <c r="C181" s="976" t="s">
        <v>16712</v>
      </c>
      <c r="D181" s="1410"/>
      <c r="E181" s="977" t="str">
        <f>IFERROR(VLOOKUP(C181, [6]條件!$A:$L, 5, 0), "")</f>
        <v>100/36SDr</v>
      </c>
      <c r="F181" s="978" t="str">
        <f>IFERROR(VLOOKUP(C181, [6]條件!$A:$L, 6, 0), "")</f>
        <v>FP81384R</v>
      </c>
      <c r="G181" s="1411">
        <f>IFERROR(VLOOKUP(C181, [6]條件!$A:$L, 7, 0), "")</f>
        <v>700</v>
      </c>
      <c r="H181" s="978" t="str">
        <f>IF(ISNA(VLOOKUP(C181,[6]條件!$A$1:$K$932,11,0)),"",(VLOOKUP(C181,[6]條件!$A$1:$K$932,11,0)))</f>
        <v>白底紅三角</v>
      </c>
      <c r="I181" s="979">
        <f>IF(ISNA(VLOOKUP(C181,[6]條件!$A$1:$L$932,12,0)),"",(VLOOKUP(C181,[6]條件!$A$1:$L$932,12,0)))</f>
        <v>5</v>
      </c>
      <c r="J181" s="980">
        <v>18</v>
      </c>
      <c r="K181" s="980">
        <v>0</v>
      </c>
      <c r="L181" s="981">
        <v>7823</v>
      </c>
      <c r="M181" s="981">
        <v>8106</v>
      </c>
      <c r="N181" s="982">
        <v>8</v>
      </c>
      <c r="O181" s="980">
        <v>0</v>
      </c>
      <c r="P181" s="981">
        <v>7797</v>
      </c>
      <c r="Q181" s="981">
        <v>8023</v>
      </c>
      <c r="R181" s="982">
        <v>7</v>
      </c>
      <c r="S181" s="980">
        <v>0</v>
      </c>
      <c r="T181" s="981">
        <v>7867</v>
      </c>
      <c r="U181" s="981">
        <v>8042</v>
      </c>
      <c r="V181" s="982">
        <v>15</v>
      </c>
      <c r="W181" s="980">
        <v>0</v>
      </c>
      <c r="X181" s="981">
        <v>7916</v>
      </c>
      <c r="Y181" s="983">
        <v>8118</v>
      </c>
      <c r="Z181" s="1412">
        <f>IFERROR(VLOOKUP(C181, [6]條件!$A:$L, 3, 0), "")</f>
        <v>2.2187981510015407</v>
      </c>
      <c r="AA181" s="984">
        <f>IF(OR(L181={"改紡","檢修","了機","清車","FINAL","停機","SAMPLE","TEST","絲開發"}), L181, IFERROR(IF(C181="", "", (SUM(J181, N181, R181, V181)/3 * AG181) * IF(AND(AF181="S", AS181="雙"), 0.5, 1)), ""))</f>
        <v>16</v>
      </c>
      <c r="AB181" s="1413">
        <f t="shared" si="32"/>
        <v>1</v>
      </c>
      <c r="AC181" s="984">
        <f>IF(OR(L181={"改紡","檢修","了機","清車","FINAL","停機","SAMPLE","TEST"}), "", IFERROR(IF(C181="", "", AVERAGE(L181:M181, P181:Q181, T181:U181, X181:Y181)/100), ""))</f>
        <v>79.614999999999995</v>
      </c>
      <c r="AD181" s="984">
        <f t="shared" si="26"/>
        <v>2</v>
      </c>
      <c r="AE181" s="984">
        <f t="shared" si="33"/>
        <v>2</v>
      </c>
      <c r="AF181" s="985" t="str">
        <f t="shared" si="27"/>
        <v>A</v>
      </c>
      <c r="AG181" s="1414">
        <v>1</v>
      </c>
      <c r="AH181" s="1002" t="s">
        <v>631</v>
      </c>
      <c r="AI181" s="1002" t="s">
        <v>631</v>
      </c>
      <c r="AJ181" s="1418" t="s">
        <v>15370</v>
      </c>
      <c r="AK181" s="1432" t="s">
        <v>15370</v>
      </c>
      <c r="AL181" s="1415">
        <v>50</v>
      </c>
      <c r="AM181" s="1323">
        <v>46128</v>
      </c>
      <c r="AN181" s="1323">
        <v>46132</v>
      </c>
      <c r="AO181" s="1323">
        <v>46133</v>
      </c>
      <c r="AP181" s="1323">
        <v>46134</v>
      </c>
      <c r="AQ181" s="1323">
        <v>46135</v>
      </c>
      <c r="AR181" s="987"/>
      <c r="AS181" s="978" t="str">
        <f t="shared" si="28"/>
        <v>單</v>
      </c>
      <c r="AT181" s="978" t="str">
        <f t="shared" si="29"/>
        <v>全</v>
      </c>
      <c r="AU181" s="978">
        <f t="shared" si="30"/>
        <v>100</v>
      </c>
      <c r="AV181" s="978">
        <f t="shared" si="31"/>
        <v>1.9260460800000001</v>
      </c>
    </row>
    <row r="182" spans="1:48">
      <c r="A182" s="975">
        <f t="shared" si="34"/>
        <v>46147</v>
      </c>
      <c r="B182" s="976" t="s">
        <v>228</v>
      </c>
      <c r="C182" s="976" t="s">
        <v>632</v>
      </c>
      <c r="D182" s="1410"/>
      <c r="E182" s="977" t="str">
        <f>IFERROR(VLOOKUP(C182, [6]條件!$A:$L, 5, 0), "")</f>
        <v/>
      </c>
      <c r="F182" s="978" t="str">
        <f>IFERROR(VLOOKUP(C182, [6]條件!$A:$L, 6, 0), "")</f>
        <v/>
      </c>
      <c r="G182" s="1411" t="str">
        <f>IFERROR(VLOOKUP(C182, [6]條件!$A:$L, 7, 0), "")</f>
        <v/>
      </c>
      <c r="H182" s="978" t="str">
        <f>IF(ISNA(VLOOKUP(C182,[6]條件!$A$1:$K$932,11,0)),"",(VLOOKUP(C182,[6]條件!$A$1:$K$932,11,0)))</f>
        <v/>
      </c>
      <c r="I182" s="979" t="str">
        <f>IF(ISNA(VLOOKUP(C182,[6]條件!$A$1:$L$932,12,0)),"",(VLOOKUP(C182,[6]條件!$A$1:$L$932,12,0)))</f>
        <v/>
      </c>
      <c r="J182" s="980"/>
      <c r="K182" s="980"/>
      <c r="L182" s="981" t="s">
        <v>632</v>
      </c>
      <c r="M182" s="981"/>
      <c r="N182" s="982"/>
      <c r="O182" s="980"/>
      <c r="P182" s="981" t="s">
        <v>632</v>
      </c>
      <c r="Q182" s="981"/>
      <c r="R182" s="982"/>
      <c r="S182" s="980"/>
      <c r="T182" s="981" t="s">
        <v>632</v>
      </c>
      <c r="U182" s="981"/>
      <c r="V182" s="982"/>
      <c r="W182" s="980"/>
      <c r="X182" s="981" t="s">
        <v>632</v>
      </c>
      <c r="Y182" s="983"/>
      <c r="Z182" s="1412" t="str">
        <f>IFERROR(VLOOKUP(C182, [6]條件!$A:$L, 3, 0), "")</f>
        <v/>
      </c>
      <c r="AA182" s="984" t="str">
        <f>IF(OR(L182={"改紡","檢修","了機","清車","FINAL","停機","SAMPLE","TEST","絲開發"}), L182, IFERROR(IF(C182="", "", (SUM(J182, N182, R182, V182)/3 * AG182) * IF(AND(AF182="S", AS182="雙"), 0.5, 1)), ""))</f>
        <v>停機</v>
      </c>
      <c r="AB182" s="1413" t="str">
        <f t="shared" si="32"/>
        <v/>
      </c>
      <c r="AC182" s="984" t="str">
        <f>IF(OR(L182={"改紡","檢修","了機","清車","FINAL","停機","SAMPLE","TEST"}), "", IFERROR(IF(C182="", "", AVERAGE(L182:M182, P182:Q182, T182:U182, X182:Y182)/100), ""))</f>
        <v/>
      </c>
      <c r="AD182" s="984" t="str">
        <f t="shared" si="26"/>
        <v/>
      </c>
      <c r="AE182" s="984" t="str">
        <f t="shared" si="33"/>
        <v/>
      </c>
      <c r="AF182" s="985" t="str">
        <f t="shared" si="27"/>
        <v>A</v>
      </c>
      <c r="AG182" s="1414">
        <v>1</v>
      </c>
      <c r="AH182" s="1002" t="s">
        <v>640</v>
      </c>
      <c r="AI182" s="1002" t="s">
        <v>640</v>
      </c>
      <c r="AJ182" s="986" t="s">
        <v>640</v>
      </c>
      <c r="AK182" s="1417" t="s">
        <v>640</v>
      </c>
      <c r="AL182" s="1420"/>
      <c r="AM182" s="1323"/>
      <c r="AN182" s="1323"/>
      <c r="AO182" s="1323"/>
      <c r="AP182" s="1323"/>
      <c r="AQ182" s="1323"/>
      <c r="AR182" s="987"/>
      <c r="AS182" s="978" t="str">
        <f t="shared" si="28"/>
        <v>單</v>
      </c>
      <c r="AT182" s="978" t="str">
        <f t="shared" si="29"/>
        <v>全</v>
      </c>
      <c r="AU182" s="978" t="str">
        <f t="shared" si="30"/>
        <v/>
      </c>
      <c r="AV182" s="978" t="str">
        <f t="shared" si="31"/>
        <v/>
      </c>
    </row>
    <row r="183" spans="1:48">
      <c r="A183" s="975">
        <f t="shared" si="34"/>
        <v>46147</v>
      </c>
      <c r="B183" s="976" t="s">
        <v>229</v>
      </c>
      <c r="C183" s="976" t="s">
        <v>632</v>
      </c>
      <c r="D183" s="1410"/>
      <c r="E183" s="977" t="str">
        <f>IFERROR(VLOOKUP(C183, [6]條件!$A:$L, 5, 0), "")</f>
        <v/>
      </c>
      <c r="F183" s="978" t="str">
        <f>IFERROR(VLOOKUP(C183, [6]條件!$A:$L, 6, 0), "")</f>
        <v/>
      </c>
      <c r="G183" s="1411" t="str">
        <f>IFERROR(VLOOKUP(C183, [6]條件!$A:$L, 7, 0), "")</f>
        <v/>
      </c>
      <c r="H183" s="978" t="str">
        <f>IF(ISNA(VLOOKUP(C183,[6]條件!$A$1:$K$932,11,0)),"",(VLOOKUP(C183,[6]條件!$A$1:$K$932,11,0)))</f>
        <v/>
      </c>
      <c r="I183" s="979" t="str">
        <f>IF(ISNA(VLOOKUP(C183,[6]條件!$A$1:$L$932,12,0)),"",(VLOOKUP(C183,[6]條件!$A$1:$L$932,12,0)))</f>
        <v/>
      </c>
      <c r="J183" s="980"/>
      <c r="K183" s="980"/>
      <c r="L183" s="981" t="s">
        <v>632</v>
      </c>
      <c r="M183" s="981"/>
      <c r="N183" s="982"/>
      <c r="O183" s="980"/>
      <c r="P183" s="981" t="s">
        <v>632</v>
      </c>
      <c r="Q183" s="981"/>
      <c r="R183" s="982"/>
      <c r="S183" s="980"/>
      <c r="T183" s="981" t="s">
        <v>632</v>
      </c>
      <c r="U183" s="981"/>
      <c r="V183" s="982"/>
      <c r="W183" s="980"/>
      <c r="X183" s="981" t="s">
        <v>632</v>
      </c>
      <c r="Y183" s="983"/>
      <c r="Z183" s="1412" t="str">
        <f>IFERROR(VLOOKUP(C183, [6]條件!$A:$L, 3, 0), "")</f>
        <v/>
      </c>
      <c r="AA183" s="984" t="str">
        <f>IF(OR(L183={"改紡","檢修","了機","清車","FINAL","停機","SAMPLE","TEST","絲開發"}), L183, IFERROR(IF(C183="", "", (SUM(J183, N183, R183, V183)/3 * AG183) * IF(AND(AF183="S", AS183="雙"), 0.5, 1)), ""))</f>
        <v>停機</v>
      </c>
      <c r="AB183" s="1413" t="str">
        <f t="shared" si="32"/>
        <v/>
      </c>
      <c r="AC183" s="984" t="str">
        <f>IF(OR(L183={"改紡","檢修","了機","清車","FINAL","停機","SAMPLE","TEST"}), "", IFERROR(IF(C183="", "", AVERAGE(L183:M183, P183:Q183, T183:U183, X183:Y183)/100), ""))</f>
        <v/>
      </c>
      <c r="AD183" s="984" t="str">
        <f t="shared" si="26"/>
        <v/>
      </c>
      <c r="AE183" s="984" t="str">
        <f t="shared" si="33"/>
        <v/>
      </c>
      <c r="AF183" s="985" t="str">
        <f t="shared" si="27"/>
        <v>A</v>
      </c>
      <c r="AG183" s="1414">
        <v>1</v>
      </c>
      <c r="AH183" s="1002" t="s">
        <v>640</v>
      </c>
      <c r="AI183" s="1002" t="s">
        <v>640</v>
      </c>
      <c r="AJ183" s="986" t="s">
        <v>640</v>
      </c>
      <c r="AK183" s="1417" t="s">
        <v>640</v>
      </c>
      <c r="AL183" s="1421"/>
      <c r="AM183" s="1323"/>
      <c r="AN183" s="1323"/>
      <c r="AO183" s="1323"/>
      <c r="AP183" s="1323"/>
      <c r="AQ183" s="1323"/>
      <c r="AR183" s="987"/>
      <c r="AS183" s="978" t="str">
        <f t="shared" si="28"/>
        <v>單</v>
      </c>
      <c r="AT183" s="978" t="str">
        <f t="shared" si="29"/>
        <v>全</v>
      </c>
      <c r="AU183" s="978" t="str">
        <f t="shared" si="30"/>
        <v/>
      </c>
      <c r="AV183" s="978" t="str">
        <f t="shared" si="31"/>
        <v/>
      </c>
    </row>
    <row r="184" spans="1:48">
      <c r="A184" s="975">
        <f t="shared" si="34"/>
        <v>46147</v>
      </c>
      <c r="B184" s="976" t="s">
        <v>230</v>
      </c>
      <c r="C184" s="976" t="s">
        <v>16751</v>
      </c>
      <c r="D184" s="1410"/>
      <c r="E184" s="977" t="str">
        <f>IFERROR(VLOOKUP(C184, [6]條件!$A:$L, 5, 0), "")</f>
        <v>150/48/2GY5</v>
      </c>
      <c r="F184" s="978" t="str">
        <f>IFERROR(VLOOKUP(C184, [6]條件!$A:$L, 6, 0), "")</f>
        <v>FP02422×2</v>
      </c>
      <c r="G184" s="1411">
        <f>IFERROR(VLOOKUP(C184, [6]條件!$A:$L, 7, 0), "")</f>
        <v>600</v>
      </c>
      <c r="H184" s="978" t="str">
        <f>IF(ISNA(VLOOKUP(C184,[6]條件!$A$1:$K$932,11,0)),"",(VLOOKUP(C184,[6]條件!$A$1:$K$932,11,0)))</f>
        <v>白底紅星</v>
      </c>
      <c r="I184" s="979">
        <f>IF(ISNA(VLOOKUP(C184,[6]條件!$A$1:$L$932,12,0)),"",(VLOOKUP(C184,[6]條件!$A$1:$L$932,12,0)))</f>
        <v>4</v>
      </c>
      <c r="J184" s="980">
        <v>40</v>
      </c>
      <c r="K184" s="980">
        <v>0</v>
      </c>
      <c r="L184" s="981">
        <v>7694</v>
      </c>
      <c r="M184" s="981">
        <v>8832</v>
      </c>
      <c r="N184" s="982">
        <v>20</v>
      </c>
      <c r="O184" s="980">
        <v>0</v>
      </c>
      <c r="P184" s="981">
        <v>7054</v>
      </c>
      <c r="Q184" s="981">
        <v>8170</v>
      </c>
      <c r="R184" s="982">
        <v>36</v>
      </c>
      <c r="S184" s="980">
        <v>0</v>
      </c>
      <c r="T184" s="981">
        <v>7282</v>
      </c>
      <c r="U184" s="981">
        <v>7966</v>
      </c>
      <c r="V184" s="982">
        <v>54</v>
      </c>
      <c r="W184" s="980">
        <v>0</v>
      </c>
      <c r="X184" s="981">
        <v>7839</v>
      </c>
      <c r="Y184" s="983">
        <v>8432</v>
      </c>
      <c r="Z184" s="1412">
        <f>IFERROR(VLOOKUP(C184, [6]條件!$A:$L, 3, 0), "")</f>
        <v>6.9230769230769234</v>
      </c>
      <c r="AA184" s="984">
        <f>IF(OR(L184={"改紡","檢修","了機","清車","FINAL","停機","SAMPLE","TEST","絲開發"}), L184, IFERROR(IF(C184="", "", (SUM(J184, N184, R184, V184)/3 * AG184) * IF(AND(AF184="S", AS184="雙"), 0.5, 1)), ""))</f>
        <v>25</v>
      </c>
      <c r="AB184" s="1413">
        <f t="shared" si="32"/>
        <v>1</v>
      </c>
      <c r="AC184" s="984">
        <f>IF(OR(L184={"改紡","檢修","了機","清車","FINAL","停機","SAMPLE","TEST"}), "", IFERROR(IF(C184="", "", AVERAGE(L184:M184, P184:Q184, T184:U184, X184:Y184)/100), ""))</f>
        <v>79.086250000000007</v>
      </c>
      <c r="AD184" s="984">
        <f t="shared" si="26"/>
        <v>3.125</v>
      </c>
      <c r="AE184" s="984">
        <f t="shared" si="33"/>
        <v>3.125</v>
      </c>
      <c r="AF184" s="985" t="str">
        <f t="shared" si="27"/>
        <v>A</v>
      </c>
      <c r="AG184" s="1414">
        <v>0.5</v>
      </c>
      <c r="AH184" s="1002" t="s">
        <v>16154</v>
      </c>
      <c r="AI184" s="1002" t="s">
        <v>16154</v>
      </c>
      <c r="AJ184" s="1002" t="s">
        <v>634</v>
      </c>
      <c r="AK184" s="981" t="s">
        <v>634</v>
      </c>
      <c r="AL184" s="1415">
        <v>52</v>
      </c>
      <c r="AM184" s="1323">
        <v>46143</v>
      </c>
      <c r="AN184" s="1323">
        <v>46144</v>
      </c>
      <c r="AO184" s="1323"/>
      <c r="AP184" s="1323"/>
      <c r="AQ184" s="1323"/>
      <c r="AR184" s="987"/>
      <c r="AS184" s="978" t="str">
        <f t="shared" si="28"/>
        <v>雙</v>
      </c>
      <c r="AT184" s="978" t="str">
        <f t="shared" si="29"/>
        <v>全</v>
      </c>
      <c r="AU184" s="978">
        <f t="shared" si="30"/>
        <v>150</v>
      </c>
      <c r="AV184" s="978">
        <f t="shared" si="31"/>
        <v>2.45989872</v>
      </c>
    </row>
    <row r="185" spans="1:48">
      <c r="A185" s="975">
        <f t="shared" si="34"/>
        <v>46147</v>
      </c>
      <c r="B185" s="976" t="s">
        <v>231</v>
      </c>
      <c r="C185" s="976" t="s">
        <v>632</v>
      </c>
      <c r="D185" s="1410"/>
      <c r="E185" s="977" t="str">
        <f>IFERROR(VLOOKUP(C185, [6]條件!$A:$L, 5, 0), "")</f>
        <v/>
      </c>
      <c r="F185" s="978" t="str">
        <f>IFERROR(VLOOKUP(C185, [6]條件!$A:$L, 6, 0), "")</f>
        <v/>
      </c>
      <c r="G185" s="1411" t="str">
        <f>IFERROR(VLOOKUP(C185, [6]條件!$A:$L, 7, 0), "")</f>
        <v/>
      </c>
      <c r="H185" s="978" t="str">
        <f>IF(ISNA(VLOOKUP(C185,[6]條件!$A$1:$K$932,11,0)),"",(VLOOKUP(C185,[6]條件!$A$1:$K$932,11,0)))</f>
        <v/>
      </c>
      <c r="I185" s="979" t="str">
        <f>IF(ISNA(VLOOKUP(C185,[6]條件!$A$1:$L$932,12,0)),"",(VLOOKUP(C185,[6]條件!$A$1:$L$932,12,0)))</f>
        <v/>
      </c>
      <c r="J185" s="980"/>
      <c r="K185" s="980"/>
      <c r="L185" s="981" t="s">
        <v>632</v>
      </c>
      <c r="M185" s="981"/>
      <c r="N185" s="982"/>
      <c r="O185" s="980"/>
      <c r="P185" s="981" t="s">
        <v>632</v>
      </c>
      <c r="Q185" s="981"/>
      <c r="R185" s="982"/>
      <c r="S185" s="980"/>
      <c r="T185" s="981" t="s">
        <v>632</v>
      </c>
      <c r="U185" s="981"/>
      <c r="V185" s="982"/>
      <c r="W185" s="980"/>
      <c r="X185" s="981" t="s">
        <v>632</v>
      </c>
      <c r="Y185" s="983"/>
      <c r="Z185" s="1412" t="str">
        <f>IFERROR(VLOOKUP(C185, [6]條件!$A:$L, 3, 0), "")</f>
        <v/>
      </c>
      <c r="AA185" s="984" t="str">
        <f>IF(OR(L185={"改紡","檢修","了機","清車","FINAL","停機","SAMPLE","TEST","絲開發"}), L185, IFERROR(IF(C185="", "", (SUM(J185, N185, R185, V185)/3 * AG185) * IF(AND(AF185="S", AS185="雙"), 0.5, 1)), ""))</f>
        <v>停機</v>
      </c>
      <c r="AB185" s="1413" t="str">
        <f t="shared" si="32"/>
        <v/>
      </c>
      <c r="AC185" s="984" t="str">
        <f>IF(OR(L185={"改紡","檢修","了機","清車","FINAL","停機","SAMPLE","TEST"}), "", IFERROR(IF(C185="", "", AVERAGE(L185:M185, P185:Q185, T185:U185, X185:Y185)/100), ""))</f>
        <v/>
      </c>
      <c r="AD185" s="984" t="str">
        <f t="shared" si="26"/>
        <v/>
      </c>
      <c r="AE185" s="984" t="str">
        <f t="shared" si="33"/>
        <v/>
      </c>
      <c r="AF185" s="985" t="str">
        <f t="shared" si="27"/>
        <v>J</v>
      </c>
      <c r="AG185" s="1414">
        <v>1</v>
      </c>
      <c r="AH185" s="1002" t="s">
        <v>640</v>
      </c>
      <c r="AI185" s="1002" t="s">
        <v>640</v>
      </c>
      <c r="AJ185" s="986" t="s">
        <v>640</v>
      </c>
      <c r="AK185" s="981" t="s">
        <v>640</v>
      </c>
      <c r="AL185" s="1415"/>
      <c r="AM185" s="1323"/>
      <c r="AN185" s="1323"/>
      <c r="AO185" s="1323"/>
      <c r="AP185" s="1323"/>
      <c r="AQ185" s="1323"/>
      <c r="AR185" s="987"/>
      <c r="AS185" s="978" t="str">
        <f t="shared" si="28"/>
        <v>單</v>
      </c>
      <c r="AT185" s="978" t="str">
        <f t="shared" si="29"/>
        <v>全</v>
      </c>
      <c r="AU185" s="978" t="str">
        <f t="shared" si="30"/>
        <v/>
      </c>
      <c r="AV185" s="978" t="str">
        <f t="shared" si="31"/>
        <v/>
      </c>
    </row>
    <row r="186" spans="1:48">
      <c r="A186" s="975">
        <f t="shared" si="34"/>
        <v>46147</v>
      </c>
      <c r="B186" s="976" t="s">
        <v>233</v>
      </c>
      <c r="C186" s="976" t="s">
        <v>16721</v>
      </c>
      <c r="D186" s="1410" t="s">
        <v>633</v>
      </c>
      <c r="E186" s="977" t="str">
        <f>IFERROR(VLOOKUP(C186, [6]條件!$A:$L, 5, 0), "")</f>
        <v>150/48/2SDr</v>
      </c>
      <c r="F186" s="978" t="str">
        <f>IFERROR(VLOOKUP(C186, [6]條件!$A:$L, 6, 0), "")</f>
        <v>FP82168R×2</v>
      </c>
      <c r="G186" s="1411">
        <f>IFERROR(VLOOKUP(C186, [6]條件!$A:$L, 7, 0), "")</f>
        <v>600</v>
      </c>
      <c r="H186" s="978" t="str">
        <f>IF(ISNA(VLOOKUP(C186,[6]條件!$A$1:$K$932,11,0)),"",(VLOOKUP(C186,[6]條件!$A$1:$K$932,11,0)))</f>
        <v>白紅愛心</v>
      </c>
      <c r="I186" s="979">
        <f>IF(ISNA(VLOOKUP(C186,[6]條件!$A$1:$L$932,12,0)),"",(VLOOKUP(C186,[6]條件!$A$1:$L$932,12,0)))</f>
        <v>5.5</v>
      </c>
      <c r="J186" s="980"/>
      <c r="K186" s="980"/>
      <c r="L186" s="981" t="s">
        <v>127</v>
      </c>
      <c r="M186" s="981"/>
      <c r="N186" s="982"/>
      <c r="O186" s="980"/>
      <c r="P186" s="981" t="s">
        <v>127</v>
      </c>
      <c r="Q186" s="981"/>
      <c r="R186" s="982"/>
      <c r="S186" s="980"/>
      <c r="T186" s="981" t="s">
        <v>127</v>
      </c>
      <c r="U186" s="981"/>
      <c r="V186" s="982"/>
      <c r="W186" s="980"/>
      <c r="X186" s="981" t="s">
        <v>127</v>
      </c>
      <c r="Y186" s="983"/>
      <c r="Z186" s="1412">
        <f>IFERROR(VLOOKUP(C186, [6]條件!$A:$L, 3, 0), "")</f>
        <v>5.0883392226148398</v>
      </c>
      <c r="AA186" s="984" t="str">
        <f>IF(OR(L186={"改紡","檢修","了機","清車","FINAL","停機","SAMPLE","TEST","絲開發"}), L186, IFERROR(IF(C186="", "", (SUM(J186, N186, R186, V186)/3 * AG186) * IF(AND(AF186="S", AS186="雙"), 0.5, 1)), ""))</f>
        <v>了機</v>
      </c>
      <c r="AB186" s="1413" t="str">
        <f t="shared" si="32"/>
        <v/>
      </c>
      <c r="AC186" s="984" t="str">
        <f>IF(OR(L186={"改紡","檢修","了機","清車","FINAL","停機","SAMPLE","TEST"}), "", IFERROR(IF(C186="", "", AVERAGE(L186:M186, P186:Q186, T186:U186, X186:Y186)/100), ""))</f>
        <v/>
      </c>
      <c r="AD186" s="984" t="str">
        <f t="shared" si="26"/>
        <v/>
      </c>
      <c r="AE186" s="984" t="str">
        <f t="shared" si="33"/>
        <v/>
      </c>
      <c r="AF186" s="985" t="str">
        <f t="shared" si="27"/>
        <v>J</v>
      </c>
      <c r="AG186" s="1414">
        <v>1</v>
      </c>
      <c r="AH186" s="1002" t="s">
        <v>815</v>
      </c>
      <c r="AI186" s="1002" t="s">
        <v>815</v>
      </c>
      <c r="AJ186" s="986" t="s">
        <v>15370</v>
      </c>
      <c r="AK186" s="981" t="s">
        <v>15370</v>
      </c>
      <c r="AL186" s="1415">
        <v>55</v>
      </c>
      <c r="AM186" s="1323">
        <v>46140</v>
      </c>
      <c r="AN186" s="1323">
        <v>46141</v>
      </c>
      <c r="AO186" s="1323">
        <v>46142</v>
      </c>
      <c r="AP186" s="1323"/>
      <c r="AQ186" s="1323"/>
      <c r="AR186" s="987"/>
      <c r="AS186" s="978" t="str">
        <f t="shared" si="28"/>
        <v>雙</v>
      </c>
      <c r="AT186" s="978" t="str">
        <f t="shared" si="29"/>
        <v>全</v>
      </c>
      <c r="AU186" s="978">
        <f t="shared" si="30"/>
        <v>150</v>
      </c>
      <c r="AV186" s="978" t="str">
        <f t="shared" si="31"/>
        <v/>
      </c>
    </row>
    <row r="187" spans="1:48">
      <c r="A187" s="975">
        <f t="shared" si="34"/>
        <v>46147</v>
      </c>
      <c r="B187" s="976" t="s">
        <v>234</v>
      </c>
      <c r="C187" s="976" t="s">
        <v>632</v>
      </c>
      <c r="D187" s="1410"/>
      <c r="E187" s="977" t="str">
        <f>IFERROR(VLOOKUP(C187, [6]條件!$A:$L, 5, 0), "")</f>
        <v/>
      </c>
      <c r="F187" s="978" t="str">
        <f>IFERROR(VLOOKUP(C187, [6]條件!$A:$L, 6, 0), "")</f>
        <v/>
      </c>
      <c r="G187" s="1411" t="str">
        <f>IFERROR(VLOOKUP(C187, [6]條件!$A:$L, 7, 0), "")</f>
        <v/>
      </c>
      <c r="H187" s="978" t="str">
        <f>IF(ISNA(VLOOKUP(C187,[6]條件!$A$1:$K$932,11,0)),"",(VLOOKUP(C187,[6]條件!$A$1:$K$932,11,0)))</f>
        <v/>
      </c>
      <c r="I187" s="979" t="str">
        <f>IF(ISNA(VLOOKUP(C187,[6]條件!$A$1:$L$932,12,0)),"",(VLOOKUP(C187,[6]條件!$A$1:$L$932,12,0)))</f>
        <v/>
      </c>
      <c r="J187" s="980"/>
      <c r="K187" s="980"/>
      <c r="L187" s="981" t="s">
        <v>632</v>
      </c>
      <c r="M187" s="981"/>
      <c r="N187" s="982"/>
      <c r="O187" s="980"/>
      <c r="P187" s="981" t="s">
        <v>632</v>
      </c>
      <c r="Q187" s="981"/>
      <c r="R187" s="982"/>
      <c r="S187" s="980"/>
      <c r="T187" s="981" t="s">
        <v>632</v>
      </c>
      <c r="U187" s="981"/>
      <c r="V187" s="982"/>
      <c r="W187" s="980"/>
      <c r="X187" s="981" t="s">
        <v>632</v>
      </c>
      <c r="Y187" s="983"/>
      <c r="Z187" s="1412" t="str">
        <f>IFERROR(VLOOKUP(C187, [6]條件!$A:$L, 3, 0), "")</f>
        <v/>
      </c>
      <c r="AA187" s="984" t="str">
        <f>IF(OR(L187={"改紡","檢修","了機","清車","FINAL","停機","SAMPLE","TEST","絲開發"}), L187, IFERROR(IF(C187="", "", (SUM(J187, N187, R187, V187)/3 * AG187) * IF(AND(AF187="S", AS187="雙"), 0.5, 1)), ""))</f>
        <v>停機</v>
      </c>
      <c r="AB187" s="1413" t="str">
        <f t="shared" si="32"/>
        <v/>
      </c>
      <c r="AC187" s="984" t="str">
        <f>IF(OR(L187={"改紡","檢修","了機","清車","FINAL","停機","SAMPLE","TEST"}), "", IFERROR(IF(C187="", "", AVERAGE(L187:M187, P187:Q187, T187:U187, X187:Y187)/100), ""))</f>
        <v/>
      </c>
      <c r="AD187" s="984" t="str">
        <f t="shared" si="26"/>
        <v/>
      </c>
      <c r="AE187" s="984" t="str">
        <f t="shared" si="33"/>
        <v/>
      </c>
      <c r="AF187" s="985" t="str">
        <f t="shared" si="27"/>
        <v>J</v>
      </c>
      <c r="AG187" s="1414">
        <v>1</v>
      </c>
      <c r="AH187" s="1002" t="s">
        <v>640</v>
      </c>
      <c r="AI187" s="1002" t="s">
        <v>640</v>
      </c>
      <c r="AJ187" s="986" t="s">
        <v>640</v>
      </c>
      <c r="AK187" s="981" t="s">
        <v>640</v>
      </c>
      <c r="AL187" s="1415"/>
      <c r="AM187" s="1323"/>
      <c r="AN187" s="1323"/>
      <c r="AO187" s="1323"/>
      <c r="AP187" s="1323"/>
      <c r="AQ187" s="1323"/>
      <c r="AR187" s="987"/>
      <c r="AS187" s="978" t="str">
        <f t="shared" si="28"/>
        <v>單</v>
      </c>
      <c r="AT187" s="978" t="str">
        <f t="shared" si="29"/>
        <v>全</v>
      </c>
      <c r="AU187" s="978" t="str">
        <f t="shared" si="30"/>
        <v/>
      </c>
      <c r="AV187" s="978" t="str">
        <f t="shared" si="31"/>
        <v/>
      </c>
    </row>
    <row r="188" spans="1:48">
      <c r="A188" s="975">
        <f t="shared" si="34"/>
        <v>46147</v>
      </c>
      <c r="B188" s="976" t="s">
        <v>235</v>
      </c>
      <c r="C188" s="976" t="s">
        <v>16716</v>
      </c>
      <c r="D188" s="1410" t="s">
        <v>633</v>
      </c>
      <c r="E188" s="977" t="str">
        <f>IFERROR(VLOOKUP(C188, [6]條件!$A:$L, 5, 0), "")</f>
        <v>150/48/2SDr</v>
      </c>
      <c r="F188" s="978" t="str">
        <f>IFERROR(VLOOKUP(C188, [6]條件!$A:$L, 6, 0), "")</f>
        <v>FP82170R×2</v>
      </c>
      <c r="G188" s="1411">
        <f>IFERROR(VLOOKUP(C188, [6]條件!$A:$L, 7, 0), "")</f>
        <v>700</v>
      </c>
      <c r="H188" s="978" t="str">
        <f>IF(ISNA(VLOOKUP(C188,[6]條件!$A$1:$K$932,11,0)),"",(VLOOKUP(C188,[6]條件!$A$1:$K$932,11,0)))</f>
        <v>紫色</v>
      </c>
      <c r="I188" s="979">
        <f>IF(ISNA(VLOOKUP(C188,[6]條件!$A$1:$L$932,12,0)),"",(VLOOKUP(C188,[6]條件!$A$1:$L$932,12,0)))</f>
        <v>5.5</v>
      </c>
      <c r="J188" s="980"/>
      <c r="K188" s="980"/>
      <c r="L188" s="981" t="s">
        <v>628</v>
      </c>
      <c r="M188" s="981"/>
      <c r="N188" s="982"/>
      <c r="O188" s="980"/>
      <c r="P188" s="981" t="s">
        <v>628</v>
      </c>
      <c r="Q188" s="981"/>
      <c r="R188" s="982"/>
      <c r="S188" s="980"/>
      <c r="T188" s="981" t="s">
        <v>628</v>
      </c>
      <c r="U188" s="981"/>
      <c r="V188" s="982"/>
      <c r="W188" s="980"/>
      <c r="X188" s="981" t="s">
        <v>628</v>
      </c>
      <c r="Y188" s="983"/>
      <c r="Z188" s="1412">
        <f>IFERROR(VLOOKUP(C188, [6]條件!$A:$L, 3, 0), "")</f>
        <v>5.9016393442622928</v>
      </c>
      <c r="AA188" s="984" t="str">
        <f>IF(OR(L188={"改紡","檢修","了機","清車","FINAL","停機","SAMPLE","TEST","絲開發"}), L188, IFERROR(IF(C188="", "", (SUM(J188, N188, R188, V188)/3 * AG188) * IF(AND(AF188="S", AS188="雙"), 0.5, 1)), ""))</f>
        <v>清車</v>
      </c>
      <c r="AB188" s="1413" t="str">
        <f t="shared" si="32"/>
        <v/>
      </c>
      <c r="AC188" s="984" t="str">
        <f>IF(OR(L188={"改紡","檢修","了機","清車","FINAL","停機","SAMPLE","TEST"}), "", IFERROR(IF(C188="", "", AVERAGE(L188:M188, P188:Q188, T188:U188, X188:Y188)/100), ""))</f>
        <v/>
      </c>
      <c r="AD188" s="984" t="str">
        <f t="shared" si="26"/>
        <v/>
      </c>
      <c r="AE188" s="984" t="str">
        <f t="shared" si="33"/>
        <v/>
      </c>
      <c r="AF188" s="985" t="str">
        <f t="shared" si="27"/>
        <v>T</v>
      </c>
      <c r="AG188" s="1414">
        <v>1</v>
      </c>
      <c r="AH188" s="1002" t="s">
        <v>651</v>
      </c>
      <c r="AI188" s="1002" t="s">
        <v>651</v>
      </c>
      <c r="AJ188" s="986" t="s">
        <v>652</v>
      </c>
      <c r="AK188" s="981" t="s">
        <v>652</v>
      </c>
      <c r="AL188" s="1415">
        <v>56</v>
      </c>
      <c r="AM188" s="1323">
        <v>46143</v>
      </c>
      <c r="AN188" s="1323">
        <v>46144</v>
      </c>
      <c r="AO188" s="1323"/>
      <c r="AP188" s="1323"/>
      <c r="AQ188" s="1323"/>
      <c r="AR188" s="987"/>
      <c r="AS188" s="978" t="str">
        <f t="shared" si="28"/>
        <v>雙</v>
      </c>
      <c r="AT188" s="978" t="str">
        <f t="shared" si="29"/>
        <v>全</v>
      </c>
      <c r="AU188" s="978">
        <f t="shared" si="30"/>
        <v>150</v>
      </c>
      <c r="AV188" s="978" t="str">
        <f t="shared" si="31"/>
        <v/>
      </c>
    </row>
    <row r="189" spans="1:48">
      <c r="A189" s="975">
        <f t="shared" si="34"/>
        <v>46147</v>
      </c>
      <c r="B189" s="976" t="s">
        <v>237</v>
      </c>
      <c r="C189" s="976" t="s">
        <v>16759</v>
      </c>
      <c r="D189" s="1410" t="s">
        <v>633</v>
      </c>
      <c r="E189" s="977" t="str">
        <f>IFERROR(VLOOKUP(C189, [6]條件!$A:$L, 5, 0), "")</f>
        <v>150/48/2SDr</v>
      </c>
      <c r="F189" s="978" t="str">
        <f>IFERROR(VLOOKUP(C189, [6]條件!$A:$L, 6, 0), "")</f>
        <v>FP82171R×2</v>
      </c>
      <c r="G189" s="1411">
        <f>IFERROR(VLOOKUP(C189, [6]條件!$A:$L, 7, 0), "")</f>
        <v>700</v>
      </c>
      <c r="H189" s="978" t="str">
        <f>IF(ISNA(VLOOKUP(C189,[6]條件!$A$1:$K$932,11,0)),"",(VLOOKUP(C189,[6]條件!$A$1:$K$932,11,0)))</f>
        <v>紅底黃星</v>
      </c>
      <c r="I189" s="979">
        <f>IF(ISNA(VLOOKUP(C189,[6]條件!$A$1:$L$932,12,0)),"",(VLOOKUP(C189,[6]條件!$A$1:$L$932,12,0)))</f>
        <v>5.5</v>
      </c>
      <c r="J189" s="980"/>
      <c r="K189" s="980"/>
      <c r="L189" s="981" t="s">
        <v>642</v>
      </c>
      <c r="M189" s="981"/>
      <c r="N189" s="982"/>
      <c r="O189" s="980"/>
      <c r="P189" s="981" t="s">
        <v>642</v>
      </c>
      <c r="Q189" s="981"/>
      <c r="R189" s="982"/>
      <c r="S189" s="980"/>
      <c r="T189" s="981" t="s">
        <v>477</v>
      </c>
      <c r="U189" s="981"/>
      <c r="V189" s="982">
        <v>38</v>
      </c>
      <c r="W189" s="980">
        <v>0</v>
      </c>
      <c r="X189" s="981">
        <v>9350</v>
      </c>
      <c r="Y189" s="983">
        <v>9630</v>
      </c>
      <c r="Z189" s="1412">
        <f>IFERROR(VLOOKUP(C189, [6]條件!$A:$L, 3, 0), "")</f>
        <v>5.8299595141700413</v>
      </c>
      <c r="AA189" s="984" t="str">
        <f>IF(OR(L189={"改紡","檢修","了機","清車","FINAL","停機","SAMPLE","TEST","絲開發"}), L189, IFERROR(IF(C189="", "", (SUM(J189, N189, R189, V189)/3 * AG189) * IF(AND(AF189="S", AS189="雙"), 0.5, 1)), ""))</f>
        <v>改紡</v>
      </c>
      <c r="AB189" s="1413" t="str">
        <f t="shared" si="32"/>
        <v/>
      </c>
      <c r="AC189" s="984" t="str">
        <f>IF(OR(L189={"改紡","檢修","了機","清車","FINAL","停機","SAMPLE","TEST"}), "", IFERROR(IF(C189="", "", AVERAGE(L189:M189, P189:Q189, T189:U189, X189:Y189)/100), ""))</f>
        <v/>
      </c>
      <c r="AD189" s="984" t="str">
        <f t="shared" si="26"/>
        <v/>
      </c>
      <c r="AE189" s="984" t="str">
        <f t="shared" si="33"/>
        <v/>
      </c>
      <c r="AF189" s="985" t="str">
        <f t="shared" si="27"/>
        <v>T</v>
      </c>
      <c r="AG189" s="1414">
        <v>1</v>
      </c>
      <c r="AH189" s="1002" t="s">
        <v>15337</v>
      </c>
      <c r="AI189" s="1002" t="s">
        <v>15337</v>
      </c>
      <c r="AJ189" s="986" t="s">
        <v>652</v>
      </c>
      <c r="AK189" s="981" t="s">
        <v>652</v>
      </c>
      <c r="AL189" s="1415">
        <v>55</v>
      </c>
      <c r="AM189" s="1323">
        <v>46142</v>
      </c>
      <c r="AN189" s="1323">
        <v>46143</v>
      </c>
      <c r="AO189" s="1323"/>
      <c r="AP189" s="1323"/>
      <c r="AQ189" s="1323"/>
      <c r="AR189" s="987" t="s">
        <v>16784</v>
      </c>
      <c r="AS189" s="978" t="str">
        <f t="shared" si="28"/>
        <v>雙</v>
      </c>
      <c r="AT189" s="978" t="str">
        <f t="shared" si="29"/>
        <v>全</v>
      </c>
      <c r="AU189" s="978">
        <f t="shared" si="30"/>
        <v>150</v>
      </c>
      <c r="AV189" s="978" t="str">
        <f t="shared" si="31"/>
        <v/>
      </c>
    </row>
    <row r="190" spans="1:48">
      <c r="A190" s="975">
        <f t="shared" si="34"/>
        <v>46147</v>
      </c>
      <c r="B190" s="976" t="s">
        <v>238</v>
      </c>
      <c r="C190" s="976" t="s">
        <v>16743</v>
      </c>
      <c r="D190" s="1410"/>
      <c r="E190" s="977" t="str">
        <f>IFERROR(VLOOKUP(C190, [6]條件!$A:$L, 5, 0), "")</f>
        <v>150/48/2SDr</v>
      </c>
      <c r="F190" s="978" t="str">
        <f>IFERROR(VLOOKUP(C190, [6]條件!$A:$L, 6, 0), "")</f>
        <v>FP82169R×2</v>
      </c>
      <c r="G190" s="1411">
        <f>IFERROR(VLOOKUP(C190, [6]條件!$A:$L, 7, 0), "")</f>
        <v>670</v>
      </c>
      <c r="H190" s="978" t="str">
        <f>IF(ISNA(VLOOKUP(C190,[6]條件!$A$1:$K$932,11,0)),"",(VLOOKUP(C190,[6]條件!$A$1:$K$932,11,0)))</f>
        <v>黃底紅點</v>
      </c>
      <c r="I190" s="979">
        <f>IF(ISNA(VLOOKUP(C190,[6]條件!$A$1:$L$932,12,0)),"",(VLOOKUP(C190,[6]條件!$A$1:$L$932,12,0)))</f>
        <v>5</v>
      </c>
      <c r="J190" s="980">
        <v>12</v>
      </c>
      <c r="K190" s="980">
        <v>0</v>
      </c>
      <c r="L190" s="981">
        <v>9540</v>
      </c>
      <c r="M190" s="981"/>
      <c r="N190" s="982">
        <v>11</v>
      </c>
      <c r="O190" s="980">
        <v>0</v>
      </c>
      <c r="P190" s="981">
        <v>9540</v>
      </c>
      <c r="Q190" s="981"/>
      <c r="R190" s="982">
        <v>0</v>
      </c>
      <c r="S190" s="980">
        <v>0</v>
      </c>
      <c r="T190" s="981">
        <v>8420</v>
      </c>
      <c r="U190" s="981"/>
      <c r="V190" s="982">
        <v>36</v>
      </c>
      <c r="W190" s="980">
        <v>1</v>
      </c>
      <c r="X190" s="981">
        <v>9170</v>
      </c>
      <c r="Y190" s="983"/>
      <c r="Z190" s="1412">
        <f>IFERROR(VLOOKUP(C190, [6]條件!$A:$L, 3, 0), "")</f>
        <v>6.2882096069868991</v>
      </c>
      <c r="AA190" s="984">
        <f>IF(OR(L190={"改紡","檢修","了機","清車","FINAL","停機","SAMPLE","TEST","絲開發"}), L190, IFERROR(IF(C190="", "", (SUM(J190, N190, R190, V190)/3 * AG190) * IF(AND(AF190="S", AS190="雙"), 0.5, 1)), ""))</f>
        <v>39.333333333333336</v>
      </c>
      <c r="AB190" s="1413">
        <f t="shared" si="32"/>
        <v>0.9992354433760684</v>
      </c>
      <c r="AC190" s="984">
        <f>IF(OR(L190={"改紡","檢修","了機","清車","FINAL","停機","SAMPLE","TEST"}), "", IFERROR(IF(C190="", "", AVERAGE(L190:M190, P190:Q190, T190:U190, X190:Y190)/100), ""))</f>
        <v>91.674999999999997</v>
      </c>
      <c r="AD190" s="984">
        <f t="shared" si="26"/>
        <v>4.916666666666667</v>
      </c>
      <c r="AE190" s="984">
        <f t="shared" si="33"/>
        <v>4.833333333333333</v>
      </c>
      <c r="AF190" s="985" t="str">
        <f t="shared" si="27"/>
        <v>T</v>
      </c>
      <c r="AG190" s="1414">
        <v>2</v>
      </c>
      <c r="AH190" s="1002" t="s">
        <v>651</v>
      </c>
      <c r="AI190" s="1002" t="s">
        <v>651</v>
      </c>
      <c r="AJ190" s="986" t="s">
        <v>639</v>
      </c>
      <c r="AK190" s="981" t="s">
        <v>639</v>
      </c>
      <c r="AL190" s="1415">
        <v>48</v>
      </c>
      <c r="AM190" s="1323">
        <v>46143</v>
      </c>
      <c r="AN190" s="1323">
        <v>46144</v>
      </c>
      <c r="AO190" s="1323">
        <v>46145</v>
      </c>
      <c r="AP190" s="1323"/>
      <c r="AQ190" s="1323"/>
      <c r="AR190" s="987"/>
      <c r="AS190" s="978" t="str">
        <f t="shared" si="28"/>
        <v>雙</v>
      </c>
      <c r="AT190" s="978" t="str">
        <f t="shared" si="29"/>
        <v>半</v>
      </c>
      <c r="AU190" s="978">
        <f t="shared" si="30"/>
        <v>150</v>
      </c>
      <c r="AV190" s="978">
        <f t="shared" si="31"/>
        <v>3.18412944</v>
      </c>
    </row>
    <row r="191" spans="1:48">
      <c r="A191" s="975">
        <f t="shared" si="34"/>
        <v>46147</v>
      </c>
      <c r="B191" s="976" t="s">
        <v>238</v>
      </c>
      <c r="C191" s="976" t="s">
        <v>16742</v>
      </c>
      <c r="D191" s="1410"/>
      <c r="E191" s="977" t="str">
        <f>IFERROR(VLOOKUP(C191, [6]條件!$A:$L, 5, 0), "")</f>
        <v>150/48/2SDr</v>
      </c>
      <c r="F191" s="978" t="str">
        <f>IFERROR(VLOOKUP(C191, [6]條件!$A:$L, 6, 0), "")</f>
        <v>FP82169R×2</v>
      </c>
      <c r="G191" s="1411">
        <f>IFERROR(VLOOKUP(C191, [6]條件!$A:$L, 7, 0), "")</f>
        <v>670</v>
      </c>
      <c r="H191" s="978" t="str">
        <f>IF(ISNA(VLOOKUP(C191,[6]條件!$A$1:$K$932,11,0)),"",(VLOOKUP(C191,[6]條件!$A$1:$K$932,11,0)))</f>
        <v>紅底藍點</v>
      </c>
      <c r="I191" s="979">
        <f>IF(ISNA(VLOOKUP(C191,[6]條件!$A$1:$L$932,12,0)),"",(VLOOKUP(C191,[6]條件!$A$1:$L$932,12,0)))</f>
        <v>5</v>
      </c>
      <c r="J191" s="980">
        <v>23</v>
      </c>
      <c r="K191" s="980">
        <v>0</v>
      </c>
      <c r="L191" s="981">
        <v>9720</v>
      </c>
      <c r="M191" s="981"/>
      <c r="N191" s="982">
        <v>8</v>
      </c>
      <c r="O191" s="980">
        <v>0</v>
      </c>
      <c r="P191" s="981">
        <v>9810</v>
      </c>
      <c r="Q191" s="981"/>
      <c r="R191" s="982">
        <v>0</v>
      </c>
      <c r="S191" s="980">
        <v>0</v>
      </c>
      <c r="T191" s="981"/>
      <c r="U191" s="981">
        <v>9170</v>
      </c>
      <c r="V191" s="982">
        <v>27</v>
      </c>
      <c r="W191" s="980">
        <v>2</v>
      </c>
      <c r="X191" s="981"/>
      <c r="Y191" s="983">
        <v>9350</v>
      </c>
      <c r="Z191" s="1412">
        <f>IFERROR(VLOOKUP(C191, [6]條件!$A:$L, 3, 0), "")</f>
        <v>6.1802575107296125</v>
      </c>
      <c r="AA191" s="984">
        <f>IF(OR(L191={"改紡","檢修","了機","清車","FINAL","停機","SAMPLE","TEST","絲開發"}), L191, IFERROR(IF(C191="", "", (SUM(J191, N191, R191, V191)/3 * AG191) * IF(AND(AF191="S", AS191="雙"), 0.5, 1)), ""))</f>
        <v>38.666666666666664</v>
      </c>
      <c r="AB191" s="1413">
        <f t="shared" si="32"/>
        <v>0.99844417735042734</v>
      </c>
      <c r="AC191" s="984">
        <f>IF(OR(L191={"改紡","檢修","了機","清車","FINAL","停機","SAMPLE","TEST"}), "", IFERROR(IF(C191="", "", AVERAGE(L191:M191, P191:Q191, T191:U191, X191:Y191)/100), ""))</f>
        <v>95.125</v>
      </c>
      <c r="AD191" s="984">
        <f t="shared" si="26"/>
        <v>4.833333333333333</v>
      </c>
      <c r="AE191" s="984">
        <f t="shared" si="33"/>
        <v>4.666666666666667</v>
      </c>
      <c r="AF191" s="985" t="str">
        <f t="shared" si="27"/>
        <v>T</v>
      </c>
      <c r="AG191" s="1414">
        <v>2</v>
      </c>
      <c r="AH191" s="1002" t="s">
        <v>651</v>
      </c>
      <c r="AI191" s="981" t="s">
        <v>651</v>
      </c>
      <c r="AJ191" s="986" t="s">
        <v>639</v>
      </c>
      <c r="AK191" s="1417" t="s">
        <v>639</v>
      </c>
      <c r="AL191" s="1415">
        <v>48</v>
      </c>
      <c r="AM191" s="1323">
        <v>46139</v>
      </c>
      <c r="AN191" s="1323">
        <v>46140</v>
      </c>
      <c r="AO191" s="1323">
        <v>46146</v>
      </c>
      <c r="AP191" s="1323"/>
      <c r="AQ191" s="1323"/>
      <c r="AR191" s="987"/>
      <c r="AS191" s="978" t="str">
        <f t="shared" si="28"/>
        <v>雙</v>
      </c>
      <c r="AT191" s="978" t="str">
        <f t="shared" si="29"/>
        <v>半</v>
      </c>
      <c r="AU191" s="978">
        <f t="shared" si="30"/>
        <v>150</v>
      </c>
      <c r="AV191" s="978">
        <f t="shared" si="31"/>
        <v>3.3039576000000004</v>
      </c>
    </row>
    <row r="192" spans="1:48">
      <c r="A192" s="975">
        <f t="shared" si="34"/>
        <v>46147</v>
      </c>
      <c r="B192" s="976" t="s">
        <v>239</v>
      </c>
      <c r="C192" s="976" t="s">
        <v>16735</v>
      </c>
      <c r="D192" s="1410"/>
      <c r="E192" s="977" t="str">
        <f>IFERROR(VLOOKUP(C192, [6]條件!$A:$L, 5, 0), "")</f>
        <v>150/48/2SR6</v>
      </c>
      <c r="F192" s="978" t="str">
        <f>IFERROR(VLOOKUP(C192, [6]條件!$A:$L, 6, 0), "")</f>
        <v>FP82658×2</v>
      </c>
      <c r="G192" s="1411">
        <f>IFERROR(VLOOKUP(C192, [6]條件!$A:$L, 7, 0), "")</f>
        <v>600</v>
      </c>
      <c r="H192" s="978" t="str">
        <f>IF(ISNA(VLOOKUP(C192,[6]條件!$A$1:$K$932,11,0)),"",(VLOOKUP(C192,[6]條件!$A$1:$K$932,11,0)))</f>
        <v>黃底黑點</v>
      </c>
      <c r="I192" s="979">
        <f>IF(ISNA(VLOOKUP(C192,[6]條件!$A$1:$L$932,12,0)),"",(VLOOKUP(C192,[6]條件!$A$1:$L$932,12,0)))</f>
        <v>5.5</v>
      </c>
      <c r="J192" s="980"/>
      <c r="K192" s="980"/>
      <c r="L192" s="981" t="s">
        <v>127</v>
      </c>
      <c r="M192" s="981" t="s">
        <v>127</v>
      </c>
      <c r="N192" s="982"/>
      <c r="O192" s="980"/>
      <c r="P192" s="981" t="s">
        <v>632</v>
      </c>
      <c r="Q192" s="981" t="s">
        <v>127</v>
      </c>
      <c r="R192" s="982"/>
      <c r="S192" s="980"/>
      <c r="T192" s="981" t="s">
        <v>632</v>
      </c>
      <c r="U192" s="981" t="s">
        <v>127</v>
      </c>
      <c r="V192" s="982"/>
      <c r="W192" s="980"/>
      <c r="X192" s="981" t="s">
        <v>632</v>
      </c>
      <c r="Y192" s="983" t="s">
        <v>127</v>
      </c>
      <c r="Z192" s="1412">
        <f>IFERROR(VLOOKUP(C192, [6]條件!$A:$L, 3, 0), "")</f>
        <v>4.9655172413793105</v>
      </c>
      <c r="AA192" s="984" t="str">
        <f>IF(OR(L192={"改紡","檢修","了機","清車","FINAL","停機","SAMPLE","TEST","絲開發"}), L192, IFERROR(IF(C192="", "", (SUM(J192, N192, R192, V192)/3 * AG192) * IF(AND(AF192="S", AS192="雙"), 0.5, 1)), ""))</f>
        <v>了機</v>
      </c>
      <c r="AB192" s="1413" t="str">
        <f t="shared" si="32"/>
        <v/>
      </c>
      <c r="AC192" s="984" t="str">
        <f>IF(OR(L192={"改紡","檢修","了機","清車","FINAL","停機","SAMPLE","TEST"}), "", IFERROR(IF(C192="", "", AVERAGE(L192:M192, P192:Q192, T192:U192, X192:Y192)/100), ""))</f>
        <v/>
      </c>
      <c r="AD192" s="984" t="str">
        <f t="shared" si="26"/>
        <v/>
      </c>
      <c r="AE192" s="984" t="str">
        <f t="shared" si="33"/>
        <v/>
      </c>
      <c r="AF192" s="985" t="str">
        <f t="shared" si="27"/>
        <v>T</v>
      </c>
      <c r="AG192" s="1414">
        <v>2</v>
      </c>
      <c r="AH192" s="1002" t="s">
        <v>15337</v>
      </c>
      <c r="AI192" s="981" t="s">
        <v>15337</v>
      </c>
      <c r="AJ192" s="986" t="s">
        <v>652</v>
      </c>
      <c r="AK192" s="1417" t="s">
        <v>652</v>
      </c>
      <c r="AL192" s="1415">
        <v>56</v>
      </c>
      <c r="AM192" s="1323">
        <v>46116</v>
      </c>
      <c r="AN192" s="1323">
        <v>46117</v>
      </c>
      <c r="AO192" s="1323">
        <v>46118</v>
      </c>
      <c r="AP192" s="1323"/>
      <c r="AQ192" s="1323"/>
      <c r="AR192" s="987"/>
      <c r="AS192" s="978" t="str">
        <f t="shared" si="28"/>
        <v>雙</v>
      </c>
      <c r="AT192" s="978" t="str">
        <f t="shared" si="29"/>
        <v>半</v>
      </c>
      <c r="AU192" s="978">
        <f t="shared" si="30"/>
        <v>150</v>
      </c>
      <c r="AV192" s="978" t="str">
        <f t="shared" si="31"/>
        <v/>
      </c>
    </row>
    <row r="193" spans="1:48">
      <c r="A193" s="975">
        <f t="shared" si="34"/>
        <v>46147</v>
      </c>
      <c r="B193" s="976" t="s">
        <v>388</v>
      </c>
      <c r="C193" s="976" t="s">
        <v>16730</v>
      </c>
      <c r="D193" s="1410" t="s">
        <v>633</v>
      </c>
      <c r="E193" s="977" t="str">
        <f>IFERROR(VLOOKUP(C193, [6]條件!$A:$L, 5, 0), "")</f>
        <v>225/72/2SDr</v>
      </c>
      <c r="F193" s="978" t="str">
        <f>IFERROR(VLOOKUP(C193, [6]條件!$A:$L, 6, 0), "")</f>
        <v>FP83024R×2</v>
      </c>
      <c r="G193" s="1411">
        <f>IFERROR(VLOOKUP(C193, [6]條件!$A:$L, 7, 0), "")</f>
        <v>550</v>
      </c>
      <c r="H193" s="978" t="str">
        <f>IF(ISNA(VLOOKUP(C193,[6]條件!$A$1:$K$932,11,0)),"",(VLOOKUP(C193,[6]條件!$A$1:$K$932,11,0)))</f>
        <v>灰色</v>
      </c>
      <c r="I193" s="979">
        <f>IF(ISNA(VLOOKUP(C193,[6]條件!$A$1:$L$932,12,0)),"",(VLOOKUP(C193,[6]條件!$A$1:$L$932,12,0)))</f>
        <v>5.5</v>
      </c>
      <c r="J193" s="980">
        <v>12</v>
      </c>
      <c r="K193" s="980">
        <v>0</v>
      </c>
      <c r="L193" s="981">
        <v>7310</v>
      </c>
      <c r="M193" s="981"/>
      <c r="N193" s="982">
        <v>4</v>
      </c>
      <c r="O193" s="980">
        <v>0</v>
      </c>
      <c r="P193" s="981">
        <v>7310</v>
      </c>
      <c r="Q193" s="981"/>
      <c r="R193" s="982">
        <v>0</v>
      </c>
      <c r="S193" s="980">
        <v>0</v>
      </c>
      <c r="T193" s="981">
        <v>6850</v>
      </c>
      <c r="U193" s="981"/>
      <c r="V193" s="982">
        <v>20</v>
      </c>
      <c r="W193" s="980">
        <v>2</v>
      </c>
      <c r="X193" s="981">
        <v>7310</v>
      </c>
      <c r="Y193" s="983"/>
      <c r="Z193" s="1412">
        <f>IFERROR(VLOOKUP(C193, [6]條件!$A:$L, 3, 0), "")</f>
        <v>6.6055045871559628</v>
      </c>
      <c r="AA193" s="984">
        <f>IF(OR(L193={"改紡","檢修","了機","清車","FINAL","停機","SAMPLE","TEST","絲開發"}), L193, IFERROR(IF(C193="", "", (SUM(J193, N193, R193, V193)/3 * AG193) * IF(AND(AF193="S", AS193="雙"), 0.5, 1)), ""))</f>
        <v>24</v>
      </c>
      <c r="AB193" s="1413">
        <f t="shared" si="32"/>
        <v>0.99854433760683758</v>
      </c>
      <c r="AC193" s="984">
        <f>IF(OR(L193={"改紡","檢修","了機","清車","FINAL","停機","SAMPLE","TEST"}), "", IFERROR(IF(C193="", "", AVERAGE(L193:M193, P193:Q193, T193:U193, X193:Y193)/100), ""))</f>
        <v>71.95</v>
      </c>
      <c r="AD193" s="984">
        <f t="shared" si="26"/>
        <v>3</v>
      </c>
      <c r="AE193" s="984">
        <f t="shared" si="33"/>
        <v>2.8333333333333335</v>
      </c>
      <c r="AF193" s="985" t="str">
        <f t="shared" si="27"/>
        <v>T</v>
      </c>
      <c r="AG193" s="1414">
        <v>2</v>
      </c>
      <c r="AH193" s="1002" t="s">
        <v>651</v>
      </c>
      <c r="AI193" s="981" t="s">
        <v>651</v>
      </c>
      <c r="AJ193" s="986" t="s">
        <v>639</v>
      </c>
      <c r="AK193" s="1417" t="s">
        <v>639</v>
      </c>
      <c r="AL193" s="1415">
        <v>53</v>
      </c>
      <c r="AM193" s="1323">
        <v>46130</v>
      </c>
      <c r="AN193" s="1323">
        <v>46135</v>
      </c>
      <c r="AO193" s="1323">
        <v>46136</v>
      </c>
      <c r="AP193" s="1323">
        <v>46137</v>
      </c>
      <c r="AQ193" s="1323"/>
      <c r="AR193" s="987"/>
      <c r="AS193" s="978" t="str">
        <f t="shared" si="28"/>
        <v>雙</v>
      </c>
      <c r="AT193" s="978" t="str">
        <f t="shared" si="29"/>
        <v>半</v>
      </c>
      <c r="AU193" s="978">
        <f t="shared" si="30"/>
        <v>225</v>
      </c>
      <c r="AV193" s="978">
        <f t="shared" si="31"/>
        <v>3.0771576</v>
      </c>
    </row>
    <row r="194" spans="1:48">
      <c r="A194" s="975">
        <f t="shared" si="34"/>
        <v>46147</v>
      </c>
      <c r="B194" s="976" t="s">
        <v>388</v>
      </c>
      <c r="C194" s="976" t="s">
        <v>16736</v>
      </c>
      <c r="D194" s="1410" t="s">
        <v>633</v>
      </c>
      <c r="E194" s="977" t="str">
        <f>IFERROR(VLOOKUP(C194, [6]條件!$A:$L, 5, 0), "")</f>
        <v>150/48/2SDr</v>
      </c>
      <c r="F194" s="978" t="str">
        <f>IFERROR(VLOOKUP(C194, [6]條件!$A:$L, 6, 0), "")</f>
        <v>FP82170R×2</v>
      </c>
      <c r="G194" s="1411">
        <f>IFERROR(VLOOKUP(C194, [6]條件!$A:$L, 7, 0), "")</f>
        <v>700</v>
      </c>
      <c r="H194" s="978" t="str">
        <f>IF(ISNA(VLOOKUP(C194,[6]條件!$A$1:$K$932,11,0)),"",(VLOOKUP(C194,[6]條件!$A$1:$K$932,11,0)))</f>
        <v>粉紅</v>
      </c>
      <c r="I194" s="979">
        <f>IF(ISNA(VLOOKUP(C194,[6]條件!$A$1:$L$932,12,0)),"",(VLOOKUP(C194,[6]條件!$A$1:$L$932,12,0)))</f>
        <v>5.5</v>
      </c>
      <c r="J194" s="980">
        <v>11</v>
      </c>
      <c r="K194" s="980">
        <v>0</v>
      </c>
      <c r="L194" s="981">
        <v>9910</v>
      </c>
      <c r="M194" s="981"/>
      <c r="N194" s="982">
        <v>6</v>
      </c>
      <c r="O194" s="980">
        <v>0</v>
      </c>
      <c r="P194" s="981">
        <v>9910</v>
      </c>
      <c r="Q194" s="981"/>
      <c r="R194" s="982">
        <v>0</v>
      </c>
      <c r="S194" s="980">
        <v>0</v>
      </c>
      <c r="T194" s="981">
        <v>8980</v>
      </c>
      <c r="U194" s="981"/>
      <c r="V194" s="982">
        <v>21</v>
      </c>
      <c r="W194" s="980">
        <v>0</v>
      </c>
      <c r="X194" s="981"/>
      <c r="Y194" s="983">
        <v>9910</v>
      </c>
      <c r="Z194" s="1412">
        <f>IFERROR(VLOOKUP(C194, [6]條件!$A:$L, 3, 0), "")</f>
        <v>5.8775510204081636</v>
      </c>
      <c r="AA194" s="984">
        <f>IF(OR(L194={"改紡","檢修","了機","清車","FINAL","停機","SAMPLE","TEST","絲開發"}), L194, IFERROR(IF(C194="", "", (SUM(J194, N194, R194, V194)/3 * AG194) * IF(AND(AF194="S", AS194="雙"), 0.5, 1)), ""))</f>
        <v>25.333333333333332</v>
      </c>
      <c r="AB194" s="1413">
        <f t="shared" si="32"/>
        <v>1</v>
      </c>
      <c r="AC194" s="984">
        <f>IF(OR(L194={"改紡","檢修","了機","清車","FINAL","停機","SAMPLE","TEST"}), "", IFERROR(IF(C194="", "", AVERAGE(L194:M194, P194:Q194, T194:U194, X194:Y194)/100), ""))</f>
        <v>96.775000000000006</v>
      </c>
      <c r="AD194" s="984">
        <f t="shared" ref="AD194:AD257" si="35">IF(ISERROR(AA194/8),"",(AA194/8))</f>
        <v>3.1666666666666665</v>
      </c>
      <c r="AE194" s="984">
        <f t="shared" si="33"/>
        <v>3.1666666666666665</v>
      </c>
      <c r="AF194" s="985" t="str">
        <f t="shared" ref="AF194:AF257" si="36">LEFT(B194, 1)</f>
        <v>T</v>
      </c>
      <c r="AG194" s="1414">
        <v>2</v>
      </c>
      <c r="AH194" s="1002" t="s">
        <v>651</v>
      </c>
      <c r="AI194" s="981" t="s">
        <v>651</v>
      </c>
      <c r="AJ194" s="986" t="s">
        <v>639</v>
      </c>
      <c r="AK194" s="1417" t="s">
        <v>639</v>
      </c>
      <c r="AL194" s="1415">
        <v>56</v>
      </c>
      <c r="AM194" s="1323">
        <v>46143</v>
      </c>
      <c r="AN194" s="1323">
        <v>46144</v>
      </c>
      <c r="AO194" s="1323"/>
      <c r="AP194" s="1323"/>
      <c r="AQ194" s="1323"/>
      <c r="AR194" s="987"/>
      <c r="AS194" s="978" t="str">
        <f t="shared" ref="AS194:AS257" si="37">IF(RIGHT(F194, 2) = "×2", "雙", "單")</f>
        <v>雙</v>
      </c>
      <c r="AT194" s="978" t="str">
        <f t="shared" ref="AT194:AT257" si="38">IF(OR(AF194="J", AF194="T", AF194="M"), IF(AG194=1, "全", "半"), IF(AF194="A", IF(AG194=0.5, IF(AS194="雙", "全", ""), IF(AG194=1, IF(AS194="雙", "半", "全"), IF(AG194=2, "半", ""))), IF(AF194="S", AG194 &amp; "sec", "")))</f>
        <v>半</v>
      </c>
      <c r="AU194" s="978">
        <f t="shared" ref="AU194:AU257" si="39">IFERROR(VALUE(LEFT(E194, FIND("/", E194)-1)), "")</f>
        <v>150</v>
      </c>
      <c r="AV194" s="978">
        <f t="shared" ref="AV194:AV257" si="40">IFERROR(IF(AF194="S", (AU194*G194*AC194*0.03456/100/1000) * (AG194*12/144) * IF(AS194="單", 1, 0.5), IF(AF194="A", (AU194*G194*AC194*0.03456/100/1000) * IF(AT194="全", 1, 0.5), IF(OR(AF194="T", AF194="J", AF194="M"), (AU194*G194*AC194*0.03456/100/1000) * IF(AS194="單", 1, 2) * IF(AT194="全", 1, 0.5), 0))), "")</f>
        <v>3.5117712000000001</v>
      </c>
    </row>
    <row r="195" spans="1:48">
      <c r="A195" s="975">
        <f t="shared" si="34"/>
        <v>46147</v>
      </c>
      <c r="B195" s="976" t="s">
        <v>417</v>
      </c>
      <c r="C195" s="976" t="s">
        <v>16718</v>
      </c>
      <c r="D195" s="1410" t="s">
        <v>633</v>
      </c>
      <c r="E195" s="977" t="str">
        <f>IFERROR(VLOOKUP(C195, [6]條件!$A:$L, 5, 0), "")</f>
        <v>150/48/2SDr</v>
      </c>
      <c r="F195" s="978" t="str">
        <f>IFERROR(VLOOKUP(C195, [6]條件!$A:$L, 6, 0), "")</f>
        <v>FP82170R×2</v>
      </c>
      <c r="G195" s="1411">
        <f>IFERROR(VLOOKUP(C195, [6]條件!$A:$L, 7, 0), "")</f>
        <v>700</v>
      </c>
      <c r="H195" s="978" t="str">
        <f>IF(ISNA(VLOOKUP(C195,[6]條件!$A$1:$K$932,11,0)),"",(VLOOKUP(C195,[6]條件!$A$1:$K$932,11,0)))</f>
        <v>黃黑條紋</v>
      </c>
      <c r="I195" s="979">
        <f>IF(ISNA(VLOOKUP(C195,[6]條件!$A$1:$L$932,12,0)),"",(VLOOKUP(C195,[6]條件!$A$1:$L$932,12,0)))</f>
        <v>5.5</v>
      </c>
      <c r="J195" s="980"/>
      <c r="K195" s="980"/>
      <c r="L195" s="981" t="s">
        <v>127</v>
      </c>
      <c r="M195" s="981"/>
      <c r="N195" s="982"/>
      <c r="O195" s="980"/>
      <c r="P195" s="981" t="s">
        <v>127</v>
      </c>
      <c r="Q195" s="981"/>
      <c r="R195" s="982"/>
      <c r="S195" s="980"/>
      <c r="T195" s="981" t="s">
        <v>127</v>
      </c>
      <c r="U195" s="981"/>
      <c r="V195" s="982"/>
      <c r="W195" s="980"/>
      <c r="X195" s="981" t="s">
        <v>127</v>
      </c>
      <c r="Y195" s="983"/>
      <c r="Z195" s="1412">
        <f>IFERROR(VLOOKUP(C195, [6]條件!$A:$L, 3, 0), "")</f>
        <v>5.8299595141700395</v>
      </c>
      <c r="AA195" s="984" t="str">
        <f>IF(OR(L195={"改紡","檢修","了機","清車","FINAL","停機","SAMPLE","TEST","絲開發"}), L195, IFERROR(IF(C195="", "", (SUM(J195, N195, R195, V195)/3 * AG195) * IF(AND(AF195="S", AS195="雙"), 0.5, 1)), ""))</f>
        <v>了機</v>
      </c>
      <c r="AB195" s="1413" t="str">
        <f t="shared" si="32"/>
        <v/>
      </c>
      <c r="AC195" s="984" t="str">
        <f>IF(OR(L195={"改紡","檢修","了機","清車","FINAL","停機","SAMPLE","TEST"}), "", IFERROR(IF(C195="", "", AVERAGE(L195:M195, P195:Q195, T195:U195, X195:Y195)/100), ""))</f>
        <v/>
      </c>
      <c r="AD195" s="984" t="str">
        <f t="shared" si="35"/>
        <v/>
      </c>
      <c r="AE195" s="984" t="str">
        <f t="shared" si="33"/>
        <v/>
      </c>
      <c r="AF195" s="985" t="str">
        <f t="shared" si="36"/>
        <v>T</v>
      </c>
      <c r="AG195" s="1414">
        <v>1</v>
      </c>
      <c r="AH195" s="1002" t="s">
        <v>15337</v>
      </c>
      <c r="AI195" s="981" t="s">
        <v>15337</v>
      </c>
      <c r="AJ195" s="986" t="s">
        <v>652</v>
      </c>
      <c r="AK195" s="1417" t="s">
        <v>652</v>
      </c>
      <c r="AL195" s="1415"/>
      <c r="AM195" s="1323"/>
      <c r="AN195" s="1323"/>
      <c r="AO195" s="1323"/>
      <c r="AP195" s="1323"/>
      <c r="AQ195" s="1323"/>
      <c r="AR195" s="987"/>
      <c r="AS195" s="978" t="str">
        <f t="shared" si="37"/>
        <v>雙</v>
      </c>
      <c r="AT195" s="978" t="str">
        <f t="shared" si="38"/>
        <v>全</v>
      </c>
      <c r="AU195" s="978">
        <f t="shared" si="39"/>
        <v>150</v>
      </c>
      <c r="AV195" s="978" t="str">
        <f t="shared" si="40"/>
        <v/>
      </c>
    </row>
    <row r="196" spans="1:48">
      <c r="A196" s="975">
        <f t="shared" si="34"/>
        <v>46147</v>
      </c>
      <c r="B196" s="976" t="s">
        <v>240</v>
      </c>
      <c r="C196" s="988" t="s">
        <v>632</v>
      </c>
      <c r="D196" s="1410"/>
      <c r="E196" s="977" t="str">
        <f>IFERROR(VLOOKUP(C196, [6]條件!$A:$L, 5, 0), "")</f>
        <v/>
      </c>
      <c r="F196" s="978" t="str">
        <f>IFERROR(VLOOKUP(C196, [6]條件!$A:$L, 6, 0), "")</f>
        <v/>
      </c>
      <c r="G196" s="1411" t="str">
        <f>IFERROR(VLOOKUP(C196, [6]條件!$A:$L, 7, 0), "")</f>
        <v/>
      </c>
      <c r="H196" s="978" t="str">
        <f>IF(ISNA(VLOOKUP(C196,[6]條件!$A$1:$K$932,11,0)),"",(VLOOKUP(C196,[6]條件!$A$1:$K$932,11,0)))</f>
        <v/>
      </c>
      <c r="I196" s="979" t="str">
        <f>IF(ISNA(VLOOKUP(C196,[6]條件!$A$1:$L$932,12,0)),"",(VLOOKUP(C196,[6]條件!$A$1:$L$932,12,0)))</f>
        <v/>
      </c>
      <c r="J196" s="980"/>
      <c r="K196" s="980"/>
      <c r="L196" s="981" t="s">
        <v>632</v>
      </c>
      <c r="M196" s="981"/>
      <c r="N196" s="982"/>
      <c r="O196" s="980"/>
      <c r="P196" s="981" t="s">
        <v>632</v>
      </c>
      <c r="Q196" s="981"/>
      <c r="R196" s="982"/>
      <c r="S196" s="980"/>
      <c r="T196" s="981" t="s">
        <v>632</v>
      </c>
      <c r="U196" s="981"/>
      <c r="V196" s="982"/>
      <c r="W196" s="980"/>
      <c r="X196" s="981" t="s">
        <v>632</v>
      </c>
      <c r="Y196" s="983"/>
      <c r="Z196" s="1422" t="str">
        <f>IFERROR(VLOOKUP(C196, [6]條件!$A:$L, 3, 0), "")</f>
        <v/>
      </c>
      <c r="AA196" s="1167" t="str">
        <f>IF(OR(L196={"改紡","檢修","了機","清車","FINAL","停機","SAMPLE","TEST","絲開發"}), L196, IFERROR(IF(C196="", "", (SUM(J196, N196, R196, V196)/3 * AG196) * IF(AND(AF196="S", AS196="雙"), 0.5, 1)), ""))</f>
        <v>停機</v>
      </c>
      <c r="AB196" s="1423" t="str">
        <f>IF(K196="","",IF(ISERROR(1-((SUM(K196,O196,S196,W196)/((AG196*12)-(AG196*0.44)))/Z196)),"",(1-((SUM(K196,O196,S196,W196)/((AG196*12)-(AG196*0.44)))/Z196))))</f>
        <v/>
      </c>
      <c r="AC196" s="1167" t="str">
        <f>IF(OR(L196={"改紡","檢修","了機","清車","FINAL","停機","SAMPLE","TEST"}), "", IFERROR(IF(C196="", "", AVERAGE(L196:M196, P196:Q196, T196:U196, X196:Y196)/100), ""))</f>
        <v/>
      </c>
      <c r="AD196" s="1167" t="str">
        <f t="shared" si="35"/>
        <v/>
      </c>
      <c r="AE196" s="1167" t="str">
        <f>IF(P196="了機","",IF(J196="","",IF(ISERROR((SUM(J196,N196,R196,V196)-SUM(K196,O196,S196,W196))/24),"",((SUM(J196,N196,R196,V196)-SUM(K196,O196,S196,W196))/24))))</f>
        <v/>
      </c>
      <c r="AF196" s="1168" t="str">
        <f t="shared" si="36"/>
        <v>S</v>
      </c>
      <c r="AG196" s="1424">
        <v>12</v>
      </c>
      <c r="AH196" s="1002" t="s">
        <v>640</v>
      </c>
      <c r="AI196" s="1002" t="s">
        <v>640</v>
      </c>
      <c r="AJ196" s="986" t="s">
        <v>640</v>
      </c>
      <c r="AK196" s="1417" t="s">
        <v>640</v>
      </c>
      <c r="AL196" s="1415"/>
      <c r="AM196" s="1323"/>
      <c r="AN196" s="1323"/>
      <c r="AO196" s="1323"/>
      <c r="AP196" s="1323"/>
      <c r="AQ196" s="1323"/>
      <c r="AR196" s="987"/>
      <c r="AS196" s="978" t="str">
        <f t="shared" si="37"/>
        <v>單</v>
      </c>
      <c r="AT196" s="978" t="str">
        <f t="shared" si="38"/>
        <v>12sec</v>
      </c>
      <c r="AU196" s="978" t="str">
        <f t="shared" si="39"/>
        <v/>
      </c>
      <c r="AV196" s="978" t="str">
        <f t="shared" si="40"/>
        <v/>
      </c>
    </row>
    <row r="197" spans="1:48">
      <c r="A197" s="975">
        <f t="shared" si="34"/>
        <v>46147</v>
      </c>
      <c r="B197" s="976" t="s">
        <v>242</v>
      </c>
      <c r="C197" s="976" t="s">
        <v>385</v>
      </c>
      <c r="D197" s="1410"/>
      <c r="E197" s="977" t="str">
        <f>IFERROR(VLOOKUP(C197, [6]條件!$A:$L, 5, 0), "")</f>
        <v/>
      </c>
      <c r="F197" s="978" t="str">
        <f>IFERROR(VLOOKUP(C197, [6]條件!$A:$L, 6, 0), "")</f>
        <v/>
      </c>
      <c r="G197" s="1411" t="str">
        <f>IFERROR(VLOOKUP(C197, [6]條件!$A:$L, 7, 0), "")</f>
        <v/>
      </c>
      <c r="H197" s="978" t="str">
        <f>IF(ISNA(VLOOKUP(C197,[6]條件!$A$1:$K$932,11,0)),"",(VLOOKUP(C197,[6]條件!$A$1:$K$932,11,0)))</f>
        <v/>
      </c>
      <c r="I197" s="979" t="str">
        <f>IF(ISNA(VLOOKUP(C197,[6]條件!$A$1:$L$932,12,0)),"",(VLOOKUP(C197,[6]條件!$A$1:$L$932,12,0)))</f>
        <v/>
      </c>
      <c r="J197" s="980"/>
      <c r="K197" s="980"/>
      <c r="L197" s="981" t="s">
        <v>385</v>
      </c>
      <c r="M197" s="981"/>
      <c r="N197" s="982"/>
      <c r="O197" s="980"/>
      <c r="P197" s="981" t="s">
        <v>385</v>
      </c>
      <c r="Q197" s="981"/>
      <c r="R197" s="982"/>
      <c r="S197" s="980"/>
      <c r="T197" s="981" t="s">
        <v>385</v>
      </c>
      <c r="U197" s="981"/>
      <c r="V197" s="982"/>
      <c r="W197" s="980"/>
      <c r="X197" s="981" t="s">
        <v>385</v>
      </c>
      <c r="Y197" s="983"/>
      <c r="Z197" s="1422" t="str">
        <f>IFERROR(VLOOKUP(C197, [6]條件!$A:$L, 3, 0), "")</f>
        <v/>
      </c>
      <c r="AA197" s="1167" t="str">
        <f>IF(OR(L197={"改紡","檢修","了機","清車","FINAL","停機","SAMPLE","TEST","絲開發"}), L197, IFERROR(IF(C197="", "", (SUM(J197, N197, R197, V197)/3 * AG197) * IF(AND(AF197="S", AS197="雙"), 0.5, 1)), ""))</f>
        <v>絲開發</v>
      </c>
      <c r="AB197" s="1423" t="str">
        <f>IF(K197="","",IF(ISERROR(1-((SUM(K197,O197,S197,W197)/((AG197*12)-(AG197*0.44)))/Z197)),"",(1-((SUM(K197,O197,S197,W197)/((AG197*12)-(AG197*0.44)))/Z197))))</f>
        <v/>
      </c>
      <c r="AC197" s="1167" t="str">
        <f>IF(OR(L197={"改紡","檢修","了機","清車","FINAL","停機","SAMPLE","TEST"}), "", IFERROR(IF(C197="", "", AVERAGE(L197:M197, P197:Q197, T197:U197, X197:Y197)/100), ""))</f>
        <v/>
      </c>
      <c r="AD197" s="1167" t="str">
        <f t="shared" si="35"/>
        <v/>
      </c>
      <c r="AE197" s="1167" t="str">
        <f>IF(P197="了機","",IF(J197="","",IF(ISERROR((SUM(J197,N197,R197,V197)-SUM(K197,O197,S197,W197))/24),"",((SUM(J197,N197,R197,V197)-SUM(K197,O197,S197,W197))/24))))</f>
        <v/>
      </c>
      <c r="AF197" s="1168" t="str">
        <f t="shared" si="36"/>
        <v>S</v>
      </c>
      <c r="AG197" s="1424">
        <v>5</v>
      </c>
      <c r="AH197" s="1002" t="s">
        <v>815</v>
      </c>
      <c r="AI197" s="981" t="s">
        <v>815</v>
      </c>
      <c r="AJ197" s="986" t="s">
        <v>15370</v>
      </c>
      <c r="AK197" s="1417" t="s">
        <v>15370</v>
      </c>
      <c r="AL197" s="1415"/>
      <c r="AM197" s="1323"/>
      <c r="AN197" s="1323"/>
      <c r="AO197" s="1323"/>
      <c r="AP197" s="1323"/>
      <c r="AQ197" s="1323"/>
      <c r="AR197" s="987"/>
      <c r="AS197" s="978" t="str">
        <f t="shared" si="37"/>
        <v>單</v>
      </c>
      <c r="AT197" s="978" t="str">
        <f t="shared" si="38"/>
        <v>5sec</v>
      </c>
      <c r="AU197" s="978" t="str">
        <f t="shared" si="39"/>
        <v/>
      </c>
      <c r="AV197" s="978" t="str">
        <f t="shared" si="40"/>
        <v/>
      </c>
    </row>
    <row r="198" spans="1:48">
      <c r="A198" s="975">
        <f t="shared" si="34"/>
        <v>46147</v>
      </c>
      <c r="B198" s="976" t="s">
        <v>16078</v>
      </c>
      <c r="C198" s="988" t="s">
        <v>16185</v>
      </c>
      <c r="D198" s="1410"/>
      <c r="E198" s="977" t="str">
        <f>IFERROR(VLOOKUP(C198, [6]條件!$A:$L, 5, 0), "")</f>
        <v/>
      </c>
      <c r="F198" s="978" t="str">
        <f>IFERROR(VLOOKUP(C198, [6]條件!$A:$L, 6, 0), "")</f>
        <v/>
      </c>
      <c r="G198" s="1411" t="str">
        <f>IFERROR(VLOOKUP(C198, [6]條件!$A:$L, 7, 0), "")</f>
        <v/>
      </c>
      <c r="H198" s="978" t="str">
        <f>IF(ISNA(VLOOKUP(C198,[6]條件!$A$1:$K$932,11,0)),"",(VLOOKUP(C198,[6]條件!$A$1:$K$932,11,0)))</f>
        <v/>
      </c>
      <c r="I198" s="979" t="str">
        <f>IF(ISNA(VLOOKUP(C198,[6]條件!$A$1:$L$932,12,0)),"",(VLOOKUP(C198,[6]條件!$A$1:$L$932,12,0)))</f>
        <v/>
      </c>
      <c r="J198" s="980"/>
      <c r="K198" s="980"/>
      <c r="L198" s="981" t="s">
        <v>632</v>
      </c>
      <c r="M198" s="981"/>
      <c r="N198" s="982"/>
      <c r="O198" s="980"/>
      <c r="P198" s="981" t="s">
        <v>632</v>
      </c>
      <c r="Q198" s="981"/>
      <c r="R198" s="982"/>
      <c r="S198" s="980"/>
      <c r="T198" s="981" t="s">
        <v>632</v>
      </c>
      <c r="U198" s="981"/>
      <c r="V198" s="982"/>
      <c r="W198" s="980"/>
      <c r="X198" s="981" t="s">
        <v>632</v>
      </c>
      <c r="Y198" s="983"/>
      <c r="Z198" s="1412" t="str">
        <f>IFERROR(VLOOKUP(C198, [6]條件!$A:$L, 3, 0), "")</f>
        <v/>
      </c>
      <c r="AA198" s="984" t="str">
        <f>IF(OR(L198={"改紡","檢修","了機","清車","FINAL","停機","SAMPLE","TEST","絲開發"}), L198, IFERROR(IF(C198="", "", (SUM(J198, N198, R198, V198)/3 * AG198) * IF(AND(AF198="S", AS198="雙"), 0.5, 1)), ""))</f>
        <v>停機</v>
      </c>
      <c r="AB198" s="1413" t="str">
        <f t="shared" ref="AB198:AB235" si="41">IF(K198="","",IF(ISERROR(1-(SUM(K198,O198,S198,W198)/208/Z198)),"",(1-(SUM(K198,O198,S198,W198)/208/Z198))))</f>
        <v/>
      </c>
      <c r="AC198" s="984" t="str">
        <f>IF(OR(L198={"改紡","檢修","了機","清車","FINAL","停機","SAMPLE","TEST"}), "", IFERROR(IF(C198="", "", AVERAGE(L198:M198, P198:Q198, T198:U198, X198:Y198)/100), ""))</f>
        <v/>
      </c>
      <c r="AD198" s="984" t="str">
        <f t="shared" si="35"/>
        <v/>
      </c>
      <c r="AE198" s="984" t="str">
        <f>IF(OR(L198="改紡", L198="檢修", L198="了機"), "",
   IF(AND(C198&lt;&gt;"", J198&lt;&gt;""),
      IFERROR((SUM(J198, N198, R198, V198) - SUM(K198, O198, S198, W198))/24 * AG198, ""),
   "")
)</f>
        <v/>
      </c>
      <c r="AF198" s="985" t="str">
        <f t="shared" si="36"/>
        <v>M</v>
      </c>
      <c r="AG198" s="1414">
        <v>1</v>
      </c>
      <c r="AH198" s="1002" t="s">
        <v>640</v>
      </c>
      <c r="AI198" s="1002" t="s">
        <v>640</v>
      </c>
      <c r="AJ198" s="986" t="s">
        <v>640</v>
      </c>
      <c r="AK198" s="1417" t="s">
        <v>640</v>
      </c>
      <c r="AL198" s="1415"/>
      <c r="AM198" s="1323"/>
      <c r="AN198" s="1323"/>
      <c r="AO198" s="1323"/>
      <c r="AP198" s="1323"/>
      <c r="AQ198" s="1323"/>
      <c r="AR198" s="987"/>
      <c r="AS198" s="978" t="str">
        <f t="shared" si="37"/>
        <v>單</v>
      </c>
      <c r="AT198" s="978" t="str">
        <f t="shared" si="38"/>
        <v>全</v>
      </c>
      <c r="AU198" s="978" t="str">
        <f t="shared" si="39"/>
        <v/>
      </c>
      <c r="AV198" s="978" t="str">
        <f t="shared" si="40"/>
        <v/>
      </c>
    </row>
    <row r="199" spans="1:48">
      <c r="A199" s="975">
        <f t="shared" si="34"/>
        <v>46147</v>
      </c>
      <c r="B199" s="976" t="s">
        <v>243</v>
      </c>
      <c r="C199" s="988" t="s">
        <v>16185</v>
      </c>
      <c r="D199" s="1410"/>
      <c r="E199" s="977" t="str">
        <f>IFERROR(VLOOKUP(C199, [6]條件!$A:$L, 5, 0), "")</f>
        <v/>
      </c>
      <c r="F199" s="978" t="str">
        <f>IFERROR(VLOOKUP(C199, [6]條件!$A:$L, 6, 0), "")</f>
        <v/>
      </c>
      <c r="G199" s="1411" t="str">
        <f>IFERROR(VLOOKUP(C199, [6]條件!$A:$L, 7, 0), "")</f>
        <v/>
      </c>
      <c r="H199" s="978" t="str">
        <f>IF(ISNA(VLOOKUP(C199,[6]條件!$A$1:$K$932,11,0)),"",(VLOOKUP(C199,[6]條件!$A$1:$K$932,11,0)))</f>
        <v/>
      </c>
      <c r="I199" s="979" t="str">
        <f>IF(ISNA(VLOOKUP(C199,[6]條件!$A$1:$L$932,12,0)),"",(VLOOKUP(C199,[6]條件!$A$1:$L$932,12,0)))</f>
        <v/>
      </c>
      <c r="J199" s="980"/>
      <c r="K199" s="980"/>
      <c r="L199" s="981" t="s">
        <v>632</v>
      </c>
      <c r="M199" s="981"/>
      <c r="N199" s="982"/>
      <c r="O199" s="980"/>
      <c r="P199" s="981" t="s">
        <v>632</v>
      </c>
      <c r="Q199" s="981"/>
      <c r="R199" s="982"/>
      <c r="S199" s="980"/>
      <c r="T199" s="981" t="s">
        <v>632</v>
      </c>
      <c r="U199" s="981"/>
      <c r="V199" s="982"/>
      <c r="W199" s="980"/>
      <c r="X199" s="981" t="s">
        <v>632</v>
      </c>
      <c r="Y199" s="983"/>
      <c r="Z199" s="1412" t="str">
        <f>IFERROR(VLOOKUP(C199, [6]條件!$A:$L, 3, 0), "")</f>
        <v/>
      </c>
      <c r="AA199" s="984" t="str">
        <f>IF(OR(L199={"改紡","檢修","了機","清車","FINAL","停機","SAMPLE","TEST","絲開發"}), L199, IFERROR(IF(C199="", "", (SUM(J199, N199, R199, V199)/3 * AG199) * IF(AND(AF199="S", AS199="雙"), 0.5, 1)), ""))</f>
        <v>停機</v>
      </c>
      <c r="AB199" s="1413" t="str">
        <f t="shared" si="41"/>
        <v/>
      </c>
      <c r="AC199" s="984" t="str">
        <f>IF(OR(L199={"改紡","檢修","了機","清車","FINAL","停機","SAMPLE","TEST"}), "", IFERROR(IF(C199="", "", AVERAGE(L199:M199, P199:Q199, T199:U199, X199:Y199)/100), ""))</f>
        <v/>
      </c>
      <c r="AD199" s="984" t="str">
        <f t="shared" si="35"/>
        <v/>
      </c>
      <c r="AE199" s="984" t="str">
        <f t="shared" ref="AE199:AE235" si="42">IF(OR(L199="改紡", L199="檢修", L199="了機"), "",
IF(AND(C199&lt;&gt;"", J199&lt;&gt;""),
IFERROR((SUM(J199, N199, R199, V199) - SUM(K199, O199, S199, W199))/24 * AG199, ""),
"")
)</f>
        <v/>
      </c>
      <c r="AF199" s="985" t="str">
        <f t="shared" si="36"/>
        <v>M</v>
      </c>
      <c r="AG199" s="1414">
        <v>1</v>
      </c>
      <c r="AH199" s="1002" t="s">
        <v>640</v>
      </c>
      <c r="AI199" s="1002" t="s">
        <v>640</v>
      </c>
      <c r="AJ199" s="986" t="s">
        <v>640</v>
      </c>
      <c r="AK199" s="1417" t="s">
        <v>640</v>
      </c>
      <c r="AL199" s="1415"/>
      <c r="AM199" s="1323"/>
      <c r="AN199" s="1323"/>
      <c r="AO199" s="1323"/>
      <c r="AP199" s="1323"/>
      <c r="AQ199" s="1323"/>
      <c r="AR199" s="987"/>
      <c r="AS199" s="978" t="str">
        <f t="shared" si="37"/>
        <v>單</v>
      </c>
      <c r="AT199" s="978" t="str">
        <f t="shared" si="38"/>
        <v>全</v>
      </c>
      <c r="AU199" s="978" t="str">
        <f t="shared" si="39"/>
        <v/>
      </c>
      <c r="AV199" s="978" t="str">
        <f t="shared" si="40"/>
        <v/>
      </c>
    </row>
    <row r="200" spans="1:48">
      <c r="A200" s="975">
        <f t="shared" si="34"/>
        <v>46147</v>
      </c>
      <c r="B200" s="976" t="s">
        <v>244</v>
      </c>
      <c r="C200" s="988" t="s">
        <v>16185</v>
      </c>
      <c r="D200" s="1410"/>
      <c r="E200" s="977" t="str">
        <f>IFERROR(VLOOKUP(C200, [6]條件!$A:$L, 5, 0), "")</f>
        <v/>
      </c>
      <c r="F200" s="978" t="str">
        <f>IFERROR(VLOOKUP(C200, [6]條件!$A:$L, 6, 0), "")</f>
        <v/>
      </c>
      <c r="G200" s="1411" t="str">
        <f>IFERROR(VLOOKUP(C200, [6]條件!$A:$L, 7, 0), "")</f>
        <v/>
      </c>
      <c r="H200" s="978" t="str">
        <f>IF(ISNA(VLOOKUP(C200,[6]條件!$A$1:$K$932,11,0)),"",(VLOOKUP(C200,[6]條件!$A$1:$K$932,11,0)))</f>
        <v/>
      </c>
      <c r="I200" s="979" t="str">
        <f>IF(ISNA(VLOOKUP(C200,[6]條件!$A$1:$L$932,12,0)),"",(VLOOKUP(C200,[6]條件!$A$1:$L$932,12,0)))</f>
        <v/>
      </c>
      <c r="J200" s="980"/>
      <c r="K200" s="980"/>
      <c r="L200" s="981" t="s">
        <v>632</v>
      </c>
      <c r="M200" s="981"/>
      <c r="N200" s="982"/>
      <c r="O200" s="980"/>
      <c r="P200" s="981" t="s">
        <v>632</v>
      </c>
      <c r="Q200" s="981"/>
      <c r="R200" s="982"/>
      <c r="S200" s="980"/>
      <c r="T200" s="981" t="s">
        <v>632</v>
      </c>
      <c r="U200" s="981"/>
      <c r="V200" s="982"/>
      <c r="W200" s="980"/>
      <c r="X200" s="981" t="s">
        <v>632</v>
      </c>
      <c r="Y200" s="983"/>
      <c r="Z200" s="1412" t="str">
        <f>IFERROR(VLOOKUP(C200, [6]條件!$A:$L, 3, 0), "")</f>
        <v/>
      </c>
      <c r="AA200" s="984" t="str">
        <f>IF(OR(L200={"改紡","檢修","了機","清車","FINAL","停機","SAMPLE","TEST","絲開發"}), L200, IFERROR(IF(C200="", "", (SUM(J200, N200, R200, V200)/3 * AG200) * IF(AND(AF200="S", AS200="雙"), 0.5, 1)), ""))</f>
        <v>停機</v>
      </c>
      <c r="AB200" s="1413" t="str">
        <f t="shared" si="41"/>
        <v/>
      </c>
      <c r="AC200" s="984" t="str">
        <f>IF(OR(L200={"改紡","檢修","了機","清車","FINAL","停機","SAMPLE","TEST"}), "", IFERROR(IF(C200="", "", AVERAGE(L200:M200, P200:Q200, T200:U200, X200:Y200)/100), ""))</f>
        <v/>
      </c>
      <c r="AD200" s="984" t="str">
        <f t="shared" si="35"/>
        <v/>
      </c>
      <c r="AE200" s="984" t="str">
        <f t="shared" si="42"/>
        <v/>
      </c>
      <c r="AF200" s="985" t="str">
        <f t="shared" si="36"/>
        <v>M</v>
      </c>
      <c r="AG200" s="1414">
        <v>1</v>
      </c>
      <c r="AH200" s="1002" t="s">
        <v>640</v>
      </c>
      <c r="AI200" s="1002" t="s">
        <v>640</v>
      </c>
      <c r="AJ200" s="986" t="s">
        <v>640</v>
      </c>
      <c r="AK200" s="1417" t="s">
        <v>640</v>
      </c>
      <c r="AL200" s="1415"/>
      <c r="AM200" s="1323"/>
      <c r="AN200" s="1323"/>
      <c r="AO200" s="1323"/>
      <c r="AP200" s="1323"/>
      <c r="AQ200" s="1323"/>
      <c r="AR200" s="987"/>
      <c r="AS200" s="978" t="str">
        <f t="shared" si="37"/>
        <v>單</v>
      </c>
      <c r="AT200" s="978" t="str">
        <f t="shared" si="38"/>
        <v>全</v>
      </c>
      <c r="AU200" s="978" t="str">
        <f t="shared" si="39"/>
        <v/>
      </c>
      <c r="AV200" s="978" t="str">
        <f t="shared" si="40"/>
        <v/>
      </c>
    </row>
    <row r="201" spans="1:48">
      <c r="A201" s="975">
        <f t="shared" si="34"/>
        <v>46147</v>
      </c>
      <c r="B201" s="976" t="s">
        <v>245</v>
      </c>
      <c r="C201" s="988" t="s">
        <v>16185</v>
      </c>
      <c r="D201" s="1410"/>
      <c r="E201" s="977" t="str">
        <f>IFERROR(VLOOKUP(C201, [6]條件!$A:$L, 5, 0), "")</f>
        <v/>
      </c>
      <c r="F201" s="978" t="str">
        <f>IFERROR(VLOOKUP(C201, [6]條件!$A:$L, 6, 0), "")</f>
        <v/>
      </c>
      <c r="G201" s="1411" t="str">
        <f>IFERROR(VLOOKUP(C201, [6]條件!$A:$L, 7, 0), "")</f>
        <v/>
      </c>
      <c r="H201" s="978" t="str">
        <f>IF(ISNA(VLOOKUP(C201,[6]條件!$A$1:$K$932,11,0)),"",(VLOOKUP(C201,[6]條件!$A$1:$K$932,11,0)))</f>
        <v/>
      </c>
      <c r="I201" s="979" t="str">
        <f>IF(ISNA(VLOOKUP(C201,[6]條件!$A$1:$L$932,12,0)),"",(VLOOKUP(C201,[6]條件!$A$1:$L$932,12,0)))</f>
        <v/>
      </c>
      <c r="J201" s="980"/>
      <c r="K201" s="980"/>
      <c r="L201" s="981" t="s">
        <v>632</v>
      </c>
      <c r="M201" s="981"/>
      <c r="N201" s="982"/>
      <c r="O201" s="980"/>
      <c r="P201" s="981" t="s">
        <v>632</v>
      </c>
      <c r="Q201" s="981"/>
      <c r="R201" s="982"/>
      <c r="S201" s="980"/>
      <c r="T201" s="981" t="s">
        <v>632</v>
      </c>
      <c r="U201" s="981"/>
      <c r="V201" s="982"/>
      <c r="W201" s="980"/>
      <c r="X201" s="981" t="s">
        <v>632</v>
      </c>
      <c r="Y201" s="983"/>
      <c r="Z201" s="1412" t="str">
        <f>IFERROR(VLOOKUP(C201, [6]條件!$A:$L, 3, 0), "")</f>
        <v/>
      </c>
      <c r="AA201" s="984" t="str">
        <f>IF(OR(L201={"改紡","檢修","了機","清車","FINAL","停機","SAMPLE","TEST","絲開發"}), L201, IFERROR(IF(C201="", "", (SUM(J201, N201, R201, V201)/3 * AG201) * IF(AND(AF201="S", AS201="雙"), 0.5, 1)), ""))</f>
        <v>停機</v>
      </c>
      <c r="AB201" s="1413" t="str">
        <f t="shared" si="41"/>
        <v/>
      </c>
      <c r="AC201" s="984" t="str">
        <f>IF(OR(L201={"改紡","檢修","了機","清車","FINAL","停機","SAMPLE","TEST"}), "", IFERROR(IF(C201="", "", AVERAGE(L201:M201, P201:Q201, T201:U201, X201:Y201)/100), ""))</f>
        <v/>
      </c>
      <c r="AD201" s="984" t="str">
        <f t="shared" si="35"/>
        <v/>
      </c>
      <c r="AE201" s="984" t="str">
        <f t="shared" si="42"/>
        <v/>
      </c>
      <c r="AF201" s="985" t="str">
        <f t="shared" si="36"/>
        <v>M</v>
      </c>
      <c r="AG201" s="1414">
        <v>1</v>
      </c>
      <c r="AH201" s="1002" t="s">
        <v>640</v>
      </c>
      <c r="AI201" s="1002" t="s">
        <v>640</v>
      </c>
      <c r="AJ201" s="986" t="s">
        <v>640</v>
      </c>
      <c r="AK201" s="1417" t="s">
        <v>640</v>
      </c>
      <c r="AL201" s="1415"/>
      <c r="AM201" s="1323"/>
      <c r="AN201" s="1323"/>
      <c r="AO201" s="1323"/>
      <c r="AP201" s="1323"/>
      <c r="AQ201" s="1323"/>
      <c r="AR201" s="987"/>
      <c r="AS201" s="978" t="str">
        <f t="shared" si="37"/>
        <v>單</v>
      </c>
      <c r="AT201" s="978" t="str">
        <f t="shared" si="38"/>
        <v>全</v>
      </c>
      <c r="AU201" s="978" t="str">
        <f t="shared" si="39"/>
        <v/>
      </c>
      <c r="AV201" s="978" t="str">
        <f t="shared" si="40"/>
        <v/>
      </c>
    </row>
    <row r="202" spans="1:48">
      <c r="A202" s="975">
        <f t="shared" si="34"/>
        <v>46147</v>
      </c>
      <c r="B202" s="976" t="s">
        <v>246</v>
      </c>
      <c r="C202" s="988" t="s">
        <v>16185</v>
      </c>
      <c r="D202" s="1410"/>
      <c r="E202" s="977" t="str">
        <f>IFERROR(VLOOKUP(C202, [6]條件!$A:$L, 5, 0), "")</f>
        <v/>
      </c>
      <c r="F202" s="978" t="str">
        <f>IFERROR(VLOOKUP(C202, [6]條件!$A:$L, 6, 0), "")</f>
        <v/>
      </c>
      <c r="G202" s="1411" t="str">
        <f>IFERROR(VLOOKUP(C202, [6]條件!$A:$L, 7, 0), "")</f>
        <v/>
      </c>
      <c r="H202" s="978" t="str">
        <f>IF(ISNA(VLOOKUP(C202,[6]條件!$A$1:$K$932,11,0)),"",(VLOOKUP(C202,[6]條件!$A$1:$K$932,11,0)))</f>
        <v/>
      </c>
      <c r="I202" s="979" t="str">
        <f>IF(ISNA(VLOOKUP(C202,[6]條件!$A$1:$L$932,12,0)),"",(VLOOKUP(C202,[6]條件!$A$1:$L$932,12,0)))</f>
        <v/>
      </c>
      <c r="J202" s="980"/>
      <c r="K202" s="980"/>
      <c r="L202" s="981" t="s">
        <v>632</v>
      </c>
      <c r="M202" s="981"/>
      <c r="N202" s="982"/>
      <c r="O202" s="980"/>
      <c r="P202" s="981" t="s">
        <v>632</v>
      </c>
      <c r="Q202" s="981"/>
      <c r="R202" s="982"/>
      <c r="S202" s="980"/>
      <c r="T202" s="981" t="s">
        <v>632</v>
      </c>
      <c r="U202" s="981"/>
      <c r="V202" s="982"/>
      <c r="W202" s="980"/>
      <c r="X202" s="981" t="s">
        <v>632</v>
      </c>
      <c r="Y202" s="983"/>
      <c r="Z202" s="1412" t="str">
        <f>IFERROR(VLOOKUP(C202, [6]條件!$A:$L, 3, 0), "")</f>
        <v/>
      </c>
      <c r="AA202" s="984" t="str">
        <f>IF(OR(L202={"改紡","檢修","了機","清車","FINAL","停機","SAMPLE","TEST","絲開發"}), L202, IFERROR(IF(C202="", "", (SUM(J202, N202, R202, V202)/3 * AG202) * IF(AND(AF202="S", AS202="雙"), 0.5, 1)), ""))</f>
        <v>停機</v>
      </c>
      <c r="AB202" s="1413" t="str">
        <f t="shared" si="41"/>
        <v/>
      </c>
      <c r="AC202" s="984" t="str">
        <f>IF(OR(L202={"改紡","檢修","了機","清車","FINAL","停機","SAMPLE","TEST"}), "", IFERROR(IF(C202="", "", AVERAGE(L202:M202, P202:Q202, T202:U202, X202:Y202)/100), ""))</f>
        <v/>
      </c>
      <c r="AD202" s="984" t="str">
        <f t="shared" si="35"/>
        <v/>
      </c>
      <c r="AE202" s="984" t="str">
        <f t="shared" si="42"/>
        <v/>
      </c>
      <c r="AF202" s="985" t="str">
        <f t="shared" si="36"/>
        <v>M</v>
      </c>
      <c r="AG202" s="1414">
        <v>1</v>
      </c>
      <c r="AH202" s="1002" t="s">
        <v>640</v>
      </c>
      <c r="AI202" s="1002" t="s">
        <v>640</v>
      </c>
      <c r="AJ202" s="986" t="s">
        <v>640</v>
      </c>
      <c r="AK202" s="1417" t="s">
        <v>640</v>
      </c>
      <c r="AL202" s="1415"/>
      <c r="AM202" s="1323"/>
      <c r="AN202" s="1323"/>
      <c r="AO202" s="1323"/>
      <c r="AP202" s="1323"/>
      <c r="AQ202" s="1323"/>
      <c r="AR202" s="987"/>
      <c r="AS202" s="978" t="str">
        <f t="shared" si="37"/>
        <v>單</v>
      </c>
      <c r="AT202" s="978" t="str">
        <f t="shared" si="38"/>
        <v>全</v>
      </c>
      <c r="AU202" s="978" t="str">
        <f t="shared" si="39"/>
        <v/>
      </c>
      <c r="AV202" s="978" t="str">
        <f t="shared" si="40"/>
        <v/>
      </c>
    </row>
    <row r="203" spans="1:48">
      <c r="A203" s="975">
        <f t="shared" si="34"/>
        <v>46147</v>
      </c>
      <c r="B203" s="976" t="s">
        <v>247</v>
      </c>
      <c r="C203" s="988" t="s">
        <v>16185</v>
      </c>
      <c r="D203" s="1410"/>
      <c r="E203" s="977" t="str">
        <f>IFERROR(VLOOKUP(C203, [6]條件!$A:$L, 5, 0), "")</f>
        <v/>
      </c>
      <c r="F203" s="978" t="str">
        <f>IFERROR(VLOOKUP(C203, [6]條件!$A:$L, 6, 0), "")</f>
        <v/>
      </c>
      <c r="G203" s="1411" t="str">
        <f>IFERROR(VLOOKUP(C203, [6]條件!$A:$L, 7, 0), "")</f>
        <v/>
      </c>
      <c r="H203" s="978" t="str">
        <f>IF(ISNA(VLOOKUP(C203,[6]條件!$A$1:$K$932,11,0)),"",(VLOOKUP(C203,[6]條件!$A$1:$K$932,11,0)))</f>
        <v/>
      </c>
      <c r="I203" s="979" t="str">
        <f>IF(ISNA(VLOOKUP(C203,[6]條件!$A$1:$L$932,12,0)),"",(VLOOKUP(C203,[6]條件!$A$1:$L$932,12,0)))</f>
        <v/>
      </c>
      <c r="J203" s="980"/>
      <c r="K203" s="980"/>
      <c r="L203" s="981" t="s">
        <v>632</v>
      </c>
      <c r="M203" s="981"/>
      <c r="N203" s="982"/>
      <c r="O203" s="980"/>
      <c r="P203" s="981" t="s">
        <v>632</v>
      </c>
      <c r="Q203" s="981"/>
      <c r="R203" s="982"/>
      <c r="S203" s="980"/>
      <c r="T203" s="981" t="s">
        <v>632</v>
      </c>
      <c r="U203" s="981"/>
      <c r="V203" s="982"/>
      <c r="W203" s="980"/>
      <c r="X203" s="981" t="s">
        <v>632</v>
      </c>
      <c r="Y203" s="983"/>
      <c r="Z203" s="1412" t="str">
        <f>IFERROR(VLOOKUP(C203, [6]條件!$A:$L, 3, 0), "")</f>
        <v/>
      </c>
      <c r="AA203" s="984" t="str">
        <f>IF(OR(L203={"改紡","檢修","了機","清車","FINAL","停機","SAMPLE","TEST","絲開發"}), L203, IFERROR(IF(C203="", "", (SUM(J203, N203, R203, V203)/3 * AG203) * IF(AND(AF203="S", AS203="雙"), 0.5, 1)), ""))</f>
        <v>停機</v>
      </c>
      <c r="AB203" s="1413" t="str">
        <f t="shared" si="41"/>
        <v/>
      </c>
      <c r="AC203" s="984" t="str">
        <f>IF(OR(L203={"改紡","檢修","了機","清車","FINAL","停機","SAMPLE","TEST"}), "", IFERROR(IF(C203="", "", AVERAGE(L203:M203, P203:Q203, T203:U203, X203:Y203)/100), ""))</f>
        <v/>
      </c>
      <c r="AD203" s="984" t="str">
        <f t="shared" si="35"/>
        <v/>
      </c>
      <c r="AE203" s="984" t="str">
        <f t="shared" si="42"/>
        <v/>
      </c>
      <c r="AF203" s="985" t="str">
        <f t="shared" si="36"/>
        <v>M</v>
      </c>
      <c r="AG203" s="1414">
        <v>1</v>
      </c>
      <c r="AH203" s="1002" t="s">
        <v>640</v>
      </c>
      <c r="AI203" s="1002" t="s">
        <v>640</v>
      </c>
      <c r="AJ203" s="986" t="s">
        <v>640</v>
      </c>
      <c r="AK203" s="1417" t="s">
        <v>640</v>
      </c>
      <c r="AL203" s="1415"/>
      <c r="AM203" s="1323"/>
      <c r="AN203" s="1323"/>
      <c r="AO203" s="1323"/>
      <c r="AP203" s="1323"/>
      <c r="AQ203" s="1323"/>
      <c r="AR203" s="987"/>
      <c r="AS203" s="978" t="str">
        <f t="shared" si="37"/>
        <v>單</v>
      </c>
      <c r="AT203" s="978" t="str">
        <f t="shared" si="38"/>
        <v>全</v>
      </c>
      <c r="AU203" s="978" t="str">
        <f t="shared" si="39"/>
        <v/>
      </c>
      <c r="AV203" s="978" t="str">
        <f t="shared" si="40"/>
        <v/>
      </c>
    </row>
    <row r="204" spans="1:48">
      <c r="A204" s="975">
        <f t="shared" si="34"/>
        <v>46147</v>
      </c>
      <c r="B204" s="976" t="s">
        <v>248</v>
      </c>
      <c r="C204" s="988" t="s">
        <v>16185</v>
      </c>
      <c r="D204" s="1410"/>
      <c r="E204" s="977" t="str">
        <f>IFERROR(VLOOKUP(C204, [6]條件!$A:$L, 5, 0), "")</f>
        <v/>
      </c>
      <c r="F204" s="978" t="str">
        <f>IFERROR(VLOOKUP(C204, [6]條件!$A:$L, 6, 0), "")</f>
        <v/>
      </c>
      <c r="G204" s="1411" t="str">
        <f>IFERROR(VLOOKUP(C204, [6]條件!$A:$L, 7, 0), "")</f>
        <v/>
      </c>
      <c r="H204" s="978" t="str">
        <f>IF(ISNA(VLOOKUP(C204,[6]條件!$A$1:$K$932,11,0)),"",(VLOOKUP(C204,[6]條件!$A$1:$K$932,11,0)))</f>
        <v/>
      </c>
      <c r="I204" s="979" t="str">
        <f>IF(ISNA(VLOOKUP(C204,[6]條件!$A$1:$L$932,12,0)),"",(VLOOKUP(C204,[6]條件!$A$1:$L$932,12,0)))</f>
        <v/>
      </c>
      <c r="J204" s="980"/>
      <c r="K204" s="980"/>
      <c r="L204" s="981" t="s">
        <v>632</v>
      </c>
      <c r="M204" s="981"/>
      <c r="N204" s="982"/>
      <c r="O204" s="980"/>
      <c r="P204" s="981" t="s">
        <v>632</v>
      </c>
      <c r="Q204" s="981"/>
      <c r="R204" s="982"/>
      <c r="S204" s="980"/>
      <c r="T204" s="981" t="s">
        <v>632</v>
      </c>
      <c r="U204" s="981"/>
      <c r="V204" s="982"/>
      <c r="W204" s="980"/>
      <c r="X204" s="981" t="s">
        <v>632</v>
      </c>
      <c r="Y204" s="983"/>
      <c r="Z204" s="1412" t="str">
        <f>IFERROR(VLOOKUP(C204, [6]條件!$A:$L, 3, 0), "")</f>
        <v/>
      </c>
      <c r="AA204" s="984" t="str">
        <f>IF(OR(L204={"改紡","檢修","了機","清車","FINAL","停機","SAMPLE","TEST","絲開發"}), L204, IFERROR(IF(C204="", "", (SUM(J204, N204, R204, V204)/3 * AG204) * IF(AND(AF204="S", AS204="雙"), 0.5, 1)), ""))</f>
        <v>停機</v>
      </c>
      <c r="AB204" s="1413" t="str">
        <f t="shared" si="41"/>
        <v/>
      </c>
      <c r="AC204" s="984" t="str">
        <f>IF(OR(L204={"改紡","檢修","了機","清車","FINAL","停機","SAMPLE","TEST"}), "", IFERROR(IF(C204="", "", AVERAGE(L204:M204, P204:Q204, T204:U204, X204:Y204)/100), ""))</f>
        <v/>
      </c>
      <c r="AD204" s="984" t="str">
        <f t="shared" si="35"/>
        <v/>
      </c>
      <c r="AE204" s="984" t="str">
        <f t="shared" si="42"/>
        <v/>
      </c>
      <c r="AF204" s="985" t="str">
        <f t="shared" si="36"/>
        <v>M</v>
      </c>
      <c r="AG204" s="1414">
        <v>1</v>
      </c>
      <c r="AH204" s="1002" t="s">
        <v>640</v>
      </c>
      <c r="AI204" s="1002" t="s">
        <v>640</v>
      </c>
      <c r="AJ204" s="986" t="s">
        <v>640</v>
      </c>
      <c r="AK204" s="1417" t="s">
        <v>640</v>
      </c>
      <c r="AL204" s="1415"/>
      <c r="AM204" s="1323"/>
      <c r="AN204" s="1323"/>
      <c r="AO204" s="1323"/>
      <c r="AP204" s="1323"/>
      <c r="AQ204" s="1323"/>
      <c r="AR204" s="987"/>
      <c r="AS204" s="978" t="str">
        <f t="shared" si="37"/>
        <v>單</v>
      </c>
      <c r="AT204" s="978" t="str">
        <f t="shared" si="38"/>
        <v>全</v>
      </c>
      <c r="AU204" s="978" t="str">
        <f t="shared" si="39"/>
        <v/>
      </c>
      <c r="AV204" s="978" t="str">
        <f t="shared" si="40"/>
        <v/>
      </c>
    </row>
    <row r="205" spans="1:48" ht="17.25" thickBot="1">
      <c r="A205" s="989">
        <f t="shared" si="34"/>
        <v>46147</v>
      </c>
      <c r="B205" s="990" t="s">
        <v>249</v>
      </c>
      <c r="C205" s="991" t="s">
        <v>16185</v>
      </c>
      <c r="D205" s="1425"/>
      <c r="E205" s="1169" t="str">
        <f>IFERROR(VLOOKUP(C205, [6]條件!$A:$L, 5, 0), "")</f>
        <v/>
      </c>
      <c r="F205" s="992" t="str">
        <f>IFERROR(VLOOKUP(C205, [6]條件!$A:$L, 6, 0), "")</f>
        <v/>
      </c>
      <c r="G205" s="1426" t="str">
        <f>IFERROR(VLOOKUP(C205, [6]條件!$A:$L, 7, 0), "")</f>
        <v/>
      </c>
      <c r="H205" s="992" t="str">
        <f>IF(ISNA(VLOOKUP(C205,[6]條件!$A$1:$K$932,11,0)),"",(VLOOKUP(C205,[6]條件!$A$1:$K$932,11,0)))</f>
        <v/>
      </c>
      <c r="I205" s="1170" t="str">
        <f>IF(ISNA(VLOOKUP(C205,[6]條件!$A$1:$L$932,12,0)),"",(VLOOKUP(C205,[6]條件!$A$1:$L$932,12,0)))</f>
        <v/>
      </c>
      <c r="J205" s="993"/>
      <c r="K205" s="993"/>
      <c r="L205" s="994" t="s">
        <v>632</v>
      </c>
      <c r="M205" s="994"/>
      <c r="N205" s="995"/>
      <c r="O205" s="993"/>
      <c r="P205" s="994" t="s">
        <v>632</v>
      </c>
      <c r="Q205" s="994"/>
      <c r="R205" s="995"/>
      <c r="S205" s="993"/>
      <c r="T205" s="994" t="s">
        <v>632</v>
      </c>
      <c r="U205" s="994"/>
      <c r="V205" s="995"/>
      <c r="W205" s="993"/>
      <c r="X205" s="994" t="s">
        <v>632</v>
      </c>
      <c r="Y205" s="996"/>
      <c r="Z205" s="1427" t="str">
        <f>IFERROR(VLOOKUP(C205, [6]條件!$A:$L, 3, 0), "")</f>
        <v/>
      </c>
      <c r="AA205" s="997" t="str">
        <f>IF(OR(L205={"改紡","檢修","了機","清車","FINAL","停機","SAMPLE","TEST","絲開發"}), L205, IFERROR(IF(C205="", "", (SUM(J205, N205, R205, V205)/3 * AG205) * IF(AND(AF205="S", AS205="雙"), 0.5, 1)), ""))</f>
        <v>停機</v>
      </c>
      <c r="AB205" s="1428" t="str">
        <f t="shared" si="41"/>
        <v/>
      </c>
      <c r="AC205" s="997" t="str">
        <f>IF(OR(L205={"改紡","檢修","了機","清車","FINAL","停機","SAMPLE","TEST"}), "", IFERROR(IF(C205="", "", AVERAGE(L205:M205, P205:Q205, T205:U205, X205:Y205)/100), ""))</f>
        <v/>
      </c>
      <c r="AD205" s="997" t="str">
        <f t="shared" si="35"/>
        <v/>
      </c>
      <c r="AE205" s="997" t="str">
        <f t="shared" si="42"/>
        <v/>
      </c>
      <c r="AF205" s="998" t="str">
        <f t="shared" si="36"/>
        <v>M</v>
      </c>
      <c r="AG205" s="1429">
        <v>1</v>
      </c>
      <c r="AH205" s="1171" t="s">
        <v>640</v>
      </c>
      <c r="AI205" s="1171" t="s">
        <v>640</v>
      </c>
      <c r="AJ205" s="999" t="s">
        <v>640</v>
      </c>
      <c r="AK205" s="1430" t="s">
        <v>640</v>
      </c>
      <c r="AL205" s="1431"/>
      <c r="AM205" s="1325"/>
      <c r="AN205" s="1325"/>
      <c r="AO205" s="1325"/>
      <c r="AP205" s="1325"/>
      <c r="AQ205" s="1325"/>
      <c r="AR205" s="1000"/>
      <c r="AS205" s="992" t="str">
        <f t="shared" si="37"/>
        <v>單</v>
      </c>
      <c r="AT205" s="992" t="str">
        <f t="shared" si="38"/>
        <v>全</v>
      </c>
      <c r="AU205" s="992" t="str">
        <f t="shared" si="39"/>
        <v/>
      </c>
      <c r="AV205" s="992" t="str">
        <f t="shared" si="40"/>
        <v/>
      </c>
    </row>
    <row r="206" spans="1:48">
      <c r="A206" s="962">
        <v>46148</v>
      </c>
      <c r="B206" s="963" t="s">
        <v>212</v>
      </c>
      <c r="C206" s="963" t="s">
        <v>632</v>
      </c>
      <c r="D206" s="1403"/>
      <c r="E206" s="964" t="str">
        <f>IFERROR(VLOOKUP(C206, [6]條件!$A:$L, 5, 0), "")</f>
        <v/>
      </c>
      <c r="F206" s="965" t="str">
        <f>IFERROR(VLOOKUP(C206, [6]條件!$A:$L, 6, 0), "")</f>
        <v/>
      </c>
      <c r="G206" s="1404" t="str">
        <f>IFERROR(VLOOKUP(C206, [6]條件!$A:$L, 7, 0), "")</f>
        <v/>
      </c>
      <c r="H206" s="965" t="str">
        <f>IF(ISNA(VLOOKUP(C206,[6]條件!$A$1:$K$932,11,0)),"",(VLOOKUP(C206,[6]條件!$A$1:$K$932,11,0)))</f>
        <v/>
      </c>
      <c r="I206" s="966" t="str">
        <f>IF(ISNA(VLOOKUP(C206,[6]條件!$A$1:$L$932,12,0)),"",(VLOOKUP(C206,[6]條件!$A$1:$L$932,12,0)))</f>
        <v/>
      </c>
      <c r="J206" s="967"/>
      <c r="K206" s="967"/>
      <c r="L206" s="968" t="s">
        <v>632</v>
      </c>
      <c r="M206" s="968"/>
      <c r="N206" s="969"/>
      <c r="O206" s="967"/>
      <c r="P206" s="968" t="s">
        <v>632</v>
      </c>
      <c r="Q206" s="968"/>
      <c r="R206" s="969"/>
      <c r="S206" s="967"/>
      <c r="T206" s="981" t="s">
        <v>632</v>
      </c>
      <c r="U206" s="968"/>
      <c r="V206" s="969"/>
      <c r="W206" s="967"/>
      <c r="X206" s="981" t="s">
        <v>632</v>
      </c>
      <c r="Y206" s="970"/>
      <c r="Z206" s="1405" t="str">
        <f>IFERROR(VLOOKUP(C206, [6]條件!$A:$L, 3, 0), "")</f>
        <v/>
      </c>
      <c r="AA206" s="971" t="str">
        <f>IF(OR(L206={"改紡","檢修","了機","清車","FINAL","停機","SAMPLE","TEST","絲開發"}), L206, IFERROR(IF(C206="", "", (SUM(J206, N206, R206, V206)/3 * AG206) * IF(AND(AF206="S", AS206="雙"), 0.5, 1)), ""))</f>
        <v>停機</v>
      </c>
      <c r="AB206" s="1406" t="str">
        <f t="shared" si="41"/>
        <v/>
      </c>
      <c r="AC206" s="971" t="str">
        <f>IF(OR(L206={"改紡","檢修","了機","清車","FINAL","停機","SAMPLE","TEST"}), "", IFERROR(IF(C206="", "", AVERAGE(L206:M206, P206:Q206, T206:U206, X206:Y206)/100), ""))</f>
        <v/>
      </c>
      <c r="AD206" s="971" t="str">
        <f t="shared" si="35"/>
        <v/>
      </c>
      <c r="AE206" s="971" t="str">
        <f t="shared" si="42"/>
        <v/>
      </c>
      <c r="AF206" s="972" t="str">
        <f t="shared" si="36"/>
        <v>A</v>
      </c>
      <c r="AG206" s="1407">
        <v>1</v>
      </c>
      <c r="AH206" s="1001" t="s">
        <v>640</v>
      </c>
      <c r="AI206" s="1001" t="s">
        <v>640</v>
      </c>
      <c r="AJ206" s="1166" t="s">
        <v>640</v>
      </c>
      <c r="AK206" s="1408" t="s">
        <v>640</v>
      </c>
      <c r="AL206" s="1409"/>
      <c r="AM206" s="1322"/>
      <c r="AN206" s="1322"/>
      <c r="AO206" s="1322"/>
      <c r="AP206" s="1322"/>
      <c r="AQ206" s="1322"/>
      <c r="AR206" s="973"/>
      <c r="AS206" s="965" t="str">
        <f t="shared" si="37"/>
        <v>單</v>
      </c>
      <c r="AT206" s="965" t="str">
        <f t="shared" si="38"/>
        <v>全</v>
      </c>
      <c r="AU206" s="965" t="str">
        <f t="shared" si="39"/>
        <v/>
      </c>
      <c r="AV206" s="965" t="str">
        <f t="shared" si="40"/>
        <v/>
      </c>
    </row>
    <row r="207" spans="1:48">
      <c r="A207" s="975">
        <f t="shared" ref="A207:A245" si="43">A206</f>
        <v>46148</v>
      </c>
      <c r="B207" s="976" t="s">
        <v>214</v>
      </c>
      <c r="C207" s="976" t="s">
        <v>16708</v>
      </c>
      <c r="D207" s="1410"/>
      <c r="E207" s="977" t="str">
        <f>IFERROR(VLOOKUP(C207, [6]條件!$A:$L, 5, 0), "")</f>
        <v>75/36SDR</v>
      </c>
      <c r="F207" s="978" t="str">
        <f>IFERROR(VLOOKUP(C207, [6]條件!$A:$L, 6, 0), "")</f>
        <v>FP81386R</v>
      </c>
      <c r="G207" s="1411">
        <f>IFERROR(VLOOKUP(C207, [6]條件!$A:$L, 7, 0), "")</f>
        <v>780</v>
      </c>
      <c r="H207" s="978" t="str">
        <f>IF(ISNA(VLOOKUP(C207,[6]條件!$A$1:$K$932,11,0)),"",(VLOOKUP(C207,[6]條件!$A$1:$K$932,11,0)))</f>
        <v>綠底白點</v>
      </c>
      <c r="I207" s="979">
        <f>IF(ISNA(VLOOKUP(C207,[6]條件!$A$1:$L$932,12,0)),"",(VLOOKUP(C207,[6]條件!$A$1:$L$932,12,0)))</f>
        <v>5</v>
      </c>
      <c r="J207" s="980">
        <v>7</v>
      </c>
      <c r="K207" s="980">
        <v>0</v>
      </c>
      <c r="L207" s="981">
        <v>8821</v>
      </c>
      <c r="M207" s="981">
        <v>8565</v>
      </c>
      <c r="N207" s="982">
        <v>9</v>
      </c>
      <c r="O207" s="980">
        <v>2</v>
      </c>
      <c r="P207" s="981">
        <v>8752</v>
      </c>
      <c r="Q207" s="981">
        <v>8359</v>
      </c>
      <c r="R207" s="982">
        <v>16</v>
      </c>
      <c r="S207" s="980">
        <v>0</v>
      </c>
      <c r="T207" s="981">
        <v>8747</v>
      </c>
      <c r="U207" s="981">
        <v>8420</v>
      </c>
      <c r="V207" s="982">
        <v>19</v>
      </c>
      <c r="W207" s="980">
        <v>2</v>
      </c>
      <c r="X207" s="981">
        <v>8730</v>
      </c>
      <c r="Y207" s="983">
        <v>8637</v>
      </c>
      <c r="Z207" s="1412">
        <f>IFERROR(VLOOKUP(C207, [6]條件!$A:$L, 3, 0), "")</f>
        <v>1.7777777777777777</v>
      </c>
      <c r="AA207" s="984">
        <f>IF(OR(L207={"改紡","檢修","了機","清車","FINAL","停機","SAMPLE","TEST","絲開發"}), L207, IFERROR(IF(C207="", "", (SUM(J207, N207, R207, V207)/3 * AG207) * IF(AND(AF207="S", AS207="雙"), 0.5, 1)), ""))</f>
        <v>17</v>
      </c>
      <c r="AB207" s="1413">
        <f t="shared" si="41"/>
        <v>0.98918269230769229</v>
      </c>
      <c r="AC207" s="984">
        <f>IF(OR(L207={"改紡","檢修","了機","清車","FINAL","停機","SAMPLE","TEST"}), "", IFERROR(IF(C207="", "", AVERAGE(L207:M207, P207:Q207, T207:U207, X207:Y207)/100), ""))</f>
        <v>86.288749999999993</v>
      </c>
      <c r="AD207" s="984">
        <f t="shared" si="35"/>
        <v>2.125</v>
      </c>
      <c r="AE207" s="984">
        <f t="shared" si="42"/>
        <v>1.9583333333333333</v>
      </c>
      <c r="AF207" s="985" t="str">
        <f t="shared" si="36"/>
        <v>A</v>
      </c>
      <c r="AG207" s="1414">
        <v>1</v>
      </c>
      <c r="AH207" s="1002" t="s">
        <v>641</v>
      </c>
      <c r="AI207" s="1002" t="s">
        <v>829</v>
      </c>
      <c r="AJ207" s="986" t="s">
        <v>634</v>
      </c>
      <c r="AK207" s="981" t="s">
        <v>634</v>
      </c>
      <c r="AL207" s="1415">
        <v>50</v>
      </c>
      <c r="AM207" s="1323">
        <v>46141</v>
      </c>
      <c r="AN207" s="1323">
        <v>46142</v>
      </c>
      <c r="AO207" s="1323"/>
      <c r="AP207" s="1323"/>
      <c r="AQ207" s="1323"/>
      <c r="AR207" s="987"/>
      <c r="AS207" s="978" t="str">
        <f t="shared" si="37"/>
        <v>單</v>
      </c>
      <c r="AT207" s="978" t="str">
        <f t="shared" si="38"/>
        <v>全</v>
      </c>
      <c r="AU207" s="978">
        <f t="shared" si="39"/>
        <v>75</v>
      </c>
      <c r="AV207" s="978">
        <f t="shared" si="40"/>
        <v>1.744551432</v>
      </c>
    </row>
    <row r="208" spans="1:48">
      <c r="A208" s="975">
        <f t="shared" si="43"/>
        <v>46148</v>
      </c>
      <c r="B208" s="976" t="s">
        <v>215</v>
      </c>
      <c r="C208" s="976" t="s">
        <v>16188</v>
      </c>
      <c r="D208" s="1410" t="s">
        <v>633</v>
      </c>
      <c r="E208" s="977" t="str">
        <f>IFERROR(VLOOKUP(C208, [6]條件!$A:$L, 5, 0), "")</f>
        <v>75/24/2SDR2</v>
      </c>
      <c r="F208" s="978" t="str">
        <f>IFERROR(VLOOKUP(C208, [6]條件!$A:$L, 6, 0), "")</f>
        <v>FP81363R×2</v>
      </c>
      <c r="G208" s="1411">
        <f>IFERROR(VLOOKUP(C208, [6]條件!$A:$L, 7, 0), "")</f>
        <v>700</v>
      </c>
      <c r="H208" s="978" t="str">
        <f>IF(ISNA(VLOOKUP(C208,[6]條件!$A$1:$K$932,11,0)),"",(VLOOKUP(C208,[6]條件!$A$1:$K$932,11,0)))</f>
        <v>白綠條紋</v>
      </c>
      <c r="I208" s="979">
        <f>IF(ISNA(VLOOKUP(C208,[6]條件!$A$1:$L$932,12,0)),"",(VLOOKUP(C208,[6]條件!$A$1:$L$932,12,0)))</f>
        <v>5</v>
      </c>
      <c r="J208" s="980"/>
      <c r="K208" s="980"/>
      <c r="L208" s="981" t="s">
        <v>632</v>
      </c>
      <c r="M208" s="981"/>
      <c r="N208" s="982"/>
      <c r="O208" s="980"/>
      <c r="P208" s="981" t="s">
        <v>632</v>
      </c>
      <c r="Q208" s="981"/>
      <c r="R208" s="982"/>
      <c r="S208" s="980"/>
      <c r="T208" s="981" t="s">
        <v>632</v>
      </c>
      <c r="U208" s="981"/>
      <c r="V208" s="982"/>
      <c r="W208" s="980"/>
      <c r="X208" s="981" t="s">
        <v>632</v>
      </c>
      <c r="Y208" s="983"/>
      <c r="Z208" s="1412">
        <f>IFERROR(VLOOKUP(C208, [6]條件!$A:$L, 3, 0), "")</f>
        <v>3.2653061224489797</v>
      </c>
      <c r="AA208" s="984" t="str">
        <f>IF(OR(L208={"改紡","檢修","了機","清車","FINAL","停機","SAMPLE","TEST","絲開發"}), L208, IFERROR(IF(C208="", "", (SUM(J208, N208, R208, V208)/3 * AG208) * IF(AND(AF208="S", AS208="雙"), 0.5, 1)), ""))</f>
        <v>停機</v>
      </c>
      <c r="AB208" s="1413" t="str">
        <f t="shared" si="41"/>
        <v/>
      </c>
      <c r="AC208" s="984" t="str">
        <f>IF(OR(L208={"改紡","檢修","了機","清車","FINAL","停機","SAMPLE","TEST"}), "", IFERROR(IF(C208="", "", AVERAGE(L208:M208, P208:Q208, T208:U208, X208:Y208)/100), ""))</f>
        <v/>
      </c>
      <c r="AD208" s="984" t="str">
        <f t="shared" si="35"/>
        <v/>
      </c>
      <c r="AE208" s="984" t="str">
        <f t="shared" si="42"/>
        <v/>
      </c>
      <c r="AF208" s="985" t="str">
        <f t="shared" si="36"/>
        <v>A</v>
      </c>
      <c r="AG208" s="1414">
        <v>1</v>
      </c>
      <c r="AH208" s="1002" t="s">
        <v>641</v>
      </c>
      <c r="AI208" s="1002" t="s">
        <v>829</v>
      </c>
      <c r="AJ208" s="986" t="s">
        <v>634</v>
      </c>
      <c r="AK208" s="981" t="s">
        <v>634</v>
      </c>
      <c r="AL208" s="1415"/>
      <c r="AM208" s="1323"/>
      <c r="AN208" s="1323"/>
      <c r="AO208" s="1323"/>
      <c r="AP208" s="1323"/>
      <c r="AQ208" s="1323"/>
      <c r="AR208" s="987"/>
      <c r="AS208" s="978" t="str">
        <f t="shared" si="37"/>
        <v>雙</v>
      </c>
      <c r="AT208" s="978" t="str">
        <f t="shared" si="38"/>
        <v>半</v>
      </c>
      <c r="AU208" s="978">
        <f t="shared" si="39"/>
        <v>75</v>
      </c>
      <c r="AV208" s="978" t="str">
        <f t="shared" si="40"/>
        <v/>
      </c>
    </row>
    <row r="209" spans="1:48">
      <c r="A209" s="975">
        <f t="shared" si="43"/>
        <v>46148</v>
      </c>
      <c r="B209" s="976" t="s">
        <v>215</v>
      </c>
      <c r="C209" s="976" t="s">
        <v>16746</v>
      </c>
      <c r="D209" s="1410" t="s">
        <v>633</v>
      </c>
      <c r="E209" s="977" t="str">
        <f>IFERROR(VLOOKUP(C209, [6]條件!$A:$L, 5, 0), "")</f>
        <v>75/24/2SDr</v>
      </c>
      <c r="F209" s="978" t="str">
        <f>IFERROR(VLOOKUP(C209, [6]條件!$A:$L, 6, 0), "")</f>
        <v>FP81391R×2</v>
      </c>
      <c r="G209" s="1411">
        <f>IFERROR(VLOOKUP(C209, [6]條件!$A:$L, 7, 0), "")</f>
        <v>700</v>
      </c>
      <c r="H209" s="978" t="str">
        <f>IF(ISNA(VLOOKUP(C209,[6]條件!$A$1:$K$932,11,0)),"",(VLOOKUP(C209,[6]條件!$A$1:$K$932,11,0)))</f>
        <v>紅底白點</v>
      </c>
      <c r="I209" s="979">
        <f>IF(ISNA(VLOOKUP(C209,[6]條件!$A$1:$L$932,12,0)),"",(VLOOKUP(C209,[6]條件!$A$1:$L$932,12,0)))</f>
        <v>5</v>
      </c>
      <c r="J209" s="980">
        <v>18</v>
      </c>
      <c r="K209" s="980">
        <v>0</v>
      </c>
      <c r="L209" s="981">
        <v>7470</v>
      </c>
      <c r="M209" s="981"/>
      <c r="N209" s="982"/>
      <c r="O209" s="980"/>
      <c r="P209" s="981" t="s">
        <v>627</v>
      </c>
      <c r="Q209" s="981"/>
      <c r="R209" s="982"/>
      <c r="S209" s="980"/>
      <c r="T209" s="981" t="s">
        <v>627</v>
      </c>
      <c r="U209" s="981"/>
      <c r="V209" s="982"/>
      <c r="W209" s="980"/>
      <c r="X209" s="981" t="s">
        <v>632</v>
      </c>
      <c r="Y209" s="983"/>
      <c r="Z209" s="1412">
        <f>IFERROR(VLOOKUP(C209, [6]條件!$A:$L, 3, 0), "")</f>
        <v>3.2653061224489797</v>
      </c>
      <c r="AA209" s="984">
        <f>IF(OR(L209={"改紡","檢修","了機","清車","FINAL","停機","SAMPLE","TEST","絲開發"}), L209, IFERROR(IF(C209="", "", (SUM(J209, N209, R209, V209)/3 * AG209) * IF(AND(AF209="S", AS209="雙"), 0.5, 1)), ""))</f>
        <v>6</v>
      </c>
      <c r="AB209" s="1413">
        <f t="shared" si="41"/>
        <v>1</v>
      </c>
      <c r="AC209" s="984">
        <f>IF(OR(L209={"改紡","檢修","了機","清車","FINAL","停機","SAMPLE","TEST"}), "", IFERROR(IF(C209="", "", AVERAGE(L209:M209, P209:Q209, T209:U209, X209:Y209)/100), ""))</f>
        <v>74.7</v>
      </c>
      <c r="AD209" s="984">
        <f t="shared" si="35"/>
        <v>0.75</v>
      </c>
      <c r="AE209" s="984">
        <f t="shared" si="42"/>
        <v>0.75</v>
      </c>
      <c r="AF209" s="985" t="str">
        <f t="shared" si="36"/>
        <v>A</v>
      </c>
      <c r="AG209" s="1414">
        <v>1</v>
      </c>
      <c r="AH209" s="1002" t="s">
        <v>641</v>
      </c>
      <c r="AI209" s="1002" t="s">
        <v>829</v>
      </c>
      <c r="AJ209" s="986" t="s">
        <v>634</v>
      </c>
      <c r="AK209" s="981" t="s">
        <v>634</v>
      </c>
      <c r="AL209" s="1415">
        <v>53</v>
      </c>
      <c r="AM209" s="1323">
        <v>46116</v>
      </c>
      <c r="AN209" s="1323">
        <v>46117</v>
      </c>
      <c r="AO209" s="1323">
        <v>46118</v>
      </c>
      <c r="AP209" s="1323"/>
      <c r="AQ209" s="1323"/>
      <c r="AR209" s="987"/>
      <c r="AS209" s="978" t="str">
        <f t="shared" si="37"/>
        <v>雙</v>
      </c>
      <c r="AT209" s="978" t="str">
        <f t="shared" si="38"/>
        <v>半</v>
      </c>
      <c r="AU209" s="978">
        <f t="shared" si="39"/>
        <v>75</v>
      </c>
      <c r="AV209" s="978">
        <f t="shared" si="40"/>
        <v>0.67767840000000001</v>
      </c>
    </row>
    <row r="210" spans="1:48">
      <c r="A210" s="975">
        <f t="shared" si="43"/>
        <v>46148</v>
      </c>
      <c r="B210" s="976" t="s">
        <v>216</v>
      </c>
      <c r="C210" s="976" t="s">
        <v>632</v>
      </c>
      <c r="D210" s="1410"/>
      <c r="E210" s="977" t="str">
        <f>IFERROR(VLOOKUP(C210, [6]條件!$A:$L, 5, 0), "")</f>
        <v/>
      </c>
      <c r="F210" s="978" t="str">
        <f>IFERROR(VLOOKUP(C210, [6]條件!$A:$L, 6, 0), "")</f>
        <v/>
      </c>
      <c r="G210" s="1411" t="str">
        <f>IFERROR(VLOOKUP(C210, [6]條件!$A:$L, 7, 0), "")</f>
        <v/>
      </c>
      <c r="H210" s="978" t="str">
        <f>IF(ISNA(VLOOKUP(C210,[6]條件!$A$1:$K$932,11,0)),"",(VLOOKUP(C210,[6]條件!$A$1:$K$932,11,0)))</f>
        <v/>
      </c>
      <c r="I210" s="979" t="str">
        <f>IF(ISNA(VLOOKUP(C210,[6]條件!$A$1:$L$932,12,0)),"",(VLOOKUP(C210,[6]條件!$A$1:$L$932,12,0)))</f>
        <v/>
      </c>
      <c r="J210" s="980"/>
      <c r="K210" s="980"/>
      <c r="L210" s="981" t="s">
        <v>632</v>
      </c>
      <c r="M210" s="981"/>
      <c r="N210" s="982"/>
      <c r="O210" s="980"/>
      <c r="P210" s="981" t="s">
        <v>632</v>
      </c>
      <c r="Q210" s="981"/>
      <c r="R210" s="982"/>
      <c r="S210" s="980"/>
      <c r="T210" s="981" t="s">
        <v>632</v>
      </c>
      <c r="U210" s="981"/>
      <c r="V210" s="982"/>
      <c r="W210" s="980"/>
      <c r="X210" s="981" t="s">
        <v>632</v>
      </c>
      <c r="Y210" s="983"/>
      <c r="Z210" s="1412" t="str">
        <f>IFERROR(VLOOKUP(C210, [6]條件!$A:$L, 3, 0), "")</f>
        <v/>
      </c>
      <c r="AA210" s="984" t="str">
        <f>IF(OR(L210={"改紡","檢修","了機","清車","FINAL","停機","SAMPLE","TEST","絲開發"}), L210, IFERROR(IF(C210="", "", (SUM(J210, N210, R210, V210)/3 * AG210) * IF(AND(AF210="S", AS210="雙"), 0.5, 1)), ""))</f>
        <v>停機</v>
      </c>
      <c r="AB210" s="1413" t="str">
        <f t="shared" si="41"/>
        <v/>
      </c>
      <c r="AC210" s="984" t="str">
        <f>IF(OR(L210={"改紡","檢修","了機","清車","FINAL","停機","SAMPLE","TEST"}), "", IFERROR(IF(C210="", "", AVERAGE(L210:M210, P210:Q210, T210:U210, X210:Y210)/100), ""))</f>
        <v/>
      </c>
      <c r="AD210" s="984" t="str">
        <f t="shared" si="35"/>
        <v/>
      </c>
      <c r="AE210" s="984" t="str">
        <f t="shared" si="42"/>
        <v/>
      </c>
      <c r="AF210" s="985" t="str">
        <f t="shared" si="36"/>
        <v>A</v>
      </c>
      <c r="AG210" s="1414">
        <v>1</v>
      </c>
      <c r="AH210" s="1002" t="s">
        <v>640</v>
      </c>
      <c r="AI210" s="1002" t="s">
        <v>640</v>
      </c>
      <c r="AJ210" s="986" t="s">
        <v>640</v>
      </c>
      <c r="AK210" s="981" t="s">
        <v>640</v>
      </c>
      <c r="AL210" s="1415"/>
      <c r="AM210" s="1323"/>
      <c r="AN210" s="1323"/>
      <c r="AO210" s="1323"/>
      <c r="AP210" s="1323"/>
      <c r="AQ210" s="1323"/>
      <c r="AR210" s="987"/>
      <c r="AS210" s="978" t="str">
        <f t="shared" si="37"/>
        <v>單</v>
      </c>
      <c r="AT210" s="978" t="str">
        <f t="shared" si="38"/>
        <v>全</v>
      </c>
      <c r="AU210" s="978" t="str">
        <f t="shared" si="39"/>
        <v/>
      </c>
      <c r="AV210" s="978" t="str">
        <f t="shared" si="40"/>
        <v/>
      </c>
    </row>
    <row r="211" spans="1:48">
      <c r="A211" s="975">
        <f t="shared" si="43"/>
        <v>46148</v>
      </c>
      <c r="B211" s="976" t="s">
        <v>217</v>
      </c>
      <c r="C211" s="976" t="s">
        <v>16197</v>
      </c>
      <c r="D211" s="1410"/>
      <c r="E211" s="977" t="str">
        <f>IFERROR(VLOOKUP(C211, [6]條件!$A:$L, 5, 0), "")</f>
        <v>75/36HC</v>
      </c>
      <c r="F211" s="978" t="str">
        <f>IFERROR(VLOOKUP(C211, [6]條件!$A:$L, 6, 0), "")</f>
        <v>FP81857R</v>
      </c>
      <c r="G211" s="1411">
        <f>IFERROR(VLOOKUP(C211, [6]條件!$A:$L, 7, 0), "")</f>
        <v>600</v>
      </c>
      <c r="H211" s="978" t="str">
        <f>IF(ISNA(VLOOKUP(C211,[6]條件!$A$1:$K$932,11,0)),"",(VLOOKUP(C211,[6]條件!$A$1:$K$932,11,0)))</f>
        <v>白底綠方塊</v>
      </c>
      <c r="I211" s="979">
        <f>IF(ISNA(VLOOKUP(C211,[6]條件!$A$1:$L$932,12,0)),"",(VLOOKUP(C211,[6]條件!$A$1:$L$932,12,0)))</f>
        <v>4</v>
      </c>
      <c r="J211" s="980">
        <v>24</v>
      </c>
      <c r="K211" s="980">
        <v>0</v>
      </c>
      <c r="L211" s="981">
        <v>8134</v>
      </c>
      <c r="M211" s="981">
        <v>8641</v>
      </c>
      <c r="N211" s="982">
        <v>12</v>
      </c>
      <c r="O211" s="980">
        <v>0</v>
      </c>
      <c r="P211" s="981">
        <v>7795</v>
      </c>
      <c r="Q211" s="981">
        <v>8398</v>
      </c>
      <c r="R211" s="982">
        <v>27</v>
      </c>
      <c r="S211" s="980">
        <v>0</v>
      </c>
      <c r="T211" s="981">
        <v>7927</v>
      </c>
      <c r="U211" s="981">
        <v>8662</v>
      </c>
      <c r="V211" s="982">
        <v>16</v>
      </c>
      <c r="W211" s="980">
        <v>0</v>
      </c>
      <c r="X211" s="981">
        <v>8560</v>
      </c>
      <c r="Y211" s="983">
        <v>8977</v>
      </c>
      <c r="Z211" s="1412">
        <f>IFERROR(VLOOKUP(C211, [6]條件!$A:$L, 3, 0), "")</f>
        <v>1.7496962332928312</v>
      </c>
      <c r="AA211" s="984">
        <f>IF(OR(L211={"改紡","檢修","了機","清車","FINAL","停機","SAMPLE","TEST","絲開發"}), L211, IFERROR(IF(C211="", "", (SUM(J211, N211, R211, V211)/3 * AG211) * IF(AND(AF211="S", AS211="雙"), 0.5, 1)), ""))</f>
        <v>26.333333333333332</v>
      </c>
      <c r="AB211" s="1413">
        <f t="shared" si="41"/>
        <v>1</v>
      </c>
      <c r="AC211" s="984">
        <f>IF(OR(L211={"改紡","檢修","了機","清車","FINAL","停機","SAMPLE","TEST"}), "", IFERROR(IF(C211="", "", AVERAGE(L211:M211, P211:Q211, T211:U211, X211:Y211)/100), ""))</f>
        <v>83.867500000000007</v>
      </c>
      <c r="AD211" s="984">
        <f t="shared" si="35"/>
        <v>3.2916666666666665</v>
      </c>
      <c r="AE211" s="984">
        <f t="shared" si="42"/>
        <v>3.2916666666666665</v>
      </c>
      <c r="AF211" s="985" t="str">
        <f t="shared" si="36"/>
        <v>A</v>
      </c>
      <c r="AG211" s="1414">
        <v>1</v>
      </c>
      <c r="AH211" s="1002" t="s">
        <v>629</v>
      </c>
      <c r="AI211" s="1002" t="s">
        <v>629</v>
      </c>
      <c r="AJ211" s="986" t="s">
        <v>725</v>
      </c>
      <c r="AK211" s="981" t="s">
        <v>725</v>
      </c>
      <c r="AL211" s="1415">
        <v>54</v>
      </c>
      <c r="AM211" s="1323">
        <v>45954</v>
      </c>
      <c r="AN211" s="1323">
        <v>45955</v>
      </c>
      <c r="AO211" s="1323">
        <v>45956</v>
      </c>
      <c r="AP211" s="1323">
        <v>45957</v>
      </c>
      <c r="AQ211" s="1323"/>
      <c r="AR211" s="987"/>
      <c r="AS211" s="978" t="str">
        <f t="shared" si="37"/>
        <v>單</v>
      </c>
      <c r="AT211" s="978" t="str">
        <f t="shared" si="38"/>
        <v>全</v>
      </c>
      <c r="AU211" s="978">
        <f t="shared" si="39"/>
        <v>75</v>
      </c>
      <c r="AV211" s="978">
        <f t="shared" si="40"/>
        <v>1.3043073600000001</v>
      </c>
    </row>
    <row r="212" spans="1:48">
      <c r="A212" s="975">
        <f t="shared" si="43"/>
        <v>46148</v>
      </c>
      <c r="B212" s="976" t="s">
        <v>218</v>
      </c>
      <c r="C212" s="976" t="s">
        <v>16744</v>
      </c>
      <c r="D212" s="1410" t="s">
        <v>633</v>
      </c>
      <c r="E212" s="977" t="str">
        <f>IFERROR(VLOOKUP(C212, [6]條件!$A:$L, 5, 0), "")</f>
        <v>75/24/2SDr</v>
      </c>
      <c r="F212" s="978" t="str">
        <f>IFERROR(VLOOKUP(C212, [6]條件!$A:$L, 6, 0), "")</f>
        <v>FP81382R×2</v>
      </c>
      <c r="G212" s="1411">
        <f>IFERROR(VLOOKUP(C212, [6]條件!$A:$L, 7, 0), "")</f>
        <v>700</v>
      </c>
      <c r="H212" s="978" t="str">
        <f>IF(ISNA(VLOOKUP(C212,[6]條件!$A$1:$K$932,11,0)),"",(VLOOKUP(C212,[6]條件!$A$1:$K$932,11,0)))</f>
        <v>藍色</v>
      </c>
      <c r="I212" s="979">
        <f>IF(ISNA(VLOOKUP(C212,[6]條件!$A$1:$L$932,12,0)),"",(VLOOKUP(C212,[6]條件!$A$1:$L$932,12,0)))</f>
        <v>5</v>
      </c>
      <c r="J212" s="980">
        <v>12</v>
      </c>
      <c r="K212" s="980">
        <v>0</v>
      </c>
      <c r="L212" s="981">
        <v>8317</v>
      </c>
      <c r="M212" s="981" t="s">
        <v>632</v>
      </c>
      <c r="N212" s="982">
        <v>6</v>
      </c>
      <c r="O212" s="980">
        <v>0</v>
      </c>
      <c r="P212" s="981">
        <v>8431</v>
      </c>
      <c r="Q212" s="981" t="s">
        <v>632</v>
      </c>
      <c r="R212" s="982">
        <v>6</v>
      </c>
      <c r="S212" s="980">
        <v>0</v>
      </c>
      <c r="T212" s="981">
        <v>8511</v>
      </c>
      <c r="U212" s="981" t="s">
        <v>632</v>
      </c>
      <c r="V212" s="982">
        <v>10</v>
      </c>
      <c r="W212" s="980">
        <v>2</v>
      </c>
      <c r="X212" s="981">
        <v>8650</v>
      </c>
      <c r="Y212" s="983" t="s">
        <v>632</v>
      </c>
      <c r="Z212" s="1412">
        <f>IFERROR(VLOOKUP(C212, [6]條件!$A:$L, 3, 0), "")</f>
        <v>3.2505643340857788</v>
      </c>
      <c r="AA212" s="984">
        <f>IF(OR(L212={"改紡","檢修","了機","清車","FINAL","停機","SAMPLE","TEST","絲開發"}), L212, IFERROR(IF(C212="", "", (SUM(J212, N212, R212, V212)/3 * AG212) * IF(AND(AF212="S", AS212="雙"), 0.5, 1)), ""))</f>
        <v>11.333333333333334</v>
      </c>
      <c r="AB212" s="1413">
        <f t="shared" si="41"/>
        <v>0.99704193376068373</v>
      </c>
      <c r="AC212" s="984">
        <f>IF(OR(L212={"改紡","檢修","了機","清車","FINAL","停機","SAMPLE","TEST"}), "", IFERROR(IF(C212="", "", AVERAGE(L212:M212, P212:Q212, T212:U212, X212:Y212)/100), ""))</f>
        <v>84.772499999999994</v>
      </c>
      <c r="AD212" s="984">
        <f t="shared" si="35"/>
        <v>1.4166666666666667</v>
      </c>
      <c r="AE212" s="984">
        <f t="shared" si="42"/>
        <v>1.3333333333333333</v>
      </c>
      <c r="AF212" s="985" t="str">
        <f t="shared" si="36"/>
        <v>A</v>
      </c>
      <c r="AG212" s="1414">
        <v>1</v>
      </c>
      <c r="AH212" s="1002" t="s">
        <v>629</v>
      </c>
      <c r="AI212" s="1002" t="s">
        <v>629</v>
      </c>
      <c r="AJ212" s="986" t="s">
        <v>725</v>
      </c>
      <c r="AK212" s="981" t="s">
        <v>725</v>
      </c>
      <c r="AL212" s="1415">
        <v>50</v>
      </c>
      <c r="AM212" s="1323">
        <v>46106</v>
      </c>
      <c r="AN212" s="1323">
        <v>46107</v>
      </c>
      <c r="AO212" s="1323"/>
      <c r="AP212" s="1323"/>
      <c r="AQ212" s="1323"/>
      <c r="AR212" s="987"/>
      <c r="AS212" s="978" t="str">
        <f t="shared" si="37"/>
        <v>雙</v>
      </c>
      <c r="AT212" s="978" t="str">
        <f t="shared" si="38"/>
        <v>半</v>
      </c>
      <c r="AU212" s="978">
        <f t="shared" si="39"/>
        <v>75</v>
      </c>
      <c r="AV212" s="978">
        <f t="shared" si="40"/>
        <v>0.76905612000000001</v>
      </c>
    </row>
    <row r="213" spans="1:48">
      <c r="A213" s="975">
        <f t="shared" si="43"/>
        <v>46148</v>
      </c>
      <c r="B213" s="976" t="s">
        <v>219</v>
      </c>
      <c r="C213" s="976" t="s">
        <v>16745</v>
      </c>
      <c r="D213" s="1410" t="s">
        <v>16748</v>
      </c>
      <c r="E213" s="977" t="str">
        <f>IFERROR(VLOOKUP(C213, [6]條件!$A:$L, 5, 0), "")</f>
        <v>50/72BSD3</v>
      </c>
      <c r="F213" s="978" t="str">
        <f>IFERROR(VLOOKUP(C213, [6]條件!$A:$L, 6, 0), "")</f>
        <v>FP80141</v>
      </c>
      <c r="G213" s="1411">
        <f>IFERROR(VLOOKUP(C213, [6]條件!$A:$L, 7, 0), "")</f>
        <v>630</v>
      </c>
      <c r="H213" s="978" t="str">
        <f>IF(ISNA(VLOOKUP(C213,[6]條件!$A$1:$K$932,11,0)),"",(VLOOKUP(C213,[6]條件!$A$1:$K$932,11,0)))</f>
        <v>洋綠色</v>
      </c>
      <c r="I213" s="979">
        <f>IF(ISNA(VLOOKUP(C213,[6]條件!$A$1:$L$932,12,0)),"",(VLOOKUP(C213,[6]條件!$A$1:$L$932,12,0)))</f>
        <v>2</v>
      </c>
      <c r="J213" s="980">
        <v>7</v>
      </c>
      <c r="K213" s="980">
        <v>0</v>
      </c>
      <c r="L213" s="981">
        <v>9627</v>
      </c>
      <c r="M213" s="981">
        <v>9598</v>
      </c>
      <c r="N213" s="982">
        <v>12</v>
      </c>
      <c r="O213" s="980">
        <v>0</v>
      </c>
      <c r="P213" s="981">
        <v>9602</v>
      </c>
      <c r="Q213" s="981">
        <v>9334</v>
      </c>
      <c r="R213" s="982">
        <v>11</v>
      </c>
      <c r="S213" s="980">
        <v>0</v>
      </c>
      <c r="T213" s="981">
        <v>9715</v>
      </c>
      <c r="U213" s="981">
        <v>9538</v>
      </c>
      <c r="V213" s="982">
        <v>30</v>
      </c>
      <c r="W213" s="980">
        <v>5</v>
      </c>
      <c r="X213" s="981">
        <v>9715</v>
      </c>
      <c r="Y213" s="983">
        <v>9601</v>
      </c>
      <c r="Z213" s="1412">
        <f>IFERROR(VLOOKUP(C213, [6]條件!$A:$L, 3, 0), "")</f>
        <v>2.4615384615384617</v>
      </c>
      <c r="AA213" s="984">
        <f>IF(OR(L213={"改紡","檢修","了機","清車","FINAL","停機","SAMPLE","TEST","絲開發"}), L213, IFERROR(IF(C213="", "", (SUM(J213, N213, R213, V213)/3 * AG213) * IF(AND(AF213="S", AS213="雙"), 0.5, 1)), ""))</f>
        <v>20</v>
      </c>
      <c r="AB213" s="1413">
        <f t="shared" si="41"/>
        <v>0.990234375</v>
      </c>
      <c r="AC213" s="984">
        <f>IF(OR(L213={"改紡","檢修","了機","清車","FINAL","停機","SAMPLE","TEST"}), "", IFERROR(IF(C213="", "", AVERAGE(L213:M213, P213:Q213, T213:U213, X213:Y213)/100), ""))</f>
        <v>95.912499999999994</v>
      </c>
      <c r="AD213" s="984">
        <f t="shared" si="35"/>
        <v>2.5</v>
      </c>
      <c r="AE213" s="984">
        <f t="shared" si="42"/>
        <v>2.2916666666666665</v>
      </c>
      <c r="AF213" s="985" t="str">
        <f t="shared" si="36"/>
        <v>A</v>
      </c>
      <c r="AG213" s="1414">
        <v>1</v>
      </c>
      <c r="AH213" s="1002" t="s">
        <v>641</v>
      </c>
      <c r="AI213" s="1002" t="s">
        <v>829</v>
      </c>
      <c r="AJ213" s="986" t="s">
        <v>634</v>
      </c>
      <c r="AK213" s="981" t="s">
        <v>634</v>
      </c>
      <c r="AL213" s="1415">
        <v>57</v>
      </c>
      <c r="AM213" s="1324">
        <v>46087</v>
      </c>
      <c r="AN213" s="1323">
        <v>46088</v>
      </c>
      <c r="AO213" s="1323"/>
      <c r="AP213" s="1323"/>
      <c r="AQ213" s="1323"/>
      <c r="AR213" s="987"/>
      <c r="AS213" s="978" t="str">
        <f t="shared" si="37"/>
        <v>單</v>
      </c>
      <c r="AT213" s="978" t="str">
        <f t="shared" si="38"/>
        <v>全</v>
      </c>
      <c r="AU213" s="978">
        <f t="shared" si="39"/>
        <v>50</v>
      </c>
      <c r="AV213" s="978">
        <f t="shared" si="40"/>
        <v>1.04414184</v>
      </c>
    </row>
    <row r="214" spans="1:48">
      <c r="A214" s="975">
        <f t="shared" si="43"/>
        <v>46148</v>
      </c>
      <c r="B214" s="976" t="s">
        <v>220</v>
      </c>
      <c r="C214" s="976" t="s">
        <v>632</v>
      </c>
      <c r="D214" s="1410"/>
      <c r="E214" s="977" t="str">
        <f>IFERROR(VLOOKUP(C214, [6]條件!$A:$L, 5, 0), "")</f>
        <v/>
      </c>
      <c r="F214" s="978" t="str">
        <f>IFERROR(VLOOKUP(C214, [6]條件!$A:$L, 6, 0), "")</f>
        <v/>
      </c>
      <c r="G214" s="1411" t="str">
        <f>IFERROR(VLOOKUP(C214, [6]條件!$A:$L, 7, 0), "")</f>
        <v/>
      </c>
      <c r="H214" s="978" t="str">
        <f>IF(ISNA(VLOOKUP(C214,[6]條件!$A$1:$K$932,11,0)),"",(VLOOKUP(C214,[6]條件!$A$1:$K$932,11,0)))</f>
        <v/>
      </c>
      <c r="I214" s="979" t="str">
        <f>IF(ISNA(VLOOKUP(C214,[6]條件!$A$1:$L$932,12,0)),"",(VLOOKUP(C214,[6]條件!$A$1:$L$932,12,0)))</f>
        <v/>
      </c>
      <c r="J214" s="980"/>
      <c r="K214" s="980"/>
      <c r="L214" s="981" t="s">
        <v>632</v>
      </c>
      <c r="M214" s="981"/>
      <c r="N214" s="982"/>
      <c r="O214" s="980"/>
      <c r="P214" s="981" t="s">
        <v>632</v>
      </c>
      <c r="Q214" s="981"/>
      <c r="R214" s="982"/>
      <c r="S214" s="980"/>
      <c r="T214" s="981" t="s">
        <v>632</v>
      </c>
      <c r="U214" s="981"/>
      <c r="V214" s="982"/>
      <c r="W214" s="980"/>
      <c r="X214" s="981" t="s">
        <v>632</v>
      </c>
      <c r="Y214" s="983"/>
      <c r="Z214" s="1412" t="str">
        <f>IFERROR(VLOOKUP(C214, [6]條件!$A:$L, 3, 0), "")</f>
        <v/>
      </c>
      <c r="AA214" s="984" t="str">
        <f>IF(OR(L214={"改紡","檢修","了機","清車","FINAL","停機","SAMPLE","TEST","絲開發"}), L214, IFERROR(IF(C214="", "", (SUM(J214, N214, R214, V214)/3 * AG214) * IF(AND(AF214="S", AS214="雙"), 0.5, 1)), ""))</f>
        <v>停機</v>
      </c>
      <c r="AB214" s="1413" t="str">
        <f t="shared" si="41"/>
        <v/>
      </c>
      <c r="AC214" s="984" t="str">
        <f>IF(OR(L214={"改紡","檢修","了機","清車","FINAL","停機","SAMPLE","TEST"}), "", IFERROR(IF(C214="", "", AVERAGE(L214:M214, P214:Q214, T214:U214, X214:Y214)/100), ""))</f>
        <v/>
      </c>
      <c r="AD214" s="984" t="str">
        <f t="shared" si="35"/>
        <v/>
      </c>
      <c r="AE214" s="984" t="str">
        <f t="shared" si="42"/>
        <v/>
      </c>
      <c r="AF214" s="985" t="str">
        <f t="shared" si="36"/>
        <v>A</v>
      </c>
      <c r="AG214" s="1414">
        <v>1</v>
      </c>
      <c r="AH214" s="1002" t="s">
        <v>640</v>
      </c>
      <c r="AI214" s="1002" t="s">
        <v>640</v>
      </c>
      <c r="AJ214" s="986" t="s">
        <v>640</v>
      </c>
      <c r="AK214" s="981" t="s">
        <v>640</v>
      </c>
      <c r="AL214" s="1415"/>
      <c r="AM214" s="1323"/>
      <c r="AN214" s="1323"/>
      <c r="AO214" s="1323"/>
      <c r="AP214" s="1323"/>
      <c r="AQ214" s="1323"/>
      <c r="AR214" s="987"/>
      <c r="AS214" s="978" t="str">
        <f t="shared" si="37"/>
        <v>單</v>
      </c>
      <c r="AT214" s="978" t="str">
        <f t="shared" si="38"/>
        <v>全</v>
      </c>
      <c r="AU214" s="978" t="str">
        <f t="shared" si="39"/>
        <v/>
      </c>
      <c r="AV214" s="978" t="str">
        <f t="shared" si="40"/>
        <v/>
      </c>
    </row>
    <row r="215" spans="1:48">
      <c r="A215" s="975">
        <f t="shared" si="43"/>
        <v>46148</v>
      </c>
      <c r="B215" s="976" t="s">
        <v>221</v>
      </c>
      <c r="C215" s="976" t="s">
        <v>16763</v>
      </c>
      <c r="D215" s="1410"/>
      <c r="E215" s="977" t="str">
        <f>IFERROR(VLOOKUP(C215, [6]條件!$A:$L, 5, 0), "")</f>
        <v>150/48CDR</v>
      </c>
      <c r="F215" s="978" t="str">
        <f>IFERROR(VLOOKUP(C215, [6]條件!$A:$L, 6, 0), "")</f>
        <v>FP82781</v>
      </c>
      <c r="G215" s="1411">
        <f>IFERROR(VLOOKUP(C215, [6]條件!$A:$L, 7, 0), "")</f>
        <v>600</v>
      </c>
      <c r="H215" s="978" t="str">
        <f>IF(ISNA(VLOOKUP(C215,[6]條件!$A$1:$K$932,11,0)),"",(VLOOKUP(C215,[6]條件!$A$1:$K$932,11,0)))</f>
        <v>綠藍雙色</v>
      </c>
      <c r="I215" s="979">
        <f>IF(ISNA(VLOOKUP(C215,[6]條件!$A$1:$L$932,12,0)),"",(VLOOKUP(C215,[6]條件!$A$1:$L$932,12,0)))</f>
        <v>5</v>
      </c>
      <c r="J215" s="980"/>
      <c r="K215" s="980"/>
      <c r="L215" s="981" t="s">
        <v>642</v>
      </c>
      <c r="M215" s="981"/>
      <c r="N215" s="982">
        <v>1</v>
      </c>
      <c r="O215" s="980">
        <v>1</v>
      </c>
      <c r="P215" s="981">
        <v>9518</v>
      </c>
      <c r="Q215" s="981">
        <v>9480</v>
      </c>
      <c r="R215" s="982">
        <v>12</v>
      </c>
      <c r="S215" s="980">
        <v>2</v>
      </c>
      <c r="T215" s="981">
        <v>8745</v>
      </c>
      <c r="U215" s="981">
        <v>8427</v>
      </c>
      <c r="V215" s="982">
        <v>14</v>
      </c>
      <c r="W215" s="980">
        <v>3</v>
      </c>
      <c r="X215" s="981">
        <v>8728</v>
      </c>
      <c r="Y215" s="983">
        <v>8248</v>
      </c>
      <c r="Z215" s="1412">
        <f>IFERROR(VLOOKUP(C215, [6]條件!$A:$L, 3, 0), "")</f>
        <v>2.8685258964143427</v>
      </c>
      <c r="AA215" s="984" t="str">
        <f>IF(OR(L215={"改紡","檢修","了機","清車","FINAL","停機","SAMPLE","TEST","絲開發"}), L215, IFERROR(IF(C215="", "", (SUM(J215, N215, R215, V215)/3 * AG215) * IF(AND(AF215="S", AS215="雙"), 0.5, 1)), ""))</f>
        <v>改紡</v>
      </c>
      <c r="AB215" s="1413" t="str">
        <f t="shared" si="41"/>
        <v/>
      </c>
      <c r="AC215" s="984" t="str">
        <f>IF(OR(L215={"改紡","檢修","了機","清車","FINAL","停機","SAMPLE","TEST"}), "", IFERROR(IF(C215="", "", AVERAGE(L215:M215, P215:Q215, T215:U215, X215:Y215)/100), ""))</f>
        <v/>
      </c>
      <c r="AD215" s="984" t="str">
        <f t="shared" si="35"/>
        <v/>
      </c>
      <c r="AE215" s="984" t="str">
        <f t="shared" si="42"/>
        <v/>
      </c>
      <c r="AF215" s="985" t="str">
        <f t="shared" si="36"/>
        <v>A</v>
      </c>
      <c r="AG215" s="1414">
        <v>1</v>
      </c>
      <c r="AH215" s="1002" t="s">
        <v>641</v>
      </c>
      <c r="AI215" s="1002" t="s">
        <v>829</v>
      </c>
      <c r="AJ215" s="986" t="s">
        <v>725</v>
      </c>
      <c r="AK215" s="981" t="s">
        <v>725</v>
      </c>
      <c r="AL215" s="1415">
        <v>54</v>
      </c>
      <c r="AM215" s="1323">
        <v>46145</v>
      </c>
      <c r="AN215" s="1323">
        <v>46146</v>
      </c>
      <c r="AO215" s="1323"/>
      <c r="AP215" s="1323"/>
      <c r="AQ215" s="1323"/>
      <c r="AR215" s="987"/>
      <c r="AS215" s="978" t="str">
        <f t="shared" si="37"/>
        <v>單</v>
      </c>
      <c r="AT215" s="978" t="str">
        <f t="shared" si="38"/>
        <v>全</v>
      </c>
      <c r="AU215" s="978">
        <f t="shared" si="39"/>
        <v>150</v>
      </c>
      <c r="AV215" s="978" t="str">
        <f t="shared" si="40"/>
        <v/>
      </c>
    </row>
    <row r="216" spans="1:48">
      <c r="A216" s="975">
        <f t="shared" si="43"/>
        <v>46148</v>
      </c>
      <c r="B216" s="976" t="s">
        <v>222</v>
      </c>
      <c r="C216" s="976" t="s">
        <v>632</v>
      </c>
      <c r="D216" s="1410"/>
      <c r="E216" s="977" t="str">
        <f>IFERROR(VLOOKUP(C216, [6]條件!$A:$L, 5, 0), "")</f>
        <v/>
      </c>
      <c r="F216" s="978" t="str">
        <f>IFERROR(VLOOKUP(C216, [6]條件!$A:$L, 6, 0), "")</f>
        <v/>
      </c>
      <c r="G216" s="1411" t="str">
        <f>IFERROR(VLOOKUP(C216, [6]條件!$A:$L, 7, 0), "")</f>
        <v/>
      </c>
      <c r="H216" s="978" t="str">
        <f>IF(ISNA(VLOOKUP(C216,[6]條件!$A$1:$K$932,11,0)),"",(VLOOKUP(C216,[6]條件!$A$1:$K$932,11,0)))</f>
        <v/>
      </c>
      <c r="I216" s="979" t="str">
        <f>IF(ISNA(VLOOKUP(C216,[6]條件!$A$1:$L$932,12,0)),"",(VLOOKUP(C216,[6]條件!$A$1:$L$932,12,0)))</f>
        <v/>
      </c>
      <c r="J216" s="980"/>
      <c r="K216" s="980"/>
      <c r="L216" s="981" t="s">
        <v>632</v>
      </c>
      <c r="M216" s="981"/>
      <c r="N216" s="982"/>
      <c r="O216" s="980"/>
      <c r="P216" s="981" t="s">
        <v>632</v>
      </c>
      <c r="Q216" s="981"/>
      <c r="R216" s="982"/>
      <c r="S216" s="980"/>
      <c r="T216" s="981" t="s">
        <v>632</v>
      </c>
      <c r="U216" s="981"/>
      <c r="V216" s="982"/>
      <c r="W216" s="980"/>
      <c r="X216" s="981" t="s">
        <v>632</v>
      </c>
      <c r="Y216" s="983"/>
      <c r="Z216" s="1412" t="str">
        <f>IFERROR(VLOOKUP(C216, [6]條件!$A:$L, 3, 0), "")</f>
        <v/>
      </c>
      <c r="AA216" s="984" t="str">
        <f>IF(OR(L216={"改紡","檢修","了機","清車","FINAL","停機","SAMPLE","TEST","絲開發"}), L216, IFERROR(IF(C216="", "", (SUM(J216, N216, R216, V216)/3 * AG216) * IF(AND(AF216="S", AS216="雙"), 0.5, 1)), ""))</f>
        <v>停機</v>
      </c>
      <c r="AB216" s="1413" t="str">
        <f t="shared" si="41"/>
        <v/>
      </c>
      <c r="AC216" s="984" t="str">
        <f>IF(OR(L216={"改紡","檢修","了機","清車","FINAL","停機","SAMPLE","TEST"}), "", IFERROR(IF(C216="", "", AVERAGE(L216:M216, P216:Q216, T216:U216, X216:Y216)/100), ""))</f>
        <v/>
      </c>
      <c r="AD216" s="984" t="str">
        <f t="shared" si="35"/>
        <v/>
      </c>
      <c r="AE216" s="984" t="str">
        <f t="shared" si="42"/>
        <v/>
      </c>
      <c r="AF216" s="985" t="str">
        <f t="shared" si="36"/>
        <v>A</v>
      </c>
      <c r="AG216" s="1414">
        <v>1</v>
      </c>
      <c r="AH216" s="1002" t="s">
        <v>640</v>
      </c>
      <c r="AI216" s="1002" t="s">
        <v>640</v>
      </c>
      <c r="AJ216" s="986" t="s">
        <v>640</v>
      </c>
      <c r="AK216" s="981" t="s">
        <v>640</v>
      </c>
      <c r="AL216" s="1415"/>
      <c r="AM216" s="1323"/>
      <c r="AN216" s="1323"/>
      <c r="AO216" s="1323"/>
      <c r="AP216" s="1323"/>
      <c r="AQ216" s="1323"/>
      <c r="AR216" s="987"/>
      <c r="AS216" s="978" t="str">
        <f t="shared" si="37"/>
        <v>單</v>
      </c>
      <c r="AT216" s="978" t="str">
        <f t="shared" si="38"/>
        <v>全</v>
      </c>
      <c r="AU216" s="978" t="str">
        <f t="shared" si="39"/>
        <v/>
      </c>
      <c r="AV216" s="978" t="str">
        <f t="shared" si="40"/>
        <v/>
      </c>
    </row>
    <row r="217" spans="1:48">
      <c r="A217" s="975">
        <f t="shared" si="43"/>
        <v>46148</v>
      </c>
      <c r="B217" s="976" t="s">
        <v>223</v>
      </c>
      <c r="C217" s="976" t="s">
        <v>632</v>
      </c>
      <c r="D217" s="1410"/>
      <c r="E217" s="977" t="str">
        <f>IFERROR(VLOOKUP(C217, [6]條件!$A:$L, 5, 0), "")</f>
        <v/>
      </c>
      <c r="F217" s="978" t="str">
        <f>IFERROR(VLOOKUP(C217, [6]條件!$A:$L, 6, 0), "")</f>
        <v/>
      </c>
      <c r="G217" s="1411" t="str">
        <f>IFERROR(VLOOKUP(C217, [6]條件!$A:$L, 7, 0), "")</f>
        <v/>
      </c>
      <c r="H217" s="978" t="str">
        <f>IF(ISNA(VLOOKUP(C217,[6]條件!$A$1:$K$932,11,0)),"",(VLOOKUP(C217,[6]條件!$A$1:$K$932,11,0)))</f>
        <v/>
      </c>
      <c r="I217" s="979" t="str">
        <f>IF(ISNA(VLOOKUP(C217,[6]條件!$A$1:$L$932,12,0)),"",(VLOOKUP(C217,[6]條件!$A$1:$L$932,12,0)))</f>
        <v/>
      </c>
      <c r="J217" s="980"/>
      <c r="K217" s="980"/>
      <c r="L217" s="981" t="s">
        <v>632</v>
      </c>
      <c r="M217" s="981"/>
      <c r="N217" s="982"/>
      <c r="O217" s="980"/>
      <c r="P217" s="981" t="s">
        <v>632</v>
      </c>
      <c r="Q217" s="981"/>
      <c r="R217" s="982"/>
      <c r="S217" s="980"/>
      <c r="T217" s="981" t="s">
        <v>632</v>
      </c>
      <c r="U217" s="981"/>
      <c r="V217" s="982"/>
      <c r="W217" s="980"/>
      <c r="X217" s="981" t="s">
        <v>632</v>
      </c>
      <c r="Y217" s="983"/>
      <c r="Z217" s="1412" t="str">
        <f>IFERROR(VLOOKUP(C217, [6]條件!$A:$L, 3, 0), "")</f>
        <v/>
      </c>
      <c r="AA217" s="984" t="str">
        <f>IF(OR(L217={"改紡","檢修","了機","清車","FINAL","停機","SAMPLE","TEST","絲開發"}), L217, IFERROR(IF(C217="", "", (SUM(J217, N217, R217, V217)/3 * AG217) * IF(AND(AF217="S", AS217="雙"), 0.5, 1)), ""))</f>
        <v>停機</v>
      </c>
      <c r="AB217" s="1413" t="str">
        <f t="shared" si="41"/>
        <v/>
      </c>
      <c r="AC217" s="984" t="str">
        <f>IF(OR(L217={"改紡","檢修","了機","清車","FINAL","停機","SAMPLE","TEST"}), "", IFERROR(IF(C217="", "", AVERAGE(L217:M217, P217:Q217, T217:U217, X217:Y217)/100), ""))</f>
        <v/>
      </c>
      <c r="AD217" s="984" t="str">
        <f t="shared" si="35"/>
        <v/>
      </c>
      <c r="AE217" s="984" t="str">
        <f t="shared" si="42"/>
        <v/>
      </c>
      <c r="AF217" s="985" t="str">
        <f t="shared" si="36"/>
        <v>A</v>
      </c>
      <c r="AG217" s="1414">
        <v>1</v>
      </c>
      <c r="AH217" s="1002" t="s">
        <v>640</v>
      </c>
      <c r="AI217" s="1002" t="s">
        <v>640</v>
      </c>
      <c r="AJ217" s="986" t="s">
        <v>640</v>
      </c>
      <c r="AK217" s="981" t="s">
        <v>640</v>
      </c>
      <c r="AL217" s="1415"/>
      <c r="AM217" s="1324"/>
      <c r="AN217" s="1323"/>
      <c r="AO217" s="1323"/>
      <c r="AP217" s="1323"/>
      <c r="AQ217" s="1323"/>
      <c r="AR217" s="987"/>
      <c r="AS217" s="978" t="str">
        <f t="shared" si="37"/>
        <v>單</v>
      </c>
      <c r="AT217" s="978" t="str">
        <f t="shared" si="38"/>
        <v>全</v>
      </c>
      <c r="AU217" s="978" t="str">
        <f t="shared" si="39"/>
        <v/>
      </c>
      <c r="AV217" s="978" t="str">
        <f t="shared" si="40"/>
        <v/>
      </c>
    </row>
    <row r="218" spans="1:48">
      <c r="A218" s="975">
        <f t="shared" si="43"/>
        <v>46148</v>
      </c>
      <c r="B218" s="976" t="s">
        <v>224</v>
      </c>
      <c r="C218" s="976" t="s">
        <v>16734</v>
      </c>
      <c r="D218" s="1410" t="s">
        <v>633</v>
      </c>
      <c r="E218" s="977" t="str">
        <f>IFERROR(VLOOKUP(C218, [6]條件!$A:$L, 5, 0), "")</f>
        <v>75/24/2SDr</v>
      </c>
      <c r="F218" s="978" t="str">
        <f>IFERROR(VLOOKUP(C218, [6]條件!$A:$L, 6, 0), "")</f>
        <v>FP81382R×2</v>
      </c>
      <c r="G218" s="1411">
        <f>IFERROR(VLOOKUP(C218, [6]條件!$A:$L, 7, 0), "")</f>
        <v>700</v>
      </c>
      <c r="H218" s="978" t="str">
        <f>IF(ISNA(VLOOKUP(C218,[6]條件!$A$1:$K$932,11,0)),"",(VLOOKUP(C218,[6]條件!$A$1:$K$932,11,0)))</f>
        <v>白底紫三角</v>
      </c>
      <c r="I218" s="979">
        <f>IF(ISNA(VLOOKUP(C218,[6]條件!$A$1:$L$932,12,0)),"",(VLOOKUP(C218,[6]條件!$A$1:$L$932,12,0)))</f>
        <v>5</v>
      </c>
      <c r="J218" s="980">
        <v>42</v>
      </c>
      <c r="K218" s="980">
        <v>0</v>
      </c>
      <c r="L218" s="981">
        <v>8782</v>
      </c>
      <c r="M218" s="981">
        <v>8541</v>
      </c>
      <c r="N218" s="982">
        <v>18</v>
      </c>
      <c r="O218" s="980">
        <v>0</v>
      </c>
      <c r="P218" s="981">
        <v>8996</v>
      </c>
      <c r="Q218" s="981">
        <v>9015</v>
      </c>
      <c r="R218" s="982">
        <v>24</v>
      </c>
      <c r="S218" s="980">
        <v>0</v>
      </c>
      <c r="T218" s="981">
        <v>8721</v>
      </c>
      <c r="U218" s="981">
        <v>8946</v>
      </c>
      <c r="V218" s="982">
        <v>36</v>
      </c>
      <c r="W218" s="980">
        <v>0</v>
      </c>
      <c r="X218" s="981">
        <v>9176</v>
      </c>
      <c r="Y218" s="983">
        <v>9118</v>
      </c>
      <c r="Z218" s="1412">
        <f>IFERROR(VLOOKUP(C218, [6]條件!$A:$L, 3, 0), "")</f>
        <v>3.2653061224489797</v>
      </c>
      <c r="AA218" s="984">
        <f>IF(OR(L218={"改紡","檢修","了機","清車","FINAL","停機","SAMPLE","TEST","絲開發"}), L218, IFERROR(IF(C218="", "", (SUM(J218, N218, R218, V218)/3 * AG218) * IF(AND(AF218="S", AS218="雙"), 0.5, 1)), ""))</f>
        <v>20</v>
      </c>
      <c r="AB218" s="1413">
        <f t="shared" si="41"/>
        <v>1</v>
      </c>
      <c r="AC218" s="984">
        <f>IF(OR(L218={"改紡","檢修","了機","清車","FINAL","停機","SAMPLE","TEST"}), "", IFERROR(IF(C218="", "", AVERAGE(L218:M218, P218:Q218, T218:U218, X218:Y218)/100), ""))</f>
        <v>89.118750000000006</v>
      </c>
      <c r="AD218" s="984">
        <f t="shared" si="35"/>
        <v>2.5</v>
      </c>
      <c r="AE218" s="984">
        <f t="shared" si="42"/>
        <v>2.5</v>
      </c>
      <c r="AF218" s="985" t="str">
        <f t="shared" si="36"/>
        <v>A</v>
      </c>
      <c r="AG218" s="1414">
        <v>0.5</v>
      </c>
      <c r="AH218" s="1002" t="s">
        <v>629</v>
      </c>
      <c r="AI218" s="1002" t="s">
        <v>629</v>
      </c>
      <c r="AJ218" s="986" t="s">
        <v>725</v>
      </c>
      <c r="AK218" s="981" t="s">
        <v>725</v>
      </c>
      <c r="AL218" s="1415">
        <v>50</v>
      </c>
      <c r="AM218" s="1323">
        <v>46104</v>
      </c>
      <c r="AN218" s="1323">
        <v>46105</v>
      </c>
      <c r="AO218" s="1323">
        <v>46107</v>
      </c>
      <c r="AP218" s="1323"/>
      <c r="AQ218" s="1323"/>
      <c r="AR218" s="987"/>
      <c r="AS218" s="978" t="str">
        <f t="shared" si="37"/>
        <v>雙</v>
      </c>
      <c r="AT218" s="978" t="str">
        <f t="shared" si="38"/>
        <v>全</v>
      </c>
      <c r="AU218" s="978">
        <f t="shared" si="39"/>
        <v>75</v>
      </c>
      <c r="AV218" s="978">
        <f t="shared" si="40"/>
        <v>1.6169705999999999</v>
      </c>
    </row>
    <row r="219" spans="1:48">
      <c r="A219" s="975">
        <f t="shared" si="43"/>
        <v>46148</v>
      </c>
      <c r="B219" s="976" t="s">
        <v>225</v>
      </c>
      <c r="C219" s="976" t="s">
        <v>16747</v>
      </c>
      <c r="D219" s="1410"/>
      <c r="E219" s="977" t="str">
        <f>IFERROR(VLOOKUP(C219, [6]條件!$A:$L, 5, 0), "")</f>
        <v>150/48SDR</v>
      </c>
      <c r="F219" s="978" t="str">
        <f>IFERROR(VLOOKUP(C219, [6]條件!$A:$L, 6, 0), "")</f>
        <v>FP82169R</v>
      </c>
      <c r="G219" s="1411">
        <f>IFERROR(VLOOKUP(C219, [6]條件!$A:$L, 7, 0), "")</f>
        <v>650</v>
      </c>
      <c r="H219" s="978" t="str">
        <f>IF(ISNA(VLOOKUP(C219,[6]條件!$A$1:$K$932,11,0)),"",(VLOOKUP(C219,[6]條件!$A$1:$K$932,11,0)))</f>
        <v>綠藍三角</v>
      </c>
      <c r="I219" s="979">
        <f>IF(ISNA(VLOOKUP(C219,[6]條件!$A$1:$L$932,12,0)),"",(VLOOKUP(C219,[6]條件!$A$1:$L$932,12,0)))</f>
        <v>5</v>
      </c>
      <c r="J219" s="980">
        <v>10</v>
      </c>
      <c r="K219" s="980">
        <v>0</v>
      </c>
      <c r="L219" s="981">
        <v>9329</v>
      </c>
      <c r="M219" s="981">
        <v>8806</v>
      </c>
      <c r="N219" s="982">
        <v>20</v>
      </c>
      <c r="O219" s="980">
        <v>0</v>
      </c>
      <c r="P219" s="981">
        <v>8743</v>
      </c>
      <c r="Q219" s="981">
        <v>8670</v>
      </c>
      <c r="R219" s="982">
        <v>16</v>
      </c>
      <c r="S219" s="980">
        <v>0</v>
      </c>
      <c r="T219" s="981">
        <v>9011</v>
      </c>
      <c r="U219" s="981">
        <v>8737</v>
      </c>
      <c r="V219" s="982">
        <v>19</v>
      </c>
      <c r="W219" s="980">
        <v>2</v>
      </c>
      <c r="X219" s="981">
        <v>9491</v>
      </c>
      <c r="Y219" s="983">
        <v>8688</v>
      </c>
      <c r="Z219" s="1412">
        <f>IFERROR(VLOOKUP(C219, [6]條件!$A:$L, 3, 0), "")</f>
        <v>3.0573248407643314</v>
      </c>
      <c r="AA219" s="984">
        <f>IF(OR(L219={"改紡","檢修","了機","清車","FINAL","停機","SAMPLE","TEST","絲開發"}), L219, IFERROR(IF(C219="", "", (SUM(J219, N219, R219, V219)/3 * AG219) * IF(AND(AF219="S", AS219="雙"), 0.5, 1)), ""))</f>
        <v>21.666666666666668</v>
      </c>
      <c r="AB219" s="1413">
        <f t="shared" si="41"/>
        <v>0.99685496794871797</v>
      </c>
      <c r="AC219" s="984">
        <f>IF(OR(L219={"改紡","檢修","了機","清車","FINAL","停機","SAMPLE","TEST"}), "", IFERROR(IF(C219="", "", AVERAGE(L219:M219, P219:Q219, T219:U219, X219:Y219)/100), ""))</f>
        <v>89.34375</v>
      </c>
      <c r="AD219" s="984">
        <f t="shared" si="35"/>
        <v>2.7083333333333335</v>
      </c>
      <c r="AE219" s="984">
        <f t="shared" si="42"/>
        <v>2.625</v>
      </c>
      <c r="AF219" s="985" t="str">
        <f t="shared" si="36"/>
        <v>A</v>
      </c>
      <c r="AG219" s="1414">
        <v>1</v>
      </c>
      <c r="AH219" s="1002" t="s">
        <v>641</v>
      </c>
      <c r="AI219" s="1002" t="s">
        <v>829</v>
      </c>
      <c r="AJ219" s="986" t="s">
        <v>634</v>
      </c>
      <c r="AK219" s="981" t="s">
        <v>634</v>
      </c>
      <c r="AL219" s="1415">
        <v>48</v>
      </c>
      <c r="AM219" s="1323">
        <v>46145</v>
      </c>
      <c r="AN219" s="1323">
        <v>46146</v>
      </c>
      <c r="AO219" s="1323">
        <v>46147</v>
      </c>
      <c r="AP219" s="1323"/>
      <c r="AQ219" s="1323"/>
      <c r="AR219" s="987"/>
      <c r="AS219" s="978" t="str">
        <f t="shared" si="37"/>
        <v>單</v>
      </c>
      <c r="AT219" s="978" t="str">
        <f t="shared" si="38"/>
        <v>全</v>
      </c>
      <c r="AU219" s="978">
        <f t="shared" si="39"/>
        <v>150</v>
      </c>
      <c r="AV219" s="978">
        <f t="shared" si="40"/>
        <v>3.0105270000000002</v>
      </c>
    </row>
    <row r="220" spans="1:48">
      <c r="A220" s="975">
        <f t="shared" si="43"/>
        <v>46148</v>
      </c>
      <c r="B220" s="976" t="s">
        <v>226</v>
      </c>
      <c r="C220" s="976" t="s">
        <v>632</v>
      </c>
      <c r="D220" s="1410"/>
      <c r="E220" s="977" t="str">
        <f>IFERROR(VLOOKUP(C220, [6]條件!$A:$L, 5, 0), "")</f>
        <v/>
      </c>
      <c r="F220" s="978" t="str">
        <f>IFERROR(VLOOKUP(C220, [6]條件!$A:$L, 6, 0), "")</f>
        <v/>
      </c>
      <c r="G220" s="1411" t="str">
        <f>IFERROR(VLOOKUP(C220, [6]條件!$A:$L, 7, 0), "")</f>
        <v/>
      </c>
      <c r="H220" s="978" t="str">
        <f>IF(ISNA(VLOOKUP(C220,[6]條件!$A$1:$K$932,11,0)),"",(VLOOKUP(C220,[6]條件!$A$1:$K$932,11,0)))</f>
        <v/>
      </c>
      <c r="I220" s="979" t="str">
        <f>IF(ISNA(VLOOKUP(C220,[6]條件!$A$1:$L$932,12,0)),"",(VLOOKUP(C220,[6]條件!$A$1:$L$932,12,0)))</f>
        <v/>
      </c>
      <c r="J220" s="980"/>
      <c r="K220" s="980"/>
      <c r="L220" s="981" t="s">
        <v>632</v>
      </c>
      <c r="M220" s="981"/>
      <c r="N220" s="982"/>
      <c r="O220" s="980"/>
      <c r="P220" s="981" t="s">
        <v>632</v>
      </c>
      <c r="Q220" s="981"/>
      <c r="R220" s="982"/>
      <c r="S220" s="980"/>
      <c r="T220" s="981" t="s">
        <v>632</v>
      </c>
      <c r="U220" s="981"/>
      <c r="V220" s="982"/>
      <c r="W220" s="980"/>
      <c r="X220" s="981" t="s">
        <v>632</v>
      </c>
      <c r="Y220" s="983"/>
      <c r="Z220" s="1412" t="str">
        <f>IFERROR(VLOOKUP(C220, [6]條件!$A:$L, 3, 0), "")</f>
        <v/>
      </c>
      <c r="AA220" s="984" t="str">
        <f>IF(OR(L220={"改紡","檢修","了機","清車","FINAL","停機","SAMPLE","TEST","絲開發"}), L220, IFERROR(IF(C220="", "", (SUM(J220, N220, R220, V220)/3 * AG220) * IF(AND(AF220="S", AS220="雙"), 0.5, 1)), ""))</f>
        <v>停機</v>
      </c>
      <c r="AB220" s="1413" t="str">
        <f t="shared" si="41"/>
        <v/>
      </c>
      <c r="AC220" s="984" t="str">
        <f>IF(OR(L220={"改紡","檢修","了機","清車","FINAL","停機","SAMPLE","TEST"}), "", IFERROR(IF(C220="", "", AVERAGE(L220:M220, P220:Q220, T220:U220, X220:Y220)/100), ""))</f>
        <v/>
      </c>
      <c r="AD220" s="984" t="str">
        <f t="shared" si="35"/>
        <v/>
      </c>
      <c r="AE220" s="984" t="str">
        <f t="shared" si="42"/>
        <v/>
      </c>
      <c r="AF220" s="985" t="str">
        <f t="shared" si="36"/>
        <v>A</v>
      </c>
      <c r="AG220" s="1414">
        <v>1</v>
      </c>
      <c r="AH220" s="1002" t="s">
        <v>640</v>
      </c>
      <c r="AI220" s="1002" t="s">
        <v>640</v>
      </c>
      <c r="AJ220" s="986" t="s">
        <v>640</v>
      </c>
      <c r="AK220" s="981" t="s">
        <v>640</v>
      </c>
      <c r="AL220" s="1415"/>
      <c r="AM220" s="1323"/>
      <c r="AN220" s="1323"/>
      <c r="AO220" s="1323"/>
      <c r="AP220" s="1323"/>
      <c r="AQ220" s="1323"/>
      <c r="AR220" s="987"/>
      <c r="AS220" s="978" t="str">
        <f t="shared" si="37"/>
        <v>單</v>
      </c>
      <c r="AT220" s="978" t="str">
        <f t="shared" si="38"/>
        <v>全</v>
      </c>
      <c r="AU220" s="978" t="str">
        <f t="shared" si="39"/>
        <v/>
      </c>
      <c r="AV220" s="978" t="str">
        <f t="shared" si="40"/>
        <v/>
      </c>
    </row>
    <row r="221" spans="1:48">
      <c r="A221" s="975">
        <f t="shared" si="43"/>
        <v>46148</v>
      </c>
      <c r="B221" s="976" t="s">
        <v>227</v>
      </c>
      <c r="C221" s="976" t="s">
        <v>16712</v>
      </c>
      <c r="D221" s="1410"/>
      <c r="E221" s="977" t="str">
        <f>IFERROR(VLOOKUP(C221, [6]條件!$A:$L, 5, 0), "")</f>
        <v>100/36SDr</v>
      </c>
      <c r="F221" s="978" t="str">
        <f>IFERROR(VLOOKUP(C221, [6]條件!$A:$L, 6, 0), "")</f>
        <v>FP81384R</v>
      </c>
      <c r="G221" s="1411">
        <f>IFERROR(VLOOKUP(C221, [6]條件!$A:$L, 7, 0), "")</f>
        <v>700</v>
      </c>
      <c r="H221" s="978" t="str">
        <f>IF(ISNA(VLOOKUP(C221,[6]條件!$A$1:$K$932,11,0)),"",(VLOOKUP(C221,[6]條件!$A$1:$K$932,11,0)))</f>
        <v>白底紅三角</v>
      </c>
      <c r="I221" s="979">
        <f>IF(ISNA(VLOOKUP(C221,[6]條件!$A$1:$L$932,12,0)),"",(VLOOKUP(C221,[6]條件!$A$1:$L$932,12,0)))</f>
        <v>5</v>
      </c>
      <c r="J221" s="980">
        <v>10</v>
      </c>
      <c r="K221" s="980">
        <v>0</v>
      </c>
      <c r="L221" s="981">
        <v>7666</v>
      </c>
      <c r="M221" s="981">
        <v>7979</v>
      </c>
      <c r="N221" s="982">
        <v>12</v>
      </c>
      <c r="O221" s="980">
        <v>0</v>
      </c>
      <c r="P221" s="981">
        <v>7498</v>
      </c>
      <c r="Q221" s="981">
        <v>7907</v>
      </c>
      <c r="R221" s="982">
        <v>15</v>
      </c>
      <c r="S221" s="980">
        <v>0</v>
      </c>
      <c r="T221" s="981">
        <v>7525</v>
      </c>
      <c r="U221" s="981">
        <v>7884</v>
      </c>
      <c r="V221" s="982">
        <v>17</v>
      </c>
      <c r="W221" s="980">
        <v>0</v>
      </c>
      <c r="X221" s="981">
        <v>7556</v>
      </c>
      <c r="Y221" s="983">
        <v>8037</v>
      </c>
      <c r="Z221" s="1412">
        <f>IFERROR(VLOOKUP(C221, [6]條件!$A:$L, 3, 0), "")</f>
        <v>2.2187981510015407</v>
      </c>
      <c r="AA221" s="984">
        <f>IF(OR(L221={"改紡","檢修","了機","清車","FINAL","停機","SAMPLE","TEST","絲開發"}), L221, IFERROR(IF(C221="", "", (SUM(J221, N221, R221, V221)/3 * AG221) * IF(AND(AF221="S", AS221="雙"), 0.5, 1)), ""))</f>
        <v>18</v>
      </c>
      <c r="AB221" s="1413">
        <f t="shared" si="41"/>
        <v>1</v>
      </c>
      <c r="AC221" s="984">
        <f>IF(OR(L221={"改紡","檢修","了機","清車","FINAL","停機","SAMPLE","TEST"}), "", IFERROR(IF(C221="", "", AVERAGE(L221:M221, P221:Q221, T221:U221, X221:Y221)/100), ""))</f>
        <v>77.564999999999998</v>
      </c>
      <c r="AD221" s="984">
        <f t="shared" si="35"/>
        <v>2.25</v>
      </c>
      <c r="AE221" s="984">
        <f t="shared" si="42"/>
        <v>2.25</v>
      </c>
      <c r="AF221" s="985" t="str">
        <f t="shared" si="36"/>
        <v>A</v>
      </c>
      <c r="AG221" s="1414">
        <v>1</v>
      </c>
      <c r="AH221" s="1002" t="s">
        <v>629</v>
      </c>
      <c r="AI221" s="1002" t="s">
        <v>629</v>
      </c>
      <c r="AJ221" s="986" t="s">
        <v>15370</v>
      </c>
      <c r="AK221" s="981" t="s">
        <v>15370</v>
      </c>
      <c r="AL221" s="1415">
        <v>50</v>
      </c>
      <c r="AM221" s="1323">
        <v>46131</v>
      </c>
      <c r="AN221" s="1323">
        <v>46132</v>
      </c>
      <c r="AO221" s="1323">
        <v>46133</v>
      </c>
      <c r="AP221" s="1323">
        <v>46134</v>
      </c>
      <c r="AQ221" s="1323"/>
      <c r="AR221" s="987"/>
      <c r="AS221" s="978" t="str">
        <f t="shared" si="37"/>
        <v>單</v>
      </c>
      <c r="AT221" s="978" t="str">
        <f t="shared" si="38"/>
        <v>全</v>
      </c>
      <c r="AU221" s="978">
        <f t="shared" si="39"/>
        <v>100</v>
      </c>
      <c r="AV221" s="978">
        <f t="shared" si="40"/>
        <v>1.87645248</v>
      </c>
    </row>
    <row r="222" spans="1:48">
      <c r="A222" s="975">
        <f t="shared" si="43"/>
        <v>46148</v>
      </c>
      <c r="B222" s="976" t="s">
        <v>228</v>
      </c>
      <c r="C222" s="976" t="s">
        <v>632</v>
      </c>
      <c r="D222" s="1410"/>
      <c r="E222" s="977" t="str">
        <f>IFERROR(VLOOKUP(C222, [6]條件!$A:$L, 5, 0), "")</f>
        <v/>
      </c>
      <c r="F222" s="978" t="str">
        <f>IFERROR(VLOOKUP(C222, [6]條件!$A:$L, 6, 0), "")</f>
        <v/>
      </c>
      <c r="G222" s="1411" t="str">
        <f>IFERROR(VLOOKUP(C222, [6]條件!$A:$L, 7, 0), "")</f>
        <v/>
      </c>
      <c r="H222" s="978" t="str">
        <f>IF(ISNA(VLOOKUP(C222,[6]條件!$A$1:$K$932,11,0)),"",(VLOOKUP(C222,[6]條件!$A$1:$K$932,11,0)))</f>
        <v/>
      </c>
      <c r="I222" s="979" t="str">
        <f>IF(ISNA(VLOOKUP(C222,[6]條件!$A$1:$L$932,12,0)),"",(VLOOKUP(C222,[6]條件!$A$1:$L$932,12,0)))</f>
        <v/>
      </c>
      <c r="J222" s="980"/>
      <c r="K222" s="980"/>
      <c r="L222" s="981" t="s">
        <v>632</v>
      </c>
      <c r="M222" s="981"/>
      <c r="N222" s="982"/>
      <c r="O222" s="980"/>
      <c r="P222" s="981" t="s">
        <v>632</v>
      </c>
      <c r="Q222" s="981"/>
      <c r="R222" s="982"/>
      <c r="S222" s="980"/>
      <c r="T222" s="981" t="s">
        <v>632</v>
      </c>
      <c r="U222" s="981"/>
      <c r="V222" s="982"/>
      <c r="W222" s="980"/>
      <c r="X222" s="981" t="s">
        <v>632</v>
      </c>
      <c r="Y222" s="983"/>
      <c r="Z222" s="1412" t="str">
        <f>IFERROR(VLOOKUP(C222, [6]條件!$A:$L, 3, 0), "")</f>
        <v/>
      </c>
      <c r="AA222" s="984" t="str">
        <f>IF(OR(L222={"改紡","檢修","了機","清車","FINAL","停機","SAMPLE","TEST","絲開發"}), L222, IFERROR(IF(C222="", "", (SUM(J222, N222, R222, V222)/3 * AG222) * IF(AND(AF222="S", AS222="雙"), 0.5, 1)), ""))</f>
        <v>停機</v>
      </c>
      <c r="AB222" s="1413" t="str">
        <f t="shared" si="41"/>
        <v/>
      </c>
      <c r="AC222" s="984" t="str">
        <f>IF(OR(L222={"改紡","檢修","了機","清車","FINAL","停機","SAMPLE","TEST"}), "", IFERROR(IF(C222="", "", AVERAGE(L222:M222, P222:Q222, T222:U222, X222:Y222)/100), ""))</f>
        <v/>
      </c>
      <c r="AD222" s="984" t="str">
        <f t="shared" si="35"/>
        <v/>
      </c>
      <c r="AE222" s="984" t="str">
        <f t="shared" si="42"/>
        <v/>
      </c>
      <c r="AF222" s="985" t="str">
        <f t="shared" si="36"/>
        <v>A</v>
      </c>
      <c r="AG222" s="1414">
        <v>1</v>
      </c>
      <c r="AH222" s="1002" t="s">
        <v>640</v>
      </c>
      <c r="AI222" s="1002" t="s">
        <v>640</v>
      </c>
      <c r="AJ222" s="986" t="s">
        <v>640</v>
      </c>
      <c r="AK222" s="981" t="s">
        <v>640</v>
      </c>
      <c r="AL222" s="1420"/>
      <c r="AM222" s="1323"/>
      <c r="AN222" s="1323"/>
      <c r="AO222" s="1323"/>
      <c r="AP222" s="1323"/>
      <c r="AQ222" s="1323"/>
      <c r="AR222" s="987"/>
      <c r="AS222" s="978" t="str">
        <f t="shared" si="37"/>
        <v>單</v>
      </c>
      <c r="AT222" s="978" t="str">
        <f t="shared" si="38"/>
        <v>全</v>
      </c>
      <c r="AU222" s="978" t="str">
        <f t="shared" si="39"/>
        <v/>
      </c>
      <c r="AV222" s="978" t="str">
        <f t="shared" si="40"/>
        <v/>
      </c>
    </row>
    <row r="223" spans="1:48">
      <c r="A223" s="975">
        <f t="shared" si="43"/>
        <v>46148</v>
      </c>
      <c r="B223" s="976" t="s">
        <v>229</v>
      </c>
      <c r="C223" s="976" t="s">
        <v>632</v>
      </c>
      <c r="D223" s="1410"/>
      <c r="E223" s="977" t="str">
        <f>IFERROR(VLOOKUP(C223, [6]條件!$A:$L, 5, 0), "")</f>
        <v/>
      </c>
      <c r="F223" s="978" t="str">
        <f>IFERROR(VLOOKUP(C223, [6]條件!$A:$L, 6, 0), "")</f>
        <v/>
      </c>
      <c r="G223" s="1411" t="str">
        <f>IFERROR(VLOOKUP(C223, [6]條件!$A:$L, 7, 0), "")</f>
        <v/>
      </c>
      <c r="H223" s="978" t="str">
        <f>IF(ISNA(VLOOKUP(C223,[6]條件!$A$1:$K$932,11,0)),"",(VLOOKUP(C223,[6]條件!$A$1:$K$932,11,0)))</f>
        <v/>
      </c>
      <c r="I223" s="979" t="str">
        <f>IF(ISNA(VLOOKUP(C223,[6]條件!$A$1:$L$932,12,0)),"",(VLOOKUP(C223,[6]條件!$A$1:$L$932,12,0)))</f>
        <v/>
      </c>
      <c r="J223" s="980"/>
      <c r="K223" s="980"/>
      <c r="L223" s="981" t="s">
        <v>632</v>
      </c>
      <c r="M223" s="981"/>
      <c r="N223" s="982"/>
      <c r="O223" s="980"/>
      <c r="P223" s="981" t="s">
        <v>632</v>
      </c>
      <c r="Q223" s="981"/>
      <c r="R223" s="982"/>
      <c r="S223" s="980"/>
      <c r="T223" s="981" t="s">
        <v>632</v>
      </c>
      <c r="U223" s="981"/>
      <c r="V223" s="982"/>
      <c r="W223" s="980"/>
      <c r="X223" s="981" t="s">
        <v>632</v>
      </c>
      <c r="Y223" s="983"/>
      <c r="Z223" s="1412" t="str">
        <f>IFERROR(VLOOKUP(C223, [6]條件!$A:$L, 3, 0), "")</f>
        <v/>
      </c>
      <c r="AA223" s="984" t="str">
        <f>IF(OR(L223={"改紡","檢修","了機","清車","FINAL","停機","SAMPLE","TEST","絲開發"}), L223, IFERROR(IF(C223="", "", (SUM(J223, N223, R223, V223)/3 * AG223) * IF(AND(AF223="S", AS223="雙"), 0.5, 1)), ""))</f>
        <v>停機</v>
      </c>
      <c r="AB223" s="1413" t="str">
        <f t="shared" si="41"/>
        <v/>
      </c>
      <c r="AC223" s="984" t="str">
        <f>IF(OR(L223={"改紡","檢修","了機","清車","FINAL","停機","SAMPLE","TEST"}), "", IFERROR(IF(C223="", "", AVERAGE(L223:M223, P223:Q223, T223:U223, X223:Y223)/100), ""))</f>
        <v/>
      </c>
      <c r="AD223" s="984" t="str">
        <f t="shared" si="35"/>
        <v/>
      </c>
      <c r="AE223" s="984" t="str">
        <f t="shared" si="42"/>
        <v/>
      </c>
      <c r="AF223" s="985" t="str">
        <f t="shared" si="36"/>
        <v>A</v>
      </c>
      <c r="AG223" s="1414">
        <v>1</v>
      </c>
      <c r="AH223" s="1002" t="s">
        <v>640</v>
      </c>
      <c r="AI223" s="1002" t="s">
        <v>640</v>
      </c>
      <c r="AJ223" s="986" t="s">
        <v>640</v>
      </c>
      <c r="AK223" s="981" t="s">
        <v>640</v>
      </c>
      <c r="AL223" s="1421"/>
      <c r="AM223" s="1323"/>
      <c r="AN223" s="1323"/>
      <c r="AO223" s="1323"/>
      <c r="AP223" s="1323"/>
      <c r="AQ223" s="1323"/>
      <c r="AR223" s="987"/>
      <c r="AS223" s="978" t="str">
        <f t="shared" si="37"/>
        <v>單</v>
      </c>
      <c r="AT223" s="978" t="str">
        <f t="shared" si="38"/>
        <v>全</v>
      </c>
      <c r="AU223" s="978" t="str">
        <f t="shared" si="39"/>
        <v/>
      </c>
      <c r="AV223" s="978" t="str">
        <f t="shared" si="40"/>
        <v/>
      </c>
    </row>
    <row r="224" spans="1:48">
      <c r="A224" s="975">
        <f t="shared" si="43"/>
        <v>46148</v>
      </c>
      <c r="B224" s="976" t="s">
        <v>230</v>
      </c>
      <c r="C224" s="976" t="s">
        <v>16751</v>
      </c>
      <c r="D224" s="1410"/>
      <c r="E224" s="977" t="str">
        <f>IFERROR(VLOOKUP(C224, [6]條件!$A:$L, 5, 0), "")</f>
        <v>150/48/2GY5</v>
      </c>
      <c r="F224" s="978" t="str">
        <f>IFERROR(VLOOKUP(C224, [6]條件!$A:$L, 6, 0), "")</f>
        <v>FP02422×2</v>
      </c>
      <c r="G224" s="1411">
        <f>IFERROR(VLOOKUP(C224, [6]條件!$A:$L, 7, 0), "")</f>
        <v>600</v>
      </c>
      <c r="H224" s="978" t="str">
        <f>IF(ISNA(VLOOKUP(C224,[6]條件!$A$1:$K$932,11,0)),"",(VLOOKUP(C224,[6]條件!$A$1:$K$932,11,0)))</f>
        <v>白底紅星</v>
      </c>
      <c r="I224" s="979">
        <f>IF(ISNA(VLOOKUP(C224,[6]條件!$A$1:$L$932,12,0)),"",(VLOOKUP(C224,[6]條件!$A$1:$L$932,12,0)))</f>
        <v>4</v>
      </c>
      <c r="J224" s="980">
        <v>32</v>
      </c>
      <c r="K224" s="980">
        <v>0</v>
      </c>
      <c r="L224" s="981">
        <v>7451</v>
      </c>
      <c r="M224" s="981">
        <v>8461</v>
      </c>
      <c r="N224" s="982">
        <v>34</v>
      </c>
      <c r="O224" s="980">
        <v>0</v>
      </c>
      <c r="P224" s="981">
        <v>7375</v>
      </c>
      <c r="Q224" s="981">
        <v>9147</v>
      </c>
      <c r="R224" s="982">
        <v>16</v>
      </c>
      <c r="S224" s="980">
        <v>0</v>
      </c>
      <c r="T224" s="981">
        <v>7269</v>
      </c>
      <c r="U224" s="981">
        <v>9512</v>
      </c>
      <c r="V224" s="982">
        <v>22</v>
      </c>
      <c r="W224" s="980">
        <v>4</v>
      </c>
      <c r="X224" s="981">
        <v>7894</v>
      </c>
      <c r="Y224" s="983">
        <v>9673</v>
      </c>
      <c r="Z224" s="1412">
        <f>IFERROR(VLOOKUP(C224, [6]條件!$A:$L, 3, 0), "")</f>
        <v>6.9230769230769234</v>
      </c>
      <c r="AA224" s="984">
        <f>IF(OR(L224={"改紡","檢修","了機","清車","FINAL","停機","SAMPLE","TEST","絲開發"}), L224, IFERROR(IF(C224="", "", (SUM(J224, N224, R224, V224)/3 * AG224) * IF(AND(AF224="S", AS224="雙"), 0.5, 1)), ""))</f>
        <v>17.333333333333332</v>
      </c>
      <c r="AB224" s="1413">
        <f t="shared" si="41"/>
        <v>0.99722222222222223</v>
      </c>
      <c r="AC224" s="984">
        <f>IF(OR(L224={"改紡","檢修","了機","清車","FINAL","停機","SAMPLE","TEST"}), "", IFERROR(IF(C224="", "", AVERAGE(L224:M224, P224:Q224, T224:U224, X224:Y224)/100), ""))</f>
        <v>83.477500000000006</v>
      </c>
      <c r="AD224" s="984">
        <f t="shared" si="35"/>
        <v>2.1666666666666665</v>
      </c>
      <c r="AE224" s="984">
        <f t="shared" si="42"/>
        <v>2.0833333333333335</v>
      </c>
      <c r="AF224" s="985" t="str">
        <f t="shared" si="36"/>
        <v>A</v>
      </c>
      <c r="AG224" s="1414">
        <v>0.5</v>
      </c>
      <c r="AH224" s="1002" t="s">
        <v>629</v>
      </c>
      <c r="AI224" s="1002" t="s">
        <v>629</v>
      </c>
      <c r="AJ224" s="986" t="s">
        <v>629</v>
      </c>
      <c r="AK224" s="981" t="s">
        <v>629</v>
      </c>
      <c r="AL224" s="1415">
        <v>52</v>
      </c>
      <c r="AM224" s="1323">
        <v>46143</v>
      </c>
      <c r="AN224" s="1323">
        <v>46144</v>
      </c>
      <c r="AO224" s="1323">
        <v>46145</v>
      </c>
      <c r="AP224" s="1323">
        <v>46146</v>
      </c>
      <c r="AQ224" s="1323"/>
      <c r="AR224" s="987"/>
      <c r="AS224" s="978" t="str">
        <f t="shared" si="37"/>
        <v>雙</v>
      </c>
      <c r="AT224" s="978" t="str">
        <f t="shared" si="38"/>
        <v>全</v>
      </c>
      <c r="AU224" s="978">
        <f t="shared" si="39"/>
        <v>150</v>
      </c>
      <c r="AV224" s="978">
        <f t="shared" si="40"/>
        <v>2.5964841600000006</v>
      </c>
    </row>
    <row r="225" spans="1:48">
      <c r="A225" s="975">
        <f t="shared" si="43"/>
        <v>46148</v>
      </c>
      <c r="B225" s="976" t="s">
        <v>231</v>
      </c>
      <c r="C225" s="976" t="s">
        <v>632</v>
      </c>
      <c r="D225" s="1410"/>
      <c r="E225" s="977" t="str">
        <f>IFERROR(VLOOKUP(C225, [6]條件!$A:$L, 5, 0), "")</f>
        <v/>
      </c>
      <c r="F225" s="978" t="str">
        <f>IFERROR(VLOOKUP(C225, [6]條件!$A:$L, 6, 0), "")</f>
        <v/>
      </c>
      <c r="G225" s="1411" t="str">
        <f>IFERROR(VLOOKUP(C225, [6]條件!$A:$L, 7, 0), "")</f>
        <v/>
      </c>
      <c r="H225" s="978" t="str">
        <f>IF(ISNA(VLOOKUP(C225,[6]條件!$A$1:$K$932,11,0)),"",(VLOOKUP(C225,[6]條件!$A$1:$K$932,11,0)))</f>
        <v/>
      </c>
      <c r="I225" s="979" t="str">
        <f>IF(ISNA(VLOOKUP(C225,[6]條件!$A$1:$L$932,12,0)),"",(VLOOKUP(C225,[6]條件!$A$1:$L$932,12,0)))</f>
        <v/>
      </c>
      <c r="J225" s="980"/>
      <c r="K225" s="980"/>
      <c r="L225" s="981" t="s">
        <v>632</v>
      </c>
      <c r="M225" s="981"/>
      <c r="N225" s="982"/>
      <c r="O225" s="980"/>
      <c r="P225" s="981" t="s">
        <v>632</v>
      </c>
      <c r="Q225" s="981"/>
      <c r="R225" s="982"/>
      <c r="S225" s="980"/>
      <c r="T225" s="981" t="s">
        <v>632</v>
      </c>
      <c r="U225" s="981"/>
      <c r="V225" s="982"/>
      <c r="W225" s="980"/>
      <c r="X225" s="981" t="s">
        <v>632</v>
      </c>
      <c r="Y225" s="983"/>
      <c r="Z225" s="1412" t="str">
        <f>IFERROR(VLOOKUP(C225, [6]條件!$A:$L, 3, 0), "")</f>
        <v/>
      </c>
      <c r="AA225" s="984" t="str">
        <f>IF(OR(L225={"改紡","檢修","了機","清車","FINAL","停機","SAMPLE","TEST","絲開發"}), L225, IFERROR(IF(C225="", "", (SUM(J225, N225, R225, V225)/3 * AG225) * IF(AND(AF225="S", AS225="雙"), 0.5, 1)), ""))</f>
        <v>停機</v>
      </c>
      <c r="AB225" s="1413" t="str">
        <f t="shared" si="41"/>
        <v/>
      </c>
      <c r="AC225" s="984" t="str">
        <f>IF(OR(L225={"改紡","檢修","了機","清車","FINAL","停機","SAMPLE","TEST"}), "", IFERROR(IF(C225="", "", AVERAGE(L225:M225, P225:Q225, T225:U225, X225:Y225)/100), ""))</f>
        <v/>
      </c>
      <c r="AD225" s="984" t="str">
        <f t="shared" si="35"/>
        <v/>
      </c>
      <c r="AE225" s="984" t="str">
        <f t="shared" si="42"/>
        <v/>
      </c>
      <c r="AF225" s="985" t="str">
        <f t="shared" si="36"/>
        <v>J</v>
      </c>
      <c r="AG225" s="1414">
        <v>1</v>
      </c>
      <c r="AH225" s="1002" t="s">
        <v>640</v>
      </c>
      <c r="AI225" s="1002" t="s">
        <v>640</v>
      </c>
      <c r="AJ225" s="986" t="s">
        <v>640</v>
      </c>
      <c r="AK225" s="981" t="s">
        <v>640</v>
      </c>
      <c r="AL225" s="1415"/>
      <c r="AM225" s="1323"/>
      <c r="AN225" s="1323"/>
      <c r="AO225" s="1323"/>
      <c r="AP225" s="1323"/>
      <c r="AQ225" s="1323"/>
      <c r="AR225" s="987"/>
      <c r="AS225" s="978" t="str">
        <f t="shared" si="37"/>
        <v>單</v>
      </c>
      <c r="AT225" s="978" t="str">
        <f t="shared" si="38"/>
        <v>全</v>
      </c>
      <c r="AU225" s="978" t="str">
        <f t="shared" si="39"/>
        <v/>
      </c>
      <c r="AV225" s="978" t="str">
        <f t="shared" si="40"/>
        <v/>
      </c>
    </row>
    <row r="226" spans="1:48">
      <c r="A226" s="975">
        <f t="shared" si="43"/>
        <v>46148</v>
      </c>
      <c r="B226" s="976" t="s">
        <v>233</v>
      </c>
      <c r="C226" s="976" t="s">
        <v>16721</v>
      </c>
      <c r="D226" s="1410" t="s">
        <v>633</v>
      </c>
      <c r="E226" s="977" t="str">
        <f>IFERROR(VLOOKUP(C226, [6]條件!$A:$L, 5, 0), "")</f>
        <v>150/48/2SDr</v>
      </c>
      <c r="F226" s="978" t="str">
        <f>IFERROR(VLOOKUP(C226, [6]條件!$A:$L, 6, 0), "")</f>
        <v>FP82168R×2</v>
      </c>
      <c r="G226" s="1411">
        <f>IFERROR(VLOOKUP(C226, [6]條件!$A:$L, 7, 0), "")</f>
        <v>600</v>
      </c>
      <c r="H226" s="978" t="str">
        <f>IF(ISNA(VLOOKUP(C226,[6]條件!$A$1:$K$932,11,0)),"",(VLOOKUP(C226,[6]條件!$A$1:$K$932,11,0)))</f>
        <v>白紅愛心</v>
      </c>
      <c r="I226" s="979">
        <f>IF(ISNA(VLOOKUP(C226,[6]條件!$A$1:$L$932,12,0)),"",(VLOOKUP(C226,[6]條件!$A$1:$L$932,12,0)))</f>
        <v>5.5</v>
      </c>
      <c r="J226" s="980"/>
      <c r="K226" s="980"/>
      <c r="L226" s="981" t="s">
        <v>127</v>
      </c>
      <c r="M226" s="981"/>
      <c r="N226" s="982"/>
      <c r="O226" s="980"/>
      <c r="P226" s="981" t="s">
        <v>127</v>
      </c>
      <c r="Q226" s="981"/>
      <c r="R226" s="982"/>
      <c r="S226" s="980"/>
      <c r="T226" s="981" t="s">
        <v>127</v>
      </c>
      <c r="U226" s="981"/>
      <c r="V226" s="982"/>
      <c r="W226" s="980"/>
      <c r="X226" s="981" t="s">
        <v>127</v>
      </c>
      <c r="Y226" s="983"/>
      <c r="Z226" s="1412">
        <f>IFERROR(VLOOKUP(C226, [6]條件!$A:$L, 3, 0), "")</f>
        <v>5.0883392226148398</v>
      </c>
      <c r="AA226" s="984" t="str">
        <f>IF(OR(L226={"改紡","檢修","了機","清車","FINAL","停機","SAMPLE","TEST","絲開發"}), L226, IFERROR(IF(C226="", "", (SUM(J226, N226, R226, V226)/3 * AG226) * IF(AND(AF226="S", AS226="雙"), 0.5, 1)), ""))</f>
        <v>了機</v>
      </c>
      <c r="AB226" s="1413" t="str">
        <f t="shared" si="41"/>
        <v/>
      </c>
      <c r="AC226" s="984" t="str">
        <f>IF(OR(L226={"改紡","檢修","了機","清車","FINAL","停機","SAMPLE","TEST"}), "", IFERROR(IF(C226="", "", AVERAGE(L226:M226, P226:Q226, T226:U226, X226:Y226)/100), ""))</f>
        <v/>
      </c>
      <c r="AD226" s="984" t="str">
        <f t="shared" si="35"/>
        <v/>
      </c>
      <c r="AE226" s="984" t="str">
        <f t="shared" si="42"/>
        <v/>
      </c>
      <c r="AF226" s="985" t="str">
        <f t="shared" si="36"/>
        <v>J</v>
      </c>
      <c r="AG226" s="1414">
        <v>1</v>
      </c>
      <c r="AH226" s="1002" t="s">
        <v>815</v>
      </c>
      <c r="AI226" s="1002" t="s">
        <v>815</v>
      </c>
      <c r="AJ226" s="986" t="s">
        <v>15370</v>
      </c>
      <c r="AK226" s="981" t="s">
        <v>15370</v>
      </c>
      <c r="AL226" s="1415">
        <v>55</v>
      </c>
      <c r="AM226" s="1323">
        <v>46136</v>
      </c>
      <c r="AN226" s="1323">
        <v>46139</v>
      </c>
      <c r="AO226" s="1323">
        <v>46141</v>
      </c>
      <c r="AP226" s="1323">
        <v>46142</v>
      </c>
      <c r="AQ226" s="1323"/>
      <c r="AR226" s="987"/>
      <c r="AS226" s="978" t="str">
        <f t="shared" si="37"/>
        <v>雙</v>
      </c>
      <c r="AT226" s="978" t="str">
        <f t="shared" si="38"/>
        <v>全</v>
      </c>
      <c r="AU226" s="978">
        <f t="shared" si="39"/>
        <v>150</v>
      </c>
      <c r="AV226" s="978" t="str">
        <f t="shared" si="40"/>
        <v/>
      </c>
    </row>
    <row r="227" spans="1:48">
      <c r="A227" s="975">
        <f t="shared" si="43"/>
        <v>46148</v>
      </c>
      <c r="B227" s="976" t="s">
        <v>234</v>
      </c>
      <c r="C227" s="976" t="s">
        <v>632</v>
      </c>
      <c r="D227" s="1410"/>
      <c r="E227" s="977" t="str">
        <f>IFERROR(VLOOKUP(C227, [6]條件!$A:$L, 5, 0), "")</f>
        <v/>
      </c>
      <c r="F227" s="978" t="str">
        <f>IFERROR(VLOOKUP(C227, [6]條件!$A:$L, 6, 0), "")</f>
        <v/>
      </c>
      <c r="G227" s="1411" t="str">
        <f>IFERROR(VLOOKUP(C227, [6]條件!$A:$L, 7, 0), "")</f>
        <v/>
      </c>
      <c r="H227" s="978" t="str">
        <f>IF(ISNA(VLOOKUP(C227,[6]條件!$A$1:$K$932,11,0)),"",(VLOOKUP(C227,[6]條件!$A$1:$K$932,11,0)))</f>
        <v/>
      </c>
      <c r="I227" s="979" t="str">
        <f>IF(ISNA(VLOOKUP(C227,[6]條件!$A$1:$L$932,12,0)),"",(VLOOKUP(C227,[6]條件!$A$1:$L$932,12,0)))</f>
        <v/>
      </c>
      <c r="J227" s="980"/>
      <c r="K227" s="980"/>
      <c r="L227" s="981" t="s">
        <v>632</v>
      </c>
      <c r="M227" s="981"/>
      <c r="N227" s="982"/>
      <c r="O227" s="980"/>
      <c r="P227" s="981" t="s">
        <v>632</v>
      </c>
      <c r="Q227" s="981"/>
      <c r="R227" s="982"/>
      <c r="S227" s="980"/>
      <c r="T227" s="981" t="s">
        <v>632</v>
      </c>
      <c r="U227" s="981"/>
      <c r="V227" s="982"/>
      <c r="W227" s="980"/>
      <c r="X227" s="981" t="s">
        <v>632</v>
      </c>
      <c r="Y227" s="983"/>
      <c r="Z227" s="1412" t="str">
        <f>IFERROR(VLOOKUP(C227, [6]條件!$A:$L, 3, 0), "")</f>
        <v/>
      </c>
      <c r="AA227" s="984" t="str">
        <f>IF(OR(L227={"改紡","檢修","了機","清車","FINAL","停機","SAMPLE","TEST","絲開發"}), L227, IFERROR(IF(C227="", "", (SUM(J227, N227, R227, V227)/3 * AG227) * IF(AND(AF227="S", AS227="雙"), 0.5, 1)), ""))</f>
        <v>停機</v>
      </c>
      <c r="AB227" s="1413" t="str">
        <f t="shared" si="41"/>
        <v/>
      </c>
      <c r="AC227" s="984" t="str">
        <f>IF(OR(L227={"改紡","檢修","了機","清車","FINAL","停機","SAMPLE","TEST"}), "", IFERROR(IF(C227="", "", AVERAGE(L227:M227, P227:Q227, T227:U227, X227:Y227)/100), ""))</f>
        <v/>
      </c>
      <c r="AD227" s="984" t="str">
        <f t="shared" si="35"/>
        <v/>
      </c>
      <c r="AE227" s="984" t="str">
        <f t="shared" si="42"/>
        <v/>
      </c>
      <c r="AF227" s="985" t="str">
        <f t="shared" si="36"/>
        <v>J</v>
      </c>
      <c r="AG227" s="1414">
        <v>1</v>
      </c>
      <c r="AH227" s="1002" t="s">
        <v>640</v>
      </c>
      <c r="AI227" s="1002" t="s">
        <v>640</v>
      </c>
      <c r="AJ227" s="986" t="s">
        <v>640</v>
      </c>
      <c r="AK227" s="981" t="s">
        <v>640</v>
      </c>
      <c r="AL227" s="1415"/>
      <c r="AM227" s="1323"/>
      <c r="AN227" s="1323"/>
      <c r="AO227" s="1323"/>
      <c r="AP227" s="1323"/>
      <c r="AQ227" s="1323"/>
      <c r="AR227" s="987"/>
      <c r="AS227" s="978" t="str">
        <f t="shared" si="37"/>
        <v>單</v>
      </c>
      <c r="AT227" s="978" t="str">
        <f t="shared" si="38"/>
        <v>全</v>
      </c>
      <c r="AU227" s="978" t="str">
        <f t="shared" si="39"/>
        <v/>
      </c>
      <c r="AV227" s="978" t="str">
        <f t="shared" si="40"/>
        <v/>
      </c>
    </row>
    <row r="228" spans="1:48">
      <c r="A228" s="975">
        <f t="shared" si="43"/>
        <v>46148</v>
      </c>
      <c r="B228" s="976" t="s">
        <v>235</v>
      </c>
      <c r="C228" s="976" t="s">
        <v>16716</v>
      </c>
      <c r="D228" s="1410" t="s">
        <v>633</v>
      </c>
      <c r="E228" s="977" t="str">
        <f>IFERROR(VLOOKUP(C228, [6]條件!$A:$L, 5, 0), "")</f>
        <v>150/48/2SDr</v>
      </c>
      <c r="F228" s="978" t="str">
        <f>IFERROR(VLOOKUP(C228, [6]條件!$A:$L, 6, 0), "")</f>
        <v>FP82170R×2</v>
      </c>
      <c r="G228" s="1411">
        <f>IFERROR(VLOOKUP(C228, [6]條件!$A:$L, 7, 0), "")</f>
        <v>700</v>
      </c>
      <c r="H228" s="978" t="str">
        <f>IF(ISNA(VLOOKUP(C228,[6]條件!$A$1:$K$932,11,0)),"",(VLOOKUP(C228,[6]條件!$A$1:$K$932,11,0)))</f>
        <v>紫色</v>
      </c>
      <c r="I228" s="979">
        <f>IF(ISNA(VLOOKUP(C228,[6]條件!$A$1:$L$932,12,0)),"",(VLOOKUP(C228,[6]條件!$A$1:$L$932,12,0)))</f>
        <v>5.5</v>
      </c>
      <c r="J228" s="980"/>
      <c r="K228" s="980"/>
      <c r="L228" s="981" t="s">
        <v>628</v>
      </c>
      <c r="M228" s="981"/>
      <c r="N228" s="982"/>
      <c r="O228" s="980"/>
      <c r="P228" s="981" t="s">
        <v>628</v>
      </c>
      <c r="Q228" s="981"/>
      <c r="R228" s="982"/>
      <c r="S228" s="980"/>
      <c r="T228" s="981" t="s">
        <v>628</v>
      </c>
      <c r="U228" s="981"/>
      <c r="V228" s="982"/>
      <c r="W228" s="980"/>
      <c r="X228" s="981" t="s">
        <v>628</v>
      </c>
      <c r="Y228" s="983"/>
      <c r="Z228" s="1412">
        <f>IFERROR(VLOOKUP(C228, [6]條件!$A:$L, 3, 0), "")</f>
        <v>5.9016393442622928</v>
      </c>
      <c r="AA228" s="984" t="str">
        <f>IF(OR(L228={"改紡","檢修","了機","清車","FINAL","停機","SAMPLE","TEST","絲開發"}), L228, IFERROR(IF(C228="", "", (SUM(J228, N228, R228, V228)/3 * AG228) * IF(AND(AF228="S", AS228="雙"), 0.5, 1)), ""))</f>
        <v>清車</v>
      </c>
      <c r="AB228" s="1413" t="str">
        <f t="shared" si="41"/>
        <v/>
      </c>
      <c r="AC228" s="984" t="str">
        <f>IF(OR(L228={"改紡","檢修","了機","清車","FINAL","停機","SAMPLE","TEST"}), "", IFERROR(IF(C228="", "", AVERAGE(L228:M228, P228:Q228, T228:U228, X228:Y228)/100), ""))</f>
        <v/>
      </c>
      <c r="AD228" s="984" t="str">
        <f t="shared" si="35"/>
        <v/>
      </c>
      <c r="AE228" s="984" t="str">
        <f t="shared" si="42"/>
        <v/>
      </c>
      <c r="AF228" s="985" t="str">
        <f t="shared" si="36"/>
        <v>T</v>
      </c>
      <c r="AG228" s="1414">
        <v>1</v>
      </c>
      <c r="AH228" s="1002" t="s">
        <v>15337</v>
      </c>
      <c r="AI228" s="1002" t="s">
        <v>15337</v>
      </c>
      <c r="AJ228" s="986" t="s">
        <v>639</v>
      </c>
      <c r="AK228" s="981" t="s">
        <v>639</v>
      </c>
      <c r="AL228" s="1415"/>
      <c r="AM228" s="1323"/>
      <c r="AN228" s="1323"/>
      <c r="AO228" s="1323"/>
      <c r="AP228" s="1323"/>
      <c r="AQ228" s="1323"/>
      <c r="AR228" s="987"/>
      <c r="AS228" s="978" t="str">
        <f t="shared" si="37"/>
        <v>雙</v>
      </c>
      <c r="AT228" s="978" t="str">
        <f t="shared" si="38"/>
        <v>全</v>
      </c>
      <c r="AU228" s="978">
        <f t="shared" si="39"/>
        <v>150</v>
      </c>
      <c r="AV228" s="978" t="str">
        <f t="shared" si="40"/>
        <v/>
      </c>
    </row>
    <row r="229" spans="1:48">
      <c r="A229" s="975">
        <f t="shared" si="43"/>
        <v>46148</v>
      </c>
      <c r="B229" s="976" t="s">
        <v>237</v>
      </c>
      <c r="C229" s="976" t="s">
        <v>16759</v>
      </c>
      <c r="D229" s="1410" t="s">
        <v>633</v>
      </c>
      <c r="E229" s="977" t="str">
        <f>IFERROR(VLOOKUP(C229, [6]條件!$A:$L, 5, 0), "")</f>
        <v>150/48/2SDr</v>
      </c>
      <c r="F229" s="978" t="str">
        <f>IFERROR(VLOOKUP(C229, [6]條件!$A:$L, 6, 0), "")</f>
        <v>FP82171R×2</v>
      </c>
      <c r="G229" s="1411">
        <f>IFERROR(VLOOKUP(C229, [6]條件!$A:$L, 7, 0), "")</f>
        <v>700</v>
      </c>
      <c r="H229" s="978" t="str">
        <f>IF(ISNA(VLOOKUP(C229,[6]條件!$A$1:$K$932,11,0)),"",(VLOOKUP(C229,[6]條件!$A$1:$K$932,11,0)))</f>
        <v>紅底黃星</v>
      </c>
      <c r="I229" s="979">
        <f>IF(ISNA(VLOOKUP(C229,[6]條件!$A$1:$L$932,12,0)),"",(VLOOKUP(C229,[6]條件!$A$1:$L$932,12,0)))</f>
        <v>5.5</v>
      </c>
      <c r="J229" s="980">
        <v>33</v>
      </c>
      <c r="K229" s="980">
        <v>7</v>
      </c>
      <c r="L229" s="981">
        <v>9720</v>
      </c>
      <c r="M229" s="981">
        <v>9810</v>
      </c>
      <c r="N229" s="982">
        <v>13</v>
      </c>
      <c r="O229" s="980">
        <v>4</v>
      </c>
      <c r="P229" s="981">
        <v>9720</v>
      </c>
      <c r="Q229" s="981">
        <v>9810</v>
      </c>
      <c r="R229" s="982">
        <v>38</v>
      </c>
      <c r="S229" s="980">
        <v>0</v>
      </c>
      <c r="T229" s="981">
        <v>9540</v>
      </c>
      <c r="U229" s="981">
        <v>8611</v>
      </c>
      <c r="V229" s="982">
        <v>32</v>
      </c>
      <c r="W229" s="980">
        <v>0</v>
      </c>
      <c r="X229" s="981">
        <v>9630</v>
      </c>
      <c r="Y229" s="983">
        <v>9810</v>
      </c>
      <c r="Z229" s="1412">
        <f>IFERROR(VLOOKUP(C229, [6]條件!$A:$L, 3, 0), "")</f>
        <v>5.8299595141700413</v>
      </c>
      <c r="AA229" s="984">
        <f>IF(OR(L229={"改紡","檢修","了機","清車","FINAL","停機","SAMPLE","TEST","絲開發"}), L229, IFERROR(IF(C229="", "", (SUM(J229, N229, R229, V229)/3 * AG229) * IF(AND(AF229="S", AS229="雙"), 0.5, 1)), ""))</f>
        <v>38.666666666666664</v>
      </c>
      <c r="AB229" s="1413">
        <f t="shared" si="41"/>
        <v>0.99092881944444444</v>
      </c>
      <c r="AC229" s="984">
        <f>IF(OR(L229={"改紡","檢修","了機","清車","FINAL","停機","SAMPLE","TEST"}), "", IFERROR(IF(C229="", "", AVERAGE(L229:M229, P229:Q229, T229:U229, X229:Y229)/100), ""))</f>
        <v>95.813749999999999</v>
      </c>
      <c r="AD229" s="984">
        <f t="shared" si="35"/>
        <v>4.833333333333333</v>
      </c>
      <c r="AE229" s="984">
        <f t="shared" si="42"/>
        <v>4.375</v>
      </c>
      <c r="AF229" s="985" t="str">
        <f t="shared" si="36"/>
        <v>T</v>
      </c>
      <c r="AG229" s="1414">
        <v>1</v>
      </c>
      <c r="AH229" s="1002" t="s">
        <v>638</v>
      </c>
      <c r="AI229" s="1002" t="s">
        <v>638</v>
      </c>
      <c r="AJ229" s="986" t="s">
        <v>652</v>
      </c>
      <c r="AK229" s="981" t="s">
        <v>652</v>
      </c>
      <c r="AL229" s="1415">
        <v>55</v>
      </c>
      <c r="AM229" s="1323">
        <v>46143</v>
      </c>
      <c r="AN229" s="1323">
        <v>46144</v>
      </c>
      <c r="AO229" s="1323"/>
      <c r="AP229" s="1323"/>
      <c r="AQ229" s="1323"/>
      <c r="AR229" s="987"/>
      <c r="AS229" s="978" t="str">
        <f t="shared" si="37"/>
        <v>雙</v>
      </c>
      <c r="AT229" s="978" t="str">
        <f t="shared" si="38"/>
        <v>全</v>
      </c>
      <c r="AU229" s="978">
        <f t="shared" si="39"/>
        <v>150</v>
      </c>
      <c r="AV229" s="978">
        <f t="shared" si="40"/>
        <v>6.953778719999999</v>
      </c>
    </row>
    <row r="230" spans="1:48">
      <c r="A230" s="975">
        <f t="shared" si="43"/>
        <v>46148</v>
      </c>
      <c r="B230" s="976" t="s">
        <v>238</v>
      </c>
      <c r="C230" s="976" t="s">
        <v>16743</v>
      </c>
      <c r="D230" s="1410"/>
      <c r="E230" s="977" t="str">
        <f>IFERROR(VLOOKUP(C230, [6]條件!$A:$L, 5, 0), "")</f>
        <v>150/48/2SDr</v>
      </c>
      <c r="F230" s="978" t="str">
        <f>IFERROR(VLOOKUP(C230, [6]條件!$A:$L, 6, 0), "")</f>
        <v>FP82169R×2</v>
      </c>
      <c r="G230" s="1411">
        <f>IFERROR(VLOOKUP(C230, [6]條件!$A:$L, 7, 0), "")</f>
        <v>670</v>
      </c>
      <c r="H230" s="978" t="str">
        <f>IF(ISNA(VLOOKUP(C230,[6]條件!$A$1:$K$932,11,0)),"",(VLOOKUP(C230,[6]條件!$A$1:$K$932,11,0)))</f>
        <v>黃底紅點</v>
      </c>
      <c r="I230" s="979">
        <f>IF(ISNA(VLOOKUP(C230,[6]條件!$A$1:$L$932,12,0)),"",(VLOOKUP(C230,[6]條件!$A$1:$L$932,12,0)))</f>
        <v>5</v>
      </c>
      <c r="J230" s="980">
        <v>19</v>
      </c>
      <c r="K230" s="980">
        <v>0</v>
      </c>
      <c r="L230" s="981">
        <v>8330</v>
      </c>
      <c r="M230" s="981"/>
      <c r="N230" s="982">
        <v>14</v>
      </c>
      <c r="O230" s="980">
        <v>0</v>
      </c>
      <c r="P230" s="981">
        <v>9440</v>
      </c>
      <c r="Q230" s="981"/>
      <c r="R230" s="982">
        <v>13</v>
      </c>
      <c r="S230" s="980">
        <v>1</v>
      </c>
      <c r="T230" s="981">
        <v>9440</v>
      </c>
      <c r="U230" s="981"/>
      <c r="V230" s="982">
        <v>23</v>
      </c>
      <c r="W230" s="980">
        <v>0</v>
      </c>
      <c r="X230" s="981">
        <v>9440</v>
      </c>
      <c r="Y230" s="983"/>
      <c r="Z230" s="1412">
        <f>IFERROR(VLOOKUP(C230, [6]條件!$A:$L, 3, 0), "")</f>
        <v>6.2882096069868991</v>
      </c>
      <c r="AA230" s="984">
        <f>IF(OR(L230={"改紡","檢修","了機","清車","FINAL","停機","SAMPLE","TEST","絲開發"}), L230, IFERROR(IF(C230="", "", (SUM(J230, N230, R230, V230)/3 * AG230) * IF(AND(AF230="S", AS230="雙"), 0.5, 1)), ""))</f>
        <v>46</v>
      </c>
      <c r="AB230" s="1413">
        <f t="shared" si="41"/>
        <v>0.9992354433760684</v>
      </c>
      <c r="AC230" s="984">
        <f>IF(OR(L230={"改紡","檢修","了機","清車","FINAL","停機","SAMPLE","TEST"}), "", IFERROR(IF(C230="", "", AVERAGE(L230:M230, P230:Q230, T230:U230, X230:Y230)/100), ""))</f>
        <v>91.625</v>
      </c>
      <c r="AD230" s="984">
        <f t="shared" si="35"/>
        <v>5.75</v>
      </c>
      <c r="AE230" s="984">
        <f t="shared" si="42"/>
        <v>5.666666666666667</v>
      </c>
      <c r="AF230" s="985" t="str">
        <f t="shared" si="36"/>
        <v>T</v>
      </c>
      <c r="AG230" s="1414">
        <v>2</v>
      </c>
      <c r="AH230" s="1002" t="s">
        <v>15337</v>
      </c>
      <c r="AI230" s="1002" t="s">
        <v>15337</v>
      </c>
      <c r="AJ230" s="986" t="s">
        <v>639</v>
      </c>
      <c r="AK230" s="981" t="s">
        <v>639</v>
      </c>
      <c r="AL230" s="1415">
        <v>48</v>
      </c>
      <c r="AM230" s="1323">
        <v>46143</v>
      </c>
      <c r="AN230" s="1323">
        <v>46144</v>
      </c>
      <c r="AO230" s="1323">
        <v>46147</v>
      </c>
      <c r="AP230" s="1323"/>
      <c r="AQ230" s="1323"/>
      <c r="AR230" s="987"/>
      <c r="AS230" s="978" t="str">
        <f t="shared" si="37"/>
        <v>雙</v>
      </c>
      <c r="AT230" s="978" t="str">
        <f t="shared" si="38"/>
        <v>半</v>
      </c>
      <c r="AU230" s="978">
        <f t="shared" si="39"/>
        <v>150</v>
      </c>
      <c r="AV230" s="978">
        <f t="shared" si="40"/>
        <v>3.1823928000000001</v>
      </c>
    </row>
    <row r="231" spans="1:48">
      <c r="A231" s="975">
        <f t="shared" si="43"/>
        <v>46148</v>
      </c>
      <c r="B231" s="976" t="s">
        <v>238</v>
      </c>
      <c r="C231" s="976" t="s">
        <v>16742</v>
      </c>
      <c r="D231" s="1410"/>
      <c r="E231" s="977" t="str">
        <f>IFERROR(VLOOKUP(C231, [6]條件!$A:$L, 5, 0), "")</f>
        <v>150/48/2SDr</v>
      </c>
      <c r="F231" s="978" t="str">
        <f>IFERROR(VLOOKUP(C231, [6]條件!$A:$L, 6, 0), "")</f>
        <v>FP82169R×2</v>
      </c>
      <c r="G231" s="1411">
        <f>IFERROR(VLOOKUP(C231, [6]條件!$A:$L, 7, 0), "")</f>
        <v>670</v>
      </c>
      <c r="H231" s="978" t="str">
        <f>IF(ISNA(VLOOKUP(C231,[6]條件!$A$1:$K$932,11,0)),"",(VLOOKUP(C231,[6]條件!$A$1:$K$932,11,0)))</f>
        <v>紅底藍點</v>
      </c>
      <c r="I231" s="979">
        <f>IF(ISNA(VLOOKUP(C231,[6]條件!$A$1:$L$932,12,0)),"",(VLOOKUP(C231,[6]條件!$A$1:$L$932,12,0)))</f>
        <v>5</v>
      </c>
      <c r="J231" s="980">
        <v>35</v>
      </c>
      <c r="K231" s="980">
        <v>0</v>
      </c>
      <c r="L231" s="981">
        <v>9070</v>
      </c>
      <c r="M231" s="981"/>
      <c r="N231" s="982">
        <v>15</v>
      </c>
      <c r="O231" s="980">
        <v>0</v>
      </c>
      <c r="P231" s="981">
        <v>7961</v>
      </c>
      <c r="Q231" s="981"/>
      <c r="R231" s="982">
        <v>25</v>
      </c>
      <c r="S231" s="980">
        <v>3</v>
      </c>
      <c r="T231" s="981"/>
      <c r="U231" s="981">
        <v>9810</v>
      </c>
      <c r="V231" s="982">
        <v>24</v>
      </c>
      <c r="W231" s="980">
        <v>0</v>
      </c>
      <c r="X231" s="981"/>
      <c r="Y231" s="983">
        <v>9810</v>
      </c>
      <c r="Z231" s="1412">
        <f>IFERROR(VLOOKUP(C231, [6]條件!$A:$L, 3, 0), "")</f>
        <v>6.1802575107296125</v>
      </c>
      <c r="AA231" s="984">
        <f>IF(OR(L231={"改紡","檢修","了機","清車","FINAL","停機","SAMPLE","TEST","絲開發"}), L231, IFERROR(IF(C231="", "", (SUM(J231, N231, R231, V231)/3 * AG231) * IF(AND(AF231="S", AS231="雙"), 0.5, 1)), ""))</f>
        <v>66</v>
      </c>
      <c r="AB231" s="1413">
        <f t="shared" si="41"/>
        <v>0.99766626602564101</v>
      </c>
      <c r="AC231" s="984">
        <f>IF(OR(L231={"改紡","檢修","了機","清車","FINAL","停機","SAMPLE","TEST"}), "", IFERROR(IF(C231="", "", AVERAGE(L231:M231, P231:Q231, T231:U231, X231:Y231)/100), ""))</f>
        <v>91.627499999999998</v>
      </c>
      <c r="AD231" s="984">
        <f t="shared" si="35"/>
        <v>8.25</v>
      </c>
      <c r="AE231" s="984">
        <f t="shared" si="42"/>
        <v>8</v>
      </c>
      <c r="AF231" s="985" t="str">
        <f t="shared" si="36"/>
        <v>T</v>
      </c>
      <c r="AG231" s="1414">
        <v>2</v>
      </c>
      <c r="AH231" s="1002" t="s">
        <v>15337</v>
      </c>
      <c r="AI231" s="1002" t="s">
        <v>15337</v>
      </c>
      <c r="AJ231" s="986" t="s">
        <v>639</v>
      </c>
      <c r="AK231" s="981" t="s">
        <v>639</v>
      </c>
      <c r="AL231" s="1415">
        <v>48</v>
      </c>
      <c r="AM231" s="1323">
        <v>46145</v>
      </c>
      <c r="AN231" s="1323">
        <v>46146</v>
      </c>
      <c r="AO231" s="1323">
        <v>46147</v>
      </c>
      <c r="AP231" s="1323"/>
      <c r="AQ231" s="1323"/>
      <c r="AR231" s="987"/>
      <c r="AS231" s="978" t="str">
        <f t="shared" si="37"/>
        <v>雙</v>
      </c>
      <c r="AT231" s="978" t="str">
        <f t="shared" si="38"/>
        <v>半</v>
      </c>
      <c r="AU231" s="978">
        <f t="shared" si="39"/>
        <v>150</v>
      </c>
      <c r="AV231" s="978">
        <f t="shared" si="40"/>
        <v>3.1824796320000002</v>
      </c>
    </row>
    <row r="232" spans="1:48">
      <c r="A232" s="975">
        <f t="shared" si="43"/>
        <v>46148</v>
      </c>
      <c r="B232" s="976" t="s">
        <v>239</v>
      </c>
      <c r="C232" s="976" t="s">
        <v>16735</v>
      </c>
      <c r="D232" s="1410"/>
      <c r="E232" s="977" t="str">
        <f>IFERROR(VLOOKUP(C232, [6]條件!$A:$L, 5, 0), "")</f>
        <v>150/48/2SR6</v>
      </c>
      <c r="F232" s="978" t="str">
        <f>IFERROR(VLOOKUP(C232, [6]條件!$A:$L, 6, 0), "")</f>
        <v>FP82658×2</v>
      </c>
      <c r="G232" s="1411">
        <f>IFERROR(VLOOKUP(C232, [6]條件!$A:$L, 7, 0), "")</f>
        <v>600</v>
      </c>
      <c r="H232" s="978" t="str">
        <f>IF(ISNA(VLOOKUP(C232,[6]條件!$A$1:$K$932,11,0)),"",(VLOOKUP(C232,[6]條件!$A$1:$K$932,11,0)))</f>
        <v>黃底黑點</v>
      </c>
      <c r="I232" s="979">
        <f>IF(ISNA(VLOOKUP(C232,[6]條件!$A$1:$L$932,12,0)),"",(VLOOKUP(C232,[6]條件!$A$1:$L$932,12,0)))</f>
        <v>5.5</v>
      </c>
      <c r="J232" s="980"/>
      <c r="K232" s="980"/>
      <c r="L232" s="981" t="s">
        <v>127</v>
      </c>
      <c r="M232" s="981" t="s">
        <v>632</v>
      </c>
      <c r="N232" s="982"/>
      <c r="O232" s="980"/>
      <c r="P232" s="981" t="s">
        <v>632</v>
      </c>
      <c r="Q232" s="981" t="s">
        <v>127</v>
      </c>
      <c r="R232" s="982"/>
      <c r="S232" s="980"/>
      <c r="T232" s="981" t="s">
        <v>632</v>
      </c>
      <c r="U232" s="981" t="s">
        <v>127</v>
      </c>
      <c r="V232" s="982"/>
      <c r="W232" s="980"/>
      <c r="X232" s="981" t="s">
        <v>632</v>
      </c>
      <c r="Y232" s="983" t="s">
        <v>127</v>
      </c>
      <c r="Z232" s="1412">
        <f>IFERROR(VLOOKUP(C232, [6]條件!$A:$L, 3, 0), "")</f>
        <v>4.9655172413793105</v>
      </c>
      <c r="AA232" s="984" t="str">
        <f>IF(OR(L232={"改紡","檢修","了機","清車","FINAL","停機","SAMPLE","TEST","絲開發"}), L232, IFERROR(IF(C232="", "", (SUM(J232, N232, R232, V232)/3 * AG232) * IF(AND(AF232="S", AS232="雙"), 0.5, 1)), ""))</f>
        <v>了機</v>
      </c>
      <c r="AB232" s="1413" t="str">
        <f t="shared" si="41"/>
        <v/>
      </c>
      <c r="AC232" s="984" t="str">
        <f>IF(OR(L232={"改紡","檢修","了機","清車","FINAL","停機","SAMPLE","TEST"}), "", IFERROR(IF(C232="", "", AVERAGE(L232:M232, P232:Q232, T232:U232, X232:Y232)/100), ""))</f>
        <v/>
      </c>
      <c r="AD232" s="984" t="str">
        <f t="shared" si="35"/>
        <v/>
      </c>
      <c r="AE232" s="984" t="str">
        <f t="shared" si="42"/>
        <v/>
      </c>
      <c r="AF232" s="985" t="str">
        <f t="shared" si="36"/>
        <v>T</v>
      </c>
      <c r="AG232" s="1414">
        <v>2</v>
      </c>
      <c r="AH232" s="1002" t="s">
        <v>638</v>
      </c>
      <c r="AI232" s="1002" t="s">
        <v>638</v>
      </c>
      <c r="AJ232" s="986" t="s">
        <v>652</v>
      </c>
      <c r="AK232" s="1437" t="s">
        <v>652</v>
      </c>
      <c r="AL232" s="1415">
        <v>56</v>
      </c>
      <c r="AM232" s="1323">
        <v>46116</v>
      </c>
      <c r="AN232" s="1323">
        <v>46117</v>
      </c>
      <c r="AO232" s="1323">
        <v>46118</v>
      </c>
      <c r="AP232" s="1323"/>
      <c r="AQ232" s="1323"/>
      <c r="AR232" s="987"/>
      <c r="AS232" s="978" t="str">
        <f t="shared" si="37"/>
        <v>雙</v>
      </c>
      <c r="AT232" s="978" t="str">
        <f t="shared" si="38"/>
        <v>半</v>
      </c>
      <c r="AU232" s="978">
        <f t="shared" si="39"/>
        <v>150</v>
      </c>
      <c r="AV232" s="978" t="str">
        <f t="shared" si="40"/>
        <v/>
      </c>
    </row>
    <row r="233" spans="1:48">
      <c r="A233" s="975">
        <f t="shared" si="43"/>
        <v>46148</v>
      </c>
      <c r="B233" s="976" t="s">
        <v>388</v>
      </c>
      <c r="C233" s="976" t="s">
        <v>16730</v>
      </c>
      <c r="D233" s="1410" t="s">
        <v>633</v>
      </c>
      <c r="E233" s="977" t="str">
        <f>IFERROR(VLOOKUP(C233, [6]條件!$A:$L, 5, 0), "")</f>
        <v>225/72/2SDr</v>
      </c>
      <c r="F233" s="978" t="str">
        <f>IFERROR(VLOOKUP(C233, [6]條件!$A:$L, 6, 0), "")</f>
        <v>FP83024R×2</v>
      </c>
      <c r="G233" s="1411">
        <f>IFERROR(VLOOKUP(C233, [6]條件!$A:$L, 7, 0), "")</f>
        <v>550</v>
      </c>
      <c r="H233" s="978" t="str">
        <f>IF(ISNA(VLOOKUP(C233,[6]條件!$A$1:$K$932,11,0)),"",(VLOOKUP(C233,[6]條件!$A$1:$K$932,11,0)))</f>
        <v>灰色</v>
      </c>
      <c r="I233" s="979">
        <f>IF(ISNA(VLOOKUP(C233,[6]條件!$A$1:$L$932,12,0)),"",(VLOOKUP(C233,[6]條件!$A$1:$L$932,12,0)))</f>
        <v>5.5</v>
      </c>
      <c r="J233" s="980">
        <v>18</v>
      </c>
      <c r="K233" s="980">
        <v>0</v>
      </c>
      <c r="L233" s="981">
        <v>7410</v>
      </c>
      <c r="M233" s="981"/>
      <c r="N233" s="982">
        <v>7</v>
      </c>
      <c r="O233" s="980">
        <v>0</v>
      </c>
      <c r="P233" s="981">
        <v>6859</v>
      </c>
      <c r="Q233" s="981"/>
      <c r="R233" s="982">
        <v>13</v>
      </c>
      <c r="S233" s="980">
        <v>3</v>
      </c>
      <c r="T233" s="981">
        <v>7310</v>
      </c>
      <c r="U233" s="981"/>
      <c r="V233" s="982">
        <v>10</v>
      </c>
      <c r="W233" s="980">
        <v>1</v>
      </c>
      <c r="X233" s="981">
        <v>7040</v>
      </c>
      <c r="Y233" s="983"/>
      <c r="Z233" s="1412">
        <f>IFERROR(VLOOKUP(C233, [6]條件!$A:$L, 3, 0), "")</f>
        <v>6.6055045871559628</v>
      </c>
      <c r="AA233" s="984">
        <f>IF(OR(L233={"改紡","檢修","了機","清車","FINAL","停機","SAMPLE","TEST","絲開發"}), L233, IFERROR(IF(C233="", "", (SUM(J233, N233, R233, V233)/3 * AG233) * IF(AND(AF233="S", AS233="雙"), 0.5, 1)), ""))</f>
        <v>32</v>
      </c>
      <c r="AB233" s="1413">
        <f t="shared" si="41"/>
        <v>0.99708867521367517</v>
      </c>
      <c r="AC233" s="984">
        <f>IF(OR(L233={"改紡","檢修","了機","清車","FINAL","停機","SAMPLE","TEST"}), "", IFERROR(IF(C233="", "", AVERAGE(L233:M233, P233:Q233, T233:U233, X233:Y233)/100), ""))</f>
        <v>71.547499999999999</v>
      </c>
      <c r="AD233" s="984">
        <f t="shared" si="35"/>
        <v>4</v>
      </c>
      <c r="AE233" s="984">
        <f t="shared" si="42"/>
        <v>3.6666666666666665</v>
      </c>
      <c r="AF233" s="985" t="str">
        <f t="shared" si="36"/>
        <v>T</v>
      </c>
      <c r="AG233" s="1414">
        <v>2</v>
      </c>
      <c r="AH233" s="1002" t="s">
        <v>15337</v>
      </c>
      <c r="AI233" s="1002" t="s">
        <v>15337</v>
      </c>
      <c r="AJ233" s="986" t="s">
        <v>639</v>
      </c>
      <c r="AK233" s="1419" t="s">
        <v>639</v>
      </c>
      <c r="AL233" s="1415">
        <v>53</v>
      </c>
      <c r="AM233" s="1323">
        <v>46136</v>
      </c>
      <c r="AN233" s="1323"/>
      <c r="AO233" s="1323"/>
      <c r="AP233" s="1323"/>
      <c r="AQ233" s="1323"/>
      <c r="AR233" s="987"/>
      <c r="AS233" s="978" t="str">
        <f t="shared" si="37"/>
        <v>雙</v>
      </c>
      <c r="AT233" s="978" t="str">
        <f t="shared" si="38"/>
        <v>半</v>
      </c>
      <c r="AU233" s="978">
        <f t="shared" si="39"/>
        <v>225</v>
      </c>
      <c r="AV233" s="978">
        <f t="shared" si="40"/>
        <v>3.0599434799999998</v>
      </c>
    </row>
    <row r="234" spans="1:48">
      <c r="A234" s="975">
        <f t="shared" si="43"/>
        <v>46148</v>
      </c>
      <c r="B234" s="976" t="s">
        <v>388</v>
      </c>
      <c r="C234" s="976" t="s">
        <v>16736</v>
      </c>
      <c r="D234" s="1410" t="s">
        <v>633</v>
      </c>
      <c r="E234" s="977" t="str">
        <f>IFERROR(VLOOKUP(C234, [6]條件!$A:$L, 5, 0), "")</f>
        <v>150/48/2SDr</v>
      </c>
      <c r="F234" s="978" t="str">
        <f>IFERROR(VLOOKUP(C234, [6]條件!$A:$L, 6, 0), "")</f>
        <v>FP82170R×2</v>
      </c>
      <c r="G234" s="1411">
        <f>IFERROR(VLOOKUP(C234, [6]條件!$A:$L, 7, 0), "")</f>
        <v>700</v>
      </c>
      <c r="H234" s="978" t="str">
        <f>IF(ISNA(VLOOKUP(C234,[6]條件!$A$1:$K$932,11,0)),"",(VLOOKUP(C234,[6]條件!$A$1:$K$932,11,0)))</f>
        <v>粉紅</v>
      </c>
      <c r="I234" s="979">
        <f>IF(ISNA(VLOOKUP(C234,[6]條件!$A$1:$L$932,12,0)),"",(VLOOKUP(C234,[6]條件!$A$1:$L$932,12,0)))</f>
        <v>5.5</v>
      </c>
      <c r="J234" s="980">
        <v>22</v>
      </c>
      <c r="K234" s="980">
        <v>1</v>
      </c>
      <c r="L234" s="981">
        <v>9910</v>
      </c>
      <c r="M234" s="981"/>
      <c r="N234" s="982">
        <v>15</v>
      </c>
      <c r="O234" s="980">
        <v>0</v>
      </c>
      <c r="P234" s="981">
        <v>9910</v>
      </c>
      <c r="Q234" s="981"/>
      <c r="R234" s="982">
        <v>4</v>
      </c>
      <c r="S234" s="980">
        <v>0</v>
      </c>
      <c r="T234" s="981"/>
      <c r="U234" s="981">
        <v>9810</v>
      </c>
      <c r="V234" s="982">
        <v>27</v>
      </c>
      <c r="W234" s="980">
        <v>0</v>
      </c>
      <c r="X234" s="981"/>
      <c r="Y234" s="983">
        <v>8800</v>
      </c>
      <c r="Z234" s="1412">
        <f>IFERROR(VLOOKUP(C234, [6]條件!$A:$L, 3, 0), "")</f>
        <v>5.8775510204081636</v>
      </c>
      <c r="AA234" s="984">
        <f>IF(OR(L234={"改紡","檢修","了機","清車","FINAL","停機","SAMPLE","TEST","絲開發"}), L234, IFERROR(IF(C234="", "", (SUM(J234, N234, R234, V234)/3 * AG234) * IF(AND(AF234="S", AS234="雙"), 0.5, 1)), ""))</f>
        <v>45.333333333333336</v>
      </c>
      <c r="AB234" s="1413">
        <f t="shared" si="41"/>
        <v>0.9991820245726496</v>
      </c>
      <c r="AC234" s="984">
        <f>IF(OR(L234={"改紡","檢修","了機","清車","FINAL","停機","SAMPLE","TEST"}), "", IFERROR(IF(C234="", "", AVERAGE(L234:M234, P234:Q234, T234:U234, X234:Y234)/100), ""))</f>
        <v>96.075000000000003</v>
      </c>
      <c r="AD234" s="984">
        <f t="shared" si="35"/>
        <v>5.666666666666667</v>
      </c>
      <c r="AE234" s="984">
        <f t="shared" si="42"/>
        <v>5.583333333333333</v>
      </c>
      <c r="AF234" s="985" t="str">
        <f t="shared" si="36"/>
        <v>T</v>
      </c>
      <c r="AG234" s="1414">
        <v>2</v>
      </c>
      <c r="AH234" s="1002" t="s">
        <v>15337</v>
      </c>
      <c r="AI234" s="1002" t="s">
        <v>15337</v>
      </c>
      <c r="AJ234" s="986" t="s">
        <v>639</v>
      </c>
      <c r="AK234" s="981" t="s">
        <v>639</v>
      </c>
      <c r="AL234" s="1415">
        <v>56</v>
      </c>
      <c r="AM234" s="1323">
        <v>46143</v>
      </c>
      <c r="AN234" s="1323">
        <v>46144</v>
      </c>
      <c r="AO234" s="1323"/>
      <c r="AP234" s="1323"/>
      <c r="AQ234" s="1323"/>
      <c r="AR234" s="987"/>
      <c r="AS234" s="978" t="str">
        <f t="shared" si="37"/>
        <v>雙</v>
      </c>
      <c r="AT234" s="978" t="str">
        <f t="shared" si="38"/>
        <v>半</v>
      </c>
      <c r="AU234" s="978">
        <f t="shared" si="39"/>
        <v>150</v>
      </c>
      <c r="AV234" s="978">
        <f t="shared" si="40"/>
        <v>3.4863696000000002</v>
      </c>
    </row>
    <row r="235" spans="1:48">
      <c r="A235" s="975">
        <f t="shared" si="43"/>
        <v>46148</v>
      </c>
      <c r="B235" s="976" t="s">
        <v>417</v>
      </c>
      <c r="C235" s="976" t="s">
        <v>16718</v>
      </c>
      <c r="D235" s="1410" t="s">
        <v>633</v>
      </c>
      <c r="E235" s="977" t="str">
        <f>IFERROR(VLOOKUP(C235, [6]條件!$A:$L, 5, 0), "")</f>
        <v>150/48/2SDr</v>
      </c>
      <c r="F235" s="978" t="str">
        <f>IFERROR(VLOOKUP(C235, [6]條件!$A:$L, 6, 0), "")</f>
        <v>FP82170R×2</v>
      </c>
      <c r="G235" s="1411">
        <f>IFERROR(VLOOKUP(C235, [6]條件!$A:$L, 7, 0), "")</f>
        <v>700</v>
      </c>
      <c r="H235" s="978" t="str">
        <f>IF(ISNA(VLOOKUP(C235,[6]條件!$A$1:$K$932,11,0)),"",(VLOOKUP(C235,[6]條件!$A$1:$K$932,11,0)))</f>
        <v>黃黑條紋</v>
      </c>
      <c r="I235" s="979">
        <f>IF(ISNA(VLOOKUP(C235,[6]條件!$A$1:$L$932,12,0)),"",(VLOOKUP(C235,[6]條件!$A$1:$L$932,12,0)))</f>
        <v>5.5</v>
      </c>
      <c r="J235" s="980"/>
      <c r="K235" s="980"/>
      <c r="L235" s="981" t="s">
        <v>127</v>
      </c>
      <c r="M235" s="981"/>
      <c r="N235" s="982"/>
      <c r="O235" s="980"/>
      <c r="P235" s="981" t="s">
        <v>127</v>
      </c>
      <c r="Q235" s="981"/>
      <c r="R235" s="982"/>
      <c r="S235" s="980"/>
      <c r="T235" s="981" t="s">
        <v>127</v>
      </c>
      <c r="U235" s="981"/>
      <c r="V235" s="982"/>
      <c r="W235" s="980"/>
      <c r="X235" s="981" t="s">
        <v>632</v>
      </c>
      <c r="Y235" s="983"/>
      <c r="Z235" s="1412">
        <f>IFERROR(VLOOKUP(C235, [6]條件!$A:$L, 3, 0), "")</f>
        <v>5.8299595141700395</v>
      </c>
      <c r="AA235" s="984" t="str">
        <f>IF(OR(L235={"改紡","檢修","了機","清車","FINAL","停機","SAMPLE","TEST","絲開發"}), L235, IFERROR(IF(C235="", "", (SUM(J235, N235, R235, V235)/3 * AG235) * IF(AND(AF235="S", AS235="雙"), 0.5, 1)), ""))</f>
        <v>了機</v>
      </c>
      <c r="AB235" s="1413" t="str">
        <f t="shared" si="41"/>
        <v/>
      </c>
      <c r="AC235" s="984" t="str">
        <f>IF(OR(L235={"改紡","檢修","了機","清車","FINAL","停機","SAMPLE","TEST"}), "", IFERROR(IF(C235="", "", AVERAGE(L235:M235, P235:Q235, T235:U235, X235:Y235)/100), ""))</f>
        <v/>
      </c>
      <c r="AD235" s="984" t="str">
        <f t="shared" si="35"/>
        <v/>
      </c>
      <c r="AE235" s="984" t="str">
        <f t="shared" si="42"/>
        <v/>
      </c>
      <c r="AF235" s="985" t="str">
        <f t="shared" si="36"/>
        <v>T</v>
      </c>
      <c r="AG235" s="1414">
        <v>1</v>
      </c>
      <c r="AH235" s="1002" t="s">
        <v>638</v>
      </c>
      <c r="AI235" s="1002" t="s">
        <v>638</v>
      </c>
      <c r="AJ235" s="986" t="s">
        <v>652</v>
      </c>
      <c r="AK235" s="981" t="s">
        <v>652</v>
      </c>
      <c r="AL235" s="1415">
        <v>56</v>
      </c>
      <c r="AM235" s="1323">
        <v>46141</v>
      </c>
      <c r="AN235" s="1323">
        <v>46143</v>
      </c>
      <c r="AO235" s="1323">
        <v>46144</v>
      </c>
      <c r="AP235" s="1323"/>
      <c r="AQ235" s="1323"/>
      <c r="AR235" s="987"/>
      <c r="AS235" s="978" t="str">
        <f t="shared" si="37"/>
        <v>雙</v>
      </c>
      <c r="AT235" s="978" t="str">
        <f t="shared" si="38"/>
        <v>全</v>
      </c>
      <c r="AU235" s="978">
        <f t="shared" si="39"/>
        <v>150</v>
      </c>
      <c r="AV235" s="978" t="str">
        <f t="shared" si="40"/>
        <v/>
      </c>
    </row>
    <row r="236" spans="1:48">
      <c r="A236" s="975">
        <f t="shared" si="43"/>
        <v>46148</v>
      </c>
      <c r="B236" s="976" t="s">
        <v>240</v>
      </c>
      <c r="C236" s="988" t="s">
        <v>632</v>
      </c>
      <c r="D236" s="1410"/>
      <c r="E236" s="977" t="str">
        <f>IFERROR(VLOOKUP(C236, [6]條件!$A:$L, 5, 0), "")</f>
        <v/>
      </c>
      <c r="F236" s="978" t="str">
        <f>IFERROR(VLOOKUP(C236, [6]條件!$A:$L, 6, 0), "")</f>
        <v/>
      </c>
      <c r="G236" s="1411" t="str">
        <f>IFERROR(VLOOKUP(C236, [6]條件!$A:$L, 7, 0), "")</f>
        <v/>
      </c>
      <c r="H236" s="978" t="str">
        <f>IF(ISNA(VLOOKUP(C236,[6]條件!$A$1:$K$932,11,0)),"",(VLOOKUP(C236,[6]條件!$A$1:$K$932,11,0)))</f>
        <v/>
      </c>
      <c r="I236" s="979" t="str">
        <f>IF(ISNA(VLOOKUP(C236,[6]條件!$A$1:$L$932,12,0)),"",(VLOOKUP(C236,[6]條件!$A$1:$L$932,12,0)))</f>
        <v/>
      </c>
      <c r="J236" s="980"/>
      <c r="K236" s="980"/>
      <c r="L236" s="981" t="s">
        <v>632</v>
      </c>
      <c r="M236" s="981"/>
      <c r="N236" s="982"/>
      <c r="O236" s="980"/>
      <c r="P236" s="981" t="s">
        <v>632</v>
      </c>
      <c r="Q236" s="981"/>
      <c r="R236" s="982"/>
      <c r="S236" s="980"/>
      <c r="T236" s="981" t="s">
        <v>632</v>
      </c>
      <c r="U236" s="981"/>
      <c r="V236" s="982"/>
      <c r="W236" s="980"/>
      <c r="X236" s="981" t="s">
        <v>632</v>
      </c>
      <c r="Y236" s="983"/>
      <c r="Z236" s="1422" t="str">
        <f>IFERROR(VLOOKUP(C236, [6]條件!$A:$L, 3, 0), "")</f>
        <v/>
      </c>
      <c r="AA236" s="1167" t="str">
        <f>IF(OR(L236={"改紡","檢修","了機","清車","FINAL","停機","SAMPLE","TEST","絲開發"}), L236, IFERROR(IF(C236="", "", (SUM(J236, N236, R236, V236)/3 * AG236) * IF(AND(AF236="S", AS236="雙"), 0.5, 1)), ""))</f>
        <v>停機</v>
      </c>
      <c r="AB236" s="1423" t="str">
        <f>IF(K236="","",IF(ISERROR(1-((SUM(K236,O236,S236,W236)/((AG236*12)-(AG236*0.44)))/Z236)),"",(1-((SUM(K236,O236,S236,W236)/((AG236*12)-(AG236*0.44)))/Z236))))</f>
        <v/>
      </c>
      <c r="AC236" s="1167" t="str">
        <f>IF(OR(L236={"改紡","檢修","了機","清車","FINAL","停機","SAMPLE","TEST"}), "", IFERROR(IF(C236="", "", AVERAGE(L236:M236, P236:Q236, T236:U236, X236:Y236)/100), ""))</f>
        <v/>
      </c>
      <c r="AD236" s="1167" t="str">
        <f t="shared" si="35"/>
        <v/>
      </c>
      <c r="AE236" s="1167" t="str">
        <f>IF(P236="了機","",IF(J236="","",IF(ISERROR((SUM(J236,N236,R236,V236)-SUM(K236,O236,S236,W236))/24),"",((SUM(J236,N236,R236,V236)-SUM(K236,O236,S236,W236))/24))))</f>
        <v/>
      </c>
      <c r="AF236" s="1168" t="str">
        <f t="shared" si="36"/>
        <v>S</v>
      </c>
      <c r="AG236" s="1424">
        <v>12</v>
      </c>
      <c r="AH236" s="1002" t="s">
        <v>640</v>
      </c>
      <c r="AI236" s="1002" t="s">
        <v>640</v>
      </c>
      <c r="AJ236" s="986" t="s">
        <v>640</v>
      </c>
      <c r="AK236" s="981" t="s">
        <v>640</v>
      </c>
      <c r="AL236" s="1415"/>
      <c r="AM236" s="1323"/>
      <c r="AN236" s="1323"/>
      <c r="AO236" s="1323"/>
      <c r="AP236" s="1323"/>
      <c r="AQ236" s="1323"/>
      <c r="AR236" s="987"/>
      <c r="AS236" s="978" t="str">
        <f t="shared" si="37"/>
        <v>單</v>
      </c>
      <c r="AT236" s="978" t="str">
        <f t="shared" si="38"/>
        <v>12sec</v>
      </c>
      <c r="AU236" s="978" t="str">
        <f t="shared" si="39"/>
        <v/>
      </c>
      <c r="AV236" s="978" t="str">
        <f t="shared" si="40"/>
        <v/>
      </c>
    </row>
    <row r="237" spans="1:48">
      <c r="A237" s="975">
        <f t="shared" si="43"/>
        <v>46148</v>
      </c>
      <c r="B237" s="976" t="s">
        <v>242</v>
      </c>
      <c r="C237" s="976" t="s">
        <v>385</v>
      </c>
      <c r="D237" s="1410"/>
      <c r="E237" s="977" t="str">
        <f>IFERROR(VLOOKUP(C237, [6]條件!$A:$L, 5, 0), "")</f>
        <v/>
      </c>
      <c r="F237" s="978" t="str">
        <f>IFERROR(VLOOKUP(C237, [6]條件!$A:$L, 6, 0), "")</f>
        <v/>
      </c>
      <c r="G237" s="1411" t="str">
        <f>IFERROR(VLOOKUP(C237, [6]條件!$A:$L, 7, 0), "")</f>
        <v/>
      </c>
      <c r="H237" s="978" t="str">
        <f>IF(ISNA(VLOOKUP(C237,[6]條件!$A$1:$K$932,11,0)),"",(VLOOKUP(C237,[6]條件!$A$1:$K$932,11,0)))</f>
        <v/>
      </c>
      <c r="I237" s="979" t="str">
        <f>IF(ISNA(VLOOKUP(C237,[6]條件!$A$1:$L$932,12,0)),"",(VLOOKUP(C237,[6]條件!$A$1:$L$932,12,0)))</f>
        <v/>
      </c>
      <c r="J237" s="980"/>
      <c r="K237" s="980"/>
      <c r="L237" s="981" t="s">
        <v>385</v>
      </c>
      <c r="M237" s="981"/>
      <c r="N237" s="982"/>
      <c r="O237" s="980"/>
      <c r="P237" s="981" t="s">
        <v>385</v>
      </c>
      <c r="Q237" s="981"/>
      <c r="R237" s="982"/>
      <c r="S237" s="980"/>
      <c r="T237" s="981" t="s">
        <v>385</v>
      </c>
      <c r="U237" s="981"/>
      <c r="V237" s="982"/>
      <c r="W237" s="980"/>
      <c r="X237" s="981" t="s">
        <v>385</v>
      </c>
      <c r="Y237" s="983"/>
      <c r="Z237" s="1422" t="str">
        <f>IFERROR(VLOOKUP(C237, [6]條件!$A:$L, 3, 0), "")</f>
        <v/>
      </c>
      <c r="AA237" s="1167" t="str">
        <f>IF(OR(L237={"改紡","檢修","了機","清車","FINAL","停機","SAMPLE","TEST","絲開發"}), L237, IFERROR(IF(C237="", "", (SUM(J237, N237, R237, V237)/3 * AG237) * IF(AND(AF237="S", AS237="雙"), 0.5, 1)), ""))</f>
        <v>絲開發</v>
      </c>
      <c r="AB237" s="1423" t="str">
        <f>IF(K237="","",IF(ISERROR(1-((SUM(K237,O237,S237,W237)/((AG237*12)-(AG237*0.44)))/Z237)),"",(1-((SUM(K237,O237,S237,W237)/((AG237*12)-(AG237*0.44)))/Z237))))</f>
        <v/>
      </c>
      <c r="AC237" s="1167" t="str">
        <f>IF(OR(L237={"改紡","檢修","了機","清車","FINAL","停機","SAMPLE","TEST"}), "", IFERROR(IF(C237="", "", AVERAGE(L237:M237, P237:Q237, T237:U237, X237:Y237)/100), ""))</f>
        <v/>
      </c>
      <c r="AD237" s="1167" t="str">
        <f t="shared" si="35"/>
        <v/>
      </c>
      <c r="AE237" s="1167" t="str">
        <f>IF(P237="了機","",IF(J237="","",IF(ISERROR((SUM(J237,N237,R237,V237)-SUM(K237,O237,S237,W237))/24),"",((SUM(J237,N237,R237,V237)-SUM(K237,O237,S237,W237))/24))))</f>
        <v/>
      </c>
      <c r="AF237" s="1168" t="str">
        <f t="shared" si="36"/>
        <v>S</v>
      </c>
      <c r="AG237" s="1424">
        <v>5</v>
      </c>
      <c r="AH237" s="1002" t="s">
        <v>815</v>
      </c>
      <c r="AI237" s="1002" t="s">
        <v>815</v>
      </c>
      <c r="AJ237" s="986" t="s">
        <v>15370</v>
      </c>
      <c r="AK237" s="981" t="s">
        <v>15370</v>
      </c>
      <c r="AL237" s="1415"/>
      <c r="AM237" s="1323"/>
      <c r="AN237" s="1323"/>
      <c r="AO237" s="1323"/>
      <c r="AP237" s="1323"/>
      <c r="AQ237" s="1323"/>
      <c r="AR237" s="987"/>
      <c r="AS237" s="978" t="str">
        <f t="shared" si="37"/>
        <v>單</v>
      </c>
      <c r="AT237" s="978" t="str">
        <f t="shared" si="38"/>
        <v>5sec</v>
      </c>
      <c r="AU237" s="978" t="str">
        <f t="shared" si="39"/>
        <v/>
      </c>
      <c r="AV237" s="978" t="str">
        <f t="shared" si="40"/>
        <v/>
      </c>
    </row>
    <row r="238" spans="1:48">
      <c r="A238" s="975">
        <f t="shared" si="43"/>
        <v>46148</v>
      </c>
      <c r="B238" s="976" t="s">
        <v>16078</v>
      </c>
      <c r="C238" s="988" t="s">
        <v>16185</v>
      </c>
      <c r="D238" s="1410"/>
      <c r="E238" s="977" t="str">
        <f>IFERROR(VLOOKUP(C238, [6]條件!$A:$L, 5, 0), "")</f>
        <v/>
      </c>
      <c r="F238" s="978" t="str">
        <f>IFERROR(VLOOKUP(C238, [6]條件!$A:$L, 6, 0), "")</f>
        <v/>
      </c>
      <c r="G238" s="1411" t="str">
        <f>IFERROR(VLOOKUP(C238, [6]條件!$A:$L, 7, 0), "")</f>
        <v/>
      </c>
      <c r="H238" s="978" t="str">
        <f>IF(ISNA(VLOOKUP(C238,[6]條件!$A$1:$K$932,11,0)),"",(VLOOKUP(C238,[6]條件!$A$1:$K$932,11,0)))</f>
        <v/>
      </c>
      <c r="I238" s="979" t="str">
        <f>IF(ISNA(VLOOKUP(C238,[6]條件!$A$1:$L$932,12,0)),"",(VLOOKUP(C238,[6]條件!$A$1:$L$932,12,0)))</f>
        <v/>
      </c>
      <c r="J238" s="980"/>
      <c r="K238" s="980"/>
      <c r="L238" s="981" t="s">
        <v>632</v>
      </c>
      <c r="M238" s="981"/>
      <c r="N238" s="982"/>
      <c r="O238" s="980"/>
      <c r="P238" s="981" t="s">
        <v>632</v>
      </c>
      <c r="Q238" s="981"/>
      <c r="R238" s="982"/>
      <c r="S238" s="980"/>
      <c r="T238" s="981" t="s">
        <v>632</v>
      </c>
      <c r="U238" s="981"/>
      <c r="V238" s="982"/>
      <c r="W238" s="980"/>
      <c r="X238" s="981" t="s">
        <v>632</v>
      </c>
      <c r="Y238" s="983"/>
      <c r="Z238" s="1412" t="str">
        <f>IFERROR(VLOOKUP(C238, [6]條件!$A:$L, 3, 0), "")</f>
        <v/>
      </c>
      <c r="AA238" s="984" t="str">
        <f>IF(OR(L238={"改紡","檢修","了機","清車","FINAL","停機","SAMPLE","TEST","絲開發"}), L238, IFERROR(IF(C238="", "", (SUM(J238, N238, R238, V238)/3 * AG238) * IF(AND(AF238="S", AS238="雙"), 0.5, 1)), ""))</f>
        <v>停機</v>
      </c>
      <c r="AB238" s="1413" t="str">
        <f t="shared" ref="AB238:AB275" si="44">IF(K238="","",IF(ISERROR(1-(SUM(K238,O238,S238,W238)/208/Z238)),"",(1-(SUM(K238,O238,S238,W238)/208/Z238))))</f>
        <v/>
      </c>
      <c r="AC238" s="984" t="str">
        <f>IF(OR(L238={"改紡","檢修","了機","清車","FINAL","停機","SAMPLE","TEST"}), "", IFERROR(IF(C238="", "", AVERAGE(L238:M238, P238:Q238, T238:U238, X238:Y238)/100), ""))</f>
        <v/>
      </c>
      <c r="AD238" s="984" t="str">
        <f t="shared" si="35"/>
        <v/>
      </c>
      <c r="AE238" s="984" t="str">
        <f>IF(OR(L238="改紡", L238="檢修", L238="了機"), "",
   IF(AND(C238&lt;&gt;"", J238&lt;&gt;""),
      IFERROR((SUM(J238, N238, R238, V238) - SUM(K238, O238, S238, W238))/24 * AG238, ""),
   "")
)</f>
        <v/>
      </c>
      <c r="AF238" s="985" t="str">
        <f t="shared" si="36"/>
        <v>M</v>
      </c>
      <c r="AG238" s="1414">
        <v>1</v>
      </c>
      <c r="AH238" s="1002" t="s">
        <v>640</v>
      </c>
      <c r="AI238" s="1002" t="s">
        <v>640</v>
      </c>
      <c r="AJ238" s="986" t="s">
        <v>640</v>
      </c>
      <c r="AK238" s="981" t="s">
        <v>640</v>
      </c>
      <c r="AL238" s="1415"/>
      <c r="AM238" s="1323"/>
      <c r="AN238" s="1323"/>
      <c r="AO238" s="1323"/>
      <c r="AP238" s="1323"/>
      <c r="AQ238" s="1323"/>
      <c r="AR238" s="987"/>
      <c r="AS238" s="978" t="str">
        <f t="shared" si="37"/>
        <v>單</v>
      </c>
      <c r="AT238" s="978" t="str">
        <f t="shared" si="38"/>
        <v>全</v>
      </c>
      <c r="AU238" s="978" t="str">
        <f t="shared" si="39"/>
        <v/>
      </c>
      <c r="AV238" s="978" t="str">
        <f t="shared" si="40"/>
        <v/>
      </c>
    </row>
    <row r="239" spans="1:48">
      <c r="A239" s="975">
        <f t="shared" si="43"/>
        <v>46148</v>
      </c>
      <c r="B239" s="976" t="s">
        <v>243</v>
      </c>
      <c r="C239" s="988" t="s">
        <v>16185</v>
      </c>
      <c r="D239" s="1410"/>
      <c r="E239" s="977" t="str">
        <f>IFERROR(VLOOKUP(C239, [6]條件!$A:$L, 5, 0), "")</f>
        <v/>
      </c>
      <c r="F239" s="978" t="str">
        <f>IFERROR(VLOOKUP(C239, [6]條件!$A:$L, 6, 0), "")</f>
        <v/>
      </c>
      <c r="G239" s="1411" t="str">
        <f>IFERROR(VLOOKUP(C239, [6]條件!$A:$L, 7, 0), "")</f>
        <v/>
      </c>
      <c r="H239" s="978" t="str">
        <f>IF(ISNA(VLOOKUP(C239,[6]條件!$A$1:$K$932,11,0)),"",(VLOOKUP(C239,[6]條件!$A$1:$K$932,11,0)))</f>
        <v/>
      </c>
      <c r="I239" s="979" t="str">
        <f>IF(ISNA(VLOOKUP(C239,[6]條件!$A$1:$L$932,12,0)),"",(VLOOKUP(C239,[6]條件!$A$1:$L$932,12,0)))</f>
        <v/>
      </c>
      <c r="J239" s="980"/>
      <c r="K239" s="980"/>
      <c r="L239" s="981" t="s">
        <v>632</v>
      </c>
      <c r="M239" s="981"/>
      <c r="N239" s="982"/>
      <c r="O239" s="980"/>
      <c r="P239" s="981" t="s">
        <v>632</v>
      </c>
      <c r="Q239" s="981"/>
      <c r="R239" s="982"/>
      <c r="S239" s="980"/>
      <c r="T239" s="981" t="s">
        <v>632</v>
      </c>
      <c r="U239" s="981"/>
      <c r="V239" s="982"/>
      <c r="W239" s="980"/>
      <c r="X239" s="981" t="s">
        <v>632</v>
      </c>
      <c r="Y239" s="983"/>
      <c r="Z239" s="1412" t="str">
        <f>IFERROR(VLOOKUP(C239, [6]條件!$A:$L, 3, 0), "")</f>
        <v/>
      </c>
      <c r="AA239" s="984" t="str">
        <f>IF(OR(L239={"改紡","檢修","了機","清車","FINAL","停機","SAMPLE","TEST","絲開發"}), L239, IFERROR(IF(C239="", "", (SUM(J239, N239, R239, V239)/3 * AG239) * IF(AND(AF239="S", AS239="雙"), 0.5, 1)), ""))</f>
        <v>停機</v>
      </c>
      <c r="AB239" s="1413" t="str">
        <f t="shared" si="44"/>
        <v/>
      </c>
      <c r="AC239" s="984" t="str">
        <f>IF(OR(L239={"改紡","檢修","了機","清車","FINAL","停機","SAMPLE","TEST"}), "", IFERROR(IF(C239="", "", AVERAGE(L239:M239, P239:Q239, T239:U239, X239:Y239)/100), ""))</f>
        <v/>
      </c>
      <c r="AD239" s="984" t="str">
        <f t="shared" si="35"/>
        <v/>
      </c>
      <c r="AE239" s="984" t="str">
        <f t="shared" ref="AE239:AE275" si="45">IF(OR(L239="改紡", L239="檢修", L239="了機"), "",
IF(AND(C239&lt;&gt;"", J239&lt;&gt;""),
IFERROR((SUM(J239, N239, R239, V239) - SUM(K239, O239, S239, W239))/24 * AG239, ""),
"")
)</f>
        <v/>
      </c>
      <c r="AF239" s="985" t="str">
        <f t="shared" si="36"/>
        <v>M</v>
      </c>
      <c r="AG239" s="1414">
        <v>1</v>
      </c>
      <c r="AH239" s="1002" t="s">
        <v>640</v>
      </c>
      <c r="AI239" s="1002" t="s">
        <v>640</v>
      </c>
      <c r="AJ239" s="986" t="s">
        <v>640</v>
      </c>
      <c r="AK239" s="1417" t="s">
        <v>640</v>
      </c>
      <c r="AL239" s="1415"/>
      <c r="AM239" s="1323"/>
      <c r="AN239" s="1323"/>
      <c r="AO239" s="1323"/>
      <c r="AP239" s="1323"/>
      <c r="AQ239" s="1323"/>
      <c r="AR239" s="987"/>
      <c r="AS239" s="978" t="str">
        <f t="shared" si="37"/>
        <v>單</v>
      </c>
      <c r="AT239" s="978" t="str">
        <f t="shared" si="38"/>
        <v>全</v>
      </c>
      <c r="AU239" s="978" t="str">
        <f t="shared" si="39"/>
        <v/>
      </c>
      <c r="AV239" s="978" t="str">
        <f t="shared" si="40"/>
        <v/>
      </c>
    </row>
    <row r="240" spans="1:48">
      <c r="A240" s="975">
        <f t="shared" si="43"/>
        <v>46148</v>
      </c>
      <c r="B240" s="976" t="s">
        <v>244</v>
      </c>
      <c r="C240" s="988" t="s">
        <v>16185</v>
      </c>
      <c r="D240" s="1410"/>
      <c r="E240" s="977" t="str">
        <f>IFERROR(VLOOKUP(C240, [6]條件!$A:$L, 5, 0), "")</f>
        <v/>
      </c>
      <c r="F240" s="978" t="str">
        <f>IFERROR(VLOOKUP(C240, [6]條件!$A:$L, 6, 0), "")</f>
        <v/>
      </c>
      <c r="G240" s="1411" t="str">
        <f>IFERROR(VLOOKUP(C240, [6]條件!$A:$L, 7, 0), "")</f>
        <v/>
      </c>
      <c r="H240" s="978" t="str">
        <f>IF(ISNA(VLOOKUP(C240,[6]條件!$A$1:$K$932,11,0)),"",(VLOOKUP(C240,[6]條件!$A$1:$K$932,11,0)))</f>
        <v/>
      </c>
      <c r="I240" s="979" t="str">
        <f>IF(ISNA(VLOOKUP(C240,[6]條件!$A$1:$L$932,12,0)),"",(VLOOKUP(C240,[6]條件!$A$1:$L$932,12,0)))</f>
        <v/>
      </c>
      <c r="J240" s="980"/>
      <c r="K240" s="980"/>
      <c r="L240" s="981" t="s">
        <v>632</v>
      </c>
      <c r="M240" s="981"/>
      <c r="N240" s="982"/>
      <c r="O240" s="980"/>
      <c r="P240" s="981" t="s">
        <v>632</v>
      </c>
      <c r="Q240" s="981"/>
      <c r="R240" s="982"/>
      <c r="S240" s="980"/>
      <c r="T240" s="981" t="s">
        <v>632</v>
      </c>
      <c r="U240" s="981"/>
      <c r="V240" s="982"/>
      <c r="W240" s="980"/>
      <c r="X240" s="981" t="s">
        <v>632</v>
      </c>
      <c r="Y240" s="983"/>
      <c r="Z240" s="1412" t="str">
        <f>IFERROR(VLOOKUP(C240, [6]條件!$A:$L, 3, 0), "")</f>
        <v/>
      </c>
      <c r="AA240" s="984" t="str">
        <f>IF(OR(L240={"改紡","檢修","了機","清車","FINAL","停機","SAMPLE","TEST","絲開發"}), L240, IFERROR(IF(C240="", "", (SUM(J240, N240, R240, V240)/3 * AG240) * IF(AND(AF240="S", AS240="雙"), 0.5, 1)), ""))</f>
        <v>停機</v>
      </c>
      <c r="AB240" s="1413" t="str">
        <f t="shared" si="44"/>
        <v/>
      </c>
      <c r="AC240" s="984" t="str">
        <f>IF(OR(L240={"改紡","檢修","了機","清車","FINAL","停機","SAMPLE","TEST"}), "", IFERROR(IF(C240="", "", AVERAGE(L240:M240, P240:Q240, T240:U240, X240:Y240)/100), ""))</f>
        <v/>
      </c>
      <c r="AD240" s="984" t="str">
        <f t="shared" si="35"/>
        <v/>
      </c>
      <c r="AE240" s="984" t="str">
        <f t="shared" si="45"/>
        <v/>
      </c>
      <c r="AF240" s="985" t="str">
        <f t="shared" si="36"/>
        <v>M</v>
      </c>
      <c r="AG240" s="1414">
        <v>1</v>
      </c>
      <c r="AH240" s="1002" t="s">
        <v>640</v>
      </c>
      <c r="AI240" s="1002" t="s">
        <v>640</v>
      </c>
      <c r="AJ240" s="986" t="s">
        <v>640</v>
      </c>
      <c r="AK240" s="1417" t="s">
        <v>640</v>
      </c>
      <c r="AL240" s="1415"/>
      <c r="AM240" s="1323"/>
      <c r="AN240" s="1323"/>
      <c r="AO240" s="1323"/>
      <c r="AP240" s="1323"/>
      <c r="AQ240" s="1323"/>
      <c r="AR240" s="987"/>
      <c r="AS240" s="978" t="str">
        <f t="shared" si="37"/>
        <v>單</v>
      </c>
      <c r="AT240" s="978" t="str">
        <f t="shared" si="38"/>
        <v>全</v>
      </c>
      <c r="AU240" s="978" t="str">
        <f t="shared" si="39"/>
        <v/>
      </c>
      <c r="AV240" s="978" t="str">
        <f t="shared" si="40"/>
        <v/>
      </c>
    </row>
    <row r="241" spans="1:48">
      <c r="A241" s="975">
        <f t="shared" si="43"/>
        <v>46148</v>
      </c>
      <c r="B241" s="976" t="s">
        <v>245</v>
      </c>
      <c r="C241" s="988" t="s">
        <v>16185</v>
      </c>
      <c r="D241" s="1410"/>
      <c r="E241" s="977" t="str">
        <f>IFERROR(VLOOKUP(C241, [6]條件!$A:$L, 5, 0), "")</f>
        <v/>
      </c>
      <c r="F241" s="978" t="str">
        <f>IFERROR(VLOOKUP(C241, [6]條件!$A:$L, 6, 0), "")</f>
        <v/>
      </c>
      <c r="G241" s="1411" t="str">
        <f>IFERROR(VLOOKUP(C241, [6]條件!$A:$L, 7, 0), "")</f>
        <v/>
      </c>
      <c r="H241" s="978" t="str">
        <f>IF(ISNA(VLOOKUP(C241,[6]條件!$A$1:$K$932,11,0)),"",(VLOOKUP(C241,[6]條件!$A$1:$K$932,11,0)))</f>
        <v/>
      </c>
      <c r="I241" s="979" t="str">
        <f>IF(ISNA(VLOOKUP(C241,[6]條件!$A$1:$L$932,12,0)),"",(VLOOKUP(C241,[6]條件!$A$1:$L$932,12,0)))</f>
        <v/>
      </c>
      <c r="J241" s="980"/>
      <c r="K241" s="980"/>
      <c r="L241" s="981" t="s">
        <v>632</v>
      </c>
      <c r="M241" s="981"/>
      <c r="N241" s="982"/>
      <c r="O241" s="980"/>
      <c r="P241" s="981" t="s">
        <v>632</v>
      </c>
      <c r="Q241" s="981"/>
      <c r="R241" s="982"/>
      <c r="S241" s="980"/>
      <c r="T241" s="981" t="s">
        <v>632</v>
      </c>
      <c r="U241" s="981"/>
      <c r="V241" s="982"/>
      <c r="W241" s="980"/>
      <c r="X241" s="981" t="s">
        <v>632</v>
      </c>
      <c r="Y241" s="983"/>
      <c r="Z241" s="1412" t="str">
        <f>IFERROR(VLOOKUP(C241, [6]條件!$A:$L, 3, 0), "")</f>
        <v/>
      </c>
      <c r="AA241" s="984" t="str">
        <f>IF(OR(L241={"改紡","檢修","了機","清車","FINAL","停機","SAMPLE","TEST","絲開發"}), L241, IFERROR(IF(C241="", "", (SUM(J241, N241, R241, V241)/3 * AG241) * IF(AND(AF241="S", AS241="雙"), 0.5, 1)), ""))</f>
        <v>停機</v>
      </c>
      <c r="AB241" s="1413" t="str">
        <f t="shared" si="44"/>
        <v/>
      </c>
      <c r="AC241" s="984" t="str">
        <f>IF(OR(L241={"改紡","檢修","了機","清車","FINAL","停機","SAMPLE","TEST"}), "", IFERROR(IF(C241="", "", AVERAGE(L241:M241, P241:Q241, T241:U241, X241:Y241)/100), ""))</f>
        <v/>
      </c>
      <c r="AD241" s="984" t="str">
        <f t="shared" si="35"/>
        <v/>
      </c>
      <c r="AE241" s="984" t="str">
        <f t="shared" si="45"/>
        <v/>
      </c>
      <c r="AF241" s="985" t="str">
        <f t="shared" si="36"/>
        <v>M</v>
      </c>
      <c r="AG241" s="1414">
        <v>1</v>
      </c>
      <c r="AH241" s="1002" t="s">
        <v>640</v>
      </c>
      <c r="AI241" s="1002" t="s">
        <v>640</v>
      </c>
      <c r="AJ241" s="986" t="s">
        <v>640</v>
      </c>
      <c r="AK241" s="1417" t="s">
        <v>640</v>
      </c>
      <c r="AL241" s="1415"/>
      <c r="AM241" s="1323"/>
      <c r="AN241" s="1323"/>
      <c r="AO241" s="1323"/>
      <c r="AP241" s="1323"/>
      <c r="AQ241" s="1323"/>
      <c r="AR241" s="987"/>
      <c r="AS241" s="978" t="str">
        <f t="shared" si="37"/>
        <v>單</v>
      </c>
      <c r="AT241" s="978" t="str">
        <f t="shared" si="38"/>
        <v>全</v>
      </c>
      <c r="AU241" s="978" t="str">
        <f t="shared" si="39"/>
        <v/>
      </c>
      <c r="AV241" s="978" t="str">
        <f t="shared" si="40"/>
        <v/>
      </c>
    </row>
    <row r="242" spans="1:48">
      <c r="A242" s="975">
        <f t="shared" si="43"/>
        <v>46148</v>
      </c>
      <c r="B242" s="976" t="s">
        <v>246</v>
      </c>
      <c r="C242" s="988" t="s">
        <v>16185</v>
      </c>
      <c r="D242" s="1410"/>
      <c r="E242" s="977" t="str">
        <f>IFERROR(VLOOKUP(C242, [6]條件!$A:$L, 5, 0), "")</f>
        <v/>
      </c>
      <c r="F242" s="978" t="str">
        <f>IFERROR(VLOOKUP(C242, [6]條件!$A:$L, 6, 0), "")</f>
        <v/>
      </c>
      <c r="G242" s="1411" t="str">
        <f>IFERROR(VLOOKUP(C242, [6]條件!$A:$L, 7, 0), "")</f>
        <v/>
      </c>
      <c r="H242" s="978" t="str">
        <f>IF(ISNA(VLOOKUP(C242,[6]條件!$A$1:$K$932,11,0)),"",(VLOOKUP(C242,[6]條件!$A$1:$K$932,11,0)))</f>
        <v/>
      </c>
      <c r="I242" s="979" t="str">
        <f>IF(ISNA(VLOOKUP(C242,[6]條件!$A$1:$L$932,12,0)),"",(VLOOKUP(C242,[6]條件!$A$1:$L$932,12,0)))</f>
        <v/>
      </c>
      <c r="J242" s="980"/>
      <c r="K242" s="980"/>
      <c r="L242" s="981" t="s">
        <v>632</v>
      </c>
      <c r="M242" s="981"/>
      <c r="N242" s="982"/>
      <c r="O242" s="980"/>
      <c r="P242" s="981" t="s">
        <v>632</v>
      </c>
      <c r="Q242" s="981"/>
      <c r="R242" s="982"/>
      <c r="S242" s="980"/>
      <c r="T242" s="981" t="s">
        <v>632</v>
      </c>
      <c r="U242" s="981"/>
      <c r="V242" s="982"/>
      <c r="W242" s="980"/>
      <c r="X242" s="981" t="s">
        <v>632</v>
      </c>
      <c r="Y242" s="983"/>
      <c r="Z242" s="1412" t="str">
        <f>IFERROR(VLOOKUP(C242, [6]條件!$A:$L, 3, 0), "")</f>
        <v/>
      </c>
      <c r="AA242" s="984" t="str">
        <f>IF(OR(L242={"改紡","檢修","了機","清車","FINAL","停機","SAMPLE","TEST","絲開發"}), L242, IFERROR(IF(C242="", "", (SUM(J242, N242, R242, V242)/3 * AG242) * IF(AND(AF242="S", AS242="雙"), 0.5, 1)), ""))</f>
        <v>停機</v>
      </c>
      <c r="AB242" s="1413" t="str">
        <f t="shared" si="44"/>
        <v/>
      </c>
      <c r="AC242" s="984" t="str">
        <f>IF(OR(L242={"改紡","檢修","了機","清車","FINAL","停機","SAMPLE","TEST"}), "", IFERROR(IF(C242="", "", AVERAGE(L242:M242, P242:Q242, T242:U242, X242:Y242)/100), ""))</f>
        <v/>
      </c>
      <c r="AD242" s="984" t="str">
        <f t="shared" si="35"/>
        <v/>
      </c>
      <c r="AE242" s="984" t="str">
        <f t="shared" si="45"/>
        <v/>
      </c>
      <c r="AF242" s="985" t="str">
        <f t="shared" si="36"/>
        <v>M</v>
      </c>
      <c r="AG242" s="1414">
        <v>1</v>
      </c>
      <c r="AH242" s="1002" t="s">
        <v>640</v>
      </c>
      <c r="AI242" s="1002" t="s">
        <v>640</v>
      </c>
      <c r="AJ242" s="986" t="s">
        <v>640</v>
      </c>
      <c r="AK242" s="1417" t="s">
        <v>640</v>
      </c>
      <c r="AL242" s="1415"/>
      <c r="AM242" s="1323"/>
      <c r="AN242" s="1323"/>
      <c r="AO242" s="1323"/>
      <c r="AP242" s="1323"/>
      <c r="AQ242" s="1323"/>
      <c r="AR242" s="987"/>
      <c r="AS242" s="978" t="str">
        <f t="shared" si="37"/>
        <v>單</v>
      </c>
      <c r="AT242" s="978" t="str">
        <f t="shared" si="38"/>
        <v>全</v>
      </c>
      <c r="AU242" s="978" t="str">
        <f t="shared" si="39"/>
        <v/>
      </c>
      <c r="AV242" s="978" t="str">
        <f t="shared" si="40"/>
        <v/>
      </c>
    </row>
    <row r="243" spans="1:48">
      <c r="A243" s="975">
        <f t="shared" si="43"/>
        <v>46148</v>
      </c>
      <c r="B243" s="976" t="s">
        <v>247</v>
      </c>
      <c r="C243" s="988" t="s">
        <v>16185</v>
      </c>
      <c r="D243" s="1410"/>
      <c r="E243" s="977" t="str">
        <f>IFERROR(VLOOKUP(C243, [6]條件!$A:$L, 5, 0), "")</f>
        <v/>
      </c>
      <c r="F243" s="978" t="str">
        <f>IFERROR(VLOOKUP(C243, [6]條件!$A:$L, 6, 0), "")</f>
        <v/>
      </c>
      <c r="G243" s="1411" t="str">
        <f>IFERROR(VLOOKUP(C243, [6]條件!$A:$L, 7, 0), "")</f>
        <v/>
      </c>
      <c r="H243" s="978" t="str">
        <f>IF(ISNA(VLOOKUP(C243,[6]條件!$A$1:$K$932,11,0)),"",(VLOOKUP(C243,[6]條件!$A$1:$K$932,11,0)))</f>
        <v/>
      </c>
      <c r="I243" s="979" t="str">
        <f>IF(ISNA(VLOOKUP(C243,[6]條件!$A$1:$L$932,12,0)),"",(VLOOKUP(C243,[6]條件!$A$1:$L$932,12,0)))</f>
        <v/>
      </c>
      <c r="J243" s="980"/>
      <c r="K243" s="980"/>
      <c r="L243" s="981" t="s">
        <v>632</v>
      </c>
      <c r="M243" s="981"/>
      <c r="N243" s="982"/>
      <c r="O243" s="980"/>
      <c r="P243" s="981" t="s">
        <v>632</v>
      </c>
      <c r="Q243" s="981"/>
      <c r="R243" s="982"/>
      <c r="S243" s="980"/>
      <c r="T243" s="981" t="s">
        <v>632</v>
      </c>
      <c r="U243" s="981"/>
      <c r="V243" s="982"/>
      <c r="W243" s="980"/>
      <c r="X243" s="981" t="s">
        <v>632</v>
      </c>
      <c r="Y243" s="983"/>
      <c r="Z243" s="1412" t="str">
        <f>IFERROR(VLOOKUP(C243, [6]條件!$A:$L, 3, 0), "")</f>
        <v/>
      </c>
      <c r="AA243" s="984" t="str">
        <f>IF(OR(L243={"改紡","檢修","了機","清車","FINAL","停機","SAMPLE","TEST","絲開發"}), L243, IFERROR(IF(C243="", "", (SUM(J243, N243, R243, V243)/3 * AG243) * IF(AND(AF243="S", AS243="雙"), 0.5, 1)), ""))</f>
        <v>停機</v>
      </c>
      <c r="AB243" s="1413" t="str">
        <f t="shared" si="44"/>
        <v/>
      </c>
      <c r="AC243" s="984" t="str">
        <f>IF(OR(L243={"改紡","檢修","了機","清車","FINAL","停機","SAMPLE","TEST"}), "", IFERROR(IF(C243="", "", AVERAGE(L243:M243, P243:Q243, T243:U243, X243:Y243)/100), ""))</f>
        <v/>
      </c>
      <c r="AD243" s="984" t="str">
        <f t="shared" si="35"/>
        <v/>
      </c>
      <c r="AE243" s="984" t="str">
        <f t="shared" si="45"/>
        <v/>
      </c>
      <c r="AF243" s="985" t="str">
        <f t="shared" si="36"/>
        <v>M</v>
      </c>
      <c r="AG243" s="1414">
        <v>1</v>
      </c>
      <c r="AH243" s="1002" t="s">
        <v>640</v>
      </c>
      <c r="AI243" s="1002" t="s">
        <v>640</v>
      </c>
      <c r="AJ243" s="986" t="s">
        <v>640</v>
      </c>
      <c r="AK243" s="1417" t="s">
        <v>640</v>
      </c>
      <c r="AL243" s="1415"/>
      <c r="AM243" s="1323"/>
      <c r="AN243" s="1323"/>
      <c r="AO243" s="1323"/>
      <c r="AP243" s="1323"/>
      <c r="AQ243" s="1323"/>
      <c r="AR243" s="987"/>
      <c r="AS243" s="978" t="str">
        <f t="shared" si="37"/>
        <v>單</v>
      </c>
      <c r="AT243" s="978" t="str">
        <f t="shared" si="38"/>
        <v>全</v>
      </c>
      <c r="AU243" s="978" t="str">
        <f t="shared" si="39"/>
        <v/>
      </c>
      <c r="AV243" s="978" t="str">
        <f t="shared" si="40"/>
        <v/>
      </c>
    </row>
    <row r="244" spans="1:48">
      <c r="A244" s="975">
        <f t="shared" si="43"/>
        <v>46148</v>
      </c>
      <c r="B244" s="976" t="s">
        <v>248</v>
      </c>
      <c r="C244" s="988" t="s">
        <v>16185</v>
      </c>
      <c r="D244" s="1410"/>
      <c r="E244" s="977" t="str">
        <f>IFERROR(VLOOKUP(C244, [6]條件!$A:$L, 5, 0), "")</f>
        <v/>
      </c>
      <c r="F244" s="978" t="str">
        <f>IFERROR(VLOOKUP(C244, [6]條件!$A:$L, 6, 0), "")</f>
        <v/>
      </c>
      <c r="G244" s="1411" t="str">
        <f>IFERROR(VLOOKUP(C244, [6]條件!$A:$L, 7, 0), "")</f>
        <v/>
      </c>
      <c r="H244" s="978" t="str">
        <f>IF(ISNA(VLOOKUP(C244,[6]條件!$A$1:$K$932,11,0)),"",(VLOOKUP(C244,[6]條件!$A$1:$K$932,11,0)))</f>
        <v/>
      </c>
      <c r="I244" s="979" t="str">
        <f>IF(ISNA(VLOOKUP(C244,[6]條件!$A$1:$L$932,12,0)),"",(VLOOKUP(C244,[6]條件!$A$1:$L$932,12,0)))</f>
        <v/>
      </c>
      <c r="J244" s="980"/>
      <c r="K244" s="980"/>
      <c r="L244" s="981" t="s">
        <v>632</v>
      </c>
      <c r="M244" s="981"/>
      <c r="N244" s="982"/>
      <c r="O244" s="980"/>
      <c r="P244" s="981" t="s">
        <v>632</v>
      </c>
      <c r="Q244" s="981"/>
      <c r="R244" s="982"/>
      <c r="S244" s="980"/>
      <c r="T244" s="981" t="s">
        <v>632</v>
      </c>
      <c r="U244" s="981"/>
      <c r="V244" s="982"/>
      <c r="W244" s="980"/>
      <c r="X244" s="981" t="s">
        <v>632</v>
      </c>
      <c r="Y244" s="983"/>
      <c r="Z244" s="1412" t="str">
        <f>IFERROR(VLOOKUP(C244, [6]條件!$A:$L, 3, 0), "")</f>
        <v/>
      </c>
      <c r="AA244" s="984" t="str">
        <f>IF(OR(L244={"改紡","檢修","了機","清車","FINAL","停機","SAMPLE","TEST","絲開發"}), L244, IFERROR(IF(C244="", "", (SUM(J244, N244, R244, V244)/3 * AG244) * IF(AND(AF244="S", AS244="雙"), 0.5, 1)), ""))</f>
        <v>停機</v>
      </c>
      <c r="AB244" s="1413" t="str">
        <f t="shared" si="44"/>
        <v/>
      </c>
      <c r="AC244" s="984" t="str">
        <f>IF(OR(L244={"改紡","檢修","了機","清車","FINAL","停機","SAMPLE","TEST"}), "", IFERROR(IF(C244="", "", AVERAGE(L244:M244, P244:Q244, T244:U244, X244:Y244)/100), ""))</f>
        <v/>
      </c>
      <c r="AD244" s="984" t="str">
        <f t="shared" si="35"/>
        <v/>
      </c>
      <c r="AE244" s="984" t="str">
        <f t="shared" si="45"/>
        <v/>
      </c>
      <c r="AF244" s="985" t="str">
        <f t="shared" si="36"/>
        <v>M</v>
      </c>
      <c r="AG244" s="1414">
        <v>1</v>
      </c>
      <c r="AH244" s="1002" t="s">
        <v>640</v>
      </c>
      <c r="AI244" s="1002" t="s">
        <v>640</v>
      </c>
      <c r="AJ244" s="986" t="s">
        <v>640</v>
      </c>
      <c r="AK244" s="1417" t="s">
        <v>640</v>
      </c>
      <c r="AL244" s="1415"/>
      <c r="AM244" s="1323"/>
      <c r="AN244" s="1323"/>
      <c r="AO244" s="1323"/>
      <c r="AP244" s="1323"/>
      <c r="AQ244" s="1323"/>
      <c r="AR244" s="987"/>
      <c r="AS244" s="978" t="str">
        <f t="shared" si="37"/>
        <v>單</v>
      </c>
      <c r="AT244" s="978" t="str">
        <f t="shared" si="38"/>
        <v>全</v>
      </c>
      <c r="AU244" s="978" t="str">
        <f t="shared" si="39"/>
        <v/>
      </c>
      <c r="AV244" s="978" t="str">
        <f t="shared" si="40"/>
        <v/>
      </c>
    </row>
    <row r="245" spans="1:48" ht="17.25" thickBot="1">
      <c r="A245" s="989">
        <f t="shared" si="43"/>
        <v>46148</v>
      </c>
      <c r="B245" s="990" t="s">
        <v>249</v>
      </c>
      <c r="C245" s="991" t="s">
        <v>16185</v>
      </c>
      <c r="D245" s="1425"/>
      <c r="E245" s="1169" t="str">
        <f>IFERROR(VLOOKUP(C245, [6]條件!$A:$L, 5, 0), "")</f>
        <v/>
      </c>
      <c r="F245" s="992" t="str">
        <f>IFERROR(VLOOKUP(C245, [6]條件!$A:$L, 6, 0), "")</f>
        <v/>
      </c>
      <c r="G245" s="1426" t="str">
        <f>IFERROR(VLOOKUP(C245, [6]條件!$A:$L, 7, 0), "")</f>
        <v/>
      </c>
      <c r="H245" s="992" t="str">
        <f>IF(ISNA(VLOOKUP(C245,[6]條件!$A$1:$K$932,11,0)),"",(VLOOKUP(C245,[6]條件!$A$1:$K$932,11,0)))</f>
        <v/>
      </c>
      <c r="I245" s="1170" t="str">
        <f>IF(ISNA(VLOOKUP(C245,[6]條件!$A$1:$L$932,12,0)),"",(VLOOKUP(C245,[6]條件!$A$1:$L$932,12,0)))</f>
        <v/>
      </c>
      <c r="J245" s="993"/>
      <c r="K245" s="993"/>
      <c r="L245" s="994" t="s">
        <v>632</v>
      </c>
      <c r="M245" s="994"/>
      <c r="N245" s="995"/>
      <c r="O245" s="993"/>
      <c r="P245" s="994" t="s">
        <v>632</v>
      </c>
      <c r="Q245" s="994"/>
      <c r="R245" s="995"/>
      <c r="S245" s="993"/>
      <c r="T245" s="994" t="s">
        <v>632</v>
      </c>
      <c r="U245" s="994"/>
      <c r="V245" s="995"/>
      <c r="W245" s="993"/>
      <c r="X245" s="994" t="s">
        <v>632</v>
      </c>
      <c r="Y245" s="996"/>
      <c r="Z245" s="1427" t="str">
        <f>IFERROR(VLOOKUP(C245, [6]條件!$A:$L, 3, 0), "")</f>
        <v/>
      </c>
      <c r="AA245" s="997" t="str">
        <f>IF(OR(L245={"改紡","檢修","了機","清車","FINAL","停機","SAMPLE","TEST","絲開發"}), L245, IFERROR(IF(C245="", "", (SUM(J245, N245, R245, V245)/3 * AG245) * IF(AND(AF245="S", AS245="雙"), 0.5, 1)), ""))</f>
        <v>停機</v>
      </c>
      <c r="AB245" s="1428" t="str">
        <f t="shared" si="44"/>
        <v/>
      </c>
      <c r="AC245" s="997" t="str">
        <f>IF(OR(L245={"改紡","檢修","了機","清車","FINAL","停機","SAMPLE","TEST"}), "", IFERROR(IF(C245="", "", AVERAGE(L245:M245, P245:Q245, T245:U245, X245:Y245)/100), ""))</f>
        <v/>
      </c>
      <c r="AD245" s="997" t="str">
        <f t="shared" si="35"/>
        <v/>
      </c>
      <c r="AE245" s="997" t="str">
        <f t="shared" si="45"/>
        <v/>
      </c>
      <c r="AF245" s="998" t="str">
        <f t="shared" si="36"/>
        <v>M</v>
      </c>
      <c r="AG245" s="1429">
        <v>1</v>
      </c>
      <c r="AH245" s="1171" t="s">
        <v>640</v>
      </c>
      <c r="AI245" s="1171" t="s">
        <v>640</v>
      </c>
      <c r="AJ245" s="999" t="s">
        <v>640</v>
      </c>
      <c r="AK245" s="1430" t="s">
        <v>640</v>
      </c>
      <c r="AL245" s="1431"/>
      <c r="AM245" s="1325"/>
      <c r="AN245" s="1325"/>
      <c r="AO245" s="1325"/>
      <c r="AP245" s="1325"/>
      <c r="AQ245" s="1325"/>
      <c r="AR245" s="1000"/>
      <c r="AS245" s="992" t="str">
        <f t="shared" si="37"/>
        <v>單</v>
      </c>
      <c r="AT245" s="992" t="str">
        <f t="shared" si="38"/>
        <v>全</v>
      </c>
      <c r="AU245" s="992" t="str">
        <f t="shared" si="39"/>
        <v/>
      </c>
      <c r="AV245" s="992" t="str">
        <f t="shared" si="40"/>
        <v/>
      </c>
    </row>
    <row r="246" spans="1:48">
      <c r="A246" s="962">
        <v>46149</v>
      </c>
      <c r="B246" s="963" t="s">
        <v>212</v>
      </c>
      <c r="C246" s="963" t="s">
        <v>632</v>
      </c>
      <c r="D246" s="1403"/>
      <c r="E246" s="964" t="str">
        <f>IFERROR(VLOOKUP(C246, [6]條件!$A:$L, 5, 0), "")</f>
        <v/>
      </c>
      <c r="F246" s="965" t="str">
        <f>IFERROR(VLOOKUP(C246, [6]條件!$A:$L, 6, 0), "")</f>
        <v/>
      </c>
      <c r="G246" s="1404" t="str">
        <f>IFERROR(VLOOKUP(C246, [6]條件!$A:$L, 7, 0), "")</f>
        <v/>
      </c>
      <c r="H246" s="965" t="str">
        <f>IF(ISNA(VLOOKUP(C246,[6]條件!$A$1:$K$932,11,0)),"",(VLOOKUP(C246,[6]條件!$A$1:$K$932,11,0)))</f>
        <v/>
      </c>
      <c r="I246" s="966" t="str">
        <f>IF(ISNA(VLOOKUP(C246,[6]條件!$A$1:$L$932,12,0)),"",(VLOOKUP(C246,[6]條件!$A$1:$L$932,12,0)))</f>
        <v/>
      </c>
      <c r="J246" s="969"/>
      <c r="K246" s="967"/>
      <c r="L246" s="981" t="s">
        <v>632</v>
      </c>
      <c r="M246" s="970"/>
      <c r="N246" s="969"/>
      <c r="O246" s="967"/>
      <c r="P246" s="981" t="s">
        <v>632</v>
      </c>
      <c r="Q246" s="970"/>
      <c r="R246" s="969"/>
      <c r="S246" s="967"/>
      <c r="T246" s="981" t="s">
        <v>632</v>
      </c>
      <c r="U246" s="970"/>
      <c r="V246" s="969"/>
      <c r="W246" s="967"/>
      <c r="X246" s="981" t="s">
        <v>632</v>
      </c>
      <c r="Y246" s="970"/>
      <c r="Z246" s="1405" t="str">
        <f>IFERROR(VLOOKUP(C246, [6]條件!$A:$L, 3, 0), "")</f>
        <v/>
      </c>
      <c r="AA246" s="971" t="str">
        <f>IF(OR(L246={"改紡","檢修","了機","清車","FINAL","停機","SAMPLE","TEST","絲開發"}), L246, IFERROR(IF(C246="", "", (SUM(J246, N246, R246, V246)/3 * AG246) * IF(AND(AF246="S", AS246="雙"), 0.5, 1)), ""))</f>
        <v>停機</v>
      </c>
      <c r="AB246" s="1406" t="str">
        <f t="shared" si="44"/>
        <v/>
      </c>
      <c r="AC246" s="971" t="str">
        <f>IF(OR(L246={"改紡","檢修","了機","清車","FINAL","停機","SAMPLE","TEST"}), "", IFERROR(IF(C246="", "", AVERAGE(L246:M246, P246:Q246, T246:U246, X246:Y246)/100), ""))</f>
        <v/>
      </c>
      <c r="AD246" s="971" t="str">
        <f t="shared" si="35"/>
        <v/>
      </c>
      <c r="AE246" s="971" t="str">
        <f t="shared" si="45"/>
        <v/>
      </c>
      <c r="AF246" s="972" t="str">
        <f t="shared" si="36"/>
        <v>A</v>
      </c>
      <c r="AG246" s="1407">
        <v>1</v>
      </c>
      <c r="AH246" s="1001" t="s">
        <v>640</v>
      </c>
      <c r="AI246" s="1001" t="s">
        <v>640</v>
      </c>
      <c r="AJ246" s="1166" t="s">
        <v>640</v>
      </c>
      <c r="AK246" s="1408" t="s">
        <v>640</v>
      </c>
      <c r="AL246" s="1409"/>
      <c r="AM246" s="1322"/>
      <c r="AN246" s="1322"/>
      <c r="AO246" s="1322"/>
      <c r="AP246" s="1322"/>
      <c r="AQ246" s="1322"/>
      <c r="AR246" s="973"/>
      <c r="AS246" s="965" t="str">
        <f t="shared" si="37"/>
        <v>單</v>
      </c>
      <c r="AT246" s="965" t="str">
        <f t="shared" si="38"/>
        <v>全</v>
      </c>
      <c r="AU246" s="965" t="str">
        <f t="shared" si="39"/>
        <v/>
      </c>
      <c r="AV246" s="965" t="str">
        <f t="shared" si="40"/>
        <v/>
      </c>
    </row>
    <row r="247" spans="1:48">
      <c r="A247" s="975">
        <f t="shared" ref="A247:A285" si="46">A246</f>
        <v>46149</v>
      </c>
      <c r="B247" s="976" t="s">
        <v>214</v>
      </c>
      <c r="C247" s="976" t="s">
        <v>16708</v>
      </c>
      <c r="D247" s="1410"/>
      <c r="E247" s="977" t="str">
        <f>IFERROR(VLOOKUP(C247, [6]條件!$A:$L, 5, 0), "")</f>
        <v>75/36SDR</v>
      </c>
      <c r="F247" s="978" t="str">
        <f>IFERROR(VLOOKUP(C247, [6]條件!$A:$L, 6, 0), "")</f>
        <v>FP81386R</v>
      </c>
      <c r="G247" s="1411">
        <f>IFERROR(VLOOKUP(C247, [6]條件!$A:$L, 7, 0), "")</f>
        <v>780</v>
      </c>
      <c r="H247" s="978" t="str">
        <f>IF(ISNA(VLOOKUP(C247,[6]條件!$A$1:$K$932,11,0)),"",(VLOOKUP(C247,[6]條件!$A$1:$K$932,11,0)))</f>
        <v>綠底白點</v>
      </c>
      <c r="I247" s="979">
        <f>IF(ISNA(VLOOKUP(C247,[6]條件!$A$1:$L$932,12,0)),"",(VLOOKUP(C247,[6]條件!$A$1:$L$932,12,0)))</f>
        <v>5</v>
      </c>
      <c r="J247" s="982">
        <v>14</v>
      </c>
      <c r="K247" s="980">
        <v>0</v>
      </c>
      <c r="L247" s="981">
        <v>8909</v>
      </c>
      <c r="M247" s="983">
        <v>8595</v>
      </c>
      <c r="N247" s="982">
        <v>8</v>
      </c>
      <c r="O247" s="980">
        <v>0</v>
      </c>
      <c r="P247" s="981">
        <v>8956</v>
      </c>
      <c r="Q247" s="983">
        <v>8534</v>
      </c>
      <c r="R247" s="982">
        <v>3</v>
      </c>
      <c r="S247" s="980">
        <v>0</v>
      </c>
      <c r="T247" s="981">
        <v>8948</v>
      </c>
      <c r="U247" s="983">
        <v>8517</v>
      </c>
      <c r="V247" s="982">
        <v>15</v>
      </c>
      <c r="W247" s="980">
        <v>1</v>
      </c>
      <c r="X247" s="981">
        <v>9007</v>
      </c>
      <c r="Y247" s="983">
        <v>8507</v>
      </c>
      <c r="Z247" s="1412">
        <f>IFERROR(VLOOKUP(C247, [6]條件!$A:$L, 3, 0), "")</f>
        <v>1.7777777777777777</v>
      </c>
      <c r="AA247" s="984">
        <f>IF(OR(L247={"改紡","檢修","了機","清車","FINAL","停機","SAMPLE","TEST","絲開發"}), L247, IFERROR(IF(C247="", "", (SUM(J247, N247, R247, V247)/3 * AG247) * IF(AND(AF247="S", AS247="雙"), 0.5, 1)), ""))</f>
        <v>13.333333333333334</v>
      </c>
      <c r="AB247" s="1413">
        <f t="shared" si="44"/>
        <v>0.99729567307692313</v>
      </c>
      <c r="AC247" s="984">
        <f>IF(OR(L247={"改紡","檢修","了機","清車","FINAL","停機","SAMPLE","TEST"}), "", IFERROR(IF(C247="", "", AVERAGE(L247:M247, P247:Q247, T247:U247, X247:Y247)/100), ""))</f>
        <v>87.466250000000002</v>
      </c>
      <c r="AD247" s="984">
        <f t="shared" si="35"/>
        <v>1.6666666666666667</v>
      </c>
      <c r="AE247" s="984">
        <f t="shared" si="45"/>
        <v>1.625</v>
      </c>
      <c r="AF247" s="985" t="str">
        <f t="shared" si="36"/>
        <v>A</v>
      </c>
      <c r="AG247" s="1414">
        <v>1</v>
      </c>
      <c r="AH247" s="1002" t="s">
        <v>641</v>
      </c>
      <c r="AI247" s="1002" t="s">
        <v>829</v>
      </c>
      <c r="AJ247" s="986" t="s">
        <v>725</v>
      </c>
      <c r="AK247" s="1417" t="s">
        <v>725</v>
      </c>
      <c r="AL247" s="1415">
        <v>50</v>
      </c>
      <c r="AM247" s="1323">
        <v>46142</v>
      </c>
      <c r="AN247" s="1323">
        <v>46143</v>
      </c>
      <c r="AO247" s="1323">
        <v>46145</v>
      </c>
      <c r="AP247" s="1323">
        <v>46146</v>
      </c>
      <c r="AQ247" s="1323">
        <v>46147</v>
      </c>
      <c r="AR247" s="987"/>
      <c r="AS247" s="978" t="str">
        <f t="shared" si="37"/>
        <v>單</v>
      </c>
      <c r="AT247" s="978" t="str">
        <f t="shared" si="38"/>
        <v>全</v>
      </c>
      <c r="AU247" s="978">
        <f t="shared" si="39"/>
        <v>75</v>
      </c>
      <c r="AV247" s="978">
        <f t="shared" si="40"/>
        <v>1.7683576560000001</v>
      </c>
    </row>
    <row r="248" spans="1:48">
      <c r="A248" s="975">
        <f t="shared" si="46"/>
        <v>46149</v>
      </c>
      <c r="B248" s="976" t="s">
        <v>215</v>
      </c>
      <c r="C248" s="976" t="s">
        <v>16188</v>
      </c>
      <c r="D248" s="1410" t="s">
        <v>633</v>
      </c>
      <c r="E248" s="977" t="str">
        <f>IFERROR(VLOOKUP(C248, [6]條件!$A:$L, 5, 0), "")</f>
        <v>75/24/2SDR2</v>
      </c>
      <c r="F248" s="978" t="str">
        <f>IFERROR(VLOOKUP(C248, [6]條件!$A:$L, 6, 0), "")</f>
        <v>FP81363R×2</v>
      </c>
      <c r="G248" s="1411">
        <f>IFERROR(VLOOKUP(C248, [6]條件!$A:$L, 7, 0), "")</f>
        <v>700</v>
      </c>
      <c r="H248" s="978" t="str">
        <f>IF(ISNA(VLOOKUP(C248,[6]條件!$A$1:$K$932,11,0)),"",(VLOOKUP(C248,[6]條件!$A$1:$K$932,11,0)))</f>
        <v>白綠條紋</v>
      </c>
      <c r="I248" s="979">
        <f>IF(ISNA(VLOOKUP(C248,[6]條件!$A$1:$L$932,12,0)),"",(VLOOKUP(C248,[6]條件!$A$1:$L$932,12,0)))</f>
        <v>5</v>
      </c>
      <c r="J248" s="982"/>
      <c r="K248" s="980"/>
      <c r="L248" s="981" t="s">
        <v>632</v>
      </c>
      <c r="M248" s="983"/>
      <c r="N248" s="982"/>
      <c r="O248" s="980"/>
      <c r="P248" s="981" t="s">
        <v>632</v>
      </c>
      <c r="Q248" s="983"/>
      <c r="R248" s="982"/>
      <c r="S248" s="980"/>
      <c r="T248" s="981" t="s">
        <v>632</v>
      </c>
      <c r="U248" s="983"/>
      <c r="V248" s="982"/>
      <c r="W248" s="980"/>
      <c r="X248" s="981" t="s">
        <v>632</v>
      </c>
      <c r="Y248" s="983"/>
      <c r="Z248" s="1412">
        <f>IFERROR(VLOOKUP(C248, [6]條件!$A:$L, 3, 0), "")</f>
        <v>3.2653061224489797</v>
      </c>
      <c r="AA248" s="984" t="str">
        <f>IF(OR(L248={"改紡","檢修","了機","清車","FINAL","停機","SAMPLE","TEST","絲開發"}), L248, IFERROR(IF(C248="", "", (SUM(J248, N248, R248, V248)/3 * AG248) * IF(AND(AF248="S", AS248="雙"), 0.5, 1)), ""))</f>
        <v>停機</v>
      </c>
      <c r="AB248" s="1413" t="str">
        <f t="shared" si="44"/>
        <v/>
      </c>
      <c r="AC248" s="984" t="str">
        <f>IF(OR(L248={"改紡","檢修","了機","清車","FINAL","停機","SAMPLE","TEST"}), "", IFERROR(IF(C248="", "", AVERAGE(L248:M248, P248:Q248, T248:U248, X248:Y248)/100), ""))</f>
        <v/>
      </c>
      <c r="AD248" s="984" t="str">
        <f t="shared" si="35"/>
        <v/>
      </c>
      <c r="AE248" s="984" t="str">
        <f t="shared" si="45"/>
        <v/>
      </c>
      <c r="AF248" s="985" t="str">
        <f t="shared" si="36"/>
        <v>A</v>
      </c>
      <c r="AG248" s="1414">
        <v>1</v>
      </c>
      <c r="AH248" s="1002" t="s">
        <v>641</v>
      </c>
      <c r="AI248" s="1002" t="s">
        <v>829</v>
      </c>
      <c r="AJ248" s="986" t="s">
        <v>725</v>
      </c>
      <c r="AK248" s="1417" t="s">
        <v>725</v>
      </c>
      <c r="AL248" s="1415"/>
      <c r="AM248" s="1323"/>
      <c r="AN248" s="1323"/>
      <c r="AO248" s="1323"/>
      <c r="AP248" s="1323"/>
      <c r="AQ248" s="1323"/>
      <c r="AR248" s="987"/>
      <c r="AS248" s="978" t="str">
        <f t="shared" si="37"/>
        <v>雙</v>
      </c>
      <c r="AT248" s="978" t="str">
        <f t="shared" si="38"/>
        <v>半</v>
      </c>
      <c r="AU248" s="978">
        <f t="shared" si="39"/>
        <v>75</v>
      </c>
      <c r="AV248" s="978" t="str">
        <f t="shared" si="40"/>
        <v/>
      </c>
    </row>
    <row r="249" spans="1:48">
      <c r="A249" s="975">
        <f t="shared" si="46"/>
        <v>46149</v>
      </c>
      <c r="B249" s="976" t="s">
        <v>215</v>
      </c>
      <c r="C249" s="976" t="s">
        <v>16746</v>
      </c>
      <c r="D249" s="1410" t="s">
        <v>633</v>
      </c>
      <c r="E249" s="977" t="str">
        <f>IFERROR(VLOOKUP(C249, [6]條件!$A:$L, 5, 0), "")</f>
        <v>75/24/2SDr</v>
      </c>
      <c r="F249" s="978" t="str">
        <f>IFERROR(VLOOKUP(C249, [6]條件!$A:$L, 6, 0), "")</f>
        <v>FP81391R×2</v>
      </c>
      <c r="G249" s="1411">
        <f>IFERROR(VLOOKUP(C249, [6]條件!$A:$L, 7, 0), "")</f>
        <v>700</v>
      </c>
      <c r="H249" s="978" t="str">
        <f>IF(ISNA(VLOOKUP(C249,[6]條件!$A$1:$K$932,11,0)),"",(VLOOKUP(C249,[6]條件!$A$1:$K$932,11,0)))</f>
        <v>紅底白點</v>
      </c>
      <c r="I249" s="979">
        <f>IF(ISNA(VLOOKUP(C249,[6]條件!$A$1:$L$932,12,0)),"",(VLOOKUP(C249,[6]條件!$A$1:$L$932,12,0)))</f>
        <v>5</v>
      </c>
      <c r="J249" s="982"/>
      <c r="K249" s="980"/>
      <c r="L249" s="981" t="s">
        <v>632</v>
      </c>
      <c r="M249" s="983"/>
      <c r="N249" s="982"/>
      <c r="O249" s="980"/>
      <c r="P249" s="981" t="s">
        <v>632</v>
      </c>
      <c r="Q249" s="983"/>
      <c r="R249" s="982"/>
      <c r="S249" s="980"/>
      <c r="T249" s="981" t="s">
        <v>632</v>
      </c>
      <c r="U249" s="983"/>
      <c r="V249" s="982"/>
      <c r="W249" s="980"/>
      <c r="X249" s="981" t="s">
        <v>632</v>
      </c>
      <c r="Y249" s="983"/>
      <c r="Z249" s="1412">
        <f>IFERROR(VLOOKUP(C249, [6]條件!$A:$L, 3, 0), "")</f>
        <v>3.2653061224489797</v>
      </c>
      <c r="AA249" s="984" t="str">
        <f>IF(OR(L249={"改紡","檢修","了機","清車","FINAL","停機","SAMPLE","TEST","絲開發"}), L249, IFERROR(IF(C249="", "", (SUM(J249, N249, R249, V249)/3 * AG249) * IF(AND(AF249="S", AS249="雙"), 0.5, 1)), ""))</f>
        <v>停機</v>
      </c>
      <c r="AB249" s="1413" t="str">
        <f t="shared" si="44"/>
        <v/>
      </c>
      <c r="AC249" s="984" t="str">
        <f>IF(OR(L249={"改紡","檢修","了機","清車","FINAL","停機","SAMPLE","TEST"}), "", IFERROR(IF(C249="", "", AVERAGE(L249:M249, P249:Q249, T249:U249, X249:Y249)/100), ""))</f>
        <v/>
      </c>
      <c r="AD249" s="984" t="str">
        <f t="shared" si="35"/>
        <v/>
      </c>
      <c r="AE249" s="984" t="str">
        <f t="shared" si="45"/>
        <v/>
      </c>
      <c r="AF249" s="985" t="str">
        <f t="shared" si="36"/>
        <v>A</v>
      </c>
      <c r="AG249" s="1414">
        <v>1</v>
      </c>
      <c r="AH249" s="1002" t="s">
        <v>641</v>
      </c>
      <c r="AI249" s="1002" t="s">
        <v>829</v>
      </c>
      <c r="AJ249" s="986" t="s">
        <v>725</v>
      </c>
      <c r="AK249" s="1417" t="s">
        <v>725</v>
      </c>
      <c r="AL249" s="1415">
        <v>53</v>
      </c>
      <c r="AM249" s="1323">
        <v>46115</v>
      </c>
      <c r="AN249" s="1323">
        <v>46117</v>
      </c>
      <c r="AO249" s="1323">
        <v>46118</v>
      </c>
      <c r="AP249" s="1323"/>
      <c r="AQ249" s="1323"/>
      <c r="AR249" s="987"/>
      <c r="AS249" s="978" t="str">
        <f t="shared" si="37"/>
        <v>雙</v>
      </c>
      <c r="AT249" s="978" t="str">
        <f t="shared" si="38"/>
        <v>半</v>
      </c>
      <c r="AU249" s="978">
        <f t="shared" si="39"/>
        <v>75</v>
      </c>
      <c r="AV249" s="978" t="str">
        <f t="shared" si="40"/>
        <v/>
      </c>
    </row>
    <row r="250" spans="1:48">
      <c r="A250" s="975">
        <f t="shared" si="46"/>
        <v>46149</v>
      </c>
      <c r="B250" s="976" t="s">
        <v>216</v>
      </c>
      <c r="C250" s="976" t="s">
        <v>16764</v>
      </c>
      <c r="D250" s="1410"/>
      <c r="E250" s="977" t="str">
        <f>IFERROR(VLOOKUP(C250, [6]條件!$A:$L, 5, 0), "")</f>
        <v>150/48BK42</v>
      </c>
      <c r="F250" s="978" t="str">
        <f>IFERROR(VLOOKUP(C250, [6]條件!$A:$L, 6, 0), "")</f>
        <v>FP02421</v>
      </c>
      <c r="G250" s="1411">
        <f>IFERROR(VLOOKUP(C250, [6]條件!$A:$L, 7, 0), "")</f>
        <v>600</v>
      </c>
      <c r="H250" s="978" t="str">
        <f>IF(ISNA(VLOOKUP(C250,[6]條件!$A$1:$K$932,11,0)),"",(VLOOKUP(C250,[6]條件!$A$1:$K$932,11,0)))</f>
        <v>白桔方塊</v>
      </c>
      <c r="I250" s="979">
        <f>IF(ISNA(VLOOKUP(C250,[6]條件!$A$1:$L$932,12,0)),"",(VLOOKUP(C250,[6]條件!$A$1:$L$932,12,0)))</f>
        <v>5</v>
      </c>
      <c r="J250" s="982"/>
      <c r="K250" s="980"/>
      <c r="L250" s="981" t="s">
        <v>642</v>
      </c>
      <c r="M250" s="983" t="s">
        <v>632</v>
      </c>
      <c r="N250" s="982"/>
      <c r="O250" s="980"/>
      <c r="P250" s="981" t="s">
        <v>632</v>
      </c>
      <c r="Q250" s="983"/>
      <c r="R250" s="982"/>
      <c r="S250" s="980"/>
      <c r="T250" s="981" t="s">
        <v>477</v>
      </c>
      <c r="U250" s="983" t="s">
        <v>632</v>
      </c>
      <c r="V250" s="982">
        <v>21</v>
      </c>
      <c r="W250" s="980">
        <v>0</v>
      </c>
      <c r="X250" s="981">
        <v>9034</v>
      </c>
      <c r="Y250" s="983" t="s">
        <v>632</v>
      </c>
      <c r="Z250" s="1412">
        <f>IFERROR(VLOOKUP(C250, [6]條件!$A:$L, 3, 0), "")</f>
        <v>2.8346456692913384</v>
      </c>
      <c r="AA250" s="984" t="str">
        <f>IF(OR(L250={"改紡","檢修","了機","清車","FINAL","停機","SAMPLE","TEST","絲開發"}), L250, IFERROR(IF(C250="", "", (SUM(J250, N250, R250, V250)/3 * AG250) * IF(AND(AF250="S", AS250="雙"), 0.5, 1)), ""))</f>
        <v>改紡</v>
      </c>
      <c r="AB250" s="1413" t="str">
        <f t="shared" si="44"/>
        <v/>
      </c>
      <c r="AC250" s="984" t="str">
        <f>IF(OR(L250={"改紡","檢修","了機","清車","FINAL","停機","SAMPLE","TEST"}), "", IFERROR(IF(C250="", "", AVERAGE(L250:M250, P250:Q250, T250:U250, X250:Y250)/100), ""))</f>
        <v/>
      </c>
      <c r="AD250" s="984" t="str">
        <f t="shared" si="35"/>
        <v/>
      </c>
      <c r="AE250" s="984" t="str">
        <f t="shared" si="45"/>
        <v/>
      </c>
      <c r="AF250" s="985" t="str">
        <f t="shared" si="36"/>
        <v>A</v>
      </c>
      <c r="AG250" s="1414">
        <v>2</v>
      </c>
      <c r="AH250" s="1002" t="s">
        <v>640</v>
      </c>
      <c r="AI250" s="1002" t="s">
        <v>640</v>
      </c>
      <c r="AJ250" s="986" t="s">
        <v>725</v>
      </c>
      <c r="AK250" s="1417" t="s">
        <v>725</v>
      </c>
      <c r="AL250" s="1415">
        <v>52</v>
      </c>
      <c r="AM250" s="1323">
        <v>46148</v>
      </c>
      <c r="AN250" s="1323"/>
      <c r="AO250" s="1323"/>
      <c r="AP250" s="1323"/>
      <c r="AQ250" s="1323"/>
      <c r="AR250" s="987"/>
      <c r="AS250" s="978" t="str">
        <f t="shared" si="37"/>
        <v>單</v>
      </c>
      <c r="AT250" s="978" t="str">
        <f t="shared" si="38"/>
        <v>半</v>
      </c>
      <c r="AU250" s="978">
        <f t="shared" si="39"/>
        <v>150</v>
      </c>
      <c r="AV250" s="978" t="str">
        <f t="shared" si="40"/>
        <v/>
      </c>
    </row>
    <row r="251" spans="1:48">
      <c r="A251" s="975">
        <f t="shared" si="46"/>
        <v>46149</v>
      </c>
      <c r="B251" s="976" t="s">
        <v>217</v>
      </c>
      <c r="C251" s="976" t="s">
        <v>16197</v>
      </c>
      <c r="D251" s="1410"/>
      <c r="E251" s="977" t="str">
        <f>IFERROR(VLOOKUP(C251, [6]條件!$A:$L, 5, 0), "")</f>
        <v>75/36HC</v>
      </c>
      <c r="F251" s="978" t="str">
        <f>IFERROR(VLOOKUP(C251, [6]條件!$A:$L, 6, 0), "")</f>
        <v>FP81857R</v>
      </c>
      <c r="G251" s="1411">
        <f>IFERROR(VLOOKUP(C251, [6]條件!$A:$L, 7, 0), "")</f>
        <v>600</v>
      </c>
      <c r="H251" s="978" t="str">
        <f>IF(ISNA(VLOOKUP(C251,[6]條件!$A$1:$K$932,11,0)),"",(VLOOKUP(C251,[6]條件!$A$1:$K$932,11,0)))</f>
        <v>白底綠方塊</v>
      </c>
      <c r="I251" s="979">
        <f>IF(ISNA(VLOOKUP(C251,[6]條件!$A$1:$L$932,12,0)),"",(VLOOKUP(C251,[6]條件!$A$1:$L$932,12,0)))</f>
        <v>4</v>
      </c>
      <c r="J251" s="982">
        <v>21</v>
      </c>
      <c r="K251" s="980">
        <v>0</v>
      </c>
      <c r="L251" s="981">
        <v>8557</v>
      </c>
      <c r="M251" s="983">
        <v>9017</v>
      </c>
      <c r="N251" s="982">
        <v>14</v>
      </c>
      <c r="O251" s="980">
        <v>0</v>
      </c>
      <c r="P251" s="981">
        <v>8477</v>
      </c>
      <c r="Q251" s="983">
        <v>8937</v>
      </c>
      <c r="R251" s="982">
        <v>6</v>
      </c>
      <c r="S251" s="980">
        <v>0</v>
      </c>
      <c r="T251" s="981">
        <v>8434</v>
      </c>
      <c r="U251" s="983">
        <v>9052</v>
      </c>
      <c r="V251" s="982">
        <v>9</v>
      </c>
      <c r="W251" s="980">
        <v>0</v>
      </c>
      <c r="X251" s="981">
        <v>8567</v>
      </c>
      <c r="Y251" s="983">
        <v>9065</v>
      </c>
      <c r="Z251" s="1412">
        <f>IFERROR(VLOOKUP(C251, [6]條件!$A:$L, 3, 0), "")</f>
        <v>1.7496962332928312</v>
      </c>
      <c r="AA251" s="984">
        <f>IF(OR(L251={"改紡","檢修","了機","清車","FINAL","停機","SAMPLE","TEST","絲開發"}), L251, IFERROR(IF(C251="", "", (SUM(J251, N251, R251, V251)/3 * AG251) * IF(AND(AF251="S", AS251="雙"), 0.5, 1)), ""))</f>
        <v>16.666666666666668</v>
      </c>
      <c r="AB251" s="1413">
        <f t="shared" si="44"/>
        <v>1</v>
      </c>
      <c r="AC251" s="984">
        <f>IF(OR(L251={"改紡","檢修","了機","清車","FINAL","停機","SAMPLE","TEST"}), "", IFERROR(IF(C251="", "", AVERAGE(L251:M251, P251:Q251, T251:U251, X251:Y251)/100), ""))</f>
        <v>87.632499999999993</v>
      </c>
      <c r="AD251" s="984">
        <f t="shared" si="35"/>
        <v>2.0833333333333335</v>
      </c>
      <c r="AE251" s="984">
        <f t="shared" si="45"/>
        <v>2.0833333333333335</v>
      </c>
      <c r="AF251" s="985" t="str">
        <f t="shared" si="36"/>
        <v>A</v>
      </c>
      <c r="AG251" s="1414">
        <v>1</v>
      </c>
      <c r="AH251" s="1002" t="s">
        <v>629</v>
      </c>
      <c r="AI251" s="1002" t="s">
        <v>629</v>
      </c>
      <c r="AJ251" s="986" t="s">
        <v>15368</v>
      </c>
      <c r="AK251" s="1417" t="s">
        <v>15368</v>
      </c>
      <c r="AL251" s="1415">
        <v>54</v>
      </c>
      <c r="AM251" s="1323">
        <v>45950</v>
      </c>
      <c r="AN251" s="1323">
        <v>45952</v>
      </c>
      <c r="AO251" s="1323">
        <v>45953</v>
      </c>
      <c r="AP251" s="1323">
        <v>45955</v>
      </c>
      <c r="AQ251" s="1323"/>
      <c r="AR251" s="987"/>
      <c r="AS251" s="978" t="str">
        <f t="shared" si="37"/>
        <v>單</v>
      </c>
      <c r="AT251" s="978" t="str">
        <f t="shared" si="38"/>
        <v>全</v>
      </c>
      <c r="AU251" s="978">
        <f t="shared" si="39"/>
        <v>75</v>
      </c>
      <c r="AV251" s="978">
        <f t="shared" si="40"/>
        <v>1.3628606399999998</v>
      </c>
    </row>
    <row r="252" spans="1:48">
      <c r="A252" s="975">
        <f t="shared" si="46"/>
        <v>46149</v>
      </c>
      <c r="B252" s="976" t="s">
        <v>218</v>
      </c>
      <c r="C252" s="976" t="s">
        <v>16744</v>
      </c>
      <c r="D252" s="1410" t="s">
        <v>633</v>
      </c>
      <c r="E252" s="977" t="str">
        <f>IFERROR(VLOOKUP(C252, [6]條件!$A:$L, 5, 0), "")</f>
        <v>75/24/2SDr</v>
      </c>
      <c r="F252" s="978" t="str">
        <f>IFERROR(VLOOKUP(C252, [6]條件!$A:$L, 6, 0), "")</f>
        <v>FP81382R×2</v>
      </c>
      <c r="G252" s="1411">
        <f>IFERROR(VLOOKUP(C252, [6]條件!$A:$L, 7, 0), "")</f>
        <v>700</v>
      </c>
      <c r="H252" s="978" t="str">
        <f>IF(ISNA(VLOOKUP(C252,[6]條件!$A$1:$K$932,11,0)),"",(VLOOKUP(C252,[6]條件!$A$1:$K$932,11,0)))</f>
        <v>藍色</v>
      </c>
      <c r="I252" s="979">
        <f>IF(ISNA(VLOOKUP(C252,[6]條件!$A$1:$L$932,12,0)),"",(VLOOKUP(C252,[6]條件!$A$1:$L$932,12,0)))</f>
        <v>5</v>
      </c>
      <c r="J252" s="982">
        <v>6</v>
      </c>
      <c r="K252" s="980">
        <v>0</v>
      </c>
      <c r="L252" s="981" t="s">
        <v>127</v>
      </c>
      <c r="M252" s="983">
        <v>8638</v>
      </c>
      <c r="N252" s="982">
        <v>10</v>
      </c>
      <c r="O252" s="980">
        <v>0</v>
      </c>
      <c r="P252" s="981">
        <v>8615</v>
      </c>
      <c r="Q252" s="983" t="s">
        <v>632</v>
      </c>
      <c r="R252" s="982"/>
      <c r="S252" s="980"/>
      <c r="T252" s="981" t="s">
        <v>127</v>
      </c>
      <c r="U252" s="983" t="s">
        <v>632</v>
      </c>
      <c r="V252" s="982"/>
      <c r="W252" s="980"/>
      <c r="X252" s="981" t="s">
        <v>127</v>
      </c>
      <c r="Y252" s="983" t="s">
        <v>632</v>
      </c>
      <c r="Z252" s="1412">
        <f>IFERROR(VLOOKUP(C252, [6]條件!$A:$L, 3, 0), "")</f>
        <v>3.2505643340857788</v>
      </c>
      <c r="AA252" s="984" t="str">
        <f>IF(OR(L252={"改紡","檢修","了機","清車","FINAL","停機","SAMPLE","TEST","絲開發"}), L252, IFERROR(IF(C252="", "", (SUM(J252, N252, R252, V252)/3 * AG252) * IF(AND(AF252="S", AS252="雙"), 0.5, 1)), ""))</f>
        <v>了機</v>
      </c>
      <c r="AB252" s="1413">
        <f t="shared" si="44"/>
        <v>1</v>
      </c>
      <c r="AC252" s="984" t="str">
        <f>IF(OR(L252={"改紡","檢修","了機","清車","FINAL","停機","SAMPLE","TEST"}), "", IFERROR(IF(C252="", "", AVERAGE(L252:M252, P252:Q252, T252:U252, X252:Y252)/100), ""))</f>
        <v/>
      </c>
      <c r="AD252" s="984" t="str">
        <f t="shared" si="35"/>
        <v/>
      </c>
      <c r="AE252" s="984" t="str">
        <f t="shared" si="45"/>
        <v/>
      </c>
      <c r="AF252" s="985" t="str">
        <f t="shared" si="36"/>
        <v>A</v>
      </c>
      <c r="AG252" s="1414">
        <v>1</v>
      </c>
      <c r="AH252" s="1002" t="s">
        <v>629</v>
      </c>
      <c r="AI252" s="1002" t="s">
        <v>629</v>
      </c>
      <c r="AJ252" s="986" t="s">
        <v>15368</v>
      </c>
      <c r="AK252" s="1417" t="s">
        <v>15368</v>
      </c>
      <c r="AL252" s="1415">
        <v>50</v>
      </c>
      <c r="AM252" s="1323">
        <v>46104</v>
      </c>
      <c r="AN252" s="1323">
        <v>46105</v>
      </c>
      <c r="AO252" s="1323">
        <v>46106</v>
      </c>
      <c r="AP252" s="1323">
        <v>46107</v>
      </c>
      <c r="AQ252" s="1323"/>
      <c r="AR252" s="987"/>
      <c r="AS252" s="978" t="str">
        <f t="shared" si="37"/>
        <v>雙</v>
      </c>
      <c r="AT252" s="978" t="str">
        <f t="shared" si="38"/>
        <v>半</v>
      </c>
      <c r="AU252" s="978">
        <f t="shared" si="39"/>
        <v>75</v>
      </c>
      <c r="AV252" s="978" t="str">
        <f t="shared" si="40"/>
        <v/>
      </c>
    </row>
    <row r="253" spans="1:48">
      <c r="A253" s="975">
        <f t="shared" si="46"/>
        <v>46149</v>
      </c>
      <c r="B253" s="976" t="s">
        <v>219</v>
      </c>
      <c r="C253" s="976" t="s">
        <v>16745</v>
      </c>
      <c r="D253" s="1410" t="s">
        <v>16748</v>
      </c>
      <c r="E253" s="977" t="str">
        <f>IFERROR(VLOOKUP(C253, [6]條件!$A:$L, 5, 0), "")</f>
        <v>50/72BSD3</v>
      </c>
      <c r="F253" s="978" t="str">
        <f>IFERROR(VLOOKUP(C253, [6]條件!$A:$L, 6, 0), "")</f>
        <v>FP80141</v>
      </c>
      <c r="G253" s="1411">
        <f>IFERROR(VLOOKUP(C253, [6]條件!$A:$L, 7, 0), "")</f>
        <v>630</v>
      </c>
      <c r="H253" s="978" t="str">
        <f>IF(ISNA(VLOOKUP(C253,[6]條件!$A$1:$K$932,11,0)),"",(VLOOKUP(C253,[6]條件!$A$1:$K$932,11,0)))</f>
        <v>洋綠色</v>
      </c>
      <c r="I253" s="979">
        <f>IF(ISNA(VLOOKUP(C253,[6]條件!$A$1:$L$932,12,0)),"",(VLOOKUP(C253,[6]條件!$A$1:$L$932,12,0)))</f>
        <v>2</v>
      </c>
      <c r="J253" s="982">
        <v>15</v>
      </c>
      <c r="K253" s="980">
        <v>0</v>
      </c>
      <c r="L253" s="981">
        <v>9557</v>
      </c>
      <c r="M253" s="983">
        <v>9488</v>
      </c>
      <c r="N253" s="982">
        <v>20</v>
      </c>
      <c r="O253" s="980">
        <v>0</v>
      </c>
      <c r="P253" s="981">
        <v>9651</v>
      </c>
      <c r="Q253" s="983">
        <v>9636</v>
      </c>
      <c r="R253" s="982">
        <v>3</v>
      </c>
      <c r="S253" s="980">
        <v>0</v>
      </c>
      <c r="T253" s="981">
        <v>9699</v>
      </c>
      <c r="U253" s="983">
        <v>9692</v>
      </c>
      <c r="V253" s="982">
        <v>21</v>
      </c>
      <c r="W253" s="980">
        <v>1</v>
      </c>
      <c r="X253" s="981">
        <v>9780</v>
      </c>
      <c r="Y253" s="983">
        <v>9588</v>
      </c>
      <c r="Z253" s="1412">
        <f>IFERROR(VLOOKUP(C253, [6]條件!$A:$L, 3, 0), "")</f>
        <v>2.4615384615384617</v>
      </c>
      <c r="AA253" s="984">
        <f>IF(OR(L253={"改紡","檢修","了機","清車","FINAL","停機","SAMPLE","TEST","絲開發"}), L253, IFERROR(IF(C253="", "", (SUM(J253, N253, R253, V253)/3 * AG253) * IF(AND(AF253="S", AS253="雙"), 0.5, 1)), ""))</f>
        <v>19.666666666666668</v>
      </c>
      <c r="AB253" s="1413">
        <f t="shared" si="44"/>
        <v>0.998046875</v>
      </c>
      <c r="AC253" s="984">
        <f>IF(OR(L253={"改紡","檢修","了機","清車","FINAL","停機","SAMPLE","TEST"}), "", IFERROR(IF(C253="", "", AVERAGE(L253:M253, P253:Q253, T253:U253, X253:Y253)/100), ""))</f>
        <v>96.363749999999996</v>
      </c>
      <c r="AD253" s="984">
        <f t="shared" si="35"/>
        <v>2.4583333333333335</v>
      </c>
      <c r="AE253" s="984">
        <f t="shared" si="45"/>
        <v>2.4166666666666665</v>
      </c>
      <c r="AF253" s="985" t="str">
        <f t="shared" si="36"/>
        <v>A</v>
      </c>
      <c r="AG253" s="1414">
        <v>1</v>
      </c>
      <c r="AH253" s="1002" t="s">
        <v>641</v>
      </c>
      <c r="AI253" s="1002" t="s">
        <v>829</v>
      </c>
      <c r="AJ253" s="986" t="s">
        <v>725</v>
      </c>
      <c r="AK253" s="1417" t="s">
        <v>725</v>
      </c>
      <c r="AL253" s="1415">
        <v>57</v>
      </c>
      <c r="AM253" s="1324">
        <v>46086</v>
      </c>
      <c r="AN253" s="1323">
        <v>46087</v>
      </c>
      <c r="AO253" s="1323">
        <v>46088</v>
      </c>
      <c r="AP253" s="1323"/>
      <c r="AQ253" s="1323"/>
      <c r="AR253" s="987"/>
      <c r="AS253" s="978" t="str">
        <f t="shared" si="37"/>
        <v>單</v>
      </c>
      <c r="AT253" s="978" t="str">
        <f t="shared" si="38"/>
        <v>全</v>
      </c>
      <c r="AU253" s="978">
        <f t="shared" si="39"/>
        <v>50</v>
      </c>
      <c r="AV253" s="978">
        <f t="shared" si="40"/>
        <v>1.049054328</v>
      </c>
    </row>
    <row r="254" spans="1:48">
      <c r="A254" s="975">
        <f t="shared" si="46"/>
        <v>46149</v>
      </c>
      <c r="B254" s="976" t="s">
        <v>220</v>
      </c>
      <c r="C254" s="976" t="s">
        <v>632</v>
      </c>
      <c r="D254" s="1410"/>
      <c r="E254" s="977" t="str">
        <f>IFERROR(VLOOKUP(C254, [6]條件!$A:$L, 5, 0), "")</f>
        <v/>
      </c>
      <c r="F254" s="978" t="str">
        <f>IFERROR(VLOOKUP(C254, [6]條件!$A:$L, 6, 0), "")</f>
        <v/>
      </c>
      <c r="G254" s="1411" t="str">
        <f>IFERROR(VLOOKUP(C254, [6]條件!$A:$L, 7, 0), "")</f>
        <v/>
      </c>
      <c r="H254" s="978" t="str">
        <f>IF(ISNA(VLOOKUP(C254,[6]條件!$A$1:$K$932,11,0)),"",(VLOOKUP(C254,[6]條件!$A$1:$K$932,11,0)))</f>
        <v/>
      </c>
      <c r="I254" s="979" t="str">
        <f>IF(ISNA(VLOOKUP(C254,[6]條件!$A$1:$L$932,12,0)),"",(VLOOKUP(C254,[6]條件!$A$1:$L$932,12,0)))</f>
        <v/>
      </c>
      <c r="J254" s="982"/>
      <c r="K254" s="980"/>
      <c r="L254" s="981" t="s">
        <v>632</v>
      </c>
      <c r="M254" s="983"/>
      <c r="N254" s="982"/>
      <c r="O254" s="980"/>
      <c r="P254" s="981" t="s">
        <v>632</v>
      </c>
      <c r="Q254" s="983"/>
      <c r="R254" s="982"/>
      <c r="S254" s="980"/>
      <c r="T254" s="981" t="s">
        <v>632</v>
      </c>
      <c r="U254" s="983"/>
      <c r="V254" s="982"/>
      <c r="W254" s="980"/>
      <c r="X254" s="981" t="s">
        <v>632</v>
      </c>
      <c r="Y254" s="983"/>
      <c r="Z254" s="1412" t="str">
        <f>IFERROR(VLOOKUP(C254, [6]條件!$A:$L, 3, 0), "")</f>
        <v/>
      </c>
      <c r="AA254" s="984" t="str">
        <f>IF(OR(L254={"改紡","檢修","了機","清車","FINAL","停機","SAMPLE","TEST","絲開發"}), L254, IFERROR(IF(C254="", "", (SUM(J254, N254, R254, V254)/3 * AG254) * IF(AND(AF254="S", AS254="雙"), 0.5, 1)), ""))</f>
        <v>停機</v>
      </c>
      <c r="AB254" s="1413" t="str">
        <f t="shared" si="44"/>
        <v/>
      </c>
      <c r="AC254" s="984" t="str">
        <f>IF(OR(L254={"改紡","檢修","了機","清車","FINAL","停機","SAMPLE","TEST"}), "", IFERROR(IF(C254="", "", AVERAGE(L254:M254, P254:Q254, T254:U254, X254:Y254)/100), ""))</f>
        <v/>
      </c>
      <c r="AD254" s="984" t="str">
        <f t="shared" si="35"/>
        <v/>
      </c>
      <c r="AE254" s="984" t="str">
        <f t="shared" si="45"/>
        <v/>
      </c>
      <c r="AF254" s="985" t="str">
        <f t="shared" si="36"/>
        <v>A</v>
      </c>
      <c r="AG254" s="1414">
        <v>1</v>
      </c>
      <c r="AH254" s="1002" t="s">
        <v>640</v>
      </c>
      <c r="AI254" s="1002" t="s">
        <v>640</v>
      </c>
      <c r="AJ254" s="986" t="s">
        <v>640</v>
      </c>
      <c r="AK254" s="1417" t="s">
        <v>640</v>
      </c>
      <c r="AL254" s="1415"/>
      <c r="AM254" s="1323"/>
      <c r="AN254" s="1323"/>
      <c r="AO254" s="1323"/>
      <c r="AP254" s="1323"/>
      <c r="AQ254" s="1323"/>
      <c r="AR254" s="987"/>
      <c r="AS254" s="978" t="str">
        <f t="shared" si="37"/>
        <v>單</v>
      </c>
      <c r="AT254" s="978" t="str">
        <f t="shared" si="38"/>
        <v>全</v>
      </c>
      <c r="AU254" s="978" t="str">
        <f t="shared" si="39"/>
        <v/>
      </c>
      <c r="AV254" s="978" t="str">
        <f t="shared" si="40"/>
        <v/>
      </c>
    </row>
    <row r="255" spans="1:48">
      <c r="A255" s="975">
        <f t="shared" si="46"/>
        <v>46149</v>
      </c>
      <c r="B255" s="976" t="s">
        <v>221</v>
      </c>
      <c r="C255" s="976" t="s">
        <v>16763</v>
      </c>
      <c r="D255" s="1410"/>
      <c r="E255" s="977" t="str">
        <f>IFERROR(VLOOKUP(C255, [6]條件!$A:$L, 5, 0), "")</f>
        <v>150/48CDR</v>
      </c>
      <c r="F255" s="978" t="str">
        <f>IFERROR(VLOOKUP(C255, [6]條件!$A:$L, 6, 0), "")</f>
        <v>FP82781</v>
      </c>
      <c r="G255" s="1411">
        <f>IFERROR(VLOOKUP(C255, [6]條件!$A:$L, 7, 0), "")</f>
        <v>600</v>
      </c>
      <c r="H255" s="978" t="str">
        <f>IF(ISNA(VLOOKUP(C255,[6]條件!$A$1:$K$932,11,0)),"",(VLOOKUP(C255,[6]條件!$A$1:$K$932,11,0)))</f>
        <v>綠藍雙色</v>
      </c>
      <c r="I255" s="979">
        <f>IF(ISNA(VLOOKUP(C255,[6]條件!$A$1:$L$932,12,0)),"",(VLOOKUP(C255,[6]條件!$A$1:$L$932,12,0)))</f>
        <v>5</v>
      </c>
      <c r="J255" s="982">
        <v>16</v>
      </c>
      <c r="K255" s="980">
        <v>0</v>
      </c>
      <c r="L255" s="981">
        <v>8622</v>
      </c>
      <c r="M255" s="983">
        <v>8251</v>
      </c>
      <c r="N255" s="982">
        <v>9</v>
      </c>
      <c r="O255" s="980">
        <v>0</v>
      </c>
      <c r="P255" s="981">
        <v>8701</v>
      </c>
      <c r="Q255" s="983">
        <v>8418</v>
      </c>
      <c r="R255" s="982">
        <v>3</v>
      </c>
      <c r="S255" s="980">
        <v>0</v>
      </c>
      <c r="T255" s="981">
        <v>8730</v>
      </c>
      <c r="U255" s="983">
        <v>8471</v>
      </c>
      <c r="V255" s="982">
        <v>10</v>
      </c>
      <c r="W255" s="980">
        <v>2</v>
      </c>
      <c r="X255" s="981">
        <v>8743</v>
      </c>
      <c r="Y255" s="983">
        <v>8348</v>
      </c>
      <c r="Z255" s="1412">
        <f>IFERROR(VLOOKUP(C255, [6]條件!$A:$L, 3, 0), "")</f>
        <v>2.8685258964143427</v>
      </c>
      <c r="AA255" s="984">
        <f>IF(OR(L255={"改紡","檢修","了機","清車","FINAL","停機","SAMPLE","TEST","絲開發"}), L255, IFERROR(IF(C255="", "", (SUM(J255, N255, R255, V255)/3 * AG255) * IF(AND(AF255="S", AS255="雙"), 0.5, 1)), ""))</f>
        <v>12.666666666666666</v>
      </c>
      <c r="AB255" s="1413">
        <f t="shared" si="44"/>
        <v>0.99664797008547013</v>
      </c>
      <c r="AC255" s="984">
        <f>IF(OR(L255={"改紡","檢修","了機","清車","FINAL","停機","SAMPLE","TEST"}), "", IFERROR(IF(C255="", "", AVERAGE(L255:M255, P255:Q255, T255:U255, X255:Y255)/100), ""))</f>
        <v>85.355000000000004</v>
      </c>
      <c r="AD255" s="984">
        <f t="shared" si="35"/>
        <v>1.5833333333333333</v>
      </c>
      <c r="AE255" s="984">
        <f t="shared" si="45"/>
        <v>1.5</v>
      </c>
      <c r="AF255" s="985" t="str">
        <f t="shared" si="36"/>
        <v>A</v>
      </c>
      <c r="AG255" s="1414">
        <v>1</v>
      </c>
      <c r="AH255" s="1002" t="s">
        <v>641</v>
      </c>
      <c r="AI255" s="1002" t="s">
        <v>829</v>
      </c>
      <c r="AJ255" s="986" t="s">
        <v>725</v>
      </c>
      <c r="AK255" s="1417" t="s">
        <v>725</v>
      </c>
      <c r="AL255" s="1415">
        <v>54</v>
      </c>
      <c r="AM255" s="1323">
        <v>46144</v>
      </c>
      <c r="AN255" s="1323">
        <v>46145</v>
      </c>
      <c r="AO255" s="1323">
        <v>46146</v>
      </c>
      <c r="AP255" s="1323">
        <v>46147</v>
      </c>
      <c r="AQ255" s="1323">
        <v>46148</v>
      </c>
      <c r="AR255" s="987"/>
      <c r="AS255" s="978" t="str">
        <f t="shared" si="37"/>
        <v>單</v>
      </c>
      <c r="AT255" s="978" t="str">
        <f t="shared" si="38"/>
        <v>全</v>
      </c>
      <c r="AU255" s="978">
        <f t="shared" si="39"/>
        <v>150</v>
      </c>
      <c r="AV255" s="978">
        <f t="shared" si="40"/>
        <v>2.6548819199999998</v>
      </c>
    </row>
    <row r="256" spans="1:48">
      <c r="A256" s="975">
        <f t="shared" si="46"/>
        <v>46149</v>
      </c>
      <c r="B256" s="976" t="s">
        <v>222</v>
      </c>
      <c r="C256" s="976" t="s">
        <v>632</v>
      </c>
      <c r="D256" s="1410"/>
      <c r="E256" s="977" t="str">
        <f>IFERROR(VLOOKUP(C256, [6]條件!$A:$L, 5, 0), "")</f>
        <v/>
      </c>
      <c r="F256" s="978" t="str">
        <f>IFERROR(VLOOKUP(C256, [6]條件!$A:$L, 6, 0), "")</f>
        <v/>
      </c>
      <c r="G256" s="1411" t="str">
        <f>IFERROR(VLOOKUP(C256, [6]條件!$A:$L, 7, 0), "")</f>
        <v/>
      </c>
      <c r="H256" s="978" t="str">
        <f>IF(ISNA(VLOOKUP(C256,[6]條件!$A$1:$K$932,11,0)),"",(VLOOKUP(C256,[6]條件!$A$1:$K$932,11,0)))</f>
        <v/>
      </c>
      <c r="I256" s="979" t="str">
        <f>IF(ISNA(VLOOKUP(C256,[6]條件!$A$1:$L$932,12,0)),"",(VLOOKUP(C256,[6]條件!$A$1:$L$932,12,0)))</f>
        <v/>
      </c>
      <c r="J256" s="982"/>
      <c r="K256" s="980"/>
      <c r="L256" s="981" t="s">
        <v>632</v>
      </c>
      <c r="M256" s="983"/>
      <c r="N256" s="982"/>
      <c r="O256" s="980"/>
      <c r="P256" s="981" t="s">
        <v>632</v>
      </c>
      <c r="Q256" s="983"/>
      <c r="R256" s="982"/>
      <c r="S256" s="980"/>
      <c r="T256" s="981" t="s">
        <v>632</v>
      </c>
      <c r="U256" s="983"/>
      <c r="V256" s="982"/>
      <c r="W256" s="980"/>
      <c r="X256" s="981" t="s">
        <v>632</v>
      </c>
      <c r="Y256" s="983"/>
      <c r="Z256" s="1412" t="str">
        <f>IFERROR(VLOOKUP(C256, [6]條件!$A:$L, 3, 0), "")</f>
        <v/>
      </c>
      <c r="AA256" s="984" t="str">
        <f>IF(OR(L256={"改紡","檢修","了機","清車","FINAL","停機","SAMPLE","TEST","絲開發"}), L256, IFERROR(IF(C256="", "", (SUM(J256, N256, R256, V256)/3 * AG256) * IF(AND(AF256="S", AS256="雙"), 0.5, 1)), ""))</f>
        <v>停機</v>
      </c>
      <c r="AB256" s="1413" t="str">
        <f t="shared" si="44"/>
        <v/>
      </c>
      <c r="AC256" s="984" t="str">
        <f>IF(OR(L256={"改紡","檢修","了機","清車","FINAL","停機","SAMPLE","TEST"}), "", IFERROR(IF(C256="", "", AVERAGE(L256:M256, P256:Q256, T256:U256, X256:Y256)/100), ""))</f>
        <v/>
      </c>
      <c r="AD256" s="984" t="str">
        <f t="shared" si="35"/>
        <v/>
      </c>
      <c r="AE256" s="984" t="str">
        <f t="shared" si="45"/>
        <v/>
      </c>
      <c r="AF256" s="985" t="str">
        <f t="shared" si="36"/>
        <v>A</v>
      </c>
      <c r="AG256" s="1414">
        <v>1</v>
      </c>
      <c r="AH256" s="1002" t="s">
        <v>640</v>
      </c>
      <c r="AI256" s="1002" t="s">
        <v>640</v>
      </c>
      <c r="AJ256" s="986" t="s">
        <v>640</v>
      </c>
      <c r="AK256" s="1417" t="s">
        <v>640</v>
      </c>
      <c r="AL256" s="1415"/>
      <c r="AM256" s="1323"/>
      <c r="AN256" s="1323"/>
      <c r="AO256" s="1323"/>
      <c r="AP256" s="1323"/>
      <c r="AQ256" s="1323"/>
      <c r="AR256" s="987"/>
      <c r="AS256" s="978" t="str">
        <f t="shared" si="37"/>
        <v>單</v>
      </c>
      <c r="AT256" s="978" t="str">
        <f t="shared" si="38"/>
        <v>全</v>
      </c>
      <c r="AU256" s="978" t="str">
        <f t="shared" si="39"/>
        <v/>
      </c>
      <c r="AV256" s="978" t="str">
        <f t="shared" si="40"/>
        <v/>
      </c>
    </row>
    <row r="257" spans="1:48">
      <c r="A257" s="975">
        <f t="shared" si="46"/>
        <v>46149</v>
      </c>
      <c r="B257" s="976" t="s">
        <v>223</v>
      </c>
      <c r="C257" s="976" t="s">
        <v>632</v>
      </c>
      <c r="D257" s="1410"/>
      <c r="E257" s="977" t="str">
        <f>IFERROR(VLOOKUP(C257, [6]條件!$A:$L, 5, 0), "")</f>
        <v/>
      </c>
      <c r="F257" s="978" t="str">
        <f>IFERROR(VLOOKUP(C257, [6]條件!$A:$L, 6, 0), "")</f>
        <v/>
      </c>
      <c r="G257" s="1411" t="str">
        <f>IFERROR(VLOOKUP(C257, [6]條件!$A:$L, 7, 0), "")</f>
        <v/>
      </c>
      <c r="H257" s="978" t="str">
        <f>IF(ISNA(VLOOKUP(C257,[6]條件!$A$1:$K$932,11,0)),"",(VLOOKUP(C257,[6]條件!$A$1:$K$932,11,0)))</f>
        <v/>
      </c>
      <c r="I257" s="979" t="str">
        <f>IF(ISNA(VLOOKUP(C257,[6]條件!$A$1:$L$932,12,0)),"",(VLOOKUP(C257,[6]條件!$A$1:$L$932,12,0)))</f>
        <v/>
      </c>
      <c r="J257" s="982"/>
      <c r="K257" s="980"/>
      <c r="L257" s="981" t="s">
        <v>632</v>
      </c>
      <c r="M257" s="983"/>
      <c r="N257" s="982"/>
      <c r="O257" s="980"/>
      <c r="P257" s="981" t="s">
        <v>632</v>
      </c>
      <c r="Q257" s="983"/>
      <c r="R257" s="982"/>
      <c r="S257" s="980"/>
      <c r="T257" s="981" t="s">
        <v>632</v>
      </c>
      <c r="U257" s="983"/>
      <c r="V257" s="982"/>
      <c r="W257" s="980"/>
      <c r="X257" s="981" t="s">
        <v>632</v>
      </c>
      <c r="Y257" s="983"/>
      <c r="Z257" s="1412" t="str">
        <f>IFERROR(VLOOKUP(C257, [6]條件!$A:$L, 3, 0), "")</f>
        <v/>
      </c>
      <c r="AA257" s="984" t="str">
        <f>IF(OR(L257={"改紡","檢修","了機","清車","FINAL","停機","SAMPLE","TEST","絲開發"}), L257, IFERROR(IF(C257="", "", (SUM(J257, N257, R257, V257)/3 * AG257) * IF(AND(AF257="S", AS257="雙"), 0.5, 1)), ""))</f>
        <v>停機</v>
      </c>
      <c r="AB257" s="1413" t="str">
        <f t="shared" si="44"/>
        <v/>
      </c>
      <c r="AC257" s="984" t="str">
        <f>IF(OR(L257={"改紡","檢修","了機","清車","FINAL","停機","SAMPLE","TEST"}), "", IFERROR(IF(C257="", "", AVERAGE(L257:M257, P257:Q257, T257:U257, X257:Y257)/100), ""))</f>
        <v/>
      </c>
      <c r="AD257" s="984" t="str">
        <f t="shared" si="35"/>
        <v/>
      </c>
      <c r="AE257" s="984" t="str">
        <f t="shared" si="45"/>
        <v/>
      </c>
      <c r="AF257" s="985" t="str">
        <f t="shared" si="36"/>
        <v>A</v>
      </c>
      <c r="AG257" s="1414">
        <v>1</v>
      </c>
      <c r="AH257" s="1002" t="s">
        <v>640</v>
      </c>
      <c r="AI257" s="1002" t="s">
        <v>640</v>
      </c>
      <c r="AJ257" s="986" t="s">
        <v>640</v>
      </c>
      <c r="AK257" s="1417" t="s">
        <v>640</v>
      </c>
      <c r="AL257" s="1415"/>
      <c r="AM257" s="1324"/>
      <c r="AN257" s="1323"/>
      <c r="AO257" s="1323"/>
      <c r="AP257" s="1323"/>
      <c r="AQ257" s="1323"/>
      <c r="AR257" s="987"/>
      <c r="AS257" s="978" t="str">
        <f t="shared" si="37"/>
        <v>單</v>
      </c>
      <c r="AT257" s="978" t="str">
        <f t="shared" si="38"/>
        <v>全</v>
      </c>
      <c r="AU257" s="978" t="str">
        <f t="shared" si="39"/>
        <v/>
      </c>
      <c r="AV257" s="978" t="str">
        <f t="shared" si="40"/>
        <v/>
      </c>
    </row>
    <row r="258" spans="1:48">
      <c r="A258" s="975">
        <f t="shared" si="46"/>
        <v>46149</v>
      </c>
      <c r="B258" s="976" t="s">
        <v>224</v>
      </c>
      <c r="C258" s="976" t="s">
        <v>16734</v>
      </c>
      <c r="D258" s="1410" t="s">
        <v>633</v>
      </c>
      <c r="E258" s="977" t="str">
        <f>IFERROR(VLOOKUP(C258, [6]條件!$A:$L, 5, 0), "")</f>
        <v>75/24/2SDr</v>
      </c>
      <c r="F258" s="978" t="str">
        <f>IFERROR(VLOOKUP(C258, [6]條件!$A:$L, 6, 0), "")</f>
        <v>FP81382R×2</v>
      </c>
      <c r="G258" s="1411">
        <f>IFERROR(VLOOKUP(C258, [6]條件!$A:$L, 7, 0), "")</f>
        <v>700</v>
      </c>
      <c r="H258" s="978" t="str">
        <f>IF(ISNA(VLOOKUP(C258,[6]條件!$A$1:$K$932,11,0)),"",(VLOOKUP(C258,[6]條件!$A$1:$K$932,11,0)))</f>
        <v>白底紫三角</v>
      </c>
      <c r="I258" s="979">
        <f>IF(ISNA(VLOOKUP(C258,[6]條件!$A$1:$L$932,12,0)),"",(VLOOKUP(C258,[6]條件!$A$1:$L$932,12,0)))</f>
        <v>5</v>
      </c>
      <c r="J258" s="982">
        <v>24</v>
      </c>
      <c r="K258" s="980">
        <v>0</v>
      </c>
      <c r="L258" s="981">
        <v>9305</v>
      </c>
      <c r="M258" s="983">
        <v>9157</v>
      </c>
      <c r="N258" s="982">
        <v>22</v>
      </c>
      <c r="O258" s="980">
        <v>0</v>
      </c>
      <c r="P258" s="981">
        <v>9543</v>
      </c>
      <c r="Q258" s="983">
        <v>9165</v>
      </c>
      <c r="R258" s="982">
        <v>16</v>
      </c>
      <c r="S258" s="980">
        <v>0</v>
      </c>
      <c r="T258" s="981">
        <v>9521</v>
      </c>
      <c r="U258" s="983">
        <v>9097</v>
      </c>
      <c r="V258" s="982">
        <v>24</v>
      </c>
      <c r="W258" s="980">
        <v>0</v>
      </c>
      <c r="X258" s="981">
        <v>9502</v>
      </c>
      <c r="Y258" s="983">
        <v>9134</v>
      </c>
      <c r="Z258" s="1412">
        <f>IFERROR(VLOOKUP(C258, [6]條件!$A:$L, 3, 0), "")</f>
        <v>3.2653061224489797</v>
      </c>
      <c r="AA258" s="984">
        <f>IF(OR(L258={"改紡","檢修","了機","清車","FINAL","停機","SAMPLE","TEST","絲開發"}), L258, IFERROR(IF(C258="", "", (SUM(J258, N258, R258, V258)/3 * AG258) * IF(AND(AF258="S", AS258="雙"), 0.5, 1)), ""))</f>
        <v>14.333333333333334</v>
      </c>
      <c r="AB258" s="1413">
        <f t="shared" si="44"/>
        <v>1</v>
      </c>
      <c r="AC258" s="984">
        <f>IF(OR(L258={"改紡","檢修","了機","清車","FINAL","停機","SAMPLE","TEST"}), "", IFERROR(IF(C258="", "", AVERAGE(L258:M258, P258:Q258, T258:U258, X258:Y258)/100), ""))</f>
        <v>93.03</v>
      </c>
      <c r="AD258" s="984">
        <f t="shared" ref="AD258:AD321" si="47">IF(ISERROR(AA258/8),"",(AA258/8))</f>
        <v>1.7916666666666667</v>
      </c>
      <c r="AE258" s="984">
        <f t="shared" si="45"/>
        <v>1.7916666666666667</v>
      </c>
      <c r="AF258" s="985" t="str">
        <f t="shared" ref="AF258:AF321" si="48">LEFT(B258, 1)</f>
        <v>A</v>
      </c>
      <c r="AG258" s="1414">
        <v>0.5</v>
      </c>
      <c r="AH258" s="1002" t="s">
        <v>629</v>
      </c>
      <c r="AI258" s="1002" t="s">
        <v>629</v>
      </c>
      <c r="AJ258" s="986" t="s">
        <v>15368</v>
      </c>
      <c r="AK258" s="1417" t="s">
        <v>15368</v>
      </c>
      <c r="AL258" s="1415">
        <v>50</v>
      </c>
      <c r="AM258" s="1323">
        <v>46105</v>
      </c>
      <c r="AN258" s="1323">
        <v>46107</v>
      </c>
      <c r="AO258" s="1323"/>
      <c r="AP258" s="1323"/>
      <c r="AQ258" s="1323"/>
      <c r="AR258" s="987"/>
      <c r="AS258" s="978" t="str">
        <f t="shared" ref="AS258:AS321" si="49">IF(RIGHT(F258, 2) = "×2", "雙", "單")</f>
        <v>雙</v>
      </c>
      <c r="AT258" s="978" t="str">
        <f t="shared" ref="AT258:AT321" si="50">IF(OR(AF258="J", AF258="T", AF258="M"), IF(AG258=1, "全", "半"), IF(AF258="A", IF(AG258=0.5, IF(AS258="雙", "全", ""), IF(AG258=1, IF(AS258="雙", "半", "全"), IF(AG258=2, "半", ""))), IF(AF258="S", AG258 &amp; "sec", "")))</f>
        <v>全</v>
      </c>
      <c r="AU258" s="978">
        <f t="shared" ref="AU258:AU321" si="51">IFERROR(VALUE(LEFT(E258, FIND("/", E258)-1)), "")</f>
        <v>75</v>
      </c>
      <c r="AV258" s="978">
        <f t="shared" ref="AV258:AV321" si="52">IFERROR(IF(AF258="S", (AU258*G258*AC258*0.03456/100/1000) * (AG258*12/144) * IF(AS258="單", 1, 0.5), IF(AF258="A", (AU258*G258*AC258*0.03456/100/1000) * IF(AT258="全", 1, 0.5), IF(OR(AF258="T", AF258="J", AF258="M"), (AU258*G258*AC258*0.03456/100/1000) * IF(AS258="單", 1, 2) * IF(AT258="全", 1, 0.5), 0))), "")</f>
        <v>1.6879363199999999</v>
      </c>
    </row>
    <row r="259" spans="1:48">
      <c r="A259" s="975">
        <f t="shared" si="46"/>
        <v>46149</v>
      </c>
      <c r="B259" s="976" t="s">
        <v>225</v>
      </c>
      <c r="C259" s="976" t="s">
        <v>16747</v>
      </c>
      <c r="D259" s="1410"/>
      <c r="E259" s="977" t="str">
        <f>IFERROR(VLOOKUP(C259, [6]條件!$A:$L, 5, 0), "")</f>
        <v>150/48SDR</v>
      </c>
      <c r="F259" s="978" t="str">
        <f>IFERROR(VLOOKUP(C259, [6]條件!$A:$L, 6, 0), "")</f>
        <v>FP82169R</v>
      </c>
      <c r="G259" s="1411">
        <f>IFERROR(VLOOKUP(C259, [6]條件!$A:$L, 7, 0), "")</f>
        <v>650</v>
      </c>
      <c r="H259" s="978" t="str">
        <f>IF(ISNA(VLOOKUP(C259,[6]條件!$A$1:$K$932,11,0)),"",(VLOOKUP(C259,[6]條件!$A$1:$K$932,11,0)))</f>
        <v>綠藍三角</v>
      </c>
      <c r="I259" s="979">
        <f>IF(ISNA(VLOOKUP(C259,[6]條件!$A$1:$L$932,12,0)),"",(VLOOKUP(C259,[6]條件!$A$1:$L$932,12,0)))</f>
        <v>5</v>
      </c>
      <c r="J259" s="982">
        <v>16</v>
      </c>
      <c r="K259" s="980">
        <v>0</v>
      </c>
      <c r="L259" s="981">
        <v>9468</v>
      </c>
      <c r="M259" s="983">
        <v>8902</v>
      </c>
      <c r="N259" s="982">
        <v>5</v>
      </c>
      <c r="O259" s="980">
        <v>0</v>
      </c>
      <c r="P259" s="981">
        <v>9519</v>
      </c>
      <c r="Q259" s="983">
        <v>8942</v>
      </c>
      <c r="R259" s="982">
        <v>18</v>
      </c>
      <c r="S259" s="980">
        <v>3</v>
      </c>
      <c r="T259" s="981">
        <v>9178</v>
      </c>
      <c r="U259" s="983">
        <v>8852</v>
      </c>
      <c r="V259" s="982">
        <v>20</v>
      </c>
      <c r="W259" s="980">
        <v>3</v>
      </c>
      <c r="X259" s="981">
        <v>9070</v>
      </c>
      <c r="Y259" s="983">
        <v>8541</v>
      </c>
      <c r="Z259" s="1412">
        <f>IFERROR(VLOOKUP(C259, [6]條件!$A:$L, 3, 0), "")</f>
        <v>3.0573248407643314</v>
      </c>
      <c r="AA259" s="984">
        <f>IF(OR(L259={"改紡","檢修","了機","清車","FINAL","停機","SAMPLE","TEST","絲開發"}), L259, IFERROR(IF(C259="", "", (SUM(J259, N259, R259, V259)/3 * AG259) * IF(AND(AF259="S", AS259="雙"), 0.5, 1)), ""))</f>
        <v>19.666666666666668</v>
      </c>
      <c r="AB259" s="1413">
        <f t="shared" si="44"/>
        <v>0.99056490384615381</v>
      </c>
      <c r="AC259" s="984">
        <f>IF(OR(L259={"改紡","檢修","了機","清車","FINAL","停機","SAMPLE","TEST"}), "", IFERROR(IF(C259="", "", AVERAGE(L259:M259, P259:Q259, T259:U259, X259:Y259)/100), ""))</f>
        <v>90.59</v>
      </c>
      <c r="AD259" s="984">
        <f t="shared" si="47"/>
        <v>2.4583333333333335</v>
      </c>
      <c r="AE259" s="984">
        <f t="shared" si="45"/>
        <v>2.2083333333333335</v>
      </c>
      <c r="AF259" s="985" t="str">
        <f t="shared" si="48"/>
        <v>A</v>
      </c>
      <c r="AG259" s="1414">
        <v>1</v>
      </c>
      <c r="AH259" s="1002" t="s">
        <v>641</v>
      </c>
      <c r="AI259" s="1002" t="s">
        <v>829</v>
      </c>
      <c r="AJ259" s="986" t="s">
        <v>637</v>
      </c>
      <c r="AK259" s="1417" t="s">
        <v>637</v>
      </c>
      <c r="AL259" s="1415">
        <v>48</v>
      </c>
      <c r="AM259" s="1323">
        <v>46148</v>
      </c>
      <c r="AN259" s="1323"/>
      <c r="AO259" s="1323"/>
      <c r="AP259" s="1323"/>
      <c r="AQ259" s="1323"/>
      <c r="AR259" s="987"/>
      <c r="AS259" s="978" t="str">
        <f t="shared" si="49"/>
        <v>單</v>
      </c>
      <c r="AT259" s="978" t="str">
        <f t="shared" si="50"/>
        <v>全</v>
      </c>
      <c r="AU259" s="978">
        <f t="shared" si="51"/>
        <v>150</v>
      </c>
      <c r="AV259" s="978">
        <f t="shared" si="52"/>
        <v>3.05252064</v>
      </c>
    </row>
    <row r="260" spans="1:48">
      <c r="A260" s="975">
        <f t="shared" si="46"/>
        <v>46149</v>
      </c>
      <c r="B260" s="976" t="s">
        <v>226</v>
      </c>
      <c r="C260" s="976" t="s">
        <v>632</v>
      </c>
      <c r="D260" s="1410"/>
      <c r="E260" s="977" t="str">
        <f>IFERROR(VLOOKUP(C260, [6]條件!$A:$L, 5, 0), "")</f>
        <v/>
      </c>
      <c r="F260" s="978" t="str">
        <f>IFERROR(VLOOKUP(C260, [6]條件!$A:$L, 6, 0), "")</f>
        <v/>
      </c>
      <c r="G260" s="1411" t="str">
        <f>IFERROR(VLOOKUP(C260, [6]條件!$A:$L, 7, 0), "")</f>
        <v/>
      </c>
      <c r="H260" s="978" t="str">
        <f>IF(ISNA(VLOOKUP(C260,[6]條件!$A$1:$K$932,11,0)),"",(VLOOKUP(C260,[6]條件!$A$1:$K$932,11,0)))</f>
        <v/>
      </c>
      <c r="I260" s="979" t="str">
        <f>IF(ISNA(VLOOKUP(C260,[6]條件!$A$1:$L$932,12,0)),"",(VLOOKUP(C260,[6]條件!$A$1:$L$932,12,0)))</f>
        <v/>
      </c>
      <c r="J260" s="982"/>
      <c r="K260" s="980"/>
      <c r="L260" s="981" t="s">
        <v>632</v>
      </c>
      <c r="M260" s="983"/>
      <c r="N260" s="982"/>
      <c r="O260" s="980"/>
      <c r="P260" s="981" t="s">
        <v>632</v>
      </c>
      <c r="Q260" s="983"/>
      <c r="R260" s="982"/>
      <c r="S260" s="980"/>
      <c r="T260" s="981" t="s">
        <v>632</v>
      </c>
      <c r="U260" s="983"/>
      <c r="V260" s="982"/>
      <c r="W260" s="980"/>
      <c r="X260" s="981" t="s">
        <v>632</v>
      </c>
      <c r="Y260" s="983"/>
      <c r="Z260" s="1412" t="str">
        <f>IFERROR(VLOOKUP(C260, [6]條件!$A:$L, 3, 0), "")</f>
        <v/>
      </c>
      <c r="AA260" s="984" t="str">
        <f>IF(OR(L260={"改紡","檢修","了機","清車","FINAL","停機","SAMPLE","TEST","絲開發"}), L260, IFERROR(IF(C260="", "", (SUM(J260, N260, R260, V260)/3 * AG260) * IF(AND(AF260="S", AS260="雙"), 0.5, 1)), ""))</f>
        <v>停機</v>
      </c>
      <c r="AB260" s="1413" t="str">
        <f t="shared" si="44"/>
        <v/>
      </c>
      <c r="AC260" s="984" t="str">
        <f>IF(OR(L260={"改紡","檢修","了機","清車","FINAL","停機","SAMPLE","TEST"}), "", IFERROR(IF(C260="", "", AVERAGE(L260:M260, P260:Q260, T260:U260, X260:Y260)/100), ""))</f>
        <v/>
      </c>
      <c r="AD260" s="984" t="str">
        <f t="shared" si="47"/>
        <v/>
      </c>
      <c r="AE260" s="984" t="str">
        <f t="shared" si="45"/>
        <v/>
      </c>
      <c r="AF260" s="985" t="str">
        <f t="shared" si="48"/>
        <v>A</v>
      </c>
      <c r="AG260" s="1414">
        <v>1</v>
      </c>
      <c r="AH260" s="1002" t="s">
        <v>640</v>
      </c>
      <c r="AI260" s="1002" t="s">
        <v>640</v>
      </c>
      <c r="AJ260" s="986" t="s">
        <v>640</v>
      </c>
      <c r="AK260" s="1417" t="s">
        <v>640</v>
      </c>
      <c r="AL260" s="1415"/>
      <c r="AM260" s="1323"/>
      <c r="AN260" s="1323"/>
      <c r="AO260" s="1323"/>
      <c r="AP260" s="1323"/>
      <c r="AQ260" s="1323"/>
      <c r="AR260" s="987"/>
      <c r="AS260" s="978" t="str">
        <f t="shared" si="49"/>
        <v>單</v>
      </c>
      <c r="AT260" s="978" t="str">
        <f t="shared" si="50"/>
        <v>全</v>
      </c>
      <c r="AU260" s="978" t="str">
        <f t="shared" si="51"/>
        <v/>
      </c>
      <c r="AV260" s="978" t="str">
        <f t="shared" si="52"/>
        <v/>
      </c>
    </row>
    <row r="261" spans="1:48">
      <c r="A261" s="975">
        <f t="shared" si="46"/>
        <v>46149</v>
      </c>
      <c r="B261" s="976" t="s">
        <v>227</v>
      </c>
      <c r="C261" s="976" t="s">
        <v>16712</v>
      </c>
      <c r="D261" s="1410"/>
      <c r="E261" s="977" t="str">
        <f>IFERROR(VLOOKUP(C261, [6]條件!$A:$L, 5, 0), "")</f>
        <v>100/36SDr</v>
      </c>
      <c r="F261" s="978" t="str">
        <f>IFERROR(VLOOKUP(C261, [6]條件!$A:$L, 6, 0), "")</f>
        <v>FP81384R</v>
      </c>
      <c r="G261" s="1411">
        <f>IFERROR(VLOOKUP(C261, [6]條件!$A:$L, 7, 0), "")</f>
        <v>700</v>
      </c>
      <c r="H261" s="978" t="str">
        <f>IF(ISNA(VLOOKUP(C261,[6]條件!$A$1:$K$932,11,0)),"",(VLOOKUP(C261,[6]條件!$A$1:$K$932,11,0)))</f>
        <v>白底紅三角</v>
      </c>
      <c r="I261" s="979">
        <f>IF(ISNA(VLOOKUP(C261,[6]條件!$A$1:$L$932,12,0)),"",(VLOOKUP(C261,[6]條件!$A$1:$L$932,12,0)))</f>
        <v>5</v>
      </c>
      <c r="J261" s="982">
        <v>28</v>
      </c>
      <c r="K261" s="980">
        <v>0</v>
      </c>
      <c r="L261" s="981">
        <v>7560</v>
      </c>
      <c r="M261" s="983">
        <v>7946</v>
      </c>
      <c r="N261" s="982">
        <v>5</v>
      </c>
      <c r="O261" s="980">
        <v>0</v>
      </c>
      <c r="P261" s="981">
        <v>7588</v>
      </c>
      <c r="Q261" s="983">
        <v>8088</v>
      </c>
      <c r="R261" s="982">
        <v>18</v>
      </c>
      <c r="S261" s="980">
        <v>0</v>
      </c>
      <c r="T261" s="981">
        <v>7332</v>
      </c>
      <c r="U261" s="983">
        <v>7983</v>
      </c>
      <c r="V261" s="982">
        <v>11</v>
      </c>
      <c r="W261" s="980">
        <v>0</v>
      </c>
      <c r="X261" s="981">
        <v>7593</v>
      </c>
      <c r="Y261" s="983">
        <v>8175</v>
      </c>
      <c r="Z261" s="1412">
        <f>IFERROR(VLOOKUP(C261, [6]條件!$A:$L, 3, 0), "")</f>
        <v>2.2187981510015407</v>
      </c>
      <c r="AA261" s="984">
        <f>IF(OR(L261={"改紡","檢修","了機","清車","FINAL","停機","SAMPLE","TEST","絲開發"}), L261, IFERROR(IF(C261="", "", (SUM(J261, N261, R261, V261)/3 * AG261) * IF(AND(AF261="S", AS261="雙"), 0.5, 1)), ""))</f>
        <v>20.666666666666668</v>
      </c>
      <c r="AB261" s="1413">
        <f t="shared" si="44"/>
        <v>1</v>
      </c>
      <c r="AC261" s="984">
        <f>IF(OR(L261={"改紡","檢修","了機","清車","FINAL","停機","SAMPLE","TEST"}), "", IFERROR(IF(C261="", "", AVERAGE(L261:M261, P261:Q261, T261:U261, X261:Y261)/100), ""))</f>
        <v>77.831249999999997</v>
      </c>
      <c r="AD261" s="984">
        <f t="shared" si="47"/>
        <v>2.5833333333333335</v>
      </c>
      <c r="AE261" s="984">
        <f t="shared" si="45"/>
        <v>2.5833333333333335</v>
      </c>
      <c r="AF261" s="985" t="str">
        <f t="shared" si="48"/>
        <v>A</v>
      </c>
      <c r="AG261" s="1414">
        <v>1</v>
      </c>
      <c r="AH261" s="1002" t="s">
        <v>629</v>
      </c>
      <c r="AI261" s="1002" t="s">
        <v>629</v>
      </c>
      <c r="AJ261" s="986" t="s">
        <v>15368</v>
      </c>
      <c r="AK261" s="1417" t="s">
        <v>15368</v>
      </c>
      <c r="AL261" s="1415">
        <v>50</v>
      </c>
      <c r="AM261" s="1323">
        <v>46135</v>
      </c>
      <c r="AN261" s="1323">
        <v>46136</v>
      </c>
      <c r="AO261" s="1323">
        <v>46137</v>
      </c>
      <c r="AP261" s="1323">
        <v>46138</v>
      </c>
      <c r="AQ261" s="1323"/>
      <c r="AR261" s="987"/>
      <c r="AS261" s="978" t="str">
        <f t="shared" si="49"/>
        <v>單</v>
      </c>
      <c r="AT261" s="978" t="str">
        <f t="shared" si="50"/>
        <v>全</v>
      </c>
      <c r="AU261" s="978">
        <f t="shared" si="51"/>
        <v>100</v>
      </c>
      <c r="AV261" s="978">
        <f t="shared" si="52"/>
        <v>1.8828936000000001</v>
      </c>
    </row>
    <row r="262" spans="1:48">
      <c r="A262" s="975">
        <f t="shared" si="46"/>
        <v>46149</v>
      </c>
      <c r="B262" s="976" t="s">
        <v>228</v>
      </c>
      <c r="C262" s="976" t="s">
        <v>632</v>
      </c>
      <c r="D262" s="1410"/>
      <c r="E262" s="977" t="str">
        <f>IFERROR(VLOOKUP(C262, [6]條件!$A:$L, 5, 0), "")</f>
        <v/>
      </c>
      <c r="F262" s="978" t="str">
        <f>IFERROR(VLOOKUP(C262, [6]條件!$A:$L, 6, 0), "")</f>
        <v/>
      </c>
      <c r="G262" s="1411" t="str">
        <f>IFERROR(VLOOKUP(C262, [6]條件!$A:$L, 7, 0), "")</f>
        <v/>
      </c>
      <c r="H262" s="978" t="str">
        <f>IF(ISNA(VLOOKUP(C262,[6]條件!$A$1:$K$932,11,0)),"",(VLOOKUP(C262,[6]條件!$A$1:$K$932,11,0)))</f>
        <v/>
      </c>
      <c r="I262" s="979" t="str">
        <f>IF(ISNA(VLOOKUP(C262,[6]條件!$A$1:$L$932,12,0)),"",(VLOOKUP(C262,[6]條件!$A$1:$L$932,12,0)))</f>
        <v/>
      </c>
      <c r="J262" s="982"/>
      <c r="K262" s="980"/>
      <c r="L262" s="981" t="s">
        <v>632</v>
      </c>
      <c r="M262" s="983"/>
      <c r="N262" s="982"/>
      <c r="O262" s="980"/>
      <c r="P262" s="981" t="s">
        <v>632</v>
      </c>
      <c r="Q262" s="983"/>
      <c r="R262" s="982"/>
      <c r="S262" s="980"/>
      <c r="T262" s="981" t="s">
        <v>632</v>
      </c>
      <c r="U262" s="983"/>
      <c r="V262" s="982"/>
      <c r="W262" s="980"/>
      <c r="X262" s="981" t="s">
        <v>632</v>
      </c>
      <c r="Y262" s="983"/>
      <c r="Z262" s="1412" t="str">
        <f>IFERROR(VLOOKUP(C262, [6]條件!$A:$L, 3, 0), "")</f>
        <v/>
      </c>
      <c r="AA262" s="984" t="str">
        <f>IF(OR(L262={"改紡","檢修","了機","清車","FINAL","停機","SAMPLE","TEST","絲開發"}), L262, IFERROR(IF(C262="", "", (SUM(J262, N262, R262, V262)/3 * AG262) * IF(AND(AF262="S", AS262="雙"), 0.5, 1)), ""))</f>
        <v>停機</v>
      </c>
      <c r="AB262" s="1413" t="str">
        <f t="shared" si="44"/>
        <v/>
      </c>
      <c r="AC262" s="984" t="str">
        <f>IF(OR(L262={"改紡","檢修","了機","清車","FINAL","停機","SAMPLE","TEST"}), "", IFERROR(IF(C262="", "", AVERAGE(L262:M262, P262:Q262, T262:U262, X262:Y262)/100), ""))</f>
        <v/>
      </c>
      <c r="AD262" s="984" t="str">
        <f t="shared" si="47"/>
        <v/>
      </c>
      <c r="AE262" s="984" t="str">
        <f t="shared" si="45"/>
        <v/>
      </c>
      <c r="AF262" s="985" t="str">
        <f t="shared" si="48"/>
        <v>A</v>
      </c>
      <c r="AG262" s="1414">
        <v>1</v>
      </c>
      <c r="AH262" s="1002" t="s">
        <v>640</v>
      </c>
      <c r="AI262" s="1002" t="s">
        <v>640</v>
      </c>
      <c r="AJ262" s="986" t="s">
        <v>640</v>
      </c>
      <c r="AK262" s="1417" t="s">
        <v>640</v>
      </c>
      <c r="AL262" s="1420"/>
      <c r="AM262" s="1323"/>
      <c r="AN262" s="1323"/>
      <c r="AO262" s="1323"/>
      <c r="AP262" s="1323"/>
      <c r="AQ262" s="1323"/>
      <c r="AR262" s="987"/>
      <c r="AS262" s="978" t="str">
        <f t="shared" si="49"/>
        <v>單</v>
      </c>
      <c r="AT262" s="978" t="str">
        <f t="shared" si="50"/>
        <v>全</v>
      </c>
      <c r="AU262" s="978" t="str">
        <f t="shared" si="51"/>
        <v/>
      </c>
      <c r="AV262" s="978" t="str">
        <f t="shared" si="52"/>
        <v/>
      </c>
    </row>
    <row r="263" spans="1:48">
      <c r="A263" s="975">
        <f t="shared" si="46"/>
        <v>46149</v>
      </c>
      <c r="B263" s="976" t="s">
        <v>229</v>
      </c>
      <c r="C263" s="976" t="s">
        <v>632</v>
      </c>
      <c r="D263" s="1410"/>
      <c r="E263" s="977" t="str">
        <f>IFERROR(VLOOKUP(C263, [6]條件!$A:$L, 5, 0), "")</f>
        <v/>
      </c>
      <c r="F263" s="978" t="str">
        <f>IFERROR(VLOOKUP(C263, [6]條件!$A:$L, 6, 0), "")</f>
        <v/>
      </c>
      <c r="G263" s="1411" t="str">
        <f>IFERROR(VLOOKUP(C263, [6]條件!$A:$L, 7, 0), "")</f>
        <v/>
      </c>
      <c r="H263" s="978" t="str">
        <f>IF(ISNA(VLOOKUP(C263,[6]條件!$A$1:$K$932,11,0)),"",(VLOOKUP(C263,[6]條件!$A$1:$K$932,11,0)))</f>
        <v/>
      </c>
      <c r="I263" s="979" t="str">
        <f>IF(ISNA(VLOOKUP(C263,[6]條件!$A$1:$L$932,12,0)),"",(VLOOKUP(C263,[6]條件!$A$1:$L$932,12,0)))</f>
        <v/>
      </c>
      <c r="J263" s="982"/>
      <c r="K263" s="980"/>
      <c r="L263" s="981" t="s">
        <v>632</v>
      </c>
      <c r="M263" s="983"/>
      <c r="N263" s="982"/>
      <c r="O263" s="980"/>
      <c r="P263" s="981" t="s">
        <v>632</v>
      </c>
      <c r="Q263" s="983"/>
      <c r="R263" s="982"/>
      <c r="S263" s="980"/>
      <c r="T263" s="981" t="s">
        <v>632</v>
      </c>
      <c r="U263" s="983"/>
      <c r="V263" s="982"/>
      <c r="W263" s="980"/>
      <c r="X263" s="981" t="s">
        <v>632</v>
      </c>
      <c r="Y263" s="983"/>
      <c r="Z263" s="1412" t="str">
        <f>IFERROR(VLOOKUP(C263, [6]條件!$A:$L, 3, 0), "")</f>
        <v/>
      </c>
      <c r="AA263" s="984" t="str">
        <f>IF(OR(L263={"改紡","檢修","了機","清車","FINAL","停機","SAMPLE","TEST","絲開發"}), L263, IFERROR(IF(C263="", "", (SUM(J263, N263, R263, V263)/3 * AG263) * IF(AND(AF263="S", AS263="雙"), 0.5, 1)), ""))</f>
        <v>停機</v>
      </c>
      <c r="AB263" s="1413" t="str">
        <f t="shared" si="44"/>
        <v/>
      </c>
      <c r="AC263" s="984" t="str">
        <f>IF(OR(L263={"改紡","檢修","了機","清車","FINAL","停機","SAMPLE","TEST"}), "", IFERROR(IF(C263="", "", AVERAGE(L263:M263, P263:Q263, T263:U263, X263:Y263)/100), ""))</f>
        <v/>
      </c>
      <c r="AD263" s="984" t="str">
        <f t="shared" si="47"/>
        <v/>
      </c>
      <c r="AE263" s="984" t="str">
        <f t="shared" si="45"/>
        <v/>
      </c>
      <c r="AF263" s="985" t="str">
        <f t="shared" si="48"/>
        <v>A</v>
      </c>
      <c r="AG263" s="1414">
        <v>1</v>
      </c>
      <c r="AH263" s="1002" t="s">
        <v>640</v>
      </c>
      <c r="AI263" s="1002" t="s">
        <v>640</v>
      </c>
      <c r="AJ263" s="986" t="s">
        <v>640</v>
      </c>
      <c r="AK263" s="1417" t="s">
        <v>640</v>
      </c>
      <c r="AL263" s="1421"/>
      <c r="AM263" s="1323"/>
      <c r="AN263" s="1323"/>
      <c r="AO263" s="1323"/>
      <c r="AP263" s="1323"/>
      <c r="AQ263" s="1323"/>
      <c r="AR263" s="987"/>
      <c r="AS263" s="978" t="str">
        <f t="shared" si="49"/>
        <v>單</v>
      </c>
      <c r="AT263" s="978" t="str">
        <f t="shared" si="50"/>
        <v>全</v>
      </c>
      <c r="AU263" s="978" t="str">
        <f t="shared" si="51"/>
        <v/>
      </c>
      <c r="AV263" s="978" t="str">
        <f t="shared" si="52"/>
        <v/>
      </c>
    </row>
    <row r="264" spans="1:48">
      <c r="A264" s="975">
        <f t="shared" si="46"/>
        <v>46149</v>
      </c>
      <c r="B264" s="976" t="s">
        <v>230</v>
      </c>
      <c r="C264" s="976" t="s">
        <v>16751</v>
      </c>
      <c r="D264" s="1410"/>
      <c r="E264" s="977" t="str">
        <f>IFERROR(VLOOKUP(C264, [6]條件!$A:$L, 5, 0), "")</f>
        <v>150/48/2GY5</v>
      </c>
      <c r="F264" s="978" t="str">
        <f>IFERROR(VLOOKUP(C264, [6]條件!$A:$L, 6, 0), "")</f>
        <v>FP02422×2</v>
      </c>
      <c r="G264" s="1411">
        <f>IFERROR(VLOOKUP(C264, [6]條件!$A:$L, 7, 0), "")</f>
        <v>600</v>
      </c>
      <c r="H264" s="978" t="str">
        <f>IF(ISNA(VLOOKUP(C264,[6]條件!$A$1:$K$932,11,0)),"",(VLOOKUP(C264,[6]條件!$A$1:$K$932,11,0)))</f>
        <v>白底紅星</v>
      </c>
      <c r="I264" s="979">
        <f>IF(ISNA(VLOOKUP(C264,[6]條件!$A$1:$L$932,12,0)),"",(VLOOKUP(C264,[6]條件!$A$1:$L$932,12,0)))</f>
        <v>4</v>
      </c>
      <c r="J264" s="982">
        <v>28</v>
      </c>
      <c r="K264" s="980">
        <v>0</v>
      </c>
      <c r="L264" s="981">
        <v>7849</v>
      </c>
      <c r="M264" s="983">
        <v>9595</v>
      </c>
      <c r="N264" s="982">
        <v>14</v>
      </c>
      <c r="O264" s="980">
        <v>0</v>
      </c>
      <c r="P264" s="981">
        <v>7875</v>
      </c>
      <c r="Q264" s="983">
        <v>9571</v>
      </c>
      <c r="R264" s="982">
        <v>6</v>
      </c>
      <c r="S264" s="980">
        <v>0</v>
      </c>
      <c r="T264" s="981">
        <v>7923</v>
      </c>
      <c r="U264" s="983">
        <v>9610</v>
      </c>
      <c r="V264" s="982">
        <v>36</v>
      </c>
      <c r="W264" s="980">
        <v>0</v>
      </c>
      <c r="X264" s="981">
        <v>7846</v>
      </c>
      <c r="Y264" s="983">
        <v>9589</v>
      </c>
      <c r="Z264" s="1412">
        <f>IFERROR(VLOOKUP(C264, [6]條件!$A:$L, 3, 0), "")</f>
        <v>6.9230769230769234</v>
      </c>
      <c r="AA264" s="984">
        <f>IF(OR(L264={"改紡","檢修","了機","清車","FINAL","停機","SAMPLE","TEST","絲開發"}), L264, IFERROR(IF(C264="", "", (SUM(J264, N264, R264, V264)/3 * AG264) * IF(AND(AF264="S", AS264="雙"), 0.5, 1)), ""))</f>
        <v>14</v>
      </c>
      <c r="AB264" s="1413">
        <f t="shared" si="44"/>
        <v>1</v>
      </c>
      <c r="AC264" s="984">
        <f>IF(OR(L264={"改紡","檢修","了機","清車","FINAL","停機","SAMPLE","TEST"}), "", IFERROR(IF(C264="", "", AVERAGE(L264:M264, P264:Q264, T264:U264, X264:Y264)/100), ""))</f>
        <v>87.322500000000005</v>
      </c>
      <c r="AD264" s="984">
        <f t="shared" si="47"/>
        <v>1.75</v>
      </c>
      <c r="AE264" s="984">
        <f t="shared" si="45"/>
        <v>1.75</v>
      </c>
      <c r="AF264" s="985" t="str">
        <f t="shared" si="48"/>
        <v>A</v>
      </c>
      <c r="AG264" s="1414">
        <v>0.5</v>
      </c>
      <c r="AH264" s="1002" t="s">
        <v>629</v>
      </c>
      <c r="AI264" s="1002" t="s">
        <v>629</v>
      </c>
      <c r="AJ264" s="986" t="s">
        <v>15368</v>
      </c>
      <c r="AK264" s="1417" t="s">
        <v>15368</v>
      </c>
      <c r="AL264" s="1415">
        <v>52</v>
      </c>
      <c r="AM264" s="1323">
        <v>46141</v>
      </c>
      <c r="AN264" s="1323">
        <v>46144</v>
      </c>
      <c r="AO264" s="1323">
        <v>46146</v>
      </c>
      <c r="AP264" s="1323">
        <v>46147</v>
      </c>
      <c r="AQ264" s="1323">
        <v>46148</v>
      </c>
      <c r="AR264" s="987"/>
      <c r="AS264" s="978" t="str">
        <f t="shared" si="49"/>
        <v>雙</v>
      </c>
      <c r="AT264" s="978" t="str">
        <f t="shared" si="50"/>
        <v>全</v>
      </c>
      <c r="AU264" s="978">
        <f t="shared" si="51"/>
        <v>150</v>
      </c>
      <c r="AV264" s="978">
        <f t="shared" si="52"/>
        <v>2.7160790399999994</v>
      </c>
    </row>
    <row r="265" spans="1:48">
      <c r="A265" s="975">
        <f t="shared" si="46"/>
        <v>46149</v>
      </c>
      <c r="B265" s="976" t="s">
        <v>231</v>
      </c>
      <c r="C265" s="976" t="s">
        <v>632</v>
      </c>
      <c r="D265" s="1410"/>
      <c r="E265" s="977" t="str">
        <f>IFERROR(VLOOKUP(C265, [6]條件!$A:$L, 5, 0), "")</f>
        <v/>
      </c>
      <c r="F265" s="978" t="str">
        <f>IFERROR(VLOOKUP(C265, [6]條件!$A:$L, 6, 0), "")</f>
        <v/>
      </c>
      <c r="G265" s="1411" t="str">
        <f>IFERROR(VLOOKUP(C265, [6]條件!$A:$L, 7, 0), "")</f>
        <v/>
      </c>
      <c r="H265" s="978" t="str">
        <f>IF(ISNA(VLOOKUP(C265,[6]條件!$A$1:$K$932,11,0)),"",(VLOOKUP(C265,[6]條件!$A$1:$K$932,11,0)))</f>
        <v/>
      </c>
      <c r="I265" s="979" t="str">
        <f>IF(ISNA(VLOOKUP(C265,[6]條件!$A$1:$L$932,12,0)),"",(VLOOKUP(C265,[6]條件!$A$1:$L$932,12,0)))</f>
        <v/>
      </c>
      <c r="J265" s="982"/>
      <c r="K265" s="980"/>
      <c r="L265" s="981" t="s">
        <v>632</v>
      </c>
      <c r="M265" s="983"/>
      <c r="N265" s="982"/>
      <c r="O265" s="980"/>
      <c r="P265" s="981" t="s">
        <v>632</v>
      </c>
      <c r="Q265" s="983"/>
      <c r="R265" s="982"/>
      <c r="S265" s="980"/>
      <c r="T265" s="981" t="s">
        <v>632</v>
      </c>
      <c r="U265" s="983"/>
      <c r="V265" s="982"/>
      <c r="W265" s="980"/>
      <c r="X265" s="981" t="s">
        <v>632</v>
      </c>
      <c r="Y265" s="983"/>
      <c r="Z265" s="1412" t="str">
        <f>IFERROR(VLOOKUP(C265, [6]條件!$A:$L, 3, 0), "")</f>
        <v/>
      </c>
      <c r="AA265" s="984" t="str">
        <f>IF(OR(L265={"改紡","檢修","了機","清車","FINAL","停機","SAMPLE","TEST","絲開發"}), L265, IFERROR(IF(C265="", "", (SUM(J265, N265, R265, V265)/3 * AG265) * IF(AND(AF265="S", AS265="雙"), 0.5, 1)), ""))</f>
        <v>停機</v>
      </c>
      <c r="AB265" s="1413" t="str">
        <f t="shared" si="44"/>
        <v/>
      </c>
      <c r="AC265" s="984" t="str">
        <f>IF(OR(L265={"改紡","檢修","了機","清車","FINAL","停機","SAMPLE","TEST"}), "", IFERROR(IF(C265="", "", AVERAGE(L265:M265, P265:Q265, T265:U265, X265:Y265)/100), ""))</f>
        <v/>
      </c>
      <c r="AD265" s="984" t="str">
        <f t="shared" si="47"/>
        <v/>
      </c>
      <c r="AE265" s="984" t="str">
        <f t="shared" si="45"/>
        <v/>
      </c>
      <c r="AF265" s="985" t="str">
        <f t="shared" si="48"/>
        <v>J</v>
      </c>
      <c r="AG265" s="1414">
        <v>1</v>
      </c>
      <c r="AH265" s="1002" t="s">
        <v>640</v>
      </c>
      <c r="AI265" s="1002" t="s">
        <v>640</v>
      </c>
      <c r="AJ265" s="986" t="s">
        <v>640</v>
      </c>
      <c r="AK265" s="1417" t="s">
        <v>640</v>
      </c>
      <c r="AL265" s="1415"/>
      <c r="AM265" s="1323"/>
      <c r="AN265" s="1323"/>
      <c r="AO265" s="1323"/>
      <c r="AP265" s="1323"/>
      <c r="AQ265" s="1323"/>
      <c r="AR265" s="987"/>
      <c r="AS265" s="978" t="str">
        <f t="shared" si="49"/>
        <v>單</v>
      </c>
      <c r="AT265" s="978" t="str">
        <f t="shared" si="50"/>
        <v>全</v>
      </c>
      <c r="AU265" s="978" t="str">
        <f t="shared" si="51"/>
        <v/>
      </c>
      <c r="AV265" s="978" t="str">
        <f t="shared" si="52"/>
        <v/>
      </c>
    </row>
    <row r="266" spans="1:48">
      <c r="A266" s="975">
        <f t="shared" si="46"/>
        <v>46149</v>
      </c>
      <c r="B266" s="976" t="s">
        <v>233</v>
      </c>
      <c r="C266" s="976" t="s">
        <v>16721</v>
      </c>
      <c r="D266" s="1410" t="s">
        <v>633</v>
      </c>
      <c r="E266" s="977" t="str">
        <f>IFERROR(VLOOKUP(C266, [6]條件!$A:$L, 5, 0), "")</f>
        <v>150/48/2SDr</v>
      </c>
      <c r="F266" s="978" t="str">
        <f>IFERROR(VLOOKUP(C266, [6]條件!$A:$L, 6, 0), "")</f>
        <v>FP82168R×2</v>
      </c>
      <c r="G266" s="1411">
        <f>IFERROR(VLOOKUP(C266, [6]條件!$A:$L, 7, 0), "")</f>
        <v>600</v>
      </c>
      <c r="H266" s="978" t="str">
        <f>IF(ISNA(VLOOKUP(C266,[6]條件!$A$1:$K$932,11,0)),"",(VLOOKUP(C266,[6]條件!$A$1:$K$932,11,0)))</f>
        <v>白紅愛心</v>
      </c>
      <c r="I266" s="979">
        <f>IF(ISNA(VLOOKUP(C266,[6]條件!$A$1:$L$932,12,0)),"",(VLOOKUP(C266,[6]條件!$A$1:$L$932,12,0)))</f>
        <v>5.5</v>
      </c>
      <c r="J266" s="982"/>
      <c r="K266" s="980"/>
      <c r="L266" s="981" t="s">
        <v>127</v>
      </c>
      <c r="M266" s="983"/>
      <c r="N266" s="982"/>
      <c r="O266" s="980"/>
      <c r="P266" s="981" t="s">
        <v>627</v>
      </c>
      <c r="Q266" s="983"/>
      <c r="R266" s="982"/>
      <c r="S266" s="980"/>
      <c r="T266" s="981" t="s">
        <v>632</v>
      </c>
      <c r="U266" s="983"/>
      <c r="V266" s="982"/>
      <c r="W266" s="980"/>
      <c r="X266" s="981" t="s">
        <v>632</v>
      </c>
      <c r="Y266" s="983"/>
      <c r="Z266" s="1412">
        <f>IFERROR(VLOOKUP(C266, [6]條件!$A:$L, 3, 0), "")</f>
        <v>5.0883392226148398</v>
      </c>
      <c r="AA266" s="984" t="str">
        <f>IF(OR(L266={"改紡","檢修","了機","清車","FINAL","停機","SAMPLE","TEST","絲開發"}), L266, IFERROR(IF(C266="", "", (SUM(J266, N266, R266, V266)/3 * AG266) * IF(AND(AF266="S", AS266="雙"), 0.5, 1)), ""))</f>
        <v>了機</v>
      </c>
      <c r="AB266" s="1413" t="str">
        <f t="shared" si="44"/>
        <v/>
      </c>
      <c r="AC266" s="984" t="str">
        <f>IF(OR(L266={"改紡","檢修","了機","清車","FINAL","停機","SAMPLE","TEST"}), "", IFERROR(IF(C266="", "", AVERAGE(L266:M266, P266:Q266, T266:U266, X266:Y266)/100), ""))</f>
        <v/>
      </c>
      <c r="AD266" s="984" t="str">
        <f t="shared" si="47"/>
        <v/>
      </c>
      <c r="AE266" s="984" t="str">
        <f t="shared" si="45"/>
        <v/>
      </c>
      <c r="AF266" s="985" t="str">
        <f t="shared" si="48"/>
        <v>J</v>
      </c>
      <c r="AG266" s="1414">
        <v>1</v>
      </c>
      <c r="AH266" s="1002" t="s">
        <v>815</v>
      </c>
      <c r="AI266" s="1002" t="s">
        <v>815</v>
      </c>
      <c r="AJ266" s="986" t="s">
        <v>637</v>
      </c>
      <c r="AK266" s="1417" t="s">
        <v>637</v>
      </c>
      <c r="AL266" s="1415">
        <v>55</v>
      </c>
      <c r="AM266" s="1323">
        <v>46139</v>
      </c>
      <c r="AN266" s="1323">
        <v>46140</v>
      </c>
      <c r="AO266" s="1323">
        <v>46141</v>
      </c>
      <c r="AP266" s="1323">
        <v>46142</v>
      </c>
      <c r="AQ266" s="1323"/>
      <c r="AR266" s="987"/>
      <c r="AS266" s="978" t="str">
        <f t="shared" si="49"/>
        <v>雙</v>
      </c>
      <c r="AT266" s="978" t="str">
        <f t="shared" si="50"/>
        <v>全</v>
      </c>
      <c r="AU266" s="978">
        <f t="shared" si="51"/>
        <v>150</v>
      </c>
      <c r="AV266" s="978" t="str">
        <f t="shared" si="52"/>
        <v/>
      </c>
    </row>
    <row r="267" spans="1:48">
      <c r="A267" s="975">
        <f t="shared" si="46"/>
        <v>46149</v>
      </c>
      <c r="B267" s="976" t="s">
        <v>234</v>
      </c>
      <c r="C267" s="976" t="s">
        <v>632</v>
      </c>
      <c r="D267" s="1410"/>
      <c r="E267" s="977" t="str">
        <f>IFERROR(VLOOKUP(C267, [6]條件!$A:$L, 5, 0), "")</f>
        <v/>
      </c>
      <c r="F267" s="978" t="str">
        <f>IFERROR(VLOOKUP(C267, [6]條件!$A:$L, 6, 0), "")</f>
        <v/>
      </c>
      <c r="G267" s="1411" t="str">
        <f>IFERROR(VLOOKUP(C267, [6]條件!$A:$L, 7, 0), "")</f>
        <v/>
      </c>
      <c r="H267" s="978" t="str">
        <f>IF(ISNA(VLOOKUP(C267,[6]條件!$A$1:$K$932,11,0)),"",(VLOOKUP(C267,[6]條件!$A$1:$K$932,11,0)))</f>
        <v/>
      </c>
      <c r="I267" s="979" t="str">
        <f>IF(ISNA(VLOOKUP(C267,[6]條件!$A$1:$L$932,12,0)),"",(VLOOKUP(C267,[6]條件!$A$1:$L$932,12,0)))</f>
        <v/>
      </c>
      <c r="J267" s="982"/>
      <c r="K267" s="980"/>
      <c r="L267" s="981" t="s">
        <v>632</v>
      </c>
      <c r="M267" s="983"/>
      <c r="N267" s="982"/>
      <c r="O267" s="980"/>
      <c r="P267" s="981" t="s">
        <v>632</v>
      </c>
      <c r="Q267" s="983"/>
      <c r="R267" s="982"/>
      <c r="S267" s="980"/>
      <c r="T267" s="981" t="s">
        <v>632</v>
      </c>
      <c r="U267" s="983"/>
      <c r="V267" s="982"/>
      <c r="W267" s="980"/>
      <c r="X267" s="981" t="s">
        <v>632</v>
      </c>
      <c r="Y267" s="983"/>
      <c r="Z267" s="1412" t="str">
        <f>IFERROR(VLOOKUP(C267, [6]條件!$A:$L, 3, 0), "")</f>
        <v/>
      </c>
      <c r="AA267" s="984" t="str">
        <f>IF(OR(L267={"改紡","檢修","了機","清車","FINAL","停機","SAMPLE","TEST","絲開發"}), L267, IFERROR(IF(C267="", "", (SUM(J267, N267, R267, V267)/3 * AG267) * IF(AND(AF267="S", AS267="雙"), 0.5, 1)), ""))</f>
        <v>停機</v>
      </c>
      <c r="AB267" s="1413" t="str">
        <f t="shared" si="44"/>
        <v/>
      </c>
      <c r="AC267" s="984" t="str">
        <f>IF(OR(L267={"改紡","檢修","了機","清車","FINAL","停機","SAMPLE","TEST"}), "", IFERROR(IF(C267="", "", AVERAGE(L267:M267, P267:Q267, T267:U267, X267:Y267)/100), ""))</f>
        <v/>
      </c>
      <c r="AD267" s="984" t="str">
        <f t="shared" si="47"/>
        <v/>
      </c>
      <c r="AE267" s="984" t="str">
        <f t="shared" si="45"/>
        <v/>
      </c>
      <c r="AF267" s="985" t="str">
        <f t="shared" si="48"/>
        <v>J</v>
      </c>
      <c r="AG267" s="1414">
        <v>1</v>
      </c>
      <c r="AH267" s="1002" t="s">
        <v>640</v>
      </c>
      <c r="AI267" s="1002" t="s">
        <v>640</v>
      </c>
      <c r="AJ267" s="986" t="s">
        <v>640</v>
      </c>
      <c r="AK267" s="1417" t="s">
        <v>640</v>
      </c>
      <c r="AL267" s="1415"/>
      <c r="AM267" s="1323"/>
      <c r="AN267" s="1323"/>
      <c r="AO267" s="1323"/>
      <c r="AP267" s="1323"/>
      <c r="AQ267" s="1323"/>
      <c r="AR267" s="987"/>
      <c r="AS267" s="978" t="str">
        <f t="shared" si="49"/>
        <v>單</v>
      </c>
      <c r="AT267" s="978" t="str">
        <f t="shared" si="50"/>
        <v>全</v>
      </c>
      <c r="AU267" s="978" t="str">
        <f t="shared" si="51"/>
        <v/>
      </c>
      <c r="AV267" s="978" t="str">
        <f t="shared" si="52"/>
        <v/>
      </c>
    </row>
    <row r="268" spans="1:48">
      <c r="A268" s="975">
        <f t="shared" si="46"/>
        <v>46149</v>
      </c>
      <c r="B268" s="976" t="s">
        <v>235</v>
      </c>
      <c r="C268" s="976" t="s">
        <v>16765</v>
      </c>
      <c r="D268" s="1410" t="s">
        <v>633</v>
      </c>
      <c r="E268" s="977" t="str">
        <f>IFERROR(VLOOKUP(C268, [6]條件!$A:$L, 5, 0), "")</f>
        <v>150/48/2SDr</v>
      </c>
      <c r="F268" s="978" t="str">
        <f>IFERROR(VLOOKUP(C268, [6]條件!$A:$L, 6, 0), "")</f>
        <v>FP82173R×2</v>
      </c>
      <c r="G268" s="1411">
        <f>IFERROR(VLOOKUP(C268, [6]條件!$A:$L, 7, 0), "")</f>
        <v>700</v>
      </c>
      <c r="H268" s="978" t="str">
        <f>IF(ISNA(VLOOKUP(C268,[6]條件!$A$1:$K$932,11,0)),"",(VLOOKUP(C268,[6]條件!$A$1:$K$932,11,0)))</f>
        <v>白紫條紋</v>
      </c>
      <c r="I268" s="979">
        <f>IF(ISNA(VLOOKUP(C268,[6]條件!$A$1:$L$932,12,0)),"",(VLOOKUP(C268,[6]條件!$A$1:$L$932,12,0)))</f>
        <v>5.5</v>
      </c>
      <c r="J268" s="982"/>
      <c r="K268" s="980"/>
      <c r="L268" s="981" t="s">
        <v>628</v>
      </c>
      <c r="M268" s="983" t="s">
        <v>642</v>
      </c>
      <c r="N268" s="982"/>
      <c r="O268" s="980"/>
      <c r="P268" s="981" t="s">
        <v>628</v>
      </c>
      <c r="Q268" s="983"/>
      <c r="R268" s="982"/>
      <c r="S268" s="980"/>
      <c r="T268" s="981" t="s">
        <v>477</v>
      </c>
      <c r="U268" s="983"/>
      <c r="V268" s="982">
        <v>45</v>
      </c>
      <c r="W268" s="980">
        <v>0</v>
      </c>
      <c r="X268" s="981">
        <v>8520</v>
      </c>
      <c r="Y268" s="983">
        <v>8700</v>
      </c>
      <c r="Z268" s="1412">
        <f>IFERROR(VLOOKUP(C268, [6]條件!$A:$L, 3, 0), "")</f>
        <v>5.8775510204081636</v>
      </c>
      <c r="AA268" s="984" t="str">
        <f>IF(OR(L268={"改紡","檢修","了機","清車","FINAL","停機","SAMPLE","TEST","絲開發"}), L268, IFERROR(IF(C268="", "", (SUM(J268, N268, R268, V268)/3 * AG268) * IF(AND(AF268="S", AS268="雙"), 0.5, 1)), ""))</f>
        <v>清車</v>
      </c>
      <c r="AB268" s="1413" t="str">
        <f t="shared" si="44"/>
        <v/>
      </c>
      <c r="AC268" s="984" t="str">
        <f>IF(OR(L268={"改紡","檢修","了機","清車","FINAL","停機","SAMPLE","TEST"}), "", IFERROR(IF(C268="", "", AVERAGE(L268:M268, P268:Q268, T268:U268, X268:Y268)/100), ""))</f>
        <v/>
      </c>
      <c r="AD268" s="984" t="str">
        <f t="shared" si="47"/>
        <v/>
      </c>
      <c r="AE268" s="984" t="str">
        <f t="shared" si="45"/>
        <v/>
      </c>
      <c r="AF268" s="985" t="str">
        <f t="shared" si="48"/>
        <v>T</v>
      </c>
      <c r="AG268" s="1414">
        <v>1</v>
      </c>
      <c r="AH268" s="1002" t="s">
        <v>15337</v>
      </c>
      <c r="AI268" s="1002" t="s">
        <v>15337</v>
      </c>
      <c r="AJ268" s="986" t="s">
        <v>652</v>
      </c>
      <c r="AK268" s="1417" t="s">
        <v>652</v>
      </c>
      <c r="AL268" s="1415">
        <v>56</v>
      </c>
      <c r="AM268" s="1323">
        <v>46146</v>
      </c>
      <c r="AN268" s="1323">
        <v>46147</v>
      </c>
      <c r="AO268" s="1323"/>
      <c r="AP268" s="1323"/>
      <c r="AQ268" s="1323"/>
      <c r="AR268" s="987"/>
      <c r="AS268" s="978" t="str">
        <f t="shared" si="49"/>
        <v>雙</v>
      </c>
      <c r="AT268" s="978" t="str">
        <f t="shared" si="50"/>
        <v>全</v>
      </c>
      <c r="AU268" s="978">
        <f t="shared" si="51"/>
        <v>150</v>
      </c>
      <c r="AV268" s="978" t="str">
        <f t="shared" si="52"/>
        <v/>
      </c>
    </row>
    <row r="269" spans="1:48">
      <c r="A269" s="975">
        <f t="shared" si="46"/>
        <v>46149</v>
      </c>
      <c r="B269" s="976" t="s">
        <v>237</v>
      </c>
      <c r="C269" s="976" t="s">
        <v>16759</v>
      </c>
      <c r="D269" s="1410" t="s">
        <v>633</v>
      </c>
      <c r="E269" s="977" t="str">
        <f>IFERROR(VLOOKUP(C269, [6]條件!$A:$L, 5, 0), "")</f>
        <v>150/48/2SDr</v>
      </c>
      <c r="F269" s="978" t="str">
        <f>IFERROR(VLOOKUP(C269, [6]條件!$A:$L, 6, 0), "")</f>
        <v>FP82171R×2</v>
      </c>
      <c r="G269" s="1411">
        <f>IFERROR(VLOOKUP(C269, [6]條件!$A:$L, 7, 0), "")</f>
        <v>700</v>
      </c>
      <c r="H269" s="978" t="str">
        <f>IF(ISNA(VLOOKUP(C269,[6]條件!$A$1:$K$932,11,0)),"",(VLOOKUP(C269,[6]條件!$A$1:$K$932,11,0)))</f>
        <v>紅底黃星</v>
      </c>
      <c r="I269" s="979">
        <f>IF(ISNA(VLOOKUP(C269,[6]條件!$A$1:$L$932,12,0)),"",(VLOOKUP(C269,[6]條件!$A$1:$L$932,12,0)))</f>
        <v>5.5</v>
      </c>
      <c r="J269" s="982">
        <v>20</v>
      </c>
      <c r="K269" s="980">
        <v>0</v>
      </c>
      <c r="L269" s="981">
        <v>9630</v>
      </c>
      <c r="M269" s="983">
        <v>9540</v>
      </c>
      <c r="N269" s="982">
        <v>8</v>
      </c>
      <c r="O269" s="980">
        <v>0</v>
      </c>
      <c r="P269" s="981">
        <v>9440</v>
      </c>
      <c r="Q269" s="983">
        <v>9170</v>
      </c>
      <c r="R269" s="982">
        <v>0</v>
      </c>
      <c r="S269" s="980">
        <v>0</v>
      </c>
      <c r="T269" s="981">
        <v>7520</v>
      </c>
      <c r="U269" s="983">
        <v>8060</v>
      </c>
      <c r="V269" s="982">
        <v>63</v>
      </c>
      <c r="W269" s="980">
        <v>6</v>
      </c>
      <c r="X269" s="981">
        <v>9810</v>
      </c>
      <c r="Y269" s="983">
        <v>9630</v>
      </c>
      <c r="Z269" s="1412">
        <f>IFERROR(VLOOKUP(C269, [6]條件!$A:$L, 3, 0), "")</f>
        <v>5.8299595141700413</v>
      </c>
      <c r="AA269" s="984">
        <f>IF(OR(L269={"改紡","檢修","了機","清車","FINAL","停機","SAMPLE","TEST","絲開發"}), L269, IFERROR(IF(C269="", "", (SUM(J269, N269, R269, V269)/3 * AG269) * IF(AND(AF269="S", AS269="雙"), 0.5, 1)), ""))</f>
        <v>30.333333333333332</v>
      </c>
      <c r="AB269" s="1413">
        <f t="shared" si="44"/>
        <v>0.99505208333333328</v>
      </c>
      <c r="AC269" s="984">
        <f>IF(OR(L269={"改紡","檢修","了機","清車","FINAL","停機","SAMPLE","TEST"}), "", IFERROR(IF(C269="", "", AVERAGE(L269:M269, P269:Q269, T269:U269, X269:Y269)/100), ""))</f>
        <v>91</v>
      </c>
      <c r="AD269" s="984">
        <f t="shared" si="47"/>
        <v>3.7916666666666665</v>
      </c>
      <c r="AE269" s="984">
        <f t="shared" si="45"/>
        <v>3.5416666666666665</v>
      </c>
      <c r="AF269" s="985" t="str">
        <f t="shared" si="48"/>
        <v>T</v>
      </c>
      <c r="AG269" s="1414">
        <v>1</v>
      </c>
      <c r="AH269" s="1002" t="s">
        <v>638</v>
      </c>
      <c r="AI269" s="1002" t="s">
        <v>638</v>
      </c>
      <c r="AJ269" s="986" t="s">
        <v>639</v>
      </c>
      <c r="AK269" s="1417" t="s">
        <v>639</v>
      </c>
      <c r="AL269" s="1415">
        <v>55</v>
      </c>
      <c r="AM269" s="1323">
        <v>46143</v>
      </c>
      <c r="AN269" s="1323">
        <v>46144</v>
      </c>
      <c r="AO269" s="1323">
        <v>46145</v>
      </c>
      <c r="AP269" s="1323"/>
      <c r="AQ269" s="1323"/>
      <c r="AR269" s="987"/>
      <c r="AS269" s="978" t="str">
        <f t="shared" si="49"/>
        <v>雙</v>
      </c>
      <c r="AT269" s="978" t="str">
        <f t="shared" si="50"/>
        <v>全</v>
      </c>
      <c r="AU269" s="978">
        <f t="shared" si="51"/>
        <v>150</v>
      </c>
      <c r="AV269" s="978">
        <f t="shared" si="52"/>
        <v>6.6044160000000005</v>
      </c>
    </row>
    <row r="270" spans="1:48">
      <c r="A270" s="975">
        <f t="shared" si="46"/>
        <v>46149</v>
      </c>
      <c r="B270" s="976" t="s">
        <v>238</v>
      </c>
      <c r="C270" s="976" t="s">
        <v>16743</v>
      </c>
      <c r="D270" s="1410"/>
      <c r="E270" s="977" t="str">
        <f>IFERROR(VLOOKUP(C270, [6]條件!$A:$L, 5, 0), "")</f>
        <v>150/48/2SDr</v>
      </c>
      <c r="F270" s="978" t="str">
        <f>IFERROR(VLOOKUP(C270, [6]條件!$A:$L, 6, 0), "")</f>
        <v>FP82169R×2</v>
      </c>
      <c r="G270" s="1411">
        <f>IFERROR(VLOOKUP(C270, [6]條件!$A:$L, 7, 0), "")</f>
        <v>670</v>
      </c>
      <c r="H270" s="978" t="str">
        <f>IF(ISNA(VLOOKUP(C270,[6]條件!$A$1:$K$932,11,0)),"",(VLOOKUP(C270,[6]條件!$A$1:$K$932,11,0)))</f>
        <v>黃底紅點</v>
      </c>
      <c r="I270" s="979">
        <f>IF(ISNA(VLOOKUP(C270,[6]條件!$A$1:$L$932,12,0)),"",(VLOOKUP(C270,[6]條件!$A$1:$L$932,12,0)))</f>
        <v>5</v>
      </c>
      <c r="J270" s="982">
        <v>15</v>
      </c>
      <c r="K270" s="980">
        <v>0</v>
      </c>
      <c r="L270" s="981">
        <v>8800</v>
      </c>
      <c r="M270" s="983"/>
      <c r="N270" s="982">
        <v>11</v>
      </c>
      <c r="O270" s="980">
        <v>0</v>
      </c>
      <c r="P270" s="981">
        <v>9170</v>
      </c>
      <c r="Q270" s="983"/>
      <c r="R270" s="982">
        <v>0</v>
      </c>
      <c r="S270" s="980">
        <v>0</v>
      </c>
      <c r="T270" s="981">
        <v>8520</v>
      </c>
      <c r="U270" s="983"/>
      <c r="V270" s="982">
        <v>33</v>
      </c>
      <c r="W270" s="980">
        <v>0</v>
      </c>
      <c r="X270" s="981">
        <v>8520</v>
      </c>
      <c r="Y270" s="983"/>
      <c r="Z270" s="1412">
        <f>IFERROR(VLOOKUP(C270, [6]條件!$A:$L, 3, 0), "")</f>
        <v>6.2882096069868991</v>
      </c>
      <c r="AA270" s="984">
        <f>IF(OR(L270={"改紡","檢修","了機","清車","FINAL","停機","SAMPLE","TEST","絲開發"}), L270, IFERROR(IF(C270="", "", (SUM(J270, N270, R270, V270)/3 * AG270) * IF(AND(AF270="S", AS270="雙"), 0.5, 1)), ""))</f>
        <v>39.333333333333336</v>
      </c>
      <c r="AB270" s="1413">
        <f t="shared" si="44"/>
        <v>1</v>
      </c>
      <c r="AC270" s="984">
        <f>IF(OR(L270={"改紡","檢修","了機","清車","FINAL","停機","SAMPLE","TEST"}), "", IFERROR(IF(C270="", "", AVERAGE(L270:M270, P270:Q270, T270:U270, X270:Y270)/100), ""))</f>
        <v>87.525000000000006</v>
      </c>
      <c r="AD270" s="984">
        <f t="shared" si="47"/>
        <v>4.916666666666667</v>
      </c>
      <c r="AE270" s="984">
        <f t="shared" si="45"/>
        <v>4.916666666666667</v>
      </c>
      <c r="AF270" s="985" t="str">
        <f t="shared" si="48"/>
        <v>T</v>
      </c>
      <c r="AG270" s="1414">
        <v>2</v>
      </c>
      <c r="AH270" s="1002" t="s">
        <v>15337</v>
      </c>
      <c r="AI270" s="1002" t="s">
        <v>15337</v>
      </c>
      <c r="AJ270" s="986" t="s">
        <v>652</v>
      </c>
      <c r="AK270" s="1417" t="s">
        <v>652</v>
      </c>
      <c r="AL270" s="1415">
        <v>48</v>
      </c>
      <c r="AM270" s="1323">
        <v>46145</v>
      </c>
      <c r="AN270" s="1323">
        <v>46147</v>
      </c>
      <c r="AO270" s="1323"/>
      <c r="AP270" s="1323"/>
      <c r="AQ270" s="1323"/>
      <c r="AR270" s="987"/>
      <c r="AS270" s="978" t="str">
        <f t="shared" si="49"/>
        <v>雙</v>
      </c>
      <c r="AT270" s="978" t="str">
        <f t="shared" si="50"/>
        <v>半</v>
      </c>
      <c r="AU270" s="978">
        <f t="shared" si="51"/>
        <v>150</v>
      </c>
      <c r="AV270" s="978">
        <f t="shared" si="52"/>
        <v>3.03998832</v>
      </c>
    </row>
    <row r="271" spans="1:48">
      <c r="A271" s="975">
        <f t="shared" si="46"/>
        <v>46149</v>
      </c>
      <c r="B271" s="976" t="s">
        <v>238</v>
      </c>
      <c r="C271" s="976" t="s">
        <v>16742</v>
      </c>
      <c r="D271" s="1410"/>
      <c r="E271" s="977" t="str">
        <f>IFERROR(VLOOKUP(C271, [6]條件!$A:$L, 5, 0), "")</f>
        <v>150/48/2SDr</v>
      </c>
      <c r="F271" s="978" t="str">
        <f>IFERROR(VLOOKUP(C271, [6]條件!$A:$L, 6, 0), "")</f>
        <v>FP82169R×2</v>
      </c>
      <c r="G271" s="1411">
        <f>IFERROR(VLOOKUP(C271, [6]條件!$A:$L, 7, 0), "")</f>
        <v>670</v>
      </c>
      <c r="H271" s="978" t="str">
        <f>IF(ISNA(VLOOKUP(C271,[6]條件!$A$1:$K$932,11,0)),"",(VLOOKUP(C271,[6]條件!$A$1:$K$932,11,0)))</f>
        <v>紅底藍點</v>
      </c>
      <c r="I271" s="979">
        <f>IF(ISNA(VLOOKUP(C271,[6]條件!$A$1:$L$932,12,0)),"",(VLOOKUP(C271,[6]條件!$A$1:$L$932,12,0)))</f>
        <v>5</v>
      </c>
      <c r="J271" s="982">
        <v>18</v>
      </c>
      <c r="K271" s="980">
        <v>0</v>
      </c>
      <c r="L271" s="981">
        <v>8800</v>
      </c>
      <c r="M271" s="983"/>
      <c r="N271" s="982">
        <v>15</v>
      </c>
      <c r="O271" s="980">
        <v>0</v>
      </c>
      <c r="P271" s="981">
        <v>8890</v>
      </c>
      <c r="Q271" s="983"/>
      <c r="R271" s="982">
        <v>0</v>
      </c>
      <c r="S271" s="980">
        <v>0</v>
      </c>
      <c r="T271" s="981"/>
      <c r="U271" s="983">
        <v>7690</v>
      </c>
      <c r="V271" s="982">
        <v>39</v>
      </c>
      <c r="W271" s="980">
        <v>0</v>
      </c>
      <c r="X271" s="981"/>
      <c r="Y271" s="983">
        <v>8890</v>
      </c>
      <c r="Z271" s="1412">
        <f>IFERROR(VLOOKUP(C271, [6]條件!$A:$L, 3, 0), "")</f>
        <v>6.1802575107296125</v>
      </c>
      <c r="AA271" s="984">
        <f>IF(OR(L271={"改紡","檢修","了機","清車","FINAL","停機","SAMPLE","TEST","絲開發"}), L271, IFERROR(IF(C271="", "", (SUM(J271, N271, R271, V271)/3 * AG271) * IF(AND(AF271="S", AS271="雙"), 0.5, 1)), ""))</f>
        <v>48</v>
      </c>
      <c r="AB271" s="1413">
        <f t="shared" si="44"/>
        <v>1</v>
      </c>
      <c r="AC271" s="984">
        <f>IF(OR(L271={"改紡","檢修","了機","清車","FINAL","停機","SAMPLE","TEST"}), "", IFERROR(IF(C271="", "", AVERAGE(L271:M271, P271:Q271, T271:U271, X271:Y271)/100), ""))</f>
        <v>85.674999999999997</v>
      </c>
      <c r="AD271" s="984">
        <f t="shared" si="47"/>
        <v>6</v>
      </c>
      <c r="AE271" s="984">
        <f t="shared" si="45"/>
        <v>6</v>
      </c>
      <c r="AF271" s="985" t="str">
        <f t="shared" si="48"/>
        <v>T</v>
      </c>
      <c r="AG271" s="1414">
        <v>2</v>
      </c>
      <c r="AH271" s="1002" t="s">
        <v>15337</v>
      </c>
      <c r="AI271" s="1002" t="s">
        <v>15337</v>
      </c>
      <c r="AJ271" s="986" t="s">
        <v>652</v>
      </c>
      <c r="AK271" s="1417" t="s">
        <v>652</v>
      </c>
      <c r="AL271" s="1415">
        <v>48</v>
      </c>
      <c r="AM271" s="1323">
        <v>46147</v>
      </c>
      <c r="AN271" s="1323">
        <v>46148</v>
      </c>
      <c r="AO271" s="1323"/>
      <c r="AP271" s="1323"/>
      <c r="AQ271" s="1323"/>
      <c r="AR271" s="987"/>
      <c r="AS271" s="978" t="str">
        <f t="shared" si="49"/>
        <v>雙</v>
      </c>
      <c r="AT271" s="978" t="str">
        <f t="shared" si="50"/>
        <v>半</v>
      </c>
      <c r="AU271" s="978">
        <f t="shared" si="51"/>
        <v>150</v>
      </c>
      <c r="AV271" s="978">
        <f t="shared" si="52"/>
        <v>2.9757326400000004</v>
      </c>
    </row>
    <row r="272" spans="1:48">
      <c r="A272" s="975">
        <f t="shared" si="46"/>
        <v>46149</v>
      </c>
      <c r="B272" s="976" t="s">
        <v>239</v>
      </c>
      <c r="C272" s="976" t="s">
        <v>16735</v>
      </c>
      <c r="D272" s="1410"/>
      <c r="E272" s="977" t="str">
        <f>IFERROR(VLOOKUP(C272, [6]條件!$A:$L, 5, 0), "")</f>
        <v>150/48/2SR6</v>
      </c>
      <c r="F272" s="978" t="str">
        <f>IFERROR(VLOOKUP(C272, [6]條件!$A:$L, 6, 0), "")</f>
        <v>FP82658×2</v>
      </c>
      <c r="G272" s="1411">
        <f>IFERROR(VLOOKUP(C272, [6]條件!$A:$L, 7, 0), "")</f>
        <v>600</v>
      </c>
      <c r="H272" s="978" t="str">
        <f>IF(ISNA(VLOOKUP(C272,[6]條件!$A$1:$K$932,11,0)),"",(VLOOKUP(C272,[6]條件!$A$1:$K$932,11,0)))</f>
        <v>黃底黑點</v>
      </c>
      <c r="I272" s="979">
        <f>IF(ISNA(VLOOKUP(C272,[6]條件!$A$1:$L$932,12,0)),"",(VLOOKUP(C272,[6]條件!$A$1:$L$932,12,0)))</f>
        <v>5.5</v>
      </c>
      <c r="J272" s="982"/>
      <c r="K272" s="980"/>
      <c r="L272" s="981" t="s">
        <v>632</v>
      </c>
      <c r="M272" s="983" t="s">
        <v>127</v>
      </c>
      <c r="N272" s="982"/>
      <c r="O272" s="980"/>
      <c r="P272" s="981" t="s">
        <v>632</v>
      </c>
      <c r="Q272" s="983" t="s">
        <v>127</v>
      </c>
      <c r="R272" s="982"/>
      <c r="S272" s="980"/>
      <c r="T272" s="981" t="s">
        <v>632</v>
      </c>
      <c r="U272" s="983" t="s">
        <v>127</v>
      </c>
      <c r="V272" s="982"/>
      <c r="W272" s="980"/>
      <c r="X272" s="981" t="s">
        <v>632</v>
      </c>
      <c r="Y272" s="983" t="s">
        <v>127</v>
      </c>
      <c r="Z272" s="1412">
        <f>IFERROR(VLOOKUP(C272, [6]條件!$A:$L, 3, 0), "")</f>
        <v>4.9655172413793105</v>
      </c>
      <c r="AA272" s="984" t="str">
        <f>IF(OR(L272={"改紡","檢修","了機","清車","FINAL","停機","SAMPLE","TEST","絲開發"}), L272, IFERROR(IF(C272="", "", (SUM(J272, N272, R272, V272)/3 * AG272) * IF(AND(AF272="S", AS272="雙"), 0.5, 1)), ""))</f>
        <v>停機</v>
      </c>
      <c r="AB272" s="1413" t="str">
        <f t="shared" si="44"/>
        <v/>
      </c>
      <c r="AC272" s="984" t="str">
        <f>IF(OR(L272={"改紡","檢修","了機","清車","FINAL","停機","SAMPLE","TEST"}), "", IFERROR(IF(C272="", "", AVERAGE(L272:M272, P272:Q272, T272:U272, X272:Y272)/100), ""))</f>
        <v/>
      </c>
      <c r="AD272" s="984" t="str">
        <f t="shared" si="47"/>
        <v/>
      </c>
      <c r="AE272" s="984" t="str">
        <f t="shared" si="45"/>
        <v/>
      </c>
      <c r="AF272" s="985" t="str">
        <f t="shared" si="48"/>
        <v>T</v>
      </c>
      <c r="AG272" s="1414">
        <v>2</v>
      </c>
      <c r="AH272" s="1002" t="s">
        <v>638</v>
      </c>
      <c r="AI272" s="1002" t="s">
        <v>638</v>
      </c>
      <c r="AJ272" s="986" t="s">
        <v>639</v>
      </c>
      <c r="AK272" s="1417" t="s">
        <v>639</v>
      </c>
      <c r="AL272" s="1415">
        <v>56</v>
      </c>
      <c r="AM272" s="1323">
        <v>46115</v>
      </c>
      <c r="AN272" s="1323">
        <v>46117</v>
      </c>
      <c r="AO272" s="1323">
        <v>46118</v>
      </c>
      <c r="AP272" s="1323"/>
      <c r="AQ272" s="1323"/>
      <c r="AR272" s="987"/>
      <c r="AS272" s="978" t="str">
        <f t="shared" si="49"/>
        <v>雙</v>
      </c>
      <c r="AT272" s="978" t="str">
        <f t="shared" si="50"/>
        <v>半</v>
      </c>
      <c r="AU272" s="978">
        <f t="shared" si="51"/>
        <v>150</v>
      </c>
      <c r="AV272" s="978" t="str">
        <f t="shared" si="52"/>
        <v/>
      </c>
    </row>
    <row r="273" spans="1:48">
      <c r="A273" s="975">
        <f t="shared" si="46"/>
        <v>46149</v>
      </c>
      <c r="B273" s="976" t="s">
        <v>388</v>
      </c>
      <c r="C273" s="976" t="s">
        <v>16730</v>
      </c>
      <c r="D273" s="1410" t="s">
        <v>633</v>
      </c>
      <c r="E273" s="977" t="str">
        <f>IFERROR(VLOOKUP(C273, [6]條件!$A:$L, 5, 0), "")</f>
        <v>225/72/2SDr</v>
      </c>
      <c r="F273" s="978" t="str">
        <f>IFERROR(VLOOKUP(C273, [6]條件!$A:$L, 6, 0), "")</f>
        <v>FP83024R×2</v>
      </c>
      <c r="G273" s="1411">
        <f>IFERROR(VLOOKUP(C273, [6]條件!$A:$L, 7, 0), "")</f>
        <v>550</v>
      </c>
      <c r="H273" s="978" t="str">
        <f>IF(ISNA(VLOOKUP(C273,[6]條件!$A$1:$K$932,11,0)),"",(VLOOKUP(C273,[6]條件!$A$1:$K$932,11,0)))</f>
        <v>灰色</v>
      </c>
      <c r="I273" s="979">
        <f>IF(ISNA(VLOOKUP(C273,[6]條件!$A$1:$L$932,12,0)),"",(VLOOKUP(C273,[6]條件!$A$1:$L$932,12,0)))</f>
        <v>5.5</v>
      </c>
      <c r="J273" s="982">
        <v>29</v>
      </c>
      <c r="K273" s="980">
        <v>0</v>
      </c>
      <c r="L273" s="981">
        <v>7040</v>
      </c>
      <c r="M273" s="983"/>
      <c r="N273" s="982">
        <v>13</v>
      </c>
      <c r="O273" s="980">
        <v>0</v>
      </c>
      <c r="P273" s="981">
        <v>7410</v>
      </c>
      <c r="Q273" s="983"/>
      <c r="R273" s="982">
        <v>0</v>
      </c>
      <c r="S273" s="980">
        <v>0</v>
      </c>
      <c r="T273" s="981">
        <v>2500</v>
      </c>
      <c r="U273" s="983"/>
      <c r="V273" s="982">
        <v>60</v>
      </c>
      <c r="W273" s="980">
        <v>0</v>
      </c>
      <c r="X273" s="981">
        <v>9760</v>
      </c>
      <c r="Y273" s="983"/>
      <c r="Z273" s="1412">
        <f>IFERROR(VLOOKUP(C273, [6]條件!$A:$L, 3, 0), "")</f>
        <v>6.6055045871559628</v>
      </c>
      <c r="AA273" s="984">
        <f>IF(OR(L273={"改紡","檢修","了機","清車","FINAL","停機","SAMPLE","TEST","絲開發"}), L273, IFERROR(IF(C273="", "", (SUM(J273, N273, R273, V273)/3 * AG273) * IF(AND(AF273="S", AS273="雙"), 0.5, 1)), ""))</f>
        <v>68</v>
      </c>
      <c r="AB273" s="1413">
        <f t="shared" si="44"/>
        <v>1</v>
      </c>
      <c r="AC273" s="984">
        <f>IF(OR(L273={"改紡","檢修","了機","清車","FINAL","停機","SAMPLE","TEST"}), "", IFERROR(IF(C273="", "", AVERAGE(L273:M273, P273:Q273, T273:U273, X273:Y273)/100), ""))</f>
        <v>66.775000000000006</v>
      </c>
      <c r="AD273" s="984">
        <f t="shared" si="47"/>
        <v>8.5</v>
      </c>
      <c r="AE273" s="984">
        <f t="shared" si="45"/>
        <v>8.5</v>
      </c>
      <c r="AF273" s="985" t="str">
        <f t="shared" si="48"/>
        <v>T</v>
      </c>
      <c r="AG273" s="1414">
        <v>2</v>
      </c>
      <c r="AH273" s="1002" t="s">
        <v>15337</v>
      </c>
      <c r="AI273" s="1002" t="s">
        <v>15337</v>
      </c>
      <c r="AJ273" s="986" t="s">
        <v>652</v>
      </c>
      <c r="AK273" s="1417" t="s">
        <v>652</v>
      </c>
      <c r="AL273" s="1415">
        <v>53</v>
      </c>
      <c r="AM273" s="1323">
        <v>46134</v>
      </c>
      <c r="AN273" s="1323">
        <v>46135</v>
      </c>
      <c r="AO273" s="1323">
        <v>46137</v>
      </c>
      <c r="AP273" s="1323">
        <v>46138</v>
      </c>
      <c r="AQ273" s="1323"/>
      <c r="AR273" s="987"/>
      <c r="AS273" s="978" t="str">
        <f t="shared" si="49"/>
        <v>雙</v>
      </c>
      <c r="AT273" s="978" t="str">
        <f t="shared" si="50"/>
        <v>半</v>
      </c>
      <c r="AU273" s="978">
        <f t="shared" si="51"/>
        <v>225</v>
      </c>
      <c r="AV273" s="978">
        <f t="shared" si="52"/>
        <v>2.8558332000000002</v>
      </c>
    </row>
    <row r="274" spans="1:48">
      <c r="A274" s="975">
        <f t="shared" si="46"/>
        <v>46149</v>
      </c>
      <c r="B274" s="976" t="s">
        <v>388</v>
      </c>
      <c r="C274" s="976" t="s">
        <v>16736</v>
      </c>
      <c r="D274" s="1410" t="s">
        <v>633</v>
      </c>
      <c r="E274" s="977" t="str">
        <f>IFERROR(VLOOKUP(C274, [6]條件!$A:$L, 5, 0), "")</f>
        <v>150/48/2SDr</v>
      </c>
      <c r="F274" s="978" t="str">
        <f>IFERROR(VLOOKUP(C274, [6]條件!$A:$L, 6, 0), "")</f>
        <v>FP82170R×2</v>
      </c>
      <c r="G274" s="1411">
        <f>IFERROR(VLOOKUP(C274, [6]條件!$A:$L, 7, 0), "")</f>
        <v>700</v>
      </c>
      <c r="H274" s="978" t="str">
        <f>IF(ISNA(VLOOKUP(C274,[6]條件!$A$1:$K$932,11,0)),"",(VLOOKUP(C274,[6]條件!$A$1:$K$932,11,0)))</f>
        <v>粉紅</v>
      </c>
      <c r="I274" s="979">
        <f>IF(ISNA(VLOOKUP(C274,[6]條件!$A$1:$L$932,12,0)),"",(VLOOKUP(C274,[6]條件!$A$1:$L$932,12,0)))</f>
        <v>5.5</v>
      </c>
      <c r="J274" s="982">
        <v>21</v>
      </c>
      <c r="K274" s="980">
        <v>0</v>
      </c>
      <c r="L274" s="981">
        <v>8249</v>
      </c>
      <c r="M274" s="983"/>
      <c r="N274" s="982">
        <v>7</v>
      </c>
      <c r="O274" s="980">
        <v>0</v>
      </c>
      <c r="P274" s="981">
        <v>7410</v>
      </c>
      <c r="Q274" s="983"/>
      <c r="R274" s="982">
        <v>0</v>
      </c>
      <c r="S274" s="980">
        <v>0</v>
      </c>
      <c r="T274" s="981"/>
      <c r="U274" s="983">
        <v>6330</v>
      </c>
      <c r="V274" s="982">
        <v>20</v>
      </c>
      <c r="W274" s="980">
        <v>0</v>
      </c>
      <c r="X274" s="981"/>
      <c r="Y274" s="983">
        <v>9070</v>
      </c>
      <c r="Z274" s="1412">
        <f>IFERROR(VLOOKUP(C274, [6]條件!$A:$L, 3, 0), "")</f>
        <v>5.8775510204081636</v>
      </c>
      <c r="AA274" s="984">
        <f>IF(OR(L274={"改紡","檢修","了機","清車","FINAL","停機","SAMPLE","TEST","絲開發"}), L274, IFERROR(IF(C274="", "", (SUM(J274, N274, R274, V274)/3 * AG274) * IF(AND(AF274="S", AS274="雙"), 0.5, 1)), ""))</f>
        <v>32</v>
      </c>
      <c r="AB274" s="1413">
        <f t="shared" si="44"/>
        <v>1</v>
      </c>
      <c r="AC274" s="984">
        <f>IF(OR(L274={"改紡","檢修","了機","清車","FINAL","停機","SAMPLE","TEST"}), "", IFERROR(IF(C274="", "", AVERAGE(L274:M274, P274:Q274, T274:U274, X274:Y274)/100), ""))</f>
        <v>77.647499999999994</v>
      </c>
      <c r="AD274" s="984">
        <f t="shared" si="47"/>
        <v>4</v>
      </c>
      <c r="AE274" s="984">
        <f t="shared" si="45"/>
        <v>4</v>
      </c>
      <c r="AF274" s="985" t="str">
        <f t="shared" si="48"/>
        <v>T</v>
      </c>
      <c r="AG274" s="1414">
        <v>2</v>
      </c>
      <c r="AH274" s="1002" t="s">
        <v>15337</v>
      </c>
      <c r="AI274" s="1002" t="s">
        <v>15337</v>
      </c>
      <c r="AJ274" s="986" t="s">
        <v>652</v>
      </c>
      <c r="AK274" s="1417" t="s">
        <v>652</v>
      </c>
      <c r="AL274" s="1415">
        <v>56</v>
      </c>
      <c r="AM274" s="1323">
        <v>46141</v>
      </c>
      <c r="AN274" s="1323">
        <v>46143</v>
      </c>
      <c r="AO274" s="1323"/>
      <c r="AP274" s="1323"/>
      <c r="AQ274" s="1323"/>
      <c r="AR274" s="987"/>
      <c r="AS274" s="978" t="str">
        <f t="shared" si="49"/>
        <v>雙</v>
      </c>
      <c r="AT274" s="978" t="str">
        <f t="shared" si="50"/>
        <v>半</v>
      </c>
      <c r="AU274" s="978">
        <f t="shared" si="51"/>
        <v>150</v>
      </c>
      <c r="AV274" s="978">
        <f t="shared" si="52"/>
        <v>2.8176724799999997</v>
      </c>
    </row>
    <row r="275" spans="1:48">
      <c r="A275" s="975">
        <f t="shared" si="46"/>
        <v>46149</v>
      </c>
      <c r="B275" s="976" t="s">
        <v>417</v>
      </c>
      <c r="C275" s="976" t="s">
        <v>16767</v>
      </c>
      <c r="D275" s="1410" t="s">
        <v>633</v>
      </c>
      <c r="E275" s="977" t="str">
        <f>IFERROR(VLOOKUP(C275, [6]條件!$A:$L, 5, 0), "")</f>
        <v>150/48/2SDr</v>
      </c>
      <c r="F275" s="978" t="str">
        <f>IFERROR(VLOOKUP(C275, [6]條件!$A:$L, 6, 0), "")</f>
        <v>FP82173R×2</v>
      </c>
      <c r="G275" s="1411">
        <f>IFERROR(VLOOKUP(C275, [6]條件!$A:$L, 7, 0), "")</f>
        <v>700</v>
      </c>
      <c r="H275" s="978" t="str">
        <f>IF(ISNA(VLOOKUP(C275,[6]條件!$A$1:$K$932,11,0)),"",(VLOOKUP(C275,[6]條件!$A$1:$K$932,11,0)))</f>
        <v>棕色</v>
      </c>
      <c r="I275" s="979">
        <f>IF(ISNA(VLOOKUP(C275,[6]條件!$A$1:$L$932,12,0)),"",(VLOOKUP(C275,[6]條件!$A$1:$L$932,12,0)))</f>
        <v>5.5</v>
      </c>
      <c r="J275" s="982"/>
      <c r="K275" s="980"/>
      <c r="L275" s="981" t="s">
        <v>642</v>
      </c>
      <c r="M275" s="983"/>
      <c r="N275" s="982"/>
      <c r="O275" s="980"/>
      <c r="P275" s="981" t="s">
        <v>642</v>
      </c>
      <c r="Q275" s="983"/>
      <c r="R275" s="982"/>
      <c r="S275" s="980"/>
      <c r="T275" s="981" t="s">
        <v>477</v>
      </c>
      <c r="U275" s="983"/>
      <c r="V275" s="982">
        <v>11</v>
      </c>
      <c r="W275" s="980">
        <v>1</v>
      </c>
      <c r="X275" s="981">
        <v>9810</v>
      </c>
      <c r="Y275" s="983">
        <v>9630</v>
      </c>
      <c r="Z275" s="1412">
        <f>IFERROR(VLOOKUP(C275, [6]條件!$A:$L, 3, 0), "")</f>
        <v>5.8536585365853666</v>
      </c>
      <c r="AA275" s="984" t="str">
        <f>IF(OR(L275={"改紡","檢修","了機","清車","FINAL","停機","SAMPLE","TEST","絲開發"}), L275, IFERROR(IF(C275="", "", (SUM(J275, N275, R275, V275)/3 * AG275) * IF(AND(AF275="S", AS275="雙"), 0.5, 1)), ""))</f>
        <v>改紡</v>
      </c>
      <c r="AB275" s="1413" t="str">
        <f t="shared" si="44"/>
        <v/>
      </c>
      <c r="AC275" s="984" t="str">
        <f>IF(OR(L275={"改紡","檢修","了機","清車","FINAL","停機","SAMPLE","TEST"}), "", IFERROR(IF(C275="", "", AVERAGE(L275:M275, P275:Q275, T275:U275, X275:Y275)/100), ""))</f>
        <v/>
      </c>
      <c r="AD275" s="984" t="str">
        <f t="shared" si="47"/>
        <v/>
      </c>
      <c r="AE275" s="984" t="str">
        <f t="shared" si="45"/>
        <v/>
      </c>
      <c r="AF275" s="985" t="str">
        <f t="shared" si="48"/>
        <v>T</v>
      </c>
      <c r="AG275" s="1414">
        <v>1</v>
      </c>
      <c r="AH275" s="1002" t="s">
        <v>638</v>
      </c>
      <c r="AI275" s="1002" t="s">
        <v>638</v>
      </c>
      <c r="AJ275" s="986" t="s">
        <v>639</v>
      </c>
      <c r="AK275" s="1417" t="s">
        <v>639</v>
      </c>
      <c r="AL275" s="1415">
        <v>56</v>
      </c>
      <c r="AM275" s="1323">
        <v>46146</v>
      </c>
      <c r="AN275" s="1323">
        <v>46147</v>
      </c>
      <c r="AO275" s="1323">
        <v>46148</v>
      </c>
      <c r="AP275" s="1323"/>
      <c r="AQ275" s="1323"/>
      <c r="AR275" s="987"/>
      <c r="AS275" s="978" t="str">
        <f t="shared" si="49"/>
        <v>雙</v>
      </c>
      <c r="AT275" s="978" t="str">
        <f t="shared" si="50"/>
        <v>全</v>
      </c>
      <c r="AU275" s="978">
        <f t="shared" si="51"/>
        <v>150</v>
      </c>
      <c r="AV275" s="978" t="str">
        <f t="shared" si="52"/>
        <v/>
      </c>
    </row>
    <row r="276" spans="1:48">
      <c r="A276" s="975">
        <f t="shared" si="46"/>
        <v>46149</v>
      </c>
      <c r="B276" s="976" t="s">
        <v>240</v>
      </c>
      <c r="C276" s="988" t="s">
        <v>632</v>
      </c>
      <c r="D276" s="1410"/>
      <c r="E276" s="977" t="str">
        <f>IFERROR(VLOOKUP(C276, [6]條件!$A:$L, 5, 0), "")</f>
        <v/>
      </c>
      <c r="F276" s="978" t="str">
        <f>IFERROR(VLOOKUP(C276, [6]條件!$A:$L, 6, 0), "")</f>
        <v/>
      </c>
      <c r="G276" s="1411" t="str">
        <f>IFERROR(VLOOKUP(C276, [6]條件!$A:$L, 7, 0), "")</f>
        <v/>
      </c>
      <c r="H276" s="978" t="str">
        <f>IF(ISNA(VLOOKUP(C276,[6]條件!$A$1:$K$932,11,0)),"",(VLOOKUP(C276,[6]條件!$A$1:$K$932,11,0)))</f>
        <v/>
      </c>
      <c r="I276" s="979" t="str">
        <f>IF(ISNA(VLOOKUP(C276,[6]條件!$A$1:$L$932,12,0)),"",(VLOOKUP(C276,[6]條件!$A$1:$L$932,12,0)))</f>
        <v/>
      </c>
      <c r="J276" s="982"/>
      <c r="K276" s="980"/>
      <c r="L276" s="981" t="s">
        <v>632</v>
      </c>
      <c r="M276" s="983"/>
      <c r="N276" s="982"/>
      <c r="O276" s="980"/>
      <c r="P276" s="981" t="s">
        <v>632</v>
      </c>
      <c r="Q276" s="983"/>
      <c r="R276" s="982"/>
      <c r="S276" s="980"/>
      <c r="T276" s="981" t="s">
        <v>632</v>
      </c>
      <c r="U276" s="983"/>
      <c r="V276" s="982"/>
      <c r="W276" s="980"/>
      <c r="X276" s="981" t="s">
        <v>632</v>
      </c>
      <c r="Y276" s="983"/>
      <c r="Z276" s="1422" t="str">
        <f>IFERROR(VLOOKUP(C276, [6]條件!$A:$L, 3, 0), "")</f>
        <v/>
      </c>
      <c r="AA276" s="1167" t="str">
        <f>IF(OR(L276={"改紡","檢修","了機","清車","FINAL","停機","SAMPLE","TEST","絲開發"}), L276, IFERROR(IF(C276="", "", (SUM(J276, N276, R276, V276)/3 * AG276) * IF(AND(AF276="S", AS276="雙"), 0.5, 1)), ""))</f>
        <v>停機</v>
      </c>
      <c r="AB276" s="1423" t="str">
        <f>IF(K276="","",IF(ISERROR(1-((SUM(K276,O276,S276,W276)/((AG276*12)-(AG276*0.44)))/Z276)),"",(1-((SUM(K276,O276,S276,W276)/((AG276*12)-(AG276*0.44)))/Z276))))</f>
        <v/>
      </c>
      <c r="AC276" s="1167" t="str">
        <f>IF(OR(L276={"改紡","檢修","了機","清車","FINAL","停機","SAMPLE","TEST"}), "", IFERROR(IF(C276="", "", AVERAGE(L276:M276, P276:Q276, T276:U276, X276:Y276)/100), ""))</f>
        <v/>
      </c>
      <c r="AD276" s="1167" t="str">
        <f t="shared" si="47"/>
        <v/>
      </c>
      <c r="AE276" s="1167" t="str">
        <f>IF(P276="了機","",IF(J276="","",IF(ISERROR((SUM(J276,N276,R276,V276)-SUM(K276,O276,S276,W276))/24),"",((SUM(J276,N276,R276,V276)-SUM(K276,O276,S276,W276))/24))))</f>
        <v/>
      </c>
      <c r="AF276" s="1168" t="str">
        <f t="shared" si="48"/>
        <v>S</v>
      </c>
      <c r="AG276" s="1424">
        <v>12</v>
      </c>
      <c r="AH276" s="1002" t="s">
        <v>640</v>
      </c>
      <c r="AI276" s="1002" t="s">
        <v>640</v>
      </c>
      <c r="AJ276" s="986" t="s">
        <v>640</v>
      </c>
      <c r="AK276" s="1417" t="s">
        <v>640</v>
      </c>
      <c r="AL276" s="1415"/>
      <c r="AM276" s="1323"/>
      <c r="AN276" s="1323"/>
      <c r="AO276" s="1323"/>
      <c r="AP276" s="1323"/>
      <c r="AQ276" s="1323"/>
      <c r="AR276" s="987"/>
      <c r="AS276" s="978" t="str">
        <f t="shared" si="49"/>
        <v>單</v>
      </c>
      <c r="AT276" s="978" t="str">
        <f t="shared" si="50"/>
        <v>12sec</v>
      </c>
      <c r="AU276" s="978" t="str">
        <f t="shared" si="51"/>
        <v/>
      </c>
      <c r="AV276" s="978" t="str">
        <f t="shared" si="52"/>
        <v/>
      </c>
    </row>
    <row r="277" spans="1:48">
      <c r="A277" s="975">
        <f t="shared" si="46"/>
        <v>46149</v>
      </c>
      <c r="B277" s="976" t="s">
        <v>242</v>
      </c>
      <c r="C277" s="976" t="s">
        <v>385</v>
      </c>
      <c r="D277" s="1410"/>
      <c r="E277" s="977" t="str">
        <f>IFERROR(VLOOKUP(C277, [6]條件!$A:$L, 5, 0), "")</f>
        <v/>
      </c>
      <c r="F277" s="978" t="str">
        <f>IFERROR(VLOOKUP(C277, [6]條件!$A:$L, 6, 0), "")</f>
        <v/>
      </c>
      <c r="G277" s="1411" t="str">
        <f>IFERROR(VLOOKUP(C277, [6]條件!$A:$L, 7, 0), "")</f>
        <v/>
      </c>
      <c r="H277" s="978" t="str">
        <f>IF(ISNA(VLOOKUP(C277,[6]條件!$A$1:$K$932,11,0)),"",(VLOOKUP(C277,[6]條件!$A$1:$K$932,11,0)))</f>
        <v/>
      </c>
      <c r="I277" s="979" t="str">
        <f>IF(ISNA(VLOOKUP(C277,[6]條件!$A$1:$L$932,12,0)),"",(VLOOKUP(C277,[6]條件!$A$1:$L$932,12,0)))</f>
        <v/>
      </c>
      <c r="J277" s="982"/>
      <c r="K277" s="980"/>
      <c r="L277" s="981" t="s">
        <v>385</v>
      </c>
      <c r="M277" s="983"/>
      <c r="N277" s="982"/>
      <c r="O277" s="980"/>
      <c r="P277" s="981" t="s">
        <v>385</v>
      </c>
      <c r="Q277" s="983"/>
      <c r="R277" s="982"/>
      <c r="S277" s="980"/>
      <c r="T277" s="981" t="s">
        <v>385</v>
      </c>
      <c r="U277" s="983"/>
      <c r="V277" s="982"/>
      <c r="W277" s="980"/>
      <c r="X277" s="981" t="s">
        <v>385</v>
      </c>
      <c r="Y277" s="983"/>
      <c r="Z277" s="1422" t="str">
        <f>IFERROR(VLOOKUP(C277, [6]條件!$A:$L, 3, 0), "")</f>
        <v/>
      </c>
      <c r="AA277" s="1167" t="str">
        <f>IF(OR(L277={"改紡","檢修","了機","清車","FINAL","停機","SAMPLE","TEST","絲開發"}), L277, IFERROR(IF(C277="", "", (SUM(J277, N277, R277, V277)/3 * AG277) * IF(AND(AF277="S", AS277="雙"), 0.5, 1)), ""))</f>
        <v>絲開發</v>
      </c>
      <c r="AB277" s="1423" t="str">
        <f>IF(K277="","",IF(ISERROR(1-((SUM(K277,O277,S277,W277)/((AG277*12)-(AG277*0.44)))/Z277)),"",(1-((SUM(K277,O277,S277,W277)/((AG277*12)-(AG277*0.44)))/Z277))))</f>
        <v/>
      </c>
      <c r="AC277" s="1167" t="str">
        <f>IF(OR(L277={"改紡","檢修","了機","清車","FINAL","停機","SAMPLE","TEST"}), "", IFERROR(IF(C277="", "", AVERAGE(L277:M277, P277:Q277, T277:U277, X277:Y277)/100), ""))</f>
        <v/>
      </c>
      <c r="AD277" s="1167" t="str">
        <f t="shared" si="47"/>
        <v/>
      </c>
      <c r="AE277" s="1167" t="str">
        <f>IF(P277="了機","",IF(J277="","",IF(ISERROR((SUM(J277,N277,R277,V277)-SUM(K277,O277,S277,W277))/24),"",((SUM(J277,N277,R277,V277)-SUM(K277,O277,S277,W277))/24))))</f>
        <v/>
      </c>
      <c r="AF277" s="1168" t="str">
        <f t="shared" si="48"/>
        <v>S</v>
      </c>
      <c r="AG277" s="1424">
        <v>5</v>
      </c>
      <c r="AH277" s="1002" t="s">
        <v>815</v>
      </c>
      <c r="AI277" s="1002" t="s">
        <v>815</v>
      </c>
      <c r="AJ277" s="986" t="s">
        <v>636</v>
      </c>
      <c r="AK277" s="1417" t="s">
        <v>636</v>
      </c>
      <c r="AL277" s="1415"/>
      <c r="AM277" s="1323"/>
      <c r="AN277" s="1323"/>
      <c r="AO277" s="1323"/>
      <c r="AP277" s="1323"/>
      <c r="AQ277" s="1323"/>
      <c r="AR277" s="987"/>
      <c r="AS277" s="978" t="str">
        <f t="shared" si="49"/>
        <v>單</v>
      </c>
      <c r="AT277" s="978" t="str">
        <f t="shared" si="50"/>
        <v>5sec</v>
      </c>
      <c r="AU277" s="978" t="str">
        <f t="shared" si="51"/>
        <v/>
      </c>
      <c r="AV277" s="978" t="str">
        <f t="shared" si="52"/>
        <v/>
      </c>
    </row>
    <row r="278" spans="1:48">
      <c r="A278" s="975">
        <f t="shared" si="46"/>
        <v>46149</v>
      </c>
      <c r="B278" s="976" t="s">
        <v>16078</v>
      </c>
      <c r="C278" s="988" t="s">
        <v>16185</v>
      </c>
      <c r="D278" s="1410"/>
      <c r="E278" s="977" t="str">
        <f>IFERROR(VLOOKUP(C278, [6]條件!$A:$L, 5, 0), "")</f>
        <v/>
      </c>
      <c r="F278" s="978" t="str">
        <f>IFERROR(VLOOKUP(C278, [6]條件!$A:$L, 6, 0), "")</f>
        <v/>
      </c>
      <c r="G278" s="1411" t="str">
        <f>IFERROR(VLOOKUP(C278, [6]條件!$A:$L, 7, 0), "")</f>
        <v/>
      </c>
      <c r="H278" s="978" t="str">
        <f>IF(ISNA(VLOOKUP(C278,[6]條件!$A$1:$K$932,11,0)),"",(VLOOKUP(C278,[6]條件!$A$1:$K$932,11,0)))</f>
        <v/>
      </c>
      <c r="I278" s="979" t="str">
        <f>IF(ISNA(VLOOKUP(C278,[6]條件!$A$1:$L$932,12,0)),"",(VLOOKUP(C278,[6]條件!$A$1:$L$932,12,0)))</f>
        <v/>
      </c>
      <c r="J278" s="982"/>
      <c r="K278" s="980"/>
      <c r="L278" s="981" t="s">
        <v>632</v>
      </c>
      <c r="M278" s="983"/>
      <c r="N278" s="982"/>
      <c r="O278" s="980"/>
      <c r="P278" s="981" t="s">
        <v>632</v>
      </c>
      <c r="Q278" s="983"/>
      <c r="R278" s="982"/>
      <c r="S278" s="980"/>
      <c r="T278" s="981" t="s">
        <v>632</v>
      </c>
      <c r="U278" s="983"/>
      <c r="V278" s="982"/>
      <c r="W278" s="980"/>
      <c r="X278" s="981" t="s">
        <v>632</v>
      </c>
      <c r="Y278" s="983"/>
      <c r="Z278" s="1412" t="str">
        <f>IFERROR(VLOOKUP(C278, [6]條件!$A:$L, 3, 0), "")</f>
        <v/>
      </c>
      <c r="AA278" s="984" t="str">
        <f>IF(OR(L278={"改紡","檢修","了機","清車","FINAL","停機","SAMPLE","TEST","絲開發"}), L278, IFERROR(IF(C278="", "", (SUM(J278, N278, R278, V278)/3 * AG278) * IF(AND(AF278="S", AS278="雙"), 0.5, 1)), ""))</f>
        <v>停機</v>
      </c>
      <c r="AB278" s="1413" t="str">
        <f t="shared" ref="AB278:AB315" si="53">IF(K278="","",IF(ISERROR(1-(SUM(K278,O278,S278,W278)/208/Z278)),"",(1-(SUM(K278,O278,S278,W278)/208/Z278))))</f>
        <v/>
      </c>
      <c r="AC278" s="984" t="str">
        <f>IF(OR(L278={"改紡","檢修","了機","清車","FINAL","停機","SAMPLE","TEST"}), "", IFERROR(IF(C278="", "", AVERAGE(L278:M278, P278:Q278, T278:U278, X278:Y278)/100), ""))</f>
        <v/>
      </c>
      <c r="AD278" s="984" t="str">
        <f t="shared" si="47"/>
        <v/>
      </c>
      <c r="AE278" s="984" t="str">
        <f>IF(OR(L278="改紡", L278="檢修", L278="了機"), "",
   IF(AND(C278&lt;&gt;"", J278&lt;&gt;""),
      IFERROR((SUM(J278, N278, R278, V278) - SUM(K278, O278, S278, W278))/24 * AG278, ""),
   "")
)</f>
        <v/>
      </c>
      <c r="AF278" s="985" t="str">
        <f t="shared" si="48"/>
        <v>M</v>
      </c>
      <c r="AG278" s="1414">
        <v>1</v>
      </c>
      <c r="AH278" s="1002" t="s">
        <v>640</v>
      </c>
      <c r="AI278" s="1002" t="s">
        <v>640</v>
      </c>
      <c r="AJ278" s="986" t="s">
        <v>640</v>
      </c>
      <c r="AK278" s="1417" t="s">
        <v>640</v>
      </c>
      <c r="AL278" s="1415"/>
      <c r="AM278" s="1323"/>
      <c r="AN278" s="1323"/>
      <c r="AO278" s="1323"/>
      <c r="AP278" s="1323"/>
      <c r="AQ278" s="1323"/>
      <c r="AR278" s="987"/>
      <c r="AS278" s="978" t="str">
        <f t="shared" si="49"/>
        <v>單</v>
      </c>
      <c r="AT278" s="978" t="str">
        <f t="shared" si="50"/>
        <v>全</v>
      </c>
      <c r="AU278" s="978" t="str">
        <f t="shared" si="51"/>
        <v/>
      </c>
      <c r="AV278" s="978" t="str">
        <f t="shared" si="52"/>
        <v/>
      </c>
    </row>
    <row r="279" spans="1:48">
      <c r="A279" s="975">
        <f t="shared" si="46"/>
        <v>46149</v>
      </c>
      <c r="B279" s="976" t="s">
        <v>243</v>
      </c>
      <c r="C279" s="988" t="s">
        <v>16185</v>
      </c>
      <c r="D279" s="1410"/>
      <c r="E279" s="977" t="str">
        <f>IFERROR(VLOOKUP(C279, [6]條件!$A:$L, 5, 0), "")</f>
        <v/>
      </c>
      <c r="F279" s="978" t="str">
        <f>IFERROR(VLOOKUP(C279, [6]條件!$A:$L, 6, 0), "")</f>
        <v/>
      </c>
      <c r="G279" s="1411" t="str">
        <f>IFERROR(VLOOKUP(C279, [6]條件!$A:$L, 7, 0), "")</f>
        <v/>
      </c>
      <c r="H279" s="978" t="str">
        <f>IF(ISNA(VLOOKUP(C279,[6]條件!$A$1:$K$932,11,0)),"",(VLOOKUP(C279,[6]條件!$A$1:$K$932,11,0)))</f>
        <v/>
      </c>
      <c r="I279" s="979" t="str">
        <f>IF(ISNA(VLOOKUP(C279,[6]條件!$A$1:$L$932,12,0)),"",(VLOOKUP(C279,[6]條件!$A$1:$L$932,12,0)))</f>
        <v/>
      </c>
      <c r="J279" s="982"/>
      <c r="K279" s="980"/>
      <c r="L279" s="981" t="s">
        <v>632</v>
      </c>
      <c r="M279" s="983"/>
      <c r="N279" s="982"/>
      <c r="O279" s="980"/>
      <c r="P279" s="981" t="s">
        <v>632</v>
      </c>
      <c r="Q279" s="983"/>
      <c r="R279" s="982"/>
      <c r="S279" s="980"/>
      <c r="T279" s="981" t="s">
        <v>632</v>
      </c>
      <c r="U279" s="983"/>
      <c r="V279" s="982"/>
      <c r="W279" s="980"/>
      <c r="X279" s="981" t="s">
        <v>632</v>
      </c>
      <c r="Y279" s="983"/>
      <c r="Z279" s="1412" t="str">
        <f>IFERROR(VLOOKUP(C279, [6]條件!$A:$L, 3, 0), "")</f>
        <v/>
      </c>
      <c r="AA279" s="984" t="str">
        <f>IF(OR(L279={"改紡","檢修","了機","清車","FINAL","停機","SAMPLE","TEST","絲開發"}), L279, IFERROR(IF(C279="", "", (SUM(J279, N279, R279, V279)/3 * AG279) * IF(AND(AF279="S", AS279="雙"), 0.5, 1)), ""))</f>
        <v>停機</v>
      </c>
      <c r="AB279" s="1413" t="str">
        <f t="shared" si="53"/>
        <v/>
      </c>
      <c r="AC279" s="984" t="str">
        <f>IF(OR(L279={"改紡","檢修","了機","清車","FINAL","停機","SAMPLE","TEST"}), "", IFERROR(IF(C279="", "", AVERAGE(L279:M279, P279:Q279, T279:U279, X279:Y279)/100), ""))</f>
        <v/>
      </c>
      <c r="AD279" s="984" t="str">
        <f t="shared" si="47"/>
        <v/>
      </c>
      <c r="AE279" s="984" t="str">
        <f t="shared" ref="AE279:AE315" si="54">IF(OR(L279="改紡", L279="檢修", L279="了機"), "",
IF(AND(C279&lt;&gt;"", J279&lt;&gt;""),
IFERROR((SUM(J279, N279, R279, V279) - SUM(K279, O279, S279, W279))/24 * AG279, ""),
"")
)</f>
        <v/>
      </c>
      <c r="AF279" s="985" t="str">
        <f t="shared" si="48"/>
        <v>M</v>
      </c>
      <c r="AG279" s="1414">
        <v>1</v>
      </c>
      <c r="AH279" s="1002" t="s">
        <v>640</v>
      </c>
      <c r="AI279" s="1002" t="s">
        <v>640</v>
      </c>
      <c r="AJ279" s="986" t="s">
        <v>640</v>
      </c>
      <c r="AK279" s="1417" t="s">
        <v>640</v>
      </c>
      <c r="AL279" s="1415"/>
      <c r="AM279" s="1323"/>
      <c r="AN279" s="1323"/>
      <c r="AO279" s="1323"/>
      <c r="AP279" s="1323"/>
      <c r="AQ279" s="1323"/>
      <c r="AR279" s="987"/>
      <c r="AS279" s="978" t="str">
        <f t="shared" si="49"/>
        <v>單</v>
      </c>
      <c r="AT279" s="978" t="str">
        <f t="shared" si="50"/>
        <v>全</v>
      </c>
      <c r="AU279" s="978" t="str">
        <f t="shared" si="51"/>
        <v/>
      </c>
      <c r="AV279" s="978" t="str">
        <f t="shared" si="52"/>
        <v/>
      </c>
    </row>
    <row r="280" spans="1:48">
      <c r="A280" s="975">
        <f t="shared" si="46"/>
        <v>46149</v>
      </c>
      <c r="B280" s="976" t="s">
        <v>244</v>
      </c>
      <c r="C280" s="988" t="s">
        <v>16185</v>
      </c>
      <c r="D280" s="1410"/>
      <c r="E280" s="977" t="str">
        <f>IFERROR(VLOOKUP(C280, [6]條件!$A:$L, 5, 0), "")</f>
        <v/>
      </c>
      <c r="F280" s="978" t="str">
        <f>IFERROR(VLOOKUP(C280, [6]條件!$A:$L, 6, 0), "")</f>
        <v/>
      </c>
      <c r="G280" s="1411" t="str">
        <f>IFERROR(VLOOKUP(C280, [6]條件!$A:$L, 7, 0), "")</f>
        <v/>
      </c>
      <c r="H280" s="978" t="str">
        <f>IF(ISNA(VLOOKUP(C280,[6]條件!$A$1:$K$932,11,0)),"",(VLOOKUP(C280,[6]條件!$A$1:$K$932,11,0)))</f>
        <v/>
      </c>
      <c r="I280" s="979" t="str">
        <f>IF(ISNA(VLOOKUP(C280,[6]條件!$A$1:$L$932,12,0)),"",(VLOOKUP(C280,[6]條件!$A$1:$L$932,12,0)))</f>
        <v/>
      </c>
      <c r="J280" s="982"/>
      <c r="K280" s="980"/>
      <c r="L280" s="981" t="s">
        <v>632</v>
      </c>
      <c r="M280" s="983"/>
      <c r="N280" s="982"/>
      <c r="O280" s="980"/>
      <c r="P280" s="981" t="s">
        <v>632</v>
      </c>
      <c r="Q280" s="983"/>
      <c r="R280" s="982"/>
      <c r="S280" s="980"/>
      <c r="T280" s="981" t="s">
        <v>632</v>
      </c>
      <c r="U280" s="983"/>
      <c r="V280" s="982"/>
      <c r="W280" s="980"/>
      <c r="X280" s="981" t="s">
        <v>632</v>
      </c>
      <c r="Y280" s="983"/>
      <c r="Z280" s="1412" t="str">
        <f>IFERROR(VLOOKUP(C280, [6]條件!$A:$L, 3, 0), "")</f>
        <v/>
      </c>
      <c r="AA280" s="984" t="str">
        <f>IF(OR(L280={"改紡","檢修","了機","清車","FINAL","停機","SAMPLE","TEST","絲開發"}), L280, IFERROR(IF(C280="", "", (SUM(J280, N280, R280, V280)/3 * AG280) * IF(AND(AF280="S", AS280="雙"), 0.5, 1)), ""))</f>
        <v>停機</v>
      </c>
      <c r="AB280" s="1413" t="str">
        <f t="shared" si="53"/>
        <v/>
      </c>
      <c r="AC280" s="984" t="str">
        <f>IF(OR(L280={"改紡","檢修","了機","清車","FINAL","停機","SAMPLE","TEST"}), "", IFERROR(IF(C280="", "", AVERAGE(L280:M280, P280:Q280, T280:U280, X280:Y280)/100), ""))</f>
        <v/>
      </c>
      <c r="AD280" s="984" t="str">
        <f t="shared" si="47"/>
        <v/>
      </c>
      <c r="AE280" s="984" t="str">
        <f t="shared" si="54"/>
        <v/>
      </c>
      <c r="AF280" s="985" t="str">
        <f t="shared" si="48"/>
        <v>M</v>
      </c>
      <c r="AG280" s="1414">
        <v>1</v>
      </c>
      <c r="AH280" s="1002" t="s">
        <v>640</v>
      </c>
      <c r="AI280" s="1002" t="s">
        <v>640</v>
      </c>
      <c r="AJ280" s="986" t="s">
        <v>640</v>
      </c>
      <c r="AK280" s="1417" t="s">
        <v>640</v>
      </c>
      <c r="AL280" s="1415"/>
      <c r="AM280" s="1323"/>
      <c r="AN280" s="1323"/>
      <c r="AO280" s="1323"/>
      <c r="AP280" s="1323"/>
      <c r="AQ280" s="1323"/>
      <c r="AR280" s="987"/>
      <c r="AS280" s="978" t="str">
        <f t="shared" si="49"/>
        <v>單</v>
      </c>
      <c r="AT280" s="978" t="str">
        <f t="shared" si="50"/>
        <v>全</v>
      </c>
      <c r="AU280" s="978" t="str">
        <f t="shared" si="51"/>
        <v/>
      </c>
      <c r="AV280" s="978" t="str">
        <f t="shared" si="52"/>
        <v/>
      </c>
    </row>
    <row r="281" spans="1:48">
      <c r="A281" s="975">
        <f t="shared" si="46"/>
        <v>46149</v>
      </c>
      <c r="B281" s="976" t="s">
        <v>245</v>
      </c>
      <c r="C281" s="988" t="s">
        <v>16185</v>
      </c>
      <c r="D281" s="1410"/>
      <c r="E281" s="977" t="str">
        <f>IFERROR(VLOOKUP(C281, [6]條件!$A:$L, 5, 0), "")</f>
        <v/>
      </c>
      <c r="F281" s="978" t="str">
        <f>IFERROR(VLOOKUP(C281, [6]條件!$A:$L, 6, 0), "")</f>
        <v/>
      </c>
      <c r="G281" s="1411" t="str">
        <f>IFERROR(VLOOKUP(C281, [6]條件!$A:$L, 7, 0), "")</f>
        <v/>
      </c>
      <c r="H281" s="978" t="str">
        <f>IF(ISNA(VLOOKUP(C281,[6]條件!$A$1:$K$932,11,0)),"",(VLOOKUP(C281,[6]條件!$A$1:$K$932,11,0)))</f>
        <v/>
      </c>
      <c r="I281" s="979" t="str">
        <f>IF(ISNA(VLOOKUP(C281,[6]條件!$A$1:$L$932,12,0)),"",(VLOOKUP(C281,[6]條件!$A$1:$L$932,12,0)))</f>
        <v/>
      </c>
      <c r="J281" s="982"/>
      <c r="K281" s="980"/>
      <c r="L281" s="981" t="s">
        <v>632</v>
      </c>
      <c r="M281" s="983"/>
      <c r="N281" s="982"/>
      <c r="O281" s="980"/>
      <c r="P281" s="981" t="s">
        <v>632</v>
      </c>
      <c r="Q281" s="983"/>
      <c r="R281" s="982"/>
      <c r="S281" s="980"/>
      <c r="T281" s="981" t="s">
        <v>632</v>
      </c>
      <c r="U281" s="983"/>
      <c r="V281" s="982"/>
      <c r="W281" s="980"/>
      <c r="X281" s="981" t="s">
        <v>632</v>
      </c>
      <c r="Y281" s="983"/>
      <c r="Z281" s="1412" t="str">
        <f>IFERROR(VLOOKUP(C281, [6]條件!$A:$L, 3, 0), "")</f>
        <v/>
      </c>
      <c r="AA281" s="984" t="str">
        <f>IF(OR(L281={"改紡","檢修","了機","清車","FINAL","停機","SAMPLE","TEST","絲開發"}), L281, IFERROR(IF(C281="", "", (SUM(J281, N281, R281, V281)/3 * AG281) * IF(AND(AF281="S", AS281="雙"), 0.5, 1)), ""))</f>
        <v>停機</v>
      </c>
      <c r="AB281" s="1413" t="str">
        <f t="shared" si="53"/>
        <v/>
      </c>
      <c r="AC281" s="984" t="str">
        <f>IF(OR(L281={"改紡","檢修","了機","清車","FINAL","停機","SAMPLE","TEST"}), "", IFERROR(IF(C281="", "", AVERAGE(L281:M281, P281:Q281, T281:U281, X281:Y281)/100), ""))</f>
        <v/>
      </c>
      <c r="AD281" s="984" t="str">
        <f t="shared" si="47"/>
        <v/>
      </c>
      <c r="AE281" s="984" t="str">
        <f t="shared" si="54"/>
        <v/>
      </c>
      <c r="AF281" s="985" t="str">
        <f t="shared" si="48"/>
        <v>M</v>
      </c>
      <c r="AG281" s="1414">
        <v>1</v>
      </c>
      <c r="AH281" s="1002" t="s">
        <v>640</v>
      </c>
      <c r="AI281" s="1002" t="s">
        <v>640</v>
      </c>
      <c r="AJ281" s="986" t="s">
        <v>640</v>
      </c>
      <c r="AK281" s="1417" t="s">
        <v>640</v>
      </c>
      <c r="AL281" s="1415"/>
      <c r="AM281" s="1323"/>
      <c r="AN281" s="1323"/>
      <c r="AO281" s="1323"/>
      <c r="AP281" s="1323"/>
      <c r="AQ281" s="1323"/>
      <c r="AR281" s="987"/>
      <c r="AS281" s="978" t="str">
        <f t="shared" si="49"/>
        <v>單</v>
      </c>
      <c r="AT281" s="978" t="str">
        <f t="shared" si="50"/>
        <v>全</v>
      </c>
      <c r="AU281" s="978" t="str">
        <f t="shared" si="51"/>
        <v/>
      </c>
      <c r="AV281" s="978" t="str">
        <f t="shared" si="52"/>
        <v/>
      </c>
    </row>
    <row r="282" spans="1:48">
      <c r="A282" s="975">
        <f t="shared" si="46"/>
        <v>46149</v>
      </c>
      <c r="B282" s="976" t="s">
        <v>246</v>
      </c>
      <c r="C282" s="988" t="s">
        <v>16185</v>
      </c>
      <c r="D282" s="1410"/>
      <c r="E282" s="977" t="str">
        <f>IFERROR(VLOOKUP(C282, [6]條件!$A:$L, 5, 0), "")</f>
        <v/>
      </c>
      <c r="F282" s="978" t="str">
        <f>IFERROR(VLOOKUP(C282, [6]條件!$A:$L, 6, 0), "")</f>
        <v/>
      </c>
      <c r="G282" s="1411" t="str">
        <f>IFERROR(VLOOKUP(C282, [6]條件!$A:$L, 7, 0), "")</f>
        <v/>
      </c>
      <c r="H282" s="978" t="str">
        <f>IF(ISNA(VLOOKUP(C282,[6]條件!$A$1:$K$932,11,0)),"",(VLOOKUP(C282,[6]條件!$A$1:$K$932,11,0)))</f>
        <v/>
      </c>
      <c r="I282" s="979" t="str">
        <f>IF(ISNA(VLOOKUP(C282,[6]條件!$A$1:$L$932,12,0)),"",(VLOOKUP(C282,[6]條件!$A$1:$L$932,12,0)))</f>
        <v/>
      </c>
      <c r="J282" s="982"/>
      <c r="K282" s="980"/>
      <c r="L282" s="981" t="s">
        <v>632</v>
      </c>
      <c r="M282" s="983"/>
      <c r="N282" s="982"/>
      <c r="O282" s="980"/>
      <c r="P282" s="981" t="s">
        <v>632</v>
      </c>
      <c r="Q282" s="983"/>
      <c r="R282" s="982"/>
      <c r="S282" s="980"/>
      <c r="T282" s="981" t="s">
        <v>632</v>
      </c>
      <c r="U282" s="983"/>
      <c r="V282" s="982"/>
      <c r="W282" s="980"/>
      <c r="X282" s="981" t="s">
        <v>632</v>
      </c>
      <c r="Y282" s="983"/>
      <c r="Z282" s="1412" t="str">
        <f>IFERROR(VLOOKUP(C282, [6]條件!$A:$L, 3, 0), "")</f>
        <v/>
      </c>
      <c r="AA282" s="984" t="str">
        <f>IF(OR(L282={"改紡","檢修","了機","清車","FINAL","停機","SAMPLE","TEST","絲開發"}), L282, IFERROR(IF(C282="", "", (SUM(J282, N282, R282, V282)/3 * AG282) * IF(AND(AF282="S", AS282="雙"), 0.5, 1)), ""))</f>
        <v>停機</v>
      </c>
      <c r="AB282" s="1413" t="str">
        <f t="shared" si="53"/>
        <v/>
      </c>
      <c r="AC282" s="984" t="str">
        <f>IF(OR(L282={"改紡","檢修","了機","清車","FINAL","停機","SAMPLE","TEST"}), "", IFERROR(IF(C282="", "", AVERAGE(L282:M282, P282:Q282, T282:U282, X282:Y282)/100), ""))</f>
        <v/>
      </c>
      <c r="AD282" s="984" t="str">
        <f t="shared" si="47"/>
        <v/>
      </c>
      <c r="AE282" s="984" t="str">
        <f t="shared" si="54"/>
        <v/>
      </c>
      <c r="AF282" s="985" t="str">
        <f t="shared" si="48"/>
        <v>M</v>
      </c>
      <c r="AG282" s="1414">
        <v>1</v>
      </c>
      <c r="AH282" s="1002" t="s">
        <v>640</v>
      </c>
      <c r="AI282" s="1002" t="s">
        <v>640</v>
      </c>
      <c r="AJ282" s="986" t="s">
        <v>640</v>
      </c>
      <c r="AK282" s="1417" t="s">
        <v>640</v>
      </c>
      <c r="AL282" s="1415"/>
      <c r="AM282" s="1323"/>
      <c r="AN282" s="1323"/>
      <c r="AO282" s="1323"/>
      <c r="AP282" s="1323"/>
      <c r="AQ282" s="1323"/>
      <c r="AR282" s="987"/>
      <c r="AS282" s="978" t="str">
        <f t="shared" si="49"/>
        <v>單</v>
      </c>
      <c r="AT282" s="978" t="str">
        <f t="shared" si="50"/>
        <v>全</v>
      </c>
      <c r="AU282" s="978" t="str">
        <f t="shared" si="51"/>
        <v/>
      </c>
      <c r="AV282" s="978" t="str">
        <f t="shared" si="52"/>
        <v/>
      </c>
    </row>
    <row r="283" spans="1:48">
      <c r="A283" s="975">
        <f t="shared" si="46"/>
        <v>46149</v>
      </c>
      <c r="B283" s="976" t="s">
        <v>247</v>
      </c>
      <c r="C283" s="988" t="s">
        <v>16185</v>
      </c>
      <c r="D283" s="1410"/>
      <c r="E283" s="977" t="str">
        <f>IFERROR(VLOOKUP(C283, [6]條件!$A:$L, 5, 0), "")</f>
        <v/>
      </c>
      <c r="F283" s="978" t="str">
        <f>IFERROR(VLOOKUP(C283, [6]條件!$A:$L, 6, 0), "")</f>
        <v/>
      </c>
      <c r="G283" s="1411" t="str">
        <f>IFERROR(VLOOKUP(C283, [6]條件!$A:$L, 7, 0), "")</f>
        <v/>
      </c>
      <c r="H283" s="978" t="str">
        <f>IF(ISNA(VLOOKUP(C283,[6]條件!$A$1:$K$932,11,0)),"",(VLOOKUP(C283,[6]條件!$A$1:$K$932,11,0)))</f>
        <v/>
      </c>
      <c r="I283" s="979" t="str">
        <f>IF(ISNA(VLOOKUP(C283,[6]條件!$A$1:$L$932,12,0)),"",(VLOOKUP(C283,[6]條件!$A$1:$L$932,12,0)))</f>
        <v/>
      </c>
      <c r="J283" s="982"/>
      <c r="K283" s="980"/>
      <c r="L283" s="981" t="s">
        <v>632</v>
      </c>
      <c r="M283" s="983"/>
      <c r="N283" s="982"/>
      <c r="O283" s="980"/>
      <c r="P283" s="981" t="s">
        <v>632</v>
      </c>
      <c r="Q283" s="983"/>
      <c r="R283" s="982"/>
      <c r="S283" s="980"/>
      <c r="T283" s="981" t="s">
        <v>632</v>
      </c>
      <c r="U283" s="983"/>
      <c r="V283" s="982"/>
      <c r="W283" s="980"/>
      <c r="X283" s="981" t="s">
        <v>632</v>
      </c>
      <c r="Y283" s="983"/>
      <c r="Z283" s="1412" t="str">
        <f>IFERROR(VLOOKUP(C283, [6]條件!$A:$L, 3, 0), "")</f>
        <v/>
      </c>
      <c r="AA283" s="984" t="str">
        <f>IF(OR(L283={"改紡","檢修","了機","清車","FINAL","停機","SAMPLE","TEST","絲開發"}), L283, IFERROR(IF(C283="", "", (SUM(J283, N283, R283, V283)/3 * AG283) * IF(AND(AF283="S", AS283="雙"), 0.5, 1)), ""))</f>
        <v>停機</v>
      </c>
      <c r="AB283" s="1413" t="str">
        <f t="shared" si="53"/>
        <v/>
      </c>
      <c r="AC283" s="984" t="str">
        <f>IF(OR(L283={"改紡","檢修","了機","清車","FINAL","停機","SAMPLE","TEST"}), "", IFERROR(IF(C283="", "", AVERAGE(L283:M283, P283:Q283, T283:U283, X283:Y283)/100), ""))</f>
        <v/>
      </c>
      <c r="AD283" s="984" t="str">
        <f t="shared" si="47"/>
        <v/>
      </c>
      <c r="AE283" s="984" t="str">
        <f t="shared" si="54"/>
        <v/>
      </c>
      <c r="AF283" s="985" t="str">
        <f t="shared" si="48"/>
        <v>M</v>
      </c>
      <c r="AG283" s="1414">
        <v>1</v>
      </c>
      <c r="AH283" s="1002" t="s">
        <v>640</v>
      </c>
      <c r="AI283" s="1002" t="s">
        <v>640</v>
      </c>
      <c r="AJ283" s="986" t="s">
        <v>640</v>
      </c>
      <c r="AK283" s="1417" t="s">
        <v>640</v>
      </c>
      <c r="AL283" s="1415"/>
      <c r="AM283" s="1323"/>
      <c r="AN283" s="1323"/>
      <c r="AO283" s="1323"/>
      <c r="AP283" s="1323"/>
      <c r="AQ283" s="1323"/>
      <c r="AR283" s="987"/>
      <c r="AS283" s="978" t="str">
        <f t="shared" si="49"/>
        <v>單</v>
      </c>
      <c r="AT283" s="978" t="str">
        <f t="shared" si="50"/>
        <v>全</v>
      </c>
      <c r="AU283" s="978" t="str">
        <f t="shared" si="51"/>
        <v/>
      </c>
      <c r="AV283" s="978" t="str">
        <f t="shared" si="52"/>
        <v/>
      </c>
    </row>
    <row r="284" spans="1:48">
      <c r="A284" s="975">
        <f t="shared" si="46"/>
        <v>46149</v>
      </c>
      <c r="B284" s="976" t="s">
        <v>248</v>
      </c>
      <c r="C284" s="988" t="s">
        <v>16185</v>
      </c>
      <c r="D284" s="1410"/>
      <c r="E284" s="977" t="str">
        <f>IFERROR(VLOOKUP(C284, [6]條件!$A:$L, 5, 0), "")</f>
        <v/>
      </c>
      <c r="F284" s="978" t="str">
        <f>IFERROR(VLOOKUP(C284, [6]條件!$A:$L, 6, 0), "")</f>
        <v/>
      </c>
      <c r="G284" s="1411" t="str">
        <f>IFERROR(VLOOKUP(C284, [6]條件!$A:$L, 7, 0), "")</f>
        <v/>
      </c>
      <c r="H284" s="978" t="str">
        <f>IF(ISNA(VLOOKUP(C284,[6]條件!$A$1:$K$932,11,0)),"",(VLOOKUP(C284,[6]條件!$A$1:$K$932,11,0)))</f>
        <v/>
      </c>
      <c r="I284" s="979" t="str">
        <f>IF(ISNA(VLOOKUP(C284,[6]條件!$A$1:$L$932,12,0)),"",(VLOOKUP(C284,[6]條件!$A$1:$L$932,12,0)))</f>
        <v/>
      </c>
      <c r="J284" s="982"/>
      <c r="K284" s="980"/>
      <c r="L284" s="981" t="s">
        <v>632</v>
      </c>
      <c r="M284" s="983"/>
      <c r="N284" s="982"/>
      <c r="O284" s="980"/>
      <c r="P284" s="981" t="s">
        <v>632</v>
      </c>
      <c r="Q284" s="983"/>
      <c r="R284" s="982"/>
      <c r="S284" s="980"/>
      <c r="T284" s="981" t="s">
        <v>632</v>
      </c>
      <c r="U284" s="983"/>
      <c r="V284" s="982"/>
      <c r="W284" s="980"/>
      <c r="X284" s="981" t="s">
        <v>632</v>
      </c>
      <c r="Y284" s="983"/>
      <c r="Z284" s="1412" t="str">
        <f>IFERROR(VLOOKUP(C284, [6]條件!$A:$L, 3, 0), "")</f>
        <v/>
      </c>
      <c r="AA284" s="984" t="str">
        <f>IF(OR(L284={"改紡","檢修","了機","清車","FINAL","停機","SAMPLE","TEST","絲開發"}), L284, IFERROR(IF(C284="", "", (SUM(J284, N284, R284, V284)/3 * AG284) * IF(AND(AF284="S", AS284="雙"), 0.5, 1)), ""))</f>
        <v>停機</v>
      </c>
      <c r="AB284" s="1413" t="str">
        <f t="shared" si="53"/>
        <v/>
      </c>
      <c r="AC284" s="984" t="str">
        <f>IF(OR(L284={"改紡","檢修","了機","清車","FINAL","停機","SAMPLE","TEST"}), "", IFERROR(IF(C284="", "", AVERAGE(L284:M284, P284:Q284, T284:U284, X284:Y284)/100), ""))</f>
        <v/>
      </c>
      <c r="AD284" s="984" t="str">
        <f t="shared" si="47"/>
        <v/>
      </c>
      <c r="AE284" s="984" t="str">
        <f t="shared" si="54"/>
        <v/>
      </c>
      <c r="AF284" s="985" t="str">
        <f t="shared" si="48"/>
        <v>M</v>
      </c>
      <c r="AG284" s="1414">
        <v>1</v>
      </c>
      <c r="AH284" s="1002" t="s">
        <v>640</v>
      </c>
      <c r="AI284" s="1002" t="s">
        <v>640</v>
      </c>
      <c r="AJ284" s="986" t="s">
        <v>640</v>
      </c>
      <c r="AK284" s="1417" t="s">
        <v>640</v>
      </c>
      <c r="AL284" s="1415"/>
      <c r="AM284" s="1323"/>
      <c r="AN284" s="1323"/>
      <c r="AO284" s="1323"/>
      <c r="AP284" s="1323"/>
      <c r="AQ284" s="1323"/>
      <c r="AR284" s="987"/>
      <c r="AS284" s="978" t="str">
        <f t="shared" si="49"/>
        <v>單</v>
      </c>
      <c r="AT284" s="978" t="str">
        <f t="shared" si="50"/>
        <v>全</v>
      </c>
      <c r="AU284" s="978" t="str">
        <f t="shared" si="51"/>
        <v/>
      </c>
      <c r="AV284" s="978" t="str">
        <f t="shared" si="52"/>
        <v/>
      </c>
    </row>
    <row r="285" spans="1:48" ht="17.25" thickBot="1">
      <c r="A285" s="989">
        <f t="shared" si="46"/>
        <v>46149</v>
      </c>
      <c r="B285" s="990" t="s">
        <v>249</v>
      </c>
      <c r="C285" s="991" t="s">
        <v>16185</v>
      </c>
      <c r="D285" s="1425"/>
      <c r="E285" s="1169" t="str">
        <f>IFERROR(VLOOKUP(C285, [6]條件!$A:$L, 5, 0), "")</f>
        <v/>
      </c>
      <c r="F285" s="992" t="str">
        <f>IFERROR(VLOOKUP(C285, [6]條件!$A:$L, 6, 0), "")</f>
        <v/>
      </c>
      <c r="G285" s="1426" t="str">
        <f>IFERROR(VLOOKUP(C285, [6]條件!$A:$L, 7, 0), "")</f>
        <v/>
      </c>
      <c r="H285" s="992" t="str">
        <f>IF(ISNA(VLOOKUP(C285,[6]條件!$A$1:$K$932,11,0)),"",(VLOOKUP(C285,[6]條件!$A$1:$K$932,11,0)))</f>
        <v/>
      </c>
      <c r="I285" s="1170" t="str">
        <f>IF(ISNA(VLOOKUP(C285,[6]條件!$A$1:$L$932,12,0)),"",(VLOOKUP(C285,[6]條件!$A$1:$L$932,12,0)))</f>
        <v/>
      </c>
      <c r="J285" s="995"/>
      <c r="K285" s="993"/>
      <c r="L285" s="994" t="s">
        <v>632</v>
      </c>
      <c r="M285" s="996"/>
      <c r="N285" s="995"/>
      <c r="O285" s="993"/>
      <c r="P285" s="994" t="s">
        <v>632</v>
      </c>
      <c r="Q285" s="996"/>
      <c r="R285" s="995"/>
      <c r="S285" s="993"/>
      <c r="T285" s="994" t="s">
        <v>632</v>
      </c>
      <c r="U285" s="996"/>
      <c r="V285" s="995"/>
      <c r="W285" s="993"/>
      <c r="X285" s="994" t="s">
        <v>632</v>
      </c>
      <c r="Y285" s="996"/>
      <c r="Z285" s="1427" t="str">
        <f>IFERROR(VLOOKUP(C285, [6]條件!$A:$L, 3, 0), "")</f>
        <v/>
      </c>
      <c r="AA285" s="997" t="str">
        <f>IF(OR(L285={"改紡","檢修","了機","清車","FINAL","停機","SAMPLE","TEST","絲開發"}), L285, IFERROR(IF(C285="", "", (SUM(J285, N285, R285, V285)/3 * AG285) * IF(AND(AF285="S", AS285="雙"), 0.5, 1)), ""))</f>
        <v>停機</v>
      </c>
      <c r="AB285" s="1428" t="str">
        <f t="shared" si="53"/>
        <v/>
      </c>
      <c r="AC285" s="997" t="str">
        <f>IF(OR(L285={"改紡","檢修","了機","清車","FINAL","停機","SAMPLE","TEST"}), "", IFERROR(IF(C285="", "", AVERAGE(L285:M285, P285:Q285, T285:U285, X285:Y285)/100), ""))</f>
        <v/>
      </c>
      <c r="AD285" s="997" t="str">
        <f t="shared" si="47"/>
        <v/>
      </c>
      <c r="AE285" s="997" t="str">
        <f t="shared" si="54"/>
        <v/>
      </c>
      <c r="AF285" s="998" t="str">
        <f t="shared" si="48"/>
        <v>M</v>
      </c>
      <c r="AG285" s="1429">
        <v>1</v>
      </c>
      <c r="AH285" s="1171" t="s">
        <v>640</v>
      </c>
      <c r="AI285" s="1171" t="s">
        <v>640</v>
      </c>
      <c r="AJ285" s="999" t="s">
        <v>640</v>
      </c>
      <c r="AK285" s="1430" t="s">
        <v>640</v>
      </c>
      <c r="AL285" s="1431"/>
      <c r="AM285" s="1325"/>
      <c r="AN285" s="1325"/>
      <c r="AO285" s="1325"/>
      <c r="AP285" s="1325"/>
      <c r="AQ285" s="1325"/>
      <c r="AR285" s="1000"/>
      <c r="AS285" s="992" t="str">
        <f t="shared" si="49"/>
        <v>單</v>
      </c>
      <c r="AT285" s="992" t="str">
        <f t="shared" si="50"/>
        <v>全</v>
      </c>
      <c r="AU285" s="992" t="str">
        <f t="shared" si="51"/>
        <v/>
      </c>
      <c r="AV285" s="992" t="str">
        <f t="shared" si="52"/>
        <v/>
      </c>
    </row>
    <row r="286" spans="1:48">
      <c r="A286" s="962">
        <v>46150</v>
      </c>
      <c r="B286" s="963" t="s">
        <v>212</v>
      </c>
      <c r="C286" s="963" t="s">
        <v>632</v>
      </c>
      <c r="D286" s="1403"/>
      <c r="E286" s="964" t="str">
        <f>IFERROR(VLOOKUP(C286, [6]條件!$A:$L, 5, 0), "")</f>
        <v/>
      </c>
      <c r="F286" s="965" t="str">
        <f>IFERROR(VLOOKUP(C286, [6]條件!$A:$L, 6, 0), "")</f>
        <v/>
      </c>
      <c r="G286" s="1404" t="str">
        <f>IFERROR(VLOOKUP(C286, [6]條件!$A:$L, 7, 0), "")</f>
        <v/>
      </c>
      <c r="H286" s="965" t="str">
        <f>IF(ISNA(VLOOKUP(C286,[6]條件!$A$1:$K$932,11,0)),"",(VLOOKUP(C286,[6]條件!$A$1:$K$932,11,0)))</f>
        <v/>
      </c>
      <c r="I286" s="966" t="str">
        <f>IF(ISNA(VLOOKUP(C286,[6]條件!$A$1:$L$932,12,0)),"",(VLOOKUP(C286,[6]條件!$A$1:$L$932,12,0)))</f>
        <v/>
      </c>
      <c r="J286" s="969"/>
      <c r="K286" s="967"/>
      <c r="L286" s="981" t="s">
        <v>632</v>
      </c>
      <c r="M286" s="970"/>
      <c r="N286" s="969"/>
      <c r="O286" s="967"/>
      <c r="P286" s="981" t="s">
        <v>632</v>
      </c>
      <c r="Q286" s="970"/>
      <c r="R286" s="969"/>
      <c r="S286" s="967"/>
      <c r="T286" s="981" t="s">
        <v>632</v>
      </c>
      <c r="U286" s="970"/>
      <c r="V286" s="969"/>
      <c r="W286" s="967"/>
      <c r="X286" s="981" t="s">
        <v>632</v>
      </c>
      <c r="Y286" s="970"/>
      <c r="Z286" s="1405" t="str">
        <f>IFERROR(VLOOKUP(C286, [6]條件!$A:$L, 3, 0), "")</f>
        <v/>
      </c>
      <c r="AA286" s="971" t="str">
        <f>IF(OR(L286={"改紡","檢修","了機","清車","FINAL","停機","SAMPLE","TEST","絲開發"}), L286, IFERROR(IF(C286="", "", (SUM(J286, N286, R286, V286)/3 * AG286) * IF(AND(AF286="S", AS286="雙"), 0.5, 1)), ""))</f>
        <v>停機</v>
      </c>
      <c r="AB286" s="1406" t="str">
        <f t="shared" si="53"/>
        <v/>
      </c>
      <c r="AC286" s="971" t="str">
        <f>IF(OR(L286={"改紡","檢修","了機","清車","FINAL","停機","SAMPLE","TEST"}), "", IFERROR(IF(C286="", "", AVERAGE(L286:M286, P286:Q286, T286:U286, X286:Y286)/100), ""))</f>
        <v/>
      </c>
      <c r="AD286" s="971" t="str">
        <f t="shared" si="47"/>
        <v/>
      </c>
      <c r="AE286" s="971" t="str">
        <f t="shared" si="54"/>
        <v/>
      </c>
      <c r="AF286" s="972" t="str">
        <f t="shared" si="48"/>
        <v>A</v>
      </c>
      <c r="AG286" s="1407">
        <v>1</v>
      </c>
      <c r="AH286" s="1001" t="s">
        <v>640</v>
      </c>
      <c r="AI286" s="1001" t="s">
        <v>640</v>
      </c>
      <c r="AJ286" s="1166" t="s">
        <v>640</v>
      </c>
      <c r="AK286" s="1408" t="s">
        <v>640</v>
      </c>
      <c r="AL286" s="1409"/>
      <c r="AM286" s="1322"/>
      <c r="AN286" s="1322"/>
      <c r="AO286" s="1322"/>
      <c r="AP286" s="1322"/>
      <c r="AQ286" s="1322"/>
      <c r="AR286" s="973"/>
      <c r="AS286" s="965" t="str">
        <f t="shared" si="49"/>
        <v>單</v>
      </c>
      <c r="AT286" s="965" t="str">
        <f t="shared" si="50"/>
        <v>全</v>
      </c>
      <c r="AU286" s="965" t="str">
        <f t="shared" si="51"/>
        <v/>
      </c>
      <c r="AV286" s="965" t="str">
        <f t="shared" si="52"/>
        <v/>
      </c>
    </row>
    <row r="287" spans="1:48">
      <c r="A287" s="975">
        <f t="shared" ref="A287:A325" si="55">A286</f>
        <v>46150</v>
      </c>
      <c r="B287" s="976" t="s">
        <v>214</v>
      </c>
      <c r="C287" s="976" t="s">
        <v>16708</v>
      </c>
      <c r="D287" s="1410"/>
      <c r="E287" s="977" t="str">
        <f>IFERROR(VLOOKUP(C287, [6]條件!$A:$L, 5, 0), "")</f>
        <v>75/36SDR</v>
      </c>
      <c r="F287" s="978" t="str">
        <f>IFERROR(VLOOKUP(C287, [6]條件!$A:$L, 6, 0), "")</f>
        <v>FP81386R</v>
      </c>
      <c r="G287" s="1411">
        <f>IFERROR(VLOOKUP(C287, [6]條件!$A:$L, 7, 0), "")</f>
        <v>780</v>
      </c>
      <c r="H287" s="978" t="str">
        <f>IF(ISNA(VLOOKUP(C287,[6]條件!$A$1:$K$932,11,0)),"",(VLOOKUP(C287,[6]條件!$A$1:$K$932,11,0)))</f>
        <v>綠底白點</v>
      </c>
      <c r="I287" s="979">
        <f>IF(ISNA(VLOOKUP(C287,[6]條件!$A$1:$L$932,12,0)),"",(VLOOKUP(C287,[6]條件!$A$1:$L$932,12,0)))</f>
        <v>5</v>
      </c>
      <c r="J287" s="982">
        <v>10</v>
      </c>
      <c r="K287" s="980">
        <v>0</v>
      </c>
      <c r="L287" s="981">
        <v>8967</v>
      </c>
      <c r="M287" s="983">
        <v>8588</v>
      </c>
      <c r="N287" s="982">
        <v>12</v>
      </c>
      <c r="O287" s="980">
        <v>0</v>
      </c>
      <c r="P287" s="981">
        <v>8928</v>
      </c>
      <c r="Q287" s="983">
        <v>8440</v>
      </c>
      <c r="R287" s="982">
        <v>4</v>
      </c>
      <c r="S287" s="980">
        <v>0</v>
      </c>
      <c r="T287" s="981">
        <v>8817</v>
      </c>
      <c r="U287" s="983">
        <v>8539</v>
      </c>
      <c r="V287" s="982">
        <v>20</v>
      </c>
      <c r="W287" s="980">
        <v>0</v>
      </c>
      <c r="X287" s="981">
        <v>8670</v>
      </c>
      <c r="Y287" s="983">
        <v>8545</v>
      </c>
      <c r="Z287" s="1412">
        <f>IFERROR(VLOOKUP(C287, [6]條件!$A:$L, 3, 0), "")</f>
        <v>1.7777777777777777</v>
      </c>
      <c r="AA287" s="984">
        <f>IF(OR(L287={"改紡","檢修","了機","清車","FINAL","停機","SAMPLE","TEST","絲開發"}), L287, IFERROR(IF(C287="", "", (SUM(J287, N287, R287, V287)/3 * AG287) * IF(AND(AF287="S", AS287="雙"), 0.5, 1)), ""))</f>
        <v>15.333333333333334</v>
      </c>
      <c r="AB287" s="1413">
        <f t="shared" si="53"/>
        <v>1</v>
      </c>
      <c r="AC287" s="984">
        <f>IF(OR(L287={"改紡","檢修","了機","清車","FINAL","停機","SAMPLE","TEST"}), "", IFERROR(IF(C287="", "", AVERAGE(L287:M287, P287:Q287, T287:U287, X287:Y287)/100), ""))</f>
        <v>86.867500000000007</v>
      </c>
      <c r="AD287" s="984">
        <f t="shared" si="47"/>
        <v>1.9166666666666667</v>
      </c>
      <c r="AE287" s="984">
        <f t="shared" si="54"/>
        <v>1.9166666666666667</v>
      </c>
      <c r="AF287" s="985" t="str">
        <f t="shared" si="48"/>
        <v>A</v>
      </c>
      <c r="AG287" s="1414">
        <v>1</v>
      </c>
      <c r="AH287" s="1002" t="s">
        <v>15370</v>
      </c>
      <c r="AI287" s="1002" t="s">
        <v>15370</v>
      </c>
      <c r="AJ287" s="986" t="s">
        <v>15368</v>
      </c>
      <c r="AK287" s="1417" t="s">
        <v>15368</v>
      </c>
      <c r="AL287" s="1415">
        <v>50</v>
      </c>
      <c r="AM287" s="1323">
        <v>46144</v>
      </c>
      <c r="AN287" s="1323">
        <v>46145</v>
      </c>
      <c r="AO287" s="1323">
        <v>46146</v>
      </c>
      <c r="AP287" s="1323">
        <v>46147</v>
      </c>
      <c r="AQ287" s="1323"/>
      <c r="AR287" s="987"/>
      <c r="AS287" s="978" t="str">
        <f t="shared" si="49"/>
        <v>單</v>
      </c>
      <c r="AT287" s="978" t="str">
        <f t="shared" si="50"/>
        <v>全</v>
      </c>
      <c r="AU287" s="978">
        <f t="shared" si="51"/>
        <v>75</v>
      </c>
      <c r="AV287" s="978">
        <f t="shared" si="52"/>
        <v>1.7562523680000002</v>
      </c>
    </row>
    <row r="288" spans="1:48">
      <c r="A288" s="975">
        <f t="shared" si="55"/>
        <v>46150</v>
      </c>
      <c r="B288" s="976" t="s">
        <v>215</v>
      </c>
      <c r="C288" s="976" t="s">
        <v>16188</v>
      </c>
      <c r="D288" s="1410" t="s">
        <v>633</v>
      </c>
      <c r="E288" s="977" t="str">
        <f>IFERROR(VLOOKUP(C288, [6]條件!$A:$L, 5, 0), "")</f>
        <v>75/24/2SDR2</v>
      </c>
      <c r="F288" s="978" t="str">
        <f>IFERROR(VLOOKUP(C288, [6]條件!$A:$L, 6, 0), "")</f>
        <v>FP81363R×2</v>
      </c>
      <c r="G288" s="1411">
        <f>IFERROR(VLOOKUP(C288, [6]條件!$A:$L, 7, 0), "")</f>
        <v>700</v>
      </c>
      <c r="H288" s="978" t="str">
        <f>IF(ISNA(VLOOKUP(C288,[6]條件!$A$1:$K$932,11,0)),"",(VLOOKUP(C288,[6]條件!$A$1:$K$932,11,0)))</f>
        <v>白綠條紋</v>
      </c>
      <c r="I288" s="979">
        <f>IF(ISNA(VLOOKUP(C288,[6]條件!$A$1:$L$932,12,0)),"",(VLOOKUP(C288,[6]條件!$A$1:$L$932,12,0)))</f>
        <v>5</v>
      </c>
      <c r="J288" s="982"/>
      <c r="K288" s="980"/>
      <c r="L288" s="981" t="s">
        <v>632</v>
      </c>
      <c r="M288" s="983"/>
      <c r="N288" s="982"/>
      <c r="O288" s="980"/>
      <c r="P288" s="981" t="s">
        <v>632</v>
      </c>
      <c r="Q288" s="983"/>
      <c r="R288" s="982"/>
      <c r="S288" s="980"/>
      <c r="T288" s="981" t="s">
        <v>632</v>
      </c>
      <c r="U288" s="983"/>
      <c r="V288" s="982"/>
      <c r="W288" s="980"/>
      <c r="X288" s="981" t="s">
        <v>632</v>
      </c>
      <c r="Y288" s="983"/>
      <c r="Z288" s="1412">
        <f>IFERROR(VLOOKUP(C288, [6]條件!$A:$L, 3, 0), "")</f>
        <v>3.2653061224489797</v>
      </c>
      <c r="AA288" s="984" t="str">
        <f>IF(OR(L288={"改紡","檢修","了機","清車","FINAL","停機","SAMPLE","TEST","絲開發"}), L288, IFERROR(IF(C288="", "", (SUM(J288, N288, R288, V288)/3 * AG288) * IF(AND(AF288="S", AS288="雙"), 0.5, 1)), ""))</f>
        <v>停機</v>
      </c>
      <c r="AB288" s="1413" t="str">
        <f t="shared" si="53"/>
        <v/>
      </c>
      <c r="AC288" s="984" t="str">
        <f>IF(OR(L288={"改紡","檢修","了機","清車","FINAL","停機","SAMPLE","TEST"}), "", IFERROR(IF(C288="", "", AVERAGE(L288:M288, P288:Q288, T288:U288, X288:Y288)/100), ""))</f>
        <v/>
      </c>
      <c r="AD288" s="984" t="str">
        <f t="shared" si="47"/>
        <v/>
      </c>
      <c r="AE288" s="984" t="str">
        <f t="shared" si="54"/>
        <v/>
      </c>
      <c r="AF288" s="985" t="str">
        <f t="shared" si="48"/>
        <v>A</v>
      </c>
      <c r="AG288" s="1414">
        <v>1</v>
      </c>
      <c r="AH288" s="1002" t="s">
        <v>15370</v>
      </c>
      <c r="AI288" s="1002" t="s">
        <v>15370</v>
      </c>
      <c r="AJ288" s="986" t="s">
        <v>15368</v>
      </c>
      <c r="AK288" s="1417" t="s">
        <v>15368</v>
      </c>
      <c r="AL288" s="1415"/>
      <c r="AM288" s="1323"/>
      <c r="AN288" s="1323"/>
      <c r="AO288" s="1323"/>
      <c r="AP288" s="1323"/>
      <c r="AQ288" s="1323"/>
      <c r="AR288" s="987"/>
      <c r="AS288" s="978" t="str">
        <f t="shared" si="49"/>
        <v>雙</v>
      </c>
      <c r="AT288" s="978" t="str">
        <f t="shared" si="50"/>
        <v>半</v>
      </c>
      <c r="AU288" s="978">
        <f t="shared" si="51"/>
        <v>75</v>
      </c>
      <c r="AV288" s="978" t="str">
        <f t="shared" si="52"/>
        <v/>
      </c>
    </row>
    <row r="289" spans="1:48">
      <c r="A289" s="975">
        <f t="shared" si="55"/>
        <v>46150</v>
      </c>
      <c r="B289" s="976" t="s">
        <v>215</v>
      </c>
      <c r="C289" s="976" t="s">
        <v>16746</v>
      </c>
      <c r="D289" s="1410" t="s">
        <v>633</v>
      </c>
      <c r="E289" s="977" t="str">
        <f>IFERROR(VLOOKUP(C289, [6]條件!$A:$L, 5, 0), "")</f>
        <v>75/24/2SDr</v>
      </c>
      <c r="F289" s="978" t="str">
        <f>IFERROR(VLOOKUP(C289, [6]條件!$A:$L, 6, 0), "")</f>
        <v>FP81391R×2</v>
      </c>
      <c r="G289" s="1411">
        <f>IFERROR(VLOOKUP(C289, [6]條件!$A:$L, 7, 0), "")</f>
        <v>700</v>
      </c>
      <c r="H289" s="978" t="str">
        <f>IF(ISNA(VLOOKUP(C289,[6]條件!$A$1:$K$932,11,0)),"",(VLOOKUP(C289,[6]條件!$A$1:$K$932,11,0)))</f>
        <v>紅底白點</v>
      </c>
      <c r="I289" s="979">
        <f>IF(ISNA(VLOOKUP(C289,[6]條件!$A$1:$L$932,12,0)),"",(VLOOKUP(C289,[6]條件!$A$1:$L$932,12,0)))</f>
        <v>5</v>
      </c>
      <c r="J289" s="982"/>
      <c r="K289" s="980"/>
      <c r="L289" s="981" t="s">
        <v>632</v>
      </c>
      <c r="M289" s="983"/>
      <c r="N289" s="982"/>
      <c r="O289" s="980"/>
      <c r="P289" s="981" t="s">
        <v>632</v>
      </c>
      <c r="Q289" s="983"/>
      <c r="R289" s="982"/>
      <c r="S289" s="980"/>
      <c r="T289" s="981" t="s">
        <v>632</v>
      </c>
      <c r="U289" s="983" t="s">
        <v>477</v>
      </c>
      <c r="V289" s="982">
        <v>8</v>
      </c>
      <c r="W289" s="980">
        <v>0</v>
      </c>
      <c r="X289" s="981"/>
      <c r="Y289" s="983" t="s">
        <v>632</v>
      </c>
      <c r="Z289" s="1412">
        <f>IFERROR(VLOOKUP(C289, [6]條件!$A:$L, 3, 0), "")</f>
        <v>3.2653061224489797</v>
      </c>
      <c r="AA289" s="984" t="str">
        <f>IF(OR(L289={"改紡","檢修","了機","清車","FINAL","停機","SAMPLE","TEST","絲開發"}), L289, IFERROR(IF(C289="", "", (SUM(J289, N289, R289, V289)/3 * AG289) * IF(AND(AF289="S", AS289="雙"), 0.5, 1)), ""))</f>
        <v>停機</v>
      </c>
      <c r="AB289" s="1413" t="str">
        <f t="shared" si="53"/>
        <v/>
      </c>
      <c r="AC289" s="984" t="str">
        <f>IF(OR(L289={"改紡","檢修","了機","清車","FINAL","停機","SAMPLE","TEST"}), "", IFERROR(IF(C289="", "", AVERAGE(L289:M289, P289:Q289, T289:U289, X289:Y289)/100), ""))</f>
        <v/>
      </c>
      <c r="AD289" s="984" t="str">
        <f t="shared" si="47"/>
        <v/>
      </c>
      <c r="AE289" s="984" t="str">
        <f t="shared" si="54"/>
        <v/>
      </c>
      <c r="AF289" s="985" t="str">
        <f t="shared" si="48"/>
        <v>A</v>
      </c>
      <c r="AG289" s="1414">
        <v>1</v>
      </c>
      <c r="AH289" s="1002" t="s">
        <v>15370</v>
      </c>
      <c r="AI289" s="1002" t="s">
        <v>15370</v>
      </c>
      <c r="AJ289" s="986" t="s">
        <v>15368</v>
      </c>
      <c r="AK289" s="1417" t="s">
        <v>15368</v>
      </c>
      <c r="AL289" s="1415"/>
      <c r="AM289" s="1323"/>
      <c r="AN289" s="1323"/>
      <c r="AO289" s="1323"/>
      <c r="AP289" s="1323"/>
      <c r="AQ289" s="1323"/>
      <c r="AR289" s="987"/>
      <c r="AS289" s="978" t="str">
        <f t="shared" si="49"/>
        <v>雙</v>
      </c>
      <c r="AT289" s="978" t="str">
        <f t="shared" si="50"/>
        <v>半</v>
      </c>
      <c r="AU289" s="978">
        <f t="shared" si="51"/>
        <v>75</v>
      </c>
      <c r="AV289" s="978" t="str">
        <f t="shared" si="52"/>
        <v/>
      </c>
    </row>
    <row r="290" spans="1:48">
      <c r="A290" s="975">
        <f t="shared" si="55"/>
        <v>46150</v>
      </c>
      <c r="B290" s="976" t="s">
        <v>216</v>
      </c>
      <c r="C290" s="976" t="s">
        <v>16764</v>
      </c>
      <c r="D290" s="1410"/>
      <c r="E290" s="977" t="str">
        <f>IFERROR(VLOOKUP(C290, [6]條件!$A:$L, 5, 0), "")</f>
        <v>150/48BK42</v>
      </c>
      <c r="F290" s="978" t="str">
        <f>IFERROR(VLOOKUP(C290, [6]條件!$A:$L, 6, 0), "")</f>
        <v>FP02421</v>
      </c>
      <c r="G290" s="1411">
        <f>IFERROR(VLOOKUP(C290, [6]條件!$A:$L, 7, 0), "")</f>
        <v>600</v>
      </c>
      <c r="H290" s="978" t="str">
        <f>IF(ISNA(VLOOKUP(C290,[6]條件!$A$1:$K$932,11,0)),"",(VLOOKUP(C290,[6]條件!$A$1:$K$932,11,0)))</f>
        <v>白桔方塊</v>
      </c>
      <c r="I290" s="979">
        <f>IF(ISNA(VLOOKUP(C290,[6]條件!$A$1:$L$932,12,0)),"",(VLOOKUP(C290,[6]條件!$A$1:$L$932,12,0)))</f>
        <v>5</v>
      </c>
      <c r="J290" s="982">
        <v>24</v>
      </c>
      <c r="K290" s="980">
        <v>0</v>
      </c>
      <c r="L290" s="981">
        <v>9482</v>
      </c>
      <c r="M290" s="983" t="s">
        <v>632</v>
      </c>
      <c r="N290" s="982">
        <v>3</v>
      </c>
      <c r="O290" s="980">
        <v>0</v>
      </c>
      <c r="P290" s="981">
        <v>9607</v>
      </c>
      <c r="Q290" s="983"/>
      <c r="R290" s="982">
        <v>1</v>
      </c>
      <c r="S290" s="980">
        <v>0</v>
      </c>
      <c r="T290" s="981">
        <v>9655</v>
      </c>
      <c r="U290" s="983" t="s">
        <v>632</v>
      </c>
      <c r="V290" s="982">
        <v>12</v>
      </c>
      <c r="W290" s="980">
        <v>0</v>
      </c>
      <c r="X290" s="981">
        <v>9552</v>
      </c>
      <c r="Y290" s="983" t="s">
        <v>632</v>
      </c>
      <c r="Z290" s="1412">
        <f>IFERROR(VLOOKUP(C290, [6]條件!$A:$L, 3, 0), "")</f>
        <v>2.8346456692913384</v>
      </c>
      <c r="AA290" s="984">
        <f>IF(OR(L290={"改紡","檢修","了機","清車","FINAL","停機","SAMPLE","TEST","絲開發"}), L290, IFERROR(IF(C290="", "", (SUM(J290, N290, R290, V290)/3 * AG290) * IF(AND(AF290="S", AS290="雙"), 0.5, 1)), ""))</f>
        <v>26.666666666666668</v>
      </c>
      <c r="AB290" s="1413">
        <f t="shared" si="53"/>
        <v>1</v>
      </c>
      <c r="AC290" s="984">
        <f>IF(OR(L290={"改紡","檢修","了機","清車","FINAL","停機","SAMPLE","TEST"}), "", IFERROR(IF(C290="", "", AVERAGE(L290:M290, P290:Q290, T290:U290, X290:Y290)/100), ""))</f>
        <v>95.74</v>
      </c>
      <c r="AD290" s="984">
        <f t="shared" si="47"/>
        <v>3.3333333333333335</v>
      </c>
      <c r="AE290" s="984">
        <f t="shared" si="54"/>
        <v>3.3333333333333335</v>
      </c>
      <c r="AF290" s="985" t="str">
        <f t="shared" si="48"/>
        <v>A</v>
      </c>
      <c r="AG290" s="1414">
        <v>2</v>
      </c>
      <c r="AH290" s="1002" t="s">
        <v>15370</v>
      </c>
      <c r="AI290" s="1002" t="s">
        <v>15370</v>
      </c>
      <c r="AJ290" s="986" t="s">
        <v>15368</v>
      </c>
      <c r="AK290" s="1417" t="s">
        <v>15368</v>
      </c>
      <c r="AL290" s="1415">
        <v>52</v>
      </c>
      <c r="AM290" s="1323">
        <v>46148</v>
      </c>
      <c r="AN290" s="1323">
        <v>46149</v>
      </c>
      <c r="AO290" s="1323"/>
      <c r="AP290" s="1323"/>
      <c r="AQ290" s="1323"/>
      <c r="AR290" s="987"/>
      <c r="AS290" s="978" t="str">
        <f t="shared" si="49"/>
        <v>單</v>
      </c>
      <c r="AT290" s="978" t="str">
        <f t="shared" si="50"/>
        <v>半</v>
      </c>
      <c r="AU290" s="978">
        <f t="shared" si="51"/>
        <v>150</v>
      </c>
      <c r="AV290" s="978">
        <f t="shared" si="52"/>
        <v>1.4889484799999999</v>
      </c>
    </row>
    <row r="291" spans="1:48">
      <c r="A291" s="975">
        <f t="shared" si="55"/>
        <v>46150</v>
      </c>
      <c r="B291" s="976" t="s">
        <v>217</v>
      </c>
      <c r="C291" s="976" t="s">
        <v>16197</v>
      </c>
      <c r="D291" s="1410"/>
      <c r="E291" s="977" t="str">
        <f>IFERROR(VLOOKUP(C291, [6]條件!$A:$L, 5, 0), "")</f>
        <v>75/36HC</v>
      </c>
      <c r="F291" s="978" t="str">
        <f>IFERROR(VLOOKUP(C291, [6]條件!$A:$L, 6, 0), "")</f>
        <v>FP81857R</v>
      </c>
      <c r="G291" s="1411">
        <f>IFERROR(VLOOKUP(C291, [6]條件!$A:$L, 7, 0), "")</f>
        <v>600</v>
      </c>
      <c r="H291" s="978" t="str">
        <f>IF(ISNA(VLOOKUP(C291,[6]條件!$A$1:$K$932,11,0)),"",(VLOOKUP(C291,[6]條件!$A$1:$K$932,11,0)))</f>
        <v>白底綠方塊</v>
      </c>
      <c r="I291" s="979">
        <f>IF(ISNA(VLOOKUP(C291,[6]條件!$A$1:$L$932,12,0)),"",(VLOOKUP(C291,[6]條件!$A$1:$L$932,12,0)))</f>
        <v>4</v>
      </c>
      <c r="J291" s="982">
        <v>15</v>
      </c>
      <c r="K291" s="980">
        <v>0</v>
      </c>
      <c r="L291" s="981">
        <v>8339</v>
      </c>
      <c r="M291" s="983">
        <v>9030</v>
      </c>
      <c r="N291" s="982">
        <v>0</v>
      </c>
      <c r="O291" s="980">
        <v>0</v>
      </c>
      <c r="P291" s="981">
        <v>8203</v>
      </c>
      <c r="Q291" s="983">
        <v>8881</v>
      </c>
      <c r="R291" s="982">
        <v>13</v>
      </c>
      <c r="S291" s="980">
        <v>0</v>
      </c>
      <c r="T291" s="981">
        <v>8013</v>
      </c>
      <c r="U291" s="983">
        <v>8371</v>
      </c>
      <c r="V291" s="982">
        <v>42</v>
      </c>
      <c r="W291" s="980">
        <v>1</v>
      </c>
      <c r="X291" s="981">
        <v>8215</v>
      </c>
      <c r="Y291" s="983">
        <v>8706</v>
      </c>
      <c r="Z291" s="1412">
        <f>IFERROR(VLOOKUP(C291, [6]條件!$A:$L, 3, 0), "")</f>
        <v>1.7496962332928312</v>
      </c>
      <c r="AA291" s="984">
        <f>IF(OR(L291={"改紡","檢修","了機","清車","FINAL","停機","SAMPLE","TEST","絲開發"}), L291, IFERROR(IF(C291="", "", (SUM(J291, N291, R291, V291)/3 * AG291) * IF(AND(AF291="S", AS291="雙"), 0.5, 1)), ""))</f>
        <v>23.333333333333332</v>
      </c>
      <c r="AB291" s="1413">
        <f t="shared" si="53"/>
        <v>0.99725227029914532</v>
      </c>
      <c r="AC291" s="984">
        <f>IF(OR(L291={"改紡","檢修","了機","清車","FINAL","停機","SAMPLE","TEST"}), "", IFERROR(IF(C291="", "", AVERAGE(L291:M291, P291:Q291, T291:U291, X291:Y291)/100), ""))</f>
        <v>84.697500000000005</v>
      </c>
      <c r="AD291" s="984">
        <f t="shared" si="47"/>
        <v>2.9166666666666665</v>
      </c>
      <c r="AE291" s="984">
        <f t="shared" si="54"/>
        <v>2.875</v>
      </c>
      <c r="AF291" s="985" t="str">
        <f t="shared" si="48"/>
        <v>A</v>
      </c>
      <c r="AG291" s="1414">
        <v>1</v>
      </c>
      <c r="AH291" s="1002" t="s">
        <v>16154</v>
      </c>
      <c r="AI291" s="1002" t="s">
        <v>16154</v>
      </c>
      <c r="AJ291" s="986" t="s">
        <v>634</v>
      </c>
      <c r="AK291" s="1417" t="s">
        <v>634</v>
      </c>
      <c r="AL291" s="1415">
        <v>54</v>
      </c>
      <c r="AM291" s="1323">
        <v>45949</v>
      </c>
      <c r="AN291" s="1323">
        <v>45950</v>
      </c>
      <c r="AO291" s="1323"/>
      <c r="AP291" s="1323"/>
      <c r="AQ291" s="1323"/>
      <c r="AR291" s="987"/>
      <c r="AS291" s="978" t="str">
        <f t="shared" si="49"/>
        <v>單</v>
      </c>
      <c r="AT291" s="978" t="str">
        <f t="shared" si="50"/>
        <v>全</v>
      </c>
      <c r="AU291" s="978">
        <f t="shared" si="51"/>
        <v>75</v>
      </c>
      <c r="AV291" s="978">
        <f t="shared" si="52"/>
        <v>1.31721552</v>
      </c>
    </row>
    <row r="292" spans="1:48">
      <c r="A292" s="975">
        <f t="shared" si="55"/>
        <v>46150</v>
      </c>
      <c r="B292" s="976" t="s">
        <v>218</v>
      </c>
      <c r="C292" s="976" t="s">
        <v>16744</v>
      </c>
      <c r="D292" s="1410" t="s">
        <v>633</v>
      </c>
      <c r="E292" s="977" t="str">
        <f>IFERROR(VLOOKUP(C292, [6]條件!$A:$L, 5, 0), "")</f>
        <v>75/24/2SDr</v>
      </c>
      <c r="F292" s="978" t="str">
        <f>IFERROR(VLOOKUP(C292, [6]條件!$A:$L, 6, 0), "")</f>
        <v>FP81382R×2</v>
      </c>
      <c r="G292" s="1411">
        <f>IFERROR(VLOOKUP(C292, [6]條件!$A:$L, 7, 0), "")</f>
        <v>700</v>
      </c>
      <c r="H292" s="978" t="str">
        <f>IF(ISNA(VLOOKUP(C292,[6]條件!$A$1:$K$932,11,0)),"",(VLOOKUP(C292,[6]條件!$A$1:$K$932,11,0)))</f>
        <v>藍色</v>
      </c>
      <c r="I292" s="979">
        <f>IF(ISNA(VLOOKUP(C292,[6]條件!$A$1:$L$932,12,0)),"",(VLOOKUP(C292,[6]條件!$A$1:$L$932,12,0)))</f>
        <v>5</v>
      </c>
      <c r="J292" s="982"/>
      <c r="K292" s="980"/>
      <c r="L292" s="981" t="s">
        <v>127</v>
      </c>
      <c r="M292" s="983" t="s">
        <v>632</v>
      </c>
      <c r="N292" s="982">
        <v>2</v>
      </c>
      <c r="O292" s="980">
        <v>0</v>
      </c>
      <c r="P292" s="981">
        <v>8531</v>
      </c>
      <c r="Q292" s="983" t="s">
        <v>632</v>
      </c>
      <c r="R292" s="982"/>
      <c r="S292" s="980"/>
      <c r="T292" s="981" t="s">
        <v>127</v>
      </c>
      <c r="U292" s="983" t="s">
        <v>632</v>
      </c>
      <c r="V292" s="982"/>
      <c r="W292" s="980"/>
      <c r="X292" s="981" t="s">
        <v>127</v>
      </c>
      <c r="Y292" s="983" t="s">
        <v>632</v>
      </c>
      <c r="Z292" s="1412">
        <f>IFERROR(VLOOKUP(C292, [6]條件!$A:$L, 3, 0), "")</f>
        <v>3.2505643340857788</v>
      </c>
      <c r="AA292" s="984" t="str">
        <f>IF(OR(L292={"改紡","檢修","了機","清車","FINAL","停機","SAMPLE","TEST","絲開發"}), L292, IFERROR(IF(C292="", "", (SUM(J292, N292, R292, V292)/3 * AG292) * IF(AND(AF292="S", AS292="雙"), 0.5, 1)), ""))</f>
        <v>了機</v>
      </c>
      <c r="AB292" s="1413" t="str">
        <f t="shared" si="53"/>
        <v/>
      </c>
      <c r="AC292" s="984" t="str">
        <f>IF(OR(L292={"改紡","檢修","了機","清車","FINAL","停機","SAMPLE","TEST"}), "", IFERROR(IF(C292="", "", AVERAGE(L292:M292, P292:Q292, T292:U292, X292:Y292)/100), ""))</f>
        <v/>
      </c>
      <c r="AD292" s="984" t="str">
        <f t="shared" si="47"/>
        <v/>
      </c>
      <c r="AE292" s="984" t="str">
        <f t="shared" si="54"/>
        <v/>
      </c>
      <c r="AF292" s="985" t="str">
        <f t="shared" si="48"/>
        <v>A</v>
      </c>
      <c r="AG292" s="1414">
        <v>1</v>
      </c>
      <c r="AH292" s="1002" t="s">
        <v>16154</v>
      </c>
      <c r="AI292" s="1002" t="s">
        <v>16154</v>
      </c>
      <c r="AJ292" s="986" t="s">
        <v>634</v>
      </c>
      <c r="AK292" s="1417" t="s">
        <v>634</v>
      </c>
      <c r="AL292" s="1415">
        <v>50</v>
      </c>
      <c r="AM292" s="1323">
        <v>46106</v>
      </c>
      <c r="AN292" s="1323">
        <v>46107</v>
      </c>
      <c r="AO292" s="1323"/>
      <c r="AP292" s="1323"/>
      <c r="AQ292" s="1323"/>
      <c r="AR292" s="987"/>
      <c r="AS292" s="978" t="str">
        <f t="shared" si="49"/>
        <v>雙</v>
      </c>
      <c r="AT292" s="978" t="str">
        <f t="shared" si="50"/>
        <v>半</v>
      </c>
      <c r="AU292" s="978">
        <f t="shared" si="51"/>
        <v>75</v>
      </c>
      <c r="AV292" s="978" t="str">
        <f t="shared" si="52"/>
        <v/>
      </c>
    </row>
    <row r="293" spans="1:48">
      <c r="A293" s="975">
        <f t="shared" si="55"/>
        <v>46150</v>
      </c>
      <c r="B293" s="976" t="s">
        <v>219</v>
      </c>
      <c r="C293" s="976" t="s">
        <v>16745</v>
      </c>
      <c r="D293" s="1410" t="s">
        <v>16748</v>
      </c>
      <c r="E293" s="977" t="str">
        <f>IFERROR(VLOOKUP(C293, [6]條件!$A:$L, 5, 0), "")</f>
        <v>50/72BSD3</v>
      </c>
      <c r="F293" s="978" t="str">
        <f>IFERROR(VLOOKUP(C293, [6]條件!$A:$L, 6, 0), "")</f>
        <v>FP80141</v>
      </c>
      <c r="G293" s="1411">
        <f>IFERROR(VLOOKUP(C293, [6]條件!$A:$L, 7, 0), "")</f>
        <v>630</v>
      </c>
      <c r="H293" s="978" t="str">
        <f>IF(ISNA(VLOOKUP(C293,[6]條件!$A$1:$K$932,11,0)),"",(VLOOKUP(C293,[6]條件!$A$1:$K$932,11,0)))</f>
        <v>洋綠色</v>
      </c>
      <c r="I293" s="979">
        <f>IF(ISNA(VLOOKUP(C293,[6]條件!$A$1:$L$932,12,0)),"",(VLOOKUP(C293,[6]條件!$A$1:$L$932,12,0)))</f>
        <v>2</v>
      </c>
      <c r="J293" s="982">
        <v>8</v>
      </c>
      <c r="K293" s="980">
        <v>0</v>
      </c>
      <c r="L293" s="981">
        <v>9795</v>
      </c>
      <c r="M293" s="983">
        <v>9727</v>
      </c>
      <c r="N293" s="982">
        <v>5</v>
      </c>
      <c r="O293" s="980">
        <v>0</v>
      </c>
      <c r="P293" s="981">
        <v>9705</v>
      </c>
      <c r="Q293" s="983">
        <v>9766</v>
      </c>
      <c r="R293" s="982">
        <v>3</v>
      </c>
      <c r="S293" s="980">
        <v>0</v>
      </c>
      <c r="T293" s="981">
        <v>9742</v>
      </c>
      <c r="U293" s="983">
        <v>9750</v>
      </c>
      <c r="V293" s="982">
        <v>13</v>
      </c>
      <c r="W293" s="980">
        <v>0</v>
      </c>
      <c r="X293" s="981">
        <v>9675</v>
      </c>
      <c r="Y293" s="983">
        <v>9678</v>
      </c>
      <c r="Z293" s="1412">
        <f>IFERROR(VLOOKUP(C293, [6]條件!$A:$L, 3, 0), "")</f>
        <v>2.4615384615384617</v>
      </c>
      <c r="AA293" s="984">
        <f>IF(OR(L293={"改紡","檢修","了機","清車","FINAL","停機","SAMPLE","TEST","絲開發"}), L293, IFERROR(IF(C293="", "", (SUM(J293, N293, R293, V293)/3 * AG293) * IF(AND(AF293="S", AS293="雙"), 0.5, 1)), ""))</f>
        <v>9.6666666666666661</v>
      </c>
      <c r="AB293" s="1413">
        <f t="shared" si="53"/>
        <v>1</v>
      </c>
      <c r="AC293" s="984">
        <f>IF(OR(L293={"改紡","檢修","了機","清車","FINAL","停機","SAMPLE","TEST"}), "", IFERROR(IF(C293="", "", AVERAGE(L293:M293, P293:Q293, T293:U293, X293:Y293)/100), ""))</f>
        <v>97.297499999999999</v>
      </c>
      <c r="AD293" s="984">
        <f t="shared" si="47"/>
        <v>1.2083333333333333</v>
      </c>
      <c r="AE293" s="984">
        <f t="shared" si="54"/>
        <v>1.2083333333333333</v>
      </c>
      <c r="AF293" s="985" t="str">
        <f t="shared" si="48"/>
        <v>A</v>
      </c>
      <c r="AG293" s="1414">
        <v>1</v>
      </c>
      <c r="AH293" s="1002" t="s">
        <v>15370</v>
      </c>
      <c r="AI293" s="1002" t="s">
        <v>15370</v>
      </c>
      <c r="AJ293" s="986" t="s">
        <v>15368</v>
      </c>
      <c r="AK293" s="1417" t="s">
        <v>15368</v>
      </c>
      <c r="AL293" s="1415">
        <v>57</v>
      </c>
      <c r="AM293" s="1324">
        <v>46086</v>
      </c>
      <c r="AN293" s="1323">
        <v>46087</v>
      </c>
      <c r="AO293" s="1323">
        <v>46088</v>
      </c>
      <c r="AP293" s="1323">
        <v>46089</v>
      </c>
      <c r="AQ293" s="1323"/>
      <c r="AR293" s="987"/>
      <c r="AS293" s="978" t="str">
        <f t="shared" si="49"/>
        <v>單</v>
      </c>
      <c r="AT293" s="978" t="str">
        <f t="shared" si="50"/>
        <v>全</v>
      </c>
      <c r="AU293" s="978">
        <f t="shared" si="51"/>
        <v>50</v>
      </c>
      <c r="AV293" s="978">
        <f t="shared" si="52"/>
        <v>1.0592195039999999</v>
      </c>
    </row>
    <row r="294" spans="1:48">
      <c r="A294" s="975">
        <f t="shared" si="55"/>
        <v>46150</v>
      </c>
      <c r="B294" s="976" t="s">
        <v>220</v>
      </c>
      <c r="C294" s="976" t="s">
        <v>632</v>
      </c>
      <c r="D294" s="1410"/>
      <c r="E294" s="977" t="str">
        <f>IFERROR(VLOOKUP(C294, [6]條件!$A:$L, 5, 0), "")</f>
        <v/>
      </c>
      <c r="F294" s="978" t="str">
        <f>IFERROR(VLOOKUP(C294, [6]條件!$A:$L, 6, 0), "")</f>
        <v/>
      </c>
      <c r="G294" s="1411" t="str">
        <f>IFERROR(VLOOKUP(C294, [6]條件!$A:$L, 7, 0), "")</f>
        <v/>
      </c>
      <c r="H294" s="978" t="str">
        <f>IF(ISNA(VLOOKUP(C294,[6]條件!$A$1:$K$932,11,0)),"",(VLOOKUP(C294,[6]條件!$A$1:$K$932,11,0)))</f>
        <v/>
      </c>
      <c r="I294" s="979" t="str">
        <f>IF(ISNA(VLOOKUP(C294,[6]條件!$A$1:$L$932,12,0)),"",(VLOOKUP(C294,[6]條件!$A$1:$L$932,12,0)))</f>
        <v/>
      </c>
      <c r="J294" s="982"/>
      <c r="K294" s="980"/>
      <c r="L294" s="981" t="s">
        <v>632</v>
      </c>
      <c r="M294" s="983"/>
      <c r="N294" s="982"/>
      <c r="O294" s="980"/>
      <c r="P294" s="981" t="s">
        <v>632</v>
      </c>
      <c r="Q294" s="983"/>
      <c r="R294" s="982"/>
      <c r="S294" s="980"/>
      <c r="T294" s="981" t="s">
        <v>632</v>
      </c>
      <c r="U294" s="983"/>
      <c r="V294" s="982"/>
      <c r="W294" s="980"/>
      <c r="X294" s="981" t="s">
        <v>632</v>
      </c>
      <c r="Y294" s="983"/>
      <c r="Z294" s="1412" t="str">
        <f>IFERROR(VLOOKUP(C294, [6]條件!$A:$L, 3, 0), "")</f>
        <v/>
      </c>
      <c r="AA294" s="984" t="str">
        <f>IF(OR(L294={"改紡","檢修","了機","清車","FINAL","停機","SAMPLE","TEST","絲開發"}), L294, IFERROR(IF(C294="", "", (SUM(J294, N294, R294, V294)/3 * AG294) * IF(AND(AF294="S", AS294="雙"), 0.5, 1)), ""))</f>
        <v>停機</v>
      </c>
      <c r="AB294" s="1413" t="str">
        <f t="shared" si="53"/>
        <v/>
      </c>
      <c r="AC294" s="984" t="str">
        <f>IF(OR(L294={"改紡","檢修","了機","清車","FINAL","停機","SAMPLE","TEST"}), "", IFERROR(IF(C294="", "", AVERAGE(L294:M294, P294:Q294, T294:U294, X294:Y294)/100), ""))</f>
        <v/>
      </c>
      <c r="AD294" s="984" t="str">
        <f t="shared" si="47"/>
        <v/>
      </c>
      <c r="AE294" s="984" t="str">
        <f t="shared" si="54"/>
        <v/>
      </c>
      <c r="AF294" s="985" t="str">
        <f t="shared" si="48"/>
        <v>A</v>
      </c>
      <c r="AG294" s="1414">
        <v>1</v>
      </c>
      <c r="AH294" s="1002" t="s">
        <v>640</v>
      </c>
      <c r="AI294" s="1002" t="s">
        <v>640</v>
      </c>
      <c r="AJ294" s="986" t="s">
        <v>640</v>
      </c>
      <c r="AK294" s="1417" t="s">
        <v>640</v>
      </c>
      <c r="AL294" s="1415"/>
      <c r="AM294" s="1323"/>
      <c r="AN294" s="1323"/>
      <c r="AO294" s="1323"/>
      <c r="AP294" s="1323"/>
      <c r="AQ294" s="1323"/>
      <c r="AR294" s="987"/>
      <c r="AS294" s="978" t="str">
        <f t="shared" si="49"/>
        <v>單</v>
      </c>
      <c r="AT294" s="978" t="str">
        <f t="shared" si="50"/>
        <v>全</v>
      </c>
      <c r="AU294" s="978" t="str">
        <f t="shared" si="51"/>
        <v/>
      </c>
      <c r="AV294" s="978" t="str">
        <f t="shared" si="52"/>
        <v/>
      </c>
    </row>
    <row r="295" spans="1:48">
      <c r="A295" s="975">
        <f t="shared" si="55"/>
        <v>46150</v>
      </c>
      <c r="B295" s="976" t="s">
        <v>221</v>
      </c>
      <c r="C295" s="976" t="s">
        <v>16763</v>
      </c>
      <c r="D295" s="1410"/>
      <c r="E295" s="977" t="str">
        <f>IFERROR(VLOOKUP(C295, [6]條件!$A:$L, 5, 0), "")</f>
        <v>150/48CDR</v>
      </c>
      <c r="F295" s="978" t="str">
        <f>IFERROR(VLOOKUP(C295, [6]條件!$A:$L, 6, 0), "")</f>
        <v>FP82781</v>
      </c>
      <c r="G295" s="1411">
        <f>IFERROR(VLOOKUP(C295, [6]條件!$A:$L, 7, 0), "")</f>
        <v>600</v>
      </c>
      <c r="H295" s="978" t="str">
        <f>IF(ISNA(VLOOKUP(C295,[6]條件!$A$1:$K$932,11,0)),"",(VLOOKUP(C295,[6]條件!$A$1:$K$932,11,0)))</f>
        <v>綠藍雙色</v>
      </c>
      <c r="I295" s="979">
        <f>IF(ISNA(VLOOKUP(C295,[6]條件!$A$1:$L$932,12,0)),"",(VLOOKUP(C295,[6]條件!$A$1:$L$932,12,0)))</f>
        <v>5</v>
      </c>
      <c r="J295" s="982">
        <v>14</v>
      </c>
      <c r="K295" s="980">
        <v>0</v>
      </c>
      <c r="L295" s="981">
        <v>8696</v>
      </c>
      <c r="M295" s="983">
        <v>8354</v>
      </c>
      <c r="N295" s="982">
        <v>14</v>
      </c>
      <c r="O295" s="980">
        <v>0</v>
      </c>
      <c r="P295" s="981">
        <v>8686</v>
      </c>
      <c r="Q295" s="983">
        <v>8404</v>
      </c>
      <c r="R295" s="982">
        <v>4</v>
      </c>
      <c r="S295" s="980">
        <v>0</v>
      </c>
      <c r="T295" s="981">
        <v>8608</v>
      </c>
      <c r="U295" s="983">
        <v>8354</v>
      </c>
      <c r="V295" s="982">
        <v>13</v>
      </c>
      <c r="W295" s="980">
        <v>0</v>
      </c>
      <c r="X295" s="981">
        <v>8550</v>
      </c>
      <c r="Y295" s="983">
        <v>8259</v>
      </c>
      <c r="Z295" s="1412">
        <f>IFERROR(VLOOKUP(C295, [6]條件!$A:$L, 3, 0), "")</f>
        <v>2.8685258964143427</v>
      </c>
      <c r="AA295" s="984">
        <f>IF(OR(L295={"改紡","檢修","了機","清車","FINAL","停機","SAMPLE","TEST","絲開發"}), L295, IFERROR(IF(C295="", "", (SUM(J295, N295, R295, V295)/3 * AG295) * IF(AND(AF295="S", AS295="雙"), 0.5, 1)), ""))</f>
        <v>15</v>
      </c>
      <c r="AB295" s="1413">
        <f t="shared" si="53"/>
        <v>1</v>
      </c>
      <c r="AC295" s="984">
        <f>IF(OR(L295={"改紡","檢修","了機","清車","FINAL","停機","SAMPLE","TEST"}), "", IFERROR(IF(C295="", "", AVERAGE(L295:M295, P295:Q295, T295:U295, X295:Y295)/100), ""))</f>
        <v>84.888750000000002</v>
      </c>
      <c r="AD295" s="984">
        <f t="shared" si="47"/>
        <v>1.875</v>
      </c>
      <c r="AE295" s="984">
        <f t="shared" si="54"/>
        <v>1.875</v>
      </c>
      <c r="AF295" s="985" t="str">
        <f t="shared" si="48"/>
        <v>A</v>
      </c>
      <c r="AG295" s="1414">
        <v>1</v>
      </c>
      <c r="AH295" s="1002" t="s">
        <v>15370</v>
      </c>
      <c r="AI295" s="1002" t="s">
        <v>15370</v>
      </c>
      <c r="AJ295" s="986" t="s">
        <v>15368</v>
      </c>
      <c r="AK295" s="1417" t="s">
        <v>15368</v>
      </c>
      <c r="AL295" s="1415">
        <v>54</v>
      </c>
      <c r="AM295" s="1323">
        <v>46144</v>
      </c>
      <c r="AN295" s="1323">
        <v>46146</v>
      </c>
      <c r="AO295" s="1323">
        <v>46147</v>
      </c>
      <c r="AP295" s="1323">
        <v>46148</v>
      </c>
      <c r="AQ295" s="1323"/>
      <c r="AR295" s="987"/>
      <c r="AS295" s="978" t="str">
        <f t="shared" si="49"/>
        <v>單</v>
      </c>
      <c r="AT295" s="978" t="str">
        <f t="shared" si="50"/>
        <v>全</v>
      </c>
      <c r="AU295" s="978">
        <f t="shared" si="51"/>
        <v>150</v>
      </c>
      <c r="AV295" s="978">
        <f t="shared" si="52"/>
        <v>2.6403796800000001</v>
      </c>
    </row>
    <row r="296" spans="1:48">
      <c r="A296" s="975">
        <f t="shared" si="55"/>
        <v>46150</v>
      </c>
      <c r="B296" s="976" t="s">
        <v>222</v>
      </c>
      <c r="C296" s="976" t="s">
        <v>632</v>
      </c>
      <c r="D296" s="1410"/>
      <c r="E296" s="977" t="str">
        <f>IFERROR(VLOOKUP(C296, [6]條件!$A:$L, 5, 0), "")</f>
        <v/>
      </c>
      <c r="F296" s="978" t="str">
        <f>IFERROR(VLOOKUP(C296, [6]條件!$A:$L, 6, 0), "")</f>
        <v/>
      </c>
      <c r="G296" s="1411" t="str">
        <f>IFERROR(VLOOKUP(C296, [6]條件!$A:$L, 7, 0), "")</f>
        <v/>
      </c>
      <c r="H296" s="978" t="str">
        <f>IF(ISNA(VLOOKUP(C296,[6]條件!$A$1:$K$932,11,0)),"",(VLOOKUP(C296,[6]條件!$A$1:$K$932,11,0)))</f>
        <v/>
      </c>
      <c r="I296" s="979" t="str">
        <f>IF(ISNA(VLOOKUP(C296,[6]條件!$A$1:$L$932,12,0)),"",(VLOOKUP(C296,[6]條件!$A$1:$L$932,12,0)))</f>
        <v/>
      </c>
      <c r="J296" s="982"/>
      <c r="K296" s="980"/>
      <c r="L296" s="981" t="s">
        <v>632</v>
      </c>
      <c r="M296" s="983"/>
      <c r="N296" s="982"/>
      <c r="O296" s="980"/>
      <c r="P296" s="981" t="s">
        <v>632</v>
      </c>
      <c r="Q296" s="983"/>
      <c r="R296" s="982"/>
      <c r="S296" s="980"/>
      <c r="T296" s="981" t="s">
        <v>632</v>
      </c>
      <c r="U296" s="983"/>
      <c r="V296" s="982"/>
      <c r="W296" s="980"/>
      <c r="X296" s="981" t="s">
        <v>632</v>
      </c>
      <c r="Y296" s="983"/>
      <c r="Z296" s="1412" t="str">
        <f>IFERROR(VLOOKUP(C296, [6]條件!$A:$L, 3, 0), "")</f>
        <v/>
      </c>
      <c r="AA296" s="984" t="str">
        <f>IF(OR(L296={"改紡","檢修","了機","清車","FINAL","停機","SAMPLE","TEST","絲開發"}), L296, IFERROR(IF(C296="", "", (SUM(J296, N296, R296, V296)/3 * AG296) * IF(AND(AF296="S", AS296="雙"), 0.5, 1)), ""))</f>
        <v>停機</v>
      </c>
      <c r="AB296" s="1413" t="str">
        <f t="shared" si="53"/>
        <v/>
      </c>
      <c r="AC296" s="984" t="str">
        <f>IF(OR(L296={"改紡","檢修","了機","清車","FINAL","停機","SAMPLE","TEST"}), "", IFERROR(IF(C296="", "", AVERAGE(L296:M296, P296:Q296, T296:U296, X296:Y296)/100), ""))</f>
        <v/>
      </c>
      <c r="AD296" s="984" t="str">
        <f t="shared" si="47"/>
        <v/>
      </c>
      <c r="AE296" s="984" t="str">
        <f t="shared" si="54"/>
        <v/>
      </c>
      <c r="AF296" s="985" t="str">
        <f t="shared" si="48"/>
        <v>A</v>
      </c>
      <c r="AG296" s="1414">
        <v>1</v>
      </c>
      <c r="AH296" s="1002" t="s">
        <v>640</v>
      </c>
      <c r="AI296" s="1002" t="s">
        <v>640</v>
      </c>
      <c r="AJ296" s="986" t="s">
        <v>640</v>
      </c>
      <c r="AK296" s="1417" t="s">
        <v>640</v>
      </c>
      <c r="AL296" s="1415"/>
      <c r="AM296" s="1323"/>
      <c r="AN296" s="1323"/>
      <c r="AO296" s="1323"/>
      <c r="AP296" s="1323"/>
      <c r="AQ296" s="1323"/>
      <c r="AR296" s="987"/>
      <c r="AS296" s="978" t="str">
        <f t="shared" si="49"/>
        <v>單</v>
      </c>
      <c r="AT296" s="978" t="str">
        <f t="shared" si="50"/>
        <v>全</v>
      </c>
      <c r="AU296" s="978" t="str">
        <f t="shared" si="51"/>
        <v/>
      </c>
      <c r="AV296" s="978" t="str">
        <f t="shared" si="52"/>
        <v/>
      </c>
    </row>
    <row r="297" spans="1:48">
      <c r="A297" s="975">
        <f t="shared" si="55"/>
        <v>46150</v>
      </c>
      <c r="B297" s="976" t="s">
        <v>223</v>
      </c>
      <c r="C297" s="976" t="s">
        <v>632</v>
      </c>
      <c r="D297" s="1410"/>
      <c r="E297" s="977" t="str">
        <f>IFERROR(VLOOKUP(C297, [6]條件!$A:$L, 5, 0), "")</f>
        <v/>
      </c>
      <c r="F297" s="978" t="str">
        <f>IFERROR(VLOOKUP(C297, [6]條件!$A:$L, 6, 0), "")</f>
        <v/>
      </c>
      <c r="G297" s="1411" t="str">
        <f>IFERROR(VLOOKUP(C297, [6]條件!$A:$L, 7, 0), "")</f>
        <v/>
      </c>
      <c r="H297" s="978" t="str">
        <f>IF(ISNA(VLOOKUP(C297,[6]條件!$A$1:$K$932,11,0)),"",(VLOOKUP(C297,[6]條件!$A$1:$K$932,11,0)))</f>
        <v/>
      </c>
      <c r="I297" s="979" t="str">
        <f>IF(ISNA(VLOOKUP(C297,[6]條件!$A$1:$L$932,12,0)),"",(VLOOKUP(C297,[6]條件!$A$1:$L$932,12,0)))</f>
        <v/>
      </c>
      <c r="J297" s="982"/>
      <c r="K297" s="980"/>
      <c r="L297" s="981" t="s">
        <v>632</v>
      </c>
      <c r="M297" s="983"/>
      <c r="N297" s="982"/>
      <c r="O297" s="980"/>
      <c r="P297" s="981" t="s">
        <v>632</v>
      </c>
      <c r="Q297" s="983"/>
      <c r="R297" s="982"/>
      <c r="S297" s="980"/>
      <c r="T297" s="981" t="s">
        <v>632</v>
      </c>
      <c r="U297" s="983"/>
      <c r="V297" s="982"/>
      <c r="W297" s="980"/>
      <c r="X297" s="981" t="s">
        <v>632</v>
      </c>
      <c r="Y297" s="983"/>
      <c r="Z297" s="1412" t="str">
        <f>IFERROR(VLOOKUP(C297, [6]條件!$A:$L, 3, 0), "")</f>
        <v/>
      </c>
      <c r="AA297" s="984" t="str">
        <f>IF(OR(L297={"改紡","檢修","了機","清車","FINAL","停機","SAMPLE","TEST","絲開發"}), L297, IFERROR(IF(C297="", "", (SUM(J297, N297, R297, V297)/3 * AG297) * IF(AND(AF297="S", AS297="雙"), 0.5, 1)), ""))</f>
        <v>停機</v>
      </c>
      <c r="AB297" s="1413" t="str">
        <f t="shared" si="53"/>
        <v/>
      </c>
      <c r="AC297" s="984" t="str">
        <f>IF(OR(L297={"改紡","檢修","了機","清車","FINAL","停機","SAMPLE","TEST"}), "", IFERROR(IF(C297="", "", AVERAGE(L297:M297, P297:Q297, T297:U297, X297:Y297)/100), ""))</f>
        <v/>
      </c>
      <c r="AD297" s="984" t="str">
        <f t="shared" si="47"/>
        <v/>
      </c>
      <c r="AE297" s="984" t="str">
        <f t="shared" si="54"/>
        <v/>
      </c>
      <c r="AF297" s="985" t="str">
        <f t="shared" si="48"/>
        <v>A</v>
      </c>
      <c r="AG297" s="1414">
        <v>1</v>
      </c>
      <c r="AH297" s="1002" t="s">
        <v>640</v>
      </c>
      <c r="AI297" s="1002" t="s">
        <v>640</v>
      </c>
      <c r="AJ297" s="986" t="s">
        <v>640</v>
      </c>
      <c r="AK297" s="1417" t="s">
        <v>640</v>
      </c>
      <c r="AL297" s="1415"/>
      <c r="AM297" s="1324"/>
      <c r="AN297" s="1323"/>
      <c r="AO297" s="1323"/>
      <c r="AP297" s="1323"/>
      <c r="AQ297" s="1323"/>
      <c r="AR297" s="987"/>
      <c r="AS297" s="978" t="str">
        <f t="shared" si="49"/>
        <v>單</v>
      </c>
      <c r="AT297" s="978" t="str">
        <f t="shared" si="50"/>
        <v>全</v>
      </c>
      <c r="AU297" s="978" t="str">
        <f t="shared" si="51"/>
        <v/>
      </c>
      <c r="AV297" s="978" t="str">
        <f t="shared" si="52"/>
        <v/>
      </c>
    </row>
    <row r="298" spans="1:48">
      <c r="A298" s="975">
        <f t="shared" si="55"/>
        <v>46150</v>
      </c>
      <c r="B298" s="976" t="s">
        <v>224</v>
      </c>
      <c r="C298" s="976" t="s">
        <v>16734</v>
      </c>
      <c r="D298" s="1410" t="s">
        <v>633</v>
      </c>
      <c r="E298" s="977" t="str">
        <f>IFERROR(VLOOKUP(C298, [6]條件!$A:$L, 5, 0), "")</f>
        <v>75/24/2SDr</v>
      </c>
      <c r="F298" s="978" t="str">
        <f>IFERROR(VLOOKUP(C298, [6]條件!$A:$L, 6, 0), "")</f>
        <v>FP81382R×2</v>
      </c>
      <c r="G298" s="1411">
        <f>IFERROR(VLOOKUP(C298, [6]條件!$A:$L, 7, 0), "")</f>
        <v>700</v>
      </c>
      <c r="H298" s="978" t="str">
        <f>IF(ISNA(VLOOKUP(C298,[6]條件!$A$1:$K$932,11,0)),"",(VLOOKUP(C298,[6]條件!$A$1:$K$932,11,0)))</f>
        <v>白底紫三角</v>
      </c>
      <c r="I298" s="979">
        <f>IF(ISNA(VLOOKUP(C298,[6]條件!$A$1:$L$932,12,0)),"",(VLOOKUP(C298,[6]條件!$A$1:$L$932,12,0)))</f>
        <v>5</v>
      </c>
      <c r="J298" s="982">
        <v>26</v>
      </c>
      <c r="K298" s="980">
        <v>0</v>
      </c>
      <c r="L298" s="981" t="s">
        <v>16098</v>
      </c>
      <c r="M298" s="983">
        <v>8772</v>
      </c>
      <c r="N298" s="982">
        <v>0</v>
      </c>
      <c r="O298" s="980">
        <v>0</v>
      </c>
      <c r="P298" s="981">
        <v>4099</v>
      </c>
      <c r="Q298" s="983">
        <v>8553</v>
      </c>
      <c r="R298" s="982">
        <v>18</v>
      </c>
      <c r="S298" s="980">
        <v>0</v>
      </c>
      <c r="T298" s="981">
        <v>6451</v>
      </c>
      <c r="U298" s="983">
        <v>8080</v>
      </c>
      <c r="V298" s="982">
        <v>52</v>
      </c>
      <c r="W298" s="980">
        <v>0</v>
      </c>
      <c r="X298" s="981">
        <v>9088</v>
      </c>
      <c r="Y298" s="983">
        <v>8604</v>
      </c>
      <c r="Z298" s="1412">
        <f>IFERROR(VLOOKUP(C298, [6]條件!$A:$L, 3, 0), "")</f>
        <v>3.2653061224489797</v>
      </c>
      <c r="AA298" s="984">
        <f>IF(OR(L298={"改紡","檢修","了機","清車","FINAL","停機","SAMPLE","TEST","絲開發"}), L298, IFERROR(IF(C298="", "", (SUM(J298, N298, R298, V298)/3 * AG298) * IF(AND(AF298="S", AS298="雙"), 0.5, 1)), ""))</f>
        <v>16</v>
      </c>
      <c r="AB298" s="1413">
        <f t="shared" si="53"/>
        <v>1</v>
      </c>
      <c r="AC298" s="984">
        <f>IF(OR(L298={"改紡","檢修","了機","清車","FINAL","停機","SAMPLE","TEST"}), "", IFERROR(IF(C298="", "", AVERAGE(L298:M298, P298:Q298, T298:U298, X298:Y298)/100), ""))</f>
        <v>76.638571428571424</v>
      </c>
      <c r="AD298" s="984">
        <f t="shared" si="47"/>
        <v>2</v>
      </c>
      <c r="AE298" s="984">
        <f t="shared" si="54"/>
        <v>2</v>
      </c>
      <c r="AF298" s="985" t="str">
        <f t="shared" si="48"/>
        <v>A</v>
      </c>
      <c r="AG298" s="1414">
        <v>0.5</v>
      </c>
      <c r="AH298" s="1002" t="s">
        <v>16154</v>
      </c>
      <c r="AI298" s="1002" t="s">
        <v>16154</v>
      </c>
      <c r="AJ298" s="986" t="s">
        <v>634</v>
      </c>
      <c r="AK298" s="1417" t="s">
        <v>634</v>
      </c>
      <c r="AL298" s="1415">
        <v>50</v>
      </c>
      <c r="AM298" s="1323">
        <v>46103</v>
      </c>
      <c r="AN298" s="1323">
        <v>46105</v>
      </c>
      <c r="AO298" s="1323">
        <v>46106</v>
      </c>
      <c r="AP298" s="1323">
        <v>46107</v>
      </c>
      <c r="AQ298" s="1323"/>
      <c r="AR298" s="987"/>
      <c r="AS298" s="978" t="str">
        <f t="shared" si="49"/>
        <v>雙</v>
      </c>
      <c r="AT298" s="978" t="str">
        <f t="shared" si="50"/>
        <v>全</v>
      </c>
      <c r="AU298" s="978">
        <f t="shared" si="51"/>
        <v>75</v>
      </c>
      <c r="AV298" s="978">
        <f t="shared" si="52"/>
        <v>1.3905302400000001</v>
      </c>
    </row>
    <row r="299" spans="1:48">
      <c r="A299" s="975">
        <f t="shared" si="55"/>
        <v>46150</v>
      </c>
      <c r="B299" s="976" t="s">
        <v>225</v>
      </c>
      <c r="C299" s="976" t="s">
        <v>16747</v>
      </c>
      <c r="D299" s="1410"/>
      <c r="E299" s="977" t="str">
        <f>IFERROR(VLOOKUP(C299, [6]條件!$A:$L, 5, 0), "")</f>
        <v>150/48SDR</v>
      </c>
      <c r="F299" s="978" t="str">
        <f>IFERROR(VLOOKUP(C299, [6]條件!$A:$L, 6, 0), "")</f>
        <v>FP82169R</v>
      </c>
      <c r="G299" s="1411">
        <f>IFERROR(VLOOKUP(C299, [6]條件!$A:$L, 7, 0), "")</f>
        <v>650</v>
      </c>
      <c r="H299" s="978" t="str">
        <f>IF(ISNA(VLOOKUP(C299,[6]條件!$A$1:$K$932,11,0)),"",(VLOOKUP(C299,[6]條件!$A$1:$K$932,11,0)))</f>
        <v>綠藍三角</v>
      </c>
      <c r="I299" s="979">
        <f>IF(ISNA(VLOOKUP(C299,[6]條件!$A$1:$L$932,12,0)),"",(VLOOKUP(C299,[6]條件!$A$1:$L$932,12,0)))</f>
        <v>5</v>
      </c>
      <c r="J299" s="982">
        <v>13</v>
      </c>
      <c r="K299" s="980">
        <v>0</v>
      </c>
      <c r="L299" s="981">
        <v>9498</v>
      </c>
      <c r="M299" s="983">
        <v>8827</v>
      </c>
      <c r="N299" s="982">
        <v>4</v>
      </c>
      <c r="O299" s="980">
        <v>0</v>
      </c>
      <c r="P299" s="981">
        <v>9415</v>
      </c>
      <c r="Q299" s="983">
        <v>8817</v>
      </c>
      <c r="R299" s="982">
        <v>0</v>
      </c>
      <c r="S299" s="980">
        <v>0</v>
      </c>
      <c r="T299" s="981">
        <v>9126</v>
      </c>
      <c r="U299" s="983">
        <v>8674</v>
      </c>
      <c r="V299" s="982">
        <v>25</v>
      </c>
      <c r="W299" s="980">
        <v>15</v>
      </c>
      <c r="X299" s="981">
        <v>8289</v>
      </c>
      <c r="Y299" s="983">
        <v>7661</v>
      </c>
      <c r="Z299" s="1412">
        <f>IFERROR(VLOOKUP(C299, [6]條件!$A:$L, 3, 0), "")</f>
        <v>3.0573248407643314</v>
      </c>
      <c r="AA299" s="984">
        <f>IF(OR(L299={"改紡","檢修","了機","清車","FINAL","停機","SAMPLE","TEST","絲開發"}), L299, IFERROR(IF(C299="", "", (SUM(J299, N299, R299, V299)/3 * AG299) * IF(AND(AF299="S", AS299="雙"), 0.5, 1)), ""))</f>
        <v>14</v>
      </c>
      <c r="AB299" s="1413">
        <f t="shared" si="53"/>
        <v>0.97641225961538458</v>
      </c>
      <c r="AC299" s="984">
        <f>IF(OR(L299={"改紡","檢修","了機","清車","FINAL","停機","SAMPLE","TEST"}), "", IFERROR(IF(C299="", "", AVERAGE(L299:M299, P299:Q299, T299:U299, X299:Y299)/100), ""))</f>
        <v>87.883750000000006</v>
      </c>
      <c r="AD299" s="984">
        <f t="shared" si="47"/>
        <v>1.75</v>
      </c>
      <c r="AE299" s="984">
        <f t="shared" si="54"/>
        <v>1.125</v>
      </c>
      <c r="AF299" s="985" t="str">
        <f t="shared" si="48"/>
        <v>A</v>
      </c>
      <c r="AG299" s="1414">
        <v>1</v>
      </c>
      <c r="AH299" s="1002" t="s">
        <v>15370</v>
      </c>
      <c r="AI299" s="1002" t="s">
        <v>15370</v>
      </c>
      <c r="AJ299" s="986" t="s">
        <v>637</v>
      </c>
      <c r="AK299" s="1417" t="s">
        <v>637</v>
      </c>
      <c r="AL299" s="1415">
        <v>48</v>
      </c>
      <c r="AM299" s="1323">
        <v>46146</v>
      </c>
      <c r="AN299" s="1323">
        <v>46147</v>
      </c>
      <c r="AO299" s="1323">
        <v>46148</v>
      </c>
      <c r="AP299" s="1323">
        <v>46149</v>
      </c>
      <c r="AQ299" s="1323"/>
      <c r="AR299" s="987"/>
      <c r="AS299" s="978" t="str">
        <f t="shared" si="49"/>
        <v>單</v>
      </c>
      <c r="AT299" s="978" t="str">
        <f t="shared" si="50"/>
        <v>全</v>
      </c>
      <c r="AU299" s="978">
        <f t="shared" si="51"/>
        <v>150</v>
      </c>
      <c r="AV299" s="978">
        <f t="shared" si="52"/>
        <v>2.9613308400000005</v>
      </c>
    </row>
    <row r="300" spans="1:48">
      <c r="A300" s="975">
        <f t="shared" si="55"/>
        <v>46150</v>
      </c>
      <c r="B300" s="976" t="s">
        <v>226</v>
      </c>
      <c r="C300" s="976" t="s">
        <v>632</v>
      </c>
      <c r="D300" s="1410"/>
      <c r="E300" s="977" t="str">
        <f>IFERROR(VLOOKUP(C300, [6]條件!$A:$L, 5, 0), "")</f>
        <v/>
      </c>
      <c r="F300" s="978" t="str">
        <f>IFERROR(VLOOKUP(C300, [6]條件!$A:$L, 6, 0), "")</f>
        <v/>
      </c>
      <c r="G300" s="1411" t="str">
        <f>IFERROR(VLOOKUP(C300, [6]條件!$A:$L, 7, 0), "")</f>
        <v/>
      </c>
      <c r="H300" s="978" t="str">
        <f>IF(ISNA(VLOOKUP(C300,[6]條件!$A$1:$K$932,11,0)),"",(VLOOKUP(C300,[6]條件!$A$1:$K$932,11,0)))</f>
        <v/>
      </c>
      <c r="I300" s="979" t="str">
        <f>IF(ISNA(VLOOKUP(C300,[6]條件!$A$1:$L$932,12,0)),"",(VLOOKUP(C300,[6]條件!$A$1:$L$932,12,0)))</f>
        <v/>
      </c>
      <c r="J300" s="982"/>
      <c r="K300" s="980"/>
      <c r="L300" s="981" t="s">
        <v>632</v>
      </c>
      <c r="M300" s="983"/>
      <c r="N300" s="982"/>
      <c r="O300" s="980"/>
      <c r="P300" s="981" t="s">
        <v>632</v>
      </c>
      <c r="Q300" s="983"/>
      <c r="R300" s="982"/>
      <c r="S300" s="980"/>
      <c r="T300" s="981" t="s">
        <v>632</v>
      </c>
      <c r="U300" s="983"/>
      <c r="V300" s="982"/>
      <c r="W300" s="980"/>
      <c r="X300" s="981" t="s">
        <v>632</v>
      </c>
      <c r="Y300" s="983"/>
      <c r="Z300" s="1412" t="str">
        <f>IFERROR(VLOOKUP(C300, [6]條件!$A:$L, 3, 0), "")</f>
        <v/>
      </c>
      <c r="AA300" s="984" t="str">
        <f>IF(OR(L300={"改紡","檢修","了機","清車","FINAL","停機","SAMPLE","TEST","絲開發"}), L300, IFERROR(IF(C300="", "", (SUM(J300, N300, R300, V300)/3 * AG300) * IF(AND(AF300="S", AS300="雙"), 0.5, 1)), ""))</f>
        <v>停機</v>
      </c>
      <c r="AB300" s="1413" t="str">
        <f t="shared" si="53"/>
        <v/>
      </c>
      <c r="AC300" s="984" t="str">
        <f>IF(OR(L300={"改紡","檢修","了機","清車","FINAL","停機","SAMPLE","TEST"}), "", IFERROR(IF(C300="", "", AVERAGE(L300:M300, P300:Q300, T300:U300, X300:Y300)/100), ""))</f>
        <v/>
      </c>
      <c r="AD300" s="984" t="str">
        <f t="shared" si="47"/>
        <v/>
      </c>
      <c r="AE300" s="984" t="str">
        <f t="shared" si="54"/>
        <v/>
      </c>
      <c r="AF300" s="985" t="str">
        <f t="shared" si="48"/>
        <v>A</v>
      </c>
      <c r="AG300" s="1414">
        <v>1</v>
      </c>
      <c r="AH300" s="1002" t="s">
        <v>640</v>
      </c>
      <c r="AI300" s="1002" t="s">
        <v>640</v>
      </c>
      <c r="AJ300" s="986" t="s">
        <v>640</v>
      </c>
      <c r="AK300" s="1417" t="s">
        <v>640</v>
      </c>
      <c r="AL300" s="1415"/>
      <c r="AM300" s="1323"/>
      <c r="AN300" s="1323"/>
      <c r="AO300" s="1323"/>
      <c r="AP300" s="1323"/>
      <c r="AQ300" s="1323"/>
      <c r="AR300" s="987"/>
      <c r="AS300" s="978" t="str">
        <f t="shared" si="49"/>
        <v>單</v>
      </c>
      <c r="AT300" s="978" t="str">
        <f t="shared" si="50"/>
        <v>全</v>
      </c>
      <c r="AU300" s="978" t="str">
        <f t="shared" si="51"/>
        <v/>
      </c>
      <c r="AV300" s="978" t="str">
        <f t="shared" si="52"/>
        <v/>
      </c>
    </row>
    <row r="301" spans="1:48">
      <c r="A301" s="975">
        <f t="shared" si="55"/>
        <v>46150</v>
      </c>
      <c r="B301" s="976" t="s">
        <v>227</v>
      </c>
      <c r="C301" s="976" t="s">
        <v>16712</v>
      </c>
      <c r="D301" s="1410"/>
      <c r="E301" s="977" t="str">
        <f>IFERROR(VLOOKUP(C301, [6]條件!$A:$L, 5, 0), "")</f>
        <v>100/36SDr</v>
      </c>
      <c r="F301" s="978" t="str">
        <f>IFERROR(VLOOKUP(C301, [6]條件!$A:$L, 6, 0), "")</f>
        <v>FP81384R</v>
      </c>
      <c r="G301" s="1411">
        <f>IFERROR(VLOOKUP(C301, [6]條件!$A:$L, 7, 0), "")</f>
        <v>700</v>
      </c>
      <c r="H301" s="978" t="str">
        <f>IF(ISNA(VLOOKUP(C301,[6]條件!$A$1:$K$932,11,0)),"",(VLOOKUP(C301,[6]條件!$A$1:$K$932,11,0)))</f>
        <v>白底紅三角</v>
      </c>
      <c r="I301" s="979">
        <f>IF(ISNA(VLOOKUP(C301,[6]條件!$A$1:$L$932,12,0)),"",(VLOOKUP(C301,[6]條件!$A$1:$L$932,12,0)))</f>
        <v>5</v>
      </c>
      <c r="J301" s="982">
        <v>20</v>
      </c>
      <c r="K301" s="980">
        <v>0</v>
      </c>
      <c r="L301" s="981">
        <v>7684</v>
      </c>
      <c r="M301" s="983">
        <v>8044</v>
      </c>
      <c r="N301" s="982">
        <v>8</v>
      </c>
      <c r="O301" s="980">
        <v>0</v>
      </c>
      <c r="P301" s="981">
        <v>7507</v>
      </c>
      <c r="Q301" s="983">
        <v>8196</v>
      </c>
      <c r="R301" s="982">
        <v>15</v>
      </c>
      <c r="S301" s="980">
        <v>0</v>
      </c>
      <c r="T301" s="981">
        <v>8550</v>
      </c>
      <c r="U301" s="983">
        <v>8185</v>
      </c>
      <c r="V301" s="982">
        <v>10</v>
      </c>
      <c r="W301" s="980">
        <v>1</v>
      </c>
      <c r="X301" s="981">
        <v>7415</v>
      </c>
      <c r="Y301" s="983">
        <v>8069</v>
      </c>
      <c r="Z301" s="1412">
        <f>IFERROR(VLOOKUP(C301, [6]條件!$A:$L, 3, 0), "")</f>
        <v>2.2187981510015407</v>
      </c>
      <c r="AA301" s="984">
        <f>IF(OR(L301={"改紡","檢修","了機","清車","FINAL","停機","SAMPLE","TEST","絲開發"}), L301, IFERROR(IF(C301="", "", (SUM(J301, N301, R301, V301)/3 * AG301) * IF(AND(AF301="S", AS301="雙"), 0.5, 1)), ""))</f>
        <v>17.666666666666668</v>
      </c>
      <c r="AB301" s="1413">
        <f t="shared" si="53"/>
        <v>0.99783319978632479</v>
      </c>
      <c r="AC301" s="984">
        <f>IF(OR(L301={"改紡","檢修","了機","清車","FINAL","停機","SAMPLE","TEST"}), "", IFERROR(IF(C301="", "", AVERAGE(L301:M301, P301:Q301, T301:U301, X301:Y301)/100), ""))</f>
        <v>79.5625</v>
      </c>
      <c r="AD301" s="984">
        <f t="shared" si="47"/>
        <v>2.2083333333333335</v>
      </c>
      <c r="AE301" s="984">
        <f t="shared" si="54"/>
        <v>2.1666666666666665</v>
      </c>
      <c r="AF301" s="985" t="str">
        <f t="shared" si="48"/>
        <v>A</v>
      </c>
      <c r="AG301" s="1414">
        <v>1</v>
      </c>
      <c r="AH301" s="1002" t="s">
        <v>16154</v>
      </c>
      <c r="AI301" s="1002" t="s">
        <v>16154</v>
      </c>
      <c r="AJ301" s="986" t="s">
        <v>636</v>
      </c>
      <c r="AK301" s="1417" t="s">
        <v>637</v>
      </c>
      <c r="AL301" s="1415">
        <v>50</v>
      </c>
      <c r="AM301" s="1323">
        <v>46137</v>
      </c>
      <c r="AN301" s="1323">
        <v>46138</v>
      </c>
      <c r="AO301" s="1323">
        <v>46139</v>
      </c>
      <c r="AP301" s="1323"/>
      <c r="AQ301" s="1323"/>
      <c r="AR301" s="987"/>
      <c r="AS301" s="978" t="str">
        <f t="shared" si="49"/>
        <v>單</v>
      </c>
      <c r="AT301" s="978" t="str">
        <f t="shared" si="50"/>
        <v>全</v>
      </c>
      <c r="AU301" s="978">
        <f t="shared" si="51"/>
        <v>100</v>
      </c>
      <c r="AV301" s="978">
        <f t="shared" si="52"/>
        <v>1.924776</v>
      </c>
    </row>
    <row r="302" spans="1:48">
      <c r="A302" s="975">
        <f t="shared" si="55"/>
        <v>46150</v>
      </c>
      <c r="B302" s="976" t="s">
        <v>228</v>
      </c>
      <c r="C302" s="976" t="s">
        <v>632</v>
      </c>
      <c r="D302" s="1410"/>
      <c r="E302" s="977" t="str">
        <f>IFERROR(VLOOKUP(C302, [6]條件!$A:$L, 5, 0), "")</f>
        <v/>
      </c>
      <c r="F302" s="978" t="str">
        <f>IFERROR(VLOOKUP(C302, [6]條件!$A:$L, 6, 0), "")</f>
        <v/>
      </c>
      <c r="G302" s="1411" t="str">
        <f>IFERROR(VLOOKUP(C302, [6]條件!$A:$L, 7, 0), "")</f>
        <v/>
      </c>
      <c r="H302" s="978" t="str">
        <f>IF(ISNA(VLOOKUP(C302,[6]條件!$A$1:$K$932,11,0)),"",(VLOOKUP(C302,[6]條件!$A$1:$K$932,11,0)))</f>
        <v/>
      </c>
      <c r="I302" s="979" t="str">
        <f>IF(ISNA(VLOOKUP(C302,[6]條件!$A$1:$L$932,12,0)),"",(VLOOKUP(C302,[6]條件!$A$1:$L$932,12,0)))</f>
        <v/>
      </c>
      <c r="J302" s="982"/>
      <c r="K302" s="980"/>
      <c r="L302" s="981" t="s">
        <v>632</v>
      </c>
      <c r="M302" s="983"/>
      <c r="N302" s="982"/>
      <c r="O302" s="980"/>
      <c r="P302" s="981" t="s">
        <v>632</v>
      </c>
      <c r="Q302" s="983"/>
      <c r="R302" s="982"/>
      <c r="S302" s="980"/>
      <c r="T302" s="981" t="s">
        <v>632</v>
      </c>
      <c r="U302" s="983"/>
      <c r="V302" s="982"/>
      <c r="W302" s="980"/>
      <c r="X302" s="981" t="s">
        <v>632</v>
      </c>
      <c r="Y302" s="983"/>
      <c r="Z302" s="1412" t="str">
        <f>IFERROR(VLOOKUP(C302, [6]條件!$A:$L, 3, 0), "")</f>
        <v/>
      </c>
      <c r="AA302" s="984" t="str">
        <f>IF(OR(L302={"改紡","檢修","了機","清車","FINAL","停機","SAMPLE","TEST","絲開發"}), L302, IFERROR(IF(C302="", "", (SUM(J302, N302, R302, V302)/3 * AG302) * IF(AND(AF302="S", AS302="雙"), 0.5, 1)), ""))</f>
        <v>停機</v>
      </c>
      <c r="AB302" s="1413" t="str">
        <f t="shared" si="53"/>
        <v/>
      </c>
      <c r="AC302" s="984" t="str">
        <f>IF(OR(L302={"改紡","檢修","了機","清車","FINAL","停機","SAMPLE","TEST"}), "", IFERROR(IF(C302="", "", AVERAGE(L302:M302, P302:Q302, T302:U302, X302:Y302)/100), ""))</f>
        <v/>
      </c>
      <c r="AD302" s="984" t="str">
        <f t="shared" si="47"/>
        <v/>
      </c>
      <c r="AE302" s="984" t="str">
        <f t="shared" si="54"/>
        <v/>
      </c>
      <c r="AF302" s="985" t="str">
        <f t="shared" si="48"/>
        <v>A</v>
      </c>
      <c r="AG302" s="1414">
        <v>1</v>
      </c>
      <c r="AH302" s="1002" t="s">
        <v>640</v>
      </c>
      <c r="AI302" s="1002" t="s">
        <v>640</v>
      </c>
      <c r="AJ302" s="986" t="s">
        <v>640</v>
      </c>
      <c r="AK302" s="1417" t="s">
        <v>640</v>
      </c>
      <c r="AL302" s="1420"/>
      <c r="AM302" s="1323"/>
      <c r="AN302" s="1323"/>
      <c r="AO302" s="1323"/>
      <c r="AP302" s="1323"/>
      <c r="AQ302" s="1323"/>
      <c r="AR302" s="987"/>
      <c r="AS302" s="978" t="str">
        <f t="shared" si="49"/>
        <v>單</v>
      </c>
      <c r="AT302" s="978" t="str">
        <f t="shared" si="50"/>
        <v>全</v>
      </c>
      <c r="AU302" s="978" t="str">
        <f t="shared" si="51"/>
        <v/>
      </c>
      <c r="AV302" s="978" t="str">
        <f t="shared" si="52"/>
        <v/>
      </c>
    </row>
    <row r="303" spans="1:48">
      <c r="A303" s="975">
        <f t="shared" si="55"/>
        <v>46150</v>
      </c>
      <c r="B303" s="976" t="s">
        <v>229</v>
      </c>
      <c r="C303" s="976" t="s">
        <v>632</v>
      </c>
      <c r="D303" s="1410"/>
      <c r="E303" s="977" t="str">
        <f>IFERROR(VLOOKUP(C303, [6]條件!$A:$L, 5, 0), "")</f>
        <v/>
      </c>
      <c r="F303" s="978" t="str">
        <f>IFERROR(VLOOKUP(C303, [6]條件!$A:$L, 6, 0), "")</f>
        <v/>
      </c>
      <c r="G303" s="1411" t="str">
        <f>IFERROR(VLOOKUP(C303, [6]條件!$A:$L, 7, 0), "")</f>
        <v/>
      </c>
      <c r="H303" s="978" t="str">
        <f>IF(ISNA(VLOOKUP(C303,[6]條件!$A$1:$K$932,11,0)),"",(VLOOKUP(C303,[6]條件!$A$1:$K$932,11,0)))</f>
        <v/>
      </c>
      <c r="I303" s="979" t="str">
        <f>IF(ISNA(VLOOKUP(C303,[6]條件!$A$1:$L$932,12,0)),"",(VLOOKUP(C303,[6]條件!$A$1:$L$932,12,0)))</f>
        <v/>
      </c>
      <c r="J303" s="982"/>
      <c r="K303" s="980"/>
      <c r="L303" s="981" t="s">
        <v>632</v>
      </c>
      <c r="M303" s="983"/>
      <c r="N303" s="982"/>
      <c r="O303" s="980"/>
      <c r="P303" s="981" t="s">
        <v>632</v>
      </c>
      <c r="Q303" s="983"/>
      <c r="R303" s="982"/>
      <c r="S303" s="980"/>
      <c r="T303" s="981" t="s">
        <v>632</v>
      </c>
      <c r="U303" s="983"/>
      <c r="V303" s="982"/>
      <c r="W303" s="980"/>
      <c r="X303" s="981" t="s">
        <v>632</v>
      </c>
      <c r="Y303" s="983"/>
      <c r="Z303" s="1412" t="str">
        <f>IFERROR(VLOOKUP(C303, [6]條件!$A:$L, 3, 0), "")</f>
        <v/>
      </c>
      <c r="AA303" s="984" t="str">
        <f>IF(OR(L303={"改紡","檢修","了機","清車","FINAL","停機","SAMPLE","TEST","絲開發"}), L303, IFERROR(IF(C303="", "", (SUM(J303, N303, R303, V303)/3 * AG303) * IF(AND(AF303="S", AS303="雙"), 0.5, 1)), ""))</f>
        <v>停機</v>
      </c>
      <c r="AB303" s="1413" t="str">
        <f t="shared" si="53"/>
        <v/>
      </c>
      <c r="AC303" s="984" t="str">
        <f>IF(OR(L303={"改紡","檢修","了機","清車","FINAL","停機","SAMPLE","TEST"}), "", IFERROR(IF(C303="", "", AVERAGE(L303:M303, P303:Q303, T303:U303, X303:Y303)/100), ""))</f>
        <v/>
      </c>
      <c r="AD303" s="984" t="str">
        <f t="shared" si="47"/>
        <v/>
      </c>
      <c r="AE303" s="984" t="str">
        <f t="shared" si="54"/>
        <v/>
      </c>
      <c r="AF303" s="985" t="str">
        <f t="shared" si="48"/>
        <v>A</v>
      </c>
      <c r="AG303" s="1414">
        <v>1</v>
      </c>
      <c r="AH303" s="1002" t="s">
        <v>640</v>
      </c>
      <c r="AI303" s="1002" t="s">
        <v>640</v>
      </c>
      <c r="AJ303" s="986" t="s">
        <v>640</v>
      </c>
      <c r="AK303" s="1417" t="s">
        <v>640</v>
      </c>
      <c r="AL303" s="1421"/>
      <c r="AM303" s="1323"/>
      <c r="AN303" s="1323"/>
      <c r="AO303" s="1323"/>
      <c r="AP303" s="1323"/>
      <c r="AQ303" s="1323"/>
      <c r="AR303" s="987"/>
      <c r="AS303" s="978" t="str">
        <f t="shared" si="49"/>
        <v>單</v>
      </c>
      <c r="AT303" s="978" t="str">
        <f t="shared" si="50"/>
        <v>全</v>
      </c>
      <c r="AU303" s="978" t="str">
        <f t="shared" si="51"/>
        <v/>
      </c>
      <c r="AV303" s="978" t="str">
        <f t="shared" si="52"/>
        <v/>
      </c>
    </row>
    <row r="304" spans="1:48">
      <c r="A304" s="975">
        <f t="shared" si="55"/>
        <v>46150</v>
      </c>
      <c r="B304" s="976" t="s">
        <v>230</v>
      </c>
      <c r="C304" s="976" t="s">
        <v>16751</v>
      </c>
      <c r="D304" s="1410"/>
      <c r="E304" s="977" t="str">
        <f>IFERROR(VLOOKUP(C304, [6]條件!$A:$L, 5, 0), "")</f>
        <v>150/48/2GY5</v>
      </c>
      <c r="F304" s="978" t="str">
        <f>IFERROR(VLOOKUP(C304, [6]條件!$A:$L, 6, 0), "")</f>
        <v>FP02422×2</v>
      </c>
      <c r="G304" s="1411">
        <f>IFERROR(VLOOKUP(C304, [6]條件!$A:$L, 7, 0), "")</f>
        <v>600</v>
      </c>
      <c r="H304" s="978" t="str">
        <f>IF(ISNA(VLOOKUP(C304,[6]條件!$A$1:$K$932,11,0)),"",(VLOOKUP(C304,[6]條件!$A$1:$K$932,11,0)))</f>
        <v>白底紅星</v>
      </c>
      <c r="I304" s="979">
        <f>IF(ISNA(VLOOKUP(C304,[6]條件!$A$1:$L$932,12,0)),"",(VLOOKUP(C304,[6]條件!$A$1:$L$932,12,0)))</f>
        <v>4</v>
      </c>
      <c r="J304" s="982">
        <v>16</v>
      </c>
      <c r="K304" s="980">
        <v>0</v>
      </c>
      <c r="L304" s="981" t="s">
        <v>645</v>
      </c>
      <c r="M304" s="983">
        <v>9239</v>
      </c>
      <c r="N304" s="982">
        <v>4</v>
      </c>
      <c r="O304" s="980">
        <v>0</v>
      </c>
      <c r="P304" s="981"/>
      <c r="Q304" s="983">
        <v>9263</v>
      </c>
      <c r="R304" s="982">
        <v>6</v>
      </c>
      <c r="S304" s="980">
        <v>2</v>
      </c>
      <c r="T304" s="981" t="s">
        <v>477</v>
      </c>
      <c r="U304" s="983">
        <v>9282</v>
      </c>
      <c r="V304" s="982">
        <v>48</v>
      </c>
      <c r="W304" s="980">
        <v>0</v>
      </c>
      <c r="X304" s="981">
        <v>8197</v>
      </c>
      <c r="Y304" s="983">
        <v>8901</v>
      </c>
      <c r="Z304" s="1412">
        <f>IFERROR(VLOOKUP(C304, [6]條件!$A:$L, 3, 0), "")</f>
        <v>6.9230769230769234</v>
      </c>
      <c r="AA304" s="984" t="str">
        <f>IF(OR(L304={"改紡","檢修","了機","清車","FINAL","停機","SAMPLE","TEST","絲開發"}), L304, IFERROR(IF(C304="", "", (SUM(J304, N304, R304, V304)/3 * AG304) * IF(AND(AF304="S", AS304="雙"), 0.5, 1)), ""))</f>
        <v>檢修</v>
      </c>
      <c r="AB304" s="1413">
        <f t="shared" si="53"/>
        <v>0.99861111111111112</v>
      </c>
      <c r="AC304" s="984" t="str">
        <f>IF(OR(L304={"改紡","檢修","了機","清車","FINAL","停機","SAMPLE","TEST"}), "", IFERROR(IF(C304="", "", AVERAGE(L304:M304, P304:Q304, T304:U304, X304:Y304)/100), ""))</f>
        <v/>
      </c>
      <c r="AD304" s="984" t="str">
        <f t="shared" si="47"/>
        <v/>
      </c>
      <c r="AE304" s="984" t="str">
        <f t="shared" si="54"/>
        <v/>
      </c>
      <c r="AF304" s="985" t="str">
        <f t="shared" si="48"/>
        <v>A</v>
      </c>
      <c r="AG304" s="1414">
        <v>0.5</v>
      </c>
      <c r="AH304" s="1002" t="s">
        <v>16154</v>
      </c>
      <c r="AI304" s="1002" t="s">
        <v>16154</v>
      </c>
      <c r="AJ304" s="986" t="s">
        <v>634</v>
      </c>
      <c r="AK304" s="1417" t="s">
        <v>634</v>
      </c>
      <c r="AL304" s="1415">
        <v>52</v>
      </c>
      <c r="AM304" s="1323">
        <v>46148</v>
      </c>
      <c r="AN304" s="1323">
        <v>46149</v>
      </c>
      <c r="AO304" s="1323"/>
      <c r="AP304" s="1323"/>
      <c r="AQ304" s="1323"/>
      <c r="AR304" s="987"/>
      <c r="AS304" s="978" t="str">
        <f t="shared" si="49"/>
        <v>雙</v>
      </c>
      <c r="AT304" s="978" t="str">
        <f t="shared" si="50"/>
        <v>全</v>
      </c>
      <c r="AU304" s="978">
        <f t="shared" si="51"/>
        <v>150</v>
      </c>
      <c r="AV304" s="978" t="str">
        <f t="shared" si="52"/>
        <v/>
      </c>
    </row>
    <row r="305" spans="1:48">
      <c r="A305" s="975">
        <f t="shared" si="55"/>
        <v>46150</v>
      </c>
      <c r="B305" s="976" t="s">
        <v>231</v>
      </c>
      <c r="C305" s="976" t="s">
        <v>632</v>
      </c>
      <c r="D305" s="1410"/>
      <c r="E305" s="977" t="str">
        <f>IFERROR(VLOOKUP(C305, [6]條件!$A:$L, 5, 0), "")</f>
        <v/>
      </c>
      <c r="F305" s="978" t="str">
        <f>IFERROR(VLOOKUP(C305, [6]條件!$A:$L, 6, 0), "")</f>
        <v/>
      </c>
      <c r="G305" s="1411" t="str">
        <f>IFERROR(VLOOKUP(C305, [6]條件!$A:$L, 7, 0), "")</f>
        <v/>
      </c>
      <c r="H305" s="978" t="str">
        <f>IF(ISNA(VLOOKUP(C305,[6]條件!$A$1:$K$932,11,0)),"",(VLOOKUP(C305,[6]條件!$A$1:$K$932,11,0)))</f>
        <v/>
      </c>
      <c r="I305" s="979" t="str">
        <f>IF(ISNA(VLOOKUP(C305,[6]條件!$A$1:$L$932,12,0)),"",(VLOOKUP(C305,[6]條件!$A$1:$L$932,12,0)))</f>
        <v/>
      </c>
      <c r="J305" s="982"/>
      <c r="K305" s="980"/>
      <c r="L305" s="981" t="s">
        <v>632</v>
      </c>
      <c r="M305" s="983"/>
      <c r="N305" s="982"/>
      <c r="O305" s="980"/>
      <c r="P305" s="981" t="s">
        <v>632</v>
      </c>
      <c r="Q305" s="983"/>
      <c r="R305" s="982"/>
      <c r="S305" s="980"/>
      <c r="T305" s="981" t="s">
        <v>632</v>
      </c>
      <c r="U305" s="983"/>
      <c r="V305" s="982"/>
      <c r="W305" s="980"/>
      <c r="X305" s="981" t="s">
        <v>632</v>
      </c>
      <c r="Y305" s="983"/>
      <c r="Z305" s="1412" t="str">
        <f>IFERROR(VLOOKUP(C305, [6]條件!$A:$L, 3, 0), "")</f>
        <v/>
      </c>
      <c r="AA305" s="984" t="str">
        <f>IF(OR(L305={"改紡","檢修","了機","清車","FINAL","停機","SAMPLE","TEST","絲開發"}), L305, IFERROR(IF(C305="", "", (SUM(J305, N305, R305, V305)/3 * AG305) * IF(AND(AF305="S", AS305="雙"), 0.5, 1)), ""))</f>
        <v>停機</v>
      </c>
      <c r="AB305" s="1413" t="str">
        <f t="shared" si="53"/>
        <v/>
      </c>
      <c r="AC305" s="984" t="str">
        <f>IF(OR(L305={"改紡","檢修","了機","清車","FINAL","停機","SAMPLE","TEST"}), "", IFERROR(IF(C305="", "", AVERAGE(L305:M305, P305:Q305, T305:U305, X305:Y305)/100), ""))</f>
        <v/>
      </c>
      <c r="AD305" s="984" t="str">
        <f t="shared" si="47"/>
        <v/>
      </c>
      <c r="AE305" s="984" t="str">
        <f t="shared" si="54"/>
        <v/>
      </c>
      <c r="AF305" s="985" t="str">
        <f t="shared" si="48"/>
        <v>J</v>
      </c>
      <c r="AG305" s="1414">
        <v>1</v>
      </c>
      <c r="AH305" s="1002" t="s">
        <v>640</v>
      </c>
      <c r="AI305" s="1002" t="s">
        <v>640</v>
      </c>
      <c r="AJ305" s="986" t="s">
        <v>640</v>
      </c>
      <c r="AK305" s="1417" t="s">
        <v>640</v>
      </c>
      <c r="AL305" s="1415"/>
      <c r="AM305" s="1323"/>
      <c r="AN305" s="1323"/>
      <c r="AO305" s="1323"/>
      <c r="AP305" s="1323"/>
      <c r="AQ305" s="1323"/>
      <c r="AR305" s="987"/>
      <c r="AS305" s="978" t="str">
        <f t="shared" si="49"/>
        <v>單</v>
      </c>
      <c r="AT305" s="978" t="str">
        <f t="shared" si="50"/>
        <v>全</v>
      </c>
      <c r="AU305" s="978" t="str">
        <f t="shared" si="51"/>
        <v/>
      </c>
      <c r="AV305" s="978" t="str">
        <f t="shared" si="52"/>
        <v/>
      </c>
    </row>
    <row r="306" spans="1:48">
      <c r="A306" s="975">
        <f t="shared" si="55"/>
        <v>46150</v>
      </c>
      <c r="B306" s="976" t="s">
        <v>233</v>
      </c>
      <c r="C306" s="976" t="s">
        <v>16772</v>
      </c>
      <c r="D306" s="1410" t="s">
        <v>633</v>
      </c>
      <c r="E306" s="977" t="str">
        <f>IFERROR(VLOOKUP(C306, [6]條件!$A:$L, 5, 0), "")</f>
        <v>150/48/2SDr</v>
      </c>
      <c r="F306" s="978" t="str">
        <f>IFERROR(VLOOKUP(C306, [6]條件!$A:$L, 6, 0), "")</f>
        <v>FP82171R×2</v>
      </c>
      <c r="G306" s="1411">
        <f>IFERROR(VLOOKUP(C306, [6]條件!$A:$L, 7, 0), "")</f>
        <v>600</v>
      </c>
      <c r="H306" s="978" t="str">
        <f>IF(ISNA(VLOOKUP(C306,[6]條件!$A$1:$K$932,11,0)),"",(VLOOKUP(C306,[6]條件!$A$1:$K$932,11,0)))</f>
        <v>紅白直條</v>
      </c>
      <c r="I306" s="979">
        <f>IF(ISNA(VLOOKUP(C306,[6]條件!$A$1:$L$932,12,0)),"",(VLOOKUP(C306,[6]條件!$A$1:$L$932,12,0)))</f>
        <v>5.5</v>
      </c>
      <c r="J306" s="982"/>
      <c r="K306" s="980"/>
      <c r="L306" s="981" t="s">
        <v>642</v>
      </c>
      <c r="M306" s="983"/>
      <c r="N306" s="982"/>
      <c r="O306" s="980"/>
      <c r="P306" s="981" t="s">
        <v>642</v>
      </c>
      <c r="Q306" s="983"/>
      <c r="R306" s="982"/>
      <c r="S306" s="980"/>
      <c r="T306" s="981" t="s">
        <v>477</v>
      </c>
      <c r="U306" s="983"/>
      <c r="V306" s="982">
        <v>63</v>
      </c>
      <c r="W306" s="980">
        <v>9</v>
      </c>
      <c r="X306" s="981">
        <v>7230</v>
      </c>
      <c r="Y306" s="983"/>
      <c r="Z306" s="1412">
        <f>IFERROR(VLOOKUP(C306, [6]條件!$A:$L, 3, 0), "")</f>
        <v>5.0526315789473673</v>
      </c>
      <c r="AA306" s="984" t="str">
        <f>IF(OR(L306={"改紡","檢修","了機","清車","FINAL","停機","SAMPLE","TEST","絲開發"}), L306, IFERROR(IF(C306="", "", (SUM(J306, N306, R306, V306)/3 * AG306) * IF(AND(AF306="S", AS306="雙"), 0.5, 1)), ""))</f>
        <v>改紡</v>
      </c>
      <c r="AB306" s="1413" t="str">
        <f t="shared" si="53"/>
        <v/>
      </c>
      <c r="AC306" s="984" t="str">
        <f>IF(OR(L306={"改紡","檢修","了機","清車","FINAL","停機","SAMPLE","TEST"}), "", IFERROR(IF(C306="", "", AVERAGE(L306:M306, P306:Q306, T306:U306, X306:Y306)/100), ""))</f>
        <v/>
      </c>
      <c r="AD306" s="984" t="str">
        <f t="shared" si="47"/>
        <v/>
      </c>
      <c r="AE306" s="984" t="str">
        <f t="shared" si="54"/>
        <v/>
      </c>
      <c r="AF306" s="985" t="str">
        <f t="shared" si="48"/>
        <v>J</v>
      </c>
      <c r="AG306" s="1414">
        <v>1</v>
      </c>
      <c r="AH306" s="1002" t="s">
        <v>815</v>
      </c>
      <c r="AI306" s="1002" t="s">
        <v>815</v>
      </c>
      <c r="AJ306" s="986" t="s">
        <v>637</v>
      </c>
      <c r="AK306" s="1417" t="s">
        <v>637</v>
      </c>
      <c r="AL306" s="1415">
        <v>55</v>
      </c>
      <c r="AM306" s="1323">
        <v>46147</v>
      </c>
      <c r="AN306" s="1323">
        <v>46148</v>
      </c>
      <c r="AO306" s="1323"/>
      <c r="AP306" s="1323"/>
      <c r="AQ306" s="1323"/>
      <c r="AR306" s="987"/>
      <c r="AS306" s="978" t="str">
        <f t="shared" si="49"/>
        <v>雙</v>
      </c>
      <c r="AT306" s="978" t="str">
        <f t="shared" si="50"/>
        <v>全</v>
      </c>
      <c r="AU306" s="978">
        <f t="shared" si="51"/>
        <v>150</v>
      </c>
      <c r="AV306" s="978" t="str">
        <f t="shared" si="52"/>
        <v/>
      </c>
    </row>
    <row r="307" spans="1:48">
      <c r="A307" s="975">
        <f t="shared" si="55"/>
        <v>46150</v>
      </c>
      <c r="B307" s="976" t="s">
        <v>234</v>
      </c>
      <c r="C307" s="976" t="s">
        <v>632</v>
      </c>
      <c r="D307" s="1410"/>
      <c r="E307" s="977" t="str">
        <f>IFERROR(VLOOKUP(C307, [6]條件!$A:$L, 5, 0), "")</f>
        <v/>
      </c>
      <c r="F307" s="978" t="str">
        <f>IFERROR(VLOOKUP(C307, [6]條件!$A:$L, 6, 0), "")</f>
        <v/>
      </c>
      <c r="G307" s="1411" t="str">
        <f>IFERROR(VLOOKUP(C307, [6]條件!$A:$L, 7, 0), "")</f>
        <v/>
      </c>
      <c r="H307" s="978" t="str">
        <f>IF(ISNA(VLOOKUP(C307,[6]條件!$A$1:$K$932,11,0)),"",(VLOOKUP(C307,[6]條件!$A$1:$K$932,11,0)))</f>
        <v/>
      </c>
      <c r="I307" s="979" t="str">
        <f>IF(ISNA(VLOOKUP(C307,[6]條件!$A$1:$L$932,12,0)),"",(VLOOKUP(C307,[6]條件!$A$1:$L$932,12,0)))</f>
        <v/>
      </c>
      <c r="J307" s="982"/>
      <c r="K307" s="980"/>
      <c r="L307" s="981" t="s">
        <v>632</v>
      </c>
      <c r="M307" s="983"/>
      <c r="N307" s="982"/>
      <c r="O307" s="980"/>
      <c r="P307" s="981" t="s">
        <v>632</v>
      </c>
      <c r="Q307" s="983"/>
      <c r="R307" s="982"/>
      <c r="S307" s="980"/>
      <c r="T307" s="981" t="s">
        <v>632</v>
      </c>
      <c r="U307" s="983"/>
      <c r="V307" s="982"/>
      <c r="W307" s="980"/>
      <c r="X307" s="981" t="s">
        <v>632</v>
      </c>
      <c r="Y307" s="983"/>
      <c r="Z307" s="1412" t="str">
        <f>IFERROR(VLOOKUP(C307, [6]條件!$A:$L, 3, 0), "")</f>
        <v/>
      </c>
      <c r="AA307" s="984" t="str">
        <f>IF(OR(L307={"改紡","檢修","了機","清車","FINAL","停機","SAMPLE","TEST","絲開發"}), L307, IFERROR(IF(C307="", "", (SUM(J307, N307, R307, V307)/3 * AG307) * IF(AND(AF307="S", AS307="雙"), 0.5, 1)), ""))</f>
        <v>停機</v>
      </c>
      <c r="AB307" s="1413" t="str">
        <f t="shared" si="53"/>
        <v/>
      </c>
      <c r="AC307" s="984" t="str">
        <f>IF(OR(L307={"改紡","檢修","了機","清車","FINAL","停機","SAMPLE","TEST"}), "", IFERROR(IF(C307="", "", AVERAGE(L307:M307, P307:Q307, T307:U307, X307:Y307)/100), ""))</f>
        <v/>
      </c>
      <c r="AD307" s="984" t="str">
        <f t="shared" si="47"/>
        <v/>
      </c>
      <c r="AE307" s="984" t="str">
        <f t="shared" si="54"/>
        <v/>
      </c>
      <c r="AF307" s="985" t="str">
        <f t="shared" si="48"/>
        <v>J</v>
      </c>
      <c r="AG307" s="1414">
        <v>1</v>
      </c>
      <c r="AH307" s="1002" t="s">
        <v>640</v>
      </c>
      <c r="AI307" s="1002" t="s">
        <v>640</v>
      </c>
      <c r="AJ307" s="986" t="s">
        <v>640</v>
      </c>
      <c r="AK307" s="1417" t="s">
        <v>640</v>
      </c>
      <c r="AL307" s="1415"/>
      <c r="AM307" s="1323"/>
      <c r="AN307" s="1323"/>
      <c r="AO307" s="1323"/>
      <c r="AP307" s="1323"/>
      <c r="AQ307" s="1323"/>
      <c r="AR307" s="987"/>
      <c r="AS307" s="978" t="str">
        <f t="shared" si="49"/>
        <v>單</v>
      </c>
      <c r="AT307" s="978" t="str">
        <f t="shared" si="50"/>
        <v>全</v>
      </c>
      <c r="AU307" s="978" t="str">
        <f t="shared" si="51"/>
        <v/>
      </c>
      <c r="AV307" s="978" t="str">
        <f t="shared" si="52"/>
        <v/>
      </c>
    </row>
    <row r="308" spans="1:48">
      <c r="A308" s="975">
        <f t="shared" si="55"/>
        <v>46150</v>
      </c>
      <c r="B308" s="976" t="s">
        <v>235</v>
      </c>
      <c r="C308" s="976" t="s">
        <v>16765</v>
      </c>
      <c r="D308" s="1410" t="s">
        <v>633</v>
      </c>
      <c r="E308" s="977" t="str">
        <f>IFERROR(VLOOKUP(C308, [6]條件!$A:$L, 5, 0), "")</f>
        <v>150/48/2SDr</v>
      </c>
      <c r="F308" s="978" t="str">
        <f>IFERROR(VLOOKUP(C308, [6]條件!$A:$L, 6, 0), "")</f>
        <v>FP82173R×2</v>
      </c>
      <c r="G308" s="1411">
        <f>IFERROR(VLOOKUP(C308, [6]條件!$A:$L, 7, 0), "")</f>
        <v>700</v>
      </c>
      <c r="H308" s="978" t="str">
        <f>IF(ISNA(VLOOKUP(C308,[6]條件!$A$1:$K$932,11,0)),"",(VLOOKUP(C308,[6]條件!$A$1:$K$932,11,0)))</f>
        <v>白紫條紋</v>
      </c>
      <c r="I308" s="979">
        <f>IF(ISNA(VLOOKUP(C308,[6]條件!$A$1:$L$932,12,0)),"",(VLOOKUP(C308,[6]條件!$A$1:$L$932,12,0)))</f>
        <v>5.5</v>
      </c>
      <c r="J308" s="982">
        <v>36</v>
      </c>
      <c r="K308" s="980">
        <v>0</v>
      </c>
      <c r="L308" s="981">
        <v>8700</v>
      </c>
      <c r="M308" s="983">
        <v>8980</v>
      </c>
      <c r="N308" s="982">
        <v>19</v>
      </c>
      <c r="O308" s="980">
        <v>0</v>
      </c>
      <c r="P308" s="981">
        <v>8520</v>
      </c>
      <c r="Q308" s="983">
        <v>9440</v>
      </c>
      <c r="R308" s="982">
        <v>10</v>
      </c>
      <c r="S308" s="980">
        <v>0</v>
      </c>
      <c r="T308" s="981">
        <v>8190</v>
      </c>
      <c r="U308" s="983">
        <v>8430</v>
      </c>
      <c r="V308" s="982">
        <v>45</v>
      </c>
      <c r="W308" s="980">
        <v>3</v>
      </c>
      <c r="X308" s="981">
        <v>8330</v>
      </c>
      <c r="Y308" s="983">
        <v>9630</v>
      </c>
      <c r="Z308" s="1412">
        <f>IFERROR(VLOOKUP(C308, [6]條件!$A:$L, 3, 0), "")</f>
        <v>5.8775510204081636</v>
      </c>
      <c r="AA308" s="984">
        <f>IF(OR(L308={"改紡","檢修","了機","清車","FINAL","停機","SAMPLE","TEST","絲開發"}), L308, IFERROR(IF(C308="", "", (SUM(J308, N308, R308, V308)/3 * AG308) * IF(AND(AF308="S", AS308="雙"), 0.5, 1)), ""))</f>
        <v>36.666666666666664</v>
      </c>
      <c r="AB308" s="1413">
        <f t="shared" si="53"/>
        <v>0.99754607371794868</v>
      </c>
      <c r="AC308" s="984">
        <f>IF(OR(L308={"改紡","檢修","了機","清車","FINAL","停機","SAMPLE","TEST"}), "", IFERROR(IF(C308="", "", AVERAGE(L308:M308, P308:Q308, T308:U308, X308:Y308)/100), ""))</f>
        <v>87.775000000000006</v>
      </c>
      <c r="AD308" s="984">
        <f t="shared" si="47"/>
        <v>4.583333333333333</v>
      </c>
      <c r="AE308" s="984">
        <f t="shared" si="54"/>
        <v>4.458333333333333</v>
      </c>
      <c r="AF308" s="985" t="str">
        <f t="shared" si="48"/>
        <v>T</v>
      </c>
      <c r="AG308" s="1414">
        <v>1</v>
      </c>
      <c r="AH308" s="1002" t="s">
        <v>651</v>
      </c>
      <c r="AI308" s="1002" t="s">
        <v>651</v>
      </c>
      <c r="AJ308" s="986" t="s">
        <v>835</v>
      </c>
      <c r="AK308" s="1417" t="s">
        <v>835</v>
      </c>
      <c r="AL308" s="1415">
        <v>56</v>
      </c>
      <c r="AM308" s="1323">
        <v>46145</v>
      </c>
      <c r="AN308" s="1323">
        <v>46146</v>
      </c>
      <c r="AO308" s="1323">
        <v>46147</v>
      </c>
      <c r="AP308" s="1323">
        <v>46148</v>
      </c>
      <c r="AQ308" s="1323">
        <v>46149</v>
      </c>
      <c r="AR308" s="987"/>
      <c r="AS308" s="978" t="str">
        <f t="shared" si="49"/>
        <v>雙</v>
      </c>
      <c r="AT308" s="978" t="str">
        <f t="shared" si="50"/>
        <v>全</v>
      </c>
      <c r="AU308" s="978">
        <f t="shared" si="51"/>
        <v>150</v>
      </c>
      <c r="AV308" s="978">
        <f t="shared" si="52"/>
        <v>6.3703583999999998</v>
      </c>
    </row>
    <row r="309" spans="1:48">
      <c r="A309" s="975">
        <f t="shared" si="55"/>
        <v>46150</v>
      </c>
      <c r="B309" s="976" t="s">
        <v>237</v>
      </c>
      <c r="C309" s="976" t="s">
        <v>16759</v>
      </c>
      <c r="D309" s="1410" t="s">
        <v>633</v>
      </c>
      <c r="E309" s="977" t="str">
        <f>IFERROR(VLOOKUP(C309, [6]條件!$A:$L, 5, 0), "")</f>
        <v>150/48/2SDr</v>
      </c>
      <c r="F309" s="978" t="str">
        <f>IFERROR(VLOOKUP(C309, [6]條件!$A:$L, 6, 0), "")</f>
        <v>FP82171R×2</v>
      </c>
      <c r="G309" s="1411">
        <f>IFERROR(VLOOKUP(C309, [6]條件!$A:$L, 7, 0), "")</f>
        <v>700</v>
      </c>
      <c r="H309" s="978" t="str">
        <f>IF(ISNA(VLOOKUP(C309,[6]條件!$A$1:$K$932,11,0)),"",(VLOOKUP(C309,[6]條件!$A$1:$K$932,11,0)))</f>
        <v>紅底黃星</v>
      </c>
      <c r="I309" s="979">
        <f>IF(ISNA(VLOOKUP(C309,[6]條件!$A$1:$L$932,12,0)),"",(VLOOKUP(C309,[6]條件!$A$1:$L$932,12,0)))</f>
        <v>5.5</v>
      </c>
      <c r="J309" s="982">
        <v>26</v>
      </c>
      <c r="K309" s="980">
        <v>0</v>
      </c>
      <c r="L309" s="981">
        <v>9810</v>
      </c>
      <c r="M309" s="983">
        <v>9540</v>
      </c>
      <c r="N309" s="982">
        <v>9</v>
      </c>
      <c r="O309" s="980">
        <v>0</v>
      </c>
      <c r="P309" s="981">
        <v>9810</v>
      </c>
      <c r="Q309" s="983">
        <v>9540</v>
      </c>
      <c r="R309" s="982">
        <v>32</v>
      </c>
      <c r="S309" s="980">
        <v>2</v>
      </c>
      <c r="T309" s="981">
        <v>9350</v>
      </c>
      <c r="U309" s="983">
        <v>9070</v>
      </c>
      <c r="V309" s="982">
        <v>44</v>
      </c>
      <c r="W309" s="980">
        <v>3</v>
      </c>
      <c r="X309" s="981">
        <v>9810</v>
      </c>
      <c r="Y309" s="983">
        <v>9540</v>
      </c>
      <c r="Z309" s="1412">
        <f>IFERROR(VLOOKUP(C309, [6]條件!$A:$L, 3, 0), "")</f>
        <v>5.8299595141700413</v>
      </c>
      <c r="AA309" s="984">
        <f>IF(OR(L309={"改紡","檢修","了機","清車","FINAL","停機","SAMPLE","TEST","絲開發"}), L309, IFERROR(IF(C309="", "", (SUM(J309, N309, R309, V309)/3 * AG309) * IF(AND(AF309="S", AS309="雙"), 0.5, 1)), ""))</f>
        <v>37</v>
      </c>
      <c r="AB309" s="1413">
        <f t="shared" si="53"/>
        <v>0.99587673611111116</v>
      </c>
      <c r="AC309" s="984">
        <f>IF(OR(L309={"改紡","檢修","了機","清車","FINAL","停機","SAMPLE","TEST"}), "", IFERROR(IF(C309="", "", AVERAGE(L309:M309, P309:Q309, T309:U309, X309:Y309)/100), ""))</f>
        <v>95.587500000000006</v>
      </c>
      <c r="AD309" s="984">
        <f t="shared" si="47"/>
        <v>4.625</v>
      </c>
      <c r="AE309" s="984">
        <f t="shared" si="54"/>
        <v>4.416666666666667</v>
      </c>
      <c r="AF309" s="985" t="str">
        <f t="shared" si="48"/>
        <v>T</v>
      </c>
      <c r="AG309" s="1414">
        <v>1</v>
      </c>
      <c r="AH309" s="1002" t="s">
        <v>15337</v>
      </c>
      <c r="AI309" s="1002" t="s">
        <v>15337</v>
      </c>
      <c r="AJ309" s="986" t="s">
        <v>639</v>
      </c>
      <c r="AK309" s="1417" t="s">
        <v>639</v>
      </c>
      <c r="AL309" s="1415">
        <v>55</v>
      </c>
      <c r="AM309" s="1323">
        <v>46143</v>
      </c>
      <c r="AN309" s="1323">
        <v>46145</v>
      </c>
      <c r="AO309" s="1323">
        <v>46146</v>
      </c>
      <c r="AP309" s="1323">
        <v>46149</v>
      </c>
      <c r="AQ309" s="1323"/>
      <c r="AR309" s="987"/>
      <c r="AS309" s="978" t="str">
        <f t="shared" si="49"/>
        <v>雙</v>
      </c>
      <c r="AT309" s="978" t="str">
        <f t="shared" si="50"/>
        <v>全</v>
      </c>
      <c r="AU309" s="978">
        <f t="shared" si="51"/>
        <v>150</v>
      </c>
      <c r="AV309" s="978">
        <f t="shared" si="52"/>
        <v>6.9373583999999999</v>
      </c>
    </row>
    <row r="310" spans="1:48">
      <c r="A310" s="975">
        <f t="shared" si="55"/>
        <v>46150</v>
      </c>
      <c r="B310" s="976" t="s">
        <v>238</v>
      </c>
      <c r="C310" s="976" t="s">
        <v>16743</v>
      </c>
      <c r="D310" s="1410"/>
      <c r="E310" s="977" t="str">
        <f>IFERROR(VLOOKUP(C310, [6]條件!$A:$L, 5, 0), "")</f>
        <v>150/48/2SDr</v>
      </c>
      <c r="F310" s="978" t="str">
        <f>IFERROR(VLOOKUP(C310, [6]條件!$A:$L, 6, 0), "")</f>
        <v>FP82169R×2</v>
      </c>
      <c r="G310" s="1411">
        <f>IFERROR(VLOOKUP(C310, [6]條件!$A:$L, 7, 0), "")</f>
        <v>670</v>
      </c>
      <c r="H310" s="978" t="str">
        <f>IF(ISNA(VLOOKUP(C310,[6]條件!$A$1:$K$932,11,0)),"",(VLOOKUP(C310,[6]條件!$A$1:$K$932,11,0)))</f>
        <v>黃底紅點</v>
      </c>
      <c r="I310" s="979">
        <f>IF(ISNA(VLOOKUP(C310,[6]條件!$A$1:$L$932,12,0)),"",(VLOOKUP(C310,[6]條件!$A$1:$L$932,12,0)))</f>
        <v>5</v>
      </c>
      <c r="J310" s="982">
        <v>24</v>
      </c>
      <c r="K310" s="980">
        <v>0</v>
      </c>
      <c r="L310" s="981">
        <v>8700</v>
      </c>
      <c r="M310" s="983"/>
      <c r="N310" s="982">
        <v>10</v>
      </c>
      <c r="O310" s="980">
        <v>0</v>
      </c>
      <c r="P310" s="981">
        <v>9070</v>
      </c>
      <c r="Q310" s="983"/>
      <c r="R310" s="982">
        <v>4</v>
      </c>
      <c r="S310" s="980">
        <v>0</v>
      </c>
      <c r="T310" s="981">
        <v>8430</v>
      </c>
      <c r="U310" s="983"/>
      <c r="V310" s="982">
        <v>27</v>
      </c>
      <c r="W310" s="980">
        <v>0</v>
      </c>
      <c r="X310" s="981">
        <v>9350</v>
      </c>
      <c r="Y310" s="983"/>
      <c r="Z310" s="1412">
        <f>IFERROR(VLOOKUP(C310, [6]條件!$A:$L, 3, 0), "")</f>
        <v>6.2882096069868991</v>
      </c>
      <c r="AA310" s="984">
        <f>IF(OR(L310={"改紡","檢修","了機","清車","FINAL","停機","SAMPLE","TEST","絲開發"}), L310, IFERROR(IF(C310="", "", (SUM(J310, N310, R310, V310)/3 * AG310) * IF(AND(AF310="S", AS310="雙"), 0.5, 1)), ""))</f>
        <v>43.333333333333336</v>
      </c>
      <c r="AB310" s="1413">
        <f t="shared" si="53"/>
        <v>1</v>
      </c>
      <c r="AC310" s="984">
        <f>IF(OR(L310={"改紡","檢修","了機","清車","FINAL","停機","SAMPLE","TEST"}), "", IFERROR(IF(C310="", "", AVERAGE(L310:M310, P310:Q310, T310:U310, X310:Y310)/100), ""))</f>
        <v>88.875</v>
      </c>
      <c r="AD310" s="984">
        <f t="shared" si="47"/>
        <v>5.416666666666667</v>
      </c>
      <c r="AE310" s="984">
        <f t="shared" si="54"/>
        <v>5.416666666666667</v>
      </c>
      <c r="AF310" s="985" t="str">
        <f t="shared" si="48"/>
        <v>T</v>
      </c>
      <c r="AG310" s="1414">
        <v>2</v>
      </c>
      <c r="AH310" s="1002" t="s">
        <v>651</v>
      </c>
      <c r="AI310" s="1002" t="s">
        <v>651</v>
      </c>
      <c r="AJ310" s="986" t="s">
        <v>639</v>
      </c>
      <c r="AK310" s="1417" t="s">
        <v>639</v>
      </c>
      <c r="AL310" s="1415">
        <v>48</v>
      </c>
      <c r="AM310" s="1323">
        <v>46143</v>
      </c>
      <c r="AN310" s="1323">
        <v>46144</v>
      </c>
      <c r="AO310" s="1323">
        <v>46148</v>
      </c>
      <c r="AP310" s="1323">
        <v>46149</v>
      </c>
      <c r="AQ310" s="1323"/>
      <c r="AR310" s="987"/>
      <c r="AS310" s="978" t="str">
        <f t="shared" si="49"/>
        <v>雙</v>
      </c>
      <c r="AT310" s="978" t="str">
        <f t="shared" si="50"/>
        <v>半</v>
      </c>
      <c r="AU310" s="978">
        <f t="shared" si="51"/>
        <v>150</v>
      </c>
      <c r="AV310" s="978">
        <f t="shared" si="52"/>
        <v>3.0868776000000002</v>
      </c>
    </row>
    <row r="311" spans="1:48">
      <c r="A311" s="975">
        <f t="shared" si="55"/>
        <v>46150</v>
      </c>
      <c r="B311" s="976" t="s">
        <v>238</v>
      </c>
      <c r="C311" s="976" t="s">
        <v>16742</v>
      </c>
      <c r="D311" s="1410"/>
      <c r="E311" s="977" t="str">
        <f>IFERROR(VLOOKUP(C311, [6]條件!$A:$L, 5, 0), "")</f>
        <v>150/48/2SDr</v>
      </c>
      <c r="F311" s="978" t="str">
        <f>IFERROR(VLOOKUP(C311, [6]條件!$A:$L, 6, 0), "")</f>
        <v>FP82169R×2</v>
      </c>
      <c r="G311" s="1411">
        <f>IFERROR(VLOOKUP(C311, [6]條件!$A:$L, 7, 0), "")</f>
        <v>670</v>
      </c>
      <c r="H311" s="978" t="str">
        <f>IF(ISNA(VLOOKUP(C311,[6]條件!$A$1:$K$932,11,0)),"",(VLOOKUP(C311,[6]條件!$A$1:$K$932,11,0)))</f>
        <v>紅底藍點</v>
      </c>
      <c r="I311" s="979">
        <f>IF(ISNA(VLOOKUP(C311,[6]條件!$A$1:$L$932,12,0)),"",(VLOOKUP(C311,[6]條件!$A$1:$L$932,12,0)))</f>
        <v>5</v>
      </c>
      <c r="J311" s="982">
        <v>39</v>
      </c>
      <c r="K311" s="980">
        <v>0</v>
      </c>
      <c r="L311" s="981">
        <v>9819</v>
      </c>
      <c r="M311" s="983"/>
      <c r="N311" s="982">
        <v>10</v>
      </c>
      <c r="O311" s="980">
        <v>0</v>
      </c>
      <c r="P311" s="981">
        <v>9350</v>
      </c>
      <c r="Q311" s="983"/>
      <c r="R311" s="982">
        <v>9</v>
      </c>
      <c r="S311" s="980">
        <v>0</v>
      </c>
      <c r="T311" s="981"/>
      <c r="U311" s="983">
        <v>9540</v>
      </c>
      <c r="V311" s="982">
        <v>28</v>
      </c>
      <c r="W311" s="980">
        <v>1</v>
      </c>
      <c r="X311" s="981"/>
      <c r="Y311" s="983">
        <v>9540</v>
      </c>
      <c r="Z311" s="1412">
        <f>IFERROR(VLOOKUP(C311, [6]條件!$A:$L, 3, 0), "")</f>
        <v>6.1802575107296125</v>
      </c>
      <c r="AA311" s="984">
        <f>IF(OR(L311={"改紡","檢修","了機","清車","FINAL","停機","SAMPLE","TEST","絲開發"}), L311, IFERROR(IF(C311="", "", (SUM(J311, N311, R311, V311)/3 * AG311) * IF(AND(AF311="S", AS311="雙"), 0.5, 1)), ""))</f>
        <v>57.333333333333336</v>
      </c>
      <c r="AB311" s="1413">
        <f t="shared" si="53"/>
        <v>0.99922208867521367</v>
      </c>
      <c r="AC311" s="984">
        <f>IF(OR(L311={"改紡","檢修","了機","清車","FINAL","停機","SAMPLE","TEST"}), "", IFERROR(IF(C311="", "", AVERAGE(L311:M311, P311:Q311, T311:U311, X311:Y311)/100), ""))</f>
        <v>95.622500000000002</v>
      </c>
      <c r="AD311" s="984">
        <f t="shared" si="47"/>
        <v>7.166666666666667</v>
      </c>
      <c r="AE311" s="984">
        <f t="shared" si="54"/>
        <v>7.083333333333333</v>
      </c>
      <c r="AF311" s="985" t="str">
        <f t="shared" si="48"/>
        <v>T</v>
      </c>
      <c r="AG311" s="1414">
        <v>2</v>
      </c>
      <c r="AH311" s="1002" t="s">
        <v>651</v>
      </c>
      <c r="AI311" s="1002" t="s">
        <v>651</v>
      </c>
      <c r="AJ311" s="986" t="s">
        <v>835</v>
      </c>
      <c r="AK311" s="1417" t="s">
        <v>835</v>
      </c>
      <c r="AL311" s="1415">
        <v>48</v>
      </c>
      <c r="AM311" s="1323">
        <v>46147</v>
      </c>
      <c r="AN311" s="1323">
        <v>46148</v>
      </c>
      <c r="AO311" s="1323"/>
      <c r="AP311" s="1323"/>
      <c r="AQ311" s="1323"/>
      <c r="AR311" s="987"/>
      <c r="AS311" s="978" t="str">
        <f t="shared" si="49"/>
        <v>雙</v>
      </c>
      <c r="AT311" s="978" t="str">
        <f t="shared" si="50"/>
        <v>半</v>
      </c>
      <c r="AU311" s="978">
        <f t="shared" si="51"/>
        <v>150</v>
      </c>
      <c r="AV311" s="978">
        <f t="shared" si="52"/>
        <v>3.3212371680000001</v>
      </c>
    </row>
    <row r="312" spans="1:48">
      <c r="A312" s="975">
        <f t="shared" si="55"/>
        <v>46150</v>
      </c>
      <c r="B312" s="976" t="s">
        <v>239</v>
      </c>
      <c r="C312" s="976" t="s">
        <v>16735</v>
      </c>
      <c r="D312" s="1410"/>
      <c r="E312" s="977" t="str">
        <f>IFERROR(VLOOKUP(C312, [6]條件!$A:$L, 5, 0), "")</f>
        <v>150/48/2SR6</v>
      </c>
      <c r="F312" s="978" t="str">
        <f>IFERROR(VLOOKUP(C312, [6]條件!$A:$L, 6, 0), "")</f>
        <v>FP82658×2</v>
      </c>
      <c r="G312" s="1411">
        <f>IFERROR(VLOOKUP(C312, [6]條件!$A:$L, 7, 0), "")</f>
        <v>600</v>
      </c>
      <c r="H312" s="978" t="str">
        <f>IF(ISNA(VLOOKUP(C312,[6]條件!$A$1:$K$932,11,0)),"",(VLOOKUP(C312,[6]條件!$A$1:$K$932,11,0)))</f>
        <v>黃底黑點</v>
      </c>
      <c r="I312" s="979">
        <f>IF(ISNA(VLOOKUP(C312,[6]條件!$A$1:$L$932,12,0)),"",(VLOOKUP(C312,[6]條件!$A$1:$L$932,12,0)))</f>
        <v>5.5</v>
      </c>
      <c r="J312" s="982"/>
      <c r="K312" s="980"/>
      <c r="L312" s="981" t="s">
        <v>632</v>
      </c>
      <c r="M312" s="983" t="s">
        <v>127</v>
      </c>
      <c r="N312" s="982"/>
      <c r="O312" s="980"/>
      <c r="P312" s="981" t="s">
        <v>632</v>
      </c>
      <c r="Q312" s="983" t="s">
        <v>127</v>
      </c>
      <c r="R312" s="982"/>
      <c r="S312" s="980"/>
      <c r="T312" s="981" t="s">
        <v>632</v>
      </c>
      <c r="U312" s="983" t="s">
        <v>127</v>
      </c>
      <c r="V312" s="982"/>
      <c r="W312" s="980"/>
      <c r="X312" s="981" t="s">
        <v>632</v>
      </c>
      <c r="Y312" s="983"/>
      <c r="Z312" s="1412">
        <f>IFERROR(VLOOKUP(C312, [6]條件!$A:$L, 3, 0), "")</f>
        <v>4.9655172413793105</v>
      </c>
      <c r="AA312" s="984" t="str">
        <f>IF(OR(L312={"改紡","檢修","了機","清車","FINAL","停機","SAMPLE","TEST","絲開發"}), L312, IFERROR(IF(C312="", "", (SUM(J312, N312, R312, V312)/3 * AG312) * IF(AND(AF312="S", AS312="雙"), 0.5, 1)), ""))</f>
        <v>停機</v>
      </c>
      <c r="AB312" s="1413" t="str">
        <f t="shared" si="53"/>
        <v/>
      </c>
      <c r="AC312" s="984" t="str">
        <f>IF(OR(L312={"改紡","檢修","了機","清車","FINAL","停機","SAMPLE","TEST"}), "", IFERROR(IF(C312="", "", AVERAGE(L312:M312, P312:Q312, T312:U312, X312:Y312)/100), ""))</f>
        <v/>
      </c>
      <c r="AD312" s="984" t="str">
        <f t="shared" si="47"/>
        <v/>
      </c>
      <c r="AE312" s="984" t="str">
        <f t="shared" si="54"/>
        <v/>
      </c>
      <c r="AF312" s="985" t="str">
        <f t="shared" si="48"/>
        <v>T</v>
      </c>
      <c r="AG312" s="1414">
        <v>2</v>
      </c>
      <c r="AH312" s="1002" t="s">
        <v>15337</v>
      </c>
      <c r="AI312" s="1002" t="s">
        <v>15337</v>
      </c>
      <c r="AJ312" s="986" t="s">
        <v>640</v>
      </c>
      <c r="AK312" s="1417" t="s">
        <v>640</v>
      </c>
      <c r="AL312" s="1415"/>
      <c r="AM312" s="1323"/>
      <c r="AN312" s="1323"/>
      <c r="AO312" s="1323"/>
      <c r="AP312" s="1323"/>
      <c r="AQ312" s="1323"/>
      <c r="AR312" s="987"/>
      <c r="AS312" s="978" t="str">
        <f t="shared" si="49"/>
        <v>雙</v>
      </c>
      <c r="AT312" s="978" t="str">
        <f t="shared" si="50"/>
        <v>半</v>
      </c>
      <c r="AU312" s="978">
        <f t="shared" si="51"/>
        <v>150</v>
      </c>
      <c r="AV312" s="978" t="str">
        <f t="shared" si="52"/>
        <v/>
      </c>
    </row>
    <row r="313" spans="1:48">
      <c r="A313" s="975">
        <f t="shared" si="55"/>
        <v>46150</v>
      </c>
      <c r="B313" s="976" t="s">
        <v>388</v>
      </c>
      <c r="C313" s="976" t="s">
        <v>16730</v>
      </c>
      <c r="D313" s="1410" t="s">
        <v>633</v>
      </c>
      <c r="E313" s="977" t="str">
        <f>IFERROR(VLOOKUP(C313, [6]條件!$A:$L, 5, 0), "")</f>
        <v>225/72/2SDr</v>
      </c>
      <c r="F313" s="978" t="str">
        <f>IFERROR(VLOOKUP(C313, [6]條件!$A:$L, 6, 0), "")</f>
        <v>FP83024R×2</v>
      </c>
      <c r="G313" s="1411">
        <f>IFERROR(VLOOKUP(C313, [6]條件!$A:$L, 7, 0), "")</f>
        <v>550</v>
      </c>
      <c r="H313" s="978" t="str">
        <f>IF(ISNA(VLOOKUP(C313,[6]條件!$A$1:$K$932,11,0)),"",(VLOOKUP(C313,[6]條件!$A$1:$K$932,11,0)))</f>
        <v>灰色</v>
      </c>
      <c r="I313" s="979">
        <f>IF(ISNA(VLOOKUP(C313,[6]條件!$A$1:$L$932,12,0)),"",(VLOOKUP(C313,[6]條件!$A$1:$L$932,12,0)))</f>
        <v>5.5</v>
      </c>
      <c r="J313" s="982">
        <v>17</v>
      </c>
      <c r="K313" s="980">
        <v>0</v>
      </c>
      <c r="L313" s="981">
        <v>6940</v>
      </c>
      <c r="M313" s="983"/>
      <c r="N313" s="982">
        <v>9</v>
      </c>
      <c r="O313" s="980">
        <v>0</v>
      </c>
      <c r="P313" s="981">
        <v>7220</v>
      </c>
      <c r="Q313" s="983"/>
      <c r="R313" s="982">
        <v>10</v>
      </c>
      <c r="S313" s="980">
        <v>0</v>
      </c>
      <c r="T313" s="981">
        <v>6850</v>
      </c>
      <c r="U313" s="983"/>
      <c r="V313" s="982">
        <v>18</v>
      </c>
      <c r="W313" s="980">
        <v>0</v>
      </c>
      <c r="X313" s="981">
        <v>7040</v>
      </c>
      <c r="Y313" s="983"/>
      <c r="Z313" s="1412">
        <f>IFERROR(VLOOKUP(C313, [6]條件!$A:$L, 3, 0), "")</f>
        <v>6.6055045871559628</v>
      </c>
      <c r="AA313" s="984">
        <f>IF(OR(L313={"改紡","檢修","了機","清車","FINAL","停機","SAMPLE","TEST","絲開發"}), L313, IFERROR(IF(C313="", "", (SUM(J313, N313, R313, V313)/3 * AG313) * IF(AND(AF313="S", AS313="雙"), 0.5, 1)), ""))</f>
        <v>36</v>
      </c>
      <c r="AB313" s="1413">
        <f t="shared" si="53"/>
        <v>1</v>
      </c>
      <c r="AC313" s="984">
        <f>IF(OR(L313={"改紡","檢修","了機","清車","FINAL","停機","SAMPLE","TEST"}), "", IFERROR(IF(C313="", "", AVERAGE(L313:M313, P313:Q313, T313:U313, X313:Y313)/100), ""))</f>
        <v>70.125</v>
      </c>
      <c r="AD313" s="984">
        <f t="shared" si="47"/>
        <v>4.5</v>
      </c>
      <c r="AE313" s="984">
        <f t="shared" si="54"/>
        <v>4.5</v>
      </c>
      <c r="AF313" s="985" t="str">
        <f t="shared" si="48"/>
        <v>T</v>
      </c>
      <c r="AG313" s="1414">
        <v>2</v>
      </c>
      <c r="AH313" s="1002" t="s">
        <v>651</v>
      </c>
      <c r="AI313" s="1002" t="s">
        <v>651</v>
      </c>
      <c r="AJ313" s="986" t="s">
        <v>835</v>
      </c>
      <c r="AK313" s="1417" t="s">
        <v>835</v>
      </c>
      <c r="AL313" s="1415">
        <v>53</v>
      </c>
      <c r="AM313" s="1323">
        <v>46130</v>
      </c>
      <c r="AN313" s="1323">
        <v>46131</v>
      </c>
      <c r="AO313" s="1323">
        <v>46133</v>
      </c>
      <c r="AP313" s="1323">
        <v>46137</v>
      </c>
      <c r="AQ313" s="1323">
        <v>46139</v>
      </c>
      <c r="AR313" s="987"/>
      <c r="AS313" s="978" t="str">
        <f t="shared" si="49"/>
        <v>雙</v>
      </c>
      <c r="AT313" s="978" t="str">
        <f t="shared" si="50"/>
        <v>半</v>
      </c>
      <c r="AU313" s="978">
        <f t="shared" si="51"/>
        <v>225</v>
      </c>
      <c r="AV313" s="978">
        <f t="shared" si="52"/>
        <v>2.9991059999999998</v>
      </c>
    </row>
    <row r="314" spans="1:48">
      <c r="A314" s="975">
        <f t="shared" si="55"/>
        <v>46150</v>
      </c>
      <c r="B314" s="976" t="s">
        <v>388</v>
      </c>
      <c r="C314" s="976" t="s">
        <v>16736</v>
      </c>
      <c r="D314" s="1410" t="s">
        <v>633</v>
      </c>
      <c r="E314" s="977" t="str">
        <f>IFERROR(VLOOKUP(C314, [6]條件!$A:$L, 5, 0), "")</f>
        <v>150/48/2SDr</v>
      </c>
      <c r="F314" s="978" t="str">
        <f>IFERROR(VLOOKUP(C314, [6]條件!$A:$L, 6, 0), "")</f>
        <v>FP82170R×2</v>
      </c>
      <c r="G314" s="1411">
        <f>IFERROR(VLOOKUP(C314, [6]條件!$A:$L, 7, 0), "")</f>
        <v>700</v>
      </c>
      <c r="H314" s="978" t="str">
        <f>IF(ISNA(VLOOKUP(C314,[6]條件!$A$1:$K$932,11,0)),"",(VLOOKUP(C314,[6]條件!$A$1:$K$932,11,0)))</f>
        <v>粉紅</v>
      </c>
      <c r="I314" s="979">
        <f>IF(ISNA(VLOOKUP(C314,[6]條件!$A$1:$L$932,12,0)),"",(VLOOKUP(C314,[6]條件!$A$1:$L$932,12,0)))</f>
        <v>5.5</v>
      </c>
      <c r="J314" s="982">
        <v>35</v>
      </c>
      <c r="K314" s="980">
        <v>0</v>
      </c>
      <c r="L314" s="981">
        <v>9350</v>
      </c>
      <c r="M314" s="983"/>
      <c r="N314" s="982">
        <v>19</v>
      </c>
      <c r="O314" s="980">
        <v>0</v>
      </c>
      <c r="P314" s="981">
        <v>8700</v>
      </c>
      <c r="Q314" s="983"/>
      <c r="R314" s="982">
        <v>24</v>
      </c>
      <c r="S314" s="980">
        <v>0</v>
      </c>
      <c r="T314" s="981"/>
      <c r="U314" s="983">
        <v>9070</v>
      </c>
      <c r="V314" s="982">
        <v>38</v>
      </c>
      <c r="W314" s="980">
        <v>0</v>
      </c>
      <c r="X314" s="981"/>
      <c r="Y314" s="983">
        <v>8330</v>
      </c>
      <c r="Z314" s="1412">
        <f>IFERROR(VLOOKUP(C314, [6]條件!$A:$L, 3, 0), "")</f>
        <v>5.8775510204081636</v>
      </c>
      <c r="AA314" s="984">
        <f>IF(OR(L314={"改紡","檢修","了機","清車","FINAL","停機","SAMPLE","TEST","絲開發"}), L314, IFERROR(IF(C314="", "", (SUM(J314, N314, R314, V314)/3 * AG314) * IF(AND(AF314="S", AS314="雙"), 0.5, 1)), ""))</f>
        <v>77.333333333333329</v>
      </c>
      <c r="AB314" s="1413">
        <f t="shared" si="53"/>
        <v>1</v>
      </c>
      <c r="AC314" s="984">
        <f>IF(OR(L314={"改紡","檢修","了機","清車","FINAL","停機","SAMPLE","TEST"}), "", IFERROR(IF(C314="", "", AVERAGE(L314:M314, P314:Q314, T314:U314, X314:Y314)/100), ""))</f>
        <v>88.625</v>
      </c>
      <c r="AD314" s="984">
        <f t="shared" si="47"/>
        <v>9.6666666666666661</v>
      </c>
      <c r="AE314" s="984">
        <f t="shared" si="54"/>
        <v>9.6666666666666661</v>
      </c>
      <c r="AF314" s="985" t="str">
        <f t="shared" si="48"/>
        <v>T</v>
      </c>
      <c r="AG314" s="1414">
        <v>2</v>
      </c>
      <c r="AH314" s="1002" t="s">
        <v>651</v>
      </c>
      <c r="AI314" s="1002" t="s">
        <v>651</v>
      </c>
      <c r="AJ314" s="986" t="s">
        <v>835</v>
      </c>
      <c r="AK314" s="1417" t="s">
        <v>835</v>
      </c>
      <c r="AL314" s="1415">
        <v>56</v>
      </c>
      <c r="AM314" s="1323">
        <v>46140</v>
      </c>
      <c r="AN314" s="1323">
        <v>46141</v>
      </c>
      <c r="AO314" s="1323">
        <v>46143</v>
      </c>
      <c r="AP314" s="1323"/>
      <c r="AQ314" s="1323"/>
      <c r="AR314" s="987"/>
      <c r="AS314" s="978" t="str">
        <f t="shared" si="49"/>
        <v>雙</v>
      </c>
      <c r="AT314" s="978" t="str">
        <f t="shared" si="50"/>
        <v>半</v>
      </c>
      <c r="AU314" s="978">
        <f t="shared" si="51"/>
        <v>150</v>
      </c>
      <c r="AV314" s="978">
        <f t="shared" si="52"/>
        <v>3.2160240000000004</v>
      </c>
    </row>
    <row r="315" spans="1:48">
      <c r="A315" s="975">
        <f t="shared" si="55"/>
        <v>46150</v>
      </c>
      <c r="B315" s="976" t="s">
        <v>417</v>
      </c>
      <c r="C315" s="976" t="s">
        <v>16767</v>
      </c>
      <c r="D315" s="1410" t="s">
        <v>633</v>
      </c>
      <c r="E315" s="977" t="str">
        <f>IFERROR(VLOOKUP(C315, [6]條件!$A:$L, 5, 0), "")</f>
        <v>150/48/2SDr</v>
      </c>
      <c r="F315" s="978" t="str">
        <f>IFERROR(VLOOKUP(C315, [6]條件!$A:$L, 6, 0), "")</f>
        <v>FP82173R×2</v>
      </c>
      <c r="G315" s="1411">
        <f>IFERROR(VLOOKUP(C315, [6]條件!$A:$L, 7, 0), "")</f>
        <v>700</v>
      </c>
      <c r="H315" s="978" t="str">
        <f>IF(ISNA(VLOOKUP(C315,[6]條件!$A$1:$K$932,11,0)),"",(VLOOKUP(C315,[6]條件!$A$1:$K$932,11,0)))</f>
        <v>棕色</v>
      </c>
      <c r="I315" s="979">
        <f>IF(ISNA(VLOOKUP(C315,[6]條件!$A$1:$L$932,12,0)),"",(VLOOKUP(C315,[6]條件!$A$1:$L$932,12,0)))</f>
        <v>5.5</v>
      </c>
      <c r="J315" s="982">
        <v>10</v>
      </c>
      <c r="K315" s="980">
        <v>0</v>
      </c>
      <c r="L315" s="981">
        <v>10000</v>
      </c>
      <c r="M315" s="983">
        <v>9630</v>
      </c>
      <c r="N315" s="982">
        <v>11</v>
      </c>
      <c r="O315" s="980">
        <v>7</v>
      </c>
      <c r="P315" s="981">
        <v>10000</v>
      </c>
      <c r="Q315" s="983">
        <v>9540</v>
      </c>
      <c r="R315" s="982">
        <v>16</v>
      </c>
      <c r="S315" s="980">
        <v>0</v>
      </c>
      <c r="T315" s="981">
        <v>9630</v>
      </c>
      <c r="U315" s="983">
        <v>8610</v>
      </c>
      <c r="V315" s="982">
        <v>32</v>
      </c>
      <c r="W315" s="980">
        <v>1</v>
      </c>
      <c r="X315" s="981">
        <v>10000</v>
      </c>
      <c r="Y315" s="983">
        <v>9440</v>
      </c>
      <c r="Z315" s="1412">
        <f>IFERROR(VLOOKUP(C315, [6]條件!$A:$L, 3, 0), "")</f>
        <v>5.8536585365853666</v>
      </c>
      <c r="AA315" s="984">
        <f>IF(OR(L315={"改紡","檢修","了機","清車","FINAL","停機","SAMPLE","TEST","絲開發"}), L315, IFERROR(IF(C315="", "", (SUM(J315, N315, R315, V315)/3 * AG315) * IF(AND(AF315="S", AS315="雙"), 0.5, 1)), ""))</f>
        <v>23</v>
      </c>
      <c r="AB315" s="1413">
        <f t="shared" si="53"/>
        <v>0.9934294871794872</v>
      </c>
      <c r="AC315" s="984">
        <f>IF(OR(L315={"改紡","檢修","了機","清車","FINAL","停機","SAMPLE","TEST"}), "", IFERROR(IF(C315="", "", AVERAGE(L315:M315, P315:Q315, T315:U315, X315:Y315)/100), ""))</f>
        <v>96.0625</v>
      </c>
      <c r="AD315" s="984">
        <f t="shared" si="47"/>
        <v>2.875</v>
      </c>
      <c r="AE315" s="984">
        <f t="shared" si="54"/>
        <v>2.5416666666666665</v>
      </c>
      <c r="AF315" s="985" t="str">
        <f t="shared" si="48"/>
        <v>T</v>
      </c>
      <c r="AG315" s="1414">
        <v>1</v>
      </c>
      <c r="AH315" s="1002" t="s">
        <v>15337</v>
      </c>
      <c r="AI315" s="1002" t="s">
        <v>15337</v>
      </c>
      <c r="AJ315" s="986" t="s">
        <v>639</v>
      </c>
      <c r="AK315" s="1417" t="s">
        <v>639</v>
      </c>
      <c r="AL315" s="1415">
        <v>56</v>
      </c>
      <c r="AM315" s="1323">
        <v>46147</v>
      </c>
      <c r="AN315" s="1323">
        <v>46148</v>
      </c>
      <c r="AO315" s="1323">
        <v>46149</v>
      </c>
      <c r="AP315" s="1323"/>
      <c r="AQ315" s="1323"/>
      <c r="AR315" s="987"/>
      <c r="AS315" s="978" t="str">
        <f t="shared" si="49"/>
        <v>雙</v>
      </c>
      <c r="AT315" s="978" t="str">
        <f t="shared" si="50"/>
        <v>全</v>
      </c>
      <c r="AU315" s="978">
        <f t="shared" si="51"/>
        <v>150</v>
      </c>
      <c r="AV315" s="978">
        <f t="shared" si="52"/>
        <v>6.9718319999999991</v>
      </c>
    </row>
    <row r="316" spans="1:48">
      <c r="A316" s="975">
        <f t="shared" si="55"/>
        <v>46150</v>
      </c>
      <c r="B316" s="976" t="s">
        <v>240</v>
      </c>
      <c r="C316" s="988" t="s">
        <v>632</v>
      </c>
      <c r="D316" s="1410"/>
      <c r="E316" s="977" t="str">
        <f>IFERROR(VLOOKUP(C316, [6]條件!$A:$L, 5, 0), "")</f>
        <v/>
      </c>
      <c r="F316" s="978" t="str">
        <f>IFERROR(VLOOKUP(C316, [6]條件!$A:$L, 6, 0), "")</f>
        <v/>
      </c>
      <c r="G316" s="1411" t="str">
        <f>IFERROR(VLOOKUP(C316, [6]條件!$A:$L, 7, 0), "")</f>
        <v/>
      </c>
      <c r="H316" s="978" t="str">
        <f>IF(ISNA(VLOOKUP(C316,[6]條件!$A$1:$K$932,11,0)),"",(VLOOKUP(C316,[6]條件!$A$1:$K$932,11,0)))</f>
        <v/>
      </c>
      <c r="I316" s="979" t="str">
        <f>IF(ISNA(VLOOKUP(C316,[6]條件!$A$1:$L$932,12,0)),"",(VLOOKUP(C316,[6]條件!$A$1:$L$932,12,0)))</f>
        <v/>
      </c>
      <c r="J316" s="982"/>
      <c r="K316" s="980"/>
      <c r="L316" s="981" t="s">
        <v>632</v>
      </c>
      <c r="M316" s="983"/>
      <c r="N316" s="982"/>
      <c r="O316" s="980"/>
      <c r="P316" s="981" t="s">
        <v>632</v>
      </c>
      <c r="Q316" s="983"/>
      <c r="R316" s="982"/>
      <c r="S316" s="980"/>
      <c r="T316" s="981" t="s">
        <v>632</v>
      </c>
      <c r="U316" s="983"/>
      <c r="V316" s="982"/>
      <c r="W316" s="980"/>
      <c r="X316" s="981" t="s">
        <v>632</v>
      </c>
      <c r="Y316" s="983"/>
      <c r="Z316" s="1422" t="str">
        <f>IFERROR(VLOOKUP(C316, [6]條件!$A:$L, 3, 0), "")</f>
        <v/>
      </c>
      <c r="AA316" s="1167" t="str">
        <f>IF(OR(L316={"改紡","檢修","了機","清車","FINAL","停機","SAMPLE","TEST","絲開發"}), L316, IFERROR(IF(C316="", "", (SUM(J316, N316, R316, V316)/3 * AG316) * IF(AND(AF316="S", AS316="雙"), 0.5, 1)), ""))</f>
        <v>停機</v>
      </c>
      <c r="AB316" s="1423" t="str">
        <f>IF(K316="","",IF(ISERROR(1-((SUM(K316,O316,S316,W316)/((AG316*12)-(AG316*0.44)))/Z316)),"",(1-((SUM(K316,O316,S316,W316)/((AG316*12)-(AG316*0.44)))/Z316))))</f>
        <v/>
      </c>
      <c r="AC316" s="1167" t="str">
        <f>IF(OR(L316={"改紡","檢修","了機","清車","FINAL","停機","SAMPLE","TEST"}), "", IFERROR(IF(C316="", "", AVERAGE(L316:M316, P316:Q316, T316:U316, X316:Y316)/100), ""))</f>
        <v/>
      </c>
      <c r="AD316" s="1167" t="str">
        <f t="shared" si="47"/>
        <v/>
      </c>
      <c r="AE316" s="1167" t="str">
        <f>IF(P316="了機","",IF(J316="","",IF(ISERROR((SUM(J316,N316,R316,V316)-SUM(K316,O316,S316,W316))/24),"",((SUM(J316,N316,R316,V316)-SUM(K316,O316,S316,W316))/24))))</f>
        <v/>
      </c>
      <c r="AF316" s="1168" t="str">
        <f t="shared" si="48"/>
        <v>S</v>
      </c>
      <c r="AG316" s="1424">
        <v>12</v>
      </c>
      <c r="AH316" s="1002" t="s">
        <v>640</v>
      </c>
      <c r="AI316" s="1002" t="s">
        <v>640</v>
      </c>
      <c r="AJ316" s="986" t="s">
        <v>640</v>
      </c>
      <c r="AK316" s="1417" t="s">
        <v>640</v>
      </c>
      <c r="AL316" s="1415"/>
      <c r="AM316" s="1323"/>
      <c r="AN316" s="1323"/>
      <c r="AO316" s="1323"/>
      <c r="AP316" s="1323"/>
      <c r="AQ316" s="1323"/>
      <c r="AR316" s="987"/>
      <c r="AS316" s="978" t="str">
        <f t="shared" si="49"/>
        <v>單</v>
      </c>
      <c r="AT316" s="978" t="str">
        <f t="shared" si="50"/>
        <v>12sec</v>
      </c>
      <c r="AU316" s="978" t="str">
        <f t="shared" si="51"/>
        <v/>
      </c>
      <c r="AV316" s="978" t="str">
        <f t="shared" si="52"/>
        <v/>
      </c>
    </row>
    <row r="317" spans="1:48">
      <c r="A317" s="975">
        <f t="shared" si="55"/>
        <v>46150</v>
      </c>
      <c r="B317" s="976" t="s">
        <v>242</v>
      </c>
      <c r="C317" s="976" t="s">
        <v>385</v>
      </c>
      <c r="D317" s="1410"/>
      <c r="E317" s="977" t="str">
        <f>IFERROR(VLOOKUP(C317, [6]條件!$A:$L, 5, 0), "")</f>
        <v/>
      </c>
      <c r="F317" s="978" t="str">
        <f>IFERROR(VLOOKUP(C317, [6]條件!$A:$L, 6, 0), "")</f>
        <v/>
      </c>
      <c r="G317" s="1411" t="str">
        <f>IFERROR(VLOOKUP(C317, [6]條件!$A:$L, 7, 0), "")</f>
        <v/>
      </c>
      <c r="H317" s="978" t="str">
        <f>IF(ISNA(VLOOKUP(C317,[6]條件!$A$1:$K$932,11,0)),"",(VLOOKUP(C317,[6]條件!$A$1:$K$932,11,0)))</f>
        <v/>
      </c>
      <c r="I317" s="979" t="str">
        <f>IF(ISNA(VLOOKUP(C317,[6]條件!$A$1:$L$932,12,0)),"",(VLOOKUP(C317,[6]條件!$A$1:$L$932,12,0)))</f>
        <v/>
      </c>
      <c r="J317" s="982"/>
      <c r="K317" s="980"/>
      <c r="L317" s="981" t="s">
        <v>385</v>
      </c>
      <c r="M317" s="983"/>
      <c r="N317" s="982"/>
      <c r="O317" s="980"/>
      <c r="P317" s="981" t="s">
        <v>385</v>
      </c>
      <c r="Q317" s="983"/>
      <c r="R317" s="982"/>
      <c r="S317" s="980"/>
      <c r="T317" s="981" t="s">
        <v>385</v>
      </c>
      <c r="U317" s="983"/>
      <c r="V317" s="982"/>
      <c r="W317" s="980"/>
      <c r="X317" s="981" t="s">
        <v>385</v>
      </c>
      <c r="Y317" s="983"/>
      <c r="Z317" s="1422" t="str">
        <f>IFERROR(VLOOKUP(C317, [6]條件!$A:$L, 3, 0), "")</f>
        <v/>
      </c>
      <c r="AA317" s="1167" t="str">
        <f>IF(OR(L317={"改紡","檢修","了機","清車","FINAL","停機","SAMPLE","TEST","絲開發"}), L317, IFERROR(IF(C317="", "", (SUM(J317, N317, R317, V317)/3 * AG317) * IF(AND(AF317="S", AS317="雙"), 0.5, 1)), ""))</f>
        <v>絲開發</v>
      </c>
      <c r="AB317" s="1423" t="str">
        <f>IF(K317="","",IF(ISERROR(1-((SUM(K317,O317,S317,W317)/((AG317*12)-(AG317*0.44)))/Z317)),"",(1-((SUM(K317,O317,S317,W317)/((AG317*12)-(AG317*0.44)))/Z317))))</f>
        <v/>
      </c>
      <c r="AC317" s="1167" t="str">
        <f>IF(OR(L317={"改紡","檢修","了機","清車","FINAL","停機","SAMPLE","TEST"}), "", IFERROR(IF(C317="", "", AVERAGE(L317:M317, P317:Q317, T317:U317, X317:Y317)/100), ""))</f>
        <v/>
      </c>
      <c r="AD317" s="1167" t="str">
        <f t="shared" si="47"/>
        <v/>
      </c>
      <c r="AE317" s="1167" t="str">
        <f>IF(P317="了機","",IF(J317="","",IF(ISERROR((SUM(J317,N317,R317,V317)-SUM(K317,O317,S317,W317))/24),"",((SUM(J317,N317,R317,V317)-SUM(K317,O317,S317,W317))/24))))</f>
        <v/>
      </c>
      <c r="AF317" s="1168" t="str">
        <f t="shared" si="48"/>
        <v>S</v>
      </c>
      <c r="AG317" s="1424">
        <v>5</v>
      </c>
      <c r="AH317" s="1002" t="s">
        <v>829</v>
      </c>
      <c r="AI317" s="1002" t="s">
        <v>829</v>
      </c>
      <c r="AJ317" s="986" t="s">
        <v>636</v>
      </c>
      <c r="AK317" s="1417" t="s">
        <v>636</v>
      </c>
      <c r="AL317" s="1415"/>
      <c r="AM317" s="1323"/>
      <c r="AN317" s="1323"/>
      <c r="AO317" s="1323"/>
      <c r="AP317" s="1323"/>
      <c r="AQ317" s="1323"/>
      <c r="AR317" s="987"/>
      <c r="AS317" s="978" t="str">
        <f t="shared" si="49"/>
        <v>單</v>
      </c>
      <c r="AT317" s="978" t="str">
        <f t="shared" si="50"/>
        <v>5sec</v>
      </c>
      <c r="AU317" s="978" t="str">
        <f t="shared" si="51"/>
        <v/>
      </c>
      <c r="AV317" s="978" t="str">
        <f t="shared" si="52"/>
        <v/>
      </c>
    </row>
    <row r="318" spans="1:48">
      <c r="A318" s="975">
        <f t="shared" si="55"/>
        <v>46150</v>
      </c>
      <c r="B318" s="976" t="s">
        <v>16078</v>
      </c>
      <c r="C318" s="988" t="s">
        <v>16185</v>
      </c>
      <c r="D318" s="1410"/>
      <c r="E318" s="977" t="str">
        <f>IFERROR(VLOOKUP(C318, [6]條件!$A:$L, 5, 0), "")</f>
        <v/>
      </c>
      <c r="F318" s="978" t="str">
        <f>IFERROR(VLOOKUP(C318, [6]條件!$A:$L, 6, 0), "")</f>
        <v/>
      </c>
      <c r="G318" s="1411" t="str">
        <f>IFERROR(VLOOKUP(C318, [6]條件!$A:$L, 7, 0), "")</f>
        <v/>
      </c>
      <c r="H318" s="978" t="str">
        <f>IF(ISNA(VLOOKUP(C318,[6]條件!$A$1:$K$932,11,0)),"",(VLOOKUP(C318,[6]條件!$A$1:$K$932,11,0)))</f>
        <v/>
      </c>
      <c r="I318" s="979" t="str">
        <f>IF(ISNA(VLOOKUP(C318,[6]條件!$A$1:$L$932,12,0)),"",(VLOOKUP(C318,[6]條件!$A$1:$L$932,12,0)))</f>
        <v/>
      </c>
      <c r="J318" s="982"/>
      <c r="K318" s="980"/>
      <c r="L318" s="981" t="s">
        <v>632</v>
      </c>
      <c r="M318" s="983"/>
      <c r="N318" s="982"/>
      <c r="O318" s="980"/>
      <c r="P318" s="981" t="s">
        <v>632</v>
      </c>
      <c r="Q318" s="983"/>
      <c r="R318" s="982"/>
      <c r="S318" s="980"/>
      <c r="T318" s="981" t="s">
        <v>632</v>
      </c>
      <c r="U318" s="983"/>
      <c r="V318" s="982"/>
      <c r="W318" s="980"/>
      <c r="X318" s="981" t="s">
        <v>632</v>
      </c>
      <c r="Y318" s="983"/>
      <c r="Z318" s="1412" t="str">
        <f>IFERROR(VLOOKUP(C318, [6]條件!$A:$L, 3, 0), "")</f>
        <v/>
      </c>
      <c r="AA318" s="984" t="str">
        <f>IF(OR(L318={"改紡","檢修","了機","清車","FINAL","停機","SAMPLE","TEST","絲開發"}), L318, IFERROR(IF(C318="", "", (SUM(J318, N318, R318, V318)/3 * AG318) * IF(AND(AF318="S", AS318="雙"), 0.5, 1)), ""))</f>
        <v>停機</v>
      </c>
      <c r="AB318" s="1413" t="str">
        <f t="shared" ref="AB318:AB354" si="56">IF(K318="","",IF(ISERROR(1-(SUM(K318,O318,S318,W318)/208/Z318)),"",(1-(SUM(K318,O318,S318,W318)/208/Z318))))</f>
        <v/>
      </c>
      <c r="AC318" s="984" t="str">
        <f>IF(OR(L318={"改紡","檢修","了機","清車","FINAL","停機","SAMPLE","TEST"}), "", IFERROR(IF(C318="", "", AVERAGE(L318:M318, P318:Q318, T318:U318, X318:Y318)/100), ""))</f>
        <v/>
      </c>
      <c r="AD318" s="984" t="str">
        <f t="shared" si="47"/>
        <v/>
      </c>
      <c r="AE318" s="984" t="str">
        <f>IF(OR(L318="改紡", L318="檢修", L318="了機"), "",
   IF(AND(C318&lt;&gt;"", J318&lt;&gt;""),
      IFERROR((SUM(J318, N318, R318, V318) - SUM(K318, O318, S318, W318))/24 * AG318, ""),
   "")
)</f>
        <v/>
      </c>
      <c r="AF318" s="985" t="str">
        <f t="shared" si="48"/>
        <v>M</v>
      </c>
      <c r="AG318" s="1414">
        <v>1</v>
      </c>
      <c r="AH318" s="1002" t="s">
        <v>640</v>
      </c>
      <c r="AI318" s="1002" t="s">
        <v>640</v>
      </c>
      <c r="AJ318" s="986" t="s">
        <v>640</v>
      </c>
      <c r="AK318" s="1417" t="s">
        <v>640</v>
      </c>
      <c r="AL318" s="1415"/>
      <c r="AM318" s="1323"/>
      <c r="AN318" s="1323"/>
      <c r="AO318" s="1323"/>
      <c r="AP318" s="1323"/>
      <c r="AQ318" s="1323"/>
      <c r="AR318" s="987"/>
      <c r="AS318" s="978" t="str">
        <f t="shared" si="49"/>
        <v>單</v>
      </c>
      <c r="AT318" s="978" t="str">
        <f t="shared" si="50"/>
        <v>全</v>
      </c>
      <c r="AU318" s="978" t="str">
        <f t="shared" si="51"/>
        <v/>
      </c>
      <c r="AV318" s="978" t="str">
        <f t="shared" si="52"/>
        <v/>
      </c>
    </row>
    <row r="319" spans="1:48">
      <c r="A319" s="975">
        <f t="shared" si="55"/>
        <v>46150</v>
      </c>
      <c r="B319" s="976" t="s">
        <v>243</v>
      </c>
      <c r="C319" s="988" t="s">
        <v>16185</v>
      </c>
      <c r="D319" s="1410"/>
      <c r="E319" s="977" t="str">
        <f>IFERROR(VLOOKUP(C319, [6]條件!$A:$L, 5, 0), "")</f>
        <v/>
      </c>
      <c r="F319" s="978" t="str">
        <f>IFERROR(VLOOKUP(C319, [6]條件!$A:$L, 6, 0), "")</f>
        <v/>
      </c>
      <c r="G319" s="1411" t="str">
        <f>IFERROR(VLOOKUP(C319, [6]條件!$A:$L, 7, 0), "")</f>
        <v/>
      </c>
      <c r="H319" s="978" t="str">
        <f>IF(ISNA(VLOOKUP(C319,[6]條件!$A$1:$K$932,11,0)),"",(VLOOKUP(C319,[6]條件!$A$1:$K$932,11,0)))</f>
        <v/>
      </c>
      <c r="I319" s="979" t="str">
        <f>IF(ISNA(VLOOKUP(C319,[6]條件!$A$1:$L$932,12,0)),"",(VLOOKUP(C319,[6]條件!$A$1:$L$932,12,0)))</f>
        <v/>
      </c>
      <c r="J319" s="982"/>
      <c r="K319" s="980"/>
      <c r="L319" s="981" t="s">
        <v>632</v>
      </c>
      <c r="M319" s="983"/>
      <c r="N319" s="982"/>
      <c r="O319" s="980"/>
      <c r="P319" s="981" t="s">
        <v>632</v>
      </c>
      <c r="Q319" s="983"/>
      <c r="R319" s="982"/>
      <c r="S319" s="980"/>
      <c r="T319" s="981" t="s">
        <v>632</v>
      </c>
      <c r="U319" s="983"/>
      <c r="V319" s="982"/>
      <c r="W319" s="980"/>
      <c r="X319" s="981" t="s">
        <v>632</v>
      </c>
      <c r="Y319" s="983"/>
      <c r="Z319" s="1412" t="str">
        <f>IFERROR(VLOOKUP(C319, [6]條件!$A:$L, 3, 0), "")</f>
        <v/>
      </c>
      <c r="AA319" s="984" t="str">
        <f>IF(OR(L319={"改紡","檢修","了機","清車","FINAL","停機","SAMPLE","TEST","絲開發"}), L319, IFERROR(IF(C319="", "", (SUM(J319, N319, R319, V319)/3 * AG319) * IF(AND(AF319="S", AS319="雙"), 0.5, 1)), ""))</f>
        <v>停機</v>
      </c>
      <c r="AB319" s="1413" t="str">
        <f t="shared" si="56"/>
        <v/>
      </c>
      <c r="AC319" s="984" t="str">
        <f>IF(OR(L319={"改紡","檢修","了機","清車","FINAL","停機","SAMPLE","TEST"}), "", IFERROR(IF(C319="", "", AVERAGE(L319:M319, P319:Q319, T319:U319, X319:Y319)/100), ""))</f>
        <v/>
      </c>
      <c r="AD319" s="984" t="str">
        <f t="shared" si="47"/>
        <v/>
      </c>
      <c r="AE319" s="984" t="str">
        <f t="shared" ref="AE319:AE354" si="57">IF(OR(L319="改紡", L319="檢修", L319="了機"), "",
IF(AND(C319&lt;&gt;"", J319&lt;&gt;""),
IFERROR((SUM(J319, N319, R319, V319) - SUM(K319, O319, S319, W319))/24 * AG319, ""),
"")
)</f>
        <v/>
      </c>
      <c r="AF319" s="985" t="str">
        <f t="shared" si="48"/>
        <v>M</v>
      </c>
      <c r="AG319" s="1414">
        <v>1</v>
      </c>
      <c r="AH319" s="1002" t="s">
        <v>640</v>
      </c>
      <c r="AI319" s="1002" t="s">
        <v>640</v>
      </c>
      <c r="AJ319" s="986" t="s">
        <v>640</v>
      </c>
      <c r="AK319" s="1417" t="s">
        <v>640</v>
      </c>
      <c r="AL319" s="1415"/>
      <c r="AM319" s="1323"/>
      <c r="AN319" s="1323"/>
      <c r="AO319" s="1323"/>
      <c r="AP319" s="1323"/>
      <c r="AQ319" s="1323"/>
      <c r="AR319" s="987"/>
      <c r="AS319" s="978" t="str">
        <f t="shared" si="49"/>
        <v>單</v>
      </c>
      <c r="AT319" s="978" t="str">
        <f t="shared" si="50"/>
        <v>全</v>
      </c>
      <c r="AU319" s="978" t="str">
        <f t="shared" si="51"/>
        <v/>
      </c>
      <c r="AV319" s="978" t="str">
        <f t="shared" si="52"/>
        <v/>
      </c>
    </row>
    <row r="320" spans="1:48">
      <c r="A320" s="975">
        <f t="shared" si="55"/>
        <v>46150</v>
      </c>
      <c r="B320" s="976" t="s">
        <v>244</v>
      </c>
      <c r="C320" s="988" t="s">
        <v>16185</v>
      </c>
      <c r="D320" s="1410"/>
      <c r="E320" s="977" t="str">
        <f>IFERROR(VLOOKUP(C320, [6]條件!$A:$L, 5, 0), "")</f>
        <v/>
      </c>
      <c r="F320" s="978" t="str">
        <f>IFERROR(VLOOKUP(C320, [6]條件!$A:$L, 6, 0), "")</f>
        <v/>
      </c>
      <c r="G320" s="1411" t="str">
        <f>IFERROR(VLOOKUP(C320, [6]條件!$A:$L, 7, 0), "")</f>
        <v/>
      </c>
      <c r="H320" s="978" t="str">
        <f>IF(ISNA(VLOOKUP(C320,[6]條件!$A$1:$K$932,11,0)),"",(VLOOKUP(C320,[6]條件!$A$1:$K$932,11,0)))</f>
        <v/>
      </c>
      <c r="I320" s="979" t="str">
        <f>IF(ISNA(VLOOKUP(C320,[6]條件!$A$1:$L$932,12,0)),"",(VLOOKUP(C320,[6]條件!$A$1:$L$932,12,0)))</f>
        <v/>
      </c>
      <c r="J320" s="982"/>
      <c r="K320" s="980"/>
      <c r="L320" s="981" t="s">
        <v>632</v>
      </c>
      <c r="M320" s="983"/>
      <c r="N320" s="982"/>
      <c r="O320" s="980"/>
      <c r="P320" s="981" t="s">
        <v>632</v>
      </c>
      <c r="Q320" s="983"/>
      <c r="R320" s="982"/>
      <c r="S320" s="980"/>
      <c r="T320" s="981" t="s">
        <v>632</v>
      </c>
      <c r="U320" s="983"/>
      <c r="V320" s="982"/>
      <c r="W320" s="980"/>
      <c r="X320" s="981" t="s">
        <v>632</v>
      </c>
      <c r="Y320" s="983"/>
      <c r="Z320" s="1412" t="str">
        <f>IFERROR(VLOOKUP(C320, [6]條件!$A:$L, 3, 0), "")</f>
        <v/>
      </c>
      <c r="AA320" s="984" t="str">
        <f>IF(OR(L320={"改紡","檢修","了機","清車","FINAL","停機","SAMPLE","TEST","絲開發"}), L320, IFERROR(IF(C320="", "", (SUM(J320, N320, R320, V320)/3 * AG320) * IF(AND(AF320="S", AS320="雙"), 0.5, 1)), ""))</f>
        <v>停機</v>
      </c>
      <c r="AB320" s="1413" t="str">
        <f t="shared" si="56"/>
        <v/>
      </c>
      <c r="AC320" s="984" t="str">
        <f>IF(OR(L320={"改紡","檢修","了機","清車","FINAL","停機","SAMPLE","TEST"}), "", IFERROR(IF(C320="", "", AVERAGE(L320:M320, P320:Q320, T320:U320, X320:Y320)/100), ""))</f>
        <v/>
      </c>
      <c r="AD320" s="984" t="str">
        <f t="shared" si="47"/>
        <v/>
      </c>
      <c r="AE320" s="984" t="str">
        <f t="shared" si="57"/>
        <v/>
      </c>
      <c r="AF320" s="985" t="str">
        <f t="shared" si="48"/>
        <v>M</v>
      </c>
      <c r="AG320" s="1414">
        <v>1</v>
      </c>
      <c r="AH320" s="1002" t="s">
        <v>640</v>
      </c>
      <c r="AI320" s="1002" t="s">
        <v>640</v>
      </c>
      <c r="AJ320" s="986" t="s">
        <v>640</v>
      </c>
      <c r="AK320" s="1417" t="s">
        <v>640</v>
      </c>
      <c r="AL320" s="1415"/>
      <c r="AM320" s="1323"/>
      <c r="AN320" s="1323"/>
      <c r="AO320" s="1323"/>
      <c r="AP320" s="1323"/>
      <c r="AQ320" s="1323"/>
      <c r="AR320" s="987"/>
      <c r="AS320" s="978" t="str">
        <f t="shared" si="49"/>
        <v>單</v>
      </c>
      <c r="AT320" s="978" t="str">
        <f t="shared" si="50"/>
        <v>全</v>
      </c>
      <c r="AU320" s="978" t="str">
        <f t="shared" si="51"/>
        <v/>
      </c>
      <c r="AV320" s="978" t="str">
        <f t="shared" si="52"/>
        <v/>
      </c>
    </row>
    <row r="321" spans="1:48">
      <c r="A321" s="975">
        <f t="shared" si="55"/>
        <v>46150</v>
      </c>
      <c r="B321" s="976" t="s">
        <v>245</v>
      </c>
      <c r="C321" s="988" t="s">
        <v>16185</v>
      </c>
      <c r="D321" s="1410"/>
      <c r="E321" s="977" t="str">
        <f>IFERROR(VLOOKUP(C321, [6]條件!$A:$L, 5, 0), "")</f>
        <v/>
      </c>
      <c r="F321" s="978" t="str">
        <f>IFERROR(VLOOKUP(C321, [6]條件!$A:$L, 6, 0), "")</f>
        <v/>
      </c>
      <c r="G321" s="1411" t="str">
        <f>IFERROR(VLOOKUP(C321, [6]條件!$A:$L, 7, 0), "")</f>
        <v/>
      </c>
      <c r="H321" s="978" t="str">
        <f>IF(ISNA(VLOOKUP(C321,[6]條件!$A$1:$K$932,11,0)),"",(VLOOKUP(C321,[6]條件!$A$1:$K$932,11,0)))</f>
        <v/>
      </c>
      <c r="I321" s="979" t="str">
        <f>IF(ISNA(VLOOKUP(C321,[6]條件!$A$1:$L$932,12,0)),"",(VLOOKUP(C321,[6]條件!$A$1:$L$932,12,0)))</f>
        <v/>
      </c>
      <c r="J321" s="982"/>
      <c r="K321" s="980"/>
      <c r="L321" s="981" t="s">
        <v>632</v>
      </c>
      <c r="M321" s="983"/>
      <c r="N321" s="982"/>
      <c r="O321" s="980"/>
      <c r="P321" s="981" t="s">
        <v>632</v>
      </c>
      <c r="Q321" s="983"/>
      <c r="R321" s="982"/>
      <c r="S321" s="980"/>
      <c r="T321" s="981" t="s">
        <v>632</v>
      </c>
      <c r="U321" s="983"/>
      <c r="V321" s="982"/>
      <c r="W321" s="980"/>
      <c r="X321" s="981" t="s">
        <v>632</v>
      </c>
      <c r="Y321" s="983"/>
      <c r="Z321" s="1412" t="str">
        <f>IFERROR(VLOOKUP(C321, [6]條件!$A:$L, 3, 0), "")</f>
        <v/>
      </c>
      <c r="AA321" s="984" t="str">
        <f>IF(OR(L321={"改紡","檢修","了機","清車","FINAL","停機","SAMPLE","TEST","絲開發"}), L321, IFERROR(IF(C321="", "", (SUM(J321, N321, R321, V321)/3 * AG321) * IF(AND(AF321="S", AS321="雙"), 0.5, 1)), ""))</f>
        <v>停機</v>
      </c>
      <c r="AB321" s="1413" t="str">
        <f t="shared" si="56"/>
        <v/>
      </c>
      <c r="AC321" s="984" t="str">
        <f>IF(OR(L321={"改紡","檢修","了機","清車","FINAL","停機","SAMPLE","TEST"}), "", IFERROR(IF(C321="", "", AVERAGE(L321:M321, P321:Q321, T321:U321, X321:Y321)/100), ""))</f>
        <v/>
      </c>
      <c r="AD321" s="984" t="str">
        <f t="shared" si="47"/>
        <v/>
      </c>
      <c r="AE321" s="984" t="str">
        <f t="shared" si="57"/>
        <v/>
      </c>
      <c r="AF321" s="985" t="str">
        <f t="shared" si="48"/>
        <v>M</v>
      </c>
      <c r="AG321" s="1414">
        <v>1</v>
      </c>
      <c r="AH321" s="1002" t="s">
        <v>640</v>
      </c>
      <c r="AI321" s="1002" t="s">
        <v>640</v>
      </c>
      <c r="AJ321" s="986" t="s">
        <v>640</v>
      </c>
      <c r="AK321" s="1417" t="s">
        <v>640</v>
      </c>
      <c r="AL321" s="1415"/>
      <c r="AM321" s="1323"/>
      <c r="AN321" s="1323"/>
      <c r="AO321" s="1323"/>
      <c r="AP321" s="1323"/>
      <c r="AQ321" s="1323"/>
      <c r="AR321" s="987"/>
      <c r="AS321" s="978" t="str">
        <f t="shared" si="49"/>
        <v>單</v>
      </c>
      <c r="AT321" s="978" t="str">
        <f t="shared" si="50"/>
        <v>全</v>
      </c>
      <c r="AU321" s="978" t="str">
        <f t="shared" si="51"/>
        <v/>
      </c>
      <c r="AV321" s="978" t="str">
        <f t="shared" si="52"/>
        <v/>
      </c>
    </row>
    <row r="322" spans="1:48">
      <c r="A322" s="975">
        <f t="shared" si="55"/>
        <v>46150</v>
      </c>
      <c r="B322" s="976" t="s">
        <v>246</v>
      </c>
      <c r="C322" s="988" t="s">
        <v>16185</v>
      </c>
      <c r="D322" s="1410"/>
      <c r="E322" s="977" t="str">
        <f>IFERROR(VLOOKUP(C322, [6]條件!$A:$L, 5, 0), "")</f>
        <v/>
      </c>
      <c r="F322" s="978" t="str">
        <f>IFERROR(VLOOKUP(C322, [6]條件!$A:$L, 6, 0), "")</f>
        <v/>
      </c>
      <c r="G322" s="1411" t="str">
        <f>IFERROR(VLOOKUP(C322, [6]條件!$A:$L, 7, 0), "")</f>
        <v/>
      </c>
      <c r="H322" s="978" t="str">
        <f>IF(ISNA(VLOOKUP(C322,[6]條件!$A$1:$K$932,11,0)),"",(VLOOKUP(C322,[6]條件!$A$1:$K$932,11,0)))</f>
        <v/>
      </c>
      <c r="I322" s="979" t="str">
        <f>IF(ISNA(VLOOKUP(C322,[6]條件!$A$1:$L$932,12,0)),"",(VLOOKUP(C322,[6]條件!$A$1:$L$932,12,0)))</f>
        <v/>
      </c>
      <c r="J322" s="982"/>
      <c r="K322" s="980"/>
      <c r="L322" s="981" t="s">
        <v>632</v>
      </c>
      <c r="M322" s="983"/>
      <c r="N322" s="982"/>
      <c r="O322" s="980"/>
      <c r="P322" s="981" t="s">
        <v>632</v>
      </c>
      <c r="Q322" s="983"/>
      <c r="R322" s="982"/>
      <c r="S322" s="980"/>
      <c r="T322" s="981" t="s">
        <v>632</v>
      </c>
      <c r="U322" s="983"/>
      <c r="V322" s="982"/>
      <c r="W322" s="980"/>
      <c r="X322" s="981" t="s">
        <v>632</v>
      </c>
      <c r="Y322" s="983"/>
      <c r="Z322" s="1412" t="str">
        <f>IFERROR(VLOOKUP(C322, [6]條件!$A:$L, 3, 0), "")</f>
        <v/>
      </c>
      <c r="AA322" s="984" t="str">
        <f>IF(OR(L322={"改紡","檢修","了機","清車","FINAL","停機","SAMPLE","TEST","絲開發"}), L322, IFERROR(IF(C322="", "", (SUM(J322, N322, R322, V322)/3 * AG322) * IF(AND(AF322="S", AS322="雙"), 0.5, 1)), ""))</f>
        <v>停機</v>
      </c>
      <c r="AB322" s="1413" t="str">
        <f t="shared" si="56"/>
        <v/>
      </c>
      <c r="AC322" s="984" t="str">
        <f>IF(OR(L322={"改紡","檢修","了機","清車","FINAL","停機","SAMPLE","TEST"}), "", IFERROR(IF(C322="", "", AVERAGE(L322:M322, P322:Q322, T322:U322, X322:Y322)/100), ""))</f>
        <v/>
      </c>
      <c r="AD322" s="984" t="str">
        <f t="shared" ref="AD322:AD385" si="58">IF(ISERROR(AA322/8),"",(AA322/8))</f>
        <v/>
      </c>
      <c r="AE322" s="984" t="str">
        <f t="shared" si="57"/>
        <v/>
      </c>
      <c r="AF322" s="985" t="str">
        <f t="shared" ref="AF322:AF385" si="59">LEFT(B322, 1)</f>
        <v>M</v>
      </c>
      <c r="AG322" s="1414">
        <v>1</v>
      </c>
      <c r="AH322" s="1002" t="s">
        <v>640</v>
      </c>
      <c r="AI322" s="1002" t="s">
        <v>640</v>
      </c>
      <c r="AJ322" s="986" t="s">
        <v>640</v>
      </c>
      <c r="AK322" s="1417" t="s">
        <v>640</v>
      </c>
      <c r="AL322" s="1415"/>
      <c r="AM322" s="1323"/>
      <c r="AN322" s="1323"/>
      <c r="AO322" s="1323"/>
      <c r="AP322" s="1323"/>
      <c r="AQ322" s="1323"/>
      <c r="AR322" s="987"/>
      <c r="AS322" s="978" t="str">
        <f t="shared" ref="AS322:AS385" si="60">IF(RIGHT(F322, 2) = "×2", "雙", "單")</f>
        <v>單</v>
      </c>
      <c r="AT322" s="978" t="str">
        <f t="shared" ref="AT322:AT385" si="61">IF(OR(AF322="J", AF322="T", AF322="M"), IF(AG322=1, "全", "半"), IF(AF322="A", IF(AG322=0.5, IF(AS322="雙", "全", ""), IF(AG322=1, IF(AS322="雙", "半", "全"), IF(AG322=2, "半", ""))), IF(AF322="S", AG322 &amp; "sec", "")))</f>
        <v>全</v>
      </c>
      <c r="AU322" s="978" t="str">
        <f t="shared" ref="AU322:AU385" si="62">IFERROR(VALUE(LEFT(E322, FIND("/", E322)-1)), "")</f>
        <v/>
      </c>
      <c r="AV322" s="978" t="str">
        <f t="shared" ref="AV322:AV385" si="63">IFERROR(IF(AF322="S", (AU322*G322*AC322*0.03456/100/1000) * (AG322*12/144) * IF(AS322="單", 1, 0.5), IF(AF322="A", (AU322*G322*AC322*0.03456/100/1000) * IF(AT322="全", 1, 0.5), IF(OR(AF322="T", AF322="J", AF322="M"), (AU322*G322*AC322*0.03456/100/1000) * IF(AS322="單", 1, 2) * IF(AT322="全", 1, 0.5), 0))), "")</f>
        <v/>
      </c>
    </row>
    <row r="323" spans="1:48">
      <c r="A323" s="975">
        <f t="shared" si="55"/>
        <v>46150</v>
      </c>
      <c r="B323" s="976" t="s">
        <v>247</v>
      </c>
      <c r="C323" s="988" t="s">
        <v>16185</v>
      </c>
      <c r="D323" s="1410"/>
      <c r="E323" s="977" t="str">
        <f>IFERROR(VLOOKUP(C323, [6]條件!$A:$L, 5, 0), "")</f>
        <v/>
      </c>
      <c r="F323" s="978" t="str">
        <f>IFERROR(VLOOKUP(C323, [6]條件!$A:$L, 6, 0), "")</f>
        <v/>
      </c>
      <c r="G323" s="1411" t="str">
        <f>IFERROR(VLOOKUP(C323, [6]條件!$A:$L, 7, 0), "")</f>
        <v/>
      </c>
      <c r="H323" s="978" t="str">
        <f>IF(ISNA(VLOOKUP(C323,[6]條件!$A$1:$K$932,11,0)),"",(VLOOKUP(C323,[6]條件!$A$1:$K$932,11,0)))</f>
        <v/>
      </c>
      <c r="I323" s="979" t="str">
        <f>IF(ISNA(VLOOKUP(C323,[6]條件!$A$1:$L$932,12,0)),"",(VLOOKUP(C323,[6]條件!$A$1:$L$932,12,0)))</f>
        <v/>
      </c>
      <c r="J323" s="982"/>
      <c r="K323" s="980"/>
      <c r="L323" s="981" t="s">
        <v>632</v>
      </c>
      <c r="M323" s="983"/>
      <c r="N323" s="982"/>
      <c r="O323" s="980"/>
      <c r="P323" s="981" t="s">
        <v>632</v>
      </c>
      <c r="Q323" s="983"/>
      <c r="R323" s="982"/>
      <c r="S323" s="980"/>
      <c r="T323" s="981" t="s">
        <v>632</v>
      </c>
      <c r="U323" s="983"/>
      <c r="V323" s="982"/>
      <c r="W323" s="980"/>
      <c r="X323" s="981" t="s">
        <v>632</v>
      </c>
      <c r="Y323" s="983"/>
      <c r="Z323" s="1412" t="str">
        <f>IFERROR(VLOOKUP(C323, [6]條件!$A:$L, 3, 0), "")</f>
        <v/>
      </c>
      <c r="AA323" s="984" t="str">
        <f>IF(OR(L323={"改紡","檢修","了機","清車","FINAL","停機","SAMPLE","TEST","絲開發"}), L323, IFERROR(IF(C323="", "", (SUM(J323, N323, R323, V323)/3 * AG323) * IF(AND(AF323="S", AS323="雙"), 0.5, 1)), ""))</f>
        <v>停機</v>
      </c>
      <c r="AB323" s="1413" t="str">
        <f t="shared" si="56"/>
        <v/>
      </c>
      <c r="AC323" s="984" t="str">
        <f>IF(OR(L323={"改紡","檢修","了機","清車","FINAL","停機","SAMPLE","TEST"}), "", IFERROR(IF(C323="", "", AVERAGE(L323:M323, P323:Q323, T323:U323, X323:Y323)/100), ""))</f>
        <v/>
      </c>
      <c r="AD323" s="984" t="str">
        <f t="shared" si="58"/>
        <v/>
      </c>
      <c r="AE323" s="984" t="str">
        <f t="shared" si="57"/>
        <v/>
      </c>
      <c r="AF323" s="985" t="str">
        <f t="shared" si="59"/>
        <v>M</v>
      </c>
      <c r="AG323" s="1414">
        <v>1</v>
      </c>
      <c r="AH323" s="1002" t="s">
        <v>640</v>
      </c>
      <c r="AI323" s="1002" t="s">
        <v>640</v>
      </c>
      <c r="AJ323" s="986" t="s">
        <v>640</v>
      </c>
      <c r="AK323" s="1417" t="s">
        <v>640</v>
      </c>
      <c r="AL323" s="1415"/>
      <c r="AM323" s="1323"/>
      <c r="AN323" s="1323"/>
      <c r="AO323" s="1323"/>
      <c r="AP323" s="1323"/>
      <c r="AQ323" s="1323"/>
      <c r="AR323" s="987"/>
      <c r="AS323" s="978" t="str">
        <f t="shared" si="60"/>
        <v>單</v>
      </c>
      <c r="AT323" s="978" t="str">
        <f t="shared" si="61"/>
        <v>全</v>
      </c>
      <c r="AU323" s="978" t="str">
        <f t="shared" si="62"/>
        <v/>
      </c>
      <c r="AV323" s="978" t="str">
        <f t="shared" si="63"/>
        <v/>
      </c>
    </row>
    <row r="324" spans="1:48">
      <c r="A324" s="975">
        <f t="shared" si="55"/>
        <v>46150</v>
      </c>
      <c r="B324" s="976" t="s">
        <v>248</v>
      </c>
      <c r="C324" s="988" t="s">
        <v>16185</v>
      </c>
      <c r="D324" s="1410"/>
      <c r="E324" s="977" t="str">
        <f>IFERROR(VLOOKUP(C324, [6]條件!$A:$L, 5, 0), "")</f>
        <v/>
      </c>
      <c r="F324" s="978" t="str">
        <f>IFERROR(VLOOKUP(C324, [6]條件!$A:$L, 6, 0), "")</f>
        <v/>
      </c>
      <c r="G324" s="1411" t="str">
        <f>IFERROR(VLOOKUP(C324, [6]條件!$A:$L, 7, 0), "")</f>
        <v/>
      </c>
      <c r="H324" s="978" t="str">
        <f>IF(ISNA(VLOOKUP(C324,[6]條件!$A$1:$K$932,11,0)),"",(VLOOKUP(C324,[6]條件!$A$1:$K$932,11,0)))</f>
        <v/>
      </c>
      <c r="I324" s="979" t="str">
        <f>IF(ISNA(VLOOKUP(C324,[6]條件!$A$1:$L$932,12,0)),"",(VLOOKUP(C324,[6]條件!$A$1:$L$932,12,0)))</f>
        <v/>
      </c>
      <c r="J324" s="982"/>
      <c r="K324" s="980"/>
      <c r="L324" s="981" t="s">
        <v>632</v>
      </c>
      <c r="M324" s="983"/>
      <c r="N324" s="982"/>
      <c r="O324" s="980"/>
      <c r="P324" s="981" t="s">
        <v>632</v>
      </c>
      <c r="Q324" s="983"/>
      <c r="R324" s="982"/>
      <c r="S324" s="980"/>
      <c r="T324" s="981" t="s">
        <v>632</v>
      </c>
      <c r="U324" s="983"/>
      <c r="V324" s="982"/>
      <c r="W324" s="980"/>
      <c r="X324" s="981" t="s">
        <v>632</v>
      </c>
      <c r="Y324" s="983"/>
      <c r="Z324" s="1412" t="str">
        <f>IFERROR(VLOOKUP(C324, [6]條件!$A:$L, 3, 0), "")</f>
        <v/>
      </c>
      <c r="AA324" s="984" t="str">
        <f>IF(OR(L324={"改紡","檢修","了機","清車","FINAL","停機","SAMPLE","TEST","絲開發"}), L324, IFERROR(IF(C324="", "", (SUM(J324, N324, R324, V324)/3 * AG324) * IF(AND(AF324="S", AS324="雙"), 0.5, 1)), ""))</f>
        <v>停機</v>
      </c>
      <c r="AB324" s="1413" t="str">
        <f t="shared" si="56"/>
        <v/>
      </c>
      <c r="AC324" s="984" t="str">
        <f>IF(OR(L324={"改紡","檢修","了機","清車","FINAL","停機","SAMPLE","TEST"}), "", IFERROR(IF(C324="", "", AVERAGE(L324:M324, P324:Q324, T324:U324, X324:Y324)/100), ""))</f>
        <v/>
      </c>
      <c r="AD324" s="984" t="str">
        <f t="shared" si="58"/>
        <v/>
      </c>
      <c r="AE324" s="984" t="str">
        <f t="shared" si="57"/>
        <v/>
      </c>
      <c r="AF324" s="985" t="str">
        <f t="shared" si="59"/>
        <v>M</v>
      </c>
      <c r="AG324" s="1414">
        <v>1</v>
      </c>
      <c r="AH324" s="1002" t="s">
        <v>640</v>
      </c>
      <c r="AI324" s="1002" t="s">
        <v>640</v>
      </c>
      <c r="AJ324" s="986" t="s">
        <v>640</v>
      </c>
      <c r="AK324" s="1417" t="s">
        <v>640</v>
      </c>
      <c r="AL324" s="1415"/>
      <c r="AM324" s="1323"/>
      <c r="AN324" s="1323"/>
      <c r="AO324" s="1323"/>
      <c r="AP324" s="1323"/>
      <c r="AQ324" s="1323"/>
      <c r="AR324" s="987"/>
      <c r="AS324" s="978" t="str">
        <f t="shared" si="60"/>
        <v>單</v>
      </c>
      <c r="AT324" s="978" t="str">
        <f t="shared" si="61"/>
        <v>全</v>
      </c>
      <c r="AU324" s="978" t="str">
        <f t="shared" si="62"/>
        <v/>
      </c>
      <c r="AV324" s="978" t="str">
        <f t="shared" si="63"/>
        <v/>
      </c>
    </row>
    <row r="325" spans="1:48" ht="17.25" thickBot="1">
      <c r="A325" s="989">
        <f t="shared" si="55"/>
        <v>46150</v>
      </c>
      <c r="B325" s="990" t="s">
        <v>249</v>
      </c>
      <c r="C325" s="991" t="s">
        <v>16185</v>
      </c>
      <c r="D325" s="1425"/>
      <c r="E325" s="1169" t="str">
        <f>IFERROR(VLOOKUP(C325, [6]條件!$A:$L, 5, 0), "")</f>
        <v/>
      </c>
      <c r="F325" s="992" t="str">
        <f>IFERROR(VLOOKUP(C325, [6]條件!$A:$L, 6, 0), "")</f>
        <v/>
      </c>
      <c r="G325" s="1426" t="str">
        <f>IFERROR(VLOOKUP(C325, [6]條件!$A:$L, 7, 0), "")</f>
        <v/>
      </c>
      <c r="H325" s="992" t="str">
        <f>IF(ISNA(VLOOKUP(C325,[6]條件!$A$1:$K$932,11,0)),"",(VLOOKUP(C325,[6]條件!$A$1:$K$932,11,0)))</f>
        <v/>
      </c>
      <c r="I325" s="1170" t="str">
        <f>IF(ISNA(VLOOKUP(C325,[6]條件!$A$1:$L$932,12,0)),"",(VLOOKUP(C325,[6]條件!$A$1:$L$932,12,0)))</f>
        <v/>
      </c>
      <c r="J325" s="995"/>
      <c r="K325" s="993"/>
      <c r="L325" s="994" t="s">
        <v>632</v>
      </c>
      <c r="M325" s="996"/>
      <c r="N325" s="995"/>
      <c r="O325" s="993"/>
      <c r="P325" s="994" t="s">
        <v>632</v>
      </c>
      <c r="Q325" s="996"/>
      <c r="R325" s="995"/>
      <c r="S325" s="993"/>
      <c r="T325" s="994" t="s">
        <v>632</v>
      </c>
      <c r="U325" s="996"/>
      <c r="V325" s="995"/>
      <c r="W325" s="993"/>
      <c r="X325" s="994" t="s">
        <v>632</v>
      </c>
      <c r="Y325" s="996"/>
      <c r="Z325" s="1427" t="str">
        <f>IFERROR(VLOOKUP(C325, [6]條件!$A:$L, 3, 0), "")</f>
        <v/>
      </c>
      <c r="AA325" s="997" t="str">
        <f>IF(OR(L325={"改紡","檢修","了機","清車","FINAL","停機","SAMPLE","TEST","絲開發"}), L325, IFERROR(IF(C325="", "", (SUM(J325, N325, R325, V325)/3 * AG325) * IF(AND(AF325="S", AS325="雙"), 0.5, 1)), ""))</f>
        <v>停機</v>
      </c>
      <c r="AB325" s="1428" t="str">
        <f t="shared" si="56"/>
        <v/>
      </c>
      <c r="AC325" s="997" t="str">
        <f>IF(OR(L325={"改紡","檢修","了機","清車","FINAL","停機","SAMPLE","TEST"}), "", IFERROR(IF(C325="", "", AVERAGE(L325:M325, P325:Q325, T325:U325, X325:Y325)/100), ""))</f>
        <v/>
      </c>
      <c r="AD325" s="997" t="str">
        <f t="shared" si="58"/>
        <v/>
      </c>
      <c r="AE325" s="997" t="str">
        <f t="shared" si="57"/>
        <v/>
      </c>
      <c r="AF325" s="998" t="str">
        <f t="shared" si="59"/>
        <v>M</v>
      </c>
      <c r="AG325" s="1429">
        <v>1</v>
      </c>
      <c r="AH325" s="1171" t="s">
        <v>640</v>
      </c>
      <c r="AI325" s="1171" t="s">
        <v>640</v>
      </c>
      <c r="AJ325" s="999" t="s">
        <v>640</v>
      </c>
      <c r="AK325" s="1430" t="s">
        <v>640</v>
      </c>
      <c r="AL325" s="1431"/>
      <c r="AM325" s="1325"/>
      <c r="AN325" s="1325"/>
      <c r="AO325" s="1325"/>
      <c r="AP325" s="1325"/>
      <c r="AQ325" s="1325"/>
      <c r="AR325" s="1000"/>
      <c r="AS325" s="992" t="str">
        <f t="shared" si="60"/>
        <v>單</v>
      </c>
      <c r="AT325" s="992" t="str">
        <f t="shared" si="61"/>
        <v>全</v>
      </c>
      <c r="AU325" s="992" t="str">
        <f t="shared" si="62"/>
        <v/>
      </c>
      <c r="AV325" s="992" t="str">
        <f t="shared" si="63"/>
        <v/>
      </c>
    </row>
    <row r="326" spans="1:48">
      <c r="A326" s="962">
        <v>46151</v>
      </c>
      <c r="B326" s="963" t="s">
        <v>212</v>
      </c>
      <c r="C326" s="963" t="s">
        <v>632</v>
      </c>
      <c r="D326" s="1403"/>
      <c r="E326" s="964" t="str">
        <f>IFERROR(VLOOKUP(C326, [6]條件!$A:$L, 5, 0), "")</f>
        <v/>
      </c>
      <c r="F326" s="965" t="str">
        <f>IFERROR(VLOOKUP(C326, [6]條件!$A:$L, 6, 0), "")</f>
        <v/>
      </c>
      <c r="G326" s="1404" t="str">
        <f>IFERROR(VLOOKUP(C326, [6]條件!$A:$L, 7, 0), "")</f>
        <v/>
      </c>
      <c r="H326" s="965" t="str">
        <f>IF(ISNA(VLOOKUP(C326,[6]條件!$A$1:$K$932,11,0)),"",(VLOOKUP(C326,[6]條件!$A$1:$K$932,11,0)))</f>
        <v/>
      </c>
      <c r="I326" s="966" t="str">
        <f>IF(ISNA(VLOOKUP(C326,[6]條件!$A$1:$L$932,12,0)),"",(VLOOKUP(C326,[6]條件!$A$1:$L$932,12,0)))</f>
        <v/>
      </c>
      <c r="J326" s="969"/>
      <c r="K326" s="967"/>
      <c r="L326" s="981" t="s">
        <v>632</v>
      </c>
      <c r="M326" s="970"/>
      <c r="N326" s="969"/>
      <c r="O326" s="967"/>
      <c r="P326" s="981" t="s">
        <v>632</v>
      </c>
      <c r="Q326" s="970"/>
      <c r="R326" s="969"/>
      <c r="S326" s="967"/>
      <c r="T326" s="981" t="s">
        <v>632</v>
      </c>
      <c r="U326" s="970"/>
      <c r="V326" s="969"/>
      <c r="W326" s="967"/>
      <c r="X326" s="981" t="s">
        <v>632</v>
      </c>
      <c r="Y326" s="970"/>
      <c r="Z326" s="1405" t="str">
        <f>IFERROR(VLOOKUP(C326, [6]條件!$A:$L, 3, 0), "")</f>
        <v/>
      </c>
      <c r="AA326" s="971" t="str">
        <f>IF(OR(L326={"改紡","檢修","了機","清車","FINAL","停機","SAMPLE","TEST","絲開發"}), L326, IFERROR(IF(C326="", "", (SUM(J326, N326, R326, V326)/3 * AG326) * IF(AND(AF326="S", AS326="雙"), 0.5, 1)), ""))</f>
        <v>停機</v>
      </c>
      <c r="AB326" s="1406" t="str">
        <f t="shared" si="56"/>
        <v/>
      </c>
      <c r="AC326" s="971" t="str">
        <f>IF(OR(L326={"改紡","檢修","了機","清車","FINAL","停機","SAMPLE","TEST"}), "", IFERROR(IF(C326="", "", AVERAGE(L326:M326, P326:Q326, T326:U326, X326:Y326)/100), ""))</f>
        <v/>
      </c>
      <c r="AD326" s="971" t="str">
        <f t="shared" si="58"/>
        <v/>
      </c>
      <c r="AE326" s="971" t="str">
        <f t="shared" si="57"/>
        <v/>
      </c>
      <c r="AF326" s="972" t="str">
        <f t="shared" si="59"/>
        <v>A</v>
      </c>
      <c r="AG326" s="1407">
        <v>1</v>
      </c>
      <c r="AH326" s="1001" t="s">
        <v>640</v>
      </c>
      <c r="AI326" s="1001" t="s">
        <v>640</v>
      </c>
      <c r="AJ326" s="1166" t="s">
        <v>640</v>
      </c>
      <c r="AK326" s="1408" t="s">
        <v>640</v>
      </c>
      <c r="AL326" s="1409"/>
      <c r="AM326" s="1322"/>
      <c r="AN326" s="1322"/>
      <c r="AO326" s="1322"/>
      <c r="AP326" s="1322"/>
      <c r="AQ326" s="1322"/>
      <c r="AR326" s="973"/>
      <c r="AS326" s="965" t="str">
        <f t="shared" si="60"/>
        <v>單</v>
      </c>
      <c r="AT326" s="965" t="str">
        <f t="shared" si="61"/>
        <v>全</v>
      </c>
      <c r="AU326" s="965" t="str">
        <f t="shared" si="62"/>
        <v/>
      </c>
      <c r="AV326" s="965" t="str">
        <f t="shared" si="63"/>
        <v/>
      </c>
    </row>
    <row r="327" spans="1:48">
      <c r="A327" s="975">
        <f t="shared" ref="A327:A364" si="64">A326</f>
        <v>46151</v>
      </c>
      <c r="B327" s="976" t="s">
        <v>214</v>
      </c>
      <c r="C327" s="976" t="s">
        <v>16708</v>
      </c>
      <c r="D327" s="1410"/>
      <c r="E327" s="977" t="str">
        <f>IFERROR(VLOOKUP(C327, [6]條件!$A:$L, 5, 0), "")</f>
        <v>75/36SDR</v>
      </c>
      <c r="F327" s="978" t="str">
        <f>IFERROR(VLOOKUP(C327, [6]條件!$A:$L, 6, 0), "")</f>
        <v>FP81386R</v>
      </c>
      <c r="G327" s="1411">
        <f>IFERROR(VLOOKUP(C327, [6]條件!$A:$L, 7, 0), "")</f>
        <v>780</v>
      </c>
      <c r="H327" s="978" t="str">
        <f>IF(ISNA(VLOOKUP(C327,[6]條件!$A$1:$K$932,11,0)),"",(VLOOKUP(C327,[6]條件!$A$1:$K$932,11,0)))</f>
        <v>綠底白點</v>
      </c>
      <c r="I327" s="979">
        <f>IF(ISNA(VLOOKUP(C327,[6]條件!$A$1:$L$932,12,0)),"",(VLOOKUP(C327,[6]條件!$A$1:$L$932,12,0)))</f>
        <v>5</v>
      </c>
      <c r="J327" s="982">
        <v>16</v>
      </c>
      <c r="K327" s="980">
        <v>0</v>
      </c>
      <c r="L327" s="981">
        <v>8781</v>
      </c>
      <c r="M327" s="983">
        <v>8193</v>
      </c>
      <c r="N327" s="982">
        <v>7</v>
      </c>
      <c r="O327" s="980">
        <v>0</v>
      </c>
      <c r="P327" s="981">
        <v>9002</v>
      </c>
      <c r="Q327" s="983">
        <v>8485</v>
      </c>
      <c r="R327" s="982">
        <v>3</v>
      </c>
      <c r="S327" s="980">
        <v>1</v>
      </c>
      <c r="T327" s="981">
        <v>9046</v>
      </c>
      <c r="U327" s="983">
        <v>8528</v>
      </c>
      <c r="V327" s="982">
        <v>8</v>
      </c>
      <c r="W327" s="980">
        <v>0</v>
      </c>
      <c r="X327" s="981">
        <v>9142</v>
      </c>
      <c r="Y327" s="983">
        <v>8495</v>
      </c>
      <c r="Z327" s="1412">
        <f>IFERROR(VLOOKUP(C327, [6]條件!$A:$L, 3, 0), "")</f>
        <v>1.7777777777777777</v>
      </c>
      <c r="AA327" s="984">
        <f>IF(OR(L327={"改紡","檢修","了機","清車","FINAL","停機","SAMPLE","TEST","絲開發"}), L327, IFERROR(IF(C327="", "", (SUM(J327, N327, R327, V327)/3 * AG327) * IF(AND(AF327="S", AS327="雙"), 0.5, 1)), ""))</f>
        <v>11.333333333333334</v>
      </c>
      <c r="AB327" s="1413">
        <f t="shared" si="56"/>
        <v>0.99729567307692313</v>
      </c>
      <c r="AC327" s="984">
        <f>IF(OR(L327={"改紡","檢修","了機","清車","FINAL","停機","SAMPLE","TEST"}), "", IFERROR(IF(C327="", "", AVERAGE(L327:M327, P327:Q327, T327:U327, X327:Y327)/100), ""))</f>
        <v>87.09</v>
      </c>
      <c r="AD327" s="984">
        <f t="shared" si="58"/>
        <v>1.4166666666666667</v>
      </c>
      <c r="AE327" s="984">
        <f t="shared" si="57"/>
        <v>1.375</v>
      </c>
      <c r="AF327" s="985" t="str">
        <f t="shared" si="59"/>
        <v>A</v>
      </c>
      <c r="AG327" s="1414">
        <v>1</v>
      </c>
      <c r="AH327" s="1002" t="s">
        <v>641</v>
      </c>
      <c r="AI327" s="1002" t="s">
        <v>641</v>
      </c>
      <c r="AJ327" s="986" t="s">
        <v>634</v>
      </c>
      <c r="AK327" s="1417" t="s">
        <v>634</v>
      </c>
      <c r="AL327" s="1415">
        <v>50</v>
      </c>
      <c r="AM327" s="1323">
        <v>46144</v>
      </c>
      <c r="AN327" s="1323">
        <v>46145</v>
      </c>
      <c r="AO327" s="1323"/>
      <c r="AP327" s="1323"/>
      <c r="AQ327" s="1323"/>
      <c r="AR327" s="987"/>
      <c r="AS327" s="978" t="str">
        <f t="shared" si="60"/>
        <v>單</v>
      </c>
      <c r="AT327" s="978" t="str">
        <f t="shared" si="61"/>
        <v>全</v>
      </c>
      <c r="AU327" s="978">
        <f t="shared" si="62"/>
        <v>75</v>
      </c>
      <c r="AV327" s="978">
        <f t="shared" si="63"/>
        <v>1.7607507840000001</v>
      </c>
    </row>
    <row r="328" spans="1:48">
      <c r="A328" s="975">
        <f t="shared" si="64"/>
        <v>46151</v>
      </c>
      <c r="B328" s="976" t="s">
        <v>215</v>
      </c>
      <c r="C328" s="976" t="s">
        <v>16746</v>
      </c>
      <c r="D328" s="1410" t="s">
        <v>633</v>
      </c>
      <c r="E328" s="977" t="str">
        <f>IFERROR(VLOOKUP(C328, [6]條件!$A:$L, 5, 0), "")</f>
        <v>75/24/2SDr</v>
      </c>
      <c r="F328" s="978" t="str">
        <f>IFERROR(VLOOKUP(C328, [6]條件!$A:$L, 6, 0), "")</f>
        <v>FP81391R×2</v>
      </c>
      <c r="G328" s="1411">
        <f>IFERROR(VLOOKUP(C328, [6]條件!$A:$L, 7, 0), "")</f>
        <v>700</v>
      </c>
      <c r="H328" s="978" t="str">
        <f>IF(ISNA(VLOOKUP(C328,[6]條件!$A$1:$K$932,11,0)),"",(VLOOKUP(C328,[6]條件!$A$1:$K$932,11,0)))</f>
        <v>紅底白點</v>
      </c>
      <c r="I328" s="979">
        <f>IF(ISNA(VLOOKUP(C328,[6]條件!$A$1:$L$932,12,0)),"",(VLOOKUP(C328,[6]條件!$A$1:$L$932,12,0)))</f>
        <v>5</v>
      </c>
      <c r="J328" s="982"/>
      <c r="K328" s="980"/>
      <c r="L328" s="981"/>
      <c r="M328" s="983" t="s">
        <v>645</v>
      </c>
      <c r="N328" s="982">
        <v>14</v>
      </c>
      <c r="O328" s="980">
        <v>0</v>
      </c>
      <c r="P328" s="981" t="s">
        <v>632</v>
      </c>
      <c r="Q328" s="983">
        <v>8354</v>
      </c>
      <c r="R328" s="982">
        <v>6</v>
      </c>
      <c r="S328" s="980">
        <v>4</v>
      </c>
      <c r="T328" s="981" t="s">
        <v>632</v>
      </c>
      <c r="U328" s="983">
        <v>8436</v>
      </c>
      <c r="V328" s="982">
        <v>18</v>
      </c>
      <c r="W328" s="980">
        <v>0</v>
      </c>
      <c r="X328" s="981" t="s">
        <v>632</v>
      </c>
      <c r="Y328" s="983">
        <v>8190</v>
      </c>
      <c r="Z328" s="1412">
        <f>IFERROR(VLOOKUP(C328, [6]條件!$A:$L, 3, 0), "")</f>
        <v>3.2653061224489797</v>
      </c>
      <c r="AA328" s="984">
        <f>IF(OR(L328={"改紡","檢修","了機","清車","FINAL","停機","SAMPLE","TEST","絲開發"}), L328, IFERROR(IF(C328="", "", (SUM(J328, N328, R328, V328)/3 * AG328) * IF(AND(AF328="S", AS328="雙"), 0.5, 1)), ""))</f>
        <v>12.666666666666666</v>
      </c>
      <c r="AB328" s="1413" t="str">
        <f t="shared" si="56"/>
        <v/>
      </c>
      <c r="AC328" s="984">
        <f>IF(OR(L328={"改紡","檢修","了機","清車","FINAL","停機","SAMPLE","TEST"}), "", IFERROR(IF(C328="", "", AVERAGE(L328:M328, P328:Q328, T328:U328, X328:Y328)/100), ""))</f>
        <v>83.266666666666666</v>
      </c>
      <c r="AD328" s="984">
        <f t="shared" si="58"/>
        <v>1.5833333333333333</v>
      </c>
      <c r="AE328" s="984" t="str">
        <f t="shared" si="57"/>
        <v/>
      </c>
      <c r="AF328" s="985" t="str">
        <f t="shared" si="59"/>
        <v>A</v>
      </c>
      <c r="AG328" s="1414">
        <v>1</v>
      </c>
      <c r="AH328" s="1002" t="s">
        <v>641</v>
      </c>
      <c r="AI328" s="1002" t="s">
        <v>641</v>
      </c>
      <c r="AJ328" s="986" t="s">
        <v>634</v>
      </c>
      <c r="AK328" s="1417" t="s">
        <v>634</v>
      </c>
      <c r="AL328" s="1415">
        <v>53</v>
      </c>
      <c r="AM328" s="1323">
        <v>46121</v>
      </c>
      <c r="AN328" s="1323"/>
      <c r="AO328" s="1323"/>
      <c r="AP328" s="1323"/>
      <c r="AQ328" s="1323"/>
      <c r="AR328" s="987"/>
      <c r="AS328" s="978" t="str">
        <f t="shared" si="60"/>
        <v>雙</v>
      </c>
      <c r="AT328" s="978" t="str">
        <f t="shared" si="61"/>
        <v>半</v>
      </c>
      <c r="AU328" s="978">
        <f t="shared" si="62"/>
        <v>75</v>
      </c>
      <c r="AV328" s="978">
        <f t="shared" si="63"/>
        <v>0.75539520000000004</v>
      </c>
    </row>
    <row r="329" spans="1:48">
      <c r="A329" s="975">
        <f t="shared" si="64"/>
        <v>46151</v>
      </c>
      <c r="B329" s="976" t="s">
        <v>216</v>
      </c>
      <c r="C329" s="976" t="s">
        <v>16764</v>
      </c>
      <c r="D329" s="1410"/>
      <c r="E329" s="977" t="str">
        <f>IFERROR(VLOOKUP(C329, [6]條件!$A:$L, 5, 0), "")</f>
        <v>150/48BK42</v>
      </c>
      <c r="F329" s="978" t="str">
        <f>IFERROR(VLOOKUP(C329, [6]條件!$A:$L, 6, 0), "")</f>
        <v>FP02421</v>
      </c>
      <c r="G329" s="1411">
        <f>IFERROR(VLOOKUP(C329, [6]條件!$A:$L, 7, 0), "")</f>
        <v>600</v>
      </c>
      <c r="H329" s="978" t="str">
        <f>IF(ISNA(VLOOKUP(C329,[6]條件!$A$1:$K$932,11,0)),"",(VLOOKUP(C329,[6]條件!$A$1:$K$932,11,0)))</f>
        <v>白桔方塊</v>
      </c>
      <c r="I329" s="979">
        <f>IF(ISNA(VLOOKUP(C329,[6]條件!$A$1:$L$932,12,0)),"",(VLOOKUP(C329,[6]條件!$A$1:$L$932,12,0)))</f>
        <v>5</v>
      </c>
      <c r="J329" s="982">
        <v>7</v>
      </c>
      <c r="K329" s="980">
        <v>0</v>
      </c>
      <c r="L329" s="981">
        <v>9098</v>
      </c>
      <c r="M329" s="983" t="s">
        <v>632</v>
      </c>
      <c r="N329" s="982">
        <v>6</v>
      </c>
      <c r="O329" s="980">
        <v>0</v>
      </c>
      <c r="P329" s="981">
        <v>9662</v>
      </c>
      <c r="Q329" s="983" t="s">
        <v>632</v>
      </c>
      <c r="R329" s="982">
        <v>5</v>
      </c>
      <c r="S329" s="980">
        <v>0</v>
      </c>
      <c r="T329" s="981">
        <v>9645</v>
      </c>
      <c r="U329" s="983" t="s">
        <v>632</v>
      </c>
      <c r="V329" s="982">
        <v>20</v>
      </c>
      <c r="W329" s="980">
        <v>2</v>
      </c>
      <c r="X329" s="981">
        <v>9468</v>
      </c>
      <c r="Y329" s="983" t="s">
        <v>632</v>
      </c>
      <c r="Z329" s="1412">
        <f>IFERROR(VLOOKUP(C329, [6]條件!$A:$L, 3, 0), "")</f>
        <v>2.8346456692913384</v>
      </c>
      <c r="AA329" s="984">
        <f>IF(OR(L329={"改紡","檢修","了機","清車","FINAL","停機","SAMPLE","TEST","絲開發"}), L329, IFERROR(IF(C329="", "", (SUM(J329, N329, R329, V329)/3 * AG329) * IF(AND(AF329="S", AS329="雙"), 0.5, 1)), ""))</f>
        <v>25.333333333333332</v>
      </c>
      <c r="AB329" s="1413">
        <f t="shared" si="56"/>
        <v>0.99660790598290594</v>
      </c>
      <c r="AC329" s="984">
        <f>IF(OR(L329={"改紡","檢修","了機","清車","FINAL","停機","SAMPLE","TEST"}), "", IFERROR(IF(C329="", "", AVERAGE(L329:M329, P329:Q329, T329:U329, X329:Y329)/100), ""))</f>
        <v>94.682500000000005</v>
      </c>
      <c r="AD329" s="984">
        <f t="shared" si="58"/>
        <v>3.1666666666666665</v>
      </c>
      <c r="AE329" s="984">
        <f t="shared" si="57"/>
        <v>3</v>
      </c>
      <c r="AF329" s="985" t="str">
        <f t="shared" si="59"/>
        <v>A</v>
      </c>
      <c r="AG329" s="1414">
        <v>2</v>
      </c>
      <c r="AH329" s="1002" t="s">
        <v>641</v>
      </c>
      <c r="AI329" s="1002" t="s">
        <v>641</v>
      </c>
      <c r="AJ329" s="986" t="s">
        <v>634</v>
      </c>
      <c r="AK329" s="1417" t="s">
        <v>634</v>
      </c>
      <c r="AL329" s="1415">
        <v>52</v>
      </c>
      <c r="AM329" s="1323">
        <v>46149</v>
      </c>
      <c r="AN329" s="1323"/>
      <c r="AO329" s="1323"/>
      <c r="AP329" s="1323"/>
      <c r="AQ329" s="1323"/>
      <c r="AR329" s="987"/>
      <c r="AS329" s="978" t="str">
        <f t="shared" si="60"/>
        <v>單</v>
      </c>
      <c r="AT329" s="978" t="str">
        <f t="shared" si="61"/>
        <v>半</v>
      </c>
      <c r="AU329" s="978">
        <f t="shared" si="62"/>
        <v>150</v>
      </c>
      <c r="AV329" s="978">
        <f t="shared" si="63"/>
        <v>1.4725022399999999</v>
      </c>
    </row>
    <row r="330" spans="1:48">
      <c r="A330" s="975">
        <f t="shared" si="64"/>
        <v>46151</v>
      </c>
      <c r="B330" s="976" t="s">
        <v>217</v>
      </c>
      <c r="C330" s="976" t="s">
        <v>16197</v>
      </c>
      <c r="D330" s="1410"/>
      <c r="E330" s="977" t="str">
        <f>IFERROR(VLOOKUP(C330, [6]條件!$A:$L, 5, 0), "")</f>
        <v>75/36HC</v>
      </c>
      <c r="F330" s="978" t="str">
        <f>IFERROR(VLOOKUP(C330, [6]條件!$A:$L, 6, 0), "")</f>
        <v>FP81857R</v>
      </c>
      <c r="G330" s="1411">
        <f>IFERROR(VLOOKUP(C330, [6]條件!$A:$L, 7, 0), "")</f>
        <v>600</v>
      </c>
      <c r="H330" s="978" t="str">
        <f>IF(ISNA(VLOOKUP(C330,[6]條件!$A$1:$K$932,11,0)),"",(VLOOKUP(C330,[6]條件!$A$1:$K$932,11,0)))</f>
        <v>白底綠方塊</v>
      </c>
      <c r="I330" s="979">
        <f>IF(ISNA(VLOOKUP(C330,[6]條件!$A$1:$L$932,12,0)),"",(VLOOKUP(C330,[6]條件!$A$1:$L$932,12,0)))</f>
        <v>4</v>
      </c>
      <c r="J330" s="982">
        <v>16</v>
      </c>
      <c r="K330" s="980">
        <v>0</v>
      </c>
      <c r="L330" s="981">
        <v>8476</v>
      </c>
      <c r="M330" s="983">
        <v>8800</v>
      </c>
      <c r="N330" s="982">
        <v>13</v>
      </c>
      <c r="O330" s="980">
        <v>0</v>
      </c>
      <c r="P330" s="981">
        <v>8379</v>
      </c>
      <c r="Q330" s="983">
        <v>8846</v>
      </c>
      <c r="R330" s="982">
        <v>21</v>
      </c>
      <c r="S330" s="980">
        <v>0</v>
      </c>
      <c r="T330" s="981">
        <v>8341</v>
      </c>
      <c r="U330" s="983">
        <v>8948</v>
      </c>
      <c r="V330" s="982">
        <v>19</v>
      </c>
      <c r="W330" s="980">
        <v>1</v>
      </c>
      <c r="X330" s="981">
        <v>8448</v>
      </c>
      <c r="Y330" s="983">
        <v>8878</v>
      </c>
      <c r="Z330" s="1412">
        <f>IFERROR(VLOOKUP(C330, [6]條件!$A:$L, 3, 0), "")</f>
        <v>1.7496962332928312</v>
      </c>
      <c r="AA330" s="984">
        <f>IF(OR(L330={"改紡","檢修","了機","清車","FINAL","停機","SAMPLE","TEST","絲開發"}), L330, IFERROR(IF(C330="", "", (SUM(J330, N330, R330, V330)/3 * AG330) * IF(AND(AF330="S", AS330="雙"), 0.5, 1)), ""))</f>
        <v>23</v>
      </c>
      <c r="AB330" s="1413">
        <f t="shared" si="56"/>
        <v>0.99725227029914532</v>
      </c>
      <c r="AC330" s="984">
        <f>IF(OR(L330={"改紡","檢修","了機","清車","FINAL","停機","SAMPLE","TEST"}), "", IFERROR(IF(C330="", "", AVERAGE(L330:M330, P330:Q330, T330:U330, X330:Y330)/100), ""))</f>
        <v>86.394999999999996</v>
      </c>
      <c r="AD330" s="984">
        <f t="shared" si="58"/>
        <v>2.875</v>
      </c>
      <c r="AE330" s="984">
        <f t="shared" si="57"/>
        <v>2.8333333333333335</v>
      </c>
      <c r="AF330" s="985" t="str">
        <f t="shared" si="59"/>
        <v>A</v>
      </c>
      <c r="AG330" s="1414">
        <v>1</v>
      </c>
      <c r="AH330" s="1002" t="s">
        <v>16154</v>
      </c>
      <c r="AI330" s="1002" t="s">
        <v>16154</v>
      </c>
      <c r="AJ330" s="986" t="s">
        <v>725</v>
      </c>
      <c r="AK330" s="1417" t="s">
        <v>725</v>
      </c>
      <c r="AL330" s="1415">
        <v>54</v>
      </c>
      <c r="AM330" s="1323">
        <v>45943</v>
      </c>
      <c r="AN330" s="1323">
        <v>45945</v>
      </c>
      <c r="AO330" s="1323">
        <v>45946</v>
      </c>
      <c r="AP330" s="1323">
        <v>45947</v>
      </c>
      <c r="AQ330" s="1323"/>
      <c r="AR330" s="987"/>
      <c r="AS330" s="978" t="str">
        <f t="shared" si="60"/>
        <v>單</v>
      </c>
      <c r="AT330" s="978" t="str">
        <f t="shared" si="61"/>
        <v>全</v>
      </c>
      <c r="AU330" s="978">
        <f t="shared" si="62"/>
        <v>75</v>
      </c>
      <c r="AV330" s="978">
        <f t="shared" si="63"/>
        <v>1.3436150400000002</v>
      </c>
    </row>
    <row r="331" spans="1:48">
      <c r="A331" s="975">
        <f t="shared" si="64"/>
        <v>46151</v>
      </c>
      <c r="B331" s="976" t="s">
        <v>218</v>
      </c>
      <c r="C331" s="976" t="s">
        <v>16744</v>
      </c>
      <c r="D331" s="1410" t="s">
        <v>633</v>
      </c>
      <c r="E331" s="977" t="str">
        <f>IFERROR(VLOOKUP(C331, [6]條件!$A:$L, 5, 0), "")</f>
        <v>75/24/2SDr</v>
      </c>
      <c r="F331" s="978" t="str">
        <f>IFERROR(VLOOKUP(C331, [6]條件!$A:$L, 6, 0), "")</f>
        <v>FP81382R×2</v>
      </c>
      <c r="G331" s="1411">
        <f>IFERROR(VLOOKUP(C331, [6]條件!$A:$L, 7, 0), "")</f>
        <v>700</v>
      </c>
      <c r="H331" s="978" t="str">
        <f>IF(ISNA(VLOOKUP(C331,[6]條件!$A$1:$K$932,11,0)),"",(VLOOKUP(C331,[6]條件!$A$1:$K$932,11,0)))</f>
        <v>藍色</v>
      </c>
      <c r="I331" s="979">
        <f>IF(ISNA(VLOOKUP(C331,[6]條件!$A$1:$L$932,12,0)),"",(VLOOKUP(C331,[6]條件!$A$1:$L$932,12,0)))</f>
        <v>5</v>
      </c>
      <c r="J331" s="982"/>
      <c r="K331" s="980"/>
      <c r="L331" s="981" t="s">
        <v>127</v>
      </c>
      <c r="M331" s="983" t="s">
        <v>632</v>
      </c>
      <c r="N331" s="982"/>
      <c r="O331" s="980"/>
      <c r="P331" s="981" t="s">
        <v>127</v>
      </c>
      <c r="Q331" s="983" t="s">
        <v>632</v>
      </c>
      <c r="R331" s="982"/>
      <c r="S331" s="980"/>
      <c r="T331" s="981" t="s">
        <v>127</v>
      </c>
      <c r="U331" s="983" t="s">
        <v>632</v>
      </c>
      <c r="V331" s="982"/>
      <c r="W331" s="980"/>
      <c r="X331" s="981" t="s">
        <v>127</v>
      </c>
      <c r="Y331" s="983" t="s">
        <v>632</v>
      </c>
      <c r="Z331" s="1412">
        <f>IFERROR(VLOOKUP(C331, [6]條件!$A:$L, 3, 0), "")</f>
        <v>3.2505643340857788</v>
      </c>
      <c r="AA331" s="984" t="str">
        <f>IF(OR(L331={"改紡","檢修","了機","清車","FINAL","停機","SAMPLE","TEST","絲開發"}), L331, IFERROR(IF(C331="", "", (SUM(J331, N331, R331, V331)/3 * AG331) * IF(AND(AF331="S", AS331="雙"), 0.5, 1)), ""))</f>
        <v>了機</v>
      </c>
      <c r="AB331" s="1413" t="str">
        <f t="shared" si="56"/>
        <v/>
      </c>
      <c r="AC331" s="984" t="str">
        <f>IF(OR(L331={"改紡","檢修","了機","清車","FINAL","停機","SAMPLE","TEST"}), "", IFERROR(IF(C331="", "", AVERAGE(L331:M331, P331:Q331, T331:U331, X331:Y331)/100), ""))</f>
        <v/>
      </c>
      <c r="AD331" s="984" t="str">
        <f t="shared" si="58"/>
        <v/>
      </c>
      <c r="AE331" s="984" t="str">
        <f t="shared" si="57"/>
        <v/>
      </c>
      <c r="AF331" s="985" t="str">
        <f t="shared" si="59"/>
        <v>A</v>
      </c>
      <c r="AG331" s="1414">
        <v>1</v>
      </c>
      <c r="AH331" s="1002" t="s">
        <v>16154</v>
      </c>
      <c r="AI331" s="1002" t="s">
        <v>16154</v>
      </c>
      <c r="AJ331" s="986" t="s">
        <v>725</v>
      </c>
      <c r="AK331" s="1417" t="s">
        <v>725</v>
      </c>
      <c r="AL331" s="1415">
        <v>50</v>
      </c>
      <c r="AM331" s="1323">
        <v>46108</v>
      </c>
      <c r="AN331" s="1323"/>
      <c r="AO331" s="1323"/>
      <c r="AP331" s="1323"/>
      <c r="AQ331" s="1323"/>
      <c r="AR331" s="987"/>
      <c r="AS331" s="978" t="str">
        <f t="shared" si="60"/>
        <v>雙</v>
      </c>
      <c r="AT331" s="978" t="str">
        <f t="shared" si="61"/>
        <v>半</v>
      </c>
      <c r="AU331" s="978">
        <f t="shared" si="62"/>
        <v>75</v>
      </c>
      <c r="AV331" s="978" t="str">
        <f t="shared" si="63"/>
        <v/>
      </c>
    </row>
    <row r="332" spans="1:48">
      <c r="A332" s="975">
        <f t="shared" si="64"/>
        <v>46151</v>
      </c>
      <c r="B332" s="976" t="s">
        <v>219</v>
      </c>
      <c r="C332" s="976" t="s">
        <v>16745</v>
      </c>
      <c r="D332" s="1410" t="s">
        <v>16748</v>
      </c>
      <c r="E332" s="977" t="str">
        <f>IFERROR(VLOOKUP(C332, [6]條件!$A:$L, 5, 0), "")</f>
        <v>50/72BSD3</v>
      </c>
      <c r="F332" s="978" t="str">
        <f>IFERROR(VLOOKUP(C332, [6]條件!$A:$L, 6, 0), "")</f>
        <v>FP80141</v>
      </c>
      <c r="G332" s="1411">
        <f>IFERROR(VLOOKUP(C332, [6]條件!$A:$L, 7, 0), "")</f>
        <v>630</v>
      </c>
      <c r="H332" s="978" t="str">
        <f>IF(ISNA(VLOOKUP(C332,[6]條件!$A$1:$K$932,11,0)),"",(VLOOKUP(C332,[6]條件!$A$1:$K$932,11,0)))</f>
        <v>洋綠色</v>
      </c>
      <c r="I332" s="979">
        <f>IF(ISNA(VLOOKUP(C332,[6]條件!$A$1:$L$932,12,0)),"",(VLOOKUP(C332,[6]條件!$A$1:$L$932,12,0)))</f>
        <v>2</v>
      </c>
      <c r="J332" s="982">
        <v>14</v>
      </c>
      <c r="K332" s="980">
        <v>0</v>
      </c>
      <c r="L332" s="981">
        <v>9685</v>
      </c>
      <c r="M332" s="983">
        <v>9606</v>
      </c>
      <c r="N332" s="982">
        <v>9</v>
      </c>
      <c r="O332" s="980">
        <v>0</v>
      </c>
      <c r="P332" s="981">
        <v>9540</v>
      </c>
      <c r="Q332" s="983">
        <v>9604</v>
      </c>
      <c r="R332" s="982">
        <v>8</v>
      </c>
      <c r="S332" s="980">
        <v>0</v>
      </c>
      <c r="T332" s="981">
        <v>9630</v>
      </c>
      <c r="U332" s="983">
        <v>9633</v>
      </c>
      <c r="V332" s="982">
        <v>16</v>
      </c>
      <c r="W332" s="980">
        <v>0</v>
      </c>
      <c r="X332" s="981">
        <v>9705</v>
      </c>
      <c r="Y332" s="983">
        <v>9557</v>
      </c>
      <c r="Z332" s="1412">
        <f>IFERROR(VLOOKUP(C332, [6]條件!$A:$L, 3, 0), "")</f>
        <v>2.4615384615384617</v>
      </c>
      <c r="AA332" s="984">
        <f>IF(OR(L332={"改紡","檢修","了機","清車","FINAL","停機","SAMPLE","TEST","絲開發"}), L332, IFERROR(IF(C332="", "", (SUM(J332, N332, R332, V332)/3 * AG332) * IF(AND(AF332="S", AS332="雙"), 0.5, 1)), ""))</f>
        <v>15.666666666666666</v>
      </c>
      <c r="AB332" s="1413">
        <f t="shared" si="56"/>
        <v>1</v>
      </c>
      <c r="AC332" s="984">
        <f>IF(OR(L332={"改紡","檢修","了機","清車","FINAL","停機","SAMPLE","TEST"}), "", IFERROR(IF(C332="", "", AVERAGE(L332:M332, P332:Q332, T332:U332, X332:Y332)/100), ""))</f>
        <v>96.2</v>
      </c>
      <c r="AD332" s="984">
        <f t="shared" si="58"/>
        <v>1.9583333333333333</v>
      </c>
      <c r="AE332" s="984">
        <f t="shared" si="57"/>
        <v>1.9583333333333333</v>
      </c>
      <c r="AF332" s="985" t="str">
        <f t="shared" si="59"/>
        <v>A</v>
      </c>
      <c r="AG332" s="1414">
        <v>1</v>
      </c>
      <c r="AH332" s="1002" t="s">
        <v>814</v>
      </c>
      <c r="AI332" s="1002" t="s">
        <v>814</v>
      </c>
      <c r="AJ332" s="986" t="s">
        <v>634</v>
      </c>
      <c r="AK332" s="1417" t="s">
        <v>634</v>
      </c>
      <c r="AL332" s="1415">
        <v>57</v>
      </c>
      <c r="AM332" s="1324">
        <v>46087</v>
      </c>
      <c r="AN332" s="1323">
        <v>46088</v>
      </c>
      <c r="AO332" s="1323">
        <v>46089</v>
      </c>
      <c r="AP332" s="1323"/>
      <c r="AQ332" s="1323"/>
      <c r="AR332" s="987"/>
      <c r="AS332" s="978" t="str">
        <f t="shared" si="60"/>
        <v>單</v>
      </c>
      <c r="AT332" s="978" t="str">
        <f t="shared" si="61"/>
        <v>全</v>
      </c>
      <c r="AU332" s="978">
        <f t="shared" si="62"/>
        <v>50</v>
      </c>
      <c r="AV332" s="978">
        <f t="shared" si="63"/>
        <v>1.0472716800000001</v>
      </c>
    </row>
    <row r="333" spans="1:48">
      <c r="A333" s="975">
        <f t="shared" si="64"/>
        <v>46151</v>
      </c>
      <c r="B333" s="976" t="s">
        <v>220</v>
      </c>
      <c r="C333" s="976" t="s">
        <v>632</v>
      </c>
      <c r="D333" s="1410"/>
      <c r="E333" s="977" t="str">
        <f>IFERROR(VLOOKUP(C333, [6]條件!$A:$L, 5, 0), "")</f>
        <v/>
      </c>
      <c r="F333" s="978" t="str">
        <f>IFERROR(VLOOKUP(C333, [6]條件!$A:$L, 6, 0), "")</f>
        <v/>
      </c>
      <c r="G333" s="1411" t="str">
        <f>IFERROR(VLOOKUP(C333, [6]條件!$A:$L, 7, 0), "")</f>
        <v/>
      </c>
      <c r="H333" s="978" t="str">
        <f>IF(ISNA(VLOOKUP(C333,[6]條件!$A$1:$K$932,11,0)),"",(VLOOKUP(C333,[6]條件!$A$1:$K$932,11,0)))</f>
        <v/>
      </c>
      <c r="I333" s="979" t="str">
        <f>IF(ISNA(VLOOKUP(C333,[6]條件!$A$1:$L$932,12,0)),"",(VLOOKUP(C333,[6]條件!$A$1:$L$932,12,0)))</f>
        <v/>
      </c>
      <c r="J333" s="982"/>
      <c r="K333" s="980"/>
      <c r="L333" s="981" t="s">
        <v>632</v>
      </c>
      <c r="M333" s="983"/>
      <c r="N333" s="982"/>
      <c r="O333" s="980"/>
      <c r="P333" s="981" t="s">
        <v>632</v>
      </c>
      <c r="Q333" s="983"/>
      <c r="R333" s="982"/>
      <c r="S333" s="980"/>
      <c r="T333" s="981" t="s">
        <v>632</v>
      </c>
      <c r="U333" s="983"/>
      <c r="V333" s="982"/>
      <c r="W333" s="980"/>
      <c r="X333" s="981" t="s">
        <v>632</v>
      </c>
      <c r="Y333" s="983"/>
      <c r="Z333" s="1412" t="str">
        <f>IFERROR(VLOOKUP(C333, [6]條件!$A:$L, 3, 0), "")</f>
        <v/>
      </c>
      <c r="AA333" s="984" t="str">
        <f>IF(OR(L333={"改紡","檢修","了機","清車","FINAL","停機","SAMPLE","TEST","絲開發"}), L333, IFERROR(IF(C333="", "", (SUM(J333, N333, R333, V333)/3 * AG333) * IF(AND(AF333="S", AS333="雙"), 0.5, 1)), ""))</f>
        <v>停機</v>
      </c>
      <c r="AB333" s="1413" t="str">
        <f t="shared" si="56"/>
        <v/>
      </c>
      <c r="AC333" s="984" t="str">
        <f>IF(OR(L333={"改紡","檢修","了機","清車","FINAL","停機","SAMPLE","TEST"}), "", IFERROR(IF(C333="", "", AVERAGE(L333:M333, P333:Q333, T333:U333, X333:Y333)/100), ""))</f>
        <v/>
      </c>
      <c r="AD333" s="984" t="str">
        <f t="shared" si="58"/>
        <v/>
      </c>
      <c r="AE333" s="984" t="str">
        <f t="shared" si="57"/>
        <v/>
      </c>
      <c r="AF333" s="985" t="str">
        <f t="shared" si="59"/>
        <v>A</v>
      </c>
      <c r="AG333" s="1414">
        <v>1</v>
      </c>
      <c r="AH333" s="1002" t="s">
        <v>640</v>
      </c>
      <c r="AI333" s="1002" t="s">
        <v>640</v>
      </c>
      <c r="AJ333" s="986" t="s">
        <v>640</v>
      </c>
      <c r="AK333" s="1417" t="s">
        <v>640</v>
      </c>
      <c r="AL333" s="1415"/>
      <c r="AM333" s="1323"/>
      <c r="AN333" s="1323"/>
      <c r="AO333" s="1323"/>
      <c r="AP333" s="1323"/>
      <c r="AQ333" s="1323"/>
      <c r="AR333" s="987"/>
      <c r="AS333" s="978" t="str">
        <f t="shared" si="60"/>
        <v>單</v>
      </c>
      <c r="AT333" s="978" t="str">
        <f t="shared" si="61"/>
        <v>全</v>
      </c>
      <c r="AU333" s="978" t="str">
        <f t="shared" si="62"/>
        <v/>
      </c>
      <c r="AV333" s="978" t="str">
        <f t="shared" si="63"/>
        <v/>
      </c>
    </row>
    <row r="334" spans="1:48">
      <c r="A334" s="975">
        <f t="shared" si="64"/>
        <v>46151</v>
      </c>
      <c r="B334" s="976" t="s">
        <v>221</v>
      </c>
      <c r="C334" s="976" t="s">
        <v>16763</v>
      </c>
      <c r="D334" s="1410"/>
      <c r="E334" s="977" t="str">
        <f>IFERROR(VLOOKUP(C334, [6]條件!$A:$L, 5, 0), "")</f>
        <v>150/48CDR</v>
      </c>
      <c r="F334" s="978" t="str">
        <f>IFERROR(VLOOKUP(C334, [6]條件!$A:$L, 6, 0), "")</f>
        <v>FP82781</v>
      </c>
      <c r="G334" s="1411">
        <f>IFERROR(VLOOKUP(C334, [6]條件!$A:$L, 7, 0), "")</f>
        <v>600</v>
      </c>
      <c r="H334" s="978" t="str">
        <f>IF(ISNA(VLOOKUP(C334,[6]條件!$A$1:$K$932,11,0)),"",(VLOOKUP(C334,[6]條件!$A$1:$K$932,11,0)))</f>
        <v>綠藍雙色</v>
      </c>
      <c r="I334" s="979">
        <f>IF(ISNA(VLOOKUP(C334,[6]條件!$A$1:$L$932,12,0)),"",(VLOOKUP(C334,[6]條件!$A$1:$L$932,12,0)))</f>
        <v>5</v>
      </c>
      <c r="J334" s="982">
        <v>7</v>
      </c>
      <c r="K334" s="980">
        <v>0</v>
      </c>
      <c r="L334" s="981">
        <v>8413</v>
      </c>
      <c r="M334" s="983">
        <v>8293</v>
      </c>
      <c r="N334" s="982">
        <v>8</v>
      </c>
      <c r="O334" s="980">
        <v>0</v>
      </c>
      <c r="P334" s="981">
        <v>8709</v>
      </c>
      <c r="Q334" s="983">
        <v>8299</v>
      </c>
      <c r="R334" s="982">
        <v>10</v>
      </c>
      <c r="S334" s="980">
        <v>1</v>
      </c>
      <c r="T334" s="981">
        <v>8668</v>
      </c>
      <c r="U334" s="983">
        <v>8350</v>
      </c>
      <c r="V334" s="982">
        <v>17</v>
      </c>
      <c r="W334" s="980">
        <v>0</v>
      </c>
      <c r="X334" s="981">
        <v>8619</v>
      </c>
      <c r="Y334" s="983">
        <v>8214</v>
      </c>
      <c r="Z334" s="1412">
        <f>IFERROR(VLOOKUP(C334, [6]條件!$A:$L, 3, 0), "")</f>
        <v>2.8685258964143427</v>
      </c>
      <c r="AA334" s="984">
        <f>IF(OR(L334={"改紡","檢修","了機","清車","FINAL","停機","SAMPLE","TEST","絲開發"}), L334, IFERROR(IF(C334="", "", (SUM(J334, N334, R334, V334)/3 * AG334) * IF(AND(AF334="S", AS334="雙"), 0.5, 1)), ""))</f>
        <v>14</v>
      </c>
      <c r="AB334" s="1413">
        <f t="shared" si="56"/>
        <v>0.99832398504273501</v>
      </c>
      <c r="AC334" s="984">
        <f>IF(OR(L334={"改紡","檢修","了機","清車","FINAL","停機","SAMPLE","TEST"}), "", IFERROR(IF(C334="", "", AVERAGE(L334:M334, P334:Q334, T334:U334, X334:Y334)/100), ""))</f>
        <v>84.456249999999997</v>
      </c>
      <c r="AD334" s="984">
        <f t="shared" si="58"/>
        <v>1.75</v>
      </c>
      <c r="AE334" s="984">
        <f t="shared" si="57"/>
        <v>1.7083333333333333</v>
      </c>
      <c r="AF334" s="985" t="str">
        <f t="shared" si="59"/>
        <v>A</v>
      </c>
      <c r="AG334" s="1414">
        <v>1</v>
      </c>
      <c r="AH334" s="1002" t="s">
        <v>641</v>
      </c>
      <c r="AI334" s="1002" t="s">
        <v>641</v>
      </c>
      <c r="AJ334" s="986" t="s">
        <v>634</v>
      </c>
      <c r="AK334" s="1417" t="s">
        <v>634</v>
      </c>
      <c r="AL334" s="1415">
        <v>54</v>
      </c>
      <c r="AM334" s="1323">
        <v>46145</v>
      </c>
      <c r="AN334" s="1323">
        <v>46148</v>
      </c>
      <c r="AO334" s="1323">
        <v>46149</v>
      </c>
      <c r="AP334" s="1323"/>
      <c r="AQ334" s="1323"/>
      <c r="AR334" s="987"/>
      <c r="AS334" s="978" t="str">
        <f t="shared" si="60"/>
        <v>單</v>
      </c>
      <c r="AT334" s="978" t="str">
        <f t="shared" si="61"/>
        <v>全</v>
      </c>
      <c r="AU334" s="978">
        <f t="shared" si="62"/>
        <v>150</v>
      </c>
      <c r="AV334" s="978">
        <f t="shared" si="63"/>
        <v>2.6269271999999999</v>
      </c>
    </row>
    <row r="335" spans="1:48">
      <c r="A335" s="975">
        <f t="shared" si="64"/>
        <v>46151</v>
      </c>
      <c r="B335" s="976" t="s">
        <v>222</v>
      </c>
      <c r="C335" s="976" t="s">
        <v>632</v>
      </c>
      <c r="D335" s="1410"/>
      <c r="E335" s="977" t="str">
        <f>IFERROR(VLOOKUP(C335, [6]條件!$A:$L, 5, 0), "")</f>
        <v/>
      </c>
      <c r="F335" s="978" t="str">
        <f>IFERROR(VLOOKUP(C335, [6]條件!$A:$L, 6, 0), "")</f>
        <v/>
      </c>
      <c r="G335" s="1411" t="str">
        <f>IFERROR(VLOOKUP(C335, [6]條件!$A:$L, 7, 0), "")</f>
        <v/>
      </c>
      <c r="H335" s="978" t="str">
        <f>IF(ISNA(VLOOKUP(C335,[6]條件!$A$1:$K$932,11,0)),"",(VLOOKUP(C335,[6]條件!$A$1:$K$932,11,0)))</f>
        <v/>
      </c>
      <c r="I335" s="979" t="str">
        <f>IF(ISNA(VLOOKUP(C335,[6]條件!$A$1:$L$932,12,0)),"",(VLOOKUP(C335,[6]條件!$A$1:$L$932,12,0)))</f>
        <v/>
      </c>
      <c r="J335" s="982"/>
      <c r="K335" s="980"/>
      <c r="L335" s="981" t="s">
        <v>632</v>
      </c>
      <c r="M335" s="983"/>
      <c r="N335" s="982"/>
      <c r="O335" s="980"/>
      <c r="P335" s="981" t="s">
        <v>632</v>
      </c>
      <c r="Q335" s="983"/>
      <c r="R335" s="982"/>
      <c r="S335" s="980"/>
      <c r="T335" s="981" t="s">
        <v>632</v>
      </c>
      <c r="U335" s="983"/>
      <c r="V335" s="982"/>
      <c r="W335" s="980"/>
      <c r="X335" s="981" t="s">
        <v>632</v>
      </c>
      <c r="Y335" s="983"/>
      <c r="Z335" s="1412" t="str">
        <f>IFERROR(VLOOKUP(C335, [6]條件!$A:$L, 3, 0), "")</f>
        <v/>
      </c>
      <c r="AA335" s="984" t="str">
        <f>IF(OR(L335={"改紡","檢修","了機","清車","FINAL","停機","SAMPLE","TEST","絲開發"}), L335, IFERROR(IF(C335="", "", (SUM(J335, N335, R335, V335)/3 * AG335) * IF(AND(AF335="S", AS335="雙"), 0.5, 1)), ""))</f>
        <v>停機</v>
      </c>
      <c r="AB335" s="1413" t="str">
        <f t="shared" si="56"/>
        <v/>
      </c>
      <c r="AC335" s="984" t="str">
        <f>IF(OR(L335={"改紡","檢修","了機","清車","FINAL","停機","SAMPLE","TEST"}), "", IFERROR(IF(C335="", "", AVERAGE(L335:M335, P335:Q335, T335:U335, X335:Y335)/100), ""))</f>
        <v/>
      </c>
      <c r="AD335" s="984" t="str">
        <f t="shared" si="58"/>
        <v/>
      </c>
      <c r="AE335" s="984" t="str">
        <f t="shared" si="57"/>
        <v/>
      </c>
      <c r="AF335" s="985" t="str">
        <f t="shared" si="59"/>
        <v>A</v>
      </c>
      <c r="AG335" s="1414">
        <v>1</v>
      </c>
      <c r="AH335" s="1002" t="s">
        <v>640</v>
      </c>
      <c r="AI335" s="1002" t="s">
        <v>640</v>
      </c>
      <c r="AJ335" s="986" t="s">
        <v>640</v>
      </c>
      <c r="AK335" s="1417" t="s">
        <v>640</v>
      </c>
      <c r="AL335" s="1415"/>
      <c r="AM335" s="1323"/>
      <c r="AN335" s="1323"/>
      <c r="AO335" s="1323"/>
      <c r="AP335" s="1323"/>
      <c r="AQ335" s="1323"/>
      <c r="AR335" s="987"/>
      <c r="AS335" s="978" t="str">
        <f t="shared" si="60"/>
        <v>單</v>
      </c>
      <c r="AT335" s="978" t="str">
        <f t="shared" si="61"/>
        <v>全</v>
      </c>
      <c r="AU335" s="978" t="str">
        <f t="shared" si="62"/>
        <v/>
      </c>
      <c r="AV335" s="978" t="str">
        <f t="shared" si="63"/>
        <v/>
      </c>
    </row>
    <row r="336" spans="1:48">
      <c r="A336" s="975">
        <f t="shared" si="64"/>
        <v>46151</v>
      </c>
      <c r="B336" s="976" t="s">
        <v>223</v>
      </c>
      <c r="C336" s="976" t="s">
        <v>632</v>
      </c>
      <c r="D336" s="1410"/>
      <c r="E336" s="977" t="str">
        <f>IFERROR(VLOOKUP(C336, [6]條件!$A:$L, 5, 0), "")</f>
        <v/>
      </c>
      <c r="F336" s="978" t="str">
        <f>IFERROR(VLOOKUP(C336, [6]條件!$A:$L, 6, 0), "")</f>
        <v/>
      </c>
      <c r="G336" s="1411" t="str">
        <f>IFERROR(VLOOKUP(C336, [6]條件!$A:$L, 7, 0), "")</f>
        <v/>
      </c>
      <c r="H336" s="978" t="str">
        <f>IF(ISNA(VLOOKUP(C336,[6]條件!$A$1:$K$932,11,0)),"",(VLOOKUP(C336,[6]條件!$A$1:$K$932,11,0)))</f>
        <v/>
      </c>
      <c r="I336" s="979" t="str">
        <f>IF(ISNA(VLOOKUP(C336,[6]條件!$A$1:$L$932,12,0)),"",(VLOOKUP(C336,[6]條件!$A$1:$L$932,12,0)))</f>
        <v/>
      </c>
      <c r="J336" s="982"/>
      <c r="K336" s="980"/>
      <c r="L336" s="981" t="s">
        <v>632</v>
      </c>
      <c r="M336" s="983"/>
      <c r="N336" s="982"/>
      <c r="O336" s="980"/>
      <c r="P336" s="981" t="s">
        <v>632</v>
      </c>
      <c r="Q336" s="983"/>
      <c r="R336" s="982"/>
      <c r="S336" s="980"/>
      <c r="T336" s="981" t="s">
        <v>632</v>
      </c>
      <c r="U336" s="983"/>
      <c r="V336" s="982"/>
      <c r="W336" s="980"/>
      <c r="X336" s="981" t="s">
        <v>632</v>
      </c>
      <c r="Y336" s="983"/>
      <c r="Z336" s="1412" t="str">
        <f>IFERROR(VLOOKUP(C336, [6]條件!$A:$L, 3, 0), "")</f>
        <v/>
      </c>
      <c r="AA336" s="984" t="str">
        <f>IF(OR(L336={"改紡","檢修","了機","清車","FINAL","停機","SAMPLE","TEST","絲開發"}), L336, IFERROR(IF(C336="", "", (SUM(J336, N336, R336, V336)/3 * AG336) * IF(AND(AF336="S", AS336="雙"), 0.5, 1)), ""))</f>
        <v>停機</v>
      </c>
      <c r="AB336" s="1413" t="str">
        <f t="shared" si="56"/>
        <v/>
      </c>
      <c r="AC336" s="984" t="str">
        <f>IF(OR(L336={"改紡","檢修","了機","清車","FINAL","停機","SAMPLE","TEST"}), "", IFERROR(IF(C336="", "", AVERAGE(L336:M336, P336:Q336, T336:U336, X336:Y336)/100), ""))</f>
        <v/>
      </c>
      <c r="AD336" s="984" t="str">
        <f t="shared" si="58"/>
        <v/>
      </c>
      <c r="AE336" s="984" t="str">
        <f t="shared" si="57"/>
        <v/>
      </c>
      <c r="AF336" s="985" t="str">
        <f t="shared" si="59"/>
        <v>A</v>
      </c>
      <c r="AG336" s="1414">
        <v>1</v>
      </c>
      <c r="AH336" s="1002" t="s">
        <v>640</v>
      </c>
      <c r="AI336" s="1002" t="s">
        <v>640</v>
      </c>
      <c r="AJ336" s="986" t="s">
        <v>640</v>
      </c>
      <c r="AK336" s="1417" t="s">
        <v>640</v>
      </c>
      <c r="AL336" s="1415"/>
      <c r="AM336" s="1324"/>
      <c r="AN336" s="1323"/>
      <c r="AO336" s="1323"/>
      <c r="AP336" s="1323"/>
      <c r="AQ336" s="1323"/>
      <c r="AR336" s="987"/>
      <c r="AS336" s="978" t="str">
        <f t="shared" si="60"/>
        <v>單</v>
      </c>
      <c r="AT336" s="978" t="str">
        <f t="shared" si="61"/>
        <v>全</v>
      </c>
      <c r="AU336" s="978" t="str">
        <f t="shared" si="62"/>
        <v/>
      </c>
      <c r="AV336" s="978" t="str">
        <f t="shared" si="63"/>
        <v/>
      </c>
    </row>
    <row r="337" spans="1:48">
      <c r="A337" s="975">
        <f t="shared" si="64"/>
        <v>46151</v>
      </c>
      <c r="B337" s="976" t="s">
        <v>224</v>
      </c>
      <c r="C337" s="976" t="s">
        <v>16734</v>
      </c>
      <c r="D337" s="1410" t="s">
        <v>633</v>
      </c>
      <c r="E337" s="977" t="str">
        <f>IFERROR(VLOOKUP(C337, [6]條件!$A:$L, 5, 0), "")</f>
        <v>75/24/2SDr</v>
      </c>
      <c r="F337" s="978" t="str">
        <f>IFERROR(VLOOKUP(C337, [6]條件!$A:$L, 6, 0), "")</f>
        <v>FP81382R×2</v>
      </c>
      <c r="G337" s="1411">
        <f>IFERROR(VLOOKUP(C337, [6]條件!$A:$L, 7, 0), "")</f>
        <v>700</v>
      </c>
      <c r="H337" s="978" t="str">
        <f>IF(ISNA(VLOOKUP(C337,[6]條件!$A$1:$K$932,11,0)),"",(VLOOKUP(C337,[6]條件!$A$1:$K$932,11,0)))</f>
        <v>白底紫三角</v>
      </c>
      <c r="I337" s="979">
        <f>IF(ISNA(VLOOKUP(C337,[6]條件!$A$1:$L$932,12,0)),"",(VLOOKUP(C337,[6]條件!$A$1:$L$932,12,0)))</f>
        <v>5</v>
      </c>
      <c r="J337" s="982">
        <v>18</v>
      </c>
      <c r="K337" s="980">
        <v>2</v>
      </c>
      <c r="L337" s="981">
        <v>9469</v>
      </c>
      <c r="M337" s="983">
        <v>9067</v>
      </c>
      <c r="N337" s="982">
        <v>22</v>
      </c>
      <c r="O337" s="980">
        <v>0</v>
      </c>
      <c r="P337" s="981">
        <v>9445</v>
      </c>
      <c r="Q337" s="983">
        <v>9112</v>
      </c>
      <c r="R337" s="982">
        <v>8</v>
      </c>
      <c r="S337" s="980">
        <v>0</v>
      </c>
      <c r="T337" s="981">
        <v>9531</v>
      </c>
      <c r="U337" s="983">
        <v>9171</v>
      </c>
      <c r="V337" s="982">
        <v>38</v>
      </c>
      <c r="W337" s="980">
        <v>1</v>
      </c>
      <c r="X337" s="981">
        <v>9486</v>
      </c>
      <c r="Y337" s="983">
        <v>9061</v>
      </c>
      <c r="Z337" s="1412">
        <f>IFERROR(VLOOKUP(C337, [6]條件!$A:$L, 3, 0), "")</f>
        <v>3.2653061224489797</v>
      </c>
      <c r="AA337" s="984">
        <f>IF(OR(L337={"改紡","檢修","了機","清車","FINAL","停機","SAMPLE","TEST","絲開發"}), L337, IFERROR(IF(C337="", "", (SUM(J337, N337, R337, V337)/3 * AG337) * IF(AND(AF337="S", AS337="雙"), 0.5, 1)), ""))</f>
        <v>14.333333333333334</v>
      </c>
      <c r="AB337" s="1413">
        <f t="shared" si="56"/>
        <v>0.99558293269230769</v>
      </c>
      <c r="AC337" s="984">
        <f>IF(OR(L337={"改紡","檢修","了機","清車","FINAL","停機","SAMPLE","TEST"}), "", IFERROR(IF(C337="", "", AVERAGE(L337:M337, P337:Q337, T337:U337, X337:Y337)/100), ""))</f>
        <v>92.927499999999995</v>
      </c>
      <c r="AD337" s="984">
        <f t="shared" si="58"/>
        <v>1.7916666666666667</v>
      </c>
      <c r="AE337" s="984">
        <f t="shared" si="57"/>
        <v>1.7291666666666667</v>
      </c>
      <c r="AF337" s="985" t="str">
        <f t="shared" si="59"/>
        <v>A</v>
      </c>
      <c r="AG337" s="1414">
        <v>0.5</v>
      </c>
      <c r="AH337" s="1002" t="s">
        <v>16154</v>
      </c>
      <c r="AI337" s="1002" t="s">
        <v>16154</v>
      </c>
      <c r="AJ337" s="986" t="s">
        <v>725</v>
      </c>
      <c r="AK337" s="1417" t="s">
        <v>725</v>
      </c>
      <c r="AL337" s="1415">
        <v>50</v>
      </c>
      <c r="AM337" s="1323">
        <v>46107</v>
      </c>
      <c r="AN337" s="1323">
        <v>46108</v>
      </c>
      <c r="AO337" s="1323"/>
      <c r="AP337" s="1323"/>
      <c r="AQ337" s="1323"/>
      <c r="AR337" s="987"/>
      <c r="AS337" s="978" t="str">
        <f t="shared" si="60"/>
        <v>雙</v>
      </c>
      <c r="AT337" s="978" t="str">
        <f t="shared" si="61"/>
        <v>全</v>
      </c>
      <c r="AU337" s="978">
        <f t="shared" si="62"/>
        <v>75</v>
      </c>
      <c r="AV337" s="978">
        <f t="shared" si="63"/>
        <v>1.6860765600000001</v>
      </c>
    </row>
    <row r="338" spans="1:48">
      <c r="A338" s="975">
        <f t="shared" si="64"/>
        <v>46151</v>
      </c>
      <c r="B338" s="976" t="s">
        <v>225</v>
      </c>
      <c r="C338" s="976" t="s">
        <v>16747</v>
      </c>
      <c r="D338" s="1410"/>
      <c r="E338" s="977" t="str">
        <f>IFERROR(VLOOKUP(C338, [6]條件!$A:$L, 5, 0), "")</f>
        <v>150/48SDR</v>
      </c>
      <c r="F338" s="978" t="str">
        <f>IFERROR(VLOOKUP(C338, [6]條件!$A:$L, 6, 0), "")</f>
        <v>FP82169R</v>
      </c>
      <c r="G338" s="1411">
        <f>IFERROR(VLOOKUP(C338, [6]條件!$A:$L, 7, 0), "")</f>
        <v>650</v>
      </c>
      <c r="H338" s="978" t="str">
        <f>IF(ISNA(VLOOKUP(C338,[6]條件!$A$1:$K$932,11,0)),"",(VLOOKUP(C338,[6]條件!$A$1:$K$932,11,0)))</f>
        <v>綠藍三角</v>
      </c>
      <c r="I338" s="979">
        <f>IF(ISNA(VLOOKUP(C338,[6]條件!$A$1:$L$932,12,0)),"",(VLOOKUP(C338,[6]條件!$A$1:$L$932,12,0)))</f>
        <v>5</v>
      </c>
      <c r="J338" s="982">
        <v>26</v>
      </c>
      <c r="K338" s="980">
        <v>0</v>
      </c>
      <c r="L338" s="981">
        <v>9228</v>
      </c>
      <c r="M338" s="983">
        <v>8733</v>
      </c>
      <c r="N338" s="982">
        <v>6</v>
      </c>
      <c r="O338" s="980">
        <v>0</v>
      </c>
      <c r="P338" s="981">
        <v>9110</v>
      </c>
      <c r="Q338" s="983">
        <v>8700</v>
      </c>
      <c r="R338" s="982">
        <v>7</v>
      </c>
      <c r="S338" s="980">
        <v>2</v>
      </c>
      <c r="T338" s="981">
        <v>9214</v>
      </c>
      <c r="U338" s="983">
        <v>8836</v>
      </c>
      <c r="V338" s="982">
        <v>13</v>
      </c>
      <c r="W338" s="980">
        <v>7</v>
      </c>
      <c r="X338" s="981">
        <v>9130</v>
      </c>
      <c r="Y338" s="983">
        <v>8230</v>
      </c>
      <c r="Z338" s="1412">
        <f>IFERROR(VLOOKUP(C338, [6]條件!$A:$L, 3, 0), "")</f>
        <v>3.0573248407643314</v>
      </c>
      <c r="AA338" s="984">
        <f>IF(OR(L338={"改紡","檢修","了機","清車","FINAL","停機","SAMPLE","TEST","絲開發"}), L338, IFERROR(IF(C338="", "", (SUM(J338, N338, R338, V338)/3 * AG338) * IF(AND(AF338="S", AS338="雙"), 0.5, 1)), ""))</f>
        <v>17.333333333333332</v>
      </c>
      <c r="AB338" s="1413">
        <f t="shared" si="56"/>
        <v>0.98584735576923077</v>
      </c>
      <c r="AC338" s="984">
        <f>IF(OR(L338={"改紡","檢修","了機","清車","FINAL","停機","SAMPLE","TEST"}), "", IFERROR(IF(C338="", "", AVERAGE(L338:M338, P338:Q338, T338:U338, X338:Y338)/100), ""))</f>
        <v>88.976249999999993</v>
      </c>
      <c r="AD338" s="984">
        <f t="shared" si="58"/>
        <v>2.1666666666666665</v>
      </c>
      <c r="AE338" s="984">
        <f t="shared" si="57"/>
        <v>1.7916666666666667</v>
      </c>
      <c r="AF338" s="985" t="str">
        <f t="shared" si="59"/>
        <v>A</v>
      </c>
      <c r="AG338" s="1414">
        <v>1</v>
      </c>
      <c r="AH338" s="1002" t="s">
        <v>814</v>
      </c>
      <c r="AI338" s="1002" t="s">
        <v>814</v>
      </c>
      <c r="AJ338" s="986" t="s">
        <v>637</v>
      </c>
      <c r="AK338" s="1417" t="s">
        <v>637</v>
      </c>
      <c r="AL338" s="1415">
        <v>48</v>
      </c>
      <c r="AM338" s="1323">
        <v>46148</v>
      </c>
      <c r="AN338" s="1323">
        <v>46149</v>
      </c>
      <c r="AO338" s="1323"/>
      <c r="AP338" s="1323"/>
      <c r="AQ338" s="1323"/>
      <c r="AR338" s="987"/>
      <c r="AS338" s="978" t="str">
        <f t="shared" si="60"/>
        <v>單</v>
      </c>
      <c r="AT338" s="978" t="str">
        <f t="shared" si="61"/>
        <v>全</v>
      </c>
      <c r="AU338" s="978">
        <f t="shared" si="62"/>
        <v>150</v>
      </c>
      <c r="AV338" s="978">
        <f t="shared" si="63"/>
        <v>2.9981437200000003</v>
      </c>
    </row>
    <row r="339" spans="1:48">
      <c r="A339" s="975">
        <f t="shared" si="64"/>
        <v>46151</v>
      </c>
      <c r="B339" s="976" t="s">
        <v>226</v>
      </c>
      <c r="C339" s="976" t="s">
        <v>632</v>
      </c>
      <c r="D339" s="1410"/>
      <c r="E339" s="977" t="str">
        <f>IFERROR(VLOOKUP(C339, [6]條件!$A:$L, 5, 0), "")</f>
        <v/>
      </c>
      <c r="F339" s="978" t="str">
        <f>IFERROR(VLOOKUP(C339, [6]條件!$A:$L, 6, 0), "")</f>
        <v/>
      </c>
      <c r="G339" s="1411" t="str">
        <f>IFERROR(VLOOKUP(C339, [6]條件!$A:$L, 7, 0), "")</f>
        <v/>
      </c>
      <c r="H339" s="978" t="str">
        <f>IF(ISNA(VLOOKUP(C339,[6]條件!$A$1:$K$932,11,0)),"",(VLOOKUP(C339,[6]條件!$A$1:$K$932,11,0)))</f>
        <v/>
      </c>
      <c r="I339" s="979" t="str">
        <f>IF(ISNA(VLOOKUP(C339,[6]條件!$A$1:$L$932,12,0)),"",(VLOOKUP(C339,[6]條件!$A$1:$L$932,12,0)))</f>
        <v/>
      </c>
      <c r="J339" s="982"/>
      <c r="K339" s="980"/>
      <c r="L339" s="981" t="s">
        <v>632</v>
      </c>
      <c r="M339" s="983"/>
      <c r="N339" s="982"/>
      <c r="O339" s="980"/>
      <c r="P339" s="981" t="s">
        <v>632</v>
      </c>
      <c r="Q339" s="983"/>
      <c r="R339" s="982"/>
      <c r="S339" s="980"/>
      <c r="T339" s="981" t="s">
        <v>632</v>
      </c>
      <c r="U339" s="983"/>
      <c r="V339" s="982"/>
      <c r="W339" s="980"/>
      <c r="X339" s="981" t="s">
        <v>632</v>
      </c>
      <c r="Y339" s="983"/>
      <c r="Z339" s="1412" t="str">
        <f>IFERROR(VLOOKUP(C339, [6]條件!$A:$L, 3, 0), "")</f>
        <v/>
      </c>
      <c r="AA339" s="984" t="str">
        <f>IF(OR(L339={"改紡","檢修","了機","清車","FINAL","停機","SAMPLE","TEST","絲開發"}), L339, IFERROR(IF(C339="", "", (SUM(J339, N339, R339, V339)/3 * AG339) * IF(AND(AF339="S", AS339="雙"), 0.5, 1)), ""))</f>
        <v>停機</v>
      </c>
      <c r="AB339" s="1413" t="str">
        <f t="shared" si="56"/>
        <v/>
      </c>
      <c r="AC339" s="984" t="str">
        <f>IF(OR(L339={"改紡","檢修","了機","清車","FINAL","停機","SAMPLE","TEST"}), "", IFERROR(IF(C339="", "", AVERAGE(L339:M339, P339:Q339, T339:U339, X339:Y339)/100), ""))</f>
        <v/>
      </c>
      <c r="AD339" s="984" t="str">
        <f t="shared" si="58"/>
        <v/>
      </c>
      <c r="AE339" s="984" t="str">
        <f t="shared" si="57"/>
        <v/>
      </c>
      <c r="AF339" s="985" t="str">
        <f t="shared" si="59"/>
        <v>A</v>
      </c>
      <c r="AG339" s="1414">
        <v>1</v>
      </c>
      <c r="AH339" s="1002" t="s">
        <v>640</v>
      </c>
      <c r="AI339" s="1002" t="s">
        <v>640</v>
      </c>
      <c r="AJ339" s="986" t="s">
        <v>640</v>
      </c>
      <c r="AK339" s="1417" t="s">
        <v>640</v>
      </c>
      <c r="AL339" s="1415"/>
      <c r="AM339" s="1323"/>
      <c r="AN339" s="1323"/>
      <c r="AO339" s="1323"/>
      <c r="AP339" s="1323"/>
      <c r="AQ339" s="1323"/>
      <c r="AR339" s="987"/>
      <c r="AS339" s="978" t="str">
        <f t="shared" si="60"/>
        <v>單</v>
      </c>
      <c r="AT339" s="978" t="str">
        <f t="shared" si="61"/>
        <v>全</v>
      </c>
      <c r="AU339" s="978" t="str">
        <f t="shared" si="62"/>
        <v/>
      </c>
      <c r="AV339" s="978" t="str">
        <f t="shared" si="63"/>
        <v/>
      </c>
    </row>
    <row r="340" spans="1:48">
      <c r="A340" s="975">
        <f t="shared" si="64"/>
        <v>46151</v>
      </c>
      <c r="B340" s="976" t="s">
        <v>227</v>
      </c>
      <c r="C340" s="976" t="s">
        <v>16712</v>
      </c>
      <c r="D340" s="1410"/>
      <c r="E340" s="977" t="str">
        <f>IFERROR(VLOOKUP(C340, [6]條件!$A:$L, 5, 0), "")</f>
        <v>100/36SDr</v>
      </c>
      <c r="F340" s="978" t="str">
        <f>IFERROR(VLOOKUP(C340, [6]條件!$A:$L, 6, 0), "")</f>
        <v>FP81384R</v>
      </c>
      <c r="G340" s="1411">
        <f>IFERROR(VLOOKUP(C340, [6]條件!$A:$L, 7, 0), "")</f>
        <v>700</v>
      </c>
      <c r="H340" s="978" t="str">
        <f>IF(ISNA(VLOOKUP(C340,[6]條件!$A$1:$K$932,11,0)),"",(VLOOKUP(C340,[6]條件!$A$1:$K$932,11,0)))</f>
        <v>白底紅三角</v>
      </c>
      <c r="I340" s="979">
        <f>IF(ISNA(VLOOKUP(C340,[6]條件!$A$1:$L$932,12,0)),"",(VLOOKUP(C340,[6]條件!$A$1:$L$932,12,0)))</f>
        <v>5</v>
      </c>
      <c r="J340" s="982">
        <v>18</v>
      </c>
      <c r="K340" s="980">
        <v>0</v>
      </c>
      <c r="L340" s="981">
        <v>7515</v>
      </c>
      <c r="M340" s="983">
        <v>8064</v>
      </c>
      <c r="N340" s="982">
        <v>10</v>
      </c>
      <c r="O340" s="980">
        <v>0</v>
      </c>
      <c r="P340" s="981">
        <v>7617</v>
      </c>
      <c r="Q340" s="983">
        <v>8332</v>
      </c>
      <c r="R340" s="982">
        <v>3</v>
      </c>
      <c r="S340" s="980">
        <v>2</v>
      </c>
      <c r="T340" s="981">
        <v>7714</v>
      </c>
      <c r="U340" s="983">
        <v>8312</v>
      </c>
      <c r="V340" s="982">
        <v>10</v>
      </c>
      <c r="W340" s="980">
        <v>2</v>
      </c>
      <c r="X340" s="981">
        <v>7519</v>
      </c>
      <c r="Y340" s="983">
        <v>8001</v>
      </c>
      <c r="Z340" s="1412">
        <f>IFERROR(VLOOKUP(C340, [6]條件!$A:$L, 3, 0), "")</f>
        <v>2.2187981510015407</v>
      </c>
      <c r="AA340" s="984">
        <f>IF(OR(L340={"改紡","檢修","了機","清車","FINAL","停機","SAMPLE","TEST","絲開發"}), L340, IFERROR(IF(C340="", "", (SUM(J340, N340, R340, V340)/3 * AG340) * IF(AND(AF340="S", AS340="雙"), 0.5, 1)), ""))</f>
        <v>13.666666666666666</v>
      </c>
      <c r="AB340" s="1413">
        <f t="shared" si="56"/>
        <v>0.99133279914529915</v>
      </c>
      <c r="AC340" s="984">
        <f>IF(OR(L340={"改紡","檢修","了機","清車","FINAL","停機","SAMPLE","TEST"}), "", IFERROR(IF(C340="", "", AVERAGE(L340:M340, P340:Q340, T340:U340, X340:Y340)/100), ""))</f>
        <v>78.842500000000001</v>
      </c>
      <c r="AD340" s="984">
        <f t="shared" si="58"/>
        <v>1.7083333333333333</v>
      </c>
      <c r="AE340" s="984">
        <f t="shared" si="57"/>
        <v>1.5416666666666667</v>
      </c>
      <c r="AF340" s="985" t="str">
        <f t="shared" si="59"/>
        <v>A</v>
      </c>
      <c r="AG340" s="1414">
        <v>1</v>
      </c>
      <c r="AH340" s="1002" t="s">
        <v>641</v>
      </c>
      <c r="AI340" s="1002" t="s">
        <v>641</v>
      </c>
      <c r="AJ340" s="986" t="s">
        <v>637</v>
      </c>
      <c r="AK340" s="1417" t="s">
        <v>637</v>
      </c>
      <c r="AL340" s="1415">
        <v>50</v>
      </c>
      <c r="AM340" s="1323">
        <v>46138</v>
      </c>
      <c r="AN340" s="1323">
        <v>46139</v>
      </c>
      <c r="AO340" s="1323">
        <v>46140</v>
      </c>
      <c r="AP340" s="1323"/>
      <c r="AQ340" s="1323"/>
      <c r="AR340" s="987"/>
      <c r="AS340" s="978" t="str">
        <f t="shared" si="60"/>
        <v>單</v>
      </c>
      <c r="AT340" s="978" t="str">
        <f t="shared" si="61"/>
        <v>全</v>
      </c>
      <c r="AU340" s="978">
        <f t="shared" si="62"/>
        <v>100</v>
      </c>
      <c r="AV340" s="978">
        <f t="shared" si="63"/>
        <v>1.90735776</v>
      </c>
    </row>
    <row r="341" spans="1:48">
      <c r="A341" s="975">
        <f t="shared" si="64"/>
        <v>46151</v>
      </c>
      <c r="B341" s="976" t="s">
        <v>228</v>
      </c>
      <c r="C341" s="976" t="s">
        <v>632</v>
      </c>
      <c r="D341" s="1410"/>
      <c r="E341" s="977" t="str">
        <f>IFERROR(VLOOKUP(C341, [6]條件!$A:$L, 5, 0), "")</f>
        <v/>
      </c>
      <c r="F341" s="978" t="str">
        <f>IFERROR(VLOOKUP(C341, [6]條件!$A:$L, 6, 0), "")</f>
        <v/>
      </c>
      <c r="G341" s="1411" t="str">
        <f>IFERROR(VLOOKUP(C341, [6]條件!$A:$L, 7, 0), "")</f>
        <v/>
      </c>
      <c r="H341" s="978" t="str">
        <f>IF(ISNA(VLOOKUP(C341,[6]條件!$A$1:$K$932,11,0)),"",(VLOOKUP(C341,[6]條件!$A$1:$K$932,11,0)))</f>
        <v/>
      </c>
      <c r="I341" s="979" t="str">
        <f>IF(ISNA(VLOOKUP(C341,[6]條件!$A$1:$L$932,12,0)),"",(VLOOKUP(C341,[6]條件!$A$1:$L$932,12,0)))</f>
        <v/>
      </c>
      <c r="J341" s="982"/>
      <c r="K341" s="980"/>
      <c r="L341" s="981" t="s">
        <v>632</v>
      </c>
      <c r="M341" s="983"/>
      <c r="N341" s="982"/>
      <c r="O341" s="980"/>
      <c r="P341" s="981" t="s">
        <v>632</v>
      </c>
      <c r="Q341" s="983"/>
      <c r="R341" s="982"/>
      <c r="S341" s="980"/>
      <c r="T341" s="981" t="s">
        <v>632</v>
      </c>
      <c r="U341" s="983"/>
      <c r="V341" s="982"/>
      <c r="W341" s="980"/>
      <c r="X341" s="981" t="s">
        <v>632</v>
      </c>
      <c r="Y341" s="983"/>
      <c r="Z341" s="1412" t="str">
        <f>IFERROR(VLOOKUP(C341, [6]條件!$A:$L, 3, 0), "")</f>
        <v/>
      </c>
      <c r="AA341" s="984" t="str">
        <f>IF(OR(L341={"改紡","檢修","了機","清車","FINAL","停機","SAMPLE","TEST","絲開發"}), L341, IFERROR(IF(C341="", "", (SUM(J341, N341, R341, V341)/3 * AG341) * IF(AND(AF341="S", AS341="雙"), 0.5, 1)), ""))</f>
        <v>停機</v>
      </c>
      <c r="AB341" s="1413" t="str">
        <f t="shared" si="56"/>
        <v/>
      </c>
      <c r="AC341" s="984" t="str">
        <f>IF(OR(L341={"改紡","檢修","了機","清車","FINAL","停機","SAMPLE","TEST"}), "", IFERROR(IF(C341="", "", AVERAGE(L341:M341, P341:Q341, T341:U341, X341:Y341)/100), ""))</f>
        <v/>
      </c>
      <c r="AD341" s="984" t="str">
        <f t="shared" si="58"/>
        <v/>
      </c>
      <c r="AE341" s="984" t="str">
        <f t="shared" si="57"/>
        <v/>
      </c>
      <c r="AF341" s="985" t="str">
        <f t="shared" si="59"/>
        <v>A</v>
      </c>
      <c r="AG341" s="1414">
        <v>1</v>
      </c>
      <c r="AH341" s="1002" t="s">
        <v>640</v>
      </c>
      <c r="AI341" s="1002" t="s">
        <v>640</v>
      </c>
      <c r="AJ341" s="986" t="s">
        <v>725</v>
      </c>
      <c r="AK341" s="1417" t="s">
        <v>725</v>
      </c>
      <c r="AL341" s="1420"/>
      <c r="AM341" s="1323"/>
      <c r="AN341" s="1323"/>
      <c r="AO341" s="1323"/>
      <c r="AP341" s="1323"/>
      <c r="AQ341" s="1323"/>
      <c r="AR341" s="987"/>
      <c r="AS341" s="978" t="str">
        <f t="shared" si="60"/>
        <v>單</v>
      </c>
      <c r="AT341" s="978" t="str">
        <f t="shared" si="61"/>
        <v>全</v>
      </c>
      <c r="AU341" s="978" t="str">
        <f t="shared" si="62"/>
        <v/>
      </c>
      <c r="AV341" s="978" t="str">
        <f t="shared" si="63"/>
        <v/>
      </c>
    </row>
    <row r="342" spans="1:48">
      <c r="A342" s="975">
        <f t="shared" si="64"/>
        <v>46151</v>
      </c>
      <c r="B342" s="976" t="s">
        <v>229</v>
      </c>
      <c r="C342" s="976" t="s">
        <v>632</v>
      </c>
      <c r="D342" s="1410"/>
      <c r="E342" s="977" t="str">
        <f>IFERROR(VLOOKUP(C342, [6]條件!$A:$L, 5, 0), "")</f>
        <v/>
      </c>
      <c r="F342" s="978" t="str">
        <f>IFERROR(VLOOKUP(C342, [6]條件!$A:$L, 6, 0), "")</f>
        <v/>
      </c>
      <c r="G342" s="1411" t="str">
        <f>IFERROR(VLOOKUP(C342, [6]條件!$A:$L, 7, 0), "")</f>
        <v/>
      </c>
      <c r="H342" s="978" t="str">
        <f>IF(ISNA(VLOOKUP(C342,[6]條件!$A$1:$K$932,11,0)),"",(VLOOKUP(C342,[6]條件!$A$1:$K$932,11,0)))</f>
        <v/>
      </c>
      <c r="I342" s="979" t="str">
        <f>IF(ISNA(VLOOKUP(C342,[6]條件!$A$1:$L$932,12,0)),"",(VLOOKUP(C342,[6]條件!$A$1:$L$932,12,0)))</f>
        <v/>
      </c>
      <c r="J342" s="982"/>
      <c r="K342" s="980"/>
      <c r="L342" s="981" t="s">
        <v>632</v>
      </c>
      <c r="M342" s="983"/>
      <c r="N342" s="982"/>
      <c r="O342" s="980"/>
      <c r="P342" s="981" t="s">
        <v>632</v>
      </c>
      <c r="Q342" s="983"/>
      <c r="R342" s="982"/>
      <c r="S342" s="980"/>
      <c r="T342" s="981" t="s">
        <v>632</v>
      </c>
      <c r="U342" s="983"/>
      <c r="V342" s="982"/>
      <c r="W342" s="980"/>
      <c r="X342" s="981" t="s">
        <v>632</v>
      </c>
      <c r="Y342" s="983"/>
      <c r="Z342" s="1412" t="str">
        <f>IFERROR(VLOOKUP(C342, [6]條件!$A:$L, 3, 0), "")</f>
        <v/>
      </c>
      <c r="AA342" s="984" t="str">
        <f>IF(OR(L342={"改紡","檢修","了機","清車","FINAL","停機","SAMPLE","TEST","絲開發"}), L342, IFERROR(IF(C342="", "", (SUM(J342, N342, R342, V342)/3 * AG342) * IF(AND(AF342="S", AS342="雙"), 0.5, 1)), ""))</f>
        <v>停機</v>
      </c>
      <c r="AB342" s="1413" t="str">
        <f t="shared" si="56"/>
        <v/>
      </c>
      <c r="AC342" s="984" t="str">
        <f>IF(OR(L342={"改紡","檢修","了機","清車","FINAL","停機","SAMPLE","TEST"}), "", IFERROR(IF(C342="", "", AVERAGE(L342:M342, P342:Q342, T342:U342, X342:Y342)/100), ""))</f>
        <v/>
      </c>
      <c r="AD342" s="984" t="str">
        <f t="shared" si="58"/>
        <v/>
      </c>
      <c r="AE342" s="984" t="str">
        <f t="shared" si="57"/>
        <v/>
      </c>
      <c r="AF342" s="985" t="str">
        <f t="shared" si="59"/>
        <v>A</v>
      </c>
      <c r="AG342" s="1414">
        <v>1</v>
      </c>
      <c r="AH342" s="1002" t="s">
        <v>640</v>
      </c>
      <c r="AI342" s="1002" t="s">
        <v>640</v>
      </c>
      <c r="AJ342" s="986" t="s">
        <v>640</v>
      </c>
      <c r="AK342" s="1417" t="s">
        <v>640</v>
      </c>
      <c r="AL342" s="1421"/>
      <c r="AM342" s="1323"/>
      <c r="AN342" s="1323"/>
      <c r="AO342" s="1323"/>
      <c r="AP342" s="1323"/>
      <c r="AQ342" s="1323"/>
      <c r="AR342" s="987"/>
      <c r="AS342" s="978" t="str">
        <f t="shared" si="60"/>
        <v>單</v>
      </c>
      <c r="AT342" s="978" t="str">
        <f t="shared" si="61"/>
        <v>全</v>
      </c>
      <c r="AU342" s="978" t="str">
        <f t="shared" si="62"/>
        <v/>
      </c>
      <c r="AV342" s="978" t="str">
        <f t="shared" si="63"/>
        <v/>
      </c>
    </row>
    <row r="343" spans="1:48">
      <c r="A343" s="975">
        <f t="shared" si="64"/>
        <v>46151</v>
      </c>
      <c r="B343" s="976" t="s">
        <v>230</v>
      </c>
      <c r="C343" s="976" t="s">
        <v>16751</v>
      </c>
      <c r="D343" s="1410"/>
      <c r="E343" s="977" t="str">
        <f>IFERROR(VLOOKUP(C343, [6]條件!$A:$L, 5, 0), "")</f>
        <v>150/48/2GY5</v>
      </c>
      <c r="F343" s="978" t="str">
        <f>IFERROR(VLOOKUP(C343, [6]條件!$A:$L, 6, 0), "")</f>
        <v>FP02422×2</v>
      </c>
      <c r="G343" s="1411">
        <f>IFERROR(VLOOKUP(C343, [6]條件!$A:$L, 7, 0), "")</f>
        <v>600</v>
      </c>
      <c r="H343" s="978" t="str">
        <f>IF(ISNA(VLOOKUP(C343,[6]條件!$A$1:$K$932,11,0)),"",(VLOOKUP(C343,[6]條件!$A$1:$K$932,11,0)))</f>
        <v>白底紅星</v>
      </c>
      <c r="I343" s="979">
        <f>IF(ISNA(VLOOKUP(C343,[6]條件!$A$1:$L$932,12,0)),"",(VLOOKUP(C343,[6]條件!$A$1:$L$932,12,0)))</f>
        <v>4</v>
      </c>
      <c r="J343" s="982">
        <v>36</v>
      </c>
      <c r="K343" s="980">
        <v>0</v>
      </c>
      <c r="L343" s="981">
        <v>8930</v>
      </c>
      <c r="M343" s="983">
        <v>9168</v>
      </c>
      <c r="N343" s="982">
        <v>18</v>
      </c>
      <c r="O343" s="980">
        <v>0</v>
      </c>
      <c r="P343" s="981">
        <v>8951</v>
      </c>
      <c r="Q343" s="983">
        <v>9408</v>
      </c>
      <c r="R343" s="982">
        <v>12</v>
      </c>
      <c r="S343" s="980">
        <v>0</v>
      </c>
      <c r="T343" s="981">
        <v>8931</v>
      </c>
      <c r="U343" s="983">
        <v>9517</v>
      </c>
      <c r="V343" s="982">
        <v>26</v>
      </c>
      <c r="W343" s="980">
        <v>1</v>
      </c>
      <c r="X343" s="981">
        <v>8552</v>
      </c>
      <c r="Y343" s="983">
        <v>9548</v>
      </c>
      <c r="Z343" s="1412">
        <f>IFERROR(VLOOKUP(C343, [6]條件!$A:$L, 3, 0), "")</f>
        <v>6.9230769230769234</v>
      </c>
      <c r="AA343" s="984">
        <f>IF(OR(L343={"改紡","檢修","了機","清車","FINAL","停機","SAMPLE","TEST","絲開發"}), L343, IFERROR(IF(C343="", "", (SUM(J343, N343, R343, V343)/3 * AG343) * IF(AND(AF343="S", AS343="雙"), 0.5, 1)), ""))</f>
        <v>15.333333333333334</v>
      </c>
      <c r="AB343" s="1413">
        <f t="shared" si="56"/>
        <v>0.99930555555555556</v>
      </c>
      <c r="AC343" s="984">
        <f>IF(OR(L343={"改紡","檢修","了機","清車","FINAL","停機","SAMPLE","TEST"}), "", IFERROR(IF(C343="", "", AVERAGE(L343:M343, P343:Q343, T343:U343, X343:Y343)/100), ""))</f>
        <v>91.256249999999994</v>
      </c>
      <c r="AD343" s="984">
        <f t="shared" si="58"/>
        <v>1.9166666666666667</v>
      </c>
      <c r="AE343" s="984">
        <f t="shared" si="57"/>
        <v>1.8958333333333333</v>
      </c>
      <c r="AF343" s="985" t="str">
        <f t="shared" si="59"/>
        <v>A</v>
      </c>
      <c r="AG343" s="1414">
        <v>0.5</v>
      </c>
      <c r="AH343" s="1002" t="s">
        <v>16154</v>
      </c>
      <c r="AI343" s="1002" t="s">
        <v>16154</v>
      </c>
      <c r="AJ343" s="986" t="s">
        <v>725</v>
      </c>
      <c r="AK343" s="1417" t="s">
        <v>725</v>
      </c>
      <c r="AL343" s="1415">
        <v>52</v>
      </c>
      <c r="AM343" s="1323">
        <v>46145</v>
      </c>
      <c r="AN343" s="1323">
        <v>46147</v>
      </c>
      <c r="AO343" s="1323">
        <v>46149</v>
      </c>
      <c r="AP343" s="1323"/>
      <c r="AQ343" s="1323"/>
      <c r="AR343" s="987"/>
      <c r="AS343" s="978" t="str">
        <f t="shared" si="60"/>
        <v>雙</v>
      </c>
      <c r="AT343" s="978" t="str">
        <f t="shared" si="61"/>
        <v>全</v>
      </c>
      <c r="AU343" s="978">
        <f t="shared" si="62"/>
        <v>150</v>
      </c>
      <c r="AV343" s="978">
        <f t="shared" si="63"/>
        <v>2.8384343999999997</v>
      </c>
    </row>
    <row r="344" spans="1:48">
      <c r="A344" s="975">
        <f t="shared" si="64"/>
        <v>46151</v>
      </c>
      <c r="B344" s="976" t="s">
        <v>231</v>
      </c>
      <c r="C344" s="976" t="s">
        <v>632</v>
      </c>
      <c r="D344" s="1410"/>
      <c r="E344" s="977" t="str">
        <f>IFERROR(VLOOKUP(C344, [6]條件!$A:$L, 5, 0), "")</f>
        <v/>
      </c>
      <c r="F344" s="978" t="str">
        <f>IFERROR(VLOOKUP(C344, [6]條件!$A:$L, 6, 0), "")</f>
        <v/>
      </c>
      <c r="G344" s="1411" t="str">
        <f>IFERROR(VLOOKUP(C344, [6]條件!$A:$L, 7, 0), "")</f>
        <v/>
      </c>
      <c r="H344" s="978" t="str">
        <f>IF(ISNA(VLOOKUP(C344,[6]條件!$A$1:$K$932,11,0)),"",(VLOOKUP(C344,[6]條件!$A$1:$K$932,11,0)))</f>
        <v/>
      </c>
      <c r="I344" s="979" t="str">
        <f>IF(ISNA(VLOOKUP(C344,[6]條件!$A$1:$L$932,12,0)),"",(VLOOKUP(C344,[6]條件!$A$1:$L$932,12,0)))</f>
        <v/>
      </c>
      <c r="J344" s="982"/>
      <c r="K344" s="980"/>
      <c r="L344" s="981" t="s">
        <v>632</v>
      </c>
      <c r="M344" s="983"/>
      <c r="N344" s="982"/>
      <c r="O344" s="980"/>
      <c r="P344" s="981" t="s">
        <v>632</v>
      </c>
      <c r="Q344" s="983"/>
      <c r="R344" s="982"/>
      <c r="S344" s="980"/>
      <c r="T344" s="981" t="s">
        <v>632</v>
      </c>
      <c r="U344" s="983"/>
      <c r="V344" s="982"/>
      <c r="W344" s="980"/>
      <c r="X344" s="981" t="s">
        <v>632</v>
      </c>
      <c r="Y344" s="983"/>
      <c r="Z344" s="1412" t="str">
        <f>IFERROR(VLOOKUP(C344, [6]條件!$A:$L, 3, 0), "")</f>
        <v/>
      </c>
      <c r="AA344" s="984" t="str">
        <f>IF(OR(L344={"改紡","檢修","了機","清車","FINAL","停機","SAMPLE","TEST","絲開發"}), L344, IFERROR(IF(C344="", "", (SUM(J344, N344, R344, V344)/3 * AG344) * IF(AND(AF344="S", AS344="雙"), 0.5, 1)), ""))</f>
        <v>停機</v>
      </c>
      <c r="AB344" s="1413" t="str">
        <f t="shared" si="56"/>
        <v/>
      </c>
      <c r="AC344" s="984" t="str">
        <f>IF(OR(L344={"改紡","檢修","了機","清車","FINAL","停機","SAMPLE","TEST"}), "", IFERROR(IF(C344="", "", AVERAGE(L344:M344, P344:Q344, T344:U344, X344:Y344)/100), ""))</f>
        <v/>
      </c>
      <c r="AD344" s="984" t="str">
        <f t="shared" si="58"/>
        <v/>
      </c>
      <c r="AE344" s="984" t="str">
        <f t="shared" si="57"/>
        <v/>
      </c>
      <c r="AF344" s="985" t="str">
        <f t="shared" si="59"/>
        <v>J</v>
      </c>
      <c r="AG344" s="1414">
        <v>1</v>
      </c>
      <c r="AH344" s="1002" t="s">
        <v>640</v>
      </c>
      <c r="AI344" s="1002" t="s">
        <v>640</v>
      </c>
      <c r="AJ344" s="986" t="s">
        <v>640</v>
      </c>
      <c r="AK344" s="1417" t="s">
        <v>640</v>
      </c>
      <c r="AL344" s="1415"/>
      <c r="AM344" s="1323"/>
      <c r="AN344" s="1323"/>
      <c r="AO344" s="1323"/>
      <c r="AP344" s="1323"/>
      <c r="AQ344" s="1323"/>
      <c r="AR344" s="987"/>
      <c r="AS344" s="978" t="str">
        <f t="shared" si="60"/>
        <v>單</v>
      </c>
      <c r="AT344" s="978" t="str">
        <f t="shared" si="61"/>
        <v>全</v>
      </c>
      <c r="AU344" s="978" t="str">
        <f t="shared" si="62"/>
        <v/>
      </c>
      <c r="AV344" s="978" t="str">
        <f t="shared" si="63"/>
        <v/>
      </c>
    </row>
    <row r="345" spans="1:48">
      <c r="A345" s="975">
        <f t="shared" si="64"/>
        <v>46151</v>
      </c>
      <c r="B345" s="976" t="s">
        <v>233</v>
      </c>
      <c r="C345" s="976" t="s">
        <v>16772</v>
      </c>
      <c r="D345" s="1410" t="s">
        <v>633</v>
      </c>
      <c r="E345" s="977" t="str">
        <f>IFERROR(VLOOKUP(C345, [6]條件!$A:$L, 5, 0), "")</f>
        <v>150/48/2SDr</v>
      </c>
      <c r="F345" s="978" t="str">
        <f>IFERROR(VLOOKUP(C345, [6]條件!$A:$L, 6, 0), "")</f>
        <v>FP82171R×2</v>
      </c>
      <c r="G345" s="1411">
        <f>IFERROR(VLOOKUP(C345, [6]條件!$A:$L, 7, 0), "")</f>
        <v>600</v>
      </c>
      <c r="H345" s="978" t="str">
        <f>IF(ISNA(VLOOKUP(C345,[6]條件!$A$1:$K$932,11,0)),"",(VLOOKUP(C345,[6]條件!$A$1:$K$932,11,0)))</f>
        <v>紅白直條</v>
      </c>
      <c r="I345" s="979">
        <f>IF(ISNA(VLOOKUP(C345,[6]條件!$A$1:$L$932,12,0)),"",(VLOOKUP(C345,[6]條件!$A$1:$L$932,12,0)))</f>
        <v>5.5</v>
      </c>
      <c r="J345" s="982">
        <v>75</v>
      </c>
      <c r="K345" s="980">
        <v>4</v>
      </c>
      <c r="L345" s="981">
        <v>7750</v>
      </c>
      <c r="M345" s="983"/>
      <c r="N345" s="982">
        <v>27</v>
      </c>
      <c r="O345" s="980">
        <v>4</v>
      </c>
      <c r="P345" s="981">
        <v>7910</v>
      </c>
      <c r="Q345" s="983"/>
      <c r="R345" s="982">
        <v>15</v>
      </c>
      <c r="S345" s="980">
        <v>6</v>
      </c>
      <c r="T345" s="981">
        <v>7830</v>
      </c>
      <c r="U345" s="983"/>
      <c r="V345" s="982">
        <v>48</v>
      </c>
      <c r="W345" s="980">
        <v>5</v>
      </c>
      <c r="X345" s="981">
        <v>7160</v>
      </c>
      <c r="Y345" s="983"/>
      <c r="Z345" s="1412">
        <f>IFERROR(VLOOKUP(C345, [6]條件!$A:$L, 3, 0), "")</f>
        <v>5.0526315789473673</v>
      </c>
      <c r="AA345" s="984">
        <f>IF(OR(L345={"改紡","檢修","了機","清車","FINAL","停機","SAMPLE","TEST","絲開發"}), L345, IFERROR(IF(C345="", "", (SUM(J345, N345, R345, V345)/3 * AG345) * IF(AND(AF345="S", AS345="雙"), 0.5, 1)), ""))</f>
        <v>55</v>
      </c>
      <c r="AB345" s="1413">
        <f t="shared" si="56"/>
        <v>0.98192107371794868</v>
      </c>
      <c r="AC345" s="984">
        <f>IF(OR(L345={"改紡","檢修","了機","清車","FINAL","停機","SAMPLE","TEST"}), "", IFERROR(IF(C345="", "", AVERAGE(L345:M345, P345:Q345, T345:U345, X345:Y345)/100), ""))</f>
        <v>76.625</v>
      </c>
      <c r="AD345" s="984">
        <f t="shared" si="58"/>
        <v>6.875</v>
      </c>
      <c r="AE345" s="984">
        <f t="shared" si="57"/>
        <v>6.083333333333333</v>
      </c>
      <c r="AF345" s="985" t="str">
        <f t="shared" si="59"/>
        <v>J</v>
      </c>
      <c r="AG345" s="1414">
        <v>1</v>
      </c>
      <c r="AH345" s="1002" t="s">
        <v>814</v>
      </c>
      <c r="AI345" s="1002" t="s">
        <v>814</v>
      </c>
      <c r="AJ345" s="986" t="s">
        <v>637</v>
      </c>
      <c r="AK345" s="1417" t="s">
        <v>637</v>
      </c>
      <c r="AL345" s="1415">
        <v>55</v>
      </c>
      <c r="AM345" s="1323">
        <v>46146</v>
      </c>
      <c r="AN345" s="1323">
        <v>46147</v>
      </c>
      <c r="AO345" s="1323">
        <v>46148</v>
      </c>
      <c r="AP345" s="1323"/>
      <c r="AQ345" s="1323"/>
      <c r="AR345" s="987"/>
      <c r="AS345" s="978" t="str">
        <f t="shared" si="60"/>
        <v>雙</v>
      </c>
      <c r="AT345" s="978" t="str">
        <f t="shared" si="61"/>
        <v>全</v>
      </c>
      <c r="AU345" s="978">
        <f t="shared" si="62"/>
        <v>150</v>
      </c>
      <c r="AV345" s="978">
        <f t="shared" si="63"/>
        <v>4.7666880000000003</v>
      </c>
    </row>
    <row r="346" spans="1:48">
      <c r="A346" s="975">
        <f t="shared" si="64"/>
        <v>46151</v>
      </c>
      <c r="B346" s="976" t="s">
        <v>234</v>
      </c>
      <c r="C346" s="976" t="s">
        <v>632</v>
      </c>
      <c r="D346" s="1410"/>
      <c r="E346" s="977" t="str">
        <f>IFERROR(VLOOKUP(C346, [6]條件!$A:$L, 5, 0), "")</f>
        <v/>
      </c>
      <c r="F346" s="978" t="str">
        <f>IFERROR(VLOOKUP(C346, [6]條件!$A:$L, 6, 0), "")</f>
        <v/>
      </c>
      <c r="G346" s="1411" t="str">
        <f>IFERROR(VLOOKUP(C346, [6]條件!$A:$L, 7, 0), "")</f>
        <v/>
      </c>
      <c r="H346" s="978" t="str">
        <f>IF(ISNA(VLOOKUP(C346,[6]條件!$A$1:$K$932,11,0)),"",(VLOOKUP(C346,[6]條件!$A$1:$K$932,11,0)))</f>
        <v/>
      </c>
      <c r="I346" s="979" t="str">
        <f>IF(ISNA(VLOOKUP(C346,[6]條件!$A$1:$L$932,12,0)),"",(VLOOKUP(C346,[6]條件!$A$1:$L$932,12,0)))</f>
        <v/>
      </c>
      <c r="J346" s="982"/>
      <c r="K346" s="980"/>
      <c r="L346" s="981" t="s">
        <v>632</v>
      </c>
      <c r="M346" s="983"/>
      <c r="N346" s="982"/>
      <c r="O346" s="980"/>
      <c r="P346" s="981" t="s">
        <v>632</v>
      </c>
      <c r="Q346" s="983"/>
      <c r="R346" s="982"/>
      <c r="S346" s="980"/>
      <c r="T346" s="981" t="s">
        <v>632</v>
      </c>
      <c r="U346" s="983"/>
      <c r="V346" s="982"/>
      <c r="W346" s="980"/>
      <c r="X346" s="981" t="s">
        <v>632</v>
      </c>
      <c r="Y346" s="983"/>
      <c r="Z346" s="1412" t="str">
        <f>IFERROR(VLOOKUP(C346, [6]條件!$A:$L, 3, 0), "")</f>
        <v/>
      </c>
      <c r="AA346" s="984" t="str">
        <f>IF(OR(L346={"改紡","檢修","了機","清車","FINAL","停機","SAMPLE","TEST","絲開發"}), L346, IFERROR(IF(C346="", "", (SUM(J346, N346, R346, V346)/3 * AG346) * IF(AND(AF346="S", AS346="雙"), 0.5, 1)), ""))</f>
        <v>停機</v>
      </c>
      <c r="AB346" s="1413" t="str">
        <f t="shared" si="56"/>
        <v/>
      </c>
      <c r="AC346" s="984" t="str">
        <f>IF(OR(L346={"改紡","檢修","了機","清車","FINAL","停機","SAMPLE","TEST"}), "", IFERROR(IF(C346="", "", AVERAGE(L346:M346, P346:Q346, T346:U346, X346:Y346)/100), ""))</f>
        <v/>
      </c>
      <c r="AD346" s="984" t="str">
        <f t="shared" si="58"/>
        <v/>
      </c>
      <c r="AE346" s="984" t="str">
        <f t="shared" si="57"/>
        <v/>
      </c>
      <c r="AF346" s="985" t="str">
        <f t="shared" si="59"/>
        <v>J</v>
      </c>
      <c r="AG346" s="1414">
        <v>1</v>
      </c>
      <c r="AH346" s="1002" t="s">
        <v>640</v>
      </c>
      <c r="AI346" s="1002" t="s">
        <v>640</v>
      </c>
      <c r="AJ346" s="986" t="s">
        <v>640</v>
      </c>
      <c r="AK346" s="1417" t="s">
        <v>640</v>
      </c>
      <c r="AL346" s="1415"/>
      <c r="AM346" s="1323"/>
      <c r="AN346" s="1323"/>
      <c r="AO346" s="1323"/>
      <c r="AP346" s="1323"/>
      <c r="AQ346" s="1323"/>
      <c r="AR346" s="987"/>
      <c r="AS346" s="978" t="str">
        <f t="shared" si="60"/>
        <v>單</v>
      </c>
      <c r="AT346" s="978" t="str">
        <f t="shared" si="61"/>
        <v>全</v>
      </c>
      <c r="AU346" s="978" t="str">
        <f t="shared" si="62"/>
        <v/>
      </c>
      <c r="AV346" s="978" t="str">
        <f t="shared" si="63"/>
        <v/>
      </c>
    </row>
    <row r="347" spans="1:48">
      <c r="A347" s="975">
        <f t="shared" si="64"/>
        <v>46151</v>
      </c>
      <c r="B347" s="976" t="s">
        <v>235</v>
      </c>
      <c r="C347" s="976" t="s">
        <v>16765</v>
      </c>
      <c r="D347" s="1410" t="s">
        <v>633</v>
      </c>
      <c r="E347" s="977" t="str">
        <f>IFERROR(VLOOKUP(C347, [6]條件!$A:$L, 5, 0), "")</f>
        <v>150/48/2SDr</v>
      </c>
      <c r="F347" s="978" t="str">
        <f>IFERROR(VLOOKUP(C347, [6]條件!$A:$L, 6, 0), "")</f>
        <v>FP82173R×2</v>
      </c>
      <c r="G347" s="1411">
        <f>IFERROR(VLOOKUP(C347, [6]條件!$A:$L, 7, 0), "")</f>
        <v>700</v>
      </c>
      <c r="H347" s="978" t="str">
        <f>IF(ISNA(VLOOKUP(C347,[6]條件!$A$1:$K$932,11,0)),"",(VLOOKUP(C347,[6]條件!$A$1:$K$932,11,0)))</f>
        <v>白紫條紋</v>
      </c>
      <c r="I347" s="979">
        <f>IF(ISNA(VLOOKUP(C347,[6]條件!$A$1:$L$932,12,0)),"",(VLOOKUP(C347,[6]條件!$A$1:$L$932,12,0)))</f>
        <v>5.5</v>
      </c>
      <c r="J347" s="982">
        <v>31</v>
      </c>
      <c r="K347" s="980">
        <v>0</v>
      </c>
      <c r="L347" s="981">
        <v>8980</v>
      </c>
      <c r="M347" s="983">
        <v>9350</v>
      </c>
      <c r="N347" s="982">
        <v>9</v>
      </c>
      <c r="O347" s="980">
        <v>0</v>
      </c>
      <c r="P347" s="981">
        <v>8890</v>
      </c>
      <c r="Q347" s="983">
        <v>9260</v>
      </c>
      <c r="R347" s="982">
        <v>12</v>
      </c>
      <c r="S347" s="980">
        <v>0</v>
      </c>
      <c r="T347" s="981">
        <v>7780</v>
      </c>
      <c r="U347" s="983">
        <v>8980</v>
      </c>
      <c r="V347" s="982">
        <v>37</v>
      </c>
      <c r="W347" s="980">
        <v>0</v>
      </c>
      <c r="X347" s="981">
        <v>8890</v>
      </c>
      <c r="Y347" s="983">
        <v>9540</v>
      </c>
      <c r="Z347" s="1412">
        <f>IFERROR(VLOOKUP(C347, [6]條件!$A:$L, 3, 0), "")</f>
        <v>5.8775510204081636</v>
      </c>
      <c r="AA347" s="984">
        <f>IF(OR(L347={"改紡","檢修","了機","清車","FINAL","停機","SAMPLE","TEST","絲開發"}), L347, IFERROR(IF(C347="", "", (SUM(J347, N347, R347, V347)/3 * AG347) * IF(AND(AF347="S", AS347="雙"), 0.5, 1)), ""))</f>
        <v>29.666666666666668</v>
      </c>
      <c r="AB347" s="1413">
        <f t="shared" si="56"/>
        <v>1</v>
      </c>
      <c r="AC347" s="984">
        <f>IF(OR(L347={"改紡","檢修","了機","清車","FINAL","停機","SAMPLE","TEST"}), "", IFERROR(IF(C347="", "", AVERAGE(L347:M347, P347:Q347, T347:U347, X347:Y347)/100), ""))</f>
        <v>89.587500000000006</v>
      </c>
      <c r="AD347" s="984">
        <f t="shared" si="58"/>
        <v>3.7083333333333335</v>
      </c>
      <c r="AE347" s="984">
        <f t="shared" si="57"/>
        <v>3.7083333333333335</v>
      </c>
      <c r="AF347" s="985" t="str">
        <f t="shared" si="59"/>
        <v>T</v>
      </c>
      <c r="AG347" s="1414">
        <v>1</v>
      </c>
      <c r="AH347" s="1002" t="s">
        <v>651</v>
      </c>
      <c r="AI347" s="1002" t="s">
        <v>651</v>
      </c>
      <c r="AJ347" s="986" t="s">
        <v>652</v>
      </c>
      <c r="AK347" s="1417" t="s">
        <v>652</v>
      </c>
      <c r="AL347" s="1415">
        <v>56</v>
      </c>
      <c r="AM347" s="1323">
        <v>46146</v>
      </c>
      <c r="AN347" s="1323">
        <v>46147</v>
      </c>
      <c r="AO347" s="1323">
        <v>46148</v>
      </c>
      <c r="AP347" s="1323"/>
      <c r="AQ347" s="1323"/>
      <c r="AR347" s="987"/>
      <c r="AS347" s="978" t="str">
        <f t="shared" si="60"/>
        <v>雙</v>
      </c>
      <c r="AT347" s="978" t="str">
        <f t="shared" si="61"/>
        <v>全</v>
      </c>
      <c r="AU347" s="978">
        <f t="shared" si="62"/>
        <v>150</v>
      </c>
      <c r="AV347" s="978">
        <f t="shared" si="63"/>
        <v>6.5019023999999996</v>
      </c>
    </row>
    <row r="348" spans="1:48">
      <c r="A348" s="975">
        <f t="shared" si="64"/>
        <v>46151</v>
      </c>
      <c r="B348" s="976" t="s">
        <v>237</v>
      </c>
      <c r="C348" s="976" t="s">
        <v>16759</v>
      </c>
      <c r="D348" s="1410" t="s">
        <v>633</v>
      </c>
      <c r="E348" s="977" t="str">
        <f>IFERROR(VLOOKUP(C348, [6]條件!$A:$L, 5, 0), "")</f>
        <v>150/48/2SDr</v>
      </c>
      <c r="F348" s="978" t="str">
        <f>IFERROR(VLOOKUP(C348, [6]條件!$A:$L, 6, 0), "")</f>
        <v>FP82171R×2</v>
      </c>
      <c r="G348" s="1411">
        <f>IFERROR(VLOOKUP(C348, [6]條件!$A:$L, 7, 0), "")</f>
        <v>700</v>
      </c>
      <c r="H348" s="978" t="str">
        <f>IF(ISNA(VLOOKUP(C348,[6]條件!$A$1:$K$932,11,0)),"",(VLOOKUP(C348,[6]條件!$A$1:$K$932,11,0)))</f>
        <v>紅底黃星</v>
      </c>
      <c r="I348" s="979">
        <f>IF(ISNA(VLOOKUP(C348,[6]條件!$A$1:$L$932,12,0)),"",(VLOOKUP(C348,[6]條件!$A$1:$L$932,12,0)))</f>
        <v>5.5</v>
      </c>
      <c r="J348" s="982">
        <v>22</v>
      </c>
      <c r="K348" s="980">
        <v>0</v>
      </c>
      <c r="L348" s="981">
        <v>9540</v>
      </c>
      <c r="M348" s="983">
        <v>9440</v>
      </c>
      <c r="N348" s="982">
        <v>10</v>
      </c>
      <c r="O348" s="980">
        <v>0</v>
      </c>
      <c r="P348" s="981">
        <v>9810</v>
      </c>
      <c r="Q348" s="983">
        <v>9540</v>
      </c>
      <c r="R348" s="982">
        <v>13</v>
      </c>
      <c r="S348" s="980">
        <v>0</v>
      </c>
      <c r="T348" s="981">
        <v>9720</v>
      </c>
      <c r="U348" s="983">
        <v>7960</v>
      </c>
      <c r="V348" s="982">
        <v>42</v>
      </c>
      <c r="W348" s="980">
        <v>0</v>
      </c>
      <c r="X348" s="981">
        <v>9810</v>
      </c>
      <c r="Y348" s="983">
        <v>9440</v>
      </c>
      <c r="Z348" s="1412">
        <f>IFERROR(VLOOKUP(C348, [6]條件!$A:$L, 3, 0), "")</f>
        <v>5.8299595141700413</v>
      </c>
      <c r="AA348" s="984">
        <f>IF(OR(L348={"改紡","檢修","了機","清車","FINAL","停機","SAMPLE","TEST","絲開發"}), L348, IFERROR(IF(C348="", "", (SUM(J348, N348, R348, V348)/3 * AG348) * IF(AND(AF348="S", AS348="雙"), 0.5, 1)), ""))</f>
        <v>29</v>
      </c>
      <c r="AB348" s="1413">
        <f t="shared" si="56"/>
        <v>1</v>
      </c>
      <c r="AC348" s="984">
        <f>IF(OR(L348={"改紡","檢修","了機","清車","FINAL","停機","SAMPLE","TEST"}), "", IFERROR(IF(C348="", "", AVERAGE(L348:M348, P348:Q348, T348:U348, X348:Y348)/100), ""))</f>
        <v>94.075000000000003</v>
      </c>
      <c r="AD348" s="984">
        <f t="shared" si="58"/>
        <v>3.625</v>
      </c>
      <c r="AE348" s="984">
        <f t="shared" si="57"/>
        <v>3.625</v>
      </c>
      <c r="AF348" s="985" t="str">
        <f t="shared" si="59"/>
        <v>T</v>
      </c>
      <c r="AG348" s="1414">
        <v>1</v>
      </c>
      <c r="AH348" s="1002" t="s">
        <v>651</v>
      </c>
      <c r="AI348" s="1002" t="s">
        <v>651</v>
      </c>
      <c r="AJ348" s="986" t="s">
        <v>652</v>
      </c>
      <c r="AK348" s="1417" t="s">
        <v>652</v>
      </c>
      <c r="AL348" s="1415">
        <v>55</v>
      </c>
      <c r="AM348" s="1323">
        <v>46145</v>
      </c>
      <c r="AN348" s="1323">
        <v>46146</v>
      </c>
      <c r="AO348" s="1323">
        <v>46147</v>
      </c>
      <c r="AP348" s="1323">
        <v>46148</v>
      </c>
      <c r="AQ348" s="1323"/>
      <c r="AR348" s="987"/>
      <c r="AS348" s="978" t="str">
        <f t="shared" si="60"/>
        <v>雙</v>
      </c>
      <c r="AT348" s="978" t="str">
        <f t="shared" si="61"/>
        <v>全</v>
      </c>
      <c r="AU348" s="978">
        <f t="shared" si="62"/>
        <v>150</v>
      </c>
      <c r="AV348" s="978">
        <f t="shared" si="63"/>
        <v>6.8275872</v>
      </c>
    </row>
    <row r="349" spans="1:48">
      <c r="A349" s="975">
        <f t="shared" si="64"/>
        <v>46151</v>
      </c>
      <c r="B349" s="976" t="s">
        <v>238</v>
      </c>
      <c r="C349" s="976" t="s">
        <v>16743</v>
      </c>
      <c r="D349" s="1410"/>
      <c r="E349" s="977" t="str">
        <f>IFERROR(VLOOKUP(C349, [6]條件!$A:$L, 5, 0), "")</f>
        <v>150/48/2SDr</v>
      </c>
      <c r="F349" s="978" t="str">
        <f>IFERROR(VLOOKUP(C349, [6]條件!$A:$L, 6, 0), "")</f>
        <v>FP82169R×2</v>
      </c>
      <c r="G349" s="1411">
        <f>IFERROR(VLOOKUP(C349, [6]條件!$A:$L, 7, 0), "")</f>
        <v>670</v>
      </c>
      <c r="H349" s="978" t="str">
        <f>IF(ISNA(VLOOKUP(C349,[6]條件!$A$1:$K$932,11,0)),"",(VLOOKUP(C349,[6]條件!$A$1:$K$932,11,0)))</f>
        <v>黃底紅點</v>
      </c>
      <c r="I349" s="979">
        <f>IF(ISNA(VLOOKUP(C349,[6]條件!$A$1:$L$932,12,0)),"",(VLOOKUP(C349,[6]條件!$A$1:$L$932,12,0)))</f>
        <v>5</v>
      </c>
      <c r="J349" s="982">
        <v>18</v>
      </c>
      <c r="K349" s="980">
        <v>0</v>
      </c>
      <c r="L349" s="981">
        <v>9350</v>
      </c>
      <c r="M349" s="983"/>
      <c r="N349" s="982">
        <v>3</v>
      </c>
      <c r="O349" s="980">
        <v>0</v>
      </c>
      <c r="P349" s="981">
        <v>9440</v>
      </c>
      <c r="Q349" s="983"/>
      <c r="R349" s="982">
        <v>6</v>
      </c>
      <c r="S349" s="980">
        <v>0</v>
      </c>
      <c r="T349" s="981">
        <v>9440</v>
      </c>
      <c r="U349" s="983"/>
      <c r="V349" s="982">
        <v>22</v>
      </c>
      <c r="W349" s="980">
        <v>0</v>
      </c>
      <c r="X349" s="981">
        <v>9170</v>
      </c>
      <c r="Y349" s="983"/>
      <c r="Z349" s="1412">
        <f>IFERROR(VLOOKUP(C349, [6]條件!$A:$L, 3, 0), "")</f>
        <v>6.2882096069868991</v>
      </c>
      <c r="AA349" s="984">
        <f>IF(OR(L349={"改紡","檢修","了機","清車","FINAL","停機","SAMPLE","TEST","絲開發"}), L349, IFERROR(IF(C349="", "", (SUM(J349, N349, R349, V349)/3 * AG349) * IF(AND(AF349="S", AS349="雙"), 0.5, 1)), ""))</f>
        <v>32.666666666666664</v>
      </c>
      <c r="AB349" s="1413">
        <f t="shared" si="56"/>
        <v>1</v>
      </c>
      <c r="AC349" s="984">
        <f>IF(OR(L349={"改紡","檢修","了機","清車","FINAL","停機","SAMPLE","TEST"}), "", IFERROR(IF(C349="", "", AVERAGE(L349:M349, P349:Q349, T349:U349, X349:Y349)/100), ""))</f>
        <v>93.5</v>
      </c>
      <c r="AD349" s="984">
        <f t="shared" si="58"/>
        <v>4.083333333333333</v>
      </c>
      <c r="AE349" s="984">
        <f t="shared" si="57"/>
        <v>4.083333333333333</v>
      </c>
      <c r="AF349" s="985" t="str">
        <f t="shared" si="59"/>
        <v>T</v>
      </c>
      <c r="AG349" s="1414">
        <v>2</v>
      </c>
      <c r="AH349" s="1002" t="s">
        <v>651</v>
      </c>
      <c r="AI349" s="1002" t="s">
        <v>651</v>
      </c>
      <c r="AJ349" s="986" t="s">
        <v>652</v>
      </c>
      <c r="AK349" s="1417" t="s">
        <v>652</v>
      </c>
      <c r="AL349" s="1415">
        <v>48</v>
      </c>
      <c r="AM349" s="1323">
        <v>46147</v>
      </c>
      <c r="AN349" s="1323">
        <v>46148</v>
      </c>
      <c r="AO349" s="1323"/>
      <c r="AP349" s="1323"/>
      <c r="AQ349" s="1323"/>
      <c r="AR349" s="987"/>
      <c r="AS349" s="978" t="str">
        <f t="shared" si="60"/>
        <v>雙</v>
      </c>
      <c r="AT349" s="978" t="str">
        <f t="shared" si="61"/>
        <v>半</v>
      </c>
      <c r="AU349" s="978">
        <f t="shared" si="62"/>
        <v>150</v>
      </c>
      <c r="AV349" s="978">
        <f t="shared" si="63"/>
        <v>3.2475168000000001</v>
      </c>
    </row>
    <row r="350" spans="1:48">
      <c r="A350" s="975">
        <f t="shared" si="64"/>
        <v>46151</v>
      </c>
      <c r="B350" s="976" t="s">
        <v>238</v>
      </c>
      <c r="C350" s="976" t="s">
        <v>16742</v>
      </c>
      <c r="D350" s="1410"/>
      <c r="E350" s="977" t="str">
        <f>IFERROR(VLOOKUP(C350, [6]條件!$A:$L, 5, 0), "")</f>
        <v>150/48/2SDr</v>
      </c>
      <c r="F350" s="978" t="str">
        <f>IFERROR(VLOOKUP(C350, [6]條件!$A:$L, 6, 0), "")</f>
        <v>FP82169R×2</v>
      </c>
      <c r="G350" s="1411">
        <f>IFERROR(VLOOKUP(C350, [6]條件!$A:$L, 7, 0), "")</f>
        <v>670</v>
      </c>
      <c r="H350" s="978" t="str">
        <f>IF(ISNA(VLOOKUP(C350,[6]條件!$A$1:$K$932,11,0)),"",(VLOOKUP(C350,[6]條件!$A$1:$K$932,11,0)))</f>
        <v>紅底藍點</v>
      </c>
      <c r="I350" s="979">
        <f>IF(ISNA(VLOOKUP(C350,[6]條件!$A$1:$L$932,12,0)),"",(VLOOKUP(C350,[6]條件!$A$1:$L$932,12,0)))</f>
        <v>5</v>
      </c>
      <c r="J350" s="982">
        <v>23</v>
      </c>
      <c r="K350" s="980">
        <v>0</v>
      </c>
      <c r="L350" s="981">
        <v>9070</v>
      </c>
      <c r="M350" s="983"/>
      <c r="N350" s="982">
        <v>19</v>
      </c>
      <c r="O350" s="980">
        <v>0</v>
      </c>
      <c r="P350" s="981">
        <v>9440</v>
      </c>
      <c r="Q350" s="983"/>
      <c r="R350" s="982">
        <v>14</v>
      </c>
      <c r="S350" s="980">
        <v>0</v>
      </c>
      <c r="T350" s="981"/>
      <c r="U350" s="983">
        <v>9070</v>
      </c>
      <c r="V350" s="982">
        <v>40</v>
      </c>
      <c r="W350" s="980">
        <v>0</v>
      </c>
      <c r="X350" s="981"/>
      <c r="Y350" s="983">
        <v>9440</v>
      </c>
      <c r="Z350" s="1412">
        <f>IFERROR(VLOOKUP(C350, [6]條件!$A:$L, 3, 0), "")</f>
        <v>6.1802575107296125</v>
      </c>
      <c r="AA350" s="984">
        <f>IF(OR(L350={"改紡","檢修","了機","清車","FINAL","停機","SAMPLE","TEST","絲開發"}), L350, IFERROR(IF(C350="", "", (SUM(J350, N350, R350, V350)/3 * AG350) * IF(AND(AF350="S", AS350="雙"), 0.5, 1)), ""))</f>
        <v>64</v>
      </c>
      <c r="AB350" s="1413">
        <f t="shared" si="56"/>
        <v>1</v>
      </c>
      <c r="AC350" s="984">
        <f>IF(OR(L350={"改紡","檢修","了機","清車","FINAL","停機","SAMPLE","TEST"}), "", IFERROR(IF(C350="", "", AVERAGE(L350:M350, P350:Q350, T350:U350, X350:Y350)/100), ""))</f>
        <v>92.55</v>
      </c>
      <c r="AD350" s="984">
        <f t="shared" si="58"/>
        <v>8</v>
      </c>
      <c r="AE350" s="984">
        <f t="shared" si="57"/>
        <v>8</v>
      </c>
      <c r="AF350" s="985" t="str">
        <f t="shared" si="59"/>
        <v>T</v>
      </c>
      <c r="AG350" s="1414">
        <v>2</v>
      </c>
      <c r="AH350" s="1002" t="s">
        <v>651</v>
      </c>
      <c r="AI350" s="1002" t="s">
        <v>651</v>
      </c>
      <c r="AJ350" s="986" t="s">
        <v>652</v>
      </c>
      <c r="AK350" s="1417" t="s">
        <v>652</v>
      </c>
      <c r="AL350" s="1415">
        <v>48</v>
      </c>
      <c r="AM350" s="1323">
        <v>46146</v>
      </c>
      <c r="AN350" s="1323">
        <v>46147</v>
      </c>
      <c r="AO350" s="1323">
        <v>46148</v>
      </c>
      <c r="AP350" s="1323"/>
      <c r="AQ350" s="1323"/>
      <c r="AR350" s="987"/>
      <c r="AS350" s="978" t="str">
        <f t="shared" si="60"/>
        <v>雙</v>
      </c>
      <c r="AT350" s="978" t="str">
        <f t="shared" si="61"/>
        <v>半</v>
      </c>
      <c r="AU350" s="978">
        <f t="shared" si="62"/>
        <v>150</v>
      </c>
      <c r="AV350" s="978">
        <f t="shared" si="63"/>
        <v>3.2145206400000004</v>
      </c>
    </row>
    <row r="351" spans="1:48">
      <c r="A351" s="975">
        <f t="shared" si="64"/>
        <v>46151</v>
      </c>
      <c r="B351" s="976" t="s">
        <v>239</v>
      </c>
      <c r="C351" s="976" t="s">
        <v>632</v>
      </c>
      <c r="D351" s="1410"/>
      <c r="E351" s="977" t="str">
        <f>IFERROR(VLOOKUP(C351, [6]條件!$A:$L, 5, 0), "")</f>
        <v/>
      </c>
      <c r="F351" s="978" t="str">
        <f>IFERROR(VLOOKUP(C351, [6]條件!$A:$L, 6, 0), "")</f>
        <v/>
      </c>
      <c r="G351" s="1411" t="str">
        <f>IFERROR(VLOOKUP(C351, [6]條件!$A:$L, 7, 0), "")</f>
        <v/>
      </c>
      <c r="H351" s="978" t="str">
        <f>IF(ISNA(VLOOKUP(C351,[6]條件!$A$1:$K$932,11,0)),"",(VLOOKUP(C351,[6]條件!$A$1:$K$932,11,0)))</f>
        <v/>
      </c>
      <c r="I351" s="979" t="str">
        <f>IF(ISNA(VLOOKUP(C351,[6]條件!$A$1:$L$932,12,0)),"",(VLOOKUP(C351,[6]條件!$A$1:$L$932,12,0)))</f>
        <v/>
      </c>
      <c r="J351" s="982"/>
      <c r="K351" s="980"/>
      <c r="L351" s="981" t="s">
        <v>632</v>
      </c>
      <c r="M351" s="983"/>
      <c r="N351" s="982"/>
      <c r="O351" s="980"/>
      <c r="P351" s="981" t="s">
        <v>632</v>
      </c>
      <c r="Q351" s="983"/>
      <c r="R351" s="982"/>
      <c r="S351" s="980"/>
      <c r="T351" s="981" t="s">
        <v>632</v>
      </c>
      <c r="U351" s="983"/>
      <c r="V351" s="982"/>
      <c r="W351" s="980"/>
      <c r="X351" s="981" t="s">
        <v>632</v>
      </c>
      <c r="Y351" s="983"/>
      <c r="Z351" s="1412" t="str">
        <f>IFERROR(VLOOKUP(C351, [6]條件!$A:$L, 3, 0), "")</f>
        <v/>
      </c>
      <c r="AA351" s="984" t="str">
        <f>IF(OR(L351={"改紡","檢修","了機","清車","FINAL","停機","SAMPLE","TEST","絲開發"}), L351, IFERROR(IF(C351="", "", (SUM(J351, N351, R351, V351)/3 * AG351) * IF(AND(AF351="S", AS351="雙"), 0.5, 1)), ""))</f>
        <v>停機</v>
      </c>
      <c r="AB351" s="1413" t="str">
        <f t="shared" si="56"/>
        <v/>
      </c>
      <c r="AC351" s="984" t="str">
        <f>IF(OR(L351={"改紡","檢修","了機","清車","FINAL","停機","SAMPLE","TEST"}), "", IFERROR(IF(C351="", "", AVERAGE(L351:M351, P351:Q351, T351:U351, X351:Y351)/100), ""))</f>
        <v/>
      </c>
      <c r="AD351" s="984" t="str">
        <f t="shared" si="58"/>
        <v/>
      </c>
      <c r="AE351" s="984" t="str">
        <f t="shared" si="57"/>
        <v/>
      </c>
      <c r="AF351" s="985" t="str">
        <f t="shared" si="59"/>
        <v>T</v>
      </c>
      <c r="AG351" s="1414">
        <v>2</v>
      </c>
      <c r="AH351" s="1002" t="s">
        <v>640</v>
      </c>
      <c r="AI351" s="1002" t="s">
        <v>640</v>
      </c>
      <c r="AJ351" s="986" t="s">
        <v>640</v>
      </c>
      <c r="AK351" s="1417" t="s">
        <v>640</v>
      </c>
      <c r="AL351" s="1415"/>
      <c r="AM351" s="1323"/>
      <c r="AN351" s="1323"/>
      <c r="AO351" s="1323"/>
      <c r="AP351" s="1323"/>
      <c r="AQ351" s="1323"/>
      <c r="AR351" s="987"/>
      <c r="AS351" s="978" t="str">
        <f t="shared" si="60"/>
        <v>單</v>
      </c>
      <c r="AT351" s="978" t="str">
        <f t="shared" si="61"/>
        <v>半</v>
      </c>
      <c r="AU351" s="978" t="str">
        <f t="shared" si="62"/>
        <v/>
      </c>
      <c r="AV351" s="978" t="str">
        <f t="shared" si="63"/>
        <v/>
      </c>
    </row>
    <row r="352" spans="1:48">
      <c r="A352" s="975">
        <f t="shared" si="64"/>
        <v>46151</v>
      </c>
      <c r="B352" s="976" t="s">
        <v>388</v>
      </c>
      <c r="C352" s="976" t="s">
        <v>16730</v>
      </c>
      <c r="D352" s="1410" t="s">
        <v>633</v>
      </c>
      <c r="E352" s="977" t="str">
        <f>IFERROR(VLOOKUP(C352, [6]條件!$A:$L, 5, 0), "")</f>
        <v>225/72/2SDr</v>
      </c>
      <c r="F352" s="978" t="str">
        <f>IFERROR(VLOOKUP(C352, [6]條件!$A:$L, 6, 0), "")</f>
        <v>FP83024R×2</v>
      </c>
      <c r="G352" s="1411">
        <f>IFERROR(VLOOKUP(C352, [6]條件!$A:$L, 7, 0), "")</f>
        <v>550</v>
      </c>
      <c r="H352" s="978" t="str">
        <f>IF(ISNA(VLOOKUP(C352,[6]條件!$A$1:$K$932,11,0)),"",(VLOOKUP(C352,[6]條件!$A$1:$K$932,11,0)))</f>
        <v>灰色</v>
      </c>
      <c r="I352" s="979">
        <f>IF(ISNA(VLOOKUP(C352,[6]條件!$A$1:$L$932,12,0)),"",(VLOOKUP(C352,[6]條件!$A$1:$L$932,12,0)))</f>
        <v>5.5</v>
      </c>
      <c r="J352" s="982">
        <v>17</v>
      </c>
      <c r="K352" s="980">
        <v>4</v>
      </c>
      <c r="L352" s="981">
        <v>7410</v>
      </c>
      <c r="M352" s="983"/>
      <c r="N352" s="982">
        <v>3</v>
      </c>
      <c r="O352" s="980">
        <v>0</v>
      </c>
      <c r="P352" s="981">
        <v>7410</v>
      </c>
      <c r="Q352" s="983"/>
      <c r="R352" s="982">
        <v>4</v>
      </c>
      <c r="S352" s="980">
        <v>0</v>
      </c>
      <c r="T352" s="981">
        <v>7410</v>
      </c>
      <c r="U352" s="983"/>
      <c r="V352" s="982">
        <v>13</v>
      </c>
      <c r="W352" s="980">
        <v>0</v>
      </c>
      <c r="X352" s="981">
        <v>6940</v>
      </c>
      <c r="Y352" s="983"/>
      <c r="Z352" s="1412">
        <f>IFERROR(VLOOKUP(C352, [6]條件!$A:$L, 3, 0), "")</f>
        <v>6.6055045871559628</v>
      </c>
      <c r="AA352" s="984">
        <f>IF(OR(L352={"改紡","檢修","了機","清車","FINAL","停機","SAMPLE","TEST","絲開發"}), L352, IFERROR(IF(C352="", "", (SUM(J352, N352, R352, V352)/3 * AG352) * IF(AND(AF352="S", AS352="雙"), 0.5, 1)), ""))</f>
        <v>24.666666666666668</v>
      </c>
      <c r="AB352" s="1413">
        <f t="shared" si="56"/>
        <v>0.99708867521367517</v>
      </c>
      <c r="AC352" s="984">
        <f>IF(OR(L352={"改紡","檢修","了機","清車","FINAL","停機","SAMPLE","TEST"}), "", IFERROR(IF(C352="", "", AVERAGE(L352:M352, P352:Q352, T352:U352, X352:Y352)/100), ""))</f>
        <v>72.924999999999997</v>
      </c>
      <c r="AD352" s="984">
        <f t="shared" si="58"/>
        <v>3.0833333333333335</v>
      </c>
      <c r="AE352" s="984">
        <f t="shared" si="57"/>
        <v>2.75</v>
      </c>
      <c r="AF352" s="985" t="str">
        <f t="shared" si="59"/>
        <v>T</v>
      </c>
      <c r="AG352" s="1414">
        <v>2</v>
      </c>
      <c r="AH352" s="1002" t="s">
        <v>16113</v>
      </c>
      <c r="AI352" s="1002" t="s">
        <v>16113</v>
      </c>
      <c r="AJ352" s="986" t="s">
        <v>835</v>
      </c>
      <c r="AK352" s="1417" t="s">
        <v>835</v>
      </c>
      <c r="AL352" s="1415">
        <v>53</v>
      </c>
      <c r="AM352" s="1323">
        <v>46139</v>
      </c>
      <c r="AN352" s="1323">
        <v>46140</v>
      </c>
      <c r="AO352" s="1323"/>
      <c r="AP352" s="1323"/>
      <c r="AQ352" s="1323"/>
      <c r="AR352" s="987"/>
      <c r="AS352" s="978" t="str">
        <f t="shared" si="60"/>
        <v>雙</v>
      </c>
      <c r="AT352" s="978" t="str">
        <f t="shared" si="61"/>
        <v>半</v>
      </c>
      <c r="AU352" s="978">
        <f t="shared" si="62"/>
        <v>225</v>
      </c>
      <c r="AV352" s="978">
        <f t="shared" si="63"/>
        <v>3.1188564000000003</v>
      </c>
    </row>
    <row r="353" spans="1:48">
      <c r="A353" s="975">
        <f t="shared" si="64"/>
        <v>46151</v>
      </c>
      <c r="B353" s="976" t="s">
        <v>388</v>
      </c>
      <c r="C353" s="976" t="s">
        <v>16736</v>
      </c>
      <c r="D353" s="1410" t="s">
        <v>633</v>
      </c>
      <c r="E353" s="977" t="str">
        <f>IFERROR(VLOOKUP(C353, [6]條件!$A:$L, 5, 0), "")</f>
        <v>150/48/2SDr</v>
      </c>
      <c r="F353" s="978" t="str">
        <f>IFERROR(VLOOKUP(C353, [6]條件!$A:$L, 6, 0), "")</f>
        <v>FP82170R×2</v>
      </c>
      <c r="G353" s="1411">
        <f>IFERROR(VLOOKUP(C353, [6]條件!$A:$L, 7, 0), "")</f>
        <v>700</v>
      </c>
      <c r="H353" s="978" t="str">
        <f>IF(ISNA(VLOOKUP(C353,[6]條件!$A$1:$K$932,11,0)),"",(VLOOKUP(C353,[6]條件!$A$1:$K$932,11,0)))</f>
        <v>粉紅</v>
      </c>
      <c r="I353" s="979">
        <f>IF(ISNA(VLOOKUP(C353,[6]條件!$A$1:$L$932,12,0)),"",(VLOOKUP(C353,[6]條件!$A$1:$L$932,12,0)))</f>
        <v>5.5</v>
      </c>
      <c r="J353" s="982"/>
      <c r="K353" s="980"/>
      <c r="L353" s="981" t="s">
        <v>127</v>
      </c>
      <c r="M353" s="983"/>
      <c r="N353" s="982"/>
      <c r="O353" s="980"/>
      <c r="P353" s="981"/>
      <c r="Q353" s="983" t="s">
        <v>127</v>
      </c>
      <c r="R353" s="982"/>
      <c r="S353" s="980"/>
      <c r="T353" s="981"/>
      <c r="U353" s="983" t="s">
        <v>127</v>
      </c>
      <c r="V353" s="982">
        <v>19</v>
      </c>
      <c r="W353" s="980"/>
      <c r="X353" s="981"/>
      <c r="Y353" s="983" t="s">
        <v>127</v>
      </c>
      <c r="Z353" s="1412">
        <f>IFERROR(VLOOKUP(C353, [6]條件!$A:$L, 3, 0), "")</f>
        <v>5.8775510204081636</v>
      </c>
      <c r="AA353" s="984" t="str">
        <f>IF(OR(L353={"改紡","檢修","了機","清車","FINAL","停機","SAMPLE","TEST","絲開發"}), L353, IFERROR(IF(C353="", "", (SUM(J353, N353, R353, V353)/3 * AG353) * IF(AND(AF353="S", AS353="雙"), 0.5, 1)), ""))</f>
        <v>了機</v>
      </c>
      <c r="AB353" s="1413" t="str">
        <f t="shared" si="56"/>
        <v/>
      </c>
      <c r="AC353" s="984" t="str">
        <f>IF(OR(L353={"改紡","檢修","了機","清車","FINAL","停機","SAMPLE","TEST"}), "", IFERROR(IF(C353="", "", AVERAGE(L353:M353, P353:Q353, T353:U353, X353:Y353)/100), ""))</f>
        <v/>
      </c>
      <c r="AD353" s="984" t="str">
        <f t="shared" si="58"/>
        <v/>
      </c>
      <c r="AE353" s="984" t="str">
        <f t="shared" si="57"/>
        <v/>
      </c>
      <c r="AF353" s="985" t="str">
        <f t="shared" si="59"/>
        <v>T</v>
      </c>
      <c r="AG353" s="1414">
        <v>2</v>
      </c>
      <c r="AH353" s="1002" t="s">
        <v>16113</v>
      </c>
      <c r="AI353" s="1002" t="s">
        <v>16113</v>
      </c>
      <c r="AJ353" s="986" t="s">
        <v>835</v>
      </c>
      <c r="AK353" s="1417" t="s">
        <v>835</v>
      </c>
      <c r="AL353" s="1415">
        <v>56</v>
      </c>
      <c r="AM353" s="1323">
        <v>46141</v>
      </c>
      <c r="AN353" s="1323">
        <v>46143</v>
      </c>
      <c r="AO353" s="1323">
        <v>46144</v>
      </c>
      <c r="AP353" s="1323"/>
      <c r="AQ353" s="1323"/>
      <c r="AR353" s="987"/>
      <c r="AS353" s="978" t="str">
        <f t="shared" si="60"/>
        <v>雙</v>
      </c>
      <c r="AT353" s="978" t="str">
        <f t="shared" si="61"/>
        <v>半</v>
      </c>
      <c r="AU353" s="978">
        <f t="shared" si="62"/>
        <v>150</v>
      </c>
      <c r="AV353" s="978" t="str">
        <f t="shared" si="63"/>
        <v/>
      </c>
    </row>
    <row r="354" spans="1:48">
      <c r="A354" s="975">
        <f t="shared" si="64"/>
        <v>46151</v>
      </c>
      <c r="B354" s="976" t="s">
        <v>417</v>
      </c>
      <c r="C354" s="976" t="s">
        <v>16767</v>
      </c>
      <c r="D354" s="1410" t="s">
        <v>633</v>
      </c>
      <c r="E354" s="977" t="str">
        <f>IFERROR(VLOOKUP(C354, [6]條件!$A:$L, 5, 0), "")</f>
        <v>150/48/2SDr</v>
      </c>
      <c r="F354" s="978" t="str">
        <f>IFERROR(VLOOKUP(C354, [6]條件!$A:$L, 6, 0), "")</f>
        <v>FP82173R×2</v>
      </c>
      <c r="G354" s="1411">
        <f>IFERROR(VLOOKUP(C354, [6]條件!$A:$L, 7, 0), "")</f>
        <v>700</v>
      </c>
      <c r="H354" s="978" t="str">
        <f>IF(ISNA(VLOOKUP(C354,[6]條件!$A$1:$K$932,11,0)),"",(VLOOKUP(C354,[6]條件!$A$1:$K$932,11,0)))</f>
        <v>棕色</v>
      </c>
      <c r="I354" s="979">
        <f>IF(ISNA(VLOOKUP(C354,[6]條件!$A$1:$L$932,12,0)),"",(VLOOKUP(C354,[6]條件!$A$1:$L$932,12,0)))</f>
        <v>5.5</v>
      </c>
      <c r="J354" s="982">
        <v>13</v>
      </c>
      <c r="K354" s="980">
        <v>3</v>
      </c>
      <c r="L354" s="981">
        <v>10000</v>
      </c>
      <c r="M354" s="983">
        <v>9540</v>
      </c>
      <c r="N354" s="982">
        <v>7</v>
      </c>
      <c r="O354" s="980">
        <v>4</v>
      </c>
      <c r="P354" s="981">
        <v>10000</v>
      </c>
      <c r="Q354" s="983">
        <v>9540</v>
      </c>
      <c r="R354" s="982">
        <v>21</v>
      </c>
      <c r="S354" s="980">
        <v>1</v>
      </c>
      <c r="T354" s="981">
        <v>10000</v>
      </c>
      <c r="U354" s="983">
        <v>9440</v>
      </c>
      <c r="V354" s="982">
        <v>23</v>
      </c>
      <c r="W354" s="980">
        <v>4</v>
      </c>
      <c r="X354" s="981">
        <v>10000</v>
      </c>
      <c r="Y354" s="983">
        <v>9350</v>
      </c>
      <c r="Z354" s="1412">
        <f>IFERROR(VLOOKUP(C354, [6]條件!$A:$L, 3, 0), "")</f>
        <v>5.8536585365853666</v>
      </c>
      <c r="AA354" s="984">
        <f>IF(OR(L354={"改紡","檢修","了機","清車","FINAL","停機","SAMPLE","TEST","絲開發"}), L354, IFERROR(IF(C354="", "", (SUM(J354, N354, R354, V354)/3 * AG354) * IF(AND(AF354="S", AS354="雙"), 0.5, 1)), ""))</f>
        <v>21.333333333333332</v>
      </c>
      <c r="AB354" s="1413">
        <f t="shared" si="56"/>
        <v>0.99014423076923075</v>
      </c>
      <c r="AC354" s="984">
        <f>IF(OR(L354={"改紡","檢修","了機","清車","FINAL","停機","SAMPLE","TEST"}), "", IFERROR(IF(C354="", "", AVERAGE(L354:M354, P354:Q354, T354:U354, X354:Y354)/100), ""))</f>
        <v>97.337500000000006</v>
      </c>
      <c r="AD354" s="984">
        <f t="shared" si="58"/>
        <v>2.6666666666666665</v>
      </c>
      <c r="AE354" s="984">
        <f t="shared" si="57"/>
        <v>2.1666666666666665</v>
      </c>
      <c r="AF354" s="985" t="str">
        <f t="shared" si="59"/>
        <v>T</v>
      </c>
      <c r="AG354" s="1414">
        <v>1</v>
      </c>
      <c r="AH354" s="1002" t="s">
        <v>16113</v>
      </c>
      <c r="AI354" s="1002" t="s">
        <v>16113</v>
      </c>
      <c r="AJ354" s="986" t="s">
        <v>835</v>
      </c>
      <c r="AK354" s="1417" t="s">
        <v>835</v>
      </c>
      <c r="AL354" s="1415">
        <v>56</v>
      </c>
      <c r="AM354" s="1323">
        <v>46146</v>
      </c>
      <c r="AN354" s="1323">
        <v>46147</v>
      </c>
      <c r="AO354" s="1323">
        <v>46148</v>
      </c>
      <c r="AP354" s="1323">
        <v>46149</v>
      </c>
      <c r="AQ354" s="1323"/>
      <c r="AR354" s="987"/>
      <c r="AS354" s="978" t="str">
        <f t="shared" si="60"/>
        <v>雙</v>
      </c>
      <c r="AT354" s="978" t="str">
        <f t="shared" si="61"/>
        <v>全</v>
      </c>
      <c r="AU354" s="978">
        <f t="shared" si="62"/>
        <v>150</v>
      </c>
      <c r="AV354" s="978">
        <f t="shared" si="63"/>
        <v>7.0643663999999999</v>
      </c>
    </row>
    <row r="355" spans="1:48">
      <c r="A355" s="975">
        <f t="shared" si="64"/>
        <v>46151</v>
      </c>
      <c r="B355" s="976" t="s">
        <v>240</v>
      </c>
      <c r="C355" s="988" t="s">
        <v>632</v>
      </c>
      <c r="D355" s="1410"/>
      <c r="E355" s="977" t="str">
        <f>IFERROR(VLOOKUP(C355, [6]條件!$A:$L, 5, 0), "")</f>
        <v/>
      </c>
      <c r="F355" s="978" t="str">
        <f>IFERROR(VLOOKUP(C355, [6]條件!$A:$L, 6, 0), "")</f>
        <v/>
      </c>
      <c r="G355" s="1411" t="str">
        <f>IFERROR(VLOOKUP(C355, [6]條件!$A:$L, 7, 0), "")</f>
        <v/>
      </c>
      <c r="H355" s="978" t="str">
        <f>IF(ISNA(VLOOKUP(C355,[6]條件!$A$1:$K$932,11,0)),"",(VLOOKUP(C355,[6]條件!$A$1:$K$932,11,0)))</f>
        <v/>
      </c>
      <c r="I355" s="979" t="str">
        <f>IF(ISNA(VLOOKUP(C355,[6]條件!$A$1:$L$932,12,0)),"",(VLOOKUP(C355,[6]條件!$A$1:$L$932,12,0)))</f>
        <v/>
      </c>
      <c r="J355" s="982"/>
      <c r="K355" s="980"/>
      <c r="L355" s="981" t="s">
        <v>632</v>
      </c>
      <c r="M355" s="983"/>
      <c r="N355" s="982"/>
      <c r="O355" s="980"/>
      <c r="P355" s="981" t="s">
        <v>632</v>
      </c>
      <c r="Q355" s="983"/>
      <c r="R355" s="982"/>
      <c r="S355" s="980"/>
      <c r="T355" s="981" t="s">
        <v>632</v>
      </c>
      <c r="U355" s="983"/>
      <c r="V355" s="982"/>
      <c r="W355" s="980"/>
      <c r="X355" s="981" t="s">
        <v>632</v>
      </c>
      <c r="Y355" s="983"/>
      <c r="Z355" s="1422" t="str">
        <f>IFERROR(VLOOKUP(C355, [6]條件!$A:$L, 3, 0), "")</f>
        <v/>
      </c>
      <c r="AA355" s="1167" t="str">
        <f>IF(OR(L355={"改紡","檢修","了機","清車","FINAL","停機","SAMPLE","TEST","絲開發"}), L355, IFERROR(IF(C355="", "", (SUM(J355, N355, R355, V355)/3 * AG355) * IF(AND(AF355="S", AS355="雙"), 0.5, 1)), ""))</f>
        <v>停機</v>
      </c>
      <c r="AB355" s="1423" t="str">
        <f>IF(K355="","",IF(ISERROR(1-((SUM(K355,O355,S355,W355)/((AG355*12)-(AG355*0.44)))/Z355)),"",(1-((SUM(K355,O355,S355,W355)/((AG355*12)-(AG355*0.44)))/Z355))))</f>
        <v/>
      </c>
      <c r="AC355" s="1167" t="str">
        <f>IF(OR(L355={"改紡","檢修","了機","清車","FINAL","停機","SAMPLE","TEST"}), "", IFERROR(IF(C355="", "", AVERAGE(L355:M355, P355:Q355, T355:U355, X355:Y355)/100), ""))</f>
        <v/>
      </c>
      <c r="AD355" s="1167" t="str">
        <f t="shared" si="58"/>
        <v/>
      </c>
      <c r="AE355" s="1167" t="str">
        <f>IF(P355="了機","",IF(J355="","",IF(ISERROR((SUM(J355,N355,R355,V355)-SUM(K355,O355,S355,W355))/24),"",((SUM(J355,N355,R355,V355)-SUM(K355,O355,S355,W355))/24))))</f>
        <v/>
      </c>
      <c r="AF355" s="1168" t="str">
        <f t="shared" si="59"/>
        <v>S</v>
      </c>
      <c r="AG355" s="1424">
        <v>12</v>
      </c>
      <c r="AH355" s="1002" t="s">
        <v>640</v>
      </c>
      <c r="AI355" s="1002" t="s">
        <v>640</v>
      </c>
      <c r="AJ355" s="986" t="s">
        <v>640</v>
      </c>
      <c r="AK355" s="1417" t="s">
        <v>640</v>
      </c>
      <c r="AL355" s="1415"/>
      <c r="AM355" s="1323"/>
      <c r="AN355" s="1323"/>
      <c r="AO355" s="1323"/>
      <c r="AP355" s="1323"/>
      <c r="AQ355" s="1323"/>
      <c r="AR355" s="987"/>
      <c r="AS355" s="978" t="str">
        <f t="shared" si="60"/>
        <v>單</v>
      </c>
      <c r="AT355" s="978" t="str">
        <f t="shared" si="61"/>
        <v>12sec</v>
      </c>
      <c r="AU355" s="978" t="str">
        <f t="shared" si="62"/>
        <v/>
      </c>
      <c r="AV355" s="978" t="str">
        <f t="shared" si="63"/>
        <v/>
      </c>
    </row>
    <row r="356" spans="1:48">
      <c r="A356" s="975">
        <f t="shared" si="64"/>
        <v>46151</v>
      </c>
      <c r="B356" s="976" t="s">
        <v>242</v>
      </c>
      <c r="C356" s="976" t="s">
        <v>385</v>
      </c>
      <c r="D356" s="1410"/>
      <c r="E356" s="977" t="str">
        <f>IFERROR(VLOOKUP(C356, [6]條件!$A:$L, 5, 0), "")</f>
        <v/>
      </c>
      <c r="F356" s="978" t="str">
        <f>IFERROR(VLOOKUP(C356, [6]條件!$A:$L, 6, 0), "")</f>
        <v/>
      </c>
      <c r="G356" s="1411" t="str">
        <f>IFERROR(VLOOKUP(C356, [6]條件!$A:$L, 7, 0), "")</f>
        <v/>
      </c>
      <c r="H356" s="978" t="str">
        <f>IF(ISNA(VLOOKUP(C356,[6]條件!$A$1:$K$932,11,0)),"",(VLOOKUP(C356,[6]條件!$A$1:$K$932,11,0)))</f>
        <v/>
      </c>
      <c r="I356" s="979" t="str">
        <f>IF(ISNA(VLOOKUP(C356,[6]條件!$A$1:$L$932,12,0)),"",(VLOOKUP(C356,[6]條件!$A$1:$L$932,12,0)))</f>
        <v/>
      </c>
      <c r="J356" s="982"/>
      <c r="K356" s="980"/>
      <c r="L356" s="981" t="s">
        <v>385</v>
      </c>
      <c r="M356" s="983"/>
      <c r="N356" s="982"/>
      <c r="O356" s="980"/>
      <c r="P356" s="981" t="s">
        <v>385</v>
      </c>
      <c r="Q356" s="983"/>
      <c r="R356" s="982"/>
      <c r="S356" s="980"/>
      <c r="T356" s="981" t="s">
        <v>385</v>
      </c>
      <c r="U356" s="983"/>
      <c r="V356" s="982"/>
      <c r="W356" s="980"/>
      <c r="X356" s="981" t="s">
        <v>385</v>
      </c>
      <c r="Y356" s="983"/>
      <c r="Z356" s="1422" t="str">
        <f>IFERROR(VLOOKUP(C356, [6]條件!$A:$L, 3, 0), "")</f>
        <v/>
      </c>
      <c r="AA356" s="1167" t="str">
        <f>IF(OR(L356={"改紡","檢修","了機","清車","FINAL","停機","SAMPLE","TEST","絲開發"}), L356, IFERROR(IF(C356="", "", (SUM(J356, N356, R356, V356)/3 * AG356) * IF(AND(AF356="S", AS356="雙"), 0.5, 1)), ""))</f>
        <v>絲開發</v>
      </c>
      <c r="AB356" s="1423" t="str">
        <f>IF(K356="","",IF(ISERROR(1-((SUM(K356,O356,S356,W356)/((AG356*12)-(AG356*0.44)))/Z356)),"",(1-((SUM(K356,O356,S356,W356)/((AG356*12)-(AG356*0.44)))/Z356))))</f>
        <v/>
      </c>
      <c r="AC356" s="1167" t="str">
        <f>IF(OR(L356={"改紡","檢修","了機","清車","FINAL","停機","SAMPLE","TEST"}), "", IFERROR(IF(C356="", "", AVERAGE(L356:M356, P356:Q356, T356:U356, X356:Y356)/100), ""))</f>
        <v/>
      </c>
      <c r="AD356" s="1167" t="str">
        <f t="shared" si="58"/>
        <v/>
      </c>
      <c r="AE356" s="1167" t="str">
        <f>IF(P356="了機","",IF(J356="","",IF(ISERROR((SUM(J356,N356,R356,V356)-SUM(K356,O356,S356,W356))/24),"",((SUM(J356,N356,R356,V356)-SUM(K356,O356,S356,W356))/24))))</f>
        <v/>
      </c>
      <c r="AF356" s="1168" t="str">
        <f t="shared" si="59"/>
        <v>S</v>
      </c>
      <c r="AG356" s="1424">
        <v>5</v>
      </c>
      <c r="AH356" s="1002" t="s">
        <v>829</v>
      </c>
      <c r="AI356" s="1002" t="s">
        <v>829</v>
      </c>
      <c r="AJ356" s="986" t="s">
        <v>636</v>
      </c>
      <c r="AK356" s="1417" t="s">
        <v>636</v>
      </c>
      <c r="AL356" s="1415"/>
      <c r="AM356" s="1323"/>
      <c r="AN356" s="1323"/>
      <c r="AO356" s="1323"/>
      <c r="AP356" s="1323"/>
      <c r="AQ356" s="1323"/>
      <c r="AR356" s="987"/>
      <c r="AS356" s="978" t="str">
        <f t="shared" si="60"/>
        <v>單</v>
      </c>
      <c r="AT356" s="978" t="str">
        <f t="shared" si="61"/>
        <v>5sec</v>
      </c>
      <c r="AU356" s="978" t="str">
        <f t="shared" si="62"/>
        <v/>
      </c>
      <c r="AV356" s="978" t="str">
        <f t="shared" si="63"/>
        <v/>
      </c>
    </row>
    <row r="357" spans="1:48">
      <c r="A357" s="975">
        <f t="shared" si="64"/>
        <v>46151</v>
      </c>
      <c r="B357" s="976" t="s">
        <v>16078</v>
      </c>
      <c r="C357" s="988" t="s">
        <v>16185</v>
      </c>
      <c r="D357" s="1410"/>
      <c r="E357" s="977" t="str">
        <f>IFERROR(VLOOKUP(C357, [6]條件!$A:$L, 5, 0), "")</f>
        <v/>
      </c>
      <c r="F357" s="978" t="str">
        <f>IFERROR(VLOOKUP(C357, [6]條件!$A:$L, 6, 0), "")</f>
        <v/>
      </c>
      <c r="G357" s="1411" t="str">
        <f>IFERROR(VLOOKUP(C357, [6]條件!$A:$L, 7, 0), "")</f>
        <v/>
      </c>
      <c r="H357" s="978" t="str">
        <f>IF(ISNA(VLOOKUP(C357,[6]條件!$A$1:$K$932,11,0)),"",(VLOOKUP(C357,[6]條件!$A$1:$K$932,11,0)))</f>
        <v/>
      </c>
      <c r="I357" s="979" t="str">
        <f>IF(ISNA(VLOOKUP(C357,[6]條件!$A$1:$L$932,12,0)),"",(VLOOKUP(C357,[6]條件!$A$1:$L$932,12,0)))</f>
        <v/>
      </c>
      <c r="J357" s="982"/>
      <c r="K357" s="980"/>
      <c r="L357" s="981" t="s">
        <v>632</v>
      </c>
      <c r="M357" s="983"/>
      <c r="N357" s="982"/>
      <c r="O357" s="980"/>
      <c r="P357" s="981" t="s">
        <v>632</v>
      </c>
      <c r="Q357" s="983"/>
      <c r="R357" s="982"/>
      <c r="S357" s="980"/>
      <c r="T357" s="981" t="s">
        <v>632</v>
      </c>
      <c r="U357" s="983"/>
      <c r="V357" s="982"/>
      <c r="W357" s="980"/>
      <c r="X357" s="981" t="s">
        <v>632</v>
      </c>
      <c r="Y357" s="983"/>
      <c r="Z357" s="1412" t="str">
        <f>IFERROR(VLOOKUP(C357, [6]條件!$A:$L, 3, 0), "")</f>
        <v/>
      </c>
      <c r="AA357" s="984" t="str">
        <f>IF(OR(L357={"改紡","檢修","了機","清車","FINAL","停機","SAMPLE","TEST","絲開發"}), L357, IFERROR(IF(C357="", "", (SUM(J357, N357, R357, V357)/3 * AG357) * IF(AND(AF357="S", AS357="雙"), 0.5, 1)), ""))</f>
        <v>停機</v>
      </c>
      <c r="AB357" s="1413" t="str">
        <f t="shared" ref="AB357:AB393" si="65">IF(K357="","",IF(ISERROR(1-(SUM(K357,O357,S357,W357)/208/Z357)),"",(1-(SUM(K357,O357,S357,W357)/208/Z357))))</f>
        <v/>
      </c>
      <c r="AC357" s="984" t="str">
        <f>IF(OR(L357={"改紡","檢修","了機","清車","FINAL","停機","SAMPLE","TEST"}), "", IFERROR(IF(C357="", "", AVERAGE(L357:M357, P357:Q357, T357:U357, X357:Y357)/100), ""))</f>
        <v/>
      </c>
      <c r="AD357" s="984" t="str">
        <f t="shared" si="58"/>
        <v/>
      </c>
      <c r="AE357" s="984" t="str">
        <f>IF(OR(L357="改紡", L357="檢修", L357="了機"), "",
   IF(AND(C357&lt;&gt;"", J357&lt;&gt;""),
      IFERROR((SUM(J357, N357, R357, V357) - SUM(K357, O357, S357, W357))/24 * AG357, ""),
   "")
)</f>
        <v/>
      </c>
      <c r="AF357" s="985" t="str">
        <f t="shared" si="59"/>
        <v>M</v>
      </c>
      <c r="AG357" s="1414">
        <v>1</v>
      </c>
      <c r="AH357" s="1002" t="s">
        <v>640</v>
      </c>
      <c r="AI357" s="1002" t="s">
        <v>640</v>
      </c>
      <c r="AJ357" s="986" t="s">
        <v>640</v>
      </c>
      <c r="AK357" s="1417" t="s">
        <v>640</v>
      </c>
      <c r="AL357" s="1415"/>
      <c r="AM357" s="1323"/>
      <c r="AN357" s="1323"/>
      <c r="AO357" s="1323"/>
      <c r="AP357" s="1323"/>
      <c r="AQ357" s="1323"/>
      <c r="AR357" s="987"/>
      <c r="AS357" s="978" t="str">
        <f t="shared" si="60"/>
        <v>單</v>
      </c>
      <c r="AT357" s="978" t="str">
        <f t="shared" si="61"/>
        <v>全</v>
      </c>
      <c r="AU357" s="978" t="str">
        <f t="shared" si="62"/>
        <v/>
      </c>
      <c r="AV357" s="978" t="str">
        <f t="shared" si="63"/>
        <v/>
      </c>
    </row>
    <row r="358" spans="1:48">
      <c r="A358" s="975">
        <f t="shared" si="64"/>
        <v>46151</v>
      </c>
      <c r="B358" s="976" t="s">
        <v>243</v>
      </c>
      <c r="C358" s="988" t="s">
        <v>16185</v>
      </c>
      <c r="D358" s="1410"/>
      <c r="E358" s="977" t="str">
        <f>IFERROR(VLOOKUP(C358, [6]條件!$A:$L, 5, 0), "")</f>
        <v/>
      </c>
      <c r="F358" s="978" t="str">
        <f>IFERROR(VLOOKUP(C358, [6]條件!$A:$L, 6, 0), "")</f>
        <v/>
      </c>
      <c r="G358" s="1411" t="str">
        <f>IFERROR(VLOOKUP(C358, [6]條件!$A:$L, 7, 0), "")</f>
        <v/>
      </c>
      <c r="H358" s="978" t="str">
        <f>IF(ISNA(VLOOKUP(C358,[6]條件!$A$1:$K$932,11,0)),"",(VLOOKUP(C358,[6]條件!$A$1:$K$932,11,0)))</f>
        <v/>
      </c>
      <c r="I358" s="979" t="str">
        <f>IF(ISNA(VLOOKUP(C358,[6]條件!$A$1:$L$932,12,0)),"",(VLOOKUP(C358,[6]條件!$A$1:$L$932,12,0)))</f>
        <v/>
      </c>
      <c r="J358" s="982"/>
      <c r="K358" s="980"/>
      <c r="L358" s="981" t="s">
        <v>632</v>
      </c>
      <c r="M358" s="983"/>
      <c r="N358" s="982"/>
      <c r="O358" s="980"/>
      <c r="P358" s="981" t="s">
        <v>632</v>
      </c>
      <c r="Q358" s="983"/>
      <c r="R358" s="982"/>
      <c r="S358" s="980"/>
      <c r="T358" s="981" t="s">
        <v>632</v>
      </c>
      <c r="U358" s="983"/>
      <c r="V358" s="982"/>
      <c r="W358" s="980"/>
      <c r="X358" s="981" t="s">
        <v>632</v>
      </c>
      <c r="Y358" s="983"/>
      <c r="Z358" s="1412" t="str">
        <f>IFERROR(VLOOKUP(C358, [6]條件!$A:$L, 3, 0), "")</f>
        <v/>
      </c>
      <c r="AA358" s="984" t="str">
        <f>IF(OR(L358={"改紡","檢修","了機","清車","FINAL","停機","SAMPLE","TEST","絲開發"}), L358, IFERROR(IF(C358="", "", (SUM(J358, N358, R358, V358)/3 * AG358) * IF(AND(AF358="S", AS358="雙"), 0.5, 1)), ""))</f>
        <v>停機</v>
      </c>
      <c r="AB358" s="1413" t="str">
        <f t="shared" si="65"/>
        <v/>
      </c>
      <c r="AC358" s="984" t="str">
        <f>IF(OR(L358={"改紡","檢修","了機","清車","FINAL","停機","SAMPLE","TEST"}), "", IFERROR(IF(C358="", "", AVERAGE(L358:M358, P358:Q358, T358:U358, X358:Y358)/100), ""))</f>
        <v/>
      </c>
      <c r="AD358" s="984" t="str">
        <f t="shared" si="58"/>
        <v/>
      </c>
      <c r="AE358" s="984" t="str">
        <f t="shared" ref="AE358:AE393" si="66">IF(OR(L358="改紡", L358="檢修", L358="了機"), "",
IF(AND(C358&lt;&gt;"", J358&lt;&gt;""),
IFERROR((SUM(J358, N358, R358, V358) - SUM(K358, O358, S358, W358))/24 * AG358, ""),
"")
)</f>
        <v/>
      </c>
      <c r="AF358" s="985" t="str">
        <f t="shared" si="59"/>
        <v>M</v>
      </c>
      <c r="AG358" s="1414">
        <v>1</v>
      </c>
      <c r="AH358" s="1002" t="s">
        <v>640</v>
      </c>
      <c r="AI358" s="1002" t="s">
        <v>640</v>
      </c>
      <c r="AJ358" s="986" t="s">
        <v>640</v>
      </c>
      <c r="AK358" s="1417" t="s">
        <v>640</v>
      </c>
      <c r="AL358" s="1415"/>
      <c r="AM358" s="1323"/>
      <c r="AN358" s="1323"/>
      <c r="AO358" s="1323"/>
      <c r="AP358" s="1323"/>
      <c r="AQ358" s="1323"/>
      <c r="AR358" s="987"/>
      <c r="AS358" s="978" t="str">
        <f t="shared" si="60"/>
        <v>單</v>
      </c>
      <c r="AT358" s="978" t="str">
        <f t="shared" si="61"/>
        <v>全</v>
      </c>
      <c r="AU358" s="978" t="str">
        <f t="shared" si="62"/>
        <v/>
      </c>
      <c r="AV358" s="978" t="str">
        <f t="shared" si="63"/>
        <v/>
      </c>
    </row>
    <row r="359" spans="1:48">
      <c r="A359" s="975">
        <f t="shared" si="64"/>
        <v>46151</v>
      </c>
      <c r="B359" s="976" t="s">
        <v>244</v>
      </c>
      <c r="C359" s="988" t="s">
        <v>16185</v>
      </c>
      <c r="D359" s="1410"/>
      <c r="E359" s="977" t="str">
        <f>IFERROR(VLOOKUP(C359, [6]條件!$A:$L, 5, 0), "")</f>
        <v/>
      </c>
      <c r="F359" s="978" t="str">
        <f>IFERROR(VLOOKUP(C359, [6]條件!$A:$L, 6, 0), "")</f>
        <v/>
      </c>
      <c r="G359" s="1411" t="str">
        <f>IFERROR(VLOOKUP(C359, [6]條件!$A:$L, 7, 0), "")</f>
        <v/>
      </c>
      <c r="H359" s="978" t="str">
        <f>IF(ISNA(VLOOKUP(C359,[6]條件!$A$1:$K$932,11,0)),"",(VLOOKUP(C359,[6]條件!$A$1:$K$932,11,0)))</f>
        <v/>
      </c>
      <c r="I359" s="979" t="str">
        <f>IF(ISNA(VLOOKUP(C359,[6]條件!$A$1:$L$932,12,0)),"",(VLOOKUP(C359,[6]條件!$A$1:$L$932,12,0)))</f>
        <v/>
      </c>
      <c r="J359" s="982"/>
      <c r="K359" s="980"/>
      <c r="L359" s="981" t="s">
        <v>632</v>
      </c>
      <c r="M359" s="983"/>
      <c r="N359" s="982"/>
      <c r="O359" s="980"/>
      <c r="P359" s="981" t="s">
        <v>632</v>
      </c>
      <c r="Q359" s="983"/>
      <c r="R359" s="982"/>
      <c r="S359" s="980"/>
      <c r="T359" s="981" t="s">
        <v>632</v>
      </c>
      <c r="U359" s="983"/>
      <c r="V359" s="982"/>
      <c r="W359" s="980"/>
      <c r="X359" s="981" t="s">
        <v>632</v>
      </c>
      <c r="Y359" s="983"/>
      <c r="Z359" s="1412" t="str">
        <f>IFERROR(VLOOKUP(C359, [6]條件!$A:$L, 3, 0), "")</f>
        <v/>
      </c>
      <c r="AA359" s="984" t="str">
        <f>IF(OR(L359={"改紡","檢修","了機","清車","FINAL","停機","SAMPLE","TEST","絲開發"}), L359, IFERROR(IF(C359="", "", (SUM(J359, N359, R359, V359)/3 * AG359) * IF(AND(AF359="S", AS359="雙"), 0.5, 1)), ""))</f>
        <v>停機</v>
      </c>
      <c r="AB359" s="1413" t="str">
        <f t="shared" si="65"/>
        <v/>
      </c>
      <c r="AC359" s="984" t="str">
        <f>IF(OR(L359={"改紡","檢修","了機","清車","FINAL","停機","SAMPLE","TEST"}), "", IFERROR(IF(C359="", "", AVERAGE(L359:M359, P359:Q359, T359:U359, X359:Y359)/100), ""))</f>
        <v/>
      </c>
      <c r="AD359" s="984" t="str">
        <f t="shared" si="58"/>
        <v/>
      </c>
      <c r="AE359" s="984" t="str">
        <f t="shared" si="66"/>
        <v/>
      </c>
      <c r="AF359" s="985" t="str">
        <f t="shared" si="59"/>
        <v>M</v>
      </c>
      <c r="AG359" s="1414">
        <v>1</v>
      </c>
      <c r="AH359" s="1002" t="s">
        <v>640</v>
      </c>
      <c r="AI359" s="1002" t="s">
        <v>640</v>
      </c>
      <c r="AJ359" s="986" t="s">
        <v>640</v>
      </c>
      <c r="AK359" s="1417" t="s">
        <v>640</v>
      </c>
      <c r="AL359" s="1415"/>
      <c r="AM359" s="1323"/>
      <c r="AN359" s="1323"/>
      <c r="AO359" s="1323"/>
      <c r="AP359" s="1323"/>
      <c r="AQ359" s="1323"/>
      <c r="AR359" s="987"/>
      <c r="AS359" s="978" t="str">
        <f t="shared" si="60"/>
        <v>單</v>
      </c>
      <c r="AT359" s="978" t="str">
        <f t="shared" si="61"/>
        <v>全</v>
      </c>
      <c r="AU359" s="978" t="str">
        <f t="shared" si="62"/>
        <v/>
      </c>
      <c r="AV359" s="978" t="str">
        <f t="shared" si="63"/>
        <v/>
      </c>
    </row>
    <row r="360" spans="1:48">
      <c r="A360" s="975">
        <f t="shared" si="64"/>
        <v>46151</v>
      </c>
      <c r="B360" s="976" t="s">
        <v>245</v>
      </c>
      <c r="C360" s="988" t="s">
        <v>16185</v>
      </c>
      <c r="D360" s="1410"/>
      <c r="E360" s="977" t="str">
        <f>IFERROR(VLOOKUP(C360, [6]條件!$A:$L, 5, 0), "")</f>
        <v/>
      </c>
      <c r="F360" s="978" t="str">
        <f>IFERROR(VLOOKUP(C360, [6]條件!$A:$L, 6, 0), "")</f>
        <v/>
      </c>
      <c r="G360" s="1411" t="str">
        <f>IFERROR(VLOOKUP(C360, [6]條件!$A:$L, 7, 0), "")</f>
        <v/>
      </c>
      <c r="H360" s="978" t="str">
        <f>IF(ISNA(VLOOKUP(C360,[6]條件!$A$1:$K$932,11,0)),"",(VLOOKUP(C360,[6]條件!$A$1:$K$932,11,0)))</f>
        <v/>
      </c>
      <c r="I360" s="979" t="str">
        <f>IF(ISNA(VLOOKUP(C360,[6]條件!$A$1:$L$932,12,0)),"",(VLOOKUP(C360,[6]條件!$A$1:$L$932,12,0)))</f>
        <v/>
      </c>
      <c r="J360" s="982"/>
      <c r="K360" s="980"/>
      <c r="L360" s="981" t="s">
        <v>632</v>
      </c>
      <c r="M360" s="983"/>
      <c r="N360" s="982"/>
      <c r="O360" s="980"/>
      <c r="P360" s="981" t="s">
        <v>632</v>
      </c>
      <c r="Q360" s="983"/>
      <c r="R360" s="982"/>
      <c r="S360" s="980"/>
      <c r="T360" s="981" t="s">
        <v>632</v>
      </c>
      <c r="U360" s="983"/>
      <c r="V360" s="982"/>
      <c r="W360" s="980"/>
      <c r="X360" s="981" t="s">
        <v>632</v>
      </c>
      <c r="Y360" s="983"/>
      <c r="Z360" s="1412" t="str">
        <f>IFERROR(VLOOKUP(C360, [6]條件!$A:$L, 3, 0), "")</f>
        <v/>
      </c>
      <c r="AA360" s="984" t="str">
        <f>IF(OR(L360={"改紡","檢修","了機","清車","FINAL","停機","SAMPLE","TEST","絲開發"}), L360, IFERROR(IF(C360="", "", (SUM(J360, N360, R360, V360)/3 * AG360) * IF(AND(AF360="S", AS360="雙"), 0.5, 1)), ""))</f>
        <v>停機</v>
      </c>
      <c r="AB360" s="1413" t="str">
        <f t="shared" si="65"/>
        <v/>
      </c>
      <c r="AC360" s="984" t="str">
        <f>IF(OR(L360={"改紡","檢修","了機","清車","FINAL","停機","SAMPLE","TEST"}), "", IFERROR(IF(C360="", "", AVERAGE(L360:M360, P360:Q360, T360:U360, X360:Y360)/100), ""))</f>
        <v/>
      </c>
      <c r="AD360" s="984" t="str">
        <f t="shared" si="58"/>
        <v/>
      </c>
      <c r="AE360" s="984" t="str">
        <f t="shared" si="66"/>
        <v/>
      </c>
      <c r="AF360" s="985" t="str">
        <f t="shared" si="59"/>
        <v>M</v>
      </c>
      <c r="AG360" s="1414">
        <v>1</v>
      </c>
      <c r="AH360" s="1002" t="s">
        <v>640</v>
      </c>
      <c r="AI360" s="1002" t="s">
        <v>640</v>
      </c>
      <c r="AJ360" s="986" t="s">
        <v>640</v>
      </c>
      <c r="AK360" s="1417" t="s">
        <v>640</v>
      </c>
      <c r="AL360" s="1415"/>
      <c r="AM360" s="1323"/>
      <c r="AN360" s="1323"/>
      <c r="AO360" s="1323"/>
      <c r="AP360" s="1323"/>
      <c r="AQ360" s="1323"/>
      <c r="AR360" s="987"/>
      <c r="AS360" s="978" t="str">
        <f t="shared" si="60"/>
        <v>單</v>
      </c>
      <c r="AT360" s="978" t="str">
        <f t="shared" si="61"/>
        <v>全</v>
      </c>
      <c r="AU360" s="978" t="str">
        <f t="shared" si="62"/>
        <v/>
      </c>
      <c r="AV360" s="978" t="str">
        <f t="shared" si="63"/>
        <v/>
      </c>
    </row>
    <row r="361" spans="1:48">
      <c r="A361" s="975">
        <f t="shared" si="64"/>
        <v>46151</v>
      </c>
      <c r="B361" s="976" t="s">
        <v>246</v>
      </c>
      <c r="C361" s="988" t="s">
        <v>16185</v>
      </c>
      <c r="D361" s="1410"/>
      <c r="E361" s="977" t="str">
        <f>IFERROR(VLOOKUP(C361, [6]條件!$A:$L, 5, 0), "")</f>
        <v/>
      </c>
      <c r="F361" s="978" t="str">
        <f>IFERROR(VLOOKUP(C361, [6]條件!$A:$L, 6, 0), "")</f>
        <v/>
      </c>
      <c r="G361" s="1411" t="str">
        <f>IFERROR(VLOOKUP(C361, [6]條件!$A:$L, 7, 0), "")</f>
        <v/>
      </c>
      <c r="H361" s="978" t="str">
        <f>IF(ISNA(VLOOKUP(C361,[6]條件!$A$1:$K$932,11,0)),"",(VLOOKUP(C361,[6]條件!$A$1:$K$932,11,0)))</f>
        <v/>
      </c>
      <c r="I361" s="979" t="str">
        <f>IF(ISNA(VLOOKUP(C361,[6]條件!$A$1:$L$932,12,0)),"",(VLOOKUP(C361,[6]條件!$A$1:$L$932,12,0)))</f>
        <v/>
      </c>
      <c r="J361" s="982"/>
      <c r="K361" s="980"/>
      <c r="L361" s="981" t="s">
        <v>632</v>
      </c>
      <c r="M361" s="983"/>
      <c r="N361" s="982"/>
      <c r="O361" s="980"/>
      <c r="P361" s="981" t="s">
        <v>632</v>
      </c>
      <c r="Q361" s="983"/>
      <c r="R361" s="982"/>
      <c r="S361" s="980"/>
      <c r="T361" s="981" t="s">
        <v>632</v>
      </c>
      <c r="U361" s="983"/>
      <c r="V361" s="982"/>
      <c r="W361" s="980"/>
      <c r="X361" s="981" t="s">
        <v>632</v>
      </c>
      <c r="Y361" s="983"/>
      <c r="Z361" s="1412" t="str">
        <f>IFERROR(VLOOKUP(C361, [6]條件!$A:$L, 3, 0), "")</f>
        <v/>
      </c>
      <c r="AA361" s="984" t="str">
        <f>IF(OR(L361={"改紡","檢修","了機","清車","FINAL","停機","SAMPLE","TEST","絲開發"}), L361, IFERROR(IF(C361="", "", (SUM(J361, N361, R361, V361)/3 * AG361) * IF(AND(AF361="S", AS361="雙"), 0.5, 1)), ""))</f>
        <v>停機</v>
      </c>
      <c r="AB361" s="1413" t="str">
        <f t="shared" si="65"/>
        <v/>
      </c>
      <c r="AC361" s="984" t="str">
        <f>IF(OR(L361={"改紡","檢修","了機","清車","FINAL","停機","SAMPLE","TEST"}), "", IFERROR(IF(C361="", "", AVERAGE(L361:M361, P361:Q361, T361:U361, X361:Y361)/100), ""))</f>
        <v/>
      </c>
      <c r="AD361" s="984" t="str">
        <f t="shared" si="58"/>
        <v/>
      </c>
      <c r="AE361" s="984" t="str">
        <f t="shared" si="66"/>
        <v/>
      </c>
      <c r="AF361" s="985" t="str">
        <f t="shared" si="59"/>
        <v>M</v>
      </c>
      <c r="AG361" s="1414">
        <v>1</v>
      </c>
      <c r="AH361" s="1002" t="s">
        <v>640</v>
      </c>
      <c r="AI361" s="1002" t="s">
        <v>640</v>
      </c>
      <c r="AJ361" s="986" t="s">
        <v>640</v>
      </c>
      <c r="AK361" s="1417" t="s">
        <v>640</v>
      </c>
      <c r="AL361" s="1415"/>
      <c r="AM361" s="1323"/>
      <c r="AN361" s="1323"/>
      <c r="AO361" s="1323"/>
      <c r="AP361" s="1323"/>
      <c r="AQ361" s="1323"/>
      <c r="AR361" s="987"/>
      <c r="AS361" s="978" t="str">
        <f t="shared" si="60"/>
        <v>單</v>
      </c>
      <c r="AT361" s="978" t="str">
        <f t="shared" si="61"/>
        <v>全</v>
      </c>
      <c r="AU361" s="978" t="str">
        <f t="shared" si="62"/>
        <v/>
      </c>
      <c r="AV361" s="978" t="str">
        <f t="shared" si="63"/>
        <v/>
      </c>
    </row>
    <row r="362" spans="1:48">
      <c r="A362" s="975">
        <f t="shared" si="64"/>
        <v>46151</v>
      </c>
      <c r="B362" s="976" t="s">
        <v>247</v>
      </c>
      <c r="C362" s="988" t="s">
        <v>16185</v>
      </c>
      <c r="D362" s="1410"/>
      <c r="E362" s="977" t="str">
        <f>IFERROR(VLOOKUP(C362, [6]條件!$A:$L, 5, 0), "")</f>
        <v/>
      </c>
      <c r="F362" s="978" t="str">
        <f>IFERROR(VLOOKUP(C362, [6]條件!$A:$L, 6, 0), "")</f>
        <v/>
      </c>
      <c r="G362" s="1411" t="str">
        <f>IFERROR(VLOOKUP(C362, [6]條件!$A:$L, 7, 0), "")</f>
        <v/>
      </c>
      <c r="H362" s="978" t="str">
        <f>IF(ISNA(VLOOKUP(C362,[6]條件!$A$1:$K$932,11,0)),"",(VLOOKUP(C362,[6]條件!$A$1:$K$932,11,0)))</f>
        <v/>
      </c>
      <c r="I362" s="979" t="str">
        <f>IF(ISNA(VLOOKUP(C362,[6]條件!$A$1:$L$932,12,0)),"",(VLOOKUP(C362,[6]條件!$A$1:$L$932,12,0)))</f>
        <v/>
      </c>
      <c r="J362" s="982"/>
      <c r="K362" s="980"/>
      <c r="L362" s="981" t="s">
        <v>632</v>
      </c>
      <c r="M362" s="983"/>
      <c r="N362" s="982"/>
      <c r="O362" s="980"/>
      <c r="P362" s="981" t="s">
        <v>632</v>
      </c>
      <c r="Q362" s="983"/>
      <c r="R362" s="982"/>
      <c r="S362" s="980"/>
      <c r="T362" s="981" t="s">
        <v>632</v>
      </c>
      <c r="U362" s="983"/>
      <c r="V362" s="982"/>
      <c r="W362" s="980"/>
      <c r="X362" s="981" t="s">
        <v>632</v>
      </c>
      <c r="Y362" s="983"/>
      <c r="Z362" s="1412" t="str">
        <f>IFERROR(VLOOKUP(C362, [6]條件!$A:$L, 3, 0), "")</f>
        <v/>
      </c>
      <c r="AA362" s="984" t="str">
        <f>IF(OR(L362={"改紡","檢修","了機","清車","FINAL","停機","SAMPLE","TEST","絲開發"}), L362, IFERROR(IF(C362="", "", (SUM(J362, N362, R362, V362)/3 * AG362) * IF(AND(AF362="S", AS362="雙"), 0.5, 1)), ""))</f>
        <v>停機</v>
      </c>
      <c r="AB362" s="1413" t="str">
        <f t="shared" si="65"/>
        <v/>
      </c>
      <c r="AC362" s="984" t="str">
        <f>IF(OR(L362={"改紡","檢修","了機","清車","FINAL","停機","SAMPLE","TEST"}), "", IFERROR(IF(C362="", "", AVERAGE(L362:M362, P362:Q362, T362:U362, X362:Y362)/100), ""))</f>
        <v/>
      </c>
      <c r="AD362" s="984" t="str">
        <f t="shared" si="58"/>
        <v/>
      </c>
      <c r="AE362" s="984" t="str">
        <f t="shared" si="66"/>
        <v/>
      </c>
      <c r="AF362" s="985" t="str">
        <f t="shared" si="59"/>
        <v>M</v>
      </c>
      <c r="AG362" s="1414">
        <v>1</v>
      </c>
      <c r="AH362" s="1002" t="s">
        <v>640</v>
      </c>
      <c r="AI362" s="1002" t="s">
        <v>640</v>
      </c>
      <c r="AJ362" s="986" t="s">
        <v>640</v>
      </c>
      <c r="AK362" s="1417" t="s">
        <v>640</v>
      </c>
      <c r="AL362" s="1415"/>
      <c r="AM362" s="1323"/>
      <c r="AN362" s="1323"/>
      <c r="AO362" s="1323"/>
      <c r="AP362" s="1323"/>
      <c r="AQ362" s="1323"/>
      <c r="AR362" s="987"/>
      <c r="AS362" s="978" t="str">
        <f t="shared" si="60"/>
        <v>單</v>
      </c>
      <c r="AT362" s="978" t="str">
        <f t="shared" si="61"/>
        <v>全</v>
      </c>
      <c r="AU362" s="978" t="str">
        <f t="shared" si="62"/>
        <v/>
      </c>
      <c r="AV362" s="978" t="str">
        <f t="shared" si="63"/>
        <v/>
      </c>
    </row>
    <row r="363" spans="1:48">
      <c r="A363" s="975">
        <f t="shared" si="64"/>
        <v>46151</v>
      </c>
      <c r="B363" s="976" t="s">
        <v>248</v>
      </c>
      <c r="C363" s="988" t="s">
        <v>16185</v>
      </c>
      <c r="D363" s="1410"/>
      <c r="E363" s="977" t="str">
        <f>IFERROR(VLOOKUP(C363, [6]條件!$A:$L, 5, 0), "")</f>
        <v/>
      </c>
      <c r="F363" s="978" t="str">
        <f>IFERROR(VLOOKUP(C363, [6]條件!$A:$L, 6, 0), "")</f>
        <v/>
      </c>
      <c r="G363" s="1411" t="str">
        <f>IFERROR(VLOOKUP(C363, [6]條件!$A:$L, 7, 0), "")</f>
        <v/>
      </c>
      <c r="H363" s="978" t="str">
        <f>IF(ISNA(VLOOKUP(C363,[6]條件!$A$1:$K$932,11,0)),"",(VLOOKUP(C363,[6]條件!$A$1:$K$932,11,0)))</f>
        <v/>
      </c>
      <c r="I363" s="979" t="str">
        <f>IF(ISNA(VLOOKUP(C363,[6]條件!$A$1:$L$932,12,0)),"",(VLOOKUP(C363,[6]條件!$A$1:$L$932,12,0)))</f>
        <v/>
      </c>
      <c r="J363" s="982"/>
      <c r="K363" s="980"/>
      <c r="L363" s="981" t="s">
        <v>632</v>
      </c>
      <c r="M363" s="983"/>
      <c r="N363" s="982"/>
      <c r="O363" s="980"/>
      <c r="P363" s="981" t="s">
        <v>632</v>
      </c>
      <c r="Q363" s="983"/>
      <c r="R363" s="982"/>
      <c r="S363" s="980"/>
      <c r="T363" s="981" t="s">
        <v>632</v>
      </c>
      <c r="U363" s="983"/>
      <c r="V363" s="982"/>
      <c r="W363" s="980"/>
      <c r="X363" s="981" t="s">
        <v>632</v>
      </c>
      <c r="Y363" s="983"/>
      <c r="Z363" s="1412" t="str">
        <f>IFERROR(VLOOKUP(C363, [6]條件!$A:$L, 3, 0), "")</f>
        <v/>
      </c>
      <c r="AA363" s="984" t="str">
        <f>IF(OR(L363={"改紡","檢修","了機","清車","FINAL","停機","SAMPLE","TEST","絲開發"}), L363, IFERROR(IF(C363="", "", (SUM(J363, N363, R363, V363)/3 * AG363) * IF(AND(AF363="S", AS363="雙"), 0.5, 1)), ""))</f>
        <v>停機</v>
      </c>
      <c r="AB363" s="1413" t="str">
        <f t="shared" si="65"/>
        <v/>
      </c>
      <c r="AC363" s="984" t="str">
        <f>IF(OR(L363={"改紡","檢修","了機","清車","FINAL","停機","SAMPLE","TEST"}), "", IFERROR(IF(C363="", "", AVERAGE(L363:M363, P363:Q363, T363:U363, X363:Y363)/100), ""))</f>
        <v/>
      </c>
      <c r="AD363" s="984" t="str">
        <f t="shared" si="58"/>
        <v/>
      </c>
      <c r="AE363" s="984" t="str">
        <f t="shared" si="66"/>
        <v/>
      </c>
      <c r="AF363" s="985" t="str">
        <f t="shared" si="59"/>
        <v>M</v>
      </c>
      <c r="AG363" s="1414">
        <v>1</v>
      </c>
      <c r="AH363" s="1002" t="s">
        <v>640</v>
      </c>
      <c r="AI363" s="1002" t="s">
        <v>640</v>
      </c>
      <c r="AJ363" s="986" t="s">
        <v>640</v>
      </c>
      <c r="AK363" s="1417" t="s">
        <v>640</v>
      </c>
      <c r="AL363" s="1415"/>
      <c r="AM363" s="1323"/>
      <c r="AN363" s="1323"/>
      <c r="AO363" s="1323"/>
      <c r="AP363" s="1323"/>
      <c r="AQ363" s="1323"/>
      <c r="AR363" s="987"/>
      <c r="AS363" s="978" t="str">
        <f t="shared" si="60"/>
        <v>單</v>
      </c>
      <c r="AT363" s="978" t="str">
        <f t="shared" si="61"/>
        <v>全</v>
      </c>
      <c r="AU363" s="978" t="str">
        <f t="shared" si="62"/>
        <v/>
      </c>
      <c r="AV363" s="978" t="str">
        <f t="shared" si="63"/>
        <v/>
      </c>
    </row>
    <row r="364" spans="1:48" ht="17.25" thickBot="1">
      <c r="A364" s="989">
        <f t="shared" si="64"/>
        <v>46151</v>
      </c>
      <c r="B364" s="990" t="s">
        <v>249</v>
      </c>
      <c r="C364" s="991" t="s">
        <v>16185</v>
      </c>
      <c r="D364" s="1425"/>
      <c r="E364" s="1169" t="str">
        <f>IFERROR(VLOOKUP(C364, [6]條件!$A:$L, 5, 0), "")</f>
        <v/>
      </c>
      <c r="F364" s="992" t="str">
        <f>IFERROR(VLOOKUP(C364, [6]條件!$A:$L, 6, 0), "")</f>
        <v/>
      </c>
      <c r="G364" s="1426" t="str">
        <f>IFERROR(VLOOKUP(C364, [6]條件!$A:$L, 7, 0), "")</f>
        <v/>
      </c>
      <c r="H364" s="992" t="str">
        <f>IF(ISNA(VLOOKUP(C364,[6]條件!$A$1:$K$932,11,0)),"",(VLOOKUP(C364,[6]條件!$A$1:$K$932,11,0)))</f>
        <v/>
      </c>
      <c r="I364" s="1170" t="str">
        <f>IF(ISNA(VLOOKUP(C364,[6]條件!$A$1:$L$932,12,0)),"",(VLOOKUP(C364,[6]條件!$A$1:$L$932,12,0)))</f>
        <v/>
      </c>
      <c r="J364" s="995"/>
      <c r="K364" s="993"/>
      <c r="L364" s="994" t="s">
        <v>632</v>
      </c>
      <c r="M364" s="996"/>
      <c r="N364" s="995"/>
      <c r="O364" s="993"/>
      <c r="P364" s="994" t="s">
        <v>632</v>
      </c>
      <c r="Q364" s="996"/>
      <c r="R364" s="995"/>
      <c r="S364" s="993"/>
      <c r="T364" s="994" t="s">
        <v>632</v>
      </c>
      <c r="U364" s="996"/>
      <c r="V364" s="995"/>
      <c r="W364" s="993"/>
      <c r="X364" s="994" t="s">
        <v>632</v>
      </c>
      <c r="Y364" s="996"/>
      <c r="Z364" s="1427" t="str">
        <f>IFERROR(VLOOKUP(C364, [6]條件!$A:$L, 3, 0), "")</f>
        <v/>
      </c>
      <c r="AA364" s="997" t="str">
        <f>IF(OR(L364={"改紡","檢修","了機","清車","FINAL","停機","SAMPLE","TEST","絲開發"}), L364, IFERROR(IF(C364="", "", (SUM(J364, N364, R364, V364)/3 * AG364) * IF(AND(AF364="S", AS364="雙"), 0.5, 1)), ""))</f>
        <v>停機</v>
      </c>
      <c r="AB364" s="1428" t="str">
        <f t="shared" si="65"/>
        <v/>
      </c>
      <c r="AC364" s="997" t="str">
        <f>IF(OR(L364={"改紡","檢修","了機","清車","FINAL","停機","SAMPLE","TEST"}), "", IFERROR(IF(C364="", "", AVERAGE(L364:M364, P364:Q364, T364:U364, X364:Y364)/100), ""))</f>
        <v/>
      </c>
      <c r="AD364" s="997" t="str">
        <f t="shared" si="58"/>
        <v/>
      </c>
      <c r="AE364" s="997" t="str">
        <f t="shared" si="66"/>
        <v/>
      </c>
      <c r="AF364" s="998" t="str">
        <f t="shared" si="59"/>
        <v>M</v>
      </c>
      <c r="AG364" s="1429">
        <v>1</v>
      </c>
      <c r="AH364" s="1171" t="s">
        <v>640</v>
      </c>
      <c r="AI364" s="1171" t="s">
        <v>640</v>
      </c>
      <c r="AJ364" s="999" t="s">
        <v>640</v>
      </c>
      <c r="AK364" s="1430" t="s">
        <v>640</v>
      </c>
      <c r="AL364" s="1431"/>
      <c r="AM364" s="1325"/>
      <c r="AN364" s="1325"/>
      <c r="AO364" s="1325"/>
      <c r="AP364" s="1325"/>
      <c r="AQ364" s="1325"/>
      <c r="AR364" s="1000"/>
      <c r="AS364" s="992" t="str">
        <f t="shared" si="60"/>
        <v>單</v>
      </c>
      <c r="AT364" s="992" t="str">
        <f t="shared" si="61"/>
        <v>全</v>
      </c>
      <c r="AU364" s="992" t="str">
        <f t="shared" si="62"/>
        <v/>
      </c>
      <c r="AV364" s="992" t="str">
        <f t="shared" si="63"/>
        <v/>
      </c>
    </row>
    <row r="365" spans="1:48">
      <c r="A365" s="962">
        <v>46152</v>
      </c>
      <c r="B365" s="963" t="s">
        <v>212</v>
      </c>
      <c r="C365" s="963" t="s">
        <v>632</v>
      </c>
      <c r="D365" s="1403"/>
      <c r="E365" s="964" t="str">
        <f>IFERROR(VLOOKUP(C365, [6]條件!$A:$L, 5, 0), "")</f>
        <v/>
      </c>
      <c r="F365" s="965" t="str">
        <f>IFERROR(VLOOKUP(C365, [6]條件!$A:$L, 6, 0), "")</f>
        <v/>
      </c>
      <c r="G365" s="1404" t="str">
        <f>IFERROR(VLOOKUP(C365, [6]條件!$A:$L, 7, 0), "")</f>
        <v/>
      </c>
      <c r="H365" s="965" t="str">
        <f>IF(ISNA(VLOOKUP(C365,[6]條件!$A$1:$K$932,11,0)),"",(VLOOKUP(C365,[6]條件!$A$1:$K$932,11,0)))</f>
        <v/>
      </c>
      <c r="I365" s="966" t="str">
        <f>IF(ISNA(VLOOKUP(C365,[6]條件!$A$1:$L$932,12,0)),"",(VLOOKUP(C365,[6]條件!$A$1:$L$932,12,0)))</f>
        <v/>
      </c>
      <c r="J365" s="969"/>
      <c r="K365" s="967"/>
      <c r="L365" s="981" t="s">
        <v>632</v>
      </c>
      <c r="M365" s="970"/>
      <c r="N365" s="969"/>
      <c r="O365" s="967"/>
      <c r="P365" s="981" t="s">
        <v>632</v>
      </c>
      <c r="Q365" s="970"/>
      <c r="R365" s="969"/>
      <c r="S365" s="967"/>
      <c r="T365" s="981" t="s">
        <v>632</v>
      </c>
      <c r="U365" s="970"/>
      <c r="V365" s="969"/>
      <c r="W365" s="967"/>
      <c r="X365" s="981" t="s">
        <v>632</v>
      </c>
      <c r="Y365" s="970"/>
      <c r="Z365" s="1405" t="str">
        <f>IFERROR(VLOOKUP(C365, [6]條件!$A:$L, 3, 0), "")</f>
        <v/>
      </c>
      <c r="AA365" s="971" t="str">
        <f>IF(OR(L365={"改紡","檢修","了機","清車","FINAL","停機","SAMPLE","TEST","絲開發"}), L365, IFERROR(IF(C365="", "", (SUM(J365, N365, R365, V365)/3 * AG365) * IF(AND(AF365="S", AS365="雙"), 0.5, 1)), ""))</f>
        <v>停機</v>
      </c>
      <c r="AB365" s="1406" t="str">
        <f t="shared" si="65"/>
        <v/>
      </c>
      <c r="AC365" s="971" t="str">
        <f>IF(OR(L365={"改紡","檢修","了機","清車","FINAL","停機","SAMPLE","TEST"}), "", IFERROR(IF(C365="", "", AVERAGE(L365:M365, P365:Q365, T365:U365, X365:Y365)/100), ""))</f>
        <v/>
      </c>
      <c r="AD365" s="971" t="str">
        <f t="shared" si="58"/>
        <v/>
      </c>
      <c r="AE365" s="971" t="str">
        <f t="shared" si="66"/>
        <v/>
      </c>
      <c r="AF365" s="972" t="str">
        <f t="shared" si="59"/>
        <v>A</v>
      </c>
      <c r="AG365" s="1407">
        <v>1</v>
      </c>
      <c r="AH365" s="1001" t="s">
        <v>640</v>
      </c>
      <c r="AI365" s="1001" t="s">
        <v>640</v>
      </c>
      <c r="AJ365" s="1166" t="s">
        <v>640</v>
      </c>
      <c r="AK365" s="1408" t="s">
        <v>640</v>
      </c>
      <c r="AL365" s="1409"/>
      <c r="AM365" s="1322"/>
      <c r="AN365" s="1322"/>
      <c r="AO365" s="1322"/>
      <c r="AP365" s="1322"/>
      <c r="AQ365" s="1322"/>
      <c r="AR365" s="973"/>
      <c r="AS365" s="965" t="str">
        <f t="shared" si="60"/>
        <v>單</v>
      </c>
      <c r="AT365" s="965" t="str">
        <f t="shared" si="61"/>
        <v>全</v>
      </c>
      <c r="AU365" s="965" t="str">
        <f t="shared" si="62"/>
        <v/>
      </c>
      <c r="AV365" s="965" t="str">
        <f t="shared" si="63"/>
        <v/>
      </c>
    </row>
    <row r="366" spans="1:48">
      <c r="A366" s="975">
        <f t="shared" ref="A366:A403" si="67">A365</f>
        <v>46152</v>
      </c>
      <c r="B366" s="976" t="s">
        <v>214</v>
      </c>
      <c r="C366" s="976" t="s">
        <v>16708</v>
      </c>
      <c r="D366" s="1410"/>
      <c r="E366" s="977" t="str">
        <f>IFERROR(VLOOKUP(C366, [6]條件!$A:$L, 5, 0), "")</f>
        <v>75/36SDR</v>
      </c>
      <c r="F366" s="978" t="str">
        <f>IFERROR(VLOOKUP(C366, [6]條件!$A:$L, 6, 0), "")</f>
        <v>FP81386R</v>
      </c>
      <c r="G366" s="1411">
        <f>IFERROR(VLOOKUP(C366, [6]條件!$A:$L, 7, 0), "")</f>
        <v>780</v>
      </c>
      <c r="H366" s="978" t="str">
        <f>IF(ISNA(VLOOKUP(C366,[6]條件!$A$1:$K$932,11,0)),"",(VLOOKUP(C366,[6]條件!$A$1:$K$932,11,0)))</f>
        <v>綠底白點</v>
      </c>
      <c r="I366" s="979">
        <f>IF(ISNA(VLOOKUP(C366,[6]條件!$A$1:$L$932,12,0)),"",(VLOOKUP(C366,[6]條件!$A$1:$L$932,12,0)))</f>
        <v>5</v>
      </c>
      <c r="J366" s="982">
        <v>14</v>
      </c>
      <c r="K366" s="980">
        <v>0</v>
      </c>
      <c r="L366" s="981">
        <v>8916</v>
      </c>
      <c r="M366" s="983">
        <v>8348</v>
      </c>
      <c r="N366" s="982">
        <v>10</v>
      </c>
      <c r="O366" s="980">
        <v>0</v>
      </c>
      <c r="P366" s="981">
        <v>8918</v>
      </c>
      <c r="Q366" s="983">
        <v>8488</v>
      </c>
      <c r="R366" s="982">
        <v>7</v>
      </c>
      <c r="S366" s="980">
        <v>0</v>
      </c>
      <c r="T366" s="981">
        <v>8900</v>
      </c>
      <c r="U366" s="983">
        <v>8492</v>
      </c>
      <c r="V366" s="982">
        <v>18</v>
      </c>
      <c r="W366" s="980">
        <v>0</v>
      </c>
      <c r="X366" s="981">
        <v>8844</v>
      </c>
      <c r="Y366" s="983">
        <v>8292</v>
      </c>
      <c r="Z366" s="1412">
        <f>IFERROR(VLOOKUP(C366, [6]條件!$A:$L, 3, 0), "")</f>
        <v>1.7777777777777777</v>
      </c>
      <c r="AA366" s="984">
        <f>IF(OR(L366={"改紡","檢修","了機","清車","FINAL","停機","SAMPLE","TEST","絲開發"}), L366, IFERROR(IF(C366="", "", (SUM(J366, N366, R366, V366)/3 * AG366) * IF(AND(AF366="S", AS366="雙"), 0.5, 1)), ""))</f>
        <v>16.333333333333332</v>
      </c>
      <c r="AB366" s="1413">
        <f t="shared" si="65"/>
        <v>1</v>
      </c>
      <c r="AC366" s="984">
        <f>IF(OR(L366={"改紡","檢修","了機","清車","FINAL","停機","SAMPLE","TEST"}), "", IFERROR(IF(C366="", "", AVERAGE(L366:M366, P366:Q366, T366:U366, X366:Y366)/100), ""))</f>
        <v>86.497500000000002</v>
      </c>
      <c r="AD366" s="984">
        <f t="shared" si="58"/>
        <v>2.0416666666666665</v>
      </c>
      <c r="AE366" s="984">
        <f t="shared" si="66"/>
        <v>2.0416666666666665</v>
      </c>
      <c r="AF366" s="985" t="str">
        <f t="shared" si="59"/>
        <v>A</v>
      </c>
      <c r="AG366" s="1414">
        <v>1</v>
      </c>
      <c r="AH366" s="1002" t="s">
        <v>641</v>
      </c>
      <c r="AI366" s="1002" t="s">
        <v>641</v>
      </c>
      <c r="AJ366" s="986" t="s">
        <v>15368</v>
      </c>
      <c r="AK366" s="1417" t="s">
        <v>15368</v>
      </c>
      <c r="AL366" s="1415">
        <v>50</v>
      </c>
      <c r="AM366" s="1323">
        <v>46146</v>
      </c>
      <c r="AN366" s="1323">
        <v>46147</v>
      </c>
      <c r="AO366" s="1323"/>
      <c r="AP366" s="1323"/>
      <c r="AQ366" s="1323"/>
      <c r="AR366" s="987"/>
      <c r="AS366" s="978" t="str">
        <f t="shared" si="60"/>
        <v>單</v>
      </c>
      <c r="AT366" s="978" t="str">
        <f t="shared" si="61"/>
        <v>全</v>
      </c>
      <c r="AU366" s="978">
        <f t="shared" si="62"/>
        <v>75</v>
      </c>
      <c r="AV366" s="978">
        <f t="shared" si="63"/>
        <v>1.7487718560000001</v>
      </c>
    </row>
    <row r="367" spans="1:48">
      <c r="A367" s="975">
        <f t="shared" si="67"/>
        <v>46152</v>
      </c>
      <c r="B367" s="976" t="s">
        <v>215</v>
      </c>
      <c r="C367" s="976" t="s">
        <v>16746</v>
      </c>
      <c r="D367" s="1410" t="s">
        <v>633</v>
      </c>
      <c r="E367" s="977" t="str">
        <f>IFERROR(VLOOKUP(C367, [6]條件!$A:$L, 5, 0), "")</f>
        <v>75/24/2SDr</v>
      </c>
      <c r="F367" s="978" t="str">
        <f>IFERROR(VLOOKUP(C367, [6]條件!$A:$L, 6, 0), "")</f>
        <v>FP81391R×2</v>
      </c>
      <c r="G367" s="1411">
        <f>IFERROR(VLOOKUP(C367, [6]條件!$A:$L, 7, 0), "")</f>
        <v>700</v>
      </c>
      <c r="H367" s="978" t="str">
        <f>IF(ISNA(VLOOKUP(C367,[6]條件!$A$1:$K$932,11,0)),"",(VLOOKUP(C367,[6]條件!$A$1:$K$932,11,0)))</f>
        <v>紅底白點</v>
      </c>
      <c r="I367" s="979">
        <f>IF(ISNA(VLOOKUP(C367,[6]條件!$A$1:$L$932,12,0)),"",(VLOOKUP(C367,[6]條件!$A$1:$L$932,12,0)))</f>
        <v>5</v>
      </c>
      <c r="J367" s="982">
        <v>30</v>
      </c>
      <c r="K367" s="980">
        <v>0</v>
      </c>
      <c r="L367" s="981"/>
      <c r="M367" s="983">
        <v>8322</v>
      </c>
      <c r="N367" s="982">
        <v>6</v>
      </c>
      <c r="O367" s="980">
        <v>0</v>
      </c>
      <c r="P367" s="981" t="s">
        <v>632</v>
      </c>
      <c r="Q367" s="983">
        <v>9189</v>
      </c>
      <c r="R367" s="982">
        <v>8</v>
      </c>
      <c r="S367" s="980">
        <v>0</v>
      </c>
      <c r="T367" s="981" t="s">
        <v>632</v>
      </c>
      <c r="U367" s="983">
        <v>9219</v>
      </c>
      <c r="V367" s="982">
        <v>38</v>
      </c>
      <c r="W367" s="980">
        <v>0</v>
      </c>
      <c r="X367" s="981" t="s">
        <v>632</v>
      </c>
      <c r="Y367" s="983">
        <v>8944</v>
      </c>
      <c r="Z367" s="1412">
        <f>IFERROR(VLOOKUP(C367, [6]條件!$A:$L, 3, 0), "")</f>
        <v>3.2653061224489797</v>
      </c>
      <c r="AA367" s="984">
        <f>IF(OR(L367={"改紡","檢修","了機","清車","FINAL","停機","SAMPLE","TEST","絲開發"}), L367, IFERROR(IF(C367="", "", (SUM(J367, N367, R367, V367)/3 * AG367) * IF(AND(AF367="S", AS367="雙"), 0.5, 1)), ""))</f>
        <v>27.333333333333332</v>
      </c>
      <c r="AB367" s="1413">
        <f t="shared" si="65"/>
        <v>1</v>
      </c>
      <c r="AC367" s="984">
        <f>IF(OR(L367={"改紡","檢修","了機","清車","FINAL","停機","SAMPLE","TEST"}), "", IFERROR(IF(C367="", "", AVERAGE(L367:M367, P367:Q367, T367:U367, X367:Y367)/100), ""))</f>
        <v>89.185000000000002</v>
      </c>
      <c r="AD367" s="984">
        <f t="shared" si="58"/>
        <v>3.4166666666666665</v>
      </c>
      <c r="AE367" s="984">
        <f t="shared" si="66"/>
        <v>3.4166666666666665</v>
      </c>
      <c r="AF367" s="985" t="str">
        <f t="shared" si="59"/>
        <v>A</v>
      </c>
      <c r="AG367" s="1414">
        <v>1</v>
      </c>
      <c r="AH367" s="1002" t="s">
        <v>641</v>
      </c>
      <c r="AI367" s="1002" t="s">
        <v>641</v>
      </c>
      <c r="AJ367" s="986" t="s">
        <v>15368</v>
      </c>
      <c r="AK367" s="1417" t="s">
        <v>15368</v>
      </c>
      <c r="AL367" s="1415">
        <v>53</v>
      </c>
      <c r="AM367" s="1323">
        <v>46118</v>
      </c>
      <c r="AN367" s="1323">
        <v>46120</v>
      </c>
      <c r="AO367" s="1323">
        <v>46121</v>
      </c>
      <c r="AP367" s="1323"/>
      <c r="AQ367" s="1323"/>
      <c r="AR367" s="987"/>
      <c r="AS367" s="978" t="str">
        <f t="shared" si="60"/>
        <v>雙</v>
      </c>
      <c r="AT367" s="978" t="str">
        <f t="shared" si="61"/>
        <v>半</v>
      </c>
      <c r="AU367" s="978">
        <f t="shared" si="62"/>
        <v>75</v>
      </c>
      <c r="AV367" s="978">
        <f t="shared" si="63"/>
        <v>0.80908632000000003</v>
      </c>
    </row>
    <row r="368" spans="1:48">
      <c r="A368" s="975">
        <f t="shared" si="67"/>
        <v>46152</v>
      </c>
      <c r="B368" s="976" t="s">
        <v>216</v>
      </c>
      <c r="C368" s="976" t="s">
        <v>16764</v>
      </c>
      <c r="D368" s="1410"/>
      <c r="E368" s="977" t="str">
        <f>IFERROR(VLOOKUP(C368, [6]條件!$A:$L, 5, 0), "")</f>
        <v>150/48BK42</v>
      </c>
      <c r="F368" s="978" t="str">
        <f>IFERROR(VLOOKUP(C368, [6]條件!$A:$L, 6, 0), "")</f>
        <v>FP02421</v>
      </c>
      <c r="G368" s="1411">
        <f>IFERROR(VLOOKUP(C368, [6]條件!$A:$L, 7, 0), "")</f>
        <v>600</v>
      </c>
      <c r="H368" s="978" t="str">
        <f>IF(ISNA(VLOOKUP(C368,[6]條件!$A$1:$K$932,11,0)),"",(VLOOKUP(C368,[6]條件!$A$1:$K$932,11,0)))</f>
        <v>白桔方塊</v>
      </c>
      <c r="I368" s="979">
        <f>IF(ISNA(VLOOKUP(C368,[6]條件!$A$1:$L$932,12,0)),"",(VLOOKUP(C368,[6]條件!$A$1:$L$932,12,0)))</f>
        <v>5</v>
      </c>
      <c r="J368" s="982">
        <v>10</v>
      </c>
      <c r="K368" s="980">
        <v>3</v>
      </c>
      <c r="L368" s="981">
        <v>9275</v>
      </c>
      <c r="M368" s="983" t="s">
        <v>632</v>
      </c>
      <c r="N368" s="982">
        <v>2</v>
      </c>
      <c r="O368" s="980">
        <v>0</v>
      </c>
      <c r="P368" s="981">
        <v>9596</v>
      </c>
      <c r="Q368" s="983" t="s">
        <v>632</v>
      </c>
      <c r="R368" s="982">
        <v>0</v>
      </c>
      <c r="S368" s="980">
        <v>0</v>
      </c>
      <c r="T368" s="981">
        <v>9603</v>
      </c>
      <c r="U368" s="983" t="s">
        <v>632</v>
      </c>
      <c r="V368" s="982">
        <v>21</v>
      </c>
      <c r="W368" s="980">
        <v>0</v>
      </c>
      <c r="X368" s="981">
        <v>9221</v>
      </c>
      <c r="Y368" s="983" t="s">
        <v>632</v>
      </c>
      <c r="Z368" s="1412">
        <f>IFERROR(VLOOKUP(C368, [6]條件!$A:$L, 3, 0), "")</f>
        <v>2.8346456692913384</v>
      </c>
      <c r="AA368" s="984">
        <f>IF(OR(L368={"改紡","檢修","了機","清車","FINAL","停機","SAMPLE","TEST","絲開發"}), L368, IFERROR(IF(C368="", "", (SUM(J368, N368, R368, V368)/3 * AG368) * IF(AND(AF368="S", AS368="雙"), 0.5, 1)), ""))</f>
        <v>22</v>
      </c>
      <c r="AB368" s="1413">
        <f t="shared" si="65"/>
        <v>0.99491185897435896</v>
      </c>
      <c r="AC368" s="984">
        <f>IF(OR(L368={"改紡","檢修","了機","清車","FINAL","停機","SAMPLE","TEST"}), "", IFERROR(IF(C368="", "", AVERAGE(L368:M368, P368:Q368, T368:U368, X368:Y368)/100), ""))</f>
        <v>94.237499999999997</v>
      </c>
      <c r="AD368" s="984">
        <f t="shared" si="58"/>
        <v>2.75</v>
      </c>
      <c r="AE368" s="984">
        <f t="shared" si="66"/>
        <v>2.5</v>
      </c>
      <c r="AF368" s="985" t="str">
        <f t="shared" si="59"/>
        <v>A</v>
      </c>
      <c r="AG368" s="1414">
        <v>2</v>
      </c>
      <c r="AH368" s="1002" t="s">
        <v>641</v>
      </c>
      <c r="AI368" s="1002" t="s">
        <v>641</v>
      </c>
      <c r="AJ368" s="986" t="s">
        <v>725</v>
      </c>
      <c r="AK368" s="1417" t="s">
        <v>725</v>
      </c>
      <c r="AL368" s="1415">
        <v>52</v>
      </c>
      <c r="AM368" s="1323">
        <v>46149</v>
      </c>
      <c r="AN368" s="1323">
        <v>46150</v>
      </c>
      <c r="AO368" s="1323"/>
      <c r="AP368" s="1323"/>
      <c r="AQ368" s="1323"/>
      <c r="AR368" s="987"/>
      <c r="AS368" s="978" t="str">
        <f t="shared" si="60"/>
        <v>單</v>
      </c>
      <c r="AT368" s="978" t="str">
        <f t="shared" si="61"/>
        <v>半</v>
      </c>
      <c r="AU368" s="978">
        <f t="shared" si="62"/>
        <v>150</v>
      </c>
      <c r="AV368" s="978">
        <f t="shared" si="63"/>
        <v>1.4655815999999999</v>
      </c>
    </row>
    <row r="369" spans="1:48">
      <c r="A369" s="975">
        <f t="shared" si="67"/>
        <v>46152</v>
      </c>
      <c r="B369" s="976" t="s">
        <v>217</v>
      </c>
      <c r="C369" s="976" t="s">
        <v>16197</v>
      </c>
      <c r="D369" s="1410"/>
      <c r="E369" s="977" t="str">
        <f>IFERROR(VLOOKUP(C369, [6]條件!$A:$L, 5, 0), "")</f>
        <v>75/36HC</v>
      </c>
      <c r="F369" s="978" t="str">
        <f>IFERROR(VLOOKUP(C369, [6]條件!$A:$L, 6, 0), "")</f>
        <v>FP81857R</v>
      </c>
      <c r="G369" s="1411">
        <f>IFERROR(VLOOKUP(C369, [6]條件!$A:$L, 7, 0), "")</f>
        <v>600</v>
      </c>
      <c r="H369" s="978" t="str">
        <f>IF(ISNA(VLOOKUP(C369,[6]條件!$A$1:$K$932,11,0)),"",(VLOOKUP(C369,[6]條件!$A$1:$K$932,11,0)))</f>
        <v>白底綠方塊</v>
      </c>
      <c r="I369" s="979">
        <f>IF(ISNA(VLOOKUP(C369,[6]條件!$A$1:$L$932,12,0)),"",(VLOOKUP(C369,[6]條件!$A$1:$L$932,12,0)))</f>
        <v>4</v>
      </c>
      <c r="J369" s="982">
        <v>13</v>
      </c>
      <c r="K369" s="980">
        <v>0</v>
      </c>
      <c r="L369" s="981">
        <v>8350</v>
      </c>
      <c r="M369" s="983">
        <v>8816</v>
      </c>
      <c r="N369" s="982">
        <v>13</v>
      </c>
      <c r="O369" s="980">
        <v>0</v>
      </c>
      <c r="P369" s="981">
        <v>8330</v>
      </c>
      <c r="Q369" s="983">
        <v>8960</v>
      </c>
      <c r="R369" s="982">
        <v>9</v>
      </c>
      <c r="S369" s="980">
        <v>0</v>
      </c>
      <c r="T369" s="981">
        <v>8384</v>
      </c>
      <c r="U369" s="983">
        <v>8946</v>
      </c>
      <c r="V369" s="982">
        <v>22</v>
      </c>
      <c r="W369" s="980">
        <v>0</v>
      </c>
      <c r="X369" s="981">
        <v>8419</v>
      </c>
      <c r="Y369" s="983">
        <v>8879</v>
      </c>
      <c r="Z369" s="1412">
        <f>IFERROR(VLOOKUP(C369, [6]條件!$A:$L, 3, 0), "")</f>
        <v>1.7496962332928312</v>
      </c>
      <c r="AA369" s="984">
        <f>IF(OR(L369={"改紡","檢修","了機","清車","FINAL","停機","SAMPLE","TEST","絲開發"}), L369, IFERROR(IF(C369="", "", (SUM(J369, N369, R369, V369)/3 * AG369) * IF(AND(AF369="S", AS369="雙"), 0.5, 1)), ""))</f>
        <v>19</v>
      </c>
      <c r="AB369" s="1413">
        <f t="shared" si="65"/>
        <v>1</v>
      </c>
      <c r="AC369" s="984">
        <f>IF(OR(L369={"改紡","檢修","了機","清車","FINAL","停機","SAMPLE","TEST"}), "", IFERROR(IF(C369="", "", AVERAGE(L369:M369, P369:Q369, T369:U369, X369:Y369)/100), ""))</f>
        <v>86.355000000000004</v>
      </c>
      <c r="AD369" s="984">
        <f t="shared" si="58"/>
        <v>2.375</v>
      </c>
      <c r="AE369" s="984">
        <f t="shared" si="66"/>
        <v>2.375</v>
      </c>
      <c r="AF369" s="985" t="str">
        <f t="shared" si="59"/>
        <v>A</v>
      </c>
      <c r="AG369" s="1414">
        <v>1</v>
      </c>
      <c r="AH369" s="1002" t="s">
        <v>16154</v>
      </c>
      <c r="AI369" s="1002" t="s">
        <v>16154</v>
      </c>
      <c r="AJ369" s="986" t="s">
        <v>725</v>
      </c>
      <c r="AK369" s="1417" t="s">
        <v>725</v>
      </c>
      <c r="AL369" s="1415">
        <v>54</v>
      </c>
      <c r="AM369" s="1323">
        <v>45945</v>
      </c>
      <c r="AN369" s="1323">
        <v>45946</v>
      </c>
      <c r="AO369" s="1323">
        <v>45947</v>
      </c>
      <c r="AP369" s="1323"/>
      <c r="AQ369" s="1323"/>
      <c r="AR369" s="987"/>
      <c r="AS369" s="978" t="str">
        <f t="shared" si="60"/>
        <v>單</v>
      </c>
      <c r="AT369" s="978" t="str">
        <f t="shared" si="61"/>
        <v>全</v>
      </c>
      <c r="AU369" s="978">
        <f t="shared" si="62"/>
        <v>75</v>
      </c>
      <c r="AV369" s="978">
        <f t="shared" si="63"/>
        <v>1.3429929600000001</v>
      </c>
    </row>
    <row r="370" spans="1:48">
      <c r="A370" s="975">
        <f t="shared" si="67"/>
        <v>46152</v>
      </c>
      <c r="B370" s="976" t="s">
        <v>218</v>
      </c>
      <c r="C370" s="976" t="s">
        <v>16744</v>
      </c>
      <c r="D370" s="1410" t="s">
        <v>633</v>
      </c>
      <c r="E370" s="977" t="str">
        <f>IFERROR(VLOOKUP(C370, [6]條件!$A:$L, 5, 0), "")</f>
        <v>75/24/2SDr</v>
      </c>
      <c r="F370" s="978" t="str">
        <f>IFERROR(VLOOKUP(C370, [6]條件!$A:$L, 6, 0), "")</f>
        <v>FP81382R×2</v>
      </c>
      <c r="G370" s="1411">
        <f>IFERROR(VLOOKUP(C370, [6]條件!$A:$L, 7, 0), "")</f>
        <v>700</v>
      </c>
      <c r="H370" s="978" t="str">
        <f>IF(ISNA(VLOOKUP(C370,[6]條件!$A$1:$K$932,11,0)),"",(VLOOKUP(C370,[6]條件!$A$1:$K$932,11,0)))</f>
        <v>藍色</v>
      </c>
      <c r="I370" s="979">
        <f>IF(ISNA(VLOOKUP(C370,[6]條件!$A$1:$L$932,12,0)),"",(VLOOKUP(C370,[6]條件!$A$1:$L$932,12,0)))</f>
        <v>5</v>
      </c>
      <c r="J370" s="982"/>
      <c r="K370" s="980"/>
      <c r="L370" s="981" t="s">
        <v>127</v>
      </c>
      <c r="M370" s="983" t="s">
        <v>632</v>
      </c>
      <c r="N370" s="982"/>
      <c r="O370" s="980"/>
      <c r="P370" s="981" t="s">
        <v>127</v>
      </c>
      <c r="Q370" s="983" t="s">
        <v>632</v>
      </c>
      <c r="R370" s="982"/>
      <c r="S370" s="980"/>
      <c r="T370" s="981" t="s">
        <v>627</v>
      </c>
      <c r="U370" s="983" t="s">
        <v>632</v>
      </c>
      <c r="V370" s="982"/>
      <c r="W370" s="980"/>
      <c r="X370" s="981" t="s">
        <v>632</v>
      </c>
      <c r="Y370" s="983"/>
      <c r="Z370" s="1412">
        <f>IFERROR(VLOOKUP(C370, [6]條件!$A:$L, 3, 0), "")</f>
        <v>3.2505643340857788</v>
      </c>
      <c r="AA370" s="984" t="str">
        <f>IF(OR(L370={"改紡","檢修","了機","清車","FINAL","停機","SAMPLE","TEST","絲開發"}), L370, IFERROR(IF(C370="", "", (SUM(J370, N370, R370, V370)/3 * AG370) * IF(AND(AF370="S", AS370="雙"), 0.5, 1)), ""))</f>
        <v>了機</v>
      </c>
      <c r="AB370" s="1413" t="str">
        <f t="shared" si="65"/>
        <v/>
      </c>
      <c r="AC370" s="984" t="str">
        <f>IF(OR(L370={"改紡","檢修","了機","清車","FINAL","停機","SAMPLE","TEST"}), "", IFERROR(IF(C370="", "", AVERAGE(L370:M370, P370:Q370, T370:U370, X370:Y370)/100), ""))</f>
        <v/>
      </c>
      <c r="AD370" s="984" t="str">
        <f t="shared" si="58"/>
        <v/>
      </c>
      <c r="AE370" s="984" t="str">
        <f t="shared" si="66"/>
        <v/>
      </c>
      <c r="AF370" s="985" t="str">
        <f t="shared" si="59"/>
        <v>A</v>
      </c>
      <c r="AG370" s="1414">
        <v>1</v>
      </c>
      <c r="AH370" s="1002" t="s">
        <v>16154</v>
      </c>
      <c r="AI370" s="1002" t="s">
        <v>16154</v>
      </c>
      <c r="AJ370" s="986" t="s">
        <v>725</v>
      </c>
      <c r="AK370" s="1417" t="s">
        <v>725</v>
      </c>
      <c r="AL370" s="1415"/>
      <c r="AM370" s="1323"/>
      <c r="AN370" s="1323"/>
      <c r="AO370" s="1323"/>
      <c r="AP370" s="1323"/>
      <c r="AQ370" s="1323"/>
      <c r="AR370" s="987"/>
      <c r="AS370" s="978" t="str">
        <f t="shared" si="60"/>
        <v>雙</v>
      </c>
      <c r="AT370" s="978" t="str">
        <f t="shared" si="61"/>
        <v>半</v>
      </c>
      <c r="AU370" s="978">
        <f t="shared" si="62"/>
        <v>75</v>
      </c>
      <c r="AV370" s="978" t="str">
        <f t="shared" si="63"/>
        <v/>
      </c>
    </row>
    <row r="371" spans="1:48">
      <c r="A371" s="975">
        <f t="shared" si="67"/>
        <v>46152</v>
      </c>
      <c r="B371" s="976" t="s">
        <v>219</v>
      </c>
      <c r="C371" s="976" t="s">
        <v>16745</v>
      </c>
      <c r="D371" s="1410" t="s">
        <v>16748</v>
      </c>
      <c r="E371" s="977" t="str">
        <f>IFERROR(VLOOKUP(C371, [6]條件!$A:$L, 5, 0), "")</f>
        <v>50/72BSD3</v>
      </c>
      <c r="F371" s="978" t="str">
        <f>IFERROR(VLOOKUP(C371, [6]條件!$A:$L, 6, 0), "")</f>
        <v>FP80141</v>
      </c>
      <c r="G371" s="1411">
        <f>IFERROR(VLOOKUP(C371, [6]條件!$A:$L, 7, 0), "")</f>
        <v>630</v>
      </c>
      <c r="H371" s="978" t="str">
        <f>IF(ISNA(VLOOKUP(C371,[6]條件!$A$1:$K$932,11,0)),"",(VLOOKUP(C371,[6]條件!$A$1:$K$932,11,0)))</f>
        <v>洋綠色</v>
      </c>
      <c r="I371" s="979">
        <f>IF(ISNA(VLOOKUP(C371,[6]條件!$A$1:$L$932,12,0)),"",(VLOOKUP(C371,[6]條件!$A$1:$L$932,12,0)))</f>
        <v>2</v>
      </c>
      <c r="J371" s="982">
        <v>12</v>
      </c>
      <c r="K371" s="980">
        <v>0</v>
      </c>
      <c r="L371" s="981">
        <v>9743</v>
      </c>
      <c r="M371" s="983">
        <v>9425</v>
      </c>
      <c r="N371" s="982">
        <v>15</v>
      </c>
      <c r="O371" s="980">
        <v>0</v>
      </c>
      <c r="P371" s="981">
        <v>9638</v>
      </c>
      <c r="Q371" s="983">
        <v>9497</v>
      </c>
      <c r="R371" s="982">
        <v>13</v>
      </c>
      <c r="S371" s="980">
        <v>0</v>
      </c>
      <c r="T371" s="981">
        <v>9706</v>
      </c>
      <c r="U371" s="983">
        <v>9474</v>
      </c>
      <c r="V371" s="982">
        <v>17</v>
      </c>
      <c r="W371" s="980">
        <v>0</v>
      </c>
      <c r="X371" s="981">
        <v>9679</v>
      </c>
      <c r="Y371" s="983">
        <v>9575</v>
      </c>
      <c r="Z371" s="1412">
        <f>IFERROR(VLOOKUP(C371, [6]條件!$A:$L, 3, 0), "")</f>
        <v>2.4615384615384617</v>
      </c>
      <c r="AA371" s="984">
        <f>IF(OR(L371={"改紡","檢修","了機","清車","FINAL","停機","SAMPLE","TEST","絲開發"}), L371, IFERROR(IF(C371="", "", (SUM(J371, N371, R371, V371)/3 * AG371) * IF(AND(AF371="S", AS371="雙"), 0.5, 1)), ""))</f>
        <v>19</v>
      </c>
      <c r="AB371" s="1413">
        <f t="shared" si="65"/>
        <v>1</v>
      </c>
      <c r="AC371" s="984">
        <f>IF(OR(L371={"改紡","檢修","了機","清車","FINAL","停機","SAMPLE","TEST"}), "", IFERROR(IF(C371="", "", AVERAGE(L371:M371, P371:Q371, T371:U371, X371:Y371)/100), ""))</f>
        <v>95.921250000000001</v>
      </c>
      <c r="AD371" s="984">
        <f t="shared" si="58"/>
        <v>2.375</v>
      </c>
      <c r="AE371" s="984">
        <f t="shared" si="66"/>
        <v>2.375</v>
      </c>
      <c r="AF371" s="985" t="str">
        <f t="shared" si="59"/>
        <v>A</v>
      </c>
      <c r="AG371" s="1414">
        <v>1</v>
      </c>
      <c r="AH371" s="1002" t="s">
        <v>814</v>
      </c>
      <c r="AI371" s="1002" t="s">
        <v>814</v>
      </c>
      <c r="AJ371" s="986" t="s">
        <v>15368</v>
      </c>
      <c r="AK371" s="1417" t="s">
        <v>15368</v>
      </c>
      <c r="AL371" s="1415">
        <v>57</v>
      </c>
      <c r="AM371" s="1324">
        <v>46088</v>
      </c>
      <c r="AN371" s="1323">
        <v>46089</v>
      </c>
      <c r="AO371" s="1323"/>
      <c r="AP371" s="1323"/>
      <c r="AQ371" s="1323"/>
      <c r="AR371" s="987"/>
      <c r="AS371" s="978" t="str">
        <f t="shared" si="60"/>
        <v>單</v>
      </c>
      <c r="AT371" s="978" t="str">
        <f t="shared" si="61"/>
        <v>全</v>
      </c>
      <c r="AU371" s="978">
        <f t="shared" si="62"/>
        <v>50</v>
      </c>
      <c r="AV371" s="978">
        <f t="shared" si="63"/>
        <v>1.044237096</v>
      </c>
    </row>
    <row r="372" spans="1:48">
      <c r="A372" s="975">
        <f t="shared" si="67"/>
        <v>46152</v>
      </c>
      <c r="B372" s="976" t="s">
        <v>220</v>
      </c>
      <c r="C372" s="976" t="s">
        <v>632</v>
      </c>
      <c r="D372" s="1410"/>
      <c r="E372" s="977" t="str">
        <f>IFERROR(VLOOKUP(C372, [6]條件!$A:$L, 5, 0), "")</f>
        <v/>
      </c>
      <c r="F372" s="978" t="str">
        <f>IFERROR(VLOOKUP(C372, [6]條件!$A:$L, 6, 0), "")</f>
        <v/>
      </c>
      <c r="G372" s="1411" t="str">
        <f>IFERROR(VLOOKUP(C372, [6]條件!$A:$L, 7, 0), "")</f>
        <v/>
      </c>
      <c r="H372" s="978" t="str">
        <f>IF(ISNA(VLOOKUP(C372,[6]條件!$A$1:$K$932,11,0)),"",(VLOOKUP(C372,[6]條件!$A$1:$K$932,11,0)))</f>
        <v/>
      </c>
      <c r="I372" s="979" t="str">
        <f>IF(ISNA(VLOOKUP(C372,[6]條件!$A$1:$L$932,12,0)),"",(VLOOKUP(C372,[6]條件!$A$1:$L$932,12,0)))</f>
        <v/>
      </c>
      <c r="J372" s="982"/>
      <c r="K372" s="980"/>
      <c r="L372" s="981" t="s">
        <v>632</v>
      </c>
      <c r="M372" s="983"/>
      <c r="N372" s="982"/>
      <c r="O372" s="980"/>
      <c r="P372" s="981" t="s">
        <v>632</v>
      </c>
      <c r="Q372" s="983"/>
      <c r="R372" s="982"/>
      <c r="S372" s="980"/>
      <c r="T372" s="981" t="s">
        <v>632</v>
      </c>
      <c r="U372" s="983"/>
      <c r="V372" s="982"/>
      <c r="W372" s="980"/>
      <c r="X372" s="981" t="s">
        <v>632</v>
      </c>
      <c r="Y372" s="983"/>
      <c r="Z372" s="1412" t="str">
        <f>IFERROR(VLOOKUP(C372, [6]條件!$A:$L, 3, 0), "")</f>
        <v/>
      </c>
      <c r="AA372" s="984" t="str">
        <f>IF(OR(L372={"改紡","檢修","了機","清車","FINAL","停機","SAMPLE","TEST","絲開發"}), L372, IFERROR(IF(C372="", "", (SUM(J372, N372, R372, V372)/3 * AG372) * IF(AND(AF372="S", AS372="雙"), 0.5, 1)), ""))</f>
        <v>停機</v>
      </c>
      <c r="AB372" s="1413" t="str">
        <f t="shared" si="65"/>
        <v/>
      </c>
      <c r="AC372" s="984" t="str">
        <f>IF(OR(L372={"改紡","檢修","了機","清車","FINAL","停機","SAMPLE","TEST"}), "", IFERROR(IF(C372="", "", AVERAGE(L372:M372, P372:Q372, T372:U372, X372:Y372)/100), ""))</f>
        <v/>
      </c>
      <c r="AD372" s="984" t="str">
        <f t="shared" si="58"/>
        <v/>
      </c>
      <c r="AE372" s="984" t="str">
        <f t="shared" si="66"/>
        <v/>
      </c>
      <c r="AF372" s="985" t="str">
        <f t="shared" si="59"/>
        <v>A</v>
      </c>
      <c r="AG372" s="1414">
        <v>1</v>
      </c>
      <c r="AH372" s="1002" t="s">
        <v>640</v>
      </c>
      <c r="AI372" s="1002" t="s">
        <v>640</v>
      </c>
      <c r="AJ372" s="986" t="s">
        <v>640</v>
      </c>
      <c r="AK372" s="1417" t="s">
        <v>640</v>
      </c>
      <c r="AL372" s="1415"/>
      <c r="AM372" s="1323"/>
      <c r="AN372" s="1323"/>
      <c r="AO372" s="1323"/>
      <c r="AP372" s="1323"/>
      <c r="AQ372" s="1323"/>
      <c r="AR372" s="987"/>
      <c r="AS372" s="978" t="str">
        <f t="shared" si="60"/>
        <v>單</v>
      </c>
      <c r="AT372" s="978" t="str">
        <f t="shared" si="61"/>
        <v>全</v>
      </c>
      <c r="AU372" s="978" t="str">
        <f t="shared" si="62"/>
        <v/>
      </c>
      <c r="AV372" s="978" t="str">
        <f t="shared" si="63"/>
        <v/>
      </c>
    </row>
    <row r="373" spans="1:48">
      <c r="A373" s="975">
        <f t="shared" si="67"/>
        <v>46152</v>
      </c>
      <c r="B373" s="976" t="s">
        <v>221</v>
      </c>
      <c r="C373" s="976" t="s">
        <v>16763</v>
      </c>
      <c r="D373" s="1410"/>
      <c r="E373" s="977" t="str">
        <f>IFERROR(VLOOKUP(C373, [6]條件!$A:$L, 5, 0), "")</f>
        <v>150/48CDR</v>
      </c>
      <c r="F373" s="978" t="str">
        <f>IFERROR(VLOOKUP(C373, [6]條件!$A:$L, 6, 0), "")</f>
        <v>FP82781</v>
      </c>
      <c r="G373" s="1411">
        <f>IFERROR(VLOOKUP(C373, [6]條件!$A:$L, 7, 0), "")</f>
        <v>600</v>
      </c>
      <c r="H373" s="978" t="str">
        <f>IF(ISNA(VLOOKUP(C373,[6]條件!$A$1:$K$932,11,0)),"",(VLOOKUP(C373,[6]條件!$A$1:$K$932,11,0)))</f>
        <v>綠藍雙色</v>
      </c>
      <c r="I373" s="979">
        <f>IF(ISNA(VLOOKUP(C373,[6]條件!$A$1:$L$932,12,0)),"",(VLOOKUP(C373,[6]條件!$A$1:$L$932,12,0)))</f>
        <v>5</v>
      </c>
      <c r="J373" s="982">
        <v>15</v>
      </c>
      <c r="K373" s="980">
        <v>6</v>
      </c>
      <c r="L373" s="981">
        <v>8273</v>
      </c>
      <c r="M373" s="983">
        <v>8126</v>
      </c>
      <c r="N373" s="982">
        <v>4</v>
      </c>
      <c r="O373" s="980">
        <v>1</v>
      </c>
      <c r="P373" s="981">
        <v>8391</v>
      </c>
      <c r="Q373" s="983">
        <v>8313</v>
      </c>
      <c r="R373" s="982">
        <v>10</v>
      </c>
      <c r="S373" s="980">
        <v>0</v>
      </c>
      <c r="T373" s="981">
        <v>8274</v>
      </c>
      <c r="U373" s="983">
        <v>8242</v>
      </c>
      <c r="V373" s="982">
        <v>11</v>
      </c>
      <c r="W373" s="980">
        <v>0</v>
      </c>
      <c r="X373" s="981">
        <v>8237</v>
      </c>
      <c r="Y373" s="983">
        <v>8101</v>
      </c>
      <c r="Z373" s="1412">
        <f>IFERROR(VLOOKUP(C373, [6]條件!$A:$L, 3, 0), "")</f>
        <v>2.8685258964143427</v>
      </c>
      <c r="AA373" s="984">
        <f>IF(OR(L373={"改紡","檢修","了機","清車","FINAL","停機","SAMPLE","TEST","絲開發"}), L373, IFERROR(IF(C373="", "", (SUM(J373, N373, R373, V373)/3 * AG373) * IF(AND(AF373="S", AS373="雙"), 0.5, 1)), ""))</f>
        <v>13.333333333333334</v>
      </c>
      <c r="AB373" s="1413">
        <f t="shared" si="65"/>
        <v>0.98826789529914527</v>
      </c>
      <c r="AC373" s="984">
        <f>IF(OR(L373={"改紡","檢修","了機","清車","FINAL","停機","SAMPLE","TEST"}), "", IFERROR(IF(C373="", "", AVERAGE(L373:M373, P373:Q373, T373:U373, X373:Y373)/100), ""))</f>
        <v>82.446250000000006</v>
      </c>
      <c r="AD373" s="984">
        <f t="shared" si="58"/>
        <v>1.6666666666666667</v>
      </c>
      <c r="AE373" s="984">
        <f t="shared" si="66"/>
        <v>1.375</v>
      </c>
      <c r="AF373" s="985" t="str">
        <f t="shared" si="59"/>
        <v>A</v>
      </c>
      <c r="AG373" s="1414">
        <v>1</v>
      </c>
      <c r="AH373" s="1002" t="s">
        <v>641</v>
      </c>
      <c r="AI373" s="1002" t="s">
        <v>641</v>
      </c>
      <c r="AJ373" s="986" t="s">
        <v>15368</v>
      </c>
      <c r="AK373" s="1417" t="s">
        <v>15368</v>
      </c>
      <c r="AL373" s="1415">
        <v>54</v>
      </c>
      <c r="AM373" s="1323">
        <v>46145</v>
      </c>
      <c r="AN373" s="1323">
        <v>46148</v>
      </c>
      <c r="AO373" s="1323">
        <v>46149</v>
      </c>
      <c r="AP373" s="1323">
        <v>46150</v>
      </c>
      <c r="AQ373" s="1323"/>
      <c r="AR373" s="987"/>
      <c r="AS373" s="978" t="str">
        <f t="shared" si="60"/>
        <v>單</v>
      </c>
      <c r="AT373" s="978" t="str">
        <f t="shared" si="61"/>
        <v>全</v>
      </c>
      <c r="AU373" s="978">
        <f t="shared" si="62"/>
        <v>150</v>
      </c>
      <c r="AV373" s="978">
        <f t="shared" si="63"/>
        <v>2.5644081600000006</v>
      </c>
    </row>
    <row r="374" spans="1:48">
      <c r="A374" s="975">
        <f t="shared" si="67"/>
        <v>46152</v>
      </c>
      <c r="B374" s="976" t="s">
        <v>222</v>
      </c>
      <c r="C374" s="976" t="s">
        <v>632</v>
      </c>
      <c r="D374" s="1410"/>
      <c r="E374" s="977" t="str">
        <f>IFERROR(VLOOKUP(C374, [6]條件!$A:$L, 5, 0), "")</f>
        <v/>
      </c>
      <c r="F374" s="978" t="str">
        <f>IFERROR(VLOOKUP(C374, [6]條件!$A:$L, 6, 0), "")</f>
        <v/>
      </c>
      <c r="G374" s="1411" t="str">
        <f>IFERROR(VLOOKUP(C374, [6]條件!$A:$L, 7, 0), "")</f>
        <v/>
      </c>
      <c r="H374" s="978" t="str">
        <f>IF(ISNA(VLOOKUP(C374,[6]條件!$A$1:$K$932,11,0)),"",(VLOOKUP(C374,[6]條件!$A$1:$K$932,11,0)))</f>
        <v/>
      </c>
      <c r="I374" s="979" t="str">
        <f>IF(ISNA(VLOOKUP(C374,[6]條件!$A$1:$L$932,12,0)),"",(VLOOKUP(C374,[6]條件!$A$1:$L$932,12,0)))</f>
        <v/>
      </c>
      <c r="J374" s="982"/>
      <c r="K374" s="980"/>
      <c r="L374" s="981" t="s">
        <v>632</v>
      </c>
      <c r="M374" s="983"/>
      <c r="N374" s="982"/>
      <c r="O374" s="980"/>
      <c r="P374" s="981" t="s">
        <v>632</v>
      </c>
      <c r="Q374" s="983"/>
      <c r="R374" s="982"/>
      <c r="S374" s="980"/>
      <c r="T374" s="981" t="s">
        <v>632</v>
      </c>
      <c r="U374" s="983"/>
      <c r="V374" s="982"/>
      <c r="W374" s="980"/>
      <c r="X374" s="981" t="s">
        <v>632</v>
      </c>
      <c r="Y374" s="983"/>
      <c r="Z374" s="1412" t="str">
        <f>IFERROR(VLOOKUP(C374, [6]條件!$A:$L, 3, 0), "")</f>
        <v/>
      </c>
      <c r="AA374" s="984" t="str">
        <f>IF(OR(L374={"改紡","檢修","了機","清車","FINAL","停機","SAMPLE","TEST","絲開發"}), L374, IFERROR(IF(C374="", "", (SUM(J374, N374, R374, V374)/3 * AG374) * IF(AND(AF374="S", AS374="雙"), 0.5, 1)), ""))</f>
        <v>停機</v>
      </c>
      <c r="AB374" s="1413" t="str">
        <f t="shared" si="65"/>
        <v/>
      </c>
      <c r="AC374" s="984" t="str">
        <f>IF(OR(L374={"改紡","檢修","了機","清車","FINAL","停機","SAMPLE","TEST"}), "", IFERROR(IF(C374="", "", AVERAGE(L374:M374, P374:Q374, T374:U374, X374:Y374)/100), ""))</f>
        <v/>
      </c>
      <c r="AD374" s="984" t="str">
        <f t="shared" si="58"/>
        <v/>
      </c>
      <c r="AE374" s="984" t="str">
        <f t="shared" si="66"/>
        <v/>
      </c>
      <c r="AF374" s="985" t="str">
        <f t="shared" si="59"/>
        <v>A</v>
      </c>
      <c r="AG374" s="1414">
        <v>1</v>
      </c>
      <c r="AH374" s="1002" t="s">
        <v>640</v>
      </c>
      <c r="AI374" s="1002" t="s">
        <v>640</v>
      </c>
      <c r="AJ374" s="986" t="s">
        <v>640</v>
      </c>
      <c r="AK374" s="1417" t="s">
        <v>640</v>
      </c>
      <c r="AL374" s="1415"/>
      <c r="AM374" s="1323"/>
      <c r="AN374" s="1323"/>
      <c r="AO374" s="1323"/>
      <c r="AP374" s="1323"/>
      <c r="AQ374" s="1323"/>
      <c r="AR374" s="987"/>
      <c r="AS374" s="978" t="str">
        <f t="shared" si="60"/>
        <v>單</v>
      </c>
      <c r="AT374" s="978" t="str">
        <f t="shared" si="61"/>
        <v>全</v>
      </c>
      <c r="AU374" s="978" t="str">
        <f t="shared" si="62"/>
        <v/>
      </c>
      <c r="AV374" s="978" t="str">
        <f t="shared" si="63"/>
        <v/>
      </c>
    </row>
    <row r="375" spans="1:48">
      <c r="A375" s="975">
        <f t="shared" si="67"/>
        <v>46152</v>
      </c>
      <c r="B375" s="976" t="s">
        <v>223</v>
      </c>
      <c r="C375" s="976" t="s">
        <v>632</v>
      </c>
      <c r="D375" s="1410"/>
      <c r="E375" s="977" t="str">
        <f>IFERROR(VLOOKUP(C375, [6]條件!$A:$L, 5, 0), "")</f>
        <v/>
      </c>
      <c r="F375" s="978" t="str">
        <f>IFERROR(VLOOKUP(C375, [6]條件!$A:$L, 6, 0), "")</f>
        <v/>
      </c>
      <c r="G375" s="1411" t="str">
        <f>IFERROR(VLOOKUP(C375, [6]條件!$A:$L, 7, 0), "")</f>
        <v/>
      </c>
      <c r="H375" s="978" t="str">
        <f>IF(ISNA(VLOOKUP(C375,[6]條件!$A$1:$K$932,11,0)),"",(VLOOKUP(C375,[6]條件!$A$1:$K$932,11,0)))</f>
        <v/>
      </c>
      <c r="I375" s="979" t="str">
        <f>IF(ISNA(VLOOKUP(C375,[6]條件!$A$1:$L$932,12,0)),"",(VLOOKUP(C375,[6]條件!$A$1:$L$932,12,0)))</f>
        <v/>
      </c>
      <c r="J375" s="982"/>
      <c r="K375" s="980"/>
      <c r="L375" s="981" t="s">
        <v>632</v>
      </c>
      <c r="M375" s="983"/>
      <c r="N375" s="982"/>
      <c r="O375" s="980"/>
      <c r="P375" s="981" t="s">
        <v>632</v>
      </c>
      <c r="Q375" s="983"/>
      <c r="R375" s="982"/>
      <c r="S375" s="980"/>
      <c r="T375" s="981" t="s">
        <v>632</v>
      </c>
      <c r="U375" s="983"/>
      <c r="V375" s="982"/>
      <c r="W375" s="980"/>
      <c r="X375" s="981" t="s">
        <v>632</v>
      </c>
      <c r="Y375" s="983"/>
      <c r="Z375" s="1412" t="str">
        <f>IFERROR(VLOOKUP(C375, [6]條件!$A:$L, 3, 0), "")</f>
        <v/>
      </c>
      <c r="AA375" s="984" t="str">
        <f>IF(OR(L375={"改紡","檢修","了機","清車","FINAL","停機","SAMPLE","TEST","絲開發"}), L375, IFERROR(IF(C375="", "", (SUM(J375, N375, R375, V375)/3 * AG375) * IF(AND(AF375="S", AS375="雙"), 0.5, 1)), ""))</f>
        <v>停機</v>
      </c>
      <c r="AB375" s="1413" t="str">
        <f t="shared" si="65"/>
        <v/>
      </c>
      <c r="AC375" s="984" t="str">
        <f>IF(OR(L375={"改紡","檢修","了機","清車","FINAL","停機","SAMPLE","TEST"}), "", IFERROR(IF(C375="", "", AVERAGE(L375:M375, P375:Q375, T375:U375, X375:Y375)/100), ""))</f>
        <v/>
      </c>
      <c r="AD375" s="984" t="str">
        <f t="shared" si="58"/>
        <v/>
      </c>
      <c r="AE375" s="984" t="str">
        <f t="shared" si="66"/>
        <v/>
      </c>
      <c r="AF375" s="985" t="str">
        <f t="shared" si="59"/>
        <v>A</v>
      </c>
      <c r="AG375" s="1414">
        <v>1</v>
      </c>
      <c r="AH375" s="1002" t="s">
        <v>640</v>
      </c>
      <c r="AI375" s="1002" t="s">
        <v>640</v>
      </c>
      <c r="AJ375" s="986" t="s">
        <v>640</v>
      </c>
      <c r="AK375" s="1417" t="s">
        <v>640</v>
      </c>
      <c r="AL375" s="1415"/>
      <c r="AM375" s="1324"/>
      <c r="AN375" s="1323"/>
      <c r="AO375" s="1323"/>
      <c r="AP375" s="1323"/>
      <c r="AQ375" s="1323"/>
      <c r="AR375" s="987"/>
      <c r="AS375" s="978" t="str">
        <f t="shared" si="60"/>
        <v>單</v>
      </c>
      <c r="AT375" s="978" t="str">
        <f t="shared" si="61"/>
        <v>全</v>
      </c>
      <c r="AU375" s="978" t="str">
        <f t="shared" si="62"/>
        <v/>
      </c>
      <c r="AV375" s="978" t="str">
        <f t="shared" si="63"/>
        <v/>
      </c>
    </row>
    <row r="376" spans="1:48">
      <c r="A376" s="975">
        <f t="shared" si="67"/>
        <v>46152</v>
      </c>
      <c r="B376" s="976" t="s">
        <v>224</v>
      </c>
      <c r="C376" s="976" t="s">
        <v>16734</v>
      </c>
      <c r="D376" s="1410" t="s">
        <v>633</v>
      </c>
      <c r="E376" s="977" t="str">
        <f>IFERROR(VLOOKUP(C376, [6]條件!$A:$L, 5, 0), "")</f>
        <v>75/24/2SDr</v>
      </c>
      <c r="F376" s="978" t="str">
        <f>IFERROR(VLOOKUP(C376, [6]條件!$A:$L, 6, 0), "")</f>
        <v>FP81382R×2</v>
      </c>
      <c r="G376" s="1411">
        <f>IFERROR(VLOOKUP(C376, [6]條件!$A:$L, 7, 0), "")</f>
        <v>700</v>
      </c>
      <c r="H376" s="978" t="str">
        <f>IF(ISNA(VLOOKUP(C376,[6]條件!$A$1:$K$932,11,0)),"",(VLOOKUP(C376,[6]條件!$A$1:$K$932,11,0)))</f>
        <v>白底紫三角</v>
      </c>
      <c r="I376" s="979">
        <f>IF(ISNA(VLOOKUP(C376,[6]條件!$A$1:$L$932,12,0)),"",(VLOOKUP(C376,[6]條件!$A$1:$L$932,12,0)))</f>
        <v>5</v>
      </c>
      <c r="J376" s="982">
        <v>30</v>
      </c>
      <c r="K376" s="980">
        <v>0</v>
      </c>
      <c r="L376" s="981">
        <v>9428</v>
      </c>
      <c r="M376" s="983">
        <v>8922</v>
      </c>
      <c r="N376" s="982">
        <v>14</v>
      </c>
      <c r="O376" s="980">
        <v>0</v>
      </c>
      <c r="P376" s="981">
        <v>9111</v>
      </c>
      <c r="Q376" s="983">
        <v>9070</v>
      </c>
      <c r="R376" s="982">
        <v>24</v>
      </c>
      <c r="S376" s="980">
        <v>0</v>
      </c>
      <c r="T376" s="981">
        <v>8630</v>
      </c>
      <c r="U376" s="983">
        <v>9302</v>
      </c>
      <c r="V376" s="982">
        <v>70</v>
      </c>
      <c r="W376" s="980">
        <v>0</v>
      </c>
      <c r="X376" s="981">
        <v>9267</v>
      </c>
      <c r="Y376" s="983">
        <v>8909</v>
      </c>
      <c r="Z376" s="1412">
        <f>IFERROR(VLOOKUP(C376, [6]條件!$A:$L, 3, 0), "")</f>
        <v>3.2653061224489797</v>
      </c>
      <c r="AA376" s="984">
        <f>IF(OR(L376={"改紡","檢修","了機","清車","FINAL","停機","SAMPLE","TEST","絲開發"}), L376, IFERROR(IF(C376="", "", (SUM(J376, N376, R376, V376)/3 * AG376) * IF(AND(AF376="S", AS376="雙"), 0.5, 1)), ""))</f>
        <v>23</v>
      </c>
      <c r="AB376" s="1413">
        <f t="shared" si="65"/>
        <v>1</v>
      </c>
      <c r="AC376" s="984">
        <f>IF(OR(L376={"改紡","檢修","了機","清車","FINAL","停機","SAMPLE","TEST"}), "", IFERROR(IF(C376="", "", AVERAGE(L376:M376, P376:Q376, T376:U376, X376:Y376)/100), ""))</f>
        <v>90.798749999999998</v>
      </c>
      <c r="AD376" s="984">
        <f t="shared" si="58"/>
        <v>2.875</v>
      </c>
      <c r="AE376" s="984">
        <f t="shared" si="66"/>
        <v>2.875</v>
      </c>
      <c r="AF376" s="985" t="str">
        <f t="shared" si="59"/>
        <v>A</v>
      </c>
      <c r="AG376" s="1414">
        <v>0.5</v>
      </c>
      <c r="AH376" s="1002" t="s">
        <v>16154</v>
      </c>
      <c r="AI376" s="1002" t="s">
        <v>16154</v>
      </c>
      <c r="AJ376" s="986" t="s">
        <v>725</v>
      </c>
      <c r="AK376" s="1417" t="s">
        <v>725</v>
      </c>
      <c r="AL376" s="1415">
        <v>50</v>
      </c>
      <c r="AM376" s="1323">
        <v>46108</v>
      </c>
      <c r="AN376" s="1323">
        <v>46109</v>
      </c>
      <c r="AO376" s="1323"/>
      <c r="AP376" s="1323"/>
      <c r="AQ376" s="1323"/>
      <c r="AR376" s="987"/>
      <c r="AS376" s="978" t="str">
        <f t="shared" si="60"/>
        <v>雙</v>
      </c>
      <c r="AT376" s="978" t="str">
        <f t="shared" si="61"/>
        <v>全</v>
      </c>
      <c r="AU376" s="978">
        <f t="shared" si="62"/>
        <v>75</v>
      </c>
      <c r="AV376" s="978">
        <f t="shared" si="63"/>
        <v>1.6474525200000001</v>
      </c>
    </row>
    <row r="377" spans="1:48">
      <c r="A377" s="975">
        <f t="shared" si="67"/>
        <v>46152</v>
      </c>
      <c r="B377" s="976" t="s">
        <v>225</v>
      </c>
      <c r="C377" s="976" t="s">
        <v>16747</v>
      </c>
      <c r="D377" s="1410"/>
      <c r="E377" s="977" t="str">
        <f>IFERROR(VLOOKUP(C377, [6]條件!$A:$L, 5, 0), "")</f>
        <v>150/48SDR</v>
      </c>
      <c r="F377" s="978" t="str">
        <f>IFERROR(VLOOKUP(C377, [6]條件!$A:$L, 6, 0), "")</f>
        <v>FP82169R</v>
      </c>
      <c r="G377" s="1411">
        <f>IFERROR(VLOOKUP(C377, [6]條件!$A:$L, 7, 0), "")</f>
        <v>650</v>
      </c>
      <c r="H377" s="978" t="str">
        <f>IF(ISNA(VLOOKUP(C377,[6]條件!$A$1:$K$932,11,0)),"",(VLOOKUP(C377,[6]條件!$A$1:$K$932,11,0)))</f>
        <v>綠藍三角</v>
      </c>
      <c r="I377" s="979">
        <f>IF(ISNA(VLOOKUP(C377,[6]條件!$A$1:$L$932,12,0)),"",(VLOOKUP(C377,[6]條件!$A$1:$L$932,12,0)))</f>
        <v>5</v>
      </c>
      <c r="J377" s="982">
        <v>17</v>
      </c>
      <c r="K377" s="980">
        <v>0</v>
      </c>
      <c r="L377" s="981">
        <v>9112</v>
      </c>
      <c r="M377" s="983">
        <v>9130</v>
      </c>
      <c r="N377" s="982">
        <v>14</v>
      </c>
      <c r="O377" s="980">
        <v>4</v>
      </c>
      <c r="P377" s="981">
        <v>9428</v>
      </c>
      <c r="Q377" s="983">
        <v>9117</v>
      </c>
      <c r="R377" s="982">
        <v>9</v>
      </c>
      <c r="S377" s="980">
        <v>0</v>
      </c>
      <c r="T377" s="981">
        <v>9401</v>
      </c>
      <c r="U377" s="983">
        <v>9247</v>
      </c>
      <c r="V377" s="982">
        <v>11</v>
      </c>
      <c r="W377" s="980">
        <v>0</v>
      </c>
      <c r="X377" s="981">
        <v>9375</v>
      </c>
      <c r="Y377" s="983">
        <v>9295</v>
      </c>
      <c r="Z377" s="1412">
        <f>IFERROR(VLOOKUP(C377, [6]條件!$A:$L, 3, 0), "")</f>
        <v>3.0573248407643314</v>
      </c>
      <c r="AA377" s="984">
        <f>IF(OR(L377={"改紡","檢修","了機","清車","FINAL","停機","SAMPLE","TEST","絲開發"}), L377, IFERROR(IF(C377="", "", (SUM(J377, N377, R377, V377)/3 * AG377) * IF(AND(AF377="S", AS377="雙"), 0.5, 1)), ""))</f>
        <v>17</v>
      </c>
      <c r="AB377" s="1413">
        <f t="shared" si="65"/>
        <v>0.99370993589743595</v>
      </c>
      <c r="AC377" s="984">
        <f>IF(OR(L377={"改紡","檢修","了機","清車","FINAL","停機","SAMPLE","TEST"}), "", IFERROR(IF(C377="", "", AVERAGE(L377:M377, P377:Q377, T377:U377, X377:Y377)/100), ""))</f>
        <v>92.631249999999994</v>
      </c>
      <c r="AD377" s="984">
        <f t="shared" si="58"/>
        <v>2.125</v>
      </c>
      <c r="AE377" s="984">
        <f t="shared" si="66"/>
        <v>1.9583333333333333</v>
      </c>
      <c r="AF377" s="985" t="str">
        <f t="shared" si="59"/>
        <v>A</v>
      </c>
      <c r="AG377" s="1414">
        <v>1</v>
      </c>
      <c r="AH377" s="1002" t="s">
        <v>814</v>
      </c>
      <c r="AI377" s="1002" t="s">
        <v>814</v>
      </c>
      <c r="AJ377" s="986" t="s">
        <v>815</v>
      </c>
      <c r="AK377" s="1417" t="s">
        <v>815</v>
      </c>
      <c r="AL377" s="1415">
        <v>48</v>
      </c>
      <c r="AM377" s="1323">
        <v>46149</v>
      </c>
      <c r="AN377" s="1323"/>
      <c r="AO377" s="1323"/>
      <c r="AP377" s="1323"/>
      <c r="AQ377" s="1323"/>
      <c r="AR377" s="987"/>
      <c r="AS377" s="978" t="str">
        <f t="shared" si="60"/>
        <v>單</v>
      </c>
      <c r="AT377" s="978" t="str">
        <f t="shared" si="61"/>
        <v>全</v>
      </c>
      <c r="AU377" s="978">
        <f t="shared" si="62"/>
        <v>150</v>
      </c>
      <c r="AV377" s="978">
        <f t="shared" si="63"/>
        <v>3.1213025999999999</v>
      </c>
    </row>
    <row r="378" spans="1:48">
      <c r="A378" s="975">
        <f t="shared" si="67"/>
        <v>46152</v>
      </c>
      <c r="B378" s="976" t="s">
        <v>226</v>
      </c>
      <c r="C378" s="976" t="s">
        <v>632</v>
      </c>
      <c r="D378" s="1410"/>
      <c r="E378" s="977" t="str">
        <f>IFERROR(VLOOKUP(C378, [6]條件!$A:$L, 5, 0), "")</f>
        <v/>
      </c>
      <c r="F378" s="978" t="str">
        <f>IFERROR(VLOOKUP(C378, [6]條件!$A:$L, 6, 0), "")</f>
        <v/>
      </c>
      <c r="G378" s="1411" t="str">
        <f>IFERROR(VLOOKUP(C378, [6]條件!$A:$L, 7, 0), "")</f>
        <v/>
      </c>
      <c r="H378" s="978" t="str">
        <f>IF(ISNA(VLOOKUP(C378,[6]條件!$A$1:$K$932,11,0)),"",(VLOOKUP(C378,[6]條件!$A$1:$K$932,11,0)))</f>
        <v/>
      </c>
      <c r="I378" s="979" t="str">
        <f>IF(ISNA(VLOOKUP(C378,[6]條件!$A$1:$L$932,12,0)),"",(VLOOKUP(C378,[6]條件!$A$1:$L$932,12,0)))</f>
        <v/>
      </c>
      <c r="J378" s="982"/>
      <c r="K378" s="980"/>
      <c r="L378" s="981" t="s">
        <v>632</v>
      </c>
      <c r="M378" s="983"/>
      <c r="N378" s="982"/>
      <c r="O378" s="980"/>
      <c r="P378" s="981" t="s">
        <v>632</v>
      </c>
      <c r="Q378" s="983"/>
      <c r="R378" s="982"/>
      <c r="S378" s="980"/>
      <c r="T378" s="981" t="s">
        <v>632</v>
      </c>
      <c r="U378" s="983"/>
      <c r="V378" s="982"/>
      <c r="W378" s="980"/>
      <c r="X378" s="981" t="s">
        <v>632</v>
      </c>
      <c r="Y378" s="983"/>
      <c r="Z378" s="1412" t="str">
        <f>IFERROR(VLOOKUP(C378, [6]條件!$A:$L, 3, 0), "")</f>
        <v/>
      </c>
      <c r="AA378" s="984" t="str">
        <f>IF(OR(L378={"改紡","檢修","了機","清車","FINAL","停機","SAMPLE","TEST","絲開發"}), L378, IFERROR(IF(C378="", "", (SUM(J378, N378, R378, V378)/3 * AG378) * IF(AND(AF378="S", AS378="雙"), 0.5, 1)), ""))</f>
        <v>停機</v>
      </c>
      <c r="AB378" s="1413" t="str">
        <f t="shared" si="65"/>
        <v/>
      </c>
      <c r="AC378" s="984" t="str">
        <f>IF(OR(L378={"改紡","檢修","了機","清車","FINAL","停機","SAMPLE","TEST"}), "", IFERROR(IF(C378="", "", AVERAGE(L378:M378, P378:Q378, T378:U378, X378:Y378)/100), ""))</f>
        <v/>
      </c>
      <c r="AD378" s="984" t="str">
        <f t="shared" si="58"/>
        <v/>
      </c>
      <c r="AE378" s="984" t="str">
        <f t="shared" si="66"/>
        <v/>
      </c>
      <c r="AF378" s="985" t="str">
        <f t="shared" si="59"/>
        <v>A</v>
      </c>
      <c r="AG378" s="1414">
        <v>1</v>
      </c>
      <c r="AH378" s="1002" t="s">
        <v>640</v>
      </c>
      <c r="AI378" s="1002" t="s">
        <v>640</v>
      </c>
      <c r="AJ378" s="986" t="s">
        <v>640</v>
      </c>
      <c r="AK378" s="1417" t="s">
        <v>640</v>
      </c>
      <c r="AL378" s="1415"/>
      <c r="AM378" s="1323"/>
      <c r="AN378" s="1323"/>
      <c r="AO378" s="1323"/>
      <c r="AP378" s="1323"/>
      <c r="AQ378" s="1323"/>
      <c r="AR378" s="987"/>
      <c r="AS378" s="978" t="str">
        <f t="shared" si="60"/>
        <v>單</v>
      </c>
      <c r="AT378" s="978" t="str">
        <f t="shared" si="61"/>
        <v>全</v>
      </c>
      <c r="AU378" s="978" t="str">
        <f t="shared" si="62"/>
        <v/>
      </c>
      <c r="AV378" s="978" t="str">
        <f t="shared" si="63"/>
        <v/>
      </c>
    </row>
    <row r="379" spans="1:48">
      <c r="A379" s="975">
        <f t="shared" si="67"/>
        <v>46152</v>
      </c>
      <c r="B379" s="976" t="s">
        <v>227</v>
      </c>
      <c r="C379" s="976" t="s">
        <v>16712</v>
      </c>
      <c r="D379" s="1410"/>
      <c r="E379" s="977" t="str">
        <f>IFERROR(VLOOKUP(C379, [6]條件!$A:$L, 5, 0), "")</f>
        <v>100/36SDr</v>
      </c>
      <c r="F379" s="978" t="str">
        <f>IFERROR(VLOOKUP(C379, [6]條件!$A:$L, 6, 0), "")</f>
        <v>FP81384R</v>
      </c>
      <c r="G379" s="1411">
        <f>IFERROR(VLOOKUP(C379, [6]條件!$A:$L, 7, 0), "")</f>
        <v>700</v>
      </c>
      <c r="H379" s="978" t="str">
        <f>IF(ISNA(VLOOKUP(C379,[6]條件!$A$1:$K$932,11,0)),"",(VLOOKUP(C379,[6]條件!$A$1:$K$932,11,0)))</f>
        <v>白底紅三角</v>
      </c>
      <c r="I379" s="979">
        <f>IF(ISNA(VLOOKUP(C379,[6]條件!$A$1:$L$932,12,0)),"",(VLOOKUP(C379,[6]條件!$A$1:$L$932,12,0)))</f>
        <v>5</v>
      </c>
      <c r="J379" s="982">
        <v>21</v>
      </c>
      <c r="K379" s="980">
        <v>2</v>
      </c>
      <c r="L379" s="981">
        <v>7496</v>
      </c>
      <c r="M379" s="983">
        <v>8127</v>
      </c>
      <c r="N379" s="982">
        <v>12</v>
      </c>
      <c r="O379" s="980">
        <v>1</v>
      </c>
      <c r="P379" s="981">
        <v>7662</v>
      </c>
      <c r="Q379" s="983">
        <v>8152</v>
      </c>
      <c r="R379" s="982">
        <v>7</v>
      </c>
      <c r="S379" s="980">
        <v>0</v>
      </c>
      <c r="T379" s="981">
        <v>7683</v>
      </c>
      <c r="U379" s="983">
        <v>8045</v>
      </c>
      <c r="V379" s="982">
        <v>21</v>
      </c>
      <c r="W379" s="980">
        <v>0</v>
      </c>
      <c r="X379" s="981">
        <v>7421</v>
      </c>
      <c r="Y379" s="983">
        <v>8037</v>
      </c>
      <c r="Z379" s="1412">
        <f>IFERROR(VLOOKUP(C379, [6]條件!$A:$L, 3, 0), "")</f>
        <v>2.2187981510015407</v>
      </c>
      <c r="AA379" s="984">
        <f>IF(OR(L379={"改紡","檢修","了機","清車","FINAL","停機","SAMPLE","TEST","絲開發"}), L379, IFERROR(IF(C379="", "", (SUM(J379, N379, R379, V379)/3 * AG379) * IF(AND(AF379="S", AS379="雙"), 0.5, 1)), ""))</f>
        <v>20.333333333333332</v>
      </c>
      <c r="AB379" s="1413">
        <f t="shared" si="65"/>
        <v>0.99349959935897436</v>
      </c>
      <c r="AC379" s="984">
        <f>IF(OR(L379={"改紡","檢修","了機","清車","FINAL","停機","SAMPLE","TEST"}), "", IFERROR(IF(C379="", "", AVERAGE(L379:M379, P379:Q379, T379:U379, X379:Y379)/100), ""))</f>
        <v>78.278750000000002</v>
      </c>
      <c r="AD379" s="984">
        <f t="shared" si="58"/>
        <v>2.5416666666666665</v>
      </c>
      <c r="AE379" s="984">
        <f t="shared" si="66"/>
        <v>2.4166666666666665</v>
      </c>
      <c r="AF379" s="985" t="str">
        <f t="shared" si="59"/>
        <v>A</v>
      </c>
      <c r="AG379" s="1414">
        <v>1</v>
      </c>
      <c r="AH379" s="1002" t="s">
        <v>641</v>
      </c>
      <c r="AI379" s="1002" t="s">
        <v>641</v>
      </c>
      <c r="AJ379" s="986" t="s">
        <v>15368</v>
      </c>
      <c r="AK379" s="1417" t="s">
        <v>15368</v>
      </c>
      <c r="AL379" s="1415">
        <v>50</v>
      </c>
      <c r="AM379" s="1323">
        <v>46136</v>
      </c>
      <c r="AN379" s="1323">
        <v>46140</v>
      </c>
      <c r="AO379" s="1323">
        <v>46141</v>
      </c>
      <c r="AP379" s="1323"/>
      <c r="AQ379" s="1323"/>
      <c r="AR379" s="987"/>
      <c r="AS379" s="978" t="str">
        <f t="shared" si="60"/>
        <v>單</v>
      </c>
      <c r="AT379" s="978" t="str">
        <f t="shared" si="61"/>
        <v>全</v>
      </c>
      <c r="AU379" s="978">
        <f t="shared" si="62"/>
        <v>100</v>
      </c>
      <c r="AV379" s="978">
        <f t="shared" si="63"/>
        <v>1.8937195199999999</v>
      </c>
    </row>
    <row r="380" spans="1:48">
      <c r="A380" s="975">
        <f t="shared" si="67"/>
        <v>46152</v>
      </c>
      <c r="B380" s="976" t="s">
        <v>228</v>
      </c>
      <c r="C380" s="976" t="s">
        <v>632</v>
      </c>
      <c r="D380" s="1410"/>
      <c r="E380" s="977" t="str">
        <f>IFERROR(VLOOKUP(C380, [6]條件!$A:$L, 5, 0), "")</f>
        <v/>
      </c>
      <c r="F380" s="978" t="str">
        <f>IFERROR(VLOOKUP(C380, [6]條件!$A:$L, 6, 0), "")</f>
        <v/>
      </c>
      <c r="G380" s="1411" t="str">
        <f>IFERROR(VLOOKUP(C380, [6]條件!$A:$L, 7, 0), "")</f>
        <v/>
      </c>
      <c r="H380" s="978" t="str">
        <f>IF(ISNA(VLOOKUP(C380,[6]條件!$A$1:$K$932,11,0)),"",(VLOOKUP(C380,[6]條件!$A$1:$K$932,11,0)))</f>
        <v/>
      </c>
      <c r="I380" s="979" t="str">
        <f>IF(ISNA(VLOOKUP(C380,[6]條件!$A$1:$L$932,12,0)),"",(VLOOKUP(C380,[6]條件!$A$1:$L$932,12,0)))</f>
        <v/>
      </c>
      <c r="J380" s="982"/>
      <c r="K380" s="980"/>
      <c r="L380" s="981" t="s">
        <v>632</v>
      </c>
      <c r="M380" s="983"/>
      <c r="N380" s="982"/>
      <c r="O380" s="980"/>
      <c r="P380" s="981" t="s">
        <v>632</v>
      </c>
      <c r="Q380" s="983"/>
      <c r="R380" s="982"/>
      <c r="S380" s="980"/>
      <c r="T380" s="981" t="s">
        <v>632</v>
      </c>
      <c r="U380" s="983"/>
      <c r="V380" s="982"/>
      <c r="W380" s="980"/>
      <c r="X380" s="981" t="s">
        <v>632</v>
      </c>
      <c r="Y380" s="983"/>
      <c r="Z380" s="1412" t="str">
        <f>IFERROR(VLOOKUP(C380, [6]條件!$A:$L, 3, 0), "")</f>
        <v/>
      </c>
      <c r="AA380" s="984" t="str">
        <f>IF(OR(L380={"改紡","檢修","了機","清車","FINAL","停機","SAMPLE","TEST","絲開發"}), L380, IFERROR(IF(C380="", "", (SUM(J380, N380, R380, V380)/3 * AG380) * IF(AND(AF380="S", AS380="雙"), 0.5, 1)), ""))</f>
        <v>停機</v>
      </c>
      <c r="AB380" s="1413" t="str">
        <f t="shared" si="65"/>
        <v/>
      </c>
      <c r="AC380" s="984" t="str">
        <f>IF(OR(L380={"改紡","檢修","了機","清車","FINAL","停機","SAMPLE","TEST"}), "", IFERROR(IF(C380="", "", AVERAGE(L380:M380, P380:Q380, T380:U380, X380:Y380)/100), ""))</f>
        <v/>
      </c>
      <c r="AD380" s="984" t="str">
        <f t="shared" si="58"/>
        <v/>
      </c>
      <c r="AE380" s="984" t="str">
        <f t="shared" si="66"/>
        <v/>
      </c>
      <c r="AF380" s="985" t="str">
        <f t="shared" si="59"/>
        <v>A</v>
      </c>
      <c r="AG380" s="1414">
        <v>1</v>
      </c>
      <c r="AH380" s="1002" t="s">
        <v>640</v>
      </c>
      <c r="AI380" s="1002" t="s">
        <v>640</v>
      </c>
      <c r="AJ380" s="986" t="s">
        <v>640</v>
      </c>
      <c r="AK380" s="1417" t="s">
        <v>640</v>
      </c>
      <c r="AL380" s="1420"/>
      <c r="AM380" s="1323"/>
      <c r="AN380" s="1323"/>
      <c r="AO380" s="1323"/>
      <c r="AP380" s="1323"/>
      <c r="AQ380" s="1323"/>
      <c r="AR380" s="987"/>
      <c r="AS380" s="978" t="str">
        <f t="shared" si="60"/>
        <v>單</v>
      </c>
      <c r="AT380" s="978" t="str">
        <f t="shared" si="61"/>
        <v>全</v>
      </c>
      <c r="AU380" s="978" t="str">
        <f t="shared" si="62"/>
        <v/>
      </c>
      <c r="AV380" s="978" t="str">
        <f t="shared" si="63"/>
        <v/>
      </c>
    </row>
    <row r="381" spans="1:48">
      <c r="A381" s="975">
        <f t="shared" si="67"/>
        <v>46152</v>
      </c>
      <c r="B381" s="976" t="s">
        <v>229</v>
      </c>
      <c r="C381" s="976" t="s">
        <v>632</v>
      </c>
      <c r="D381" s="1410"/>
      <c r="E381" s="977" t="str">
        <f>IFERROR(VLOOKUP(C381, [6]條件!$A:$L, 5, 0), "")</f>
        <v/>
      </c>
      <c r="F381" s="978" t="str">
        <f>IFERROR(VLOOKUP(C381, [6]條件!$A:$L, 6, 0), "")</f>
        <v/>
      </c>
      <c r="G381" s="1411" t="str">
        <f>IFERROR(VLOOKUP(C381, [6]條件!$A:$L, 7, 0), "")</f>
        <v/>
      </c>
      <c r="H381" s="978" t="str">
        <f>IF(ISNA(VLOOKUP(C381,[6]條件!$A$1:$K$932,11,0)),"",(VLOOKUP(C381,[6]條件!$A$1:$K$932,11,0)))</f>
        <v/>
      </c>
      <c r="I381" s="979" t="str">
        <f>IF(ISNA(VLOOKUP(C381,[6]條件!$A$1:$L$932,12,0)),"",(VLOOKUP(C381,[6]條件!$A$1:$L$932,12,0)))</f>
        <v/>
      </c>
      <c r="J381" s="982"/>
      <c r="K381" s="980"/>
      <c r="L381" s="981" t="s">
        <v>632</v>
      </c>
      <c r="M381" s="983"/>
      <c r="N381" s="982"/>
      <c r="O381" s="980"/>
      <c r="P381" s="981" t="s">
        <v>632</v>
      </c>
      <c r="Q381" s="983"/>
      <c r="R381" s="982"/>
      <c r="S381" s="980"/>
      <c r="T381" s="981" t="s">
        <v>632</v>
      </c>
      <c r="U381" s="983"/>
      <c r="V381" s="982"/>
      <c r="W381" s="980"/>
      <c r="X381" s="981" t="s">
        <v>632</v>
      </c>
      <c r="Y381" s="983"/>
      <c r="Z381" s="1412" t="str">
        <f>IFERROR(VLOOKUP(C381, [6]條件!$A:$L, 3, 0), "")</f>
        <v/>
      </c>
      <c r="AA381" s="984" t="str">
        <f>IF(OR(L381={"改紡","檢修","了機","清車","FINAL","停機","SAMPLE","TEST","絲開發"}), L381, IFERROR(IF(C381="", "", (SUM(J381, N381, R381, V381)/3 * AG381) * IF(AND(AF381="S", AS381="雙"), 0.5, 1)), ""))</f>
        <v>停機</v>
      </c>
      <c r="AB381" s="1413" t="str">
        <f t="shared" si="65"/>
        <v/>
      </c>
      <c r="AC381" s="984" t="str">
        <f>IF(OR(L381={"改紡","檢修","了機","清車","FINAL","停機","SAMPLE","TEST"}), "", IFERROR(IF(C381="", "", AVERAGE(L381:M381, P381:Q381, T381:U381, X381:Y381)/100), ""))</f>
        <v/>
      </c>
      <c r="AD381" s="984" t="str">
        <f t="shared" si="58"/>
        <v/>
      </c>
      <c r="AE381" s="984" t="str">
        <f t="shared" si="66"/>
        <v/>
      </c>
      <c r="AF381" s="985" t="str">
        <f t="shared" si="59"/>
        <v>A</v>
      </c>
      <c r="AG381" s="1414">
        <v>1</v>
      </c>
      <c r="AH381" s="1002" t="s">
        <v>640</v>
      </c>
      <c r="AI381" s="1002" t="s">
        <v>640</v>
      </c>
      <c r="AJ381" s="986" t="s">
        <v>640</v>
      </c>
      <c r="AK381" s="1417" t="s">
        <v>640</v>
      </c>
      <c r="AL381" s="1421"/>
      <c r="AM381" s="1323"/>
      <c r="AN381" s="1323"/>
      <c r="AO381" s="1323"/>
      <c r="AP381" s="1323"/>
      <c r="AQ381" s="1323"/>
      <c r="AR381" s="987"/>
      <c r="AS381" s="978" t="str">
        <f t="shared" si="60"/>
        <v>單</v>
      </c>
      <c r="AT381" s="978" t="str">
        <f t="shared" si="61"/>
        <v>全</v>
      </c>
      <c r="AU381" s="978" t="str">
        <f t="shared" si="62"/>
        <v/>
      </c>
      <c r="AV381" s="978" t="str">
        <f t="shared" si="63"/>
        <v/>
      </c>
    </row>
    <row r="382" spans="1:48">
      <c r="A382" s="975">
        <f t="shared" si="67"/>
        <v>46152</v>
      </c>
      <c r="B382" s="976" t="s">
        <v>230</v>
      </c>
      <c r="C382" s="976" t="s">
        <v>16751</v>
      </c>
      <c r="D382" s="1410"/>
      <c r="E382" s="977" t="str">
        <f>IFERROR(VLOOKUP(C382, [6]條件!$A:$L, 5, 0), "")</f>
        <v>150/48/2GY5</v>
      </c>
      <c r="F382" s="978" t="str">
        <f>IFERROR(VLOOKUP(C382, [6]條件!$A:$L, 6, 0), "")</f>
        <v>FP02422×2</v>
      </c>
      <c r="G382" s="1411">
        <f>IFERROR(VLOOKUP(C382, [6]條件!$A:$L, 7, 0), "")</f>
        <v>600</v>
      </c>
      <c r="H382" s="978" t="str">
        <f>IF(ISNA(VLOOKUP(C382,[6]條件!$A$1:$K$932,11,0)),"",(VLOOKUP(C382,[6]條件!$A$1:$K$932,11,0)))</f>
        <v>白底紅星</v>
      </c>
      <c r="I382" s="979">
        <f>IF(ISNA(VLOOKUP(C382,[6]條件!$A$1:$L$932,12,0)),"",(VLOOKUP(C382,[6]條件!$A$1:$L$932,12,0)))</f>
        <v>4</v>
      </c>
      <c r="J382" s="982">
        <v>24</v>
      </c>
      <c r="K382" s="980">
        <v>0</v>
      </c>
      <c r="L382" s="981">
        <v>8378</v>
      </c>
      <c r="M382" s="983">
        <v>9027</v>
      </c>
      <c r="N382" s="982">
        <v>20</v>
      </c>
      <c r="O382" s="980">
        <v>0</v>
      </c>
      <c r="P382" s="981">
        <v>8581</v>
      </c>
      <c r="Q382" s="983">
        <v>9194</v>
      </c>
      <c r="R382" s="982">
        <v>14</v>
      </c>
      <c r="S382" s="980">
        <v>0</v>
      </c>
      <c r="T382" s="981">
        <v>8629</v>
      </c>
      <c r="U382" s="983">
        <v>9320</v>
      </c>
      <c r="V382" s="982">
        <v>16</v>
      </c>
      <c r="W382" s="980">
        <v>2</v>
      </c>
      <c r="X382" s="981">
        <v>8813</v>
      </c>
      <c r="Y382" s="983">
        <v>9554</v>
      </c>
      <c r="Z382" s="1412">
        <f>IFERROR(VLOOKUP(C382, [6]條件!$A:$L, 3, 0), "")</f>
        <v>6.9230769230769234</v>
      </c>
      <c r="AA382" s="984">
        <f>IF(OR(L382={"改紡","檢修","了機","清車","FINAL","停機","SAMPLE","TEST","絲開發"}), L382, IFERROR(IF(C382="", "", (SUM(J382, N382, R382, V382)/3 * AG382) * IF(AND(AF382="S", AS382="雙"), 0.5, 1)), ""))</f>
        <v>12.333333333333334</v>
      </c>
      <c r="AB382" s="1413">
        <f t="shared" si="65"/>
        <v>0.99861111111111112</v>
      </c>
      <c r="AC382" s="984">
        <f>IF(OR(L382={"改紡","檢修","了機","清車","FINAL","停機","SAMPLE","TEST"}), "", IFERROR(IF(C382="", "", AVERAGE(L382:M382, P382:Q382, T382:U382, X382:Y382)/100), ""))</f>
        <v>89.37</v>
      </c>
      <c r="AD382" s="984">
        <f t="shared" si="58"/>
        <v>1.5416666666666667</v>
      </c>
      <c r="AE382" s="984">
        <f t="shared" si="66"/>
        <v>1.5</v>
      </c>
      <c r="AF382" s="985" t="str">
        <f t="shared" si="59"/>
        <v>A</v>
      </c>
      <c r="AG382" s="1414">
        <v>0.5</v>
      </c>
      <c r="AH382" s="1002" t="s">
        <v>16154</v>
      </c>
      <c r="AI382" s="1002" t="s">
        <v>16154</v>
      </c>
      <c r="AJ382" s="986" t="s">
        <v>725</v>
      </c>
      <c r="AK382" s="1417" t="s">
        <v>725</v>
      </c>
      <c r="AL382" s="1415">
        <v>52</v>
      </c>
      <c r="AM382" s="1323">
        <v>46145</v>
      </c>
      <c r="AN382" s="1323">
        <v>46146</v>
      </c>
      <c r="AO382" s="1323">
        <v>46149</v>
      </c>
      <c r="AP382" s="1323">
        <v>46150</v>
      </c>
      <c r="AQ382" s="1323"/>
      <c r="AR382" s="987"/>
      <c r="AS382" s="978" t="str">
        <f t="shared" si="60"/>
        <v>雙</v>
      </c>
      <c r="AT382" s="978" t="str">
        <f t="shared" si="61"/>
        <v>全</v>
      </c>
      <c r="AU382" s="978">
        <f t="shared" si="62"/>
        <v>150</v>
      </c>
      <c r="AV382" s="978">
        <f t="shared" si="63"/>
        <v>2.7797644799999999</v>
      </c>
    </row>
    <row r="383" spans="1:48">
      <c r="A383" s="975">
        <f t="shared" si="67"/>
        <v>46152</v>
      </c>
      <c r="B383" s="976" t="s">
        <v>231</v>
      </c>
      <c r="C383" s="976" t="s">
        <v>632</v>
      </c>
      <c r="D383" s="1410"/>
      <c r="E383" s="977" t="str">
        <f>IFERROR(VLOOKUP(C383, [6]條件!$A:$L, 5, 0), "")</f>
        <v/>
      </c>
      <c r="F383" s="978" t="str">
        <f>IFERROR(VLOOKUP(C383, [6]條件!$A:$L, 6, 0), "")</f>
        <v/>
      </c>
      <c r="G383" s="1411" t="str">
        <f>IFERROR(VLOOKUP(C383, [6]條件!$A:$L, 7, 0), "")</f>
        <v/>
      </c>
      <c r="H383" s="978" t="str">
        <f>IF(ISNA(VLOOKUP(C383,[6]條件!$A$1:$K$932,11,0)),"",(VLOOKUP(C383,[6]條件!$A$1:$K$932,11,0)))</f>
        <v/>
      </c>
      <c r="I383" s="979" t="str">
        <f>IF(ISNA(VLOOKUP(C383,[6]條件!$A$1:$L$932,12,0)),"",(VLOOKUP(C383,[6]條件!$A$1:$L$932,12,0)))</f>
        <v/>
      </c>
      <c r="J383" s="982"/>
      <c r="K383" s="980"/>
      <c r="L383" s="981" t="s">
        <v>632</v>
      </c>
      <c r="M383" s="983"/>
      <c r="N383" s="982"/>
      <c r="O383" s="980"/>
      <c r="P383" s="981" t="s">
        <v>632</v>
      </c>
      <c r="Q383" s="983"/>
      <c r="R383" s="982"/>
      <c r="S383" s="980"/>
      <c r="T383" s="981" t="s">
        <v>632</v>
      </c>
      <c r="U383" s="983"/>
      <c r="V383" s="982"/>
      <c r="W383" s="980"/>
      <c r="X383" s="981" t="s">
        <v>632</v>
      </c>
      <c r="Y383" s="983"/>
      <c r="Z383" s="1412" t="str">
        <f>IFERROR(VLOOKUP(C383, [6]條件!$A:$L, 3, 0), "")</f>
        <v/>
      </c>
      <c r="AA383" s="984" t="str">
        <f>IF(OR(L383={"改紡","檢修","了機","清車","FINAL","停機","SAMPLE","TEST","絲開發"}), L383, IFERROR(IF(C383="", "", (SUM(J383, N383, R383, V383)/3 * AG383) * IF(AND(AF383="S", AS383="雙"), 0.5, 1)), ""))</f>
        <v>停機</v>
      </c>
      <c r="AB383" s="1413" t="str">
        <f t="shared" si="65"/>
        <v/>
      </c>
      <c r="AC383" s="984" t="str">
        <f>IF(OR(L383={"改紡","檢修","了機","清車","FINAL","停機","SAMPLE","TEST"}), "", IFERROR(IF(C383="", "", AVERAGE(L383:M383, P383:Q383, T383:U383, X383:Y383)/100), ""))</f>
        <v/>
      </c>
      <c r="AD383" s="984" t="str">
        <f t="shared" si="58"/>
        <v/>
      </c>
      <c r="AE383" s="984" t="str">
        <f t="shared" si="66"/>
        <v/>
      </c>
      <c r="AF383" s="985" t="str">
        <f t="shared" si="59"/>
        <v>J</v>
      </c>
      <c r="AG383" s="1414">
        <v>1</v>
      </c>
      <c r="AH383" s="1002" t="s">
        <v>640</v>
      </c>
      <c r="AI383" s="1002" t="s">
        <v>640</v>
      </c>
      <c r="AJ383" s="986" t="s">
        <v>640</v>
      </c>
      <c r="AK383" s="1417" t="s">
        <v>640</v>
      </c>
      <c r="AL383" s="1415"/>
      <c r="AM383" s="1323"/>
      <c r="AN383" s="1323"/>
      <c r="AO383" s="1323"/>
      <c r="AP383" s="1323"/>
      <c r="AQ383" s="1323"/>
      <c r="AR383" s="987"/>
      <c r="AS383" s="978" t="str">
        <f t="shared" si="60"/>
        <v>單</v>
      </c>
      <c r="AT383" s="978" t="str">
        <f t="shared" si="61"/>
        <v>全</v>
      </c>
      <c r="AU383" s="978" t="str">
        <f t="shared" si="62"/>
        <v/>
      </c>
      <c r="AV383" s="978" t="str">
        <f t="shared" si="63"/>
        <v/>
      </c>
    </row>
    <row r="384" spans="1:48">
      <c r="A384" s="975">
        <f t="shared" si="67"/>
        <v>46152</v>
      </c>
      <c r="B384" s="976" t="s">
        <v>233</v>
      </c>
      <c r="C384" s="976" t="s">
        <v>16772</v>
      </c>
      <c r="D384" s="1410" t="s">
        <v>633</v>
      </c>
      <c r="E384" s="977" t="str">
        <f>IFERROR(VLOOKUP(C384, [6]條件!$A:$L, 5, 0), "")</f>
        <v>150/48/2SDr</v>
      </c>
      <c r="F384" s="978" t="str">
        <f>IFERROR(VLOOKUP(C384, [6]條件!$A:$L, 6, 0), "")</f>
        <v>FP82171R×2</v>
      </c>
      <c r="G384" s="1411">
        <f>IFERROR(VLOOKUP(C384, [6]條件!$A:$L, 7, 0), "")</f>
        <v>600</v>
      </c>
      <c r="H384" s="978" t="str">
        <f>IF(ISNA(VLOOKUP(C384,[6]條件!$A$1:$K$932,11,0)),"",(VLOOKUP(C384,[6]條件!$A$1:$K$932,11,0)))</f>
        <v>紅白直條</v>
      </c>
      <c r="I384" s="979">
        <f>IF(ISNA(VLOOKUP(C384,[6]條件!$A$1:$L$932,12,0)),"",(VLOOKUP(C384,[6]條件!$A$1:$L$932,12,0)))</f>
        <v>5.5</v>
      </c>
      <c r="J384" s="982">
        <v>76</v>
      </c>
      <c r="K384" s="980">
        <v>10</v>
      </c>
      <c r="L384" s="981">
        <v>7830</v>
      </c>
      <c r="M384" s="983"/>
      <c r="N384" s="982">
        <v>21</v>
      </c>
      <c r="O384" s="980">
        <v>3</v>
      </c>
      <c r="P384" s="981">
        <v>8050</v>
      </c>
      <c r="Q384" s="983"/>
      <c r="R384" s="982">
        <v>19</v>
      </c>
      <c r="S384" s="980">
        <v>6</v>
      </c>
      <c r="T384" s="981">
        <v>7990</v>
      </c>
      <c r="U384" s="983"/>
      <c r="V384" s="982">
        <v>54</v>
      </c>
      <c r="W384" s="980">
        <v>4</v>
      </c>
      <c r="X384" s="981">
        <v>7720</v>
      </c>
      <c r="Y384" s="983"/>
      <c r="Z384" s="1412">
        <f>IFERROR(VLOOKUP(C384, [6]條件!$A:$L, 3, 0), "")</f>
        <v>5.0526315789473673</v>
      </c>
      <c r="AA384" s="984">
        <f>IF(OR(L384={"改紡","檢修","了機","清車","FINAL","停機","SAMPLE","TEST","絲開發"}), L384, IFERROR(IF(C384="", "", (SUM(J384, N384, R384, V384)/3 * AG384) * IF(AND(AF384="S", AS384="雙"), 0.5, 1)), ""))</f>
        <v>56.666666666666664</v>
      </c>
      <c r="AB384" s="1413">
        <f t="shared" si="65"/>
        <v>0.97811498397435892</v>
      </c>
      <c r="AC384" s="984">
        <f>IF(OR(L384={"改紡","檢修","了機","清車","FINAL","停機","SAMPLE","TEST"}), "", IFERROR(IF(C384="", "", AVERAGE(L384:M384, P384:Q384, T384:U384, X384:Y384)/100), ""))</f>
        <v>78.974999999999994</v>
      </c>
      <c r="AD384" s="984">
        <f t="shared" si="58"/>
        <v>7.083333333333333</v>
      </c>
      <c r="AE384" s="984">
        <f t="shared" si="66"/>
        <v>6.125</v>
      </c>
      <c r="AF384" s="985" t="str">
        <f t="shared" si="59"/>
        <v>J</v>
      </c>
      <c r="AG384" s="1414">
        <v>1</v>
      </c>
      <c r="AH384" s="1002" t="s">
        <v>814</v>
      </c>
      <c r="AI384" s="1002" t="s">
        <v>814</v>
      </c>
      <c r="AJ384" s="986" t="s">
        <v>815</v>
      </c>
      <c r="AK384" s="1417" t="s">
        <v>815</v>
      </c>
      <c r="AL384" s="1415">
        <v>55</v>
      </c>
      <c r="AM384" s="1323">
        <v>46148</v>
      </c>
      <c r="AN384" s="1323">
        <v>46149</v>
      </c>
      <c r="AO384" s="1323"/>
      <c r="AP384" s="1323"/>
      <c r="AQ384" s="1323"/>
      <c r="AR384" s="987"/>
      <c r="AS384" s="978" t="str">
        <f t="shared" si="60"/>
        <v>雙</v>
      </c>
      <c r="AT384" s="978" t="str">
        <f t="shared" si="61"/>
        <v>全</v>
      </c>
      <c r="AU384" s="978">
        <f t="shared" si="62"/>
        <v>150</v>
      </c>
      <c r="AV384" s="978">
        <f t="shared" si="63"/>
        <v>4.9128767999999994</v>
      </c>
    </row>
    <row r="385" spans="1:48">
      <c r="A385" s="975">
        <f t="shared" si="67"/>
        <v>46152</v>
      </c>
      <c r="B385" s="976" t="s">
        <v>234</v>
      </c>
      <c r="C385" s="976" t="s">
        <v>632</v>
      </c>
      <c r="D385" s="1410"/>
      <c r="E385" s="977" t="str">
        <f>IFERROR(VLOOKUP(C385, [6]條件!$A:$L, 5, 0), "")</f>
        <v/>
      </c>
      <c r="F385" s="978" t="str">
        <f>IFERROR(VLOOKUP(C385, [6]條件!$A:$L, 6, 0), "")</f>
        <v/>
      </c>
      <c r="G385" s="1411" t="str">
        <f>IFERROR(VLOOKUP(C385, [6]條件!$A:$L, 7, 0), "")</f>
        <v/>
      </c>
      <c r="H385" s="978" t="str">
        <f>IF(ISNA(VLOOKUP(C385,[6]條件!$A$1:$K$932,11,0)),"",(VLOOKUP(C385,[6]條件!$A$1:$K$932,11,0)))</f>
        <v/>
      </c>
      <c r="I385" s="979" t="str">
        <f>IF(ISNA(VLOOKUP(C385,[6]條件!$A$1:$L$932,12,0)),"",(VLOOKUP(C385,[6]條件!$A$1:$L$932,12,0)))</f>
        <v/>
      </c>
      <c r="J385" s="982"/>
      <c r="K385" s="980"/>
      <c r="L385" s="981" t="s">
        <v>632</v>
      </c>
      <c r="M385" s="983"/>
      <c r="N385" s="982"/>
      <c r="O385" s="980"/>
      <c r="P385" s="981" t="s">
        <v>632</v>
      </c>
      <c r="Q385" s="983"/>
      <c r="R385" s="982"/>
      <c r="S385" s="980"/>
      <c r="T385" s="981" t="s">
        <v>632</v>
      </c>
      <c r="U385" s="983"/>
      <c r="V385" s="982"/>
      <c r="W385" s="980"/>
      <c r="X385" s="981" t="s">
        <v>632</v>
      </c>
      <c r="Y385" s="983"/>
      <c r="Z385" s="1412" t="str">
        <f>IFERROR(VLOOKUP(C385, [6]條件!$A:$L, 3, 0), "")</f>
        <v/>
      </c>
      <c r="AA385" s="984" t="str">
        <f>IF(OR(L385={"改紡","檢修","了機","清車","FINAL","停機","SAMPLE","TEST","絲開發"}), L385, IFERROR(IF(C385="", "", (SUM(J385, N385, R385, V385)/3 * AG385) * IF(AND(AF385="S", AS385="雙"), 0.5, 1)), ""))</f>
        <v>停機</v>
      </c>
      <c r="AB385" s="1413" t="str">
        <f t="shared" si="65"/>
        <v/>
      </c>
      <c r="AC385" s="984" t="str">
        <f>IF(OR(L385={"改紡","檢修","了機","清車","FINAL","停機","SAMPLE","TEST"}), "", IFERROR(IF(C385="", "", AVERAGE(L385:M385, P385:Q385, T385:U385, X385:Y385)/100), ""))</f>
        <v/>
      </c>
      <c r="AD385" s="984" t="str">
        <f t="shared" si="58"/>
        <v/>
      </c>
      <c r="AE385" s="984" t="str">
        <f t="shared" si="66"/>
        <v/>
      </c>
      <c r="AF385" s="985" t="str">
        <f t="shared" si="59"/>
        <v>J</v>
      </c>
      <c r="AG385" s="1414">
        <v>1</v>
      </c>
      <c r="AH385" s="1002" t="s">
        <v>640</v>
      </c>
      <c r="AI385" s="1002" t="s">
        <v>640</v>
      </c>
      <c r="AJ385" s="986" t="s">
        <v>640</v>
      </c>
      <c r="AK385" s="1417" t="s">
        <v>640</v>
      </c>
      <c r="AL385" s="1415"/>
      <c r="AM385" s="1323"/>
      <c r="AN385" s="1323"/>
      <c r="AO385" s="1323"/>
      <c r="AP385" s="1323"/>
      <c r="AQ385" s="1323"/>
      <c r="AR385" s="987"/>
      <c r="AS385" s="978" t="str">
        <f t="shared" si="60"/>
        <v>單</v>
      </c>
      <c r="AT385" s="978" t="str">
        <f t="shared" si="61"/>
        <v>全</v>
      </c>
      <c r="AU385" s="978" t="str">
        <f t="shared" si="62"/>
        <v/>
      </c>
      <c r="AV385" s="978" t="str">
        <f t="shared" si="63"/>
        <v/>
      </c>
    </row>
    <row r="386" spans="1:48">
      <c r="A386" s="975">
        <f t="shared" si="67"/>
        <v>46152</v>
      </c>
      <c r="B386" s="976" t="s">
        <v>235</v>
      </c>
      <c r="C386" s="976" t="s">
        <v>16765</v>
      </c>
      <c r="D386" s="1410" t="s">
        <v>633</v>
      </c>
      <c r="E386" s="977" t="str">
        <f>IFERROR(VLOOKUP(C386, [6]條件!$A:$L, 5, 0), "")</f>
        <v>150/48/2SDr</v>
      </c>
      <c r="F386" s="978" t="str">
        <f>IFERROR(VLOOKUP(C386, [6]條件!$A:$L, 6, 0), "")</f>
        <v>FP82173R×2</v>
      </c>
      <c r="G386" s="1411">
        <f>IFERROR(VLOOKUP(C386, [6]條件!$A:$L, 7, 0), "")</f>
        <v>700</v>
      </c>
      <c r="H386" s="978" t="str">
        <f>IF(ISNA(VLOOKUP(C386,[6]條件!$A$1:$K$932,11,0)),"",(VLOOKUP(C386,[6]條件!$A$1:$K$932,11,0)))</f>
        <v>白紫條紋</v>
      </c>
      <c r="I386" s="979">
        <f>IF(ISNA(VLOOKUP(C386,[6]條件!$A$1:$L$932,12,0)),"",(VLOOKUP(C386,[6]條件!$A$1:$L$932,12,0)))</f>
        <v>5.5</v>
      </c>
      <c r="J386" s="982">
        <v>38</v>
      </c>
      <c r="K386" s="980">
        <v>0</v>
      </c>
      <c r="L386" s="981">
        <v>8430</v>
      </c>
      <c r="M386" s="983">
        <v>9350</v>
      </c>
      <c r="N386" s="982">
        <v>22</v>
      </c>
      <c r="O386" s="980">
        <v>0</v>
      </c>
      <c r="P386" s="981">
        <v>8520</v>
      </c>
      <c r="Q386" s="983">
        <v>9170</v>
      </c>
      <c r="R386" s="982">
        <v>30</v>
      </c>
      <c r="S386" s="980">
        <v>0</v>
      </c>
      <c r="T386" s="981">
        <v>8800</v>
      </c>
      <c r="U386" s="983">
        <v>8980</v>
      </c>
      <c r="V386" s="982">
        <v>44</v>
      </c>
      <c r="W386" s="980">
        <v>0</v>
      </c>
      <c r="X386" s="981">
        <v>9260</v>
      </c>
      <c r="Y386" s="983">
        <v>9720</v>
      </c>
      <c r="Z386" s="1412">
        <f>IFERROR(VLOOKUP(C386, [6]條件!$A:$L, 3, 0), "")</f>
        <v>5.8775510204081636</v>
      </c>
      <c r="AA386" s="984">
        <f>IF(OR(L386={"改紡","檢修","了機","清車","FINAL","停機","SAMPLE","TEST","絲開發"}), L386, IFERROR(IF(C386="", "", (SUM(J386, N386, R386, V386)/3 * AG386) * IF(AND(AF386="S", AS386="雙"), 0.5, 1)), ""))</f>
        <v>44.666666666666664</v>
      </c>
      <c r="AB386" s="1413">
        <f t="shared" si="65"/>
        <v>1</v>
      </c>
      <c r="AC386" s="984">
        <f>IF(OR(L386={"改紡","檢修","了機","清車","FINAL","停機","SAMPLE","TEST"}), "", IFERROR(IF(C386="", "", AVERAGE(L386:M386, P386:Q386, T386:U386, X386:Y386)/100), ""))</f>
        <v>90.287499999999994</v>
      </c>
      <c r="AD386" s="984">
        <f t="shared" ref="AD386:AD449" si="68">IF(ISERROR(AA386/8),"",(AA386/8))</f>
        <v>5.583333333333333</v>
      </c>
      <c r="AE386" s="984">
        <f t="shared" si="66"/>
        <v>5.583333333333333</v>
      </c>
      <c r="AF386" s="985" t="str">
        <f t="shared" ref="AF386:AF449" si="69">LEFT(B386, 1)</f>
        <v>T</v>
      </c>
      <c r="AG386" s="1414">
        <v>1</v>
      </c>
      <c r="AH386" s="1002" t="s">
        <v>651</v>
      </c>
      <c r="AI386" s="1002" t="s">
        <v>651</v>
      </c>
      <c r="AJ386" s="986" t="s">
        <v>652</v>
      </c>
      <c r="AK386" s="1417" t="s">
        <v>652</v>
      </c>
      <c r="AL386" s="1415">
        <v>56</v>
      </c>
      <c r="AM386" s="1323">
        <v>46148</v>
      </c>
      <c r="AN386" s="1323">
        <v>46149</v>
      </c>
      <c r="AO386" s="1323">
        <v>46150</v>
      </c>
      <c r="AP386" s="1323"/>
      <c r="AQ386" s="1323"/>
      <c r="AR386" s="987"/>
      <c r="AS386" s="978" t="str">
        <f t="shared" ref="AS386:AS449" si="70">IF(RIGHT(F386, 2) = "×2", "雙", "單")</f>
        <v>雙</v>
      </c>
      <c r="AT386" s="978" t="str">
        <f t="shared" ref="AT386:AT449" si="71">IF(OR(AF386="J", AF386="T", AF386="M"), IF(AG386=1, "全", "半"), IF(AF386="A", IF(AG386=0.5, IF(AS386="雙", "全", ""), IF(AG386=1, IF(AS386="雙", "半", "全"), IF(AG386=2, "半", ""))), IF(AF386="S", AG386 &amp; "sec", "")))</f>
        <v>全</v>
      </c>
      <c r="AU386" s="978">
        <f t="shared" ref="AU386:AU449" si="72">IFERROR(VALUE(LEFT(E386, FIND("/", E386)-1)), "")</f>
        <v>150</v>
      </c>
      <c r="AV386" s="978">
        <f t="shared" ref="AV386:AV449" si="73">IFERROR(IF(AF386="S", (AU386*G386*AC386*0.03456/100/1000) * (AG386*12/144) * IF(AS386="單", 1, 0.5), IF(AF386="A", (AU386*G386*AC386*0.03456/100/1000) * IF(AT386="全", 1, 0.5), IF(OR(AF386="T", AF386="J", AF386="M"), (AU386*G386*AC386*0.03456/100/1000) * IF(AS386="單", 1, 2) * IF(AT386="全", 1, 0.5), 0))), "")</f>
        <v>6.5527056000000004</v>
      </c>
    </row>
    <row r="387" spans="1:48">
      <c r="A387" s="975">
        <f t="shared" si="67"/>
        <v>46152</v>
      </c>
      <c r="B387" s="976" t="s">
        <v>237</v>
      </c>
      <c r="C387" s="976" t="s">
        <v>16759</v>
      </c>
      <c r="D387" s="1410" t="s">
        <v>633</v>
      </c>
      <c r="E387" s="977" t="str">
        <f>IFERROR(VLOOKUP(C387, [6]條件!$A:$L, 5, 0), "")</f>
        <v>150/48/2SDr</v>
      </c>
      <c r="F387" s="978" t="str">
        <f>IFERROR(VLOOKUP(C387, [6]條件!$A:$L, 6, 0), "")</f>
        <v>FP82171R×2</v>
      </c>
      <c r="G387" s="1411">
        <f>IFERROR(VLOOKUP(C387, [6]條件!$A:$L, 7, 0), "")</f>
        <v>700</v>
      </c>
      <c r="H387" s="978" t="str">
        <f>IF(ISNA(VLOOKUP(C387,[6]條件!$A$1:$K$932,11,0)),"",(VLOOKUP(C387,[6]條件!$A$1:$K$932,11,0)))</f>
        <v>紅底黃星</v>
      </c>
      <c r="I387" s="979">
        <f>IF(ISNA(VLOOKUP(C387,[6]條件!$A$1:$L$932,12,0)),"",(VLOOKUP(C387,[6]條件!$A$1:$L$932,12,0)))</f>
        <v>5.5</v>
      </c>
      <c r="J387" s="982">
        <v>25</v>
      </c>
      <c r="K387" s="980">
        <v>0</v>
      </c>
      <c r="L387" s="981">
        <v>9540</v>
      </c>
      <c r="M387" s="983">
        <v>9170</v>
      </c>
      <c r="N387" s="982">
        <v>9</v>
      </c>
      <c r="O387" s="980">
        <v>0</v>
      </c>
      <c r="P387" s="981">
        <v>9810</v>
      </c>
      <c r="Q387" s="983">
        <v>9070</v>
      </c>
      <c r="R387" s="982">
        <v>10</v>
      </c>
      <c r="S387" s="980">
        <v>0</v>
      </c>
      <c r="T387" s="981">
        <v>9170</v>
      </c>
      <c r="U387" s="983">
        <v>8060</v>
      </c>
      <c r="V387" s="982">
        <v>58</v>
      </c>
      <c r="W387" s="980">
        <v>0</v>
      </c>
      <c r="X387" s="981">
        <v>9630</v>
      </c>
      <c r="Y387" s="983">
        <v>9170</v>
      </c>
      <c r="Z387" s="1412">
        <f>IFERROR(VLOOKUP(C387, [6]條件!$A:$L, 3, 0), "")</f>
        <v>5.8299595141700413</v>
      </c>
      <c r="AA387" s="984">
        <f>IF(OR(L387={"改紡","檢修","了機","清車","FINAL","停機","SAMPLE","TEST","絲開發"}), L387, IFERROR(IF(C387="", "", (SUM(J387, N387, R387, V387)/3 * AG387) * IF(AND(AF387="S", AS387="雙"), 0.5, 1)), ""))</f>
        <v>34</v>
      </c>
      <c r="AB387" s="1413">
        <f t="shared" si="65"/>
        <v>1</v>
      </c>
      <c r="AC387" s="984">
        <f>IF(OR(L387={"改紡","檢修","了機","清車","FINAL","停機","SAMPLE","TEST"}), "", IFERROR(IF(C387="", "", AVERAGE(L387:M387, P387:Q387, T387:U387, X387:Y387)/100), ""))</f>
        <v>92.025000000000006</v>
      </c>
      <c r="AD387" s="984">
        <f t="shared" si="68"/>
        <v>4.25</v>
      </c>
      <c r="AE387" s="984">
        <f t="shared" si="66"/>
        <v>4.25</v>
      </c>
      <c r="AF387" s="985" t="str">
        <f t="shared" si="69"/>
        <v>T</v>
      </c>
      <c r="AG387" s="1414">
        <v>1</v>
      </c>
      <c r="AH387" s="1002" t="s">
        <v>651</v>
      </c>
      <c r="AI387" s="1002" t="s">
        <v>651</v>
      </c>
      <c r="AJ387" s="986" t="s">
        <v>652</v>
      </c>
      <c r="AK387" s="1417" t="s">
        <v>652</v>
      </c>
      <c r="AL387" s="1415">
        <v>55</v>
      </c>
      <c r="AM387" s="1323">
        <v>46145</v>
      </c>
      <c r="AN387" s="1323">
        <v>46148</v>
      </c>
      <c r="AO387" s="1323">
        <v>46149</v>
      </c>
      <c r="AP387" s="1323"/>
      <c r="AQ387" s="1323"/>
      <c r="AR387" s="987"/>
      <c r="AS387" s="978" t="str">
        <f t="shared" si="70"/>
        <v>雙</v>
      </c>
      <c r="AT387" s="978" t="str">
        <f t="shared" si="71"/>
        <v>全</v>
      </c>
      <c r="AU387" s="978">
        <f t="shared" si="72"/>
        <v>150</v>
      </c>
      <c r="AV387" s="978">
        <f t="shared" si="73"/>
        <v>6.6788064</v>
      </c>
    </row>
    <row r="388" spans="1:48">
      <c r="A388" s="975">
        <f t="shared" si="67"/>
        <v>46152</v>
      </c>
      <c r="B388" s="976" t="s">
        <v>238</v>
      </c>
      <c r="C388" s="976" t="s">
        <v>16743</v>
      </c>
      <c r="D388" s="1410"/>
      <c r="E388" s="977" t="str">
        <f>IFERROR(VLOOKUP(C388, [6]條件!$A:$L, 5, 0), "")</f>
        <v>150/48/2SDr</v>
      </c>
      <c r="F388" s="978" t="str">
        <f>IFERROR(VLOOKUP(C388, [6]條件!$A:$L, 6, 0), "")</f>
        <v>FP82169R×2</v>
      </c>
      <c r="G388" s="1411">
        <f>IFERROR(VLOOKUP(C388, [6]條件!$A:$L, 7, 0), "")</f>
        <v>670</v>
      </c>
      <c r="H388" s="978" t="str">
        <f>IF(ISNA(VLOOKUP(C388,[6]條件!$A$1:$K$932,11,0)),"",(VLOOKUP(C388,[6]條件!$A$1:$K$932,11,0)))</f>
        <v>黃底紅點</v>
      </c>
      <c r="I388" s="979">
        <f>IF(ISNA(VLOOKUP(C388,[6]條件!$A$1:$L$932,12,0)),"",(VLOOKUP(C388,[6]條件!$A$1:$L$932,12,0)))</f>
        <v>5</v>
      </c>
      <c r="J388" s="982">
        <v>25</v>
      </c>
      <c r="K388" s="980">
        <v>0</v>
      </c>
      <c r="L388" s="981">
        <v>9070</v>
      </c>
      <c r="M388" s="983"/>
      <c r="N388" s="982">
        <v>10</v>
      </c>
      <c r="O388" s="980">
        <v>0</v>
      </c>
      <c r="P388" s="981">
        <v>9260</v>
      </c>
      <c r="Q388" s="983"/>
      <c r="R388" s="982">
        <v>4</v>
      </c>
      <c r="S388" s="980">
        <v>0</v>
      </c>
      <c r="T388" s="981">
        <v>9260</v>
      </c>
      <c r="U388" s="983"/>
      <c r="V388" s="982">
        <v>48</v>
      </c>
      <c r="W388" s="980">
        <v>0</v>
      </c>
      <c r="X388" s="981">
        <v>9350</v>
      </c>
      <c r="Y388" s="983"/>
      <c r="Z388" s="1412">
        <f>IFERROR(VLOOKUP(C388, [6]條件!$A:$L, 3, 0), "")</f>
        <v>6.2882096069868991</v>
      </c>
      <c r="AA388" s="984">
        <f>IF(OR(L388={"改紡","檢修","了機","清車","FINAL","停機","SAMPLE","TEST","絲開發"}), L388, IFERROR(IF(C388="", "", (SUM(J388, N388, R388, V388)/3 * AG388) * IF(AND(AF388="S", AS388="雙"), 0.5, 1)), ""))</f>
        <v>58</v>
      </c>
      <c r="AB388" s="1413">
        <f t="shared" si="65"/>
        <v>1</v>
      </c>
      <c r="AC388" s="984">
        <f>IF(OR(L388={"改紡","檢修","了機","清車","FINAL","停機","SAMPLE","TEST"}), "", IFERROR(IF(C388="", "", AVERAGE(L388:M388, P388:Q388, T388:U388, X388:Y388)/100), ""))</f>
        <v>92.35</v>
      </c>
      <c r="AD388" s="984">
        <f t="shared" si="68"/>
        <v>7.25</v>
      </c>
      <c r="AE388" s="984">
        <f t="shared" si="66"/>
        <v>7.25</v>
      </c>
      <c r="AF388" s="985" t="str">
        <f t="shared" si="69"/>
        <v>T</v>
      </c>
      <c r="AG388" s="1414">
        <v>2</v>
      </c>
      <c r="AH388" s="1002" t="s">
        <v>651</v>
      </c>
      <c r="AI388" s="1002" t="s">
        <v>651</v>
      </c>
      <c r="AJ388" s="986" t="s">
        <v>652</v>
      </c>
      <c r="AK388" s="1417" t="s">
        <v>652</v>
      </c>
      <c r="AL388" s="1415">
        <v>48</v>
      </c>
      <c r="AM388" s="1323">
        <v>46146</v>
      </c>
      <c r="AN388" s="1323">
        <v>46149</v>
      </c>
      <c r="AO388" s="1323">
        <v>46150</v>
      </c>
      <c r="AP388" s="1323"/>
      <c r="AQ388" s="1323"/>
      <c r="AR388" s="987"/>
      <c r="AS388" s="978" t="str">
        <f t="shared" si="70"/>
        <v>雙</v>
      </c>
      <c r="AT388" s="978" t="str">
        <f t="shared" si="71"/>
        <v>半</v>
      </c>
      <c r="AU388" s="978">
        <f t="shared" si="72"/>
        <v>150</v>
      </c>
      <c r="AV388" s="978">
        <f t="shared" si="73"/>
        <v>3.2075740799999997</v>
      </c>
    </row>
    <row r="389" spans="1:48">
      <c r="A389" s="975">
        <f t="shared" si="67"/>
        <v>46152</v>
      </c>
      <c r="B389" s="976" t="s">
        <v>238</v>
      </c>
      <c r="C389" s="976" t="s">
        <v>16742</v>
      </c>
      <c r="D389" s="1410"/>
      <c r="E389" s="977" t="str">
        <f>IFERROR(VLOOKUP(C389, [6]條件!$A:$L, 5, 0), "")</f>
        <v>150/48/2SDr</v>
      </c>
      <c r="F389" s="978" t="str">
        <f>IFERROR(VLOOKUP(C389, [6]條件!$A:$L, 6, 0), "")</f>
        <v>FP82169R×2</v>
      </c>
      <c r="G389" s="1411">
        <f>IFERROR(VLOOKUP(C389, [6]條件!$A:$L, 7, 0), "")</f>
        <v>670</v>
      </c>
      <c r="H389" s="978" t="str">
        <f>IF(ISNA(VLOOKUP(C389,[6]條件!$A$1:$K$932,11,0)),"",(VLOOKUP(C389,[6]條件!$A$1:$K$932,11,0)))</f>
        <v>紅底藍點</v>
      </c>
      <c r="I389" s="979">
        <f>IF(ISNA(VLOOKUP(C389,[6]條件!$A$1:$L$932,12,0)),"",(VLOOKUP(C389,[6]條件!$A$1:$L$932,12,0)))</f>
        <v>5</v>
      </c>
      <c r="J389" s="982">
        <v>20</v>
      </c>
      <c r="K389" s="980">
        <v>0</v>
      </c>
      <c r="L389" s="981"/>
      <c r="M389" s="983">
        <v>8610</v>
      </c>
      <c r="N389" s="982">
        <v>18</v>
      </c>
      <c r="O389" s="980">
        <v>0</v>
      </c>
      <c r="P389" s="981"/>
      <c r="Q389" s="983">
        <v>8700</v>
      </c>
      <c r="R389" s="982">
        <v>19</v>
      </c>
      <c r="S389" s="980">
        <v>0</v>
      </c>
      <c r="T389" s="981"/>
      <c r="U389" s="983">
        <v>8610</v>
      </c>
      <c r="V389" s="982">
        <v>20</v>
      </c>
      <c r="W389" s="980">
        <v>1</v>
      </c>
      <c r="X389" s="981"/>
      <c r="Y389" s="983">
        <v>9350</v>
      </c>
      <c r="Z389" s="1412">
        <f>IFERROR(VLOOKUP(C389, [6]條件!$A:$L, 3, 0), "")</f>
        <v>6.1802575107296125</v>
      </c>
      <c r="AA389" s="984">
        <f>IF(OR(L389={"改紡","檢修","了機","清車","FINAL","停機","SAMPLE","TEST","絲開發"}), L389, IFERROR(IF(C389="", "", (SUM(J389, N389, R389, V389)/3 * AG389) * IF(AND(AF389="S", AS389="雙"), 0.5, 1)), ""))</f>
        <v>51.333333333333336</v>
      </c>
      <c r="AB389" s="1413">
        <f t="shared" si="65"/>
        <v>0.99922208867521367</v>
      </c>
      <c r="AC389" s="984">
        <f>IF(OR(L389={"改紡","檢修","了機","清車","FINAL","停機","SAMPLE","TEST"}), "", IFERROR(IF(C389="", "", AVERAGE(L389:M389, P389:Q389, T389:U389, X389:Y389)/100), ""))</f>
        <v>88.174999999999997</v>
      </c>
      <c r="AD389" s="984">
        <f t="shared" si="68"/>
        <v>6.416666666666667</v>
      </c>
      <c r="AE389" s="984">
        <f t="shared" si="66"/>
        <v>6.333333333333333</v>
      </c>
      <c r="AF389" s="985" t="str">
        <f t="shared" si="69"/>
        <v>T</v>
      </c>
      <c r="AG389" s="1414">
        <v>2</v>
      </c>
      <c r="AH389" s="1002" t="s">
        <v>651</v>
      </c>
      <c r="AI389" s="1002" t="s">
        <v>651</v>
      </c>
      <c r="AJ389" s="986" t="s">
        <v>835</v>
      </c>
      <c r="AK389" s="1417" t="s">
        <v>835</v>
      </c>
      <c r="AL389" s="1415">
        <v>48</v>
      </c>
      <c r="AM389" s="1323">
        <v>46149</v>
      </c>
      <c r="AN389" s="1323">
        <v>46150</v>
      </c>
      <c r="AO389" s="1323"/>
      <c r="AP389" s="1323"/>
      <c r="AQ389" s="1323"/>
      <c r="AR389" s="987"/>
      <c r="AS389" s="978" t="str">
        <f t="shared" si="70"/>
        <v>雙</v>
      </c>
      <c r="AT389" s="978" t="str">
        <f t="shared" si="71"/>
        <v>半</v>
      </c>
      <c r="AU389" s="978">
        <f t="shared" si="72"/>
        <v>150</v>
      </c>
      <c r="AV389" s="978">
        <f t="shared" si="73"/>
        <v>3.0625646399999997</v>
      </c>
    </row>
    <row r="390" spans="1:48">
      <c r="A390" s="975">
        <f t="shared" si="67"/>
        <v>46152</v>
      </c>
      <c r="B390" s="976" t="s">
        <v>239</v>
      </c>
      <c r="C390" s="976" t="s">
        <v>632</v>
      </c>
      <c r="D390" s="1410"/>
      <c r="E390" s="977" t="str">
        <f>IFERROR(VLOOKUP(C390, [6]條件!$A:$L, 5, 0), "")</f>
        <v/>
      </c>
      <c r="F390" s="978" t="str">
        <f>IFERROR(VLOOKUP(C390, [6]條件!$A:$L, 6, 0), "")</f>
        <v/>
      </c>
      <c r="G390" s="1411" t="str">
        <f>IFERROR(VLOOKUP(C390, [6]條件!$A:$L, 7, 0), "")</f>
        <v/>
      </c>
      <c r="H390" s="978" t="str">
        <f>IF(ISNA(VLOOKUP(C390,[6]條件!$A$1:$K$932,11,0)),"",(VLOOKUP(C390,[6]條件!$A$1:$K$932,11,0)))</f>
        <v/>
      </c>
      <c r="I390" s="979" t="str">
        <f>IF(ISNA(VLOOKUP(C390,[6]條件!$A$1:$L$932,12,0)),"",(VLOOKUP(C390,[6]條件!$A$1:$L$932,12,0)))</f>
        <v/>
      </c>
      <c r="J390" s="982"/>
      <c r="K390" s="980"/>
      <c r="L390" s="981" t="s">
        <v>632</v>
      </c>
      <c r="M390" s="983"/>
      <c r="N390" s="982"/>
      <c r="O390" s="980"/>
      <c r="P390" s="981" t="s">
        <v>632</v>
      </c>
      <c r="Q390" s="983"/>
      <c r="R390" s="982"/>
      <c r="S390" s="980"/>
      <c r="T390" s="981" t="s">
        <v>632</v>
      </c>
      <c r="U390" s="983"/>
      <c r="V390" s="982"/>
      <c r="W390" s="980"/>
      <c r="X390" s="981" t="s">
        <v>632</v>
      </c>
      <c r="Y390" s="983"/>
      <c r="Z390" s="1412" t="str">
        <f>IFERROR(VLOOKUP(C390, [6]條件!$A:$L, 3, 0), "")</f>
        <v/>
      </c>
      <c r="AA390" s="984" t="str">
        <f>IF(OR(L390={"改紡","檢修","了機","清車","FINAL","停機","SAMPLE","TEST","絲開發"}), L390, IFERROR(IF(C390="", "", (SUM(J390, N390, R390, V390)/3 * AG390) * IF(AND(AF390="S", AS390="雙"), 0.5, 1)), ""))</f>
        <v>停機</v>
      </c>
      <c r="AB390" s="1413" t="str">
        <f t="shared" si="65"/>
        <v/>
      </c>
      <c r="AC390" s="984" t="str">
        <f>IF(OR(L390={"改紡","檢修","了機","清車","FINAL","停機","SAMPLE","TEST"}), "", IFERROR(IF(C390="", "", AVERAGE(L390:M390, P390:Q390, T390:U390, X390:Y390)/100), ""))</f>
        <v/>
      </c>
      <c r="AD390" s="984" t="str">
        <f t="shared" si="68"/>
        <v/>
      </c>
      <c r="AE390" s="984" t="str">
        <f t="shared" si="66"/>
        <v/>
      </c>
      <c r="AF390" s="985" t="str">
        <f t="shared" si="69"/>
        <v>T</v>
      </c>
      <c r="AG390" s="1414">
        <v>2</v>
      </c>
      <c r="AH390" s="1002" t="s">
        <v>640</v>
      </c>
      <c r="AI390" s="1002" t="s">
        <v>640</v>
      </c>
      <c r="AJ390" s="986" t="s">
        <v>640</v>
      </c>
      <c r="AK390" s="1417" t="s">
        <v>640</v>
      </c>
      <c r="AL390" s="1415"/>
      <c r="AM390" s="1323"/>
      <c r="AN390" s="1323"/>
      <c r="AO390" s="1323"/>
      <c r="AP390" s="1323"/>
      <c r="AQ390" s="1323"/>
      <c r="AR390" s="987"/>
      <c r="AS390" s="978" t="str">
        <f t="shared" si="70"/>
        <v>單</v>
      </c>
      <c r="AT390" s="978" t="str">
        <f t="shared" si="71"/>
        <v>半</v>
      </c>
      <c r="AU390" s="978" t="str">
        <f t="shared" si="72"/>
        <v/>
      </c>
      <c r="AV390" s="978" t="str">
        <f t="shared" si="73"/>
        <v/>
      </c>
    </row>
    <row r="391" spans="1:48">
      <c r="A391" s="975">
        <f t="shared" si="67"/>
        <v>46152</v>
      </c>
      <c r="B391" s="976" t="s">
        <v>388</v>
      </c>
      <c r="C391" s="976" t="s">
        <v>16730</v>
      </c>
      <c r="D391" s="1410" t="s">
        <v>633</v>
      </c>
      <c r="E391" s="977" t="str">
        <f>IFERROR(VLOOKUP(C391, [6]條件!$A:$L, 5, 0), "")</f>
        <v>225/72/2SDr</v>
      </c>
      <c r="F391" s="978" t="str">
        <f>IFERROR(VLOOKUP(C391, [6]條件!$A:$L, 6, 0), "")</f>
        <v>FP83024R×2</v>
      </c>
      <c r="G391" s="1411">
        <f>IFERROR(VLOOKUP(C391, [6]條件!$A:$L, 7, 0), "")</f>
        <v>550</v>
      </c>
      <c r="H391" s="978" t="str">
        <f>IF(ISNA(VLOOKUP(C391,[6]條件!$A$1:$K$932,11,0)),"",(VLOOKUP(C391,[6]條件!$A$1:$K$932,11,0)))</f>
        <v>灰色</v>
      </c>
      <c r="I391" s="979">
        <f>IF(ISNA(VLOOKUP(C391,[6]條件!$A$1:$L$932,12,0)),"",(VLOOKUP(C391,[6]條件!$A$1:$L$932,12,0)))</f>
        <v>5.5</v>
      </c>
      <c r="J391" s="982">
        <v>20</v>
      </c>
      <c r="K391" s="980">
        <v>0</v>
      </c>
      <c r="L391" s="981">
        <v>7410</v>
      </c>
      <c r="M391" s="983"/>
      <c r="N391" s="982">
        <v>8</v>
      </c>
      <c r="O391" s="980">
        <v>0</v>
      </c>
      <c r="P391" s="981">
        <v>7410</v>
      </c>
      <c r="Q391" s="983"/>
      <c r="R391" s="982">
        <v>11</v>
      </c>
      <c r="S391" s="980">
        <v>0</v>
      </c>
      <c r="T391" s="981">
        <v>7310</v>
      </c>
      <c r="U391" s="983"/>
      <c r="V391" s="982">
        <v>10</v>
      </c>
      <c r="W391" s="980">
        <v>2</v>
      </c>
      <c r="X391" s="981">
        <v>7410</v>
      </c>
      <c r="Y391" s="983"/>
      <c r="Z391" s="1412">
        <f>IFERROR(VLOOKUP(C391, [6]條件!$A:$L, 3, 0), "")</f>
        <v>6.6055045871559628</v>
      </c>
      <c r="AA391" s="984">
        <f>IF(OR(L391={"改紡","檢修","了機","清車","FINAL","停機","SAMPLE","TEST","絲開發"}), L391, IFERROR(IF(C391="", "", (SUM(J391, N391, R391, V391)/3 * AG391) * IF(AND(AF391="S", AS391="雙"), 0.5, 1)), ""))</f>
        <v>32.666666666666664</v>
      </c>
      <c r="AB391" s="1413">
        <f t="shared" si="65"/>
        <v>0.99854433760683758</v>
      </c>
      <c r="AC391" s="984">
        <f>IF(OR(L391={"改紡","檢修","了機","清車","FINAL","停機","SAMPLE","TEST"}), "", IFERROR(IF(C391="", "", AVERAGE(L391:M391, P391:Q391, T391:U391, X391:Y391)/100), ""))</f>
        <v>73.849999999999994</v>
      </c>
      <c r="AD391" s="984">
        <f t="shared" si="68"/>
        <v>4.083333333333333</v>
      </c>
      <c r="AE391" s="984">
        <f t="shared" si="66"/>
        <v>3.9166666666666665</v>
      </c>
      <c r="AF391" s="985" t="str">
        <f t="shared" si="69"/>
        <v>T</v>
      </c>
      <c r="AG391" s="1414">
        <v>2</v>
      </c>
      <c r="AH391" s="1002" t="s">
        <v>15892</v>
      </c>
      <c r="AI391" s="1002" t="s">
        <v>15892</v>
      </c>
      <c r="AJ391" s="986" t="s">
        <v>835</v>
      </c>
      <c r="AK391" s="1417" t="s">
        <v>835</v>
      </c>
      <c r="AL391" s="1415">
        <v>53</v>
      </c>
      <c r="AM391" s="1323">
        <v>46139</v>
      </c>
      <c r="AN391" s="1323">
        <v>46140</v>
      </c>
      <c r="AO391" s="1323">
        <v>46142</v>
      </c>
      <c r="AP391" s="1323"/>
      <c r="AQ391" s="1323"/>
      <c r="AR391" s="987"/>
      <c r="AS391" s="978" t="str">
        <f t="shared" si="70"/>
        <v>雙</v>
      </c>
      <c r="AT391" s="978" t="str">
        <f t="shared" si="71"/>
        <v>半</v>
      </c>
      <c r="AU391" s="978">
        <f t="shared" si="72"/>
        <v>225</v>
      </c>
      <c r="AV391" s="978">
        <f t="shared" si="73"/>
        <v>3.1584167999999999</v>
      </c>
    </row>
    <row r="392" spans="1:48">
      <c r="A392" s="975">
        <f t="shared" si="67"/>
        <v>46152</v>
      </c>
      <c r="B392" s="976" t="s">
        <v>388</v>
      </c>
      <c r="C392" s="976" t="s">
        <v>16736</v>
      </c>
      <c r="D392" s="1410" t="s">
        <v>633</v>
      </c>
      <c r="E392" s="977" t="str">
        <f>IFERROR(VLOOKUP(C392, [6]條件!$A:$L, 5, 0), "")</f>
        <v>150/48/2SDr</v>
      </c>
      <c r="F392" s="978" t="str">
        <f>IFERROR(VLOOKUP(C392, [6]條件!$A:$L, 6, 0), "")</f>
        <v>FP82170R×2</v>
      </c>
      <c r="G392" s="1411">
        <f>IFERROR(VLOOKUP(C392, [6]條件!$A:$L, 7, 0), "")</f>
        <v>700</v>
      </c>
      <c r="H392" s="978" t="str">
        <f>IF(ISNA(VLOOKUP(C392,[6]條件!$A$1:$K$932,11,0)),"",(VLOOKUP(C392,[6]條件!$A$1:$K$932,11,0)))</f>
        <v>粉紅</v>
      </c>
      <c r="I392" s="979">
        <f>IF(ISNA(VLOOKUP(C392,[6]條件!$A$1:$L$932,12,0)),"",(VLOOKUP(C392,[6]條件!$A$1:$L$932,12,0)))</f>
        <v>5.5</v>
      </c>
      <c r="J392" s="982"/>
      <c r="K392" s="980"/>
      <c r="L392" s="981" t="s">
        <v>127</v>
      </c>
      <c r="M392" s="983"/>
      <c r="N392" s="982"/>
      <c r="O392" s="980"/>
      <c r="P392" s="981"/>
      <c r="Q392" s="983" t="s">
        <v>127</v>
      </c>
      <c r="R392" s="982"/>
      <c r="S392" s="980"/>
      <c r="T392" s="981"/>
      <c r="U392" s="983" t="s">
        <v>127</v>
      </c>
      <c r="V392" s="982"/>
      <c r="W392" s="980"/>
      <c r="X392" s="981"/>
      <c r="Y392" s="983" t="s">
        <v>632</v>
      </c>
      <c r="Z392" s="1412">
        <f>IFERROR(VLOOKUP(C392, [6]條件!$A:$L, 3, 0), "")</f>
        <v>5.8775510204081636</v>
      </c>
      <c r="AA392" s="984" t="str">
        <f>IF(OR(L392={"改紡","檢修","了機","清車","FINAL","停機","SAMPLE","TEST","絲開發"}), L392, IFERROR(IF(C392="", "", (SUM(J392, N392, R392, V392)/3 * AG392) * IF(AND(AF392="S", AS392="雙"), 0.5, 1)), ""))</f>
        <v>了機</v>
      </c>
      <c r="AB392" s="1413" t="str">
        <f t="shared" si="65"/>
        <v/>
      </c>
      <c r="AC392" s="984" t="str">
        <f>IF(OR(L392={"改紡","檢修","了機","清車","FINAL","停機","SAMPLE","TEST"}), "", IFERROR(IF(C392="", "", AVERAGE(L392:M392, P392:Q392, T392:U392, X392:Y392)/100), ""))</f>
        <v/>
      </c>
      <c r="AD392" s="984" t="str">
        <f t="shared" si="68"/>
        <v/>
      </c>
      <c r="AE392" s="984" t="str">
        <f t="shared" si="66"/>
        <v/>
      </c>
      <c r="AF392" s="985" t="str">
        <f t="shared" si="69"/>
        <v>T</v>
      </c>
      <c r="AG392" s="1414">
        <v>2</v>
      </c>
      <c r="AH392" s="1002" t="s">
        <v>15892</v>
      </c>
      <c r="AI392" s="1002" t="s">
        <v>15892</v>
      </c>
      <c r="AJ392" s="986" t="s">
        <v>835</v>
      </c>
      <c r="AK392" s="1417" t="s">
        <v>835</v>
      </c>
      <c r="AL392" s="1415"/>
      <c r="AM392" s="1323"/>
      <c r="AN392" s="1323"/>
      <c r="AO392" s="1323"/>
      <c r="AP392" s="1323"/>
      <c r="AQ392" s="1323"/>
      <c r="AR392" s="987"/>
      <c r="AS392" s="978" t="str">
        <f t="shared" si="70"/>
        <v>雙</v>
      </c>
      <c r="AT392" s="978" t="str">
        <f t="shared" si="71"/>
        <v>半</v>
      </c>
      <c r="AU392" s="978">
        <f t="shared" si="72"/>
        <v>150</v>
      </c>
      <c r="AV392" s="978" t="str">
        <f t="shared" si="73"/>
        <v/>
      </c>
    </row>
    <row r="393" spans="1:48">
      <c r="A393" s="975">
        <f t="shared" si="67"/>
        <v>46152</v>
      </c>
      <c r="B393" s="976" t="s">
        <v>417</v>
      </c>
      <c r="C393" s="976" t="s">
        <v>16767</v>
      </c>
      <c r="D393" s="1410" t="s">
        <v>633</v>
      </c>
      <c r="E393" s="977" t="str">
        <f>IFERROR(VLOOKUP(C393, [6]條件!$A:$L, 5, 0), "")</f>
        <v>150/48/2SDr</v>
      </c>
      <c r="F393" s="978" t="str">
        <f>IFERROR(VLOOKUP(C393, [6]條件!$A:$L, 6, 0), "")</f>
        <v>FP82173R×2</v>
      </c>
      <c r="G393" s="1411">
        <f>IFERROR(VLOOKUP(C393, [6]條件!$A:$L, 7, 0), "")</f>
        <v>700</v>
      </c>
      <c r="H393" s="978" t="str">
        <f>IF(ISNA(VLOOKUP(C393,[6]條件!$A$1:$K$932,11,0)),"",(VLOOKUP(C393,[6]條件!$A$1:$K$932,11,0)))</f>
        <v>棕色</v>
      </c>
      <c r="I393" s="979">
        <f>IF(ISNA(VLOOKUP(C393,[6]條件!$A$1:$L$932,12,0)),"",(VLOOKUP(C393,[6]條件!$A$1:$L$932,12,0)))</f>
        <v>5.5</v>
      </c>
      <c r="J393" s="982">
        <v>19</v>
      </c>
      <c r="K393" s="980">
        <v>0</v>
      </c>
      <c r="L393" s="981">
        <v>10000</v>
      </c>
      <c r="M393" s="983">
        <v>9540</v>
      </c>
      <c r="N393" s="982">
        <v>9</v>
      </c>
      <c r="O393" s="980">
        <v>0</v>
      </c>
      <c r="P393" s="981">
        <v>10000</v>
      </c>
      <c r="Q393" s="983">
        <v>9510</v>
      </c>
      <c r="R393" s="982">
        <v>26</v>
      </c>
      <c r="S393" s="980">
        <v>0</v>
      </c>
      <c r="T393" s="981">
        <v>8610</v>
      </c>
      <c r="U393" s="983">
        <v>9260</v>
      </c>
      <c r="V393" s="982">
        <v>32</v>
      </c>
      <c r="W393" s="980">
        <v>1</v>
      </c>
      <c r="X393" s="981">
        <v>10000</v>
      </c>
      <c r="Y393" s="983">
        <v>9540</v>
      </c>
      <c r="Z393" s="1412">
        <f>IFERROR(VLOOKUP(C393, [6]條件!$A:$L, 3, 0), "")</f>
        <v>5.8536585365853666</v>
      </c>
      <c r="AA393" s="984">
        <f>IF(OR(L393={"改紡","檢修","了機","清車","FINAL","停機","SAMPLE","TEST","絲開發"}), L393, IFERROR(IF(C393="", "", (SUM(J393, N393, R393, V393)/3 * AG393) * IF(AND(AF393="S", AS393="雙"), 0.5, 1)), ""))</f>
        <v>28.666666666666668</v>
      </c>
      <c r="AB393" s="1413">
        <f t="shared" si="65"/>
        <v>0.99917868589743586</v>
      </c>
      <c r="AC393" s="984">
        <f>IF(OR(L393={"改紡","檢修","了機","清車","FINAL","停機","SAMPLE","TEST"}), "", IFERROR(IF(C393="", "", AVERAGE(L393:M393, P393:Q393, T393:U393, X393:Y393)/100), ""))</f>
        <v>95.575000000000003</v>
      </c>
      <c r="AD393" s="984">
        <f t="shared" si="68"/>
        <v>3.5833333333333335</v>
      </c>
      <c r="AE393" s="984">
        <f t="shared" si="66"/>
        <v>3.5416666666666665</v>
      </c>
      <c r="AF393" s="985" t="str">
        <f t="shared" si="69"/>
        <v>T</v>
      </c>
      <c r="AG393" s="1414">
        <v>1</v>
      </c>
      <c r="AH393" s="1002" t="s">
        <v>15892</v>
      </c>
      <c r="AI393" s="1002" t="s">
        <v>15892</v>
      </c>
      <c r="AJ393" s="986" t="s">
        <v>835</v>
      </c>
      <c r="AK393" s="1417" t="s">
        <v>835</v>
      </c>
      <c r="AL393" s="1415">
        <v>56</v>
      </c>
      <c r="AM393" s="1323">
        <v>46148</v>
      </c>
      <c r="AN393" s="1323">
        <v>46149</v>
      </c>
      <c r="AO393" s="1323"/>
      <c r="AP393" s="1323"/>
      <c r="AQ393" s="1323"/>
      <c r="AR393" s="987"/>
      <c r="AS393" s="978" t="str">
        <f t="shared" si="70"/>
        <v>雙</v>
      </c>
      <c r="AT393" s="978" t="str">
        <f t="shared" si="71"/>
        <v>全</v>
      </c>
      <c r="AU393" s="978">
        <f t="shared" si="72"/>
        <v>150</v>
      </c>
      <c r="AV393" s="978">
        <f t="shared" si="73"/>
        <v>6.9364511999999996</v>
      </c>
    </row>
    <row r="394" spans="1:48">
      <c r="A394" s="975">
        <f t="shared" si="67"/>
        <v>46152</v>
      </c>
      <c r="B394" s="976" t="s">
        <v>240</v>
      </c>
      <c r="C394" s="988" t="s">
        <v>632</v>
      </c>
      <c r="D394" s="1410"/>
      <c r="E394" s="977" t="str">
        <f>IFERROR(VLOOKUP(C394, [6]條件!$A:$L, 5, 0), "")</f>
        <v/>
      </c>
      <c r="F394" s="978" t="str">
        <f>IFERROR(VLOOKUP(C394, [6]條件!$A:$L, 6, 0), "")</f>
        <v/>
      </c>
      <c r="G394" s="1411" t="str">
        <f>IFERROR(VLOOKUP(C394, [6]條件!$A:$L, 7, 0), "")</f>
        <v/>
      </c>
      <c r="H394" s="978" t="str">
        <f>IF(ISNA(VLOOKUP(C394,[6]條件!$A$1:$K$932,11,0)),"",(VLOOKUP(C394,[6]條件!$A$1:$K$932,11,0)))</f>
        <v/>
      </c>
      <c r="I394" s="979" t="str">
        <f>IF(ISNA(VLOOKUP(C394,[6]條件!$A$1:$L$932,12,0)),"",(VLOOKUP(C394,[6]條件!$A$1:$L$932,12,0)))</f>
        <v/>
      </c>
      <c r="J394" s="982"/>
      <c r="K394" s="980"/>
      <c r="L394" s="981" t="s">
        <v>632</v>
      </c>
      <c r="M394" s="983"/>
      <c r="N394" s="982"/>
      <c r="O394" s="980"/>
      <c r="P394" s="981" t="s">
        <v>632</v>
      </c>
      <c r="Q394" s="983"/>
      <c r="R394" s="982"/>
      <c r="S394" s="980"/>
      <c r="T394" s="981" t="s">
        <v>632</v>
      </c>
      <c r="U394" s="983"/>
      <c r="V394" s="982"/>
      <c r="W394" s="980"/>
      <c r="X394" s="981" t="s">
        <v>632</v>
      </c>
      <c r="Y394" s="983"/>
      <c r="Z394" s="1422" t="str">
        <f>IFERROR(VLOOKUP(C394, [6]條件!$A:$L, 3, 0), "")</f>
        <v/>
      </c>
      <c r="AA394" s="1167" t="str">
        <f>IF(OR(L394={"改紡","檢修","了機","清車","FINAL","停機","SAMPLE","TEST","絲開發"}), L394, IFERROR(IF(C394="", "", (SUM(J394, N394, R394, V394)/3 * AG394) * IF(AND(AF394="S", AS394="雙"), 0.5, 1)), ""))</f>
        <v>停機</v>
      </c>
      <c r="AB394" s="1423" t="str">
        <f>IF(K394="","",IF(ISERROR(1-((SUM(K394,O394,S394,W394)/((AG394*12)-(AG394*0.44)))/Z394)),"",(1-((SUM(K394,O394,S394,W394)/((AG394*12)-(AG394*0.44)))/Z394))))</f>
        <v/>
      </c>
      <c r="AC394" s="1167" t="str">
        <f>IF(OR(L394={"改紡","檢修","了機","清車","FINAL","停機","SAMPLE","TEST"}), "", IFERROR(IF(C394="", "", AVERAGE(L394:M394, P394:Q394, T394:U394, X394:Y394)/100), ""))</f>
        <v/>
      </c>
      <c r="AD394" s="1167" t="str">
        <f t="shared" si="68"/>
        <v/>
      </c>
      <c r="AE394" s="1167" t="str">
        <f>IF(P394="了機","",IF(J394="","",IF(ISERROR((SUM(J394,N394,R394,V394)-SUM(K394,O394,S394,W394))/24),"",((SUM(J394,N394,R394,V394)-SUM(K394,O394,S394,W394))/24))))</f>
        <v/>
      </c>
      <c r="AF394" s="1168" t="str">
        <f t="shared" si="69"/>
        <v>S</v>
      </c>
      <c r="AG394" s="1424">
        <v>12</v>
      </c>
      <c r="AH394" s="1002" t="s">
        <v>640</v>
      </c>
      <c r="AI394" s="1002" t="s">
        <v>640</v>
      </c>
      <c r="AJ394" s="986" t="s">
        <v>640</v>
      </c>
      <c r="AK394" s="1417" t="s">
        <v>640</v>
      </c>
      <c r="AL394" s="1415"/>
      <c r="AM394" s="1323"/>
      <c r="AN394" s="1323"/>
      <c r="AO394" s="1323"/>
      <c r="AP394" s="1323"/>
      <c r="AQ394" s="1323"/>
      <c r="AR394" s="987"/>
      <c r="AS394" s="978" t="str">
        <f t="shared" si="70"/>
        <v>單</v>
      </c>
      <c r="AT394" s="978" t="str">
        <f t="shared" si="71"/>
        <v>12sec</v>
      </c>
      <c r="AU394" s="978" t="str">
        <f t="shared" si="72"/>
        <v/>
      </c>
      <c r="AV394" s="978" t="str">
        <f t="shared" si="73"/>
        <v/>
      </c>
    </row>
    <row r="395" spans="1:48">
      <c r="A395" s="975">
        <f t="shared" si="67"/>
        <v>46152</v>
      </c>
      <c r="B395" s="976" t="s">
        <v>242</v>
      </c>
      <c r="C395" s="976" t="s">
        <v>385</v>
      </c>
      <c r="D395" s="1410"/>
      <c r="E395" s="977" t="str">
        <f>IFERROR(VLOOKUP(C395, [6]條件!$A:$L, 5, 0), "")</f>
        <v/>
      </c>
      <c r="F395" s="978" t="str">
        <f>IFERROR(VLOOKUP(C395, [6]條件!$A:$L, 6, 0), "")</f>
        <v/>
      </c>
      <c r="G395" s="1411" t="str">
        <f>IFERROR(VLOOKUP(C395, [6]條件!$A:$L, 7, 0), "")</f>
        <v/>
      </c>
      <c r="H395" s="978" t="str">
        <f>IF(ISNA(VLOOKUP(C395,[6]條件!$A$1:$K$932,11,0)),"",(VLOOKUP(C395,[6]條件!$A$1:$K$932,11,0)))</f>
        <v/>
      </c>
      <c r="I395" s="979" t="str">
        <f>IF(ISNA(VLOOKUP(C395,[6]條件!$A$1:$L$932,12,0)),"",(VLOOKUP(C395,[6]條件!$A$1:$L$932,12,0)))</f>
        <v/>
      </c>
      <c r="J395" s="982"/>
      <c r="K395" s="980"/>
      <c r="L395" s="981" t="s">
        <v>385</v>
      </c>
      <c r="M395" s="983"/>
      <c r="N395" s="982"/>
      <c r="O395" s="980"/>
      <c r="P395" s="981" t="s">
        <v>385</v>
      </c>
      <c r="Q395" s="983"/>
      <c r="R395" s="982"/>
      <c r="S395" s="980"/>
      <c r="T395" s="981" t="s">
        <v>385</v>
      </c>
      <c r="U395" s="983"/>
      <c r="V395" s="982"/>
      <c r="W395" s="980"/>
      <c r="X395" s="981" t="s">
        <v>385</v>
      </c>
      <c r="Y395" s="983"/>
      <c r="Z395" s="1422" t="str">
        <f>IFERROR(VLOOKUP(C395, [6]條件!$A:$L, 3, 0), "")</f>
        <v/>
      </c>
      <c r="AA395" s="1167" t="str">
        <f>IF(OR(L395={"改紡","檢修","了機","清車","FINAL","停機","SAMPLE","TEST","絲開發"}), L395, IFERROR(IF(C395="", "", (SUM(J395, N395, R395, V395)/3 * AG395) * IF(AND(AF395="S", AS395="雙"), 0.5, 1)), ""))</f>
        <v>絲開發</v>
      </c>
      <c r="AB395" s="1423" t="str">
        <f>IF(K395="","",IF(ISERROR(1-((SUM(K395,O395,S395,W395)/((AG395*12)-(AG395*0.44)))/Z395)),"",(1-((SUM(K395,O395,S395,W395)/((AG395*12)-(AG395*0.44)))/Z395))))</f>
        <v/>
      </c>
      <c r="AC395" s="1167" t="str">
        <f>IF(OR(L395={"改紡","檢修","了機","清車","FINAL","停機","SAMPLE","TEST"}), "", IFERROR(IF(C395="", "", AVERAGE(L395:M395, P395:Q395, T395:U395, X395:Y395)/100), ""))</f>
        <v/>
      </c>
      <c r="AD395" s="1167" t="str">
        <f t="shared" si="68"/>
        <v/>
      </c>
      <c r="AE395" s="1167" t="str">
        <f>IF(P395="了機","",IF(J395="","",IF(ISERROR((SUM(J395,N395,R395,V395)-SUM(K395,O395,S395,W395))/24),"",((SUM(J395,N395,R395,V395)-SUM(K395,O395,S395,W395))/24))))</f>
        <v/>
      </c>
      <c r="AF395" s="1168" t="str">
        <f t="shared" si="69"/>
        <v>S</v>
      </c>
      <c r="AG395" s="1424">
        <v>5</v>
      </c>
      <c r="AH395" s="1002" t="s">
        <v>640</v>
      </c>
      <c r="AI395" s="1002" t="s">
        <v>640</v>
      </c>
      <c r="AJ395" s="986" t="s">
        <v>636</v>
      </c>
      <c r="AK395" s="1417" t="s">
        <v>636</v>
      </c>
      <c r="AL395" s="1415"/>
      <c r="AM395" s="1323"/>
      <c r="AN395" s="1323"/>
      <c r="AO395" s="1323"/>
      <c r="AP395" s="1323"/>
      <c r="AQ395" s="1323"/>
      <c r="AR395" s="987"/>
      <c r="AS395" s="978" t="str">
        <f t="shared" si="70"/>
        <v>單</v>
      </c>
      <c r="AT395" s="978" t="str">
        <f t="shared" si="71"/>
        <v>5sec</v>
      </c>
      <c r="AU395" s="978" t="str">
        <f t="shared" si="72"/>
        <v/>
      </c>
      <c r="AV395" s="978" t="str">
        <f t="shared" si="73"/>
        <v/>
      </c>
    </row>
    <row r="396" spans="1:48">
      <c r="A396" s="975">
        <f t="shared" si="67"/>
        <v>46152</v>
      </c>
      <c r="B396" s="976" t="s">
        <v>16078</v>
      </c>
      <c r="C396" s="988" t="s">
        <v>16185</v>
      </c>
      <c r="D396" s="1410"/>
      <c r="E396" s="977" t="str">
        <f>IFERROR(VLOOKUP(C396, [6]條件!$A:$L, 5, 0), "")</f>
        <v/>
      </c>
      <c r="F396" s="978" t="str">
        <f>IFERROR(VLOOKUP(C396, [6]條件!$A:$L, 6, 0), "")</f>
        <v/>
      </c>
      <c r="G396" s="1411" t="str">
        <f>IFERROR(VLOOKUP(C396, [6]條件!$A:$L, 7, 0), "")</f>
        <v/>
      </c>
      <c r="H396" s="978" t="str">
        <f>IF(ISNA(VLOOKUP(C396,[6]條件!$A$1:$K$932,11,0)),"",(VLOOKUP(C396,[6]條件!$A$1:$K$932,11,0)))</f>
        <v/>
      </c>
      <c r="I396" s="979" t="str">
        <f>IF(ISNA(VLOOKUP(C396,[6]條件!$A$1:$L$932,12,0)),"",(VLOOKUP(C396,[6]條件!$A$1:$L$932,12,0)))</f>
        <v/>
      </c>
      <c r="J396" s="982"/>
      <c r="K396" s="980"/>
      <c r="L396" s="981" t="s">
        <v>632</v>
      </c>
      <c r="M396" s="983"/>
      <c r="N396" s="982"/>
      <c r="O396" s="980"/>
      <c r="P396" s="981" t="s">
        <v>632</v>
      </c>
      <c r="Q396" s="983"/>
      <c r="R396" s="982"/>
      <c r="S396" s="980"/>
      <c r="T396" s="981" t="s">
        <v>632</v>
      </c>
      <c r="U396" s="983"/>
      <c r="V396" s="982"/>
      <c r="W396" s="980"/>
      <c r="X396" s="981" t="s">
        <v>632</v>
      </c>
      <c r="Y396" s="983"/>
      <c r="Z396" s="1412" t="str">
        <f>IFERROR(VLOOKUP(C396, [6]條件!$A:$L, 3, 0), "")</f>
        <v/>
      </c>
      <c r="AA396" s="984" t="str">
        <f>IF(OR(L396={"改紡","檢修","了機","清車","FINAL","停機","SAMPLE","TEST","絲開發"}), L396, IFERROR(IF(C396="", "", (SUM(J396, N396, R396, V396)/3 * AG396) * IF(AND(AF396="S", AS396="雙"), 0.5, 1)), ""))</f>
        <v>停機</v>
      </c>
      <c r="AB396" s="1413" t="str">
        <f t="shared" ref="AB396:AB432" si="74">IF(K396="","",IF(ISERROR(1-(SUM(K396,O396,S396,W396)/208/Z396)),"",(1-(SUM(K396,O396,S396,W396)/208/Z396))))</f>
        <v/>
      </c>
      <c r="AC396" s="984" t="str">
        <f>IF(OR(L396={"改紡","檢修","了機","清車","FINAL","停機","SAMPLE","TEST"}), "", IFERROR(IF(C396="", "", AVERAGE(L396:M396, P396:Q396, T396:U396, X396:Y396)/100), ""))</f>
        <v/>
      </c>
      <c r="AD396" s="984" t="str">
        <f t="shared" si="68"/>
        <v/>
      </c>
      <c r="AE396" s="984" t="str">
        <f>IF(OR(L396="改紡", L396="檢修", L396="了機"), "",
   IF(AND(C396&lt;&gt;"", J396&lt;&gt;""),
      IFERROR((SUM(J396, N396, R396, V396) - SUM(K396, O396, S396, W396))/24 * AG396, ""),
   "")
)</f>
        <v/>
      </c>
      <c r="AF396" s="985" t="str">
        <f t="shared" si="69"/>
        <v>M</v>
      </c>
      <c r="AG396" s="1414">
        <v>1</v>
      </c>
      <c r="AH396" s="1002" t="s">
        <v>640</v>
      </c>
      <c r="AI396" s="1002" t="s">
        <v>640</v>
      </c>
      <c r="AJ396" s="986" t="s">
        <v>640</v>
      </c>
      <c r="AK396" s="1417" t="s">
        <v>640</v>
      </c>
      <c r="AL396" s="1415"/>
      <c r="AM396" s="1323"/>
      <c r="AN396" s="1323"/>
      <c r="AO396" s="1323"/>
      <c r="AP396" s="1323"/>
      <c r="AQ396" s="1323"/>
      <c r="AR396" s="987"/>
      <c r="AS396" s="978" t="str">
        <f t="shared" si="70"/>
        <v>單</v>
      </c>
      <c r="AT396" s="978" t="str">
        <f t="shared" si="71"/>
        <v>全</v>
      </c>
      <c r="AU396" s="978" t="str">
        <f t="shared" si="72"/>
        <v/>
      </c>
      <c r="AV396" s="978" t="str">
        <f t="shared" si="73"/>
        <v/>
      </c>
    </row>
    <row r="397" spans="1:48">
      <c r="A397" s="975">
        <f t="shared" si="67"/>
        <v>46152</v>
      </c>
      <c r="B397" s="976" t="s">
        <v>243</v>
      </c>
      <c r="C397" s="988" t="s">
        <v>16185</v>
      </c>
      <c r="D397" s="1410"/>
      <c r="E397" s="977" t="str">
        <f>IFERROR(VLOOKUP(C397, [6]條件!$A:$L, 5, 0), "")</f>
        <v/>
      </c>
      <c r="F397" s="978" t="str">
        <f>IFERROR(VLOOKUP(C397, [6]條件!$A:$L, 6, 0), "")</f>
        <v/>
      </c>
      <c r="G397" s="1411" t="str">
        <f>IFERROR(VLOOKUP(C397, [6]條件!$A:$L, 7, 0), "")</f>
        <v/>
      </c>
      <c r="H397" s="978" t="str">
        <f>IF(ISNA(VLOOKUP(C397,[6]條件!$A$1:$K$932,11,0)),"",(VLOOKUP(C397,[6]條件!$A$1:$K$932,11,0)))</f>
        <v/>
      </c>
      <c r="I397" s="979" t="str">
        <f>IF(ISNA(VLOOKUP(C397,[6]條件!$A$1:$L$932,12,0)),"",(VLOOKUP(C397,[6]條件!$A$1:$L$932,12,0)))</f>
        <v/>
      </c>
      <c r="J397" s="982"/>
      <c r="K397" s="980"/>
      <c r="L397" s="981" t="s">
        <v>632</v>
      </c>
      <c r="M397" s="983"/>
      <c r="N397" s="982"/>
      <c r="O397" s="980"/>
      <c r="P397" s="981" t="s">
        <v>632</v>
      </c>
      <c r="Q397" s="983"/>
      <c r="R397" s="982"/>
      <c r="S397" s="980"/>
      <c r="T397" s="981" t="s">
        <v>632</v>
      </c>
      <c r="U397" s="983"/>
      <c r="V397" s="982"/>
      <c r="W397" s="980"/>
      <c r="X397" s="981" t="s">
        <v>632</v>
      </c>
      <c r="Y397" s="983"/>
      <c r="Z397" s="1412" t="str">
        <f>IFERROR(VLOOKUP(C397, [6]條件!$A:$L, 3, 0), "")</f>
        <v/>
      </c>
      <c r="AA397" s="984" t="str">
        <f>IF(OR(L397={"改紡","檢修","了機","清車","FINAL","停機","SAMPLE","TEST","絲開發"}), L397, IFERROR(IF(C397="", "", (SUM(J397, N397, R397, V397)/3 * AG397) * IF(AND(AF397="S", AS397="雙"), 0.5, 1)), ""))</f>
        <v>停機</v>
      </c>
      <c r="AB397" s="1413" t="str">
        <f t="shared" si="74"/>
        <v/>
      </c>
      <c r="AC397" s="984" t="str">
        <f>IF(OR(L397={"改紡","檢修","了機","清車","FINAL","停機","SAMPLE","TEST"}), "", IFERROR(IF(C397="", "", AVERAGE(L397:M397, P397:Q397, T397:U397, X397:Y397)/100), ""))</f>
        <v/>
      </c>
      <c r="AD397" s="984" t="str">
        <f t="shared" si="68"/>
        <v/>
      </c>
      <c r="AE397" s="984" t="str">
        <f t="shared" ref="AE397:AE432" si="75">IF(OR(L397="改紡", L397="檢修", L397="了機"), "",
IF(AND(C397&lt;&gt;"", J397&lt;&gt;""),
IFERROR((SUM(J397, N397, R397, V397) - SUM(K397, O397, S397, W397))/24 * AG397, ""),
"")
)</f>
        <v/>
      </c>
      <c r="AF397" s="985" t="str">
        <f t="shared" si="69"/>
        <v>M</v>
      </c>
      <c r="AG397" s="1414">
        <v>1</v>
      </c>
      <c r="AH397" s="1002" t="s">
        <v>640</v>
      </c>
      <c r="AI397" s="1002" t="s">
        <v>640</v>
      </c>
      <c r="AJ397" s="986" t="s">
        <v>640</v>
      </c>
      <c r="AK397" s="1417" t="s">
        <v>640</v>
      </c>
      <c r="AL397" s="1415"/>
      <c r="AM397" s="1323"/>
      <c r="AN397" s="1323"/>
      <c r="AO397" s="1323"/>
      <c r="AP397" s="1323"/>
      <c r="AQ397" s="1323"/>
      <c r="AR397" s="987"/>
      <c r="AS397" s="978" t="str">
        <f t="shared" si="70"/>
        <v>單</v>
      </c>
      <c r="AT397" s="978" t="str">
        <f t="shared" si="71"/>
        <v>全</v>
      </c>
      <c r="AU397" s="978" t="str">
        <f t="shared" si="72"/>
        <v/>
      </c>
      <c r="AV397" s="978" t="str">
        <f t="shared" si="73"/>
        <v/>
      </c>
    </row>
    <row r="398" spans="1:48">
      <c r="A398" s="975">
        <f t="shared" si="67"/>
        <v>46152</v>
      </c>
      <c r="B398" s="976" t="s">
        <v>244</v>
      </c>
      <c r="C398" s="988" t="s">
        <v>16185</v>
      </c>
      <c r="D398" s="1410"/>
      <c r="E398" s="977" t="str">
        <f>IFERROR(VLOOKUP(C398, [6]條件!$A:$L, 5, 0), "")</f>
        <v/>
      </c>
      <c r="F398" s="978" t="str">
        <f>IFERROR(VLOOKUP(C398, [6]條件!$A:$L, 6, 0), "")</f>
        <v/>
      </c>
      <c r="G398" s="1411" t="str">
        <f>IFERROR(VLOOKUP(C398, [6]條件!$A:$L, 7, 0), "")</f>
        <v/>
      </c>
      <c r="H398" s="978" t="str">
        <f>IF(ISNA(VLOOKUP(C398,[6]條件!$A$1:$K$932,11,0)),"",(VLOOKUP(C398,[6]條件!$A$1:$K$932,11,0)))</f>
        <v/>
      </c>
      <c r="I398" s="979" t="str">
        <f>IF(ISNA(VLOOKUP(C398,[6]條件!$A$1:$L$932,12,0)),"",(VLOOKUP(C398,[6]條件!$A$1:$L$932,12,0)))</f>
        <v/>
      </c>
      <c r="J398" s="982"/>
      <c r="K398" s="980"/>
      <c r="L398" s="981" t="s">
        <v>632</v>
      </c>
      <c r="M398" s="983"/>
      <c r="N398" s="982"/>
      <c r="O398" s="980"/>
      <c r="P398" s="981" t="s">
        <v>632</v>
      </c>
      <c r="Q398" s="983"/>
      <c r="R398" s="982"/>
      <c r="S398" s="980"/>
      <c r="T398" s="981" t="s">
        <v>632</v>
      </c>
      <c r="U398" s="983"/>
      <c r="V398" s="982"/>
      <c r="W398" s="980"/>
      <c r="X398" s="981" t="s">
        <v>632</v>
      </c>
      <c r="Y398" s="983"/>
      <c r="Z398" s="1412" t="str">
        <f>IFERROR(VLOOKUP(C398, [6]條件!$A:$L, 3, 0), "")</f>
        <v/>
      </c>
      <c r="AA398" s="984" t="str">
        <f>IF(OR(L398={"改紡","檢修","了機","清車","FINAL","停機","SAMPLE","TEST","絲開發"}), L398, IFERROR(IF(C398="", "", (SUM(J398, N398, R398, V398)/3 * AG398) * IF(AND(AF398="S", AS398="雙"), 0.5, 1)), ""))</f>
        <v>停機</v>
      </c>
      <c r="AB398" s="1413" t="str">
        <f t="shared" si="74"/>
        <v/>
      </c>
      <c r="AC398" s="984" t="str">
        <f>IF(OR(L398={"改紡","檢修","了機","清車","FINAL","停機","SAMPLE","TEST"}), "", IFERROR(IF(C398="", "", AVERAGE(L398:M398, P398:Q398, T398:U398, X398:Y398)/100), ""))</f>
        <v/>
      </c>
      <c r="AD398" s="984" t="str">
        <f t="shared" si="68"/>
        <v/>
      </c>
      <c r="AE398" s="984" t="str">
        <f t="shared" si="75"/>
        <v/>
      </c>
      <c r="AF398" s="985" t="str">
        <f t="shared" si="69"/>
        <v>M</v>
      </c>
      <c r="AG398" s="1414">
        <v>1</v>
      </c>
      <c r="AH398" s="1002" t="s">
        <v>640</v>
      </c>
      <c r="AI398" s="1002" t="s">
        <v>640</v>
      </c>
      <c r="AJ398" s="986" t="s">
        <v>640</v>
      </c>
      <c r="AK398" s="1417" t="s">
        <v>640</v>
      </c>
      <c r="AL398" s="1415"/>
      <c r="AM398" s="1323"/>
      <c r="AN398" s="1323"/>
      <c r="AO398" s="1323"/>
      <c r="AP398" s="1323"/>
      <c r="AQ398" s="1323"/>
      <c r="AR398" s="987"/>
      <c r="AS398" s="978" t="str">
        <f t="shared" si="70"/>
        <v>單</v>
      </c>
      <c r="AT398" s="978" t="str">
        <f t="shared" si="71"/>
        <v>全</v>
      </c>
      <c r="AU398" s="978" t="str">
        <f t="shared" si="72"/>
        <v/>
      </c>
      <c r="AV398" s="978" t="str">
        <f t="shared" si="73"/>
        <v/>
      </c>
    </row>
    <row r="399" spans="1:48">
      <c r="A399" s="975">
        <f t="shared" si="67"/>
        <v>46152</v>
      </c>
      <c r="B399" s="976" t="s">
        <v>245</v>
      </c>
      <c r="C399" s="988" t="s">
        <v>16185</v>
      </c>
      <c r="D399" s="1410"/>
      <c r="E399" s="977" t="str">
        <f>IFERROR(VLOOKUP(C399, [6]條件!$A:$L, 5, 0), "")</f>
        <v/>
      </c>
      <c r="F399" s="978" t="str">
        <f>IFERROR(VLOOKUP(C399, [6]條件!$A:$L, 6, 0), "")</f>
        <v/>
      </c>
      <c r="G399" s="1411" t="str">
        <f>IFERROR(VLOOKUP(C399, [6]條件!$A:$L, 7, 0), "")</f>
        <v/>
      </c>
      <c r="H399" s="978" t="str">
        <f>IF(ISNA(VLOOKUP(C399,[6]條件!$A$1:$K$932,11,0)),"",(VLOOKUP(C399,[6]條件!$A$1:$K$932,11,0)))</f>
        <v/>
      </c>
      <c r="I399" s="979" t="str">
        <f>IF(ISNA(VLOOKUP(C399,[6]條件!$A$1:$L$932,12,0)),"",(VLOOKUP(C399,[6]條件!$A$1:$L$932,12,0)))</f>
        <v/>
      </c>
      <c r="J399" s="982"/>
      <c r="K399" s="980"/>
      <c r="L399" s="981" t="s">
        <v>632</v>
      </c>
      <c r="M399" s="983"/>
      <c r="N399" s="982"/>
      <c r="O399" s="980"/>
      <c r="P399" s="981" t="s">
        <v>632</v>
      </c>
      <c r="Q399" s="983"/>
      <c r="R399" s="982"/>
      <c r="S399" s="980"/>
      <c r="T399" s="981" t="s">
        <v>632</v>
      </c>
      <c r="U399" s="983"/>
      <c r="V399" s="982"/>
      <c r="W399" s="980"/>
      <c r="X399" s="981" t="s">
        <v>632</v>
      </c>
      <c r="Y399" s="983"/>
      <c r="Z399" s="1412" t="str">
        <f>IFERROR(VLOOKUP(C399, [6]條件!$A:$L, 3, 0), "")</f>
        <v/>
      </c>
      <c r="AA399" s="984" t="str">
        <f>IF(OR(L399={"改紡","檢修","了機","清車","FINAL","停機","SAMPLE","TEST","絲開發"}), L399, IFERROR(IF(C399="", "", (SUM(J399, N399, R399, V399)/3 * AG399) * IF(AND(AF399="S", AS399="雙"), 0.5, 1)), ""))</f>
        <v>停機</v>
      </c>
      <c r="AB399" s="1413" t="str">
        <f t="shared" si="74"/>
        <v/>
      </c>
      <c r="AC399" s="984" t="str">
        <f>IF(OR(L399={"改紡","檢修","了機","清車","FINAL","停機","SAMPLE","TEST"}), "", IFERROR(IF(C399="", "", AVERAGE(L399:M399, P399:Q399, T399:U399, X399:Y399)/100), ""))</f>
        <v/>
      </c>
      <c r="AD399" s="984" t="str">
        <f t="shared" si="68"/>
        <v/>
      </c>
      <c r="AE399" s="984" t="str">
        <f t="shared" si="75"/>
        <v/>
      </c>
      <c r="AF399" s="985" t="str">
        <f t="shared" si="69"/>
        <v>M</v>
      </c>
      <c r="AG399" s="1414">
        <v>1</v>
      </c>
      <c r="AH399" s="1002" t="s">
        <v>640</v>
      </c>
      <c r="AI399" s="1002" t="s">
        <v>640</v>
      </c>
      <c r="AJ399" s="986" t="s">
        <v>640</v>
      </c>
      <c r="AK399" s="1417" t="s">
        <v>640</v>
      </c>
      <c r="AL399" s="1415"/>
      <c r="AM399" s="1323"/>
      <c r="AN399" s="1323"/>
      <c r="AO399" s="1323"/>
      <c r="AP399" s="1323"/>
      <c r="AQ399" s="1323"/>
      <c r="AR399" s="987"/>
      <c r="AS399" s="978" t="str">
        <f t="shared" si="70"/>
        <v>單</v>
      </c>
      <c r="AT399" s="978" t="str">
        <f t="shared" si="71"/>
        <v>全</v>
      </c>
      <c r="AU399" s="978" t="str">
        <f t="shared" si="72"/>
        <v/>
      </c>
      <c r="AV399" s="978" t="str">
        <f t="shared" si="73"/>
        <v/>
      </c>
    </row>
    <row r="400" spans="1:48">
      <c r="A400" s="975">
        <f t="shared" si="67"/>
        <v>46152</v>
      </c>
      <c r="B400" s="976" t="s">
        <v>246</v>
      </c>
      <c r="C400" s="988" t="s">
        <v>16185</v>
      </c>
      <c r="D400" s="1410"/>
      <c r="E400" s="977" t="str">
        <f>IFERROR(VLOOKUP(C400, [6]條件!$A:$L, 5, 0), "")</f>
        <v/>
      </c>
      <c r="F400" s="978" t="str">
        <f>IFERROR(VLOOKUP(C400, [6]條件!$A:$L, 6, 0), "")</f>
        <v/>
      </c>
      <c r="G400" s="1411" t="str">
        <f>IFERROR(VLOOKUP(C400, [6]條件!$A:$L, 7, 0), "")</f>
        <v/>
      </c>
      <c r="H400" s="978" t="str">
        <f>IF(ISNA(VLOOKUP(C400,[6]條件!$A$1:$K$932,11,0)),"",(VLOOKUP(C400,[6]條件!$A$1:$K$932,11,0)))</f>
        <v/>
      </c>
      <c r="I400" s="979" t="str">
        <f>IF(ISNA(VLOOKUP(C400,[6]條件!$A$1:$L$932,12,0)),"",(VLOOKUP(C400,[6]條件!$A$1:$L$932,12,0)))</f>
        <v/>
      </c>
      <c r="J400" s="982"/>
      <c r="K400" s="980"/>
      <c r="L400" s="981" t="s">
        <v>632</v>
      </c>
      <c r="M400" s="983"/>
      <c r="N400" s="982"/>
      <c r="O400" s="980"/>
      <c r="P400" s="981" t="s">
        <v>632</v>
      </c>
      <c r="Q400" s="983"/>
      <c r="R400" s="982"/>
      <c r="S400" s="980"/>
      <c r="T400" s="981" t="s">
        <v>632</v>
      </c>
      <c r="U400" s="983"/>
      <c r="V400" s="982"/>
      <c r="W400" s="980"/>
      <c r="X400" s="981" t="s">
        <v>632</v>
      </c>
      <c r="Y400" s="983"/>
      <c r="Z400" s="1412" t="str">
        <f>IFERROR(VLOOKUP(C400, [6]條件!$A:$L, 3, 0), "")</f>
        <v/>
      </c>
      <c r="AA400" s="984" t="str">
        <f>IF(OR(L400={"改紡","檢修","了機","清車","FINAL","停機","SAMPLE","TEST","絲開發"}), L400, IFERROR(IF(C400="", "", (SUM(J400, N400, R400, V400)/3 * AG400) * IF(AND(AF400="S", AS400="雙"), 0.5, 1)), ""))</f>
        <v>停機</v>
      </c>
      <c r="AB400" s="1413" t="str">
        <f t="shared" si="74"/>
        <v/>
      </c>
      <c r="AC400" s="984" t="str">
        <f>IF(OR(L400={"改紡","檢修","了機","清車","FINAL","停機","SAMPLE","TEST"}), "", IFERROR(IF(C400="", "", AVERAGE(L400:M400, P400:Q400, T400:U400, X400:Y400)/100), ""))</f>
        <v/>
      </c>
      <c r="AD400" s="984" t="str">
        <f t="shared" si="68"/>
        <v/>
      </c>
      <c r="AE400" s="984" t="str">
        <f t="shared" si="75"/>
        <v/>
      </c>
      <c r="AF400" s="985" t="str">
        <f t="shared" si="69"/>
        <v>M</v>
      </c>
      <c r="AG400" s="1414">
        <v>1</v>
      </c>
      <c r="AH400" s="1002" t="s">
        <v>640</v>
      </c>
      <c r="AI400" s="1002" t="s">
        <v>640</v>
      </c>
      <c r="AJ400" s="986" t="s">
        <v>640</v>
      </c>
      <c r="AK400" s="1417" t="s">
        <v>640</v>
      </c>
      <c r="AL400" s="1415"/>
      <c r="AM400" s="1323"/>
      <c r="AN400" s="1323"/>
      <c r="AO400" s="1323"/>
      <c r="AP400" s="1323"/>
      <c r="AQ400" s="1323"/>
      <c r="AR400" s="987"/>
      <c r="AS400" s="978" t="str">
        <f t="shared" si="70"/>
        <v>單</v>
      </c>
      <c r="AT400" s="978" t="str">
        <f t="shared" si="71"/>
        <v>全</v>
      </c>
      <c r="AU400" s="978" t="str">
        <f t="shared" si="72"/>
        <v/>
      </c>
      <c r="AV400" s="978" t="str">
        <f t="shared" si="73"/>
        <v/>
      </c>
    </row>
    <row r="401" spans="1:48">
      <c r="A401" s="975">
        <f t="shared" si="67"/>
        <v>46152</v>
      </c>
      <c r="B401" s="976" t="s">
        <v>247</v>
      </c>
      <c r="C401" s="988" t="s">
        <v>16185</v>
      </c>
      <c r="D401" s="1410"/>
      <c r="E401" s="977" t="str">
        <f>IFERROR(VLOOKUP(C401, [6]條件!$A:$L, 5, 0), "")</f>
        <v/>
      </c>
      <c r="F401" s="978" t="str">
        <f>IFERROR(VLOOKUP(C401, [6]條件!$A:$L, 6, 0), "")</f>
        <v/>
      </c>
      <c r="G401" s="1411" t="str">
        <f>IFERROR(VLOOKUP(C401, [6]條件!$A:$L, 7, 0), "")</f>
        <v/>
      </c>
      <c r="H401" s="978" t="str">
        <f>IF(ISNA(VLOOKUP(C401,[6]條件!$A$1:$K$932,11,0)),"",(VLOOKUP(C401,[6]條件!$A$1:$K$932,11,0)))</f>
        <v/>
      </c>
      <c r="I401" s="979" t="str">
        <f>IF(ISNA(VLOOKUP(C401,[6]條件!$A$1:$L$932,12,0)),"",(VLOOKUP(C401,[6]條件!$A$1:$L$932,12,0)))</f>
        <v/>
      </c>
      <c r="J401" s="982"/>
      <c r="K401" s="980"/>
      <c r="L401" s="981" t="s">
        <v>632</v>
      </c>
      <c r="M401" s="983"/>
      <c r="N401" s="982"/>
      <c r="O401" s="980"/>
      <c r="P401" s="981" t="s">
        <v>632</v>
      </c>
      <c r="Q401" s="983"/>
      <c r="R401" s="982"/>
      <c r="S401" s="980"/>
      <c r="T401" s="981" t="s">
        <v>632</v>
      </c>
      <c r="U401" s="983"/>
      <c r="V401" s="982"/>
      <c r="W401" s="980"/>
      <c r="X401" s="981" t="s">
        <v>632</v>
      </c>
      <c r="Y401" s="983"/>
      <c r="Z401" s="1412" t="str">
        <f>IFERROR(VLOOKUP(C401, [6]條件!$A:$L, 3, 0), "")</f>
        <v/>
      </c>
      <c r="AA401" s="984" t="str">
        <f>IF(OR(L401={"改紡","檢修","了機","清車","FINAL","停機","SAMPLE","TEST","絲開發"}), L401, IFERROR(IF(C401="", "", (SUM(J401, N401, R401, V401)/3 * AG401) * IF(AND(AF401="S", AS401="雙"), 0.5, 1)), ""))</f>
        <v>停機</v>
      </c>
      <c r="AB401" s="1413" t="str">
        <f t="shared" si="74"/>
        <v/>
      </c>
      <c r="AC401" s="984" t="str">
        <f>IF(OR(L401={"改紡","檢修","了機","清車","FINAL","停機","SAMPLE","TEST"}), "", IFERROR(IF(C401="", "", AVERAGE(L401:M401, P401:Q401, T401:U401, X401:Y401)/100), ""))</f>
        <v/>
      </c>
      <c r="AD401" s="984" t="str">
        <f t="shared" si="68"/>
        <v/>
      </c>
      <c r="AE401" s="984" t="str">
        <f t="shared" si="75"/>
        <v/>
      </c>
      <c r="AF401" s="985" t="str">
        <f t="shared" si="69"/>
        <v>M</v>
      </c>
      <c r="AG401" s="1414">
        <v>1</v>
      </c>
      <c r="AH401" s="1002" t="s">
        <v>640</v>
      </c>
      <c r="AI401" s="1002" t="s">
        <v>640</v>
      </c>
      <c r="AJ401" s="986" t="s">
        <v>640</v>
      </c>
      <c r="AK401" s="1417" t="s">
        <v>640</v>
      </c>
      <c r="AL401" s="1415"/>
      <c r="AM401" s="1323"/>
      <c r="AN401" s="1323"/>
      <c r="AO401" s="1323"/>
      <c r="AP401" s="1323"/>
      <c r="AQ401" s="1323"/>
      <c r="AR401" s="987"/>
      <c r="AS401" s="978" t="str">
        <f t="shared" si="70"/>
        <v>單</v>
      </c>
      <c r="AT401" s="978" t="str">
        <f t="shared" si="71"/>
        <v>全</v>
      </c>
      <c r="AU401" s="978" t="str">
        <f t="shared" si="72"/>
        <v/>
      </c>
      <c r="AV401" s="978" t="str">
        <f t="shared" si="73"/>
        <v/>
      </c>
    </row>
    <row r="402" spans="1:48">
      <c r="A402" s="975">
        <f t="shared" si="67"/>
        <v>46152</v>
      </c>
      <c r="B402" s="976" t="s">
        <v>248</v>
      </c>
      <c r="C402" s="988" t="s">
        <v>16185</v>
      </c>
      <c r="D402" s="1410"/>
      <c r="E402" s="977" t="str">
        <f>IFERROR(VLOOKUP(C402, [6]條件!$A:$L, 5, 0), "")</f>
        <v/>
      </c>
      <c r="F402" s="978" t="str">
        <f>IFERROR(VLOOKUP(C402, [6]條件!$A:$L, 6, 0), "")</f>
        <v/>
      </c>
      <c r="G402" s="1411" t="str">
        <f>IFERROR(VLOOKUP(C402, [6]條件!$A:$L, 7, 0), "")</f>
        <v/>
      </c>
      <c r="H402" s="978" t="str">
        <f>IF(ISNA(VLOOKUP(C402,[6]條件!$A$1:$K$932,11,0)),"",(VLOOKUP(C402,[6]條件!$A$1:$K$932,11,0)))</f>
        <v/>
      </c>
      <c r="I402" s="979" t="str">
        <f>IF(ISNA(VLOOKUP(C402,[6]條件!$A$1:$L$932,12,0)),"",(VLOOKUP(C402,[6]條件!$A$1:$L$932,12,0)))</f>
        <v/>
      </c>
      <c r="J402" s="982"/>
      <c r="K402" s="980"/>
      <c r="L402" s="981" t="s">
        <v>632</v>
      </c>
      <c r="M402" s="983"/>
      <c r="N402" s="982"/>
      <c r="O402" s="980"/>
      <c r="P402" s="981" t="s">
        <v>632</v>
      </c>
      <c r="Q402" s="983"/>
      <c r="R402" s="982"/>
      <c r="S402" s="980"/>
      <c r="T402" s="981" t="s">
        <v>632</v>
      </c>
      <c r="U402" s="983"/>
      <c r="V402" s="982"/>
      <c r="W402" s="980"/>
      <c r="X402" s="981" t="s">
        <v>632</v>
      </c>
      <c r="Y402" s="983"/>
      <c r="Z402" s="1412" t="str">
        <f>IFERROR(VLOOKUP(C402, [6]條件!$A:$L, 3, 0), "")</f>
        <v/>
      </c>
      <c r="AA402" s="984" t="str">
        <f>IF(OR(L402={"改紡","檢修","了機","清車","FINAL","停機","SAMPLE","TEST","絲開發"}), L402, IFERROR(IF(C402="", "", (SUM(J402, N402, R402, V402)/3 * AG402) * IF(AND(AF402="S", AS402="雙"), 0.5, 1)), ""))</f>
        <v>停機</v>
      </c>
      <c r="AB402" s="1413" t="str">
        <f t="shared" si="74"/>
        <v/>
      </c>
      <c r="AC402" s="984" t="str">
        <f>IF(OR(L402={"改紡","檢修","了機","清車","FINAL","停機","SAMPLE","TEST"}), "", IFERROR(IF(C402="", "", AVERAGE(L402:M402, P402:Q402, T402:U402, X402:Y402)/100), ""))</f>
        <v/>
      </c>
      <c r="AD402" s="984" t="str">
        <f t="shared" si="68"/>
        <v/>
      </c>
      <c r="AE402" s="984" t="str">
        <f t="shared" si="75"/>
        <v/>
      </c>
      <c r="AF402" s="985" t="str">
        <f t="shared" si="69"/>
        <v>M</v>
      </c>
      <c r="AG402" s="1414">
        <v>1</v>
      </c>
      <c r="AH402" s="1002" t="s">
        <v>640</v>
      </c>
      <c r="AI402" s="1002" t="s">
        <v>640</v>
      </c>
      <c r="AJ402" s="986" t="s">
        <v>640</v>
      </c>
      <c r="AK402" s="1417" t="s">
        <v>640</v>
      </c>
      <c r="AL402" s="1415"/>
      <c r="AM402" s="1323"/>
      <c r="AN402" s="1323"/>
      <c r="AO402" s="1323"/>
      <c r="AP402" s="1323"/>
      <c r="AQ402" s="1323"/>
      <c r="AR402" s="987"/>
      <c r="AS402" s="978" t="str">
        <f t="shared" si="70"/>
        <v>單</v>
      </c>
      <c r="AT402" s="978" t="str">
        <f t="shared" si="71"/>
        <v>全</v>
      </c>
      <c r="AU402" s="978" t="str">
        <f t="shared" si="72"/>
        <v/>
      </c>
      <c r="AV402" s="978" t="str">
        <f t="shared" si="73"/>
        <v/>
      </c>
    </row>
    <row r="403" spans="1:48" ht="17.25" thickBot="1">
      <c r="A403" s="989">
        <f t="shared" si="67"/>
        <v>46152</v>
      </c>
      <c r="B403" s="990" t="s">
        <v>249</v>
      </c>
      <c r="C403" s="991" t="s">
        <v>16185</v>
      </c>
      <c r="D403" s="1425"/>
      <c r="E403" s="1169" t="str">
        <f>IFERROR(VLOOKUP(C403, [6]條件!$A:$L, 5, 0), "")</f>
        <v/>
      </c>
      <c r="F403" s="992" t="str">
        <f>IFERROR(VLOOKUP(C403, [6]條件!$A:$L, 6, 0), "")</f>
        <v/>
      </c>
      <c r="G403" s="1426" t="str">
        <f>IFERROR(VLOOKUP(C403, [6]條件!$A:$L, 7, 0), "")</f>
        <v/>
      </c>
      <c r="H403" s="992" t="str">
        <f>IF(ISNA(VLOOKUP(C403,[6]條件!$A$1:$K$932,11,0)),"",(VLOOKUP(C403,[6]條件!$A$1:$K$932,11,0)))</f>
        <v/>
      </c>
      <c r="I403" s="1170" t="str">
        <f>IF(ISNA(VLOOKUP(C403,[6]條件!$A$1:$L$932,12,0)),"",(VLOOKUP(C403,[6]條件!$A$1:$L$932,12,0)))</f>
        <v/>
      </c>
      <c r="J403" s="995"/>
      <c r="K403" s="993"/>
      <c r="L403" s="994" t="s">
        <v>632</v>
      </c>
      <c r="M403" s="996"/>
      <c r="N403" s="995"/>
      <c r="O403" s="993"/>
      <c r="P403" s="994" t="s">
        <v>632</v>
      </c>
      <c r="Q403" s="996"/>
      <c r="R403" s="995"/>
      <c r="S403" s="993"/>
      <c r="T403" s="994" t="s">
        <v>632</v>
      </c>
      <c r="U403" s="996"/>
      <c r="V403" s="995"/>
      <c r="W403" s="993"/>
      <c r="X403" s="994" t="s">
        <v>632</v>
      </c>
      <c r="Y403" s="996"/>
      <c r="Z403" s="1427" t="str">
        <f>IFERROR(VLOOKUP(C403, [6]條件!$A:$L, 3, 0), "")</f>
        <v/>
      </c>
      <c r="AA403" s="997" t="str">
        <f>IF(OR(L403={"改紡","檢修","了機","清車","FINAL","停機","SAMPLE","TEST","絲開發"}), L403, IFERROR(IF(C403="", "", (SUM(J403, N403, R403, V403)/3 * AG403) * IF(AND(AF403="S", AS403="雙"), 0.5, 1)), ""))</f>
        <v>停機</v>
      </c>
      <c r="AB403" s="1428" t="str">
        <f t="shared" si="74"/>
        <v/>
      </c>
      <c r="AC403" s="997" t="str">
        <f>IF(OR(L403={"改紡","檢修","了機","清車","FINAL","停機","SAMPLE","TEST"}), "", IFERROR(IF(C403="", "", AVERAGE(L403:M403, P403:Q403, T403:U403, X403:Y403)/100), ""))</f>
        <v/>
      </c>
      <c r="AD403" s="997" t="str">
        <f t="shared" si="68"/>
        <v/>
      </c>
      <c r="AE403" s="997" t="str">
        <f t="shared" si="75"/>
        <v/>
      </c>
      <c r="AF403" s="998" t="str">
        <f t="shared" si="69"/>
        <v>M</v>
      </c>
      <c r="AG403" s="1429">
        <v>1</v>
      </c>
      <c r="AH403" s="1171" t="s">
        <v>640</v>
      </c>
      <c r="AI403" s="1171" t="s">
        <v>640</v>
      </c>
      <c r="AJ403" s="999" t="s">
        <v>640</v>
      </c>
      <c r="AK403" s="1430" t="s">
        <v>640</v>
      </c>
      <c r="AL403" s="1431"/>
      <c r="AM403" s="1325"/>
      <c r="AN403" s="1325"/>
      <c r="AO403" s="1325"/>
      <c r="AP403" s="1325"/>
      <c r="AQ403" s="1325"/>
      <c r="AR403" s="1000"/>
      <c r="AS403" s="992" t="str">
        <f t="shared" si="70"/>
        <v>單</v>
      </c>
      <c r="AT403" s="992" t="str">
        <f t="shared" si="71"/>
        <v>全</v>
      </c>
      <c r="AU403" s="992" t="str">
        <f t="shared" si="72"/>
        <v/>
      </c>
      <c r="AV403" s="992" t="str">
        <f t="shared" si="73"/>
        <v/>
      </c>
    </row>
    <row r="404" spans="1:48">
      <c r="A404" s="962">
        <v>46153</v>
      </c>
      <c r="B404" s="963" t="s">
        <v>212</v>
      </c>
      <c r="C404" s="963" t="s">
        <v>632</v>
      </c>
      <c r="D404" s="1403"/>
      <c r="E404" s="964" t="str">
        <f>IFERROR(VLOOKUP(C404, [6]條件!$A:$L, 5, 0), "")</f>
        <v/>
      </c>
      <c r="F404" s="965" t="str">
        <f>IFERROR(VLOOKUP(C404, [6]條件!$A:$L, 6, 0), "")</f>
        <v/>
      </c>
      <c r="G404" s="1404" t="str">
        <f>IFERROR(VLOOKUP(C404, [6]條件!$A:$L, 7, 0), "")</f>
        <v/>
      </c>
      <c r="H404" s="965" t="str">
        <f>IF(ISNA(VLOOKUP(C404,[6]條件!$A$1:$K$932,11,0)),"",(VLOOKUP(C404,[6]條件!$A$1:$K$932,11,0)))</f>
        <v/>
      </c>
      <c r="I404" s="966" t="str">
        <f>IF(ISNA(VLOOKUP(C404,[6]條件!$A$1:$L$932,12,0)),"",(VLOOKUP(C404,[6]條件!$A$1:$L$932,12,0)))</f>
        <v/>
      </c>
      <c r="J404" s="969"/>
      <c r="K404" s="967"/>
      <c r="L404" s="981" t="s">
        <v>632</v>
      </c>
      <c r="M404" s="970"/>
      <c r="N404" s="969"/>
      <c r="O404" s="967"/>
      <c r="P404" s="981" t="s">
        <v>632</v>
      </c>
      <c r="Q404" s="970"/>
      <c r="R404" s="969"/>
      <c r="S404" s="967"/>
      <c r="T404" s="981" t="s">
        <v>632</v>
      </c>
      <c r="U404" s="970"/>
      <c r="V404" s="969"/>
      <c r="W404" s="967"/>
      <c r="X404" s="981" t="s">
        <v>632</v>
      </c>
      <c r="Y404" s="970"/>
      <c r="Z404" s="1405" t="str">
        <f>IFERROR(VLOOKUP(C404, [6]條件!$A:$L, 3, 0), "")</f>
        <v/>
      </c>
      <c r="AA404" s="971" t="str">
        <f>IF(OR(L404={"改紡","檢修","了機","清車","FINAL","停機","SAMPLE","TEST","絲開發"}), L404, IFERROR(IF(C404="", "", (SUM(J404, N404, R404, V404)/3 * AG404) * IF(AND(AF404="S", AS404="雙"), 0.5, 1)), ""))</f>
        <v>停機</v>
      </c>
      <c r="AB404" s="1406" t="str">
        <f t="shared" si="74"/>
        <v/>
      </c>
      <c r="AC404" s="971" t="str">
        <f>IF(OR(L404={"改紡","檢修","了機","清車","FINAL","停機","SAMPLE","TEST"}), "", IFERROR(IF(C404="", "", AVERAGE(L404:M404, P404:Q404, T404:U404, X404:Y404)/100), ""))</f>
        <v/>
      </c>
      <c r="AD404" s="971" t="str">
        <f t="shared" si="68"/>
        <v/>
      </c>
      <c r="AE404" s="971" t="str">
        <f t="shared" si="75"/>
        <v/>
      </c>
      <c r="AF404" s="972" t="str">
        <f t="shared" si="69"/>
        <v>A</v>
      </c>
      <c r="AG404" s="1407">
        <v>1</v>
      </c>
      <c r="AH404" s="968" t="s">
        <v>640</v>
      </c>
      <c r="AI404" s="1438" t="s">
        <v>640</v>
      </c>
      <c r="AJ404" s="1166" t="s">
        <v>640</v>
      </c>
      <c r="AK404" s="1408" t="s">
        <v>640</v>
      </c>
      <c r="AL404" s="1409"/>
      <c r="AM404" s="1322"/>
      <c r="AN404" s="1322"/>
      <c r="AO404" s="1322"/>
      <c r="AP404" s="1322"/>
      <c r="AQ404" s="1322"/>
      <c r="AR404" s="973"/>
      <c r="AS404" s="965" t="str">
        <f t="shared" si="70"/>
        <v>單</v>
      </c>
      <c r="AT404" s="965" t="str">
        <f t="shared" si="71"/>
        <v>全</v>
      </c>
      <c r="AU404" s="965" t="str">
        <f t="shared" si="72"/>
        <v/>
      </c>
      <c r="AV404" s="965" t="str">
        <f t="shared" si="73"/>
        <v/>
      </c>
    </row>
    <row r="405" spans="1:48">
      <c r="A405" s="975">
        <f t="shared" ref="A405:A443" si="76">A404</f>
        <v>46153</v>
      </c>
      <c r="B405" s="976" t="s">
        <v>214</v>
      </c>
      <c r="C405" s="976" t="s">
        <v>16708</v>
      </c>
      <c r="D405" s="1410"/>
      <c r="E405" s="977" t="str">
        <f>IFERROR(VLOOKUP(C405, [6]條件!$A:$L, 5, 0), "")</f>
        <v>75/36SDR</v>
      </c>
      <c r="F405" s="978" t="str">
        <f>IFERROR(VLOOKUP(C405, [6]條件!$A:$L, 6, 0), "")</f>
        <v>FP81386R</v>
      </c>
      <c r="G405" s="1411">
        <f>IFERROR(VLOOKUP(C405, [6]條件!$A:$L, 7, 0), "")</f>
        <v>780</v>
      </c>
      <c r="H405" s="978" t="str">
        <f>IF(ISNA(VLOOKUP(C405,[6]條件!$A$1:$K$932,11,0)),"",(VLOOKUP(C405,[6]條件!$A$1:$K$932,11,0)))</f>
        <v>綠底白點</v>
      </c>
      <c r="I405" s="979">
        <f>IF(ISNA(VLOOKUP(C405,[6]條件!$A$1:$L$932,12,0)),"",(VLOOKUP(C405,[6]條件!$A$1:$L$932,12,0)))</f>
        <v>5</v>
      </c>
      <c r="J405" s="982">
        <v>18</v>
      </c>
      <c r="K405" s="980">
        <v>1</v>
      </c>
      <c r="L405" s="981">
        <v>8861</v>
      </c>
      <c r="M405" s="983">
        <v>8235</v>
      </c>
      <c r="N405" s="982">
        <v>5</v>
      </c>
      <c r="O405" s="980">
        <v>0</v>
      </c>
      <c r="P405" s="981">
        <v>8802</v>
      </c>
      <c r="Q405" s="983">
        <v>8361</v>
      </c>
      <c r="R405" s="982">
        <v>5</v>
      </c>
      <c r="S405" s="980">
        <v>0</v>
      </c>
      <c r="T405" s="981">
        <v>8799</v>
      </c>
      <c r="U405" s="983">
        <v>8368</v>
      </c>
      <c r="V405" s="982">
        <v>18</v>
      </c>
      <c r="W405" s="980">
        <v>0</v>
      </c>
      <c r="X405" s="981">
        <v>8750</v>
      </c>
      <c r="Y405" s="983">
        <v>8326</v>
      </c>
      <c r="Z405" s="1412">
        <f>IFERROR(VLOOKUP(C405, [6]條件!$A:$L, 3, 0), "")</f>
        <v>1.7777777777777777</v>
      </c>
      <c r="AA405" s="984">
        <f>IF(OR(L405={"改紡","檢修","了機","清車","FINAL","停機","SAMPLE","TEST","絲開發"}), L405, IFERROR(IF(C405="", "", (SUM(J405, N405, R405, V405)/3 * AG405) * IF(AND(AF405="S", AS405="雙"), 0.5, 1)), ""))</f>
        <v>15.333333333333334</v>
      </c>
      <c r="AB405" s="1413">
        <f t="shared" si="74"/>
        <v>0.99729567307692313</v>
      </c>
      <c r="AC405" s="984">
        <f>IF(OR(L405={"改紡","檢修","了機","清車","FINAL","停機","SAMPLE","TEST"}), "", IFERROR(IF(C405="", "", AVERAGE(L405:M405, P405:Q405, T405:U405, X405:Y405)/100), ""))</f>
        <v>85.627499999999998</v>
      </c>
      <c r="AD405" s="984">
        <f t="shared" si="68"/>
        <v>1.9166666666666667</v>
      </c>
      <c r="AE405" s="984">
        <f t="shared" si="75"/>
        <v>1.875</v>
      </c>
      <c r="AF405" s="985" t="str">
        <f t="shared" si="69"/>
        <v>A</v>
      </c>
      <c r="AG405" s="1414">
        <v>1</v>
      </c>
      <c r="AH405" s="981" t="s">
        <v>629</v>
      </c>
      <c r="AI405" s="986" t="s">
        <v>629</v>
      </c>
      <c r="AJ405" s="986" t="s">
        <v>725</v>
      </c>
      <c r="AK405" s="1417" t="s">
        <v>725</v>
      </c>
      <c r="AL405" s="1415">
        <v>50</v>
      </c>
      <c r="AM405" s="1323">
        <v>46144</v>
      </c>
      <c r="AN405" s="1323">
        <v>46145</v>
      </c>
      <c r="AO405" s="1323">
        <v>46148</v>
      </c>
      <c r="AP405" s="1323">
        <v>46150</v>
      </c>
      <c r="AQ405" s="1323"/>
      <c r="AR405" s="987"/>
      <c r="AS405" s="978" t="str">
        <f t="shared" si="70"/>
        <v>單</v>
      </c>
      <c r="AT405" s="978" t="str">
        <f t="shared" si="71"/>
        <v>全</v>
      </c>
      <c r="AU405" s="978">
        <f t="shared" si="72"/>
        <v>75</v>
      </c>
      <c r="AV405" s="978">
        <f t="shared" si="73"/>
        <v>1.7311825439999999</v>
      </c>
    </row>
    <row r="406" spans="1:48">
      <c r="A406" s="975">
        <f t="shared" si="76"/>
        <v>46153</v>
      </c>
      <c r="B406" s="976" t="s">
        <v>215</v>
      </c>
      <c r="C406" s="976" t="s">
        <v>16746</v>
      </c>
      <c r="D406" s="1410" t="s">
        <v>633</v>
      </c>
      <c r="E406" s="977" t="str">
        <f>IFERROR(VLOOKUP(C406, [6]條件!$A:$L, 5, 0), "")</f>
        <v>75/24/2SDr</v>
      </c>
      <c r="F406" s="978" t="str">
        <f>IFERROR(VLOOKUP(C406, [6]條件!$A:$L, 6, 0), "")</f>
        <v>FP81391R×2</v>
      </c>
      <c r="G406" s="1411">
        <f>IFERROR(VLOOKUP(C406, [6]條件!$A:$L, 7, 0), "")</f>
        <v>700</v>
      </c>
      <c r="H406" s="978" t="str">
        <f>IF(ISNA(VLOOKUP(C406,[6]條件!$A$1:$K$932,11,0)),"",(VLOOKUP(C406,[6]條件!$A$1:$K$932,11,0)))</f>
        <v>紅底白點</v>
      </c>
      <c r="I406" s="979">
        <f>IF(ISNA(VLOOKUP(C406,[6]條件!$A$1:$L$932,12,0)),"",(VLOOKUP(C406,[6]條件!$A$1:$L$932,12,0)))</f>
        <v>5</v>
      </c>
      <c r="J406" s="982">
        <v>22</v>
      </c>
      <c r="K406" s="980">
        <v>0</v>
      </c>
      <c r="L406" s="981"/>
      <c r="M406" s="983">
        <v>8954</v>
      </c>
      <c r="N406" s="982">
        <v>10</v>
      </c>
      <c r="O406" s="980">
        <v>0</v>
      </c>
      <c r="P406" s="981" t="s">
        <v>632</v>
      </c>
      <c r="Q406" s="983">
        <v>9135</v>
      </c>
      <c r="R406" s="982">
        <v>12</v>
      </c>
      <c r="S406" s="980">
        <v>0</v>
      </c>
      <c r="T406" s="981" t="s">
        <v>632</v>
      </c>
      <c r="U406" s="983">
        <v>9052</v>
      </c>
      <c r="V406" s="982">
        <v>34</v>
      </c>
      <c r="W406" s="980">
        <v>0</v>
      </c>
      <c r="X406" s="981" t="s">
        <v>632</v>
      </c>
      <c r="Y406" s="983">
        <v>8730</v>
      </c>
      <c r="Z406" s="1412">
        <f>IFERROR(VLOOKUP(C406, [6]條件!$A:$L, 3, 0), "")</f>
        <v>3.2653061224489797</v>
      </c>
      <c r="AA406" s="984">
        <f>IF(OR(L406={"改紡","檢修","了機","清車","FINAL","停機","SAMPLE","TEST","絲開發"}), L406, IFERROR(IF(C406="", "", (SUM(J406, N406, R406, V406)/3 * AG406) * IF(AND(AF406="S", AS406="雙"), 0.5, 1)), ""))</f>
        <v>26</v>
      </c>
      <c r="AB406" s="1413">
        <f t="shared" si="74"/>
        <v>1</v>
      </c>
      <c r="AC406" s="984">
        <f>IF(OR(L406={"改紡","檢修","了機","清車","FINAL","停機","SAMPLE","TEST"}), "", IFERROR(IF(C406="", "", AVERAGE(L406:M406, P406:Q406, T406:U406, X406:Y406)/100), ""))</f>
        <v>89.677499999999995</v>
      </c>
      <c r="AD406" s="984">
        <f t="shared" si="68"/>
        <v>3.25</v>
      </c>
      <c r="AE406" s="984">
        <f t="shared" si="75"/>
        <v>3.25</v>
      </c>
      <c r="AF406" s="985" t="str">
        <f t="shared" si="69"/>
        <v>A</v>
      </c>
      <c r="AG406" s="1414">
        <v>1</v>
      </c>
      <c r="AH406" s="981" t="s">
        <v>629</v>
      </c>
      <c r="AI406" s="986" t="s">
        <v>629</v>
      </c>
      <c r="AJ406" s="986" t="s">
        <v>634</v>
      </c>
      <c r="AK406" s="1417" t="s">
        <v>634</v>
      </c>
      <c r="AL406" s="1415"/>
      <c r="AM406" s="1323"/>
      <c r="AN406" s="1323"/>
      <c r="AO406" s="1323"/>
      <c r="AP406" s="1323"/>
      <c r="AQ406" s="1323"/>
      <c r="AR406" s="987"/>
      <c r="AS406" s="978" t="str">
        <f t="shared" si="70"/>
        <v>雙</v>
      </c>
      <c r="AT406" s="978" t="str">
        <f t="shared" si="71"/>
        <v>半</v>
      </c>
      <c r="AU406" s="978">
        <f t="shared" si="72"/>
        <v>75</v>
      </c>
      <c r="AV406" s="978">
        <f t="shared" si="73"/>
        <v>0.81355427999999996</v>
      </c>
    </row>
    <row r="407" spans="1:48">
      <c r="A407" s="975">
        <f t="shared" si="76"/>
        <v>46153</v>
      </c>
      <c r="B407" s="976" t="s">
        <v>216</v>
      </c>
      <c r="C407" s="976" t="s">
        <v>16764</v>
      </c>
      <c r="D407" s="1410"/>
      <c r="E407" s="977" t="str">
        <f>IFERROR(VLOOKUP(C407, [6]條件!$A:$L, 5, 0), "")</f>
        <v>150/48BK42</v>
      </c>
      <c r="F407" s="978" t="str">
        <f>IFERROR(VLOOKUP(C407, [6]條件!$A:$L, 6, 0), "")</f>
        <v>FP02421</v>
      </c>
      <c r="G407" s="1411">
        <f>IFERROR(VLOOKUP(C407, [6]條件!$A:$L, 7, 0), "")</f>
        <v>600</v>
      </c>
      <c r="H407" s="978" t="str">
        <f>IF(ISNA(VLOOKUP(C407,[6]條件!$A$1:$K$932,11,0)),"",(VLOOKUP(C407,[6]條件!$A$1:$K$932,11,0)))</f>
        <v>白桔方塊</v>
      </c>
      <c r="I407" s="979">
        <f>IF(ISNA(VLOOKUP(C407,[6]條件!$A$1:$L$932,12,0)),"",(VLOOKUP(C407,[6]條件!$A$1:$L$932,12,0)))</f>
        <v>5</v>
      </c>
      <c r="J407" s="982">
        <v>10</v>
      </c>
      <c r="K407" s="980">
        <v>1</v>
      </c>
      <c r="L407" s="981">
        <v>9237</v>
      </c>
      <c r="M407" s="983" t="s">
        <v>632</v>
      </c>
      <c r="N407" s="982">
        <v>18</v>
      </c>
      <c r="O407" s="980">
        <v>1</v>
      </c>
      <c r="P407" s="981">
        <v>9049</v>
      </c>
      <c r="Q407" s="983" t="s">
        <v>632</v>
      </c>
      <c r="R407" s="982">
        <v>3</v>
      </c>
      <c r="S407" s="980">
        <v>0</v>
      </c>
      <c r="T407" s="981">
        <v>9143</v>
      </c>
      <c r="U407" s="983" t="s">
        <v>632</v>
      </c>
      <c r="V407" s="982">
        <v>4</v>
      </c>
      <c r="W407" s="980">
        <v>0</v>
      </c>
      <c r="X407" s="981">
        <v>9186</v>
      </c>
      <c r="Y407" s="983" t="s">
        <v>632</v>
      </c>
      <c r="Z407" s="1412">
        <f>IFERROR(VLOOKUP(C407, [6]條件!$A:$L, 3, 0), "")</f>
        <v>2.8346456692913384</v>
      </c>
      <c r="AA407" s="984">
        <f>IF(OR(L407={"改紡","檢修","了機","清車","FINAL","停機","SAMPLE","TEST","絲開發"}), L407, IFERROR(IF(C407="", "", (SUM(J407, N407, R407, V407)/3 * AG407) * IF(AND(AF407="S", AS407="雙"), 0.5, 1)), ""))</f>
        <v>23.333333333333332</v>
      </c>
      <c r="AB407" s="1413">
        <f t="shared" si="74"/>
        <v>0.99660790598290594</v>
      </c>
      <c r="AC407" s="984">
        <f>IF(OR(L407={"改紡","檢修","了機","清車","FINAL","停機","SAMPLE","TEST"}), "", IFERROR(IF(C407="", "", AVERAGE(L407:M407, P407:Q407, T407:U407, X407:Y407)/100), ""))</f>
        <v>91.537499999999994</v>
      </c>
      <c r="AD407" s="984">
        <f t="shared" si="68"/>
        <v>2.9166666666666665</v>
      </c>
      <c r="AE407" s="984">
        <f t="shared" si="75"/>
        <v>2.75</v>
      </c>
      <c r="AF407" s="985" t="str">
        <f t="shared" si="69"/>
        <v>A</v>
      </c>
      <c r="AG407" s="1414">
        <v>2</v>
      </c>
      <c r="AH407" s="981" t="s">
        <v>629</v>
      </c>
      <c r="AI407" s="986" t="s">
        <v>629</v>
      </c>
      <c r="AJ407" s="986" t="s">
        <v>634</v>
      </c>
      <c r="AK407" s="1417" t="s">
        <v>634</v>
      </c>
      <c r="AL407" s="1415">
        <v>58</v>
      </c>
      <c r="AM407" s="1323">
        <v>46150</v>
      </c>
      <c r="AN407" s="1323">
        <v>46151</v>
      </c>
      <c r="AO407" s="1323"/>
      <c r="AP407" s="1323"/>
      <c r="AQ407" s="1323"/>
      <c r="AR407" s="987"/>
      <c r="AS407" s="978" t="str">
        <f t="shared" si="70"/>
        <v>單</v>
      </c>
      <c r="AT407" s="978" t="str">
        <f t="shared" si="71"/>
        <v>半</v>
      </c>
      <c r="AU407" s="978">
        <f t="shared" si="72"/>
        <v>150</v>
      </c>
      <c r="AV407" s="978">
        <f t="shared" si="73"/>
        <v>1.4235911999999999</v>
      </c>
    </row>
    <row r="408" spans="1:48">
      <c r="A408" s="975">
        <f t="shared" si="76"/>
        <v>46153</v>
      </c>
      <c r="B408" s="976" t="s">
        <v>217</v>
      </c>
      <c r="C408" s="976" t="s">
        <v>16197</v>
      </c>
      <c r="D408" s="1410"/>
      <c r="E408" s="977" t="str">
        <f>IFERROR(VLOOKUP(C408, [6]條件!$A:$L, 5, 0), "")</f>
        <v>75/36HC</v>
      </c>
      <c r="F408" s="978" t="str">
        <f>IFERROR(VLOOKUP(C408, [6]條件!$A:$L, 6, 0), "")</f>
        <v>FP81857R</v>
      </c>
      <c r="G408" s="1411">
        <f>IFERROR(VLOOKUP(C408, [6]條件!$A:$L, 7, 0), "")</f>
        <v>600</v>
      </c>
      <c r="H408" s="978" t="str">
        <f>IF(ISNA(VLOOKUP(C408,[6]條件!$A$1:$K$932,11,0)),"",(VLOOKUP(C408,[6]條件!$A$1:$K$932,11,0)))</f>
        <v>白底綠方塊</v>
      </c>
      <c r="I408" s="979">
        <f>IF(ISNA(VLOOKUP(C408,[6]條件!$A$1:$L$932,12,0)),"",(VLOOKUP(C408,[6]條件!$A$1:$L$932,12,0)))</f>
        <v>4</v>
      </c>
      <c r="J408" s="982">
        <v>35</v>
      </c>
      <c r="K408" s="980">
        <v>0</v>
      </c>
      <c r="L408" s="981">
        <v>8106</v>
      </c>
      <c r="M408" s="983">
        <v>8760</v>
      </c>
      <c r="N408" s="982">
        <v>9</v>
      </c>
      <c r="O408" s="980">
        <v>0</v>
      </c>
      <c r="P408" s="981">
        <v>7548</v>
      </c>
      <c r="Q408" s="983">
        <v>8657</v>
      </c>
      <c r="R408" s="982">
        <v>24</v>
      </c>
      <c r="S408" s="980">
        <v>0</v>
      </c>
      <c r="T408" s="981">
        <v>7802</v>
      </c>
      <c r="U408" s="983">
        <v>8685</v>
      </c>
      <c r="V408" s="982">
        <v>24</v>
      </c>
      <c r="W408" s="980">
        <v>0</v>
      </c>
      <c r="X408" s="981">
        <v>8322</v>
      </c>
      <c r="Y408" s="983">
        <v>8700</v>
      </c>
      <c r="Z408" s="1412">
        <f>IFERROR(VLOOKUP(C408, [6]條件!$A:$L, 3, 0), "")</f>
        <v>1.7496962332928312</v>
      </c>
      <c r="AA408" s="984">
        <f>IF(OR(L408={"改紡","檢修","了機","清車","FINAL","停機","SAMPLE","TEST","絲開發"}), L408, IFERROR(IF(C408="", "", (SUM(J408, N408, R408, V408)/3 * AG408) * IF(AND(AF408="S", AS408="雙"), 0.5, 1)), ""))</f>
        <v>30.666666666666668</v>
      </c>
      <c r="AB408" s="1413">
        <f t="shared" si="74"/>
        <v>1</v>
      </c>
      <c r="AC408" s="984">
        <f>IF(OR(L408={"改紡","檢修","了機","清車","FINAL","停機","SAMPLE","TEST"}), "", IFERROR(IF(C408="", "", AVERAGE(L408:M408, P408:Q408, T408:U408, X408:Y408)/100), ""))</f>
        <v>83.224999999999994</v>
      </c>
      <c r="AD408" s="984">
        <f t="shared" si="68"/>
        <v>3.8333333333333335</v>
      </c>
      <c r="AE408" s="984">
        <f t="shared" si="75"/>
        <v>3.8333333333333335</v>
      </c>
      <c r="AF408" s="985" t="str">
        <f t="shared" si="69"/>
        <v>A</v>
      </c>
      <c r="AG408" s="1414">
        <v>1</v>
      </c>
      <c r="AH408" s="981" t="s">
        <v>16154</v>
      </c>
      <c r="AI408" s="986" t="s">
        <v>16154</v>
      </c>
      <c r="AJ408" s="986" t="s">
        <v>634</v>
      </c>
      <c r="AK408" s="1417" t="s">
        <v>634</v>
      </c>
      <c r="AL408" s="1415">
        <v>54</v>
      </c>
      <c r="AM408" s="1323">
        <v>45944</v>
      </c>
      <c r="AN408" s="1323">
        <v>45945</v>
      </c>
      <c r="AO408" s="1323">
        <v>45946</v>
      </c>
      <c r="AP408" s="1323">
        <v>45948</v>
      </c>
      <c r="AQ408" s="1323"/>
      <c r="AR408" s="987"/>
      <c r="AS408" s="978" t="str">
        <f t="shared" si="70"/>
        <v>單</v>
      </c>
      <c r="AT408" s="978" t="str">
        <f t="shared" si="71"/>
        <v>全</v>
      </c>
      <c r="AU408" s="978">
        <f t="shared" si="72"/>
        <v>75</v>
      </c>
      <c r="AV408" s="978">
        <f t="shared" si="73"/>
        <v>1.2943152</v>
      </c>
    </row>
    <row r="409" spans="1:48">
      <c r="A409" s="975">
        <f t="shared" si="76"/>
        <v>46153</v>
      </c>
      <c r="B409" s="976" t="s">
        <v>218</v>
      </c>
      <c r="C409" s="976" t="s">
        <v>632</v>
      </c>
      <c r="D409" s="1410"/>
      <c r="E409" s="977" t="str">
        <f>IFERROR(VLOOKUP(C409, [6]條件!$A:$L, 5, 0), "")</f>
        <v/>
      </c>
      <c r="F409" s="978" t="str">
        <f>IFERROR(VLOOKUP(C409, [6]條件!$A:$L, 6, 0), "")</f>
        <v/>
      </c>
      <c r="G409" s="1411" t="str">
        <f>IFERROR(VLOOKUP(C409, [6]條件!$A:$L, 7, 0), "")</f>
        <v/>
      </c>
      <c r="H409" s="978" t="str">
        <f>IF(ISNA(VLOOKUP(C409,[6]條件!$A$1:$K$932,11,0)),"",(VLOOKUP(C409,[6]條件!$A$1:$K$932,11,0)))</f>
        <v/>
      </c>
      <c r="I409" s="979" t="str">
        <f>IF(ISNA(VLOOKUP(C409,[6]條件!$A$1:$L$932,12,0)),"",(VLOOKUP(C409,[6]條件!$A$1:$L$932,12,0)))</f>
        <v/>
      </c>
      <c r="J409" s="982"/>
      <c r="K409" s="980"/>
      <c r="L409" s="981" t="s">
        <v>632</v>
      </c>
      <c r="M409" s="983"/>
      <c r="N409" s="982"/>
      <c r="O409" s="980"/>
      <c r="P409" s="981" t="s">
        <v>632</v>
      </c>
      <c r="Q409" s="983"/>
      <c r="R409" s="982"/>
      <c r="S409" s="980"/>
      <c r="T409" s="981" t="s">
        <v>632</v>
      </c>
      <c r="U409" s="983"/>
      <c r="V409" s="982"/>
      <c r="W409" s="980"/>
      <c r="X409" s="981" t="s">
        <v>632</v>
      </c>
      <c r="Y409" s="983"/>
      <c r="Z409" s="1412" t="str">
        <f>IFERROR(VLOOKUP(C409, [6]條件!$A:$L, 3, 0), "")</f>
        <v/>
      </c>
      <c r="AA409" s="984" t="str">
        <f>IF(OR(L409={"改紡","檢修","了機","清車","FINAL","停機","SAMPLE","TEST","絲開發"}), L409, IFERROR(IF(C409="", "", (SUM(J409, N409, R409, V409)/3 * AG409) * IF(AND(AF409="S", AS409="雙"), 0.5, 1)), ""))</f>
        <v>停機</v>
      </c>
      <c r="AB409" s="1413" t="str">
        <f t="shared" si="74"/>
        <v/>
      </c>
      <c r="AC409" s="984" t="str">
        <f>IF(OR(L409={"改紡","檢修","了機","清車","FINAL","停機","SAMPLE","TEST"}), "", IFERROR(IF(C409="", "", AVERAGE(L409:M409, P409:Q409, T409:U409, X409:Y409)/100), ""))</f>
        <v/>
      </c>
      <c r="AD409" s="984" t="str">
        <f t="shared" si="68"/>
        <v/>
      </c>
      <c r="AE409" s="984" t="str">
        <f t="shared" si="75"/>
        <v/>
      </c>
      <c r="AF409" s="985" t="str">
        <f t="shared" si="69"/>
        <v>A</v>
      </c>
      <c r="AG409" s="1414">
        <v>1</v>
      </c>
      <c r="AH409" s="981" t="s">
        <v>640</v>
      </c>
      <c r="AI409" s="986" t="s">
        <v>640</v>
      </c>
      <c r="AJ409" s="986" t="s">
        <v>640</v>
      </c>
      <c r="AK409" s="1417" t="s">
        <v>640</v>
      </c>
      <c r="AL409" s="1415"/>
      <c r="AM409" s="1323"/>
      <c r="AN409" s="1323"/>
      <c r="AO409" s="1323"/>
      <c r="AP409" s="1323"/>
      <c r="AQ409" s="1323"/>
      <c r="AR409" s="987"/>
      <c r="AS409" s="978" t="str">
        <f t="shared" si="70"/>
        <v>單</v>
      </c>
      <c r="AT409" s="978" t="str">
        <f t="shared" si="71"/>
        <v>全</v>
      </c>
      <c r="AU409" s="978" t="str">
        <f t="shared" si="72"/>
        <v/>
      </c>
      <c r="AV409" s="978" t="str">
        <f t="shared" si="73"/>
        <v/>
      </c>
    </row>
    <row r="410" spans="1:48">
      <c r="A410" s="975">
        <f t="shared" si="76"/>
        <v>46153</v>
      </c>
      <c r="B410" s="976" t="s">
        <v>219</v>
      </c>
      <c r="C410" s="976" t="s">
        <v>16745</v>
      </c>
      <c r="D410" s="1410" t="s">
        <v>16748</v>
      </c>
      <c r="E410" s="977" t="str">
        <f>IFERROR(VLOOKUP(C410, [6]條件!$A:$L, 5, 0), "")</f>
        <v>50/72BSD3</v>
      </c>
      <c r="F410" s="978" t="str">
        <f>IFERROR(VLOOKUP(C410, [6]條件!$A:$L, 6, 0), "")</f>
        <v>FP80141</v>
      </c>
      <c r="G410" s="1411">
        <f>IFERROR(VLOOKUP(C410, [6]條件!$A:$L, 7, 0), "")</f>
        <v>630</v>
      </c>
      <c r="H410" s="978" t="str">
        <f>IF(ISNA(VLOOKUP(C410,[6]條件!$A$1:$K$932,11,0)),"",(VLOOKUP(C410,[6]條件!$A$1:$K$932,11,0)))</f>
        <v>洋綠色</v>
      </c>
      <c r="I410" s="979">
        <f>IF(ISNA(VLOOKUP(C410,[6]條件!$A$1:$L$932,12,0)),"",(VLOOKUP(C410,[6]條件!$A$1:$L$932,12,0)))</f>
        <v>2</v>
      </c>
      <c r="J410" s="982">
        <v>13</v>
      </c>
      <c r="K410" s="980">
        <v>1</v>
      </c>
      <c r="L410" s="981">
        <v>9611</v>
      </c>
      <c r="M410" s="983">
        <v>9588</v>
      </c>
      <c r="N410" s="982">
        <v>6</v>
      </c>
      <c r="O410" s="980">
        <v>0</v>
      </c>
      <c r="P410" s="981">
        <v>9627</v>
      </c>
      <c r="Q410" s="983">
        <v>9701</v>
      </c>
      <c r="R410" s="982">
        <v>15</v>
      </c>
      <c r="S410" s="980">
        <v>0</v>
      </c>
      <c r="T410" s="981">
        <v>9649</v>
      </c>
      <c r="U410" s="983">
        <v>9638</v>
      </c>
      <c r="V410" s="982">
        <v>26</v>
      </c>
      <c r="W410" s="980">
        <v>1</v>
      </c>
      <c r="X410" s="981">
        <v>9536</v>
      </c>
      <c r="Y410" s="983">
        <v>9626</v>
      </c>
      <c r="Z410" s="1412">
        <f>IFERROR(VLOOKUP(C410, [6]條件!$A:$L, 3, 0), "")</f>
        <v>2.4615384615384617</v>
      </c>
      <c r="AA410" s="984">
        <f>IF(OR(L410={"改紡","檢修","了機","清車","FINAL","停機","SAMPLE","TEST","絲開發"}), L410, IFERROR(IF(C410="", "", (SUM(J410, N410, R410, V410)/3 * AG410) * IF(AND(AF410="S", AS410="雙"), 0.5, 1)), ""))</f>
        <v>20</v>
      </c>
      <c r="AB410" s="1413">
        <f t="shared" si="74"/>
        <v>0.99609375</v>
      </c>
      <c r="AC410" s="984">
        <f>IF(OR(L410={"改紡","檢修","了機","清車","FINAL","停機","SAMPLE","TEST"}), "", IFERROR(IF(C410="", "", AVERAGE(L410:M410, P410:Q410, T410:U410, X410:Y410)/100), ""))</f>
        <v>96.22</v>
      </c>
      <c r="AD410" s="984">
        <f t="shared" si="68"/>
        <v>2.5</v>
      </c>
      <c r="AE410" s="984">
        <f t="shared" si="75"/>
        <v>2.4166666666666665</v>
      </c>
      <c r="AF410" s="985" t="str">
        <f t="shared" si="69"/>
        <v>A</v>
      </c>
      <c r="AG410" s="1414">
        <v>1</v>
      </c>
      <c r="AH410" s="981" t="s">
        <v>629</v>
      </c>
      <c r="AI410" s="986" t="s">
        <v>629</v>
      </c>
      <c r="AJ410" s="986" t="s">
        <v>725</v>
      </c>
      <c r="AK410" s="1417" t="s">
        <v>725</v>
      </c>
      <c r="AL410" s="1415">
        <v>57</v>
      </c>
      <c r="AM410" s="1324">
        <v>46087</v>
      </c>
      <c r="AN410" s="1323">
        <v>46088</v>
      </c>
      <c r="AO410" s="1323">
        <v>46089</v>
      </c>
      <c r="AP410" s="1323">
        <v>46090</v>
      </c>
      <c r="AQ410" s="1323"/>
      <c r="AR410" s="987"/>
      <c r="AS410" s="978" t="str">
        <f t="shared" si="70"/>
        <v>單</v>
      </c>
      <c r="AT410" s="978" t="str">
        <f t="shared" si="71"/>
        <v>全</v>
      </c>
      <c r="AU410" s="978">
        <f t="shared" si="72"/>
        <v>50</v>
      </c>
      <c r="AV410" s="978">
        <f t="shared" si="73"/>
        <v>1.0474894079999999</v>
      </c>
    </row>
    <row r="411" spans="1:48">
      <c r="A411" s="975">
        <f t="shared" si="76"/>
        <v>46153</v>
      </c>
      <c r="B411" s="976" t="s">
        <v>220</v>
      </c>
      <c r="C411" s="976" t="s">
        <v>632</v>
      </c>
      <c r="D411" s="1410"/>
      <c r="E411" s="977" t="str">
        <f>IFERROR(VLOOKUP(C411, [6]條件!$A:$L, 5, 0), "")</f>
        <v/>
      </c>
      <c r="F411" s="978" t="str">
        <f>IFERROR(VLOOKUP(C411, [6]條件!$A:$L, 6, 0), "")</f>
        <v/>
      </c>
      <c r="G411" s="1411" t="str">
        <f>IFERROR(VLOOKUP(C411, [6]條件!$A:$L, 7, 0), "")</f>
        <v/>
      </c>
      <c r="H411" s="978" t="str">
        <f>IF(ISNA(VLOOKUP(C411,[6]條件!$A$1:$K$932,11,0)),"",(VLOOKUP(C411,[6]條件!$A$1:$K$932,11,0)))</f>
        <v/>
      </c>
      <c r="I411" s="979" t="str">
        <f>IF(ISNA(VLOOKUP(C411,[6]條件!$A$1:$L$932,12,0)),"",(VLOOKUP(C411,[6]條件!$A$1:$L$932,12,0)))</f>
        <v/>
      </c>
      <c r="J411" s="982"/>
      <c r="K411" s="980"/>
      <c r="L411" s="981" t="s">
        <v>632</v>
      </c>
      <c r="M411" s="983"/>
      <c r="N411" s="982"/>
      <c r="O411" s="980"/>
      <c r="P411" s="981" t="s">
        <v>632</v>
      </c>
      <c r="Q411" s="983"/>
      <c r="R411" s="982"/>
      <c r="S411" s="980"/>
      <c r="T411" s="981" t="s">
        <v>632</v>
      </c>
      <c r="U411" s="983"/>
      <c r="V411" s="982"/>
      <c r="W411" s="980"/>
      <c r="X411" s="981" t="s">
        <v>632</v>
      </c>
      <c r="Y411" s="983"/>
      <c r="Z411" s="1412" t="str">
        <f>IFERROR(VLOOKUP(C411, [6]條件!$A:$L, 3, 0), "")</f>
        <v/>
      </c>
      <c r="AA411" s="984" t="str">
        <f>IF(OR(L411={"改紡","檢修","了機","清車","FINAL","停機","SAMPLE","TEST","絲開發"}), L411, IFERROR(IF(C411="", "", (SUM(J411, N411, R411, V411)/3 * AG411) * IF(AND(AF411="S", AS411="雙"), 0.5, 1)), ""))</f>
        <v>停機</v>
      </c>
      <c r="AB411" s="1413" t="str">
        <f t="shared" si="74"/>
        <v/>
      </c>
      <c r="AC411" s="984" t="str">
        <f>IF(OR(L411={"改紡","檢修","了機","清車","FINAL","停機","SAMPLE","TEST"}), "", IFERROR(IF(C411="", "", AVERAGE(L411:M411, P411:Q411, T411:U411, X411:Y411)/100), ""))</f>
        <v/>
      </c>
      <c r="AD411" s="984" t="str">
        <f t="shared" si="68"/>
        <v/>
      </c>
      <c r="AE411" s="984" t="str">
        <f t="shared" si="75"/>
        <v/>
      </c>
      <c r="AF411" s="985" t="str">
        <f t="shared" si="69"/>
        <v>A</v>
      </c>
      <c r="AG411" s="1414">
        <v>1</v>
      </c>
      <c r="AH411" s="981" t="s">
        <v>640</v>
      </c>
      <c r="AI411" s="986" t="s">
        <v>640</v>
      </c>
      <c r="AJ411" s="986" t="s">
        <v>640</v>
      </c>
      <c r="AK411" s="1417" t="s">
        <v>640</v>
      </c>
      <c r="AL411" s="1415"/>
      <c r="AM411" s="1323"/>
      <c r="AN411" s="1323"/>
      <c r="AO411" s="1323"/>
      <c r="AP411" s="1323"/>
      <c r="AQ411" s="1323"/>
      <c r="AR411" s="987"/>
      <c r="AS411" s="978" t="str">
        <f t="shared" si="70"/>
        <v>單</v>
      </c>
      <c r="AT411" s="978" t="str">
        <f t="shared" si="71"/>
        <v>全</v>
      </c>
      <c r="AU411" s="978" t="str">
        <f t="shared" si="72"/>
        <v/>
      </c>
      <c r="AV411" s="978" t="str">
        <f t="shared" si="73"/>
        <v/>
      </c>
    </row>
    <row r="412" spans="1:48">
      <c r="A412" s="975">
        <f t="shared" si="76"/>
        <v>46153</v>
      </c>
      <c r="B412" s="976" t="s">
        <v>221</v>
      </c>
      <c r="C412" s="976" t="s">
        <v>16763</v>
      </c>
      <c r="D412" s="1410"/>
      <c r="E412" s="977" t="str">
        <f>IFERROR(VLOOKUP(C412, [6]條件!$A:$L, 5, 0), "")</f>
        <v>150/48CDR</v>
      </c>
      <c r="F412" s="978" t="str">
        <f>IFERROR(VLOOKUP(C412, [6]條件!$A:$L, 6, 0), "")</f>
        <v>FP82781</v>
      </c>
      <c r="G412" s="1411">
        <f>IFERROR(VLOOKUP(C412, [6]條件!$A:$L, 7, 0), "")</f>
        <v>600</v>
      </c>
      <c r="H412" s="978" t="str">
        <f>IF(ISNA(VLOOKUP(C412,[6]條件!$A$1:$K$932,11,0)),"",(VLOOKUP(C412,[6]條件!$A$1:$K$932,11,0)))</f>
        <v>綠藍雙色</v>
      </c>
      <c r="I412" s="979">
        <f>IF(ISNA(VLOOKUP(C412,[6]條件!$A$1:$L$932,12,0)),"",(VLOOKUP(C412,[6]條件!$A$1:$L$932,12,0)))</f>
        <v>5</v>
      </c>
      <c r="J412" s="982">
        <v>13</v>
      </c>
      <c r="K412" s="980">
        <v>0</v>
      </c>
      <c r="L412" s="981">
        <v>8203</v>
      </c>
      <c r="M412" s="983">
        <v>8018</v>
      </c>
      <c r="N412" s="982">
        <v>6</v>
      </c>
      <c r="O412" s="980">
        <v>0</v>
      </c>
      <c r="P412" s="981">
        <v>8178</v>
      </c>
      <c r="Q412" s="983">
        <v>8087</v>
      </c>
      <c r="R412" s="982">
        <v>10</v>
      </c>
      <c r="S412" s="980">
        <v>0</v>
      </c>
      <c r="T412" s="981">
        <v>8128</v>
      </c>
      <c r="U412" s="983">
        <v>8038</v>
      </c>
      <c r="V412" s="982">
        <v>12</v>
      </c>
      <c r="W412" s="980">
        <v>0</v>
      </c>
      <c r="X412" s="981">
        <v>8100</v>
      </c>
      <c r="Y412" s="983">
        <v>7889</v>
      </c>
      <c r="Z412" s="1412">
        <f>IFERROR(VLOOKUP(C412, [6]條件!$A:$L, 3, 0), "")</f>
        <v>2.8685258964143427</v>
      </c>
      <c r="AA412" s="984">
        <f>IF(OR(L412={"改紡","檢修","了機","清車","FINAL","停機","SAMPLE","TEST","絲開發"}), L412, IFERROR(IF(C412="", "", (SUM(J412, N412, R412, V412)/3 * AG412) * IF(AND(AF412="S", AS412="雙"), 0.5, 1)), ""))</f>
        <v>13.666666666666666</v>
      </c>
      <c r="AB412" s="1413">
        <f t="shared" si="74"/>
        <v>1</v>
      </c>
      <c r="AC412" s="984">
        <f>IF(OR(L412={"改紡","檢修","了機","清車","FINAL","停機","SAMPLE","TEST"}), "", IFERROR(IF(C412="", "", AVERAGE(L412:M412, P412:Q412, T412:U412, X412:Y412)/100), ""))</f>
        <v>80.801249999999996</v>
      </c>
      <c r="AD412" s="984">
        <f t="shared" si="68"/>
        <v>1.7083333333333333</v>
      </c>
      <c r="AE412" s="984">
        <f t="shared" si="75"/>
        <v>1.7083333333333333</v>
      </c>
      <c r="AF412" s="985" t="str">
        <f t="shared" si="69"/>
        <v>A</v>
      </c>
      <c r="AG412" s="1414">
        <v>1</v>
      </c>
      <c r="AH412" s="981" t="s">
        <v>629</v>
      </c>
      <c r="AI412" s="986" t="s">
        <v>629</v>
      </c>
      <c r="AJ412" s="986" t="s">
        <v>725</v>
      </c>
      <c r="AK412" s="1417" t="s">
        <v>725</v>
      </c>
      <c r="AL412" s="1415">
        <v>54</v>
      </c>
      <c r="AM412" s="1323">
        <v>46149</v>
      </c>
      <c r="AN412" s="1323">
        <v>46150</v>
      </c>
      <c r="AO412" s="1323">
        <v>46151</v>
      </c>
      <c r="AP412" s="1323">
        <v>46152</v>
      </c>
      <c r="AQ412" s="1323"/>
      <c r="AR412" s="987"/>
      <c r="AS412" s="978" t="str">
        <f t="shared" si="70"/>
        <v>單</v>
      </c>
      <c r="AT412" s="978" t="str">
        <f t="shared" si="71"/>
        <v>全</v>
      </c>
      <c r="AU412" s="978">
        <f t="shared" si="72"/>
        <v>150</v>
      </c>
      <c r="AV412" s="978">
        <f t="shared" si="73"/>
        <v>2.5132420799999999</v>
      </c>
    </row>
    <row r="413" spans="1:48">
      <c r="A413" s="975">
        <f t="shared" si="76"/>
        <v>46153</v>
      </c>
      <c r="B413" s="976" t="s">
        <v>222</v>
      </c>
      <c r="C413" s="976" t="s">
        <v>632</v>
      </c>
      <c r="D413" s="1410"/>
      <c r="E413" s="977" t="str">
        <f>IFERROR(VLOOKUP(C413, [6]條件!$A:$L, 5, 0), "")</f>
        <v/>
      </c>
      <c r="F413" s="978" t="str">
        <f>IFERROR(VLOOKUP(C413, [6]條件!$A:$L, 6, 0), "")</f>
        <v/>
      </c>
      <c r="G413" s="1411" t="str">
        <f>IFERROR(VLOOKUP(C413, [6]條件!$A:$L, 7, 0), "")</f>
        <v/>
      </c>
      <c r="H413" s="978" t="str">
        <f>IF(ISNA(VLOOKUP(C413,[6]條件!$A$1:$K$932,11,0)),"",(VLOOKUP(C413,[6]條件!$A$1:$K$932,11,0)))</f>
        <v/>
      </c>
      <c r="I413" s="979" t="str">
        <f>IF(ISNA(VLOOKUP(C413,[6]條件!$A$1:$L$932,12,0)),"",(VLOOKUP(C413,[6]條件!$A$1:$L$932,12,0)))</f>
        <v/>
      </c>
      <c r="J413" s="982"/>
      <c r="K413" s="980"/>
      <c r="L413" s="981" t="s">
        <v>632</v>
      </c>
      <c r="M413" s="983"/>
      <c r="N413" s="982"/>
      <c r="O413" s="980"/>
      <c r="P413" s="981" t="s">
        <v>632</v>
      </c>
      <c r="Q413" s="983"/>
      <c r="R413" s="982"/>
      <c r="S413" s="980"/>
      <c r="T413" s="981" t="s">
        <v>632</v>
      </c>
      <c r="U413" s="983"/>
      <c r="V413" s="982"/>
      <c r="W413" s="980"/>
      <c r="X413" s="981" t="s">
        <v>632</v>
      </c>
      <c r="Y413" s="983"/>
      <c r="Z413" s="1412" t="str">
        <f>IFERROR(VLOOKUP(C413, [6]條件!$A:$L, 3, 0), "")</f>
        <v/>
      </c>
      <c r="AA413" s="984" t="str">
        <f>IF(OR(L413={"改紡","檢修","了機","清車","FINAL","停機","SAMPLE","TEST","絲開發"}), L413, IFERROR(IF(C413="", "", (SUM(J413, N413, R413, V413)/3 * AG413) * IF(AND(AF413="S", AS413="雙"), 0.5, 1)), ""))</f>
        <v>停機</v>
      </c>
      <c r="AB413" s="1413" t="str">
        <f t="shared" si="74"/>
        <v/>
      </c>
      <c r="AC413" s="984" t="str">
        <f>IF(OR(L413={"改紡","檢修","了機","清車","FINAL","停機","SAMPLE","TEST"}), "", IFERROR(IF(C413="", "", AVERAGE(L413:M413, P413:Q413, T413:U413, X413:Y413)/100), ""))</f>
        <v/>
      </c>
      <c r="AD413" s="984" t="str">
        <f t="shared" si="68"/>
        <v/>
      </c>
      <c r="AE413" s="984" t="str">
        <f t="shared" si="75"/>
        <v/>
      </c>
      <c r="AF413" s="985" t="str">
        <f t="shared" si="69"/>
        <v>A</v>
      </c>
      <c r="AG413" s="1414">
        <v>1</v>
      </c>
      <c r="AH413" s="981" t="s">
        <v>640</v>
      </c>
      <c r="AI413" s="986" t="s">
        <v>640</v>
      </c>
      <c r="AJ413" s="986" t="s">
        <v>640</v>
      </c>
      <c r="AK413" s="1417" t="s">
        <v>640</v>
      </c>
      <c r="AL413" s="1415"/>
      <c r="AM413" s="1323"/>
      <c r="AN413" s="1323"/>
      <c r="AO413" s="1323"/>
      <c r="AP413" s="1323"/>
      <c r="AQ413" s="1323"/>
      <c r="AR413" s="987"/>
      <c r="AS413" s="978" t="str">
        <f t="shared" si="70"/>
        <v>單</v>
      </c>
      <c r="AT413" s="978" t="str">
        <f t="shared" si="71"/>
        <v>全</v>
      </c>
      <c r="AU413" s="978" t="str">
        <f t="shared" si="72"/>
        <v/>
      </c>
      <c r="AV413" s="978" t="str">
        <f t="shared" si="73"/>
        <v/>
      </c>
    </row>
    <row r="414" spans="1:48">
      <c r="A414" s="975">
        <f t="shared" si="76"/>
        <v>46153</v>
      </c>
      <c r="B414" s="976" t="s">
        <v>223</v>
      </c>
      <c r="C414" s="976" t="s">
        <v>632</v>
      </c>
      <c r="D414" s="1410"/>
      <c r="E414" s="977" t="str">
        <f>IFERROR(VLOOKUP(C414, [6]條件!$A:$L, 5, 0), "")</f>
        <v/>
      </c>
      <c r="F414" s="978" t="str">
        <f>IFERROR(VLOOKUP(C414, [6]條件!$A:$L, 6, 0), "")</f>
        <v/>
      </c>
      <c r="G414" s="1411" t="str">
        <f>IFERROR(VLOOKUP(C414, [6]條件!$A:$L, 7, 0), "")</f>
        <v/>
      </c>
      <c r="H414" s="978" t="str">
        <f>IF(ISNA(VLOOKUP(C414,[6]條件!$A$1:$K$932,11,0)),"",(VLOOKUP(C414,[6]條件!$A$1:$K$932,11,0)))</f>
        <v/>
      </c>
      <c r="I414" s="979" t="str">
        <f>IF(ISNA(VLOOKUP(C414,[6]條件!$A$1:$L$932,12,0)),"",(VLOOKUP(C414,[6]條件!$A$1:$L$932,12,0)))</f>
        <v/>
      </c>
      <c r="J414" s="982"/>
      <c r="K414" s="980"/>
      <c r="L414" s="981" t="s">
        <v>632</v>
      </c>
      <c r="M414" s="983"/>
      <c r="N414" s="982"/>
      <c r="O414" s="980"/>
      <c r="P414" s="981" t="s">
        <v>632</v>
      </c>
      <c r="Q414" s="983"/>
      <c r="R414" s="982"/>
      <c r="S414" s="980"/>
      <c r="T414" s="981" t="s">
        <v>632</v>
      </c>
      <c r="U414" s="983"/>
      <c r="V414" s="982"/>
      <c r="W414" s="980"/>
      <c r="X414" s="981" t="s">
        <v>632</v>
      </c>
      <c r="Y414" s="983"/>
      <c r="Z414" s="1412" t="str">
        <f>IFERROR(VLOOKUP(C414, [6]條件!$A:$L, 3, 0), "")</f>
        <v/>
      </c>
      <c r="AA414" s="984" t="str">
        <f>IF(OR(L414={"改紡","檢修","了機","清車","FINAL","停機","SAMPLE","TEST","絲開發"}), L414, IFERROR(IF(C414="", "", (SUM(J414, N414, R414, V414)/3 * AG414) * IF(AND(AF414="S", AS414="雙"), 0.5, 1)), ""))</f>
        <v>停機</v>
      </c>
      <c r="AB414" s="1413" t="str">
        <f t="shared" si="74"/>
        <v/>
      </c>
      <c r="AC414" s="984" t="str">
        <f>IF(OR(L414={"改紡","檢修","了機","清車","FINAL","停機","SAMPLE","TEST"}), "", IFERROR(IF(C414="", "", AVERAGE(L414:M414, P414:Q414, T414:U414, X414:Y414)/100), ""))</f>
        <v/>
      </c>
      <c r="AD414" s="984" t="str">
        <f t="shared" si="68"/>
        <v/>
      </c>
      <c r="AE414" s="984" t="str">
        <f t="shared" si="75"/>
        <v/>
      </c>
      <c r="AF414" s="985" t="str">
        <f t="shared" si="69"/>
        <v>A</v>
      </c>
      <c r="AG414" s="1414">
        <v>1</v>
      </c>
      <c r="AH414" s="981" t="s">
        <v>640</v>
      </c>
      <c r="AI414" s="986" t="s">
        <v>640</v>
      </c>
      <c r="AJ414" s="986" t="s">
        <v>640</v>
      </c>
      <c r="AK414" s="1417" t="s">
        <v>640</v>
      </c>
      <c r="AL414" s="1415"/>
      <c r="AM414" s="1324"/>
      <c r="AN414" s="1323"/>
      <c r="AO414" s="1323"/>
      <c r="AP414" s="1323"/>
      <c r="AQ414" s="1323"/>
      <c r="AR414" s="987"/>
      <c r="AS414" s="978" t="str">
        <f t="shared" si="70"/>
        <v>單</v>
      </c>
      <c r="AT414" s="978" t="str">
        <f t="shared" si="71"/>
        <v>全</v>
      </c>
      <c r="AU414" s="978" t="str">
        <f t="shared" si="72"/>
        <v/>
      </c>
      <c r="AV414" s="978" t="str">
        <f t="shared" si="73"/>
        <v/>
      </c>
    </row>
    <row r="415" spans="1:48">
      <c r="A415" s="975">
        <f t="shared" si="76"/>
        <v>46153</v>
      </c>
      <c r="B415" s="976" t="s">
        <v>224</v>
      </c>
      <c r="C415" s="976" t="s">
        <v>16734</v>
      </c>
      <c r="D415" s="1410" t="s">
        <v>633</v>
      </c>
      <c r="E415" s="977" t="str">
        <f>IFERROR(VLOOKUP(C415, [6]條件!$A:$L, 5, 0), "")</f>
        <v>75/24/2SDr</v>
      </c>
      <c r="F415" s="978" t="str">
        <f>IFERROR(VLOOKUP(C415, [6]條件!$A:$L, 6, 0), "")</f>
        <v>FP81382R×2</v>
      </c>
      <c r="G415" s="1411">
        <f>IFERROR(VLOOKUP(C415, [6]條件!$A:$L, 7, 0), "")</f>
        <v>700</v>
      </c>
      <c r="H415" s="978" t="str">
        <f>IF(ISNA(VLOOKUP(C415,[6]條件!$A$1:$K$932,11,0)),"",(VLOOKUP(C415,[6]條件!$A$1:$K$932,11,0)))</f>
        <v>白底紫三角</v>
      </c>
      <c r="I415" s="979">
        <f>IF(ISNA(VLOOKUP(C415,[6]條件!$A$1:$L$932,12,0)),"",(VLOOKUP(C415,[6]條件!$A$1:$L$932,12,0)))</f>
        <v>5</v>
      </c>
      <c r="J415" s="982">
        <v>32</v>
      </c>
      <c r="K415" s="980">
        <v>8</v>
      </c>
      <c r="L415" s="981">
        <v>9388</v>
      </c>
      <c r="M415" s="983">
        <v>8167</v>
      </c>
      <c r="N415" s="982">
        <v>18</v>
      </c>
      <c r="O415" s="980">
        <v>2</v>
      </c>
      <c r="P415" s="981">
        <v>9157</v>
      </c>
      <c r="Q415" s="983">
        <v>8222</v>
      </c>
      <c r="R415" s="982">
        <v>18</v>
      </c>
      <c r="S415" s="980">
        <v>0</v>
      </c>
      <c r="T415" s="981">
        <v>9015</v>
      </c>
      <c r="U415" s="983">
        <v>8236</v>
      </c>
      <c r="V415" s="982">
        <v>30</v>
      </c>
      <c r="W415" s="980">
        <v>0</v>
      </c>
      <c r="X415" s="981">
        <v>9176</v>
      </c>
      <c r="Y415" s="983">
        <v>8366</v>
      </c>
      <c r="Z415" s="1412">
        <f>IFERROR(VLOOKUP(C415, [6]條件!$A:$L, 3, 0), "")</f>
        <v>3.2653061224489797</v>
      </c>
      <c r="AA415" s="984">
        <f>IF(OR(L415={"改紡","檢修","了機","清車","FINAL","停機","SAMPLE","TEST","絲開發"}), L415, IFERROR(IF(C415="", "", (SUM(J415, N415, R415, V415)/3 * AG415) * IF(AND(AF415="S", AS415="雙"), 0.5, 1)), ""))</f>
        <v>16.333333333333332</v>
      </c>
      <c r="AB415" s="1413">
        <f t="shared" si="74"/>
        <v>0.98527644230769229</v>
      </c>
      <c r="AC415" s="984">
        <f>IF(OR(L415={"改紡","檢修","了機","清車","FINAL","停機","SAMPLE","TEST"}), "", IFERROR(IF(C415="", "", AVERAGE(L415:M415, P415:Q415, T415:U415, X415:Y415)/100), ""))</f>
        <v>87.158749999999998</v>
      </c>
      <c r="AD415" s="984">
        <f t="shared" si="68"/>
        <v>2.0416666666666665</v>
      </c>
      <c r="AE415" s="984">
        <f t="shared" si="75"/>
        <v>1.8333333333333333</v>
      </c>
      <c r="AF415" s="985" t="str">
        <f t="shared" si="69"/>
        <v>A</v>
      </c>
      <c r="AG415" s="1414">
        <v>0.5</v>
      </c>
      <c r="AH415" s="981" t="s">
        <v>16154</v>
      </c>
      <c r="AI415" s="986" t="s">
        <v>16154</v>
      </c>
      <c r="AJ415" s="986" t="s">
        <v>634</v>
      </c>
      <c r="AK415" s="1417" t="s">
        <v>634</v>
      </c>
      <c r="AL415" s="1415">
        <v>50</v>
      </c>
      <c r="AM415" s="1323">
        <v>46107</v>
      </c>
      <c r="AN415" s="1323">
        <v>46108</v>
      </c>
      <c r="AO415" s="1323">
        <v>46109</v>
      </c>
      <c r="AP415" s="1323"/>
      <c r="AQ415" s="1323"/>
      <c r="AR415" s="987"/>
      <c r="AS415" s="978" t="str">
        <f t="shared" si="70"/>
        <v>雙</v>
      </c>
      <c r="AT415" s="978" t="str">
        <f t="shared" si="71"/>
        <v>全</v>
      </c>
      <c r="AU415" s="978">
        <f t="shared" si="72"/>
        <v>75</v>
      </c>
      <c r="AV415" s="978">
        <f t="shared" si="73"/>
        <v>1.5814083600000002</v>
      </c>
    </row>
    <row r="416" spans="1:48">
      <c r="A416" s="975">
        <f t="shared" si="76"/>
        <v>46153</v>
      </c>
      <c r="B416" s="976" t="s">
        <v>225</v>
      </c>
      <c r="C416" s="976" t="s">
        <v>16747</v>
      </c>
      <c r="D416" s="1410"/>
      <c r="E416" s="977" t="str">
        <f>IFERROR(VLOOKUP(C416, [6]條件!$A:$L, 5, 0), "")</f>
        <v>150/48SDR</v>
      </c>
      <c r="F416" s="978" t="str">
        <f>IFERROR(VLOOKUP(C416, [6]條件!$A:$L, 6, 0), "")</f>
        <v>FP82169R</v>
      </c>
      <c r="G416" s="1411">
        <f>IFERROR(VLOOKUP(C416, [6]條件!$A:$L, 7, 0), "")</f>
        <v>650</v>
      </c>
      <c r="H416" s="978" t="str">
        <f>IF(ISNA(VLOOKUP(C416,[6]條件!$A$1:$K$932,11,0)),"",(VLOOKUP(C416,[6]條件!$A$1:$K$932,11,0)))</f>
        <v>綠藍三角</v>
      </c>
      <c r="I416" s="979">
        <f>IF(ISNA(VLOOKUP(C416,[6]條件!$A$1:$L$932,12,0)),"",(VLOOKUP(C416,[6]條件!$A$1:$L$932,12,0)))</f>
        <v>5</v>
      </c>
      <c r="J416" s="982">
        <v>15</v>
      </c>
      <c r="K416" s="980">
        <v>0</v>
      </c>
      <c r="L416" s="981">
        <v>9259</v>
      </c>
      <c r="M416" s="983">
        <v>8922</v>
      </c>
      <c r="N416" s="982">
        <v>11</v>
      </c>
      <c r="O416" s="980">
        <v>0</v>
      </c>
      <c r="P416" s="981">
        <v>9325</v>
      </c>
      <c r="Q416" s="983">
        <v>8928</v>
      </c>
      <c r="R416" s="982">
        <v>6</v>
      </c>
      <c r="S416" s="980">
        <v>0</v>
      </c>
      <c r="T416" s="981">
        <v>9384</v>
      </c>
      <c r="U416" s="983">
        <v>8949</v>
      </c>
      <c r="V416" s="982">
        <v>18</v>
      </c>
      <c r="W416" s="980">
        <v>2</v>
      </c>
      <c r="X416" s="981">
        <v>9276</v>
      </c>
      <c r="Y416" s="983">
        <v>8905</v>
      </c>
      <c r="Z416" s="1412">
        <f>IFERROR(VLOOKUP(C416, [6]條件!$A:$L, 3, 0), "")</f>
        <v>3.0573248407643314</v>
      </c>
      <c r="AA416" s="984">
        <f>IF(OR(L416={"改紡","檢修","了機","清車","FINAL","停機","SAMPLE","TEST","絲開發"}), L416, IFERROR(IF(C416="", "", (SUM(J416, N416, R416, V416)/3 * AG416) * IF(AND(AF416="S", AS416="雙"), 0.5, 1)), ""))</f>
        <v>16.666666666666668</v>
      </c>
      <c r="AB416" s="1413">
        <f t="shared" si="74"/>
        <v>0.99685496794871797</v>
      </c>
      <c r="AC416" s="984">
        <f>IF(OR(L416={"改紡","檢修","了機","清車","FINAL","停機","SAMPLE","TEST"}), "", IFERROR(IF(C416="", "", AVERAGE(L416:M416, P416:Q416, T416:U416, X416:Y416)/100), ""))</f>
        <v>91.185000000000002</v>
      </c>
      <c r="AD416" s="984">
        <f t="shared" si="68"/>
        <v>2.0833333333333335</v>
      </c>
      <c r="AE416" s="984">
        <f t="shared" si="75"/>
        <v>2</v>
      </c>
      <c r="AF416" s="985" t="str">
        <f t="shared" si="69"/>
        <v>A</v>
      </c>
      <c r="AG416" s="1414">
        <v>1</v>
      </c>
      <c r="AH416" s="981" t="s">
        <v>814</v>
      </c>
      <c r="AI416" s="986" t="s">
        <v>814</v>
      </c>
      <c r="AJ416" s="986" t="s">
        <v>815</v>
      </c>
      <c r="AK416" s="1417" t="s">
        <v>815</v>
      </c>
      <c r="AL416" s="1415">
        <v>48</v>
      </c>
      <c r="AM416" s="1323">
        <v>46149</v>
      </c>
      <c r="AN416" s="1323">
        <v>46150</v>
      </c>
      <c r="AO416" s="1323">
        <v>46151</v>
      </c>
      <c r="AP416" s="1323"/>
      <c r="AQ416" s="1323"/>
      <c r="AR416" s="987"/>
      <c r="AS416" s="978" t="str">
        <f t="shared" si="70"/>
        <v>單</v>
      </c>
      <c r="AT416" s="978" t="str">
        <f t="shared" si="71"/>
        <v>全</v>
      </c>
      <c r="AU416" s="978">
        <f t="shared" si="72"/>
        <v>150</v>
      </c>
      <c r="AV416" s="978">
        <f t="shared" si="73"/>
        <v>3.0725697600000004</v>
      </c>
    </row>
    <row r="417" spans="1:48">
      <c r="A417" s="975">
        <f t="shared" si="76"/>
        <v>46153</v>
      </c>
      <c r="B417" s="976" t="s">
        <v>226</v>
      </c>
      <c r="C417" s="976" t="s">
        <v>632</v>
      </c>
      <c r="D417" s="1410"/>
      <c r="E417" s="977" t="str">
        <f>IFERROR(VLOOKUP(C417, [6]條件!$A:$L, 5, 0), "")</f>
        <v/>
      </c>
      <c r="F417" s="978" t="str">
        <f>IFERROR(VLOOKUP(C417, [6]條件!$A:$L, 6, 0), "")</f>
        <v/>
      </c>
      <c r="G417" s="1411" t="str">
        <f>IFERROR(VLOOKUP(C417, [6]條件!$A:$L, 7, 0), "")</f>
        <v/>
      </c>
      <c r="H417" s="978" t="str">
        <f>IF(ISNA(VLOOKUP(C417,[6]條件!$A$1:$K$932,11,0)),"",(VLOOKUP(C417,[6]條件!$A$1:$K$932,11,0)))</f>
        <v/>
      </c>
      <c r="I417" s="979" t="str">
        <f>IF(ISNA(VLOOKUP(C417,[6]條件!$A$1:$L$932,12,0)),"",(VLOOKUP(C417,[6]條件!$A$1:$L$932,12,0)))</f>
        <v/>
      </c>
      <c r="J417" s="982"/>
      <c r="K417" s="980"/>
      <c r="L417" s="981" t="s">
        <v>632</v>
      </c>
      <c r="M417" s="983"/>
      <c r="N417" s="982"/>
      <c r="O417" s="980"/>
      <c r="P417" s="981" t="s">
        <v>632</v>
      </c>
      <c r="Q417" s="983"/>
      <c r="R417" s="982"/>
      <c r="S417" s="980"/>
      <c r="T417" s="981" t="s">
        <v>632</v>
      </c>
      <c r="U417" s="983"/>
      <c r="V417" s="982"/>
      <c r="W417" s="980"/>
      <c r="X417" s="981" t="s">
        <v>632</v>
      </c>
      <c r="Y417" s="983"/>
      <c r="Z417" s="1412" t="str">
        <f>IFERROR(VLOOKUP(C417, [6]條件!$A:$L, 3, 0), "")</f>
        <v/>
      </c>
      <c r="AA417" s="984" t="str">
        <f>IF(OR(L417={"改紡","檢修","了機","清車","FINAL","停機","SAMPLE","TEST","絲開發"}), L417, IFERROR(IF(C417="", "", (SUM(J417, N417, R417, V417)/3 * AG417) * IF(AND(AF417="S", AS417="雙"), 0.5, 1)), ""))</f>
        <v>停機</v>
      </c>
      <c r="AB417" s="1413" t="str">
        <f t="shared" si="74"/>
        <v/>
      </c>
      <c r="AC417" s="984" t="str">
        <f>IF(OR(L417={"改紡","檢修","了機","清車","FINAL","停機","SAMPLE","TEST"}), "", IFERROR(IF(C417="", "", AVERAGE(L417:M417, P417:Q417, T417:U417, X417:Y417)/100), ""))</f>
        <v/>
      </c>
      <c r="AD417" s="984" t="str">
        <f t="shared" si="68"/>
        <v/>
      </c>
      <c r="AE417" s="984" t="str">
        <f t="shared" si="75"/>
        <v/>
      </c>
      <c r="AF417" s="985" t="str">
        <f t="shared" si="69"/>
        <v>A</v>
      </c>
      <c r="AG417" s="1414">
        <v>1</v>
      </c>
      <c r="AH417" s="981" t="s">
        <v>640</v>
      </c>
      <c r="AI417" s="986" t="s">
        <v>640</v>
      </c>
      <c r="AJ417" s="986" t="s">
        <v>640</v>
      </c>
      <c r="AK417" s="1417" t="s">
        <v>640</v>
      </c>
      <c r="AL417" s="1415"/>
      <c r="AM417" s="1323"/>
      <c r="AN417" s="1323"/>
      <c r="AO417" s="1323"/>
      <c r="AP417" s="1323"/>
      <c r="AQ417" s="1323"/>
      <c r="AR417" s="987"/>
      <c r="AS417" s="978" t="str">
        <f t="shared" si="70"/>
        <v>單</v>
      </c>
      <c r="AT417" s="978" t="str">
        <f t="shared" si="71"/>
        <v>全</v>
      </c>
      <c r="AU417" s="978" t="str">
        <f t="shared" si="72"/>
        <v/>
      </c>
      <c r="AV417" s="978" t="str">
        <f t="shared" si="73"/>
        <v/>
      </c>
    </row>
    <row r="418" spans="1:48">
      <c r="A418" s="975">
        <f t="shared" si="76"/>
        <v>46153</v>
      </c>
      <c r="B418" s="976" t="s">
        <v>227</v>
      </c>
      <c r="C418" s="976" t="s">
        <v>16712</v>
      </c>
      <c r="D418" s="1410"/>
      <c r="E418" s="977" t="str">
        <f>IFERROR(VLOOKUP(C418, [6]條件!$A:$L, 5, 0), "")</f>
        <v>100/36SDr</v>
      </c>
      <c r="F418" s="978" t="str">
        <f>IFERROR(VLOOKUP(C418, [6]條件!$A:$L, 6, 0), "")</f>
        <v>FP81384R</v>
      </c>
      <c r="G418" s="1411">
        <f>IFERROR(VLOOKUP(C418, [6]條件!$A:$L, 7, 0), "")</f>
        <v>700</v>
      </c>
      <c r="H418" s="978" t="str">
        <f>IF(ISNA(VLOOKUP(C418,[6]條件!$A$1:$K$932,11,0)),"",(VLOOKUP(C418,[6]條件!$A$1:$K$932,11,0)))</f>
        <v>白底紅三角</v>
      </c>
      <c r="I418" s="979">
        <f>IF(ISNA(VLOOKUP(C418,[6]條件!$A$1:$L$932,12,0)),"",(VLOOKUP(C418,[6]條件!$A$1:$L$932,12,0)))</f>
        <v>5</v>
      </c>
      <c r="J418" s="982">
        <v>16</v>
      </c>
      <c r="K418" s="980">
        <v>0</v>
      </c>
      <c r="L418" s="981">
        <v>7661</v>
      </c>
      <c r="M418" s="983">
        <v>8061</v>
      </c>
      <c r="N418" s="982">
        <v>10</v>
      </c>
      <c r="O418" s="980">
        <v>0</v>
      </c>
      <c r="P418" s="981">
        <v>7120</v>
      </c>
      <c r="Q418" s="983">
        <v>7905</v>
      </c>
      <c r="R418" s="982">
        <v>21</v>
      </c>
      <c r="S418" s="980">
        <v>0</v>
      </c>
      <c r="T418" s="981">
        <v>7237</v>
      </c>
      <c r="U418" s="983">
        <v>8001</v>
      </c>
      <c r="V418" s="982">
        <v>19</v>
      </c>
      <c r="W418" s="980">
        <v>1</v>
      </c>
      <c r="X418" s="981">
        <v>7937</v>
      </c>
      <c r="Y418" s="983">
        <v>8105</v>
      </c>
      <c r="Z418" s="1412">
        <f>IFERROR(VLOOKUP(C418, [6]條件!$A:$L, 3, 0), "")</f>
        <v>2.2187981510015407</v>
      </c>
      <c r="AA418" s="984">
        <f>IF(OR(L418={"改紡","檢修","了機","清車","FINAL","停機","SAMPLE","TEST","絲開發"}), L418, IFERROR(IF(C418="", "", (SUM(J418, N418, R418, V418)/3 * AG418) * IF(AND(AF418="S", AS418="雙"), 0.5, 1)), ""))</f>
        <v>22</v>
      </c>
      <c r="AB418" s="1413">
        <f t="shared" si="74"/>
        <v>0.99783319978632479</v>
      </c>
      <c r="AC418" s="984">
        <f>IF(OR(L418={"改紡","檢修","了機","清車","FINAL","停機","SAMPLE","TEST"}), "", IFERROR(IF(C418="", "", AVERAGE(L418:M418, P418:Q418, T418:U418, X418:Y418)/100), ""))</f>
        <v>77.533749999999998</v>
      </c>
      <c r="AD418" s="984">
        <f t="shared" si="68"/>
        <v>2.75</v>
      </c>
      <c r="AE418" s="984">
        <f t="shared" si="75"/>
        <v>2.7083333333333335</v>
      </c>
      <c r="AF418" s="985" t="str">
        <f t="shared" si="69"/>
        <v>A</v>
      </c>
      <c r="AG418" s="1414">
        <v>1</v>
      </c>
      <c r="AH418" s="981" t="s">
        <v>16154</v>
      </c>
      <c r="AI418" s="986" t="s">
        <v>16154</v>
      </c>
      <c r="AJ418" s="986" t="s">
        <v>725</v>
      </c>
      <c r="AK418" s="1417" t="s">
        <v>725</v>
      </c>
      <c r="AL418" s="1415">
        <v>50</v>
      </c>
      <c r="AM418" s="1323">
        <v>46140</v>
      </c>
      <c r="AN418" s="1323">
        <v>46141</v>
      </c>
      <c r="AO418" s="1323">
        <v>46142</v>
      </c>
      <c r="AP418" s="1323"/>
      <c r="AQ418" s="1323"/>
      <c r="AR418" s="987"/>
      <c r="AS418" s="978" t="str">
        <f t="shared" si="70"/>
        <v>單</v>
      </c>
      <c r="AT418" s="978" t="str">
        <f t="shared" si="71"/>
        <v>全</v>
      </c>
      <c r="AU418" s="978">
        <f t="shared" si="72"/>
        <v>100</v>
      </c>
      <c r="AV418" s="978">
        <f t="shared" si="73"/>
        <v>1.87569648</v>
      </c>
    </row>
    <row r="419" spans="1:48">
      <c r="A419" s="975">
        <f t="shared" si="76"/>
        <v>46153</v>
      </c>
      <c r="B419" s="976" t="s">
        <v>228</v>
      </c>
      <c r="C419" s="976" t="s">
        <v>632</v>
      </c>
      <c r="D419" s="1410"/>
      <c r="E419" s="977" t="str">
        <f>IFERROR(VLOOKUP(C419, [6]條件!$A:$L, 5, 0), "")</f>
        <v/>
      </c>
      <c r="F419" s="978" t="str">
        <f>IFERROR(VLOOKUP(C419, [6]條件!$A:$L, 6, 0), "")</f>
        <v/>
      </c>
      <c r="G419" s="1411" t="str">
        <f>IFERROR(VLOOKUP(C419, [6]條件!$A:$L, 7, 0), "")</f>
        <v/>
      </c>
      <c r="H419" s="978" t="str">
        <f>IF(ISNA(VLOOKUP(C419,[6]條件!$A$1:$K$932,11,0)),"",(VLOOKUP(C419,[6]條件!$A$1:$K$932,11,0)))</f>
        <v/>
      </c>
      <c r="I419" s="979" t="str">
        <f>IF(ISNA(VLOOKUP(C419,[6]條件!$A$1:$L$932,12,0)),"",(VLOOKUP(C419,[6]條件!$A$1:$L$932,12,0)))</f>
        <v/>
      </c>
      <c r="J419" s="982"/>
      <c r="K419" s="980"/>
      <c r="L419" s="981" t="s">
        <v>632</v>
      </c>
      <c r="M419" s="983"/>
      <c r="N419" s="982"/>
      <c r="O419" s="980"/>
      <c r="P419" s="981" t="s">
        <v>632</v>
      </c>
      <c r="Q419" s="983"/>
      <c r="R419" s="982"/>
      <c r="S419" s="980"/>
      <c r="T419" s="981" t="s">
        <v>632</v>
      </c>
      <c r="U419" s="983"/>
      <c r="V419" s="982"/>
      <c r="W419" s="980"/>
      <c r="X419" s="981" t="s">
        <v>632</v>
      </c>
      <c r="Y419" s="983"/>
      <c r="Z419" s="1412" t="str">
        <f>IFERROR(VLOOKUP(C419, [6]條件!$A:$L, 3, 0), "")</f>
        <v/>
      </c>
      <c r="AA419" s="984" t="str">
        <f>IF(OR(L419={"改紡","檢修","了機","清車","FINAL","停機","SAMPLE","TEST","絲開發"}), L419, IFERROR(IF(C419="", "", (SUM(J419, N419, R419, V419)/3 * AG419) * IF(AND(AF419="S", AS419="雙"), 0.5, 1)), ""))</f>
        <v>停機</v>
      </c>
      <c r="AB419" s="1413" t="str">
        <f t="shared" si="74"/>
        <v/>
      </c>
      <c r="AC419" s="984" t="str">
        <f>IF(OR(L419={"改紡","檢修","了機","清車","FINAL","停機","SAMPLE","TEST"}), "", IFERROR(IF(C419="", "", AVERAGE(L419:M419, P419:Q419, T419:U419, X419:Y419)/100), ""))</f>
        <v/>
      </c>
      <c r="AD419" s="984" t="str">
        <f t="shared" si="68"/>
        <v/>
      </c>
      <c r="AE419" s="984" t="str">
        <f t="shared" si="75"/>
        <v/>
      </c>
      <c r="AF419" s="985" t="str">
        <f t="shared" si="69"/>
        <v>A</v>
      </c>
      <c r="AG419" s="1414">
        <v>1</v>
      </c>
      <c r="AH419" s="981" t="s">
        <v>640</v>
      </c>
      <c r="AI419" s="986" t="s">
        <v>640</v>
      </c>
      <c r="AJ419" s="986" t="s">
        <v>640</v>
      </c>
      <c r="AK419" s="1417" t="s">
        <v>640</v>
      </c>
      <c r="AL419" s="1420"/>
      <c r="AM419" s="1323"/>
      <c r="AN419" s="1323"/>
      <c r="AO419" s="1323"/>
      <c r="AP419" s="1323"/>
      <c r="AQ419" s="1323"/>
      <c r="AR419" s="987"/>
      <c r="AS419" s="978" t="str">
        <f t="shared" si="70"/>
        <v>單</v>
      </c>
      <c r="AT419" s="978" t="str">
        <f t="shared" si="71"/>
        <v>全</v>
      </c>
      <c r="AU419" s="978" t="str">
        <f t="shared" si="72"/>
        <v/>
      </c>
      <c r="AV419" s="978" t="str">
        <f t="shared" si="73"/>
        <v/>
      </c>
    </row>
    <row r="420" spans="1:48">
      <c r="A420" s="975">
        <f t="shared" si="76"/>
        <v>46153</v>
      </c>
      <c r="B420" s="976" t="s">
        <v>229</v>
      </c>
      <c r="C420" s="976" t="s">
        <v>632</v>
      </c>
      <c r="D420" s="1410"/>
      <c r="E420" s="977" t="str">
        <f>IFERROR(VLOOKUP(C420, [6]條件!$A:$L, 5, 0), "")</f>
        <v/>
      </c>
      <c r="F420" s="978" t="str">
        <f>IFERROR(VLOOKUP(C420, [6]條件!$A:$L, 6, 0), "")</f>
        <v/>
      </c>
      <c r="G420" s="1411" t="str">
        <f>IFERROR(VLOOKUP(C420, [6]條件!$A:$L, 7, 0), "")</f>
        <v/>
      </c>
      <c r="H420" s="978" t="str">
        <f>IF(ISNA(VLOOKUP(C420,[6]條件!$A$1:$K$932,11,0)),"",(VLOOKUP(C420,[6]條件!$A$1:$K$932,11,0)))</f>
        <v/>
      </c>
      <c r="I420" s="979" t="str">
        <f>IF(ISNA(VLOOKUP(C420,[6]條件!$A$1:$L$932,12,0)),"",(VLOOKUP(C420,[6]條件!$A$1:$L$932,12,0)))</f>
        <v/>
      </c>
      <c r="J420" s="982"/>
      <c r="K420" s="980"/>
      <c r="L420" s="981" t="s">
        <v>632</v>
      </c>
      <c r="M420" s="983"/>
      <c r="N420" s="982"/>
      <c r="O420" s="980"/>
      <c r="P420" s="981" t="s">
        <v>632</v>
      </c>
      <c r="Q420" s="983"/>
      <c r="R420" s="982"/>
      <c r="S420" s="980"/>
      <c r="T420" s="981" t="s">
        <v>632</v>
      </c>
      <c r="U420" s="983"/>
      <c r="V420" s="982"/>
      <c r="W420" s="980"/>
      <c r="X420" s="981" t="s">
        <v>632</v>
      </c>
      <c r="Y420" s="983"/>
      <c r="Z420" s="1412" t="str">
        <f>IFERROR(VLOOKUP(C420, [6]條件!$A:$L, 3, 0), "")</f>
        <v/>
      </c>
      <c r="AA420" s="984" t="str">
        <f>IF(OR(L420={"改紡","檢修","了機","清車","FINAL","停機","SAMPLE","TEST","絲開發"}), L420, IFERROR(IF(C420="", "", (SUM(J420, N420, R420, V420)/3 * AG420) * IF(AND(AF420="S", AS420="雙"), 0.5, 1)), ""))</f>
        <v>停機</v>
      </c>
      <c r="AB420" s="1413" t="str">
        <f t="shared" si="74"/>
        <v/>
      </c>
      <c r="AC420" s="984" t="str">
        <f>IF(OR(L420={"改紡","檢修","了機","清車","FINAL","停機","SAMPLE","TEST"}), "", IFERROR(IF(C420="", "", AVERAGE(L420:M420, P420:Q420, T420:U420, X420:Y420)/100), ""))</f>
        <v/>
      </c>
      <c r="AD420" s="984" t="str">
        <f t="shared" si="68"/>
        <v/>
      </c>
      <c r="AE420" s="984" t="str">
        <f t="shared" si="75"/>
        <v/>
      </c>
      <c r="AF420" s="985" t="str">
        <f t="shared" si="69"/>
        <v>A</v>
      </c>
      <c r="AG420" s="1414">
        <v>1</v>
      </c>
      <c r="AH420" s="981" t="s">
        <v>640</v>
      </c>
      <c r="AI420" s="986" t="s">
        <v>640</v>
      </c>
      <c r="AJ420" s="986" t="s">
        <v>640</v>
      </c>
      <c r="AK420" s="1417" t="s">
        <v>640</v>
      </c>
      <c r="AL420" s="1421"/>
      <c r="AM420" s="1323"/>
      <c r="AN420" s="1323"/>
      <c r="AO420" s="1323"/>
      <c r="AP420" s="1323"/>
      <c r="AQ420" s="1323"/>
      <c r="AR420" s="987"/>
      <c r="AS420" s="978" t="str">
        <f t="shared" si="70"/>
        <v>單</v>
      </c>
      <c r="AT420" s="978" t="str">
        <f t="shared" si="71"/>
        <v>全</v>
      </c>
      <c r="AU420" s="978" t="str">
        <f t="shared" si="72"/>
        <v/>
      </c>
      <c r="AV420" s="978" t="str">
        <f t="shared" si="73"/>
        <v/>
      </c>
    </row>
    <row r="421" spans="1:48">
      <c r="A421" s="975">
        <f t="shared" si="76"/>
        <v>46153</v>
      </c>
      <c r="B421" s="976" t="s">
        <v>230</v>
      </c>
      <c r="C421" s="976" t="s">
        <v>16751</v>
      </c>
      <c r="D421" s="1410"/>
      <c r="E421" s="977" t="str">
        <f>IFERROR(VLOOKUP(C421, [6]條件!$A:$L, 5, 0), "")</f>
        <v>150/48/2GY5</v>
      </c>
      <c r="F421" s="978" t="str">
        <f>IFERROR(VLOOKUP(C421, [6]條件!$A:$L, 6, 0), "")</f>
        <v>FP02422×2</v>
      </c>
      <c r="G421" s="1411">
        <f>IFERROR(VLOOKUP(C421, [6]條件!$A:$L, 7, 0), "")</f>
        <v>600</v>
      </c>
      <c r="H421" s="978" t="str">
        <f>IF(ISNA(VLOOKUP(C421,[6]條件!$A$1:$K$932,11,0)),"",(VLOOKUP(C421,[6]條件!$A$1:$K$932,11,0)))</f>
        <v>白底紅星</v>
      </c>
      <c r="I421" s="979">
        <f>IF(ISNA(VLOOKUP(C421,[6]條件!$A$1:$L$932,12,0)),"",(VLOOKUP(C421,[6]條件!$A$1:$L$932,12,0)))</f>
        <v>4</v>
      </c>
      <c r="J421" s="982">
        <v>16</v>
      </c>
      <c r="K421" s="980">
        <v>0</v>
      </c>
      <c r="L421" s="981">
        <v>8842</v>
      </c>
      <c r="M421" s="983">
        <v>9192</v>
      </c>
      <c r="N421" s="982">
        <v>36</v>
      </c>
      <c r="O421" s="980">
        <v>0</v>
      </c>
      <c r="P421" s="981">
        <v>8802</v>
      </c>
      <c r="Q421" s="983">
        <v>9001</v>
      </c>
      <c r="R421" s="982">
        <v>22</v>
      </c>
      <c r="S421" s="980">
        <v>2</v>
      </c>
      <c r="T421" s="981">
        <v>8626</v>
      </c>
      <c r="U421" s="983">
        <v>9090</v>
      </c>
      <c r="V421" s="982">
        <v>14</v>
      </c>
      <c r="W421" s="980">
        <v>2</v>
      </c>
      <c r="X421" s="981">
        <v>8914</v>
      </c>
      <c r="Y421" s="983">
        <v>9630</v>
      </c>
      <c r="Z421" s="1412">
        <f>IFERROR(VLOOKUP(C421, [6]條件!$A:$L, 3, 0), "")</f>
        <v>6.9230769230769234</v>
      </c>
      <c r="AA421" s="984">
        <f>IF(OR(L421={"改紡","檢修","了機","清車","FINAL","停機","SAMPLE","TEST","絲開發"}), L421, IFERROR(IF(C421="", "", (SUM(J421, N421, R421, V421)/3 * AG421) * IF(AND(AF421="S", AS421="雙"), 0.5, 1)), ""))</f>
        <v>14.666666666666666</v>
      </c>
      <c r="AB421" s="1413">
        <f t="shared" si="74"/>
        <v>0.99722222222222223</v>
      </c>
      <c r="AC421" s="984">
        <f>IF(OR(L421={"改紡","檢修","了機","清車","FINAL","停機","SAMPLE","TEST"}), "", IFERROR(IF(C421="", "", AVERAGE(L421:M421, P421:Q421, T421:U421, X421:Y421)/100), ""))</f>
        <v>90.121250000000003</v>
      </c>
      <c r="AD421" s="984">
        <f t="shared" si="68"/>
        <v>1.8333333333333333</v>
      </c>
      <c r="AE421" s="984">
        <f t="shared" si="75"/>
        <v>1.75</v>
      </c>
      <c r="AF421" s="985" t="str">
        <f t="shared" si="69"/>
        <v>A</v>
      </c>
      <c r="AG421" s="1414">
        <v>0.5</v>
      </c>
      <c r="AH421" s="981" t="s">
        <v>16154</v>
      </c>
      <c r="AI421" s="986" t="s">
        <v>16154</v>
      </c>
      <c r="AJ421" s="986" t="s">
        <v>634</v>
      </c>
      <c r="AK421" s="1417" t="s">
        <v>634</v>
      </c>
      <c r="AL421" s="1415">
        <v>52</v>
      </c>
      <c r="AM421" s="1323">
        <v>46148</v>
      </c>
      <c r="AN421" s="1323">
        <v>46150</v>
      </c>
      <c r="AO421" s="1323">
        <v>46151</v>
      </c>
      <c r="AP421" s="1323"/>
      <c r="AQ421" s="1323"/>
      <c r="AR421" s="987"/>
      <c r="AS421" s="978" t="str">
        <f t="shared" si="70"/>
        <v>雙</v>
      </c>
      <c r="AT421" s="978" t="str">
        <f t="shared" si="71"/>
        <v>全</v>
      </c>
      <c r="AU421" s="978">
        <f t="shared" si="72"/>
        <v>150</v>
      </c>
      <c r="AV421" s="978">
        <f t="shared" si="73"/>
        <v>2.8031313600000001</v>
      </c>
    </row>
    <row r="422" spans="1:48">
      <c r="A422" s="975">
        <f t="shared" si="76"/>
        <v>46153</v>
      </c>
      <c r="B422" s="976" t="s">
        <v>231</v>
      </c>
      <c r="C422" s="976" t="s">
        <v>632</v>
      </c>
      <c r="D422" s="1410"/>
      <c r="E422" s="977" t="str">
        <f>IFERROR(VLOOKUP(C422, [6]條件!$A:$L, 5, 0), "")</f>
        <v/>
      </c>
      <c r="F422" s="978" t="str">
        <f>IFERROR(VLOOKUP(C422, [6]條件!$A:$L, 6, 0), "")</f>
        <v/>
      </c>
      <c r="G422" s="1411" t="str">
        <f>IFERROR(VLOOKUP(C422, [6]條件!$A:$L, 7, 0), "")</f>
        <v/>
      </c>
      <c r="H422" s="978" t="str">
        <f>IF(ISNA(VLOOKUP(C422,[6]條件!$A$1:$K$932,11,0)),"",(VLOOKUP(C422,[6]條件!$A$1:$K$932,11,0)))</f>
        <v/>
      </c>
      <c r="I422" s="979" t="str">
        <f>IF(ISNA(VLOOKUP(C422,[6]條件!$A$1:$L$932,12,0)),"",(VLOOKUP(C422,[6]條件!$A$1:$L$932,12,0)))</f>
        <v/>
      </c>
      <c r="J422" s="982"/>
      <c r="K422" s="980"/>
      <c r="L422" s="981" t="s">
        <v>632</v>
      </c>
      <c r="M422" s="983"/>
      <c r="N422" s="982"/>
      <c r="O422" s="980"/>
      <c r="P422" s="981" t="s">
        <v>632</v>
      </c>
      <c r="Q422" s="983"/>
      <c r="R422" s="982"/>
      <c r="S422" s="980"/>
      <c r="T422" s="981" t="s">
        <v>632</v>
      </c>
      <c r="U422" s="983"/>
      <c r="V422" s="982"/>
      <c r="W422" s="980"/>
      <c r="X422" s="981" t="s">
        <v>632</v>
      </c>
      <c r="Y422" s="983"/>
      <c r="Z422" s="1412" t="str">
        <f>IFERROR(VLOOKUP(C422, [6]條件!$A:$L, 3, 0), "")</f>
        <v/>
      </c>
      <c r="AA422" s="984" t="str">
        <f>IF(OR(L422={"改紡","檢修","了機","清車","FINAL","停機","SAMPLE","TEST","絲開發"}), L422, IFERROR(IF(C422="", "", (SUM(J422, N422, R422, V422)/3 * AG422) * IF(AND(AF422="S", AS422="雙"), 0.5, 1)), ""))</f>
        <v>停機</v>
      </c>
      <c r="AB422" s="1413" t="str">
        <f t="shared" si="74"/>
        <v/>
      </c>
      <c r="AC422" s="984" t="str">
        <f>IF(OR(L422={"改紡","檢修","了機","清車","FINAL","停機","SAMPLE","TEST"}), "", IFERROR(IF(C422="", "", AVERAGE(L422:M422, P422:Q422, T422:U422, X422:Y422)/100), ""))</f>
        <v/>
      </c>
      <c r="AD422" s="984" t="str">
        <f t="shared" si="68"/>
        <v/>
      </c>
      <c r="AE422" s="984" t="str">
        <f t="shared" si="75"/>
        <v/>
      </c>
      <c r="AF422" s="985" t="str">
        <f t="shared" si="69"/>
        <v>J</v>
      </c>
      <c r="AG422" s="1414">
        <v>1</v>
      </c>
      <c r="AH422" s="981" t="s">
        <v>640</v>
      </c>
      <c r="AI422" s="986" t="s">
        <v>640</v>
      </c>
      <c r="AJ422" s="986" t="s">
        <v>640</v>
      </c>
      <c r="AK422" s="1417" t="s">
        <v>640</v>
      </c>
      <c r="AL422" s="1415"/>
      <c r="AM422" s="1323"/>
      <c r="AN422" s="1323"/>
      <c r="AO422" s="1323"/>
      <c r="AP422" s="1323"/>
      <c r="AQ422" s="1323"/>
      <c r="AR422" s="987"/>
      <c r="AS422" s="978" t="str">
        <f t="shared" si="70"/>
        <v>單</v>
      </c>
      <c r="AT422" s="978" t="str">
        <f t="shared" si="71"/>
        <v>全</v>
      </c>
      <c r="AU422" s="978" t="str">
        <f t="shared" si="72"/>
        <v/>
      </c>
      <c r="AV422" s="978" t="str">
        <f t="shared" si="73"/>
        <v/>
      </c>
    </row>
    <row r="423" spans="1:48">
      <c r="A423" s="975">
        <f t="shared" si="76"/>
        <v>46153</v>
      </c>
      <c r="B423" s="976" t="s">
        <v>233</v>
      </c>
      <c r="C423" s="976" t="s">
        <v>16772</v>
      </c>
      <c r="D423" s="1410" t="s">
        <v>633</v>
      </c>
      <c r="E423" s="977" t="str">
        <f>IFERROR(VLOOKUP(C423, [6]條件!$A:$L, 5, 0), "")</f>
        <v>150/48/2SDr</v>
      </c>
      <c r="F423" s="978" t="str">
        <f>IFERROR(VLOOKUP(C423, [6]條件!$A:$L, 6, 0), "")</f>
        <v>FP82171R×2</v>
      </c>
      <c r="G423" s="1411">
        <f>IFERROR(VLOOKUP(C423, [6]條件!$A:$L, 7, 0), "")</f>
        <v>600</v>
      </c>
      <c r="H423" s="978" t="str">
        <f>IF(ISNA(VLOOKUP(C423,[6]條件!$A$1:$K$932,11,0)),"",(VLOOKUP(C423,[6]條件!$A$1:$K$932,11,0)))</f>
        <v>紅白直條</v>
      </c>
      <c r="I423" s="979">
        <f>IF(ISNA(VLOOKUP(C423,[6]條件!$A$1:$L$932,12,0)),"",(VLOOKUP(C423,[6]條件!$A$1:$L$932,12,0)))</f>
        <v>5.5</v>
      </c>
      <c r="J423" s="982">
        <v>35</v>
      </c>
      <c r="K423" s="980">
        <v>7</v>
      </c>
      <c r="L423" s="981">
        <v>7920</v>
      </c>
      <c r="M423" s="983"/>
      <c r="N423" s="982">
        <v>13</v>
      </c>
      <c r="O423" s="980">
        <v>5</v>
      </c>
      <c r="P423" s="981">
        <v>7890</v>
      </c>
      <c r="Q423" s="983"/>
      <c r="R423" s="982">
        <v>7</v>
      </c>
      <c r="S423" s="980">
        <v>3</v>
      </c>
      <c r="T423" s="981">
        <v>8100</v>
      </c>
      <c r="U423" s="983"/>
      <c r="V423" s="982">
        <v>13</v>
      </c>
      <c r="W423" s="980">
        <v>0</v>
      </c>
      <c r="X423" s="981">
        <v>7930</v>
      </c>
      <c r="Y423" s="983"/>
      <c r="Z423" s="1412">
        <f>IFERROR(VLOOKUP(C423, [6]條件!$A:$L, 3, 0), "")</f>
        <v>5.0526315789473673</v>
      </c>
      <c r="AA423" s="984">
        <f>IF(OR(L423={"改紡","檢修","了機","清車","FINAL","停機","SAMPLE","TEST","絲開發"}), L423, IFERROR(IF(C423="", "", (SUM(J423, N423, R423, V423)/3 * AG423) * IF(AND(AF423="S", AS423="雙"), 0.5, 1)), ""))</f>
        <v>22.666666666666668</v>
      </c>
      <c r="AB423" s="1413">
        <f t="shared" si="74"/>
        <v>0.98572716346153844</v>
      </c>
      <c r="AC423" s="984">
        <f>IF(OR(L423={"改紡","檢修","了機","清車","FINAL","停機","SAMPLE","TEST"}), "", IFERROR(IF(C423="", "", AVERAGE(L423:M423, P423:Q423, T423:U423, X423:Y423)/100), ""))</f>
        <v>79.599999999999994</v>
      </c>
      <c r="AD423" s="984">
        <f t="shared" si="68"/>
        <v>2.8333333333333335</v>
      </c>
      <c r="AE423" s="984">
        <f t="shared" si="75"/>
        <v>2.2083333333333335</v>
      </c>
      <c r="AF423" s="985" t="str">
        <f t="shared" si="69"/>
        <v>J</v>
      </c>
      <c r="AG423" s="1414">
        <v>1</v>
      </c>
      <c r="AH423" s="981" t="s">
        <v>814</v>
      </c>
      <c r="AI423" s="986" t="s">
        <v>814</v>
      </c>
      <c r="AJ423" s="986" t="s">
        <v>815</v>
      </c>
      <c r="AK423" s="1417" t="s">
        <v>815</v>
      </c>
      <c r="AL423" s="1415">
        <v>55</v>
      </c>
      <c r="AM423" s="1323">
        <v>46144</v>
      </c>
      <c r="AN423" s="1323">
        <v>46145</v>
      </c>
      <c r="AO423" s="1323">
        <v>46146</v>
      </c>
      <c r="AP423" s="1323">
        <v>46148</v>
      </c>
      <c r="AQ423" s="1323">
        <v>46149</v>
      </c>
      <c r="AR423" s="987"/>
      <c r="AS423" s="978" t="str">
        <f t="shared" si="70"/>
        <v>雙</v>
      </c>
      <c r="AT423" s="978" t="str">
        <f t="shared" si="71"/>
        <v>全</v>
      </c>
      <c r="AU423" s="978">
        <f t="shared" si="72"/>
        <v>150</v>
      </c>
      <c r="AV423" s="978">
        <f t="shared" si="73"/>
        <v>4.9517567999999992</v>
      </c>
    </row>
    <row r="424" spans="1:48">
      <c r="A424" s="975">
        <f t="shared" si="76"/>
        <v>46153</v>
      </c>
      <c r="B424" s="976" t="s">
        <v>234</v>
      </c>
      <c r="C424" s="976" t="s">
        <v>632</v>
      </c>
      <c r="D424" s="1410"/>
      <c r="E424" s="977" t="str">
        <f>IFERROR(VLOOKUP(C424, [6]條件!$A:$L, 5, 0), "")</f>
        <v/>
      </c>
      <c r="F424" s="978" t="str">
        <f>IFERROR(VLOOKUP(C424, [6]條件!$A:$L, 6, 0), "")</f>
        <v/>
      </c>
      <c r="G424" s="1411" t="str">
        <f>IFERROR(VLOOKUP(C424, [6]條件!$A:$L, 7, 0), "")</f>
        <v/>
      </c>
      <c r="H424" s="978" t="str">
        <f>IF(ISNA(VLOOKUP(C424,[6]條件!$A$1:$K$932,11,0)),"",(VLOOKUP(C424,[6]條件!$A$1:$K$932,11,0)))</f>
        <v/>
      </c>
      <c r="I424" s="979" t="str">
        <f>IF(ISNA(VLOOKUP(C424,[6]條件!$A$1:$L$932,12,0)),"",(VLOOKUP(C424,[6]條件!$A$1:$L$932,12,0)))</f>
        <v/>
      </c>
      <c r="J424" s="982"/>
      <c r="K424" s="980"/>
      <c r="L424" s="981" t="s">
        <v>632</v>
      </c>
      <c r="M424" s="983"/>
      <c r="N424" s="982"/>
      <c r="O424" s="980"/>
      <c r="P424" s="981" t="s">
        <v>632</v>
      </c>
      <c r="Q424" s="983"/>
      <c r="R424" s="982"/>
      <c r="S424" s="980"/>
      <c r="T424" s="981" t="s">
        <v>632</v>
      </c>
      <c r="U424" s="983"/>
      <c r="V424" s="982"/>
      <c r="W424" s="980"/>
      <c r="X424" s="981" t="s">
        <v>632</v>
      </c>
      <c r="Y424" s="983"/>
      <c r="Z424" s="1412" t="str">
        <f>IFERROR(VLOOKUP(C424, [6]條件!$A:$L, 3, 0), "")</f>
        <v/>
      </c>
      <c r="AA424" s="984" t="str">
        <f>IF(OR(L424={"改紡","檢修","了機","清車","FINAL","停機","SAMPLE","TEST","絲開發"}), L424, IFERROR(IF(C424="", "", (SUM(J424, N424, R424, V424)/3 * AG424) * IF(AND(AF424="S", AS424="雙"), 0.5, 1)), ""))</f>
        <v>停機</v>
      </c>
      <c r="AB424" s="1413" t="str">
        <f t="shared" si="74"/>
        <v/>
      </c>
      <c r="AC424" s="984" t="str">
        <f>IF(OR(L424={"改紡","檢修","了機","清車","FINAL","停機","SAMPLE","TEST"}), "", IFERROR(IF(C424="", "", AVERAGE(L424:M424, P424:Q424, T424:U424, X424:Y424)/100), ""))</f>
        <v/>
      </c>
      <c r="AD424" s="984" t="str">
        <f t="shared" si="68"/>
        <v/>
      </c>
      <c r="AE424" s="984" t="str">
        <f t="shared" si="75"/>
        <v/>
      </c>
      <c r="AF424" s="985" t="str">
        <f t="shared" si="69"/>
        <v>J</v>
      </c>
      <c r="AG424" s="1414">
        <v>1</v>
      </c>
      <c r="AH424" s="981" t="s">
        <v>640</v>
      </c>
      <c r="AI424" s="986" t="s">
        <v>640</v>
      </c>
      <c r="AJ424" s="986" t="s">
        <v>640</v>
      </c>
      <c r="AK424" s="1417" t="s">
        <v>640</v>
      </c>
      <c r="AL424" s="1415"/>
      <c r="AM424" s="1323"/>
      <c r="AN424" s="1323"/>
      <c r="AO424" s="1323"/>
      <c r="AP424" s="1323"/>
      <c r="AQ424" s="1323"/>
      <c r="AR424" s="987"/>
      <c r="AS424" s="978" t="str">
        <f t="shared" si="70"/>
        <v>單</v>
      </c>
      <c r="AT424" s="978" t="str">
        <f t="shared" si="71"/>
        <v>全</v>
      </c>
      <c r="AU424" s="978" t="str">
        <f t="shared" si="72"/>
        <v/>
      </c>
      <c r="AV424" s="978" t="str">
        <f t="shared" si="73"/>
        <v/>
      </c>
    </row>
    <row r="425" spans="1:48">
      <c r="A425" s="975">
        <f t="shared" si="76"/>
        <v>46153</v>
      </c>
      <c r="B425" s="976" t="s">
        <v>235</v>
      </c>
      <c r="C425" s="976" t="s">
        <v>16765</v>
      </c>
      <c r="D425" s="1410" t="s">
        <v>633</v>
      </c>
      <c r="E425" s="977" t="str">
        <f>IFERROR(VLOOKUP(C425, [6]條件!$A:$L, 5, 0), "")</f>
        <v>150/48/2SDr</v>
      </c>
      <c r="F425" s="978" t="str">
        <f>IFERROR(VLOOKUP(C425, [6]條件!$A:$L, 6, 0), "")</f>
        <v>FP82173R×2</v>
      </c>
      <c r="G425" s="1411">
        <f>IFERROR(VLOOKUP(C425, [6]條件!$A:$L, 7, 0), "")</f>
        <v>700</v>
      </c>
      <c r="H425" s="978" t="str">
        <f>IF(ISNA(VLOOKUP(C425,[6]條件!$A$1:$K$932,11,0)),"",(VLOOKUP(C425,[6]條件!$A$1:$K$932,11,0)))</f>
        <v>白紫條紋</v>
      </c>
      <c r="I425" s="979">
        <f>IF(ISNA(VLOOKUP(C425,[6]條件!$A$1:$L$932,12,0)),"",(VLOOKUP(C425,[6]條件!$A$1:$L$932,12,0)))</f>
        <v>5.5</v>
      </c>
      <c r="J425" s="982">
        <v>21</v>
      </c>
      <c r="K425" s="980">
        <v>0</v>
      </c>
      <c r="L425" s="981">
        <v>8890</v>
      </c>
      <c r="M425" s="983">
        <v>8890</v>
      </c>
      <c r="N425" s="982">
        <v>15</v>
      </c>
      <c r="O425" s="980">
        <v>0</v>
      </c>
      <c r="P425" s="981">
        <v>8800</v>
      </c>
      <c r="Q425" s="983">
        <v>9070</v>
      </c>
      <c r="R425" s="982">
        <v>31</v>
      </c>
      <c r="S425" s="980">
        <v>3</v>
      </c>
      <c r="T425" s="981">
        <v>8430</v>
      </c>
      <c r="U425" s="983">
        <v>9620</v>
      </c>
      <c r="V425" s="982">
        <v>40</v>
      </c>
      <c r="W425" s="980">
        <v>1</v>
      </c>
      <c r="X425" s="981">
        <v>8980</v>
      </c>
      <c r="Y425" s="983">
        <v>9720</v>
      </c>
      <c r="Z425" s="1412">
        <f>IFERROR(VLOOKUP(C425, [6]條件!$A:$L, 3, 0), "")</f>
        <v>5.8775510204081636</v>
      </c>
      <c r="AA425" s="984">
        <f>IF(OR(L425={"改紡","檢修","了機","清車","FINAL","停機","SAMPLE","TEST","絲開發"}), L425, IFERROR(IF(C425="", "", (SUM(J425, N425, R425, V425)/3 * AG425) * IF(AND(AF425="S", AS425="雙"), 0.5, 1)), ""))</f>
        <v>35.666666666666664</v>
      </c>
      <c r="AB425" s="1413">
        <f t="shared" si="74"/>
        <v>0.99672809829059827</v>
      </c>
      <c r="AC425" s="984">
        <f>IF(OR(L425={"改紡","檢修","了機","清車","FINAL","停機","SAMPLE","TEST"}), "", IFERROR(IF(C425="", "", AVERAGE(L425:M425, P425:Q425, T425:U425, X425:Y425)/100), ""))</f>
        <v>90.5</v>
      </c>
      <c r="AD425" s="984">
        <f t="shared" si="68"/>
        <v>4.458333333333333</v>
      </c>
      <c r="AE425" s="984">
        <f t="shared" si="75"/>
        <v>4.291666666666667</v>
      </c>
      <c r="AF425" s="985" t="str">
        <f t="shared" si="69"/>
        <v>T</v>
      </c>
      <c r="AG425" s="1414">
        <v>1</v>
      </c>
      <c r="AH425" s="981" t="s">
        <v>15892</v>
      </c>
      <c r="AI425" s="986" t="s">
        <v>15892</v>
      </c>
      <c r="AJ425" s="986" t="s">
        <v>639</v>
      </c>
      <c r="AK425" s="1417" t="s">
        <v>639</v>
      </c>
      <c r="AL425" s="1415">
        <v>56</v>
      </c>
      <c r="AM425" s="1323">
        <v>46148</v>
      </c>
      <c r="AN425" s="1323">
        <v>46149</v>
      </c>
      <c r="AO425" s="1323">
        <v>46150</v>
      </c>
      <c r="AP425" s="1323">
        <v>46151</v>
      </c>
      <c r="AQ425" s="1323"/>
      <c r="AR425" s="987"/>
      <c r="AS425" s="978" t="str">
        <f t="shared" si="70"/>
        <v>雙</v>
      </c>
      <c r="AT425" s="978" t="str">
        <f t="shared" si="71"/>
        <v>全</v>
      </c>
      <c r="AU425" s="978">
        <f t="shared" si="72"/>
        <v>150</v>
      </c>
      <c r="AV425" s="978">
        <f t="shared" si="73"/>
        <v>6.5681280000000006</v>
      </c>
    </row>
    <row r="426" spans="1:48">
      <c r="A426" s="975">
        <f t="shared" si="76"/>
        <v>46153</v>
      </c>
      <c r="B426" s="976" t="s">
        <v>237</v>
      </c>
      <c r="C426" s="976" t="s">
        <v>16759</v>
      </c>
      <c r="D426" s="1410" t="s">
        <v>633</v>
      </c>
      <c r="E426" s="977" t="str">
        <f>IFERROR(VLOOKUP(C426, [6]條件!$A:$L, 5, 0), "")</f>
        <v>150/48/2SDr</v>
      </c>
      <c r="F426" s="978" t="str">
        <f>IFERROR(VLOOKUP(C426, [6]條件!$A:$L, 6, 0), "")</f>
        <v>FP82171R×2</v>
      </c>
      <c r="G426" s="1411">
        <f>IFERROR(VLOOKUP(C426, [6]條件!$A:$L, 7, 0), "")</f>
        <v>700</v>
      </c>
      <c r="H426" s="978" t="str">
        <f>IF(ISNA(VLOOKUP(C426,[6]條件!$A$1:$K$932,11,0)),"",(VLOOKUP(C426,[6]條件!$A$1:$K$932,11,0)))</f>
        <v>紅底黃星</v>
      </c>
      <c r="I426" s="979">
        <f>IF(ISNA(VLOOKUP(C426,[6]條件!$A$1:$L$932,12,0)),"",(VLOOKUP(C426,[6]條件!$A$1:$L$932,12,0)))</f>
        <v>5.5</v>
      </c>
      <c r="J426" s="982">
        <v>34</v>
      </c>
      <c r="K426" s="980">
        <v>0</v>
      </c>
      <c r="L426" s="981">
        <v>9350</v>
      </c>
      <c r="M426" s="983">
        <v>9070</v>
      </c>
      <c r="N426" s="982">
        <v>12</v>
      </c>
      <c r="O426" s="980">
        <v>0</v>
      </c>
      <c r="P426" s="981">
        <v>8980</v>
      </c>
      <c r="Q426" s="983">
        <v>9170</v>
      </c>
      <c r="R426" s="982">
        <v>26</v>
      </c>
      <c r="S426" s="980">
        <v>3</v>
      </c>
      <c r="T426" s="981">
        <v>9350</v>
      </c>
      <c r="U426" s="983">
        <v>9070</v>
      </c>
      <c r="V426" s="982">
        <v>48</v>
      </c>
      <c r="W426" s="980">
        <v>3</v>
      </c>
      <c r="X426" s="981">
        <v>9720</v>
      </c>
      <c r="Y426" s="983">
        <v>9350</v>
      </c>
      <c r="Z426" s="1412">
        <f>IFERROR(VLOOKUP(C426, [6]條件!$A:$L, 3, 0), "")</f>
        <v>5.8299595141700413</v>
      </c>
      <c r="AA426" s="984">
        <f>IF(OR(L426={"改紡","檢修","了機","清車","FINAL","停機","SAMPLE","TEST","絲開發"}), L426, IFERROR(IF(C426="", "", (SUM(J426, N426, R426, V426)/3 * AG426) * IF(AND(AF426="S", AS426="雙"), 0.5, 1)), ""))</f>
        <v>40</v>
      </c>
      <c r="AB426" s="1413">
        <f t="shared" si="74"/>
        <v>0.99505208333333328</v>
      </c>
      <c r="AC426" s="984">
        <f>IF(OR(L426={"改紡","檢修","了機","清車","FINAL","停機","SAMPLE","TEST"}), "", IFERROR(IF(C426="", "", AVERAGE(L426:M426, P426:Q426, T426:U426, X426:Y426)/100), ""))</f>
        <v>92.575000000000003</v>
      </c>
      <c r="AD426" s="984">
        <f t="shared" si="68"/>
        <v>5</v>
      </c>
      <c r="AE426" s="984">
        <f t="shared" si="75"/>
        <v>4.75</v>
      </c>
      <c r="AF426" s="985" t="str">
        <f t="shared" si="69"/>
        <v>T</v>
      </c>
      <c r="AG426" s="1414">
        <v>1</v>
      </c>
      <c r="AH426" s="981" t="s">
        <v>15892</v>
      </c>
      <c r="AI426" s="986" t="s">
        <v>15892</v>
      </c>
      <c r="AJ426" s="986" t="s">
        <v>639</v>
      </c>
      <c r="AK426" s="1417" t="s">
        <v>639</v>
      </c>
      <c r="AL426" s="1415">
        <v>55</v>
      </c>
      <c r="AM426" s="1323">
        <v>46148</v>
      </c>
      <c r="AN426" s="1323">
        <v>46149</v>
      </c>
      <c r="AO426" s="1323">
        <v>46150</v>
      </c>
      <c r="AP426" s="1323"/>
      <c r="AQ426" s="1323"/>
      <c r="AR426" s="987"/>
      <c r="AS426" s="978" t="str">
        <f t="shared" si="70"/>
        <v>雙</v>
      </c>
      <c r="AT426" s="978" t="str">
        <f t="shared" si="71"/>
        <v>全</v>
      </c>
      <c r="AU426" s="978">
        <f t="shared" si="72"/>
        <v>150</v>
      </c>
      <c r="AV426" s="978">
        <f t="shared" si="73"/>
        <v>6.7187232000000003</v>
      </c>
    </row>
    <row r="427" spans="1:48">
      <c r="A427" s="975">
        <f t="shared" si="76"/>
        <v>46153</v>
      </c>
      <c r="B427" s="976" t="s">
        <v>238</v>
      </c>
      <c r="C427" s="976" t="s">
        <v>16743</v>
      </c>
      <c r="D427" s="1410"/>
      <c r="E427" s="977" t="str">
        <f>IFERROR(VLOOKUP(C427, [6]條件!$A:$L, 5, 0), "")</f>
        <v>150/48/2SDr</v>
      </c>
      <c r="F427" s="978" t="str">
        <f>IFERROR(VLOOKUP(C427, [6]條件!$A:$L, 6, 0), "")</f>
        <v>FP82169R×2</v>
      </c>
      <c r="G427" s="1411">
        <f>IFERROR(VLOOKUP(C427, [6]條件!$A:$L, 7, 0), "")</f>
        <v>670</v>
      </c>
      <c r="H427" s="978" t="str">
        <f>IF(ISNA(VLOOKUP(C427,[6]條件!$A$1:$K$932,11,0)),"",(VLOOKUP(C427,[6]條件!$A$1:$K$932,11,0)))</f>
        <v>黃底紅點</v>
      </c>
      <c r="I427" s="979">
        <f>IF(ISNA(VLOOKUP(C427,[6]條件!$A$1:$L$932,12,0)),"",(VLOOKUP(C427,[6]條件!$A$1:$L$932,12,0)))</f>
        <v>5</v>
      </c>
      <c r="J427" s="982">
        <v>27</v>
      </c>
      <c r="K427" s="980">
        <v>0</v>
      </c>
      <c r="L427" s="981">
        <v>9540</v>
      </c>
      <c r="M427" s="983"/>
      <c r="N427" s="982">
        <v>12</v>
      </c>
      <c r="O427" s="980">
        <v>0</v>
      </c>
      <c r="P427" s="981">
        <v>8700</v>
      </c>
      <c r="Q427" s="983"/>
      <c r="R427" s="982">
        <v>11</v>
      </c>
      <c r="S427" s="980">
        <v>0</v>
      </c>
      <c r="T427" s="981">
        <v>9350</v>
      </c>
      <c r="U427" s="983"/>
      <c r="V427" s="982">
        <v>12</v>
      </c>
      <c r="W427" s="980">
        <v>0</v>
      </c>
      <c r="X427" s="981">
        <v>9350</v>
      </c>
      <c r="Y427" s="983"/>
      <c r="Z427" s="1412">
        <f>IFERROR(VLOOKUP(C427, [6]條件!$A:$L, 3, 0), "")</f>
        <v>6.2882096069868991</v>
      </c>
      <c r="AA427" s="984">
        <f>IF(OR(L427={"改紡","檢修","了機","清車","FINAL","停機","SAMPLE","TEST","絲開發"}), L427, IFERROR(IF(C427="", "", (SUM(J427, N427, R427, V427)/3 * AG427) * IF(AND(AF427="S", AS427="雙"), 0.5, 1)), ""))</f>
        <v>41.333333333333336</v>
      </c>
      <c r="AB427" s="1413">
        <f t="shared" si="74"/>
        <v>1</v>
      </c>
      <c r="AC427" s="984">
        <f>IF(OR(L427={"改紡","檢修","了機","清車","FINAL","停機","SAMPLE","TEST"}), "", IFERROR(IF(C427="", "", AVERAGE(L427:M427, P427:Q427, T427:U427, X427:Y427)/100), ""))</f>
        <v>92.35</v>
      </c>
      <c r="AD427" s="984">
        <f t="shared" si="68"/>
        <v>5.166666666666667</v>
      </c>
      <c r="AE427" s="984">
        <f t="shared" si="75"/>
        <v>5.166666666666667</v>
      </c>
      <c r="AF427" s="985" t="str">
        <f t="shared" si="69"/>
        <v>T</v>
      </c>
      <c r="AG427" s="1414">
        <v>2</v>
      </c>
      <c r="AH427" s="981" t="s">
        <v>15892</v>
      </c>
      <c r="AI427" s="986" t="s">
        <v>15892</v>
      </c>
      <c r="AJ427" s="986" t="s">
        <v>639</v>
      </c>
      <c r="AK427" s="1417" t="s">
        <v>652</v>
      </c>
      <c r="AL427" s="1415">
        <v>48</v>
      </c>
      <c r="AM427" s="1323">
        <v>46149</v>
      </c>
      <c r="AN427" s="1323">
        <v>46150</v>
      </c>
      <c r="AO427" s="1323">
        <v>46151</v>
      </c>
      <c r="AP427" s="1323">
        <v>46152</v>
      </c>
      <c r="AQ427" s="1323"/>
      <c r="AR427" s="987"/>
      <c r="AS427" s="978" t="str">
        <f t="shared" si="70"/>
        <v>雙</v>
      </c>
      <c r="AT427" s="978" t="str">
        <f t="shared" si="71"/>
        <v>半</v>
      </c>
      <c r="AU427" s="978">
        <f t="shared" si="72"/>
        <v>150</v>
      </c>
      <c r="AV427" s="978">
        <f t="shared" si="73"/>
        <v>3.2075740799999997</v>
      </c>
    </row>
    <row r="428" spans="1:48">
      <c r="A428" s="975">
        <f t="shared" si="76"/>
        <v>46153</v>
      </c>
      <c r="B428" s="976" t="s">
        <v>238</v>
      </c>
      <c r="C428" s="976" t="s">
        <v>16742</v>
      </c>
      <c r="D428" s="1410"/>
      <c r="E428" s="977" t="str">
        <f>IFERROR(VLOOKUP(C428, [6]條件!$A:$L, 5, 0), "")</f>
        <v>150/48/2SDr</v>
      </c>
      <c r="F428" s="978" t="str">
        <f>IFERROR(VLOOKUP(C428, [6]條件!$A:$L, 6, 0), "")</f>
        <v>FP82169R×2</v>
      </c>
      <c r="G428" s="1411">
        <f>IFERROR(VLOOKUP(C428, [6]條件!$A:$L, 7, 0), "")</f>
        <v>670</v>
      </c>
      <c r="H428" s="978" t="str">
        <f>IF(ISNA(VLOOKUP(C428,[6]條件!$A$1:$K$932,11,0)),"",(VLOOKUP(C428,[6]條件!$A$1:$K$932,11,0)))</f>
        <v>紅底藍點</v>
      </c>
      <c r="I428" s="979">
        <f>IF(ISNA(VLOOKUP(C428,[6]條件!$A$1:$L$932,12,0)),"",(VLOOKUP(C428,[6]條件!$A$1:$L$932,12,0)))</f>
        <v>5</v>
      </c>
      <c r="J428" s="982">
        <v>20</v>
      </c>
      <c r="K428" s="980">
        <v>0</v>
      </c>
      <c r="L428" s="981"/>
      <c r="M428" s="983">
        <v>8980</v>
      </c>
      <c r="N428" s="982">
        <v>10</v>
      </c>
      <c r="O428" s="980">
        <v>0</v>
      </c>
      <c r="P428" s="981"/>
      <c r="Q428" s="983">
        <v>9070</v>
      </c>
      <c r="R428" s="982">
        <v>10</v>
      </c>
      <c r="S428" s="980">
        <v>0</v>
      </c>
      <c r="T428" s="981"/>
      <c r="U428" s="983">
        <v>9260</v>
      </c>
      <c r="V428" s="982">
        <v>20</v>
      </c>
      <c r="W428" s="980">
        <v>0</v>
      </c>
      <c r="X428" s="981"/>
      <c r="Y428" s="983">
        <v>9540</v>
      </c>
      <c r="Z428" s="1412">
        <f>IFERROR(VLOOKUP(C428, [6]條件!$A:$L, 3, 0), "")</f>
        <v>6.1802575107296125</v>
      </c>
      <c r="AA428" s="984">
        <f>IF(OR(L428={"改紡","檢修","了機","清車","FINAL","停機","SAMPLE","TEST","絲開發"}), L428, IFERROR(IF(C428="", "", (SUM(J428, N428, R428, V428)/3 * AG428) * IF(AND(AF428="S", AS428="雙"), 0.5, 1)), ""))</f>
        <v>40</v>
      </c>
      <c r="AB428" s="1413">
        <f t="shared" si="74"/>
        <v>1</v>
      </c>
      <c r="AC428" s="984">
        <f>IF(OR(L428={"改紡","檢修","了機","清車","FINAL","停機","SAMPLE","TEST"}), "", IFERROR(IF(C428="", "", AVERAGE(L428:M428, P428:Q428, T428:U428, X428:Y428)/100), ""))</f>
        <v>92.125</v>
      </c>
      <c r="AD428" s="984">
        <f t="shared" si="68"/>
        <v>5</v>
      </c>
      <c r="AE428" s="984">
        <f t="shared" si="75"/>
        <v>5</v>
      </c>
      <c r="AF428" s="985" t="str">
        <f t="shared" si="69"/>
        <v>T</v>
      </c>
      <c r="AG428" s="1414">
        <v>2</v>
      </c>
      <c r="AH428" s="981" t="s">
        <v>15892</v>
      </c>
      <c r="AI428" s="986" t="s">
        <v>15892</v>
      </c>
      <c r="AJ428" s="986" t="s">
        <v>652</v>
      </c>
      <c r="AK428" s="1417" t="s">
        <v>652</v>
      </c>
      <c r="AL428" s="1415">
        <v>48</v>
      </c>
      <c r="AM428" s="1323">
        <v>46150</v>
      </c>
      <c r="AN428" s="1323">
        <v>46151</v>
      </c>
      <c r="AO428" s="1323"/>
      <c r="AP428" s="1323"/>
      <c r="AQ428" s="1323"/>
      <c r="AR428" s="987"/>
      <c r="AS428" s="978" t="str">
        <f t="shared" si="70"/>
        <v>雙</v>
      </c>
      <c r="AT428" s="978" t="str">
        <f t="shared" si="71"/>
        <v>半</v>
      </c>
      <c r="AU428" s="978">
        <f t="shared" si="72"/>
        <v>150</v>
      </c>
      <c r="AV428" s="978">
        <f t="shared" si="73"/>
        <v>3.1997591999999999</v>
      </c>
    </row>
    <row r="429" spans="1:48">
      <c r="A429" s="975">
        <f t="shared" si="76"/>
        <v>46153</v>
      </c>
      <c r="B429" s="976" t="s">
        <v>239</v>
      </c>
      <c r="C429" s="976" t="s">
        <v>632</v>
      </c>
      <c r="D429" s="1410"/>
      <c r="E429" s="977" t="str">
        <f>IFERROR(VLOOKUP(C429, [6]條件!$A:$L, 5, 0), "")</f>
        <v/>
      </c>
      <c r="F429" s="978" t="str">
        <f>IFERROR(VLOOKUP(C429, [6]條件!$A:$L, 6, 0), "")</f>
        <v/>
      </c>
      <c r="G429" s="1411" t="str">
        <f>IFERROR(VLOOKUP(C429, [6]條件!$A:$L, 7, 0), "")</f>
        <v/>
      </c>
      <c r="H429" s="978" t="str">
        <f>IF(ISNA(VLOOKUP(C429,[6]條件!$A$1:$K$932,11,0)),"",(VLOOKUP(C429,[6]條件!$A$1:$K$932,11,0)))</f>
        <v/>
      </c>
      <c r="I429" s="979" t="str">
        <f>IF(ISNA(VLOOKUP(C429,[6]條件!$A$1:$L$932,12,0)),"",(VLOOKUP(C429,[6]條件!$A$1:$L$932,12,0)))</f>
        <v/>
      </c>
      <c r="J429" s="982"/>
      <c r="K429" s="980"/>
      <c r="L429" s="981" t="s">
        <v>632</v>
      </c>
      <c r="M429" s="983"/>
      <c r="N429" s="982"/>
      <c r="O429" s="980"/>
      <c r="P429" s="981" t="s">
        <v>632</v>
      </c>
      <c r="Q429" s="983"/>
      <c r="R429" s="982"/>
      <c r="S429" s="980"/>
      <c r="T429" s="981" t="s">
        <v>632</v>
      </c>
      <c r="U429" s="983"/>
      <c r="V429" s="982"/>
      <c r="W429" s="980"/>
      <c r="X429" s="981" t="s">
        <v>632</v>
      </c>
      <c r="Y429" s="983"/>
      <c r="Z429" s="1412" t="str">
        <f>IFERROR(VLOOKUP(C429, [6]條件!$A:$L, 3, 0), "")</f>
        <v/>
      </c>
      <c r="AA429" s="984" t="str">
        <f>IF(OR(L429={"改紡","檢修","了機","清車","FINAL","停機","SAMPLE","TEST","絲開發"}), L429, IFERROR(IF(C429="", "", (SUM(J429, N429, R429, V429)/3 * AG429) * IF(AND(AF429="S", AS429="雙"), 0.5, 1)), ""))</f>
        <v>停機</v>
      </c>
      <c r="AB429" s="1413" t="str">
        <f t="shared" si="74"/>
        <v/>
      </c>
      <c r="AC429" s="984" t="str">
        <f>IF(OR(L429={"改紡","檢修","了機","清車","FINAL","停機","SAMPLE","TEST"}), "", IFERROR(IF(C429="", "", AVERAGE(L429:M429, P429:Q429, T429:U429, X429:Y429)/100), ""))</f>
        <v/>
      </c>
      <c r="AD429" s="984" t="str">
        <f t="shared" si="68"/>
        <v/>
      </c>
      <c r="AE429" s="984" t="str">
        <f t="shared" si="75"/>
        <v/>
      </c>
      <c r="AF429" s="985" t="str">
        <f t="shared" si="69"/>
        <v>T</v>
      </c>
      <c r="AG429" s="1414">
        <v>2</v>
      </c>
      <c r="AH429" s="981" t="s">
        <v>640</v>
      </c>
      <c r="AI429" s="986" t="s">
        <v>640</v>
      </c>
      <c r="AJ429" s="986" t="s">
        <v>640</v>
      </c>
      <c r="AK429" s="1417" t="s">
        <v>640</v>
      </c>
      <c r="AL429" s="1415"/>
      <c r="AM429" s="1323"/>
      <c r="AN429" s="1323"/>
      <c r="AO429" s="1323"/>
      <c r="AP429" s="1323"/>
      <c r="AQ429" s="1323"/>
      <c r="AR429" s="987"/>
      <c r="AS429" s="978" t="str">
        <f t="shared" si="70"/>
        <v>單</v>
      </c>
      <c r="AT429" s="978" t="str">
        <f t="shared" si="71"/>
        <v>半</v>
      </c>
      <c r="AU429" s="978" t="str">
        <f t="shared" si="72"/>
        <v/>
      </c>
      <c r="AV429" s="978" t="str">
        <f t="shared" si="73"/>
        <v/>
      </c>
    </row>
    <row r="430" spans="1:48">
      <c r="A430" s="975">
        <f t="shared" si="76"/>
        <v>46153</v>
      </c>
      <c r="B430" s="976" t="s">
        <v>388</v>
      </c>
      <c r="C430" s="976" t="s">
        <v>16730</v>
      </c>
      <c r="D430" s="1410" t="s">
        <v>633</v>
      </c>
      <c r="E430" s="977" t="str">
        <f>IFERROR(VLOOKUP(C430, [6]條件!$A:$L, 5, 0), "")</f>
        <v>225/72/2SDr</v>
      </c>
      <c r="F430" s="978" t="str">
        <f>IFERROR(VLOOKUP(C430, [6]條件!$A:$L, 6, 0), "")</f>
        <v>FP83024R×2</v>
      </c>
      <c r="G430" s="1411">
        <f>IFERROR(VLOOKUP(C430, [6]條件!$A:$L, 7, 0), "")</f>
        <v>550</v>
      </c>
      <c r="H430" s="978" t="str">
        <f>IF(ISNA(VLOOKUP(C430,[6]條件!$A$1:$K$932,11,0)),"",(VLOOKUP(C430,[6]條件!$A$1:$K$932,11,0)))</f>
        <v>灰色</v>
      </c>
      <c r="I430" s="979">
        <f>IF(ISNA(VLOOKUP(C430,[6]條件!$A$1:$L$932,12,0)),"",(VLOOKUP(C430,[6]條件!$A$1:$L$932,12,0)))</f>
        <v>5.5</v>
      </c>
      <c r="J430" s="982">
        <v>23</v>
      </c>
      <c r="K430" s="980">
        <v>6</v>
      </c>
      <c r="L430" s="981">
        <v>7410</v>
      </c>
      <c r="M430" s="983"/>
      <c r="N430" s="982">
        <v>6</v>
      </c>
      <c r="O430" s="980">
        <v>1</v>
      </c>
      <c r="P430" s="981">
        <v>7410</v>
      </c>
      <c r="Q430" s="983"/>
      <c r="R430" s="982">
        <v>7</v>
      </c>
      <c r="S430" s="980">
        <v>0</v>
      </c>
      <c r="T430" s="981">
        <v>7310</v>
      </c>
      <c r="U430" s="983"/>
      <c r="V430" s="982">
        <v>5</v>
      </c>
      <c r="W430" s="980">
        <v>0</v>
      </c>
      <c r="X430" s="981">
        <v>7410</v>
      </c>
      <c r="Y430" s="983"/>
      <c r="Z430" s="1412">
        <f>IFERROR(VLOOKUP(C430, [6]條件!$A:$L, 3, 0), "")</f>
        <v>6.6055045871559628</v>
      </c>
      <c r="AA430" s="984">
        <f>IF(OR(L430={"改紡","檢修","了機","清車","FINAL","停機","SAMPLE","TEST","絲開發"}), L430, IFERROR(IF(C430="", "", (SUM(J430, N430, R430, V430)/3 * AG430) * IF(AND(AF430="S", AS430="雙"), 0.5, 1)), ""))</f>
        <v>27.333333333333332</v>
      </c>
      <c r="AB430" s="1413">
        <f t="shared" si="74"/>
        <v>0.9949051816239316</v>
      </c>
      <c r="AC430" s="984">
        <f>IF(OR(L430={"改紡","檢修","了機","清車","FINAL","停機","SAMPLE","TEST"}), "", IFERROR(IF(C430="", "", AVERAGE(L430:M430, P430:Q430, T430:U430, X430:Y430)/100), ""))</f>
        <v>73.849999999999994</v>
      </c>
      <c r="AD430" s="984">
        <f t="shared" si="68"/>
        <v>3.4166666666666665</v>
      </c>
      <c r="AE430" s="984">
        <f t="shared" si="75"/>
        <v>2.8333333333333335</v>
      </c>
      <c r="AF430" s="985" t="str">
        <f t="shared" si="69"/>
        <v>T</v>
      </c>
      <c r="AG430" s="1414">
        <v>2</v>
      </c>
      <c r="AH430" s="981" t="s">
        <v>15337</v>
      </c>
      <c r="AI430" s="986" t="s">
        <v>15337</v>
      </c>
      <c r="AJ430" s="986" t="s">
        <v>652</v>
      </c>
      <c r="AK430" s="1417" t="s">
        <v>652</v>
      </c>
      <c r="AL430" s="1415">
        <v>53</v>
      </c>
      <c r="AM430" s="1323">
        <v>46139</v>
      </c>
      <c r="AN430" s="1323">
        <v>46140</v>
      </c>
      <c r="AO430" s="1323">
        <v>46142</v>
      </c>
      <c r="AP430" s="1323">
        <v>46143</v>
      </c>
      <c r="AQ430" s="1323"/>
      <c r="AR430" s="987"/>
      <c r="AS430" s="978" t="str">
        <f t="shared" si="70"/>
        <v>雙</v>
      </c>
      <c r="AT430" s="978" t="str">
        <f t="shared" si="71"/>
        <v>半</v>
      </c>
      <c r="AU430" s="978">
        <f t="shared" si="72"/>
        <v>225</v>
      </c>
      <c r="AV430" s="978">
        <f t="shared" si="73"/>
        <v>3.1584167999999999</v>
      </c>
    </row>
    <row r="431" spans="1:48">
      <c r="A431" s="975">
        <f t="shared" si="76"/>
        <v>46153</v>
      </c>
      <c r="B431" s="976" t="s">
        <v>388</v>
      </c>
      <c r="C431" s="976" t="s">
        <v>16775</v>
      </c>
      <c r="D431" s="1410" t="s">
        <v>633</v>
      </c>
      <c r="E431" s="977" t="str">
        <f>IFERROR(VLOOKUP(C431, [6]條件!$A:$L, 5, 0), "")</f>
        <v>150/48/2SDr</v>
      </c>
      <c r="F431" s="978" t="str">
        <f>IFERROR(VLOOKUP(C431, [6]條件!$A:$L, 6, 0), "")</f>
        <v>FP82173R×2</v>
      </c>
      <c r="G431" s="1411">
        <f>IFERROR(VLOOKUP(C431, [6]條件!$A:$L, 7, 0), "")</f>
        <v>700</v>
      </c>
      <c r="H431" s="978" t="str">
        <f>IF(ISNA(VLOOKUP(C431,[6]條件!$A$1:$K$932,11,0)),"",(VLOOKUP(C431,[6]條件!$A$1:$K$932,11,0)))</f>
        <v>黃紅雙色</v>
      </c>
      <c r="I431" s="979">
        <f>IF(ISNA(VLOOKUP(C431,[6]條件!$A$1:$L$932,12,0)),"",(VLOOKUP(C431,[6]條件!$A$1:$L$932,12,0)))</f>
        <v>5.5</v>
      </c>
      <c r="J431" s="982"/>
      <c r="K431" s="980"/>
      <c r="L431" s="981"/>
      <c r="M431" s="983" t="s">
        <v>642</v>
      </c>
      <c r="N431" s="982"/>
      <c r="O431" s="980"/>
      <c r="P431" s="981"/>
      <c r="Q431" s="983" t="s">
        <v>477</v>
      </c>
      <c r="R431" s="982">
        <v>10</v>
      </c>
      <c r="S431" s="980">
        <v>0</v>
      </c>
      <c r="T431" s="981"/>
      <c r="U431" s="983">
        <v>9810</v>
      </c>
      <c r="V431" s="982">
        <v>10</v>
      </c>
      <c r="W431" s="980">
        <v>0</v>
      </c>
      <c r="X431" s="981"/>
      <c r="Y431" s="983">
        <v>9350</v>
      </c>
      <c r="Z431" s="1412">
        <f>IFERROR(VLOOKUP(C431, [6]條件!$A:$L, 3, 0), "")</f>
        <v>5.8536585365853666</v>
      </c>
      <c r="AA431" s="984">
        <f>IF(OR(L431={"改紡","檢修","了機","清車","FINAL","停機","SAMPLE","TEST","絲開發"}), L431, IFERROR(IF(C431="", "", (SUM(J431, N431, R431, V431)/3 * AG431) * IF(AND(AF431="S", AS431="雙"), 0.5, 1)), ""))</f>
        <v>13.333333333333334</v>
      </c>
      <c r="AB431" s="1413" t="str">
        <f t="shared" si="74"/>
        <v/>
      </c>
      <c r="AC431" s="984">
        <f>IF(OR(L431={"改紡","檢修","了機","清車","FINAL","停機","SAMPLE","TEST"}), "", IFERROR(IF(C431="", "", AVERAGE(L431:M431, P431:Q431, T431:U431, X431:Y431)/100), ""))</f>
        <v>95.8</v>
      </c>
      <c r="AD431" s="984">
        <f t="shared" si="68"/>
        <v>1.6666666666666667</v>
      </c>
      <c r="AE431" s="984" t="str">
        <f t="shared" si="75"/>
        <v/>
      </c>
      <c r="AF431" s="985" t="str">
        <f t="shared" si="69"/>
        <v>T</v>
      </c>
      <c r="AG431" s="1414">
        <v>2</v>
      </c>
      <c r="AH431" s="981" t="s">
        <v>15337</v>
      </c>
      <c r="AI431" s="986" t="s">
        <v>15337</v>
      </c>
      <c r="AJ431" s="986" t="s">
        <v>652</v>
      </c>
      <c r="AK431" s="1417" t="s">
        <v>652</v>
      </c>
      <c r="AL431" s="1415"/>
      <c r="AM431" s="1323"/>
      <c r="AN431" s="1323"/>
      <c r="AO431" s="1323"/>
      <c r="AP431" s="1323"/>
      <c r="AQ431" s="1323"/>
      <c r="AR431" s="987"/>
      <c r="AS431" s="978" t="str">
        <f t="shared" si="70"/>
        <v>雙</v>
      </c>
      <c r="AT431" s="978" t="str">
        <f t="shared" si="71"/>
        <v>半</v>
      </c>
      <c r="AU431" s="978">
        <f t="shared" si="72"/>
        <v>150</v>
      </c>
      <c r="AV431" s="978">
        <f t="shared" si="73"/>
        <v>3.4763903999999997</v>
      </c>
    </row>
    <row r="432" spans="1:48">
      <c r="A432" s="975">
        <f t="shared" si="76"/>
        <v>46153</v>
      </c>
      <c r="B432" s="976" t="s">
        <v>417</v>
      </c>
      <c r="C432" s="976" t="s">
        <v>16767</v>
      </c>
      <c r="D432" s="1410" t="s">
        <v>633</v>
      </c>
      <c r="E432" s="977" t="str">
        <f>IFERROR(VLOOKUP(C432, [6]條件!$A:$L, 5, 0), "")</f>
        <v>150/48/2SDr</v>
      </c>
      <c r="F432" s="978" t="str">
        <f>IFERROR(VLOOKUP(C432, [6]條件!$A:$L, 6, 0), "")</f>
        <v>FP82173R×2</v>
      </c>
      <c r="G432" s="1411">
        <f>IFERROR(VLOOKUP(C432, [6]條件!$A:$L, 7, 0), "")</f>
        <v>700</v>
      </c>
      <c r="H432" s="978" t="str">
        <f>IF(ISNA(VLOOKUP(C432,[6]條件!$A$1:$K$932,11,0)),"",(VLOOKUP(C432,[6]條件!$A$1:$K$932,11,0)))</f>
        <v>棕色</v>
      </c>
      <c r="I432" s="979">
        <f>IF(ISNA(VLOOKUP(C432,[6]條件!$A$1:$L$932,12,0)),"",(VLOOKUP(C432,[6]條件!$A$1:$L$932,12,0)))</f>
        <v>5.5</v>
      </c>
      <c r="J432" s="982">
        <v>16</v>
      </c>
      <c r="K432" s="980">
        <v>7</v>
      </c>
      <c r="L432" s="981">
        <v>10000</v>
      </c>
      <c r="M432" s="983">
        <v>9540</v>
      </c>
      <c r="N432" s="982">
        <v>1</v>
      </c>
      <c r="O432" s="980">
        <v>0</v>
      </c>
      <c r="P432" s="981">
        <v>10000</v>
      </c>
      <c r="Q432" s="983">
        <v>9540</v>
      </c>
      <c r="R432" s="982">
        <v>21</v>
      </c>
      <c r="S432" s="980">
        <v>0</v>
      </c>
      <c r="T432" s="981">
        <v>9630</v>
      </c>
      <c r="U432" s="983">
        <v>8440</v>
      </c>
      <c r="V432" s="982"/>
      <c r="W432" s="980"/>
      <c r="X432" s="981" t="s">
        <v>16778</v>
      </c>
      <c r="Y432" s="983"/>
      <c r="Z432" s="1412">
        <f>IFERROR(VLOOKUP(C432, [6]條件!$A:$L, 3, 0), "")</f>
        <v>5.8536585365853666</v>
      </c>
      <c r="AA432" s="984">
        <f>IF(OR(L432={"改紡","檢修","了機","清車","FINAL","停機","SAMPLE","TEST","絲開發"}), L432, IFERROR(IF(C432="", "", (SUM(J432, N432, R432, V432)/3 * AG432) * IF(AND(AF432="S", AS432="雙"), 0.5, 1)), ""))</f>
        <v>12.666666666666666</v>
      </c>
      <c r="AB432" s="1413">
        <f t="shared" si="74"/>
        <v>0.99425080128205123</v>
      </c>
      <c r="AC432" s="984">
        <f>IF(OR(L432={"改紡","檢修","了機","清車","FINAL","停機","SAMPLE","TEST"}), "", IFERROR(IF(C432="", "", AVERAGE(L432:M432, P432:Q432, T432:U432, X432:Y432)/100), ""))</f>
        <v>95.25</v>
      </c>
      <c r="AD432" s="984">
        <f t="shared" si="68"/>
        <v>1.5833333333333333</v>
      </c>
      <c r="AE432" s="984">
        <f t="shared" si="75"/>
        <v>1.2916666666666667</v>
      </c>
      <c r="AF432" s="985" t="str">
        <f t="shared" si="69"/>
        <v>T</v>
      </c>
      <c r="AG432" s="1414">
        <v>1</v>
      </c>
      <c r="AH432" s="981" t="s">
        <v>15337</v>
      </c>
      <c r="AI432" s="986" t="s">
        <v>15337</v>
      </c>
      <c r="AJ432" s="986" t="s">
        <v>652</v>
      </c>
      <c r="AK432" s="1417" t="s">
        <v>652</v>
      </c>
      <c r="AL432" s="1415">
        <v>56</v>
      </c>
      <c r="AM432" s="1323">
        <v>46149</v>
      </c>
      <c r="AN432" s="1323">
        <v>46150</v>
      </c>
      <c r="AO432" s="1323"/>
      <c r="AP432" s="1323"/>
      <c r="AQ432" s="1323"/>
      <c r="AR432" s="987"/>
      <c r="AS432" s="978" t="str">
        <f t="shared" si="70"/>
        <v>雙</v>
      </c>
      <c r="AT432" s="978" t="str">
        <f t="shared" si="71"/>
        <v>全</v>
      </c>
      <c r="AU432" s="978">
        <f t="shared" si="72"/>
        <v>150</v>
      </c>
      <c r="AV432" s="978">
        <f t="shared" si="73"/>
        <v>6.9128640000000008</v>
      </c>
    </row>
    <row r="433" spans="1:48">
      <c r="A433" s="975">
        <f t="shared" si="76"/>
        <v>46153</v>
      </c>
      <c r="B433" s="976" t="s">
        <v>240</v>
      </c>
      <c r="C433" s="976" t="s">
        <v>16776</v>
      </c>
      <c r="D433" s="1410"/>
      <c r="E433" s="977" t="str">
        <f>IFERROR(VLOOKUP(C433, [6]條件!$A:$L, 5, 0), "")</f>
        <v>50/72/2SDFFR</v>
      </c>
      <c r="F433" s="978" t="str">
        <f>IFERROR(VLOOKUP(C433, [6]條件!$A:$L, 6, 0), "")</f>
        <v>FP80099R×2</v>
      </c>
      <c r="G433" s="1411">
        <f>IFERROR(VLOOKUP(C433, [6]條件!$A:$L, 7, 0), "")</f>
        <v>500</v>
      </c>
      <c r="H433" s="978" t="str">
        <f>IF(ISNA(VLOOKUP(C433,[6]條件!$A$1:$K$932,11,0)),"",(VLOOKUP(C433,[6]條件!$A$1:$K$932,11,0)))</f>
        <v>白黑三角</v>
      </c>
      <c r="I433" s="979">
        <f>IF(ISNA(VLOOKUP(C433,[6]條件!$A$1:$L$932,12,0)),"",(VLOOKUP(C433,[6]條件!$A$1:$L$932,12,0)))</f>
        <v>4</v>
      </c>
      <c r="J433" s="982"/>
      <c r="K433" s="980"/>
      <c r="L433" s="981" t="s">
        <v>642</v>
      </c>
      <c r="M433" s="983"/>
      <c r="N433" s="982"/>
      <c r="O433" s="980"/>
      <c r="P433" s="981" t="s">
        <v>642</v>
      </c>
      <c r="Q433" s="983"/>
      <c r="R433" s="982"/>
      <c r="S433" s="980"/>
      <c r="T433" s="981" t="s">
        <v>477</v>
      </c>
      <c r="U433" s="983"/>
      <c r="V433" s="982">
        <v>10</v>
      </c>
      <c r="W433" s="980">
        <v>0</v>
      </c>
      <c r="X433" s="981">
        <v>1735</v>
      </c>
      <c r="Y433" s="983"/>
      <c r="Z433" s="1422">
        <f>IFERROR(VLOOKUP(C433, [6]條件!$A:$L, 3, 0), "")</f>
        <v>2.028169014084507</v>
      </c>
      <c r="AA433" s="1167" t="str">
        <f>IF(OR(L433={"改紡","檢修","了機","清車","FINAL","停機","SAMPLE","TEST","絲開發"}), L433, IFERROR(IF(C433="", "", (SUM(J433, N433, R433, V433)/3 * AG433) * IF(AND(AF433="S", AS433="雙"), 0.5, 1)), ""))</f>
        <v>改紡</v>
      </c>
      <c r="AB433" s="1423" t="str">
        <f>IF(K433="","",IF(ISERROR(1-((SUM(K433,O433,S433,W433)/((AG433*12)-(AG433*0.44)))/Z433)),"",(1-((SUM(K433,O433,S433,W433)/((AG433*12)-(AG433*0.44)))/Z433))))</f>
        <v/>
      </c>
      <c r="AC433" s="1167" t="str">
        <f>IF(OR(L433={"改紡","檢修","了機","清車","FINAL","停機","SAMPLE","TEST"}), "", IFERROR(IF(C433="", "", AVERAGE(L433:M433, P433:Q433, T433:U433, X433:Y433)/100), ""))</f>
        <v/>
      </c>
      <c r="AD433" s="1167" t="str">
        <f t="shared" si="68"/>
        <v/>
      </c>
      <c r="AE433" s="1167" t="str">
        <f>IF(P433="了機","",IF(J433="","",IF(ISERROR((SUM(J433,N433,R433,V433)-SUM(K433,O433,S433,W433))/24),"",((SUM(J433,N433,R433,V433)-SUM(K433,O433,S433,W433))/24))))</f>
        <v/>
      </c>
      <c r="AF433" s="1168" t="str">
        <f t="shared" si="69"/>
        <v>S</v>
      </c>
      <c r="AG433" s="1424">
        <v>3</v>
      </c>
      <c r="AH433" s="981" t="s">
        <v>814</v>
      </c>
      <c r="AI433" s="986" t="s">
        <v>814</v>
      </c>
      <c r="AJ433" s="986" t="s">
        <v>829</v>
      </c>
      <c r="AK433" s="1417" t="s">
        <v>829</v>
      </c>
      <c r="AL433" s="1415"/>
      <c r="AM433" s="1323"/>
      <c r="AN433" s="1323"/>
      <c r="AO433" s="1323"/>
      <c r="AP433" s="1323"/>
      <c r="AQ433" s="1323"/>
      <c r="AR433" s="987"/>
      <c r="AS433" s="978" t="str">
        <f t="shared" si="70"/>
        <v>雙</v>
      </c>
      <c r="AT433" s="978" t="str">
        <f t="shared" si="71"/>
        <v>3sec</v>
      </c>
      <c r="AU433" s="978">
        <f t="shared" si="72"/>
        <v>50</v>
      </c>
      <c r="AV433" s="978" t="str">
        <f t="shared" si="73"/>
        <v/>
      </c>
    </row>
    <row r="434" spans="1:48">
      <c r="A434" s="975">
        <f t="shared" si="76"/>
        <v>46153</v>
      </c>
      <c r="B434" s="976" t="s">
        <v>240</v>
      </c>
      <c r="C434" s="976" t="s">
        <v>16777</v>
      </c>
      <c r="D434" s="1410"/>
      <c r="E434" s="977" t="str">
        <f>IFERROR(VLOOKUP(C434, [6]條件!$A:$L, 5, 0), "")</f>
        <v>75/72/2SDFFR</v>
      </c>
      <c r="F434" s="978" t="str">
        <f>IFERROR(VLOOKUP(C434, [6]條件!$A:$L, 6, 0), "")</f>
        <v>FP81209R×2</v>
      </c>
      <c r="G434" s="1411">
        <f>IFERROR(VLOOKUP(C434, [6]條件!$A:$L, 7, 0), "")</f>
        <v>600</v>
      </c>
      <c r="H434" s="978" t="str">
        <f>IF(ISNA(VLOOKUP(C434,[6]條件!$A$1:$K$932,11,0)),"",(VLOOKUP(C434,[6]條件!$A$1:$K$932,11,0)))</f>
        <v>白底紅十字</v>
      </c>
      <c r="I434" s="979">
        <f>IF(ISNA(VLOOKUP(C434,[6]條件!$A$1:$L$932,12,0)),"",(VLOOKUP(C434,[6]條件!$A$1:$L$932,12,0)))</f>
        <v>5</v>
      </c>
      <c r="J434" s="982"/>
      <c r="K434" s="980"/>
      <c r="L434" s="981" t="s">
        <v>642</v>
      </c>
      <c r="M434" s="983"/>
      <c r="N434" s="982"/>
      <c r="O434" s="980"/>
      <c r="P434" s="981" t="s">
        <v>642</v>
      </c>
      <c r="Q434" s="983"/>
      <c r="R434" s="982"/>
      <c r="S434" s="980"/>
      <c r="T434" s="981" t="s">
        <v>477</v>
      </c>
      <c r="U434" s="983"/>
      <c r="V434" s="982">
        <v>12</v>
      </c>
      <c r="W434" s="980">
        <v>0</v>
      </c>
      <c r="X434" s="981">
        <v>1735</v>
      </c>
      <c r="Y434" s="983"/>
      <c r="Z434" s="1422">
        <f>IFERROR(VLOOKUP(C434, [6]條件!$A:$L, 3, 0), "")</f>
        <v>2.7852998065764023</v>
      </c>
      <c r="AA434" s="1167" t="str">
        <f>IF(OR(L434={"改紡","檢修","了機","清車","FINAL","停機","SAMPLE","TEST","絲開發"}), L434, IFERROR(IF(C434="", "", (SUM(J434, N434, R434, V434)/3 * AG434) * IF(AND(AF434="S", AS434="雙"), 0.5, 1)), ""))</f>
        <v>改紡</v>
      </c>
      <c r="AB434" s="1423" t="str">
        <f>IF(K434="","",IF(ISERROR(1-((SUM(K434,O434,S434,W434)/((AG434*12)-(AG434*0.44)))/Z434)),"",(1-((SUM(K434,O434,S434,W434)/((AG434*12)-(AG434*0.44)))/Z434))))</f>
        <v/>
      </c>
      <c r="AC434" s="1167" t="str">
        <f>IF(OR(L434={"改紡","檢修","了機","清車","FINAL","停機","SAMPLE","TEST"}), "", IFERROR(IF(C434="", "", AVERAGE(L434:M434, P434:Q434, T434:U434, X434:Y434)/100), ""))</f>
        <v/>
      </c>
      <c r="AD434" s="1167" t="str">
        <f t="shared" si="68"/>
        <v/>
      </c>
      <c r="AE434" s="1167" t="str">
        <f>IF(P434="了機","",IF(J434="","",IF(ISERROR((SUM(J434,N434,R434,V434)-SUM(K434,O434,S434,W434))/24),"",((SUM(J434,N434,R434,V434)-SUM(K434,O434,S434,W434))/24))))</f>
        <v/>
      </c>
      <c r="AF434" s="1168" t="str">
        <f t="shared" si="69"/>
        <v>S</v>
      </c>
      <c r="AG434" s="1424">
        <v>3</v>
      </c>
      <c r="AH434" s="981" t="s">
        <v>814</v>
      </c>
      <c r="AI434" s="986" t="s">
        <v>814</v>
      </c>
      <c r="AJ434" s="986" t="s">
        <v>829</v>
      </c>
      <c r="AK434" s="1417" t="s">
        <v>829</v>
      </c>
      <c r="AL434" s="1415"/>
      <c r="AM434" s="1323"/>
      <c r="AN434" s="1323"/>
      <c r="AO434" s="1323"/>
      <c r="AP434" s="1323"/>
      <c r="AQ434" s="1323"/>
      <c r="AR434" s="987"/>
      <c r="AS434" s="978" t="str">
        <f t="shared" si="70"/>
        <v>雙</v>
      </c>
      <c r="AT434" s="978" t="str">
        <f t="shared" si="71"/>
        <v>3sec</v>
      </c>
      <c r="AU434" s="978">
        <f t="shared" si="72"/>
        <v>75</v>
      </c>
      <c r="AV434" s="978" t="str">
        <f t="shared" si="73"/>
        <v/>
      </c>
    </row>
    <row r="435" spans="1:48">
      <c r="A435" s="975">
        <f t="shared" si="76"/>
        <v>46153</v>
      </c>
      <c r="B435" s="976" t="s">
        <v>242</v>
      </c>
      <c r="C435" s="976" t="s">
        <v>385</v>
      </c>
      <c r="D435" s="1410"/>
      <c r="E435" s="977" t="str">
        <f>IFERROR(VLOOKUP(C435, [6]條件!$A:$L, 5, 0), "")</f>
        <v/>
      </c>
      <c r="F435" s="978" t="str">
        <f>IFERROR(VLOOKUP(C435, [6]條件!$A:$L, 6, 0), "")</f>
        <v/>
      </c>
      <c r="G435" s="1411" t="str">
        <f>IFERROR(VLOOKUP(C435, [6]條件!$A:$L, 7, 0), "")</f>
        <v/>
      </c>
      <c r="H435" s="978" t="str">
        <f>IF(ISNA(VLOOKUP(C435,[6]條件!$A$1:$K$932,11,0)),"",(VLOOKUP(C435,[6]條件!$A$1:$K$932,11,0)))</f>
        <v/>
      </c>
      <c r="I435" s="979" t="str">
        <f>IF(ISNA(VLOOKUP(C435,[6]條件!$A$1:$L$932,12,0)),"",(VLOOKUP(C435,[6]條件!$A$1:$L$932,12,0)))</f>
        <v/>
      </c>
      <c r="J435" s="982"/>
      <c r="K435" s="980"/>
      <c r="L435" s="981" t="s">
        <v>385</v>
      </c>
      <c r="M435" s="983"/>
      <c r="N435" s="982"/>
      <c r="O435" s="980"/>
      <c r="P435" s="981" t="s">
        <v>385</v>
      </c>
      <c r="Q435" s="983"/>
      <c r="R435" s="982"/>
      <c r="S435" s="980"/>
      <c r="T435" s="981" t="s">
        <v>385</v>
      </c>
      <c r="U435" s="983"/>
      <c r="V435" s="982"/>
      <c r="W435" s="980"/>
      <c r="X435" s="981" t="s">
        <v>385</v>
      </c>
      <c r="Y435" s="983"/>
      <c r="Z435" s="1422" t="str">
        <f>IFERROR(VLOOKUP(C435, [6]條件!$A:$L, 3, 0), "")</f>
        <v/>
      </c>
      <c r="AA435" s="1167" t="str">
        <f>IF(OR(L435={"改紡","檢修","了機","清車","FINAL","停機","SAMPLE","TEST","絲開發"}), L435, IFERROR(IF(C435="", "", (SUM(J435, N435, R435, V435)/3 * AG435) * IF(AND(AF435="S", AS435="雙"), 0.5, 1)), ""))</f>
        <v>絲開發</v>
      </c>
      <c r="AB435" s="1423" t="str">
        <f>IF(K435="","",IF(ISERROR(1-((SUM(K435,O435,S435,W435)/((AG435*12)-(AG435*0.44)))/Z435)),"",(1-((SUM(K435,O435,S435,W435)/((AG435*12)-(AG435*0.44)))/Z435))))</f>
        <v/>
      </c>
      <c r="AC435" s="1167" t="str">
        <f>IF(OR(L435={"改紡","檢修","了機","清車","FINAL","停機","SAMPLE","TEST"}), "", IFERROR(IF(C435="", "", AVERAGE(L435:M435, P435:Q435, T435:U435, X435:Y435)/100), ""))</f>
        <v/>
      </c>
      <c r="AD435" s="1167" t="str">
        <f t="shared" si="68"/>
        <v/>
      </c>
      <c r="AE435" s="1167" t="str">
        <f>IF(P435="了機","",IF(J435="","",IF(ISERROR((SUM(J435,N435,R435,V435)-SUM(K435,O435,S435,W435))/24),"",((SUM(J435,N435,R435,V435)-SUM(K435,O435,S435,W435))/24))))</f>
        <v/>
      </c>
      <c r="AF435" s="1168" t="str">
        <f t="shared" si="69"/>
        <v>S</v>
      </c>
      <c r="AG435" s="1424">
        <v>5</v>
      </c>
      <c r="AH435" s="981" t="s">
        <v>814</v>
      </c>
      <c r="AI435" s="986" t="s">
        <v>814</v>
      </c>
      <c r="AJ435" s="986" t="s">
        <v>829</v>
      </c>
      <c r="AK435" s="1417" t="s">
        <v>829</v>
      </c>
      <c r="AL435" s="1415"/>
      <c r="AM435" s="1323"/>
      <c r="AN435" s="1323"/>
      <c r="AO435" s="1323"/>
      <c r="AP435" s="1323"/>
      <c r="AQ435" s="1323"/>
      <c r="AR435" s="987"/>
      <c r="AS435" s="978" t="str">
        <f t="shared" si="70"/>
        <v>單</v>
      </c>
      <c r="AT435" s="978" t="str">
        <f t="shared" si="71"/>
        <v>5sec</v>
      </c>
      <c r="AU435" s="978" t="str">
        <f t="shared" si="72"/>
        <v/>
      </c>
      <c r="AV435" s="978" t="str">
        <f t="shared" si="73"/>
        <v/>
      </c>
    </row>
    <row r="436" spans="1:48">
      <c r="A436" s="975">
        <f t="shared" si="76"/>
        <v>46153</v>
      </c>
      <c r="B436" s="976" t="s">
        <v>16078</v>
      </c>
      <c r="C436" s="988" t="s">
        <v>16185</v>
      </c>
      <c r="D436" s="1410"/>
      <c r="E436" s="977" t="str">
        <f>IFERROR(VLOOKUP(C436, [6]條件!$A:$L, 5, 0), "")</f>
        <v/>
      </c>
      <c r="F436" s="978" t="str">
        <f>IFERROR(VLOOKUP(C436, [6]條件!$A:$L, 6, 0), "")</f>
        <v/>
      </c>
      <c r="G436" s="1411" t="str">
        <f>IFERROR(VLOOKUP(C436, [6]條件!$A:$L, 7, 0), "")</f>
        <v/>
      </c>
      <c r="H436" s="978" t="str">
        <f>IF(ISNA(VLOOKUP(C436,[6]條件!$A$1:$K$932,11,0)),"",(VLOOKUP(C436,[6]條件!$A$1:$K$932,11,0)))</f>
        <v/>
      </c>
      <c r="I436" s="979" t="str">
        <f>IF(ISNA(VLOOKUP(C436,[6]條件!$A$1:$L$932,12,0)),"",(VLOOKUP(C436,[6]條件!$A$1:$L$932,12,0)))</f>
        <v/>
      </c>
      <c r="J436" s="982"/>
      <c r="K436" s="980"/>
      <c r="L436" s="981" t="s">
        <v>632</v>
      </c>
      <c r="M436" s="983"/>
      <c r="N436" s="982"/>
      <c r="O436" s="980"/>
      <c r="P436" s="981" t="s">
        <v>632</v>
      </c>
      <c r="Q436" s="983"/>
      <c r="R436" s="982"/>
      <c r="S436" s="980"/>
      <c r="T436" s="981" t="s">
        <v>632</v>
      </c>
      <c r="U436" s="983"/>
      <c r="V436" s="982"/>
      <c r="W436" s="980"/>
      <c r="X436" s="981" t="s">
        <v>632</v>
      </c>
      <c r="Y436" s="983"/>
      <c r="Z436" s="1412" t="str">
        <f>IFERROR(VLOOKUP(C436, [6]條件!$A:$L, 3, 0), "")</f>
        <v/>
      </c>
      <c r="AA436" s="984" t="str">
        <f>IF(OR(L436={"改紡","檢修","了機","清車","FINAL","停機","SAMPLE","TEST","絲開發"}), L436, IFERROR(IF(C436="", "", (SUM(J436, N436, R436, V436)/3 * AG436) * IF(AND(AF436="S", AS436="雙"), 0.5, 1)), ""))</f>
        <v>停機</v>
      </c>
      <c r="AB436" s="1413" t="str">
        <f t="shared" ref="AB436:AB472" si="77">IF(K436="","",IF(ISERROR(1-(SUM(K436,O436,S436,W436)/208/Z436)),"",(1-(SUM(K436,O436,S436,W436)/208/Z436))))</f>
        <v/>
      </c>
      <c r="AC436" s="984" t="str">
        <f>IF(OR(L436={"改紡","檢修","了機","清車","FINAL","停機","SAMPLE","TEST"}), "", IFERROR(IF(C436="", "", AVERAGE(L436:M436, P436:Q436, T436:U436, X436:Y436)/100), ""))</f>
        <v/>
      </c>
      <c r="AD436" s="984" t="str">
        <f t="shared" si="68"/>
        <v/>
      </c>
      <c r="AE436" s="984" t="str">
        <f>IF(OR(L436="改紡", L436="檢修", L436="了機"), "",
   IF(AND(C436&lt;&gt;"", J436&lt;&gt;""),
      IFERROR((SUM(J436, N436, R436, V436) - SUM(K436, O436, S436, W436))/24 * AG436, ""),
   "")
)</f>
        <v/>
      </c>
      <c r="AF436" s="985" t="str">
        <f t="shared" si="69"/>
        <v>M</v>
      </c>
      <c r="AG436" s="1414">
        <v>1</v>
      </c>
      <c r="AH436" s="981" t="s">
        <v>640</v>
      </c>
      <c r="AI436" s="986" t="s">
        <v>640</v>
      </c>
      <c r="AJ436" s="986" t="s">
        <v>640</v>
      </c>
      <c r="AK436" s="1417" t="s">
        <v>640</v>
      </c>
      <c r="AL436" s="1415"/>
      <c r="AM436" s="1323"/>
      <c r="AN436" s="1323"/>
      <c r="AO436" s="1323"/>
      <c r="AP436" s="1323"/>
      <c r="AQ436" s="1323"/>
      <c r="AR436" s="987"/>
      <c r="AS436" s="978" t="str">
        <f t="shared" si="70"/>
        <v>單</v>
      </c>
      <c r="AT436" s="978" t="str">
        <f t="shared" si="71"/>
        <v>全</v>
      </c>
      <c r="AU436" s="978" t="str">
        <f t="shared" si="72"/>
        <v/>
      </c>
      <c r="AV436" s="978" t="str">
        <f t="shared" si="73"/>
        <v/>
      </c>
    </row>
    <row r="437" spans="1:48">
      <c r="A437" s="975">
        <f t="shared" si="76"/>
        <v>46153</v>
      </c>
      <c r="B437" s="976" t="s">
        <v>243</v>
      </c>
      <c r="C437" s="988" t="s">
        <v>16185</v>
      </c>
      <c r="D437" s="1410"/>
      <c r="E437" s="977" t="str">
        <f>IFERROR(VLOOKUP(C437, [6]條件!$A:$L, 5, 0), "")</f>
        <v/>
      </c>
      <c r="F437" s="978" t="str">
        <f>IFERROR(VLOOKUP(C437, [6]條件!$A:$L, 6, 0), "")</f>
        <v/>
      </c>
      <c r="G437" s="1411" t="str">
        <f>IFERROR(VLOOKUP(C437, [6]條件!$A:$L, 7, 0), "")</f>
        <v/>
      </c>
      <c r="H437" s="978" t="str">
        <f>IF(ISNA(VLOOKUP(C437,[6]條件!$A$1:$K$932,11,0)),"",(VLOOKUP(C437,[6]條件!$A$1:$K$932,11,0)))</f>
        <v/>
      </c>
      <c r="I437" s="979" t="str">
        <f>IF(ISNA(VLOOKUP(C437,[6]條件!$A$1:$L$932,12,0)),"",(VLOOKUP(C437,[6]條件!$A$1:$L$932,12,0)))</f>
        <v/>
      </c>
      <c r="J437" s="982"/>
      <c r="K437" s="980"/>
      <c r="L437" s="981" t="s">
        <v>632</v>
      </c>
      <c r="M437" s="983"/>
      <c r="N437" s="982"/>
      <c r="O437" s="980"/>
      <c r="P437" s="981" t="s">
        <v>632</v>
      </c>
      <c r="Q437" s="983"/>
      <c r="R437" s="982"/>
      <c r="S437" s="980"/>
      <c r="T437" s="981" t="s">
        <v>632</v>
      </c>
      <c r="U437" s="983"/>
      <c r="V437" s="982"/>
      <c r="W437" s="980"/>
      <c r="X437" s="981" t="s">
        <v>632</v>
      </c>
      <c r="Y437" s="983"/>
      <c r="Z437" s="1412" t="str">
        <f>IFERROR(VLOOKUP(C437, [6]條件!$A:$L, 3, 0), "")</f>
        <v/>
      </c>
      <c r="AA437" s="984" t="str">
        <f>IF(OR(L437={"改紡","檢修","了機","清車","FINAL","停機","SAMPLE","TEST","絲開發"}), L437, IFERROR(IF(C437="", "", (SUM(J437, N437, R437, V437)/3 * AG437) * IF(AND(AF437="S", AS437="雙"), 0.5, 1)), ""))</f>
        <v>停機</v>
      </c>
      <c r="AB437" s="1413" t="str">
        <f t="shared" si="77"/>
        <v/>
      </c>
      <c r="AC437" s="984" t="str">
        <f>IF(OR(L437={"改紡","檢修","了機","清車","FINAL","停機","SAMPLE","TEST"}), "", IFERROR(IF(C437="", "", AVERAGE(L437:M437, P437:Q437, T437:U437, X437:Y437)/100), ""))</f>
        <v/>
      </c>
      <c r="AD437" s="984" t="str">
        <f t="shared" si="68"/>
        <v/>
      </c>
      <c r="AE437" s="984" t="str">
        <f t="shared" ref="AE437:AE472" si="78">IF(OR(L437="改紡", L437="檢修", L437="了機"), "",
IF(AND(C437&lt;&gt;"", J437&lt;&gt;""),
IFERROR((SUM(J437, N437, R437, V437) - SUM(K437, O437, S437, W437))/24 * AG437, ""),
"")
)</f>
        <v/>
      </c>
      <c r="AF437" s="985" t="str">
        <f t="shared" si="69"/>
        <v>M</v>
      </c>
      <c r="AG437" s="1414">
        <v>1</v>
      </c>
      <c r="AH437" s="981" t="s">
        <v>640</v>
      </c>
      <c r="AI437" s="986" t="s">
        <v>640</v>
      </c>
      <c r="AJ437" s="986" t="s">
        <v>640</v>
      </c>
      <c r="AK437" s="1417" t="s">
        <v>640</v>
      </c>
      <c r="AL437" s="1415"/>
      <c r="AM437" s="1323"/>
      <c r="AN437" s="1323"/>
      <c r="AO437" s="1323"/>
      <c r="AP437" s="1323"/>
      <c r="AQ437" s="1323"/>
      <c r="AR437" s="987"/>
      <c r="AS437" s="978" t="str">
        <f t="shared" si="70"/>
        <v>單</v>
      </c>
      <c r="AT437" s="978" t="str">
        <f t="shared" si="71"/>
        <v>全</v>
      </c>
      <c r="AU437" s="978" t="str">
        <f t="shared" si="72"/>
        <v/>
      </c>
      <c r="AV437" s="978" t="str">
        <f t="shared" si="73"/>
        <v/>
      </c>
    </row>
    <row r="438" spans="1:48">
      <c r="A438" s="975">
        <f t="shared" si="76"/>
        <v>46153</v>
      </c>
      <c r="B438" s="976" t="s">
        <v>244</v>
      </c>
      <c r="C438" s="988" t="s">
        <v>16185</v>
      </c>
      <c r="D438" s="1410"/>
      <c r="E438" s="977" t="str">
        <f>IFERROR(VLOOKUP(C438, [6]條件!$A:$L, 5, 0), "")</f>
        <v/>
      </c>
      <c r="F438" s="978" t="str">
        <f>IFERROR(VLOOKUP(C438, [6]條件!$A:$L, 6, 0), "")</f>
        <v/>
      </c>
      <c r="G438" s="1411" t="str">
        <f>IFERROR(VLOOKUP(C438, [6]條件!$A:$L, 7, 0), "")</f>
        <v/>
      </c>
      <c r="H438" s="978" t="str">
        <f>IF(ISNA(VLOOKUP(C438,[6]條件!$A$1:$K$932,11,0)),"",(VLOOKUP(C438,[6]條件!$A$1:$K$932,11,0)))</f>
        <v/>
      </c>
      <c r="I438" s="979" t="str">
        <f>IF(ISNA(VLOOKUP(C438,[6]條件!$A$1:$L$932,12,0)),"",(VLOOKUP(C438,[6]條件!$A$1:$L$932,12,0)))</f>
        <v/>
      </c>
      <c r="J438" s="982"/>
      <c r="K438" s="980"/>
      <c r="L438" s="981" t="s">
        <v>632</v>
      </c>
      <c r="M438" s="983"/>
      <c r="N438" s="982"/>
      <c r="O438" s="980"/>
      <c r="P438" s="981" t="s">
        <v>632</v>
      </c>
      <c r="Q438" s="983"/>
      <c r="R438" s="982"/>
      <c r="S438" s="980"/>
      <c r="T438" s="981" t="s">
        <v>632</v>
      </c>
      <c r="U438" s="983"/>
      <c r="V438" s="982"/>
      <c r="W438" s="980"/>
      <c r="X438" s="981" t="s">
        <v>632</v>
      </c>
      <c r="Y438" s="983"/>
      <c r="Z438" s="1412" t="str">
        <f>IFERROR(VLOOKUP(C438, [6]條件!$A:$L, 3, 0), "")</f>
        <v/>
      </c>
      <c r="AA438" s="984" t="str">
        <f>IF(OR(L438={"改紡","檢修","了機","清車","FINAL","停機","SAMPLE","TEST","絲開發"}), L438, IFERROR(IF(C438="", "", (SUM(J438, N438, R438, V438)/3 * AG438) * IF(AND(AF438="S", AS438="雙"), 0.5, 1)), ""))</f>
        <v>停機</v>
      </c>
      <c r="AB438" s="1413" t="str">
        <f t="shared" si="77"/>
        <v/>
      </c>
      <c r="AC438" s="984" t="str">
        <f>IF(OR(L438={"改紡","檢修","了機","清車","FINAL","停機","SAMPLE","TEST"}), "", IFERROR(IF(C438="", "", AVERAGE(L438:M438, P438:Q438, T438:U438, X438:Y438)/100), ""))</f>
        <v/>
      </c>
      <c r="AD438" s="984" t="str">
        <f t="shared" si="68"/>
        <v/>
      </c>
      <c r="AE438" s="984" t="str">
        <f t="shared" si="78"/>
        <v/>
      </c>
      <c r="AF438" s="985" t="str">
        <f t="shared" si="69"/>
        <v>M</v>
      </c>
      <c r="AG438" s="1414">
        <v>1</v>
      </c>
      <c r="AH438" s="981" t="s">
        <v>640</v>
      </c>
      <c r="AI438" s="986" t="s">
        <v>640</v>
      </c>
      <c r="AJ438" s="986" t="s">
        <v>640</v>
      </c>
      <c r="AK438" s="1417" t="s">
        <v>640</v>
      </c>
      <c r="AL438" s="1415"/>
      <c r="AM438" s="1323"/>
      <c r="AN438" s="1323"/>
      <c r="AO438" s="1323"/>
      <c r="AP438" s="1323"/>
      <c r="AQ438" s="1323"/>
      <c r="AR438" s="987"/>
      <c r="AS438" s="978" t="str">
        <f t="shared" si="70"/>
        <v>單</v>
      </c>
      <c r="AT438" s="978" t="str">
        <f t="shared" si="71"/>
        <v>全</v>
      </c>
      <c r="AU438" s="978" t="str">
        <f t="shared" si="72"/>
        <v/>
      </c>
      <c r="AV438" s="978" t="str">
        <f t="shared" si="73"/>
        <v/>
      </c>
    </row>
    <row r="439" spans="1:48">
      <c r="A439" s="975">
        <f t="shared" si="76"/>
        <v>46153</v>
      </c>
      <c r="B439" s="976" t="s">
        <v>245</v>
      </c>
      <c r="C439" s="988" t="s">
        <v>16185</v>
      </c>
      <c r="D439" s="1410"/>
      <c r="E439" s="977" t="str">
        <f>IFERROR(VLOOKUP(C439, [6]條件!$A:$L, 5, 0), "")</f>
        <v/>
      </c>
      <c r="F439" s="978" t="str">
        <f>IFERROR(VLOOKUP(C439, [6]條件!$A:$L, 6, 0), "")</f>
        <v/>
      </c>
      <c r="G439" s="1411" t="str">
        <f>IFERROR(VLOOKUP(C439, [6]條件!$A:$L, 7, 0), "")</f>
        <v/>
      </c>
      <c r="H439" s="978" t="str">
        <f>IF(ISNA(VLOOKUP(C439,[6]條件!$A$1:$K$932,11,0)),"",(VLOOKUP(C439,[6]條件!$A$1:$K$932,11,0)))</f>
        <v/>
      </c>
      <c r="I439" s="979" t="str">
        <f>IF(ISNA(VLOOKUP(C439,[6]條件!$A$1:$L$932,12,0)),"",(VLOOKUP(C439,[6]條件!$A$1:$L$932,12,0)))</f>
        <v/>
      </c>
      <c r="J439" s="982"/>
      <c r="K439" s="980"/>
      <c r="L439" s="981" t="s">
        <v>632</v>
      </c>
      <c r="M439" s="983"/>
      <c r="N439" s="982"/>
      <c r="O439" s="980"/>
      <c r="P439" s="981" t="s">
        <v>632</v>
      </c>
      <c r="Q439" s="983"/>
      <c r="R439" s="982"/>
      <c r="S439" s="980"/>
      <c r="T439" s="981" t="s">
        <v>632</v>
      </c>
      <c r="U439" s="983"/>
      <c r="V439" s="982"/>
      <c r="W439" s="980"/>
      <c r="X439" s="981" t="s">
        <v>632</v>
      </c>
      <c r="Y439" s="983"/>
      <c r="Z439" s="1412" t="str">
        <f>IFERROR(VLOOKUP(C439, [6]條件!$A:$L, 3, 0), "")</f>
        <v/>
      </c>
      <c r="AA439" s="984" t="str">
        <f>IF(OR(L439={"改紡","檢修","了機","清車","FINAL","停機","SAMPLE","TEST","絲開發"}), L439, IFERROR(IF(C439="", "", (SUM(J439, N439, R439, V439)/3 * AG439) * IF(AND(AF439="S", AS439="雙"), 0.5, 1)), ""))</f>
        <v>停機</v>
      </c>
      <c r="AB439" s="1413" t="str">
        <f t="shared" si="77"/>
        <v/>
      </c>
      <c r="AC439" s="984" t="str">
        <f>IF(OR(L439={"改紡","檢修","了機","清車","FINAL","停機","SAMPLE","TEST"}), "", IFERROR(IF(C439="", "", AVERAGE(L439:M439, P439:Q439, T439:U439, X439:Y439)/100), ""))</f>
        <v/>
      </c>
      <c r="AD439" s="984" t="str">
        <f t="shared" si="68"/>
        <v/>
      </c>
      <c r="AE439" s="984" t="str">
        <f t="shared" si="78"/>
        <v/>
      </c>
      <c r="AF439" s="985" t="str">
        <f t="shared" si="69"/>
        <v>M</v>
      </c>
      <c r="AG439" s="1414">
        <v>1</v>
      </c>
      <c r="AH439" s="981" t="s">
        <v>640</v>
      </c>
      <c r="AI439" s="986" t="s">
        <v>640</v>
      </c>
      <c r="AJ439" s="986" t="s">
        <v>640</v>
      </c>
      <c r="AK439" s="1417" t="s">
        <v>640</v>
      </c>
      <c r="AL439" s="1415"/>
      <c r="AM439" s="1323"/>
      <c r="AN439" s="1323"/>
      <c r="AO439" s="1323"/>
      <c r="AP439" s="1323"/>
      <c r="AQ439" s="1323"/>
      <c r="AR439" s="987"/>
      <c r="AS439" s="978" t="str">
        <f t="shared" si="70"/>
        <v>單</v>
      </c>
      <c r="AT439" s="978" t="str">
        <f t="shared" si="71"/>
        <v>全</v>
      </c>
      <c r="AU439" s="978" t="str">
        <f t="shared" si="72"/>
        <v/>
      </c>
      <c r="AV439" s="978" t="str">
        <f t="shared" si="73"/>
        <v/>
      </c>
    </row>
    <row r="440" spans="1:48">
      <c r="A440" s="975">
        <f t="shared" si="76"/>
        <v>46153</v>
      </c>
      <c r="B440" s="976" t="s">
        <v>246</v>
      </c>
      <c r="C440" s="988" t="s">
        <v>16185</v>
      </c>
      <c r="D440" s="1410"/>
      <c r="E440" s="977" t="str">
        <f>IFERROR(VLOOKUP(C440, [6]條件!$A:$L, 5, 0), "")</f>
        <v/>
      </c>
      <c r="F440" s="978" t="str">
        <f>IFERROR(VLOOKUP(C440, [6]條件!$A:$L, 6, 0), "")</f>
        <v/>
      </c>
      <c r="G440" s="1411" t="str">
        <f>IFERROR(VLOOKUP(C440, [6]條件!$A:$L, 7, 0), "")</f>
        <v/>
      </c>
      <c r="H440" s="978" t="str">
        <f>IF(ISNA(VLOOKUP(C440,[6]條件!$A$1:$K$932,11,0)),"",(VLOOKUP(C440,[6]條件!$A$1:$K$932,11,0)))</f>
        <v/>
      </c>
      <c r="I440" s="979" t="str">
        <f>IF(ISNA(VLOOKUP(C440,[6]條件!$A$1:$L$932,12,0)),"",(VLOOKUP(C440,[6]條件!$A$1:$L$932,12,0)))</f>
        <v/>
      </c>
      <c r="J440" s="982"/>
      <c r="K440" s="980"/>
      <c r="L440" s="981" t="s">
        <v>632</v>
      </c>
      <c r="M440" s="983"/>
      <c r="N440" s="982"/>
      <c r="O440" s="980"/>
      <c r="P440" s="981" t="s">
        <v>632</v>
      </c>
      <c r="Q440" s="983"/>
      <c r="R440" s="982"/>
      <c r="S440" s="980"/>
      <c r="T440" s="981" t="s">
        <v>632</v>
      </c>
      <c r="U440" s="983"/>
      <c r="V440" s="982"/>
      <c r="W440" s="980"/>
      <c r="X440" s="981" t="s">
        <v>632</v>
      </c>
      <c r="Y440" s="983"/>
      <c r="Z440" s="1412" t="str">
        <f>IFERROR(VLOOKUP(C440, [6]條件!$A:$L, 3, 0), "")</f>
        <v/>
      </c>
      <c r="AA440" s="984" t="str">
        <f>IF(OR(L440={"改紡","檢修","了機","清車","FINAL","停機","SAMPLE","TEST","絲開發"}), L440, IFERROR(IF(C440="", "", (SUM(J440, N440, R440, V440)/3 * AG440) * IF(AND(AF440="S", AS440="雙"), 0.5, 1)), ""))</f>
        <v>停機</v>
      </c>
      <c r="AB440" s="1413" t="str">
        <f t="shared" si="77"/>
        <v/>
      </c>
      <c r="AC440" s="984" t="str">
        <f>IF(OR(L440={"改紡","檢修","了機","清車","FINAL","停機","SAMPLE","TEST"}), "", IFERROR(IF(C440="", "", AVERAGE(L440:M440, P440:Q440, T440:U440, X440:Y440)/100), ""))</f>
        <v/>
      </c>
      <c r="AD440" s="984" t="str">
        <f t="shared" si="68"/>
        <v/>
      </c>
      <c r="AE440" s="984" t="str">
        <f t="shared" si="78"/>
        <v/>
      </c>
      <c r="AF440" s="985" t="str">
        <f t="shared" si="69"/>
        <v>M</v>
      </c>
      <c r="AG440" s="1414">
        <v>1</v>
      </c>
      <c r="AH440" s="981" t="s">
        <v>640</v>
      </c>
      <c r="AI440" s="986" t="s">
        <v>640</v>
      </c>
      <c r="AJ440" s="986" t="s">
        <v>640</v>
      </c>
      <c r="AK440" s="1417" t="s">
        <v>640</v>
      </c>
      <c r="AL440" s="1415"/>
      <c r="AM440" s="1323"/>
      <c r="AN440" s="1323"/>
      <c r="AO440" s="1323"/>
      <c r="AP440" s="1323"/>
      <c r="AQ440" s="1323"/>
      <c r="AR440" s="987"/>
      <c r="AS440" s="978" t="str">
        <f t="shared" si="70"/>
        <v>單</v>
      </c>
      <c r="AT440" s="978" t="str">
        <f t="shared" si="71"/>
        <v>全</v>
      </c>
      <c r="AU440" s="978" t="str">
        <f t="shared" si="72"/>
        <v/>
      </c>
      <c r="AV440" s="978" t="str">
        <f t="shared" si="73"/>
        <v/>
      </c>
    </row>
    <row r="441" spans="1:48">
      <c r="A441" s="975">
        <f t="shared" si="76"/>
        <v>46153</v>
      </c>
      <c r="B441" s="976" t="s">
        <v>247</v>
      </c>
      <c r="C441" s="988" t="s">
        <v>16185</v>
      </c>
      <c r="D441" s="1410"/>
      <c r="E441" s="977" t="str">
        <f>IFERROR(VLOOKUP(C441, [6]條件!$A:$L, 5, 0), "")</f>
        <v/>
      </c>
      <c r="F441" s="978" t="str">
        <f>IFERROR(VLOOKUP(C441, [6]條件!$A:$L, 6, 0), "")</f>
        <v/>
      </c>
      <c r="G441" s="1411" t="str">
        <f>IFERROR(VLOOKUP(C441, [6]條件!$A:$L, 7, 0), "")</f>
        <v/>
      </c>
      <c r="H441" s="978" t="str">
        <f>IF(ISNA(VLOOKUP(C441,[6]條件!$A$1:$K$932,11,0)),"",(VLOOKUP(C441,[6]條件!$A$1:$K$932,11,0)))</f>
        <v/>
      </c>
      <c r="I441" s="979" t="str">
        <f>IF(ISNA(VLOOKUP(C441,[6]條件!$A$1:$L$932,12,0)),"",(VLOOKUP(C441,[6]條件!$A$1:$L$932,12,0)))</f>
        <v/>
      </c>
      <c r="J441" s="982"/>
      <c r="K441" s="980"/>
      <c r="L441" s="981" t="s">
        <v>632</v>
      </c>
      <c r="M441" s="983"/>
      <c r="N441" s="982"/>
      <c r="O441" s="980"/>
      <c r="P441" s="981" t="s">
        <v>632</v>
      </c>
      <c r="Q441" s="983"/>
      <c r="R441" s="982"/>
      <c r="S441" s="980"/>
      <c r="T441" s="981" t="s">
        <v>632</v>
      </c>
      <c r="U441" s="983"/>
      <c r="V441" s="982"/>
      <c r="W441" s="980"/>
      <c r="X441" s="981" t="s">
        <v>632</v>
      </c>
      <c r="Y441" s="983"/>
      <c r="Z441" s="1412" t="str">
        <f>IFERROR(VLOOKUP(C441, [6]條件!$A:$L, 3, 0), "")</f>
        <v/>
      </c>
      <c r="AA441" s="984" t="str">
        <f>IF(OR(L441={"改紡","檢修","了機","清車","FINAL","停機","SAMPLE","TEST","絲開發"}), L441, IFERROR(IF(C441="", "", (SUM(J441, N441, R441, V441)/3 * AG441) * IF(AND(AF441="S", AS441="雙"), 0.5, 1)), ""))</f>
        <v>停機</v>
      </c>
      <c r="AB441" s="1413" t="str">
        <f t="shared" si="77"/>
        <v/>
      </c>
      <c r="AC441" s="984" t="str">
        <f>IF(OR(L441={"改紡","檢修","了機","清車","FINAL","停機","SAMPLE","TEST"}), "", IFERROR(IF(C441="", "", AVERAGE(L441:M441, P441:Q441, T441:U441, X441:Y441)/100), ""))</f>
        <v/>
      </c>
      <c r="AD441" s="984" t="str">
        <f t="shared" si="68"/>
        <v/>
      </c>
      <c r="AE441" s="984" t="str">
        <f t="shared" si="78"/>
        <v/>
      </c>
      <c r="AF441" s="985" t="str">
        <f t="shared" si="69"/>
        <v>M</v>
      </c>
      <c r="AG441" s="1414">
        <v>1</v>
      </c>
      <c r="AH441" s="981" t="s">
        <v>640</v>
      </c>
      <c r="AI441" s="986" t="s">
        <v>640</v>
      </c>
      <c r="AJ441" s="986" t="s">
        <v>640</v>
      </c>
      <c r="AK441" s="1417" t="s">
        <v>640</v>
      </c>
      <c r="AL441" s="1415"/>
      <c r="AM441" s="1323"/>
      <c r="AN441" s="1323"/>
      <c r="AO441" s="1323"/>
      <c r="AP441" s="1323"/>
      <c r="AQ441" s="1323"/>
      <c r="AR441" s="987"/>
      <c r="AS441" s="978" t="str">
        <f t="shared" si="70"/>
        <v>單</v>
      </c>
      <c r="AT441" s="978" t="str">
        <f t="shared" si="71"/>
        <v>全</v>
      </c>
      <c r="AU441" s="978" t="str">
        <f t="shared" si="72"/>
        <v/>
      </c>
      <c r="AV441" s="978" t="str">
        <f t="shared" si="73"/>
        <v/>
      </c>
    </row>
    <row r="442" spans="1:48">
      <c r="A442" s="975">
        <f t="shared" si="76"/>
        <v>46153</v>
      </c>
      <c r="B442" s="976" t="s">
        <v>248</v>
      </c>
      <c r="C442" s="988" t="s">
        <v>16185</v>
      </c>
      <c r="D442" s="1410"/>
      <c r="E442" s="977" t="str">
        <f>IFERROR(VLOOKUP(C442, [6]條件!$A:$L, 5, 0), "")</f>
        <v/>
      </c>
      <c r="F442" s="978" t="str">
        <f>IFERROR(VLOOKUP(C442, [6]條件!$A:$L, 6, 0), "")</f>
        <v/>
      </c>
      <c r="G442" s="1411" t="str">
        <f>IFERROR(VLOOKUP(C442, [6]條件!$A:$L, 7, 0), "")</f>
        <v/>
      </c>
      <c r="H442" s="978" t="str">
        <f>IF(ISNA(VLOOKUP(C442,[6]條件!$A$1:$K$932,11,0)),"",(VLOOKUP(C442,[6]條件!$A$1:$K$932,11,0)))</f>
        <v/>
      </c>
      <c r="I442" s="979" t="str">
        <f>IF(ISNA(VLOOKUP(C442,[6]條件!$A$1:$L$932,12,0)),"",(VLOOKUP(C442,[6]條件!$A$1:$L$932,12,0)))</f>
        <v/>
      </c>
      <c r="J442" s="982"/>
      <c r="K442" s="980"/>
      <c r="L442" s="981" t="s">
        <v>632</v>
      </c>
      <c r="M442" s="983"/>
      <c r="N442" s="982"/>
      <c r="O442" s="980"/>
      <c r="P442" s="981" t="s">
        <v>632</v>
      </c>
      <c r="Q442" s="983"/>
      <c r="R442" s="982"/>
      <c r="S442" s="980"/>
      <c r="T442" s="981" t="s">
        <v>632</v>
      </c>
      <c r="U442" s="983"/>
      <c r="V442" s="982"/>
      <c r="W442" s="980"/>
      <c r="X442" s="981" t="s">
        <v>632</v>
      </c>
      <c r="Y442" s="983"/>
      <c r="Z442" s="1412" t="str">
        <f>IFERROR(VLOOKUP(C442, [6]條件!$A:$L, 3, 0), "")</f>
        <v/>
      </c>
      <c r="AA442" s="984" t="str">
        <f>IF(OR(L442={"改紡","檢修","了機","清車","FINAL","停機","SAMPLE","TEST","絲開發"}), L442, IFERROR(IF(C442="", "", (SUM(J442, N442, R442, V442)/3 * AG442) * IF(AND(AF442="S", AS442="雙"), 0.5, 1)), ""))</f>
        <v>停機</v>
      </c>
      <c r="AB442" s="1413" t="str">
        <f t="shared" si="77"/>
        <v/>
      </c>
      <c r="AC442" s="984" t="str">
        <f>IF(OR(L442={"改紡","檢修","了機","清車","FINAL","停機","SAMPLE","TEST"}), "", IFERROR(IF(C442="", "", AVERAGE(L442:M442, P442:Q442, T442:U442, X442:Y442)/100), ""))</f>
        <v/>
      </c>
      <c r="AD442" s="984" t="str">
        <f t="shared" si="68"/>
        <v/>
      </c>
      <c r="AE442" s="984" t="str">
        <f t="shared" si="78"/>
        <v/>
      </c>
      <c r="AF442" s="985" t="str">
        <f t="shared" si="69"/>
        <v>M</v>
      </c>
      <c r="AG442" s="1414">
        <v>1</v>
      </c>
      <c r="AH442" s="981" t="s">
        <v>640</v>
      </c>
      <c r="AI442" s="986" t="s">
        <v>640</v>
      </c>
      <c r="AJ442" s="986" t="s">
        <v>640</v>
      </c>
      <c r="AK442" s="1417" t="s">
        <v>640</v>
      </c>
      <c r="AL442" s="1415"/>
      <c r="AM442" s="1323"/>
      <c r="AN442" s="1323"/>
      <c r="AO442" s="1323"/>
      <c r="AP442" s="1323"/>
      <c r="AQ442" s="1323"/>
      <c r="AR442" s="987"/>
      <c r="AS442" s="978" t="str">
        <f t="shared" si="70"/>
        <v>單</v>
      </c>
      <c r="AT442" s="978" t="str">
        <f t="shared" si="71"/>
        <v>全</v>
      </c>
      <c r="AU442" s="978" t="str">
        <f t="shared" si="72"/>
        <v/>
      </c>
      <c r="AV442" s="978" t="str">
        <f t="shared" si="73"/>
        <v/>
      </c>
    </row>
    <row r="443" spans="1:48" ht="17.25" thickBot="1">
      <c r="A443" s="989">
        <f t="shared" si="76"/>
        <v>46153</v>
      </c>
      <c r="B443" s="990" t="s">
        <v>249</v>
      </c>
      <c r="C443" s="991" t="s">
        <v>16185</v>
      </c>
      <c r="D443" s="1425"/>
      <c r="E443" s="1169" t="str">
        <f>IFERROR(VLOOKUP(C443, [6]條件!$A:$L, 5, 0), "")</f>
        <v/>
      </c>
      <c r="F443" s="992" t="str">
        <f>IFERROR(VLOOKUP(C443, [6]條件!$A:$L, 6, 0), "")</f>
        <v/>
      </c>
      <c r="G443" s="1426" t="str">
        <f>IFERROR(VLOOKUP(C443, [6]條件!$A:$L, 7, 0), "")</f>
        <v/>
      </c>
      <c r="H443" s="992" t="str">
        <f>IF(ISNA(VLOOKUP(C443,[6]條件!$A$1:$K$932,11,0)),"",(VLOOKUP(C443,[6]條件!$A$1:$K$932,11,0)))</f>
        <v/>
      </c>
      <c r="I443" s="1170" t="str">
        <f>IF(ISNA(VLOOKUP(C443,[6]條件!$A$1:$L$932,12,0)),"",(VLOOKUP(C443,[6]條件!$A$1:$L$932,12,0)))</f>
        <v/>
      </c>
      <c r="J443" s="995"/>
      <c r="K443" s="993"/>
      <c r="L443" s="994" t="s">
        <v>632</v>
      </c>
      <c r="M443" s="996"/>
      <c r="N443" s="995"/>
      <c r="O443" s="993"/>
      <c r="P443" s="994" t="s">
        <v>632</v>
      </c>
      <c r="Q443" s="996"/>
      <c r="R443" s="995"/>
      <c r="S443" s="993"/>
      <c r="T443" s="994" t="s">
        <v>632</v>
      </c>
      <c r="U443" s="996"/>
      <c r="V443" s="995"/>
      <c r="W443" s="993"/>
      <c r="X443" s="994" t="s">
        <v>632</v>
      </c>
      <c r="Y443" s="996"/>
      <c r="Z443" s="1427" t="str">
        <f>IFERROR(VLOOKUP(C443, [6]條件!$A:$L, 3, 0), "")</f>
        <v/>
      </c>
      <c r="AA443" s="997" t="str">
        <f>IF(OR(L443={"改紡","檢修","了機","清車","FINAL","停機","SAMPLE","TEST","絲開發"}), L443, IFERROR(IF(C443="", "", (SUM(J443, N443, R443, V443)/3 * AG443) * IF(AND(AF443="S", AS443="雙"), 0.5, 1)), ""))</f>
        <v>停機</v>
      </c>
      <c r="AB443" s="1428" t="str">
        <f t="shared" si="77"/>
        <v/>
      </c>
      <c r="AC443" s="997" t="str">
        <f>IF(OR(L443={"改紡","檢修","了機","清車","FINAL","停機","SAMPLE","TEST"}), "", IFERROR(IF(C443="", "", AVERAGE(L443:M443, P443:Q443, T443:U443, X443:Y443)/100), ""))</f>
        <v/>
      </c>
      <c r="AD443" s="997" t="str">
        <f t="shared" si="68"/>
        <v/>
      </c>
      <c r="AE443" s="997" t="str">
        <f t="shared" si="78"/>
        <v/>
      </c>
      <c r="AF443" s="998" t="str">
        <f t="shared" si="69"/>
        <v>M</v>
      </c>
      <c r="AG443" s="1429">
        <v>1</v>
      </c>
      <c r="AH443" s="994" t="s">
        <v>640</v>
      </c>
      <c r="AI443" s="999" t="s">
        <v>640</v>
      </c>
      <c r="AJ443" s="999" t="s">
        <v>640</v>
      </c>
      <c r="AK443" s="1430" t="s">
        <v>640</v>
      </c>
      <c r="AL443" s="1431"/>
      <c r="AM443" s="1325"/>
      <c r="AN443" s="1325"/>
      <c r="AO443" s="1325"/>
      <c r="AP443" s="1325"/>
      <c r="AQ443" s="1325"/>
      <c r="AR443" s="1000"/>
      <c r="AS443" s="992" t="str">
        <f t="shared" si="70"/>
        <v>單</v>
      </c>
      <c r="AT443" s="992" t="str">
        <f t="shared" si="71"/>
        <v>全</v>
      </c>
      <c r="AU443" s="992" t="str">
        <f t="shared" si="72"/>
        <v/>
      </c>
      <c r="AV443" s="992" t="str">
        <f t="shared" si="73"/>
        <v/>
      </c>
    </row>
    <row r="444" spans="1:48">
      <c r="A444" s="962">
        <v>46154</v>
      </c>
      <c r="B444" s="963" t="s">
        <v>212</v>
      </c>
      <c r="C444" s="963" t="s">
        <v>632</v>
      </c>
      <c r="D444" s="1403"/>
      <c r="E444" s="964" t="str">
        <f>IFERROR(VLOOKUP(C444, [6]條件!$A:$L, 5, 0), "")</f>
        <v/>
      </c>
      <c r="F444" s="965" t="str">
        <f>IFERROR(VLOOKUP(C444, [6]條件!$A:$L, 6, 0), "")</f>
        <v/>
      </c>
      <c r="G444" s="1404" t="str">
        <f>IFERROR(VLOOKUP(C444, [6]條件!$A:$L, 7, 0), "")</f>
        <v/>
      </c>
      <c r="H444" s="965" t="str">
        <f>IF(ISNA(VLOOKUP(C444,[6]條件!$A$1:$K$932,11,0)),"",(VLOOKUP(C444,[6]條件!$A$1:$K$932,11,0)))</f>
        <v/>
      </c>
      <c r="I444" s="966" t="str">
        <f>IF(ISNA(VLOOKUP(C444,[6]條件!$A$1:$L$932,12,0)),"",(VLOOKUP(C444,[6]條件!$A$1:$L$932,12,0)))</f>
        <v/>
      </c>
      <c r="J444" s="969"/>
      <c r="K444" s="967"/>
      <c r="L444" s="981" t="s">
        <v>632</v>
      </c>
      <c r="M444" s="970"/>
      <c r="N444" s="969"/>
      <c r="O444" s="967"/>
      <c r="P444" s="981" t="s">
        <v>632</v>
      </c>
      <c r="Q444" s="970"/>
      <c r="R444" s="969"/>
      <c r="S444" s="967"/>
      <c r="T444" s="981" t="s">
        <v>632</v>
      </c>
      <c r="U444" s="970"/>
      <c r="V444" s="969"/>
      <c r="W444" s="967"/>
      <c r="X444" s="981" t="s">
        <v>632</v>
      </c>
      <c r="Y444" s="970"/>
      <c r="Z444" s="1405" t="str">
        <f>IFERROR(VLOOKUP(C444, [6]條件!$A:$L, 3, 0), "")</f>
        <v/>
      </c>
      <c r="AA444" s="971" t="str">
        <f>IF(OR(L444={"改紡","檢修","了機","清車","FINAL","停機","SAMPLE","TEST","絲開發"}), L444, IFERROR(IF(C444="", "", (SUM(J444, N444, R444, V444)/3 * AG444) * IF(AND(AF444="S", AS444="雙"), 0.5, 1)), ""))</f>
        <v>停機</v>
      </c>
      <c r="AB444" s="1406" t="str">
        <f t="shared" si="77"/>
        <v/>
      </c>
      <c r="AC444" s="971" t="str">
        <f>IF(OR(L444={"改紡","檢修","了機","清車","FINAL","停機","SAMPLE","TEST"}), "", IFERROR(IF(C444="", "", AVERAGE(L444:M444, P444:Q444, T444:U444, X444:Y444)/100), ""))</f>
        <v/>
      </c>
      <c r="AD444" s="971" t="str">
        <f t="shared" si="68"/>
        <v/>
      </c>
      <c r="AE444" s="971" t="str">
        <f t="shared" si="78"/>
        <v/>
      </c>
      <c r="AF444" s="972" t="str">
        <f t="shared" si="69"/>
        <v>A</v>
      </c>
      <c r="AG444" s="1407">
        <v>1</v>
      </c>
      <c r="AH444" s="968" t="s">
        <v>640</v>
      </c>
      <c r="AI444" s="1438" t="s">
        <v>640</v>
      </c>
      <c r="AJ444" s="1166" t="s">
        <v>640</v>
      </c>
      <c r="AK444" s="1408" t="s">
        <v>640</v>
      </c>
      <c r="AL444" s="1409"/>
      <c r="AM444" s="1322"/>
      <c r="AN444" s="1322"/>
      <c r="AO444" s="1322"/>
      <c r="AP444" s="1322"/>
      <c r="AQ444" s="1322"/>
      <c r="AR444" s="973"/>
      <c r="AS444" s="965" t="str">
        <f t="shared" si="70"/>
        <v>單</v>
      </c>
      <c r="AT444" s="965" t="str">
        <f t="shared" si="71"/>
        <v>全</v>
      </c>
      <c r="AU444" s="965" t="str">
        <f t="shared" si="72"/>
        <v/>
      </c>
      <c r="AV444" s="965" t="str">
        <f t="shared" si="73"/>
        <v/>
      </c>
    </row>
    <row r="445" spans="1:48">
      <c r="A445" s="975">
        <f t="shared" ref="A445:A483" si="79">A444</f>
        <v>46154</v>
      </c>
      <c r="B445" s="976" t="s">
        <v>214</v>
      </c>
      <c r="C445" s="976" t="s">
        <v>16708</v>
      </c>
      <c r="D445" s="1410"/>
      <c r="E445" s="977" t="str">
        <f>IFERROR(VLOOKUP(C445, [6]條件!$A:$L, 5, 0), "")</f>
        <v>75/36SDR</v>
      </c>
      <c r="F445" s="978" t="str">
        <f>IFERROR(VLOOKUP(C445, [6]條件!$A:$L, 6, 0), "")</f>
        <v>FP81386R</v>
      </c>
      <c r="G445" s="1411">
        <f>IFERROR(VLOOKUP(C445, [6]條件!$A:$L, 7, 0), "")</f>
        <v>780</v>
      </c>
      <c r="H445" s="978" t="str">
        <f>IF(ISNA(VLOOKUP(C445,[6]條件!$A$1:$K$932,11,0)),"",(VLOOKUP(C445,[6]條件!$A$1:$K$932,11,0)))</f>
        <v>綠底白點</v>
      </c>
      <c r="I445" s="979">
        <f>IF(ISNA(VLOOKUP(C445,[6]條件!$A$1:$L$932,12,0)),"",(VLOOKUP(C445,[6]條件!$A$1:$L$932,12,0)))</f>
        <v>5</v>
      </c>
      <c r="J445" s="982">
        <v>13</v>
      </c>
      <c r="K445" s="980">
        <v>0</v>
      </c>
      <c r="L445" s="981">
        <v>8869</v>
      </c>
      <c r="M445" s="983">
        <v>8470</v>
      </c>
      <c r="N445" s="982">
        <v>16</v>
      </c>
      <c r="O445" s="980">
        <v>1</v>
      </c>
      <c r="P445" s="981">
        <v>8930</v>
      </c>
      <c r="Q445" s="983">
        <v>8468</v>
      </c>
      <c r="R445" s="982">
        <v>9</v>
      </c>
      <c r="S445" s="980">
        <v>0</v>
      </c>
      <c r="T445" s="981">
        <v>8897</v>
      </c>
      <c r="U445" s="983">
        <v>8456</v>
      </c>
      <c r="V445" s="982">
        <v>10</v>
      </c>
      <c r="W445" s="980">
        <v>1</v>
      </c>
      <c r="X445" s="981">
        <v>8853</v>
      </c>
      <c r="Y445" s="983">
        <v>8510</v>
      </c>
      <c r="Z445" s="1412">
        <f>IFERROR(VLOOKUP(C445, [6]條件!$A:$L, 3, 0), "")</f>
        <v>1.7777777777777777</v>
      </c>
      <c r="AA445" s="984">
        <f>IF(OR(L445={"改紡","檢修","了機","清車","FINAL","停機","SAMPLE","TEST","絲開發"}), L445, IFERROR(IF(C445="", "", (SUM(J445, N445, R445, V445)/3 * AG445) * IF(AND(AF445="S", AS445="雙"), 0.5, 1)), ""))</f>
        <v>16</v>
      </c>
      <c r="AB445" s="1413">
        <f t="shared" si="77"/>
        <v>0.99459134615384615</v>
      </c>
      <c r="AC445" s="984">
        <f>IF(OR(L445={"改紡","檢修","了機","清車","FINAL","停機","SAMPLE","TEST"}), "", IFERROR(IF(C445="", "", AVERAGE(L445:M445, P445:Q445, T445:U445, X445:Y445)/100), ""))</f>
        <v>86.816249999999997</v>
      </c>
      <c r="AD445" s="984">
        <f t="shared" si="68"/>
        <v>2</v>
      </c>
      <c r="AE445" s="984">
        <f t="shared" si="78"/>
        <v>1.9166666666666667</v>
      </c>
      <c r="AF445" s="985" t="str">
        <f t="shared" si="69"/>
        <v>A</v>
      </c>
      <c r="AG445" s="1414">
        <v>1</v>
      </c>
      <c r="AH445" s="981" t="s">
        <v>631</v>
      </c>
      <c r="AI445" s="986" t="s">
        <v>631</v>
      </c>
      <c r="AJ445" s="986" t="s">
        <v>725</v>
      </c>
      <c r="AK445" s="1417" t="s">
        <v>725</v>
      </c>
      <c r="AL445" s="1415">
        <v>50</v>
      </c>
      <c r="AM445" s="1323">
        <v>46150</v>
      </c>
      <c r="AN445" s="1323">
        <v>46151</v>
      </c>
      <c r="AO445" s="1323"/>
      <c r="AP445" s="1323"/>
      <c r="AQ445" s="1323"/>
      <c r="AR445" s="987"/>
      <c r="AS445" s="978" t="str">
        <f t="shared" si="70"/>
        <v>單</v>
      </c>
      <c r="AT445" s="978" t="str">
        <f t="shared" si="71"/>
        <v>全</v>
      </c>
      <c r="AU445" s="978">
        <f t="shared" si="72"/>
        <v>75</v>
      </c>
      <c r="AV445" s="978">
        <f t="shared" si="73"/>
        <v>1.755216216</v>
      </c>
    </row>
    <row r="446" spans="1:48">
      <c r="A446" s="975">
        <f t="shared" si="79"/>
        <v>46154</v>
      </c>
      <c r="B446" s="976" t="s">
        <v>215</v>
      </c>
      <c r="C446" s="976" t="s">
        <v>16746</v>
      </c>
      <c r="D446" s="1410" t="s">
        <v>633</v>
      </c>
      <c r="E446" s="977" t="str">
        <f>IFERROR(VLOOKUP(C446, [6]條件!$A:$L, 5, 0), "")</f>
        <v>75/24/2SDr</v>
      </c>
      <c r="F446" s="978" t="str">
        <f>IFERROR(VLOOKUP(C446, [6]條件!$A:$L, 6, 0), "")</f>
        <v>FP81391R×2</v>
      </c>
      <c r="G446" s="1411">
        <f>IFERROR(VLOOKUP(C446, [6]條件!$A:$L, 7, 0), "")</f>
        <v>700</v>
      </c>
      <c r="H446" s="978" t="str">
        <f>IF(ISNA(VLOOKUP(C446,[6]條件!$A$1:$K$932,11,0)),"",(VLOOKUP(C446,[6]條件!$A$1:$K$932,11,0)))</f>
        <v>紅底白點</v>
      </c>
      <c r="I446" s="979">
        <f>IF(ISNA(VLOOKUP(C446,[6]條件!$A$1:$L$932,12,0)),"",(VLOOKUP(C446,[6]條件!$A$1:$L$932,12,0)))</f>
        <v>5</v>
      </c>
      <c r="J446" s="982">
        <v>26</v>
      </c>
      <c r="K446" s="980">
        <v>2</v>
      </c>
      <c r="L446" s="981"/>
      <c r="M446" s="983">
        <v>8974</v>
      </c>
      <c r="N446" s="982">
        <v>16</v>
      </c>
      <c r="O446" s="980">
        <v>0</v>
      </c>
      <c r="P446" s="981" t="s">
        <v>632</v>
      </c>
      <c r="Q446" s="983">
        <v>8840</v>
      </c>
      <c r="R446" s="982">
        <v>12</v>
      </c>
      <c r="S446" s="980">
        <v>1</v>
      </c>
      <c r="T446" s="981" t="s">
        <v>632</v>
      </c>
      <c r="U446" s="983">
        <v>8963</v>
      </c>
      <c r="V446" s="982">
        <v>32</v>
      </c>
      <c r="W446" s="980">
        <v>0</v>
      </c>
      <c r="X446" s="981" t="s">
        <v>632</v>
      </c>
      <c r="Y446" s="983">
        <v>8611</v>
      </c>
      <c r="Z446" s="1412">
        <f>IFERROR(VLOOKUP(C446, [6]條件!$A:$L, 3, 0), "")</f>
        <v>3.2653061224489797</v>
      </c>
      <c r="AA446" s="984">
        <f>IF(OR(L446={"改紡","檢修","了機","清車","FINAL","停機","SAMPLE","TEST","絲開發"}), L446, IFERROR(IF(C446="", "", (SUM(J446, N446, R446, V446)/3 * AG446) * IF(AND(AF446="S", AS446="雙"), 0.5, 1)), ""))</f>
        <v>28.666666666666668</v>
      </c>
      <c r="AB446" s="1413">
        <f t="shared" si="77"/>
        <v>0.99558293269230769</v>
      </c>
      <c r="AC446" s="984">
        <f>IF(OR(L446={"改紡","檢修","了機","清車","FINAL","停機","SAMPLE","TEST"}), "", IFERROR(IF(C446="", "", AVERAGE(L446:M446, P446:Q446, T446:U446, X446:Y446)/100), ""))</f>
        <v>88.47</v>
      </c>
      <c r="AD446" s="984">
        <f t="shared" si="68"/>
        <v>3.5833333333333335</v>
      </c>
      <c r="AE446" s="984">
        <f t="shared" si="78"/>
        <v>3.4583333333333335</v>
      </c>
      <c r="AF446" s="985" t="str">
        <f t="shared" si="69"/>
        <v>A</v>
      </c>
      <c r="AG446" s="1414">
        <v>1</v>
      </c>
      <c r="AH446" s="981" t="s">
        <v>631</v>
      </c>
      <c r="AI446" s="986" t="s">
        <v>631</v>
      </c>
      <c r="AJ446" s="986" t="s">
        <v>725</v>
      </c>
      <c r="AK446" s="1417" t="s">
        <v>725</v>
      </c>
      <c r="AL446" s="1415">
        <v>53</v>
      </c>
      <c r="AM446" s="1323">
        <v>46121</v>
      </c>
      <c r="AN446" s="1323">
        <v>46122</v>
      </c>
      <c r="AO446" s="1323">
        <v>46123</v>
      </c>
      <c r="AP446" s="1323"/>
      <c r="AQ446" s="1323"/>
      <c r="AR446" s="987"/>
      <c r="AS446" s="978" t="str">
        <f t="shared" si="70"/>
        <v>雙</v>
      </c>
      <c r="AT446" s="978" t="str">
        <f t="shared" si="71"/>
        <v>半</v>
      </c>
      <c r="AU446" s="978">
        <f t="shared" si="72"/>
        <v>75</v>
      </c>
      <c r="AV446" s="978">
        <f t="shared" si="73"/>
        <v>0.80259983999999995</v>
      </c>
    </row>
    <row r="447" spans="1:48">
      <c r="A447" s="975">
        <f t="shared" si="79"/>
        <v>46154</v>
      </c>
      <c r="B447" s="976" t="s">
        <v>216</v>
      </c>
      <c r="C447" s="976" t="s">
        <v>16764</v>
      </c>
      <c r="D447" s="1410"/>
      <c r="E447" s="977" t="str">
        <f>IFERROR(VLOOKUP(C447, [6]條件!$A:$L, 5, 0), "")</f>
        <v>150/48BK42</v>
      </c>
      <c r="F447" s="978" t="str">
        <f>IFERROR(VLOOKUP(C447, [6]條件!$A:$L, 6, 0), "")</f>
        <v>FP02421</v>
      </c>
      <c r="G447" s="1411">
        <f>IFERROR(VLOOKUP(C447, [6]條件!$A:$L, 7, 0), "")</f>
        <v>600</v>
      </c>
      <c r="H447" s="978" t="str">
        <f>IF(ISNA(VLOOKUP(C447,[6]條件!$A$1:$K$932,11,0)),"",(VLOOKUP(C447,[6]條件!$A$1:$K$932,11,0)))</f>
        <v>白桔方塊</v>
      </c>
      <c r="I447" s="979">
        <f>IF(ISNA(VLOOKUP(C447,[6]條件!$A$1:$L$932,12,0)),"",(VLOOKUP(C447,[6]條件!$A$1:$L$932,12,0)))</f>
        <v>5</v>
      </c>
      <c r="J447" s="982">
        <v>13</v>
      </c>
      <c r="K447" s="980">
        <v>3</v>
      </c>
      <c r="L447" s="981">
        <v>9326</v>
      </c>
      <c r="M447" s="983" t="s">
        <v>632</v>
      </c>
      <c r="N447" s="982">
        <v>3</v>
      </c>
      <c r="O447" s="980">
        <v>0</v>
      </c>
      <c r="P447" s="981">
        <v>9335</v>
      </c>
      <c r="Q447" s="983" t="s">
        <v>632</v>
      </c>
      <c r="R447" s="982">
        <v>4</v>
      </c>
      <c r="S447" s="980">
        <v>0</v>
      </c>
      <c r="T447" s="981">
        <v>9275</v>
      </c>
      <c r="U447" s="983" t="s">
        <v>632</v>
      </c>
      <c r="V447" s="982">
        <v>8</v>
      </c>
      <c r="W447" s="980">
        <v>1</v>
      </c>
      <c r="X447" s="981">
        <v>8981</v>
      </c>
      <c r="Y447" s="983" t="s">
        <v>632</v>
      </c>
      <c r="Z447" s="1412">
        <f>IFERROR(VLOOKUP(C447, [6]條件!$A:$L, 3, 0), "")</f>
        <v>2.8346456692913384</v>
      </c>
      <c r="AA447" s="984">
        <f>IF(OR(L447={"改紡","檢修","了機","清車","FINAL","停機","SAMPLE","TEST","絲開發"}), L447, IFERROR(IF(C447="", "", (SUM(J447, N447, R447, V447)/3 * AG447) * IF(AND(AF447="S", AS447="雙"), 0.5, 1)), ""))</f>
        <v>18.666666666666668</v>
      </c>
      <c r="AB447" s="1413">
        <f t="shared" si="77"/>
        <v>0.99321581196581199</v>
      </c>
      <c r="AC447" s="984">
        <f>IF(OR(L447={"改紡","檢修","了機","清車","FINAL","停機","SAMPLE","TEST"}), "", IFERROR(IF(C447="", "", AVERAGE(L447:M447, P447:Q447, T447:U447, X447:Y447)/100), ""))</f>
        <v>92.292500000000004</v>
      </c>
      <c r="AD447" s="984">
        <f t="shared" si="68"/>
        <v>2.3333333333333335</v>
      </c>
      <c r="AE447" s="984">
        <f t="shared" si="78"/>
        <v>2</v>
      </c>
      <c r="AF447" s="985" t="str">
        <f t="shared" si="69"/>
        <v>A</v>
      </c>
      <c r="AG447" s="1414">
        <v>2</v>
      </c>
      <c r="AH447" s="981" t="s">
        <v>631</v>
      </c>
      <c r="AI447" s="986" t="s">
        <v>631</v>
      </c>
      <c r="AJ447" s="986" t="s">
        <v>725</v>
      </c>
      <c r="AK447" s="1417" t="s">
        <v>725</v>
      </c>
      <c r="AL447" s="1415">
        <v>52</v>
      </c>
      <c r="AM447" s="1323">
        <v>46150</v>
      </c>
      <c r="AN447" s="1323">
        <v>46151</v>
      </c>
      <c r="AO447" s="1323"/>
      <c r="AP447" s="1323"/>
      <c r="AQ447" s="1323"/>
      <c r="AR447" s="987"/>
      <c r="AS447" s="978" t="str">
        <f t="shared" si="70"/>
        <v>單</v>
      </c>
      <c r="AT447" s="978" t="str">
        <f t="shared" si="71"/>
        <v>半</v>
      </c>
      <c r="AU447" s="978">
        <f t="shared" si="72"/>
        <v>150</v>
      </c>
      <c r="AV447" s="978">
        <f t="shared" si="73"/>
        <v>1.43533296</v>
      </c>
    </row>
    <row r="448" spans="1:48">
      <c r="A448" s="975">
        <f t="shared" si="79"/>
        <v>46154</v>
      </c>
      <c r="B448" s="976" t="s">
        <v>217</v>
      </c>
      <c r="C448" s="976" t="s">
        <v>16197</v>
      </c>
      <c r="D448" s="1410"/>
      <c r="E448" s="977" t="str">
        <f>IFERROR(VLOOKUP(C448, [6]條件!$A:$L, 5, 0), "")</f>
        <v>75/36HC</v>
      </c>
      <c r="F448" s="978" t="str">
        <f>IFERROR(VLOOKUP(C448, [6]條件!$A:$L, 6, 0), "")</f>
        <v>FP81857R</v>
      </c>
      <c r="G448" s="1411">
        <f>IFERROR(VLOOKUP(C448, [6]條件!$A:$L, 7, 0), "")</f>
        <v>600</v>
      </c>
      <c r="H448" s="978" t="str">
        <f>IF(ISNA(VLOOKUP(C448,[6]條件!$A$1:$K$932,11,0)),"",(VLOOKUP(C448,[6]條件!$A$1:$K$932,11,0)))</f>
        <v>白底綠方塊</v>
      </c>
      <c r="I448" s="979">
        <f>IF(ISNA(VLOOKUP(C448,[6]條件!$A$1:$L$932,12,0)),"",(VLOOKUP(C448,[6]條件!$A$1:$L$932,12,0)))</f>
        <v>4</v>
      </c>
      <c r="J448" s="982">
        <v>26</v>
      </c>
      <c r="K448" s="980">
        <v>0</v>
      </c>
      <c r="L448" s="981">
        <v>8166</v>
      </c>
      <c r="M448" s="983">
        <v>8681</v>
      </c>
      <c r="N448" s="982">
        <v>18</v>
      </c>
      <c r="O448" s="980">
        <v>0</v>
      </c>
      <c r="P448" s="981">
        <v>8312</v>
      </c>
      <c r="Q448" s="983">
        <v>8739</v>
      </c>
      <c r="R448" s="982">
        <v>5</v>
      </c>
      <c r="S448" s="980">
        <v>0</v>
      </c>
      <c r="T448" s="981">
        <v>8315</v>
      </c>
      <c r="U448" s="983">
        <v>8796</v>
      </c>
      <c r="V448" s="982">
        <v>19</v>
      </c>
      <c r="W448" s="980">
        <v>1</v>
      </c>
      <c r="X448" s="981">
        <v>8295</v>
      </c>
      <c r="Y448" s="983">
        <v>8798</v>
      </c>
      <c r="Z448" s="1412">
        <f>IFERROR(VLOOKUP(C448, [6]條件!$A:$L, 3, 0), "")</f>
        <v>1.7496962332928312</v>
      </c>
      <c r="AA448" s="984">
        <f>IF(OR(L448={"改紡","檢修","了機","清車","FINAL","停機","SAMPLE","TEST","絲開發"}), L448, IFERROR(IF(C448="", "", (SUM(J448, N448, R448, V448)/3 * AG448) * IF(AND(AF448="S", AS448="雙"), 0.5, 1)), ""))</f>
        <v>22.666666666666668</v>
      </c>
      <c r="AB448" s="1413">
        <f t="shared" si="77"/>
        <v>0.99725227029914532</v>
      </c>
      <c r="AC448" s="984">
        <f>IF(OR(L448={"改紡","檢修","了機","清車","FINAL","停機","SAMPLE","TEST"}), "", IFERROR(IF(C448="", "", AVERAGE(L448:M448, P448:Q448, T448:U448, X448:Y448)/100), ""))</f>
        <v>85.127499999999998</v>
      </c>
      <c r="AD448" s="984">
        <f t="shared" si="68"/>
        <v>2.8333333333333335</v>
      </c>
      <c r="AE448" s="984">
        <f t="shared" si="78"/>
        <v>2.7916666666666665</v>
      </c>
      <c r="AF448" s="985" t="str">
        <f t="shared" si="69"/>
        <v>A</v>
      </c>
      <c r="AG448" s="1414">
        <v>1</v>
      </c>
      <c r="AH448" s="981" t="s">
        <v>641</v>
      </c>
      <c r="AI448" s="986" t="s">
        <v>641</v>
      </c>
      <c r="AJ448" s="986" t="s">
        <v>634</v>
      </c>
      <c r="AK448" s="1417" t="s">
        <v>634</v>
      </c>
      <c r="AL448" s="1415">
        <v>54</v>
      </c>
      <c r="AM448" s="1323">
        <v>45944</v>
      </c>
      <c r="AN448" s="1323">
        <v>45945</v>
      </c>
      <c r="AO448" s="1323">
        <v>45946</v>
      </c>
      <c r="AP448" s="1323">
        <v>45947</v>
      </c>
      <c r="AQ448" s="1323">
        <v>45949</v>
      </c>
      <c r="AR448" s="987"/>
      <c r="AS448" s="978" t="str">
        <f t="shared" si="70"/>
        <v>單</v>
      </c>
      <c r="AT448" s="978" t="str">
        <f t="shared" si="71"/>
        <v>全</v>
      </c>
      <c r="AU448" s="978">
        <f t="shared" si="72"/>
        <v>75</v>
      </c>
      <c r="AV448" s="978">
        <f t="shared" si="73"/>
        <v>1.3239028800000001</v>
      </c>
    </row>
    <row r="449" spans="1:48">
      <c r="A449" s="975">
        <f t="shared" si="79"/>
        <v>46154</v>
      </c>
      <c r="B449" s="976" t="s">
        <v>218</v>
      </c>
      <c r="C449" s="976" t="s">
        <v>632</v>
      </c>
      <c r="D449" s="1410"/>
      <c r="E449" s="977" t="str">
        <f>IFERROR(VLOOKUP(C449, [6]條件!$A:$L, 5, 0), "")</f>
        <v/>
      </c>
      <c r="F449" s="978" t="str">
        <f>IFERROR(VLOOKUP(C449, [6]條件!$A:$L, 6, 0), "")</f>
        <v/>
      </c>
      <c r="G449" s="1411" t="str">
        <f>IFERROR(VLOOKUP(C449, [6]條件!$A:$L, 7, 0), "")</f>
        <v/>
      </c>
      <c r="H449" s="978" t="str">
        <f>IF(ISNA(VLOOKUP(C449,[6]條件!$A$1:$K$932,11,0)),"",(VLOOKUP(C449,[6]條件!$A$1:$K$932,11,0)))</f>
        <v/>
      </c>
      <c r="I449" s="979" t="str">
        <f>IF(ISNA(VLOOKUP(C449,[6]條件!$A$1:$L$932,12,0)),"",(VLOOKUP(C449,[6]條件!$A$1:$L$932,12,0)))</f>
        <v/>
      </c>
      <c r="J449" s="982"/>
      <c r="K449" s="980"/>
      <c r="L449" s="981" t="s">
        <v>632</v>
      </c>
      <c r="M449" s="983"/>
      <c r="N449" s="982"/>
      <c r="O449" s="980"/>
      <c r="P449" s="981" t="s">
        <v>632</v>
      </c>
      <c r="Q449" s="983"/>
      <c r="R449" s="982"/>
      <c r="S449" s="980"/>
      <c r="T449" s="981" t="s">
        <v>632</v>
      </c>
      <c r="U449" s="983"/>
      <c r="V449" s="982"/>
      <c r="W449" s="980"/>
      <c r="X449" s="981" t="s">
        <v>632</v>
      </c>
      <c r="Y449" s="983"/>
      <c r="Z449" s="1412" t="str">
        <f>IFERROR(VLOOKUP(C449, [6]條件!$A:$L, 3, 0), "")</f>
        <v/>
      </c>
      <c r="AA449" s="984" t="str">
        <f>IF(OR(L449={"改紡","檢修","了機","清車","FINAL","停機","SAMPLE","TEST","絲開發"}), L449, IFERROR(IF(C449="", "", (SUM(J449, N449, R449, V449)/3 * AG449) * IF(AND(AF449="S", AS449="雙"), 0.5, 1)), ""))</f>
        <v>停機</v>
      </c>
      <c r="AB449" s="1413" t="str">
        <f t="shared" si="77"/>
        <v/>
      </c>
      <c r="AC449" s="984" t="str">
        <f>IF(OR(L449={"改紡","檢修","了機","清車","FINAL","停機","SAMPLE","TEST"}), "", IFERROR(IF(C449="", "", AVERAGE(L449:M449, P449:Q449, T449:U449, X449:Y449)/100), ""))</f>
        <v/>
      </c>
      <c r="AD449" s="984" t="str">
        <f t="shared" si="68"/>
        <v/>
      </c>
      <c r="AE449" s="984" t="str">
        <f t="shared" si="78"/>
        <v/>
      </c>
      <c r="AF449" s="985" t="str">
        <f t="shared" si="69"/>
        <v>A</v>
      </c>
      <c r="AG449" s="1414">
        <v>1</v>
      </c>
      <c r="AH449" s="981" t="s">
        <v>640</v>
      </c>
      <c r="AI449" s="986" t="s">
        <v>640</v>
      </c>
      <c r="AJ449" s="986" t="s">
        <v>640</v>
      </c>
      <c r="AK449" s="1417" t="s">
        <v>640</v>
      </c>
      <c r="AL449" s="1415"/>
      <c r="AM449" s="1323"/>
      <c r="AN449" s="1323"/>
      <c r="AO449" s="1323"/>
      <c r="AP449" s="1323"/>
      <c r="AQ449" s="1323"/>
      <c r="AR449" s="987"/>
      <c r="AS449" s="978" t="str">
        <f t="shared" si="70"/>
        <v>單</v>
      </c>
      <c r="AT449" s="978" t="str">
        <f t="shared" si="71"/>
        <v>全</v>
      </c>
      <c r="AU449" s="978" t="str">
        <f t="shared" si="72"/>
        <v/>
      </c>
      <c r="AV449" s="978" t="str">
        <f t="shared" si="73"/>
        <v/>
      </c>
    </row>
    <row r="450" spans="1:48">
      <c r="A450" s="975">
        <f t="shared" si="79"/>
        <v>46154</v>
      </c>
      <c r="B450" s="976" t="s">
        <v>219</v>
      </c>
      <c r="C450" s="976" t="s">
        <v>16745</v>
      </c>
      <c r="D450" s="1410" t="s">
        <v>16748</v>
      </c>
      <c r="E450" s="977" t="str">
        <f>IFERROR(VLOOKUP(C450, [6]條件!$A:$L, 5, 0), "")</f>
        <v>50/72BSD3</v>
      </c>
      <c r="F450" s="978" t="str">
        <f>IFERROR(VLOOKUP(C450, [6]條件!$A:$L, 6, 0), "")</f>
        <v>FP80141</v>
      </c>
      <c r="G450" s="1411">
        <f>IFERROR(VLOOKUP(C450, [6]條件!$A:$L, 7, 0), "")</f>
        <v>630</v>
      </c>
      <c r="H450" s="978" t="str">
        <f>IF(ISNA(VLOOKUP(C450,[6]條件!$A$1:$K$932,11,0)),"",(VLOOKUP(C450,[6]條件!$A$1:$K$932,11,0)))</f>
        <v>洋綠色</v>
      </c>
      <c r="I450" s="979">
        <f>IF(ISNA(VLOOKUP(C450,[6]條件!$A$1:$L$932,12,0)),"",(VLOOKUP(C450,[6]條件!$A$1:$L$932,12,0)))</f>
        <v>2</v>
      </c>
      <c r="J450" s="982">
        <v>8</v>
      </c>
      <c r="K450" s="980">
        <v>1</v>
      </c>
      <c r="L450" s="981">
        <v>9669</v>
      </c>
      <c r="M450" s="983">
        <v>9692</v>
      </c>
      <c r="N450" s="982">
        <v>6</v>
      </c>
      <c r="O450" s="980">
        <v>2</v>
      </c>
      <c r="P450" s="981">
        <v>9773</v>
      </c>
      <c r="Q450" s="983">
        <v>9641</v>
      </c>
      <c r="R450" s="982">
        <v>6</v>
      </c>
      <c r="S450" s="980">
        <v>0</v>
      </c>
      <c r="T450" s="981">
        <v>9775</v>
      </c>
      <c r="U450" s="983">
        <v>9683</v>
      </c>
      <c r="V450" s="982">
        <v>18</v>
      </c>
      <c r="W450" s="980">
        <v>0</v>
      </c>
      <c r="X450" s="981">
        <v>9720</v>
      </c>
      <c r="Y450" s="983">
        <v>9556</v>
      </c>
      <c r="Z450" s="1412">
        <f>IFERROR(VLOOKUP(C450, [6]條件!$A:$L, 3, 0), "")</f>
        <v>2.4615384615384617</v>
      </c>
      <c r="AA450" s="984">
        <f>IF(OR(L450={"改紡","檢修","了機","清車","FINAL","停機","SAMPLE","TEST","絲開發"}), L450, IFERROR(IF(C450="", "", (SUM(J450, N450, R450, V450)/3 * AG450) * IF(AND(AF450="S", AS450="雙"), 0.5, 1)), ""))</f>
        <v>12.666666666666666</v>
      </c>
      <c r="AB450" s="1413">
        <f t="shared" si="77"/>
        <v>0.994140625</v>
      </c>
      <c r="AC450" s="984">
        <f>IF(OR(L450={"改紡","檢修","了機","清車","FINAL","停機","SAMPLE","TEST"}), "", IFERROR(IF(C450="", "", AVERAGE(L450:M450, P450:Q450, T450:U450, X450:Y450)/100), ""))</f>
        <v>96.886250000000004</v>
      </c>
      <c r="AD450" s="984">
        <f t="shared" ref="AD450:AD513" si="80">IF(ISERROR(AA450/8),"",(AA450/8))</f>
        <v>1.5833333333333333</v>
      </c>
      <c r="AE450" s="984">
        <f t="shared" si="78"/>
        <v>1.4583333333333333</v>
      </c>
      <c r="AF450" s="985" t="str">
        <f t="shared" ref="AF450:AF513" si="81">LEFT(B450, 1)</f>
        <v>A</v>
      </c>
      <c r="AG450" s="1414">
        <v>1</v>
      </c>
      <c r="AH450" s="981" t="s">
        <v>631</v>
      </c>
      <c r="AI450" s="986" t="s">
        <v>631</v>
      </c>
      <c r="AJ450" s="986" t="s">
        <v>725</v>
      </c>
      <c r="AK450" s="1417" t="s">
        <v>725</v>
      </c>
      <c r="AL450" s="1415">
        <v>57</v>
      </c>
      <c r="AM450" s="1324">
        <v>46088</v>
      </c>
      <c r="AN450" s="1323">
        <v>46089</v>
      </c>
      <c r="AO450" s="1323">
        <v>46090</v>
      </c>
      <c r="AP450" s="1323">
        <v>46091</v>
      </c>
      <c r="AQ450" s="1323"/>
      <c r="AR450" s="987"/>
      <c r="AS450" s="978" t="str">
        <f t="shared" ref="AS450:AS513" si="82">IF(RIGHT(F450, 2) = "×2", "雙", "單")</f>
        <v>單</v>
      </c>
      <c r="AT450" s="978" t="str">
        <f t="shared" ref="AT450:AT513" si="83">IF(OR(AF450="J", AF450="T", AF450="M"), IF(AG450=1, "全", "半"), IF(AF450="A", IF(AG450=0.5, IF(AS450="雙", "全", ""), IF(AG450=1, IF(AS450="雙", "半", "全"), IF(AG450=2, "半", ""))), IF(AF450="S", AG450 &amp; "sec", "")))</f>
        <v>全</v>
      </c>
      <c r="AU450" s="978">
        <f t="shared" ref="AU450:AU513" si="84">IFERROR(VALUE(LEFT(E450, FIND("/", E450)-1)), "")</f>
        <v>50</v>
      </c>
      <c r="AV450" s="978">
        <f t="shared" ref="AV450:AV513" si="85">IFERROR(IF(AF450="S", (AU450*G450*AC450*0.03456/100/1000) * (AG450*12/144) * IF(AS450="單", 1, 0.5), IF(AF450="A", (AU450*G450*AC450*0.03456/100/1000) * IF(AT450="全", 1, 0.5), IF(OR(AF450="T", AF450="J", AF450="M"), (AU450*G450*AC450*0.03456/100/1000) * IF(AS450="單", 1, 2) * IF(AT450="全", 1, 0.5), 0))), "")</f>
        <v>1.0547424719999998</v>
      </c>
    </row>
    <row r="451" spans="1:48">
      <c r="A451" s="975">
        <f t="shared" si="79"/>
        <v>46154</v>
      </c>
      <c r="B451" s="976" t="s">
        <v>220</v>
      </c>
      <c r="C451" s="976" t="s">
        <v>632</v>
      </c>
      <c r="D451" s="1410"/>
      <c r="E451" s="977" t="str">
        <f>IFERROR(VLOOKUP(C451, [6]條件!$A:$L, 5, 0), "")</f>
        <v/>
      </c>
      <c r="F451" s="978" t="str">
        <f>IFERROR(VLOOKUP(C451, [6]條件!$A:$L, 6, 0), "")</f>
        <v/>
      </c>
      <c r="G451" s="1411" t="str">
        <f>IFERROR(VLOOKUP(C451, [6]條件!$A:$L, 7, 0), "")</f>
        <v/>
      </c>
      <c r="H451" s="978" t="str">
        <f>IF(ISNA(VLOOKUP(C451,[6]條件!$A$1:$K$932,11,0)),"",(VLOOKUP(C451,[6]條件!$A$1:$K$932,11,0)))</f>
        <v/>
      </c>
      <c r="I451" s="979" t="str">
        <f>IF(ISNA(VLOOKUP(C451,[6]條件!$A$1:$L$932,12,0)),"",(VLOOKUP(C451,[6]條件!$A$1:$L$932,12,0)))</f>
        <v/>
      </c>
      <c r="J451" s="982"/>
      <c r="K451" s="980"/>
      <c r="L451" s="981" t="s">
        <v>632</v>
      </c>
      <c r="M451" s="983"/>
      <c r="N451" s="982"/>
      <c r="O451" s="980"/>
      <c r="P451" s="981" t="s">
        <v>632</v>
      </c>
      <c r="Q451" s="983"/>
      <c r="R451" s="982"/>
      <c r="S451" s="980"/>
      <c r="T451" s="981" t="s">
        <v>632</v>
      </c>
      <c r="U451" s="983"/>
      <c r="V451" s="982"/>
      <c r="W451" s="980"/>
      <c r="X451" s="981" t="s">
        <v>632</v>
      </c>
      <c r="Y451" s="983"/>
      <c r="Z451" s="1412" t="str">
        <f>IFERROR(VLOOKUP(C451, [6]條件!$A:$L, 3, 0), "")</f>
        <v/>
      </c>
      <c r="AA451" s="984" t="str">
        <f>IF(OR(L451={"改紡","檢修","了機","清車","FINAL","停機","SAMPLE","TEST","絲開發"}), L451, IFERROR(IF(C451="", "", (SUM(J451, N451, R451, V451)/3 * AG451) * IF(AND(AF451="S", AS451="雙"), 0.5, 1)), ""))</f>
        <v>停機</v>
      </c>
      <c r="AB451" s="1413" t="str">
        <f t="shared" si="77"/>
        <v/>
      </c>
      <c r="AC451" s="984" t="str">
        <f>IF(OR(L451={"改紡","檢修","了機","清車","FINAL","停機","SAMPLE","TEST"}), "", IFERROR(IF(C451="", "", AVERAGE(L451:M451, P451:Q451, T451:U451, X451:Y451)/100), ""))</f>
        <v/>
      </c>
      <c r="AD451" s="984" t="str">
        <f t="shared" si="80"/>
        <v/>
      </c>
      <c r="AE451" s="984" t="str">
        <f t="shared" si="78"/>
        <v/>
      </c>
      <c r="AF451" s="985" t="str">
        <f t="shared" si="81"/>
        <v>A</v>
      </c>
      <c r="AG451" s="1414">
        <v>1</v>
      </c>
      <c r="AH451" s="981" t="s">
        <v>640</v>
      </c>
      <c r="AI451" s="986" t="s">
        <v>640</v>
      </c>
      <c r="AJ451" s="986" t="s">
        <v>640</v>
      </c>
      <c r="AK451" s="1417" t="s">
        <v>640</v>
      </c>
      <c r="AL451" s="1415"/>
      <c r="AM451" s="1323"/>
      <c r="AN451" s="1323"/>
      <c r="AO451" s="1323"/>
      <c r="AP451" s="1323"/>
      <c r="AQ451" s="1323"/>
      <c r="AR451" s="987"/>
      <c r="AS451" s="978" t="str">
        <f t="shared" si="82"/>
        <v>單</v>
      </c>
      <c r="AT451" s="978" t="str">
        <f t="shared" si="83"/>
        <v>全</v>
      </c>
      <c r="AU451" s="978" t="str">
        <f t="shared" si="84"/>
        <v/>
      </c>
      <c r="AV451" s="978" t="str">
        <f t="shared" si="85"/>
        <v/>
      </c>
    </row>
    <row r="452" spans="1:48">
      <c r="A452" s="975">
        <f t="shared" si="79"/>
        <v>46154</v>
      </c>
      <c r="B452" s="976" t="s">
        <v>221</v>
      </c>
      <c r="C452" s="976" t="s">
        <v>16763</v>
      </c>
      <c r="D452" s="1410"/>
      <c r="E452" s="977" t="str">
        <f>IFERROR(VLOOKUP(C452, [6]條件!$A:$L, 5, 0), "")</f>
        <v>150/48CDR</v>
      </c>
      <c r="F452" s="978" t="str">
        <f>IFERROR(VLOOKUP(C452, [6]條件!$A:$L, 6, 0), "")</f>
        <v>FP82781</v>
      </c>
      <c r="G452" s="1411">
        <f>IFERROR(VLOOKUP(C452, [6]條件!$A:$L, 7, 0), "")</f>
        <v>600</v>
      </c>
      <c r="H452" s="978" t="str">
        <f>IF(ISNA(VLOOKUP(C452,[6]條件!$A$1:$K$932,11,0)),"",(VLOOKUP(C452,[6]條件!$A$1:$K$932,11,0)))</f>
        <v>綠藍雙色</v>
      </c>
      <c r="I452" s="979">
        <f>IF(ISNA(VLOOKUP(C452,[6]條件!$A$1:$L$932,12,0)),"",(VLOOKUP(C452,[6]條件!$A$1:$L$932,12,0)))</f>
        <v>5</v>
      </c>
      <c r="J452" s="982">
        <v>20</v>
      </c>
      <c r="K452" s="980">
        <v>3</v>
      </c>
      <c r="L452" s="981">
        <v>8354</v>
      </c>
      <c r="M452" s="983">
        <v>8000</v>
      </c>
      <c r="N452" s="982">
        <v>1</v>
      </c>
      <c r="O452" s="980">
        <v>0</v>
      </c>
      <c r="P452" s="981">
        <v>8519</v>
      </c>
      <c r="Q452" s="983">
        <v>8039</v>
      </c>
      <c r="R452" s="982">
        <v>2</v>
      </c>
      <c r="S452" s="980">
        <v>0</v>
      </c>
      <c r="T452" s="981">
        <v>8493</v>
      </c>
      <c r="U452" s="983">
        <v>8034</v>
      </c>
      <c r="V452" s="982">
        <v>17</v>
      </c>
      <c r="W452" s="980">
        <v>0</v>
      </c>
      <c r="X452" s="981">
        <v>8356</v>
      </c>
      <c r="Y452" s="983">
        <v>7976</v>
      </c>
      <c r="Z452" s="1412">
        <f>IFERROR(VLOOKUP(C452, [6]條件!$A:$L, 3, 0), "")</f>
        <v>2.8685258964143427</v>
      </c>
      <c r="AA452" s="984">
        <f>IF(OR(L452={"改紡","檢修","了機","清車","FINAL","停機","SAMPLE","TEST","絲開發"}), L452, IFERROR(IF(C452="", "", (SUM(J452, N452, R452, V452)/3 * AG452) * IF(AND(AF452="S", AS452="雙"), 0.5, 1)), ""))</f>
        <v>13.333333333333334</v>
      </c>
      <c r="AB452" s="1413">
        <f t="shared" si="77"/>
        <v>0.99497195512820513</v>
      </c>
      <c r="AC452" s="984">
        <f>IF(OR(L452={"改紡","檢修","了機","清車","FINAL","停機","SAMPLE","TEST"}), "", IFERROR(IF(C452="", "", AVERAGE(L452:M452, P452:Q452, T452:U452, X452:Y452)/100), ""))</f>
        <v>82.213750000000005</v>
      </c>
      <c r="AD452" s="984">
        <f t="shared" si="80"/>
        <v>1.6666666666666667</v>
      </c>
      <c r="AE452" s="984">
        <f t="shared" si="78"/>
        <v>1.5416666666666667</v>
      </c>
      <c r="AF452" s="985" t="str">
        <f t="shared" si="81"/>
        <v>A</v>
      </c>
      <c r="AG452" s="1414">
        <v>1</v>
      </c>
      <c r="AH452" s="981" t="s">
        <v>631</v>
      </c>
      <c r="AI452" s="986" t="s">
        <v>631</v>
      </c>
      <c r="AJ452" s="986" t="s">
        <v>725</v>
      </c>
      <c r="AK452" s="1417" t="s">
        <v>725</v>
      </c>
      <c r="AL452" s="1415">
        <v>54</v>
      </c>
      <c r="AM452" s="1323">
        <v>46151</v>
      </c>
      <c r="AN452" s="1323">
        <v>46152</v>
      </c>
      <c r="AO452" s="1323">
        <v>46153</v>
      </c>
      <c r="AP452" s="1323"/>
      <c r="AQ452" s="1323"/>
      <c r="AR452" s="987"/>
      <c r="AS452" s="978" t="str">
        <f t="shared" si="82"/>
        <v>單</v>
      </c>
      <c r="AT452" s="978" t="str">
        <f t="shared" si="83"/>
        <v>全</v>
      </c>
      <c r="AU452" s="978">
        <f t="shared" si="84"/>
        <v>150</v>
      </c>
      <c r="AV452" s="978">
        <f t="shared" si="85"/>
        <v>2.5571764799999999</v>
      </c>
    </row>
    <row r="453" spans="1:48">
      <c r="A453" s="975">
        <f t="shared" si="79"/>
        <v>46154</v>
      </c>
      <c r="B453" s="976" t="s">
        <v>222</v>
      </c>
      <c r="C453" s="976" t="s">
        <v>632</v>
      </c>
      <c r="D453" s="1410"/>
      <c r="E453" s="977" t="str">
        <f>IFERROR(VLOOKUP(C453, [6]條件!$A:$L, 5, 0), "")</f>
        <v/>
      </c>
      <c r="F453" s="978" t="str">
        <f>IFERROR(VLOOKUP(C453, [6]條件!$A:$L, 6, 0), "")</f>
        <v/>
      </c>
      <c r="G453" s="1411" t="str">
        <f>IFERROR(VLOOKUP(C453, [6]條件!$A:$L, 7, 0), "")</f>
        <v/>
      </c>
      <c r="H453" s="978" t="str">
        <f>IF(ISNA(VLOOKUP(C453,[6]條件!$A$1:$K$932,11,0)),"",(VLOOKUP(C453,[6]條件!$A$1:$K$932,11,0)))</f>
        <v/>
      </c>
      <c r="I453" s="979" t="str">
        <f>IF(ISNA(VLOOKUP(C453,[6]條件!$A$1:$L$932,12,0)),"",(VLOOKUP(C453,[6]條件!$A$1:$L$932,12,0)))</f>
        <v/>
      </c>
      <c r="J453" s="982"/>
      <c r="K453" s="980"/>
      <c r="L453" s="981" t="s">
        <v>632</v>
      </c>
      <c r="M453" s="983"/>
      <c r="N453" s="982"/>
      <c r="O453" s="980"/>
      <c r="P453" s="981" t="s">
        <v>632</v>
      </c>
      <c r="Q453" s="983"/>
      <c r="R453" s="982"/>
      <c r="S453" s="980"/>
      <c r="T453" s="981" t="s">
        <v>632</v>
      </c>
      <c r="U453" s="983"/>
      <c r="V453" s="982"/>
      <c r="W453" s="980"/>
      <c r="X453" s="981" t="s">
        <v>632</v>
      </c>
      <c r="Y453" s="983"/>
      <c r="Z453" s="1412" t="str">
        <f>IFERROR(VLOOKUP(C453, [6]條件!$A:$L, 3, 0), "")</f>
        <v/>
      </c>
      <c r="AA453" s="984" t="str">
        <f>IF(OR(L453={"改紡","檢修","了機","清車","FINAL","停機","SAMPLE","TEST","絲開發"}), L453, IFERROR(IF(C453="", "", (SUM(J453, N453, R453, V453)/3 * AG453) * IF(AND(AF453="S", AS453="雙"), 0.5, 1)), ""))</f>
        <v>停機</v>
      </c>
      <c r="AB453" s="1413" t="str">
        <f t="shared" si="77"/>
        <v/>
      </c>
      <c r="AC453" s="984" t="str">
        <f>IF(OR(L453={"改紡","檢修","了機","清車","FINAL","停機","SAMPLE","TEST"}), "", IFERROR(IF(C453="", "", AVERAGE(L453:M453, P453:Q453, T453:U453, X453:Y453)/100), ""))</f>
        <v/>
      </c>
      <c r="AD453" s="984" t="str">
        <f t="shared" si="80"/>
        <v/>
      </c>
      <c r="AE453" s="984" t="str">
        <f t="shared" si="78"/>
        <v/>
      </c>
      <c r="AF453" s="985" t="str">
        <f t="shared" si="81"/>
        <v>A</v>
      </c>
      <c r="AG453" s="1414">
        <v>1</v>
      </c>
      <c r="AH453" s="981" t="s">
        <v>640</v>
      </c>
      <c r="AI453" s="986" t="s">
        <v>640</v>
      </c>
      <c r="AJ453" s="986" t="s">
        <v>640</v>
      </c>
      <c r="AK453" s="1417" t="s">
        <v>640</v>
      </c>
      <c r="AL453" s="1415"/>
      <c r="AM453" s="1323"/>
      <c r="AN453" s="1323"/>
      <c r="AO453" s="1323"/>
      <c r="AP453" s="1323"/>
      <c r="AQ453" s="1323"/>
      <c r="AR453" s="987"/>
      <c r="AS453" s="978" t="str">
        <f t="shared" si="82"/>
        <v>單</v>
      </c>
      <c r="AT453" s="978" t="str">
        <f t="shared" si="83"/>
        <v>全</v>
      </c>
      <c r="AU453" s="978" t="str">
        <f t="shared" si="84"/>
        <v/>
      </c>
      <c r="AV453" s="978" t="str">
        <f t="shared" si="85"/>
        <v/>
      </c>
    </row>
    <row r="454" spans="1:48">
      <c r="A454" s="975">
        <f t="shared" si="79"/>
        <v>46154</v>
      </c>
      <c r="B454" s="976" t="s">
        <v>223</v>
      </c>
      <c r="C454" s="976" t="s">
        <v>632</v>
      </c>
      <c r="D454" s="1410"/>
      <c r="E454" s="977" t="str">
        <f>IFERROR(VLOOKUP(C454, [6]條件!$A:$L, 5, 0), "")</f>
        <v/>
      </c>
      <c r="F454" s="978" t="str">
        <f>IFERROR(VLOOKUP(C454, [6]條件!$A:$L, 6, 0), "")</f>
        <v/>
      </c>
      <c r="G454" s="1411" t="str">
        <f>IFERROR(VLOOKUP(C454, [6]條件!$A:$L, 7, 0), "")</f>
        <v/>
      </c>
      <c r="H454" s="978" t="str">
        <f>IF(ISNA(VLOOKUP(C454,[6]條件!$A$1:$K$932,11,0)),"",(VLOOKUP(C454,[6]條件!$A$1:$K$932,11,0)))</f>
        <v/>
      </c>
      <c r="I454" s="979" t="str">
        <f>IF(ISNA(VLOOKUP(C454,[6]條件!$A$1:$L$932,12,0)),"",(VLOOKUP(C454,[6]條件!$A$1:$L$932,12,0)))</f>
        <v/>
      </c>
      <c r="J454" s="982"/>
      <c r="K454" s="980"/>
      <c r="L454" s="981" t="s">
        <v>632</v>
      </c>
      <c r="M454" s="983"/>
      <c r="N454" s="982"/>
      <c r="O454" s="980"/>
      <c r="P454" s="981" t="s">
        <v>632</v>
      </c>
      <c r="Q454" s="983"/>
      <c r="R454" s="982"/>
      <c r="S454" s="980"/>
      <c r="T454" s="981" t="s">
        <v>632</v>
      </c>
      <c r="U454" s="983"/>
      <c r="V454" s="982"/>
      <c r="W454" s="980"/>
      <c r="X454" s="981" t="s">
        <v>632</v>
      </c>
      <c r="Y454" s="983"/>
      <c r="Z454" s="1412" t="str">
        <f>IFERROR(VLOOKUP(C454, [6]條件!$A:$L, 3, 0), "")</f>
        <v/>
      </c>
      <c r="AA454" s="984" t="str">
        <f>IF(OR(L454={"改紡","檢修","了機","清車","FINAL","停機","SAMPLE","TEST","絲開發"}), L454, IFERROR(IF(C454="", "", (SUM(J454, N454, R454, V454)/3 * AG454) * IF(AND(AF454="S", AS454="雙"), 0.5, 1)), ""))</f>
        <v>停機</v>
      </c>
      <c r="AB454" s="1413" t="str">
        <f t="shared" si="77"/>
        <v/>
      </c>
      <c r="AC454" s="984" t="str">
        <f>IF(OR(L454={"改紡","檢修","了機","清車","FINAL","停機","SAMPLE","TEST"}), "", IFERROR(IF(C454="", "", AVERAGE(L454:M454, P454:Q454, T454:U454, X454:Y454)/100), ""))</f>
        <v/>
      </c>
      <c r="AD454" s="984" t="str">
        <f t="shared" si="80"/>
        <v/>
      </c>
      <c r="AE454" s="984" t="str">
        <f t="shared" si="78"/>
        <v/>
      </c>
      <c r="AF454" s="985" t="str">
        <f t="shared" si="81"/>
        <v>A</v>
      </c>
      <c r="AG454" s="1414">
        <v>1</v>
      </c>
      <c r="AH454" s="981" t="s">
        <v>640</v>
      </c>
      <c r="AI454" s="986" t="s">
        <v>640</v>
      </c>
      <c r="AJ454" s="986" t="s">
        <v>640</v>
      </c>
      <c r="AK454" s="1417" t="s">
        <v>640</v>
      </c>
      <c r="AL454" s="1415"/>
      <c r="AM454" s="1324"/>
      <c r="AN454" s="1323"/>
      <c r="AO454" s="1323"/>
      <c r="AP454" s="1323"/>
      <c r="AQ454" s="1323"/>
      <c r="AR454" s="987"/>
      <c r="AS454" s="978" t="str">
        <f t="shared" si="82"/>
        <v>單</v>
      </c>
      <c r="AT454" s="978" t="str">
        <f t="shared" si="83"/>
        <v>全</v>
      </c>
      <c r="AU454" s="978" t="str">
        <f t="shared" si="84"/>
        <v/>
      </c>
      <c r="AV454" s="978" t="str">
        <f t="shared" si="85"/>
        <v/>
      </c>
    </row>
    <row r="455" spans="1:48">
      <c r="A455" s="975">
        <f t="shared" si="79"/>
        <v>46154</v>
      </c>
      <c r="B455" s="976" t="s">
        <v>224</v>
      </c>
      <c r="C455" s="976" t="s">
        <v>16734</v>
      </c>
      <c r="D455" s="1410" t="s">
        <v>633</v>
      </c>
      <c r="E455" s="977" t="str">
        <f>IFERROR(VLOOKUP(C455, [6]條件!$A:$L, 5, 0), "")</f>
        <v>75/24/2SDr</v>
      </c>
      <c r="F455" s="978" t="str">
        <f>IFERROR(VLOOKUP(C455, [6]條件!$A:$L, 6, 0), "")</f>
        <v>FP81382R×2</v>
      </c>
      <c r="G455" s="1411">
        <f>IFERROR(VLOOKUP(C455, [6]條件!$A:$L, 7, 0), "")</f>
        <v>700</v>
      </c>
      <c r="H455" s="978" t="str">
        <f>IF(ISNA(VLOOKUP(C455,[6]條件!$A$1:$K$932,11,0)),"",(VLOOKUP(C455,[6]條件!$A$1:$K$932,11,0)))</f>
        <v>白底紫三角</v>
      </c>
      <c r="I455" s="979">
        <f>IF(ISNA(VLOOKUP(C455,[6]條件!$A$1:$L$932,12,0)),"",(VLOOKUP(C455,[6]條件!$A$1:$L$932,12,0)))</f>
        <v>5</v>
      </c>
      <c r="J455" s="982">
        <v>48</v>
      </c>
      <c r="K455" s="980">
        <v>0</v>
      </c>
      <c r="L455" s="981">
        <v>9027</v>
      </c>
      <c r="M455" s="983">
        <v>8307</v>
      </c>
      <c r="N455" s="982">
        <v>20</v>
      </c>
      <c r="O455" s="980">
        <v>0</v>
      </c>
      <c r="P455" s="981">
        <v>8951</v>
      </c>
      <c r="Q455" s="983">
        <v>8604</v>
      </c>
      <c r="R455" s="982">
        <v>10</v>
      </c>
      <c r="S455" s="980">
        <v>0</v>
      </c>
      <c r="T455" s="981">
        <v>9148</v>
      </c>
      <c r="U455" s="983">
        <v>8650</v>
      </c>
      <c r="V455" s="982">
        <v>46</v>
      </c>
      <c r="W455" s="980">
        <v>4</v>
      </c>
      <c r="X455" s="981">
        <v>8922</v>
      </c>
      <c r="Y455" s="983">
        <v>8547</v>
      </c>
      <c r="Z455" s="1412">
        <f>IFERROR(VLOOKUP(C455, [6]條件!$A:$L, 3, 0), "")</f>
        <v>3.2653061224489797</v>
      </c>
      <c r="AA455" s="984">
        <f>IF(OR(L455={"改紡","檢修","了機","清車","FINAL","停機","SAMPLE","TEST","絲開發"}), L455, IFERROR(IF(C455="", "", (SUM(J455, N455, R455, V455)/3 * AG455) * IF(AND(AF455="S", AS455="雙"), 0.5, 1)), ""))</f>
        <v>20.666666666666668</v>
      </c>
      <c r="AB455" s="1413">
        <f t="shared" si="77"/>
        <v>0.99411057692307692</v>
      </c>
      <c r="AC455" s="984">
        <f>IF(OR(L455={"改紡","檢修","了機","清車","FINAL","停機","SAMPLE","TEST"}), "", IFERROR(IF(C455="", "", AVERAGE(L455:M455, P455:Q455, T455:U455, X455:Y455)/100), ""))</f>
        <v>87.694999999999993</v>
      </c>
      <c r="AD455" s="984">
        <f t="shared" si="80"/>
        <v>2.5833333333333335</v>
      </c>
      <c r="AE455" s="984">
        <f t="shared" si="78"/>
        <v>2.5</v>
      </c>
      <c r="AF455" s="985" t="str">
        <f t="shared" si="81"/>
        <v>A</v>
      </c>
      <c r="AG455" s="1414">
        <v>0.5</v>
      </c>
      <c r="AH455" s="981" t="s">
        <v>641</v>
      </c>
      <c r="AI455" s="986" t="s">
        <v>641</v>
      </c>
      <c r="AJ455" s="986" t="s">
        <v>634</v>
      </c>
      <c r="AK455" s="1417" t="s">
        <v>634</v>
      </c>
      <c r="AL455" s="1415">
        <v>50</v>
      </c>
      <c r="AM455" s="1323">
        <v>46107</v>
      </c>
      <c r="AN455" s="1323">
        <v>46108</v>
      </c>
      <c r="AO455" s="1323">
        <v>46109</v>
      </c>
      <c r="AP455" s="1323"/>
      <c r="AQ455" s="1323"/>
      <c r="AR455" s="987"/>
      <c r="AS455" s="978" t="str">
        <f t="shared" si="82"/>
        <v>雙</v>
      </c>
      <c r="AT455" s="978" t="str">
        <f t="shared" si="83"/>
        <v>全</v>
      </c>
      <c r="AU455" s="978">
        <f t="shared" si="84"/>
        <v>75</v>
      </c>
      <c r="AV455" s="978">
        <f t="shared" si="85"/>
        <v>1.5911380799999999</v>
      </c>
    </row>
    <row r="456" spans="1:48">
      <c r="A456" s="975">
        <f t="shared" si="79"/>
        <v>46154</v>
      </c>
      <c r="B456" s="976" t="s">
        <v>225</v>
      </c>
      <c r="C456" s="976" t="s">
        <v>16747</v>
      </c>
      <c r="D456" s="1410"/>
      <c r="E456" s="977" t="str">
        <f>IFERROR(VLOOKUP(C456, [6]條件!$A:$L, 5, 0), "")</f>
        <v>150/48SDR</v>
      </c>
      <c r="F456" s="978" t="str">
        <f>IFERROR(VLOOKUP(C456, [6]條件!$A:$L, 6, 0), "")</f>
        <v>FP82169R</v>
      </c>
      <c r="G456" s="1411">
        <f>IFERROR(VLOOKUP(C456, [6]條件!$A:$L, 7, 0), "")</f>
        <v>650</v>
      </c>
      <c r="H456" s="978" t="str">
        <f>IF(ISNA(VLOOKUP(C456,[6]條件!$A$1:$K$932,11,0)),"",(VLOOKUP(C456,[6]條件!$A$1:$K$932,11,0)))</f>
        <v>綠藍三角</v>
      </c>
      <c r="I456" s="979">
        <f>IF(ISNA(VLOOKUP(C456,[6]條件!$A$1:$L$932,12,0)),"",(VLOOKUP(C456,[6]條件!$A$1:$L$932,12,0)))</f>
        <v>5</v>
      </c>
      <c r="J456" s="982">
        <v>13</v>
      </c>
      <c r="K456" s="980">
        <v>0</v>
      </c>
      <c r="L456" s="981">
        <v>9360</v>
      </c>
      <c r="M456" s="983">
        <v>8679</v>
      </c>
      <c r="N456" s="982">
        <v>18</v>
      </c>
      <c r="O456" s="980">
        <v>3</v>
      </c>
      <c r="P456" s="981">
        <v>9193</v>
      </c>
      <c r="Q456" s="983">
        <v>8299</v>
      </c>
      <c r="R456" s="982">
        <v>8</v>
      </c>
      <c r="S456" s="980">
        <v>0</v>
      </c>
      <c r="T456" s="981">
        <v>9279</v>
      </c>
      <c r="U456" s="983">
        <v>8649</v>
      </c>
      <c r="V456" s="982">
        <v>10</v>
      </c>
      <c r="W456" s="980">
        <v>1</v>
      </c>
      <c r="X456" s="981">
        <v>9370</v>
      </c>
      <c r="Y456" s="983">
        <v>8946</v>
      </c>
      <c r="Z456" s="1412">
        <f>IFERROR(VLOOKUP(C456, [6]條件!$A:$L, 3, 0), "")</f>
        <v>3.0573248407643314</v>
      </c>
      <c r="AA456" s="984">
        <f>IF(OR(L456={"改紡","檢修","了機","清車","FINAL","停機","SAMPLE","TEST","絲開發"}), L456, IFERROR(IF(C456="", "", (SUM(J456, N456, R456, V456)/3 * AG456) * IF(AND(AF456="S", AS456="雙"), 0.5, 1)), ""))</f>
        <v>16.333333333333332</v>
      </c>
      <c r="AB456" s="1413">
        <f t="shared" si="77"/>
        <v>0.99370993589743595</v>
      </c>
      <c r="AC456" s="984">
        <f>IF(OR(L456={"改紡","檢修","了機","清車","FINAL","停機","SAMPLE","TEST"}), "", IFERROR(IF(C456="", "", AVERAGE(L456:M456, P456:Q456, T456:U456, X456:Y456)/100), ""))</f>
        <v>89.71875</v>
      </c>
      <c r="AD456" s="984">
        <f t="shared" si="80"/>
        <v>2.0416666666666665</v>
      </c>
      <c r="AE456" s="984">
        <f t="shared" si="78"/>
        <v>1.875</v>
      </c>
      <c r="AF456" s="985" t="str">
        <f t="shared" si="81"/>
        <v>A</v>
      </c>
      <c r="AG456" s="1414">
        <v>1</v>
      </c>
      <c r="AH456" s="981" t="s">
        <v>637</v>
      </c>
      <c r="AI456" s="986" t="s">
        <v>637</v>
      </c>
      <c r="AJ456" s="986" t="s">
        <v>815</v>
      </c>
      <c r="AK456" s="1417" t="s">
        <v>815</v>
      </c>
      <c r="AL456" s="1415">
        <v>48</v>
      </c>
      <c r="AM456" s="1323">
        <v>46151</v>
      </c>
      <c r="AN456" s="1323">
        <v>46152</v>
      </c>
      <c r="AO456" s="1323"/>
      <c r="AP456" s="1323"/>
      <c r="AQ456" s="1323"/>
      <c r="AR456" s="987"/>
      <c r="AS456" s="978" t="str">
        <f t="shared" si="82"/>
        <v>單</v>
      </c>
      <c r="AT456" s="978" t="str">
        <f t="shared" si="83"/>
        <v>全</v>
      </c>
      <c r="AU456" s="978">
        <f t="shared" si="84"/>
        <v>150</v>
      </c>
      <c r="AV456" s="978">
        <f t="shared" si="85"/>
        <v>3.0231629999999998</v>
      </c>
    </row>
    <row r="457" spans="1:48">
      <c r="A457" s="975">
        <f t="shared" si="79"/>
        <v>46154</v>
      </c>
      <c r="B457" s="976" t="s">
        <v>226</v>
      </c>
      <c r="C457" s="976" t="s">
        <v>632</v>
      </c>
      <c r="D457" s="1410"/>
      <c r="E457" s="977" t="str">
        <f>IFERROR(VLOOKUP(C457, [6]條件!$A:$L, 5, 0), "")</f>
        <v/>
      </c>
      <c r="F457" s="978" t="str">
        <f>IFERROR(VLOOKUP(C457, [6]條件!$A:$L, 6, 0), "")</f>
        <v/>
      </c>
      <c r="G457" s="1411" t="str">
        <f>IFERROR(VLOOKUP(C457, [6]條件!$A:$L, 7, 0), "")</f>
        <v/>
      </c>
      <c r="H457" s="978" t="str">
        <f>IF(ISNA(VLOOKUP(C457,[6]條件!$A$1:$K$932,11,0)),"",(VLOOKUP(C457,[6]條件!$A$1:$K$932,11,0)))</f>
        <v/>
      </c>
      <c r="I457" s="979" t="str">
        <f>IF(ISNA(VLOOKUP(C457,[6]條件!$A$1:$L$932,12,0)),"",(VLOOKUP(C457,[6]條件!$A$1:$L$932,12,0)))</f>
        <v/>
      </c>
      <c r="J457" s="982"/>
      <c r="K457" s="980"/>
      <c r="L457" s="981" t="s">
        <v>632</v>
      </c>
      <c r="M457" s="983"/>
      <c r="N457" s="982"/>
      <c r="O457" s="980"/>
      <c r="P457" s="981" t="s">
        <v>632</v>
      </c>
      <c r="Q457" s="983"/>
      <c r="R457" s="982"/>
      <c r="S457" s="980"/>
      <c r="T457" s="981" t="s">
        <v>632</v>
      </c>
      <c r="U457" s="983"/>
      <c r="V457" s="982"/>
      <c r="W457" s="980"/>
      <c r="X457" s="981" t="s">
        <v>632</v>
      </c>
      <c r="Y457" s="983"/>
      <c r="Z457" s="1412" t="str">
        <f>IFERROR(VLOOKUP(C457, [6]條件!$A:$L, 3, 0), "")</f>
        <v/>
      </c>
      <c r="AA457" s="984" t="str">
        <f>IF(OR(L457={"改紡","檢修","了機","清車","FINAL","停機","SAMPLE","TEST","絲開發"}), L457, IFERROR(IF(C457="", "", (SUM(J457, N457, R457, V457)/3 * AG457) * IF(AND(AF457="S", AS457="雙"), 0.5, 1)), ""))</f>
        <v>停機</v>
      </c>
      <c r="AB457" s="1413" t="str">
        <f t="shared" si="77"/>
        <v/>
      </c>
      <c r="AC457" s="984" t="str">
        <f>IF(OR(L457={"改紡","檢修","了機","清車","FINAL","停機","SAMPLE","TEST"}), "", IFERROR(IF(C457="", "", AVERAGE(L457:M457, P457:Q457, T457:U457, X457:Y457)/100), ""))</f>
        <v/>
      </c>
      <c r="AD457" s="984" t="str">
        <f t="shared" si="80"/>
        <v/>
      </c>
      <c r="AE457" s="984" t="str">
        <f t="shared" si="78"/>
        <v/>
      </c>
      <c r="AF457" s="985" t="str">
        <f t="shared" si="81"/>
        <v>A</v>
      </c>
      <c r="AG457" s="1414">
        <v>1</v>
      </c>
      <c r="AH457" s="981" t="s">
        <v>640</v>
      </c>
      <c r="AI457" s="986" t="s">
        <v>640</v>
      </c>
      <c r="AJ457" s="986" t="s">
        <v>640</v>
      </c>
      <c r="AK457" s="1417" t="s">
        <v>640</v>
      </c>
      <c r="AL457" s="1415"/>
      <c r="AM457" s="1323"/>
      <c r="AN457" s="1323"/>
      <c r="AO457" s="1323"/>
      <c r="AP457" s="1323"/>
      <c r="AQ457" s="1323"/>
      <c r="AR457" s="987"/>
      <c r="AS457" s="978" t="str">
        <f t="shared" si="82"/>
        <v>單</v>
      </c>
      <c r="AT457" s="978" t="str">
        <f t="shared" si="83"/>
        <v>全</v>
      </c>
      <c r="AU457" s="978" t="str">
        <f t="shared" si="84"/>
        <v/>
      </c>
      <c r="AV457" s="978" t="str">
        <f t="shared" si="85"/>
        <v/>
      </c>
    </row>
    <row r="458" spans="1:48">
      <c r="A458" s="975">
        <f t="shared" si="79"/>
        <v>46154</v>
      </c>
      <c r="B458" s="976" t="s">
        <v>227</v>
      </c>
      <c r="C458" s="976" t="s">
        <v>16712</v>
      </c>
      <c r="D458" s="1410"/>
      <c r="E458" s="977" t="str">
        <f>IFERROR(VLOOKUP(C458, [6]條件!$A:$L, 5, 0), "")</f>
        <v>100/36SDr</v>
      </c>
      <c r="F458" s="978" t="str">
        <f>IFERROR(VLOOKUP(C458, [6]條件!$A:$L, 6, 0), "")</f>
        <v>FP81384R</v>
      </c>
      <c r="G458" s="1411">
        <f>IFERROR(VLOOKUP(C458, [6]條件!$A:$L, 7, 0), "")</f>
        <v>700</v>
      </c>
      <c r="H458" s="978" t="str">
        <f>IF(ISNA(VLOOKUP(C458,[6]條件!$A$1:$K$932,11,0)),"",(VLOOKUP(C458,[6]條件!$A$1:$K$932,11,0)))</f>
        <v>白底紅三角</v>
      </c>
      <c r="I458" s="979">
        <f>IF(ISNA(VLOOKUP(C458,[6]條件!$A$1:$L$932,12,0)),"",(VLOOKUP(C458,[6]條件!$A$1:$L$932,12,0)))</f>
        <v>5</v>
      </c>
      <c r="J458" s="982">
        <v>20</v>
      </c>
      <c r="K458" s="980">
        <v>0</v>
      </c>
      <c r="L458" s="981">
        <v>7433</v>
      </c>
      <c r="M458" s="983">
        <v>7947</v>
      </c>
      <c r="N458" s="982">
        <v>8</v>
      </c>
      <c r="O458" s="980">
        <v>0</v>
      </c>
      <c r="P458" s="981">
        <v>7374</v>
      </c>
      <c r="Q458" s="983">
        <v>8053</v>
      </c>
      <c r="R458" s="982">
        <v>7</v>
      </c>
      <c r="S458" s="980">
        <v>0</v>
      </c>
      <c r="T458" s="981">
        <v>7451</v>
      </c>
      <c r="U458" s="983">
        <v>8104</v>
      </c>
      <c r="V458" s="982">
        <v>17</v>
      </c>
      <c r="W458" s="980">
        <v>1</v>
      </c>
      <c r="X458" s="981">
        <v>7657</v>
      </c>
      <c r="Y458" s="983">
        <v>8028</v>
      </c>
      <c r="Z458" s="1412">
        <f>IFERROR(VLOOKUP(C458, [6]條件!$A:$L, 3, 0), "")</f>
        <v>2.2187981510015407</v>
      </c>
      <c r="AA458" s="984">
        <f>IF(OR(L458={"改紡","檢修","了機","清車","FINAL","停機","SAMPLE","TEST","絲開發"}), L458, IFERROR(IF(C458="", "", (SUM(J458, N458, R458, V458)/3 * AG458) * IF(AND(AF458="S", AS458="雙"), 0.5, 1)), ""))</f>
        <v>17.333333333333332</v>
      </c>
      <c r="AB458" s="1413">
        <f t="shared" si="77"/>
        <v>0.99783319978632479</v>
      </c>
      <c r="AC458" s="984">
        <f>IF(OR(L458={"改紡","檢修","了機","清車","FINAL","停機","SAMPLE","TEST"}), "", IFERROR(IF(C458="", "", AVERAGE(L458:M458, P458:Q458, T458:U458, X458:Y458)/100), ""))</f>
        <v>77.558750000000003</v>
      </c>
      <c r="AD458" s="984">
        <f t="shared" si="80"/>
        <v>2.1666666666666665</v>
      </c>
      <c r="AE458" s="984">
        <f t="shared" si="78"/>
        <v>2.125</v>
      </c>
      <c r="AF458" s="985" t="str">
        <f t="shared" si="81"/>
        <v>A</v>
      </c>
      <c r="AG458" s="1414">
        <v>1</v>
      </c>
      <c r="AH458" s="981" t="s">
        <v>641</v>
      </c>
      <c r="AI458" s="986" t="s">
        <v>641</v>
      </c>
      <c r="AJ458" s="986" t="s">
        <v>634</v>
      </c>
      <c r="AK458" s="1417" t="s">
        <v>634</v>
      </c>
      <c r="AL458" s="1415">
        <v>50</v>
      </c>
      <c r="AM458" s="1323">
        <v>46140</v>
      </c>
      <c r="AN458" s="1323">
        <v>46141</v>
      </c>
      <c r="AO458" s="1323">
        <v>46142</v>
      </c>
      <c r="AP458" s="1323">
        <v>46143</v>
      </c>
      <c r="AQ458" s="1323"/>
      <c r="AR458" s="987"/>
      <c r="AS458" s="978" t="str">
        <f t="shared" si="82"/>
        <v>單</v>
      </c>
      <c r="AT458" s="978" t="str">
        <f t="shared" si="83"/>
        <v>全</v>
      </c>
      <c r="AU458" s="978">
        <f t="shared" si="84"/>
        <v>100</v>
      </c>
      <c r="AV458" s="978">
        <f t="shared" si="85"/>
        <v>1.8763012799999998</v>
      </c>
    </row>
    <row r="459" spans="1:48">
      <c r="A459" s="975">
        <f t="shared" si="79"/>
        <v>46154</v>
      </c>
      <c r="B459" s="976" t="s">
        <v>228</v>
      </c>
      <c r="C459" s="976" t="s">
        <v>632</v>
      </c>
      <c r="D459" s="1410"/>
      <c r="E459" s="977" t="str">
        <f>IFERROR(VLOOKUP(C459, [6]條件!$A:$L, 5, 0), "")</f>
        <v/>
      </c>
      <c r="F459" s="978" t="str">
        <f>IFERROR(VLOOKUP(C459, [6]條件!$A:$L, 6, 0), "")</f>
        <v/>
      </c>
      <c r="G459" s="1411" t="str">
        <f>IFERROR(VLOOKUP(C459, [6]條件!$A:$L, 7, 0), "")</f>
        <v/>
      </c>
      <c r="H459" s="978" t="str">
        <f>IF(ISNA(VLOOKUP(C459,[6]條件!$A$1:$K$932,11,0)),"",(VLOOKUP(C459,[6]條件!$A$1:$K$932,11,0)))</f>
        <v/>
      </c>
      <c r="I459" s="979" t="str">
        <f>IF(ISNA(VLOOKUP(C459,[6]條件!$A$1:$L$932,12,0)),"",(VLOOKUP(C459,[6]條件!$A$1:$L$932,12,0)))</f>
        <v/>
      </c>
      <c r="J459" s="982"/>
      <c r="K459" s="980"/>
      <c r="L459" s="981" t="s">
        <v>632</v>
      </c>
      <c r="M459" s="983"/>
      <c r="N459" s="982"/>
      <c r="O459" s="980"/>
      <c r="P459" s="981" t="s">
        <v>632</v>
      </c>
      <c r="Q459" s="983"/>
      <c r="R459" s="982"/>
      <c r="S459" s="980"/>
      <c r="T459" s="981" t="s">
        <v>632</v>
      </c>
      <c r="U459" s="983"/>
      <c r="V459" s="982"/>
      <c r="W459" s="980"/>
      <c r="X459" s="981" t="s">
        <v>632</v>
      </c>
      <c r="Y459" s="983"/>
      <c r="Z459" s="1412" t="str">
        <f>IFERROR(VLOOKUP(C459, [6]條件!$A:$L, 3, 0), "")</f>
        <v/>
      </c>
      <c r="AA459" s="984" t="str">
        <f>IF(OR(L459={"改紡","檢修","了機","清車","FINAL","停機","SAMPLE","TEST","絲開發"}), L459, IFERROR(IF(C459="", "", (SUM(J459, N459, R459, V459)/3 * AG459) * IF(AND(AF459="S", AS459="雙"), 0.5, 1)), ""))</f>
        <v>停機</v>
      </c>
      <c r="AB459" s="1413" t="str">
        <f t="shared" si="77"/>
        <v/>
      </c>
      <c r="AC459" s="984" t="str">
        <f>IF(OR(L459={"改紡","檢修","了機","清車","FINAL","停機","SAMPLE","TEST"}), "", IFERROR(IF(C459="", "", AVERAGE(L459:M459, P459:Q459, T459:U459, X459:Y459)/100), ""))</f>
        <v/>
      </c>
      <c r="AD459" s="984" t="str">
        <f t="shared" si="80"/>
        <v/>
      </c>
      <c r="AE459" s="984" t="str">
        <f t="shared" si="78"/>
        <v/>
      </c>
      <c r="AF459" s="985" t="str">
        <f t="shared" si="81"/>
        <v>A</v>
      </c>
      <c r="AG459" s="1414">
        <v>1</v>
      </c>
      <c r="AH459" s="981" t="s">
        <v>640</v>
      </c>
      <c r="AI459" s="986" t="s">
        <v>640</v>
      </c>
      <c r="AJ459" s="986" t="s">
        <v>640</v>
      </c>
      <c r="AK459" s="1417" t="s">
        <v>640</v>
      </c>
      <c r="AL459" s="1420"/>
      <c r="AM459" s="1323"/>
      <c r="AN459" s="1323"/>
      <c r="AO459" s="1323"/>
      <c r="AP459" s="1323"/>
      <c r="AQ459" s="1323"/>
      <c r="AR459" s="987"/>
      <c r="AS459" s="978" t="str">
        <f t="shared" si="82"/>
        <v>單</v>
      </c>
      <c r="AT459" s="978" t="str">
        <f t="shared" si="83"/>
        <v>全</v>
      </c>
      <c r="AU459" s="978" t="str">
        <f t="shared" si="84"/>
        <v/>
      </c>
      <c r="AV459" s="978" t="str">
        <f t="shared" si="85"/>
        <v/>
      </c>
    </row>
    <row r="460" spans="1:48">
      <c r="A460" s="975">
        <f t="shared" si="79"/>
        <v>46154</v>
      </c>
      <c r="B460" s="976" t="s">
        <v>229</v>
      </c>
      <c r="C460" s="976" t="s">
        <v>632</v>
      </c>
      <c r="D460" s="1410"/>
      <c r="E460" s="977" t="str">
        <f>IFERROR(VLOOKUP(C460, [6]條件!$A:$L, 5, 0), "")</f>
        <v/>
      </c>
      <c r="F460" s="978" t="str">
        <f>IFERROR(VLOOKUP(C460, [6]條件!$A:$L, 6, 0), "")</f>
        <v/>
      </c>
      <c r="G460" s="1411" t="str">
        <f>IFERROR(VLOOKUP(C460, [6]條件!$A:$L, 7, 0), "")</f>
        <v/>
      </c>
      <c r="H460" s="978" t="str">
        <f>IF(ISNA(VLOOKUP(C460,[6]條件!$A$1:$K$932,11,0)),"",(VLOOKUP(C460,[6]條件!$A$1:$K$932,11,0)))</f>
        <v/>
      </c>
      <c r="I460" s="979" t="str">
        <f>IF(ISNA(VLOOKUP(C460,[6]條件!$A$1:$L$932,12,0)),"",(VLOOKUP(C460,[6]條件!$A$1:$L$932,12,0)))</f>
        <v/>
      </c>
      <c r="J460" s="982"/>
      <c r="K460" s="980"/>
      <c r="L460" s="981" t="s">
        <v>632</v>
      </c>
      <c r="M460" s="983"/>
      <c r="N460" s="982"/>
      <c r="O460" s="980"/>
      <c r="P460" s="981" t="s">
        <v>632</v>
      </c>
      <c r="Q460" s="983"/>
      <c r="R460" s="982"/>
      <c r="S460" s="980"/>
      <c r="T460" s="981" t="s">
        <v>632</v>
      </c>
      <c r="U460" s="983"/>
      <c r="V460" s="982"/>
      <c r="W460" s="980"/>
      <c r="X460" s="981" t="s">
        <v>632</v>
      </c>
      <c r="Y460" s="983"/>
      <c r="Z460" s="1412" t="str">
        <f>IFERROR(VLOOKUP(C460, [6]條件!$A:$L, 3, 0), "")</f>
        <v/>
      </c>
      <c r="AA460" s="984" t="str">
        <f>IF(OR(L460={"改紡","檢修","了機","清車","FINAL","停機","SAMPLE","TEST","絲開發"}), L460, IFERROR(IF(C460="", "", (SUM(J460, N460, R460, V460)/3 * AG460) * IF(AND(AF460="S", AS460="雙"), 0.5, 1)), ""))</f>
        <v>停機</v>
      </c>
      <c r="AB460" s="1413" t="str">
        <f t="shared" si="77"/>
        <v/>
      </c>
      <c r="AC460" s="984" t="str">
        <f>IF(OR(L460={"改紡","檢修","了機","清車","FINAL","停機","SAMPLE","TEST"}), "", IFERROR(IF(C460="", "", AVERAGE(L460:M460, P460:Q460, T460:U460, X460:Y460)/100), ""))</f>
        <v/>
      </c>
      <c r="AD460" s="984" t="str">
        <f t="shared" si="80"/>
        <v/>
      </c>
      <c r="AE460" s="984" t="str">
        <f t="shared" si="78"/>
        <v/>
      </c>
      <c r="AF460" s="985" t="str">
        <f t="shared" si="81"/>
        <v>A</v>
      </c>
      <c r="AG460" s="1414">
        <v>1</v>
      </c>
      <c r="AH460" s="981" t="s">
        <v>640</v>
      </c>
      <c r="AI460" s="986" t="s">
        <v>640</v>
      </c>
      <c r="AJ460" s="986" t="s">
        <v>640</v>
      </c>
      <c r="AK460" s="1417" t="s">
        <v>640</v>
      </c>
      <c r="AL460" s="1421"/>
      <c r="AM460" s="1323"/>
      <c r="AN460" s="1323"/>
      <c r="AO460" s="1323"/>
      <c r="AP460" s="1323"/>
      <c r="AQ460" s="1323"/>
      <c r="AR460" s="987"/>
      <c r="AS460" s="978" t="str">
        <f t="shared" si="82"/>
        <v>單</v>
      </c>
      <c r="AT460" s="978" t="str">
        <f t="shared" si="83"/>
        <v>全</v>
      </c>
      <c r="AU460" s="978" t="str">
        <f t="shared" si="84"/>
        <v/>
      </c>
      <c r="AV460" s="978" t="str">
        <f t="shared" si="85"/>
        <v/>
      </c>
    </row>
    <row r="461" spans="1:48">
      <c r="A461" s="975">
        <f t="shared" si="79"/>
        <v>46154</v>
      </c>
      <c r="B461" s="976" t="s">
        <v>230</v>
      </c>
      <c r="C461" s="976" t="s">
        <v>16751</v>
      </c>
      <c r="D461" s="1410"/>
      <c r="E461" s="977" t="str">
        <f>IFERROR(VLOOKUP(C461, [6]條件!$A:$L, 5, 0), "")</f>
        <v>150/48/2GY5</v>
      </c>
      <c r="F461" s="978" t="str">
        <f>IFERROR(VLOOKUP(C461, [6]條件!$A:$L, 6, 0), "")</f>
        <v>FP02422×2</v>
      </c>
      <c r="G461" s="1411">
        <f>IFERROR(VLOOKUP(C461, [6]條件!$A:$L, 7, 0), "")</f>
        <v>600</v>
      </c>
      <c r="H461" s="978" t="str">
        <f>IF(ISNA(VLOOKUP(C461,[6]條件!$A$1:$K$932,11,0)),"",(VLOOKUP(C461,[6]條件!$A$1:$K$932,11,0)))</f>
        <v>白底紅星</v>
      </c>
      <c r="I461" s="979">
        <f>IF(ISNA(VLOOKUP(C461,[6]條件!$A$1:$L$932,12,0)),"",(VLOOKUP(C461,[6]條件!$A$1:$L$932,12,0)))</f>
        <v>4</v>
      </c>
      <c r="J461" s="982">
        <v>24</v>
      </c>
      <c r="K461" s="980">
        <v>0</v>
      </c>
      <c r="L461" s="981">
        <v>8938</v>
      </c>
      <c r="M461" s="983">
        <v>9559</v>
      </c>
      <c r="N461" s="982">
        <v>18</v>
      </c>
      <c r="O461" s="980">
        <v>0</v>
      </c>
      <c r="P461" s="981">
        <v>8772</v>
      </c>
      <c r="Q461" s="983">
        <v>9595</v>
      </c>
      <c r="R461" s="982">
        <v>10</v>
      </c>
      <c r="S461" s="980">
        <v>4</v>
      </c>
      <c r="T461" s="981">
        <v>8920</v>
      </c>
      <c r="U461" s="983">
        <v>9635</v>
      </c>
      <c r="V461" s="982">
        <v>14</v>
      </c>
      <c r="W461" s="980">
        <v>2</v>
      </c>
      <c r="X461" s="981">
        <v>9038</v>
      </c>
      <c r="Y461" s="983">
        <v>9638</v>
      </c>
      <c r="Z461" s="1412">
        <f>IFERROR(VLOOKUP(C461, [6]條件!$A:$L, 3, 0), "")</f>
        <v>6.9230769230769234</v>
      </c>
      <c r="AA461" s="984">
        <f>IF(OR(L461={"改紡","檢修","了機","清車","FINAL","停機","SAMPLE","TEST","絲開發"}), L461, IFERROR(IF(C461="", "", (SUM(J461, N461, R461, V461)/3 * AG461) * IF(AND(AF461="S", AS461="雙"), 0.5, 1)), ""))</f>
        <v>11</v>
      </c>
      <c r="AB461" s="1413">
        <f t="shared" si="77"/>
        <v>0.99583333333333335</v>
      </c>
      <c r="AC461" s="984">
        <f>IF(OR(L461={"改紡","檢修","了機","清車","FINAL","停機","SAMPLE","TEST"}), "", IFERROR(IF(C461="", "", AVERAGE(L461:M461, P461:Q461, T461:U461, X461:Y461)/100), ""))</f>
        <v>92.618750000000006</v>
      </c>
      <c r="AD461" s="984">
        <f t="shared" si="80"/>
        <v>1.375</v>
      </c>
      <c r="AE461" s="984">
        <f t="shared" si="78"/>
        <v>1.25</v>
      </c>
      <c r="AF461" s="985" t="str">
        <f t="shared" si="81"/>
        <v>A</v>
      </c>
      <c r="AG461" s="1414">
        <v>0.5</v>
      </c>
      <c r="AH461" s="981" t="s">
        <v>641</v>
      </c>
      <c r="AI461" s="986" t="s">
        <v>641</v>
      </c>
      <c r="AJ461" s="986" t="s">
        <v>634</v>
      </c>
      <c r="AK461" s="1417" t="s">
        <v>634</v>
      </c>
      <c r="AL461" s="1415">
        <v>52</v>
      </c>
      <c r="AM461" s="1323">
        <v>46148</v>
      </c>
      <c r="AN461" s="1323">
        <v>46149</v>
      </c>
      <c r="AO461" s="1323">
        <v>46151</v>
      </c>
      <c r="AP461" s="1323">
        <v>46152</v>
      </c>
      <c r="AQ461" s="1323"/>
      <c r="AR461" s="987"/>
      <c r="AS461" s="978" t="str">
        <f t="shared" si="82"/>
        <v>雙</v>
      </c>
      <c r="AT461" s="978" t="str">
        <f t="shared" si="83"/>
        <v>全</v>
      </c>
      <c r="AU461" s="978">
        <f t="shared" si="84"/>
        <v>150</v>
      </c>
      <c r="AV461" s="978">
        <f t="shared" si="85"/>
        <v>2.8808136000000002</v>
      </c>
    </row>
    <row r="462" spans="1:48">
      <c r="A462" s="975">
        <f t="shared" si="79"/>
        <v>46154</v>
      </c>
      <c r="B462" s="976" t="s">
        <v>231</v>
      </c>
      <c r="C462" s="976" t="s">
        <v>632</v>
      </c>
      <c r="D462" s="1410"/>
      <c r="E462" s="977" t="str">
        <f>IFERROR(VLOOKUP(C462, [6]條件!$A:$L, 5, 0), "")</f>
        <v/>
      </c>
      <c r="F462" s="978" t="str">
        <f>IFERROR(VLOOKUP(C462, [6]條件!$A:$L, 6, 0), "")</f>
        <v/>
      </c>
      <c r="G462" s="1411" t="str">
        <f>IFERROR(VLOOKUP(C462, [6]條件!$A:$L, 7, 0), "")</f>
        <v/>
      </c>
      <c r="H462" s="978" t="str">
        <f>IF(ISNA(VLOOKUP(C462,[6]條件!$A$1:$K$932,11,0)),"",(VLOOKUP(C462,[6]條件!$A$1:$K$932,11,0)))</f>
        <v/>
      </c>
      <c r="I462" s="979" t="str">
        <f>IF(ISNA(VLOOKUP(C462,[6]條件!$A$1:$L$932,12,0)),"",(VLOOKUP(C462,[6]條件!$A$1:$L$932,12,0)))</f>
        <v/>
      </c>
      <c r="J462" s="982"/>
      <c r="K462" s="980"/>
      <c r="L462" s="981" t="s">
        <v>632</v>
      </c>
      <c r="M462" s="983"/>
      <c r="N462" s="982"/>
      <c r="O462" s="980"/>
      <c r="P462" s="981" t="s">
        <v>632</v>
      </c>
      <c r="Q462" s="983"/>
      <c r="R462" s="982"/>
      <c r="S462" s="980"/>
      <c r="T462" s="981" t="s">
        <v>632</v>
      </c>
      <c r="U462" s="983"/>
      <c r="V462" s="982"/>
      <c r="W462" s="980"/>
      <c r="X462" s="981" t="s">
        <v>632</v>
      </c>
      <c r="Y462" s="983"/>
      <c r="Z462" s="1412" t="str">
        <f>IFERROR(VLOOKUP(C462, [6]條件!$A:$L, 3, 0), "")</f>
        <v/>
      </c>
      <c r="AA462" s="984" t="str">
        <f>IF(OR(L462={"改紡","檢修","了機","清車","FINAL","停機","SAMPLE","TEST","絲開發"}), L462, IFERROR(IF(C462="", "", (SUM(J462, N462, R462, V462)/3 * AG462) * IF(AND(AF462="S", AS462="雙"), 0.5, 1)), ""))</f>
        <v>停機</v>
      </c>
      <c r="AB462" s="1413" t="str">
        <f t="shared" si="77"/>
        <v/>
      </c>
      <c r="AC462" s="984" t="str">
        <f>IF(OR(L462={"改紡","檢修","了機","清車","FINAL","停機","SAMPLE","TEST"}), "", IFERROR(IF(C462="", "", AVERAGE(L462:M462, P462:Q462, T462:U462, X462:Y462)/100), ""))</f>
        <v/>
      </c>
      <c r="AD462" s="984" t="str">
        <f t="shared" si="80"/>
        <v/>
      </c>
      <c r="AE462" s="984" t="str">
        <f t="shared" si="78"/>
        <v/>
      </c>
      <c r="AF462" s="985" t="str">
        <f t="shared" si="81"/>
        <v>J</v>
      </c>
      <c r="AG462" s="1414">
        <v>1</v>
      </c>
      <c r="AH462" s="981" t="s">
        <v>640</v>
      </c>
      <c r="AI462" s="986" t="s">
        <v>640</v>
      </c>
      <c r="AJ462" s="986" t="s">
        <v>640</v>
      </c>
      <c r="AK462" s="1417" t="s">
        <v>640</v>
      </c>
      <c r="AL462" s="1415"/>
      <c r="AM462" s="1323"/>
      <c r="AN462" s="1323"/>
      <c r="AO462" s="1323"/>
      <c r="AP462" s="1323"/>
      <c r="AQ462" s="1323"/>
      <c r="AR462" s="987"/>
      <c r="AS462" s="978" t="str">
        <f t="shared" si="82"/>
        <v>單</v>
      </c>
      <c r="AT462" s="978" t="str">
        <f t="shared" si="83"/>
        <v>全</v>
      </c>
      <c r="AU462" s="978" t="str">
        <f t="shared" si="84"/>
        <v/>
      </c>
      <c r="AV462" s="978" t="str">
        <f t="shared" si="85"/>
        <v/>
      </c>
    </row>
    <row r="463" spans="1:48">
      <c r="A463" s="975">
        <f t="shared" si="79"/>
        <v>46154</v>
      </c>
      <c r="B463" s="976" t="s">
        <v>233</v>
      </c>
      <c r="C463" s="976" t="s">
        <v>16772</v>
      </c>
      <c r="D463" s="1410" t="s">
        <v>633</v>
      </c>
      <c r="E463" s="977" t="str">
        <f>IFERROR(VLOOKUP(C463, [6]條件!$A:$L, 5, 0), "")</f>
        <v>150/48/2SDr</v>
      </c>
      <c r="F463" s="978" t="str">
        <f>IFERROR(VLOOKUP(C463, [6]條件!$A:$L, 6, 0), "")</f>
        <v>FP82171R×2</v>
      </c>
      <c r="G463" s="1411">
        <f>IFERROR(VLOOKUP(C463, [6]條件!$A:$L, 7, 0), "")</f>
        <v>600</v>
      </c>
      <c r="H463" s="978" t="str">
        <f>IF(ISNA(VLOOKUP(C463,[6]條件!$A$1:$K$932,11,0)),"",(VLOOKUP(C463,[6]條件!$A$1:$K$932,11,0)))</f>
        <v>紅白直條</v>
      </c>
      <c r="I463" s="979">
        <f>IF(ISNA(VLOOKUP(C463,[6]條件!$A$1:$L$932,12,0)),"",(VLOOKUP(C463,[6]條件!$A$1:$L$932,12,0)))</f>
        <v>5.5</v>
      </c>
      <c r="J463" s="982">
        <v>39</v>
      </c>
      <c r="K463" s="980">
        <v>4</v>
      </c>
      <c r="L463" s="981">
        <v>6630</v>
      </c>
      <c r="M463" s="983"/>
      <c r="N463" s="982">
        <v>22</v>
      </c>
      <c r="O463" s="980">
        <v>5</v>
      </c>
      <c r="P463" s="981">
        <v>7740</v>
      </c>
      <c r="Q463" s="983"/>
      <c r="R463" s="982">
        <v>7</v>
      </c>
      <c r="S463" s="980">
        <v>3</v>
      </c>
      <c r="T463" s="981">
        <v>8040</v>
      </c>
      <c r="U463" s="983"/>
      <c r="V463" s="982">
        <v>15</v>
      </c>
      <c r="W463" s="980">
        <v>7</v>
      </c>
      <c r="X463" s="981">
        <v>7960</v>
      </c>
      <c r="Y463" s="983"/>
      <c r="Z463" s="1412">
        <f>IFERROR(VLOOKUP(C463, [6]條件!$A:$L, 3, 0), "")</f>
        <v>5.0526315789473673</v>
      </c>
      <c r="AA463" s="984">
        <f>IF(OR(L463={"改紡","檢修","了機","清車","FINAL","停機","SAMPLE","TEST","絲開發"}), L463, IFERROR(IF(C463="", "", (SUM(J463, N463, R463, V463)/3 * AG463) * IF(AND(AF463="S", AS463="雙"), 0.5, 1)), ""))</f>
        <v>27.666666666666668</v>
      </c>
      <c r="AB463" s="1413">
        <f t="shared" si="77"/>
        <v>0.98192107371794868</v>
      </c>
      <c r="AC463" s="984">
        <f>IF(OR(L463={"改紡","檢修","了機","清車","FINAL","停機","SAMPLE","TEST"}), "", IFERROR(IF(C463="", "", AVERAGE(L463:M463, P463:Q463, T463:U463, X463:Y463)/100), ""))</f>
        <v>75.924999999999997</v>
      </c>
      <c r="AD463" s="984">
        <f t="shared" si="80"/>
        <v>3.4583333333333335</v>
      </c>
      <c r="AE463" s="984">
        <f t="shared" si="78"/>
        <v>2.6666666666666665</v>
      </c>
      <c r="AF463" s="985" t="str">
        <f t="shared" si="81"/>
        <v>J</v>
      </c>
      <c r="AG463" s="1414">
        <v>1</v>
      </c>
      <c r="AH463" s="981" t="s">
        <v>637</v>
      </c>
      <c r="AI463" s="986" t="s">
        <v>637</v>
      </c>
      <c r="AJ463" s="986" t="s">
        <v>815</v>
      </c>
      <c r="AK463" s="1417" t="s">
        <v>815</v>
      </c>
      <c r="AL463" s="1415">
        <v>55</v>
      </c>
      <c r="AM463" s="1323">
        <v>46149</v>
      </c>
      <c r="AN463" s="1323">
        <v>46150</v>
      </c>
      <c r="AO463" s="1323">
        <v>46151</v>
      </c>
      <c r="AP463" s="1323"/>
      <c r="AQ463" s="1323"/>
      <c r="AR463" s="987"/>
      <c r="AS463" s="978" t="str">
        <f t="shared" si="82"/>
        <v>雙</v>
      </c>
      <c r="AT463" s="978" t="str">
        <f t="shared" si="83"/>
        <v>全</v>
      </c>
      <c r="AU463" s="978">
        <f t="shared" si="84"/>
        <v>150</v>
      </c>
      <c r="AV463" s="978">
        <f t="shared" si="85"/>
        <v>4.7231423999999995</v>
      </c>
    </row>
    <row r="464" spans="1:48">
      <c r="A464" s="975">
        <f t="shared" si="79"/>
        <v>46154</v>
      </c>
      <c r="B464" s="976" t="s">
        <v>234</v>
      </c>
      <c r="C464" s="976" t="s">
        <v>632</v>
      </c>
      <c r="D464" s="1410"/>
      <c r="E464" s="977" t="str">
        <f>IFERROR(VLOOKUP(C464, [6]條件!$A:$L, 5, 0), "")</f>
        <v/>
      </c>
      <c r="F464" s="978" t="str">
        <f>IFERROR(VLOOKUP(C464, [6]條件!$A:$L, 6, 0), "")</f>
        <v/>
      </c>
      <c r="G464" s="1411" t="str">
        <f>IFERROR(VLOOKUP(C464, [6]條件!$A:$L, 7, 0), "")</f>
        <v/>
      </c>
      <c r="H464" s="978" t="str">
        <f>IF(ISNA(VLOOKUP(C464,[6]條件!$A$1:$K$932,11,0)),"",(VLOOKUP(C464,[6]條件!$A$1:$K$932,11,0)))</f>
        <v/>
      </c>
      <c r="I464" s="979" t="str">
        <f>IF(ISNA(VLOOKUP(C464,[6]條件!$A$1:$L$932,12,0)),"",(VLOOKUP(C464,[6]條件!$A$1:$L$932,12,0)))</f>
        <v/>
      </c>
      <c r="J464" s="982"/>
      <c r="K464" s="980"/>
      <c r="L464" s="981" t="s">
        <v>632</v>
      </c>
      <c r="M464" s="983"/>
      <c r="N464" s="982"/>
      <c r="O464" s="980"/>
      <c r="P464" s="981" t="s">
        <v>632</v>
      </c>
      <c r="Q464" s="983"/>
      <c r="R464" s="982"/>
      <c r="S464" s="980"/>
      <c r="T464" s="981" t="s">
        <v>632</v>
      </c>
      <c r="U464" s="983"/>
      <c r="V464" s="982"/>
      <c r="W464" s="980"/>
      <c r="X464" s="981" t="s">
        <v>632</v>
      </c>
      <c r="Y464" s="983"/>
      <c r="Z464" s="1412" t="str">
        <f>IFERROR(VLOOKUP(C464, [6]條件!$A:$L, 3, 0), "")</f>
        <v/>
      </c>
      <c r="AA464" s="984" t="str">
        <f>IF(OR(L464={"改紡","檢修","了機","清車","FINAL","停機","SAMPLE","TEST","絲開發"}), L464, IFERROR(IF(C464="", "", (SUM(J464, N464, R464, V464)/3 * AG464) * IF(AND(AF464="S", AS464="雙"), 0.5, 1)), ""))</f>
        <v>停機</v>
      </c>
      <c r="AB464" s="1413" t="str">
        <f t="shared" si="77"/>
        <v/>
      </c>
      <c r="AC464" s="984" t="str">
        <f>IF(OR(L464={"改紡","檢修","了機","清車","FINAL","停機","SAMPLE","TEST"}), "", IFERROR(IF(C464="", "", AVERAGE(L464:M464, P464:Q464, T464:U464, X464:Y464)/100), ""))</f>
        <v/>
      </c>
      <c r="AD464" s="984" t="str">
        <f t="shared" si="80"/>
        <v/>
      </c>
      <c r="AE464" s="984" t="str">
        <f t="shared" si="78"/>
        <v/>
      </c>
      <c r="AF464" s="985" t="str">
        <f t="shared" si="81"/>
        <v>J</v>
      </c>
      <c r="AG464" s="1414">
        <v>1</v>
      </c>
      <c r="AH464" s="981" t="s">
        <v>640</v>
      </c>
      <c r="AI464" s="986" t="s">
        <v>640</v>
      </c>
      <c r="AJ464" s="986" t="s">
        <v>640</v>
      </c>
      <c r="AK464" s="1417" t="s">
        <v>640</v>
      </c>
      <c r="AL464" s="1415"/>
      <c r="AM464" s="1323"/>
      <c r="AN464" s="1323"/>
      <c r="AO464" s="1323"/>
      <c r="AP464" s="1323"/>
      <c r="AQ464" s="1323"/>
      <c r="AR464" s="987"/>
      <c r="AS464" s="978" t="str">
        <f t="shared" si="82"/>
        <v>單</v>
      </c>
      <c r="AT464" s="978" t="str">
        <f t="shared" si="83"/>
        <v>全</v>
      </c>
      <c r="AU464" s="978" t="str">
        <f t="shared" si="84"/>
        <v/>
      </c>
      <c r="AV464" s="978" t="str">
        <f t="shared" si="85"/>
        <v/>
      </c>
    </row>
    <row r="465" spans="1:48">
      <c r="A465" s="975">
        <f t="shared" si="79"/>
        <v>46154</v>
      </c>
      <c r="B465" s="976" t="s">
        <v>235</v>
      </c>
      <c r="C465" s="976" t="s">
        <v>16765</v>
      </c>
      <c r="D465" s="1410" t="s">
        <v>633</v>
      </c>
      <c r="E465" s="977" t="str">
        <f>IFERROR(VLOOKUP(C465, [6]條件!$A:$L, 5, 0), "")</f>
        <v>150/48/2SDr</v>
      </c>
      <c r="F465" s="978" t="str">
        <f>IFERROR(VLOOKUP(C465, [6]條件!$A:$L, 6, 0), "")</f>
        <v>FP82173R×2</v>
      </c>
      <c r="G465" s="1411">
        <f>IFERROR(VLOOKUP(C465, [6]條件!$A:$L, 7, 0), "")</f>
        <v>700</v>
      </c>
      <c r="H465" s="978" t="str">
        <f>IF(ISNA(VLOOKUP(C465,[6]條件!$A$1:$K$932,11,0)),"",(VLOOKUP(C465,[6]條件!$A$1:$K$932,11,0)))</f>
        <v>白紫條紋</v>
      </c>
      <c r="I465" s="979">
        <f>IF(ISNA(VLOOKUP(C465,[6]條件!$A$1:$L$932,12,0)),"",(VLOOKUP(C465,[6]條件!$A$1:$L$932,12,0)))</f>
        <v>5.5</v>
      </c>
      <c r="J465" s="982">
        <v>38</v>
      </c>
      <c r="K465" s="980">
        <v>7</v>
      </c>
      <c r="L465" s="981">
        <v>8520</v>
      </c>
      <c r="M465" s="983">
        <v>9810</v>
      </c>
      <c r="N465" s="982">
        <v>17</v>
      </c>
      <c r="O465" s="980">
        <v>0</v>
      </c>
      <c r="P465" s="981">
        <v>8890</v>
      </c>
      <c r="Q465" s="983">
        <v>9070</v>
      </c>
      <c r="R465" s="982">
        <v>24</v>
      </c>
      <c r="S465" s="980">
        <v>0</v>
      </c>
      <c r="T465" s="981">
        <v>8800</v>
      </c>
      <c r="U465" s="983">
        <v>9440</v>
      </c>
      <c r="V465" s="982">
        <v>32</v>
      </c>
      <c r="W465" s="980">
        <v>0</v>
      </c>
      <c r="X465" s="981">
        <v>9070</v>
      </c>
      <c r="Y465" s="983">
        <v>9810</v>
      </c>
      <c r="Z465" s="1412">
        <f>IFERROR(VLOOKUP(C465, [6]條件!$A:$L, 3, 0), "")</f>
        <v>5.8775510204081636</v>
      </c>
      <c r="AA465" s="984">
        <f>IF(OR(L465={"改紡","檢修","了機","清車","FINAL","停機","SAMPLE","TEST","絲開發"}), L465, IFERROR(IF(C465="", "", (SUM(J465, N465, R465, V465)/3 * AG465) * IF(AND(AF465="S", AS465="雙"), 0.5, 1)), ""))</f>
        <v>37</v>
      </c>
      <c r="AB465" s="1413">
        <f t="shared" si="77"/>
        <v>0.99427417200854706</v>
      </c>
      <c r="AC465" s="984">
        <f>IF(OR(L465={"改紡","檢修","了機","清車","FINAL","停機","SAMPLE","TEST"}), "", IFERROR(IF(C465="", "", AVERAGE(L465:M465, P465:Q465, T465:U465, X465:Y465)/100), ""))</f>
        <v>91.762500000000003</v>
      </c>
      <c r="AD465" s="984">
        <f t="shared" si="80"/>
        <v>4.625</v>
      </c>
      <c r="AE465" s="984">
        <f t="shared" si="78"/>
        <v>4.333333333333333</v>
      </c>
      <c r="AF465" s="985" t="str">
        <f t="shared" si="81"/>
        <v>T</v>
      </c>
      <c r="AG465" s="1414">
        <v>1</v>
      </c>
      <c r="AH465" s="981" t="s">
        <v>15337</v>
      </c>
      <c r="AI465" s="986" t="s">
        <v>15337</v>
      </c>
      <c r="AJ465" s="986" t="s">
        <v>652</v>
      </c>
      <c r="AK465" s="1417" t="s">
        <v>652</v>
      </c>
      <c r="AL465" s="1415">
        <v>56</v>
      </c>
      <c r="AM465" s="1323">
        <v>46150</v>
      </c>
      <c r="AN465" s="1323">
        <v>46151</v>
      </c>
      <c r="AO465" s="1323"/>
      <c r="AP465" s="1323"/>
      <c r="AQ465" s="1323"/>
      <c r="AR465" s="987"/>
      <c r="AS465" s="978" t="str">
        <f t="shared" si="82"/>
        <v>雙</v>
      </c>
      <c r="AT465" s="978" t="str">
        <f t="shared" si="83"/>
        <v>全</v>
      </c>
      <c r="AU465" s="978">
        <f t="shared" si="84"/>
        <v>150</v>
      </c>
      <c r="AV465" s="978">
        <f t="shared" si="85"/>
        <v>6.6597552000000002</v>
      </c>
    </row>
    <row r="466" spans="1:48">
      <c r="A466" s="975">
        <f t="shared" si="79"/>
        <v>46154</v>
      </c>
      <c r="B466" s="976" t="s">
        <v>237</v>
      </c>
      <c r="C466" s="976" t="s">
        <v>16759</v>
      </c>
      <c r="D466" s="1410" t="s">
        <v>633</v>
      </c>
      <c r="E466" s="977" t="str">
        <f>IFERROR(VLOOKUP(C466, [6]條件!$A:$L, 5, 0), "")</f>
        <v>150/48/2SDr</v>
      </c>
      <c r="F466" s="978" t="str">
        <f>IFERROR(VLOOKUP(C466, [6]條件!$A:$L, 6, 0), "")</f>
        <v>FP82171R×2</v>
      </c>
      <c r="G466" s="1411">
        <f>IFERROR(VLOOKUP(C466, [6]條件!$A:$L, 7, 0), "")</f>
        <v>700</v>
      </c>
      <c r="H466" s="978" t="str">
        <f>IF(ISNA(VLOOKUP(C466,[6]條件!$A$1:$K$932,11,0)),"",(VLOOKUP(C466,[6]條件!$A$1:$K$932,11,0)))</f>
        <v>紅底黃星</v>
      </c>
      <c r="I466" s="979">
        <f>IF(ISNA(VLOOKUP(C466,[6]條件!$A$1:$L$932,12,0)),"",(VLOOKUP(C466,[6]條件!$A$1:$L$932,12,0)))</f>
        <v>5.5</v>
      </c>
      <c r="J466" s="982">
        <v>34</v>
      </c>
      <c r="K466" s="980">
        <v>8</v>
      </c>
      <c r="L466" s="981">
        <v>9630</v>
      </c>
      <c r="M466" s="983">
        <v>9350</v>
      </c>
      <c r="N466" s="982">
        <v>11</v>
      </c>
      <c r="O466" s="980">
        <v>0</v>
      </c>
      <c r="P466" s="981">
        <v>9551</v>
      </c>
      <c r="Q466" s="983">
        <v>8890</v>
      </c>
      <c r="R466" s="982">
        <v>20</v>
      </c>
      <c r="S466" s="980">
        <v>0</v>
      </c>
      <c r="T466" s="981">
        <v>8630</v>
      </c>
      <c r="U466" s="983">
        <v>8980</v>
      </c>
      <c r="V466" s="982">
        <v>38</v>
      </c>
      <c r="W466" s="980">
        <v>0</v>
      </c>
      <c r="X466" s="981">
        <v>9630</v>
      </c>
      <c r="Y466" s="983">
        <v>9540</v>
      </c>
      <c r="Z466" s="1412">
        <f>IFERROR(VLOOKUP(C466, [6]條件!$A:$L, 3, 0), "")</f>
        <v>5.8299595141700413</v>
      </c>
      <c r="AA466" s="984">
        <f>IF(OR(L466={"改紡","檢修","了機","清車","FINAL","停機","SAMPLE","TEST","絲開發"}), L466, IFERROR(IF(C466="", "", (SUM(J466, N466, R466, V466)/3 * AG466) * IF(AND(AF466="S", AS466="雙"), 0.5, 1)), ""))</f>
        <v>34.333333333333336</v>
      </c>
      <c r="AB466" s="1413">
        <f t="shared" si="77"/>
        <v>0.99340277777777775</v>
      </c>
      <c r="AC466" s="984">
        <f>IF(OR(L466={"改紡","檢修","了機","清車","FINAL","停機","SAMPLE","TEST"}), "", IFERROR(IF(C466="", "", AVERAGE(L466:M466, P466:Q466, T466:U466, X466:Y466)/100), ""))</f>
        <v>92.751249999999999</v>
      </c>
      <c r="AD466" s="984">
        <f t="shared" si="80"/>
        <v>4.291666666666667</v>
      </c>
      <c r="AE466" s="984">
        <f t="shared" si="78"/>
        <v>3.9583333333333335</v>
      </c>
      <c r="AF466" s="985" t="str">
        <f t="shared" si="81"/>
        <v>T</v>
      </c>
      <c r="AG466" s="1414">
        <v>1</v>
      </c>
      <c r="AH466" s="981" t="s">
        <v>15337</v>
      </c>
      <c r="AI466" s="986" t="s">
        <v>15337</v>
      </c>
      <c r="AJ466" s="986" t="s">
        <v>652</v>
      </c>
      <c r="AK466" s="1417" t="s">
        <v>652</v>
      </c>
      <c r="AL466" s="1415">
        <v>55</v>
      </c>
      <c r="AM466" s="1323">
        <v>46150</v>
      </c>
      <c r="AN466" s="1323">
        <v>46151</v>
      </c>
      <c r="AO466" s="1323">
        <v>46152</v>
      </c>
      <c r="AP466" s="1323"/>
      <c r="AQ466" s="1323"/>
      <c r="AR466" s="987"/>
      <c r="AS466" s="978" t="str">
        <f t="shared" si="82"/>
        <v>雙</v>
      </c>
      <c r="AT466" s="978" t="str">
        <f t="shared" si="83"/>
        <v>全</v>
      </c>
      <c r="AU466" s="978">
        <f t="shared" si="84"/>
        <v>150</v>
      </c>
      <c r="AV466" s="978">
        <f t="shared" si="85"/>
        <v>6.731514719999999</v>
      </c>
    </row>
    <row r="467" spans="1:48">
      <c r="A467" s="975">
        <f t="shared" si="79"/>
        <v>46154</v>
      </c>
      <c r="B467" s="976" t="s">
        <v>238</v>
      </c>
      <c r="C467" s="976" t="s">
        <v>16743</v>
      </c>
      <c r="D467" s="1410"/>
      <c r="E467" s="977" t="str">
        <f>IFERROR(VLOOKUP(C467, [6]條件!$A:$L, 5, 0), "")</f>
        <v>150/48/2SDr</v>
      </c>
      <c r="F467" s="978" t="str">
        <f>IFERROR(VLOOKUP(C467, [6]條件!$A:$L, 6, 0), "")</f>
        <v>FP82169R×2</v>
      </c>
      <c r="G467" s="1411">
        <f>IFERROR(VLOOKUP(C467, [6]條件!$A:$L, 7, 0), "")</f>
        <v>670</v>
      </c>
      <c r="H467" s="978" t="str">
        <f>IF(ISNA(VLOOKUP(C467,[6]條件!$A$1:$K$932,11,0)),"",(VLOOKUP(C467,[6]條件!$A$1:$K$932,11,0)))</f>
        <v>黃底紅點</v>
      </c>
      <c r="I467" s="979">
        <f>IF(ISNA(VLOOKUP(C467,[6]條件!$A$1:$L$932,12,0)),"",(VLOOKUP(C467,[6]條件!$A$1:$L$932,12,0)))</f>
        <v>5</v>
      </c>
      <c r="J467" s="982">
        <v>34</v>
      </c>
      <c r="K467" s="980">
        <v>0</v>
      </c>
      <c r="L467" s="981">
        <v>9440</v>
      </c>
      <c r="M467" s="983"/>
      <c r="N467" s="982">
        <v>13</v>
      </c>
      <c r="O467" s="980">
        <v>0</v>
      </c>
      <c r="P467" s="981">
        <v>9170</v>
      </c>
      <c r="Q467" s="983"/>
      <c r="R467" s="982">
        <v>7</v>
      </c>
      <c r="S467" s="980">
        <v>0</v>
      </c>
      <c r="T467" s="981">
        <v>9440</v>
      </c>
      <c r="U467" s="983"/>
      <c r="V467" s="982">
        <v>25</v>
      </c>
      <c r="W467" s="980">
        <v>1</v>
      </c>
      <c r="X467" s="981">
        <v>9440</v>
      </c>
      <c r="Y467" s="983"/>
      <c r="Z467" s="1412">
        <f>IFERROR(VLOOKUP(C467, [6]條件!$A:$L, 3, 0), "")</f>
        <v>6.2882096069868991</v>
      </c>
      <c r="AA467" s="984">
        <f>IF(OR(L467={"改紡","檢修","了機","清車","FINAL","停機","SAMPLE","TEST","絲開發"}), L467, IFERROR(IF(C467="", "", (SUM(J467, N467, R467, V467)/3 * AG467) * IF(AND(AF467="S", AS467="雙"), 0.5, 1)), ""))</f>
        <v>52.666666666666664</v>
      </c>
      <c r="AB467" s="1413">
        <f t="shared" si="77"/>
        <v>0.9992354433760684</v>
      </c>
      <c r="AC467" s="984">
        <f>IF(OR(L467={"改紡","檢修","了機","清車","FINAL","停機","SAMPLE","TEST"}), "", IFERROR(IF(C467="", "", AVERAGE(L467:M467, P467:Q467, T467:U467, X467:Y467)/100), ""))</f>
        <v>93.724999999999994</v>
      </c>
      <c r="AD467" s="984">
        <f t="shared" si="80"/>
        <v>6.583333333333333</v>
      </c>
      <c r="AE467" s="984">
        <f t="shared" si="78"/>
        <v>6.5</v>
      </c>
      <c r="AF467" s="985" t="str">
        <f t="shared" si="81"/>
        <v>T</v>
      </c>
      <c r="AG467" s="1414">
        <v>2</v>
      </c>
      <c r="AH467" s="981" t="s">
        <v>15337</v>
      </c>
      <c r="AI467" s="986" t="s">
        <v>15337</v>
      </c>
      <c r="AJ467" s="986" t="s">
        <v>639</v>
      </c>
      <c r="AK467" s="1417" t="s">
        <v>639</v>
      </c>
      <c r="AL467" s="1415">
        <v>48</v>
      </c>
      <c r="AM467" s="1323">
        <v>46149</v>
      </c>
      <c r="AN467" s="1323">
        <v>46150</v>
      </c>
      <c r="AO467" s="1323">
        <v>46151</v>
      </c>
      <c r="AP467" s="1323">
        <v>46152</v>
      </c>
      <c r="AQ467" s="1323"/>
      <c r="AR467" s="987"/>
      <c r="AS467" s="978" t="str">
        <f t="shared" si="82"/>
        <v>雙</v>
      </c>
      <c r="AT467" s="978" t="str">
        <f t="shared" si="83"/>
        <v>半</v>
      </c>
      <c r="AU467" s="978">
        <f t="shared" si="84"/>
        <v>150</v>
      </c>
      <c r="AV467" s="978">
        <f t="shared" si="85"/>
        <v>3.2553316800000003</v>
      </c>
    </row>
    <row r="468" spans="1:48">
      <c r="A468" s="975">
        <f t="shared" si="79"/>
        <v>46154</v>
      </c>
      <c r="B468" s="976" t="s">
        <v>238</v>
      </c>
      <c r="C468" s="976" t="s">
        <v>16742</v>
      </c>
      <c r="D468" s="1410"/>
      <c r="E468" s="977" t="str">
        <f>IFERROR(VLOOKUP(C468, [6]條件!$A:$L, 5, 0), "")</f>
        <v>150/48/2SDr</v>
      </c>
      <c r="F468" s="978" t="str">
        <f>IFERROR(VLOOKUP(C468, [6]條件!$A:$L, 6, 0), "")</f>
        <v>FP82169R×2</v>
      </c>
      <c r="G468" s="1411">
        <f>IFERROR(VLOOKUP(C468, [6]條件!$A:$L, 7, 0), "")</f>
        <v>670</v>
      </c>
      <c r="H468" s="978" t="str">
        <f>IF(ISNA(VLOOKUP(C468,[6]條件!$A$1:$K$932,11,0)),"",(VLOOKUP(C468,[6]條件!$A$1:$K$932,11,0)))</f>
        <v>紅底藍點</v>
      </c>
      <c r="I468" s="979">
        <f>IF(ISNA(VLOOKUP(C468,[6]條件!$A$1:$L$932,12,0)),"",(VLOOKUP(C468,[6]條件!$A$1:$L$932,12,0)))</f>
        <v>5</v>
      </c>
      <c r="J468" s="982">
        <v>38</v>
      </c>
      <c r="K468" s="980">
        <v>0</v>
      </c>
      <c r="L468" s="981"/>
      <c r="M468" s="983">
        <v>9810</v>
      </c>
      <c r="N468" s="982">
        <v>22</v>
      </c>
      <c r="O468" s="980">
        <v>11</v>
      </c>
      <c r="P468" s="981"/>
      <c r="Q468" s="983">
        <v>9071</v>
      </c>
      <c r="R468" s="982">
        <v>14</v>
      </c>
      <c r="S468" s="980">
        <v>2</v>
      </c>
      <c r="T468" s="981"/>
      <c r="U468" s="983">
        <v>9720</v>
      </c>
      <c r="V468" s="982">
        <v>22</v>
      </c>
      <c r="W468" s="980">
        <v>3</v>
      </c>
      <c r="X468" s="981"/>
      <c r="Y468" s="983">
        <v>9630</v>
      </c>
      <c r="Z468" s="1412">
        <f>IFERROR(VLOOKUP(C468, [6]條件!$A:$L, 3, 0), "")</f>
        <v>6.1802575107296125</v>
      </c>
      <c r="AA468" s="984">
        <f>IF(OR(L468={"改紡","檢修","了機","清車","FINAL","停機","SAMPLE","TEST","絲開發"}), L468, IFERROR(IF(C468="", "", (SUM(J468, N468, R468, V468)/3 * AG468) * IF(AND(AF468="S", AS468="雙"), 0.5, 1)), ""))</f>
        <v>64</v>
      </c>
      <c r="AB468" s="1413">
        <f t="shared" si="77"/>
        <v>0.98755341880341885</v>
      </c>
      <c r="AC468" s="984">
        <f>IF(OR(L468={"改紡","檢修","了機","清車","FINAL","停機","SAMPLE","TEST"}), "", IFERROR(IF(C468="", "", AVERAGE(L468:M468, P468:Q468, T468:U468, X468:Y468)/100), ""))</f>
        <v>95.577500000000001</v>
      </c>
      <c r="AD468" s="984">
        <f t="shared" si="80"/>
        <v>8</v>
      </c>
      <c r="AE468" s="984">
        <f t="shared" si="78"/>
        <v>6.666666666666667</v>
      </c>
      <c r="AF468" s="985" t="str">
        <f t="shared" si="81"/>
        <v>T</v>
      </c>
      <c r="AG468" s="1414">
        <v>2</v>
      </c>
      <c r="AH468" s="981" t="s">
        <v>15337</v>
      </c>
      <c r="AI468" s="986" t="s">
        <v>15337</v>
      </c>
      <c r="AJ468" s="986" t="s">
        <v>639</v>
      </c>
      <c r="AK468" s="1417" t="s">
        <v>639</v>
      </c>
      <c r="AL468" s="1415">
        <v>48</v>
      </c>
      <c r="AM468" s="1323">
        <v>46151</v>
      </c>
      <c r="AN468" s="1323">
        <v>46152</v>
      </c>
      <c r="AO468" s="1323"/>
      <c r="AP468" s="1323"/>
      <c r="AQ468" s="1323"/>
      <c r="AR468" s="987"/>
      <c r="AS468" s="978" t="str">
        <f t="shared" si="82"/>
        <v>雙</v>
      </c>
      <c r="AT468" s="978" t="str">
        <f t="shared" si="83"/>
        <v>半</v>
      </c>
      <c r="AU468" s="978">
        <f t="shared" si="84"/>
        <v>150</v>
      </c>
      <c r="AV468" s="978">
        <f t="shared" si="85"/>
        <v>3.3196741919999999</v>
      </c>
    </row>
    <row r="469" spans="1:48">
      <c r="A469" s="975">
        <f t="shared" si="79"/>
        <v>46154</v>
      </c>
      <c r="B469" s="976" t="s">
        <v>239</v>
      </c>
      <c r="C469" s="976" t="s">
        <v>632</v>
      </c>
      <c r="D469" s="1410"/>
      <c r="E469" s="977" t="str">
        <f>IFERROR(VLOOKUP(C469, [6]條件!$A:$L, 5, 0), "")</f>
        <v/>
      </c>
      <c r="F469" s="978" t="str">
        <f>IFERROR(VLOOKUP(C469, [6]條件!$A:$L, 6, 0), "")</f>
        <v/>
      </c>
      <c r="G469" s="1411" t="str">
        <f>IFERROR(VLOOKUP(C469, [6]條件!$A:$L, 7, 0), "")</f>
        <v/>
      </c>
      <c r="H469" s="978" t="str">
        <f>IF(ISNA(VLOOKUP(C469,[6]條件!$A$1:$K$932,11,0)),"",(VLOOKUP(C469,[6]條件!$A$1:$K$932,11,0)))</f>
        <v/>
      </c>
      <c r="I469" s="979" t="str">
        <f>IF(ISNA(VLOOKUP(C469,[6]條件!$A$1:$L$932,12,0)),"",(VLOOKUP(C469,[6]條件!$A$1:$L$932,12,0)))</f>
        <v/>
      </c>
      <c r="J469" s="982"/>
      <c r="K469" s="980"/>
      <c r="L469" s="981" t="s">
        <v>632</v>
      </c>
      <c r="M469" s="983"/>
      <c r="N469" s="982"/>
      <c r="O469" s="980"/>
      <c r="P469" s="981" t="s">
        <v>632</v>
      </c>
      <c r="Q469" s="983"/>
      <c r="R469" s="982"/>
      <c r="S469" s="980"/>
      <c r="T469" s="981" t="s">
        <v>632</v>
      </c>
      <c r="U469" s="983"/>
      <c r="V469" s="982"/>
      <c r="W469" s="980"/>
      <c r="X469" s="981" t="s">
        <v>632</v>
      </c>
      <c r="Y469" s="983"/>
      <c r="Z469" s="1412" t="str">
        <f>IFERROR(VLOOKUP(C469, [6]條件!$A:$L, 3, 0), "")</f>
        <v/>
      </c>
      <c r="AA469" s="984" t="str">
        <f>IF(OR(L469={"改紡","檢修","了機","清車","FINAL","停機","SAMPLE","TEST","絲開發"}), L469, IFERROR(IF(C469="", "", (SUM(J469, N469, R469, V469)/3 * AG469) * IF(AND(AF469="S", AS469="雙"), 0.5, 1)), ""))</f>
        <v>停機</v>
      </c>
      <c r="AB469" s="1413" t="str">
        <f t="shared" si="77"/>
        <v/>
      </c>
      <c r="AC469" s="984" t="str">
        <f>IF(OR(L469={"改紡","檢修","了機","清車","FINAL","停機","SAMPLE","TEST"}), "", IFERROR(IF(C469="", "", AVERAGE(L469:M469, P469:Q469, T469:U469, X469:Y469)/100), ""))</f>
        <v/>
      </c>
      <c r="AD469" s="984" t="str">
        <f t="shared" si="80"/>
        <v/>
      </c>
      <c r="AE469" s="984" t="str">
        <f t="shared" si="78"/>
        <v/>
      </c>
      <c r="AF469" s="985" t="str">
        <f t="shared" si="81"/>
        <v>T</v>
      </c>
      <c r="AG469" s="1414">
        <v>2</v>
      </c>
      <c r="AH469" s="981" t="s">
        <v>640</v>
      </c>
      <c r="AI469" s="986" t="s">
        <v>640</v>
      </c>
      <c r="AJ469" s="986" t="s">
        <v>640</v>
      </c>
      <c r="AK469" s="1417" t="s">
        <v>640</v>
      </c>
      <c r="AL469" s="1415"/>
      <c r="AM469" s="1323"/>
      <c r="AN469" s="1323"/>
      <c r="AO469" s="1323"/>
      <c r="AP469" s="1323"/>
      <c r="AQ469" s="1323"/>
      <c r="AR469" s="987"/>
      <c r="AS469" s="978" t="str">
        <f t="shared" si="82"/>
        <v>單</v>
      </c>
      <c r="AT469" s="978" t="str">
        <f t="shared" si="83"/>
        <v>半</v>
      </c>
      <c r="AU469" s="978" t="str">
        <f t="shared" si="84"/>
        <v/>
      </c>
      <c r="AV469" s="978" t="str">
        <f t="shared" si="85"/>
        <v/>
      </c>
    </row>
    <row r="470" spans="1:48">
      <c r="A470" s="975">
        <f t="shared" si="79"/>
        <v>46154</v>
      </c>
      <c r="B470" s="976" t="s">
        <v>388</v>
      </c>
      <c r="C470" s="976" t="s">
        <v>16730</v>
      </c>
      <c r="D470" s="1410" t="s">
        <v>633</v>
      </c>
      <c r="E470" s="977" t="str">
        <f>IFERROR(VLOOKUP(C470, [6]條件!$A:$L, 5, 0), "")</f>
        <v>225/72/2SDr</v>
      </c>
      <c r="F470" s="978" t="str">
        <f>IFERROR(VLOOKUP(C470, [6]條件!$A:$L, 6, 0), "")</f>
        <v>FP83024R×2</v>
      </c>
      <c r="G470" s="1411">
        <f>IFERROR(VLOOKUP(C470, [6]條件!$A:$L, 7, 0), "")</f>
        <v>550</v>
      </c>
      <c r="H470" s="978" t="str">
        <f>IF(ISNA(VLOOKUP(C470,[6]條件!$A$1:$K$932,11,0)),"",(VLOOKUP(C470,[6]條件!$A$1:$K$932,11,0)))</f>
        <v>灰色</v>
      </c>
      <c r="I470" s="979">
        <f>IF(ISNA(VLOOKUP(C470,[6]條件!$A$1:$L$932,12,0)),"",(VLOOKUP(C470,[6]條件!$A$1:$L$932,12,0)))</f>
        <v>5.5</v>
      </c>
      <c r="J470" s="982">
        <v>14</v>
      </c>
      <c r="K470" s="980">
        <v>0</v>
      </c>
      <c r="L470" s="981">
        <v>7410</v>
      </c>
      <c r="M470" s="983"/>
      <c r="N470" s="982">
        <v>8</v>
      </c>
      <c r="O470" s="980">
        <v>0</v>
      </c>
      <c r="P470" s="981">
        <v>7410</v>
      </c>
      <c r="Q470" s="983"/>
      <c r="R470" s="982">
        <v>10</v>
      </c>
      <c r="S470" s="980">
        <v>2</v>
      </c>
      <c r="T470" s="981">
        <v>7410</v>
      </c>
      <c r="U470" s="983"/>
      <c r="V470" s="982">
        <v>12</v>
      </c>
      <c r="W470" s="980">
        <v>2</v>
      </c>
      <c r="X470" s="981">
        <v>7310</v>
      </c>
      <c r="Y470" s="983"/>
      <c r="Z470" s="1412">
        <f>IFERROR(VLOOKUP(C470, [6]條件!$A:$L, 3, 0), "")</f>
        <v>6.6055045871559628</v>
      </c>
      <c r="AA470" s="984">
        <f>IF(OR(L470={"改紡","檢修","了機","清車","FINAL","停機","SAMPLE","TEST","絲開發"}), L470, IFERROR(IF(C470="", "", (SUM(J470, N470, R470, V470)/3 * AG470) * IF(AND(AF470="S", AS470="雙"), 0.5, 1)), ""))</f>
        <v>29.333333333333332</v>
      </c>
      <c r="AB470" s="1413">
        <f t="shared" si="77"/>
        <v>0.99708867521367517</v>
      </c>
      <c r="AC470" s="984">
        <f>IF(OR(L470={"改紡","檢修","了機","清車","FINAL","停機","SAMPLE","TEST"}), "", IFERROR(IF(C470="", "", AVERAGE(L470:M470, P470:Q470, T470:U470, X470:Y470)/100), ""))</f>
        <v>73.849999999999994</v>
      </c>
      <c r="AD470" s="984">
        <f t="shared" si="80"/>
        <v>3.6666666666666665</v>
      </c>
      <c r="AE470" s="984">
        <f t="shared" si="78"/>
        <v>3.3333333333333335</v>
      </c>
      <c r="AF470" s="985" t="str">
        <f t="shared" si="81"/>
        <v>T</v>
      </c>
      <c r="AG470" s="1414">
        <v>2</v>
      </c>
      <c r="AH470" s="981" t="s">
        <v>651</v>
      </c>
      <c r="AI470" s="986" t="s">
        <v>651</v>
      </c>
      <c r="AJ470" s="986" t="s">
        <v>639</v>
      </c>
      <c r="AK470" s="1417" t="s">
        <v>639</v>
      </c>
      <c r="AL470" s="1415">
        <v>53</v>
      </c>
      <c r="AM470" s="1323">
        <v>46140</v>
      </c>
      <c r="AN470" s="1323">
        <v>46142</v>
      </c>
      <c r="AO470" s="1323">
        <v>46143</v>
      </c>
      <c r="AP470" s="1323">
        <v>46144</v>
      </c>
      <c r="AQ470" s="1323"/>
      <c r="AR470" s="987"/>
      <c r="AS470" s="978" t="str">
        <f t="shared" si="82"/>
        <v>雙</v>
      </c>
      <c r="AT470" s="978" t="str">
        <f t="shared" si="83"/>
        <v>半</v>
      </c>
      <c r="AU470" s="978">
        <f t="shared" si="84"/>
        <v>225</v>
      </c>
      <c r="AV470" s="978">
        <f t="shared" si="85"/>
        <v>3.1584167999999999</v>
      </c>
    </row>
    <row r="471" spans="1:48">
      <c r="A471" s="975">
        <f t="shared" si="79"/>
        <v>46154</v>
      </c>
      <c r="B471" s="976" t="s">
        <v>388</v>
      </c>
      <c r="C471" s="976" t="s">
        <v>16775</v>
      </c>
      <c r="D471" s="1410" t="s">
        <v>633</v>
      </c>
      <c r="E471" s="977" t="str">
        <f>IFERROR(VLOOKUP(C471, [6]條件!$A:$L, 5, 0), "")</f>
        <v>150/48/2SDr</v>
      </c>
      <c r="F471" s="978" t="str">
        <f>IFERROR(VLOOKUP(C471, [6]條件!$A:$L, 6, 0), "")</f>
        <v>FP82173R×2</v>
      </c>
      <c r="G471" s="1411">
        <f>IFERROR(VLOOKUP(C471, [6]條件!$A:$L, 7, 0), "")</f>
        <v>700</v>
      </c>
      <c r="H471" s="978" t="str">
        <f>IF(ISNA(VLOOKUP(C471,[6]條件!$A$1:$K$932,11,0)),"",(VLOOKUP(C471,[6]條件!$A$1:$K$932,11,0)))</f>
        <v>黃紅雙色</v>
      </c>
      <c r="I471" s="979">
        <f>IF(ISNA(VLOOKUP(C471,[6]條件!$A$1:$L$932,12,0)),"",(VLOOKUP(C471,[6]條件!$A$1:$L$932,12,0)))</f>
        <v>5.5</v>
      </c>
      <c r="J471" s="982">
        <v>17</v>
      </c>
      <c r="K471" s="980">
        <v>0</v>
      </c>
      <c r="L471" s="981"/>
      <c r="M471" s="983">
        <v>10000</v>
      </c>
      <c r="N471" s="982">
        <v>17</v>
      </c>
      <c r="O471" s="980">
        <v>0</v>
      </c>
      <c r="P471" s="981"/>
      <c r="Q471" s="983">
        <v>10000</v>
      </c>
      <c r="R471" s="982">
        <v>3</v>
      </c>
      <c r="S471" s="980">
        <v>0</v>
      </c>
      <c r="T471" s="981"/>
      <c r="U471" s="983">
        <v>10000</v>
      </c>
      <c r="V471" s="982">
        <v>10</v>
      </c>
      <c r="W471" s="980">
        <v>1</v>
      </c>
      <c r="X471" s="981"/>
      <c r="Y471" s="983">
        <v>9910</v>
      </c>
      <c r="Z471" s="1412">
        <f>IFERROR(VLOOKUP(C471, [6]條件!$A:$L, 3, 0), "")</f>
        <v>5.8536585365853666</v>
      </c>
      <c r="AA471" s="984">
        <f>IF(OR(L471={"改紡","檢修","了機","清車","FINAL","停機","SAMPLE","TEST","絲開發"}), L471, IFERROR(IF(C471="", "", (SUM(J471, N471, R471, V471)/3 * AG471) * IF(AND(AF471="S", AS471="雙"), 0.5, 1)), ""))</f>
        <v>31.333333333333332</v>
      </c>
      <c r="AB471" s="1413">
        <f t="shared" si="77"/>
        <v>0.99917868589743586</v>
      </c>
      <c r="AC471" s="984">
        <f>IF(OR(L471={"改紡","檢修","了機","清車","FINAL","停機","SAMPLE","TEST"}), "", IFERROR(IF(C471="", "", AVERAGE(L471:M471, P471:Q471, T471:U471, X471:Y471)/100), ""))</f>
        <v>99.775000000000006</v>
      </c>
      <c r="AD471" s="984">
        <f t="shared" si="80"/>
        <v>3.9166666666666665</v>
      </c>
      <c r="AE471" s="984">
        <f t="shared" si="78"/>
        <v>3.8333333333333335</v>
      </c>
      <c r="AF471" s="985" t="str">
        <f t="shared" si="81"/>
        <v>T</v>
      </c>
      <c r="AG471" s="1414">
        <v>2</v>
      </c>
      <c r="AH471" s="981" t="s">
        <v>651</v>
      </c>
      <c r="AI471" s="986" t="s">
        <v>651</v>
      </c>
      <c r="AJ471" s="986" t="s">
        <v>639</v>
      </c>
      <c r="AK471" s="1417" t="s">
        <v>639</v>
      </c>
      <c r="AL471" s="1415">
        <v>56</v>
      </c>
      <c r="AM471" s="1323">
        <v>46150</v>
      </c>
      <c r="AN471" s="1323">
        <v>46151</v>
      </c>
      <c r="AO471" s="1323"/>
      <c r="AP471" s="1323"/>
      <c r="AQ471" s="1323"/>
      <c r="AR471" s="987"/>
      <c r="AS471" s="978" t="str">
        <f t="shared" si="82"/>
        <v>雙</v>
      </c>
      <c r="AT471" s="978" t="str">
        <f t="shared" si="83"/>
        <v>半</v>
      </c>
      <c r="AU471" s="978">
        <f t="shared" si="84"/>
        <v>150</v>
      </c>
      <c r="AV471" s="978">
        <f t="shared" si="85"/>
        <v>3.6206352000000002</v>
      </c>
    </row>
    <row r="472" spans="1:48">
      <c r="A472" s="975">
        <f t="shared" si="79"/>
        <v>46154</v>
      </c>
      <c r="B472" s="976" t="s">
        <v>417</v>
      </c>
      <c r="C472" s="976" t="s">
        <v>16767</v>
      </c>
      <c r="D472" s="1410" t="s">
        <v>633</v>
      </c>
      <c r="E472" s="977" t="str">
        <f>IFERROR(VLOOKUP(C472, [6]條件!$A:$L, 5, 0), "")</f>
        <v>150/48/2SDr</v>
      </c>
      <c r="F472" s="978" t="str">
        <f>IFERROR(VLOOKUP(C472, [6]條件!$A:$L, 6, 0), "")</f>
        <v>FP82173R×2</v>
      </c>
      <c r="G472" s="1411">
        <f>IFERROR(VLOOKUP(C472, [6]條件!$A:$L, 7, 0), "")</f>
        <v>700</v>
      </c>
      <c r="H472" s="978" t="str">
        <f>IF(ISNA(VLOOKUP(C472,[6]條件!$A$1:$K$932,11,0)),"",(VLOOKUP(C472,[6]條件!$A$1:$K$932,11,0)))</f>
        <v>棕色</v>
      </c>
      <c r="I472" s="979">
        <f>IF(ISNA(VLOOKUP(C472,[6]條件!$A$1:$L$932,12,0)),"",(VLOOKUP(C472,[6]條件!$A$1:$L$932,12,0)))</f>
        <v>5.5</v>
      </c>
      <c r="J472" s="982"/>
      <c r="K472" s="980"/>
      <c r="L472" s="981" t="s">
        <v>628</v>
      </c>
      <c r="M472" s="983"/>
      <c r="N472" s="982"/>
      <c r="O472" s="980"/>
      <c r="P472" s="981" t="s">
        <v>628</v>
      </c>
      <c r="Q472" s="983"/>
      <c r="R472" s="982"/>
      <c r="S472" s="980"/>
      <c r="T472" s="981" t="s">
        <v>628</v>
      </c>
      <c r="U472" s="983"/>
      <c r="V472" s="982"/>
      <c r="W472" s="980"/>
      <c r="X472" s="981" t="s">
        <v>628</v>
      </c>
      <c r="Y472" s="983"/>
      <c r="Z472" s="1412">
        <f>IFERROR(VLOOKUP(C472, [6]條件!$A:$L, 3, 0), "")</f>
        <v>5.8536585365853666</v>
      </c>
      <c r="AA472" s="984" t="str">
        <f>IF(OR(L472={"改紡","檢修","了機","清車","FINAL","停機","SAMPLE","TEST","絲開發"}), L472, IFERROR(IF(C472="", "", (SUM(J472, N472, R472, V472)/3 * AG472) * IF(AND(AF472="S", AS472="雙"), 0.5, 1)), ""))</f>
        <v>清車</v>
      </c>
      <c r="AB472" s="1413" t="str">
        <f t="shared" si="77"/>
        <v/>
      </c>
      <c r="AC472" s="984" t="str">
        <f>IF(OR(L472={"改紡","檢修","了機","清車","FINAL","停機","SAMPLE","TEST"}), "", IFERROR(IF(C472="", "", AVERAGE(L472:M472, P472:Q472, T472:U472, X472:Y472)/100), ""))</f>
        <v/>
      </c>
      <c r="AD472" s="984" t="str">
        <f t="shared" si="80"/>
        <v/>
      </c>
      <c r="AE472" s="984" t="str">
        <f t="shared" si="78"/>
        <v/>
      </c>
      <c r="AF472" s="985" t="str">
        <f t="shared" si="81"/>
        <v>T</v>
      </c>
      <c r="AG472" s="1414">
        <v>1</v>
      </c>
      <c r="AH472" s="981" t="s">
        <v>651</v>
      </c>
      <c r="AI472" s="986" t="s">
        <v>651</v>
      </c>
      <c r="AJ472" s="986" t="s">
        <v>639</v>
      </c>
      <c r="AK472" s="1417" t="s">
        <v>639</v>
      </c>
      <c r="AL472" s="1415">
        <v>56</v>
      </c>
      <c r="AM472" s="1323">
        <v>46149</v>
      </c>
      <c r="AN472" s="1323">
        <v>46150</v>
      </c>
      <c r="AO472" s="1323">
        <v>46151</v>
      </c>
      <c r="AP472" s="1323"/>
      <c r="AQ472" s="1323"/>
      <c r="AR472" s="987"/>
      <c r="AS472" s="978" t="str">
        <f t="shared" si="82"/>
        <v>雙</v>
      </c>
      <c r="AT472" s="978" t="str">
        <f t="shared" si="83"/>
        <v>全</v>
      </c>
      <c r="AU472" s="978">
        <f t="shared" si="84"/>
        <v>150</v>
      </c>
      <c r="AV472" s="978" t="str">
        <f t="shared" si="85"/>
        <v/>
      </c>
    </row>
    <row r="473" spans="1:48">
      <c r="A473" s="975">
        <f t="shared" si="79"/>
        <v>46154</v>
      </c>
      <c r="B473" s="976" t="s">
        <v>240</v>
      </c>
      <c r="C473" s="976" t="s">
        <v>16776</v>
      </c>
      <c r="D473" s="1410"/>
      <c r="E473" s="977" t="str">
        <f>IFERROR(VLOOKUP(C473, [6]條件!$A:$L, 5, 0), "")</f>
        <v>50/72/2SDFFR</v>
      </c>
      <c r="F473" s="978" t="str">
        <f>IFERROR(VLOOKUP(C473, [6]條件!$A:$L, 6, 0), "")</f>
        <v>FP80099R×2</v>
      </c>
      <c r="G473" s="1411">
        <f>IFERROR(VLOOKUP(C473, [6]條件!$A:$L, 7, 0), "")</f>
        <v>500</v>
      </c>
      <c r="H473" s="978" t="str">
        <f>IF(ISNA(VLOOKUP(C473,[6]條件!$A$1:$K$932,11,0)),"",(VLOOKUP(C473,[6]條件!$A$1:$K$932,11,0)))</f>
        <v>白黑三角</v>
      </c>
      <c r="I473" s="979">
        <f>IF(ISNA(VLOOKUP(C473,[6]條件!$A$1:$L$932,12,0)),"",(VLOOKUP(C473,[6]條件!$A$1:$L$932,12,0)))</f>
        <v>4</v>
      </c>
      <c r="J473" s="982">
        <v>4</v>
      </c>
      <c r="K473" s="980">
        <v>0</v>
      </c>
      <c r="L473" s="981">
        <v>1578</v>
      </c>
      <c r="M473" s="983"/>
      <c r="N473" s="982">
        <v>4</v>
      </c>
      <c r="O473" s="980">
        <v>0</v>
      </c>
      <c r="P473" s="981">
        <v>1910</v>
      </c>
      <c r="Q473" s="983"/>
      <c r="R473" s="982">
        <v>20</v>
      </c>
      <c r="S473" s="980">
        <v>0</v>
      </c>
      <c r="T473" s="981">
        <v>2093</v>
      </c>
      <c r="U473" s="983"/>
      <c r="V473" s="982">
        <v>10</v>
      </c>
      <c r="W473" s="980">
        <v>0</v>
      </c>
      <c r="X473" s="981">
        <v>2999</v>
      </c>
      <c r="Y473" s="983"/>
      <c r="Z473" s="1422">
        <f>IFERROR(VLOOKUP(C473, [6]條件!$A:$L, 3, 0), "")</f>
        <v>2.028169014084507</v>
      </c>
      <c r="AA473" s="1167">
        <f>IF(OR(L473={"改紡","檢修","了機","清車","FINAL","停機","SAMPLE","TEST","絲開發"}), L473, IFERROR(IF(C473="", "", (SUM(J473, N473, R473, V473)/3 * AG473) * IF(AND(AF473="S", AS473="雙"), 0.5, 1)), ""))</f>
        <v>19</v>
      </c>
      <c r="AB473" s="1423">
        <f>IF(K473="","",IF(ISERROR(1-((SUM(K473,O473,S473,W473)/((AG473*12)-(AG473*0.44)))/Z473)),"",(1-((SUM(K473,O473,S473,W473)/((AG473*12)-(AG473*0.44)))/Z473))))</f>
        <v>1</v>
      </c>
      <c r="AC473" s="1167">
        <f>IF(OR(L473={"改紡","檢修","了機","清車","FINAL","停機","SAMPLE","TEST"}), "", IFERROR(IF(C473="", "", AVERAGE(L473:M473, P473:Q473, T473:U473, X473:Y473)/100), ""))</f>
        <v>21.45</v>
      </c>
      <c r="AD473" s="1167">
        <f t="shared" si="80"/>
        <v>2.375</v>
      </c>
      <c r="AE473" s="1167">
        <f>IF(P473="了機","",IF(J473="","",IF(ISERROR((SUM(J473,N473,R473,V473)-SUM(K473,O473,S473,W473))/24),"",((SUM(J473,N473,R473,V473)-SUM(K473,O473,S473,W473))/24))))</f>
        <v>1.5833333333333333</v>
      </c>
      <c r="AF473" s="1168" t="str">
        <f t="shared" si="81"/>
        <v>S</v>
      </c>
      <c r="AG473" s="1424">
        <v>3</v>
      </c>
      <c r="AH473" s="981" t="s">
        <v>636</v>
      </c>
      <c r="AI473" s="986" t="s">
        <v>636</v>
      </c>
      <c r="AJ473" s="986" t="s">
        <v>829</v>
      </c>
      <c r="AK473" s="1417" t="s">
        <v>829</v>
      </c>
      <c r="AL473" s="1415">
        <v>50</v>
      </c>
      <c r="AM473" s="1323">
        <v>46041</v>
      </c>
      <c r="AN473" s="1323">
        <v>46043</v>
      </c>
      <c r="AO473" s="1323">
        <v>46044</v>
      </c>
      <c r="AP473" s="1323"/>
      <c r="AQ473" s="1323"/>
      <c r="AR473" s="987"/>
      <c r="AS473" s="978" t="str">
        <f t="shared" si="82"/>
        <v>雙</v>
      </c>
      <c r="AT473" s="978" t="str">
        <f t="shared" si="83"/>
        <v>3sec</v>
      </c>
      <c r="AU473" s="978">
        <f t="shared" si="84"/>
        <v>50</v>
      </c>
      <c r="AV473" s="978">
        <f t="shared" si="85"/>
        <v>2.3165999999999999E-2</v>
      </c>
    </row>
    <row r="474" spans="1:48">
      <c r="A474" s="975">
        <f t="shared" si="79"/>
        <v>46154</v>
      </c>
      <c r="B474" s="976" t="s">
        <v>240</v>
      </c>
      <c r="C474" s="976" t="s">
        <v>16777</v>
      </c>
      <c r="D474" s="1410"/>
      <c r="E474" s="977" t="str">
        <f>IFERROR(VLOOKUP(C474, [6]條件!$A:$L, 5, 0), "")</f>
        <v>75/72/2SDFFR</v>
      </c>
      <c r="F474" s="978" t="str">
        <f>IFERROR(VLOOKUP(C474, [6]條件!$A:$L, 6, 0), "")</f>
        <v>FP81209R×2</v>
      </c>
      <c r="G474" s="1411">
        <f>IFERROR(VLOOKUP(C474, [6]條件!$A:$L, 7, 0), "")</f>
        <v>600</v>
      </c>
      <c r="H474" s="978" t="str">
        <f>IF(ISNA(VLOOKUP(C474,[6]條件!$A$1:$K$932,11,0)),"",(VLOOKUP(C474,[6]條件!$A$1:$K$932,11,0)))</f>
        <v>白底紅十字</v>
      </c>
      <c r="I474" s="979">
        <f>IF(ISNA(VLOOKUP(C474,[6]條件!$A$1:$L$932,12,0)),"",(VLOOKUP(C474,[6]條件!$A$1:$L$932,12,0)))</f>
        <v>5</v>
      </c>
      <c r="J474" s="982">
        <v>16</v>
      </c>
      <c r="K474" s="980">
        <v>0</v>
      </c>
      <c r="L474" s="981">
        <v>1578</v>
      </c>
      <c r="M474" s="983"/>
      <c r="N474" s="982">
        <v>8</v>
      </c>
      <c r="O474" s="980">
        <v>0</v>
      </c>
      <c r="P474" s="981">
        <v>1910</v>
      </c>
      <c r="Q474" s="983"/>
      <c r="R474" s="982">
        <v>16</v>
      </c>
      <c r="S474" s="980">
        <v>0</v>
      </c>
      <c r="T474" s="981">
        <v>2093</v>
      </c>
      <c r="U474" s="983"/>
      <c r="V474" s="982">
        <v>8</v>
      </c>
      <c r="W474" s="980">
        <v>2</v>
      </c>
      <c r="X474" s="981">
        <v>2999</v>
      </c>
      <c r="Y474" s="983"/>
      <c r="Z474" s="1422">
        <f>IFERROR(VLOOKUP(C474, [6]條件!$A:$L, 3, 0), "")</f>
        <v>2.7852998065764023</v>
      </c>
      <c r="AA474" s="1167">
        <f>IF(OR(L474={"改紡","檢修","了機","清車","FINAL","停機","SAMPLE","TEST","絲開發"}), L474, IFERROR(IF(C474="", "", (SUM(J474, N474, R474, V474)/3 * AG474) * IF(AND(AF474="S", AS474="雙"), 0.5, 1)), ""))</f>
        <v>24</v>
      </c>
      <c r="AB474" s="1423">
        <f>IF(K474="","",IF(ISERROR(1-((SUM(K474,O474,S474,W474)/((AG474*12)-(AG474*0.44)))/Z474)),"",(1-((SUM(K474,O474,S474,W474)/((AG474*12)-(AG474*0.44)))/Z474))))</f>
        <v>0.97929482250416511</v>
      </c>
      <c r="AC474" s="1167">
        <f>IF(OR(L474={"改紡","檢修","了機","清車","FINAL","停機","SAMPLE","TEST"}), "", IFERROR(IF(C474="", "", AVERAGE(L474:M474, P474:Q474, T474:U474, X474:Y474)/100), ""))</f>
        <v>21.45</v>
      </c>
      <c r="AD474" s="1167">
        <f t="shared" si="80"/>
        <v>3</v>
      </c>
      <c r="AE474" s="1167">
        <f>IF(P474="了機","",IF(J474="","",IF(ISERROR((SUM(J474,N474,R474,V474)-SUM(K474,O474,S474,W474))/24),"",((SUM(J474,N474,R474,V474)-SUM(K474,O474,S474,W474))/24))))</f>
        <v>1.9166666666666667</v>
      </c>
      <c r="AF474" s="1168" t="str">
        <f t="shared" si="81"/>
        <v>S</v>
      </c>
      <c r="AG474" s="1424">
        <v>3</v>
      </c>
      <c r="AH474" s="981" t="s">
        <v>636</v>
      </c>
      <c r="AI474" s="986" t="s">
        <v>636</v>
      </c>
      <c r="AJ474" s="986" t="s">
        <v>829</v>
      </c>
      <c r="AK474" s="1417" t="s">
        <v>829</v>
      </c>
      <c r="AL474" s="1415">
        <v>50</v>
      </c>
      <c r="AM474" s="1323">
        <v>46086</v>
      </c>
      <c r="AN474" s="1323"/>
      <c r="AO474" s="1323"/>
      <c r="AP474" s="1323"/>
      <c r="AQ474" s="1323"/>
      <c r="AR474" s="987"/>
      <c r="AS474" s="978" t="str">
        <f t="shared" si="82"/>
        <v>雙</v>
      </c>
      <c r="AT474" s="978" t="str">
        <f t="shared" si="83"/>
        <v>3sec</v>
      </c>
      <c r="AU474" s="978">
        <f t="shared" si="84"/>
        <v>75</v>
      </c>
      <c r="AV474" s="978">
        <f t="shared" si="85"/>
        <v>4.1698800000000001E-2</v>
      </c>
    </row>
    <row r="475" spans="1:48">
      <c r="A475" s="975">
        <f t="shared" si="79"/>
        <v>46154</v>
      </c>
      <c r="B475" s="976" t="s">
        <v>242</v>
      </c>
      <c r="C475" s="976" t="s">
        <v>385</v>
      </c>
      <c r="D475" s="1410"/>
      <c r="E475" s="977" t="str">
        <f>IFERROR(VLOOKUP(C475, [6]條件!$A:$L, 5, 0), "")</f>
        <v/>
      </c>
      <c r="F475" s="978" t="str">
        <f>IFERROR(VLOOKUP(C475, [6]條件!$A:$L, 6, 0), "")</f>
        <v/>
      </c>
      <c r="G475" s="1411" t="str">
        <f>IFERROR(VLOOKUP(C475, [6]條件!$A:$L, 7, 0), "")</f>
        <v/>
      </c>
      <c r="H475" s="978" t="str">
        <f>IF(ISNA(VLOOKUP(C475,[6]條件!$A$1:$K$932,11,0)),"",(VLOOKUP(C475,[6]條件!$A$1:$K$932,11,0)))</f>
        <v/>
      </c>
      <c r="I475" s="979" t="str">
        <f>IF(ISNA(VLOOKUP(C475,[6]條件!$A$1:$L$932,12,0)),"",(VLOOKUP(C475,[6]條件!$A$1:$L$932,12,0)))</f>
        <v/>
      </c>
      <c r="J475" s="982"/>
      <c r="K475" s="980"/>
      <c r="L475" s="981" t="s">
        <v>385</v>
      </c>
      <c r="M475" s="983"/>
      <c r="N475" s="982"/>
      <c r="O475" s="980"/>
      <c r="P475" s="981" t="s">
        <v>385</v>
      </c>
      <c r="Q475" s="983"/>
      <c r="R475" s="982"/>
      <c r="S475" s="980"/>
      <c r="T475" s="981" t="s">
        <v>385</v>
      </c>
      <c r="U475" s="983"/>
      <c r="V475" s="982"/>
      <c r="W475" s="980"/>
      <c r="X475" s="981" t="s">
        <v>385</v>
      </c>
      <c r="Y475" s="983"/>
      <c r="Z475" s="1422" t="str">
        <f>IFERROR(VLOOKUP(C475, [6]條件!$A:$L, 3, 0), "")</f>
        <v/>
      </c>
      <c r="AA475" s="1167" t="str">
        <f>IF(OR(L475={"改紡","檢修","了機","清車","FINAL","停機","SAMPLE","TEST","絲開發"}), L475, IFERROR(IF(C475="", "", (SUM(J475, N475, R475, V475)/3 * AG475) * IF(AND(AF475="S", AS475="雙"), 0.5, 1)), ""))</f>
        <v>絲開發</v>
      </c>
      <c r="AB475" s="1423" t="str">
        <f>IF(K475="","",IF(ISERROR(1-((SUM(K475,O475,S475,W475)/((AG475*12)-(AG475*0.44)))/Z475)),"",(1-((SUM(K475,O475,S475,W475)/((AG475*12)-(AG475*0.44)))/Z475))))</f>
        <v/>
      </c>
      <c r="AC475" s="1167" t="str">
        <f>IF(OR(L475={"改紡","檢修","了機","清車","FINAL","停機","SAMPLE","TEST"}), "", IFERROR(IF(C475="", "", AVERAGE(L475:M475, P475:Q475, T475:U475, X475:Y475)/100), ""))</f>
        <v/>
      </c>
      <c r="AD475" s="1167" t="str">
        <f t="shared" si="80"/>
        <v/>
      </c>
      <c r="AE475" s="1167" t="str">
        <f>IF(P475="了機","",IF(J475="","",IF(ISERROR((SUM(J475,N475,R475,V475)-SUM(K475,O475,S475,W475))/24),"",((SUM(J475,N475,R475,V475)-SUM(K475,O475,S475,W475))/24))))</f>
        <v/>
      </c>
      <c r="AF475" s="1168" t="str">
        <f t="shared" si="81"/>
        <v>S</v>
      </c>
      <c r="AG475" s="1424">
        <v>5</v>
      </c>
      <c r="AH475" s="981" t="s">
        <v>636</v>
      </c>
      <c r="AI475" s="986" t="s">
        <v>636</v>
      </c>
      <c r="AJ475" s="986" t="s">
        <v>829</v>
      </c>
      <c r="AK475" s="1417" t="s">
        <v>829</v>
      </c>
      <c r="AL475" s="1415"/>
      <c r="AM475" s="1323"/>
      <c r="AN475" s="1323"/>
      <c r="AO475" s="1323"/>
      <c r="AP475" s="1323"/>
      <c r="AQ475" s="1323"/>
      <c r="AR475" s="987"/>
      <c r="AS475" s="978" t="str">
        <f t="shared" si="82"/>
        <v>單</v>
      </c>
      <c r="AT475" s="978" t="str">
        <f t="shared" si="83"/>
        <v>5sec</v>
      </c>
      <c r="AU475" s="978" t="str">
        <f t="shared" si="84"/>
        <v/>
      </c>
      <c r="AV475" s="978" t="str">
        <f t="shared" si="85"/>
        <v/>
      </c>
    </row>
    <row r="476" spans="1:48">
      <c r="A476" s="975">
        <f t="shared" si="79"/>
        <v>46154</v>
      </c>
      <c r="B476" s="976" t="s">
        <v>16078</v>
      </c>
      <c r="C476" s="988" t="s">
        <v>16185</v>
      </c>
      <c r="D476" s="1410"/>
      <c r="E476" s="977" t="str">
        <f>IFERROR(VLOOKUP(C476, [6]條件!$A:$L, 5, 0), "")</f>
        <v/>
      </c>
      <c r="F476" s="978" t="str">
        <f>IFERROR(VLOOKUP(C476, [6]條件!$A:$L, 6, 0), "")</f>
        <v/>
      </c>
      <c r="G476" s="1411" t="str">
        <f>IFERROR(VLOOKUP(C476, [6]條件!$A:$L, 7, 0), "")</f>
        <v/>
      </c>
      <c r="H476" s="978" t="str">
        <f>IF(ISNA(VLOOKUP(C476,[6]條件!$A$1:$K$932,11,0)),"",(VLOOKUP(C476,[6]條件!$A$1:$K$932,11,0)))</f>
        <v/>
      </c>
      <c r="I476" s="979" t="str">
        <f>IF(ISNA(VLOOKUP(C476,[6]條件!$A$1:$L$932,12,0)),"",(VLOOKUP(C476,[6]條件!$A$1:$L$932,12,0)))</f>
        <v/>
      </c>
      <c r="J476" s="982"/>
      <c r="K476" s="980"/>
      <c r="L476" s="981" t="s">
        <v>632</v>
      </c>
      <c r="M476" s="983"/>
      <c r="N476" s="982"/>
      <c r="O476" s="980"/>
      <c r="P476" s="981" t="s">
        <v>632</v>
      </c>
      <c r="Q476" s="983"/>
      <c r="R476" s="982"/>
      <c r="S476" s="980"/>
      <c r="T476" s="981" t="s">
        <v>632</v>
      </c>
      <c r="U476" s="983"/>
      <c r="V476" s="982"/>
      <c r="W476" s="980"/>
      <c r="X476" s="981" t="s">
        <v>632</v>
      </c>
      <c r="Y476" s="983"/>
      <c r="Z476" s="1412" t="str">
        <f>IFERROR(VLOOKUP(C476, [6]條件!$A:$L, 3, 0), "")</f>
        <v/>
      </c>
      <c r="AA476" s="984" t="str">
        <f>IF(OR(L476={"改紡","檢修","了機","清車","FINAL","停機","SAMPLE","TEST","絲開發"}), L476, IFERROR(IF(C476="", "", (SUM(J476, N476, R476, V476)/3 * AG476) * IF(AND(AF476="S", AS476="雙"), 0.5, 1)), ""))</f>
        <v>停機</v>
      </c>
      <c r="AB476" s="1413" t="str">
        <f t="shared" ref="AB476:AB512" si="86">IF(K476="","",IF(ISERROR(1-(SUM(K476,O476,S476,W476)/208/Z476)),"",(1-(SUM(K476,O476,S476,W476)/208/Z476))))</f>
        <v/>
      </c>
      <c r="AC476" s="984" t="str">
        <f>IF(OR(L476={"改紡","檢修","了機","清車","FINAL","停機","SAMPLE","TEST"}), "", IFERROR(IF(C476="", "", AVERAGE(L476:M476, P476:Q476, T476:U476, X476:Y476)/100), ""))</f>
        <v/>
      </c>
      <c r="AD476" s="984" t="str">
        <f t="shared" si="80"/>
        <v/>
      </c>
      <c r="AE476" s="984" t="str">
        <f>IF(OR(L476="改紡", L476="檢修", L476="了機"), "",
   IF(AND(C476&lt;&gt;"", J476&lt;&gt;""),
      IFERROR((SUM(J476, N476, R476, V476) - SUM(K476, O476, S476, W476))/24 * AG476, ""),
   "")
)</f>
        <v/>
      </c>
      <c r="AF476" s="985" t="str">
        <f t="shared" si="81"/>
        <v>M</v>
      </c>
      <c r="AG476" s="1414">
        <v>1</v>
      </c>
      <c r="AH476" s="981" t="s">
        <v>640</v>
      </c>
      <c r="AI476" s="986" t="s">
        <v>640</v>
      </c>
      <c r="AJ476" s="986" t="s">
        <v>640</v>
      </c>
      <c r="AK476" s="1417" t="s">
        <v>640</v>
      </c>
      <c r="AL476" s="1415"/>
      <c r="AM476" s="1323"/>
      <c r="AN476" s="1323"/>
      <c r="AO476" s="1323"/>
      <c r="AP476" s="1323"/>
      <c r="AQ476" s="1323"/>
      <c r="AR476" s="987"/>
      <c r="AS476" s="978" t="str">
        <f t="shared" si="82"/>
        <v>單</v>
      </c>
      <c r="AT476" s="978" t="str">
        <f t="shared" si="83"/>
        <v>全</v>
      </c>
      <c r="AU476" s="978" t="str">
        <f t="shared" si="84"/>
        <v/>
      </c>
      <c r="AV476" s="978" t="str">
        <f t="shared" si="85"/>
        <v/>
      </c>
    </row>
    <row r="477" spans="1:48">
      <c r="A477" s="975">
        <f t="shared" si="79"/>
        <v>46154</v>
      </c>
      <c r="B477" s="976" t="s">
        <v>243</v>
      </c>
      <c r="C477" s="988" t="s">
        <v>16185</v>
      </c>
      <c r="D477" s="1410"/>
      <c r="E477" s="977" t="str">
        <f>IFERROR(VLOOKUP(C477, [6]條件!$A:$L, 5, 0), "")</f>
        <v/>
      </c>
      <c r="F477" s="978" t="str">
        <f>IFERROR(VLOOKUP(C477, [6]條件!$A:$L, 6, 0), "")</f>
        <v/>
      </c>
      <c r="G477" s="1411" t="str">
        <f>IFERROR(VLOOKUP(C477, [6]條件!$A:$L, 7, 0), "")</f>
        <v/>
      </c>
      <c r="H477" s="978" t="str">
        <f>IF(ISNA(VLOOKUP(C477,[6]條件!$A$1:$K$932,11,0)),"",(VLOOKUP(C477,[6]條件!$A$1:$K$932,11,0)))</f>
        <v/>
      </c>
      <c r="I477" s="979" t="str">
        <f>IF(ISNA(VLOOKUP(C477,[6]條件!$A$1:$L$932,12,0)),"",(VLOOKUP(C477,[6]條件!$A$1:$L$932,12,0)))</f>
        <v/>
      </c>
      <c r="J477" s="982"/>
      <c r="K477" s="980"/>
      <c r="L477" s="981" t="s">
        <v>632</v>
      </c>
      <c r="M477" s="983"/>
      <c r="N477" s="982"/>
      <c r="O477" s="980"/>
      <c r="P477" s="981" t="s">
        <v>632</v>
      </c>
      <c r="Q477" s="983"/>
      <c r="R477" s="982"/>
      <c r="S477" s="980"/>
      <c r="T477" s="981" t="s">
        <v>632</v>
      </c>
      <c r="U477" s="983"/>
      <c r="V477" s="982"/>
      <c r="W477" s="980"/>
      <c r="X477" s="981" t="s">
        <v>632</v>
      </c>
      <c r="Y477" s="983"/>
      <c r="Z477" s="1412" t="str">
        <f>IFERROR(VLOOKUP(C477, [6]條件!$A:$L, 3, 0), "")</f>
        <v/>
      </c>
      <c r="AA477" s="984" t="str">
        <f>IF(OR(L477={"改紡","檢修","了機","清車","FINAL","停機","SAMPLE","TEST","絲開發"}), L477, IFERROR(IF(C477="", "", (SUM(J477, N477, R477, V477)/3 * AG477) * IF(AND(AF477="S", AS477="雙"), 0.5, 1)), ""))</f>
        <v>停機</v>
      </c>
      <c r="AB477" s="1413" t="str">
        <f t="shared" si="86"/>
        <v/>
      </c>
      <c r="AC477" s="984" t="str">
        <f>IF(OR(L477={"改紡","檢修","了機","清車","FINAL","停機","SAMPLE","TEST"}), "", IFERROR(IF(C477="", "", AVERAGE(L477:M477, P477:Q477, T477:U477, X477:Y477)/100), ""))</f>
        <v/>
      </c>
      <c r="AD477" s="984" t="str">
        <f t="shared" si="80"/>
        <v/>
      </c>
      <c r="AE477" s="984" t="str">
        <f t="shared" ref="AE477:AE512" si="87">IF(OR(L477="改紡", L477="檢修", L477="了機"), "",
IF(AND(C477&lt;&gt;"", J477&lt;&gt;""),
IFERROR((SUM(J477, N477, R477, V477) - SUM(K477, O477, S477, W477))/24 * AG477, ""),
"")
)</f>
        <v/>
      </c>
      <c r="AF477" s="985" t="str">
        <f t="shared" si="81"/>
        <v>M</v>
      </c>
      <c r="AG477" s="1414">
        <v>1</v>
      </c>
      <c r="AH477" s="981" t="s">
        <v>640</v>
      </c>
      <c r="AI477" s="986" t="s">
        <v>640</v>
      </c>
      <c r="AJ477" s="986" t="s">
        <v>640</v>
      </c>
      <c r="AK477" s="1417" t="s">
        <v>640</v>
      </c>
      <c r="AL477" s="1415"/>
      <c r="AM477" s="1323"/>
      <c r="AN477" s="1323"/>
      <c r="AO477" s="1323"/>
      <c r="AP477" s="1323"/>
      <c r="AQ477" s="1323"/>
      <c r="AR477" s="987"/>
      <c r="AS477" s="978" t="str">
        <f t="shared" si="82"/>
        <v>單</v>
      </c>
      <c r="AT477" s="978" t="str">
        <f t="shared" si="83"/>
        <v>全</v>
      </c>
      <c r="AU477" s="978" t="str">
        <f t="shared" si="84"/>
        <v/>
      </c>
      <c r="AV477" s="978" t="str">
        <f t="shared" si="85"/>
        <v/>
      </c>
    </row>
    <row r="478" spans="1:48">
      <c r="A478" s="975">
        <f t="shared" si="79"/>
        <v>46154</v>
      </c>
      <c r="B478" s="976" t="s">
        <v>244</v>
      </c>
      <c r="C478" s="988" t="s">
        <v>16185</v>
      </c>
      <c r="D478" s="1410"/>
      <c r="E478" s="977" t="str">
        <f>IFERROR(VLOOKUP(C478, [6]條件!$A:$L, 5, 0), "")</f>
        <v/>
      </c>
      <c r="F478" s="978" t="str">
        <f>IFERROR(VLOOKUP(C478, [6]條件!$A:$L, 6, 0), "")</f>
        <v/>
      </c>
      <c r="G478" s="1411" t="str">
        <f>IFERROR(VLOOKUP(C478, [6]條件!$A:$L, 7, 0), "")</f>
        <v/>
      </c>
      <c r="H478" s="978" t="str">
        <f>IF(ISNA(VLOOKUP(C478,[6]條件!$A$1:$K$932,11,0)),"",(VLOOKUP(C478,[6]條件!$A$1:$K$932,11,0)))</f>
        <v/>
      </c>
      <c r="I478" s="979" t="str">
        <f>IF(ISNA(VLOOKUP(C478,[6]條件!$A$1:$L$932,12,0)),"",(VLOOKUP(C478,[6]條件!$A$1:$L$932,12,0)))</f>
        <v/>
      </c>
      <c r="J478" s="982"/>
      <c r="K478" s="980"/>
      <c r="L478" s="981" t="s">
        <v>632</v>
      </c>
      <c r="M478" s="983"/>
      <c r="N478" s="982"/>
      <c r="O478" s="980"/>
      <c r="P478" s="981" t="s">
        <v>632</v>
      </c>
      <c r="Q478" s="983"/>
      <c r="R478" s="982"/>
      <c r="S478" s="980"/>
      <c r="T478" s="981" t="s">
        <v>632</v>
      </c>
      <c r="U478" s="983"/>
      <c r="V478" s="982"/>
      <c r="W478" s="980"/>
      <c r="X478" s="981" t="s">
        <v>632</v>
      </c>
      <c r="Y478" s="983"/>
      <c r="Z478" s="1412" t="str">
        <f>IFERROR(VLOOKUP(C478, [6]條件!$A:$L, 3, 0), "")</f>
        <v/>
      </c>
      <c r="AA478" s="984" t="str">
        <f>IF(OR(L478={"改紡","檢修","了機","清車","FINAL","停機","SAMPLE","TEST","絲開發"}), L478, IFERROR(IF(C478="", "", (SUM(J478, N478, R478, V478)/3 * AG478) * IF(AND(AF478="S", AS478="雙"), 0.5, 1)), ""))</f>
        <v>停機</v>
      </c>
      <c r="AB478" s="1413" t="str">
        <f t="shared" si="86"/>
        <v/>
      </c>
      <c r="AC478" s="984" t="str">
        <f>IF(OR(L478={"改紡","檢修","了機","清車","FINAL","停機","SAMPLE","TEST"}), "", IFERROR(IF(C478="", "", AVERAGE(L478:M478, P478:Q478, T478:U478, X478:Y478)/100), ""))</f>
        <v/>
      </c>
      <c r="AD478" s="984" t="str">
        <f t="shared" si="80"/>
        <v/>
      </c>
      <c r="AE478" s="984" t="str">
        <f t="shared" si="87"/>
        <v/>
      </c>
      <c r="AF478" s="985" t="str">
        <f t="shared" si="81"/>
        <v>M</v>
      </c>
      <c r="AG478" s="1414">
        <v>1</v>
      </c>
      <c r="AH478" s="981" t="s">
        <v>640</v>
      </c>
      <c r="AI478" s="986" t="s">
        <v>640</v>
      </c>
      <c r="AJ478" s="986" t="s">
        <v>640</v>
      </c>
      <c r="AK478" s="1417" t="s">
        <v>640</v>
      </c>
      <c r="AL478" s="1415"/>
      <c r="AM478" s="1323"/>
      <c r="AN478" s="1323"/>
      <c r="AO478" s="1323"/>
      <c r="AP478" s="1323"/>
      <c r="AQ478" s="1323"/>
      <c r="AR478" s="987"/>
      <c r="AS478" s="978" t="str">
        <f t="shared" si="82"/>
        <v>單</v>
      </c>
      <c r="AT478" s="978" t="str">
        <f t="shared" si="83"/>
        <v>全</v>
      </c>
      <c r="AU478" s="978" t="str">
        <f t="shared" si="84"/>
        <v/>
      </c>
      <c r="AV478" s="978" t="str">
        <f t="shared" si="85"/>
        <v/>
      </c>
    </row>
    <row r="479" spans="1:48">
      <c r="A479" s="975">
        <f t="shared" si="79"/>
        <v>46154</v>
      </c>
      <c r="B479" s="976" t="s">
        <v>245</v>
      </c>
      <c r="C479" s="988" t="s">
        <v>16185</v>
      </c>
      <c r="D479" s="1410"/>
      <c r="E479" s="977" t="str">
        <f>IFERROR(VLOOKUP(C479, [6]條件!$A:$L, 5, 0), "")</f>
        <v/>
      </c>
      <c r="F479" s="978" t="str">
        <f>IFERROR(VLOOKUP(C479, [6]條件!$A:$L, 6, 0), "")</f>
        <v/>
      </c>
      <c r="G479" s="1411" t="str">
        <f>IFERROR(VLOOKUP(C479, [6]條件!$A:$L, 7, 0), "")</f>
        <v/>
      </c>
      <c r="H479" s="978" t="str">
        <f>IF(ISNA(VLOOKUP(C479,[6]條件!$A$1:$K$932,11,0)),"",(VLOOKUP(C479,[6]條件!$A$1:$K$932,11,0)))</f>
        <v/>
      </c>
      <c r="I479" s="979" t="str">
        <f>IF(ISNA(VLOOKUP(C479,[6]條件!$A$1:$L$932,12,0)),"",(VLOOKUP(C479,[6]條件!$A$1:$L$932,12,0)))</f>
        <v/>
      </c>
      <c r="J479" s="982"/>
      <c r="K479" s="980"/>
      <c r="L479" s="981" t="s">
        <v>632</v>
      </c>
      <c r="M479" s="983"/>
      <c r="N479" s="982"/>
      <c r="O479" s="980"/>
      <c r="P479" s="981" t="s">
        <v>632</v>
      </c>
      <c r="Q479" s="983"/>
      <c r="R479" s="982"/>
      <c r="S479" s="980"/>
      <c r="T479" s="981" t="s">
        <v>632</v>
      </c>
      <c r="U479" s="983"/>
      <c r="V479" s="982"/>
      <c r="W479" s="980"/>
      <c r="X479" s="981" t="s">
        <v>632</v>
      </c>
      <c r="Y479" s="983"/>
      <c r="Z479" s="1412" t="str">
        <f>IFERROR(VLOOKUP(C479, [6]條件!$A:$L, 3, 0), "")</f>
        <v/>
      </c>
      <c r="AA479" s="984" t="str">
        <f>IF(OR(L479={"改紡","檢修","了機","清車","FINAL","停機","SAMPLE","TEST","絲開發"}), L479, IFERROR(IF(C479="", "", (SUM(J479, N479, R479, V479)/3 * AG479) * IF(AND(AF479="S", AS479="雙"), 0.5, 1)), ""))</f>
        <v>停機</v>
      </c>
      <c r="AB479" s="1413" t="str">
        <f t="shared" si="86"/>
        <v/>
      </c>
      <c r="AC479" s="984" t="str">
        <f>IF(OR(L479={"改紡","檢修","了機","清車","FINAL","停機","SAMPLE","TEST"}), "", IFERROR(IF(C479="", "", AVERAGE(L479:M479, P479:Q479, T479:U479, X479:Y479)/100), ""))</f>
        <v/>
      </c>
      <c r="AD479" s="984" t="str">
        <f t="shared" si="80"/>
        <v/>
      </c>
      <c r="AE479" s="984" t="str">
        <f t="shared" si="87"/>
        <v/>
      </c>
      <c r="AF479" s="985" t="str">
        <f t="shared" si="81"/>
        <v>M</v>
      </c>
      <c r="AG479" s="1414">
        <v>1</v>
      </c>
      <c r="AH479" s="981" t="s">
        <v>640</v>
      </c>
      <c r="AI479" s="986" t="s">
        <v>640</v>
      </c>
      <c r="AJ479" s="986" t="s">
        <v>640</v>
      </c>
      <c r="AK479" s="1417" t="s">
        <v>640</v>
      </c>
      <c r="AL479" s="1415"/>
      <c r="AM479" s="1323"/>
      <c r="AN479" s="1323"/>
      <c r="AO479" s="1323"/>
      <c r="AP479" s="1323"/>
      <c r="AQ479" s="1323"/>
      <c r="AR479" s="987"/>
      <c r="AS479" s="978" t="str">
        <f t="shared" si="82"/>
        <v>單</v>
      </c>
      <c r="AT479" s="978" t="str">
        <f t="shared" si="83"/>
        <v>全</v>
      </c>
      <c r="AU479" s="978" t="str">
        <f t="shared" si="84"/>
        <v/>
      </c>
      <c r="AV479" s="978" t="str">
        <f t="shared" si="85"/>
        <v/>
      </c>
    </row>
    <row r="480" spans="1:48">
      <c r="A480" s="975">
        <f t="shared" si="79"/>
        <v>46154</v>
      </c>
      <c r="B480" s="976" t="s">
        <v>246</v>
      </c>
      <c r="C480" s="988" t="s">
        <v>16185</v>
      </c>
      <c r="D480" s="1410"/>
      <c r="E480" s="977" t="str">
        <f>IFERROR(VLOOKUP(C480, [6]條件!$A:$L, 5, 0), "")</f>
        <v/>
      </c>
      <c r="F480" s="978" t="str">
        <f>IFERROR(VLOOKUP(C480, [6]條件!$A:$L, 6, 0), "")</f>
        <v/>
      </c>
      <c r="G480" s="1411" t="str">
        <f>IFERROR(VLOOKUP(C480, [6]條件!$A:$L, 7, 0), "")</f>
        <v/>
      </c>
      <c r="H480" s="978" t="str">
        <f>IF(ISNA(VLOOKUP(C480,[6]條件!$A$1:$K$932,11,0)),"",(VLOOKUP(C480,[6]條件!$A$1:$K$932,11,0)))</f>
        <v/>
      </c>
      <c r="I480" s="979" t="str">
        <f>IF(ISNA(VLOOKUP(C480,[6]條件!$A$1:$L$932,12,0)),"",(VLOOKUP(C480,[6]條件!$A$1:$L$932,12,0)))</f>
        <v/>
      </c>
      <c r="J480" s="982"/>
      <c r="K480" s="980"/>
      <c r="L480" s="981" t="s">
        <v>632</v>
      </c>
      <c r="M480" s="983"/>
      <c r="N480" s="982"/>
      <c r="O480" s="980"/>
      <c r="P480" s="981" t="s">
        <v>632</v>
      </c>
      <c r="Q480" s="983"/>
      <c r="R480" s="982"/>
      <c r="S480" s="980"/>
      <c r="T480" s="981" t="s">
        <v>632</v>
      </c>
      <c r="U480" s="983"/>
      <c r="V480" s="982"/>
      <c r="W480" s="980"/>
      <c r="X480" s="981" t="s">
        <v>632</v>
      </c>
      <c r="Y480" s="983"/>
      <c r="Z480" s="1412" t="str">
        <f>IFERROR(VLOOKUP(C480, [6]條件!$A:$L, 3, 0), "")</f>
        <v/>
      </c>
      <c r="AA480" s="984" t="str">
        <f>IF(OR(L480={"改紡","檢修","了機","清車","FINAL","停機","SAMPLE","TEST","絲開發"}), L480, IFERROR(IF(C480="", "", (SUM(J480, N480, R480, V480)/3 * AG480) * IF(AND(AF480="S", AS480="雙"), 0.5, 1)), ""))</f>
        <v>停機</v>
      </c>
      <c r="AB480" s="1413" t="str">
        <f t="shared" si="86"/>
        <v/>
      </c>
      <c r="AC480" s="984" t="str">
        <f>IF(OR(L480={"改紡","檢修","了機","清車","FINAL","停機","SAMPLE","TEST"}), "", IFERROR(IF(C480="", "", AVERAGE(L480:M480, P480:Q480, T480:U480, X480:Y480)/100), ""))</f>
        <v/>
      </c>
      <c r="AD480" s="984" t="str">
        <f t="shared" si="80"/>
        <v/>
      </c>
      <c r="AE480" s="984" t="str">
        <f t="shared" si="87"/>
        <v/>
      </c>
      <c r="AF480" s="985" t="str">
        <f t="shared" si="81"/>
        <v>M</v>
      </c>
      <c r="AG480" s="1414">
        <v>1</v>
      </c>
      <c r="AH480" s="981" t="s">
        <v>640</v>
      </c>
      <c r="AI480" s="986" t="s">
        <v>640</v>
      </c>
      <c r="AJ480" s="986" t="s">
        <v>640</v>
      </c>
      <c r="AK480" s="1417" t="s">
        <v>640</v>
      </c>
      <c r="AL480" s="1415"/>
      <c r="AM480" s="1323"/>
      <c r="AN480" s="1323"/>
      <c r="AO480" s="1323"/>
      <c r="AP480" s="1323"/>
      <c r="AQ480" s="1323"/>
      <c r="AR480" s="987"/>
      <c r="AS480" s="978" t="str">
        <f t="shared" si="82"/>
        <v>單</v>
      </c>
      <c r="AT480" s="978" t="str">
        <f t="shared" si="83"/>
        <v>全</v>
      </c>
      <c r="AU480" s="978" t="str">
        <f t="shared" si="84"/>
        <v/>
      </c>
      <c r="AV480" s="978" t="str">
        <f t="shared" si="85"/>
        <v/>
      </c>
    </row>
    <row r="481" spans="1:48">
      <c r="A481" s="975">
        <f t="shared" si="79"/>
        <v>46154</v>
      </c>
      <c r="B481" s="976" t="s">
        <v>247</v>
      </c>
      <c r="C481" s="988" t="s">
        <v>16185</v>
      </c>
      <c r="D481" s="1410"/>
      <c r="E481" s="977" t="str">
        <f>IFERROR(VLOOKUP(C481, [6]條件!$A:$L, 5, 0), "")</f>
        <v/>
      </c>
      <c r="F481" s="978" t="str">
        <f>IFERROR(VLOOKUP(C481, [6]條件!$A:$L, 6, 0), "")</f>
        <v/>
      </c>
      <c r="G481" s="1411" t="str">
        <f>IFERROR(VLOOKUP(C481, [6]條件!$A:$L, 7, 0), "")</f>
        <v/>
      </c>
      <c r="H481" s="978" t="str">
        <f>IF(ISNA(VLOOKUP(C481,[6]條件!$A$1:$K$932,11,0)),"",(VLOOKUP(C481,[6]條件!$A$1:$K$932,11,0)))</f>
        <v/>
      </c>
      <c r="I481" s="979" t="str">
        <f>IF(ISNA(VLOOKUP(C481,[6]條件!$A$1:$L$932,12,0)),"",(VLOOKUP(C481,[6]條件!$A$1:$L$932,12,0)))</f>
        <v/>
      </c>
      <c r="J481" s="982"/>
      <c r="K481" s="980"/>
      <c r="L481" s="981" t="s">
        <v>632</v>
      </c>
      <c r="M481" s="983"/>
      <c r="N481" s="982"/>
      <c r="O481" s="980"/>
      <c r="P481" s="981" t="s">
        <v>632</v>
      </c>
      <c r="Q481" s="983"/>
      <c r="R481" s="982"/>
      <c r="S481" s="980"/>
      <c r="T481" s="981" t="s">
        <v>632</v>
      </c>
      <c r="U481" s="983"/>
      <c r="V481" s="982"/>
      <c r="W481" s="980"/>
      <c r="X481" s="981" t="s">
        <v>632</v>
      </c>
      <c r="Y481" s="983"/>
      <c r="Z481" s="1412" t="str">
        <f>IFERROR(VLOOKUP(C481, [6]條件!$A:$L, 3, 0), "")</f>
        <v/>
      </c>
      <c r="AA481" s="984" t="str">
        <f>IF(OR(L481={"改紡","檢修","了機","清車","FINAL","停機","SAMPLE","TEST","絲開發"}), L481, IFERROR(IF(C481="", "", (SUM(J481, N481, R481, V481)/3 * AG481) * IF(AND(AF481="S", AS481="雙"), 0.5, 1)), ""))</f>
        <v>停機</v>
      </c>
      <c r="AB481" s="1413" t="str">
        <f t="shared" si="86"/>
        <v/>
      </c>
      <c r="AC481" s="984" t="str">
        <f>IF(OR(L481={"改紡","檢修","了機","清車","FINAL","停機","SAMPLE","TEST"}), "", IFERROR(IF(C481="", "", AVERAGE(L481:M481, P481:Q481, T481:U481, X481:Y481)/100), ""))</f>
        <v/>
      </c>
      <c r="AD481" s="984" t="str">
        <f t="shared" si="80"/>
        <v/>
      </c>
      <c r="AE481" s="984" t="str">
        <f t="shared" si="87"/>
        <v/>
      </c>
      <c r="AF481" s="985" t="str">
        <f t="shared" si="81"/>
        <v>M</v>
      </c>
      <c r="AG481" s="1414">
        <v>1</v>
      </c>
      <c r="AH481" s="981" t="s">
        <v>640</v>
      </c>
      <c r="AI481" s="986" t="s">
        <v>640</v>
      </c>
      <c r="AJ481" s="986" t="s">
        <v>640</v>
      </c>
      <c r="AK481" s="1417" t="s">
        <v>640</v>
      </c>
      <c r="AL481" s="1415"/>
      <c r="AM481" s="1323"/>
      <c r="AN481" s="1323"/>
      <c r="AO481" s="1323"/>
      <c r="AP481" s="1323"/>
      <c r="AQ481" s="1323"/>
      <c r="AR481" s="987"/>
      <c r="AS481" s="978" t="str">
        <f t="shared" si="82"/>
        <v>單</v>
      </c>
      <c r="AT481" s="978" t="str">
        <f t="shared" si="83"/>
        <v>全</v>
      </c>
      <c r="AU481" s="978" t="str">
        <f t="shared" si="84"/>
        <v/>
      </c>
      <c r="AV481" s="978" t="str">
        <f t="shared" si="85"/>
        <v/>
      </c>
    </row>
    <row r="482" spans="1:48">
      <c r="A482" s="975">
        <f t="shared" si="79"/>
        <v>46154</v>
      </c>
      <c r="B482" s="976" t="s">
        <v>248</v>
      </c>
      <c r="C482" s="988" t="s">
        <v>16185</v>
      </c>
      <c r="D482" s="1410"/>
      <c r="E482" s="977" t="str">
        <f>IFERROR(VLOOKUP(C482, [6]條件!$A:$L, 5, 0), "")</f>
        <v/>
      </c>
      <c r="F482" s="978" t="str">
        <f>IFERROR(VLOOKUP(C482, [6]條件!$A:$L, 6, 0), "")</f>
        <v/>
      </c>
      <c r="G482" s="1411" t="str">
        <f>IFERROR(VLOOKUP(C482, [6]條件!$A:$L, 7, 0), "")</f>
        <v/>
      </c>
      <c r="H482" s="978" t="str">
        <f>IF(ISNA(VLOOKUP(C482,[6]條件!$A$1:$K$932,11,0)),"",(VLOOKUP(C482,[6]條件!$A$1:$K$932,11,0)))</f>
        <v/>
      </c>
      <c r="I482" s="979" t="str">
        <f>IF(ISNA(VLOOKUP(C482,[6]條件!$A$1:$L$932,12,0)),"",(VLOOKUP(C482,[6]條件!$A$1:$L$932,12,0)))</f>
        <v/>
      </c>
      <c r="J482" s="982"/>
      <c r="K482" s="980"/>
      <c r="L482" s="981" t="s">
        <v>632</v>
      </c>
      <c r="M482" s="983"/>
      <c r="N482" s="982"/>
      <c r="O482" s="980"/>
      <c r="P482" s="981" t="s">
        <v>632</v>
      </c>
      <c r="Q482" s="983"/>
      <c r="R482" s="982"/>
      <c r="S482" s="980"/>
      <c r="T482" s="981" t="s">
        <v>632</v>
      </c>
      <c r="U482" s="983"/>
      <c r="V482" s="982"/>
      <c r="W482" s="980"/>
      <c r="X482" s="981" t="s">
        <v>632</v>
      </c>
      <c r="Y482" s="983"/>
      <c r="Z482" s="1412" t="str">
        <f>IFERROR(VLOOKUP(C482, [6]條件!$A:$L, 3, 0), "")</f>
        <v/>
      </c>
      <c r="AA482" s="984" t="str">
        <f>IF(OR(L482={"改紡","檢修","了機","清車","FINAL","停機","SAMPLE","TEST","絲開發"}), L482, IFERROR(IF(C482="", "", (SUM(J482, N482, R482, V482)/3 * AG482) * IF(AND(AF482="S", AS482="雙"), 0.5, 1)), ""))</f>
        <v>停機</v>
      </c>
      <c r="AB482" s="1413" t="str">
        <f t="shared" si="86"/>
        <v/>
      </c>
      <c r="AC482" s="984" t="str">
        <f>IF(OR(L482={"改紡","檢修","了機","清車","FINAL","停機","SAMPLE","TEST"}), "", IFERROR(IF(C482="", "", AVERAGE(L482:M482, P482:Q482, T482:U482, X482:Y482)/100), ""))</f>
        <v/>
      </c>
      <c r="AD482" s="984" t="str">
        <f t="shared" si="80"/>
        <v/>
      </c>
      <c r="AE482" s="984" t="str">
        <f t="shared" si="87"/>
        <v/>
      </c>
      <c r="AF482" s="985" t="str">
        <f t="shared" si="81"/>
        <v>M</v>
      </c>
      <c r="AG482" s="1414">
        <v>1</v>
      </c>
      <c r="AH482" s="981" t="s">
        <v>640</v>
      </c>
      <c r="AI482" s="986" t="s">
        <v>640</v>
      </c>
      <c r="AJ482" s="986" t="s">
        <v>640</v>
      </c>
      <c r="AK482" s="1417" t="s">
        <v>640</v>
      </c>
      <c r="AL482" s="1415"/>
      <c r="AM482" s="1323"/>
      <c r="AN482" s="1323"/>
      <c r="AO482" s="1323"/>
      <c r="AP482" s="1323"/>
      <c r="AQ482" s="1323"/>
      <c r="AR482" s="987"/>
      <c r="AS482" s="978" t="str">
        <f t="shared" si="82"/>
        <v>單</v>
      </c>
      <c r="AT482" s="978" t="str">
        <f t="shared" si="83"/>
        <v>全</v>
      </c>
      <c r="AU482" s="978" t="str">
        <f t="shared" si="84"/>
        <v/>
      </c>
      <c r="AV482" s="978" t="str">
        <f t="shared" si="85"/>
        <v/>
      </c>
    </row>
    <row r="483" spans="1:48" ht="17.25" thickBot="1">
      <c r="A483" s="989">
        <f t="shared" si="79"/>
        <v>46154</v>
      </c>
      <c r="B483" s="990" t="s">
        <v>249</v>
      </c>
      <c r="C483" s="991" t="s">
        <v>16185</v>
      </c>
      <c r="D483" s="1425"/>
      <c r="E483" s="1169" t="str">
        <f>IFERROR(VLOOKUP(C483, [6]條件!$A:$L, 5, 0), "")</f>
        <v/>
      </c>
      <c r="F483" s="992" t="str">
        <f>IFERROR(VLOOKUP(C483, [6]條件!$A:$L, 6, 0), "")</f>
        <v/>
      </c>
      <c r="G483" s="1426" t="str">
        <f>IFERROR(VLOOKUP(C483, [6]條件!$A:$L, 7, 0), "")</f>
        <v/>
      </c>
      <c r="H483" s="992" t="str">
        <f>IF(ISNA(VLOOKUP(C483,[6]條件!$A$1:$K$932,11,0)),"",(VLOOKUP(C483,[6]條件!$A$1:$K$932,11,0)))</f>
        <v/>
      </c>
      <c r="I483" s="1170" t="str">
        <f>IF(ISNA(VLOOKUP(C483,[6]條件!$A$1:$L$932,12,0)),"",(VLOOKUP(C483,[6]條件!$A$1:$L$932,12,0)))</f>
        <v/>
      </c>
      <c r="J483" s="995"/>
      <c r="K483" s="993"/>
      <c r="L483" s="994" t="s">
        <v>632</v>
      </c>
      <c r="M483" s="996"/>
      <c r="N483" s="995"/>
      <c r="O483" s="993"/>
      <c r="P483" s="994" t="s">
        <v>632</v>
      </c>
      <c r="Q483" s="996"/>
      <c r="R483" s="995"/>
      <c r="S483" s="993"/>
      <c r="T483" s="994" t="s">
        <v>632</v>
      </c>
      <c r="U483" s="996"/>
      <c r="V483" s="995"/>
      <c r="W483" s="993"/>
      <c r="X483" s="994" t="s">
        <v>632</v>
      </c>
      <c r="Y483" s="996"/>
      <c r="Z483" s="1427" t="str">
        <f>IFERROR(VLOOKUP(C483, [6]條件!$A:$L, 3, 0), "")</f>
        <v/>
      </c>
      <c r="AA483" s="997" t="str">
        <f>IF(OR(L483={"改紡","檢修","了機","清車","FINAL","停機","SAMPLE","TEST","絲開發"}), L483, IFERROR(IF(C483="", "", (SUM(J483, N483, R483, V483)/3 * AG483) * IF(AND(AF483="S", AS483="雙"), 0.5, 1)), ""))</f>
        <v>停機</v>
      </c>
      <c r="AB483" s="1428" t="str">
        <f t="shared" si="86"/>
        <v/>
      </c>
      <c r="AC483" s="997" t="str">
        <f>IF(OR(L483={"改紡","檢修","了機","清車","FINAL","停機","SAMPLE","TEST"}), "", IFERROR(IF(C483="", "", AVERAGE(L483:M483, P483:Q483, T483:U483, X483:Y483)/100), ""))</f>
        <v/>
      </c>
      <c r="AD483" s="997" t="str">
        <f t="shared" si="80"/>
        <v/>
      </c>
      <c r="AE483" s="997" t="str">
        <f t="shared" si="87"/>
        <v/>
      </c>
      <c r="AF483" s="998" t="str">
        <f t="shared" si="81"/>
        <v>M</v>
      </c>
      <c r="AG483" s="1429">
        <v>1</v>
      </c>
      <c r="AH483" s="994" t="s">
        <v>640</v>
      </c>
      <c r="AI483" s="999" t="s">
        <v>640</v>
      </c>
      <c r="AJ483" s="999" t="s">
        <v>640</v>
      </c>
      <c r="AK483" s="1430" t="s">
        <v>640</v>
      </c>
      <c r="AL483" s="1431"/>
      <c r="AM483" s="1325"/>
      <c r="AN483" s="1325"/>
      <c r="AO483" s="1325"/>
      <c r="AP483" s="1325"/>
      <c r="AQ483" s="1325"/>
      <c r="AR483" s="1000"/>
      <c r="AS483" s="992" t="str">
        <f t="shared" si="82"/>
        <v>單</v>
      </c>
      <c r="AT483" s="992" t="str">
        <f t="shared" si="83"/>
        <v>全</v>
      </c>
      <c r="AU483" s="992" t="str">
        <f t="shared" si="84"/>
        <v/>
      </c>
      <c r="AV483" s="992" t="str">
        <f t="shared" si="85"/>
        <v/>
      </c>
    </row>
    <row r="484" spans="1:48">
      <c r="A484" s="962">
        <v>46155</v>
      </c>
      <c r="B484" s="963" t="s">
        <v>212</v>
      </c>
      <c r="C484" s="963" t="s">
        <v>632</v>
      </c>
      <c r="D484" s="1403"/>
      <c r="E484" s="964" t="str">
        <f>IFERROR(VLOOKUP(C484, [6]條件!$A:$L, 5, 0), "")</f>
        <v/>
      </c>
      <c r="F484" s="965" t="str">
        <f>IFERROR(VLOOKUP(C484, [6]條件!$A:$L, 6, 0), "")</f>
        <v/>
      </c>
      <c r="G484" s="1404" t="str">
        <f>IFERROR(VLOOKUP(C484, [6]條件!$A:$L, 7, 0), "")</f>
        <v/>
      </c>
      <c r="H484" s="965" t="str">
        <f>IF(ISNA(VLOOKUP(C484,[6]條件!$A$1:$K$932,11,0)),"",(VLOOKUP(C484,[6]條件!$A$1:$K$932,11,0)))</f>
        <v/>
      </c>
      <c r="I484" s="966" t="str">
        <f>IF(ISNA(VLOOKUP(C484,[6]條件!$A$1:$L$932,12,0)),"",(VLOOKUP(C484,[6]條件!$A$1:$L$932,12,0)))</f>
        <v/>
      </c>
      <c r="J484" s="969"/>
      <c r="K484" s="967"/>
      <c r="L484" s="981" t="s">
        <v>632</v>
      </c>
      <c r="M484" s="970"/>
      <c r="N484" s="969"/>
      <c r="O484" s="967"/>
      <c r="P484" s="981" t="s">
        <v>632</v>
      </c>
      <c r="Q484" s="970"/>
      <c r="R484" s="969"/>
      <c r="S484" s="967"/>
      <c r="T484" s="981" t="s">
        <v>632</v>
      </c>
      <c r="U484" s="970"/>
      <c r="V484" s="969"/>
      <c r="W484" s="967"/>
      <c r="X484" s="981" t="s">
        <v>632</v>
      </c>
      <c r="Y484" s="970"/>
      <c r="Z484" s="1405" t="str">
        <f>IFERROR(VLOOKUP(C484, [6]條件!$A:$L, 3, 0), "")</f>
        <v/>
      </c>
      <c r="AA484" s="971" t="str">
        <f>IF(OR(L484={"改紡","檢修","了機","清車","FINAL","停機","SAMPLE","TEST","絲開發"}), L484, IFERROR(IF(C484="", "", (SUM(J484, N484, R484, V484)/3 * AG484) * IF(AND(AF484="S", AS484="雙"), 0.5, 1)), ""))</f>
        <v>停機</v>
      </c>
      <c r="AB484" s="1406" t="str">
        <f t="shared" si="86"/>
        <v/>
      </c>
      <c r="AC484" s="971" t="str">
        <f>IF(OR(L484={"改紡","檢修","了機","清車","FINAL","停機","SAMPLE","TEST"}), "", IFERROR(IF(C484="", "", AVERAGE(L484:M484, P484:Q484, T484:U484, X484:Y484)/100), ""))</f>
        <v/>
      </c>
      <c r="AD484" s="971" t="str">
        <f t="shared" si="80"/>
        <v/>
      </c>
      <c r="AE484" s="971" t="str">
        <f t="shared" si="87"/>
        <v/>
      </c>
      <c r="AF484" s="972" t="str">
        <f t="shared" si="81"/>
        <v>A</v>
      </c>
      <c r="AG484" s="1407">
        <v>1</v>
      </c>
      <c r="AH484" s="968" t="s">
        <v>640</v>
      </c>
      <c r="AI484" s="1438" t="s">
        <v>640</v>
      </c>
      <c r="AJ484" s="1166" t="s">
        <v>640</v>
      </c>
      <c r="AK484" s="1408" t="s">
        <v>640</v>
      </c>
      <c r="AL484" s="1409"/>
      <c r="AM484" s="1322"/>
      <c r="AN484" s="1322"/>
      <c r="AO484" s="1322"/>
      <c r="AP484" s="1322"/>
      <c r="AQ484" s="1322"/>
      <c r="AR484" s="973"/>
      <c r="AS484" s="965" t="str">
        <f t="shared" si="82"/>
        <v>單</v>
      </c>
      <c r="AT484" s="965" t="str">
        <f t="shared" si="83"/>
        <v>全</v>
      </c>
      <c r="AU484" s="965" t="str">
        <f t="shared" si="84"/>
        <v/>
      </c>
      <c r="AV484" s="965" t="str">
        <f t="shared" si="85"/>
        <v/>
      </c>
    </row>
    <row r="485" spans="1:48">
      <c r="A485" s="975">
        <f t="shared" ref="A485:A523" si="88">A484</f>
        <v>46155</v>
      </c>
      <c r="B485" s="976" t="s">
        <v>214</v>
      </c>
      <c r="C485" s="976" t="s">
        <v>16708</v>
      </c>
      <c r="D485" s="1410"/>
      <c r="E485" s="977" t="str">
        <f>IFERROR(VLOOKUP(C485, [6]條件!$A:$L, 5, 0), "")</f>
        <v>75/36SDR</v>
      </c>
      <c r="F485" s="978" t="str">
        <f>IFERROR(VLOOKUP(C485, [6]條件!$A:$L, 6, 0), "")</f>
        <v>FP81386R</v>
      </c>
      <c r="G485" s="1411">
        <f>IFERROR(VLOOKUP(C485, [6]條件!$A:$L, 7, 0), "")</f>
        <v>780</v>
      </c>
      <c r="H485" s="978" t="str">
        <f>IF(ISNA(VLOOKUP(C485,[6]條件!$A$1:$K$932,11,0)),"",(VLOOKUP(C485,[6]條件!$A$1:$K$932,11,0)))</f>
        <v>綠底白點</v>
      </c>
      <c r="I485" s="979">
        <f>IF(ISNA(VLOOKUP(C485,[6]條件!$A$1:$L$932,12,0)),"",(VLOOKUP(C485,[6]條件!$A$1:$L$932,12,0)))</f>
        <v>5</v>
      </c>
      <c r="J485" s="982">
        <v>14</v>
      </c>
      <c r="K485" s="980">
        <v>0</v>
      </c>
      <c r="L485" s="981">
        <v>8825</v>
      </c>
      <c r="M485" s="983">
        <v>8353</v>
      </c>
      <c r="N485" s="982">
        <v>5</v>
      </c>
      <c r="O485" s="980">
        <v>0</v>
      </c>
      <c r="P485" s="981">
        <v>8851</v>
      </c>
      <c r="Q485" s="983">
        <v>8320</v>
      </c>
      <c r="R485" s="982">
        <v>10</v>
      </c>
      <c r="S485" s="980">
        <v>0</v>
      </c>
      <c r="T485" s="981">
        <v>8819</v>
      </c>
      <c r="U485" s="983">
        <v>8217</v>
      </c>
      <c r="V485" s="982">
        <v>16</v>
      </c>
      <c r="W485" s="980">
        <v>0</v>
      </c>
      <c r="X485" s="981">
        <v>8696</v>
      </c>
      <c r="Y485" s="983">
        <v>8249</v>
      </c>
      <c r="Z485" s="1412">
        <f>IFERROR(VLOOKUP(C485, [6]條件!$A:$L, 3, 0), "")</f>
        <v>1.7777777777777777</v>
      </c>
      <c r="AA485" s="984">
        <f>IF(OR(L485={"改紡","檢修","了機","清車","FINAL","停機","SAMPLE","TEST","絲開發"}), L485, IFERROR(IF(C485="", "", (SUM(J485, N485, R485, V485)/3 * AG485) * IF(AND(AF485="S", AS485="雙"), 0.5, 1)), ""))</f>
        <v>15</v>
      </c>
      <c r="AB485" s="1413">
        <f t="shared" si="86"/>
        <v>1</v>
      </c>
      <c r="AC485" s="984">
        <f>IF(OR(L485={"改紡","檢修","了機","清車","FINAL","停機","SAMPLE","TEST"}), "", IFERROR(IF(C485="", "", AVERAGE(L485:M485, P485:Q485, T485:U485, X485:Y485)/100), ""))</f>
        <v>85.412499999999994</v>
      </c>
      <c r="AD485" s="984">
        <f t="shared" si="80"/>
        <v>1.875</v>
      </c>
      <c r="AE485" s="984">
        <f t="shared" si="87"/>
        <v>1.875</v>
      </c>
      <c r="AF485" s="985" t="str">
        <f t="shared" si="81"/>
        <v>A</v>
      </c>
      <c r="AG485" s="1414">
        <v>1</v>
      </c>
      <c r="AH485" s="981" t="s">
        <v>16154</v>
      </c>
      <c r="AI485" s="986" t="s">
        <v>629</v>
      </c>
      <c r="AJ485" s="986" t="s">
        <v>15368</v>
      </c>
      <c r="AK485" s="1417" t="s">
        <v>15368</v>
      </c>
      <c r="AL485" s="1415">
        <v>50</v>
      </c>
      <c r="AM485" s="1323">
        <v>46150</v>
      </c>
      <c r="AN485" s="1323">
        <v>46151</v>
      </c>
      <c r="AO485" s="1323"/>
      <c r="AP485" s="1323"/>
      <c r="AQ485" s="1323"/>
      <c r="AR485" s="987"/>
      <c r="AS485" s="978" t="str">
        <f t="shared" si="82"/>
        <v>單</v>
      </c>
      <c r="AT485" s="978" t="str">
        <f t="shared" si="83"/>
        <v>全</v>
      </c>
      <c r="AU485" s="978">
        <f t="shared" si="84"/>
        <v>75</v>
      </c>
      <c r="AV485" s="978">
        <f t="shared" si="85"/>
        <v>1.7268357599999999</v>
      </c>
    </row>
    <row r="486" spans="1:48">
      <c r="A486" s="975">
        <f t="shared" si="88"/>
        <v>46155</v>
      </c>
      <c r="B486" s="976" t="s">
        <v>215</v>
      </c>
      <c r="C486" s="976" t="s">
        <v>16746</v>
      </c>
      <c r="D486" s="1410" t="s">
        <v>633</v>
      </c>
      <c r="E486" s="977" t="str">
        <f>IFERROR(VLOOKUP(C486, [6]條件!$A:$L, 5, 0), "")</f>
        <v>75/24/2SDr</v>
      </c>
      <c r="F486" s="978" t="str">
        <f>IFERROR(VLOOKUP(C486, [6]條件!$A:$L, 6, 0), "")</f>
        <v>FP81391R×2</v>
      </c>
      <c r="G486" s="1411">
        <f>IFERROR(VLOOKUP(C486, [6]條件!$A:$L, 7, 0), "")</f>
        <v>700</v>
      </c>
      <c r="H486" s="978" t="str">
        <f>IF(ISNA(VLOOKUP(C486,[6]條件!$A$1:$K$932,11,0)),"",(VLOOKUP(C486,[6]條件!$A$1:$K$932,11,0)))</f>
        <v>紅底白點</v>
      </c>
      <c r="I486" s="979">
        <f>IF(ISNA(VLOOKUP(C486,[6]條件!$A$1:$L$932,12,0)),"",(VLOOKUP(C486,[6]條件!$A$1:$L$932,12,0)))</f>
        <v>5</v>
      </c>
      <c r="J486" s="982">
        <v>24</v>
      </c>
      <c r="K486" s="980">
        <v>0</v>
      </c>
      <c r="L486" s="981"/>
      <c r="M486" s="983">
        <v>8603</v>
      </c>
      <c r="N486" s="982">
        <v>24</v>
      </c>
      <c r="O486" s="980">
        <v>0</v>
      </c>
      <c r="P486" s="981" t="s">
        <v>632</v>
      </c>
      <c r="Q486" s="983">
        <v>8441</v>
      </c>
      <c r="R486" s="982">
        <v>10</v>
      </c>
      <c r="S486" s="980">
        <v>0</v>
      </c>
      <c r="T486" s="981" t="s">
        <v>632</v>
      </c>
      <c r="U486" s="983">
        <v>8442</v>
      </c>
      <c r="V486" s="982">
        <v>24</v>
      </c>
      <c r="W486" s="980">
        <v>0</v>
      </c>
      <c r="X486" s="981" t="s">
        <v>632</v>
      </c>
      <c r="Y486" s="983">
        <v>7959</v>
      </c>
      <c r="Z486" s="1412">
        <f>IFERROR(VLOOKUP(C486, [6]條件!$A:$L, 3, 0), "")</f>
        <v>3.2653061224489797</v>
      </c>
      <c r="AA486" s="984">
        <f>IF(OR(L486={"改紡","檢修","了機","清車","FINAL","停機","SAMPLE","TEST","絲開發"}), L486, IFERROR(IF(C486="", "", (SUM(J486, N486, R486, V486)/3 * AG486) * IF(AND(AF486="S", AS486="雙"), 0.5, 1)), ""))</f>
        <v>27.333333333333332</v>
      </c>
      <c r="AB486" s="1413">
        <f t="shared" si="86"/>
        <v>1</v>
      </c>
      <c r="AC486" s="984">
        <f>IF(OR(L486={"改紡","檢修","了機","清車","FINAL","停機","SAMPLE","TEST"}), "", IFERROR(IF(C486="", "", AVERAGE(L486:M486, P486:Q486, T486:U486, X486:Y486)/100), ""))</f>
        <v>83.612499999999997</v>
      </c>
      <c r="AD486" s="984">
        <f t="shared" si="80"/>
        <v>3.4166666666666665</v>
      </c>
      <c r="AE486" s="984">
        <f t="shared" si="87"/>
        <v>3.4166666666666665</v>
      </c>
      <c r="AF486" s="985" t="str">
        <f t="shared" si="81"/>
        <v>A</v>
      </c>
      <c r="AG486" s="1414">
        <v>1</v>
      </c>
      <c r="AH486" s="981" t="s">
        <v>16154</v>
      </c>
      <c r="AI486" s="986" t="s">
        <v>629</v>
      </c>
      <c r="AJ486" s="986" t="s">
        <v>15368</v>
      </c>
      <c r="AK486" s="1417" t="s">
        <v>15368</v>
      </c>
      <c r="AL486" s="1415">
        <v>53</v>
      </c>
      <c r="AM486" s="1323">
        <v>46118</v>
      </c>
      <c r="AN486" s="1323">
        <v>46119</v>
      </c>
      <c r="AO486" s="1323">
        <v>46120</v>
      </c>
      <c r="AP486" s="1323"/>
      <c r="AQ486" s="1323"/>
      <c r="AR486" s="987"/>
      <c r="AS486" s="978" t="str">
        <f t="shared" si="82"/>
        <v>雙</v>
      </c>
      <c r="AT486" s="978" t="str">
        <f t="shared" si="83"/>
        <v>半</v>
      </c>
      <c r="AU486" s="978">
        <f t="shared" si="84"/>
        <v>75</v>
      </c>
      <c r="AV486" s="978">
        <f t="shared" si="85"/>
        <v>0.7585326</v>
      </c>
    </row>
    <row r="487" spans="1:48">
      <c r="A487" s="975">
        <f t="shared" si="88"/>
        <v>46155</v>
      </c>
      <c r="B487" s="976" t="s">
        <v>216</v>
      </c>
      <c r="C487" s="976" t="s">
        <v>16764</v>
      </c>
      <c r="D487" s="1410"/>
      <c r="E487" s="977" t="str">
        <f>IFERROR(VLOOKUP(C487, [6]條件!$A:$L, 5, 0), "")</f>
        <v>150/48BK42</v>
      </c>
      <c r="F487" s="978" t="str">
        <f>IFERROR(VLOOKUP(C487, [6]條件!$A:$L, 6, 0), "")</f>
        <v>FP02421</v>
      </c>
      <c r="G487" s="1411">
        <f>IFERROR(VLOOKUP(C487, [6]條件!$A:$L, 7, 0), "")</f>
        <v>600</v>
      </c>
      <c r="H487" s="978" t="str">
        <f>IF(ISNA(VLOOKUP(C487,[6]條件!$A$1:$K$932,11,0)),"",(VLOOKUP(C487,[6]條件!$A$1:$K$932,11,0)))</f>
        <v>白桔方塊</v>
      </c>
      <c r="I487" s="979">
        <f>IF(ISNA(VLOOKUP(C487,[6]條件!$A$1:$L$932,12,0)),"",(VLOOKUP(C487,[6]條件!$A$1:$L$932,12,0)))</f>
        <v>5</v>
      </c>
      <c r="J487" s="982">
        <v>10</v>
      </c>
      <c r="K487" s="980">
        <v>0</v>
      </c>
      <c r="L487" s="981">
        <v>8777</v>
      </c>
      <c r="M487" s="983" t="s">
        <v>632</v>
      </c>
      <c r="N487" s="982">
        <v>10</v>
      </c>
      <c r="O487" s="980">
        <v>0</v>
      </c>
      <c r="P487" s="981">
        <v>8818</v>
      </c>
      <c r="Q487" s="983" t="s">
        <v>632</v>
      </c>
      <c r="R487" s="982">
        <v>1</v>
      </c>
      <c r="S487" s="980">
        <v>0</v>
      </c>
      <c r="T487" s="981">
        <v>9047</v>
      </c>
      <c r="U487" s="983" t="s">
        <v>632</v>
      </c>
      <c r="V487" s="982">
        <v>6</v>
      </c>
      <c r="W487" s="980">
        <v>0</v>
      </c>
      <c r="X487" s="981">
        <v>9010</v>
      </c>
      <c r="Y487" s="983" t="s">
        <v>632</v>
      </c>
      <c r="Z487" s="1412">
        <f>IFERROR(VLOOKUP(C487, [6]條件!$A:$L, 3, 0), "")</f>
        <v>2.8346456692913384</v>
      </c>
      <c r="AA487" s="984">
        <f>IF(OR(L487={"改紡","檢修","了機","清車","FINAL","停機","SAMPLE","TEST","絲開發"}), L487, IFERROR(IF(C487="", "", (SUM(J487, N487, R487, V487)/3 * AG487) * IF(AND(AF487="S", AS487="雙"), 0.5, 1)), ""))</f>
        <v>18</v>
      </c>
      <c r="AB487" s="1413">
        <f t="shared" si="86"/>
        <v>1</v>
      </c>
      <c r="AC487" s="984">
        <f>IF(OR(L487={"改紡","檢修","了機","清車","FINAL","停機","SAMPLE","TEST"}), "", IFERROR(IF(C487="", "", AVERAGE(L487:M487, P487:Q487, T487:U487, X487:Y487)/100), ""))</f>
        <v>89.13</v>
      </c>
      <c r="AD487" s="984">
        <f t="shared" si="80"/>
        <v>2.25</v>
      </c>
      <c r="AE487" s="984">
        <f t="shared" si="87"/>
        <v>2.25</v>
      </c>
      <c r="AF487" s="985" t="str">
        <f t="shared" si="81"/>
        <v>A</v>
      </c>
      <c r="AG487" s="1414">
        <v>2</v>
      </c>
      <c r="AH487" s="981" t="s">
        <v>16154</v>
      </c>
      <c r="AI487" s="986" t="s">
        <v>629</v>
      </c>
      <c r="AJ487" s="986" t="s">
        <v>15368</v>
      </c>
      <c r="AK487" s="1417" t="s">
        <v>15368</v>
      </c>
      <c r="AL487" s="1415">
        <v>52</v>
      </c>
      <c r="AM487" s="1323">
        <v>46151</v>
      </c>
      <c r="AN487" s="1323">
        <v>46152</v>
      </c>
      <c r="AO487" s="1323"/>
      <c r="AP487" s="1323"/>
      <c r="AQ487" s="1323"/>
      <c r="AR487" s="987"/>
      <c r="AS487" s="978" t="str">
        <f t="shared" si="82"/>
        <v>單</v>
      </c>
      <c r="AT487" s="978" t="str">
        <f t="shared" si="83"/>
        <v>半</v>
      </c>
      <c r="AU487" s="978">
        <f t="shared" si="84"/>
        <v>150</v>
      </c>
      <c r="AV487" s="978">
        <f t="shared" si="85"/>
        <v>1.3861497600000001</v>
      </c>
    </row>
    <row r="488" spans="1:48">
      <c r="A488" s="975">
        <f t="shared" si="88"/>
        <v>46155</v>
      </c>
      <c r="B488" s="976" t="s">
        <v>217</v>
      </c>
      <c r="C488" s="976" t="s">
        <v>16197</v>
      </c>
      <c r="D488" s="1410"/>
      <c r="E488" s="977" t="str">
        <f>IFERROR(VLOOKUP(C488, [6]條件!$A:$L, 5, 0), "")</f>
        <v>75/36HC</v>
      </c>
      <c r="F488" s="978" t="str">
        <f>IFERROR(VLOOKUP(C488, [6]條件!$A:$L, 6, 0), "")</f>
        <v>FP81857R</v>
      </c>
      <c r="G488" s="1411">
        <f>IFERROR(VLOOKUP(C488, [6]條件!$A:$L, 7, 0), "")</f>
        <v>600</v>
      </c>
      <c r="H488" s="978" t="str">
        <f>IF(ISNA(VLOOKUP(C488,[6]條件!$A$1:$K$932,11,0)),"",(VLOOKUP(C488,[6]條件!$A$1:$K$932,11,0)))</f>
        <v>白底綠方塊</v>
      </c>
      <c r="I488" s="979">
        <f>IF(ISNA(VLOOKUP(C488,[6]條件!$A$1:$L$932,12,0)),"",(VLOOKUP(C488,[6]條件!$A$1:$L$932,12,0)))</f>
        <v>4</v>
      </c>
      <c r="J488" s="982">
        <v>19</v>
      </c>
      <c r="K488" s="980">
        <v>0</v>
      </c>
      <c r="L488" s="981">
        <v>8174</v>
      </c>
      <c r="M488" s="983">
        <v>8841</v>
      </c>
      <c r="N488" s="982">
        <v>16</v>
      </c>
      <c r="O488" s="980">
        <v>0</v>
      </c>
      <c r="P488" s="981">
        <v>8342</v>
      </c>
      <c r="Q488" s="983">
        <v>8731</v>
      </c>
      <c r="R488" s="982">
        <v>12</v>
      </c>
      <c r="S488" s="980">
        <v>2</v>
      </c>
      <c r="T488" s="981">
        <v>8343</v>
      </c>
      <c r="U488" s="983">
        <v>8742</v>
      </c>
      <c r="V488" s="982">
        <v>21</v>
      </c>
      <c r="W488" s="980">
        <v>1</v>
      </c>
      <c r="X488" s="981">
        <v>8435</v>
      </c>
      <c r="Y488" s="983">
        <v>8591</v>
      </c>
      <c r="Z488" s="1412">
        <f>IFERROR(VLOOKUP(C488, [6]條件!$A:$L, 3, 0), "")</f>
        <v>1.7496962332928312</v>
      </c>
      <c r="AA488" s="984">
        <f>IF(OR(L488={"改紡","檢修","了機","清車","FINAL","停機","SAMPLE","TEST","絲開發"}), L488, IFERROR(IF(C488="", "", (SUM(J488, N488, R488, V488)/3 * AG488) * IF(AND(AF488="S", AS488="雙"), 0.5, 1)), ""))</f>
        <v>22.666666666666668</v>
      </c>
      <c r="AB488" s="1413">
        <f t="shared" si="86"/>
        <v>0.99175681089743595</v>
      </c>
      <c r="AC488" s="984">
        <f>IF(OR(L488={"改紡","檢修","了機","清車","FINAL","停機","SAMPLE","TEST"}), "", IFERROR(IF(C488="", "", AVERAGE(L488:M488, P488:Q488, T488:U488, X488:Y488)/100), ""))</f>
        <v>85.248750000000001</v>
      </c>
      <c r="AD488" s="984">
        <f t="shared" si="80"/>
        <v>2.8333333333333335</v>
      </c>
      <c r="AE488" s="984">
        <f t="shared" si="87"/>
        <v>2.7083333333333335</v>
      </c>
      <c r="AF488" s="985" t="str">
        <f t="shared" si="81"/>
        <v>A</v>
      </c>
      <c r="AG488" s="1414">
        <v>1</v>
      </c>
      <c r="AH488" s="981" t="s">
        <v>641</v>
      </c>
      <c r="AI488" s="986" t="s">
        <v>641</v>
      </c>
      <c r="AJ488" s="986" t="s">
        <v>634</v>
      </c>
      <c r="AK488" s="1417" t="s">
        <v>634</v>
      </c>
      <c r="AL488" s="1415">
        <v>54</v>
      </c>
      <c r="AM488" s="1323">
        <v>45942</v>
      </c>
      <c r="AN488" s="1323">
        <v>46004</v>
      </c>
      <c r="AO488" s="1323">
        <v>45944</v>
      </c>
      <c r="AP488" s="1323"/>
      <c r="AQ488" s="1323"/>
      <c r="AR488" s="987"/>
      <c r="AS488" s="978" t="str">
        <f t="shared" si="82"/>
        <v>單</v>
      </c>
      <c r="AT488" s="978" t="str">
        <f t="shared" si="83"/>
        <v>全</v>
      </c>
      <c r="AU488" s="978">
        <f t="shared" si="84"/>
        <v>75</v>
      </c>
      <c r="AV488" s="978">
        <f t="shared" si="85"/>
        <v>1.3257885599999999</v>
      </c>
    </row>
    <row r="489" spans="1:48">
      <c r="A489" s="975">
        <f t="shared" si="88"/>
        <v>46155</v>
      </c>
      <c r="B489" s="976" t="s">
        <v>218</v>
      </c>
      <c r="C489" s="976" t="s">
        <v>632</v>
      </c>
      <c r="D489" s="1410"/>
      <c r="E489" s="977" t="str">
        <f>IFERROR(VLOOKUP(C489, [6]條件!$A:$L, 5, 0), "")</f>
        <v/>
      </c>
      <c r="F489" s="978" t="str">
        <f>IFERROR(VLOOKUP(C489, [6]條件!$A:$L, 6, 0), "")</f>
        <v/>
      </c>
      <c r="G489" s="1411" t="str">
        <f>IFERROR(VLOOKUP(C489, [6]條件!$A:$L, 7, 0), "")</f>
        <v/>
      </c>
      <c r="H489" s="978" t="str">
        <f>IF(ISNA(VLOOKUP(C489,[6]條件!$A$1:$K$932,11,0)),"",(VLOOKUP(C489,[6]條件!$A$1:$K$932,11,0)))</f>
        <v/>
      </c>
      <c r="I489" s="979" t="str">
        <f>IF(ISNA(VLOOKUP(C489,[6]條件!$A$1:$L$932,12,0)),"",(VLOOKUP(C489,[6]條件!$A$1:$L$932,12,0)))</f>
        <v/>
      </c>
      <c r="J489" s="982"/>
      <c r="K489" s="980"/>
      <c r="L489" s="981" t="s">
        <v>632</v>
      </c>
      <c r="M489" s="983"/>
      <c r="N489" s="982"/>
      <c r="O489" s="980"/>
      <c r="P489" s="981" t="s">
        <v>632</v>
      </c>
      <c r="Q489" s="983"/>
      <c r="R489" s="982"/>
      <c r="S489" s="980"/>
      <c r="T489" s="981" t="s">
        <v>632</v>
      </c>
      <c r="U489" s="983"/>
      <c r="V489" s="982"/>
      <c r="W489" s="980"/>
      <c r="X489" s="981" t="s">
        <v>632</v>
      </c>
      <c r="Y489" s="983"/>
      <c r="Z489" s="1412" t="str">
        <f>IFERROR(VLOOKUP(C489, [6]條件!$A:$L, 3, 0), "")</f>
        <v/>
      </c>
      <c r="AA489" s="984" t="str">
        <f>IF(OR(L489={"改紡","檢修","了機","清車","FINAL","停機","SAMPLE","TEST","絲開發"}), L489, IFERROR(IF(C489="", "", (SUM(J489, N489, R489, V489)/3 * AG489) * IF(AND(AF489="S", AS489="雙"), 0.5, 1)), ""))</f>
        <v>停機</v>
      </c>
      <c r="AB489" s="1413" t="str">
        <f t="shared" si="86"/>
        <v/>
      </c>
      <c r="AC489" s="984" t="str">
        <f>IF(OR(L489={"改紡","檢修","了機","清車","FINAL","停機","SAMPLE","TEST"}), "", IFERROR(IF(C489="", "", AVERAGE(L489:M489, P489:Q489, T489:U489, X489:Y489)/100), ""))</f>
        <v/>
      </c>
      <c r="AD489" s="984" t="str">
        <f t="shared" si="80"/>
        <v/>
      </c>
      <c r="AE489" s="984" t="str">
        <f t="shared" si="87"/>
        <v/>
      </c>
      <c r="AF489" s="985" t="str">
        <f t="shared" si="81"/>
        <v>A</v>
      </c>
      <c r="AG489" s="1414">
        <v>1</v>
      </c>
      <c r="AH489" s="981" t="s">
        <v>640</v>
      </c>
      <c r="AI489" s="986" t="s">
        <v>640</v>
      </c>
      <c r="AJ489" s="986" t="s">
        <v>640</v>
      </c>
      <c r="AK489" s="1417" t="s">
        <v>640</v>
      </c>
      <c r="AL489" s="1415"/>
      <c r="AM489" s="1323"/>
      <c r="AN489" s="1323"/>
      <c r="AO489" s="1323"/>
      <c r="AP489" s="1323"/>
      <c r="AQ489" s="1323"/>
      <c r="AR489" s="987"/>
      <c r="AS489" s="978" t="str">
        <f t="shared" si="82"/>
        <v>單</v>
      </c>
      <c r="AT489" s="978" t="str">
        <f t="shared" si="83"/>
        <v>全</v>
      </c>
      <c r="AU489" s="978" t="str">
        <f t="shared" si="84"/>
        <v/>
      </c>
      <c r="AV489" s="978" t="str">
        <f t="shared" si="85"/>
        <v/>
      </c>
    </row>
    <row r="490" spans="1:48">
      <c r="A490" s="975">
        <f t="shared" si="88"/>
        <v>46155</v>
      </c>
      <c r="B490" s="976" t="s">
        <v>219</v>
      </c>
      <c r="C490" s="976" t="s">
        <v>16745</v>
      </c>
      <c r="D490" s="1410" t="s">
        <v>16748</v>
      </c>
      <c r="E490" s="977" t="str">
        <f>IFERROR(VLOOKUP(C490, [6]條件!$A:$L, 5, 0), "")</f>
        <v>50/72BSD3</v>
      </c>
      <c r="F490" s="978" t="str">
        <f>IFERROR(VLOOKUP(C490, [6]條件!$A:$L, 6, 0), "")</f>
        <v>FP80141</v>
      </c>
      <c r="G490" s="1411">
        <f>IFERROR(VLOOKUP(C490, [6]條件!$A:$L, 7, 0), "")</f>
        <v>630</v>
      </c>
      <c r="H490" s="978" t="str">
        <f>IF(ISNA(VLOOKUP(C490,[6]條件!$A$1:$K$932,11,0)),"",(VLOOKUP(C490,[6]條件!$A$1:$K$932,11,0)))</f>
        <v>洋綠色</v>
      </c>
      <c r="I490" s="979">
        <f>IF(ISNA(VLOOKUP(C490,[6]條件!$A$1:$L$932,12,0)),"",(VLOOKUP(C490,[6]條件!$A$1:$L$932,12,0)))</f>
        <v>2</v>
      </c>
      <c r="J490" s="982">
        <v>14</v>
      </c>
      <c r="K490" s="980">
        <v>0</v>
      </c>
      <c r="L490" s="981">
        <v>9787</v>
      </c>
      <c r="M490" s="983">
        <v>9548</v>
      </c>
      <c r="N490" s="982">
        <v>13</v>
      </c>
      <c r="O490" s="980">
        <v>0</v>
      </c>
      <c r="P490" s="981">
        <v>9242</v>
      </c>
      <c r="Q490" s="983">
        <v>9666</v>
      </c>
      <c r="R490" s="982">
        <v>6</v>
      </c>
      <c r="S490" s="980">
        <v>0</v>
      </c>
      <c r="T490" s="981">
        <v>9678</v>
      </c>
      <c r="U490" s="983">
        <v>9610</v>
      </c>
      <c r="V490" s="982">
        <v>14</v>
      </c>
      <c r="W490" s="980">
        <v>0</v>
      </c>
      <c r="X490" s="981">
        <v>9673</v>
      </c>
      <c r="Y490" s="983">
        <v>9661</v>
      </c>
      <c r="Z490" s="1412">
        <f>IFERROR(VLOOKUP(C490, [6]條件!$A:$L, 3, 0), "")</f>
        <v>2.4615384615384617</v>
      </c>
      <c r="AA490" s="984">
        <f>IF(OR(L490={"改紡","檢修","了機","清車","FINAL","停機","SAMPLE","TEST","絲開發"}), L490, IFERROR(IF(C490="", "", (SUM(J490, N490, R490, V490)/3 * AG490) * IF(AND(AF490="S", AS490="雙"), 0.5, 1)), ""))</f>
        <v>15.666666666666666</v>
      </c>
      <c r="AB490" s="1413">
        <f t="shared" si="86"/>
        <v>1</v>
      </c>
      <c r="AC490" s="984">
        <f>IF(OR(L490={"改紡","檢修","了機","清車","FINAL","停機","SAMPLE","TEST"}), "", IFERROR(IF(C490="", "", AVERAGE(L490:M490, P490:Q490, T490:U490, X490:Y490)/100), ""))</f>
        <v>96.081249999999997</v>
      </c>
      <c r="AD490" s="984">
        <f t="shared" si="80"/>
        <v>1.9583333333333333</v>
      </c>
      <c r="AE490" s="984">
        <f t="shared" si="87"/>
        <v>1.9583333333333333</v>
      </c>
      <c r="AF490" s="985" t="str">
        <f t="shared" si="81"/>
        <v>A</v>
      </c>
      <c r="AG490" s="1414">
        <v>1</v>
      </c>
      <c r="AH490" s="981" t="s">
        <v>16154</v>
      </c>
      <c r="AI490" s="986" t="s">
        <v>629</v>
      </c>
      <c r="AJ490" s="986" t="s">
        <v>15368</v>
      </c>
      <c r="AK490" s="1417" t="s">
        <v>15368</v>
      </c>
      <c r="AL490" s="1415">
        <v>57</v>
      </c>
      <c r="AM490" s="1324">
        <v>46089</v>
      </c>
      <c r="AN490" s="1323">
        <v>46090</v>
      </c>
      <c r="AO490" s="1323"/>
      <c r="AP490" s="1323"/>
      <c r="AQ490" s="1323"/>
      <c r="AR490" s="987"/>
      <c r="AS490" s="978" t="str">
        <f t="shared" si="82"/>
        <v>單</v>
      </c>
      <c r="AT490" s="978" t="str">
        <f t="shared" si="83"/>
        <v>全</v>
      </c>
      <c r="AU490" s="978">
        <f t="shared" si="84"/>
        <v>50</v>
      </c>
      <c r="AV490" s="978">
        <f t="shared" si="85"/>
        <v>1.04597892</v>
      </c>
    </row>
    <row r="491" spans="1:48">
      <c r="A491" s="975">
        <f t="shared" si="88"/>
        <v>46155</v>
      </c>
      <c r="B491" s="976" t="s">
        <v>220</v>
      </c>
      <c r="C491" s="976" t="s">
        <v>632</v>
      </c>
      <c r="D491" s="1410"/>
      <c r="E491" s="977" t="str">
        <f>IFERROR(VLOOKUP(C491, [6]條件!$A:$L, 5, 0), "")</f>
        <v/>
      </c>
      <c r="F491" s="978" t="str">
        <f>IFERROR(VLOOKUP(C491, [6]條件!$A:$L, 6, 0), "")</f>
        <v/>
      </c>
      <c r="G491" s="1411" t="str">
        <f>IFERROR(VLOOKUP(C491, [6]條件!$A:$L, 7, 0), "")</f>
        <v/>
      </c>
      <c r="H491" s="978" t="str">
        <f>IF(ISNA(VLOOKUP(C491,[6]條件!$A$1:$K$932,11,0)),"",(VLOOKUP(C491,[6]條件!$A$1:$K$932,11,0)))</f>
        <v/>
      </c>
      <c r="I491" s="979" t="str">
        <f>IF(ISNA(VLOOKUP(C491,[6]條件!$A$1:$L$932,12,0)),"",(VLOOKUP(C491,[6]條件!$A$1:$L$932,12,0)))</f>
        <v/>
      </c>
      <c r="J491" s="982"/>
      <c r="K491" s="980"/>
      <c r="L491" s="981" t="s">
        <v>632</v>
      </c>
      <c r="M491" s="983"/>
      <c r="N491" s="982"/>
      <c r="O491" s="980"/>
      <c r="P491" s="981" t="s">
        <v>632</v>
      </c>
      <c r="Q491" s="983"/>
      <c r="R491" s="982"/>
      <c r="S491" s="980"/>
      <c r="T491" s="981" t="s">
        <v>632</v>
      </c>
      <c r="U491" s="983"/>
      <c r="V491" s="982"/>
      <c r="W491" s="980"/>
      <c r="X491" s="981" t="s">
        <v>632</v>
      </c>
      <c r="Y491" s="983"/>
      <c r="Z491" s="1412" t="str">
        <f>IFERROR(VLOOKUP(C491, [6]條件!$A:$L, 3, 0), "")</f>
        <v/>
      </c>
      <c r="AA491" s="984" t="str">
        <f>IF(OR(L491={"改紡","檢修","了機","清車","FINAL","停機","SAMPLE","TEST","絲開發"}), L491, IFERROR(IF(C491="", "", (SUM(J491, N491, R491, V491)/3 * AG491) * IF(AND(AF491="S", AS491="雙"), 0.5, 1)), ""))</f>
        <v>停機</v>
      </c>
      <c r="AB491" s="1413" t="str">
        <f t="shared" si="86"/>
        <v/>
      </c>
      <c r="AC491" s="984" t="str">
        <f>IF(OR(L491={"改紡","檢修","了機","清車","FINAL","停機","SAMPLE","TEST"}), "", IFERROR(IF(C491="", "", AVERAGE(L491:M491, P491:Q491, T491:U491, X491:Y491)/100), ""))</f>
        <v/>
      </c>
      <c r="AD491" s="984" t="str">
        <f t="shared" si="80"/>
        <v/>
      </c>
      <c r="AE491" s="984" t="str">
        <f t="shared" si="87"/>
        <v/>
      </c>
      <c r="AF491" s="985" t="str">
        <f t="shared" si="81"/>
        <v>A</v>
      </c>
      <c r="AG491" s="1414">
        <v>1</v>
      </c>
      <c r="AH491" s="981" t="s">
        <v>640</v>
      </c>
      <c r="AI491" s="986" t="s">
        <v>640</v>
      </c>
      <c r="AJ491" s="986" t="s">
        <v>640</v>
      </c>
      <c r="AK491" s="1417" t="s">
        <v>640</v>
      </c>
      <c r="AL491" s="1415"/>
      <c r="AM491" s="1323"/>
      <c r="AN491" s="1323"/>
      <c r="AO491" s="1323"/>
      <c r="AP491" s="1323"/>
      <c r="AQ491" s="1323"/>
      <c r="AR491" s="987"/>
      <c r="AS491" s="978" t="str">
        <f t="shared" si="82"/>
        <v>單</v>
      </c>
      <c r="AT491" s="978" t="str">
        <f t="shared" si="83"/>
        <v>全</v>
      </c>
      <c r="AU491" s="978" t="str">
        <f t="shared" si="84"/>
        <v/>
      </c>
      <c r="AV491" s="978" t="str">
        <f t="shared" si="85"/>
        <v/>
      </c>
    </row>
    <row r="492" spans="1:48">
      <c r="A492" s="975">
        <f t="shared" si="88"/>
        <v>46155</v>
      </c>
      <c r="B492" s="976" t="s">
        <v>221</v>
      </c>
      <c r="C492" s="976" t="s">
        <v>16763</v>
      </c>
      <c r="D492" s="1410"/>
      <c r="E492" s="977" t="str">
        <f>IFERROR(VLOOKUP(C492, [6]條件!$A:$L, 5, 0), "")</f>
        <v>150/48CDR</v>
      </c>
      <c r="F492" s="978" t="str">
        <f>IFERROR(VLOOKUP(C492, [6]條件!$A:$L, 6, 0), "")</f>
        <v>FP82781</v>
      </c>
      <c r="G492" s="1411">
        <f>IFERROR(VLOOKUP(C492, [6]條件!$A:$L, 7, 0), "")</f>
        <v>600</v>
      </c>
      <c r="H492" s="978" t="str">
        <f>IF(ISNA(VLOOKUP(C492,[6]條件!$A$1:$K$932,11,0)),"",(VLOOKUP(C492,[6]條件!$A$1:$K$932,11,0)))</f>
        <v>綠藍雙色</v>
      </c>
      <c r="I492" s="979">
        <f>IF(ISNA(VLOOKUP(C492,[6]條件!$A$1:$L$932,12,0)),"",(VLOOKUP(C492,[6]條件!$A$1:$L$932,12,0)))</f>
        <v>5</v>
      </c>
      <c r="J492" s="982">
        <v>16</v>
      </c>
      <c r="K492" s="980">
        <v>0</v>
      </c>
      <c r="L492" s="981">
        <v>8304</v>
      </c>
      <c r="M492" s="983">
        <v>8053</v>
      </c>
      <c r="N492" s="982">
        <v>3</v>
      </c>
      <c r="O492" s="980">
        <v>0</v>
      </c>
      <c r="P492" s="981">
        <v>8595</v>
      </c>
      <c r="Q492" s="983">
        <v>8216</v>
      </c>
      <c r="R492" s="982">
        <v>2</v>
      </c>
      <c r="S492" s="980">
        <v>0</v>
      </c>
      <c r="T492" s="981">
        <v>8604</v>
      </c>
      <c r="U492" s="983">
        <v>8203</v>
      </c>
      <c r="V492" s="982">
        <v>12</v>
      </c>
      <c r="W492" s="980">
        <v>0</v>
      </c>
      <c r="X492" s="981">
        <v>8261</v>
      </c>
      <c r="Y492" s="983">
        <v>8149</v>
      </c>
      <c r="Z492" s="1412">
        <f>IFERROR(VLOOKUP(C492, [6]條件!$A:$L, 3, 0), "")</f>
        <v>2.8685258964143427</v>
      </c>
      <c r="AA492" s="984">
        <f>IF(OR(L492={"改紡","檢修","了機","清車","FINAL","停機","SAMPLE","TEST","絲開發"}), L492, IFERROR(IF(C492="", "", (SUM(J492, N492, R492, V492)/3 * AG492) * IF(AND(AF492="S", AS492="雙"), 0.5, 1)), ""))</f>
        <v>11</v>
      </c>
      <c r="AB492" s="1413">
        <f t="shared" si="86"/>
        <v>1</v>
      </c>
      <c r="AC492" s="984">
        <f>IF(OR(L492={"改紡","檢修","了機","清車","FINAL","停機","SAMPLE","TEST"}), "", IFERROR(IF(C492="", "", AVERAGE(L492:M492, P492:Q492, T492:U492, X492:Y492)/100), ""))</f>
        <v>82.981250000000003</v>
      </c>
      <c r="AD492" s="984">
        <f t="shared" si="80"/>
        <v>1.375</v>
      </c>
      <c r="AE492" s="984">
        <f t="shared" si="87"/>
        <v>1.375</v>
      </c>
      <c r="AF492" s="985" t="str">
        <f t="shared" si="81"/>
        <v>A</v>
      </c>
      <c r="AG492" s="1414">
        <v>1</v>
      </c>
      <c r="AH492" s="981" t="s">
        <v>16154</v>
      </c>
      <c r="AI492" s="986" t="s">
        <v>629</v>
      </c>
      <c r="AJ492" s="986" t="s">
        <v>15368</v>
      </c>
      <c r="AK492" s="1417" t="s">
        <v>15368</v>
      </c>
      <c r="AL492" s="1415">
        <v>54</v>
      </c>
      <c r="AM492" s="1323">
        <v>46152</v>
      </c>
      <c r="AN492" s="1323">
        <v>46153</v>
      </c>
      <c r="AO492" s="1323">
        <v>46154</v>
      </c>
      <c r="AP492" s="1323"/>
      <c r="AQ492" s="1323"/>
      <c r="AR492" s="987"/>
      <c r="AS492" s="978" t="str">
        <f t="shared" si="82"/>
        <v>單</v>
      </c>
      <c r="AT492" s="978" t="str">
        <f t="shared" si="83"/>
        <v>全</v>
      </c>
      <c r="AU492" s="978">
        <f t="shared" si="84"/>
        <v>150</v>
      </c>
      <c r="AV492" s="978">
        <f t="shared" si="85"/>
        <v>2.5810488</v>
      </c>
    </row>
    <row r="493" spans="1:48">
      <c r="A493" s="975">
        <f t="shared" si="88"/>
        <v>46155</v>
      </c>
      <c r="B493" s="976" t="s">
        <v>222</v>
      </c>
      <c r="C493" s="976" t="s">
        <v>632</v>
      </c>
      <c r="D493" s="1410"/>
      <c r="E493" s="977" t="str">
        <f>IFERROR(VLOOKUP(C493, [6]條件!$A:$L, 5, 0), "")</f>
        <v/>
      </c>
      <c r="F493" s="978" t="str">
        <f>IFERROR(VLOOKUP(C493, [6]條件!$A:$L, 6, 0), "")</f>
        <v/>
      </c>
      <c r="G493" s="1411" t="str">
        <f>IFERROR(VLOOKUP(C493, [6]條件!$A:$L, 7, 0), "")</f>
        <v/>
      </c>
      <c r="H493" s="978" t="str">
        <f>IF(ISNA(VLOOKUP(C493,[6]條件!$A$1:$K$932,11,0)),"",(VLOOKUP(C493,[6]條件!$A$1:$K$932,11,0)))</f>
        <v/>
      </c>
      <c r="I493" s="979" t="str">
        <f>IF(ISNA(VLOOKUP(C493,[6]條件!$A$1:$L$932,12,0)),"",(VLOOKUP(C493,[6]條件!$A$1:$L$932,12,0)))</f>
        <v/>
      </c>
      <c r="J493" s="982"/>
      <c r="K493" s="980"/>
      <c r="L493" s="981" t="s">
        <v>632</v>
      </c>
      <c r="M493" s="983"/>
      <c r="N493" s="982"/>
      <c r="O493" s="980"/>
      <c r="P493" s="981" t="s">
        <v>632</v>
      </c>
      <c r="Q493" s="983"/>
      <c r="R493" s="982"/>
      <c r="S493" s="980"/>
      <c r="T493" s="981" t="s">
        <v>632</v>
      </c>
      <c r="U493" s="983"/>
      <c r="V493" s="982"/>
      <c r="W493" s="980"/>
      <c r="X493" s="981" t="s">
        <v>632</v>
      </c>
      <c r="Y493" s="983"/>
      <c r="Z493" s="1412" t="str">
        <f>IFERROR(VLOOKUP(C493, [6]條件!$A:$L, 3, 0), "")</f>
        <v/>
      </c>
      <c r="AA493" s="984" t="str">
        <f>IF(OR(L493={"改紡","檢修","了機","清車","FINAL","停機","SAMPLE","TEST","絲開發"}), L493, IFERROR(IF(C493="", "", (SUM(J493, N493, R493, V493)/3 * AG493) * IF(AND(AF493="S", AS493="雙"), 0.5, 1)), ""))</f>
        <v>停機</v>
      </c>
      <c r="AB493" s="1413" t="str">
        <f t="shared" si="86"/>
        <v/>
      </c>
      <c r="AC493" s="984" t="str">
        <f>IF(OR(L493={"改紡","檢修","了機","清車","FINAL","停機","SAMPLE","TEST"}), "", IFERROR(IF(C493="", "", AVERAGE(L493:M493, P493:Q493, T493:U493, X493:Y493)/100), ""))</f>
        <v/>
      </c>
      <c r="AD493" s="984" t="str">
        <f t="shared" si="80"/>
        <v/>
      </c>
      <c r="AE493" s="984" t="str">
        <f t="shared" si="87"/>
        <v/>
      </c>
      <c r="AF493" s="985" t="str">
        <f t="shared" si="81"/>
        <v>A</v>
      </c>
      <c r="AG493" s="1414">
        <v>1</v>
      </c>
      <c r="AH493" s="981" t="s">
        <v>640</v>
      </c>
      <c r="AI493" s="986" t="s">
        <v>640</v>
      </c>
      <c r="AJ493" s="986" t="s">
        <v>640</v>
      </c>
      <c r="AK493" s="1417" t="s">
        <v>640</v>
      </c>
      <c r="AL493" s="1415"/>
      <c r="AM493" s="1323"/>
      <c r="AN493" s="1323"/>
      <c r="AO493" s="1323"/>
      <c r="AP493" s="1323"/>
      <c r="AQ493" s="1323"/>
      <c r="AR493" s="987"/>
      <c r="AS493" s="978" t="str">
        <f t="shared" si="82"/>
        <v>單</v>
      </c>
      <c r="AT493" s="978" t="str">
        <f t="shared" si="83"/>
        <v>全</v>
      </c>
      <c r="AU493" s="978" t="str">
        <f t="shared" si="84"/>
        <v/>
      </c>
      <c r="AV493" s="978" t="str">
        <f t="shared" si="85"/>
        <v/>
      </c>
    </row>
    <row r="494" spans="1:48">
      <c r="A494" s="975">
        <f t="shared" si="88"/>
        <v>46155</v>
      </c>
      <c r="B494" s="976" t="s">
        <v>223</v>
      </c>
      <c r="C494" s="976" t="s">
        <v>632</v>
      </c>
      <c r="D494" s="1410"/>
      <c r="E494" s="977" t="str">
        <f>IFERROR(VLOOKUP(C494, [6]條件!$A:$L, 5, 0), "")</f>
        <v/>
      </c>
      <c r="F494" s="978" t="str">
        <f>IFERROR(VLOOKUP(C494, [6]條件!$A:$L, 6, 0), "")</f>
        <v/>
      </c>
      <c r="G494" s="1411" t="str">
        <f>IFERROR(VLOOKUP(C494, [6]條件!$A:$L, 7, 0), "")</f>
        <v/>
      </c>
      <c r="H494" s="978" t="str">
        <f>IF(ISNA(VLOOKUP(C494,[6]條件!$A$1:$K$932,11,0)),"",(VLOOKUP(C494,[6]條件!$A$1:$K$932,11,0)))</f>
        <v/>
      </c>
      <c r="I494" s="979" t="str">
        <f>IF(ISNA(VLOOKUP(C494,[6]條件!$A$1:$L$932,12,0)),"",(VLOOKUP(C494,[6]條件!$A$1:$L$932,12,0)))</f>
        <v/>
      </c>
      <c r="J494" s="982"/>
      <c r="K494" s="980"/>
      <c r="L494" s="981" t="s">
        <v>632</v>
      </c>
      <c r="M494" s="983"/>
      <c r="N494" s="982"/>
      <c r="O494" s="980"/>
      <c r="P494" s="981" t="s">
        <v>632</v>
      </c>
      <c r="Q494" s="983"/>
      <c r="R494" s="982"/>
      <c r="S494" s="980"/>
      <c r="T494" s="981" t="s">
        <v>632</v>
      </c>
      <c r="U494" s="983"/>
      <c r="V494" s="982"/>
      <c r="W494" s="980"/>
      <c r="X494" s="981" t="s">
        <v>632</v>
      </c>
      <c r="Y494" s="983"/>
      <c r="Z494" s="1412" t="str">
        <f>IFERROR(VLOOKUP(C494, [6]條件!$A:$L, 3, 0), "")</f>
        <v/>
      </c>
      <c r="AA494" s="984" t="str">
        <f>IF(OR(L494={"改紡","檢修","了機","清車","FINAL","停機","SAMPLE","TEST","絲開發"}), L494, IFERROR(IF(C494="", "", (SUM(J494, N494, R494, V494)/3 * AG494) * IF(AND(AF494="S", AS494="雙"), 0.5, 1)), ""))</f>
        <v>停機</v>
      </c>
      <c r="AB494" s="1413" t="str">
        <f t="shared" si="86"/>
        <v/>
      </c>
      <c r="AC494" s="984" t="str">
        <f>IF(OR(L494={"改紡","檢修","了機","清車","FINAL","停機","SAMPLE","TEST"}), "", IFERROR(IF(C494="", "", AVERAGE(L494:M494, P494:Q494, T494:U494, X494:Y494)/100), ""))</f>
        <v/>
      </c>
      <c r="AD494" s="984" t="str">
        <f t="shared" si="80"/>
        <v/>
      </c>
      <c r="AE494" s="984" t="str">
        <f t="shared" si="87"/>
        <v/>
      </c>
      <c r="AF494" s="985" t="str">
        <f t="shared" si="81"/>
        <v>A</v>
      </c>
      <c r="AG494" s="1414">
        <v>1</v>
      </c>
      <c r="AH494" s="981" t="s">
        <v>640</v>
      </c>
      <c r="AI494" s="986" t="s">
        <v>640</v>
      </c>
      <c r="AJ494" s="986" t="s">
        <v>640</v>
      </c>
      <c r="AK494" s="1417" t="s">
        <v>640</v>
      </c>
      <c r="AL494" s="1415"/>
      <c r="AM494" s="1324"/>
      <c r="AN494" s="1323"/>
      <c r="AO494" s="1323"/>
      <c r="AP494" s="1323"/>
      <c r="AQ494" s="1323"/>
      <c r="AR494" s="987"/>
      <c r="AS494" s="978" t="str">
        <f t="shared" si="82"/>
        <v>單</v>
      </c>
      <c r="AT494" s="978" t="str">
        <f t="shared" si="83"/>
        <v>全</v>
      </c>
      <c r="AU494" s="978" t="str">
        <f t="shared" si="84"/>
        <v/>
      </c>
      <c r="AV494" s="978" t="str">
        <f t="shared" si="85"/>
        <v/>
      </c>
    </row>
    <row r="495" spans="1:48">
      <c r="A495" s="975">
        <f t="shared" si="88"/>
        <v>46155</v>
      </c>
      <c r="B495" s="976" t="s">
        <v>224</v>
      </c>
      <c r="C495" s="976" t="s">
        <v>16734</v>
      </c>
      <c r="D495" s="1410" t="s">
        <v>633</v>
      </c>
      <c r="E495" s="977" t="str">
        <f>IFERROR(VLOOKUP(C495, [6]條件!$A:$L, 5, 0), "")</f>
        <v>75/24/2SDr</v>
      </c>
      <c r="F495" s="978" t="str">
        <f>IFERROR(VLOOKUP(C495, [6]條件!$A:$L, 6, 0), "")</f>
        <v>FP81382R×2</v>
      </c>
      <c r="G495" s="1411">
        <f>IFERROR(VLOOKUP(C495, [6]條件!$A:$L, 7, 0), "")</f>
        <v>700</v>
      </c>
      <c r="H495" s="978" t="str">
        <f>IF(ISNA(VLOOKUP(C495,[6]條件!$A$1:$K$932,11,0)),"",(VLOOKUP(C495,[6]條件!$A$1:$K$932,11,0)))</f>
        <v>白底紫三角</v>
      </c>
      <c r="I495" s="979">
        <f>IF(ISNA(VLOOKUP(C495,[6]條件!$A$1:$L$932,12,0)),"",(VLOOKUP(C495,[6]條件!$A$1:$L$932,12,0)))</f>
        <v>5</v>
      </c>
      <c r="J495" s="982">
        <v>30</v>
      </c>
      <c r="K495" s="980">
        <v>0</v>
      </c>
      <c r="L495" s="981">
        <v>9142</v>
      </c>
      <c r="M495" s="983">
        <v>8448</v>
      </c>
      <c r="N495" s="982">
        <v>18</v>
      </c>
      <c r="O495" s="980">
        <v>0</v>
      </c>
      <c r="P495" s="981">
        <v>9315</v>
      </c>
      <c r="Q495" s="983">
        <v>8754</v>
      </c>
      <c r="R495" s="982">
        <v>20</v>
      </c>
      <c r="S495" s="980">
        <v>0</v>
      </c>
      <c r="T495" s="981">
        <v>9305</v>
      </c>
      <c r="U495" s="983">
        <v>8709</v>
      </c>
      <c r="V495" s="982">
        <v>18</v>
      </c>
      <c r="W495" s="980">
        <v>0</v>
      </c>
      <c r="X495" s="981">
        <v>9431</v>
      </c>
      <c r="Y495" s="983">
        <v>8629</v>
      </c>
      <c r="Z495" s="1412">
        <f>IFERROR(VLOOKUP(C495, [6]條件!$A:$L, 3, 0), "")</f>
        <v>3.2653061224489797</v>
      </c>
      <c r="AA495" s="984">
        <f>IF(OR(L495={"改紡","檢修","了機","清車","FINAL","停機","SAMPLE","TEST","絲開發"}), L495, IFERROR(IF(C495="", "", (SUM(J495, N495, R495, V495)/3 * AG495) * IF(AND(AF495="S", AS495="雙"), 0.5, 1)), ""))</f>
        <v>14.333333333333334</v>
      </c>
      <c r="AB495" s="1413">
        <f t="shared" si="86"/>
        <v>1</v>
      </c>
      <c r="AC495" s="984">
        <f>IF(OR(L495={"改紡","檢修","了機","清車","FINAL","停機","SAMPLE","TEST"}), "", IFERROR(IF(C495="", "", AVERAGE(L495:M495, P495:Q495, T495:U495, X495:Y495)/100), ""))</f>
        <v>89.666250000000005</v>
      </c>
      <c r="AD495" s="984">
        <f t="shared" si="80"/>
        <v>1.7916666666666667</v>
      </c>
      <c r="AE495" s="984">
        <f t="shared" si="87"/>
        <v>1.7916666666666667</v>
      </c>
      <c r="AF495" s="985" t="str">
        <f t="shared" si="81"/>
        <v>A</v>
      </c>
      <c r="AG495" s="1414">
        <v>0.5</v>
      </c>
      <c r="AH495" s="981" t="s">
        <v>641</v>
      </c>
      <c r="AI495" s="986" t="s">
        <v>641</v>
      </c>
      <c r="AJ495" s="986" t="s">
        <v>634</v>
      </c>
      <c r="AK495" s="1417" t="s">
        <v>634</v>
      </c>
      <c r="AL495" s="1415">
        <v>50</v>
      </c>
      <c r="AM495" s="1323">
        <v>46104</v>
      </c>
      <c r="AN495" s="1323">
        <v>46105</v>
      </c>
      <c r="AO495" s="1323">
        <v>46109</v>
      </c>
      <c r="AP495" s="1323">
        <v>46110</v>
      </c>
      <c r="AQ495" s="1323"/>
      <c r="AR495" s="987"/>
      <c r="AS495" s="978" t="str">
        <f t="shared" si="82"/>
        <v>雙</v>
      </c>
      <c r="AT495" s="978" t="str">
        <f t="shared" si="83"/>
        <v>全</v>
      </c>
      <c r="AU495" s="978">
        <f t="shared" si="84"/>
        <v>75</v>
      </c>
      <c r="AV495" s="978">
        <f t="shared" si="85"/>
        <v>1.6269044399999999</v>
      </c>
    </row>
    <row r="496" spans="1:48">
      <c r="A496" s="975">
        <f t="shared" si="88"/>
        <v>46155</v>
      </c>
      <c r="B496" s="976" t="s">
        <v>225</v>
      </c>
      <c r="C496" s="976" t="s">
        <v>16747</v>
      </c>
      <c r="D496" s="1410"/>
      <c r="E496" s="977" t="str">
        <f>IFERROR(VLOOKUP(C496, [6]條件!$A:$L, 5, 0), "")</f>
        <v>150/48SDR</v>
      </c>
      <c r="F496" s="978" t="str">
        <f>IFERROR(VLOOKUP(C496, [6]條件!$A:$L, 6, 0), "")</f>
        <v>FP82169R</v>
      </c>
      <c r="G496" s="1411">
        <f>IFERROR(VLOOKUP(C496, [6]條件!$A:$L, 7, 0), "")</f>
        <v>650</v>
      </c>
      <c r="H496" s="978" t="str">
        <f>IF(ISNA(VLOOKUP(C496,[6]條件!$A$1:$K$932,11,0)),"",(VLOOKUP(C496,[6]條件!$A$1:$K$932,11,0)))</f>
        <v>綠藍三角</v>
      </c>
      <c r="I496" s="979">
        <f>IF(ISNA(VLOOKUP(C496,[6]條件!$A$1:$L$932,12,0)),"",(VLOOKUP(C496,[6]條件!$A$1:$L$932,12,0)))</f>
        <v>5</v>
      </c>
      <c r="J496" s="982">
        <v>24</v>
      </c>
      <c r="K496" s="980">
        <v>3</v>
      </c>
      <c r="L496" s="981">
        <v>9212</v>
      </c>
      <c r="M496" s="983">
        <v>8801</v>
      </c>
      <c r="N496" s="982">
        <v>10</v>
      </c>
      <c r="O496" s="980">
        <v>2</v>
      </c>
      <c r="P496" s="981">
        <v>9260</v>
      </c>
      <c r="Q496" s="983">
        <v>8860</v>
      </c>
      <c r="R496" s="982">
        <v>9</v>
      </c>
      <c r="S496" s="980">
        <v>1</v>
      </c>
      <c r="T496" s="981">
        <v>8889</v>
      </c>
      <c r="U496" s="983">
        <v>8889</v>
      </c>
      <c r="V496" s="982">
        <v>17</v>
      </c>
      <c r="W496" s="980">
        <v>2</v>
      </c>
      <c r="X496" s="981">
        <v>8973</v>
      </c>
      <c r="Y496" s="983">
        <v>8840</v>
      </c>
      <c r="Z496" s="1412">
        <f>IFERROR(VLOOKUP(C496, [6]條件!$A:$L, 3, 0), "")</f>
        <v>3.0573248407643314</v>
      </c>
      <c r="AA496" s="984">
        <f>IF(OR(L496={"改紡","檢修","了機","清車","FINAL","停機","SAMPLE","TEST","絲開發"}), L496, IFERROR(IF(C496="", "", (SUM(J496, N496, R496, V496)/3 * AG496) * IF(AND(AF496="S", AS496="雙"), 0.5, 1)), ""))</f>
        <v>20</v>
      </c>
      <c r="AB496" s="1413">
        <f t="shared" si="86"/>
        <v>0.98741987179487178</v>
      </c>
      <c r="AC496" s="984">
        <f>IF(OR(L496={"改紡","檢修","了機","清車","FINAL","停機","SAMPLE","TEST"}), "", IFERROR(IF(C496="", "", AVERAGE(L496:M496, P496:Q496, T496:U496, X496:Y496)/100), ""))</f>
        <v>89.655000000000001</v>
      </c>
      <c r="AD496" s="984">
        <f t="shared" si="80"/>
        <v>2.5</v>
      </c>
      <c r="AE496" s="984">
        <f t="shared" si="87"/>
        <v>2.1666666666666665</v>
      </c>
      <c r="AF496" s="985" t="str">
        <f t="shared" si="81"/>
        <v>A</v>
      </c>
      <c r="AG496" s="1414">
        <v>1</v>
      </c>
      <c r="AH496" s="981" t="s">
        <v>637</v>
      </c>
      <c r="AI496" s="986" t="s">
        <v>637</v>
      </c>
      <c r="AJ496" s="986" t="s">
        <v>815</v>
      </c>
      <c r="AK496" s="1417" t="s">
        <v>815</v>
      </c>
      <c r="AL496" s="1415">
        <v>48</v>
      </c>
      <c r="AM496" s="1323">
        <v>46151</v>
      </c>
      <c r="AN496" s="1323">
        <v>46152</v>
      </c>
      <c r="AO496" s="1323"/>
      <c r="AP496" s="1323"/>
      <c r="AQ496" s="1323"/>
      <c r="AR496" s="987"/>
      <c r="AS496" s="978" t="str">
        <f t="shared" si="82"/>
        <v>單</v>
      </c>
      <c r="AT496" s="978" t="str">
        <f t="shared" si="83"/>
        <v>全</v>
      </c>
      <c r="AU496" s="978">
        <f t="shared" si="84"/>
        <v>150</v>
      </c>
      <c r="AV496" s="978">
        <f t="shared" si="85"/>
        <v>3.0210148800000001</v>
      </c>
    </row>
    <row r="497" spans="1:48">
      <c r="A497" s="975">
        <f t="shared" si="88"/>
        <v>46155</v>
      </c>
      <c r="B497" s="976" t="s">
        <v>226</v>
      </c>
      <c r="C497" s="976" t="s">
        <v>632</v>
      </c>
      <c r="D497" s="1410"/>
      <c r="E497" s="977" t="str">
        <f>IFERROR(VLOOKUP(C497, [6]條件!$A:$L, 5, 0), "")</f>
        <v/>
      </c>
      <c r="F497" s="978" t="str">
        <f>IFERROR(VLOOKUP(C497, [6]條件!$A:$L, 6, 0), "")</f>
        <v/>
      </c>
      <c r="G497" s="1411" t="str">
        <f>IFERROR(VLOOKUP(C497, [6]條件!$A:$L, 7, 0), "")</f>
        <v/>
      </c>
      <c r="H497" s="978" t="str">
        <f>IF(ISNA(VLOOKUP(C497,[6]條件!$A$1:$K$932,11,0)),"",(VLOOKUP(C497,[6]條件!$A$1:$K$932,11,0)))</f>
        <v/>
      </c>
      <c r="I497" s="979" t="str">
        <f>IF(ISNA(VLOOKUP(C497,[6]條件!$A$1:$L$932,12,0)),"",(VLOOKUP(C497,[6]條件!$A$1:$L$932,12,0)))</f>
        <v/>
      </c>
      <c r="J497" s="982"/>
      <c r="K497" s="980"/>
      <c r="L497" s="981" t="s">
        <v>632</v>
      </c>
      <c r="M497" s="983"/>
      <c r="N497" s="982"/>
      <c r="O497" s="980"/>
      <c r="P497" s="981" t="s">
        <v>632</v>
      </c>
      <c r="Q497" s="983"/>
      <c r="R497" s="982"/>
      <c r="S497" s="980"/>
      <c r="T497" s="981" t="s">
        <v>632</v>
      </c>
      <c r="U497" s="983"/>
      <c r="V497" s="982"/>
      <c r="W497" s="980"/>
      <c r="X497" s="981" t="s">
        <v>632</v>
      </c>
      <c r="Y497" s="983"/>
      <c r="Z497" s="1412" t="str">
        <f>IFERROR(VLOOKUP(C497, [6]條件!$A:$L, 3, 0), "")</f>
        <v/>
      </c>
      <c r="AA497" s="984" t="str">
        <f>IF(OR(L497={"改紡","檢修","了機","清車","FINAL","停機","SAMPLE","TEST","絲開發"}), L497, IFERROR(IF(C497="", "", (SUM(J497, N497, R497, V497)/3 * AG497) * IF(AND(AF497="S", AS497="雙"), 0.5, 1)), ""))</f>
        <v>停機</v>
      </c>
      <c r="AB497" s="1413" t="str">
        <f t="shared" si="86"/>
        <v/>
      </c>
      <c r="AC497" s="984" t="str">
        <f>IF(OR(L497={"改紡","檢修","了機","清車","FINAL","停機","SAMPLE","TEST"}), "", IFERROR(IF(C497="", "", AVERAGE(L497:M497, P497:Q497, T497:U497, X497:Y497)/100), ""))</f>
        <v/>
      </c>
      <c r="AD497" s="984" t="str">
        <f t="shared" si="80"/>
        <v/>
      </c>
      <c r="AE497" s="984" t="str">
        <f t="shared" si="87"/>
        <v/>
      </c>
      <c r="AF497" s="985" t="str">
        <f t="shared" si="81"/>
        <v>A</v>
      </c>
      <c r="AG497" s="1414">
        <v>1</v>
      </c>
      <c r="AH497" s="981" t="s">
        <v>640</v>
      </c>
      <c r="AI497" s="986" t="s">
        <v>640</v>
      </c>
      <c r="AJ497" s="986" t="s">
        <v>640</v>
      </c>
      <c r="AK497" s="1417" t="s">
        <v>640</v>
      </c>
      <c r="AL497" s="1415"/>
      <c r="AM497" s="1323"/>
      <c r="AN497" s="1323"/>
      <c r="AO497" s="1323"/>
      <c r="AP497" s="1323"/>
      <c r="AQ497" s="1323"/>
      <c r="AR497" s="987"/>
      <c r="AS497" s="978" t="str">
        <f t="shared" si="82"/>
        <v>單</v>
      </c>
      <c r="AT497" s="978" t="str">
        <f t="shared" si="83"/>
        <v>全</v>
      </c>
      <c r="AU497" s="978" t="str">
        <f t="shared" si="84"/>
        <v/>
      </c>
      <c r="AV497" s="978" t="str">
        <f t="shared" si="85"/>
        <v/>
      </c>
    </row>
    <row r="498" spans="1:48">
      <c r="A498" s="975">
        <f t="shared" si="88"/>
        <v>46155</v>
      </c>
      <c r="B498" s="976" t="s">
        <v>227</v>
      </c>
      <c r="C498" s="976" t="s">
        <v>16712</v>
      </c>
      <c r="D498" s="1410"/>
      <c r="E498" s="977" t="str">
        <f>IFERROR(VLOOKUP(C498, [6]條件!$A:$L, 5, 0), "")</f>
        <v>100/36SDr</v>
      </c>
      <c r="F498" s="978" t="str">
        <f>IFERROR(VLOOKUP(C498, [6]條件!$A:$L, 6, 0), "")</f>
        <v>FP81384R</v>
      </c>
      <c r="G498" s="1411">
        <f>IFERROR(VLOOKUP(C498, [6]條件!$A:$L, 7, 0), "")</f>
        <v>700</v>
      </c>
      <c r="H498" s="978" t="str">
        <f>IF(ISNA(VLOOKUP(C498,[6]條件!$A$1:$K$932,11,0)),"",(VLOOKUP(C498,[6]條件!$A$1:$K$932,11,0)))</f>
        <v>白底紅三角</v>
      </c>
      <c r="I498" s="979">
        <f>IF(ISNA(VLOOKUP(C498,[6]條件!$A$1:$L$932,12,0)),"",(VLOOKUP(C498,[6]條件!$A$1:$L$932,12,0)))</f>
        <v>5</v>
      </c>
      <c r="J498" s="982">
        <v>19</v>
      </c>
      <c r="K498" s="980">
        <v>0</v>
      </c>
      <c r="L498" s="981">
        <v>7609</v>
      </c>
      <c r="M498" s="983">
        <v>7965</v>
      </c>
      <c r="N498" s="982">
        <v>7</v>
      </c>
      <c r="O498" s="980">
        <v>0</v>
      </c>
      <c r="P498" s="981">
        <v>7769</v>
      </c>
      <c r="Q498" s="983">
        <v>8010</v>
      </c>
      <c r="R498" s="982">
        <v>10</v>
      </c>
      <c r="S498" s="980">
        <v>2</v>
      </c>
      <c r="T498" s="981">
        <v>7741</v>
      </c>
      <c r="U498" s="983">
        <v>8050</v>
      </c>
      <c r="V498" s="982">
        <v>16</v>
      </c>
      <c r="W498" s="980">
        <v>1</v>
      </c>
      <c r="X498" s="981">
        <v>7854</v>
      </c>
      <c r="Y498" s="983">
        <v>8092</v>
      </c>
      <c r="Z498" s="1412">
        <f>IFERROR(VLOOKUP(C498, [6]條件!$A:$L, 3, 0), "")</f>
        <v>2.2187981510015407</v>
      </c>
      <c r="AA498" s="984">
        <f>IF(OR(L498={"改紡","檢修","了機","清車","FINAL","停機","SAMPLE","TEST","絲開發"}), L498, IFERROR(IF(C498="", "", (SUM(J498, N498, R498, V498)/3 * AG498) * IF(AND(AF498="S", AS498="雙"), 0.5, 1)), ""))</f>
        <v>17.333333333333332</v>
      </c>
      <c r="AB498" s="1413">
        <f t="shared" si="86"/>
        <v>0.99349959935897436</v>
      </c>
      <c r="AC498" s="984">
        <f>IF(OR(L498={"改紡","檢修","了機","清車","FINAL","停機","SAMPLE","TEST"}), "", IFERROR(IF(C498="", "", AVERAGE(L498:M498, P498:Q498, T498:U498, X498:Y498)/100), ""))</f>
        <v>78.862499999999997</v>
      </c>
      <c r="AD498" s="984">
        <f t="shared" si="80"/>
        <v>2.1666666666666665</v>
      </c>
      <c r="AE498" s="984">
        <f t="shared" si="87"/>
        <v>2.0416666666666665</v>
      </c>
      <c r="AF498" s="985" t="str">
        <f t="shared" si="81"/>
        <v>A</v>
      </c>
      <c r="AG498" s="1414">
        <v>1</v>
      </c>
      <c r="AH498" s="981" t="s">
        <v>641</v>
      </c>
      <c r="AI498" s="986" t="s">
        <v>641</v>
      </c>
      <c r="AJ498" s="986" t="s">
        <v>634</v>
      </c>
      <c r="AK498" s="1417" t="s">
        <v>634</v>
      </c>
      <c r="AL498" s="1415">
        <v>50</v>
      </c>
      <c r="AM498" s="1323">
        <v>46140</v>
      </c>
      <c r="AN498" s="1323">
        <v>46141</v>
      </c>
      <c r="AO498" s="1323">
        <v>46142</v>
      </c>
      <c r="AP498" s="1323">
        <v>46143</v>
      </c>
      <c r="AQ498" s="1323">
        <v>46144</v>
      </c>
      <c r="AR498" s="987"/>
      <c r="AS498" s="978" t="str">
        <f t="shared" si="82"/>
        <v>單</v>
      </c>
      <c r="AT498" s="978" t="str">
        <f t="shared" si="83"/>
        <v>全</v>
      </c>
      <c r="AU498" s="978">
        <f t="shared" si="84"/>
        <v>100</v>
      </c>
      <c r="AV498" s="978">
        <f t="shared" si="85"/>
        <v>1.9078416</v>
      </c>
    </row>
    <row r="499" spans="1:48">
      <c r="A499" s="975">
        <f t="shared" si="88"/>
        <v>46155</v>
      </c>
      <c r="B499" s="976" t="s">
        <v>228</v>
      </c>
      <c r="C499" s="976" t="s">
        <v>632</v>
      </c>
      <c r="D499" s="1410"/>
      <c r="E499" s="977" t="str">
        <f>IFERROR(VLOOKUP(C499, [6]條件!$A:$L, 5, 0), "")</f>
        <v/>
      </c>
      <c r="F499" s="978" t="str">
        <f>IFERROR(VLOOKUP(C499, [6]條件!$A:$L, 6, 0), "")</f>
        <v/>
      </c>
      <c r="G499" s="1411" t="str">
        <f>IFERROR(VLOOKUP(C499, [6]條件!$A:$L, 7, 0), "")</f>
        <v/>
      </c>
      <c r="H499" s="978" t="str">
        <f>IF(ISNA(VLOOKUP(C499,[6]條件!$A$1:$K$932,11,0)),"",(VLOOKUP(C499,[6]條件!$A$1:$K$932,11,0)))</f>
        <v/>
      </c>
      <c r="I499" s="979" t="str">
        <f>IF(ISNA(VLOOKUP(C499,[6]條件!$A$1:$L$932,12,0)),"",(VLOOKUP(C499,[6]條件!$A$1:$L$932,12,0)))</f>
        <v/>
      </c>
      <c r="J499" s="982"/>
      <c r="K499" s="980"/>
      <c r="L499" s="981" t="s">
        <v>632</v>
      </c>
      <c r="M499" s="983"/>
      <c r="N499" s="982"/>
      <c r="O499" s="980"/>
      <c r="P499" s="981" t="s">
        <v>632</v>
      </c>
      <c r="Q499" s="983"/>
      <c r="R499" s="982"/>
      <c r="S499" s="980"/>
      <c r="T499" s="981" t="s">
        <v>632</v>
      </c>
      <c r="U499" s="983"/>
      <c r="V499" s="982"/>
      <c r="W499" s="980"/>
      <c r="X499" s="981" t="s">
        <v>632</v>
      </c>
      <c r="Y499" s="983"/>
      <c r="Z499" s="1412" t="str">
        <f>IFERROR(VLOOKUP(C499, [6]條件!$A:$L, 3, 0), "")</f>
        <v/>
      </c>
      <c r="AA499" s="984" t="str">
        <f>IF(OR(L499={"改紡","檢修","了機","清車","FINAL","停機","SAMPLE","TEST","絲開發"}), L499, IFERROR(IF(C499="", "", (SUM(J499, N499, R499, V499)/3 * AG499) * IF(AND(AF499="S", AS499="雙"), 0.5, 1)), ""))</f>
        <v>停機</v>
      </c>
      <c r="AB499" s="1413" t="str">
        <f t="shared" si="86"/>
        <v/>
      </c>
      <c r="AC499" s="984" t="str">
        <f>IF(OR(L499={"改紡","檢修","了機","清車","FINAL","停機","SAMPLE","TEST"}), "", IFERROR(IF(C499="", "", AVERAGE(L499:M499, P499:Q499, T499:U499, X499:Y499)/100), ""))</f>
        <v/>
      </c>
      <c r="AD499" s="984" t="str">
        <f t="shared" si="80"/>
        <v/>
      </c>
      <c r="AE499" s="984" t="str">
        <f t="shared" si="87"/>
        <v/>
      </c>
      <c r="AF499" s="985" t="str">
        <f t="shared" si="81"/>
        <v>A</v>
      </c>
      <c r="AG499" s="1414">
        <v>1</v>
      </c>
      <c r="AH499" s="981" t="s">
        <v>640</v>
      </c>
      <c r="AI499" s="986" t="s">
        <v>640</v>
      </c>
      <c r="AJ499" s="986" t="s">
        <v>640</v>
      </c>
      <c r="AK499" s="1417" t="s">
        <v>640</v>
      </c>
      <c r="AL499" s="1420"/>
      <c r="AM499" s="1323"/>
      <c r="AN499" s="1323"/>
      <c r="AO499" s="1323"/>
      <c r="AP499" s="1323"/>
      <c r="AQ499" s="1323"/>
      <c r="AR499" s="987"/>
      <c r="AS499" s="978" t="str">
        <f t="shared" si="82"/>
        <v>單</v>
      </c>
      <c r="AT499" s="978" t="str">
        <f t="shared" si="83"/>
        <v>全</v>
      </c>
      <c r="AU499" s="978" t="str">
        <f t="shared" si="84"/>
        <v/>
      </c>
      <c r="AV499" s="978" t="str">
        <f t="shared" si="85"/>
        <v/>
      </c>
    </row>
    <row r="500" spans="1:48">
      <c r="A500" s="975">
        <f t="shared" si="88"/>
        <v>46155</v>
      </c>
      <c r="B500" s="976" t="s">
        <v>229</v>
      </c>
      <c r="C500" s="976" t="s">
        <v>632</v>
      </c>
      <c r="D500" s="1410"/>
      <c r="E500" s="977" t="str">
        <f>IFERROR(VLOOKUP(C500, [6]條件!$A:$L, 5, 0), "")</f>
        <v/>
      </c>
      <c r="F500" s="978" t="str">
        <f>IFERROR(VLOOKUP(C500, [6]條件!$A:$L, 6, 0), "")</f>
        <v/>
      </c>
      <c r="G500" s="1411" t="str">
        <f>IFERROR(VLOOKUP(C500, [6]條件!$A:$L, 7, 0), "")</f>
        <v/>
      </c>
      <c r="H500" s="978" t="str">
        <f>IF(ISNA(VLOOKUP(C500,[6]條件!$A$1:$K$932,11,0)),"",(VLOOKUP(C500,[6]條件!$A$1:$K$932,11,0)))</f>
        <v/>
      </c>
      <c r="I500" s="979" t="str">
        <f>IF(ISNA(VLOOKUP(C500,[6]條件!$A$1:$L$932,12,0)),"",(VLOOKUP(C500,[6]條件!$A$1:$L$932,12,0)))</f>
        <v/>
      </c>
      <c r="J500" s="982"/>
      <c r="K500" s="980"/>
      <c r="L500" s="981" t="s">
        <v>632</v>
      </c>
      <c r="M500" s="983"/>
      <c r="N500" s="982"/>
      <c r="O500" s="980"/>
      <c r="P500" s="981" t="s">
        <v>632</v>
      </c>
      <c r="Q500" s="983"/>
      <c r="R500" s="982"/>
      <c r="S500" s="980"/>
      <c r="T500" s="981" t="s">
        <v>632</v>
      </c>
      <c r="U500" s="983"/>
      <c r="V500" s="982"/>
      <c r="W500" s="980"/>
      <c r="X500" s="981" t="s">
        <v>632</v>
      </c>
      <c r="Y500" s="983"/>
      <c r="Z500" s="1412" t="str">
        <f>IFERROR(VLOOKUP(C500, [6]條件!$A:$L, 3, 0), "")</f>
        <v/>
      </c>
      <c r="AA500" s="984" t="str">
        <f>IF(OR(L500={"改紡","檢修","了機","清車","FINAL","停機","SAMPLE","TEST","絲開發"}), L500, IFERROR(IF(C500="", "", (SUM(J500, N500, R500, V500)/3 * AG500) * IF(AND(AF500="S", AS500="雙"), 0.5, 1)), ""))</f>
        <v>停機</v>
      </c>
      <c r="AB500" s="1413" t="str">
        <f t="shared" si="86"/>
        <v/>
      </c>
      <c r="AC500" s="984" t="str">
        <f>IF(OR(L500={"改紡","檢修","了機","清車","FINAL","停機","SAMPLE","TEST"}), "", IFERROR(IF(C500="", "", AVERAGE(L500:M500, P500:Q500, T500:U500, X500:Y500)/100), ""))</f>
        <v/>
      </c>
      <c r="AD500" s="984" t="str">
        <f t="shared" si="80"/>
        <v/>
      </c>
      <c r="AE500" s="984" t="str">
        <f t="shared" si="87"/>
        <v/>
      </c>
      <c r="AF500" s="985" t="str">
        <f t="shared" si="81"/>
        <v>A</v>
      </c>
      <c r="AG500" s="1414">
        <v>1</v>
      </c>
      <c r="AH500" s="981" t="s">
        <v>640</v>
      </c>
      <c r="AI500" s="986" t="s">
        <v>640</v>
      </c>
      <c r="AJ500" s="986" t="s">
        <v>640</v>
      </c>
      <c r="AK500" s="1417" t="s">
        <v>640</v>
      </c>
      <c r="AL500" s="1421"/>
      <c r="AM500" s="1323"/>
      <c r="AN500" s="1323"/>
      <c r="AO500" s="1323"/>
      <c r="AP500" s="1323"/>
      <c r="AQ500" s="1323"/>
      <c r="AR500" s="987"/>
      <c r="AS500" s="978" t="str">
        <f t="shared" si="82"/>
        <v>單</v>
      </c>
      <c r="AT500" s="978" t="str">
        <f t="shared" si="83"/>
        <v>全</v>
      </c>
      <c r="AU500" s="978" t="str">
        <f t="shared" si="84"/>
        <v/>
      </c>
      <c r="AV500" s="978" t="str">
        <f t="shared" si="85"/>
        <v/>
      </c>
    </row>
    <row r="501" spans="1:48">
      <c r="A501" s="975">
        <f t="shared" si="88"/>
        <v>46155</v>
      </c>
      <c r="B501" s="976" t="s">
        <v>230</v>
      </c>
      <c r="C501" s="976" t="s">
        <v>16751</v>
      </c>
      <c r="D501" s="1410"/>
      <c r="E501" s="977" t="str">
        <f>IFERROR(VLOOKUP(C501, [6]條件!$A:$L, 5, 0), "")</f>
        <v>150/48/2GY5</v>
      </c>
      <c r="F501" s="978" t="str">
        <f>IFERROR(VLOOKUP(C501, [6]條件!$A:$L, 6, 0), "")</f>
        <v>FP02422×2</v>
      </c>
      <c r="G501" s="1411">
        <f>IFERROR(VLOOKUP(C501, [6]條件!$A:$L, 7, 0), "")</f>
        <v>600</v>
      </c>
      <c r="H501" s="978" t="str">
        <f>IF(ISNA(VLOOKUP(C501,[6]條件!$A$1:$K$932,11,0)),"",(VLOOKUP(C501,[6]條件!$A$1:$K$932,11,0)))</f>
        <v>白底紅星</v>
      </c>
      <c r="I501" s="979">
        <f>IF(ISNA(VLOOKUP(C501,[6]條件!$A$1:$L$932,12,0)),"",(VLOOKUP(C501,[6]條件!$A$1:$L$932,12,0)))</f>
        <v>4</v>
      </c>
      <c r="J501" s="982">
        <v>18</v>
      </c>
      <c r="K501" s="980">
        <v>0</v>
      </c>
      <c r="L501" s="981">
        <v>9009</v>
      </c>
      <c r="M501" s="983">
        <v>9709</v>
      </c>
      <c r="N501" s="982">
        <v>18</v>
      </c>
      <c r="O501" s="980">
        <v>0</v>
      </c>
      <c r="P501" s="981">
        <v>9352</v>
      </c>
      <c r="Q501" s="983">
        <v>9818</v>
      </c>
      <c r="R501" s="982">
        <v>10</v>
      </c>
      <c r="S501" s="980">
        <v>2</v>
      </c>
      <c r="T501" s="981">
        <v>9370</v>
      </c>
      <c r="U501" s="983">
        <v>9794</v>
      </c>
      <c r="V501" s="982">
        <v>18</v>
      </c>
      <c r="W501" s="980">
        <v>4</v>
      </c>
      <c r="X501" s="981">
        <v>9389</v>
      </c>
      <c r="Y501" s="983">
        <v>9756</v>
      </c>
      <c r="Z501" s="1412">
        <f>IFERROR(VLOOKUP(C501, [6]條件!$A:$L, 3, 0), "")</f>
        <v>6.9230769230769234</v>
      </c>
      <c r="AA501" s="984">
        <f>IF(OR(L501={"改紡","檢修","了機","清車","FINAL","停機","SAMPLE","TEST","絲開發"}), L501, IFERROR(IF(C501="", "", (SUM(J501, N501, R501, V501)/3 * AG501) * IF(AND(AF501="S", AS501="雙"), 0.5, 1)), ""))</f>
        <v>10.666666666666666</v>
      </c>
      <c r="AB501" s="1413">
        <f t="shared" si="86"/>
        <v>0.99583333333333335</v>
      </c>
      <c r="AC501" s="984">
        <f>IF(OR(L501={"改紡","檢修","了機","清車","FINAL","停機","SAMPLE","TEST"}), "", IFERROR(IF(C501="", "", AVERAGE(L501:M501, P501:Q501, T501:U501, X501:Y501)/100), ""))</f>
        <v>95.246250000000003</v>
      </c>
      <c r="AD501" s="984">
        <f t="shared" si="80"/>
        <v>1.3333333333333333</v>
      </c>
      <c r="AE501" s="984">
        <f t="shared" si="87"/>
        <v>1.2083333333333333</v>
      </c>
      <c r="AF501" s="985" t="str">
        <f t="shared" si="81"/>
        <v>A</v>
      </c>
      <c r="AG501" s="1414">
        <v>0.5</v>
      </c>
      <c r="AH501" s="981" t="s">
        <v>641</v>
      </c>
      <c r="AI501" s="986" t="s">
        <v>641</v>
      </c>
      <c r="AJ501" s="986" t="s">
        <v>634</v>
      </c>
      <c r="AK501" s="1417" t="s">
        <v>634</v>
      </c>
      <c r="AL501" s="1415">
        <v>52</v>
      </c>
      <c r="AM501" s="1323">
        <v>46150</v>
      </c>
      <c r="AN501" s="1323">
        <v>46151</v>
      </c>
      <c r="AO501" s="1323"/>
      <c r="AP501" s="1323"/>
      <c r="AQ501" s="1323"/>
      <c r="AR501" s="987"/>
      <c r="AS501" s="978" t="str">
        <f t="shared" si="82"/>
        <v>雙</v>
      </c>
      <c r="AT501" s="978" t="str">
        <f t="shared" si="83"/>
        <v>全</v>
      </c>
      <c r="AU501" s="978">
        <f t="shared" si="84"/>
        <v>150</v>
      </c>
      <c r="AV501" s="978">
        <f t="shared" si="85"/>
        <v>2.9625393599999996</v>
      </c>
    </row>
    <row r="502" spans="1:48">
      <c r="A502" s="975">
        <f t="shared" si="88"/>
        <v>46155</v>
      </c>
      <c r="B502" s="976" t="s">
        <v>231</v>
      </c>
      <c r="C502" s="976" t="s">
        <v>632</v>
      </c>
      <c r="D502" s="1410"/>
      <c r="E502" s="977" t="str">
        <f>IFERROR(VLOOKUP(C502, [6]條件!$A:$L, 5, 0), "")</f>
        <v/>
      </c>
      <c r="F502" s="978" t="str">
        <f>IFERROR(VLOOKUP(C502, [6]條件!$A:$L, 6, 0), "")</f>
        <v/>
      </c>
      <c r="G502" s="1411" t="str">
        <f>IFERROR(VLOOKUP(C502, [6]條件!$A:$L, 7, 0), "")</f>
        <v/>
      </c>
      <c r="H502" s="978" t="str">
        <f>IF(ISNA(VLOOKUP(C502,[6]條件!$A$1:$K$932,11,0)),"",(VLOOKUP(C502,[6]條件!$A$1:$K$932,11,0)))</f>
        <v/>
      </c>
      <c r="I502" s="979" t="str">
        <f>IF(ISNA(VLOOKUP(C502,[6]條件!$A$1:$L$932,12,0)),"",(VLOOKUP(C502,[6]條件!$A$1:$L$932,12,0)))</f>
        <v/>
      </c>
      <c r="J502" s="982"/>
      <c r="K502" s="980"/>
      <c r="L502" s="981" t="s">
        <v>632</v>
      </c>
      <c r="M502" s="983"/>
      <c r="N502" s="982"/>
      <c r="O502" s="980"/>
      <c r="P502" s="981" t="s">
        <v>632</v>
      </c>
      <c r="Q502" s="983"/>
      <c r="R502" s="982"/>
      <c r="S502" s="980"/>
      <c r="T502" s="981" t="s">
        <v>632</v>
      </c>
      <c r="U502" s="983"/>
      <c r="V502" s="982"/>
      <c r="W502" s="980"/>
      <c r="X502" s="981" t="s">
        <v>632</v>
      </c>
      <c r="Y502" s="983"/>
      <c r="Z502" s="1412" t="str">
        <f>IFERROR(VLOOKUP(C502, [6]條件!$A:$L, 3, 0), "")</f>
        <v/>
      </c>
      <c r="AA502" s="984" t="str">
        <f>IF(OR(L502={"改紡","檢修","了機","清車","FINAL","停機","SAMPLE","TEST","絲開發"}), L502, IFERROR(IF(C502="", "", (SUM(J502, N502, R502, V502)/3 * AG502) * IF(AND(AF502="S", AS502="雙"), 0.5, 1)), ""))</f>
        <v>停機</v>
      </c>
      <c r="AB502" s="1413" t="str">
        <f t="shared" si="86"/>
        <v/>
      </c>
      <c r="AC502" s="984" t="str">
        <f>IF(OR(L502={"改紡","檢修","了機","清車","FINAL","停機","SAMPLE","TEST"}), "", IFERROR(IF(C502="", "", AVERAGE(L502:M502, P502:Q502, T502:U502, X502:Y502)/100), ""))</f>
        <v/>
      </c>
      <c r="AD502" s="984" t="str">
        <f t="shared" si="80"/>
        <v/>
      </c>
      <c r="AE502" s="984" t="str">
        <f t="shared" si="87"/>
        <v/>
      </c>
      <c r="AF502" s="985" t="str">
        <f t="shared" si="81"/>
        <v>J</v>
      </c>
      <c r="AG502" s="1414">
        <v>1</v>
      </c>
      <c r="AH502" s="981" t="s">
        <v>640</v>
      </c>
      <c r="AI502" s="986" t="s">
        <v>640</v>
      </c>
      <c r="AJ502" s="986" t="s">
        <v>640</v>
      </c>
      <c r="AK502" s="1417" t="s">
        <v>640</v>
      </c>
      <c r="AL502" s="1415"/>
      <c r="AM502" s="1323"/>
      <c r="AN502" s="1323"/>
      <c r="AO502" s="1323"/>
      <c r="AP502" s="1323"/>
      <c r="AQ502" s="1323"/>
      <c r="AR502" s="987"/>
      <c r="AS502" s="978" t="str">
        <f t="shared" si="82"/>
        <v>單</v>
      </c>
      <c r="AT502" s="978" t="str">
        <f t="shared" si="83"/>
        <v>全</v>
      </c>
      <c r="AU502" s="978" t="str">
        <f t="shared" si="84"/>
        <v/>
      </c>
      <c r="AV502" s="978" t="str">
        <f t="shared" si="85"/>
        <v/>
      </c>
    </row>
    <row r="503" spans="1:48">
      <c r="A503" s="975">
        <f t="shared" si="88"/>
        <v>46155</v>
      </c>
      <c r="B503" s="976" t="s">
        <v>233</v>
      </c>
      <c r="C503" s="976" t="s">
        <v>16772</v>
      </c>
      <c r="D503" s="1410" t="s">
        <v>633</v>
      </c>
      <c r="E503" s="977" t="str">
        <f>IFERROR(VLOOKUP(C503, [6]條件!$A:$L, 5, 0), "")</f>
        <v>150/48/2SDr</v>
      </c>
      <c r="F503" s="978" t="str">
        <f>IFERROR(VLOOKUP(C503, [6]條件!$A:$L, 6, 0), "")</f>
        <v>FP82171R×2</v>
      </c>
      <c r="G503" s="1411">
        <f>IFERROR(VLOOKUP(C503, [6]條件!$A:$L, 7, 0), "")</f>
        <v>600</v>
      </c>
      <c r="H503" s="978" t="str">
        <f>IF(ISNA(VLOOKUP(C503,[6]條件!$A$1:$K$932,11,0)),"",(VLOOKUP(C503,[6]條件!$A$1:$K$932,11,0)))</f>
        <v>紅白直條</v>
      </c>
      <c r="I503" s="979">
        <f>IF(ISNA(VLOOKUP(C503,[6]條件!$A$1:$L$932,12,0)),"",(VLOOKUP(C503,[6]條件!$A$1:$L$932,12,0)))</f>
        <v>5.5</v>
      </c>
      <c r="J503" s="982">
        <v>22</v>
      </c>
      <c r="K503" s="980">
        <v>8</v>
      </c>
      <c r="L503" s="981">
        <v>7520</v>
      </c>
      <c r="M503" s="983"/>
      <c r="N503" s="982">
        <v>34</v>
      </c>
      <c r="O503" s="980">
        <v>6</v>
      </c>
      <c r="P503" s="981">
        <v>7340</v>
      </c>
      <c r="Q503" s="983"/>
      <c r="R503" s="982">
        <v>35</v>
      </c>
      <c r="S503" s="980">
        <v>14</v>
      </c>
      <c r="T503" s="981">
        <v>7080</v>
      </c>
      <c r="U503" s="983"/>
      <c r="V503" s="982">
        <v>21</v>
      </c>
      <c r="W503" s="980">
        <v>5</v>
      </c>
      <c r="X503" s="981">
        <v>7530</v>
      </c>
      <c r="Y503" s="983"/>
      <c r="Z503" s="1412">
        <f>IFERROR(VLOOKUP(C503, [6]條件!$A:$L, 3, 0), "")</f>
        <v>5.0526315789473673</v>
      </c>
      <c r="AA503" s="984">
        <f>IF(OR(L503={"改紡","檢修","了機","清車","FINAL","停機","SAMPLE","TEST","絲開發"}), L503, IFERROR(IF(C503="", "", (SUM(J503, N503, R503, V503)/3 * AG503) * IF(AND(AF503="S", AS503="雙"), 0.5, 1)), ""))</f>
        <v>37.333333333333336</v>
      </c>
      <c r="AB503" s="1413">
        <f t="shared" si="86"/>
        <v>0.96859975961538458</v>
      </c>
      <c r="AC503" s="984">
        <f>IF(OR(L503={"改紡","檢修","了機","清車","FINAL","停機","SAMPLE","TEST"}), "", IFERROR(IF(C503="", "", AVERAGE(L503:M503, P503:Q503, T503:U503, X503:Y503)/100), ""))</f>
        <v>73.674999999999997</v>
      </c>
      <c r="AD503" s="984">
        <f t="shared" si="80"/>
        <v>4.666666666666667</v>
      </c>
      <c r="AE503" s="984">
        <f t="shared" si="87"/>
        <v>3.2916666666666665</v>
      </c>
      <c r="AF503" s="985" t="str">
        <f t="shared" si="81"/>
        <v>J</v>
      </c>
      <c r="AG503" s="1414">
        <v>1</v>
      </c>
      <c r="AH503" s="981" t="s">
        <v>637</v>
      </c>
      <c r="AI503" s="986" t="s">
        <v>637</v>
      </c>
      <c r="AJ503" s="986" t="s">
        <v>815</v>
      </c>
      <c r="AK503" s="1417" t="s">
        <v>815</v>
      </c>
      <c r="AL503" s="1415">
        <v>55</v>
      </c>
      <c r="AM503" s="1323">
        <v>46150</v>
      </c>
      <c r="AN503" s="1323">
        <v>46151</v>
      </c>
      <c r="AO503" s="1323">
        <v>46152</v>
      </c>
      <c r="AP503" s="1323"/>
      <c r="AQ503" s="1323"/>
      <c r="AR503" s="987"/>
      <c r="AS503" s="978" t="str">
        <f t="shared" si="82"/>
        <v>雙</v>
      </c>
      <c r="AT503" s="978" t="str">
        <f t="shared" si="83"/>
        <v>全</v>
      </c>
      <c r="AU503" s="978">
        <f t="shared" si="84"/>
        <v>150</v>
      </c>
      <c r="AV503" s="978">
        <f t="shared" si="85"/>
        <v>4.5831743999999999</v>
      </c>
    </row>
    <row r="504" spans="1:48">
      <c r="A504" s="975">
        <f t="shared" si="88"/>
        <v>46155</v>
      </c>
      <c r="B504" s="976" t="s">
        <v>234</v>
      </c>
      <c r="C504" s="976" t="s">
        <v>632</v>
      </c>
      <c r="D504" s="1410"/>
      <c r="E504" s="977" t="str">
        <f>IFERROR(VLOOKUP(C504, [6]條件!$A:$L, 5, 0), "")</f>
        <v/>
      </c>
      <c r="F504" s="978" t="str">
        <f>IFERROR(VLOOKUP(C504, [6]條件!$A:$L, 6, 0), "")</f>
        <v/>
      </c>
      <c r="G504" s="1411" t="str">
        <f>IFERROR(VLOOKUP(C504, [6]條件!$A:$L, 7, 0), "")</f>
        <v/>
      </c>
      <c r="H504" s="978" t="str">
        <f>IF(ISNA(VLOOKUP(C504,[6]條件!$A$1:$K$932,11,0)),"",(VLOOKUP(C504,[6]條件!$A$1:$K$932,11,0)))</f>
        <v/>
      </c>
      <c r="I504" s="979" t="str">
        <f>IF(ISNA(VLOOKUP(C504,[6]條件!$A$1:$L$932,12,0)),"",(VLOOKUP(C504,[6]條件!$A$1:$L$932,12,0)))</f>
        <v/>
      </c>
      <c r="J504" s="982"/>
      <c r="K504" s="980"/>
      <c r="L504" s="981" t="s">
        <v>632</v>
      </c>
      <c r="M504" s="983"/>
      <c r="N504" s="982"/>
      <c r="O504" s="980"/>
      <c r="P504" s="981" t="s">
        <v>632</v>
      </c>
      <c r="Q504" s="983"/>
      <c r="R504" s="982"/>
      <c r="S504" s="980"/>
      <c r="T504" s="981" t="s">
        <v>632</v>
      </c>
      <c r="U504" s="983"/>
      <c r="V504" s="982"/>
      <c r="W504" s="980"/>
      <c r="X504" s="981" t="s">
        <v>632</v>
      </c>
      <c r="Y504" s="983"/>
      <c r="Z504" s="1412" t="str">
        <f>IFERROR(VLOOKUP(C504, [6]條件!$A:$L, 3, 0), "")</f>
        <v/>
      </c>
      <c r="AA504" s="984" t="str">
        <f>IF(OR(L504={"改紡","檢修","了機","清車","FINAL","停機","SAMPLE","TEST","絲開發"}), L504, IFERROR(IF(C504="", "", (SUM(J504, N504, R504, V504)/3 * AG504) * IF(AND(AF504="S", AS504="雙"), 0.5, 1)), ""))</f>
        <v>停機</v>
      </c>
      <c r="AB504" s="1413" t="str">
        <f t="shared" si="86"/>
        <v/>
      </c>
      <c r="AC504" s="984" t="str">
        <f>IF(OR(L504={"改紡","檢修","了機","清車","FINAL","停機","SAMPLE","TEST"}), "", IFERROR(IF(C504="", "", AVERAGE(L504:M504, P504:Q504, T504:U504, X504:Y504)/100), ""))</f>
        <v/>
      </c>
      <c r="AD504" s="984" t="str">
        <f t="shared" si="80"/>
        <v/>
      </c>
      <c r="AE504" s="984" t="str">
        <f t="shared" si="87"/>
        <v/>
      </c>
      <c r="AF504" s="985" t="str">
        <f t="shared" si="81"/>
        <v>J</v>
      </c>
      <c r="AG504" s="1414">
        <v>1</v>
      </c>
      <c r="AH504" s="981" t="s">
        <v>640</v>
      </c>
      <c r="AI504" s="986" t="s">
        <v>640</v>
      </c>
      <c r="AJ504" s="986" t="s">
        <v>640</v>
      </c>
      <c r="AK504" s="1417" t="s">
        <v>640</v>
      </c>
      <c r="AL504" s="1415"/>
      <c r="AM504" s="1323"/>
      <c r="AN504" s="1323"/>
      <c r="AO504" s="1323"/>
      <c r="AP504" s="1323"/>
      <c r="AQ504" s="1323"/>
      <c r="AR504" s="987"/>
      <c r="AS504" s="978" t="str">
        <f t="shared" si="82"/>
        <v>單</v>
      </c>
      <c r="AT504" s="978" t="str">
        <f t="shared" si="83"/>
        <v>全</v>
      </c>
      <c r="AU504" s="978" t="str">
        <f t="shared" si="84"/>
        <v/>
      </c>
      <c r="AV504" s="978" t="str">
        <f t="shared" si="85"/>
        <v/>
      </c>
    </row>
    <row r="505" spans="1:48">
      <c r="A505" s="975">
        <f t="shared" si="88"/>
        <v>46155</v>
      </c>
      <c r="B505" s="976" t="s">
        <v>235</v>
      </c>
      <c r="C505" s="976" t="s">
        <v>16765</v>
      </c>
      <c r="D505" s="1410" t="s">
        <v>633</v>
      </c>
      <c r="E505" s="977" t="str">
        <f>IFERROR(VLOOKUP(C505, [6]條件!$A:$L, 5, 0), "")</f>
        <v>150/48/2SDr</v>
      </c>
      <c r="F505" s="978" t="str">
        <f>IFERROR(VLOOKUP(C505, [6]條件!$A:$L, 6, 0), "")</f>
        <v>FP82173R×2</v>
      </c>
      <c r="G505" s="1411">
        <f>IFERROR(VLOOKUP(C505, [6]條件!$A:$L, 7, 0), "")</f>
        <v>700</v>
      </c>
      <c r="H505" s="978" t="str">
        <f>IF(ISNA(VLOOKUP(C505,[6]條件!$A$1:$K$932,11,0)),"",(VLOOKUP(C505,[6]條件!$A$1:$K$932,11,0)))</f>
        <v>白紫條紋</v>
      </c>
      <c r="I505" s="979">
        <f>IF(ISNA(VLOOKUP(C505,[6]條件!$A$1:$L$932,12,0)),"",(VLOOKUP(C505,[6]條件!$A$1:$L$932,12,0)))</f>
        <v>5.5</v>
      </c>
      <c r="J505" s="982">
        <v>15</v>
      </c>
      <c r="K505" s="980">
        <v>3</v>
      </c>
      <c r="L505" s="981">
        <v>8700</v>
      </c>
      <c r="M505" s="983">
        <v>9090</v>
      </c>
      <c r="N505" s="982">
        <v>14</v>
      </c>
      <c r="O505" s="980">
        <v>2</v>
      </c>
      <c r="P505" s="981">
        <v>8529</v>
      </c>
      <c r="Q505" s="983">
        <v>9260</v>
      </c>
      <c r="R505" s="982">
        <v>14</v>
      </c>
      <c r="S505" s="980">
        <v>0</v>
      </c>
      <c r="T505" s="981">
        <v>7780</v>
      </c>
      <c r="U505" s="983">
        <v>9170</v>
      </c>
      <c r="V505" s="982">
        <v>46</v>
      </c>
      <c r="W505" s="980">
        <v>0</v>
      </c>
      <c r="X505" s="981">
        <v>8890</v>
      </c>
      <c r="Y505" s="983">
        <v>9350</v>
      </c>
      <c r="Z505" s="1412">
        <f>IFERROR(VLOOKUP(C505, [6]條件!$A:$L, 3, 0), "")</f>
        <v>5.8775510204081636</v>
      </c>
      <c r="AA505" s="984">
        <f>IF(OR(L505={"改紡","檢修","了機","清車","FINAL","停機","SAMPLE","TEST","絲開發"}), L505, IFERROR(IF(C505="", "", (SUM(J505, N505, R505, V505)/3 * AG505) * IF(AND(AF505="S", AS505="雙"), 0.5, 1)), ""))</f>
        <v>29.666666666666668</v>
      </c>
      <c r="AB505" s="1413">
        <f t="shared" si="86"/>
        <v>0.99591012286324787</v>
      </c>
      <c r="AC505" s="984">
        <f>IF(OR(L505={"改紡","檢修","了機","清車","FINAL","停機","SAMPLE","TEST"}), "", IFERROR(IF(C505="", "", AVERAGE(L505:M505, P505:Q505, T505:U505, X505:Y505)/100), ""))</f>
        <v>88.461250000000007</v>
      </c>
      <c r="AD505" s="984">
        <f t="shared" si="80"/>
        <v>3.7083333333333335</v>
      </c>
      <c r="AE505" s="984">
        <f t="shared" si="87"/>
        <v>3.5</v>
      </c>
      <c r="AF505" s="985" t="str">
        <f t="shared" si="81"/>
        <v>T</v>
      </c>
      <c r="AG505" s="1414">
        <v>1</v>
      </c>
      <c r="AH505" s="981" t="s">
        <v>15337</v>
      </c>
      <c r="AI505" s="986" t="s">
        <v>15337</v>
      </c>
      <c r="AJ505" s="986" t="s">
        <v>652</v>
      </c>
      <c r="AK505" s="1417" t="s">
        <v>652</v>
      </c>
      <c r="AL505" s="1415">
        <v>56</v>
      </c>
      <c r="AM505" s="1323">
        <v>46149</v>
      </c>
      <c r="AN505" s="1323">
        <v>46151</v>
      </c>
      <c r="AO505" s="1323">
        <v>46152</v>
      </c>
      <c r="AP505" s="1323"/>
      <c r="AQ505" s="1323"/>
      <c r="AR505" s="987"/>
      <c r="AS505" s="978" t="str">
        <f t="shared" si="82"/>
        <v>雙</v>
      </c>
      <c r="AT505" s="978" t="str">
        <f t="shared" si="83"/>
        <v>全</v>
      </c>
      <c r="AU505" s="978">
        <f t="shared" si="84"/>
        <v>150</v>
      </c>
      <c r="AV505" s="978">
        <f t="shared" si="85"/>
        <v>6.4201636800000008</v>
      </c>
    </row>
    <row r="506" spans="1:48">
      <c r="A506" s="975">
        <f t="shared" si="88"/>
        <v>46155</v>
      </c>
      <c r="B506" s="976" t="s">
        <v>237</v>
      </c>
      <c r="C506" s="976" t="s">
        <v>16759</v>
      </c>
      <c r="D506" s="1410" t="s">
        <v>633</v>
      </c>
      <c r="E506" s="977" t="str">
        <f>IFERROR(VLOOKUP(C506, [6]條件!$A:$L, 5, 0), "")</f>
        <v>150/48/2SDr</v>
      </c>
      <c r="F506" s="978" t="str">
        <f>IFERROR(VLOOKUP(C506, [6]條件!$A:$L, 6, 0), "")</f>
        <v>FP82171R×2</v>
      </c>
      <c r="G506" s="1411">
        <f>IFERROR(VLOOKUP(C506, [6]條件!$A:$L, 7, 0), "")</f>
        <v>700</v>
      </c>
      <c r="H506" s="978" t="str">
        <f>IF(ISNA(VLOOKUP(C506,[6]條件!$A$1:$K$932,11,0)),"",(VLOOKUP(C506,[6]條件!$A$1:$K$932,11,0)))</f>
        <v>紅底黃星</v>
      </c>
      <c r="I506" s="979">
        <f>IF(ISNA(VLOOKUP(C506,[6]條件!$A$1:$L$932,12,0)),"",(VLOOKUP(C506,[6]條件!$A$1:$L$932,12,0)))</f>
        <v>5.5</v>
      </c>
      <c r="J506" s="982">
        <v>40</v>
      </c>
      <c r="K506" s="980">
        <v>2</v>
      </c>
      <c r="L506" s="981">
        <v>9540</v>
      </c>
      <c r="M506" s="983">
        <v>9170</v>
      </c>
      <c r="N506" s="982">
        <v>17</v>
      </c>
      <c r="O506" s="980">
        <v>0</v>
      </c>
      <c r="P506" s="981">
        <v>9260</v>
      </c>
      <c r="Q506" s="983">
        <v>9170</v>
      </c>
      <c r="R506" s="982">
        <v>7</v>
      </c>
      <c r="S506" s="980">
        <v>0</v>
      </c>
      <c r="T506" s="981">
        <v>8330</v>
      </c>
      <c r="U506" s="983">
        <v>9260</v>
      </c>
      <c r="V506" s="982">
        <v>36</v>
      </c>
      <c r="W506" s="980">
        <v>0</v>
      </c>
      <c r="X506" s="981">
        <v>9540</v>
      </c>
      <c r="Y506" s="983">
        <v>9260</v>
      </c>
      <c r="Z506" s="1412">
        <f>IFERROR(VLOOKUP(C506, [6]條件!$A:$L, 3, 0), "")</f>
        <v>5.8299595141700413</v>
      </c>
      <c r="AA506" s="984">
        <f>IF(OR(L506={"改紡","檢修","了機","清車","FINAL","停機","SAMPLE","TEST","絲開發"}), L506, IFERROR(IF(C506="", "", (SUM(J506, N506, R506, V506)/3 * AG506) * IF(AND(AF506="S", AS506="雙"), 0.5, 1)), ""))</f>
        <v>33.333333333333336</v>
      </c>
      <c r="AB506" s="1413">
        <f t="shared" si="86"/>
        <v>0.99835069444444446</v>
      </c>
      <c r="AC506" s="984">
        <f>IF(OR(L506={"改紡","檢修","了機","清車","FINAL","停機","SAMPLE","TEST"}), "", IFERROR(IF(C506="", "", AVERAGE(L506:M506, P506:Q506, T506:U506, X506:Y506)/100), ""))</f>
        <v>91.912499999999994</v>
      </c>
      <c r="AD506" s="984">
        <f t="shared" si="80"/>
        <v>4.166666666666667</v>
      </c>
      <c r="AE506" s="984">
        <f t="shared" si="87"/>
        <v>4.083333333333333</v>
      </c>
      <c r="AF506" s="985" t="str">
        <f t="shared" si="81"/>
        <v>T</v>
      </c>
      <c r="AG506" s="1414">
        <v>1</v>
      </c>
      <c r="AH506" s="981" t="s">
        <v>15337</v>
      </c>
      <c r="AI506" s="986" t="s">
        <v>15337</v>
      </c>
      <c r="AJ506" s="986" t="s">
        <v>652</v>
      </c>
      <c r="AK506" s="1417" t="s">
        <v>652</v>
      </c>
      <c r="AL506" s="1415">
        <v>55</v>
      </c>
      <c r="AM506" s="1323">
        <v>46150</v>
      </c>
      <c r="AN506" s="1323">
        <v>46151</v>
      </c>
      <c r="AO506" s="1323">
        <v>46152</v>
      </c>
      <c r="AP506" s="1323"/>
      <c r="AQ506" s="1323"/>
      <c r="AR506" s="987"/>
      <c r="AS506" s="978" t="str">
        <f t="shared" si="82"/>
        <v>雙</v>
      </c>
      <c r="AT506" s="978" t="str">
        <f t="shared" si="83"/>
        <v>全</v>
      </c>
      <c r="AU506" s="978">
        <f t="shared" si="84"/>
        <v>150</v>
      </c>
      <c r="AV506" s="978">
        <f t="shared" si="85"/>
        <v>6.6706415999999997</v>
      </c>
    </row>
    <row r="507" spans="1:48">
      <c r="A507" s="975">
        <f t="shared" si="88"/>
        <v>46155</v>
      </c>
      <c r="B507" s="976" t="s">
        <v>238</v>
      </c>
      <c r="C507" s="976" t="s">
        <v>16743</v>
      </c>
      <c r="D507" s="1410"/>
      <c r="E507" s="977" t="str">
        <f>IFERROR(VLOOKUP(C507, [6]條件!$A:$L, 5, 0), "")</f>
        <v>150/48/2SDr</v>
      </c>
      <c r="F507" s="978" t="str">
        <f>IFERROR(VLOOKUP(C507, [6]條件!$A:$L, 6, 0), "")</f>
        <v>FP82169R×2</v>
      </c>
      <c r="G507" s="1411">
        <f>IFERROR(VLOOKUP(C507, [6]條件!$A:$L, 7, 0), "")</f>
        <v>670</v>
      </c>
      <c r="H507" s="978" t="str">
        <f>IF(ISNA(VLOOKUP(C507,[6]條件!$A$1:$K$932,11,0)),"",(VLOOKUP(C507,[6]條件!$A$1:$K$932,11,0)))</f>
        <v>黃底紅點</v>
      </c>
      <c r="I507" s="979">
        <f>IF(ISNA(VLOOKUP(C507,[6]條件!$A$1:$L$932,12,0)),"",(VLOOKUP(C507,[6]條件!$A$1:$L$932,12,0)))</f>
        <v>5</v>
      </c>
      <c r="J507" s="982">
        <v>39</v>
      </c>
      <c r="K507" s="980">
        <v>0</v>
      </c>
      <c r="L507" s="981">
        <v>9260</v>
      </c>
      <c r="M507" s="983"/>
      <c r="N507" s="982">
        <v>4</v>
      </c>
      <c r="O507" s="980">
        <v>0</v>
      </c>
      <c r="P507" s="981">
        <v>8730</v>
      </c>
      <c r="Q507" s="983"/>
      <c r="R507" s="982">
        <v>15</v>
      </c>
      <c r="S507" s="980">
        <v>0</v>
      </c>
      <c r="T507" s="981">
        <v>9170</v>
      </c>
      <c r="U507" s="983"/>
      <c r="V507" s="982">
        <v>35</v>
      </c>
      <c r="W507" s="980">
        <v>1</v>
      </c>
      <c r="X507" s="981">
        <v>9810</v>
      </c>
      <c r="Y507" s="983"/>
      <c r="Z507" s="1412">
        <f>IFERROR(VLOOKUP(C507, [6]條件!$A:$L, 3, 0), "")</f>
        <v>6.2882096069868991</v>
      </c>
      <c r="AA507" s="984">
        <f>IF(OR(L507={"改紡","檢修","了機","清車","FINAL","停機","SAMPLE","TEST","絲開發"}), L507, IFERROR(IF(C507="", "", (SUM(J507, N507, R507, V507)/3 * AG507) * IF(AND(AF507="S", AS507="雙"), 0.5, 1)), ""))</f>
        <v>62</v>
      </c>
      <c r="AB507" s="1413">
        <f t="shared" si="86"/>
        <v>0.9992354433760684</v>
      </c>
      <c r="AC507" s="984">
        <f>IF(OR(L507={"改紡","檢修","了機","清車","FINAL","停機","SAMPLE","TEST"}), "", IFERROR(IF(C507="", "", AVERAGE(L507:M507, P507:Q507, T507:U507, X507:Y507)/100), ""))</f>
        <v>92.424999999999997</v>
      </c>
      <c r="AD507" s="984">
        <f t="shared" si="80"/>
        <v>7.75</v>
      </c>
      <c r="AE507" s="984">
        <f t="shared" si="87"/>
        <v>7.666666666666667</v>
      </c>
      <c r="AF507" s="985" t="str">
        <f t="shared" si="81"/>
        <v>T</v>
      </c>
      <c r="AG507" s="1414">
        <v>2</v>
      </c>
      <c r="AH507" s="981" t="s">
        <v>15337</v>
      </c>
      <c r="AI507" s="986" t="s">
        <v>15337</v>
      </c>
      <c r="AJ507" s="986" t="s">
        <v>652</v>
      </c>
      <c r="AK507" s="1417" t="s">
        <v>652</v>
      </c>
      <c r="AL507" s="1415">
        <v>48</v>
      </c>
      <c r="AM507" s="1323">
        <v>46151</v>
      </c>
      <c r="AN507" s="1323">
        <v>46152</v>
      </c>
      <c r="AO507" s="1323"/>
      <c r="AP507" s="1323"/>
      <c r="AQ507" s="1323"/>
      <c r="AR507" s="987"/>
      <c r="AS507" s="978" t="str">
        <f t="shared" si="82"/>
        <v>雙</v>
      </c>
      <c r="AT507" s="978" t="str">
        <f t="shared" si="83"/>
        <v>半</v>
      </c>
      <c r="AU507" s="978">
        <f t="shared" si="84"/>
        <v>150</v>
      </c>
      <c r="AV507" s="978">
        <f t="shared" si="85"/>
        <v>3.2101790399999999</v>
      </c>
    </row>
    <row r="508" spans="1:48">
      <c r="A508" s="975">
        <f t="shared" si="88"/>
        <v>46155</v>
      </c>
      <c r="B508" s="976" t="s">
        <v>238</v>
      </c>
      <c r="C508" s="976" t="s">
        <v>16742</v>
      </c>
      <c r="D508" s="1410"/>
      <c r="E508" s="977" t="str">
        <f>IFERROR(VLOOKUP(C508, [6]條件!$A:$L, 5, 0), "")</f>
        <v>150/48/2SDr</v>
      </c>
      <c r="F508" s="978" t="str">
        <f>IFERROR(VLOOKUP(C508, [6]條件!$A:$L, 6, 0), "")</f>
        <v>FP82169R×2</v>
      </c>
      <c r="G508" s="1411">
        <f>IFERROR(VLOOKUP(C508, [6]條件!$A:$L, 7, 0), "")</f>
        <v>670</v>
      </c>
      <c r="H508" s="978" t="str">
        <f>IF(ISNA(VLOOKUP(C508,[6]條件!$A$1:$K$932,11,0)),"",(VLOOKUP(C508,[6]條件!$A$1:$K$932,11,0)))</f>
        <v>紅底藍點</v>
      </c>
      <c r="I508" s="979">
        <f>IF(ISNA(VLOOKUP(C508,[6]條件!$A$1:$L$932,12,0)),"",(VLOOKUP(C508,[6]條件!$A$1:$L$932,12,0)))</f>
        <v>5</v>
      </c>
      <c r="J508" s="982">
        <v>30</v>
      </c>
      <c r="K508" s="980">
        <v>0</v>
      </c>
      <c r="L508" s="981"/>
      <c r="M508" s="983">
        <v>9079</v>
      </c>
      <c r="N508" s="982">
        <v>11</v>
      </c>
      <c r="O508" s="980">
        <v>0</v>
      </c>
      <c r="P508" s="981"/>
      <c r="Q508" s="983">
        <v>9170</v>
      </c>
      <c r="R508" s="982">
        <v>15</v>
      </c>
      <c r="S508" s="980">
        <v>0</v>
      </c>
      <c r="T508" s="981">
        <v>9070</v>
      </c>
      <c r="U508" s="983"/>
      <c r="V508" s="982">
        <v>9</v>
      </c>
      <c r="W508" s="980">
        <v>0</v>
      </c>
      <c r="X508" s="981">
        <v>9170</v>
      </c>
      <c r="Y508" s="983"/>
      <c r="Z508" s="1412">
        <f>IFERROR(VLOOKUP(C508, [6]條件!$A:$L, 3, 0), "")</f>
        <v>6.1802575107296125</v>
      </c>
      <c r="AA508" s="984">
        <f>IF(OR(L508={"改紡","檢修","了機","清車","FINAL","停機","SAMPLE","TEST","絲開發"}), L508, IFERROR(IF(C508="", "", (SUM(J508, N508, R508, V508)/3 * AG508) * IF(AND(AF508="S", AS508="雙"), 0.5, 1)), ""))</f>
        <v>43.333333333333336</v>
      </c>
      <c r="AB508" s="1413">
        <f t="shared" si="86"/>
        <v>1</v>
      </c>
      <c r="AC508" s="984">
        <f>IF(OR(L508={"改紡","檢修","了機","清車","FINAL","停機","SAMPLE","TEST"}), "", IFERROR(IF(C508="", "", AVERAGE(L508:M508, P508:Q508, T508:U508, X508:Y508)/100), ""))</f>
        <v>91.222499999999997</v>
      </c>
      <c r="AD508" s="984">
        <f t="shared" si="80"/>
        <v>5.416666666666667</v>
      </c>
      <c r="AE508" s="984">
        <f t="shared" si="87"/>
        <v>5.416666666666667</v>
      </c>
      <c r="AF508" s="985" t="str">
        <f t="shared" si="81"/>
        <v>T</v>
      </c>
      <c r="AG508" s="1414">
        <v>2</v>
      </c>
      <c r="AH508" s="981" t="s">
        <v>15337</v>
      </c>
      <c r="AI508" s="986" t="s">
        <v>15337</v>
      </c>
      <c r="AJ508" s="986" t="s">
        <v>639</v>
      </c>
      <c r="AK508" s="1417" t="s">
        <v>639</v>
      </c>
      <c r="AL508" s="1415">
        <v>48</v>
      </c>
      <c r="AM508" s="1323">
        <v>46151</v>
      </c>
      <c r="AN508" s="1323">
        <v>46152</v>
      </c>
      <c r="AO508" s="1323"/>
      <c r="AP508" s="1323"/>
      <c r="AQ508" s="1323"/>
      <c r="AR508" s="987"/>
      <c r="AS508" s="978" t="str">
        <f t="shared" si="82"/>
        <v>雙</v>
      </c>
      <c r="AT508" s="978" t="str">
        <f t="shared" si="83"/>
        <v>半</v>
      </c>
      <c r="AU508" s="978">
        <f t="shared" si="84"/>
        <v>150</v>
      </c>
      <c r="AV508" s="978">
        <f t="shared" si="85"/>
        <v>3.1684128480000004</v>
      </c>
    </row>
    <row r="509" spans="1:48">
      <c r="A509" s="975">
        <f t="shared" si="88"/>
        <v>46155</v>
      </c>
      <c r="B509" s="976" t="s">
        <v>239</v>
      </c>
      <c r="C509" s="976" t="s">
        <v>632</v>
      </c>
      <c r="D509" s="1410"/>
      <c r="E509" s="977" t="str">
        <f>IFERROR(VLOOKUP(C509, [6]條件!$A:$L, 5, 0), "")</f>
        <v/>
      </c>
      <c r="F509" s="978" t="str">
        <f>IFERROR(VLOOKUP(C509, [6]條件!$A:$L, 6, 0), "")</f>
        <v/>
      </c>
      <c r="G509" s="1411" t="str">
        <f>IFERROR(VLOOKUP(C509, [6]條件!$A:$L, 7, 0), "")</f>
        <v/>
      </c>
      <c r="H509" s="978" t="str">
        <f>IF(ISNA(VLOOKUP(C509,[6]條件!$A$1:$K$932,11,0)),"",(VLOOKUP(C509,[6]條件!$A$1:$K$932,11,0)))</f>
        <v/>
      </c>
      <c r="I509" s="979" t="str">
        <f>IF(ISNA(VLOOKUP(C509,[6]條件!$A$1:$L$932,12,0)),"",(VLOOKUP(C509,[6]條件!$A$1:$L$932,12,0)))</f>
        <v/>
      </c>
      <c r="J509" s="982"/>
      <c r="K509" s="980"/>
      <c r="L509" s="981" t="s">
        <v>632</v>
      </c>
      <c r="M509" s="983"/>
      <c r="N509" s="982"/>
      <c r="O509" s="980"/>
      <c r="P509" s="981" t="s">
        <v>632</v>
      </c>
      <c r="Q509" s="983"/>
      <c r="R509" s="982"/>
      <c r="S509" s="980"/>
      <c r="T509" s="981" t="s">
        <v>632</v>
      </c>
      <c r="U509" s="983"/>
      <c r="V509" s="982"/>
      <c r="W509" s="980"/>
      <c r="X509" s="981" t="s">
        <v>632</v>
      </c>
      <c r="Y509" s="983"/>
      <c r="Z509" s="1412" t="str">
        <f>IFERROR(VLOOKUP(C509, [6]條件!$A:$L, 3, 0), "")</f>
        <v/>
      </c>
      <c r="AA509" s="984" t="str">
        <f>IF(OR(L509={"改紡","檢修","了機","清車","FINAL","停機","SAMPLE","TEST","絲開發"}), L509, IFERROR(IF(C509="", "", (SUM(J509, N509, R509, V509)/3 * AG509) * IF(AND(AF509="S", AS509="雙"), 0.5, 1)), ""))</f>
        <v>停機</v>
      </c>
      <c r="AB509" s="1413" t="str">
        <f t="shared" si="86"/>
        <v/>
      </c>
      <c r="AC509" s="984" t="str">
        <f>IF(OR(L509={"改紡","檢修","了機","清車","FINAL","停機","SAMPLE","TEST"}), "", IFERROR(IF(C509="", "", AVERAGE(L509:M509, P509:Q509, T509:U509, X509:Y509)/100), ""))</f>
        <v/>
      </c>
      <c r="AD509" s="984" t="str">
        <f t="shared" si="80"/>
        <v/>
      </c>
      <c r="AE509" s="984" t="str">
        <f t="shared" si="87"/>
        <v/>
      </c>
      <c r="AF509" s="985" t="str">
        <f t="shared" si="81"/>
        <v>T</v>
      </c>
      <c r="AG509" s="1414">
        <v>2</v>
      </c>
      <c r="AH509" s="981" t="s">
        <v>640</v>
      </c>
      <c r="AI509" s="986" t="s">
        <v>640</v>
      </c>
      <c r="AJ509" s="986" t="s">
        <v>640</v>
      </c>
      <c r="AK509" s="1417" t="s">
        <v>640</v>
      </c>
      <c r="AL509" s="1415"/>
      <c r="AM509" s="1323"/>
      <c r="AN509" s="1323"/>
      <c r="AO509" s="1323"/>
      <c r="AP509" s="1323"/>
      <c r="AQ509" s="1323"/>
      <c r="AR509" s="987"/>
      <c r="AS509" s="978" t="str">
        <f t="shared" si="82"/>
        <v>單</v>
      </c>
      <c r="AT509" s="978" t="str">
        <f t="shared" si="83"/>
        <v>半</v>
      </c>
      <c r="AU509" s="978" t="str">
        <f t="shared" si="84"/>
        <v/>
      </c>
      <c r="AV509" s="978" t="str">
        <f t="shared" si="85"/>
        <v/>
      </c>
    </row>
    <row r="510" spans="1:48">
      <c r="A510" s="975">
        <f t="shared" si="88"/>
        <v>46155</v>
      </c>
      <c r="B510" s="976" t="s">
        <v>388</v>
      </c>
      <c r="C510" s="976" t="s">
        <v>16730</v>
      </c>
      <c r="D510" s="1410" t="s">
        <v>633</v>
      </c>
      <c r="E510" s="977" t="str">
        <f>IFERROR(VLOOKUP(C510, [6]條件!$A:$L, 5, 0), "")</f>
        <v>225/72/2SDr</v>
      </c>
      <c r="F510" s="978" t="str">
        <f>IFERROR(VLOOKUP(C510, [6]條件!$A:$L, 6, 0), "")</f>
        <v>FP83024R×2</v>
      </c>
      <c r="G510" s="1411">
        <f>IFERROR(VLOOKUP(C510, [6]條件!$A:$L, 7, 0), "")</f>
        <v>550</v>
      </c>
      <c r="H510" s="978" t="str">
        <f>IF(ISNA(VLOOKUP(C510,[6]條件!$A$1:$K$932,11,0)),"",(VLOOKUP(C510,[6]條件!$A$1:$K$932,11,0)))</f>
        <v>灰色</v>
      </c>
      <c r="I510" s="979">
        <f>IF(ISNA(VLOOKUP(C510,[6]條件!$A$1:$L$932,12,0)),"",(VLOOKUP(C510,[6]條件!$A$1:$L$932,12,0)))</f>
        <v>5.5</v>
      </c>
      <c r="J510" s="982">
        <v>9</v>
      </c>
      <c r="K510" s="980">
        <v>0</v>
      </c>
      <c r="L510" s="981">
        <v>4350</v>
      </c>
      <c r="M510" s="983"/>
      <c r="N510" s="982"/>
      <c r="O510" s="980"/>
      <c r="P510" s="981" t="s">
        <v>127</v>
      </c>
      <c r="Q510" s="983"/>
      <c r="R510" s="982"/>
      <c r="S510" s="980"/>
      <c r="T510" s="981" t="s">
        <v>127</v>
      </c>
      <c r="U510" s="983"/>
      <c r="V510" s="982"/>
      <c r="W510" s="980"/>
      <c r="X510" s="981" t="s">
        <v>127</v>
      </c>
      <c r="Y510" s="983"/>
      <c r="Z510" s="1412">
        <f>IFERROR(VLOOKUP(C510, [6]條件!$A:$L, 3, 0), "")</f>
        <v>6.6055045871559628</v>
      </c>
      <c r="AA510" s="984">
        <f>IF(OR(L510={"改紡","檢修","了機","清車","FINAL","停機","SAMPLE","TEST","絲開發"}), L510, IFERROR(IF(C510="", "", (SUM(J510, N510, R510, V510)/3 * AG510) * IF(AND(AF510="S", AS510="雙"), 0.5, 1)), ""))</f>
        <v>6</v>
      </c>
      <c r="AB510" s="1413">
        <f t="shared" si="86"/>
        <v>1</v>
      </c>
      <c r="AC510" s="984">
        <f>IF(OR(L510={"改紡","檢修","了機","清車","FINAL","停機","SAMPLE","TEST"}), "", IFERROR(IF(C510="", "", AVERAGE(L510:M510, P510:Q510, T510:U510, X510:Y510)/100), ""))</f>
        <v>43.5</v>
      </c>
      <c r="AD510" s="984">
        <f t="shared" si="80"/>
        <v>0.75</v>
      </c>
      <c r="AE510" s="984">
        <f t="shared" si="87"/>
        <v>0.75</v>
      </c>
      <c r="AF510" s="985" t="str">
        <f t="shared" si="81"/>
        <v>T</v>
      </c>
      <c r="AG510" s="1414">
        <v>2</v>
      </c>
      <c r="AH510" s="981" t="s">
        <v>638</v>
      </c>
      <c r="AI510" s="986" t="s">
        <v>638</v>
      </c>
      <c r="AJ510" s="986" t="s">
        <v>639</v>
      </c>
      <c r="AK510" s="1417" t="s">
        <v>639</v>
      </c>
      <c r="AL510" s="1415">
        <v>53</v>
      </c>
      <c r="AM510" s="1323">
        <v>46143</v>
      </c>
      <c r="AN510" s="1323"/>
      <c r="AO510" s="1323"/>
      <c r="AP510" s="1323"/>
      <c r="AQ510" s="1323"/>
      <c r="AR510" s="987"/>
      <c r="AS510" s="978" t="str">
        <f t="shared" si="82"/>
        <v>雙</v>
      </c>
      <c r="AT510" s="978" t="str">
        <f t="shared" si="83"/>
        <v>半</v>
      </c>
      <c r="AU510" s="978">
        <f t="shared" si="84"/>
        <v>225</v>
      </c>
      <c r="AV510" s="978">
        <f t="shared" si="85"/>
        <v>1.8604079999999998</v>
      </c>
    </row>
    <row r="511" spans="1:48">
      <c r="A511" s="975">
        <f t="shared" si="88"/>
        <v>46155</v>
      </c>
      <c r="B511" s="976" t="s">
        <v>388</v>
      </c>
      <c r="C511" s="976" t="s">
        <v>16775</v>
      </c>
      <c r="D511" s="1410" t="s">
        <v>633</v>
      </c>
      <c r="E511" s="977" t="str">
        <f>IFERROR(VLOOKUP(C511, [6]條件!$A:$L, 5, 0), "")</f>
        <v>150/48/2SDr</v>
      </c>
      <c r="F511" s="978" t="str">
        <f>IFERROR(VLOOKUP(C511, [6]條件!$A:$L, 6, 0), "")</f>
        <v>FP82173R×2</v>
      </c>
      <c r="G511" s="1411">
        <f>IFERROR(VLOOKUP(C511, [6]條件!$A:$L, 7, 0), "")</f>
        <v>700</v>
      </c>
      <c r="H511" s="978" t="str">
        <f>IF(ISNA(VLOOKUP(C511,[6]條件!$A$1:$K$932,11,0)),"",(VLOOKUP(C511,[6]條件!$A$1:$K$932,11,0)))</f>
        <v>黃紅雙色</v>
      </c>
      <c r="I511" s="979">
        <f>IF(ISNA(VLOOKUP(C511,[6]條件!$A$1:$L$932,12,0)),"",(VLOOKUP(C511,[6]條件!$A$1:$L$932,12,0)))</f>
        <v>5.5</v>
      </c>
      <c r="J511" s="982">
        <v>6</v>
      </c>
      <c r="K511" s="980">
        <v>0</v>
      </c>
      <c r="L511" s="981"/>
      <c r="M511" s="983">
        <v>10000</v>
      </c>
      <c r="N511" s="982">
        <v>17</v>
      </c>
      <c r="O511" s="980">
        <v>0</v>
      </c>
      <c r="P511" s="981"/>
      <c r="Q511" s="983">
        <v>9910</v>
      </c>
      <c r="R511" s="982">
        <v>0</v>
      </c>
      <c r="S511" s="980">
        <v>0</v>
      </c>
      <c r="T511" s="981">
        <v>9630</v>
      </c>
      <c r="U511" s="983"/>
      <c r="V511" s="982">
        <v>3</v>
      </c>
      <c r="W511" s="980">
        <v>0</v>
      </c>
      <c r="X511" s="981">
        <v>9810</v>
      </c>
      <c r="Y511" s="983"/>
      <c r="Z511" s="1412">
        <f>IFERROR(VLOOKUP(C511, [6]條件!$A:$L, 3, 0), "")</f>
        <v>5.8536585365853666</v>
      </c>
      <c r="AA511" s="984">
        <f>IF(OR(L511={"改紡","檢修","了機","清車","FINAL","停機","SAMPLE","TEST","絲開發"}), L511, IFERROR(IF(C511="", "", (SUM(J511, N511, R511, V511)/3 * AG511) * IF(AND(AF511="S", AS511="雙"), 0.5, 1)), ""))</f>
        <v>17.333333333333332</v>
      </c>
      <c r="AB511" s="1413">
        <f t="shared" si="86"/>
        <v>1</v>
      </c>
      <c r="AC511" s="984">
        <f>IF(OR(L511={"改紡","檢修","了機","清車","FINAL","停機","SAMPLE","TEST"}), "", IFERROR(IF(C511="", "", AVERAGE(L511:M511, P511:Q511, T511:U511, X511:Y511)/100), ""))</f>
        <v>98.375</v>
      </c>
      <c r="AD511" s="984">
        <f t="shared" si="80"/>
        <v>2.1666666666666665</v>
      </c>
      <c r="AE511" s="984">
        <f t="shared" si="87"/>
        <v>2.1666666666666665</v>
      </c>
      <c r="AF511" s="985" t="str">
        <f t="shared" si="81"/>
        <v>T</v>
      </c>
      <c r="AG511" s="1414">
        <v>2</v>
      </c>
      <c r="AH511" s="981" t="s">
        <v>638</v>
      </c>
      <c r="AI511" s="986" t="s">
        <v>638</v>
      </c>
      <c r="AJ511" s="986" t="s">
        <v>639</v>
      </c>
      <c r="AK511" s="1417" t="s">
        <v>639</v>
      </c>
      <c r="AL511" s="1415">
        <v>56</v>
      </c>
      <c r="AM511" s="1323">
        <v>46151</v>
      </c>
      <c r="AN511" s="1323">
        <v>46152</v>
      </c>
      <c r="AO511" s="1323"/>
      <c r="AP511" s="1323"/>
      <c r="AQ511" s="1323"/>
      <c r="AR511" s="987"/>
      <c r="AS511" s="978" t="str">
        <f t="shared" si="82"/>
        <v>雙</v>
      </c>
      <c r="AT511" s="978" t="str">
        <f t="shared" si="83"/>
        <v>半</v>
      </c>
      <c r="AU511" s="978">
        <f t="shared" si="84"/>
        <v>150</v>
      </c>
      <c r="AV511" s="978">
        <f t="shared" si="85"/>
        <v>3.5698320000000003</v>
      </c>
    </row>
    <row r="512" spans="1:48">
      <c r="A512" s="975">
        <f t="shared" si="88"/>
        <v>46155</v>
      </c>
      <c r="B512" s="976" t="s">
        <v>417</v>
      </c>
      <c r="C512" s="976" t="s">
        <v>16767</v>
      </c>
      <c r="D512" s="1410" t="s">
        <v>633</v>
      </c>
      <c r="E512" s="977" t="str">
        <f>IFERROR(VLOOKUP(C512, [6]條件!$A:$L, 5, 0), "")</f>
        <v>150/48/2SDr</v>
      </c>
      <c r="F512" s="978" t="str">
        <f>IFERROR(VLOOKUP(C512, [6]條件!$A:$L, 6, 0), "")</f>
        <v>FP82173R×2</v>
      </c>
      <c r="G512" s="1411">
        <f>IFERROR(VLOOKUP(C512, [6]條件!$A:$L, 7, 0), "")</f>
        <v>700</v>
      </c>
      <c r="H512" s="978" t="str">
        <f>IF(ISNA(VLOOKUP(C512,[6]條件!$A$1:$K$932,11,0)),"",(VLOOKUP(C512,[6]條件!$A$1:$K$932,11,0)))</f>
        <v>棕色</v>
      </c>
      <c r="I512" s="979">
        <f>IF(ISNA(VLOOKUP(C512,[6]條件!$A$1:$L$932,12,0)),"",(VLOOKUP(C512,[6]條件!$A$1:$L$932,12,0)))</f>
        <v>5.5</v>
      </c>
      <c r="J512" s="982"/>
      <c r="K512" s="980"/>
      <c r="L512" s="981" t="s">
        <v>628</v>
      </c>
      <c r="M512" s="983"/>
      <c r="N512" s="982"/>
      <c r="O512" s="980"/>
      <c r="P512" s="981" t="s">
        <v>628</v>
      </c>
      <c r="Q512" s="983"/>
      <c r="R512" s="982">
        <v>0</v>
      </c>
      <c r="S512" s="980">
        <v>0</v>
      </c>
      <c r="T512" s="981">
        <v>9910</v>
      </c>
      <c r="U512" s="983">
        <v>9350</v>
      </c>
      <c r="V512" s="982">
        <v>19</v>
      </c>
      <c r="W512" s="980">
        <v>1</v>
      </c>
      <c r="X512" s="981">
        <v>9910</v>
      </c>
      <c r="Y512" s="983">
        <v>9260</v>
      </c>
      <c r="Z512" s="1412">
        <f>IFERROR(VLOOKUP(C512, [6]條件!$A:$L, 3, 0), "")</f>
        <v>5.8536585365853666</v>
      </c>
      <c r="AA512" s="984" t="str">
        <f>IF(OR(L512={"改紡","檢修","了機","清車","FINAL","停機","SAMPLE","TEST","絲開發"}), L512, IFERROR(IF(C512="", "", (SUM(J512, N512, R512, V512)/3 * AG512) * IF(AND(AF512="S", AS512="雙"), 0.5, 1)), ""))</f>
        <v>清車</v>
      </c>
      <c r="AB512" s="1413" t="str">
        <f t="shared" si="86"/>
        <v/>
      </c>
      <c r="AC512" s="984" t="str">
        <f>IF(OR(L512={"改紡","檢修","了機","清車","FINAL","停機","SAMPLE","TEST"}), "", IFERROR(IF(C512="", "", AVERAGE(L512:M512, P512:Q512, T512:U512, X512:Y512)/100), ""))</f>
        <v/>
      </c>
      <c r="AD512" s="984" t="str">
        <f t="shared" si="80"/>
        <v/>
      </c>
      <c r="AE512" s="984" t="str">
        <f t="shared" si="87"/>
        <v/>
      </c>
      <c r="AF512" s="985" t="str">
        <f t="shared" si="81"/>
        <v>T</v>
      </c>
      <c r="AG512" s="1414">
        <v>1</v>
      </c>
      <c r="AH512" s="981" t="s">
        <v>638</v>
      </c>
      <c r="AI512" s="986" t="s">
        <v>638</v>
      </c>
      <c r="AJ512" s="986" t="s">
        <v>639</v>
      </c>
      <c r="AK512" s="1417" t="s">
        <v>639</v>
      </c>
      <c r="AL512" s="1415">
        <v>56</v>
      </c>
      <c r="AM512" s="1323">
        <v>46150</v>
      </c>
      <c r="AN512" s="1323">
        <v>46151</v>
      </c>
      <c r="AO512" s="1323">
        <v>46152</v>
      </c>
      <c r="AP512" s="1323"/>
      <c r="AQ512" s="1323"/>
      <c r="AR512" s="987"/>
      <c r="AS512" s="978" t="str">
        <f t="shared" si="82"/>
        <v>雙</v>
      </c>
      <c r="AT512" s="978" t="str">
        <f t="shared" si="83"/>
        <v>全</v>
      </c>
      <c r="AU512" s="978">
        <f t="shared" si="84"/>
        <v>150</v>
      </c>
      <c r="AV512" s="978" t="str">
        <f t="shared" si="85"/>
        <v/>
      </c>
    </row>
    <row r="513" spans="1:48">
      <c r="A513" s="975">
        <f t="shared" si="88"/>
        <v>46155</v>
      </c>
      <c r="B513" s="976" t="s">
        <v>240</v>
      </c>
      <c r="C513" s="976" t="s">
        <v>16776</v>
      </c>
      <c r="D513" s="1410"/>
      <c r="E513" s="977" t="str">
        <f>IFERROR(VLOOKUP(C513, [6]條件!$A:$L, 5, 0), "")</f>
        <v>50/72/2SDFFR</v>
      </c>
      <c r="F513" s="978" t="str">
        <f>IFERROR(VLOOKUP(C513, [6]條件!$A:$L, 6, 0), "")</f>
        <v>FP80099R×2</v>
      </c>
      <c r="G513" s="1411">
        <f>IFERROR(VLOOKUP(C513, [6]條件!$A:$L, 7, 0), "")</f>
        <v>500</v>
      </c>
      <c r="H513" s="978" t="str">
        <f>IF(ISNA(VLOOKUP(C513,[6]條件!$A$1:$K$932,11,0)),"",(VLOOKUP(C513,[6]條件!$A$1:$K$932,11,0)))</f>
        <v>白黑三角</v>
      </c>
      <c r="I513" s="979">
        <f>IF(ISNA(VLOOKUP(C513,[6]條件!$A$1:$L$932,12,0)),"",(VLOOKUP(C513,[6]條件!$A$1:$L$932,12,0)))</f>
        <v>4</v>
      </c>
      <c r="J513" s="982">
        <v>22</v>
      </c>
      <c r="K513" s="980">
        <v>0</v>
      </c>
      <c r="L513" s="981">
        <v>2781</v>
      </c>
      <c r="M513" s="983"/>
      <c r="N513" s="982">
        <v>8</v>
      </c>
      <c r="O513" s="980">
        <v>0</v>
      </c>
      <c r="P513" s="981">
        <v>3268</v>
      </c>
      <c r="Q513" s="983"/>
      <c r="R513" s="982">
        <v>16</v>
      </c>
      <c r="S513" s="980">
        <v>0</v>
      </c>
      <c r="T513" s="981">
        <v>3023</v>
      </c>
      <c r="U513" s="983"/>
      <c r="V513" s="982">
        <v>8</v>
      </c>
      <c r="W513" s="980">
        <v>0</v>
      </c>
      <c r="X513" s="981">
        <v>2740</v>
      </c>
      <c r="Y513" s="983"/>
      <c r="Z513" s="1422">
        <f>IFERROR(VLOOKUP(C513, [6]條件!$A:$L, 3, 0), "")</f>
        <v>2.028169014084507</v>
      </c>
      <c r="AA513" s="1167">
        <f>IF(OR(L513={"改紡","檢修","了機","清車","FINAL","停機","SAMPLE","TEST","絲開發"}), L513, IFERROR(IF(C513="", "", (SUM(J513, N513, R513, V513)/3 * AG513) * IF(AND(AF513="S", AS513="雙"), 0.5, 1)), ""))</f>
        <v>27</v>
      </c>
      <c r="AB513" s="1423">
        <f>IF(K513="","",IF(ISERROR(1-((SUM(K513,O513,S513,W513)/((AG513*12)-(AG513*0.44)))/Z513)),"",(1-((SUM(K513,O513,S513,W513)/((AG513*12)-(AG513*0.44)))/Z513))))</f>
        <v>1</v>
      </c>
      <c r="AC513" s="1167">
        <f>IF(OR(L513={"改紡","檢修","了機","清車","FINAL","停機","SAMPLE","TEST"}), "", IFERROR(IF(C513="", "", AVERAGE(L513:M513, P513:Q513, T513:U513, X513:Y513)/100), ""))</f>
        <v>29.53</v>
      </c>
      <c r="AD513" s="1167">
        <f t="shared" si="80"/>
        <v>3.375</v>
      </c>
      <c r="AE513" s="1167">
        <f>IF(P513="了機","",IF(J513="","",IF(ISERROR((SUM(J513,N513,R513,V513)-SUM(K513,O513,S513,W513))/24),"",((SUM(J513,N513,R513,V513)-SUM(K513,O513,S513,W513))/24))))</f>
        <v>2.25</v>
      </c>
      <c r="AF513" s="1168" t="str">
        <f t="shared" si="81"/>
        <v>S</v>
      </c>
      <c r="AG513" s="1424">
        <v>3</v>
      </c>
      <c r="AH513" s="981" t="s">
        <v>636</v>
      </c>
      <c r="AI513" s="986" t="s">
        <v>636</v>
      </c>
      <c r="AJ513" s="986" t="s">
        <v>829</v>
      </c>
      <c r="AK513" s="1417" t="s">
        <v>829</v>
      </c>
      <c r="AL513" s="1415">
        <v>50</v>
      </c>
      <c r="AM513" s="1323">
        <v>46041</v>
      </c>
      <c r="AN513" s="1323">
        <v>46043</v>
      </c>
      <c r="AO513" s="1323"/>
      <c r="AP513" s="1323"/>
      <c r="AQ513" s="1323"/>
      <c r="AR513" s="987"/>
      <c r="AS513" s="978" t="str">
        <f t="shared" si="82"/>
        <v>雙</v>
      </c>
      <c r="AT513" s="978" t="str">
        <f t="shared" si="83"/>
        <v>3sec</v>
      </c>
      <c r="AU513" s="978">
        <f t="shared" si="84"/>
        <v>50</v>
      </c>
      <c r="AV513" s="978">
        <f t="shared" si="85"/>
        <v>3.1892400000000001E-2</v>
      </c>
    </row>
    <row r="514" spans="1:48">
      <c r="A514" s="975">
        <f t="shared" si="88"/>
        <v>46155</v>
      </c>
      <c r="B514" s="976" t="s">
        <v>240</v>
      </c>
      <c r="C514" s="976" t="s">
        <v>16777</v>
      </c>
      <c r="D514" s="1410"/>
      <c r="E514" s="977" t="str">
        <f>IFERROR(VLOOKUP(C514, [6]條件!$A:$L, 5, 0), "")</f>
        <v>75/72/2SDFFR</v>
      </c>
      <c r="F514" s="978" t="str">
        <f>IFERROR(VLOOKUP(C514, [6]條件!$A:$L, 6, 0), "")</f>
        <v>FP81209R×2</v>
      </c>
      <c r="G514" s="1411">
        <f>IFERROR(VLOOKUP(C514, [6]條件!$A:$L, 7, 0), "")</f>
        <v>600</v>
      </c>
      <c r="H514" s="978" t="str">
        <f>IF(ISNA(VLOOKUP(C514,[6]條件!$A$1:$K$932,11,0)),"",(VLOOKUP(C514,[6]條件!$A$1:$K$932,11,0)))</f>
        <v>白底紅十字</v>
      </c>
      <c r="I514" s="979">
        <f>IF(ISNA(VLOOKUP(C514,[6]條件!$A$1:$L$932,12,0)),"",(VLOOKUP(C514,[6]條件!$A$1:$L$932,12,0)))</f>
        <v>5</v>
      </c>
      <c r="J514" s="982">
        <v>14</v>
      </c>
      <c r="K514" s="980">
        <v>0</v>
      </c>
      <c r="L514" s="981">
        <v>2781</v>
      </c>
      <c r="M514" s="983"/>
      <c r="N514" s="982">
        <v>4</v>
      </c>
      <c r="O514" s="980">
        <v>0</v>
      </c>
      <c r="P514" s="981">
        <v>3268</v>
      </c>
      <c r="Q514" s="983"/>
      <c r="R514" s="982">
        <v>4</v>
      </c>
      <c r="S514" s="980">
        <v>0</v>
      </c>
      <c r="T514" s="981">
        <v>3033</v>
      </c>
      <c r="U514" s="983"/>
      <c r="V514" s="982">
        <v>28</v>
      </c>
      <c r="W514" s="980">
        <v>0</v>
      </c>
      <c r="X514" s="981">
        <v>2740</v>
      </c>
      <c r="Y514" s="983"/>
      <c r="Z514" s="1422">
        <f>IFERROR(VLOOKUP(C514, [6]條件!$A:$L, 3, 0), "")</f>
        <v>2.7852998065764023</v>
      </c>
      <c r="AA514" s="1167">
        <f>IF(OR(L514={"改紡","檢修","了機","清車","FINAL","停機","SAMPLE","TEST","絲開發"}), L514, IFERROR(IF(C514="", "", (SUM(J514, N514, R514, V514)/3 * AG514) * IF(AND(AF514="S", AS514="雙"), 0.5, 1)), ""))</f>
        <v>25</v>
      </c>
      <c r="AB514" s="1423">
        <f>IF(K514="","",IF(ISERROR(1-((SUM(K514,O514,S514,W514)/((AG514*12)-(AG514*0.44)))/Z514)),"",(1-((SUM(K514,O514,S514,W514)/((AG514*12)-(AG514*0.44)))/Z514))))</f>
        <v>1</v>
      </c>
      <c r="AC514" s="1167">
        <f>IF(OR(L514={"改紡","檢修","了機","清車","FINAL","停機","SAMPLE","TEST"}), "", IFERROR(IF(C514="", "", AVERAGE(L514:M514, P514:Q514, T514:U514, X514:Y514)/100), ""))</f>
        <v>29.555</v>
      </c>
      <c r="AD514" s="1167">
        <f t="shared" ref="AD514:AD577" si="89">IF(ISERROR(AA514/8),"",(AA514/8))</f>
        <v>3.125</v>
      </c>
      <c r="AE514" s="1167">
        <f>IF(P514="了機","",IF(J514="","",IF(ISERROR((SUM(J514,N514,R514,V514)-SUM(K514,O514,S514,W514))/24),"",((SUM(J514,N514,R514,V514)-SUM(K514,O514,S514,W514))/24))))</f>
        <v>2.0833333333333335</v>
      </c>
      <c r="AF514" s="1168" t="str">
        <f t="shared" ref="AF514:AF577" si="90">LEFT(B514, 1)</f>
        <v>S</v>
      </c>
      <c r="AG514" s="1424">
        <v>3</v>
      </c>
      <c r="AH514" s="981" t="s">
        <v>636</v>
      </c>
      <c r="AI514" s="986" t="s">
        <v>636</v>
      </c>
      <c r="AJ514" s="986" t="s">
        <v>829</v>
      </c>
      <c r="AK514" s="1417" t="s">
        <v>829</v>
      </c>
      <c r="AL514" s="1415">
        <v>50</v>
      </c>
      <c r="AM514" s="1323">
        <v>46087</v>
      </c>
      <c r="AN514" s="1323">
        <v>46089</v>
      </c>
      <c r="AO514" s="1323"/>
      <c r="AP514" s="1323"/>
      <c r="AQ514" s="1323"/>
      <c r="AR514" s="987"/>
      <c r="AS514" s="978" t="str">
        <f t="shared" ref="AS514:AS577" si="91">IF(RIGHT(F514, 2) = "×2", "雙", "單")</f>
        <v>雙</v>
      </c>
      <c r="AT514" s="978" t="str">
        <f t="shared" ref="AT514:AT577" si="92">IF(OR(AF514="J", AF514="T", AF514="M"), IF(AG514=1, "全", "半"), IF(AF514="A", IF(AG514=0.5, IF(AS514="雙", "全", ""), IF(AG514=1, IF(AS514="雙", "半", "全"), IF(AG514=2, "半", ""))), IF(AF514="S", AG514 &amp; "sec", "")))</f>
        <v>3sec</v>
      </c>
      <c r="AU514" s="978">
        <f t="shared" ref="AU514:AU577" si="93">IFERROR(VALUE(LEFT(E514, FIND("/", E514)-1)), "")</f>
        <v>75</v>
      </c>
      <c r="AV514" s="978">
        <f t="shared" ref="AV514:AV577" si="94">IFERROR(IF(AF514="S", (AU514*G514*AC514*0.03456/100/1000) * (AG514*12/144) * IF(AS514="單", 1, 0.5), IF(AF514="A", (AU514*G514*AC514*0.03456/100/1000) * IF(AT514="全", 1, 0.5), IF(OR(AF514="T", AF514="J", AF514="M"), (AU514*G514*AC514*0.03456/100/1000) * IF(AS514="單", 1, 2) * IF(AT514="全", 1, 0.5), 0))), "")</f>
        <v>5.745492E-2</v>
      </c>
    </row>
    <row r="515" spans="1:48">
      <c r="A515" s="975">
        <f t="shared" si="88"/>
        <v>46155</v>
      </c>
      <c r="B515" s="976" t="s">
        <v>242</v>
      </c>
      <c r="C515" s="976" t="s">
        <v>385</v>
      </c>
      <c r="D515" s="1410"/>
      <c r="E515" s="977" t="str">
        <f>IFERROR(VLOOKUP(C515, [6]條件!$A:$L, 5, 0), "")</f>
        <v/>
      </c>
      <c r="F515" s="978" t="str">
        <f>IFERROR(VLOOKUP(C515, [6]條件!$A:$L, 6, 0), "")</f>
        <v/>
      </c>
      <c r="G515" s="1411" t="str">
        <f>IFERROR(VLOOKUP(C515, [6]條件!$A:$L, 7, 0), "")</f>
        <v/>
      </c>
      <c r="H515" s="978" t="str">
        <f>IF(ISNA(VLOOKUP(C515,[6]條件!$A$1:$K$932,11,0)),"",(VLOOKUP(C515,[6]條件!$A$1:$K$932,11,0)))</f>
        <v/>
      </c>
      <c r="I515" s="979" t="str">
        <f>IF(ISNA(VLOOKUP(C515,[6]條件!$A$1:$L$932,12,0)),"",(VLOOKUP(C515,[6]條件!$A$1:$L$932,12,0)))</f>
        <v/>
      </c>
      <c r="J515" s="982"/>
      <c r="K515" s="980"/>
      <c r="L515" s="981" t="s">
        <v>385</v>
      </c>
      <c r="M515" s="983"/>
      <c r="N515" s="982"/>
      <c r="O515" s="980"/>
      <c r="P515" s="981" t="s">
        <v>385</v>
      </c>
      <c r="Q515" s="983"/>
      <c r="R515" s="982"/>
      <c r="S515" s="980"/>
      <c r="T515" s="981" t="s">
        <v>385</v>
      </c>
      <c r="U515" s="983"/>
      <c r="V515" s="982"/>
      <c r="W515" s="980"/>
      <c r="X515" s="981" t="s">
        <v>385</v>
      </c>
      <c r="Y515" s="983"/>
      <c r="Z515" s="1422" t="str">
        <f>IFERROR(VLOOKUP(C515, [6]條件!$A:$L, 3, 0), "")</f>
        <v/>
      </c>
      <c r="AA515" s="1167" t="str">
        <f>IF(OR(L515={"改紡","檢修","了機","清車","FINAL","停機","SAMPLE","TEST","絲開發"}), L515, IFERROR(IF(C515="", "", (SUM(J515, N515, R515, V515)/3 * AG515) * IF(AND(AF515="S", AS515="雙"), 0.5, 1)), ""))</f>
        <v>絲開發</v>
      </c>
      <c r="AB515" s="1423" t="str">
        <f>IF(K515="","",IF(ISERROR(1-((SUM(K515,O515,S515,W515)/((AG515*12)-(AG515*0.44)))/Z515)),"",(1-((SUM(K515,O515,S515,W515)/((AG515*12)-(AG515*0.44)))/Z515))))</f>
        <v/>
      </c>
      <c r="AC515" s="1167" t="str">
        <f>IF(OR(L515={"改紡","檢修","了機","清車","FINAL","停機","SAMPLE","TEST"}), "", IFERROR(IF(C515="", "", AVERAGE(L515:M515, P515:Q515, T515:U515, X515:Y515)/100), ""))</f>
        <v/>
      </c>
      <c r="AD515" s="1167" t="str">
        <f t="shared" si="89"/>
        <v/>
      </c>
      <c r="AE515" s="1167" t="str">
        <f>IF(P515="了機","",IF(J515="","",IF(ISERROR((SUM(J515,N515,R515,V515)-SUM(K515,O515,S515,W515))/24),"",((SUM(J515,N515,R515,V515)-SUM(K515,O515,S515,W515))/24))))</f>
        <v/>
      </c>
      <c r="AF515" s="1168" t="str">
        <f t="shared" si="90"/>
        <v>S</v>
      </c>
      <c r="AG515" s="1424">
        <v>5</v>
      </c>
      <c r="AH515" s="981" t="s">
        <v>636</v>
      </c>
      <c r="AI515" s="986" t="s">
        <v>636</v>
      </c>
      <c r="AJ515" s="986" t="s">
        <v>829</v>
      </c>
      <c r="AK515" s="1417" t="s">
        <v>829</v>
      </c>
      <c r="AL515" s="1415"/>
      <c r="AM515" s="1323"/>
      <c r="AN515" s="1323"/>
      <c r="AO515" s="1323"/>
      <c r="AP515" s="1323"/>
      <c r="AQ515" s="1323"/>
      <c r="AR515" s="987"/>
      <c r="AS515" s="978" t="str">
        <f t="shared" si="91"/>
        <v>單</v>
      </c>
      <c r="AT515" s="978" t="str">
        <f t="shared" si="92"/>
        <v>5sec</v>
      </c>
      <c r="AU515" s="978" t="str">
        <f t="shared" si="93"/>
        <v/>
      </c>
      <c r="AV515" s="978" t="str">
        <f t="shared" si="94"/>
        <v/>
      </c>
    </row>
    <row r="516" spans="1:48">
      <c r="A516" s="975">
        <f t="shared" si="88"/>
        <v>46155</v>
      </c>
      <c r="B516" s="976" t="s">
        <v>16078</v>
      </c>
      <c r="C516" s="988" t="s">
        <v>16185</v>
      </c>
      <c r="D516" s="1410"/>
      <c r="E516" s="977" t="str">
        <f>IFERROR(VLOOKUP(C516, [6]條件!$A:$L, 5, 0), "")</f>
        <v/>
      </c>
      <c r="F516" s="978" t="str">
        <f>IFERROR(VLOOKUP(C516, [6]條件!$A:$L, 6, 0), "")</f>
        <v/>
      </c>
      <c r="G516" s="1411" t="str">
        <f>IFERROR(VLOOKUP(C516, [6]條件!$A:$L, 7, 0), "")</f>
        <v/>
      </c>
      <c r="H516" s="978" t="str">
        <f>IF(ISNA(VLOOKUP(C516,[6]條件!$A$1:$K$932,11,0)),"",(VLOOKUP(C516,[6]條件!$A$1:$K$932,11,0)))</f>
        <v/>
      </c>
      <c r="I516" s="979" t="str">
        <f>IF(ISNA(VLOOKUP(C516,[6]條件!$A$1:$L$932,12,0)),"",(VLOOKUP(C516,[6]條件!$A$1:$L$932,12,0)))</f>
        <v/>
      </c>
      <c r="J516" s="982"/>
      <c r="K516" s="980"/>
      <c r="L516" s="981" t="s">
        <v>632</v>
      </c>
      <c r="M516" s="983"/>
      <c r="N516" s="982"/>
      <c r="O516" s="980"/>
      <c r="P516" s="981" t="s">
        <v>632</v>
      </c>
      <c r="Q516" s="983"/>
      <c r="R516" s="982"/>
      <c r="S516" s="980"/>
      <c r="T516" s="981" t="s">
        <v>632</v>
      </c>
      <c r="U516" s="983"/>
      <c r="V516" s="982"/>
      <c r="W516" s="980"/>
      <c r="X516" s="981" t="s">
        <v>632</v>
      </c>
      <c r="Y516" s="983"/>
      <c r="Z516" s="1412" t="str">
        <f>IFERROR(VLOOKUP(C516, [6]條件!$A:$L, 3, 0), "")</f>
        <v/>
      </c>
      <c r="AA516" s="984" t="str">
        <f>IF(OR(L516={"改紡","檢修","了機","清車","FINAL","停機","SAMPLE","TEST","絲開發"}), L516, IFERROR(IF(C516="", "", (SUM(J516, N516, R516, V516)/3 * AG516) * IF(AND(AF516="S", AS516="雙"), 0.5, 1)), ""))</f>
        <v>停機</v>
      </c>
      <c r="AB516" s="1413" t="str">
        <f t="shared" ref="AB516:AB552" si="95">IF(K516="","",IF(ISERROR(1-(SUM(K516,O516,S516,W516)/208/Z516)),"",(1-(SUM(K516,O516,S516,W516)/208/Z516))))</f>
        <v/>
      </c>
      <c r="AC516" s="984" t="str">
        <f>IF(OR(L516={"改紡","檢修","了機","清車","FINAL","停機","SAMPLE","TEST"}), "", IFERROR(IF(C516="", "", AVERAGE(L516:M516, P516:Q516, T516:U516, X516:Y516)/100), ""))</f>
        <v/>
      </c>
      <c r="AD516" s="984" t="str">
        <f t="shared" si="89"/>
        <v/>
      </c>
      <c r="AE516" s="984" t="str">
        <f>IF(OR(L516="改紡", L516="檢修", L516="了機"), "",
   IF(AND(C516&lt;&gt;"", J516&lt;&gt;""),
      IFERROR((SUM(J516, N516, R516, V516) - SUM(K516, O516, S516, W516))/24 * AG516, ""),
   "")
)</f>
        <v/>
      </c>
      <c r="AF516" s="985" t="str">
        <f t="shared" si="90"/>
        <v>M</v>
      </c>
      <c r="AG516" s="1414">
        <v>1</v>
      </c>
      <c r="AH516" s="981" t="s">
        <v>640</v>
      </c>
      <c r="AI516" s="986" t="s">
        <v>640</v>
      </c>
      <c r="AJ516" s="986" t="s">
        <v>640</v>
      </c>
      <c r="AK516" s="1417" t="s">
        <v>640</v>
      </c>
      <c r="AL516" s="1415"/>
      <c r="AM516" s="1323"/>
      <c r="AN516" s="1323"/>
      <c r="AO516" s="1323"/>
      <c r="AP516" s="1323"/>
      <c r="AQ516" s="1323"/>
      <c r="AR516" s="987"/>
      <c r="AS516" s="978" t="str">
        <f t="shared" si="91"/>
        <v>單</v>
      </c>
      <c r="AT516" s="978" t="str">
        <f t="shared" si="92"/>
        <v>全</v>
      </c>
      <c r="AU516" s="978" t="str">
        <f t="shared" si="93"/>
        <v/>
      </c>
      <c r="AV516" s="978" t="str">
        <f t="shared" si="94"/>
        <v/>
      </c>
    </row>
    <row r="517" spans="1:48">
      <c r="A517" s="975">
        <f t="shared" si="88"/>
        <v>46155</v>
      </c>
      <c r="B517" s="976" t="s">
        <v>243</v>
      </c>
      <c r="C517" s="988" t="s">
        <v>16185</v>
      </c>
      <c r="D517" s="1410"/>
      <c r="E517" s="977" t="str">
        <f>IFERROR(VLOOKUP(C517, [6]條件!$A:$L, 5, 0), "")</f>
        <v/>
      </c>
      <c r="F517" s="978" t="str">
        <f>IFERROR(VLOOKUP(C517, [6]條件!$A:$L, 6, 0), "")</f>
        <v/>
      </c>
      <c r="G517" s="1411" t="str">
        <f>IFERROR(VLOOKUP(C517, [6]條件!$A:$L, 7, 0), "")</f>
        <v/>
      </c>
      <c r="H517" s="978" t="str">
        <f>IF(ISNA(VLOOKUP(C517,[6]條件!$A$1:$K$932,11,0)),"",(VLOOKUP(C517,[6]條件!$A$1:$K$932,11,0)))</f>
        <v/>
      </c>
      <c r="I517" s="979" t="str">
        <f>IF(ISNA(VLOOKUP(C517,[6]條件!$A$1:$L$932,12,0)),"",(VLOOKUP(C517,[6]條件!$A$1:$L$932,12,0)))</f>
        <v/>
      </c>
      <c r="J517" s="982"/>
      <c r="K517" s="980"/>
      <c r="L517" s="981" t="s">
        <v>632</v>
      </c>
      <c r="M517" s="983"/>
      <c r="N517" s="982"/>
      <c r="O517" s="980"/>
      <c r="P517" s="981" t="s">
        <v>632</v>
      </c>
      <c r="Q517" s="983"/>
      <c r="R517" s="982"/>
      <c r="S517" s="980"/>
      <c r="T517" s="981" t="s">
        <v>632</v>
      </c>
      <c r="U517" s="983"/>
      <c r="V517" s="982"/>
      <c r="W517" s="980"/>
      <c r="X517" s="981" t="s">
        <v>632</v>
      </c>
      <c r="Y517" s="983"/>
      <c r="Z517" s="1412" t="str">
        <f>IFERROR(VLOOKUP(C517, [6]條件!$A:$L, 3, 0), "")</f>
        <v/>
      </c>
      <c r="AA517" s="984" t="str">
        <f>IF(OR(L517={"改紡","檢修","了機","清車","FINAL","停機","SAMPLE","TEST","絲開發"}), L517, IFERROR(IF(C517="", "", (SUM(J517, N517, R517, V517)/3 * AG517) * IF(AND(AF517="S", AS517="雙"), 0.5, 1)), ""))</f>
        <v>停機</v>
      </c>
      <c r="AB517" s="1413" t="str">
        <f t="shared" si="95"/>
        <v/>
      </c>
      <c r="AC517" s="984" t="str">
        <f>IF(OR(L517={"改紡","檢修","了機","清車","FINAL","停機","SAMPLE","TEST"}), "", IFERROR(IF(C517="", "", AVERAGE(L517:M517, P517:Q517, T517:U517, X517:Y517)/100), ""))</f>
        <v/>
      </c>
      <c r="AD517" s="984" t="str">
        <f t="shared" si="89"/>
        <v/>
      </c>
      <c r="AE517" s="984" t="str">
        <f t="shared" ref="AE517:AE552" si="96">IF(OR(L517="改紡", L517="檢修", L517="了機"), "",
IF(AND(C517&lt;&gt;"", J517&lt;&gt;""),
IFERROR((SUM(J517, N517, R517, V517) - SUM(K517, O517, S517, W517))/24 * AG517, ""),
"")
)</f>
        <v/>
      </c>
      <c r="AF517" s="985" t="str">
        <f t="shared" si="90"/>
        <v>M</v>
      </c>
      <c r="AG517" s="1414">
        <v>1</v>
      </c>
      <c r="AH517" s="981" t="s">
        <v>640</v>
      </c>
      <c r="AI517" s="986" t="s">
        <v>640</v>
      </c>
      <c r="AJ517" s="986" t="s">
        <v>640</v>
      </c>
      <c r="AK517" s="1417" t="s">
        <v>640</v>
      </c>
      <c r="AL517" s="1415"/>
      <c r="AM517" s="1323"/>
      <c r="AN517" s="1323"/>
      <c r="AO517" s="1323"/>
      <c r="AP517" s="1323"/>
      <c r="AQ517" s="1323"/>
      <c r="AR517" s="987"/>
      <c r="AS517" s="978" t="str">
        <f t="shared" si="91"/>
        <v>單</v>
      </c>
      <c r="AT517" s="978" t="str">
        <f t="shared" si="92"/>
        <v>全</v>
      </c>
      <c r="AU517" s="978" t="str">
        <f t="shared" si="93"/>
        <v/>
      </c>
      <c r="AV517" s="978" t="str">
        <f t="shared" si="94"/>
        <v/>
      </c>
    </row>
    <row r="518" spans="1:48">
      <c r="A518" s="975">
        <f t="shared" si="88"/>
        <v>46155</v>
      </c>
      <c r="B518" s="976" t="s">
        <v>244</v>
      </c>
      <c r="C518" s="988" t="s">
        <v>16185</v>
      </c>
      <c r="D518" s="1410"/>
      <c r="E518" s="977" t="str">
        <f>IFERROR(VLOOKUP(C518, [6]條件!$A:$L, 5, 0), "")</f>
        <v/>
      </c>
      <c r="F518" s="978" t="str">
        <f>IFERROR(VLOOKUP(C518, [6]條件!$A:$L, 6, 0), "")</f>
        <v/>
      </c>
      <c r="G518" s="1411" t="str">
        <f>IFERROR(VLOOKUP(C518, [6]條件!$A:$L, 7, 0), "")</f>
        <v/>
      </c>
      <c r="H518" s="978" t="str">
        <f>IF(ISNA(VLOOKUP(C518,[6]條件!$A$1:$K$932,11,0)),"",(VLOOKUP(C518,[6]條件!$A$1:$K$932,11,0)))</f>
        <v/>
      </c>
      <c r="I518" s="979" t="str">
        <f>IF(ISNA(VLOOKUP(C518,[6]條件!$A$1:$L$932,12,0)),"",(VLOOKUP(C518,[6]條件!$A$1:$L$932,12,0)))</f>
        <v/>
      </c>
      <c r="J518" s="982"/>
      <c r="K518" s="980"/>
      <c r="L518" s="981" t="s">
        <v>632</v>
      </c>
      <c r="M518" s="983"/>
      <c r="N518" s="982"/>
      <c r="O518" s="980"/>
      <c r="P518" s="981" t="s">
        <v>632</v>
      </c>
      <c r="Q518" s="983"/>
      <c r="R518" s="982"/>
      <c r="S518" s="980"/>
      <c r="T518" s="981" t="s">
        <v>632</v>
      </c>
      <c r="U518" s="983"/>
      <c r="V518" s="982"/>
      <c r="W518" s="980"/>
      <c r="X518" s="981" t="s">
        <v>632</v>
      </c>
      <c r="Y518" s="983"/>
      <c r="Z518" s="1412" t="str">
        <f>IFERROR(VLOOKUP(C518, [6]條件!$A:$L, 3, 0), "")</f>
        <v/>
      </c>
      <c r="AA518" s="984" t="str">
        <f>IF(OR(L518={"改紡","檢修","了機","清車","FINAL","停機","SAMPLE","TEST","絲開發"}), L518, IFERROR(IF(C518="", "", (SUM(J518, N518, R518, V518)/3 * AG518) * IF(AND(AF518="S", AS518="雙"), 0.5, 1)), ""))</f>
        <v>停機</v>
      </c>
      <c r="AB518" s="1413" t="str">
        <f t="shared" si="95"/>
        <v/>
      </c>
      <c r="AC518" s="984" t="str">
        <f>IF(OR(L518={"改紡","檢修","了機","清車","FINAL","停機","SAMPLE","TEST"}), "", IFERROR(IF(C518="", "", AVERAGE(L518:M518, P518:Q518, T518:U518, X518:Y518)/100), ""))</f>
        <v/>
      </c>
      <c r="AD518" s="984" t="str">
        <f t="shared" si="89"/>
        <v/>
      </c>
      <c r="AE518" s="984" t="str">
        <f t="shared" si="96"/>
        <v/>
      </c>
      <c r="AF518" s="985" t="str">
        <f t="shared" si="90"/>
        <v>M</v>
      </c>
      <c r="AG518" s="1414">
        <v>1</v>
      </c>
      <c r="AH518" s="981" t="s">
        <v>640</v>
      </c>
      <c r="AI518" s="986" t="s">
        <v>640</v>
      </c>
      <c r="AJ518" s="986" t="s">
        <v>640</v>
      </c>
      <c r="AK518" s="1417" t="s">
        <v>640</v>
      </c>
      <c r="AL518" s="1415"/>
      <c r="AM518" s="1323"/>
      <c r="AN518" s="1323"/>
      <c r="AO518" s="1323"/>
      <c r="AP518" s="1323"/>
      <c r="AQ518" s="1323"/>
      <c r="AR518" s="987"/>
      <c r="AS518" s="978" t="str">
        <f t="shared" si="91"/>
        <v>單</v>
      </c>
      <c r="AT518" s="978" t="str">
        <f t="shared" si="92"/>
        <v>全</v>
      </c>
      <c r="AU518" s="978" t="str">
        <f t="shared" si="93"/>
        <v/>
      </c>
      <c r="AV518" s="978" t="str">
        <f t="shared" si="94"/>
        <v/>
      </c>
    </row>
    <row r="519" spans="1:48">
      <c r="A519" s="975">
        <f t="shared" si="88"/>
        <v>46155</v>
      </c>
      <c r="B519" s="976" t="s">
        <v>245</v>
      </c>
      <c r="C519" s="988" t="s">
        <v>16185</v>
      </c>
      <c r="D519" s="1410"/>
      <c r="E519" s="977" t="str">
        <f>IFERROR(VLOOKUP(C519, [6]條件!$A:$L, 5, 0), "")</f>
        <v/>
      </c>
      <c r="F519" s="978" t="str">
        <f>IFERROR(VLOOKUP(C519, [6]條件!$A:$L, 6, 0), "")</f>
        <v/>
      </c>
      <c r="G519" s="1411" t="str">
        <f>IFERROR(VLOOKUP(C519, [6]條件!$A:$L, 7, 0), "")</f>
        <v/>
      </c>
      <c r="H519" s="978" t="str">
        <f>IF(ISNA(VLOOKUP(C519,[6]條件!$A$1:$K$932,11,0)),"",(VLOOKUP(C519,[6]條件!$A$1:$K$932,11,0)))</f>
        <v/>
      </c>
      <c r="I519" s="979" t="str">
        <f>IF(ISNA(VLOOKUP(C519,[6]條件!$A$1:$L$932,12,0)),"",(VLOOKUP(C519,[6]條件!$A$1:$L$932,12,0)))</f>
        <v/>
      </c>
      <c r="J519" s="982"/>
      <c r="K519" s="980"/>
      <c r="L519" s="981" t="s">
        <v>632</v>
      </c>
      <c r="M519" s="983"/>
      <c r="N519" s="982"/>
      <c r="O519" s="980"/>
      <c r="P519" s="981" t="s">
        <v>632</v>
      </c>
      <c r="Q519" s="983"/>
      <c r="R519" s="982"/>
      <c r="S519" s="980"/>
      <c r="T519" s="981" t="s">
        <v>632</v>
      </c>
      <c r="U519" s="983"/>
      <c r="V519" s="982"/>
      <c r="W519" s="980"/>
      <c r="X519" s="981" t="s">
        <v>632</v>
      </c>
      <c r="Y519" s="983"/>
      <c r="Z519" s="1412" t="str">
        <f>IFERROR(VLOOKUP(C519, [6]條件!$A:$L, 3, 0), "")</f>
        <v/>
      </c>
      <c r="AA519" s="984" t="str">
        <f>IF(OR(L519={"改紡","檢修","了機","清車","FINAL","停機","SAMPLE","TEST","絲開發"}), L519, IFERROR(IF(C519="", "", (SUM(J519, N519, R519, V519)/3 * AG519) * IF(AND(AF519="S", AS519="雙"), 0.5, 1)), ""))</f>
        <v>停機</v>
      </c>
      <c r="AB519" s="1413" t="str">
        <f t="shared" si="95"/>
        <v/>
      </c>
      <c r="AC519" s="984" t="str">
        <f>IF(OR(L519={"改紡","檢修","了機","清車","FINAL","停機","SAMPLE","TEST"}), "", IFERROR(IF(C519="", "", AVERAGE(L519:M519, P519:Q519, T519:U519, X519:Y519)/100), ""))</f>
        <v/>
      </c>
      <c r="AD519" s="984" t="str">
        <f t="shared" si="89"/>
        <v/>
      </c>
      <c r="AE519" s="984" t="str">
        <f t="shared" si="96"/>
        <v/>
      </c>
      <c r="AF519" s="985" t="str">
        <f t="shared" si="90"/>
        <v>M</v>
      </c>
      <c r="AG519" s="1414">
        <v>1</v>
      </c>
      <c r="AH519" s="981" t="s">
        <v>640</v>
      </c>
      <c r="AI519" s="986" t="s">
        <v>640</v>
      </c>
      <c r="AJ519" s="986" t="s">
        <v>640</v>
      </c>
      <c r="AK519" s="1417" t="s">
        <v>640</v>
      </c>
      <c r="AL519" s="1415"/>
      <c r="AM519" s="1323"/>
      <c r="AN519" s="1323"/>
      <c r="AO519" s="1323"/>
      <c r="AP519" s="1323"/>
      <c r="AQ519" s="1323"/>
      <c r="AR519" s="987"/>
      <c r="AS519" s="978" t="str">
        <f t="shared" si="91"/>
        <v>單</v>
      </c>
      <c r="AT519" s="978" t="str">
        <f t="shared" si="92"/>
        <v>全</v>
      </c>
      <c r="AU519" s="978" t="str">
        <f t="shared" si="93"/>
        <v/>
      </c>
      <c r="AV519" s="978" t="str">
        <f t="shared" si="94"/>
        <v/>
      </c>
    </row>
    <row r="520" spans="1:48">
      <c r="A520" s="975">
        <f t="shared" si="88"/>
        <v>46155</v>
      </c>
      <c r="B520" s="976" t="s">
        <v>246</v>
      </c>
      <c r="C520" s="988" t="s">
        <v>16185</v>
      </c>
      <c r="D520" s="1410"/>
      <c r="E520" s="977" t="str">
        <f>IFERROR(VLOOKUP(C520, [6]條件!$A:$L, 5, 0), "")</f>
        <v/>
      </c>
      <c r="F520" s="978" t="str">
        <f>IFERROR(VLOOKUP(C520, [6]條件!$A:$L, 6, 0), "")</f>
        <v/>
      </c>
      <c r="G520" s="1411" t="str">
        <f>IFERROR(VLOOKUP(C520, [6]條件!$A:$L, 7, 0), "")</f>
        <v/>
      </c>
      <c r="H520" s="978" t="str">
        <f>IF(ISNA(VLOOKUP(C520,[6]條件!$A$1:$K$932,11,0)),"",(VLOOKUP(C520,[6]條件!$A$1:$K$932,11,0)))</f>
        <v/>
      </c>
      <c r="I520" s="979" t="str">
        <f>IF(ISNA(VLOOKUP(C520,[6]條件!$A$1:$L$932,12,0)),"",(VLOOKUP(C520,[6]條件!$A$1:$L$932,12,0)))</f>
        <v/>
      </c>
      <c r="J520" s="982"/>
      <c r="K520" s="980"/>
      <c r="L520" s="981" t="s">
        <v>632</v>
      </c>
      <c r="M520" s="983"/>
      <c r="N520" s="982"/>
      <c r="O520" s="980"/>
      <c r="P520" s="981" t="s">
        <v>632</v>
      </c>
      <c r="Q520" s="983"/>
      <c r="R520" s="982"/>
      <c r="S520" s="980"/>
      <c r="T520" s="981" t="s">
        <v>632</v>
      </c>
      <c r="U520" s="983"/>
      <c r="V520" s="982"/>
      <c r="W520" s="980"/>
      <c r="X520" s="981" t="s">
        <v>632</v>
      </c>
      <c r="Y520" s="983"/>
      <c r="Z520" s="1412" t="str">
        <f>IFERROR(VLOOKUP(C520, [6]條件!$A:$L, 3, 0), "")</f>
        <v/>
      </c>
      <c r="AA520" s="984" t="str">
        <f>IF(OR(L520={"改紡","檢修","了機","清車","FINAL","停機","SAMPLE","TEST","絲開發"}), L520, IFERROR(IF(C520="", "", (SUM(J520, N520, R520, V520)/3 * AG520) * IF(AND(AF520="S", AS520="雙"), 0.5, 1)), ""))</f>
        <v>停機</v>
      </c>
      <c r="AB520" s="1413" t="str">
        <f t="shared" si="95"/>
        <v/>
      </c>
      <c r="AC520" s="984" t="str">
        <f>IF(OR(L520={"改紡","檢修","了機","清車","FINAL","停機","SAMPLE","TEST"}), "", IFERROR(IF(C520="", "", AVERAGE(L520:M520, P520:Q520, T520:U520, X520:Y520)/100), ""))</f>
        <v/>
      </c>
      <c r="AD520" s="984" t="str">
        <f t="shared" si="89"/>
        <v/>
      </c>
      <c r="AE520" s="984" t="str">
        <f t="shared" si="96"/>
        <v/>
      </c>
      <c r="AF520" s="985" t="str">
        <f t="shared" si="90"/>
        <v>M</v>
      </c>
      <c r="AG520" s="1414">
        <v>1</v>
      </c>
      <c r="AH520" s="981" t="s">
        <v>640</v>
      </c>
      <c r="AI520" s="986" t="s">
        <v>640</v>
      </c>
      <c r="AJ520" s="986" t="s">
        <v>640</v>
      </c>
      <c r="AK520" s="1417" t="s">
        <v>640</v>
      </c>
      <c r="AL520" s="1415"/>
      <c r="AM520" s="1323"/>
      <c r="AN520" s="1323"/>
      <c r="AO520" s="1323"/>
      <c r="AP520" s="1323"/>
      <c r="AQ520" s="1323"/>
      <c r="AR520" s="987"/>
      <c r="AS520" s="978" t="str">
        <f t="shared" si="91"/>
        <v>單</v>
      </c>
      <c r="AT520" s="978" t="str">
        <f t="shared" si="92"/>
        <v>全</v>
      </c>
      <c r="AU520" s="978" t="str">
        <f t="shared" si="93"/>
        <v/>
      </c>
      <c r="AV520" s="978" t="str">
        <f t="shared" si="94"/>
        <v/>
      </c>
    </row>
    <row r="521" spans="1:48">
      <c r="A521" s="975">
        <f t="shared" si="88"/>
        <v>46155</v>
      </c>
      <c r="B521" s="976" t="s">
        <v>247</v>
      </c>
      <c r="C521" s="988" t="s">
        <v>16185</v>
      </c>
      <c r="D521" s="1410"/>
      <c r="E521" s="977" t="str">
        <f>IFERROR(VLOOKUP(C521, [6]條件!$A:$L, 5, 0), "")</f>
        <v/>
      </c>
      <c r="F521" s="978" t="str">
        <f>IFERROR(VLOOKUP(C521, [6]條件!$A:$L, 6, 0), "")</f>
        <v/>
      </c>
      <c r="G521" s="1411" t="str">
        <f>IFERROR(VLOOKUP(C521, [6]條件!$A:$L, 7, 0), "")</f>
        <v/>
      </c>
      <c r="H521" s="978" t="str">
        <f>IF(ISNA(VLOOKUP(C521,[6]條件!$A$1:$K$932,11,0)),"",(VLOOKUP(C521,[6]條件!$A$1:$K$932,11,0)))</f>
        <v/>
      </c>
      <c r="I521" s="979" t="str">
        <f>IF(ISNA(VLOOKUP(C521,[6]條件!$A$1:$L$932,12,0)),"",(VLOOKUP(C521,[6]條件!$A$1:$L$932,12,0)))</f>
        <v/>
      </c>
      <c r="J521" s="982"/>
      <c r="K521" s="980"/>
      <c r="L521" s="981" t="s">
        <v>632</v>
      </c>
      <c r="M521" s="983"/>
      <c r="N521" s="982"/>
      <c r="O521" s="980"/>
      <c r="P521" s="981" t="s">
        <v>632</v>
      </c>
      <c r="Q521" s="983"/>
      <c r="R521" s="982"/>
      <c r="S521" s="980"/>
      <c r="T521" s="981" t="s">
        <v>632</v>
      </c>
      <c r="U521" s="983"/>
      <c r="V521" s="982"/>
      <c r="W521" s="980"/>
      <c r="X521" s="981" t="s">
        <v>632</v>
      </c>
      <c r="Y521" s="983"/>
      <c r="Z521" s="1412" t="str">
        <f>IFERROR(VLOOKUP(C521, [6]條件!$A:$L, 3, 0), "")</f>
        <v/>
      </c>
      <c r="AA521" s="984" t="str">
        <f>IF(OR(L521={"改紡","檢修","了機","清車","FINAL","停機","SAMPLE","TEST","絲開發"}), L521, IFERROR(IF(C521="", "", (SUM(J521, N521, R521, V521)/3 * AG521) * IF(AND(AF521="S", AS521="雙"), 0.5, 1)), ""))</f>
        <v>停機</v>
      </c>
      <c r="AB521" s="1413" t="str">
        <f t="shared" si="95"/>
        <v/>
      </c>
      <c r="AC521" s="984" t="str">
        <f>IF(OR(L521={"改紡","檢修","了機","清車","FINAL","停機","SAMPLE","TEST"}), "", IFERROR(IF(C521="", "", AVERAGE(L521:M521, P521:Q521, T521:U521, X521:Y521)/100), ""))</f>
        <v/>
      </c>
      <c r="AD521" s="984" t="str">
        <f t="shared" si="89"/>
        <v/>
      </c>
      <c r="AE521" s="984" t="str">
        <f t="shared" si="96"/>
        <v/>
      </c>
      <c r="AF521" s="985" t="str">
        <f t="shared" si="90"/>
        <v>M</v>
      </c>
      <c r="AG521" s="1414">
        <v>1</v>
      </c>
      <c r="AH521" s="981" t="s">
        <v>640</v>
      </c>
      <c r="AI521" s="986" t="s">
        <v>640</v>
      </c>
      <c r="AJ521" s="986" t="s">
        <v>640</v>
      </c>
      <c r="AK521" s="1417" t="s">
        <v>640</v>
      </c>
      <c r="AL521" s="1415"/>
      <c r="AM521" s="1323"/>
      <c r="AN521" s="1323"/>
      <c r="AO521" s="1323"/>
      <c r="AP521" s="1323"/>
      <c r="AQ521" s="1323"/>
      <c r="AR521" s="987"/>
      <c r="AS521" s="978" t="str">
        <f t="shared" si="91"/>
        <v>單</v>
      </c>
      <c r="AT521" s="978" t="str">
        <f t="shared" si="92"/>
        <v>全</v>
      </c>
      <c r="AU521" s="978" t="str">
        <f t="shared" si="93"/>
        <v/>
      </c>
      <c r="AV521" s="978" t="str">
        <f t="shared" si="94"/>
        <v/>
      </c>
    </row>
    <row r="522" spans="1:48">
      <c r="A522" s="975">
        <f t="shared" si="88"/>
        <v>46155</v>
      </c>
      <c r="B522" s="976" t="s">
        <v>248</v>
      </c>
      <c r="C522" s="988" t="s">
        <v>16185</v>
      </c>
      <c r="D522" s="1410"/>
      <c r="E522" s="977" t="str">
        <f>IFERROR(VLOOKUP(C522, [6]條件!$A:$L, 5, 0), "")</f>
        <v/>
      </c>
      <c r="F522" s="978" t="str">
        <f>IFERROR(VLOOKUP(C522, [6]條件!$A:$L, 6, 0), "")</f>
        <v/>
      </c>
      <c r="G522" s="1411" t="str">
        <f>IFERROR(VLOOKUP(C522, [6]條件!$A:$L, 7, 0), "")</f>
        <v/>
      </c>
      <c r="H522" s="978" t="str">
        <f>IF(ISNA(VLOOKUP(C522,[6]條件!$A$1:$K$932,11,0)),"",(VLOOKUP(C522,[6]條件!$A$1:$K$932,11,0)))</f>
        <v/>
      </c>
      <c r="I522" s="979" t="str">
        <f>IF(ISNA(VLOOKUP(C522,[6]條件!$A$1:$L$932,12,0)),"",(VLOOKUP(C522,[6]條件!$A$1:$L$932,12,0)))</f>
        <v/>
      </c>
      <c r="J522" s="982"/>
      <c r="K522" s="980"/>
      <c r="L522" s="981" t="s">
        <v>632</v>
      </c>
      <c r="M522" s="983"/>
      <c r="N522" s="982"/>
      <c r="O522" s="980"/>
      <c r="P522" s="981" t="s">
        <v>632</v>
      </c>
      <c r="Q522" s="983"/>
      <c r="R522" s="982"/>
      <c r="S522" s="980"/>
      <c r="T522" s="981" t="s">
        <v>632</v>
      </c>
      <c r="U522" s="983"/>
      <c r="V522" s="982"/>
      <c r="W522" s="980"/>
      <c r="X522" s="981" t="s">
        <v>632</v>
      </c>
      <c r="Y522" s="983"/>
      <c r="Z522" s="1412" t="str">
        <f>IFERROR(VLOOKUP(C522, [6]條件!$A:$L, 3, 0), "")</f>
        <v/>
      </c>
      <c r="AA522" s="984" t="str">
        <f>IF(OR(L522={"改紡","檢修","了機","清車","FINAL","停機","SAMPLE","TEST","絲開發"}), L522, IFERROR(IF(C522="", "", (SUM(J522, N522, R522, V522)/3 * AG522) * IF(AND(AF522="S", AS522="雙"), 0.5, 1)), ""))</f>
        <v>停機</v>
      </c>
      <c r="AB522" s="1413" t="str">
        <f t="shared" si="95"/>
        <v/>
      </c>
      <c r="AC522" s="984" t="str">
        <f>IF(OR(L522={"改紡","檢修","了機","清車","FINAL","停機","SAMPLE","TEST"}), "", IFERROR(IF(C522="", "", AVERAGE(L522:M522, P522:Q522, T522:U522, X522:Y522)/100), ""))</f>
        <v/>
      </c>
      <c r="AD522" s="984" t="str">
        <f t="shared" si="89"/>
        <v/>
      </c>
      <c r="AE522" s="984" t="str">
        <f t="shared" si="96"/>
        <v/>
      </c>
      <c r="AF522" s="985" t="str">
        <f t="shared" si="90"/>
        <v>M</v>
      </c>
      <c r="AG522" s="1414">
        <v>1</v>
      </c>
      <c r="AH522" s="981" t="s">
        <v>640</v>
      </c>
      <c r="AI522" s="986" t="s">
        <v>640</v>
      </c>
      <c r="AJ522" s="986" t="s">
        <v>640</v>
      </c>
      <c r="AK522" s="1417" t="s">
        <v>640</v>
      </c>
      <c r="AL522" s="1415"/>
      <c r="AM522" s="1323"/>
      <c r="AN522" s="1323"/>
      <c r="AO522" s="1323"/>
      <c r="AP522" s="1323"/>
      <c r="AQ522" s="1323"/>
      <c r="AR522" s="987"/>
      <c r="AS522" s="978" t="str">
        <f t="shared" si="91"/>
        <v>單</v>
      </c>
      <c r="AT522" s="978" t="str">
        <f t="shared" si="92"/>
        <v>全</v>
      </c>
      <c r="AU522" s="978" t="str">
        <f t="shared" si="93"/>
        <v/>
      </c>
      <c r="AV522" s="978" t="str">
        <f t="shared" si="94"/>
        <v/>
      </c>
    </row>
    <row r="523" spans="1:48" ht="17.25" thickBot="1">
      <c r="A523" s="989">
        <f t="shared" si="88"/>
        <v>46155</v>
      </c>
      <c r="B523" s="990" t="s">
        <v>249</v>
      </c>
      <c r="C523" s="991" t="s">
        <v>16185</v>
      </c>
      <c r="D523" s="1425"/>
      <c r="E523" s="1169" t="str">
        <f>IFERROR(VLOOKUP(C523, [6]條件!$A:$L, 5, 0), "")</f>
        <v/>
      </c>
      <c r="F523" s="992" t="str">
        <f>IFERROR(VLOOKUP(C523, [6]條件!$A:$L, 6, 0), "")</f>
        <v/>
      </c>
      <c r="G523" s="1426" t="str">
        <f>IFERROR(VLOOKUP(C523, [6]條件!$A:$L, 7, 0), "")</f>
        <v/>
      </c>
      <c r="H523" s="992" t="str">
        <f>IF(ISNA(VLOOKUP(C523,[6]條件!$A$1:$K$932,11,0)),"",(VLOOKUP(C523,[6]條件!$A$1:$K$932,11,0)))</f>
        <v/>
      </c>
      <c r="I523" s="1170" t="str">
        <f>IF(ISNA(VLOOKUP(C523,[6]條件!$A$1:$L$932,12,0)),"",(VLOOKUP(C523,[6]條件!$A$1:$L$932,12,0)))</f>
        <v/>
      </c>
      <c r="J523" s="995"/>
      <c r="K523" s="993"/>
      <c r="L523" s="994" t="s">
        <v>632</v>
      </c>
      <c r="M523" s="996"/>
      <c r="N523" s="995"/>
      <c r="O523" s="993"/>
      <c r="P523" s="994" t="s">
        <v>632</v>
      </c>
      <c r="Q523" s="996"/>
      <c r="R523" s="995"/>
      <c r="S523" s="993"/>
      <c r="T523" s="994" t="s">
        <v>632</v>
      </c>
      <c r="U523" s="996"/>
      <c r="V523" s="995"/>
      <c r="W523" s="993"/>
      <c r="X523" s="994" t="s">
        <v>632</v>
      </c>
      <c r="Y523" s="996"/>
      <c r="Z523" s="1427" t="str">
        <f>IFERROR(VLOOKUP(C523, [6]條件!$A:$L, 3, 0), "")</f>
        <v/>
      </c>
      <c r="AA523" s="997" t="str">
        <f>IF(OR(L523={"改紡","檢修","了機","清車","FINAL","停機","SAMPLE","TEST","絲開發"}), L523, IFERROR(IF(C523="", "", (SUM(J523, N523, R523, V523)/3 * AG523) * IF(AND(AF523="S", AS523="雙"), 0.5, 1)), ""))</f>
        <v>停機</v>
      </c>
      <c r="AB523" s="1428" t="str">
        <f t="shared" si="95"/>
        <v/>
      </c>
      <c r="AC523" s="997" t="str">
        <f>IF(OR(L523={"改紡","檢修","了機","清車","FINAL","停機","SAMPLE","TEST"}), "", IFERROR(IF(C523="", "", AVERAGE(L523:M523, P523:Q523, T523:U523, X523:Y523)/100), ""))</f>
        <v/>
      </c>
      <c r="AD523" s="997" t="str">
        <f t="shared" si="89"/>
        <v/>
      </c>
      <c r="AE523" s="997" t="str">
        <f t="shared" si="96"/>
        <v/>
      </c>
      <c r="AF523" s="998" t="str">
        <f t="shared" si="90"/>
        <v>M</v>
      </c>
      <c r="AG523" s="1429">
        <v>1</v>
      </c>
      <c r="AH523" s="994" t="s">
        <v>640</v>
      </c>
      <c r="AI523" s="999" t="s">
        <v>640</v>
      </c>
      <c r="AJ523" s="999" t="s">
        <v>640</v>
      </c>
      <c r="AK523" s="1430" t="s">
        <v>640</v>
      </c>
      <c r="AL523" s="1431"/>
      <c r="AM523" s="1325"/>
      <c r="AN523" s="1325"/>
      <c r="AO523" s="1325"/>
      <c r="AP523" s="1325"/>
      <c r="AQ523" s="1325"/>
      <c r="AR523" s="1000"/>
      <c r="AS523" s="992" t="str">
        <f t="shared" si="91"/>
        <v>單</v>
      </c>
      <c r="AT523" s="992" t="str">
        <f t="shared" si="92"/>
        <v>全</v>
      </c>
      <c r="AU523" s="992" t="str">
        <f t="shared" si="93"/>
        <v/>
      </c>
      <c r="AV523" s="992" t="str">
        <f t="shared" si="94"/>
        <v/>
      </c>
    </row>
    <row r="524" spans="1:48">
      <c r="A524" s="962">
        <v>46156</v>
      </c>
      <c r="B524" s="963" t="s">
        <v>212</v>
      </c>
      <c r="C524" s="963" t="s">
        <v>632</v>
      </c>
      <c r="D524" s="1403"/>
      <c r="E524" s="964" t="str">
        <f>IFERROR(VLOOKUP(C524, [6]條件!$A:$L, 5, 0), "")</f>
        <v/>
      </c>
      <c r="F524" s="965" t="str">
        <f>IFERROR(VLOOKUP(C524, [6]條件!$A:$L, 6, 0), "")</f>
        <v/>
      </c>
      <c r="G524" s="1404" t="str">
        <f>IFERROR(VLOOKUP(C524, [6]條件!$A:$L, 7, 0), "")</f>
        <v/>
      </c>
      <c r="H524" s="965" t="str">
        <f>IF(ISNA(VLOOKUP(C524,[6]條件!$A$1:$K$932,11,0)),"",(VLOOKUP(C524,[6]條件!$A$1:$K$932,11,0)))</f>
        <v/>
      </c>
      <c r="I524" s="966" t="str">
        <f>IF(ISNA(VLOOKUP(C524,[6]條件!$A$1:$L$932,12,0)),"",(VLOOKUP(C524,[6]條件!$A$1:$L$932,12,0)))</f>
        <v/>
      </c>
      <c r="J524" s="969"/>
      <c r="K524" s="967"/>
      <c r="L524" s="981" t="s">
        <v>632</v>
      </c>
      <c r="M524" s="970"/>
      <c r="N524" s="969"/>
      <c r="O524" s="967"/>
      <c r="P524" s="981" t="s">
        <v>632</v>
      </c>
      <c r="Q524" s="970"/>
      <c r="R524" s="969"/>
      <c r="S524" s="967"/>
      <c r="T524" s="981" t="s">
        <v>632</v>
      </c>
      <c r="U524" s="970"/>
      <c r="V524" s="969"/>
      <c r="W524" s="967"/>
      <c r="X524" s="981" t="s">
        <v>632</v>
      </c>
      <c r="Y524" s="970"/>
      <c r="Z524" s="1405" t="str">
        <f>IFERROR(VLOOKUP(C524, [6]條件!$A:$L, 3, 0), "")</f>
        <v/>
      </c>
      <c r="AA524" s="971" t="str">
        <f>IF(OR(L524={"改紡","檢修","了機","清車","FINAL","停機","SAMPLE","TEST","絲開發"}), L524, IFERROR(IF(C524="", "", (SUM(J524, N524, R524, V524)/3 * AG524) * IF(AND(AF524="S", AS524="雙"), 0.5, 1)), ""))</f>
        <v>停機</v>
      </c>
      <c r="AB524" s="1406" t="str">
        <f t="shared" si="95"/>
        <v/>
      </c>
      <c r="AC524" s="971" t="str">
        <f>IF(OR(L524={"改紡","檢修","了機","清車","FINAL","停機","SAMPLE","TEST"}), "", IFERROR(IF(C524="", "", AVERAGE(L524:M524, P524:Q524, T524:U524, X524:Y524)/100), ""))</f>
        <v/>
      </c>
      <c r="AD524" s="971" t="str">
        <f t="shared" si="89"/>
        <v/>
      </c>
      <c r="AE524" s="971" t="str">
        <f t="shared" si="96"/>
        <v/>
      </c>
      <c r="AF524" s="972" t="str">
        <f t="shared" si="90"/>
        <v>A</v>
      </c>
      <c r="AG524" s="1407">
        <v>1</v>
      </c>
      <c r="AH524" s="968" t="s">
        <v>640</v>
      </c>
      <c r="AI524" s="1438" t="s">
        <v>640</v>
      </c>
      <c r="AJ524" s="1166" t="s">
        <v>640</v>
      </c>
      <c r="AK524" s="1408" t="s">
        <v>640</v>
      </c>
      <c r="AL524" s="1409"/>
      <c r="AM524" s="1322"/>
      <c r="AN524" s="1322"/>
      <c r="AO524" s="1322"/>
      <c r="AP524" s="1322"/>
      <c r="AQ524" s="1322"/>
      <c r="AR524" s="973"/>
      <c r="AS524" s="965" t="str">
        <f t="shared" si="91"/>
        <v>單</v>
      </c>
      <c r="AT524" s="965" t="str">
        <f t="shared" si="92"/>
        <v>全</v>
      </c>
      <c r="AU524" s="965" t="str">
        <f t="shared" si="93"/>
        <v/>
      </c>
      <c r="AV524" s="965" t="str">
        <f t="shared" si="94"/>
        <v/>
      </c>
    </row>
    <row r="525" spans="1:48">
      <c r="A525" s="975">
        <f t="shared" ref="A525:A563" si="97">A524</f>
        <v>46156</v>
      </c>
      <c r="B525" s="976" t="s">
        <v>214</v>
      </c>
      <c r="C525" s="976" t="s">
        <v>16708</v>
      </c>
      <c r="D525" s="1410"/>
      <c r="E525" s="977" t="str">
        <f>IFERROR(VLOOKUP(C525, [6]條件!$A:$L, 5, 0), "")</f>
        <v>75/36SDR</v>
      </c>
      <c r="F525" s="978" t="str">
        <f>IFERROR(VLOOKUP(C525, [6]條件!$A:$L, 6, 0), "")</f>
        <v>FP81386R</v>
      </c>
      <c r="G525" s="1411">
        <f>IFERROR(VLOOKUP(C525, [6]條件!$A:$L, 7, 0), "")</f>
        <v>780</v>
      </c>
      <c r="H525" s="978" t="str">
        <f>IF(ISNA(VLOOKUP(C525,[6]條件!$A$1:$K$932,11,0)),"",(VLOOKUP(C525,[6]條件!$A$1:$K$932,11,0)))</f>
        <v>綠底白點</v>
      </c>
      <c r="I525" s="979">
        <f>IF(ISNA(VLOOKUP(C525,[6]條件!$A$1:$L$932,12,0)),"",(VLOOKUP(C525,[6]條件!$A$1:$L$932,12,0)))</f>
        <v>5</v>
      </c>
      <c r="J525" s="982">
        <v>16</v>
      </c>
      <c r="K525" s="980">
        <v>0</v>
      </c>
      <c r="L525" s="981">
        <v>8550</v>
      </c>
      <c r="M525" s="983">
        <v>8406</v>
      </c>
      <c r="N525" s="982">
        <v>10</v>
      </c>
      <c r="O525" s="980">
        <v>0</v>
      </c>
      <c r="P525" s="981">
        <v>8664</v>
      </c>
      <c r="Q525" s="983">
        <v>8342</v>
      </c>
      <c r="R525" s="982">
        <v>11</v>
      </c>
      <c r="S525" s="980">
        <v>0</v>
      </c>
      <c r="T525" s="981">
        <v>9695</v>
      </c>
      <c r="U525" s="983">
        <v>8783</v>
      </c>
      <c r="V525" s="982">
        <v>10</v>
      </c>
      <c r="W525" s="980">
        <v>0</v>
      </c>
      <c r="X525" s="981">
        <v>8824</v>
      </c>
      <c r="Y525" s="983">
        <v>8286</v>
      </c>
      <c r="Z525" s="1412">
        <f>IFERROR(VLOOKUP(C525, [6]條件!$A:$L, 3, 0), "")</f>
        <v>1.7777777777777777</v>
      </c>
      <c r="AA525" s="984">
        <f>IF(OR(L525={"改紡","檢修","了機","清車","FINAL","停機","SAMPLE","TEST","絲開發"}), L525, IFERROR(IF(C525="", "", (SUM(J525, N525, R525, V525)/3 * AG525) * IF(AND(AF525="S", AS525="雙"), 0.5, 1)), ""))</f>
        <v>15.666666666666666</v>
      </c>
      <c r="AB525" s="1413">
        <f t="shared" si="95"/>
        <v>1</v>
      </c>
      <c r="AC525" s="984">
        <f>IF(OR(L525={"改紡","檢修","了機","清車","FINAL","停機","SAMPLE","TEST"}), "", IFERROR(IF(C525="", "", AVERAGE(L525:M525, P525:Q525, T525:U525, X525:Y525)/100), ""))</f>
        <v>86.9375</v>
      </c>
      <c r="AD525" s="984">
        <f t="shared" si="89"/>
        <v>1.9583333333333333</v>
      </c>
      <c r="AE525" s="984">
        <f t="shared" si="96"/>
        <v>1.9583333333333333</v>
      </c>
      <c r="AF525" s="985" t="str">
        <f t="shared" si="90"/>
        <v>A</v>
      </c>
      <c r="AG525" s="1414">
        <v>1</v>
      </c>
      <c r="AH525" s="981" t="s">
        <v>16154</v>
      </c>
      <c r="AI525" s="986" t="s">
        <v>16154</v>
      </c>
      <c r="AJ525" s="986" t="s">
        <v>15376</v>
      </c>
      <c r="AK525" s="1417" t="s">
        <v>15376</v>
      </c>
      <c r="AL525" s="1415">
        <v>50</v>
      </c>
      <c r="AM525" s="1323">
        <v>46152</v>
      </c>
      <c r="AN525" s="1323">
        <v>46153</v>
      </c>
      <c r="AO525" s="1323"/>
      <c r="AP525" s="1323"/>
      <c r="AQ525" s="1323"/>
      <c r="AR525" s="987"/>
      <c r="AS525" s="978" t="str">
        <f t="shared" si="91"/>
        <v>單</v>
      </c>
      <c r="AT525" s="978" t="str">
        <f t="shared" si="92"/>
        <v>全</v>
      </c>
      <c r="AU525" s="978">
        <f t="shared" si="93"/>
        <v>75</v>
      </c>
      <c r="AV525" s="978">
        <f t="shared" si="94"/>
        <v>1.7576676</v>
      </c>
    </row>
    <row r="526" spans="1:48">
      <c r="A526" s="975">
        <f t="shared" si="97"/>
        <v>46156</v>
      </c>
      <c r="B526" s="976" t="s">
        <v>215</v>
      </c>
      <c r="C526" s="976" t="s">
        <v>16746</v>
      </c>
      <c r="D526" s="1410" t="s">
        <v>633</v>
      </c>
      <c r="E526" s="977" t="str">
        <f>IFERROR(VLOOKUP(C526, [6]條件!$A:$L, 5, 0), "")</f>
        <v>75/24/2SDr</v>
      </c>
      <c r="F526" s="978" t="str">
        <f>IFERROR(VLOOKUP(C526, [6]條件!$A:$L, 6, 0), "")</f>
        <v>FP81391R×2</v>
      </c>
      <c r="G526" s="1411">
        <f>IFERROR(VLOOKUP(C526, [6]條件!$A:$L, 7, 0), "")</f>
        <v>700</v>
      </c>
      <c r="H526" s="978" t="str">
        <f>IF(ISNA(VLOOKUP(C526,[6]條件!$A$1:$K$932,11,0)),"",(VLOOKUP(C526,[6]條件!$A$1:$K$932,11,0)))</f>
        <v>紅底白點</v>
      </c>
      <c r="I526" s="979">
        <f>IF(ISNA(VLOOKUP(C526,[6]條件!$A$1:$L$932,12,0)),"",(VLOOKUP(C526,[6]條件!$A$1:$L$932,12,0)))</f>
        <v>5</v>
      </c>
      <c r="J526" s="982">
        <v>26</v>
      </c>
      <c r="K526" s="980">
        <v>0</v>
      </c>
      <c r="L526" s="981"/>
      <c r="M526" s="983">
        <v>8453</v>
      </c>
      <c r="N526" s="982">
        <v>20</v>
      </c>
      <c r="O526" s="980">
        <v>0</v>
      </c>
      <c r="P526" s="981" t="s">
        <v>632</v>
      </c>
      <c r="Q526" s="983">
        <v>8357</v>
      </c>
      <c r="R526" s="982">
        <v>10</v>
      </c>
      <c r="S526" s="980">
        <v>0</v>
      </c>
      <c r="T526" s="981" t="s">
        <v>632</v>
      </c>
      <c r="U526" s="983">
        <v>8331</v>
      </c>
      <c r="V526" s="982">
        <v>36</v>
      </c>
      <c r="W526" s="980">
        <v>0</v>
      </c>
      <c r="X526" s="981" t="s">
        <v>632</v>
      </c>
      <c r="Y526" s="983">
        <v>8182</v>
      </c>
      <c r="Z526" s="1412">
        <f>IFERROR(VLOOKUP(C526, [6]條件!$A:$L, 3, 0), "")</f>
        <v>3.2653061224489797</v>
      </c>
      <c r="AA526" s="984">
        <f>IF(OR(L526={"改紡","檢修","了機","清車","FINAL","停機","SAMPLE","TEST","絲開發"}), L526, IFERROR(IF(C526="", "", (SUM(J526, N526, R526, V526)/3 * AG526) * IF(AND(AF526="S", AS526="雙"), 0.5, 1)), ""))</f>
        <v>30.666666666666668</v>
      </c>
      <c r="AB526" s="1413">
        <f t="shared" si="95"/>
        <v>1</v>
      </c>
      <c r="AC526" s="984">
        <f>IF(OR(L526={"改紡","檢修","了機","清車","FINAL","停機","SAMPLE","TEST"}), "", IFERROR(IF(C526="", "", AVERAGE(L526:M526, P526:Q526, T526:U526, X526:Y526)/100), ""))</f>
        <v>83.307500000000005</v>
      </c>
      <c r="AD526" s="984">
        <f t="shared" si="89"/>
        <v>3.8333333333333335</v>
      </c>
      <c r="AE526" s="984">
        <f t="shared" si="96"/>
        <v>3.8333333333333335</v>
      </c>
      <c r="AF526" s="985" t="str">
        <f t="shared" si="90"/>
        <v>A</v>
      </c>
      <c r="AG526" s="1414">
        <v>1</v>
      </c>
      <c r="AH526" s="981" t="s">
        <v>16154</v>
      </c>
      <c r="AI526" s="986" t="s">
        <v>16154</v>
      </c>
      <c r="AJ526" s="986" t="s">
        <v>15376</v>
      </c>
      <c r="AK526" s="1417" t="s">
        <v>15376</v>
      </c>
      <c r="AL526" s="1415">
        <v>53</v>
      </c>
      <c r="AM526" s="1323">
        <v>46121</v>
      </c>
      <c r="AN526" s="1323">
        <v>46122</v>
      </c>
      <c r="AO526" s="1323"/>
      <c r="AP526" s="1323"/>
      <c r="AQ526" s="1323"/>
      <c r="AR526" s="987"/>
      <c r="AS526" s="978" t="str">
        <f t="shared" si="91"/>
        <v>雙</v>
      </c>
      <c r="AT526" s="978" t="str">
        <f t="shared" si="92"/>
        <v>半</v>
      </c>
      <c r="AU526" s="978">
        <f t="shared" si="93"/>
        <v>75</v>
      </c>
      <c r="AV526" s="978">
        <f t="shared" si="94"/>
        <v>0.75576564000000002</v>
      </c>
    </row>
    <row r="527" spans="1:48">
      <c r="A527" s="975">
        <f t="shared" si="97"/>
        <v>46156</v>
      </c>
      <c r="B527" s="976" t="s">
        <v>216</v>
      </c>
      <c r="C527" s="976" t="s">
        <v>16764</v>
      </c>
      <c r="D527" s="1410"/>
      <c r="E527" s="977" t="str">
        <f>IFERROR(VLOOKUP(C527, [6]條件!$A:$L, 5, 0), "")</f>
        <v>150/48BK42</v>
      </c>
      <c r="F527" s="978" t="str">
        <f>IFERROR(VLOOKUP(C527, [6]條件!$A:$L, 6, 0), "")</f>
        <v>FP02421</v>
      </c>
      <c r="G527" s="1411">
        <f>IFERROR(VLOOKUP(C527, [6]條件!$A:$L, 7, 0), "")</f>
        <v>600</v>
      </c>
      <c r="H527" s="978" t="str">
        <f>IF(ISNA(VLOOKUP(C527,[6]條件!$A$1:$K$932,11,0)),"",(VLOOKUP(C527,[6]條件!$A$1:$K$932,11,0)))</f>
        <v>白桔方塊</v>
      </c>
      <c r="I527" s="979">
        <f>IF(ISNA(VLOOKUP(C527,[6]條件!$A$1:$L$932,12,0)),"",(VLOOKUP(C527,[6]條件!$A$1:$L$932,12,0)))</f>
        <v>5</v>
      </c>
      <c r="J527" s="982">
        <v>14</v>
      </c>
      <c r="K527" s="980">
        <v>0</v>
      </c>
      <c r="L527" s="981">
        <v>9271</v>
      </c>
      <c r="M527" s="983" t="s">
        <v>632</v>
      </c>
      <c r="N527" s="982">
        <v>5</v>
      </c>
      <c r="O527" s="980">
        <v>0</v>
      </c>
      <c r="P527" s="981">
        <v>9347</v>
      </c>
      <c r="Q527" s="983" t="s">
        <v>632</v>
      </c>
      <c r="R527" s="982">
        <v>4</v>
      </c>
      <c r="S527" s="980">
        <v>0</v>
      </c>
      <c r="T527" s="981">
        <v>9301</v>
      </c>
      <c r="U527" s="983" t="s">
        <v>632</v>
      </c>
      <c r="V527" s="982">
        <v>8</v>
      </c>
      <c r="W527" s="980">
        <v>1</v>
      </c>
      <c r="X527" s="981">
        <v>9243</v>
      </c>
      <c r="Y527" s="983" t="s">
        <v>632</v>
      </c>
      <c r="Z527" s="1412">
        <f>IFERROR(VLOOKUP(C527, [6]條件!$A:$L, 3, 0), "")</f>
        <v>2.8346456692913384</v>
      </c>
      <c r="AA527" s="984">
        <f>IF(OR(L527={"改紡","檢修","了機","清車","FINAL","停機","SAMPLE","TEST","絲開發"}), L527, IFERROR(IF(C527="", "", (SUM(J527, N527, R527, V527)/3 * AG527) * IF(AND(AF527="S", AS527="雙"), 0.5, 1)), ""))</f>
        <v>20.666666666666668</v>
      </c>
      <c r="AB527" s="1413">
        <f t="shared" si="95"/>
        <v>0.99830395299145303</v>
      </c>
      <c r="AC527" s="984">
        <f>IF(OR(L527={"改紡","檢修","了機","清車","FINAL","停機","SAMPLE","TEST"}), "", IFERROR(IF(C527="", "", AVERAGE(L527:M527, P527:Q527, T527:U527, X527:Y527)/100), ""))</f>
        <v>92.905000000000001</v>
      </c>
      <c r="AD527" s="984">
        <f t="shared" si="89"/>
        <v>2.5833333333333335</v>
      </c>
      <c r="AE527" s="984">
        <f t="shared" si="96"/>
        <v>2.5</v>
      </c>
      <c r="AF527" s="985" t="str">
        <f t="shared" si="90"/>
        <v>A</v>
      </c>
      <c r="AG527" s="1414">
        <v>2</v>
      </c>
      <c r="AH527" s="981" t="s">
        <v>631</v>
      </c>
      <c r="AI527" s="986" t="s">
        <v>631</v>
      </c>
      <c r="AJ527" s="986" t="s">
        <v>725</v>
      </c>
      <c r="AK527" s="1417" t="s">
        <v>725</v>
      </c>
      <c r="AL527" s="1415">
        <v>52</v>
      </c>
      <c r="AM527" s="1323">
        <v>46147</v>
      </c>
      <c r="AN527" s="1323">
        <v>46148</v>
      </c>
      <c r="AO527" s="1323">
        <v>46152</v>
      </c>
      <c r="AP527" s="1323"/>
      <c r="AQ527" s="1323"/>
      <c r="AR527" s="987"/>
      <c r="AS527" s="978" t="str">
        <f t="shared" si="91"/>
        <v>單</v>
      </c>
      <c r="AT527" s="978" t="str">
        <f t="shared" si="92"/>
        <v>半</v>
      </c>
      <c r="AU527" s="978">
        <f t="shared" si="93"/>
        <v>150</v>
      </c>
      <c r="AV527" s="978">
        <f t="shared" si="94"/>
        <v>1.4448585599999999</v>
      </c>
    </row>
    <row r="528" spans="1:48">
      <c r="A528" s="975">
        <f t="shared" si="97"/>
        <v>46156</v>
      </c>
      <c r="B528" s="976" t="s">
        <v>217</v>
      </c>
      <c r="C528" s="976" t="s">
        <v>16197</v>
      </c>
      <c r="D528" s="1410"/>
      <c r="E528" s="977" t="str">
        <f>IFERROR(VLOOKUP(C528, [6]條件!$A:$L, 5, 0), "")</f>
        <v>75/36HC</v>
      </c>
      <c r="F528" s="978" t="str">
        <f>IFERROR(VLOOKUP(C528, [6]條件!$A:$L, 6, 0), "")</f>
        <v>FP81857R</v>
      </c>
      <c r="G528" s="1411">
        <f>IFERROR(VLOOKUP(C528, [6]條件!$A:$L, 7, 0), "")</f>
        <v>600</v>
      </c>
      <c r="H528" s="978" t="str">
        <f>IF(ISNA(VLOOKUP(C528,[6]條件!$A$1:$K$932,11,0)),"",(VLOOKUP(C528,[6]條件!$A$1:$K$932,11,0)))</f>
        <v>白底綠方塊</v>
      </c>
      <c r="I528" s="979">
        <f>IF(ISNA(VLOOKUP(C528,[6]條件!$A$1:$L$932,12,0)),"",(VLOOKUP(C528,[6]條件!$A$1:$L$932,12,0)))</f>
        <v>4</v>
      </c>
      <c r="J528" s="982">
        <v>35</v>
      </c>
      <c r="K528" s="980">
        <v>0</v>
      </c>
      <c r="L528" s="981">
        <v>8315</v>
      </c>
      <c r="M528" s="983">
        <v>8670</v>
      </c>
      <c r="N528" s="982">
        <v>7</v>
      </c>
      <c r="O528" s="980">
        <v>0</v>
      </c>
      <c r="P528" s="981">
        <v>8373</v>
      </c>
      <c r="Q528" s="983">
        <v>8879</v>
      </c>
      <c r="R528" s="982">
        <v>7</v>
      </c>
      <c r="S528" s="980">
        <v>0</v>
      </c>
      <c r="T528" s="981">
        <v>8396</v>
      </c>
      <c r="U528" s="983">
        <v>8848</v>
      </c>
      <c r="V528" s="982">
        <v>14</v>
      </c>
      <c r="W528" s="980">
        <v>0</v>
      </c>
      <c r="X528" s="981">
        <v>8248</v>
      </c>
      <c r="Y528" s="983">
        <v>8894</v>
      </c>
      <c r="Z528" s="1412">
        <f>IFERROR(VLOOKUP(C528, [6]條件!$A:$L, 3, 0), "")</f>
        <v>1.7496962332928312</v>
      </c>
      <c r="AA528" s="984">
        <f>IF(OR(L528={"改紡","檢修","了機","清車","FINAL","停機","SAMPLE","TEST","絲開發"}), L528, IFERROR(IF(C528="", "", (SUM(J528, N528, R528, V528)/3 * AG528) * IF(AND(AF528="S", AS528="雙"), 0.5, 1)), ""))</f>
        <v>21</v>
      </c>
      <c r="AB528" s="1413">
        <f t="shared" si="95"/>
        <v>1</v>
      </c>
      <c r="AC528" s="984">
        <f>IF(OR(L528={"改紡","檢修","了機","清車","FINAL","停機","SAMPLE","TEST"}), "", IFERROR(IF(C528="", "", AVERAGE(L528:M528, P528:Q528, T528:U528, X528:Y528)/100), ""))</f>
        <v>85.778750000000002</v>
      </c>
      <c r="AD528" s="984">
        <f t="shared" si="89"/>
        <v>2.625</v>
      </c>
      <c r="AE528" s="984">
        <f t="shared" si="96"/>
        <v>2.625</v>
      </c>
      <c r="AF528" s="985" t="str">
        <f t="shared" si="90"/>
        <v>A</v>
      </c>
      <c r="AG528" s="1414">
        <v>1</v>
      </c>
      <c r="AH528" s="981" t="s">
        <v>631</v>
      </c>
      <c r="AI528" s="986" t="s">
        <v>631</v>
      </c>
      <c r="AJ528" s="986" t="s">
        <v>725</v>
      </c>
      <c r="AK528" s="1417" t="s">
        <v>725</v>
      </c>
      <c r="AL528" s="1415">
        <v>54</v>
      </c>
      <c r="AM528" s="1323">
        <v>45938</v>
      </c>
      <c r="AN528" s="1323">
        <v>45939</v>
      </c>
      <c r="AO528" s="1323">
        <v>45940</v>
      </c>
      <c r="AP528" s="1323">
        <v>45943</v>
      </c>
      <c r="AQ528" s="1323">
        <v>45944</v>
      </c>
      <c r="AR528" s="987"/>
      <c r="AS528" s="978" t="str">
        <f t="shared" si="91"/>
        <v>單</v>
      </c>
      <c r="AT528" s="978" t="str">
        <f t="shared" si="92"/>
        <v>全</v>
      </c>
      <c r="AU528" s="978">
        <f t="shared" si="93"/>
        <v>75</v>
      </c>
      <c r="AV528" s="978">
        <f t="shared" si="94"/>
        <v>1.3340311199999999</v>
      </c>
    </row>
    <row r="529" spans="1:48">
      <c r="A529" s="975">
        <f t="shared" si="97"/>
        <v>46156</v>
      </c>
      <c r="B529" s="976" t="s">
        <v>218</v>
      </c>
      <c r="C529" s="976" t="s">
        <v>632</v>
      </c>
      <c r="D529" s="1410"/>
      <c r="E529" s="977" t="str">
        <f>IFERROR(VLOOKUP(C529, [6]條件!$A:$L, 5, 0), "")</f>
        <v/>
      </c>
      <c r="F529" s="978" t="str">
        <f>IFERROR(VLOOKUP(C529, [6]條件!$A:$L, 6, 0), "")</f>
        <v/>
      </c>
      <c r="G529" s="1411" t="str">
        <f>IFERROR(VLOOKUP(C529, [6]條件!$A:$L, 7, 0), "")</f>
        <v/>
      </c>
      <c r="H529" s="978" t="str">
        <f>IF(ISNA(VLOOKUP(C529,[6]條件!$A$1:$K$932,11,0)),"",(VLOOKUP(C529,[6]條件!$A$1:$K$932,11,0)))</f>
        <v/>
      </c>
      <c r="I529" s="979" t="str">
        <f>IF(ISNA(VLOOKUP(C529,[6]條件!$A$1:$L$932,12,0)),"",(VLOOKUP(C529,[6]條件!$A$1:$L$932,12,0)))</f>
        <v/>
      </c>
      <c r="J529" s="982"/>
      <c r="K529" s="980"/>
      <c r="L529" s="981" t="s">
        <v>632</v>
      </c>
      <c r="M529" s="983"/>
      <c r="N529" s="982"/>
      <c r="O529" s="980"/>
      <c r="P529" s="981" t="s">
        <v>632</v>
      </c>
      <c r="Q529" s="983"/>
      <c r="R529" s="982"/>
      <c r="S529" s="980"/>
      <c r="T529" s="981" t="s">
        <v>632</v>
      </c>
      <c r="U529" s="983"/>
      <c r="V529" s="982"/>
      <c r="W529" s="980"/>
      <c r="X529" s="981" t="s">
        <v>632</v>
      </c>
      <c r="Y529" s="983"/>
      <c r="Z529" s="1412" t="str">
        <f>IFERROR(VLOOKUP(C529, [6]條件!$A:$L, 3, 0), "")</f>
        <v/>
      </c>
      <c r="AA529" s="984" t="str">
        <f>IF(OR(L529={"改紡","檢修","了機","清車","FINAL","停機","SAMPLE","TEST","絲開發"}), L529, IFERROR(IF(C529="", "", (SUM(J529, N529, R529, V529)/3 * AG529) * IF(AND(AF529="S", AS529="雙"), 0.5, 1)), ""))</f>
        <v>停機</v>
      </c>
      <c r="AB529" s="1413" t="str">
        <f t="shared" si="95"/>
        <v/>
      </c>
      <c r="AC529" s="984" t="str">
        <f>IF(OR(L529={"改紡","檢修","了機","清車","FINAL","停機","SAMPLE","TEST"}), "", IFERROR(IF(C529="", "", AVERAGE(L529:M529, P529:Q529, T529:U529, X529:Y529)/100), ""))</f>
        <v/>
      </c>
      <c r="AD529" s="984" t="str">
        <f t="shared" si="89"/>
        <v/>
      </c>
      <c r="AE529" s="984" t="str">
        <f t="shared" si="96"/>
        <v/>
      </c>
      <c r="AF529" s="985" t="str">
        <f t="shared" si="90"/>
        <v>A</v>
      </c>
      <c r="AG529" s="1414">
        <v>1</v>
      </c>
      <c r="AH529" s="981" t="s">
        <v>640</v>
      </c>
      <c r="AI529" s="986" t="s">
        <v>640</v>
      </c>
      <c r="AJ529" s="986" t="s">
        <v>640</v>
      </c>
      <c r="AK529" s="1417" t="s">
        <v>640</v>
      </c>
      <c r="AL529" s="1415"/>
      <c r="AM529" s="1323"/>
      <c r="AN529" s="1323"/>
      <c r="AO529" s="1323"/>
      <c r="AP529" s="1323"/>
      <c r="AQ529" s="1323"/>
      <c r="AR529" s="987"/>
      <c r="AS529" s="978" t="str">
        <f t="shared" si="91"/>
        <v>單</v>
      </c>
      <c r="AT529" s="978" t="str">
        <f t="shared" si="92"/>
        <v>全</v>
      </c>
      <c r="AU529" s="978" t="str">
        <f t="shared" si="93"/>
        <v/>
      </c>
      <c r="AV529" s="978" t="str">
        <f t="shared" si="94"/>
        <v/>
      </c>
    </row>
    <row r="530" spans="1:48">
      <c r="A530" s="975">
        <f t="shared" si="97"/>
        <v>46156</v>
      </c>
      <c r="B530" s="976" t="s">
        <v>219</v>
      </c>
      <c r="C530" s="976" t="s">
        <v>16745</v>
      </c>
      <c r="D530" s="1410" t="s">
        <v>16748</v>
      </c>
      <c r="E530" s="977" t="str">
        <f>IFERROR(VLOOKUP(C530, [6]條件!$A:$L, 5, 0), "")</f>
        <v>50/72BSD3</v>
      </c>
      <c r="F530" s="978" t="str">
        <f>IFERROR(VLOOKUP(C530, [6]條件!$A:$L, 6, 0), "")</f>
        <v>FP80141</v>
      </c>
      <c r="G530" s="1411">
        <f>IFERROR(VLOOKUP(C530, [6]條件!$A:$L, 7, 0), "")</f>
        <v>630</v>
      </c>
      <c r="H530" s="978" t="str">
        <f>IF(ISNA(VLOOKUP(C530,[6]條件!$A$1:$K$932,11,0)),"",(VLOOKUP(C530,[6]條件!$A$1:$K$932,11,0)))</f>
        <v>洋綠色</v>
      </c>
      <c r="I530" s="979">
        <f>IF(ISNA(VLOOKUP(C530,[6]條件!$A$1:$L$932,12,0)),"",(VLOOKUP(C530,[6]條件!$A$1:$L$932,12,0)))</f>
        <v>2</v>
      </c>
      <c r="J530" s="982">
        <v>17</v>
      </c>
      <c r="K530" s="980">
        <v>1</v>
      </c>
      <c r="L530" s="981">
        <v>9640</v>
      </c>
      <c r="M530" s="983">
        <v>9511</v>
      </c>
      <c r="N530" s="982">
        <v>15</v>
      </c>
      <c r="O530" s="980">
        <v>0</v>
      </c>
      <c r="P530" s="981">
        <v>9545</v>
      </c>
      <c r="Q530" s="983">
        <v>9028</v>
      </c>
      <c r="R530" s="982">
        <v>15</v>
      </c>
      <c r="S530" s="980">
        <v>0</v>
      </c>
      <c r="T530" s="981">
        <v>9621</v>
      </c>
      <c r="U530" s="983">
        <v>9321</v>
      </c>
      <c r="V530" s="982">
        <v>24</v>
      </c>
      <c r="W530" s="980">
        <v>0</v>
      </c>
      <c r="X530" s="981">
        <v>9670</v>
      </c>
      <c r="Y530" s="983">
        <v>9376</v>
      </c>
      <c r="Z530" s="1412">
        <f>IFERROR(VLOOKUP(C530, [6]條件!$A:$L, 3, 0), "")</f>
        <v>2.4615384615384617</v>
      </c>
      <c r="AA530" s="984">
        <f>IF(OR(L530={"改紡","檢修","了機","清車","FINAL","停機","SAMPLE","TEST","絲開發"}), L530, IFERROR(IF(C530="", "", (SUM(J530, N530, R530, V530)/3 * AG530) * IF(AND(AF530="S", AS530="雙"), 0.5, 1)), ""))</f>
        <v>23.666666666666668</v>
      </c>
      <c r="AB530" s="1413">
        <f t="shared" si="95"/>
        <v>0.998046875</v>
      </c>
      <c r="AC530" s="984">
        <f>IF(OR(L530={"改紡","檢修","了機","清車","FINAL","停機","SAMPLE","TEST"}), "", IFERROR(IF(C530="", "", AVERAGE(L530:M530, P530:Q530, T530:U530, X530:Y530)/100), ""))</f>
        <v>94.64</v>
      </c>
      <c r="AD530" s="984">
        <f t="shared" si="89"/>
        <v>2.9583333333333335</v>
      </c>
      <c r="AE530" s="984">
        <f t="shared" si="96"/>
        <v>2.9166666666666665</v>
      </c>
      <c r="AF530" s="985" t="str">
        <f t="shared" si="90"/>
        <v>A</v>
      </c>
      <c r="AG530" s="1414">
        <v>1</v>
      </c>
      <c r="AH530" s="981" t="s">
        <v>16154</v>
      </c>
      <c r="AI530" s="986" t="s">
        <v>16154</v>
      </c>
      <c r="AJ530" s="986" t="s">
        <v>15376</v>
      </c>
      <c r="AK530" s="1417" t="s">
        <v>15376</v>
      </c>
      <c r="AL530" s="1415">
        <v>57</v>
      </c>
      <c r="AM530" s="1324">
        <v>46089</v>
      </c>
      <c r="AN530" s="1323">
        <v>46090</v>
      </c>
      <c r="AO530" s="1323"/>
      <c r="AP530" s="1323"/>
      <c r="AQ530" s="1323"/>
      <c r="AR530" s="987"/>
      <c r="AS530" s="978" t="str">
        <f t="shared" si="91"/>
        <v>單</v>
      </c>
      <c r="AT530" s="978" t="str">
        <f t="shared" si="92"/>
        <v>全</v>
      </c>
      <c r="AU530" s="978">
        <f t="shared" si="93"/>
        <v>50</v>
      </c>
      <c r="AV530" s="978">
        <f t="shared" si="94"/>
        <v>1.0302888960000001</v>
      </c>
    </row>
    <row r="531" spans="1:48">
      <c r="A531" s="975">
        <f t="shared" si="97"/>
        <v>46156</v>
      </c>
      <c r="B531" s="976" t="s">
        <v>220</v>
      </c>
      <c r="C531" s="976" t="s">
        <v>632</v>
      </c>
      <c r="D531" s="1410"/>
      <c r="E531" s="977" t="str">
        <f>IFERROR(VLOOKUP(C531, [6]條件!$A:$L, 5, 0), "")</f>
        <v/>
      </c>
      <c r="F531" s="978" t="str">
        <f>IFERROR(VLOOKUP(C531, [6]條件!$A:$L, 6, 0), "")</f>
        <v/>
      </c>
      <c r="G531" s="1411" t="str">
        <f>IFERROR(VLOOKUP(C531, [6]條件!$A:$L, 7, 0), "")</f>
        <v/>
      </c>
      <c r="H531" s="978" t="str">
        <f>IF(ISNA(VLOOKUP(C531,[6]條件!$A$1:$K$932,11,0)),"",(VLOOKUP(C531,[6]條件!$A$1:$K$932,11,0)))</f>
        <v/>
      </c>
      <c r="I531" s="979" t="str">
        <f>IF(ISNA(VLOOKUP(C531,[6]條件!$A$1:$L$932,12,0)),"",(VLOOKUP(C531,[6]條件!$A$1:$L$932,12,0)))</f>
        <v/>
      </c>
      <c r="J531" s="982"/>
      <c r="K531" s="980"/>
      <c r="L531" s="981" t="s">
        <v>632</v>
      </c>
      <c r="M531" s="983"/>
      <c r="N531" s="982"/>
      <c r="O531" s="980"/>
      <c r="P531" s="981" t="s">
        <v>632</v>
      </c>
      <c r="Q531" s="983"/>
      <c r="R531" s="982"/>
      <c r="S531" s="980"/>
      <c r="T531" s="981" t="s">
        <v>632</v>
      </c>
      <c r="U531" s="983"/>
      <c r="V531" s="982"/>
      <c r="W531" s="980"/>
      <c r="X531" s="981" t="s">
        <v>632</v>
      </c>
      <c r="Y531" s="983"/>
      <c r="Z531" s="1412" t="str">
        <f>IFERROR(VLOOKUP(C531, [6]條件!$A:$L, 3, 0), "")</f>
        <v/>
      </c>
      <c r="AA531" s="984" t="str">
        <f>IF(OR(L531={"改紡","檢修","了機","清車","FINAL","停機","SAMPLE","TEST","絲開發"}), L531, IFERROR(IF(C531="", "", (SUM(J531, N531, R531, V531)/3 * AG531) * IF(AND(AF531="S", AS531="雙"), 0.5, 1)), ""))</f>
        <v>停機</v>
      </c>
      <c r="AB531" s="1413" t="str">
        <f t="shared" si="95"/>
        <v/>
      </c>
      <c r="AC531" s="984" t="str">
        <f>IF(OR(L531={"改紡","檢修","了機","清車","FINAL","停機","SAMPLE","TEST"}), "", IFERROR(IF(C531="", "", AVERAGE(L531:M531, P531:Q531, T531:U531, X531:Y531)/100), ""))</f>
        <v/>
      </c>
      <c r="AD531" s="984" t="str">
        <f t="shared" si="89"/>
        <v/>
      </c>
      <c r="AE531" s="984" t="str">
        <f t="shared" si="96"/>
        <v/>
      </c>
      <c r="AF531" s="985" t="str">
        <f t="shared" si="90"/>
        <v>A</v>
      </c>
      <c r="AG531" s="1414">
        <v>1</v>
      </c>
      <c r="AH531" s="981" t="s">
        <v>640</v>
      </c>
      <c r="AI531" s="986" t="s">
        <v>640</v>
      </c>
      <c r="AJ531" s="986" t="s">
        <v>640</v>
      </c>
      <c r="AK531" s="1417" t="s">
        <v>640</v>
      </c>
      <c r="AL531" s="1415"/>
      <c r="AM531" s="1323"/>
      <c r="AN531" s="1323"/>
      <c r="AO531" s="1323"/>
      <c r="AP531" s="1323"/>
      <c r="AQ531" s="1323"/>
      <c r="AR531" s="987"/>
      <c r="AS531" s="978" t="str">
        <f t="shared" si="91"/>
        <v>單</v>
      </c>
      <c r="AT531" s="978" t="str">
        <f t="shared" si="92"/>
        <v>全</v>
      </c>
      <c r="AU531" s="978" t="str">
        <f t="shared" si="93"/>
        <v/>
      </c>
      <c r="AV531" s="978" t="str">
        <f t="shared" si="94"/>
        <v/>
      </c>
    </row>
    <row r="532" spans="1:48">
      <c r="A532" s="975">
        <f t="shared" si="97"/>
        <v>46156</v>
      </c>
      <c r="B532" s="976" t="s">
        <v>221</v>
      </c>
      <c r="C532" s="976" t="s">
        <v>16763</v>
      </c>
      <c r="D532" s="1410"/>
      <c r="E532" s="977" t="str">
        <f>IFERROR(VLOOKUP(C532, [6]條件!$A:$L, 5, 0), "")</f>
        <v>150/48CDR</v>
      </c>
      <c r="F532" s="978" t="str">
        <f>IFERROR(VLOOKUP(C532, [6]條件!$A:$L, 6, 0), "")</f>
        <v>FP82781</v>
      </c>
      <c r="G532" s="1411">
        <f>IFERROR(VLOOKUP(C532, [6]條件!$A:$L, 7, 0), "")</f>
        <v>600</v>
      </c>
      <c r="H532" s="978" t="str">
        <f>IF(ISNA(VLOOKUP(C532,[6]條件!$A$1:$K$932,11,0)),"",(VLOOKUP(C532,[6]條件!$A$1:$K$932,11,0)))</f>
        <v>綠藍雙色</v>
      </c>
      <c r="I532" s="979">
        <f>IF(ISNA(VLOOKUP(C532,[6]條件!$A$1:$L$932,12,0)),"",(VLOOKUP(C532,[6]條件!$A$1:$L$932,12,0)))</f>
        <v>5</v>
      </c>
      <c r="J532" s="982">
        <v>8</v>
      </c>
      <c r="K532" s="980">
        <v>0</v>
      </c>
      <c r="L532" s="981">
        <v>8527</v>
      </c>
      <c r="M532" s="983">
        <v>8160</v>
      </c>
      <c r="N532" s="982">
        <v>3</v>
      </c>
      <c r="O532" s="980">
        <v>0</v>
      </c>
      <c r="P532" s="981">
        <v>8546</v>
      </c>
      <c r="Q532" s="983">
        <v>8172</v>
      </c>
      <c r="R532" s="982">
        <v>2</v>
      </c>
      <c r="S532" s="980">
        <v>0</v>
      </c>
      <c r="T532" s="981">
        <v>8582</v>
      </c>
      <c r="U532" s="983">
        <v>8194</v>
      </c>
      <c r="V532" s="982">
        <v>6</v>
      </c>
      <c r="W532" s="980">
        <v>0</v>
      </c>
      <c r="X532" s="981">
        <v>8544</v>
      </c>
      <c r="Y532" s="983">
        <v>8144</v>
      </c>
      <c r="Z532" s="1412">
        <f>IFERROR(VLOOKUP(C532, [6]條件!$A:$L, 3, 0), "")</f>
        <v>2.8685258964143427</v>
      </c>
      <c r="AA532" s="984">
        <f>IF(OR(L532={"改紡","檢修","了機","清車","FINAL","停機","SAMPLE","TEST","絲開發"}), L532, IFERROR(IF(C532="", "", (SUM(J532, N532, R532, V532)/3 * AG532) * IF(AND(AF532="S", AS532="雙"), 0.5, 1)), ""))</f>
        <v>6.333333333333333</v>
      </c>
      <c r="AB532" s="1413">
        <f t="shared" si="95"/>
        <v>1</v>
      </c>
      <c r="AC532" s="984">
        <f>IF(OR(L532={"改紡","檢修","了機","清車","FINAL","停機","SAMPLE","TEST"}), "", IFERROR(IF(C532="", "", AVERAGE(L532:M532, P532:Q532, T532:U532, X532:Y532)/100), ""))</f>
        <v>83.586250000000007</v>
      </c>
      <c r="AD532" s="984">
        <f t="shared" si="89"/>
        <v>0.79166666666666663</v>
      </c>
      <c r="AE532" s="984">
        <f t="shared" si="96"/>
        <v>0.79166666666666663</v>
      </c>
      <c r="AF532" s="985" t="str">
        <f t="shared" si="90"/>
        <v>A</v>
      </c>
      <c r="AG532" s="1414">
        <v>1</v>
      </c>
      <c r="AH532" s="981" t="s">
        <v>16154</v>
      </c>
      <c r="AI532" s="986" t="s">
        <v>16154</v>
      </c>
      <c r="AJ532" s="986" t="s">
        <v>15376</v>
      </c>
      <c r="AK532" s="1417" t="s">
        <v>15376</v>
      </c>
      <c r="AL532" s="1415">
        <v>54</v>
      </c>
      <c r="AM532" s="1323">
        <v>46153</v>
      </c>
      <c r="AN532" s="1323">
        <v>46154</v>
      </c>
      <c r="AO532" s="1323"/>
      <c r="AP532" s="1323"/>
      <c r="AQ532" s="1323"/>
      <c r="AR532" s="987"/>
      <c r="AS532" s="978" t="str">
        <f t="shared" si="91"/>
        <v>單</v>
      </c>
      <c r="AT532" s="978" t="str">
        <f t="shared" si="92"/>
        <v>全</v>
      </c>
      <c r="AU532" s="978">
        <f t="shared" si="93"/>
        <v>150</v>
      </c>
      <c r="AV532" s="978">
        <f t="shared" si="94"/>
        <v>2.5998667200000005</v>
      </c>
    </row>
    <row r="533" spans="1:48">
      <c r="A533" s="975">
        <f t="shared" si="97"/>
        <v>46156</v>
      </c>
      <c r="B533" s="976" t="s">
        <v>222</v>
      </c>
      <c r="C533" s="976" t="s">
        <v>632</v>
      </c>
      <c r="D533" s="1410"/>
      <c r="E533" s="977" t="str">
        <f>IFERROR(VLOOKUP(C533, [6]條件!$A:$L, 5, 0), "")</f>
        <v/>
      </c>
      <c r="F533" s="978" t="str">
        <f>IFERROR(VLOOKUP(C533, [6]條件!$A:$L, 6, 0), "")</f>
        <v/>
      </c>
      <c r="G533" s="1411" t="str">
        <f>IFERROR(VLOOKUP(C533, [6]條件!$A:$L, 7, 0), "")</f>
        <v/>
      </c>
      <c r="H533" s="978" t="str">
        <f>IF(ISNA(VLOOKUP(C533,[6]條件!$A$1:$K$932,11,0)),"",(VLOOKUP(C533,[6]條件!$A$1:$K$932,11,0)))</f>
        <v/>
      </c>
      <c r="I533" s="979" t="str">
        <f>IF(ISNA(VLOOKUP(C533,[6]條件!$A$1:$L$932,12,0)),"",(VLOOKUP(C533,[6]條件!$A$1:$L$932,12,0)))</f>
        <v/>
      </c>
      <c r="J533" s="982"/>
      <c r="K533" s="980"/>
      <c r="L533" s="981" t="s">
        <v>632</v>
      </c>
      <c r="M533" s="983"/>
      <c r="N533" s="982"/>
      <c r="O533" s="980"/>
      <c r="P533" s="981" t="s">
        <v>632</v>
      </c>
      <c r="Q533" s="983"/>
      <c r="R533" s="982"/>
      <c r="S533" s="980"/>
      <c r="T533" s="981" t="s">
        <v>632</v>
      </c>
      <c r="U533" s="983"/>
      <c r="V533" s="982"/>
      <c r="W533" s="980"/>
      <c r="X533" s="981" t="s">
        <v>632</v>
      </c>
      <c r="Y533" s="983"/>
      <c r="Z533" s="1412" t="str">
        <f>IFERROR(VLOOKUP(C533, [6]條件!$A:$L, 3, 0), "")</f>
        <v/>
      </c>
      <c r="AA533" s="984" t="str">
        <f>IF(OR(L533={"改紡","檢修","了機","清車","FINAL","停機","SAMPLE","TEST","絲開發"}), L533, IFERROR(IF(C533="", "", (SUM(J533, N533, R533, V533)/3 * AG533) * IF(AND(AF533="S", AS533="雙"), 0.5, 1)), ""))</f>
        <v>停機</v>
      </c>
      <c r="AB533" s="1413" t="str">
        <f t="shared" si="95"/>
        <v/>
      </c>
      <c r="AC533" s="984" t="str">
        <f>IF(OR(L533={"改紡","檢修","了機","清車","FINAL","停機","SAMPLE","TEST"}), "", IFERROR(IF(C533="", "", AVERAGE(L533:M533, P533:Q533, T533:U533, X533:Y533)/100), ""))</f>
        <v/>
      </c>
      <c r="AD533" s="984" t="str">
        <f t="shared" si="89"/>
        <v/>
      </c>
      <c r="AE533" s="984" t="str">
        <f t="shared" si="96"/>
        <v/>
      </c>
      <c r="AF533" s="985" t="str">
        <f t="shared" si="90"/>
        <v>A</v>
      </c>
      <c r="AG533" s="1414">
        <v>1</v>
      </c>
      <c r="AH533" s="981" t="s">
        <v>640</v>
      </c>
      <c r="AI533" s="986" t="s">
        <v>640</v>
      </c>
      <c r="AJ533" s="986" t="s">
        <v>640</v>
      </c>
      <c r="AK533" s="1417" t="s">
        <v>640</v>
      </c>
      <c r="AL533" s="1415"/>
      <c r="AM533" s="1323"/>
      <c r="AN533" s="1323"/>
      <c r="AO533" s="1323"/>
      <c r="AP533" s="1323"/>
      <c r="AQ533" s="1323"/>
      <c r="AR533" s="987"/>
      <c r="AS533" s="978" t="str">
        <f t="shared" si="91"/>
        <v>單</v>
      </c>
      <c r="AT533" s="978" t="str">
        <f t="shared" si="92"/>
        <v>全</v>
      </c>
      <c r="AU533" s="978" t="str">
        <f t="shared" si="93"/>
        <v/>
      </c>
      <c r="AV533" s="978" t="str">
        <f t="shared" si="94"/>
        <v/>
      </c>
    </row>
    <row r="534" spans="1:48">
      <c r="A534" s="975">
        <f t="shared" si="97"/>
        <v>46156</v>
      </c>
      <c r="B534" s="976" t="s">
        <v>223</v>
      </c>
      <c r="C534" s="976" t="s">
        <v>632</v>
      </c>
      <c r="D534" s="1410"/>
      <c r="E534" s="977" t="str">
        <f>IFERROR(VLOOKUP(C534, [6]條件!$A:$L, 5, 0), "")</f>
        <v/>
      </c>
      <c r="F534" s="978" t="str">
        <f>IFERROR(VLOOKUP(C534, [6]條件!$A:$L, 6, 0), "")</f>
        <v/>
      </c>
      <c r="G534" s="1411" t="str">
        <f>IFERROR(VLOOKUP(C534, [6]條件!$A:$L, 7, 0), "")</f>
        <v/>
      </c>
      <c r="H534" s="978" t="str">
        <f>IF(ISNA(VLOOKUP(C534,[6]條件!$A$1:$K$932,11,0)),"",(VLOOKUP(C534,[6]條件!$A$1:$K$932,11,0)))</f>
        <v/>
      </c>
      <c r="I534" s="979" t="str">
        <f>IF(ISNA(VLOOKUP(C534,[6]條件!$A$1:$L$932,12,0)),"",(VLOOKUP(C534,[6]條件!$A$1:$L$932,12,0)))</f>
        <v/>
      </c>
      <c r="J534" s="982"/>
      <c r="K534" s="980"/>
      <c r="L534" s="981" t="s">
        <v>632</v>
      </c>
      <c r="M534" s="983"/>
      <c r="N534" s="982"/>
      <c r="O534" s="980"/>
      <c r="P534" s="981" t="s">
        <v>632</v>
      </c>
      <c r="Q534" s="983"/>
      <c r="R534" s="982"/>
      <c r="S534" s="980"/>
      <c r="T534" s="981" t="s">
        <v>632</v>
      </c>
      <c r="U534" s="983"/>
      <c r="V534" s="982"/>
      <c r="W534" s="980"/>
      <c r="X534" s="981" t="s">
        <v>632</v>
      </c>
      <c r="Y534" s="983"/>
      <c r="Z534" s="1412" t="str">
        <f>IFERROR(VLOOKUP(C534, [6]條件!$A:$L, 3, 0), "")</f>
        <v/>
      </c>
      <c r="AA534" s="984" t="str">
        <f>IF(OR(L534={"改紡","檢修","了機","清車","FINAL","停機","SAMPLE","TEST","絲開發"}), L534, IFERROR(IF(C534="", "", (SUM(J534, N534, R534, V534)/3 * AG534) * IF(AND(AF534="S", AS534="雙"), 0.5, 1)), ""))</f>
        <v>停機</v>
      </c>
      <c r="AB534" s="1413" t="str">
        <f t="shared" si="95"/>
        <v/>
      </c>
      <c r="AC534" s="984" t="str">
        <f>IF(OR(L534={"改紡","檢修","了機","清車","FINAL","停機","SAMPLE","TEST"}), "", IFERROR(IF(C534="", "", AVERAGE(L534:M534, P534:Q534, T534:U534, X534:Y534)/100), ""))</f>
        <v/>
      </c>
      <c r="AD534" s="984" t="str">
        <f t="shared" si="89"/>
        <v/>
      </c>
      <c r="AE534" s="984" t="str">
        <f t="shared" si="96"/>
        <v/>
      </c>
      <c r="AF534" s="985" t="str">
        <f t="shared" si="90"/>
        <v>A</v>
      </c>
      <c r="AG534" s="1414">
        <v>1</v>
      </c>
      <c r="AH534" s="981" t="s">
        <v>640</v>
      </c>
      <c r="AI534" s="986" t="s">
        <v>640</v>
      </c>
      <c r="AJ534" s="986" t="s">
        <v>640</v>
      </c>
      <c r="AK534" s="1417" t="s">
        <v>640</v>
      </c>
      <c r="AL534" s="1415"/>
      <c r="AM534" s="1324"/>
      <c r="AN534" s="1323"/>
      <c r="AO534" s="1323"/>
      <c r="AP534" s="1323"/>
      <c r="AQ534" s="1323"/>
      <c r="AR534" s="987"/>
      <c r="AS534" s="978" t="str">
        <f t="shared" si="91"/>
        <v>單</v>
      </c>
      <c r="AT534" s="978" t="str">
        <f t="shared" si="92"/>
        <v>全</v>
      </c>
      <c r="AU534" s="978" t="str">
        <f t="shared" si="93"/>
        <v/>
      </c>
      <c r="AV534" s="978" t="str">
        <f t="shared" si="94"/>
        <v/>
      </c>
    </row>
    <row r="535" spans="1:48">
      <c r="A535" s="975">
        <f t="shared" si="97"/>
        <v>46156</v>
      </c>
      <c r="B535" s="976" t="s">
        <v>224</v>
      </c>
      <c r="C535" s="976" t="s">
        <v>16734</v>
      </c>
      <c r="D535" s="1410" t="s">
        <v>633</v>
      </c>
      <c r="E535" s="977" t="str">
        <f>IFERROR(VLOOKUP(C535, [6]條件!$A:$L, 5, 0), "")</f>
        <v>75/24/2SDr</v>
      </c>
      <c r="F535" s="978" t="str">
        <f>IFERROR(VLOOKUP(C535, [6]條件!$A:$L, 6, 0), "")</f>
        <v>FP81382R×2</v>
      </c>
      <c r="G535" s="1411">
        <f>IFERROR(VLOOKUP(C535, [6]條件!$A:$L, 7, 0), "")</f>
        <v>700</v>
      </c>
      <c r="H535" s="978" t="str">
        <f>IF(ISNA(VLOOKUP(C535,[6]條件!$A$1:$K$932,11,0)),"",(VLOOKUP(C535,[6]條件!$A$1:$K$932,11,0)))</f>
        <v>白底紫三角</v>
      </c>
      <c r="I535" s="979">
        <f>IF(ISNA(VLOOKUP(C535,[6]條件!$A$1:$L$932,12,0)),"",(VLOOKUP(C535,[6]條件!$A$1:$L$932,12,0)))</f>
        <v>5</v>
      </c>
      <c r="J535" s="982">
        <v>30</v>
      </c>
      <c r="K535" s="980">
        <v>6</v>
      </c>
      <c r="L535" s="981">
        <v>9439</v>
      </c>
      <c r="M535" s="983">
        <v>8338</v>
      </c>
      <c r="N535" s="982">
        <v>18</v>
      </c>
      <c r="O535" s="980">
        <v>0</v>
      </c>
      <c r="P535" s="981">
        <v>9334</v>
      </c>
      <c r="Q535" s="983">
        <v>8384</v>
      </c>
      <c r="R535" s="982">
        <v>22</v>
      </c>
      <c r="S535" s="980">
        <v>1</v>
      </c>
      <c r="T535" s="981">
        <v>9343</v>
      </c>
      <c r="U535" s="983">
        <v>8368</v>
      </c>
      <c r="V535" s="982">
        <v>58</v>
      </c>
      <c r="W535" s="980">
        <v>0</v>
      </c>
      <c r="X535" s="981">
        <v>8990</v>
      </c>
      <c r="Y535" s="983">
        <v>8544</v>
      </c>
      <c r="Z535" s="1412">
        <f>IFERROR(VLOOKUP(C535, [6]條件!$A:$L, 3, 0), "")</f>
        <v>3.2653061224489797</v>
      </c>
      <c r="AA535" s="984">
        <f>IF(OR(L535={"改紡","檢修","了機","清車","FINAL","停機","SAMPLE","TEST","絲開發"}), L535, IFERROR(IF(C535="", "", (SUM(J535, N535, R535, V535)/3 * AG535) * IF(AND(AF535="S", AS535="雙"), 0.5, 1)), ""))</f>
        <v>21.333333333333332</v>
      </c>
      <c r="AB535" s="1413">
        <f t="shared" si="95"/>
        <v>0.9896935096153846</v>
      </c>
      <c r="AC535" s="984">
        <f>IF(OR(L535={"改紡","檢修","了機","清車","FINAL","停機","SAMPLE","TEST"}), "", IFERROR(IF(C535="", "", AVERAGE(L535:M535, P535:Q535, T535:U535, X535:Y535)/100), ""))</f>
        <v>88.424999999999997</v>
      </c>
      <c r="AD535" s="984">
        <f t="shared" si="89"/>
        <v>2.6666666666666665</v>
      </c>
      <c r="AE535" s="984">
        <f t="shared" si="96"/>
        <v>2.5208333333333335</v>
      </c>
      <c r="AF535" s="985" t="str">
        <f t="shared" si="90"/>
        <v>A</v>
      </c>
      <c r="AG535" s="1414">
        <v>0.5</v>
      </c>
      <c r="AH535" s="981" t="s">
        <v>631</v>
      </c>
      <c r="AI535" s="986" t="s">
        <v>631</v>
      </c>
      <c r="AJ535" s="986" t="s">
        <v>725</v>
      </c>
      <c r="AK535" s="1417" t="s">
        <v>725</v>
      </c>
      <c r="AL535" s="1415">
        <v>50</v>
      </c>
      <c r="AM535" s="1323">
        <v>46109</v>
      </c>
      <c r="AN535" s="1323">
        <v>46110</v>
      </c>
      <c r="AO535" s="1323">
        <v>46111</v>
      </c>
      <c r="AP535" s="1323"/>
      <c r="AQ535" s="1323"/>
      <c r="AR535" s="987"/>
      <c r="AS535" s="978" t="str">
        <f t="shared" si="91"/>
        <v>雙</v>
      </c>
      <c r="AT535" s="978" t="str">
        <f t="shared" si="92"/>
        <v>全</v>
      </c>
      <c r="AU535" s="978">
        <f t="shared" si="93"/>
        <v>75</v>
      </c>
      <c r="AV535" s="978">
        <f t="shared" si="94"/>
        <v>1.6043832</v>
      </c>
    </row>
    <row r="536" spans="1:48">
      <c r="A536" s="975">
        <f t="shared" si="97"/>
        <v>46156</v>
      </c>
      <c r="B536" s="976" t="s">
        <v>225</v>
      </c>
      <c r="C536" s="976" t="s">
        <v>16747</v>
      </c>
      <c r="D536" s="1410"/>
      <c r="E536" s="977" t="str">
        <f>IFERROR(VLOOKUP(C536, [6]條件!$A:$L, 5, 0), "")</f>
        <v>150/48SDR</v>
      </c>
      <c r="F536" s="978" t="str">
        <f>IFERROR(VLOOKUP(C536, [6]條件!$A:$L, 6, 0), "")</f>
        <v>FP82169R</v>
      </c>
      <c r="G536" s="1411">
        <f>IFERROR(VLOOKUP(C536, [6]條件!$A:$L, 7, 0), "")</f>
        <v>650</v>
      </c>
      <c r="H536" s="978" t="str">
        <f>IF(ISNA(VLOOKUP(C536,[6]條件!$A$1:$K$932,11,0)),"",(VLOOKUP(C536,[6]條件!$A$1:$K$932,11,0)))</f>
        <v>綠藍三角</v>
      </c>
      <c r="I536" s="979">
        <f>IF(ISNA(VLOOKUP(C536,[6]條件!$A$1:$L$932,12,0)),"",(VLOOKUP(C536,[6]條件!$A$1:$L$932,12,0)))</f>
        <v>5</v>
      </c>
      <c r="J536" s="982">
        <v>22</v>
      </c>
      <c r="K536" s="980">
        <v>1</v>
      </c>
      <c r="L536" s="981">
        <v>9088</v>
      </c>
      <c r="M536" s="983">
        <v>8960</v>
      </c>
      <c r="N536" s="982">
        <v>10</v>
      </c>
      <c r="O536" s="980">
        <v>0</v>
      </c>
      <c r="P536" s="981">
        <v>8921</v>
      </c>
      <c r="Q536" s="983">
        <v>8430</v>
      </c>
      <c r="R536" s="982"/>
      <c r="S536" s="980"/>
      <c r="T536" s="981" t="s">
        <v>627</v>
      </c>
      <c r="U536" s="983"/>
      <c r="V536" s="982"/>
      <c r="W536" s="980"/>
      <c r="X536" s="981" t="s">
        <v>632</v>
      </c>
      <c r="Y536" s="983"/>
      <c r="Z536" s="1412">
        <f>IFERROR(VLOOKUP(C536, [6]條件!$A:$L, 3, 0), "")</f>
        <v>3.0573248407643314</v>
      </c>
      <c r="AA536" s="984">
        <f>IF(OR(L536={"改紡","檢修","了機","清車","FINAL","停機","SAMPLE","TEST","絲開發"}), L536, IFERROR(IF(C536="", "", (SUM(J536, N536, R536, V536)/3 * AG536) * IF(AND(AF536="S", AS536="雙"), 0.5, 1)), ""))</f>
        <v>10.666666666666666</v>
      </c>
      <c r="AB536" s="1413">
        <f t="shared" si="95"/>
        <v>0.99842748397435899</v>
      </c>
      <c r="AC536" s="984">
        <f>IF(OR(L536={"改紡","檢修","了機","清車","FINAL","停機","SAMPLE","TEST"}), "", IFERROR(IF(C536="", "", AVERAGE(L536:M536, P536:Q536, T536:U536, X536:Y536)/100), ""))</f>
        <v>88.497500000000002</v>
      </c>
      <c r="AD536" s="984">
        <f t="shared" si="89"/>
        <v>1.3333333333333333</v>
      </c>
      <c r="AE536" s="984">
        <f t="shared" si="96"/>
        <v>1.2916666666666667</v>
      </c>
      <c r="AF536" s="985" t="str">
        <f t="shared" si="90"/>
        <v>A</v>
      </c>
      <c r="AG536" s="1414">
        <v>1</v>
      </c>
      <c r="AH536" s="981" t="s">
        <v>637</v>
      </c>
      <c r="AI536" s="986" t="s">
        <v>637</v>
      </c>
      <c r="AJ536" s="986" t="s">
        <v>15376</v>
      </c>
      <c r="AK536" s="1417" t="s">
        <v>15376</v>
      </c>
      <c r="AL536" s="1415">
        <v>48</v>
      </c>
      <c r="AM536" s="1323">
        <v>46151</v>
      </c>
      <c r="AN536" s="1323">
        <v>46152</v>
      </c>
      <c r="AO536" s="1323">
        <v>46153</v>
      </c>
      <c r="AP536" s="1323">
        <v>46154</v>
      </c>
      <c r="AQ536" s="1323"/>
      <c r="AR536" s="987"/>
      <c r="AS536" s="978" t="str">
        <f t="shared" si="91"/>
        <v>單</v>
      </c>
      <c r="AT536" s="978" t="str">
        <f t="shared" si="92"/>
        <v>全</v>
      </c>
      <c r="AU536" s="978">
        <f t="shared" si="93"/>
        <v>150</v>
      </c>
      <c r="AV536" s="978">
        <f t="shared" si="94"/>
        <v>2.9820117599999998</v>
      </c>
    </row>
    <row r="537" spans="1:48">
      <c r="A537" s="975">
        <f t="shared" si="97"/>
        <v>46156</v>
      </c>
      <c r="B537" s="976" t="s">
        <v>226</v>
      </c>
      <c r="C537" s="976" t="s">
        <v>632</v>
      </c>
      <c r="D537" s="1410"/>
      <c r="E537" s="977" t="str">
        <f>IFERROR(VLOOKUP(C537, [6]條件!$A:$L, 5, 0), "")</f>
        <v/>
      </c>
      <c r="F537" s="978" t="str">
        <f>IFERROR(VLOOKUP(C537, [6]條件!$A:$L, 6, 0), "")</f>
        <v/>
      </c>
      <c r="G537" s="1411" t="str">
        <f>IFERROR(VLOOKUP(C537, [6]條件!$A:$L, 7, 0), "")</f>
        <v/>
      </c>
      <c r="H537" s="978" t="str">
        <f>IF(ISNA(VLOOKUP(C537,[6]條件!$A$1:$K$932,11,0)),"",(VLOOKUP(C537,[6]條件!$A$1:$K$932,11,0)))</f>
        <v/>
      </c>
      <c r="I537" s="979" t="str">
        <f>IF(ISNA(VLOOKUP(C537,[6]條件!$A$1:$L$932,12,0)),"",(VLOOKUP(C537,[6]條件!$A$1:$L$932,12,0)))</f>
        <v/>
      </c>
      <c r="J537" s="982"/>
      <c r="K537" s="980"/>
      <c r="L537" s="981" t="s">
        <v>632</v>
      </c>
      <c r="M537" s="983"/>
      <c r="N537" s="982"/>
      <c r="O537" s="980"/>
      <c r="P537" s="981" t="s">
        <v>632</v>
      </c>
      <c r="Q537" s="983"/>
      <c r="R537" s="982"/>
      <c r="S537" s="980"/>
      <c r="T537" s="981" t="s">
        <v>632</v>
      </c>
      <c r="U537" s="983"/>
      <c r="V537" s="982"/>
      <c r="W537" s="980"/>
      <c r="X537" s="981" t="s">
        <v>632</v>
      </c>
      <c r="Y537" s="983"/>
      <c r="Z537" s="1412" t="str">
        <f>IFERROR(VLOOKUP(C537, [6]條件!$A:$L, 3, 0), "")</f>
        <v/>
      </c>
      <c r="AA537" s="984" t="str">
        <f>IF(OR(L537={"改紡","檢修","了機","清車","FINAL","停機","SAMPLE","TEST","絲開發"}), L537, IFERROR(IF(C537="", "", (SUM(J537, N537, R537, V537)/3 * AG537) * IF(AND(AF537="S", AS537="雙"), 0.5, 1)), ""))</f>
        <v>停機</v>
      </c>
      <c r="AB537" s="1413" t="str">
        <f t="shared" si="95"/>
        <v/>
      </c>
      <c r="AC537" s="984" t="str">
        <f>IF(OR(L537={"改紡","檢修","了機","清車","FINAL","停機","SAMPLE","TEST"}), "", IFERROR(IF(C537="", "", AVERAGE(L537:M537, P537:Q537, T537:U537, X537:Y537)/100), ""))</f>
        <v/>
      </c>
      <c r="AD537" s="984" t="str">
        <f t="shared" si="89"/>
        <v/>
      </c>
      <c r="AE537" s="984" t="str">
        <f t="shared" si="96"/>
        <v/>
      </c>
      <c r="AF537" s="985" t="str">
        <f t="shared" si="90"/>
        <v>A</v>
      </c>
      <c r="AG537" s="1414">
        <v>1</v>
      </c>
      <c r="AH537" s="981" t="s">
        <v>640</v>
      </c>
      <c r="AI537" s="986" t="s">
        <v>640</v>
      </c>
      <c r="AJ537" s="986" t="s">
        <v>640</v>
      </c>
      <c r="AK537" s="1417" t="s">
        <v>640</v>
      </c>
      <c r="AL537" s="1415"/>
      <c r="AM537" s="1323"/>
      <c r="AN537" s="1323"/>
      <c r="AO537" s="1323"/>
      <c r="AP537" s="1323"/>
      <c r="AQ537" s="1323"/>
      <c r="AR537" s="987"/>
      <c r="AS537" s="978" t="str">
        <f t="shared" si="91"/>
        <v>單</v>
      </c>
      <c r="AT537" s="978" t="str">
        <f t="shared" si="92"/>
        <v>全</v>
      </c>
      <c r="AU537" s="978" t="str">
        <f t="shared" si="93"/>
        <v/>
      </c>
      <c r="AV537" s="978" t="str">
        <f t="shared" si="94"/>
        <v/>
      </c>
    </row>
    <row r="538" spans="1:48">
      <c r="A538" s="975">
        <f t="shared" si="97"/>
        <v>46156</v>
      </c>
      <c r="B538" s="976" t="s">
        <v>227</v>
      </c>
      <c r="C538" s="976" t="s">
        <v>16712</v>
      </c>
      <c r="D538" s="1410"/>
      <c r="E538" s="977" t="str">
        <f>IFERROR(VLOOKUP(C538, [6]條件!$A:$L, 5, 0), "")</f>
        <v>100/36SDr</v>
      </c>
      <c r="F538" s="978" t="str">
        <f>IFERROR(VLOOKUP(C538, [6]條件!$A:$L, 6, 0), "")</f>
        <v>FP81384R</v>
      </c>
      <c r="G538" s="1411">
        <f>IFERROR(VLOOKUP(C538, [6]條件!$A:$L, 7, 0), "")</f>
        <v>700</v>
      </c>
      <c r="H538" s="978" t="str">
        <f>IF(ISNA(VLOOKUP(C538,[6]條件!$A$1:$K$932,11,0)),"",(VLOOKUP(C538,[6]條件!$A$1:$K$932,11,0)))</f>
        <v>白底紅三角</v>
      </c>
      <c r="I538" s="979">
        <f>IF(ISNA(VLOOKUP(C538,[6]條件!$A$1:$L$932,12,0)),"",(VLOOKUP(C538,[6]條件!$A$1:$L$932,12,0)))</f>
        <v>5</v>
      </c>
      <c r="J538" s="982">
        <v>16</v>
      </c>
      <c r="K538" s="980">
        <v>0</v>
      </c>
      <c r="L538" s="981">
        <v>7346</v>
      </c>
      <c r="M538" s="983">
        <v>7873</v>
      </c>
      <c r="N538" s="982">
        <v>14</v>
      </c>
      <c r="O538" s="980">
        <v>0</v>
      </c>
      <c r="P538" s="981">
        <v>7120</v>
      </c>
      <c r="Q538" s="983">
        <v>7841</v>
      </c>
      <c r="R538" s="982">
        <v>13</v>
      </c>
      <c r="S538" s="980">
        <v>0</v>
      </c>
      <c r="T538" s="981">
        <v>7233</v>
      </c>
      <c r="U538" s="983">
        <v>7753</v>
      </c>
      <c r="V538" s="982"/>
      <c r="W538" s="980"/>
      <c r="X538" s="981" t="s">
        <v>127</v>
      </c>
      <c r="Y538" s="983"/>
      <c r="Z538" s="1412">
        <f>IFERROR(VLOOKUP(C538, [6]條件!$A:$L, 3, 0), "")</f>
        <v>2.2187981510015407</v>
      </c>
      <c r="AA538" s="984">
        <f>IF(OR(L538={"改紡","檢修","了機","清車","FINAL","停機","SAMPLE","TEST","絲開發"}), L538, IFERROR(IF(C538="", "", (SUM(J538, N538, R538, V538)/3 * AG538) * IF(AND(AF538="S", AS538="雙"), 0.5, 1)), ""))</f>
        <v>14.333333333333334</v>
      </c>
      <c r="AB538" s="1413">
        <f t="shared" si="95"/>
        <v>1</v>
      </c>
      <c r="AC538" s="984">
        <f>IF(OR(L538={"改紡","檢修","了機","清車","FINAL","停機","SAMPLE","TEST"}), "", IFERROR(IF(C538="", "", AVERAGE(L538:M538, P538:Q538, T538:U538, X538:Y538)/100), ""))</f>
        <v>75.276666666666671</v>
      </c>
      <c r="AD538" s="984">
        <f t="shared" si="89"/>
        <v>1.7916666666666667</v>
      </c>
      <c r="AE538" s="984">
        <f t="shared" si="96"/>
        <v>1.7916666666666667</v>
      </c>
      <c r="AF538" s="985" t="str">
        <f t="shared" si="90"/>
        <v>A</v>
      </c>
      <c r="AG538" s="1414">
        <v>1</v>
      </c>
      <c r="AH538" s="981" t="s">
        <v>636</v>
      </c>
      <c r="AI538" s="986" t="s">
        <v>636</v>
      </c>
      <c r="AJ538" s="986" t="s">
        <v>725</v>
      </c>
      <c r="AK538" s="1417" t="s">
        <v>725</v>
      </c>
      <c r="AL538" s="1415">
        <v>50</v>
      </c>
      <c r="AM538" s="1323">
        <v>46142</v>
      </c>
      <c r="AN538" s="1323">
        <v>46143</v>
      </c>
      <c r="AO538" s="1323">
        <v>46144</v>
      </c>
      <c r="AP538" s="1323"/>
      <c r="AQ538" s="1323"/>
      <c r="AR538" s="987"/>
      <c r="AS538" s="978" t="str">
        <f t="shared" si="91"/>
        <v>單</v>
      </c>
      <c r="AT538" s="978" t="str">
        <f t="shared" si="92"/>
        <v>全</v>
      </c>
      <c r="AU538" s="978">
        <f t="shared" si="93"/>
        <v>100</v>
      </c>
      <c r="AV538" s="978">
        <f t="shared" si="94"/>
        <v>1.82109312</v>
      </c>
    </row>
    <row r="539" spans="1:48">
      <c r="A539" s="975">
        <f t="shared" si="97"/>
        <v>46156</v>
      </c>
      <c r="B539" s="976" t="s">
        <v>228</v>
      </c>
      <c r="C539" s="976" t="s">
        <v>632</v>
      </c>
      <c r="D539" s="1410"/>
      <c r="E539" s="977" t="str">
        <f>IFERROR(VLOOKUP(C539, [6]條件!$A:$L, 5, 0), "")</f>
        <v/>
      </c>
      <c r="F539" s="978" t="str">
        <f>IFERROR(VLOOKUP(C539, [6]條件!$A:$L, 6, 0), "")</f>
        <v/>
      </c>
      <c r="G539" s="1411" t="str">
        <f>IFERROR(VLOOKUP(C539, [6]條件!$A:$L, 7, 0), "")</f>
        <v/>
      </c>
      <c r="H539" s="978" t="str">
        <f>IF(ISNA(VLOOKUP(C539,[6]條件!$A$1:$K$932,11,0)),"",(VLOOKUP(C539,[6]條件!$A$1:$K$932,11,0)))</f>
        <v/>
      </c>
      <c r="I539" s="979" t="str">
        <f>IF(ISNA(VLOOKUP(C539,[6]條件!$A$1:$L$932,12,0)),"",(VLOOKUP(C539,[6]條件!$A$1:$L$932,12,0)))</f>
        <v/>
      </c>
      <c r="J539" s="982"/>
      <c r="K539" s="980"/>
      <c r="L539" s="981" t="s">
        <v>632</v>
      </c>
      <c r="M539" s="983"/>
      <c r="N539" s="982"/>
      <c r="O539" s="980"/>
      <c r="P539" s="981" t="s">
        <v>632</v>
      </c>
      <c r="Q539" s="983"/>
      <c r="R539" s="982"/>
      <c r="S539" s="980"/>
      <c r="T539" s="981" t="s">
        <v>632</v>
      </c>
      <c r="U539" s="983"/>
      <c r="V539" s="982"/>
      <c r="W539" s="980"/>
      <c r="X539" s="981" t="s">
        <v>632</v>
      </c>
      <c r="Y539" s="983"/>
      <c r="Z539" s="1412" t="str">
        <f>IFERROR(VLOOKUP(C539, [6]條件!$A:$L, 3, 0), "")</f>
        <v/>
      </c>
      <c r="AA539" s="984" t="str">
        <f>IF(OR(L539={"改紡","檢修","了機","清車","FINAL","停機","SAMPLE","TEST","絲開發"}), L539, IFERROR(IF(C539="", "", (SUM(J539, N539, R539, V539)/3 * AG539) * IF(AND(AF539="S", AS539="雙"), 0.5, 1)), ""))</f>
        <v>停機</v>
      </c>
      <c r="AB539" s="1413" t="str">
        <f t="shared" si="95"/>
        <v/>
      </c>
      <c r="AC539" s="984" t="str">
        <f>IF(OR(L539={"改紡","檢修","了機","清車","FINAL","停機","SAMPLE","TEST"}), "", IFERROR(IF(C539="", "", AVERAGE(L539:M539, P539:Q539, T539:U539, X539:Y539)/100), ""))</f>
        <v/>
      </c>
      <c r="AD539" s="984" t="str">
        <f t="shared" si="89"/>
        <v/>
      </c>
      <c r="AE539" s="984" t="str">
        <f t="shared" si="96"/>
        <v/>
      </c>
      <c r="AF539" s="985" t="str">
        <f t="shared" si="90"/>
        <v>A</v>
      </c>
      <c r="AG539" s="1414">
        <v>1</v>
      </c>
      <c r="AH539" s="981" t="s">
        <v>640</v>
      </c>
      <c r="AI539" s="986" t="s">
        <v>640</v>
      </c>
      <c r="AJ539" s="986" t="s">
        <v>640</v>
      </c>
      <c r="AK539" s="1417" t="s">
        <v>640</v>
      </c>
      <c r="AL539" s="1420"/>
      <c r="AM539" s="1323"/>
      <c r="AN539" s="1323"/>
      <c r="AO539" s="1323"/>
      <c r="AP539" s="1323"/>
      <c r="AQ539" s="1323"/>
      <c r="AR539" s="987"/>
      <c r="AS539" s="978" t="str">
        <f t="shared" si="91"/>
        <v>單</v>
      </c>
      <c r="AT539" s="978" t="str">
        <f t="shared" si="92"/>
        <v>全</v>
      </c>
      <c r="AU539" s="978" t="str">
        <f t="shared" si="93"/>
        <v/>
      </c>
      <c r="AV539" s="978" t="str">
        <f t="shared" si="94"/>
        <v/>
      </c>
    </row>
    <row r="540" spans="1:48">
      <c r="A540" s="975">
        <f t="shared" si="97"/>
        <v>46156</v>
      </c>
      <c r="B540" s="976" t="s">
        <v>229</v>
      </c>
      <c r="C540" s="976" t="s">
        <v>632</v>
      </c>
      <c r="D540" s="1410"/>
      <c r="E540" s="977" t="str">
        <f>IFERROR(VLOOKUP(C540, [6]條件!$A:$L, 5, 0), "")</f>
        <v/>
      </c>
      <c r="F540" s="978" t="str">
        <f>IFERROR(VLOOKUP(C540, [6]條件!$A:$L, 6, 0), "")</f>
        <v/>
      </c>
      <c r="G540" s="1411" t="str">
        <f>IFERROR(VLOOKUP(C540, [6]條件!$A:$L, 7, 0), "")</f>
        <v/>
      </c>
      <c r="H540" s="978" t="str">
        <f>IF(ISNA(VLOOKUP(C540,[6]條件!$A$1:$K$932,11,0)),"",(VLOOKUP(C540,[6]條件!$A$1:$K$932,11,0)))</f>
        <v/>
      </c>
      <c r="I540" s="979" t="str">
        <f>IF(ISNA(VLOOKUP(C540,[6]條件!$A$1:$L$932,12,0)),"",(VLOOKUP(C540,[6]條件!$A$1:$L$932,12,0)))</f>
        <v/>
      </c>
      <c r="J540" s="982"/>
      <c r="K540" s="980"/>
      <c r="L540" s="981" t="s">
        <v>632</v>
      </c>
      <c r="M540" s="983"/>
      <c r="N540" s="982"/>
      <c r="O540" s="980"/>
      <c r="P540" s="981" t="s">
        <v>632</v>
      </c>
      <c r="Q540" s="983"/>
      <c r="R540" s="982"/>
      <c r="S540" s="980"/>
      <c r="T540" s="981" t="s">
        <v>632</v>
      </c>
      <c r="U540" s="983"/>
      <c r="V540" s="982"/>
      <c r="W540" s="980"/>
      <c r="X540" s="981" t="s">
        <v>632</v>
      </c>
      <c r="Y540" s="983"/>
      <c r="Z540" s="1412" t="str">
        <f>IFERROR(VLOOKUP(C540, [6]條件!$A:$L, 3, 0), "")</f>
        <v/>
      </c>
      <c r="AA540" s="984" t="str">
        <f>IF(OR(L540={"改紡","檢修","了機","清車","FINAL","停機","SAMPLE","TEST","絲開發"}), L540, IFERROR(IF(C540="", "", (SUM(J540, N540, R540, V540)/3 * AG540) * IF(AND(AF540="S", AS540="雙"), 0.5, 1)), ""))</f>
        <v>停機</v>
      </c>
      <c r="AB540" s="1413" t="str">
        <f t="shared" si="95"/>
        <v/>
      </c>
      <c r="AC540" s="984" t="str">
        <f>IF(OR(L540={"改紡","檢修","了機","清車","FINAL","停機","SAMPLE","TEST"}), "", IFERROR(IF(C540="", "", AVERAGE(L540:M540, P540:Q540, T540:U540, X540:Y540)/100), ""))</f>
        <v/>
      </c>
      <c r="AD540" s="984" t="str">
        <f t="shared" si="89"/>
        <v/>
      </c>
      <c r="AE540" s="984" t="str">
        <f t="shared" si="96"/>
        <v/>
      </c>
      <c r="AF540" s="985" t="str">
        <f t="shared" si="90"/>
        <v>A</v>
      </c>
      <c r="AG540" s="1414">
        <v>1</v>
      </c>
      <c r="AH540" s="981" t="s">
        <v>640</v>
      </c>
      <c r="AI540" s="986" t="s">
        <v>640</v>
      </c>
      <c r="AJ540" s="986" t="s">
        <v>640</v>
      </c>
      <c r="AK540" s="1417" t="s">
        <v>640</v>
      </c>
      <c r="AL540" s="1421"/>
      <c r="AM540" s="1323"/>
      <c r="AN540" s="1323"/>
      <c r="AO540" s="1323"/>
      <c r="AP540" s="1323"/>
      <c r="AQ540" s="1323"/>
      <c r="AR540" s="987"/>
      <c r="AS540" s="978" t="str">
        <f t="shared" si="91"/>
        <v>單</v>
      </c>
      <c r="AT540" s="978" t="str">
        <f t="shared" si="92"/>
        <v>全</v>
      </c>
      <c r="AU540" s="978" t="str">
        <f t="shared" si="93"/>
        <v/>
      </c>
      <c r="AV540" s="978" t="str">
        <f t="shared" si="94"/>
        <v/>
      </c>
    </row>
    <row r="541" spans="1:48">
      <c r="A541" s="975">
        <f t="shared" si="97"/>
        <v>46156</v>
      </c>
      <c r="B541" s="976" t="s">
        <v>230</v>
      </c>
      <c r="C541" s="976" t="s">
        <v>16751</v>
      </c>
      <c r="D541" s="1410"/>
      <c r="E541" s="977" t="str">
        <f>IFERROR(VLOOKUP(C541, [6]條件!$A:$L, 5, 0), "")</f>
        <v>150/48/2GY5</v>
      </c>
      <c r="F541" s="978" t="str">
        <f>IFERROR(VLOOKUP(C541, [6]條件!$A:$L, 6, 0), "")</f>
        <v>FP02422×2</v>
      </c>
      <c r="G541" s="1411">
        <f>IFERROR(VLOOKUP(C541, [6]條件!$A:$L, 7, 0), "")</f>
        <v>600</v>
      </c>
      <c r="H541" s="978" t="str">
        <f>IF(ISNA(VLOOKUP(C541,[6]條件!$A$1:$K$932,11,0)),"",(VLOOKUP(C541,[6]條件!$A$1:$K$932,11,0)))</f>
        <v>白底紅星</v>
      </c>
      <c r="I541" s="979">
        <f>IF(ISNA(VLOOKUP(C541,[6]條件!$A$1:$L$932,12,0)),"",(VLOOKUP(C541,[6]條件!$A$1:$L$932,12,0)))</f>
        <v>4</v>
      </c>
      <c r="J541" s="982">
        <v>14</v>
      </c>
      <c r="K541" s="980">
        <v>0</v>
      </c>
      <c r="L541" s="981">
        <v>9292</v>
      </c>
      <c r="M541" s="983">
        <v>9795</v>
      </c>
      <c r="N541" s="982">
        <v>4</v>
      </c>
      <c r="O541" s="980">
        <v>0</v>
      </c>
      <c r="P541" s="981">
        <v>9438</v>
      </c>
      <c r="Q541" s="983">
        <v>9765</v>
      </c>
      <c r="R541" s="982">
        <v>6</v>
      </c>
      <c r="S541" s="980">
        <v>0</v>
      </c>
      <c r="T541" s="981">
        <v>9440</v>
      </c>
      <c r="U541" s="983">
        <v>9766</v>
      </c>
      <c r="V541" s="982">
        <v>22</v>
      </c>
      <c r="W541" s="980">
        <v>0</v>
      </c>
      <c r="X541" s="981">
        <v>9280</v>
      </c>
      <c r="Y541" s="983">
        <v>9761</v>
      </c>
      <c r="Z541" s="1412">
        <f>IFERROR(VLOOKUP(C541, [6]條件!$A:$L, 3, 0), "")</f>
        <v>6.9230769230769234</v>
      </c>
      <c r="AA541" s="984">
        <f>IF(OR(L541={"改紡","檢修","了機","清車","FINAL","停機","SAMPLE","TEST","絲開發"}), L541, IFERROR(IF(C541="", "", (SUM(J541, N541, R541, V541)/3 * AG541) * IF(AND(AF541="S", AS541="雙"), 0.5, 1)), ""))</f>
        <v>7.666666666666667</v>
      </c>
      <c r="AB541" s="1413">
        <f t="shared" si="95"/>
        <v>1</v>
      </c>
      <c r="AC541" s="984">
        <f>IF(OR(L541={"改紡","檢修","了機","清車","FINAL","停機","SAMPLE","TEST"}), "", IFERROR(IF(C541="", "", AVERAGE(L541:M541, P541:Q541, T541:U541, X541:Y541)/100), ""))</f>
        <v>95.671250000000001</v>
      </c>
      <c r="AD541" s="984">
        <f t="shared" si="89"/>
        <v>0.95833333333333337</v>
      </c>
      <c r="AE541" s="984">
        <f t="shared" si="96"/>
        <v>0.95833333333333337</v>
      </c>
      <c r="AF541" s="985" t="str">
        <f t="shared" si="90"/>
        <v>A</v>
      </c>
      <c r="AG541" s="1414">
        <v>0.5</v>
      </c>
      <c r="AH541" s="981" t="s">
        <v>631</v>
      </c>
      <c r="AI541" s="986" t="s">
        <v>631</v>
      </c>
      <c r="AJ541" s="986" t="s">
        <v>725</v>
      </c>
      <c r="AK541" s="1417" t="s">
        <v>725</v>
      </c>
      <c r="AL541" s="1415">
        <v>52</v>
      </c>
      <c r="AM541" s="1323">
        <v>46152</v>
      </c>
      <c r="AN541" s="1323">
        <v>46153</v>
      </c>
      <c r="AO541" s="1323"/>
      <c r="AP541" s="1323"/>
      <c r="AQ541" s="1323"/>
      <c r="AR541" s="987"/>
      <c r="AS541" s="978" t="str">
        <f t="shared" si="91"/>
        <v>雙</v>
      </c>
      <c r="AT541" s="978" t="str">
        <f t="shared" si="92"/>
        <v>全</v>
      </c>
      <c r="AU541" s="978">
        <f t="shared" si="93"/>
        <v>150</v>
      </c>
      <c r="AV541" s="978">
        <f t="shared" si="94"/>
        <v>2.9757585600000001</v>
      </c>
    </row>
    <row r="542" spans="1:48">
      <c r="A542" s="975">
        <f t="shared" si="97"/>
        <v>46156</v>
      </c>
      <c r="B542" s="976" t="s">
        <v>231</v>
      </c>
      <c r="C542" s="976" t="s">
        <v>632</v>
      </c>
      <c r="D542" s="1410"/>
      <c r="E542" s="977" t="str">
        <f>IFERROR(VLOOKUP(C542, [6]條件!$A:$L, 5, 0), "")</f>
        <v/>
      </c>
      <c r="F542" s="978" t="str">
        <f>IFERROR(VLOOKUP(C542, [6]條件!$A:$L, 6, 0), "")</f>
        <v/>
      </c>
      <c r="G542" s="1411" t="str">
        <f>IFERROR(VLOOKUP(C542, [6]條件!$A:$L, 7, 0), "")</f>
        <v/>
      </c>
      <c r="H542" s="978" t="str">
        <f>IF(ISNA(VLOOKUP(C542,[6]條件!$A$1:$K$932,11,0)),"",(VLOOKUP(C542,[6]條件!$A$1:$K$932,11,0)))</f>
        <v/>
      </c>
      <c r="I542" s="979" t="str">
        <f>IF(ISNA(VLOOKUP(C542,[6]條件!$A$1:$L$932,12,0)),"",(VLOOKUP(C542,[6]條件!$A$1:$L$932,12,0)))</f>
        <v/>
      </c>
      <c r="J542" s="982"/>
      <c r="K542" s="980"/>
      <c r="L542" s="981" t="s">
        <v>632</v>
      </c>
      <c r="M542" s="983"/>
      <c r="N542" s="982"/>
      <c r="O542" s="980"/>
      <c r="P542" s="981" t="s">
        <v>632</v>
      </c>
      <c r="Q542" s="983"/>
      <c r="R542" s="982"/>
      <c r="S542" s="980"/>
      <c r="T542" s="981" t="s">
        <v>632</v>
      </c>
      <c r="U542" s="983"/>
      <c r="V542" s="982"/>
      <c r="W542" s="980"/>
      <c r="X542" s="981" t="s">
        <v>632</v>
      </c>
      <c r="Y542" s="983"/>
      <c r="Z542" s="1412" t="str">
        <f>IFERROR(VLOOKUP(C542, [6]條件!$A:$L, 3, 0), "")</f>
        <v/>
      </c>
      <c r="AA542" s="984" t="str">
        <f>IF(OR(L542={"改紡","檢修","了機","清車","FINAL","停機","SAMPLE","TEST","絲開發"}), L542, IFERROR(IF(C542="", "", (SUM(J542, N542, R542, V542)/3 * AG542) * IF(AND(AF542="S", AS542="雙"), 0.5, 1)), ""))</f>
        <v>停機</v>
      </c>
      <c r="AB542" s="1413" t="str">
        <f t="shared" si="95"/>
        <v/>
      </c>
      <c r="AC542" s="984" t="str">
        <f>IF(OR(L542={"改紡","檢修","了機","清車","FINAL","停機","SAMPLE","TEST"}), "", IFERROR(IF(C542="", "", AVERAGE(L542:M542, P542:Q542, T542:U542, X542:Y542)/100), ""))</f>
        <v/>
      </c>
      <c r="AD542" s="984" t="str">
        <f t="shared" si="89"/>
        <v/>
      </c>
      <c r="AE542" s="984" t="str">
        <f t="shared" si="96"/>
        <v/>
      </c>
      <c r="AF542" s="985" t="str">
        <f t="shared" si="90"/>
        <v>J</v>
      </c>
      <c r="AG542" s="1414">
        <v>1</v>
      </c>
      <c r="AH542" s="981" t="s">
        <v>640</v>
      </c>
      <c r="AI542" s="986" t="s">
        <v>640</v>
      </c>
      <c r="AJ542" s="986" t="s">
        <v>640</v>
      </c>
      <c r="AK542" s="1417" t="s">
        <v>640</v>
      </c>
      <c r="AL542" s="1415"/>
      <c r="AM542" s="1323"/>
      <c r="AN542" s="1323"/>
      <c r="AO542" s="1323"/>
      <c r="AP542" s="1323"/>
      <c r="AQ542" s="1323"/>
      <c r="AR542" s="987"/>
      <c r="AS542" s="978" t="str">
        <f t="shared" si="91"/>
        <v>單</v>
      </c>
      <c r="AT542" s="978" t="str">
        <f t="shared" si="92"/>
        <v>全</v>
      </c>
      <c r="AU542" s="978" t="str">
        <f t="shared" si="93"/>
        <v/>
      </c>
      <c r="AV542" s="978" t="str">
        <f t="shared" si="94"/>
        <v/>
      </c>
    </row>
    <row r="543" spans="1:48">
      <c r="A543" s="975">
        <f t="shared" si="97"/>
        <v>46156</v>
      </c>
      <c r="B543" s="976" t="s">
        <v>233</v>
      </c>
      <c r="C543" s="976" t="s">
        <v>16772</v>
      </c>
      <c r="D543" s="1410" t="s">
        <v>633</v>
      </c>
      <c r="E543" s="977" t="str">
        <f>IFERROR(VLOOKUP(C543, [6]條件!$A:$L, 5, 0), "")</f>
        <v>150/48/2SDr</v>
      </c>
      <c r="F543" s="978" t="str">
        <f>IFERROR(VLOOKUP(C543, [6]條件!$A:$L, 6, 0), "")</f>
        <v>FP82171R×2</v>
      </c>
      <c r="G543" s="1411">
        <f>IFERROR(VLOOKUP(C543, [6]條件!$A:$L, 7, 0), "")</f>
        <v>600</v>
      </c>
      <c r="H543" s="978" t="str">
        <f>IF(ISNA(VLOOKUP(C543,[6]條件!$A$1:$K$932,11,0)),"",(VLOOKUP(C543,[6]條件!$A$1:$K$932,11,0)))</f>
        <v>紅白直條</v>
      </c>
      <c r="I543" s="979">
        <f>IF(ISNA(VLOOKUP(C543,[6]條件!$A$1:$L$932,12,0)),"",(VLOOKUP(C543,[6]條件!$A$1:$L$932,12,0)))</f>
        <v>5.5</v>
      </c>
      <c r="J543" s="982">
        <v>13</v>
      </c>
      <c r="K543" s="980">
        <v>1</v>
      </c>
      <c r="L543" s="981">
        <v>7230</v>
      </c>
      <c r="M543" s="983"/>
      <c r="N543" s="982">
        <v>21</v>
      </c>
      <c r="O543" s="980">
        <v>2</v>
      </c>
      <c r="P543" s="981">
        <v>7250</v>
      </c>
      <c r="Q543" s="983"/>
      <c r="R543" s="982">
        <v>23</v>
      </c>
      <c r="S543" s="980">
        <v>3</v>
      </c>
      <c r="T543" s="981">
        <v>7300</v>
      </c>
      <c r="U543" s="983"/>
      <c r="V543" s="982">
        <v>33</v>
      </c>
      <c r="W543" s="980">
        <v>10</v>
      </c>
      <c r="X543" s="981">
        <v>7490</v>
      </c>
      <c r="Y543" s="983"/>
      <c r="Z543" s="1412">
        <f>IFERROR(VLOOKUP(C543, [6]條件!$A:$L, 3, 0), "")</f>
        <v>5.0526315789473673</v>
      </c>
      <c r="AA543" s="984">
        <f>IF(OR(L543={"改紡","檢修","了機","清車","FINAL","停機","SAMPLE","TEST","絲開發"}), L543, IFERROR(IF(C543="", "", (SUM(J543, N543, R543, V543)/3 * AG543) * IF(AND(AF543="S", AS543="雙"), 0.5, 1)), ""))</f>
        <v>30</v>
      </c>
      <c r="AB543" s="1413">
        <f t="shared" si="95"/>
        <v>0.98477564102564097</v>
      </c>
      <c r="AC543" s="984">
        <f>IF(OR(L543={"改紡","檢修","了機","清車","FINAL","停機","SAMPLE","TEST"}), "", IFERROR(IF(C543="", "", AVERAGE(L543:M543, P543:Q543, T543:U543, X543:Y543)/100), ""))</f>
        <v>73.174999999999997</v>
      </c>
      <c r="AD543" s="984">
        <f t="shared" si="89"/>
        <v>3.75</v>
      </c>
      <c r="AE543" s="984">
        <f t="shared" si="96"/>
        <v>3.0833333333333335</v>
      </c>
      <c r="AF543" s="985" t="str">
        <f t="shared" si="90"/>
        <v>J</v>
      </c>
      <c r="AG543" s="1414">
        <v>1</v>
      </c>
      <c r="AH543" s="981" t="s">
        <v>637</v>
      </c>
      <c r="AI543" s="986" t="s">
        <v>637</v>
      </c>
      <c r="AJ543" s="986" t="s">
        <v>814</v>
      </c>
      <c r="AK543" s="1417" t="s">
        <v>814</v>
      </c>
      <c r="AL543" s="1415">
        <v>55</v>
      </c>
      <c r="AM543" s="1323">
        <v>46152</v>
      </c>
      <c r="AN543" s="1323">
        <v>46153</v>
      </c>
      <c r="AO543" s="1323">
        <v>46155</v>
      </c>
      <c r="AP543" s="1323"/>
      <c r="AQ543" s="1323"/>
      <c r="AR543" s="987"/>
      <c r="AS543" s="978" t="str">
        <f t="shared" si="91"/>
        <v>雙</v>
      </c>
      <c r="AT543" s="978" t="str">
        <f t="shared" si="92"/>
        <v>全</v>
      </c>
      <c r="AU543" s="978">
        <f t="shared" si="93"/>
        <v>150</v>
      </c>
      <c r="AV543" s="978">
        <f t="shared" si="94"/>
        <v>4.5520703999999999</v>
      </c>
    </row>
    <row r="544" spans="1:48">
      <c r="A544" s="975">
        <f t="shared" si="97"/>
        <v>46156</v>
      </c>
      <c r="B544" s="976" t="s">
        <v>234</v>
      </c>
      <c r="C544" s="976" t="s">
        <v>632</v>
      </c>
      <c r="D544" s="1410"/>
      <c r="E544" s="977" t="str">
        <f>IFERROR(VLOOKUP(C544, [6]條件!$A:$L, 5, 0), "")</f>
        <v/>
      </c>
      <c r="F544" s="978" t="str">
        <f>IFERROR(VLOOKUP(C544, [6]條件!$A:$L, 6, 0), "")</f>
        <v/>
      </c>
      <c r="G544" s="1411" t="str">
        <f>IFERROR(VLOOKUP(C544, [6]條件!$A:$L, 7, 0), "")</f>
        <v/>
      </c>
      <c r="H544" s="978" t="str">
        <f>IF(ISNA(VLOOKUP(C544,[6]條件!$A$1:$K$932,11,0)),"",(VLOOKUP(C544,[6]條件!$A$1:$K$932,11,0)))</f>
        <v/>
      </c>
      <c r="I544" s="979" t="str">
        <f>IF(ISNA(VLOOKUP(C544,[6]條件!$A$1:$L$932,12,0)),"",(VLOOKUP(C544,[6]條件!$A$1:$L$932,12,0)))</f>
        <v/>
      </c>
      <c r="J544" s="982"/>
      <c r="K544" s="980"/>
      <c r="L544" s="981" t="s">
        <v>632</v>
      </c>
      <c r="M544" s="983"/>
      <c r="N544" s="982"/>
      <c r="O544" s="980"/>
      <c r="P544" s="981" t="s">
        <v>632</v>
      </c>
      <c r="Q544" s="983"/>
      <c r="R544" s="982"/>
      <c r="S544" s="980"/>
      <c r="T544" s="981" t="s">
        <v>632</v>
      </c>
      <c r="U544" s="983"/>
      <c r="V544" s="982"/>
      <c r="W544" s="980"/>
      <c r="X544" s="981" t="s">
        <v>632</v>
      </c>
      <c r="Y544" s="983"/>
      <c r="Z544" s="1412" t="str">
        <f>IFERROR(VLOOKUP(C544, [6]條件!$A:$L, 3, 0), "")</f>
        <v/>
      </c>
      <c r="AA544" s="984" t="str">
        <f>IF(OR(L544={"改紡","檢修","了機","清車","FINAL","停機","SAMPLE","TEST","絲開發"}), L544, IFERROR(IF(C544="", "", (SUM(J544, N544, R544, V544)/3 * AG544) * IF(AND(AF544="S", AS544="雙"), 0.5, 1)), ""))</f>
        <v>停機</v>
      </c>
      <c r="AB544" s="1413" t="str">
        <f t="shared" si="95"/>
        <v/>
      </c>
      <c r="AC544" s="984" t="str">
        <f>IF(OR(L544={"改紡","檢修","了機","清車","FINAL","停機","SAMPLE","TEST"}), "", IFERROR(IF(C544="", "", AVERAGE(L544:M544, P544:Q544, T544:U544, X544:Y544)/100), ""))</f>
        <v/>
      </c>
      <c r="AD544" s="984" t="str">
        <f t="shared" si="89"/>
        <v/>
      </c>
      <c r="AE544" s="984" t="str">
        <f t="shared" si="96"/>
        <v/>
      </c>
      <c r="AF544" s="985" t="str">
        <f t="shared" si="90"/>
        <v>J</v>
      </c>
      <c r="AG544" s="1414">
        <v>1</v>
      </c>
      <c r="AH544" s="981" t="s">
        <v>640</v>
      </c>
      <c r="AI544" s="986" t="s">
        <v>640</v>
      </c>
      <c r="AJ544" s="986" t="s">
        <v>640</v>
      </c>
      <c r="AK544" s="1417" t="s">
        <v>640</v>
      </c>
      <c r="AL544" s="1415"/>
      <c r="AM544" s="1323"/>
      <c r="AN544" s="1323"/>
      <c r="AO544" s="1323"/>
      <c r="AP544" s="1323"/>
      <c r="AQ544" s="1323"/>
      <c r="AR544" s="987"/>
      <c r="AS544" s="978" t="str">
        <f t="shared" si="91"/>
        <v>單</v>
      </c>
      <c r="AT544" s="978" t="str">
        <f t="shared" si="92"/>
        <v>全</v>
      </c>
      <c r="AU544" s="978" t="str">
        <f t="shared" si="93"/>
        <v/>
      </c>
      <c r="AV544" s="978" t="str">
        <f t="shared" si="94"/>
        <v/>
      </c>
    </row>
    <row r="545" spans="1:48">
      <c r="A545" s="975">
        <f t="shared" si="97"/>
        <v>46156</v>
      </c>
      <c r="B545" s="976" t="s">
        <v>235</v>
      </c>
      <c r="C545" s="976" t="s">
        <v>16765</v>
      </c>
      <c r="D545" s="1410" t="s">
        <v>633</v>
      </c>
      <c r="E545" s="977" t="str">
        <f>IFERROR(VLOOKUP(C545, [6]條件!$A:$L, 5, 0), "")</f>
        <v>150/48/2SDr</v>
      </c>
      <c r="F545" s="978" t="str">
        <f>IFERROR(VLOOKUP(C545, [6]條件!$A:$L, 6, 0), "")</f>
        <v>FP82173R×2</v>
      </c>
      <c r="G545" s="1411">
        <f>IFERROR(VLOOKUP(C545, [6]條件!$A:$L, 7, 0), "")</f>
        <v>700</v>
      </c>
      <c r="H545" s="978" t="str">
        <f>IF(ISNA(VLOOKUP(C545,[6]條件!$A$1:$K$932,11,0)),"",(VLOOKUP(C545,[6]條件!$A$1:$K$932,11,0)))</f>
        <v>白紫條紋</v>
      </c>
      <c r="I545" s="979">
        <f>IF(ISNA(VLOOKUP(C545,[6]條件!$A$1:$L$932,12,0)),"",(VLOOKUP(C545,[6]條件!$A$1:$L$932,12,0)))</f>
        <v>5.5</v>
      </c>
      <c r="J545" s="982">
        <v>47</v>
      </c>
      <c r="K545" s="980">
        <v>0</v>
      </c>
      <c r="L545" s="981">
        <v>8470</v>
      </c>
      <c r="M545" s="983">
        <v>9070</v>
      </c>
      <c r="N545" s="982">
        <v>7</v>
      </c>
      <c r="O545" s="980">
        <v>0</v>
      </c>
      <c r="P545" s="981">
        <v>7780</v>
      </c>
      <c r="Q545" s="983">
        <v>8520</v>
      </c>
      <c r="R545" s="982">
        <v>29</v>
      </c>
      <c r="S545" s="980">
        <v>2</v>
      </c>
      <c r="T545" s="981">
        <v>7960</v>
      </c>
      <c r="U545" s="983">
        <v>9260</v>
      </c>
      <c r="V545" s="982">
        <v>39</v>
      </c>
      <c r="W545" s="980">
        <v>2</v>
      </c>
      <c r="X545" s="981">
        <v>8900</v>
      </c>
      <c r="Y545" s="983">
        <v>9540</v>
      </c>
      <c r="Z545" s="1412">
        <f>IFERROR(VLOOKUP(C545, [6]條件!$A:$L, 3, 0), "")</f>
        <v>5.8775510204081636</v>
      </c>
      <c r="AA545" s="984">
        <f>IF(OR(L545={"改紡","檢修","了機","清車","FINAL","停機","SAMPLE","TEST","絲開發"}), L545, IFERROR(IF(C545="", "", (SUM(J545, N545, R545, V545)/3 * AG545) * IF(AND(AF545="S", AS545="雙"), 0.5, 1)), ""))</f>
        <v>40.666666666666664</v>
      </c>
      <c r="AB545" s="1413">
        <f t="shared" si="95"/>
        <v>0.99672809829059827</v>
      </c>
      <c r="AC545" s="984">
        <f>IF(OR(L545={"改紡","檢修","了機","清車","FINAL","停機","SAMPLE","TEST"}), "", IFERROR(IF(C545="", "", AVERAGE(L545:M545, P545:Q545, T545:U545, X545:Y545)/100), ""))</f>
        <v>86.875</v>
      </c>
      <c r="AD545" s="984">
        <f t="shared" si="89"/>
        <v>5.083333333333333</v>
      </c>
      <c r="AE545" s="984">
        <f t="shared" si="96"/>
        <v>4.916666666666667</v>
      </c>
      <c r="AF545" s="985" t="str">
        <f t="shared" si="90"/>
        <v>T</v>
      </c>
      <c r="AG545" s="1414">
        <v>1</v>
      </c>
      <c r="AH545" s="981" t="s">
        <v>15337</v>
      </c>
      <c r="AI545" s="986" t="s">
        <v>15337</v>
      </c>
      <c r="AJ545" s="986" t="s">
        <v>639</v>
      </c>
      <c r="AK545" s="1417" t="s">
        <v>639</v>
      </c>
      <c r="AL545" s="1415">
        <v>56</v>
      </c>
      <c r="AM545" s="1323">
        <v>46150</v>
      </c>
      <c r="AN545" s="1323">
        <v>46151</v>
      </c>
      <c r="AO545" s="1323">
        <v>46152</v>
      </c>
      <c r="AP545" s="1323">
        <v>46153</v>
      </c>
      <c r="AQ545" s="1323">
        <v>46154</v>
      </c>
      <c r="AR545" s="987"/>
      <c r="AS545" s="978" t="str">
        <f t="shared" si="91"/>
        <v>雙</v>
      </c>
      <c r="AT545" s="978" t="str">
        <f t="shared" si="92"/>
        <v>全</v>
      </c>
      <c r="AU545" s="978">
        <f t="shared" si="93"/>
        <v>150</v>
      </c>
      <c r="AV545" s="978">
        <f t="shared" si="94"/>
        <v>6.30504</v>
      </c>
    </row>
    <row r="546" spans="1:48">
      <c r="A546" s="975">
        <f t="shared" si="97"/>
        <v>46156</v>
      </c>
      <c r="B546" s="976" t="s">
        <v>237</v>
      </c>
      <c r="C546" s="976" t="s">
        <v>16759</v>
      </c>
      <c r="D546" s="1410" t="s">
        <v>633</v>
      </c>
      <c r="E546" s="977" t="str">
        <f>IFERROR(VLOOKUP(C546, [6]條件!$A:$L, 5, 0), "")</f>
        <v>150/48/2SDr</v>
      </c>
      <c r="F546" s="978" t="str">
        <f>IFERROR(VLOOKUP(C546, [6]條件!$A:$L, 6, 0), "")</f>
        <v>FP82171R×2</v>
      </c>
      <c r="G546" s="1411">
        <f>IFERROR(VLOOKUP(C546, [6]條件!$A:$L, 7, 0), "")</f>
        <v>700</v>
      </c>
      <c r="H546" s="978" t="str">
        <f>IF(ISNA(VLOOKUP(C546,[6]條件!$A$1:$K$932,11,0)),"",(VLOOKUP(C546,[6]條件!$A$1:$K$932,11,0)))</f>
        <v>紅底黃星</v>
      </c>
      <c r="I546" s="979">
        <f>IF(ISNA(VLOOKUP(C546,[6]條件!$A$1:$L$932,12,0)),"",(VLOOKUP(C546,[6]條件!$A$1:$L$932,12,0)))</f>
        <v>5.5</v>
      </c>
      <c r="J546" s="982">
        <v>16</v>
      </c>
      <c r="K546" s="980">
        <v>0</v>
      </c>
      <c r="L546" s="981">
        <v>9070</v>
      </c>
      <c r="M546" s="983">
        <v>8700</v>
      </c>
      <c r="N546" s="982">
        <v>13</v>
      </c>
      <c r="O546" s="980">
        <v>0</v>
      </c>
      <c r="P546" s="981">
        <v>9070</v>
      </c>
      <c r="Q546" s="983">
        <v>9070</v>
      </c>
      <c r="R546" s="982">
        <v>26</v>
      </c>
      <c r="S546" s="980">
        <v>0</v>
      </c>
      <c r="T546" s="981">
        <v>9630</v>
      </c>
      <c r="U546" s="983">
        <v>8890</v>
      </c>
      <c r="V546" s="982">
        <v>31</v>
      </c>
      <c r="W546" s="980">
        <v>1</v>
      </c>
      <c r="X546" s="981">
        <v>9260</v>
      </c>
      <c r="Y546" s="983">
        <v>8890</v>
      </c>
      <c r="Z546" s="1412">
        <f>IFERROR(VLOOKUP(C546, [6]條件!$A:$L, 3, 0), "")</f>
        <v>5.8299595141700413</v>
      </c>
      <c r="AA546" s="984">
        <f>IF(OR(L546={"改紡","檢修","了機","清車","FINAL","停機","SAMPLE","TEST","絲開發"}), L546, IFERROR(IF(C546="", "", (SUM(J546, N546, R546, V546)/3 * AG546) * IF(AND(AF546="S", AS546="雙"), 0.5, 1)), ""))</f>
        <v>28.666666666666668</v>
      </c>
      <c r="AB546" s="1413">
        <f t="shared" si="95"/>
        <v>0.99917534722222223</v>
      </c>
      <c r="AC546" s="984">
        <f>IF(OR(L546={"改紡","檢修","了機","清車","FINAL","停機","SAMPLE","TEST"}), "", IFERROR(IF(C546="", "", AVERAGE(L546:M546, P546:Q546, T546:U546, X546:Y546)/100), ""))</f>
        <v>90.724999999999994</v>
      </c>
      <c r="AD546" s="984">
        <f t="shared" si="89"/>
        <v>3.5833333333333335</v>
      </c>
      <c r="AE546" s="984">
        <f t="shared" si="96"/>
        <v>3.5416666666666665</v>
      </c>
      <c r="AF546" s="985" t="str">
        <f t="shared" si="90"/>
        <v>T</v>
      </c>
      <c r="AG546" s="1414">
        <v>1</v>
      </c>
      <c r="AH546" s="981" t="s">
        <v>15337</v>
      </c>
      <c r="AI546" s="986" t="s">
        <v>15337</v>
      </c>
      <c r="AJ546" s="986" t="s">
        <v>639</v>
      </c>
      <c r="AK546" s="1417" t="s">
        <v>639</v>
      </c>
      <c r="AL546" s="1415">
        <v>55</v>
      </c>
      <c r="AM546" s="1323">
        <v>46151</v>
      </c>
      <c r="AN546" s="1323">
        <v>46152</v>
      </c>
      <c r="AO546" s="1323">
        <v>46153</v>
      </c>
      <c r="AP546" s="1323">
        <v>46154</v>
      </c>
      <c r="AQ546" s="1323">
        <v>46155</v>
      </c>
      <c r="AR546" s="987"/>
      <c r="AS546" s="978" t="str">
        <f t="shared" si="91"/>
        <v>雙</v>
      </c>
      <c r="AT546" s="978" t="str">
        <f t="shared" si="92"/>
        <v>全</v>
      </c>
      <c r="AU546" s="978">
        <f t="shared" si="93"/>
        <v>150</v>
      </c>
      <c r="AV546" s="978">
        <f t="shared" si="94"/>
        <v>6.5844575999999995</v>
      </c>
    </row>
    <row r="547" spans="1:48">
      <c r="A547" s="975">
        <f t="shared" si="97"/>
        <v>46156</v>
      </c>
      <c r="B547" s="976" t="s">
        <v>238</v>
      </c>
      <c r="C547" s="976" t="s">
        <v>16743</v>
      </c>
      <c r="D547" s="1410"/>
      <c r="E547" s="977" t="str">
        <f>IFERROR(VLOOKUP(C547, [6]條件!$A:$L, 5, 0), "")</f>
        <v>150/48/2SDr</v>
      </c>
      <c r="F547" s="978" t="str">
        <f>IFERROR(VLOOKUP(C547, [6]條件!$A:$L, 6, 0), "")</f>
        <v>FP82169R×2</v>
      </c>
      <c r="G547" s="1411">
        <f>IFERROR(VLOOKUP(C547, [6]條件!$A:$L, 7, 0), "")</f>
        <v>670</v>
      </c>
      <c r="H547" s="978" t="str">
        <f>IF(ISNA(VLOOKUP(C547,[6]條件!$A$1:$K$932,11,0)),"",(VLOOKUP(C547,[6]條件!$A$1:$K$932,11,0)))</f>
        <v>黃底紅點</v>
      </c>
      <c r="I547" s="979">
        <f>IF(ISNA(VLOOKUP(C547,[6]條件!$A$1:$L$932,12,0)),"",(VLOOKUP(C547,[6]條件!$A$1:$L$932,12,0)))</f>
        <v>5</v>
      </c>
      <c r="J547" s="982">
        <v>20</v>
      </c>
      <c r="K547" s="980">
        <v>0</v>
      </c>
      <c r="L547" s="981">
        <v>8700</v>
      </c>
      <c r="M547" s="983"/>
      <c r="N547" s="982">
        <v>13</v>
      </c>
      <c r="O547" s="980">
        <v>0</v>
      </c>
      <c r="P547" s="981">
        <v>8980</v>
      </c>
      <c r="Q547" s="983"/>
      <c r="R547" s="982">
        <v>15</v>
      </c>
      <c r="S547" s="980">
        <v>0</v>
      </c>
      <c r="T547" s="981">
        <v>9170</v>
      </c>
      <c r="U547" s="983"/>
      <c r="V547" s="982">
        <v>22</v>
      </c>
      <c r="W547" s="980">
        <v>0</v>
      </c>
      <c r="X547" s="981">
        <v>8520</v>
      </c>
      <c r="Y547" s="983"/>
      <c r="Z547" s="1412">
        <f>IFERROR(VLOOKUP(C547, [6]條件!$A:$L, 3, 0), "")</f>
        <v>6.2882096069868991</v>
      </c>
      <c r="AA547" s="984">
        <f>IF(OR(L547={"改紡","檢修","了機","清車","FINAL","停機","SAMPLE","TEST","絲開發"}), L547, IFERROR(IF(C547="", "", (SUM(J547, N547, R547, V547)/3 * AG547) * IF(AND(AF547="S", AS547="雙"), 0.5, 1)), ""))</f>
        <v>46.666666666666664</v>
      </c>
      <c r="AB547" s="1413">
        <f t="shared" si="95"/>
        <v>1</v>
      </c>
      <c r="AC547" s="984">
        <f>IF(OR(L547={"改紡","檢修","了機","清車","FINAL","停機","SAMPLE","TEST"}), "", IFERROR(IF(C547="", "", AVERAGE(L547:M547, P547:Q547, T547:U547, X547:Y547)/100), ""))</f>
        <v>88.424999999999997</v>
      </c>
      <c r="AD547" s="984">
        <f t="shared" si="89"/>
        <v>5.833333333333333</v>
      </c>
      <c r="AE547" s="984">
        <f t="shared" si="96"/>
        <v>5.833333333333333</v>
      </c>
      <c r="AF547" s="985" t="str">
        <f t="shared" si="90"/>
        <v>T</v>
      </c>
      <c r="AG547" s="1414">
        <v>2</v>
      </c>
      <c r="AH547" s="981" t="s">
        <v>15337</v>
      </c>
      <c r="AI547" s="986" t="s">
        <v>15337</v>
      </c>
      <c r="AJ547" s="986" t="s">
        <v>639</v>
      </c>
      <c r="AK547" s="1417" t="s">
        <v>639</v>
      </c>
      <c r="AL547" s="1415">
        <v>48</v>
      </c>
      <c r="AM547" s="1323">
        <v>46152</v>
      </c>
      <c r="AN547" s="1323">
        <v>46153</v>
      </c>
      <c r="AO547" s="1323">
        <v>46154</v>
      </c>
      <c r="AP547" s="1323">
        <v>46160</v>
      </c>
      <c r="AQ547" s="1323"/>
      <c r="AR547" s="987"/>
      <c r="AS547" s="978" t="str">
        <f t="shared" si="91"/>
        <v>雙</v>
      </c>
      <c r="AT547" s="978" t="str">
        <f t="shared" si="92"/>
        <v>半</v>
      </c>
      <c r="AU547" s="978">
        <f t="shared" si="93"/>
        <v>150</v>
      </c>
      <c r="AV547" s="978">
        <f t="shared" si="94"/>
        <v>3.0712478399999998</v>
      </c>
    </row>
    <row r="548" spans="1:48">
      <c r="A548" s="975">
        <f t="shared" si="97"/>
        <v>46156</v>
      </c>
      <c r="B548" s="976" t="s">
        <v>238</v>
      </c>
      <c r="C548" s="976" t="s">
        <v>16742</v>
      </c>
      <c r="D548" s="1410"/>
      <c r="E548" s="977" t="str">
        <f>IFERROR(VLOOKUP(C548, [6]條件!$A:$L, 5, 0), "")</f>
        <v>150/48/2SDr</v>
      </c>
      <c r="F548" s="978" t="str">
        <f>IFERROR(VLOOKUP(C548, [6]條件!$A:$L, 6, 0), "")</f>
        <v>FP82169R×2</v>
      </c>
      <c r="G548" s="1411">
        <f>IFERROR(VLOOKUP(C548, [6]條件!$A:$L, 7, 0), "")</f>
        <v>670</v>
      </c>
      <c r="H548" s="978" t="str">
        <f>IF(ISNA(VLOOKUP(C548,[6]條件!$A$1:$K$932,11,0)),"",(VLOOKUP(C548,[6]條件!$A$1:$K$932,11,0)))</f>
        <v>紅底藍點</v>
      </c>
      <c r="I548" s="979">
        <f>IF(ISNA(VLOOKUP(C548,[6]條件!$A$1:$L$932,12,0)),"",(VLOOKUP(C548,[6]條件!$A$1:$L$932,12,0)))</f>
        <v>5</v>
      </c>
      <c r="J548" s="982">
        <v>23</v>
      </c>
      <c r="K548" s="980">
        <v>0</v>
      </c>
      <c r="L548" s="981"/>
      <c r="M548" s="983">
        <v>8520</v>
      </c>
      <c r="N548" s="982">
        <v>12</v>
      </c>
      <c r="O548" s="980">
        <v>0</v>
      </c>
      <c r="P548" s="981"/>
      <c r="Q548" s="983">
        <v>8700</v>
      </c>
      <c r="R548" s="982">
        <v>24</v>
      </c>
      <c r="S548" s="980">
        <v>0</v>
      </c>
      <c r="T548" s="981">
        <v>9540</v>
      </c>
      <c r="U548" s="983"/>
      <c r="V548" s="982">
        <v>31</v>
      </c>
      <c r="W548" s="980">
        <v>0</v>
      </c>
      <c r="X548" s="981">
        <v>8980</v>
      </c>
      <c r="Y548" s="983"/>
      <c r="Z548" s="1412">
        <f>IFERROR(VLOOKUP(C548, [6]條件!$A:$L, 3, 0), "")</f>
        <v>6.1802575107296125</v>
      </c>
      <c r="AA548" s="984">
        <f>IF(OR(L548={"改紡","檢修","了機","清車","FINAL","停機","SAMPLE","TEST","絲開發"}), L548, IFERROR(IF(C548="", "", (SUM(J548, N548, R548, V548)/3 * AG548) * IF(AND(AF548="S", AS548="雙"), 0.5, 1)), ""))</f>
        <v>60</v>
      </c>
      <c r="AB548" s="1413">
        <f t="shared" si="95"/>
        <v>1</v>
      </c>
      <c r="AC548" s="984">
        <f>IF(OR(L548={"改紡","檢修","了機","清車","FINAL","停機","SAMPLE","TEST"}), "", IFERROR(IF(C548="", "", AVERAGE(L548:M548, P548:Q548, T548:U548, X548:Y548)/100), ""))</f>
        <v>89.35</v>
      </c>
      <c r="AD548" s="984">
        <f t="shared" si="89"/>
        <v>7.5</v>
      </c>
      <c r="AE548" s="984">
        <f t="shared" si="96"/>
        <v>7.5</v>
      </c>
      <c r="AF548" s="985" t="str">
        <f t="shared" si="90"/>
        <v>T</v>
      </c>
      <c r="AG548" s="1414">
        <v>2</v>
      </c>
      <c r="AH548" s="981" t="s">
        <v>15337</v>
      </c>
      <c r="AI548" s="986" t="s">
        <v>15337</v>
      </c>
      <c r="AJ548" s="986" t="s">
        <v>835</v>
      </c>
      <c r="AK548" s="1417" t="s">
        <v>835</v>
      </c>
      <c r="AL548" s="1415">
        <v>48</v>
      </c>
      <c r="AM548" s="1323">
        <v>46152</v>
      </c>
      <c r="AN548" s="1323">
        <v>46153</v>
      </c>
      <c r="AO548" s="1323">
        <v>46155</v>
      </c>
      <c r="AP548" s="1323"/>
      <c r="AQ548" s="1323"/>
      <c r="AR548" s="987"/>
      <c r="AS548" s="978" t="str">
        <f t="shared" si="91"/>
        <v>雙</v>
      </c>
      <c r="AT548" s="978" t="str">
        <f t="shared" si="92"/>
        <v>半</v>
      </c>
      <c r="AU548" s="978">
        <f t="shared" si="93"/>
        <v>150</v>
      </c>
      <c r="AV548" s="978">
        <f t="shared" si="94"/>
        <v>3.1033756800000001</v>
      </c>
    </row>
    <row r="549" spans="1:48">
      <c r="A549" s="975">
        <f t="shared" si="97"/>
        <v>46156</v>
      </c>
      <c r="B549" s="976" t="s">
        <v>239</v>
      </c>
      <c r="C549" s="976" t="s">
        <v>632</v>
      </c>
      <c r="D549" s="1410"/>
      <c r="E549" s="977" t="str">
        <f>IFERROR(VLOOKUP(C549, [6]條件!$A:$L, 5, 0), "")</f>
        <v/>
      </c>
      <c r="F549" s="978" t="str">
        <f>IFERROR(VLOOKUP(C549, [6]條件!$A:$L, 6, 0), "")</f>
        <v/>
      </c>
      <c r="G549" s="1411" t="str">
        <f>IFERROR(VLOOKUP(C549, [6]條件!$A:$L, 7, 0), "")</f>
        <v/>
      </c>
      <c r="H549" s="978" t="str">
        <f>IF(ISNA(VLOOKUP(C549,[6]條件!$A$1:$K$932,11,0)),"",(VLOOKUP(C549,[6]條件!$A$1:$K$932,11,0)))</f>
        <v/>
      </c>
      <c r="I549" s="979" t="str">
        <f>IF(ISNA(VLOOKUP(C549,[6]條件!$A$1:$L$932,12,0)),"",(VLOOKUP(C549,[6]條件!$A$1:$L$932,12,0)))</f>
        <v/>
      </c>
      <c r="J549" s="982"/>
      <c r="K549" s="980"/>
      <c r="L549" s="981" t="s">
        <v>632</v>
      </c>
      <c r="M549" s="983"/>
      <c r="N549" s="982"/>
      <c r="O549" s="980"/>
      <c r="P549" s="981" t="s">
        <v>632</v>
      </c>
      <c r="Q549" s="983"/>
      <c r="R549" s="982"/>
      <c r="S549" s="980"/>
      <c r="T549" s="981" t="s">
        <v>632</v>
      </c>
      <c r="U549" s="983"/>
      <c r="V549" s="982"/>
      <c r="W549" s="980"/>
      <c r="X549" s="981" t="s">
        <v>632</v>
      </c>
      <c r="Y549" s="983"/>
      <c r="Z549" s="1412" t="str">
        <f>IFERROR(VLOOKUP(C549, [6]條件!$A:$L, 3, 0), "")</f>
        <v/>
      </c>
      <c r="AA549" s="984" t="str">
        <f>IF(OR(L549={"改紡","檢修","了機","清車","FINAL","停機","SAMPLE","TEST","絲開發"}), L549, IFERROR(IF(C549="", "", (SUM(J549, N549, R549, V549)/3 * AG549) * IF(AND(AF549="S", AS549="雙"), 0.5, 1)), ""))</f>
        <v>停機</v>
      </c>
      <c r="AB549" s="1413" t="str">
        <f t="shared" si="95"/>
        <v/>
      </c>
      <c r="AC549" s="984" t="str">
        <f>IF(OR(L549={"改紡","檢修","了機","清車","FINAL","停機","SAMPLE","TEST"}), "", IFERROR(IF(C549="", "", AVERAGE(L549:M549, P549:Q549, T549:U549, X549:Y549)/100), ""))</f>
        <v/>
      </c>
      <c r="AD549" s="984" t="str">
        <f t="shared" si="89"/>
        <v/>
      </c>
      <c r="AE549" s="984" t="str">
        <f t="shared" si="96"/>
        <v/>
      </c>
      <c r="AF549" s="985" t="str">
        <f t="shared" si="90"/>
        <v>T</v>
      </c>
      <c r="AG549" s="1414">
        <v>2</v>
      </c>
      <c r="AH549" s="981" t="s">
        <v>640</v>
      </c>
      <c r="AI549" s="986" t="s">
        <v>640</v>
      </c>
      <c r="AJ549" s="986" t="s">
        <v>640</v>
      </c>
      <c r="AK549" s="1417" t="s">
        <v>640</v>
      </c>
      <c r="AL549" s="1415"/>
      <c r="AM549" s="1323"/>
      <c r="AN549" s="1323"/>
      <c r="AO549" s="1323"/>
      <c r="AP549" s="1323"/>
      <c r="AQ549" s="1323"/>
      <c r="AR549" s="987"/>
      <c r="AS549" s="978" t="str">
        <f t="shared" si="91"/>
        <v>單</v>
      </c>
      <c r="AT549" s="978" t="str">
        <f t="shared" si="92"/>
        <v>半</v>
      </c>
      <c r="AU549" s="978" t="str">
        <f t="shared" si="93"/>
        <v/>
      </c>
      <c r="AV549" s="978" t="str">
        <f t="shared" si="94"/>
        <v/>
      </c>
    </row>
    <row r="550" spans="1:48">
      <c r="A550" s="975">
        <f t="shared" si="97"/>
        <v>46156</v>
      </c>
      <c r="B550" s="976" t="s">
        <v>388</v>
      </c>
      <c r="C550" s="976" t="s">
        <v>16730</v>
      </c>
      <c r="D550" s="1410" t="s">
        <v>633</v>
      </c>
      <c r="E550" s="977" t="str">
        <f>IFERROR(VLOOKUP(C550, [6]條件!$A:$L, 5, 0), "")</f>
        <v>225/72/2SDr</v>
      </c>
      <c r="F550" s="978" t="str">
        <f>IFERROR(VLOOKUP(C550, [6]條件!$A:$L, 6, 0), "")</f>
        <v>FP83024R×2</v>
      </c>
      <c r="G550" s="1411">
        <f>IFERROR(VLOOKUP(C550, [6]條件!$A:$L, 7, 0), "")</f>
        <v>550</v>
      </c>
      <c r="H550" s="978" t="str">
        <f>IF(ISNA(VLOOKUP(C550,[6]條件!$A$1:$K$932,11,0)),"",(VLOOKUP(C550,[6]條件!$A$1:$K$932,11,0)))</f>
        <v>灰色</v>
      </c>
      <c r="I550" s="979">
        <f>IF(ISNA(VLOOKUP(C550,[6]條件!$A$1:$L$932,12,0)),"",(VLOOKUP(C550,[6]條件!$A$1:$L$932,12,0)))</f>
        <v>5.5</v>
      </c>
      <c r="J550" s="982"/>
      <c r="K550" s="980"/>
      <c r="L550" s="981" t="s">
        <v>127</v>
      </c>
      <c r="M550" s="983"/>
      <c r="N550" s="982"/>
      <c r="O550" s="980"/>
      <c r="P550" s="981" t="s">
        <v>127</v>
      </c>
      <c r="Q550" s="983"/>
      <c r="R550" s="982"/>
      <c r="S550" s="980"/>
      <c r="T550" s="981" t="s">
        <v>127</v>
      </c>
      <c r="U550" s="983"/>
      <c r="V550" s="982"/>
      <c r="W550" s="980"/>
      <c r="X550" s="981" t="s">
        <v>632</v>
      </c>
      <c r="Y550" s="983"/>
      <c r="Z550" s="1412">
        <f>IFERROR(VLOOKUP(C550, [6]條件!$A:$L, 3, 0), "")</f>
        <v>6.6055045871559628</v>
      </c>
      <c r="AA550" s="984" t="str">
        <f>IF(OR(L550={"改紡","檢修","了機","清車","FINAL","停機","SAMPLE","TEST","絲開發"}), L550, IFERROR(IF(C550="", "", (SUM(J550, N550, R550, V550)/3 * AG550) * IF(AND(AF550="S", AS550="雙"), 0.5, 1)), ""))</f>
        <v>了機</v>
      </c>
      <c r="AB550" s="1413" t="str">
        <f t="shared" si="95"/>
        <v/>
      </c>
      <c r="AC550" s="984" t="str">
        <f>IF(OR(L550={"改紡","檢修","了機","清車","FINAL","停機","SAMPLE","TEST"}), "", IFERROR(IF(C550="", "", AVERAGE(L550:M550, P550:Q550, T550:U550, X550:Y550)/100), ""))</f>
        <v/>
      </c>
      <c r="AD550" s="984" t="str">
        <f t="shared" si="89"/>
        <v/>
      </c>
      <c r="AE550" s="984" t="str">
        <f t="shared" si="96"/>
        <v/>
      </c>
      <c r="AF550" s="985" t="str">
        <f t="shared" si="90"/>
        <v>T</v>
      </c>
      <c r="AG550" s="1414">
        <v>2</v>
      </c>
      <c r="AH550" s="981" t="s">
        <v>638</v>
      </c>
      <c r="AI550" s="986" t="s">
        <v>638</v>
      </c>
      <c r="AJ550" s="986" t="s">
        <v>835</v>
      </c>
      <c r="AK550" s="1417" t="s">
        <v>835</v>
      </c>
      <c r="AL550" s="1415">
        <v>53</v>
      </c>
      <c r="AM550" s="1323">
        <v>46143</v>
      </c>
      <c r="AN550" s="1323">
        <v>46144</v>
      </c>
      <c r="AO550" s="1323"/>
      <c r="AP550" s="1323"/>
      <c r="AQ550" s="1323"/>
      <c r="AR550" s="987"/>
      <c r="AS550" s="978" t="str">
        <f t="shared" si="91"/>
        <v>雙</v>
      </c>
      <c r="AT550" s="978" t="str">
        <f t="shared" si="92"/>
        <v>半</v>
      </c>
      <c r="AU550" s="978">
        <f t="shared" si="93"/>
        <v>225</v>
      </c>
      <c r="AV550" s="978" t="str">
        <f t="shared" si="94"/>
        <v/>
      </c>
    </row>
    <row r="551" spans="1:48">
      <c r="A551" s="975">
        <f t="shared" si="97"/>
        <v>46156</v>
      </c>
      <c r="B551" s="976" t="s">
        <v>388</v>
      </c>
      <c r="C551" s="976" t="s">
        <v>16775</v>
      </c>
      <c r="D551" s="1410" t="s">
        <v>633</v>
      </c>
      <c r="E551" s="977" t="str">
        <f>IFERROR(VLOOKUP(C551, [6]條件!$A:$L, 5, 0), "")</f>
        <v>150/48/2SDr</v>
      </c>
      <c r="F551" s="978" t="str">
        <f>IFERROR(VLOOKUP(C551, [6]條件!$A:$L, 6, 0), "")</f>
        <v>FP82173R×2</v>
      </c>
      <c r="G551" s="1411">
        <f>IFERROR(VLOOKUP(C551, [6]條件!$A:$L, 7, 0), "")</f>
        <v>700</v>
      </c>
      <c r="H551" s="978" t="str">
        <f>IF(ISNA(VLOOKUP(C551,[6]條件!$A$1:$K$932,11,0)),"",(VLOOKUP(C551,[6]條件!$A$1:$K$932,11,0)))</f>
        <v>黃紅雙色</v>
      </c>
      <c r="I551" s="979">
        <f>IF(ISNA(VLOOKUP(C551,[6]條件!$A$1:$L$932,12,0)),"",(VLOOKUP(C551,[6]條件!$A$1:$L$932,12,0)))</f>
        <v>5.5</v>
      </c>
      <c r="J551" s="982">
        <v>5</v>
      </c>
      <c r="K551" s="980">
        <v>0</v>
      </c>
      <c r="L551" s="981"/>
      <c r="M551" s="983">
        <v>10000</v>
      </c>
      <c r="N551" s="982">
        <v>18</v>
      </c>
      <c r="O551" s="980">
        <v>0</v>
      </c>
      <c r="P551" s="981"/>
      <c r="Q551" s="983">
        <v>10000</v>
      </c>
      <c r="R551" s="982">
        <v>3</v>
      </c>
      <c r="S551" s="980">
        <v>0</v>
      </c>
      <c r="T551" s="981">
        <v>10000</v>
      </c>
      <c r="U551" s="983"/>
      <c r="V551" s="982">
        <v>24</v>
      </c>
      <c r="W551" s="980">
        <v>1</v>
      </c>
      <c r="X551" s="981">
        <v>10000</v>
      </c>
      <c r="Y551" s="983">
        <v>9630</v>
      </c>
      <c r="Z551" s="1412">
        <f>IFERROR(VLOOKUP(C551, [6]條件!$A:$L, 3, 0), "")</f>
        <v>5.8536585365853666</v>
      </c>
      <c r="AA551" s="984">
        <f>IF(OR(L551={"改紡","檢修","了機","清車","FINAL","停機","SAMPLE","TEST","絲開發"}), L551, IFERROR(IF(C551="", "", (SUM(J551, N551, R551, V551)/3 * AG551) * IF(AND(AF551="S", AS551="雙"), 0.5, 1)), ""))</f>
        <v>33.333333333333336</v>
      </c>
      <c r="AB551" s="1413">
        <f t="shared" si="95"/>
        <v>0.99917868589743586</v>
      </c>
      <c r="AC551" s="984">
        <f>IF(OR(L551={"改紡","檢修","了機","清車","FINAL","停機","SAMPLE","TEST"}), "", IFERROR(IF(C551="", "", AVERAGE(L551:M551, P551:Q551, T551:U551, X551:Y551)/100), ""))</f>
        <v>99.26</v>
      </c>
      <c r="AD551" s="984">
        <f t="shared" si="89"/>
        <v>4.166666666666667</v>
      </c>
      <c r="AE551" s="984">
        <f t="shared" si="96"/>
        <v>4.083333333333333</v>
      </c>
      <c r="AF551" s="985" t="str">
        <f t="shared" si="90"/>
        <v>T</v>
      </c>
      <c r="AG551" s="1414">
        <v>2</v>
      </c>
      <c r="AH551" s="981" t="s">
        <v>638</v>
      </c>
      <c r="AI551" s="986" t="s">
        <v>638</v>
      </c>
      <c r="AJ551" s="986" t="s">
        <v>835</v>
      </c>
      <c r="AK551" s="1417" t="s">
        <v>835</v>
      </c>
      <c r="AL551" s="1415">
        <v>56</v>
      </c>
      <c r="AM551" s="1323">
        <v>46151</v>
      </c>
      <c r="AN551" s="1323">
        <v>46152</v>
      </c>
      <c r="AO551" s="1323"/>
      <c r="AP551" s="1323"/>
      <c r="AQ551" s="1323"/>
      <c r="AR551" s="987"/>
      <c r="AS551" s="978" t="str">
        <f t="shared" si="91"/>
        <v>雙</v>
      </c>
      <c r="AT551" s="978" t="str">
        <f t="shared" si="92"/>
        <v>半</v>
      </c>
      <c r="AU551" s="978">
        <f t="shared" si="93"/>
        <v>150</v>
      </c>
      <c r="AV551" s="978">
        <f t="shared" si="94"/>
        <v>3.6019468800000003</v>
      </c>
    </row>
    <row r="552" spans="1:48">
      <c r="A552" s="975">
        <f t="shared" si="97"/>
        <v>46156</v>
      </c>
      <c r="B552" s="976" t="s">
        <v>417</v>
      </c>
      <c r="C552" s="976" t="s">
        <v>16767</v>
      </c>
      <c r="D552" s="1410" t="s">
        <v>633</v>
      </c>
      <c r="E552" s="977" t="str">
        <f>IFERROR(VLOOKUP(C552, [6]條件!$A:$L, 5, 0), "")</f>
        <v>150/48/2SDr</v>
      </c>
      <c r="F552" s="978" t="str">
        <f>IFERROR(VLOOKUP(C552, [6]條件!$A:$L, 6, 0), "")</f>
        <v>FP82173R×2</v>
      </c>
      <c r="G552" s="1411">
        <f>IFERROR(VLOOKUP(C552, [6]條件!$A:$L, 7, 0), "")</f>
        <v>700</v>
      </c>
      <c r="H552" s="978" t="str">
        <f>IF(ISNA(VLOOKUP(C552,[6]條件!$A$1:$K$932,11,0)),"",(VLOOKUP(C552,[6]條件!$A$1:$K$932,11,0)))</f>
        <v>棕色</v>
      </c>
      <c r="I552" s="979">
        <f>IF(ISNA(VLOOKUP(C552,[6]條件!$A$1:$L$932,12,0)),"",(VLOOKUP(C552,[6]條件!$A$1:$L$932,12,0)))</f>
        <v>5.5</v>
      </c>
      <c r="J552" s="982">
        <v>31</v>
      </c>
      <c r="K552" s="980">
        <v>8</v>
      </c>
      <c r="L552" s="981">
        <v>10000</v>
      </c>
      <c r="M552" s="983">
        <v>9630</v>
      </c>
      <c r="N552" s="982">
        <v>19</v>
      </c>
      <c r="O552" s="980">
        <v>0</v>
      </c>
      <c r="P552" s="981">
        <v>10000</v>
      </c>
      <c r="Q552" s="983">
        <v>9630</v>
      </c>
      <c r="R552" s="982">
        <v>15</v>
      </c>
      <c r="S552" s="980">
        <v>0</v>
      </c>
      <c r="T552" s="981">
        <v>9720</v>
      </c>
      <c r="U552" s="983">
        <v>8610</v>
      </c>
      <c r="V552" s="982"/>
      <c r="W552" s="980"/>
      <c r="X552" s="981"/>
      <c r="Y552" s="983"/>
      <c r="Z552" s="1412">
        <f>IFERROR(VLOOKUP(C552, [6]條件!$A:$L, 3, 0), "")</f>
        <v>5.8536585365853666</v>
      </c>
      <c r="AA552" s="984">
        <f>IF(OR(L552={"改紡","檢修","了機","清車","FINAL","停機","SAMPLE","TEST","絲開發"}), L552, IFERROR(IF(C552="", "", (SUM(J552, N552, R552, V552)/3 * AG552) * IF(AND(AF552="S", AS552="雙"), 0.5, 1)), ""))</f>
        <v>21.666666666666668</v>
      </c>
      <c r="AB552" s="1413">
        <f t="shared" si="95"/>
        <v>0.9934294871794872</v>
      </c>
      <c r="AC552" s="984">
        <f>IF(OR(L552={"改紡","檢修","了機","清車","FINAL","停機","SAMPLE","TEST"}), "", IFERROR(IF(C552="", "", AVERAGE(L552:M552, P552:Q552, T552:U552, X552:Y552)/100), ""))</f>
        <v>95.983333333333334</v>
      </c>
      <c r="AD552" s="984">
        <f t="shared" si="89"/>
        <v>2.7083333333333335</v>
      </c>
      <c r="AE552" s="984">
        <f t="shared" si="96"/>
        <v>2.375</v>
      </c>
      <c r="AF552" s="985" t="str">
        <f t="shared" si="90"/>
        <v>T</v>
      </c>
      <c r="AG552" s="1414">
        <v>1</v>
      </c>
      <c r="AH552" s="981" t="s">
        <v>638</v>
      </c>
      <c r="AI552" s="986" t="s">
        <v>638</v>
      </c>
      <c r="AJ552" s="986" t="s">
        <v>835</v>
      </c>
      <c r="AK552" s="1417" t="s">
        <v>835</v>
      </c>
      <c r="AL552" s="1415">
        <v>56</v>
      </c>
      <c r="AM552" s="1323">
        <v>46150</v>
      </c>
      <c r="AN552" s="1323">
        <v>46151</v>
      </c>
      <c r="AO552" s="1323">
        <v>46152</v>
      </c>
      <c r="AP552" s="1323">
        <v>46153</v>
      </c>
      <c r="AQ552" s="1323"/>
      <c r="AR552" s="987"/>
      <c r="AS552" s="978" t="str">
        <f t="shared" si="91"/>
        <v>雙</v>
      </c>
      <c r="AT552" s="978" t="str">
        <f t="shared" si="92"/>
        <v>全</v>
      </c>
      <c r="AU552" s="978">
        <f t="shared" si="93"/>
        <v>150</v>
      </c>
      <c r="AV552" s="978">
        <f t="shared" si="94"/>
        <v>6.9660864</v>
      </c>
    </row>
    <row r="553" spans="1:48">
      <c r="A553" s="975">
        <f t="shared" si="97"/>
        <v>46156</v>
      </c>
      <c r="B553" s="976" t="s">
        <v>240</v>
      </c>
      <c r="C553" s="976" t="s">
        <v>16776</v>
      </c>
      <c r="D553" s="1410"/>
      <c r="E553" s="977" t="str">
        <f>IFERROR(VLOOKUP(C553, [6]條件!$A:$L, 5, 0), "")</f>
        <v>50/72/2SDFFR</v>
      </c>
      <c r="F553" s="978" t="str">
        <f>IFERROR(VLOOKUP(C553, [6]條件!$A:$L, 6, 0), "")</f>
        <v>FP80099R×2</v>
      </c>
      <c r="G553" s="1411">
        <f>IFERROR(VLOOKUP(C553, [6]條件!$A:$L, 7, 0), "")</f>
        <v>500</v>
      </c>
      <c r="H553" s="978" t="str">
        <f>IF(ISNA(VLOOKUP(C553,[6]條件!$A$1:$K$932,11,0)),"",(VLOOKUP(C553,[6]條件!$A$1:$K$932,11,0)))</f>
        <v>白黑三角</v>
      </c>
      <c r="I553" s="979">
        <f>IF(ISNA(VLOOKUP(C553,[6]條件!$A$1:$L$932,12,0)),"",(VLOOKUP(C553,[6]條件!$A$1:$L$932,12,0)))</f>
        <v>4</v>
      </c>
      <c r="J553" s="982">
        <v>24</v>
      </c>
      <c r="K553" s="980">
        <v>0</v>
      </c>
      <c r="L553" s="981">
        <v>2617</v>
      </c>
      <c r="M553" s="983"/>
      <c r="N553" s="982">
        <v>10</v>
      </c>
      <c r="O553" s="980">
        <v>0</v>
      </c>
      <c r="P553" s="981">
        <v>2640</v>
      </c>
      <c r="Q553" s="983"/>
      <c r="R553" s="982">
        <v>4</v>
      </c>
      <c r="S553" s="980">
        <v>0</v>
      </c>
      <c r="T553" s="981">
        <v>2801</v>
      </c>
      <c r="U553" s="983"/>
      <c r="V553" s="982">
        <v>6</v>
      </c>
      <c r="W553" s="980">
        <v>0</v>
      </c>
      <c r="X553" s="981">
        <v>2596</v>
      </c>
      <c r="Y553" s="983"/>
      <c r="Z553" s="1422">
        <f>IFERROR(VLOOKUP(C553, [6]條件!$A:$L, 3, 0), "")</f>
        <v>2.028169014084507</v>
      </c>
      <c r="AA553" s="1167">
        <f>IF(OR(L553={"改紡","檢修","了機","清車","FINAL","停機","SAMPLE","TEST","絲開發"}), L553, IFERROR(IF(C553="", "", (SUM(J553, N553, R553, V553)/3 * AG553) * IF(AND(AF553="S", AS553="雙"), 0.5, 1)), ""))</f>
        <v>22</v>
      </c>
      <c r="AB553" s="1423">
        <f>IF(K553="","",IF(ISERROR(1-((SUM(K553,O553,S553,W553)/((AG553*12)-(AG553*0.44)))/Z553)),"",(1-((SUM(K553,O553,S553,W553)/((AG553*12)-(AG553*0.44)))/Z553))))</f>
        <v>1</v>
      </c>
      <c r="AC553" s="1167">
        <f>IF(OR(L553={"改紡","檢修","了機","清車","FINAL","停機","SAMPLE","TEST"}), "", IFERROR(IF(C553="", "", AVERAGE(L553:M553, P553:Q553, T553:U553, X553:Y553)/100), ""))</f>
        <v>26.635000000000002</v>
      </c>
      <c r="AD553" s="1167">
        <f t="shared" si="89"/>
        <v>2.75</v>
      </c>
      <c r="AE553" s="1167">
        <f>IF(P553="了機","",IF(J553="","",IF(ISERROR((SUM(J553,N553,R553,V553)-SUM(K553,O553,S553,W553))/24),"",((SUM(J553,N553,R553,V553)-SUM(K553,O553,S553,W553))/24))))</f>
        <v>1.8333333333333333</v>
      </c>
      <c r="AF553" s="1168" t="str">
        <f t="shared" si="90"/>
        <v>S</v>
      </c>
      <c r="AG553" s="1424">
        <v>3</v>
      </c>
      <c r="AH553" s="981" t="s">
        <v>636</v>
      </c>
      <c r="AI553" s="986" t="s">
        <v>636</v>
      </c>
      <c r="AJ553" s="986" t="s">
        <v>829</v>
      </c>
      <c r="AK553" s="1417" t="s">
        <v>829</v>
      </c>
      <c r="AL553" s="1415">
        <v>50</v>
      </c>
      <c r="AM553" s="1323">
        <v>46086</v>
      </c>
      <c r="AN553" s="1323">
        <v>46089</v>
      </c>
      <c r="AO553" s="1323"/>
      <c r="AP553" s="1323"/>
      <c r="AQ553" s="1323"/>
      <c r="AR553" s="987"/>
      <c r="AS553" s="978" t="str">
        <f t="shared" si="91"/>
        <v>雙</v>
      </c>
      <c r="AT553" s="978" t="str">
        <f t="shared" si="92"/>
        <v>3sec</v>
      </c>
      <c r="AU553" s="978">
        <f t="shared" si="93"/>
        <v>50</v>
      </c>
      <c r="AV553" s="978">
        <f t="shared" si="94"/>
        <v>2.8765799999999998E-2</v>
      </c>
    </row>
    <row r="554" spans="1:48">
      <c r="A554" s="975">
        <f t="shared" si="97"/>
        <v>46156</v>
      </c>
      <c r="B554" s="976" t="s">
        <v>240</v>
      </c>
      <c r="C554" s="976" t="s">
        <v>16777</v>
      </c>
      <c r="D554" s="1410"/>
      <c r="E554" s="977" t="str">
        <f>IFERROR(VLOOKUP(C554, [6]條件!$A:$L, 5, 0), "")</f>
        <v>75/72/2SDFFR</v>
      </c>
      <c r="F554" s="978" t="str">
        <f>IFERROR(VLOOKUP(C554, [6]條件!$A:$L, 6, 0), "")</f>
        <v>FP81209R×2</v>
      </c>
      <c r="G554" s="1411">
        <f>IFERROR(VLOOKUP(C554, [6]條件!$A:$L, 7, 0), "")</f>
        <v>600</v>
      </c>
      <c r="H554" s="978" t="str">
        <f>IF(ISNA(VLOOKUP(C554,[6]條件!$A$1:$K$932,11,0)),"",(VLOOKUP(C554,[6]條件!$A$1:$K$932,11,0)))</f>
        <v>白底紅十字</v>
      </c>
      <c r="I554" s="979">
        <f>IF(ISNA(VLOOKUP(C554,[6]條件!$A$1:$L$932,12,0)),"",(VLOOKUP(C554,[6]條件!$A$1:$L$932,12,0)))</f>
        <v>5</v>
      </c>
      <c r="J554" s="982">
        <v>8</v>
      </c>
      <c r="K554" s="980">
        <v>0</v>
      </c>
      <c r="L554" s="981">
        <v>2617</v>
      </c>
      <c r="M554" s="983"/>
      <c r="N554" s="982">
        <v>4</v>
      </c>
      <c r="O554" s="980">
        <v>0</v>
      </c>
      <c r="P554" s="981">
        <v>2640</v>
      </c>
      <c r="Q554" s="983"/>
      <c r="R554" s="982">
        <v>2</v>
      </c>
      <c r="S554" s="980">
        <v>0</v>
      </c>
      <c r="T554" s="981">
        <v>2801</v>
      </c>
      <c r="U554" s="983"/>
      <c r="V554" s="982">
        <v>12</v>
      </c>
      <c r="W554" s="980">
        <v>0</v>
      </c>
      <c r="X554" s="981">
        <v>2596</v>
      </c>
      <c r="Y554" s="983"/>
      <c r="Z554" s="1422">
        <f>IFERROR(VLOOKUP(C554, [6]條件!$A:$L, 3, 0), "")</f>
        <v>2.7852998065764023</v>
      </c>
      <c r="AA554" s="1167">
        <f>IF(OR(L554={"改紡","檢修","了機","清車","FINAL","停機","SAMPLE","TEST","絲開發"}), L554, IFERROR(IF(C554="", "", (SUM(J554, N554, R554, V554)/3 * AG554) * IF(AND(AF554="S", AS554="雙"), 0.5, 1)), ""))</f>
        <v>13</v>
      </c>
      <c r="AB554" s="1423">
        <f>IF(K554="","",IF(ISERROR(1-((SUM(K554,O554,S554,W554)/((AG554*12)-(AG554*0.44)))/Z554)),"",(1-((SUM(K554,O554,S554,W554)/((AG554*12)-(AG554*0.44)))/Z554))))</f>
        <v>1</v>
      </c>
      <c r="AC554" s="1167">
        <f>IF(OR(L554={"改紡","檢修","了機","清車","FINAL","停機","SAMPLE","TEST"}), "", IFERROR(IF(C554="", "", AVERAGE(L554:M554, P554:Q554, T554:U554, X554:Y554)/100), ""))</f>
        <v>26.635000000000002</v>
      </c>
      <c r="AD554" s="1167">
        <f t="shared" si="89"/>
        <v>1.625</v>
      </c>
      <c r="AE554" s="1167">
        <f>IF(P554="了機","",IF(J554="","",IF(ISERROR((SUM(J554,N554,R554,V554)-SUM(K554,O554,S554,W554))/24),"",((SUM(J554,N554,R554,V554)-SUM(K554,O554,S554,W554))/24))))</f>
        <v>1.0833333333333333</v>
      </c>
      <c r="AF554" s="1168" t="str">
        <f t="shared" si="90"/>
        <v>S</v>
      </c>
      <c r="AG554" s="1424">
        <v>3</v>
      </c>
      <c r="AH554" s="981" t="s">
        <v>636</v>
      </c>
      <c r="AI554" s="986" t="s">
        <v>636</v>
      </c>
      <c r="AJ554" s="986" t="s">
        <v>829</v>
      </c>
      <c r="AK554" s="1417" t="s">
        <v>829</v>
      </c>
      <c r="AL554" s="1415">
        <v>50</v>
      </c>
      <c r="AM554" s="1323">
        <v>46043</v>
      </c>
      <c r="AN554" s="1323"/>
      <c r="AO554" s="1323"/>
      <c r="AP554" s="1323"/>
      <c r="AQ554" s="1323"/>
      <c r="AR554" s="987"/>
      <c r="AS554" s="978" t="str">
        <f t="shared" si="91"/>
        <v>雙</v>
      </c>
      <c r="AT554" s="978" t="str">
        <f t="shared" si="92"/>
        <v>3sec</v>
      </c>
      <c r="AU554" s="978">
        <f t="shared" si="93"/>
        <v>75</v>
      </c>
      <c r="AV554" s="978">
        <f t="shared" si="94"/>
        <v>5.1778440000000002E-2</v>
      </c>
    </row>
    <row r="555" spans="1:48">
      <c r="A555" s="975">
        <f t="shared" si="97"/>
        <v>46156</v>
      </c>
      <c r="B555" s="976" t="s">
        <v>242</v>
      </c>
      <c r="C555" s="976" t="s">
        <v>385</v>
      </c>
      <c r="D555" s="1410"/>
      <c r="E555" s="977" t="str">
        <f>IFERROR(VLOOKUP(C555, [6]條件!$A:$L, 5, 0), "")</f>
        <v/>
      </c>
      <c r="F555" s="978" t="str">
        <f>IFERROR(VLOOKUP(C555, [6]條件!$A:$L, 6, 0), "")</f>
        <v/>
      </c>
      <c r="G555" s="1411" t="str">
        <f>IFERROR(VLOOKUP(C555, [6]條件!$A:$L, 7, 0), "")</f>
        <v/>
      </c>
      <c r="H555" s="978" t="str">
        <f>IF(ISNA(VLOOKUP(C555,[6]條件!$A$1:$K$932,11,0)),"",(VLOOKUP(C555,[6]條件!$A$1:$K$932,11,0)))</f>
        <v/>
      </c>
      <c r="I555" s="979" t="str">
        <f>IF(ISNA(VLOOKUP(C555,[6]條件!$A$1:$L$932,12,0)),"",(VLOOKUP(C555,[6]條件!$A$1:$L$932,12,0)))</f>
        <v/>
      </c>
      <c r="J555" s="982"/>
      <c r="K555" s="980"/>
      <c r="L555" s="981" t="s">
        <v>385</v>
      </c>
      <c r="M555" s="983"/>
      <c r="N555" s="982"/>
      <c r="O555" s="980"/>
      <c r="P555" s="981" t="s">
        <v>385</v>
      </c>
      <c r="Q555" s="983"/>
      <c r="R555" s="982"/>
      <c r="S555" s="980"/>
      <c r="T555" s="981" t="s">
        <v>385</v>
      </c>
      <c r="U555" s="983"/>
      <c r="V555" s="982"/>
      <c r="W555" s="980"/>
      <c r="X555" s="981" t="s">
        <v>385</v>
      </c>
      <c r="Y555" s="983"/>
      <c r="Z555" s="1422" t="str">
        <f>IFERROR(VLOOKUP(C555, [6]條件!$A:$L, 3, 0), "")</f>
        <v/>
      </c>
      <c r="AA555" s="1167" t="str">
        <f>IF(OR(L555={"改紡","檢修","了機","清車","FINAL","停機","SAMPLE","TEST","絲開發"}), L555, IFERROR(IF(C555="", "", (SUM(J555, N555, R555, V555)/3 * AG555) * IF(AND(AF555="S", AS555="雙"), 0.5, 1)), ""))</f>
        <v>絲開發</v>
      </c>
      <c r="AB555" s="1423" t="str">
        <f>IF(K555="","",IF(ISERROR(1-((SUM(K555,O555,S555,W555)/((AG555*12)-(AG555*0.44)))/Z555)),"",(1-((SUM(K555,O555,S555,W555)/((AG555*12)-(AG555*0.44)))/Z555))))</f>
        <v/>
      </c>
      <c r="AC555" s="1167" t="str">
        <f>IF(OR(L555={"改紡","檢修","了機","清車","FINAL","停機","SAMPLE","TEST"}), "", IFERROR(IF(C555="", "", AVERAGE(L555:M555, P555:Q555, T555:U555, X555:Y555)/100), ""))</f>
        <v/>
      </c>
      <c r="AD555" s="1167" t="str">
        <f t="shared" si="89"/>
        <v/>
      </c>
      <c r="AE555" s="1167" t="str">
        <f>IF(P555="了機","",IF(J555="","",IF(ISERROR((SUM(J555,N555,R555,V555)-SUM(K555,O555,S555,W555))/24),"",((SUM(J555,N555,R555,V555)-SUM(K555,O555,S555,W555))/24))))</f>
        <v/>
      </c>
      <c r="AF555" s="1168" t="str">
        <f t="shared" si="90"/>
        <v>S</v>
      </c>
      <c r="AG555" s="1424">
        <v>5</v>
      </c>
      <c r="AH555" s="981" t="s">
        <v>636</v>
      </c>
      <c r="AI555" s="986" t="s">
        <v>636</v>
      </c>
      <c r="AJ555" s="986" t="s">
        <v>829</v>
      </c>
      <c r="AK555" s="1417" t="s">
        <v>829</v>
      </c>
      <c r="AL555" s="1415"/>
      <c r="AM555" s="1323"/>
      <c r="AN555" s="1323"/>
      <c r="AO555" s="1323"/>
      <c r="AP555" s="1323"/>
      <c r="AQ555" s="1323"/>
      <c r="AR555" s="987"/>
      <c r="AS555" s="978" t="str">
        <f t="shared" si="91"/>
        <v>單</v>
      </c>
      <c r="AT555" s="978" t="str">
        <f t="shared" si="92"/>
        <v>5sec</v>
      </c>
      <c r="AU555" s="978" t="str">
        <f t="shared" si="93"/>
        <v/>
      </c>
      <c r="AV555" s="978" t="str">
        <f t="shared" si="94"/>
        <v/>
      </c>
    </row>
    <row r="556" spans="1:48">
      <c r="A556" s="975">
        <f t="shared" si="97"/>
        <v>46156</v>
      </c>
      <c r="B556" s="976" t="s">
        <v>16078</v>
      </c>
      <c r="C556" s="988" t="s">
        <v>16185</v>
      </c>
      <c r="D556" s="1410"/>
      <c r="E556" s="977" t="str">
        <f>IFERROR(VLOOKUP(C556, [6]條件!$A:$L, 5, 0), "")</f>
        <v/>
      </c>
      <c r="F556" s="978" t="str">
        <f>IFERROR(VLOOKUP(C556, [6]條件!$A:$L, 6, 0), "")</f>
        <v/>
      </c>
      <c r="G556" s="1411" t="str">
        <f>IFERROR(VLOOKUP(C556, [6]條件!$A:$L, 7, 0), "")</f>
        <v/>
      </c>
      <c r="H556" s="978" t="str">
        <f>IF(ISNA(VLOOKUP(C556,[6]條件!$A$1:$K$932,11,0)),"",(VLOOKUP(C556,[6]條件!$A$1:$K$932,11,0)))</f>
        <v/>
      </c>
      <c r="I556" s="979" t="str">
        <f>IF(ISNA(VLOOKUP(C556,[6]條件!$A$1:$L$932,12,0)),"",(VLOOKUP(C556,[6]條件!$A$1:$L$932,12,0)))</f>
        <v/>
      </c>
      <c r="J556" s="982"/>
      <c r="K556" s="980"/>
      <c r="L556" s="981" t="s">
        <v>632</v>
      </c>
      <c r="M556" s="983"/>
      <c r="N556" s="982"/>
      <c r="O556" s="980"/>
      <c r="P556" s="981" t="s">
        <v>632</v>
      </c>
      <c r="Q556" s="983"/>
      <c r="R556" s="982"/>
      <c r="S556" s="980"/>
      <c r="T556" s="981" t="s">
        <v>632</v>
      </c>
      <c r="U556" s="983"/>
      <c r="V556" s="982"/>
      <c r="W556" s="980"/>
      <c r="X556" s="981" t="s">
        <v>632</v>
      </c>
      <c r="Y556" s="983"/>
      <c r="Z556" s="1412" t="str">
        <f>IFERROR(VLOOKUP(C556, [6]條件!$A:$L, 3, 0), "")</f>
        <v/>
      </c>
      <c r="AA556" s="984" t="str">
        <f>IF(OR(L556={"改紡","檢修","了機","清車","FINAL","停機","SAMPLE","TEST","絲開發"}), L556, IFERROR(IF(C556="", "", (SUM(J556, N556, R556, V556)/3 * AG556) * IF(AND(AF556="S", AS556="雙"), 0.5, 1)), ""))</f>
        <v>停機</v>
      </c>
      <c r="AB556" s="1413" t="str">
        <f t="shared" ref="AB556:AB591" si="98">IF(K556="","",IF(ISERROR(1-(SUM(K556,O556,S556,W556)/208/Z556)),"",(1-(SUM(K556,O556,S556,W556)/208/Z556))))</f>
        <v/>
      </c>
      <c r="AC556" s="984" t="str">
        <f>IF(OR(L556={"改紡","檢修","了機","清車","FINAL","停機","SAMPLE","TEST"}), "", IFERROR(IF(C556="", "", AVERAGE(L556:M556, P556:Q556, T556:U556, X556:Y556)/100), ""))</f>
        <v/>
      </c>
      <c r="AD556" s="984" t="str">
        <f t="shared" si="89"/>
        <v/>
      </c>
      <c r="AE556" s="984" t="str">
        <f>IF(OR(L556="改紡", L556="檢修", L556="了機"), "",
   IF(AND(C556&lt;&gt;"", J556&lt;&gt;""),
      IFERROR((SUM(J556, N556, R556, V556) - SUM(K556, O556, S556, W556))/24 * AG556, ""),
   "")
)</f>
        <v/>
      </c>
      <c r="AF556" s="985" t="str">
        <f t="shared" si="90"/>
        <v>M</v>
      </c>
      <c r="AG556" s="1414">
        <v>1</v>
      </c>
      <c r="AH556" s="981" t="s">
        <v>640</v>
      </c>
      <c r="AI556" s="986" t="s">
        <v>640</v>
      </c>
      <c r="AJ556" s="986" t="s">
        <v>640</v>
      </c>
      <c r="AK556" s="1417" t="s">
        <v>640</v>
      </c>
      <c r="AL556" s="1415"/>
      <c r="AM556" s="1323"/>
      <c r="AN556" s="1323"/>
      <c r="AO556" s="1323"/>
      <c r="AP556" s="1323"/>
      <c r="AQ556" s="1323"/>
      <c r="AR556" s="987"/>
      <c r="AS556" s="978" t="str">
        <f t="shared" si="91"/>
        <v>單</v>
      </c>
      <c r="AT556" s="978" t="str">
        <f t="shared" si="92"/>
        <v>全</v>
      </c>
      <c r="AU556" s="978" t="str">
        <f t="shared" si="93"/>
        <v/>
      </c>
      <c r="AV556" s="978" t="str">
        <f t="shared" si="94"/>
        <v/>
      </c>
    </row>
    <row r="557" spans="1:48">
      <c r="A557" s="975">
        <f t="shared" si="97"/>
        <v>46156</v>
      </c>
      <c r="B557" s="976" t="s">
        <v>243</v>
      </c>
      <c r="C557" s="988" t="s">
        <v>16185</v>
      </c>
      <c r="D557" s="1410"/>
      <c r="E557" s="977" t="str">
        <f>IFERROR(VLOOKUP(C557, [6]條件!$A:$L, 5, 0), "")</f>
        <v/>
      </c>
      <c r="F557" s="978" t="str">
        <f>IFERROR(VLOOKUP(C557, [6]條件!$A:$L, 6, 0), "")</f>
        <v/>
      </c>
      <c r="G557" s="1411" t="str">
        <f>IFERROR(VLOOKUP(C557, [6]條件!$A:$L, 7, 0), "")</f>
        <v/>
      </c>
      <c r="H557" s="978" t="str">
        <f>IF(ISNA(VLOOKUP(C557,[6]條件!$A$1:$K$932,11,0)),"",(VLOOKUP(C557,[6]條件!$A$1:$K$932,11,0)))</f>
        <v/>
      </c>
      <c r="I557" s="979" t="str">
        <f>IF(ISNA(VLOOKUP(C557,[6]條件!$A$1:$L$932,12,0)),"",(VLOOKUP(C557,[6]條件!$A$1:$L$932,12,0)))</f>
        <v/>
      </c>
      <c r="J557" s="982"/>
      <c r="K557" s="980"/>
      <c r="L557" s="981" t="s">
        <v>632</v>
      </c>
      <c r="M557" s="983"/>
      <c r="N557" s="982"/>
      <c r="O557" s="980"/>
      <c r="P557" s="981" t="s">
        <v>632</v>
      </c>
      <c r="Q557" s="983"/>
      <c r="R557" s="982"/>
      <c r="S557" s="980"/>
      <c r="T557" s="981" t="s">
        <v>632</v>
      </c>
      <c r="U557" s="983"/>
      <c r="V557" s="982"/>
      <c r="W557" s="980"/>
      <c r="X557" s="981" t="s">
        <v>632</v>
      </c>
      <c r="Y557" s="983"/>
      <c r="Z557" s="1412" t="str">
        <f>IFERROR(VLOOKUP(C557, [6]條件!$A:$L, 3, 0), "")</f>
        <v/>
      </c>
      <c r="AA557" s="984" t="str">
        <f>IF(OR(L557={"改紡","檢修","了機","清車","FINAL","停機","SAMPLE","TEST","絲開發"}), L557, IFERROR(IF(C557="", "", (SUM(J557, N557, R557, V557)/3 * AG557) * IF(AND(AF557="S", AS557="雙"), 0.5, 1)), ""))</f>
        <v>停機</v>
      </c>
      <c r="AB557" s="1413" t="str">
        <f t="shared" si="98"/>
        <v/>
      </c>
      <c r="AC557" s="984" t="str">
        <f>IF(OR(L557={"改紡","檢修","了機","清車","FINAL","停機","SAMPLE","TEST"}), "", IFERROR(IF(C557="", "", AVERAGE(L557:M557, P557:Q557, T557:U557, X557:Y557)/100), ""))</f>
        <v/>
      </c>
      <c r="AD557" s="984" t="str">
        <f t="shared" si="89"/>
        <v/>
      </c>
      <c r="AE557" s="984" t="str">
        <f t="shared" ref="AE557:AE591" si="99">IF(OR(L557="改紡", L557="檢修", L557="了機"), "",
IF(AND(C557&lt;&gt;"", J557&lt;&gt;""),
IFERROR((SUM(J557, N557, R557, V557) - SUM(K557, O557, S557, W557))/24 * AG557, ""),
"")
)</f>
        <v/>
      </c>
      <c r="AF557" s="985" t="str">
        <f t="shared" si="90"/>
        <v>M</v>
      </c>
      <c r="AG557" s="1414">
        <v>1</v>
      </c>
      <c r="AH557" s="981" t="s">
        <v>640</v>
      </c>
      <c r="AI557" s="986" t="s">
        <v>640</v>
      </c>
      <c r="AJ557" s="986" t="s">
        <v>640</v>
      </c>
      <c r="AK557" s="1417" t="s">
        <v>640</v>
      </c>
      <c r="AL557" s="1415"/>
      <c r="AM557" s="1323"/>
      <c r="AN557" s="1323"/>
      <c r="AO557" s="1323"/>
      <c r="AP557" s="1323"/>
      <c r="AQ557" s="1323"/>
      <c r="AR557" s="987"/>
      <c r="AS557" s="978" t="str">
        <f t="shared" si="91"/>
        <v>單</v>
      </c>
      <c r="AT557" s="978" t="str">
        <f t="shared" si="92"/>
        <v>全</v>
      </c>
      <c r="AU557" s="978" t="str">
        <f t="shared" si="93"/>
        <v/>
      </c>
      <c r="AV557" s="978" t="str">
        <f t="shared" si="94"/>
        <v/>
      </c>
    </row>
    <row r="558" spans="1:48">
      <c r="A558" s="975">
        <f t="shared" si="97"/>
        <v>46156</v>
      </c>
      <c r="B558" s="976" t="s">
        <v>244</v>
      </c>
      <c r="C558" s="988" t="s">
        <v>16185</v>
      </c>
      <c r="D558" s="1410"/>
      <c r="E558" s="977" t="str">
        <f>IFERROR(VLOOKUP(C558, [6]條件!$A:$L, 5, 0), "")</f>
        <v/>
      </c>
      <c r="F558" s="978" t="str">
        <f>IFERROR(VLOOKUP(C558, [6]條件!$A:$L, 6, 0), "")</f>
        <v/>
      </c>
      <c r="G558" s="1411" t="str">
        <f>IFERROR(VLOOKUP(C558, [6]條件!$A:$L, 7, 0), "")</f>
        <v/>
      </c>
      <c r="H558" s="978" t="str">
        <f>IF(ISNA(VLOOKUP(C558,[6]條件!$A$1:$K$932,11,0)),"",(VLOOKUP(C558,[6]條件!$A$1:$K$932,11,0)))</f>
        <v/>
      </c>
      <c r="I558" s="979" t="str">
        <f>IF(ISNA(VLOOKUP(C558,[6]條件!$A$1:$L$932,12,0)),"",(VLOOKUP(C558,[6]條件!$A$1:$L$932,12,0)))</f>
        <v/>
      </c>
      <c r="J558" s="982"/>
      <c r="K558" s="980"/>
      <c r="L558" s="981" t="s">
        <v>632</v>
      </c>
      <c r="M558" s="983"/>
      <c r="N558" s="982"/>
      <c r="O558" s="980"/>
      <c r="P558" s="981" t="s">
        <v>632</v>
      </c>
      <c r="Q558" s="983"/>
      <c r="R558" s="982"/>
      <c r="S558" s="980"/>
      <c r="T558" s="981" t="s">
        <v>632</v>
      </c>
      <c r="U558" s="983"/>
      <c r="V558" s="982"/>
      <c r="W558" s="980"/>
      <c r="X558" s="981" t="s">
        <v>632</v>
      </c>
      <c r="Y558" s="983"/>
      <c r="Z558" s="1412" t="str">
        <f>IFERROR(VLOOKUP(C558, [6]條件!$A:$L, 3, 0), "")</f>
        <v/>
      </c>
      <c r="AA558" s="984" t="str">
        <f>IF(OR(L558={"改紡","檢修","了機","清車","FINAL","停機","SAMPLE","TEST","絲開發"}), L558, IFERROR(IF(C558="", "", (SUM(J558, N558, R558, V558)/3 * AG558) * IF(AND(AF558="S", AS558="雙"), 0.5, 1)), ""))</f>
        <v>停機</v>
      </c>
      <c r="AB558" s="1413" t="str">
        <f t="shared" si="98"/>
        <v/>
      </c>
      <c r="AC558" s="984" t="str">
        <f>IF(OR(L558={"改紡","檢修","了機","清車","FINAL","停機","SAMPLE","TEST"}), "", IFERROR(IF(C558="", "", AVERAGE(L558:M558, P558:Q558, T558:U558, X558:Y558)/100), ""))</f>
        <v/>
      </c>
      <c r="AD558" s="984" t="str">
        <f t="shared" si="89"/>
        <v/>
      </c>
      <c r="AE558" s="984" t="str">
        <f t="shared" si="99"/>
        <v/>
      </c>
      <c r="AF558" s="985" t="str">
        <f t="shared" si="90"/>
        <v>M</v>
      </c>
      <c r="AG558" s="1414">
        <v>1</v>
      </c>
      <c r="AH558" s="981" t="s">
        <v>640</v>
      </c>
      <c r="AI558" s="986" t="s">
        <v>640</v>
      </c>
      <c r="AJ558" s="986" t="s">
        <v>640</v>
      </c>
      <c r="AK558" s="1417" t="s">
        <v>640</v>
      </c>
      <c r="AL558" s="1415"/>
      <c r="AM558" s="1323"/>
      <c r="AN558" s="1323"/>
      <c r="AO558" s="1323"/>
      <c r="AP558" s="1323"/>
      <c r="AQ558" s="1323"/>
      <c r="AR558" s="987"/>
      <c r="AS558" s="978" t="str">
        <f t="shared" si="91"/>
        <v>單</v>
      </c>
      <c r="AT558" s="978" t="str">
        <f t="shared" si="92"/>
        <v>全</v>
      </c>
      <c r="AU558" s="978" t="str">
        <f t="shared" si="93"/>
        <v/>
      </c>
      <c r="AV558" s="978" t="str">
        <f t="shared" si="94"/>
        <v/>
      </c>
    </row>
    <row r="559" spans="1:48">
      <c r="A559" s="975">
        <f t="shared" si="97"/>
        <v>46156</v>
      </c>
      <c r="B559" s="976" t="s">
        <v>245</v>
      </c>
      <c r="C559" s="988" t="s">
        <v>16185</v>
      </c>
      <c r="D559" s="1410"/>
      <c r="E559" s="977" t="str">
        <f>IFERROR(VLOOKUP(C559, [6]條件!$A:$L, 5, 0), "")</f>
        <v/>
      </c>
      <c r="F559" s="978" t="str">
        <f>IFERROR(VLOOKUP(C559, [6]條件!$A:$L, 6, 0), "")</f>
        <v/>
      </c>
      <c r="G559" s="1411" t="str">
        <f>IFERROR(VLOOKUP(C559, [6]條件!$A:$L, 7, 0), "")</f>
        <v/>
      </c>
      <c r="H559" s="978" t="str">
        <f>IF(ISNA(VLOOKUP(C559,[6]條件!$A$1:$K$932,11,0)),"",(VLOOKUP(C559,[6]條件!$A$1:$K$932,11,0)))</f>
        <v/>
      </c>
      <c r="I559" s="979" t="str">
        <f>IF(ISNA(VLOOKUP(C559,[6]條件!$A$1:$L$932,12,0)),"",(VLOOKUP(C559,[6]條件!$A$1:$L$932,12,0)))</f>
        <v/>
      </c>
      <c r="J559" s="982"/>
      <c r="K559" s="980"/>
      <c r="L559" s="981" t="s">
        <v>632</v>
      </c>
      <c r="M559" s="983"/>
      <c r="N559" s="982"/>
      <c r="O559" s="980"/>
      <c r="P559" s="981" t="s">
        <v>632</v>
      </c>
      <c r="Q559" s="983"/>
      <c r="R559" s="982"/>
      <c r="S559" s="980"/>
      <c r="T559" s="981" t="s">
        <v>632</v>
      </c>
      <c r="U559" s="983"/>
      <c r="V559" s="982"/>
      <c r="W559" s="980"/>
      <c r="X559" s="981" t="s">
        <v>632</v>
      </c>
      <c r="Y559" s="983"/>
      <c r="Z559" s="1412" t="str">
        <f>IFERROR(VLOOKUP(C559, [6]條件!$A:$L, 3, 0), "")</f>
        <v/>
      </c>
      <c r="AA559" s="984" t="str">
        <f>IF(OR(L559={"改紡","檢修","了機","清車","FINAL","停機","SAMPLE","TEST","絲開發"}), L559, IFERROR(IF(C559="", "", (SUM(J559, N559, R559, V559)/3 * AG559) * IF(AND(AF559="S", AS559="雙"), 0.5, 1)), ""))</f>
        <v>停機</v>
      </c>
      <c r="AB559" s="1413" t="str">
        <f t="shared" si="98"/>
        <v/>
      </c>
      <c r="AC559" s="984" t="str">
        <f>IF(OR(L559={"改紡","檢修","了機","清車","FINAL","停機","SAMPLE","TEST"}), "", IFERROR(IF(C559="", "", AVERAGE(L559:M559, P559:Q559, T559:U559, X559:Y559)/100), ""))</f>
        <v/>
      </c>
      <c r="AD559" s="984" t="str">
        <f t="shared" si="89"/>
        <v/>
      </c>
      <c r="AE559" s="984" t="str">
        <f t="shared" si="99"/>
        <v/>
      </c>
      <c r="AF559" s="985" t="str">
        <f t="shared" si="90"/>
        <v>M</v>
      </c>
      <c r="AG559" s="1414">
        <v>1</v>
      </c>
      <c r="AH559" s="981" t="s">
        <v>640</v>
      </c>
      <c r="AI559" s="986" t="s">
        <v>640</v>
      </c>
      <c r="AJ559" s="986" t="s">
        <v>640</v>
      </c>
      <c r="AK559" s="1417" t="s">
        <v>640</v>
      </c>
      <c r="AL559" s="1415"/>
      <c r="AM559" s="1323"/>
      <c r="AN559" s="1323"/>
      <c r="AO559" s="1323"/>
      <c r="AP559" s="1323"/>
      <c r="AQ559" s="1323"/>
      <c r="AR559" s="987"/>
      <c r="AS559" s="978" t="str">
        <f t="shared" si="91"/>
        <v>單</v>
      </c>
      <c r="AT559" s="978" t="str">
        <f t="shared" si="92"/>
        <v>全</v>
      </c>
      <c r="AU559" s="978" t="str">
        <f t="shared" si="93"/>
        <v/>
      </c>
      <c r="AV559" s="978" t="str">
        <f t="shared" si="94"/>
        <v/>
      </c>
    </row>
    <row r="560" spans="1:48">
      <c r="A560" s="975">
        <f t="shared" si="97"/>
        <v>46156</v>
      </c>
      <c r="B560" s="976" t="s">
        <v>246</v>
      </c>
      <c r="C560" s="988" t="s">
        <v>16185</v>
      </c>
      <c r="D560" s="1410"/>
      <c r="E560" s="977" t="str">
        <f>IFERROR(VLOOKUP(C560, [6]條件!$A:$L, 5, 0), "")</f>
        <v/>
      </c>
      <c r="F560" s="978" t="str">
        <f>IFERROR(VLOOKUP(C560, [6]條件!$A:$L, 6, 0), "")</f>
        <v/>
      </c>
      <c r="G560" s="1411" t="str">
        <f>IFERROR(VLOOKUP(C560, [6]條件!$A:$L, 7, 0), "")</f>
        <v/>
      </c>
      <c r="H560" s="978" t="str">
        <f>IF(ISNA(VLOOKUP(C560,[6]條件!$A$1:$K$932,11,0)),"",(VLOOKUP(C560,[6]條件!$A$1:$K$932,11,0)))</f>
        <v/>
      </c>
      <c r="I560" s="979" t="str">
        <f>IF(ISNA(VLOOKUP(C560,[6]條件!$A$1:$L$932,12,0)),"",(VLOOKUP(C560,[6]條件!$A$1:$L$932,12,0)))</f>
        <v/>
      </c>
      <c r="J560" s="982"/>
      <c r="K560" s="980"/>
      <c r="L560" s="981" t="s">
        <v>632</v>
      </c>
      <c r="M560" s="983"/>
      <c r="N560" s="982"/>
      <c r="O560" s="980"/>
      <c r="P560" s="981" t="s">
        <v>632</v>
      </c>
      <c r="Q560" s="983"/>
      <c r="R560" s="982"/>
      <c r="S560" s="980"/>
      <c r="T560" s="981" t="s">
        <v>632</v>
      </c>
      <c r="U560" s="983"/>
      <c r="V560" s="982"/>
      <c r="W560" s="980"/>
      <c r="X560" s="981" t="s">
        <v>632</v>
      </c>
      <c r="Y560" s="983"/>
      <c r="Z560" s="1412" t="str">
        <f>IFERROR(VLOOKUP(C560, [6]條件!$A:$L, 3, 0), "")</f>
        <v/>
      </c>
      <c r="AA560" s="984" t="str">
        <f>IF(OR(L560={"改紡","檢修","了機","清車","FINAL","停機","SAMPLE","TEST","絲開發"}), L560, IFERROR(IF(C560="", "", (SUM(J560, N560, R560, V560)/3 * AG560) * IF(AND(AF560="S", AS560="雙"), 0.5, 1)), ""))</f>
        <v>停機</v>
      </c>
      <c r="AB560" s="1413" t="str">
        <f t="shared" si="98"/>
        <v/>
      </c>
      <c r="AC560" s="984" t="str">
        <f>IF(OR(L560={"改紡","檢修","了機","清車","FINAL","停機","SAMPLE","TEST"}), "", IFERROR(IF(C560="", "", AVERAGE(L560:M560, P560:Q560, T560:U560, X560:Y560)/100), ""))</f>
        <v/>
      </c>
      <c r="AD560" s="984" t="str">
        <f t="shared" si="89"/>
        <v/>
      </c>
      <c r="AE560" s="984" t="str">
        <f t="shared" si="99"/>
        <v/>
      </c>
      <c r="AF560" s="985" t="str">
        <f t="shared" si="90"/>
        <v>M</v>
      </c>
      <c r="AG560" s="1414">
        <v>1</v>
      </c>
      <c r="AH560" s="981" t="s">
        <v>640</v>
      </c>
      <c r="AI560" s="986" t="s">
        <v>640</v>
      </c>
      <c r="AJ560" s="986" t="s">
        <v>640</v>
      </c>
      <c r="AK560" s="1417" t="s">
        <v>640</v>
      </c>
      <c r="AL560" s="1415"/>
      <c r="AM560" s="1323"/>
      <c r="AN560" s="1323"/>
      <c r="AO560" s="1323"/>
      <c r="AP560" s="1323"/>
      <c r="AQ560" s="1323"/>
      <c r="AR560" s="987"/>
      <c r="AS560" s="978" t="str">
        <f t="shared" si="91"/>
        <v>單</v>
      </c>
      <c r="AT560" s="978" t="str">
        <f t="shared" si="92"/>
        <v>全</v>
      </c>
      <c r="AU560" s="978" t="str">
        <f t="shared" si="93"/>
        <v/>
      </c>
      <c r="AV560" s="978" t="str">
        <f t="shared" si="94"/>
        <v/>
      </c>
    </row>
    <row r="561" spans="1:48">
      <c r="A561" s="975">
        <f t="shared" si="97"/>
        <v>46156</v>
      </c>
      <c r="B561" s="976" t="s">
        <v>247</v>
      </c>
      <c r="C561" s="988" t="s">
        <v>16185</v>
      </c>
      <c r="D561" s="1410"/>
      <c r="E561" s="977" t="str">
        <f>IFERROR(VLOOKUP(C561, [6]條件!$A:$L, 5, 0), "")</f>
        <v/>
      </c>
      <c r="F561" s="978" t="str">
        <f>IFERROR(VLOOKUP(C561, [6]條件!$A:$L, 6, 0), "")</f>
        <v/>
      </c>
      <c r="G561" s="1411" t="str">
        <f>IFERROR(VLOOKUP(C561, [6]條件!$A:$L, 7, 0), "")</f>
        <v/>
      </c>
      <c r="H561" s="978" t="str">
        <f>IF(ISNA(VLOOKUP(C561,[6]條件!$A$1:$K$932,11,0)),"",(VLOOKUP(C561,[6]條件!$A$1:$K$932,11,0)))</f>
        <v/>
      </c>
      <c r="I561" s="979" t="str">
        <f>IF(ISNA(VLOOKUP(C561,[6]條件!$A$1:$L$932,12,0)),"",(VLOOKUP(C561,[6]條件!$A$1:$L$932,12,0)))</f>
        <v/>
      </c>
      <c r="J561" s="982"/>
      <c r="K561" s="980"/>
      <c r="L561" s="981" t="s">
        <v>632</v>
      </c>
      <c r="M561" s="983"/>
      <c r="N561" s="982"/>
      <c r="O561" s="980"/>
      <c r="P561" s="981" t="s">
        <v>632</v>
      </c>
      <c r="Q561" s="983"/>
      <c r="R561" s="982"/>
      <c r="S561" s="980"/>
      <c r="T561" s="981" t="s">
        <v>632</v>
      </c>
      <c r="U561" s="983"/>
      <c r="V561" s="982"/>
      <c r="W561" s="980"/>
      <c r="X561" s="981" t="s">
        <v>632</v>
      </c>
      <c r="Y561" s="983"/>
      <c r="Z561" s="1412" t="str">
        <f>IFERROR(VLOOKUP(C561, [6]條件!$A:$L, 3, 0), "")</f>
        <v/>
      </c>
      <c r="AA561" s="984" t="str">
        <f>IF(OR(L561={"改紡","檢修","了機","清車","FINAL","停機","SAMPLE","TEST","絲開發"}), L561, IFERROR(IF(C561="", "", (SUM(J561, N561, R561, V561)/3 * AG561) * IF(AND(AF561="S", AS561="雙"), 0.5, 1)), ""))</f>
        <v>停機</v>
      </c>
      <c r="AB561" s="1413" t="str">
        <f t="shared" si="98"/>
        <v/>
      </c>
      <c r="AC561" s="984" t="str">
        <f>IF(OR(L561={"改紡","檢修","了機","清車","FINAL","停機","SAMPLE","TEST"}), "", IFERROR(IF(C561="", "", AVERAGE(L561:M561, P561:Q561, T561:U561, X561:Y561)/100), ""))</f>
        <v/>
      </c>
      <c r="AD561" s="984" t="str">
        <f t="shared" si="89"/>
        <v/>
      </c>
      <c r="AE561" s="984" t="str">
        <f t="shared" si="99"/>
        <v/>
      </c>
      <c r="AF561" s="985" t="str">
        <f t="shared" si="90"/>
        <v>M</v>
      </c>
      <c r="AG561" s="1414">
        <v>1</v>
      </c>
      <c r="AH561" s="981" t="s">
        <v>640</v>
      </c>
      <c r="AI561" s="986" t="s">
        <v>640</v>
      </c>
      <c r="AJ561" s="986" t="s">
        <v>640</v>
      </c>
      <c r="AK561" s="1417" t="s">
        <v>640</v>
      </c>
      <c r="AL561" s="1415"/>
      <c r="AM561" s="1323"/>
      <c r="AN561" s="1323"/>
      <c r="AO561" s="1323"/>
      <c r="AP561" s="1323"/>
      <c r="AQ561" s="1323"/>
      <c r="AR561" s="987"/>
      <c r="AS561" s="978" t="str">
        <f t="shared" si="91"/>
        <v>單</v>
      </c>
      <c r="AT561" s="978" t="str">
        <f t="shared" si="92"/>
        <v>全</v>
      </c>
      <c r="AU561" s="978" t="str">
        <f t="shared" si="93"/>
        <v/>
      </c>
      <c r="AV561" s="978" t="str">
        <f t="shared" si="94"/>
        <v/>
      </c>
    </row>
    <row r="562" spans="1:48">
      <c r="A562" s="975">
        <f t="shared" si="97"/>
        <v>46156</v>
      </c>
      <c r="B562" s="976" t="s">
        <v>248</v>
      </c>
      <c r="C562" s="988" t="s">
        <v>16185</v>
      </c>
      <c r="D562" s="1410"/>
      <c r="E562" s="977" t="str">
        <f>IFERROR(VLOOKUP(C562, [6]條件!$A:$L, 5, 0), "")</f>
        <v/>
      </c>
      <c r="F562" s="978" t="str">
        <f>IFERROR(VLOOKUP(C562, [6]條件!$A:$L, 6, 0), "")</f>
        <v/>
      </c>
      <c r="G562" s="1411" t="str">
        <f>IFERROR(VLOOKUP(C562, [6]條件!$A:$L, 7, 0), "")</f>
        <v/>
      </c>
      <c r="H562" s="978" t="str">
        <f>IF(ISNA(VLOOKUP(C562,[6]條件!$A$1:$K$932,11,0)),"",(VLOOKUP(C562,[6]條件!$A$1:$K$932,11,0)))</f>
        <v/>
      </c>
      <c r="I562" s="979" t="str">
        <f>IF(ISNA(VLOOKUP(C562,[6]條件!$A$1:$L$932,12,0)),"",(VLOOKUP(C562,[6]條件!$A$1:$L$932,12,0)))</f>
        <v/>
      </c>
      <c r="J562" s="982"/>
      <c r="K562" s="980"/>
      <c r="L562" s="981" t="s">
        <v>632</v>
      </c>
      <c r="M562" s="983"/>
      <c r="N562" s="982"/>
      <c r="O562" s="980"/>
      <c r="P562" s="981" t="s">
        <v>632</v>
      </c>
      <c r="Q562" s="983"/>
      <c r="R562" s="982"/>
      <c r="S562" s="980"/>
      <c r="T562" s="981" t="s">
        <v>632</v>
      </c>
      <c r="U562" s="983"/>
      <c r="V562" s="982"/>
      <c r="W562" s="980"/>
      <c r="X562" s="981" t="s">
        <v>632</v>
      </c>
      <c r="Y562" s="983"/>
      <c r="Z562" s="1412" t="str">
        <f>IFERROR(VLOOKUP(C562, [6]條件!$A:$L, 3, 0), "")</f>
        <v/>
      </c>
      <c r="AA562" s="984" t="str">
        <f>IF(OR(L562={"改紡","檢修","了機","清車","FINAL","停機","SAMPLE","TEST","絲開發"}), L562, IFERROR(IF(C562="", "", (SUM(J562, N562, R562, V562)/3 * AG562) * IF(AND(AF562="S", AS562="雙"), 0.5, 1)), ""))</f>
        <v>停機</v>
      </c>
      <c r="AB562" s="1413" t="str">
        <f t="shared" si="98"/>
        <v/>
      </c>
      <c r="AC562" s="984" t="str">
        <f>IF(OR(L562={"改紡","檢修","了機","清車","FINAL","停機","SAMPLE","TEST"}), "", IFERROR(IF(C562="", "", AVERAGE(L562:M562, P562:Q562, T562:U562, X562:Y562)/100), ""))</f>
        <v/>
      </c>
      <c r="AD562" s="984" t="str">
        <f t="shared" si="89"/>
        <v/>
      </c>
      <c r="AE562" s="984" t="str">
        <f t="shared" si="99"/>
        <v/>
      </c>
      <c r="AF562" s="985" t="str">
        <f t="shared" si="90"/>
        <v>M</v>
      </c>
      <c r="AG562" s="1414">
        <v>1</v>
      </c>
      <c r="AH562" s="981" t="s">
        <v>640</v>
      </c>
      <c r="AI562" s="986" t="s">
        <v>640</v>
      </c>
      <c r="AJ562" s="986" t="s">
        <v>640</v>
      </c>
      <c r="AK562" s="1417" t="s">
        <v>640</v>
      </c>
      <c r="AL562" s="1415"/>
      <c r="AM562" s="1323"/>
      <c r="AN562" s="1323"/>
      <c r="AO562" s="1323"/>
      <c r="AP562" s="1323"/>
      <c r="AQ562" s="1323"/>
      <c r="AR562" s="987"/>
      <c r="AS562" s="978" t="str">
        <f t="shared" si="91"/>
        <v>單</v>
      </c>
      <c r="AT562" s="978" t="str">
        <f t="shared" si="92"/>
        <v>全</v>
      </c>
      <c r="AU562" s="978" t="str">
        <f t="shared" si="93"/>
        <v/>
      </c>
      <c r="AV562" s="978" t="str">
        <f t="shared" si="94"/>
        <v/>
      </c>
    </row>
    <row r="563" spans="1:48" ht="17.25" thickBot="1">
      <c r="A563" s="989">
        <f t="shared" si="97"/>
        <v>46156</v>
      </c>
      <c r="B563" s="990" t="s">
        <v>249</v>
      </c>
      <c r="C563" s="991" t="s">
        <v>16185</v>
      </c>
      <c r="D563" s="1425"/>
      <c r="E563" s="1169" t="str">
        <f>IFERROR(VLOOKUP(C563, [6]條件!$A:$L, 5, 0), "")</f>
        <v/>
      </c>
      <c r="F563" s="992" t="str">
        <f>IFERROR(VLOOKUP(C563, [6]條件!$A:$L, 6, 0), "")</f>
        <v/>
      </c>
      <c r="G563" s="1426" t="str">
        <f>IFERROR(VLOOKUP(C563, [6]條件!$A:$L, 7, 0), "")</f>
        <v/>
      </c>
      <c r="H563" s="992" t="str">
        <f>IF(ISNA(VLOOKUP(C563,[6]條件!$A$1:$K$932,11,0)),"",(VLOOKUP(C563,[6]條件!$A$1:$K$932,11,0)))</f>
        <v/>
      </c>
      <c r="I563" s="1170" t="str">
        <f>IF(ISNA(VLOOKUP(C563,[6]條件!$A$1:$L$932,12,0)),"",(VLOOKUP(C563,[6]條件!$A$1:$L$932,12,0)))</f>
        <v/>
      </c>
      <c r="J563" s="995"/>
      <c r="K563" s="993"/>
      <c r="L563" s="994" t="s">
        <v>632</v>
      </c>
      <c r="M563" s="996"/>
      <c r="N563" s="995"/>
      <c r="O563" s="993"/>
      <c r="P563" s="994" t="s">
        <v>632</v>
      </c>
      <c r="Q563" s="996"/>
      <c r="R563" s="995"/>
      <c r="S563" s="993"/>
      <c r="T563" s="994" t="s">
        <v>632</v>
      </c>
      <c r="U563" s="996"/>
      <c r="V563" s="995"/>
      <c r="W563" s="993"/>
      <c r="X563" s="994" t="s">
        <v>632</v>
      </c>
      <c r="Y563" s="996"/>
      <c r="Z563" s="1427" t="str">
        <f>IFERROR(VLOOKUP(C563, [6]條件!$A:$L, 3, 0), "")</f>
        <v/>
      </c>
      <c r="AA563" s="997" t="str">
        <f>IF(OR(L563={"改紡","檢修","了機","清車","FINAL","停機","SAMPLE","TEST","絲開發"}), L563, IFERROR(IF(C563="", "", (SUM(J563, N563, R563, V563)/3 * AG563) * IF(AND(AF563="S", AS563="雙"), 0.5, 1)), ""))</f>
        <v>停機</v>
      </c>
      <c r="AB563" s="1428" t="str">
        <f t="shared" si="98"/>
        <v/>
      </c>
      <c r="AC563" s="997" t="str">
        <f>IF(OR(L563={"改紡","檢修","了機","清車","FINAL","停機","SAMPLE","TEST"}), "", IFERROR(IF(C563="", "", AVERAGE(L563:M563, P563:Q563, T563:U563, X563:Y563)/100), ""))</f>
        <v/>
      </c>
      <c r="AD563" s="997" t="str">
        <f t="shared" si="89"/>
        <v/>
      </c>
      <c r="AE563" s="997" t="str">
        <f t="shared" si="99"/>
        <v/>
      </c>
      <c r="AF563" s="998" t="str">
        <f t="shared" si="90"/>
        <v>M</v>
      </c>
      <c r="AG563" s="1429">
        <v>1</v>
      </c>
      <c r="AH563" s="994" t="s">
        <v>640</v>
      </c>
      <c r="AI563" s="999" t="s">
        <v>640</v>
      </c>
      <c r="AJ563" s="999" t="s">
        <v>640</v>
      </c>
      <c r="AK563" s="1430" t="s">
        <v>640</v>
      </c>
      <c r="AL563" s="1431"/>
      <c r="AM563" s="1325"/>
      <c r="AN563" s="1325"/>
      <c r="AO563" s="1325"/>
      <c r="AP563" s="1325"/>
      <c r="AQ563" s="1325"/>
      <c r="AR563" s="1000"/>
      <c r="AS563" s="992" t="str">
        <f t="shared" si="91"/>
        <v>單</v>
      </c>
      <c r="AT563" s="992" t="str">
        <f t="shared" si="92"/>
        <v>全</v>
      </c>
      <c r="AU563" s="992" t="str">
        <f t="shared" si="93"/>
        <v/>
      </c>
      <c r="AV563" s="992" t="str">
        <f t="shared" si="94"/>
        <v/>
      </c>
    </row>
    <row r="564" spans="1:48">
      <c r="A564" s="962">
        <v>46157</v>
      </c>
      <c r="B564" s="963" t="s">
        <v>212</v>
      </c>
      <c r="C564" s="963" t="s">
        <v>632</v>
      </c>
      <c r="D564" s="1403"/>
      <c r="E564" s="964" t="str">
        <f>IFERROR(VLOOKUP(C564, [6]條件!$A:$L, 5, 0), "")</f>
        <v/>
      </c>
      <c r="F564" s="965" t="str">
        <f>IFERROR(VLOOKUP(C564, [6]條件!$A:$L, 6, 0), "")</f>
        <v/>
      </c>
      <c r="G564" s="1404" t="str">
        <f>IFERROR(VLOOKUP(C564, [6]條件!$A:$L, 7, 0), "")</f>
        <v/>
      </c>
      <c r="H564" s="965" t="str">
        <f>IF(ISNA(VLOOKUP(C564,[6]條件!$A$1:$K$932,11,0)),"",(VLOOKUP(C564,[6]條件!$A$1:$K$932,11,0)))</f>
        <v/>
      </c>
      <c r="I564" s="966" t="str">
        <f>IF(ISNA(VLOOKUP(C564,[6]條件!$A$1:$L$932,12,0)),"",(VLOOKUP(C564,[6]條件!$A$1:$L$932,12,0)))</f>
        <v/>
      </c>
      <c r="J564" s="969"/>
      <c r="K564" s="967"/>
      <c r="L564" s="981" t="s">
        <v>632</v>
      </c>
      <c r="M564" s="970"/>
      <c r="N564" s="969"/>
      <c r="O564" s="967"/>
      <c r="P564" s="981" t="s">
        <v>632</v>
      </c>
      <c r="Q564" s="970"/>
      <c r="R564" s="969"/>
      <c r="S564" s="967"/>
      <c r="T564" s="981" t="s">
        <v>632</v>
      </c>
      <c r="U564" s="970"/>
      <c r="V564" s="969"/>
      <c r="W564" s="967"/>
      <c r="X564" s="981" t="s">
        <v>632</v>
      </c>
      <c r="Y564" s="970"/>
      <c r="Z564" s="1405" t="str">
        <f>IFERROR(VLOOKUP(C564, [6]條件!$A:$L, 3, 0), "")</f>
        <v/>
      </c>
      <c r="AA564" s="971" t="str">
        <f>IF(OR(L564={"改紡","檢修","了機","清車","FINAL","停機","SAMPLE","TEST","絲開發"}), L564, IFERROR(IF(C564="", "", (SUM(J564, N564, R564, V564)/3 * AG564) * IF(AND(AF564="S", AS564="雙"), 0.5, 1)), ""))</f>
        <v>停機</v>
      </c>
      <c r="AB564" s="1406" t="str">
        <f t="shared" si="98"/>
        <v/>
      </c>
      <c r="AC564" s="971" t="str">
        <f>IF(OR(L564={"改紡","檢修","了機","清車","FINAL","停機","SAMPLE","TEST"}), "", IFERROR(IF(C564="", "", AVERAGE(L564:M564, P564:Q564, T564:U564, X564:Y564)/100), ""))</f>
        <v/>
      </c>
      <c r="AD564" s="971" t="str">
        <f t="shared" si="89"/>
        <v/>
      </c>
      <c r="AE564" s="971" t="str">
        <f t="shared" si="99"/>
        <v/>
      </c>
      <c r="AF564" s="972" t="str">
        <f t="shared" si="90"/>
        <v>A</v>
      </c>
      <c r="AG564" s="1407">
        <v>1</v>
      </c>
      <c r="AH564" s="968" t="s">
        <v>640</v>
      </c>
      <c r="AI564" s="1438" t="s">
        <v>640</v>
      </c>
      <c r="AJ564" s="1166" t="s">
        <v>640</v>
      </c>
      <c r="AK564" s="1408" t="s">
        <v>640</v>
      </c>
      <c r="AL564" s="1409"/>
      <c r="AM564" s="1322"/>
      <c r="AN564" s="1322"/>
      <c r="AO564" s="1322"/>
      <c r="AP564" s="1322"/>
      <c r="AQ564" s="1322"/>
      <c r="AR564" s="973"/>
      <c r="AS564" s="965" t="str">
        <f t="shared" si="91"/>
        <v>單</v>
      </c>
      <c r="AT564" s="965" t="str">
        <f t="shared" si="92"/>
        <v>全</v>
      </c>
      <c r="AU564" s="965" t="str">
        <f t="shared" si="93"/>
        <v/>
      </c>
      <c r="AV564" s="965" t="str">
        <f t="shared" si="94"/>
        <v/>
      </c>
    </row>
    <row r="565" spans="1:48">
      <c r="A565" s="975">
        <f t="shared" ref="A565:A602" si="100">A564</f>
        <v>46157</v>
      </c>
      <c r="B565" s="976" t="s">
        <v>214</v>
      </c>
      <c r="C565" s="976" t="s">
        <v>16708</v>
      </c>
      <c r="D565" s="1410"/>
      <c r="E565" s="977" t="str">
        <f>IFERROR(VLOOKUP(C565, [6]條件!$A:$L, 5, 0), "")</f>
        <v>75/36SDR</v>
      </c>
      <c r="F565" s="978" t="str">
        <f>IFERROR(VLOOKUP(C565, [6]條件!$A:$L, 6, 0), "")</f>
        <v>FP81386R</v>
      </c>
      <c r="G565" s="1411">
        <f>IFERROR(VLOOKUP(C565, [6]條件!$A:$L, 7, 0), "")</f>
        <v>780</v>
      </c>
      <c r="H565" s="978" t="str">
        <f>IF(ISNA(VLOOKUP(C565,[6]條件!$A$1:$K$932,11,0)),"",(VLOOKUP(C565,[6]條件!$A$1:$K$932,11,0)))</f>
        <v>綠底白點</v>
      </c>
      <c r="I565" s="979">
        <f>IF(ISNA(VLOOKUP(C565,[6]條件!$A$1:$L$932,12,0)),"",(VLOOKUP(C565,[6]條件!$A$1:$L$932,12,0)))</f>
        <v>5</v>
      </c>
      <c r="J565" s="982">
        <v>12</v>
      </c>
      <c r="K565" s="980">
        <v>0</v>
      </c>
      <c r="L565" s="981">
        <v>8781</v>
      </c>
      <c r="M565" s="983">
        <v>8396</v>
      </c>
      <c r="N565" s="982">
        <v>7</v>
      </c>
      <c r="O565" s="980">
        <v>0</v>
      </c>
      <c r="P565" s="981">
        <v>8702</v>
      </c>
      <c r="Q565" s="983">
        <v>8335</v>
      </c>
      <c r="R565" s="982">
        <v>5</v>
      </c>
      <c r="S565" s="980">
        <v>0</v>
      </c>
      <c r="T565" s="981">
        <v>8740</v>
      </c>
      <c r="U565" s="983">
        <v>8370</v>
      </c>
      <c r="V565" s="982">
        <v>11</v>
      </c>
      <c r="W565" s="980">
        <v>0</v>
      </c>
      <c r="X565" s="981">
        <v>8693</v>
      </c>
      <c r="Y565" s="983">
        <v>8386</v>
      </c>
      <c r="Z565" s="1412">
        <f>IFERROR(VLOOKUP(C565, [6]條件!$A:$L, 3, 0), "")</f>
        <v>1.7777777777777777</v>
      </c>
      <c r="AA565" s="984">
        <f>IF(OR(L565={"改紡","檢修","了機","清車","FINAL","停機","SAMPLE","TEST","絲開發"}), L565, IFERROR(IF(C565="", "", (SUM(J565, N565, R565, V565)/3 * AG565) * IF(AND(AF565="S", AS565="雙"), 0.5, 1)), ""))</f>
        <v>11.666666666666666</v>
      </c>
      <c r="AB565" s="1413">
        <f t="shared" si="98"/>
        <v>1</v>
      </c>
      <c r="AC565" s="984">
        <f>IF(OR(L565={"改紡","檢修","了機","清車","FINAL","停機","SAMPLE","TEST"}), "", IFERROR(IF(C565="", "", AVERAGE(L565:M565, P565:Q565, T565:U565, X565:Y565)/100), ""))</f>
        <v>85.503749999999997</v>
      </c>
      <c r="AD565" s="984">
        <f t="shared" si="89"/>
        <v>1.4583333333333333</v>
      </c>
      <c r="AE565" s="984">
        <f t="shared" si="99"/>
        <v>1.4583333333333333</v>
      </c>
      <c r="AF565" s="985" t="str">
        <f t="shared" si="90"/>
        <v>A</v>
      </c>
      <c r="AG565" s="1414">
        <v>1</v>
      </c>
      <c r="AH565" s="981" t="s">
        <v>16154</v>
      </c>
      <c r="AI565" s="986" t="s">
        <v>16154</v>
      </c>
      <c r="AJ565" s="986" t="s">
        <v>634</v>
      </c>
      <c r="AK565" s="1417" t="s">
        <v>634</v>
      </c>
      <c r="AL565" s="1415">
        <v>50</v>
      </c>
      <c r="AM565" s="1323">
        <v>46151</v>
      </c>
      <c r="AN565" s="1323">
        <v>46152</v>
      </c>
      <c r="AO565" s="1323"/>
      <c r="AP565" s="1323"/>
      <c r="AQ565" s="1323"/>
      <c r="AR565" s="987"/>
      <c r="AS565" s="978" t="str">
        <f t="shared" si="91"/>
        <v>單</v>
      </c>
      <c r="AT565" s="978" t="str">
        <f t="shared" si="92"/>
        <v>全</v>
      </c>
      <c r="AU565" s="978">
        <f t="shared" si="93"/>
        <v>75</v>
      </c>
      <c r="AV565" s="978">
        <f t="shared" si="94"/>
        <v>1.7286806160000001</v>
      </c>
    </row>
    <row r="566" spans="1:48">
      <c r="A566" s="975">
        <f t="shared" si="100"/>
        <v>46157</v>
      </c>
      <c r="B566" s="976" t="s">
        <v>215</v>
      </c>
      <c r="C566" s="976" t="s">
        <v>16746</v>
      </c>
      <c r="D566" s="1410" t="s">
        <v>633</v>
      </c>
      <c r="E566" s="977" t="str">
        <f>IFERROR(VLOOKUP(C566, [6]條件!$A:$L, 5, 0), "")</f>
        <v>75/24/2SDr</v>
      </c>
      <c r="F566" s="978" t="str">
        <f>IFERROR(VLOOKUP(C566, [6]條件!$A:$L, 6, 0), "")</f>
        <v>FP81391R×2</v>
      </c>
      <c r="G566" s="1411">
        <f>IFERROR(VLOOKUP(C566, [6]條件!$A:$L, 7, 0), "")</f>
        <v>700</v>
      </c>
      <c r="H566" s="978" t="str">
        <f>IF(ISNA(VLOOKUP(C566,[6]條件!$A$1:$K$932,11,0)),"",(VLOOKUP(C566,[6]條件!$A$1:$K$932,11,0)))</f>
        <v>紅底白點</v>
      </c>
      <c r="I566" s="979">
        <f>IF(ISNA(VLOOKUP(C566,[6]條件!$A$1:$L$932,12,0)),"",(VLOOKUP(C566,[6]條件!$A$1:$L$932,12,0)))</f>
        <v>5</v>
      </c>
      <c r="J566" s="982">
        <v>26</v>
      </c>
      <c r="K566" s="980">
        <v>0</v>
      </c>
      <c r="L566" s="981"/>
      <c r="M566" s="983">
        <v>7906</v>
      </c>
      <c r="N566" s="982">
        <v>10</v>
      </c>
      <c r="O566" s="980">
        <v>0</v>
      </c>
      <c r="P566" s="981" t="s">
        <v>632</v>
      </c>
      <c r="Q566" s="983">
        <v>7322</v>
      </c>
      <c r="R566" s="982">
        <v>18</v>
      </c>
      <c r="S566" s="980">
        <v>0</v>
      </c>
      <c r="T566" s="981" t="s">
        <v>632</v>
      </c>
      <c r="U566" s="983">
        <v>7334</v>
      </c>
      <c r="V566" s="982">
        <v>22</v>
      </c>
      <c r="W566" s="980">
        <v>0</v>
      </c>
      <c r="X566" s="981" t="s">
        <v>632</v>
      </c>
      <c r="Y566" s="983">
        <v>7291</v>
      </c>
      <c r="Z566" s="1412">
        <f>IFERROR(VLOOKUP(C566, [6]條件!$A:$L, 3, 0), "")</f>
        <v>3.2653061224489797</v>
      </c>
      <c r="AA566" s="984">
        <f>IF(OR(L566={"改紡","檢修","了機","清車","FINAL","停機","SAMPLE","TEST","絲開發"}), L566, IFERROR(IF(C566="", "", (SUM(J566, N566, R566, V566)/3 * AG566) * IF(AND(AF566="S", AS566="雙"), 0.5, 1)), ""))</f>
        <v>25.333333333333332</v>
      </c>
      <c r="AB566" s="1413">
        <f t="shared" si="98"/>
        <v>1</v>
      </c>
      <c r="AC566" s="984">
        <f>IF(OR(L566={"改紡","檢修","了機","清車","FINAL","停機","SAMPLE","TEST"}), "", IFERROR(IF(C566="", "", AVERAGE(L566:M566, P566:Q566, T566:U566, X566:Y566)/100), ""))</f>
        <v>74.632499999999993</v>
      </c>
      <c r="AD566" s="984">
        <f t="shared" si="89"/>
        <v>3.1666666666666665</v>
      </c>
      <c r="AE566" s="984">
        <f t="shared" si="99"/>
        <v>3.1666666666666665</v>
      </c>
      <c r="AF566" s="985" t="str">
        <f t="shared" si="90"/>
        <v>A</v>
      </c>
      <c r="AG566" s="1414">
        <v>1</v>
      </c>
      <c r="AH566" s="981" t="s">
        <v>16154</v>
      </c>
      <c r="AI566" s="986" t="s">
        <v>16154</v>
      </c>
      <c r="AJ566" s="986" t="s">
        <v>634</v>
      </c>
      <c r="AK566" s="1417" t="s">
        <v>634</v>
      </c>
      <c r="AL566" s="1415">
        <v>53</v>
      </c>
      <c r="AM566" s="1323">
        <v>46121</v>
      </c>
      <c r="AN566" s="1323">
        <v>46123</v>
      </c>
      <c r="AO566" s="1323"/>
      <c r="AP566" s="1323"/>
      <c r="AQ566" s="1323"/>
      <c r="AR566" s="987"/>
      <c r="AS566" s="978" t="str">
        <f t="shared" si="91"/>
        <v>雙</v>
      </c>
      <c r="AT566" s="978" t="str">
        <f t="shared" si="92"/>
        <v>半</v>
      </c>
      <c r="AU566" s="978">
        <f t="shared" si="93"/>
        <v>75</v>
      </c>
      <c r="AV566" s="978">
        <f t="shared" si="94"/>
        <v>0.67706603999999992</v>
      </c>
    </row>
    <row r="567" spans="1:48">
      <c r="A567" s="975">
        <f t="shared" si="100"/>
        <v>46157</v>
      </c>
      <c r="B567" s="976" t="s">
        <v>216</v>
      </c>
      <c r="C567" s="976" t="s">
        <v>16764</v>
      </c>
      <c r="D567" s="1410"/>
      <c r="E567" s="977" t="str">
        <f>IFERROR(VLOOKUP(C567, [6]條件!$A:$L, 5, 0), "")</f>
        <v>150/48BK42</v>
      </c>
      <c r="F567" s="978" t="str">
        <f>IFERROR(VLOOKUP(C567, [6]條件!$A:$L, 6, 0), "")</f>
        <v>FP02421</v>
      </c>
      <c r="G567" s="1411">
        <f>IFERROR(VLOOKUP(C567, [6]條件!$A:$L, 7, 0), "")</f>
        <v>600</v>
      </c>
      <c r="H567" s="978" t="str">
        <f>IF(ISNA(VLOOKUP(C567,[6]條件!$A$1:$K$932,11,0)),"",(VLOOKUP(C567,[6]條件!$A$1:$K$932,11,0)))</f>
        <v>白桔方塊</v>
      </c>
      <c r="I567" s="979">
        <f>IF(ISNA(VLOOKUP(C567,[6]條件!$A$1:$L$932,12,0)),"",(VLOOKUP(C567,[6]條件!$A$1:$L$932,12,0)))</f>
        <v>5</v>
      </c>
      <c r="J567" s="982">
        <v>15</v>
      </c>
      <c r="K567" s="980">
        <v>3</v>
      </c>
      <c r="L567" s="981">
        <v>9203</v>
      </c>
      <c r="M567" s="983" t="s">
        <v>632</v>
      </c>
      <c r="N567" s="982">
        <v>6</v>
      </c>
      <c r="O567" s="980">
        <v>0</v>
      </c>
      <c r="P567" s="981">
        <v>9212</v>
      </c>
      <c r="Q567" s="983" t="s">
        <v>632</v>
      </c>
      <c r="R567" s="982">
        <v>3</v>
      </c>
      <c r="S567" s="980">
        <v>0</v>
      </c>
      <c r="T567" s="981">
        <v>9237</v>
      </c>
      <c r="U567" s="983" t="s">
        <v>632</v>
      </c>
      <c r="V567" s="982">
        <v>12</v>
      </c>
      <c r="W567" s="980">
        <v>0</v>
      </c>
      <c r="X567" s="981">
        <v>9125</v>
      </c>
      <c r="Y567" s="983" t="s">
        <v>632</v>
      </c>
      <c r="Z567" s="1412">
        <f>IFERROR(VLOOKUP(C567, [6]條件!$A:$L, 3, 0), "")</f>
        <v>2.8346456692913384</v>
      </c>
      <c r="AA567" s="984">
        <f>IF(OR(L567={"改紡","檢修","了機","清車","FINAL","停機","SAMPLE","TEST","絲開發"}), L567, IFERROR(IF(C567="", "", (SUM(J567, N567, R567, V567)/3 * AG567) * IF(AND(AF567="S", AS567="雙"), 0.5, 1)), ""))</f>
        <v>24</v>
      </c>
      <c r="AB567" s="1413">
        <f t="shared" si="98"/>
        <v>0.99491185897435896</v>
      </c>
      <c r="AC567" s="984">
        <f>IF(OR(L567={"改紡","檢修","了機","清車","FINAL","停機","SAMPLE","TEST"}), "", IFERROR(IF(C567="", "", AVERAGE(L567:M567, P567:Q567, T567:U567, X567:Y567)/100), ""))</f>
        <v>91.942499999999995</v>
      </c>
      <c r="AD567" s="984">
        <f t="shared" si="89"/>
        <v>3</v>
      </c>
      <c r="AE567" s="984">
        <f t="shared" si="99"/>
        <v>2.75</v>
      </c>
      <c r="AF567" s="985" t="str">
        <f t="shared" si="90"/>
        <v>A</v>
      </c>
      <c r="AG567" s="1414">
        <v>2</v>
      </c>
      <c r="AH567" s="981" t="s">
        <v>631</v>
      </c>
      <c r="AI567" s="986" t="s">
        <v>631</v>
      </c>
      <c r="AJ567" s="986" t="s">
        <v>725</v>
      </c>
      <c r="AK567" s="1417" t="s">
        <v>725</v>
      </c>
      <c r="AL567" s="1415">
        <v>52</v>
      </c>
      <c r="AM567" s="1323">
        <v>46151</v>
      </c>
      <c r="AN567" s="1323">
        <v>46152</v>
      </c>
      <c r="AO567" s="1323">
        <v>46153</v>
      </c>
      <c r="AP567" s="1323"/>
      <c r="AQ567" s="1323"/>
      <c r="AR567" s="987"/>
      <c r="AS567" s="978" t="str">
        <f t="shared" si="91"/>
        <v>單</v>
      </c>
      <c r="AT567" s="978" t="str">
        <f t="shared" si="92"/>
        <v>半</v>
      </c>
      <c r="AU567" s="978">
        <f t="shared" si="93"/>
        <v>150</v>
      </c>
      <c r="AV567" s="978">
        <f t="shared" si="94"/>
        <v>1.42988976</v>
      </c>
    </row>
    <row r="568" spans="1:48">
      <c r="A568" s="975">
        <f t="shared" si="100"/>
        <v>46157</v>
      </c>
      <c r="B568" s="976" t="s">
        <v>217</v>
      </c>
      <c r="C568" s="976" t="s">
        <v>16197</v>
      </c>
      <c r="D568" s="1410"/>
      <c r="E568" s="977" t="str">
        <f>IFERROR(VLOOKUP(C568, [6]條件!$A:$L, 5, 0), "")</f>
        <v>75/36HC</v>
      </c>
      <c r="F568" s="978" t="str">
        <f>IFERROR(VLOOKUP(C568, [6]條件!$A:$L, 6, 0), "")</f>
        <v>FP81857R</v>
      </c>
      <c r="G568" s="1411">
        <f>IFERROR(VLOOKUP(C568, [6]條件!$A:$L, 7, 0), "")</f>
        <v>600</v>
      </c>
      <c r="H568" s="978" t="str">
        <f>IF(ISNA(VLOOKUP(C568,[6]條件!$A$1:$K$932,11,0)),"",(VLOOKUP(C568,[6]條件!$A$1:$K$932,11,0)))</f>
        <v>白底綠方塊</v>
      </c>
      <c r="I568" s="979">
        <f>IF(ISNA(VLOOKUP(C568,[6]條件!$A$1:$L$932,12,0)),"",(VLOOKUP(C568,[6]條件!$A$1:$L$932,12,0)))</f>
        <v>4</v>
      </c>
      <c r="J568" s="982">
        <v>19</v>
      </c>
      <c r="K568" s="980">
        <v>0</v>
      </c>
      <c r="L568" s="981">
        <v>8268</v>
      </c>
      <c r="M568" s="983">
        <v>8788</v>
      </c>
      <c r="N568" s="982">
        <v>10</v>
      </c>
      <c r="O568" s="980">
        <v>0</v>
      </c>
      <c r="P568" s="981">
        <v>8309</v>
      </c>
      <c r="Q568" s="983">
        <v>8791</v>
      </c>
      <c r="R568" s="982">
        <v>10</v>
      </c>
      <c r="S568" s="980">
        <v>0</v>
      </c>
      <c r="T568" s="981">
        <v>8255</v>
      </c>
      <c r="U568" s="983">
        <v>8737</v>
      </c>
      <c r="V568" s="982">
        <v>38</v>
      </c>
      <c r="W568" s="980">
        <v>0</v>
      </c>
      <c r="X568" s="981">
        <v>8165</v>
      </c>
      <c r="Y568" s="983">
        <v>8572</v>
      </c>
      <c r="Z568" s="1412">
        <f>IFERROR(VLOOKUP(C568, [6]條件!$A:$L, 3, 0), "")</f>
        <v>1.7496962332928312</v>
      </c>
      <c r="AA568" s="984">
        <f>IF(OR(L568={"改紡","檢修","了機","清車","FINAL","停機","SAMPLE","TEST","絲開發"}), L568, IFERROR(IF(C568="", "", (SUM(J568, N568, R568, V568)/3 * AG568) * IF(AND(AF568="S", AS568="雙"), 0.5, 1)), ""))</f>
        <v>25.666666666666668</v>
      </c>
      <c r="AB568" s="1413">
        <f t="shared" si="98"/>
        <v>1</v>
      </c>
      <c r="AC568" s="984">
        <f>IF(OR(L568={"改紡","檢修","了機","清車","FINAL","停機","SAMPLE","TEST"}), "", IFERROR(IF(C568="", "", AVERAGE(L568:M568, P568:Q568, T568:U568, X568:Y568)/100), ""))</f>
        <v>84.856250000000003</v>
      </c>
      <c r="AD568" s="984">
        <f t="shared" si="89"/>
        <v>3.2083333333333335</v>
      </c>
      <c r="AE568" s="984">
        <f t="shared" si="99"/>
        <v>3.2083333333333335</v>
      </c>
      <c r="AF568" s="985" t="str">
        <f t="shared" si="90"/>
        <v>A</v>
      </c>
      <c r="AG568" s="1414">
        <v>1</v>
      </c>
      <c r="AH568" s="981" t="s">
        <v>631</v>
      </c>
      <c r="AI568" s="986" t="s">
        <v>631</v>
      </c>
      <c r="AJ568" s="986" t="s">
        <v>725</v>
      </c>
      <c r="AK568" s="1417" t="s">
        <v>725</v>
      </c>
      <c r="AL568" s="1415">
        <v>54</v>
      </c>
      <c r="AM568" s="1323">
        <v>45939</v>
      </c>
      <c r="AN568" s="1323">
        <v>45940</v>
      </c>
      <c r="AO568" s="1323">
        <v>45942</v>
      </c>
      <c r="AP568" s="1323">
        <v>45943</v>
      </c>
      <c r="AQ568" s="1323">
        <v>45945</v>
      </c>
      <c r="AR568" s="987"/>
      <c r="AS568" s="978" t="str">
        <f t="shared" si="91"/>
        <v>單</v>
      </c>
      <c r="AT568" s="978" t="str">
        <f t="shared" si="92"/>
        <v>全</v>
      </c>
      <c r="AU568" s="978">
        <f t="shared" si="93"/>
        <v>75</v>
      </c>
      <c r="AV568" s="978">
        <f t="shared" si="94"/>
        <v>1.3196844000000001</v>
      </c>
    </row>
    <row r="569" spans="1:48">
      <c r="A569" s="975">
        <f t="shared" si="100"/>
        <v>46157</v>
      </c>
      <c r="B569" s="976" t="s">
        <v>218</v>
      </c>
      <c r="C569" s="976" t="s">
        <v>632</v>
      </c>
      <c r="D569" s="1410"/>
      <c r="E569" s="977" t="str">
        <f>IFERROR(VLOOKUP(C569, [6]條件!$A:$L, 5, 0), "")</f>
        <v/>
      </c>
      <c r="F569" s="978" t="str">
        <f>IFERROR(VLOOKUP(C569, [6]條件!$A:$L, 6, 0), "")</f>
        <v/>
      </c>
      <c r="G569" s="1411" t="str">
        <f>IFERROR(VLOOKUP(C569, [6]條件!$A:$L, 7, 0), "")</f>
        <v/>
      </c>
      <c r="H569" s="978" t="str">
        <f>IF(ISNA(VLOOKUP(C569,[6]條件!$A$1:$K$932,11,0)),"",(VLOOKUP(C569,[6]條件!$A$1:$K$932,11,0)))</f>
        <v/>
      </c>
      <c r="I569" s="979" t="str">
        <f>IF(ISNA(VLOOKUP(C569,[6]條件!$A$1:$L$932,12,0)),"",(VLOOKUP(C569,[6]條件!$A$1:$L$932,12,0)))</f>
        <v/>
      </c>
      <c r="J569" s="982"/>
      <c r="K569" s="980"/>
      <c r="L569" s="981" t="s">
        <v>632</v>
      </c>
      <c r="M569" s="983"/>
      <c r="N569" s="982"/>
      <c r="O569" s="980"/>
      <c r="P569" s="981" t="s">
        <v>632</v>
      </c>
      <c r="Q569" s="983"/>
      <c r="R569" s="982"/>
      <c r="S569" s="980"/>
      <c r="T569" s="981" t="s">
        <v>632</v>
      </c>
      <c r="U569" s="983"/>
      <c r="V569" s="982"/>
      <c r="W569" s="980"/>
      <c r="X569" s="981" t="s">
        <v>632</v>
      </c>
      <c r="Y569" s="983"/>
      <c r="Z569" s="1412" t="str">
        <f>IFERROR(VLOOKUP(C569, [6]條件!$A:$L, 3, 0), "")</f>
        <v/>
      </c>
      <c r="AA569" s="984" t="str">
        <f>IF(OR(L569={"改紡","檢修","了機","清車","FINAL","停機","SAMPLE","TEST","絲開發"}), L569, IFERROR(IF(C569="", "", (SUM(J569, N569, R569, V569)/3 * AG569) * IF(AND(AF569="S", AS569="雙"), 0.5, 1)), ""))</f>
        <v>停機</v>
      </c>
      <c r="AB569" s="1413" t="str">
        <f t="shared" si="98"/>
        <v/>
      </c>
      <c r="AC569" s="984" t="str">
        <f>IF(OR(L569={"改紡","檢修","了機","清車","FINAL","停機","SAMPLE","TEST"}), "", IFERROR(IF(C569="", "", AVERAGE(L569:M569, P569:Q569, T569:U569, X569:Y569)/100), ""))</f>
        <v/>
      </c>
      <c r="AD569" s="984" t="str">
        <f t="shared" si="89"/>
        <v/>
      </c>
      <c r="AE569" s="984" t="str">
        <f t="shared" si="99"/>
        <v/>
      </c>
      <c r="AF569" s="985" t="str">
        <f t="shared" si="90"/>
        <v>A</v>
      </c>
      <c r="AG569" s="1414">
        <v>1</v>
      </c>
      <c r="AH569" s="981" t="s">
        <v>640</v>
      </c>
      <c r="AI569" s="986" t="s">
        <v>640</v>
      </c>
      <c r="AJ569" s="986" t="s">
        <v>634</v>
      </c>
      <c r="AK569" s="1417" t="s">
        <v>634</v>
      </c>
      <c r="AL569" s="1415"/>
      <c r="AM569" s="1323"/>
      <c r="AN569" s="1323"/>
      <c r="AO569" s="1323"/>
      <c r="AP569" s="1323"/>
      <c r="AQ569" s="1323"/>
      <c r="AR569" s="987"/>
      <c r="AS569" s="978" t="str">
        <f t="shared" si="91"/>
        <v>單</v>
      </c>
      <c r="AT569" s="978" t="str">
        <f t="shared" si="92"/>
        <v>全</v>
      </c>
      <c r="AU569" s="978" t="str">
        <f t="shared" si="93"/>
        <v/>
      </c>
      <c r="AV569" s="978" t="str">
        <f t="shared" si="94"/>
        <v/>
      </c>
    </row>
    <row r="570" spans="1:48">
      <c r="A570" s="975">
        <f t="shared" si="100"/>
        <v>46157</v>
      </c>
      <c r="B570" s="976" t="s">
        <v>219</v>
      </c>
      <c r="C570" s="976" t="s">
        <v>16745</v>
      </c>
      <c r="D570" s="1410" t="s">
        <v>16748</v>
      </c>
      <c r="E570" s="977" t="str">
        <f>IFERROR(VLOOKUP(C570, [6]條件!$A:$L, 5, 0), "")</f>
        <v>50/72BSD3</v>
      </c>
      <c r="F570" s="978" t="str">
        <f>IFERROR(VLOOKUP(C570, [6]條件!$A:$L, 6, 0), "")</f>
        <v>FP80141</v>
      </c>
      <c r="G570" s="1411">
        <f>IFERROR(VLOOKUP(C570, [6]條件!$A:$L, 7, 0), "")</f>
        <v>630</v>
      </c>
      <c r="H570" s="978" t="str">
        <f>IF(ISNA(VLOOKUP(C570,[6]條件!$A$1:$K$932,11,0)),"",(VLOOKUP(C570,[6]條件!$A$1:$K$932,11,0)))</f>
        <v>洋綠色</v>
      </c>
      <c r="I570" s="979">
        <f>IF(ISNA(VLOOKUP(C570,[6]條件!$A$1:$L$932,12,0)),"",(VLOOKUP(C570,[6]條件!$A$1:$L$932,12,0)))</f>
        <v>2</v>
      </c>
      <c r="J570" s="982">
        <v>15</v>
      </c>
      <c r="K570" s="980">
        <v>0</v>
      </c>
      <c r="L570" s="981">
        <v>9776</v>
      </c>
      <c r="M570" s="983">
        <v>9682</v>
      </c>
      <c r="N570" s="982">
        <v>6</v>
      </c>
      <c r="O570" s="980">
        <v>1</v>
      </c>
      <c r="P570" s="981">
        <v>9700</v>
      </c>
      <c r="Q570" s="983">
        <v>9566</v>
      </c>
      <c r="R570" s="982">
        <v>5</v>
      </c>
      <c r="S570" s="980">
        <v>0</v>
      </c>
      <c r="T570" s="981">
        <v>9603</v>
      </c>
      <c r="U570" s="983">
        <v>9627</v>
      </c>
      <c r="V570" s="982">
        <v>10</v>
      </c>
      <c r="W570" s="980">
        <v>0</v>
      </c>
      <c r="X570" s="981">
        <v>9552</v>
      </c>
      <c r="Y570" s="983">
        <v>9575</v>
      </c>
      <c r="Z570" s="1412">
        <f>IFERROR(VLOOKUP(C570, [6]條件!$A:$L, 3, 0), "")</f>
        <v>2.4615384615384617</v>
      </c>
      <c r="AA570" s="984">
        <f>IF(OR(L570={"改紡","檢修","了機","清車","FINAL","停機","SAMPLE","TEST","絲開發"}), L570, IFERROR(IF(C570="", "", (SUM(J570, N570, R570, V570)/3 * AG570) * IF(AND(AF570="S", AS570="雙"), 0.5, 1)), ""))</f>
        <v>12</v>
      </c>
      <c r="AB570" s="1413">
        <f t="shared" si="98"/>
        <v>0.998046875</v>
      </c>
      <c r="AC570" s="984">
        <f>IF(OR(L570={"改紡","檢修","了機","清車","FINAL","停機","SAMPLE","TEST"}), "", IFERROR(IF(C570="", "", AVERAGE(L570:M570, P570:Q570, T570:U570, X570:Y570)/100), ""))</f>
        <v>96.351249999999993</v>
      </c>
      <c r="AD570" s="984">
        <f t="shared" si="89"/>
        <v>1.5</v>
      </c>
      <c r="AE570" s="984">
        <f t="shared" si="99"/>
        <v>1.4583333333333333</v>
      </c>
      <c r="AF570" s="985" t="str">
        <f t="shared" si="90"/>
        <v>A</v>
      </c>
      <c r="AG570" s="1414">
        <v>1</v>
      </c>
      <c r="AH570" s="981" t="s">
        <v>16154</v>
      </c>
      <c r="AI570" s="986" t="s">
        <v>16154</v>
      </c>
      <c r="AJ570" s="986" t="s">
        <v>634</v>
      </c>
      <c r="AK570" s="1417" t="s">
        <v>634</v>
      </c>
      <c r="AL570" s="1415">
        <v>57</v>
      </c>
      <c r="AM570" s="1324">
        <v>46089</v>
      </c>
      <c r="AN570" s="1323">
        <v>46090</v>
      </c>
      <c r="AO570" s="1323"/>
      <c r="AP570" s="1323"/>
      <c r="AQ570" s="1323"/>
      <c r="AR570" s="987"/>
      <c r="AS570" s="978" t="str">
        <f t="shared" si="91"/>
        <v>單</v>
      </c>
      <c r="AT570" s="978" t="str">
        <f t="shared" si="92"/>
        <v>全</v>
      </c>
      <c r="AU570" s="978">
        <f t="shared" si="93"/>
        <v>50</v>
      </c>
      <c r="AV570" s="978">
        <f t="shared" si="94"/>
        <v>1.0489182479999999</v>
      </c>
    </row>
    <row r="571" spans="1:48">
      <c r="A571" s="975">
        <f t="shared" si="100"/>
        <v>46157</v>
      </c>
      <c r="B571" s="976" t="s">
        <v>220</v>
      </c>
      <c r="C571" s="976" t="s">
        <v>632</v>
      </c>
      <c r="D571" s="1410"/>
      <c r="E571" s="977" t="str">
        <f>IFERROR(VLOOKUP(C571, [6]條件!$A:$L, 5, 0), "")</f>
        <v/>
      </c>
      <c r="F571" s="978" t="str">
        <f>IFERROR(VLOOKUP(C571, [6]條件!$A:$L, 6, 0), "")</f>
        <v/>
      </c>
      <c r="G571" s="1411" t="str">
        <f>IFERROR(VLOOKUP(C571, [6]條件!$A:$L, 7, 0), "")</f>
        <v/>
      </c>
      <c r="H571" s="978" t="str">
        <f>IF(ISNA(VLOOKUP(C571,[6]條件!$A$1:$K$932,11,0)),"",(VLOOKUP(C571,[6]條件!$A$1:$K$932,11,0)))</f>
        <v/>
      </c>
      <c r="I571" s="979" t="str">
        <f>IF(ISNA(VLOOKUP(C571,[6]條件!$A$1:$L$932,12,0)),"",(VLOOKUP(C571,[6]條件!$A$1:$L$932,12,0)))</f>
        <v/>
      </c>
      <c r="J571" s="982"/>
      <c r="K571" s="980"/>
      <c r="L571" s="981" t="s">
        <v>632</v>
      </c>
      <c r="M571" s="983"/>
      <c r="N571" s="982"/>
      <c r="O571" s="980"/>
      <c r="P571" s="981" t="s">
        <v>632</v>
      </c>
      <c r="Q571" s="983"/>
      <c r="R571" s="982"/>
      <c r="S571" s="980"/>
      <c r="T571" s="981" t="s">
        <v>632</v>
      </c>
      <c r="U571" s="983"/>
      <c r="V571" s="982"/>
      <c r="W571" s="980"/>
      <c r="X571" s="981" t="s">
        <v>632</v>
      </c>
      <c r="Y571" s="983"/>
      <c r="Z571" s="1412" t="str">
        <f>IFERROR(VLOOKUP(C571, [6]條件!$A:$L, 3, 0), "")</f>
        <v/>
      </c>
      <c r="AA571" s="984" t="str">
        <f>IF(OR(L571={"改紡","檢修","了機","清車","FINAL","停機","SAMPLE","TEST","絲開發"}), L571, IFERROR(IF(C571="", "", (SUM(J571, N571, R571, V571)/3 * AG571) * IF(AND(AF571="S", AS571="雙"), 0.5, 1)), ""))</f>
        <v>停機</v>
      </c>
      <c r="AB571" s="1413" t="str">
        <f t="shared" si="98"/>
        <v/>
      </c>
      <c r="AC571" s="984" t="str">
        <f>IF(OR(L571={"改紡","檢修","了機","清車","FINAL","停機","SAMPLE","TEST"}), "", IFERROR(IF(C571="", "", AVERAGE(L571:M571, P571:Q571, T571:U571, X571:Y571)/100), ""))</f>
        <v/>
      </c>
      <c r="AD571" s="984" t="str">
        <f t="shared" si="89"/>
        <v/>
      </c>
      <c r="AE571" s="984" t="str">
        <f t="shared" si="99"/>
        <v/>
      </c>
      <c r="AF571" s="985" t="str">
        <f t="shared" si="90"/>
        <v>A</v>
      </c>
      <c r="AG571" s="1414">
        <v>1</v>
      </c>
      <c r="AH571" s="981" t="s">
        <v>640</v>
      </c>
      <c r="AI571" s="986" t="s">
        <v>640</v>
      </c>
      <c r="AJ571" s="986" t="s">
        <v>640</v>
      </c>
      <c r="AK571" s="1417" t="s">
        <v>640</v>
      </c>
      <c r="AL571" s="1415"/>
      <c r="AM571" s="1323"/>
      <c r="AN571" s="1323"/>
      <c r="AO571" s="1323"/>
      <c r="AP571" s="1323"/>
      <c r="AQ571" s="1323"/>
      <c r="AR571" s="987"/>
      <c r="AS571" s="978" t="str">
        <f t="shared" si="91"/>
        <v>單</v>
      </c>
      <c r="AT571" s="978" t="str">
        <f t="shared" si="92"/>
        <v>全</v>
      </c>
      <c r="AU571" s="978" t="str">
        <f t="shared" si="93"/>
        <v/>
      </c>
      <c r="AV571" s="978" t="str">
        <f t="shared" si="94"/>
        <v/>
      </c>
    </row>
    <row r="572" spans="1:48">
      <c r="A572" s="975">
        <f t="shared" si="100"/>
        <v>46157</v>
      </c>
      <c r="B572" s="976" t="s">
        <v>221</v>
      </c>
      <c r="C572" s="976" t="s">
        <v>16763</v>
      </c>
      <c r="D572" s="1410"/>
      <c r="E572" s="977" t="str">
        <f>IFERROR(VLOOKUP(C572, [6]條件!$A:$L, 5, 0), "")</f>
        <v>150/48CDR</v>
      </c>
      <c r="F572" s="978" t="str">
        <f>IFERROR(VLOOKUP(C572, [6]條件!$A:$L, 6, 0), "")</f>
        <v>FP82781</v>
      </c>
      <c r="G572" s="1411">
        <f>IFERROR(VLOOKUP(C572, [6]條件!$A:$L, 7, 0), "")</f>
        <v>600</v>
      </c>
      <c r="H572" s="978" t="str">
        <f>IF(ISNA(VLOOKUP(C572,[6]條件!$A$1:$K$932,11,0)),"",(VLOOKUP(C572,[6]條件!$A$1:$K$932,11,0)))</f>
        <v>綠藍雙色</v>
      </c>
      <c r="I572" s="979">
        <f>IF(ISNA(VLOOKUP(C572,[6]條件!$A$1:$L$932,12,0)),"",(VLOOKUP(C572,[6]條件!$A$1:$L$932,12,0)))</f>
        <v>5</v>
      </c>
      <c r="J572" s="982">
        <v>9</v>
      </c>
      <c r="K572" s="980">
        <v>0</v>
      </c>
      <c r="L572" s="981">
        <v>8483</v>
      </c>
      <c r="M572" s="983">
        <v>8177</v>
      </c>
      <c r="N572" s="982">
        <v>2</v>
      </c>
      <c r="O572" s="980">
        <v>0</v>
      </c>
      <c r="P572" s="981">
        <v>8578</v>
      </c>
      <c r="Q572" s="983">
        <v>8164</v>
      </c>
      <c r="R572" s="982">
        <v>1</v>
      </c>
      <c r="S572" s="980">
        <v>0</v>
      </c>
      <c r="T572" s="981">
        <v>8596</v>
      </c>
      <c r="U572" s="983">
        <v>8180</v>
      </c>
      <c r="V572" s="982">
        <v>6</v>
      </c>
      <c r="W572" s="980">
        <v>1</v>
      </c>
      <c r="X572" s="981">
        <v>8586</v>
      </c>
      <c r="Y572" s="983">
        <v>8216</v>
      </c>
      <c r="Z572" s="1412">
        <f>IFERROR(VLOOKUP(C572, [6]條件!$A:$L, 3, 0), "")</f>
        <v>2.8685258964143427</v>
      </c>
      <c r="AA572" s="984">
        <f>IF(OR(L572={"改紡","檢修","了機","清車","FINAL","停機","SAMPLE","TEST","絲開發"}), L572, IFERROR(IF(C572="", "", (SUM(J572, N572, R572, V572)/3 * AG572) * IF(AND(AF572="S", AS572="雙"), 0.5, 1)), ""))</f>
        <v>6</v>
      </c>
      <c r="AB572" s="1413">
        <f t="shared" si="98"/>
        <v>0.99832398504273501</v>
      </c>
      <c r="AC572" s="984">
        <f>IF(OR(L572={"改紡","檢修","了機","清車","FINAL","停機","SAMPLE","TEST"}), "", IFERROR(IF(C572="", "", AVERAGE(L572:M572, P572:Q572, T572:U572, X572:Y572)/100), ""))</f>
        <v>83.724999999999994</v>
      </c>
      <c r="AD572" s="984">
        <f t="shared" si="89"/>
        <v>0.75</v>
      </c>
      <c r="AE572" s="984">
        <f t="shared" si="99"/>
        <v>0.70833333333333337</v>
      </c>
      <c r="AF572" s="985" t="str">
        <f t="shared" si="90"/>
        <v>A</v>
      </c>
      <c r="AG572" s="1414">
        <v>1</v>
      </c>
      <c r="AH572" s="981" t="s">
        <v>16154</v>
      </c>
      <c r="AI572" s="986" t="s">
        <v>16154</v>
      </c>
      <c r="AJ572" s="986" t="s">
        <v>634</v>
      </c>
      <c r="AK572" s="1417" t="s">
        <v>634</v>
      </c>
      <c r="AL572" s="1415">
        <v>54</v>
      </c>
      <c r="AM572" s="1323">
        <v>46152</v>
      </c>
      <c r="AN572" s="1323">
        <v>46154</v>
      </c>
      <c r="AO572" s="1323">
        <v>46155</v>
      </c>
      <c r="AP572" s="1323">
        <v>46156</v>
      </c>
      <c r="AQ572" s="1323"/>
      <c r="AR572" s="987"/>
      <c r="AS572" s="978" t="str">
        <f t="shared" si="91"/>
        <v>單</v>
      </c>
      <c r="AT572" s="978" t="str">
        <f t="shared" si="92"/>
        <v>全</v>
      </c>
      <c r="AU572" s="978">
        <f t="shared" si="93"/>
        <v>150</v>
      </c>
      <c r="AV572" s="978">
        <f t="shared" si="94"/>
        <v>2.6041823999999996</v>
      </c>
    </row>
    <row r="573" spans="1:48">
      <c r="A573" s="975">
        <f t="shared" si="100"/>
        <v>46157</v>
      </c>
      <c r="B573" s="976" t="s">
        <v>222</v>
      </c>
      <c r="C573" s="976" t="s">
        <v>632</v>
      </c>
      <c r="D573" s="1410"/>
      <c r="E573" s="977" t="str">
        <f>IFERROR(VLOOKUP(C573, [6]條件!$A:$L, 5, 0), "")</f>
        <v/>
      </c>
      <c r="F573" s="978" t="str">
        <f>IFERROR(VLOOKUP(C573, [6]條件!$A:$L, 6, 0), "")</f>
        <v/>
      </c>
      <c r="G573" s="1411" t="str">
        <f>IFERROR(VLOOKUP(C573, [6]條件!$A:$L, 7, 0), "")</f>
        <v/>
      </c>
      <c r="H573" s="978" t="str">
        <f>IF(ISNA(VLOOKUP(C573,[6]條件!$A$1:$K$932,11,0)),"",(VLOOKUP(C573,[6]條件!$A$1:$K$932,11,0)))</f>
        <v/>
      </c>
      <c r="I573" s="979" t="str">
        <f>IF(ISNA(VLOOKUP(C573,[6]條件!$A$1:$L$932,12,0)),"",(VLOOKUP(C573,[6]條件!$A$1:$L$932,12,0)))</f>
        <v/>
      </c>
      <c r="J573" s="982"/>
      <c r="K573" s="980"/>
      <c r="L573" s="981" t="s">
        <v>632</v>
      </c>
      <c r="M573" s="983"/>
      <c r="N573" s="982"/>
      <c r="O573" s="980"/>
      <c r="P573" s="981" t="s">
        <v>632</v>
      </c>
      <c r="Q573" s="983"/>
      <c r="R573" s="982"/>
      <c r="S573" s="980"/>
      <c r="T573" s="981" t="s">
        <v>632</v>
      </c>
      <c r="U573" s="983"/>
      <c r="V573" s="982"/>
      <c r="W573" s="980"/>
      <c r="X573" s="981" t="s">
        <v>632</v>
      </c>
      <c r="Y573" s="983"/>
      <c r="Z573" s="1412" t="str">
        <f>IFERROR(VLOOKUP(C573, [6]條件!$A:$L, 3, 0), "")</f>
        <v/>
      </c>
      <c r="AA573" s="984" t="str">
        <f>IF(OR(L573={"改紡","檢修","了機","清車","FINAL","停機","SAMPLE","TEST","絲開發"}), L573, IFERROR(IF(C573="", "", (SUM(J573, N573, R573, V573)/3 * AG573) * IF(AND(AF573="S", AS573="雙"), 0.5, 1)), ""))</f>
        <v>停機</v>
      </c>
      <c r="AB573" s="1413" t="str">
        <f t="shared" si="98"/>
        <v/>
      </c>
      <c r="AC573" s="984" t="str">
        <f>IF(OR(L573={"改紡","檢修","了機","清車","FINAL","停機","SAMPLE","TEST"}), "", IFERROR(IF(C573="", "", AVERAGE(L573:M573, P573:Q573, T573:U573, X573:Y573)/100), ""))</f>
        <v/>
      </c>
      <c r="AD573" s="984" t="str">
        <f t="shared" si="89"/>
        <v/>
      </c>
      <c r="AE573" s="984" t="str">
        <f t="shared" si="99"/>
        <v/>
      </c>
      <c r="AF573" s="985" t="str">
        <f t="shared" si="90"/>
        <v>A</v>
      </c>
      <c r="AG573" s="1414">
        <v>1</v>
      </c>
      <c r="AH573" s="981" t="s">
        <v>640</v>
      </c>
      <c r="AI573" s="986" t="s">
        <v>640</v>
      </c>
      <c r="AJ573" s="986" t="s">
        <v>640</v>
      </c>
      <c r="AK573" s="1417" t="s">
        <v>640</v>
      </c>
      <c r="AL573" s="1415"/>
      <c r="AM573" s="1323"/>
      <c r="AN573" s="1323"/>
      <c r="AO573" s="1323"/>
      <c r="AP573" s="1323"/>
      <c r="AQ573" s="1323"/>
      <c r="AR573" s="987"/>
      <c r="AS573" s="978" t="str">
        <f t="shared" si="91"/>
        <v>單</v>
      </c>
      <c r="AT573" s="978" t="str">
        <f t="shared" si="92"/>
        <v>全</v>
      </c>
      <c r="AU573" s="978" t="str">
        <f t="shared" si="93"/>
        <v/>
      </c>
      <c r="AV573" s="978" t="str">
        <f t="shared" si="94"/>
        <v/>
      </c>
    </row>
    <row r="574" spans="1:48">
      <c r="A574" s="975">
        <f t="shared" si="100"/>
        <v>46157</v>
      </c>
      <c r="B574" s="976" t="s">
        <v>223</v>
      </c>
      <c r="C574" s="976" t="s">
        <v>632</v>
      </c>
      <c r="D574" s="1410"/>
      <c r="E574" s="977" t="str">
        <f>IFERROR(VLOOKUP(C574, [6]條件!$A:$L, 5, 0), "")</f>
        <v/>
      </c>
      <c r="F574" s="978" t="str">
        <f>IFERROR(VLOOKUP(C574, [6]條件!$A:$L, 6, 0), "")</f>
        <v/>
      </c>
      <c r="G574" s="1411" t="str">
        <f>IFERROR(VLOOKUP(C574, [6]條件!$A:$L, 7, 0), "")</f>
        <v/>
      </c>
      <c r="H574" s="978" t="str">
        <f>IF(ISNA(VLOOKUP(C574,[6]條件!$A$1:$K$932,11,0)),"",(VLOOKUP(C574,[6]條件!$A$1:$K$932,11,0)))</f>
        <v/>
      </c>
      <c r="I574" s="979" t="str">
        <f>IF(ISNA(VLOOKUP(C574,[6]條件!$A$1:$L$932,12,0)),"",(VLOOKUP(C574,[6]條件!$A$1:$L$932,12,0)))</f>
        <v/>
      </c>
      <c r="J574" s="982"/>
      <c r="K574" s="980"/>
      <c r="L574" s="981" t="s">
        <v>632</v>
      </c>
      <c r="M574" s="983"/>
      <c r="N574" s="982"/>
      <c r="O574" s="980"/>
      <c r="P574" s="981" t="s">
        <v>632</v>
      </c>
      <c r="Q574" s="983"/>
      <c r="R574" s="982"/>
      <c r="S574" s="980"/>
      <c r="T574" s="981" t="s">
        <v>632</v>
      </c>
      <c r="U574" s="983"/>
      <c r="V574" s="982"/>
      <c r="W574" s="980"/>
      <c r="X574" s="981" t="s">
        <v>632</v>
      </c>
      <c r="Y574" s="983"/>
      <c r="Z574" s="1412" t="str">
        <f>IFERROR(VLOOKUP(C574, [6]條件!$A:$L, 3, 0), "")</f>
        <v/>
      </c>
      <c r="AA574" s="984" t="str">
        <f>IF(OR(L574={"改紡","檢修","了機","清車","FINAL","停機","SAMPLE","TEST","絲開發"}), L574, IFERROR(IF(C574="", "", (SUM(J574, N574, R574, V574)/3 * AG574) * IF(AND(AF574="S", AS574="雙"), 0.5, 1)), ""))</f>
        <v>停機</v>
      </c>
      <c r="AB574" s="1413" t="str">
        <f t="shared" si="98"/>
        <v/>
      </c>
      <c r="AC574" s="984" t="str">
        <f>IF(OR(L574={"改紡","檢修","了機","清車","FINAL","停機","SAMPLE","TEST"}), "", IFERROR(IF(C574="", "", AVERAGE(L574:M574, P574:Q574, T574:U574, X574:Y574)/100), ""))</f>
        <v/>
      </c>
      <c r="AD574" s="984" t="str">
        <f t="shared" si="89"/>
        <v/>
      </c>
      <c r="AE574" s="984" t="str">
        <f t="shared" si="99"/>
        <v/>
      </c>
      <c r="AF574" s="985" t="str">
        <f t="shared" si="90"/>
        <v>A</v>
      </c>
      <c r="AG574" s="1414">
        <v>1</v>
      </c>
      <c r="AH574" s="981" t="s">
        <v>640</v>
      </c>
      <c r="AI574" s="986" t="s">
        <v>640</v>
      </c>
      <c r="AJ574" s="986" t="s">
        <v>640</v>
      </c>
      <c r="AK574" s="1417" t="s">
        <v>640</v>
      </c>
      <c r="AL574" s="1415"/>
      <c r="AM574" s="1324"/>
      <c r="AN574" s="1323"/>
      <c r="AO574" s="1323"/>
      <c r="AP574" s="1323"/>
      <c r="AQ574" s="1323"/>
      <c r="AR574" s="987"/>
      <c r="AS574" s="978" t="str">
        <f t="shared" si="91"/>
        <v>單</v>
      </c>
      <c r="AT574" s="978" t="str">
        <f t="shared" si="92"/>
        <v>全</v>
      </c>
      <c r="AU574" s="978" t="str">
        <f t="shared" si="93"/>
        <v/>
      </c>
      <c r="AV574" s="978" t="str">
        <f t="shared" si="94"/>
        <v/>
      </c>
    </row>
    <row r="575" spans="1:48">
      <c r="A575" s="975">
        <f t="shared" si="100"/>
        <v>46157</v>
      </c>
      <c r="B575" s="976" t="s">
        <v>224</v>
      </c>
      <c r="C575" s="976" t="s">
        <v>16734</v>
      </c>
      <c r="D575" s="1410" t="s">
        <v>633</v>
      </c>
      <c r="E575" s="977" t="str">
        <f>IFERROR(VLOOKUP(C575, [6]條件!$A:$L, 5, 0), "")</f>
        <v>75/24/2SDr</v>
      </c>
      <c r="F575" s="978" t="str">
        <f>IFERROR(VLOOKUP(C575, [6]條件!$A:$L, 6, 0), "")</f>
        <v>FP81382R×2</v>
      </c>
      <c r="G575" s="1411">
        <f>IFERROR(VLOOKUP(C575, [6]條件!$A:$L, 7, 0), "")</f>
        <v>700</v>
      </c>
      <c r="H575" s="978" t="str">
        <f>IF(ISNA(VLOOKUP(C575,[6]條件!$A$1:$K$932,11,0)),"",(VLOOKUP(C575,[6]條件!$A$1:$K$932,11,0)))</f>
        <v>白底紫三角</v>
      </c>
      <c r="I575" s="979">
        <f>IF(ISNA(VLOOKUP(C575,[6]條件!$A$1:$L$932,12,0)),"",(VLOOKUP(C575,[6]條件!$A$1:$L$932,12,0)))</f>
        <v>5</v>
      </c>
      <c r="J575" s="982">
        <v>24</v>
      </c>
      <c r="K575" s="980">
        <v>0</v>
      </c>
      <c r="L575" s="981">
        <v>9317</v>
      </c>
      <c r="M575" s="983">
        <v>8808</v>
      </c>
      <c r="N575" s="982">
        <v>14</v>
      </c>
      <c r="O575" s="980">
        <v>0</v>
      </c>
      <c r="P575" s="981">
        <v>9074</v>
      </c>
      <c r="Q575" s="983">
        <v>8862</v>
      </c>
      <c r="R575" s="982">
        <v>18</v>
      </c>
      <c r="S575" s="980">
        <v>0</v>
      </c>
      <c r="T575" s="981">
        <v>8964</v>
      </c>
      <c r="U575" s="983">
        <v>8832</v>
      </c>
      <c r="V575" s="982">
        <v>20</v>
      </c>
      <c r="W575" s="980">
        <v>0</v>
      </c>
      <c r="X575" s="981">
        <v>9023</v>
      </c>
      <c r="Y575" s="983">
        <v>8911</v>
      </c>
      <c r="Z575" s="1412">
        <f>IFERROR(VLOOKUP(C575, [6]條件!$A:$L, 3, 0), "")</f>
        <v>3.2653061224489797</v>
      </c>
      <c r="AA575" s="984">
        <f>IF(OR(L575={"改紡","檢修","了機","清車","FINAL","停機","SAMPLE","TEST","絲開發"}), L575, IFERROR(IF(C575="", "", (SUM(J575, N575, R575, V575)/3 * AG575) * IF(AND(AF575="S", AS575="雙"), 0.5, 1)), ""))</f>
        <v>12.666666666666666</v>
      </c>
      <c r="AB575" s="1413">
        <f t="shared" si="98"/>
        <v>1</v>
      </c>
      <c r="AC575" s="984">
        <f>IF(OR(L575={"改紡","檢修","了機","清車","FINAL","停機","SAMPLE","TEST"}), "", IFERROR(IF(C575="", "", AVERAGE(L575:M575, P575:Q575, T575:U575, X575:Y575)/100), ""))</f>
        <v>89.738749999999996</v>
      </c>
      <c r="AD575" s="984">
        <f t="shared" si="89"/>
        <v>1.5833333333333333</v>
      </c>
      <c r="AE575" s="984">
        <f t="shared" si="99"/>
        <v>1.5833333333333333</v>
      </c>
      <c r="AF575" s="985" t="str">
        <f t="shared" si="90"/>
        <v>A</v>
      </c>
      <c r="AG575" s="1414">
        <v>0.5</v>
      </c>
      <c r="AH575" s="981" t="s">
        <v>631</v>
      </c>
      <c r="AI575" s="986" t="s">
        <v>631</v>
      </c>
      <c r="AJ575" s="986" t="s">
        <v>725</v>
      </c>
      <c r="AK575" s="1417" t="s">
        <v>725</v>
      </c>
      <c r="AL575" s="1415">
        <v>50</v>
      </c>
      <c r="AM575" s="1323">
        <v>46110</v>
      </c>
      <c r="AN575" s="1323">
        <v>46111</v>
      </c>
      <c r="AO575" s="1323"/>
      <c r="AP575" s="1323"/>
      <c r="AQ575" s="1323"/>
      <c r="AR575" s="987"/>
      <c r="AS575" s="978" t="str">
        <f t="shared" si="91"/>
        <v>雙</v>
      </c>
      <c r="AT575" s="978" t="str">
        <f t="shared" si="92"/>
        <v>全</v>
      </c>
      <c r="AU575" s="978">
        <f t="shared" si="93"/>
        <v>75</v>
      </c>
      <c r="AV575" s="978">
        <f t="shared" si="94"/>
        <v>1.6282198800000001</v>
      </c>
    </row>
    <row r="576" spans="1:48">
      <c r="A576" s="975">
        <f t="shared" si="100"/>
        <v>46157</v>
      </c>
      <c r="B576" s="976" t="s">
        <v>225</v>
      </c>
      <c r="C576" s="976" t="s">
        <v>16747</v>
      </c>
      <c r="D576" s="1410"/>
      <c r="E576" s="977" t="str">
        <f>IFERROR(VLOOKUP(C576, [6]條件!$A:$L, 5, 0), "")</f>
        <v>150/48SDR</v>
      </c>
      <c r="F576" s="978" t="str">
        <f>IFERROR(VLOOKUP(C576, [6]條件!$A:$L, 6, 0), "")</f>
        <v>FP82169R</v>
      </c>
      <c r="G576" s="1411">
        <f>IFERROR(VLOOKUP(C576, [6]條件!$A:$L, 7, 0), "")</f>
        <v>650</v>
      </c>
      <c r="H576" s="978" t="str">
        <f>IF(ISNA(VLOOKUP(C576,[6]條件!$A$1:$K$932,11,0)),"",(VLOOKUP(C576,[6]條件!$A$1:$K$932,11,0)))</f>
        <v>綠藍三角</v>
      </c>
      <c r="I576" s="979">
        <f>IF(ISNA(VLOOKUP(C576,[6]條件!$A$1:$L$932,12,0)),"",(VLOOKUP(C576,[6]條件!$A$1:$L$932,12,0)))</f>
        <v>5</v>
      </c>
      <c r="J576" s="982"/>
      <c r="K576" s="980"/>
      <c r="L576" s="981" t="s">
        <v>645</v>
      </c>
      <c r="M576" s="983"/>
      <c r="N576" s="982"/>
      <c r="O576" s="980"/>
      <c r="P576" s="981" t="s">
        <v>632</v>
      </c>
      <c r="Q576" s="983"/>
      <c r="R576" s="982"/>
      <c r="S576" s="980"/>
      <c r="T576" s="981" t="s">
        <v>16079</v>
      </c>
      <c r="U576" s="983"/>
      <c r="V576" s="982"/>
      <c r="W576" s="980"/>
      <c r="X576" s="981" t="s">
        <v>127</v>
      </c>
      <c r="Y576" s="983"/>
      <c r="Z576" s="1412">
        <f>IFERROR(VLOOKUP(C576, [6]條件!$A:$L, 3, 0), "")</f>
        <v>3.0573248407643314</v>
      </c>
      <c r="AA576" s="984" t="str">
        <f>IF(OR(L576={"改紡","檢修","了機","清車","FINAL","停機","SAMPLE","TEST","絲開發"}), L576, IFERROR(IF(C576="", "", (SUM(J576, N576, R576, V576)/3 * AG576) * IF(AND(AF576="S", AS576="雙"), 0.5, 1)), ""))</f>
        <v>檢修</v>
      </c>
      <c r="AB576" s="1413" t="str">
        <f t="shared" si="98"/>
        <v/>
      </c>
      <c r="AC576" s="984" t="str">
        <f>IF(OR(L576={"改紡","檢修","了機","清車","FINAL","停機","SAMPLE","TEST"}), "", IFERROR(IF(C576="", "", AVERAGE(L576:M576, P576:Q576, T576:U576, X576:Y576)/100), ""))</f>
        <v/>
      </c>
      <c r="AD576" s="984" t="str">
        <f t="shared" si="89"/>
        <v/>
      </c>
      <c r="AE576" s="984" t="str">
        <f t="shared" si="99"/>
        <v/>
      </c>
      <c r="AF576" s="985" t="str">
        <f t="shared" si="90"/>
        <v>A</v>
      </c>
      <c r="AG576" s="1414">
        <v>1</v>
      </c>
      <c r="AH576" s="981" t="s">
        <v>637</v>
      </c>
      <c r="AI576" s="986" t="s">
        <v>637</v>
      </c>
      <c r="AJ576" s="986" t="s">
        <v>634</v>
      </c>
      <c r="AK576" s="1417" t="s">
        <v>634</v>
      </c>
      <c r="AL576" s="1415">
        <v>48</v>
      </c>
      <c r="AM576" s="1323">
        <v>46153</v>
      </c>
      <c r="AN576" s="1323">
        <v>46154</v>
      </c>
      <c r="AO576" s="1323"/>
      <c r="AP576" s="1323"/>
      <c r="AQ576" s="1323"/>
      <c r="AR576" s="987"/>
      <c r="AS576" s="978" t="str">
        <f t="shared" si="91"/>
        <v>單</v>
      </c>
      <c r="AT576" s="978" t="str">
        <f t="shared" si="92"/>
        <v>全</v>
      </c>
      <c r="AU576" s="978">
        <f t="shared" si="93"/>
        <v>150</v>
      </c>
      <c r="AV576" s="978" t="str">
        <f t="shared" si="94"/>
        <v/>
      </c>
    </row>
    <row r="577" spans="1:48">
      <c r="A577" s="975">
        <f t="shared" si="100"/>
        <v>46157</v>
      </c>
      <c r="B577" s="976" t="s">
        <v>226</v>
      </c>
      <c r="C577" s="976" t="s">
        <v>632</v>
      </c>
      <c r="D577" s="1410"/>
      <c r="E577" s="977" t="str">
        <f>IFERROR(VLOOKUP(C577, [6]條件!$A:$L, 5, 0), "")</f>
        <v/>
      </c>
      <c r="F577" s="978" t="str">
        <f>IFERROR(VLOOKUP(C577, [6]條件!$A:$L, 6, 0), "")</f>
        <v/>
      </c>
      <c r="G577" s="1411" t="str">
        <f>IFERROR(VLOOKUP(C577, [6]條件!$A:$L, 7, 0), "")</f>
        <v/>
      </c>
      <c r="H577" s="978" t="str">
        <f>IF(ISNA(VLOOKUP(C577,[6]條件!$A$1:$K$932,11,0)),"",(VLOOKUP(C577,[6]條件!$A$1:$K$932,11,0)))</f>
        <v/>
      </c>
      <c r="I577" s="979" t="str">
        <f>IF(ISNA(VLOOKUP(C577,[6]條件!$A$1:$L$932,12,0)),"",(VLOOKUP(C577,[6]條件!$A$1:$L$932,12,0)))</f>
        <v/>
      </c>
      <c r="J577" s="982"/>
      <c r="K577" s="980"/>
      <c r="L577" s="981" t="s">
        <v>632</v>
      </c>
      <c r="M577" s="983"/>
      <c r="N577" s="982"/>
      <c r="O577" s="980"/>
      <c r="P577" s="981" t="s">
        <v>632</v>
      </c>
      <c r="Q577" s="983"/>
      <c r="R577" s="982"/>
      <c r="S577" s="980"/>
      <c r="T577" s="981" t="s">
        <v>632</v>
      </c>
      <c r="U577" s="983"/>
      <c r="V577" s="982"/>
      <c r="W577" s="980"/>
      <c r="X577" s="981" t="s">
        <v>632</v>
      </c>
      <c r="Y577" s="983"/>
      <c r="Z577" s="1412" t="str">
        <f>IFERROR(VLOOKUP(C577, [6]條件!$A:$L, 3, 0), "")</f>
        <v/>
      </c>
      <c r="AA577" s="984" t="str">
        <f>IF(OR(L577={"改紡","檢修","了機","清車","FINAL","停機","SAMPLE","TEST","絲開發"}), L577, IFERROR(IF(C577="", "", (SUM(J577, N577, R577, V577)/3 * AG577) * IF(AND(AF577="S", AS577="雙"), 0.5, 1)), ""))</f>
        <v>停機</v>
      </c>
      <c r="AB577" s="1413" t="str">
        <f t="shared" si="98"/>
        <v/>
      </c>
      <c r="AC577" s="984" t="str">
        <f>IF(OR(L577={"改紡","檢修","了機","清車","FINAL","停機","SAMPLE","TEST"}), "", IFERROR(IF(C577="", "", AVERAGE(L577:M577, P577:Q577, T577:U577, X577:Y577)/100), ""))</f>
        <v/>
      </c>
      <c r="AD577" s="984" t="str">
        <f t="shared" si="89"/>
        <v/>
      </c>
      <c r="AE577" s="984" t="str">
        <f t="shared" si="99"/>
        <v/>
      </c>
      <c r="AF577" s="985" t="str">
        <f t="shared" si="90"/>
        <v>A</v>
      </c>
      <c r="AG577" s="1414">
        <v>1</v>
      </c>
      <c r="AH577" s="981" t="s">
        <v>640</v>
      </c>
      <c r="AI577" s="986" t="s">
        <v>640</v>
      </c>
      <c r="AJ577" s="986" t="s">
        <v>640</v>
      </c>
      <c r="AK577" s="1417" t="s">
        <v>640</v>
      </c>
      <c r="AL577" s="1415"/>
      <c r="AM577" s="1323"/>
      <c r="AN577" s="1323"/>
      <c r="AO577" s="1323"/>
      <c r="AP577" s="1323"/>
      <c r="AQ577" s="1323"/>
      <c r="AR577" s="987"/>
      <c r="AS577" s="978" t="str">
        <f t="shared" si="91"/>
        <v>單</v>
      </c>
      <c r="AT577" s="978" t="str">
        <f t="shared" si="92"/>
        <v>全</v>
      </c>
      <c r="AU577" s="978" t="str">
        <f t="shared" si="93"/>
        <v/>
      </c>
      <c r="AV577" s="978" t="str">
        <f t="shared" si="94"/>
        <v/>
      </c>
    </row>
    <row r="578" spans="1:48">
      <c r="A578" s="975">
        <f t="shared" si="100"/>
        <v>46157</v>
      </c>
      <c r="B578" s="976" t="s">
        <v>227</v>
      </c>
      <c r="C578" s="976" t="s">
        <v>16712</v>
      </c>
      <c r="D578" s="1410"/>
      <c r="E578" s="977" t="str">
        <f>IFERROR(VLOOKUP(C578, [6]條件!$A:$L, 5, 0), "")</f>
        <v>100/36SDr</v>
      </c>
      <c r="F578" s="978" t="str">
        <f>IFERROR(VLOOKUP(C578, [6]條件!$A:$L, 6, 0), "")</f>
        <v>FP81384R</v>
      </c>
      <c r="G578" s="1411">
        <f>IFERROR(VLOOKUP(C578, [6]條件!$A:$L, 7, 0), "")</f>
        <v>700</v>
      </c>
      <c r="H578" s="978" t="str">
        <f>IF(ISNA(VLOOKUP(C578,[6]條件!$A$1:$K$932,11,0)),"",(VLOOKUP(C578,[6]條件!$A$1:$K$932,11,0)))</f>
        <v>白底紅三角</v>
      </c>
      <c r="I578" s="979">
        <f>IF(ISNA(VLOOKUP(C578,[6]條件!$A$1:$L$932,12,0)),"",(VLOOKUP(C578,[6]條件!$A$1:$L$932,12,0)))</f>
        <v>5</v>
      </c>
      <c r="J578" s="982"/>
      <c r="K578" s="980"/>
      <c r="L578" s="981" t="s">
        <v>127</v>
      </c>
      <c r="M578" s="983"/>
      <c r="N578" s="982"/>
      <c r="O578" s="980"/>
      <c r="P578" s="981" t="s">
        <v>127</v>
      </c>
      <c r="Q578" s="983" t="s">
        <v>632</v>
      </c>
      <c r="R578" s="982"/>
      <c r="S578" s="980"/>
      <c r="T578" s="981" t="s">
        <v>127</v>
      </c>
      <c r="U578" s="983" t="s">
        <v>632</v>
      </c>
      <c r="V578" s="982"/>
      <c r="W578" s="980"/>
      <c r="X578" s="981" t="s">
        <v>127</v>
      </c>
      <c r="Y578" s="983" t="s">
        <v>632</v>
      </c>
      <c r="Z578" s="1412">
        <f>IFERROR(VLOOKUP(C578, [6]條件!$A:$L, 3, 0), "")</f>
        <v>2.2187981510015407</v>
      </c>
      <c r="AA578" s="984" t="str">
        <f>IF(OR(L578={"改紡","檢修","了機","清車","FINAL","停機","SAMPLE","TEST","絲開發"}), L578, IFERROR(IF(C578="", "", (SUM(J578, N578, R578, V578)/3 * AG578) * IF(AND(AF578="S", AS578="雙"), 0.5, 1)), ""))</f>
        <v>了機</v>
      </c>
      <c r="AB578" s="1413" t="str">
        <f t="shared" si="98"/>
        <v/>
      </c>
      <c r="AC578" s="984" t="str">
        <f>IF(OR(L578={"改紡","檢修","了機","清車","FINAL","停機","SAMPLE","TEST"}), "", IFERROR(IF(C578="", "", AVERAGE(L578:M578, P578:Q578, T578:U578, X578:Y578)/100), ""))</f>
        <v/>
      </c>
      <c r="AD578" s="984" t="str">
        <f t="shared" ref="AD578:AD641" si="101">IF(ISERROR(AA578/8),"",(AA578/8))</f>
        <v/>
      </c>
      <c r="AE578" s="984" t="str">
        <f t="shared" si="99"/>
        <v/>
      </c>
      <c r="AF578" s="985" t="str">
        <f t="shared" ref="AF578:AF641" si="102">LEFT(B578, 1)</f>
        <v>A</v>
      </c>
      <c r="AG578" s="1414">
        <v>1</v>
      </c>
      <c r="AH578" s="981" t="s">
        <v>636</v>
      </c>
      <c r="AI578" s="986" t="s">
        <v>636</v>
      </c>
      <c r="AJ578" s="986" t="s">
        <v>725</v>
      </c>
      <c r="AK578" s="1417" t="s">
        <v>725</v>
      </c>
      <c r="AL578" s="1415">
        <v>50</v>
      </c>
      <c r="AM578" s="1323">
        <v>46140</v>
      </c>
      <c r="AN578" s="1323">
        <v>46143</v>
      </c>
      <c r="AO578" s="1323"/>
      <c r="AP578" s="1323"/>
      <c r="AQ578" s="1323"/>
      <c r="AR578" s="987"/>
      <c r="AS578" s="978" t="str">
        <f t="shared" ref="AS578:AS641" si="103">IF(RIGHT(F578, 2) = "×2", "雙", "單")</f>
        <v>單</v>
      </c>
      <c r="AT578" s="978" t="str">
        <f t="shared" ref="AT578:AT641" si="104">IF(OR(AF578="J", AF578="T", AF578="M"), IF(AG578=1, "全", "半"), IF(AF578="A", IF(AG578=0.5, IF(AS578="雙", "全", ""), IF(AG578=1, IF(AS578="雙", "半", "全"), IF(AG578=2, "半", ""))), IF(AF578="S", AG578 &amp; "sec", "")))</f>
        <v>全</v>
      </c>
      <c r="AU578" s="978">
        <f t="shared" ref="AU578:AU641" si="105">IFERROR(VALUE(LEFT(E578, FIND("/", E578)-1)), "")</f>
        <v>100</v>
      </c>
      <c r="AV578" s="978" t="str">
        <f t="shared" ref="AV578:AV641" si="106">IFERROR(IF(AF578="S", (AU578*G578*AC578*0.03456/100/1000) * (AG578*12/144) * IF(AS578="單", 1, 0.5), IF(AF578="A", (AU578*G578*AC578*0.03456/100/1000) * IF(AT578="全", 1, 0.5), IF(OR(AF578="T", AF578="J", AF578="M"), (AU578*G578*AC578*0.03456/100/1000) * IF(AS578="單", 1, 2) * IF(AT578="全", 1, 0.5), 0))), "")</f>
        <v/>
      </c>
    </row>
    <row r="579" spans="1:48">
      <c r="A579" s="975">
        <f t="shared" si="100"/>
        <v>46157</v>
      </c>
      <c r="B579" s="976" t="s">
        <v>228</v>
      </c>
      <c r="C579" s="976" t="s">
        <v>632</v>
      </c>
      <c r="D579" s="1410"/>
      <c r="E579" s="977" t="str">
        <f>IFERROR(VLOOKUP(C579, [6]條件!$A:$L, 5, 0), "")</f>
        <v/>
      </c>
      <c r="F579" s="978" t="str">
        <f>IFERROR(VLOOKUP(C579, [6]條件!$A:$L, 6, 0), "")</f>
        <v/>
      </c>
      <c r="G579" s="1411" t="str">
        <f>IFERROR(VLOOKUP(C579, [6]條件!$A:$L, 7, 0), "")</f>
        <v/>
      </c>
      <c r="H579" s="978" t="str">
        <f>IF(ISNA(VLOOKUP(C579,[6]條件!$A$1:$K$932,11,0)),"",(VLOOKUP(C579,[6]條件!$A$1:$K$932,11,0)))</f>
        <v/>
      </c>
      <c r="I579" s="979" t="str">
        <f>IF(ISNA(VLOOKUP(C579,[6]條件!$A$1:$L$932,12,0)),"",(VLOOKUP(C579,[6]條件!$A$1:$L$932,12,0)))</f>
        <v/>
      </c>
      <c r="J579" s="982"/>
      <c r="K579" s="980"/>
      <c r="L579" s="981" t="s">
        <v>632</v>
      </c>
      <c r="M579" s="983"/>
      <c r="N579" s="982"/>
      <c r="O579" s="980"/>
      <c r="P579" s="981" t="s">
        <v>632</v>
      </c>
      <c r="Q579" s="983"/>
      <c r="R579" s="982"/>
      <c r="S579" s="980"/>
      <c r="T579" s="981" t="s">
        <v>632</v>
      </c>
      <c r="U579" s="983"/>
      <c r="V579" s="982"/>
      <c r="W579" s="980"/>
      <c r="X579" s="981" t="s">
        <v>632</v>
      </c>
      <c r="Y579" s="983"/>
      <c r="Z579" s="1412" t="str">
        <f>IFERROR(VLOOKUP(C579, [6]條件!$A:$L, 3, 0), "")</f>
        <v/>
      </c>
      <c r="AA579" s="984" t="str">
        <f>IF(OR(L579={"改紡","檢修","了機","清車","FINAL","停機","SAMPLE","TEST","絲開發"}), L579, IFERROR(IF(C579="", "", (SUM(J579, N579, R579, V579)/3 * AG579) * IF(AND(AF579="S", AS579="雙"), 0.5, 1)), ""))</f>
        <v>停機</v>
      </c>
      <c r="AB579" s="1413" t="str">
        <f t="shared" si="98"/>
        <v/>
      </c>
      <c r="AC579" s="984" t="str">
        <f>IF(OR(L579={"改紡","檢修","了機","清車","FINAL","停機","SAMPLE","TEST"}), "", IFERROR(IF(C579="", "", AVERAGE(L579:M579, P579:Q579, T579:U579, X579:Y579)/100), ""))</f>
        <v/>
      </c>
      <c r="AD579" s="984" t="str">
        <f t="shared" si="101"/>
        <v/>
      </c>
      <c r="AE579" s="984" t="str">
        <f t="shared" si="99"/>
        <v/>
      </c>
      <c r="AF579" s="985" t="str">
        <f t="shared" si="102"/>
        <v>A</v>
      </c>
      <c r="AG579" s="1414">
        <v>1</v>
      </c>
      <c r="AH579" s="981" t="s">
        <v>640</v>
      </c>
      <c r="AI579" s="986" t="s">
        <v>640</v>
      </c>
      <c r="AJ579" s="986" t="s">
        <v>640</v>
      </c>
      <c r="AK579" s="1417" t="s">
        <v>640</v>
      </c>
      <c r="AL579" s="1420"/>
      <c r="AM579" s="1323"/>
      <c r="AN579" s="1323"/>
      <c r="AO579" s="1323"/>
      <c r="AP579" s="1323"/>
      <c r="AQ579" s="1323"/>
      <c r="AR579" s="987"/>
      <c r="AS579" s="978" t="str">
        <f t="shared" si="103"/>
        <v>單</v>
      </c>
      <c r="AT579" s="978" t="str">
        <f t="shared" si="104"/>
        <v>全</v>
      </c>
      <c r="AU579" s="978" t="str">
        <f t="shared" si="105"/>
        <v/>
      </c>
      <c r="AV579" s="978" t="str">
        <f t="shared" si="106"/>
        <v/>
      </c>
    </row>
    <row r="580" spans="1:48">
      <c r="A580" s="975">
        <f t="shared" si="100"/>
        <v>46157</v>
      </c>
      <c r="B580" s="976" t="s">
        <v>229</v>
      </c>
      <c r="C580" s="976" t="s">
        <v>632</v>
      </c>
      <c r="D580" s="1410"/>
      <c r="E580" s="977" t="str">
        <f>IFERROR(VLOOKUP(C580, [6]條件!$A:$L, 5, 0), "")</f>
        <v/>
      </c>
      <c r="F580" s="978" t="str">
        <f>IFERROR(VLOOKUP(C580, [6]條件!$A:$L, 6, 0), "")</f>
        <v/>
      </c>
      <c r="G580" s="1411" t="str">
        <f>IFERROR(VLOOKUP(C580, [6]條件!$A:$L, 7, 0), "")</f>
        <v/>
      </c>
      <c r="H580" s="978" t="str">
        <f>IF(ISNA(VLOOKUP(C580,[6]條件!$A$1:$K$932,11,0)),"",(VLOOKUP(C580,[6]條件!$A$1:$K$932,11,0)))</f>
        <v/>
      </c>
      <c r="I580" s="979" t="str">
        <f>IF(ISNA(VLOOKUP(C580,[6]條件!$A$1:$L$932,12,0)),"",(VLOOKUP(C580,[6]條件!$A$1:$L$932,12,0)))</f>
        <v/>
      </c>
      <c r="J580" s="982"/>
      <c r="K580" s="980"/>
      <c r="L580" s="981" t="s">
        <v>632</v>
      </c>
      <c r="M580" s="983"/>
      <c r="N580" s="982"/>
      <c r="O580" s="980"/>
      <c r="P580" s="981" t="s">
        <v>632</v>
      </c>
      <c r="Q580" s="983"/>
      <c r="R580" s="982"/>
      <c r="S580" s="980"/>
      <c r="T580" s="981" t="s">
        <v>632</v>
      </c>
      <c r="U580" s="983"/>
      <c r="V580" s="982"/>
      <c r="W580" s="980"/>
      <c r="X580" s="981" t="s">
        <v>632</v>
      </c>
      <c r="Y580" s="983"/>
      <c r="Z580" s="1412" t="str">
        <f>IFERROR(VLOOKUP(C580, [6]條件!$A:$L, 3, 0), "")</f>
        <v/>
      </c>
      <c r="AA580" s="984" t="str">
        <f>IF(OR(L580={"改紡","檢修","了機","清車","FINAL","停機","SAMPLE","TEST","絲開發"}), L580, IFERROR(IF(C580="", "", (SUM(J580, N580, R580, V580)/3 * AG580) * IF(AND(AF580="S", AS580="雙"), 0.5, 1)), ""))</f>
        <v>停機</v>
      </c>
      <c r="AB580" s="1413" t="str">
        <f t="shared" si="98"/>
        <v/>
      </c>
      <c r="AC580" s="984" t="str">
        <f>IF(OR(L580={"改紡","檢修","了機","清車","FINAL","停機","SAMPLE","TEST"}), "", IFERROR(IF(C580="", "", AVERAGE(L580:M580, P580:Q580, T580:U580, X580:Y580)/100), ""))</f>
        <v/>
      </c>
      <c r="AD580" s="984" t="str">
        <f t="shared" si="101"/>
        <v/>
      </c>
      <c r="AE580" s="984" t="str">
        <f t="shared" si="99"/>
        <v/>
      </c>
      <c r="AF580" s="985" t="str">
        <f t="shared" si="102"/>
        <v>A</v>
      </c>
      <c r="AG580" s="1414">
        <v>1</v>
      </c>
      <c r="AH580" s="981" t="s">
        <v>640</v>
      </c>
      <c r="AI580" s="986" t="s">
        <v>640</v>
      </c>
      <c r="AJ580" s="986" t="s">
        <v>640</v>
      </c>
      <c r="AK580" s="1417" t="s">
        <v>640</v>
      </c>
      <c r="AL580" s="1421"/>
      <c r="AM580" s="1323"/>
      <c r="AN580" s="1323"/>
      <c r="AO580" s="1323"/>
      <c r="AP580" s="1323"/>
      <c r="AQ580" s="1323"/>
      <c r="AR580" s="987"/>
      <c r="AS580" s="978" t="str">
        <f t="shared" si="103"/>
        <v>單</v>
      </c>
      <c r="AT580" s="978" t="str">
        <f t="shared" si="104"/>
        <v>全</v>
      </c>
      <c r="AU580" s="978" t="str">
        <f t="shared" si="105"/>
        <v/>
      </c>
      <c r="AV580" s="978" t="str">
        <f t="shared" si="106"/>
        <v/>
      </c>
    </row>
    <row r="581" spans="1:48">
      <c r="A581" s="975">
        <f t="shared" si="100"/>
        <v>46157</v>
      </c>
      <c r="B581" s="976" t="s">
        <v>230</v>
      </c>
      <c r="C581" s="976" t="s">
        <v>16751</v>
      </c>
      <c r="D581" s="1410"/>
      <c r="E581" s="977" t="str">
        <f>IFERROR(VLOOKUP(C581, [6]條件!$A:$L, 5, 0), "")</f>
        <v>150/48/2GY5</v>
      </c>
      <c r="F581" s="978" t="str">
        <f>IFERROR(VLOOKUP(C581, [6]條件!$A:$L, 6, 0), "")</f>
        <v>FP02422×2</v>
      </c>
      <c r="G581" s="1411">
        <f>IFERROR(VLOOKUP(C581, [6]條件!$A:$L, 7, 0), "")</f>
        <v>600</v>
      </c>
      <c r="H581" s="978" t="str">
        <f>IF(ISNA(VLOOKUP(C581,[6]條件!$A$1:$K$932,11,0)),"",(VLOOKUP(C581,[6]條件!$A$1:$K$932,11,0)))</f>
        <v>白底紅星</v>
      </c>
      <c r="I581" s="979">
        <f>IF(ISNA(VLOOKUP(C581,[6]條件!$A$1:$L$932,12,0)),"",(VLOOKUP(C581,[6]條件!$A$1:$L$932,12,0)))</f>
        <v>4</v>
      </c>
      <c r="J581" s="982">
        <v>26</v>
      </c>
      <c r="K581" s="980">
        <v>0</v>
      </c>
      <c r="L581" s="981">
        <v>9389</v>
      </c>
      <c r="M581" s="983">
        <v>9401</v>
      </c>
      <c r="N581" s="982">
        <v>14</v>
      </c>
      <c r="O581" s="980">
        <v>0</v>
      </c>
      <c r="P581" s="981">
        <v>9322</v>
      </c>
      <c r="Q581" s="983">
        <v>9542</v>
      </c>
      <c r="R581" s="982">
        <v>10</v>
      </c>
      <c r="S581" s="980">
        <v>0</v>
      </c>
      <c r="T581" s="981">
        <v>9383</v>
      </c>
      <c r="U581" s="983">
        <v>9421</v>
      </c>
      <c r="V581" s="982">
        <v>28</v>
      </c>
      <c r="W581" s="980">
        <v>0</v>
      </c>
      <c r="X581" s="981">
        <v>9362</v>
      </c>
      <c r="Y581" s="983">
        <v>9239</v>
      </c>
      <c r="Z581" s="1412">
        <f>IFERROR(VLOOKUP(C581, [6]條件!$A:$L, 3, 0), "")</f>
        <v>6.9230769230769234</v>
      </c>
      <c r="AA581" s="984">
        <f>IF(OR(L581={"改紡","檢修","了機","清車","FINAL","停機","SAMPLE","TEST","絲開發"}), L581, IFERROR(IF(C581="", "", (SUM(J581, N581, R581, V581)/3 * AG581) * IF(AND(AF581="S", AS581="雙"), 0.5, 1)), ""))</f>
        <v>13</v>
      </c>
      <c r="AB581" s="1413">
        <f t="shared" si="98"/>
        <v>1</v>
      </c>
      <c r="AC581" s="984">
        <f>IF(OR(L581={"改紡","檢修","了機","清車","FINAL","停機","SAMPLE","TEST"}), "", IFERROR(IF(C581="", "", AVERAGE(L581:M581, P581:Q581, T581:U581, X581:Y581)/100), ""))</f>
        <v>93.823750000000004</v>
      </c>
      <c r="AD581" s="984">
        <f t="shared" si="101"/>
        <v>1.625</v>
      </c>
      <c r="AE581" s="984">
        <f t="shared" si="99"/>
        <v>1.625</v>
      </c>
      <c r="AF581" s="985" t="str">
        <f t="shared" si="102"/>
        <v>A</v>
      </c>
      <c r="AG581" s="1414">
        <v>0.5</v>
      </c>
      <c r="AH581" s="981" t="s">
        <v>631</v>
      </c>
      <c r="AI581" s="986" t="s">
        <v>631</v>
      </c>
      <c r="AJ581" s="986" t="s">
        <v>725</v>
      </c>
      <c r="AK581" s="1417" t="s">
        <v>725</v>
      </c>
      <c r="AL581" s="1415">
        <v>52</v>
      </c>
      <c r="AM581" s="1323">
        <v>46153</v>
      </c>
      <c r="AN581" s="1323">
        <v>46154</v>
      </c>
      <c r="AO581" s="1323"/>
      <c r="AP581" s="1323"/>
      <c r="AQ581" s="1323"/>
      <c r="AR581" s="987"/>
      <c r="AS581" s="978" t="str">
        <f t="shared" si="103"/>
        <v>雙</v>
      </c>
      <c r="AT581" s="978" t="str">
        <f t="shared" si="104"/>
        <v>全</v>
      </c>
      <c r="AU581" s="978">
        <f t="shared" si="105"/>
        <v>150</v>
      </c>
      <c r="AV581" s="978">
        <f t="shared" si="106"/>
        <v>2.91829392</v>
      </c>
    </row>
    <row r="582" spans="1:48">
      <c r="A582" s="975">
        <f t="shared" si="100"/>
        <v>46157</v>
      </c>
      <c r="B582" s="976" t="s">
        <v>231</v>
      </c>
      <c r="C582" s="976" t="s">
        <v>632</v>
      </c>
      <c r="D582" s="1410"/>
      <c r="E582" s="977" t="str">
        <f>IFERROR(VLOOKUP(C582, [6]條件!$A:$L, 5, 0), "")</f>
        <v/>
      </c>
      <c r="F582" s="978" t="str">
        <f>IFERROR(VLOOKUP(C582, [6]條件!$A:$L, 6, 0), "")</f>
        <v/>
      </c>
      <c r="G582" s="1411" t="str">
        <f>IFERROR(VLOOKUP(C582, [6]條件!$A:$L, 7, 0), "")</f>
        <v/>
      </c>
      <c r="H582" s="978" t="str">
        <f>IF(ISNA(VLOOKUP(C582,[6]條件!$A$1:$K$932,11,0)),"",(VLOOKUP(C582,[6]條件!$A$1:$K$932,11,0)))</f>
        <v/>
      </c>
      <c r="I582" s="979" t="str">
        <f>IF(ISNA(VLOOKUP(C582,[6]條件!$A$1:$L$932,12,0)),"",(VLOOKUP(C582,[6]條件!$A$1:$L$932,12,0)))</f>
        <v/>
      </c>
      <c r="J582" s="982"/>
      <c r="K582" s="980"/>
      <c r="L582" s="981" t="s">
        <v>632</v>
      </c>
      <c r="M582" s="983"/>
      <c r="N582" s="982"/>
      <c r="O582" s="980"/>
      <c r="P582" s="981" t="s">
        <v>632</v>
      </c>
      <c r="Q582" s="983"/>
      <c r="R582" s="982"/>
      <c r="S582" s="980"/>
      <c r="T582" s="981" t="s">
        <v>632</v>
      </c>
      <c r="U582" s="983"/>
      <c r="V582" s="982"/>
      <c r="W582" s="980"/>
      <c r="X582" s="981" t="s">
        <v>632</v>
      </c>
      <c r="Y582" s="983"/>
      <c r="Z582" s="1412" t="str">
        <f>IFERROR(VLOOKUP(C582, [6]條件!$A:$L, 3, 0), "")</f>
        <v/>
      </c>
      <c r="AA582" s="984" t="str">
        <f>IF(OR(L582={"改紡","檢修","了機","清車","FINAL","停機","SAMPLE","TEST","絲開發"}), L582, IFERROR(IF(C582="", "", (SUM(J582, N582, R582, V582)/3 * AG582) * IF(AND(AF582="S", AS582="雙"), 0.5, 1)), ""))</f>
        <v>停機</v>
      </c>
      <c r="AB582" s="1413" t="str">
        <f t="shared" si="98"/>
        <v/>
      </c>
      <c r="AC582" s="984" t="str">
        <f>IF(OR(L582={"改紡","檢修","了機","清車","FINAL","停機","SAMPLE","TEST"}), "", IFERROR(IF(C582="", "", AVERAGE(L582:M582, P582:Q582, T582:U582, X582:Y582)/100), ""))</f>
        <v/>
      </c>
      <c r="AD582" s="984" t="str">
        <f t="shared" si="101"/>
        <v/>
      </c>
      <c r="AE582" s="984" t="str">
        <f t="shared" si="99"/>
        <v/>
      </c>
      <c r="AF582" s="985" t="str">
        <f t="shared" si="102"/>
        <v>J</v>
      </c>
      <c r="AG582" s="1414">
        <v>1</v>
      </c>
      <c r="AH582" s="981" t="s">
        <v>640</v>
      </c>
      <c r="AI582" s="986" t="s">
        <v>640</v>
      </c>
      <c r="AJ582" s="986" t="s">
        <v>640</v>
      </c>
      <c r="AK582" s="1417" t="s">
        <v>640</v>
      </c>
      <c r="AL582" s="1415"/>
      <c r="AM582" s="1323"/>
      <c r="AN582" s="1323"/>
      <c r="AO582" s="1323"/>
      <c r="AP582" s="1323"/>
      <c r="AQ582" s="1323"/>
      <c r="AR582" s="987"/>
      <c r="AS582" s="978" t="str">
        <f t="shared" si="103"/>
        <v>單</v>
      </c>
      <c r="AT582" s="978" t="str">
        <f t="shared" si="104"/>
        <v>全</v>
      </c>
      <c r="AU582" s="978" t="str">
        <f t="shared" si="105"/>
        <v/>
      </c>
      <c r="AV582" s="978" t="str">
        <f t="shared" si="106"/>
        <v/>
      </c>
    </row>
    <row r="583" spans="1:48">
      <c r="A583" s="975">
        <f t="shared" si="100"/>
        <v>46157</v>
      </c>
      <c r="B583" s="976" t="s">
        <v>233</v>
      </c>
      <c r="C583" s="976" t="s">
        <v>16772</v>
      </c>
      <c r="D583" s="1410" t="s">
        <v>633</v>
      </c>
      <c r="E583" s="977" t="str">
        <f>IFERROR(VLOOKUP(C583, [6]條件!$A:$L, 5, 0), "")</f>
        <v>150/48/2SDr</v>
      </c>
      <c r="F583" s="978" t="str">
        <f>IFERROR(VLOOKUP(C583, [6]條件!$A:$L, 6, 0), "")</f>
        <v>FP82171R×2</v>
      </c>
      <c r="G583" s="1411">
        <f>IFERROR(VLOOKUP(C583, [6]條件!$A:$L, 7, 0), "")</f>
        <v>600</v>
      </c>
      <c r="H583" s="978" t="str">
        <f>IF(ISNA(VLOOKUP(C583,[6]條件!$A$1:$K$932,11,0)),"",(VLOOKUP(C583,[6]條件!$A$1:$K$932,11,0)))</f>
        <v>紅白直條</v>
      </c>
      <c r="I583" s="979">
        <f>IF(ISNA(VLOOKUP(C583,[6]條件!$A$1:$L$932,12,0)),"",(VLOOKUP(C583,[6]條件!$A$1:$L$932,12,0)))</f>
        <v>5.5</v>
      </c>
      <c r="J583" s="982">
        <v>22</v>
      </c>
      <c r="K583" s="980">
        <v>2</v>
      </c>
      <c r="L583" s="981">
        <v>7250</v>
      </c>
      <c r="M583" s="983"/>
      <c r="N583" s="982">
        <v>8</v>
      </c>
      <c r="O583" s="980">
        <v>4</v>
      </c>
      <c r="P583" s="981">
        <v>7540</v>
      </c>
      <c r="Q583" s="983"/>
      <c r="R583" s="982">
        <v>15</v>
      </c>
      <c r="S583" s="980">
        <v>0</v>
      </c>
      <c r="T583" s="981">
        <v>7390</v>
      </c>
      <c r="U583" s="983"/>
      <c r="V583" s="982">
        <v>49</v>
      </c>
      <c r="W583" s="980">
        <v>7</v>
      </c>
      <c r="X583" s="981">
        <v>7390</v>
      </c>
      <c r="Y583" s="983"/>
      <c r="Z583" s="1412">
        <f>IFERROR(VLOOKUP(C583, [6]條件!$A:$L, 3, 0), "")</f>
        <v>5.0526315789473673</v>
      </c>
      <c r="AA583" s="984">
        <f>IF(OR(L583={"改紡","檢修","了機","清車","FINAL","停機","SAMPLE","TEST","絲開發"}), L583, IFERROR(IF(C583="", "", (SUM(J583, N583, R583, V583)/3 * AG583) * IF(AND(AF583="S", AS583="雙"), 0.5, 1)), ""))</f>
        <v>31.333333333333332</v>
      </c>
      <c r="AB583" s="1413">
        <f t="shared" si="98"/>
        <v>0.98763020833333337</v>
      </c>
      <c r="AC583" s="984">
        <f>IF(OR(L583={"改紡","檢修","了機","清車","FINAL","停機","SAMPLE","TEST"}), "", IFERROR(IF(C583="", "", AVERAGE(L583:M583, P583:Q583, T583:U583, X583:Y583)/100), ""))</f>
        <v>73.924999999999997</v>
      </c>
      <c r="AD583" s="984">
        <f t="shared" si="101"/>
        <v>3.9166666666666665</v>
      </c>
      <c r="AE583" s="984">
        <f t="shared" si="99"/>
        <v>3.375</v>
      </c>
      <c r="AF583" s="985" t="str">
        <f t="shared" si="102"/>
        <v>J</v>
      </c>
      <c r="AG583" s="1414">
        <v>1</v>
      </c>
      <c r="AH583" s="981" t="s">
        <v>637</v>
      </c>
      <c r="AI583" s="986" t="s">
        <v>637</v>
      </c>
      <c r="AJ583" s="986" t="s">
        <v>814</v>
      </c>
      <c r="AK583" s="1417" t="s">
        <v>814</v>
      </c>
      <c r="AL583" s="1415">
        <v>55</v>
      </c>
      <c r="AM583" s="1323">
        <v>46151</v>
      </c>
      <c r="AN583" s="1323">
        <v>46152</v>
      </c>
      <c r="AO583" s="1323">
        <v>46153</v>
      </c>
      <c r="AP583" s="1323">
        <v>46155</v>
      </c>
      <c r="AQ583" s="1323"/>
      <c r="AR583" s="987"/>
      <c r="AS583" s="978" t="str">
        <f t="shared" si="103"/>
        <v>雙</v>
      </c>
      <c r="AT583" s="978" t="str">
        <f t="shared" si="104"/>
        <v>全</v>
      </c>
      <c r="AU583" s="978">
        <f t="shared" si="105"/>
        <v>150</v>
      </c>
      <c r="AV583" s="978">
        <f t="shared" si="106"/>
        <v>4.5987264000000003</v>
      </c>
    </row>
    <row r="584" spans="1:48">
      <c r="A584" s="975">
        <f t="shared" si="100"/>
        <v>46157</v>
      </c>
      <c r="B584" s="976" t="s">
        <v>234</v>
      </c>
      <c r="C584" s="976" t="s">
        <v>632</v>
      </c>
      <c r="D584" s="1410"/>
      <c r="E584" s="977" t="str">
        <f>IFERROR(VLOOKUP(C584, [6]條件!$A:$L, 5, 0), "")</f>
        <v/>
      </c>
      <c r="F584" s="978" t="str">
        <f>IFERROR(VLOOKUP(C584, [6]條件!$A:$L, 6, 0), "")</f>
        <v/>
      </c>
      <c r="G584" s="1411" t="str">
        <f>IFERROR(VLOOKUP(C584, [6]條件!$A:$L, 7, 0), "")</f>
        <v/>
      </c>
      <c r="H584" s="978" t="str">
        <f>IF(ISNA(VLOOKUP(C584,[6]條件!$A$1:$K$932,11,0)),"",(VLOOKUP(C584,[6]條件!$A$1:$K$932,11,0)))</f>
        <v/>
      </c>
      <c r="I584" s="979" t="str">
        <f>IF(ISNA(VLOOKUP(C584,[6]條件!$A$1:$L$932,12,0)),"",(VLOOKUP(C584,[6]條件!$A$1:$L$932,12,0)))</f>
        <v/>
      </c>
      <c r="J584" s="982"/>
      <c r="K584" s="980"/>
      <c r="L584" s="981" t="s">
        <v>632</v>
      </c>
      <c r="M584" s="983"/>
      <c r="N584" s="982"/>
      <c r="O584" s="980"/>
      <c r="P584" s="981" t="s">
        <v>632</v>
      </c>
      <c r="Q584" s="983"/>
      <c r="R584" s="982"/>
      <c r="S584" s="980"/>
      <c r="T584" s="981" t="s">
        <v>632</v>
      </c>
      <c r="U584" s="983"/>
      <c r="V584" s="982"/>
      <c r="W584" s="980"/>
      <c r="X584" s="981" t="s">
        <v>632</v>
      </c>
      <c r="Y584" s="983"/>
      <c r="Z584" s="1412" t="str">
        <f>IFERROR(VLOOKUP(C584, [6]條件!$A:$L, 3, 0), "")</f>
        <v/>
      </c>
      <c r="AA584" s="984" t="str">
        <f>IF(OR(L584={"改紡","檢修","了機","清車","FINAL","停機","SAMPLE","TEST","絲開發"}), L584, IFERROR(IF(C584="", "", (SUM(J584, N584, R584, V584)/3 * AG584) * IF(AND(AF584="S", AS584="雙"), 0.5, 1)), ""))</f>
        <v>停機</v>
      </c>
      <c r="AB584" s="1413" t="str">
        <f t="shared" si="98"/>
        <v/>
      </c>
      <c r="AC584" s="984" t="str">
        <f>IF(OR(L584={"改紡","檢修","了機","清車","FINAL","停機","SAMPLE","TEST"}), "", IFERROR(IF(C584="", "", AVERAGE(L584:M584, P584:Q584, T584:U584, X584:Y584)/100), ""))</f>
        <v/>
      </c>
      <c r="AD584" s="984" t="str">
        <f t="shared" si="101"/>
        <v/>
      </c>
      <c r="AE584" s="984" t="str">
        <f t="shared" si="99"/>
        <v/>
      </c>
      <c r="AF584" s="985" t="str">
        <f t="shared" si="102"/>
        <v>J</v>
      </c>
      <c r="AG584" s="1414">
        <v>1</v>
      </c>
      <c r="AH584" s="981" t="s">
        <v>640</v>
      </c>
      <c r="AI584" s="986" t="s">
        <v>640</v>
      </c>
      <c r="AJ584" s="986" t="s">
        <v>640</v>
      </c>
      <c r="AK584" s="1417" t="s">
        <v>640</v>
      </c>
      <c r="AL584" s="1415"/>
      <c r="AM584" s="1323"/>
      <c r="AN584" s="1323"/>
      <c r="AO584" s="1323"/>
      <c r="AP584" s="1323"/>
      <c r="AQ584" s="1323"/>
      <c r="AR584" s="987"/>
      <c r="AS584" s="978" t="str">
        <f t="shared" si="103"/>
        <v>單</v>
      </c>
      <c r="AT584" s="978" t="str">
        <f t="shared" si="104"/>
        <v>全</v>
      </c>
      <c r="AU584" s="978" t="str">
        <f t="shared" si="105"/>
        <v/>
      </c>
      <c r="AV584" s="978" t="str">
        <f t="shared" si="106"/>
        <v/>
      </c>
    </row>
    <row r="585" spans="1:48">
      <c r="A585" s="975">
        <f t="shared" si="100"/>
        <v>46157</v>
      </c>
      <c r="B585" s="976" t="s">
        <v>235</v>
      </c>
      <c r="C585" s="976" t="s">
        <v>16765</v>
      </c>
      <c r="D585" s="1410" t="s">
        <v>633</v>
      </c>
      <c r="E585" s="977" t="str">
        <f>IFERROR(VLOOKUP(C585, [6]條件!$A:$L, 5, 0), "")</f>
        <v>150/48/2SDr</v>
      </c>
      <c r="F585" s="978" t="str">
        <f>IFERROR(VLOOKUP(C585, [6]條件!$A:$L, 6, 0), "")</f>
        <v>FP82173R×2</v>
      </c>
      <c r="G585" s="1411">
        <f>IFERROR(VLOOKUP(C585, [6]條件!$A:$L, 7, 0), "")</f>
        <v>700</v>
      </c>
      <c r="H585" s="978" t="str">
        <f>IF(ISNA(VLOOKUP(C585,[6]條件!$A$1:$K$932,11,0)),"",(VLOOKUP(C585,[6]條件!$A$1:$K$932,11,0)))</f>
        <v>白紫條紋</v>
      </c>
      <c r="I585" s="979">
        <f>IF(ISNA(VLOOKUP(C585,[6]條件!$A$1:$L$932,12,0)),"",(VLOOKUP(C585,[6]條件!$A$1:$L$932,12,0)))</f>
        <v>5.5</v>
      </c>
      <c r="J585" s="982">
        <v>27</v>
      </c>
      <c r="K585" s="980">
        <v>0</v>
      </c>
      <c r="L585" s="981">
        <v>8150</v>
      </c>
      <c r="M585" s="983">
        <v>8980</v>
      </c>
      <c r="N585" s="982">
        <v>16</v>
      </c>
      <c r="O585" s="980">
        <v>0</v>
      </c>
      <c r="P585" s="981">
        <v>8610</v>
      </c>
      <c r="Q585" s="983">
        <v>8980</v>
      </c>
      <c r="R585" s="982">
        <v>20</v>
      </c>
      <c r="S585" s="980">
        <v>0</v>
      </c>
      <c r="T585" s="981">
        <v>8700</v>
      </c>
      <c r="U585" s="983">
        <v>9350</v>
      </c>
      <c r="V585" s="982">
        <v>23</v>
      </c>
      <c r="W585" s="980">
        <v>0</v>
      </c>
      <c r="X585" s="981">
        <v>8430</v>
      </c>
      <c r="Y585" s="983">
        <v>9260</v>
      </c>
      <c r="Z585" s="1412">
        <f>IFERROR(VLOOKUP(C585, [6]條件!$A:$L, 3, 0), "")</f>
        <v>5.8775510204081636</v>
      </c>
      <c r="AA585" s="984">
        <f>IF(OR(L585={"改紡","檢修","了機","清車","FINAL","停機","SAMPLE","TEST","絲開發"}), L585, IFERROR(IF(C585="", "", (SUM(J585, N585, R585, V585)/3 * AG585) * IF(AND(AF585="S", AS585="雙"), 0.5, 1)), ""))</f>
        <v>28.666666666666668</v>
      </c>
      <c r="AB585" s="1413">
        <f t="shared" si="98"/>
        <v>1</v>
      </c>
      <c r="AC585" s="984">
        <f>IF(OR(L585={"改紡","檢修","了機","清車","FINAL","停機","SAMPLE","TEST"}), "", IFERROR(IF(C585="", "", AVERAGE(L585:M585, P585:Q585, T585:U585, X585:Y585)/100), ""))</f>
        <v>88.075000000000003</v>
      </c>
      <c r="AD585" s="984">
        <f t="shared" si="101"/>
        <v>3.5833333333333335</v>
      </c>
      <c r="AE585" s="984">
        <f t="shared" si="99"/>
        <v>3.5833333333333335</v>
      </c>
      <c r="AF585" s="985" t="str">
        <f t="shared" si="102"/>
        <v>T</v>
      </c>
      <c r="AG585" s="1414">
        <v>1</v>
      </c>
      <c r="AH585" s="981" t="s">
        <v>651</v>
      </c>
      <c r="AI585" s="986" t="s">
        <v>651</v>
      </c>
      <c r="AJ585" s="986" t="s">
        <v>835</v>
      </c>
      <c r="AK585" s="1417" t="s">
        <v>835</v>
      </c>
      <c r="AL585" s="1415">
        <v>56</v>
      </c>
      <c r="AM585" s="1323">
        <v>46152</v>
      </c>
      <c r="AN585" s="1323">
        <v>46153</v>
      </c>
      <c r="AO585" s="1323">
        <v>46154</v>
      </c>
      <c r="AP585" s="1323"/>
      <c r="AQ585" s="1323"/>
      <c r="AR585" s="987"/>
      <c r="AS585" s="978" t="str">
        <f t="shared" si="103"/>
        <v>雙</v>
      </c>
      <c r="AT585" s="978" t="str">
        <f t="shared" si="104"/>
        <v>全</v>
      </c>
      <c r="AU585" s="978">
        <f t="shared" si="105"/>
        <v>150</v>
      </c>
      <c r="AV585" s="978">
        <f t="shared" si="106"/>
        <v>6.3921311999999997</v>
      </c>
    </row>
    <row r="586" spans="1:48">
      <c r="A586" s="975">
        <f t="shared" si="100"/>
        <v>46157</v>
      </c>
      <c r="B586" s="976" t="s">
        <v>237</v>
      </c>
      <c r="C586" s="976" t="s">
        <v>16759</v>
      </c>
      <c r="D586" s="1410" t="s">
        <v>633</v>
      </c>
      <c r="E586" s="977" t="str">
        <f>IFERROR(VLOOKUP(C586, [6]條件!$A:$L, 5, 0), "")</f>
        <v>150/48/2SDr</v>
      </c>
      <c r="F586" s="978" t="str">
        <f>IFERROR(VLOOKUP(C586, [6]條件!$A:$L, 6, 0), "")</f>
        <v>FP82171R×2</v>
      </c>
      <c r="G586" s="1411">
        <f>IFERROR(VLOOKUP(C586, [6]條件!$A:$L, 7, 0), "")</f>
        <v>700</v>
      </c>
      <c r="H586" s="978" t="str">
        <f>IF(ISNA(VLOOKUP(C586,[6]條件!$A$1:$K$932,11,0)),"",(VLOOKUP(C586,[6]條件!$A$1:$K$932,11,0)))</f>
        <v>紅底黃星</v>
      </c>
      <c r="I586" s="979">
        <f>IF(ISNA(VLOOKUP(C586,[6]條件!$A$1:$L$932,12,0)),"",(VLOOKUP(C586,[6]條件!$A$1:$L$932,12,0)))</f>
        <v>5.5</v>
      </c>
      <c r="J586" s="982">
        <v>30</v>
      </c>
      <c r="K586" s="980">
        <v>0</v>
      </c>
      <c r="L586" s="981">
        <v>9260</v>
      </c>
      <c r="M586" s="983">
        <v>8890</v>
      </c>
      <c r="N586" s="982">
        <v>16</v>
      </c>
      <c r="O586" s="980">
        <v>0</v>
      </c>
      <c r="P586" s="981">
        <v>9260</v>
      </c>
      <c r="Q586" s="983">
        <v>8980</v>
      </c>
      <c r="R586" s="982">
        <v>19</v>
      </c>
      <c r="S586" s="980">
        <v>0</v>
      </c>
      <c r="T586" s="981">
        <v>9350</v>
      </c>
      <c r="U586" s="983">
        <v>9260</v>
      </c>
      <c r="V586" s="982">
        <v>34</v>
      </c>
      <c r="W586" s="980">
        <v>2</v>
      </c>
      <c r="X586" s="981">
        <v>9350</v>
      </c>
      <c r="Y586" s="983">
        <v>9260</v>
      </c>
      <c r="Z586" s="1412">
        <f>IFERROR(VLOOKUP(C586, [6]條件!$A:$L, 3, 0), "")</f>
        <v>5.8299595141700413</v>
      </c>
      <c r="AA586" s="984">
        <f>IF(OR(L586={"改紡","檢修","了機","清車","FINAL","停機","SAMPLE","TEST","絲開發"}), L586, IFERROR(IF(C586="", "", (SUM(J586, N586, R586, V586)/3 * AG586) * IF(AND(AF586="S", AS586="雙"), 0.5, 1)), ""))</f>
        <v>33</v>
      </c>
      <c r="AB586" s="1413">
        <f t="shared" si="98"/>
        <v>0.99835069444444446</v>
      </c>
      <c r="AC586" s="984">
        <f>IF(OR(L586={"改紡","檢修","了機","清車","FINAL","停機","SAMPLE","TEST"}), "", IFERROR(IF(C586="", "", AVERAGE(L586:M586, P586:Q586, T586:U586, X586:Y586)/100), ""))</f>
        <v>92.012500000000003</v>
      </c>
      <c r="AD586" s="984">
        <f t="shared" si="101"/>
        <v>4.125</v>
      </c>
      <c r="AE586" s="984">
        <f t="shared" si="99"/>
        <v>4.041666666666667</v>
      </c>
      <c r="AF586" s="985" t="str">
        <f t="shared" si="102"/>
        <v>T</v>
      </c>
      <c r="AG586" s="1414">
        <v>1</v>
      </c>
      <c r="AH586" s="981" t="s">
        <v>651</v>
      </c>
      <c r="AI586" s="986" t="s">
        <v>651</v>
      </c>
      <c r="AJ586" s="986" t="s">
        <v>835</v>
      </c>
      <c r="AK586" s="1417" t="s">
        <v>835</v>
      </c>
      <c r="AL586" s="1415">
        <v>55</v>
      </c>
      <c r="AM586" s="1323">
        <v>46153</v>
      </c>
      <c r="AN586" s="1323">
        <v>46154</v>
      </c>
      <c r="AO586" s="1323">
        <v>46155</v>
      </c>
      <c r="AP586" s="1323"/>
      <c r="AQ586" s="1323"/>
      <c r="AR586" s="987"/>
      <c r="AS586" s="978" t="str">
        <f t="shared" si="103"/>
        <v>雙</v>
      </c>
      <c r="AT586" s="978" t="str">
        <f t="shared" si="104"/>
        <v>全</v>
      </c>
      <c r="AU586" s="978">
        <f t="shared" si="105"/>
        <v>150</v>
      </c>
      <c r="AV586" s="978">
        <f t="shared" si="106"/>
        <v>6.6778992000000006</v>
      </c>
    </row>
    <row r="587" spans="1:48">
      <c r="A587" s="975">
        <f t="shared" si="100"/>
        <v>46157</v>
      </c>
      <c r="B587" s="976" t="s">
        <v>238</v>
      </c>
      <c r="C587" s="976" t="s">
        <v>16743</v>
      </c>
      <c r="D587" s="1410"/>
      <c r="E587" s="977" t="str">
        <f>IFERROR(VLOOKUP(C587, [6]條件!$A:$L, 5, 0), "")</f>
        <v>150/48/2SDr</v>
      </c>
      <c r="F587" s="978" t="str">
        <f>IFERROR(VLOOKUP(C587, [6]條件!$A:$L, 6, 0), "")</f>
        <v>FP82169R×2</v>
      </c>
      <c r="G587" s="1411">
        <f>IFERROR(VLOOKUP(C587, [6]條件!$A:$L, 7, 0), "")</f>
        <v>670</v>
      </c>
      <c r="H587" s="978" t="str">
        <f>IF(ISNA(VLOOKUP(C587,[6]條件!$A$1:$K$932,11,0)),"",(VLOOKUP(C587,[6]條件!$A$1:$K$932,11,0)))</f>
        <v>黃底紅點</v>
      </c>
      <c r="I587" s="979">
        <f>IF(ISNA(VLOOKUP(C587,[6]條件!$A$1:$L$932,12,0)),"",(VLOOKUP(C587,[6]條件!$A$1:$L$932,12,0)))</f>
        <v>5</v>
      </c>
      <c r="J587" s="982">
        <v>24</v>
      </c>
      <c r="K587" s="980">
        <v>0</v>
      </c>
      <c r="L587" s="981">
        <v>8240</v>
      </c>
      <c r="M587" s="983"/>
      <c r="N587" s="982">
        <v>17</v>
      </c>
      <c r="O587" s="980">
        <v>0</v>
      </c>
      <c r="P587" s="981">
        <v>8700</v>
      </c>
      <c r="Q587" s="983"/>
      <c r="R587" s="982">
        <v>15</v>
      </c>
      <c r="S587" s="980">
        <v>2</v>
      </c>
      <c r="T587" s="981">
        <v>8520</v>
      </c>
      <c r="U587" s="983"/>
      <c r="V587" s="982">
        <v>26</v>
      </c>
      <c r="W587" s="980">
        <v>0</v>
      </c>
      <c r="X587" s="981">
        <v>9350</v>
      </c>
      <c r="Y587" s="983"/>
      <c r="Z587" s="1412">
        <f>IFERROR(VLOOKUP(C587, [6]條件!$A:$L, 3, 0), "")</f>
        <v>6.2882096069868991</v>
      </c>
      <c r="AA587" s="984">
        <f>IF(OR(L587={"改紡","檢修","了機","清車","FINAL","停機","SAMPLE","TEST","絲開發"}), L587, IFERROR(IF(C587="", "", (SUM(J587, N587, R587, V587)/3 * AG587) * IF(AND(AF587="S", AS587="雙"), 0.5, 1)), ""))</f>
        <v>54.666666666666664</v>
      </c>
      <c r="AB587" s="1413">
        <f t="shared" si="98"/>
        <v>0.9984708867521368</v>
      </c>
      <c r="AC587" s="984">
        <f>IF(OR(L587={"改紡","檢修","了機","清車","FINAL","停機","SAMPLE","TEST"}), "", IFERROR(IF(C587="", "", AVERAGE(L587:M587, P587:Q587, T587:U587, X587:Y587)/100), ""))</f>
        <v>87.025000000000006</v>
      </c>
      <c r="AD587" s="984">
        <f t="shared" si="101"/>
        <v>6.833333333333333</v>
      </c>
      <c r="AE587" s="984">
        <f t="shared" si="99"/>
        <v>6.666666666666667</v>
      </c>
      <c r="AF587" s="985" t="str">
        <f t="shared" si="102"/>
        <v>T</v>
      </c>
      <c r="AG587" s="1414">
        <v>2</v>
      </c>
      <c r="AH587" s="981" t="s">
        <v>651</v>
      </c>
      <c r="AI587" s="986" t="s">
        <v>651</v>
      </c>
      <c r="AJ587" s="986" t="s">
        <v>835</v>
      </c>
      <c r="AK587" s="1417" t="s">
        <v>835</v>
      </c>
      <c r="AL587" s="1415">
        <v>48</v>
      </c>
      <c r="AM587" s="1323">
        <v>46153</v>
      </c>
      <c r="AN587" s="1323">
        <v>46154</v>
      </c>
      <c r="AO587" s="1323"/>
      <c r="AP587" s="1323"/>
      <c r="AQ587" s="1323"/>
      <c r="AR587" s="987"/>
      <c r="AS587" s="978" t="str">
        <f t="shared" si="103"/>
        <v>雙</v>
      </c>
      <c r="AT587" s="978" t="str">
        <f t="shared" si="104"/>
        <v>半</v>
      </c>
      <c r="AU587" s="978">
        <f t="shared" si="105"/>
        <v>150</v>
      </c>
      <c r="AV587" s="978">
        <f t="shared" si="106"/>
        <v>3.0226219199999997</v>
      </c>
    </row>
    <row r="588" spans="1:48">
      <c r="A588" s="975">
        <f t="shared" si="100"/>
        <v>46157</v>
      </c>
      <c r="B588" s="976" t="s">
        <v>238</v>
      </c>
      <c r="C588" s="976" t="s">
        <v>16742</v>
      </c>
      <c r="D588" s="1410"/>
      <c r="E588" s="977" t="str">
        <f>IFERROR(VLOOKUP(C588, [6]條件!$A:$L, 5, 0), "")</f>
        <v>150/48/2SDr</v>
      </c>
      <c r="F588" s="978" t="str">
        <f>IFERROR(VLOOKUP(C588, [6]條件!$A:$L, 6, 0), "")</f>
        <v>FP82169R×2</v>
      </c>
      <c r="G588" s="1411">
        <f>IFERROR(VLOOKUP(C588, [6]條件!$A:$L, 7, 0), "")</f>
        <v>670</v>
      </c>
      <c r="H588" s="978" t="str">
        <f>IF(ISNA(VLOOKUP(C588,[6]條件!$A$1:$K$932,11,0)),"",(VLOOKUP(C588,[6]條件!$A$1:$K$932,11,0)))</f>
        <v>紅底藍點</v>
      </c>
      <c r="I588" s="979">
        <f>IF(ISNA(VLOOKUP(C588,[6]條件!$A$1:$L$932,12,0)),"",(VLOOKUP(C588,[6]條件!$A$1:$L$932,12,0)))</f>
        <v>5</v>
      </c>
      <c r="J588" s="982">
        <v>21</v>
      </c>
      <c r="K588" s="980">
        <v>0</v>
      </c>
      <c r="L588" s="981"/>
      <c r="M588" s="983">
        <v>8890</v>
      </c>
      <c r="N588" s="982">
        <v>15</v>
      </c>
      <c r="O588" s="980">
        <v>0</v>
      </c>
      <c r="P588" s="981"/>
      <c r="Q588" s="983">
        <v>8890</v>
      </c>
      <c r="R588" s="982">
        <v>0</v>
      </c>
      <c r="S588" s="980">
        <v>0</v>
      </c>
      <c r="T588" s="981">
        <v>8060</v>
      </c>
      <c r="U588" s="983"/>
      <c r="V588" s="982">
        <v>38</v>
      </c>
      <c r="W588" s="980">
        <v>0</v>
      </c>
      <c r="X588" s="981"/>
      <c r="Y588" s="983">
        <v>9720</v>
      </c>
      <c r="Z588" s="1412">
        <f>IFERROR(VLOOKUP(C588, [6]條件!$A:$L, 3, 0), "")</f>
        <v>6.1802575107296125</v>
      </c>
      <c r="AA588" s="984">
        <f>IF(OR(L588={"改紡","檢修","了機","清車","FINAL","停機","SAMPLE","TEST","絲開發"}), L588, IFERROR(IF(C588="", "", (SUM(J588, N588, R588, V588)/3 * AG588) * IF(AND(AF588="S", AS588="雙"), 0.5, 1)), ""))</f>
        <v>49.333333333333336</v>
      </c>
      <c r="AB588" s="1413">
        <f t="shared" si="98"/>
        <v>1</v>
      </c>
      <c r="AC588" s="984">
        <f>IF(OR(L588={"改紡","檢修","了機","清車","FINAL","停機","SAMPLE","TEST"}), "", IFERROR(IF(C588="", "", AVERAGE(L588:M588, P588:Q588, T588:U588, X588:Y588)/100), ""))</f>
        <v>88.9</v>
      </c>
      <c r="AD588" s="984">
        <f t="shared" si="101"/>
        <v>6.166666666666667</v>
      </c>
      <c r="AE588" s="984">
        <f t="shared" si="99"/>
        <v>6.166666666666667</v>
      </c>
      <c r="AF588" s="985" t="str">
        <f t="shared" si="102"/>
        <v>T</v>
      </c>
      <c r="AG588" s="1414">
        <v>2</v>
      </c>
      <c r="AH588" s="981" t="s">
        <v>651</v>
      </c>
      <c r="AI588" s="986" t="s">
        <v>651</v>
      </c>
      <c r="AJ588" s="986" t="s">
        <v>652</v>
      </c>
      <c r="AK588" s="1417" t="s">
        <v>652</v>
      </c>
      <c r="AL588" s="1415">
        <v>48</v>
      </c>
      <c r="AM588" s="1323">
        <v>46153</v>
      </c>
      <c r="AN588" s="1323">
        <v>46154</v>
      </c>
      <c r="AO588" s="1323"/>
      <c r="AP588" s="1323"/>
      <c r="AQ588" s="1323"/>
      <c r="AR588" s="987"/>
      <c r="AS588" s="978" t="str">
        <f t="shared" si="103"/>
        <v>雙</v>
      </c>
      <c r="AT588" s="978" t="str">
        <f t="shared" si="104"/>
        <v>半</v>
      </c>
      <c r="AU588" s="978">
        <f t="shared" si="105"/>
        <v>150</v>
      </c>
      <c r="AV588" s="978">
        <f t="shared" si="106"/>
        <v>3.0877459199999997</v>
      </c>
    </row>
    <row r="589" spans="1:48">
      <c r="A589" s="975">
        <f t="shared" si="100"/>
        <v>46157</v>
      </c>
      <c r="B589" s="976" t="s">
        <v>239</v>
      </c>
      <c r="C589" s="976" t="s">
        <v>632</v>
      </c>
      <c r="D589" s="1410"/>
      <c r="E589" s="977" t="str">
        <f>IFERROR(VLOOKUP(C589, [6]條件!$A:$L, 5, 0), "")</f>
        <v/>
      </c>
      <c r="F589" s="978" t="str">
        <f>IFERROR(VLOOKUP(C589, [6]條件!$A:$L, 6, 0), "")</f>
        <v/>
      </c>
      <c r="G589" s="1411" t="str">
        <f>IFERROR(VLOOKUP(C589, [6]條件!$A:$L, 7, 0), "")</f>
        <v/>
      </c>
      <c r="H589" s="978" t="str">
        <f>IF(ISNA(VLOOKUP(C589,[6]條件!$A$1:$K$932,11,0)),"",(VLOOKUP(C589,[6]條件!$A$1:$K$932,11,0)))</f>
        <v/>
      </c>
      <c r="I589" s="979" t="str">
        <f>IF(ISNA(VLOOKUP(C589,[6]條件!$A$1:$L$932,12,0)),"",(VLOOKUP(C589,[6]條件!$A$1:$L$932,12,0)))</f>
        <v/>
      </c>
      <c r="J589" s="982"/>
      <c r="K589" s="980"/>
      <c r="L589" s="981" t="s">
        <v>632</v>
      </c>
      <c r="M589" s="983"/>
      <c r="N589" s="982"/>
      <c r="O589" s="980"/>
      <c r="P589" s="981" t="s">
        <v>632</v>
      </c>
      <c r="Q589" s="983"/>
      <c r="R589" s="982"/>
      <c r="S589" s="980"/>
      <c r="T589" s="981" t="s">
        <v>632</v>
      </c>
      <c r="U589" s="983"/>
      <c r="V589" s="982"/>
      <c r="W589" s="980"/>
      <c r="X589" s="981" t="s">
        <v>632</v>
      </c>
      <c r="Y589" s="983"/>
      <c r="Z589" s="1412" t="str">
        <f>IFERROR(VLOOKUP(C589, [6]條件!$A:$L, 3, 0), "")</f>
        <v/>
      </c>
      <c r="AA589" s="984" t="str">
        <f>IF(OR(L589={"改紡","檢修","了機","清車","FINAL","停機","SAMPLE","TEST","絲開發"}), L589, IFERROR(IF(C589="", "", (SUM(J589, N589, R589, V589)/3 * AG589) * IF(AND(AF589="S", AS589="雙"), 0.5, 1)), ""))</f>
        <v>停機</v>
      </c>
      <c r="AB589" s="1413" t="str">
        <f t="shared" si="98"/>
        <v/>
      </c>
      <c r="AC589" s="984" t="str">
        <f>IF(OR(L589={"改紡","檢修","了機","清車","FINAL","停機","SAMPLE","TEST"}), "", IFERROR(IF(C589="", "", AVERAGE(L589:M589, P589:Q589, T589:U589, X589:Y589)/100), ""))</f>
        <v/>
      </c>
      <c r="AD589" s="984" t="str">
        <f t="shared" si="101"/>
        <v/>
      </c>
      <c r="AE589" s="984" t="str">
        <f t="shared" si="99"/>
        <v/>
      </c>
      <c r="AF589" s="985" t="str">
        <f t="shared" si="102"/>
        <v>T</v>
      </c>
      <c r="AG589" s="1414">
        <v>2</v>
      </c>
      <c r="AH589" s="981" t="s">
        <v>640</v>
      </c>
      <c r="AI589" s="986" t="s">
        <v>640</v>
      </c>
      <c r="AJ589" s="986" t="s">
        <v>640</v>
      </c>
      <c r="AK589" s="1417" t="s">
        <v>640</v>
      </c>
      <c r="AL589" s="1415"/>
      <c r="AM589" s="1323"/>
      <c r="AN589" s="1323"/>
      <c r="AO589" s="1323"/>
      <c r="AP589" s="1323"/>
      <c r="AQ589" s="1323"/>
      <c r="AR589" s="987"/>
      <c r="AS589" s="978" t="str">
        <f t="shared" si="103"/>
        <v>單</v>
      </c>
      <c r="AT589" s="978" t="str">
        <f t="shared" si="104"/>
        <v>半</v>
      </c>
      <c r="AU589" s="978" t="str">
        <f t="shared" si="105"/>
        <v/>
      </c>
      <c r="AV589" s="978" t="str">
        <f t="shared" si="106"/>
        <v/>
      </c>
    </row>
    <row r="590" spans="1:48">
      <c r="A590" s="975">
        <f t="shared" si="100"/>
        <v>46157</v>
      </c>
      <c r="B590" s="976" t="s">
        <v>388</v>
      </c>
      <c r="C590" s="976" t="s">
        <v>16775</v>
      </c>
      <c r="D590" s="1410" t="s">
        <v>633</v>
      </c>
      <c r="E590" s="977" t="str">
        <f>IFERROR(VLOOKUP(C590, [6]條件!$A:$L, 5, 0), "")</f>
        <v>150/48/2SDr</v>
      </c>
      <c r="F590" s="978" t="str">
        <f>IFERROR(VLOOKUP(C590, [6]條件!$A:$L, 6, 0), "")</f>
        <v>FP82173R×2</v>
      </c>
      <c r="G590" s="1411">
        <f>IFERROR(VLOOKUP(C590, [6]條件!$A:$L, 7, 0), "")</f>
        <v>700</v>
      </c>
      <c r="H590" s="978" t="str">
        <f>IF(ISNA(VLOOKUP(C590,[6]條件!$A$1:$K$932,11,0)),"",(VLOOKUP(C590,[6]條件!$A$1:$K$932,11,0)))</f>
        <v>黃紅雙色</v>
      </c>
      <c r="I590" s="979">
        <f>IF(ISNA(VLOOKUP(C590,[6]條件!$A$1:$L$932,12,0)),"",(VLOOKUP(C590,[6]條件!$A$1:$L$932,12,0)))</f>
        <v>5.5</v>
      </c>
      <c r="J590" s="982">
        <v>3</v>
      </c>
      <c r="K590" s="980">
        <v>0</v>
      </c>
      <c r="L590" s="981" t="s">
        <v>642</v>
      </c>
      <c r="M590" s="983">
        <v>10000</v>
      </c>
      <c r="N590" s="982">
        <v>17</v>
      </c>
      <c r="O590" s="980">
        <v>0</v>
      </c>
      <c r="P590" s="981" t="s">
        <v>642</v>
      </c>
      <c r="Q590" s="983">
        <v>10000</v>
      </c>
      <c r="R590" s="982">
        <v>0</v>
      </c>
      <c r="S590" s="980">
        <v>0</v>
      </c>
      <c r="T590" s="981">
        <v>8060</v>
      </c>
      <c r="U590" s="983">
        <v>9350</v>
      </c>
      <c r="V590" s="982">
        <v>12</v>
      </c>
      <c r="W590" s="980">
        <v>0</v>
      </c>
      <c r="X590" s="981">
        <v>8115</v>
      </c>
      <c r="Y590" s="983">
        <v>9910</v>
      </c>
      <c r="Z590" s="1412">
        <f>IFERROR(VLOOKUP(C590, [6]條件!$A:$L, 3, 0), "")</f>
        <v>5.8536585365853666</v>
      </c>
      <c r="AA590" s="984" t="str">
        <f>IF(OR(L590={"改紡","檢修","了機","清車","FINAL","停機","SAMPLE","TEST","絲開發"}), L590, IFERROR(IF(C590="", "", (SUM(J590, N590, R590, V590)/3 * AG590) * IF(AND(AF590="S", AS590="雙"), 0.5, 1)), ""))</f>
        <v>改紡</v>
      </c>
      <c r="AB590" s="1413">
        <f t="shared" si="98"/>
        <v>1</v>
      </c>
      <c r="AC590" s="984" t="str">
        <f>IF(OR(L590={"改紡","檢修","了機","清車","FINAL","停機","SAMPLE","TEST"}), "", IFERROR(IF(C590="", "", AVERAGE(L590:M590, P590:Q590, T590:U590, X590:Y590)/100), ""))</f>
        <v/>
      </c>
      <c r="AD590" s="984" t="str">
        <f t="shared" si="101"/>
        <v/>
      </c>
      <c r="AE590" s="984" t="str">
        <f t="shared" si="99"/>
        <v/>
      </c>
      <c r="AF590" s="985" t="str">
        <f t="shared" si="102"/>
        <v>T</v>
      </c>
      <c r="AG590" s="1414">
        <v>1</v>
      </c>
      <c r="AH590" s="981" t="s">
        <v>638</v>
      </c>
      <c r="AI590" s="986" t="s">
        <v>638</v>
      </c>
      <c r="AJ590" s="986" t="s">
        <v>652</v>
      </c>
      <c r="AK590" s="1417" t="s">
        <v>652</v>
      </c>
      <c r="AL590" s="1415">
        <v>56</v>
      </c>
      <c r="AM590" s="1323">
        <v>46152</v>
      </c>
      <c r="AN590" s="1323">
        <v>46153</v>
      </c>
      <c r="AO590" s="1323">
        <v>46154</v>
      </c>
      <c r="AP590" s="1323"/>
      <c r="AQ590" s="1323"/>
      <c r="AR590" s="987"/>
      <c r="AS590" s="978" t="str">
        <f t="shared" si="103"/>
        <v>雙</v>
      </c>
      <c r="AT590" s="978" t="str">
        <f t="shared" si="104"/>
        <v>全</v>
      </c>
      <c r="AU590" s="978">
        <f t="shared" si="105"/>
        <v>150</v>
      </c>
      <c r="AV590" s="978" t="str">
        <f t="shared" si="106"/>
        <v/>
      </c>
    </row>
    <row r="591" spans="1:48">
      <c r="A591" s="975">
        <f t="shared" si="100"/>
        <v>46157</v>
      </c>
      <c r="B591" s="976" t="s">
        <v>417</v>
      </c>
      <c r="C591" s="976" t="s">
        <v>16767</v>
      </c>
      <c r="D591" s="1410" t="s">
        <v>633</v>
      </c>
      <c r="E591" s="977" t="str">
        <f>IFERROR(VLOOKUP(C591, [6]條件!$A:$L, 5, 0), "")</f>
        <v>150/48/2SDr</v>
      </c>
      <c r="F591" s="978" t="str">
        <f>IFERROR(VLOOKUP(C591, [6]條件!$A:$L, 6, 0), "")</f>
        <v>FP82173R×2</v>
      </c>
      <c r="G591" s="1411">
        <f>IFERROR(VLOOKUP(C591, [6]條件!$A:$L, 7, 0), "")</f>
        <v>700</v>
      </c>
      <c r="H591" s="978" t="str">
        <f>IF(ISNA(VLOOKUP(C591,[6]條件!$A$1:$K$932,11,0)),"",(VLOOKUP(C591,[6]條件!$A$1:$K$932,11,0)))</f>
        <v>棕色</v>
      </c>
      <c r="I591" s="979">
        <f>IF(ISNA(VLOOKUP(C591,[6]條件!$A$1:$L$932,12,0)),"",(VLOOKUP(C591,[6]條件!$A$1:$L$932,12,0)))</f>
        <v>5.5</v>
      </c>
      <c r="J591" s="982">
        <v>23</v>
      </c>
      <c r="K591" s="980">
        <v>0</v>
      </c>
      <c r="L591" s="981">
        <v>10000</v>
      </c>
      <c r="M591" s="983">
        <v>9630</v>
      </c>
      <c r="N591" s="982">
        <v>18</v>
      </c>
      <c r="O591" s="980">
        <v>6</v>
      </c>
      <c r="P591" s="981">
        <v>10000</v>
      </c>
      <c r="Q591" s="983">
        <v>9630</v>
      </c>
      <c r="R591" s="982">
        <v>0</v>
      </c>
      <c r="S591" s="980">
        <v>0</v>
      </c>
      <c r="T591" s="981">
        <v>9540</v>
      </c>
      <c r="U591" s="983">
        <v>9070</v>
      </c>
      <c r="V591" s="982">
        <v>21</v>
      </c>
      <c r="W591" s="980">
        <v>0</v>
      </c>
      <c r="X591" s="981">
        <v>10000</v>
      </c>
      <c r="Y591" s="983">
        <v>9540</v>
      </c>
      <c r="Z591" s="1412">
        <f>IFERROR(VLOOKUP(C591, [6]條件!$A:$L, 3, 0), "")</f>
        <v>5.8536585365853666</v>
      </c>
      <c r="AA591" s="984">
        <f>IF(OR(L591={"改紡","檢修","了機","清車","FINAL","停機","SAMPLE","TEST","絲開發"}), L591, IFERROR(IF(C591="", "", (SUM(J591, N591, R591, V591)/3 * AG591) * IF(AND(AF591="S", AS591="雙"), 0.5, 1)), ""))</f>
        <v>20.666666666666668</v>
      </c>
      <c r="AB591" s="1413">
        <f t="shared" si="98"/>
        <v>0.99507211538461537</v>
      </c>
      <c r="AC591" s="984">
        <f>IF(OR(L591={"改紡","檢修","了機","清車","FINAL","停機","SAMPLE","TEST"}), "", IFERROR(IF(C591="", "", AVERAGE(L591:M591, P591:Q591, T591:U591, X591:Y591)/100), ""))</f>
        <v>96.762500000000003</v>
      </c>
      <c r="AD591" s="984">
        <f t="shared" si="101"/>
        <v>2.5833333333333335</v>
      </c>
      <c r="AE591" s="984">
        <f t="shared" si="99"/>
        <v>2.3333333333333335</v>
      </c>
      <c r="AF591" s="985" t="str">
        <f t="shared" si="102"/>
        <v>T</v>
      </c>
      <c r="AG591" s="1414">
        <v>1</v>
      </c>
      <c r="AH591" s="981" t="s">
        <v>638</v>
      </c>
      <c r="AI591" s="986" t="s">
        <v>638</v>
      </c>
      <c r="AJ591" s="986" t="s">
        <v>652</v>
      </c>
      <c r="AK591" s="1417" t="s">
        <v>652</v>
      </c>
      <c r="AL591" s="1415">
        <v>56</v>
      </c>
      <c r="AM591" s="1323">
        <v>46146</v>
      </c>
      <c r="AN591" s="1323">
        <v>46151</v>
      </c>
      <c r="AO591" s="1323">
        <v>46152</v>
      </c>
      <c r="AP591" s="1323">
        <v>46153</v>
      </c>
      <c r="AQ591" s="1323">
        <v>46154</v>
      </c>
      <c r="AR591" s="987"/>
      <c r="AS591" s="978" t="str">
        <f t="shared" si="103"/>
        <v>雙</v>
      </c>
      <c r="AT591" s="978" t="str">
        <f t="shared" si="104"/>
        <v>全</v>
      </c>
      <c r="AU591" s="978">
        <f t="shared" si="105"/>
        <v>150</v>
      </c>
      <c r="AV591" s="978">
        <f t="shared" si="106"/>
        <v>7.0226352000000007</v>
      </c>
    </row>
    <row r="592" spans="1:48">
      <c r="A592" s="975">
        <f t="shared" si="100"/>
        <v>46157</v>
      </c>
      <c r="B592" s="976" t="s">
        <v>240</v>
      </c>
      <c r="C592" s="976" t="s">
        <v>16776</v>
      </c>
      <c r="D592" s="1410"/>
      <c r="E592" s="977" t="str">
        <f>IFERROR(VLOOKUP(C592, [6]條件!$A:$L, 5, 0), "")</f>
        <v>50/72/2SDFFR</v>
      </c>
      <c r="F592" s="978" t="str">
        <f>IFERROR(VLOOKUP(C592, [6]條件!$A:$L, 6, 0), "")</f>
        <v>FP80099R×2</v>
      </c>
      <c r="G592" s="1411">
        <f>IFERROR(VLOOKUP(C592, [6]條件!$A:$L, 7, 0), "")</f>
        <v>500</v>
      </c>
      <c r="H592" s="978" t="str">
        <f>IF(ISNA(VLOOKUP(C592,[6]條件!$A$1:$K$932,11,0)),"",(VLOOKUP(C592,[6]條件!$A$1:$K$932,11,0)))</f>
        <v>白黑三角</v>
      </c>
      <c r="I592" s="979">
        <f>IF(ISNA(VLOOKUP(C592,[6]條件!$A$1:$L$932,12,0)),"",(VLOOKUP(C592,[6]條件!$A$1:$L$932,12,0)))</f>
        <v>4</v>
      </c>
      <c r="J592" s="982">
        <v>6</v>
      </c>
      <c r="K592" s="980">
        <v>0</v>
      </c>
      <c r="L592" s="981">
        <v>4658</v>
      </c>
      <c r="M592" s="983"/>
      <c r="N592" s="982"/>
      <c r="O592" s="980"/>
      <c r="P592" s="981"/>
      <c r="Q592" s="983"/>
      <c r="R592" s="982">
        <v>0</v>
      </c>
      <c r="S592" s="980">
        <v>0</v>
      </c>
      <c r="T592" s="981">
        <v>1293</v>
      </c>
      <c r="U592" s="983"/>
      <c r="V592" s="982">
        <v>18</v>
      </c>
      <c r="W592" s="980">
        <v>0</v>
      </c>
      <c r="X592" s="981">
        <v>2111</v>
      </c>
      <c r="Y592" s="983"/>
      <c r="Z592" s="1422">
        <f>IFERROR(VLOOKUP(C592, [6]條件!$A:$L, 3, 0), "")</f>
        <v>2.028169014084507</v>
      </c>
      <c r="AA592" s="1167">
        <f>IF(OR(L592={"改紡","檢修","了機","清車","FINAL","停機","SAMPLE","TEST","絲開發"}), L592, IFERROR(IF(C592="", "", (SUM(J592, N592, R592, V592)/3 * AG592) * IF(AND(AF592="S", AS592="雙"), 0.5, 1)), ""))</f>
        <v>12</v>
      </c>
      <c r="AB592" s="1423">
        <f>IF(K592="","",IF(ISERROR(1-((SUM(K592,O592,S592,W592)/((AG592*12)-(AG592*0.44)))/Z592)),"",(1-((SUM(K592,O592,S592,W592)/((AG592*12)-(AG592*0.44)))/Z592))))</f>
        <v>1</v>
      </c>
      <c r="AC592" s="1167">
        <f>IF(OR(L592={"改紡","檢修","了機","清車","FINAL","停機","SAMPLE","TEST"}), "", IFERROR(IF(C592="", "", AVERAGE(L592:M592, P592:Q592, T592:U592, X592:Y592)/100), ""))</f>
        <v>26.873333333333335</v>
      </c>
      <c r="AD592" s="1167">
        <f t="shared" si="101"/>
        <v>1.5</v>
      </c>
      <c r="AE592" s="1167">
        <f>IF(P592="了機","",IF(J592="","",IF(ISERROR((SUM(J592,N592,R592,V592)-SUM(K592,O592,S592,W592))/24),"",((SUM(J592,N592,R592,V592)-SUM(K592,O592,S592,W592))/24))))</f>
        <v>1</v>
      </c>
      <c r="AF592" s="1168" t="str">
        <f t="shared" si="102"/>
        <v>S</v>
      </c>
      <c r="AG592" s="1424">
        <v>3</v>
      </c>
      <c r="AH592" s="981" t="s">
        <v>15848</v>
      </c>
      <c r="AI592" s="986" t="s">
        <v>640</v>
      </c>
      <c r="AJ592" s="986" t="s">
        <v>829</v>
      </c>
      <c r="AK592" s="1417" t="s">
        <v>829</v>
      </c>
      <c r="AL592" s="1415">
        <v>50</v>
      </c>
      <c r="AM592" s="1323">
        <v>46013</v>
      </c>
      <c r="AN592" s="1323">
        <v>46030</v>
      </c>
      <c r="AO592" s="1323"/>
      <c r="AP592" s="1323"/>
      <c r="AQ592" s="1323"/>
      <c r="AR592" s="987"/>
      <c r="AS592" s="978" t="str">
        <f t="shared" si="103"/>
        <v>雙</v>
      </c>
      <c r="AT592" s="978" t="str">
        <f t="shared" si="104"/>
        <v>3sec</v>
      </c>
      <c r="AU592" s="978">
        <f t="shared" si="105"/>
        <v>50</v>
      </c>
      <c r="AV592" s="978">
        <f t="shared" si="106"/>
        <v>2.9023200000000002E-2</v>
      </c>
    </row>
    <row r="593" spans="1:48">
      <c r="A593" s="975">
        <f t="shared" si="100"/>
        <v>46157</v>
      </c>
      <c r="B593" s="976" t="s">
        <v>240</v>
      </c>
      <c r="C593" s="976" t="s">
        <v>16777</v>
      </c>
      <c r="D593" s="1410"/>
      <c r="E593" s="977" t="str">
        <f>IFERROR(VLOOKUP(C593, [6]條件!$A:$L, 5, 0), "")</f>
        <v>75/72/2SDFFR</v>
      </c>
      <c r="F593" s="978" t="str">
        <f>IFERROR(VLOOKUP(C593, [6]條件!$A:$L, 6, 0), "")</f>
        <v>FP81209R×2</v>
      </c>
      <c r="G593" s="1411">
        <f>IFERROR(VLOOKUP(C593, [6]條件!$A:$L, 7, 0), "")</f>
        <v>600</v>
      </c>
      <c r="H593" s="978" t="str">
        <f>IF(ISNA(VLOOKUP(C593,[6]條件!$A$1:$K$932,11,0)),"",(VLOOKUP(C593,[6]條件!$A$1:$K$932,11,0)))</f>
        <v>白底紅十字</v>
      </c>
      <c r="I593" s="979">
        <f>IF(ISNA(VLOOKUP(C593,[6]條件!$A$1:$L$932,12,0)),"",(VLOOKUP(C593,[6]條件!$A$1:$L$932,12,0)))</f>
        <v>5</v>
      </c>
      <c r="J593" s="982">
        <v>6</v>
      </c>
      <c r="K593" s="980">
        <v>0</v>
      </c>
      <c r="L593" s="981">
        <v>4658</v>
      </c>
      <c r="M593" s="983"/>
      <c r="N593" s="982"/>
      <c r="O593" s="980"/>
      <c r="P593" s="981"/>
      <c r="Q593" s="983"/>
      <c r="R593" s="982">
        <v>0</v>
      </c>
      <c r="S593" s="980">
        <v>0</v>
      </c>
      <c r="T593" s="981">
        <v>1293</v>
      </c>
      <c r="U593" s="983"/>
      <c r="V593" s="982">
        <v>22</v>
      </c>
      <c r="W593" s="980">
        <v>0</v>
      </c>
      <c r="X593" s="981">
        <v>2111</v>
      </c>
      <c r="Y593" s="983"/>
      <c r="Z593" s="1422">
        <f>IFERROR(VLOOKUP(C593, [6]條件!$A:$L, 3, 0), "")</f>
        <v>2.7852998065764023</v>
      </c>
      <c r="AA593" s="1167">
        <f>IF(OR(L593={"改紡","檢修","了機","清車","FINAL","停機","SAMPLE","TEST","絲開發"}), L593, IFERROR(IF(C593="", "", (SUM(J593, N593, R593, V593)/3 * AG593) * IF(AND(AF593="S", AS593="雙"), 0.5, 1)), ""))</f>
        <v>14</v>
      </c>
      <c r="AB593" s="1423">
        <f>IF(K593="","",IF(ISERROR(1-((SUM(K593,O593,S593,W593)/((AG593*12)-(AG593*0.44)))/Z593)),"",(1-((SUM(K593,O593,S593,W593)/((AG593*12)-(AG593*0.44)))/Z593))))</f>
        <v>1</v>
      </c>
      <c r="AC593" s="1167">
        <f>IF(OR(L593={"改紡","檢修","了機","清車","FINAL","停機","SAMPLE","TEST"}), "", IFERROR(IF(C593="", "", AVERAGE(L593:M593, P593:Q593, T593:U593, X593:Y593)/100), ""))</f>
        <v>26.873333333333335</v>
      </c>
      <c r="AD593" s="1167">
        <f t="shared" si="101"/>
        <v>1.75</v>
      </c>
      <c r="AE593" s="1167">
        <f>IF(P593="了機","",IF(J593="","",IF(ISERROR((SUM(J593,N593,R593,V593)-SUM(K593,O593,S593,W593))/24),"",((SUM(J593,N593,R593,V593)-SUM(K593,O593,S593,W593))/24))))</f>
        <v>1.1666666666666667</v>
      </c>
      <c r="AF593" s="1168" t="str">
        <f t="shared" si="102"/>
        <v>S</v>
      </c>
      <c r="AG593" s="1424">
        <v>3</v>
      </c>
      <c r="AH593" s="981" t="s">
        <v>15848</v>
      </c>
      <c r="AI593" s="986" t="s">
        <v>640</v>
      </c>
      <c r="AJ593" s="986" t="s">
        <v>829</v>
      </c>
      <c r="AK593" s="1417" t="s">
        <v>829</v>
      </c>
      <c r="AL593" s="1415">
        <v>50</v>
      </c>
      <c r="AM593" s="1323">
        <v>46086</v>
      </c>
      <c r="AN593" s="1323">
        <v>46089</v>
      </c>
      <c r="AO593" s="1323"/>
      <c r="AP593" s="1323"/>
      <c r="AQ593" s="1323"/>
      <c r="AR593" s="987"/>
      <c r="AS593" s="978" t="str">
        <f t="shared" si="103"/>
        <v>雙</v>
      </c>
      <c r="AT593" s="978" t="str">
        <f t="shared" si="104"/>
        <v>3sec</v>
      </c>
      <c r="AU593" s="978">
        <f t="shared" si="105"/>
        <v>75</v>
      </c>
      <c r="AV593" s="978">
        <f t="shared" si="106"/>
        <v>5.2241760000000005E-2</v>
      </c>
    </row>
    <row r="594" spans="1:48">
      <c r="A594" s="975">
        <f t="shared" si="100"/>
        <v>46157</v>
      </c>
      <c r="B594" s="976" t="s">
        <v>242</v>
      </c>
      <c r="C594" s="976" t="s">
        <v>385</v>
      </c>
      <c r="D594" s="1410"/>
      <c r="E594" s="977" t="str">
        <f>IFERROR(VLOOKUP(C594, [6]條件!$A:$L, 5, 0), "")</f>
        <v/>
      </c>
      <c r="F594" s="978" t="str">
        <f>IFERROR(VLOOKUP(C594, [6]條件!$A:$L, 6, 0), "")</f>
        <v/>
      </c>
      <c r="G594" s="1411" t="str">
        <f>IFERROR(VLOOKUP(C594, [6]條件!$A:$L, 7, 0), "")</f>
        <v/>
      </c>
      <c r="H594" s="978" t="str">
        <f>IF(ISNA(VLOOKUP(C594,[6]條件!$A$1:$K$932,11,0)),"",(VLOOKUP(C594,[6]條件!$A$1:$K$932,11,0)))</f>
        <v/>
      </c>
      <c r="I594" s="979" t="str">
        <f>IF(ISNA(VLOOKUP(C594,[6]條件!$A$1:$L$932,12,0)),"",(VLOOKUP(C594,[6]條件!$A$1:$L$932,12,0)))</f>
        <v/>
      </c>
      <c r="J594" s="982"/>
      <c r="K594" s="980"/>
      <c r="L594" s="981" t="s">
        <v>385</v>
      </c>
      <c r="M594" s="983"/>
      <c r="N594" s="982"/>
      <c r="O594" s="980"/>
      <c r="P594" s="981" t="s">
        <v>385</v>
      </c>
      <c r="Q594" s="983"/>
      <c r="R594" s="982"/>
      <c r="S594" s="980"/>
      <c r="T594" s="981" t="s">
        <v>385</v>
      </c>
      <c r="U594" s="983"/>
      <c r="V594" s="982"/>
      <c r="W594" s="980"/>
      <c r="X594" s="981" t="s">
        <v>385</v>
      </c>
      <c r="Y594" s="983"/>
      <c r="Z594" s="1422" t="str">
        <f>IFERROR(VLOOKUP(C594, [6]條件!$A:$L, 3, 0), "")</f>
        <v/>
      </c>
      <c r="AA594" s="1167" t="str">
        <f>IF(OR(L594={"改紡","檢修","了機","清車","FINAL","停機","SAMPLE","TEST","絲開發"}), L594, IFERROR(IF(C594="", "", (SUM(J594, N594, R594, V594)/3 * AG594) * IF(AND(AF594="S", AS594="雙"), 0.5, 1)), ""))</f>
        <v>絲開發</v>
      </c>
      <c r="AB594" s="1423" t="str">
        <f>IF(K594="","",IF(ISERROR(1-((SUM(K594,O594,S594,W594)/((AG594*12)-(AG594*0.44)))/Z594)),"",(1-((SUM(K594,O594,S594,W594)/((AG594*12)-(AG594*0.44)))/Z594))))</f>
        <v/>
      </c>
      <c r="AC594" s="1167" t="str">
        <f>IF(OR(L594={"改紡","檢修","了機","清車","FINAL","停機","SAMPLE","TEST"}), "", IFERROR(IF(C594="", "", AVERAGE(L594:M594, P594:Q594, T594:U594, X594:Y594)/100), ""))</f>
        <v/>
      </c>
      <c r="AD594" s="1167" t="str">
        <f t="shared" si="101"/>
        <v/>
      </c>
      <c r="AE594" s="1167" t="str">
        <f>IF(P594="了機","",IF(J594="","",IF(ISERROR((SUM(J594,N594,R594,V594)-SUM(K594,O594,S594,W594))/24),"",((SUM(J594,N594,R594,V594)-SUM(K594,O594,S594,W594))/24))))</f>
        <v/>
      </c>
      <c r="AF594" s="1168" t="str">
        <f t="shared" si="102"/>
        <v>S</v>
      </c>
      <c r="AG594" s="1424">
        <v>5</v>
      </c>
      <c r="AH594" s="981" t="s">
        <v>15848</v>
      </c>
      <c r="AI594" s="986" t="s">
        <v>640</v>
      </c>
      <c r="AJ594" s="986" t="s">
        <v>829</v>
      </c>
      <c r="AK594" s="1417" t="s">
        <v>829</v>
      </c>
      <c r="AL594" s="1415"/>
      <c r="AM594" s="1323"/>
      <c r="AN594" s="1323"/>
      <c r="AO594" s="1323"/>
      <c r="AP594" s="1323"/>
      <c r="AQ594" s="1323"/>
      <c r="AR594" s="987"/>
      <c r="AS594" s="978" t="str">
        <f t="shared" si="103"/>
        <v>單</v>
      </c>
      <c r="AT594" s="978" t="str">
        <f t="shared" si="104"/>
        <v>5sec</v>
      </c>
      <c r="AU594" s="978" t="str">
        <f t="shared" si="105"/>
        <v/>
      </c>
      <c r="AV594" s="978" t="str">
        <f t="shared" si="106"/>
        <v/>
      </c>
    </row>
    <row r="595" spans="1:48">
      <c r="A595" s="975">
        <f t="shared" si="100"/>
        <v>46157</v>
      </c>
      <c r="B595" s="976" t="s">
        <v>16078</v>
      </c>
      <c r="C595" s="988" t="s">
        <v>16185</v>
      </c>
      <c r="D595" s="1410"/>
      <c r="E595" s="977" t="str">
        <f>IFERROR(VLOOKUP(C595, [6]條件!$A:$L, 5, 0), "")</f>
        <v/>
      </c>
      <c r="F595" s="978" t="str">
        <f>IFERROR(VLOOKUP(C595, [6]條件!$A:$L, 6, 0), "")</f>
        <v/>
      </c>
      <c r="G595" s="1411" t="str">
        <f>IFERROR(VLOOKUP(C595, [6]條件!$A:$L, 7, 0), "")</f>
        <v/>
      </c>
      <c r="H595" s="978" t="str">
        <f>IF(ISNA(VLOOKUP(C595,[6]條件!$A$1:$K$932,11,0)),"",(VLOOKUP(C595,[6]條件!$A$1:$K$932,11,0)))</f>
        <v/>
      </c>
      <c r="I595" s="979" t="str">
        <f>IF(ISNA(VLOOKUP(C595,[6]條件!$A$1:$L$932,12,0)),"",(VLOOKUP(C595,[6]條件!$A$1:$L$932,12,0)))</f>
        <v/>
      </c>
      <c r="J595" s="982"/>
      <c r="K595" s="980"/>
      <c r="L595" s="981" t="s">
        <v>632</v>
      </c>
      <c r="M595" s="983"/>
      <c r="N595" s="982"/>
      <c r="O595" s="980"/>
      <c r="P595" s="981" t="s">
        <v>632</v>
      </c>
      <c r="Q595" s="983"/>
      <c r="R595" s="982"/>
      <c r="S595" s="980"/>
      <c r="T595" s="981" t="s">
        <v>632</v>
      </c>
      <c r="U595" s="983"/>
      <c r="V595" s="982"/>
      <c r="W595" s="980"/>
      <c r="X595" s="981" t="s">
        <v>632</v>
      </c>
      <c r="Y595" s="983"/>
      <c r="Z595" s="1412" t="str">
        <f>IFERROR(VLOOKUP(C595, [6]條件!$A:$L, 3, 0), "")</f>
        <v/>
      </c>
      <c r="AA595" s="984" t="str">
        <f>IF(OR(L595={"改紡","檢修","了機","清車","FINAL","停機","SAMPLE","TEST","絲開發"}), L595, IFERROR(IF(C595="", "", (SUM(J595, N595, R595, V595)/3 * AG595) * IF(AND(AF595="S", AS595="雙"), 0.5, 1)), ""))</f>
        <v>停機</v>
      </c>
      <c r="AB595" s="1413" t="str">
        <f t="shared" ref="AB595:AB630" si="107">IF(K595="","",IF(ISERROR(1-(SUM(K595,O595,S595,W595)/208/Z595)),"",(1-(SUM(K595,O595,S595,W595)/208/Z595))))</f>
        <v/>
      </c>
      <c r="AC595" s="984" t="str">
        <f>IF(OR(L595={"改紡","檢修","了機","清車","FINAL","停機","SAMPLE","TEST"}), "", IFERROR(IF(C595="", "", AVERAGE(L595:M595, P595:Q595, T595:U595, X595:Y595)/100), ""))</f>
        <v/>
      </c>
      <c r="AD595" s="984" t="str">
        <f t="shared" si="101"/>
        <v/>
      </c>
      <c r="AE595" s="984" t="str">
        <f>IF(OR(L595="改紡", L595="檢修", L595="了機"), "",
   IF(AND(C595&lt;&gt;"", J595&lt;&gt;""),
      IFERROR((SUM(J595, N595, R595, V595) - SUM(K595, O595, S595, W595))/24 * AG595, ""),
   "")
)</f>
        <v/>
      </c>
      <c r="AF595" s="985" t="str">
        <f t="shared" si="102"/>
        <v>M</v>
      </c>
      <c r="AG595" s="1414">
        <v>1</v>
      </c>
      <c r="AH595" s="981" t="s">
        <v>640</v>
      </c>
      <c r="AI595" s="986" t="s">
        <v>640</v>
      </c>
      <c r="AJ595" s="986" t="s">
        <v>640</v>
      </c>
      <c r="AK595" s="1417" t="s">
        <v>640</v>
      </c>
      <c r="AL595" s="1415"/>
      <c r="AM595" s="1323"/>
      <c r="AN595" s="1323"/>
      <c r="AO595" s="1323"/>
      <c r="AP595" s="1323"/>
      <c r="AQ595" s="1323"/>
      <c r="AR595" s="987"/>
      <c r="AS595" s="978" t="str">
        <f t="shared" si="103"/>
        <v>單</v>
      </c>
      <c r="AT595" s="978" t="str">
        <f t="shared" si="104"/>
        <v>全</v>
      </c>
      <c r="AU595" s="978" t="str">
        <f t="shared" si="105"/>
        <v/>
      </c>
      <c r="AV595" s="978" t="str">
        <f t="shared" si="106"/>
        <v/>
      </c>
    </row>
    <row r="596" spans="1:48">
      <c r="A596" s="975">
        <f t="shared" si="100"/>
        <v>46157</v>
      </c>
      <c r="B596" s="976" t="s">
        <v>243</v>
      </c>
      <c r="C596" s="988" t="s">
        <v>16185</v>
      </c>
      <c r="D596" s="1410"/>
      <c r="E596" s="977" t="str">
        <f>IFERROR(VLOOKUP(C596, [6]條件!$A:$L, 5, 0), "")</f>
        <v/>
      </c>
      <c r="F596" s="978" t="str">
        <f>IFERROR(VLOOKUP(C596, [6]條件!$A:$L, 6, 0), "")</f>
        <v/>
      </c>
      <c r="G596" s="1411" t="str">
        <f>IFERROR(VLOOKUP(C596, [6]條件!$A:$L, 7, 0), "")</f>
        <v/>
      </c>
      <c r="H596" s="978" t="str">
        <f>IF(ISNA(VLOOKUP(C596,[6]條件!$A$1:$K$932,11,0)),"",(VLOOKUP(C596,[6]條件!$A$1:$K$932,11,0)))</f>
        <v/>
      </c>
      <c r="I596" s="979" t="str">
        <f>IF(ISNA(VLOOKUP(C596,[6]條件!$A$1:$L$932,12,0)),"",(VLOOKUP(C596,[6]條件!$A$1:$L$932,12,0)))</f>
        <v/>
      </c>
      <c r="J596" s="982"/>
      <c r="K596" s="980"/>
      <c r="L596" s="981" t="s">
        <v>632</v>
      </c>
      <c r="M596" s="983"/>
      <c r="N596" s="982"/>
      <c r="O596" s="980"/>
      <c r="P596" s="981" t="s">
        <v>632</v>
      </c>
      <c r="Q596" s="983"/>
      <c r="R596" s="982"/>
      <c r="S596" s="980"/>
      <c r="T596" s="981" t="s">
        <v>632</v>
      </c>
      <c r="U596" s="983"/>
      <c r="V596" s="982"/>
      <c r="W596" s="980"/>
      <c r="X596" s="981" t="s">
        <v>632</v>
      </c>
      <c r="Y596" s="983"/>
      <c r="Z596" s="1412" t="str">
        <f>IFERROR(VLOOKUP(C596, [6]條件!$A:$L, 3, 0), "")</f>
        <v/>
      </c>
      <c r="AA596" s="984" t="str">
        <f>IF(OR(L596={"改紡","檢修","了機","清車","FINAL","停機","SAMPLE","TEST","絲開發"}), L596, IFERROR(IF(C596="", "", (SUM(J596, N596, R596, V596)/3 * AG596) * IF(AND(AF596="S", AS596="雙"), 0.5, 1)), ""))</f>
        <v>停機</v>
      </c>
      <c r="AB596" s="1413" t="str">
        <f t="shared" si="107"/>
        <v/>
      </c>
      <c r="AC596" s="984" t="str">
        <f>IF(OR(L596={"改紡","檢修","了機","清車","FINAL","停機","SAMPLE","TEST"}), "", IFERROR(IF(C596="", "", AVERAGE(L596:M596, P596:Q596, T596:U596, X596:Y596)/100), ""))</f>
        <v/>
      </c>
      <c r="AD596" s="984" t="str">
        <f t="shared" si="101"/>
        <v/>
      </c>
      <c r="AE596" s="984" t="str">
        <f t="shared" ref="AE596:AE630" si="108">IF(OR(L596="改紡", L596="檢修", L596="了機"), "",
IF(AND(C596&lt;&gt;"", J596&lt;&gt;""),
IFERROR((SUM(J596, N596, R596, V596) - SUM(K596, O596, S596, W596))/24 * AG596, ""),
"")
)</f>
        <v/>
      </c>
      <c r="AF596" s="985" t="str">
        <f t="shared" si="102"/>
        <v>M</v>
      </c>
      <c r="AG596" s="1414">
        <v>1</v>
      </c>
      <c r="AH596" s="981" t="s">
        <v>640</v>
      </c>
      <c r="AI596" s="986" t="s">
        <v>640</v>
      </c>
      <c r="AJ596" s="986" t="s">
        <v>640</v>
      </c>
      <c r="AK596" s="1417" t="s">
        <v>640</v>
      </c>
      <c r="AL596" s="1415"/>
      <c r="AM596" s="1323"/>
      <c r="AN596" s="1323"/>
      <c r="AO596" s="1323"/>
      <c r="AP596" s="1323"/>
      <c r="AQ596" s="1323"/>
      <c r="AR596" s="987"/>
      <c r="AS596" s="978" t="str">
        <f t="shared" si="103"/>
        <v>單</v>
      </c>
      <c r="AT596" s="978" t="str">
        <f t="shared" si="104"/>
        <v>全</v>
      </c>
      <c r="AU596" s="978" t="str">
        <f t="shared" si="105"/>
        <v/>
      </c>
      <c r="AV596" s="978" t="str">
        <f t="shared" si="106"/>
        <v/>
      </c>
    </row>
    <row r="597" spans="1:48">
      <c r="A597" s="975">
        <f t="shared" si="100"/>
        <v>46157</v>
      </c>
      <c r="B597" s="976" t="s">
        <v>244</v>
      </c>
      <c r="C597" s="988" t="s">
        <v>16185</v>
      </c>
      <c r="D597" s="1410"/>
      <c r="E597" s="977" t="str">
        <f>IFERROR(VLOOKUP(C597, [6]條件!$A:$L, 5, 0), "")</f>
        <v/>
      </c>
      <c r="F597" s="978" t="str">
        <f>IFERROR(VLOOKUP(C597, [6]條件!$A:$L, 6, 0), "")</f>
        <v/>
      </c>
      <c r="G597" s="1411" t="str">
        <f>IFERROR(VLOOKUP(C597, [6]條件!$A:$L, 7, 0), "")</f>
        <v/>
      </c>
      <c r="H597" s="978" t="str">
        <f>IF(ISNA(VLOOKUP(C597,[6]條件!$A$1:$K$932,11,0)),"",(VLOOKUP(C597,[6]條件!$A$1:$K$932,11,0)))</f>
        <v/>
      </c>
      <c r="I597" s="979" t="str">
        <f>IF(ISNA(VLOOKUP(C597,[6]條件!$A$1:$L$932,12,0)),"",(VLOOKUP(C597,[6]條件!$A$1:$L$932,12,0)))</f>
        <v/>
      </c>
      <c r="J597" s="982"/>
      <c r="K597" s="980"/>
      <c r="L597" s="981" t="s">
        <v>632</v>
      </c>
      <c r="M597" s="983"/>
      <c r="N597" s="982"/>
      <c r="O597" s="980"/>
      <c r="P597" s="981" t="s">
        <v>632</v>
      </c>
      <c r="Q597" s="983"/>
      <c r="R597" s="982"/>
      <c r="S597" s="980"/>
      <c r="T597" s="981" t="s">
        <v>632</v>
      </c>
      <c r="U597" s="983"/>
      <c r="V597" s="982"/>
      <c r="W597" s="980"/>
      <c r="X597" s="981" t="s">
        <v>632</v>
      </c>
      <c r="Y597" s="983"/>
      <c r="Z597" s="1412" t="str">
        <f>IFERROR(VLOOKUP(C597, [6]條件!$A:$L, 3, 0), "")</f>
        <v/>
      </c>
      <c r="AA597" s="984" t="str">
        <f>IF(OR(L597={"改紡","檢修","了機","清車","FINAL","停機","SAMPLE","TEST","絲開發"}), L597, IFERROR(IF(C597="", "", (SUM(J597, N597, R597, V597)/3 * AG597) * IF(AND(AF597="S", AS597="雙"), 0.5, 1)), ""))</f>
        <v>停機</v>
      </c>
      <c r="AB597" s="1413" t="str">
        <f t="shared" si="107"/>
        <v/>
      </c>
      <c r="AC597" s="984" t="str">
        <f>IF(OR(L597={"改紡","檢修","了機","清車","FINAL","停機","SAMPLE","TEST"}), "", IFERROR(IF(C597="", "", AVERAGE(L597:M597, P597:Q597, T597:U597, X597:Y597)/100), ""))</f>
        <v/>
      </c>
      <c r="AD597" s="984" t="str">
        <f t="shared" si="101"/>
        <v/>
      </c>
      <c r="AE597" s="984" t="str">
        <f t="shared" si="108"/>
        <v/>
      </c>
      <c r="AF597" s="985" t="str">
        <f t="shared" si="102"/>
        <v>M</v>
      </c>
      <c r="AG597" s="1414">
        <v>1</v>
      </c>
      <c r="AH597" s="981" t="s">
        <v>640</v>
      </c>
      <c r="AI597" s="986" t="s">
        <v>640</v>
      </c>
      <c r="AJ597" s="986" t="s">
        <v>640</v>
      </c>
      <c r="AK597" s="1417" t="s">
        <v>640</v>
      </c>
      <c r="AL597" s="1415"/>
      <c r="AM597" s="1323"/>
      <c r="AN597" s="1323"/>
      <c r="AO597" s="1323"/>
      <c r="AP597" s="1323"/>
      <c r="AQ597" s="1323"/>
      <c r="AR597" s="987"/>
      <c r="AS597" s="978" t="str">
        <f t="shared" si="103"/>
        <v>單</v>
      </c>
      <c r="AT597" s="978" t="str">
        <f t="shared" si="104"/>
        <v>全</v>
      </c>
      <c r="AU597" s="978" t="str">
        <f t="shared" si="105"/>
        <v/>
      </c>
      <c r="AV597" s="978" t="str">
        <f t="shared" si="106"/>
        <v/>
      </c>
    </row>
    <row r="598" spans="1:48">
      <c r="A598" s="975">
        <f t="shared" si="100"/>
        <v>46157</v>
      </c>
      <c r="B598" s="976" t="s">
        <v>245</v>
      </c>
      <c r="C598" s="988" t="s">
        <v>16185</v>
      </c>
      <c r="D598" s="1410"/>
      <c r="E598" s="977" t="str">
        <f>IFERROR(VLOOKUP(C598, [6]條件!$A:$L, 5, 0), "")</f>
        <v/>
      </c>
      <c r="F598" s="978" t="str">
        <f>IFERROR(VLOOKUP(C598, [6]條件!$A:$L, 6, 0), "")</f>
        <v/>
      </c>
      <c r="G598" s="1411" t="str">
        <f>IFERROR(VLOOKUP(C598, [6]條件!$A:$L, 7, 0), "")</f>
        <v/>
      </c>
      <c r="H598" s="978" t="str">
        <f>IF(ISNA(VLOOKUP(C598,[6]條件!$A$1:$K$932,11,0)),"",(VLOOKUP(C598,[6]條件!$A$1:$K$932,11,0)))</f>
        <v/>
      </c>
      <c r="I598" s="979" t="str">
        <f>IF(ISNA(VLOOKUP(C598,[6]條件!$A$1:$L$932,12,0)),"",(VLOOKUP(C598,[6]條件!$A$1:$L$932,12,0)))</f>
        <v/>
      </c>
      <c r="J598" s="982"/>
      <c r="K598" s="980"/>
      <c r="L598" s="981" t="s">
        <v>632</v>
      </c>
      <c r="M598" s="983"/>
      <c r="N598" s="982"/>
      <c r="O598" s="980"/>
      <c r="P598" s="981" t="s">
        <v>632</v>
      </c>
      <c r="Q598" s="983"/>
      <c r="R598" s="982"/>
      <c r="S598" s="980"/>
      <c r="T598" s="981" t="s">
        <v>632</v>
      </c>
      <c r="U598" s="983"/>
      <c r="V598" s="982"/>
      <c r="W598" s="980"/>
      <c r="X598" s="981" t="s">
        <v>632</v>
      </c>
      <c r="Y598" s="983"/>
      <c r="Z598" s="1412" t="str">
        <f>IFERROR(VLOOKUP(C598, [6]條件!$A:$L, 3, 0), "")</f>
        <v/>
      </c>
      <c r="AA598" s="984" t="str">
        <f>IF(OR(L598={"改紡","檢修","了機","清車","FINAL","停機","SAMPLE","TEST","絲開發"}), L598, IFERROR(IF(C598="", "", (SUM(J598, N598, R598, V598)/3 * AG598) * IF(AND(AF598="S", AS598="雙"), 0.5, 1)), ""))</f>
        <v>停機</v>
      </c>
      <c r="AB598" s="1413" t="str">
        <f t="shared" si="107"/>
        <v/>
      </c>
      <c r="AC598" s="984" t="str">
        <f>IF(OR(L598={"改紡","檢修","了機","清車","FINAL","停機","SAMPLE","TEST"}), "", IFERROR(IF(C598="", "", AVERAGE(L598:M598, P598:Q598, T598:U598, X598:Y598)/100), ""))</f>
        <v/>
      </c>
      <c r="AD598" s="984" t="str">
        <f t="shared" si="101"/>
        <v/>
      </c>
      <c r="AE598" s="984" t="str">
        <f t="shared" si="108"/>
        <v/>
      </c>
      <c r="AF598" s="985" t="str">
        <f t="shared" si="102"/>
        <v>M</v>
      </c>
      <c r="AG598" s="1414">
        <v>1</v>
      </c>
      <c r="AH598" s="981" t="s">
        <v>640</v>
      </c>
      <c r="AI598" s="986" t="s">
        <v>640</v>
      </c>
      <c r="AJ598" s="986" t="s">
        <v>640</v>
      </c>
      <c r="AK598" s="1417" t="s">
        <v>640</v>
      </c>
      <c r="AL598" s="1415"/>
      <c r="AM598" s="1323"/>
      <c r="AN598" s="1323"/>
      <c r="AO598" s="1323"/>
      <c r="AP598" s="1323"/>
      <c r="AQ598" s="1323"/>
      <c r="AR598" s="987"/>
      <c r="AS598" s="978" t="str">
        <f t="shared" si="103"/>
        <v>單</v>
      </c>
      <c r="AT598" s="978" t="str">
        <f t="shared" si="104"/>
        <v>全</v>
      </c>
      <c r="AU598" s="978" t="str">
        <f t="shared" si="105"/>
        <v/>
      </c>
      <c r="AV598" s="978" t="str">
        <f t="shared" si="106"/>
        <v/>
      </c>
    </row>
    <row r="599" spans="1:48">
      <c r="A599" s="975">
        <f t="shared" si="100"/>
        <v>46157</v>
      </c>
      <c r="B599" s="976" t="s">
        <v>246</v>
      </c>
      <c r="C599" s="988" t="s">
        <v>16185</v>
      </c>
      <c r="D599" s="1410"/>
      <c r="E599" s="977" t="str">
        <f>IFERROR(VLOOKUP(C599, [6]條件!$A:$L, 5, 0), "")</f>
        <v/>
      </c>
      <c r="F599" s="978" t="str">
        <f>IFERROR(VLOOKUP(C599, [6]條件!$A:$L, 6, 0), "")</f>
        <v/>
      </c>
      <c r="G599" s="1411" t="str">
        <f>IFERROR(VLOOKUP(C599, [6]條件!$A:$L, 7, 0), "")</f>
        <v/>
      </c>
      <c r="H599" s="978" t="str">
        <f>IF(ISNA(VLOOKUP(C599,[6]條件!$A$1:$K$932,11,0)),"",(VLOOKUP(C599,[6]條件!$A$1:$K$932,11,0)))</f>
        <v/>
      </c>
      <c r="I599" s="979" t="str">
        <f>IF(ISNA(VLOOKUP(C599,[6]條件!$A$1:$L$932,12,0)),"",(VLOOKUP(C599,[6]條件!$A$1:$L$932,12,0)))</f>
        <v/>
      </c>
      <c r="J599" s="982"/>
      <c r="K599" s="980"/>
      <c r="L599" s="981" t="s">
        <v>632</v>
      </c>
      <c r="M599" s="983"/>
      <c r="N599" s="982"/>
      <c r="O599" s="980"/>
      <c r="P599" s="981" t="s">
        <v>632</v>
      </c>
      <c r="Q599" s="983"/>
      <c r="R599" s="982"/>
      <c r="S599" s="980"/>
      <c r="T599" s="981" t="s">
        <v>632</v>
      </c>
      <c r="U599" s="983"/>
      <c r="V599" s="982"/>
      <c r="W599" s="980"/>
      <c r="X599" s="981" t="s">
        <v>632</v>
      </c>
      <c r="Y599" s="983"/>
      <c r="Z599" s="1412" t="str">
        <f>IFERROR(VLOOKUP(C599, [6]條件!$A:$L, 3, 0), "")</f>
        <v/>
      </c>
      <c r="AA599" s="984" t="str">
        <f>IF(OR(L599={"改紡","檢修","了機","清車","FINAL","停機","SAMPLE","TEST","絲開發"}), L599, IFERROR(IF(C599="", "", (SUM(J599, N599, R599, V599)/3 * AG599) * IF(AND(AF599="S", AS599="雙"), 0.5, 1)), ""))</f>
        <v>停機</v>
      </c>
      <c r="AB599" s="1413" t="str">
        <f t="shared" si="107"/>
        <v/>
      </c>
      <c r="AC599" s="984" t="str">
        <f>IF(OR(L599={"改紡","檢修","了機","清車","FINAL","停機","SAMPLE","TEST"}), "", IFERROR(IF(C599="", "", AVERAGE(L599:M599, P599:Q599, T599:U599, X599:Y599)/100), ""))</f>
        <v/>
      </c>
      <c r="AD599" s="984" t="str">
        <f t="shared" si="101"/>
        <v/>
      </c>
      <c r="AE599" s="984" t="str">
        <f t="shared" si="108"/>
        <v/>
      </c>
      <c r="AF599" s="985" t="str">
        <f t="shared" si="102"/>
        <v>M</v>
      </c>
      <c r="AG599" s="1414">
        <v>1</v>
      </c>
      <c r="AH599" s="981" t="s">
        <v>640</v>
      </c>
      <c r="AI599" s="986" t="s">
        <v>640</v>
      </c>
      <c r="AJ599" s="986" t="s">
        <v>640</v>
      </c>
      <c r="AK599" s="1417" t="s">
        <v>640</v>
      </c>
      <c r="AL599" s="1415"/>
      <c r="AM599" s="1323"/>
      <c r="AN599" s="1323"/>
      <c r="AO599" s="1323"/>
      <c r="AP599" s="1323"/>
      <c r="AQ599" s="1323"/>
      <c r="AR599" s="987"/>
      <c r="AS599" s="978" t="str">
        <f t="shared" si="103"/>
        <v>單</v>
      </c>
      <c r="AT599" s="978" t="str">
        <f t="shared" si="104"/>
        <v>全</v>
      </c>
      <c r="AU599" s="978" t="str">
        <f t="shared" si="105"/>
        <v/>
      </c>
      <c r="AV599" s="978" t="str">
        <f t="shared" si="106"/>
        <v/>
      </c>
    </row>
    <row r="600" spans="1:48">
      <c r="A600" s="975">
        <f t="shared" si="100"/>
        <v>46157</v>
      </c>
      <c r="B600" s="976" t="s">
        <v>247</v>
      </c>
      <c r="C600" s="988" t="s">
        <v>16185</v>
      </c>
      <c r="D600" s="1410"/>
      <c r="E600" s="977" t="str">
        <f>IFERROR(VLOOKUP(C600, [6]條件!$A:$L, 5, 0), "")</f>
        <v/>
      </c>
      <c r="F600" s="978" t="str">
        <f>IFERROR(VLOOKUP(C600, [6]條件!$A:$L, 6, 0), "")</f>
        <v/>
      </c>
      <c r="G600" s="1411" t="str">
        <f>IFERROR(VLOOKUP(C600, [6]條件!$A:$L, 7, 0), "")</f>
        <v/>
      </c>
      <c r="H600" s="978" t="str">
        <f>IF(ISNA(VLOOKUP(C600,[6]條件!$A$1:$K$932,11,0)),"",(VLOOKUP(C600,[6]條件!$A$1:$K$932,11,0)))</f>
        <v/>
      </c>
      <c r="I600" s="979" t="str">
        <f>IF(ISNA(VLOOKUP(C600,[6]條件!$A$1:$L$932,12,0)),"",(VLOOKUP(C600,[6]條件!$A$1:$L$932,12,0)))</f>
        <v/>
      </c>
      <c r="J600" s="982"/>
      <c r="K600" s="980"/>
      <c r="L600" s="981" t="s">
        <v>632</v>
      </c>
      <c r="M600" s="983"/>
      <c r="N600" s="982"/>
      <c r="O600" s="980"/>
      <c r="P600" s="981" t="s">
        <v>632</v>
      </c>
      <c r="Q600" s="983"/>
      <c r="R600" s="982"/>
      <c r="S600" s="980"/>
      <c r="T600" s="981" t="s">
        <v>632</v>
      </c>
      <c r="U600" s="983"/>
      <c r="V600" s="982"/>
      <c r="W600" s="980"/>
      <c r="X600" s="981" t="s">
        <v>632</v>
      </c>
      <c r="Y600" s="983"/>
      <c r="Z600" s="1412" t="str">
        <f>IFERROR(VLOOKUP(C600, [6]條件!$A:$L, 3, 0), "")</f>
        <v/>
      </c>
      <c r="AA600" s="984" t="str">
        <f>IF(OR(L600={"改紡","檢修","了機","清車","FINAL","停機","SAMPLE","TEST","絲開發"}), L600, IFERROR(IF(C600="", "", (SUM(J600, N600, R600, V600)/3 * AG600) * IF(AND(AF600="S", AS600="雙"), 0.5, 1)), ""))</f>
        <v>停機</v>
      </c>
      <c r="AB600" s="1413" t="str">
        <f t="shared" si="107"/>
        <v/>
      </c>
      <c r="AC600" s="984" t="str">
        <f>IF(OR(L600={"改紡","檢修","了機","清車","FINAL","停機","SAMPLE","TEST"}), "", IFERROR(IF(C600="", "", AVERAGE(L600:M600, P600:Q600, T600:U600, X600:Y600)/100), ""))</f>
        <v/>
      </c>
      <c r="AD600" s="984" t="str">
        <f t="shared" si="101"/>
        <v/>
      </c>
      <c r="AE600" s="984" t="str">
        <f t="shared" si="108"/>
        <v/>
      </c>
      <c r="AF600" s="985" t="str">
        <f t="shared" si="102"/>
        <v>M</v>
      </c>
      <c r="AG600" s="1414">
        <v>1</v>
      </c>
      <c r="AH600" s="981" t="s">
        <v>640</v>
      </c>
      <c r="AI600" s="986" t="s">
        <v>640</v>
      </c>
      <c r="AJ600" s="986" t="s">
        <v>640</v>
      </c>
      <c r="AK600" s="1417" t="s">
        <v>640</v>
      </c>
      <c r="AL600" s="1415"/>
      <c r="AM600" s="1323"/>
      <c r="AN600" s="1323"/>
      <c r="AO600" s="1323"/>
      <c r="AP600" s="1323"/>
      <c r="AQ600" s="1323"/>
      <c r="AR600" s="987"/>
      <c r="AS600" s="978" t="str">
        <f t="shared" si="103"/>
        <v>單</v>
      </c>
      <c r="AT600" s="978" t="str">
        <f t="shared" si="104"/>
        <v>全</v>
      </c>
      <c r="AU600" s="978" t="str">
        <f t="shared" si="105"/>
        <v/>
      </c>
      <c r="AV600" s="978" t="str">
        <f t="shared" si="106"/>
        <v/>
      </c>
    </row>
    <row r="601" spans="1:48">
      <c r="A601" s="975">
        <f t="shared" si="100"/>
        <v>46157</v>
      </c>
      <c r="B601" s="976" t="s">
        <v>248</v>
      </c>
      <c r="C601" s="988" t="s">
        <v>16185</v>
      </c>
      <c r="D601" s="1410"/>
      <c r="E601" s="977" t="str">
        <f>IFERROR(VLOOKUP(C601, [6]條件!$A:$L, 5, 0), "")</f>
        <v/>
      </c>
      <c r="F601" s="978" t="str">
        <f>IFERROR(VLOOKUP(C601, [6]條件!$A:$L, 6, 0), "")</f>
        <v/>
      </c>
      <c r="G601" s="1411" t="str">
        <f>IFERROR(VLOOKUP(C601, [6]條件!$A:$L, 7, 0), "")</f>
        <v/>
      </c>
      <c r="H601" s="978" t="str">
        <f>IF(ISNA(VLOOKUP(C601,[6]條件!$A$1:$K$932,11,0)),"",(VLOOKUP(C601,[6]條件!$A$1:$K$932,11,0)))</f>
        <v/>
      </c>
      <c r="I601" s="979" t="str">
        <f>IF(ISNA(VLOOKUP(C601,[6]條件!$A$1:$L$932,12,0)),"",(VLOOKUP(C601,[6]條件!$A$1:$L$932,12,0)))</f>
        <v/>
      </c>
      <c r="J601" s="982"/>
      <c r="K601" s="980"/>
      <c r="L601" s="981" t="s">
        <v>632</v>
      </c>
      <c r="M601" s="983"/>
      <c r="N601" s="982"/>
      <c r="O601" s="980"/>
      <c r="P601" s="981" t="s">
        <v>632</v>
      </c>
      <c r="Q601" s="983"/>
      <c r="R601" s="982"/>
      <c r="S601" s="980"/>
      <c r="T601" s="981" t="s">
        <v>632</v>
      </c>
      <c r="U601" s="983"/>
      <c r="V601" s="982"/>
      <c r="W601" s="980"/>
      <c r="X601" s="981" t="s">
        <v>632</v>
      </c>
      <c r="Y601" s="983"/>
      <c r="Z601" s="1412" t="str">
        <f>IFERROR(VLOOKUP(C601, [6]條件!$A:$L, 3, 0), "")</f>
        <v/>
      </c>
      <c r="AA601" s="984" t="str">
        <f>IF(OR(L601={"改紡","檢修","了機","清車","FINAL","停機","SAMPLE","TEST","絲開發"}), L601, IFERROR(IF(C601="", "", (SUM(J601, N601, R601, V601)/3 * AG601) * IF(AND(AF601="S", AS601="雙"), 0.5, 1)), ""))</f>
        <v>停機</v>
      </c>
      <c r="AB601" s="1413" t="str">
        <f t="shared" si="107"/>
        <v/>
      </c>
      <c r="AC601" s="984" t="str">
        <f>IF(OR(L601={"改紡","檢修","了機","清車","FINAL","停機","SAMPLE","TEST"}), "", IFERROR(IF(C601="", "", AVERAGE(L601:M601, P601:Q601, T601:U601, X601:Y601)/100), ""))</f>
        <v/>
      </c>
      <c r="AD601" s="984" t="str">
        <f t="shared" si="101"/>
        <v/>
      </c>
      <c r="AE601" s="984" t="str">
        <f t="shared" si="108"/>
        <v/>
      </c>
      <c r="AF601" s="985" t="str">
        <f t="shared" si="102"/>
        <v>M</v>
      </c>
      <c r="AG601" s="1414">
        <v>1</v>
      </c>
      <c r="AH601" s="981" t="s">
        <v>640</v>
      </c>
      <c r="AI601" s="986" t="s">
        <v>640</v>
      </c>
      <c r="AJ601" s="986" t="s">
        <v>640</v>
      </c>
      <c r="AK601" s="1417" t="s">
        <v>640</v>
      </c>
      <c r="AL601" s="1415"/>
      <c r="AM601" s="1323"/>
      <c r="AN601" s="1323"/>
      <c r="AO601" s="1323"/>
      <c r="AP601" s="1323"/>
      <c r="AQ601" s="1323"/>
      <c r="AR601" s="987"/>
      <c r="AS601" s="978" t="str">
        <f t="shared" si="103"/>
        <v>單</v>
      </c>
      <c r="AT601" s="978" t="str">
        <f t="shared" si="104"/>
        <v>全</v>
      </c>
      <c r="AU601" s="978" t="str">
        <f t="shared" si="105"/>
        <v/>
      </c>
      <c r="AV601" s="978" t="str">
        <f t="shared" si="106"/>
        <v/>
      </c>
    </row>
    <row r="602" spans="1:48" ht="17.25" thickBot="1">
      <c r="A602" s="989">
        <f t="shared" si="100"/>
        <v>46157</v>
      </c>
      <c r="B602" s="990" t="s">
        <v>249</v>
      </c>
      <c r="C602" s="991" t="s">
        <v>16185</v>
      </c>
      <c r="D602" s="1425"/>
      <c r="E602" s="1169" t="str">
        <f>IFERROR(VLOOKUP(C602, [6]條件!$A:$L, 5, 0), "")</f>
        <v/>
      </c>
      <c r="F602" s="992" t="str">
        <f>IFERROR(VLOOKUP(C602, [6]條件!$A:$L, 6, 0), "")</f>
        <v/>
      </c>
      <c r="G602" s="1426" t="str">
        <f>IFERROR(VLOOKUP(C602, [6]條件!$A:$L, 7, 0), "")</f>
        <v/>
      </c>
      <c r="H602" s="992" t="str">
        <f>IF(ISNA(VLOOKUP(C602,[6]條件!$A$1:$K$932,11,0)),"",(VLOOKUP(C602,[6]條件!$A$1:$K$932,11,0)))</f>
        <v/>
      </c>
      <c r="I602" s="1170" t="str">
        <f>IF(ISNA(VLOOKUP(C602,[6]條件!$A$1:$L$932,12,0)),"",(VLOOKUP(C602,[6]條件!$A$1:$L$932,12,0)))</f>
        <v/>
      </c>
      <c r="J602" s="995"/>
      <c r="K602" s="993"/>
      <c r="L602" s="994" t="s">
        <v>632</v>
      </c>
      <c r="M602" s="996"/>
      <c r="N602" s="995"/>
      <c r="O602" s="993"/>
      <c r="P602" s="994" t="s">
        <v>632</v>
      </c>
      <c r="Q602" s="996"/>
      <c r="R602" s="995"/>
      <c r="S602" s="993"/>
      <c r="T602" s="994" t="s">
        <v>632</v>
      </c>
      <c r="U602" s="996"/>
      <c r="V602" s="995"/>
      <c r="W602" s="993"/>
      <c r="X602" s="994" t="s">
        <v>632</v>
      </c>
      <c r="Y602" s="996"/>
      <c r="Z602" s="1427" t="str">
        <f>IFERROR(VLOOKUP(C602, [6]條件!$A:$L, 3, 0), "")</f>
        <v/>
      </c>
      <c r="AA602" s="997" t="str">
        <f>IF(OR(L602={"改紡","檢修","了機","清車","FINAL","停機","SAMPLE","TEST","絲開發"}), L602, IFERROR(IF(C602="", "", (SUM(J602, N602, R602, V602)/3 * AG602) * IF(AND(AF602="S", AS602="雙"), 0.5, 1)), ""))</f>
        <v>停機</v>
      </c>
      <c r="AB602" s="1428" t="str">
        <f t="shared" si="107"/>
        <v/>
      </c>
      <c r="AC602" s="997" t="str">
        <f>IF(OR(L602={"改紡","檢修","了機","清車","FINAL","停機","SAMPLE","TEST"}), "", IFERROR(IF(C602="", "", AVERAGE(L602:M602, P602:Q602, T602:U602, X602:Y602)/100), ""))</f>
        <v/>
      </c>
      <c r="AD602" s="997" t="str">
        <f t="shared" si="101"/>
        <v/>
      </c>
      <c r="AE602" s="997" t="str">
        <f t="shared" si="108"/>
        <v/>
      </c>
      <c r="AF602" s="998" t="str">
        <f t="shared" si="102"/>
        <v>M</v>
      </c>
      <c r="AG602" s="1429">
        <v>1</v>
      </c>
      <c r="AH602" s="994" t="s">
        <v>640</v>
      </c>
      <c r="AI602" s="999" t="s">
        <v>640</v>
      </c>
      <c r="AJ602" s="999" t="s">
        <v>640</v>
      </c>
      <c r="AK602" s="1430" t="s">
        <v>640</v>
      </c>
      <c r="AL602" s="1431"/>
      <c r="AM602" s="1325"/>
      <c r="AN602" s="1325"/>
      <c r="AO602" s="1325"/>
      <c r="AP602" s="1325"/>
      <c r="AQ602" s="1325"/>
      <c r="AR602" s="1000"/>
      <c r="AS602" s="992" t="str">
        <f t="shared" si="103"/>
        <v>單</v>
      </c>
      <c r="AT602" s="992" t="str">
        <f t="shared" si="104"/>
        <v>全</v>
      </c>
      <c r="AU602" s="992" t="str">
        <f t="shared" si="105"/>
        <v/>
      </c>
      <c r="AV602" s="992" t="str">
        <f t="shared" si="106"/>
        <v/>
      </c>
    </row>
    <row r="603" spans="1:48">
      <c r="A603" s="962">
        <v>46158</v>
      </c>
      <c r="B603" s="963" t="s">
        <v>212</v>
      </c>
      <c r="C603" s="963" t="s">
        <v>632</v>
      </c>
      <c r="D603" s="1403"/>
      <c r="E603" s="964" t="str">
        <f>IFERROR(VLOOKUP(C603, [6]條件!$A:$L, 5, 0), "")</f>
        <v/>
      </c>
      <c r="F603" s="965" t="str">
        <f>IFERROR(VLOOKUP(C603, [6]條件!$A:$L, 6, 0), "")</f>
        <v/>
      </c>
      <c r="G603" s="1404" t="str">
        <f>IFERROR(VLOOKUP(C603, [6]條件!$A:$L, 7, 0), "")</f>
        <v/>
      </c>
      <c r="H603" s="965" t="str">
        <f>IF(ISNA(VLOOKUP(C603,[6]條件!$A$1:$K$932,11,0)),"",(VLOOKUP(C603,[6]條件!$A$1:$K$932,11,0)))</f>
        <v/>
      </c>
      <c r="I603" s="966" t="str">
        <f>IF(ISNA(VLOOKUP(C603,[6]條件!$A$1:$L$932,12,0)),"",(VLOOKUP(C603,[6]條件!$A$1:$L$932,12,0)))</f>
        <v/>
      </c>
      <c r="J603" s="969"/>
      <c r="K603" s="967"/>
      <c r="L603" s="981" t="s">
        <v>632</v>
      </c>
      <c r="M603" s="970"/>
      <c r="N603" s="969"/>
      <c r="O603" s="967"/>
      <c r="P603" s="981" t="s">
        <v>632</v>
      </c>
      <c r="Q603" s="970"/>
      <c r="R603" s="969"/>
      <c r="S603" s="967"/>
      <c r="T603" s="981" t="s">
        <v>632</v>
      </c>
      <c r="U603" s="970"/>
      <c r="V603" s="969"/>
      <c r="W603" s="967"/>
      <c r="X603" s="981" t="s">
        <v>632</v>
      </c>
      <c r="Y603" s="970"/>
      <c r="Z603" s="1405" t="str">
        <f>IFERROR(VLOOKUP(C603, [6]條件!$A:$L, 3, 0), "")</f>
        <v/>
      </c>
      <c r="AA603" s="971" t="str">
        <f>IF(OR(L603={"改紡","檢修","了機","清車","FINAL","停機","SAMPLE","TEST","絲開發"}), L603, IFERROR(IF(C603="", "", (SUM(J603, N603, R603, V603)/3 * AG603) * IF(AND(AF603="S", AS603="雙"), 0.5, 1)), ""))</f>
        <v>停機</v>
      </c>
      <c r="AB603" s="1406" t="str">
        <f t="shared" si="107"/>
        <v/>
      </c>
      <c r="AC603" s="971" t="str">
        <f>IF(OR(L603={"改紡","檢修","了機","清車","FINAL","停機","SAMPLE","TEST"}), "", IFERROR(IF(C603="", "", AVERAGE(L603:M603, P603:Q603, T603:U603, X603:Y603)/100), ""))</f>
        <v/>
      </c>
      <c r="AD603" s="971" t="str">
        <f t="shared" si="101"/>
        <v/>
      </c>
      <c r="AE603" s="971" t="str">
        <f t="shared" si="108"/>
        <v/>
      </c>
      <c r="AF603" s="972" t="str">
        <f t="shared" si="102"/>
        <v>A</v>
      </c>
      <c r="AG603" s="1407">
        <v>1</v>
      </c>
      <c r="AH603" s="968" t="s">
        <v>640</v>
      </c>
      <c r="AI603" s="1439" t="s">
        <v>640</v>
      </c>
      <c r="AJ603" s="1166" t="s">
        <v>640</v>
      </c>
      <c r="AK603" s="1408" t="s">
        <v>640</v>
      </c>
      <c r="AL603" s="1409"/>
      <c r="AM603" s="1322"/>
      <c r="AN603" s="1322"/>
      <c r="AO603" s="1322"/>
      <c r="AP603" s="1322"/>
      <c r="AQ603" s="1322"/>
      <c r="AR603" s="973"/>
      <c r="AS603" s="965" t="str">
        <f t="shared" si="103"/>
        <v>單</v>
      </c>
      <c r="AT603" s="965" t="str">
        <f t="shared" si="104"/>
        <v>全</v>
      </c>
      <c r="AU603" s="965" t="str">
        <f t="shared" si="105"/>
        <v/>
      </c>
      <c r="AV603" s="965" t="str">
        <f t="shared" si="106"/>
        <v/>
      </c>
    </row>
    <row r="604" spans="1:48">
      <c r="A604" s="975">
        <f t="shared" ref="A604:A641" si="109">A603</f>
        <v>46158</v>
      </c>
      <c r="B604" s="976" t="s">
        <v>214</v>
      </c>
      <c r="C604" s="976" t="s">
        <v>16708</v>
      </c>
      <c r="D604" s="1410"/>
      <c r="E604" s="977" t="str">
        <f>IFERROR(VLOOKUP(C604, [6]條件!$A:$L, 5, 0), "")</f>
        <v>75/36SDR</v>
      </c>
      <c r="F604" s="978" t="str">
        <f>IFERROR(VLOOKUP(C604, [6]條件!$A:$L, 6, 0), "")</f>
        <v>FP81386R</v>
      </c>
      <c r="G604" s="1411">
        <f>IFERROR(VLOOKUP(C604, [6]條件!$A:$L, 7, 0), "")</f>
        <v>780</v>
      </c>
      <c r="H604" s="978" t="str">
        <f>IF(ISNA(VLOOKUP(C604,[6]條件!$A$1:$K$932,11,0)),"",(VLOOKUP(C604,[6]條件!$A$1:$K$932,11,0)))</f>
        <v>綠底白點</v>
      </c>
      <c r="I604" s="979">
        <f>IF(ISNA(VLOOKUP(C604,[6]條件!$A$1:$L$932,12,0)),"",(VLOOKUP(C604,[6]條件!$A$1:$L$932,12,0)))</f>
        <v>5</v>
      </c>
      <c r="J604" s="982">
        <v>14</v>
      </c>
      <c r="K604" s="980">
        <v>0</v>
      </c>
      <c r="L604" s="981">
        <v>8723</v>
      </c>
      <c r="M604" s="983">
        <v>8328</v>
      </c>
      <c r="N604" s="982">
        <v>4</v>
      </c>
      <c r="O604" s="980">
        <v>0</v>
      </c>
      <c r="P604" s="981">
        <v>8880</v>
      </c>
      <c r="Q604" s="983">
        <v>8261</v>
      </c>
      <c r="R604" s="982">
        <v>10</v>
      </c>
      <c r="S604" s="980">
        <v>0</v>
      </c>
      <c r="T604" s="981">
        <v>8833</v>
      </c>
      <c r="U604" s="983">
        <v>8185</v>
      </c>
      <c r="V604" s="982">
        <v>5</v>
      </c>
      <c r="W604" s="980">
        <v>0</v>
      </c>
      <c r="X604" s="981">
        <v>8816</v>
      </c>
      <c r="Y604" s="983">
        <v>8232</v>
      </c>
      <c r="Z604" s="1412">
        <f>IFERROR(VLOOKUP(C604, [6]條件!$A:$L, 3, 0), "")</f>
        <v>1.7777777777777777</v>
      </c>
      <c r="AA604" s="984">
        <f>IF(OR(L604={"改紡","檢修","了機","清車","FINAL","停機","SAMPLE","TEST","絲開發"}), L604, IFERROR(IF(C604="", "", (SUM(J604, N604, R604, V604)/3 * AG604) * IF(AND(AF604="S", AS604="雙"), 0.5, 1)), ""))</f>
        <v>11</v>
      </c>
      <c r="AB604" s="1413">
        <f t="shared" si="107"/>
        <v>1</v>
      </c>
      <c r="AC604" s="984">
        <f>IF(OR(L604={"改紡","檢修","了機","清車","FINAL","停機","SAMPLE","TEST"}), "", IFERROR(IF(C604="", "", AVERAGE(L604:M604, P604:Q604, T604:U604, X604:Y604)/100), ""))</f>
        <v>85.322500000000005</v>
      </c>
      <c r="AD604" s="984">
        <f t="shared" si="101"/>
        <v>1.375</v>
      </c>
      <c r="AE604" s="984">
        <f t="shared" si="108"/>
        <v>1.375</v>
      </c>
      <c r="AF604" s="985" t="str">
        <f t="shared" si="102"/>
        <v>A</v>
      </c>
      <c r="AG604" s="1414">
        <v>1</v>
      </c>
      <c r="AH604" s="981" t="s">
        <v>16154</v>
      </c>
      <c r="AI604" s="1440" t="s">
        <v>16154</v>
      </c>
      <c r="AJ604" s="986" t="s">
        <v>634</v>
      </c>
      <c r="AK604" s="1417" t="s">
        <v>634</v>
      </c>
      <c r="AL604" s="1415">
        <v>50</v>
      </c>
      <c r="AM604" s="1323">
        <v>46153</v>
      </c>
      <c r="AN604" s="1323">
        <v>46154</v>
      </c>
      <c r="AO604" s="1323">
        <v>46156</v>
      </c>
      <c r="AP604" s="1323"/>
      <c r="AQ604" s="1323"/>
      <c r="AR604" s="987"/>
      <c r="AS604" s="978" t="str">
        <f t="shared" si="103"/>
        <v>單</v>
      </c>
      <c r="AT604" s="978" t="str">
        <f t="shared" si="104"/>
        <v>全</v>
      </c>
      <c r="AU604" s="978">
        <f t="shared" si="105"/>
        <v>75</v>
      </c>
      <c r="AV604" s="978">
        <f t="shared" si="106"/>
        <v>1.725016176</v>
      </c>
    </row>
    <row r="605" spans="1:48">
      <c r="A605" s="975">
        <f t="shared" si="109"/>
        <v>46158</v>
      </c>
      <c r="B605" s="976" t="s">
        <v>215</v>
      </c>
      <c r="C605" s="976" t="s">
        <v>16746</v>
      </c>
      <c r="D605" s="1410" t="s">
        <v>633</v>
      </c>
      <c r="E605" s="977" t="str">
        <f>IFERROR(VLOOKUP(C605, [6]條件!$A:$L, 5, 0), "")</f>
        <v>75/24/2SDr</v>
      </c>
      <c r="F605" s="978" t="str">
        <f>IFERROR(VLOOKUP(C605, [6]條件!$A:$L, 6, 0), "")</f>
        <v>FP81391R×2</v>
      </c>
      <c r="G605" s="1411">
        <f>IFERROR(VLOOKUP(C605, [6]條件!$A:$L, 7, 0), "")</f>
        <v>700</v>
      </c>
      <c r="H605" s="978" t="str">
        <f>IF(ISNA(VLOOKUP(C605,[6]條件!$A$1:$K$932,11,0)),"",(VLOOKUP(C605,[6]條件!$A$1:$K$932,11,0)))</f>
        <v>紅底白點</v>
      </c>
      <c r="I605" s="979">
        <f>IF(ISNA(VLOOKUP(C605,[6]條件!$A$1:$L$932,12,0)),"",(VLOOKUP(C605,[6]條件!$A$1:$L$932,12,0)))</f>
        <v>5</v>
      </c>
      <c r="J605" s="982">
        <v>34</v>
      </c>
      <c r="K605" s="980">
        <v>0</v>
      </c>
      <c r="L605" s="981"/>
      <c r="M605" s="983">
        <v>7377</v>
      </c>
      <c r="N605" s="982">
        <v>8</v>
      </c>
      <c r="O605" s="980">
        <v>0</v>
      </c>
      <c r="P605" s="981" t="s">
        <v>632</v>
      </c>
      <c r="Q605" s="983">
        <v>7759</v>
      </c>
      <c r="R605" s="982">
        <v>18</v>
      </c>
      <c r="S605" s="980">
        <v>0</v>
      </c>
      <c r="T605" s="981" t="s">
        <v>632</v>
      </c>
      <c r="U605" s="983">
        <v>7362</v>
      </c>
      <c r="V605" s="982">
        <v>20</v>
      </c>
      <c r="W605" s="980">
        <v>0</v>
      </c>
      <c r="X605" s="981" t="s">
        <v>632</v>
      </c>
      <c r="Y605" s="983">
        <v>7294</v>
      </c>
      <c r="Z605" s="1412">
        <f>IFERROR(VLOOKUP(C605, [6]條件!$A:$L, 3, 0), "")</f>
        <v>3.2653061224489797</v>
      </c>
      <c r="AA605" s="984">
        <f>IF(OR(L605={"改紡","檢修","了機","清車","FINAL","停機","SAMPLE","TEST","絲開發"}), L605, IFERROR(IF(C605="", "", (SUM(J605, N605, R605, V605)/3 * AG605) * IF(AND(AF605="S", AS605="雙"), 0.5, 1)), ""))</f>
        <v>26.666666666666668</v>
      </c>
      <c r="AB605" s="1413">
        <f t="shared" si="107"/>
        <v>1</v>
      </c>
      <c r="AC605" s="984">
        <f>IF(OR(L605={"改紡","檢修","了機","清車","FINAL","停機","SAMPLE","TEST"}), "", IFERROR(IF(C605="", "", AVERAGE(L605:M605, P605:Q605, T605:U605, X605:Y605)/100), ""))</f>
        <v>74.48</v>
      </c>
      <c r="AD605" s="984">
        <f t="shared" si="101"/>
        <v>3.3333333333333335</v>
      </c>
      <c r="AE605" s="984">
        <f t="shared" si="108"/>
        <v>3.3333333333333335</v>
      </c>
      <c r="AF605" s="985" t="str">
        <f t="shared" si="102"/>
        <v>A</v>
      </c>
      <c r="AG605" s="1414">
        <v>1</v>
      </c>
      <c r="AH605" s="981" t="s">
        <v>16154</v>
      </c>
      <c r="AI605" s="1440" t="s">
        <v>16154</v>
      </c>
      <c r="AJ605" s="986" t="s">
        <v>634</v>
      </c>
      <c r="AK605" s="1417" t="s">
        <v>641</v>
      </c>
      <c r="AL605" s="1415">
        <v>53</v>
      </c>
      <c r="AM605" s="1323">
        <v>46120</v>
      </c>
      <c r="AN605" s="1323">
        <v>46122</v>
      </c>
      <c r="AO605" s="1323">
        <v>46123</v>
      </c>
      <c r="AP605" s="1323"/>
      <c r="AQ605" s="1323"/>
      <c r="AR605" s="987"/>
      <c r="AS605" s="978" t="str">
        <f t="shared" si="103"/>
        <v>雙</v>
      </c>
      <c r="AT605" s="978" t="str">
        <f t="shared" si="104"/>
        <v>半</v>
      </c>
      <c r="AU605" s="978">
        <f t="shared" si="105"/>
        <v>75</v>
      </c>
      <c r="AV605" s="978">
        <f t="shared" si="106"/>
        <v>0.67568255999999993</v>
      </c>
    </row>
    <row r="606" spans="1:48">
      <c r="A606" s="975">
        <f t="shared" si="109"/>
        <v>46158</v>
      </c>
      <c r="B606" s="976" t="s">
        <v>216</v>
      </c>
      <c r="C606" s="976" t="s">
        <v>16764</v>
      </c>
      <c r="D606" s="1410"/>
      <c r="E606" s="977" t="str">
        <f>IFERROR(VLOOKUP(C606, [6]條件!$A:$L, 5, 0), "")</f>
        <v>150/48BK42</v>
      </c>
      <c r="F606" s="978" t="str">
        <f>IFERROR(VLOOKUP(C606, [6]條件!$A:$L, 6, 0), "")</f>
        <v>FP02421</v>
      </c>
      <c r="G606" s="1411">
        <f>IFERROR(VLOOKUP(C606, [6]條件!$A:$L, 7, 0), "")</f>
        <v>600</v>
      </c>
      <c r="H606" s="978" t="str">
        <f>IF(ISNA(VLOOKUP(C606,[6]條件!$A$1:$K$932,11,0)),"",(VLOOKUP(C606,[6]條件!$A$1:$K$932,11,0)))</f>
        <v>白桔方塊</v>
      </c>
      <c r="I606" s="979">
        <f>IF(ISNA(VLOOKUP(C606,[6]條件!$A$1:$L$932,12,0)),"",(VLOOKUP(C606,[6]條件!$A$1:$L$932,12,0)))</f>
        <v>5</v>
      </c>
      <c r="J606" s="982">
        <v>6</v>
      </c>
      <c r="K606" s="980">
        <v>1</v>
      </c>
      <c r="L606" s="981">
        <v>9124</v>
      </c>
      <c r="M606" s="983" t="s">
        <v>632</v>
      </c>
      <c r="N606" s="982">
        <v>4</v>
      </c>
      <c r="O606" s="980">
        <v>0</v>
      </c>
      <c r="P606" s="981">
        <v>9130</v>
      </c>
      <c r="Q606" s="983" t="s">
        <v>632</v>
      </c>
      <c r="R606" s="982">
        <v>5</v>
      </c>
      <c r="S606" s="980">
        <v>1</v>
      </c>
      <c r="T606" s="981">
        <v>9050</v>
      </c>
      <c r="U606" s="983" t="s">
        <v>632</v>
      </c>
      <c r="V606" s="982">
        <v>6</v>
      </c>
      <c r="W606" s="980">
        <v>2</v>
      </c>
      <c r="X606" s="981">
        <v>8964</v>
      </c>
      <c r="Y606" s="983" t="s">
        <v>632</v>
      </c>
      <c r="Z606" s="1412">
        <f>IFERROR(VLOOKUP(C606, [6]條件!$A:$L, 3, 0), "")</f>
        <v>2.8346456692913384</v>
      </c>
      <c r="AA606" s="984">
        <f>IF(OR(L606={"改紡","檢修","了機","清車","FINAL","停機","SAMPLE","TEST","絲開發"}), L606, IFERROR(IF(C606="", "", (SUM(J606, N606, R606, V606)/3 * AG606) * IF(AND(AF606="S", AS606="雙"), 0.5, 1)), ""))</f>
        <v>14</v>
      </c>
      <c r="AB606" s="1413">
        <f t="shared" si="107"/>
        <v>0.99321581196581199</v>
      </c>
      <c r="AC606" s="984">
        <f>IF(OR(L606={"改紡","檢修","了機","清車","FINAL","停機","SAMPLE","TEST"}), "", IFERROR(IF(C606="", "", AVERAGE(L606:M606, P606:Q606, T606:U606, X606:Y606)/100), ""))</f>
        <v>90.67</v>
      </c>
      <c r="AD606" s="984">
        <f t="shared" si="101"/>
        <v>1.75</v>
      </c>
      <c r="AE606" s="984">
        <f t="shared" si="108"/>
        <v>1.4166666666666667</v>
      </c>
      <c r="AF606" s="985" t="str">
        <f t="shared" si="102"/>
        <v>A</v>
      </c>
      <c r="AG606" s="1414">
        <v>2</v>
      </c>
      <c r="AH606" s="981" t="s">
        <v>631</v>
      </c>
      <c r="AI606" s="1440" t="s">
        <v>631</v>
      </c>
      <c r="AJ606" s="986" t="s">
        <v>641</v>
      </c>
      <c r="AK606" s="1417" t="s">
        <v>641</v>
      </c>
      <c r="AL606" s="1415">
        <v>52</v>
      </c>
      <c r="AM606" s="1323">
        <v>46151</v>
      </c>
      <c r="AN606" s="1323">
        <v>46152</v>
      </c>
      <c r="AO606" s="1323"/>
      <c r="AP606" s="1323"/>
      <c r="AQ606" s="1323"/>
      <c r="AR606" s="987"/>
      <c r="AS606" s="978" t="str">
        <f t="shared" si="103"/>
        <v>單</v>
      </c>
      <c r="AT606" s="978" t="str">
        <f t="shared" si="104"/>
        <v>半</v>
      </c>
      <c r="AU606" s="978">
        <f t="shared" si="105"/>
        <v>150</v>
      </c>
      <c r="AV606" s="978">
        <f t="shared" si="106"/>
        <v>1.4100998399999998</v>
      </c>
    </row>
    <row r="607" spans="1:48">
      <c r="A607" s="975">
        <f t="shared" si="109"/>
        <v>46158</v>
      </c>
      <c r="B607" s="976" t="s">
        <v>217</v>
      </c>
      <c r="C607" s="976" t="s">
        <v>16197</v>
      </c>
      <c r="D607" s="1410"/>
      <c r="E607" s="977" t="str">
        <f>IFERROR(VLOOKUP(C607, [6]條件!$A:$L, 5, 0), "")</f>
        <v>75/36HC</v>
      </c>
      <c r="F607" s="978" t="str">
        <f>IFERROR(VLOOKUP(C607, [6]條件!$A:$L, 6, 0), "")</f>
        <v>FP81857R</v>
      </c>
      <c r="G607" s="1411">
        <f>IFERROR(VLOOKUP(C607, [6]條件!$A:$L, 7, 0), "")</f>
        <v>600</v>
      </c>
      <c r="H607" s="978" t="str">
        <f>IF(ISNA(VLOOKUP(C607,[6]條件!$A$1:$K$932,11,0)),"",(VLOOKUP(C607,[6]條件!$A$1:$K$932,11,0)))</f>
        <v>白底綠方塊</v>
      </c>
      <c r="I607" s="979">
        <f>IF(ISNA(VLOOKUP(C607,[6]條件!$A$1:$L$932,12,0)),"",(VLOOKUP(C607,[6]條件!$A$1:$L$932,12,0)))</f>
        <v>4</v>
      </c>
      <c r="J607" s="982">
        <v>18</v>
      </c>
      <c r="K607" s="980">
        <v>2</v>
      </c>
      <c r="L607" s="981">
        <v>8287</v>
      </c>
      <c r="M607" s="983">
        <v>8746</v>
      </c>
      <c r="N607" s="982">
        <v>14</v>
      </c>
      <c r="O607" s="980">
        <v>0</v>
      </c>
      <c r="P607" s="981">
        <v>8329</v>
      </c>
      <c r="Q607" s="983">
        <v>8598</v>
      </c>
      <c r="R607" s="982">
        <v>14</v>
      </c>
      <c r="S607" s="980">
        <v>0</v>
      </c>
      <c r="T607" s="981">
        <v>8281</v>
      </c>
      <c r="U607" s="983">
        <v>8661</v>
      </c>
      <c r="V607" s="982">
        <v>22</v>
      </c>
      <c r="W607" s="980">
        <v>0</v>
      </c>
      <c r="X607" s="981">
        <v>8070</v>
      </c>
      <c r="Y607" s="983">
        <v>8477</v>
      </c>
      <c r="Z607" s="1412">
        <f>IFERROR(VLOOKUP(C607, [6]條件!$A:$L, 3, 0), "")</f>
        <v>1.7496962332928312</v>
      </c>
      <c r="AA607" s="984">
        <f>IF(OR(L607={"改紡","檢修","了機","清車","FINAL","停機","SAMPLE","TEST","絲開發"}), L607, IFERROR(IF(C607="", "", (SUM(J607, N607, R607, V607)/3 * AG607) * IF(AND(AF607="S", AS607="雙"), 0.5, 1)), ""))</f>
        <v>22.666666666666668</v>
      </c>
      <c r="AB607" s="1413">
        <f t="shared" si="107"/>
        <v>0.99450454059829063</v>
      </c>
      <c r="AC607" s="984">
        <f>IF(OR(L607={"改紡","檢修","了機","清車","FINAL","停機","SAMPLE","TEST"}), "", IFERROR(IF(C607="", "", AVERAGE(L607:M607, P607:Q607, T607:U607, X607:Y607)/100), ""))</f>
        <v>84.311250000000001</v>
      </c>
      <c r="AD607" s="984">
        <f t="shared" si="101"/>
        <v>2.8333333333333335</v>
      </c>
      <c r="AE607" s="984">
        <f t="shared" si="108"/>
        <v>2.75</v>
      </c>
      <c r="AF607" s="985" t="str">
        <f t="shared" si="102"/>
        <v>A</v>
      </c>
      <c r="AG607" s="1414">
        <v>1</v>
      </c>
      <c r="AH607" s="981" t="s">
        <v>631</v>
      </c>
      <c r="AI607" s="1440" t="s">
        <v>631</v>
      </c>
      <c r="AJ607" s="986" t="s">
        <v>641</v>
      </c>
      <c r="AK607" s="1417" t="s">
        <v>641</v>
      </c>
      <c r="AL607" s="1415">
        <v>54</v>
      </c>
      <c r="AM607" s="1323">
        <v>46122</v>
      </c>
      <c r="AN607" s="1323">
        <v>46123</v>
      </c>
      <c r="AO607" s="1323">
        <v>46125</v>
      </c>
      <c r="AP607" s="1323"/>
      <c r="AQ607" s="1323"/>
      <c r="AR607" s="987"/>
      <c r="AS607" s="978" t="str">
        <f t="shared" si="103"/>
        <v>單</v>
      </c>
      <c r="AT607" s="978" t="str">
        <f t="shared" si="104"/>
        <v>全</v>
      </c>
      <c r="AU607" s="978">
        <f t="shared" si="105"/>
        <v>75</v>
      </c>
      <c r="AV607" s="978">
        <f t="shared" si="106"/>
        <v>1.3112085600000001</v>
      </c>
    </row>
    <row r="608" spans="1:48">
      <c r="A608" s="975">
        <f t="shared" si="109"/>
        <v>46158</v>
      </c>
      <c r="B608" s="976" t="s">
        <v>218</v>
      </c>
      <c r="C608" s="976" t="s">
        <v>632</v>
      </c>
      <c r="D608" s="1410"/>
      <c r="E608" s="977" t="str">
        <f>IFERROR(VLOOKUP(C608, [6]條件!$A:$L, 5, 0), "")</f>
        <v/>
      </c>
      <c r="F608" s="978" t="str">
        <f>IFERROR(VLOOKUP(C608, [6]條件!$A:$L, 6, 0), "")</f>
        <v/>
      </c>
      <c r="G608" s="1411" t="str">
        <f>IFERROR(VLOOKUP(C608, [6]條件!$A:$L, 7, 0), "")</f>
        <v/>
      </c>
      <c r="H608" s="978" t="str">
        <f>IF(ISNA(VLOOKUP(C608,[6]條件!$A$1:$K$932,11,0)),"",(VLOOKUP(C608,[6]條件!$A$1:$K$932,11,0)))</f>
        <v/>
      </c>
      <c r="I608" s="979" t="str">
        <f>IF(ISNA(VLOOKUP(C608,[6]條件!$A$1:$L$932,12,0)),"",(VLOOKUP(C608,[6]條件!$A$1:$L$932,12,0)))</f>
        <v/>
      </c>
      <c r="J608" s="982"/>
      <c r="K608" s="980"/>
      <c r="L608" s="981" t="s">
        <v>632</v>
      </c>
      <c r="M608" s="983"/>
      <c r="N608" s="982"/>
      <c r="O608" s="980"/>
      <c r="P608" s="981" t="s">
        <v>632</v>
      </c>
      <c r="Q608" s="983"/>
      <c r="R608" s="982"/>
      <c r="S608" s="980"/>
      <c r="T608" s="981" t="s">
        <v>632</v>
      </c>
      <c r="U608" s="983"/>
      <c r="V608" s="982"/>
      <c r="W608" s="980"/>
      <c r="X608" s="981" t="s">
        <v>632</v>
      </c>
      <c r="Y608" s="983"/>
      <c r="Z608" s="1412" t="str">
        <f>IFERROR(VLOOKUP(C608, [6]條件!$A:$L, 3, 0), "")</f>
        <v/>
      </c>
      <c r="AA608" s="984" t="str">
        <f>IF(OR(L608={"改紡","檢修","了機","清車","FINAL","停機","SAMPLE","TEST","絲開發"}), L608, IFERROR(IF(C608="", "", (SUM(J608, N608, R608, V608)/3 * AG608) * IF(AND(AF608="S", AS608="雙"), 0.5, 1)), ""))</f>
        <v>停機</v>
      </c>
      <c r="AB608" s="1413" t="str">
        <f t="shared" si="107"/>
        <v/>
      </c>
      <c r="AC608" s="984" t="str">
        <f>IF(OR(L608={"改紡","檢修","了機","清車","FINAL","停機","SAMPLE","TEST"}), "", IFERROR(IF(C608="", "", AVERAGE(L608:M608, P608:Q608, T608:U608, X608:Y608)/100), ""))</f>
        <v/>
      </c>
      <c r="AD608" s="984" t="str">
        <f t="shared" si="101"/>
        <v/>
      </c>
      <c r="AE608" s="984" t="str">
        <f t="shared" si="108"/>
        <v/>
      </c>
      <c r="AF608" s="985" t="str">
        <f t="shared" si="102"/>
        <v>A</v>
      </c>
      <c r="AG608" s="1414">
        <v>1</v>
      </c>
      <c r="AH608" s="981" t="s">
        <v>640</v>
      </c>
      <c r="AI608" s="1440" t="s">
        <v>640</v>
      </c>
      <c r="AJ608" s="986" t="s">
        <v>640</v>
      </c>
      <c r="AK608" s="1417" t="s">
        <v>640</v>
      </c>
      <c r="AL608" s="1415"/>
      <c r="AM608" s="1323"/>
      <c r="AN608" s="1323"/>
      <c r="AO608" s="1323"/>
      <c r="AP608" s="1323"/>
      <c r="AQ608" s="1323"/>
      <c r="AR608" s="987"/>
      <c r="AS608" s="978" t="str">
        <f t="shared" si="103"/>
        <v>單</v>
      </c>
      <c r="AT608" s="978" t="str">
        <f t="shared" si="104"/>
        <v>全</v>
      </c>
      <c r="AU608" s="978" t="str">
        <f t="shared" si="105"/>
        <v/>
      </c>
      <c r="AV608" s="978" t="str">
        <f t="shared" si="106"/>
        <v/>
      </c>
    </row>
    <row r="609" spans="1:48">
      <c r="A609" s="975">
        <f t="shared" si="109"/>
        <v>46158</v>
      </c>
      <c r="B609" s="976" t="s">
        <v>219</v>
      </c>
      <c r="C609" s="976" t="s">
        <v>16745</v>
      </c>
      <c r="D609" s="1410" t="s">
        <v>16748</v>
      </c>
      <c r="E609" s="977" t="str">
        <f>IFERROR(VLOOKUP(C609, [6]條件!$A:$L, 5, 0), "")</f>
        <v>50/72BSD3</v>
      </c>
      <c r="F609" s="978" t="str">
        <f>IFERROR(VLOOKUP(C609, [6]條件!$A:$L, 6, 0), "")</f>
        <v>FP80141</v>
      </c>
      <c r="G609" s="1411">
        <f>IFERROR(VLOOKUP(C609, [6]條件!$A:$L, 7, 0), "")</f>
        <v>630</v>
      </c>
      <c r="H609" s="978" t="str">
        <f>IF(ISNA(VLOOKUP(C609,[6]條件!$A$1:$K$932,11,0)),"",(VLOOKUP(C609,[6]條件!$A$1:$K$932,11,0)))</f>
        <v>洋綠色</v>
      </c>
      <c r="I609" s="979">
        <f>IF(ISNA(VLOOKUP(C609,[6]條件!$A$1:$L$932,12,0)),"",(VLOOKUP(C609,[6]條件!$A$1:$L$932,12,0)))</f>
        <v>2</v>
      </c>
      <c r="J609" s="982">
        <v>25</v>
      </c>
      <c r="K609" s="980">
        <v>1</v>
      </c>
      <c r="L609" s="981">
        <v>9633</v>
      </c>
      <c r="M609" s="983">
        <v>9614</v>
      </c>
      <c r="N609" s="982">
        <v>14</v>
      </c>
      <c r="O609" s="980">
        <v>1</v>
      </c>
      <c r="P609" s="981">
        <v>9704</v>
      </c>
      <c r="Q609" s="983">
        <v>9750</v>
      </c>
      <c r="R609" s="982">
        <v>17</v>
      </c>
      <c r="S609" s="980">
        <v>3</v>
      </c>
      <c r="T609" s="981">
        <v>9622</v>
      </c>
      <c r="U609" s="983">
        <v>9685</v>
      </c>
      <c r="V609" s="982">
        <v>23</v>
      </c>
      <c r="W609" s="980">
        <v>1</v>
      </c>
      <c r="X609" s="981">
        <v>9657</v>
      </c>
      <c r="Y609" s="983">
        <v>9750</v>
      </c>
      <c r="Z609" s="1412">
        <f>IFERROR(VLOOKUP(C609, [6]條件!$A:$L, 3, 0), "")</f>
        <v>2.4615384615384617</v>
      </c>
      <c r="AA609" s="984">
        <f>IF(OR(L609={"改紡","檢修","了機","清車","FINAL","停機","SAMPLE","TEST","絲開發"}), L609, IFERROR(IF(C609="", "", (SUM(J609, N609, R609, V609)/3 * AG609) * IF(AND(AF609="S", AS609="雙"), 0.5, 1)), ""))</f>
        <v>26.333333333333332</v>
      </c>
      <c r="AB609" s="1413">
        <f t="shared" si="107"/>
        <v>0.98828125</v>
      </c>
      <c r="AC609" s="984">
        <f>IF(OR(L609={"改紡","檢修","了機","清車","FINAL","停機","SAMPLE","TEST"}), "", IFERROR(IF(C609="", "", AVERAGE(L609:M609, P609:Q609, T609:U609, X609:Y609)/100), ""))</f>
        <v>96.768749999999997</v>
      </c>
      <c r="AD609" s="984">
        <f t="shared" si="101"/>
        <v>3.2916666666666665</v>
      </c>
      <c r="AE609" s="984">
        <f t="shared" si="108"/>
        <v>3.0416666666666665</v>
      </c>
      <c r="AF609" s="985" t="str">
        <f t="shared" si="102"/>
        <v>A</v>
      </c>
      <c r="AG609" s="1414">
        <v>1</v>
      </c>
      <c r="AH609" s="981" t="s">
        <v>16154</v>
      </c>
      <c r="AI609" s="1440" t="s">
        <v>16154</v>
      </c>
      <c r="AJ609" s="986" t="s">
        <v>634</v>
      </c>
      <c r="AK609" s="1417" t="s">
        <v>634</v>
      </c>
      <c r="AL609" s="1415">
        <v>57</v>
      </c>
      <c r="AM609" s="1324">
        <v>46090</v>
      </c>
      <c r="AN609" s="1323"/>
      <c r="AO609" s="1323"/>
      <c r="AP609" s="1323"/>
      <c r="AQ609" s="1323"/>
      <c r="AR609" s="987"/>
      <c r="AS609" s="978" t="str">
        <f t="shared" si="103"/>
        <v>單</v>
      </c>
      <c r="AT609" s="978" t="str">
        <f t="shared" si="104"/>
        <v>全</v>
      </c>
      <c r="AU609" s="978">
        <f t="shared" si="105"/>
        <v>50</v>
      </c>
      <c r="AV609" s="978">
        <f t="shared" si="106"/>
        <v>1.0534633199999999</v>
      </c>
    </row>
    <row r="610" spans="1:48">
      <c r="A610" s="975">
        <f t="shared" si="109"/>
        <v>46158</v>
      </c>
      <c r="B610" s="976" t="s">
        <v>220</v>
      </c>
      <c r="C610" s="976" t="s">
        <v>632</v>
      </c>
      <c r="D610" s="1410"/>
      <c r="E610" s="977" t="str">
        <f>IFERROR(VLOOKUP(C610, [6]條件!$A:$L, 5, 0), "")</f>
        <v/>
      </c>
      <c r="F610" s="978" t="str">
        <f>IFERROR(VLOOKUP(C610, [6]條件!$A:$L, 6, 0), "")</f>
        <v/>
      </c>
      <c r="G610" s="1411" t="str">
        <f>IFERROR(VLOOKUP(C610, [6]條件!$A:$L, 7, 0), "")</f>
        <v/>
      </c>
      <c r="H610" s="978" t="str">
        <f>IF(ISNA(VLOOKUP(C610,[6]條件!$A$1:$K$932,11,0)),"",(VLOOKUP(C610,[6]條件!$A$1:$K$932,11,0)))</f>
        <v/>
      </c>
      <c r="I610" s="979" t="str">
        <f>IF(ISNA(VLOOKUP(C610,[6]條件!$A$1:$L$932,12,0)),"",(VLOOKUP(C610,[6]條件!$A$1:$L$932,12,0)))</f>
        <v/>
      </c>
      <c r="J610" s="982"/>
      <c r="K610" s="980"/>
      <c r="L610" s="981" t="s">
        <v>632</v>
      </c>
      <c r="M610" s="983"/>
      <c r="N610" s="982"/>
      <c r="O610" s="980"/>
      <c r="P610" s="981" t="s">
        <v>632</v>
      </c>
      <c r="Q610" s="983"/>
      <c r="R610" s="982"/>
      <c r="S610" s="980"/>
      <c r="T610" s="981" t="s">
        <v>632</v>
      </c>
      <c r="U610" s="983"/>
      <c r="V610" s="982"/>
      <c r="W610" s="980"/>
      <c r="X610" s="981" t="s">
        <v>632</v>
      </c>
      <c r="Y610" s="983"/>
      <c r="Z610" s="1412" t="str">
        <f>IFERROR(VLOOKUP(C610, [6]條件!$A:$L, 3, 0), "")</f>
        <v/>
      </c>
      <c r="AA610" s="984" t="str">
        <f>IF(OR(L610={"改紡","檢修","了機","清車","FINAL","停機","SAMPLE","TEST","絲開發"}), L610, IFERROR(IF(C610="", "", (SUM(J610, N610, R610, V610)/3 * AG610) * IF(AND(AF610="S", AS610="雙"), 0.5, 1)), ""))</f>
        <v>停機</v>
      </c>
      <c r="AB610" s="1413" t="str">
        <f t="shared" si="107"/>
        <v/>
      </c>
      <c r="AC610" s="984" t="str">
        <f>IF(OR(L610={"改紡","檢修","了機","清車","FINAL","停機","SAMPLE","TEST"}), "", IFERROR(IF(C610="", "", AVERAGE(L610:M610, P610:Q610, T610:U610, X610:Y610)/100), ""))</f>
        <v/>
      </c>
      <c r="AD610" s="984" t="str">
        <f t="shared" si="101"/>
        <v/>
      </c>
      <c r="AE610" s="984" t="str">
        <f t="shared" si="108"/>
        <v/>
      </c>
      <c r="AF610" s="985" t="str">
        <f t="shared" si="102"/>
        <v>A</v>
      </c>
      <c r="AG610" s="1414">
        <v>1</v>
      </c>
      <c r="AH610" s="981" t="s">
        <v>640</v>
      </c>
      <c r="AI610" s="1440" t="s">
        <v>640</v>
      </c>
      <c r="AJ610" s="986" t="s">
        <v>640</v>
      </c>
      <c r="AK610" s="1417" t="s">
        <v>640</v>
      </c>
      <c r="AL610" s="1415"/>
      <c r="AM610" s="1323"/>
      <c r="AN610" s="1323"/>
      <c r="AO610" s="1323"/>
      <c r="AP610" s="1323"/>
      <c r="AQ610" s="1323"/>
      <c r="AR610" s="987"/>
      <c r="AS610" s="978" t="str">
        <f t="shared" si="103"/>
        <v>單</v>
      </c>
      <c r="AT610" s="978" t="str">
        <f t="shared" si="104"/>
        <v>全</v>
      </c>
      <c r="AU610" s="978" t="str">
        <f t="shared" si="105"/>
        <v/>
      </c>
      <c r="AV610" s="978" t="str">
        <f t="shared" si="106"/>
        <v/>
      </c>
    </row>
    <row r="611" spans="1:48">
      <c r="A611" s="975">
        <f t="shared" si="109"/>
        <v>46158</v>
      </c>
      <c r="B611" s="976" t="s">
        <v>221</v>
      </c>
      <c r="C611" s="976" t="s">
        <v>16763</v>
      </c>
      <c r="D611" s="1410"/>
      <c r="E611" s="977" t="str">
        <f>IFERROR(VLOOKUP(C611, [6]條件!$A:$L, 5, 0), "")</f>
        <v>150/48CDR</v>
      </c>
      <c r="F611" s="978" t="str">
        <f>IFERROR(VLOOKUP(C611, [6]條件!$A:$L, 6, 0), "")</f>
        <v>FP82781</v>
      </c>
      <c r="G611" s="1411">
        <f>IFERROR(VLOOKUP(C611, [6]條件!$A:$L, 7, 0), "")</f>
        <v>600</v>
      </c>
      <c r="H611" s="978" t="str">
        <f>IF(ISNA(VLOOKUP(C611,[6]條件!$A$1:$K$932,11,0)),"",(VLOOKUP(C611,[6]條件!$A$1:$K$932,11,0)))</f>
        <v>綠藍雙色</v>
      </c>
      <c r="I611" s="979">
        <f>IF(ISNA(VLOOKUP(C611,[6]條件!$A$1:$L$932,12,0)),"",(VLOOKUP(C611,[6]條件!$A$1:$L$932,12,0)))</f>
        <v>5</v>
      </c>
      <c r="J611" s="982">
        <v>8</v>
      </c>
      <c r="K611" s="980">
        <v>0</v>
      </c>
      <c r="L611" s="981">
        <v>8563</v>
      </c>
      <c r="M611" s="983">
        <v>8192</v>
      </c>
      <c r="N611" s="982">
        <v>6</v>
      </c>
      <c r="O611" s="980">
        <v>0</v>
      </c>
      <c r="P611" s="981">
        <v>8550</v>
      </c>
      <c r="Q611" s="983">
        <v>8100</v>
      </c>
      <c r="R611" s="982">
        <v>5</v>
      </c>
      <c r="S611" s="980">
        <v>0</v>
      </c>
      <c r="T611" s="981">
        <v>8584</v>
      </c>
      <c r="U611" s="983">
        <v>8039</v>
      </c>
      <c r="V611" s="982">
        <v>8</v>
      </c>
      <c r="W611" s="980">
        <v>0</v>
      </c>
      <c r="X611" s="981">
        <v>8566</v>
      </c>
      <c r="Y611" s="983">
        <v>7906</v>
      </c>
      <c r="Z611" s="1412">
        <f>IFERROR(VLOOKUP(C611, [6]條件!$A:$L, 3, 0), "")</f>
        <v>2.8685258964143427</v>
      </c>
      <c r="AA611" s="984">
        <f>IF(OR(L611={"改紡","檢修","了機","清車","FINAL","停機","SAMPLE","TEST","絲開發"}), L611, IFERROR(IF(C611="", "", (SUM(J611, N611, R611, V611)/3 * AG611) * IF(AND(AF611="S", AS611="雙"), 0.5, 1)), ""))</f>
        <v>9</v>
      </c>
      <c r="AB611" s="1413">
        <f t="shared" si="107"/>
        <v>1</v>
      </c>
      <c r="AC611" s="984">
        <f>IF(OR(L611={"改紡","檢修","了機","清車","FINAL","停機","SAMPLE","TEST"}), "", IFERROR(IF(C611="", "", AVERAGE(L611:M611, P611:Q611, T611:U611, X611:Y611)/100), ""))</f>
        <v>83.125</v>
      </c>
      <c r="AD611" s="984">
        <f t="shared" si="101"/>
        <v>1.125</v>
      </c>
      <c r="AE611" s="984">
        <f t="shared" si="108"/>
        <v>1.125</v>
      </c>
      <c r="AF611" s="985" t="str">
        <f t="shared" si="102"/>
        <v>A</v>
      </c>
      <c r="AG611" s="1414">
        <v>1</v>
      </c>
      <c r="AH611" s="981" t="s">
        <v>16154</v>
      </c>
      <c r="AI611" s="1440" t="s">
        <v>16154</v>
      </c>
      <c r="AJ611" s="986" t="s">
        <v>634</v>
      </c>
      <c r="AK611" s="1417" t="s">
        <v>634</v>
      </c>
      <c r="AL611" s="1415">
        <v>54</v>
      </c>
      <c r="AM611" s="1323">
        <v>46154</v>
      </c>
      <c r="AN611" s="1323">
        <v>46155</v>
      </c>
      <c r="AO611" s="1323">
        <v>46156</v>
      </c>
      <c r="AP611" s="1323"/>
      <c r="AQ611" s="1323"/>
      <c r="AR611" s="987"/>
      <c r="AS611" s="978" t="str">
        <f t="shared" si="103"/>
        <v>單</v>
      </c>
      <c r="AT611" s="978" t="str">
        <f t="shared" si="104"/>
        <v>全</v>
      </c>
      <c r="AU611" s="978">
        <f t="shared" si="105"/>
        <v>150</v>
      </c>
      <c r="AV611" s="978">
        <f t="shared" si="106"/>
        <v>2.5855199999999998</v>
      </c>
    </row>
    <row r="612" spans="1:48">
      <c r="A612" s="975">
        <f t="shared" si="109"/>
        <v>46158</v>
      </c>
      <c r="B612" s="976" t="s">
        <v>222</v>
      </c>
      <c r="C612" s="976" t="s">
        <v>632</v>
      </c>
      <c r="D612" s="1410"/>
      <c r="E612" s="977" t="str">
        <f>IFERROR(VLOOKUP(C612, [6]條件!$A:$L, 5, 0), "")</f>
        <v/>
      </c>
      <c r="F612" s="978" t="str">
        <f>IFERROR(VLOOKUP(C612, [6]條件!$A:$L, 6, 0), "")</f>
        <v/>
      </c>
      <c r="G612" s="1411" t="str">
        <f>IFERROR(VLOOKUP(C612, [6]條件!$A:$L, 7, 0), "")</f>
        <v/>
      </c>
      <c r="H612" s="978" t="str">
        <f>IF(ISNA(VLOOKUP(C612,[6]條件!$A$1:$K$932,11,0)),"",(VLOOKUP(C612,[6]條件!$A$1:$K$932,11,0)))</f>
        <v/>
      </c>
      <c r="I612" s="979" t="str">
        <f>IF(ISNA(VLOOKUP(C612,[6]條件!$A$1:$L$932,12,0)),"",(VLOOKUP(C612,[6]條件!$A$1:$L$932,12,0)))</f>
        <v/>
      </c>
      <c r="J612" s="982"/>
      <c r="K612" s="980"/>
      <c r="L612" s="981" t="s">
        <v>632</v>
      </c>
      <c r="M612" s="983"/>
      <c r="N612" s="982"/>
      <c r="O612" s="980"/>
      <c r="P612" s="981" t="s">
        <v>632</v>
      </c>
      <c r="Q612" s="983"/>
      <c r="R612" s="982"/>
      <c r="S612" s="980"/>
      <c r="T612" s="981" t="s">
        <v>632</v>
      </c>
      <c r="U612" s="983"/>
      <c r="V612" s="982"/>
      <c r="W612" s="980"/>
      <c r="X612" s="981" t="s">
        <v>632</v>
      </c>
      <c r="Y612" s="983"/>
      <c r="Z612" s="1412" t="str">
        <f>IFERROR(VLOOKUP(C612, [6]條件!$A:$L, 3, 0), "")</f>
        <v/>
      </c>
      <c r="AA612" s="984" t="str">
        <f>IF(OR(L612={"改紡","檢修","了機","清車","FINAL","停機","SAMPLE","TEST","絲開發"}), L612, IFERROR(IF(C612="", "", (SUM(J612, N612, R612, V612)/3 * AG612) * IF(AND(AF612="S", AS612="雙"), 0.5, 1)), ""))</f>
        <v>停機</v>
      </c>
      <c r="AB612" s="1413" t="str">
        <f t="shared" si="107"/>
        <v/>
      </c>
      <c r="AC612" s="984" t="str">
        <f>IF(OR(L612={"改紡","檢修","了機","清車","FINAL","停機","SAMPLE","TEST"}), "", IFERROR(IF(C612="", "", AVERAGE(L612:M612, P612:Q612, T612:U612, X612:Y612)/100), ""))</f>
        <v/>
      </c>
      <c r="AD612" s="984" t="str">
        <f t="shared" si="101"/>
        <v/>
      </c>
      <c r="AE612" s="984" t="str">
        <f t="shared" si="108"/>
        <v/>
      </c>
      <c r="AF612" s="985" t="str">
        <f t="shared" si="102"/>
        <v>A</v>
      </c>
      <c r="AG612" s="1414">
        <v>1</v>
      </c>
      <c r="AH612" s="981" t="s">
        <v>640</v>
      </c>
      <c r="AI612" s="1440" t="s">
        <v>640</v>
      </c>
      <c r="AJ612" s="986" t="s">
        <v>640</v>
      </c>
      <c r="AK612" s="1417" t="s">
        <v>640</v>
      </c>
      <c r="AL612" s="1415"/>
      <c r="AM612" s="1323"/>
      <c r="AN612" s="1323"/>
      <c r="AO612" s="1323"/>
      <c r="AP612" s="1323"/>
      <c r="AQ612" s="1323"/>
      <c r="AR612" s="987"/>
      <c r="AS612" s="978" t="str">
        <f t="shared" si="103"/>
        <v>單</v>
      </c>
      <c r="AT612" s="978" t="str">
        <f t="shared" si="104"/>
        <v>全</v>
      </c>
      <c r="AU612" s="978" t="str">
        <f t="shared" si="105"/>
        <v/>
      </c>
      <c r="AV612" s="978" t="str">
        <f t="shared" si="106"/>
        <v/>
      </c>
    </row>
    <row r="613" spans="1:48">
      <c r="A613" s="975">
        <f t="shared" si="109"/>
        <v>46158</v>
      </c>
      <c r="B613" s="976" t="s">
        <v>223</v>
      </c>
      <c r="C613" s="976" t="s">
        <v>632</v>
      </c>
      <c r="D613" s="1410"/>
      <c r="E613" s="977" t="str">
        <f>IFERROR(VLOOKUP(C613, [6]條件!$A:$L, 5, 0), "")</f>
        <v/>
      </c>
      <c r="F613" s="978" t="str">
        <f>IFERROR(VLOOKUP(C613, [6]條件!$A:$L, 6, 0), "")</f>
        <v/>
      </c>
      <c r="G613" s="1411" t="str">
        <f>IFERROR(VLOOKUP(C613, [6]條件!$A:$L, 7, 0), "")</f>
        <v/>
      </c>
      <c r="H613" s="978" t="str">
        <f>IF(ISNA(VLOOKUP(C613,[6]條件!$A$1:$K$932,11,0)),"",(VLOOKUP(C613,[6]條件!$A$1:$K$932,11,0)))</f>
        <v/>
      </c>
      <c r="I613" s="979" t="str">
        <f>IF(ISNA(VLOOKUP(C613,[6]條件!$A$1:$L$932,12,0)),"",(VLOOKUP(C613,[6]條件!$A$1:$L$932,12,0)))</f>
        <v/>
      </c>
      <c r="J613" s="982"/>
      <c r="K613" s="980"/>
      <c r="L613" s="981" t="s">
        <v>632</v>
      </c>
      <c r="M613" s="983"/>
      <c r="N613" s="982"/>
      <c r="O613" s="980"/>
      <c r="P613" s="981" t="s">
        <v>632</v>
      </c>
      <c r="Q613" s="983"/>
      <c r="R613" s="982"/>
      <c r="S613" s="980"/>
      <c r="T613" s="981" t="s">
        <v>632</v>
      </c>
      <c r="U613" s="983"/>
      <c r="V613" s="982"/>
      <c r="W613" s="980"/>
      <c r="X613" s="981" t="s">
        <v>632</v>
      </c>
      <c r="Y613" s="983"/>
      <c r="Z613" s="1412" t="str">
        <f>IFERROR(VLOOKUP(C613, [6]條件!$A:$L, 3, 0), "")</f>
        <v/>
      </c>
      <c r="AA613" s="984" t="str">
        <f>IF(OR(L613={"改紡","檢修","了機","清車","FINAL","停機","SAMPLE","TEST","絲開發"}), L613, IFERROR(IF(C613="", "", (SUM(J613, N613, R613, V613)/3 * AG613) * IF(AND(AF613="S", AS613="雙"), 0.5, 1)), ""))</f>
        <v>停機</v>
      </c>
      <c r="AB613" s="1413" t="str">
        <f t="shared" si="107"/>
        <v/>
      </c>
      <c r="AC613" s="984" t="str">
        <f>IF(OR(L613={"改紡","檢修","了機","清車","FINAL","停機","SAMPLE","TEST"}), "", IFERROR(IF(C613="", "", AVERAGE(L613:M613, P613:Q613, T613:U613, X613:Y613)/100), ""))</f>
        <v/>
      </c>
      <c r="AD613" s="984" t="str">
        <f t="shared" si="101"/>
        <v/>
      </c>
      <c r="AE613" s="984" t="str">
        <f t="shared" si="108"/>
        <v/>
      </c>
      <c r="AF613" s="985" t="str">
        <f t="shared" si="102"/>
        <v>A</v>
      </c>
      <c r="AG613" s="1414">
        <v>1</v>
      </c>
      <c r="AH613" s="981" t="s">
        <v>640</v>
      </c>
      <c r="AI613" s="1440" t="s">
        <v>640</v>
      </c>
      <c r="AJ613" s="986" t="s">
        <v>640</v>
      </c>
      <c r="AK613" s="1417" t="s">
        <v>640</v>
      </c>
      <c r="AL613" s="1415"/>
      <c r="AM613" s="1324"/>
      <c r="AN613" s="1323"/>
      <c r="AO613" s="1323"/>
      <c r="AP613" s="1323"/>
      <c r="AQ613" s="1323"/>
      <c r="AR613" s="987"/>
      <c r="AS613" s="978" t="str">
        <f t="shared" si="103"/>
        <v>單</v>
      </c>
      <c r="AT613" s="978" t="str">
        <f t="shared" si="104"/>
        <v>全</v>
      </c>
      <c r="AU613" s="978" t="str">
        <f t="shared" si="105"/>
        <v/>
      </c>
      <c r="AV613" s="978" t="str">
        <f t="shared" si="106"/>
        <v/>
      </c>
    </row>
    <row r="614" spans="1:48">
      <c r="A614" s="975">
        <f t="shared" si="109"/>
        <v>46158</v>
      </c>
      <c r="B614" s="976" t="s">
        <v>224</v>
      </c>
      <c r="C614" s="976" t="s">
        <v>16734</v>
      </c>
      <c r="D614" s="1410" t="s">
        <v>633</v>
      </c>
      <c r="E614" s="977" t="str">
        <f>IFERROR(VLOOKUP(C614, [6]條件!$A:$L, 5, 0), "")</f>
        <v>75/24/2SDr</v>
      </c>
      <c r="F614" s="978" t="str">
        <f>IFERROR(VLOOKUP(C614, [6]條件!$A:$L, 6, 0), "")</f>
        <v>FP81382R×2</v>
      </c>
      <c r="G614" s="1411">
        <f>IFERROR(VLOOKUP(C614, [6]條件!$A:$L, 7, 0), "")</f>
        <v>700</v>
      </c>
      <c r="H614" s="978" t="str">
        <f>IF(ISNA(VLOOKUP(C614,[6]條件!$A$1:$K$932,11,0)),"",(VLOOKUP(C614,[6]條件!$A$1:$K$932,11,0)))</f>
        <v>白底紫三角</v>
      </c>
      <c r="I614" s="979">
        <f>IF(ISNA(VLOOKUP(C614,[6]條件!$A$1:$L$932,12,0)),"",(VLOOKUP(C614,[6]條件!$A$1:$L$932,12,0)))</f>
        <v>5</v>
      </c>
      <c r="J614" s="982">
        <v>36</v>
      </c>
      <c r="K614" s="980">
        <v>2</v>
      </c>
      <c r="L614" s="981">
        <v>8915</v>
      </c>
      <c r="M614" s="983">
        <v>8980</v>
      </c>
      <c r="N614" s="982">
        <v>22</v>
      </c>
      <c r="O614" s="980">
        <v>0</v>
      </c>
      <c r="P614" s="981">
        <v>8802</v>
      </c>
      <c r="Q614" s="983">
        <v>8748</v>
      </c>
      <c r="R614" s="982">
        <v>12</v>
      </c>
      <c r="S614" s="980">
        <v>0</v>
      </c>
      <c r="T614" s="981">
        <v>8804</v>
      </c>
      <c r="U614" s="983">
        <v>8770</v>
      </c>
      <c r="V614" s="982">
        <v>34</v>
      </c>
      <c r="W614" s="980">
        <v>0</v>
      </c>
      <c r="X614" s="981">
        <v>8491</v>
      </c>
      <c r="Y614" s="983">
        <v>8738</v>
      </c>
      <c r="Z614" s="1412">
        <f>IFERROR(VLOOKUP(C614, [6]條件!$A:$L, 3, 0), "")</f>
        <v>3.2653061224489797</v>
      </c>
      <c r="AA614" s="984">
        <f>IF(OR(L614={"改紡","檢修","了機","清車","FINAL","停機","SAMPLE","TEST","絲開發"}), L614, IFERROR(IF(C614="", "", (SUM(J614, N614, R614, V614)/3 * AG614) * IF(AND(AF614="S", AS614="雙"), 0.5, 1)), ""))</f>
        <v>17.333333333333332</v>
      </c>
      <c r="AB614" s="1413">
        <f t="shared" si="107"/>
        <v>0.99705528846153846</v>
      </c>
      <c r="AC614" s="984">
        <f>IF(OR(L614={"改紡","檢修","了機","清車","FINAL","停機","SAMPLE","TEST"}), "", IFERROR(IF(C614="", "", AVERAGE(L614:M614, P614:Q614, T614:U614, X614:Y614)/100), ""))</f>
        <v>87.81</v>
      </c>
      <c r="AD614" s="984">
        <f t="shared" si="101"/>
        <v>2.1666666666666665</v>
      </c>
      <c r="AE614" s="984">
        <f t="shared" si="108"/>
        <v>2.125</v>
      </c>
      <c r="AF614" s="985" t="str">
        <f t="shared" si="102"/>
        <v>A</v>
      </c>
      <c r="AG614" s="1414">
        <v>0.5</v>
      </c>
      <c r="AH614" s="981" t="s">
        <v>631</v>
      </c>
      <c r="AI614" s="1440" t="s">
        <v>631</v>
      </c>
      <c r="AJ614" s="986" t="s">
        <v>641</v>
      </c>
      <c r="AK614" s="1417" t="s">
        <v>641</v>
      </c>
      <c r="AL614" s="1415">
        <v>50</v>
      </c>
      <c r="AM614" s="1323">
        <v>46109</v>
      </c>
      <c r="AN614" s="1323">
        <v>46110</v>
      </c>
      <c r="AO614" s="1323">
        <v>46111</v>
      </c>
      <c r="AP614" s="1323"/>
      <c r="AQ614" s="1323"/>
      <c r="AR614" s="987"/>
      <c r="AS614" s="978" t="str">
        <f t="shared" si="103"/>
        <v>雙</v>
      </c>
      <c r="AT614" s="978" t="str">
        <f t="shared" si="104"/>
        <v>全</v>
      </c>
      <c r="AU614" s="978">
        <f t="shared" si="105"/>
        <v>75</v>
      </c>
      <c r="AV614" s="978">
        <f t="shared" si="106"/>
        <v>1.5932246400000001</v>
      </c>
    </row>
    <row r="615" spans="1:48">
      <c r="A615" s="975">
        <f t="shared" si="109"/>
        <v>46158</v>
      </c>
      <c r="B615" s="976" t="s">
        <v>225</v>
      </c>
      <c r="C615" s="976" t="s">
        <v>16747</v>
      </c>
      <c r="D615" s="1410"/>
      <c r="E615" s="977" t="str">
        <f>IFERROR(VLOOKUP(C615, [6]條件!$A:$L, 5, 0), "")</f>
        <v>150/48SDR</v>
      </c>
      <c r="F615" s="978" t="str">
        <f>IFERROR(VLOOKUP(C615, [6]條件!$A:$L, 6, 0), "")</f>
        <v>FP82169R</v>
      </c>
      <c r="G615" s="1411">
        <f>IFERROR(VLOOKUP(C615, [6]條件!$A:$L, 7, 0), "")</f>
        <v>650</v>
      </c>
      <c r="H615" s="978" t="str">
        <f>IF(ISNA(VLOOKUP(C615,[6]條件!$A$1:$K$932,11,0)),"",(VLOOKUP(C615,[6]條件!$A$1:$K$932,11,0)))</f>
        <v>綠藍三角</v>
      </c>
      <c r="I615" s="979">
        <f>IF(ISNA(VLOOKUP(C615,[6]條件!$A$1:$L$932,12,0)),"",(VLOOKUP(C615,[6]條件!$A$1:$L$932,12,0)))</f>
        <v>5</v>
      </c>
      <c r="J615" s="982"/>
      <c r="K615" s="980"/>
      <c r="L615" s="981" t="s">
        <v>127</v>
      </c>
      <c r="M615" s="983"/>
      <c r="N615" s="982"/>
      <c r="O615" s="980"/>
      <c r="P615" s="981" t="s">
        <v>127</v>
      </c>
      <c r="Q615" s="983"/>
      <c r="R615" s="982"/>
      <c r="S615" s="980"/>
      <c r="T615" s="981" t="s">
        <v>127</v>
      </c>
      <c r="U615" s="983"/>
      <c r="V615" s="982"/>
      <c r="W615" s="980"/>
      <c r="X615" s="981" t="s">
        <v>127</v>
      </c>
      <c r="Y615" s="983"/>
      <c r="Z615" s="1412">
        <f>IFERROR(VLOOKUP(C615, [6]條件!$A:$L, 3, 0), "")</f>
        <v>3.0573248407643314</v>
      </c>
      <c r="AA615" s="984" t="str">
        <f>IF(OR(L615={"改紡","檢修","了機","清車","FINAL","停機","SAMPLE","TEST","絲開發"}), L615, IFERROR(IF(C615="", "", (SUM(J615, N615, R615, V615)/3 * AG615) * IF(AND(AF615="S", AS615="雙"), 0.5, 1)), ""))</f>
        <v>了機</v>
      </c>
      <c r="AB615" s="1413" t="str">
        <f t="shared" si="107"/>
        <v/>
      </c>
      <c r="AC615" s="984" t="str">
        <f>IF(OR(L615={"改紡","檢修","了機","清車","FINAL","停機","SAMPLE","TEST"}), "", IFERROR(IF(C615="", "", AVERAGE(L615:M615, P615:Q615, T615:U615, X615:Y615)/100), ""))</f>
        <v/>
      </c>
      <c r="AD615" s="984" t="str">
        <f t="shared" si="101"/>
        <v/>
      </c>
      <c r="AE615" s="984" t="str">
        <f t="shared" si="108"/>
        <v/>
      </c>
      <c r="AF615" s="985" t="str">
        <f t="shared" si="102"/>
        <v>A</v>
      </c>
      <c r="AG615" s="1414">
        <v>1</v>
      </c>
      <c r="AH615" s="981" t="s">
        <v>15848</v>
      </c>
      <c r="AI615" s="1440" t="s">
        <v>16154</v>
      </c>
      <c r="AJ615" s="986" t="s">
        <v>634</v>
      </c>
      <c r="AK615" s="1417" t="s">
        <v>634</v>
      </c>
      <c r="AL615" s="1415">
        <v>48</v>
      </c>
      <c r="AM615" s="1323">
        <v>46153</v>
      </c>
      <c r="AN615" s="1323">
        <v>46154</v>
      </c>
      <c r="AO615" s="1323"/>
      <c r="AP615" s="1323"/>
      <c r="AQ615" s="1323"/>
      <c r="AR615" s="987"/>
      <c r="AS615" s="978" t="str">
        <f t="shared" si="103"/>
        <v>單</v>
      </c>
      <c r="AT615" s="978" t="str">
        <f t="shared" si="104"/>
        <v>全</v>
      </c>
      <c r="AU615" s="978">
        <f t="shared" si="105"/>
        <v>150</v>
      </c>
      <c r="AV615" s="978" t="str">
        <f t="shared" si="106"/>
        <v/>
      </c>
    </row>
    <row r="616" spans="1:48">
      <c r="A616" s="975">
        <f t="shared" si="109"/>
        <v>46158</v>
      </c>
      <c r="B616" s="976" t="s">
        <v>226</v>
      </c>
      <c r="C616" s="976" t="s">
        <v>632</v>
      </c>
      <c r="D616" s="1410"/>
      <c r="E616" s="977" t="str">
        <f>IFERROR(VLOOKUP(C616, [6]條件!$A:$L, 5, 0), "")</f>
        <v/>
      </c>
      <c r="F616" s="978" t="str">
        <f>IFERROR(VLOOKUP(C616, [6]條件!$A:$L, 6, 0), "")</f>
        <v/>
      </c>
      <c r="G616" s="1411" t="str">
        <f>IFERROR(VLOOKUP(C616, [6]條件!$A:$L, 7, 0), "")</f>
        <v/>
      </c>
      <c r="H616" s="978" t="str">
        <f>IF(ISNA(VLOOKUP(C616,[6]條件!$A$1:$K$932,11,0)),"",(VLOOKUP(C616,[6]條件!$A$1:$K$932,11,0)))</f>
        <v/>
      </c>
      <c r="I616" s="979" t="str">
        <f>IF(ISNA(VLOOKUP(C616,[6]條件!$A$1:$L$932,12,0)),"",(VLOOKUP(C616,[6]條件!$A$1:$L$932,12,0)))</f>
        <v/>
      </c>
      <c r="J616" s="982"/>
      <c r="K616" s="980"/>
      <c r="L616" s="981" t="s">
        <v>632</v>
      </c>
      <c r="M616" s="983"/>
      <c r="N616" s="982"/>
      <c r="O616" s="980"/>
      <c r="P616" s="981" t="s">
        <v>632</v>
      </c>
      <c r="Q616" s="983"/>
      <c r="R616" s="982"/>
      <c r="S616" s="980"/>
      <c r="T616" s="981" t="s">
        <v>632</v>
      </c>
      <c r="U616" s="983"/>
      <c r="V616" s="982"/>
      <c r="W616" s="980"/>
      <c r="X616" s="981" t="s">
        <v>632</v>
      </c>
      <c r="Y616" s="983"/>
      <c r="Z616" s="1412" t="str">
        <f>IFERROR(VLOOKUP(C616, [6]條件!$A:$L, 3, 0), "")</f>
        <v/>
      </c>
      <c r="AA616" s="984" t="str">
        <f>IF(OR(L616={"改紡","檢修","了機","清車","FINAL","停機","SAMPLE","TEST","絲開發"}), L616, IFERROR(IF(C616="", "", (SUM(J616, N616, R616, V616)/3 * AG616) * IF(AND(AF616="S", AS616="雙"), 0.5, 1)), ""))</f>
        <v>停機</v>
      </c>
      <c r="AB616" s="1413" t="str">
        <f t="shared" si="107"/>
        <v/>
      </c>
      <c r="AC616" s="984" t="str">
        <f>IF(OR(L616={"改紡","檢修","了機","清車","FINAL","停機","SAMPLE","TEST"}), "", IFERROR(IF(C616="", "", AVERAGE(L616:M616, P616:Q616, T616:U616, X616:Y616)/100), ""))</f>
        <v/>
      </c>
      <c r="AD616" s="984" t="str">
        <f t="shared" si="101"/>
        <v/>
      </c>
      <c r="AE616" s="984" t="str">
        <f t="shared" si="108"/>
        <v/>
      </c>
      <c r="AF616" s="985" t="str">
        <f t="shared" si="102"/>
        <v>A</v>
      </c>
      <c r="AG616" s="1414">
        <v>1</v>
      </c>
      <c r="AH616" s="981" t="s">
        <v>640</v>
      </c>
      <c r="AI616" s="1440" t="s">
        <v>640</v>
      </c>
      <c r="AJ616" s="986" t="s">
        <v>640</v>
      </c>
      <c r="AK616" s="1417" t="s">
        <v>640</v>
      </c>
      <c r="AL616" s="1415"/>
      <c r="AM616" s="1323"/>
      <c r="AN616" s="1323"/>
      <c r="AO616" s="1323"/>
      <c r="AP616" s="1323"/>
      <c r="AQ616" s="1323"/>
      <c r="AR616" s="987"/>
      <c r="AS616" s="978" t="str">
        <f t="shared" si="103"/>
        <v>單</v>
      </c>
      <c r="AT616" s="978" t="str">
        <f t="shared" si="104"/>
        <v>全</v>
      </c>
      <c r="AU616" s="978" t="str">
        <f t="shared" si="105"/>
        <v/>
      </c>
      <c r="AV616" s="978" t="str">
        <f t="shared" si="106"/>
        <v/>
      </c>
    </row>
    <row r="617" spans="1:48">
      <c r="A617" s="975">
        <f t="shared" si="109"/>
        <v>46158</v>
      </c>
      <c r="B617" s="976" t="s">
        <v>227</v>
      </c>
      <c r="C617" s="976" t="s">
        <v>16712</v>
      </c>
      <c r="D617" s="1410"/>
      <c r="E617" s="977" t="str">
        <f>IFERROR(VLOOKUP(C617, [6]條件!$A:$L, 5, 0), "")</f>
        <v>100/36SDr</v>
      </c>
      <c r="F617" s="978" t="str">
        <f>IFERROR(VLOOKUP(C617, [6]條件!$A:$L, 6, 0), "")</f>
        <v>FP81384R</v>
      </c>
      <c r="G617" s="1411">
        <f>IFERROR(VLOOKUP(C617, [6]條件!$A:$L, 7, 0), "")</f>
        <v>700</v>
      </c>
      <c r="H617" s="978" t="str">
        <f>IF(ISNA(VLOOKUP(C617,[6]條件!$A$1:$K$932,11,0)),"",(VLOOKUP(C617,[6]條件!$A$1:$K$932,11,0)))</f>
        <v>白底紅三角</v>
      </c>
      <c r="I617" s="979">
        <f>IF(ISNA(VLOOKUP(C617,[6]條件!$A$1:$L$932,12,0)),"",(VLOOKUP(C617,[6]條件!$A$1:$L$932,12,0)))</f>
        <v>5</v>
      </c>
      <c r="J617" s="982"/>
      <c r="K617" s="980"/>
      <c r="L617" s="981" t="s">
        <v>127</v>
      </c>
      <c r="M617" s="983"/>
      <c r="N617" s="982"/>
      <c r="O617" s="980"/>
      <c r="P617" s="981" t="s">
        <v>127</v>
      </c>
      <c r="Q617" s="983" t="s">
        <v>632</v>
      </c>
      <c r="R617" s="982"/>
      <c r="S617" s="980"/>
      <c r="T617" s="981" t="s">
        <v>632</v>
      </c>
      <c r="U617" s="983"/>
      <c r="V617" s="982"/>
      <c r="W617" s="980"/>
      <c r="X617" s="981" t="s">
        <v>632</v>
      </c>
      <c r="Y617" s="983"/>
      <c r="Z617" s="1412">
        <f>IFERROR(VLOOKUP(C617, [6]條件!$A:$L, 3, 0), "")</f>
        <v>2.2187981510015407</v>
      </c>
      <c r="AA617" s="984" t="str">
        <f>IF(OR(L617={"改紡","檢修","了機","清車","FINAL","停機","SAMPLE","TEST","絲開發"}), L617, IFERROR(IF(C617="", "", (SUM(J617, N617, R617, V617)/3 * AG617) * IF(AND(AF617="S", AS617="雙"), 0.5, 1)), ""))</f>
        <v>了機</v>
      </c>
      <c r="AB617" s="1413" t="str">
        <f t="shared" si="107"/>
        <v/>
      </c>
      <c r="AC617" s="984" t="str">
        <f>IF(OR(L617={"改紡","檢修","了機","清車","FINAL","停機","SAMPLE","TEST"}), "", IFERROR(IF(C617="", "", AVERAGE(L617:M617, P617:Q617, T617:U617, X617:Y617)/100), ""))</f>
        <v/>
      </c>
      <c r="AD617" s="984" t="str">
        <f t="shared" si="101"/>
        <v/>
      </c>
      <c r="AE617" s="984" t="str">
        <f t="shared" si="108"/>
        <v/>
      </c>
      <c r="AF617" s="985" t="str">
        <f t="shared" si="102"/>
        <v>A</v>
      </c>
      <c r="AG617" s="1414">
        <v>1</v>
      </c>
      <c r="AH617" s="981" t="s">
        <v>15848</v>
      </c>
      <c r="AI617" s="1440" t="s">
        <v>631</v>
      </c>
      <c r="AJ617" s="986" t="s">
        <v>15370</v>
      </c>
      <c r="AK617" s="1417" t="s">
        <v>15370</v>
      </c>
      <c r="AL617" s="1415">
        <v>50</v>
      </c>
      <c r="AM617" s="1323">
        <v>46140</v>
      </c>
      <c r="AN617" s="1323">
        <v>46143</v>
      </c>
      <c r="AO617" s="1323"/>
      <c r="AP617" s="1323"/>
      <c r="AQ617" s="1323"/>
      <c r="AR617" s="987"/>
      <c r="AS617" s="978" t="str">
        <f t="shared" si="103"/>
        <v>單</v>
      </c>
      <c r="AT617" s="978" t="str">
        <f t="shared" si="104"/>
        <v>全</v>
      </c>
      <c r="AU617" s="978">
        <f t="shared" si="105"/>
        <v>100</v>
      </c>
      <c r="AV617" s="978" t="str">
        <f t="shared" si="106"/>
        <v/>
      </c>
    </row>
    <row r="618" spans="1:48">
      <c r="A618" s="975">
        <f t="shared" si="109"/>
        <v>46158</v>
      </c>
      <c r="B618" s="976" t="s">
        <v>228</v>
      </c>
      <c r="C618" s="976" t="s">
        <v>632</v>
      </c>
      <c r="D618" s="1410"/>
      <c r="E618" s="977" t="str">
        <f>IFERROR(VLOOKUP(C618, [6]條件!$A:$L, 5, 0), "")</f>
        <v/>
      </c>
      <c r="F618" s="978" t="str">
        <f>IFERROR(VLOOKUP(C618, [6]條件!$A:$L, 6, 0), "")</f>
        <v/>
      </c>
      <c r="G618" s="1411" t="str">
        <f>IFERROR(VLOOKUP(C618, [6]條件!$A:$L, 7, 0), "")</f>
        <v/>
      </c>
      <c r="H618" s="978" t="str">
        <f>IF(ISNA(VLOOKUP(C618,[6]條件!$A$1:$K$932,11,0)),"",(VLOOKUP(C618,[6]條件!$A$1:$K$932,11,0)))</f>
        <v/>
      </c>
      <c r="I618" s="979" t="str">
        <f>IF(ISNA(VLOOKUP(C618,[6]條件!$A$1:$L$932,12,0)),"",(VLOOKUP(C618,[6]條件!$A$1:$L$932,12,0)))</f>
        <v/>
      </c>
      <c r="J618" s="982"/>
      <c r="K618" s="980"/>
      <c r="L618" s="981" t="s">
        <v>632</v>
      </c>
      <c r="M618" s="983"/>
      <c r="N618" s="982"/>
      <c r="O618" s="980"/>
      <c r="P618" s="981" t="s">
        <v>632</v>
      </c>
      <c r="Q618" s="983"/>
      <c r="R618" s="982"/>
      <c r="S618" s="980"/>
      <c r="T618" s="981" t="s">
        <v>632</v>
      </c>
      <c r="U618" s="983"/>
      <c r="V618" s="982"/>
      <c r="W618" s="980"/>
      <c r="X618" s="981" t="s">
        <v>632</v>
      </c>
      <c r="Y618" s="983"/>
      <c r="Z618" s="1412" t="str">
        <f>IFERROR(VLOOKUP(C618, [6]條件!$A:$L, 3, 0), "")</f>
        <v/>
      </c>
      <c r="AA618" s="984" t="str">
        <f>IF(OR(L618={"改紡","檢修","了機","清車","FINAL","停機","SAMPLE","TEST","絲開發"}), L618, IFERROR(IF(C618="", "", (SUM(J618, N618, R618, V618)/3 * AG618) * IF(AND(AF618="S", AS618="雙"), 0.5, 1)), ""))</f>
        <v>停機</v>
      </c>
      <c r="AB618" s="1413" t="str">
        <f t="shared" si="107"/>
        <v/>
      </c>
      <c r="AC618" s="984" t="str">
        <f>IF(OR(L618={"改紡","檢修","了機","清車","FINAL","停機","SAMPLE","TEST"}), "", IFERROR(IF(C618="", "", AVERAGE(L618:M618, P618:Q618, T618:U618, X618:Y618)/100), ""))</f>
        <v/>
      </c>
      <c r="AD618" s="984" t="str">
        <f t="shared" si="101"/>
        <v/>
      </c>
      <c r="AE618" s="984" t="str">
        <f t="shared" si="108"/>
        <v/>
      </c>
      <c r="AF618" s="985" t="str">
        <f t="shared" si="102"/>
        <v>A</v>
      </c>
      <c r="AG618" s="1414">
        <v>1</v>
      </c>
      <c r="AH618" s="981" t="s">
        <v>640</v>
      </c>
      <c r="AI618" s="1440" t="s">
        <v>640</v>
      </c>
      <c r="AJ618" s="986" t="s">
        <v>640</v>
      </c>
      <c r="AK618" s="1417" t="s">
        <v>640</v>
      </c>
      <c r="AL618" s="1420"/>
      <c r="AM618" s="1323"/>
      <c r="AN618" s="1323"/>
      <c r="AO618" s="1323"/>
      <c r="AP618" s="1323"/>
      <c r="AQ618" s="1323"/>
      <c r="AR618" s="987"/>
      <c r="AS618" s="978" t="str">
        <f t="shared" si="103"/>
        <v>單</v>
      </c>
      <c r="AT618" s="978" t="str">
        <f t="shared" si="104"/>
        <v>全</v>
      </c>
      <c r="AU618" s="978" t="str">
        <f t="shared" si="105"/>
        <v/>
      </c>
      <c r="AV618" s="978" t="str">
        <f t="shared" si="106"/>
        <v/>
      </c>
    </row>
    <row r="619" spans="1:48">
      <c r="A619" s="975">
        <f t="shared" si="109"/>
        <v>46158</v>
      </c>
      <c r="B619" s="976" t="s">
        <v>229</v>
      </c>
      <c r="C619" s="976" t="s">
        <v>632</v>
      </c>
      <c r="D619" s="1410"/>
      <c r="E619" s="977" t="str">
        <f>IFERROR(VLOOKUP(C619, [6]條件!$A:$L, 5, 0), "")</f>
        <v/>
      </c>
      <c r="F619" s="978" t="str">
        <f>IFERROR(VLOOKUP(C619, [6]條件!$A:$L, 6, 0), "")</f>
        <v/>
      </c>
      <c r="G619" s="1411" t="str">
        <f>IFERROR(VLOOKUP(C619, [6]條件!$A:$L, 7, 0), "")</f>
        <v/>
      </c>
      <c r="H619" s="978" t="str">
        <f>IF(ISNA(VLOOKUP(C619,[6]條件!$A$1:$K$932,11,0)),"",(VLOOKUP(C619,[6]條件!$A$1:$K$932,11,0)))</f>
        <v/>
      </c>
      <c r="I619" s="979" t="str">
        <f>IF(ISNA(VLOOKUP(C619,[6]條件!$A$1:$L$932,12,0)),"",(VLOOKUP(C619,[6]條件!$A$1:$L$932,12,0)))</f>
        <v/>
      </c>
      <c r="J619" s="982"/>
      <c r="K619" s="980"/>
      <c r="L619" s="981" t="s">
        <v>632</v>
      </c>
      <c r="M619" s="983"/>
      <c r="N619" s="982"/>
      <c r="O619" s="980"/>
      <c r="P619" s="981" t="s">
        <v>632</v>
      </c>
      <c r="Q619" s="983"/>
      <c r="R619" s="982"/>
      <c r="S619" s="980"/>
      <c r="T619" s="981" t="s">
        <v>632</v>
      </c>
      <c r="U619" s="983"/>
      <c r="V619" s="982"/>
      <c r="W619" s="980"/>
      <c r="X619" s="981" t="s">
        <v>632</v>
      </c>
      <c r="Y619" s="983"/>
      <c r="Z619" s="1412" t="str">
        <f>IFERROR(VLOOKUP(C619, [6]條件!$A:$L, 3, 0), "")</f>
        <v/>
      </c>
      <c r="AA619" s="984" t="str">
        <f>IF(OR(L619={"改紡","檢修","了機","清車","FINAL","停機","SAMPLE","TEST","絲開發"}), L619, IFERROR(IF(C619="", "", (SUM(J619, N619, R619, V619)/3 * AG619) * IF(AND(AF619="S", AS619="雙"), 0.5, 1)), ""))</f>
        <v>停機</v>
      </c>
      <c r="AB619" s="1413" t="str">
        <f t="shared" si="107"/>
        <v/>
      </c>
      <c r="AC619" s="984" t="str">
        <f>IF(OR(L619={"改紡","檢修","了機","清車","FINAL","停機","SAMPLE","TEST"}), "", IFERROR(IF(C619="", "", AVERAGE(L619:M619, P619:Q619, T619:U619, X619:Y619)/100), ""))</f>
        <v/>
      </c>
      <c r="AD619" s="984" t="str">
        <f t="shared" si="101"/>
        <v/>
      </c>
      <c r="AE619" s="984" t="str">
        <f t="shared" si="108"/>
        <v/>
      </c>
      <c r="AF619" s="985" t="str">
        <f t="shared" si="102"/>
        <v>A</v>
      </c>
      <c r="AG619" s="1414">
        <v>1</v>
      </c>
      <c r="AH619" s="981" t="s">
        <v>640</v>
      </c>
      <c r="AI619" s="1440" t="s">
        <v>640</v>
      </c>
      <c r="AJ619" s="986" t="s">
        <v>640</v>
      </c>
      <c r="AK619" s="1417" t="s">
        <v>640</v>
      </c>
      <c r="AL619" s="1421"/>
      <c r="AM619" s="1323"/>
      <c r="AN619" s="1323"/>
      <c r="AO619" s="1323"/>
      <c r="AP619" s="1323"/>
      <c r="AQ619" s="1323"/>
      <c r="AR619" s="987"/>
      <c r="AS619" s="978" t="str">
        <f t="shared" si="103"/>
        <v>單</v>
      </c>
      <c r="AT619" s="978" t="str">
        <f t="shared" si="104"/>
        <v>全</v>
      </c>
      <c r="AU619" s="978" t="str">
        <f t="shared" si="105"/>
        <v/>
      </c>
      <c r="AV619" s="978" t="str">
        <f t="shared" si="106"/>
        <v/>
      </c>
    </row>
    <row r="620" spans="1:48">
      <c r="A620" s="975">
        <f t="shared" si="109"/>
        <v>46158</v>
      </c>
      <c r="B620" s="976" t="s">
        <v>230</v>
      </c>
      <c r="C620" s="976" t="s">
        <v>16751</v>
      </c>
      <c r="D620" s="1410"/>
      <c r="E620" s="977" t="str">
        <f>IFERROR(VLOOKUP(C620, [6]條件!$A:$L, 5, 0), "")</f>
        <v>150/48/2GY5</v>
      </c>
      <c r="F620" s="978" t="str">
        <f>IFERROR(VLOOKUP(C620, [6]條件!$A:$L, 6, 0), "")</f>
        <v>FP02422×2</v>
      </c>
      <c r="G620" s="1411">
        <f>IFERROR(VLOOKUP(C620, [6]條件!$A:$L, 7, 0), "")</f>
        <v>600</v>
      </c>
      <c r="H620" s="978" t="str">
        <f>IF(ISNA(VLOOKUP(C620,[6]條件!$A$1:$K$932,11,0)),"",(VLOOKUP(C620,[6]條件!$A$1:$K$932,11,0)))</f>
        <v>白底紅星</v>
      </c>
      <c r="I620" s="979">
        <f>IF(ISNA(VLOOKUP(C620,[6]條件!$A$1:$L$932,12,0)),"",(VLOOKUP(C620,[6]條件!$A$1:$L$932,12,0)))</f>
        <v>4</v>
      </c>
      <c r="J620" s="982"/>
      <c r="K620" s="980"/>
      <c r="L620" s="981" t="s">
        <v>127</v>
      </c>
      <c r="M620" s="983"/>
      <c r="N620" s="982"/>
      <c r="O620" s="980"/>
      <c r="P620" s="981" t="s">
        <v>127</v>
      </c>
      <c r="Q620" s="983"/>
      <c r="R620" s="982"/>
      <c r="S620" s="980"/>
      <c r="T620" s="981" t="s">
        <v>127</v>
      </c>
      <c r="U620" s="983"/>
      <c r="V620" s="982"/>
      <c r="W620" s="980"/>
      <c r="X620" s="981" t="s">
        <v>127</v>
      </c>
      <c r="Y620" s="983"/>
      <c r="Z620" s="1412">
        <f>IFERROR(VLOOKUP(C620, [6]條件!$A:$L, 3, 0), "")</f>
        <v>6.9230769230769234</v>
      </c>
      <c r="AA620" s="984" t="str">
        <f>IF(OR(L620={"改紡","檢修","了機","清車","FINAL","停機","SAMPLE","TEST","絲開發"}), L620, IFERROR(IF(C620="", "", (SUM(J620, N620, R620, V620)/3 * AG620) * IF(AND(AF620="S", AS620="雙"), 0.5, 1)), ""))</f>
        <v>了機</v>
      </c>
      <c r="AB620" s="1413" t="str">
        <f t="shared" si="107"/>
        <v/>
      </c>
      <c r="AC620" s="984" t="str">
        <f>IF(OR(L620={"改紡","檢修","了機","清車","FINAL","停機","SAMPLE","TEST"}), "", IFERROR(IF(C620="", "", AVERAGE(L620:M620, P620:Q620, T620:U620, X620:Y620)/100), ""))</f>
        <v/>
      </c>
      <c r="AD620" s="984" t="str">
        <f t="shared" si="101"/>
        <v/>
      </c>
      <c r="AE620" s="984" t="str">
        <f t="shared" si="108"/>
        <v/>
      </c>
      <c r="AF620" s="985" t="str">
        <f t="shared" si="102"/>
        <v>A</v>
      </c>
      <c r="AG620" s="1414">
        <v>0.5</v>
      </c>
      <c r="AH620" s="981" t="s">
        <v>631</v>
      </c>
      <c r="AI620" s="1440" t="s">
        <v>631</v>
      </c>
      <c r="AJ620" s="986" t="s">
        <v>641</v>
      </c>
      <c r="AK620" s="1417" t="s">
        <v>641</v>
      </c>
      <c r="AL620" s="1415">
        <v>52</v>
      </c>
      <c r="AM620" s="1323">
        <v>46152</v>
      </c>
      <c r="AN620" s="1323">
        <v>46153</v>
      </c>
      <c r="AO620" s="1323">
        <v>46154</v>
      </c>
      <c r="AP620" s="1323"/>
      <c r="AQ620" s="1323"/>
      <c r="AR620" s="987"/>
      <c r="AS620" s="978" t="str">
        <f t="shared" si="103"/>
        <v>雙</v>
      </c>
      <c r="AT620" s="978" t="str">
        <f t="shared" si="104"/>
        <v>全</v>
      </c>
      <c r="AU620" s="978">
        <f t="shared" si="105"/>
        <v>150</v>
      </c>
      <c r="AV620" s="978" t="str">
        <f t="shared" si="106"/>
        <v/>
      </c>
    </row>
    <row r="621" spans="1:48">
      <c r="A621" s="975">
        <f t="shared" si="109"/>
        <v>46158</v>
      </c>
      <c r="B621" s="976" t="s">
        <v>231</v>
      </c>
      <c r="C621" s="976" t="s">
        <v>632</v>
      </c>
      <c r="D621" s="1410"/>
      <c r="E621" s="977" t="str">
        <f>IFERROR(VLOOKUP(C621, [6]條件!$A:$L, 5, 0), "")</f>
        <v/>
      </c>
      <c r="F621" s="978" t="str">
        <f>IFERROR(VLOOKUP(C621, [6]條件!$A:$L, 6, 0), "")</f>
        <v/>
      </c>
      <c r="G621" s="1411" t="str">
        <f>IFERROR(VLOOKUP(C621, [6]條件!$A:$L, 7, 0), "")</f>
        <v/>
      </c>
      <c r="H621" s="978" t="str">
        <f>IF(ISNA(VLOOKUP(C621,[6]條件!$A$1:$K$932,11,0)),"",(VLOOKUP(C621,[6]條件!$A$1:$K$932,11,0)))</f>
        <v/>
      </c>
      <c r="I621" s="979" t="str">
        <f>IF(ISNA(VLOOKUP(C621,[6]條件!$A$1:$L$932,12,0)),"",(VLOOKUP(C621,[6]條件!$A$1:$L$932,12,0)))</f>
        <v/>
      </c>
      <c r="J621" s="982"/>
      <c r="K621" s="980"/>
      <c r="L621" s="981" t="s">
        <v>632</v>
      </c>
      <c r="M621" s="983"/>
      <c r="N621" s="982"/>
      <c r="O621" s="980"/>
      <c r="P621" s="981" t="s">
        <v>632</v>
      </c>
      <c r="Q621" s="983"/>
      <c r="R621" s="982"/>
      <c r="S621" s="980"/>
      <c r="T621" s="981" t="s">
        <v>632</v>
      </c>
      <c r="U621" s="983"/>
      <c r="V621" s="982"/>
      <c r="W621" s="980"/>
      <c r="X621" s="981" t="s">
        <v>632</v>
      </c>
      <c r="Y621" s="983"/>
      <c r="Z621" s="1412" t="str">
        <f>IFERROR(VLOOKUP(C621, [6]條件!$A:$L, 3, 0), "")</f>
        <v/>
      </c>
      <c r="AA621" s="984" t="str">
        <f>IF(OR(L621={"改紡","檢修","了機","清車","FINAL","停機","SAMPLE","TEST","絲開發"}), L621, IFERROR(IF(C621="", "", (SUM(J621, N621, R621, V621)/3 * AG621) * IF(AND(AF621="S", AS621="雙"), 0.5, 1)), ""))</f>
        <v>停機</v>
      </c>
      <c r="AB621" s="1413" t="str">
        <f t="shared" si="107"/>
        <v/>
      </c>
      <c r="AC621" s="984" t="str">
        <f>IF(OR(L621={"改紡","檢修","了機","清車","FINAL","停機","SAMPLE","TEST"}), "", IFERROR(IF(C621="", "", AVERAGE(L621:M621, P621:Q621, T621:U621, X621:Y621)/100), ""))</f>
        <v/>
      </c>
      <c r="AD621" s="984" t="str">
        <f t="shared" si="101"/>
        <v/>
      </c>
      <c r="AE621" s="984" t="str">
        <f t="shared" si="108"/>
        <v/>
      </c>
      <c r="AF621" s="985" t="str">
        <f t="shared" si="102"/>
        <v>J</v>
      </c>
      <c r="AG621" s="1414">
        <v>1</v>
      </c>
      <c r="AH621" s="981" t="s">
        <v>640</v>
      </c>
      <c r="AI621" s="1440" t="s">
        <v>640</v>
      </c>
      <c r="AJ621" s="986" t="s">
        <v>640</v>
      </c>
      <c r="AK621" s="1417" t="s">
        <v>640</v>
      </c>
      <c r="AL621" s="1415"/>
      <c r="AM621" s="1323"/>
      <c r="AN621" s="1323"/>
      <c r="AO621" s="1323"/>
      <c r="AP621" s="1323"/>
      <c r="AQ621" s="1323"/>
      <c r="AR621" s="987"/>
      <c r="AS621" s="978" t="str">
        <f t="shared" si="103"/>
        <v>單</v>
      </c>
      <c r="AT621" s="978" t="str">
        <f t="shared" si="104"/>
        <v>全</v>
      </c>
      <c r="AU621" s="978" t="str">
        <f t="shared" si="105"/>
        <v/>
      </c>
      <c r="AV621" s="978" t="str">
        <f t="shared" si="106"/>
        <v/>
      </c>
    </row>
    <row r="622" spans="1:48">
      <c r="A622" s="975">
        <f t="shared" si="109"/>
        <v>46158</v>
      </c>
      <c r="B622" s="976" t="s">
        <v>233</v>
      </c>
      <c r="C622" s="976" t="s">
        <v>16772</v>
      </c>
      <c r="D622" s="1410" t="s">
        <v>633</v>
      </c>
      <c r="E622" s="977" t="str">
        <f>IFERROR(VLOOKUP(C622, [6]條件!$A:$L, 5, 0), "")</f>
        <v>150/48/2SDr</v>
      </c>
      <c r="F622" s="978" t="str">
        <f>IFERROR(VLOOKUP(C622, [6]條件!$A:$L, 6, 0), "")</f>
        <v>FP82171R×2</v>
      </c>
      <c r="G622" s="1411">
        <f>IFERROR(VLOOKUP(C622, [6]條件!$A:$L, 7, 0), "")</f>
        <v>600</v>
      </c>
      <c r="H622" s="978" t="str">
        <f>IF(ISNA(VLOOKUP(C622,[6]條件!$A$1:$K$932,11,0)),"",(VLOOKUP(C622,[6]條件!$A$1:$K$932,11,0)))</f>
        <v>紅白直條</v>
      </c>
      <c r="I622" s="979">
        <f>IF(ISNA(VLOOKUP(C622,[6]條件!$A$1:$L$932,12,0)),"",(VLOOKUP(C622,[6]條件!$A$1:$L$932,12,0)))</f>
        <v>5.5</v>
      </c>
      <c r="J622" s="982">
        <v>16</v>
      </c>
      <c r="K622" s="980">
        <v>5</v>
      </c>
      <c r="L622" s="981">
        <v>7380</v>
      </c>
      <c r="M622" s="983"/>
      <c r="N622" s="982">
        <v>3</v>
      </c>
      <c r="O622" s="980">
        <v>1</v>
      </c>
      <c r="P622" s="981">
        <v>7570</v>
      </c>
      <c r="Q622" s="983"/>
      <c r="R622" s="982">
        <v>27</v>
      </c>
      <c r="S622" s="980">
        <v>5</v>
      </c>
      <c r="T622" s="981">
        <v>7440</v>
      </c>
      <c r="U622" s="983"/>
      <c r="V622" s="982">
        <v>25</v>
      </c>
      <c r="W622" s="980">
        <v>2</v>
      </c>
      <c r="X622" s="981">
        <v>7360</v>
      </c>
      <c r="Y622" s="983"/>
      <c r="Z622" s="1412">
        <f>IFERROR(VLOOKUP(C622, [6]條件!$A:$L, 3, 0), "")</f>
        <v>5.0526315789473673</v>
      </c>
      <c r="AA622" s="984">
        <f>IF(OR(L622={"改紡","檢修","了機","清車","FINAL","停機","SAMPLE","TEST","絲開發"}), L622, IFERROR(IF(C622="", "", (SUM(J622, N622, R622, V622)/3 * AG622) * IF(AND(AF622="S", AS622="雙"), 0.5, 1)), ""))</f>
        <v>23.666666666666668</v>
      </c>
      <c r="AB622" s="1413">
        <f t="shared" si="107"/>
        <v>0.98763020833333337</v>
      </c>
      <c r="AC622" s="984">
        <f>IF(OR(L622={"改紡","檢修","了機","清車","FINAL","停機","SAMPLE","TEST"}), "", IFERROR(IF(C622="", "", AVERAGE(L622:M622, P622:Q622, T622:U622, X622:Y622)/100), ""))</f>
        <v>74.375</v>
      </c>
      <c r="AD622" s="984">
        <f t="shared" si="101"/>
        <v>2.9583333333333335</v>
      </c>
      <c r="AE622" s="984">
        <f t="shared" si="108"/>
        <v>2.4166666666666665</v>
      </c>
      <c r="AF622" s="985" t="str">
        <f t="shared" si="102"/>
        <v>J</v>
      </c>
      <c r="AG622" s="1414">
        <v>1</v>
      </c>
      <c r="AH622" s="981" t="s">
        <v>637</v>
      </c>
      <c r="AI622" s="1440" t="s">
        <v>637</v>
      </c>
      <c r="AJ622" s="986" t="s">
        <v>15370</v>
      </c>
      <c r="AK622" s="1417" t="s">
        <v>15370</v>
      </c>
      <c r="AL622" s="1415">
        <v>55</v>
      </c>
      <c r="AM622" s="1323">
        <v>46153</v>
      </c>
      <c r="AN622" s="1323">
        <v>46154</v>
      </c>
      <c r="AO622" s="1323">
        <v>46155</v>
      </c>
      <c r="AP622" s="1323">
        <v>46156</v>
      </c>
      <c r="AQ622" s="1323"/>
      <c r="AR622" s="987"/>
      <c r="AS622" s="978" t="str">
        <f t="shared" si="103"/>
        <v>雙</v>
      </c>
      <c r="AT622" s="978" t="str">
        <f t="shared" si="104"/>
        <v>全</v>
      </c>
      <c r="AU622" s="978">
        <f t="shared" si="105"/>
        <v>150</v>
      </c>
      <c r="AV622" s="978">
        <f t="shared" si="106"/>
        <v>4.6267200000000006</v>
      </c>
    </row>
    <row r="623" spans="1:48">
      <c r="A623" s="975">
        <f t="shared" si="109"/>
        <v>46158</v>
      </c>
      <c r="B623" s="976" t="s">
        <v>234</v>
      </c>
      <c r="C623" s="976" t="s">
        <v>632</v>
      </c>
      <c r="D623" s="1410"/>
      <c r="E623" s="977" t="str">
        <f>IFERROR(VLOOKUP(C623, [6]條件!$A:$L, 5, 0), "")</f>
        <v/>
      </c>
      <c r="F623" s="978" t="str">
        <f>IFERROR(VLOOKUP(C623, [6]條件!$A:$L, 6, 0), "")</f>
        <v/>
      </c>
      <c r="G623" s="1411" t="str">
        <f>IFERROR(VLOOKUP(C623, [6]條件!$A:$L, 7, 0), "")</f>
        <v/>
      </c>
      <c r="H623" s="978" t="str">
        <f>IF(ISNA(VLOOKUP(C623,[6]條件!$A$1:$K$932,11,0)),"",(VLOOKUP(C623,[6]條件!$A$1:$K$932,11,0)))</f>
        <v/>
      </c>
      <c r="I623" s="979" t="str">
        <f>IF(ISNA(VLOOKUP(C623,[6]條件!$A$1:$L$932,12,0)),"",(VLOOKUP(C623,[6]條件!$A$1:$L$932,12,0)))</f>
        <v/>
      </c>
      <c r="J623" s="982"/>
      <c r="K623" s="980"/>
      <c r="L623" s="981" t="s">
        <v>632</v>
      </c>
      <c r="M623" s="983"/>
      <c r="N623" s="982"/>
      <c r="O623" s="980"/>
      <c r="P623" s="981" t="s">
        <v>632</v>
      </c>
      <c r="Q623" s="983"/>
      <c r="R623" s="982"/>
      <c r="S623" s="980"/>
      <c r="T623" s="981" t="s">
        <v>632</v>
      </c>
      <c r="U623" s="983"/>
      <c r="V623" s="982"/>
      <c r="W623" s="980"/>
      <c r="X623" s="981" t="s">
        <v>632</v>
      </c>
      <c r="Y623" s="983"/>
      <c r="Z623" s="1412" t="str">
        <f>IFERROR(VLOOKUP(C623, [6]條件!$A:$L, 3, 0), "")</f>
        <v/>
      </c>
      <c r="AA623" s="984" t="str">
        <f>IF(OR(L623={"改紡","檢修","了機","清車","FINAL","停機","SAMPLE","TEST","絲開發"}), L623, IFERROR(IF(C623="", "", (SUM(J623, N623, R623, V623)/3 * AG623) * IF(AND(AF623="S", AS623="雙"), 0.5, 1)), ""))</f>
        <v>停機</v>
      </c>
      <c r="AB623" s="1413" t="str">
        <f t="shared" si="107"/>
        <v/>
      </c>
      <c r="AC623" s="984" t="str">
        <f>IF(OR(L623={"改紡","檢修","了機","清車","FINAL","停機","SAMPLE","TEST"}), "", IFERROR(IF(C623="", "", AVERAGE(L623:M623, P623:Q623, T623:U623, X623:Y623)/100), ""))</f>
        <v/>
      </c>
      <c r="AD623" s="984" t="str">
        <f t="shared" si="101"/>
        <v/>
      </c>
      <c r="AE623" s="984" t="str">
        <f t="shared" si="108"/>
        <v/>
      </c>
      <c r="AF623" s="985" t="str">
        <f t="shared" si="102"/>
        <v>J</v>
      </c>
      <c r="AG623" s="1414">
        <v>1</v>
      </c>
      <c r="AH623" s="981" t="s">
        <v>640</v>
      </c>
      <c r="AI623" s="1440" t="s">
        <v>640</v>
      </c>
      <c r="AJ623" s="986" t="s">
        <v>640</v>
      </c>
      <c r="AK623" s="1417" t="s">
        <v>640</v>
      </c>
      <c r="AL623" s="1415"/>
      <c r="AM623" s="1323"/>
      <c r="AN623" s="1323"/>
      <c r="AO623" s="1323"/>
      <c r="AP623" s="1323"/>
      <c r="AQ623" s="1323"/>
      <c r="AR623" s="987"/>
      <c r="AS623" s="978" t="str">
        <f t="shared" si="103"/>
        <v>單</v>
      </c>
      <c r="AT623" s="978" t="str">
        <f t="shared" si="104"/>
        <v>全</v>
      </c>
      <c r="AU623" s="978" t="str">
        <f t="shared" si="105"/>
        <v/>
      </c>
      <c r="AV623" s="978" t="str">
        <f t="shared" si="106"/>
        <v/>
      </c>
    </row>
    <row r="624" spans="1:48">
      <c r="A624" s="975">
        <f t="shared" si="109"/>
        <v>46158</v>
      </c>
      <c r="B624" s="976" t="s">
        <v>235</v>
      </c>
      <c r="C624" s="976" t="s">
        <v>16765</v>
      </c>
      <c r="D624" s="1410" t="s">
        <v>633</v>
      </c>
      <c r="E624" s="977" t="str">
        <f>IFERROR(VLOOKUP(C624, [6]條件!$A:$L, 5, 0), "")</f>
        <v>150/48/2SDr</v>
      </c>
      <c r="F624" s="978" t="str">
        <f>IFERROR(VLOOKUP(C624, [6]條件!$A:$L, 6, 0), "")</f>
        <v>FP82173R×2</v>
      </c>
      <c r="G624" s="1411">
        <f>IFERROR(VLOOKUP(C624, [6]條件!$A:$L, 7, 0), "")</f>
        <v>700</v>
      </c>
      <c r="H624" s="978" t="str">
        <f>IF(ISNA(VLOOKUP(C624,[6]條件!$A$1:$K$932,11,0)),"",(VLOOKUP(C624,[6]條件!$A$1:$K$932,11,0)))</f>
        <v>白紫條紋</v>
      </c>
      <c r="I624" s="979">
        <f>IF(ISNA(VLOOKUP(C624,[6]條件!$A$1:$L$932,12,0)),"",(VLOOKUP(C624,[6]條件!$A$1:$L$932,12,0)))</f>
        <v>5.5</v>
      </c>
      <c r="J624" s="982">
        <v>33</v>
      </c>
      <c r="K624" s="980">
        <v>0</v>
      </c>
      <c r="L624" s="981">
        <v>8980</v>
      </c>
      <c r="M624" s="983">
        <v>9540</v>
      </c>
      <c r="N624" s="982">
        <v>10</v>
      </c>
      <c r="O624" s="980">
        <v>0</v>
      </c>
      <c r="P624" s="981">
        <v>8180</v>
      </c>
      <c r="Q624" s="983">
        <v>9350</v>
      </c>
      <c r="R624" s="982">
        <v>17</v>
      </c>
      <c r="S624" s="980">
        <v>0</v>
      </c>
      <c r="T624" s="981">
        <v>8890</v>
      </c>
      <c r="U624" s="983">
        <v>9540</v>
      </c>
      <c r="V624" s="982">
        <v>20</v>
      </c>
      <c r="W624" s="980">
        <v>0</v>
      </c>
      <c r="X624" s="981">
        <v>8980</v>
      </c>
      <c r="Y624" s="983">
        <v>9630</v>
      </c>
      <c r="Z624" s="1412">
        <f>IFERROR(VLOOKUP(C624, [6]條件!$A:$L, 3, 0), "")</f>
        <v>5.8775510204081636</v>
      </c>
      <c r="AA624" s="984">
        <f>IF(OR(L624={"改紡","檢修","了機","清車","FINAL","停機","SAMPLE","TEST","絲開發"}), L624, IFERROR(IF(C624="", "", (SUM(J624, N624, R624, V624)/3 * AG624) * IF(AND(AF624="S", AS624="雙"), 0.5, 1)), ""))</f>
        <v>26.666666666666668</v>
      </c>
      <c r="AB624" s="1413">
        <f t="shared" si="107"/>
        <v>1</v>
      </c>
      <c r="AC624" s="984">
        <f>IF(OR(L624={"改紡","檢修","了機","清車","FINAL","停機","SAMPLE","TEST"}), "", IFERROR(IF(C624="", "", AVERAGE(L624:M624, P624:Q624, T624:U624, X624:Y624)/100), ""))</f>
        <v>91.362499999999997</v>
      </c>
      <c r="AD624" s="984">
        <f t="shared" si="101"/>
        <v>3.3333333333333335</v>
      </c>
      <c r="AE624" s="984">
        <f t="shared" si="108"/>
        <v>3.3333333333333335</v>
      </c>
      <c r="AF624" s="985" t="str">
        <f t="shared" si="102"/>
        <v>T</v>
      </c>
      <c r="AG624" s="1414">
        <v>1</v>
      </c>
      <c r="AH624" s="981" t="s">
        <v>651</v>
      </c>
      <c r="AI624" s="1440" t="s">
        <v>651</v>
      </c>
      <c r="AJ624" s="986" t="s">
        <v>652</v>
      </c>
      <c r="AK624" s="1417" t="s">
        <v>652</v>
      </c>
      <c r="AL624" s="1415">
        <v>56</v>
      </c>
      <c r="AM624" s="1323">
        <v>46153</v>
      </c>
      <c r="AN624" s="1323">
        <v>46154</v>
      </c>
      <c r="AO624" s="1323">
        <v>46155</v>
      </c>
      <c r="AP624" s="1323"/>
      <c r="AQ624" s="1323"/>
      <c r="AR624" s="987"/>
      <c r="AS624" s="978" t="str">
        <f t="shared" si="103"/>
        <v>雙</v>
      </c>
      <c r="AT624" s="978" t="str">
        <f t="shared" si="104"/>
        <v>全</v>
      </c>
      <c r="AU624" s="978">
        <f t="shared" si="105"/>
        <v>150</v>
      </c>
      <c r="AV624" s="978">
        <f t="shared" si="106"/>
        <v>6.6307248000000003</v>
      </c>
    </row>
    <row r="625" spans="1:48">
      <c r="A625" s="975">
        <f t="shared" si="109"/>
        <v>46158</v>
      </c>
      <c r="B625" s="976" t="s">
        <v>237</v>
      </c>
      <c r="C625" s="976" t="s">
        <v>16759</v>
      </c>
      <c r="D625" s="1410" t="s">
        <v>633</v>
      </c>
      <c r="E625" s="977" t="str">
        <f>IFERROR(VLOOKUP(C625, [6]條件!$A:$L, 5, 0), "")</f>
        <v>150/48/2SDr</v>
      </c>
      <c r="F625" s="978" t="str">
        <f>IFERROR(VLOOKUP(C625, [6]條件!$A:$L, 6, 0), "")</f>
        <v>FP82171R×2</v>
      </c>
      <c r="G625" s="1411">
        <f>IFERROR(VLOOKUP(C625, [6]條件!$A:$L, 7, 0), "")</f>
        <v>700</v>
      </c>
      <c r="H625" s="978" t="str">
        <f>IF(ISNA(VLOOKUP(C625,[6]條件!$A$1:$K$932,11,0)),"",(VLOOKUP(C625,[6]條件!$A$1:$K$932,11,0)))</f>
        <v>紅底黃星</v>
      </c>
      <c r="I625" s="979">
        <f>IF(ISNA(VLOOKUP(C625,[6]條件!$A$1:$L$932,12,0)),"",(VLOOKUP(C625,[6]條件!$A$1:$L$932,12,0)))</f>
        <v>5.5</v>
      </c>
      <c r="J625" s="982">
        <v>22</v>
      </c>
      <c r="K625" s="980">
        <v>0</v>
      </c>
      <c r="L625" s="981">
        <v>9720</v>
      </c>
      <c r="M625" s="983">
        <v>9170</v>
      </c>
      <c r="N625" s="982">
        <v>11</v>
      </c>
      <c r="O625" s="980">
        <v>0</v>
      </c>
      <c r="P625" s="981">
        <v>9440</v>
      </c>
      <c r="Q625" s="983">
        <v>9070</v>
      </c>
      <c r="R625" s="982">
        <v>17</v>
      </c>
      <c r="S625" s="980">
        <v>0</v>
      </c>
      <c r="T625" s="981">
        <v>9720</v>
      </c>
      <c r="U625" s="983">
        <v>8890</v>
      </c>
      <c r="V625" s="982">
        <v>24</v>
      </c>
      <c r="W625" s="980">
        <v>0</v>
      </c>
      <c r="X625" s="981">
        <v>9720</v>
      </c>
      <c r="Y625" s="983">
        <v>9170</v>
      </c>
      <c r="Z625" s="1412">
        <f>IFERROR(VLOOKUP(C625, [6]條件!$A:$L, 3, 0), "")</f>
        <v>5.8299595141700413</v>
      </c>
      <c r="AA625" s="984">
        <f>IF(OR(L625={"改紡","檢修","了機","清車","FINAL","停機","SAMPLE","TEST","絲開發"}), L625, IFERROR(IF(C625="", "", (SUM(J625, N625, R625, V625)/3 * AG625) * IF(AND(AF625="S", AS625="雙"), 0.5, 1)), ""))</f>
        <v>24.666666666666668</v>
      </c>
      <c r="AB625" s="1413">
        <f t="shared" si="107"/>
        <v>1</v>
      </c>
      <c r="AC625" s="984">
        <f>IF(OR(L625={"改紡","檢修","了機","清車","FINAL","停機","SAMPLE","TEST"}), "", IFERROR(IF(C625="", "", AVERAGE(L625:M625, P625:Q625, T625:U625, X625:Y625)/100), ""))</f>
        <v>93.625</v>
      </c>
      <c r="AD625" s="984">
        <f t="shared" si="101"/>
        <v>3.0833333333333335</v>
      </c>
      <c r="AE625" s="984">
        <f t="shared" si="108"/>
        <v>3.0833333333333335</v>
      </c>
      <c r="AF625" s="985" t="str">
        <f t="shared" si="102"/>
        <v>T</v>
      </c>
      <c r="AG625" s="1414">
        <v>1</v>
      </c>
      <c r="AH625" s="981" t="s">
        <v>651</v>
      </c>
      <c r="AI625" s="1440" t="s">
        <v>651</v>
      </c>
      <c r="AJ625" s="986" t="s">
        <v>652</v>
      </c>
      <c r="AK625" s="1417" t="s">
        <v>652</v>
      </c>
      <c r="AL625" s="1415">
        <v>55</v>
      </c>
      <c r="AM625" s="1323">
        <v>46153</v>
      </c>
      <c r="AN625" s="1323">
        <v>46154</v>
      </c>
      <c r="AO625" s="1323">
        <v>46155</v>
      </c>
      <c r="AP625" s="1323">
        <v>46156</v>
      </c>
      <c r="AQ625" s="1323"/>
      <c r="AR625" s="987"/>
      <c r="AS625" s="978" t="str">
        <f t="shared" si="103"/>
        <v>雙</v>
      </c>
      <c r="AT625" s="978" t="str">
        <f t="shared" si="104"/>
        <v>全</v>
      </c>
      <c r="AU625" s="978">
        <f t="shared" si="105"/>
        <v>150</v>
      </c>
      <c r="AV625" s="978">
        <f t="shared" si="106"/>
        <v>6.7949280000000005</v>
      </c>
    </row>
    <row r="626" spans="1:48">
      <c r="A626" s="975">
        <f t="shared" si="109"/>
        <v>46158</v>
      </c>
      <c r="B626" s="976" t="s">
        <v>238</v>
      </c>
      <c r="C626" s="976" t="s">
        <v>16743</v>
      </c>
      <c r="D626" s="1410"/>
      <c r="E626" s="977" t="str">
        <f>IFERROR(VLOOKUP(C626, [6]條件!$A:$L, 5, 0), "")</f>
        <v>150/48/2SDr</v>
      </c>
      <c r="F626" s="978" t="str">
        <f>IFERROR(VLOOKUP(C626, [6]條件!$A:$L, 6, 0), "")</f>
        <v>FP82169R×2</v>
      </c>
      <c r="G626" s="1411">
        <f>IFERROR(VLOOKUP(C626, [6]條件!$A:$L, 7, 0), "")</f>
        <v>670</v>
      </c>
      <c r="H626" s="978" t="str">
        <f>IF(ISNA(VLOOKUP(C626,[6]條件!$A$1:$K$932,11,0)),"",(VLOOKUP(C626,[6]條件!$A$1:$K$932,11,0)))</f>
        <v>黃底紅點</v>
      </c>
      <c r="I626" s="979">
        <f>IF(ISNA(VLOOKUP(C626,[6]條件!$A$1:$L$932,12,0)),"",(VLOOKUP(C626,[6]條件!$A$1:$L$932,12,0)))</f>
        <v>5</v>
      </c>
      <c r="J626" s="982">
        <v>17</v>
      </c>
      <c r="K626" s="980">
        <v>0</v>
      </c>
      <c r="L626" s="981">
        <v>9350</v>
      </c>
      <c r="M626" s="983"/>
      <c r="N626" s="982">
        <v>10</v>
      </c>
      <c r="O626" s="980">
        <v>0</v>
      </c>
      <c r="P626" s="981">
        <v>9170</v>
      </c>
      <c r="Q626" s="983"/>
      <c r="R626" s="982">
        <v>6</v>
      </c>
      <c r="S626" s="980">
        <v>0</v>
      </c>
      <c r="T626" s="981">
        <v>8980</v>
      </c>
      <c r="U626" s="983"/>
      <c r="V626" s="982">
        <v>16</v>
      </c>
      <c r="W626" s="980">
        <v>0</v>
      </c>
      <c r="X626" s="981">
        <v>9170</v>
      </c>
      <c r="Y626" s="983"/>
      <c r="Z626" s="1412">
        <f>IFERROR(VLOOKUP(C626, [6]條件!$A:$L, 3, 0), "")</f>
        <v>6.2882096069868991</v>
      </c>
      <c r="AA626" s="984">
        <f>IF(OR(L626={"改紡","檢修","了機","清車","FINAL","停機","SAMPLE","TEST","絲開發"}), L626, IFERROR(IF(C626="", "", (SUM(J626, N626, R626, V626)/3 * AG626) * IF(AND(AF626="S", AS626="雙"), 0.5, 1)), ""))</f>
        <v>32.666666666666664</v>
      </c>
      <c r="AB626" s="1413">
        <f t="shared" si="107"/>
        <v>1</v>
      </c>
      <c r="AC626" s="984">
        <f>IF(OR(L626={"改紡","檢修","了機","清車","FINAL","停機","SAMPLE","TEST"}), "", IFERROR(IF(C626="", "", AVERAGE(L626:M626, P626:Q626, T626:U626, X626:Y626)/100), ""))</f>
        <v>91.674999999999997</v>
      </c>
      <c r="AD626" s="984">
        <f t="shared" si="101"/>
        <v>4.083333333333333</v>
      </c>
      <c r="AE626" s="984">
        <f t="shared" si="108"/>
        <v>4.083333333333333</v>
      </c>
      <c r="AF626" s="985" t="str">
        <f t="shared" si="102"/>
        <v>T</v>
      </c>
      <c r="AG626" s="1414">
        <v>2</v>
      </c>
      <c r="AH626" s="981" t="s">
        <v>651</v>
      </c>
      <c r="AI626" s="1440" t="s">
        <v>651</v>
      </c>
      <c r="AJ626" s="986" t="s">
        <v>652</v>
      </c>
      <c r="AK626" s="1417" t="s">
        <v>652</v>
      </c>
      <c r="AL626" s="1415">
        <v>48</v>
      </c>
      <c r="AM626" s="1323">
        <v>46153</v>
      </c>
      <c r="AN626" s="1323">
        <v>46155</v>
      </c>
      <c r="AO626" s="1323"/>
      <c r="AP626" s="1323"/>
      <c r="AQ626" s="1323"/>
      <c r="AR626" s="987"/>
      <c r="AS626" s="978" t="str">
        <f t="shared" si="103"/>
        <v>雙</v>
      </c>
      <c r="AT626" s="978" t="str">
        <f t="shared" si="104"/>
        <v>半</v>
      </c>
      <c r="AU626" s="978">
        <f t="shared" si="105"/>
        <v>150</v>
      </c>
      <c r="AV626" s="978">
        <f t="shared" si="106"/>
        <v>3.18412944</v>
      </c>
    </row>
    <row r="627" spans="1:48">
      <c r="A627" s="975">
        <f t="shared" si="109"/>
        <v>46158</v>
      </c>
      <c r="B627" s="976" t="s">
        <v>238</v>
      </c>
      <c r="C627" s="976" t="s">
        <v>16742</v>
      </c>
      <c r="D627" s="1410"/>
      <c r="E627" s="977" t="str">
        <f>IFERROR(VLOOKUP(C627, [6]條件!$A:$L, 5, 0), "")</f>
        <v>150/48/2SDr</v>
      </c>
      <c r="F627" s="978" t="str">
        <f>IFERROR(VLOOKUP(C627, [6]條件!$A:$L, 6, 0), "")</f>
        <v>FP82169R×2</v>
      </c>
      <c r="G627" s="1411">
        <f>IFERROR(VLOOKUP(C627, [6]條件!$A:$L, 7, 0), "")</f>
        <v>670</v>
      </c>
      <c r="H627" s="978" t="str">
        <f>IF(ISNA(VLOOKUP(C627,[6]條件!$A$1:$K$932,11,0)),"",(VLOOKUP(C627,[6]條件!$A$1:$K$932,11,0)))</f>
        <v>紅底藍點</v>
      </c>
      <c r="I627" s="979">
        <f>IF(ISNA(VLOOKUP(C627,[6]條件!$A$1:$L$932,12,0)),"",(VLOOKUP(C627,[6]條件!$A$1:$L$932,12,0)))</f>
        <v>5</v>
      </c>
      <c r="J627" s="982">
        <v>32</v>
      </c>
      <c r="K627" s="980">
        <v>0</v>
      </c>
      <c r="L627" s="981"/>
      <c r="M627" s="983">
        <v>9350</v>
      </c>
      <c r="N627" s="982">
        <v>14</v>
      </c>
      <c r="O627" s="980">
        <v>0</v>
      </c>
      <c r="P627" s="981"/>
      <c r="Q627" s="983">
        <v>9540</v>
      </c>
      <c r="R627" s="982">
        <v>12</v>
      </c>
      <c r="S627" s="980">
        <v>0</v>
      </c>
      <c r="T627" s="981">
        <v>9810</v>
      </c>
      <c r="U627" s="983"/>
      <c r="V627" s="982">
        <v>32</v>
      </c>
      <c r="W627" s="980">
        <v>0</v>
      </c>
      <c r="X627" s="981"/>
      <c r="Y627" s="983">
        <v>9630</v>
      </c>
      <c r="Z627" s="1412">
        <f>IFERROR(VLOOKUP(C627, [6]條件!$A:$L, 3, 0), "")</f>
        <v>6.1802575107296125</v>
      </c>
      <c r="AA627" s="984">
        <f>IF(OR(L627={"改紡","檢修","了機","清車","FINAL","停機","SAMPLE","TEST","絲開發"}), L627, IFERROR(IF(C627="", "", (SUM(J627, N627, R627, V627)/3 * AG627) * IF(AND(AF627="S", AS627="雙"), 0.5, 1)), ""))</f>
        <v>60</v>
      </c>
      <c r="AB627" s="1413">
        <f t="shared" si="107"/>
        <v>1</v>
      </c>
      <c r="AC627" s="984">
        <f>IF(OR(L627={"改紡","檢修","了機","清車","FINAL","停機","SAMPLE","TEST"}), "", IFERROR(IF(C627="", "", AVERAGE(L627:M627, P627:Q627, T627:U627, X627:Y627)/100), ""))</f>
        <v>95.825000000000003</v>
      </c>
      <c r="AD627" s="984">
        <f t="shared" si="101"/>
        <v>7.5</v>
      </c>
      <c r="AE627" s="984">
        <f t="shared" si="108"/>
        <v>7.5</v>
      </c>
      <c r="AF627" s="985" t="str">
        <f t="shared" si="102"/>
        <v>T</v>
      </c>
      <c r="AG627" s="1414">
        <v>2</v>
      </c>
      <c r="AH627" s="981" t="s">
        <v>651</v>
      </c>
      <c r="AI627" s="1440" t="s">
        <v>651</v>
      </c>
      <c r="AJ627" s="986" t="s">
        <v>835</v>
      </c>
      <c r="AK627" s="1417" t="s">
        <v>835</v>
      </c>
      <c r="AL627" s="1415">
        <v>48</v>
      </c>
      <c r="AM627" s="1323">
        <v>46154</v>
      </c>
      <c r="AN627" s="1323">
        <v>46155</v>
      </c>
      <c r="AO627" s="1323"/>
      <c r="AP627" s="1323"/>
      <c r="AQ627" s="1323"/>
      <c r="AR627" s="987"/>
      <c r="AS627" s="978" t="str">
        <f t="shared" si="103"/>
        <v>雙</v>
      </c>
      <c r="AT627" s="978" t="str">
        <f t="shared" si="104"/>
        <v>半</v>
      </c>
      <c r="AU627" s="978">
        <f t="shared" si="105"/>
        <v>150</v>
      </c>
      <c r="AV627" s="978">
        <f t="shared" si="106"/>
        <v>3.32827056</v>
      </c>
    </row>
    <row r="628" spans="1:48">
      <c r="A628" s="975">
        <f t="shared" si="109"/>
        <v>46158</v>
      </c>
      <c r="B628" s="976" t="s">
        <v>239</v>
      </c>
      <c r="C628" s="976" t="s">
        <v>632</v>
      </c>
      <c r="D628" s="1410"/>
      <c r="E628" s="977" t="str">
        <f>IFERROR(VLOOKUP(C628, [6]條件!$A:$L, 5, 0), "")</f>
        <v/>
      </c>
      <c r="F628" s="978" t="str">
        <f>IFERROR(VLOOKUP(C628, [6]條件!$A:$L, 6, 0), "")</f>
        <v/>
      </c>
      <c r="G628" s="1411" t="str">
        <f>IFERROR(VLOOKUP(C628, [6]條件!$A:$L, 7, 0), "")</f>
        <v/>
      </c>
      <c r="H628" s="978" t="str">
        <f>IF(ISNA(VLOOKUP(C628,[6]條件!$A$1:$K$932,11,0)),"",(VLOOKUP(C628,[6]條件!$A$1:$K$932,11,0)))</f>
        <v/>
      </c>
      <c r="I628" s="979" t="str">
        <f>IF(ISNA(VLOOKUP(C628,[6]條件!$A$1:$L$932,12,0)),"",(VLOOKUP(C628,[6]條件!$A$1:$L$932,12,0)))</f>
        <v/>
      </c>
      <c r="J628" s="982"/>
      <c r="K628" s="980"/>
      <c r="L628" s="981" t="s">
        <v>632</v>
      </c>
      <c r="M628" s="983"/>
      <c r="N628" s="982"/>
      <c r="O628" s="980"/>
      <c r="P628" s="981" t="s">
        <v>632</v>
      </c>
      <c r="Q628" s="983"/>
      <c r="R628" s="982"/>
      <c r="S628" s="980"/>
      <c r="T628" s="981" t="s">
        <v>632</v>
      </c>
      <c r="U628" s="983"/>
      <c r="V628" s="982"/>
      <c r="W628" s="980"/>
      <c r="X628" s="981" t="s">
        <v>632</v>
      </c>
      <c r="Y628" s="983"/>
      <c r="Z628" s="1412" t="str">
        <f>IFERROR(VLOOKUP(C628, [6]條件!$A:$L, 3, 0), "")</f>
        <v/>
      </c>
      <c r="AA628" s="984" t="str">
        <f>IF(OR(L628={"改紡","檢修","了機","清車","FINAL","停機","SAMPLE","TEST","絲開發"}), L628, IFERROR(IF(C628="", "", (SUM(J628, N628, R628, V628)/3 * AG628) * IF(AND(AF628="S", AS628="雙"), 0.5, 1)), ""))</f>
        <v>停機</v>
      </c>
      <c r="AB628" s="1413" t="str">
        <f t="shared" si="107"/>
        <v/>
      </c>
      <c r="AC628" s="984" t="str">
        <f>IF(OR(L628={"改紡","檢修","了機","清車","FINAL","停機","SAMPLE","TEST"}), "", IFERROR(IF(C628="", "", AVERAGE(L628:M628, P628:Q628, T628:U628, X628:Y628)/100), ""))</f>
        <v/>
      </c>
      <c r="AD628" s="984" t="str">
        <f t="shared" si="101"/>
        <v/>
      </c>
      <c r="AE628" s="984" t="str">
        <f t="shared" si="108"/>
        <v/>
      </c>
      <c r="AF628" s="985" t="str">
        <f t="shared" si="102"/>
        <v>T</v>
      </c>
      <c r="AG628" s="1414">
        <v>1</v>
      </c>
      <c r="AH628" s="981" t="s">
        <v>640</v>
      </c>
      <c r="AI628" s="1440" t="s">
        <v>640</v>
      </c>
      <c r="AJ628" s="986" t="s">
        <v>640</v>
      </c>
      <c r="AK628" s="1417" t="s">
        <v>640</v>
      </c>
      <c r="AL628" s="1415"/>
      <c r="AM628" s="1323"/>
      <c r="AN628" s="1323"/>
      <c r="AO628" s="1323"/>
      <c r="AP628" s="1323"/>
      <c r="AQ628" s="1323"/>
      <c r="AR628" s="987"/>
      <c r="AS628" s="978" t="str">
        <f t="shared" si="103"/>
        <v>單</v>
      </c>
      <c r="AT628" s="978" t="str">
        <f t="shared" si="104"/>
        <v>全</v>
      </c>
      <c r="AU628" s="978" t="str">
        <f t="shared" si="105"/>
        <v/>
      </c>
      <c r="AV628" s="978" t="str">
        <f t="shared" si="106"/>
        <v/>
      </c>
    </row>
    <row r="629" spans="1:48">
      <c r="A629" s="975">
        <f t="shared" si="109"/>
        <v>46158</v>
      </c>
      <c r="B629" s="976" t="s">
        <v>388</v>
      </c>
      <c r="C629" s="976" t="s">
        <v>16775</v>
      </c>
      <c r="D629" s="1410" t="s">
        <v>633</v>
      </c>
      <c r="E629" s="977" t="str">
        <f>IFERROR(VLOOKUP(C629, [6]條件!$A:$L, 5, 0), "")</f>
        <v>150/48/2SDr</v>
      </c>
      <c r="F629" s="978" t="str">
        <f>IFERROR(VLOOKUP(C629, [6]條件!$A:$L, 6, 0), "")</f>
        <v>FP82173R×2</v>
      </c>
      <c r="G629" s="1411">
        <f>IFERROR(VLOOKUP(C629, [6]條件!$A:$L, 7, 0), "")</f>
        <v>700</v>
      </c>
      <c r="H629" s="978" t="str">
        <f>IF(ISNA(VLOOKUP(C629,[6]條件!$A$1:$K$932,11,0)),"",(VLOOKUP(C629,[6]條件!$A$1:$K$932,11,0)))</f>
        <v>黃紅雙色</v>
      </c>
      <c r="I629" s="979">
        <f>IF(ISNA(VLOOKUP(C629,[6]條件!$A$1:$L$932,12,0)),"",(VLOOKUP(C629,[6]條件!$A$1:$L$932,12,0)))</f>
        <v>5.5</v>
      </c>
      <c r="J629" s="982">
        <v>25</v>
      </c>
      <c r="K629" s="980">
        <v>3</v>
      </c>
      <c r="L629" s="981">
        <v>8610</v>
      </c>
      <c r="M629" s="983">
        <v>10000</v>
      </c>
      <c r="N629" s="982">
        <v>22</v>
      </c>
      <c r="O629" s="980">
        <v>0</v>
      </c>
      <c r="P629" s="981">
        <v>8610</v>
      </c>
      <c r="Q629" s="983">
        <v>10000</v>
      </c>
      <c r="R629" s="982">
        <v>24</v>
      </c>
      <c r="S629" s="980">
        <v>0</v>
      </c>
      <c r="T629" s="981">
        <v>8520</v>
      </c>
      <c r="U629" s="983">
        <v>10000</v>
      </c>
      <c r="V629" s="982">
        <v>14</v>
      </c>
      <c r="W629" s="980">
        <v>2</v>
      </c>
      <c r="X629" s="981">
        <v>8610</v>
      </c>
      <c r="Y629" s="983">
        <v>10000</v>
      </c>
      <c r="Z629" s="1412">
        <f>IFERROR(VLOOKUP(C629, [6]條件!$A:$L, 3, 0), "")</f>
        <v>5.8536585365853666</v>
      </c>
      <c r="AA629" s="984">
        <f>IF(OR(L629={"改紡","檢修","了機","清車","FINAL","停機","SAMPLE","TEST","絲開發"}), L629, IFERROR(IF(C629="", "", (SUM(J629, N629, R629, V629)/3 * AG629) * IF(AND(AF629="S", AS629="雙"), 0.5, 1)), ""))</f>
        <v>28.333333333333332</v>
      </c>
      <c r="AB629" s="1413">
        <f t="shared" si="107"/>
        <v>0.99589342948717952</v>
      </c>
      <c r="AC629" s="984">
        <f>IF(OR(L629={"改紡","檢修","了機","清車","FINAL","停機","SAMPLE","TEST"}), "", IFERROR(IF(C629="", "", AVERAGE(L629:M629, P629:Q629, T629:U629, X629:Y629)/100), ""))</f>
        <v>92.9375</v>
      </c>
      <c r="AD629" s="984">
        <f t="shared" si="101"/>
        <v>3.5416666666666665</v>
      </c>
      <c r="AE629" s="984">
        <f t="shared" si="108"/>
        <v>3.3333333333333335</v>
      </c>
      <c r="AF629" s="985" t="str">
        <f t="shared" si="102"/>
        <v>T</v>
      </c>
      <c r="AG629" s="1414">
        <v>1</v>
      </c>
      <c r="AH629" s="981" t="s">
        <v>638</v>
      </c>
      <c r="AI629" s="1440" t="s">
        <v>638</v>
      </c>
      <c r="AJ629" s="986" t="s">
        <v>835</v>
      </c>
      <c r="AK629" s="1417" t="s">
        <v>835</v>
      </c>
      <c r="AL629" s="1415">
        <v>56</v>
      </c>
      <c r="AM629" s="1323">
        <v>46152</v>
      </c>
      <c r="AN629" s="1323">
        <v>46153</v>
      </c>
      <c r="AO629" s="1323">
        <v>46154</v>
      </c>
      <c r="AP629" s="1323"/>
      <c r="AQ629" s="1323"/>
      <c r="AR629" s="987"/>
      <c r="AS629" s="978" t="str">
        <f t="shared" si="103"/>
        <v>雙</v>
      </c>
      <c r="AT629" s="978" t="str">
        <f t="shared" si="104"/>
        <v>全</v>
      </c>
      <c r="AU629" s="978">
        <f t="shared" si="105"/>
        <v>150</v>
      </c>
      <c r="AV629" s="978">
        <f t="shared" si="106"/>
        <v>6.7450319999999993</v>
      </c>
    </row>
    <row r="630" spans="1:48">
      <c r="A630" s="975">
        <f t="shared" si="109"/>
        <v>46158</v>
      </c>
      <c r="B630" s="976" t="s">
        <v>417</v>
      </c>
      <c r="C630" s="976" t="s">
        <v>16767</v>
      </c>
      <c r="D630" s="1410" t="s">
        <v>633</v>
      </c>
      <c r="E630" s="977" t="str">
        <f>IFERROR(VLOOKUP(C630, [6]條件!$A:$L, 5, 0), "")</f>
        <v>150/48/2SDr</v>
      </c>
      <c r="F630" s="978" t="str">
        <f>IFERROR(VLOOKUP(C630, [6]條件!$A:$L, 6, 0), "")</f>
        <v>FP82173R×2</v>
      </c>
      <c r="G630" s="1411">
        <f>IFERROR(VLOOKUP(C630, [6]條件!$A:$L, 7, 0), "")</f>
        <v>700</v>
      </c>
      <c r="H630" s="978" t="str">
        <f>IF(ISNA(VLOOKUP(C630,[6]條件!$A$1:$K$932,11,0)),"",(VLOOKUP(C630,[6]條件!$A$1:$K$932,11,0)))</f>
        <v>棕色</v>
      </c>
      <c r="I630" s="979">
        <f>IF(ISNA(VLOOKUP(C630,[6]條件!$A$1:$L$932,12,0)),"",(VLOOKUP(C630,[6]條件!$A$1:$L$932,12,0)))</f>
        <v>5.5</v>
      </c>
      <c r="J630" s="982">
        <v>21</v>
      </c>
      <c r="K630" s="980">
        <v>5</v>
      </c>
      <c r="L630" s="981">
        <v>10000</v>
      </c>
      <c r="M630" s="983">
        <v>9630</v>
      </c>
      <c r="N630" s="982">
        <v>19</v>
      </c>
      <c r="O630" s="980">
        <v>0</v>
      </c>
      <c r="P630" s="981">
        <v>10000</v>
      </c>
      <c r="Q630" s="983">
        <v>9630</v>
      </c>
      <c r="R630" s="982">
        <v>12</v>
      </c>
      <c r="S630" s="980">
        <v>0</v>
      </c>
      <c r="T630" s="981">
        <v>10000</v>
      </c>
      <c r="U630" s="983">
        <v>9540</v>
      </c>
      <c r="V630" s="982">
        <v>9</v>
      </c>
      <c r="W630" s="980">
        <v>2</v>
      </c>
      <c r="X630" s="981">
        <v>9810</v>
      </c>
      <c r="Y630" s="983">
        <v>9630</v>
      </c>
      <c r="Z630" s="1412">
        <f>IFERROR(VLOOKUP(C630, [6]條件!$A:$L, 3, 0), "")</f>
        <v>5.8536585365853666</v>
      </c>
      <c r="AA630" s="984">
        <f>IF(OR(L630={"改紡","檢修","了機","清車","FINAL","停機","SAMPLE","TEST","絲開發"}), L630, IFERROR(IF(C630="", "", (SUM(J630, N630, R630, V630)/3 * AG630) * IF(AND(AF630="S", AS630="雙"), 0.5, 1)), ""))</f>
        <v>20.333333333333332</v>
      </c>
      <c r="AB630" s="1413">
        <f t="shared" si="107"/>
        <v>0.99425080128205123</v>
      </c>
      <c r="AC630" s="984">
        <f>IF(OR(L630={"改紡","檢修","了機","清車","FINAL","停機","SAMPLE","TEST"}), "", IFERROR(IF(C630="", "", AVERAGE(L630:M630, P630:Q630, T630:U630, X630:Y630)/100), ""))</f>
        <v>97.8</v>
      </c>
      <c r="AD630" s="984">
        <f t="shared" si="101"/>
        <v>2.5416666666666665</v>
      </c>
      <c r="AE630" s="984">
        <f t="shared" si="108"/>
        <v>2.25</v>
      </c>
      <c r="AF630" s="985" t="str">
        <f t="shared" si="102"/>
        <v>T</v>
      </c>
      <c r="AG630" s="1414">
        <v>1</v>
      </c>
      <c r="AH630" s="981" t="s">
        <v>638</v>
      </c>
      <c r="AI630" s="1440" t="s">
        <v>638</v>
      </c>
      <c r="AJ630" s="986" t="s">
        <v>835</v>
      </c>
      <c r="AK630" s="1417" t="s">
        <v>835</v>
      </c>
      <c r="AL630" s="1415">
        <v>56</v>
      </c>
      <c r="AM630" s="1323">
        <v>46062</v>
      </c>
      <c r="AN630" s="1323">
        <v>46153</v>
      </c>
      <c r="AO630" s="1323">
        <v>46154</v>
      </c>
      <c r="AP630" s="1323"/>
      <c r="AQ630" s="1323"/>
      <c r="AR630" s="987"/>
      <c r="AS630" s="978" t="str">
        <f t="shared" si="103"/>
        <v>雙</v>
      </c>
      <c r="AT630" s="978" t="str">
        <f t="shared" si="104"/>
        <v>全</v>
      </c>
      <c r="AU630" s="978">
        <f t="shared" si="105"/>
        <v>150</v>
      </c>
      <c r="AV630" s="978">
        <f t="shared" si="106"/>
        <v>7.0979328000000006</v>
      </c>
    </row>
    <row r="631" spans="1:48">
      <c r="A631" s="975">
        <f t="shared" si="109"/>
        <v>46158</v>
      </c>
      <c r="B631" s="976" t="s">
        <v>240</v>
      </c>
      <c r="C631" s="976" t="s">
        <v>16776</v>
      </c>
      <c r="D631" s="1410"/>
      <c r="E631" s="977" t="str">
        <f>IFERROR(VLOOKUP(C631, [6]條件!$A:$L, 5, 0), "")</f>
        <v>50/72/2SDFFR</v>
      </c>
      <c r="F631" s="978" t="str">
        <f>IFERROR(VLOOKUP(C631, [6]條件!$A:$L, 6, 0), "")</f>
        <v>FP80099R×2</v>
      </c>
      <c r="G631" s="1411">
        <f>IFERROR(VLOOKUP(C631, [6]條件!$A:$L, 7, 0), "")</f>
        <v>500</v>
      </c>
      <c r="H631" s="978" t="str">
        <f>IF(ISNA(VLOOKUP(C631,[6]條件!$A$1:$K$932,11,0)),"",(VLOOKUP(C631,[6]條件!$A$1:$K$932,11,0)))</f>
        <v>白黑三角</v>
      </c>
      <c r="I631" s="979">
        <f>IF(ISNA(VLOOKUP(C631,[6]條件!$A$1:$L$932,12,0)),"",(VLOOKUP(C631,[6]條件!$A$1:$L$932,12,0)))</f>
        <v>4</v>
      </c>
      <c r="J631" s="982">
        <v>12</v>
      </c>
      <c r="K631" s="980">
        <v>0</v>
      </c>
      <c r="L631" s="981">
        <v>4149</v>
      </c>
      <c r="M631" s="983"/>
      <c r="N631" s="982"/>
      <c r="O631" s="980"/>
      <c r="P631" s="981"/>
      <c r="Q631" s="983"/>
      <c r="R631" s="982">
        <v>4</v>
      </c>
      <c r="S631" s="980">
        <v>0</v>
      </c>
      <c r="T631" s="981">
        <v>2396</v>
      </c>
      <c r="U631" s="983"/>
      <c r="V631" s="982">
        <v>4</v>
      </c>
      <c r="W631" s="980">
        <v>0</v>
      </c>
      <c r="X631" s="981">
        <v>1644</v>
      </c>
      <c r="Y631" s="983"/>
      <c r="Z631" s="1422">
        <f>IFERROR(VLOOKUP(C631, [6]條件!$A:$L, 3, 0), "")</f>
        <v>2.028169014084507</v>
      </c>
      <c r="AA631" s="1167">
        <f>IF(OR(L631={"改紡","檢修","了機","清車","FINAL","停機","SAMPLE","TEST","絲開發"}), L631, IFERROR(IF(C631="", "", (SUM(J631, N631, R631, V631)/3 * AG631) * IF(AND(AF631="S", AS631="雙"), 0.5, 1)), ""))</f>
        <v>10</v>
      </c>
      <c r="AB631" s="1423">
        <f>IF(K631="","",IF(ISERROR(1-((SUM(K631,O631,S631,W631)/((AG631*12)-(AG631*0.44)))/Z631)),"",(1-((SUM(K631,O631,S631,W631)/((AG631*12)-(AG631*0.44)))/Z631))))</f>
        <v>1</v>
      </c>
      <c r="AC631" s="1167">
        <f>IF(OR(L631={"改紡","檢修","了機","清車","FINAL","停機","SAMPLE","TEST"}), "", IFERROR(IF(C631="", "", AVERAGE(L631:M631, P631:Q631, T631:U631, X631:Y631)/100), ""))</f>
        <v>27.296666666666667</v>
      </c>
      <c r="AD631" s="1167">
        <f t="shared" si="101"/>
        <v>1.25</v>
      </c>
      <c r="AE631" s="1167">
        <f>IF(P631="了機","",IF(J631="","",IF(ISERROR((SUM(J631,N631,R631,V631)-SUM(K631,O631,S631,W631))/24),"",((SUM(J631,N631,R631,V631)-SUM(K631,O631,S631,W631))/24))))</f>
        <v>0.83333333333333337</v>
      </c>
      <c r="AF631" s="1168" t="str">
        <f t="shared" si="102"/>
        <v>S</v>
      </c>
      <c r="AG631" s="1424">
        <v>3</v>
      </c>
      <c r="AH631" s="981" t="s">
        <v>15848</v>
      </c>
      <c r="AI631" s="986" t="s">
        <v>640</v>
      </c>
      <c r="AJ631" s="986" t="s">
        <v>15876</v>
      </c>
      <c r="AK631" s="1417" t="s">
        <v>15876</v>
      </c>
      <c r="AL631" s="1415">
        <v>50</v>
      </c>
      <c r="AM631" s="1323">
        <v>46030</v>
      </c>
      <c r="AN631" s="1323">
        <v>46044</v>
      </c>
      <c r="AO631" s="1323"/>
      <c r="AP631" s="1323"/>
      <c r="AQ631" s="1323"/>
      <c r="AR631" s="987"/>
      <c r="AS631" s="978" t="str">
        <f t="shared" si="103"/>
        <v>雙</v>
      </c>
      <c r="AT631" s="978" t="str">
        <f t="shared" si="104"/>
        <v>3sec</v>
      </c>
      <c r="AU631" s="978">
        <f t="shared" si="105"/>
        <v>50</v>
      </c>
      <c r="AV631" s="978">
        <f t="shared" si="106"/>
        <v>2.94804E-2</v>
      </c>
    </row>
    <row r="632" spans="1:48">
      <c r="A632" s="975">
        <f t="shared" si="109"/>
        <v>46158</v>
      </c>
      <c r="B632" s="976" t="s">
        <v>240</v>
      </c>
      <c r="C632" s="976" t="s">
        <v>16777</v>
      </c>
      <c r="D632" s="1410"/>
      <c r="E632" s="977" t="str">
        <f>IFERROR(VLOOKUP(C632, [6]條件!$A:$L, 5, 0), "")</f>
        <v>75/72/2SDFFR</v>
      </c>
      <c r="F632" s="978" t="str">
        <f>IFERROR(VLOOKUP(C632, [6]條件!$A:$L, 6, 0), "")</f>
        <v>FP81209R×2</v>
      </c>
      <c r="G632" s="1411">
        <f>IFERROR(VLOOKUP(C632, [6]條件!$A:$L, 7, 0), "")</f>
        <v>600</v>
      </c>
      <c r="H632" s="978" t="str">
        <f>IF(ISNA(VLOOKUP(C632,[6]條件!$A$1:$K$932,11,0)),"",(VLOOKUP(C632,[6]條件!$A$1:$K$932,11,0)))</f>
        <v>白底紅十字</v>
      </c>
      <c r="I632" s="979">
        <f>IF(ISNA(VLOOKUP(C632,[6]條件!$A$1:$L$932,12,0)),"",(VLOOKUP(C632,[6]條件!$A$1:$L$932,12,0)))</f>
        <v>5</v>
      </c>
      <c r="J632" s="982">
        <v>0</v>
      </c>
      <c r="K632" s="980">
        <v>0</v>
      </c>
      <c r="L632" s="981">
        <v>4149</v>
      </c>
      <c r="M632" s="983"/>
      <c r="N632" s="982"/>
      <c r="O632" s="980"/>
      <c r="P632" s="981"/>
      <c r="Q632" s="983"/>
      <c r="R632" s="982">
        <v>10</v>
      </c>
      <c r="S632" s="980">
        <v>0</v>
      </c>
      <c r="T632" s="981">
        <v>2396</v>
      </c>
      <c r="U632" s="983"/>
      <c r="V632" s="982">
        <v>14</v>
      </c>
      <c r="W632" s="980">
        <v>4</v>
      </c>
      <c r="X632" s="981">
        <v>1644</v>
      </c>
      <c r="Y632" s="983"/>
      <c r="Z632" s="1422">
        <f>IFERROR(VLOOKUP(C632, [6]條件!$A:$L, 3, 0), "")</f>
        <v>2.7852998065764023</v>
      </c>
      <c r="AA632" s="1167">
        <f>IF(OR(L632={"改紡","檢修","了機","清車","FINAL","停機","SAMPLE","TEST","絲開發"}), L632, IFERROR(IF(C632="", "", (SUM(J632, N632, R632, V632)/3 * AG632) * IF(AND(AF632="S", AS632="雙"), 0.5, 1)), ""))</f>
        <v>12</v>
      </c>
      <c r="AB632" s="1423">
        <f>IF(K632="","",IF(ISERROR(1-((SUM(K632,O632,S632,W632)/((AG632*12)-(AG632*0.44)))/Z632)),"",(1-((SUM(K632,O632,S632,W632)/((AG632*12)-(AG632*0.44)))/Z632))))</f>
        <v>0.9585896450083301</v>
      </c>
      <c r="AC632" s="1167">
        <f>IF(OR(L632={"改紡","檢修","了機","清車","FINAL","停機","SAMPLE","TEST"}), "", IFERROR(IF(C632="", "", AVERAGE(L632:M632, P632:Q632, T632:U632, X632:Y632)/100), ""))</f>
        <v>27.296666666666667</v>
      </c>
      <c r="AD632" s="1167">
        <f t="shared" si="101"/>
        <v>1.5</v>
      </c>
      <c r="AE632" s="1167">
        <f>IF(P632="了機","",IF(J632="","",IF(ISERROR((SUM(J632,N632,R632,V632)-SUM(K632,O632,S632,W632))/24),"",((SUM(J632,N632,R632,V632)-SUM(K632,O632,S632,W632))/24))))</f>
        <v>0.83333333333333337</v>
      </c>
      <c r="AF632" s="1168" t="str">
        <f t="shared" si="102"/>
        <v>S</v>
      </c>
      <c r="AG632" s="1424">
        <v>3</v>
      </c>
      <c r="AH632" s="981" t="s">
        <v>15848</v>
      </c>
      <c r="AI632" s="986" t="s">
        <v>640</v>
      </c>
      <c r="AJ632" s="986" t="s">
        <v>15876</v>
      </c>
      <c r="AK632" s="1417" t="s">
        <v>15876</v>
      </c>
      <c r="AL632" s="1415">
        <v>50</v>
      </c>
      <c r="AM632" s="1323">
        <v>46089</v>
      </c>
      <c r="AN632" s="1323"/>
      <c r="AO632" s="1323"/>
      <c r="AP632" s="1323"/>
      <c r="AQ632" s="1323"/>
      <c r="AR632" s="987"/>
      <c r="AS632" s="978" t="str">
        <f t="shared" si="103"/>
        <v>雙</v>
      </c>
      <c r="AT632" s="978" t="str">
        <f t="shared" si="104"/>
        <v>3sec</v>
      </c>
      <c r="AU632" s="978">
        <f t="shared" si="105"/>
        <v>75</v>
      </c>
      <c r="AV632" s="978">
        <f t="shared" si="106"/>
        <v>5.3064719999999996E-2</v>
      </c>
    </row>
    <row r="633" spans="1:48">
      <c r="A633" s="975">
        <f t="shared" si="109"/>
        <v>46158</v>
      </c>
      <c r="B633" s="976" t="s">
        <v>242</v>
      </c>
      <c r="C633" s="976" t="s">
        <v>385</v>
      </c>
      <c r="D633" s="1410"/>
      <c r="E633" s="977" t="str">
        <f>IFERROR(VLOOKUP(C633, [6]條件!$A:$L, 5, 0), "")</f>
        <v/>
      </c>
      <c r="F633" s="978" t="str">
        <f>IFERROR(VLOOKUP(C633, [6]條件!$A:$L, 6, 0), "")</f>
        <v/>
      </c>
      <c r="G633" s="1411" t="str">
        <f>IFERROR(VLOOKUP(C633, [6]條件!$A:$L, 7, 0), "")</f>
        <v/>
      </c>
      <c r="H633" s="978" t="str">
        <f>IF(ISNA(VLOOKUP(C633,[6]條件!$A$1:$K$932,11,0)),"",(VLOOKUP(C633,[6]條件!$A$1:$K$932,11,0)))</f>
        <v/>
      </c>
      <c r="I633" s="979" t="str">
        <f>IF(ISNA(VLOOKUP(C633,[6]條件!$A$1:$L$932,12,0)),"",(VLOOKUP(C633,[6]條件!$A$1:$L$932,12,0)))</f>
        <v/>
      </c>
      <c r="J633" s="982"/>
      <c r="K633" s="980"/>
      <c r="L633" s="981" t="s">
        <v>385</v>
      </c>
      <c r="M633" s="983"/>
      <c r="N633" s="982"/>
      <c r="O633" s="980"/>
      <c r="P633" s="981" t="s">
        <v>385</v>
      </c>
      <c r="Q633" s="983"/>
      <c r="R633" s="982"/>
      <c r="S633" s="980"/>
      <c r="T633" s="981" t="s">
        <v>385</v>
      </c>
      <c r="U633" s="983"/>
      <c r="V633" s="982"/>
      <c r="W633" s="980"/>
      <c r="X633" s="981" t="s">
        <v>385</v>
      </c>
      <c r="Y633" s="983"/>
      <c r="Z633" s="1422" t="str">
        <f>IFERROR(VLOOKUP(C633, [6]條件!$A:$L, 3, 0), "")</f>
        <v/>
      </c>
      <c r="AA633" s="1167" t="str">
        <f>IF(OR(L633={"改紡","檢修","了機","清車","FINAL","停機","SAMPLE","TEST","絲開發"}), L633, IFERROR(IF(C633="", "", (SUM(J633, N633, R633, V633)/3 * AG633) * IF(AND(AF633="S", AS633="雙"), 0.5, 1)), ""))</f>
        <v>絲開發</v>
      </c>
      <c r="AB633" s="1423" t="str">
        <f>IF(K633="","",IF(ISERROR(1-((SUM(K633,O633,S633,W633)/((AG633*12)-(AG633*0.44)))/Z633)),"",(1-((SUM(K633,O633,S633,W633)/((AG633*12)-(AG633*0.44)))/Z633))))</f>
        <v/>
      </c>
      <c r="AC633" s="1167" t="str">
        <f>IF(OR(L633={"改紡","檢修","了機","清車","FINAL","停機","SAMPLE","TEST"}), "", IFERROR(IF(C633="", "", AVERAGE(L633:M633, P633:Q633, T633:U633, X633:Y633)/100), ""))</f>
        <v/>
      </c>
      <c r="AD633" s="1167" t="str">
        <f t="shared" si="101"/>
        <v/>
      </c>
      <c r="AE633" s="1167" t="str">
        <f>IF(P633="了機","",IF(J633="","",IF(ISERROR((SUM(J633,N633,R633,V633)-SUM(K633,O633,S633,W633))/24),"",((SUM(J633,N633,R633,V633)-SUM(K633,O633,S633,W633))/24))))</f>
        <v/>
      </c>
      <c r="AF633" s="1168" t="str">
        <f t="shared" si="102"/>
        <v>S</v>
      </c>
      <c r="AG633" s="1424">
        <v>5</v>
      </c>
      <c r="AH633" s="981" t="s">
        <v>15848</v>
      </c>
      <c r="AI633" s="986" t="s">
        <v>640</v>
      </c>
      <c r="AJ633" s="986" t="s">
        <v>15876</v>
      </c>
      <c r="AK633" s="1417" t="s">
        <v>15876</v>
      </c>
      <c r="AL633" s="1415"/>
      <c r="AM633" s="1323"/>
      <c r="AN633" s="1323"/>
      <c r="AO633" s="1323"/>
      <c r="AP633" s="1323"/>
      <c r="AQ633" s="1323"/>
      <c r="AR633" s="987"/>
      <c r="AS633" s="978" t="str">
        <f t="shared" si="103"/>
        <v>單</v>
      </c>
      <c r="AT633" s="978" t="str">
        <f t="shared" si="104"/>
        <v>5sec</v>
      </c>
      <c r="AU633" s="978" t="str">
        <f t="shared" si="105"/>
        <v/>
      </c>
      <c r="AV633" s="978" t="str">
        <f t="shared" si="106"/>
        <v/>
      </c>
    </row>
    <row r="634" spans="1:48">
      <c r="A634" s="975">
        <f t="shared" si="109"/>
        <v>46158</v>
      </c>
      <c r="B634" s="976" t="s">
        <v>16078</v>
      </c>
      <c r="C634" s="988" t="s">
        <v>16185</v>
      </c>
      <c r="D634" s="1410"/>
      <c r="E634" s="977" t="str">
        <f>IFERROR(VLOOKUP(C634, [6]條件!$A:$L, 5, 0), "")</f>
        <v/>
      </c>
      <c r="F634" s="978" t="str">
        <f>IFERROR(VLOOKUP(C634, [6]條件!$A:$L, 6, 0), "")</f>
        <v/>
      </c>
      <c r="G634" s="1411" t="str">
        <f>IFERROR(VLOOKUP(C634, [6]條件!$A:$L, 7, 0), "")</f>
        <v/>
      </c>
      <c r="H634" s="978" t="str">
        <f>IF(ISNA(VLOOKUP(C634,[6]條件!$A$1:$K$932,11,0)),"",(VLOOKUP(C634,[6]條件!$A$1:$K$932,11,0)))</f>
        <v/>
      </c>
      <c r="I634" s="979" t="str">
        <f>IF(ISNA(VLOOKUP(C634,[6]條件!$A$1:$L$932,12,0)),"",(VLOOKUP(C634,[6]條件!$A$1:$L$932,12,0)))</f>
        <v/>
      </c>
      <c r="J634" s="982"/>
      <c r="K634" s="980"/>
      <c r="L634" s="981" t="s">
        <v>632</v>
      </c>
      <c r="M634" s="983"/>
      <c r="N634" s="982"/>
      <c r="O634" s="980"/>
      <c r="P634" s="981" t="s">
        <v>632</v>
      </c>
      <c r="Q634" s="983"/>
      <c r="R634" s="982"/>
      <c r="S634" s="980"/>
      <c r="T634" s="981" t="s">
        <v>632</v>
      </c>
      <c r="U634" s="983"/>
      <c r="V634" s="982"/>
      <c r="W634" s="980"/>
      <c r="X634" s="981" t="s">
        <v>632</v>
      </c>
      <c r="Y634" s="983"/>
      <c r="Z634" s="1412" t="str">
        <f>IFERROR(VLOOKUP(C634, [6]條件!$A:$L, 3, 0), "")</f>
        <v/>
      </c>
      <c r="AA634" s="984" t="str">
        <f>IF(OR(L634={"改紡","檢修","了機","清車","FINAL","停機","SAMPLE","TEST","絲開發"}), L634, IFERROR(IF(C634="", "", (SUM(J634, N634, R634, V634)/3 * AG634) * IF(AND(AF634="S", AS634="雙"), 0.5, 1)), ""))</f>
        <v>停機</v>
      </c>
      <c r="AB634" s="1413" t="str">
        <f t="shared" ref="AB634:AB669" si="110">IF(K634="","",IF(ISERROR(1-(SUM(K634,O634,S634,W634)/208/Z634)),"",(1-(SUM(K634,O634,S634,W634)/208/Z634))))</f>
        <v/>
      </c>
      <c r="AC634" s="984" t="str">
        <f>IF(OR(L634={"改紡","檢修","了機","清車","FINAL","停機","SAMPLE","TEST"}), "", IFERROR(IF(C634="", "", AVERAGE(L634:M634, P634:Q634, T634:U634, X634:Y634)/100), ""))</f>
        <v/>
      </c>
      <c r="AD634" s="984" t="str">
        <f t="shared" si="101"/>
        <v/>
      </c>
      <c r="AE634" s="984" t="str">
        <f>IF(OR(L634="改紡", L634="檢修", L634="了機"), "",
   IF(AND(C634&lt;&gt;"", J634&lt;&gt;""),
      IFERROR((SUM(J634, N634, R634, V634) - SUM(K634, O634, S634, W634))/24 * AG634, ""),
   "")
)</f>
        <v/>
      </c>
      <c r="AF634" s="985" t="str">
        <f t="shared" si="102"/>
        <v>M</v>
      </c>
      <c r="AG634" s="1414">
        <v>1</v>
      </c>
      <c r="AH634" s="981" t="s">
        <v>640</v>
      </c>
      <c r="AI634" s="986" t="s">
        <v>640</v>
      </c>
      <c r="AJ634" s="986" t="s">
        <v>640</v>
      </c>
      <c r="AK634" s="1417" t="s">
        <v>640</v>
      </c>
      <c r="AL634" s="1415"/>
      <c r="AM634" s="1323"/>
      <c r="AN634" s="1323"/>
      <c r="AO634" s="1323"/>
      <c r="AP634" s="1323"/>
      <c r="AQ634" s="1323"/>
      <c r="AR634" s="987"/>
      <c r="AS634" s="978" t="str">
        <f t="shared" si="103"/>
        <v>單</v>
      </c>
      <c r="AT634" s="978" t="str">
        <f t="shared" si="104"/>
        <v>全</v>
      </c>
      <c r="AU634" s="978" t="str">
        <f t="shared" si="105"/>
        <v/>
      </c>
      <c r="AV634" s="978" t="str">
        <f t="shared" si="106"/>
        <v/>
      </c>
    </row>
    <row r="635" spans="1:48">
      <c r="A635" s="975">
        <f t="shared" si="109"/>
        <v>46158</v>
      </c>
      <c r="B635" s="976" t="s">
        <v>243</v>
      </c>
      <c r="C635" s="988" t="s">
        <v>16185</v>
      </c>
      <c r="D635" s="1410"/>
      <c r="E635" s="977" t="str">
        <f>IFERROR(VLOOKUP(C635, [6]條件!$A:$L, 5, 0), "")</f>
        <v/>
      </c>
      <c r="F635" s="978" t="str">
        <f>IFERROR(VLOOKUP(C635, [6]條件!$A:$L, 6, 0), "")</f>
        <v/>
      </c>
      <c r="G635" s="1411" t="str">
        <f>IFERROR(VLOOKUP(C635, [6]條件!$A:$L, 7, 0), "")</f>
        <v/>
      </c>
      <c r="H635" s="978" t="str">
        <f>IF(ISNA(VLOOKUP(C635,[6]條件!$A$1:$K$932,11,0)),"",(VLOOKUP(C635,[6]條件!$A$1:$K$932,11,0)))</f>
        <v/>
      </c>
      <c r="I635" s="979" t="str">
        <f>IF(ISNA(VLOOKUP(C635,[6]條件!$A$1:$L$932,12,0)),"",(VLOOKUP(C635,[6]條件!$A$1:$L$932,12,0)))</f>
        <v/>
      </c>
      <c r="J635" s="982"/>
      <c r="K635" s="980"/>
      <c r="L635" s="981" t="s">
        <v>632</v>
      </c>
      <c r="M635" s="983"/>
      <c r="N635" s="982"/>
      <c r="O635" s="980"/>
      <c r="P635" s="981" t="s">
        <v>632</v>
      </c>
      <c r="Q635" s="983"/>
      <c r="R635" s="982"/>
      <c r="S635" s="980"/>
      <c r="T635" s="981" t="s">
        <v>632</v>
      </c>
      <c r="U635" s="983"/>
      <c r="V635" s="982"/>
      <c r="W635" s="980"/>
      <c r="X635" s="981" t="s">
        <v>632</v>
      </c>
      <c r="Y635" s="983"/>
      <c r="Z635" s="1412" t="str">
        <f>IFERROR(VLOOKUP(C635, [6]條件!$A:$L, 3, 0), "")</f>
        <v/>
      </c>
      <c r="AA635" s="984" t="str">
        <f>IF(OR(L635={"改紡","檢修","了機","清車","FINAL","停機","SAMPLE","TEST","絲開發"}), L635, IFERROR(IF(C635="", "", (SUM(J635, N635, R635, V635)/3 * AG635) * IF(AND(AF635="S", AS635="雙"), 0.5, 1)), ""))</f>
        <v>停機</v>
      </c>
      <c r="AB635" s="1413" t="str">
        <f t="shared" si="110"/>
        <v/>
      </c>
      <c r="AC635" s="984" t="str">
        <f>IF(OR(L635={"改紡","檢修","了機","清車","FINAL","停機","SAMPLE","TEST"}), "", IFERROR(IF(C635="", "", AVERAGE(L635:M635, P635:Q635, T635:U635, X635:Y635)/100), ""))</f>
        <v/>
      </c>
      <c r="AD635" s="984" t="str">
        <f t="shared" si="101"/>
        <v/>
      </c>
      <c r="AE635" s="984" t="str">
        <f t="shared" ref="AE635:AE669" si="111">IF(OR(L635="改紡", L635="檢修", L635="了機"), "",
IF(AND(C635&lt;&gt;"", J635&lt;&gt;""),
IFERROR((SUM(J635, N635, R635, V635) - SUM(K635, O635, S635, W635))/24 * AG635, ""),
"")
)</f>
        <v/>
      </c>
      <c r="AF635" s="985" t="str">
        <f t="shared" si="102"/>
        <v>M</v>
      </c>
      <c r="AG635" s="1414">
        <v>1</v>
      </c>
      <c r="AH635" s="981" t="s">
        <v>640</v>
      </c>
      <c r="AI635" s="986" t="s">
        <v>640</v>
      </c>
      <c r="AJ635" s="986" t="s">
        <v>640</v>
      </c>
      <c r="AK635" s="1417" t="s">
        <v>640</v>
      </c>
      <c r="AL635" s="1415"/>
      <c r="AM635" s="1323"/>
      <c r="AN635" s="1323"/>
      <c r="AO635" s="1323"/>
      <c r="AP635" s="1323"/>
      <c r="AQ635" s="1323"/>
      <c r="AR635" s="987"/>
      <c r="AS635" s="978" t="str">
        <f t="shared" si="103"/>
        <v>單</v>
      </c>
      <c r="AT635" s="978" t="str">
        <f t="shared" si="104"/>
        <v>全</v>
      </c>
      <c r="AU635" s="978" t="str">
        <f t="shared" si="105"/>
        <v/>
      </c>
      <c r="AV635" s="978" t="str">
        <f t="shared" si="106"/>
        <v/>
      </c>
    </row>
    <row r="636" spans="1:48">
      <c r="A636" s="975">
        <f t="shared" si="109"/>
        <v>46158</v>
      </c>
      <c r="B636" s="976" t="s">
        <v>244</v>
      </c>
      <c r="C636" s="988" t="s">
        <v>16185</v>
      </c>
      <c r="D636" s="1410"/>
      <c r="E636" s="977" t="str">
        <f>IFERROR(VLOOKUP(C636, [6]條件!$A:$L, 5, 0), "")</f>
        <v/>
      </c>
      <c r="F636" s="978" t="str">
        <f>IFERROR(VLOOKUP(C636, [6]條件!$A:$L, 6, 0), "")</f>
        <v/>
      </c>
      <c r="G636" s="1411" t="str">
        <f>IFERROR(VLOOKUP(C636, [6]條件!$A:$L, 7, 0), "")</f>
        <v/>
      </c>
      <c r="H636" s="978" t="str">
        <f>IF(ISNA(VLOOKUP(C636,[6]條件!$A$1:$K$932,11,0)),"",(VLOOKUP(C636,[6]條件!$A$1:$K$932,11,0)))</f>
        <v/>
      </c>
      <c r="I636" s="979" t="str">
        <f>IF(ISNA(VLOOKUP(C636,[6]條件!$A$1:$L$932,12,0)),"",(VLOOKUP(C636,[6]條件!$A$1:$L$932,12,0)))</f>
        <v/>
      </c>
      <c r="J636" s="982"/>
      <c r="K636" s="980"/>
      <c r="L636" s="981" t="s">
        <v>632</v>
      </c>
      <c r="M636" s="983"/>
      <c r="N636" s="982"/>
      <c r="O636" s="980"/>
      <c r="P636" s="981" t="s">
        <v>632</v>
      </c>
      <c r="Q636" s="983"/>
      <c r="R636" s="982"/>
      <c r="S636" s="980"/>
      <c r="T636" s="981" t="s">
        <v>632</v>
      </c>
      <c r="U636" s="983"/>
      <c r="V636" s="982"/>
      <c r="W636" s="980"/>
      <c r="X636" s="981" t="s">
        <v>632</v>
      </c>
      <c r="Y636" s="983"/>
      <c r="Z636" s="1412" t="str">
        <f>IFERROR(VLOOKUP(C636, [6]條件!$A:$L, 3, 0), "")</f>
        <v/>
      </c>
      <c r="AA636" s="984" t="str">
        <f>IF(OR(L636={"改紡","檢修","了機","清車","FINAL","停機","SAMPLE","TEST","絲開發"}), L636, IFERROR(IF(C636="", "", (SUM(J636, N636, R636, V636)/3 * AG636) * IF(AND(AF636="S", AS636="雙"), 0.5, 1)), ""))</f>
        <v>停機</v>
      </c>
      <c r="AB636" s="1413" t="str">
        <f t="shared" si="110"/>
        <v/>
      </c>
      <c r="AC636" s="984" t="str">
        <f>IF(OR(L636={"改紡","檢修","了機","清車","FINAL","停機","SAMPLE","TEST"}), "", IFERROR(IF(C636="", "", AVERAGE(L636:M636, P636:Q636, T636:U636, X636:Y636)/100), ""))</f>
        <v/>
      </c>
      <c r="AD636" s="984" t="str">
        <f t="shared" si="101"/>
        <v/>
      </c>
      <c r="AE636" s="984" t="str">
        <f t="shared" si="111"/>
        <v/>
      </c>
      <c r="AF636" s="985" t="str">
        <f t="shared" si="102"/>
        <v>M</v>
      </c>
      <c r="AG636" s="1414">
        <v>1</v>
      </c>
      <c r="AH636" s="981" t="s">
        <v>640</v>
      </c>
      <c r="AI636" s="986" t="s">
        <v>640</v>
      </c>
      <c r="AJ636" s="986" t="s">
        <v>640</v>
      </c>
      <c r="AK636" s="1417" t="s">
        <v>640</v>
      </c>
      <c r="AL636" s="1415"/>
      <c r="AM636" s="1323"/>
      <c r="AN636" s="1323"/>
      <c r="AO636" s="1323"/>
      <c r="AP636" s="1323"/>
      <c r="AQ636" s="1323"/>
      <c r="AR636" s="987"/>
      <c r="AS636" s="978" t="str">
        <f t="shared" si="103"/>
        <v>單</v>
      </c>
      <c r="AT636" s="978" t="str">
        <f t="shared" si="104"/>
        <v>全</v>
      </c>
      <c r="AU636" s="978" t="str">
        <f t="shared" si="105"/>
        <v/>
      </c>
      <c r="AV636" s="978" t="str">
        <f t="shared" si="106"/>
        <v/>
      </c>
    </row>
    <row r="637" spans="1:48">
      <c r="A637" s="975">
        <f t="shared" si="109"/>
        <v>46158</v>
      </c>
      <c r="B637" s="976" t="s">
        <v>245</v>
      </c>
      <c r="C637" s="988" t="s">
        <v>16185</v>
      </c>
      <c r="D637" s="1410"/>
      <c r="E637" s="977" t="str">
        <f>IFERROR(VLOOKUP(C637, [6]條件!$A:$L, 5, 0), "")</f>
        <v/>
      </c>
      <c r="F637" s="978" t="str">
        <f>IFERROR(VLOOKUP(C637, [6]條件!$A:$L, 6, 0), "")</f>
        <v/>
      </c>
      <c r="G637" s="1411" t="str">
        <f>IFERROR(VLOOKUP(C637, [6]條件!$A:$L, 7, 0), "")</f>
        <v/>
      </c>
      <c r="H637" s="978" t="str">
        <f>IF(ISNA(VLOOKUP(C637,[6]條件!$A$1:$K$932,11,0)),"",(VLOOKUP(C637,[6]條件!$A$1:$K$932,11,0)))</f>
        <v/>
      </c>
      <c r="I637" s="979" t="str">
        <f>IF(ISNA(VLOOKUP(C637,[6]條件!$A$1:$L$932,12,0)),"",(VLOOKUP(C637,[6]條件!$A$1:$L$932,12,0)))</f>
        <v/>
      </c>
      <c r="J637" s="982"/>
      <c r="K637" s="980"/>
      <c r="L637" s="981" t="s">
        <v>632</v>
      </c>
      <c r="M637" s="983"/>
      <c r="N637" s="982"/>
      <c r="O637" s="980"/>
      <c r="P637" s="981" t="s">
        <v>632</v>
      </c>
      <c r="Q637" s="983"/>
      <c r="R637" s="982"/>
      <c r="S637" s="980"/>
      <c r="T637" s="981" t="s">
        <v>632</v>
      </c>
      <c r="U637" s="983"/>
      <c r="V637" s="982"/>
      <c r="W637" s="980"/>
      <c r="X637" s="981" t="s">
        <v>632</v>
      </c>
      <c r="Y637" s="983"/>
      <c r="Z637" s="1412" t="str">
        <f>IFERROR(VLOOKUP(C637, [6]條件!$A:$L, 3, 0), "")</f>
        <v/>
      </c>
      <c r="AA637" s="984" t="str">
        <f>IF(OR(L637={"改紡","檢修","了機","清車","FINAL","停機","SAMPLE","TEST","絲開發"}), L637, IFERROR(IF(C637="", "", (SUM(J637, N637, R637, V637)/3 * AG637) * IF(AND(AF637="S", AS637="雙"), 0.5, 1)), ""))</f>
        <v>停機</v>
      </c>
      <c r="AB637" s="1413" t="str">
        <f t="shared" si="110"/>
        <v/>
      </c>
      <c r="AC637" s="984" t="str">
        <f>IF(OR(L637={"改紡","檢修","了機","清車","FINAL","停機","SAMPLE","TEST"}), "", IFERROR(IF(C637="", "", AVERAGE(L637:M637, P637:Q637, T637:U637, X637:Y637)/100), ""))</f>
        <v/>
      </c>
      <c r="AD637" s="984" t="str">
        <f t="shared" si="101"/>
        <v/>
      </c>
      <c r="AE637" s="984" t="str">
        <f t="shared" si="111"/>
        <v/>
      </c>
      <c r="AF637" s="985" t="str">
        <f t="shared" si="102"/>
        <v>M</v>
      </c>
      <c r="AG637" s="1414">
        <v>1</v>
      </c>
      <c r="AH637" s="981" t="s">
        <v>640</v>
      </c>
      <c r="AI637" s="986" t="s">
        <v>640</v>
      </c>
      <c r="AJ637" s="986" t="s">
        <v>640</v>
      </c>
      <c r="AK637" s="1417" t="s">
        <v>640</v>
      </c>
      <c r="AL637" s="1415"/>
      <c r="AM637" s="1323"/>
      <c r="AN637" s="1323"/>
      <c r="AO637" s="1323"/>
      <c r="AP637" s="1323"/>
      <c r="AQ637" s="1323"/>
      <c r="AR637" s="987"/>
      <c r="AS637" s="978" t="str">
        <f t="shared" si="103"/>
        <v>單</v>
      </c>
      <c r="AT637" s="978" t="str">
        <f t="shared" si="104"/>
        <v>全</v>
      </c>
      <c r="AU637" s="978" t="str">
        <f t="shared" si="105"/>
        <v/>
      </c>
      <c r="AV637" s="978" t="str">
        <f t="shared" si="106"/>
        <v/>
      </c>
    </row>
    <row r="638" spans="1:48">
      <c r="A638" s="975">
        <f t="shared" si="109"/>
        <v>46158</v>
      </c>
      <c r="B638" s="976" t="s">
        <v>246</v>
      </c>
      <c r="C638" s="988" t="s">
        <v>16185</v>
      </c>
      <c r="D638" s="1410"/>
      <c r="E638" s="977" t="str">
        <f>IFERROR(VLOOKUP(C638, [6]條件!$A:$L, 5, 0), "")</f>
        <v/>
      </c>
      <c r="F638" s="978" t="str">
        <f>IFERROR(VLOOKUP(C638, [6]條件!$A:$L, 6, 0), "")</f>
        <v/>
      </c>
      <c r="G638" s="1411" t="str">
        <f>IFERROR(VLOOKUP(C638, [6]條件!$A:$L, 7, 0), "")</f>
        <v/>
      </c>
      <c r="H638" s="978" t="str">
        <f>IF(ISNA(VLOOKUP(C638,[6]條件!$A$1:$K$932,11,0)),"",(VLOOKUP(C638,[6]條件!$A$1:$K$932,11,0)))</f>
        <v/>
      </c>
      <c r="I638" s="979" t="str">
        <f>IF(ISNA(VLOOKUP(C638,[6]條件!$A$1:$L$932,12,0)),"",(VLOOKUP(C638,[6]條件!$A$1:$L$932,12,0)))</f>
        <v/>
      </c>
      <c r="J638" s="982"/>
      <c r="K638" s="980"/>
      <c r="L638" s="981" t="s">
        <v>632</v>
      </c>
      <c r="M638" s="983"/>
      <c r="N638" s="982"/>
      <c r="O638" s="980"/>
      <c r="P638" s="981" t="s">
        <v>632</v>
      </c>
      <c r="Q638" s="983"/>
      <c r="R638" s="982"/>
      <c r="S638" s="980"/>
      <c r="T638" s="981" t="s">
        <v>632</v>
      </c>
      <c r="U638" s="983"/>
      <c r="V638" s="982"/>
      <c r="W638" s="980"/>
      <c r="X638" s="981" t="s">
        <v>632</v>
      </c>
      <c r="Y638" s="983"/>
      <c r="Z638" s="1412" t="str">
        <f>IFERROR(VLOOKUP(C638, [6]條件!$A:$L, 3, 0), "")</f>
        <v/>
      </c>
      <c r="AA638" s="984" t="str">
        <f>IF(OR(L638={"改紡","檢修","了機","清車","FINAL","停機","SAMPLE","TEST","絲開發"}), L638, IFERROR(IF(C638="", "", (SUM(J638, N638, R638, V638)/3 * AG638) * IF(AND(AF638="S", AS638="雙"), 0.5, 1)), ""))</f>
        <v>停機</v>
      </c>
      <c r="AB638" s="1413" t="str">
        <f t="shared" si="110"/>
        <v/>
      </c>
      <c r="AC638" s="984" t="str">
        <f>IF(OR(L638={"改紡","檢修","了機","清車","FINAL","停機","SAMPLE","TEST"}), "", IFERROR(IF(C638="", "", AVERAGE(L638:M638, P638:Q638, T638:U638, X638:Y638)/100), ""))</f>
        <v/>
      </c>
      <c r="AD638" s="984" t="str">
        <f t="shared" si="101"/>
        <v/>
      </c>
      <c r="AE638" s="984" t="str">
        <f t="shared" si="111"/>
        <v/>
      </c>
      <c r="AF638" s="985" t="str">
        <f t="shared" si="102"/>
        <v>M</v>
      </c>
      <c r="AG638" s="1414">
        <v>1</v>
      </c>
      <c r="AH638" s="981" t="s">
        <v>640</v>
      </c>
      <c r="AI638" s="986" t="s">
        <v>640</v>
      </c>
      <c r="AJ638" s="986" t="s">
        <v>640</v>
      </c>
      <c r="AK638" s="1417" t="s">
        <v>640</v>
      </c>
      <c r="AL638" s="1415"/>
      <c r="AM638" s="1323"/>
      <c r="AN638" s="1323"/>
      <c r="AO638" s="1323"/>
      <c r="AP638" s="1323"/>
      <c r="AQ638" s="1323"/>
      <c r="AR638" s="987"/>
      <c r="AS638" s="978" t="str">
        <f t="shared" si="103"/>
        <v>單</v>
      </c>
      <c r="AT638" s="978" t="str">
        <f t="shared" si="104"/>
        <v>全</v>
      </c>
      <c r="AU638" s="978" t="str">
        <f t="shared" si="105"/>
        <v/>
      </c>
      <c r="AV638" s="978" t="str">
        <f t="shared" si="106"/>
        <v/>
      </c>
    </row>
    <row r="639" spans="1:48">
      <c r="A639" s="975">
        <f t="shared" si="109"/>
        <v>46158</v>
      </c>
      <c r="B639" s="976" t="s">
        <v>247</v>
      </c>
      <c r="C639" s="988" t="s">
        <v>16185</v>
      </c>
      <c r="D639" s="1410"/>
      <c r="E639" s="977" t="str">
        <f>IFERROR(VLOOKUP(C639, [6]條件!$A:$L, 5, 0), "")</f>
        <v/>
      </c>
      <c r="F639" s="978" t="str">
        <f>IFERROR(VLOOKUP(C639, [6]條件!$A:$L, 6, 0), "")</f>
        <v/>
      </c>
      <c r="G639" s="1411" t="str">
        <f>IFERROR(VLOOKUP(C639, [6]條件!$A:$L, 7, 0), "")</f>
        <v/>
      </c>
      <c r="H639" s="978" t="str">
        <f>IF(ISNA(VLOOKUP(C639,[6]條件!$A$1:$K$932,11,0)),"",(VLOOKUP(C639,[6]條件!$A$1:$K$932,11,0)))</f>
        <v/>
      </c>
      <c r="I639" s="979" t="str">
        <f>IF(ISNA(VLOOKUP(C639,[6]條件!$A$1:$L$932,12,0)),"",(VLOOKUP(C639,[6]條件!$A$1:$L$932,12,0)))</f>
        <v/>
      </c>
      <c r="J639" s="982"/>
      <c r="K639" s="980"/>
      <c r="L639" s="981" t="s">
        <v>632</v>
      </c>
      <c r="M639" s="983"/>
      <c r="N639" s="982"/>
      <c r="O639" s="980"/>
      <c r="P639" s="981" t="s">
        <v>632</v>
      </c>
      <c r="Q639" s="983"/>
      <c r="R639" s="982"/>
      <c r="S639" s="980"/>
      <c r="T639" s="981" t="s">
        <v>632</v>
      </c>
      <c r="U639" s="983"/>
      <c r="V639" s="982"/>
      <c r="W639" s="980"/>
      <c r="X639" s="981" t="s">
        <v>632</v>
      </c>
      <c r="Y639" s="983"/>
      <c r="Z639" s="1412" t="str">
        <f>IFERROR(VLOOKUP(C639, [6]條件!$A:$L, 3, 0), "")</f>
        <v/>
      </c>
      <c r="AA639" s="984" t="str">
        <f>IF(OR(L639={"改紡","檢修","了機","清車","FINAL","停機","SAMPLE","TEST","絲開發"}), L639, IFERROR(IF(C639="", "", (SUM(J639, N639, R639, V639)/3 * AG639) * IF(AND(AF639="S", AS639="雙"), 0.5, 1)), ""))</f>
        <v>停機</v>
      </c>
      <c r="AB639" s="1413" t="str">
        <f t="shared" si="110"/>
        <v/>
      </c>
      <c r="AC639" s="984" t="str">
        <f>IF(OR(L639={"改紡","檢修","了機","清車","FINAL","停機","SAMPLE","TEST"}), "", IFERROR(IF(C639="", "", AVERAGE(L639:M639, P639:Q639, T639:U639, X639:Y639)/100), ""))</f>
        <v/>
      </c>
      <c r="AD639" s="984" t="str">
        <f t="shared" si="101"/>
        <v/>
      </c>
      <c r="AE639" s="984" t="str">
        <f t="shared" si="111"/>
        <v/>
      </c>
      <c r="AF639" s="985" t="str">
        <f t="shared" si="102"/>
        <v>M</v>
      </c>
      <c r="AG639" s="1414">
        <v>1</v>
      </c>
      <c r="AH639" s="981" t="s">
        <v>640</v>
      </c>
      <c r="AI639" s="986" t="s">
        <v>640</v>
      </c>
      <c r="AJ639" s="986" t="s">
        <v>640</v>
      </c>
      <c r="AK639" s="1417" t="s">
        <v>640</v>
      </c>
      <c r="AL639" s="1415"/>
      <c r="AM639" s="1323"/>
      <c r="AN639" s="1323"/>
      <c r="AO639" s="1323"/>
      <c r="AP639" s="1323"/>
      <c r="AQ639" s="1323"/>
      <c r="AR639" s="987"/>
      <c r="AS639" s="978" t="str">
        <f t="shared" si="103"/>
        <v>單</v>
      </c>
      <c r="AT639" s="978" t="str">
        <f t="shared" si="104"/>
        <v>全</v>
      </c>
      <c r="AU639" s="978" t="str">
        <f t="shared" si="105"/>
        <v/>
      </c>
      <c r="AV639" s="978" t="str">
        <f t="shared" si="106"/>
        <v/>
      </c>
    </row>
    <row r="640" spans="1:48">
      <c r="A640" s="975">
        <f t="shared" si="109"/>
        <v>46158</v>
      </c>
      <c r="B640" s="976" t="s">
        <v>248</v>
      </c>
      <c r="C640" s="988" t="s">
        <v>16185</v>
      </c>
      <c r="D640" s="1410"/>
      <c r="E640" s="977" t="str">
        <f>IFERROR(VLOOKUP(C640, [6]條件!$A:$L, 5, 0), "")</f>
        <v/>
      </c>
      <c r="F640" s="978" t="str">
        <f>IFERROR(VLOOKUP(C640, [6]條件!$A:$L, 6, 0), "")</f>
        <v/>
      </c>
      <c r="G640" s="1411" t="str">
        <f>IFERROR(VLOOKUP(C640, [6]條件!$A:$L, 7, 0), "")</f>
        <v/>
      </c>
      <c r="H640" s="978" t="str">
        <f>IF(ISNA(VLOOKUP(C640,[6]條件!$A$1:$K$932,11,0)),"",(VLOOKUP(C640,[6]條件!$A$1:$K$932,11,0)))</f>
        <v/>
      </c>
      <c r="I640" s="979" t="str">
        <f>IF(ISNA(VLOOKUP(C640,[6]條件!$A$1:$L$932,12,0)),"",(VLOOKUP(C640,[6]條件!$A$1:$L$932,12,0)))</f>
        <v/>
      </c>
      <c r="J640" s="982"/>
      <c r="K640" s="980"/>
      <c r="L640" s="981" t="s">
        <v>632</v>
      </c>
      <c r="M640" s="983"/>
      <c r="N640" s="982"/>
      <c r="O640" s="980"/>
      <c r="P640" s="981" t="s">
        <v>632</v>
      </c>
      <c r="Q640" s="983"/>
      <c r="R640" s="982"/>
      <c r="S640" s="980"/>
      <c r="T640" s="981" t="s">
        <v>632</v>
      </c>
      <c r="U640" s="983"/>
      <c r="V640" s="982"/>
      <c r="W640" s="980"/>
      <c r="X640" s="981" t="s">
        <v>632</v>
      </c>
      <c r="Y640" s="983"/>
      <c r="Z640" s="1412" t="str">
        <f>IFERROR(VLOOKUP(C640, [6]條件!$A:$L, 3, 0), "")</f>
        <v/>
      </c>
      <c r="AA640" s="984" t="str">
        <f>IF(OR(L640={"改紡","檢修","了機","清車","FINAL","停機","SAMPLE","TEST","絲開發"}), L640, IFERROR(IF(C640="", "", (SUM(J640, N640, R640, V640)/3 * AG640) * IF(AND(AF640="S", AS640="雙"), 0.5, 1)), ""))</f>
        <v>停機</v>
      </c>
      <c r="AB640" s="1413" t="str">
        <f t="shared" si="110"/>
        <v/>
      </c>
      <c r="AC640" s="984" t="str">
        <f>IF(OR(L640={"改紡","檢修","了機","清車","FINAL","停機","SAMPLE","TEST"}), "", IFERROR(IF(C640="", "", AVERAGE(L640:M640, P640:Q640, T640:U640, X640:Y640)/100), ""))</f>
        <v/>
      </c>
      <c r="AD640" s="984" t="str">
        <f t="shared" si="101"/>
        <v/>
      </c>
      <c r="AE640" s="984" t="str">
        <f t="shared" si="111"/>
        <v/>
      </c>
      <c r="AF640" s="985" t="str">
        <f t="shared" si="102"/>
        <v>M</v>
      </c>
      <c r="AG640" s="1414">
        <v>1</v>
      </c>
      <c r="AH640" s="981" t="s">
        <v>640</v>
      </c>
      <c r="AI640" s="986" t="s">
        <v>640</v>
      </c>
      <c r="AJ640" s="986" t="s">
        <v>640</v>
      </c>
      <c r="AK640" s="1417" t="s">
        <v>640</v>
      </c>
      <c r="AL640" s="1415"/>
      <c r="AM640" s="1323"/>
      <c r="AN640" s="1323"/>
      <c r="AO640" s="1323"/>
      <c r="AP640" s="1323"/>
      <c r="AQ640" s="1323"/>
      <c r="AR640" s="987"/>
      <c r="AS640" s="978" t="str">
        <f t="shared" si="103"/>
        <v>單</v>
      </c>
      <c r="AT640" s="978" t="str">
        <f t="shared" si="104"/>
        <v>全</v>
      </c>
      <c r="AU640" s="978" t="str">
        <f t="shared" si="105"/>
        <v/>
      </c>
      <c r="AV640" s="978" t="str">
        <f t="shared" si="106"/>
        <v/>
      </c>
    </row>
    <row r="641" spans="1:48" ht="17.25" thickBot="1">
      <c r="A641" s="989">
        <f t="shared" si="109"/>
        <v>46158</v>
      </c>
      <c r="B641" s="990" t="s">
        <v>249</v>
      </c>
      <c r="C641" s="991" t="s">
        <v>16185</v>
      </c>
      <c r="D641" s="1425"/>
      <c r="E641" s="1169" t="str">
        <f>IFERROR(VLOOKUP(C641, [6]條件!$A:$L, 5, 0), "")</f>
        <v/>
      </c>
      <c r="F641" s="992" t="str">
        <f>IFERROR(VLOOKUP(C641, [6]條件!$A:$L, 6, 0), "")</f>
        <v/>
      </c>
      <c r="G641" s="1426" t="str">
        <f>IFERROR(VLOOKUP(C641, [6]條件!$A:$L, 7, 0), "")</f>
        <v/>
      </c>
      <c r="H641" s="992" t="str">
        <f>IF(ISNA(VLOOKUP(C641,[6]條件!$A$1:$K$932,11,0)),"",(VLOOKUP(C641,[6]條件!$A$1:$K$932,11,0)))</f>
        <v/>
      </c>
      <c r="I641" s="1170" t="str">
        <f>IF(ISNA(VLOOKUP(C641,[6]條件!$A$1:$L$932,12,0)),"",(VLOOKUP(C641,[6]條件!$A$1:$L$932,12,0)))</f>
        <v/>
      </c>
      <c r="J641" s="995"/>
      <c r="K641" s="993"/>
      <c r="L641" s="994" t="s">
        <v>632</v>
      </c>
      <c r="M641" s="996"/>
      <c r="N641" s="995"/>
      <c r="O641" s="993"/>
      <c r="P641" s="994" t="s">
        <v>632</v>
      </c>
      <c r="Q641" s="996"/>
      <c r="R641" s="995"/>
      <c r="S641" s="993"/>
      <c r="T641" s="994" t="s">
        <v>632</v>
      </c>
      <c r="U641" s="996"/>
      <c r="V641" s="995"/>
      <c r="W641" s="993"/>
      <c r="X641" s="994" t="s">
        <v>632</v>
      </c>
      <c r="Y641" s="996"/>
      <c r="Z641" s="1427" t="str">
        <f>IFERROR(VLOOKUP(C641, [6]條件!$A:$L, 3, 0), "")</f>
        <v/>
      </c>
      <c r="AA641" s="997" t="str">
        <f>IF(OR(L641={"改紡","檢修","了機","清車","FINAL","停機","SAMPLE","TEST","絲開發"}), L641, IFERROR(IF(C641="", "", (SUM(J641, N641, R641, V641)/3 * AG641) * IF(AND(AF641="S", AS641="雙"), 0.5, 1)), ""))</f>
        <v>停機</v>
      </c>
      <c r="AB641" s="1428" t="str">
        <f t="shared" si="110"/>
        <v/>
      </c>
      <c r="AC641" s="997" t="str">
        <f>IF(OR(L641={"改紡","檢修","了機","清車","FINAL","停機","SAMPLE","TEST"}), "", IFERROR(IF(C641="", "", AVERAGE(L641:M641, P641:Q641, T641:U641, X641:Y641)/100), ""))</f>
        <v/>
      </c>
      <c r="AD641" s="997" t="str">
        <f t="shared" si="101"/>
        <v/>
      </c>
      <c r="AE641" s="997" t="str">
        <f t="shared" si="111"/>
        <v/>
      </c>
      <c r="AF641" s="998" t="str">
        <f t="shared" si="102"/>
        <v>M</v>
      </c>
      <c r="AG641" s="1429">
        <v>1</v>
      </c>
      <c r="AH641" s="994" t="s">
        <v>640</v>
      </c>
      <c r="AI641" s="999" t="s">
        <v>640</v>
      </c>
      <c r="AJ641" s="999" t="s">
        <v>640</v>
      </c>
      <c r="AK641" s="1430" t="s">
        <v>640</v>
      </c>
      <c r="AL641" s="1431"/>
      <c r="AM641" s="1325"/>
      <c r="AN641" s="1325"/>
      <c r="AO641" s="1325"/>
      <c r="AP641" s="1325"/>
      <c r="AQ641" s="1325"/>
      <c r="AR641" s="1000"/>
      <c r="AS641" s="992" t="str">
        <f t="shared" si="103"/>
        <v>單</v>
      </c>
      <c r="AT641" s="992" t="str">
        <f t="shared" si="104"/>
        <v>全</v>
      </c>
      <c r="AU641" s="992" t="str">
        <f t="shared" si="105"/>
        <v/>
      </c>
      <c r="AV641" s="992" t="str">
        <f t="shared" si="106"/>
        <v/>
      </c>
    </row>
    <row r="642" spans="1:48">
      <c r="A642" s="962">
        <v>46159</v>
      </c>
      <c r="B642" s="963" t="s">
        <v>212</v>
      </c>
      <c r="C642" s="963" t="s">
        <v>632</v>
      </c>
      <c r="D642" s="1403"/>
      <c r="E642" s="964" t="str">
        <f>IFERROR(VLOOKUP(C642, [6]條件!$A:$L, 5, 0), "")</f>
        <v/>
      </c>
      <c r="F642" s="965" t="str">
        <f>IFERROR(VLOOKUP(C642, [6]條件!$A:$L, 6, 0), "")</f>
        <v/>
      </c>
      <c r="G642" s="1404" t="str">
        <f>IFERROR(VLOOKUP(C642, [6]條件!$A:$L, 7, 0), "")</f>
        <v/>
      </c>
      <c r="H642" s="965" t="str">
        <f>IF(ISNA(VLOOKUP(C642,[6]條件!$A$1:$K$932,11,0)),"",(VLOOKUP(C642,[6]條件!$A$1:$K$932,11,0)))</f>
        <v/>
      </c>
      <c r="I642" s="966" t="str">
        <f>IF(ISNA(VLOOKUP(C642,[6]條件!$A$1:$L$932,12,0)),"",(VLOOKUP(C642,[6]條件!$A$1:$L$932,12,0)))</f>
        <v/>
      </c>
      <c r="J642" s="969"/>
      <c r="K642" s="967"/>
      <c r="L642" s="981" t="s">
        <v>632</v>
      </c>
      <c r="M642" s="970"/>
      <c r="N642" s="969"/>
      <c r="O642" s="967"/>
      <c r="P642" s="981" t="s">
        <v>632</v>
      </c>
      <c r="Q642" s="970"/>
      <c r="R642" s="969"/>
      <c r="S642" s="967"/>
      <c r="T642" s="981" t="s">
        <v>632</v>
      </c>
      <c r="U642" s="970"/>
      <c r="V642" s="969"/>
      <c r="W642" s="967"/>
      <c r="X642" s="981" t="s">
        <v>632</v>
      </c>
      <c r="Y642" s="970"/>
      <c r="Z642" s="1405" t="str">
        <f>IFERROR(VLOOKUP(C642, [6]條件!$A:$L, 3, 0), "")</f>
        <v/>
      </c>
      <c r="AA642" s="971" t="str">
        <f>IF(OR(L642={"改紡","檢修","了機","清車","FINAL","停機","SAMPLE","TEST","絲開發"}), L642, IFERROR(IF(C642="", "", (SUM(J642, N642, R642, V642)/3 * AG642) * IF(AND(AF642="S", AS642="雙"), 0.5, 1)), ""))</f>
        <v>停機</v>
      </c>
      <c r="AB642" s="1406" t="str">
        <f t="shared" si="110"/>
        <v/>
      </c>
      <c r="AC642" s="971" t="str">
        <f>IF(OR(L642={"改紡","檢修","了機","清車","FINAL","停機","SAMPLE","TEST"}), "", IFERROR(IF(C642="", "", AVERAGE(L642:M642, P642:Q642, T642:U642, X642:Y642)/100), ""))</f>
        <v/>
      </c>
      <c r="AD642" s="971" t="str">
        <f t="shared" ref="AD642:AD705" si="112">IF(ISERROR(AA642/8),"",(AA642/8))</f>
        <v/>
      </c>
      <c r="AE642" s="971" t="str">
        <f t="shared" si="111"/>
        <v/>
      </c>
      <c r="AF642" s="972" t="str">
        <f t="shared" ref="AF642:AF705" si="113">LEFT(B642, 1)</f>
        <v>A</v>
      </c>
      <c r="AG642" s="1407">
        <v>1</v>
      </c>
      <c r="AH642" s="968" t="s">
        <v>640</v>
      </c>
      <c r="AI642" s="1439" t="s">
        <v>640</v>
      </c>
      <c r="AJ642" s="1166" t="s">
        <v>640</v>
      </c>
      <c r="AK642" s="1408" t="s">
        <v>640</v>
      </c>
      <c r="AL642" s="1409"/>
      <c r="AM642" s="1322"/>
      <c r="AN642" s="1322"/>
      <c r="AO642" s="1322"/>
      <c r="AP642" s="1322"/>
      <c r="AQ642" s="1322"/>
      <c r="AR642" s="973"/>
      <c r="AS642" s="965" t="str">
        <f t="shared" ref="AS642:AS705" si="114">IF(RIGHT(F642, 2) = "×2", "雙", "單")</f>
        <v>單</v>
      </c>
      <c r="AT642" s="965" t="str">
        <f t="shared" ref="AT642:AT705" si="115">IF(OR(AF642="J", AF642="T", AF642="M"), IF(AG642=1, "全", "半"), IF(AF642="A", IF(AG642=0.5, IF(AS642="雙", "全", ""), IF(AG642=1, IF(AS642="雙", "半", "全"), IF(AG642=2, "半", ""))), IF(AF642="S", AG642 &amp; "sec", "")))</f>
        <v>全</v>
      </c>
      <c r="AU642" s="965" t="str">
        <f t="shared" ref="AU642:AU705" si="116">IFERROR(VALUE(LEFT(E642, FIND("/", E642)-1)), "")</f>
        <v/>
      </c>
      <c r="AV642" s="965" t="str">
        <f t="shared" ref="AV642:AV705" si="117">IFERROR(IF(AF642="S", (AU642*G642*AC642*0.03456/100/1000) * (AG642*12/144) * IF(AS642="單", 1, 0.5), IF(AF642="A", (AU642*G642*AC642*0.03456/100/1000) * IF(AT642="全", 1, 0.5), IF(OR(AF642="T", AF642="J", AF642="M"), (AU642*G642*AC642*0.03456/100/1000) * IF(AS642="單", 1, 2) * IF(AT642="全", 1, 0.5), 0))), "")</f>
        <v/>
      </c>
    </row>
    <row r="643" spans="1:48">
      <c r="A643" s="975">
        <f t="shared" ref="A643:A680" si="118">A642</f>
        <v>46159</v>
      </c>
      <c r="B643" s="976" t="s">
        <v>214</v>
      </c>
      <c r="C643" s="976" t="s">
        <v>16708</v>
      </c>
      <c r="D643" s="1410"/>
      <c r="E643" s="977" t="str">
        <f>IFERROR(VLOOKUP(C643, [6]條件!$A:$L, 5, 0), "")</f>
        <v>75/36SDR</v>
      </c>
      <c r="F643" s="978" t="str">
        <f>IFERROR(VLOOKUP(C643, [6]條件!$A:$L, 6, 0), "")</f>
        <v>FP81386R</v>
      </c>
      <c r="G643" s="1411">
        <f>IFERROR(VLOOKUP(C643, [6]條件!$A:$L, 7, 0), "")</f>
        <v>780</v>
      </c>
      <c r="H643" s="978" t="str">
        <f>IF(ISNA(VLOOKUP(C643,[6]條件!$A$1:$K$932,11,0)),"",(VLOOKUP(C643,[6]條件!$A$1:$K$932,11,0)))</f>
        <v>綠底白點</v>
      </c>
      <c r="I643" s="979">
        <f>IF(ISNA(VLOOKUP(C643,[6]條件!$A$1:$L$932,12,0)),"",(VLOOKUP(C643,[6]條件!$A$1:$L$932,12,0)))</f>
        <v>5</v>
      </c>
      <c r="J643" s="982">
        <v>12</v>
      </c>
      <c r="K643" s="980">
        <v>0</v>
      </c>
      <c r="L643" s="981" t="s">
        <v>627</v>
      </c>
      <c r="M643" s="983">
        <v>8074</v>
      </c>
      <c r="N643" s="982"/>
      <c r="O643" s="980"/>
      <c r="P643" s="981" t="s">
        <v>627</v>
      </c>
      <c r="Q643" s="983"/>
      <c r="R643" s="982"/>
      <c r="S643" s="980"/>
      <c r="T643" s="981" t="s">
        <v>627</v>
      </c>
      <c r="U643" s="983"/>
      <c r="V643" s="982"/>
      <c r="W643" s="980"/>
      <c r="X643" s="981" t="s">
        <v>627</v>
      </c>
      <c r="Y643" s="983"/>
      <c r="Z643" s="1412">
        <f>IFERROR(VLOOKUP(C643, [6]條件!$A:$L, 3, 0), "")</f>
        <v>1.7777777777777777</v>
      </c>
      <c r="AA643" s="984" t="str">
        <f>IF(OR(L643={"改紡","檢修","了機","清車","FINAL","停機","SAMPLE","TEST","絲開發"}), L643, IFERROR(IF(C643="", "", (SUM(J643, N643, R643, V643)/3 * AG643) * IF(AND(AF643="S", AS643="雙"), 0.5, 1)), ""))</f>
        <v>FINAL</v>
      </c>
      <c r="AB643" s="1413">
        <f t="shared" si="110"/>
        <v>1</v>
      </c>
      <c r="AC643" s="984" t="str">
        <f>IF(OR(L643={"改紡","檢修","了機","清車","FINAL","停機","SAMPLE","TEST"}), "", IFERROR(IF(C643="", "", AVERAGE(L643:M643, P643:Q643, T643:U643, X643:Y643)/100), ""))</f>
        <v/>
      </c>
      <c r="AD643" s="984" t="str">
        <f t="shared" si="112"/>
        <v/>
      </c>
      <c r="AE643" s="984">
        <f t="shared" si="111"/>
        <v>0.5</v>
      </c>
      <c r="AF643" s="985" t="str">
        <f t="shared" si="113"/>
        <v>A</v>
      </c>
      <c r="AG643" s="1414">
        <v>1</v>
      </c>
      <c r="AH643" s="981" t="s">
        <v>16154</v>
      </c>
      <c r="AI643" s="1440" t="s">
        <v>16154</v>
      </c>
      <c r="AJ643" s="986" t="s">
        <v>15370</v>
      </c>
      <c r="AK643" s="1417" t="s">
        <v>15370</v>
      </c>
      <c r="AL643" s="1415">
        <v>50</v>
      </c>
      <c r="AM643" s="1323">
        <v>46154</v>
      </c>
      <c r="AN643" s="1323">
        <v>46155</v>
      </c>
      <c r="AO643" s="1323">
        <v>46156</v>
      </c>
      <c r="AP643" s="1323"/>
      <c r="AQ643" s="1323"/>
      <c r="AR643" s="987"/>
      <c r="AS643" s="978" t="str">
        <f t="shared" si="114"/>
        <v>單</v>
      </c>
      <c r="AT643" s="978" t="str">
        <f t="shared" si="115"/>
        <v>全</v>
      </c>
      <c r="AU643" s="978">
        <f t="shared" si="116"/>
        <v>75</v>
      </c>
      <c r="AV643" s="978" t="str">
        <f t="shared" si="117"/>
        <v/>
      </c>
    </row>
    <row r="644" spans="1:48">
      <c r="A644" s="975">
        <f t="shared" si="118"/>
        <v>46159</v>
      </c>
      <c r="B644" s="976" t="s">
        <v>215</v>
      </c>
      <c r="C644" s="976" t="s">
        <v>16746</v>
      </c>
      <c r="D644" s="1410" t="s">
        <v>633</v>
      </c>
      <c r="E644" s="977" t="str">
        <f>IFERROR(VLOOKUP(C644, [6]條件!$A:$L, 5, 0), "")</f>
        <v>75/24/2SDr</v>
      </c>
      <c r="F644" s="978" t="str">
        <f>IFERROR(VLOOKUP(C644, [6]條件!$A:$L, 6, 0), "")</f>
        <v>FP81391R×2</v>
      </c>
      <c r="G644" s="1411">
        <f>IFERROR(VLOOKUP(C644, [6]條件!$A:$L, 7, 0), "")</f>
        <v>700</v>
      </c>
      <c r="H644" s="978" t="str">
        <f>IF(ISNA(VLOOKUP(C644,[6]條件!$A$1:$K$932,11,0)),"",(VLOOKUP(C644,[6]條件!$A$1:$K$932,11,0)))</f>
        <v>紅底白點</v>
      </c>
      <c r="I644" s="979">
        <f>IF(ISNA(VLOOKUP(C644,[6]條件!$A$1:$L$932,12,0)),"",(VLOOKUP(C644,[6]條件!$A$1:$L$932,12,0)))</f>
        <v>5</v>
      </c>
      <c r="J644" s="982">
        <v>24</v>
      </c>
      <c r="K644" s="980">
        <v>0</v>
      </c>
      <c r="L644" s="981"/>
      <c r="M644" s="983">
        <v>7447</v>
      </c>
      <c r="N644" s="982">
        <v>10</v>
      </c>
      <c r="O644" s="980">
        <v>0</v>
      </c>
      <c r="P644" s="981" t="s">
        <v>632</v>
      </c>
      <c r="Q644" s="983">
        <v>7509</v>
      </c>
      <c r="R644" s="982">
        <v>10</v>
      </c>
      <c r="S644" s="980">
        <v>0</v>
      </c>
      <c r="T644" s="981" t="s">
        <v>632</v>
      </c>
      <c r="U644" s="983">
        <v>7425</v>
      </c>
      <c r="V644" s="982">
        <v>18</v>
      </c>
      <c r="W644" s="980">
        <v>0</v>
      </c>
      <c r="X644" s="981" t="s">
        <v>632</v>
      </c>
      <c r="Y644" s="983">
        <v>7214</v>
      </c>
      <c r="Z644" s="1412">
        <f>IFERROR(VLOOKUP(C644, [6]條件!$A:$L, 3, 0), "")</f>
        <v>3.2653061224489797</v>
      </c>
      <c r="AA644" s="984">
        <f>IF(OR(L644={"改紡","檢修","了機","清車","FINAL","停機","SAMPLE","TEST","絲開發"}), L644, IFERROR(IF(C644="", "", (SUM(J644, N644, R644, V644)/3 * AG644) * IF(AND(AF644="S", AS644="雙"), 0.5, 1)), ""))</f>
        <v>20.666666666666668</v>
      </c>
      <c r="AB644" s="1413">
        <f t="shared" si="110"/>
        <v>1</v>
      </c>
      <c r="AC644" s="984">
        <f>IF(OR(L644={"改紡","檢修","了機","清車","FINAL","停機","SAMPLE","TEST"}), "", IFERROR(IF(C644="", "", AVERAGE(L644:M644, P644:Q644, T644:U644, X644:Y644)/100), ""))</f>
        <v>73.987499999999997</v>
      </c>
      <c r="AD644" s="984">
        <f t="shared" si="112"/>
        <v>2.5833333333333335</v>
      </c>
      <c r="AE644" s="984">
        <f t="shared" si="111"/>
        <v>2.5833333333333335</v>
      </c>
      <c r="AF644" s="985" t="str">
        <f t="shared" si="113"/>
        <v>A</v>
      </c>
      <c r="AG644" s="1414">
        <v>1</v>
      </c>
      <c r="AH644" s="981" t="s">
        <v>16154</v>
      </c>
      <c r="AI644" s="1440" t="s">
        <v>16154</v>
      </c>
      <c r="AJ644" s="986" t="s">
        <v>636</v>
      </c>
      <c r="AK644" s="1417" t="s">
        <v>636</v>
      </c>
      <c r="AL644" s="1415">
        <v>53</v>
      </c>
      <c r="AM644" s="1323">
        <v>46118</v>
      </c>
      <c r="AN644" s="1323">
        <v>46119</v>
      </c>
      <c r="AO644" s="1323">
        <v>46120</v>
      </c>
      <c r="AP644" s="1323"/>
      <c r="AQ644" s="1323"/>
      <c r="AR644" s="987"/>
      <c r="AS644" s="978" t="str">
        <f t="shared" si="114"/>
        <v>雙</v>
      </c>
      <c r="AT644" s="978" t="str">
        <f t="shared" si="115"/>
        <v>半</v>
      </c>
      <c r="AU644" s="978">
        <f t="shared" si="116"/>
        <v>75</v>
      </c>
      <c r="AV644" s="978">
        <f t="shared" si="117"/>
        <v>0.67121459999999999</v>
      </c>
    </row>
    <row r="645" spans="1:48">
      <c r="A645" s="975">
        <f t="shared" si="118"/>
        <v>46159</v>
      </c>
      <c r="B645" s="976" t="s">
        <v>216</v>
      </c>
      <c r="C645" s="976" t="s">
        <v>16764</v>
      </c>
      <c r="D645" s="1410"/>
      <c r="E645" s="977" t="str">
        <f>IFERROR(VLOOKUP(C645, [6]條件!$A:$L, 5, 0), "")</f>
        <v>150/48BK42</v>
      </c>
      <c r="F645" s="978" t="str">
        <f>IFERROR(VLOOKUP(C645, [6]條件!$A:$L, 6, 0), "")</f>
        <v>FP02421</v>
      </c>
      <c r="G645" s="1411">
        <f>IFERROR(VLOOKUP(C645, [6]條件!$A:$L, 7, 0), "")</f>
        <v>600</v>
      </c>
      <c r="H645" s="978" t="str">
        <f>IF(ISNA(VLOOKUP(C645,[6]條件!$A$1:$K$932,11,0)),"",(VLOOKUP(C645,[6]條件!$A$1:$K$932,11,0)))</f>
        <v>白桔方塊</v>
      </c>
      <c r="I645" s="979">
        <f>IF(ISNA(VLOOKUP(C645,[6]條件!$A$1:$L$932,12,0)),"",(VLOOKUP(C645,[6]條件!$A$1:$L$932,12,0)))</f>
        <v>5</v>
      </c>
      <c r="J645" s="982">
        <v>4</v>
      </c>
      <c r="K645" s="980">
        <v>0</v>
      </c>
      <c r="L645" s="981">
        <v>8958</v>
      </c>
      <c r="M645" s="983" t="s">
        <v>632</v>
      </c>
      <c r="N645" s="982">
        <v>2</v>
      </c>
      <c r="O645" s="980">
        <v>0</v>
      </c>
      <c r="P645" s="981">
        <v>9076</v>
      </c>
      <c r="Q645" s="983" t="s">
        <v>632</v>
      </c>
      <c r="R645" s="982">
        <v>3</v>
      </c>
      <c r="S645" s="980">
        <v>0</v>
      </c>
      <c r="T645" s="981">
        <v>8398</v>
      </c>
      <c r="U645" s="983" t="s">
        <v>632</v>
      </c>
      <c r="V645" s="982">
        <v>12</v>
      </c>
      <c r="W645" s="980">
        <v>0</v>
      </c>
      <c r="X645" s="981">
        <v>5846</v>
      </c>
      <c r="Y645" s="983" t="s">
        <v>632</v>
      </c>
      <c r="Z645" s="1412">
        <f>IFERROR(VLOOKUP(C645, [6]條件!$A:$L, 3, 0), "")</f>
        <v>2.8346456692913384</v>
      </c>
      <c r="AA645" s="984">
        <f>IF(OR(L645={"改紡","檢修","了機","清車","FINAL","停機","SAMPLE","TEST","絲開發"}), L645, IFERROR(IF(C645="", "", (SUM(J645, N645, R645, V645)/3 * AG645) * IF(AND(AF645="S", AS645="雙"), 0.5, 1)), ""))</f>
        <v>14</v>
      </c>
      <c r="AB645" s="1413">
        <f t="shared" si="110"/>
        <v>1</v>
      </c>
      <c r="AC645" s="984">
        <f>IF(OR(L645={"改紡","檢修","了機","清車","FINAL","停機","SAMPLE","TEST"}), "", IFERROR(IF(C645="", "", AVERAGE(L645:M645, P645:Q645, T645:U645, X645:Y645)/100), ""))</f>
        <v>80.694999999999993</v>
      </c>
      <c r="AD645" s="984">
        <f t="shared" si="112"/>
        <v>1.75</v>
      </c>
      <c r="AE645" s="984">
        <f t="shared" si="111"/>
        <v>1.75</v>
      </c>
      <c r="AF645" s="985" t="str">
        <f t="shared" si="113"/>
        <v>A</v>
      </c>
      <c r="AG645" s="1414">
        <v>2</v>
      </c>
      <c r="AH645" s="981" t="s">
        <v>629</v>
      </c>
      <c r="AI645" s="1440" t="s">
        <v>629</v>
      </c>
      <c r="AJ645" s="986" t="s">
        <v>641</v>
      </c>
      <c r="AK645" s="1417" t="s">
        <v>641</v>
      </c>
      <c r="AL645" s="1415">
        <v>52</v>
      </c>
      <c r="AM645" s="1323">
        <v>46152</v>
      </c>
      <c r="AN645" s="1323">
        <v>46153</v>
      </c>
      <c r="AO645" s="1323"/>
      <c r="AP645" s="1323"/>
      <c r="AQ645" s="1323"/>
      <c r="AR645" s="987"/>
      <c r="AS645" s="978" t="str">
        <f t="shared" si="114"/>
        <v>單</v>
      </c>
      <c r="AT645" s="978" t="str">
        <f t="shared" si="115"/>
        <v>半</v>
      </c>
      <c r="AU645" s="978">
        <f t="shared" si="116"/>
        <v>150</v>
      </c>
      <c r="AV645" s="978">
        <f t="shared" si="117"/>
        <v>1.2549686399999997</v>
      </c>
    </row>
    <row r="646" spans="1:48">
      <c r="A646" s="975">
        <f t="shared" si="118"/>
        <v>46159</v>
      </c>
      <c r="B646" s="976" t="s">
        <v>217</v>
      </c>
      <c r="C646" s="976" t="s">
        <v>16197</v>
      </c>
      <c r="D646" s="1410"/>
      <c r="E646" s="977" t="str">
        <f>IFERROR(VLOOKUP(C646, [6]條件!$A:$L, 5, 0), "")</f>
        <v>75/36HC</v>
      </c>
      <c r="F646" s="978" t="str">
        <f>IFERROR(VLOOKUP(C646, [6]條件!$A:$L, 6, 0), "")</f>
        <v>FP81857R</v>
      </c>
      <c r="G646" s="1411">
        <f>IFERROR(VLOOKUP(C646, [6]條件!$A:$L, 7, 0), "")</f>
        <v>600</v>
      </c>
      <c r="H646" s="978" t="str">
        <f>IF(ISNA(VLOOKUP(C646,[6]條件!$A$1:$K$932,11,0)),"",(VLOOKUP(C646,[6]條件!$A$1:$K$932,11,0)))</f>
        <v>白底綠方塊</v>
      </c>
      <c r="I646" s="979">
        <f>IF(ISNA(VLOOKUP(C646,[6]條件!$A$1:$L$932,12,0)),"",(VLOOKUP(C646,[6]條件!$A$1:$L$932,12,0)))</f>
        <v>4</v>
      </c>
      <c r="J646" s="982">
        <v>12</v>
      </c>
      <c r="K646" s="980">
        <v>0</v>
      </c>
      <c r="L646" s="981">
        <v>8267</v>
      </c>
      <c r="M646" s="983">
        <v>8541</v>
      </c>
      <c r="N646" s="982">
        <v>13</v>
      </c>
      <c r="O646" s="980">
        <v>0</v>
      </c>
      <c r="P646" s="981">
        <v>8475</v>
      </c>
      <c r="Q646" s="983">
        <v>8743</v>
      </c>
      <c r="R646" s="982">
        <v>11</v>
      </c>
      <c r="S646" s="980">
        <v>0</v>
      </c>
      <c r="T646" s="981">
        <v>8405</v>
      </c>
      <c r="U646" s="983">
        <v>8649</v>
      </c>
      <c r="V646" s="982">
        <v>23</v>
      </c>
      <c r="W646" s="980">
        <v>0</v>
      </c>
      <c r="X646" s="981">
        <v>8328</v>
      </c>
      <c r="Y646" s="983">
        <v>8498</v>
      </c>
      <c r="Z646" s="1412">
        <f>IFERROR(VLOOKUP(C646, [6]條件!$A:$L, 3, 0), "")</f>
        <v>1.7496962332928312</v>
      </c>
      <c r="AA646" s="984">
        <f>IF(OR(L646={"改紡","檢修","了機","清車","FINAL","停機","SAMPLE","TEST","絲開發"}), L646, IFERROR(IF(C646="", "", (SUM(J646, N646, R646, V646)/3 * AG646) * IF(AND(AF646="S", AS646="雙"), 0.5, 1)), ""))</f>
        <v>19.666666666666668</v>
      </c>
      <c r="AB646" s="1413">
        <f t="shared" si="110"/>
        <v>1</v>
      </c>
      <c r="AC646" s="984">
        <f>IF(OR(L646={"改紡","檢修","了機","清車","FINAL","停機","SAMPLE","TEST"}), "", IFERROR(IF(C646="", "", AVERAGE(L646:M646, P646:Q646, T646:U646, X646:Y646)/100), ""))</f>
        <v>84.882499999999993</v>
      </c>
      <c r="AD646" s="984">
        <f t="shared" si="112"/>
        <v>2.4583333333333335</v>
      </c>
      <c r="AE646" s="984">
        <f t="shared" si="111"/>
        <v>2.4583333333333335</v>
      </c>
      <c r="AF646" s="985" t="str">
        <f t="shared" si="113"/>
        <v>A</v>
      </c>
      <c r="AG646" s="1414">
        <v>1</v>
      </c>
      <c r="AH646" s="981" t="s">
        <v>629</v>
      </c>
      <c r="AI646" s="1440" t="s">
        <v>629</v>
      </c>
      <c r="AJ646" s="986" t="s">
        <v>641</v>
      </c>
      <c r="AK646" s="1417" t="s">
        <v>641</v>
      </c>
      <c r="AL646" s="1415">
        <v>54</v>
      </c>
      <c r="AM646" s="1323">
        <v>45942</v>
      </c>
      <c r="AN646" s="1323">
        <v>45943</v>
      </c>
      <c r="AO646" s="1323"/>
      <c r="AP646" s="1323"/>
      <c r="AQ646" s="1323"/>
      <c r="AR646" s="987"/>
      <c r="AS646" s="978" t="str">
        <f t="shared" si="114"/>
        <v>單</v>
      </c>
      <c r="AT646" s="978" t="str">
        <f t="shared" si="115"/>
        <v>全</v>
      </c>
      <c r="AU646" s="978">
        <f t="shared" si="116"/>
        <v>75</v>
      </c>
      <c r="AV646" s="978">
        <f t="shared" si="117"/>
        <v>1.3200926399999999</v>
      </c>
    </row>
    <row r="647" spans="1:48">
      <c r="A647" s="975">
        <f t="shared" si="118"/>
        <v>46159</v>
      </c>
      <c r="B647" s="976" t="s">
        <v>218</v>
      </c>
      <c r="C647" s="976" t="s">
        <v>632</v>
      </c>
      <c r="D647" s="1410"/>
      <c r="E647" s="977" t="str">
        <f>IFERROR(VLOOKUP(C647, [6]條件!$A:$L, 5, 0), "")</f>
        <v/>
      </c>
      <c r="F647" s="978" t="str">
        <f>IFERROR(VLOOKUP(C647, [6]條件!$A:$L, 6, 0), "")</f>
        <v/>
      </c>
      <c r="G647" s="1411" t="str">
        <f>IFERROR(VLOOKUP(C647, [6]條件!$A:$L, 7, 0), "")</f>
        <v/>
      </c>
      <c r="H647" s="978" t="str">
        <f>IF(ISNA(VLOOKUP(C647,[6]條件!$A$1:$K$932,11,0)),"",(VLOOKUP(C647,[6]條件!$A$1:$K$932,11,0)))</f>
        <v/>
      </c>
      <c r="I647" s="979" t="str">
        <f>IF(ISNA(VLOOKUP(C647,[6]條件!$A$1:$L$932,12,0)),"",(VLOOKUP(C647,[6]條件!$A$1:$L$932,12,0)))</f>
        <v/>
      </c>
      <c r="J647" s="982"/>
      <c r="K647" s="980"/>
      <c r="L647" s="981" t="s">
        <v>632</v>
      </c>
      <c r="M647" s="983"/>
      <c r="N647" s="982"/>
      <c r="O647" s="980"/>
      <c r="P647" s="981" t="s">
        <v>632</v>
      </c>
      <c r="Q647" s="983"/>
      <c r="R647" s="982"/>
      <c r="S647" s="980"/>
      <c r="T647" s="981" t="s">
        <v>632</v>
      </c>
      <c r="U647" s="983"/>
      <c r="V647" s="982"/>
      <c r="W647" s="980"/>
      <c r="X647" s="981" t="s">
        <v>632</v>
      </c>
      <c r="Y647" s="983"/>
      <c r="Z647" s="1412" t="str">
        <f>IFERROR(VLOOKUP(C647, [6]條件!$A:$L, 3, 0), "")</f>
        <v/>
      </c>
      <c r="AA647" s="984" t="str">
        <f>IF(OR(L647={"改紡","檢修","了機","清車","FINAL","停機","SAMPLE","TEST","絲開發"}), L647, IFERROR(IF(C647="", "", (SUM(J647, N647, R647, V647)/3 * AG647) * IF(AND(AF647="S", AS647="雙"), 0.5, 1)), ""))</f>
        <v>停機</v>
      </c>
      <c r="AB647" s="1413" t="str">
        <f t="shared" si="110"/>
        <v/>
      </c>
      <c r="AC647" s="984" t="str">
        <f>IF(OR(L647={"改紡","檢修","了機","清車","FINAL","停機","SAMPLE","TEST"}), "", IFERROR(IF(C647="", "", AVERAGE(L647:M647, P647:Q647, T647:U647, X647:Y647)/100), ""))</f>
        <v/>
      </c>
      <c r="AD647" s="984" t="str">
        <f t="shared" si="112"/>
        <v/>
      </c>
      <c r="AE647" s="984" t="str">
        <f t="shared" si="111"/>
        <v/>
      </c>
      <c r="AF647" s="985" t="str">
        <f t="shared" si="113"/>
        <v>A</v>
      </c>
      <c r="AG647" s="1414">
        <v>1</v>
      </c>
      <c r="AH647" s="981" t="s">
        <v>640</v>
      </c>
      <c r="AI647" s="1440" t="s">
        <v>640</v>
      </c>
      <c r="AJ647" s="986" t="s">
        <v>640</v>
      </c>
      <c r="AK647" s="1417" t="s">
        <v>640</v>
      </c>
      <c r="AL647" s="1415"/>
      <c r="AM647" s="1323"/>
      <c r="AN647" s="1323"/>
      <c r="AO647" s="1323"/>
      <c r="AP647" s="1323"/>
      <c r="AQ647" s="1323"/>
      <c r="AR647" s="987"/>
      <c r="AS647" s="978" t="str">
        <f t="shared" si="114"/>
        <v>單</v>
      </c>
      <c r="AT647" s="978" t="str">
        <f t="shared" si="115"/>
        <v>全</v>
      </c>
      <c r="AU647" s="978" t="str">
        <f t="shared" si="116"/>
        <v/>
      </c>
      <c r="AV647" s="978" t="str">
        <f t="shared" si="117"/>
        <v/>
      </c>
    </row>
    <row r="648" spans="1:48">
      <c r="A648" s="975">
        <f t="shared" si="118"/>
        <v>46159</v>
      </c>
      <c r="B648" s="976" t="s">
        <v>219</v>
      </c>
      <c r="C648" s="976" t="s">
        <v>16745</v>
      </c>
      <c r="D648" s="1410" t="s">
        <v>16748</v>
      </c>
      <c r="E648" s="977" t="str">
        <f>IFERROR(VLOOKUP(C648, [6]條件!$A:$L, 5, 0), "")</f>
        <v>50/72BSD3</v>
      </c>
      <c r="F648" s="978" t="str">
        <f>IFERROR(VLOOKUP(C648, [6]條件!$A:$L, 6, 0), "")</f>
        <v>FP80141</v>
      </c>
      <c r="G648" s="1411">
        <f>IFERROR(VLOOKUP(C648, [6]條件!$A:$L, 7, 0), "")</f>
        <v>630</v>
      </c>
      <c r="H648" s="978" t="str">
        <f>IF(ISNA(VLOOKUP(C648,[6]條件!$A$1:$K$932,11,0)),"",(VLOOKUP(C648,[6]條件!$A$1:$K$932,11,0)))</f>
        <v>洋綠色</v>
      </c>
      <c r="I648" s="979">
        <f>IF(ISNA(VLOOKUP(C648,[6]條件!$A$1:$L$932,12,0)),"",(VLOOKUP(C648,[6]條件!$A$1:$L$932,12,0)))</f>
        <v>2</v>
      </c>
      <c r="J648" s="982">
        <v>10</v>
      </c>
      <c r="K648" s="980">
        <v>0</v>
      </c>
      <c r="L648" s="981">
        <v>9733</v>
      </c>
      <c r="M648" s="983">
        <v>9705</v>
      </c>
      <c r="N648" s="982">
        <v>12</v>
      </c>
      <c r="O648" s="980">
        <v>0</v>
      </c>
      <c r="P648" s="981">
        <v>9608</v>
      </c>
      <c r="Q648" s="983">
        <v>9802</v>
      </c>
      <c r="R648" s="982">
        <v>7</v>
      </c>
      <c r="S648" s="980">
        <v>0</v>
      </c>
      <c r="T648" s="981">
        <v>9530</v>
      </c>
      <c r="U648" s="983">
        <v>9808</v>
      </c>
      <c r="V648" s="982">
        <v>13</v>
      </c>
      <c r="W648" s="980">
        <v>3</v>
      </c>
      <c r="X648" s="981">
        <v>9543</v>
      </c>
      <c r="Y648" s="983">
        <v>9727</v>
      </c>
      <c r="Z648" s="1412">
        <f>IFERROR(VLOOKUP(C648, [6]條件!$A:$L, 3, 0), "")</f>
        <v>2.4615384615384617</v>
      </c>
      <c r="AA648" s="984">
        <f>IF(OR(L648={"改紡","檢修","了機","清車","FINAL","停機","SAMPLE","TEST","絲開發"}), L648, IFERROR(IF(C648="", "", (SUM(J648, N648, R648, V648)/3 * AG648) * IF(AND(AF648="S", AS648="雙"), 0.5, 1)), ""))</f>
        <v>14</v>
      </c>
      <c r="AB648" s="1413">
        <f t="shared" si="110"/>
        <v>0.994140625</v>
      </c>
      <c r="AC648" s="984">
        <f>IF(OR(L648={"改紡","檢修","了機","清車","FINAL","停機","SAMPLE","TEST"}), "", IFERROR(IF(C648="", "", AVERAGE(L648:M648, P648:Q648, T648:U648, X648:Y648)/100), ""))</f>
        <v>96.82</v>
      </c>
      <c r="AD648" s="984">
        <f t="shared" si="112"/>
        <v>1.75</v>
      </c>
      <c r="AE648" s="984">
        <f t="shared" si="111"/>
        <v>1.625</v>
      </c>
      <c r="AF648" s="985" t="str">
        <f t="shared" si="113"/>
        <v>A</v>
      </c>
      <c r="AG648" s="1414">
        <v>1</v>
      </c>
      <c r="AH648" s="981" t="s">
        <v>16154</v>
      </c>
      <c r="AI648" s="1440" t="s">
        <v>16154</v>
      </c>
      <c r="AJ648" s="986" t="s">
        <v>636</v>
      </c>
      <c r="AK648" s="1417" t="s">
        <v>636</v>
      </c>
      <c r="AL648" s="1415">
        <v>57</v>
      </c>
      <c r="AM648" s="1324">
        <v>46090</v>
      </c>
      <c r="AN648" s="1323">
        <v>46091</v>
      </c>
      <c r="AO648" s="1323"/>
      <c r="AP648" s="1323"/>
      <c r="AQ648" s="1323"/>
      <c r="AR648" s="987"/>
      <c r="AS648" s="978" t="str">
        <f t="shared" si="114"/>
        <v>單</v>
      </c>
      <c r="AT648" s="978" t="str">
        <f t="shared" si="115"/>
        <v>全</v>
      </c>
      <c r="AU648" s="978">
        <f t="shared" si="116"/>
        <v>50</v>
      </c>
      <c r="AV648" s="978">
        <f t="shared" si="117"/>
        <v>1.054021248</v>
      </c>
    </row>
    <row r="649" spans="1:48">
      <c r="A649" s="975">
        <f t="shared" si="118"/>
        <v>46159</v>
      </c>
      <c r="B649" s="976" t="s">
        <v>220</v>
      </c>
      <c r="C649" s="976" t="s">
        <v>632</v>
      </c>
      <c r="D649" s="1410"/>
      <c r="E649" s="977" t="str">
        <f>IFERROR(VLOOKUP(C649, [6]條件!$A:$L, 5, 0), "")</f>
        <v/>
      </c>
      <c r="F649" s="978" t="str">
        <f>IFERROR(VLOOKUP(C649, [6]條件!$A:$L, 6, 0), "")</f>
        <v/>
      </c>
      <c r="G649" s="1411" t="str">
        <f>IFERROR(VLOOKUP(C649, [6]條件!$A:$L, 7, 0), "")</f>
        <v/>
      </c>
      <c r="H649" s="978" t="str">
        <f>IF(ISNA(VLOOKUP(C649,[6]條件!$A$1:$K$932,11,0)),"",(VLOOKUP(C649,[6]條件!$A$1:$K$932,11,0)))</f>
        <v/>
      </c>
      <c r="I649" s="979" t="str">
        <f>IF(ISNA(VLOOKUP(C649,[6]條件!$A$1:$L$932,12,0)),"",(VLOOKUP(C649,[6]條件!$A$1:$L$932,12,0)))</f>
        <v/>
      </c>
      <c r="J649" s="982"/>
      <c r="K649" s="980"/>
      <c r="L649" s="981" t="s">
        <v>632</v>
      </c>
      <c r="M649" s="983"/>
      <c r="N649" s="982"/>
      <c r="O649" s="980"/>
      <c r="P649" s="981" t="s">
        <v>632</v>
      </c>
      <c r="Q649" s="983"/>
      <c r="R649" s="982"/>
      <c r="S649" s="980"/>
      <c r="T649" s="981" t="s">
        <v>632</v>
      </c>
      <c r="U649" s="983"/>
      <c r="V649" s="982"/>
      <c r="W649" s="980"/>
      <c r="X649" s="981" t="s">
        <v>632</v>
      </c>
      <c r="Y649" s="983"/>
      <c r="Z649" s="1412" t="str">
        <f>IFERROR(VLOOKUP(C649, [6]條件!$A:$L, 3, 0), "")</f>
        <v/>
      </c>
      <c r="AA649" s="984" t="str">
        <f>IF(OR(L649={"改紡","檢修","了機","清車","FINAL","停機","SAMPLE","TEST","絲開發"}), L649, IFERROR(IF(C649="", "", (SUM(J649, N649, R649, V649)/3 * AG649) * IF(AND(AF649="S", AS649="雙"), 0.5, 1)), ""))</f>
        <v>停機</v>
      </c>
      <c r="AB649" s="1413" t="str">
        <f t="shared" si="110"/>
        <v/>
      </c>
      <c r="AC649" s="984" t="str">
        <f>IF(OR(L649={"改紡","檢修","了機","清車","FINAL","停機","SAMPLE","TEST"}), "", IFERROR(IF(C649="", "", AVERAGE(L649:M649, P649:Q649, T649:U649, X649:Y649)/100), ""))</f>
        <v/>
      </c>
      <c r="AD649" s="984" t="str">
        <f t="shared" si="112"/>
        <v/>
      </c>
      <c r="AE649" s="984" t="str">
        <f t="shared" si="111"/>
        <v/>
      </c>
      <c r="AF649" s="985" t="str">
        <f t="shared" si="113"/>
        <v>A</v>
      </c>
      <c r="AG649" s="1414">
        <v>1</v>
      </c>
      <c r="AH649" s="981" t="s">
        <v>640</v>
      </c>
      <c r="AI649" s="1440" t="s">
        <v>640</v>
      </c>
      <c r="AJ649" s="986" t="s">
        <v>640</v>
      </c>
      <c r="AK649" s="1417" t="s">
        <v>640</v>
      </c>
      <c r="AL649" s="1415"/>
      <c r="AM649" s="1323"/>
      <c r="AN649" s="1323"/>
      <c r="AO649" s="1323"/>
      <c r="AP649" s="1323"/>
      <c r="AQ649" s="1323"/>
      <c r="AR649" s="987"/>
      <c r="AS649" s="978" t="str">
        <f t="shared" si="114"/>
        <v>單</v>
      </c>
      <c r="AT649" s="978" t="str">
        <f t="shared" si="115"/>
        <v>全</v>
      </c>
      <c r="AU649" s="978" t="str">
        <f t="shared" si="116"/>
        <v/>
      </c>
      <c r="AV649" s="978" t="str">
        <f t="shared" si="117"/>
        <v/>
      </c>
    </row>
    <row r="650" spans="1:48">
      <c r="A650" s="975">
        <f t="shared" si="118"/>
        <v>46159</v>
      </c>
      <c r="B650" s="976" t="s">
        <v>221</v>
      </c>
      <c r="C650" s="976" t="s">
        <v>16763</v>
      </c>
      <c r="D650" s="1410"/>
      <c r="E650" s="977" t="str">
        <f>IFERROR(VLOOKUP(C650, [6]條件!$A:$L, 5, 0), "")</f>
        <v>150/48CDR</v>
      </c>
      <c r="F650" s="978" t="str">
        <f>IFERROR(VLOOKUP(C650, [6]條件!$A:$L, 6, 0), "")</f>
        <v>FP82781</v>
      </c>
      <c r="G650" s="1411">
        <f>IFERROR(VLOOKUP(C650, [6]條件!$A:$L, 7, 0), "")</f>
        <v>600</v>
      </c>
      <c r="H650" s="978" t="str">
        <f>IF(ISNA(VLOOKUP(C650,[6]條件!$A$1:$K$932,11,0)),"",(VLOOKUP(C650,[6]條件!$A$1:$K$932,11,0)))</f>
        <v>綠藍雙色</v>
      </c>
      <c r="I650" s="979">
        <f>IF(ISNA(VLOOKUP(C650,[6]條件!$A$1:$L$932,12,0)),"",(VLOOKUP(C650,[6]條件!$A$1:$L$932,12,0)))</f>
        <v>5</v>
      </c>
      <c r="J650" s="982">
        <v>8</v>
      </c>
      <c r="K650" s="980">
        <v>0</v>
      </c>
      <c r="L650" s="981">
        <v>8580</v>
      </c>
      <c r="M650" s="983">
        <v>7816</v>
      </c>
      <c r="N650" s="982">
        <v>4</v>
      </c>
      <c r="O650" s="980">
        <v>0</v>
      </c>
      <c r="P650" s="981">
        <v>8506</v>
      </c>
      <c r="Q650" s="983">
        <v>8009</v>
      </c>
      <c r="R650" s="982">
        <v>9</v>
      </c>
      <c r="S650" s="980">
        <v>0</v>
      </c>
      <c r="T650" s="981">
        <v>8444</v>
      </c>
      <c r="U650" s="983">
        <v>7941</v>
      </c>
      <c r="V650" s="982">
        <v>1</v>
      </c>
      <c r="W650" s="980">
        <v>0</v>
      </c>
      <c r="X650" s="981">
        <v>8519</v>
      </c>
      <c r="Y650" s="983">
        <v>8022</v>
      </c>
      <c r="Z650" s="1412">
        <f>IFERROR(VLOOKUP(C650, [6]條件!$A:$L, 3, 0), "")</f>
        <v>2.8685258964143427</v>
      </c>
      <c r="AA650" s="984">
        <f>IF(OR(L650={"改紡","檢修","了機","清車","FINAL","停機","SAMPLE","TEST","絲開發"}), L650, IFERROR(IF(C650="", "", (SUM(J650, N650, R650, V650)/3 * AG650) * IF(AND(AF650="S", AS650="雙"), 0.5, 1)), ""))</f>
        <v>7.333333333333333</v>
      </c>
      <c r="AB650" s="1413">
        <f t="shared" si="110"/>
        <v>1</v>
      </c>
      <c r="AC650" s="984">
        <f>IF(OR(L650={"改紡","檢修","了機","清車","FINAL","停機","SAMPLE","TEST"}), "", IFERROR(IF(C650="", "", AVERAGE(L650:M650, P650:Q650, T650:U650, X650:Y650)/100), ""))</f>
        <v>82.296250000000001</v>
      </c>
      <c r="AD650" s="984">
        <f t="shared" si="112"/>
        <v>0.91666666666666663</v>
      </c>
      <c r="AE650" s="984">
        <f t="shared" si="111"/>
        <v>0.91666666666666663</v>
      </c>
      <c r="AF650" s="985" t="str">
        <f t="shared" si="113"/>
        <v>A</v>
      </c>
      <c r="AG650" s="1414">
        <v>1</v>
      </c>
      <c r="AH650" s="981" t="s">
        <v>16154</v>
      </c>
      <c r="AI650" s="1440" t="s">
        <v>16154</v>
      </c>
      <c r="AJ650" s="986" t="s">
        <v>641</v>
      </c>
      <c r="AK650" s="1417" t="s">
        <v>641</v>
      </c>
      <c r="AL650" s="1415">
        <v>54</v>
      </c>
      <c r="AM650" s="1323">
        <v>46155</v>
      </c>
      <c r="AN650" s="1323">
        <v>46156</v>
      </c>
      <c r="AO650" s="1323">
        <v>46157</v>
      </c>
      <c r="AP650" s="1323"/>
      <c r="AQ650" s="1323"/>
      <c r="AR650" s="987"/>
      <c r="AS650" s="978" t="str">
        <f t="shared" si="114"/>
        <v>單</v>
      </c>
      <c r="AT650" s="978" t="str">
        <f t="shared" si="115"/>
        <v>全</v>
      </c>
      <c r="AU650" s="978">
        <f t="shared" si="116"/>
        <v>150</v>
      </c>
      <c r="AV650" s="978">
        <f t="shared" si="117"/>
        <v>2.5597425600000001</v>
      </c>
    </row>
    <row r="651" spans="1:48">
      <c r="A651" s="975">
        <f t="shared" si="118"/>
        <v>46159</v>
      </c>
      <c r="B651" s="976" t="s">
        <v>222</v>
      </c>
      <c r="C651" s="976" t="s">
        <v>632</v>
      </c>
      <c r="D651" s="1410"/>
      <c r="E651" s="977" t="str">
        <f>IFERROR(VLOOKUP(C651, [6]條件!$A:$L, 5, 0), "")</f>
        <v/>
      </c>
      <c r="F651" s="978" t="str">
        <f>IFERROR(VLOOKUP(C651, [6]條件!$A:$L, 6, 0), "")</f>
        <v/>
      </c>
      <c r="G651" s="1411" t="str">
        <f>IFERROR(VLOOKUP(C651, [6]條件!$A:$L, 7, 0), "")</f>
        <v/>
      </c>
      <c r="H651" s="978" t="str">
        <f>IF(ISNA(VLOOKUP(C651,[6]條件!$A$1:$K$932,11,0)),"",(VLOOKUP(C651,[6]條件!$A$1:$K$932,11,0)))</f>
        <v/>
      </c>
      <c r="I651" s="979" t="str">
        <f>IF(ISNA(VLOOKUP(C651,[6]條件!$A$1:$L$932,12,0)),"",(VLOOKUP(C651,[6]條件!$A$1:$L$932,12,0)))</f>
        <v/>
      </c>
      <c r="J651" s="982"/>
      <c r="K651" s="980"/>
      <c r="L651" s="981" t="s">
        <v>632</v>
      </c>
      <c r="M651" s="983"/>
      <c r="N651" s="982"/>
      <c r="O651" s="980"/>
      <c r="P651" s="981" t="s">
        <v>632</v>
      </c>
      <c r="Q651" s="983"/>
      <c r="R651" s="982"/>
      <c r="S651" s="980"/>
      <c r="T651" s="981" t="s">
        <v>632</v>
      </c>
      <c r="U651" s="983"/>
      <c r="V651" s="982"/>
      <c r="W651" s="980"/>
      <c r="X651" s="981" t="s">
        <v>632</v>
      </c>
      <c r="Y651" s="983"/>
      <c r="Z651" s="1412" t="str">
        <f>IFERROR(VLOOKUP(C651, [6]條件!$A:$L, 3, 0), "")</f>
        <v/>
      </c>
      <c r="AA651" s="984" t="str">
        <f>IF(OR(L651={"改紡","檢修","了機","清車","FINAL","停機","SAMPLE","TEST","絲開發"}), L651, IFERROR(IF(C651="", "", (SUM(J651, N651, R651, V651)/3 * AG651) * IF(AND(AF651="S", AS651="雙"), 0.5, 1)), ""))</f>
        <v>停機</v>
      </c>
      <c r="AB651" s="1413" t="str">
        <f t="shared" si="110"/>
        <v/>
      </c>
      <c r="AC651" s="984" t="str">
        <f>IF(OR(L651={"改紡","檢修","了機","清車","FINAL","停機","SAMPLE","TEST"}), "", IFERROR(IF(C651="", "", AVERAGE(L651:M651, P651:Q651, T651:U651, X651:Y651)/100), ""))</f>
        <v/>
      </c>
      <c r="AD651" s="984" t="str">
        <f t="shared" si="112"/>
        <v/>
      </c>
      <c r="AE651" s="984" t="str">
        <f t="shared" si="111"/>
        <v/>
      </c>
      <c r="AF651" s="985" t="str">
        <f t="shared" si="113"/>
        <v>A</v>
      </c>
      <c r="AG651" s="1414">
        <v>1</v>
      </c>
      <c r="AH651" s="981" t="s">
        <v>640</v>
      </c>
      <c r="AI651" s="1440" t="s">
        <v>640</v>
      </c>
      <c r="AJ651" s="986" t="s">
        <v>640</v>
      </c>
      <c r="AK651" s="1417" t="s">
        <v>640</v>
      </c>
      <c r="AL651" s="1415"/>
      <c r="AM651" s="1323"/>
      <c r="AN651" s="1323"/>
      <c r="AO651" s="1323"/>
      <c r="AP651" s="1323"/>
      <c r="AQ651" s="1323"/>
      <c r="AR651" s="987"/>
      <c r="AS651" s="978" t="str">
        <f t="shared" si="114"/>
        <v>單</v>
      </c>
      <c r="AT651" s="978" t="str">
        <f t="shared" si="115"/>
        <v>全</v>
      </c>
      <c r="AU651" s="978" t="str">
        <f t="shared" si="116"/>
        <v/>
      </c>
      <c r="AV651" s="978" t="str">
        <f t="shared" si="117"/>
        <v/>
      </c>
    </row>
    <row r="652" spans="1:48">
      <c r="A652" s="975">
        <f t="shared" si="118"/>
        <v>46159</v>
      </c>
      <c r="B652" s="976" t="s">
        <v>223</v>
      </c>
      <c r="C652" s="976" t="s">
        <v>632</v>
      </c>
      <c r="D652" s="1410"/>
      <c r="E652" s="977" t="str">
        <f>IFERROR(VLOOKUP(C652, [6]條件!$A:$L, 5, 0), "")</f>
        <v/>
      </c>
      <c r="F652" s="978" t="str">
        <f>IFERROR(VLOOKUP(C652, [6]條件!$A:$L, 6, 0), "")</f>
        <v/>
      </c>
      <c r="G652" s="1411" t="str">
        <f>IFERROR(VLOOKUP(C652, [6]條件!$A:$L, 7, 0), "")</f>
        <v/>
      </c>
      <c r="H652" s="978" t="str">
        <f>IF(ISNA(VLOOKUP(C652,[6]條件!$A$1:$K$932,11,0)),"",(VLOOKUP(C652,[6]條件!$A$1:$K$932,11,0)))</f>
        <v/>
      </c>
      <c r="I652" s="979" t="str">
        <f>IF(ISNA(VLOOKUP(C652,[6]條件!$A$1:$L$932,12,0)),"",(VLOOKUP(C652,[6]條件!$A$1:$L$932,12,0)))</f>
        <v/>
      </c>
      <c r="J652" s="982"/>
      <c r="K652" s="980"/>
      <c r="L652" s="981" t="s">
        <v>632</v>
      </c>
      <c r="M652" s="983"/>
      <c r="N652" s="982"/>
      <c r="O652" s="980"/>
      <c r="P652" s="981" t="s">
        <v>632</v>
      </c>
      <c r="Q652" s="983"/>
      <c r="R652" s="982"/>
      <c r="S652" s="980"/>
      <c r="T652" s="981" t="s">
        <v>632</v>
      </c>
      <c r="U652" s="983"/>
      <c r="V652" s="982"/>
      <c r="W652" s="980"/>
      <c r="X652" s="981" t="s">
        <v>632</v>
      </c>
      <c r="Y652" s="983"/>
      <c r="Z652" s="1412" t="str">
        <f>IFERROR(VLOOKUP(C652, [6]條件!$A:$L, 3, 0), "")</f>
        <v/>
      </c>
      <c r="AA652" s="984" t="str">
        <f>IF(OR(L652={"改紡","檢修","了機","清車","FINAL","停機","SAMPLE","TEST","絲開發"}), L652, IFERROR(IF(C652="", "", (SUM(J652, N652, R652, V652)/3 * AG652) * IF(AND(AF652="S", AS652="雙"), 0.5, 1)), ""))</f>
        <v>停機</v>
      </c>
      <c r="AB652" s="1413" t="str">
        <f t="shared" si="110"/>
        <v/>
      </c>
      <c r="AC652" s="984" t="str">
        <f>IF(OR(L652={"改紡","檢修","了機","清車","FINAL","停機","SAMPLE","TEST"}), "", IFERROR(IF(C652="", "", AVERAGE(L652:M652, P652:Q652, T652:U652, X652:Y652)/100), ""))</f>
        <v/>
      </c>
      <c r="AD652" s="984" t="str">
        <f t="shared" si="112"/>
        <v/>
      </c>
      <c r="AE652" s="984" t="str">
        <f t="shared" si="111"/>
        <v/>
      </c>
      <c r="AF652" s="985" t="str">
        <f t="shared" si="113"/>
        <v>A</v>
      </c>
      <c r="AG652" s="1414">
        <v>1</v>
      </c>
      <c r="AH652" s="981" t="s">
        <v>640</v>
      </c>
      <c r="AI652" s="1440" t="s">
        <v>640</v>
      </c>
      <c r="AJ652" s="986" t="s">
        <v>640</v>
      </c>
      <c r="AK652" s="1417" t="s">
        <v>640</v>
      </c>
      <c r="AL652" s="1415"/>
      <c r="AM652" s="1324"/>
      <c r="AN652" s="1323"/>
      <c r="AO652" s="1323"/>
      <c r="AP652" s="1323"/>
      <c r="AQ652" s="1323"/>
      <c r="AR652" s="987"/>
      <c r="AS652" s="978" t="str">
        <f t="shared" si="114"/>
        <v>單</v>
      </c>
      <c r="AT652" s="978" t="str">
        <f t="shared" si="115"/>
        <v>全</v>
      </c>
      <c r="AU652" s="978" t="str">
        <f t="shared" si="116"/>
        <v/>
      </c>
      <c r="AV652" s="978" t="str">
        <f t="shared" si="117"/>
        <v/>
      </c>
    </row>
    <row r="653" spans="1:48">
      <c r="A653" s="975">
        <f t="shared" si="118"/>
        <v>46159</v>
      </c>
      <c r="B653" s="976" t="s">
        <v>224</v>
      </c>
      <c r="C653" s="976" t="s">
        <v>16734</v>
      </c>
      <c r="D653" s="1410" t="s">
        <v>633</v>
      </c>
      <c r="E653" s="977" t="str">
        <f>IFERROR(VLOOKUP(C653, [6]條件!$A:$L, 5, 0), "")</f>
        <v>75/24/2SDr</v>
      </c>
      <c r="F653" s="978" t="str">
        <f>IFERROR(VLOOKUP(C653, [6]條件!$A:$L, 6, 0), "")</f>
        <v>FP81382R×2</v>
      </c>
      <c r="G653" s="1411">
        <f>IFERROR(VLOOKUP(C653, [6]條件!$A:$L, 7, 0), "")</f>
        <v>700</v>
      </c>
      <c r="H653" s="978" t="str">
        <f>IF(ISNA(VLOOKUP(C653,[6]條件!$A$1:$K$932,11,0)),"",(VLOOKUP(C653,[6]條件!$A$1:$K$932,11,0)))</f>
        <v>白底紫三角</v>
      </c>
      <c r="I653" s="979">
        <f>IF(ISNA(VLOOKUP(C653,[6]條件!$A$1:$L$932,12,0)),"",(VLOOKUP(C653,[6]條件!$A$1:$L$932,12,0)))</f>
        <v>5</v>
      </c>
      <c r="J653" s="982">
        <v>26</v>
      </c>
      <c r="K653" s="980">
        <v>0</v>
      </c>
      <c r="L653" s="981">
        <v>8543</v>
      </c>
      <c r="M653" s="983">
        <v>8661</v>
      </c>
      <c r="N653" s="982">
        <v>14</v>
      </c>
      <c r="O653" s="980">
        <v>0</v>
      </c>
      <c r="P653" s="981">
        <v>9052</v>
      </c>
      <c r="Q653" s="983">
        <v>8539</v>
      </c>
      <c r="R653" s="982">
        <v>8</v>
      </c>
      <c r="S653" s="980">
        <v>0</v>
      </c>
      <c r="T653" s="981">
        <v>8926</v>
      </c>
      <c r="U653" s="983">
        <v>8598</v>
      </c>
      <c r="V653" s="982">
        <v>24</v>
      </c>
      <c r="W653" s="980">
        <v>0</v>
      </c>
      <c r="X653" s="981">
        <v>8816</v>
      </c>
      <c r="Y653" s="983">
        <v>8661</v>
      </c>
      <c r="Z653" s="1412">
        <f>IFERROR(VLOOKUP(C653, [6]條件!$A:$L, 3, 0), "")</f>
        <v>3.2653061224489797</v>
      </c>
      <c r="AA653" s="984">
        <f>IF(OR(L653={"改紡","檢修","了機","清車","FINAL","停機","SAMPLE","TEST","絲開發"}), L653, IFERROR(IF(C653="", "", (SUM(J653, N653, R653, V653)/3 * AG653) * IF(AND(AF653="S", AS653="雙"), 0.5, 1)), ""))</f>
        <v>12</v>
      </c>
      <c r="AB653" s="1413">
        <f t="shared" si="110"/>
        <v>1</v>
      </c>
      <c r="AC653" s="984">
        <f>IF(OR(L653={"改紡","檢修","了機","清車","FINAL","停機","SAMPLE","TEST"}), "", IFERROR(IF(C653="", "", AVERAGE(L653:M653, P653:Q653, T653:U653, X653:Y653)/100), ""))</f>
        <v>87.245000000000005</v>
      </c>
      <c r="AD653" s="984">
        <f t="shared" si="112"/>
        <v>1.5</v>
      </c>
      <c r="AE653" s="984">
        <f t="shared" si="111"/>
        <v>1.5</v>
      </c>
      <c r="AF653" s="985" t="str">
        <f t="shared" si="113"/>
        <v>A</v>
      </c>
      <c r="AG653" s="1414">
        <v>0.5</v>
      </c>
      <c r="AH653" s="981" t="s">
        <v>629</v>
      </c>
      <c r="AI653" s="1440" t="s">
        <v>629</v>
      </c>
      <c r="AJ653" s="986" t="s">
        <v>641</v>
      </c>
      <c r="AK653" s="1417" t="s">
        <v>641</v>
      </c>
      <c r="AL653" s="1415">
        <v>50</v>
      </c>
      <c r="AM653" s="1323">
        <v>46110</v>
      </c>
      <c r="AN653" s="1323">
        <v>46111</v>
      </c>
      <c r="AO653" s="1323"/>
      <c r="AP653" s="1323"/>
      <c r="AQ653" s="1323"/>
      <c r="AR653" s="987"/>
      <c r="AS653" s="978" t="str">
        <f t="shared" si="114"/>
        <v>雙</v>
      </c>
      <c r="AT653" s="978" t="str">
        <f t="shared" si="115"/>
        <v>全</v>
      </c>
      <c r="AU653" s="978">
        <f t="shared" si="116"/>
        <v>75</v>
      </c>
      <c r="AV653" s="978">
        <f t="shared" si="117"/>
        <v>1.5829732800000003</v>
      </c>
    </row>
    <row r="654" spans="1:48">
      <c r="A654" s="975">
        <f t="shared" si="118"/>
        <v>46159</v>
      </c>
      <c r="B654" s="976" t="s">
        <v>225</v>
      </c>
      <c r="C654" s="976" t="s">
        <v>16747</v>
      </c>
      <c r="D654" s="1410"/>
      <c r="E654" s="977" t="str">
        <f>IFERROR(VLOOKUP(C654, [6]條件!$A:$L, 5, 0), "")</f>
        <v>150/48SDR</v>
      </c>
      <c r="F654" s="978" t="str">
        <f>IFERROR(VLOOKUP(C654, [6]條件!$A:$L, 6, 0), "")</f>
        <v>FP82169R</v>
      </c>
      <c r="G654" s="1411">
        <f>IFERROR(VLOOKUP(C654, [6]條件!$A:$L, 7, 0), "")</f>
        <v>650</v>
      </c>
      <c r="H654" s="978" t="str">
        <f>IF(ISNA(VLOOKUP(C654,[6]條件!$A$1:$K$932,11,0)),"",(VLOOKUP(C654,[6]條件!$A$1:$K$932,11,0)))</f>
        <v>綠藍三角</v>
      </c>
      <c r="I654" s="979">
        <f>IF(ISNA(VLOOKUP(C654,[6]條件!$A$1:$L$932,12,0)),"",(VLOOKUP(C654,[6]條件!$A$1:$L$932,12,0)))</f>
        <v>5</v>
      </c>
      <c r="J654" s="982"/>
      <c r="K654" s="980"/>
      <c r="L654" s="981" t="s">
        <v>127</v>
      </c>
      <c r="M654" s="983"/>
      <c r="N654" s="982"/>
      <c r="O654" s="980"/>
      <c r="P654" s="981" t="s">
        <v>632</v>
      </c>
      <c r="Q654" s="983"/>
      <c r="R654" s="982"/>
      <c r="S654" s="980"/>
      <c r="T654" s="981" t="s">
        <v>632</v>
      </c>
      <c r="U654" s="983"/>
      <c r="V654" s="982"/>
      <c r="W654" s="980"/>
      <c r="X654" s="981" t="s">
        <v>632</v>
      </c>
      <c r="Y654" s="983"/>
      <c r="Z654" s="1412">
        <f>IFERROR(VLOOKUP(C654, [6]條件!$A:$L, 3, 0), "")</f>
        <v>3.0573248407643314</v>
      </c>
      <c r="AA654" s="984" t="str">
        <f>IF(OR(L654={"改紡","檢修","了機","清車","FINAL","停機","SAMPLE","TEST","絲開發"}), L654, IFERROR(IF(C654="", "", (SUM(J654, N654, R654, V654)/3 * AG654) * IF(AND(AF654="S", AS654="雙"), 0.5, 1)), ""))</f>
        <v>了機</v>
      </c>
      <c r="AB654" s="1413" t="str">
        <f t="shared" si="110"/>
        <v/>
      </c>
      <c r="AC654" s="984" t="str">
        <f>IF(OR(L654={"改紡","檢修","了機","清車","FINAL","停機","SAMPLE","TEST"}), "", IFERROR(IF(C654="", "", AVERAGE(L654:M654, P654:Q654, T654:U654, X654:Y654)/100), ""))</f>
        <v/>
      </c>
      <c r="AD654" s="984" t="str">
        <f t="shared" si="112"/>
        <v/>
      </c>
      <c r="AE654" s="984" t="str">
        <f t="shared" si="111"/>
        <v/>
      </c>
      <c r="AF654" s="985" t="str">
        <f t="shared" si="113"/>
        <v>A</v>
      </c>
      <c r="AG654" s="1414">
        <v>1</v>
      </c>
      <c r="AH654" s="981" t="s">
        <v>15848</v>
      </c>
      <c r="AI654" s="1440" t="s">
        <v>815</v>
      </c>
      <c r="AJ654" s="986" t="s">
        <v>640</v>
      </c>
      <c r="AK654" s="1417" t="s">
        <v>640</v>
      </c>
      <c r="AL654" s="1415">
        <v>48</v>
      </c>
      <c r="AM654" s="1323">
        <v>46152</v>
      </c>
      <c r="AN654" s="1323">
        <v>46153</v>
      </c>
      <c r="AO654" s="1323">
        <v>46154</v>
      </c>
      <c r="AP654" s="1323"/>
      <c r="AQ654" s="1323"/>
      <c r="AR654" s="987"/>
      <c r="AS654" s="978" t="str">
        <f t="shared" si="114"/>
        <v>單</v>
      </c>
      <c r="AT654" s="978" t="str">
        <f t="shared" si="115"/>
        <v>全</v>
      </c>
      <c r="AU654" s="978">
        <f t="shared" si="116"/>
        <v>150</v>
      </c>
      <c r="AV654" s="978" t="str">
        <f t="shared" si="117"/>
        <v/>
      </c>
    </row>
    <row r="655" spans="1:48">
      <c r="A655" s="975">
        <f t="shared" si="118"/>
        <v>46159</v>
      </c>
      <c r="B655" s="976" t="s">
        <v>226</v>
      </c>
      <c r="C655" s="976" t="s">
        <v>632</v>
      </c>
      <c r="D655" s="1410"/>
      <c r="E655" s="977" t="str">
        <f>IFERROR(VLOOKUP(C655, [6]條件!$A:$L, 5, 0), "")</f>
        <v/>
      </c>
      <c r="F655" s="978" t="str">
        <f>IFERROR(VLOOKUP(C655, [6]條件!$A:$L, 6, 0), "")</f>
        <v/>
      </c>
      <c r="G655" s="1411" t="str">
        <f>IFERROR(VLOOKUP(C655, [6]條件!$A:$L, 7, 0), "")</f>
        <v/>
      </c>
      <c r="H655" s="978" t="str">
        <f>IF(ISNA(VLOOKUP(C655,[6]條件!$A$1:$K$932,11,0)),"",(VLOOKUP(C655,[6]條件!$A$1:$K$932,11,0)))</f>
        <v/>
      </c>
      <c r="I655" s="979" t="str">
        <f>IF(ISNA(VLOOKUP(C655,[6]條件!$A$1:$L$932,12,0)),"",(VLOOKUP(C655,[6]條件!$A$1:$L$932,12,0)))</f>
        <v/>
      </c>
      <c r="J655" s="982"/>
      <c r="K655" s="980"/>
      <c r="L655" s="981" t="s">
        <v>632</v>
      </c>
      <c r="M655" s="983"/>
      <c r="N655" s="982"/>
      <c r="O655" s="980"/>
      <c r="P655" s="981" t="s">
        <v>632</v>
      </c>
      <c r="Q655" s="983"/>
      <c r="R655" s="982"/>
      <c r="S655" s="980"/>
      <c r="T655" s="981" t="s">
        <v>632</v>
      </c>
      <c r="U655" s="983"/>
      <c r="V655" s="982"/>
      <c r="W655" s="980"/>
      <c r="X655" s="981" t="s">
        <v>632</v>
      </c>
      <c r="Y655" s="983"/>
      <c r="Z655" s="1412" t="str">
        <f>IFERROR(VLOOKUP(C655, [6]條件!$A:$L, 3, 0), "")</f>
        <v/>
      </c>
      <c r="AA655" s="984" t="str">
        <f>IF(OR(L655={"改紡","檢修","了機","清車","FINAL","停機","SAMPLE","TEST","絲開發"}), L655, IFERROR(IF(C655="", "", (SUM(J655, N655, R655, V655)/3 * AG655) * IF(AND(AF655="S", AS655="雙"), 0.5, 1)), ""))</f>
        <v>停機</v>
      </c>
      <c r="AB655" s="1413" t="str">
        <f t="shared" si="110"/>
        <v/>
      </c>
      <c r="AC655" s="984" t="str">
        <f>IF(OR(L655={"改紡","檢修","了機","清車","FINAL","停機","SAMPLE","TEST"}), "", IFERROR(IF(C655="", "", AVERAGE(L655:M655, P655:Q655, T655:U655, X655:Y655)/100), ""))</f>
        <v/>
      </c>
      <c r="AD655" s="984" t="str">
        <f t="shared" si="112"/>
        <v/>
      </c>
      <c r="AE655" s="984" t="str">
        <f t="shared" si="111"/>
        <v/>
      </c>
      <c r="AF655" s="985" t="str">
        <f t="shared" si="113"/>
        <v>A</v>
      </c>
      <c r="AG655" s="1414">
        <v>1</v>
      </c>
      <c r="AH655" s="981" t="s">
        <v>640</v>
      </c>
      <c r="AI655" s="1440" t="s">
        <v>640</v>
      </c>
      <c r="AJ655" s="986" t="s">
        <v>640</v>
      </c>
      <c r="AK655" s="1417" t="s">
        <v>640</v>
      </c>
      <c r="AL655" s="1415"/>
      <c r="AM655" s="1323"/>
      <c r="AN655" s="1323"/>
      <c r="AO655" s="1323"/>
      <c r="AP655" s="1323"/>
      <c r="AQ655" s="1323"/>
      <c r="AR655" s="987"/>
      <c r="AS655" s="978" t="str">
        <f t="shared" si="114"/>
        <v>單</v>
      </c>
      <c r="AT655" s="978" t="str">
        <f t="shared" si="115"/>
        <v>全</v>
      </c>
      <c r="AU655" s="978" t="str">
        <f t="shared" si="116"/>
        <v/>
      </c>
      <c r="AV655" s="978" t="str">
        <f t="shared" si="117"/>
        <v/>
      </c>
    </row>
    <row r="656" spans="1:48">
      <c r="A656" s="975">
        <f t="shared" si="118"/>
        <v>46159</v>
      </c>
      <c r="B656" s="976" t="s">
        <v>227</v>
      </c>
      <c r="C656" s="976" t="s">
        <v>632</v>
      </c>
      <c r="D656" s="1410"/>
      <c r="E656" s="977" t="str">
        <f>IFERROR(VLOOKUP(C656, [6]條件!$A:$L, 5, 0), "")</f>
        <v/>
      </c>
      <c r="F656" s="978" t="str">
        <f>IFERROR(VLOOKUP(C656, [6]條件!$A:$L, 6, 0), "")</f>
        <v/>
      </c>
      <c r="G656" s="1411" t="str">
        <f>IFERROR(VLOOKUP(C656, [6]條件!$A:$L, 7, 0), "")</f>
        <v/>
      </c>
      <c r="H656" s="978" t="str">
        <f>IF(ISNA(VLOOKUP(C656,[6]條件!$A$1:$K$932,11,0)),"",(VLOOKUP(C656,[6]條件!$A$1:$K$932,11,0)))</f>
        <v/>
      </c>
      <c r="I656" s="979" t="str">
        <f>IF(ISNA(VLOOKUP(C656,[6]條件!$A$1:$L$932,12,0)),"",(VLOOKUP(C656,[6]條件!$A$1:$L$932,12,0)))</f>
        <v/>
      </c>
      <c r="J656" s="982"/>
      <c r="K656" s="980"/>
      <c r="L656" s="981" t="s">
        <v>632</v>
      </c>
      <c r="M656" s="983"/>
      <c r="N656" s="982"/>
      <c r="O656" s="980"/>
      <c r="P656" s="981" t="s">
        <v>632</v>
      </c>
      <c r="Q656" s="983"/>
      <c r="R656" s="982"/>
      <c r="S656" s="980"/>
      <c r="T656" s="981" t="s">
        <v>632</v>
      </c>
      <c r="U656" s="983"/>
      <c r="V656" s="982"/>
      <c r="W656" s="980"/>
      <c r="X656" s="981" t="s">
        <v>632</v>
      </c>
      <c r="Y656" s="983"/>
      <c r="Z656" s="1412" t="str">
        <f>IFERROR(VLOOKUP(C656, [6]條件!$A:$L, 3, 0), "")</f>
        <v/>
      </c>
      <c r="AA656" s="984" t="str">
        <f>IF(OR(L656={"改紡","檢修","了機","清車","FINAL","停機","SAMPLE","TEST","絲開發"}), L656, IFERROR(IF(C656="", "", (SUM(J656, N656, R656, V656)/3 * AG656) * IF(AND(AF656="S", AS656="雙"), 0.5, 1)), ""))</f>
        <v>停機</v>
      </c>
      <c r="AB656" s="1413" t="str">
        <f t="shared" si="110"/>
        <v/>
      </c>
      <c r="AC656" s="984" t="str">
        <f>IF(OR(L656={"改紡","檢修","了機","清車","FINAL","停機","SAMPLE","TEST"}), "", IFERROR(IF(C656="", "", AVERAGE(L656:M656, P656:Q656, T656:U656, X656:Y656)/100), ""))</f>
        <v/>
      </c>
      <c r="AD656" s="984" t="str">
        <f t="shared" si="112"/>
        <v/>
      </c>
      <c r="AE656" s="984" t="str">
        <f t="shared" si="111"/>
        <v/>
      </c>
      <c r="AF656" s="985" t="str">
        <f t="shared" si="113"/>
        <v>A</v>
      </c>
      <c r="AG656" s="1414">
        <v>1</v>
      </c>
      <c r="AH656" s="981" t="s">
        <v>640</v>
      </c>
      <c r="AI656" s="1440" t="s">
        <v>640</v>
      </c>
      <c r="AJ656" s="986" t="s">
        <v>640</v>
      </c>
      <c r="AK656" s="1417" t="s">
        <v>640</v>
      </c>
      <c r="AL656" s="1415"/>
      <c r="AM656" s="1323"/>
      <c r="AN656" s="1323"/>
      <c r="AO656" s="1323"/>
      <c r="AP656" s="1323"/>
      <c r="AQ656" s="1323"/>
      <c r="AR656" s="987"/>
      <c r="AS656" s="978" t="str">
        <f t="shared" si="114"/>
        <v>單</v>
      </c>
      <c r="AT656" s="978" t="str">
        <f t="shared" si="115"/>
        <v>全</v>
      </c>
      <c r="AU656" s="978" t="str">
        <f t="shared" si="116"/>
        <v/>
      </c>
      <c r="AV656" s="978" t="str">
        <f t="shared" si="117"/>
        <v/>
      </c>
    </row>
    <row r="657" spans="1:48">
      <c r="A657" s="975">
        <f t="shared" si="118"/>
        <v>46159</v>
      </c>
      <c r="B657" s="976" t="s">
        <v>228</v>
      </c>
      <c r="C657" s="976" t="s">
        <v>632</v>
      </c>
      <c r="D657" s="1410"/>
      <c r="E657" s="977" t="str">
        <f>IFERROR(VLOOKUP(C657, [6]條件!$A:$L, 5, 0), "")</f>
        <v/>
      </c>
      <c r="F657" s="978" t="str">
        <f>IFERROR(VLOOKUP(C657, [6]條件!$A:$L, 6, 0), "")</f>
        <v/>
      </c>
      <c r="G657" s="1411" t="str">
        <f>IFERROR(VLOOKUP(C657, [6]條件!$A:$L, 7, 0), "")</f>
        <v/>
      </c>
      <c r="H657" s="978" t="str">
        <f>IF(ISNA(VLOOKUP(C657,[6]條件!$A$1:$K$932,11,0)),"",(VLOOKUP(C657,[6]條件!$A$1:$K$932,11,0)))</f>
        <v/>
      </c>
      <c r="I657" s="979" t="str">
        <f>IF(ISNA(VLOOKUP(C657,[6]條件!$A$1:$L$932,12,0)),"",(VLOOKUP(C657,[6]條件!$A$1:$L$932,12,0)))</f>
        <v/>
      </c>
      <c r="J657" s="982"/>
      <c r="K657" s="980"/>
      <c r="L657" s="981" t="s">
        <v>632</v>
      </c>
      <c r="M657" s="983"/>
      <c r="N657" s="982"/>
      <c r="O657" s="980"/>
      <c r="P657" s="981" t="s">
        <v>632</v>
      </c>
      <c r="Q657" s="983"/>
      <c r="R657" s="982"/>
      <c r="S657" s="980"/>
      <c r="T657" s="981" t="s">
        <v>632</v>
      </c>
      <c r="U657" s="983"/>
      <c r="V657" s="982"/>
      <c r="W657" s="980"/>
      <c r="X657" s="981" t="s">
        <v>632</v>
      </c>
      <c r="Y657" s="983"/>
      <c r="Z657" s="1412" t="str">
        <f>IFERROR(VLOOKUP(C657, [6]條件!$A:$L, 3, 0), "")</f>
        <v/>
      </c>
      <c r="AA657" s="984" t="str">
        <f>IF(OR(L657={"改紡","檢修","了機","清車","FINAL","停機","SAMPLE","TEST","絲開發"}), L657, IFERROR(IF(C657="", "", (SUM(J657, N657, R657, V657)/3 * AG657) * IF(AND(AF657="S", AS657="雙"), 0.5, 1)), ""))</f>
        <v>停機</v>
      </c>
      <c r="AB657" s="1413" t="str">
        <f t="shared" si="110"/>
        <v/>
      </c>
      <c r="AC657" s="984" t="str">
        <f>IF(OR(L657={"改紡","檢修","了機","清車","FINAL","停機","SAMPLE","TEST"}), "", IFERROR(IF(C657="", "", AVERAGE(L657:M657, P657:Q657, T657:U657, X657:Y657)/100), ""))</f>
        <v/>
      </c>
      <c r="AD657" s="984" t="str">
        <f t="shared" si="112"/>
        <v/>
      </c>
      <c r="AE657" s="984" t="str">
        <f t="shared" si="111"/>
        <v/>
      </c>
      <c r="AF657" s="985" t="str">
        <f t="shared" si="113"/>
        <v>A</v>
      </c>
      <c r="AG657" s="1414">
        <v>1</v>
      </c>
      <c r="AH657" s="981" t="s">
        <v>640</v>
      </c>
      <c r="AI657" s="1440" t="s">
        <v>640</v>
      </c>
      <c r="AJ657" s="986" t="s">
        <v>640</v>
      </c>
      <c r="AK657" s="1417" t="s">
        <v>640</v>
      </c>
      <c r="AL657" s="1420"/>
      <c r="AM657" s="1323"/>
      <c r="AN657" s="1323"/>
      <c r="AO657" s="1323"/>
      <c r="AP657" s="1323"/>
      <c r="AQ657" s="1323"/>
      <c r="AR657" s="987"/>
      <c r="AS657" s="978" t="str">
        <f t="shared" si="114"/>
        <v>單</v>
      </c>
      <c r="AT657" s="978" t="str">
        <f t="shared" si="115"/>
        <v>全</v>
      </c>
      <c r="AU657" s="978" t="str">
        <f t="shared" si="116"/>
        <v/>
      </c>
      <c r="AV657" s="978" t="str">
        <f t="shared" si="117"/>
        <v/>
      </c>
    </row>
    <row r="658" spans="1:48">
      <c r="A658" s="975">
        <f t="shared" si="118"/>
        <v>46159</v>
      </c>
      <c r="B658" s="976" t="s">
        <v>229</v>
      </c>
      <c r="C658" s="976" t="s">
        <v>632</v>
      </c>
      <c r="D658" s="1410"/>
      <c r="E658" s="977" t="str">
        <f>IFERROR(VLOOKUP(C658, [6]條件!$A:$L, 5, 0), "")</f>
        <v/>
      </c>
      <c r="F658" s="978" t="str">
        <f>IFERROR(VLOOKUP(C658, [6]條件!$A:$L, 6, 0), "")</f>
        <v/>
      </c>
      <c r="G658" s="1411" t="str">
        <f>IFERROR(VLOOKUP(C658, [6]條件!$A:$L, 7, 0), "")</f>
        <v/>
      </c>
      <c r="H658" s="978" t="str">
        <f>IF(ISNA(VLOOKUP(C658,[6]條件!$A$1:$K$932,11,0)),"",(VLOOKUP(C658,[6]條件!$A$1:$K$932,11,0)))</f>
        <v/>
      </c>
      <c r="I658" s="979" t="str">
        <f>IF(ISNA(VLOOKUP(C658,[6]條件!$A$1:$L$932,12,0)),"",(VLOOKUP(C658,[6]條件!$A$1:$L$932,12,0)))</f>
        <v/>
      </c>
      <c r="J658" s="982"/>
      <c r="K658" s="980"/>
      <c r="L658" s="981" t="s">
        <v>632</v>
      </c>
      <c r="M658" s="983"/>
      <c r="N658" s="982"/>
      <c r="O658" s="980"/>
      <c r="P658" s="981" t="s">
        <v>632</v>
      </c>
      <c r="Q658" s="983"/>
      <c r="R658" s="982"/>
      <c r="S658" s="980"/>
      <c r="T658" s="981" t="s">
        <v>632</v>
      </c>
      <c r="U658" s="983"/>
      <c r="V658" s="982"/>
      <c r="W658" s="980"/>
      <c r="X658" s="981" t="s">
        <v>632</v>
      </c>
      <c r="Y658" s="983"/>
      <c r="Z658" s="1412" t="str">
        <f>IFERROR(VLOOKUP(C658, [6]條件!$A:$L, 3, 0), "")</f>
        <v/>
      </c>
      <c r="AA658" s="984" t="str">
        <f>IF(OR(L658={"改紡","檢修","了機","清車","FINAL","停機","SAMPLE","TEST","絲開發"}), L658, IFERROR(IF(C658="", "", (SUM(J658, N658, R658, V658)/3 * AG658) * IF(AND(AF658="S", AS658="雙"), 0.5, 1)), ""))</f>
        <v>停機</v>
      </c>
      <c r="AB658" s="1413" t="str">
        <f t="shared" si="110"/>
        <v/>
      </c>
      <c r="AC658" s="984" t="str">
        <f>IF(OR(L658={"改紡","檢修","了機","清車","FINAL","停機","SAMPLE","TEST"}), "", IFERROR(IF(C658="", "", AVERAGE(L658:M658, P658:Q658, T658:U658, X658:Y658)/100), ""))</f>
        <v/>
      </c>
      <c r="AD658" s="984" t="str">
        <f t="shared" si="112"/>
        <v/>
      </c>
      <c r="AE658" s="984" t="str">
        <f t="shared" si="111"/>
        <v/>
      </c>
      <c r="AF658" s="985" t="str">
        <f t="shared" si="113"/>
        <v>A</v>
      </c>
      <c r="AG658" s="1414">
        <v>1</v>
      </c>
      <c r="AH658" s="981" t="s">
        <v>640</v>
      </c>
      <c r="AI658" s="1440" t="s">
        <v>640</v>
      </c>
      <c r="AJ658" s="986" t="s">
        <v>640</v>
      </c>
      <c r="AK658" s="1417" t="s">
        <v>640</v>
      </c>
      <c r="AL658" s="1421"/>
      <c r="AM658" s="1323"/>
      <c r="AN658" s="1323"/>
      <c r="AO658" s="1323"/>
      <c r="AP658" s="1323"/>
      <c r="AQ658" s="1323"/>
      <c r="AR658" s="987"/>
      <c r="AS658" s="978" t="str">
        <f t="shared" si="114"/>
        <v>單</v>
      </c>
      <c r="AT658" s="978" t="str">
        <f t="shared" si="115"/>
        <v>全</v>
      </c>
      <c r="AU658" s="978" t="str">
        <f t="shared" si="116"/>
        <v/>
      </c>
      <c r="AV658" s="978" t="str">
        <f t="shared" si="117"/>
        <v/>
      </c>
    </row>
    <row r="659" spans="1:48">
      <c r="A659" s="975">
        <f t="shared" si="118"/>
        <v>46159</v>
      </c>
      <c r="B659" s="976" t="s">
        <v>230</v>
      </c>
      <c r="C659" s="976" t="s">
        <v>16751</v>
      </c>
      <c r="D659" s="1410"/>
      <c r="E659" s="977" t="str">
        <f>IFERROR(VLOOKUP(C659, [6]條件!$A:$L, 5, 0), "")</f>
        <v>150/48/2GY5</v>
      </c>
      <c r="F659" s="978" t="str">
        <f>IFERROR(VLOOKUP(C659, [6]條件!$A:$L, 6, 0), "")</f>
        <v>FP02422×2</v>
      </c>
      <c r="G659" s="1411">
        <f>IFERROR(VLOOKUP(C659, [6]條件!$A:$L, 7, 0), "")</f>
        <v>600</v>
      </c>
      <c r="H659" s="978" t="str">
        <f>IF(ISNA(VLOOKUP(C659,[6]條件!$A$1:$K$932,11,0)),"",(VLOOKUP(C659,[6]條件!$A$1:$K$932,11,0)))</f>
        <v>白底紅星</v>
      </c>
      <c r="I659" s="979">
        <f>IF(ISNA(VLOOKUP(C659,[6]條件!$A$1:$L$932,12,0)),"",(VLOOKUP(C659,[6]條件!$A$1:$L$932,12,0)))</f>
        <v>4</v>
      </c>
      <c r="J659" s="982"/>
      <c r="K659" s="980"/>
      <c r="L659" s="981" t="s">
        <v>127</v>
      </c>
      <c r="M659" s="983"/>
      <c r="N659" s="982"/>
      <c r="O659" s="980"/>
      <c r="P659" s="981" t="s">
        <v>127</v>
      </c>
      <c r="Q659" s="983"/>
      <c r="R659" s="982"/>
      <c r="S659" s="980"/>
      <c r="T659" s="981" t="s">
        <v>127</v>
      </c>
      <c r="U659" s="983"/>
      <c r="V659" s="982">
        <v>14</v>
      </c>
      <c r="W659" s="980">
        <v>0</v>
      </c>
      <c r="X659" s="981" t="s">
        <v>127</v>
      </c>
      <c r="Y659" s="983">
        <v>6018</v>
      </c>
      <c r="Z659" s="1412">
        <f>IFERROR(VLOOKUP(C659, [6]條件!$A:$L, 3, 0), "")</f>
        <v>6.9230769230769234</v>
      </c>
      <c r="AA659" s="984" t="str">
        <f>IF(OR(L659={"改紡","檢修","了機","清車","FINAL","停機","SAMPLE","TEST","絲開發"}), L659, IFERROR(IF(C659="", "", (SUM(J659, N659, R659, V659)/3 * AG659) * IF(AND(AF659="S", AS659="雙"), 0.5, 1)), ""))</f>
        <v>了機</v>
      </c>
      <c r="AB659" s="1413" t="str">
        <f t="shared" si="110"/>
        <v/>
      </c>
      <c r="AC659" s="984" t="str">
        <f>IF(OR(L659={"改紡","檢修","了機","清車","FINAL","停機","SAMPLE","TEST"}), "", IFERROR(IF(C659="", "", AVERAGE(L659:M659, P659:Q659, T659:U659, X659:Y659)/100), ""))</f>
        <v/>
      </c>
      <c r="AD659" s="984" t="str">
        <f t="shared" si="112"/>
        <v/>
      </c>
      <c r="AE659" s="984" t="str">
        <f t="shared" si="111"/>
        <v/>
      </c>
      <c r="AF659" s="985" t="str">
        <f t="shared" si="113"/>
        <v>A</v>
      </c>
      <c r="AG659" s="1414">
        <v>0.5</v>
      </c>
      <c r="AH659" s="981" t="s">
        <v>629</v>
      </c>
      <c r="AI659" s="1440" t="s">
        <v>629</v>
      </c>
      <c r="AJ659" s="986" t="s">
        <v>641</v>
      </c>
      <c r="AK659" s="1417" t="s">
        <v>641</v>
      </c>
      <c r="AL659" s="1415">
        <v>52</v>
      </c>
      <c r="AM659" s="1323">
        <v>46151</v>
      </c>
      <c r="AN659" s="1323">
        <v>46152</v>
      </c>
      <c r="AO659" s="1323">
        <v>46153</v>
      </c>
      <c r="AP659" s="1323"/>
      <c r="AQ659" s="1323"/>
      <c r="AR659" s="987"/>
      <c r="AS659" s="978" t="str">
        <f t="shared" si="114"/>
        <v>雙</v>
      </c>
      <c r="AT659" s="978" t="str">
        <f t="shared" si="115"/>
        <v>全</v>
      </c>
      <c r="AU659" s="978">
        <f t="shared" si="116"/>
        <v>150</v>
      </c>
      <c r="AV659" s="978" t="str">
        <f t="shared" si="117"/>
        <v/>
      </c>
    </row>
    <row r="660" spans="1:48">
      <c r="A660" s="975">
        <f t="shared" si="118"/>
        <v>46159</v>
      </c>
      <c r="B660" s="976" t="s">
        <v>231</v>
      </c>
      <c r="C660" s="976" t="s">
        <v>632</v>
      </c>
      <c r="D660" s="1410"/>
      <c r="E660" s="977" t="str">
        <f>IFERROR(VLOOKUP(C660, [6]條件!$A:$L, 5, 0), "")</f>
        <v/>
      </c>
      <c r="F660" s="978" t="str">
        <f>IFERROR(VLOOKUP(C660, [6]條件!$A:$L, 6, 0), "")</f>
        <v/>
      </c>
      <c r="G660" s="1411" t="str">
        <f>IFERROR(VLOOKUP(C660, [6]條件!$A:$L, 7, 0), "")</f>
        <v/>
      </c>
      <c r="H660" s="978" t="str">
        <f>IF(ISNA(VLOOKUP(C660,[6]條件!$A$1:$K$932,11,0)),"",(VLOOKUP(C660,[6]條件!$A$1:$K$932,11,0)))</f>
        <v/>
      </c>
      <c r="I660" s="979" t="str">
        <f>IF(ISNA(VLOOKUP(C660,[6]條件!$A$1:$L$932,12,0)),"",(VLOOKUP(C660,[6]條件!$A$1:$L$932,12,0)))</f>
        <v/>
      </c>
      <c r="J660" s="982"/>
      <c r="K660" s="980"/>
      <c r="L660" s="981" t="s">
        <v>632</v>
      </c>
      <c r="M660" s="983"/>
      <c r="N660" s="982"/>
      <c r="O660" s="980"/>
      <c r="P660" s="981" t="s">
        <v>632</v>
      </c>
      <c r="Q660" s="983"/>
      <c r="R660" s="982"/>
      <c r="S660" s="980"/>
      <c r="T660" s="981" t="s">
        <v>632</v>
      </c>
      <c r="U660" s="983"/>
      <c r="V660" s="982"/>
      <c r="W660" s="980"/>
      <c r="X660" s="981" t="s">
        <v>632</v>
      </c>
      <c r="Y660" s="983"/>
      <c r="Z660" s="1412" t="str">
        <f>IFERROR(VLOOKUP(C660, [6]條件!$A:$L, 3, 0), "")</f>
        <v/>
      </c>
      <c r="AA660" s="984" t="str">
        <f>IF(OR(L660={"改紡","檢修","了機","清車","FINAL","停機","SAMPLE","TEST","絲開發"}), L660, IFERROR(IF(C660="", "", (SUM(J660, N660, R660, V660)/3 * AG660) * IF(AND(AF660="S", AS660="雙"), 0.5, 1)), ""))</f>
        <v>停機</v>
      </c>
      <c r="AB660" s="1413" t="str">
        <f t="shared" si="110"/>
        <v/>
      </c>
      <c r="AC660" s="984" t="str">
        <f>IF(OR(L660={"改紡","檢修","了機","清車","FINAL","停機","SAMPLE","TEST"}), "", IFERROR(IF(C660="", "", AVERAGE(L660:M660, P660:Q660, T660:U660, X660:Y660)/100), ""))</f>
        <v/>
      </c>
      <c r="AD660" s="984" t="str">
        <f t="shared" si="112"/>
        <v/>
      </c>
      <c r="AE660" s="984" t="str">
        <f t="shared" si="111"/>
        <v/>
      </c>
      <c r="AF660" s="985" t="str">
        <f t="shared" si="113"/>
        <v>J</v>
      </c>
      <c r="AG660" s="1414">
        <v>1</v>
      </c>
      <c r="AH660" s="981" t="s">
        <v>640</v>
      </c>
      <c r="AI660" s="1440" t="s">
        <v>640</v>
      </c>
      <c r="AJ660" s="986" t="s">
        <v>640</v>
      </c>
      <c r="AK660" s="1417" t="s">
        <v>640</v>
      </c>
      <c r="AL660" s="1415"/>
      <c r="AM660" s="1323"/>
      <c r="AN660" s="1323"/>
      <c r="AO660" s="1323"/>
      <c r="AP660" s="1323"/>
      <c r="AQ660" s="1323"/>
      <c r="AR660" s="987"/>
      <c r="AS660" s="978" t="str">
        <f t="shared" si="114"/>
        <v>單</v>
      </c>
      <c r="AT660" s="978" t="str">
        <f t="shared" si="115"/>
        <v>全</v>
      </c>
      <c r="AU660" s="978" t="str">
        <f t="shared" si="116"/>
        <v/>
      </c>
      <c r="AV660" s="978" t="str">
        <f t="shared" si="117"/>
        <v/>
      </c>
    </row>
    <row r="661" spans="1:48">
      <c r="A661" s="975">
        <f t="shared" si="118"/>
        <v>46159</v>
      </c>
      <c r="B661" s="976" t="s">
        <v>233</v>
      </c>
      <c r="C661" s="976" t="s">
        <v>16772</v>
      </c>
      <c r="D661" s="1410" t="s">
        <v>633</v>
      </c>
      <c r="E661" s="977" t="str">
        <f>IFERROR(VLOOKUP(C661, [6]條件!$A:$L, 5, 0), "")</f>
        <v>150/48/2SDr</v>
      </c>
      <c r="F661" s="978" t="str">
        <f>IFERROR(VLOOKUP(C661, [6]條件!$A:$L, 6, 0), "")</f>
        <v>FP82171R×2</v>
      </c>
      <c r="G661" s="1411">
        <f>IFERROR(VLOOKUP(C661, [6]條件!$A:$L, 7, 0), "")</f>
        <v>600</v>
      </c>
      <c r="H661" s="978" t="str">
        <f>IF(ISNA(VLOOKUP(C661,[6]條件!$A$1:$K$932,11,0)),"",(VLOOKUP(C661,[6]條件!$A$1:$K$932,11,0)))</f>
        <v>紅白直條</v>
      </c>
      <c r="I661" s="979">
        <f>IF(ISNA(VLOOKUP(C661,[6]條件!$A$1:$L$932,12,0)),"",(VLOOKUP(C661,[6]條件!$A$1:$L$932,12,0)))</f>
        <v>5.5</v>
      </c>
      <c r="J661" s="982">
        <v>13</v>
      </c>
      <c r="K661" s="980">
        <v>0</v>
      </c>
      <c r="L661" s="981">
        <v>7450</v>
      </c>
      <c r="M661" s="983"/>
      <c r="N661" s="982">
        <v>16</v>
      </c>
      <c r="O661" s="980">
        <v>4</v>
      </c>
      <c r="P661" s="981">
        <v>7150</v>
      </c>
      <c r="Q661" s="983"/>
      <c r="R661" s="982">
        <v>11</v>
      </c>
      <c r="S661" s="980">
        <v>0</v>
      </c>
      <c r="T661" s="981">
        <v>7270</v>
      </c>
      <c r="U661" s="983"/>
      <c r="V661" s="982">
        <v>28</v>
      </c>
      <c r="W661" s="980">
        <v>7</v>
      </c>
      <c r="X661" s="981">
        <v>7340</v>
      </c>
      <c r="Y661" s="983"/>
      <c r="Z661" s="1412">
        <f>IFERROR(VLOOKUP(C661, [6]條件!$A:$L, 3, 0), "")</f>
        <v>5.0526315789473673</v>
      </c>
      <c r="AA661" s="984">
        <f>IF(OR(L661={"改紡","檢修","了機","清車","FINAL","停機","SAMPLE","TEST","絲開發"}), L661, IFERROR(IF(C661="", "", (SUM(J661, N661, R661, V661)/3 * AG661) * IF(AND(AF661="S", AS661="雙"), 0.5, 1)), ""))</f>
        <v>22.666666666666668</v>
      </c>
      <c r="AB661" s="1413">
        <f t="shared" si="110"/>
        <v>0.98953325320512819</v>
      </c>
      <c r="AC661" s="984">
        <f>IF(OR(L661={"改紡","檢修","了機","清車","FINAL","停機","SAMPLE","TEST"}), "", IFERROR(IF(C661="", "", AVERAGE(L661:M661, P661:Q661, T661:U661, X661:Y661)/100), ""))</f>
        <v>73.025000000000006</v>
      </c>
      <c r="AD661" s="984">
        <f t="shared" si="112"/>
        <v>2.8333333333333335</v>
      </c>
      <c r="AE661" s="984">
        <f t="shared" si="111"/>
        <v>2.375</v>
      </c>
      <c r="AF661" s="985" t="str">
        <f t="shared" si="113"/>
        <v>J</v>
      </c>
      <c r="AG661" s="1414">
        <v>1</v>
      </c>
      <c r="AH661" s="981" t="s">
        <v>815</v>
      </c>
      <c r="AI661" s="1440" t="s">
        <v>815</v>
      </c>
      <c r="AJ661" s="986" t="s">
        <v>15370</v>
      </c>
      <c r="AK661" s="1417" t="s">
        <v>15370</v>
      </c>
      <c r="AL661" s="1415">
        <v>55</v>
      </c>
      <c r="AM661" s="1323">
        <v>46153</v>
      </c>
      <c r="AN661" s="1323">
        <v>46155</v>
      </c>
      <c r="AO661" s="1323">
        <v>46156</v>
      </c>
      <c r="AP661" s="1323"/>
      <c r="AQ661" s="1323"/>
      <c r="AR661" s="987"/>
      <c r="AS661" s="978" t="str">
        <f t="shared" si="114"/>
        <v>雙</v>
      </c>
      <c r="AT661" s="978" t="str">
        <f t="shared" si="115"/>
        <v>全</v>
      </c>
      <c r="AU661" s="978">
        <f t="shared" si="116"/>
        <v>150</v>
      </c>
      <c r="AV661" s="978">
        <f t="shared" si="117"/>
        <v>4.5427391999999998</v>
      </c>
    </row>
    <row r="662" spans="1:48">
      <c r="A662" s="975">
        <f t="shared" si="118"/>
        <v>46159</v>
      </c>
      <c r="B662" s="976" t="s">
        <v>234</v>
      </c>
      <c r="C662" s="976" t="s">
        <v>632</v>
      </c>
      <c r="D662" s="1410"/>
      <c r="E662" s="977" t="str">
        <f>IFERROR(VLOOKUP(C662, [6]條件!$A:$L, 5, 0), "")</f>
        <v/>
      </c>
      <c r="F662" s="978" t="str">
        <f>IFERROR(VLOOKUP(C662, [6]條件!$A:$L, 6, 0), "")</f>
        <v/>
      </c>
      <c r="G662" s="1411" t="str">
        <f>IFERROR(VLOOKUP(C662, [6]條件!$A:$L, 7, 0), "")</f>
        <v/>
      </c>
      <c r="H662" s="978" t="str">
        <f>IF(ISNA(VLOOKUP(C662,[6]條件!$A$1:$K$932,11,0)),"",(VLOOKUP(C662,[6]條件!$A$1:$K$932,11,0)))</f>
        <v/>
      </c>
      <c r="I662" s="979" t="str">
        <f>IF(ISNA(VLOOKUP(C662,[6]條件!$A$1:$L$932,12,0)),"",(VLOOKUP(C662,[6]條件!$A$1:$L$932,12,0)))</f>
        <v/>
      </c>
      <c r="J662" s="982"/>
      <c r="K662" s="980"/>
      <c r="L662" s="981" t="s">
        <v>632</v>
      </c>
      <c r="M662" s="983"/>
      <c r="N662" s="982"/>
      <c r="O662" s="980"/>
      <c r="P662" s="981" t="s">
        <v>632</v>
      </c>
      <c r="Q662" s="983"/>
      <c r="R662" s="982"/>
      <c r="S662" s="980"/>
      <c r="T662" s="981" t="s">
        <v>632</v>
      </c>
      <c r="U662" s="983"/>
      <c r="V662" s="982"/>
      <c r="W662" s="980"/>
      <c r="X662" s="981" t="s">
        <v>632</v>
      </c>
      <c r="Y662" s="983"/>
      <c r="Z662" s="1412" t="str">
        <f>IFERROR(VLOOKUP(C662, [6]條件!$A:$L, 3, 0), "")</f>
        <v/>
      </c>
      <c r="AA662" s="984" t="str">
        <f>IF(OR(L662={"改紡","檢修","了機","清車","FINAL","停機","SAMPLE","TEST","絲開發"}), L662, IFERROR(IF(C662="", "", (SUM(J662, N662, R662, V662)/3 * AG662) * IF(AND(AF662="S", AS662="雙"), 0.5, 1)), ""))</f>
        <v>停機</v>
      </c>
      <c r="AB662" s="1413" t="str">
        <f t="shared" si="110"/>
        <v/>
      </c>
      <c r="AC662" s="984" t="str">
        <f>IF(OR(L662={"改紡","檢修","了機","清車","FINAL","停機","SAMPLE","TEST"}), "", IFERROR(IF(C662="", "", AVERAGE(L662:M662, P662:Q662, T662:U662, X662:Y662)/100), ""))</f>
        <v/>
      </c>
      <c r="AD662" s="984" t="str">
        <f t="shared" si="112"/>
        <v/>
      </c>
      <c r="AE662" s="984" t="str">
        <f t="shared" si="111"/>
        <v/>
      </c>
      <c r="AF662" s="985" t="str">
        <f t="shared" si="113"/>
        <v>J</v>
      </c>
      <c r="AG662" s="1414">
        <v>1</v>
      </c>
      <c r="AH662" s="981" t="s">
        <v>640</v>
      </c>
      <c r="AI662" s="1440" t="s">
        <v>640</v>
      </c>
      <c r="AJ662" s="986" t="s">
        <v>640</v>
      </c>
      <c r="AK662" s="1417" t="s">
        <v>640</v>
      </c>
      <c r="AL662" s="1415"/>
      <c r="AM662" s="1323"/>
      <c r="AN662" s="1323"/>
      <c r="AO662" s="1323"/>
      <c r="AP662" s="1323"/>
      <c r="AQ662" s="1323"/>
      <c r="AR662" s="987"/>
      <c r="AS662" s="978" t="str">
        <f t="shared" si="114"/>
        <v>單</v>
      </c>
      <c r="AT662" s="978" t="str">
        <f t="shared" si="115"/>
        <v>全</v>
      </c>
      <c r="AU662" s="978" t="str">
        <f t="shared" si="116"/>
        <v/>
      </c>
      <c r="AV662" s="978" t="str">
        <f t="shared" si="117"/>
        <v/>
      </c>
    </row>
    <row r="663" spans="1:48">
      <c r="A663" s="975">
        <f t="shared" si="118"/>
        <v>46159</v>
      </c>
      <c r="B663" s="976" t="s">
        <v>235</v>
      </c>
      <c r="C663" s="976" t="s">
        <v>16765</v>
      </c>
      <c r="D663" s="1410" t="s">
        <v>633</v>
      </c>
      <c r="E663" s="977" t="str">
        <f>IFERROR(VLOOKUP(C663, [6]條件!$A:$L, 5, 0), "")</f>
        <v>150/48/2SDr</v>
      </c>
      <c r="F663" s="978" t="str">
        <f>IFERROR(VLOOKUP(C663, [6]條件!$A:$L, 6, 0), "")</f>
        <v>FP82173R×2</v>
      </c>
      <c r="G663" s="1411">
        <f>IFERROR(VLOOKUP(C663, [6]條件!$A:$L, 7, 0), "")</f>
        <v>700</v>
      </c>
      <c r="H663" s="978" t="str">
        <f>IF(ISNA(VLOOKUP(C663,[6]條件!$A$1:$K$932,11,0)),"",(VLOOKUP(C663,[6]條件!$A$1:$K$932,11,0)))</f>
        <v>白紫條紋</v>
      </c>
      <c r="I663" s="979">
        <f>IF(ISNA(VLOOKUP(C663,[6]條件!$A$1:$L$932,12,0)),"",(VLOOKUP(C663,[6]條件!$A$1:$L$932,12,0)))</f>
        <v>5.5</v>
      </c>
      <c r="J663" s="982">
        <v>31</v>
      </c>
      <c r="K663" s="980">
        <v>0</v>
      </c>
      <c r="L663" s="981">
        <v>9070</v>
      </c>
      <c r="M663" s="983">
        <v>9054</v>
      </c>
      <c r="N663" s="982">
        <v>7</v>
      </c>
      <c r="O663" s="980">
        <v>0</v>
      </c>
      <c r="P663" s="981">
        <v>9070</v>
      </c>
      <c r="Q663" s="983">
        <v>9630</v>
      </c>
      <c r="R663" s="982">
        <v>13</v>
      </c>
      <c r="S663" s="980">
        <v>1</v>
      </c>
      <c r="T663" s="981">
        <v>9070</v>
      </c>
      <c r="U663" s="983">
        <v>9630</v>
      </c>
      <c r="V663" s="982">
        <v>22</v>
      </c>
      <c r="W663" s="980">
        <v>2</v>
      </c>
      <c r="X663" s="981">
        <v>8980</v>
      </c>
      <c r="Y663" s="983">
        <v>9540</v>
      </c>
      <c r="Z663" s="1412">
        <f>IFERROR(VLOOKUP(C663, [6]條件!$A:$L, 3, 0), "")</f>
        <v>5.8775510204081636</v>
      </c>
      <c r="AA663" s="984">
        <f>IF(OR(L663={"改紡","檢修","了機","清車","FINAL","停機","SAMPLE","TEST","絲開發"}), L663, IFERROR(IF(C663="", "", (SUM(J663, N663, R663, V663)/3 * AG663) * IF(AND(AF663="S", AS663="雙"), 0.5, 1)), ""))</f>
        <v>24.333333333333332</v>
      </c>
      <c r="AB663" s="1413">
        <f t="shared" si="110"/>
        <v>0.99754607371794868</v>
      </c>
      <c r="AC663" s="984">
        <f>IF(OR(L663={"改紡","檢修","了機","清車","FINAL","停機","SAMPLE","TEST"}), "", IFERROR(IF(C663="", "", AVERAGE(L663:M663, P663:Q663, T663:U663, X663:Y663)/100), ""))</f>
        <v>92.555000000000007</v>
      </c>
      <c r="AD663" s="984">
        <f t="shared" si="112"/>
        <v>3.0416666666666665</v>
      </c>
      <c r="AE663" s="984">
        <f t="shared" si="111"/>
        <v>2.9166666666666665</v>
      </c>
      <c r="AF663" s="985" t="str">
        <f t="shared" si="113"/>
        <v>T</v>
      </c>
      <c r="AG663" s="1414">
        <v>1</v>
      </c>
      <c r="AH663" s="981" t="s">
        <v>651</v>
      </c>
      <c r="AI663" s="1440" t="s">
        <v>651</v>
      </c>
      <c r="AJ663" s="986" t="s">
        <v>639</v>
      </c>
      <c r="AK663" s="1417" t="s">
        <v>639</v>
      </c>
      <c r="AL663" s="1415">
        <v>56</v>
      </c>
      <c r="AM663" s="1323">
        <v>46153</v>
      </c>
      <c r="AN663" s="1323">
        <v>46154</v>
      </c>
      <c r="AO663" s="1323">
        <v>46155</v>
      </c>
      <c r="AP663" s="1323"/>
      <c r="AQ663" s="1323"/>
      <c r="AR663" s="987"/>
      <c r="AS663" s="978" t="str">
        <f t="shared" si="114"/>
        <v>雙</v>
      </c>
      <c r="AT663" s="978" t="str">
        <f t="shared" si="115"/>
        <v>全</v>
      </c>
      <c r="AU663" s="978">
        <f t="shared" si="116"/>
        <v>150</v>
      </c>
      <c r="AV663" s="978">
        <f t="shared" si="117"/>
        <v>6.7172716800000005</v>
      </c>
    </row>
    <row r="664" spans="1:48">
      <c r="A664" s="975">
        <f t="shared" si="118"/>
        <v>46159</v>
      </c>
      <c r="B664" s="976" t="s">
        <v>237</v>
      </c>
      <c r="C664" s="976" t="s">
        <v>16759</v>
      </c>
      <c r="D664" s="1410" t="s">
        <v>633</v>
      </c>
      <c r="E664" s="977" t="str">
        <f>IFERROR(VLOOKUP(C664, [6]條件!$A:$L, 5, 0), "")</f>
        <v>150/48/2SDr</v>
      </c>
      <c r="F664" s="978" t="str">
        <f>IFERROR(VLOOKUP(C664, [6]條件!$A:$L, 6, 0), "")</f>
        <v>FP82171R×2</v>
      </c>
      <c r="G664" s="1411">
        <f>IFERROR(VLOOKUP(C664, [6]條件!$A:$L, 7, 0), "")</f>
        <v>700</v>
      </c>
      <c r="H664" s="978" t="str">
        <f>IF(ISNA(VLOOKUP(C664,[6]條件!$A$1:$K$932,11,0)),"",(VLOOKUP(C664,[6]條件!$A$1:$K$932,11,0)))</f>
        <v>紅底黃星</v>
      </c>
      <c r="I664" s="979">
        <f>IF(ISNA(VLOOKUP(C664,[6]條件!$A$1:$L$932,12,0)),"",(VLOOKUP(C664,[6]條件!$A$1:$L$932,12,0)))</f>
        <v>5.5</v>
      </c>
      <c r="J664" s="982">
        <v>26</v>
      </c>
      <c r="K664" s="980">
        <v>0</v>
      </c>
      <c r="L664" s="981">
        <v>9720</v>
      </c>
      <c r="M664" s="983">
        <v>8980</v>
      </c>
      <c r="N664" s="982">
        <v>13</v>
      </c>
      <c r="O664" s="980">
        <v>0</v>
      </c>
      <c r="P664" s="981">
        <v>9540</v>
      </c>
      <c r="Q664" s="983">
        <v>9070</v>
      </c>
      <c r="R664" s="982">
        <v>9</v>
      </c>
      <c r="S664" s="980">
        <v>1</v>
      </c>
      <c r="T664" s="981">
        <v>9540</v>
      </c>
      <c r="U664" s="983">
        <v>9001</v>
      </c>
      <c r="V664" s="982">
        <v>48</v>
      </c>
      <c r="W664" s="980">
        <v>0</v>
      </c>
      <c r="X664" s="981">
        <v>9540</v>
      </c>
      <c r="Y664" s="983">
        <v>9170</v>
      </c>
      <c r="Z664" s="1412">
        <f>IFERROR(VLOOKUP(C664, [6]條件!$A:$L, 3, 0), "")</f>
        <v>5.8299595141700413</v>
      </c>
      <c r="AA664" s="984">
        <f>IF(OR(L664={"改紡","檢修","了機","清車","FINAL","停機","SAMPLE","TEST","絲開發"}), L664, IFERROR(IF(C664="", "", (SUM(J664, N664, R664, V664)/3 * AG664) * IF(AND(AF664="S", AS664="雙"), 0.5, 1)), ""))</f>
        <v>32</v>
      </c>
      <c r="AB664" s="1413">
        <f t="shared" si="110"/>
        <v>0.99917534722222223</v>
      </c>
      <c r="AC664" s="984">
        <f>IF(OR(L664={"改紡","檢修","了機","清車","FINAL","停機","SAMPLE","TEST"}), "", IFERROR(IF(C664="", "", AVERAGE(L664:M664, P664:Q664, T664:U664, X664:Y664)/100), ""))</f>
        <v>93.201250000000002</v>
      </c>
      <c r="AD664" s="984">
        <f t="shared" si="112"/>
        <v>4</v>
      </c>
      <c r="AE664" s="984">
        <f t="shared" si="111"/>
        <v>3.9583333333333335</v>
      </c>
      <c r="AF664" s="985" t="str">
        <f t="shared" si="113"/>
        <v>T</v>
      </c>
      <c r="AG664" s="1414">
        <v>1</v>
      </c>
      <c r="AH664" s="981" t="s">
        <v>651</v>
      </c>
      <c r="AI664" s="1440" t="s">
        <v>651</v>
      </c>
      <c r="AJ664" s="986" t="s">
        <v>639</v>
      </c>
      <c r="AK664" s="1417" t="s">
        <v>639</v>
      </c>
      <c r="AL664" s="1415">
        <v>55</v>
      </c>
      <c r="AM664" s="1323">
        <v>46155</v>
      </c>
      <c r="AN664" s="1323">
        <v>46156</v>
      </c>
      <c r="AO664" s="1323">
        <v>46157</v>
      </c>
      <c r="AP664" s="1323"/>
      <c r="AQ664" s="1323"/>
      <c r="AR664" s="987"/>
      <c r="AS664" s="978" t="str">
        <f t="shared" si="114"/>
        <v>雙</v>
      </c>
      <c r="AT664" s="978" t="str">
        <f t="shared" si="115"/>
        <v>全</v>
      </c>
      <c r="AU664" s="978">
        <f t="shared" si="116"/>
        <v>150</v>
      </c>
      <c r="AV664" s="978">
        <f t="shared" si="117"/>
        <v>6.7641739200000002</v>
      </c>
    </row>
    <row r="665" spans="1:48">
      <c r="A665" s="975">
        <f t="shared" si="118"/>
        <v>46159</v>
      </c>
      <c r="B665" s="976" t="s">
        <v>238</v>
      </c>
      <c r="C665" s="976" t="s">
        <v>16743</v>
      </c>
      <c r="D665" s="1410"/>
      <c r="E665" s="977" t="str">
        <f>IFERROR(VLOOKUP(C665, [6]條件!$A:$L, 5, 0), "")</f>
        <v>150/48/2SDr</v>
      </c>
      <c r="F665" s="978" t="str">
        <f>IFERROR(VLOOKUP(C665, [6]條件!$A:$L, 6, 0), "")</f>
        <v>FP82169R×2</v>
      </c>
      <c r="G665" s="1411">
        <f>IFERROR(VLOOKUP(C665, [6]條件!$A:$L, 7, 0), "")</f>
        <v>670</v>
      </c>
      <c r="H665" s="978" t="str">
        <f>IF(ISNA(VLOOKUP(C665,[6]條件!$A$1:$K$932,11,0)),"",(VLOOKUP(C665,[6]條件!$A$1:$K$932,11,0)))</f>
        <v>黃底紅點</v>
      </c>
      <c r="I665" s="979">
        <f>IF(ISNA(VLOOKUP(C665,[6]條件!$A$1:$L$932,12,0)),"",(VLOOKUP(C665,[6]條件!$A$1:$L$932,12,0)))</f>
        <v>5</v>
      </c>
      <c r="J665" s="982">
        <v>28</v>
      </c>
      <c r="K665" s="980">
        <v>0</v>
      </c>
      <c r="L665" s="981">
        <v>9170</v>
      </c>
      <c r="M665" s="983"/>
      <c r="N665" s="982">
        <v>6</v>
      </c>
      <c r="O665" s="980">
        <v>0</v>
      </c>
      <c r="P665" s="981">
        <v>9440</v>
      </c>
      <c r="Q665" s="983"/>
      <c r="R665" s="982">
        <v>7</v>
      </c>
      <c r="S665" s="980">
        <v>0</v>
      </c>
      <c r="T665" s="981">
        <v>9440</v>
      </c>
      <c r="U665" s="983"/>
      <c r="V665" s="982">
        <v>5</v>
      </c>
      <c r="W665" s="980">
        <v>0</v>
      </c>
      <c r="X665" s="981">
        <v>9260</v>
      </c>
      <c r="Y665" s="983"/>
      <c r="Z665" s="1412">
        <f>IFERROR(VLOOKUP(C665, [6]條件!$A:$L, 3, 0), "")</f>
        <v>6.2882096069868991</v>
      </c>
      <c r="AA665" s="984">
        <f>IF(OR(L665={"改紡","檢修","了機","清車","FINAL","停機","SAMPLE","TEST","絲開發"}), L665, IFERROR(IF(C665="", "", (SUM(J665, N665, R665, V665)/3 * AG665) * IF(AND(AF665="S", AS665="雙"), 0.5, 1)), ""))</f>
        <v>30.666666666666668</v>
      </c>
      <c r="AB665" s="1413">
        <f t="shared" si="110"/>
        <v>1</v>
      </c>
      <c r="AC665" s="984">
        <f>IF(OR(L665={"改紡","檢修","了機","清車","FINAL","停機","SAMPLE","TEST"}), "", IFERROR(IF(C665="", "", AVERAGE(L665:M665, P665:Q665, T665:U665, X665:Y665)/100), ""))</f>
        <v>93.275000000000006</v>
      </c>
      <c r="AD665" s="984">
        <f t="shared" si="112"/>
        <v>3.8333333333333335</v>
      </c>
      <c r="AE665" s="984">
        <f t="shared" si="111"/>
        <v>3.8333333333333335</v>
      </c>
      <c r="AF665" s="985" t="str">
        <f t="shared" si="113"/>
        <v>T</v>
      </c>
      <c r="AG665" s="1414">
        <v>2</v>
      </c>
      <c r="AH665" s="981" t="s">
        <v>651</v>
      </c>
      <c r="AI665" s="1440" t="s">
        <v>651</v>
      </c>
      <c r="AJ665" s="986" t="s">
        <v>639</v>
      </c>
      <c r="AK665" s="1417" t="s">
        <v>639</v>
      </c>
      <c r="AL665" s="1415">
        <v>48</v>
      </c>
      <c r="AM665" s="1323">
        <v>46152</v>
      </c>
      <c r="AN665" s="1323">
        <v>46153</v>
      </c>
      <c r="AO665" s="1323">
        <v>46154</v>
      </c>
      <c r="AP665" s="1323"/>
      <c r="AQ665" s="1323"/>
      <c r="AR665" s="987"/>
      <c r="AS665" s="978" t="str">
        <f t="shared" si="114"/>
        <v>雙</v>
      </c>
      <c r="AT665" s="978" t="str">
        <f t="shared" si="115"/>
        <v>半</v>
      </c>
      <c r="AU665" s="978">
        <f t="shared" si="116"/>
        <v>150</v>
      </c>
      <c r="AV665" s="978">
        <f t="shared" si="117"/>
        <v>3.2397019199999999</v>
      </c>
    </row>
    <row r="666" spans="1:48">
      <c r="A666" s="975">
        <f t="shared" si="118"/>
        <v>46159</v>
      </c>
      <c r="B666" s="976" t="s">
        <v>238</v>
      </c>
      <c r="C666" s="976" t="s">
        <v>16742</v>
      </c>
      <c r="D666" s="1410"/>
      <c r="E666" s="977" t="str">
        <f>IFERROR(VLOOKUP(C666, [6]條件!$A:$L, 5, 0), "")</f>
        <v>150/48/2SDr</v>
      </c>
      <c r="F666" s="978" t="str">
        <f>IFERROR(VLOOKUP(C666, [6]條件!$A:$L, 6, 0), "")</f>
        <v>FP82169R×2</v>
      </c>
      <c r="G666" s="1411">
        <f>IFERROR(VLOOKUP(C666, [6]條件!$A:$L, 7, 0), "")</f>
        <v>670</v>
      </c>
      <c r="H666" s="978" t="str">
        <f>IF(ISNA(VLOOKUP(C666,[6]條件!$A$1:$K$932,11,0)),"",(VLOOKUP(C666,[6]條件!$A$1:$K$932,11,0)))</f>
        <v>紅底藍點</v>
      </c>
      <c r="I666" s="979">
        <f>IF(ISNA(VLOOKUP(C666,[6]條件!$A$1:$L$932,12,0)),"",(VLOOKUP(C666,[6]條件!$A$1:$L$932,12,0)))</f>
        <v>5</v>
      </c>
      <c r="J666" s="982">
        <v>32</v>
      </c>
      <c r="K666" s="980">
        <v>4</v>
      </c>
      <c r="L666" s="981"/>
      <c r="M666" s="983">
        <v>9810</v>
      </c>
      <c r="N666" s="982">
        <v>11</v>
      </c>
      <c r="O666" s="980">
        <v>0</v>
      </c>
      <c r="P666" s="981"/>
      <c r="Q666" s="983">
        <v>9810</v>
      </c>
      <c r="R666" s="982">
        <v>7</v>
      </c>
      <c r="S666" s="980">
        <v>0</v>
      </c>
      <c r="T666" s="981">
        <v>9720</v>
      </c>
      <c r="U666" s="983"/>
      <c r="V666" s="982">
        <v>21</v>
      </c>
      <c r="W666" s="980">
        <v>1</v>
      </c>
      <c r="X666" s="981"/>
      <c r="Y666" s="983">
        <v>9630</v>
      </c>
      <c r="Z666" s="1412">
        <f>IFERROR(VLOOKUP(C666, [6]條件!$A:$L, 3, 0), "")</f>
        <v>6.1802575107296125</v>
      </c>
      <c r="AA666" s="984">
        <f>IF(OR(L666={"改紡","檢修","了機","清車","FINAL","停機","SAMPLE","TEST","絲開發"}), L666, IFERROR(IF(C666="", "", (SUM(J666, N666, R666, V666)/3 * AG666) * IF(AND(AF666="S", AS666="雙"), 0.5, 1)), ""))</f>
        <v>47.333333333333336</v>
      </c>
      <c r="AB666" s="1413">
        <f t="shared" si="110"/>
        <v>0.99611044337606836</v>
      </c>
      <c r="AC666" s="984">
        <f>IF(OR(L666={"改紡","檢修","了機","清車","FINAL","停機","SAMPLE","TEST"}), "", IFERROR(IF(C666="", "", AVERAGE(L666:M666, P666:Q666, T666:U666, X666:Y666)/100), ""))</f>
        <v>97.424999999999997</v>
      </c>
      <c r="AD666" s="984">
        <f t="shared" si="112"/>
        <v>5.916666666666667</v>
      </c>
      <c r="AE666" s="984">
        <f t="shared" si="111"/>
        <v>5.5</v>
      </c>
      <c r="AF666" s="985" t="str">
        <f t="shared" si="113"/>
        <v>T</v>
      </c>
      <c r="AG666" s="1414">
        <v>2</v>
      </c>
      <c r="AH666" s="981" t="s">
        <v>15337</v>
      </c>
      <c r="AI666" s="1440" t="s">
        <v>15337</v>
      </c>
      <c r="AJ666" s="986" t="s">
        <v>835</v>
      </c>
      <c r="AK666" s="1417" t="s">
        <v>835</v>
      </c>
      <c r="AL666" s="1415">
        <v>48</v>
      </c>
      <c r="AM666" s="1323">
        <v>46153</v>
      </c>
      <c r="AN666" s="1323">
        <v>46155</v>
      </c>
      <c r="AO666" s="1323">
        <v>46156</v>
      </c>
      <c r="AP666" s="1323"/>
      <c r="AQ666" s="1323"/>
      <c r="AR666" s="987"/>
      <c r="AS666" s="978" t="str">
        <f t="shared" si="114"/>
        <v>雙</v>
      </c>
      <c r="AT666" s="978" t="str">
        <f t="shared" si="115"/>
        <v>半</v>
      </c>
      <c r="AU666" s="978">
        <f t="shared" si="116"/>
        <v>150</v>
      </c>
      <c r="AV666" s="978">
        <f t="shared" si="117"/>
        <v>3.3838430400000004</v>
      </c>
    </row>
    <row r="667" spans="1:48">
      <c r="A667" s="975">
        <f t="shared" si="118"/>
        <v>46159</v>
      </c>
      <c r="B667" s="976" t="s">
        <v>239</v>
      </c>
      <c r="C667" s="976" t="s">
        <v>632</v>
      </c>
      <c r="D667" s="1410"/>
      <c r="E667" s="977" t="str">
        <f>IFERROR(VLOOKUP(C667, [6]條件!$A:$L, 5, 0), "")</f>
        <v/>
      </c>
      <c r="F667" s="978" t="str">
        <f>IFERROR(VLOOKUP(C667, [6]條件!$A:$L, 6, 0), "")</f>
        <v/>
      </c>
      <c r="G667" s="1411" t="str">
        <f>IFERROR(VLOOKUP(C667, [6]條件!$A:$L, 7, 0), "")</f>
        <v/>
      </c>
      <c r="H667" s="978" t="str">
        <f>IF(ISNA(VLOOKUP(C667,[6]條件!$A$1:$K$932,11,0)),"",(VLOOKUP(C667,[6]條件!$A$1:$K$932,11,0)))</f>
        <v/>
      </c>
      <c r="I667" s="979" t="str">
        <f>IF(ISNA(VLOOKUP(C667,[6]條件!$A$1:$L$932,12,0)),"",(VLOOKUP(C667,[6]條件!$A$1:$L$932,12,0)))</f>
        <v/>
      </c>
      <c r="J667" s="982"/>
      <c r="K667" s="980"/>
      <c r="L667" s="981" t="s">
        <v>632</v>
      </c>
      <c r="M667" s="983"/>
      <c r="N667" s="982"/>
      <c r="O667" s="980"/>
      <c r="P667" s="981" t="s">
        <v>632</v>
      </c>
      <c r="Q667" s="983"/>
      <c r="R667" s="982"/>
      <c r="S667" s="980"/>
      <c r="T667" s="981" t="s">
        <v>632</v>
      </c>
      <c r="U667" s="983"/>
      <c r="V667" s="982"/>
      <c r="W667" s="980"/>
      <c r="X667" s="981" t="s">
        <v>632</v>
      </c>
      <c r="Y667" s="983"/>
      <c r="Z667" s="1412" t="str">
        <f>IFERROR(VLOOKUP(C667, [6]條件!$A:$L, 3, 0), "")</f>
        <v/>
      </c>
      <c r="AA667" s="984" t="str">
        <f>IF(OR(L667={"改紡","檢修","了機","清車","FINAL","停機","SAMPLE","TEST","絲開發"}), L667, IFERROR(IF(C667="", "", (SUM(J667, N667, R667, V667)/3 * AG667) * IF(AND(AF667="S", AS667="雙"), 0.5, 1)), ""))</f>
        <v>停機</v>
      </c>
      <c r="AB667" s="1413" t="str">
        <f t="shared" si="110"/>
        <v/>
      </c>
      <c r="AC667" s="984" t="str">
        <f>IF(OR(L667={"改紡","檢修","了機","清車","FINAL","停機","SAMPLE","TEST"}), "", IFERROR(IF(C667="", "", AVERAGE(L667:M667, P667:Q667, T667:U667, X667:Y667)/100), ""))</f>
        <v/>
      </c>
      <c r="AD667" s="984" t="str">
        <f t="shared" si="112"/>
        <v/>
      </c>
      <c r="AE667" s="984" t="str">
        <f t="shared" si="111"/>
        <v/>
      </c>
      <c r="AF667" s="985" t="str">
        <f t="shared" si="113"/>
        <v>T</v>
      </c>
      <c r="AG667" s="1414">
        <v>1</v>
      </c>
      <c r="AH667" s="981" t="s">
        <v>640</v>
      </c>
      <c r="AI667" s="1440" t="s">
        <v>640</v>
      </c>
      <c r="AJ667" s="986" t="s">
        <v>640</v>
      </c>
      <c r="AK667" s="1417" t="s">
        <v>640</v>
      </c>
      <c r="AL667" s="1415"/>
      <c r="AM667" s="1323"/>
      <c r="AN667" s="1323"/>
      <c r="AO667" s="1323"/>
      <c r="AP667" s="1323"/>
      <c r="AQ667" s="1323"/>
      <c r="AR667" s="987"/>
      <c r="AS667" s="978" t="str">
        <f t="shared" si="114"/>
        <v>單</v>
      </c>
      <c r="AT667" s="978" t="str">
        <f t="shared" si="115"/>
        <v>全</v>
      </c>
      <c r="AU667" s="978" t="str">
        <f t="shared" si="116"/>
        <v/>
      </c>
      <c r="AV667" s="978" t="str">
        <f t="shared" si="117"/>
        <v/>
      </c>
    </row>
    <row r="668" spans="1:48">
      <c r="A668" s="975">
        <f t="shared" si="118"/>
        <v>46159</v>
      </c>
      <c r="B668" s="976" t="s">
        <v>388</v>
      </c>
      <c r="C668" s="976" t="s">
        <v>16775</v>
      </c>
      <c r="D668" s="1410" t="s">
        <v>633</v>
      </c>
      <c r="E668" s="977" t="str">
        <f>IFERROR(VLOOKUP(C668, [6]條件!$A:$L, 5, 0), "")</f>
        <v>150/48/2SDr</v>
      </c>
      <c r="F668" s="978" t="str">
        <f>IFERROR(VLOOKUP(C668, [6]條件!$A:$L, 6, 0), "")</f>
        <v>FP82173R×2</v>
      </c>
      <c r="G668" s="1411">
        <f>IFERROR(VLOOKUP(C668, [6]條件!$A:$L, 7, 0), "")</f>
        <v>700</v>
      </c>
      <c r="H668" s="978" t="str">
        <f>IF(ISNA(VLOOKUP(C668,[6]條件!$A$1:$K$932,11,0)),"",(VLOOKUP(C668,[6]條件!$A$1:$K$932,11,0)))</f>
        <v>黃紅雙色</v>
      </c>
      <c r="I668" s="979">
        <f>IF(ISNA(VLOOKUP(C668,[6]條件!$A$1:$L$932,12,0)),"",(VLOOKUP(C668,[6]條件!$A$1:$L$932,12,0)))</f>
        <v>5.5</v>
      </c>
      <c r="J668" s="982">
        <v>24</v>
      </c>
      <c r="K668" s="980">
        <v>0</v>
      </c>
      <c r="L668" s="981">
        <v>8520</v>
      </c>
      <c r="M668" s="983">
        <v>10000</v>
      </c>
      <c r="N668" s="982">
        <v>20</v>
      </c>
      <c r="O668" s="980">
        <v>0</v>
      </c>
      <c r="P668" s="981">
        <v>8520</v>
      </c>
      <c r="Q668" s="983">
        <v>10000</v>
      </c>
      <c r="R668" s="982">
        <v>16</v>
      </c>
      <c r="S668" s="980">
        <v>0</v>
      </c>
      <c r="T668" s="981">
        <v>8520</v>
      </c>
      <c r="U668" s="983">
        <v>9910</v>
      </c>
      <c r="V668" s="982">
        <v>7</v>
      </c>
      <c r="W668" s="980">
        <v>0</v>
      </c>
      <c r="X668" s="981">
        <v>8520</v>
      </c>
      <c r="Y668" s="983">
        <v>9910</v>
      </c>
      <c r="Z668" s="1412">
        <f>IFERROR(VLOOKUP(C668, [6]條件!$A:$L, 3, 0), "")</f>
        <v>5.8536585365853666</v>
      </c>
      <c r="AA668" s="984">
        <f>IF(OR(L668={"改紡","檢修","了機","清車","FINAL","停機","SAMPLE","TEST","絲開發"}), L668, IFERROR(IF(C668="", "", (SUM(J668, N668, R668, V668)/3 * AG668) * IF(AND(AF668="S", AS668="雙"), 0.5, 1)), ""))</f>
        <v>22.333333333333332</v>
      </c>
      <c r="AB668" s="1413">
        <f t="shared" si="110"/>
        <v>1</v>
      </c>
      <c r="AC668" s="984">
        <f>IF(OR(L668={"改紡","檢修","了機","清車","FINAL","停機","SAMPLE","TEST"}), "", IFERROR(IF(C668="", "", AVERAGE(L668:M668, P668:Q668, T668:U668, X668:Y668)/100), ""))</f>
        <v>92.375</v>
      </c>
      <c r="AD668" s="984">
        <f t="shared" si="112"/>
        <v>2.7916666666666665</v>
      </c>
      <c r="AE668" s="984">
        <f t="shared" si="111"/>
        <v>2.7916666666666665</v>
      </c>
      <c r="AF668" s="985" t="str">
        <f t="shared" si="113"/>
        <v>T</v>
      </c>
      <c r="AG668" s="1414">
        <v>1</v>
      </c>
      <c r="AH668" s="981" t="s">
        <v>15337</v>
      </c>
      <c r="AI668" s="1440" t="s">
        <v>15337</v>
      </c>
      <c r="AJ668" s="986" t="s">
        <v>835</v>
      </c>
      <c r="AK668" s="1417" t="s">
        <v>835</v>
      </c>
      <c r="AL668" s="1415">
        <v>56</v>
      </c>
      <c r="AM668" s="1323">
        <v>46154</v>
      </c>
      <c r="AN668" s="1323">
        <v>46155</v>
      </c>
      <c r="AO668" s="1323">
        <v>46156</v>
      </c>
      <c r="AP668" s="1323"/>
      <c r="AQ668" s="1323"/>
      <c r="AR668" s="987"/>
      <c r="AS668" s="978" t="str">
        <f t="shared" si="114"/>
        <v>雙</v>
      </c>
      <c r="AT668" s="978" t="str">
        <f t="shared" si="115"/>
        <v>全</v>
      </c>
      <c r="AU668" s="978">
        <f t="shared" si="116"/>
        <v>150</v>
      </c>
      <c r="AV668" s="978">
        <f t="shared" si="117"/>
        <v>6.7042080000000004</v>
      </c>
    </row>
    <row r="669" spans="1:48">
      <c r="A669" s="975">
        <f t="shared" si="118"/>
        <v>46159</v>
      </c>
      <c r="B669" s="976" t="s">
        <v>417</v>
      </c>
      <c r="C669" s="976" t="s">
        <v>16767</v>
      </c>
      <c r="D669" s="1410" t="s">
        <v>633</v>
      </c>
      <c r="E669" s="977" t="str">
        <f>IFERROR(VLOOKUP(C669, [6]條件!$A:$L, 5, 0), "")</f>
        <v>150/48/2SDr</v>
      </c>
      <c r="F669" s="978" t="str">
        <f>IFERROR(VLOOKUP(C669, [6]條件!$A:$L, 6, 0), "")</f>
        <v>FP82173R×2</v>
      </c>
      <c r="G669" s="1411">
        <f>IFERROR(VLOOKUP(C669, [6]條件!$A:$L, 7, 0), "")</f>
        <v>700</v>
      </c>
      <c r="H669" s="978" t="str">
        <f>IF(ISNA(VLOOKUP(C669,[6]條件!$A$1:$K$932,11,0)),"",(VLOOKUP(C669,[6]條件!$A$1:$K$932,11,0)))</f>
        <v>棕色</v>
      </c>
      <c r="I669" s="979">
        <f>IF(ISNA(VLOOKUP(C669,[6]條件!$A$1:$L$932,12,0)),"",(VLOOKUP(C669,[6]條件!$A$1:$L$932,12,0)))</f>
        <v>5.5</v>
      </c>
      <c r="J669" s="982">
        <v>16</v>
      </c>
      <c r="K669" s="980">
        <v>0</v>
      </c>
      <c r="L669" s="981">
        <v>9810</v>
      </c>
      <c r="M669" s="983">
        <v>9630</v>
      </c>
      <c r="N669" s="982">
        <v>9</v>
      </c>
      <c r="O669" s="980">
        <v>0</v>
      </c>
      <c r="P669" s="981">
        <v>9810</v>
      </c>
      <c r="Q669" s="983">
        <v>9630</v>
      </c>
      <c r="R669" s="982">
        <v>15</v>
      </c>
      <c r="S669" s="980">
        <v>0</v>
      </c>
      <c r="T669" s="981">
        <v>9810</v>
      </c>
      <c r="U669" s="983">
        <v>9630</v>
      </c>
      <c r="V669" s="982">
        <v>12</v>
      </c>
      <c r="W669" s="980">
        <v>1</v>
      </c>
      <c r="X669" s="981">
        <v>9720</v>
      </c>
      <c r="Y669" s="983">
        <v>9540</v>
      </c>
      <c r="Z669" s="1412">
        <f>IFERROR(VLOOKUP(C669, [6]條件!$A:$L, 3, 0), "")</f>
        <v>5.8536585365853666</v>
      </c>
      <c r="AA669" s="984">
        <f>IF(OR(L669={"改紡","檢修","了機","清車","FINAL","停機","SAMPLE","TEST","絲開發"}), L669, IFERROR(IF(C669="", "", (SUM(J669, N669, R669, V669)/3 * AG669) * IF(AND(AF669="S", AS669="雙"), 0.5, 1)), ""))</f>
        <v>17.333333333333332</v>
      </c>
      <c r="AB669" s="1413">
        <f t="shared" si="110"/>
        <v>0.99917868589743586</v>
      </c>
      <c r="AC669" s="984">
        <f>IF(OR(L669={"改紡","檢修","了機","清車","FINAL","停機","SAMPLE","TEST"}), "", IFERROR(IF(C669="", "", AVERAGE(L669:M669, P669:Q669, T669:U669, X669:Y669)/100), ""))</f>
        <v>96.974999999999994</v>
      </c>
      <c r="AD669" s="984">
        <f t="shared" si="112"/>
        <v>2.1666666666666665</v>
      </c>
      <c r="AE669" s="984">
        <f t="shared" si="111"/>
        <v>2.125</v>
      </c>
      <c r="AF669" s="985" t="str">
        <f t="shared" si="113"/>
        <v>T</v>
      </c>
      <c r="AG669" s="1414">
        <v>1</v>
      </c>
      <c r="AH669" s="981" t="s">
        <v>15337</v>
      </c>
      <c r="AI669" s="1440" t="s">
        <v>15337</v>
      </c>
      <c r="AJ669" s="986" t="s">
        <v>835</v>
      </c>
      <c r="AK669" s="1417" t="s">
        <v>835</v>
      </c>
      <c r="AL669" s="1415">
        <v>56</v>
      </c>
      <c r="AM669" s="1323">
        <v>46154</v>
      </c>
      <c r="AN669" s="1323">
        <v>46155</v>
      </c>
      <c r="AO669" s="1323"/>
      <c r="AP669" s="1323"/>
      <c r="AQ669" s="1323"/>
      <c r="AR669" s="987"/>
      <c r="AS669" s="978" t="str">
        <f t="shared" si="114"/>
        <v>雙</v>
      </c>
      <c r="AT669" s="978" t="str">
        <f t="shared" si="115"/>
        <v>全</v>
      </c>
      <c r="AU669" s="978">
        <f t="shared" si="116"/>
        <v>150</v>
      </c>
      <c r="AV669" s="978">
        <f t="shared" si="117"/>
        <v>7.0380576000000001</v>
      </c>
    </row>
    <row r="670" spans="1:48">
      <c r="A670" s="975">
        <f t="shared" si="118"/>
        <v>46159</v>
      </c>
      <c r="B670" s="976" t="s">
        <v>240</v>
      </c>
      <c r="C670" s="976" t="s">
        <v>16776</v>
      </c>
      <c r="D670" s="1410"/>
      <c r="E670" s="977" t="str">
        <f>IFERROR(VLOOKUP(C670, [6]條件!$A:$L, 5, 0), "")</f>
        <v>50/72/2SDFFR</v>
      </c>
      <c r="F670" s="978" t="str">
        <f>IFERROR(VLOOKUP(C670, [6]條件!$A:$L, 6, 0), "")</f>
        <v>FP80099R×2</v>
      </c>
      <c r="G670" s="1411">
        <f>IFERROR(VLOOKUP(C670, [6]條件!$A:$L, 7, 0), "")</f>
        <v>500</v>
      </c>
      <c r="H670" s="978" t="str">
        <f>IF(ISNA(VLOOKUP(C670,[6]條件!$A$1:$K$932,11,0)),"",(VLOOKUP(C670,[6]條件!$A$1:$K$932,11,0)))</f>
        <v>白黑三角</v>
      </c>
      <c r="I670" s="979">
        <f>IF(ISNA(VLOOKUP(C670,[6]條件!$A$1:$L$932,12,0)),"",(VLOOKUP(C670,[6]條件!$A$1:$L$932,12,0)))</f>
        <v>4</v>
      </c>
      <c r="J670" s="982">
        <v>20</v>
      </c>
      <c r="K670" s="980">
        <v>0</v>
      </c>
      <c r="L670" s="981">
        <v>4277</v>
      </c>
      <c r="M670" s="983"/>
      <c r="N670" s="982">
        <v>6</v>
      </c>
      <c r="O670" s="980">
        <v>0</v>
      </c>
      <c r="P670" s="981">
        <v>1837</v>
      </c>
      <c r="Q670" s="983"/>
      <c r="R670" s="982">
        <v>2</v>
      </c>
      <c r="S670" s="980">
        <v>0</v>
      </c>
      <c r="T670" s="981">
        <v>1941</v>
      </c>
      <c r="U670" s="983"/>
      <c r="V670" s="982">
        <v>4</v>
      </c>
      <c r="W670" s="980">
        <v>0</v>
      </c>
      <c r="X670" s="981">
        <v>1789</v>
      </c>
      <c r="Y670" s="983"/>
      <c r="Z670" s="1422">
        <f>IFERROR(VLOOKUP(C670, [6]條件!$A:$L, 3, 0), "")</f>
        <v>2.028169014084507</v>
      </c>
      <c r="AA670" s="1167">
        <f>IF(OR(L670={"改紡","檢修","了機","清車","FINAL","停機","SAMPLE","TEST","絲開發"}), L670, IFERROR(IF(C670="", "", (SUM(J670, N670, R670, V670)/3 * AG670) * IF(AND(AF670="S", AS670="雙"), 0.5, 1)), ""))</f>
        <v>16</v>
      </c>
      <c r="AB670" s="1423">
        <f>IF(K670="","",IF(ISERROR(1-((SUM(K670,O670,S670,W670)/((AG670*12)-(AG670*0.44)))/Z670)),"",(1-((SUM(K670,O670,S670,W670)/((AG670*12)-(AG670*0.44)))/Z670))))</f>
        <v>1</v>
      </c>
      <c r="AC670" s="1167">
        <f>IF(OR(L670={"改紡","檢修","了機","清車","FINAL","停機","SAMPLE","TEST"}), "", IFERROR(IF(C670="", "", AVERAGE(L670:M670, P670:Q670, T670:U670, X670:Y670)/100), ""))</f>
        <v>24.61</v>
      </c>
      <c r="AD670" s="1167">
        <f t="shared" si="112"/>
        <v>2</v>
      </c>
      <c r="AE670" s="1167">
        <f>IF(P670="了機","",IF(J670="","",IF(ISERROR((SUM(J670,N670,R670,V670)-SUM(K670,O670,S670,W670))/24),"",((SUM(J670,N670,R670,V670)-SUM(K670,O670,S670,W670))/24))))</f>
        <v>1.3333333333333333</v>
      </c>
      <c r="AF670" s="1168" t="str">
        <f t="shared" si="113"/>
        <v>S</v>
      </c>
      <c r="AG670" s="1424">
        <v>3</v>
      </c>
      <c r="AH670" s="981" t="s">
        <v>15848</v>
      </c>
      <c r="AI670" s="1440" t="s">
        <v>815</v>
      </c>
      <c r="AJ670" s="986" t="s">
        <v>636</v>
      </c>
      <c r="AK670" s="1417" t="s">
        <v>636</v>
      </c>
      <c r="AL670" s="1415">
        <v>50</v>
      </c>
      <c r="AM670" s="1323">
        <v>46043</v>
      </c>
      <c r="AN670" s="1323">
        <v>46044</v>
      </c>
      <c r="AO670" s="1323"/>
      <c r="AP670" s="1323"/>
      <c r="AQ670" s="1323"/>
      <c r="AR670" s="987"/>
      <c r="AS670" s="978" t="str">
        <f t="shared" si="114"/>
        <v>雙</v>
      </c>
      <c r="AT670" s="978" t="str">
        <f t="shared" si="115"/>
        <v>3sec</v>
      </c>
      <c r="AU670" s="978">
        <f t="shared" si="116"/>
        <v>50</v>
      </c>
      <c r="AV670" s="978">
        <f t="shared" si="117"/>
        <v>2.65788E-2</v>
      </c>
    </row>
    <row r="671" spans="1:48">
      <c r="A671" s="975">
        <f t="shared" si="118"/>
        <v>46159</v>
      </c>
      <c r="B671" s="976" t="s">
        <v>240</v>
      </c>
      <c r="C671" s="976" t="s">
        <v>16777</v>
      </c>
      <c r="D671" s="1410"/>
      <c r="E671" s="977" t="str">
        <f>IFERROR(VLOOKUP(C671, [6]條件!$A:$L, 5, 0), "")</f>
        <v>75/72/2SDFFR</v>
      </c>
      <c r="F671" s="978" t="str">
        <f>IFERROR(VLOOKUP(C671, [6]條件!$A:$L, 6, 0), "")</f>
        <v>FP81209R×2</v>
      </c>
      <c r="G671" s="1411">
        <f>IFERROR(VLOOKUP(C671, [6]條件!$A:$L, 7, 0), "")</f>
        <v>600</v>
      </c>
      <c r="H671" s="978" t="str">
        <f>IF(ISNA(VLOOKUP(C671,[6]條件!$A$1:$K$932,11,0)),"",(VLOOKUP(C671,[6]條件!$A$1:$K$932,11,0)))</f>
        <v>白底紅十字</v>
      </c>
      <c r="I671" s="979">
        <f>IF(ISNA(VLOOKUP(C671,[6]條件!$A$1:$L$932,12,0)),"",(VLOOKUP(C671,[6]條件!$A$1:$L$932,12,0)))</f>
        <v>5</v>
      </c>
      <c r="J671" s="982">
        <v>8</v>
      </c>
      <c r="K671" s="980">
        <v>0</v>
      </c>
      <c r="L671" s="981">
        <v>4277</v>
      </c>
      <c r="M671" s="983"/>
      <c r="N671" s="982">
        <v>2</v>
      </c>
      <c r="O671" s="980">
        <v>0</v>
      </c>
      <c r="P671" s="981">
        <v>1837</v>
      </c>
      <c r="Q671" s="983"/>
      <c r="R671" s="982">
        <v>2</v>
      </c>
      <c r="S671" s="980">
        <v>0</v>
      </c>
      <c r="T671" s="981">
        <v>1941</v>
      </c>
      <c r="U671" s="983"/>
      <c r="V671" s="982">
        <v>12</v>
      </c>
      <c r="W671" s="980">
        <v>0</v>
      </c>
      <c r="X671" s="981">
        <v>1789</v>
      </c>
      <c r="Y671" s="983"/>
      <c r="Z671" s="1422">
        <f>IFERROR(VLOOKUP(C671, [6]條件!$A:$L, 3, 0), "")</f>
        <v>2.7852998065764023</v>
      </c>
      <c r="AA671" s="1167">
        <f>IF(OR(L671={"改紡","檢修","了機","清車","FINAL","停機","SAMPLE","TEST","絲開發"}), L671, IFERROR(IF(C671="", "", (SUM(J671, N671, R671, V671)/3 * AG671) * IF(AND(AF671="S", AS671="雙"), 0.5, 1)), ""))</f>
        <v>12</v>
      </c>
      <c r="AB671" s="1423">
        <f>IF(K671="","",IF(ISERROR(1-((SUM(K671,O671,S671,W671)/((AG671*12)-(AG671*0.44)))/Z671)),"",(1-((SUM(K671,O671,S671,W671)/((AG671*12)-(AG671*0.44)))/Z671))))</f>
        <v>1</v>
      </c>
      <c r="AC671" s="1167">
        <f>IF(OR(L671={"改紡","檢修","了機","清車","FINAL","停機","SAMPLE","TEST"}), "", IFERROR(IF(C671="", "", AVERAGE(L671:M671, P671:Q671, T671:U671, X671:Y671)/100), ""))</f>
        <v>24.61</v>
      </c>
      <c r="AD671" s="1167">
        <f t="shared" si="112"/>
        <v>1.5</v>
      </c>
      <c r="AE671" s="1167">
        <f>IF(P671="了機","",IF(J671="","",IF(ISERROR((SUM(J671,N671,R671,V671)-SUM(K671,O671,S671,W671))/24),"",((SUM(J671,N671,R671,V671)-SUM(K671,O671,S671,W671))/24))))</f>
        <v>1</v>
      </c>
      <c r="AF671" s="1168" t="str">
        <f t="shared" si="113"/>
        <v>S</v>
      </c>
      <c r="AG671" s="1424">
        <v>3</v>
      </c>
      <c r="AH671" s="981" t="s">
        <v>15848</v>
      </c>
      <c r="AI671" s="1440" t="s">
        <v>815</v>
      </c>
      <c r="AJ671" s="986" t="s">
        <v>636</v>
      </c>
      <c r="AK671" s="1417" t="s">
        <v>636</v>
      </c>
      <c r="AL671" s="1415">
        <v>50</v>
      </c>
      <c r="AM671" s="1323">
        <v>46087</v>
      </c>
      <c r="AN671" s="1323">
        <v>46089</v>
      </c>
      <c r="AO671" s="1323"/>
      <c r="AP671" s="1323"/>
      <c r="AQ671" s="1323"/>
      <c r="AR671" s="987"/>
      <c r="AS671" s="978" t="str">
        <f t="shared" si="114"/>
        <v>雙</v>
      </c>
      <c r="AT671" s="978" t="str">
        <f t="shared" si="115"/>
        <v>3sec</v>
      </c>
      <c r="AU671" s="978">
        <f t="shared" si="116"/>
        <v>75</v>
      </c>
      <c r="AV671" s="978">
        <f t="shared" si="117"/>
        <v>4.7841840000000004E-2</v>
      </c>
    </row>
    <row r="672" spans="1:48">
      <c r="A672" s="975">
        <f t="shared" si="118"/>
        <v>46159</v>
      </c>
      <c r="B672" s="976" t="s">
        <v>242</v>
      </c>
      <c r="C672" s="976" t="s">
        <v>385</v>
      </c>
      <c r="D672" s="1410"/>
      <c r="E672" s="977" t="str">
        <f>IFERROR(VLOOKUP(C672, [6]條件!$A:$L, 5, 0), "")</f>
        <v/>
      </c>
      <c r="F672" s="978" t="str">
        <f>IFERROR(VLOOKUP(C672, [6]條件!$A:$L, 6, 0), "")</f>
        <v/>
      </c>
      <c r="G672" s="1411" t="str">
        <f>IFERROR(VLOOKUP(C672, [6]條件!$A:$L, 7, 0), "")</f>
        <v/>
      </c>
      <c r="H672" s="978" t="str">
        <f>IF(ISNA(VLOOKUP(C672,[6]條件!$A$1:$K$932,11,0)),"",(VLOOKUP(C672,[6]條件!$A$1:$K$932,11,0)))</f>
        <v/>
      </c>
      <c r="I672" s="979" t="str">
        <f>IF(ISNA(VLOOKUP(C672,[6]條件!$A$1:$L$932,12,0)),"",(VLOOKUP(C672,[6]條件!$A$1:$L$932,12,0)))</f>
        <v/>
      </c>
      <c r="J672" s="982"/>
      <c r="K672" s="980"/>
      <c r="L672" s="981" t="s">
        <v>385</v>
      </c>
      <c r="M672" s="983"/>
      <c r="N672" s="982"/>
      <c r="O672" s="980"/>
      <c r="P672" s="981" t="s">
        <v>385</v>
      </c>
      <c r="Q672" s="983"/>
      <c r="R672" s="982"/>
      <c r="S672" s="980"/>
      <c r="T672" s="981" t="s">
        <v>385</v>
      </c>
      <c r="U672" s="983"/>
      <c r="V672" s="982"/>
      <c r="W672" s="980"/>
      <c r="X672" s="981" t="s">
        <v>385</v>
      </c>
      <c r="Y672" s="983"/>
      <c r="Z672" s="1422" t="str">
        <f>IFERROR(VLOOKUP(C672, [6]條件!$A:$L, 3, 0), "")</f>
        <v/>
      </c>
      <c r="AA672" s="1167" t="str">
        <f>IF(OR(L672={"改紡","檢修","了機","清車","FINAL","停機","SAMPLE","TEST","絲開發"}), L672, IFERROR(IF(C672="", "", (SUM(J672, N672, R672, V672)/3 * AG672) * IF(AND(AF672="S", AS672="雙"), 0.5, 1)), ""))</f>
        <v>絲開發</v>
      </c>
      <c r="AB672" s="1423" t="str">
        <f>IF(K672="","",IF(ISERROR(1-((SUM(K672,O672,S672,W672)/((AG672*12)-(AG672*0.44)))/Z672)),"",(1-((SUM(K672,O672,S672,W672)/((AG672*12)-(AG672*0.44)))/Z672))))</f>
        <v/>
      </c>
      <c r="AC672" s="1167" t="str">
        <f>IF(OR(L672={"改紡","檢修","了機","清車","FINAL","停機","SAMPLE","TEST"}), "", IFERROR(IF(C672="", "", AVERAGE(L672:M672, P672:Q672, T672:U672, X672:Y672)/100), ""))</f>
        <v/>
      </c>
      <c r="AD672" s="1167" t="str">
        <f t="shared" si="112"/>
        <v/>
      </c>
      <c r="AE672" s="1167" t="str">
        <f>IF(P672="了機","",IF(J672="","",IF(ISERROR((SUM(J672,N672,R672,V672)-SUM(K672,O672,S672,W672))/24),"",((SUM(J672,N672,R672,V672)-SUM(K672,O672,S672,W672))/24))))</f>
        <v/>
      </c>
      <c r="AF672" s="1168" t="str">
        <f t="shared" si="113"/>
        <v>S</v>
      </c>
      <c r="AG672" s="1424">
        <v>5</v>
      </c>
      <c r="AH672" s="981" t="s">
        <v>15848</v>
      </c>
      <c r="AI672" s="1440" t="s">
        <v>815</v>
      </c>
      <c r="AJ672" s="986" t="s">
        <v>636</v>
      </c>
      <c r="AK672" s="1417" t="s">
        <v>636</v>
      </c>
      <c r="AL672" s="1415"/>
      <c r="AM672" s="1323"/>
      <c r="AN672" s="1323"/>
      <c r="AO672" s="1323"/>
      <c r="AP672" s="1323"/>
      <c r="AQ672" s="1323"/>
      <c r="AR672" s="987"/>
      <c r="AS672" s="978" t="str">
        <f t="shared" si="114"/>
        <v>單</v>
      </c>
      <c r="AT672" s="978" t="str">
        <f t="shared" si="115"/>
        <v>5sec</v>
      </c>
      <c r="AU672" s="978" t="str">
        <f t="shared" si="116"/>
        <v/>
      </c>
      <c r="AV672" s="978" t="str">
        <f t="shared" si="117"/>
        <v/>
      </c>
    </row>
    <row r="673" spans="1:48">
      <c r="A673" s="975">
        <f t="shared" si="118"/>
        <v>46159</v>
      </c>
      <c r="B673" s="976" t="s">
        <v>16078</v>
      </c>
      <c r="C673" s="988" t="s">
        <v>16185</v>
      </c>
      <c r="D673" s="1410"/>
      <c r="E673" s="977" t="str">
        <f>IFERROR(VLOOKUP(C673, [6]條件!$A:$L, 5, 0), "")</f>
        <v/>
      </c>
      <c r="F673" s="978" t="str">
        <f>IFERROR(VLOOKUP(C673, [6]條件!$A:$L, 6, 0), "")</f>
        <v/>
      </c>
      <c r="G673" s="1411" t="str">
        <f>IFERROR(VLOOKUP(C673, [6]條件!$A:$L, 7, 0), "")</f>
        <v/>
      </c>
      <c r="H673" s="978" t="str">
        <f>IF(ISNA(VLOOKUP(C673,[6]條件!$A$1:$K$932,11,0)),"",(VLOOKUP(C673,[6]條件!$A$1:$K$932,11,0)))</f>
        <v/>
      </c>
      <c r="I673" s="979" t="str">
        <f>IF(ISNA(VLOOKUP(C673,[6]條件!$A$1:$L$932,12,0)),"",(VLOOKUP(C673,[6]條件!$A$1:$L$932,12,0)))</f>
        <v/>
      </c>
      <c r="J673" s="982"/>
      <c r="K673" s="980"/>
      <c r="L673" s="981" t="s">
        <v>632</v>
      </c>
      <c r="M673" s="983"/>
      <c r="N673" s="982"/>
      <c r="O673" s="980"/>
      <c r="P673" s="981" t="s">
        <v>632</v>
      </c>
      <c r="Q673" s="983"/>
      <c r="R673" s="982"/>
      <c r="S673" s="980"/>
      <c r="T673" s="981" t="s">
        <v>632</v>
      </c>
      <c r="U673" s="983"/>
      <c r="V673" s="982"/>
      <c r="W673" s="980"/>
      <c r="X673" s="981" t="s">
        <v>632</v>
      </c>
      <c r="Y673" s="983"/>
      <c r="Z673" s="1412" t="str">
        <f>IFERROR(VLOOKUP(C673, [6]條件!$A:$L, 3, 0), "")</f>
        <v/>
      </c>
      <c r="AA673" s="984" t="str">
        <f>IF(OR(L673={"改紡","檢修","了機","清車","FINAL","停機","SAMPLE","TEST","絲開發"}), L673, IFERROR(IF(C673="", "", (SUM(J673, N673, R673, V673)/3 * AG673) * IF(AND(AF673="S", AS673="雙"), 0.5, 1)), ""))</f>
        <v>停機</v>
      </c>
      <c r="AB673" s="1413" t="str">
        <f t="shared" ref="AB673:AB708" si="119">IF(K673="","",IF(ISERROR(1-(SUM(K673,O673,S673,W673)/208/Z673)),"",(1-(SUM(K673,O673,S673,W673)/208/Z673))))</f>
        <v/>
      </c>
      <c r="AC673" s="984" t="str">
        <f>IF(OR(L673={"改紡","檢修","了機","清車","FINAL","停機","SAMPLE","TEST"}), "", IFERROR(IF(C673="", "", AVERAGE(L673:M673, P673:Q673, T673:U673, X673:Y673)/100), ""))</f>
        <v/>
      </c>
      <c r="AD673" s="984" t="str">
        <f t="shared" si="112"/>
        <v/>
      </c>
      <c r="AE673" s="984" t="str">
        <f>IF(OR(L673="改紡", L673="檢修", L673="了機"), "",
   IF(AND(C673&lt;&gt;"", J673&lt;&gt;""),
      IFERROR((SUM(J673, N673, R673, V673) - SUM(K673, O673, S673, W673))/24 * AG673, ""),
   "")
)</f>
        <v/>
      </c>
      <c r="AF673" s="985" t="str">
        <f t="shared" si="113"/>
        <v>M</v>
      </c>
      <c r="AG673" s="1414">
        <v>1</v>
      </c>
      <c r="AH673" s="981" t="s">
        <v>640</v>
      </c>
      <c r="AI673" s="986" t="s">
        <v>640</v>
      </c>
      <c r="AJ673" s="986" t="s">
        <v>640</v>
      </c>
      <c r="AK673" s="1417" t="s">
        <v>640</v>
      </c>
      <c r="AL673" s="1415"/>
      <c r="AM673" s="1323"/>
      <c r="AN673" s="1323"/>
      <c r="AO673" s="1323"/>
      <c r="AP673" s="1323"/>
      <c r="AQ673" s="1323"/>
      <c r="AR673" s="987"/>
      <c r="AS673" s="978" t="str">
        <f t="shared" si="114"/>
        <v>單</v>
      </c>
      <c r="AT673" s="978" t="str">
        <f t="shared" si="115"/>
        <v>全</v>
      </c>
      <c r="AU673" s="978" t="str">
        <f t="shared" si="116"/>
        <v/>
      </c>
      <c r="AV673" s="978" t="str">
        <f t="shared" si="117"/>
        <v/>
      </c>
    </row>
    <row r="674" spans="1:48">
      <c r="A674" s="975">
        <f t="shared" si="118"/>
        <v>46159</v>
      </c>
      <c r="B674" s="976" t="s">
        <v>243</v>
      </c>
      <c r="C674" s="988" t="s">
        <v>16185</v>
      </c>
      <c r="D674" s="1410"/>
      <c r="E674" s="977" t="str">
        <f>IFERROR(VLOOKUP(C674, [6]條件!$A:$L, 5, 0), "")</f>
        <v/>
      </c>
      <c r="F674" s="978" t="str">
        <f>IFERROR(VLOOKUP(C674, [6]條件!$A:$L, 6, 0), "")</f>
        <v/>
      </c>
      <c r="G674" s="1411" t="str">
        <f>IFERROR(VLOOKUP(C674, [6]條件!$A:$L, 7, 0), "")</f>
        <v/>
      </c>
      <c r="H674" s="978" t="str">
        <f>IF(ISNA(VLOOKUP(C674,[6]條件!$A$1:$K$932,11,0)),"",(VLOOKUP(C674,[6]條件!$A$1:$K$932,11,0)))</f>
        <v/>
      </c>
      <c r="I674" s="979" t="str">
        <f>IF(ISNA(VLOOKUP(C674,[6]條件!$A$1:$L$932,12,0)),"",(VLOOKUP(C674,[6]條件!$A$1:$L$932,12,0)))</f>
        <v/>
      </c>
      <c r="J674" s="982"/>
      <c r="K674" s="980"/>
      <c r="L674" s="981" t="s">
        <v>632</v>
      </c>
      <c r="M674" s="983"/>
      <c r="N674" s="982"/>
      <c r="O674" s="980"/>
      <c r="P674" s="981" t="s">
        <v>632</v>
      </c>
      <c r="Q674" s="983"/>
      <c r="R674" s="982"/>
      <c r="S674" s="980"/>
      <c r="T674" s="981" t="s">
        <v>632</v>
      </c>
      <c r="U674" s="983"/>
      <c r="V674" s="982"/>
      <c r="W674" s="980"/>
      <c r="X674" s="981" t="s">
        <v>632</v>
      </c>
      <c r="Y674" s="983"/>
      <c r="Z674" s="1412" t="str">
        <f>IFERROR(VLOOKUP(C674, [6]條件!$A:$L, 3, 0), "")</f>
        <v/>
      </c>
      <c r="AA674" s="984" t="str">
        <f>IF(OR(L674={"改紡","檢修","了機","清車","FINAL","停機","SAMPLE","TEST","絲開發"}), L674, IFERROR(IF(C674="", "", (SUM(J674, N674, R674, V674)/3 * AG674) * IF(AND(AF674="S", AS674="雙"), 0.5, 1)), ""))</f>
        <v>停機</v>
      </c>
      <c r="AB674" s="1413" t="str">
        <f t="shared" si="119"/>
        <v/>
      </c>
      <c r="AC674" s="984" t="str">
        <f>IF(OR(L674={"改紡","檢修","了機","清車","FINAL","停機","SAMPLE","TEST"}), "", IFERROR(IF(C674="", "", AVERAGE(L674:M674, P674:Q674, T674:U674, X674:Y674)/100), ""))</f>
        <v/>
      </c>
      <c r="AD674" s="984" t="str">
        <f t="shared" si="112"/>
        <v/>
      </c>
      <c r="AE674" s="984" t="str">
        <f t="shared" ref="AE674:AE708" si="120">IF(OR(L674="改紡", L674="檢修", L674="了機"), "",
IF(AND(C674&lt;&gt;"", J674&lt;&gt;""),
IFERROR((SUM(J674, N674, R674, V674) - SUM(K674, O674, S674, W674))/24 * AG674, ""),
"")
)</f>
        <v/>
      </c>
      <c r="AF674" s="985" t="str">
        <f t="shared" si="113"/>
        <v>M</v>
      </c>
      <c r="AG674" s="1414">
        <v>1</v>
      </c>
      <c r="AH674" s="981" t="s">
        <v>640</v>
      </c>
      <c r="AI674" s="986" t="s">
        <v>640</v>
      </c>
      <c r="AJ674" s="986" t="s">
        <v>640</v>
      </c>
      <c r="AK674" s="1417" t="s">
        <v>640</v>
      </c>
      <c r="AL674" s="1415"/>
      <c r="AM674" s="1323"/>
      <c r="AN674" s="1323"/>
      <c r="AO674" s="1323"/>
      <c r="AP674" s="1323"/>
      <c r="AQ674" s="1323"/>
      <c r="AR674" s="987"/>
      <c r="AS674" s="978" t="str">
        <f t="shared" si="114"/>
        <v>單</v>
      </c>
      <c r="AT674" s="978" t="str">
        <f t="shared" si="115"/>
        <v>全</v>
      </c>
      <c r="AU674" s="978" t="str">
        <f t="shared" si="116"/>
        <v/>
      </c>
      <c r="AV674" s="978" t="str">
        <f t="shared" si="117"/>
        <v/>
      </c>
    </row>
    <row r="675" spans="1:48">
      <c r="A675" s="975">
        <f t="shared" si="118"/>
        <v>46159</v>
      </c>
      <c r="B675" s="976" t="s">
        <v>244</v>
      </c>
      <c r="C675" s="988" t="s">
        <v>16185</v>
      </c>
      <c r="D675" s="1410"/>
      <c r="E675" s="977" t="str">
        <f>IFERROR(VLOOKUP(C675, [6]條件!$A:$L, 5, 0), "")</f>
        <v/>
      </c>
      <c r="F675" s="978" t="str">
        <f>IFERROR(VLOOKUP(C675, [6]條件!$A:$L, 6, 0), "")</f>
        <v/>
      </c>
      <c r="G675" s="1411" t="str">
        <f>IFERROR(VLOOKUP(C675, [6]條件!$A:$L, 7, 0), "")</f>
        <v/>
      </c>
      <c r="H675" s="978" t="str">
        <f>IF(ISNA(VLOOKUP(C675,[6]條件!$A$1:$K$932,11,0)),"",(VLOOKUP(C675,[6]條件!$A$1:$K$932,11,0)))</f>
        <v/>
      </c>
      <c r="I675" s="979" t="str">
        <f>IF(ISNA(VLOOKUP(C675,[6]條件!$A$1:$L$932,12,0)),"",(VLOOKUP(C675,[6]條件!$A$1:$L$932,12,0)))</f>
        <v/>
      </c>
      <c r="J675" s="982"/>
      <c r="K675" s="980"/>
      <c r="L675" s="981" t="s">
        <v>632</v>
      </c>
      <c r="M675" s="983"/>
      <c r="N675" s="982"/>
      <c r="O675" s="980"/>
      <c r="P675" s="981" t="s">
        <v>632</v>
      </c>
      <c r="Q675" s="983"/>
      <c r="R675" s="982"/>
      <c r="S675" s="980"/>
      <c r="T675" s="981" t="s">
        <v>632</v>
      </c>
      <c r="U675" s="983"/>
      <c r="V675" s="982"/>
      <c r="W675" s="980"/>
      <c r="X675" s="981" t="s">
        <v>632</v>
      </c>
      <c r="Y675" s="983"/>
      <c r="Z675" s="1412" t="str">
        <f>IFERROR(VLOOKUP(C675, [6]條件!$A:$L, 3, 0), "")</f>
        <v/>
      </c>
      <c r="AA675" s="984" t="str">
        <f>IF(OR(L675={"改紡","檢修","了機","清車","FINAL","停機","SAMPLE","TEST","絲開發"}), L675, IFERROR(IF(C675="", "", (SUM(J675, N675, R675, V675)/3 * AG675) * IF(AND(AF675="S", AS675="雙"), 0.5, 1)), ""))</f>
        <v>停機</v>
      </c>
      <c r="AB675" s="1413" t="str">
        <f t="shared" si="119"/>
        <v/>
      </c>
      <c r="AC675" s="984" t="str">
        <f>IF(OR(L675={"改紡","檢修","了機","清車","FINAL","停機","SAMPLE","TEST"}), "", IFERROR(IF(C675="", "", AVERAGE(L675:M675, P675:Q675, T675:U675, X675:Y675)/100), ""))</f>
        <v/>
      </c>
      <c r="AD675" s="984" t="str">
        <f t="shared" si="112"/>
        <v/>
      </c>
      <c r="AE675" s="984" t="str">
        <f t="shared" si="120"/>
        <v/>
      </c>
      <c r="AF675" s="985" t="str">
        <f t="shared" si="113"/>
        <v>M</v>
      </c>
      <c r="AG675" s="1414">
        <v>1</v>
      </c>
      <c r="AH675" s="981" t="s">
        <v>640</v>
      </c>
      <c r="AI675" s="986" t="s">
        <v>640</v>
      </c>
      <c r="AJ675" s="986" t="s">
        <v>640</v>
      </c>
      <c r="AK675" s="1417" t="s">
        <v>640</v>
      </c>
      <c r="AL675" s="1415"/>
      <c r="AM675" s="1323"/>
      <c r="AN675" s="1323"/>
      <c r="AO675" s="1323"/>
      <c r="AP675" s="1323"/>
      <c r="AQ675" s="1323"/>
      <c r="AR675" s="987"/>
      <c r="AS675" s="978" t="str">
        <f t="shared" si="114"/>
        <v>單</v>
      </c>
      <c r="AT675" s="978" t="str">
        <f t="shared" si="115"/>
        <v>全</v>
      </c>
      <c r="AU675" s="978" t="str">
        <f t="shared" si="116"/>
        <v/>
      </c>
      <c r="AV675" s="978" t="str">
        <f t="shared" si="117"/>
        <v/>
      </c>
    </row>
    <row r="676" spans="1:48">
      <c r="A676" s="975">
        <f t="shared" si="118"/>
        <v>46159</v>
      </c>
      <c r="B676" s="976" t="s">
        <v>245</v>
      </c>
      <c r="C676" s="988" t="s">
        <v>16185</v>
      </c>
      <c r="D676" s="1410"/>
      <c r="E676" s="977" t="str">
        <f>IFERROR(VLOOKUP(C676, [6]條件!$A:$L, 5, 0), "")</f>
        <v/>
      </c>
      <c r="F676" s="978" t="str">
        <f>IFERROR(VLOOKUP(C676, [6]條件!$A:$L, 6, 0), "")</f>
        <v/>
      </c>
      <c r="G676" s="1411" t="str">
        <f>IFERROR(VLOOKUP(C676, [6]條件!$A:$L, 7, 0), "")</f>
        <v/>
      </c>
      <c r="H676" s="978" t="str">
        <f>IF(ISNA(VLOOKUP(C676,[6]條件!$A$1:$K$932,11,0)),"",(VLOOKUP(C676,[6]條件!$A$1:$K$932,11,0)))</f>
        <v/>
      </c>
      <c r="I676" s="979" t="str">
        <f>IF(ISNA(VLOOKUP(C676,[6]條件!$A$1:$L$932,12,0)),"",(VLOOKUP(C676,[6]條件!$A$1:$L$932,12,0)))</f>
        <v/>
      </c>
      <c r="J676" s="982"/>
      <c r="K676" s="980"/>
      <c r="L676" s="981" t="s">
        <v>632</v>
      </c>
      <c r="M676" s="983"/>
      <c r="N676" s="982"/>
      <c r="O676" s="980"/>
      <c r="P676" s="981" t="s">
        <v>632</v>
      </c>
      <c r="Q676" s="983"/>
      <c r="R676" s="982"/>
      <c r="S676" s="980"/>
      <c r="T676" s="981" t="s">
        <v>632</v>
      </c>
      <c r="U676" s="983"/>
      <c r="V676" s="982"/>
      <c r="W676" s="980"/>
      <c r="X676" s="981" t="s">
        <v>632</v>
      </c>
      <c r="Y676" s="983"/>
      <c r="Z676" s="1412" t="str">
        <f>IFERROR(VLOOKUP(C676, [6]條件!$A:$L, 3, 0), "")</f>
        <v/>
      </c>
      <c r="AA676" s="984" t="str">
        <f>IF(OR(L676={"改紡","檢修","了機","清車","FINAL","停機","SAMPLE","TEST","絲開發"}), L676, IFERROR(IF(C676="", "", (SUM(J676, N676, R676, V676)/3 * AG676) * IF(AND(AF676="S", AS676="雙"), 0.5, 1)), ""))</f>
        <v>停機</v>
      </c>
      <c r="AB676" s="1413" t="str">
        <f t="shared" si="119"/>
        <v/>
      </c>
      <c r="AC676" s="984" t="str">
        <f>IF(OR(L676={"改紡","檢修","了機","清車","FINAL","停機","SAMPLE","TEST"}), "", IFERROR(IF(C676="", "", AVERAGE(L676:M676, P676:Q676, T676:U676, X676:Y676)/100), ""))</f>
        <v/>
      </c>
      <c r="AD676" s="984" t="str">
        <f t="shared" si="112"/>
        <v/>
      </c>
      <c r="AE676" s="984" t="str">
        <f t="shared" si="120"/>
        <v/>
      </c>
      <c r="AF676" s="985" t="str">
        <f t="shared" si="113"/>
        <v>M</v>
      </c>
      <c r="AG676" s="1414">
        <v>1</v>
      </c>
      <c r="AH676" s="981" t="s">
        <v>640</v>
      </c>
      <c r="AI676" s="986" t="s">
        <v>640</v>
      </c>
      <c r="AJ676" s="986" t="s">
        <v>640</v>
      </c>
      <c r="AK676" s="1417" t="s">
        <v>640</v>
      </c>
      <c r="AL676" s="1415"/>
      <c r="AM676" s="1323"/>
      <c r="AN676" s="1323"/>
      <c r="AO676" s="1323"/>
      <c r="AP676" s="1323"/>
      <c r="AQ676" s="1323"/>
      <c r="AR676" s="987"/>
      <c r="AS676" s="978" t="str">
        <f t="shared" si="114"/>
        <v>單</v>
      </c>
      <c r="AT676" s="978" t="str">
        <f t="shared" si="115"/>
        <v>全</v>
      </c>
      <c r="AU676" s="978" t="str">
        <f t="shared" si="116"/>
        <v/>
      </c>
      <c r="AV676" s="978" t="str">
        <f t="shared" si="117"/>
        <v/>
      </c>
    </row>
    <row r="677" spans="1:48">
      <c r="A677" s="975">
        <f t="shared" si="118"/>
        <v>46159</v>
      </c>
      <c r="B677" s="976" t="s">
        <v>246</v>
      </c>
      <c r="C677" s="988" t="s">
        <v>16185</v>
      </c>
      <c r="D677" s="1410"/>
      <c r="E677" s="977" t="str">
        <f>IFERROR(VLOOKUP(C677, [6]條件!$A:$L, 5, 0), "")</f>
        <v/>
      </c>
      <c r="F677" s="978" t="str">
        <f>IFERROR(VLOOKUP(C677, [6]條件!$A:$L, 6, 0), "")</f>
        <v/>
      </c>
      <c r="G677" s="1411" t="str">
        <f>IFERROR(VLOOKUP(C677, [6]條件!$A:$L, 7, 0), "")</f>
        <v/>
      </c>
      <c r="H677" s="978" t="str">
        <f>IF(ISNA(VLOOKUP(C677,[6]條件!$A$1:$K$932,11,0)),"",(VLOOKUP(C677,[6]條件!$A$1:$K$932,11,0)))</f>
        <v/>
      </c>
      <c r="I677" s="979" t="str">
        <f>IF(ISNA(VLOOKUP(C677,[6]條件!$A$1:$L$932,12,0)),"",(VLOOKUP(C677,[6]條件!$A$1:$L$932,12,0)))</f>
        <v/>
      </c>
      <c r="J677" s="982"/>
      <c r="K677" s="980"/>
      <c r="L677" s="981" t="s">
        <v>632</v>
      </c>
      <c r="M677" s="983"/>
      <c r="N677" s="982"/>
      <c r="O677" s="980"/>
      <c r="P677" s="981" t="s">
        <v>632</v>
      </c>
      <c r="Q677" s="983"/>
      <c r="R677" s="982"/>
      <c r="S677" s="980"/>
      <c r="T677" s="981" t="s">
        <v>632</v>
      </c>
      <c r="U677" s="983"/>
      <c r="V677" s="982"/>
      <c r="W677" s="980"/>
      <c r="X677" s="981" t="s">
        <v>632</v>
      </c>
      <c r="Y677" s="983"/>
      <c r="Z677" s="1412" t="str">
        <f>IFERROR(VLOOKUP(C677, [6]條件!$A:$L, 3, 0), "")</f>
        <v/>
      </c>
      <c r="AA677" s="984" t="str">
        <f>IF(OR(L677={"改紡","檢修","了機","清車","FINAL","停機","SAMPLE","TEST","絲開發"}), L677, IFERROR(IF(C677="", "", (SUM(J677, N677, R677, V677)/3 * AG677) * IF(AND(AF677="S", AS677="雙"), 0.5, 1)), ""))</f>
        <v>停機</v>
      </c>
      <c r="AB677" s="1413" t="str">
        <f t="shared" si="119"/>
        <v/>
      </c>
      <c r="AC677" s="984" t="str">
        <f>IF(OR(L677={"改紡","檢修","了機","清車","FINAL","停機","SAMPLE","TEST"}), "", IFERROR(IF(C677="", "", AVERAGE(L677:M677, P677:Q677, T677:U677, X677:Y677)/100), ""))</f>
        <v/>
      </c>
      <c r="AD677" s="984" t="str">
        <f t="shared" si="112"/>
        <v/>
      </c>
      <c r="AE677" s="984" t="str">
        <f t="shared" si="120"/>
        <v/>
      </c>
      <c r="AF677" s="985" t="str">
        <f t="shared" si="113"/>
        <v>M</v>
      </c>
      <c r="AG677" s="1414">
        <v>1</v>
      </c>
      <c r="AH677" s="981" t="s">
        <v>640</v>
      </c>
      <c r="AI677" s="986" t="s">
        <v>640</v>
      </c>
      <c r="AJ677" s="986" t="s">
        <v>640</v>
      </c>
      <c r="AK677" s="1417" t="s">
        <v>640</v>
      </c>
      <c r="AL677" s="1415"/>
      <c r="AM677" s="1323"/>
      <c r="AN677" s="1323"/>
      <c r="AO677" s="1323"/>
      <c r="AP677" s="1323"/>
      <c r="AQ677" s="1323"/>
      <c r="AR677" s="987"/>
      <c r="AS677" s="978" t="str">
        <f t="shared" si="114"/>
        <v>單</v>
      </c>
      <c r="AT677" s="978" t="str">
        <f t="shared" si="115"/>
        <v>全</v>
      </c>
      <c r="AU677" s="978" t="str">
        <f t="shared" si="116"/>
        <v/>
      </c>
      <c r="AV677" s="978" t="str">
        <f t="shared" si="117"/>
        <v/>
      </c>
    </row>
    <row r="678" spans="1:48">
      <c r="A678" s="975">
        <f t="shared" si="118"/>
        <v>46159</v>
      </c>
      <c r="B678" s="976" t="s">
        <v>247</v>
      </c>
      <c r="C678" s="988" t="s">
        <v>16185</v>
      </c>
      <c r="D678" s="1410"/>
      <c r="E678" s="977" t="str">
        <f>IFERROR(VLOOKUP(C678, [6]條件!$A:$L, 5, 0), "")</f>
        <v/>
      </c>
      <c r="F678" s="978" t="str">
        <f>IFERROR(VLOOKUP(C678, [6]條件!$A:$L, 6, 0), "")</f>
        <v/>
      </c>
      <c r="G678" s="1411" t="str">
        <f>IFERROR(VLOOKUP(C678, [6]條件!$A:$L, 7, 0), "")</f>
        <v/>
      </c>
      <c r="H678" s="978" t="str">
        <f>IF(ISNA(VLOOKUP(C678,[6]條件!$A$1:$K$932,11,0)),"",(VLOOKUP(C678,[6]條件!$A$1:$K$932,11,0)))</f>
        <v/>
      </c>
      <c r="I678" s="979" t="str">
        <f>IF(ISNA(VLOOKUP(C678,[6]條件!$A$1:$L$932,12,0)),"",(VLOOKUP(C678,[6]條件!$A$1:$L$932,12,0)))</f>
        <v/>
      </c>
      <c r="J678" s="982"/>
      <c r="K678" s="980"/>
      <c r="L678" s="981" t="s">
        <v>632</v>
      </c>
      <c r="M678" s="983"/>
      <c r="N678" s="982"/>
      <c r="O678" s="980"/>
      <c r="P678" s="981" t="s">
        <v>632</v>
      </c>
      <c r="Q678" s="983"/>
      <c r="R678" s="982"/>
      <c r="S678" s="980"/>
      <c r="T678" s="981" t="s">
        <v>632</v>
      </c>
      <c r="U678" s="983"/>
      <c r="V678" s="982"/>
      <c r="W678" s="980"/>
      <c r="X678" s="981" t="s">
        <v>632</v>
      </c>
      <c r="Y678" s="983"/>
      <c r="Z678" s="1412" t="str">
        <f>IFERROR(VLOOKUP(C678, [6]條件!$A:$L, 3, 0), "")</f>
        <v/>
      </c>
      <c r="AA678" s="984" t="str">
        <f>IF(OR(L678={"改紡","檢修","了機","清車","FINAL","停機","SAMPLE","TEST","絲開發"}), L678, IFERROR(IF(C678="", "", (SUM(J678, N678, R678, V678)/3 * AG678) * IF(AND(AF678="S", AS678="雙"), 0.5, 1)), ""))</f>
        <v>停機</v>
      </c>
      <c r="AB678" s="1413" t="str">
        <f t="shared" si="119"/>
        <v/>
      </c>
      <c r="AC678" s="984" t="str">
        <f>IF(OR(L678={"改紡","檢修","了機","清車","FINAL","停機","SAMPLE","TEST"}), "", IFERROR(IF(C678="", "", AVERAGE(L678:M678, P678:Q678, T678:U678, X678:Y678)/100), ""))</f>
        <v/>
      </c>
      <c r="AD678" s="984" t="str">
        <f t="shared" si="112"/>
        <v/>
      </c>
      <c r="AE678" s="984" t="str">
        <f t="shared" si="120"/>
        <v/>
      </c>
      <c r="AF678" s="985" t="str">
        <f t="shared" si="113"/>
        <v>M</v>
      </c>
      <c r="AG678" s="1414">
        <v>1</v>
      </c>
      <c r="AH678" s="981" t="s">
        <v>640</v>
      </c>
      <c r="AI678" s="986" t="s">
        <v>640</v>
      </c>
      <c r="AJ678" s="986" t="s">
        <v>640</v>
      </c>
      <c r="AK678" s="1417" t="s">
        <v>640</v>
      </c>
      <c r="AL678" s="1415"/>
      <c r="AM678" s="1323"/>
      <c r="AN678" s="1323"/>
      <c r="AO678" s="1323"/>
      <c r="AP678" s="1323"/>
      <c r="AQ678" s="1323"/>
      <c r="AR678" s="987"/>
      <c r="AS678" s="978" t="str">
        <f t="shared" si="114"/>
        <v>單</v>
      </c>
      <c r="AT678" s="978" t="str">
        <f t="shared" si="115"/>
        <v>全</v>
      </c>
      <c r="AU678" s="978" t="str">
        <f t="shared" si="116"/>
        <v/>
      </c>
      <c r="AV678" s="978" t="str">
        <f t="shared" si="117"/>
        <v/>
      </c>
    </row>
    <row r="679" spans="1:48">
      <c r="A679" s="975">
        <f t="shared" si="118"/>
        <v>46159</v>
      </c>
      <c r="B679" s="976" t="s">
        <v>248</v>
      </c>
      <c r="C679" s="988" t="s">
        <v>16185</v>
      </c>
      <c r="D679" s="1410"/>
      <c r="E679" s="977" t="str">
        <f>IFERROR(VLOOKUP(C679, [6]條件!$A:$L, 5, 0), "")</f>
        <v/>
      </c>
      <c r="F679" s="978" t="str">
        <f>IFERROR(VLOOKUP(C679, [6]條件!$A:$L, 6, 0), "")</f>
        <v/>
      </c>
      <c r="G679" s="1411" t="str">
        <f>IFERROR(VLOOKUP(C679, [6]條件!$A:$L, 7, 0), "")</f>
        <v/>
      </c>
      <c r="H679" s="978" t="str">
        <f>IF(ISNA(VLOOKUP(C679,[6]條件!$A$1:$K$932,11,0)),"",(VLOOKUP(C679,[6]條件!$A$1:$K$932,11,0)))</f>
        <v/>
      </c>
      <c r="I679" s="979" t="str">
        <f>IF(ISNA(VLOOKUP(C679,[6]條件!$A$1:$L$932,12,0)),"",(VLOOKUP(C679,[6]條件!$A$1:$L$932,12,0)))</f>
        <v/>
      </c>
      <c r="J679" s="982"/>
      <c r="K679" s="980"/>
      <c r="L679" s="981" t="s">
        <v>632</v>
      </c>
      <c r="M679" s="983"/>
      <c r="N679" s="982"/>
      <c r="O679" s="980"/>
      <c r="P679" s="981" t="s">
        <v>632</v>
      </c>
      <c r="Q679" s="983"/>
      <c r="R679" s="982"/>
      <c r="S679" s="980"/>
      <c r="T679" s="981" t="s">
        <v>632</v>
      </c>
      <c r="U679" s="983"/>
      <c r="V679" s="982"/>
      <c r="W679" s="980"/>
      <c r="X679" s="981" t="s">
        <v>632</v>
      </c>
      <c r="Y679" s="983"/>
      <c r="Z679" s="1412" t="str">
        <f>IFERROR(VLOOKUP(C679, [6]條件!$A:$L, 3, 0), "")</f>
        <v/>
      </c>
      <c r="AA679" s="984" t="str">
        <f>IF(OR(L679={"改紡","檢修","了機","清車","FINAL","停機","SAMPLE","TEST","絲開發"}), L679, IFERROR(IF(C679="", "", (SUM(J679, N679, R679, V679)/3 * AG679) * IF(AND(AF679="S", AS679="雙"), 0.5, 1)), ""))</f>
        <v>停機</v>
      </c>
      <c r="AB679" s="1413" t="str">
        <f t="shared" si="119"/>
        <v/>
      </c>
      <c r="AC679" s="984" t="str">
        <f>IF(OR(L679={"改紡","檢修","了機","清車","FINAL","停機","SAMPLE","TEST"}), "", IFERROR(IF(C679="", "", AVERAGE(L679:M679, P679:Q679, T679:U679, X679:Y679)/100), ""))</f>
        <v/>
      </c>
      <c r="AD679" s="984" t="str">
        <f t="shared" si="112"/>
        <v/>
      </c>
      <c r="AE679" s="984" t="str">
        <f t="shared" si="120"/>
        <v/>
      </c>
      <c r="AF679" s="985" t="str">
        <f t="shared" si="113"/>
        <v>M</v>
      </c>
      <c r="AG679" s="1414">
        <v>1</v>
      </c>
      <c r="AH679" s="981" t="s">
        <v>640</v>
      </c>
      <c r="AI679" s="986" t="s">
        <v>640</v>
      </c>
      <c r="AJ679" s="986" t="s">
        <v>640</v>
      </c>
      <c r="AK679" s="1417" t="s">
        <v>640</v>
      </c>
      <c r="AL679" s="1415"/>
      <c r="AM679" s="1323"/>
      <c r="AN679" s="1323"/>
      <c r="AO679" s="1323"/>
      <c r="AP679" s="1323"/>
      <c r="AQ679" s="1323"/>
      <c r="AR679" s="987"/>
      <c r="AS679" s="978" t="str">
        <f t="shared" si="114"/>
        <v>單</v>
      </c>
      <c r="AT679" s="978" t="str">
        <f t="shared" si="115"/>
        <v>全</v>
      </c>
      <c r="AU679" s="978" t="str">
        <f t="shared" si="116"/>
        <v/>
      </c>
      <c r="AV679" s="978" t="str">
        <f t="shared" si="117"/>
        <v/>
      </c>
    </row>
    <row r="680" spans="1:48" ht="17.25" thickBot="1">
      <c r="A680" s="989">
        <f t="shared" si="118"/>
        <v>46159</v>
      </c>
      <c r="B680" s="990" t="s">
        <v>249</v>
      </c>
      <c r="C680" s="991" t="s">
        <v>16185</v>
      </c>
      <c r="D680" s="1425"/>
      <c r="E680" s="1169" t="str">
        <f>IFERROR(VLOOKUP(C680, [6]條件!$A:$L, 5, 0), "")</f>
        <v/>
      </c>
      <c r="F680" s="992" t="str">
        <f>IFERROR(VLOOKUP(C680, [6]條件!$A:$L, 6, 0), "")</f>
        <v/>
      </c>
      <c r="G680" s="1426" t="str">
        <f>IFERROR(VLOOKUP(C680, [6]條件!$A:$L, 7, 0), "")</f>
        <v/>
      </c>
      <c r="H680" s="992" t="str">
        <f>IF(ISNA(VLOOKUP(C680,[6]條件!$A$1:$K$932,11,0)),"",(VLOOKUP(C680,[6]條件!$A$1:$K$932,11,0)))</f>
        <v/>
      </c>
      <c r="I680" s="1170" t="str">
        <f>IF(ISNA(VLOOKUP(C680,[6]條件!$A$1:$L$932,12,0)),"",(VLOOKUP(C680,[6]條件!$A$1:$L$932,12,0)))</f>
        <v/>
      </c>
      <c r="J680" s="995"/>
      <c r="K680" s="993"/>
      <c r="L680" s="994" t="s">
        <v>632</v>
      </c>
      <c r="M680" s="996"/>
      <c r="N680" s="995"/>
      <c r="O680" s="993"/>
      <c r="P680" s="994" t="s">
        <v>632</v>
      </c>
      <c r="Q680" s="996"/>
      <c r="R680" s="995"/>
      <c r="S680" s="993"/>
      <c r="T680" s="994" t="s">
        <v>632</v>
      </c>
      <c r="U680" s="996"/>
      <c r="V680" s="995"/>
      <c r="W680" s="993"/>
      <c r="X680" s="994" t="s">
        <v>632</v>
      </c>
      <c r="Y680" s="996"/>
      <c r="Z680" s="1427" t="str">
        <f>IFERROR(VLOOKUP(C680, [6]條件!$A:$L, 3, 0), "")</f>
        <v/>
      </c>
      <c r="AA680" s="997" t="str">
        <f>IF(OR(L680={"改紡","檢修","了機","清車","FINAL","停機","SAMPLE","TEST","絲開發"}), L680, IFERROR(IF(C680="", "", (SUM(J680, N680, R680, V680)/3 * AG680) * IF(AND(AF680="S", AS680="雙"), 0.5, 1)), ""))</f>
        <v>停機</v>
      </c>
      <c r="AB680" s="1428" t="str">
        <f t="shared" si="119"/>
        <v/>
      </c>
      <c r="AC680" s="997" t="str">
        <f>IF(OR(L680={"改紡","檢修","了機","清車","FINAL","停機","SAMPLE","TEST"}), "", IFERROR(IF(C680="", "", AVERAGE(L680:M680, P680:Q680, T680:U680, X680:Y680)/100), ""))</f>
        <v/>
      </c>
      <c r="AD680" s="997" t="str">
        <f t="shared" si="112"/>
        <v/>
      </c>
      <c r="AE680" s="997" t="str">
        <f t="shared" si="120"/>
        <v/>
      </c>
      <c r="AF680" s="998" t="str">
        <f t="shared" si="113"/>
        <v>M</v>
      </c>
      <c r="AG680" s="1429">
        <v>1</v>
      </c>
      <c r="AH680" s="994" t="s">
        <v>640</v>
      </c>
      <c r="AI680" s="999" t="s">
        <v>640</v>
      </c>
      <c r="AJ680" s="999" t="s">
        <v>640</v>
      </c>
      <c r="AK680" s="1430" t="s">
        <v>640</v>
      </c>
      <c r="AL680" s="1431"/>
      <c r="AM680" s="1325"/>
      <c r="AN680" s="1325"/>
      <c r="AO680" s="1325"/>
      <c r="AP680" s="1325"/>
      <c r="AQ680" s="1325"/>
      <c r="AR680" s="1000"/>
      <c r="AS680" s="992" t="str">
        <f t="shared" si="114"/>
        <v>單</v>
      </c>
      <c r="AT680" s="992" t="str">
        <f t="shared" si="115"/>
        <v>全</v>
      </c>
      <c r="AU680" s="992" t="str">
        <f t="shared" si="116"/>
        <v/>
      </c>
      <c r="AV680" s="992" t="str">
        <f t="shared" si="117"/>
        <v/>
      </c>
    </row>
    <row r="681" spans="1:48">
      <c r="A681" s="962">
        <v>46160</v>
      </c>
      <c r="B681" s="963" t="s">
        <v>212</v>
      </c>
      <c r="C681" s="963" t="s">
        <v>632</v>
      </c>
      <c r="D681" s="1403"/>
      <c r="E681" s="964" t="str">
        <f>IFERROR(VLOOKUP(C681, [6]條件!$A:$L, 5, 0), "")</f>
        <v/>
      </c>
      <c r="F681" s="965" t="str">
        <f>IFERROR(VLOOKUP(C681, [6]條件!$A:$L, 6, 0), "")</f>
        <v/>
      </c>
      <c r="G681" s="1404" t="str">
        <f>IFERROR(VLOOKUP(C681, [6]條件!$A:$L, 7, 0), "")</f>
        <v/>
      </c>
      <c r="H681" s="965" t="str">
        <f>IF(ISNA(VLOOKUP(C681,[6]條件!$A$1:$K$932,11,0)),"",(VLOOKUP(C681,[6]條件!$A$1:$K$932,11,0)))</f>
        <v/>
      </c>
      <c r="I681" s="966" t="str">
        <f>IF(ISNA(VLOOKUP(C681,[6]條件!$A$1:$L$932,12,0)),"",(VLOOKUP(C681,[6]條件!$A$1:$L$932,12,0)))</f>
        <v/>
      </c>
      <c r="J681" s="969"/>
      <c r="K681" s="967"/>
      <c r="L681" s="981" t="s">
        <v>632</v>
      </c>
      <c r="M681" s="970"/>
      <c r="N681" s="969"/>
      <c r="O681" s="967"/>
      <c r="P681" s="981" t="s">
        <v>632</v>
      </c>
      <c r="Q681" s="970"/>
      <c r="R681" s="969"/>
      <c r="S681" s="967"/>
      <c r="T681" s="981" t="s">
        <v>632</v>
      </c>
      <c r="U681" s="970"/>
      <c r="V681" s="969"/>
      <c r="W681" s="967"/>
      <c r="X681" s="981" t="s">
        <v>632</v>
      </c>
      <c r="Y681" s="970"/>
      <c r="Z681" s="1405" t="str">
        <f>IFERROR(VLOOKUP(C681, [6]條件!$A:$L, 3, 0), "")</f>
        <v/>
      </c>
      <c r="AA681" s="971" t="str">
        <f>IF(OR(L681={"改紡","檢修","了機","清車","FINAL","停機","SAMPLE","TEST","絲開發"}), L681, IFERROR(IF(C681="", "", (SUM(J681, N681, R681, V681)/3 * AG681) * IF(AND(AF681="S", AS681="雙"), 0.5, 1)), ""))</f>
        <v>停機</v>
      </c>
      <c r="AB681" s="1406" t="str">
        <f t="shared" si="119"/>
        <v/>
      </c>
      <c r="AC681" s="971" t="str">
        <f>IF(OR(L681={"改紡","檢修","了機","清車","FINAL","停機","SAMPLE","TEST"}), "", IFERROR(IF(C681="", "", AVERAGE(L681:M681, P681:Q681, T681:U681, X681:Y681)/100), ""))</f>
        <v/>
      </c>
      <c r="AD681" s="971" t="str">
        <f t="shared" si="112"/>
        <v/>
      </c>
      <c r="AE681" s="971" t="str">
        <f t="shared" si="120"/>
        <v/>
      </c>
      <c r="AF681" s="972" t="str">
        <f t="shared" si="113"/>
        <v>A</v>
      </c>
      <c r="AG681" s="1407">
        <v>1</v>
      </c>
      <c r="AH681" s="1001" t="s">
        <v>640</v>
      </c>
      <c r="AI681" s="1438" t="s">
        <v>640</v>
      </c>
      <c r="AJ681" s="1441" t="s">
        <v>640</v>
      </c>
      <c r="AK681" s="1442" t="s">
        <v>640</v>
      </c>
      <c r="AL681" s="1409"/>
      <c r="AM681" s="1322"/>
      <c r="AN681" s="1322"/>
      <c r="AO681" s="1322"/>
      <c r="AP681" s="1322"/>
      <c r="AQ681" s="1322"/>
      <c r="AR681" s="973"/>
      <c r="AS681" s="965" t="str">
        <f t="shared" si="114"/>
        <v>單</v>
      </c>
      <c r="AT681" s="965" t="str">
        <f t="shared" si="115"/>
        <v>全</v>
      </c>
      <c r="AU681" s="965" t="str">
        <f t="shared" si="116"/>
        <v/>
      </c>
      <c r="AV681" s="965" t="str">
        <f t="shared" si="117"/>
        <v/>
      </c>
    </row>
    <row r="682" spans="1:48">
      <c r="A682" s="975">
        <f t="shared" ref="A682:A719" si="121">A681</f>
        <v>46160</v>
      </c>
      <c r="B682" s="976" t="s">
        <v>214</v>
      </c>
      <c r="C682" s="976" t="s">
        <v>16708</v>
      </c>
      <c r="D682" s="1410"/>
      <c r="E682" s="977" t="str">
        <f>IFERROR(VLOOKUP(C682, [6]條件!$A:$L, 5, 0), "")</f>
        <v>75/36SDR</v>
      </c>
      <c r="F682" s="978" t="str">
        <f>IFERROR(VLOOKUP(C682, [6]條件!$A:$L, 6, 0), "")</f>
        <v>FP81386R</v>
      </c>
      <c r="G682" s="1411">
        <f>IFERROR(VLOOKUP(C682, [6]條件!$A:$L, 7, 0), "")</f>
        <v>780</v>
      </c>
      <c r="H682" s="978" t="str">
        <f>IF(ISNA(VLOOKUP(C682,[6]條件!$A$1:$K$932,11,0)),"",(VLOOKUP(C682,[6]條件!$A$1:$K$932,11,0)))</f>
        <v>綠底白點</v>
      </c>
      <c r="I682" s="979">
        <f>IF(ISNA(VLOOKUP(C682,[6]條件!$A$1:$L$932,12,0)),"",(VLOOKUP(C682,[6]條件!$A$1:$L$932,12,0)))</f>
        <v>5</v>
      </c>
      <c r="J682" s="982"/>
      <c r="K682" s="980"/>
      <c r="L682" s="981" t="s">
        <v>645</v>
      </c>
      <c r="M682" s="983"/>
      <c r="N682" s="982"/>
      <c r="O682" s="980"/>
      <c r="P682" s="981" t="s">
        <v>645</v>
      </c>
      <c r="Q682" s="983"/>
      <c r="R682" s="982"/>
      <c r="S682" s="980"/>
      <c r="T682" s="981" t="s">
        <v>477</v>
      </c>
      <c r="U682" s="983"/>
      <c r="V682" s="982">
        <v>18</v>
      </c>
      <c r="W682" s="980">
        <v>0</v>
      </c>
      <c r="X682" s="981">
        <v>9010</v>
      </c>
      <c r="Y682" s="983">
        <v>8901</v>
      </c>
      <c r="Z682" s="1412">
        <f>IFERROR(VLOOKUP(C682, [6]條件!$A:$L, 3, 0), "")</f>
        <v>1.7777777777777777</v>
      </c>
      <c r="AA682" s="984" t="str">
        <f>IF(OR(L682={"改紡","檢修","了機","清車","FINAL","停機","SAMPLE","TEST","絲開發"}), L682, IFERROR(IF(C682="", "", (SUM(J682, N682, R682, V682)/3 * AG682) * IF(AND(AF682="S", AS682="雙"), 0.5, 1)), ""))</f>
        <v>檢修</v>
      </c>
      <c r="AB682" s="1413" t="str">
        <f t="shared" si="119"/>
        <v/>
      </c>
      <c r="AC682" s="984" t="str">
        <f>IF(OR(L682={"改紡","檢修","了機","清車","FINAL","停機","SAMPLE","TEST"}), "", IFERROR(IF(C682="", "", AVERAGE(L682:M682, P682:Q682, T682:U682, X682:Y682)/100), ""))</f>
        <v/>
      </c>
      <c r="AD682" s="984" t="str">
        <f t="shared" si="112"/>
        <v/>
      </c>
      <c r="AE682" s="984" t="str">
        <f t="shared" si="120"/>
        <v/>
      </c>
      <c r="AF682" s="985" t="str">
        <f t="shared" si="113"/>
        <v>A</v>
      </c>
      <c r="AG682" s="1414">
        <v>1</v>
      </c>
      <c r="AH682" s="1002" t="s">
        <v>16154</v>
      </c>
      <c r="AI682" s="986" t="s">
        <v>16154</v>
      </c>
      <c r="AJ682" s="986" t="s">
        <v>637</v>
      </c>
      <c r="AK682" s="1417" t="s">
        <v>637</v>
      </c>
      <c r="AL682" s="1415">
        <v>50</v>
      </c>
      <c r="AM682" s="1323">
        <v>46156</v>
      </c>
      <c r="AN682" s="1323"/>
      <c r="AO682" s="1323"/>
      <c r="AP682" s="1323"/>
      <c r="AQ682" s="1323"/>
      <c r="AR682" s="987"/>
      <c r="AS682" s="978" t="str">
        <f t="shared" si="114"/>
        <v>單</v>
      </c>
      <c r="AT682" s="978" t="str">
        <f t="shared" si="115"/>
        <v>全</v>
      </c>
      <c r="AU682" s="978">
        <f t="shared" si="116"/>
        <v>75</v>
      </c>
      <c r="AV682" s="978" t="str">
        <f t="shared" si="117"/>
        <v/>
      </c>
    </row>
    <row r="683" spans="1:48">
      <c r="A683" s="975">
        <f t="shared" si="121"/>
        <v>46160</v>
      </c>
      <c r="B683" s="976" t="s">
        <v>215</v>
      </c>
      <c r="C683" s="976" t="s">
        <v>16746</v>
      </c>
      <c r="D683" s="1410" t="s">
        <v>633</v>
      </c>
      <c r="E683" s="977" t="str">
        <f>IFERROR(VLOOKUP(C683, [6]條件!$A:$L, 5, 0), "")</f>
        <v>75/24/2SDr</v>
      </c>
      <c r="F683" s="978" t="str">
        <f>IFERROR(VLOOKUP(C683, [6]條件!$A:$L, 6, 0), "")</f>
        <v>FP81391R×2</v>
      </c>
      <c r="G683" s="1411">
        <f>IFERROR(VLOOKUP(C683, [6]條件!$A:$L, 7, 0), "")</f>
        <v>700</v>
      </c>
      <c r="H683" s="978" t="str">
        <f>IF(ISNA(VLOOKUP(C683,[6]條件!$A$1:$K$932,11,0)),"",(VLOOKUP(C683,[6]條件!$A$1:$K$932,11,0)))</f>
        <v>紅底白點</v>
      </c>
      <c r="I683" s="979">
        <f>IF(ISNA(VLOOKUP(C683,[6]條件!$A$1:$L$932,12,0)),"",(VLOOKUP(C683,[6]條件!$A$1:$L$932,12,0)))</f>
        <v>5</v>
      </c>
      <c r="J683" s="982">
        <v>26</v>
      </c>
      <c r="K683" s="980">
        <v>0</v>
      </c>
      <c r="L683" s="981"/>
      <c r="M683" s="983">
        <v>7644</v>
      </c>
      <c r="N683" s="982">
        <v>10</v>
      </c>
      <c r="O683" s="980">
        <v>0</v>
      </c>
      <c r="P683" s="981" t="s">
        <v>632</v>
      </c>
      <c r="Q683" s="983">
        <v>7729</v>
      </c>
      <c r="R683" s="982">
        <v>0</v>
      </c>
      <c r="S683" s="980">
        <v>0</v>
      </c>
      <c r="T683" s="981" t="s">
        <v>632</v>
      </c>
      <c r="U683" s="983">
        <v>7489</v>
      </c>
      <c r="V683" s="982">
        <v>34</v>
      </c>
      <c r="W683" s="980">
        <v>0</v>
      </c>
      <c r="X683" s="981" t="s">
        <v>632</v>
      </c>
      <c r="Y683" s="983">
        <v>6610</v>
      </c>
      <c r="Z683" s="1412">
        <f>IFERROR(VLOOKUP(C683, [6]條件!$A:$L, 3, 0), "")</f>
        <v>3.2653061224489797</v>
      </c>
      <c r="AA683" s="984">
        <f>IF(OR(L683={"改紡","檢修","了機","清車","FINAL","停機","SAMPLE","TEST","絲開發"}), L683, IFERROR(IF(C683="", "", (SUM(J683, N683, R683, V683)/3 * AG683) * IF(AND(AF683="S", AS683="雙"), 0.5, 1)), ""))</f>
        <v>23.333333333333332</v>
      </c>
      <c r="AB683" s="1413">
        <f t="shared" si="119"/>
        <v>1</v>
      </c>
      <c r="AC683" s="984">
        <f>IF(OR(L683={"改紡","檢修","了機","清車","FINAL","停機","SAMPLE","TEST"}), "", IFERROR(IF(C683="", "", AVERAGE(L683:M683, P683:Q683, T683:U683, X683:Y683)/100), ""))</f>
        <v>73.680000000000007</v>
      </c>
      <c r="AD683" s="984">
        <f t="shared" si="112"/>
        <v>2.9166666666666665</v>
      </c>
      <c r="AE683" s="984">
        <f t="shared" si="120"/>
        <v>2.9166666666666665</v>
      </c>
      <c r="AF683" s="985" t="str">
        <f t="shared" si="113"/>
        <v>A</v>
      </c>
      <c r="AG683" s="1414">
        <v>1</v>
      </c>
      <c r="AH683" s="1002" t="s">
        <v>16154</v>
      </c>
      <c r="AI683" s="986" t="s">
        <v>16154</v>
      </c>
      <c r="AJ683" s="986" t="s">
        <v>637</v>
      </c>
      <c r="AK683" s="1417" t="s">
        <v>637</v>
      </c>
      <c r="AL683" s="1415">
        <v>53</v>
      </c>
      <c r="AM683" s="1323">
        <v>46118</v>
      </c>
      <c r="AN683" s="1323">
        <v>46120</v>
      </c>
      <c r="AO683" s="1323">
        <v>46122</v>
      </c>
      <c r="AP683" s="1323"/>
      <c r="AQ683" s="1323"/>
      <c r="AR683" s="987"/>
      <c r="AS683" s="978" t="str">
        <f t="shared" si="114"/>
        <v>雙</v>
      </c>
      <c r="AT683" s="978" t="str">
        <f t="shared" si="115"/>
        <v>半</v>
      </c>
      <c r="AU683" s="978">
        <f t="shared" si="116"/>
        <v>75</v>
      </c>
      <c r="AV683" s="978">
        <f t="shared" si="117"/>
        <v>0.66842496000000018</v>
      </c>
    </row>
    <row r="684" spans="1:48">
      <c r="A684" s="975">
        <f t="shared" si="121"/>
        <v>46160</v>
      </c>
      <c r="B684" s="976" t="s">
        <v>216</v>
      </c>
      <c r="C684" s="976" t="s">
        <v>16764</v>
      </c>
      <c r="D684" s="1410"/>
      <c r="E684" s="977" t="str">
        <f>IFERROR(VLOOKUP(C684, [6]條件!$A:$L, 5, 0), "")</f>
        <v>150/48BK42</v>
      </c>
      <c r="F684" s="978" t="str">
        <f>IFERROR(VLOOKUP(C684, [6]條件!$A:$L, 6, 0), "")</f>
        <v>FP02421</v>
      </c>
      <c r="G684" s="1411">
        <f>IFERROR(VLOOKUP(C684, [6]條件!$A:$L, 7, 0), "")</f>
        <v>600</v>
      </c>
      <c r="H684" s="978" t="str">
        <f>IF(ISNA(VLOOKUP(C684,[6]條件!$A$1:$K$932,11,0)),"",(VLOOKUP(C684,[6]條件!$A$1:$K$932,11,0)))</f>
        <v>白桔方塊</v>
      </c>
      <c r="I684" s="979">
        <f>IF(ISNA(VLOOKUP(C684,[6]條件!$A$1:$L$932,12,0)),"",(VLOOKUP(C684,[6]條件!$A$1:$L$932,12,0)))</f>
        <v>5</v>
      </c>
      <c r="J684" s="982"/>
      <c r="K684" s="980"/>
      <c r="L684" s="981" t="s">
        <v>127</v>
      </c>
      <c r="M684" s="983" t="s">
        <v>632</v>
      </c>
      <c r="N684" s="982"/>
      <c r="O684" s="980"/>
      <c r="P684" s="981" t="s">
        <v>127</v>
      </c>
      <c r="Q684" s="983" t="s">
        <v>632</v>
      </c>
      <c r="R684" s="982"/>
      <c r="S684" s="980"/>
      <c r="T684" s="981" t="s">
        <v>127</v>
      </c>
      <c r="U684" s="983" t="s">
        <v>632</v>
      </c>
      <c r="V684" s="982">
        <v>8</v>
      </c>
      <c r="W684" s="980">
        <v>0</v>
      </c>
      <c r="X684" s="981" t="s">
        <v>632</v>
      </c>
      <c r="Y684" s="983">
        <v>1872</v>
      </c>
      <c r="Z684" s="1412">
        <f>IFERROR(VLOOKUP(C684, [6]條件!$A:$L, 3, 0), "")</f>
        <v>2.8346456692913384</v>
      </c>
      <c r="AA684" s="984" t="str">
        <f>IF(OR(L684={"改紡","檢修","了機","清車","FINAL","停機","SAMPLE","TEST","絲開發"}), L684, IFERROR(IF(C684="", "", (SUM(J684, N684, R684, V684)/3 * AG684) * IF(AND(AF684="S", AS684="雙"), 0.5, 1)), ""))</f>
        <v>了機</v>
      </c>
      <c r="AB684" s="1413" t="str">
        <f t="shared" si="119"/>
        <v/>
      </c>
      <c r="AC684" s="984" t="str">
        <f>IF(OR(L684={"改紡","檢修","了機","清車","FINAL","停機","SAMPLE","TEST"}), "", IFERROR(IF(C684="", "", AVERAGE(L684:M684, P684:Q684, T684:U684, X684:Y684)/100), ""))</f>
        <v/>
      </c>
      <c r="AD684" s="984" t="str">
        <f t="shared" si="112"/>
        <v/>
      </c>
      <c r="AE684" s="984" t="str">
        <f t="shared" si="120"/>
        <v/>
      </c>
      <c r="AF684" s="985" t="str">
        <f t="shared" si="113"/>
        <v>A</v>
      </c>
      <c r="AG684" s="1414">
        <v>2</v>
      </c>
      <c r="AH684" s="1002" t="s">
        <v>629</v>
      </c>
      <c r="AI684" s="986" t="s">
        <v>629</v>
      </c>
      <c r="AJ684" s="986" t="s">
        <v>634</v>
      </c>
      <c r="AK684" s="1417" t="s">
        <v>634</v>
      </c>
      <c r="AL684" s="1415">
        <v>52</v>
      </c>
      <c r="AM684" s="1323">
        <v>46152</v>
      </c>
      <c r="AN684" s="1323">
        <v>46153</v>
      </c>
      <c r="AO684" s="1323"/>
      <c r="AP684" s="1323"/>
      <c r="AQ684" s="1323"/>
      <c r="AR684" s="987"/>
      <c r="AS684" s="978" t="str">
        <f t="shared" si="114"/>
        <v>單</v>
      </c>
      <c r="AT684" s="978" t="str">
        <f t="shared" si="115"/>
        <v>半</v>
      </c>
      <c r="AU684" s="978">
        <f t="shared" si="116"/>
        <v>150</v>
      </c>
      <c r="AV684" s="978" t="str">
        <f t="shared" si="117"/>
        <v/>
      </c>
    </row>
    <row r="685" spans="1:48">
      <c r="A685" s="975">
        <f t="shared" si="121"/>
        <v>46160</v>
      </c>
      <c r="B685" s="976" t="s">
        <v>217</v>
      </c>
      <c r="C685" s="976" t="s">
        <v>16197</v>
      </c>
      <c r="D685" s="1410"/>
      <c r="E685" s="977" t="str">
        <f>IFERROR(VLOOKUP(C685, [6]條件!$A:$L, 5, 0), "")</f>
        <v>75/36HC</v>
      </c>
      <c r="F685" s="978" t="str">
        <f>IFERROR(VLOOKUP(C685, [6]條件!$A:$L, 6, 0), "")</f>
        <v>FP81857R</v>
      </c>
      <c r="G685" s="1411">
        <f>IFERROR(VLOOKUP(C685, [6]條件!$A:$L, 7, 0), "")</f>
        <v>600</v>
      </c>
      <c r="H685" s="978" t="str">
        <f>IF(ISNA(VLOOKUP(C685,[6]條件!$A$1:$K$932,11,0)),"",(VLOOKUP(C685,[6]條件!$A$1:$K$932,11,0)))</f>
        <v>白底綠方塊</v>
      </c>
      <c r="I685" s="979">
        <f>IF(ISNA(VLOOKUP(C685,[6]條件!$A$1:$L$932,12,0)),"",(VLOOKUP(C685,[6]條件!$A$1:$L$932,12,0)))</f>
        <v>4</v>
      </c>
      <c r="J685" s="982">
        <v>33</v>
      </c>
      <c r="K685" s="980">
        <v>0</v>
      </c>
      <c r="L685" s="981">
        <v>8277</v>
      </c>
      <c r="M685" s="983">
        <v>8443</v>
      </c>
      <c r="N685" s="982">
        <v>12</v>
      </c>
      <c r="O685" s="980">
        <v>0</v>
      </c>
      <c r="P685" s="981">
        <v>8407</v>
      </c>
      <c r="Q685" s="983">
        <v>8881</v>
      </c>
      <c r="R685" s="982">
        <v>13</v>
      </c>
      <c r="S685" s="980">
        <v>0</v>
      </c>
      <c r="T685" s="981">
        <v>8337</v>
      </c>
      <c r="U685" s="983">
        <v>9156</v>
      </c>
      <c r="V685" s="982">
        <v>19</v>
      </c>
      <c r="W685" s="980">
        <v>0</v>
      </c>
      <c r="X685" s="981">
        <v>8281</v>
      </c>
      <c r="Y685" s="983">
        <v>9296</v>
      </c>
      <c r="Z685" s="1412">
        <f>IFERROR(VLOOKUP(C685, [6]條件!$A:$L, 3, 0), "")</f>
        <v>1.7496962332928312</v>
      </c>
      <c r="AA685" s="984">
        <f>IF(OR(L685={"改紡","檢修","了機","清車","FINAL","停機","SAMPLE","TEST","絲開發"}), L685, IFERROR(IF(C685="", "", (SUM(J685, N685, R685, V685)/3 * AG685) * IF(AND(AF685="S", AS685="雙"), 0.5, 1)), ""))</f>
        <v>25.666666666666668</v>
      </c>
      <c r="AB685" s="1413">
        <f t="shared" si="119"/>
        <v>1</v>
      </c>
      <c r="AC685" s="984">
        <f>IF(OR(L685={"改紡","檢修","了機","清車","FINAL","停機","SAMPLE","TEST"}), "", IFERROR(IF(C685="", "", AVERAGE(L685:M685, P685:Q685, T685:U685, X685:Y685)/100), ""))</f>
        <v>86.347499999999997</v>
      </c>
      <c r="AD685" s="984">
        <f t="shared" si="112"/>
        <v>3.2083333333333335</v>
      </c>
      <c r="AE685" s="984">
        <f t="shared" si="120"/>
        <v>3.2083333333333335</v>
      </c>
      <c r="AF685" s="985" t="str">
        <f t="shared" si="113"/>
        <v>A</v>
      </c>
      <c r="AG685" s="1414">
        <v>1</v>
      </c>
      <c r="AH685" s="1002" t="s">
        <v>629</v>
      </c>
      <c r="AI685" s="986" t="s">
        <v>629</v>
      </c>
      <c r="AJ685" s="986" t="s">
        <v>634</v>
      </c>
      <c r="AK685" s="1417" t="s">
        <v>634</v>
      </c>
      <c r="AL685" s="1415">
        <v>54</v>
      </c>
      <c r="AM685" s="1323">
        <v>45935</v>
      </c>
      <c r="AN685" s="1323">
        <v>45937</v>
      </c>
      <c r="AO685" s="1323">
        <v>45939</v>
      </c>
      <c r="AP685" s="1323">
        <v>45942</v>
      </c>
      <c r="AQ685" s="1323">
        <v>45946</v>
      </c>
      <c r="AR685" s="987"/>
      <c r="AS685" s="978" t="str">
        <f t="shared" si="114"/>
        <v>單</v>
      </c>
      <c r="AT685" s="978" t="str">
        <f t="shared" si="115"/>
        <v>全</v>
      </c>
      <c r="AU685" s="978">
        <f t="shared" si="116"/>
        <v>75</v>
      </c>
      <c r="AV685" s="978">
        <f t="shared" si="117"/>
        <v>1.34287632</v>
      </c>
    </row>
    <row r="686" spans="1:48">
      <c r="A686" s="975">
        <f t="shared" si="121"/>
        <v>46160</v>
      </c>
      <c r="B686" s="976" t="s">
        <v>218</v>
      </c>
      <c r="C686" s="976" t="s">
        <v>632</v>
      </c>
      <c r="D686" s="1410"/>
      <c r="E686" s="977" t="str">
        <f>IFERROR(VLOOKUP(C686, [6]條件!$A:$L, 5, 0), "")</f>
        <v/>
      </c>
      <c r="F686" s="978" t="str">
        <f>IFERROR(VLOOKUP(C686, [6]條件!$A:$L, 6, 0), "")</f>
        <v/>
      </c>
      <c r="G686" s="1411" t="str">
        <f>IFERROR(VLOOKUP(C686, [6]條件!$A:$L, 7, 0), "")</f>
        <v/>
      </c>
      <c r="H686" s="978" t="str">
        <f>IF(ISNA(VLOOKUP(C686,[6]條件!$A$1:$K$932,11,0)),"",(VLOOKUP(C686,[6]條件!$A$1:$K$932,11,0)))</f>
        <v/>
      </c>
      <c r="I686" s="979" t="str">
        <f>IF(ISNA(VLOOKUP(C686,[6]條件!$A$1:$L$932,12,0)),"",(VLOOKUP(C686,[6]條件!$A$1:$L$932,12,0)))</f>
        <v/>
      </c>
      <c r="J686" s="982"/>
      <c r="K686" s="980"/>
      <c r="L686" s="981" t="s">
        <v>632</v>
      </c>
      <c r="M686" s="983"/>
      <c r="N686" s="982"/>
      <c r="O686" s="980"/>
      <c r="P686" s="981" t="s">
        <v>632</v>
      </c>
      <c r="Q686" s="983"/>
      <c r="R686" s="982"/>
      <c r="S686" s="980"/>
      <c r="T686" s="981" t="s">
        <v>632</v>
      </c>
      <c r="U686" s="983"/>
      <c r="V686" s="982"/>
      <c r="W686" s="980"/>
      <c r="X686" s="981" t="s">
        <v>632</v>
      </c>
      <c r="Y686" s="983"/>
      <c r="Z686" s="1412" t="str">
        <f>IFERROR(VLOOKUP(C686, [6]條件!$A:$L, 3, 0), "")</f>
        <v/>
      </c>
      <c r="AA686" s="984" t="str">
        <f>IF(OR(L686={"改紡","檢修","了機","清車","FINAL","停機","SAMPLE","TEST","絲開發"}), L686, IFERROR(IF(C686="", "", (SUM(J686, N686, R686, V686)/3 * AG686) * IF(AND(AF686="S", AS686="雙"), 0.5, 1)), ""))</f>
        <v>停機</v>
      </c>
      <c r="AB686" s="1413" t="str">
        <f t="shared" si="119"/>
        <v/>
      </c>
      <c r="AC686" s="984" t="str">
        <f>IF(OR(L686={"改紡","檢修","了機","清車","FINAL","停機","SAMPLE","TEST"}), "", IFERROR(IF(C686="", "", AVERAGE(L686:M686, P686:Q686, T686:U686, X686:Y686)/100), ""))</f>
        <v/>
      </c>
      <c r="AD686" s="984" t="str">
        <f t="shared" si="112"/>
        <v/>
      </c>
      <c r="AE686" s="984" t="str">
        <f t="shared" si="120"/>
        <v/>
      </c>
      <c r="AF686" s="985" t="str">
        <f t="shared" si="113"/>
        <v>A</v>
      </c>
      <c r="AG686" s="1414">
        <v>1</v>
      </c>
      <c r="AH686" s="1002" t="s">
        <v>640</v>
      </c>
      <c r="AI686" s="986" t="s">
        <v>640</v>
      </c>
      <c r="AJ686" s="986" t="s">
        <v>640</v>
      </c>
      <c r="AK686" s="1417" t="s">
        <v>640</v>
      </c>
      <c r="AL686" s="1415"/>
      <c r="AM686" s="1323"/>
      <c r="AN686" s="1323"/>
      <c r="AO686" s="1323"/>
      <c r="AP686" s="1323"/>
      <c r="AQ686" s="1323"/>
      <c r="AR686" s="987"/>
      <c r="AS686" s="978" t="str">
        <f t="shared" si="114"/>
        <v>單</v>
      </c>
      <c r="AT686" s="978" t="str">
        <f t="shared" si="115"/>
        <v>全</v>
      </c>
      <c r="AU686" s="978" t="str">
        <f t="shared" si="116"/>
        <v/>
      </c>
      <c r="AV686" s="978" t="str">
        <f t="shared" si="117"/>
        <v/>
      </c>
    </row>
    <row r="687" spans="1:48">
      <c r="A687" s="975">
        <f t="shared" si="121"/>
        <v>46160</v>
      </c>
      <c r="B687" s="976" t="s">
        <v>219</v>
      </c>
      <c r="C687" s="976" t="s">
        <v>16745</v>
      </c>
      <c r="D687" s="1410" t="s">
        <v>16748</v>
      </c>
      <c r="E687" s="977" t="str">
        <f>IFERROR(VLOOKUP(C687, [6]條件!$A:$L, 5, 0), "")</f>
        <v>50/72BSD3</v>
      </c>
      <c r="F687" s="978" t="str">
        <f>IFERROR(VLOOKUP(C687, [6]條件!$A:$L, 6, 0), "")</f>
        <v>FP80141</v>
      </c>
      <c r="G687" s="1411">
        <f>IFERROR(VLOOKUP(C687, [6]條件!$A:$L, 7, 0), "")</f>
        <v>630</v>
      </c>
      <c r="H687" s="978" t="str">
        <f>IF(ISNA(VLOOKUP(C687,[6]條件!$A$1:$K$932,11,0)),"",(VLOOKUP(C687,[6]條件!$A$1:$K$932,11,0)))</f>
        <v>洋綠色</v>
      </c>
      <c r="I687" s="979">
        <f>IF(ISNA(VLOOKUP(C687,[6]條件!$A$1:$L$932,12,0)),"",(VLOOKUP(C687,[6]條件!$A$1:$L$932,12,0)))</f>
        <v>2</v>
      </c>
      <c r="J687" s="982"/>
      <c r="K687" s="980"/>
      <c r="L687" s="981" t="s">
        <v>627</v>
      </c>
      <c r="M687" s="983"/>
      <c r="N687" s="982"/>
      <c r="O687" s="980"/>
      <c r="P687" s="981" t="s">
        <v>627</v>
      </c>
      <c r="Q687" s="983"/>
      <c r="R687" s="982"/>
      <c r="S687" s="980"/>
      <c r="T687" s="981" t="s">
        <v>632</v>
      </c>
      <c r="U687" s="983"/>
      <c r="V687" s="982"/>
      <c r="W687" s="980"/>
      <c r="X687" s="981" t="s">
        <v>632</v>
      </c>
      <c r="Y687" s="983"/>
      <c r="Z687" s="1412">
        <f>IFERROR(VLOOKUP(C687, [6]條件!$A:$L, 3, 0), "")</f>
        <v>2.4615384615384617</v>
      </c>
      <c r="AA687" s="984" t="str">
        <f>IF(OR(L687={"改紡","檢修","了機","清車","FINAL","停機","SAMPLE","TEST","絲開發"}), L687, IFERROR(IF(C687="", "", (SUM(J687, N687, R687, V687)/3 * AG687) * IF(AND(AF687="S", AS687="雙"), 0.5, 1)), ""))</f>
        <v>FINAL</v>
      </c>
      <c r="AB687" s="1413" t="str">
        <f t="shared" si="119"/>
        <v/>
      </c>
      <c r="AC687" s="984" t="str">
        <f>IF(OR(L687={"改紡","檢修","了機","清車","FINAL","停機","SAMPLE","TEST"}), "", IFERROR(IF(C687="", "", AVERAGE(L687:M687, P687:Q687, T687:U687, X687:Y687)/100), ""))</f>
        <v/>
      </c>
      <c r="AD687" s="984" t="str">
        <f t="shared" si="112"/>
        <v/>
      </c>
      <c r="AE687" s="984" t="str">
        <f t="shared" si="120"/>
        <v/>
      </c>
      <c r="AF687" s="985" t="str">
        <f t="shared" si="113"/>
        <v>A</v>
      </c>
      <c r="AG687" s="1414">
        <v>1</v>
      </c>
      <c r="AH687" s="1002" t="s">
        <v>16154</v>
      </c>
      <c r="AI687" s="986" t="s">
        <v>16154</v>
      </c>
      <c r="AJ687" s="986" t="s">
        <v>637</v>
      </c>
      <c r="AK687" s="1417" t="s">
        <v>637</v>
      </c>
      <c r="AL687" s="1415">
        <v>57</v>
      </c>
      <c r="AM687" s="1324">
        <v>46090</v>
      </c>
      <c r="AN687" s="1323">
        <v>46091</v>
      </c>
      <c r="AO687" s="1323"/>
      <c r="AP687" s="1323"/>
      <c r="AQ687" s="1323"/>
      <c r="AR687" s="987"/>
      <c r="AS687" s="978" t="str">
        <f t="shared" si="114"/>
        <v>單</v>
      </c>
      <c r="AT687" s="978" t="str">
        <f t="shared" si="115"/>
        <v>全</v>
      </c>
      <c r="AU687" s="978">
        <f t="shared" si="116"/>
        <v>50</v>
      </c>
      <c r="AV687" s="978" t="str">
        <f t="shared" si="117"/>
        <v/>
      </c>
    </row>
    <row r="688" spans="1:48">
      <c r="A688" s="975">
        <f t="shared" si="121"/>
        <v>46160</v>
      </c>
      <c r="B688" s="976" t="s">
        <v>220</v>
      </c>
      <c r="C688" s="976" t="s">
        <v>632</v>
      </c>
      <c r="D688" s="1410"/>
      <c r="E688" s="977" t="str">
        <f>IFERROR(VLOOKUP(C688, [6]條件!$A:$L, 5, 0), "")</f>
        <v/>
      </c>
      <c r="F688" s="978" t="str">
        <f>IFERROR(VLOOKUP(C688, [6]條件!$A:$L, 6, 0), "")</f>
        <v/>
      </c>
      <c r="G688" s="1411" t="str">
        <f>IFERROR(VLOOKUP(C688, [6]條件!$A:$L, 7, 0), "")</f>
        <v/>
      </c>
      <c r="H688" s="978" t="str">
        <f>IF(ISNA(VLOOKUP(C688,[6]條件!$A$1:$K$932,11,0)),"",(VLOOKUP(C688,[6]條件!$A$1:$K$932,11,0)))</f>
        <v/>
      </c>
      <c r="I688" s="979" t="str">
        <f>IF(ISNA(VLOOKUP(C688,[6]條件!$A$1:$L$932,12,0)),"",(VLOOKUP(C688,[6]條件!$A$1:$L$932,12,0)))</f>
        <v/>
      </c>
      <c r="J688" s="982"/>
      <c r="K688" s="980"/>
      <c r="L688" s="981" t="s">
        <v>632</v>
      </c>
      <c r="M688" s="983"/>
      <c r="N688" s="982"/>
      <c r="O688" s="980"/>
      <c r="P688" s="981" t="s">
        <v>632</v>
      </c>
      <c r="Q688" s="983"/>
      <c r="R688" s="982"/>
      <c r="S688" s="980"/>
      <c r="T688" s="981" t="s">
        <v>632</v>
      </c>
      <c r="U688" s="983"/>
      <c r="V688" s="982"/>
      <c r="W688" s="980"/>
      <c r="X688" s="981" t="s">
        <v>632</v>
      </c>
      <c r="Y688" s="983"/>
      <c r="Z688" s="1412" t="str">
        <f>IFERROR(VLOOKUP(C688, [6]條件!$A:$L, 3, 0), "")</f>
        <v/>
      </c>
      <c r="AA688" s="984" t="str">
        <f>IF(OR(L688={"改紡","檢修","了機","清車","FINAL","停機","SAMPLE","TEST","絲開發"}), L688, IFERROR(IF(C688="", "", (SUM(J688, N688, R688, V688)/3 * AG688) * IF(AND(AF688="S", AS688="雙"), 0.5, 1)), ""))</f>
        <v>停機</v>
      </c>
      <c r="AB688" s="1413" t="str">
        <f t="shared" si="119"/>
        <v/>
      </c>
      <c r="AC688" s="984" t="str">
        <f>IF(OR(L688={"改紡","檢修","了機","清車","FINAL","停機","SAMPLE","TEST"}), "", IFERROR(IF(C688="", "", AVERAGE(L688:M688, P688:Q688, T688:U688, X688:Y688)/100), ""))</f>
        <v/>
      </c>
      <c r="AD688" s="984" t="str">
        <f t="shared" si="112"/>
        <v/>
      </c>
      <c r="AE688" s="984" t="str">
        <f t="shared" si="120"/>
        <v/>
      </c>
      <c r="AF688" s="985" t="str">
        <f t="shared" si="113"/>
        <v>A</v>
      </c>
      <c r="AG688" s="1414">
        <v>1</v>
      </c>
      <c r="AH688" s="1002" t="s">
        <v>640</v>
      </c>
      <c r="AI688" s="986" t="s">
        <v>640</v>
      </c>
      <c r="AJ688" s="986" t="s">
        <v>640</v>
      </c>
      <c r="AK688" s="1417" t="s">
        <v>640</v>
      </c>
      <c r="AL688" s="1415"/>
      <c r="AM688" s="1323"/>
      <c r="AN688" s="1323"/>
      <c r="AO688" s="1323"/>
      <c r="AP688" s="1323"/>
      <c r="AQ688" s="1323"/>
      <c r="AR688" s="987"/>
      <c r="AS688" s="978" t="str">
        <f t="shared" si="114"/>
        <v>單</v>
      </c>
      <c r="AT688" s="978" t="str">
        <f t="shared" si="115"/>
        <v>全</v>
      </c>
      <c r="AU688" s="978" t="str">
        <f t="shared" si="116"/>
        <v/>
      </c>
      <c r="AV688" s="978" t="str">
        <f t="shared" si="117"/>
        <v/>
      </c>
    </row>
    <row r="689" spans="1:48">
      <c r="A689" s="975">
        <f t="shared" si="121"/>
        <v>46160</v>
      </c>
      <c r="B689" s="976" t="s">
        <v>221</v>
      </c>
      <c r="C689" s="976" t="s">
        <v>16763</v>
      </c>
      <c r="D689" s="1410"/>
      <c r="E689" s="977" t="str">
        <f>IFERROR(VLOOKUP(C689, [6]條件!$A:$L, 5, 0), "")</f>
        <v>150/48CDR</v>
      </c>
      <c r="F689" s="978" t="str">
        <f>IFERROR(VLOOKUP(C689, [6]條件!$A:$L, 6, 0), "")</f>
        <v>FP82781</v>
      </c>
      <c r="G689" s="1411">
        <f>IFERROR(VLOOKUP(C689, [6]條件!$A:$L, 7, 0), "")</f>
        <v>600</v>
      </c>
      <c r="H689" s="978" t="str">
        <f>IF(ISNA(VLOOKUP(C689,[6]條件!$A$1:$K$932,11,0)),"",(VLOOKUP(C689,[6]條件!$A$1:$K$932,11,0)))</f>
        <v>綠藍雙色</v>
      </c>
      <c r="I689" s="979">
        <f>IF(ISNA(VLOOKUP(C689,[6]條件!$A$1:$L$932,12,0)),"",(VLOOKUP(C689,[6]條件!$A$1:$L$932,12,0)))</f>
        <v>5</v>
      </c>
      <c r="J689" s="982">
        <v>10</v>
      </c>
      <c r="K689" s="980">
        <v>0</v>
      </c>
      <c r="L689" s="981">
        <v>8571</v>
      </c>
      <c r="M689" s="983">
        <v>8002</v>
      </c>
      <c r="N689" s="982">
        <v>7</v>
      </c>
      <c r="O689" s="980">
        <v>0</v>
      </c>
      <c r="P689" s="981">
        <v>8510</v>
      </c>
      <c r="Q689" s="983">
        <v>8008</v>
      </c>
      <c r="R689" s="982">
        <v>6</v>
      </c>
      <c r="S689" s="980">
        <v>0</v>
      </c>
      <c r="T689" s="981">
        <v>8489</v>
      </c>
      <c r="U689" s="983">
        <v>7924</v>
      </c>
      <c r="V689" s="982">
        <v>3</v>
      </c>
      <c r="W689" s="980">
        <v>0</v>
      </c>
      <c r="X689" s="981">
        <v>8475</v>
      </c>
      <c r="Y689" s="983">
        <v>7870</v>
      </c>
      <c r="Z689" s="1412">
        <f>IFERROR(VLOOKUP(C689, [6]條件!$A:$L, 3, 0), "")</f>
        <v>2.8685258964143427</v>
      </c>
      <c r="AA689" s="984">
        <f>IF(OR(L689={"改紡","檢修","了機","清車","FINAL","停機","SAMPLE","TEST","絲開發"}), L689, IFERROR(IF(C689="", "", (SUM(J689, N689, R689, V689)/3 * AG689) * IF(AND(AF689="S", AS689="雙"), 0.5, 1)), ""))</f>
        <v>8.6666666666666661</v>
      </c>
      <c r="AB689" s="1413">
        <f t="shared" si="119"/>
        <v>1</v>
      </c>
      <c r="AC689" s="984">
        <f>IF(OR(L689={"改紡","檢修","了機","清車","FINAL","停機","SAMPLE","TEST"}), "", IFERROR(IF(C689="", "", AVERAGE(L689:M689, P689:Q689, T689:U689, X689:Y689)/100), ""))</f>
        <v>82.311250000000001</v>
      </c>
      <c r="AD689" s="984">
        <f t="shared" si="112"/>
        <v>1.0833333333333333</v>
      </c>
      <c r="AE689" s="984">
        <f t="shared" si="120"/>
        <v>1.0833333333333333</v>
      </c>
      <c r="AF689" s="985" t="str">
        <f t="shared" si="113"/>
        <v>A</v>
      </c>
      <c r="AG689" s="1414">
        <v>1</v>
      </c>
      <c r="AH689" s="1002" t="s">
        <v>16154</v>
      </c>
      <c r="AI689" s="986" t="s">
        <v>16154</v>
      </c>
      <c r="AJ689" s="986" t="s">
        <v>634</v>
      </c>
      <c r="AK689" s="1417" t="s">
        <v>634</v>
      </c>
      <c r="AL689" s="1415">
        <v>54</v>
      </c>
      <c r="AM689" s="1323">
        <v>46158</v>
      </c>
      <c r="AN689" s="1323">
        <v>46159</v>
      </c>
      <c r="AO689" s="1323"/>
      <c r="AP689" s="1323"/>
      <c r="AQ689" s="1323"/>
      <c r="AR689" s="987"/>
      <c r="AS689" s="978" t="str">
        <f t="shared" si="114"/>
        <v>單</v>
      </c>
      <c r="AT689" s="978" t="str">
        <f t="shared" si="115"/>
        <v>全</v>
      </c>
      <c r="AU689" s="978">
        <f t="shared" si="116"/>
        <v>150</v>
      </c>
      <c r="AV689" s="978">
        <f t="shared" si="117"/>
        <v>2.5602091200000001</v>
      </c>
    </row>
    <row r="690" spans="1:48">
      <c r="A690" s="975">
        <f t="shared" si="121"/>
        <v>46160</v>
      </c>
      <c r="B690" s="976" t="s">
        <v>222</v>
      </c>
      <c r="C690" s="976" t="s">
        <v>632</v>
      </c>
      <c r="D690" s="1410"/>
      <c r="E690" s="977" t="str">
        <f>IFERROR(VLOOKUP(C690, [6]條件!$A:$L, 5, 0), "")</f>
        <v/>
      </c>
      <c r="F690" s="978" t="str">
        <f>IFERROR(VLOOKUP(C690, [6]條件!$A:$L, 6, 0), "")</f>
        <v/>
      </c>
      <c r="G690" s="1411" t="str">
        <f>IFERROR(VLOOKUP(C690, [6]條件!$A:$L, 7, 0), "")</f>
        <v/>
      </c>
      <c r="H690" s="978" t="str">
        <f>IF(ISNA(VLOOKUP(C690,[6]條件!$A$1:$K$932,11,0)),"",(VLOOKUP(C690,[6]條件!$A$1:$K$932,11,0)))</f>
        <v/>
      </c>
      <c r="I690" s="979" t="str">
        <f>IF(ISNA(VLOOKUP(C690,[6]條件!$A$1:$L$932,12,0)),"",(VLOOKUP(C690,[6]條件!$A$1:$L$932,12,0)))</f>
        <v/>
      </c>
      <c r="J690" s="982"/>
      <c r="K690" s="980"/>
      <c r="L690" s="981" t="s">
        <v>632</v>
      </c>
      <c r="M690" s="983"/>
      <c r="N690" s="982"/>
      <c r="O690" s="980"/>
      <c r="P690" s="981" t="s">
        <v>632</v>
      </c>
      <c r="Q690" s="983"/>
      <c r="R690" s="982"/>
      <c r="S690" s="980"/>
      <c r="T690" s="981" t="s">
        <v>632</v>
      </c>
      <c r="U690" s="983"/>
      <c r="V690" s="982"/>
      <c r="W690" s="980"/>
      <c r="X690" s="981" t="s">
        <v>632</v>
      </c>
      <c r="Y690" s="983"/>
      <c r="Z690" s="1412" t="str">
        <f>IFERROR(VLOOKUP(C690, [6]條件!$A:$L, 3, 0), "")</f>
        <v/>
      </c>
      <c r="AA690" s="984" t="str">
        <f>IF(OR(L690={"改紡","檢修","了機","清車","FINAL","停機","SAMPLE","TEST","絲開發"}), L690, IFERROR(IF(C690="", "", (SUM(J690, N690, R690, V690)/3 * AG690) * IF(AND(AF690="S", AS690="雙"), 0.5, 1)), ""))</f>
        <v>停機</v>
      </c>
      <c r="AB690" s="1413" t="str">
        <f t="shared" si="119"/>
        <v/>
      </c>
      <c r="AC690" s="984" t="str">
        <f>IF(OR(L690={"改紡","檢修","了機","清車","FINAL","停機","SAMPLE","TEST"}), "", IFERROR(IF(C690="", "", AVERAGE(L690:M690, P690:Q690, T690:U690, X690:Y690)/100), ""))</f>
        <v/>
      </c>
      <c r="AD690" s="984" t="str">
        <f t="shared" si="112"/>
        <v/>
      </c>
      <c r="AE690" s="984" t="str">
        <f t="shared" si="120"/>
        <v/>
      </c>
      <c r="AF690" s="985" t="str">
        <f t="shared" si="113"/>
        <v>A</v>
      </c>
      <c r="AG690" s="1414">
        <v>1</v>
      </c>
      <c r="AH690" s="1002" t="s">
        <v>640</v>
      </c>
      <c r="AI690" s="986" t="s">
        <v>640</v>
      </c>
      <c r="AJ690" s="986" t="s">
        <v>640</v>
      </c>
      <c r="AK690" s="1417" t="s">
        <v>640</v>
      </c>
      <c r="AL690" s="1415"/>
      <c r="AM690" s="1323"/>
      <c r="AN690" s="1323"/>
      <c r="AO690" s="1323"/>
      <c r="AP690" s="1323"/>
      <c r="AQ690" s="1323"/>
      <c r="AR690" s="987"/>
      <c r="AS690" s="978" t="str">
        <f t="shared" si="114"/>
        <v>單</v>
      </c>
      <c r="AT690" s="978" t="str">
        <f t="shared" si="115"/>
        <v>全</v>
      </c>
      <c r="AU690" s="978" t="str">
        <f t="shared" si="116"/>
        <v/>
      </c>
      <c r="AV690" s="978" t="str">
        <f t="shared" si="117"/>
        <v/>
      </c>
    </row>
    <row r="691" spans="1:48">
      <c r="A691" s="975">
        <f t="shared" si="121"/>
        <v>46160</v>
      </c>
      <c r="B691" s="976" t="s">
        <v>223</v>
      </c>
      <c r="C691" s="976" t="s">
        <v>632</v>
      </c>
      <c r="D691" s="1410"/>
      <c r="E691" s="977" t="str">
        <f>IFERROR(VLOOKUP(C691, [6]條件!$A:$L, 5, 0), "")</f>
        <v/>
      </c>
      <c r="F691" s="978" t="str">
        <f>IFERROR(VLOOKUP(C691, [6]條件!$A:$L, 6, 0), "")</f>
        <v/>
      </c>
      <c r="G691" s="1411" t="str">
        <f>IFERROR(VLOOKUP(C691, [6]條件!$A:$L, 7, 0), "")</f>
        <v/>
      </c>
      <c r="H691" s="978" t="str">
        <f>IF(ISNA(VLOOKUP(C691,[6]條件!$A$1:$K$932,11,0)),"",(VLOOKUP(C691,[6]條件!$A$1:$K$932,11,0)))</f>
        <v/>
      </c>
      <c r="I691" s="979" t="str">
        <f>IF(ISNA(VLOOKUP(C691,[6]條件!$A$1:$L$932,12,0)),"",(VLOOKUP(C691,[6]條件!$A$1:$L$932,12,0)))</f>
        <v/>
      </c>
      <c r="J691" s="982"/>
      <c r="K691" s="980"/>
      <c r="L691" s="981" t="s">
        <v>632</v>
      </c>
      <c r="M691" s="983"/>
      <c r="N691" s="982"/>
      <c r="O691" s="980"/>
      <c r="P691" s="981" t="s">
        <v>632</v>
      </c>
      <c r="Q691" s="983"/>
      <c r="R691" s="982"/>
      <c r="S691" s="980"/>
      <c r="T691" s="981" t="s">
        <v>632</v>
      </c>
      <c r="U691" s="983"/>
      <c r="V691" s="982"/>
      <c r="W691" s="980"/>
      <c r="X691" s="981" t="s">
        <v>632</v>
      </c>
      <c r="Y691" s="983"/>
      <c r="Z691" s="1412" t="str">
        <f>IFERROR(VLOOKUP(C691, [6]條件!$A:$L, 3, 0), "")</f>
        <v/>
      </c>
      <c r="AA691" s="984" t="str">
        <f>IF(OR(L691={"改紡","檢修","了機","清車","FINAL","停機","SAMPLE","TEST","絲開發"}), L691, IFERROR(IF(C691="", "", (SUM(J691, N691, R691, V691)/3 * AG691) * IF(AND(AF691="S", AS691="雙"), 0.5, 1)), ""))</f>
        <v>停機</v>
      </c>
      <c r="AB691" s="1413" t="str">
        <f t="shared" si="119"/>
        <v/>
      </c>
      <c r="AC691" s="984" t="str">
        <f>IF(OR(L691={"改紡","檢修","了機","清車","FINAL","停機","SAMPLE","TEST"}), "", IFERROR(IF(C691="", "", AVERAGE(L691:M691, P691:Q691, T691:U691, X691:Y691)/100), ""))</f>
        <v/>
      </c>
      <c r="AD691" s="984" t="str">
        <f t="shared" si="112"/>
        <v/>
      </c>
      <c r="AE691" s="984" t="str">
        <f t="shared" si="120"/>
        <v/>
      </c>
      <c r="AF691" s="985" t="str">
        <f t="shared" si="113"/>
        <v>A</v>
      </c>
      <c r="AG691" s="1414">
        <v>1</v>
      </c>
      <c r="AH691" s="1002" t="s">
        <v>640</v>
      </c>
      <c r="AI691" s="986" t="s">
        <v>640</v>
      </c>
      <c r="AJ691" s="986" t="s">
        <v>640</v>
      </c>
      <c r="AK691" s="1417" t="s">
        <v>640</v>
      </c>
      <c r="AL691" s="1415"/>
      <c r="AM691" s="1324"/>
      <c r="AN691" s="1323"/>
      <c r="AO691" s="1323"/>
      <c r="AP691" s="1323"/>
      <c r="AQ691" s="1323"/>
      <c r="AR691" s="987"/>
      <c r="AS691" s="978" t="str">
        <f t="shared" si="114"/>
        <v>單</v>
      </c>
      <c r="AT691" s="978" t="str">
        <f t="shared" si="115"/>
        <v>全</v>
      </c>
      <c r="AU691" s="978" t="str">
        <f t="shared" si="116"/>
        <v/>
      </c>
      <c r="AV691" s="978" t="str">
        <f t="shared" si="117"/>
        <v/>
      </c>
    </row>
    <row r="692" spans="1:48">
      <c r="A692" s="975">
        <f t="shared" si="121"/>
        <v>46160</v>
      </c>
      <c r="B692" s="976" t="s">
        <v>224</v>
      </c>
      <c r="C692" s="976" t="s">
        <v>16734</v>
      </c>
      <c r="D692" s="1410" t="s">
        <v>633</v>
      </c>
      <c r="E692" s="977" t="str">
        <f>IFERROR(VLOOKUP(C692, [6]條件!$A:$L, 5, 0), "")</f>
        <v>75/24/2SDr</v>
      </c>
      <c r="F692" s="978" t="str">
        <f>IFERROR(VLOOKUP(C692, [6]條件!$A:$L, 6, 0), "")</f>
        <v>FP81382R×2</v>
      </c>
      <c r="G692" s="1411">
        <f>IFERROR(VLOOKUP(C692, [6]條件!$A:$L, 7, 0), "")</f>
        <v>700</v>
      </c>
      <c r="H692" s="978" t="str">
        <f>IF(ISNA(VLOOKUP(C692,[6]條件!$A$1:$K$932,11,0)),"",(VLOOKUP(C692,[6]條件!$A$1:$K$932,11,0)))</f>
        <v>白底紫三角</v>
      </c>
      <c r="I692" s="979">
        <f>IF(ISNA(VLOOKUP(C692,[6]條件!$A$1:$L$932,12,0)),"",(VLOOKUP(C692,[6]條件!$A$1:$L$932,12,0)))</f>
        <v>5</v>
      </c>
      <c r="J692" s="982">
        <v>46</v>
      </c>
      <c r="K692" s="980">
        <v>0</v>
      </c>
      <c r="L692" s="981">
        <v>8805</v>
      </c>
      <c r="M692" s="983">
        <v>8507</v>
      </c>
      <c r="N692" s="982">
        <v>14</v>
      </c>
      <c r="O692" s="980">
        <v>0</v>
      </c>
      <c r="P692" s="981">
        <v>8906</v>
      </c>
      <c r="Q692" s="983">
        <v>8952</v>
      </c>
      <c r="R692" s="982">
        <v>28</v>
      </c>
      <c r="S692" s="980">
        <v>0</v>
      </c>
      <c r="T692" s="981">
        <v>8710</v>
      </c>
      <c r="U692" s="983">
        <v>8866</v>
      </c>
      <c r="V692" s="982">
        <v>36</v>
      </c>
      <c r="W692" s="980">
        <v>0</v>
      </c>
      <c r="X692" s="981">
        <v>8731</v>
      </c>
      <c r="Y692" s="983">
        <v>8885</v>
      </c>
      <c r="Z692" s="1412">
        <f>IFERROR(VLOOKUP(C692, [6]條件!$A:$L, 3, 0), "")</f>
        <v>3.2653061224489797</v>
      </c>
      <c r="AA692" s="984">
        <f>IF(OR(L692={"改紡","檢修","了機","清車","FINAL","停機","SAMPLE","TEST","絲開發"}), L692, IFERROR(IF(C692="", "", (SUM(J692, N692, R692, V692)/3 * AG692) * IF(AND(AF692="S", AS692="雙"), 0.5, 1)), ""))</f>
        <v>20.666666666666668</v>
      </c>
      <c r="AB692" s="1413">
        <f t="shared" si="119"/>
        <v>1</v>
      </c>
      <c r="AC692" s="984">
        <f>IF(OR(L692={"改紡","檢修","了機","清車","FINAL","停機","SAMPLE","TEST"}), "", IFERROR(IF(C692="", "", AVERAGE(L692:M692, P692:Q692, T692:U692, X692:Y692)/100), ""))</f>
        <v>87.952500000000001</v>
      </c>
      <c r="AD692" s="984">
        <f t="shared" si="112"/>
        <v>2.5833333333333335</v>
      </c>
      <c r="AE692" s="984">
        <f t="shared" si="120"/>
        <v>2.5833333333333335</v>
      </c>
      <c r="AF692" s="985" t="str">
        <f t="shared" si="113"/>
        <v>A</v>
      </c>
      <c r="AG692" s="1414">
        <v>0.5</v>
      </c>
      <c r="AH692" s="1002" t="s">
        <v>629</v>
      </c>
      <c r="AI692" s="986" t="s">
        <v>629</v>
      </c>
      <c r="AJ692" s="986" t="s">
        <v>634</v>
      </c>
      <c r="AK692" s="1417" t="s">
        <v>634</v>
      </c>
      <c r="AL692" s="1415">
        <v>50</v>
      </c>
      <c r="AM692" s="1323">
        <v>46110</v>
      </c>
      <c r="AN692" s="1323">
        <v>46111</v>
      </c>
      <c r="AO692" s="1323"/>
      <c r="AP692" s="1323"/>
      <c r="AQ692" s="1323"/>
      <c r="AR692" s="987"/>
      <c r="AS692" s="978" t="str">
        <f t="shared" si="114"/>
        <v>雙</v>
      </c>
      <c r="AT692" s="978" t="str">
        <f t="shared" si="115"/>
        <v>全</v>
      </c>
      <c r="AU692" s="978">
        <f t="shared" si="116"/>
        <v>75</v>
      </c>
      <c r="AV692" s="978">
        <f t="shared" si="117"/>
        <v>1.5958101600000001</v>
      </c>
    </row>
    <row r="693" spans="1:48">
      <c r="A693" s="975">
        <f t="shared" si="121"/>
        <v>46160</v>
      </c>
      <c r="B693" s="976" t="s">
        <v>225</v>
      </c>
      <c r="C693" s="976" t="s">
        <v>632</v>
      </c>
      <c r="D693" s="1410"/>
      <c r="E693" s="977" t="str">
        <f>IFERROR(VLOOKUP(C693, [6]條件!$A:$L, 5, 0), "")</f>
        <v/>
      </c>
      <c r="F693" s="978" t="str">
        <f>IFERROR(VLOOKUP(C693, [6]條件!$A:$L, 6, 0), "")</f>
        <v/>
      </c>
      <c r="G693" s="1411" t="str">
        <f>IFERROR(VLOOKUP(C693, [6]條件!$A:$L, 7, 0), "")</f>
        <v/>
      </c>
      <c r="H693" s="978" t="str">
        <f>IF(ISNA(VLOOKUP(C693,[6]條件!$A$1:$K$932,11,0)),"",(VLOOKUP(C693,[6]條件!$A$1:$K$932,11,0)))</f>
        <v/>
      </c>
      <c r="I693" s="979" t="str">
        <f>IF(ISNA(VLOOKUP(C693,[6]條件!$A$1:$L$932,12,0)),"",(VLOOKUP(C693,[6]條件!$A$1:$L$932,12,0)))</f>
        <v/>
      </c>
      <c r="J693" s="982"/>
      <c r="K693" s="980"/>
      <c r="L693" s="981" t="s">
        <v>632</v>
      </c>
      <c r="M693" s="983"/>
      <c r="N693" s="982"/>
      <c r="O693" s="980"/>
      <c r="P693" s="981" t="s">
        <v>632</v>
      </c>
      <c r="Q693" s="983"/>
      <c r="R693" s="982"/>
      <c r="S693" s="980"/>
      <c r="T693" s="981" t="s">
        <v>632</v>
      </c>
      <c r="U693" s="983"/>
      <c r="V693" s="982"/>
      <c r="W693" s="980"/>
      <c r="X693" s="981" t="s">
        <v>632</v>
      </c>
      <c r="Y693" s="983"/>
      <c r="Z693" s="1412" t="str">
        <f>IFERROR(VLOOKUP(C693, [6]條件!$A:$L, 3, 0), "")</f>
        <v/>
      </c>
      <c r="AA693" s="984" t="str">
        <f>IF(OR(L693={"改紡","檢修","了機","清車","FINAL","停機","SAMPLE","TEST","絲開發"}), L693, IFERROR(IF(C693="", "", (SUM(J693, N693, R693, V693)/3 * AG693) * IF(AND(AF693="S", AS693="雙"), 0.5, 1)), ""))</f>
        <v>停機</v>
      </c>
      <c r="AB693" s="1413" t="str">
        <f t="shared" si="119"/>
        <v/>
      </c>
      <c r="AC693" s="984" t="str">
        <f>IF(OR(L693={"改紡","檢修","了機","清車","FINAL","停機","SAMPLE","TEST"}), "", IFERROR(IF(C693="", "", AVERAGE(L693:M693, P693:Q693, T693:U693, X693:Y693)/100), ""))</f>
        <v/>
      </c>
      <c r="AD693" s="984" t="str">
        <f t="shared" si="112"/>
        <v/>
      </c>
      <c r="AE693" s="984" t="str">
        <f t="shared" si="120"/>
        <v/>
      </c>
      <c r="AF693" s="985" t="str">
        <f t="shared" si="113"/>
        <v>A</v>
      </c>
      <c r="AG693" s="1414">
        <v>1</v>
      </c>
      <c r="AH693" s="1002" t="s">
        <v>640</v>
      </c>
      <c r="AI693" s="986" t="s">
        <v>640</v>
      </c>
      <c r="AJ693" s="986" t="s">
        <v>640</v>
      </c>
      <c r="AK693" s="1417" t="s">
        <v>640</v>
      </c>
      <c r="AL693" s="1415"/>
      <c r="AM693" s="1323"/>
      <c r="AN693" s="1323"/>
      <c r="AO693" s="1323"/>
      <c r="AP693" s="1323"/>
      <c r="AQ693" s="1323"/>
      <c r="AR693" s="987"/>
      <c r="AS693" s="978" t="str">
        <f t="shared" si="114"/>
        <v>單</v>
      </c>
      <c r="AT693" s="978" t="str">
        <f t="shared" si="115"/>
        <v>全</v>
      </c>
      <c r="AU693" s="978" t="str">
        <f t="shared" si="116"/>
        <v/>
      </c>
      <c r="AV693" s="978" t="str">
        <f t="shared" si="117"/>
        <v/>
      </c>
    </row>
    <row r="694" spans="1:48">
      <c r="A694" s="975">
        <f t="shared" si="121"/>
        <v>46160</v>
      </c>
      <c r="B694" s="976" t="s">
        <v>226</v>
      </c>
      <c r="C694" s="976" t="s">
        <v>632</v>
      </c>
      <c r="D694" s="1410"/>
      <c r="E694" s="977" t="str">
        <f>IFERROR(VLOOKUP(C694, [6]條件!$A:$L, 5, 0), "")</f>
        <v/>
      </c>
      <c r="F694" s="978" t="str">
        <f>IFERROR(VLOOKUP(C694, [6]條件!$A:$L, 6, 0), "")</f>
        <v/>
      </c>
      <c r="G694" s="1411" t="str">
        <f>IFERROR(VLOOKUP(C694, [6]條件!$A:$L, 7, 0), "")</f>
        <v/>
      </c>
      <c r="H694" s="978" t="str">
        <f>IF(ISNA(VLOOKUP(C694,[6]條件!$A$1:$K$932,11,0)),"",(VLOOKUP(C694,[6]條件!$A$1:$K$932,11,0)))</f>
        <v/>
      </c>
      <c r="I694" s="979" t="str">
        <f>IF(ISNA(VLOOKUP(C694,[6]條件!$A$1:$L$932,12,0)),"",(VLOOKUP(C694,[6]條件!$A$1:$L$932,12,0)))</f>
        <v/>
      </c>
      <c r="J694" s="982"/>
      <c r="K694" s="980"/>
      <c r="L694" s="981" t="s">
        <v>632</v>
      </c>
      <c r="M694" s="983"/>
      <c r="N694" s="982"/>
      <c r="O694" s="980"/>
      <c r="P694" s="981" t="s">
        <v>632</v>
      </c>
      <c r="Q694" s="983"/>
      <c r="R694" s="982"/>
      <c r="S694" s="980"/>
      <c r="T694" s="981" t="s">
        <v>632</v>
      </c>
      <c r="U694" s="983"/>
      <c r="V694" s="982"/>
      <c r="W694" s="980"/>
      <c r="X694" s="981" t="s">
        <v>632</v>
      </c>
      <c r="Y694" s="983"/>
      <c r="Z694" s="1412" t="str">
        <f>IFERROR(VLOOKUP(C694, [6]條件!$A:$L, 3, 0), "")</f>
        <v/>
      </c>
      <c r="AA694" s="984" t="str">
        <f>IF(OR(L694={"改紡","檢修","了機","清車","FINAL","停機","SAMPLE","TEST","絲開發"}), L694, IFERROR(IF(C694="", "", (SUM(J694, N694, R694, V694)/3 * AG694) * IF(AND(AF694="S", AS694="雙"), 0.5, 1)), ""))</f>
        <v>停機</v>
      </c>
      <c r="AB694" s="1413" t="str">
        <f t="shared" si="119"/>
        <v/>
      </c>
      <c r="AC694" s="984" t="str">
        <f>IF(OR(L694={"改紡","檢修","了機","清車","FINAL","停機","SAMPLE","TEST"}), "", IFERROR(IF(C694="", "", AVERAGE(L694:M694, P694:Q694, T694:U694, X694:Y694)/100), ""))</f>
        <v/>
      </c>
      <c r="AD694" s="984" t="str">
        <f t="shared" si="112"/>
        <v/>
      </c>
      <c r="AE694" s="984" t="str">
        <f t="shared" si="120"/>
        <v/>
      </c>
      <c r="AF694" s="985" t="str">
        <f t="shared" si="113"/>
        <v>A</v>
      </c>
      <c r="AG694" s="1414">
        <v>1</v>
      </c>
      <c r="AH694" s="1002" t="s">
        <v>640</v>
      </c>
      <c r="AI694" s="986" t="s">
        <v>640</v>
      </c>
      <c r="AJ694" s="986" t="s">
        <v>640</v>
      </c>
      <c r="AK694" s="1417" t="s">
        <v>640</v>
      </c>
      <c r="AL694" s="1415"/>
      <c r="AM694" s="1323"/>
      <c r="AN694" s="1323"/>
      <c r="AO694" s="1323"/>
      <c r="AP694" s="1323"/>
      <c r="AQ694" s="1323"/>
      <c r="AR694" s="987"/>
      <c r="AS694" s="978" t="str">
        <f t="shared" si="114"/>
        <v>單</v>
      </c>
      <c r="AT694" s="978" t="str">
        <f t="shared" si="115"/>
        <v>全</v>
      </c>
      <c r="AU694" s="978" t="str">
        <f t="shared" si="116"/>
        <v/>
      </c>
      <c r="AV694" s="978" t="str">
        <f t="shared" si="117"/>
        <v/>
      </c>
    </row>
    <row r="695" spans="1:48">
      <c r="A695" s="975">
        <f t="shared" si="121"/>
        <v>46160</v>
      </c>
      <c r="B695" s="976" t="s">
        <v>227</v>
      </c>
      <c r="C695" s="976" t="s">
        <v>632</v>
      </c>
      <c r="D695" s="1410"/>
      <c r="E695" s="977" t="str">
        <f>IFERROR(VLOOKUP(C695, [6]條件!$A:$L, 5, 0), "")</f>
        <v/>
      </c>
      <c r="F695" s="978" t="str">
        <f>IFERROR(VLOOKUP(C695, [6]條件!$A:$L, 6, 0), "")</f>
        <v/>
      </c>
      <c r="G695" s="1411" t="str">
        <f>IFERROR(VLOOKUP(C695, [6]條件!$A:$L, 7, 0), "")</f>
        <v/>
      </c>
      <c r="H695" s="978" t="str">
        <f>IF(ISNA(VLOOKUP(C695,[6]條件!$A$1:$K$932,11,0)),"",(VLOOKUP(C695,[6]條件!$A$1:$K$932,11,0)))</f>
        <v/>
      </c>
      <c r="I695" s="979" t="str">
        <f>IF(ISNA(VLOOKUP(C695,[6]條件!$A$1:$L$932,12,0)),"",(VLOOKUP(C695,[6]條件!$A$1:$L$932,12,0)))</f>
        <v/>
      </c>
      <c r="J695" s="982"/>
      <c r="K695" s="980"/>
      <c r="L695" s="981" t="s">
        <v>632</v>
      </c>
      <c r="M695" s="983"/>
      <c r="N695" s="982"/>
      <c r="O695" s="980"/>
      <c r="P695" s="981" t="s">
        <v>632</v>
      </c>
      <c r="Q695" s="983"/>
      <c r="R695" s="982"/>
      <c r="S695" s="980"/>
      <c r="T695" s="981" t="s">
        <v>632</v>
      </c>
      <c r="U695" s="983"/>
      <c r="V695" s="982"/>
      <c r="W695" s="980"/>
      <c r="X695" s="981" t="s">
        <v>632</v>
      </c>
      <c r="Y695" s="983"/>
      <c r="Z695" s="1412" t="str">
        <f>IFERROR(VLOOKUP(C695, [6]條件!$A:$L, 3, 0), "")</f>
        <v/>
      </c>
      <c r="AA695" s="984" t="str">
        <f>IF(OR(L695={"改紡","檢修","了機","清車","FINAL","停機","SAMPLE","TEST","絲開發"}), L695, IFERROR(IF(C695="", "", (SUM(J695, N695, R695, V695)/3 * AG695) * IF(AND(AF695="S", AS695="雙"), 0.5, 1)), ""))</f>
        <v>停機</v>
      </c>
      <c r="AB695" s="1413" t="str">
        <f t="shared" si="119"/>
        <v/>
      </c>
      <c r="AC695" s="984" t="str">
        <f>IF(OR(L695={"改紡","檢修","了機","清車","FINAL","停機","SAMPLE","TEST"}), "", IFERROR(IF(C695="", "", AVERAGE(L695:M695, P695:Q695, T695:U695, X695:Y695)/100), ""))</f>
        <v/>
      </c>
      <c r="AD695" s="984" t="str">
        <f t="shared" si="112"/>
        <v/>
      </c>
      <c r="AE695" s="984" t="str">
        <f t="shared" si="120"/>
        <v/>
      </c>
      <c r="AF695" s="985" t="str">
        <f t="shared" si="113"/>
        <v>A</v>
      </c>
      <c r="AG695" s="1414">
        <v>1</v>
      </c>
      <c r="AH695" s="1002" t="s">
        <v>640</v>
      </c>
      <c r="AI695" s="986" t="s">
        <v>640</v>
      </c>
      <c r="AJ695" s="986" t="s">
        <v>640</v>
      </c>
      <c r="AK695" s="1417" t="s">
        <v>640</v>
      </c>
      <c r="AL695" s="1415"/>
      <c r="AM695" s="1323"/>
      <c r="AN695" s="1323"/>
      <c r="AO695" s="1323"/>
      <c r="AP695" s="1323"/>
      <c r="AQ695" s="1323"/>
      <c r="AR695" s="987"/>
      <c r="AS695" s="978" t="str">
        <f t="shared" si="114"/>
        <v>單</v>
      </c>
      <c r="AT695" s="978" t="str">
        <f t="shared" si="115"/>
        <v>全</v>
      </c>
      <c r="AU695" s="978" t="str">
        <f t="shared" si="116"/>
        <v/>
      </c>
      <c r="AV695" s="978" t="str">
        <f t="shared" si="117"/>
        <v/>
      </c>
    </row>
    <row r="696" spans="1:48">
      <c r="A696" s="975">
        <f t="shared" si="121"/>
        <v>46160</v>
      </c>
      <c r="B696" s="976" t="s">
        <v>228</v>
      </c>
      <c r="C696" s="976" t="s">
        <v>632</v>
      </c>
      <c r="D696" s="1410"/>
      <c r="E696" s="977" t="str">
        <f>IFERROR(VLOOKUP(C696, [6]條件!$A:$L, 5, 0), "")</f>
        <v/>
      </c>
      <c r="F696" s="978" t="str">
        <f>IFERROR(VLOOKUP(C696, [6]條件!$A:$L, 6, 0), "")</f>
        <v/>
      </c>
      <c r="G696" s="1411" t="str">
        <f>IFERROR(VLOOKUP(C696, [6]條件!$A:$L, 7, 0), "")</f>
        <v/>
      </c>
      <c r="H696" s="978" t="str">
        <f>IF(ISNA(VLOOKUP(C696,[6]條件!$A$1:$K$932,11,0)),"",(VLOOKUP(C696,[6]條件!$A$1:$K$932,11,0)))</f>
        <v/>
      </c>
      <c r="I696" s="979" t="str">
        <f>IF(ISNA(VLOOKUP(C696,[6]條件!$A$1:$L$932,12,0)),"",(VLOOKUP(C696,[6]條件!$A$1:$L$932,12,0)))</f>
        <v/>
      </c>
      <c r="J696" s="982"/>
      <c r="K696" s="980"/>
      <c r="L696" s="981" t="s">
        <v>632</v>
      </c>
      <c r="M696" s="983"/>
      <c r="N696" s="982"/>
      <c r="O696" s="980"/>
      <c r="P696" s="981" t="s">
        <v>632</v>
      </c>
      <c r="Q696" s="983"/>
      <c r="R696" s="982"/>
      <c r="S696" s="980"/>
      <c r="T696" s="981" t="s">
        <v>632</v>
      </c>
      <c r="U696" s="983"/>
      <c r="V696" s="982"/>
      <c r="W696" s="980"/>
      <c r="X696" s="981" t="s">
        <v>632</v>
      </c>
      <c r="Y696" s="983"/>
      <c r="Z696" s="1412" t="str">
        <f>IFERROR(VLOOKUP(C696, [6]條件!$A:$L, 3, 0), "")</f>
        <v/>
      </c>
      <c r="AA696" s="984" t="str">
        <f>IF(OR(L696={"改紡","檢修","了機","清車","FINAL","停機","SAMPLE","TEST","絲開發"}), L696, IFERROR(IF(C696="", "", (SUM(J696, N696, R696, V696)/3 * AG696) * IF(AND(AF696="S", AS696="雙"), 0.5, 1)), ""))</f>
        <v>停機</v>
      </c>
      <c r="AB696" s="1413" t="str">
        <f t="shared" si="119"/>
        <v/>
      </c>
      <c r="AC696" s="984" t="str">
        <f>IF(OR(L696={"改紡","檢修","了機","清車","FINAL","停機","SAMPLE","TEST"}), "", IFERROR(IF(C696="", "", AVERAGE(L696:M696, P696:Q696, T696:U696, X696:Y696)/100), ""))</f>
        <v/>
      </c>
      <c r="AD696" s="984" t="str">
        <f t="shared" si="112"/>
        <v/>
      </c>
      <c r="AE696" s="984" t="str">
        <f t="shared" si="120"/>
        <v/>
      </c>
      <c r="AF696" s="985" t="str">
        <f t="shared" si="113"/>
        <v>A</v>
      </c>
      <c r="AG696" s="1414">
        <v>1</v>
      </c>
      <c r="AH696" s="1002" t="s">
        <v>640</v>
      </c>
      <c r="AI696" s="986" t="s">
        <v>640</v>
      </c>
      <c r="AJ696" s="986" t="s">
        <v>640</v>
      </c>
      <c r="AK696" s="1417" t="s">
        <v>640</v>
      </c>
      <c r="AL696" s="1420"/>
      <c r="AM696" s="1323"/>
      <c r="AN696" s="1323"/>
      <c r="AO696" s="1323"/>
      <c r="AP696" s="1323"/>
      <c r="AQ696" s="1323"/>
      <c r="AR696" s="987"/>
      <c r="AS696" s="978" t="str">
        <f t="shared" si="114"/>
        <v>單</v>
      </c>
      <c r="AT696" s="978" t="str">
        <f t="shared" si="115"/>
        <v>全</v>
      </c>
      <c r="AU696" s="978" t="str">
        <f t="shared" si="116"/>
        <v/>
      </c>
      <c r="AV696" s="978" t="str">
        <f t="shared" si="117"/>
        <v/>
      </c>
    </row>
    <row r="697" spans="1:48">
      <c r="A697" s="975">
        <f t="shared" si="121"/>
        <v>46160</v>
      </c>
      <c r="B697" s="976" t="s">
        <v>229</v>
      </c>
      <c r="C697" s="976" t="s">
        <v>632</v>
      </c>
      <c r="D697" s="1410"/>
      <c r="E697" s="977" t="str">
        <f>IFERROR(VLOOKUP(C697, [6]條件!$A:$L, 5, 0), "")</f>
        <v/>
      </c>
      <c r="F697" s="978" t="str">
        <f>IFERROR(VLOOKUP(C697, [6]條件!$A:$L, 6, 0), "")</f>
        <v/>
      </c>
      <c r="G697" s="1411" t="str">
        <f>IFERROR(VLOOKUP(C697, [6]條件!$A:$L, 7, 0), "")</f>
        <v/>
      </c>
      <c r="H697" s="978" t="str">
        <f>IF(ISNA(VLOOKUP(C697,[6]條件!$A$1:$K$932,11,0)),"",(VLOOKUP(C697,[6]條件!$A$1:$K$932,11,0)))</f>
        <v/>
      </c>
      <c r="I697" s="979" t="str">
        <f>IF(ISNA(VLOOKUP(C697,[6]條件!$A$1:$L$932,12,0)),"",(VLOOKUP(C697,[6]條件!$A$1:$L$932,12,0)))</f>
        <v/>
      </c>
      <c r="J697" s="982"/>
      <c r="K697" s="980"/>
      <c r="L697" s="981" t="s">
        <v>632</v>
      </c>
      <c r="M697" s="983"/>
      <c r="N697" s="982"/>
      <c r="O697" s="980"/>
      <c r="P697" s="981" t="s">
        <v>632</v>
      </c>
      <c r="Q697" s="983"/>
      <c r="R697" s="982"/>
      <c r="S697" s="980"/>
      <c r="T697" s="981" t="s">
        <v>632</v>
      </c>
      <c r="U697" s="983"/>
      <c r="V697" s="982"/>
      <c r="W697" s="980"/>
      <c r="X697" s="981" t="s">
        <v>632</v>
      </c>
      <c r="Y697" s="983"/>
      <c r="Z697" s="1412" t="str">
        <f>IFERROR(VLOOKUP(C697, [6]條件!$A:$L, 3, 0), "")</f>
        <v/>
      </c>
      <c r="AA697" s="984" t="str">
        <f>IF(OR(L697={"改紡","檢修","了機","清車","FINAL","停機","SAMPLE","TEST","絲開發"}), L697, IFERROR(IF(C697="", "", (SUM(J697, N697, R697, V697)/3 * AG697) * IF(AND(AF697="S", AS697="雙"), 0.5, 1)), ""))</f>
        <v>停機</v>
      </c>
      <c r="AB697" s="1413" t="str">
        <f t="shared" si="119"/>
        <v/>
      </c>
      <c r="AC697" s="984" t="str">
        <f>IF(OR(L697={"改紡","檢修","了機","清車","FINAL","停機","SAMPLE","TEST"}), "", IFERROR(IF(C697="", "", AVERAGE(L697:M697, P697:Q697, T697:U697, X697:Y697)/100), ""))</f>
        <v/>
      </c>
      <c r="AD697" s="984" t="str">
        <f t="shared" si="112"/>
        <v/>
      </c>
      <c r="AE697" s="984" t="str">
        <f t="shared" si="120"/>
        <v/>
      </c>
      <c r="AF697" s="985" t="str">
        <f t="shared" si="113"/>
        <v>A</v>
      </c>
      <c r="AG697" s="1414">
        <v>1</v>
      </c>
      <c r="AH697" s="1002" t="s">
        <v>640</v>
      </c>
      <c r="AI697" s="986" t="s">
        <v>640</v>
      </c>
      <c r="AJ697" s="986" t="s">
        <v>640</v>
      </c>
      <c r="AK697" s="1417" t="s">
        <v>640</v>
      </c>
      <c r="AL697" s="1421"/>
      <c r="AM697" s="1323"/>
      <c r="AN697" s="1323"/>
      <c r="AO697" s="1323"/>
      <c r="AP697" s="1323"/>
      <c r="AQ697" s="1323"/>
      <c r="AR697" s="987"/>
      <c r="AS697" s="978" t="str">
        <f t="shared" si="114"/>
        <v>單</v>
      </c>
      <c r="AT697" s="978" t="str">
        <f t="shared" si="115"/>
        <v>全</v>
      </c>
      <c r="AU697" s="978" t="str">
        <f t="shared" si="116"/>
        <v/>
      </c>
      <c r="AV697" s="978" t="str">
        <f t="shared" si="117"/>
        <v/>
      </c>
    </row>
    <row r="698" spans="1:48">
      <c r="A698" s="975">
        <f t="shared" si="121"/>
        <v>46160</v>
      </c>
      <c r="B698" s="976" t="s">
        <v>230</v>
      </c>
      <c r="C698" s="976" t="s">
        <v>16751</v>
      </c>
      <c r="D698" s="1410"/>
      <c r="E698" s="977" t="str">
        <f>IFERROR(VLOOKUP(C698, [6]條件!$A:$L, 5, 0), "")</f>
        <v>150/48/2GY5</v>
      </c>
      <c r="F698" s="978" t="str">
        <f>IFERROR(VLOOKUP(C698, [6]條件!$A:$L, 6, 0), "")</f>
        <v>FP02422×2</v>
      </c>
      <c r="G698" s="1411">
        <f>IFERROR(VLOOKUP(C698, [6]條件!$A:$L, 7, 0), "")</f>
        <v>600</v>
      </c>
      <c r="H698" s="978" t="str">
        <f>IF(ISNA(VLOOKUP(C698,[6]條件!$A$1:$K$932,11,0)),"",(VLOOKUP(C698,[6]條件!$A$1:$K$932,11,0)))</f>
        <v>白底紅星</v>
      </c>
      <c r="I698" s="979">
        <f>IF(ISNA(VLOOKUP(C698,[6]條件!$A$1:$L$932,12,0)),"",(VLOOKUP(C698,[6]條件!$A$1:$L$932,12,0)))</f>
        <v>4</v>
      </c>
      <c r="J698" s="982"/>
      <c r="K698" s="980"/>
      <c r="L698" s="981" t="s">
        <v>16002</v>
      </c>
      <c r="M698" s="983"/>
      <c r="N698" s="982"/>
      <c r="O698" s="980"/>
      <c r="P698" s="981" t="s">
        <v>127</v>
      </c>
      <c r="Q698" s="983"/>
      <c r="R698" s="982"/>
      <c r="S698" s="980"/>
      <c r="T698" s="981" t="s">
        <v>127</v>
      </c>
      <c r="U698" s="983"/>
      <c r="V698" s="982">
        <v>4</v>
      </c>
      <c r="W698" s="980">
        <v>0</v>
      </c>
      <c r="X698" s="981" t="s">
        <v>632</v>
      </c>
      <c r="Y698" s="983">
        <v>1013</v>
      </c>
      <c r="Z698" s="1412">
        <f>IFERROR(VLOOKUP(C698, [6]條件!$A:$L, 3, 0), "")</f>
        <v>6.9230769230769234</v>
      </c>
      <c r="AA698" s="984" t="str">
        <f>IF(OR(L698={"改紡","檢修","了機","清車","FINAL","停機","SAMPLE","TEST","絲開發"}), L698, IFERROR(IF(C698="", "", (SUM(J698, N698, R698, V698)/3 * AG698) * IF(AND(AF698="S", AS698="雙"), 0.5, 1)), ""))</f>
        <v>了機</v>
      </c>
      <c r="AB698" s="1413" t="str">
        <f t="shared" si="119"/>
        <v/>
      </c>
      <c r="AC698" s="984" t="str">
        <f>IF(OR(L698={"改紡","檢修","了機","清車","FINAL","停機","SAMPLE","TEST"}), "", IFERROR(IF(C698="", "", AVERAGE(L698:M698, P698:Q698, T698:U698, X698:Y698)/100), ""))</f>
        <v/>
      </c>
      <c r="AD698" s="984" t="str">
        <f t="shared" si="112"/>
        <v/>
      </c>
      <c r="AE698" s="984" t="str">
        <f t="shared" si="120"/>
        <v/>
      </c>
      <c r="AF698" s="985" t="str">
        <f t="shared" si="113"/>
        <v>A</v>
      </c>
      <c r="AG698" s="1414">
        <v>0.5</v>
      </c>
      <c r="AH698" s="1002" t="s">
        <v>629</v>
      </c>
      <c r="AI698" s="986" t="s">
        <v>629</v>
      </c>
      <c r="AJ698" s="986" t="s">
        <v>634</v>
      </c>
      <c r="AK698" s="1417" t="s">
        <v>634</v>
      </c>
      <c r="AL698" s="1415">
        <v>52</v>
      </c>
      <c r="AM698" s="1323">
        <v>46152</v>
      </c>
      <c r="AN698" s="1323">
        <v>46153</v>
      </c>
      <c r="AO698" s="1323">
        <v>46154</v>
      </c>
      <c r="AP698" s="1323"/>
      <c r="AQ698" s="1323"/>
      <c r="AR698" s="987"/>
      <c r="AS698" s="978" t="str">
        <f t="shared" si="114"/>
        <v>雙</v>
      </c>
      <c r="AT698" s="978" t="str">
        <f t="shared" si="115"/>
        <v>全</v>
      </c>
      <c r="AU698" s="978">
        <f t="shared" si="116"/>
        <v>150</v>
      </c>
      <c r="AV698" s="978" t="str">
        <f t="shared" si="117"/>
        <v/>
      </c>
    </row>
    <row r="699" spans="1:48">
      <c r="A699" s="975">
        <f t="shared" si="121"/>
        <v>46160</v>
      </c>
      <c r="B699" s="976" t="s">
        <v>231</v>
      </c>
      <c r="C699" s="976" t="s">
        <v>632</v>
      </c>
      <c r="D699" s="1410"/>
      <c r="E699" s="977" t="str">
        <f>IFERROR(VLOOKUP(C699, [6]條件!$A:$L, 5, 0), "")</f>
        <v/>
      </c>
      <c r="F699" s="978" t="str">
        <f>IFERROR(VLOOKUP(C699, [6]條件!$A:$L, 6, 0), "")</f>
        <v/>
      </c>
      <c r="G699" s="1411" t="str">
        <f>IFERROR(VLOOKUP(C699, [6]條件!$A:$L, 7, 0), "")</f>
        <v/>
      </c>
      <c r="H699" s="978" t="str">
        <f>IF(ISNA(VLOOKUP(C699,[6]條件!$A$1:$K$932,11,0)),"",(VLOOKUP(C699,[6]條件!$A$1:$K$932,11,0)))</f>
        <v/>
      </c>
      <c r="I699" s="979" t="str">
        <f>IF(ISNA(VLOOKUP(C699,[6]條件!$A$1:$L$932,12,0)),"",(VLOOKUP(C699,[6]條件!$A$1:$L$932,12,0)))</f>
        <v/>
      </c>
      <c r="J699" s="982"/>
      <c r="K699" s="980"/>
      <c r="L699" s="981" t="s">
        <v>632</v>
      </c>
      <c r="M699" s="983"/>
      <c r="N699" s="982"/>
      <c r="O699" s="980"/>
      <c r="P699" s="981" t="s">
        <v>632</v>
      </c>
      <c r="Q699" s="983"/>
      <c r="R699" s="982"/>
      <c r="S699" s="980"/>
      <c r="T699" s="981" t="s">
        <v>632</v>
      </c>
      <c r="U699" s="983"/>
      <c r="V699" s="982"/>
      <c r="W699" s="980"/>
      <c r="X699" s="981" t="s">
        <v>632</v>
      </c>
      <c r="Y699" s="983"/>
      <c r="Z699" s="1412" t="str">
        <f>IFERROR(VLOOKUP(C699, [6]條件!$A:$L, 3, 0), "")</f>
        <v/>
      </c>
      <c r="AA699" s="984" t="str">
        <f>IF(OR(L699={"改紡","檢修","了機","清車","FINAL","停機","SAMPLE","TEST","絲開發"}), L699, IFERROR(IF(C699="", "", (SUM(J699, N699, R699, V699)/3 * AG699) * IF(AND(AF699="S", AS699="雙"), 0.5, 1)), ""))</f>
        <v>停機</v>
      </c>
      <c r="AB699" s="1413" t="str">
        <f t="shared" si="119"/>
        <v/>
      </c>
      <c r="AC699" s="984" t="str">
        <f>IF(OR(L699={"改紡","檢修","了機","清車","FINAL","停機","SAMPLE","TEST"}), "", IFERROR(IF(C699="", "", AVERAGE(L699:M699, P699:Q699, T699:U699, X699:Y699)/100), ""))</f>
        <v/>
      </c>
      <c r="AD699" s="984" t="str">
        <f t="shared" si="112"/>
        <v/>
      </c>
      <c r="AE699" s="984" t="str">
        <f t="shared" si="120"/>
        <v/>
      </c>
      <c r="AF699" s="985" t="str">
        <f t="shared" si="113"/>
        <v>J</v>
      </c>
      <c r="AG699" s="1414">
        <v>1</v>
      </c>
      <c r="AH699" s="1002" t="s">
        <v>640</v>
      </c>
      <c r="AI699" s="986" t="s">
        <v>640</v>
      </c>
      <c r="AJ699" s="986" t="s">
        <v>640</v>
      </c>
      <c r="AK699" s="1417" t="s">
        <v>640</v>
      </c>
      <c r="AL699" s="1415"/>
      <c r="AM699" s="1323"/>
      <c r="AN699" s="1323"/>
      <c r="AO699" s="1323"/>
      <c r="AP699" s="1323"/>
      <c r="AQ699" s="1323"/>
      <c r="AR699" s="987"/>
      <c r="AS699" s="978" t="str">
        <f t="shared" si="114"/>
        <v>單</v>
      </c>
      <c r="AT699" s="978" t="str">
        <f t="shared" si="115"/>
        <v>全</v>
      </c>
      <c r="AU699" s="978" t="str">
        <f t="shared" si="116"/>
        <v/>
      </c>
      <c r="AV699" s="978" t="str">
        <f t="shared" si="117"/>
        <v/>
      </c>
    </row>
    <row r="700" spans="1:48">
      <c r="A700" s="975">
        <f t="shared" si="121"/>
        <v>46160</v>
      </c>
      <c r="B700" s="976" t="s">
        <v>233</v>
      </c>
      <c r="C700" s="976" t="s">
        <v>16772</v>
      </c>
      <c r="D700" s="1410" t="s">
        <v>633</v>
      </c>
      <c r="E700" s="977" t="str">
        <f>IFERROR(VLOOKUP(C700, [6]條件!$A:$L, 5, 0), "")</f>
        <v>150/48/2SDr</v>
      </c>
      <c r="F700" s="978" t="str">
        <f>IFERROR(VLOOKUP(C700, [6]條件!$A:$L, 6, 0), "")</f>
        <v>FP82171R×2</v>
      </c>
      <c r="G700" s="1411">
        <f>IFERROR(VLOOKUP(C700, [6]條件!$A:$L, 7, 0), "")</f>
        <v>600</v>
      </c>
      <c r="H700" s="978" t="str">
        <f>IF(ISNA(VLOOKUP(C700,[6]條件!$A$1:$K$932,11,0)),"",(VLOOKUP(C700,[6]條件!$A$1:$K$932,11,0)))</f>
        <v>紅白直條</v>
      </c>
      <c r="I700" s="979">
        <f>IF(ISNA(VLOOKUP(C700,[6]條件!$A$1:$L$932,12,0)),"",(VLOOKUP(C700,[6]條件!$A$1:$L$932,12,0)))</f>
        <v>5.5</v>
      </c>
      <c r="J700" s="982">
        <v>25</v>
      </c>
      <c r="K700" s="980">
        <v>2</v>
      </c>
      <c r="L700" s="981">
        <v>7210</v>
      </c>
      <c r="M700" s="983"/>
      <c r="N700" s="982">
        <v>10</v>
      </c>
      <c r="O700" s="980">
        <v>3</v>
      </c>
      <c r="P700" s="981">
        <v>7040</v>
      </c>
      <c r="Q700" s="983"/>
      <c r="R700" s="982">
        <v>0</v>
      </c>
      <c r="S700" s="980">
        <v>0</v>
      </c>
      <c r="T700" s="981">
        <v>7040</v>
      </c>
      <c r="U700" s="983"/>
      <c r="V700" s="982">
        <v>13</v>
      </c>
      <c r="W700" s="980">
        <v>3</v>
      </c>
      <c r="X700" s="981">
        <v>6750</v>
      </c>
      <c r="Y700" s="983"/>
      <c r="Z700" s="1412">
        <f>IFERROR(VLOOKUP(C700, [6]條件!$A:$L, 3, 0), "")</f>
        <v>5.0526315789473673</v>
      </c>
      <c r="AA700" s="984">
        <f>IF(OR(L700={"改紡","檢修","了機","清車","FINAL","停機","SAMPLE","TEST","絲開發"}), L700, IFERROR(IF(C700="", "", (SUM(J700, N700, R700, V700)/3 * AG700) * IF(AND(AF700="S", AS700="雙"), 0.5, 1)), ""))</f>
        <v>16</v>
      </c>
      <c r="AB700" s="1413">
        <f t="shared" si="119"/>
        <v>0.99238782051282048</v>
      </c>
      <c r="AC700" s="984">
        <f>IF(OR(L700={"改紡","檢修","了機","清車","FINAL","停機","SAMPLE","TEST"}), "", IFERROR(IF(C700="", "", AVERAGE(L700:M700, P700:Q700, T700:U700, X700:Y700)/100), ""))</f>
        <v>70.099999999999994</v>
      </c>
      <c r="AD700" s="984">
        <f t="shared" si="112"/>
        <v>2</v>
      </c>
      <c r="AE700" s="984">
        <f t="shared" si="120"/>
        <v>1.6666666666666667</v>
      </c>
      <c r="AF700" s="985" t="str">
        <f t="shared" si="113"/>
        <v>J</v>
      </c>
      <c r="AG700" s="1414">
        <v>1</v>
      </c>
      <c r="AH700" s="1002" t="s">
        <v>15848</v>
      </c>
      <c r="AI700" s="986" t="s">
        <v>815</v>
      </c>
      <c r="AJ700" s="986" t="s">
        <v>637</v>
      </c>
      <c r="AK700" s="1417" t="s">
        <v>637</v>
      </c>
      <c r="AL700" s="1415">
        <v>55</v>
      </c>
      <c r="AM700" s="1323">
        <v>46157</v>
      </c>
      <c r="AN700" s="1323">
        <v>46158</v>
      </c>
      <c r="AO700" s="1323">
        <v>46159</v>
      </c>
      <c r="AP700" s="1323"/>
      <c r="AQ700" s="1323"/>
      <c r="AR700" s="987"/>
      <c r="AS700" s="978" t="str">
        <f t="shared" si="114"/>
        <v>雙</v>
      </c>
      <c r="AT700" s="978" t="str">
        <f t="shared" si="115"/>
        <v>全</v>
      </c>
      <c r="AU700" s="978">
        <f t="shared" si="116"/>
        <v>150</v>
      </c>
      <c r="AV700" s="978">
        <f t="shared" si="117"/>
        <v>4.3607807999999997</v>
      </c>
    </row>
    <row r="701" spans="1:48">
      <c r="A701" s="975">
        <f t="shared" si="121"/>
        <v>46160</v>
      </c>
      <c r="B701" s="976" t="s">
        <v>234</v>
      </c>
      <c r="C701" s="976" t="s">
        <v>632</v>
      </c>
      <c r="D701" s="1410"/>
      <c r="E701" s="977" t="str">
        <f>IFERROR(VLOOKUP(C701, [6]條件!$A:$L, 5, 0), "")</f>
        <v/>
      </c>
      <c r="F701" s="978" t="str">
        <f>IFERROR(VLOOKUP(C701, [6]條件!$A:$L, 6, 0), "")</f>
        <v/>
      </c>
      <c r="G701" s="1411" t="str">
        <f>IFERROR(VLOOKUP(C701, [6]條件!$A:$L, 7, 0), "")</f>
        <v/>
      </c>
      <c r="H701" s="978" t="str">
        <f>IF(ISNA(VLOOKUP(C701,[6]條件!$A$1:$K$932,11,0)),"",(VLOOKUP(C701,[6]條件!$A$1:$K$932,11,0)))</f>
        <v/>
      </c>
      <c r="I701" s="979" t="str">
        <f>IF(ISNA(VLOOKUP(C701,[6]條件!$A$1:$L$932,12,0)),"",(VLOOKUP(C701,[6]條件!$A$1:$L$932,12,0)))</f>
        <v/>
      </c>
      <c r="J701" s="982"/>
      <c r="K701" s="980"/>
      <c r="L701" s="981" t="s">
        <v>632</v>
      </c>
      <c r="M701" s="983"/>
      <c r="N701" s="982"/>
      <c r="O701" s="980"/>
      <c r="P701" s="981" t="s">
        <v>632</v>
      </c>
      <c r="Q701" s="983"/>
      <c r="R701" s="982"/>
      <c r="S701" s="980"/>
      <c r="T701" s="981" t="s">
        <v>632</v>
      </c>
      <c r="U701" s="983"/>
      <c r="V701" s="982"/>
      <c r="W701" s="980"/>
      <c r="X701" s="981" t="s">
        <v>632</v>
      </c>
      <c r="Y701" s="983"/>
      <c r="Z701" s="1412" t="str">
        <f>IFERROR(VLOOKUP(C701, [6]條件!$A:$L, 3, 0), "")</f>
        <v/>
      </c>
      <c r="AA701" s="984" t="str">
        <f>IF(OR(L701={"改紡","檢修","了機","清車","FINAL","停機","SAMPLE","TEST","絲開發"}), L701, IFERROR(IF(C701="", "", (SUM(J701, N701, R701, V701)/3 * AG701) * IF(AND(AF701="S", AS701="雙"), 0.5, 1)), ""))</f>
        <v>停機</v>
      </c>
      <c r="AB701" s="1413" t="str">
        <f t="shared" si="119"/>
        <v/>
      </c>
      <c r="AC701" s="984" t="str">
        <f>IF(OR(L701={"改紡","檢修","了機","清車","FINAL","停機","SAMPLE","TEST"}), "", IFERROR(IF(C701="", "", AVERAGE(L701:M701, P701:Q701, T701:U701, X701:Y701)/100), ""))</f>
        <v/>
      </c>
      <c r="AD701" s="984" t="str">
        <f t="shared" si="112"/>
        <v/>
      </c>
      <c r="AE701" s="984" t="str">
        <f t="shared" si="120"/>
        <v/>
      </c>
      <c r="AF701" s="985" t="str">
        <f t="shared" si="113"/>
        <v>J</v>
      </c>
      <c r="AG701" s="1414">
        <v>1</v>
      </c>
      <c r="AH701" s="1002" t="s">
        <v>640</v>
      </c>
      <c r="AI701" s="986" t="s">
        <v>640</v>
      </c>
      <c r="AJ701" s="986" t="s">
        <v>640</v>
      </c>
      <c r="AK701" s="1417" t="s">
        <v>640</v>
      </c>
      <c r="AL701" s="1415"/>
      <c r="AM701" s="1323"/>
      <c r="AN701" s="1323"/>
      <c r="AO701" s="1323"/>
      <c r="AP701" s="1323"/>
      <c r="AQ701" s="1323"/>
      <c r="AR701" s="987"/>
      <c r="AS701" s="978" t="str">
        <f t="shared" si="114"/>
        <v>單</v>
      </c>
      <c r="AT701" s="978" t="str">
        <f t="shared" si="115"/>
        <v>全</v>
      </c>
      <c r="AU701" s="978" t="str">
        <f t="shared" si="116"/>
        <v/>
      </c>
      <c r="AV701" s="978" t="str">
        <f t="shared" si="117"/>
        <v/>
      </c>
    </row>
    <row r="702" spans="1:48">
      <c r="A702" s="975">
        <f t="shared" si="121"/>
        <v>46160</v>
      </c>
      <c r="B702" s="976" t="s">
        <v>235</v>
      </c>
      <c r="C702" s="976" t="s">
        <v>16765</v>
      </c>
      <c r="D702" s="1410" t="s">
        <v>633</v>
      </c>
      <c r="E702" s="977" t="str">
        <f>IFERROR(VLOOKUP(C702, [6]條件!$A:$L, 5, 0), "")</f>
        <v>150/48/2SDr</v>
      </c>
      <c r="F702" s="978" t="str">
        <f>IFERROR(VLOOKUP(C702, [6]條件!$A:$L, 6, 0), "")</f>
        <v>FP82173R×2</v>
      </c>
      <c r="G702" s="1411">
        <f>IFERROR(VLOOKUP(C702, [6]條件!$A:$L, 7, 0), "")</f>
        <v>700</v>
      </c>
      <c r="H702" s="978" t="str">
        <f>IF(ISNA(VLOOKUP(C702,[6]條件!$A$1:$K$932,11,0)),"",(VLOOKUP(C702,[6]條件!$A$1:$K$932,11,0)))</f>
        <v>白紫條紋</v>
      </c>
      <c r="I702" s="979">
        <f>IF(ISNA(VLOOKUP(C702,[6]條件!$A$1:$L$932,12,0)),"",(VLOOKUP(C702,[6]條件!$A$1:$L$932,12,0)))</f>
        <v>5.5</v>
      </c>
      <c r="J702" s="982">
        <v>17</v>
      </c>
      <c r="K702" s="980">
        <v>0</v>
      </c>
      <c r="L702" s="981">
        <v>8240</v>
      </c>
      <c r="M702" s="983">
        <v>9260</v>
      </c>
      <c r="N702" s="982">
        <v>17</v>
      </c>
      <c r="O702" s="980">
        <v>0</v>
      </c>
      <c r="P702" s="981">
        <v>8800</v>
      </c>
      <c r="Q702" s="983">
        <v>9070</v>
      </c>
      <c r="R702" s="982">
        <v>23</v>
      </c>
      <c r="S702" s="980">
        <v>0</v>
      </c>
      <c r="T702" s="981">
        <v>8980</v>
      </c>
      <c r="U702" s="983">
        <v>9630</v>
      </c>
      <c r="V702" s="982">
        <v>23</v>
      </c>
      <c r="W702" s="980">
        <v>3</v>
      </c>
      <c r="X702" s="981">
        <v>8890</v>
      </c>
      <c r="Y702" s="983">
        <v>9630</v>
      </c>
      <c r="Z702" s="1412">
        <f>IFERROR(VLOOKUP(C702, [6]條件!$A:$L, 3, 0), "")</f>
        <v>5.8775510204081636</v>
      </c>
      <c r="AA702" s="984">
        <f>IF(OR(L702={"改紡","檢修","了機","清車","FINAL","停機","SAMPLE","TEST","絲開發"}), L702, IFERROR(IF(C702="", "", (SUM(J702, N702, R702, V702)/3 * AG702) * IF(AND(AF702="S", AS702="雙"), 0.5, 1)), ""))</f>
        <v>26.666666666666668</v>
      </c>
      <c r="AB702" s="1413">
        <f t="shared" si="119"/>
        <v>0.99754607371794868</v>
      </c>
      <c r="AC702" s="984">
        <f>IF(OR(L702={"改紡","檢修","了機","清車","FINAL","停機","SAMPLE","TEST"}), "", IFERROR(IF(C702="", "", AVERAGE(L702:M702, P702:Q702, T702:U702, X702:Y702)/100), ""))</f>
        <v>90.625</v>
      </c>
      <c r="AD702" s="984">
        <f t="shared" si="112"/>
        <v>3.3333333333333335</v>
      </c>
      <c r="AE702" s="984">
        <f t="shared" si="120"/>
        <v>3.2083333333333335</v>
      </c>
      <c r="AF702" s="985" t="str">
        <f t="shared" si="113"/>
        <v>T</v>
      </c>
      <c r="AG702" s="1414">
        <v>1</v>
      </c>
      <c r="AH702" s="1002" t="s">
        <v>651</v>
      </c>
      <c r="AI702" s="986" t="s">
        <v>651</v>
      </c>
      <c r="AJ702" s="986" t="s">
        <v>639</v>
      </c>
      <c r="AK702" s="1417" t="s">
        <v>639</v>
      </c>
      <c r="AL702" s="1415">
        <v>56</v>
      </c>
      <c r="AM702" s="1323">
        <v>46155</v>
      </c>
      <c r="AN702" s="1323">
        <v>46156</v>
      </c>
      <c r="AO702" s="1323">
        <v>46157</v>
      </c>
      <c r="AP702" s="1323"/>
      <c r="AQ702" s="1323"/>
      <c r="AR702" s="987"/>
      <c r="AS702" s="978" t="str">
        <f t="shared" si="114"/>
        <v>雙</v>
      </c>
      <c r="AT702" s="978" t="str">
        <f t="shared" si="115"/>
        <v>全</v>
      </c>
      <c r="AU702" s="978">
        <f t="shared" si="116"/>
        <v>150</v>
      </c>
      <c r="AV702" s="978">
        <f t="shared" si="117"/>
        <v>6.5771999999999995</v>
      </c>
    </row>
    <row r="703" spans="1:48">
      <c r="A703" s="975">
        <f t="shared" si="121"/>
        <v>46160</v>
      </c>
      <c r="B703" s="976" t="s">
        <v>237</v>
      </c>
      <c r="C703" s="976" t="s">
        <v>16759</v>
      </c>
      <c r="D703" s="1410" t="s">
        <v>633</v>
      </c>
      <c r="E703" s="977" t="str">
        <f>IFERROR(VLOOKUP(C703, [6]條件!$A:$L, 5, 0), "")</f>
        <v>150/48/2SDr</v>
      </c>
      <c r="F703" s="978" t="str">
        <f>IFERROR(VLOOKUP(C703, [6]條件!$A:$L, 6, 0), "")</f>
        <v>FP82171R×2</v>
      </c>
      <c r="G703" s="1411">
        <f>IFERROR(VLOOKUP(C703, [6]條件!$A:$L, 7, 0), "")</f>
        <v>700</v>
      </c>
      <c r="H703" s="978" t="str">
        <f>IF(ISNA(VLOOKUP(C703,[6]條件!$A$1:$K$932,11,0)),"",(VLOOKUP(C703,[6]條件!$A$1:$K$932,11,0)))</f>
        <v>紅底黃星</v>
      </c>
      <c r="I703" s="979">
        <f>IF(ISNA(VLOOKUP(C703,[6]條件!$A$1:$L$932,12,0)),"",(VLOOKUP(C703,[6]條件!$A$1:$L$932,12,0)))</f>
        <v>5.5</v>
      </c>
      <c r="J703" s="982">
        <v>52</v>
      </c>
      <c r="K703" s="980">
        <v>28</v>
      </c>
      <c r="L703" s="981">
        <v>8430</v>
      </c>
      <c r="M703" s="983">
        <v>8800</v>
      </c>
      <c r="N703" s="982">
        <v>20</v>
      </c>
      <c r="O703" s="980">
        <v>0</v>
      </c>
      <c r="P703" s="981">
        <v>9170</v>
      </c>
      <c r="Q703" s="983">
        <v>8610</v>
      </c>
      <c r="R703" s="982">
        <v>21</v>
      </c>
      <c r="S703" s="980">
        <v>3</v>
      </c>
      <c r="T703" s="981">
        <v>9170</v>
      </c>
      <c r="U703" s="983">
        <v>8700</v>
      </c>
      <c r="V703" s="982">
        <v>31</v>
      </c>
      <c r="W703" s="980">
        <v>6</v>
      </c>
      <c r="X703" s="981">
        <v>9170</v>
      </c>
      <c r="Y703" s="983">
        <v>8890</v>
      </c>
      <c r="Z703" s="1412">
        <f>IFERROR(VLOOKUP(C703, [6]條件!$A:$L, 3, 0), "")</f>
        <v>5.8299595141700413</v>
      </c>
      <c r="AA703" s="984">
        <f>IF(OR(L703={"改紡","檢修","了機","清車","FINAL","停機","SAMPLE","TEST","絲開發"}), L703, IFERROR(IF(C703="", "", (SUM(J703, N703, R703, V703)/3 * AG703) * IF(AND(AF703="S", AS703="雙"), 0.5, 1)), ""))</f>
        <v>41.333333333333336</v>
      </c>
      <c r="AB703" s="1413">
        <f t="shared" si="119"/>
        <v>0.96948784722222225</v>
      </c>
      <c r="AC703" s="984">
        <f>IF(OR(L703={"改紡","檢修","了機","清車","FINAL","停機","SAMPLE","TEST"}), "", IFERROR(IF(C703="", "", AVERAGE(L703:M703, P703:Q703, T703:U703, X703:Y703)/100), ""))</f>
        <v>88.674999999999997</v>
      </c>
      <c r="AD703" s="984">
        <f t="shared" si="112"/>
        <v>5.166666666666667</v>
      </c>
      <c r="AE703" s="984">
        <f t="shared" si="120"/>
        <v>3.625</v>
      </c>
      <c r="AF703" s="985" t="str">
        <f t="shared" si="113"/>
        <v>T</v>
      </c>
      <c r="AG703" s="1414">
        <v>1</v>
      </c>
      <c r="AH703" s="1002" t="s">
        <v>651</v>
      </c>
      <c r="AI703" s="986" t="s">
        <v>651</v>
      </c>
      <c r="AJ703" s="986" t="s">
        <v>639</v>
      </c>
      <c r="AK703" s="1417" t="s">
        <v>639</v>
      </c>
      <c r="AL703" s="1415">
        <v>55</v>
      </c>
      <c r="AM703" s="1323">
        <v>46157</v>
      </c>
      <c r="AN703" s="1323">
        <v>46158</v>
      </c>
      <c r="AO703" s="1323">
        <v>46159</v>
      </c>
      <c r="AP703" s="1323"/>
      <c r="AQ703" s="1323"/>
      <c r="AR703" s="987"/>
      <c r="AS703" s="978" t="str">
        <f t="shared" si="114"/>
        <v>雙</v>
      </c>
      <c r="AT703" s="978" t="str">
        <f t="shared" si="115"/>
        <v>全</v>
      </c>
      <c r="AU703" s="978">
        <f t="shared" si="116"/>
        <v>150</v>
      </c>
      <c r="AV703" s="978">
        <f t="shared" si="117"/>
        <v>6.4356768000000004</v>
      </c>
    </row>
    <row r="704" spans="1:48">
      <c r="A704" s="975">
        <f t="shared" si="121"/>
        <v>46160</v>
      </c>
      <c r="B704" s="976" t="s">
        <v>238</v>
      </c>
      <c r="C704" s="976" t="s">
        <v>16743</v>
      </c>
      <c r="D704" s="1410"/>
      <c r="E704" s="977" t="str">
        <f>IFERROR(VLOOKUP(C704, [6]條件!$A:$L, 5, 0), "")</f>
        <v>150/48/2SDr</v>
      </c>
      <c r="F704" s="978" t="str">
        <f>IFERROR(VLOOKUP(C704, [6]條件!$A:$L, 6, 0), "")</f>
        <v>FP82169R×2</v>
      </c>
      <c r="G704" s="1411">
        <f>IFERROR(VLOOKUP(C704, [6]條件!$A:$L, 7, 0), "")</f>
        <v>670</v>
      </c>
      <c r="H704" s="978" t="str">
        <f>IF(ISNA(VLOOKUP(C704,[6]條件!$A$1:$K$932,11,0)),"",(VLOOKUP(C704,[6]條件!$A$1:$K$932,11,0)))</f>
        <v>黃底紅點</v>
      </c>
      <c r="I704" s="979">
        <f>IF(ISNA(VLOOKUP(C704,[6]條件!$A$1:$L$932,12,0)),"",(VLOOKUP(C704,[6]條件!$A$1:$L$932,12,0)))</f>
        <v>5</v>
      </c>
      <c r="J704" s="982">
        <v>20</v>
      </c>
      <c r="K704" s="980">
        <v>0</v>
      </c>
      <c r="L704" s="981">
        <v>9260</v>
      </c>
      <c r="M704" s="983"/>
      <c r="N704" s="982">
        <v>14</v>
      </c>
      <c r="O704" s="980">
        <v>0</v>
      </c>
      <c r="P704" s="981">
        <v>9260</v>
      </c>
      <c r="Q704" s="983"/>
      <c r="R704" s="982">
        <v>3</v>
      </c>
      <c r="S704" s="980">
        <v>0</v>
      </c>
      <c r="T704" s="981">
        <v>8700</v>
      </c>
      <c r="U704" s="983"/>
      <c r="V704" s="982">
        <v>23</v>
      </c>
      <c r="W704" s="980">
        <v>2</v>
      </c>
      <c r="X704" s="981">
        <v>9260</v>
      </c>
      <c r="Y704" s="983"/>
      <c r="Z704" s="1412">
        <f>IFERROR(VLOOKUP(C704, [6]條件!$A:$L, 3, 0), "")</f>
        <v>6.2882096069868991</v>
      </c>
      <c r="AA704" s="984">
        <f>IF(OR(L704={"改紡","檢修","了機","清車","FINAL","停機","SAMPLE","TEST","絲開發"}), L704, IFERROR(IF(C704="", "", (SUM(J704, N704, R704, V704)/3 * AG704) * IF(AND(AF704="S", AS704="雙"), 0.5, 1)), ""))</f>
        <v>40</v>
      </c>
      <c r="AB704" s="1413">
        <f t="shared" si="119"/>
        <v>0.9984708867521368</v>
      </c>
      <c r="AC704" s="984">
        <f>IF(OR(L704={"改紡","檢修","了機","清車","FINAL","停機","SAMPLE","TEST"}), "", IFERROR(IF(C704="", "", AVERAGE(L704:M704, P704:Q704, T704:U704, X704:Y704)/100), ""))</f>
        <v>91.2</v>
      </c>
      <c r="AD704" s="984">
        <f t="shared" si="112"/>
        <v>5</v>
      </c>
      <c r="AE704" s="984">
        <f t="shared" si="120"/>
        <v>4.833333333333333</v>
      </c>
      <c r="AF704" s="985" t="str">
        <f t="shared" si="113"/>
        <v>T</v>
      </c>
      <c r="AG704" s="1414">
        <v>2</v>
      </c>
      <c r="AH704" s="1002" t="s">
        <v>651</v>
      </c>
      <c r="AI704" s="986" t="s">
        <v>651</v>
      </c>
      <c r="AJ704" s="986" t="s">
        <v>639</v>
      </c>
      <c r="AK704" s="1417" t="s">
        <v>639</v>
      </c>
      <c r="AL704" s="1415">
        <v>48</v>
      </c>
      <c r="AM704" s="1323">
        <v>46153</v>
      </c>
      <c r="AN704" s="1323">
        <v>46155</v>
      </c>
      <c r="AO704" s="1323">
        <v>46156</v>
      </c>
      <c r="AP704" s="1323"/>
      <c r="AQ704" s="1323"/>
      <c r="AR704" s="987"/>
      <c r="AS704" s="978" t="str">
        <f t="shared" si="114"/>
        <v>雙</v>
      </c>
      <c r="AT704" s="978" t="str">
        <f t="shared" si="115"/>
        <v>半</v>
      </c>
      <c r="AU704" s="978">
        <f t="shared" si="116"/>
        <v>150</v>
      </c>
      <c r="AV704" s="978">
        <f t="shared" si="117"/>
        <v>3.1676313599999997</v>
      </c>
    </row>
    <row r="705" spans="1:48">
      <c r="A705" s="975">
        <f t="shared" si="121"/>
        <v>46160</v>
      </c>
      <c r="B705" s="976" t="s">
        <v>238</v>
      </c>
      <c r="C705" s="976" t="s">
        <v>16742</v>
      </c>
      <c r="D705" s="1410"/>
      <c r="E705" s="977" t="str">
        <f>IFERROR(VLOOKUP(C705, [6]條件!$A:$L, 5, 0), "")</f>
        <v>150/48/2SDr</v>
      </c>
      <c r="F705" s="978" t="str">
        <f>IFERROR(VLOOKUP(C705, [6]條件!$A:$L, 6, 0), "")</f>
        <v>FP82169R×2</v>
      </c>
      <c r="G705" s="1411">
        <f>IFERROR(VLOOKUP(C705, [6]條件!$A:$L, 7, 0), "")</f>
        <v>670</v>
      </c>
      <c r="H705" s="978" t="str">
        <f>IF(ISNA(VLOOKUP(C705,[6]條件!$A$1:$K$932,11,0)),"",(VLOOKUP(C705,[6]條件!$A$1:$K$932,11,0)))</f>
        <v>紅底藍點</v>
      </c>
      <c r="I705" s="979">
        <f>IF(ISNA(VLOOKUP(C705,[6]條件!$A$1:$L$932,12,0)),"",(VLOOKUP(C705,[6]條件!$A$1:$L$932,12,0)))</f>
        <v>5</v>
      </c>
      <c r="J705" s="982">
        <v>20</v>
      </c>
      <c r="K705" s="980">
        <v>0</v>
      </c>
      <c r="L705" s="981"/>
      <c r="M705" s="983">
        <v>9810</v>
      </c>
      <c r="N705" s="982">
        <v>7</v>
      </c>
      <c r="O705" s="980">
        <v>0</v>
      </c>
      <c r="P705" s="981"/>
      <c r="Q705" s="983">
        <v>9730</v>
      </c>
      <c r="R705" s="982">
        <v>5</v>
      </c>
      <c r="S705" s="980">
        <v>0</v>
      </c>
      <c r="T705" s="981"/>
      <c r="U705" s="983">
        <v>8610</v>
      </c>
      <c r="V705" s="982">
        <v>20</v>
      </c>
      <c r="W705" s="980">
        <v>4</v>
      </c>
      <c r="X705" s="981">
        <v>9540</v>
      </c>
      <c r="Y705" s="983"/>
      <c r="Z705" s="1412">
        <f>IFERROR(VLOOKUP(C705, [6]條件!$A:$L, 3, 0), "")</f>
        <v>6.1802575107296125</v>
      </c>
      <c r="AA705" s="984">
        <f>IF(OR(L705={"改紡","檢修","了機","清車","FINAL","停機","SAMPLE","TEST","絲開發"}), L705, IFERROR(IF(C705="", "", (SUM(J705, N705, R705, V705)/3 * AG705) * IF(AND(AF705="S", AS705="雙"), 0.5, 1)), ""))</f>
        <v>34.666666666666664</v>
      </c>
      <c r="AB705" s="1413">
        <f t="shared" si="119"/>
        <v>0.99688835470085468</v>
      </c>
      <c r="AC705" s="984">
        <f>IF(OR(L705={"改紡","檢修","了機","清車","FINAL","停機","SAMPLE","TEST"}), "", IFERROR(IF(C705="", "", AVERAGE(L705:M705, P705:Q705, T705:U705, X705:Y705)/100), ""))</f>
        <v>94.224999999999994</v>
      </c>
      <c r="AD705" s="984">
        <f t="shared" si="112"/>
        <v>4.333333333333333</v>
      </c>
      <c r="AE705" s="984">
        <f t="shared" si="120"/>
        <v>4</v>
      </c>
      <c r="AF705" s="985" t="str">
        <f t="shared" si="113"/>
        <v>T</v>
      </c>
      <c r="AG705" s="1414">
        <v>2</v>
      </c>
      <c r="AH705" s="1002" t="s">
        <v>15337</v>
      </c>
      <c r="AI705" s="986" t="s">
        <v>15892</v>
      </c>
      <c r="AJ705" s="986" t="s">
        <v>16113</v>
      </c>
      <c r="AK705" s="1417" t="s">
        <v>16113</v>
      </c>
      <c r="AL705" s="1415">
        <v>48</v>
      </c>
      <c r="AM705" s="1323">
        <v>46155</v>
      </c>
      <c r="AN705" s="1323">
        <v>46156</v>
      </c>
      <c r="AO705" s="1323">
        <v>46157</v>
      </c>
      <c r="AP705" s="1323"/>
      <c r="AQ705" s="1323"/>
      <c r="AR705" s="987"/>
      <c r="AS705" s="978" t="str">
        <f t="shared" si="114"/>
        <v>雙</v>
      </c>
      <c r="AT705" s="978" t="str">
        <f t="shared" si="115"/>
        <v>半</v>
      </c>
      <c r="AU705" s="978">
        <f t="shared" si="116"/>
        <v>150</v>
      </c>
      <c r="AV705" s="978">
        <f t="shared" si="117"/>
        <v>3.2726980800000001</v>
      </c>
    </row>
    <row r="706" spans="1:48">
      <c r="A706" s="975">
        <f t="shared" si="121"/>
        <v>46160</v>
      </c>
      <c r="B706" s="976" t="s">
        <v>239</v>
      </c>
      <c r="C706" s="976" t="s">
        <v>632</v>
      </c>
      <c r="D706" s="1410"/>
      <c r="E706" s="977" t="str">
        <f>IFERROR(VLOOKUP(C706, [6]條件!$A:$L, 5, 0), "")</f>
        <v/>
      </c>
      <c r="F706" s="978" t="str">
        <f>IFERROR(VLOOKUP(C706, [6]條件!$A:$L, 6, 0), "")</f>
        <v/>
      </c>
      <c r="G706" s="1411" t="str">
        <f>IFERROR(VLOOKUP(C706, [6]條件!$A:$L, 7, 0), "")</f>
        <v/>
      </c>
      <c r="H706" s="978" t="str">
        <f>IF(ISNA(VLOOKUP(C706,[6]條件!$A$1:$K$932,11,0)),"",(VLOOKUP(C706,[6]條件!$A$1:$K$932,11,0)))</f>
        <v/>
      </c>
      <c r="I706" s="979" t="str">
        <f>IF(ISNA(VLOOKUP(C706,[6]條件!$A$1:$L$932,12,0)),"",(VLOOKUP(C706,[6]條件!$A$1:$L$932,12,0)))</f>
        <v/>
      </c>
      <c r="J706" s="982"/>
      <c r="K706" s="980"/>
      <c r="L706" s="981" t="s">
        <v>632</v>
      </c>
      <c r="M706" s="983"/>
      <c r="N706" s="982"/>
      <c r="O706" s="980"/>
      <c r="P706" s="981" t="s">
        <v>632</v>
      </c>
      <c r="Q706" s="983"/>
      <c r="R706" s="982"/>
      <c r="S706" s="980"/>
      <c r="T706" s="981" t="s">
        <v>632</v>
      </c>
      <c r="U706" s="983"/>
      <c r="V706" s="982"/>
      <c r="W706" s="980"/>
      <c r="X706" s="981" t="s">
        <v>632</v>
      </c>
      <c r="Y706" s="983"/>
      <c r="Z706" s="1412" t="str">
        <f>IFERROR(VLOOKUP(C706, [6]條件!$A:$L, 3, 0), "")</f>
        <v/>
      </c>
      <c r="AA706" s="984" t="str">
        <f>IF(OR(L706={"改紡","檢修","了機","清車","FINAL","停機","SAMPLE","TEST","絲開發"}), L706, IFERROR(IF(C706="", "", (SUM(J706, N706, R706, V706)/3 * AG706) * IF(AND(AF706="S", AS706="雙"), 0.5, 1)), ""))</f>
        <v>停機</v>
      </c>
      <c r="AB706" s="1413" t="str">
        <f t="shared" si="119"/>
        <v/>
      </c>
      <c r="AC706" s="984" t="str">
        <f>IF(OR(L706={"改紡","檢修","了機","清車","FINAL","停機","SAMPLE","TEST"}), "", IFERROR(IF(C706="", "", AVERAGE(L706:M706, P706:Q706, T706:U706, X706:Y706)/100), ""))</f>
        <v/>
      </c>
      <c r="AD706" s="984" t="str">
        <f t="shared" ref="AD706:AD769" si="122">IF(ISERROR(AA706/8),"",(AA706/8))</f>
        <v/>
      </c>
      <c r="AE706" s="984" t="str">
        <f t="shared" si="120"/>
        <v/>
      </c>
      <c r="AF706" s="985" t="str">
        <f t="shared" ref="AF706:AF769" si="123">LEFT(B706, 1)</f>
        <v>T</v>
      </c>
      <c r="AG706" s="1414">
        <v>1</v>
      </c>
      <c r="AH706" s="1002" t="s">
        <v>640</v>
      </c>
      <c r="AI706" s="986" t="s">
        <v>640</v>
      </c>
      <c r="AJ706" s="986" t="s">
        <v>640</v>
      </c>
      <c r="AK706" s="1417" t="s">
        <v>640</v>
      </c>
      <c r="AL706" s="1415"/>
      <c r="AM706" s="1323"/>
      <c r="AN706" s="1323"/>
      <c r="AO706" s="1323"/>
      <c r="AP706" s="1323"/>
      <c r="AQ706" s="1323"/>
      <c r="AR706" s="987"/>
      <c r="AS706" s="978" t="str">
        <f t="shared" ref="AS706:AS769" si="124">IF(RIGHT(F706, 2) = "×2", "雙", "單")</f>
        <v>單</v>
      </c>
      <c r="AT706" s="978" t="str">
        <f t="shared" ref="AT706:AT769" si="125">IF(OR(AF706="J", AF706="T", AF706="M"), IF(AG706=1, "全", "半"), IF(AF706="A", IF(AG706=0.5, IF(AS706="雙", "全", ""), IF(AG706=1, IF(AS706="雙", "半", "全"), IF(AG706=2, "半", ""))), IF(AF706="S", AG706 &amp; "sec", "")))</f>
        <v>全</v>
      </c>
      <c r="AU706" s="978" t="str">
        <f t="shared" ref="AU706:AU769" si="126">IFERROR(VALUE(LEFT(E706, FIND("/", E706)-1)), "")</f>
        <v/>
      </c>
      <c r="AV706" s="978" t="str">
        <f t="shared" ref="AV706:AV769" si="127">IFERROR(IF(AF706="S", (AU706*G706*AC706*0.03456/100/1000) * (AG706*12/144) * IF(AS706="單", 1, 0.5), IF(AF706="A", (AU706*G706*AC706*0.03456/100/1000) * IF(AT706="全", 1, 0.5), IF(OR(AF706="T", AF706="J", AF706="M"), (AU706*G706*AC706*0.03456/100/1000) * IF(AS706="單", 1, 2) * IF(AT706="全", 1, 0.5), 0))), "")</f>
        <v/>
      </c>
    </row>
    <row r="707" spans="1:48">
      <c r="A707" s="975">
        <f t="shared" si="121"/>
        <v>46160</v>
      </c>
      <c r="B707" s="976" t="s">
        <v>388</v>
      </c>
      <c r="C707" s="976" t="s">
        <v>16775</v>
      </c>
      <c r="D707" s="1410" t="s">
        <v>633</v>
      </c>
      <c r="E707" s="977" t="str">
        <f>IFERROR(VLOOKUP(C707, [6]條件!$A:$L, 5, 0), "")</f>
        <v>150/48/2SDr</v>
      </c>
      <c r="F707" s="978" t="str">
        <f>IFERROR(VLOOKUP(C707, [6]條件!$A:$L, 6, 0), "")</f>
        <v>FP82173R×2</v>
      </c>
      <c r="G707" s="1411">
        <f>IFERROR(VLOOKUP(C707, [6]條件!$A:$L, 7, 0), "")</f>
        <v>700</v>
      </c>
      <c r="H707" s="978" t="str">
        <f>IF(ISNA(VLOOKUP(C707,[6]條件!$A$1:$K$932,11,0)),"",(VLOOKUP(C707,[6]條件!$A$1:$K$932,11,0)))</f>
        <v>黃紅雙色</v>
      </c>
      <c r="I707" s="979">
        <f>IF(ISNA(VLOOKUP(C707,[6]條件!$A$1:$L$932,12,0)),"",(VLOOKUP(C707,[6]條件!$A$1:$L$932,12,0)))</f>
        <v>5.5</v>
      </c>
      <c r="J707" s="982">
        <v>13</v>
      </c>
      <c r="K707" s="980">
        <v>0</v>
      </c>
      <c r="L707" s="981">
        <v>8700</v>
      </c>
      <c r="M707" s="983">
        <v>10000</v>
      </c>
      <c r="N707" s="982">
        <v>15</v>
      </c>
      <c r="O707" s="980">
        <v>0</v>
      </c>
      <c r="P707" s="981">
        <v>8700</v>
      </c>
      <c r="Q707" s="983">
        <v>10000</v>
      </c>
      <c r="R707" s="982">
        <v>23</v>
      </c>
      <c r="S707" s="980">
        <v>1</v>
      </c>
      <c r="T707" s="981">
        <v>8150</v>
      </c>
      <c r="U707" s="983">
        <v>9910</v>
      </c>
      <c r="V707" s="982">
        <v>13</v>
      </c>
      <c r="W707" s="980">
        <v>2</v>
      </c>
      <c r="X707" s="981">
        <v>8700</v>
      </c>
      <c r="Y707" s="983">
        <v>9910</v>
      </c>
      <c r="Z707" s="1412">
        <f>IFERROR(VLOOKUP(C707, [6]條件!$A:$L, 3, 0), "")</f>
        <v>5.8536585365853666</v>
      </c>
      <c r="AA707" s="984">
        <f>IF(OR(L707={"改紡","檢修","了機","清車","FINAL","停機","SAMPLE","TEST","絲開發"}), L707, IFERROR(IF(C707="", "", (SUM(J707, N707, R707, V707)/3 * AG707) * IF(AND(AF707="S", AS707="雙"), 0.5, 1)), ""))</f>
        <v>21.333333333333332</v>
      </c>
      <c r="AB707" s="1413">
        <f t="shared" si="119"/>
        <v>0.99753605769230769</v>
      </c>
      <c r="AC707" s="984">
        <f>IF(OR(L707={"改紡","檢修","了機","清車","FINAL","停機","SAMPLE","TEST"}), "", IFERROR(IF(C707="", "", AVERAGE(L707:M707, P707:Q707, T707:U707, X707:Y707)/100), ""))</f>
        <v>92.587500000000006</v>
      </c>
      <c r="AD707" s="984">
        <f t="shared" si="122"/>
        <v>2.6666666666666665</v>
      </c>
      <c r="AE707" s="984">
        <f t="shared" si="120"/>
        <v>2.5416666666666665</v>
      </c>
      <c r="AF707" s="985" t="str">
        <f t="shared" si="123"/>
        <v>T</v>
      </c>
      <c r="AG707" s="1414">
        <v>1</v>
      </c>
      <c r="AH707" s="1002" t="s">
        <v>15337</v>
      </c>
      <c r="AI707" s="986" t="s">
        <v>15892</v>
      </c>
      <c r="AJ707" s="986" t="s">
        <v>16113</v>
      </c>
      <c r="AK707" s="1417" t="s">
        <v>16113</v>
      </c>
      <c r="AL707" s="1415">
        <v>56</v>
      </c>
      <c r="AM707" s="1323">
        <v>46156</v>
      </c>
      <c r="AN707" s="1323">
        <v>46157</v>
      </c>
      <c r="AO707" s="1323"/>
      <c r="AP707" s="1323"/>
      <c r="AQ707" s="1323"/>
      <c r="AR707" s="987"/>
      <c r="AS707" s="978" t="str">
        <f t="shared" si="124"/>
        <v>雙</v>
      </c>
      <c r="AT707" s="978" t="str">
        <f t="shared" si="125"/>
        <v>全</v>
      </c>
      <c r="AU707" s="978">
        <f t="shared" si="126"/>
        <v>150</v>
      </c>
      <c r="AV707" s="978">
        <f t="shared" si="127"/>
        <v>6.7196303999999998</v>
      </c>
    </row>
    <row r="708" spans="1:48">
      <c r="A708" s="975">
        <f t="shared" si="121"/>
        <v>46160</v>
      </c>
      <c r="B708" s="976" t="s">
        <v>417</v>
      </c>
      <c r="C708" s="976" t="s">
        <v>16767</v>
      </c>
      <c r="D708" s="1410" t="s">
        <v>633</v>
      </c>
      <c r="E708" s="977" t="str">
        <f>IFERROR(VLOOKUP(C708, [6]條件!$A:$L, 5, 0), "")</f>
        <v>150/48/2SDr</v>
      </c>
      <c r="F708" s="978" t="str">
        <f>IFERROR(VLOOKUP(C708, [6]條件!$A:$L, 6, 0), "")</f>
        <v>FP82173R×2</v>
      </c>
      <c r="G708" s="1411">
        <f>IFERROR(VLOOKUP(C708, [6]條件!$A:$L, 7, 0), "")</f>
        <v>700</v>
      </c>
      <c r="H708" s="978" t="str">
        <f>IF(ISNA(VLOOKUP(C708,[6]條件!$A$1:$K$932,11,0)),"",(VLOOKUP(C708,[6]條件!$A$1:$K$932,11,0)))</f>
        <v>棕色</v>
      </c>
      <c r="I708" s="979">
        <f>IF(ISNA(VLOOKUP(C708,[6]條件!$A$1:$L$932,12,0)),"",(VLOOKUP(C708,[6]條件!$A$1:$L$932,12,0)))</f>
        <v>5.5</v>
      </c>
      <c r="J708" s="982">
        <v>15</v>
      </c>
      <c r="K708" s="980">
        <v>0</v>
      </c>
      <c r="L708" s="981">
        <v>9910</v>
      </c>
      <c r="M708" s="983">
        <v>9630</v>
      </c>
      <c r="N708" s="982">
        <v>15</v>
      </c>
      <c r="O708" s="980">
        <v>0</v>
      </c>
      <c r="P708" s="981">
        <v>9910</v>
      </c>
      <c r="Q708" s="983">
        <v>9730</v>
      </c>
      <c r="R708" s="982">
        <v>15</v>
      </c>
      <c r="S708" s="980">
        <v>1</v>
      </c>
      <c r="T708" s="981">
        <v>9910</v>
      </c>
      <c r="U708" s="983">
        <v>9540</v>
      </c>
      <c r="V708" s="982">
        <v>16</v>
      </c>
      <c r="W708" s="980">
        <v>4</v>
      </c>
      <c r="X708" s="981"/>
      <c r="Y708" s="983">
        <v>9540</v>
      </c>
      <c r="Z708" s="1412">
        <f>IFERROR(VLOOKUP(C708, [6]條件!$A:$L, 3, 0), "")</f>
        <v>5.8536585365853666</v>
      </c>
      <c r="AA708" s="984">
        <f>IF(OR(L708={"改紡","檢修","了機","清車","FINAL","停機","SAMPLE","TEST","絲開發"}), L708, IFERROR(IF(C708="", "", (SUM(J708, N708, R708, V708)/3 * AG708) * IF(AND(AF708="S", AS708="雙"), 0.5, 1)), ""))</f>
        <v>20.333333333333332</v>
      </c>
      <c r="AB708" s="1413">
        <f t="shared" si="119"/>
        <v>0.99589342948717952</v>
      </c>
      <c r="AC708" s="984">
        <f>IF(OR(L708={"改紡","檢修","了機","清車","FINAL","停機","SAMPLE","TEST"}), "", IFERROR(IF(C708="", "", AVERAGE(L708:M708, P708:Q708, T708:U708, X708:Y708)/100), ""))</f>
        <v>97.3857142857143</v>
      </c>
      <c r="AD708" s="984">
        <f t="shared" si="122"/>
        <v>2.5416666666666665</v>
      </c>
      <c r="AE708" s="984">
        <f t="shared" si="120"/>
        <v>2.3333333333333335</v>
      </c>
      <c r="AF708" s="985" t="str">
        <f t="shared" si="123"/>
        <v>T</v>
      </c>
      <c r="AG708" s="1414">
        <v>1</v>
      </c>
      <c r="AH708" s="1002" t="s">
        <v>15337</v>
      </c>
      <c r="AI708" s="986" t="s">
        <v>15892</v>
      </c>
      <c r="AJ708" s="986" t="s">
        <v>16113</v>
      </c>
      <c r="AK708" s="1417" t="s">
        <v>16113</v>
      </c>
      <c r="AL708" s="1415">
        <v>56</v>
      </c>
      <c r="AM708" s="1323">
        <v>46156</v>
      </c>
      <c r="AN708" s="1323">
        <v>46157</v>
      </c>
      <c r="AO708" s="1323"/>
      <c r="AP708" s="1323"/>
      <c r="AQ708" s="1323"/>
      <c r="AR708" s="987"/>
      <c r="AS708" s="978" t="str">
        <f t="shared" si="124"/>
        <v>雙</v>
      </c>
      <c r="AT708" s="978" t="str">
        <f t="shared" si="125"/>
        <v>全</v>
      </c>
      <c r="AU708" s="978">
        <f t="shared" si="126"/>
        <v>150</v>
      </c>
      <c r="AV708" s="978">
        <f t="shared" si="127"/>
        <v>7.067865600000002</v>
      </c>
    </row>
    <row r="709" spans="1:48">
      <c r="A709" s="975">
        <f t="shared" si="121"/>
        <v>46160</v>
      </c>
      <c r="B709" s="976" t="s">
        <v>240</v>
      </c>
      <c r="C709" s="976" t="s">
        <v>16776</v>
      </c>
      <c r="D709" s="1410"/>
      <c r="E709" s="977" t="str">
        <f>IFERROR(VLOOKUP(C709, [6]條件!$A:$L, 5, 0), "")</f>
        <v>50/72/2SDFFR</v>
      </c>
      <c r="F709" s="978" t="str">
        <f>IFERROR(VLOOKUP(C709, [6]條件!$A:$L, 6, 0), "")</f>
        <v>FP80099R×2</v>
      </c>
      <c r="G709" s="1411">
        <f>IFERROR(VLOOKUP(C709, [6]條件!$A:$L, 7, 0), "")</f>
        <v>500</v>
      </c>
      <c r="H709" s="978" t="str">
        <f>IF(ISNA(VLOOKUP(C709,[6]條件!$A$1:$K$932,11,0)),"",(VLOOKUP(C709,[6]條件!$A$1:$K$932,11,0)))</f>
        <v>白黑三角</v>
      </c>
      <c r="I709" s="979">
        <f>IF(ISNA(VLOOKUP(C709,[6]條件!$A$1:$L$932,12,0)),"",(VLOOKUP(C709,[6]條件!$A$1:$L$932,12,0)))</f>
        <v>4</v>
      </c>
      <c r="J709" s="982">
        <v>12</v>
      </c>
      <c r="K709" s="980">
        <v>0</v>
      </c>
      <c r="L709" s="981">
        <v>4186</v>
      </c>
      <c r="M709" s="983"/>
      <c r="N709" s="982">
        <v>14</v>
      </c>
      <c r="O709" s="980">
        <v>0</v>
      </c>
      <c r="P709" s="981">
        <v>2495</v>
      </c>
      <c r="Q709" s="983"/>
      <c r="R709" s="982">
        <v>4</v>
      </c>
      <c r="S709" s="980">
        <v>0</v>
      </c>
      <c r="T709" s="981">
        <v>1574</v>
      </c>
      <c r="U709" s="983"/>
      <c r="V709" s="982">
        <v>6</v>
      </c>
      <c r="W709" s="980">
        <v>2</v>
      </c>
      <c r="X709" s="981">
        <v>2643</v>
      </c>
      <c r="Y709" s="983"/>
      <c r="Z709" s="1422">
        <f>IFERROR(VLOOKUP(C709, [6]條件!$A:$L, 3, 0), "")</f>
        <v>2.028169014084507</v>
      </c>
      <c r="AA709" s="1167">
        <f>IF(OR(L709={"改紡","檢修","了機","清車","FINAL","停機","SAMPLE","TEST","絲開發"}), L709, IFERROR(IF(C709="", "", (SUM(J709, N709, R709, V709)/3 * AG709) * IF(AND(AF709="S", AS709="雙"), 0.5, 1)), ""))</f>
        <v>18</v>
      </c>
      <c r="AB709" s="1423">
        <f>IF(K709="","",IF(ISERROR(1-((SUM(K709,O709,S709,W709)/((AG709*12)-(AG709*0.44)))/Z709)),"",(1-((SUM(K709,O709,S709,W709)/((AG709*12)-(AG709*0.44)))/Z709))))</f>
        <v>0.97156542355504294</v>
      </c>
      <c r="AC709" s="1167">
        <f>IF(OR(L709={"改紡","檢修","了機","清車","FINAL","停機","SAMPLE","TEST"}), "", IFERROR(IF(C709="", "", AVERAGE(L709:M709, P709:Q709, T709:U709, X709:Y709)/100), ""))</f>
        <v>27.245000000000001</v>
      </c>
      <c r="AD709" s="1167">
        <f t="shared" si="122"/>
        <v>2.25</v>
      </c>
      <c r="AE709" s="1167">
        <f>IF(P709="了機","",IF(J709="","",IF(ISERROR((SUM(J709,N709,R709,V709)-SUM(K709,O709,S709,W709))/24),"",((SUM(J709,N709,R709,V709)-SUM(K709,O709,S709,W709))/24))))</f>
        <v>1.4166666666666667</v>
      </c>
      <c r="AF709" s="1168" t="str">
        <f t="shared" si="123"/>
        <v>S</v>
      </c>
      <c r="AG709" s="1424">
        <v>3</v>
      </c>
      <c r="AH709" s="1002" t="s">
        <v>15848</v>
      </c>
      <c r="AI709" s="986" t="s">
        <v>815</v>
      </c>
      <c r="AJ709" s="986" t="s">
        <v>635</v>
      </c>
      <c r="AK709" s="1417" t="s">
        <v>635</v>
      </c>
      <c r="AL709" s="1415">
        <v>50</v>
      </c>
      <c r="AM709" s="1323">
        <v>46044</v>
      </c>
      <c r="AN709" s="1323"/>
      <c r="AO709" s="1323"/>
      <c r="AP709" s="1323"/>
      <c r="AQ709" s="1323"/>
      <c r="AR709" s="987"/>
      <c r="AS709" s="978" t="str">
        <f t="shared" si="124"/>
        <v>雙</v>
      </c>
      <c r="AT709" s="978" t="str">
        <f t="shared" si="125"/>
        <v>3sec</v>
      </c>
      <c r="AU709" s="978">
        <f t="shared" si="126"/>
        <v>50</v>
      </c>
      <c r="AV709" s="978">
        <f t="shared" si="127"/>
        <v>2.9424600000000002E-2</v>
      </c>
    </row>
    <row r="710" spans="1:48">
      <c r="A710" s="975">
        <f t="shared" si="121"/>
        <v>46160</v>
      </c>
      <c r="B710" s="976" t="s">
        <v>240</v>
      </c>
      <c r="C710" s="976" t="s">
        <v>16777</v>
      </c>
      <c r="D710" s="1410"/>
      <c r="E710" s="977" t="str">
        <f>IFERROR(VLOOKUP(C710, [6]條件!$A:$L, 5, 0), "")</f>
        <v>75/72/2SDFFR</v>
      </c>
      <c r="F710" s="978" t="str">
        <f>IFERROR(VLOOKUP(C710, [6]條件!$A:$L, 6, 0), "")</f>
        <v>FP81209R×2</v>
      </c>
      <c r="G710" s="1411">
        <f>IFERROR(VLOOKUP(C710, [6]條件!$A:$L, 7, 0), "")</f>
        <v>600</v>
      </c>
      <c r="H710" s="978" t="str">
        <f>IF(ISNA(VLOOKUP(C710,[6]條件!$A$1:$K$932,11,0)),"",(VLOOKUP(C710,[6]條件!$A$1:$K$932,11,0)))</f>
        <v>白底紅十字</v>
      </c>
      <c r="I710" s="979">
        <f>IF(ISNA(VLOOKUP(C710,[6]條件!$A$1:$L$932,12,0)),"",(VLOOKUP(C710,[6]條件!$A$1:$L$932,12,0)))</f>
        <v>5</v>
      </c>
      <c r="J710" s="982">
        <v>6</v>
      </c>
      <c r="K710" s="980">
        <v>0</v>
      </c>
      <c r="L710" s="981">
        <v>4186</v>
      </c>
      <c r="M710" s="983"/>
      <c r="N710" s="982">
        <v>14</v>
      </c>
      <c r="O710" s="980">
        <v>0</v>
      </c>
      <c r="P710" s="981">
        <v>2495</v>
      </c>
      <c r="Q710" s="983"/>
      <c r="R710" s="982">
        <v>2</v>
      </c>
      <c r="S710" s="980">
        <v>0</v>
      </c>
      <c r="T710" s="981">
        <v>1574</v>
      </c>
      <c r="U710" s="983"/>
      <c r="V710" s="982">
        <v>4</v>
      </c>
      <c r="W710" s="980">
        <v>0</v>
      </c>
      <c r="X710" s="981">
        <v>2643</v>
      </c>
      <c r="Y710" s="983"/>
      <c r="Z710" s="1422">
        <f>IFERROR(VLOOKUP(C710, [6]條件!$A:$L, 3, 0), "")</f>
        <v>2.7852998065764023</v>
      </c>
      <c r="AA710" s="1167">
        <f>IF(OR(L710={"改紡","檢修","了機","清車","FINAL","停機","SAMPLE","TEST","絲開發"}), L710, IFERROR(IF(C710="", "", (SUM(J710, N710, R710, V710)/3 * AG710) * IF(AND(AF710="S", AS710="雙"), 0.5, 1)), ""))</f>
        <v>13</v>
      </c>
      <c r="AB710" s="1423">
        <f>IF(K710="","",IF(ISERROR(1-((SUM(K710,O710,S710,W710)/((AG710*12)-(AG710*0.44)))/Z710)),"",(1-((SUM(K710,O710,S710,W710)/((AG710*12)-(AG710*0.44)))/Z710))))</f>
        <v>1</v>
      </c>
      <c r="AC710" s="1167">
        <f>IF(OR(L710={"改紡","檢修","了機","清車","FINAL","停機","SAMPLE","TEST"}), "", IFERROR(IF(C710="", "", AVERAGE(L710:M710, P710:Q710, T710:U710, X710:Y710)/100), ""))</f>
        <v>27.245000000000001</v>
      </c>
      <c r="AD710" s="1167">
        <f t="shared" si="122"/>
        <v>1.625</v>
      </c>
      <c r="AE710" s="1167">
        <f>IF(P710="了機","",IF(J710="","",IF(ISERROR((SUM(J710,N710,R710,V710)-SUM(K710,O710,S710,W710))/24),"",((SUM(J710,N710,R710,V710)-SUM(K710,O710,S710,W710))/24))))</f>
        <v>1.0833333333333333</v>
      </c>
      <c r="AF710" s="1168" t="str">
        <f t="shared" si="123"/>
        <v>S</v>
      </c>
      <c r="AG710" s="1424">
        <v>3</v>
      </c>
      <c r="AH710" s="1002" t="s">
        <v>15848</v>
      </c>
      <c r="AI710" s="986" t="s">
        <v>815</v>
      </c>
      <c r="AJ710" s="986" t="s">
        <v>635</v>
      </c>
      <c r="AK710" s="1417" t="s">
        <v>635</v>
      </c>
      <c r="AL710" s="1415">
        <v>50</v>
      </c>
      <c r="AM710" s="1323">
        <v>46089</v>
      </c>
      <c r="AN710" s="1323"/>
      <c r="AO710" s="1323"/>
      <c r="AP710" s="1323"/>
      <c r="AQ710" s="1323"/>
      <c r="AR710" s="987"/>
      <c r="AS710" s="978" t="str">
        <f t="shared" si="124"/>
        <v>雙</v>
      </c>
      <c r="AT710" s="978" t="str">
        <f t="shared" si="125"/>
        <v>3sec</v>
      </c>
      <c r="AU710" s="978">
        <f t="shared" si="126"/>
        <v>75</v>
      </c>
      <c r="AV710" s="978">
        <f t="shared" si="127"/>
        <v>5.2964280000000002E-2</v>
      </c>
    </row>
    <row r="711" spans="1:48">
      <c r="A711" s="975">
        <f t="shared" si="121"/>
        <v>46160</v>
      </c>
      <c r="B711" s="976" t="s">
        <v>242</v>
      </c>
      <c r="C711" s="976" t="s">
        <v>385</v>
      </c>
      <c r="D711" s="1410"/>
      <c r="E711" s="977" t="str">
        <f>IFERROR(VLOOKUP(C711, [6]條件!$A:$L, 5, 0), "")</f>
        <v/>
      </c>
      <c r="F711" s="978" t="str">
        <f>IFERROR(VLOOKUP(C711, [6]條件!$A:$L, 6, 0), "")</f>
        <v/>
      </c>
      <c r="G711" s="1411" t="str">
        <f>IFERROR(VLOOKUP(C711, [6]條件!$A:$L, 7, 0), "")</f>
        <v/>
      </c>
      <c r="H711" s="978" t="str">
        <f>IF(ISNA(VLOOKUP(C711,[6]條件!$A$1:$K$932,11,0)),"",(VLOOKUP(C711,[6]條件!$A$1:$K$932,11,0)))</f>
        <v/>
      </c>
      <c r="I711" s="979" t="str">
        <f>IF(ISNA(VLOOKUP(C711,[6]條件!$A$1:$L$932,12,0)),"",(VLOOKUP(C711,[6]條件!$A$1:$L$932,12,0)))</f>
        <v/>
      </c>
      <c r="J711" s="982"/>
      <c r="K711" s="980"/>
      <c r="L711" s="981" t="s">
        <v>385</v>
      </c>
      <c r="M711" s="983"/>
      <c r="N711" s="982"/>
      <c r="O711" s="980"/>
      <c r="P711" s="981" t="s">
        <v>385</v>
      </c>
      <c r="Q711" s="983"/>
      <c r="R711" s="982"/>
      <c r="S711" s="980"/>
      <c r="T711" s="981" t="s">
        <v>385</v>
      </c>
      <c r="U711" s="983"/>
      <c r="V711" s="982"/>
      <c r="W711" s="980"/>
      <c r="X711" s="981" t="s">
        <v>385</v>
      </c>
      <c r="Y711" s="983"/>
      <c r="Z711" s="1422" t="str">
        <f>IFERROR(VLOOKUP(C711, [6]條件!$A:$L, 3, 0), "")</f>
        <v/>
      </c>
      <c r="AA711" s="1167" t="str">
        <f>IF(OR(L711={"改紡","檢修","了機","清車","FINAL","停機","SAMPLE","TEST","絲開發"}), L711, IFERROR(IF(C711="", "", (SUM(J711, N711, R711, V711)/3 * AG711) * IF(AND(AF711="S", AS711="雙"), 0.5, 1)), ""))</f>
        <v>絲開發</v>
      </c>
      <c r="AB711" s="1423" t="str">
        <f>IF(K711="","",IF(ISERROR(1-((SUM(K711,O711,S711,W711)/((AG711*12)-(AG711*0.44)))/Z711)),"",(1-((SUM(K711,O711,S711,W711)/((AG711*12)-(AG711*0.44)))/Z711))))</f>
        <v/>
      </c>
      <c r="AC711" s="1167" t="str">
        <f>IF(OR(L711={"改紡","檢修","了機","清車","FINAL","停機","SAMPLE","TEST"}), "", IFERROR(IF(C711="", "", AVERAGE(L711:M711, P711:Q711, T711:U711, X711:Y711)/100), ""))</f>
        <v/>
      </c>
      <c r="AD711" s="1167" t="str">
        <f t="shared" si="122"/>
        <v/>
      </c>
      <c r="AE711" s="1167" t="str">
        <f>IF(P711="了機","",IF(J711="","",IF(ISERROR((SUM(J711,N711,R711,V711)-SUM(K711,O711,S711,W711))/24),"",((SUM(J711,N711,R711,V711)-SUM(K711,O711,S711,W711))/24))))</f>
        <v/>
      </c>
      <c r="AF711" s="1168" t="str">
        <f t="shared" si="123"/>
        <v>S</v>
      </c>
      <c r="AG711" s="1424">
        <v>5</v>
      </c>
      <c r="AH711" s="1002" t="s">
        <v>15848</v>
      </c>
      <c r="AI711" s="986" t="s">
        <v>815</v>
      </c>
      <c r="AJ711" s="986" t="s">
        <v>635</v>
      </c>
      <c r="AK711" s="1417" t="s">
        <v>635</v>
      </c>
      <c r="AL711" s="1415"/>
      <c r="AM711" s="1323"/>
      <c r="AN711" s="1323"/>
      <c r="AO711" s="1323"/>
      <c r="AP711" s="1323"/>
      <c r="AQ711" s="1323"/>
      <c r="AR711" s="987"/>
      <c r="AS711" s="978" t="str">
        <f t="shared" si="124"/>
        <v>單</v>
      </c>
      <c r="AT711" s="978" t="str">
        <f t="shared" si="125"/>
        <v>5sec</v>
      </c>
      <c r="AU711" s="978" t="str">
        <f t="shared" si="126"/>
        <v/>
      </c>
      <c r="AV711" s="978" t="str">
        <f t="shared" si="127"/>
        <v/>
      </c>
    </row>
    <row r="712" spans="1:48">
      <c r="A712" s="975">
        <f t="shared" si="121"/>
        <v>46160</v>
      </c>
      <c r="B712" s="976" t="s">
        <v>16078</v>
      </c>
      <c r="C712" s="988" t="s">
        <v>16185</v>
      </c>
      <c r="D712" s="1410"/>
      <c r="E712" s="977" t="str">
        <f>IFERROR(VLOOKUP(C712, [6]條件!$A:$L, 5, 0), "")</f>
        <v/>
      </c>
      <c r="F712" s="978" t="str">
        <f>IFERROR(VLOOKUP(C712, [6]條件!$A:$L, 6, 0), "")</f>
        <v/>
      </c>
      <c r="G712" s="1411" t="str">
        <f>IFERROR(VLOOKUP(C712, [6]條件!$A:$L, 7, 0), "")</f>
        <v/>
      </c>
      <c r="H712" s="978" t="str">
        <f>IF(ISNA(VLOOKUP(C712,[6]條件!$A$1:$K$932,11,0)),"",(VLOOKUP(C712,[6]條件!$A$1:$K$932,11,0)))</f>
        <v/>
      </c>
      <c r="I712" s="979" t="str">
        <f>IF(ISNA(VLOOKUP(C712,[6]條件!$A$1:$L$932,12,0)),"",(VLOOKUP(C712,[6]條件!$A$1:$L$932,12,0)))</f>
        <v/>
      </c>
      <c r="J712" s="982"/>
      <c r="K712" s="980"/>
      <c r="L712" s="981" t="s">
        <v>632</v>
      </c>
      <c r="M712" s="983"/>
      <c r="N712" s="982"/>
      <c r="O712" s="980"/>
      <c r="P712" s="981" t="s">
        <v>632</v>
      </c>
      <c r="Q712" s="983"/>
      <c r="R712" s="982"/>
      <c r="S712" s="980"/>
      <c r="T712" s="981" t="s">
        <v>632</v>
      </c>
      <c r="U712" s="983"/>
      <c r="V712" s="982"/>
      <c r="W712" s="980"/>
      <c r="X712" s="981" t="s">
        <v>632</v>
      </c>
      <c r="Y712" s="983"/>
      <c r="Z712" s="1412" t="str">
        <f>IFERROR(VLOOKUP(C712, [6]條件!$A:$L, 3, 0), "")</f>
        <v/>
      </c>
      <c r="AA712" s="984" t="str">
        <f>IF(OR(L712={"改紡","檢修","了機","清車","FINAL","停機","SAMPLE","TEST","絲開發"}), L712, IFERROR(IF(C712="", "", (SUM(J712, N712, R712, V712)/3 * AG712) * IF(AND(AF712="S", AS712="雙"), 0.5, 1)), ""))</f>
        <v>停機</v>
      </c>
      <c r="AB712" s="1413" t="str">
        <f t="shared" ref="AB712:AB747" si="128">IF(K712="","",IF(ISERROR(1-(SUM(K712,O712,S712,W712)/208/Z712)),"",(1-(SUM(K712,O712,S712,W712)/208/Z712))))</f>
        <v/>
      </c>
      <c r="AC712" s="984" t="str">
        <f>IF(OR(L712={"改紡","檢修","了機","清車","FINAL","停機","SAMPLE","TEST"}), "", IFERROR(IF(C712="", "", AVERAGE(L712:M712, P712:Q712, T712:U712, X712:Y712)/100), ""))</f>
        <v/>
      </c>
      <c r="AD712" s="984" t="str">
        <f t="shared" si="122"/>
        <v/>
      </c>
      <c r="AE712" s="984" t="str">
        <f>IF(OR(L712="改紡", L712="檢修", L712="了機"), "",
   IF(AND(C712&lt;&gt;"", J712&lt;&gt;""),
      IFERROR((SUM(J712, N712, R712, V712) - SUM(K712, O712, S712, W712))/24 * AG712, ""),
   "")
)</f>
        <v/>
      </c>
      <c r="AF712" s="985" t="str">
        <f t="shared" si="123"/>
        <v>M</v>
      </c>
      <c r="AG712" s="1414">
        <v>1</v>
      </c>
      <c r="AH712" s="1002" t="s">
        <v>640</v>
      </c>
      <c r="AI712" s="986" t="s">
        <v>640</v>
      </c>
      <c r="AJ712" s="986" t="s">
        <v>640</v>
      </c>
      <c r="AK712" s="1417" t="s">
        <v>640</v>
      </c>
      <c r="AL712" s="1415"/>
      <c r="AM712" s="1323"/>
      <c r="AN712" s="1323"/>
      <c r="AO712" s="1323"/>
      <c r="AP712" s="1323"/>
      <c r="AQ712" s="1323"/>
      <c r="AR712" s="987"/>
      <c r="AS712" s="978" t="str">
        <f t="shared" si="124"/>
        <v>單</v>
      </c>
      <c r="AT712" s="978" t="str">
        <f t="shared" si="125"/>
        <v>全</v>
      </c>
      <c r="AU712" s="978" t="str">
        <f t="shared" si="126"/>
        <v/>
      </c>
      <c r="AV712" s="978" t="str">
        <f t="shared" si="127"/>
        <v/>
      </c>
    </row>
    <row r="713" spans="1:48">
      <c r="A713" s="975">
        <f t="shared" si="121"/>
        <v>46160</v>
      </c>
      <c r="B713" s="976" t="s">
        <v>243</v>
      </c>
      <c r="C713" s="988" t="s">
        <v>16185</v>
      </c>
      <c r="D713" s="1410"/>
      <c r="E713" s="977" t="str">
        <f>IFERROR(VLOOKUP(C713, [6]條件!$A:$L, 5, 0), "")</f>
        <v/>
      </c>
      <c r="F713" s="978" t="str">
        <f>IFERROR(VLOOKUP(C713, [6]條件!$A:$L, 6, 0), "")</f>
        <v/>
      </c>
      <c r="G713" s="1411" t="str">
        <f>IFERROR(VLOOKUP(C713, [6]條件!$A:$L, 7, 0), "")</f>
        <v/>
      </c>
      <c r="H713" s="978" t="str">
        <f>IF(ISNA(VLOOKUP(C713,[6]條件!$A$1:$K$932,11,0)),"",(VLOOKUP(C713,[6]條件!$A$1:$K$932,11,0)))</f>
        <v/>
      </c>
      <c r="I713" s="979" t="str">
        <f>IF(ISNA(VLOOKUP(C713,[6]條件!$A$1:$L$932,12,0)),"",(VLOOKUP(C713,[6]條件!$A$1:$L$932,12,0)))</f>
        <v/>
      </c>
      <c r="J713" s="982"/>
      <c r="K713" s="980"/>
      <c r="L713" s="981" t="s">
        <v>632</v>
      </c>
      <c r="M713" s="983"/>
      <c r="N713" s="982"/>
      <c r="O713" s="980"/>
      <c r="P713" s="981" t="s">
        <v>632</v>
      </c>
      <c r="Q713" s="983"/>
      <c r="R713" s="982"/>
      <c r="S713" s="980"/>
      <c r="T713" s="981" t="s">
        <v>632</v>
      </c>
      <c r="U713" s="983"/>
      <c r="V713" s="982"/>
      <c r="W713" s="980"/>
      <c r="X713" s="981" t="s">
        <v>632</v>
      </c>
      <c r="Y713" s="983"/>
      <c r="Z713" s="1412" t="str">
        <f>IFERROR(VLOOKUP(C713, [6]條件!$A:$L, 3, 0), "")</f>
        <v/>
      </c>
      <c r="AA713" s="984" t="str">
        <f>IF(OR(L713={"改紡","檢修","了機","清車","FINAL","停機","SAMPLE","TEST","絲開發"}), L713, IFERROR(IF(C713="", "", (SUM(J713, N713, R713, V713)/3 * AG713) * IF(AND(AF713="S", AS713="雙"), 0.5, 1)), ""))</f>
        <v>停機</v>
      </c>
      <c r="AB713" s="1413" t="str">
        <f t="shared" si="128"/>
        <v/>
      </c>
      <c r="AC713" s="984" t="str">
        <f>IF(OR(L713={"改紡","檢修","了機","清車","FINAL","停機","SAMPLE","TEST"}), "", IFERROR(IF(C713="", "", AVERAGE(L713:M713, P713:Q713, T713:U713, X713:Y713)/100), ""))</f>
        <v/>
      </c>
      <c r="AD713" s="984" t="str">
        <f t="shared" si="122"/>
        <v/>
      </c>
      <c r="AE713" s="984" t="str">
        <f t="shared" ref="AE713:AE747" si="129">IF(OR(L713="改紡", L713="檢修", L713="了機"), "",
IF(AND(C713&lt;&gt;"", J713&lt;&gt;""),
IFERROR((SUM(J713, N713, R713, V713) - SUM(K713, O713, S713, W713))/24 * AG713, ""),
"")
)</f>
        <v/>
      </c>
      <c r="AF713" s="985" t="str">
        <f t="shared" si="123"/>
        <v>M</v>
      </c>
      <c r="AG713" s="1414">
        <v>1</v>
      </c>
      <c r="AH713" s="1002" t="s">
        <v>640</v>
      </c>
      <c r="AI713" s="986" t="s">
        <v>640</v>
      </c>
      <c r="AJ713" s="986" t="s">
        <v>640</v>
      </c>
      <c r="AK713" s="1417" t="s">
        <v>640</v>
      </c>
      <c r="AL713" s="1415"/>
      <c r="AM713" s="1323"/>
      <c r="AN713" s="1323"/>
      <c r="AO713" s="1323"/>
      <c r="AP713" s="1323"/>
      <c r="AQ713" s="1323"/>
      <c r="AR713" s="987"/>
      <c r="AS713" s="978" t="str">
        <f t="shared" si="124"/>
        <v>單</v>
      </c>
      <c r="AT713" s="978" t="str">
        <f t="shared" si="125"/>
        <v>全</v>
      </c>
      <c r="AU713" s="978" t="str">
        <f t="shared" si="126"/>
        <v/>
      </c>
      <c r="AV713" s="978" t="str">
        <f t="shared" si="127"/>
        <v/>
      </c>
    </row>
    <row r="714" spans="1:48">
      <c r="A714" s="975">
        <f t="shared" si="121"/>
        <v>46160</v>
      </c>
      <c r="B714" s="976" t="s">
        <v>244</v>
      </c>
      <c r="C714" s="988" t="s">
        <v>16185</v>
      </c>
      <c r="D714" s="1410"/>
      <c r="E714" s="977" t="str">
        <f>IFERROR(VLOOKUP(C714, [6]條件!$A:$L, 5, 0), "")</f>
        <v/>
      </c>
      <c r="F714" s="978" t="str">
        <f>IFERROR(VLOOKUP(C714, [6]條件!$A:$L, 6, 0), "")</f>
        <v/>
      </c>
      <c r="G714" s="1411" t="str">
        <f>IFERROR(VLOOKUP(C714, [6]條件!$A:$L, 7, 0), "")</f>
        <v/>
      </c>
      <c r="H714" s="978" t="str">
        <f>IF(ISNA(VLOOKUP(C714,[6]條件!$A$1:$K$932,11,0)),"",(VLOOKUP(C714,[6]條件!$A$1:$K$932,11,0)))</f>
        <v/>
      </c>
      <c r="I714" s="979" t="str">
        <f>IF(ISNA(VLOOKUP(C714,[6]條件!$A$1:$L$932,12,0)),"",(VLOOKUP(C714,[6]條件!$A$1:$L$932,12,0)))</f>
        <v/>
      </c>
      <c r="J714" s="982"/>
      <c r="K714" s="980"/>
      <c r="L714" s="981" t="s">
        <v>632</v>
      </c>
      <c r="M714" s="983"/>
      <c r="N714" s="982"/>
      <c r="O714" s="980"/>
      <c r="P714" s="981" t="s">
        <v>632</v>
      </c>
      <c r="Q714" s="983"/>
      <c r="R714" s="982"/>
      <c r="S714" s="980"/>
      <c r="T714" s="981" t="s">
        <v>632</v>
      </c>
      <c r="U714" s="983"/>
      <c r="V714" s="982"/>
      <c r="W714" s="980"/>
      <c r="X714" s="981" t="s">
        <v>632</v>
      </c>
      <c r="Y714" s="983"/>
      <c r="Z714" s="1412" t="str">
        <f>IFERROR(VLOOKUP(C714, [6]條件!$A:$L, 3, 0), "")</f>
        <v/>
      </c>
      <c r="AA714" s="984" t="str">
        <f>IF(OR(L714={"改紡","檢修","了機","清車","FINAL","停機","SAMPLE","TEST","絲開發"}), L714, IFERROR(IF(C714="", "", (SUM(J714, N714, R714, V714)/3 * AG714) * IF(AND(AF714="S", AS714="雙"), 0.5, 1)), ""))</f>
        <v>停機</v>
      </c>
      <c r="AB714" s="1413" t="str">
        <f t="shared" si="128"/>
        <v/>
      </c>
      <c r="AC714" s="984" t="str">
        <f>IF(OR(L714={"改紡","檢修","了機","清車","FINAL","停機","SAMPLE","TEST"}), "", IFERROR(IF(C714="", "", AVERAGE(L714:M714, P714:Q714, T714:U714, X714:Y714)/100), ""))</f>
        <v/>
      </c>
      <c r="AD714" s="984" t="str">
        <f t="shared" si="122"/>
        <v/>
      </c>
      <c r="AE714" s="984" t="str">
        <f t="shared" si="129"/>
        <v/>
      </c>
      <c r="AF714" s="985" t="str">
        <f t="shared" si="123"/>
        <v>M</v>
      </c>
      <c r="AG714" s="1414">
        <v>1</v>
      </c>
      <c r="AH714" s="1002" t="s">
        <v>640</v>
      </c>
      <c r="AI714" s="986" t="s">
        <v>640</v>
      </c>
      <c r="AJ714" s="986" t="s">
        <v>640</v>
      </c>
      <c r="AK714" s="1417" t="s">
        <v>640</v>
      </c>
      <c r="AL714" s="1415"/>
      <c r="AM714" s="1323"/>
      <c r="AN714" s="1323"/>
      <c r="AO714" s="1323"/>
      <c r="AP714" s="1323"/>
      <c r="AQ714" s="1323"/>
      <c r="AR714" s="987"/>
      <c r="AS714" s="978" t="str">
        <f t="shared" si="124"/>
        <v>單</v>
      </c>
      <c r="AT714" s="978" t="str">
        <f t="shared" si="125"/>
        <v>全</v>
      </c>
      <c r="AU714" s="978" t="str">
        <f t="shared" si="126"/>
        <v/>
      </c>
      <c r="AV714" s="978" t="str">
        <f t="shared" si="127"/>
        <v/>
      </c>
    </row>
    <row r="715" spans="1:48">
      <c r="A715" s="975">
        <f t="shared" si="121"/>
        <v>46160</v>
      </c>
      <c r="B715" s="976" t="s">
        <v>245</v>
      </c>
      <c r="C715" s="988" t="s">
        <v>16185</v>
      </c>
      <c r="D715" s="1410"/>
      <c r="E715" s="977" t="str">
        <f>IFERROR(VLOOKUP(C715, [6]條件!$A:$L, 5, 0), "")</f>
        <v/>
      </c>
      <c r="F715" s="978" t="str">
        <f>IFERROR(VLOOKUP(C715, [6]條件!$A:$L, 6, 0), "")</f>
        <v/>
      </c>
      <c r="G715" s="1411" t="str">
        <f>IFERROR(VLOOKUP(C715, [6]條件!$A:$L, 7, 0), "")</f>
        <v/>
      </c>
      <c r="H715" s="978" t="str">
        <f>IF(ISNA(VLOOKUP(C715,[6]條件!$A$1:$K$932,11,0)),"",(VLOOKUP(C715,[6]條件!$A$1:$K$932,11,0)))</f>
        <v/>
      </c>
      <c r="I715" s="979" t="str">
        <f>IF(ISNA(VLOOKUP(C715,[6]條件!$A$1:$L$932,12,0)),"",(VLOOKUP(C715,[6]條件!$A$1:$L$932,12,0)))</f>
        <v/>
      </c>
      <c r="J715" s="982"/>
      <c r="K715" s="980"/>
      <c r="L715" s="981" t="s">
        <v>632</v>
      </c>
      <c r="M715" s="983"/>
      <c r="N715" s="982"/>
      <c r="O715" s="980"/>
      <c r="P715" s="981" t="s">
        <v>632</v>
      </c>
      <c r="Q715" s="983"/>
      <c r="R715" s="982"/>
      <c r="S715" s="980"/>
      <c r="T715" s="981" t="s">
        <v>632</v>
      </c>
      <c r="U715" s="983"/>
      <c r="V715" s="982"/>
      <c r="W715" s="980"/>
      <c r="X715" s="981" t="s">
        <v>632</v>
      </c>
      <c r="Y715" s="983"/>
      <c r="Z715" s="1412" t="str">
        <f>IFERROR(VLOOKUP(C715, [6]條件!$A:$L, 3, 0), "")</f>
        <v/>
      </c>
      <c r="AA715" s="984" t="str">
        <f>IF(OR(L715={"改紡","檢修","了機","清車","FINAL","停機","SAMPLE","TEST","絲開發"}), L715, IFERROR(IF(C715="", "", (SUM(J715, N715, R715, V715)/3 * AG715) * IF(AND(AF715="S", AS715="雙"), 0.5, 1)), ""))</f>
        <v>停機</v>
      </c>
      <c r="AB715" s="1413" t="str">
        <f t="shared" si="128"/>
        <v/>
      </c>
      <c r="AC715" s="984" t="str">
        <f>IF(OR(L715={"改紡","檢修","了機","清車","FINAL","停機","SAMPLE","TEST"}), "", IFERROR(IF(C715="", "", AVERAGE(L715:M715, P715:Q715, T715:U715, X715:Y715)/100), ""))</f>
        <v/>
      </c>
      <c r="AD715" s="984" t="str">
        <f t="shared" si="122"/>
        <v/>
      </c>
      <c r="AE715" s="984" t="str">
        <f t="shared" si="129"/>
        <v/>
      </c>
      <c r="AF715" s="985" t="str">
        <f t="shared" si="123"/>
        <v>M</v>
      </c>
      <c r="AG715" s="1414">
        <v>1</v>
      </c>
      <c r="AH715" s="1002" t="s">
        <v>640</v>
      </c>
      <c r="AI715" s="986" t="s">
        <v>640</v>
      </c>
      <c r="AJ715" s="986" t="s">
        <v>640</v>
      </c>
      <c r="AK715" s="1417" t="s">
        <v>640</v>
      </c>
      <c r="AL715" s="1415"/>
      <c r="AM715" s="1323"/>
      <c r="AN715" s="1323"/>
      <c r="AO715" s="1323"/>
      <c r="AP715" s="1323"/>
      <c r="AQ715" s="1323"/>
      <c r="AR715" s="987"/>
      <c r="AS715" s="978" t="str">
        <f t="shared" si="124"/>
        <v>單</v>
      </c>
      <c r="AT715" s="978" t="str">
        <f t="shared" si="125"/>
        <v>全</v>
      </c>
      <c r="AU715" s="978" t="str">
        <f t="shared" si="126"/>
        <v/>
      </c>
      <c r="AV715" s="978" t="str">
        <f t="shared" si="127"/>
        <v/>
      </c>
    </row>
    <row r="716" spans="1:48">
      <c r="A716" s="975">
        <f t="shared" si="121"/>
        <v>46160</v>
      </c>
      <c r="B716" s="976" t="s">
        <v>246</v>
      </c>
      <c r="C716" s="988" t="s">
        <v>16185</v>
      </c>
      <c r="D716" s="1410"/>
      <c r="E716" s="977" t="str">
        <f>IFERROR(VLOOKUP(C716, [6]條件!$A:$L, 5, 0), "")</f>
        <v/>
      </c>
      <c r="F716" s="978" t="str">
        <f>IFERROR(VLOOKUP(C716, [6]條件!$A:$L, 6, 0), "")</f>
        <v/>
      </c>
      <c r="G716" s="1411" t="str">
        <f>IFERROR(VLOOKUP(C716, [6]條件!$A:$L, 7, 0), "")</f>
        <v/>
      </c>
      <c r="H716" s="978" t="str">
        <f>IF(ISNA(VLOOKUP(C716,[6]條件!$A$1:$K$932,11,0)),"",(VLOOKUP(C716,[6]條件!$A$1:$K$932,11,0)))</f>
        <v/>
      </c>
      <c r="I716" s="979" t="str">
        <f>IF(ISNA(VLOOKUP(C716,[6]條件!$A$1:$L$932,12,0)),"",(VLOOKUP(C716,[6]條件!$A$1:$L$932,12,0)))</f>
        <v/>
      </c>
      <c r="J716" s="982"/>
      <c r="K716" s="980"/>
      <c r="L716" s="981" t="s">
        <v>632</v>
      </c>
      <c r="M716" s="983"/>
      <c r="N716" s="982"/>
      <c r="O716" s="980"/>
      <c r="P716" s="981" t="s">
        <v>632</v>
      </c>
      <c r="Q716" s="983"/>
      <c r="R716" s="982"/>
      <c r="S716" s="980"/>
      <c r="T716" s="981" t="s">
        <v>632</v>
      </c>
      <c r="U716" s="983"/>
      <c r="V716" s="982"/>
      <c r="W716" s="980"/>
      <c r="X716" s="981" t="s">
        <v>632</v>
      </c>
      <c r="Y716" s="983"/>
      <c r="Z716" s="1412" t="str">
        <f>IFERROR(VLOOKUP(C716, [6]條件!$A:$L, 3, 0), "")</f>
        <v/>
      </c>
      <c r="AA716" s="984" t="str">
        <f>IF(OR(L716={"改紡","檢修","了機","清車","FINAL","停機","SAMPLE","TEST","絲開發"}), L716, IFERROR(IF(C716="", "", (SUM(J716, N716, R716, V716)/3 * AG716) * IF(AND(AF716="S", AS716="雙"), 0.5, 1)), ""))</f>
        <v>停機</v>
      </c>
      <c r="AB716" s="1413" t="str">
        <f t="shared" si="128"/>
        <v/>
      </c>
      <c r="AC716" s="984" t="str">
        <f>IF(OR(L716={"改紡","檢修","了機","清車","FINAL","停機","SAMPLE","TEST"}), "", IFERROR(IF(C716="", "", AVERAGE(L716:M716, P716:Q716, T716:U716, X716:Y716)/100), ""))</f>
        <v/>
      </c>
      <c r="AD716" s="984" t="str">
        <f t="shared" si="122"/>
        <v/>
      </c>
      <c r="AE716" s="984" t="str">
        <f t="shared" si="129"/>
        <v/>
      </c>
      <c r="AF716" s="985" t="str">
        <f t="shared" si="123"/>
        <v>M</v>
      </c>
      <c r="AG716" s="1414">
        <v>1</v>
      </c>
      <c r="AH716" s="1002" t="s">
        <v>640</v>
      </c>
      <c r="AI716" s="986" t="s">
        <v>640</v>
      </c>
      <c r="AJ716" s="986" t="s">
        <v>640</v>
      </c>
      <c r="AK716" s="1417" t="s">
        <v>640</v>
      </c>
      <c r="AL716" s="1415"/>
      <c r="AM716" s="1323"/>
      <c r="AN716" s="1323"/>
      <c r="AO716" s="1323"/>
      <c r="AP716" s="1323"/>
      <c r="AQ716" s="1323"/>
      <c r="AR716" s="987"/>
      <c r="AS716" s="978" t="str">
        <f t="shared" si="124"/>
        <v>單</v>
      </c>
      <c r="AT716" s="978" t="str">
        <f t="shared" si="125"/>
        <v>全</v>
      </c>
      <c r="AU716" s="978" t="str">
        <f t="shared" si="126"/>
        <v/>
      </c>
      <c r="AV716" s="978" t="str">
        <f t="shared" si="127"/>
        <v/>
      </c>
    </row>
    <row r="717" spans="1:48">
      <c r="A717" s="975">
        <f t="shared" si="121"/>
        <v>46160</v>
      </c>
      <c r="B717" s="976" t="s">
        <v>247</v>
      </c>
      <c r="C717" s="988" t="s">
        <v>16185</v>
      </c>
      <c r="D717" s="1410"/>
      <c r="E717" s="977" t="str">
        <f>IFERROR(VLOOKUP(C717, [6]條件!$A:$L, 5, 0), "")</f>
        <v/>
      </c>
      <c r="F717" s="978" t="str">
        <f>IFERROR(VLOOKUP(C717, [6]條件!$A:$L, 6, 0), "")</f>
        <v/>
      </c>
      <c r="G717" s="1411" t="str">
        <f>IFERROR(VLOOKUP(C717, [6]條件!$A:$L, 7, 0), "")</f>
        <v/>
      </c>
      <c r="H717" s="978" t="str">
        <f>IF(ISNA(VLOOKUP(C717,[6]條件!$A$1:$K$932,11,0)),"",(VLOOKUP(C717,[6]條件!$A$1:$K$932,11,0)))</f>
        <v/>
      </c>
      <c r="I717" s="979" t="str">
        <f>IF(ISNA(VLOOKUP(C717,[6]條件!$A$1:$L$932,12,0)),"",(VLOOKUP(C717,[6]條件!$A$1:$L$932,12,0)))</f>
        <v/>
      </c>
      <c r="J717" s="982"/>
      <c r="K717" s="980"/>
      <c r="L717" s="981" t="s">
        <v>632</v>
      </c>
      <c r="M717" s="983"/>
      <c r="N717" s="982"/>
      <c r="O717" s="980"/>
      <c r="P717" s="981" t="s">
        <v>632</v>
      </c>
      <c r="Q717" s="983"/>
      <c r="R717" s="982"/>
      <c r="S717" s="980"/>
      <c r="T717" s="981" t="s">
        <v>632</v>
      </c>
      <c r="U717" s="983"/>
      <c r="V717" s="982"/>
      <c r="W717" s="980"/>
      <c r="X717" s="981" t="s">
        <v>632</v>
      </c>
      <c r="Y717" s="983"/>
      <c r="Z717" s="1412" t="str">
        <f>IFERROR(VLOOKUP(C717, [6]條件!$A:$L, 3, 0), "")</f>
        <v/>
      </c>
      <c r="AA717" s="984" t="str">
        <f>IF(OR(L717={"改紡","檢修","了機","清車","FINAL","停機","SAMPLE","TEST","絲開發"}), L717, IFERROR(IF(C717="", "", (SUM(J717, N717, R717, V717)/3 * AG717) * IF(AND(AF717="S", AS717="雙"), 0.5, 1)), ""))</f>
        <v>停機</v>
      </c>
      <c r="AB717" s="1413" t="str">
        <f t="shared" si="128"/>
        <v/>
      </c>
      <c r="AC717" s="984" t="str">
        <f>IF(OR(L717={"改紡","檢修","了機","清車","FINAL","停機","SAMPLE","TEST"}), "", IFERROR(IF(C717="", "", AVERAGE(L717:M717, P717:Q717, T717:U717, X717:Y717)/100), ""))</f>
        <v/>
      </c>
      <c r="AD717" s="984" t="str">
        <f t="shared" si="122"/>
        <v/>
      </c>
      <c r="AE717" s="984" t="str">
        <f t="shared" si="129"/>
        <v/>
      </c>
      <c r="AF717" s="985" t="str">
        <f t="shared" si="123"/>
        <v>M</v>
      </c>
      <c r="AG717" s="1414">
        <v>1</v>
      </c>
      <c r="AH717" s="1002" t="s">
        <v>640</v>
      </c>
      <c r="AI717" s="986" t="s">
        <v>640</v>
      </c>
      <c r="AJ717" s="986" t="s">
        <v>640</v>
      </c>
      <c r="AK717" s="1417" t="s">
        <v>640</v>
      </c>
      <c r="AL717" s="1415"/>
      <c r="AM717" s="1323"/>
      <c r="AN717" s="1323"/>
      <c r="AO717" s="1323"/>
      <c r="AP717" s="1323"/>
      <c r="AQ717" s="1323"/>
      <c r="AR717" s="987"/>
      <c r="AS717" s="978" t="str">
        <f t="shared" si="124"/>
        <v>單</v>
      </c>
      <c r="AT717" s="978" t="str">
        <f t="shared" si="125"/>
        <v>全</v>
      </c>
      <c r="AU717" s="978" t="str">
        <f t="shared" si="126"/>
        <v/>
      </c>
      <c r="AV717" s="978" t="str">
        <f t="shared" si="127"/>
        <v/>
      </c>
    </row>
    <row r="718" spans="1:48">
      <c r="A718" s="975">
        <f t="shared" si="121"/>
        <v>46160</v>
      </c>
      <c r="B718" s="976" t="s">
        <v>248</v>
      </c>
      <c r="C718" s="988" t="s">
        <v>16185</v>
      </c>
      <c r="D718" s="1410"/>
      <c r="E718" s="977" t="str">
        <f>IFERROR(VLOOKUP(C718, [6]條件!$A:$L, 5, 0), "")</f>
        <v/>
      </c>
      <c r="F718" s="978" t="str">
        <f>IFERROR(VLOOKUP(C718, [6]條件!$A:$L, 6, 0), "")</f>
        <v/>
      </c>
      <c r="G718" s="1411" t="str">
        <f>IFERROR(VLOOKUP(C718, [6]條件!$A:$L, 7, 0), "")</f>
        <v/>
      </c>
      <c r="H718" s="978" t="str">
        <f>IF(ISNA(VLOOKUP(C718,[6]條件!$A$1:$K$932,11,0)),"",(VLOOKUP(C718,[6]條件!$A$1:$K$932,11,0)))</f>
        <v/>
      </c>
      <c r="I718" s="979" t="str">
        <f>IF(ISNA(VLOOKUP(C718,[6]條件!$A$1:$L$932,12,0)),"",(VLOOKUP(C718,[6]條件!$A$1:$L$932,12,0)))</f>
        <v/>
      </c>
      <c r="J718" s="982"/>
      <c r="K718" s="980"/>
      <c r="L718" s="981" t="s">
        <v>632</v>
      </c>
      <c r="M718" s="983"/>
      <c r="N718" s="982"/>
      <c r="O718" s="980"/>
      <c r="P718" s="981" t="s">
        <v>632</v>
      </c>
      <c r="Q718" s="983"/>
      <c r="R718" s="982"/>
      <c r="S718" s="980"/>
      <c r="T718" s="981" t="s">
        <v>632</v>
      </c>
      <c r="U718" s="983"/>
      <c r="V718" s="982"/>
      <c r="W718" s="980"/>
      <c r="X718" s="981" t="s">
        <v>632</v>
      </c>
      <c r="Y718" s="983"/>
      <c r="Z718" s="1412" t="str">
        <f>IFERROR(VLOOKUP(C718, [6]條件!$A:$L, 3, 0), "")</f>
        <v/>
      </c>
      <c r="AA718" s="984" t="str">
        <f>IF(OR(L718={"改紡","檢修","了機","清車","FINAL","停機","SAMPLE","TEST","絲開發"}), L718, IFERROR(IF(C718="", "", (SUM(J718, N718, R718, V718)/3 * AG718) * IF(AND(AF718="S", AS718="雙"), 0.5, 1)), ""))</f>
        <v>停機</v>
      </c>
      <c r="AB718" s="1413" t="str">
        <f t="shared" si="128"/>
        <v/>
      </c>
      <c r="AC718" s="984" t="str">
        <f>IF(OR(L718={"改紡","檢修","了機","清車","FINAL","停機","SAMPLE","TEST"}), "", IFERROR(IF(C718="", "", AVERAGE(L718:M718, P718:Q718, T718:U718, X718:Y718)/100), ""))</f>
        <v/>
      </c>
      <c r="AD718" s="984" t="str">
        <f t="shared" si="122"/>
        <v/>
      </c>
      <c r="AE718" s="984" t="str">
        <f t="shared" si="129"/>
        <v/>
      </c>
      <c r="AF718" s="985" t="str">
        <f t="shared" si="123"/>
        <v>M</v>
      </c>
      <c r="AG718" s="1414">
        <v>1</v>
      </c>
      <c r="AH718" s="1002" t="s">
        <v>640</v>
      </c>
      <c r="AI718" s="986" t="s">
        <v>640</v>
      </c>
      <c r="AJ718" s="986" t="s">
        <v>640</v>
      </c>
      <c r="AK718" s="1417" t="s">
        <v>640</v>
      </c>
      <c r="AL718" s="1415"/>
      <c r="AM718" s="1323"/>
      <c r="AN718" s="1323"/>
      <c r="AO718" s="1323"/>
      <c r="AP718" s="1323"/>
      <c r="AQ718" s="1323"/>
      <c r="AR718" s="987"/>
      <c r="AS718" s="978" t="str">
        <f t="shared" si="124"/>
        <v>單</v>
      </c>
      <c r="AT718" s="978" t="str">
        <f t="shared" si="125"/>
        <v>全</v>
      </c>
      <c r="AU718" s="978" t="str">
        <f t="shared" si="126"/>
        <v/>
      </c>
      <c r="AV718" s="978" t="str">
        <f t="shared" si="127"/>
        <v/>
      </c>
    </row>
    <row r="719" spans="1:48" ht="17.25" thickBot="1">
      <c r="A719" s="989">
        <f t="shared" si="121"/>
        <v>46160</v>
      </c>
      <c r="B719" s="990" t="s">
        <v>249</v>
      </c>
      <c r="C719" s="991" t="s">
        <v>16185</v>
      </c>
      <c r="D719" s="1425"/>
      <c r="E719" s="1169" t="str">
        <f>IFERROR(VLOOKUP(C719, [6]條件!$A:$L, 5, 0), "")</f>
        <v/>
      </c>
      <c r="F719" s="992" t="str">
        <f>IFERROR(VLOOKUP(C719, [6]條件!$A:$L, 6, 0), "")</f>
        <v/>
      </c>
      <c r="G719" s="1426" t="str">
        <f>IFERROR(VLOOKUP(C719, [6]條件!$A:$L, 7, 0), "")</f>
        <v/>
      </c>
      <c r="H719" s="992" t="str">
        <f>IF(ISNA(VLOOKUP(C719,[6]條件!$A$1:$K$932,11,0)),"",(VLOOKUP(C719,[6]條件!$A$1:$K$932,11,0)))</f>
        <v/>
      </c>
      <c r="I719" s="1170" t="str">
        <f>IF(ISNA(VLOOKUP(C719,[6]條件!$A$1:$L$932,12,0)),"",(VLOOKUP(C719,[6]條件!$A$1:$L$932,12,0)))</f>
        <v/>
      </c>
      <c r="J719" s="995"/>
      <c r="K719" s="993"/>
      <c r="L719" s="994" t="s">
        <v>632</v>
      </c>
      <c r="M719" s="996"/>
      <c r="N719" s="995"/>
      <c r="O719" s="993"/>
      <c r="P719" s="994" t="s">
        <v>632</v>
      </c>
      <c r="Q719" s="996"/>
      <c r="R719" s="995"/>
      <c r="S719" s="993"/>
      <c r="T719" s="994" t="s">
        <v>632</v>
      </c>
      <c r="U719" s="996"/>
      <c r="V719" s="995"/>
      <c r="W719" s="993"/>
      <c r="X719" s="994" t="s">
        <v>632</v>
      </c>
      <c r="Y719" s="996"/>
      <c r="Z719" s="1427" t="str">
        <f>IFERROR(VLOOKUP(C719, [6]條件!$A:$L, 3, 0), "")</f>
        <v/>
      </c>
      <c r="AA719" s="997" t="str">
        <f>IF(OR(L719={"改紡","檢修","了機","清車","FINAL","停機","SAMPLE","TEST","絲開發"}), L719, IFERROR(IF(C719="", "", (SUM(J719, N719, R719, V719)/3 * AG719) * IF(AND(AF719="S", AS719="雙"), 0.5, 1)), ""))</f>
        <v>停機</v>
      </c>
      <c r="AB719" s="1428" t="str">
        <f t="shared" si="128"/>
        <v/>
      </c>
      <c r="AC719" s="997" t="str">
        <f>IF(OR(L719={"改紡","檢修","了機","清車","FINAL","停機","SAMPLE","TEST"}), "", IFERROR(IF(C719="", "", AVERAGE(L719:M719, P719:Q719, T719:U719, X719:Y719)/100), ""))</f>
        <v/>
      </c>
      <c r="AD719" s="997" t="str">
        <f t="shared" si="122"/>
        <v/>
      </c>
      <c r="AE719" s="997" t="str">
        <f t="shared" si="129"/>
        <v/>
      </c>
      <c r="AF719" s="998" t="str">
        <f t="shared" si="123"/>
        <v>M</v>
      </c>
      <c r="AG719" s="1429">
        <v>1</v>
      </c>
      <c r="AH719" s="1171" t="s">
        <v>640</v>
      </c>
      <c r="AI719" s="999" t="s">
        <v>640</v>
      </c>
      <c r="AJ719" s="999" t="s">
        <v>640</v>
      </c>
      <c r="AK719" s="1430" t="s">
        <v>640</v>
      </c>
      <c r="AL719" s="1431"/>
      <c r="AM719" s="1325"/>
      <c r="AN719" s="1325"/>
      <c r="AO719" s="1325"/>
      <c r="AP719" s="1325"/>
      <c r="AQ719" s="1325"/>
      <c r="AR719" s="1000"/>
      <c r="AS719" s="992" t="str">
        <f t="shared" si="124"/>
        <v>單</v>
      </c>
      <c r="AT719" s="992" t="str">
        <f t="shared" si="125"/>
        <v>全</v>
      </c>
      <c r="AU719" s="992" t="str">
        <f t="shared" si="126"/>
        <v/>
      </c>
      <c r="AV719" s="992" t="str">
        <f t="shared" si="127"/>
        <v/>
      </c>
    </row>
    <row r="720" spans="1:48">
      <c r="A720" s="962">
        <v>46161</v>
      </c>
      <c r="B720" s="963" t="s">
        <v>212</v>
      </c>
      <c r="C720" s="963" t="s">
        <v>632</v>
      </c>
      <c r="D720" s="1403"/>
      <c r="E720" s="964" t="str">
        <f>IFERROR(VLOOKUP(C720, [6]條件!$A:$L, 5, 0), "")</f>
        <v/>
      </c>
      <c r="F720" s="965" t="str">
        <f>IFERROR(VLOOKUP(C720, [6]條件!$A:$L, 6, 0), "")</f>
        <v/>
      </c>
      <c r="G720" s="1404" t="str">
        <f>IFERROR(VLOOKUP(C720, [6]條件!$A:$L, 7, 0), "")</f>
        <v/>
      </c>
      <c r="H720" s="965" t="str">
        <f>IF(ISNA(VLOOKUP(C720,[6]條件!$A$1:$K$932,11,0)),"",(VLOOKUP(C720,[6]條件!$A$1:$K$932,11,0)))</f>
        <v/>
      </c>
      <c r="I720" s="966" t="str">
        <f>IF(ISNA(VLOOKUP(C720,[6]條件!$A$1:$L$932,12,0)),"",(VLOOKUP(C720,[6]條件!$A$1:$L$932,12,0)))</f>
        <v/>
      </c>
      <c r="J720" s="969"/>
      <c r="K720" s="967"/>
      <c r="L720" s="981" t="s">
        <v>632</v>
      </c>
      <c r="M720" s="970"/>
      <c r="N720" s="969"/>
      <c r="O720" s="967"/>
      <c r="P720" s="981" t="s">
        <v>632</v>
      </c>
      <c r="Q720" s="970"/>
      <c r="R720" s="969"/>
      <c r="S720" s="967"/>
      <c r="T720" s="981" t="s">
        <v>632</v>
      </c>
      <c r="U720" s="970"/>
      <c r="V720" s="969"/>
      <c r="W720" s="967"/>
      <c r="X720" s="981" t="s">
        <v>632</v>
      </c>
      <c r="Y720" s="970"/>
      <c r="Z720" s="1405" t="str">
        <f>IFERROR(VLOOKUP(C720, [6]條件!$A:$L, 3, 0), "")</f>
        <v/>
      </c>
      <c r="AA720" s="971" t="str">
        <f>IF(OR(L720={"改紡","檢修","了機","清車","FINAL","停機","SAMPLE","TEST","絲開發"}), L720, IFERROR(IF(C720="", "", (SUM(J720, N720, R720, V720)/3 * AG720) * IF(AND(AF720="S", AS720="雙"), 0.5, 1)), ""))</f>
        <v>停機</v>
      </c>
      <c r="AB720" s="1406" t="str">
        <f t="shared" si="128"/>
        <v/>
      </c>
      <c r="AC720" s="971" t="str">
        <f>IF(OR(L720={"改紡","檢修","了機","清車","FINAL","停機","SAMPLE","TEST"}), "", IFERROR(IF(C720="", "", AVERAGE(L720:M720, P720:Q720, T720:U720, X720:Y720)/100), ""))</f>
        <v/>
      </c>
      <c r="AD720" s="971" t="str">
        <f t="shared" si="122"/>
        <v/>
      </c>
      <c r="AE720" s="971" t="str">
        <f t="shared" si="129"/>
        <v/>
      </c>
      <c r="AF720" s="972" t="str">
        <f t="shared" si="123"/>
        <v>A</v>
      </c>
      <c r="AG720" s="1407">
        <v>1</v>
      </c>
      <c r="AH720" s="1001" t="s">
        <v>640</v>
      </c>
      <c r="AI720" s="1438" t="s">
        <v>640</v>
      </c>
      <c r="AJ720" s="1441" t="s">
        <v>640</v>
      </c>
      <c r="AK720" s="1441" t="s">
        <v>640</v>
      </c>
      <c r="AL720" s="1409"/>
      <c r="AM720" s="1322"/>
      <c r="AN720" s="1322"/>
      <c r="AO720" s="1322"/>
      <c r="AP720" s="1322"/>
      <c r="AQ720" s="1322"/>
      <c r="AR720" s="973"/>
      <c r="AS720" s="965" t="str">
        <f t="shared" si="124"/>
        <v>單</v>
      </c>
      <c r="AT720" s="965" t="str">
        <f t="shared" si="125"/>
        <v>全</v>
      </c>
      <c r="AU720" s="965" t="str">
        <f t="shared" si="126"/>
        <v/>
      </c>
      <c r="AV720" s="965" t="str">
        <f t="shared" si="127"/>
        <v/>
      </c>
    </row>
    <row r="721" spans="1:48">
      <c r="A721" s="975">
        <f t="shared" ref="A721:A758" si="130">A720</f>
        <v>46161</v>
      </c>
      <c r="B721" s="976" t="s">
        <v>214</v>
      </c>
      <c r="C721" s="976" t="s">
        <v>16708</v>
      </c>
      <c r="D721" s="1410"/>
      <c r="E721" s="977" t="str">
        <f>IFERROR(VLOOKUP(C721, [6]條件!$A:$L, 5, 0), "")</f>
        <v>75/36SDR</v>
      </c>
      <c r="F721" s="978" t="str">
        <f>IFERROR(VLOOKUP(C721, [6]條件!$A:$L, 6, 0), "")</f>
        <v>FP81386R</v>
      </c>
      <c r="G721" s="1411">
        <f>IFERROR(VLOOKUP(C721, [6]條件!$A:$L, 7, 0), "")</f>
        <v>780</v>
      </c>
      <c r="H721" s="978" t="str">
        <f>IF(ISNA(VLOOKUP(C721,[6]條件!$A$1:$K$932,11,0)),"",(VLOOKUP(C721,[6]條件!$A$1:$K$932,11,0)))</f>
        <v>綠底白點</v>
      </c>
      <c r="I721" s="979">
        <f>IF(ISNA(VLOOKUP(C721,[6]條件!$A$1:$L$932,12,0)),"",(VLOOKUP(C721,[6]條件!$A$1:$L$932,12,0)))</f>
        <v>5</v>
      </c>
      <c r="J721" s="982">
        <v>26</v>
      </c>
      <c r="K721" s="980">
        <v>0</v>
      </c>
      <c r="L721" s="981">
        <v>9409</v>
      </c>
      <c r="M721" s="983">
        <v>9419</v>
      </c>
      <c r="N721" s="982"/>
      <c r="O721" s="980"/>
      <c r="P721" s="981" t="s">
        <v>16002</v>
      </c>
      <c r="Q721" s="983"/>
      <c r="R721" s="982"/>
      <c r="S721" s="980"/>
      <c r="T721" s="981" t="s">
        <v>16002</v>
      </c>
      <c r="U721" s="983"/>
      <c r="V721" s="982"/>
      <c r="W721" s="980"/>
      <c r="X721" s="981" t="s">
        <v>16002</v>
      </c>
      <c r="Y721" s="983"/>
      <c r="Z721" s="1412">
        <f>IFERROR(VLOOKUP(C721, [6]條件!$A:$L, 3, 0), "")</f>
        <v>1.7777777777777777</v>
      </c>
      <c r="AA721" s="984">
        <f>IF(OR(L721={"改紡","檢修","了機","清車","FINAL","停機","SAMPLE","TEST","絲開發"}), L721, IFERROR(IF(C721="", "", (SUM(J721, N721, R721, V721)/3 * AG721) * IF(AND(AF721="S", AS721="雙"), 0.5, 1)), ""))</f>
        <v>8.6666666666666661</v>
      </c>
      <c r="AB721" s="1413">
        <f t="shared" si="128"/>
        <v>1</v>
      </c>
      <c r="AC721" s="984">
        <f>IF(OR(L721={"改紡","檢修","了機","清車","FINAL","停機","SAMPLE","TEST"}), "", IFERROR(IF(C721="", "", AVERAGE(L721:M721, P721:Q721, T721:U721, X721:Y721)/100), ""))</f>
        <v>94.14</v>
      </c>
      <c r="AD721" s="984">
        <f t="shared" si="122"/>
        <v>1.0833333333333333</v>
      </c>
      <c r="AE721" s="984">
        <f t="shared" si="129"/>
        <v>1.0833333333333333</v>
      </c>
      <c r="AF721" s="985" t="str">
        <f t="shared" si="123"/>
        <v>A</v>
      </c>
      <c r="AG721" s="1414">
        <v>1</v>
      </c>
      <c r="AH721" s="1002" t="s">
        <v>631</v>
      </c>
      <c r="AI721" s="986" t="s">
        <v>631</v>
      </c>
      <c r="AJ721" s="986" t="s">
        <v>15994</v>
      </c>
      <c r="AK721" s="986" t="s">
        <v>15994</v>
      </c>
      <c r="AL721" s="1415">
        <v>50</v>
      </c>
      <c r="AM721" s="1323">
        <v>46155</v>
      </c>
      <c r="AN721" s="1323">
        <v>46156</v>
      </c>
      <c r="AO721" s="1323">
        <v>46157</v>
      </c>
      <c r="AP721" s="1323"/>
      <c r="AQ721" s="1323"/>
      <c r="AR721" s="987"/>
      <c r="AS721" s="978" t="str">
        <f t="shared" si="124"/>
        <v>單</v>
      </c>
      <c r="AT721" s="978" t="str">
        <f t="shared" si="125"/>
        <v>全</v>
      </c>
      <c r="AU721" s="978">
        <f t="shared" si="126"/>
        <v>75</v>
      </c>
      <c r="AV721" s="978">
        <f t="shared" si="127"/>
        <v>1.903284864</v>
      </c>
    </row>
    <row r="722" spans="1:48">
      <c r="A722" s="975">
        <f t="shared" si="130"/>
        <v>46161</v>
      </c>
      <c r="B722" s="976" t="s">
        <v>215</v>
      </c>
      <c r="C722" s="976" t="s">
        <v>16746</v>
      </c>
      <c r="D722" s="1410" t="s">
        <v>633</v>
      </c>
      <c r="E722" s="977" t="str">
        <f>IFERROR(VLOOKUP(C722, [6]條件!$A:$L, 5, 0), "")</f>
        <v>75/24/2SDr</v>
      </c>
      <c r="F722" s="978" t="str">
        <f>IFERROR(VLOOKUP(C722, [6]條件!$A:$L, 6, 0), "")</f>
        <v>FP81391R×2</v>
      </c>
      <c r="G722" s="1411">
        <f>IFERROR(VLOOKUP(C722, [6]條件!$A:$L, 7, 0), "")</f>
        <v>700</v>
      </c>
      <c r="H722" s="978" t="str">
        <f>IF(ISNA(VLOOKUP(C722,[6]條件!$A$1:$K$932,11,0)),"",(VLOOKUP(C722,[6]條件!$A$1:$K$932,11,0)))</f>
        <v>紅底白點</v>
      </c>
      <c r="I722" s="979">
        <f>IF(ISNA(VLOOKUP(C722,[6]條件!$A$1:$L$932,12,0)),"",(VLOOKUP(C722,[6]條件!$A$1:$L$932,12,0)))</f>
        <v>5</v>
      </c>
      <c r="J722" s="982">
        <v>26</v>
      </c>
      <c r="K722" s="980">
        <v>0</v>
      </c>
      <c r="L722" s="981"/>
      <c r="M722" s="983">
        <v>7509</v>
      </c>
      <c r="N722" s="982"/>
      <c r="O722" s="980"/>
      <c r="P722" s="981" t="s">
        <v>632</v>
      </c>
      <c r="Q722" s="983" t="s">
        <v>16002</v>
      </c>
      <c r="R722" s="982"/>
      <c r="S722" s="980"/>
      <c r="T722" s="981" t="s">
        <v>632</v>
      </c>
      <c r="U722" s="983" t="s">
        <v>16002</v>
      </c>
      <c r="V722" s="982"/>
      <c r="W722" s="980"/>
      <c r="X722" s="981" t="s">
        <v>632</v>
      </c>
      <c r="Y722" s="983" t="s">
        <v>16002</v>
      </c>
      <c r="Z722" s="1412">
        <f>IFERROR(VLOOKUP(C722, [6]條件!$A:$L, 3, 0), "")</f>
        <v>3.2653061224489797</v>
      </c>
      <c r="AA722" s="984">
        <f>IF(OR(L722={"改紡","檢修","了機","清車","FINAL","停機","SAMPLE","TEST","絲開發"}), L722, IFERROR(IF(C722="", "", (SUM(J722, N722, R722, V722)/3 * AG722) * IF(AND(AF722="S", AS722="雙"), 0.5, 1)), ""))</f>
        <v>8.6666666666666661</v>
      </c>
      <c r="AB722" s="1413">
        <f t="shared" si="128"/>
        <v>1</v>
      </c>
      <c r="AC722" s="984">
        <f>IF(OR(L722={"改紡","檢修","了機","清車","FINAL","停機","SAMPLE","TEST"}), "", IFERROR(IF(C722="", "", AVERAGE(L722:M722, P722:Q722, T722:U722, X722:Y722)/100), ""))</f>
        <v>75.09</v>
      </c>
      <c r="AD722" s="984">
        <f t="shared" si="122"/>
        <v>1.0833333333333333</v>
      </c>
      <c r="AE722" s="984">
        <f t="shared" si="129"/>
        <v>1.0833333333333333</v>
      </c>
      <c r="AF722" s="985" t="str">
        <f t="shared" si="123"/>
        <v>A</v>
      </c>
      <c r="AG722" s="1414">
        <v>1</v>
      </c>
      <c r="AH722" s="1002" t="s">
        <v>631</v>
      </c>
      <c r="AI722" s="986" t="s">
        <v>631</v>
      </c>
      <c r="AJ722" s="986" t="s">
        <v>15997</v>
      </c>
      <c r="AK722" s="986" t="s">
        <v>15997</v>
      </c>
      <c r="AL722" s="1415">
        <v>53</v>
      </c>
      <c r="AM722" s="1323">
        <v>46120</v>
      </c>
      <c r="AN722" s="1323">
        <v>46121</v>
      </c>
      <c r="AO722" s="1323"/>
      <c r="AP722" s="1323"/>
      <c r="AQ722" s="1323"/>
      <c r="AR722" s="987"/>
      <c r="AS722" s="978" t="str">
        <f t="shared" si="124"/>
        <v>雙</v>
      </c>
      <c r="AT722" s="978" t="str">
        <f t="shared" si="125"/>
        <v>半</v>
      </c>
      <c r="AU722" s="978">
        <f t="shared" si="126"/>
        <v>75</v>
      </c>
      <c r="AV722" s="978">
        <f t="shared" si="127"/>
        <v>0.68121648000000001</v>
      </c>
    </row>
    <row r="723" spans="1:48">
      <c r="A723" s="975">
        <f t="shared" si="130"/>
        <v>46161</v>
      </c>
      <c r="B723" s="976" t="s">
        <v>216</v>
      </c>
      <c r="C723" s="976" t="s">
        <v>632</v>
      </c>
      <c r="D723" s="1410"/>
      <c r="E723" s="977" t="str">
        <f>IFERROR(VLOOKUP(C723, [6]條件!$A:$L, 5, 0), "")</f>
        <v/>
      </c>
      <c r="F723" s="978" t="str">
        <f>IFERROR(VLOOKUP(C723, [6]條件!$A:$L, 6, 0), "")</f>
        <v/>
      </c>
      <c r="G723" s="1411" t="str">
        <f>IFERROR(VLOOKUP(C723, [6]條件!$A:$L, 7, 0), "")</f>
        <v/>
      </c>
      <c r="H723" s="978" t="str">
        <f>IF(ISNA(VLOOKUP(C723,[6]條件!$A$1:$K$932,11,0)),"",(VLOOKUP(C723,[6]條件!$A$1:$K$932,11,0)))</f>
        <v/>
      </c>
      <c r="I723" s="979" t="str">
        <f>IF(ISNA(VLOOKUP(C723,[6]條件!$A$1:$L$932,12,0)),"",(VLOOKUP(C723,[6]條件!$A$1:$L$932,12,0)))</f>
        <v/>
      </c>
      <c r="J723" s="982"/>
      <c r="K723" s="980"/>
      <c r="L723" s="981" t="s">
        <v>632</v>
      </c>
      <c r="M723" s="983"/>
      <c r="N723" s="982"/>
      <c r="O723" s="980"/>
      <c r="P723" s="981" t="s">
        <v>632</v>
      </c>
      <c r="Q723" s="983"/>
      <c r="R723" s="982"/>
      <c r="S723" s="980"/>
      <c r="T723" s="981" t="s">
        <v>632</v>
      </c>
      <c r="U723" s="983"/>
      <c r="V723" s="982"/>
      <c r="W723" s="980"/>
      <c r="X723" s="981" t="s">
        <v>632</v>
      </c>
      <c r="Y723" s="983"/>
      <c r="Z723" s="1412" t="str">
        <f>IFERROR(VLOOKUP(C723, [6]條件!$A:$L, 3, 0), "")</f>
        <v/>
      </c>
      <c r="AA723" s="984" t="str">
        <f>IF(OR(L723={"改紡","檢修","了機","清車","FINAL","停機","SAMPLE","TEST","絲開發"}), L723, IFERROR(IF(C723="", "", (SUM(J723, N723, R723, V723)/3 * AG723) * IF(AND(AF723="S", AS723="雙"), 0.5, 1)), ""))</f>
        <v>停機</v>
      </c>
      <c r="AB723" s="1413" t="str">
        <f t="shared" si="128"/>
        <v/>
      </c>
      <c r="AC723" s="984" t="str">
        <f>IF(OR(L723={"改紡","檢修","了機","清車","FINAL","停機","SAMPLE","TEST"}), "", IFERROR(IF(C723="", "", AVERAGE(L723:M723, P723:Q723, T723:U723, X723:Y723)/100), ""))</f>
        <v/>
      </c>
      <c r="AD723" s="984" t="str">
        <f t="shared" si="122"/>
        <v/>
      </c>
      <c r="AE723" s="984" t="str">
        <f t="shared" si="129"/>
        <v/>
      </c>
      <c r="AF723" s="985" t="str">
        <f t="shared" si="123"/>
        <v>A</v>
      </c>
      <c r="AG723" s="1414">
        <v>2</v>
      </c>
      <c r="AH723" s="1002" t="s">
        <v>629</v>
      </c>
      <c r="AI723" s="986" t="s">
        <v>629</v>
      </c>
      <c r="AJ723" s="986" t="s">
        <v>16011</v>
      </c>
      <c r="AK723" s="986" t="s">
        <v>16011</v>
      </c>
      <c r="AL723" s="1415"/>
      <c r="AM723" s="1323"/>
      <c r="AN723" s="1323"/>
      <c r="AO723" s="1323"/>
      <c r="AP723" s="1323"/>
      <c r="AQ723" s="1323"/>
      <c r="AR723" s="987"/>
      <c r="AS723" s="978" t="str">
        <f t="shared" si="124"/>
        <v>單</v>
      </c>
      <c r="AT723" s="978" t="str">
        <f t="shared" si="125"/>
        <v>半</v>
      </c>
      <c r="AU723" s="978" t="str">
        <f t="shared" si="126"/>
        <v/>
      </c>
      <c r="AV723" s="978" t="str">
        <f t="shared" si="127"/>
        <v/>
      </c>
    </row>
    <row r="724" spans="1:48">
      <c r="A724" s="975">
        <f t="shared" si="130"/>
        <v>46161</v>
      </c>
      <c r="B724" s="976" t="s">
        <v>217</v>
      </c>
      <c r="C724" s="976" t="s">
        <v>16197</v>
      </c>
      <c r="D724" s="1410"/>
      <c r="E724" s="977" t="str">
        <f>IFERROR(VLOOKUP(C724, [6]條件!$A:$L, 5, 0), "")</f>
        <v>75/36HC</v>
      </c>
      <c r="F724" s="978" t="str">
        <f>IFERROR(VLOOKUP(C724, [6]條件!$A:$L, 6, 0), "")</f>
        <v>FP81857R</v>
      </c>
      <c r="G724" s="1411">
        <f>IFERROR(VLOOKUP(C724, [6]條件!$A:$L, 7, 0), "")</f>
        <v>600</v>
      </c>
      <c r="H724" s="978" t="str">
        <f>IF(ISNA(VLOOKUP(C724,[6]條件!$A$1:$K$932,11,0)),"",(VLOOKUP(C724,[6]條件!$A$1:$K$932,11,0)))</f>
        <v>白底綠方塊</v>
      </c>
      <c r="I724" s="979">
        <f>IF(ISNA(VLOOKUP(C724,[6]條件!$A$1:$L$932,12,0)),"",(VLOOKUP(C724,[6]條件!$A$1:$L$932,12,0)))</f>
        <v>4</v>
      </c>
      <c r="J724" s="982">
        <v>22</v>
      </c>
      <c r="K724" s="980">
        <v>0</v>
      </c>
      <c r="L724" s="981">
        <v>8453</v>
      </c>
      <c r="M724" s="983">
        <v>9244</v>
      </c>
      <c r="N724" s="982"/>
      <c r="O724" s="980"/>
      <c r="P724" s="981" t="s">
        <v>16002</v>
      </c>
      <c r="Q724" s="983"/>
      <c r="R724" s="982"/>
      <c r="S724" s="980"/>
      <c r="T724" s="981" t="s">
        <v>16002</v>
      </c>
      <c r="U724" s="983"/>
      <c r="V724" s="982"/>
      <c r="W724" s="980"/>
      <c r="X724" s="981" t="s">
        <v>16002</v>
      </c>
      <c r="Y724" s="983"/>
      <c r="Z724" s="1412">
        <f>IFERROR(VLOOKUP(C724, [6]條件!$A:$L, 3, 0), "")</f>
        <v>1.7496962332928312</v>
      </c>
      <c r="AA724" s="984">
        <f>IF(OR(L724={"改紡","檢修","了機","清車","FINAL","停機","SAMPLE","TEST","絲開發"}), L724, IFERROR(IF(C724="", "", (SUM(J724, N724, R724, V724)/3 * AG724) * IF(AND(AF724="S", AS724="雙"), 0.5, 1)), ""))</f>
        <v>7.333333333333333</v>
      </c>
      <c r="AB724" s="1413">
        <f t="shared" si="128"/>
        <v>1</v>
      </c>
      <c r="AC724" s="984">
        <f>IF(OR(L724={"改紡","檢修","了機","清車","FINAL","停機","SAMPLE","TEST"}), "", IFERROR(IF(C724="", "", AVERAGE(L724:M724, P724:Q724, T724:U724, X724:Y724)/100), ""))</f>
        <v>88.484999999999999</v>
      </c>
      <c r="AD724" s="984">
        <f t="shared" si="122"/>
        <v>0.91666666666666663</v>
      </c>
      <c r="AE724" s="984">
        <f t="shared" si="129"/>
        <v>0.91666666666666663</v>
      </c>
      <c r="AF724" s="985" t="str">
        <f t="shared" si="123"/>
        <v>A</v>
      </c>
      <c r="AG724" s="1414">
        <v>1</v>
      </c>
      <c r="AH724" s="1002" t="s">
        <v>629</v>
      </c>
      <c r="AI724" s="986" t="s">
        <v>629</v>
      </c>
      <c r="AJ724" s="986" t="s">
        <v>15997</v>
      </c>
      <c r="AK724" s="986" t="s">
        <v>15997</v>
      </c>
      <c r="AL724" s="1415">
        <v>54</v>
      </c>
      <c r="AM724" s="1323">
        <v>45935</v>
      </c>
      <c r="AN724" s="1323">
        <v>45936</v>
      </c>
      <c r="AO724" s="1323">
        <v>45937</v>
      </c>
      <c r="AP724" s="1323">
        <v>45943</v>
      </c>
      <c r="AQ724" s="1323">
        <v>45944</v>
      </c>
      <c r="AR724" s="987"/>
      <c r="AS724" s="978" t="str">
        <f t="shared" si="124"/>
        <v>單</v>
      </c>
      <c r="AT724" s="978" t="str">
        <f t="shared" si="125"/>
        <v>全</v>
      </c>
      <c r="AU724" s="978">
        <f t="shared" si="126"/>
        <v>75</v>
      </c>
      <c r="AV724" s="978">
        <f t="shared" si="127"/>
        <v>1.37611872</v>
      </c>
    </row>
    <row r="725" spans="1:48">
      <c r="A725" s="975">
        <f t="shared" si="130"/>
        <v>46161</v>
      </c>
      <c r="B725" s="976" t="s">
        <v>218</v>
      </c>
      <c r="C725" s="976" t="s">
        <v>632</v>
      </c>
      <c r="D725" s="1410"/>
      <c r="E725" s="977" t="str">
        <f>IFERROR(VLOOKUP(C725, [6]條件!$A:$L, 5, 0), "")</f>
        <v/>
      </c>
      <c r="F725" s="978" t="str">
        <f>IFERROR(VLOOKUP(C725, [6]條件!$A:$L, 6, 0), "")</f>
        <v/>
      </c>
      <c r="G725" s="1411" t="str">
        <f>IFERROR(VLOOKUP(C725, [6]條件!$A:$L, 7, 0), "")</f>
        <v/>
      </c>
      <c r="H725" s="978" t="str">
        <f>IF(ISNA(VLOOKUP(C725,[6]條件!$A$1:$K$932,11,0)),"",(VLOOKUP(C725,[6]條件!$A$1:$K$932,11,0)))</f>
        <v/>
      </c>
      <c r="I725" s="979" t="str">
        <f>IF(ISNA(VLOOKUP(C725,[6]條件!$A$1:$L$932,12,0)),"",(VLOOKUP(C725,[6]條件!$A$1:$L$932,12,0)))</f>
        <v/>
      </c>
      <c r="J725" s="982"/>
      <c r="K725" s="980"/>
      <c r="L725" s="981" t="s">
        <v>632</v>
      </c>
      <c r="M725" s="983"/>
      <c r="N725" s="982"/>
      <c r="O725" s="980"/>
      <c r="P725" s="981" t="s">
        <v>632</v>
      </c>
      <c r="Q725" s="983"/>
      <c r="R725" s="982"/>
      <c r="S725" s="980"/>
      <c r="T725" s="981" t="s">
        <v>632</v>
      </c>
      <c r="U725" s="983"/>
      <c r="V725" s="982"/>
      <c r="W725" s="980"/>
      <c r="X725" s="981" t="s">
        <v>632</v>
      </c>
      <c r="Y725" s="983"/>
      <c r="Z725" s="1412" t="str">
        <f>IFERROR(VLOOKUP(C725, [6]條件!$A:$L, 3, 0), "")</f>
        <v/>
      </c>
      <c r="AA725" s="984" t="str">
        <f>IF(OR(L725={"改紡","檢修","了機","清車","FINAL","停機","SAMPLE","TEST","絲開發"}), L725, IFERROR(IF(C725="", "", (SUM(J725, N725, R725, V725)/3 * AG725) * IF(AND(AF725="S", AS725="雙"), 0.5, 1)), ""))</f>
        <v>停機</v>
      </c>
      <c r="AB725" s="1413" t="str">
        <f t="shared" si="128"/>
        <v/>
      </c>
      <c r="AC725" s="984" t="str">
        <f>IF(OR(L725={"改紡","檢修","了機","清車","FINAL","停機","SAMPLE","TEST"}), "", IFERROR(IF(C725="", "", AVERAGE(L725:M725, P725:Q725, T725:U725, X725:Y725)/100), ""))</f>
        <v/>
      </c>
      <c r="AD725" s="984" t="str">
        <f t="shared" si="122"/>
        <v/>
      </c>
      <c r="AE725" s="984" t="str">
        <f t="shared" si="129"/>
        <v/>
      </c>
      <c r="AF725" s="985" t="str">
        <f t="shared" si="123"/>
        <v>A</v>
      </c>
      <c r="AG725" s="1414">
        <v>1</v>
      </c>
      <c r="AH725" s="1002" t="s">
        <v>640</v>
      </c>
      <c r="AI725" s="986" t="s">
        <v>640</v>
      </c>
      <c r="AJ725" s="986" t="s">
        <v>640</v>
      </c>
      <c r="AK725" s="986" t="s">
        <v>640</v>
      </c>
      <c r="AL725" s="1415"/>
      <c r="AM725" s="1323"/>
      <c r="AN725" s="1323"/>
      <c r="AO725" s="1323"/>
      <c r="AP725" s="1323"/>
      <c r="AQ725" s="1323"/>
      <c r="AR725" s="987"/>
      <c r="AS725" s="978" t="str">
        <f t="shared" si="124"/>
        <v>單</v>
      </c>
      <c r="AT725" s="978" t="str">
        <f t="shared" si="125"/>
        <v>全</v>
      </c>
      <c r="AU725" s="978" t="str">
        <f t="shared" si="126"/>
        <v/>
      </c>
      <c r="AV725" s="978" t="str">
        <f t="shared" si="127"/>
        <v/>
      </c>
    </row>
    <row r="726" spans="1:48">
      <c r="A726" s="975">
        <f t="shared" si="130"/>
        <v>46161</v>
      </c>
      <c r="B726" s="976" t="s">
        <v>219</v>
      </c>
      <c r="C726" s="976" t="s">
        <v>16745</v>
      </c>
      <c r="D726" s="1410" t="s">
        <v>16748</v>
      </c>
      <c r="E726" s="977" t="str">
        <f>IFERROR(VLOOKUP(C726, [6]條件!$A:$L, 5, 0), "")</f>
        <v>50/72BSD3</v>
      </c>
      <c r="F726" s="978" t="str">
        <f>IFERROR(VLOOKUP(C726, [6]條件!$A:$L, 6, 0), "")</f>
        <v>FP80141</v>
      </c>
      <c r="G726" s="1411">
        <f>IFERROR(VLOOKUP(C726, [6]條件!$A:$L, 7, 0), "")</f>
        <v>630</v>
      </c>
      <c r="H726" s="978" t="str">
        <f>IF(ISNA(VLOOKUP(C726,[6]條件!$A$1:$K$932,11,0)),"",(VLOOKUP(C726,[6]條件!$A$1:$K$932,11,0)))</f>
        <v>洋綠色</v>
      </c>
      <c r="I726" s="979">
        <f>IF(ISNA(VLOOKUP(C726,[6]條件!$A$1:$L$932,12,0)),"",(VLOOKUP(C726,[6]條件!$A$1:$L$932,12,0)))</f>
        <v>2</v>
      </c>
      <c r="J726" s="982"/>
      <c r="K726" s="980"/>
      <c r="L726" s="981" t="s">
        <v>16007</v>
      </c>
      <c r="M726" s="983"/>
      <c r="N726" s="982"/>
      <c r="O726" s="980"/>
      <c r="P726" s="981" t="s">
        <v>15996</v>
      </c>
      <c r="Q726" s="983"/>
      <c r="R726" s="982"/>
      <c r="S726" s="980"/>
      <c r="T726" s="981" t="s">
        <v>15996</v>
      </c>
      <c r="U726" s="983"/>
      <c r="V726" s="982">
        <v>105</v>
      </c>
      <c r="W726" s="980">
        <v>0</v>
      </c>
      <c r="X726" s="981">
        <v>7763</v>
      </c>
      <c r="Y726" s="983">
        <v>8271</v>
      </c>
      <c r="Z726" s="1412">
        <f>IFERROR(VLOOKUP(C726, [6]條件!$A:$L, 3, 0), "")</f>
        <v>2.4615384615384617</v>
      </c>
      <c r="AA726" s="984" t="str">
        <f>IF(OR(L726={"改紡","檢修","了機","清車","FINAL","停機","SAMPLE","TEST","絲開發"}), L726, IFERROR(IF(C726="", "", (SUM(J726, N726, R726, V726)/3 * AG726) * IF(AND(AF726="S", AS726="雙"), 0.5, 1)), ""))</f>
        <v>檢修</v>
      </c>
      <c r="AB726" s="1413" t="str">
        <f t="shared" si="128"/>
        <v/>
      </c>
      <c r="AC726" s="984" t="str">
        <f>IF(OR(L726={"改紡","檢修","了機","清車","FINAL","停機","SAMPLE","TEST"}), "", IFERROR(IF(C726="", "", AVERAGE(L726:M726, P726:Q726, T726:U726, X726:Y726)/100), ""))</f>
        <v/>
      </c>
      <c r="AD726" s="984" t="str">
        <f t="shared" si="122"/>
        <v/>
      </c>
      <c r="AE726" s="984" t="str">
        <f t="shared" si="129"/>
        <v/>
      </c>
      <c r="AF726" s="985" t="str">
        <f t="shared" si="123"/>
        <v>A</v>
      </c>
      <c r="AG726" s="1414">
        <v>1</v>
      </c>
      <c r="AH726" s="1002" t="s">
        <v>631</v>
      </c>
      <c r="AI726" s="986" t="s">
        <v>631</v>
      </c>
      <c r="AJ726" s="986" t="s">
        <v>15994</v>
      </c>
      <c r="AK726" s="986" t="s">
        <v>15994</v>
      </c>
      <c r="AL726" s="1415">
        <v>57</v>
      </c>
      <c r="AM726" s="1324">
        <v>46089</v>
      </c>
      <c r="AN726" s="1323">
        <v>46090</v>
      </c>
      <c r="AO726" s="1323">
        <v>46091</v>
      </c>
      <c r="AP726" s="1323"/>
      <c r="AQ726" s="1323"/>
      <c r="AR726" s="987"/>
      <c r="AS726" s="978" t="str">
        <f t="shared" si="124"/>
        <v>單</v>
      </c>
      <c r="AT726" s="978" t="str">
        <f t="shared" si="125"/>
        <v>全</v>
      </c>
      <c r="AU726" s="978">
        <f t="shared" si="126"/>
        <v>50</v>
      </c>
      <c r="AV726" s="978" t="str">
        <f t="shared" si="127"/>
        <v/>
      </c>
    </row>
    <row r="727" spans="1:48">
      <c r="A727" s="975">
        <f t="shared" si="130"/>
        <v>46161</v>
      </c>
      <c r="B727" s="976" t="s">
        <v>220</v>
      </c>
      <c r="C727" s="976" t="s">
        <v>632</v>
      </c>
      <c r="D727" s="1410"/>
      <c r="E727" s="977" t="str">
        <f>IFERROR(VLOOKUP(C727, [6]條件!$A:$L, 5, 0), "")</f>
        <v/>
      </c>
      <c r="F727" s="978" t="str">
        <f>IFERROR(VLOOKUP(C727, [6]條件!$A:$L, 6, 0), "")</f>
        <v/>
      </c>
      <c r="G727" s="1411" t="str">
        <f>IFERROR(VLOOKUP(C727, [6]條件!$A:$L, 7, 0), "")</f>
        <v/>
      </c>
      <c r="H727" s="978" t="str">
        <f>IF(ISNA(VLOOKUP(C727,[6]條件!$A$1:$K$932,11,0)),"",(VLOOKUP(C727,[6]條件!$A$1:$K$932,11,0)))</f>
        <v/>
      </c>
      <c r="I727" s="979" t="str">
        <f>IF(ISNA(VLOOKUP(C727,[6]條件!$A$1:$L$932,12,0)),"",(VLOOKUP(C727,[6]條件!$A$1:$L$932,12,0)))</f>
        <v/>
      </c>
      <c r="J727" s="982"/>
      <c r="K727" s="980"/>
      <c r="L727" s="981" t="s">
        <v>632</v>
      </c>
      <c r="M727" s="983"/>
      <c r="N727" s="982"/>
      <c r="O727" s="980"/>
      <c r="P727" s="981" t="s">
        <v>632</v>
      </c>
      <c r="Q727" s="983"/>
      <c r="R727" s="982"/>
      <c r="S727" s="980"/>
      <c r="T727" s="981" t="s">
        <v>632</v>
      </c>
      <c r="U727" s="983"/>
      <c r="V727" s="982"/>
      <c r="W727" s="980"/>
      <c r="X727" s="981" t="s">
        <v>632</v>
      </c>
      <c r="Y727" s="983"/>
      <c r="Z727" s="1412" t="str">
        <f>IFERROR(VLOOKUP(C727, [6]條件!$A:$L, 3, 0), "")</f>
        <v/>
      </c>
      <c r="AA727" s="984" t="str">
        <f>IF(OR(L727={"改紡","檢修","了機","清車","FINAL","停機","SAMPLE","TEST","絲開發"}), L727, IFERROR(IF(C727="", "", (SUM(J727, N727, R727, V727)/3 * AG727) * IF(AND(AF727="S", AS727="雙"), 0.5, 1)), ""))</f>
        <v>停機</v>
      </c>
      <c r="AB727" s="1413" t="str">
        <f t="shared" si="128"/>
        <v/>
      </c>
      <c r="AC727" s="984" t="str">
        <f>IF(OR(L727={"改紡","檢修","了機","清車","FINAL","停機","SAMPLE","TEST"}), "", IFERROR(IF(C727="", "", AVERAGE(L727:M727, P727:Q727, T727:U727, X727:Y727)/100), ""))</f>
        <v/>
      </c>
      <c r="AD727" s="984" t="str">
        <f t="shared" si="122"/>
        <v/>
      </c>
      <c r="AE727" s="984" t="str">
        <f t="shared" si="129"/>
        <v/>
      </c>
      <c r="AF727" s="985" t="str">
        <f t="shared" si="123"/>
        <v>A</v>
      </c>
      <c r="AG727" s="1414">
        <v>1</v>
      </c>
      <c r="AH727" s="1002" t="s">
        <v>640</v>
      </c>
      <c r="AI727" s="986" t="s">
        <v>640</v>
      </c>
      <c r="AJ727" s="986" t="s">
        <v>640</v>
      </c>
      <c r="AK727" s="986" t="s">
        <v>640</v>
      </c>
      <c r="AL727" s="1415"/>
      <c r="AM727" s="1323"/>
      <c r="AN727" s="1323"/>
      <c r="AO727" s="1323"/>
      <c r="AP727" s="1323"/>
      <c r="AQ727" s="1323"/>
      <c r="AR727" s="987"/>
      <c r="AS727" s="978" t="str">
        <f t="shared" si="124"/>
        <v>單</v>
      </c>
      <c r="AT727" s="978" t="str">
        <f t="shared" si="125"/>
        <v>全</v>
      </c>
      <c r="AU727" s="978" t="str">
        <f t="shared" si="126"/>
        <v/>
      </c>
      <c r="AV727" s="978" t="str">
        <f t="shared" si="127"/>
        <v/>
      </c>
    </row>
    <row r="728" spans="1:48">
      <c r="A728" s="975">
        <f t="shared" si="130"/>
        <v>46161</v>
      </c>
      <c r="B728" s="976" t="s">
        <v>221</v>
      </c>
      <c r="C728" s="976" t="s">
        <v>16763</v>
      </c>
      <c r="D728" s="1410"/>
      <c r="E728" s="977" t="str">
        <f>IFERROR(VLOOKUP(C728, [6]條件!$A:$L, 5, 0), "")</f>
        <v>150/48CDR</v>
      </c>
      <c r="F728" s="978" t="str">
        <f>IFERROR(VLOOKUP(C728, [6]條件!$A:$L, 6, 0), "")</f>
        <v>FP82781</v>
      </c>
      <c r="G728" s="1411">
        <f>IFERROR(VLOOKUP(C728, [6]條件!$A:$L, 7, 0), "")</f>
        <v>600</v>
      </c>
      <c r="H728" s="978" t="str">
        <f>IF(ISNA(VLOOKUP(C728,[6]條件!$A$1:$K$932,11,0)),"",(VLOOKUP(C728,[6]條件!$A$1:$K$932,11,0)))</f>
        <v>綠藍雙色</v>
      </c>
      <c r="I728" s="979">
        <f>IF(ISNA(VLOOKUP(C728,[6]條件!$A$1:$L$932,12,0)),"",(VLOOKUP(C728,[6]條件!$A$1:$L$932,12,0)))</f>
        <v>5</v>
      </c>
      <c r="J728" s="982">
        <v>13</v>
      </c>
      <c r="K728" s="980">
        <v>1</v>
      </c>
      <c r="L728" s="981">
        <v>8409</v>
      </c>
      <c r="M728" s="983">
        <v>7697</v>
      </c>
      <c r="N728" s="982">
        <v>3</v>
      </c>
      <c r="O728" s="980">
        <v>0</v>
      </c>
      <c r="P728" s="981">
        <v>8605</v>
      </c>
      <c r="Q728" s="983">
        <v>7941</v>
      </c>
      <c r="R728" s="982">
        <v>4</v>
      </c>
      <c r="S728" s="980">
        <v>0</v>
      </c>
      <c r="T728" s="981">
        <v>8587</v>
      </c>
      <c r="U728" s="983">
        <v>7905</v>
      </c>
      <c r="V728" s="982">
        <v>11</v>
      </c>
      <c r="W728" s="980">
        <v>0</v>
      </c>
      <c r="X728" s="981">
        <v>8373</v>
      </c>
      <c r="Y728" s="983">
        <v>7798</v>
      </c>
      <c r="Z728" s="1412">
        <f>IFERROR(VLOOKUP(C728, [6]條件!$A:$L, 3, 0), "")</f>
        <v>2.8685258964143427</v>
      </c>
      <c r="AA728" s="984">
        <f>IF(OR(L728={"改紡","檢修","了機","清車","FINAL","停機","SAMPLE","TEST","絲開發"}), L728, IFERROR(IF(C728="", "", (SUM(J728, N728, R728, V728)/3 * AG728) * IF(AND(AF728="S", AS728="雙"), 0.5, 1)), ""))</f>
        <v>10.333333333333334</v>
      </c>
      <c r="AB728" s="1413">
        <f t="shared" si="128"/>
        <v>0.99832398504273501</v>
      </c>
      <c r="AC728" s="984">
        <f>IF(OR(L728={"改紡","檢修","了機","清車","FINAL","停機","SAMPLE","TEST"}), "", IFERROR(IF(C728="", "", AVERAGE(L728:M728, P728:Q728, T728:U728, X728:Y728)/100), ""))</f>
        <v>81.643749999999997</v>
      </c>
      <c r="AD728" s="984">
        <f t="shared" si="122"/>
        <v>1.2916666666666667</v>
      </c>
      <c r="AE728" s="984">
        <f t="shared" si="129"/>
        <v>1.25</v>
      </c>
      <c r="AF728" s="985" t="str">
        <f t="shared" si="123"/>
        <v>A</v>
      </c>
      <c r="AG728" s="1414">
        <v>1</v>
      </c>
      <c r="AH728" s="1002" t="s">
        <v>631</v>
      </c>
      <c r="AI728" s="986" t="s">
        <v>631</v>
      </c>
      <c r="AJ728" s="986" t="s">
        <v>15994</v>
      </c>
      <c r="AK728" s="986" t="s">
        <v>15994</v>
      </c>
      <c r="AL728" s="1415">
        <v>54</v>
      </c>
      <c r="AM728" s="1323">
        <v>46158</v>
      </c>
      <c r="AN728" s="1323">
        <v>46159</v>
      </c>
      <c r="AO728" s="1323"/>
      <c r="AP728" s="1323"/>
      <c r="AQ728" s="1323"/>
      <c r="AR728" s="987"/>
      <c r="AS728" s="978" t="str">
        <f t="shared" si="124"/>
        <v>單</v>
      </c>
      <c r="AT728" s="978" t="str">
        <f t="shared" si="125"/>
        <v>全</v>
      </c>
      <c r="AU728" s="978">
        <f t="shared" si="126"/>
        <v>150</v>
      </c>
      <c r="AV728" s="978">
        <f t="shared" si="127"/>
        <v>2.5394472000000001</v>
      </c>
    </row>
    <row r="729" spans="1:48">
      <c r="A729" s="975">
        <f t="shared" si="130"/>
        <v>46161</v>
      </c>
      <c r="B729" s="976" t="s">
        <v>222</v>
      </c>
      <c r="C729" s="976" t="s">
        <v>632</v>
      </c>
      <c r="D729" s="1410"/>
      <c r="E729" s="977" t="str">
        <f>IFERROR(VLOOKUP(C729, [6]條件!$A:$L, 5, 0), "")</f>
        <v/>
      </c>
      <c r="F729" s="978" t="str">
        <f>IFERROR(VLOOKUP(C729, [6]條件!$A:$L, 6, 0), "")</f>
        <v/>
      </c>
      <c r="G729" s="1411" t="str">
        <f>IFERROR(VLOOKUP(C729, [6]條件!$A:$L, 7, 0), "")</f>
        <v/>
      </c>
      <c r="H729" s="978" t="str">
        <f>IF(ISNA(VLOOKUP(C729,[6]條件!$A$1:$K$932,11,0)),"",(VLOOKUP(C729,[6]條件!$A$1:$K$932,11,0)))</f>
        <v/>
      </c>
      <c r="I729" s="979" t="str">
        <f>IF(ISNA(VLOOKUP(C729,[6]條件!$A$1:$L$932,12,0)),"",(VLOOKUP(C729,[6]條件!$A$1:$L$932,12,0)))</f>
        <v/>
      </c>
      <c r="J729" s="982"/>
      <c r="K729" s="980"/>
      <c r="L729" s="981" t="s">
        <v>632</v>
      </c>
      <c r="M729" s="983"/>
      <c r="N729" s="982"/>
      <c r="O729" s="980"/>
      <c r="P729" s="981" t="s">
        <v>632</v>
      </c>
      <c r="Q729" s="983"/>
      <c r="R729" s="982"/>
      <c r="S729" s="980"/>
      <c r="T729" s="981" t="s">
        <v>632</v>
      </c>
      <c r="U729" s="983"/>
      <c r="V729" s="982"/>
      <c r="W729" s="980"/>
      <c r="X729" s="981" t="s">
        <v>632</v>
      </c>
      <c r="Y729" s="983"/>
      <c r="Z729" s="1412" t="str">
        <f>IFERROR(VLOOKUP(C729, [6]條件!$A:$L, 3, 0), "")</f>
        <v/>
      </c>
      <c r="AA729" s="984" t="str">
        <f>IF(OR(L729={"改紡","檢修","了機","清車","FINAL","停機","SAMPLE","TEST","絲開發"}), L729, IFERROR(IF(C729="", "", (SUM(J729, N729, R729, V729)/3 * AG729) * IF(AND(AF729="S", AS729="雙"), 0.5, 1)), ""))</f>
        <v>停機</v>
      </c>
      <c r="AB729" s="1413" t="str">
        <f t="shared" si="128"/>
        <v/>
      </c>
      <c r="AC729" s="984" t="str">
        <f>IF(OR(L729={"改紡","檢修","了機","清車","FINAL","停機","SAMPLE","TEST"}), "", IFERROR(IF(C729="", "", AVERAGE(L729:M729, P729:Q729, T729:U729, X729:Y729)/100), ""))</f>
        <v/>
      </c>
      <c r="AD729" s="984" t="str">
        <f t="shared" si="122"/>
        <v/>
      </c>
      <c r="AE729" s="984" t="str">
        <f t="shared" si="129"/>
        <v/>
      </c>
      <c r="AF729" s="985" t="str">
        <f t="shared" si="123"/>
        <v>A</v>
      </c>
      <c r="AG729" s="1414">
        <v>1</v>
      </c>
      <c r="AH729" s="1002" t="s">
        <v>640</v>
      </c>
      <c r="AI729" s="986" t="s">
        <v>640</v>
      </c>
      <c r="AJ729" s="986" t="s">
        <v>640</v>
      </c>
      <c r="AK729" s="986" t="s">
        <v>640</v>
      </c>
      <c r="AL729" s="1415"/>
      <c r="AM729" s="1323"/>
      <c r="AN729" s="1323"/>
      <c r="AO729" s="1323"/>
      <c r="AP729" s="1323"/>
      <c r="AQ729" s="1323"/>
      <c r="AR729" s="987"/>
      <c r="AS729" s="978" t="str">
        <f t="shared" si="124"/>
        <v>單</v>
      </c>
      <c r="AT729" s="978" t="str">
        <f t="shared" si="125"/>
        <v>全</v>
      </c>
      <c r="AU729" s="978" t="str">
        <f t="shared" si="126"/>
        <v/>
      </c>
      <c r="AV729" s="978" t="str">
        <f t="shared" si="127"/>
        <v/>
      </c>
    </row>
    <row r="730" spans="1:48">
      <c r="A730" s="975">
        <f t="shared" si="130"/>
        <v>46161</v>
      </c>
      <c r="B730" s="976" t="s">
        <v>223</v>
      </c>
      <c r="C730" s="976" t="s">
        <v>632</v>
      </c>
      <c r="D730" s="1410"/>
      <c r="E730" s="977" t="str">
        <f>IFERROR(VLOOKUP(C730, [6]條件!$A:$L, 5, 0), "")</f>
        <v/>
      </c>
      <c r="F730" s="978" t="str">
        <f>IFERROR(VLOOKUP(C730, [6]條件!$A:$L, 6, 0), "")</f>
        <v/>
      </c>
      <c r="G730" s="1411" t="str">
        <f>IFERROR(VLOOKUP(C730, [6]條件!$A:$L, 7, 0), "")</f>
        <v/>
      </c>
      <c r="H730" s="978" t="str">
        <f>IF(ISNA(VLOOKUP(C730,[6]條件!$A$1:$K$932,11,0)),"",(VLOOKUP(C730,[6]條件!$A$1:$K$932,11,0)))</f>
        <v/>
      </c>
      <c r="I730" s="979" t="str">
        <f>IF(ISNA(VLOOKUP(C730,[6]條件!$A$1:$L$932,12,0)),"",(VLOOKUP(C730,[6]條件!$A$1:$L$932,12,0)))</f>
        <v/>
      </c>
      <c r="J730" s="982"/>
      <c r="K730" s="980"/>
      <c r="L730" s="981" t="s">
        <v>632</v>
      </c>
      <c r="M730" s="983"/>
      <c r="N730" s="982"/>
      <c r="O730" s="980"/>
      <c r="P730" s="981" t="s">
        <v>632</v>
      </c>
      <c r="Q730" s="983"/>
      <c r="R730" s="982"/>
      <c r="S730" s="980"/>
      <c r="T730" s="981" t="s">
        <v>632</v>
      </c>
      <c r="U730" s="983"/>
      <c r="V730" s="982"/>
      <c r="W730" s="980"/>
      <c r="X730" s="981" t="s">
        <v>632</v>
      </c>
      <c r="Y730" s="983"/>
      <c r="Z730" s="1412" t="str">
        <f>IFERROR(VLOOKUP(C730, [6]條件!$A:$L, 3, 0), "")</f>
        <v/>
      </c>
      <c r="AA730" s="984" t="str">
        <f>IF(OR(L730={"改紡","檢修","了機","清車","FINAL","停機","SAMPLE","TEST","絲開發"}), L730, IFERROR(IF(C730="", "", (SUM(J730, N730, R730, V730)/3 * AG730) * IF(AND(AF730="S", AS730="雙"), 0.5, 1)), ""))</f>
        <v>停機</v>
      </c>
      <c r="AB730" s="1413" t="str">
        <f t="shared" si="128"/>
        <v/>
      </c>
      <c r="AC730" s="984" t="str">
        <f>IF(OR(L730={"改紡","檢修","了機","清車","FINAL","停機","SAMPLE","TEST"}), "", IFERROR(IF(C730="", "", AVERAGE(L730:M730, P730:Q730, T730:U730, X730:Y730)/100), ""))</f>
        <v/>
      </c>
      <c r="AD730" s="984" t="str">
        <f t="shared" si="122"/>
        <v/>
      </c>
      <c r="AE730" s="984" t="str">
        <f t="shared" si="129"/>
        <v/>
      </c>
      <c r="AF730" s="985" t="str">
        <f t="shared" si="123"/>
        <v>A</v>
      </c>
      <c r="AG730" s="1414">
        <v>1</v>
      </c>
      <c r="AH730" s="1002" t="s">
        <v>640</v>
      </c>
      <c r="AI730" s="986" t="s">
        <v>640</v>
      </c>
      <c r="AJ730" s="986" t="s">
        <v>640</v>
      </c>
      <c r="AK730" s="986" t="s">
        <v>640</v>
      </c>
      <c r="AL730" s="1415"/>
      <c r="AM730" s="1324"/>
      <c r="AN730" s="1323"/>
      <c r="AO730" s="1323"/>
      <c r="AP730" s="1323"/>
      <c r="AQ730" s="1323"/>
      <c r="AR730" s="987"/>
      <c r="AS730" s="978" t="str">
        <f t="shared" si="124"/>
        <v>單</v>
      </c>
      <c r="AT730" s="978" t="str">
        <f t="shared" si="125"/>
        <v>全</v>
      </c>
      <c r="AU730" s="978" t="str">
        <f t="shared" si="126"/>
        <v/>
      </c>
      <c r="AV730" s="978" t="str">
        <f t="shared" si="127"/>
        <v/>
      </c>
    </row>
    <row r="731" spans="1:48">
      <c r="A731" s="975">
        <f t="shared" si="130"/>
        <v>46161</v>
      </c>
      <c r="B731" s="976" t="s">
        <v>224</v>
      </c>
      <c r="C731" s="976" t="s">
        <v>16734</v>
      </c>
      <c r="D731" s="1410" t="s">
        <v>633</v>
      </c>
      <c r="E731" s="977" t="str">
        <f>IFERROR(VLOOKUP(C731, [6]條件!$A:$L, 5, 0), "")</f>
        <v>75/24/2SDr</v>
      </c>
      <c r="F731" s="978" t="str">
        <f>IFERROR(VLOOKUP(C731, [6]條件!$A:$L, 6, 0), "")</f>
        <v>FP81382R×2</v>
      </c>
      <c r="G731" s="1411">
        <f>IFERROR(VLOOKUP(C731, [6]條件!$A:$L, 7, 0), "")</f>
        <v>700</v>
      </c>
      <c r="H731" s="978" t="str">
        <f>IF(ISNA(VLOOKUP(C731,[6]條件!$A$1:$K$932,11,0)),"",(VLOOKUP(C731,[6]條件!$A$1:$K$932,11,0)))</f>
        <v>白底紫三角</v>
      </c>
      <c r="I731" s="979">
        <f>IF(ISNA(VLOOKUP(C731,[6]條件!$A$1:$L$932,12,0)),"",(VLOOKUP(C731,[6]條件!$A$1:$L$932,12,0)))</f>
        <v>5</v>
      </c>
      <c r="J731" s="982">
        <v>30</v>
      </c>
      <c r="K731" s="980">
        <v>0</v>
      </c>
      <c r="L731" s="981">
        <v>8618</v>
      </c>
      <c r="M731" s="983">
        <v>9036</v>
      </c>
      <c r="N731" s="982"/>
      <c r="O731" s="980"/>
      <c r="P731" s="981" t="s">
        <v>16002</v>
      </c>
      <c r="Q731" s="983"/>
      <c r="R731" s="982"/>
      <c r="S731" s="980"/>
      <c r="T731" s="981" t="s">
        <v>16002</v>
      </c>
      <c r="U731" s="983"/>
      <c r="V731" s="982"/>
      <c r="W731" s="980"/>
      <c r="X731" s="981" t="s">
        <v>16002</v>
      </c>
      <c r="Y731" s="983"/>
      <c r="Z731" s="1412">
        <f>IFERROR(VLOOKUP(C731, [6]條件!$A:$L, 3, 0), "")</f>
        <v>3.2653061224489797</v>
      </c>
      <c r="AA731" s="984">
        <f>IF(OR(L731={"改紡","檢修","了機","清車","FINAL","停機","SAMPLE","TEST","絲開發"}), L731, IFERROR(IF(C731="", "", (SUM(J731, N731, R731, V731)/3 * AG731) * IF(AND(AF731="S", AS731="雙"), 0.5, 1)), ""))</f>
        <v>5</v>
      </c>
      <c r="AB731" s="1413">
        <f t="shared" si="128"/>
        <v>1</v>
      </c>
      <c r="AC731" s="984">
        <f>IF(OR(L731={"改紡","檢修","了機","清車","FINAL","停機","SAMPLE","TEST"}), "", IFERROR(IF(C731="", "", AVERAGE(L731:M731, P731:Q731, T731:U731, X731:Y731)/100), ""))</f>
        <v>88.27</v>
      </c>
      <c r="AD731" s="984">
        <f t="shared" si="122"/>
        <v>0.625</v>
      </c>
      <c r="AE731" s="984">
        <f t="shared" si="129"/>
        <v>0.625</v>
      </c>
      <c r="AF731" s="985" t="str">
        <f t="shared" si="123"/>
        <v>A</v>
      </c>
      <c r="AG731" s="1414">
        <v>0.5</v>
      </c>
      <c r="AH731" s="1002" t="s">
        <v>629</v>
      </c>
      <c r="AI731" s="986" t="s">
        <v>629</v>
      </c>
      <c r="AJ731" s="986" t="s">
        <v>15997</v>
      </c>
      <c r="AK731" s="986" t="s">
        <v>15997</v>
      </c>
      <c r="AL731" s="1415">
        <v>50</v>
      </c>
      <c r="AM731" s="1323">
        <v>46108</v>
      </c>
      <c r="AN731" s="1323">
        <v>46109</v>
      </c>
      <c r="AO731" s="1323">
        <v>46110</v>
      </c>
      <c r="AP731" s="1323">
        <v>46111</v>
      </c>
      <c r="AQ731" s="1323"/>
      <c r="AR731" s="987"/>
      <c r="AS731" s="978" t="str">
        <f t="shared" si="124"/>
        <v>雙</v>
      </c>
      <c r="AT731" s="978" t="str">
        <f t="shared" si="125"/>
        <v>全</v>
      </c>
      <c r="AU731" s="978">
        <f t="shared" si="126"/>
        <v>75</v>
      </c>
      <c r="AV731" s="978">
        <f t="shared" si="127"/>
        <v>1.6015708799999999</v>
      </c>
    </row>
    <row r="732" spans="1:48">
      <c r="A732" s="975">
        <f t="shared" si="130"/>
        <v>46161</v>
      </c>
      <c r="B732" s="976" t="s">
        <v>225</v>
      </c>
      <c r="C732" s="976" t="s">
        <v>632</v>
      </c>
      <c r="D732" s="1410"/>
      <c r="E732" s="977" t="str">
        <f>IFERROR(VLOOKUP(C732, [6]條件!$A:$L, 5, 0), "")</f>
        <v/>
      </c>
      <c r="F732" s="978" t="str">
        <f>IFERROR(VLOOKUP(C732, [6]條件!$A:$L, 6, 0), "")</f>
        <v/>
      </c>
      <c r="G732" s="1411" t="str">
        <f>IFERROR(VLOOKUP(C732, [6]條件!$A:$L, 7, 0), "")</f>
        <v/>
      </c>
      <c r="H732" s="978" t="str">
        <f>IF(ISNA(VLOOKUP(C732,[6]條件!$A$1:$K$932,11,0)),"",(VLOOKUP(C732,[6]條件!$A$1:$K$932,11,0)))</f>
        <v/>
      </c>
      <c r="I732" s="979" t="str">
        <f>IF(ISNA(VLOOKUP(C732,[6]條件!$A$1:$L$932,12,0)),"",(VLOOKUP(C732,[6]條件!$A$1:$L$932,12,0)))</f>
        <v/>
      </c>
      <c r="J732" s="982"/>
      <c r="K732" s="980"/>
      <c r="L732" s="981" t="s">
        <v>632</v>
      </c>
      <c r="M732" s="983"/>
      <c r="N732" s="982"/>
      <c r="O732" s="980"/>
      <c r="P732" s="981" t="s">
        <v>632</v>
      </c>
      <c r="Q732" s="983"/>
      <c r="R732" s="982"/>
      <c r="S732" s="980"/>
      <c r="T732" s="981" t="s">
        <v>632</v>
      </c>
      <c r="U732" s="983"/>
      <c r="V732" s="982"/>
      <c r="W732" s="980"/>
      <c r="X732" s="981" t="s">
        <v>632</v>
      </c>
      <c r="Y732" s="983"/>
      <c r="Z732" s="1412" t="str">
        <f>IFERROR(VLOOKUP(C732, [6]條件!$A:$L, 3, 0), "")</f>
        <v/>
      </c>
      <c r="AA732" s="984" t="str">
        <f>IF(OR(L732={"改紡","檢修","了機","清車","FINAL","停機","SAMPLE","TEST","絲開發"}), L732, IFERROR(IF(C732="", "", (SUM(J732, N732, R732, V732)/3 * AG732) * IF(AND(AF732="S", AS732="雙"), 0.5, 1)), ""))</f>
        <v>停機</v>
      </c>
      <c r="AB732" s="1413" t="str">
        <f t="shared" si="128"/>
        <v/>
      </c>
      <c r="AC732" s="984" t="str">
        <f>IF(OR(L732={"改紡","檢修","了機","清車","FINAL","停機","SAMPLE","TEST"}), "", IFERROR(IF(C732="", "", AVERAGE(L732:M732, P732:Q732, T732:U732, X732:Y732)/100), ""))</f>
        <v/>
      </c>
      <c r="AD732" s="984" t="str">
        <f t="shared" si="122"/>
        <v/>
      </c>
      <c r="AE732" s="984" t="str">
        <f t="shared" si="129"/>
        <v/>
      </c>
      <c r="AF732" s="985" t="str">
        <f t="shared" si="123"/>
        <v>A</v>
      </c>
      <c r="AG732" s="1414">
        <v>1</v>
      </c>
      <c r="AH732" s="1002" t="s">
        <v>640</v>
      </c>
      <c r="AI732" s="986" t="s">
        <v>640</v>
      </c>
      <c r="AJ732" s="986" t="s">
        <v>640</v>
      </c>
      <c r="AK732" s="986" t="s">
        <v>640</v>
      </c>
      <c r="AL732" s="1415"/>
      <c r="AM732" s="1323"/>
      <c r="AN732" s="1323"/>
      <c r="AO732" s="1323"/>
      <c r="AP732" s="1323"/>
      <c r="AQ732" s="1323"/>
      <c r="AR732" s="987"/>
      <c r="AS732" s="978" t="str">
        <f t="shared" si="124"/>
        <v>單</v>
      </c>
      <c r="AT732" s="978" t="str">
        <f t="shared" si="125"/>
        <v>全</v>
      </c>
      <c r="AU732" s="978" t="str">
        <f t="shared" si="126"/>
        <v/>
      </c>
      <c r="AV732" s="978" t="str">
        <f t="shared" si="127"/>
        <v/>
      </c>
    </row>
    <row r="733" spans="1:48">
      <c r="A733" s="975">
        <f t="shared" si="130"/>
        <v>46161</v>
      </c>
      <c r="B733" s="976" t="s">
        <v>226</v>
      </c>
      <c r="C733" s="976" t="s">
        <v>632</v>
      </c>
      <c r="D733" s="1410"/>
      <c r="E733" s="977" t="str">
        <f>IFERROR(VLOOKUP(C733, [6]條件!$A:$L, 5, 0), "")</f>
        <v/>
      </c>
      <c r="F733" s="978" t="str">
        <f>IFERROR(VLOOKUP(C733, [6]條件!$A:$L, 6, 0), "")</f>
        <v/>
      </c>
      <c r="G733" s="1411" t="str">
        <f>IFERROR(VLOOKUP(C733, [6]條件!$A:$L, 7, 0), "")</f>
        <v/>
      </c>
      <c r="H733" s="978" t="str">
        <f>IF(ISNA(VLOOKUP(C733,[6]條件!$A$1:$K$932,11,0)),"",(VLOOKUP(C733,[6]條件!$A$1:$K$932,11,0)))</f>
        <v/>
      </c>
      <c r="I733" s="979" t="str">
        <f>IF(ISNA(VLOOKUP(C733,[6]條件!$A$1:$L$932,12,0)),"",(VLOOKUP(C733,[6]條件!$A$1:$L$932,12,0)))</f>
        <v/>
      </c>
      <c r="J733" s="982"/>
      <c r="K733" s="980"/>
      <c r="L733" s="981" t="s">
        <v>632</v>
      </c>
      <c r="M733" s="983"/>
      <c r="N733" s="982"/>
      <c r="O733" s="980"/>
      <c r="P733" s="981" t="s">
        <v>632</v>
      </c>
      <c r="Q733" s="983"/>
      <c r="R733" s="982"/>
      <c r="S733" s="980"/>
      <c r="T733" s="981" t="s">
        <v>632</v>
      </c>
      <c r="U733" s="983"/>
      <c r="V733" s="982"/>
      <c r="W733" s="980"/>
      <c r="X733" s="981" t="s">
        <v>632</v>
      </c>
      <c r="Y733" s="983"/>
      <c r="Z733" s="1412" t="str">
        <f>IFERROR(VLOOKUP(C733, [6]條件!$A:$L, 3, 0), "")</f>
        <v/>
      </c>
      <c r="AA733" s="984" t="str">
        <f>IF(OR(L733={"改紡","檢修","了機","清車","FINAL","停機","SAMPLE","TEST","絲開發"}), L733, IFERROR(IF(C733="", "", (SUM(J733, N733, R733, V733)/3 * AG733) * IF(AND(AF733="S", AS733="雙"), 0.5, 1)), ""))</f>
        <v>停機</v>
      </c>
      <c r="AB733" s="1413" t="str">
        <f t="shared" si="128"/>
        <v/>
      </c>
      <c r="AC733" s="984" t="str">
        <f>IF(OR(L733={"改紡","檢修","了機","清車","FINAL","停機","SAMPLE","TEST"}), "", IFERROR(IF(C733="", "", AVERAGE(L733:M733, P733:Q733, T733:U733, X733:Y733)/100), ""))</f>
        <v/>
      </c>
      <c r="AD733" s="984" t="str">
        <f t="shared" si="122"/>
        <v/>
      </c>
      <c r="AE733" s="984" t="str">
        <f t="shared" si="129"/>
        <v/>
      </c>
      <c r="AF733" s="985" t="str">
        <f t="shared" si="123"/>
        <v>A</v>
      </c>
      <c r="AG733" s="1414">
        <v>1</v>
      </c>
      <c r="AH733" s="1002" t="s">
        <v>640</v>
      </c>
      <c r="AI733" s="986" t="s">
        <v>640</v>
      </c>
      <c r="AJ733" s="986" t="s">
        <v>640</v>
      </c>
      <c r="AK733" s="986" t="s">
        <v>640</v>
      </c>
      <c r="AL733" s="1415"/>
      <c r="AM733" s="1323"/>
      <c r="AN733" s="1323"/>
      <c r="AO733" s="1323"/>
      <c r="AP733" s="1323"/>
      <c r="AQ733" s="1323"/>
      <c r="AR733" s="987"/>
      <c r="AS733" s="978" t="str">
        <f t="shared" si="124"/>
        <v>單</v>
      </c>
      <c r="AT733" s="978" t="str">
        <f t="shared" si="125"/>
        <v>全</v>
      </c>
      <c r="AU733" s="978" t="str">
        <f t="shared" si="126"/>
        <v/>
      </c>
      <c r="AV733" s="978" t="str">
        <f t="shared" si="127"/>
        <v/>
      </c>
    </row>
    <row r="734" spans="1:48">
      <c r="A734" s="975">
        <f t="shared" si="130"/>
        <v>46161</v>
      </c>
      <c r="B734" s="976" t="s">
        <v>227</v>
      </c>
      <c r="C734" s="976" t="s">
        <v>632</v>
      </c>
      <c r="D734" s="1410"/>
      <c r="E734" s="977" t="str">
        <f>IFERROR(VLOOKUP(C734, [6]條件!$A:$L, 5, 0), "")</f>
        <v/>
      </c>
      <c r="F734" s="978" t="str">
        <f>IFERROR(VLOOKUP(C734, [6]條件!$A:$L, 6, 0), "")</f>
        <v/>
      </c>
      <c r="G734" s="1411" t="str">
        <f>IFERROR(VLOOKUP(C734, [6]條件!$A:$L, 7, 0), "")</f>
        <v/>
      </c>
      <c r="H734" s="978" t="str">
        <f>IF(ISNA(VLOOKUP(C734,[6]條件!$A$1:$K$932,11,0)),"",(VLOOKUP(C734,[6]條件!$A$1:$K$932,11,0)))</f>
        <v/>
      </c>
      <c r="I734" s="979" t="str">
        <f>IF(ISNA(VLOOKUP(C734,[6]條件!$A$1:$L$932,12,0)),"",(VLOOKUP(C734,[6]條件!$A$1:$L$932,12,0)))</f>
        <v/>
      </c>
      <c r="J734" s="982"/>
      <c r="K734" s="980"/>
      <c r="L734" s="981" t="s">
        <v>632</v>
      </c>
      <c r="M734" s="983"/>
      <c r="N734" s="982"/>
      <c r="O734" s="980"/>
      <c r="P734" s="981" t="s">
        <v>632</v>
      </c>
      <c r="Q734" s="983"/>
      <c r="R734" s="982"/>
      <c r="S734" s="980"/>
      <c r="T734" s="981" t="s">
        <v>632</v>
      </c>
      <c r="U734" s="983"/>
      <c r="V734" s="982"/>
      <c r="W734" s="980"/>
      <c r="X734" s="981" t="s">
        <v>632</v>
      </c>
      <c r="Y734" s="983"/>
      <c r="Z734" s="1412" t="str">
        <f>IFERROR(VLOOKUP(C734, [6]條件!$A:$L, 3, 0), "")</f>
        <v/>
      </c>
      <c r="AA734" s="984" t="str">
        <f>IF(OR(L734={"改紡","檢修","了機","清車","FINAL","停機","SAMPLE","TEST","絲開發"}), L734, IFERROR(IF(C734="", "", (SUM(J734, N734, R734, V734)/3 * AG734) * IF(AND(AF734="S", AS734="雙"), 0.5, 1)), ""))</f>
        <v>停機</v>
      </c>
      <c r="AB734" s="1413" t="str">
        <f t="shared" si="128"/>
        <v/>
      </c>
      <c r="AC734" s="984" t="str">
        <f>IF(OR(L734={"改紡","檢修","了機","清車","FINAL","停機","SAMPLE","TEST"}), "", IFERROR(IF(C734="", "", AVERAGE(L734:M734, P734:Q734, T734:U734, X734:Y734)/100), ""))</f>
        <v/>
      </c>
      <c r="AD734" s="984" t="str">
        <f t="shared" si="122"/>
        <v/>
      </c>
      <c r="AE734" s="984" t="str">
        <f t="shared" si="129"/>
        <v/>
      </c>
      <c r="AF734" s="985" t="str">
        <f t="shared" si="123"/>
        <v>A</v>
      </c>
      <c r="AG734" s="1414">
        <v>1</v>
      </c>
      <c r="AH734" s="1002" t="s">
        <v>640</v>
      </c>
      <c r="AI734" s="986" t="s">
        <v>640</v>
      </c>
      <c r="AJ734" s="986" t="s">
        <v>640</v>
      </c>
      <c r="AK734" s="986" t="s">
        <v>640</v>
      </c>
      <c r="AL734" s="1415"/>
      <c r="AM734" s="1323"/>
      <c r="AN734" s="1323"/>
      <c r="AO734" s="1323"/>
      <c r="AP734" s="1323"/>
      <c r="AQ734" s="1323"/>
      <c r="AR734" s="987"/>
      <c r="AS734" s="978" t="str">
        <f t="shared" si="124"/>
        <v>單</v>
      </c>
      <c r="AT734" s="978" t="str">
        <f t="shared" si="125"/>
        <v>全</v>
      </c>
      <c r="AU734" s="978" t="str">
        <f t="shared" si="126"/>
        <v/>
      </c>
      <c r="AV734" s="978" t="str">
        <f t="shared" si="127"/>
        <v/>
      </c>
    </row>
    <row r="735" spans="1:48">
      <c r="A735" s="975">
        <f t="shared" si="130"/>
        <v>46161</v>
      </c>
      <c r="B735" s="976" t="s">
        <v>228</v>
      </c>
      <c r="C735" s="976" t="s">
        <v>632</v>
      </c>
      <c r="D735" s="1410"/>
      <c r="E735" s="977" t="str">
        <f>IFERROR(VLOOKUP(C735, [6]條件!$A:$L, 5, 0), "")</f>
        <v/>
      </c>
      <c r="F735" s="978" t="str">
        <f>IFERROR(VLOOKUP(C735, [6]條件!$A:$L, 6, 0), "")</f>
        <v/>
      </c>
      <c r="G735" s="1411" t="str">
        <f>IFERROR(VLOOKUP(C735, [6]條件!$A:$L, 7, 0), "")</f>
        <v/>
      </c>
      <c r="H735" s="978" t="str">
        <f>IF(ISNA(VLOOKUP(C735,[6]條件!$A$1:$K$932,11,0)),"",(VLOOKUP(C735,[6]條件!$A$1:$K$932,11,0)))</f>
        <v/>
      </c>
      <c r="I735" s="979" t="str">
        <f>IF(ISNA(VLOOKUP(C735,[6]條件!$A$1:$L$932,12,0)),"",(VLOOKUP(C735,[6]條件!$A$1:$L$932,12,0)))</f>
        <v/>
      </c>
      <c r="J735" s="982"/>
      <c r="K735" s="980"/>
      <c r="L735" s="981" t="s">
        <v>632</v>
      </c>
      <c r="M735" s="983"/>
      <c r="N735" s="982"/>
      <c r="O735" s="980"/>
      <c r="P735" s="981" t="s">
        <v>632</v>
      </c>
      <c r="Q735" s="983"/>
      <c r="R735" s="982"/>
      <c r="S735" s="980"/>
      <c r="T735" s="981" t="s">
        <v>632</v>
      </c>
      <c r="U735" s="983"/>
      <c r="V735" s="982"/>
      <c r="W735" s="980"/>
      <c r="X735" s="981" t="s">
        <v>632</v>
      </c>
      <c r="Y735" s="983"/>
      <c r="Z735" s="1412" t="str">
        <f>IFERROR(VLOOKUP(C735, [6]條件!$A:$L, 3, 0), "")</f>
        <v/>
      </c>
      <c r="AA735" s="984" t="str">
        <f>IF(OR(L735={"改紡","檢修","了機","清車","FINAL","停機","SAMPLE","TEST","絲開發"}), L735, IFERROR(IF(C735="", "", (SUM(J735, N735, R735, V735)/3 * AG735) * IF(AND(AF735="S", AS735="雙"), 0.5, 1)), ""))</f>
        <v>停機</v>
      </c>
      <c r="AB735" s="1413" t="str">
        <f t="shared" si="128"/>
        <v/>
      </c>
      <c r="AC735" s="984" t="str">
        <f>IF(OR(L735={"改紡","檢修","了機","清車","FINAL","停機","SAMPLE","TEST"}), "", IFERROR(IF(C735="", "", AVERAGE(L735:M735, P735:Q735, T735:U735, X735:Y735)/100), ""))</f>
        <v/>
      </c>
      <c r="AD735" s="984" t="str">
        <f t="shared" si="122"/>
        <v/>
      </c>
      <c r="AE735" s="984" t="str">
        <f t="shared" si="129"/>
        <v/>
      </c>
      <c r="AF735" s="985" t="str">
        <f t="shared" si="123"/>
        <v>A</v>
      </c>
      <c r="AG735" s="1414">
        <v>1</v>
      </c>
      <c r="AH735" s="1002" t="s">
        <v>640</v>
      </c>
      <c r="AI735" s="986" t="s">
        <v>640</v>
      </c>
      <c r="AJ735" s="986" t="s">
        <v>640</v>
      </c>
      <c r="AK735" s="986" t="s">
        <v>640</v>
      </c>
      <c r="AL735" s="1420"/>
      <c r="AM735" s="1323"/>
      <c r="AN735" s="1323"/>
      <c r="AO735" s="1323"/>
      <c r="AP735" s="1323"/>
      <c r="AQ735" s="1323"/>
      <c r="AR735" s="987"/>
      <c r="AS735" s="978" t="str">
        <f t="shared" si="124"/>
        <v>單</v>
      </c>
      <c r="AT735" s="978" t="str">
        <f t="shared" si="125"/>
        <v>全</v>
      </c>
      <c r="AU735" s="978" t="str">
        <f t="shared" si="126"/>
        <v/>
      </c>
      <c r="AV735" s="978" t="str">
        <f t="shared" si="127"/>
        <v/>
      </c>
    </row>
    <row r="736" spans="1:48">
      <c r="A736" s="975">
        <f t="shared" si="130"/>
        <v>46161</v>
      </c>
      <c r="B736" s="976" t="s">
        <v>229</v>
      </c>
      <c r="C736" s="976" t="s">
        <v>632</v>
      </c>
      <c r="D736" s="1410"/>
      <c r="E736" s="977" t="str">
        <f>IFERROR(VLOOKUP(C736, [6]條件!$A:$L, 5, 0), "")</f>
        <v/>
      </c>
      <c r="F736" s="978" t="str">
        <f>IFERROR(VLOOKUP(C736, [6]條件!$A:$L, 6, 0), "")</f>
        <v/>
      </c>
      <c r="G736" s="1411" t="str">
        <f>IFERROR(VLOOKUP(C736, [6]條件!$A:$L, 7, 0), "")</f>
        <v/>
      </c>
      <c r="H736" s="978" t="str">
        <f>IF(ISNA(VLOOKUP(C736,[6]條件!$A$1:$K$932,11,0)),"",(VLOOKUP(C736,[6]條件!$A$1:$K$932,11,0)))</f>
        <v/>
      </c>
      <c r="I736" s="979" t="str">
        <f>IF(ISNA(VLOOKUP(C736,[6]條件!$A$1:$L$932,12,0)),"",(VLOOKUP(C736,[6]條件!$A$1:$L$932,12,0)))</f>
        <v/>
      </c>
      <c r="J736" s="982"/>
      <c r="K736" s="980"/>
      <c r="L736" s="981" t="s">
        <v>628</v>
      </c>
      <c r="M736" s="983"/>
      <c r="N736" s="982"/>
      <c r="O736" s="980"/>
      <c r="P736" s="981" t="s">
        <v>628</v>
      </c>
      <c r="Q736" s="983"/>
      <c r="R736" s="982"/>
      <c r="S736" s="980"/>
      <c r="T736" s="981" t="s">
        <v>628</v>
      </c>
      <c r="U736" s="983"/>
      <c r="V736" s="982"/>
      <c r="W736" s="980"/>
      <c r="X736" s="981" t="s">
        <v>628</v>
      </c>
      <c r="Y736" s="983"/>
      <c r="Z736" s="1412" t="str">
        <f>IFERROR(VLOOKUP(C736, [6]條件!$A:$L, 3, 0), "")</f>
        <v/>
      </c>
      <c r="AA736" s="984" t="str">
        <f>IF(OR(L736={"改紡","檢修","了機","清車","FINAL","停機","SAMPLE","TEST","絲開發"}), L736, IFERROR(IF(C736="", "", (SUM(J736, N736, R736, V736)/3 * AG736) * IF(AND(AF736="S", AS736="雙"), 0.5, 1)), ""))</f>
        <v>清車</v>
      </c>
      <c r="AB736" s="1413" t="str">
        <f t="shared" si="128"/>
        <v/>
      </c>
      <c r="AC736" s="984" t="str">
        <f>IF(OR(L736={"改紡","檢修","了機","清車","FINAL","停機","SAMPLE","TEST"}), "", IFERROR(IF(C736="", "", AVERAGE(L736:M736, P736:Q736, T736:U736, X736:Y736)/100), ""))</f>
        <v/>
      </c>
      <c r="AD736" s="984" t="str">
        <f t="shared" si="122"/>
        <v/>
      </c>
      <c r="AE736" s="984" t="str">
        <f t="shared" si="129"/>
        <v/>
      </c>
      <c r="AF736" s="985" t="str">
        <f t="shared" si="123"/>
        <v>A</v>
      </c>
      <c r="AG736" s="1414">
        <v>1</v>
      </c>
      <c r="AH736" s="1002" t="s">
        <v>640</v>
      </c>
      <c r="AI736" s="986" t="s">
        <v>640</v>
      </c>
      <c r="AJ736" s="986" t="s">
        <v>640</v>
      </c>
      <c r="AK736" s="986" t="s">
        <v>640</v>
      </c>
      <c r="AL736" s="1421"/>
      <c r="AM736" s="1323"/>
      <c r="AN736" s="1323"/>
      <c r="AO736" s="1323"/>
      <c r="AP736" s="1323"/>
      <c r="AQ736" s="1323"/>
      <c r="AR736" s="987"/>
      <c r="AS736" s="978" t="str">
        <f t="shared" si="124"/>
        <v>單</v>
      </c>
      <c r="AT736" s="978" t="str">
        <f t="shared" si="125"/>
        <v>全</v>
      </c>
      <c r="AU736" s="978" t="str">
        <f t="shared" si="126"/>
        <v/>
      </c>
      <c r="AV736" s="978" t="str">
        <f t="shared" si="127"/>
        <v/>
      </c>
    </row>
    <row r="737" spans="1:48">
      <c r="A737" s="975">
        <f t="shared" si="130"/>
        <v>46161</v>
      </c>
      <c r="B737" s="976" t="s">
        <v>230</v>
      </c>
      <c r="C737" s="976" t="s">
        <v>632</v>
      </c>
      <c r="D737" s="1410"/>
      <c r="E737" s="977" t="str">
        <f>IFERROR(VLOOKUP(C737, [6]條件!$A:$L, 5, 0), "")</f>
        <v/>
      </c>
      <c r="F737" s="978" t="str">
        <f>IFERROR(VLOOKUP(C737, [6]條件!$A:$L, 6, 0), "")</f>
        <v/>
      </c>
      <c r="G737" s="1411" t="str">
        <f>IFERROR(VLOOKUP(C737, [6]條件!$A:$L, 7, 0), "")</f>
        <v/>
      </c>
      <c r="H737" s="978" t="str">
        <f>IF(ISNA(VLOOKUP(C737,[6]條件!$A$1:$K$932,11,0)),"",(VLOOKUP(C737,[6]條件!$A$1:$K$932,11,0)))</f>
        <v/>
      </c>
      <c r="I737" s="979" t="str">
        <f>IF(ISNA(VLOOKUP(C737,[6]條件!$A$1:$L$932,12,0)),"",(VLOOKUP(C737,[6]條件!$A$1:$L$932,12,0)))</f>
        <v/>
      </c>
      <c r="J737" s="982"/>
      <c r="K737" s="980"/>
      <c r="L737" s="981" t="s">
        <v>632</v>
      </c>
      <c r="M737" s="983"/>
      <c r="N737" s="982"/>
      <c r="O737" s="980"/>
      <c r="P737" s="981" t="s">
        <v>632</v>
      </c>
      <c r="Q737" s="983"/>
      <c r="R737" s="982"/>
      <c r="S737" s="980"/>
      <c r="T737" s="981" t="s">
        <v>632</v>
      </c>
      <c r="U737" s="983"/>
      <c r="V737" s="982"/>
      <c r="W737" s="980"/>
      <c r="X737" s="981" t="s">
        <v>632</v>
      </c>
      <c r="Y737" s="983"/>
      <c r="Z737" s="1412" t="str">
        <f>IFERROR(VLOOKUP(C737, [6]條件!$A:$L, 3, 0), "")</f>
        <v/>
      </c>
      <c r="AA737" s="984" t="str">
        <f>IF(OR(L737={"改紡","檢修","了機","清車","FINAL","停機","SAMPLE","TEST","絲開發"}), L737, IFERROR(IF(C737="", "", (SUM(J737, N737, R737, V737)/3 * AG737) * IF(AND(AF737="S", AS737="雙"), 0.5, 1)), ""))</f>
        <v>停機</v>
      </c>
      <c r="AB737" s="1413" t="str">
        <f t="shared" si="128"/>
        <v/>
      </c>
      <c r="AC737" s="984" t="str">
        <f>IF(OR(L737={"改紡","檢修","了機","清車","FINAL","停機","SAMPLE","TEST"}), "", IFERROR(IF(C737="", "", AVERAGE(L737:M737, P737:Q737, T737:U737, X737:Y737)/100), ""))</f>
        <v/>
      </c>
      <c r="AD737" s="984" t="str">
        <f t="shared" si="122"/>
        <v/>
      </c>
      <c r="AE737" s="984" t="str">
        <f t="shared" si="129"/>
        <v/>
      </c>
      <c r="AF737" s="985" t="str">
        <f t="shared" si="123"/>
        <v>A</v>
      </c>
      <c r="AG737" s="1414">
        <v>0.5</v>
      </c>
      <c r="AH737" s="1002" t="s">
        <v>629</v>
      </c>
      <c r="AI737" s="986" t="s">
        <v>629</v>
      </c>
      <c r="AJ737" s="986" t="s">
        <v>16011</v>
      </c>
      <c r="AK737" s="986" t="s">
        <v>16011</v>
      </c>
      <c r="AL737" s="1415"/>
      <c r="AM737" s="1323"/>
      <c r="AN737" s="1323"/>
      <c r="AO737" s="1323"/>
      <c r="AP737" s="1323"/>
      <c r="AQ737" s="1323"/>
      <c r="AR737" s="987"/>
      <c r="AS737" s="978" t="str">
        <f t="shared" si="124"/>
        <v>單</v>
      </c>
      <c r="AT737" s="978" t="str">
        <f t="shared" si="125"/>
        <v/>
      </c>
      <c r="AU737" s="978" t="str">
        <f t="shared" si="126"/>
        <v/>
      </c>
      <c r="AV737" s="978" t="str">
        <f t="shared" si="127"/>
        <v/>
      </c>
    </row>
    <row r="738" spans="1:48">
      <c r="A738" s="975">
        <f t="shared" si="130"/>
        <v>46161</v>
      </c>
      <c r="B738" s="976" t="s">
        <v>231</v>
      </c>
      <c r="C738" s="976" t="s">
        <v>632</v>
      </c>
      <c r="D738" s="1410"/>
      <c r="E738" s="977" t="str">
        <f>IFERROR(VLOOKUP(C738, [6]條件!$A:$L, 5, 0), "")</f>
        <v/>
      </c>
      <c r="F738" s="978" t="str">
        <f>IFERROR(VLOOKUP(C738, [6]條件!$A:$L, 6, 0), "")</f>
        <v/>
      </c>
      <c r="G738" s="1411" t="str">
        <f>IFERROR(VLOOKUP(C738, [6]條件!$A:$L, 7, 0), "")</f>
        <v/>
      </c>
      <c r="H738" s="978" t="str">
        <f>IF(ISNA(VLOOKUP(C738,[6]條件!$A$1:$K$932,11,0)),"",(VLOOKUP(C738,[6]條件!$A$1:$K$932,11,0)))</f>
        <v/>
      </c>
      <c r="I738" s="979" t="str">
        <f>IF(ISNA(VLOOKUP(C738,[6]條件!$A$1:$L$932,12,0)),"",(VLOOKUP(C738,[6]條件!$A$1:$L$932,12,0)))</f>
        <v/>
      </c>
      <c r="J738" s="982"/>
      <c r="K738" s="980"/>
      <c r="L738" s="981" t="s">
        <v>632</v>
      </c>
      <c r="M738" s="983"/>
      <c r="N738" s="982"/>
      <c r="O738" s="980"/>
      <c r="P738" s="981" t="s">
        <v>632</v>
      </c>
      <c r="Q738" s="983"/>
      <c r="R738" s="982"/>
      <c r="S738" s="980"/>
      <c r="T738" s="981" t="s">
        <v>632</v>
      </c>
      <c r="U738" s="983"/>
      <c r="V738" s="982"/>
      <c r="W738" s="980"/>
      <c r="X738" s="981" t="s">
        <v>632</v>
      </c>
      <c r="Y738" s="983"/>
      <c r="Z738" s="1412" t="str">
        <f>IFERROR(VLOOKUP(C738, [6]條件!$A:$L, 3, 0), "")</f>
        <v/>
      </c>
      <c r="AA738" s="984" t="str">
        <f>IF(OR(L738={"改紡","檢修","了機","清車","FINAL","停機","SAMPLE","TEST","絲開發"}), L738, IFERROR(IF(C738="", "", (SUM(J738, N738, R738, V738)/3 * AG738) * IF(AND(AF738="S", AS738="雙"), 0.5, 1)), ""))</f>
        <v>停機</v>
      </c>
      <c r="AB738" s="1413" t="str">
        <f t="shared" si="128"/>
        <v/>
      </c>
      <c r="AC738" s="984" t="str">
        <f>IF(OR(L738={"改紡","檢修","了機","清車","FINAL","停機","SAMPLE","TEST"}), "", IFERROR(IF(C738="", "", AVERAGE(L738:M738, P738:Q738, T738:U738, X738:Y738)/100), ""))</f>
        <v/>
      </c>
      <c r="AD738" s="984" t="str">
        <f t="shared" si="122"/>
        <v/>
      </c>
      <c r="AE738" s="984" t="str">
        <f t="shared" si="129"/>
        <v/>
      </c>
      <c r="AF738" s="985" t="str">
        <f t="shared" si="123"/>
        <v>J</v>
      </c>
      <c r="AG738" s="1414">
        <v>1</v>
      </c>
      <c r="AH738" s="1002" t="s">
        <v>640</v>
      </c>
      <c r="AI738" s="986" t="s">
        <v>640</v>
      </c>
      <c r="AJ738" s="986" t="s">
        <v>640</v>
      </c>
      <c r="AK738" s="986" t="s">
        <v>640</v>
      </c>
      <c r="AL738" s="1415"/>
      <c r="AM738" s="1323"/>
      <c r="AN738" s="1323"/>
      <c r="AO738" s="1323"/>
      <c r="AP738" s="1323"/>
      <c r="AQ738" s="1323"/>
      <c r="AR738" s="987"/>
      <c r="AS738" s="978" t="str">
        <f t="shared" si="124"/>
        <v>單</v>
      </c>
      <c r="AT738" s="978" t="str">
        <f t="shared" si="125"/>
        <v>全</v>
      </c>
      <c r="AU738" s="978" t="str">
        <f t="shared" si="126"/>
        <v/>
      </c>
      <c r="AV738" s="978" t="str">
        <f t="shared" si="127"/>
        <v/>
      </c>
    </row>
    <row r="739" spans="1:48">
      <c r="A739" s="975">
        <f t="shared" si="130"/>
        <v>46161</v>
      </c>
      <c r="B739" s="976" t="s">
        <v>233</v>
      </c>
      <c r="C739" s="976" t="s">
        <v>16772</v>
      </c>
      <c r="D739" s="1410" t="s">
        <v>633</v>
      </c>
      <c r="E739" s="977" t="str">
        <f>IFERROR(VLOOKUP(C739, [6]條件!$A:$L, 5, 0), "")</f>
        <v>150/48/2SDr</v>
      </c>
      <c r="F739" s="978" t="str">
        <f>IFERROR(VLOOKUP(C739, [6]條件!$A:$L, 6, 0), "")</f>
        <v>FP82171R×2</v>
      </c>
      <c r="G739" s="1411">
        <f>IFERROR(VLOOKUP(C739, [6]條件!$A:$L, 7, 0), "")</f>
        <v>600</v>
      </c>
      <c r="H739" s="978" t="str">
        <f>IF(ISNA(VLOOKUP(C739,[6]條件!$A$1:$K$932,11,0)),"",(VLOOKUP(C739,[6]條件!$A$1:$K$932,11,0)))</f>
        <v>紅白直條</v>
      </c>
      <c r="I739" s="979">
        <f>IF(ISNA(VLOOKUP(C739,[6]條件!$A$1:$L$932,12,0)),"",(VLOOKUP(C739,[6]條件!$A$1:$L$932,12,0)))</f>
        <v>5.5</v>
      </c>
      <c r="J739" s="982">
        <v>32</v>
      </c>
      <c r="K739" s="980">
        <v>2</v>
      </c>
      <c r="L739" s="981">
        <v>6910</v>
      </c>
      <c r="M739" s="983"/>
      <c r="N739" s="982">
        <v>9</v>
      </c>
      <c r="O739" s="980">
        <v>1</v>
      </c>
      <c r="P739" s="981">
        <v>6820</v>
      </c>
      <c r="Q739" s="983"/>
      <c r="R739" s="982">
        <v>11</v>
      </c>
      <c r="S739" s="980">
        <v>3</v>
      </c>
      <c r="T739" s="981">
        <v>6780</v>
      </c>
      <c r="U739" s="983"/>
      <c r="V739" s="982">
        <v>13</v>
      </c>
      <c r="W739" s="980">
        <v>1</v>
      </c>
      <c r="X739" s="981">
        <v>6600</v>
      </c>
      <c r="Y739" s="983"/>
      <c r="Z739" s="1412">
        <f>IFERROR(VLOOKUP(C739, [6]條件!$A:$L, 3, 0), "")</f>
        <v>5.0526315789473673</v>
      </c>
      <c r="AA739" s="984">
        <f>IF(OR(L739={"改紡","檢修","了機","清車","FINAL","停機","SAMPLE","TEST","絲開發"}), L739, IFERROR(IF(C739="", "", (SUM(J739, N739, R739, V739)/3 * AG739) * IF(AND(AF739="S", AS739="雙"), 0.5, 1)), ""))</f>
        <v>21.666666666666668</v>
      </c>
      <c r="AB739" s="1413">
        <f t="shared" si="128"/>
        <v>0.99333934294871795</v>
      </c>
      <c r="AC739" s="984">
        <f>IF(OR(L739={"改紡","檢修","了機","清車","FINAL","停機","SAMPLE","TEST"}), "", IFERROR(IF(C739="", "", AVERAGE(L739:M739, P739:Q739, T739:U739, X739:Y739)/100), ""))</f>
        <v>67.775000000000006</v>
      </c>
      <c r="AD739" s="984">
        <f t="shared" si="122"/>
        <v>2.7083333333333335</v>
      </c>
      <c r="AE739" s="984">
        <f t="shared" si="129"/>
        <v>2.4166666666666665</v>
      </c>
      <c r="AF739" s="985" t="str">
        <f t="shared" si="123"/>
        <v>J</v>
      </c>
      <c r="AG739" s="1414">
        <v>1</v>
      </c>
      <c r="AH739" s="1002" t="s">
        <v>815</v>
      </c>
      <c r="AI739" s="986" t="s">
        <v>815</v>
      </c>
      <c r="AJ739" s="986" t="s">
        <v>16006</v>
      </c>
      <c r="AK739" s="986" t="s">
        <v>16006</v>
      </c>
      <c r="AL739" s="1415">
        <v>55</v>
      </c>
      <c r="AM739" s="1323">
        <v>46158</v>
      </c>
      <c r="AN739" s="1323">
        <v>46159</v>
      </c>
      <c r="AO739" s="1323">
        <v>46160</v>
      </c>
      <c r="AP739" s="1323"/>
      <c r="AQ739" s="1323"/>
      <c r="AR739" s="987"/>
      <c r="AS739" s="978" t="str">
        <f t="shared" si="124"/>
        <v>雙</v>
      </c>
      <c r="AT739" s="978" t="str">
        <f t="shared" si="125"/>
        <v>全</v>
      </c>
      <c r="AU739" s="978">
        <f t="shared" si="126"/>
        <v>150</v>
      </c>
      <c r="AV739" s="978">
        <f t="shared" si="127"/>
        <v>4.2161472000000009</v>
      </c>
    </row>
    <row r="740" spans="1:48">
      <c r="A740" s="975">
        <f t="shared" si="130"/>
        <v>46161</v>
      </c>
      <c r="B740" s="976" t="s">
        <v>234</v>
      </c>
      <c r="C740" s="976" t="s">
        <v>632</v>
      </c>
      <c r="D740" s="1410"/>
      <c r="E740" s="977" t="str">
        <f>IFERROR(VLOOKUP(C740, [6]條件!$A:$L, 5, 0), "")</f>
        <v/>
      </c>
      <c r="F740" s="978" t="str">
        <f>IFERROR(VLOOKUP(C740, [6]條件!$A:$L, 6, 0), "")</f>
        <v/>
      </c>
      <c r="G740" s="1411" t="str">
        <f>IFERROR(VLOOKUP(C740, [6]條件!$A:$L, 7, 0), "")</f>
        <v/>
      </c>
      <c r="H740" s="978" t="str">
        <f>IF(ISNA(VLOOKUP(C740,[6]條件!$A$1:$K$932,11,0)),"",(VLOOKUP(C740,[6]條件!$A$1:$K$932,11,0)))</f>
        <v/>
      </c>
      <c r="I740" s="979" t="str">
        <f>IF(ISNA(VLOOKUP(C740,[6]條件!$A$1:$L$932,12,0)),"",(VLOOKUP(C740,[6]條件!$A$1:$L$932,12,0)))</f>
        <v/>
      </c>
      <c r="J740" s="982"/>
      <c r="K740" s="980"/>
      <c r="L740" s="981" t="s">
        <v>632</v>
      </c>
      <c r="M740" s="983"/>
      <c r="N740" s="982"/>
      <c r="O740" s="980"/>
      <c r="P740" s="981" t="s">
        <v>632</v>
      </c>
      <c r="Q740" s="983"/>
      <c r="R740" s="982"/>
      <c r="S740" s="980"/>
      <c r="T740" s="981" t="s">
        <v>632</v>
      </c>
      <c r="U740" s="983"/>
      <c r="V740" s="982"/>
      <c r="W740" s="980"/>
      <c r="X740" s="981" t="s">
        <v>632</v>
      </c>
      <c r="Y740" s="983"/>
      <c r="Z740" s="1412" t="str">
        <f>IFERROR(VLOOKUP(C740, [6]條件!$A:$L, 3, 0), "")</f>
        <v/>
      </c>
      <c r="AA740" s="984" t="str">
        <f>IF(OR(L740={"改紡","檢修","了機","清車","FINAL","停機","SAMPLE","TEST","絲開發"}), L740, IFERROR(IF(C740="", "", (SUM(J740, N740, R740, V740)/3 * AG740) * IF(AND(AF740="S", AS740="雙"), 0.5, 1)), ""))</f>
        <v>停機</v>
      </c>
      <c r="AB740" s="1413" t="str">
        <f t="shared" si="128"/>
        <v/>
      </c>
      <c r="AC740" s="984" t="str">
        <f>IF(OR(L740={"改紡","檢修","了機","清車","FINAL","停機","SAMPLE","TEST"}), "", IFERROR(IF(C740="", "", AVERAGE(L740:M740, P740:Q740, T740:U740, X740:Y740)/100), ""))</f>
        <v/>
      </c>
      <c r="AD740" s="984" t="str">
        <f t="shared" si="122"/>
        <v/>
      </c>
      <c r="AE740" s="984" t="str">
        <f t="shared" si="129"/>
        <v/>
      </c>
      <c r="AF740" s="985" t="str">
        <f t="shared" si="123"/>
        <v>J</v>
      </c>
      <c r="AG740" s="1414">
        <v>1</v>
      </c>
      <c r="AH740" s="1002" t="s">
        <v>640</v>
      </c>
      <c r="AI740" s="986" t="s">
        <v>640</v>
      </c>
      <c r="AJ740" s="986" t="s">
        <v>640</v>
      </c>
      <c r="AK740" s="986" t="s">
        <v>640</v>
      </c>
      <c r="AL740" s="1415"/>
      <c r="AM740" s="1323"/>
      <c r="AN740" s="1323"/>
      <c r="AO740" s="1323"/>
      <c r="AP740" s="1323"/>
      <c r="AQ740" s="1323"/>
      <c r="AR740" s="987"/>
      <c r="AS740" s="978" t="str">
        <f t="shared" si="124"/>
        <v>單</v>
      </c>
      <c r="AT740" s="978" t="str">
        <f t="shared" si="125"/>
        <v>全</v>
      </c>
      <c r="AU740" s="978" t="str">
        <f t="shared" si="126"/>
        <v/>
      </c>
      <c r="AV740" s="978" t="str">
        <f t="shared" si="127"/>
        <v/>
      </c>
    </row>
    <row r="741" spans="1:48">
      <c r="A741" s="975">
        <f t="shared" si="130"/>
        <v>46161</v>
      </c>
      <c r="B741" s="976" t="s">
        <v>235</v>
      </c>
      <c r="C741" s="976" t="s">
        <v>16765</v>
      </c>
      <c r="D741" s="1410" t="s">
        <v>633</v>
      </c>
      <c r="E741" s="977" t="str">
        <f>IFERROR(VLOOKUP(C741, [6]條件!$A:$L, 5, 0), "")</f>
        <v>150/48/2SDr</v>
      </c>
      <c r="F741" s="978" t="str">
        <f>IFERROR(VLOOKUP(C741, [6]條件!$A:$L, 6, 0), "")</f>
        <v>FP82173R×2</v>
      </c>
      <c r="G741" s="1411">
        <f>IFERROR(VLOOKUP(C741, [6]條件!$A:$L, 7, 0), "")</f>
        <v>700</v>
      </c>
      <c r="H741" s="978" t="str">
        <f>IF(ISNA(VLOOKUP(C741,[6]條件!$A$1:$K$932,11,0)),"",(VLOOKUP(C741,[6]條件!$A$1:$K$932,11,0)))</f>
        <v>白紫條紋</v>
      </c>
      <c r="I741" s="979">
        <f>IF(ISNA(VLOOKUP(C741,[6]條件!$A$1:$L$932,12,0)),"",(VLOOKUP(C741,[6]條件!$A$1:$L$932,12,0)))</f>
        <v>5.5</v>
      </c>
      <c r="J741" s="982">
        <v>32</v>
      </c>
      <c r="K741" s="980">
        <v>0</v>
      </c>
      <c r="L741" s="981">
        <v>9170</v>
      </c>
      <c r="M741" s="983">
        <v>9540</v>
      </c>
      <c r="N741" s="982">
        <v>16</v>
      </c>
      <c r="O741" s="980">
        <v>4</v>
      </c>
      <c r="P741" s="981">
        <v>9150</v>
      </c>
      <c r="Q741" s="983">
        <v>9540</v>
      </c>
      <c r="R741" s="982">
        <v>8</v>
      </c>
      <c r="S741" s="980">
        <v>1</v>
      </c>
      <c r="T741" s="981">
        <v>9170</v>
      </c>
      <c r="U741" s="983">
        <v>9540</v>
      </c>
      <c r="V741" s="982">
        <v>15</v>
      </c>
      <c r="W741" s="980">
        <v>2</v>
      </c>
      <c r="X741" s="981">
        <v>8510</v>
      </c>
      <c r="Y741" s="983">
        <v>9170</v>
      </c>
      <c r="Z741" s="1412">
        <f>IFERROR(VLOOKUP(C741, [6]條件!$A:$L, 3, 0), "")</f>
        <v>5.8775510204081636</v>
      </c>
      <c r="AA741" s="984">
        <f>IF(OR(L741={"改紡","檢修","了機","清車","FINAL","停機","SAMPLE","TEST","絲開發"}), L741, IFERROR(IF(C741="", "", (SUM(J741, N741, R741, V741)/3 * AG741) * IF(AND(AF741="S", AS741="雙"), 0.5, 1)), ""))</f>
        <v>23.666666666666668</v>
      </c>
      <c r="AB741" s="1413">
        <f t="shared" si="128"/>
        <v>0.99427417200854706</v>
      </c>
      <c r="AC741" s="984">
        <f>IF(OR(L741={"改紡","檢修","了機","清車","FINAL","停機","SAMPLE","TEST"}), "", IFERROR(IF(C741="", "", AVERAGE(L741:M741, P741:Q741, T741:U741, X741:Y741)/100), ""))</f>
        <v>92.237499999999997</v>
      </c>
      <c r="AD741" s="984">
        <f t="shared" si="122"/>
        <v>2.9583333333333335</v>
      </c>
      <c r="AE741" s="984">
        <f t="shared" si="129"/>
        <v>2.6666666666666665</v>
      </c>
      <c r="AF741" s="985" t="str">
        <f t="shared" si="123"/>
        <v>T</v>
      </c>
      <c r="AG741" s="1414">
        <v>1</v>
      </c>
      <c r="AH741" s="1002" t="s">
        <v>638</v>
      </c>
      <c r="AI741" s="986" t="s">
        <v>638</v>
      </c>
      <c r="AJ741" s="986" t="s">
        <v>16023</v>
      </c>
      <c r="AK741" s="986" t="s">
        <v>16023</v>
      </c>
      <c r="AL741" s="1415">
        <v>56</v>
      </c>
      <c r="AM741" s="1323">
        <v>46156</v>
      </c>
      <c r="AN741" s="1323">
        <v>46157</v>
      </c>
      <c r="AO741" s="1323">
        <v>46158</v>
      </c>
      <c r="AP741" s="1323">
        <v>46160</v>
      </c>
      <c r="AQ741" s="1323"/>
      <c r="AR741" s="987"/>
      <c r="AS741" s="978" t="str">
        <f t="shared" si="124"/>
        <v>雙</v>
      </c>
      <c r="AT741" s="978" t="str">
        <f t="shared" si="125"/>
        <v>全</v>
      </c>
      <c r="AU741" s="978">
        <f t="shared" si="126"/>
        <v>150</v>
      </c>
      <c r="AV741" s="978">
        <f t="shared" si="127"/>
        <v>6.6942287999999994</v>
      </c>
    </row>
    <row r="742" spans="1:48">
      <c r="A742" s="975">
        <f t="shared" si="130"/>
        <v>46161</v>
      </c>
      <c r="B742" s="976" t="s">
        <v>237</v>
      </c>
      <c r="C742" s="976" t="s">
        <v>16759</v>
      </c>
      <c r="D742" s="1410" t="s">
        <v>633</v>
      </c>
      <c r="E742" s="977" t="str">
        <f>IFERROR(VLOOKUP(C742, [6]條件!$A:$L, 5, 0), "")</f>
        <v>150/48/2SDr</v>
      </c>
      <c r="F742" s="978" t="str">
        <f>IFERROR(VLOOKUP(C742, [6]條件!$A:$L, 6, 0), "")</f>
        <v>FP82171R×2</v>
      </c>
      <c r="G742" s="1411">
        <f>IFERROR(VLOOKUP(C742, [6]條件!$A:$L, 7, 0), "")</f>
        <v>700</v>
      </c>
      <c r="H742" s="978" t="str">
        <f>IF(ISNA(VLOOKUP(C742,[6]條件!$A$1:$K$932,11,0)),"",(VLOOKUP(C742,[6]條件!$A$1:$K$932,11,0)))</f>
        <v>紅底黃星</v>
      </c>
      <c r="I742" s="979">
        <f>IF(ISNA(VLOOKUP(C742,[6]條件!$A$1:$L$932,12,0)),"",(VLOOKUP(C742,[6]條件!$A$1:$L$932,12,0)))</f>
        <v>5.5</v>
      </c>
      <c r="J742" s="982">
        <v>40</v>
      </c>
      <c r="K742" s="980">
        <v>6</v>
      </c>
      <c r="L742" s="981">
        <v>9540</v>
      </c>
      <c r="M742" s="983">
        <v>9170</v>
      </c>
      <c r="N742" s="982">
        <v>16</v>
      </c>
      <c r="O742" s="980">
        <v>6</v>
      </c>
      <c r="P742" s="981">
        <v>9540</v>
      </c>
      <c r="Q742" s="983">
        <v>9070</v>
      </c>
      <c r="R742" s="982">
        <v>11</v>
      </c>
      <c r="S742" s="980">
        <v>1</v>
      </c>
      <c r="T742" s="981">
        <v>9540</v>
      </c>
      <c r="U742" s="983">
        <v>9070</v>
      </c>
      <c r="V742" s="982">
        <v>25</v>
      </c>
      <c r="W742" s="980">
        <v>3</v>
      </c>
      <c r="X742" s="981">
        <v>9070</v>
      </c>
      <c r="Y742" s="983">
        <v>8700</v>
      </c>
      <c r="Z742" s="1412">
        <f>IFERROR(VLOOKUP(C742, [6]條件!$A:$L, 3, 0), "")</f>
        <v>5.8299595141700413</v>
      </c>
      <c r="AA742" s="984">
        <f>IF(OR(L742={"改紡","檢修","了機","清車","FINAL","停機","SAMPLE","TEST","絲開發"}), L742, IFERROR(IF(C742="", "", (SUM(J742, N742, R742, V742)/3 * AG742) * IF(AND(AF742="S", AS742="雙"), 0.5, 1)), ""))</f>
        <v>30.666666666666668</v>
      </c>
      <c r="AB742" s="1413">
        <f t="shared" si="128"/>
        <v>0.9868055555555556</v>
      </c>
      <c r="AC742" s="984">
        <f>IF(OR(L742={"改紡","檢修","了機","清車","FINAL","停機","SAMPLE","TEST"}), "", IFERROR(IF(C742="", "", AVERAGE(L742:M742, P742:Q742, T742:U742, X742:Y742)/100), ""))</f>
        <v>92.125</v>
      </c>
      <c r="AD742" s="984">
        <f t="shared" si="122"/>
        <v>3.8333333333333335</v>
      </c>
      <c r="AE742" s="984">
        <f t="shared" si="129"/>
        <v>3.1666666666666665</v>
      </c>
      <c r="AF742" s="985" t="str">
        <f t="shared" si="123"/>
        <v>T</v>
      </c>
      <c r="AG742" s="1414">
        <v>1</v>
      </c>
      <c r="AH742" s="1002" t="s">
        <v>638</v>
      </c>
      <c r="AI742" s="986" t="s">
        <v>638</v>
      </c>
      <c r="AJ742" s="986" t="s">
        <v>16023</v>
      </c>
      <c r="AK742" s="986" t="s">
        <v>16023</v>
      </c>
      <c r="AL742" s="1415">
        <v>55</v>
      </c>
      <c r="AM742" s="1323">
        <v>46157</v>
      </c>
      <c r="AN742" s="1323">
        <v>46158</v>
      </c>
      <c r="AO742" s="1323">
        <v>46159</v>
      </c>
      <c r="AP742" s="1323"/>
      <c r="AQ742" s="1323"/>
      <c r="AR742" s="987"/>
      <c r="AS742" s="978" t="str">
        <f t="shared" si="124"/>
        <v>雙</v>
      </c>
      <c r="AT742" s="978" t="str">
        <f t="shared" si="125"/>
        <v>全</v>
      </c>
      <c r="AU742" s="978">
        <f t="shared" si="126"/>
        <v>150</v>
      </c>
      <c r="AV742" s="978">
        <f t="shared" si="127"/>
        <v>6.686064</v>
      </c>
    </row>
    <row r="743" spans="1:48">
      <c r="A743" s="975">
        <f t="shared" si="130"/>
        <v>46161</v>
      </c>
      <c r="B743" s="976" t="s">
        <v>238</v>
      </c>
      <c r="C743" s="976" t="s">
        <v>16743</v>
      </c>
      <c r="D743" s="1410"/>
      <c r="E743" s="977" t="str">
        <f>IFERROR(VLOOKUP(C743, [6]條件!$A:$L, 5, 0), "")</f>
        <v>150/48/2SDr</v>
      </c>
      <c r="F743" s="978" t="str">
        <f>IFERROR(VLOOKUP(C743, [6]條件!$A:$L, 6, 0), "")</f>
        <v>FP82169R×2</v>
      </c>
      <c r="G743" s="1411">
        <f>IFERROR(VLOOKUP(C743, [6]條件!$A:$L, 7, 0), "")</f>
        <v>670</v>
      </c>
      <c r="H743" s="978" t="str">
        <f>IF(ISNA(VLOOKUP(C743,[6]條件!$A$1:$K$932,11,0)),"",(VLOOKUP(C743,[6]條件!$A$1:$K$932,11,0)))</f>
        <v>黃底紅點</v>
      </c>
      <c r="I743" s="979">
        <f>IF(ISNA(VLOOKUP(C743,[6]條件!$A$1:$L$932,12,0)),"",(VLOOKUP(C743,[6]條件!$A$1:$L$932,12,0)))</f>
        <v>5</v>
      </c>
      <c r="J743" s="982">
        <v>24</v>
      </c>
      <c r="K743" s="980">
        <v>0</v>
      </c>
      <c r="L743" s="981">
        <v>9350</v>
      </c>
      <c r="M743" s="983"/>
      <c r="N743" s="982">
        <v>6</v>
      </c>
      <c r="O743" s="980">
        <v>0</v>
      </c>
      <c r="P743" s="981">
        <v>9350</v>
      </c>
      <c r="Q743" s="983"/>
      <c r="R743" s="982">
        <v>9</v>
      </c>
      <c r="S743" s="980">
        <v>3</v>
      </c>
      <c r="T743" s="981">
        <v>9170</v>
      </c>
      <c r="U743" s="983"/>
      <c r="V743" s="982">
        <v>22</v>
      </c>
      <c r="W743" s="980">
        <v>4</v>
      </c>
      <c r="X743" s="981">
        <v>9170</v>
      </c>
      <c r="Y743" s="983"/>
      <c r="Z743" s="1412">
        <f>IFERROR(VLOOKUP(C743, [6]條件!$A:$L, 3, 0), "")</f>
        <v>6.2882096069868991</v>
      </c>
      <c r="AA743" s="984">
        <f>IF(OR(L743={"改紡","檢修","了機","清車","FINAL","停機","SAMPLE","TEST","絲開發"}), L743, IFERROR(IF(C743="", "", (SUM(J743, N743, R743, V743)/3 * AG743) * IF(AND(AF743="S", AS743="雙"), 0.5, 1)), ""))</f>
        <v>40.666666666666664</v>
      </c>
      <c r="AB743" s="1413">
        <f t="shared" si="128"/>
        <v>0.99464810363247869</v>
      </c>
      <c r="AC743" s="984">
        <f>IF(OR(L743={"改紡","檢修","了機","清車","FINAL","停機","SAMPLE","TEST"}), "", IFERROR(IF(C743="", "", AVERAGE(L743:M743, P743:Q743, T743:U743, X743:Y743)/100), ""))</f>
        <v>92.6</v>
      </c>
      <c r="AD743" s="984">
        <f t="shared" si="122"/>
        <v>5.083333333333333</v>
      </c>
      <c r="AE743" s="984">
        <f t="shared" si="129"/>
        <v>4.5</v>
      </c>
      <c r="AF743" s="985" t="str">
        <f t="shared" si="123"/>
        <v>T</v>
      </c>
      <c r="AG743" s="1414">
        <v>2</v>
      </c>
      <c r="AH743" s="1002" t="s">
        <v>638</v>
      </c>
      <c r="AI743" s="986" t="s">
        <v>638</v>
      </c>
      <c r="AJ743" s="986" t="s">
        <v>16023</v>
      </c>
      <c r="AK743" s="986" t="s">
        <v>16023</v>
      </c>
      <c r="AL743" s="1415">
        <v>48</v>
      </c>
      <c r="AM743" s="1323">
        <v>46155</v>
      </c>
      <c r="AN743" s="1323">
        <v>46156</v>
      </c>
      <c r="AO743" s="1323">
        <v>46157</v>
      </c>
      <c r="AP743" s="1323"/>
      <c r="AQ743" s="1323"/>
      <c r="AR743" s="987"/>
      <c r="AS743" s="978" t="str">
        <f t="shared" si="124"/>
        <v>雙</v>
      </c>
      <c r="AT743" s="978" t="str">
        <f t="shared" si="125"/>
        <v>半</v>
      </c>
      <c r="AU743" s="978">
        <f t="shared" si="126"/>
        <v>150</v>
      </c>
      <c r="AV743" s="978">
        <f t="shared" si="127"/>
        <v>3.2162572799999998</v>
      </c>
    </row>
    <row r="744" spans="1:48">
      <c r="A744" s="975">
        <f t="shared" si="130"/>
        <v>46161</v>
      </c>
      <c r="B744" s="976" t="s">
        <v>238</v>
      </c>
      <c r="C744" s="976" t="s">
        <v>16742</v>
      </c>
      <c r="D744" s="1410"/>
      <c r="E744" s="977" t="str">
        <f>IFERROR(VLOOKUP(C744, [6]條件!$A:$L, 5, 0), "")</f>
        <v>150/48/2SDr</v>
      </c>
      <c r="F744" s="978" t="str">
        <f>IFERROR(VLOOKUP(C744, [6]條件!$A:$L, 6, 0), "")</f>
        <v>FP82169R×2</v>
      </c>
      <c r="G744" s="1411">
        <f>IFERROR(VLOOKUP(C744, [6]條件!$A:$L, 7, 0), "")</f>
        <v>670</v>
      </c>
      <c r="H744" s="978" t="str">
        <f>IF(ISNA(VLOOKUP(C744,[6]條件!$A$1:$K$932,11,0)),"",(VLOOKUP(C744,[6]條件!$A$1:$K$932,11,0)))</f>
        <v>紅底藍點</v>
      </c>
      <c r="I744" s="979">
        <f>IF(ISNA(VLOOKUP(C744,[6]條件!$A$1:$L$932,12,0)),"",(VLOOKUP(C744,[6]條件!$A$1:$L$932,12,0)))</f>
        <v>5</v>
      </c>
      <c r="J744" s="982">
        <v>42</v>
      </c>
      <c r="K744" s="980">
        <v>0</v>
      </c>
      <c r="L744" s="981"/>
      <c r="M744" s="983">
        <v>9810</v>
      </c>
      <c r="N744" s="982">
        <v>9</v>
      </c>
      <c r="O744" s="980">
        <v>0</v>
      </c>
      <c r="P744" s="981"/>
      <c r="Q744" s="983">
        <v>8610</v>
      </c>
      <c r="R744" s="982">
        <v>22</v>
      </c>
      <c r="S744" s="980">
        <v>0</v>
      </c>
      <c r="T744" s="981"/>
      <c r="U744" s="983">
        <v>9440</v>
      </c>
      <c r="V744" s="982">
        <v>21</v>
      </c>
      <c r="W744" s="980">
        <v>0</v>
      </c>
      <c r="X744" s="981"/>
      <c r="Y744" s="983">
        <v>9350</v>
      </c>
      <c r="Z744" s="1412">
        <f>IFERROR(VLOOKUP(C744, [6]條件!$A:$L, 3, 0), "")</f>
        <v>6.1802575107296125</v>
      </c>
      <c r="AA744" s="984">
        <f>IF(OR(L744={"改紡","檢修","了機","清車","FINAL","停機","SAMPLE","TEST","絲開發"}), L744, IFERROR(IF(C744="", "", (SUM(J744, N744, R744, V744)/3 * AG744) * IF(AND(AF744="S", AS744="雙"), 0.5, 1)), ""))</f>
        <v>62.666666666666664</v>
      </c>
      <c r="AB744" s="1413">
        <f t="shared" si="128"/>
        <v>1</v>
      </c>
      <c r="AC744" s="984">
        <f>IF(OR(L744={"改紡","檢修","了機","清車","FINAL","停機","SAMPLE","TEST"}), "", IFERROR(IF(C744="", "", AVERAGE(L744:M744, P744:Q744, T744:U744, X744:Y744)/100), ""))</f>
        <v>93.025000000000006</v>
      </c>
      <c r="AD744" s="984">
        <f t="shared" si="122"/>
        <v>7.833333333333333</v>
      </c>
      <c r="AE744" s="984">
        <f t="shared" si="129"/>
        <v>7.833333333333333</v>
      </c>
      <c r="AF744" s="985" t="str">
        <f t="shared" si="123"/>
        <v>T</v>
      </c>
      <c r="AG744" s="1414">
        <v>2</v>
      </c>
      <c r="AH744" s="1002" t="s">
        <v>15337</v>
      </c>
      <c r="AI744" s="986" t="s">
        <v>15337</v>
      </c>
      <c r="AJ744" s="986" t="s">
        <v>16014</v>
      </c>
      <c r="AK744" s="986" t="s">
        <v>16014</v>
      </c>
      <c r="AL744" s="1415">
        <v>48</v>
      </c>
      <c r="AM744" s="1323">
        <v>46155</v>
      </c>
      <c r="AN744" s="1323">
        <v>46156</v>
      </c>
      <c r="AO744" s="1323">
        <v>46157</v>
      </c>
      <c r="AP744" s="1323"/>
      <c r="AQ744" s="1323"/>
      <c r="AR744" s="987"/>
      <c r="AS744" s="978" t="str">
        <f t="shared" si="124"/>
        <v>雙</v>
      </c>
      <c r="AT744" s="978" t="str">
        <f t="shared" si="125"/>
        <v>半</v>
      </c>
      <c r="AU744" s="978">
        <f t="shared" si="126"/>
        <v>150</v>
      </c>
      <c r="AV744" s="978">
        <f t="shared" si="127"/>
        <v>3.2310187200000007</v>
      </c>
    </row>
    <row r="745" spans="1:48">
      <c r="A745" s="975">
        <f t="shared" si="130"/>
        <v>46161</v>
      </c>
      <c r="B745" s="976" t="s">
        <v>239</v>
      </c>
      <c r="C745" s="976" t="s">
        <v>632</v>
      </c>
      <c r="D745" s="1410"/>
      <c r="E745" s="977" t="str">
        <f>IFERROR(VLOOKUP(C745, [6]條件!$A:$L, 5, 0), "")</f>
        <v/>
      </c>
      <c r="F745" s="978" t="str">
        <f>IFERROR(VLOOKUP(C745, [6]條件!$A:$L, 6, 0), "")</f>
        <v/>
      </c>
      <c r="G745" s="1411" t="str">
        <f>IFERROR(VLOOKUP(C745, [6]條件!$A:$L, 7, 0), "")</f>
        <v/>
      </c>
      <c r="H745" s="978" t="str">
        <f>IF(ISNA(VLOOKUP(C745,[6]條件!$A$1:$K$932,11,0)),"",(VLOOKUP(C745,[6]條件!$A$1:$K$932,11,0)))</f>
        <v/>
      </c>
      <c r="I745" s="979" t="str">
        <f>IF(ISNA(VLOOKUP(C745,[6]條件!$A$1:$L$932,12,0)),"",(VLOOKUP(C745,[6]條件!$A$1:$L$932,12,0)))</f>
        <v/>
      </c>
      <c r="J745" s="982"/>
      <c r="K745" s="980"/>
      <c r="L745" s="981" t="s">
        <v>632</v>
      </c>
      <c r="M745" s="983"/>
      <c r="N745" s="982"/>
      <c r="O745" s="980"/>
      <c r="P745" s="981" t="s">
        <v>632</v>
      </c>
      <c r="Q745" s="983"/>
      <c r="R745" s="982"/>
      <c r="S745" s="980"/>
      <c r="T745" s="981" t="s">
        <v>632</v>
      </c>
      <c r="U745" s="983"/>
      <c r="V745" s="982"/>
      <c r="W745" s="980"/>
      <c r="X745" s="981" t="s">
        <v>632</v>
      </c>
      <c r="Y745" s="983"/>
      <c r="Z745" s="1412" t="str">
        <f>IFERROR(VLOOKUP(C745, [6]條件!$A:$L, 3, 0), "")</f>
        <v/>
      </c>
      <c r="AA745" s="984" t="str">
        <f>IF(OR(L745={"改紡","檢修","了機","清車","FINAL","停機","SAMPLE","TEST","絲開發"}), L745, IFERROR(IF(C745="", "", (SUM(J745, N745, R745, V745)/3 * AG745) * IF(AND(AF745="S", AS745="雙"), 0.5, 1)), ""))</f>
        <v>停機</v>
      </c>
      <c r="AB745" s="1413" t="str">
        <f t="shared" si="128"/>
        <v/>
      </c>
      <c r="AC745" s="984" t="str">
        <f>IF(OR(L745={"改紡","檢修","了機","清車","FINAL","停機","SAMPLE","TEST"}), "", IFERROR(IF(C745="", "", AVERAGE(L745:M745, P745:Q745, T745:U745, X745:Y745)/100), ""))</f>
        <v/>
      </c>
      <c r="AD745" s="984" t="str">
        <f t="shared" si="122"/>
        <v/>
      </c>
      <c r="AE745" s="984" t="str">
        <f t="shared" si="129"/>
        <v/>
      </c>
      <c r="AF745" s="985" t="str">
        <f t="shared" si="123"/>
        <v>T</v>
      </c>
      <c r="AG745" s="1414">
        <v>1</v>
      </c>
      <c r="AH745" s="1002" t="s">
        <v>640</v>
      </c>
      <c r="AI745" s="986" t="s">
        <v>640</v>
      </c>
      <c r="AJ745" s="986" t="s">
        <v>640</v>
      </c>
      <c r="AK745" s="986" t="s">
        <v>640</v>
      </c>
      <c r="AL745" s="1415"/>
      <c r="AM745" s="1323"/>
      <c r="AN745" s="1323"/>
      <c r="AO745" s="1323"/>
      <c r="AP745" s="1323"/>
      <c r="AQ745" s="1323"/>
      <c r="AR745" s="987"/>
      <c r="AS745" s="978" t="str">
        <f t="shared" si="124"/>
        <v>單</v>
      </c>
      <c r="AT745" s="978" t="str">
        <f t="shared" si="125"/>
        <v>全</v>
      </c>
      <c r="AU745" s="978" t="str">
        <f t="shared" si="126"/>
        <v/>
      </c>
      <c r="AV745" s="978" t="str">
        <f t="shared" si="127"/>
        <v/>
      </c>
    </row>
    <row r="746" spans="1:48">
      <c r="A746" s="975">
        <f t="shared" si="130"/>
        <v>46161</v>
      </c>
      <c r="B746" s="976" t="s">
        <v>388</v>
      </c>
      <c r="C746" s="976" t="s">
        <v>16775</v>
      </c>
      <c r="D746" s="1410" t="s">
        <v>633</v>
      </c>
      <c r="E746" s="977" t="str">
        <f>IFERROR(VLOOKUP(C746, [6]條件!$A:$L, 5, 0), "")</f>
        <v>150/48/2SDr</v>
      </c>
      <c r="F746" s="978" t="str">
        <f>IFERROR(VLOOKUP(C746, [6]條件!$A:$L, 6, 0), "")</f>
        <v>FP82173R×2</v>
      </c>
      <c r="G746" s="1411">
        <f>IFERROR(VLOOKUP(C746, [6]條件!$A:$L, 7, 0), "")</f>
        <v>700</v>
      </c>
      <c r="H746" s="978" t="str">
        <f>IF(ISNA(VLOOKUP(C746,[6]條件!$A$1:$K$932,11,0)),"",(VLOOKUP(C746,[6]條件!$A$1:$K$932,11,0)))</f>
        <v>黃紅雙色</v>
      </c>
      <c r="I746" s="979">
        <f>IF(ISNA(VLOOKUP(C746,[6]條件!$A$1:$L$932,12,0)),"",(VLOOKUP(C746,[6]條件!$A$1:$L$932,12,0)))</f>
        <v>5.5</v>
      </c>
      <c r="J746" s="982">
        <v>36</v>
      </c>
      <c r="K746" s="980">
        <v>0</v>
      </c>
      <c r="L746" s="981">
        <v>8700</v>
      </c>
      <c r="M746" s="983">
        <v>10000</v>
      </c>
      <c r="N746" s="982">
        <v>18</v>
      </c>
      <c r="O746" s="980">
        <v>0</v>
      </c>
      <c r="P746" s="981">
        <v>5700</v>
      </c>
      <c r="Q746" s="983">
        <v>8980</v>
      </c>
      <c r="R746" s="982">
        <v>21</v>
      </c>
      <c r="S746" s="980">
        <v>0</v>
      </c>
      <c r="T746" s="981">
        <v>6390</v>
      </c>
      <c r="U746" s="983">
        <v>9630</v>
      </c>
      <c r="V746" s="982">
        <v>44</v>
      </c>
      <c r="W746" s="980">
        <v>0</v>
      </c>
      <c r="X746" s="981">
        <v>8700</v>
      </c>
      <c r="Y746" s="983">
        <v>9910</v>
      </c>
      <c r="Z746" s="1412">
        <f>IFERROR(VLOOKUP(C746, [6]條件!$A:$L, 3, 0), "")</f>
        <v>5.8536585365853666</v>
      </c>
      <c r="AA746" s="984">
        <f>IF(OR(L746={"改紡","檢修","了機","清車","FINAL","停機","SAMPLE","TEST","絲開發"}), L746, IFERROR(IF(C746="", "", (SUM(J746, N746, R746, V746)/3 * AG746) * IF(AND(AF746="S", AS746="雙"), 0.5, 1)), ""))</f>
        <v>39.666666666666664</v>
      </c>
      <c r="AB746" s="1413">
        <f t="shared" si="128"/>
        <v>1</v>
      </c>
      <c r="AC746" s="984">
        <f>IF(OR(L746={"改紡","檢修","了機","清車","FINAL","停機","SAMPLE","TEST"}), "", IFERROR(IF(C746="", "", AVERAGE(L746:M746, P746:Q746, T746:U746, X746:Y746)/100), ""))</f>
        <v>85.012500000000003</v>
      </c>
      <c r="AD746" s="984">
        <f t="shared" si="122"/>
        <v>4.958333333333333</v>
      </c>
      <c r="AE746" s="984">
        <f t="shared" si="129"/>
        <v>4.958333333333333</v>
      </c>
      <c r="AF746" s="985" t="str">
        <f t="shared" si="123"/>
        <v>T</v>
      </c>
      <c r="AG746" s="1414">
        <v>1</v>
      </c>
      <c r="AH746" s="1002" t="s">
        <v>15337</v>
      </c>
      <c r="AI746" s="986" t="s">
        <v>15337</v>
      </c>
      <c r="AJ746" s="986" t="s">
        <v>16014</v>
      </c>
      <c r="AK746" s="986" t="s">
        <v>16014</v>
      </c>
      <c r="AL746" s="1415">
        <v>56</v>
      </c>
      <c r="AM746" s="1323">
        <v>46156</v>
      </c>
      <c r="AN746" s="1323">
        <v>46157</v>
      </c>
      <c r="AO746" s="1323">
        <v>46158</v>
      </c>
      <c r="AP746" s="1323">
        <v>46159</v>
      </c>
      <c r="AQ746" s="1323"/>
      <c r="AR746" s="987"/>
      <c r="AS746" s="978" t="str">
        <f t="shared" si="124"/>
        <v>雙</v>
      </c>
      <c r="AT746" s="978" t="str">
        <f t="shared" si="125"/>
        <v>全</v>
      </c>
      <c r="AU746" s="978">
        <f t="shared" si="126"/>
        <v>150</v>
      </c>
      <c r="AV746" s="978">
        <f t="shared" si="127"/>
        <v>6.1698671999999997</v>
      </c>
    </row>
    <row r="747" spans="1:48">
      <c r="A747" s="975">
        <f t="shared" si="130"/>
        <v>46161</v>
      </c>
      <c r="B747" s="976" t="s">
        <v>417</v>
      </c>
      <c r="C747" s="976" t="s">
        <v>16767</v>
      </c>
      <c r="D747" s="1410" t="s">
        <v>633</v>
      </c>
      <c r="E747" s="977" t="str">
        <f>IFERROR(VLOOKUP(C747, [6]條件!$A:$L, 5, 0), "")</f>
        <v>150/48/2SDr</v>
      </c>
      <c r="F747" s="978" t="str">
        <f>IFERROR(VLOOKUP(C747, [6]條件!$A:$L, 6, 0), "")</f>
        <v>FP82173R×2</v>
      </c>
      <c r="G747" s="1411">
        <f>IFERROR(VLOOKUP(C747, [6]條件!$A:$L, 7, 0), "")</f>
        <v>700</v>
      </c>
      <c r="H747" s="978" t="str">
        <f>IF(ISNA(VLOOKUP(C747,[6]條件!$A$1:$K$932,11,0)),"",(VLOOKUP(C747,[6]條件!$A$1:$K$932,11,0)))</f>
        <v>棕色</v>
      </c>
      <c r="I747" s="979">
        <f>IF(ISNA(VLOOKUP(C747,[6]條件!$A$1:$L$932,12,0)),"",(VLOOKUP(C747,[6]條件!$A$1:$L$932,12,0)))</f>
        <v>5.5</v>
      </c>
      <c r="J747" s="982">
        <v>24</v>
      </c>
      <c r="K747" s="980">
        <v>2</v>
      </c>
      <c r="L747" s="981">
        <v>9260</v>
      </c>
      <c r="M747" s="983">
        <v>9070</v>
      </c>
      <c r="N747" s="982">
        <v>35</v>
      </c>
      <c r="O747" s="980">
        <v>0</v>
      </c>
      <c r="P747" s="981">
        <v>9630</v>
      </c>
      <c r="Q747" s="983">
        <v>9350</v>
      </c>
      <c r="R747" s="982">
        <v>14</v>
      </c>
      <c r="S747" s="980">
        <v>0</v>
      </c>
      <c r="T747" s="981">
        <v>9720</v>
      </c>
      <c r="U747" s="983">
        <v>8890</v>
      </c>
      <c r="V747" s="982">
        <v>26</v>
      </c>
      <c r="W747" s="980">
        <v>0</v>
      </c>
      <c r="X747" s="981">
        <v>9810</v>
      </c>
      <c r="Y747" s="983">
        <v>9440</v>
      </c>
      <c r="Z747" s="1412">
        <f>IFERROR(VLOOKUP(C747, [6]條件!$A:$L, 3, 0), "")</f>
        <v>5.8536585365853666</v>
      </c>
      <c r="AA747" s="984">
        <f>IF(OR(L747={"改紡","檢修","了機","清車","FINAL","停機","SAMPLE","TEST","絲開發"}), L747, IFERROR(IF(C747="", "", (SUM(J747, N747, R747, V747)/3 * AG747) * IF(AND(AF747="S", AS747="雙"), 0.5, 1)), ""))</f>
        <v>33</v>
      </c>
      <c r="AB747" s="1413">
        <f t="shared" si="128"/>
        <v>0.99835737179487183</v>
      </c>
      <c r="AC747" s="984">
        <f>IF(OR(L747={"改紡","檢修","了機","清車","FINAL","停機","SAMPLE","TEST"}), "", IFERROR(IF(C747="", "", AVERAGE(L747:M747, P747:Q747, T747:U747, X747:Y747)/100), ""))</f>
        <v>93.962500000000006</v>
      </c>
      <c r="AD747" s="984">
        <f t="shared" si="122"/>
        <v>4.125</v>
      </c>
      <c r="AE747" s="984">
        <f t="shared" si="129"/>
        <v>4.041666666666667</v>
      </c>
      <c r="AF747" s="985" t="str">
        <f t="shared" si="123"/>
        <v>T</v>
      </c>
      <c r="AG747" s="1414">
        <v>1</v>
      </c>
      <c r="AH747" s="1002" t="s">
        <v>15337</v>
      </c>
      <c r="AI747" s="986" t="s">
        <v>15337</v>
      </c>
      <c r="AJ747" s="986" t="s">
        <v>16014</v>
      </c>
      <c r="AK747" s="986" t="s">
        <v>16014</v>
      </c>
      <c r="AL747" s="1415">
        <v>56</v>
      </c>
      <c r="AM747" s="1323">
        <v>46157</v>
      </c>
      <c r="AN747" s="1323">
        <v>46158</v>
      </c>
      <c r="AO747" s="1323">
        <v>46159</v>
      </c>
      <c r="AP747" s="1323"/>
      <c r="AQ747" s="1323"/>
      <c r="AR747" s="987"/>
      <c r="AS747" s="978" t="str">
        <f t="shared" si="124"/>
        <v>雙</v>
      </c>
      <c r="AT747" s="978" t="str">
        <f t="shared" si="125"/>
        <v>全</v>
      </c>
      <c r="AU747" s="978">
        <f t="shared" si="126"/>
        <v>150</v>
      </c>
      <c r="AV747" s="978">
        <f t="shared" si="127"/>
        <v>6.8194223999999997</v>
      </c>
    </row>
    <row r="748" spans="1:48">
      <c r="A748" s="975">
        <f t="shared" si="130"/>
        <v>46161</v>
      </c>
      <c r="B748" s="976" t="s">
        <v>240</v>
      </c>
      <c r="C748" s="976" t="s">
        <v>16776</v>
      </c>
      <c r="D748" s="1410"/>
      <c r="E748" s="977" t="str">
        <f>IFERROR(VLOOKUP(C748, [6]條件!$A:$L, 5, 0), "")</f>
        <v>50/72/2SDFFR</v>
      </c>
      <c r="F748" s="978" t="str">
        <f>IFERROR(VLOOKUP(C748, [6]條件!$A:$L, 6, 0), "")</f>
        <v>FP80099R×2</v>
      </c>
      <c r="G748" s="1411">
        <f>IFERROR(VLOOKUP(C748, [6]條件!$A:$L, 7, 0), "")</f>
        <v>500</v>
      </c>
      <c r="H748" s="978" t="str">
        <f>IF(ISNA(VLOOKUP(C748,[6]條件!$A$1:$K$932,11,0)),"",(VLOOKUP(C748,[6]條件!$A$1:$K$932,11,0)))</f>
        <v>白黑三角</v>
      </c>
      <c r="I748" s="979">
        <f>IF(ISNA(VLOOKUP(C748,[6]條件!$A$1:$L$932,12,0)),"",(VLOOKUP(C748,[6]條件!$A$1:$L$932,12,0)))</f>
        <v>4</v>
      </c>
      <c r="J748" s="982">
        <v>22</v>
      </c>
      <c r="K748" s="980">
        <v>0</v>
      </c>
      <c r="L748" s="981">
        <v>3109</v>
      </c>
      <c r="M748" s="983"/>
      <c r="N748" s="982">
        <v>12</v>
      </c>
      <c r="O748" s="980">
        <v>0</v>
      </c>
      <c r="P748" s="981">
        <v>3638</v>
      </c>
      <c r="Q748" s="983"/>
      <c r="R748" s="982"/>
      <c r="S748" s="980"/>
      <c r="T748" s="981"/>
      <c r="U748" s="983"/>
      <c r="V748" s="982">
        <v>0</v>
      </c>
      <c r="W748" s="980">
        <v>0</v>
      </c>
      <c r="X748" s="981">
        <v>2635</v>
      </c>
      <c r="Y748" s="983"/>
      <c r="Z748" s="1422">
        <f>IFERROR(VLOOKUP(C748, [6]條件!$A:$L, 3, 0), "")</f>
        <v>2.028169014084507</v>
      </c>
      <c r="AA748" s="1167">
        <f>IF(OR(L748={"改紡","檢修","了機","清車","FINAL","停機","SAMPLE","TEST","絲開發"}), L748, IFERROR(IF(C748="", "", (SUM(J748, N748, R748, V748)/3 * AG748) * IF(AND(AF748="S", AS748="雙"), 0.5, 1)), ""))</f>
        <v>17</v>
      </c>
      <c r="AB748" s="1423">
        <f>IF(K748="","",IF(ISERROR(1-((SUM(K748,O748,S748,W748)/((AG748*12)-(AG748*0.44)))/Z748)),"",(1-((SUM(K748,O748,S748,W748)/((AG748*12)-(AG748*0.44)))/Z748))))</f>
        <v>1</v>
      </c>
      <c r="AC748" s="1167">
        <f>IF(OR(L748={"改紡","檢修","了機","清車","FINAL","停機","SAMPLE","TEST"}), "", IFERROR(IF(C748="", "", AVERAGE(L748:M748, P748:Q748, T748:U748, X748:Y748)/100), ""))</f>
        <v>31.273333333333333</v>
      </c>
      <c r="AD748" s="1167">
        <f t="shared" si="122"/>
        <v>2.125</v>
      </c>
      <c r="AE748" s="1167">
        <f>IF(P748="了機","",IF(J748="","",IF(ISERROR((SUM(J748,N748,R748,V748)-SUM(K748,O748,S748,W748))/24),"",((SUM(J748,N748,R748,V748)-SUM(K748,O748,S748,W748))/24))))</f>
        <v>1.4166666666666667</v>
      </c>
      <c r="AF748" s="1168" t="str">
        <f t="shared" si="123"/>
        <v>S</v>
      </c>
      <c r="AG748" s="1424">
        <v>3</v>
      </c>
      <c r="AH748" s="1002" t="s">
        <v>815</v>
      </c>
      <c r="AI748" s="986" t="s">
        <v>815</v>
      </c>
      <c r="AJ748" s="986" t="s">
        <v>16006</v>
      </c>
      <c r="AK748" s="986" t="s">
        <v>16006</v>
      </c>
      <c r="AL748" s="1415">
        <v>50</v>
      </c>
      <c r="AM748" s="1323">
        <v>46040</v>
      </c>
      <c r="AN748" s="1323">
        <v>46041</v>
      </c>
      <c r="AO748" s="1323">
        <v>46044</v>
      </c>
      <c r="AP748" s="1323"/>
      <c r="AQ748" s="1323"/>
      <c r="AR748" s="987"/>
      <c r="AS748" s="978" t="str">
        <f t="shared" si="124"/>
        <v>雙</v>
      </c>
      <c r="AT748" s="978" t="str">
        <f t="shared" si="125"/>
        <v>3sec</v>
      </c>
      <c r="AU748" s="978">
        <f t="shared" si="126"/>
        <v>50</v>
      </c>
      <c r="AV748" s="978">
        <f t="shared" si="127"/>
        <v>3.3775200000000005E-2</v>
      </c>
    </row>
    <row r="749" spans="1:48">
      <c r="A749" s="975">
        <f t="shared" si="130"/>
        <v>46161</v>
      </c>
      <c r="B749" s="976" t="s">
        <v>240</v>
      </c>
      <c r="C749" s="976" t="s">
        <v>16777</v>
      </c>
      <c r="D749" s="1410"/>
      <c r="E749" s="977" t="str">
        <f>IFERROR(VLOOKUP(C749, [6]條件!$A:$L, 5, 0), "")</f>
        <v>75/72/2SDFFR</v>
      </c>
      <c r="F749" s="978" t="str">
        <f>IFERROR(VLOOKUP(C749, [6]條件!$A:$L, 6, 0), "")</f>
        <v>FP81209R×2</v>
      </c>
      <c r="G749" s="1411">
        <f>IFERROR(VLOOKUP(C749, [6]條件!$A:$L, 7, 0), "")</f>
        <v>600</v>
      </c>
      <c r="H749" s="978" t="str">
        <f>IF(ISNA(VLOOKUP(C749,[6]條件!$A$1:$K$932,11,0)),"",(VLOOKUP(C749,[6]條件!$A$1:$K$932,11,0)))</f>
        <v>白底紅十字</v>
      </c>
      <c r="I749" s="979">
        <f>IF(ISNA(VLOOKUP(C749,[6]條件!$A$1:$L$932,12,0)),"",(VLOOKUP(C749,[6]條件!$A$1:$L$932,12,0)))</f>
        <v>5</v>
      </c>
      <c r="J749" s="982">
        <v>12</v>
      </c>
      <c r="K749" s="980">
        <v>0</v>
      </c>
      <c r="L749" s="981">
        <v>3109</v>
      </c>
      <c r="M749" s="983"/>
      <c r="N749" s="982">
        <v>0</v>
      </c>
      <c r="O749" s="980">
        <v>0</v>
      </c>
      <c r="P749" s="981">
        <v>3638</v>
      </c>
      <c r="Q749" s="983"/>
      <c r="R749" s="982"/>
      <c r="S749" s="980"/>
      <c r="T749" s="981"/>
      <c r="U749" s="983"/>
      <c r="V749" s="982">
        <v>0</v>
      </c>
      <c r="W749" s="980">
        <v>0</v>
      </c>
      <c r="X749" s="981">
        <v>2635</v>
      </c>
      <c r="Y749" s="983"/>
      <c r="Z749" s="1422">
        <f>IFERROR(VLOOKUP(C749, [6]條件!$A:$L, 3, 0), "")</f>
        <v>2.7852998065764023</v>
      </c>
      <c r="AA749" s="1167">
        <f>IF(OR(L749={"改紡","檢修","了機","清車","FINAL","停機","SAMPLE","TEST","絲開發"}), L749, IFERROR(IF(C749="", "", (SUM(J749, N749, R749, V749)/3 * AG749) * IF(AND(AF749="S", AS749="雙"), 0.5, 1)), ""))</f>
        <v>6</v>
      </c>
      <c r="AB749" s="1423">
        <f>IF(K749="","",IF(ISERROR(1-((SUM(K749,O749,S749,W749)/((AG749*12)-(AG749*0.44)))/Z749)),"",(1-((SUM(K749,O749,S749,W749)/((AG749*12)-(AG749*0.44)))/Z749))))</f>
        <v>1</v>
      </c>
      <c r="AC749" s="1167">
        <f>IF(OR(L749={"改紡","檢修","了機","清車","FINAL","停機","SAMPLE","TEST"}), "", IFERROR(IF(C749="", "", AVERAGE(L749:M749, P749:Q749, T749:U749, X749:Y749)/100), ""))</f>
        <v>31.273333333333333</v>
      </c>
      <c r="AD749" s="1167">
        <f t="shared" si="122"/>
        <v>0.75</v>
      </c>
      <c r="AE749" s="1167">
        <f>IF(P749="了機","",IF(J749="","",IF(ISERROR((SUM(J749,N749,R749,V749)-SUM(K749,O749,S749,W749))/24),"",((SUM(J749,N749,R749,V749)-SUM(K749,O749,S749,W749))/24))))</f>
        <v>0.5</v>
      </c>
      <c r="AF749" s="1168" t="str">
        <f t="shared" si="123"/>
        <v>S</v>
      </c>
      <c r="AG749" s="1424">
        <v>3</v>
      </c>
      <c r="AH749" s="1002" t="s">
        <v>815</v>
      </c>
      <c r="AI749" s="986" t="s">
        <v>815</v>
      </c>
      <c r="AJ749" s="986" t="s">
        <v>16006</v>
      </c>
      <c r="AK749" s="986" t="s">
        <v>16006</v>
      </c>
      <c r="AL749" s="1415">
        <v>50</v>
      </c>
      <c r="AM749" s="1323">
        <v>46089</v>
      </c>
      <c r="AN749" s="1323"/>
      <c r="AO749" s="1323"/>
      <c r="AP749" s="1323"/>
      <c r="AQ749" s="1323"/>
      <c r="AR749" s="987"/>
      <c r="AS749" s="978" t="str">
        <f t="shared" si="124"/>
        <v>雙</v>
      </c>
      <c r="AT749" s="978" t="str">
        <f t="shared" si="125"/>
        <v>3sec</v>
      </c>
      <c r="AU749" s="978">
        <f t="shared" si="126"/>
        <v>75</v>
      </c>
      <c r="AV749" s="978">
        <f t="shared" si="127"/>
        <v>6.079536E-2</v>
      </c>
    </row>
    <row r="750" spans="1:48">
      <c r="A750" s="975">
        <f t="shared" si="130"/>
        <v>46161</v>
      </c>
      <c r="B750" s="976" t="s">
        <v>242</v>
      </c>
      <c r="C750" s="976" t="s">
        <v>385</v>
      </c>
      <c r="D750" s="1410"/>
      <c r="E750" s="977" t="str">
        <f>IFERROR(VLOOKUP(C750, [6]條件!$A:$L, 5, 0), "")</f>
        <v/>
      </c>
      <c r="F750" s="978" t="str">
        <f>IFERROR(VLOOKUP(C750, [6]條件!$A:$L, 6, 0), "")</f>
        <v/>
      </c>
      <c r="G750" s="1411" t="str">
        <f>IFERROR(VLOOKUP(C750, [6]條件!$A:$L, 7, 0), "")</f>
        <v/>
      </c>
      <c r="H750" s="978" t="str">
        <f>IF(ISNA(VLOOKUP(C750,[6]條件!$A$1:$K$932,11,0)),"",(VLOOKUP(C750,[6]條件!$A$1:$K$932,11,0)))</f>
        <v/>
      </c>
      <c r="I750" s="979" t="str">
        <f>IF(ISNA(VLOOKUP(C750,[6]條件!$A$1:$L$932,12,0)),"",(VLOOKUP(C750,[6]條件!$A$1:$L$932,12,0)))</f>
        <v/>
      </c>
      <c r="J750" s="982"/>
      <c r="K750" s="980"/>
      <c r="L750" s="981" t="s">
        <v>385</v>
      </c>
      <c r="M750" s="983"/>
      <c r="N750" s="982"/>
      <c r="O750" s="980"/>
      <c r="P750" s="981" t="s">
        <v>385</v>
      </c>
      <c r="Q750" s="983"/>
      <c r="R750" s="982"/>
      <c r="S750" s="980"/>
      <c r="T750" s="981" t="s">
        <v>385</v>
      </c>
      <c r="U750" s="983"/>
      <c r="V750" s="982"/>
      <c r="W750" s="980"/>
      <c r="X750" s="981" t="s">
        <v>385</v>
      </c>
      <c r="Y750" s="983"/>
      <c r="Z750" s="1422" t="str">
        <f>IFERROR(VLOOKUP(C750, [6]條件!$A:$L, 3, 0), "")</f>
        <v/>
      </c>
      <c r="AA750" s="1167" t="str">
        <f>IF(OR(L750={"改紡","檢修","了機","清車","FINAL","停機","SAMPLE","TEST","絲開發"}), L750, IFERROR(IF(C750="", "", (SUM(J750, N750, R750, V750)/3 * AG750) * IF(AND(AF750="S", AS750="雙"), 0.5, 1)), ""))</f>
        <v>絲開發</v>
      </c>
      <c r="AB750" s="1423" t="str">
        <f>IF(K750="","",IF(ISERROR(1-((SUM(K750,O750,S750,W750)/((AG750*12)-(AG750*0.44)))/Z750)),"",(1-((SUM(K750,O750,S750,W750)/((AG750*12)-(AG750*0.44)))/Z750))))</f>
        <v/>
      </c>
      <c r="AC750" s="1167" t="str">
        <f>IF(OR(L750={"改紡","檢修","了機","清車","FINAL","停機","SAMPLE","TEST"}), "", IFERROR(IF(C750="", "", AVERAGE(L750:M750, P750:Q750, T750:U750, X750:Y750)/100), ""))</f>
        <v/>
      </c>
      <c r="AD750" s="1167" t="str">
        <f t="shared" si="122"/>
        <v/>
      </c>
      <c r="AE750" s="1167" t="str">
        <f>IF(P750="了機","",IF(J750="","",IF(ISERROR((SUM(J750,N750,R750,V750)-SUM(K750,O750,S750,W750))/24),"",((SUM(J750,N750,R750,V750)-SUM(K750,O750,S750,W750))/24))))</f>
        <v/>
      </c>
      <c r="AF750" s="1168" t="str">
        <f t="shared" si="123"/>
        <v>S</v>
      </c>
      <c r="AG750" s="1424">
        <v>5</v>
      </c>
      <c r="AH750" s="1002" t="s">
        <v>815</v>
      </c>
      <c r="AI750" s="986" t="s">
        <v>815</v>
      </c>
      <c r="AJ750" s="986" t="s">
        <v>16006</v>
      </c>
      <c r="AK750" s="986" t="s">
        <v>16006</v>
      </c>
      <c r="AL750" s="1415"/>
      <c r="AM750" s="1323"/>
      <c r="AN750" s="1323"/>
      <c r="AO750" s="1323"/>
      <c r="AP750" s="1323"/>
      <c r="AQ750" s="1323"/>
      <c r="AR750" s="987"/>
      <c r="AS750" s="978" t="str">
        <f t="shared" si="124"/>
        <v>單</v>
      </c>
      <c r="AT750" s="978" t="str">
        <f t="shared" si="125"/>
        <v>5sec</v>
      </c>
      <c r="AU750" s="978" t="str">
        <f t="shared" si="126"/>
        <v/>
      </c>
      <c r="AV750" s="978" t="str">
        <f t="shared" si="127"/>
        <v/>
      </c>
    </row>
    <row r="751" spans="1:48">
      <c r="A751" s="975">
        <f t="shared" si="130"/>
        <v>46161</v>
      </c>
      <c r="B751" s="976" t="s">
        <v>16078</v>
      </c>
      <c r="C751" s="988" t="s">
        <v>16185</v>
      </c>
      <c r="D751" s="1410"/>
      <c r="E751" s="977" t="str">
        <f>IFERROR(VLOOKUP(C751, [6]條件!$A:$L, 5, 0), "")</f>
        <v/>
      </c>
      <c r="F751" s="978" t="str">
        <f>IFERROR(VLOOKUP(C751, [6]條件!$A:$L, 6, 0), "")</f>
        <v/>
      </c>
      <c r="G751" s="1411" t="str">
        <f>IFERROR(VLOOKUP(C751, [6]條件!$A:$L, 7, 0), "")</f>
        <v/>
      </c>
      <c r="H751" s="978" t="str">
        <f>IF(ISNA(VLOOKUP(C751,[6]條件!$A$1:$K$932,11,0)),"",(VLOOKUP(C751,[6]條件!$A$1:$K$932,11,0)))</f>
        <v/>
      </c>
      <c r="I751" s="979" t="str">
        <f>IF(ISNA(VLOOKUP(C751,[6]條件!$A$1:$L$932,12,0)),"",(VLOOKUP(C751,[6]條件!$A$1:$L$932,12,0)))</f>
        <v/>
      </c>
      <c r="J751" s="982"/>
      <c r="K751" s="980"/>
      <c r="L751" s="981" t="s">
        <v>632</v>
      </c>
      <c r="M751" s="983"/>
      <c r="N751" s="982"/>
      <c r="O751" s="980"/>
      <c r="P751" s="981" t="s">
        <v>632</v>
      </c>
      <c r="Q751" s="983"/>
      <c r="R751" s="982"/>
      <c r="S751" s="980"/>
      <c r="T751" s="981" t="s">
        <v>632</v>
      </c>
      <c r="U751" s="983"/>
      <c r="V751" s="982"/>
      <c r="W751" s="980"/>
      <c r="X751" s="981" t="s">
        <v>632</v>
      </c>
      <c r="Y751" s="983"/>
      <c r="Z751" s="1412" t="str">
        <f>IFERROR(VLOOKUP(C751, [6]條件!$A:$L, 3, 0), "")</f>
        <v/>
      </c>
      <c r="AA751" s="984" t="str">
        <f>IF(OR(L751={"改紡","檢修","了機","清車","FINAL","停機","SAMPLE","TEST","絲開發"}), L751, IFERROR(IF(C751="", "", (SUM(J751, N751, R751, V751)/3 * AG751) * IF(AND(AF751="S", AS751="雙"), 0.5, 1)), ""))</f>
        <v>停機</v>
      </c>
      <c r="AB751" s="1413" t="str">
        <f t="shared" ref="AB751:AB786" si="131">IF(K751="","",IF(ISERROR(1-(SUM(K751,O751,S751,W751)/208/Z751)),"",(1-(SUM(K751,O751,S751,W751)/208/Z751))))</f>
        <v/>
      </c>
      <c r="AC751" s="984" t="str">
        <f>IF(OR(L751={"改紡","檢修","了機","清車","FINAL","停機","SAMPLE","TEST"}), "", IFERROR(IF(C751="", "", AVERAGE(L751:M751, P751:Q751, T751:U751, X751:Y751)/100), ""))</f>
        <v/>
      </c>
      <c r="AD751" s="984" t="str">
        <f t="shared" si="122"/>
        <v/>
      </c>
      <c r="AE751" s="984" t="str">
        <f>IF(OR(L751="改紡", L751="檢修", L751="了機"), "",
   IF(AND(C751&lt;&gt;"", J751&lt;&gt;""),
      IFERROR((SUM(J751, N751, R751, V751) - SUM(K751, O751, S751, W751))/24 * AG751, ""),
   "")
)</f>
        <v/>
      </c>
      <c r="AF751" s="985" t="str">
        <f t="shared" si="123"/>
        <v>M</v>
      </c>
      <c r="AG751" s="1414">
        <v>1</v>
      </c>
      <c r="AH751" s="1002" t="s">
        <v>640</v>
      </c>
      <c r="AI751" s="986" t="s">
        <v>640</v>
      </c>
      <c r="AJ751" s="986" t="s">
        <v>640</v>
      </c>
      <c r="AK751" s="1417" t="s">
        <v>640</v>
      </c>
      <c r="AL751" s="1415"/>
      <c r="AM751" s="1323"/>
      <c r="AN751" s="1323"/>
      <c r="AO751" s="1323"/>
      <c r="AP751" s="1323"/>
      <c r="AQ751" s="1323"/>
      <c r="AR751" s="987"/>
      <c r="AS751" s="978" t="str">
        <f t="shared" si="124"/>
        <v>單</v>
      </c>
      <c r="AT751" s="978" t="str">
        <f t="shared" si="125"/>
        <v>全</v>
      </c>
      <c r="AU751" s="978" t="str">
        <f t="shared" si="126"/>
        <v/>
      </c>
      <c r="AV751" s="978" t="str">
        <f t="shared" si="127"/>
        <v/>
      </c>
    </row>
    <row r="752" spans="1:48">
      <c r="A752" s="975">
        <f t="shared" si="130"/>
        <v>46161</v>
      </c>
      <c r="B752" s="976" t="s">
        <v>243</v>
      </c>
      <c r="C752" s="988" t="s">
        <v>16185</v>
      </c>
      <c r="D752" s="1410"/>
      <c r="E752" s="977" t="str">
        <f>IFERROR(VLOOKUP(C752, [6]條件!$A:$L, 5, 0), "")</f>
        <v/>
      </c>
      <c r="F752" s="978" t="str">
        <f>IFERROR(VLOOKUP(C752, [6]條件!$A:$L, 6, 0), "")</f>
        <v/>
      </c>
      <c r="G752" s="1411" t="str">
        <f>IFERROR(VLOOKUP(C752, [6]條件!$A:$L, 7, 0), "")</f>
        <v/>
      </c>
      <c r="H752" s="978" t="str">
        <f>IF(ISNA(VLOOKUP(C752,[6]條件!$A$1:$K$932,11,0)),"",(VLOOKUP(C752,[6]條件!$A$1:$K$932,11,0)))</f>
        <v/>
      </c>
      <c r="I752" s="979" t="str">
        <f>IF(ISNA(VLOOKUP(C752,[6]條件!$A$1:$L$932,12,0)),"",(VLOOKUP(C752,[6]條件!$A$1:$L$932,12,0)))</f>
        <v/>
      </c>
      <c r="J752" s="982"/>
      <c r="K752" s="980"/>
      <c r="L752" s="981" t="s">
        <v>632</v>
      </c>
      <c r="M752" s="983"/>
      <c r="N752" s="982"/>
      <c r="O752" s="980"/>
      <c r="P752" s="981" t="s">
        <v>632</v>
      </c>
      <c r="Q752" s="983"/>
      <c r="R752" s="982"/>
      <c r="S752" s="980"/>
      <c r="T752" s="981" t="s">
        <v>632</v>
      </c>
      <c r="U752" s="983"/>
      <c r="V752" s="982"/>
      <c r="W752" s="980"/>
      <c r="X752" s="981" t="s">
        <v>632</v>
      </c>
      <c r="Y752" s="983"/>
      <c r="Z752" s="1412" t="str">
        <f>IFERROR(VLOOKUP(C752, [6]條件!$A:$L, 3, 0), "")</f>
        <v/>
      </c>
      <c r="AA752" s="984" t="str">
        <f>IF(OR(L752={"改紡","檢修","了機","清車","FINAL","停機","SAMPLE","TEST","絲開發"}), L752, IFERROR(IF(C752="", "", (SUM(J752, N752, R752, V752)/3 * AG752) * IF(AND(AF752="S", AS752="雙"), 0.5, 1)), ""))</f>
        <v>停機</v>
      </c>
      <c r="AB752" s="1413" t="str">
        <f t="shared" si="131"/>
        <v/>
      </c>
      <c r="AC752" s="984" t="str">
        <f>IF(OR(L752={"改紡","檢修","了機","清車","FINAL","停機","SAMPLE","TEST"}), "", IFERROR(IF(C752="", "", AVERAGE(L752:M752, P752:Q752, T752:U752, X752:Y752)/100), ""))</f>
        <v/>
      </c>
      <c r="AD752" s="984" t="str">
        <f t="shared" si="122"/>
        <v/>
      </c>
      <c r="AE752" s="984" t="str">
        <f t="shared" ref="AE752:AE786" si="132">IF(OR(L752="改紡", L752="檢修", L752="了機"), "",
IF(AND(C752&lt;&gt;"", J752&lt;&gt;""),
IFERROR((SUM(J752, N752, R752, V752) - SUM(K752, O752, S752, W752))/24 * AG752, ""),
"")
)</f>
        <v/>
      </c>
      <c r="AF752" s="985" t="str">
        <f t="shared" si="123"/>
        <v>M</v>
      </c>
      <c r="AG752" s="1414">
        <v>1</v>
      </c>
      <c r="AH752" s="1002" t="s">
        <v>640</v>
      </c>
      <c r="AI752" s="986" t="s">
        <v>640</v>
      </c>
      <c r="AJ752" s="986" t="s">
        <v>640</v>
      </c>
      <c r="AK752" s="1417" t="s">
        <v>640</v>
      </c>
      <c r="AL752" s="1415"/>
      <c r="AM752" s="1323"/>
      <c r="AN752" s="1323"/>
      <c r="AO752" s="1323"/>
      <c r="AP752" s="1323"/>
      <c r="AQ752" s="1323"/>
      <c r="AR752" s="987"/>
      <c r="AS752" s="978" t="str">
        <f t="shared" si="124"/>
        <v>單</v>
      </c>
      <c r="AT752" s="978" t="str">
        <f t="shared" si="125"/>
        <v>全</v>
      </c>
      <c r="AU752" s="978" t="str">
        <f t="shared" si="126"/>
        <v/>
      </c>
      <c r="AV752" s="978" t="str">
        <f t="shared" si="127"/>
        <v/>
      </c>
    </row>
    <row r="753" spans="1:48">
      <c r="A753" s="975">
        <f t="shared" si="130"/>
        <v>46161</v>
      </c>
      <c r="B753" s="976" t="s">
        <v>244</v>
      </c>
      <c r="C753" s="988" t="s">
        <v>16185</v>
      </c>
      <c r="D753" s="1410"/>
      <c r="E753" s="977" t="str">
        <f>IFERROR(VLOOKUP(C753, [6]條件!$A:$L, 5, 0), "")</f>
        <v/>
      </c>
      <c r="F753" s="978" t="str">
        <f>IFERROR(VLOOKUP(C753, [6]條件!$A:$L, 6, 0), "")</f>
        <v/>
      </c>
      <c r="G753" s="1411" t="str">
        <f>IFERROR(VLOOKUP(C753, [6]條件!$A:$L, 7, 0), "")</f>
        <v/>
      </c>
      <c r="H753" s="978" t="str">
        <f>IF(ISNA(VLOOKUP(C753,[6]條件!$A$1:$K$932,11,0)),"",(VLOOKUP(C753,[6]條件!$A$1:$K$932,11,0)))</f>
        <v/>
      </c>
      <c r="I753" s="979" t="str">
        <f>IF(ISNA(VLOOKUP(C753,[6]條件!$A$1:$L$932,12,0)),"",(VLOOKUP(C753,[6]條件!$A$1:$L$932,12,0)))</f>
        <v/>
      </c>
      <c r="J753" s="982"/>
      <c r="K753" s="980"/>
      <c r="L753" s="981" t="s">
        <v>632</v>
      </c>
      <c r="M753" s="983"/>
      <c r="N753" s="982"/>
      <c r="O753" s="980"/>
      <c r="P753" s="981" t="s">
        <v>632</v>
      </c>
      <c r="Q753" s="983"/>
      <c r="R753" s="982"/>
      <c r="S753" s="980"/>
      <c r="T753" s="981" t="s">
        <v>632</v>
      </c>
      <c r="U753" s="983"/>
      <c r="V753" s="982"/>
      <c r="W753" s="980"/>
      <c r="X753" s="981" t="s">
        <v>632</v>
      </c>
      <c r="Y753" s="983"/>
      <c r="Z753" s="1412" t="str">
        <f>IFERROR(VLOOKUP(C753, [6]條件!$A:$L, 3, 0), "")</f>
        <v/>
      </c>
      <c r="AA753" s="984" t="str">
        <f>IF(OR(L753={"改紡","檢修","了機","清車","FINAL","停機","SAMPLE","TEST","絲開發"}), L753, IFERROR(IF(C753="", "", (SUM(J753, N753, R753, V753)/3 * AG753) * IF(AND(AF753="S", AS753="雙"), 0.5, 1)), ""))</f>
        <v>停機</v>
      </c>
      <c r="AB753" s="1413" t="str">
        <f t="shared" si="131"/>
        <v/>
      </c>
      <c r="AC753" s="984" t="str">
        <f>IF(OR(L753={"改紡","檢修","了機","清車","FINAL","停機","SAMPLE","TEST"}), "", IFERROR(IF(C753="", "", AVERAGE(L753:M753, P753:Q753, T753:U753, X753:Y753)/100), ""))</f>
        <v/>
      </c>
      <c r="AD753" s="984" t="str">
        <f t="shared" si="122"/>
        <v/>
      </c>
      <c r="AE753" s="984" t="str">
        <f t="shared" si="132"/>
        <v/>
      </c>
      <c r="AF753" s="985" t="str">
        <f t="shared" si="123"/>
        <v>M</v>
      </c>
      <c r="AG753" s="1414">
        <v>1</v>
      </c>
      <c r="AH753" s="1002" t="s">
        <v>640</v>
      </c>
      <c r="AI753" s="986" t="s">
        <v>640</v>
      </c>
      <c r="AJ753" s="986" t="s">
        <v>640</v>
      </c>
      <c r="AK753" s="1417" t="s">
        <v>640</v>
      </c>
      <c r="AL753" s="1415"/>
      <c r="AM753" s="1323"/>
      <c r="AN753" s="1323"/>
      <c r="AO753" s="1323"/>
      <c r="AP753" s="1323"/>
      <c r="AQ753" s="1323"/>
      <c r="AR753" s="987"/>
      <c r="AS753" s="978" t="str">
        <f t="shared" si="124"/>
        <v>單</v>
      </c>
      <c r="AT753" s="978" t="str">
        <f t="shared" si="125"/>
        <v>全</v>
      </c>
      <c r="AU753" s="978" t="str">
        <f t="shared" si="126"/>
        <v/>
      </c>
      <c r="AV753" s="978" t="str">
        <f t="shared" si="127"/>
        <v/>
      </c>
    </row>
    <row r="754" spans="1:48">
      <c r="A754" s="975">
        <f t="shared" si="130"/>
        <v>46161</v>
      </c>
      <c r="B754" s="976" t="s">
        <v>245</v>
      </c>
      <c r="C754" s="988" t="s">
        <v>16185</v>
      </c>
      <c r="D754" s="1410"/>
      <c r="E754" s="977" t="str">
        <f>IFERROR(VLOOKUP(C754, [6]條件!$A:$L, 5, 0), "")</f>
        <v/>
      </c>
      <c r="F754" s="978" t="str">
        <f>IFERROR(VLOOKUP(C754, [6]條件!$A:$L, 6, 0), "")</f>
        <v/>
      </c>
      <c r="G754" s="1411" t="str">
        <f>IFERROR(VLOOKUP(C754, [6]條件!$A:$L, 7, 0), "")</f>
        <v/>
      </c>
      <c r="H754" s="978" t="str">
        <f>IF(ISNA(VLOOKUP(C754,[6]條件!$A$1:$K$932,11,0)),"",(VLOOKUP(C754,[6]條件!$A$1:$K$932,11,0)))</f>
        <v/>
      </c>
      <c r="I754" s="979" t="str">
        <f>IF(ISNA(VLOOKUP(C754,[6]條件!$A$1:$L$932,12,0)),"",(VLOOKUP(C754,[6]條件!$A$1:$L$932,12,0)))</f>
        <v/>
      </c>
      <c r="J754" s="982"/>
      <c r="K754" s="980"/>
      <c r="L754" s="981" t="s">
        <v>632</v>
      </c>
      <c r="M754" s="983"/>
      <c r="N754" s="982"/>
      <c r="O754" s="980"/>
      <c r="P754" s="981" t="s">
        <v>632</v>
      </c>
      <c r="Q754" s="983"/>
      <c r="R754" s="982"/>
      <c r="S754" s="980"/>
      <c r="T754" s="981" t="s">
        <v>632</v>
      </c>
      <c r="U754" s="983"/>
      <c r="V754" s="982"/>
      <c r="W754" s="980"/>
      <c r="X754" s="981" t="s">
        <v>632</v>
      </c>
      <c r="Y754" s="983"/>
      <c r="Z754" s="1412" t="str">
        <f>IFERROR(VLOOKUP(C754, [6]條件!$A:$L, 3, 0), "")</f>
        <v/>
      </c>
      <c r="AA754" s="984" t="str">
        <f>IF(OR(L754={"改紡","檢修","了機","清車","FINAL","停機","SAMPLE","TEST","絲開發"}), L754, IFERROR(IF(C754="", "", (SUM(J754, N754, R754, V754)/3 * AG754) * IF(AND(AF754="S", AS754="雙"), 0.5, 1)), ""))</f>
        <v>停機</v>
      </c>
      <c r="AB754" s="1413" t="str">
        <f t="shared" si="131"/>
        <v/>
      </c>
      <c r="AC754" s="984" t="str">
        <f>IF(OR(L754={"改紡","檢修","了機","清車","FINAL","停機","SAMPLE","TEST"}), "", IFERROR(IF(C754="", "", AVERAGE(L754:M754, P754:Q754, T754:U754, X754:Y754)/100), ""))</f>
        <v/>
      </c>
      <c r="AD754" s="984" t="str">
        <f t="shared" si="122"/>
        <v/>
      </c>
      <c r="AE754" s="984" t="str">
        <f t="shared" si="132"/>
        <v/>
      </c>
      <c r="AF754" s="985" t="str">
        <f t="shared" si="123"/>
        <v>M</v>
      </c>
      <c r="AG754" s="1414">
        <v>1</v>
      </c>
      <c r="AH754" s="1002" t="s">
        <v>640</v>
      </c>
      <c r="AI754" s="986" t="s">
        <v>640</v>
      </c>
      <c r="AJ754" s="986" t="s">
        <v>640</v>
      </c>
      <c r="AK754" s="1417" t="s">
        <v>640</v>
      </c>
      <c r="AL754" s="1415"/>
      <c r="AM754" s="1323"/>
      <c r="AN754" s="1323"/>
      <c r="AO754" s="1323"/>
      <c r="AP754" s="1323"/>
      <c r="AQ754" s="1323"/>
      <c r="AR754" s="987"/>
      <c r="AS754" s="978" t="str">
        <f t="shared" si="124"/>
        <v>單</v>
      </c>
      <c r="AT754" s="978" t="str">
        <f t="shared" si="125"/>
        <v>全</v>
      </c>
      <c r="AU754" s="978" t="str">
        <f t="shared" si="126"/>
        <v/>
      </c>
      <c r="AV754" s="978" t="str">
        <f t="shared" si="127"/>
        <v/>
      </c>
    </row>
    <row r="755" spans="1:48">
      <c r="A755" s="975">
        <f t="shared" si="130"/>
        <v>46161</v>
      </c>
      <c r="B755" s="976" t="s">
        <v>246</v>
      </c>
      <c r="C755" s="988" t="s">
        <v>16185</v>
      </c>
      <c r="D755" s="1410"/>
      <c r="E755" s="977" t="str">
        <f>IFERROR(VLOOKUP(C755, [6]條件!$A:$L, 5, 0), "")</f>
        <v/>
      </c>
      <c r="F755" s="978" t="str">
        <f>IFERROR(VLOOKUP(C755, [6]條件!$A:$L, 6, 0), "")</f>
        <v/>
      </c>
      <c r="G755" s="1411" t="str">
        <f>IFERROR(VLOOKUP(C755, [6]條件!$A:$L, 7, 0), "")</f>
        <v/>
      </c>
      <c r="H755" s="978" t="str">
        <f>IF(ISNA(VLOOKUP(C755,[6]條件!$A$1:$K$932,11,0)),"",(VLOOKUP(C755,[6]條件!$A$1:$K$932,11,0)))</f>
        <v/>
      </c>
      <c r="I755" s="979" t="str">
        <f>IF(ISNA(VLOOKUP(C755,[6]條件!$A$1:$L$932,12,0)),"",(VLOOKUP(C755,[6]條件!$A$1:$L$932,12,0)))</f>
        <v/>
      </c>
      <c r="J755" s="982"/>
      <c r="K755" s="980"/>
      <c r="L755" s="981" t="s">
        <v>632</v>
      </c>
      <c r="M755" s="983"/>
      <c r="N755" s="982"/>
      <c r="O755" s="980"/>
      <c r="P755" s="981" t="s">
        <v>632</v>
      </c>
      <c r="Q755" s="983"/>
      <c r="R755" s="982"/>
      <c r="S755" s="980"/>
      <c r="T755" s="981" t="s">
        <v>632</v>
      </c>
      <c r="U755" s="983"/>
      <c r="V755" s="982"/>
      <c r="W755" s="980"/>
      <c r="X755" s="981" t="s">
        <v>632</v>
      </c>
      <c r="Y755" s="983"/>
      <c r="Z755" s="1412" t="str">
        <f>IFERROR(VLOOKUP(C755, [6]條件!$A:$L, 3, 0), "")</f>
        <v/>
      </c>
      <c r="AA755" s="984" t="str">
        <f>IF(OR(L755={"改紡","檢修","了機","清車","FINAL","停機","SAMPLE","TEST","絲開發"}), L755, IFERROR(IF(C755="", "", (SUM(J755, N755, R755, V755)/3 * AG755) * IF(AND(AF755="S", AS755="雙"), 0.5, 1)), ""))</f>
        <v>停機</v>
      </c>
      <c r="AB755" s="1413" t="str">
        <f t="shared" si="131"/>
        <v/>
      </c>
      <c r="AC755" s="984" t="str">
        <f>IF(OR(L755={"改紡","檢修","了機","清車","FINAL","停機","SAMPLE","TEST"}), "", IFERROR(IF(C755="", "", AVERAGE(L755:M755, P755:Q755, T755:U755, X755:Y755)/100), ""))</f>
        <v/>
      </c>
      <c r="AD755" s="984" t="str">
        <f t="shared" si="122"/>
        <v/>
      </c>
      <c r="AE755" s="984" t="str">
        <f t="shared" si="132"/>
        <v/>
      </c>
      <c r="AF755" s="985" t="str">
        <f t="shared" si="123"/>
        <v>M</v>
      </c>
      <c r="AG755" s="1414">
        <v>1</v>
      </c>
      <c r="AH755" s="1002" t="s">
        <v>640</v>
      </c>
      <c r="AI755" s="986" t="s">
        <v>640</v>
      </c>
      <c r="AJ755" s="986" t="s">
        <v>640</v>
      </c>
      <c r="AK755" s="1417" t="s">
        <v>640</v>
      </c>
      <c r="AL755" s="1415"/>
      <c r="AM755" s="1323"/>
      <c r="AN755" s="1323"/>
      <c r="AO755" s="1323"/>
      <c r="AP755" s="1323"/>
      <c r="AQ755" s="1323"/>
      <c r="AR755" s="987"/>
      <c r="AS755" s="978" t="str">
        <f t="shared" si="124"/>
        <v>單</v>
      </c>
      <c r="AT755" s="978" t="str">
        <f t="shared" si="125"/>
        <v>全</v>
      </c>
      <c r="AU755" s="978" t="str">
        <f t="shared" si="126"/>
        <v/>
      </c>
      <c r="AV755" s="978" t="str">
        <f t="shared" si="127"/>
        <v/>
      </c>
    </row>
    <row r="756" spans="1:48">
      <c r="A756" s="975">
        <f t="shared" si="130"/>
        <v>46161</v>
      </c>
      <c r="B756" s="976" t="s">
        <v>247</v>
      </c>
      <c r="C756" s="988" t="s">
        <v>16185</v>
      </c>
      <c r="D756" s="1410"/>
      <c r="E756" s="977" t="str">
        <f>IFERROR(VLOOKUP(C756, [6]條件!$A:$L, 5, 0), "")</f>
        <v/>
      </c>
      <c r="F756" s="978" t="str">
        <f>IFERROR(VLOOKUP(C756, [6]條件!$A:$L, 6, 0), "")</f>
        <v/>
      </c>
      <c r="G756" s="1411" t="str">
        <f>IFERROR(VLOOKUP(C756, [6]條件!$A:$L, 7, 0), "")</f>
        <v/>
      </c>
      <c r="H756" s="978" t="str">
        <f>IF(ISNA(VLOOKUP(C756,[6]條件!$A$1:$K$932,11,0)),"",(VLOOKUP(C756,[6]條件!$A$1:$K$932,11,0)))</f>
        <v/>
      </c>
      <c r="I756" s="979" t="str">
        <f>IF(ISNA(VLOOKUP(C756,[6]條件!$A$1:$L$932,12,0)),"",(VLOOKUP(C756,[6]條件!$A$1:$L$932,12,0)))</f>
        <v/>
      </c>
      <c r="J756" s="982"/>
      <c r="K756" s="980"/>
      <c r="L756" s="981" t="s">
        <v>632</v>
      </c>
      <c r="M756" s="983"/>
      <c r="N756" s="982"/>
      <c r="O756" s="980"/>
      <c r="P756" s="981" t="s">
        <v>632</v>
      </c>
      <c r="Q756" s="983"/>
      <c r="R756" s="982"/>
      <c r="S756" s="980"/>
      <c r="T756" s="981" t="s">
        <v>632</v>
      </c>
      <c r="U756" s="983"/>
      <c r="V756" s="982"/>
      <c r="W756" s="980"/>
      <c r="X756" s="981" t="s">
        <v>632</v>
      </c>
      <c r="Y756" s="983"/>
      <c r="Z756" s="1412" t="str">
        <f>IFERROR(VLOOKUP(C756, [6]條件!$A:$L, 3, 0), "")</f>
        <v/>
      </c>
      <c r="AA756" s="984" t="str">
        <f>IF(OR(L756={"改紡","檢修","了機","清車","FINAL","停機","SAMPLE","TEST","絲開發"}), L756, IFERROR(IF(C756="", "", (SUM(J756, N756, R756, V756)/3 * AG756) * IF(AND(AF756="S", AS756="雙"), 0.5, 1)), ""))</f>
        <v>停機</v>
      </c>
      <c r="AB756" s="1413" t="str">
        <f t="shared" si="131"/>
        <v/>
      </c>
      <c r="AC756" s="984" t="str">
        <f>IF(OR(L756={"改紡","檢修","了機","清車","FINAL","停機","SAMPLE","TEST"}), "", IFERROR(IF(C756="", "", AVERAGE(L756:M756, P756:Q756, T756:U756, X756:Y756)/100), ""))</f>
        <v/>
      </c>
      <c r="AD756" s="984" t="str">
        <f t="shared" si="122"/>
        <v/>
      </c>
      <c r="AE756" s="984" t="str">
        <f t="shared" si="132"/>
        <v/>
      </c>
      <c r="AF756" s="985" t="str">
        <f t="shared" si="123"/>
        <v>M</v>
      </c>
      <c r="AG756" s="1414">
        <v>1</v>
      </c>
      <c r="AH756" s="1002" t="s">
        <v>640</v>
      </c>
      <c r="AI756" s="986" t="s">
        <v>640</v>
      </c>
      <c r="AJ756" s="986" t="s">
        <v>640</v>
      </c>
      <c r="AK756" s="1417" t="s">
        <v>640</v>
      </c>
      <c r="AL756" s="1415"/>
      <c r="AM756" s="1323"/>
      <c r="AN756" s="1323"/>
      <c r="AO756" s="1323"/>
      <c r="AP756" s="1323"/>
      <c r="AQ756" s="1323"/>
      <c r="AR756" s="987"/>
      <c r="AS756" s="978" t="str">
        <f t="shared" si="124"/>
        <v>單</v>
      </c>
      <c r="AT756" s="978" t="str">
        <f t="shared" si="125"/>
        <v>全</v>
      </c>
      <c r="AU756" s="978" t="str">
        <f t="shared" si="126"/>
        <v/>
      </c>
      <c r="AV756" s="978" t="str">
        <f t="shared" si="127"/>
        <v/>
      </c>
    </row>
    <row r="757" spans="1:48">
      <c r="A757" s="975">
        <f t="shared" si="130"/>
        <v>46161</v>
      </c>
      <c r="B757" s="976" t="s">
        <v>248</v>
      </c>
      <c r="C757" s="988" t="s">
        <v>16185</v>
      </c>
      <c r="D757" s="1410"/>
      <c r="E757" s="977" t="str">
        <f>IFERROR(VLOOKUP(C757, [6]條件!$A:$L, 5, 0), "")</f>
        <v/>
      </c>
      <c r="F757" s="978" t="str">
        <f>IFERROR(VLOOKUP(C757, [6]條件!$A:$L, 6, 0), "")</f>
        <v/>
      </c>
      <c r="G757" s="1411" t="str">
        <f>IFERROR(VLOOKUP(C757, [6]條件!$A:$L, 7, 0), "")</f>
        <v/>
      </c>
      <c r="H757" s="978" t="str">
        <f>IF(ISNA(VLOOKUP(C757,[6]條件!$A$1:$K$932,11,0)),"",(VLOOKUP(C757,[6]條件!$A$1:$K$932,11,0)))</f>
        <v/>
      </c>
      <c r="I757" s="979" t="str">
        <f>IF(ISNA(VLOOKUP(C757,[6]條件!$A$1:$L$932,12,0)),"",(VLOOKUP(C757,[6]條件!$A$1:$L$932,12,0)))</f>
        <v/>
      </c>
      <c r="J757" s="982"/>
      <c r="K757" s="980"/>
      <c r="L757" s="981" t="s">
        <v>632</v>
      </c>
      <c r="M757" s="983"/>
      <c r="N757" s="982"/>
      <c r="O757" s="980"/>
      <c r="P757" s="981" t="s">
        <v>632</v>
      </c>
      <c r="Q757" s="983"/>
      <c r="R757" s="982"/>
      <c r="S757" s="980"/>
      <c r="T757" s="981" t="s">
        <v>632</v>
      </c>
      <c r="U757" s="983"/>
      <c r="V757" s="982"/>
      <c r="W757" s="980"/>
      <c r="X757" s="981" t="s">
        <v>632</v>
      </c>
      <c r="Y757" s="983"/>
      <c r="Z757" s="1412" t="str">
        <f>IFERROR(VLOOKUP(C757, [6]條件!$A:$L, 3, 0), "")</f>
        <v/>
      </c>
      <c r="AA757" s="984" t="str">
        <f>IF(OR(L757={"改紡","檢修","了機","清車","FINAL","停機","SAMPLE","TEST","絲開發"}), L757, IFERROR(IF(C757="", "", (SUM(J757, N757, R757, V757)/3 * AG757) * IF(AND(AF757="S", AS757="雙"), 0.5, 1)), ""))</f>
        <v>停機</v>
      </c>
      <c r="AB757" s="1413" t="str">
        <f t="shared" si="131"/>
        <v/>
      </c>
      <c r="AC757" s="984" t="str">
        <f>IF(OR(L757={"改紡","檢修","了機","清車","FINAL","停機","SAMPLE","TEST"}), "", IFERROR(IF(C757="", "", AVERAGE(L757:M757, P757:Q757, T757:U757, X757:Y757)/100), ""))</f>
        <v/>
      </c>
      <c r="AD757" s="984" t="str">
        <f t="shared" si="122"/>
        <v/>
      </c>
      <c r="AE757" s="984" t="str">
        <f t="shared" si="132"/>
        <v/>
      </c>
      <c r="AF757" s="985" t="str">
        <f t="shared" si="123"/>
        <v>M</v>
      </c>
      <c r="AG757" s="1414">
        <v>1</v>
      </c>
      <c r="AH757" s="1002" t="s">
        <v>640</v>
      </c>
      <c r="AI757" s="986" t="s">
        <v>640</v>
      </c>
      <c r="AJ757" s="986" t="s">
        <v>640</v>
      </c>
      <c r="AK757" s="1417" t="s">
        <v>640</v>
      </c>
      <c r="AL757" s="1415"/>
      <c r="AM757" s="1323"/>
      <c r="AN757" s="1323"/>
      <c r="AO757" s="1323"/>
      <c r="AP757" s="1323"/>
      <c r="AQ757" s="1323"/>
      <c r="AR757" s="987"/>
      <c r="AS757" s="978" t="str">
        <f t="shared" si="124"/>
        <v>單</v>
      </c>
      <c r="AT757" s="978" t="str">
        <f t="shared" si="125"/>
        <v>全</v>
      </c>
      <c r="AU757" s="978" t="str">
        <f t="shared" si="126"/>
        <v/>
      </c>
      <c r="AV757" s="978" t="str">
        <f t="shared" si="127"/>
        <v/>
      </c>
    </row>
    <row r="758" spans="1:48" ht="17.25" thickBot="1">
      <c r="A758" s="989">
        <f t="shared" si="130"/>
        <v>46161</v>
      </c>
      <c r="B758" s="990" t="s">
        <v>249</v>
      </c>
      <c r="C758" s="991" t="s">
        <v>16185</v>
      </c>
      <c r="D758" s="1425"/>
      <c r="E758" s="1169" t="str">
        <f>IFERROR(VLOOKUP(C758, [6]條件!$A:$L, 5, 0), "")</f>
        <v/>
      </c>
      <c r="F758" s="992" t="str">
        <f>IFERROR(VLOOKUP(C758, [6]條件!$A:$L, 6, 0), "")</f>
        <v/>
      </c>
      <c r="G758" s="1426" t="str">
        <f>IFERROR(VLOOKUP(C758, [6]條件!$A:$L, 7, 0), "")</f>
        <v/>
      </c>
      <c r="H758" s="992" t="str">
        <f>IF(ISNA(VLOOKUP(C758,[6]條件!$A$1:$K$932,11,0)),"",(VLOOKUP(C758,[6]條件!$A$1:$K$932,11,0)))</f>
        <v/>
      </c>
      <c r="I758" s="1170" t="str">
        <f>IF(ISNA(VLOOKUP(C758,[6]條件!$A$1:$L$932,12,0)),"",(VLOOKUP(C758,[6]條件!$A$1:$L$932,12,0)))</f>
        <v/>
      </c>
      <c r="J758" s="995"/>
      <c r="K758" s="993"/>
      <c r="L758" s="994" t="s">
        <v>632</v>
      </c>
      <c r="M758" s="996"/>
      <c r="N758" s="995"/>
      <c r="O758" s="993"/>
      <c r="P758" s="994" t="s">
        <v>632</v>
      </c>
      <c r="Q758" s="996"/>
      <c r="R758" s="995"/>
      <c r="S758" s="993"/>
      <c r="T758" s="994" t="s">
        <v>632</v>
      </c>
      <c r="U758" s="996"/>
      <c r="V758" s="995"/>
      <c r="W758" s="993"/>
      <c r="X758" s="994" t="s">
        <v>632</v>
      </c>
      <c r="Y758" s="996"/>
      <c r="Z758" s="1427" t="str">
        <f>IFERROR(VLOOKUP(C758, [6]條件!$A:$L, 3, 0), "")</f>
        <v/>
      </c>
      <c r="AA758" s="997" t="str">
        <f>IF(OR(L758={"改紡","檢修","了機","清車","FINAL","停機","SAMPLE","TEST","絲開發"}), L758, IFERROR(IF(C758="", "", (SUM(J758, N758, R758, V758)/3 * AG758) * IF(AND(AF758="S", AS758="雙"), 0.5, 1)), ""))</f>
        <v>停機</v>
      </c>
      <c r="AB758" s="1428" t="str">
        <f t="shared" si="131"/>
        <v/>
      </c>
      <c r="AC758" s="997" t="str">
        <f>IF(OR(L758={"改紡","檢修","了機","清車","FINAL","停機","SAMPLE","TEST"}), "", IFERROR(IF(C758="", "", AVERAGE(L758:M758, P758:Q758, T758:U758, X758:Y758)/100), ""))</f>
        <v/>
      </c>
      <c r="AD758" s="997" t="str">
        <f t="shared" si="122"/>
        <v/>
      </c>
      <c r="AE758" s="997" t="str">
        <f t="shared" si="132"/>
        <v/>
      </c>
      <c r="AF758" s="998" t="str">
        <f t="shared" si="123"/>
        <v>M</v>
      </c>
      <c r="AG758" s="1429">
        <v>1</v>
      </c>
      <c r="AH758" s="1171" t="s">
        <v>640</v>
      </c>
      <c r="AI758" s="999" t="s">
        <v>640</v>
      </c>
      <c r="AJ758" s="999" t="s">
        <v>640</v>
      </c>
      <c r="AK758" s="1430" t="s">
        <v>640</v>
      </c>
      <c r="AL758" s="1431"/>
      <c r="AM758" s="1325"/>
      <c r="AN758" s="1325"/>
      <c r="AO758" s="1325"/>
      <c r="AP758" s="1325"/>
      <c r="AQ758" s="1325"/>
      <c r="AR758" s="1000"/>
      <c r="AS758" s="992" t="str">
        <f t="shared" si="124"/>
        <v>單</v>
      </c>
      <c r="AT758" s="992" t="str">
        <f t="shared" si="125"/>
        <v>全</v>
      </c>
      <c r="AU758" s="992" t="str">
        <f t="shared" si="126"/>
        <v/>
      </c>
      <c r="AV758" s="992" t="str">
        <f t="shared" si="127"/>
        <v/>
      </c>
    </row>
    <row r="759" spans="1:48">
      <c r="A759" s="962">
        <v>46162</v>
      </c>
      <c r="B759" s="963" t="s">
        <v>212</v>
      </c>
      <c r="C759" s="963" t="s">
        <v>632</v>
      </c>
      <c r="D759" s="1403"/>
      <c r="E759" s="964" t="str">
        <f>IFERROR(VLOOKUP(C759, [6]條件!$A:$L, 5, 0), "")</f>
        <v/>
      </c>
      <c r="F759" s="965" t="str">
        <f>IFERROR(VLOOKUP(C759, [6]條件!$A:$L, 6, 0), "")</f>
        <v/>
      </c>
      <c r="G759" s="1404" t="str">
        <f>IFERROR(VLOOKUP(C759, [6]條件!$A:$L, 7, 0), "")</f>
        <v/>
      </c>
      <c r="H759" s="965" t="str">
        <f>IF(ISNA(VLOOKUP(C759,[6]條件!$A$1:$K$932,11,0)),"",(VLOOKUP(C759,[6]條件!$A$1:$K$932,11,0)))</f>
        <v/>
      </c>
      <c r="I759" s="966" t="str">
        <f>IF(ISNA(VLOOKUP(C759,[6]條件!$A$1:$L$932,12,0)),"",(VLOOKUP(C759,[6]條件!$A$1:$L$932,12,0)))</f>
        <v/>
      </c>
      <c r="J759" s="969"/>
      <c r="K759" s="967"/>
      <c r="L759" s="981" t="s">
        <v>632</v>
      </c>
      <c r="M759" s="970"/>
      <c r="N759" s="969"/>
      <c r="O759" s="967"/>
      <c r="P759" s="981" t="s">
        <v>632</v>
      </c>
      <c r="Q759" s="970"/>
      <c r="R759" s="969"/>
      <c r="S759" s="967"/>
      <c r="T759" s="981" t="s">
        <v>632</v>
      </c>
      <c r="U759" s="970"/>
      <c r="V759" s="969"/>
      <c r="W759" s="967"/>
      <c r="X759" s="981" t="s">
        <v>632</v>
      </c>
      <c r="Y759" s="970"/>
      <c r="Z759" s="1405" t="str">
        <f>IFERROR(VLOOKUP(C759, [6]條件!$A:$L, 3, 0), "")</f>
        <v/>
      </c>
      <c r="AA759" s="971" t="str">
        <f>IF(OR(L759={"改紡","檢修","了機","清車","FINAL","停機","SAMPLE","TEST","絲開發"}), L759, IFERROR(IF(C759="", "", (SUM(J759, N759, R759, V759)/3 * AG759) * IF(AND(AF759="S", AS759="雙"), 0.5, 1)), ""))</f>
        <v>停機</v>
      </c>
      <c r="AB759" s="1406" t="str">
        <f t="shared" si="131"/>
        <v/>
      </c>
      <c r="AC759" s="971" t="str">
        <f>IF(OR(L759={"改紡","檢修","了機","清車","FINAL","停機","SAMPLE","TEST"}), "", IFERROR(IF(C759="", "", AVERAGE(L759:M759, P759:Q759, T759:U759, X759:Y759)/100), ""))</f>
        <v/>
      </c>
      <c r="AD759" s="971" t="str">
        <f t="shared" si="122"/>
        <v/>
      </c>
      <c r="AE759" s="971" t="str">
        <f t="shared" si="132"/>
        <v/>
      </c>
      <c r="AF759" s="972" t="str">
        <f t="shared" si="123"/>
        <v>A</v>
      </c>
      <c r="AG759" s="1407">
        <v>1</v>
      </c>
      <c r="AH759" s="1001" t="s">
        <v>640</v>
      </c>
      <c r="AI759" s="1438" t="s">
        <v>640</v>
      </c>
      <c r="AJ759" s="1441" t="s">
        <v>640</v>
      </c>
      <c r="AK759" s="1441" t="s">
        <v>640</v>
      </c>
      <c r="AL759" s="1409"/>
      <c r="AM759" s="1322"/>
      <c r="AN759" s="1322"/>
      <c r="AO759" s="1322"/>
      <c r="AP759" s="1322"/>
      <c r="AQ759" s="1322"/>
      <c r="AR759" s="973"/>
      <c r="AS759" s="965" t="str">
        <f t="shared" si="124"/>
        <v>單</v>
      </c>
      <c r="AT759" s="965" t="str">
        <f t="shared" si="125"/>
        <v>全</v>
      </c>
      <c r="AU759" s="965" t="str">
        <f t="shared" si="126"/>
        <v/>
      </c>
      <c r="AV759" s="965" t="str">
        <f t="shared" si="127"/>
        <v/>
      </c>
    </row>
    <row r="760" spans="1:48">
      <c r="A760" s="975">
        <f t="shared" ref="A760:A797" si="133">A759</f>
        <v>46162</v>
      </c>
      <c r="B760" s="976" t="s">
        <v>214</v>
      </c>
      <c r="C760" s="976" t="s">
        <v>16708</v>
      </c>
      <c r="D760" s="1410"/>
      <c r="E760" s="977" t="str">
        <f>IFERROR(VLOOKUP(C760, [6]條件!$A:$L, 5, 0), "")</f>
        <v>75/36SDR</v>
      </c>
      <c r="F760" s="978" t="str">
        <f>IFERROR(VLOOKUP(C760, [6]條件!$A:$L, 6, 0), "")</f>
        <v>FP81386R</v>
      </c>
      <c r="G760" s="1411">
        <f>IFERROR(VLOOKUP(C760, [6]條件!$A:$L, 7, 0), "")</f>
        <v>780</v>
      </c>
      <c r="H760" s="978" t="str">
        <f>IF(ISNA(VLOOKUP(C760,[6]條件!$A$1:$K$932,11,0)),"",(VLOOKUP(C760,[6]條件!$A$1:$K$932,11,0)))</f>
        <v>綠底白點</v>
      </c>
      <c r="I760" s="979">
        <f>IF(ISNA(VLOOKUP(C760,[6]條件!$A$1:$L$932,12,0)),"",(VLOOKUP(C760,[6]條件!$A$1:$L$932,12,0)))</f>
        <v>5</v>
      </c>
      <c r="J760" s="982"/>
      <c r="K760" s="980"/>
      <c r="L760" s="981" t="s">
        <v>16002</v>
      </c>
      <c r="M760" s="983"/>
      <c r="N760" s="982"/>
      <c r="O760" s="980"/>
      <c r="P760" s="981" t="s">
        <v>16002</v>
      </c>
      <c r="Q760" s="983"/>
      <c r="R760" s="982"/>
      <c r="S760" s="980"/>
      <c r="T760" s="981" t="s">
        <v>16002</v>
      </c>
      <c r="U760" s="983"/>
      <c r="V760" s="982">
        <v>7</v>
      </c>
      <c r="W760" s="980">
        <v>0</v>
      </c>
      <c r="X760" s="981">
        <v>9002</v>
      </c>
      <c r="Y760" s="983">
        <v>8532</v>
      </c>
      <c r="Z760" s="1412">
        <f>IFERROR(VLOOKUP(C760, [6]條件!$A:$L, 3, 0), "")</f>
        <v>1.7777777777777777</v>
      </c>
      <c r="AA760" s="984" t="str">
        <f>IF(OR(L760={"改紡","檢修","了機","清車","FINAL","停機","SAMPLE","TEST","絲開發"}), L760, IFERROR(IF(C760="", "", (SUM(J760, N760, R760, V760)/3 * AG760) * IF(AND(AF760="S", AS760="雙"), 0.5, 1)), ""))</f>
        <v>了機</v>
      </c>
      <c r="AB760" s="1413" t="str">
        <f t="shared" si="131"/>
        <v/>
      </c>
      <c r="AC760" s="984" t="str">
        <f>IF(OR(L760={"改紡","檢修","了機","清車","FINAL","停機","SAMPLE","TEST"}), "", IFERROR(IF(C760="", "", AVERAGE(L760:M760, P760:Q760, T760:U760, X760:Y760)/100), ""))</f>
        <v/>
      </c>
      <c r="AD760" s="984" t="str">
        <f t="shared" si="122"/>
        <v/>
      </c>
      <c r="AE760" s="984" t="str">
        <f t="shared" si="132"/>
        <v/>
      </c>
      <c r="AF760" s="985" t="str">
        <f t="shared" si="123"/>
        <v>A</v>
      </c>
      <c r="AG760" s="1414">
        <v>1</v>
      </c>
      <c r="AH760" s="1002" t="s">
        <v>16016</v>
      </c>
      <c r="AI760" s="1002" t="s">
        <v>16022</v>
      </c>
      <c r="AJ760" s="986" t="s">
        <v>16001</v>
      </c>
      <c r="AK760" s="986" t="s">
        <v>16001</v>
      </c>
      <c r="AL760" s="1415">
        <v>50</v>
      </c>
      <c r="AM760" s="1323">
        <v>46155</v>
      </c>
      <c r="AN760" s="1323">
        <v>46156</v>
      </c>
      <c r="AO760" s="1323"/>
      <c r="AP760" s="1323"/>
      <c r="AQ760" s="1323"/>
      <c r="AR760" s="987"/>
      <c r="AS760" s="978" t="str">
        <f t="shared" si="124"/>
        <v>單</v>
      </c>
      <c r="AT760" s="978" t="str">
        <f t="shared" si="125"/>
        <v>全</v>
      </c>
      <c r="AU760" s="978">
        <f t="shared" si="126"/>
        <v>75</v>
      </c>
      <c r="AV760" s="978" t="str">
        <f t="shared" si="127"/>
        <v/>
      </c>
    </row>
    <row r="761" spans="1:48">
      <c r="A761" s="975">
        <f t="shared" si="133"/>
        <v>46162</v>
      </c>
      <c r="B761" s="976" t="s">
        <v>215</v>
      </c>
      <c r="C761" s="976" t="s">
        <v>16746</v>
      </c>
      <c r="D761" s="1410" t="s">
        <v>633</v>
      </c>
      <c r="E761" s="977" t="str">
        <f>IFERROR(VLOOKUP(C761, [6]條件!$A:$L, 5, 0), "")</f>
        <v>75/24/2SDr</v>
      </c>
      <c r="F761" s="978" t="str">
        <f>IFERROR(VLOOKUP(C761, [6]條件!$A:$L, 6, 0), "")</f>
        <v>FP81391R×2</v>
      </c>
      <c r="G761" s="1411">
        <f>IFERROR(VLOOKUP(C761, [6]條件!$A:$L, 7, 0), "")</f>
        <v>700</v>
      </c>
      <c r="H761" s="978" t="str">
        <f>IF(ISNA(VLOOKUP(C761,[6]條件!$A$1:$K$932,11,0)),"",(VLOOKUP(C761,[6]條件!$A$1:$K$932,11,0)))</f>
        <v>紅底白點</v>
      </c>
      <c r="I761" s="979">
        <f>IF(ISNA(VLOOKUP(C761,[6]條件!$A$1:$L$932,12,0)),"",(VLOOKUP(C761,[6]條件!$A$1:$L$932,12,0)))</f>
        <v>5</v>
      </c>
      <c r="J761" s="982"/>
      <c r="K761" s="980"/>
      <c r="L761" s="981" t="s">
        <v>16002</v>
      </c>
      <c r="M761" s="983" t="s">
        <v>632</v>
      </c>
      <c r="N761" s="982"/>
      <c r="O761" s="980"/>
      <c r="P761" s="981" t="s">
        <v>632</v>
      </c>
      <c r="Q761" s="983" t="s">
        <v>127</v>
      </c>
      <c r="R761" s="982"/>
      <c r="S761" s="980"/>
      <c r="T761" s="981" t="s">
        <v>632</v>
      </c>
      <c r="U761" s="983" t="s">
        <v>127</v>
      </c>
      <c r="V761" s="982"/>
      <c r="W761" s="980"/>
      <c r="X761" s="981" t="s">
        <v>632</v>
      </c>
      <c r="Y761" s="983" t="s">
        <v>127</v>
      </c>
      <c r="Z761" s="1412">
        <f>IFERROR(VLOOKUP(C761, [6]條件!$A:$L, 3, 0), "")</f>
        <v>3.2653061224489797</v>
      </c>
      <c r="AA761" s="984" t="str">
        <f>IF(OR(L761={"改紡","檢修","了機","清車","FINAL","停機","SAMPLE","TEST","絲開發"}), L761, IFERROR(IF(C761="", "", (SUM(J761, N761, R761, V761)/3 * AG761) * IF(AND(AF761="S", AS761="雙"), 0.5, 1)), ""))</f>
        <v>了機</v>
      </c>
      <c r="AB761" s="1413" t="str">
        <f t="shared" si="131"/>
        <v/>
      </c>
      <c r="AC761" s="984" t="str">
        <f>IF(OR(L761={"改紡","檢修","了機","清車","FINAL","停機","SAMPLE","TEST"}), "", IFERROR(IF(C761="", "", AVERAGE(L761:M761, P761:Q761, T761:U761, X761:Y761)/100), ""))</f>
        <v/>
      </c>
      <c r="AD761" s="984" t="str">
        <f t="shared" si="122"/>
        <v/>
      </c>
      <c r="AE761" s="984" t="str">
        <f t="shared" si="132"/>
        <v/>
      </c>
      <c r="AF761" s="985" t="str">
        <f t="shared" si="123"/>
        <v>A</v>
      </c>
      <c r="AG761" s="1414">
        <v>1</v>
      </c>
      <c r="AH761" s="1002" t="s">
        <v>16016</v>
      </c>
      <c r="AI761" s="1002" t="s">
        <v>16022</v>
      </c>
      <c r="AJ761" s="986" t="s">
        <v>16001</v>
      </c>
      <c r="AK761" s="986" t="s">
        <v>16001</v>
      </c>
      <c r="AL761" s="1415">
        <v>53</v>
      </c>
      <c r="AM761" s="1323">
        <v>46119</v>
      </c>
      <c r="AN761" s="1323">
        <v>46120</v>
      </c>
      <c r="AO761" s="1323">
        <v>46121</v>
      </c>
      <c r="AP761" s="1323"/>
      <c r="AQ761" s="1323"/>
      <c r="AR761" s="987"/>
      <c r="AS761" s="978" t="str">
        <f t="shared" si="124"/>
        <v>雙</v>
      </c>
      <c r="AT761" s="978" t="str">
        <f t="shared" si="125"/>
        <v>半</v>
      </c>
      <c r="AU761" s="978">
        <f t="shared" si="126"/>
        <v>75</v>
      </c>
      <c r="AV761" s="978" t="str">
        <f t="shared" si="127"/>
        <v/>
      </c>
    </row>
    <row r="762" spans="1:48">
      <c r="A762" s="975">
        <f t="shared" si="133"/>
        <v>46162</v>
      </c>
      <c r="B762" s="976" t="s">
        <v>216</v>
      </c>
      <c r="C762" s="976" t="s">
        <v>632</v>
      </c>
      <c r="D762" s="1410"/>
      <c r="E762" s="977" t="str">
        <f>IFERROR(VLOOKUP(C762, [6]條件!$A:$L, 5, 0), "")</f>
        <v/>
      </c>
      <c r="F762" s="978" t="str">
        <f>IFERROR(VLOOKUP(C762, [6]條件!$A:$L, 6, 0), "")</f>
        <v/>
      </c>
      <c r="G762" s="1411" t="str">
        <f>IFERROR(VLOOKUP(C762, [6]條件!$A:$L, 7, 0), "")</f>
        <v/>
      </c>
      <c r="H762" s="978" t="str">
        <f>IF(ISNA(VLOOKUP(C762,[6]條件!$A$1:$K$932,11,0)),"",(VLOOKUP(C762,[6]條件!$A$1:$K$932,11,0)))</f>
        <v/>
      </c>
      <c r="I762" s="979" t="str">
        <f>IF(ISNA(VLOOKUP(C762,[6]條件!$A$1:$L$932,12,0)),"",(VLOOKUP(C762,[6]條件!$A$1:$L$932,12,0)))</f>
        <v/>
      </c>
      <c r="J762" s="982"/>
      <c r="K762" s="980"/>
      <c r="L762" s="981" t="s">
        <v>632</v>
      </c>
      <c r="M762" s="983"/>
      <c r="N762" s="982"/>
      <c r="O762" s="980"/>
      <c r="P762" s="981" t="s">
        <v>632</v>
      </c>
      <c r="Q762" s="983"/>
      <c r="R762" s="982"/>
      <c r="S762" s="980"/>
      <c r="T762" s="981" t="s">
        <v>632</v>
      </c>
      <c r="U762" s="983"/>
      <c r="V762" s="982"/>
      <c r="W762" s="980"/>
      <c r="X762" s="981" t="s">
        <v>632</v>
      </c>
      <c r="Y762" s="983"/>
      <c r="Z762" s="1412" t="str">
        <f>IFERROR(VLOOKUP(C762, [6]條件!$A:$L, 3, 0), "")</f>
        <v/>
      </c>
      <c r="AA762" s="984" t="str">
        <f>IF(OR(L762={"改紡","檢修","了機","清車","FINAL","停機","SAMPLE","TEST","絲開發"}), L762, IFERROR(IF(C762="", "", (SUM(J762, N762, R762, V762)/3 * AG762) * IF(AND(AF762="S", AS762="雙"), 0.5, 1)), ""))</f>
        <v>停機</v>
      </c>
      <c r="AB762" s="1413" t="str">
        <f t="shared" si="131"/>
        <v/>
      </c>
      <c r="AC762" s="984" t="str">
        <f>IF(OR(L762={"改紡","檢修","了機","清車","FINAL","停機","SAMPLE","TEST"}), "", IFERROR(IF(C762="", "", AVERAGE(L762:M762, P762:Q762, T762:U762, X762:Y762)/100), ""))</f>
        <v/>
      </c>
      <c r="AD762" s="984" t="str">
        <f t="shared" si="122"/>
        <v/>
      </c>
      <c r="AE762" s="984" t="str">
        <f t="shared" si="132"/>
        <v/>
      </c>
      <c r="AF762" s="985" t="str">
        <f t="shared" si="123"/>
        <v>A</v>
      </c>
      <c r="AG762" s="1414">
        <v>2</v>
      </c>
      <c r="AH762" s="1002" t="s">
        <v>16011</v>
      </c>
      <c r="AI762" s="1002" t="s">
        <v>16011</v>
      </c>
      <c r="AJ762" s="986" t="s">
        <v>640</v>
      </c>
      <c r="AK762" s="986" t="s">
        <v>640</v>
      </c>
      <c r="AL762" s="1415"/>
      <c r="AM762" s="1323"/>
      <c r="AN762" s="1323"/>
      <c r="AO762" s="1323"/>
      <c r="AP762" s="1323"/>
      <c r="AQ762" s="1323"/>
      <c r="AR762" s="987"/>
      <c r="AS762" s="978" t="str">
        <f t="shared" si="124"/>
        <v>單</v>
      </c>
      <c r="AT762" s="978" t="str">
        <f t="shared" si="125"/>
        <v>半</v>
      </c>
      <c r="AU762" s="978" t="str">
        <f t="shared" si="126"/>
        <v/>
      </c>
      <c r="AV762" s="978" t="str">
        <f t="shared" si="127"/>
        <v/>
      </c>
    </row>
    <row r="763" spans="1:48">
      <c r="A763" s="975">
        <f t="shared" si="133"/>
        <v>46162</v>
      </c>
      <c r="B763" s="976" t="s">
        <v>217</v>
      </c>
      <c r="C763" s="976" t="s">
        <v>16197</v>
      </c>
      <c r="D763" s="1410"/>
      <c r="E763" s="977" t="str">
        <f>IFERROR(VLOOKUP(C763, [6]條件!$A:$L, 5, 0), "")</f>
        <v>75/36HC</v>
      </c>
      <c r="F763" s="978" t="str">
        <f>IFERROR(VLOOKUP(C763, [6]條件!$A:$L, 6, 0), "")</f>
        <v>FP81857R</v>
      </c>
      <c r="G763" s="1411">
        <f>IFERROR(VLOOKUP(C763, [6]條件!$A:$L, 7, 0), "")</f>
        <v>600</v>
      </c>
      <c r="H763" s="978" t="str">
        <f>IF(ISNA(VLOOKUP(C763,[6]條件!$A$1:$K$932,11,0)),"",(VLOOKUP(C763,[6]條件!$A$1:$K$932,11,0)))</f>
        <v>白底綠方塊</v>
      </c>
      <c r="I763" s="979">
        <f>IF(ISNA(VLOOKUP(C763,[6]條件!$A$1:$L$932,12,0)),"",(VLOOKUP(C763,[6]條件!$A$1:$L$932,12,0)))</f>
        <v>4</v>
      </c>
      <c r="J763" s="982"/>
      <c r="K763" s="980"/>
      <c r="L763" s="981" t="s">
        <v>127</v>
      </c>
      <c r="M763" s="983"/>
      <c r="N763" s="982"/>
      <c r="O763" s="980"/>
      <c r="P763" s="981" t="s">
        <v>127</v>
      </c>
      <c r="Q763" s="983"/>
      <c r="R763" s="982"/>
      <c r="S763" s="980"/>
      <c r="T763" s="981" t="s">
        <v>127</v>
      </c>
      <c r="U763" s="983"/>
      <c r="V763" s="982"/>
      <c r="W763" s="980"/>
      <c r="X763" s="981" t="s">
        <v>127</v>
      </c>
      <c r="Y763" s="983" t="s">
        <v>15855</v>
      </c>
      <c r="Z763" s="1412">
        <f>IFERROR(VLOOKUP(C763, [6]條件!$A:$L, 3, 0), "")</f>
        <v>1.7496962332928312</v>
      </c>
      <c r="AA763" s="984" t="str">
        <f>IF(OR(L763={"改紡","檢修","了機","清車","FINAL","停機","SAMPLE","TEST","絲開發"}), L763, IFERROR(IF(C763="", "", (SUM(J763, N763, R763, V763)/3 * AG763) * IF(AND(AF763="S", AS763="雙"), 0.5, 1)), ""))</f>
        <v>了機</v>
      </c>
      <c r="AB763" s="1413" t="str">
        <f t="shared" si="131"/>
        <v/>
      </c>
      <c r="AC763" s="984" t="str">
        <f>IF(OR(L763={"改紡","檢修","了機","清車","FINAL","停機","SAMPLE","TEST"}), "", IFERROR(IF(C763="", "", AVERAGE(L763:M763, P763:Q763, T763:U763, X763:Y763)/100), ""))</f>
        <v/>
      </c>
      <c r="AD763" s="984" t="str">
        <f t="shared" si="122"/>
        <v/>
      </c>
      <c r="AE763" s="984" t="str">
        <f t="shared" si="132"/>
        <v/>
      </c>
      <c r="AF763" s="985" t="str">
        <f t="shared" si="123"/>
        <v>A</v>
      </c>
      <c r="AG763" s="1414">
        <v>1</v>
      </c>
      <c r="AH763" s="1002" t="s">
        <v>16012</v>
      </c>
      <c r="AI763" s="1002" t="s">
        <v>16012</v>
      </c>
      <c r="AJ763" s="986" t="s">
        <v>16001</v>
      </c>
      <c r="AK763" s="986" t="s">
        <v>16001</v>
      </c>
      <c r="AL763" s="1415">
        <v>54</v>
      </c>
      <c r="AM763" s="1323">
        <v>45936</v>
      </c>
      <c r="AN763" s="1323">
        <v>45937</v>
      </c>
      <c r="AO763" s="1323">
        <v>45938</v>
      </c>
      <c r="AP763" s="1323"/>
      <c r="AQ763" s="1323"/>
      <c r="AR763" s="987"/>
      <c r="AS763" s="978" t="str">
        <f t="shared" si="124"/>
        <v>單</v>
      </c>
      <c r="AT763" s="978" t="str">
        <f t="shared" si="125"/>
        <v>全</v>
      </c>
      <c r="AU763" s="978">
        <f t="shared" si="126"/>
        <v>75</v>
      </c>
      <c r="AV763" s="978" t="str">
        <f t="shared" si="127"/>
        <v/>
      </c>
    </row>
    <row r="764" spans="1:48">
      <c r="A764" s="975">
        <f t="shared" si="133"/>
        <v>46162</v>
      </c>
      <c r="B764" s="976" t="s">
        <v>218</v>
      </c>
      <c r="C764" s="976" t="s">
        <v>632</v>
      </c>
      <c r="D764" s="1410"/>
      <c r="E764" s="977" t="str">
        <f>IFERROR(VLOOKUP(C764, [6]條件!$A:$L, 5, 0), "")</f>
        <v/>
      </c>
      <c r="F764" s="978" t="str">
        <f>IFERROR(VLOOKUP(C764, [6]條件!$A:$L, 6, 0), "")</f>
        <v/>
      </c>
      <c r="G764" s="1411" t="str">
        <f>IFERROR(VLOOKUP(C764, [6]條件!$A:$L, 7, 0), "")</f>
        <v/>
      </c>
      <c r="H764" s="978" t="str">
        <f>IF(ISNA(VLOOKUP(C764,[6]條件!$A$1:$K$932,11,0)),"",(VLOOKUP(C764,[6]條件!$A$1:$K$932,11,0)))</f>
        <v/>
      </c>
      <c r="I764" s="979" t="str">
        <f>IF(ISNA(VLOOKUP(C764,[6]條件!$A$1:$L$932,12,0)),"",(VLOOKUP(C764,[6]條件!$A$1:$L$932,12,0)))</f>
        <v/>
      </c>
      <c r="J764" s="982"/>
      <c r="K764" s="980"/>
      <c r="L764" s="981" t="s">
        <v>632</v>
      </c>
      <c r="M764" s="983"/>
      <c r="N764" s="982"/>
      <c r="O764" s="980"/>
      <c r="P764" s="981" t="s">
        <v>632</v>
      </c>
      <c r="Q764" s="983"/>
      <c r="R764" s="982"/>
      <c r="S764" s="980"/>
      <c r="T764" s="981" t="s">
        <v>632</v>
      </c>
      <c r="U764" s="983"/>
      <c r="V764" s="982"/>
      <c r="W764" s="980"/>
      <c r="X764" s="981" t="s">
        <v>632</v>
      </c>
      <c r="Y764" s="983"/>
      <c r="Z764" s="1412" t="str">
        <f>IFERROR(VLOOKUP(C764, [6]條件!$A:$L, 3, 0), "")</f>
        <v/>
      </c>
      <c r="AA764" s="984" t="str">
        <f>IF(OR(L764={"改紡","檢修","了機","清車","FINAL","停機","SAMPLE","TEST","絲開發"}), L764, IFERROR(IF(C764="", "", (SUM(J764, N764, R764, V764)/3 * AG764) * IF(AND(AF764="S", AS764="雙"), 0.5, 1)), ""))</f>
        <v>停機</v>
      </c>
      <c r="AB764" s="1413" t="str">
        <f t="shared" si="131"/>
        <v/>
      </c>
      <c r="AC764" s="984" t="str">
        <f>IF(OR(L764={"改紡","檢修","了機","清車","FINAL","停機","SAMPLE","TEST"}), "", IFERROR(IF(C764="", "", AVERAGE(L764:M764, P764:Q764, T764:U764, X764:Y764)/100), ""))</f>
        <v/>
      </c>
      <c r="AD764" s="984" t="str">
        <f t="shared" si="122"/>
        <v/>
      </c>
      <c r="AE764" s="984" t="str">
        <f t="shared" si="132"/>
        <v/>
      </c>
      <c r="AF764" s="985" t="str">
        <f t="shared" si="123"/>
        <v>A</v>
      </c>
      <c r="AG764" s="1414">
        <v>1</v>
      </c>
      <c r="AH764" s="1002" t="s">
        <v>640</v>
      </c>
      <c r="AI764" s="1002" t="s">
        <v>640</v>
      </c>
      <c r="AJ764" s="986" t="s">
        <v>640</v>
      </c>
      <c r="AK764" s="986" t="s">
        <v>640</v>
      </c>
      <c r="AL764" s="1415"/>
      <c r="AM764" s="1323"/>
      <c r="AN764" s="1323"/>
      <c r="AO764" s="1323"/>
      <c r="AP764" s="1323"/>
      <c r="AQ764" s="1323"/>
      <c r="AR764" s="987"/>
      <c r="AS764" s="978" t="str">
        <f t="shared" si="124"/>
        <v>單</v>
      </c>
      <c r="AT764" s="978" t="str">
        <f t="shared" si="125"/>
        <v>全</v>
      </c>
      <c r="AU764" s="978" t="str">
        <f t="shared" si="126"/>
        <v/>
      </c>
      <c r="AV764" s="978" t="str">
        <f t="shared" si="127"/>
        <v/>
      </c>
    </row>
    <row r="765" spans="1:48">
      <c r="A765" s="975">
        <f t="shared" si="133"/>
        <v>46162</v>
      </c>
      <c r="B765" s="976" t="s">
        <v>219</v>
      </c>
      <c r="C765" s="976" t="s">
        <v>16745</v>
      </c>
      <c r="D765" s="1410" t="s">
        <v>16748</v>
      </c>
      <c r="E765" s="977" t="str">
        <f>IFERROR(VLOOKUP(C765, [6]條件!$A:$L, 5, 0), "")</f>
        <v>50/72BSD3</v>
      </c>
      <c r="F765" s="978" t="str">
        <f>IFERROR(VLOOKUP(C765, [6]條件!$A:$L, 6, 0), "")</f>
        <v>FP80141</v>
      </c>
      <c r="G765" s="1411">
        <f>IFERROR(VLOOKUP(C765, [6]條件!$A:$L, 7, 0), "")</f>
        <v>630</v>
      </c>
      <c r="H765" s="978" t="str">
        <f>IF(ISNA(VLOOKUP(C765,[6]條件!$A$1:$K$932,11,0)),"",(VLOOKUP(C765,[6]條件!$A$1:$K$932,11,0)))</f>
        <v>洋綠色</v>
      </c>
      <c r="I765" s="979">
        <f>IF(ISNA(VLOOKUP(C765,[6]條件!$A$1:$L$932,12,0)),"",(VLOOKUP(C765,[6]條件!$A$1:$L$932,12,0)))</f>
        <v>2</v>
      </c>
      <c r="J765" s="982">
        <v>53</v>
      </c>
      <c r="K765" s="980">
        <v>0</v>
      </c>
      <c r="L765" s="981">
        <v>9207</v>
      </c>
      <c r="M765" s="983">
        <v>9103</v>
      </c>
      <c r="N765" s="982">
        <v>16</v>
      </c>
      <c r="O765" s="980">
        <v>0</v>
      </c>
      <c r="P765" s="981">
        <v>8893</v>
      </c>
      <c r="Q765" s="983">
        <v>9486</v>
      </c>
      <c r="R765" s="982">
        <v>9</v>
      </c>
      <c r="S765" s="980">
        <v>0</v>
      </c>
      <c r="T765" s="981">
        <v>9079</v>
      </c>
      <c r="U765" s="983">
        <v>9590</v>
      </c>
      <c r="V765" s="982">
        <v>12</v>
      </c>
      <c r="W765" s="980">
        <v>0</v>
      </c>
      <c r="X765" s="981">
        <v>8996</v>
      </c>
      <c r="Y765" s="983">
        <v>9700</v>
      </c>
      <c r="Z765" s="1412">
        <f>IFERROR(VLOOKUP(C765, [6]條件!$A:$L, 3, 0), "")</f>
        <v>2.4615384615384617</v>
      </c>
      <c r="AA765" s="984">
        <f>IF(OR(L765={"改紡","檢修","了機","清車","FINAL","停機","SAMPLE","TEST","絲開發"}), L765, IFERROR(IF(C765="", "", (SUM(J765, N765, R765, V765)/3 * AG765) * IF(AND(AF765="S", AS765="雙"), 0.5, 1)), ""))</f>
        <v>30</v>
      </c>
      <c r="AB765" s="1413">
        <f t="shared" si="131"/>
        <v>1</v>
      </c>
      <c r="AC765" s="984">
        <f>IF(OR(L765={"改紡","檢修","了機","清車","FINAL","停機","SAMPLE","TEST"}), "", IFERROR(IF(C765="", "", AVERAGE(L765:M765, P765:Q765, T765:U765, X765:Y765)/100), ""))</f>
        <v>92.567499999999995</v>
      </c>
      <c r="AD765" s="984">
        <f t="shared" si="122"/>
        <v>3.75</v>
      </c>
      <c r="AE765" s="984">
        <f t="shared" si="132"/>
        <v>3.75</v>
      </c>
      <c r="AF765" s="985" t="str">
        <f t="shared" si="123"/>
        <v>A</v>
      </c>
      <c r="AG765" s="1414">
        <v>1</v>
      </c>
      <c r="AH765" s="1002" t="s">
        <v>16016</v>
      </c>
      <c r="AI765" s="1002" t="s">
        <v>16013</v>
      </c>
      <c r="AJ765" s="986" t="s">
        <v>16001</v>
      </c>
      <c r="AK765" s="986" t="s">
        <v>16001</v>
      </c>
      <c r="AL765" s="1415">
        <v>57</v>
      </c>
      <c r="AM765" s="1324">
        <v>46090</v>
      </c>
      <c r="AN765" s="1323">
        <v>46091</v>
      </c>
      <c r="AO765" s="1323"/>
      <c r="AP765" s="1323"/>
      <c r="AQ765" s="1323"/>
      <c r="AR765" s="987"/>
      <c r="AS765" s="978" t="str">
        <f t="shared" si="124"/>
        <v>單</v>
      </c>
      <c r="AT765" s="978" t="str">
        <f t="shared" si="125"/>
        <v>全</v>
      </c>
      <c r="AU765" s="978">
        <f t="shared" si="126"/>
        <v>50</v>
      </c>
      <c r="AV765" s="978">
        <f t="shared" si="127"/>
        <v>1.0077268319999999</v>
      </c>
    </row>
    <row r="766" spans="1:48">
      <c r="A766" s="975">
        <f t="shared" si="133"/>
        <v>46162</v>
      </c>
      <c r="B766" s="976" t="s">
        <v>220</v>
      </c>
      <c r="C766" s="976" t="s">
        <v>632</v>
      </c>
      <c r="D766" s="1410"/>
      <c r="E766" s="977" t="str">
        <f>IFERROR(VLOOKUP(C766, [6]條件!$A:$L, 5, 0), "")</f>
        <v/>
      </c>
      <c r="F766" s="978" t="str">
        <f>IFERROR(VLOOKUP(C766, [6]條件!$A:$L, 6, 0), "")</f>
        <v/>
      </c>
      <c r="G766" s="1411" t="str">
        <f>IFERROR(VLOOKUP(C766, [6]條件!$A:$L, 7, 0), "")</f>
        <v/>
      </c>
      <c r="H766" s="978" t="str">
        <f>IF(ISNA(VLOOKUP(C766,[6]條件!$A$1:$K$932,11,0)),"",(VLOOKUP(C766,[6]條件!$A$1:$K$932,11,0)))</f>
        <v/>
      </c>
      <c r="I766" s="979" t="str">
        <f>IF(ISNA(VLOOKUP(C766,[6]條件!$A$1:$L$932,12,0)),"",(VLOOKUP(C766,[6]條件!$A$1:$L$932,12,0)))</f>
        <v/>
      </c>
      <c r="J766" s="982"/>
      <c r="K766" s="980"/>
      <c r="L766" s="981" t="s">
        <v>632</v>
      </c>
      <c r="M766" s="983"/>
      <c r="N766" s="982"/>
      <c r="O766" s="980"/>
      <c r="P766" s="981" t="s">
        <v>632</v>
      </c>
      <c r="Q766" s="983"/>
      <c r="R766" s="982"/>
      <c r="S766" s="980"/>
      <c r="T766" s="981" t="s">
        <v>632</v>
      </c>
      <c r="U766" s="983"/>
      <c r="V766" s="982"/>
      <c r="W766" s="980"/>
      <c r="X766" s="981" t="s">
        <v>632</v>
      </c>
      <c r="Y766" s="983"/>
      <c r="Z766" s="1412" t="str">
        <f>IFERROR(VLOOKUP(C766, [6]條件!$A:$L, 3, 0), "")</f>
        <v/>
      </c>
      <c r="AA766" s="984" t="str">
        <f>IF(OR(L766={"改紡","檢修","了機","清車","FINAL","停機","SAMPLE","TEST","絲開發"}), L766, IFERROR(IF(C766="", "", (SUM(J766, N766, R766, V766)/3 * AG766) * IF(AND(AF766="S", AS766="雙"), 0.5, 1)), ""))</f>
        <v>停機</v>
      </c>
      <c r="AB766" s="1413" t="str">
        <f t="shared" si="131"/>
        <v/>
      </c>
      <c r="AC766" s="984" t="str">
        <f>IF(OR(L766={"改紡","檢修","了機","清車","FINAL","停機","SAMPLE","TEST"}), "", IFERROR(IF(C766="", "", AVERAGE(L766:M766, P766:Q766, T766:U766, X766:Y766)/100), ""))</f>
        <v/>
      </c>
      <c r="AD766" s="984" t="str">
        <f t="shared" si="122"/>
        <v/>
      </c>
      <c r="AE766" s="984" t="str">
        <f t="shared" si="132"/>
        <v/>
      </c>
      <c r="AF766" s="985" t="str">
        <f t="shared" si="123"/>
        <v>A</v>
      </c>
      <c r="AG766" s="1414">
        <v>1</v>
      </c>
      <c r="AH766" s="1002" t="s">
        <v>640</v>
      </c>
      <c r="AI766" s="1002" t="s">
        <v>640</v>
      </c>
      <c r="AJ766" s="986" t="s">
        <v>640</v>
      </c>
      <c r="AK766" s="986" t="s">
        <v>640</v>
      </c>
      <c r="AL766" s="1415"/>
      <c r="AM766" s="1323"/>
      <c r="AN766" s="1323"/>
      <c r="AO766" s="1323"/>
      <c r="AP766" s="1323"/>
      <c r="AQ766" s="1323"/>
      <c r="AR766" s="987"/>
      <c r="AS766" s="978" t="str">
        <f t="shared" si="124"/>
        <v>單</v>
      </c>
      <c r="AT766" s="978" t="str">
        <f t="shared" si="125"/>
        <v>全</v>
      </c>
      <c r="AU766" s="978" t="str">
        <f t="shared" si="126"/>
        <v/>
      </c>
      <c r="AV766" s="978" t="str">
        <f t="shared" si="127"/>
        <v/>
      </c>
    </row>
    <row r="767" spans="1:48">
      <c r="A767" s="975">
        <f t="shared" si="133"/>
        <v>46162</v>
      </c>
      <c r="B767" s="976" t="s">
        <v>221</v>
      </c>
      <c r="C767" s="976" t="s">
        <v>16763</v>
      </c>
      <c r="D767" s="1410"/>
      <c r="E767" s="977" t="str">
        <f>IFERROR(VLOOKUP(C767, [6]條件!$A:$L, 5, 0), "")</f>
        <v>150/48CDR</v>
      </c>
      <c r="F767" s="978" t="str">
        <f>IFERROR(VLOOKUP(C767, [6]條件!$A:$L, 6, 0), "")</f>
        <v>FP82781</v>
      </c>
      <c r="G767" s="1411">
        <f>IFERROR(VLOOKUP(C767, [6]條件!$A:$L, 7, 0), "")</f>
        <v>600</v>
      </c>
      <c r="H767" s="978" t="str">
        <f>IF(ISNA(VLOOKUP(C767,[6]條件!$A$1:$K$932,11,0)),"",(VLOOKUP(C767,[6]條件!$A$1:$K$932,11,0)))</f>
        <v>綠藍雙色</v>
      </c>
      <c r="I767" s="979">
        <f>IF(ISNA(VLOOKUP(C767,[6]條件!$A$1:$L$932,12,0)),"",(VLOOKUP(C767,[6]條件!$A$1:$L$932,12,0)))</f>
        <v>5</v>
      </c>
      <c r="J767" s="982">
        <v>5</v>
      </c>
      <c r="K767" s="980">
        <v>0</v>
      </c>
      <c r="L767" s="981">
        <v>8540</v>
      </c>
      <c r="M767" s="983">
        <v>7851</v>
      </c>
      <c r="N767" s="982">
        <v>1</v>
      </c>
      <c r="O767" s="980">
        <v>1</v>
      </c>
      <c r="P767" s="981">
        <v>8611</v>
      </c>
      <c r="Q767" s="983">
        <v>7756</v>
      </c>
      <c r="R767" s="982">
        <v>3</v>
      </c>
      <c r="S767" s="980">
        <v>0</v>
      </c>
      <c r="T767" s="981">
        <v>8579</v>
      </c>
      <c r="U767" s="983">
        <v>7732</v>
      </c>
      <c r="V767" s="982">
        <v>7</v>
      </c>
      <c r="W767" s="980">
        <v>0</v>
      </c>
      <c r="X767" s="981">
        <v>8422</v>
      </c>
      <c r="Y767" s="983">
        <v>7744</v>
      </c>
      <c r="Z767" s="1412">
        <f>IFERROR(VLOOKUP(C767, [6]條件!$A:$L, 3, 0), "")</f>
        <v>2.8685258964143427</v>
      </c>
      <c r="AA767" s="984">
        <f>IF(OR(L767={"改紡","檢修","了機","清車","FINAL","停機","SAMPLE","TEST","絲開發"}), L767, IFERROR(IF(C767="", "", (SUM(J767, N767, R767, V767)/3 * AG767) * IF(AND(AF767="S", AS767="雙"), 0.5, 1)), ""))</f>
        <v>5.333333333333333</v>
      </c>
      <c r="AB767" s="1413">
        <f t="shared" si="131"/>
        <v>0.99832398504273501</v>
      </c>
      <c r="AC767" s="984">
        <f>IF(OR(L767={"改紡","檢修","了機","清車","FINAL","停機","SAMPLE","TEST"}), "", IFERROR(IF(C767="", "", AVERAGE(L767:M767, P767:Q767, T767:U767, X767:Y767)/100), ""))</f>
        <v>81.543750000000003</v>
      </c>
      <c r="AD767" s="984">
        <f t="shared" si="122"/>
        <v>0.66666666666666663</v>
      </c>
      <c r="AE767" s="984">
        <f t="shared" si="132"/>
        <v>0.625</v>
      </c>
      <c r="AF767" s="985" t="str">
        <f t="shared" si="123"/>
        <v>A</v>
      </c>
      <c r="AG767" s="1414">
        <v>1</v>
      </c>
      <c r="AH767" s="1002" t="s">
        <v>16012</v>
      </c>
      <c r="AI767" s="1002" t="s">
        <v>16022</v>
      </c>
      <c r="AJ767" s="986" t="s">
        <v>16001</v>
      </c>
      <c r="AK767" s="986" t="s">
        <v>16001</v>
      </c>
      <c r="AL767" s="1415">
        <v>54</v>
      </c>
      <c r="AM767" s="1323">
        <v>46157</v>
      </c>
      <c r="AN767" s="1323">
        <v>46158</v>
      </c>
      <c r="AO767" s="1323">
        <v>46159</v>
      </c>
      <c r="AP767" s="1323">
        <v>46160</v>
      </c>
      <c r="AQ767" s="1323">
        <v>46161</v>
      </c>
      <c r="AR767" s="987"/>
      <c r="AS767" s="978" t="str">
        <f t="shared" si="124"/>
        <v>單</v>
      </c>
      <c r="AT767" s="978" t="str">
        <f t="shared" si="125"/>
        <v>全</v>
      </c>
      <c r="AU767" s="978">
        <f t="shared" si="126"/>
        <v>150</v>
      </c>
      <c r="AV767" s="978">
        <f t="shared" si="127"/>
        <v>2.5363367999999999</v>
      </c>
    </row>
    <row r="768" spans="1:48">
      <c r="A768" s="975">
        <f t="shared" si="133"/>
        <v>46162</v>
      </c>
      <c r="B768" s="976" t="s">
        <v>222</v>
      </c>
      <c r="C768" s="976" t="s">
        <v>632</v>
      </c>
      <c r="D768" s="1410"/>
      <c r="E768" s="977" t="str">
        <f>IFERROR(VLOOKUP(C768, [6]條件!$A:$L, 5, 0), "")</f>
        <v/>
      </c>
      <c r="F768" s="978" t="str">
        <f>IFERROR(VLOOKUP(C768, [6]條件!$A:$L, 6, 0), "")</f>
        <v/>
      </c>
      <c r="G768" s="1411" t="str">
        <f>IFERROR(VLOOKUP(C768, [6]條件!$A:$L, 7, 0), "")</f>
        <v/>
      </c>
      <c r="H768" s="978" t="str">
        <f>IF(ISNA(VLOOKUP(C768,[6]條件!$A$1:$K$932,11,0)),"",(VLOOKUP(C768,[6]條件!$A$1:$K$932,11,0)))</f>
        <v/>
      </c>
      <c r="I768" s="979" t="str">
        <f>IF(ISNA(VLOOKUP(C768,[6]條件!$A$1:$L$932,12,0)),"",(VLOOKUP(C768,[6]條件!$A$1:$L$932,12,0)))</f>
        <v/>
      </c>
      <c r="J768" s="982"/>
      <c r="K768" s="980"/>
      <c r="L768" s="981" t="s">
        <v>632</v>
      </c>
      <c r="M768" s="983"/>
      <c r="N768" s="982"/>
      <c r="O768" s="980"/>
      <c r="P768" s="981" t="s">
        <v>632</v>
      </c>
      <c r="Q768" s="983"/>
      <c r="R768" s="982"/>
      <c r="S768" s="980"/>
      <c r="T768" s="981" t="s">
        <v>632</v>
      </c>
      <c r="U768" s="983"/>
      <c r="V768" s="982"/>
      <c r="W768" s="980"/>
      <c r="X768" s="981" t="s">
        <v>632</v>
      </c>
      <c r="Y768" s="983"/>
      <c r="Z768" s="1412" t="str">
        <f>IFERROR(VLOOKUP(C768, [6]條件!$A:$L, 3, 0), "")</f>
        <v/>
      </c>
      <c r="AA768" s="984" t="str">
        <f>IF(OR(L768={"改紡","檢修","了機","清車","FINAL","停機","SAMPLE","TEST","絲開發"}), L768, IFERROR(IF(C768="", "", (SUM(J768, N768, R768, V768)/3 * AG768) * IF(AND(AF768="S", AS768="雙"), 0.5, 1)), ""))</f>
        <v>停機</v>
      </c>
      <c r="AB768" s="1413" t="str">
        <f t="shared" si="131"/>
        <v/>
      </c>
      <c r="AC768" s="984" t="str">
        <f>IF(OR(L768={"改紡","檢修","了機","清車","FINAL","停機","SAMPLE","TEST"}), "", IFERROR(IF(C768="", "", AVERAGE(L768:M768, P768:Q768, T768:U768, X768:Y768)/100), ""))</f>
        <v/>
      </c>
      <c r="AD768" s="984" t="str">
        <f t="shared" si="122"/>
        <v/>
      </c>
      <c r="AE768" s="984" t="str">
        <f t="shared" si="132"/>
        <v/>
      </c>
      <c r="AF768" s="985" t="str">
        <f t="shared" si="123"/>
        <v>A</v>
      </c>
      <c r="AG768" s="1414">
        <v>1</v>
      </c>
      <c r="AH768" s="1002" t="s">
        <v>640</v>
      </c>
      <c r="AI768" s="1002" t="s">
        <v>640</v>
      </c>
      <c r="AJ768" s="986" t="s">
        <v>640</v>
      </c>
      <c r="AK768" s="986" t="s">
        <v>640</v>
      </c>
      <c r="AL768" s="1415"/>
      <c r="AM768" s="1323"/>
      <c r="AN768" s="1323"/>
      <c r="AO768" s="1323"/>
      <c r="AP768" s="1323"/>
      <c r="AQ768" s="1323"/>
      <c r="AR768" s="987"/>
      <c r="AS768" s="978" t="str">
        <f t="shared" si="124"/>
        <v>單</v>
      </c>
      <c r="AT768" s="978" t="str">
        <f t="shared" si="125"/>
        <v>全</v>
      </c>
      <c r="AU768" s="978" t="str">
        <f t="shared" si="126"/>
        <v/>
      </c>
      <c r="AV768" s="978" t="str">
        <f t="shared" si="127"/>
        <v/>
      </c>
    </row>
    <row r="769" spans="1:48">
      <c r="A769" s="975">
        <f t="shared" si="133"/>
        <v>46162</v>
      </c>
      <c r="B769" s="976" t="s">
        <v>223</v>
      </c>
      <c r="C769" s="976" t="s">
        <v>632</v>
      </c>
      <c r="D769" s="1410"/>
      <c r="E769" s="977" t="str">
        <f>IFERROR(VLOOKUP(C769, [6]條件!$A:$L, 5, 0), "")</f>
        <v/>
      </c>
      <c r="F769" s="978" t="str">
        <f>IFERROR(VLOOKUP(C769, [6]條件!$A:$L, 6, 0), "")</f>
        <v/>
      </c>
      <c r="G769" s="1411" t="str">
        <f>IFERROR(VLOOKUP(C769, [6]條件!$A:$L, 7, 0), "")</f>
        <v/>
      </c>
      <c r="H769" s="978" t="str">
        <f>IF(ISNA(VLOOKUP(C769,[6]條件!$A$1:$K$932,11,0)),"",(VLOOKUP(C769,[6]條件!$A$1:$K$932,11,0)))</f>
        <v/>
      </c>
      <c r="I769" s="979" t="str">
        <f>IF(ISNA(VLOOKUP(C769,[6]條件!$A$1:$L$932,12,0)),"",(VLOOKUP(C769,[6]條件!$A$1:$L$932,12,0)))</f>
        <v/>
      </c>
      <c r="J769" s="982"/>
      <c r="K769" s="980"/>
      <c r="L769" s="981" t="s">
        <v>632</v>
      </c>
      <c r="M769" s="983"/>
      <c r="N769" s="982"/>
      <c r="O769" s="980"/>
      <c r="P769" s="981" t="s">
        <v>632</v>
      </c>
      <c r="Q769" s="983"/>
      <c r="R769" s="982"/>
      <c r="S769" s="980"/>
      <c r="T769" s="981" t="s">
        <v>632</v>
      </c>
      <c r="U769" s="983"/>
      <c r="V769" s="982"/>
      <c r="W769" s="980"/>
      <c r="X769" s="981" t="s">
        <v>632</v>
      </c>
      <c r="Y769" s="983"/>
      <c r="Z769" s="1412" t="str">
        <f>IFERROR(VLOOKUP(C769, [6]條件!$A:$L, 3, 0), "")</f>
        <v/>
      </c>
      <c r="AA769" s="984" t="str">
        <f>IF(OR(L769={"改紡","檢修","了機","清車","FINAL","停機","SAMPLE","TEST","絲開發"}), L769, IFERROR(IF(C769="", "", (SUM(J769, N769, R769, V769)/3 * AG769) * IF(AND(AF769="S", AS769="雙"), 0.5, 1)), ""))</f>
        <v>停機</v>
      </c>
      <c r="AB769" s="1413" t="str">
        <f t="shared" si="131"/>
        <v/>
      </c>
      <c r="AC769" s="984" t="str">
        <f>IF(OR(L769={"改紡","檢修","了機","清車","FINAL","停機","SAMPLE","TEST"}), "", IFERROR(IF(C769="", "", AVERAGE(L769:M769, P769:Q769, T769:U769, X769:Y769)/100), ""))</f>
        <v/>
      </c>
      <c r="AD769" s="984" t="str">
        <f t="shared" si="122"/>
        <v/>
      </c>
      <c r="AE769" s="984" t="str">
        <f t="shared" si="132"/>
        <v/>
      </c>
      <c r="AF769" s="985" t="str">
        <f t="shared" si="123"/>
        <v>A</v>
      </c>
      <c r="AG769" s="1414">
        <v>1</v>
      </c>
      <c r="AH769" s="1002" t="s">
        <v>640</v>
      </c>
      <c r="AI769" s="1002" t="s">
        <v>640</v>
      </c>
      <c r="AJ769" s="986" t="s">
        <v>640</v>
      </c>
      <c r="AK769" s="986" t="s">
        <v>640</v>
      </c>
      <c r="AL769" s="1415"/>
      <c r="AM769" s="1324"/>
      <c r="AN769" s="1323"/>
      <c r="AO769" s="1323"/>
      <c r="AP769" s="1323"/>
      <c r="AQ769" s="1323"/>
      <c r="AR769" s="987"/>
      <c r="AS769" s="978" t="str">
        <f t="shared" si="124"/>
        <v>單</v>
      </c>
      <c r="AT769" s="978" t="str">
        <f t="shared" si="125"/>
        <v>全</v>
      </c>
      <c r="AU769" s="978" t="str">
        <f t="shared" si="126"/>
        <v/>
      </c>
      <c r="AV769" s="978" t="str">
        <f t="shared" si="127"/>
        <v/>
      </c>
    </row>
    <row r="770" spans="1:48">
      <c r="A770" s="975">
        <f t="shared" si="133"/>
        <v>46162</v>
      </c>
      <c r="B770" s="976" t="s">
        <v>224</v>
      </c>
      <c r="C770" s="976" t="s">
        <v>16734</v>
      </c>
      <c r="D770" s="1410" t="s">
        <v>633</v>
      </c>
      <c r="E770" s="977" t="str">
        <f>IFERROR(VLOOKUP(C770, [6]條件!$A:$L, 5, 0), "")</f>
        <v>75/24/2SDr</v>
      </c>
      <c r="F770" s="978" t="str">
        <f>IFERROR(VLOOKUP(C770, [6]條件!$A:$L, 6, 0), "")</f>
        <v>FP81382R×2</v>
      </c>
      <c r="G770" s="1411">
        <f>IFERROR(VLOOKUP(C770, [6]條件!$A:$L, 7, 0), "")</f>
        <v>700</v>
      </c>
      <c r="H770" s="978" t="str">
        <f>IF(ISNA(VLOOKUP(C770,[6]條件!$A$1:$K$932,11,0)),"",(VLOOKUP(C770,[6]條件!$A$1:$K$932,11,0)))</f>
        <v>白底紫三角</v>
      </c>
      <c r="I770" s="979">
        <f>IF(ISNA(VLOOKUP(C770,[6]條件!$A$1:$L$932,12,0)),"",(VLOOKUP(C770,[6]條件!$A$1:$L$932,12,0)))</f>
        <v>5</v>
      </c>
      <c r="J770" s="982"/>
      <c r="K770" s="980"/>
      <c r="L770" s="981" t="s">
        <v>127</v>
      </c>
      <c r="M770" s="983"/>
      <c r="N770" s="982"/>
      <c r="O770" s="980"/>
      <c r="P770" s="981" t="s">
        <v>127</v>
      </c>
      <c r="Q770" s="983"/>
      <c r="R770" s="982"/>
      <c r="S770" s="980"/>
      <c r="T770" s="981" t="s">
        <v>127</v>
      </c>
      <c r="U770" s="983" t="s">
        <v>15855</v>
      </c>
      <c r="V770" s="982"/>
      <c r="W770" s="980"/>
      <c r="X770" s="981" t="s">
        <v>127</v>
      </c>
      <c r="Y770" s="983" t="s">
        <v>16004</v>
      </c>
      <c r="Z770" s="1412">
        <f>IFERROR(VLOOKUP(C770, [6]條件!$A:$L, 3, 0), "")</f>
        <v>3.2653061224489797</v>
      </c>
      <c r="AA770" s="984" t="str">
        <f>IF(OR(L770={"改紡","檢修","了機","清車","FINAL","停機","SAMPLE","TEST","絲開發"}), L770, IFERROR(IF(C770="", "", (SUM(J770, N770, R770, V770)/3 * AG770) * IF(AND(AF770="S", AS770="雙"), 0.5, 1)), ""))</f>
        <v>了機</v>
      </c>
      <c r="AB770" s="1413" t="str">
        <f t="shared" si="131"/>
        <v/>
      </c>
      <c r="AC770" s="984" t="str">
        <f>IF(OR(L770={"改紡","檢修","了機","清車","FINAL","停機","SAMPLE","TEST"}), "", IFERROR(IF(C770="", "", AVERAGE(L770:M770, P770:Q770, T770:U770, X770:Y770)/100), ""))</f>
        <v/>
      </c>
      <c r="AD770" s="984" t="str">
        <f t="shared" ref="AD770:AD836" si="134">IF(ISERROR(AA770/8),"",(AA770/8))</f>
        <v/>
      </c>
      <c r="AE770" s="984" t="str">
        <f t="shared" si="132"/>
        <v/>
      </c>
      <c r="AF770" s="985" t="str">
        <f t="shared" ref="AF770:AF833" si="135">LEFT(B770, 1)</f>
        <v>A</v>
      </c>
      <c r="AG770" s="1414">
        <v>0.5</v>
      </c>
      <c r="AH770" s="1002" t="s">
        <v>16012</v>
      </c>
      <c r="AI770" s="1002" t="s">
        <v>16022</v>
      </c>
      <c r="AJ770" s="986" t="s">
        <v>16001</v>
      </c>
      <c r="AK770" s="986" t="s">
        <v>16001</v>
      </c>
      <c r="AL770" s="1415">
        <v>50</v>
      </c>
      <c r="AM770" s="1323">
        <v>46110</v>
      </c>
      <c r="AN770" s="1323">
        <v>46111</v>
      </c>
      <c r="AO770" s="1323">
        <v>46112</v>
      </c>
      <c r="AP770" s="1323"/>
      <c r="AQ770" s="1323"/>
      <c r="AR770" s="987"/>
      <c r="AS770" s="978" t="str">
        <f t="shared" ref="AS770:AS833" si="136">IF(RIGHT(F770, 2) = "×2", "雙", "單")</f>
        <v>雙</v>
      </c>
      <c r="AT770" s="978" t="str">
        <f t="shared" ref="AT770:AT833" si="137">IF(OR(AF770="J", AF770="T", AF770="M"), IF(AG770=1, "全", "半"), IF(AF770="A", IF(AG770=0.5, IF(AS770="雙", "全", ""), IF(AG770=1, IF(AS770="雙", "半", "全"), IF(AG770=2, "半", ""))), IF(AF770="S", AG770 &amp; "sec", "")))</f>
        <v>全</v>
      </c>
      <c r="AU770" s="978">
        <f t="shared" ref="AU770:AU833" si="138">IFERROR(VALUE(LEFT(E770, FIND("/", E770)-1)), "")</f>
        <v>75</v>
      </c>
      <c r="AV770" s="978" t="str">
        <f t="shared" ref="AV770:AV833" si="139">IFERROR(IF(AF770="S", (AU770*G770*AC770*0.03456/100/1000) * (AG770*12/144) * IF(AS770="單", 1, 0.5), IF(AF770="A", (AU770*G770*AC770*0.03456/100/1000) * IF(AT770="全", 1, 0.5), IF(OR(AF770="T", AF770="J", AF770="M"), (AU770*G770*AC770*0.03456/100/1000) * IF(AS770="單", 1, 2) * IF(AT770="全", 1, 0.5), 0))), "")</f>
        <v/>
      </c>
    </row>
    <row r="771" spans="1:48">
      <c r="A771" s="975">
        <f t="shared" si="133"/>
        <v>46162</v>
      </c>
      <c r="B771" s="976" t="s">
        <v>225</v>
      </c>
      <c r="C771" s="976" t="s">
        <v>632</v>
      </c>
      <c r="D771" s="1410"/>
      <c r="E771" s="977" t="str">
        <f>IFERROR(VLOOKUP(C771, [6]條件!$A:$L, 5, 0), "")</f>
        <v/>
      </c>
      <c r="F771" s="978" t="str">
        <f>IFERROR(VLOOKUP(C771, [6]條件!$A:$L, 6, 0), "")</f>
        <v/>
      </c>
      <c r="G771" s="1411" t="str">
        <f>IFERROR(VLOOKUP(C771, [6]條件!$A:$L, 7, 0), "")</f>
        <v/>
      </c>
      <c r="H771" s="978" t="str">
        <f>IF(ISNA(VLOOKUP(C771,[6]條件!$A$1:$K$932,11,0)),"",(VLOOKUP(C771,[6]條件!$A$1:$K$932,11,0)))</f>
        <v/>
      </c>
      <c r="I771" s="979" t="str">
        <f>IF(ISNA(VLOOKUP(C771,[6]條件!$A$1:$L$932,12,0)),"",(VLOOKUP(C771,[6]條件!$A$1:$L$932,12,0)))</f>
        <v/>
      </c>
      <c r="J771" s="982"/>
      <c r="K771" s="980"/>
      <c r="L771" s="981" t="s">
        <v>632</v>
      </c>
      <c r="M771" s="983"/>
      <c r="N771" s="982"/>
      <c r="O771" s="980"/>
      <c r="P771" s="981" t="s">
        <v>632</v>
      </c>
      <c r="Q771" s="983"/>
      <c r="R771" s="982"/>
      <c r="S771" s="980"/>
      <c r="T771" s="981" t="s">
        <v>632</v>
      </c>
      <c r="U771" s="983"/>
      <c r="V771" s="982"/>
      <c r="W771" s="980"/>
      <c r="X771" s="981" t="s">
        <v>632</v>
      </c>
      <c r="Y771" s="983"/>
      <c r="Z771" s="1412" t="str">
        <f>IFERROR(VLOOKUP(C771, [6]條件!$A:$L, 3, 0), "")</f>
        <v/>
      </c>
      <c r="AA771" s="984" t="str">
        <f>IF(OR(L771={"改紡","檢修","了機","清車","FINAL","停機","SAMPLE","TEST","絲開發"}), L771, IFERROR(IF(C771="", "", (SUM(J771, N771, R771, V771)/3 * AG771) * IF(AND(AF771="S", AS771="雙"), 0.5, 1)), ""))</f>
        <v>停機</v>
      </c>
      <c r="AB771" s="1413" t="str">
        <f t="shared" si="131"/>
        <v/>
      </c>
      <c r="AC771" s="984" t="str">
        <f>IF(OR(L771={"改紡","檢修","了機","清車","FINAL","停機","SAMPLE","TEST"}), "", IFERROR(IF(C771="", "", AVERAGE(L771:M771, P771:Q771, T771:U771, X771:Y771)/100), ""))</f>
        <v/>
      </c>
      <c r="AD771" s="984" t="str">
        <f t="shared" si="134"/>
        <v/>
      </c>
      <c r="AE771" s="984" t="str">
        <f t="shared" si="132"/>
        <v/>
      </c>
      <c r="AF771" s="985" t="str">
        <f t="shared" si="135"/>
        <v>A</v>
      </c>
      <c r="AG771" s="1414">
        <v>1</v>
      </c>
      <c r="AH771" s="1002" t="s">
        <v>640</v>
      </c>
      <c r="AI771" s="1002" t="s">
        <v>640</v>
      </c>
      <c r="AJ771" s="986" t="s">
        <v>640</v>
      </c>
      <c r="AK771" s="986" t="s">
        <v>640</v>
      </c>
      <c r="AL771" s="1415"/>
      <c r="AM771" s="1323"/>
      <c r="AN771" s="1323"/>
      <c r="AO771" s="1323"/>
      <c r="AP771" s="1323"/>
      <c r="AQ771" s="1323"/>
      <c r="AR771" s="987"/>
      <c r="AS771" s="978" t="str">
        <f t="shared" si="136"/>
        <v>單</v>
      </c>
      <c r="AT771" s="978" t="str">
        <f t="shared" si="137"/>
        <v>全</v>
      </c>
      <c r="AU771" s="978" t="str">
        <f t="shared" si="138"/>
        <v/>
      </c>
      <c r="AV771" s="978" t="str">
        <f t="shared" si="139"/>
        <v/>
      </c>
    </row>
    <row r="772" spans="1:48">
      <c r="A772" s="975">
        <f t="shared" si="133"/>
        <v>46162</v>
      </c>
      <c r="B772" s="976" t="s">
        <v>226</v>
      </c>
      <c r="C772" s="976" t="s">
        <v>632</v>
      </c>
      <c r="D772" s="1410"/>
      <c r="E772" s="977" t="str">
        <f>IFERROR(VLOOKUP(C772, [6]條件!$A:$L, 5, 0), "")</f>
        <v/>
      </c>
      <c r="F772" s="978" t="str">
        <f>IFERROR(VLOOKUP(C772, [6]條件!$A:$L, 6, 0), "")</f>
        <v/>
      </c>
      <c r="G772" s="1411" t="str">
        <f>IFERROR(VLOOKUP(C772, [6]條件!$A:$L, 7, 0), "")</f>
        <v/>
      </c>
      <c r="H772" s="978" t="str">
        <f>IF(ISNA(VLOOKUP(C772,[6]條件!$A$1:$K$932,11,0)),"",(VLOOKUP(C772,[6]條件!$A$1:$K$932,11,0)))</f>
        <v/>
      </c>
      <c r="I772" s="979" t="str">
        <f>IF(ISNA(VLOOKUP(C772,[6]條件!$A$1:$L$932,12,0)),"",(VLOOKUP(C772,[6]條件!$A$1:$L$932,12,0)))</f>
        <v/>
      </c>
      <c r="J772" s="982"/>
      <c r="K772" s="980"/>
      <c r="L772" s="981" t="s">
        <v>632</v>
      </c>
      <c r="M772" s="983"/>
      <c r="N772" s="982"/>
      <c r="O772" s="980"/>
      <c r="P772" s="981" t="s">
        <v>632</v>
      </c>
      <c r="Q772" s="983"/>
      <c r="R772" s="982"/>
      <c r="S772" s="980"/>
      <c r="T772" s="981" t="s">
        <v>632</v>
      </c>
      <c r="U772" s="983"/>
      <c r="V772" s="982"/>
      <c r="W772" s="980"/>
      <c r="X772" s="981" t="s">
        <v>632</v>
      </c>
      <c r="Y772" s="983"/>
      <c r="Z772" s="1412" t="str">
        <f>IFERROR(VLOOKUP(C772, [6]條件!$A:$L, 3, 0), "")</f>
        <v/>
      </c>
      <c r="AA772" s="984" t="str">
        <f>IF(OR(L772={"改紡","檢修","了機","清車","FINAL","停機","SAMPLE","TEST","絲開發"}), L772, IFERROR(IF(C772="", "", (SUM(J772, N772, R772, V772)/3 * AG772) * IF(AND(AF772="S", AS772="雙"), 0.5, 1)), ""))</f>
        <v>停機</v>
      </c>
      <c r="AB772" s="1413" t="str">
        <f t="shared" si="131"/>
        <v/>
      </c>
      <c r="AC772" s="984" t="str">
        <f>IF(OR(L772={"改紡","檢修","了機","清車","FINAL","停機","SAMPLE","TEST"}), "", IFERROR(IF(C772="", "", AVERAGE(L772:M772, P772:Q772, T772:U772, X772:Y772)/100), ""))</f>
        <v/>
      </c>
      <c r="AD772" s="984" t="str">
        <f t="shared" si="134"/>
        <v/>
      </c>
      <c r="AE772" s="984" t="str">
        <f t="shared" si="132"/>
        <v/>
      </c>
      <c r="AF772" s="985" t="str">
        <f t="shared" si="135"/>
        <v>A</v>
      </c>
      <c r="AG772" s="1414">
        <v>1</v>
      </c>
      <c r="AH772" s="1002" t="s">
        <v>640</v>
      </c>
      <c r="AI772" s="1002" t="s">
        <v>640</v>
      </c>
      <c r="AJ772" s="986" t="s">
        <v>640</v>
      </c>
      <c r="AK772" s="986" t="s">
        <v>640</v>
      </c>
      <c r="AL772" s="1415"/>
      <c r="AM772" s="1323"/>
      <c r="AN772" s="1323"/>
      <c r="AO772" s="1323"/>
      <c r="AP772" s="1323"/>
      <c r="AQ772" s="1323"/>
      <c r="AR772" s="987"/>
      <c r="AS772" s="978" t="str">
        <f t="shared" si="136"/>
        <v>單</v>
      </c>
      <c r="AT772" s="978" t="str">
        <f t="shared" si="137"/>
        <v>全</v>
      </c>
      <c r="AU772" s="978" t="str">
        <f t="shared" si="138"/>
        <v/>
      </c>
      <c r="AV772" s="978" t="str">
        <f t="shared" si="139"/>
        <v/>
      </c>
    </row>
    <row r="773" spans="1:48">
      <c r="A773" s="975">
        <f t="shared" si="133"/>
        <v>46162</v>
      </c>
      <c r="B773" s="976" t="s">
        <v>227</v>
      </c>
      <c r="C773" s="976" t="s">
        <v>632</v>
      </c>
      <c r="D773" s="1410"/>
      <c r="E773" s="977" t="str">
        <f>IFERROR(VLOOKUP(C773, [6]條件!$A:$L, 5, 0), "")</f>
        <v/>
      </c>
      <c r="F773" s="978" t="str">
        <f>IFERROR(VLOOKUP(C773, [6]條件!$A:$L, 6, 0), "")</f>
        <v/>
      </c>
      <c r="G773" s="1411" t="str">
        <f>IFERROR(VLOOKUP(C773, [6]條件!$A:$L, 7, 0), "")</f>
        <v/>
      </c>
      <c r="H773" s="978" t="str">
        <f>IF(ISNA(VLOOKUP(C773,[6]條件!$A$1:$K$932,11,0)),"",(VLOOKUP(C773,[6]條件!$A$1:$K$932,11,0)))</f>
        <v/>
      </c>
      <c r="I773" s="979" t="str">
        <f>IF(ISNA(VLOOKUP(C773,[6]條件!$A$1:$L$932,12,0)),"",(VLOOKUP(C773,[6]條件!$A$1:$L$932,12,0)))</f>
        <v/>
      </c>
      <c r="J773" s="982"/>
      <c r="K773" s="980"/>
      <c r="L773" s="981" t="s">
        <v>632</v>
      </c>
      <c r="M773" s="983"/>
      <c r="N773" s="982"/>
      <c r="O773" s="980"/>
      <c r="P773" s="981" t="s">
        <v>632</v>
      </c>
      <c r="Q773" s="983"/>
      <c r="R773" s="982"/>
      <c r="S773" s="980"/>
      <c r="T773" s="981" t="s">
        <v>632</v>
      </c>
      <c r="U773" s="983"/>
      <c r="V773" s="982"/>
      <c r="W773" s="980"/>
      <c r="X773" s="981" t="s">
        <v>632</v>
      </c>
      <c r="Y773" s="983"/>
      <c r="Z773" s="1412" t="str">
        <f>IFERROR(VLOOKUP(C773, [6]條件!$A:$L, 3, 0), "")</f>
        <v/>
      </c>
      <c r="AA773" s="984" t="str">
        <f>IF(OR(L773={"改紡","檢修","了機","清車","FINAL","停機","SAMPLE","TEST","絲開發"}), L773, IFERROR(IF(C773="", "", (SUM(J773, N773, R773, V773)/3 * AG773) * IF(AND(AF773="S", AS773="雙"), 0.5, 1)), ""))</f>
        <v>停機</v>
      </c>
      <c r="AB773" s="1413" t="str">
        <f t="shared" si="131"/>
        <v/>
      </c>
      <c r="AC773" s="984" t="str">
        <f>IF(OR(L773={"改紡","檢修","了機","清車","FINAL","停機","SAMPLE","TEST"}), "", IFERROR(IF(C773="", "", AVERAGE(L773:M773, P773:Q773, T773:U773, X773:Y773)/100), ""))</f>
        <v/>
      </c>
      <c r="AD773" s="984" t="str">
        <f t="shared" si="134"/>
        <v/>
      </c>
      <c r="AE773" s="984" t="str">
        <f t="shared" si="132"/>
        <v/>
      </c>
      <c r="AF773" s="985" t="str">
        <f t="shared" si="135"/>
        <v>A</v>
      </c>
      <c r="AG773" s="1414">
        <v>1</v>
      </c>
      <c r="AH773" s="1002" t="s">
        <v>640</v>
      </c>
      <c r="AI773" s="1002" t="s">
        <v>640</v>
      </c>
      <c r="AJ773" s="986" t="s">
        <v>640</v>
      </c>
      <c r="AK773" s="986" t="s">
        <v>640</v>
      </c>
      <c r="AL773" s="1415"/>
      <c r="AM773" s="1323"/>
      <c r="AN773" s="1323"/>
      <c r="AO773" s="1323"/>
      <c r="AP773" s="1323"/>
      <c r="AQ773" s="1323"/>
      <c r="AR773" s="987"/>
      <c r="AS773" s="978" t="str">
        <f t="shared" si="136"/>
        <v>單</v>
      </c>
      <c r="AT773" s="978" t="str">
        <f t="shared" si="137"/>
        <v>全</v>
      </c>
      <c r="AU773" s="978" t="str">
        <f t="shared" si="138"/>
        <v/>
      </c>
      <c r="AV773" s="978" t="str">
        <f t="shared" si="139"/>
        <v/>
      </c>
    </row>
    <row r="774" spans="1:48">
      <c r="A774" s="975">
        <f t="shared" si="133"/>
        <v>46162</v>
      </c>
      <c r="B774" s="976" t="s">
        <v>228</v>
      </c>
      <c r="C774" s="976" t="s">
        <v>632</v>
      </c>
      <c r="D774" s="1410"/>
      <c r="E774" s="977" t="str">
        <f>IFERROR(VLOOKUP(C774, [6]條件!$A:$L, 5, 0), "")</f>
        <v/>
      </c>
      <c r="F774" s="978" t="str">
        <f>IFERROR(VLOOKUP(C774, [6]條件!$A:$L, 6, 0), "")</f>
        <v/>
      </c>
      <c r="G774" s="1411" t="str">
        <f>IFERROR(VLOOKUP(C774, [6]條件!$A:$L, 7, 0), "")</f>
        <v/>
      </c>
      <c r="H774" s="978" t="str">
        <f>IF(ISNA(VLOOKUP(C774,[6]條件!$A$1:$K$932,11,0)),"",(VLOOKUP(C774,[6]條件!$A$1:$K$932,11,0)))</f>
        <v/>
      </c>
      <c r="I774" s="979" t="str">
        <f>IF(ISNA(VLOOKUP(C774,[6]條件!$A$1:$L$932,12,0)),"",(VLOOKUP(C774,[6]條件!$A$1:$L$932,12,0)))</f>
        <v/>
      </c>
      <c r="J774" s="982"/>
      <c r="K774" s="980"/>
      <c r="L774" s="981" t="s">
        <v>632</v>
      </c>
      <c r="M774" s="983"/>
      <c r="N774" s="982"/>
      <c r="O774" s="980"/>
      <c r="P774" s="981" t="s">
        <v>632</v>
      </c>
      <c r="Q774" s="983"/>
      <c r="R774" s="982"/>
      <c r="S774" s="980"/>
      <c r="T774" s="981" t="s">
        <v>632</v>
      </c>
      <c r="U774" s="983"/>
      <c r="V774" s="982"/>
      <c r="W774" s="980"/>
      <c r="X774" s="981" t="s">
        <v>632</v>
      </c>
      <c r="Y774" s="983"/>
      <c r="Z774" s="1412" t="str">
        <f>IFERROR(VLOOKUP(C774, [6]條件!$A:$L, 3, 0), "")</f>
        <v/>
      </c>
      <c r="AA774" s="984" t="str">
        <f>IF(OR(L774={"改紡","檢修","了機","清車","FINAL","停機","SAMPLE","TEST","絲開發"}), L774, IFERROR(IF(C774="", "", (SUM(J774, N774, R774, V774)/3 * AG774) * IF(AND(AF774="S", AS774="雙"), 0.5, 1)), ""))</f>
        <v>停機</v>
      </c>
      <c r="AB774" s="1413" t="str">
        <f t="shared" si="131"/>
        <v/>
      </c>
      <c r="AC774" s="984" t="str">
        <f>IF(OR(L774={"改紡","檢修","了機","清車","FINAL","停機","SAMPLE","TEST"}), "", IFERROR(IF(C774="", "", AVERAGE(L774:M774, P774:Q774, T774:U774, X774:Y774)/100), ""))</f>
        <v/>
      </c>
      <c r="AD774" s="984" t="str">
        <f t="shared" si="134"/>
        <v/>
      </c>
      <c r="AE774" s="984" t="str">
        <f t="shared" si="132"/>
        <v/>
      </c>
      <c r="AF774" s="985" t="str">
        <f t="shared" si="135"/>
        <v>A</v>
      </c>
      <c r="AG774" s="1414">
        <v>1</v>
      </c>
      <c r="AH774" s="1002" t="s">
        <v>640</v>
      </c>
      <c r="AI774" s="1002" t="s">
        <v>640</v>
      </c>
      <c r="AJ774" s="986" t="s">
        <v>640</v>
      </c>
      <c r="AK774" s="986" t="s">
        <v>640</v>
      </c>
      <c r="AL774" s="1420"/>
      <c r="AM774" s="1323"/>
      <c r="AN774" s="1323"/>
      <c r="AO774" s="1323"/>
      <c r="AP774" s="1323"/>
      <c r="AQ774" s="1323"/>
      <c r="AR774" s="987"/>
      <c r="AS774" s="978" t="str">
        <f t="shared" si="136"/>
        <v>單</v>
      </c>
      <c r="AT774" s="978" t="str">
        <f t="shared" si="137"/>
        <v>全</v>
      </c>
      <c r="AU774" s="978" t="str">
        <f t="shared" si="138"/>
        <v/>
      </c>
      <c r="AV774" s="978" t="str">
        <f t="shared" si="139"/>
        <v/>
      </c>
    </row>
    <row r="775" spans="1:48">
      <c r="A775" s="975">
        <f t="shared" si="133"/>
        <v>46162</v>
      </c>
      <c r="B775" s="976" t="s">
        <v>229</v>
      </c>
      <c r="C775" s="976" t="s">
        <v>632</v>
      </c>
      <c r="D775" s="1410"/>
      <c r="E775" s="977" t="str">
        <f>IFERROR(VLOOKUP(C775, [6]條件!$A:$L, 5, 0), "")</f>
        <v/>
      </c>
      <c r="F775" s="978" t="str">
        <f>IFERROR(VLOOKUP(C775, [6]條件!$A:$L, 6, 0), "")</f>
        <v/>
      </c>
      <c r="G775" s="1411" t="str">
        <f>IFERROR(VLOOKUP(C775, [6]條件!$A:$L, 7, 0), "")</f>
        <v/>
      </c>
      <c r="H775" s="978" t="str">
        <f>IF(ISNA(VLOOKUP(C775,[6]條件!$A$1:$K$932,11,0)),"",(VLOOKUP(C775,[6]條件!$A$1:$K$932,11,0)))</f>
        <v/>
      </c>
      <c r="I775" s="979" t="str">
        <f>IF(ISNA(VLOOKUP(C775,[6]條件!$A$1:$L$932,12,0)),"",(VLOOKUP(C775,[6]條件!$A$1:$L$932,12,0)))</f>
        <v/>
      </c>
      <c r="J775" s="982"/>
      <c r="K775" s="980"/>
      <c r="L775" s="981" t="s">
        <v>628</v>
      </c>
      <c r="M775" s="983"/>
      <c r="N775" s="982"/>
      <c r="O775" s="980"/>
      <c r="P775" s="981" t="s">
        <v>628</v>
      </c>
      <c r="Q775" s="983"/>
      <c r="R775" s="982"/>
      <c r="S775" s="980"/>
      <c r="T775" s="981" t="s">
        <v>632</v>
      </c>
      <c r="U775" s="983"/>
      <c r="V775" s="982"/>
      <c r="W775" s="980"/>
      <c r="X775" s="981" t="s">
        <v>632</v>
      </c>
      <c r="Y775" s="983"/>
      <c r="Z775" s="1412" t="str">
        <f>IFERROR(VLOOKUP(C775, [6]條件!$A:$L, 3, 0), "")</f>
        <v/>
      </c>
      <c r="AA775" s="984" t="str">
        <f>IF(OR(L775={"改紡","檢修","了機","清車","FINAL","停機","SAMPLE","TEST","絲開發"}), L775, IFERROR(IF(C775="", "", (SUM(J775, N775, R775, V775)/3 * AG775) * IF(AND(AF775="S", AS775="雙"), 0.5, 1)), ""))</f>
        <v>清車</v>
      </c>
      <c r="AB775" s="1413" t="str">
        <f t="shared" si="131"/>
        <v/>
      </c>
      <c r="AC775" s="984" t="str">
        <f>IF(OR(L775={"改紡","檢修","了機","清車","FINAL","停機","SAMPLE","TEST"}), "", IFERROR(IF(C775="", "", AVERAGE(L775:M775, P775:Q775, T775:U775, X775:Y775)/100), ""))</f>
        <v/>
      </c>
      <c r="AD775" s="984" t="str">
        <f t="shared" si="134"/>
        <v/>
      </c>
      <c r="AE775" s="984" t="str">
        <f t="shared" si="132"/>
        <v/>
      </c>
      <c r="AF775" s="985" t="str">
        <f t="shared" si="135"/>
        <v>A</v>
      </c>
      <c r="AG775" s="1414">
        <v>1</v>
      </c>
      <c r="AH775" s="1002" t="s">
        <v>640</v>
      </c>
      <c r="AI775" s="1002" t="s">
        <v>640</v>
      </c>
      <c r="AJ775" s="986" t="s">
        <v>640</v>
      </c>
      <c r="AK775" s="986" t="s">
        <v>640</v>
      </c>
      <c r="AL775" s="1421"/>
      <c r="AM775" s="1323"/>
      <c r="AN775" s="1323"/>
      <c r="AO775" s="1323"/>
      <c r="AP775" s="1323"/>
      <c r="AQ775" s="1323"/>
      <c r="AR775" s="987"/>
      <c r="AS775" s="978" t="str">
        <f t="shared" si="136"/>
        <v>單</v>
      </c>
      <c r="AT775" s="978" t="str">
        <f t="shared" si="137"/>
        <v>全</v>
      </c>
      <c r="AU775" s="978" t="str">
        <f t="shared" si="138"/>
        <v/>
      </c>
      <c r="AV775" s="978" t="str">
        <f t="shared" si="139"/>
        <v/>
      </c>
    </row>
    <row r="776" spans="1:48">
      <c r="A776" s="975">
        <f t="shared" si="133"/>
        <v>46162</v>
      </c>
      <c r="B776" s="976" t="s">
        <v>230</v>
      </c>
      <c r="C776" s="976" t="s">
        <v>632</v>
      </c>
      <c r="D776" s="1410"/>
      <c r="E776" s="977" t="str">
        <f>IFERROR(VLOOKUP(C776, [6]條件!$A:$L, 5, 0), "")</f>
        <v/>
      </c>
      <c r="F776" s="978" t="str">
        <f>IFERROR(VLOOKUP(C776, [6]條件!$A:$L, 6, 0), "")</f>
        <v/>
      </c>
      <c r="G776" s="1411" t="str">
        <f>IFERROR(VLOOKUP(C776, [6]條件!$A:$L, 7, 0), "")</f>
        <v/>
      </c>
      <c r="H776" s="978" t="str">
        <f>IF(ISNA(VLOOKUP(C776,[6]條件!$A$1:$K$932,11,0)),"",(VLOOKUP(C776,[6]條件!$A$1:$K$932,11,0)))</f>
        <v/>
      </c>
      <c r="I776" s="979" t="str">
        <f>IF(ISNA(VLOOKUP(C776,[6]條件!$A$1:$L$932,12,0)),"",(VLOOKUP(C776,[6]條件!$A$1:$L$932,12,0)))</f>
        <v/>
      </c>
      <c r="J776" s="982"/>
      <c r="K776" s="980"/>
      <c r="L776" s="981" t="s">
        <v>632</v>
      </c>
      <c r="M776" s="983"/>
      <c r="N776" s="982"/>
      <c r="O776" s="980"/>
      <c r="P776" s="981" t="s">
        <v>632</v>
      </c>
      <c r="Q776" s="983"/>
      <c r="R776" s="982"/>
      <c r="S776" s="980"/>
      <c r="T776" s="981" t="s">
        <v>632</v>
      </c>
      <c r="U776" s="983"/>
      <c r="V776" s="982"/>
      <c r="W776" s="980"/>
      <c r="X776" s="981" t="s">
        <v>632</v>
      </c>
      <c r="Y776" s="983"/>
      <c r="Z776" s="1412" t="str">
        <f>IFERROR(VLOOKUP(C776, [6]條件!$A:$L, 3, 0), "")</f>
        <v/>
      </c>
      <c r="AA776" s="984" t="str">
        <f>IF(OR(L776={"改紡","檢修","了機","清車","FINAL","停機","SAMPLE","TEST","絲開發"}), L776, IFERROR(IF(C776="", "", (SUM(J776, N776, R776, V776)/3 * AG776) * IF(AND(AF776="S", AS776="雙"), 0.5, 1)), ""))</f>
        <v>停機</v>
      </c>
      <c r="AB776" s="1413" t="str">
        <f t="shared" si="131"/>
        <v/>
      </c>
      <c r="AC776" s="984" t="str">
        <f>IF(OR(L776={"改紡","檢修","了機","清車","FINAL","停機","SAMPLE","TEST"}), "", IFERROR(IF(C776="", "", AVERAGE(L776:M776, P776:Q776, T776:U776, X776:Y776)/100), ""))</f>
        <v/>
      </c>
      <c r="AD776" s="984" t="str">
        <f t="shared" si="134"/>
        <v/>
      </c>
      <c r="AE776" s="984" t="str">
        <f t="shared" si="132"/>
        <v/>
      </c>
      <c r="AF776" s="985" t="str">
        <f t="shared" si="135"/>
        <v>A</v>
      </c>
      <c r="AG776" s="1414">
        <v>0.5</v>
      </c>
      <c r="AH776" s="1002" t="s">
        <v>640</v>
      </c>
      <c r="AI776" s="1002" t="s">
        <v>640</v>
      </c>
      <c r="AJ776" s="986" t="s">
        <v>640</v>
      </c>
      <c r="AK776" s="986" t="s">
        <v>640</v>
      </c>
      <c r="AL776" s="1415"/>
      <c r="AM776" s="1323"/>
      <c r="AN776" s="1323"/>
      <c r="AO776" s="1323"/>
      <c r="AP776" s="1323"/>
      <c r="AQ776" s="1323"/>
      <c r="AR776" s="987"/>
      <c r="AS776" s="978" t="str">
        <f t="shared" si="136"/>
        <v>單</v>
      </c>
      <c r="AT776" s="978" t="str">
        <f t="shared" si="137"/>
        <v/>
      </c>
      <c r="AU776" s="978" t="str">
        <f t="shared" si="138"/>
        <v/>
      </c>
      <c r="AV776" s="978" t="str">
        <f t="shared" si="139"/>
        <v/>
      </c>
    </row>
    <row r="777" spans="1:48">
      <c r="A777" s="975">
        <f t="shared" si="133"/>
        <v>46162</v>
      </c>
      <c r="B777" s="976" t="s">
        <v>231</v>
      </c>
      <c r="C777" s="976" t="s">
        <v>632</v>
      </c>
      <c r="D777" s="1410"/>
      <c r="E777" s="977" t="str">
        <f>IFERROR(VLOOKUP(C777, [6]條件!$A:$L, 5, 0), "")</f>
        <v/>
      </c>
      <c r="F777" s="978" t="str">
        <f>IFERROR(VLOOKUP(C777, [6]條件!$A:$L, 6, 0), "")</f>
        <v/>
      </c>
      <c r="G777" s="1411" t="str">
        <f>IFERROR(VLOOKUP(C777, [6]條件!$A:$L, 7, 0), "")</f>
        <v/>
      </c>
      <c r="H777" s="978" t="str">
        <f>IF(ISNA(VLOOKUP(C777,[6]條件!$A$1:$K$932,11,0)),"",(VLOOKUP(C777,[6]條件!$A$1:$K$932,11,0)))</f>
        <v/>
      </c>
      <c r="I777" s="979" t="str">
        <f>IF(ISNA(VLOOKUP(C777,[6]條件!$A$1:$L$932,12,0)),"",(VLOOKUP(C777,[6]條件!$A$1:$L$932,12,0)))</f>
        <v/>
      </c>
      <c r="J777" s="982"/>
      <c r="K777" s="980"/>
      <c r="L777" s="981" t="s">
        <v>632</v>
      </c>
      <c r="M777" s="983"/>
      <c r="N777" s="982"/>
      <c r="O777" s="980"/>
      <c r="P777" s="981" t="s">
        <v>632</v>
      </c>
      <c r="Q777" s="983"/>
      <c r="R777" s="982"/>
      <c r="S777" s="980"/>
      <c r="T777" s="981" t="s">
        <v>632</v>
      </c>
      <c r="U777" s="983"/>
      <c r="V777" s="982"/>
      <c r="W777" s="980"/>
      <c r="X777" s="981" t="s">
        <v>632</v>
      </c>
      <c r="Y777" s="983"/>
      <c r="Z777" s="1412" t="str">
        <f>IFERROR(VLOOKUP(C777, [6]條件!$A:$L, 3, 0), "")</f>
        <v/>
      </c>
      <c r="AA777" s="984" t="str">
        <f>IF(OR(L777={"改紡","檢修","了機","清車","FINAL","停機","SAMPLE","TEST","絲開發"}), L777, IFERROR(IF(C777="", "", (SUM(J777, N777, R777, V777)/3 * AG777) * IF(AND(AF777="S", AS777="雙"), 0.5, 1)), ""))</f>
        <v>停機</v>
      </c>
      <c r="AB777" s="1413" t="str">
        <f t="shared" si="131"/>
        <v/>
      </c>
      <c r="AC777" s="984" t="str">
        <f>IF(OR(L777={"改紡","檢修","了機","清車","FINAL","停機","SAMPLE","TEST"}), "", IFERROR(IF(C777="", "", AVERAGE(L777:M777, P777:Q777, T777:U777, X777:Y777)/100), ""))</f>
        <v/>
      </c>
      <c r="AD777" s="984" t="str">
        <f t="shared" si="134"/>
        <v/>
      </c>
      <c r="AE777" s="984" t="str">
        <f t="shared" si="132"/>
        <v/>
      </c>
      <c r="AF777" s="985" t="str">
        <f t="shared" si="135"/>
        <v>J</v>
      </c>
      <c r="AG777" s="1414">
        <v>1</v>
      </c>
      <c r="AH777" s="1002" t="s">
        <v>640</v>
      </c>
      <c r="AI777" s="1002" t="s">
        <v>640</v>
      </c>
      <c r="AJ777" s="986" t="s">
        <v>640</v>
      </c>
      <c r="AK777" s="986" t="s">
        <v>640</v>
      </c>
      <c r="AL777" s="1415"/>
      <c r="AM777" s="1323"/>
      <c r="AN777" s="1323"/>
      <c r="AO777" s="1323"/>
      <c r="AP777" s="1323"/>
      <c r="AQ777" s="1323"/>
      <c r="AR777" s="987"/>
      <c r="AS777" s="978" t="str">
        <f t="shared" si="136"/>
        <v>單</v>
      </c>
      <c r="AT777" s="978" t="str">
        <f t="shared" si="137"/>
        <v>全</v>
      </c>
      <c r="AU777" s="978" t="str">
        <f t="shared" si="138"/>
        <v/>
      </c>
      <c r="AV777" s="978" t="str">
        <f t="shared" si="139"/>
        <v/>
      </c>
    </row>
    <row r="778" spans="1:48">
      <c r="A778" s="975">
        <f t="shared" si="133"/>
        <v>46162</v>
      </c>
      <c r="B778" s="976" t="s">
        <v>233</v>
      </c>
      <c r="C778" s="976" t="s">
        <v>16772</v>
      </c>
      <c r="D778" s="1410" t="s">
        <v>633</v>
      </c>
      <c r="E778" s="977" t="str">
        <f>IFERROR(VLOOKUP(C778, [6]條件!$A:$L, 5, 0), "")</f>
        <v>150/48/2SDr</v>
      </c>
      <c r="F778" s="978" t="str">
        <f>IFERROR(VLOOKUP(C778, [6]條件!$A:$L, 6, 0), "")</f>
        <v>FP82171R×2</v>
      </c>
      <c r="G778" s="1411">
        <f>IFERROR(VLOOKUP(C778, [6]條件!$A:$L, 7, 0), "")</f>
        <v>600</v>
      </c>
      <c r="H778" s="978" t="str">
        <f>IF(ISNA(VLOOKUP(C778,[6]條件!$A$1:$K$932,11,0)),"",(VLOOKUP(C778,[6]條件!$A$1:$K$932,11,0)))</f>
        <v>紅白直條</v>
      </c>
      <c r="I778" s="979">
        <f>IF(ISNA(VLOOKUP(C778,[6]條件!$A$1:$L$932,12,0)),"",(VLOOKUP(C778,[6]條件!$A$1:$L$932,12,0)))</f>
        <v>5.5</v>
      </c>
      <c r="J778" s="982">
        <v>30</v>
      </c>
      <c r="K778" s="980">
        <v>0</v>
      </c>
      <c r="L778" s="981">
        <v>6740</v>
      </c>
      <c r="M778" s="983"/>
      <c r="N778" s="982">
        <v>13</v>
      </c>
      <c r="O778" s="980">
        <v>0</v>
      </c>
      <c r="P778" s="981">
        <v>6530</v>
      </c>
      <c r="Q778" s="983"/>
      <c r="R778" s="982">
        <v>12</v>
      </c>
      <c r="S778" s="980">
        <v>0</v>
      </c>
      <c r="T778" s="981">
        <v>6520</v>
      </c>
      <c r="U778" s="983"/>
      <c r="V778" s="982">
        <v>20</v>
      </c>
      <c r="W778" s="980">
        <v>5</v>
      </c>
      <c r="X778" s="981">
        <v>6650</v>
      </c>
      <c r="Y778" s="983"/>
      <c r="Z778" s="1412">
        <f>IFERROR(VLOOKUP(C778, [6]條件!$A:$L, 3, 0), "")</f>
        <v>5.0526315789473673</v>
      </c>
      <c r="AA778" s="984">
        <f>IF(OR(L778={"改紡","檢修","了機","清車","FINAL","停機","SAMPLE","TEST","絲開發"}), L778, IFERROR(IF(C778="", "", (SUM(J778, N778, R778, V778)/3 * AG778) * IF(AND(AF778="S", AS778="雙"), 0.5, 1)), ""))</f>
        <v>25</v>
      </c>
      <c r="AB778" s="1413">
        <f t="shared" si="131"/>
        <v>0.99524238782051277</v>
      </c>
      <c r="AC778" s="984">
        <f>IF(OR(L778={"改紡","檢修","了機","清車","FINAL","停機","SAMPLE","TEST"}), "", IFERROR(IF(C778="", "", AVERAGE(L778:M778, P778:Q778, T778:U778, X778:Y778)/100), ""))</f>
        <v>66.099999999999994</v>
      </c>
      <c r="AD778" s="984">
        <f t="shared" si="134"/>
        <v>3.125</v>
      </c>
      <c r="AE778" s="984">
        <f t="shared" si="132"/>
        <v>2.9166666666666665</v>
      </c>
      <c r="AF778" s="985" t="str">
        <f t="shared" si="135"/>
        <v>J</v>
      </c>
      <c r="AG778" s="1414">
        <v>1</v>
      </c>
      <c r="AH778" s="1002" t="s">
        <v>16021</v>
      </c>
      <c r="AI778" s="1002" t="s">
        <v>16021</v>
      </c>
      <c r="AJ778" s="986" t="s">
        <v>16006</v>
      </c>
      <c r="AK778" s="986" t="s">
        <v>16006</v>
      </c>
      <c r="AL778" s="1415">
        <v>55</v>
      </c>
      <c r="AM778" s="1323">
        <v>46158</v>
      </c>
      <c r="AN778" s="1323">
        <v>46159</v>
      </c>
      <c r="AO778" s="1323">
        <v>46160</v>
      </c>
      <c r="AP778" s="1323">
        <v>46161</v>
      </c>
      <c r="AQ778" s="1323"/>
      <c r="AR778" s="987"/>
      <c r="AS778" s="978" t="str">
        <f t="shared" si="136"/>
        <v>雙</v>
      </c>
      <c r="AT778" s="978" t="str">
        <f t="shared" si="137"/>
        <v>全</v>
      </c>
      <c r="AU778" s="978">
        <f t="shared" si="138"/>
        <v>150</v>
      </c>
      <c r="AV778" s="978">
        <f t="shared" si="139"/>
        <v>4.1119487999999995</v>
      </c>
    </row>
    <row r="779" spans="1:48">
      <c r="A779" s="975">
        <f t="shared" si="133"/>
        <v>46162</v>
      </c>
      <c r="B779" s="976" t="s">
        <v>234</v>
      </c>
      <c r="C779" s="976" t="s">
        <v>632</v>
      </c>
      <c r="D779" s="1410"/>
      <c r="E779" s="977" t="str">
        <f>IFERROR(VLOOKUP(C779, [6]條件!$A:$L, 5, 0), "")</f>
        <v/>
      </c>
      <c r="F779" s="978" t="str">
        <f>IFERROR(VLOOKUP(C779, [6]條件!$A:$L, 6, 0), "")</f>
        <v/>
      </c>
      <c r="G779" s="1411" t="str">
        <f>IFERROR(VLOOKUP(C779, [6]條件!$A:$L, 7, 0), "")</f>
        <v/>
      </c>
      <c r="H779" s="978" t="str">
        <f>IF(ISNA(VLOOKUP(C779,[6]條件!$A$1:$K$932,11,0)),"",(VLOOKUP(C779,[6]條件!$A$1:$K$932,11,0)))</f>
        <v/>
      </c>
      <c r="I779" s="979" t="str">
        <f>IF(ISNA(VLOOKUP(C779,[6]條件!$A$1:$L$932,12,0)),"",(VLOOKUP(C779,[6]條件!$A$1:$L$932,12,0)))</f>
        <v/>
      </c>
      <c r="J779" s="982"/>
      <c r="K779" s="980"/>
      <c r="L779" s="981" t="s">
        <v>632</v>
      </c>
      <c r="M779" s="983"/>
      <c r="N779" s="982"/>
      <c r="O779" s="980"/>
      <c r="P779" s="981" t="s">
        <v>632</v>
      </c>
      <c r="Q779" s="983"/>
      <c r="R779" s="982"/>
      <c r="S779" s="980"/>
      <c r="T779" s="981" t="s">
        <v>632</v>
      </c>
      <c r="U779" s="983"/>
      <c r="V779" s="982"/>
      <c r="W779" s="980"/>
      <c r="X779" s="981" t="s">
        <v>632</v>
      </c>
      <c r="Y779" s="983"/>
      <c r="Z779" s="1412" t="str">
        <f>IFERROR(VLOOKUP(C779, [6]條件!$A:$L, 3, 0), "")</f>
        <v/>
      </c>
      <c r="AA779" s="984" t="str">
        <f>IF(OR(L779={"改紡","檢修","了機","清車","FINAL","停機","SAMPLE","TEST","絲開發"}), L779, IFERROR(IF(C779="", "", (SUM(J779, N779, R779, V779)/3 * AG779) * IF(AND(AF779="S", AS779="雙"), 0.5, 1)), ""))</f>
        <v>停機</v>
      </c>
      <c r="AB779" s="1413" t="str">
        <f t="shared" si="131"/>
        <v/>
      </c>
      <c r="AC779" s="984" t="str">
        <f>IF(OR(L779={"改紡","檢修","了機","清車","FINAL","停機","SAMPLE","TEST"}), "", IFERROR(IF(C779="", "", AVERAGE(L779:M779, P779:Q779, T779:U779, X779:Y779)/100), ""))</f>
        <v/>
      </c>
      <c r="AD779" s="984" t="str">
        <f t="shared" si="134"/>
        <v/>
      </c>
      <c r="AE779" s="984" t="str">
        <f t="shared" si="132"/>
        <v/>
      </c>
      <c r="AF779" s="985" t="str">
        <f t="shared" si="135"/>
        <v>J</v>
      </c>
      <c r="AG779" s="1414">
        <v>1</v>
      </c>
      <c r="AH779" s="1002" t="s">
        <v>640</v>
      </c>
      <c r="AI779" s="1002" t="s">
        <v>640</v>
      </c>
      <c r="AJ779" s="986" t="s">
        <v>640</v>
      </c>
      <c r="AK779" s="986" t="s">
        <v>640</v>
      </c>
      <c r="AL779" s="1415"/>
      <c r="AM779" s="1323"/>
      <c r="AN779" s="1323"/>
      <c r="AO779" s="1323"/>
      <c r="AP779" s="1323"/>
      <c r="AQ779" s="1323"/>
      <c r="AR779" s="987"/>
      <c r="AS779" s="978" t="str">
        <f t="shared" si="136"/>
        <v>單</v>
      </c>
      <c r="AT779" s="978" t="str">
        <f t="shared" si="137"/>
        <v>全</v>
      </c>
      <c r="AU779" s="978" t="str">
        <f t="shared" si="138"/>
        <v/>
      </c>
      <c r="AV779" s="978" t="str">
        <f t="shared" si="139"/>
        <v/>
      </c>
    </row>
    <row r="780" spans="1:48">
      <c r="A780" s="975">
        <f t="shared" si="133"/>
        <v>46162</v>
      </c>
      <c r="B780" s="976" t="s">
        <v>235</v>
      </c>
      <c r="C780" s="976" t="s">
        <v>16765</v>
      </c>
      <c r="D780" s="1410" t="s">
        <v>633</v>
      </c>
      <c r="E780" s="977" t="str">
        <f>IFERROR(VLOOKUP(C780, [6]條件!$A:$L, 5, 0), "")</f>
        <v>150/48/2SDr</v>
      </c>
      <c r="F780" s="978" t="str">
        <f>IFERROR(VLOOKUP(C780, [6]條件!$A:$L, 6, 0), "")</f>
        <v>FP82173R×2</v>
      </c>
      <c r="G780" s="1411">
        <f>IFERROR(VLOOKUP(C780, [6]條件!$A:$L, 7, 0), "")</f>
        <v>700</v>
      </c>
      <c r="H780" s="978" t="str">
        <f>IF(ISNA(VLOOKUP(C780,[6]條件!$A$1:$K$932,11,0)),"",(VLOOKUP(C780,[6]條件!$A$1:$K$932,11,0)))</f>
        <v>白紫條紋</v>
      </c>
      <c r="I780" s="979">
        <f>IF(ISNA(VLOOKUP(C780,[6]條件!$A$1:$L$932,12,0)),"",(VLOOKUP(C780,[6]條件!$A$1:$L$932,12,0)))</f>
        <v>5.5</v>
      </c>
      <c r="J780" s="982">
        <v>52</v>
      </c>
      <c r="K780" s="980">
        <v>1</v>
      </c>
      <c r="L780" s="981">
        <v>8430</v>
      </c>
      <c r="M780" s="983">
        <v>9440</v>
      </c>
      <c r="N780" s="982">
        <v>15</v>
      </c>
      <c r="O780" s="980">
        <v>1</v>
      </c>
      <c r="P780" s="981">
        <v>8980</v>
      </c>
      <c r="Q780" s="983">
        <v>8800</v>
      </c>
      <c r="R780" s="982">
        <v>15</v>
      </c>
      <c r="S780" s="980">
        <v>0</v>
      </c>
      <c r="T780" s="981">
        <v>8150</v>
      </c>
      <c r="U780" s="983">
        <v>9350</v>
      </c>
      <c r="V780" s="982">
        <v>35</v>
      </c>
      <c r="W780" s="980">
        <v>0</v>
      </c>
      <c r="X780" s="981">
        <v>9170</v>
      </c>
      <c r="Y780" s="983">
        <v>9540</v>
      </c>
      <c r="Z780" s="1412">
        <f>IFERROR(VLOOKUP(C780, [6]條件!$A:$L, 3, 0), "")</f>
        <v>5.8775510204081636</v>
      </c>
      <c r="AA780" s="984">
        <f>IF(OR(L780={"改紡","檢修","了機","清車","FINAL","停機","SAMPLE","TEST","絲開發"}), L780, IFERROR(IF(C780="", "", (SUM(J780, N780, R780, V780)/3 * AG780) * IF(AND(AF780="S", AS780="雙"), 0.5, 1)), ""))</f>
        <v>39</v>
      </c>
      <c r="AB780" s="1413">
        <f t="shared" si="131"/>
        <v>0.99836404914529919</v>
      </c>
      <c r="AC780" s="984">
        <f>IF(OR(L780={"改紡","檢修","了機","清車","FINAL","停機","SAMPLE","TEST"}), "", IFERROR(IF(C780="", "", AVERAGE(L780:M780, P780:Q780, T780:U780, X780:Y780)/100), ""))</f>
        <v>89.825000000000003</v>
      </c>
      <c r="AD780" s="984">
        <f t="shared" si="134"/>
        <v>4.875</v>
      </c>
      <c r="AE780" s="984">
        <f t="shared" si="132"/>
        <v>4.791666666666667</v>
      </c>
      <c r="AF780" s="985" t="str">
        <f t="shared" si="135"/>
        <v>T</v>
      </c>
      <c r="AG780" s="1414">
        <v>1</v>
      </c>
      <c r="AH780" s="1002" t="s">
        <v>16020</v>
      </c>
      <c r="AI780" s="1002" t="s">
        <v>16008</v>
      </c>
      <c r="AJ780" s="986" t="s">
        <v>16014</v>
      </c>
      <c r="AK780" s="986" t="s">
        <v>16014</v>
      </c>
      <c r="AL780" s="1415">
        <v>56</v>
      </c>
      <c r="AM780" s="1323">
        <v>46155</v>
      </c>
      <c r="AN780" s="1323">
        <v>46156</v>
      </c>
      <c r="AO780" s="1323">
        <v>46157</v>
      </c>
      <c r="AP780" s="1323">
        <v>46158</v>
      </c>
      <c r="AQ780" s="1323">
        <v>46160</v>
      </c>
      <c r="AR780" s="987"/>
      <c r="AS780" s="978" t="str">
        <f t="shared" si="136"/>
        <v>雙</v>
      </c>
      <c r="AT780" s="978" t="str">
        <f t="shared" si="137"/>
        <v>全</v>
      </c>
      <c r="AU780" s="978">
        <f t="shared" si="138"/>
        <v>150</v>
      </c>
      <c r="AV780" s="978">
        <f t="shared" si="139"/>
        <v>6.5191392000000006</v>
      </c>
    </row>
    <row r="781" spans="1:48">
      <c r="A781" s="975">
        <f t="shared" si="133"/>
        <v>46162</v>
      </c>
      <c r="B781" s="976" t="s">
        <v>237</v>
      </c>
      <c r="C781" s="976" t="s">
        <v>16759</v>
      </c>
      <c r="D781" s="1410" t="s">
        <v>633</v>
      </c>
      <c r="E781" s="977" t="str">
        <f>IFERROR(VLOOKUP(C781, [6]條件!$A:$L, 5, 0), "")</f>
        <v>150/48/2SDr</v>
      </c>
      <c r="F781" s="978" t="str">
        <f>IFERROR(VLOOKUP(C781, [6]條件!$A:$L, 6, 0), "")</f>
        <v>FP82171R×2</v>
      </c>
      <c r="G781" s="1411">
        <f>IFERROR(VLOOKUP(C781, [6]條件!$A:$L, 7, 0), "")</f>
        <v>700</v>
      </c>
      <c r="H781" s="978" t="str">
        <f>IF(ISNA(VLOOKUP(C781,[6]條件!$A$1:$K$932,11,0)),"",(VLOOKUP(C781,[6]條件!$A$1:$K$932,11,0)))</f>
        <v>紅底黃星</v>
      </c>
      <c r="I781" s="979">
        <f>IF(ISNA(VLOOKUP(C781,[6]條件!$A$1:$L$932,12,0)),"",(VLOOKUP(C781,[6]條件!$A$1:$L$932,12,0)))</f>
        <v>5.5</v>
      </c>
      <c r="J781" s="982">
        <v>34</v>
      </c>
      <c r="K781" s="980">
        <v>0</v>
      </c>
      <c r="L781" s="981">
        <v>7410</v>
      </c>
      <c r="M781" s="983">
        <v>8800</v>
      </c>
      <c r="N781" s="982">
        <v>25</v>
      </c>
      <c r="O781" s="980">
        <v>3</v>
      </c>
      <c r="P781" s="981">
        <v>9070</v>
      </c>
      <c r="Q781" s="983">
        <v>8060</v>
      </c>
      <c r="R781" s="982">
        <v>24</v>
      </c>
      <c r="S781" s="980">
        <v>0</v>
      </c>
      <c r="T781" s="981">
        <v>8800</v>
      </c>
      <c r="U781" s="983">
        <v>8980</v>
      </c>
      <c r="V781" s="982"/>
      <c r="W781" s="980"/>
      <c r="X781" s="981" t="s">
        <v>16785</v>
      </c>
      <c r="Y781" s="983"/>
      <c r="Z781" s="1412">
        <f>IFERROR(VLOOKUP(C781, [6]條件!$A:$L, 3, 0), "")</f>
        <v>5.8299595141700413</v>
      </c>
      <c r="AA781" s="984">
        <f>IF(OR(L781={"改紡","檢修","了機","清車","FINAL","停機","SAMPLE","TEST","絲開發"}), L781, IFERROR(IF(C781="", "", (SUM(J781, N781, R781, V781)/3 * AG781) * IF(AND(AF781="S", AS781="雙"), 0.5, 1)), ""))</f>
        <v>27.666666666666668</v>
      </c>
      <c r="AB781" s="1413">
        <f t="shared" si="131"/>
        <v>0.9975260416666667</v>
      </c>
      <c r="AC781" s="984">
        <f>IF(OR(L781={"改紡","檢修","了機","清車","FINAL","停機","SAMPLE","TEST"}), "", IFERROR(IF(C781="", "", AVERAGE(L781:M781, P781:Q781, T781:U781, X781:Y781)/100), ""))</f>
        <v>85.2</v>
      </c>
      <c r="AD781" s="984">
        <f t="shared" si="134"/>
        <v>3.4583333333333335</v>
      </c>
      <c r="AE781" s="984">
        <f t="shared" si="132"/>
        <v>3.3333333333333335</v>
      </c>
      <c r="AF781" s="985" t="str">
        <f t="shared" si="135"/>
        <v>T</v>
      </c>
      <c r="AG781" s="1414">
        <v>1</v>
      </c>
      <c r="AH781" s="1002" t="s">
        <v>16020</v>
      </c>
      <c r="AI781" s="1002" t="s">
        <v>16008</v>
      </c>
      <c r="AJ781" s="986" t="s">
        <v>16010</v>
      </c>
      <c r="AK781" s="986" t="s">
        <v>16010</v>
      </c>
      <c r="AL781" s="1415">
        <v>55</v>
      </c>
      <c r="AM781" s="1323">
        <v>46160</v>
      </c>
      <c r="AN781" s="1323">
        <v>46161</v>
      </c>
      <c r="AO781" s="1323"/>
      <c r="AP781" s="1323"/>
      <c r="AQ781" s="1323"/>
      <c r="AR781" s="987"/>
      <c r="AS781" s="978" t="str">
        <f t="shared" si="136"/>
        <v>雙</v>
      </c>
      <c r="AT781" s="978" t="str">
        <f t="shared" si="137"/>
        <v>全</v>
      </c>
      <c r="AU781" s="978">
        <f t="shared" si="138"/>
        <v>150</v>
      </c>
      <c r="AV781" s="978">
        <f t="shared" si="139"/>
        <v>6.1834752000000002</v>
      </c>
    </row>
    <row r="782" spans="1:48">
      <c r="A782" s="975">
        <f t="shared" si="133"/>
        <v>46162</v>
      </c>
      <c r="B782" s="976" t="s">
        <v>238</v>
      </c>
      <c r="C782" s="976" t="s">
        <v>16743</v>
      </c>
      <c r="D782" s="1410"/>
      <c r="E782" s="977" t="str">
        <f>IFERROR(VLOOKUP(C782, [6]條件!$A:$L, 5, 0), "")</f>
        <v>150/48/2SDr</v>
      </c>
      <c r="F782" s="978" t="str">
        <f>IFERROR(VLOOKUP(C782, [6]條件!$A:$L, 6, 0), "")</f>
        <v>FP82169R×2</v>
      </c>
      <c r="G782" s="1411">
        <f>IFERROR(VLOOKUP(C782, [6]條件!$A:$L, 7, 0), "")</f>
        <v>670</v>
      </c>
      <c r="H782" s="978" t="str">
        <f>IF(ISNA(VLOOKUP(C782,[6]條件!$A$1:$K$932,11,0)),"",(VLOOKUP(C782,[6]條件!$A$1:$K$932,11,0)))</f>
        <v>黃底紅點</v>
      </c>
      <c r="I782" s="979">
        <f>IF(ISNA(VLOOKUP(C782,[6]條件!$A$1:$L$932,12,0)),"",(VLOOKUP(C782,[6]條件!$A$1:$L$932,12,0)))</f>
        <v>5</v>
      </c>
      <c r="J782" s="982">
        <v>20</v>
      </c>
      <c r="K782" s="980">
        <v>0</v>
      </c>
      <c r="L782" s="981">
        <v>7789</v>
      </c>
      <c r="M782" s="983"/>
      <c r="N782" s="982">
        <v>24</v>
      </c>
      <c r="O782" s="980">
        <v>1</v>
      </c>
      <c r="P782" s="981">
        <v>9260</v>
      </c>
      <c r="Q782" s="983"/>
      <c r="R782" s="982">
        <v>10</v>
      </c>
      <c r="S782" s="980">
        <v>0</v>
      </c>
      <c r="T782" s="981">
        <v>8980</v>
      </c>
      <c r="U782" s="983"/>
      <c r="V782" s="982">
        <v>14</v>
      </c>
      <c r="W782" s="980">
        <v>0</v>
      </c>
      <c r="X782" s="981">
        <v>9260</v>
      </c>
      <c r="Y782" s="983"/>
      <c r="Z782" s="1412">
        <f>IFERROR(VLOOKUP(C782, [6]條件!$A:$L, 3, 0), "")</f>
        <v>6.2882096069868991</v>
      </c>
      <c r="AA782" s="984">
        <f>IF(OR(L782={"改紡","檢修","了機","清車","FINAL","停機","SAMPLE","TEST","絲開發"}), L782, IFERROR(IF(C782="", "", (SUM(J782, N782, R782, V782)/3 * AG782) * IF(AND(AF782="S", AS782="雙"), 0.5, 1)), ""))</f>
        <v>45.333333333333336</v>
      </c>
      <c r="AB782" s="1413">
        <f t="shared" si="131"/>
        <v>0.9992354433760684</v>
      </c>
      <c r="AC782" s="984">
        <f>IF(OR(L782={"改紡","檢修","了機","清車","FINAL","停機","SAMPLE","TEST"}), "", IFERROR(IF(C782="", "", AVERAGE(L782:M782, P782:Q782, T782:U782, X782:Y782)/100), ""))</f>
        <v>88.222499999999997</v>
      </c>
      <c r="AD782" s="984">
        <f t="shared" si="134"/>
        <v>5.666666666666667</v>
      </c>
      <c r="AE782" s="984">
        <f t="shared" si="132"/>
        <v>5.583333333333333</v>
      </c>
      <c r="AF782" s="985" t="str">
        <f t="shared" si="135"/>
        <v>T</v>
      </c>
      <c r="AG782" s="1414">
        <v>2</v>
      </c>
      <c r="AH782" s="1002" t="s">
        <v>16020</v>
      </c>
      <c r="AI782" s="1002" t="s">
        <v>16008</v>
      </c>
      <c r="AJ782" s="986" t="s">
        <v>16014</v>
      </c>
      <c r="AK782" s="986" t="s">
        <v>16014</v>
      </c>
      <c r="AL782" s="1415">
        <v>48</v>
      </c>
      <c r="AM782" s="1323">
        <v>46150</v>
      </c>
      <c r="AN782" s="1323">
        <v>46155</v>
      </c>
      <c r="AO782" s="1323">
        <v>46156</v>
      </c>
      <c r="AP782" s="1323"/>
      <c r="AQ782" s="1323"/>
      <c r="AR782" s="987"/>
      <c r="AS782" s="978" t="str">
        <f t="shared" si="136"/>
        <v>雙</v>
      </c>
      <c r="AT782" s="978" t="str">
        <f t="shared" si="137"/>
        <v>半</v>
      </c>
      <c r="AU782" s="978">
        <f t="shared" si="138"/>
        <v>150</v>
      </c>
      <c r="AV782" s="978">
        <f t="shared" si="139"/>
        <v>3.064214448</v>
      </c>
    </row>
    <row r="783" spans="1:48">
      <c r="A783" s="975">
        <f t="shared" si="133"/>
        <v>46162</v>
      </c>
      <c r="B783" s="976" t="s">
        <v>238</v>
      </c>
      <c r="C783" s="976" t="s">
        <v>16742</v>
      </c>
      <c r="D783" s="1410"/>
      <c r="E783" s="977" t="str">
        <f>IFERROR(VLOOKUP(C783, [6]條件!$A:$L, 5, 0), "")</f>
        <v>150/48/2SDr</v>
      </c>
      <c r="F783" s="978" t="str">
        <f>IFERROR(VLOOKUP(C783, [6]條件!$A:$L, 6, 0), "")</f>
        <v>FP82169R×2</v>
      </c>
      <c r="G783" s="1411">
        <f>IFERROR(VLOOKUP(C783, [6]條件!$A:$L, 7, 0), "")</f>
        <v>670</v>
      </c>
      <c r="H783" s="978" t="str">
        <f>IF(ISNA(VLOOKUP(C783,[6]條件!$A$1:$K$932,11,0)),"",(VLOOKUP(C783,[6]條件!$A$1:$K$932,11,0)))</f>
        <v>紅底藍點</v>
      </c>
      <c r="I783" s="979">
        <f>IF(ISNA(VLOOKUP(C783,[6]條件!$A$1:$L$932,12,0)),"",(VLOOKUP(C783,[6]條件!$A$1:$L$932,12,0)))</f>
        <v>5</v>
      </c>
      <c r="J783" s="982">
        <v>32</v>
      </c>
      <c r="K783" s="980">
        <v>0</v>
      </c>
      <c r="L783" s="981">
        <v>8890</v>
      </c>
      <c r="M783" s="983"/>
      <c r="N783" s="982">
        <v>18</v>
      </c>
      <c r="O783" s="980">
        <v>0</v>
      </c>
      <c r="P783" s="981">
        <v>9070</v>
      </c>
      <c r="Q783" s="983"/>
      <c r="R783" s="982">
        <v>10</v>
      </c>
      <c r="S783" s="980">
        <v>0</v>
      </c>
      <c r="T783" s="981"/>
      <c r="U783" s="983">
        <v>9720</v>
      </c>
      <c r="V783" s="982">
        <v>21</v>
      </c>
      <c r="W783" s="980">
        <v>0</v>
      </c>
      <c r="X783" s="981">
        <v>9070</v>
      </c>
      <c r="Y783" s="983"/>
      <c r="Z783" s="1412">
        <f>IFERROR(VLOOKUP(C783, [6]條件!$A:$L, 3, 0), "")</f>
        <v>6.1802575107296125</v>
      </c>
      <c r="AA783" s="984">
        <f>IF(OR(L783={"改紡","檢修","了機","清車","FINAL","停機","SAMPLE","TEST","絲開發"}), L783, IFERROR(IF(C783="", "", (SUM(J783, N783, R783, V783)/3 * AG783) * IF(AND(AF783="S", AS783="雙"), 0.5, 1)), ""))</f>
        <v>54</v>
      </c>
      <c r="AB783" s="1413">
        <f t="shared" si="131"/>
        <v>1</v>
      </c>
      <c r="AC783" s="984">
        <f>IF(OR(L783={"改紡","檢修","了機","清車","FINAL","停機","SAMPLE","TEST"}), "", IFERROR(IF(C783="", "", AVERAGE(L783:M783, P783:Q783, T783:U783, X783:Y783)/100), ""))</f>
        <v>91.875</v>
      </c>
      <c r="AD783" s="984">
        <f t="shared" si="134"/>
        <v>6.75</v>
      </c>
      <c r="AE783" s="984">
        <f t="shared" si="132"/>
        <v>6.75</v>
      </c>
      <c r="AF783" s="985" t="str">
        <f t="shared" si="135"/>
        <v>T</v>
      </c>
      <c r="AG783" s="1414">
        <v>2</v>
      </c>
      <c r="AH783" s="1002" t="s">
        <v>15998</v>
      </c>
      <c r="AI783" s="1002" t="s">
        <v>15998</v>
      </c>
      <c r="AJ783" s="986" t="s">
        <v>16010</v>
      </c>
      <c r="AK783" s="986" t="s">
        <v>16010</v>
      </c>
      <c r="AL783" s="1415">
        <v>48</v>
      </c>
      <c r="AM783" s="1323">
        <v>46150</v>
      </c>
      <c r="AN783" s="1323">
        <v>46155</v>
      </c>
      <c r="AO783" s="1323">
        <v>46156</v>
      </c>
      <c r="AP783" s="1323"/>
      <c r="AQ783" s="1323"/>
      <c r="AR783" s="987"/>
      <c r="AS783" s="978" t="str">
        <f t="shared" si="136"/>
        <v>雙</v>
      </c>
      <c r="AT783" s="978" t="str">
        <f t="shared" si="137"/>
        <v>半</v>
      </c>
      <c r="AU783" s="978">
        <f t="shared" si="138"/>
        <v>150</v>
      </c>
      <c r="AV783" s="978">
        <f t="shared" si="139"/>
        <v>3.1910759999999994</v>
      </c>
    </row>
    <row r="784" spans="1:48">
      <c r="A784" s="975">
        <f t="shared" si="133"/>
        <v>46162</v>
      </c>
      <c r="B784" s="976" t="s">
        <v>239</v>
      </c>
      <c r="C784" s="976" t="s">
        <v>632</v>
      </c>
      <c r="D784" s="1410"/>
      <c r="E784" s="977" t="str">
        <f>IFERROR(VLOOKUP(C784, [6]條件!$A:$L, 5, 0), "")</f>
        <v/>
      </c>
      <c r="F784" s="978" t="str">
        <f>IFERROR(VLOOKUP(C784, [6]條件!$A:$L, 6, 0), "")</f>
        <v/>
      </c>
      <c r="G784" s="1411" t="str">
        <f>IFERROR(VLOOKUP(C784, [6]條件!$A:$L, 7, 0), "")</f>
        <v/>
      </c>
      <c r="H784" s="978" t="str">
        <f>IF(ISNA(VLOOKUP(C784,[6]條件!$A$1:$K$932,11,0)),"",(VLOOKUP(C784,[6]條件!$A$1:$K$932,11,0)))</f>
        <v/>
      </c>
      <c r="I784" s="979" t="str">
        <f>IF(ISNA(VLOOKUP(C784,[6]條件!$A$1:$L$932,12,0)),"",(VLOOKUP(C784,[6]條件!$A$1:$L$932,12,0)))</f>
        <v/>
      </c>
      <c r="J784" s="982"/>
      <c r="K784" s="980"/>
      <c r="L784" s="981" t="s">
        <v>632</v>
      </c>
      <c r="M784" s="983"/>
      <c r="N784" s="982"/>
      <c r="O784" s="980"/>
      <c r="P784" s="981" t="s">
        <v>632</v>
      </c>
      <c r="Q784" s="983"/>
      <c r="R784" s="982"/>
      <c r="S784" s="980"/>
      <c r="T784" s="981" t="s">
        <v>632</v>
      </c>
      <c r="U784" s="983"/>
      <c r="V784" s="982"/>
      <c r="W784" s="980"/>
      <c r="X784" s="981" t="s">
        <v>632</v>
      </c>
      <c r="Y784" s="983"/>
      <c r="Z784" s="1412" t="str">
        <f>IFERROR(VLOOKUP(C784, [6]條件!$A:$L, 3, 0), "")</f>
        <v/>
      </c>
      <c r="AA784" s="984" t="str">
        <f>IF(OR(L784={"改紡","檢修","了機","清車","FINAL","停機","SAMPLE","TEST","絲開發"}), L784, IFERROR(IF(C784="", "", (SUM(J784, N784, R784, V784)/3 * AG784) * IF(AND(AF784="S", AS784="雙"), 0.5, 1)), ""))</f>
        <v>停機</v>
      </c>
      <c r="AB784" s="1413" t="str">
        <f t="shared" si="131"/>
        <v/>
      </c>
      <c r="AC784" s="984" t="str">
        <f>IF(OR(L784={"改紡","檢修","了機","清車","FINAL","停機","SAMPLE","TEST"}), "", IFERROR(IF(C784="", "", AVERAGE(L784:M784, P784:Q784, T784:U784, X784:Y784)/100), ""))</f>
        <v/>
      </c>
      <c r="AD784" s="984" t="str">
        <f t="shared" si="134"/>
        <v/>
      </c>
      <c r="AE784" s="984" t="str">
        <f t="shared" si="132"/>
        <v/>
      </c>
      <c r="AF784" s="985" t="str">
        <f t="shared" si="135"/>
        <v>T</v>
      </c>
      <c r="AG784" s="1414">
        <v>1</v>
      </c>
      <c r="AH784" s="1002" t="s">
        <v>640</v>
      </c>
      <c r="AI784" s="1002" t="s">
        <v>640</v>
      </c>
      <c r="AJ784" s="986" t="s">
        <v>640</v>
      </c>
      <c r="AK784" s="986" t="s">
        <v>640</v>
      </c>
      <c r="AL784" s="1415"/>
      <c r="AM784" s="1323"/>
      <c r="AN784" s="1323"/>
      <c r="AO784" s="1323"/>
      <c r="AP784" s="1323"/>
      <c r="AQ784" s="1323"/>
      <c r="AR784" s="987"/>
      <c r="AS784" s="978" t="str">
        <f t="shared" si="136"/>
        <v>單</v>
      </c>
      <c r="AT784" s="978" t="str">
        <f t="shared" si="137"/>
        <v>全</v>
      </c>
      <c r="AU784" s="978" t="str">
        <f t="shared" si="138"/>
        <v/>
      </c>
      <c r="AV784" s="978" t="str">
        <f t="shared" si="139"/>
        <v/>
      </c>
    </row>
    <row r="785" spans="1:48">
      <c r="A785" s="975">
        <f t="shared" si="133"/>
        <v>46162</v>
      </c>
      <c r="B785" s="976" t="s">
        <v>388</v>
      </c>
      <c r="C785" s="976" t="s">
        <v>16775</v>
      </c>
      <c r="D785" s="1410" t="s">
        <v>633</v>
      </c>
      <c r="E785" s="977" t="str">
        <f>IFERROR(VLOOKUP(C785, [6]條件!$A:$L, 5, 0), "")</f>
        <v>150/48/2SDr</v>
      </c>
      <c r="F785" s="978" t="str">
        <f>IFERROR(VLOOKUP(C785, [6]條件!$A:$L, 6, 0), "")</f>
        <v>FP82173R×2</v>
      </c>
      <c r="G785" s="1411">
        <f>IFERROR(VLOOKUP(C785, [6]條件!$A:$L, 7, 0), "")</f>
        <v>700</v>
      </c>
      <c r="H785" s="978" t="str">
        <f>IF(ISNA(VLOOKUP(C785,[6]條件!$A$1:$K$932,11,0)),"",(VLOOKUP(C785,[6]條件!$A$1:$K$932,11,0)))</f>
        <v>黃紅雙色</v>
      </c>
      <c r="I785" s="979">
        <f>IF(ISNA(VLOOKUP(C785,[6]條件!$A$1:$L$932,12,0)),"",(VLOOKUP(C785,[6]條件!$A$1:$L$932,12,0)))</f>
        <v>5.5</v>
      </c>
      <c r="J785" s="982">
        <v>24</v>
      </c>
      <c r="K785" s="980">
        <v>0</v>
      </c>
      <c r="L785" s="981">
        <v>8610</v>
      </c>
      <c r="M785" s="983">
        <v>9720</v>
      </c>
      <c r="N785" s="982">
        <v>25</v>
      </c>
      <c r="O785" s="980">
        <v>0</v>
      </c>
      <c r="P785" s="981">
        <v>8240</v>
      </c>
      <c r="Q785" s="983">
        <v>9350</v>
      </c>
      <c r="R785" s="982">
        <v>16</v>
      </c>
      <c r="S785" s="980">
        <v>0</v>
      </c>
      <c r="T785" s="981">
        <v>6850</v>
      </c>
      <c r="U785" s="983">
        <v>9630</v>
      </c>
      <c r="V785" s="982">
        <v>34</v>
      </c>
      <c r="W785" s="980">
        <v>0</v>
      </c>
      <c r="X785" s="981">
        <v>8570</v>
      </c>
      <c r="Y785" s="983">
        <v>9070</v>
      </c>
      <c r="Z785" s="1412">
        <f>IFERROR(VLOOKUP(C785, [6]條件!$A:$L, 3, 0), "")</f>
        <v>5.8536585365853666</v>
      </c>
      <c r="AA785" s="984">
        <f>IF(OR(L785={"改紡","檢修","了機","清車","FINAL","停機","SAMPLE","TEST","絲開發"}), L785, IFERROR(IF(C785="", "", (SUM(J785, N785, R785, V785)/3 * AG785) * IF(AND(AF785="S", AS785="雙"), 0.5, 1)), ""))</f>
        <v>33</v>
      </c>
      <c r="AB785" s="1413">
        <f t="shared" si="131"/>
        <v>1</v>
      </c>
      <c r="AC785" s="984">
        <f>IF(OR(L785={"改紡","檢修","了機","清車","FINAL","停機","SAMPLE","TEST"}), "", IFERROR(IF(C785="", "", AVERAGE(L785:M785, P785:Q785, T785:U785, X785:Y785)/100), ""))</f>
        <v>87.55</v>
      </c>
      <c r="AD785" s="984">
        <f t="shared" si="134"/>
        <v>4.125</v>
      </c>
      <c r="AE785" s="984">
        <f t="shared" si="132"/>
        <v>4.125</v>
      </c>
      <c r="AF785" s="985" t="str">
        <f t="shared" si="135"/>
        <v>T</v>
      </c>
      <c r="AG785" s="1414">
        <v>1</v>
      </c>
      <c r="AH785" s="1002" t="s">
        <v>15998</v>
      </c>
      <c r="AI785" s="1002" t="s">
        <v>15998</v>
      </c>
      <c r="AJ785" s="986" t="s">
        <v>16014</v>
      </c>
      <c r="AK785" s="986" t="s">
        <v>16014</v>
      </c>
      <c r="AL785" s="1415">
        <v>56</v>
      </c>
      <c r="AM785" s="1323">
        <v>46158</v>
      </c>
      <c r="AN785" s="1323">
        <v>46159</v>
      </c>
      <c r="AO785" s="1323">
        <v>46160</v>
      </c>
      <c r="AP785" s="1323">
        <v>46161</v>
      </c>
      <c r="AQ785" s="1323"/>
      <c r="AR785" s="987"/>
      <c r="AS785" s="978" t="str">
        <f t="shared" si="136"/>
        <v>雙</v>
      </c>
      <c r="AT785" s="978" t="str">
        <f t="shared" si="137"/>
        <v>全</v>
      </c>
      <c r="AU785" s="978">
        <f t="shared" si="138"/>
        <v>150</v>
      </c>
      <c r="AV785" s="978">
        <f t="shared" si="139"/>
        <v>6.3540288</v>
      </c>
    </row>
    <row r="786" spans="1:48">
      <c r="A786" s="975">
        <f t="shared" si="133"/>
        <v>46162</v>
      </c>
      <c r="B786" s="976" t="s">
        <v>417</v>
      </c>
      <c r="C786" s="976" t="s">
        <v>16767</v>
      </c>
      <c r="D786" s="1410" t="s">
        <v>633</v>
      </c>
      <c r="E786" s="977" t="str">
        <f>IFERROR(VLOOKUP(C786, [6]條件!$A:$L, 5, 0), "")</f>
        <v>150/48/2SDr</v>
      </c>
      <c r="F786" s="978" t="str">
        <f>IFERROR(VLOOKUP(C786, [6]條件!$A:$L, 6, 0), "")</f>
        <v>FP82173R×2</v>
      </c>
      <c r="G786" s="1411">
        <f>IFERROR(VLOOKUP(C786, [6]條件!$A:$L, 7, 0), "")</f>
        <v>700</v>
      </c>
      <c r="H786" s="978" t="str">
        <f>IF(ISNA(VLOOKUP(C786,[6]條件!$A$1:$K$932,11,0)),"",(VLOOKUP(C786,[6]條件!$A$1:$K$932,11,0)))</f>
        <v>棕色</v>
      </c>
      <c r="I786" s="979">
        <f>IF(ISNA(VLOOKUP(C786,[6]條件!$A$1:$L$932,12,0)),"",(VLOOKUP(C786,[6]條件!$A$1:$L$932,12,0)))</f>
        <v>5.5</v>
      </c>
      <c r="J786" s="982">
        <v>28</v>
      </c>
      <c r="K786" s="980">
        <v>0</v>
      </c>
      <c r="L786" s="981">
        <v>9720</v>
      </c>
      <c r="M786" s="983">
        <v>9620</v>
      </c>
      <c r="N786" s="982">
        <v>13</v>
      </c>
      <c r="O786" s="980">
        <v>0</v>
      </c>
      <c r="P786" s="981">
        <v>9540</v>
      </c>
      <c r="Q786" s="983">
        <v>9350</v>
      </c>
      <c r="R786" s="982">
        <v>18</v>
      </c>
      <c r="S786" s="980">
        <v>0</v>
      </c>
      <c r="T786" s="981">
        <v>9540</v>
      </c>
      <c r="U786" s="983">
        <v>9070</v>
      </c>
      <c r="V786" s="982">
        <v>30</v>
      </c>
      <c r="W786" s="980">
        <v>1</v>
      </c>
      <c r="X786" s="981">
        <v>9630</v>
      </c>
      <c r="Y786" s="983">
        <v>9440</v>
      </c>
      <c r="Z786" s="1412">
        <f>IFERROR(VLOOKUP(C786, [6]條件!$A:$L, 3, 0), "")</f>
        <v>5.8536585365853666</v>
      </c>
      <c r="AA786" s="984">
        <f>IF(OR(L786={"改紡","檢修","了機","清車","FINAL","停機","SAMPLE","TEST","絲開發"}), L786, IFERROR(IF(C786="", "", (SUM(J786, N786, R786, V786)/3 * AG786) * IF(AND(AF786="S", AS786="雙"), 0.5, 1)), ""))</f>
        <v>29.666666666666668</v>
      </c>
      <c r="AB786" s="1413">
        <f t="shared" si="131"/>
        <v>0.99917868589743586</v>
      </c>
      <c r="AC786" s="984">
        <f>IF(OR(L786={"改紡","檢修","了機","清車","FINAL","停機","SAMPLE","TEST"}), "", IFERROR(IF(C786="", "", AVERAGE(L786:M786, P786:Q786, T786:U786, X786:Y786)/100), ""))</f>
        <v>94.887500000000003</v>
      </c>
      <c r="AD786" s="984">
        <f t="shared" si="134"/>
        <v>3.7083333333333335</v>
      </c>
      <c r="AE786" s="984">
        <f t="shared" si="132"/>
        <v>3.6666666666666665</v>
      </c>
      <c r="AF786" s="985" t="str">
        <f t="shared" si="135"/>
        <v>T</v>
      </c>
      <c r="AG786" s="1414">
        <v>1</v>
      </c>
      <c r="AH786" s="1002" t="s">
        <v>15998</v>
      </c>
      <c r="AI786" s="1002" t="s">
        <v>15998</v>
      </c>
      <c r="AJ786" s="986" t="s">
        <v>16010</v>
      </c>
      <c r="AK786" s="986" t="s">
        <v>16010</v>
      </c>
      <c r="AL786" s="1415">
        <v>56</v>
      </c>
      <c r="AM786" s="1323">
        <v>46157</v>
      </c>
      <c r="AN786" s="1323">
        <v>46158</v>
      </c>
      <c r="AO786" s="1323">
        <v>46159</v>
      </c>
      <c r="AP786" s="1323">
        <v>46160</v>
      </c>
      <c r="AQ786" s="1323"/>
      <c r="AR786" s="987"/>
      <c r="AS786" s="978" t="str">
        <f t="shared" si="136"/>
        <v>雙</v>
      </c>
      <c r="AT786" s="978" t="str">
        <f t="shared" si="137"/>
        <v>全</v>
      </c>
      <c r="AU786" s="978">
        <f t="shared" si="138"/>
        <v>150</v>
      </c>
      <c r="AV786" s="978">
        <f t="shared" si="139"/>
        <v>6.8865552000000001</v>
      </c>
    </row>
    <row r="787" spans="1:48">
      <c r="A787" s="975">
        <f t="shared" si="133"/>
        <v>46162</v>
      </c>
      <c r="B787" s="976" t="s">
        <v>240</v>
      </c>
      <c r="C787" s="976" t="s">
        <v>16776</v>
      </c>
      <c r="D787" s="1410"/>
      <c r="E787" s="977" t="str">
        <f>IFERROR(VLOOKUP(C787, [6]條件!$A:$L, 5, 0), "")</f>
        <v>50/72/2SDFFR</v>
      </c>
      <c r="F787" s="978" t="str">
        <f>IFERROR(VLOOKUP(C787, [6]條件!$A:$L, 6, 0), "")</f>
        <v>FP80099R×2</v>
      </c>
      <c r="G787" s="1411">
        <f>IFERROR(VLOOKUP(C787, [6]條件!$A:$L, 7, 0), "")</f>
        <v>500</v>
      </c>
      <c r="H787" s="978" t="str">
        <f>IF(ISNA(VLOOKUP(C787,[6]條件!$A$1:$K$932,11,0)),"",(VLOOKUP(C787,[6]條件!$A$1:$K$932,11,0)))</f>
        <v>白黑三角</v>
      </c>
      <c r="I787" s="979">
        <f>IF(ISNA(VLOOKUP(C787,[6]條件!$A$1:$L$932,12,0)),"",(VLOOKUP(C787,[6]條件!$A$1:$L$932,12,0)))</f>
        <v>4</v>
      </c>
      <c r="J787" s="982">
        <v>20</v>
      </c>
      <c r="K787" s="980">
        <v>0</v>
      </c>
      <c r="L787" s="981">
        <v>2930</v>
      </c>
      <c r="M787" s="983"/>
      <c r="N787" s="982">
        <v>2</v>
      </c>
      <c r="O787" s="980">
        <v>0</v>
      </c>
      <c r="P787" s="981">
        <v>2622</v>
      </c>
      <c r="Q787" s="983"/>
      <c r="R787" s="982"/>
      <c r="S787" s="980"/>
      <c r="T787" s="981" t="s">
        <v>16783</v>
      </c>
      <c r="U787" s="983"/>
      <c r="V787" s="982"/>
      <c r="W787" s="980"/>
      <c r="X787" s="981" t="s">
        <v>16783</v>
      </c>
      <c r="Y787" s="983"/>
      <c r="Z787" s="1422">
        <f>IFERROR(VLOOKUP(C787, [6]條件!$A:$L, 3, 0), "")</f>
        <v>2.028169014084507</v>
      </c>
      <c r="AA787" s="1167">
        <f>IF(OR(L787={"改紡","檢修","了機","清車","FINAL","停機","SAMPLE","TEST","絲開發"}), L787, IFERROR(IF(C787="", "", (SUM(J787, N787, R787, V787)/3 * AG787) * IF(AND(AF787="S", AS787="雙"), 0.5, 1)), ""))</f>
        <v>11</v>
      </c>
      <c r="AB787" s="1423">
        <f>IF(K787="","",IF(ISERROR(1-((SUM(K787,O787,S787,W787)/((AG787*12)-(AG787*0.44)))/Z787)),"",(1-((SUM(K787,O787,S787,W787)/((AG787*12)-(AG787*0.44)))/Z787))))</f>
        <v>1</v>
      </c>
      <c r="AC787" s="1167">
        <f>IF(OR(L787={"改紡","檢修","了機","清車","FINAL","停機","SAMPLE","TEST"}), "", IFERROR(IF(C787="", "", AVERAGE(L787:M787, P787:Q787, T787:U787, X787:Y787)/100), ""))</f>
        <v>27.76</v>
      </c>
      <c r="AD787" s="1167">
        <f t="shared" si="134"/>
        <v>1.375</v>
      </c>
      <c r="AE787" s="1167">
        <f>IF(P787="了機","",IF(J787="","",IF(ISERROR((SUM(J787,N787,R787,V787)-SUM(K787,O787,S787,W787))/24),"",((SUM(J787,N787,R787,V787)-SUM(K787,O787,S787,W787))/24))))</f>
        <v>0.91666666666666663</v>
      </c>
      <c r="AF787" s="1168" t="str">
        <f t="shared" si="135"/>
        <v>S</v>
      </c>
      <c r="AG787" s="1424">
        <v>3</v>
      </c>
      <c r="AH787" s="1002" t="s">
        <v>16013</v>
      </c>
      <c r="AI787" s="1002" t="s">
        <v>16013</v>
      </c>
      <c r="AJ787" s="986" t="s">
        <v>16011</v>
      </c>
      <c r="AK787" s="986" t="s">
        <v>16011</v>
      </c>
      <c r="AL787" s="1415">
        <v>50</v>
      </c>
      <c r="AM787" s="1323">
        <v>46043</v>
      </c>
      <c r="AN787" s="1323">
        <v>46044</v>
      </c>
      <c r="AO787" s="1323"/>
      <c r="AP787" s="1323"/>
      <c r="AQ787" s="1323"/>
      <c r="AR787" s="987"/>
      <c r="AS787" s="978" t="str">
        <f t="shared" si="136"/>
        <v>雙</v>
      </c>
      <c r="AT787" s="978" t="str">
        <f t="shared" si="137"/>
        <v>3sec</v>
      </c>
      <c r="AU787" s="978">
        <f t="shared" si="138"/>
        <v>50</v>
      </c>
      <c r="AV787" s="978">
        <f t="shared" si="139"/>
        <v>2.9980799999999998E-2</v>
      </c>
    </row>
    <row r="788" spans="1:48">
      <c r="A788" s="975">
        <f t="shared" si="133"/>
        <v>46162</v>
      </c>
      <c r="B788" s="976" t="s">
        <v>240</v>
      </c>
      <c r="C788" s="976" t="s">
        <v>16777</v>
      </c>
      <c r="D788" s="1410"/>
      <c r="E788" s="977" t="str">
        <f>IFERROR(VLOOKUP(C788, [6]條件!$A:$L, 5, 0), "")</f>
        <v>75/72/2SDFFR</v>
      </c>
      <c r="F788" s="978" t="str">
        <f>IFERROR(VLOOKUP(C788, [6]條件!$A:$L, 6, 0), "")</f>
        <v>FP81209R×2</v>
      </c>
      <c r="G788" s="1411">
        <f>IFERROR(VLOOKUP(C788, [6]條件!$A:$L, 7, 0), "")</f>
        <v>600</v>
      </c>
      <c r="H788" s="978" t="str">
        <f>IF(ISNA(VLOOKUP(C788,[6]條件!$A$1:$K$932,11,0)),"",(VLOOKUP(C788,[6]條件!$A$1:$K$932,11,0)))</f>
        <v>白底紅十字</v>
      </c>
      <c r="I788" s="979">
        <f>IF(ISNA(VLOOKUP(C788,[6]條件!$A$1:$L$932,12,0)),"",(VLOOKUP(C788,[6]條件!$A$1:$L$932,12,0)))</f>
        <v>5</v>
      </c>
      <c r="J788" s="982">
        <v>20</v>
      </c>
      <c r="K788" s="980">
        <v>0</v>
      </c>
      <c r="L788" s="981">
        <v>2930</v>
      </c>
      <c r="M788" s="983"/>
      <c r="N788" s="982">
        <v>8</v>
      </c>
      <c r="O788" s="980">
        <v>0</v>
      </c>
      <c r="P788" s="981">
        <v>2622</v>
      </c>
      <c r="Q788" s="983"/>
      <c r="R788" s="982"/>
      <c r="S788" s="980"/>
      <c r="T788" s="981" t="s">
        <v>16783</v>
      </c>
      <c r="U788" s="983"/>
      <c r="V788" s="982"/>
      <c r="W788" s="980"/>
      <c r="X788" s="981" t="s">
        <v>16783</v>
      </c>
      <c r="Y788" s="983"/>
      <c r="Z788" s="1422">
        <f>IFERROR(VLOOKUP(C788, [6]條件!$A:$L, 3, 0), "")</f>
        <v>2.7852998065764023</v>
      </c>
      <c r="AA788" s="1167">
        <f>IF(OR(L788={"改紡","檢修","了機","清車","FINAL","停機","SAMPLE","TEST","絲開發"}), L788, IFERROR(IF(C788="", "", (SUM(J788, N788, R788, V788)/3 * AG788) * IF(AND(AF788="S", AS788="雙"), 0.5, 1)), ""))</f>
        <v>14</v>
      </c>
      <c r="AB788" s="1423">
        <f>IF(K788="","",IF(ISERROR(1-((SUM(K788,O788,S788,W788)/((AG788*12)-(AG788*0.44)))/Z788)),"",(1-((SUM(K788,O788,S788,W788)/((AG788*12)-(AG788*0.44)))/Z788))))</f>
        <v>1</v>
      </c>
      <c r="AC788" s="1167">
        <f>IF(OR(L788={"改紡","檢修","了機","清車","FINAL","停機","SAMPLE","TEST"}), "", IFERROR(IF(C788="", "", AVERAGE(L788:M788, P788:Q788, T788:U788, X788:Y788)/100), ""))</f>
        <v>27.76</v>
      </c>
      <c r="AD788" s="1167">
        <f t="shared" si="134"/>
        <v>1.75</v>
      </c>
      <c r="AE788" s="1167">
        <f>IF(P788="了機","",IF(J788="","",IF(ISERROR((SUM(J788,N788,R788,V788)-SUM(K788,O788,S788,W788))/24),"",((SUM(J788,N788,R788,V788)-SUM(K788,O788,S788,W788))/24))))</f>
        <v>1.1666666666666667</v>
      </c>
      <c r="AF788" s="1168" t="str">
        <f t="shared" si="135"/>
        <v>S</v>
      </c>
      <c r="AG788" s="1424">
        <v>3</v>
      </c>
      <c r="AH788" s="1002" t="s">
        <v>16013</v>
      </c>
      <c r="AI788" s="1002" t="s">
        <v>16013</v>
      </c>
      <c r="AJ788" s="986" t="s">
        <v>16011</v>
      </c>
      <c r="AK788" s="986" t="s">
        <v>16011</v>
      </c>
      <c r="AL788" s="1415">
        <v>50</v>
      </c>
      <c r="AM788" s="1323">
        <v>46088</v>
      </c>
      <c r="AN788" s="1323"/>
      <c r="AO788" s="1323"/>
      <c r="AP788" s="1323"/>
      <c r="AQ788" s="1323"/>
      <c r="AR788" s="987"/>
      <c r="AS788" s="978" t="str">
        <f t="shared" si="136"/>
        <v>雙</v>
      </c>
      <c r="AT788" s="978" t="str">
        <f t="shared" si="137"/>
        <v>3sec</v>
      </c>
      <c r="AU788" s="978">
        <f t="shared" si="138"/>
        <v>75</v>
      </c>
      <c r="AV788" s="978">
        <f t="shared" si="139"/>
        <v>5.3965440000000003E-2</v>
      </c>
    </row>
    <row r="789" spans="1:48">
      <c r="A789" s="975">
        <f t="shared" si="133"/>
        <v>46162</v>
      </c>
      <c r="B789" s="976" t="s">
        <v>242</v>
      </c>
      <c r="C789" s="976" t="s">
        <v>385</v>
      </c>
      <c r="D789" s="1410"/>
      <c r="E789" s="977" t="str">
        <f>IFERROR(VLOOKUP(C789, [6]條件!$A:$L, 5, 0), "")</f>
        <v/>
      </c>
      <c r="F789" s="978" t="str">
        <f>IFERROR(VLOOKUP(C789, [6]條件!$A:$L, 6, 0), "")</f>
        <v/>
      </c>
      <c r="G789" s="1411" t="str">
        <f>IFERROR(VLOOKUP(C789, [6]條件!$A:$L, 7, 0), "")</f>
        <v/>
      </c>
      <c r="H789" s="978" t="str">
        <f>IF(ISNA(VLOOKUP(C789,[6]條件!$A$1:$K$932,11,0)),"",(VLOOKUP(C789,[6]條件!$A$1:$K$932,11,0)))</f>
        <v/>
      </c>
      <c r="I789" s="979" t="str">
        <f>IF(ISNA(VLOOKUP(C789,[6]條件!$A$1:$L$932,12,0)),"",(VLOOKUP(C789,[6]條件!$A$1:$L$932,12,0)))</f>
        <v/>
      </c>
      <c r="J789" s="982"/>
      <c r="K789" s="980"/>
      <c r="L789" s="981" t="s">
        <v>385</v>
      </c>
      <c r="M789" s="983"/>
      <c r="N789" s="982"/>
      <c r="O789" s="980"/>
      <c r="P789" s="981" t="s">
        <v>385</v>
      </c>
      <c r="Q789" s="983"/>
      <c r="R789" s="982"/>
      <c r="S789" s="980"/>
      <c r="T789" s="981" t="s">
        <v>385</v>
      </c>
      <c r="U789" s="983"/>
      <c r="V789" s="982"/>
      <c r="W789" s="980"/>
      <c r="X789" s="981" t="s">
        <v>385</v>
      </c>
      <c r="Y789" s="983"/>
      <c r="Z789" s="1422" t="str">
        <f>IFERROR(VLOOKUP(C789, [6]條件!$A:$L, 3, 0), "")</f>
        <v/>
      </c>
      <c r="AA789" s="1167" t="str">
        <f>IF(OR(L789={"改紡","檢修","了機","清車","FINAL","停機","SAMPLE","TEST","絲開發"}), L789, IFERROR(IF(C789="", "", (SUM(J789, N789, R789, V789)/3 * AG789) * IF(AND(AF789="S", AS789="雙"), 0.5, 1)), ""))</f>
        <v>絲開發</v>
      </c>
      <c r="AB789" s="1423" t="str">
        <f>IF(K789="","",IF(ISERROR(1-((SUM(K789,O789,S789,W789)/((AG789*12)-(AG789*0.44)))/Z789)),"",(1-((SUM(K789,O789,S789,W789)/((AG789*12)-(AG789*0.44)))/Z789))))</f>
        <v/>
      </c>
      <c r="AC789" s="1167" t="str">
        <f>IF(OR(L789={"改紡","檢修","了機","清車","FINAL","停機","SAMPLE","TEST"}), "", IFERROR(IF(C789="", "", AVERAGE(L789:M789, P789:Q789, T789:U789, X789:Y789)/100), ""))</f>
        <v/>
      </c>
      <c r="AD789" s="1167" t="str">
        <f t="shared" si="134"/>
        <v/>
      </c>
      <c r="AE789" s="1167" t="str">
        <f>IF(P789="了機","",IF(J789="","",IF(ISERROR((SUM(J789,N789,R789,V789)-SUM(K789,O789,S789,W789))/24),"",((SUM(J789,N789,R789,V789)-SUM(K789,O789,S789,W789))/24))))</f>
        <v/>
      </c>
      <c r="AF789" s="1168" t="str">
        <f t="shared" si="135"/>
        <v>S</v>
      </c>
      <c r="AG789" s="1424">
        <v>5</v>
      </c>
      <c r="AH789" s="1002" t="s">
        <v>16013</v>
      </c>
      <c r="AI789" s="1002" t="s">
        <v>16013</v>
      </c>
      <c r="AJ789" s="986" t="s">
        <v>16011</v>
      </c>
      <c r="AK789" s="986" t="s">
        <v>16011</v>
      </c>
      <c r="AL789" s="1415"/>
      <c r="AM789" s="1323"/>
      <c r="AN789" s="1323"/>
      <c r="AO789" s="1323"/>
      <c r="AP789" s="1323"/>
      <c r="AQ789" s="1323"/>
      <c r="AR789" s="987"/>
      <c r="AS789" s="978" t="str">
        <f t="shared" si="136"/>
        <v>單</v>
      </c>
      <c r="AT789" s="978" t="str">
        <f t="shared" si="137"/>
        <v>5sec</v>
      </c>
      <c r="AU789" s="978" t="str">
        <f t="shared" si="138"/>
        <v/>
      </c>
      <c r="AV789" s="978" t="str">
        <f t="shared" si="139"/>
        <v/>
      </c>
    </row>
    <row r="790" spans="1:48">
      <c r="A790" s="975">
        <f t="shared" si="133"/>
        <v>46162</v>
      </c>
      <c r="B790" s="976" t="s">
        <v>16078</v>
      </c>
      <c r="C790" s="988" t="s">
        <v>16185</v>
      </c>
      <c r="D790" s="1410"/>
      <c r="E790" s="977" t="str">
        <f>IFERROR(VLOOKUP(C790, [6]條件!$A:$L, 5, 0), "")</f>
        <v/>
      </c>
      <c r="F790" s="978" t="str">
        <f>IFERROR(VLOOKUP(C790, [6]條件!$A:$L, 6, 0), "")</f>
        <v/>
      </c>
      <c r="G790" s="1411" t="str">
        <f>IFERROR(VLOOKUP(C790, [6]條件!$A:$L, 7, 0), "")</f>
        <v/>
      </c>
      <c r="H790" s="978" t="str">
        <f>IF(ISNA(VLOOKUP(C790,[6]條件!$A$1:$K$932,11,0)),"",(VLOOKUP(C790,[6]條件!$A$1:$K$932,11,0)))</f>
        <v/>
      </c>
      <c r="I790" s="979" t="str">
        <f>IF(ISNA(VLOOKUP(C790,[6]條件!$A$1:$L$932,12,0)),"",(VLOOKUP(C790,[6]條件!$A$1:$L$932,12,0)))</f>
        <v/>
      </c>
      <c r="J790" s="982"/>
      <c r="K790" s="980"/>
      <c r="L790" s="981" t="s">
        <v>632</v>
      </c>
      <c r="M790" s="983"/>
      <c r="N790" s="982"/>
      <c r="O790" s="980"/>
      <c r="P790" s="981" t="s">
        <v>632</v>
      </c>
      <c r="Q790" s="983"/>
      <c r="R790" s="982"/>
      <c r="S790" s="980"/>
      <c r="T790" s="981" t="s">
        <v>632</v>
      </c>
      <c r="U790" s="983"/>
      <c r="V790" s="982"/>
      <c r="W790" s="980"/>
      <c r="X790" s="981" t="s">
        <v>632</v>
      </c>
      <c r="Y790" s="983"/>
      <c r="Z790" s="1412" t="str">
        <f>IFERROR(VLOOKUP(C790, [6]條件!$A:$L, 3, 0), "")</f>
        <v/>
      </c>
      <c r="AA790" s="984" t="str">
        <f>IF(OR(L790={"改紡","檢修","了機","清車","FINAL","停機","SAMPLE","TEST","絲開發"}), L790, IFERROR(IF(C790="", "", (SUM(J790, N790, R790, V790)/3 * AG790) * IF(AND(AF790="S", AS790="雙"), 0.5, 1)), ""))</f>
        <v>停機</v>
      </c>
      <c r="AB790" s="1413" t="str">
        <f t="shared" ref="AB790:AB825" si="140">IF(K790="","",IF(ISERROR(1-(SUM(K790,O790,S790,W790)/208/Z790)),"",(1-(SUM(K790,O790,S790,W790)/208/Z790))))</f>
        <v/>
      </c>
      <c r="AC790" s="984" t="str">
        <f>IF(OR(L790={"改紡","檢修","了機","清車","FINAL","停機","SAMPLE","TEST"}), "", IFERROR(IF(C790="", "", AVERAGE(L790:M790, P790:Q790, T790:U790, X790:Y790)/100), ""))</f>
        <v/>
      </c>
      <c r="AD790" s="984" t="str">
        <f t="shared" si="134"/>
        <v/>
      </c>
      <c r="AE790" s="984" t="str">
        <f>IF(OR(L790="改紡", L790="檢修", L790="了機"), "",
   IF(AND(C790&lt;&gt;"", J790&lt;&gt;""),
      IFERROR((SUM(J790, N790, R790, V790) - SUM(K790, O790, S790, W790))/24 * AG790, ""),
   "")
)</f>
        <v/>
      </c>
      <c r="AF790" s="985" t="str">
        <f t="shared" si="135"/>
        <v>M</v>
      </c>
      <c r="AG790" s="1414">
        <v>1</v>
      </c>
      <c r="AH790" s="1002" t="s">
        <v>640</v>
      </c>
      <c r="AI790" s="1002" t="s">
        <v>640</v>
      </c>
      <c r="AJ790" s="986" t="s">
        <v>640</v>
      </c>
      <c r="AK790" s="986" t="s">
        <v>640</v>
      </c>
      <c r="AL790" s="1415"/>
      <c r="AM790" s="1323"/>
      <c r="AN790" s="1323"/>
      <c r="AO790" s="1323"/>
      <c r="AP790" s="1323"/>
      <c r="AQ790" s="1323"/>
      <c r="AR790" s="987"/>
      <c r="AS790" s="978" t="str">
        <f t="shared" si="136"/>
        <v>單</v>
      </c>
      <c r="AT790" s="978" t="str">
        <f t="shared" si="137"/>
        <v>全</v>
      </c>
      <c r="AU790" s="978" t="str">
        <f t="shared" si="138"/>
        <v/>
      </c>
      <c r="AV790" s="978" t="str">
        <f t="shared" si="139"/>
        <v/>
      </c>
    </row>
    <row r="791" spans="1:48">
      <c r="A791" s="975">
        <f t="shared" si="133"/>
        <v>46162</v>
      </c>
      <c r="B791" s="976" t="s">
        <v>243</v>
      </c>
      <c r="C791" s="988" t="s">
        <v>16185</v>
      </c>
      <c r="D791" s="1410"/>
      <c r="E791" s="977" t="str">
        <f>IFERROR(VLOOKUP(C791, [6]條件!$A:$L, 5, 0), "")</f>
        <v/>
      </c>
      <c r="F791" s="978" t="str">
        <f>IFERROR(VLOOKUP(C791, [6]條件!$A:$L, 6, 0), "")</f>
        <v/>
      </c>
      <c r="G791" s="1411" t="str">
        <f>IFERROR(VLOOKUP(C791, [6]條件!$A:$L, 7, 0), "")</f>
        <v/>
      </c>
      <c r="H791" s="978" t="str">
        <f>IF(ISNA(VLOOKUP(C791,[6]條件!$A$1:$K$932,11,0)),"",(VLOOKUP(C791,[6]條件!$A$1:$K$932,11,0)))</f>
        <v/>
      </c>
      <c r="I791" s="979" t="str">
        <f>IF(ISNA(VLOOKUP(C791,[6]條件!$A$1:$L$932,12,0)),"",(VLOOKUP(C791,[6]條件!$A$1:$L$932,12,0)))</f>
        <v/>
      </c>
      <c r="J791" s="982"/>
      <c r="K791" s="980"/>
      <c r="L791" s="981" t="s">
        <v>632</v>
      </c>
      <c r="M791" s="983"/>
      <c r="N791" s="982"/>
      <c r="O791" s="980"/>
      <c r="P791" s="981" t="s">
        <v>632</v>
      </c>
      <c r="Q791" s="983"/>
      <c r="R791" s="982"/>
      <c r="S791" s="980"/>
      <c r="T791" s="981" t="s">
        <v>632</v>
      </c>
      <c r="U791" s="983"/>
      <c r="V791" s="982"/>
      <c r="W791" s="980"/>
      <c r="X791" s="981" t="s">
        <v>632</v>
      </c>
      <c r="Y791" s="983"/>
      <c r="Z791" s="1412" t="str">
        <f>IFERROR(VLOOKUP(C791, [6]條件!$A:$L, 3, 0), "")</f>
        <v/>
      </c>
      <c r="AA791" s="984" t="str">
        <f>IF(OR(L791={"改紡","檢修","了機","清車","FINAL","停機","SAMPLE","TEST","絲開發"}), L791, IFERROR(IF(C791="", "", (SUM(J791, N791, R791, V791)/3 * AG791) * IF(AND(AF791="S", AS791="雙"), 0.5, 1)), ""))</f>
        <v>停機</v>
      </c>
      <c r="AB791" s="1413" t="str">
        <f t="shared" si="140"/>
        <v/>
      </c>
      <c r="AC791" s="984" t="str">
        <f>IF(OR(L791={"改紡","檢修","了機","清車","FINAL","停機","SAMPLE","TEST"}), "", IFERROR(IF(C791="", "", AVERAGE(L791:M791, P791:Q791, T791:U791, X791:Y791)/100), ""))</f>
        <v/>
      </c>
      <c r="AD791" s="984" t="str">
        <f t="shared" si="134"/>
        <v/>
      </c>
      <c r="AE791" s="984" t="str">
        <f t="shared" ref="AE791:AE825" si="141">IF(OR(L791="改紡", L791="檢修", L791="了機"), "",
IF(AND(C791&lt;&gt;"", J791&lt;&gt;""),
IFERROR((SUM(J791, N791, R791, V791) - SUM(K791, O791, S791, W791))/24 * AG791, ""),
"")
)</f>
        <v/>
      </c>
      <c r="AF791" s="985" t="str">
        <f t="shared" si="135"/>
        <v>M</v>
      </c>
      <c r="AG791" s="1414">
        <v>1</v>
      </c>
      <c r="AH791" s="1002" t="s">
        <v>640</v>
      </c>
      <c r="AI791" s="1002" t="s">
        <v>640</v>
      </c>
      <c r="AJ791" s="986" t="s">
        <v>640</v>
      </c>
      <c r="AK791" s="986" t="s">
        <v>640</v>
      </c>
      <c r="AL791" s="1415"/>
      <c r="AM791" s="1323"/>
      <c r="AN791" s="1323"/>
      <c r="AO791" s="1323"/>
      <c r="AP791" s="1323"/>
      <c r="AQ791" s="1323"/>
      <c r="AR791" s="987"/>
      <c r="AS791" s="978" t="str">
        <f t="shared" si="136"/>
        <v>單</v>
      </c>
      <c r="AT791" s="978" t="str">
        <f t="shared" si="137"/>
        <v>全</v>
      </c>
      <c r="AU791" s="978" t="str">
        <f t="shared" si="138"/>
        <v/>
      </c>
      <c r="AV791" s="978" t="str">
        <f t="shared" si="139"/>
        <v/>
      </c>
    </row>
    <row r="792" spans="1:48">
      <c r="A792" s="975">
        <f t="shared" si="133"/>
        <v>46162</v>
      </c>
      <c r="B792" s="976" t="s">
        <v>244</v>
      </c>
      <c r="C792" s="988" t="s">
        <v>16185</v>
      </c>
      <c r="D792" s="1410"/>
      <c r="E792" s="977" t="str">
        <f>IFERROR(VLOOKUP(C792, [6]條件!$A:$L, 5, 0), "")</f>
        <v/>
      </c>
      <c r="F792" s="978" t="str">
        <f>IFERROR(VLOOKUP(C792, [6]條件!$A:$L, 6, 0), "")</f>
        <v/>
      </c>
      <c r="G792" s="1411" t="str">
        <f>IFERROR(VLOOKUP(C792, [6]條件!$A:$L, 7, 0), "")</f>
        <v/>
      </c>
      <c r="H792" s="978" t="str">
        <f>IF(ISNA(VLOOKUP(C792,[6]條件!$A$1:$K$932,11,0)),"",(VLOOKUP(C792,[6]條件!$A$1:$K$932,11,0)))</f>
        <v/>
      </c>
      <c r="I792" s="979" t="str">
        <f>IF(ISNA(VLOOKUP(C792,[6]條件!$A$1:$L$932,12,0)),"",(VLOOKUP(C792,[6]條件!$A$1:$L$932,12,0)))</f>
        <v/>
      </c>
      <c r="J792" s="982"/>
      <c r="K792" s="980"/>
      <c r="L792" s="981" t="s">
        <v>632</v>
      </c>
      <c r="M792" s="983"/>
      <c r="N792" s="982"/>
      <c r="O792" s="980"/>
      <c r="P792" s="981" t="s">
        <v>632</v>
      </c>
      <c r="Q792" s="983"/>
      <c r="R792" s="982"/>
      <c r="S792" s="980"/>
      <c r="T792" s="981" t="s">
        <v>632</v>
      </c>
      <c r="U792" s="983"/>
      <c r="V792" s="982"/>
      <c r="W792" s="980"/>
      <c r="X792" s="981" t="s">
        <v>632</v>
      </c>
      <c r="Y792" s="983"/>
      <c r="Z792" s="1412" t="str">
        <f>IFERROR(VLOOKUP(C792, [6]條件!$A:$L, 3, 0), "")</f>
        <v/>
      </c>
      <c r="AA792" s="984" t="str">
        <f>IF(OR(L792={"改紡","檢修","了機","清車","FINAL","停機","SAMPLE","TEST","絲開發"}), L792, IFERROR(IF(C792="", "", (SUM(J792, N792, R792, V792)/3 * AG792) * IF(AND(AF792="S", AS792="雙"), 0.5, 1)), ""))</f>
        <v>停機</v>
      </c>
      <c r="AB792" s="1413" t="str">
        <f t="shared" si="140"/>
        <v/>
      </c>
      <c r="AC792" s="984" t="str">
        <f>IF(OR(L792={"改紡","檢修","了機","清車","FINAL","停機","SAMPLE","TEST"}), "", IFERROR(IF(C792="", "", AVERAGE(L792:M792, P792:Q792, T792:U792, X792:Y792)/100), ""))</f>
        <v/>
      </c>
      <c r="AD792" s="984" t="str">
        <f t="shared" si="134"/>
        <v/>
      </c>
      <c r="AE792" s="984" t="str">
        <f t="shared" si="141"/>
        <v/>
      </c>
      <c r="AF792" s="985" t="str">
        <f t="shared" si="135"/>
        <v>M</v>
      </c>
      <c r="AG792" s="1414">
        <v>1</v>
      </c>
      <c r="AH792" s="1002" t="s">
        <v>640</v>
      </c>
      <c r="AI792" s="1002" t="s">
        <v>640</v>
      </c>
      <c r="AJ792" s="986" t="s">
        <v>640</v>
      </c>
      <c r="AK792" s="986" t="s">
        <v>640</v>
      </c>
      <c r="AL792" s="1415"/>
      <c r="AM792" s="1323"/>
      <c r="AN792" s="1323"/>
      <c r="AO792" s="1323"/>
      <c r="AP792" s="1323"/>
      <c r="AQ792" s="1323"/>
      <c r="AR792" s="987"/>
      <c r="AS792" s="978" t="str">
        <f t="shared" si="136"/>
        <v>單</v>
      </c>
      <c r="AT792" s="978" t="str">
        <f t="shared" si="137"/>
        <v>全</v>
      </c>
      <c r="AU792" s="978" t="str">
        <f t="shared" si="138"/>
        <v/>
      </c>
      <c r="AV792" s="978" t="str">
        <f t="shared" si="139"/>
        <v/>
      </c>
    </row>
    <row r="793" spans="1:48">
      <c r="A793" s="975">
        <f t="shared" si="133"/>
        <v>46162</v>
      </c>
      <c r="B793" s="976" t="s">
        <v>245</v>
      </c>
      <c r="C793" s="988" t="s">
        <v>16185</v>
      </c>
      <c r="D793" s="1410"/>
      <c r="E793" s="977" t="str">
        <f>IFERROR(VLOOKUP(C793, [6]條件!$A:$L, 5, 0), "")</f>
        <v/>
      </c>
      <c r="F793" s="978" t="str">
        <f>IFERROR(VLOOKUP(C793, [6]條件!$A:$L, 6, 0), "")</f>
        <v/>
      </c>
      <c r="G793" s="1411" t="str">
        <f>IFERROR(VLOOKUP(C793, [6]條件!$A:$L, 7, 0), "")</f>
        <v/>
      </c>
      <c r="H793" s="978" t="str">
        <f>IF(ISNA(VLOOKUP(C793,[6]條件!$A$1:$K$932,11,0)),"",(VLOOKUP(C793,[6]條件!$A$1:$K$932,11,0)))</f>
        <v/>
      </c>
      <c r="I793" s="979" t="str">
        <f>IF(ISNA(VLOOKUP(C793,[6]條件!$A$1:$L$932,12,0)),"",(VLOOKUP(C793,[6]條件!$A$1:$L$932,12,0)))</f>
        <v/>
      </c>
      <c r="J793" s="982"/>
      <c r="K793" s="980"/>
      <c r="L793" s="981" t="s">
        <v>632</v>
      </c>
      <c r="M793" s="983"/>
      <c r="N793" s="982"/>
      <c r="O793" s="980"/>
      <c r="P793" s="981" t="s">
        <v>632</v>
      </c>
      <c r="Q793" s="983"/>
      <c r="R793" s="982"/>
      <c r="S793" s="980"/>
      <c r="T793" s="981" t="s">
        <v>632</v>
      </c>
      <c r="U793" s="983"/>
      <c r="V793" s="982"/>
      <c r="W793" s="980"/>
      <c r="X793" s="981" t="s">
        <v>632</v>
      </c>
      <c r="Y793" s="983"/>
      <c r="Z793" s="1412" t="str">
        <f>IFERROR(VLOOKUP(C793, [6]條件!$A:$L, 3, 0), "")</f>
        <v/>
      </c>
      <c r="AA793" s="984" t="str">
        <f>IF(OR(L793={"改紡","檢修","了機","清車","FINAL","停機","SAMPLE","TEST","絲開發"}), L793, IFERROR(IF(C793="", "", (SUM(J793, N793, R793, V793)/3 * AG793) * IF(AND(AF793="S", AS793="雙"), 0.5, 1)), ""))</f>
        <v>停機</v>
      </c>
      <c r="AB793" s="1413" t="str">
        <f t="shared" si="140"/>
        <v/>
      </c>
      <c r="AC793" s="984" t="str">
        <f>IF(OR(L793={"改紡","檢修","了機","清車","FINAL","停機","SAMPLE","TEST"}), "", IFERROR(IF(C793="", "", AVERAGE(L793:M793, P793:Q793, T793:U793, X793:Y793)/100), ""))</f>
        <v/>
      </c>
      <c r="AD793" s="984" t="str">
        <f t="shared" si="134"/>
        <v/>
      </c>
      <c r="AE793" s="984" t="str">
        <f t="shared" si="141"/>
        <v/>
      </c>
      <c r="AF793" s="985" t="str">
        <f t="shared" si="135"/>
        <v>M</v>
      </c>
      <c r="AG793" s="1414">
        <v>1</v>
      </c>
      <c r="AH793" s="1002" t="s">
        <v>640</v>
      </c>
      <c r="AI793" s="1002" t="s">
        <v>640</v>
      </c>
      <c r="AJ793" s="986" t="s">
        <v>640</v>
      </c>
      <c r="AK793" s="986" t="s">
        <v>640</v>
      </c>
      <c r="AL793" s="1415"/>
      <c r="AM793" s="1323"/>
      <c r="AN793" s="1323"/>
      <c r="AO793" s="1323"/>
      <c r="AP793" s="1323"/>
      <c r="AQ793" s="1323"/>
      <c r="AR793" s="987"/>
      <c r="AS793" s="978" t="str">
        <f t="shared" si="136"/>
        <v>單</v>
      </c>
      <c r="AT793" s="978" t="str">
        <f t="shared" si="137"/>
        <v>全</v>
      </c>
      <c r="AU793" s="978" t="str">
        <f t="shared" si="138"/>
        <v/>
      </c>
      <c r="AV793" s="978" t="str">
        <f t="shared" si="139"/>
        <v/>
      </c>
    </row>
    <row r="794" spans="1:48">
      <c r="A794" s="975">
        <f t="shared" si="133"/>
        <v>46162</v>
      </c>
      <c r="B794" s="976" t="s">
        <v>246</v>
      </c>
      <c r="C794" s="988" t="s">
        <v>16185</v>
      </c>
      <c r="D794" s="1410"/>
      <c r="E794" s="977" t="str">
        <f>IFERROR(VLOOKUP(C794, [6]條件!$A:$L, 5, 0), "")</f>
        <v/>
      </c>
      <c r="F794" s="978" t="str">
        <f>IFERROR(VLOOKUP(C794, [6]條件!$A:$L, 6, 0), "")</f>
        <v/>
      </c>
      <c r="G794" s="1411" t="str">
        <f>IFERROR(VLOOKUP(C794, [6]條件!$A:$L, 7, 0), "")</f>
        <v/>
      </c>
      <c r="H794" s="978" t="str">
        <f>IF(ISNA(VLOOKUP(C794,[6]條件!$A$1:$K$932,11,0)),"",(VLOOKUP(C794,[6]條件!$A$1:$K$932,11,0)))</f>
        <v/>
      </c>
      <c r="I794" s="979" t="str">
        <f>IF(ISNA(VLOOKUP(C794,[6]條件!$A$1:$L$932,12,0)),"",(VLOOKUP(C794,[6]條件!$A$1:$L$932,12,0)))</f>
        <v/>
      </c>
      <c r="J794" s="982"/>
      <c r="K794" s="980"/>
      <c r="L794" s="981" t="s">
        <v>632</v>
      </c>
      <c r="M794" s="983"/>
      <c r="N794" s="982"/>
      <c r="O794" s="980"/>
      <c r="P794" s="981" t="s">
        <v>632</v>
      </c>
      <c r="Q794" s="983"/>
      <c r="R794" s="982"/>
      <c r="S794" s="980"/>
      <c r="T794" s="981" t="s">
        <v>632</v>
      </c>
      <c r="U794" s="983"/>
      <c r="V794" s="982"/>
      <c r="W794" s="980"/>
      <c r="X794" s="981" t="s">
        <v>632</v>
      </c>
      <c r="Y794" s="983"/>
      <c r="Z794" s="1412" t="str">
        <f>IFERROR(VLOOKUP(C794, [6]條件!$A:$L, 3, 0), "")</f>
        <v/>
      </c>
      <c r="AA794" s="984" t="str">
        <f>IF(OR(L794={"改紡","檢修","了機","清車","FINAL","停機","SAMPLE","TEST","絲開發"}), L794, IFERROR(IF(C794="", "", (SUM(J794, N794, R794, V794)/3 * AG794) * IF(AND(AF794="S", AS794="雙"), 0.5, 1)), ""))</f>
        <v>停機</v>
      </c>
      <c r="AB794" s="1413" t="str">
        <f t="shared" si="140"/>
        <v/>
      </c>
      <c r="AC794" s="984" t="str">
        <f>IF(OR(L794={"改紡","檢修","了機","清車","FINAL","停機","SAMPLE","TEST"}), "", IFERROR(IF(C794="", "", AVERAGE(L794:M794, P794:Q794, T794:U794, X794:Y794)/100), ""))</f>
        <v/>
      </c>
      <c r="AD794" s="984" t="str">
        <f t="shared" si="134"/>
        <v/>
      </c>
      <c r="AE794" s="984" t="str">
        <f t="shared" si="141"/>
        <v/>
      </c>
      <c r="AF794" s="985" t="str">
        <f t="shared" si="135"/>
        <v>M</v>
      </c>
      <c r="AG794" s="1414">
        <v>1</v>
      </c>
      <c r="AH794" s="1002" t="s">
        <v>640</v>
      </c>
      <c r="AI794" s="1002" t="s">
        <v>640</v>
      </c>
      <c r="AJ794" s="986" t="s">
        <v>640</v>
      </c>
      <c r="AK794" s="986" t="s">
        <v>640</v>
      </c>
      <c r="AL794" s="1415"/>
      <c r="AM794" s="1323"/>
      <c r="AN794" s="1323"/>
      <c r="AO794" s="1323"/>
      <c r="AP794" s="1323"/>
      <c r="AQ794" s="1323"/>
      <c r="AR794" s="987"/>
      <c r="AS794" s="978" t="str">
        <f t="shared" si="136"/>
        <v>單</v>
      </c>
      <c r="AT794" s="978" t="str">
        <f t="shared" si="137"/>
        <v>全</v>
      </c>
      <c r="AU794" s="978" t="str">
        <f t="shared" si="138"/>
        <v/>
      </c>
      <c r="AV794" s="978" t="str">
        <f t="shared" si="139"/>
        <v/>
      </c>
    </row>
    <row r="795" spans="1:48">
      <c r="A795" s="975">
        <f t="shared" si="133"/>
        <v>46162</v>
      </c>
      <c r="B795" s="976" t="s">
        <v>247</v>
      </c>
      <c r="C795" s="988" t="s">
        <v>16185</v>
      </c>
      <c r="D795" s="1410"/>
      <c r="E795" s="977" t="str">
        <f>IFERROR(VLOOKUP(C795, [6]條件!$A:$L, 5, 0), "")</f>
        <v/>
      </c>
      <c r="F795" s="978" t="str">
        <f>IFERROR(VLOOKUP(C795, [6]條件!$A:$L, 6, 0), "")</f>
        <v/>
      </c>
      <c r="G795" s="1411" t="str">
        <f>IFERROR(VLOOKUP(C795, [6]條件!$A:$L, 7, 0), "")</f>
        <v/>
      </c>
      <c r="H795" s="978" t="str">
        <f>IF(ISNA(VLOOKUP(C795,[6]條件!$A$1:$K$932,11,0)),"",(VLOOKUP(C795,[6]條件!$A$1:$K$932,11,0)))</f>
        <v/>
      </c>
      <c r="I795" s="979" t="str">
        <f>IF(ISNA(VLOOKUP(C795,[6]條件!$A$1:$L$932,12,0)),"",(VLOOKUP(C795,[6]條件!$A$1:$L$932,12,0)))</f>
        <v/>
      </c>
      <c r="J795" s="982"/>
      <c r="K795" s="980"/>
      <c r="L795" s="981" t="s">
        <v>632</v>
      </c>
      <c r="M795" s="983"/>
      <c r="N795" s="982"/>
      <c r="O795" s="980"/>
      <c r="P795" s="981" t="s">
        <v>632</v>
      </c>
      <c r="Q795" s="983"/>
      <c r="R795" s="982"/>
      <c r="S795" s="980"/>
      <c r="T795" s="981" t="s">
        <v>632</v>
      </c>
      <c r="U795" s="983"/>
      <c r="V795" s="982"/>
      <c r="W795" s="980"/>
      <c r="X795" s="981" t="s">
        <v>632</v>
      </c>
      <c r="Y795" s="983"/>
      <c r="Z795" s="1412" t="str">
        <f>IFERROR(VLOOKUP(C795, [6]條件!$A:$L, 3, 0), "")</f>
        <v/>
      </c>
      <c r="AA795" s="984" t="str">
        <f>IF(OR(L795={"改紡","檢修","了機","清車","FINAL","停機","SAMPLE","TEST","絲開發"}), L795, IFERROR(IF(C795="", "", (SUM(J795, N795, R795, V795)/3 * AG795) * IF(AND(AF795="S", AS795="雙"), 0.5, 1)), ""))</f>
        <v>停機</v>
      </c>
      <c r="AB795" s="1413" t="str">
        <f t="shared" si="140"/>
        <v/>
      </c>
      <c r="AC795" s="984" t="str">
        <f>IF(OR(L795={"改紡","檢修","了機","清車","FINAL","停機","SAMPLE","TEST"}), "", IFERROR(IF(C795="", "", AVERAGE(L795:M795, P795:Q795, T795:U795, X795:Y795)/100), ""))</f>
        <v/>
      </c>
      <c r="AD795" s="984" t="str">
        <f t="shared" si="134"/>
        <v/>
      </c>
      <c r="AE795" s="984" t="str">
        <f t="shared" si="141"/>
        <v/>
      </c>
      <c r="AF795" s="985" t="str">
        <f t="shared" si="135"/>
        <v>M</v>
      </c>
      <c r="AG795" s="1414">
        <v>1</v>
      </c>
      <c r="AH795" s="1002" t="s">
        <v>640</v>
      </c>
      <c r="AI795" s="1002" t="s">
        <v>640</v>
      </c>
      <c r="AJ795" s="986" t="s">
        <v>640</v>
      </c>
      <c r="AK795" s="986" t="s">
        <v>640</v>
      </c>
      <c r="AL795" s="1415"/>
      <c r="AM795" s="1323"/>
      <c r="AN795" s="1323"/>
      <c r="AO795" s="1323"/>
      <c r="AP795" s="1323"/>
      <c r="AQ795" s="1323"/>
      <c r="AR795" s="987"/>
      <c r="AS795" s="978" t="str">
        <f t="shared" si="136"/>
        <v>單</v>
      </c>
      <c r="AT795" s="978" t="str">
        <f t="shared" si="137"/>
        <v>全</v>
      </c>
      <c r="AU795" s="978" t="str">
        <f t="shared" si="138"/>
        <v/>
      </c>
      <c r="AV795" s="978" t="str">
        <f t="shared" si="139"/>
        <v/>
      </c>
    </row>
    <row r="796" spans="1:48">
      <c r="A796" s="975">
        <f t="shared" si="133"/>
        <v>46162</v>
      </c>
      <c r="B796" s="976" t="s">
        <v>248</v>
      </c>
      <c r="C796" s="988" t="s">
        <v>16185</v>
      </c>
      <c r="D796" s="1410"/>
      <c r="E796" s="977" t="str">
        <f>IFERROR(VLOOKUP(C796, [6]條件!$A:$L, 5, 0), "")</f>
        <v/>
      </c>
      <c r="F796" s="978" t="str">
        <f>IFERROR(VLOOKUP(C796, [6]條件!$A:$L, 6, 0), "")</f>
        <v/>
      </c>
      <c r="G796" s="1411" t="str">
        <f>IFERROR(VLOOKUP(C796, [6]條件!$A:$L, 7, 0), "")</f>
        <v/>
      </c>
      <c r="H796" s="978" t="str">
        <f>IF(ISNA(VLOOKUP(C796,[6]條件!$A$1:$K$932,11,0)),"",(VLOOKUP(C796,[6]條件!$A$1:$K$932,11,0)))</f>
        <v/>
      </c>
      <c r="I796" s="979" t="str">
        <f>IF(ISNA(VLOOKUP(C796,[6]條件!$A$1:$L$932,12,0)),"",(VLOOKUP(C796,[6]條件!$A$1:$L$932,12,0)))</f>
        <v/>
      </c>
      <c r="J796" s="982"/>
      <c r="K796" s="980"/>
      <c r="L796" s="981" t="s">
        <v>632</v>
      </c>
      <c r="M796" s="983"/>
      <c r="N796" s="982"/>
      <c r="O796" s="980"/>
      <c r="P796" s="981" t="s">
        <v>632</v>
      </c>
      <c r="Q796" s="983"/>
      <c r="R796" s="982"/>
      <c r="S796" s="980"/>
      <c r="T796" s="981" t="s">
        <v>632</v>
      </c>
      <c r="U796" s="983"/>
      <c r="V796" s="982"/>
      <c r="W796" s="980"/>
      <c r="X796" s="981" t="s">
        <v>632</v>
      </c>
      <c r="Y796" s="983"/>
      <c r="Z796" s="1412" t="str">
        <f>IFERROR(VLOOKUP(C796, [6]條件!$A:$L, 3, 0), "")</f>
        <v/>
      </c>
      <c r="AA796" s="984" t="str">
        <f>IF(OR(L796={"改紡","檢修","了機","清車","FINAL","停機","SAMPLE","TEST","絲開發"}), L796, IFERROR(IF(C796="", "", (SUM(J796, N796, R796, V796)/3 * AG796) * IF(AND(AF796="S", AS796="雙"), 0.5, 1)), ""))</f>
        <v>停機</v>
      </c>
      <c r="AB796" s="1413" t="str">
        <f t="shared" si="140"/>
        <v/>
      </c>
      <c r="AC796" s="984" t="str">
        <f>IF(OR(L796={"改紡","檢修","了機","清車","FINAL","停機","SAMPLE","TEST"}), "", IFERROR(IF(C796="", "", AVERAGE(L796:M796, P796:Q796, T796:U796, X796:Y796)/100), ""))</f>
        <v/>
      </c>
      <c r="AD796" s="984" t="str">
        <f t="shared" si="134"/>
        <v/>
      </c>
      <c r="AE796" s="984" t="str">
        <f t="shared" si="141"/>
        <v/>
      </c>
      <c r="AF796" s="985" t="str">
        <f t="shared" si="135"/>
        <v>M</v>
      </c>
      <c r="AG796" s="1414">
        <v>1</v>
      </c>
      <c r="AH796" s="1002" t="s">
        <v>640</v>
      </c>
      <c r="AI796" s="1002" t="s">
        <v>640</v>
      </c>
      <c r="AJ796" s="986" t="s">
        <v>640</v>
      </c>
      <c r="AK796" s="986" t="s">
        <v>640</v>
      </c>
      <c r="AL796" s="1415"/>
      <c r="AM796" s="1323"/>
      <c r="AN796" s="1323"/>
      <c r="AO796" s="1323"/>
      <c r="AP796" s="1323"/>
      <c r="AQ796" s="1323"/>
      <c r="AR796" s="987"/>
      <c r="AS796" s="978" t="str">
        <f t="shared" si="136"/>
        <v>單</v>
      </c>
      <c r="AT796" s="978" t="str">
        <f t="shared" si="137"/>
        <v>全</v>
      </c>
      <c r="AU796" s="978" t="str">
        <f t="shared" si="138"/>
        <v/>
      </c>
      <c r="AV796" s="978" t="str">
        <f t="shared" si="139"/>
        <v/>
      </c>
    </row>
    <row r="797" spans="1:48" ht="17.25" thickBot="1">
      <c r="A797" s="989">
        <f t="shared" si="133"/>
        <v>46162</v>
      </c>
      <c r="B797" s="990" t="s">
        <v>249</v>
      </c>
      <c r="C797" s="991" t="s">
        <v>16185</v>
      </c>
      <c r="D797" s="1425"/>
      <c r="E797" s="1169" t="str">
        <f>IFERROR(VLOOKUP(C797, [6]條件!$A:$L, 5, 0), "")</f>
        <v/>
      </c>
      <c r="F797" s="992" t="str">
        <f>IFERROR(VLOOKUP(C797, [6]條件!$A:$L, 6, 0), "")</f>
        <v/>
      </c>
      <c r="G797" s="1426" t="str">
        <f>IFERROR(VLOOKUP(C797, [6]條件!$A:$L, 7, 0), "")</f>
        <v/>
      </c>
      <c r="H797" s="992" t="str">
        <f>IF(ISNA(VLOOKUP(C797,[6]條件!$A$1:$K$932,11,0)),"",(VLOOKUP(C797,[6]條件!$A$1:$K$932,11,0)))</f>
        <v/>
      </c>
      <c r="I797" s="1170" t="str">
        <f>IF(ISNA(VLOOKUP(C797,[6]條件!$A$1:$L$932,12,0)),"",(VLOOKUP(C797,[6]條件!$A$1:$L$932,12,0)))</f>
        <v/>
      </c>
      <c r="J797" s="995"/>
      <c r="K797" s="993"/>
      <c r="L797" s="994" t="s">
        <v>632</v>
      </c>
      <c r="M797" s="996"/>
      <c r="N797" s="995"/>
      <c r="O797" s="993"/>
      <c r="P797" s="994" t="s">
        <v>632</v>
      </c>
      <c r="Q797" s="996"/>
      <c r="R797" s="995"/>
      <c r="S797" s="993"/>
      <c r="T797" s="994" t="s">
        <v>632</v>
      </c>
      <c r="U797" s="996"/>
      <c r="V797" s="995"/>
      <c r="W797" s="993"/>
      <c r="X797" s="994" t="s">
        <v>632</v>
      </c>
      <c r="Y797" s="996"/>
      <c r="Z797" s="1427" t="str">
        <f>IFERROR(VLOOKUP(C797, [6]條件!$A:$L, 3, 0), "")</f>
        <v/>
      </c>
      <c r="AA797" s="997" t="str">
        <f>IF(OR(L797={"改紡","檢修","了機","清車","FINAL","停機","SAMPLE","TEST","絲開發"}), L797, IFERROR(IF(C797="", "", (SUM(J797, N797, R797, V797)/3 * AG797) * IF(AND(AF797="S", AS797="雙"), 0.5, 1)), ""))</f>
        <v>停機</v>
      </c>
      <c r="AB797" s="1428" t="str">
        <f t="shared" si="140"/>
        <v/>
      </c>
      <c r="AC797" s="997" t="str">
        <f>IF(OR(L797={"改紡","檢修","了機","清車","FINAL","停機","SAMPLE","TEST"}), "", IFERROR(IF(C797="", "", AVERAGE(L797:M797, P797:Q797, T797:U797, X797:Y797)/100), ""))</f>
        <v/>
      </c>
      <c r="AD797" s="997" t="str">
        <f t="shared" si="134"/>
        <v/>
      </c>
      <c r="AE797" s="997" t="str">
        <f t="shared" si="141"/>
        <v/>
      </c>
      <c r="AF797" s="998" t="str">
        <f t="shared" si="135"/>
        <v>M</v>
      </c>
      <c r="AG797" s="1429">
        <v>1</v>
      </c>
      <c r="AH797" s="1171" t="s">
        <v>640</v>
      </c>
      <c r="AI797" s="1171" t="s">
        <v>640</v>
      </c>
      <c r="AJ797" s="999" t="s">
        <v>640</v>
      </c>
      <c r="AK797" s="999" t="s">
        <v>640</v>
      </c>
      <c r="AL797" s="1431"/>
      <c r="AM797" s="1325"/>
      <c r="AN797" s="1325"/>
      <c r="AO797" s="1325"/>
      <c r="AP797" s="1325"/>
      <c r="AQ797" s="1325"/>
      <c r="AR797" s="1000"/>
      <c r="AS797" s="992" t="str">
        <f t="shared" si="136"/>
        <v>單</v>
      </c>
      <c r="AT797" s="992" t="str">
        <f t="shared" si="137"/>
        <v>全</v>
      </c>
      <c r="AU797" s="992" t="str">
        <f t="shared" si="138"/>
        <v/>
      </c>
      <c r="AV797" s="992" t="str">
        <f t="shared" si="139"/>
        <v/>
      </c>
    </row>
    <row r="798" spans="1:48">
      <c r="A798" s="962">
        <v>46163</v>
      </c>
      <c r="B798" s="963" t="s">
        <v>212</v>
      </c>
      <c r="C798" s="963" t="s">
        <v>632</v>
      </c>
      <c r="D798" s="1403"/>
      <c r="E798" s="964" t="str">
        <f>IFERROR(VLOOKUP(C798, [6]條件!$A:$L, 5, 0), "")</f>
        <v/>
      </c>
      <c r="F798" s="965" t="str">
        <f>IFERROR(VLOOKUP(C798, [6]條件!$A:$L, 6, 0), "")</f>
        <v/>
      </c>
      <c r="G798" s="1404" t="str">
        <f>IFERROR(VLOOKUP(C798, [6]條件!$A:$L, 7, 0), "")</f>
        <v/>
      </c>
      <c r="H798" s="965" t="str">
        <f>IF(ISNA(VLOOKUP(C798,[6]條件!$A$1:$K$932,11,0)),"",(VLOOKUP(C798,[6]條件!$A$1:$K$932,11,0)))</f>
        <v/>
      </c>
      <c r="I798" s="966" t="str">
        <f>IF(ISNA(VLOOKUP(C798,[6]條件!$A$1:$L$932,12,0)),"",(VLOOKUP(C798,[6]條件!$A$1:$L$932,12,0)))</f>
        <v/>
      </c>
      <c r="J798" s="969"/>
      <c r="K798" s="967"/>
      <c r="L798" s="981" t="s">
        <v>632</v>
      </c>
      <c r="M798" s="970"/>
      <c r="N798" s="969"/>
      <c r="O798" s="967"/>
      <c r="P798" s="981" t="s">
        <v>632</v>
      </c>
      <c r="Q798" s="970"/>
      <c r="R798" s="969"/>
      <c r="S798" s="967"/>
      <c r="T798" s="981" t="s">
        <v>632</v>
      </c>
      <c r="U798" s="970"/>
      <c r="V798" s="969"/>
      <c r="W798" s="967"/>
      <c r="X798" s="981" t="s">
        <v>632</v>
      </c>
      <c r="Y798" s="970"/>
      <c r="Z798" s="1405" t="str">
        <f>IFERROR(VLOOKUP(C798, [6]條件!$A:$L, 3, 0), "")</f>
        <v/>
      </c>
      <c r="AA798" s="971" t="str">
        <f>IF(OR(L798={"改紡","檢修","了機","清車","FINAL","停機","SAMPLE","TEST","絲開發",""}), L798, IFERROR(IF(C798="", "", (SUM(J798, N798, R798, V798)/3 * AG798) * IF(AND(AF798="S", AS798="雙"), 0.5, 1)), ""))</f>
        <v>停機</v>
      </c>
      <c r="AB798" s="1406" t="str">
        <f t="shared" si="140"/>
        <v/>
      </c>
      <c r="AC798" s="971" t="str">
        <f>IF(OR(L798={"改紡","檢修","了機","清車","FINAL","停機","SAMPLE","TEST"}), "", IFERROR(IF(C798="", "", AVERAGE(L798:M798, P798:Q798, T798:U798, X798:Y798)/100), ""))</f>
        <v/>
      </c>
      <c r="AD798" s="971" t="str">
        <f t="shared" si="134"/>
        <v/>
      </c>
      <c r="AE798" s="971" t="str">
        <f t="shared" si="141"/>
        <v/>
      </c>
      <c r="AF798" s="972" t="str">
        <f t="shared" si="135"/>
        <v>A</v>
      </c>
      <c r="AG798" s="1407">
        <v>1</v>
      </c>
      <c r="AH798" s="1001" t="s">
        <v>640</v>
      </c>
      <c r="AI798" s="1001" t="s">
        <v>640</v>
      </c>
      <c r="AJ798" s="1441" t="s">
        <v>640</v>
      </c>
      <c r="AK798" s="1441" t="s">
        <v>640</v>
      </c>
      <c r="AL798" s="1409"/>
      <c r="AM798" s="1322"/>
      <c r="AN798" s="1322"/>
      <c r="AO798" s="1322"/>
      <c r="AP798" s="1322"/>
      <c r="AQ798" s="1322"/>
      <c r="AR798" s="973"/>
      <c r="AS798" s="965" t="str">
        <f t="shared" si="136"/>
        <v>單</v>
      </c>
      <c r="AT798" s="965" t="str">
        <f t="shared" si="137"/>
        <v>全</v>
      </c>
      <c r="AU798" s="965" t="str">
        <f t="shared" si="138"/>
        <v/>
      </c>
      <c r="AV798" s="965" t="str">
        <f t="shared" si="139"/>
        <v/>
      </c>
    </row>
    <row r="799" spans="1:48">
      <c r="A799" s="975">
        <f t="shared" ref="A799:A862" si="142">A798</f>
        <v>46163</v>
      </c>
      <c r="B799" s="976" t="s">
        <v>214</v>
      </c>
      <c r="C799" s="976" t="s">
        <v>16708</v>
      </c>
      <c r="D799" s="1410"/>
      <c r="E799" s="977" t="str">
        <f>IFERROR(VLOOKUP(C799, [6]條件!$A:$L, 5, 0), "")</f>
        <v>75/36SDR</v>
      </c>
      <c r="F799" s="978" t="str">
        <f>IFERROR(VLOOKUP(C799, [6]條件!$A:$L, 6, 0), "")</f>
        <v>FP81386R</v>
      </c>
      <c r="G799" s="1411">
        <f>IFERROR(VLOOKUP(C799, [6]條件!$A:$L, 7, 0), "")</f>
        <v>780</v>
      </c>
      <c r="H799" s="978" t="str">
        <f>IF(ISNA(VLOOKUP(C799,[6]條件!$A$1:$K$932,11,0)),"",(VLOOKUP(C799,[6]條件!$A$1:$K$932,11,0)))</f>
        <v>綠底白點</v>
      </c>
      <c r="I799" s="979">
        <f>IF(ISNA(VLOOKUP(C799,[6]條件!$A$1:$L$932,12,0)),"",(VLOOKUP(C799,[6]條件!$A$1:$L$932,12,0)))</f>
        <v>5</v>
      </c>
      <c r="J799" s="982"/>
      <c r="K799" s="980"/>
      <c r="L799" s="981" t="s">
        <v>127</v>
      </c>
      <c r="M799" s="983"/>
      <c r="N799" s="982"/>
      <c r="O799" s="980"/>
      <c r="P799" s="981" t="s">
        <v>127</v>
      </c>
      <c r="Q799" s="983"/>
      <c r="R799" s="982"/>
      <c r="S799" s="980"/>
      <c r="T799" s="981" t="s">
        <v>127</v>
      </c>
      <c r="U799" s="983"/>
      <c r="V799" s="982"/>
      <c r="W799" s="980"/>
      <c r="X799" s="981" t="s">
        <v>127</v>
      </c>
      <c r="Y799" s="983"/>
      <c r="Z799" s="1412">
        <f>IFERROR(VLOOKUP(C799, [6]條件!$A:$L, 3, 0), "")</f>
        <v>1.7777777777777777</v>
      </c>
      <c r="AA799" s="984" t="str">
        <f>IF(OR(L799={"改紡","檢修","了機","清車","FINAL","停機","SAMPLE","TEST","絲開發",""}), L799, IFERROR(IF(C799="", "", (SUM(J799, N799, R799, V799)/3 * AG799) * IF(AND(AF799="S", AS799="雙"), 0.5, 1)), ""))</f>
        <v>了機</v>
      </c>
      <c r="AB799" s="1413" t="str">
        <f t="shared" si="140"/>
        <v/>
      </c>
      <c r="AC799" s="984" t="str">
        <f>IF(OR(L799={"改紡","檢修","了機","清車","FINAL","停機","SAMPLE","TEST"}), "", IFERROR(IF(C799="", "", AVERAGE(L799:M799, P799:Q799, T799:U799, X799:Y799)/100), ""))</f>
        <v/>
      </c>
      <c r="AD799" s="984" t="str">
        <f t="shared" si="134"/>
        <v/>
      </c>
      <c r="AE799" s="984" t="str">
        <f t="shared" si="141"/>
        <v/>
      </c>
      <c r="AF799" s="985" t="str">
        <f t="shared" si="135"/>
        <v>A</v>
      </c>
      <c r="AG799" s="1414">
        <v>1</v>
      </c>
      <c r="AH799" s="1002" t="s">
        <v>16016</v>
      </c>
      <c r="AI799" s="1002" t="s">
        <v>16016</v>
      </c>
      <c r="AJ799" s="986" t="s">
        <v>15994</v>
      </c>
      <c r="AK799" s="986" t="s">
        <v>15994</v>
      </c>
      <c r="AL799" s="1415"/>
      <c r="AM799" s="1323"/>
      <c r="AN799" s="1323"/>
      <c r="AO799" s="1323"/>
      <c r="AP799" s="1323"/>
      <c r="AQ799" s="1323"/>
      <c r="AR799" s="987"/>
      <c r="AS799" s="978" t="str">
        <f t="shared" si="136"/>
        <v>單</v>
      </c>
      <c r="AT799" s="978" t="str">
        <f t="shared" si="137"/>
        <v>全</v>
      </c>
      <c r="AU799" s="978">
        <f t="shared" si="138"/>
        <v>75</v>
      </c>
      <c r="AV799" s="978" t="str">
        <f t="shared" si="139"/>
        <v/>
      </c>
    </row>
    <row r="800" spans="1:48">
      <c r="A800" s="975">
        <f t="shared" si="142"/>
        <v>46163</v>
      </c>
      <c r="B800" s="976" t="s">
        <v>215</v>
      </c>
      <c r="C800" s="976" t="s">
        <v>16746</v>
      </c>
      <c r="D800" s="1410" t="s">
        <v>633</v>
      </c>
      <c r="E800" s="977" t="str">
        <f>IFERROR(VLOOKUP(C800, [6]條件!$A:$L, 5, 0), "")</f>
        <v>75/24/2SDr</v>
      </c>
      <c r="F800" s="978" t="str">
        <f>IFERROR(VLOOKUP(C800, [6]條件!$A:$L, 6, 0), "")</f>
        <v>FP81391R×2</v>
      </c>
      <c r="G800" s="1411">
        <f>IFERROR(VLOOKUP(C800, [6]條件!$A:$L, 7, 0), "")</f>
        <v>700</v>
      </c>
      <c r="H800" s="978" t="str">
        <f>IF(ISNA(VLOOKUP(C800,[6]條件!$A$1:$K$932,11,0)),"",(VLOOKUP(C800,[6]條件!$A$1:$K$932,11,0)))</f>
        <v>紅底白點</v>
      </c>
      <c r="I800" s="979">
        <f>IF(ISNA(VLOOKUP(C800,[6]條件!$A$1:$L$932,12,0)),"",(VLOOKUP(C800,[6]條件!$A$1:$L$932,12,0)))</f>
        <v>5</v>
      </c>
      <c r="J800" s="982"/>
      <c r="K800" s="980"/>
      <c r="L800" s="981" t="s">
        <v>127</v>
      </c>
      <c r="M800" s="983" t="s">
        <v>16004</v>
      </c>
      <c r="N800" s="982"/>
      <c r="O800" s="980"/>
      <c r="P800" s="981" t="s">
        <v>632</v>
      </c>
      <c r="Q800" s="983" t="s">
        <v>127</v>
      </c>
      <c r="R800" s="982"/>
      <c r="S800" s="980"/>
      <c r="T800" s="981" t="s">
        <v>632</v>
      </c>
      <c r="U800" s="983" t="s">
        <v>127</v>
      </c>
      <c r="V800" s="982"/>
      <c r="W800" s="980"/>
      <c r="X800" s="981" t="s">
        <v>632</v>
      </c>
      <c r="Y800" s="983" t="s">
        <v>127</v>
      </c>
      <c r="Z800" s="1412">
        <f>IFERROR(VLOOKUP(C800, [6]條件!$A:$L, 3, 0), "")</f>
        <v>3.2653061224489797</v>
      </c>
      <c r="AA800" s="984" t="str">
        <f>IF(OR(L800={"改紡","檢修","了機","清車","FINAL","停機","SAMPLE","TEST","絲開發",""}), L800, IFERROR(IF(C800="", "", (SUM(J800, N800, R800, V800)/3 * AG800) * IF(AND(AF800="S", AS800="雙"), 0.5, 1)), ""))</f>
        <v>了機</v>
      </c>
      <c r="AB800" s="1413" t="str">
        <f t="shared" si="140"/>
        <v/>
      </c>
      <c r="AC800" s="984" t="str">
        <f>IF(OR(L800={"改紡","檢修","了機","清車","FINAL","停機","SAMPLE","TEST"}), "", IFERROR(IF(C800="", "", AVERAGE(L800:M800, P800:Q800, T800:U800, X800:Y800)/100), ""))</f>
        <v/>
      </c>
      <c r="AD800" s="984" t="str">
        <f t="shared" si="134"/>
        <v/>
      </c>
      <c r="AE800" s="984" t="str">
        <f t="shared" si="141"/>
        <v/>
      </c>
      <c r="AF800" s="985" t="str">
        <f t="shared" si="135"/>
        <v>A</v>
      </c>
      <c r="AG800" s="1414">
        <v>1</v>
      </c>
      <c r="AH800" s="1002" t="s">
        <v>16016</v>
      </c>
      <c r="AI800" s="1002" t="s">
        <v>16016</v>
      </c>
      <c r="AJ800" s="986" t="s">
        <v>15994</v>
      </c>
      <c r="AK800" s="986" t="s">
        <v>15994</v>
      </c>
      <c r="AL800" s="1415">
        <v>53</v>
      </c>
      <c r="AM800" s="1323">
        <v>46118</v>
      </c>
      <c r="AN800" s="1323">
        <v>46120</v>
      </c>
      <c r="AO800" s="1323"/>
      <c r="AP800" s="1323"/>
      <c r="AQ800" s="1323"/>
      <c r="AR800" s="987"/>
      <c r="AS800" s="978" t="str">
        <f t="shared" si="136"/>
        <v>雙</v>
      </c>
      <c r="AT800" s="978" t="str">
        <f t="shared" si="137"/>
        <v>半</v>
      </c>
      <c r="AU800" s="978">
        <f t="shared" si="138"/>
        <v>75</v>
      </c>
      <c r="AV800" s="978" t="str">
        <f t="shared" si="139"/>
        <v/>
      </c>
    </row>
    <row r="801" spans="1:48">
      <c r="A801" s="975">
        <f t="shared" si="142"/>
        <v>46163</v>
      </c>
      <c r="B801" s="976" t="s">
        <v>216</v>
      </c>
      <c r="C801" s="976" t="s">
        <v>632</v>
      </c>
      <c r="D801" s="1410"/>
      <c r="E801" s="977" t="str">
        <f>IFERROR(VLOOKUP(C801, [6]條件!$A:$L, 5, 0), "")</f>
        <v/>
      </c>
      <c r="F801" s="978" t="str">
        <f>IFERROR(VLOOKUP(C801, [6]條件!$A:$L, 6, 0), "")</f>
        <v/>
      </c>
      <c r="G801" s="1411" t="str">
        <f>IFERROR(VLOOKUP(C801, [6]條件!$A:$L, 7, 0), "")</f>
        <v/>
      </c>
      <c r="H801" s="978" t="str">
        <f>IF(ISNA(VLOOKUP(C801,[6]條件!$A$1:$K$932,11,0)),"",(VLOOKUP(C801,[6]條件!$A$1:$K$932,11,0)))</f>
        <v/>
      </c>
      <c r="I801" s="979" t="str">
        <f>IF(ISNA(VLOOKUP(C801,[6]條件!$A$1:$L$932,12,0)),"",(VLOOKUP(C801,[6]條件!$A$1:$L$932,12,0)))</f>
        <v/>
      </c>
      <c r="J801" s="982"/>
      <c r="K801" s="980"/>
      <c r="L801" s="981" t="s">
        <v>632</v>
      </c>
      <c r="M801" s="983"/>
      <c r="N801" s="982"/>
      <c r="O801" s="980"/>
      <c r="P801" s="981" t="s">
        <v>632</v>
      </c>
      <c r="Q801" s="983"/>
      <c r="R801" s="982"/>
      <c r="S801" s="980"/>
      <c r="T801" s="981" t="s">
        <v>632</v>
      </c>
      <c r="U801" s="983"/>
      <c r="V801" s="982"/>
      <c r="W801" s="980"/>
      <c r="X801" s="981" t="s">
        <v>632</v>
      </c>
      <c r="Y801" s="983"/>
      <c r="Z801" s="1412" t="str">
        <f>IFERROR(VLOOKUP(C801, [6]條件!$A:$L, 3, 0), "")</f>
        <v/>
      </c>
      <c r="AA801" s="984" t="str">
        <f>IF(OR(L801={"改紡","檢修","了機","清車","FINAL","停機","SAMPLE","TEST","絲開發",""}), L801, IFERROR(IF(C801="", "", (SUM(J801, N801, R801, V801)/3 * AG801) * IF(AND(AF801="S", AS801="雙"), 0.5, 1)), ""))</f>
        <v>停機</v>
      </c>
      <c r="AB801" s="1413" t="str">
        <f t="shared" si="140"/>
        <v/>
      </c>
      <c r="AC801" s="984" t="str">
        <f>IF(OR(L801={"改紡","檢修","了機","清車","FINAL","停機","SAMPLE","TEST"}), "", IFERROR(IF(C801="", "", AVERAGE(L801:M801, P801:Q801, T801:U801, X801:Y801)/100), ""))</f>
        <v/>
      </c>
      <c r="AD801" s="984" t="str">
        <f t="shared" si="134"/>
        <v/>
      </c>
      <c r="AE801" s="984" t="str">
        <f t="shared" si="141"/>
        <v/>
      </c>
      <c r="AF801" s="985" t="str">
        <f t="shared" si="135"/>
        <v>A</v>
      </c>
      <c r="AG801" s="1414">
        <v>2</v>
      </c>
      <c r="AH801" s="1002" t="s">
        <v>16011</v>
      </c>
      <c r="AI801" s="1002" t="s">
        <v>16011</v>
      </c>
      <c r="AJ801" s="986" t="s">
        <v>640</v>
      </c>
      <c r="AK801" s="986" t="s">
        <v>640</v>
      </c>
      <c r="AL801" s="1415"/>
      <c r="AM801" s="1323"/>
      <c r="AN801" s="1323"/>
      <c r="AO801" s="1323"/>
      <c r="AP801" s="1323"/>
      <c r="AQ801" s="1323"/>
      <c r="AR801" s="987"/>
      <c r="AS801" s="978" t="str">
        <f t="shared" si="136"/>
        <v>單</v>
      </c>
      <c r="AT801" s="978" t="str">
        <f t="shared" si="137"/>
        <v>半</v>
      </c>
      <c r="AU801" s="978" t="str">
        <f t="shared" si="138"/>
        <v/>
      </c>
      <c r="AV801" s="978" t="str">
        <f t="shared" si="139"/>
        <v/>
      </c>
    </row>
    <row r="802" spans="1:48">
      <c r="A802" s="975">
        <f t="shared" si="142"/>
        <v>46163</v>
      </c>
      <c r="B802" s="976" t="s">
        <v>217</v>
      </c>
      <c r="C802" s="976" t="s">
        <v>16197</v>
      </c>
      <c r="D802" s="1410"/>
      <c r="E802" s="977" t="str">
        <f>IFERROR(VLOOKUP(C802, [6]條件!$A:$L, 5, 0), "")</f>
        <v>75/36HC</v>
      </c>
      <c r="F802" s="978" t="str">
        <f>IFERROR(VLOOKUP(C802, [6]條件!$A:$L, 6, 0), "")</f>
        <v>FP81857R</v>
      </c>
      <c r="G802" s="1411">
        <f>IFERROR(VLOOKUP(C802, [6]條件!$A:$L, 7, 0), "")</f>
        <v>600</v>
      </c>
      <c r="H802" s="978" t="str">
        <f>IF(ISNA(VLOOKUP(C802,[6]條件!$A$1:$K$932,11,0)),"",(VLOOKUP(C802,[6]條件!$A$1:$K$932,11,0)))</f>
        <v>白底綠方塊</v>
      </c>
      <c r="I802" s="979">
        <f>IF(ISNA(VLOOKUP(C802,[6]條件!$A$1:$L$932,12,0)),"",(VLOOKUP(C802,[6]條件!$A$1:$L$932,12,0)))</f>
        <v>4</v>
      </c>
      <c r="J802" s="982"/>
      <c r="K802" s="980"/>
      <c r="L802" s="981" t="s">
        <v>127</v>
      </c>
      <c r="M802" s="983" t="s">
        <v>16004</v>
      </c>
      <c r="N802" s="982"/>
      <c r="O802" s="980"/>
      <c r="P802" s="981" t="s">
        <v>127</v>
      </c>
      <c r="Q802" s="983" t="s">
        <v>632</v>
      </c>
      <c r="R802" s="982"/>
      <c r="S802" s="980"/>
      <c r="T802" s="981" t="s">
        <v>127</v>
      </c>
      <c r="U802" s="983" t="s">
        <v>632</v>
      </c>
      <c r="V802" s="982"/>
      <c r="W802" s="980"/>
      <c r="X802" s="981" t="s">
        <v>127</v>
      </c>
      <c r="Y802" s="983" t="s">
        <v>632</v>
      </c>
      <c r="Z802" s="1412">
        <f>IFERROR(VLOOKUP(C802, [6]條件!$A:$L, 3, 0), "")</f>
        <v>1.7496962332928312</v>
      </c>
      <c r="AA802" s="984" t="str">
        <f>IF(OR(L802={"改紡","檢修","了機","清車","FINAL","停機","SAMPLE","TEST","絲開發",""}), L802, IFERROR(IF(C802="", "", (SUM(J802, N802, R802, V802)/3 * AG802) * IF(AND(AF802="S", AS802="雙"), 0.5, 1)), ""))</f>
        <v>了機</v>
      </c>
      <c r="AB802" s="1413" t="str">
        <f t="shared" si="140"/>
        <v/>
      </c>
      <c r="AC802" s="984" t="str">
        <f>IF(OR(L802={"改紡","檢修","了機","清車","FINAL","停機","SAMPLE","TEST"}), "", IFERROR(IF(C802="", "", AVERAGE(L802:M802, P802:Q802, T802:U802, X802:Y802)/100), ""))</f>
        <v/>
      </c>
      <c r="AD802" s="984" t="str">
        <f t="shared" si="134"/>
        <v/>
      </c>
      <c r="AE802" s="984" t="str">
        <f t="shared" si="141"/>
        <v/>
      </c>
      <c r="AF802" s="985" t="str">
        <f t="shared" si="135"/>
        <v>A</v>
      </c>
      <c r="AG802" s="1414">
        <v>1</v>
      </c>
      <c r="AH802" s="1002" t="s">
        <v>16016</v>
      </c>
      <c r="AI802" s="1002" t="s">
        <v>16016</v>
      </c>
      <c r="AJ802" s="986" t="s">
        <v>15994</v>
      </c>
      <c r="AK802" s="986" t="s">
        <v>15994</v>
      </c>
      <c r="AL802" s="1415">
        <v>54</v>
      </c>
      <c r="AM802" s="1323">
        <v>45937</v>
      </c>
      <c r="AN802" s="1323">
        <v>45938</v>
      </c>
      <c r="AO802" s="1323"/>
      <c r="AP802" s="1323"/>
      <c r="AQ802" s="1323"/>
      <c r="AR802" s="987"/>
      <c r="AS802" s="978" t="str">
        <f t="shared" si="136"/>
        <v>單</v>
      </c>
      <c r="AT802" s="978" t="str">
        <f t="shared" si="137"/>
        <v>全</v>
      </c>
      <c r="AU802" s="978">
        <f t="shared" si="138"/>
        <v>75</v>
      </c>
      <c r="AV802" s="978" t="str">
        <f t="shared" si="139"/>
        <v/>
      </c>
    </row>
    <row r="803" spans="1:48">
      <c r="A803" s="975">
        <f t="shared" si="142"/>
        <v>46163</v>
      </c>
      <c r="B803" s="976" t="s">
        <v>218</v>
      </c>
      <c r="C803" s="976" t="s">
        <v>632</v>
      </c>
      <c r="D803" s="1410"/>
      <c r="E803" s="977" t="str">
        <f>IFERROR(VLOOKUP(C803, [6]條件!$A:$L, 5, 0), "")</f>
        <v/>
      </c>
      <c r="F803" s="978" t="str">
        <f>IFERROR(VLOOKUP(C803, [6]條件!$A:$L, 6, 0), "")</f>
        <v/>
      </c>
      <c r="G803" s="1411" t="str">
        <f>IFERROR(VLOOKUP(C803, [6]條件!$A:$L, 7, 0), "")</f>
        <v/>
      </c>
      <c r="H803" s="978" t="str">
        <f>IF(ISNA(VLOOKUP(C803,[6]條件!$A$1:$K$932,11,0)),"",(VLOOKUP(C803,[6]條件!$A$1:$K$932,11,0)))</f>
        <v/>
      </c>
      <c r="I803" s="979" t="str">
        <f>IF(ISNA(VLOOKUP(C803,[6]條件!$A$1:$L$932,12,0)),"",(VLOOKUP(C803,[6]條件!$A$1:$L$932,12,0)))</f>
        <v/>
      </c>
      <c r="J803" s="982"/>
      <c r="K803" s="980"/>
      <c r="L803" s="981" t="s">
        <v>632</v>
      </c>
      <c r="M803" s="983"/>
      <c r="N803" s="982"/>
      <c r="O803" s="980"/>
      <c r="P803" s="981" t="s">
        <v>632</v>
      </c>
      <c r="Q803" s="983"/>
      <c r="R803" s="982"/>
      <c r="S803" s="980"/>
      <c r="T803" s="981" t="s">
        <v>632</v>
      </c>
      <c r="U803" s="983"/>
      <c r="V803" s="982"/>
      <c r="W803" s="980"/>
      <c r="X803" s="981" t="s">
        <v>632</v>
      </c>
      <c r="Y803" s="983"/>
      <c r="Z803" s="1412" t="str">
        <f>IFERROR(VLOOKUP(C803, [6]條件!$A:$L, 3, 0), "")</f>
        <v/>
      </c>
      <c r="AA803" s="984" t="str">
        <f>IF(OR(L803={"改紡","檢修","了機","清車","FINAL","停機","SAMPLE","TEST","絲開發",""}), L803, IFERROR(IF(C803="", "", (SUM(J803, N803, R803, V803)/3 * AG803) * IF(AND(AF803="S", AS803="雙"), 0.5, 1)), ""))</f>
        <v>停機</v>
      </c>
      <c r="AB803" s="1413" t="str">
        <f t="shared" si="140"/>
        <v/>
      </c>
      <c r="AC803" s="984" t="str">
        <f>IF(OR(L803={"改紡","檢修","了機","清車","FINAL","停機","SAMPLE","TEST"}), "", IFERROR(IF(C803="", "", AVERAGE(L803:M803, P803:Q803, T803:U803, X803:Y803)/100), ""))</f>
        <v/>
      </c>
      <c r="AD803" s="984" t="str">
        <f t="shared" si="134"/>
        <v/>
      </c>
      <c r="AE803" s="984" t="str">
        <f t="shared" si="141"/>
        <v/>
      </c>
      <c r="AF803" s="985" t="str">
        <f t="shared" si="135"/>
        <v>A</v>
      </c>
      <c r="AG803" s="1414">
        <v>1</v>
      </c>
      <c r="AH803" s="1002" t="s">
        <v>640</v>
      </c>
      <c r="AI803" s="1002" t="s">
        <v>640</v>
      </c>
      <c r="AJ803" s="986" t="s">
        <v>640</v>
      </c>
      <c r="AK803" s="986" t="s">
        <v>640</v>
      </c>
      <c r="AL803" s="1415"/>
      <c r="AM803" s="1323"/>
      <c r="AN803" s="1323"/>
      <c r="AO803" s="1323"/>
      <c r="AP803" s="1323"/>
      <c r="AQ803" s="1323"/>
      <c r="AR803" s="987"/>
      <c r="AS803" s="978" t="str">
        <f t="shared" si="136"/>
        <v>單</v>
      </c>
      <c r="AT803" s="978" t="str">
        <f t="shared" si="137"/>
        <v>全</v>
      </c>
      <c r="AU803" s="978" t="str">
        <f t="shared" si="138"/>
        <v/>
      </c>
      <c r="AV803" s="978" t="str">
        <f t="shared" si="139"/>
        <v/>
      </c>
    </row>
    <row r="804" spans="1:48">
      <c r="A804" s="975">
        <f t="shared" si="142"/>
        <v>46163</v>
      </c>
      <c r="B804" s="976" t="s">
        <v>219</v>
      </c>
      <c r="C804" s="976" t="s">
        <v>16745</v>
      </c>
      <c r="D804" s="1410" t="s">
        <v>16748</v>
      </c>
      <c r="E804" s="977" t="str">
        <f>IFERROR(VLOOKUP(C804, [6]條件!$A:$L, 5, 0), "")</f>
        <v>50/72BSD3</v>
      </c>
      <c r="F804" s="978" t="str">
        <f>IFERROR(VLOOKUP(C804, [6]條件!$A:$L, 6, 0), "")</f>
        <v>FP80141</v>
      </c>
      <c r="G804" s="1411">
        <f>IFERROR(VLOOKUP(C804, [6]條件!$A:$L, 7, 0), "")</f>
        <v>630</v>
      </c>
      <c r="H804" s="978" t="str">
        <f>IF(ISNA(VLOOKUP(C804,[6]條件!$A$1:$K$932,11,0)),"",(VLOOKUP(C804,[6]條件!$A$1:$K$932,11,0)))</f>
        <v>洋綠色</v>
      </c>
      <c r="I804" s="979">
        <f>IF(ISNA(VLOOKUP(C804,[6]條件!$A$1:$L$932,12,0)),"",(VLOOKUP(C804,[6]條件!$A$1:$L$932,12,0)))</f>
        <v>2</v>
      </c>
      <c r="J804" s="982">
        <v>16</v>
      </c>
      <c r="K804" s="980">
        <v>0</v>
      </c>
      <c r="L804" s="981">
        <v>9233</v>
      </c>
      <c r="M804" s="983">
        <v>9797</v>
      </c>
      <c r="N804" s="982">
        <v>7</v>
      </c>
      <c r="O804" s="980">
        <v>0</v>
      </c>
      <c r="P804" s="981">
        <v>9426</v>
      </c>
      <c r="Q804" s="983">
        <v>9835</v>
      </c>
      <c r="R804" s="982">
        <v>6</v>
      </c>
      <c r="S804" s="980">
        <v>4</v>
      </c>
      <c r="T804" s="981">
        <v>9451</v>
      </c>
      <c r="U804" s="983">
        <v>9860</v>
      </c>
      <c r="V804" s="982">
        <v>14</v>
      </c>
      <c r="W804" s="980">
        <v>5</v>
      </c>
      <c r="X804" s="981">
        <v>9903</v>
      </c>
      <c r="Y804" s="983">
        <v>9410</v>
      </c>
      <c r="Z804" s="1412">
        <f>IFERROR(VLOOKUP(C804, [6]條件!$A:$L, 3, 0), "")</f>
        <v>2.4615384615384617</v>
      </c>
      <c r="AA804" s="984">
        <f>IF(OR(L804={"改紡","檢修","了機","清車","FINAL","停機","SAMPLE","TEST","絲開發",""}), L804, IFERROR(IF(C804="", "", (SUM(J804, N804, R804, V804)/3 * AG804) * IF(AND(AF804="S", AS804="雙"), 0.5, 1)), ""))</f>
        <v>14.333333333333334</v>
      </c>
      <c r="AB804" s="1413">
        <f t="shared" si="140"/>
        <v>0.982421875</v>
      </c>
      <c r="AC804" s="984">
        <f>IF(OR(L804={"改紡","檢修","了機","清車","FINAL","停機","SAMPLE","TEST"}), "", IFERROR(IF(C804="", "", AVERAGE(L804:M804, P804:Q804, T804:U804, X804:Y804)/100), ""))</f>
        <v>96.143749999999997</v>
      </c>
      <c r="AD804" s="984">
        <f t="shared" si="134"/>
        <v>1.7916666666666667</v>
      </c>
      <c r="AE804" s="984">
        <f t="shared" si="141"/>
        <v>1.4166666666666667</v>
      </c>
      <c r="AF804" s="985" t="str">
        <f t="shared" si="135"/>
        <v>A</v>
      </c>
      <c r="AG804" s="1414">
        <v>1</v>
      </c>
      <c r="AH804" s="1002" t="s">
        <v>16021</v>
      </c>
      <c r="AI804" s="1002" t="s">
        <v>16021</v>
      </c>
      <c r="AJ804" s="986" t="s">
        <v>16005</v>
      </c>
      <c r="AK804" s="986" t="s">
        <v>16006</v>
      </c>
      <c r="AL804" s="1415">
        <v>57</v>
      </c>
      <c r="AM804" s="1324">
        <v>46090</v>
      </c>
      <c r="AN804" s="1323">
        <v>46091</v>
      </c>
      <c r="AO804" s="1323"/>
      <c r="AP804" s="1323"/>
      <c r="AQ804" s="1323"/>
      <c r="AR804" s="987"/>
      <c r="AS804" s="978" t="str">
        <f t="shared" si="136"/>
        <v>單</v>
      </c>
      <c r="AT804" s="978" t="str">
        <f t="shared" si="137"/>
        <v>全</v>
      </c>
      <c r="AU804" s="978">
        <f t="shared" si="138"/>
        <v>50</v>
      </c>
      <c r="AV804" s="978">
        <f t="shared" si="139"/>
        <v>1.0466593200000001</v>
      </c>
    </row>
    <row r="805" spans="1:48">
      <c r="A805" s="975">
        <f t="shared" si="142"/>
        <v>46163</v>
      </c>
      <c r="B805" s="976" t="s">
        <v>220</v>
      </c>
      <c r="C805" s="976" t="s">
        <v>632</v>
      </c>
      <c r="D805" s="1410"/>
      <c r="E805" s="977" t="str">
        <f>IFERROR(VLOOKUP(C805, [6]條件!$A:$L, 5, 0), "")</f>
        <v/>
      </c>
      <c r="F805" s="978" t="str">
        <f>IFERROR(VLOOKUP(C805, [6]條件!$A:$L, 6, 0), "")</f>
        <v/>
      </c>
      <c r="G805" s="1411" t="str">
        <f>IFERROR(VLOOKUP(C805, [6]條件!$A:$L, 7, 0), "")</f>
        <v/>
      </c>
      <c r="H805" s="978" t="str">
        <f>IF(ISNA(VLOOKUP(C805,[6]條件!$A$1:$K$932,11,0)),"",(VLOOKUP(C805,[6]條件!$A$1:$K$932,11,0)))</f>
        <v/>
      </c>
      <c r="I805" s="979" t="str">
        <f>IF(ISNA(VLOOKUP(C805,[6]條件!$A$1:$L$932,12,0)),"",(VLOOKUP(C805,[6]條件!$A$1:$L$932,12,0)))</f>
        <v/>
      </c>
      <c r="J805" s="982"/>
      <c r="K805" s="980"/>
      <c r="L805" s="981" t="s">
        <v>632</v>
      </c>
      <c r="M805" s="983"/>
      <c r="N805" s="982"/>
      <c r="O805" s="980"/>
      <c r="P805" s="981" t="s">
        <v>632</v>
      </c>
      <c r="Q805" s="983"/>
      <c r="R805" s="982"/>
      <c r="S805" s="980"/>
      <c r="T805" s="981" t="s">
        <v>632</v>
      </c>
      <c r="U805" s="983"/>
      <c r="V805" s="982"/>
      <c r="W805" s="980"/>
      <c r="X805" s="981" t="s">
        <v>632</v>
      </c>
      <c r="Y805" s="983"/>
      <c r="Z805" s="1412" t="str">
        <f>IFERROR(VLOOKUP(C805, [6]條件!$A:$L, 3, 0), "")</f>
        <v/>
      </c>
      <c r="AA805" s="984" t="str">
        <f>IF(OR(L805={"改紡","檢修","了機","清車","FINAL","停機","SAMPLE","TEST","絲開發",""}), L805, IFERROR(IF(C805="", "", (SUM(J805, N805, R805, V805)/3 * AG805) * IF(AND(AF805="S", AS805="雙"), 0.5, 1)), ""))</f>
        <v>停機</v>
      </c>
      <c r="AB805" s="1413" t="str">
        <f t="shared" si="140"/>
        <v/>
      </c>
      <c r="AC805" s="984" t="str">
        <f>IF(OR(L805={"改紡","檢修","了機","清車","FINAL","停機","SAMPLE","TEST"}), "", IFERROR(IF(C805="", "", AVERAGE(L805:M805, P805:Q805, T805:U805, X805:Y805)/100), ""))</f>
        <v/>
      </c>
      <c r="AD805" s="984" t="str">
        <f t="shared" si="134"/>
        <v/>
      </c>
      <c r="AE805" s="984" t="str">
        <f t="shared" si="141"/>
        <v/>
      </c>
      <c r="AF805" s="985" t="str">
        <f t="shared" si="135"/>
        <v>A</v>
      </c>
      <c r="AG805" s="1414">
        <v>1</v>
      </c>
      <c r="AH805" s="1002" t="s">
        <v>640</v>
      </c>
      <c r="AI805" s="1002" t="s">
        <v>640</v>
      </c>
      <c r="AJ805" s="986" t="s">
        <v>640</v>
      </c>
      <c r="AK805" s="986" t="s">
        <v>640</v>
      </c>
      <c r="AL805" s="1415"/>
      <c r="AM805" s="1323"/>
      <c r="AN805" s="1323"/>
      <c r="AO805" s="1323"/>
      <c r="AP805" s="1323"/>
      <c r="AQ805" s="1323"/>
      <c r="AR805" s="987"/>
      <c r="AS805" s="978" t="str">
        <f t="shared" si="136"/>
        <v>單</v>
      </c>
      <c r="AT805" s="978" t="str">
        <f t="shared" si="137"/>
        <v>全</v>
      </c>
      <c r="AU805" s="978" t="str">
        <f t="shared" si="138"/>
        <v/>
      </c>
      <c r="AV805" s="978" t="str">
        <f t="shared" si="139"/>
        <v/>
      </c>
    </row>
    <row r="806" spans="1:48">
      <c r="A806" s="975">
        <f t="shared" si="142"/>
        <v>46163</v>
      </c>
      <c r="B806" s="976" t="s">
        <v>221</v>
      </c>
      <c r="C806" s="976" t="s">
        <v>16763</v>
      </c>
      <c r="D806" s="1410"/>
      <c r="E806" s="977" t="str">
        <f>IFERROR(VLOOKUP(C806, [6]條件!$A:$L, 5, 0), "")</f>
        <v>150/48CDR</v>
      </c>
      <c r="F806" s="978" t="str">
        <f>IFERROR(VLOOKUP(C806, [6]條件!$A:$L, 6, 0), "")</f>
        <v>FP82781</v>
      </c>
      <c r="G806" s="1411">
        <f>IFERROR(VLOOKUP(C806, [6]條件!$A:$L, 7, 0), "")</f>
        <v>600</v>
      </c>
      <c r="H806" s="978" t="str">
        <f>IF(ISNA(VLOOKUP(C806,[6]條件!$A$1:$K$932,11,0)),"",(VLOOKUP(C806,[6]條件!$A$1:$K$932,11,0)))</f>
        <v>綠藍雙色</v>
      </c>
      <c r="I806" s="979">
        <f>IF(ISNA(VLOOKUP(C806,[6]條件!$A$1:$L$932,12,0)),"",(VLOOKUP(C806,[6]條件!$A$1:$L$932,12,0)))</f>
        <v>5</v>
      </c>
      <c r="J806" s="982">
        <v>8</v>
      </c>
      <c r="K806" s="980">
        <v>2</v>
      </c>
      <c r="L806" s="981">
        <v>8597</v>
      </c>
      <c r="M806" s="983">
        <v>7770</v>
      </c>
      <c r="N806" s="982">
        <v>4</v>
      </c>
      <c r="O806" s="980">
        <v>1</v>
      </c>
      <c r="P806" s="981">
        <v>8578</v>
      </c>
      <c r="Q806" s="983">
        <v>7803</v>
      </c>
      <c r="R806" s="982">
        <v>4</v>
      </c>
      <c r="S806" s="980">
        <v>0</v>
      </c>
      <c r="T806" s="981">
        <v>8597</v>
      </c>
      <c r="U806" s="983">
        <v>7785</v>
      </c>
      <c r="V806" s="982">
        <v>7</v>
      </c>
      <c r="W806" s="980">
        <v>0</v>
      </c>
      <c r="X806" s="981">
        <v>8511</v>
      </c>
      <c r="Y806" s="983">
        <v>7850</v>
      </c>
      <c r="Z806" s="1412">
        <f>IFERROR(VLOOKUP(C806, [6]條件!$A:$L, 3, 0), "")</f>
        <v>2.8685258964143427</v>
      </c>
      <c r="AA806" s="984">
        <f>IF(OR(L806={"改紡","檢修","了機","清車","FINAL","停機","SAMPLE","TEST","絲開發"}), L806, IFERROR(IF(C806="", "", (SUM(J806, N806, R806, V806)/3 * AG806) * IF(AND(AF806="S", AS806="雙"), 0.5, 1)), ""))</f>
        <v>7.666666666666667</v>
      </c>
      <c r="AB806" s="1413">
        <f t="shared" si="140"/>
        <v>0.99497195512820513</v>
      </c>
      <c r="AC806" s="984">
        <f>IF(OR(L806={"改紡","檢修","了機","清車","FINAL","停機","SAMPLE","TEST"}), "", IFERROR(IF(C806="", "", AVERAGE(L806:M806, P806:Q806, T806:U806, X806:Y806)/100), ""))</f>
        <v>81.863749999999996</v>
      </c>
      <c r="AD806" s="984">
        <f t="shared" si="134"/>
        <v>0.95833333333333337</v>
      </c>
      <c r="AE806" s="984">
        <f t="shared" si="141"/>
        <v>0.83333333333333337</v>
      </c>
      <c r="AF806" s="985" t="str">
        <f t="shared" si="135"/>
        <v>A</v>
      </c>
      <c r="AG806" s="1414">
        <v>1</v>
      </c>
      <c r="AH806" s="1002" t="s">
        <v>16016</v>
      </c>
      <c r="AI806" s="1002" t="s">
        <v>16016</v>
      </c>
      <c r="AJ806" s="986" t="s">
        <v>15994</v>
      </c>
      <c r="AK806" s="986" t="s">
        <v>15994</v>
      </c>
      <c r="AL806" s="1415">
        <v>54</v>
      </c>
      <c r="AM806" s="1323">
        <v>46160</v>
      </c>
      <c r="AN806" s="1323">
        <v>46161</v>
      </c>
      <c r="AO806" s="1323">
        <v>46162</v>
      </c>
      <c r="AP806" s="1323"/>
      <c r="AQ806" s="1323"/>
      <c r="AR806" s="987"/>
      <c r="AS806" s="978" t="str">
        <f t="shared" si="136"/>
        <v>單</v>
      </c>
      <c r="AT806" s="978" t="str">
        <f t="shared" si="137"/>
        <v>全</v>
      </c>
      <c r="AU806" s="978">
        <f t="shared" si="138"/>
        <v>150</v>
      </c>
      <c r="AV806" s="978">
        <f t="shared" si="139"/>
        <v>2.5462900800000003</v>
      </c>
    </row>
    <row r="807" spans="1:48">
      <c r="A807" s="975">
        <f t="shared" si="142"/>
        <v>46163</v>
      </c>
      <c r="B807" s="976" t="s">
        <v>222</v>
      </c>
      <c r="C807" s="976" t="s">
        <v>632</v>
      </c>
      <c r="D807" s="1410"/>
      <c r="E807" s="977" t="str">
        <f>IFERROR(VLOOKUP(C807, [6]條件!$A:$L, 5, 0), "")</f>
        <v/>
      </c>
      <c r="F807" s="978" t="str">
        <f>IFERROR(VLOOKUP(C807, [6]條件!$A:$L, 6, 0), "")</f>
        <v/>
      </c>
      <c r="G807" s="1411" t="str">
        <f>IFERROR(VLOOKUP(C807, [6]條件!$A:$L, 7, 0), "")</f>
        <v/>
      </c>
      <c r="H807" s="978" t="str">
        <f>IF(ISNA(VLOOKUP(C807,[6]條件!$A$1:$K$932,11,0)),"",(VLOOKUP(C807,[6]條件!$A$1:$K$932,11,0)))</f>
        <v/>
      </c>
      <c r="I807" s="979" t="str">
        <f>IF(ISNA(VLOOKUP(C807,[6]條件!$A$1:$L$932,12,0)),"",(VLOOKUP(C807,[6]條件!$A$1:$L$932,12,0)))</f>
        <v/>
      </c>
      <c r="J807" s="982"/>
      <c r="K807" s="980"/>
      <c r="L807" s="981" t="s">
        <v>632</v>
      </c>
      <c r="M807" s="983"/>
      <c r="N807" s="982"/>
      <c r="O807" s="980"/>
      <c r="P807" s="981" t="s">
        <v>632</v>
      </c>
      <c r="Q807" s="983"/>
      <c r="R807" s="982"/>
      <c r="S807" s="980"/>
      <c r="T807" s="981" t="s">
        <v>632</v>
      </c>
      <c r="U807" s="983"/>
      <c r="V807" s="982"/>
      <c r="W807" s="980"/>
      <c r="X807" s="981" t="s">
        <v>632</v>
      </c>
      <c r="Y807" s="983"/>
      <c r="Z807" s="1412" t="str">
        <f>IFERROR(VLOOKUP(C807, [6]條件!$A:$L, 3, 0), "")</f>
        <v/>
      </c>
      <c r="AA807" s="984" t="str">
        <f>IF(OR(L807={"改紡","檢修","了機","清車","FINAL","停機","SAMPLE","TEST","絲開發"}), L807, IFERROR(IF(C807="", "", (SUM(J807, N807, R807, V807)/3 * AG807) * IF(AND(AF807="S", AS807="雙"), 0.5, 1)), ""))</f>
        <v>停機</v>
      </c>
      <c r="AB807" s="1413" t="str">
        <f t="shared" si="140"/>
        <v/>
      </c>
      <c r="AC807" s="984" t="str">
        <f>IF(OR(L807={"改紡","檢修","了機","清車","FINAL","停機","SAMPLE","TEST"}), "", IFERROR(IF(C807="", "", AVERAGE(L807:M807, P807:Q807, T807:U807, X807:Y807)/100), ""))</f>
        <v/>
      </c>
      <c r="AD807" s="984" t="str">
        <f t="shared" si="134"/>
        <v/>
      </c>
      <c r="AE807" s="984" t="str">
        <f t="shared" si="141"/>
        <v/>
      </c>
      <c r="AF807" s="985" t="str">
        <f t="shared" si="135"/>
        <v>A</v>
      </c>
      <c r="AG807" s="1414">
        <v>1</v>
      </c>
      <c r="AH807" s="1002" t="s">
        <v>640</v>
      </c>
      <c r="AI807" s="1002" t="s">
        <v>640</v>
      </c>
      <c r="AJ807" s="986" t="s">
        <v>640</v>
      </c>
      <c r="AK807" s="986" t="s">
        <v>640</v>
      </c>
      <c r="AL807" s="1415"/>
      <c r="AM807" s="1323"/>
      <c r="AN807" s="1323"/>
      <c r="AO807" s="1323"/>
      <c r="AP807" s="1323"/>
      <c r="AQ807" s="1323"/>
      <c r="AR807" s="987"/>
      <c r="AS807" s="978" t="str">
        <f t="shared" si="136"/>
        <v>單</v>
      </c>
      <c r="AT807" s="978" t="str">
        <f t="shared" si="137"/>
        <v>全</v>
      </c>
      <c r="AU807" s="978" t="str">
        <f t="shared" si="138"/>
        <v/>
      </c>
      <c r="AV807" s="978" t="str">
        <f t="shared" si="139"/>
        <v/>
      </c>
    </row>
    <row r="808" spans="1:48">
      <c r="A808" s="975">
        <f t="shared" si="142"/>
        <v>46163</v>
      </c>
      <c r="B808" s="976" t="s">
        <v>223</v>
      </c>
      <c r="C808" s="976" t="s">
        <v>632</v>
      </c>
      <c r="D808" s="1410"/>
      <c r="E808" s="977" t="str">
        <f>IFERROR(VLOOKUP(C808, [6]條件!$A:$L, 5, 0), "")</f>
        <v/>
      </c>
      <c r="F808" s="978" t="str">
        <f>IFERROR(VLOOKUP(C808, [6]條件!$A:$L, 6, 0), "")</f>
        <v/>
      </c>
      <c r="G808" s="1411" t="str">
        <f>IFERROR(VLOOKUP(C808, [6]條件!$A:$L, 7, 0), "")</f>
        <v/>
      </c>
      <c r="H808" s="978" t="str">
        <f>IF(ISNA(VLOOKUP(C808,[6]條件!$A$1:$K$932,11,0)),"",(VLOOKUP(C808,[6]條件!$A$1:$K$932,11,0)))</f>
        <v/>
      </c>
      <c r="I808" s="979" t="str">
        <f>IF(ISNA(VLOOKUP(C808,[6]條件!$A$1:$L$932,12,0)),"",(VLOOKUP(C808,[6]條件!$A$1:$L$932,12,0)))</f>
        <v/>
      </c>
      <c r="J808" s="982"/>
      <c r="K808" s="980"/>
      <c r="L808" s="981" t="s">
        <v>632</v>
      </c>
      <c r="M808" s="983"/>
      <c r="N808" s="982"/>
      <c r="O808" s="980"/>
      <c r="P808" s="981" t="s">
        <v>632</v>
      </c>
      <c r="Q808" s="983"/>
      <c r="R808" s="982"/>
      <c r="S808" s="980"/>
      <c r="T808" s="981" t="s">
        <v>632</v>
      </c>
      <c r="U808" s="983"/>
      <c r="V808" s="982"/>
      <c r="W808" s="980"/>
      <c r="X808" s="981" t="s">
        <v>632</v>
      </c>
      <c r="Y808" s="983"/>
      <c r="Z808" s="1412" t="str">
        <f>IFERROR(VLOOKUP(C808, [6]條件!$A:$L, 3, 0), "")</f>
        <v/>
      </c>
      <c r="AA808" s="984" t="str">
        <f>IF(OR(L808={"改紡","檢修","了機","清車","FINAL","停機","SAMPLE","TEST","絲開發"}), L808, IFERROR(IF(C808="", "", (SUM(J808, N808, R808, V808)/3 * AG808) * IF(AND(AF808="S", AS808="雙"), 0.5, 1)), ""))</f>
        <v>停機</v>
      </c>
      <c r="AB808" s="1413" t="str">
        <f t="shared" si="140"/>
        <v/>
      </c>
      <c r="AC808" s="984" t="str">
        <f>IF(OR(L808={"改紡","檢修","了機","清車","FINAL","停機","SAMPLE","TEST"}), "", IFERROR(IF(C808="", "", AVERAGE(L808:M808, P808:Q808, T808:U808, X808:Y808)/100), ""))</f>
        <v/>
      </c>
      <c r="AD808" s="984" t="str">
        <f t="shared" si="134"/>
        <v/>
      </c>
      <c r="AE808" s="984" t="str">
        <f t="shared" si="141"/>
        <v/>
      </c>
      <c r="AF808" s="985" t="str">
        <f t="shared" si="135"/>
        <v>A</v>
      </c>
      <c r="AG808" s="1414">
        <v>1</v>
      </c>
      <c r="AH808" s="1002" t="s">
        <v>640</v>
      </c>
      <c r="AI808" s="1002" t="s">
        <v>640</v>
      </c>
      <c r="AJ808" s="986" t="s">
        <v>640</v>
      </c>
      <c r="AK808" s="986" t="s">
        <v>640</v>
      </c>
      <c r="AL808" s="1415"/>
      <c r="AM808" s="1324"/>
      <c r="AN808" s="1323"/>
      <c r="AO808" s="1323"/>
      <c r="AP808" s="1323"/>
      <c r="AQ808" s="1323"/>
      <c r="AR808" s="987"/>
      <c r="AS808" s="978" t="str">
        <f t="shared" si="136"/>
        <v>單</v>
      </c>
      <c r="AT808" s="978" t="str">
        <f t="shared" si="137"/>
        <v>全</v>
      </c>
      <c r="AU808" s="978" t="str">
        <f t="shared" si="138"/>
        <v/>
      </c>
      <c r="AV808" s="978" t="str">
        <f t="shared" si="139"/>
        <v/>
      </c>
    </row>
    <row r="809" spans="1:48">
      <c r="A809" s="975">
        <f t="shared" si="142"/>
        <v>46163</v>
      </c>
      <c r="B809" s="976" t="s">
        <v>224</v>
      </c>
      <c r="C809" s="976" t="s">
        <v>16734</v>
      </c>
      <c r="D809" s="1410" t="s">
        <v>633</v>
      </c>
      <c r="E809" s="977" t="str">
        <f>IFERROR(VLOOKUP(C809, [6]條件!$A:$L, 5, 0), "")</f>
        <v>75/24/2SDr</v>
      </c>
      <c r="F809" s="978" t="str">
        <f>IFERROR(VLOOKUP(C809, [6]條件!$A:$L, 6, 0), "")</f>
        <v>FP81382R×2</v>
      </c>
      <c r="G809" s="1411">
        <f>IFERROR(VLOOKUP(C809, [6]條件!$A:$L, 7, 0), "")</f>
        <v>700</v>
      </c>
      <c r="H809" s="978" t="str">
        <f>IF(ISNA(VLOOKUP(C809,[6]條件!$A$1:$K$932,11,0)),"",(VLOOKUP(C809,[6]條件!$A$1:$K$932,11,0)))</f>
        <v>白底紫三角</v>
      </c>
      <c r="I809" s="979">
        <f>IF(ISNA(VLOOKUP(C809,[6]條件!$A$1:$L$932,12,0)),"",(VLOOKUP(C809,[6]條件!$A$1:$L$932,12,0)))</f>
        <v>5</v>
      </c>
      <c r="J809" s="982"/>
      <c r="K809" s="980"/>
      <c r="L809" s="981" t="s">
        <v>127</v>
      </c>
      <c r="M809" s="983" t="s">
        <v>632</v>
      </c>
      <c r="N809" s="982"/>
      <c r="O809" s="980"/>
      <c r="P809" s="981" t="s">
        <v>127</v>
      </c>
      <c r="Q809" s="983" t="s">
        <v>632</v>
      </c>
      <c r="R809" s="982"/>
      <c r="S809" s="980"/>
      <c r="T809" s="981" t="s">
        <v>127</v>
      </c>
      <c r="U809" s="983" t="s">
        <v>632</v>
      </c>
      <c r="V809" s="982"/>
      <c r="W809" s="980"/>
      <c r="X809" s="981" t="s">
        <v>127</v>
      </c>
      <c r="Y809" s="983" t="s">
        <v>632</v>
      </c>
      <c r="Z809" s="1412">
        <f>IFERROR(VLOOKUP(C809, [6]條件!$A:$L, 3, 0), "")</f>
        <v>3.2653061224489797</v>
      </c>
      <c r="AA809" s="984" t="str">
        <f>IF(OR(L809={"改紡","檢修","了機","清車","FINAL","停機","SAMPLE","TEST","絲開發"}), L809, IFERROR(IF(C809="", "", (SUM(J809, N809, R809, V809)/3 * AG809) * IF(AND(AF809="S", AS809="雙"), 0.5, 1)), ""))</f>
        <v>了機</v>
      </c>
      <c r="AB809" s="1413" t="str">
        <f t="shared" si="140"/>
        <v/>
      </c>
      <c r="AC809" s="984" t="str">
        <f>IF(OR(L809={"改紡","檢修","了機","清車","FINAL","停機","SAMPLE","TEST"}), "", IFERROR(IF(C809="", "", AVERAGE(L809:M809, P809:Q809, T809:U809, X809:Y809)/100), ""))</f>
        <v/>
      </c>
      <c r="AD809" s="984" t="str">
        <f t="shared" si="134"/>
        <v/>
      </c>
      <c r="AE809" s="984" t="str">
        <f t="shared" si="141"/>
        <v/>
      </c>
      <c r="AF809" s="985" t="str">
        <f t="shared" si="135"/>
        <v>A</v>
      </c>
      <c r="AG809" s="1414">
        <v>0.5</v>
      </c>
      <c r="AH809" s="1002" t="s">
        <v>16016</v>
      </c>
      <c r="AI809" s="1002" t="s">
        <v>16016</v>
      </c>
      <c r="AJ809" s="986" t="s">
        <v>15994</v>
      </c>
      <c r="AK809" s="986" t="s">
        <v>15994</v>
      </c>
      <c r="AL809" s="1415">
        <v>50</v>
      </c>
      <c r="AM809" s="1323">
        <v>46109</v>
      </c>
      <c r="AN809" s="1323">
        <v>46110</v>
      </c>
      <c r="AO809" s="1323">
        <v>46111</v>
      </c>
      <c r="AP809" s="1323">
        <v>46154</v>
      </c>
      <c r="AQ809" s="1323">
        <v>46156</v>
      </c>
      <c r="AR809" s="987"/>
      <c r="AS809" s="978" t="str">
        <f t="shared" si="136"/>
        <v>雙</v>
      </c>
      <c r="AT809" s="978" t="str">
        <f t="shared" si="137"/>
        <v>全</v>
      </c>
      <c r="AU809" s="978">
        <f t="shared" si="138"/>
        <v>75</v>
      </c>
      <c r="AV809" s="978" t="str">
        <f t="shared" si="139"/>
        <v/>
      </c>
    </row>
    <row r="810" spans="1:48">
      <c r="A810" s="975">
        <f t="shared" si="142"/>
        <v>46163</v>
      </c>
      <c r="B810" s="976" t="s">
        <v>225</v>
      </c>
      <c r="C810" s="976" t="s">
        <v>632</v>
      </c>
      <c r="D810" s="1410"/>
      <c r="E810" s="977" t="str">
        <f>IFERROR(VLOOKUP(C810, [6]條件!$A:$L, 5, 0), "")</f>
        <v/>
      </c>
      <c r="F810" s="978" t="str">
        <f>IFERROR(VLOOKUP(C810, [6]條件!$A:$L, 6, 0), "")</f>
        <v/>
      </c>
      <c r="G810" s="1411" t="str">
        <f>IFERROR(VLOOKUP(C810, [6]條件!$A:$L, 7, 0), "")</f>
        <v/>
      </c>
      <c r="H810" s="978" t="str">
        <f>IF(ISNA(VLOOKUP(C810,[6]條件!$A$1:$K$932,11,0)),"",(VLOOKUP(C810,[6]條件!$A$1:$K$932,11,0)))</f>
        <v/>
      </c>
      <c r="I810" s="979" t="str">
        <f>IF(ISNA(VLOOKUP(C810,[6]條件!$A$1:$L$932,12,0)),"",(VLOOKUP(C810,[6]條件!$A$1:$L$932,12,0)))</f>
        <v/>
      </c>
      <c r="J810" s="982"/>
      <c r="K810" s="980"/>
      <c r="L810" s="981" t="s">
        <v>632</v>
      </c>
      <c r="M810" s="983"/>
      <c r="N810" s="982"/>
      <c r="O810" s="980"/>
      <c r="P810" s="981" t="s">
        <v>632</v>
      </c>
      <c r="Q810" s="983"/>
      <c r="R810" s="982"/>
      <c r="S810" s="980"/>
      <c r="T810" s="981" t="s">
        <v>632</v>
      </c>
      <c r="U810" s="983"/>
      <c r="V810" s="982"/>
      <c r="W810" s="980"/>
      <c r="X810" s="981" t="s">
        <v>632</v>
      </c>
      <c r="Y810" s="983"/>
      <c r="Z810" s="1412" t="str">
        <f>IFERROR(VLOOKUP(C810, [6]條件!$A:$L, 3, 0), "")</f>
        <v/>
      </c>
      <c r="AA810" s="984" t="str">
        <f>IF(OR(L810={"改紡","檢修","了機","清車","FINAL","停機","SAMPLE","TEST","絲開發"}), L810, IFERROR(IF(C810="", "", (SUM(J810, N810, R810, V810)/3 * AG810) * IF(AND(AF810="S", AS810="雙"), 0.5, 1)), ""))</f>
        <v>停機</v>
      </c>
      <c r="AB810" s="1413" t="str">
        <f t="shared" si="140"/>
        <v/>
      </c>
      <c r="AC810" s="984" t="str">
        <f>IF(OR(L810={"改紡","檢修","了機","清車","FINAL","停機","SAMPLE","TEST"}), "", IFERROR(IF(C810="", "", AVERAGE(L810:M810, P810:Q810, T810:U810, X810:Y810)/100), ""))</f>
        <v/>
      </c>
      <c r="AD810" s="984" t="str">
        <f t="shared" si="134"/>
        <v/>
      </c>
      <c r="AE810" s="984" t="str">
        <f t="shared" si="141"/>
        <v/>
      </c>
      <c r="AF810" s="985" t="str">
        <f t="shared" si="135"/>
        <v>A</v>
      </c>
      <c r="AG810" s="1414">
        <v>1</v>
      </c>
      <c r="AH810" s="1002" t="s">
        <v>640</v>
      </c>
      <c r="AI810" s="1002" t="s">
        <v>640</v>
      </c>
      <c r="AJ810" s="986" t="s">
        <v>640</v>
      </c>
      <c r="AK810" s="986" t="s">
        <v>640</v>
      </c>
      <c r="AL810" s="1415"/>
      <c r="AM810" s="1323"/>
      <c r="AN810" s="1323"/>
      <c r="AO810" s="1323"/>
      <c r="AP810" s="1323"/>
      <c r="AQ810" s="1323"/>
      <c r="AR810" s="987"/>
      <c r="AS810" s="978" t="str">
        <f t="shared" si="136"/>
        <v>單</v>
      </c>
      <c r="AT810" s="978" t="str">
        <f t="shared" si="137"/>
        <v>全</v>
      </c>
      <c r="AU810" s="978" t="str">
        <f t="shared" si="138"/>
        <v/>
      </c>
      <c r="AV810" s="978" t="str">
        <f t="shared" si="139"/>
        <v/>
      </c>
    </row>
    <row r="811" spans="1:48">
      <c r="A811" s="975">
        <f t="shared" si="142"/>
        <v>46163</v>
      </c>
      <c r="B811" s="976" t="s">
        <v>226</v>
      </c>
      <c r="C811" s="976" t="s">
        <v>632</v>
      </c>
      <c r="D811" s="1410"/>
      <c r="E811" s="977" t="str">
        <f>IFERROR(VLOOKUP(C811, [6]條件!$A:$L, 5, 0), "")</f>
        <v/>
      </c>
      <c r="F811" s="978" t="str">
        <f>IFERROR(VLOOKUP(C811, [6]條件!$A:$L, 6, 0), "")</f>
        <v/>
      </c>
      <c r="G811" s="1411" t="str">
        <f>IFERROR(VLOOKUP(C811, [6]條件!$A:$L, 7, 0), "")</f>
        <v/>
      </c>
      <c r="H811" s="978" t="str">
        <f>IF(ISNA(VLOOKUP(C811,[6]條件!$A$1:$K$932,11,0)),"",(VLOOKUP(C811,[6]條件!$A$1:$K$932,11,0)))</f>
        <v/>
      </c>
      <c r="I811" s="979" t="str">
        <f>IF(ISNA(VLOOKUP(C811,[6]條件!$A$1:$L$932,12,0)),"",(VLOOKUP(C811,[6]條件!$A$1:$L$932,12,0)))</f>
        <v/>
      </c>
      <c r="J811" s="982"/>
      <c r="K811" s="980"/>
      <c r="L811" s="981" t="s">
        <v>632</v>
      </c>
      <c r="M811" s="983"/>
      <c r="N811" s="982"/>
      <c r="O811" s="980"/>
      <c r="P811" s="981" t="s">
        <v>632</v>
      </c>
      <c r="Q811" s="983"/>
      <c r="R811" s="982"/>
      <c r="S811" s="980"/>
      <c r="T811" s="981" t="s">
        <v>632</v>
      </c>
      <c r="U811" s="983"/>
      <c r="V811" s="982"/>
      <c r="W811" s="980"/>
      <c r="X811" s="981" t="s">
        <v>632</v>
      </c>
      <c r="Y811" s="983"/>
      <c r="Z811" s="1412" t="str">
        <f>IFERROR(VLOOKUP(C811, [6]條件!$A:$L, 3, 0), "")</f>
        <v/>
      </c>
      <c r="AA811" s="984" t="str">
        <f>IF(OR(L811={"改紡","檢修","了機","清車","FINAL","停機","SAMPLE","TEST","絲開發"}), L811, IFERROR(IF(C811="", "", (SUM(J811, N811, R811, V811)/3 * AG811) * IF(AND(AF811="S", AS811="雙"), 0.5, 1)), ""))</f>
        <v>停機</v>
      </c>
      <c r="AB811" s="1413" t="str">
        <f t="shared" si="140"/>
        <v/>
      </c>
      <c r="AC811" s="984" t="str">
        <f>IF(OR(L811={"改紡","檢修","了機","清車","FINAL","停機","SAMPLE","TEST"}), "", IFERROR(IF(C811="", "", AVERAGE(L811:M811, P811:Q811, T811:U811, X811:Y811)/100), ""))</f>
        <v/>
      </c>
      <c r="AD811" s="984" t="str">
        <f t="shared" si="134"/>
        <v/>
      </c>
      <c r="AE811" s="984" t="str">
        <f t="shared" si="141"/>
        <v/>
      </c>
      <c r="AF811" s="985" t="str">
        <f t="shared" si="135"/>
        <v>A</v>
      </c>
      <c r="AG811" s="1414">
        <v>1</v>
      </c>
      <c r="AH811" s="1002" t="s">
        <v>640</v>
      </c>
      <c r="AI811" s="1002" t="s">
        <v>640</v>
      </c>
      <c r="AJ811" s="986" t="s">
        <v>640</v>
      </c>
      <c r="AK811" s="986" t="s">
        <v>640</v>
      </c>
      <c r="AL811" s="1415"/>
      <c r="AM811" s="1323"/>
      <c r="AN811" s="1323"/>
      <c r="AO811" s="1323"/>
      <c r="AP811" s="1323"/>
      <c r="AQ811" s="1323"/>
      <c r="AR811" s="987"/>
      <c r="AS811" s="978" t="str">
        <f t="shared" si="136"/>
        <v>單</v>
      </c>
      <c r="AT811" s="978" t="str">
        <f t="shared" si="137"/>
        <v>全</v>
      </c>
      <c r="AU811" s="978" t="str">
        <f t="shared" si="138"/>
        <v/>
      </c>
      <c r="AV811" s="978" t="str">
        <f t="shared" si="139"/>
        <v/>
      </c>
    </row>
    <row r="812" spans="1:48">
      <c r="A812" s="975">
        <f t="shared" si="142"/>
        <v>46163</v>
      </c>
      <c r="B812" s="976" t="s">
        <v>227</v>
      </c>
      <c r="C812" s="976" t="s">
        <v>632</v>
      </c>
      <c r="D812" s="1410"/>
      <c r="E812" s="977" t="str">
        <f>IFERROR(VLOOKUP(C812, [6]條件!$A:$L, 5, 0), "")</f>
        <v/>
      </c>
      <c r="F812" s="978" t="str">
        <f>IFERROR(VLOOKUP(C812, [6]條件!$A:$L, 6, 0), "")</f>
        <v/>
      </c>
      <c r="G812" s="1411" t="str">
        <f>IFERROR(VLOOKUP(C812, [6]條件!$A:$L, 7, 0), "")</f>
        <v/>
      </c>
      <c r="H812" s="978" t="str">
        <f>IF(ISNA(VLOOKUP(C812,[6]條件!$A$1:$K$932,11,0)),"",(VLOOKUP(C812,[6]條件!$A$1:$K$932,11,0)))</f>
        <v/>
      </c>
      <c r="I812" s="979" t="str">
        <f>IF(ISNA(VLOOKUP(C812,[6]條件!$A$1:$L$932,12,0)),"",(VLOOKUP(C812,[6]條件!$A$1:$L$932,12,0)))</f>
        <v/>
      </c>
      <c r="J812" s="982"/>
      <c r="K812" s="980"/>
      <c r="L812" s="981" t="s">
        <v>632</v>
      </c>
      <c r="M812" s="983"/>
      <c r="N812" s="982"/>
      <c r="O812" s="980"/>
      <c r="P812" s="981" t="s">
        <v>632</v>
      </c>
      <c r="Q812" s="983"/>
      <c r="R812" s="982"/>
      <c r="S812" s="980"/>
      <c r="T812" s="981" t="s">
        <v>632</v>
      </c>
      <c r="U812" s="983"/>
      <c r="V812" s="982"/>
      <c r="W812" s="980"/>
      <c r="X812" s="981" t="s">
        <v>632</v>
      </c>
      <c r="Y812" s="983"/>
      <c r="Z812" s="1412" t="str">
        <f>IFERROR(VLOOKUP(C812, [6]條件!$A:$L, 3, 0), "")</f>
        <v/>
      </c>
      <c r="AA812" s="984" t="str">
        <f>IF(OR(L812={"改紡","檢修","了機","清車","FINAL","停機","SAMPLE","TEST","絲開發"}), L812, IFERROR(IF(C812="", "", (SUM(J812, N812, R812, V812)/3 * AG812) * IF(AND(AF812="S", AS812="雙"), 0.5, 1)), ""))</f>
        <v>停機</v>
      </c>
      <c r="AB812" s="1413" t="str">
        <f t="shared" si="140"/>
        <v/>
      </c>
      <c r="AC812" s="984" t="str">
        <f>IF(OR(L812={"改紡","檢修","了機","清車","FINAL","停機","SAMPLE","TEST"}), "", IFERROR(IF(C812="", "", AVERAGE(L812:M812, P812:Q812, T812:U812, X812:Y812)/100), ""))</f>
        <v/>
      </c>
      <c r="AD812" s="984" t="str">
        <f t="shared" si="134"/>
        <v/>
      </c>
      <c r="AE812" s="984" t="str">
        <f t="shared" si="141"/>
        <v/>
      </c>
      <c r="AF812" s="985" t="str">
        <f t="shared" si="135"/>
        <v>A</v>
      </c>
      <c r="AG812" s="1414">
        <v>1</v>
      </c>
      <c r="AH812" s="1002" t="s">
        <v>640</v>
      </c>
      <c r="AI812" s="1002" t="s">
        <v>640</v>
      </c>
      <c r="AJ812" s="986" t="s">
        <v>640</v>
      </c>
      <c r="AK812" s="986" t="s">
        <v>640</v>
      </c>
      <c r="AL812" s="1415"/>
      <c r="AM812" s="1323"/>
      <c r="AN812" s="1323"/>
      <c r="AO812" s="1323"/>
      <c r="AP812" s="1323"/>
      <c r="AQ812" s="1323"/>
      <c r="AR812" s="987"/>
      <c r="AS812" s="978" t="str">
        <f t="shared" si="136"/>
        <v>單</v>
      </c>
      <c r="AT812" s="978" t="str">
        <f t="shared" si="137"/>
        <v>全</v>
      </c>
      <c r="AU812" s="978" t="str">
        <f t="shared" si="138"/>
        <v/>
      </c>
      <c r="AV812" s="978" t="str">
        <f t="shared" si="139"/>
        <v/>
      </c>
    </row>
    <row r="813" spans="1:48">
      <c r="A813" s="975">
        <f t="shared" si="142"/>
        <v>46163</v>
      </c>
      <c r="B813" s="976" t="s">
        <v>228</v>
      </c>
      <c r="C813" s="976" t="s">
        <v>632</v>
      </c>
      <c r="D813" s="1410"/>
      <c r="E813" s="977" t="str">
        <f>IFERROR(VLOOKUP(C813, [6]條件!$A:$L, 5, 0), "")</f>
        <v/>
      </c>
      <c r="F813" s="978" t="str">
        <f>IFERROR(VLOOKUP(C813, [6]條件!$A:$L, 6, 0), "")</f>
        <v/>
      </c>
      <c r="G813" s="1411" t="str">
        <f>IFERROR(VLOOKUP(C813, [6]條件!$A:$L, 7, 0), "")</f>
        <v/>
      </c>
      <c r="H813" s="978" t="str">
        <f>IF(ISNA(VLOOKUP(C813,[6]條件!$A$1:$K$932,11,0)),"",(VLOOKUP(C813,[6]條件!$A$1:$K$932,11,0)))</f>
        <v/>
      </c>
      <c r="I813" s="979" t="str">
        <f>IF(ISNA(VLOOKUP(C813,[6]條件!$A$1:$L$932,12,0)),"",(VLOOKUP(C813,[6]條件!$A$1:$L$932,12,0)))</f>
        <v/>
      </c>
      <c r="J813" s="982"/>
      <c r="K813" s="980"/>
      <c r="L813" s="981" t="s">
        <v>632</v>
      </c>
      <c r="M813" s="983"/>
      <c r="N813" s="982"/>
      <c r="O813" s="980"/>
      <c r="P813" s="981" t="s">
        <v>632</v>
      </c>
      <c r="Q813" s="983"/>
      <c r="R813" s="982"/>
      <c r="S813" s="980"/>
      <c r="T813" s="981" t="s">
        <v>632</v>
      </c>
      <c r="U813" s="983"/>
      <c r="V813" s="982"/>
      <c r="W813" s="980"/>
      <c r="X813" s="981" t="s">
        <v>632</v>
      </c>
      <c r="Y813" s="983"/>
      <c r="Z813" s="1412" t="str">
        <f>IFERROR(VLOOKUP(C813, [6]條件!$A:$L, 3, 0), "")</f>
        <v/>
      </c>
      <c r="AA813" s="984" t="str">
        <f>IF(OR(L813={"改紡","檢修","了機","清車","FINAL","停機","SAMPLE","TEST","絲開發"}), L813, IFERROR(IF(C813="", "", (SUM(J813, N813, R813, V813)/3 * AG813) * IF(AND(AF813="S", AS813="雙"), 0.5, 1)), ""))</f>
        <v>停機</v>
      </c>
      <c r="AB813" s="1413" t="str">
        <f t="shared" si="140"/>
        <v/>
      </c>
      <c r="AC813" s="984" t="str">
        <f>IF(OR(L813={"改紡","檢修","了機","清車","FINAL","停機","SAMPLE","TEST"}), "", IFERROR(IF(C813="", "", AVERAGE(L813:M813, P813:Q813, T813:U813, X813:Y813)/100), ""))</f>
        <v/>
      </c>
      <c r="AD813" s="984" t="str">
        <f t="shared" si="134"/>
        <v/>
      </c>
      <c r="AE813" s="984" t="str">
        <f t="shared" si="141"/>
        <v/>
      </c>
      <c r="AF813" s="985" t="str">
        <f t="shared" si="135"/>
        <v>A</v>
      </c>
      <c r="AG813" s="1414">
        <v>1</v>
      </c>
      <c r="AH813" s="1002" t="s">
        <v>640</v>
      </c>
      <c r="AI813" s="1002" t="s">
        <v>640</v>
      </c>
      <c r="AJ813" s="986" t="s">
        <v>640</v>
      </c>
      <c r="AK813" s="986" t="s">
        <v>640</v>
      </c>
      <c r="AL813" s="1420"/>
      <c r="AM813" s="1323"/>
      <c r="AN813" s="1323"/>
      <c r="AO813" s="1323"/>
      <c r="AP813" s="1323"/>
      <c r="AQ813" s="1323"/>
      <c r="AR813" s="987"/>
      <c r="AS813" s="978" t="str">
        <f t="shared" si="136"/>
        <v>單</v>
      </c>
      <c r="AT813" s="978" t="str">
        <f t="shared" si="137"/>
        <v>全</v>
      </c>
      <c r="AU813" s="978" t="str">
        <f t="shared" si="138"/>
        <v/>
      </c>
      <c r="AV813" s="978" t="str">
        <f t="shared" si="139"/>
        <v/>
      </c>
    </row>
    <row r="814" spans="1:48">
      <c r="A814" s="975">
        <f t="shared" si="142"/>
        <v>46163</v>
      </c>
      <c r="B814" s="976" t="s">
        <v>229</v>
      </c>
      <c r="C814" s="976" t="s">
        <v>632</v>
      </c>
      <c r="D814" s="1410"/>
      <c r="E814" s="977" t="str">
        <f>IFERROR(VLOOKUP(C814, [6]條件!$A:$L, 5, 0), "")</f>
        <v/>
      </c>
      <c r="F814" s="978" t="str">
        <f>IFERROR(VLOOKUP(C814, [6]條件!$A:$L, 6, 0), "")</f>
        <v/>
      </c>
      <c r="G814" s="1411" t="str">
        <f>IFERROR(VLOOKUP(C814, [6]條件!$A:$L, 7, 0), "")</f>
        <v/>
      </c>
      <c r="H814" s="978" t="str">
        <f>IF(ISNA(VLOOKUP(C814,[6]條件!$A$1:$K$932,11,0)),"",(VLOOKUP(C814,[6]條件!$A$1:$K$932,11,0)))</f>
        <v/>
      </c>
      <c r="I814" s="979" t="str">
        <f>IF(ISNA(VLOOKUP(C814,[6]條件!$A$1:$L$932,12,0)),"",(VLOOKUP(C814,[6]條件!$A$1:$L$932,12,0)))</f>
        <v/>
      </c>
      <c r="J814" s="982"/>
      <c r="K814" s="980"/>
      <c r="L814" s="981" t="s">
        <v>632</v>
      </c>
      <c r="M814" s="983"/>
      <c r="N814" s="982"/>
      <c r="O814" s="980"/>
      <c r="P814" s="981" t="s">
        <v>632</v>
      </c>
      <c r="Q814" s="983"/>
      <c r="R814" s="982"/>
      <c r="S814" s="980"/>
      <c r="T814" s="981" t="s">
        <v>632</v>
      </c>
      <c r="U814" s="983"/>
      <c r="V814" s="982"/>
      <c r="W814" s="980"/>
      <c r="X814" s="981" t="s">
        <v>632</v>
      </c>
      <c r="Y814" s="983"/>
      <c r="Z814" s="1412" t="str">
        <f>IFERROR(VLOOKUP(C814, [6]條件!$A:$L, 3, 0), "")</f>
        <v/>
      </c>
      <c r="AA814" s="984" t="str">
        <f>IF(OR(L814={"改紡","檢修","了機","清車","FINAL","停機","SAMPLE","TEST","絲開發"}), L814, IFERROR(IF(C814="", "", (SUM(J814, N814, R814, V814)/3 * AG814) * IF(AND(AF814="S", AS814="雙"), 0.5, 1)), ""))</f>
        <v>停機</v>
      </c>
      <c r="AB814" s="1413" t="str">
        <f t="shared" si="140"/>
        <v/>
      </c>
      <c r="AC814" s="984" t="str">
        <f>IF(OR(L814={"改紡","檢修","了機","清車","FINAL","停機","SAMPLE","TEST"}), "", IFERROR(IF(C814="", "", AVERAGE(L814:M814, P814:Q814, T814:U814, X814:Y814)/100), ""))</f>
        <v/>
      </c>
      <c r="AD814" s="984" t="str">
        <f t="shared" si="134"/>
        <v/>
      </c>
      <c r="AE814" s="984" t="str">
        <f t="shared" si="141"/>
        <v/>
      </c>
      <c r="AF814" s="985" t="str">
        <f t="shared" si="135"/>
        <v>A</v>
      </c>
      <c r="AG814" s="1414">
        <v>1</v>
      </c>
      <c r="AH814" s="1002" t="s">
        <v>640</v>
      </c>
      <c r="AI814" s="1002" t="s">
        <v>640</v>
      </c>
      <c r="AJ814" s="986" t="s">
        <v>640</v>
      </c>
      <c r="AK814" s="986" t="s">
        <v>640</v>
      </c>
      <c r="AL814" s="1421"/>
      <c r="AM814" s="1323"/>
      <c r="AN814" s="1323"/>
      <c r="AO814" s="1323"/>
      <c r="AP814" s="1323"/>
      <c r="AQ814" s="1323"/>
      <c r="AR814" s="987"/>
      <c r="AS814" s="978" t="str">
        <f t="shared" si="136"/>
        <v>單</v>
      </c>
      <c r="AT814" s="978" t="str">
        <f t="shared" si="137"/>
        <v>全</v>
      </c>
      <c r="AU814" s="978" t="str">
        <f t="shared" si="138"/>
        <v/>
      </c>
      <c r="AV814" s="978" t="str">
        <f t="shared" si="139"/>
        <v/>
      </c>
    </row>
    <row r="815" spans="1:48">
      <c r="A815" s="975">
        <f t="shared" si="142"/>
        <v>46163</v>
      </c>
      <c r="B815" s="976" t="s">
        <v>230</v>
      </c>
      <c r="C815" s="976" t="s">
        <v>632</v>
      </c>
      <c r="D815" s="1410"/>
      <c r="E815" s="977" t="str">
        <f>IFERROR(VLOOKUP(C815, [6]條件!$A:$L, 5, 0), "")</f>
        <v/>
      </c>
      <c r="F815" s="978" t="str">
        <f>IFERROR(VLOOKUP(C815, [6]條件!$A:$L, 6, 0), "")</f>
        <v/>
      </c>
      <c r="G815" s="1411" t="str">
        <f>IFERROR(VLOOKUP(C815, [6]條件!$A:$L, 7, 0), "")</f>
        <v/>
      </c>
      <c r="H815" s="978" t="str">
        <f>IF(ISNA(VLOOKUP(C815,[6]條件!$A$1:$K$932,11,0)),"",(VLOOKUP(C815,[6]條件!$A$1:$K$932,11,0)))</f>
        <v/>
      </c>
      <c r="I815" s="979" t="str">
        <f>IF(ISNA(VLOOKUP(C815,[6]條件!$A$1:$L$932,12,0)),"",(VLOOKUP(C815,[6]條件!$A$1:$L$932,12,0)))</f>
        <v/>
      </c>
      <c r="J815" s="982"/>
      <c r="K815" s="980"/>
      <c r="L815" s="981" t="s">
        <v>632</v>
      </c>
      <c r="M815" s="983"/>
      <c r="N815" s="982"/>
      <c r="O815" s="980"/>
      <c r="P815" s="981" t="s">
        <v>632</v>
      </c>
      <c r="Q815" s="983"/>
      <c r="R815" s="982"/>
      <c r="S815" s="980"/>
      <c r="T815" s="981" t="s">
        <v>632</v>
      </c>
      <c r="U815" s="983"/>
      <c r="V815" s="982"/>
      <c r="W815" s="980"/>
      <c r="X815" s="981" t="s">
        <v>632</v>
      </c>
      <c r="Y815" s="983"/>
      <c r="Z815" s="1412" t="str">
        <f>IFERROR(VLOOKUP(C815, [6]條件!$A:$L, 3, 0), "")</f>
        <v/>
      </c>
      <c r="AA815" s="984" t="str">
        <f>IF(OR(L815={"改紡","檢修","了機","清車","FINAL","停機","SAMPLE","TEST","絲開發"}), L815, IFERROR(IF(C815="", "", (SUM(J815, N815, R815, V815)/3 * AG815) * IF(AND(AF815="S", AS815="雙"), 0.5, 1)), ""))</f>
        <v>停機</v>
      </c>
      <c r="AB815" s="1413" t="str">
        <f t="shared" si="140"/>
        <v/>
      </c>
      <c r="AC815" s="984" t="str">
        <f>IF(OR(L815={"改紡","檢修","了機","清車","FINAL","停機","SAMPLE","TEST"}), "", IFERROR(IF(C815="", "", AVERAGE(L815:M815, P815:Q815, T815:U815, X815:Y815)/100), ""))</f>
        <v/>
      </c>
      <c r="AD815" s="984" t="str">
        <f t="shared" si="134"/>
        <v/>
      </c>
      <c r="AE815" s="984" t="str">
        <f t="shared" si="141"/>
        <v/>
      </c>
      <c r="AF815" s="985" t="str">
        <f t="shared" si="135"/>
        <v>A</v>
      </c>
      <c r="AG815" s="1414">
        <v>0.5</v>
      </c>
      <c r="AH815" s="1002" t="s">
        <v>16011</v>
      </c>
      <c r="AI815" s="1002" t="s">
        <v>16011</v>
      </c>
      <c r="AJ815" s="986" t="s">
        <v>640</v>
      </c>
      <c r="AK815" s="986" t="s">
        <v>640</v>
      </c>
      <c r="AL815" s="1415"/>
      <c r="AM815" s="1323"/>
      <c r="AN815" s="1323"/>
      <c r="AO815" s="1323"/>
      <c r="AP815" s="1323"/>
      <c r="AQ815" s="1323"/>
      <c r="AR815" s="987"/>
      <c r="AS815" s="978" t="str">
        <f t="shared" si="136"/>
        <v>單</v>
      </c>
      <c r="AT815" s="978" t="str">
        <f t="shared" si="137"/>
        <v/>
      </c>
      <c r="AU815" s="978" t="str">
        <f t="shared" si="138"/>
        <v/>
      </c>
      <c r="AV815" s="978" t="str">
        <f t="shared" si="139"/>
        <v/>
      </c>
    </row>
    <row r="816" spans="1:48">
      <c r="A816" s="975">
        <f t="shared" si="142"/>
        <v>46163</v>
      </c>
      <c r="B816" s="976" t="s">
        <v>231</v>
      </c>
      <c r="C816" s="976" t="s">
        <v>632</v>
      </c>
      <c r="D816" s="1410"/>
      <c r="E816" s="977" t="str">
        <f>IFERROR(VLOOKUP(C816, [6]條件!$A:$L, 5, 0), "")</f>
        <v/>
      </c>
      <c r="F816" s="978" t="str">
        <f>IFERROR(VLOOKUP(C816, [6]條件!$A:$L, 6, 0), "")</f>
        <v/>
      </c>
      <c r="G816" s="1411" t="str">
        <f>IFERROR(VLOOKUP(C816, [6]條件!$A:$L, 7, 0), "")</f>
        <v/>
      </c>
      <c r="H816" s="978" t="str">
        <f>IF(ISNA(VLOOKUP(C816,[6]條件!$A$1:$K$932,11,0)),"",(VLOOKUP(C816,[6]條件!$A$1:$K$932,11,0)))</f>
        <v/>
      </c>
      <c r="I816" s="979" t="str">
        <f>IF(ISNA(VLOOKUP(C816,[6]條件!$A$1:$L$932,12,0)),"",(VLOOKUP(C816,[6]條件!$A$1:$L$932,12,0)))</f>
        <v/>
      </c>
      <c r="J816" s="982"/>
      <c r="K816" s="980"/>
      <c r="L816" s="981" t="s">
        <v>632</v>
      </c>
      <c r="M816" s="983"/>
      <c r="N816" s="982"/>
      <c r="O816" s="980"/>
      <c r="P816" s="981" t="s">
        <v>632</v>
      </c>
      <c r="Q816" s="983"/>
      <c r="R816" s="982"/>
      <c r="S816" s="980"/>
      <c r="T816" s="981" t="s">
        <v>632</v>
      </c>
      <c r="U816" s="983"/>
      <c r="V816" s="982"/>
      <c r="W816" s="980"/>
      <c r="X816" s="981" t="s">
        <v>632</v>
      </c>
      <c r="Y816" s="983"/>
      <c r="Z816" s="1412" t="str">
        <f>IFERROR(VLOOKUP(C816, [6]條件!$A:$L, 3, 0), "")</f>
        <v/>
      </c>
      <c r="AA816" s="984" t="str">
        <f>IF(OR(L816={"改紡","檢修","了機","清車","FINAL","停機","SAMPLE","TEST","絲開發"}), L816, IFERROR(IF(C816="", "", (SUM(J816, N816, R816, V816)/3 * AG816) * IF(AND(AF816="S", AS816="雙"), 0.5, 1)), ""))</f>
        <v>停機</v>
      </c>
      <c r="AB816" s="1413" t="str">
        <f t="shared" si="140"/>
        <v/>
      </c>
      <c r="AC816" s="984" t="str">
        <f>IF(OR(L816={"改紡","檢修","了機","清車","FINAL","停機","SAMPLE","TEST"}), "", IFERROR(IF(C816="", "", AVERAGE(L816:M816, P816:Q816, T816:U816, X816:Y816)/100), ""))</f>
        <v/>
      </c>
      <c r="AD816" s="984" t="str">
        <f t="shared" si="134"/>
        <v/>
      </c>
      <c r="AE816" s="984" t="str">
        <f t="shared" si="141"/>
        <v/>
      </c>
      <c r="AF816" s="985" t="str">
        <f t="shared" si="135"/>
        <v>J</v>
      </c>
      <c r="AG816" s="1414">
        <v>1</v>
      </c>
      <c r="AH816" s="1002" t="s">
        <v>640</v>
      </c>
      <c r="AI816" s="1002" t="s">
        <v>640</v>
      </c>
      <c r="AJ816" s="986" t="s">
        <v>640</v>
      </c>
      <c r="AK816" s="986" t="s">
        <v>640</v>
      </c>
      <c r="AL816" s="1415"/>
      <c r="AM816" s="1323"/>
      <c r="AN816" s="1323"/>
      <c r="AO816" s="1323"/>
      <c r="AP816" s="1323"/>
      <c r="AQ816" s="1323"/>
      <c r="AR816" s="987"/>
      <c r="AS816" s="978" t="str">
        <f t="shared" si="136"/>
        <v>單</v>
      </c>
      <c r="AT816" s="978" t="str">
        <f t="shared" si="137"/>
        <v>全</v>
      </c>
      <c r="AU816" s="978" t="str">
        <f t="shared" si="138"/>
        <v/>
      </c>
      <c r="AV816" s="978" t="str">
        <f t="shared" si="139"/>
        <v/>
      </c>
    </row>
    <row r="817" spans="1:48">
      <c r="A817" s="975">
        <f t="shared" si="142"/>
        <v>46163</v>
      </c>
      <c r="B817" s="976" t="s">
        <v>233</v>
      </c>
      <c r="C817" s="976" t="s">
        <v>16772</v>
      </c>
      <c r="D817" s="1410" t="s">
        <v>633</v>
      </c>
      <c r="E817" s="977" t="str">
        <f>IFERROR(VLOOKUP(C817, [6]條件!$A:$L, 5, 0), "")</f>
        <v>150/48/2SDr</v>
      </c>
      <c r="F817" s="978" t="str">
        <f>IFERROR(VLOOKUP(C817, [6]條件!$A:$L, 6, 0), "")</f>
        <v>FP82171R×2</v>
      </c>
      <c r="G817" s="1411">
        <f>IFERROR(VLOOKUP(C817, [6]條件!$A:$L, 7, 0), "")</f>
        <v>600</v>
      </c>
      <c r="H817" s="978" t="str">
        <f>IF(ISNA(VLOOKUP(C817,[6]條件!$A$1:$K$932,11,0)),"",(VLOOKUP(C817,[6]條件!$A$1:$K$932,11,0)))</f>
        <v>紅白直條</v>
      </c>
      <c r="I817" s="979">
        <f>IF(ISNA(VLOOKUP(C817,[6]條件!$A$1:$L$932,12,0)),"",(VLOOKUP(C817,[6]條件!$A$1:$L$932,12,0)))</f>
        <v>5.5</v>
      </c>
      <c r="J817" s="982">
        <v>31</v>
      </c>
      <c r="K817" s="980">
        <v>3</v>
      </c>
      <c r="L817" s="981">
        <v>6510</v>
      </c>
      <c r="M817" s="983"/>
      <c r="N817" s="982">
        <v>11</v>
      </c>
      <c r="O817" s="980">
        <v>2</v>
      </c>
      <c r="P817" s="981">
        <v>6640</v>
      </c>
      <c r="Q817" s="983"/>
      <c r="R817" s="982">
        <v>4</v>
      </c>
      <c r="S817" s="980">
        <v>0</v>
      </c>
      <c r="T817" s="981">
        <v>6490</v>
      </c>
      <c r="U817" s="983"/>
      <c r="V817" s="982">
        <v>11</v>
      </c>
      <c r="W817" s="980">
        <v>3</v>
      </c>
      <c r="X817" s="981">
        <v>6630</v>
      </c>
      <c r="Y817" s="983"/>
      <c r="Z817" s="1412">
        <f>IFERROR(VLOOKUP(C817, [6]條件!$A:$L, 3, 0), "")</f>
        <v>5.0526315789473673</v>
      </c>
      <c r="AA817" s="984">
        <f>IF(OR(L817={"改紡","檢修","了機","清車","FINAL","停機","SAMPLE","TEST","絲開發"}), L817, IFERROR(IF(C817="", "", (SUM(J817, N817, R817, V817)/3 * AG817) * IF(AND(AF817="S", AS817="雙"), 0.5, 1)), ""))</f>
        <v>19</v>
      </c>
      <c r="AB817" s="1413">
        <f t="shared" si="140"/>
        <v>0.99238782051282048</v>
      </c>
      <c r="AC817" s="984">
        <f>IF(OR(L817={"改紡","檢修","了機","清車","FINAL","停機","SAMPLE","TEST"}), "", IFERROR(IF(C817="", "", AVERAGE(L817:M817, P817:Q817, T817:U817, X817:Y817)/100), ""))</f>
        <v>65.674999999999997</v>
      </c>
      <c r="AD817" s="984">
        <f t="shared" si="134"/>
        <v>2.375</v>
      </c>
      <c r="AE817" s="984">
        <f t="shared" si="141"/>
        <v>2.0416666666666665</v>
      </c>
      <c r="AF817" s="985" t="str">
        <f t="shared" si="135"/>
        <v>J</v>
      </c>
      <c r="AG817" s="1414">
        <v>1</v>
      </c>
      <c r="AH817" s="1002" t="s">
        <v>16021</v>
      </c>
      <c r="AI817" s="1002" t="s">
        <v>16021</v>
      </c>
      <c r="AJ817" s="986" t="s">
        <v>16006</v>
      </c>
      <c r="AK817" s="986" t="s">
        <v>16006</v>
      </c>
      <c r="AL817" s="1415">
        <v>55</v>
      </c>
      <c r="AM817" s="1323">
        <v>46161</v>
      </c>
      <c r="AN817" s="1323">
        <v>46162</v>
      </c>
      <c r="AO817" s="1323"/>
      <c r="AP817" s="1323"/>
      <c r="AQ817" s="1323"/>
      <c r="AR817" s="987"/>
      <c r="AS817" s="978" t="str">
        <f t="shared" si="136"/>
        <v>雙</v>
      </c>
      <c r="AT817" s="978" t="str">
        <f t="shared" si="137"/>
        <v>全</v>
      </c>
      <c r="AU817" s="978">
        <f t="shared" si="138"/>
        <v>150</v>
      </c>
      <c r="AV817" s="978">
        <f t="shared" si="139"/>
        <v>4.0855103999999995</v>
      </c>
    </row>
    <row r="818" spans="1:48">
      <c r="A818" s="975">
        <f t="shared" si="142"/>
        <v>46163</v>
      </c>
      <c r="B818" s="976" t="s">
        <v>234</v>
      </c>
      <c r="C818" s="976" t="s">
        <v>632</v>
      </c>
      <c r="D818" s="1410"/>
      <c r="E818" s="977" t="str">
        <f>IFERROR(VLOOKUP(C818, [6]條件!$A:$L, 5, 0), "")</f>
        <v/>
      </c>
      <c r="F818" s="978" t="str">
        <f>IFERROR(VLOOKUP(C818, [6]條件!$A:$L, 6, 0), "")</f>
        <v/>
      </c>
      <c r="G818" s="1411" t="str">
        <f>IFERROR(VLOOKUP(C818, [6]條件!$A:$L, 7, 0), "")</f>
        <v/>
      </c>
      <c r="H818" s="978" t="str">
        <f>IF(ISNA(VLOOKUP(C818,[6]條件!$A$1:$K$932,11,0)),"",(VLOOKUP(C818,[6]條件!$A$1:$K$932,11,0)))</f>
        <v/>
      </c>
      <c r="I818" s="979" t="str">
        <f>IF(ISNA(VLOOKUP(C818,[6]條件!$A$1:$L$932,12,0)),"",(VLOOKUP(C818,[6]條件!$A$1:$L$932,12,0)))</f>
        <v/>
      </c>
      <c r="J818" s="982"/>
      <c r="K818" s="980"/>
      <c r="L818" s="981" t="s">
        <v>632</v>
      </c>
      <c r="M818" s="983"/>
      <c r="N818" s="982"/>
      <c r="O818" s="980"/>
      <c r="P818" s="981" t="s">
        <v>632</v>
      </c>
      <c r="Q818" s="983"/>
      <c r="R818" s="982"/>
      <c r="S818" s="980"/>
      <c r="T818" s="981" t="s">
        <v>632</v>
      </c>
      <c r="U818" s="983"/>
      <c r="V818" s="982"/>
      <c r="W818" s="980"/>
      <c r="X818" s="981" t="s">
        <v>632</v>
      </c>
      <c r="Y818" s="983"/>
      <c r="Z818" s="1412" t="str">
        <f>IFERROR(VLOOKUP(C818, [6]條件!$A:$L, 3, 0), "")</f>
        <v/>
      </c>
      <c r="AA818" s="984" t="str">
        <f>IF(OR(L818={"改紡","檢修","了機","清車","FINAL","停機","SAMPLE","TEST","絲開發"}), L818, IFERROR(IF(C818="", "", (SUM(J818, N818, R818, V818)/3 * AG818) * IF(AND(AF818="S", AS818="雙"), 0.5, 1)), ""))</f>
        <v>停機</v>
      </c>
      <c r="AB818" s="1413" t="str">
        <f t="shared" si="140"/>
        <v/>
      </c>
      <c r="AC818" s="984" t="str">
        <f>IF(OR(L818={"改紡","檢修","了機","清車","FINAL","停機","SAMPLE","TEST"}), "", IFERROR(IF(C818="", "", AVERAGE(L818:M818, P818:Q818, T818:U818, X818:Y818)/100), ""))</f>
        <v/>
      </c>
      <c r="AD818" s="984" t="str">
        <f t="shared" si="134"/>
        <v/>
      </c>
      <c r="AE818" s="984" t="str">
        <f t="shared" si="141"/>
        <v/>
      </c>
      <c r="AF818" s="985" t="str">
        <f t="shared" si="135"/>
        <v>J</v>
      </c>
      <c r="AG818" s="1414">
        <v>1</v>
      </c>
      <c r="AH818" s="1002" t="s">
        <v>640</v>
      </c>
      <c r="AI818" s="1002" t="s">
        <v>640</v>
      </c>
      <c r="AJ818" s="986" t="s">
        <v>640</v>
      </c>
      <c r="AK818" s="986" t="s">
        <v>640</v>
      </c>
      <c r="AL818" s="1415"/>
      <c r="AM818" s="1323"/>
      <c r="AN818" s="1323"/>
      <c r="AO818" s="1323"/>
      <c r="AP818" s="1323"/>
      <c r="AQ818" s="1323"/>
      <c r="AR818" s="987"/>
      <c r="AS818" s="978" t="str">
        <f t="shared" si="136"/>
        <v>單</v>
      </c>
      <c r="AT818" s="978" t="str">
        <f t="shared" si="137"/>
        <v>全</v>
      </c>
      <c r="AU818" s="978" t="str">
        <f t="shared" si="138"/>
        <v/>
      </c>
      <c r="AV818" s="978" t="str">
        <f t="shared" si="139"/>
        <v/>
      </c>
    </row>
    <row r="819" spans="1:48">
      <c r="A819" s="975">
        <f t="shared" si="142"/>
        <v>46163</v>
      </c>
      <c r="B819" s="976" t="s">
        <v>235</v>
      </c>
      <c r="C819" s="976" t="s">
        <v>16765</v>
      </c>
      <c r="D819" s="1410" t="s">
        <v>633</v>
      </c>
      <c r="E819" s="977" t="str">
        <f>IFERROR(VLOOKUP(C819, [6]條件!$A:$L, 5, 0), "")</f>
        <v>150/48/2SDr</v>
      </c>
      <c r="F819" s="978" t="str">
        <f>IFERROR(VLOOKUP(C819, [6]條件!$A:$L, 6, 0), "")</f>
        <v>FP82173R×2</v>
      </c>
      <c r="G819" s="1411">
        <f>IFERROR(VLOOKUP(C819, [6]條件!$A:$L, 7, 0), "")</f>
        <v>700</v>
      </c>
      <c r="H819" s="978" t="str">
        <f>IF(ISNA(VLOOKUP(C819,[6]條件!$A$1:$K$932,11,0)),"",(VLOOKUP(C819,[6]條件!$A$1:$K$932,11,0)))</f>
        <v>白紫條紋</v>
      </c>
      <c r="I819" s="979">
        <f>IF(ISNA(VLOOKUP(C819,[6]條件!$A$1:$L$932,12,0)),"",(VLOOKUP(C819,[6]條件!$A$1:$L$932,12,0)))</f>
        <v>5.5</v>
      </c>
      <c r="J819" s="982">
        <v>37</v>
      </c>
      <c r="K819" s="980">
        <v>0</v>
      </c>
      <c r="L819" s="981">
        <v>8150</v>
      </c>
      <c r="M819" s="983">
        <v>9350</v>
      </c>
      <c r="N819" s="982">
        <v>33</v>
      </c>
      <c r="O819" s="980">
        <v>8</v>
      </c>
      <c r="P819" s="981">
        <v>8800</v>
      </c>
      <c r="Q819" s="983">
        <v>9070</v>
      </c>
      <c r="R819" s="982">
        <v>18</v>
      </c>
      <c r="S819" s="980">
        <v>0</v>
      </c>
      <c r="T819" s="981">
        <v>8610</v>
      </c>
      <c r="U819" s="983">
        <v>9350</v>
      </c>
      <c r="V819" s="982">
        <v>30</v>
      </c>
      <c r="W819" s="980">
        <v>2</v>
      </c>
      <c r="X819" s="981">
        <v>8330</v>
      </c>
      <c r="Y819" s="983">
        <v>8890</v>
      </c>
      <c r="Z819" s="1412">
        <f>IFERROR(VLOOKUP(C819, [6]條件!$A:$L, 3, 0), "")</f>
        <v>5.8775510204081636</v>
      </c>
      <c r="AA819" s="984">
        <f>IF(OR(L819={"改紡","檢修","了機","清車","FINAL","停機","SAMPLE","TEST","絲開發"}), L819, IFERROR(IF(C819="", "", (SUM(J819, N819, R819, V819)/3 * AG819) * IF(AND(AF819="S", AS819="雙"), 0.5, 1)), ""))</f>
        <v>39.333333333333336</v>
      </c>
      <c r="AB819" s="1413">
        <f t="shared" si="140"/>
        <v>0.99182024572649574</v>
      </c>
      <c r="AC819" s="984">
        <f>IF(OR(L819={"改紡","檢修","了機","清車","FINAL","停機","SAMPLE","TEST"}), "", IFERROR(IF(C819="", "", AVERAGE(L819:M819, P819:Q819, T819:U819, X819:Y819)/100), ""))</f>
        <v>88.1875</v>
      </c>
      <c r="AD819" s="984">
        <f t="shared" si="134"/>
        <v>4.916666666666667</v>
      </c>
      <c r="AE819" s="984">
        <f t="shared" si="141"/>
        <v>4.5</v>
      </c>
      <c r="AF819" s="985" t="str">
        <f t="shared" si="135"/>
        <v>T</v>
      </c>
      <c r="AG819" s="1414">
        <v>1</v>
      </c>
      <c r="AH819" s="1002" t="s">
        <v>651</v>
      </c>
      <c r="AI819" s="1002" t="s">
        <v>651</v>
      </c>
      <c r="AJ819" s="986" t="s">
        <v>16009</v>
      </c>
      <c r="AK819" s="986" t="s">
        <v>16009</v>
      </c>
      <c r="AL819" s="1415">
        <v>56</v>
      </c>
      <c r="AM819" s="1323">
        <v>46160</v>
      </c>
      <c r="AN819" s="1323">
        <v>46161</v>
      </c>
      <c r="AO819" s="1323">
        <v>46162</v>
      </c>
      <c r="AP819" s="1323"/>
      <c r="AQ819" s="1323"/>
      <c r="AR819" s="987"/>
      <c r="AS819" s="978" t="str">
        <f t="shared" si="136"/>
        <v>雙</v>
      </c>
      <c r="AT819" s="978" t="str">
        <f t="shared" si="137"/>
        <v>全</v>
      </c>
      <c r="AU819" s="978">
        <f t="shared" si="138"/>
        <v>150</v>
      </c>
      <c r="AV819" s="978">
        <f t="shared" si="139"/>
        <v>6.4002959999999991</v>
      </c>
    </row>
    <row r="820" spans="1:48">
      <c r="A820" s="975">
        <f t="shared" si="142"/>
        <v>46163</v>
      </c>
      <c r="B820" s="976" t="s">
        <v>237</v>
      </c>
      <c r="C820" s="976" t="s">
        <v>16759</v>
      </c>
      <c r="D820" s="1410" t="s">
        <v>633</v>
      </c>
      <c r="E820" s="977" t="str">
        <f>IFERROR(VLOOKUP(C820, [6]條件!$A:$L, 5, 0), "")</f>
        <v>150/48/2SDr</v>
      </c>
      <c r="F820" s="978" t="str">
        <f>IFERROR(VLOOKUP(C820, [6]條件!$A:$L, 6, 0), "")</f>
        <v>FP82171R×2</v>
      </c>
      <c r="G820" s="1411">
        <f>IFERROR(VLOOKUP(C820, [6]條件!$A:$L, 7, 0), "")</f>
        <v>700</v>
      </c>
      <c r="H820" s="978" t="str">
        <f>IF(ISNA(VLOOKUP(C820,[6]條件!$A$1:$K$932,11,0)),"",(VLOOKUP(C820,[6]條件!$A$1:$K$932,11,0)))</f>
        <v>紅底黃星</v>
      </c>
      <c r="I820" s="979">
        <f>IF(ISNA(VLOOKUP(C820,[6]條件!$A$1:$L$932,12,0)),"",(VLOOKUP(C820,[6]條件!$A$1:$L$932,12,0)))</f>
        <v>5.5</v>
      </c>
      <c r="J820" s="982"/>
      <c r="K820" s="980"/>
      <c r="L820" s="981" t="s">
        <v>16017</v>
      </c>
      <c r="M820" s="983"/>
      <c r="N820" s="982"/>
      <c r="O820" s="980"/>
      <c r="P820" s="981" t="s">
        <v>16017</v>
      </c>
      <c r="Q820" s="983"/>
      <c r="R820" s="982"/>
      <c r="S820" s="980"/>
      <c r="T820" s="981" t="s">
        <v>16017</v>
      </c>
      <c r="U820" s="983"/>
      <c r="V820" s="982"/>
      <c r="W820" s="980"/>
      <c r="X820" s="981" t="s">
        <v>16017</v>
      </c>
      <c r="Y820" s="983"/>
      <c r="Z820" s="1412">
        <f>IFERROR(VLOOKUP(C820, [6]條件!$A:$L, 3, 0), "")</f>
        <v>5.8299595141700413</v>
      </c>
      <c r="AA820" s="984" t="str">
        <f>IF(OR(L820={"改紡","檢修","了機","清車","FINAL","停機","SAMPLE","TEST","絲開發"}), L820, IFERROR(IF(C820="", "", (SUM(J820, N820, R820, V820)/3 * AG820) * IF(AND(AF820="S", AS820="雙"), 0.5, 1)), ""))</f>
        <v>清車</v>
      </c>
      <c r="AB820" s="1413" t="str">
        <f t="shared" si="140"/>
        <v/>
      </c>
      <c r="AC820" s="984" t="str">
        <f>IF(OR(L820={"改紡","檢修","了機","清車","FINAL","停機","SAMPLE","TEST"}), "", IFERROR(IF(C820="", "", AVERAGE(L820:M820, P820:Q820, T820:U820, X820:Y820)/100), ""))</f>
        <v/>
      </c>
      <c r="AD820" s="984" t="str">
        <f t="shared" si="134"/>
        <v/>
      </c>
      <c r="AE820" s="984" t="str">
        <f t="shared" si="141"/>
        <v/>
      </c>
      <c r="AF820" s="985" t="str">
        <f t="shared" si="135"/>
        <v>T</v>
      </c>
      <c r="AG820" s="1414">
        <v>1</v>
      </c>
      <c r="AH820" s="1002" t="s">
        <v>640</v>
      </c>
      <c r="AI820" s="1002" t="s">
        <v>640</v>
      </c>
      <c r="AJ820" s="986" t="s">
        <v>640</v>
      </c>
      <c r="AK820" s="986" t="s">
        <v>640</v>
      </c>
      <c r="AL820" s="1415">
        <v>55</v>
      </c>
      <c r="AM820" s="1323">
        <v>46160</v>
      </c>
      <c r="AN820" s="1323">
        <v>46161</v>
      </c>
      <c r="AO820" s="1323">
        <v>46162</v>
      </c>
      <c r="AP820" s="1323"/>
      <c r="AQ820" s="1323"/>
      <c r="AR820" s="987"/>
      <c r="AS820" s="978" t="str">
        <f t="shared" si="136"/>
        <v>雙</v>
      </c>
      <c r="AT820" s="978" t="str">
        <f t="shared" si="137"/>
        <v>全</v>
      </c>
      <c r="AU820" s="978">
        <f t="shared" si="138"/>
        <v>150</v>
      </c>
      <c r="AV820" s="978" t="str">
        <f t="shared" si="139"/>
        <v/>
      </c>
    </row>
    <row r="821" spans="1:48">
      <c r="A821" s="975">
        <f t="shared" si="142"/>
        <v>46163</v>
      </c>
      <c r="B821" s="976" t="s">
        <v>238</v>
      </c>
      <c r="C821" s="976" t="s">
        <v>16743</v>
      </c>
      <c r="D821" s="1410"/>
      <c r="E821" s="977" t="str">
        <f>IFERROR(VLOOKUP(C821, [6]條件!$A:$L, 5, 0), "")</f>
        <v>150/48/2SDr</v>
      </c>
      <c r="F821" s="978" t="str">
        <f>IFERROR(VLOOKUP(C821, [6]條件!$A:$L, 6, 0), "")</f>
        <v>FP82169R×2</v>
      </c>
      <c r="G821" s="1411">
        <f>IFERROR(VLOOKUP(C821, [6]條件!$A:$L, 7, 0), "")</f>
        <v>670</v>
      </c>
      <c r="H821" s="978" t="str">
        <f>IF(ISNA(VLOOKUP(C821,[6]條件!$A$1:$K$932,11,0)),"",(VLOOKUP(C821,[6]條件!$A$1:$K$932,11,0)))</f>
        <v>黃底紅點</v>
      </c>
      <c r="I821" s="979">
        <f>IF(ISNA(VLOOKUP(C821,[6]條件!$A$1:$L$932,12,0)),"",(VLOOKUP(C821,[6]條件!$A$1:$L$932,12,0)))</f>
        <v>5</v>
      </c>
      <c r="J821" s="982">
        <v>26</v>
      </c>
      <c r="K821" s="980">
        <v>0</v>
      </c>
      <c r="L821" s="981">
        <v>9260</v>
      </c>
      <c r="M821" s="983"/>
      <c r="N821" s="982">
        <v>7</v>
      </c>
      <c r="O821" s="980">
        <v>0</v>
      </c>
      <c r="P821" s="981">
        <v>8240</v>
      </c>
      <c r="Q821" s="983"/>
      <c r="R821" s="982">
        <v>15</v>
      </c>
      <c r="S821" s="980">
        <v>0</v>
      </c>
      <c r="T821" s="981">
        <v>8800</v>
      </c>
      <c r="U821" s="983"/>
      <c r="V821" s="982">
        <v>32</v>
      </c>
      <c r="W821" s="980">
        <v>2</v>
      </c>
      <c r="X821" s="981">
        <v>8800</v>
      </c>
      <c r="Y821" s="983"/>
      <c r="Z821" s="1412">
        <f>IFERROR(VLOOKUP(C821, [6]條件!$A:$L, 3, 0), "")</f>
        <v>6.2882096069868991</v>
      </c>
      <c r="AA821" s="984">
        <f>IF(OR(L821={"改紡","檢修","了機","清車","FINAL","停機","SAMPLE","TEST","絲開發"}), L821, IFERROR(IF(C821="", "", (SUM(J821, N821, R821, V821)/3 * AG821) * IF(AND(AF821="S", AS821="雙"), 0.5, 1)), ""))</f>
        <v>53.333333333333336</v>
      </c>
      <c r="AB821" s="1413">
        <f t="shared" si="140"/>
        <v>0.9984708867521368</v>
      </c>
      <c r="AC821" s="984">
        <f>IF(OR(L821={"改紡","檢修","了機","清車","FINAL","停機","SAMPLE","TEST"}), "", IFERROR(IF(C821="", "", AVERAGE(L821:M821, P821:Q821, T821:U821, X821:Y821)/100), ""))</f>
        <v>87.75</v>
      </c>
      <c r="AD821" s="984">
        <f t="shared" si="134"/>
        <v>6.666666666666667</v>
      </c>
      <c r="AE821" s="984">
        <f t="shared" si="141"/>
        <v>6.5</v>
      </c>
      <c r="AF821" s="985" t="str">
        <f t="shared" si="135"/>
        <v>T</v>
      </c>
      <c r="AG821" s="1414">
        <v>2</v>
      </c>
      <c r="AH821" s="1002" t="s">
        <v>15998</v>
      </c>
      <c r="AI821" s="1002" t="s">
        <v>15998</v>
      </c>
      <c r="AJ821" s="986" t="s">
        <v>16009</v>
      </c>
      <c r="AK821" s="986" t="s">
        <v>16009</v>
      </c>
      <c r="AL821" s="1415">
        <v>48</v>
      </c>
      <c r="AM821" s="1323">
        <v>46157</v>
      </c>
      <c r="AN821" s="1323">
        <v>46158</v>
      </c>
      <c r="AO821" s="1323"/>
      <c r="AP821" s="1323"/>
      <c r="AQ821" s="1323"/>
      <c r="AR821" s="987"/>
      <c r="AS821" s="978" t="str">
        <f t="shared" si="136"/>
        <v>雙</v>
      </c>
      <c r="AT821" s="978" t="str">
        <f t="shared" si="137"/>
        <v>半</v>
      </c>
      <c r="AU821" s="978">
        <f t="shared" si="138"/>
        <v>150</v>
      </c>
      <c r="AV821" s="978">
        <f t="shared" si="139"/>
        <v>3.0478032000000002</v>
      </c>
    </row>
    <row r="822" spans="1:48">
      <c r="A822" s="975">
        <f t="shared" si="142"/>
        <v>46163</v>
      </c>
      <c r="B822" s="976" t="s">
        <v>238</v>
      </c>
      <c r="C822" s="976" t="s">
        <v>16742</v>
      </c>
      <c r="D822" s="1410"/>
      <c r="E822" s="977" t="str">
        <f>IFERROR(VLOOKUP(C822, [6]條件!$A:$L, 5, 0), "")</f>
        <v>150/48/2SDr</v>
      </c>
      <c r="F822" s="978" t="str">
        <f>IFERROR(VLOOKUP(C822, [6]條件!$A:$L, 6, 0), "")</f>
        <v>FP82169R×2</v>
      </c>
      <c r="G822" s="1411">
        <f>IFERROR(VLOOKUP(C822, [6]條件!$A:$L, 7, 0), "")</f>
        <v>670</v>
      </c>
      <c r="H822" s="978" t="str">
        <f>IF(ISNA(VLOOKUP(C822,[6]條件!$A$1:$K$932,11,0)),"",(VLOOKUP(C822,[6]條件!$A$1:$K$932,11,0)))</f>
        <v>紅底藍點</v>
      </c>
      <c r="I822" s="979">
        <f>IF(ISNA(VLOOKUP(C822,[6]條件!$A$1:$L$932,12,0)),"",(VLOOKUP(C822,[6]條件!$A$1:$L$932,12,0)))</f>
        <v>5</v>
      </c>
      <c r="J822" s="982">
        <v>31</v>
      </c>
      <c r="K822" s="980">
        <v>0</v>
      </c>
      <c r="L822" s="981"/>
      <c r="M822" s="983">
        <v>9260</v>
      </c>
      <c r="N822" s="982">
        <v>14</v>
      </c>
      <c r="O822" s="980">
        <v>0</v>
      </c>
      <c r="P822" s="981"/>
      <c r="Q822" s="983">
        <v>9170</v>
      </c>
      <c r="R822" s="982">
        <v>9</v>
      </c>
      <c r="S822" s="980">
        <v>0</v>
      </c>
      <c r="T822" s="981"/>
      <c r="U822" s="983">
        <v>9170</v>
      </c>
      <c r="V822" s="982">
        <v>19</v>
      </c>
      <c r="W822" s="980">
        <v>0</v>
      </c>
      <c r="X822" s="981"/>
      <c r="Y822" s="983">
        <v>8800</v>
      </c>
      <c r="Z822" s="1412">
        <f>IFERROR(VLOOKUP(C822, [6]條件!$A:$L, 3, 0), "")</f>
        <v>6.1802575107296125</v>
      </c>
      <c r="AA822" s="984">
        <f>IF(OR(L822={"改紡","檢修","了機","清車","FINAL","停機","SAMPLE","TEST","絲開發"}), L822, IFERROR(IF(C822="", "", (SUM(J822, N822, R822, V822)/3 * AG822) * IF(AND(AF822="S", AS822="雙"), 0.5, 1)), ""))</f>
        <v>48.666666666666664</v>
      </c>
      <c r="AB822" s="1413">
        <f t="shared" si="140"/>
        <v>1</v>
      </c>
      <c r="AC822" s="984">
        <f>IF(OR(L822={"改紡","檢修","了機","清車","FINAL","停機","SAMPLE","TEST"}), "", IFERROR(IF(C822="", "", AVERAGE(L822:M822, P822:Q822, T822:U822, X822:Y822)/100), ""))</f>
        <v>91</v>
      </c>
      <c r="AD822" s="984">
        <f t="shared" si="134"/>
        <v>6.083333333333333</v>
      </c>
      <c r="AE822" s="984">
        <f t="shared" si="141"/>
        <v>6.083333333333333</v>
      </c>
      <c r="AF822" s="985" t="str">
        <f t="shared" si="135"/>
        <v>T</v>
      </c>
      <c r="AG822" s="1414">
        <v>2</v>
      </c>
      <c r="AH822" s="1002" t="s">
        <v>15998</v>
      </c>
      <c r="AI822" s="1002" t="s">
        <v>15998</v>
      </c>
      <c r="AJ822" s="986" t="s">
        <v>16009</v>
      </c>
      <c r="AK822" s="986" t="s">
        <v>16009</v>
      </c>
      <c r="AL822" s="1415">
        <v>48</v>
      </c>
      <c r="AM822" s="1323">
        <v>46155</v>
      </c>
      <c r="AN822" s="1323">
        <v>46156</v>
      </c>
      <c r="AO822" s="1323">
        <v>46157</v>
      </c>
      <c r="AP822" s="1323">
        <v>46158</v>
      </c>
      <c r="AQ822" s="1323"/>
      <c r="AR822" s="987"/>
      <c r="AS822" s="978" t="str">
        <f t="shared" si="136"/>
        <v>雙</v>
      </c>
      <c r="AT822" s="978" t="str">
        <f t="shared" si="137"/>
        <v>半</v>
      </c>
      <c r="AU822" s="978">
        <f t="shared" si="138"/>
        <v>150</v>
      </c>
      <c r="AV822" s="978">
        <f t="shared" si="139"/>
        <v>3.1606847999999998</v>
      </c>
    </row>
    <row r="823" spans="1:48">
      <c r="A823" s="975">
        <f t="shared" si="142"/>
        <v>46163</v>
      </c>
      <c r="B823" s="976" t="s">
        <v>16786</v>
      </c>
      <c r="C823" s="976" t="s">
        <v>16787</v>
      </c>
      <c r="D823" s="1410" t="s">
        <v>16788</v>
      </c>
      <c r="E823" s="977" t="str">
        <f>IFERROR(VLOOKUP(C823, [6]條件!$A:$L, 5, 0), "")</f>
        <v>150/48/2SDR</v>
      </c>
      <c r="F823" s="978" t="str">
        <f>IFERROR(VLOOKUP(C823, [6]條件!$A:$L, 6, 0), "")</f>
        <v>FP82169R×2</v>
      </c>
      <c r="G823" s="1411">
        <f>IFERROR(VLOOKUP(C823, [6]條件!$A:$L, 7, 0), "")</f>
        <v>650</v>
      </c>
      <c r="H823" s="978" t="str">
        <f>IF(ISNA(VLOOKUP(C823,[6]條件!$A$1:$K$932,11,0)),"",(VLOOKUP(C823,[6]條件!$A$1:$K$932,11,0)))</f>
        <v>紫黃條紋</v>
      </c>
      <c r="I823" s="979">
        <f>IF(ISNA(VLOOKUP(C823,[6]條件!$A$1:$L$932,12,0)),"",(VLOOKUP(C823,[6]條件!$A$1:$L$932,12,0)))</f>
        <v>5</v>
      </c>
      <c r="J823" s="982"/>
      <c r="K823" s="980"/>
      <c r="L823" s="981" t="s">
        <v>632</v>
      </c>
      <c r="M823" s="983"/>
      <c r="N823" s="982"/>
      <c r="O823" s="980"/>
      <c r="P823" s="981" t="s">
        <v>632</v>
      </c>
      <c r="Q823" s="983"/>
      <c r="R823" s="982"/>
      <c r="S823" s="980"/>
      <c r="T823" s="981" t="s">
        <v>632</v>
      </c>
      <c r="U823" s="983"/>
      <c r="V823" s="982"/>
      <c r="W823" s="980"/>
      <c r="X823" s="981" t="s">
        <v>632</v>
      </c>
      <c r="Y823" s="983"/>
      <c r="Z823" s="1412">
        <f>IFERROR(VLOOKUP(C823, [6]條件!$A:$L, 3, 0), "")</f>
        <v>6.101694915254237</v>
      </c>
      <c r="AA823" s="984" t="str">
        <f>IF(OR(L823={"改紡","檢修","了機","清車","FINAL","停機","SAMPLE","TEST","絲開發"}), L823, IFERROR(IF(C823="", "", (SUM(J823, N823, R823, V823)/3 * AG823) * IF(AND(AF823="S", AS823="雙"), 0.5, 1)), ""))</f>
        <v>停機</v>
      </c>
      <c r="AB823" s="1413" t="str">
        <f t="shared" si="140"/>
        <v/>
      </c>
      <c r="AC823" s="984" t="str">
        <f>IF(OR(L823={"改紡","檢修","了機","清車","FINAL","停機","SAMPLE","TEST"}), "", IFERROR(IF(C823="", "", AVERAGE(L823:M823, P823:Q823, T823:U823, X823:Y823)/100), ""))</f>
        <v/>
      </c>
      <c r="AD823" s="984" t="str">
        <f t="shared" si="134"/>
        <v/>
      </c>
      <c r="AE823" s="984" t="str">
        <f t="shared" si="141"/>
        <v/>
      </c>
      <c r="AF823" s="985" t="str">
        <f t="shared" si="135"/>
        <v>T</v>
      </c>
      <c r="AG823" s="1414">
        <v>1</v>
      </c>
      <c r="AH823" s="1002" t="s">
        <v>640</v>
      </c>
      <c r="AI823" s="1002" t="s">
        <v>640</v>
      </c>
      <c r="AJ823" s="986" t="s">
        <v>640</v>
      </c>
      <c r="AK823" s="986" t="s">
        <v>640</v>
      </c>
      <c r="AL823" s="1415"/>
      <c r="AM823" s="1323"/>
      <c r="AN823" s="1323"/>
      <c r="AO823" s="1323"/>
      <c r="AP823" s="1323"/>
      <c r="AQ823" s="1323"/>
      <c r="AR823" s="987"/>
      <c r="AS823" s="978" t="str">
        <f t="shared" si="136"/>
        <v>雙</v>
      </c>
      <c r="AT823" s="978" t="str">
        <f t="shared" si="137"/>
        <v>全</v>
      </c>
      <c r="AU823" s="978">
        <f t="shared" si="138"/>
        <v>150</v>
      </c>
      <c r="AV823" s="978" t="str">
        <f t="shared" si="139"/>
        <v/>
      </c>
    </row>
    <row r="824" spans="1:48">
      <c r="A824" s="975">
        <f t="shared" si="142"/>
        <v>46163</v>
      </c>
      <c r="B824" s="976" t="s">
        <v>388</v>
      </c>
      <c r="C824" s="976" t="s">
        <v>16775</v>
      </c>
      <c r="D824" s="1410" t="s">
        <v>633</v>
      </c>
      <c r="E824" s="977" t="str">
        <f>IFERROR(VLOOKUP(C824, [6]條件!$A:$L, 5, 0), "")</f>
        <v>150/48/2SDr</v>
      </c>
      <c r="F824" s="978" t="str">
        <f>IFERROR(VLOOKUP(C824, [6]條件!$A:$L, 6, 0), "")</f>
        <v>FP82173R×2</v>
      </c>
      <c r="G824" s="1411">
        <f>IFERROR(VLOOKUP(C824, [6]條件!$A:$L, 7, 0), "")</f>
        <v>700</v>
      </c>
      <c r="H824" s="978" t="str">
        <f>IF(ISNA(VLOOKUP(C824,[6]條件!$A$1:$K$932,11,0)),"",(VLOOKUP(C824,[6]條件!$A$1:$K$932,11,0)))</f>
        <v>黃紅雙色</v>
      </c>
      <c r="I824" s="979">
        <f>IF(ISNA(VLOOKUP(C824,[6]條件!$A$1:$L$932,12,0)),"",(VLOOKUP(C824,[6]條件!$A$1:$L$932,12,0)))</f>
        <v>5.5</v>
      </c>
      <c r="J824" s="982">
        <v>42</v>
      </c>
      <c r="K824" s="980">
        <v>0</v>
      </c>
      <c r="L824" s="981">
        <v>8610</v>
      </c>
      <c r="M824" s="983">
        <v>10000</v>
      </c>
      <c r="N824" s="982">
        <v>20</v>
      </c>
      <c r="O824" s="980">
        <v>0</v>
      </c>
      <c r="P824" s="981">
        <v>8430</v>
      </c>
      <c r="Q824" s="983">
        <v>9440</v>
      </c>
      <c r="R824" s="982">
        <v>29</v>
      </c>
      <c r="S824" s="980">
        <v>2</v>
      </c>
      <c r="T824" s="981">
        <v>8610</v>
      </c>
      <c r="U824" s="983">
        <v>10000</v>
      </c>
      <c r="V824" s="982">
        <v>31</v>
      </c>
      <c r="W824" s="980">
        <v>2</v>
      </c>
      <c r="X824" s="981">
        <v>8610</v>
      </c>
      <c r="Y824" s="983">
        <v>10000</v>
      </c>
      <c r="Z824" s="1412">
        <f>IFERROR(VLOOKUP(C824, [6]條件!$A:$L, 3, 0), "")</f>
        <v>5.8536585365853666</v>
      </c>
      <c r="AA824" s="984">
        <f>IF(OR(L824={"改紡","檢修","了機","清車","FINAL","停機","SAMPLE","TEST","絲開發"}), L824, IFERROR(IF(C824="", "", (SUM(J824, N824, R824, V824)/3 * AG824) * IF(AND(AF824="S", AS824="雙"), 0.5, 1)), ""))</f>
        <v>40.666666666666664</v>
      </c>
      <c r="AB824" s="1413">
        <f t="shared" si="140"/>
        <v>0.99671474358974355</v>
      </c>
      <c r="AC824" s="984">
        <f>IF(OR(L824={"改紡","檢修","了機","清車","FINAL","停機","SAMPLE","TEST"}), "", IFERROR(IF(C824="", "", AVERAGE(L824:M824, P824:Q824, T824:U824, X824:Y824)/100), ""))</f>
        <v>92.125</v>
      </c>
      <c r="AD824" s="984">
        <f t="shared" si="134"/>
        <v>5.083333333333333</v>
      </c>
      <c r="AE824" s="984">
        <f t="shared" si="141"/>
        <v>4.916666666666667</v>
      </c>
      <c r="AF824" s="985" t="str">
        <f t="shared" si="135"/>
        <v>T</v>
      </c>
      <c r="AG824" s="1414">
        <v>1</v>
      </c>
      <c r="AH824" s="1002" t="s">
        <v>15998</v>
      </c>
      <c r="AI824" s="1002" t="s">
        <v>15998</v>
      </c>
      <c r="AJ824" s="986" t="s">
        <v>16009</v>
      </c>
      <c r="AK824" s="986" t="s">
        <v>16009</v>
      </c>
      <c r="AL824" s="1415">
        <v>56</v>
      </c>
      <c r="AM824" s="1323">
        <v>46158</v>
      </c>
      <c r="AN824" s="1323">
        <v>46159</v>
      </c>
      <c r="AO824" s="1323">
        <v>46161</v>
      </c>
      <c r="AP824" s="1323">
        <v>46162</v>
      </c>
      <c r="AQ824" s="1323"/>
      <c r="AR824" s="987"/>
      <c r="AS824" s="978" t="str">
        <f t="shared" si="136"/>
        <v>雙</v>
      </c>
      <c r="AT824" s="978" t="str">
        <f t="shared" si="137"/>
        <v>全</v>
      </c>
      <c r="AU824" s="978">
        <f t="shared" si="138"/>
        <v>150</v>
      </c>
      <c r="AV824" s="978">
        <f t="shared" si="139"/>
        <v>6.686064</v>
      </c>
    </row>
    <row r="825" spans="1:48">
      <c r="A825" s="975">
        <f t="shared" si="142"/>
        <v>46163</v>
      </c>
      <c r="B825" s="976" t="s">
        <v>417</v>
      </c>
      <c r="C825" s="976" t="s">
        <v>16767</v>
      </c>
      <c r="D825" s="1410" t="s">
        <v>633</v>
      </c>
      <c r="E825" s="977" t="str">
        <f>IFERROR(VLOOKUP(C825, [6]條件!$A:$L, 5, 0), "")</f>
        <v>150/48/2SDr</v>
      </c>
      <c r="F825" s="978" t="str">
        <f>IFERROR(VLOOKUP(C825, [6]條件!$A:$L, 6, 0), "")</f>
        <v>FP82173R×2</v>
      </c>
      <c r="G825" s="1411">
        <f>IFERROR(VLOOKUP(C825, [6]條件!$A:$L, 7, 0), "")</f>
        <v>700</v>
      </c>
      <c r="H825" s="978" t="str">
        <f>IF(ISNA(VLOOKUP(C825,[6]條件!$A$1:$K$932,11,0)),"",(VLOOKUP(C825,[6]條件!$A$1:$K$932,11,0)))</f>
        <v>棕色</v>
      </c>
      <c r="I825" s="979">
        <f>IF(ISNA(VLOOKUP(C825,[6]條件!$A$1:$L$932,12,0)),"",(VLOOKUP(C825,[6]條件!$A$1:$L$932,12,0)))</f>
        <v>5.5</v>
      </c>
      <c r="J825" s="982">
        <v>31</v>
      </c>
      <c r="K825" s="980">
        <v>4</v>
      </c>
      <c r="L825" s="981">
        <v>9630</v>
      </c>
      <c r="M825" s="983">
        <v>9070</v>
      </c>
      <c r="N825" s="982">
        <v>26</v>
      </c>
      <c r="O825" s="980">
        <v>0</v>
      </c>
      <c r="P825" s="981">
        <v>9630</v>
      </c>
      <c r="Q825" s="983">
        <v>9630</v>
      </c>
      <c r="R825" s="982">
        <v>21</v>
      </c>
      <c r="S825" s="980">
        <v>2</v>
      </c>
      <c r="T825" s="981">
        <v>9910</v>
      </c>
      <c r="U825" s="983">
        <v>9630</v>
      </c>
      <c r="V825" s="982">
        <v>13</v>
      </c>
      <c r="W825" s="980">
        <v>1</v>
      </c>
      <c r="X825" s="981">
        <v>9810</v>
      </c>
      <c r="Y825" s="983">
        <v>9630</v>
      </c>
      <c r="Z825" s="1412">
        <f>IFERROR(VLOOKUP(C825, [6]條件!$A:$L, 3, 0), "")</f>
        <v>5.8536585365853666</v>
      </c>
      <c r="AA825" s="984">
        <f>IF(OR(L825={"改紡","檢修","了機","清車","FINAL","停機","SAMPLE","TEST","絲開發"}), L825, IFERROR(IF(C825="", "", (SUM(J825, N825, R825, V825)/3 * AG825) * IF(AND(AF825="S", AS825="雙"), 0.5, 1)), ""))</f>
        <v>30.333333333333332</v>
      </c>
      <c r="AB825" s="1413">
        <f t="shared" si="140"/>
        <v>0.99425080128205123</v>
      </c>
      <c r="AC825" s="984">
        <f>IF(OR(L825={"改紡","檢修","了機","清車","FINAL","停機","SAMPLE","TEST"}), "", IFERROR(IF(C825="", "", AVERAGE(L825:M825, P825:Q825, T825:U825, X825:Y825)/100), ""))</f>
        <v>96.174999999999997</v>
      </c>
      <c r="AD825" s="984">
        <f t="shared" si="134"/>
        <v>3.7916666666666665</v>
      </c>
      <c r="AE825" s="984">
        <f t="shared" si="141"/>
        <v>3.5</v>
      </c>
      <c r="AF825" s="985" t="str">
        <f t="shared" si="135"/>
        <v>T</v>
      </c>
      <c r="AG825" s="1414">
        <v>1</v>
      </c>
      <c r="AH825" s="1002" t="s">
        <v>16008</v>
      </c>
      <c r="AI825" s="1002" t="s">
        <v>16008</v>
      </c>
      <c r="AJ825" s="986" t="s">
        <v>16009</v>
      </c>
      <c r="AK825" s="986" t="s">
        <v>16009</v>
      </c>
      <c r="AL825" s="1415">
        <v>56</v>
      </c>
      <c r="AM825" s="1323">
        <v>46159</v>
      </c>
      <c r="AN825" s="1323">
        <v>46160</v>
      </c>
      <c r="AO825" s="1323"/>
      <c r="AP825" s="1323"/>
      <c r="AQ825" s="1323"/>
      <c r="AR825" s="987"/>
      <c r="AS825" s="978" t="str">
        <f t="shared" si="136"/>
        <v>雙</v>
      </c>
      <c r="AT825" s="978" t="str">
        <f t="shared" si="137"/>
        <v>全</v>
      </c>
      <c r="AU825" s="978">
        <f t="shared" si="138"/>
        <v>150</v>
      </c>
      <c r="AV825" s="978">
        <f t="shared" si="139"/>
        <v>6.9799968000000012</v>
      </c>
    </row>
    <row r="826" spans="1:48">
      <c r="A826" s="975">
        <f t="shared" si="142"/>
        <v>46163</v>
      </c>
      <c r="B826" s="976" t="s">
        <v>240</v>
      </c>
      <c r="C826" s="976" t="s">
        <v>16776</v>
      </c>
      <c r="D826" s="1410"/>
      <c r="E826" s="977" t="str">
        <f>IFERROR(VLOOKUP(C826, [6]條件!$A:$L, 5, 0), "")</f>
        <v>50/72/2SDFFR</v>
      </c>
      <c r="F826" s="978" t="str">
        <f>IFERROR(VLOOKUP(C826, [6]條件!$A:$L, 6, 0), "")</f>
        <v>FP80099R×2</v>
      </c>
      <c r="G826" s="1411">
        <f>IFERROR(VLOOKUP(C826, [6]條件!$A:$L, 7, 0), "")</f>
        <v>500</v>
      </c>
      <c r="H826" s="978" t="str">
        <f>IF(ISNA(VLOOKUP(C826,[6]條件!$A$1:$K$932,11,0)),"",(VLOOKUP(C826,[6]條件!$A$1:$K$932,11,0)))</f>
        <v>白黑三角</v>
      </c>
      <c r="I826" s="979">
        <f>IF(ISNA(VLOOKUP(C826,[6]條件!$A$1:$L$932,12,0)),"",(VLOOKUP(C826,[6]條件!$A$1:$L$932,12,0)))</f>
        <v>4</v>
      </c>
      <c r="J826" s="982">
        <v>24</v>
      </c>
      <c r="K826" s="980">
        <v>0</v>
      </c>
      <c r="L826" s="981">
        <v>2757</v>
      </c>
      <c r="M826" s="983"/>
      <c r="N826" s="982">
        <v>2</v>
      </c>
      <c r="O826" s="980">
        <v>0</v>
      </c>
      <c r="P826" s="981">
        <v>2950</v>
      </c>
      <c r="Q826" s="983"/>
      <c r="R826" s="982">
        <v>8</v>
      </c>
      <c r="S826" s="980">
        <v>0</v>
      </c>
      <c r="T826" s="981">
        <v>3000</v>
      </c>
      <c r="U826" s="983"/>
      <c r="V826" s="982">
        <v>6</v>
      </c>
      <c r="W826" s="980">
        <v>0</v>
      </c>
      <c r="X826" s="981">
        <v>3470</v>
      </c>
      <c r="Y826" s="983"/>
      <c r="Z826" s="1422">
        <f>IFERROR(VLOOKUP(C826, [6]條件!$A:$L, 3, 0), "")</f>
        <v>2.028169014084507</v>
      </c>
      <c r="AA826" s="1167">
        <f>IF(OR(L826={"改紡","檢修","了機","清車","FINAL","停機","SAMPLE","TEST","絲開發"}), L826, IFERROR(IF(C826="", "", (SUM(J826, N826, R826, V826)/3 * AG826) * IF(AND(AF826="S", AS826="雙"), 0.5, 1)), ""))</f>
        <v>20</v>
      </c>
      <c r="AB826" s="1423">
        <f>IF(K826="","",IF(ISERROR(1-((SUM(K826,O826,S826,W826)/((AG826*12)-(AG826*0.44)))/Z826)),"",(1-((SUM(K826,O826,S826,W826)/((AG826*12)-(AG826*0.44)))/Z826))))</f>
        <v>1</v>
      </c>
      <c r="AC826" s="1167">
        <f>IF(OR(L826={"改紡","檢修","了機","清車","FINAL","停機","SAMPLE","TEST"}), "", IFERROR(IF(C826="", "", AVERAGE(L826:M826, P826:Q826, T826:U826, X826:Y826)/100), ""))</f>
        <v>30.442499999999999</v>
      </c>
      <c r="AD826" s="1167">
        <f t="shared" si="134"/>
        <v>2.5</v>
      </c>
      <c r="AE826" s="1167">
        <f>IF(P826="了機","",IF(J826="","",IF(ISERROR((SUM(J826,N826,R826,V826)-SUM(K826,O826,S826,W826))/24),"",((SUM(J826,N826,R826,V826)-SUM(K826,O826,S826,W826))/24))))</f>
        <v>1.6666666666666667</v>
      </c>
      <c r="AF826" s="1168" t="str">
        <f t="shared" si="135"/>
        <v>S</v>
      </c>
      <c r="AG826" s="1424">
        <v>3</v>
      </c>
      <c r="AH826" s="1002" t="s">
        <v>16000</v>
      </c>
      <c r="AI826" s="1002" t="s">
        <v>16000</v>
      </c>
      <c r="AJ826" s="986" t="s">
        <v>16005</v>
      </c>
      <c r="AK826" s="986" t="s">
        <v>16005</v>
      </c>
      <c r="AL826" s="1415">
        <v>50</v>
      </c>
      <c r="AM826" s="1323">
        <v>46045</v>
      </c>
      <c r="AN826" s="1323"/>
      <c r="AO826" s="1323"/>
      <c r="AP826" s="1323"/>
      <c r="AQ826" s="1323"/>
      <c r="AR826" s="987"/>
      <c r="AS826" s="978" t="str">
        <f t="shared" si="136"/>
        <v>雙</v>
      </c>
      <c r="AT826" s="978" t="str">
        <f t="shared" si="137"/>
        <v>3sec</v>
      </c>
      <c r="AU826" s="978">
        <f t="shared" si="138"/>
        <v>50</v>
      </c>
      <c r="AV826" s="978">
        <f t="shared" si="139"/>
        <v>3.2877899999999995E-2</v>
      </c>
    </row>
    <row r="827" spans="1:48">
      <c r="A827" s="975">
        <f t="shared" si="142"/>
        <v>46163</v>
      </c>
      <c r="B827" s="976" t="s">
        <v>240</v>
      </c>
      <c r="C827" s="976" t="s">
        <v>16777</v>
      </c>
      <c r="D827" s="1410"/>
      <c r="E827" s="977" t="str">
        <f>IFERROR(VLOOKUP(C827, [6]條件!$A:$L, 5, 0), "")</f>
        <v>75/72/2SDFFR</v>
      </c>
      <c r="F827" s="978" t="str">
        <f>IFERROR(VLOOKUP(C827, [6]條件!$A:$L, 6, 0), "")</f>
        <v>FP81209R×2</v>
      </c>
      <c r="G827" s="1411">
        <f>IFERROR(VLOOKUP(C827, [6]條件!$A:$L, 7, 0), "")</f>
        <v>600</v>
      </c>
      <c r="H827" s="978" t="str">
        <f>IF(ISNA(VLOOKUP(C827,[6]條件!$A$1:$K$932,11,0)),"",(VLOOKUP(C827,[6]條件!$A$1:$K$932,11,0)))</f>
        <v>白底紅十字</v>
      </c>
      <c r="I827" s="979">
        <f>IF(ISNA(VLOOKUP(C827,[6]條件!$A$1:$L$932,12,0)),"",(VLOOKUP(C827,[6]條件!$A$1:$L$932,12,0)))</f>
        <v>5</v>
      </c>
      <c r="J827" s="982">
        <v>16</v>
      </c>
      <c r="K827" s="980">
        <v>0</v>
      </c>
      <c r="L827" s="981">
        <v>2757</v>
      </c>
      <c r="M827" s="983"/>
      <c r="N827" s="982">
        <v>12</v>
      </c>
      <c r="O827" s="980">
        <v>0</v>
      </c>
      <c r="P827" s="981">
        <v>2950</v>
      </c>
      <c r="Q827" s="983"/>
      <c r="R827" s="982">
        <v>8</v>
      </c>
      <c r="S827" s="980">
        <v>0</v>
      </c>
      <c r="T827" s="981">
        <v>3000</v>
      </c>
      <c r="U827" s="983"/>
      <c r="V827" s="982">
        <v>14</v>
      </c>
      <c r="W827" s="980">
        <v>0</v>
      </c>
      <c r="X827" s="981">
        <v>3470</v>
      </c>
      <c r="Y827" s="983"/>
      <c r="Z827" s="1422">
        <f>IFERROR(VLOOKUP(C827, [6]條件!$A:$L, 3, 0), "")</f>
        <v>2.7852998065764023</v>
      </c>
      <c r="AA827" s="1167">
        <f>IF(OR(L827={"改紡","檢修","了機","清車","FINAL","停機","SAMPLE","TEST","絲開發"}), L827, IFERROR(IF(C827="", "", (SUM(J827, N827, R827, V827)/3 * AG827) * IF(AND(AF827="S", AS827="雙"), 0.5, 1)), ""))</f>
        <v>25</v>
      </c>
      <c r="AB827" s="1423">
        <f>IF(K827="","",IF(ISERROR(1-((SUM(K827,O827,S827,W827)/((AG827*12)-(AG827*0.44)))/Z827)),"",(1-((SUM(K827,O827,S827,W827)/((AG827*12)-(AG827*0.44)))/Z827))))</f>
        <v>1</v>
      </c>
      <c r="AC827" s="1167">
        <f>IF(OR(L827={"改紡","檢修","了機","清車","FINAL","停機","SAMPLE","TEST"}), "", IFERROR(IF(C827="", "", AVERAGE(L827:M827, P827:Q827, T827:U827, X827:Y827)/100), ""))</f>
        <v>30.442499999999999</v>
      </c>
      <c r="AD827" s="1167">
        <f t="shared" si="134"/>
        <v>3.125</v>
      </c>
      <c r="AE827" s="1167">
        <f>IF(P827="了機","",IF(J827="","",IF(ISERROR((SUM(J827,N827,R827,V827)-SUM(K827,O827,S827,W827))/24),"",((SUM(J827,N827,R827,V827)-SUM(K827,O827,S827,W827))/24))))</f>
        <v>2.0833333333333335</v>
      </c>
      <c r="AF827" s="1168" t="str">
        <f t="shared" si="135"/>
        <v>S</v>
      </c>
      <c r="AG827" s="1424">
        <v>3</v>
      </c>
      <c r="AH827" s="1002" t="s">
        <v>16000</v>
      </c>
      <c r="AI827" s="1002" t="s">
        <v>16000</v>
      </c>
      <c r="AJ827" s="986" t="s">
        <v>16005</v>
      </c>
      <c r="AK827" s="986" t="s">
        <v>16005</v>
      </c>
      <c r="AL827" s="1415">
        <v>50</v>
      </c>
      <c r="AM827" s="1323">
        <v>46088</v>
      </c>
      <c r="AN827" s="1323"/>
      <c r="AO827" s="1323"/>
      <c r="AP827" s="1323"/>
      <c r="AQ827" s="1323"/>
      <c r="AR827" s="987"/>
      <c r="AS827" s="978" t="str">
        <f t="shared" si="136"/>
        <v>雙</v>
      </c>
      <c r="AT827" s="978" t="str">
        <f t="shared" si="137"/>
        <v>3sec</v>
      </c>
      <c r="AU827" s="978">
        <f t="shared" si="138"/>
        <v>75</v>
      </c>
      <c r="AV827" s="978">
        <f t="shared" si="139"/>
        <v>5.9180219999999999E-2</v>
      </c>
    </row>
    <row r="828" spans="1:48">
      <c r="A828" s="975">
        <f t="shared" si="142"/>
        <v>46163</v>
      </c>
      <c r="B828" s="976" t="s">
        <v>242</v>
      </c>
      <c r="C828" s="976" t="s">
        <v>385</v>
      </c>
      <c r="D828" s="1410"/>
      <c r="E828" s="977" t="str">
        <f>IFERROR(VLOOKUP(C828, [6]條件!$A:$L, 5, 0), "")</f>
        <v/>
      </c>
      <c r="F828" s="978" t="str">
        <f>IFERROR(VLOOKUP(C828, [6]條件!$A:$L, 6, 0), "")</f>
        <v/>
      </c>
      <c r="G828" s="1411" t="str">
        <f>IFERROR(VLOOKUP(C828, [6]條件!$A:$L, 7, 0), "")</f>
        <v/>
      </c>
      <c r="H828" s="978" t="str">
        <f>IF(ISNA(VLOOKUP(C828,[6]條件!$A$1:$K$932,11,0)),"",(VLOOKUP(C828,[6]條件!$A$1:$K$932,11,0)))</f>
        <v/>
      </c>
      <c r="I828" s="979" t="str">
        <f>IF(ISNA(VLOOKUP(C828,[6]條件!$A$1:$L$932,12,0)),"",(VLOOKUP(C828,[6]條件!$A$1:$L$932,12,0)))</f>
        <v/>
      </c>
      <c r="J828" s="982"/>
      <c r="K828" s="980"/>
      <c r="L828" s="981" t="s">
        <v>385</v>
      </c>
      <c r="M828" s="983"/>
      <c r="N828" s="982"/>
      <c r="O828" s="980"/>
      <c r="P828" s="981" t="s">
        <v>385</v>
      </c>
      <c r="Q828" s="983"/>
      <c r="R828" s="982"/>
      <c r="S828" s="980"/>
      <c r="T828" s="981" t="s">
        <v>385</v>
      </c>
      <c r="U828" s="983"/>
      <c r="V828" s="982"/>
      <c r="W828" s="980"/>
      <c r="X828" s="981" t="s">
        <v>385</v>
      </c>
      <c r="Y828" s="983"/>
      <c r="Z828" s="1422" t="str">
        <f>IFERROR(VLOOKUP(C828, [6]條件!$A:$L, 3, 0), "")</f>
        <v/>
      </c>
      <c r="AA828" s="1167" t="str">
        <f>IF(OR(L828={"改紡","檢修","了機","清車","FINAL","停機","SAMPLE","TEST","絲開發"}), L828, IFERROR(IF(C828="", "", (SUM(J828, N828, R828, V828)/3 * AG828) * IF(AND(AF828="S", AS828="雙"), 0.5, 1)), ""))</f>
        <v>絲開發</v>
      </c>
      <c r="AB828" s="1423" t="str">
        <f>IF(K828="","",IF(ISERROR(1-((SUM(K828,O828,S828,W828)/((AG828*12)-(AG828*0.44)))/Z828)),"",(1-((SUM(K828,O828,S828,W828)/((AG828*12)-(AG828*0.44)))/Z828))))</f>
        <v/>
      </c>
      <c r="AC828" s="1167" t="str">
        <f>IF(OR(L828={"改紡","檢修","了機","清車","FINAL","停機","SAMPLE","TEST"}), "", IFERROR(IF(C828="", "", AVERAGE(L828:M828, P828:Q828, T828:U828, X828:Y828)/100), ""))</f>
        <v/>
      </c>
      <c r="AD828" s="1167" t="str">
        <f t="shared" si="134"/>
        <v/>
      </c>
      <c r="AE828" s="1167" t="str">
        <f>IF(P828="了機","",IF(J828="","",IF(ISERROR((SUM(J828,N828,R828,V828)-SUM(K828,O828,S828,W828))/24),"",((SUM(J828,N828,R828,V828)-SUM(K828,O828,S828,W828))/24))))</f>
        <v/>
      </c>
      <c r="AF828" s="1168" t="str">
        <f t="shared" si="135"/>
        <v>S</v>
      </c>
      <c r="AG828" s="1424">
        <v>5</v>
      </c>
      <c r="AH828" s="1002" t="s">
        <v>16000</v>
      </c>
      <c r="AI828" s="1002" t="s">
        <v>16000</v>
      </c>
      <c r="AJ828" s="986" t="s">
        <v>16005</v>
      </c>
      <c r="AK828" s="986" t="s">
        <v>16005</v>
      </c>
      <c r="AL828" s="1415"/>
      <c r="AM828" s="1323"/>
      <c r="AN828" s="1323"/>
      <c r="AO828" s="1323"/>
      <c r="AP828" s="1323"/>
      <c r="AQ828" s="1323"/>
      <c r="AR828" s="987"/>
      <c r="AS828" s="978" t="str">
        <f t="shared" si="136"/>
        <v>單</v>
      </c>
      <c r="AT828" s="978" t="str">
        <f t="shared" si="137"/>
        <v>5sec</v>
      </c>
      <c r="AU828" s="978" t="str">
        <f t="shared" si="138"/>
        <v/>
      </c>
      <c r="AV828" s="978" t="str">
        <f t="shared" si="139"/>
        <v/>
      </c>
    </row>
    <row r="829" spans="1:48">
      <c r="A829" s="975">
        <f t="shared" si="142"/>
        <v>46163</v>
      </c>
      <c r="B829" s="976" t="s">
        <v>16078</v>
      </c>
      <c r="C829" s="988" t="s">
        <v>16185</v>
      </c>
      <c r="D829" s="1410"/>
      <c r="E829" s="977" t="str">
        <f>IFERROR(VLOOKUP(C829, [6]條件!$A:$L, 5, 0), "")</f>
        <v/>
      </c>
      <c r="F829" s="978" t="str">
        <f>IFERROR(VLOOKUP(C829, [6]條件!$A:$L, 6, 0), "")</f>
        <v/>
      </c>
      <c r="G829" s="1411" t="str">
        <f>IFERROR(VLOOKUP(C829, [6]條件!$A:$L, 7, 0), "")</f>
        <v/>
      </c>
      <c r="H829" s="978" t="str">
        <f>IF(ISNA(VLOOKUP(C829,[6]條件!$A$1:$K$932,11,0)),"",(VLOOKUP(C829,[6]條件!$A$1:$K$932,11,0)))</f>
        <v/>
      </c>
      <c r="I829" s="979" t="str">
        <f>IF(ISNA(VLOOKUP(C829,[6]條件!$A$1:$L$932,12,0)),"",(VLOOKUP(C829,[6]條件!$A$1:$L$932,12,0)))</f>
        <v/>
      </c>
      <c r="J829" s="982"/>
      <c r="K829" s="980"/>
      <c r="L829" s="981" t="s">
        <v>632</v>
      </c>
      <c r="M829" s="983"/>
      <c r="N829" s="982"/>
      <c r="O829" s="980"/>
      <c r="P829" s="981" t="s">
        <v>632</v>
      </c>
      <c r="Q829" s="983"/>
      <c r="R829" s="982"/>
      <c r="S829" s="980"/>
      <c r="T829" s="981" t="s">
        <v>632</v>
      </c>
      <c r="U829" s="983"/>
      <c r="V829" s="982"/>
      <c r="W829" s="980"/>
      <c r="X829" s="981" t="s">
        <v>632</v>
      </c>
      <c r="Y829" s="983"/>
      <c r="Z829" s="1412" t="str">
        <f>IFERROR(VLOOKUP(C829, [6]條件!$A:$L, 3, 0), "")</f>
        <v/>
      </c>
      <c r="AA829" s="984" t="str">
        <f>IF(OR(L829={"改紡","檢修","了機","清車","FINAL","停機","SAMPLE","TEST","絲開發"}), L829, IFERROR(IF(C829="", "", (SUM(J829, N829, R829, V829)/3 * AG829) * IF(AND(AF829="S", AS829="雙"), 0.5, 1)), ""))</f>
        <v>停機</v>
      </c>
      <c r="AB829" s="1413" t="str">
        <f t="shared" ref="AB829:AB864" si="143">IF(K829="","",IF(ISERROR(1-(SUM(K829,O829,S829,W829)/208/Z829)),"",(1-(SUM(K829,O829,S829,W829)/208/Z829))))</f>
        <v/>
      </c>
      <c r="AC829" s="984" t="str">
        <f>IF(OR(L829={"改紡","檢修","了機","清車","FINAL","停機","SAMPLE","TEST"}), "", IFERROR(IF(C829="", "", AVERAGE(L829:M829, P829:Q829, T829:U829, X829:Y829)/100), ""))</f>
        <v/>
      </c>
      <c r="AD829" s="984" t="str">
        <f t="shared" si="134"/>
        <v/>
      </c>
      <c r="AE829" s="984" t="str">
        <f>IF(OR(L829="改紡", L829="檢修", L829="了機"), "",
   IF(AND(C829&lt;&gt;"", J829&lt;&gt;""),
      IFERROR((SUM(J829, N829, R829, V829) - SUM(K829, O829, S829, W829))/24 * AG829, ""),
   "")
)</f>
        <v/>
      </c>
      <c r="AF829" s="985" t="str">
        <f t="shared" si="135"/>
        <v>M</v>
      </c>
      <c r="AG829" s="1414">
        <v>1</v>
      </c>
      <c r="AH829" s="1002" t="s">
        <v>640</v>
      </c>
      <c r="AI829" s="986" t="s">
        <v>640</v>
      </c>
      <c r="AJ829" s="986" t="s">
        <v>640</v>
      </c>
      <c r="AK829" s="1417" t="s">
        <v>640</v>
      </c>
      <c r="AL829" s="1415"/>
      <c r="AM829" s="1323"/>
      <c r="AN829" s="1323"/>
      <c r="AO829" s="1323"/>
      <c r="AP829" s="1323"/>
      <c r="AQ829" s="1323"/>
      <c r="AR829" s="987"/>
      <c r="AS829" s="978" t="str">
        <f t="shared" si="136"/>
        <v>單</v>
      </c>
      <c r="AT829" s="978" t="str">
        <f t="shared" si="137"/>
        <v>全</v>
      </c>
      <c r="AU829" s="978" t="str">
        <f t="shared" si="138"/>
        <v/>
      </c>
      <c r="AV829" s="978" t="str">
        <f t="shared" si="139"/>
        <v/>
      </c>
    </row>
    <row r="830" spans="1:48">
      <c r="A830" s="975">
        <f t="shared" si="142"/>
        <v>46163</v>
      </c>
      <c r="B830" s="976" t="s">
        <v>243</v>
      </c>
      <c r="C830" s="988" t="s">
        <v>16185</v>
      </c>
      <c r="D830" s="1410"/>
      <c r="E830" s="977" t="str">
        <f>IFERROR(VLOOKUP(C830, [6]條件!$A:$L, 5, 0), "")</f>
        <v/>
      </c>
      <c r="F830" s="978" t="str">
        <f>IFERROR(VLOOKUP(C830, [6]條件!$A:$L, 6, 0), "")</f>
        <v/>
      </c>
      <c r="G830" s="1411" t="str">
        <f>IFERROR(VLOOKUP(C830, [6]條件!$A:$L, 7, 0), "")</f>
        <v/>
      </c>
      <c r="H830" s="978" t="str">
        <f>IF(ISNA(VLOOKUP(C830,[6]條件!$A$1:$K$932,11,0)),"",(VLOOKUP(C830,[6]條件!$A$1:$K$932,11,0)))</f>
        <v/>
      </c>
      <c r="I830" s="979" t="str">
        <f>IF(ISNA(VLOOKUP(C830,[6]條件!$A$1:$L$932,12,0)),"",(VLOOKUP(C830,[6]條件!$A$1:$L$932,12,0)))</f>
        <v/>
      </c>
      <c r="J830" s="982"/>
      <c r="K830" s="980"/>
      <c r="L830" s="981" t="s">
        <v>632</v>
      </c>
      <c r="M830" s="983"/>
      <c r="N830" s="982"/>
      <c r="O830" s="980"/>
      <c r="P830" s="981" t="s">
        <v>632</v>
      </c>
      <c r="Q830" s="983"/>
      <c r="R830" s="982"/>
      <c r="S830" s="980"/>
      <c r="T830" s="981" t="s">
        <v>632</v>
      </c>
      <c r="U830" s="983"/>
      <c r="V830" s="982"/>
      <c r="W830" s="980"/>
      <c r="X830" s="981" t="s">
        <v>632</v>
      </c>
      <c r="Y830" s="983"/>
      <c r="Z830" s="1412" t="str">
        <f>IFERROR(VLOOKUP(C830, [6]條件!$A:$L, 3, 0), "")</f>
        <v/>
      </c>
      <c r="AA830" s="984" t="str">
        <f>IF(OR(L830={"改紡","檢修","了機","清車","FINAL","停機","SAMPLE","TEST","絲開發"}), L830, IFERROR(IF(C830="", "", (SUM(J830, N830, R830, V830)/3 * AG830) * IF(AND(AF830="S", AS830="雙"), 0.5, 1)), ""))</f>
        <v>停機</v>
      </c>
      <c r="AB830" s="1413" t="str">
        <f t="shared" si="143"/>
        <v/>
      </c>
      <c r="AC830" s="984" t="str">
        <f>IF(OR(L830={"改紡","檢修","了機","清車","FINAL","停機","SAMPLE","TEST"}), "", IFERROR(IF(C830="", "", AVERAGE(L830:M830, P830:Q830, T830:U830, X830:Y830)/100), ""))</f>
        <v/>
      </c>
      <c r="AD830" s="984" t="str">
        <f t="shared" si="134"/>
        <v/>
      </c>
      <c r="AE830" s="984" t="str">
        <f t="shared" ref="AE830:AE864" si="144">IF(OR(L830="改紡", L830="檢修", L830="了機"), "",
IF(AND(C830&lt;&gt;"", J830&lt;&gt;""),
IFERROR((SUM(J830, N830, R830, V830) - SUM(K830, O830, S830, W830))/24 * AG830, ""),
"")
)</f>
        <v/>
      </c>
      <c r="AF830" s="985" t="str">
        <f t="shared" si="135"/>
        <v>M</v>
      </c>
      <c r="AG830" s="1414">
        <v>1</v>
      </c>
      <c r="AH830" s="1002" t="s">
        <v>640</v>
      </c>
      <c r="AI830" s="986" t="s">
        <v>640</v>
      </c>
      <c r="AJ830" s="986" t="s">
        <v>640</v>
      </c>
      <c r="AK830" s="1417" t="s">
        <v>640</v>
      </c>
      <c r="AL830" s="1415"/>
      <c r="AM830" s="1323"/>
      <c r="AN830" s="1323"/>
      <c r="AO830" s="1323"/>
      <c r="AP830" s="1323"/>
      <c r="AQ830" s="1323"/>
      <c r="AR830" s="987"/>
      <c r="AS830" s="978" t="str">
        <f t="shared" si="136"/>
        <v>單</v>
      </c>
      <c r="AT830" s="978" t="str">
        <f t="shared" si="137"/>
        <v>全</v>
      </c>
      <c r="AU830" s="978" t="str">
        <f t="shared" si="138"/>
        <v/>
      </c>
      <c r="AV830" s="978" t="str">
        <f t="shared" si="139"/>
        <v/>
      </c>
    </row>
    <row r="831" spans="1:48">
      <c r="A831" s="975">
        <f t="shared" si="142"/>
        <v>46163</v>
      </c>
      <c r="B831" s="976" t="s">
        <v>244</v>
      </c>
      <c r="C831" s="988" t="s">
        <v>16185</v>
      </c>
      <c r="D831" s="1410"/>
      <c r="E831" s="977" t="str">
        <f>IFERROR(VLOOKUP(C831, [6]條件!$A:$L, 5, 0), "")</f>
        <v/>
      </c>
      <c r="F831" s="978" t="str">
        <f>IFERROR(VLOOKUP(C831, [6]條件!$A:$L, 6, 0), "")</f>
        <v/>
      </c>
      <c r="G831" s="1411" t="str">
        <f>IFERROR(VLOOKUP(C831, [6]條件!$A:$L, 7, 0), "")</f>
        <v/>
      </c>
      <c r="H831" s="978" t="str">
        <f>IF(ISNA(VLOOKUP(C831,[6]條件!$A$1:$K$932,11,0)),"",(VLOOKUP(C831,[6]條件!$A$1:$K$932,11,0)))</f>
        <v/>
      </c>
      <c r="I831" s="979" t="str">
        <f>IF(ISNA(VLOOKUP(C831,[6]條件!$A$1:$L$932,12,0)),"",(VLOOKUP(C831,[6]條件!$A$1:$L$932,12,0)))</f>
        <v/>
      </c>
      <c r="J831" s="982"/>
      <c r="K831" s="980"/>
      <c r="L831" s="981" t="s">
        <v>632</v>
      </c>
      <c r="M831" s="983"/>
      <c r="N831" s="982"/>
      <c r="O831" s="980"/>
      <c r="P831" s="981" t="s">
        <v>632</v>
      </c>
      <c r="Q831" s="983"/>
      <c r="R831" s="982"/>
      <c r="S831" s="980"/>
      <c r="T831" s="981" t="s">
        <v>632</v>
      </c>
      <c r="U831" s="983"/>
      <c r="V831" s="982"/>
      <c r="W831" s="980"/>
      <c r="X831" s="981" t="s">
        <v>632</v>
      </c>
      <c r="Y831" s="983"/>
      <c r="Z831" s="1412" t="str">
        <f>IFERROR(VLOOKUP(C831, [6]條件!$A:$L, 3, 0), "")</f>
        <v/>
      </c>
      <c r="AA831" s="984" t="str">
        <f>IF(OR(L831={"改紡","檢修","了機","清車","FINAL","停機","SAMPLE","TEST","絲開發"}), L831, IFERROR(IF(C831="", "", (SUM(J831, N831, R831, V831)/3 * AG831) * IF(AND(AF831="S", AS831="雙"), 0.5, 1)), ""))</f>
        <v>停機</v>
      </c>
      <c r="AB831" s="1413" t="str">
        <f t="shared" si="143"/>
        <v/>
      </c>
      <c r="AC831" s="984" t="str">
        <f>IF(OR(L831={"改紡","檢修","了機","清車","FINAL","停機","SAMPLE","TEST"}), "", IFERROR(IF(C831="", "", AVERAGE(L831:M831, P831:Q831, T831:U831, X831:Y831)/100), ""))</f>
        <v/>
      </c>
      <c r="AD831" s="984" t="str">
        <f t="shared" si="134"/>
        <v/>
      </c>
      <c r="AE831" s="984" t="str">
        <f t="shared" si="144"/>
        <v/>
      </c>
      <c r="AF831" s="985" t="str">
        <f t="shared" si="135"/>
        <v>M</v>
      </c>
      <c r="AG831" s="1414">
        <v>1</v>
      </c>
      <c r="AH831" s="1002" t="s">
        <v>640</v>
      </c>
      <c r="AI831" s="986" t="s">
        <v>640</v>
      </c>
      <c r="AJ831" s="986" t="s">
        <v>640</v>
      </c>
      <c r="AK831" s="1417" t="s">
        <v>640</v>
      </c>
      <c r="AL831" s="1415"/>
      <c r="AM831" s="1323"/>
      <c r="AN831" s="1323"/>
      <c r="AO831" s="1323"/>
      <c r="AP831" s="1323"/>
      <c r="AQ831" s="1323"/>
      <c r="AR831" s="987"/>
      <c r="AS831" s="978" t="str">
        <f t="shared" si="136"/>
        <v>單</v>
      </c>
      <c r="AT831" s="978" t="str">
        <f t="shared" si="137"/>
        <v>全</v>
      </c>
      <c r="AU831" s="978" t="str">
        <f t="shared" si="138"/>
        <v/>
      </c>
      <c r="AV831" s="978" t="str">
        <f t="shared" si="139"/>
        <v/>
      </c>
    </row>
    <row r="832" spans="1:48">
      <c r="A832" s="975">
        <f t="shared" si="142"/>
        <v>46163</v>
      </c>
      <c r="B832" s="976" t="s">
        <v>245</v>
      </c>
      <c r="C832" s="988" t="s">
        <v>16185</v>
      </c>
      <c r="D832" s="1410"/>
      <c r="E832" s="977" t="str">
        <f>IFERROR(VLOOKUP(C832, [6]條件!$A:$L, 5, 0), "")</f>
        <v/>
      </c>
      <c r="F832" s="978" t="str">
        <f>IFERROR(VLOOKUP(C832, [6]條件!$A:$L, 6, 0), "")</f>
        <v/>
      </c>
      <c r="G832" s="1411" t="str">
        <f>IFERROR(VLOOKUP(C832, [6]條件!$A:$L, 7, 0), "")</f>
        <v/>
      </c>
      <c r="H832" s="978" t="str">
        <f>IF(ISNA(VLOOKUP(C832,[6]條件!$A$1:$K$932,11,0)),"",(VLOOKUP(C832,[6]條件!$A$1:$K$932,11,0)))</f>
        <v/>
      </c>
      <c r="I832" s="979" t="str">
        <f>IF(ISNA(VLOOKUP(C832,[6]條件!$A$1:$L$932,12,0)),"",(VLOOKUP(C832,[6]條件!$A$1:$L$932,12,0)))</f>
        <v/>
      </c>
      <c r="J832" s="982"/>
      <c r="K832" s="980"/>
      <c r="L832" s="981" t="s">
        <v>632</v>
      </c>
      <c r="M832" s="983"/>
      <c r="N832" s="982"/>
      <c r="O832" s="980"/>
      <c r="P832" s="981" t="s">
        <v>632</v>
      </c>
      <c r="Q832" s="983"/>
      <c r="R832" s="982"/>
      <c r="S832" s="980"/>
      <c r="T832" s="981" t="s">
        <v>632</v>
      </c>
      <c r="U832" s="983"/>
      <c r="V832" s="982"/>
      <c r="W832" s="980"/>
      <c r="X832" s="981" t="s">
        <v>632</v>
      </c>
      <c r="Y832" s="983"/>
      <c r="Z832" s="1412" t="str">
        <f>IFERROR(VLOOKUP(C832, [6]條件!$A:$L, 3, 0), "")</f>
        <v/>
      </c>
      <c r="AA832" s="984" t="str">
        <f>IF(OR(L832={"改紡","檢修","了機","清車","FINAL","停機","SAMPLE","TEST","絲開發"}), L832, IFERROR(IF(C832="", "", (SUM(J832, N832, R832, V832)/3 * AG832) * IF(AND(AF832="S", AS832="雙"), 0.5, 1)), ""))</f>
        <v>停機</v>
      </c>
      <c r="AB832" s="1413" t="str">
        <f t="shared" si="143"/>
        <v/>
      </c>
      <c r="AC832" s="984" t="str">
        <f>IF(OR(L832={"改紡","檢修","了機","清車","FINAL","停機","SAMPLE","TEST"}), "", IFERROR(IF(C832="", "", AVERAGE(L832:M832, P832:Q832, T832:U832, X832:Y832)/100), ""))</f>
        <v/>
      </c>
      <c r="AD832" s="984" t="str">
        <f t="shared" si="134"/>
        <v/>
      </c>
      <c r="AE832" s="984" t="str">
        <f t="shared" si="144"/>
        <v/>
      </c>
      <c r="AF832" s="985" t="str">
        <f t="shared" si="135"/>
        <v>M</v>
      </c>
      <c r="AG832" s="1414">
        <v>1</v>
      </c>
      <c r="AH832" s="1002" t="s">
        <v>640</v>
      </c>
      <c r="AI832" s="986" t="s">
        <v>640</v>
      </c>
      <c r="AJ832" s="986" t="s">
        <v>640</v>
      </c>
      <c r="AK832" s="1417" t="s">
        <v>640</v>
      </c>
      <c r="AL832" s="1415"/>
      <c r="AM832" s="1323"/>
      <c r="AN832" s="1323"/>
      <c r="AO832" s="1323"/>
      <c r="AP832" s="1323"/>
      <c r="AQ832" s="1323"/>
      <c r="AR832" s="987"/>
      <c r="AS832" s="978" t="str">
        <f t="shared" si="136"/>
        <v>單</v>
      </c>
      <c r="AT832" s="978" t="str">
        <f t="shared" si="137"/>
        <v>全</v>
      </c>
      <c r="AU832" s="978" t="str">
        <f t="shared" si="138"/>
        <v/>
      </c>
      <c r="AV832" s="978" t="str">
        <f t="shared" si="139"/>
        <v/>
      </c>
    </row>
    <row r="833" spans="1:48">
      <c r="A833" s="975">
        <f t="shared" si="142"/>
        <v>46163</v>
      </c>
      <c r="B833" s="976" t="s">
        <v>246</v>
      </c>
      <c r="C833" s="988" t="s">
        <v>16185</v>
      </c>
      <c r="D833" s="1410"/>
      <c r="E833" s="977" t="str">
        <f>IFERROR(VLOOKUP(C833, [6]條件!$A:$L, 5, 0), "")</f>
        <v/>
      </c>
      <c r="F833" s="978" t="str">
        <f>IFERROR(VLOOKUP(C833, [6]條件!$A:$L, 6, 0), "")</f>
        <v/>
      </c>
      <c r="G833" s="1411" t="str">
        <f>IFERROR(VLOOKUP(C833, [6]條件!$A:$L, 7, 0), "")</f>
        <v/>
      </c>
      <c r="H833" s="978" t="str">
        <f>IF(ISNA(VLOOKUP(C833,[6]條件!$A$1:$K$932,11,0)),"",(VLOOKUP(C833,[6]條件!$A$1:$K$932,11,0)))</f>
        <v/>
      </c>
      <c r="I833" s="979" t="str">
        <f>IF(ISNA(VLOOKUP(C833,[6]條件!$A$1:$L$932,12,0)),"",(VLOOKUP(C833,[6]條件!$A$1:$L$932,12,0)))</f>
        <v/>
      </c>
      <c r="J833" s="982"/>
      <c r="K833" s="980"/>
      <c r="L833" s="981" t="s">
        <v>632</v>
      </c>
      <c r="M833" s="983"/>
      <c r="N833" s="982"/>
      <c r="O833" s="980"/>
      <c r="P833" s="981" t="s">
        <v>632</v>
      </c>
      <c r="Q833" s="983"/>
      <c r="R833" s="982"/>
      <c r="S833" s="980"/>
      <c r="T833" s="981" t="s">
        <v>632</v>
      </c>
      <c r="U833" s="983"/>
      <c r="V833" s="982"/>
      <c r="W833" s="980"/>
      <c r="X833" s="981" t="s">
        <v>632</v>
      </c>
      <c r="Y833" s="983"/>
      <c r="Z833" s="1412" t="str">
        <f>IFERROR(VLOOKUP(C833, [6]條件!$A:$L, 3, 0), "")</f>
        <v/>
      </c>
      <c r="AA833" s="984" t="str">
        <f>IF(OR(L833={"改紡","檢修","了機","清車","FINAL","停機","SAMPLE","TEST","絲開發"}), L833, IFERROR(IF(C833="", "", (SUM(J833, N833, R833, V833)/3 * AG833) * IF(AND(AF833="S", AS833="雙"), 0.5, 1)), ""))</f>
        <v>停機</v>
      </c>
      <c r="AB833" s="1413" t="str">
        <f t="shared" si="143"/>
        <v/>
      </c>
      <c r="AC833" s="984" t="str">
        <f>IF(OR(L833={"改紡","檢修","了機","清車","FINAL","停機","SAMPLE","TEST"}), "", IFERROR(IF(C833="", "", AVERAGE(L833:M833, P833:Q833, T833:U833, X833:Y833)/100), ""))</f>
        <v/>
      </c>
      <c r="AD833" s="984" t="str">
        <f t="shared" si="134"/>
        <v/>
      </c>
      <c r="AE833" s="984" t="str">
        <f t="shared" si="144"/>
        <v/>
      </c>
      <c r="AF833" s="985" t="str">
        <f t="shared" si="135"/>
        <v>M</v>
      </c>
      <c r="AG833" s="1414">
        <v>1</v>
      </c>
      <c r="AH833" s="1002" t="s">
        <v>640</v>
      </c>
      <c r="AI833" s="986" t="s">
        <v>640</v>
      </c>
      <c r="AJ833" s="986" t="s">
        <v>640</v>
      </c>
      <c r="AK833" s="1417" t="s">
        <v>640</v>
      </c>
      <c r="AL833" s="1415"/>
      <c r="AM833" s="1323"/>
      <c r="AN833" s="1323"/>
      <c r="AO833" s="1323"/>
      <c r="AP833" s="1323"/>
      <c r="AQ833" s="1323"/>
      <c r="AR833" s="987"/>
      <c r="AS833" s="978" t="str">
        <f t="shared" si="136"/>
        <v>單</v>
      </c>
      <c r="AT833" s="978" t="str">
        <f t="shared" si="137"/>
        <v>全</v>
      </c>
      <c r="AU833" s="978" t="str">
        <f t="shared" si="138"/>
        <v/>
      </c>
      <c r="AV833" s="978" t="str">
        <f t="shared" si="139"/>
        <v/>
      </c>
    </row>
    <row r="834" spans="1:48">
      <c r="A834" s="975">
        <f t="shared" si="142"/>
        <v>46163</v>
      </c>
      <c r="B834" s="976" t="s">
        <v>247</v>
      </c>
      <c r="C834" s="988" t="s">
        <v>16185</v>
      </c>
      <c r="D834" s="1410"/>
      <c r="E834" s="977" t="str">
        <f>IFERROR(VLOOKUP(C834, [6]條件!$A:$L, 5, 0), "")</f>
        <v/>
      </c>
      <c r="F834" s="978" t="str">
        <f>IFERROR(VLOOKUP(C834, [6]條件!$A:$L, 6, 0), "")</f>
        <v/>
      </c>
      <c r="G834" s="1411" t="str">
        <f>IFERROR(VLOOKUP(C834, [6]條件!$A:$L, 7, 0), "")</f>
        <v/>
      </c>
      <c r="H834" s="978" t="str">
        <f>IF(ISNA(VLOOKUP(C834,[6]條件!$A$1:$K$932,11,0)),"",(VLOOKUP(C834,[6]條件!$A$1:$K$932,11,0)))</f>
        <v/>
      </c>
      <c r="I834" s="979" t="str">
        <f>IF(ISNA(VLOOKUP(C834,[6]條件!$A$1:$L$932,12,0)),"",(VLOOKUP(C834,[6]條件!$A$1:$L$932,12,0)))</f>
        <v/>
      </c>
      <c r="J834" s="982"/>
      <c r="K834" s="980"/>
      <c r="L834" s="981" t="s">
        <v>632</v>
      </c>
      <c r="M834" s="983"/>
      <c r="N834" s="982"/>
      <c r="O834" s="980"/>
      <c r="P834" s="981" t="s">
        <v>632</v>
      </c>
      <c r="Q834" s="983"/>
      <c r="R834" s="982"/>
      <c r="S834" s="980"/>
      <c r="T834" s="981" t="s">
        <v>632</v>
      </c>
      <c r="U834" s="983"/>
      <c r="V834" s="982"/>
      <c r="W834" s="980"/>
      <c r="X834" s="981" t="s">
        <v>632</v>
      </c>
      <c r="Y834" s="983"/>
      <c r="Z834" s="1412" t="str">
        <f>IFERROR(VLOOKUP(C834, [6]條件!$A:$L, 3, 0), "")</f>
        <v/>
      </c>
      <c r="AA834" s="984" t="str">
        <f>IF(OR(L834={"改紡","檢修","了機","清車","FINAL","停機","SAMPLE","TEST","絲開發"}), L834, IFERROR(IF(C834="", "", (SUM(J834, N834, R834, V834)/3 * AG834) * IF(AND(AF834="S", AS834="雙"), 0.5, 1)), ""))</f>
        <v>停機</v>
      </c>
      <c r="AB834" s="1413" t="str">
        <f t="shared" si="143"/>
        <v/>
      </c>
      <c r="AC834" s="984" t="str">
        <f>IF(OR(L834={"改紡","檢修","了機","清車","FINAL","停機","SAMPLE","TEST"}), "", IFERROR(IF(C834="", "", AVERAGE(L834:M834, P834:Q834, T834:U834, X834:Y834)/100), ""))</f>
        <v/>
      </c>
      <c r="AD834" s="984" t="str">
        <f t="shared" si="134"/>
        <v/>
      </c>
      <c r="AE834" s="984" t="str">
        <f t="shared" si="144"/>
        <v/>
      </c>
      <c r="AF834" s="985" t="str">
        <f t="shared" ref="AF834:AF897" si="145">LEFT(B834, 1)</f>
        <v>M</v>
      </c>
      <c r="AG834" s="1414">
        <v>1</v>
      </c>
      <c r="AH834" s="1002" t="s">
        <v>640</v>
      </c>
      <c r="AI834" s="986" t="s">
        <v>640</v>
      </c>
      <c r="AJ834" s="986" t="s">
        <v>640</v>
      </c>
      <c r="AK834" s="1417" t="s">
        <v>640</v>
      </c>
      <c r="AL834" s="1415"/>
      <c r="AM834" s="1323"/>
      <c r="AN834" s="1323"/>
      <c r="AO834" s="1323"/>
      <c r="AP834" s="1323"/>
      <c r="AQ834" s="1323"/>
      <c r="AR834" s="987"/>
      <c r="AS834" s="978" t="str">
        <f t="shared" ref="AS834:AS897" si="146">IF(RIGHT(F834, 2) = "×2", "雙", "單")</f>
        <v>單</v>
      </c>
      <c r="AT834" s="978" t="str">
        <f t="shared" ref="AT834:AT897" si="147">IF(OR(AF834="J", AF834="T", AF834="M"), IF(AG834=1, "全", "半"), IF(AF834="A", IF(AG834=0.5, IF(AS834="雙", "全", ""), IF(AG834=1, IF(AS834="雙", "半", "全"), IF(AG834=2, "半", ""))), IF(AF834="S", AG834 &amp; "sec", "")))</f>
        <v>全</v>
      </c>
      <c r="AU834" s="978" t="str">
        <f t="shared" ref="AU834:AU897" si="148">IFERROR(VALUE(LEFT(E834, FIND("/", E834)-1)), "")</f>
        <v/>
      </c>
      <c r="AV834" s="978" t="str">
        <f t="shared" ref="AV834:AV897" si="149">IFERROR(IF(AF834="S", (AU834*G834*AC834*0.03456/100/1000) * (AG834*12/144) * IF(AS834="單", 1, 0.5), IF(AF834="A", (AU834*G834*AC834*0.03456/100/1000) * IF(AT834="全", 1, 0.5), IF(OR(AF834="T", AF834="J", AF834="M"), (AU834*G834*AC834*0.03456/100/1000) * IF(AS834="單", 1, 2) * IF(AT834="全", 1, 0.5), 0))), "")</f>
        <v/>
      </c>
    </row>
    <row r="835" spans="1:48">
      <c r="A835" s="975">
        <f t="shared" si="142"/>
        <v>46163</v>
      </c>
      <c r="B835" s="976" t="s">
        <v>248</v>
      </c>
      <c r="C835" s="988" t="s">
        <v>16185</v>
      </c>
      <c r="D835" s="1410"/>
      <c r="E835" s="977" t="str">
        <f>IFERROR(VLOOKUP(C835, [6]條件!$A:$L, 5, 0), "")</f>
        <v/>
      </c>
      <c r="F835" s="978" t="str">
        <f>IFERROR(VLOOKUP(C835, [6]條件!$A:$L, 6, 0), "")</f>
        <v/>
      </c>
      <c r="G835" s="1411" t="str">
        <f>IFERROR(VLOOKUP(C835, [6]條件!$A:$L, 7, 0), "")</f>
        <v/>
      </c>
      <c r="H835" s="978" t="str">
        <f>IF(ISNA(VLOOKUP(C835,[6]條件!$A$1:$K$932,11,0)),"",(VLOOKUP(C835,[6]條件!$A$1:$K$932,11,0)))</f>
        <v/>
      </c>
      <c r="I835" s="979" t="str">
        <f>IF(ISNA(VLOOKUP(C835,[6]條件!$A$1:$L$932,12,0)),"",(VLOOKUP(C835,[6]條件!$A$1:$L$932,12,0)))</f>
        <v/>
      </c>
      <c r="J835" s="982"/>
      <c r="K835" s="980"/>
      <c r="L835" s="981" t="s">
        <v>632</v>
      </c>
      <c r="M835" s="983"/>
      <c r="N835" s="982"/>
      <c r="O835" s="980"/>
      <c r="P835" s="981" t="s">
        <v>632</v>
      </c>
      <c r="Q835" s="983"/>
      <c r="R835" s="982"/>
      <c r="S835" s="980"/>
      <c r="T835" s="981" t="s">
        <v>632</v>
      </c>
      <c r="U835" s="983"/>
      <c r="V835" s="982"/>
      <c r="W835" s="980"/>
      <c r="X835" s="981" t="s">
        <v>632</v>
      </c>
      <c r="Y835" s="983"/>
      <c r="Z835" s="1412" t="str">
        <f>IFERROR(VLOOKUP(C835, [6]條件!$A:$L, 3, 0), "")</f>
        <v/>
      </c>
      <c r="AA835" s="984" t="str">
        <f>IF(OR(L835={"改紡","檢修","了機","清車","FINAL","停機","SAMPLE","TEST","絲開發"}), L835, IFERROR(IF(C835="", "", (SUM(J835, N835, R835, V835)/3 * AG835) * IF(AND(AF835="S", AS835="雙"), 0.5, 1)), ""))</f>
        <v>停機</v>
      </c>
      <c r="AB835" s="1413" t="str">
        <f t="shared" si="143"/>
        <v/>
      </c>
      <c r="AC835" s="984" t="str">
        <f>IF(OR(L835={"改紡","檢修","了機","清車","FINAL","停機","SAMPLE","TEST"}), "", IFERROR(IF(C835="", "", AVERAGE(L835:M835, P835:Q835, T835:U835, X835:Y835)/100), ""))</f>
        <v/>
      </c>
      <c r="AD835" s="984" t="str">
        <f t="shared" si="134"/>
        <v/>
      </c>
      <c r="AE835" s="984" t="str">
        <f t="shared" si="144"/>
        <v/>
      </c>
      <c r="AF835" s="985" t="str">
        <f t="shared" si="145"/>
        <v>M</v>
      </c>
      <c r="AG835" s="1414">
        <v>1</v>
      </c>
      <c r="AH835" s="1002" t="s">
        <v>640</v>
      </c>
      <c r="AI835" s="986" t="s">
        <v>640</v>
      </c>
      <c r="AJ835" s="986" t="s">
        <v>640</v>
      </c>
      <c r="AK835" s="1417" t="s">
        <v>640</v>
      </c>
      <c r="AL835" s="1415"/>
      <c r="AM835" s="1323"/>
      <c r="AN835" s="1323"/>
      <c r="AO835" s="1323"/>
      <c r="AP835" s="1323"/>
      <c r="AQ835" s="1323"/>
      <c r="AR835" s="987"/>
      <c r="AS835" s="978" t="str">
        <f t="shared" si="146"/>
        <v>單</v>
      </c>
      <c r="AT835" s="978" t="str">
        <f t="shared" si="147"/>
        <v>全</v>
      </c>
      <c r="AU835" s="978" t="str">
        <f t="shared" si="148"/>
        <v/>
      </c>
      <c r="AV835" s="978" t="str">
        <f t="shared" si="149"/>
        <v/>
      </c>
    </row>
    <row r="836" spans="1:48" ht="17.25" thickBot="1">
      <c r="A836" s="989">
        <f t="shared" si="142"/>
        <v>46163</v>
      </c>
      <c r="B836" s="990" t="s">
        <v>249</v>
      </c>
      <c r="C836" s="991" t="s">
        <v>16185</v>
      </c>
      <c r="D836" s="1425"/>
      <c r="E836" s="1169" t="str">
        <f>IFERROR(VLOOKUP(C836, [6]條件!$A:$L, 5, 0), "")</f>
        <v/>
      </c>
      <c r="F836" s="992" t="str">
        <f>IFERROR(VLOOKUP(C836, [6]條件!$A:$L, 6, 0), "")</f>
        <v/>
      </c>
      <c r="G836" s="1426" t="str">
        <f>IFERROR(VLOOKUP(C836, [6]條件!$A:$L, 7, 0), "")</f>
        <v/>
      </c>
      <c r="H836" s="992" t="str">
        <f>IF(ISNA(VLOOKUP(C836,[6]條件!$A$1:$K$932,11,0)),"",(VLOOKUP(C836,[6]條件!$A$1:$K$932,11,0)))</f>
        <v/>
      </c>
      <c r="I836" s="1170" t="str">
        <f>IF(ISNA(VLOOKUP(C836,[6]條件!$A$1:$L$932,12,0)),"",(VLOOKUP(C836,[6]條件!$A$1:$L$932,12,0)))</f>
        <v/>
      </c>
      <c r="J836" s="995"/>
      <c r="K836" s="993"/>
      <c r="L836" s="994" t="s">
        <v>632</v>
      </c>
      <c r="M836" s="996"/>
      <c r="N836" s="995"/>
      <c r="O836" s="993"/>
      <c r="P836" s="994" t="s">
        <v>632</v>
      </c>
      <c r="Q836" s="996"/>
      <c r="R836" s="995"/>
      <c r="S836" s="993"/>
      <c r="T836" s="994" t="s">
        <v>632</v>
      </c>
      <c r="U836" s="996"/>
      <c r="V836" s="995"/>
      <c r="W836" s="993"/>
      <c r="X836" s="994" t="s">
        <v>632</v>
      </c>
      <c r="Y836" s="996"/>
      <c r="Z836" s="1427" t="str">
        <f>IFERROR(VLOOKUP(C836, [6]條件!$A:$L, 3, 0), "")</f>
        <v/>
      </c>
      <c r="AA836" s="997" t="str">
        <f>IF(OR(L836={"改紡","檢修","了機","清車","FINAL","停機","SAMPLE","TEST","絲開發"}), L836, IFERROR(IF(C836="", "", (SUM(J836, N836, R836, V836)/3 * AG836) * IF(AND(AF836="S", AS836="雙"), 0.5, 1)), ""))</f>
        <v>停機</v>
      </c>
      <c r="AB836" s="1428" t="str">
        <f t="shared" si="143"/>
        <v/>
      </c>
      <c r="AC836" s="997" t="str">
        <f>IF(OR(L836={"改紡","檢修","了機","清車","FINAL","停機","SAMPLE","TEST"}), "", IFERROR(IF(C836="", "", AVERAGE(L836:M836, P836:Q836, T836:U836, X836:Y836)/100), ""))</f>
        <v/>
      </c>
      <c r="AD836" s="997" t="str">
        <f t="shared" si="134"/>
        <v/>
      </c>
      <c r="AE836" s="997" t="str">
        <f t="shared" si="144"/>
        <v/>
      </c>
      <c r="AF836" s="998" t="str">
        <f t="shared" si="145"/>
        <v>M</v>
      </c>
      <c r="AG836" s="1429">
        <v>1</v>
      </c>
      <c r="AH836" s="1171" t="s">
        <v>640</v>
      </c>
      <c r="AI836" s="999" t="s">
        <v>640</v>
      </c>
      <c r="AJ836" s="999" t="s">
        <v>640</v>
      </c>
      <c r="AK836" s="1430" t="s">
        <v>640</v>
      </c>
      <c r="AL836" s="1431"/>
      <c r="AM836" s="1325"/>
      <c r="AN836" s="1325"/>
      <c r="AO836" s="1325"/>
      <c r="AP836" s="1325"/>
      <c r="AQ836" s="1325"/>
      <c r="AR836" s="1000"/>
      <c r="AS836" s="992" t="str">
        <f t="shared" si="146"/>
        <v>單</v>
      </c>
      <c r="AT836" s="992" t="str">
        <f t="shared" si="147"/>
        <v>全</v>
      </c>
      <c r="AU836" s="992" t="str">
        <f t="shared" si="148"/>
        <v/>
      </c>
      <c r="AV836" s="992" t="str">
        <f t="shared" si="149"/>
        <v/>
      </c>
    </row>
    <row r="837" spans="1:48">
      <c r="A837" s="962">
        <v>46164</v>
      </c>
      <c r="B837" s="963" t="s">
        <v>212</v>
      </c>
      <c r="C837" s="963" t="s">
        <v>632</v>
      </c>
      <c r="D837" s="1403"/>
      <c r="E837" s="964" t="str">
        <f>IFERROR(VLOOKUP(C837, [6]條件!$A:$L, 5, 0), "")</f>
        <v/>
      </c>
      <c r="F837" s="965" t="str">
        <f>IFERROR(VLOOKUP(C837, [6]條件!$A:$L, 6, 0), "")</f>
        <v/>
      </c>
      <c r="G837" s="1404" t="str">
        <f>IFERROR(VLOOKUP(C837, [6]條件!$A:$L, 7, 0), "")</f>
        <v/>
      </c>
      <c r="H837" s="965" t="str">
        <f>IF(ISNA(VLOOKUP(C837,[6]條件!$A$1:$K$932,11,0)),"",(VLOOKUP(C837,[6]條件!$A$1:$K$932,11,0)))</f>
        <v/>
      </c>
      <c r="I837" s="966" t="str">
        <f>IF(ISNA(VLOOKUP(C837,[6]條件!$A$1:$L$932,12,0)),"",(VLOOKUP(C837,[6]條件!$A$1:$L$932,12,0)))</f>
        <v/>
      </c>
      <c r="J837" s="969"/>
      <c r="K837" s="967"/>
      <c r="L837" s="981" t="s">
        <v>632</v>
      </c>
      <c r="M837" s="970"/>
      <c r="N837" s="969"/>
      <c r="O837" s="967"/>
      <c r="P837" s="981" t="s">
        <v>632</v>
      </c>
      <c r="Q837" s="970"/>
      <c r="R837" s="969"/>
      <c r="S837" s="967"/>
      <c r="T837" s="981" t="s">
        <v>632</v>
      </c>
      <c r="U837" s="970"/>
      <c r="V837" s="969"/>
      <c r="W837" s="967"/>
      <c r="X837" s="981" t="s">
        <v>632</v>
      </c>
      <c r="Y837" s="970"/>
      <c r="Z837" s="1405" t="str">
        <f>IFERROR(VLOOKUP(C837, [6]條件!$A:$L, 3, 0), "")</f>
        <v/>
      </c>
      <c r="AA837" s="971" t="str">
        <f>IF(OR(L837={"改紡","檢修","了機","清車","FINAL","停機","SAMPLE","TEST","絲開發"}), L837, IFERROR(IF(C837="", "", (SUM(J837, N837, R837, V837)/3 * AG837) * IF(AND(AF837="S", AS837="雙"), 0.5, 1)), ""))</f>
        <v>停機</v>
      </c>
      <c r="AB837" s="1406" t="str">
        <f t="shared" si="143"/>
        <v/>
      </c>
      <c r="AC837" s="971" t="str">
        <f>IF(OR(L837={"改紡","檢修","了機","清車","FINAL","停機","SAMPLE","TEST"}), "", IFERROR(IF(C837="", "", AVERAGE(L837:M837, P837:Q837, T837:U837, X837:Y837)/100), ""))</f>
        <v/>
      </c>
      <c r="AD837" s="971" t="str">
        <f t="shared" ref="AD837:AD900" si="150">IF(ISERROR(AA837/8),"",(AA837/8))</f>
        <v/>
      </c>
      <c r="AE837" s="971" t="str">
        <f t="shared" si="144"/>
        <v/>
      </c>
      <c r="AF837" s="972" t="str">
        <f t="shared" si="145"/>
        <v>A</v>
      </c>
      <c r="AG837" s="1407">
        <v>1</v>
      </c>
      <c r="AH837" s="1001" t="s">
        <v>640</v>
      </c>
      <c r="AI837" s="1001" t="s">
        <v>640</v>
      </c>
      <c r="AJ837" s="1441" t="s">
        <v>640</v>
      </c>
      <c r="AK837" s="1441" t="s">
        <v>640</v>
      </c>
      <c r="AL837" s="1409"/>
      <c r="AM837" s="1322"/>
      <c r="AN837" s="1322"/>
      <c r="AO837" s="1322"/>
      <c r="AP837" s="1322"/>
      <c r="AQ837" s="1322"/>
      <c r="AR837" s="973"/>
      <c r="AS837" s="965" t="str">
        <f t="shared" si="146"/>
        <v>單</v>
      </c>
      <c r="AT837" s="965" t="str">
        <f t="shared" si="147"/>
        <v>全</v>
      </c>
      <c r="AU837" s="965" t="str">
        <f t="shared" si="148"/>
        <v/>
      </c>
      <c r="AV837" s="965" t="str">
        <f t="shared" si="149"/>
        <v/>
      </c>
    </row>
    <row r="838" spans="1:48">
      <c r="A838" s="975">
        <f t="shared" si="142"/>
        <v>46164</v>
      </c>
      <c r="B838" s="976" t="s">
        <v>214</v>
      </c>
      <c r="C838" s="976" t="s">
        <v>16708</v>
      </c>
      <c r="D838" s="1410"/>
      <c r="E838" s="977" t="str">
        <f>IFERROR(VLOOKUP(C838, [6]條件!$A:$L, 5, 0), "")</f>
        <v>75/36SDR</v>
      </c>
      <c r="F838" s="978" t="str">
        <f>IFERROR(VLOOKUP(C838, [6]條件!$A:$L, 6, 0), "")</f>
        <v>FP81386R</v>
      </c>
      <c r="G838" s="1411">
        <f>IFERROR(VLOOKUP(C838, [6]條件!$A:$L, 7, 0), "")</f>
        <v>780</v>
      </c>
      <c r="H838" s="978" t="str">
        <f>IF(ISNA(VLOOKUP(C838,[6]條件!$A$1:$K$932,11,0)),"",(VLOOKUP(C838,[6]條件!$A$1:$K$932,11,0)))</f>
        <v>綠底白點</v>
      </c>
      <c r="I838" s="979">
        <f>IF(ISNA(VLOOKUP(C838,[6]條件!$A$1:$L$932,12,0)),"",(VLOOKUP(C838,[6]條件!$A$1:$L$932,12,0)))</f>
        <v>5</v>
      </c>
      <c r="J838" s="982"/>
      <c r="K838" s="980"/>
      <c r="L838" s="981" t="s">
        <v>127</v>
      </c>
      <c r="M838" s="983"/>
      <c r="N838" s="982"/>
      <c r="O838" s="980"/>
      <c r="P838" s="981" t="s">
        <v>127</v>
      </c>
      <c r="Q838" s="983"/>
      <c r="R838" s="982"/>
      <c r="S838" s="980"/>
      <c r="T838" s="981" t="s">
        <v>127</v>
      </c>
      <c r="U838" s="983"/>
      <c r="V838" s="982"/>
      <c r="W838" s="980"/>
      <c r="X838" s="981" t="s">
        <v>127</v>
      </c>
      <c r="Y838" s="983"/>
      <c r="Z838" s="1412">
        <f>IFERROR(VLOOKUP(C838, [6]條件!$A:$L, 3, 0), "")</f>
        <v>1.7777777777777777</v>
      </c>
      <c r="AA838" s="984" t="str">
        <f>IF(OR(L838={"改紡","檢修","了機","清車","FINAL","停機","SAMPLE","TEST","絲開發"}), L838, IFERROR(IF(C838="", "", (SUM(J838, N838, R838, V838)/3 * AG838) * IF(AND(AF838="S", AS838="雙"), 0.5, 1)), ""))</f>
        <v>了機</v>
      </c>
      <c r="AB838" s="1413" t="str">
        <f t="shared" si="143"/>
        <v/>
      </c>
      <c r="AC838" s="984" t="str">
        <f>IF(OR(L838={"改紡","檢修","了機","清車","FINAL","停機","SAMPLE","TEST"}), "", IFERROR(IF(C838="", "", AVERAGE(L838:M838, P838:Q838, T838:U838, X838:Y838)/100), ""))</f>
        <v/>
      </c>
      <c r="AD838" s="984" t="str">
        <f t="shared" si="150"/>
        <v/>
      </c>
      <c r="AE838" s="984" t="str">
        <f t="shared" si="144"/>
        <v/>
      </c>
      <c r="AF838" s="985" t="str">
        <f t="shared" si="145"/>
        <v>A</v>
      </c>
      <c r="AG838" s="1414">
        <v>1</v>
      </c>
      <c r="AH838" s="1002" t="s">
        <v>16016</v>
      </c>
      <c r="AI838" s="1002" t="s">
        <v>15997</v>
      </c>
      <c r="AJ838" s="986" t="s">
        <v>15994</v>
      </c>
      <c r="AK838" s="986" t="s">
        <v>15994</v>
      </c>
      <c r="AL838" s="1415">
        <v>50</v>
      </c>
      <c r="AM838" s="1323">
        <v>46155</v>
      </c>
      <c r="AN838" s="1323">
        <v>46156</v>
      </c>
      <c r="AO838" s="1323"/>
      <c r="AP838" s="1323"/>
      <c r="AQ838" s="1323"/>
      <c r="AR838" s="987"/>
      <c r="AS838" s="978" t="str">
        <f t="shared" si="146"/>
        <v>單</v>
      </c>
      <c r="AT838" s="978" t="str">
        <f t="shared" si="147"/>
        <v>全</v>
      </c>
      <c r="AU838" s="978">
        <f t="shared" si="148"/>
        <v>75</v>
      </c>
      <c r="AV838" s="978" t="str">
        <f t="shared" si="149"/>
        <v/>
      </c>
    </row>
    <row r="839" spans="1:48">
      <c r="A839" s="975">
        <f t="shared" si="142"/>
        <v>46164</v>
      </c>
      <c r="B839" s="976" t="s">
        <v>215</v>
      </c>
      <c r="C839" s="976" t="s">
        <v>16746</v>
      </c>
      <c r="D839" s="1410" t="s">
        <v>633</v>
      </c>
      <c r="E839" s="977" t="str">
        <f>IFERROR(VLOOKUP(C839, [6]條件!$A:$L, 5, 0), "")</f>
        <v>75/24/2SDr</v>
      </c>
      <c r="F839" s="978" t="str">
        <f>IFERROR(VLOOKUP(C839, [6]條件!$A:$L, 6, 0), "")</f>
        <v>FP81391R×2</v>
      </c>
      <c r="G839" s="1411">
        <f>IFERROR(VLOOKUP(C839, [6]條件!$A:$L, 7, 0), "")</f>
        <v>700</v>
      </c>
      <c r="H839" s="978" t="str">
        <f>IF(ISNA(VLOOKUP(C839,[6]條件!$A$1:$K$932,11,0)),"",(VLOOKUP(C839,[6]條件!$A$1:$K$932,11,0)))</f>
        <v>紅底白點</v>
      </c>
      <c r="I839" s="979">
        <f>IF(ISNA(VLOOKUP(C839,[6]條件!$A$1:$L$932,12,0)),"",(VLOOKUP(C839,[6]條件!$A$1:$L$932,12,0)))</f>
        <v>5</v>
      </c>
      <c r="J839" s="982"/>
      <c r="K839" s="980"/>
      <c r="L839" s="981" t="s">
        <v>632</v>
      </c>
      <c r="M839" s="983" t="s">
        <v>127</v>
      </c>
      <c r="N839" s="982"/>
      <c r="O839" s="980"/>
      <c r="P839" s="981" t="s">
        <v>632</v>
      </c>
      <c r="Q839" s="983" t="s">
        <v>127</v>
      </c>
      <c r="R839" s="982"/>
      <c r="S839" s="980"/>
      <c r="T839" s="981" t="s">
        <v>632</v>
      </c>
      <c r="U839" s="983" t="s">
        <v>127</v>
      </c>
      <c r="V839" s="982"/>
      <c r="W839" s="980"/>
      <c r="X839" s="981" t="s">
        <v>632</v>
      </c>
      <c r="Y839" s="983" t="s">
        <v>127</v>
      </c>
      <c r="Z839" s="1412">
        <f>IFERROR(VLOOKUP(C839, [6]條件!$A:$L, 3, 0), "")</f>
        <v>3.2653061224489797</v>
      </c>
      <c r="AA839" s="984" t="str">
        <f>IF(OR(L839={"改紡","檢修","了機","清車","FINAL","停機","SAMPLE","TEST","絲開發"}), L839, IFERROR(IF(C839="", "", (SUM(J839, N839, R839, V839)/3 * AG839) * IF(AND(AF839="S", AS839="雙"), 0.5, 1)), ""))</f>
        <v>停機</v>
      </c>
      <c r="AB839" s="1413" t="str">
        <f t="shared" si="143"/>
        <v/>
      </c>
      <c r="AC839" s="984" t="str">
        <f>IF(OR(L839={"改紡","檢修","了機","清車","FINAL","停機","SAMPLE","TEST"}), "", IFERROR(IF(C839="", "", AVERAGE(L839:M839, P839:Q839, T839:U839, X839:Y839)/100), ""))</f>
        <v/>
      </c>
      <c r="AD839" s="984" t="str">
        <f t="shared" si="150"/>
        <v/>
      </c>
      <c r="AE839" s="984" t="str">
        <f t="shared" si="144"/>
        <v/>
      </c>
      <c r="AF839" s="985" t="str">
        <f t="shared" si="145"/>
        <v>A</v>
      </c>
      <c r="AG839" s="1414">
        <v>1</v>
      </c>
      <c r="AH839" s="1002" t="s">
        <v>16016</v>
      </c>
      <c r="AI839" s="1002" t="s">
        <v>15997</v>
      </c>
      <c r="AJ839" s="986" t="s">
        <v>15994</v>
      </c>
      <c r="AK839" s="986" t="s">
        <v>15994</v>
      </c>
      <c r="AL839" s="1415">
        <v>53</v>
      </c>
      <c r="AM839" s="1323">
        <v>46117</v>
      </c>
      <c r="AN839" s="1323">
        <v>46118</v>
      </c>
      <c r="AO839" s="1323">
        <v>46119</v>
      </c>
      <c r="AP839" s="1323">
        <v>46120</v>
      </c>
      <c r="AQ839" s="1323">
        <v>46122</v>
      </c>
      <c r="AR839" s="987"/>
      <c r="AS839" s="978" t="str">
        <f t="shared" si="146"/>
        <v>雙</v>
      </c>
      <c r="AT839" s="978" t="str">
        <f t="shared" si="147"/>
        <v>半</v>
      </c>
      <c r="AU839" s="978">
        <f t="shared" si="148"/>
        <v>75</v>
      </c>
      <c r="AV839" s="978" t="str">
        <f t="shared" si="149"/>
        <v/>
      </c>
    </row>
    <row r="840" spans="1:48">
      <c r="A840" s="975">
        <f t="shared" si="142"/>
        <v>46164</v>
      </c>
      <c r="B840" s="976" t="s">
        <v>216</v>
      </c>
      <c r="C840" s="976" t="s">
        <v>632</v>
      </c>
      <c r="D840" s="1410"/>
      <c r="E840" s="977" t="str">
        <f>IFERROR(VLOOKUP(C840, [6]條件!$A:$L, 5, 0), "")</f>
        <v/>
      </c>
      <c r="F840" s="978" t="str">
        <f>IFERROR(VLOOKUP(C840, [6]條件!$A:$L, 6, 0), "")</f>
        <v/>
      </c>
      <c r="G840" s="1411" t="str">
        <f>IFERROR(VLOOKUP(C840, [6]條件!$A:$L, 7, 0), "")</f>
        <v/>
      </c>
      <c r="H840" s="978" t="str">
        <f>IF(ISNA(VLOOKUP(C840,[6]條件!$A$1:$K$932,11,0)),"",(VLOOKUP(C840,[6]條件!$A$1:$K$932,11,0)))</f>
        <v/>
      </c>
      <c r="I840" s="979" t="str">
        <f>IF(ISNA(VLOOKUP(C840,[6]條件!$A$1:$L$932,12,0)),"",(VLOOKUP(C840,[6]條件!$A$1:$L$932,12,0)))</f>
        <v/>
      </c>
      <c r="J840" s="982"/>
      <c r="K840" s="980"/>
      <c r="L840" s="981" t="s">
        <v>632</v>
      </c>
      <c r="M840" s="983"/>
      <c r="N840" s="982"/>
      <c r="O840" s="980"/>
      <c r="P840" s="981" t="s">
        <v>632</v>
      </c>
      <c r="Q840" s="983"/>
      <c r="R840" s="982"/>
      <c r="S840" s="980"/>
      <c r="T840" s="981" t="s">
        <v>632</v>
      </c>
      <c r="U840" s="983"/>
      <c r="V840" s="982"/>
      <c r="W840" s="980"/>
      <c r="X840" s="981" t="s">
        <v>632</v>
      </c>
      <c r="Y840" s="983"/>
      <c r="Z840" s="1412" t="str">
        <f>IFERROR(VLOOKUP(C840, [6]條件!$A:$L, 3, 0), "")</f>
        <v/>
      </c>
      <c r="AA840" s="984" t="str">
        <f>IF(OR(L840={"改紡","檢修","了機","清車","FINAL","停機","SAMPLE","TEST","絲開發"}), L840, IFERROR(IF(C840="", "", (SUM(J840, N840, R840, V840)/3 * AG840) * IF(AND(AF840="S", AS840="雙"), 0.5, 1)), ""))</f>
        <v>停機</v>
      </c>
      <c r="AB840" s="1413" t="str">
        <f t="shared" si="143"/>
        <v/>
      </c>
      <c r="AC840" s="984" t="str">
        <f>IF(OR(L840={"改紡","檢修","了機","清車","FINAL","停機","SAMPLE","TEST"}), "", IFERROR(IF(C840="", "", AVERAGE(L840:M840, P840:Q840, T840:U840, X840:Y840)/100), ""))</f>
        <v/>
      </c>
      <c r="AD840" s="984" t="str">
        <f t="shared" si="150"/>
        <v/>
      </c>
      <c r="AE840" s="984" t="str">
        <f t="shared" si="144"/>
        <v/>
      </c>
      <c r="AF840" s="985" t="str">
        <f t="shared" si="145"/>
        <v>A</v>
      </c>
      <c r="AG840" s="1414">
        <v>2</v>
      </c>
      <c r="AH840" s="1002" t="s">
        <v>16011</v>
      </c>
      <c r="AI840" s="1002" t="s">
        <v>16011</v>
      </c>
      <c r="AJ840" s="1002" t="s">
        <v>16011</v>
      </c>
      <c r="AK840" s="1002" t="s">
        <v>16011</v>
      </c>
      <c r="AL840" s="1415"/>
      <c r="AM840" s="1323"/>
      <c r="AN840" s="1323"/>
      <c r="AO840" s="1323"/>
      <c r="AP840" s="1323"/>
      <c r="AQ840" s="1323"/>
      <c r="AR840" s="987"/>
      <c r="AS840" s="978" t="str">
        <f t="shared" si="146"/>
        <v>單</v>
      </c>
      <c r="AT840" s="978" t="str">
        <f t="shared" si="147"/>
        <v>半</v>
      </c>
      <c r="AU840" s="978" t="str">
        <f t="shared" si="148"/>
        <v/>
      </c>
      <c r="AV840" s="978" t="str">
        <f t="shared" si="149"/>
        <v/>
      </c>
    </row>
    <row r="841" spans="1:48">
      <c r="A841" s="975">
        <f t="shared" si="142"/>
        <v>46164</v>
      </c>
      <c r="B841" s="976" t="s">
        <v>217</v>
      </c>
      <c r="C841" s="976" t="s">
        <v>16197</v>
      </c>
      <c r="D841" s="1410"/>
      <c r="E841" s="977" t="str">
        <f>IFERROR(VLOOKUP(C841, [6]條件!$A:$L, 5, 0), "")</f>
        <v>75/36HC</v>
      </c>
      <c r="F841" s="978" t="str">
        <f>IFERROR(VLOOKUP(C841, [6]條件!$A:$L, 6, 0), "")</f>
        <v>FP81857R</v>
      </c>
      <c r="G841" s="1411">
        <f>IFERROR(VLOOKUP(C841, [6]條件!$A:$L, 7, 0), "")</f>
        <v>600</v>
      </c>
      <c r="H841" s="978" t="str">
        <f>IF(ISNA(VLOOKUP(C841,[6]條件!$A$1:$K$932,11,0)),"",(VLOOKUP(C841,[6]條件!$A$1:$K$932,11,0)))</f>
        <v>白底綠方塊</v>
      </c>
      <c r="I841" s="979">
        <f>IF(ISNA(VLOOKUP(C841,[6]條件!$A$1:$L$932,12,0)),"",(VLOOKUP(C841,[6]條件!$A$1:$L$932,12,0)))</f>
        <v>4</v>
      </c>
      <c r="J841" s="982"/>
      <c r="K841" s="980"/>
      <c r="L841" s="981" t="s">
        <v>127</v>
      </c>
      <c r="M841" s="983" t="s">
        <v>632</v>
      </c>
      <c r="N841" s="982"/>
      <c r="O841" s="980"/>
      <c r="P841" s="981" t="s">
        <v>127</v>
      </c>
      <c r="Q841" s="983" t="s">
        <v>632</v>
      </c>
      <c r="R841" s="982"/>
      <c r="S841" s="980"/>
      <c r="T841" s="981" t="s">
        <v>127</v>
      </c>
      <c r="U841" s="983" t="s">
        <v>632</v>
      </c>
      <c r="V841" s="982"/>
      <c r="W841" s="980"/>
      <c r="X841" s="981" t="s">
        <v>127</v>
      </c>
      <c r="Y841" s="983" t="s">
        <v>632</v>
      </c>
      <c r="Z841" s="1412">
        <f>IFERROR(VLOOKUP(C841, [6]條件!$A:$L, 3, 0), "")</f>
        <v>1.7496962332928312</v>
      </c>
      <c r="AA841" s="984" t="str">
        <f>IF(OR(L841={"改紡","檢修","了機","清車","FINAL","停機","SAMPLE","TEST","絲開發"}), L841, IFERROR(IF(C841="", "", (SUM(J841, N841, R841, V841)/3 * AG841) * IF(AND(AF841="S", AS841="雙"), 0.5, 1)), ""))</f>
        <v>了機</v>
      </c>
      <c r="AB841" s="1413" t="str">
        <f t="shared" si="143"/>
        <v/>
      </c>
      <c r="AC841" s="984" t="str">
        <f>IF(OR(L841={"改紡","檢修","了機","清車","FINAL","停機","SAMPLE","TEST"}), "", IFERROR(IF(C841="", "", AVERAGE(L841:M841, P841:Q841, T841:U841, X841:Y841)/100), ""))</f>
        <v/>
      </c>
      <c r="AD841" s="984" t="str">
        <f t="shared" si="150"/>
        <v/>
      </c>
      <c r="AE841" s="984" t="str">
        <f t="shared" si="144"/>
        <v/>
      </c>
      <c r="AF841" s="985" t="str">
        <f t="shared" si="145"/>
        <v>A</v>
      </c>
      <c r="AG841" s="1414">
        <v>1</v>
      </c>
      <c r="AH841" s="1002" t="s">
        <v>16016</v>
      </c>
      <c r="AI841" s="1002" t="s">
        <v>15997</v>
      </c>
      <c r="AJ841" s="986" t="s">
        <v>15994</v>
      </c>
      <c r="AK841" s="986" t="s">
        <v>15994</v>
      </c>
      <c r="AL841" s="1415">
        <v>54</v>
      </c>
      <c r="AM841" s="1323">
        <v>45937</v>
      </c>
      <c r="AN841" s="1323">
        <v>45938</v>
      </c>
      <c r="AO841" s="1323"/>
      <c r="AP841" s="1323"/>
      <c r="AQ841" s="1323"/>
      <c r="AR841" s="987"/>
      <c r="AS841" s="978" t="str">
        <f t="shared" si="146"/>
        <v>單</v>
      </c>
      <c r="AT841" s="978" t="str">
        <f t="shared" si="147"/>
        <v>全</v>
      </c>
      <c r="AU841" s="978">
        <f t="shared" si="148"/>
        <v>75</v>
      </c>
      <c r="AV841" s="978" t="str">
        <f t="shared" si="149"/>
        <v/>
      </c>
    </row>
    <row r="842" spans="1:48">
      <c r="A842" s="975">
        <f t="shared" si="142"/>
        <v>46164</v>
      </c>
      <c r="B842" s="976" t="s">
        <v>218</v>
      </c>
      <c r="C842" s="976" t="s">
        <v>632</v>
      </c>
      <c r="D842" s="1410"/>
      <c r="E842" s="977" t="str">
        <f>IFERROR(VLOOKUP(C842, [6]條件!$A:$L, 5, 0), "")</f>
        <v/>
      </c>
      <c r="F842" s="978" t="str">
        <f>IFERROR(VLOOKUP(C842, [6]條件!$A:$L, 6, 0), "")</f>
        <v/>
      </c>
      <c r="G842" s="1411" t="str">
        <f>IFERROR(VLOOKUP(C842, [6]條件!$A:$L, 7, 0), "")</f>
        <v/>
      </c>
      <c r="H842" s="978" t="str">
        <f>IF(ISNA(VLOOKUP(C842,[6]條件!$A$1:$K$932,11,0)),"",(VLOOKUP(C842,[6]條件!$A$1:$K$932,11,0)))</f>
        <v/>
      </c>
      <c r="I842" s="979" t="str">
        <f>IF(ISNA(VLOOKUP(C842,[6]條件!$A$1:$L$932,12,0)),"",(VLOOKUP(C842,[6]條件!$A$1:$L$932,12,0)))</f>
        <v/>
      </c>
      <c r="J842" s="982"/>
      <c r="K842" s="980"/>
      <c r="L842" s="981" t="s">
        <v>632</v>
      </c>
      <c r="M842" s="983"/>
      <c r="N842" s="982"/>
      <c r="O842" s="980"/>
      <c r="P842" s="981" t="s">
        <v>632</v>
      </c>
      <c r="Q842" s="983"/>
      <c r="R842" s="982"/>
      <c r="S842" s="980"/>
      <c r="T842" s="981" t="s">
        <v>632</v>
      </c>
      <c r="U842" s="983"/>
      <c r="V842" s="982"/>
      <c r="W842" s="980"/>
      <c r="X842" s="981" t="s">
        <v>632</v>
      </c>
      <c r="Y842" s="983"/>
      <c r="Z842" s="1412" t="str">
        <f>IFERROR(VLOOKUP(C842, [6]條件!$A:$L, 3, 0), "")</f>
        <v/>
      </c>
      <c r="AA842" s="984" t="str">
        <f>IF(OR(L842={"改紡","檢修","了機","清車","FINAL","停機","SAMPLE","TEST","絲開發"}), L842, IFERROR(IF(C842="", "", (SUM(J842, N842, R842, V842)/3 * AG842) * IF(AND(AF842="S", AS842="雙"), 0.5, 1)), ""))</f>
        <v>停機</v>
      </c>
      <c r="AB842" s="1413" t="str">
        <f t="shared" si="143"/>
        <v/>
      </c>
      <c r="AC842" s="984" t="str">
        <f>IF(OR(L842={"改紡","檢修","了機","清車","FINAL","停機","SAMPLE","TEST"}), "", IFERROR(IF(C842="", "", AVERAGE(L842:M842, P842:Q842, T842:U842, X842:Y842)/100), ""))</f>
        <v/>
      </c>
      <c r="AD842" s="984" t="str">
        <f t="shared" si="150"/>
        <v/>
      </c>
      <c r="AE842" s="984" t="str">
        <f t="shared" si="144"/>
        <v/>
      </c>
      <c r="AF842" s="985" t="str">
        <f t="shared" si="145"/>
        <v>A</v>
      </c>
      <c r="AG842" s="1414">
        <v>1</v>
      </c>
      <c r="AH842" s="1002" t="s">
        <v>640</v>
      </c>
      <c r="AI842" s="1002" t="s">
        <v>640</v>
      </c>
      <c r="AJ842" s="986" t="s">
        <v>640</v>
      </c>
      <c r="AK842" s="986" t="s">
        <v>640</v>
      </c>
      <c r="AL842" s="1415"/>
      <c r="AM842" s="1323"/>
      <c r="AN842" s="1323"/>
      <c r="AO842" s="1323"/>
      <c r="AP842" s="1323"/>
      <c r="AQ842" s="1323"/>
      <c r="AR842" s="987"/>
      <c r="AS842" s="978" t="str">
        <f t="shared" si="146"/>
        <v>單</v>
      </c>
      <c r="AT842" s="978" t="str">
        <f t="shared" si="147"/>
        <v>全</v>
      </c>
      <c r="AU842" s="978" t="str">
        <f t="shared" si="148"/>
        <v/>
      </c>
      <c r="AV842" s="978" t="str">
        <f t="shared" si="149"/>
        <v/>
      </c>
    </row>
    <row r="843" spans="1:48">
      <c r="A843" s="975">
        <f t="shared" si="142"/>
        <v>46164</v>
      </c>
      <c r="B843" s="976" t="s">
        <v>219</v>
      </c>
      <c r="C843" s="976" t="s">
        <v>16745</v>
      </c>
      <c r="D843" s="1410" t="s">
        <v>16748</v>
      </c>
      <c r="E843" s="977" t="str">
        <f>IFERROR(VLOOKUP(C843, [6]條件!$A:$L, 5, 0), "")</f>
        <v>50/72BSD3</v>
      </c>
      <c r="F843" s="978" t="str">
        <f>IFERROR(VLOOKUP(C843, [6]條件!$A:$L, 6, 0), "")</f>
        <v>FP80141</v>
      </c>
      <c r="G843" s="1411">
        <f>IFERROR(VLOOKUP(C843, [6]條件!$A:$L, 7, 0), "")</f>
        <v>630</v>
      </c>
      <c r="H843" s="978" t="str">
        <f>IF(ISNA(VLOOKUP(C843,[6]條件!$A$1:$K$932,11,0)),"",(VLOOKUP(C843,[6]條件!$A$1:$K$932,11,0)))</f>
        <v>洋綠色</v>
      </c>
      <c r="I843" s="979">
        <f>IF(ISNA(VLOOKUP(C843,[6]條件!$A$1:$L$932,12,0)),"",(VLOOKUP(C843,[6]條件!$A$1:$L$932,12,0)))</f>
        <v>2</v>
      </c>
      <c r="J843" s="982">
        <v>21</v>
      </c>
      <c r="K843" s="980">
        <v>1</v>
      </c>
      <c r="L843" s="981">
        <v>9445</v>
      </c>
      <c r="M843" s="983">
        <v>9873</v>
      </c>
      <c r="N843" s="982">
        <v>15</v>
      </c>
      <c r="O843" s="980">
        <v>0</v>
      </c>
      <c r="P843" s="981">
        <v>9374</v>
      </c>
      <c r="Q843" s="983">
        <v>9651</v>
      </c>
      <c r="R843" s="982">
        <v>9</v>
      </c>
      <c r="S843" s="980">
        <v>4</v>
      </c>
      <c r="T843" s="981">
        <v>9372</v>
      </c>
      <c r="U843" s="983">
        <v>9763</v>
      </c>
      <c r="V843" s="982">
        <v>20</v>
      </c>
      <c r="W843" s="980">
        <v>3</v>
      </c>
      <c r="X843" s="981">
        <v>9271</v>
      </c>
      <c r="Y843" s="983">
        <v>9772</v>
      </c>
      <c r="Z843" s="1412">
        <f>IFERROR(VLOOKUP(C843, [6]條件!$A:$L, 3, 0), "")</f>
        <v>2.4615384615384617</v>
      </c>
      <c r="AA843" s="984">
        <f>IF(OR(L843={"改紡","檢修","了機","清車","FINAL","停機","SAMPLE","TEST","絲開發"}), L843, IFERROR(IF(C843="", "", (SUM(J843, N843, R843, V843)/3 * AG843) * IF(AND(AF843="S", AS843="雙"), 0.5, 1)), ""))</f>
        <v>21.666666666666668</v>
      </c>
      <c r="AB843" s="1413">
        <f t="shared" si="143"/>
        <v>0.984375</v>
      </c>
      <c r="AC843" s="984">
        <f>IF(OR(L843={"改紡","檢修","了機","清車","FINAL","停機","SAMPLE","TEST"}), "", IFERROR(IF(C843="", "", AVERAGE(L843:M843, P843:Q843, T843:U843, X843:Y843)/100), ""))</f>
        <v>95.651250000000005</v>
      </c>
      <c r="AD843" s="984">
        <f t="shared" si="150"/>
        <v>2.7083333333333335</v>
      </c>
      <c r="AE843" s="984">
        <f t="shared" si="144"/>
        <v>2.375</v>
      </c>
      <c r="AF843" s="985" t="str">
        <f t="shared" si="145"/>
        <v>A</v>
      </c>
      <c r="AG843" s="1414">
        <v>1</v>
      </c>
      <c r="AH843" s="1002" t="s">
        <v>16021</v>
      </c>
      <c r="AI843" s="1002" t="s">
        <v>16021</v>
      </c>
      <c r="AJ843" s="986" t="s">
        <v>16005</v>
      </c>
      <c r="AK843" s="986" t="s">
        <v>16005</v>
      </c>
      <c r="AL843" s="1415">
        <v>57</v>
      </c>
      <c r="AM843" s="1324">
        <v>46088</v>
      </c>
      <c r="AN843" s="1323">
        <v>46089</v>
      </c>
      <c r="AO843" s="1323">
        <v>46090</v>
      </c>
      <c r="AP843" s="1323">
        <v>46091</v>
      </c>
      <c r="AQ843" s="1323">
        <v>46092</v>
      </c>
      <c r="AR843" s="987"/>
      <c r="AS843" s="978" t="str">
        <f t="shared" si="146"/>
        <v>單</v>
      </c>
      <c r="AT843" s="978" t="str">
        <f t="shared" si="147"/>
        <v>全</v>
      </c>
      <c r="AU843" s="978">
        <f t="shared" si="148"/>
        <v>50</v>
      </c>
      <c r="AV843" s="978">
        <f t="shared" si="149"/>
        <v>1.0412977680000002</v>
      </c>
    </row>
    <row r="844" spans="1:48">
      <c r="A844" s="975">
        <f t="shared" si="142"/>
        <v>46164</v>
      </c>
      <c r="B844" s="976" t="s">
        <v>220</v>
      </c>
      <c r="C844" s="976" t="s">
        <v>632</v>
      </c>
      <c r="D844" s="1410"/>
      <c r="E844" s="977" t="str">
        <f>IFERROR(VLOOKUP(C844, [6]條件!$A:$L, 5, 0), "")</f>
        <v/>
      </c>
      <c r="F844" s="978" t="str">
        <f>IFERROR(VLOOKUP(C844, [6]條件!$A:$L, 6, 0), "")</f>
        <v/>
      </c>
      <c r="G844" s="1411" t="str">
        <f>IFERROR(VLOOKUP(C844, [6]條件!$A:$L, 7, 0), "")</f>
        <v/>
      </c>
      <c r="H844" s="978" t="str">
        <f>IF(ISNA(VLOOKUP(C844,[6]條件!$A$1:$K$932,11,0)),"",(VLOOKUP(C844,[6]條件!$A$1:$K$932,11,0)))</f>
        <v/>
      </c>
      <c r="I844" s="979" t="str">
        <f>IF(ISNA(VLOOKUP(C844,[6]條件!$A$1:$L$932,12,0)),"",(VLOOKUP(C844,[6]條件!$A$1:$L$932,12,0)))</f>
        <v/>
      </c>
      <c r="J844" s="982"/>
      <c r="K844" s="980"/>
      <c r="L844" s="981" t="s">
        <v>632</v>
      </c>
      <c r="M844" s="983"/>
      <c r="N844" s="982"/>
      <c r="O844" s="980"/>
      <c r="P844" s="981" t="s">
        <v>632</v>
      </c>
      <c r="Q844" s="983"/>
      <c r="R844" s="982"/>
      <c r="S844" s="980"/>
      <c r="T844" s="981" t="s">
        <v>632</v>
      </c>
      <c r="U844" s="983"/>
      <c r="V844" s="982"/>
      <c r="W844" s="980"/>
      <c r="X844" s="981" t="s">
        <v>632</v>
      </c>
      <c r="Y844" s="983"/>
      <c r="Z844" s="1412" t="str">
        <f>IFERROR(VLOOKUP(C844, [6]條件!$A:$L, 3, 0), "")</f>
        <v/>
      </c>
      <c r="AA844" s="984" t="str">
        <f>IF(OR(L844={"改紡","檢修","了機","清車","FINAL","停機","SAMPLE","TEST","絲開發"}), L844, IFERROR(IF(C844="", "", (SUM(J844, N844, R844, V844)/3 * AG844) * IF(AND(AF844="S", AS844="雙"), 0.5, 1)), ""))</f>
        <v>停機</v>
      </c>
      <c r="AB844" s="1413" t="str">
        <f t="shared" si="143"/>
        <v/>
      </c>
      <c r="AC844" s="984" t="str">
        <f>IF(OR(L844={"改紡","檢修","了機","清車","FINAL","停機","SAMPLE","TEST"}), "", IFERROR(IF(C844="", "", AVERAGE(L844:M844, P844:Q844, T844:U844, X844:Y844)/100), ""))</f>
        <v/>
      </c>
      <c r="AD844" s="984" t="str">
        <f t="shared" si="150"/>
        <v/>
      </c>
      <c r="AE844" s="984" t="str">
        <f t="shared" si="144"/>
        <v/>
      </c>
      <c r="AF844" s="985" t="str">
        <f t="shared" si="145"/>
        <v>A</v>
      </c>
      <c r="AG844" s="1414">
        <v>1</v>
      </c>
      <c r="AH844" s="1002" t="s">
        <v>640</v>
      </c>
      <c r="AI844" s="1002" t="s">
        <v>640</v>
      </c>
      <c r="AJ844" s="986" t="s">
        <v>640</v>
      </c>
      <c r="AK844" s="986" t="s">
        <v>640</v>
      </c>
      <c r="AL844" s="1415"/>
      <c r="AM844" s="1323"/>
      <c r="AN844" s="1323"/>
      <c r="AO844" s="1323"/>
      <c r="AP844" s="1323"/>
      <c r="AQ844" s="1323"/>
      <c r="AR844" s="987"/>
      <c r="AS844" s="978" t="str">
        <f t="shared" si="146"/>
        <v>單</v>
      </c>
      <c r="AT844" s="978" t="str">
        <f t="shared" si="147"/>
        <v>全</v>
      </c>
      <c r="AU844" s="978" t="str">
        <f t="shared" si="148"/>
        <v/>
      </c>
      <c r="AV844" s="978" t="str">
        <f t="shared" si="149"/>
        <v/>
      </c>
    </row>
    <row r="845" spans="1:48">
      <c r="A845" s="975">
        <f t="shared" si="142"/>
        <v>46164</v>
      </c>
      <c r="B845" s="976" t="s">
        <v>221</v>
      </c>
      <c r="C845" s="976" t="s">
        <v>16763</v>
      </c>
      <c r="D845" s="1410"/>
      <c r="E845" s="977" t="str">
        <f>IFERROR(VLOOKUP(C845, [6]條件!$A:$L, 5, 0), "")</f>
        <v>150/48CDR</v>
      </c>
      <c r="F845" s="978" t="str">
        <f>IFERROR(VLOOKUP(C845, [6]條件!$A:$L, 6, 0), "")</f>
        <v>FP82781</v>
      </c>
      <c r="G845" s="1411">
        <f>IFERROR(VLOOKUP(C845, [6]條件!$A:$L, 7, 0), "")</f>
        <v>600</v>
      </c>
      <c r="H845" s="978" t="str">
        <f>IF(ISNA(VLOOKUP(C845,[6]條件!$A$1:$K$932,11,0)),"",(VLOOKUP(C845,[6]條件!$A$1:$K$932,11,0)))</f>
        <v>綠藍雙色</v>
      </c>
      <c r="I845" s="979">
        <f>IF(ISNA(VLOOKUP(C845,[6]條件!$A$1:$L$932,12,0)),"",(VLOOKUP(C845,[6]條件!$A$1:$L$932,12,0)))</f>
        <v>5</v>
      </c>
      <c r="J845" s="982">
        <v>13</v>
      </c>
      <c r="K845" s="980">
        <v>0</v>
      </c>
      <c r="L845" s="981">
        <v>8379</v>
      </c>
      <c r="M845" s="983">
        <v>8056</v>
      </c>
      <c r="N845" s="982">
        <v>3</v>
      </c>
      <c r="O845" s="980">
        <v>0</v>
      </c>
      <c r="P845" s="981">
        <v>8438</v>
      </c>
      <c r="Q845" s="983">
        <v>8148</v>
      </c>
      <c r="R845" s="982">
        <v>1</v>
      </c>
      <c r="S845" s="980">
        <v>0</v>
      </c>
      <c r="T845" s="981">
        <v>8397</v>
      </c>
      <c r="U845" s="983">
        <v>8148</v>
      </c>
      <c r="V845" s="982">
        <v>6</v>
      </c>
      <c r="W845" s="980">
        <v>0</v>
      </c>
      <c r="X845" s="981">
        <v>8295</v>
      </c>
      <c r="Y845" s="983">
        <v>8054</v>
      </c>
      <c r="Z845" s="1412">
        <f>IFERROR(VLOOKUP(C845, [6]條件!$A:$L, 3, 0), "")</f>
        <v>2.8685258964143427</v>
      </c>
      <c r="AA845" s="984">
        <f>IF(OR(L845={"改紡","檢修","了機","清車","FINAL","停機","SAMPLE","TEST","絲開發"}), L845, IFERROR(IF(C845="", "", (SUM(J845, N845, R845, V845)/3 * AG845) * IF(AND(AF845="S", AS845="雙"), 0.5, 1)), ""))</f>
        <v>7.666666666666667</v>
      </c>
      <c r="AB845" s="1413">
        <f t="shared" si="143"/>
        <v>1</v>
      </c>
      <c r="AC845" s="984">
        <f>IF(OR(L845={"改紡","檢修","了機","清車","FINAL","停機","SAMPLE","TEST"}), "", IFERROR(IF(C845="", "", AVERAGE(L845:M845, P845:Q845, T845:U845, X845:Y845)/100), ""))</f>
        <v>82.393749999999997</v>
      </c>
      <c r="AD845" s="984">
        <f t="shared" si="150"/>
        <v>0.95833333333333337</v>
      </c>
      <c r="AE845" s="984">
        <f t="shared" si="144"/>
        <v>0.95833333333333337</v>
      </c>
      <c r="AF845" s="985" t="str">
        <f t="shared" si="145"/>
        <v>A</v>
      </c>
      <c r="AG845" s="1414">
        <v>1</v>
      </c>
      <c r="AH845" s="1002" t="s">
        <v>16016</v>
      </c>
      <c r="AI845" s="1002" t="s">
        <v>15997</v>
      </c>
      <c r="AJ845" s="986" t="s">
        <v>15994</v>
      </c>
      <c r="AK845" s="986" t="s">
        <v>15994</v>
      </c>
      <c r="AL845" s="1415">
        <v>54</v>
      </c>
      <c r="AM845" s="1323">
        <v>46162</v>
      </c>
      <c r="AN845" s="1323">
        <v>46163</v>
      </c>
      <c r="AO845" s="1323"/>
      <c r="AP845" s="1323"/>
      <c r="AQ845" s="1323"/>
      <c r="AR845" s="987"/>
      <c r="AS845" s="978" t="str">
        <f t="shared" si="146"/>
        <v>單</v>
      </c>
      <c r="AT845" s="978" t="str">
        <f t="shared" si="147"/>
        <v>全</v>
      </c>
      <c r="AU845" s="978">
        <f t="shared" si="148"/>
        <v>150</v>
      </c>
      <c r="AV845" s="978">
        <f t="shared" si="149"/>
        <v>2.5627751999999999</v>
      </c>
    </row>
    <row r="846" spans="1:48">
      <c r="A846" s="975">
        <f t="shared" si="142"/>
        <v>46164</v>
      </c>
      <c r="B846" s="976" t="s">
        <v>222</v>
      </c>
      <c r="C846" s="976" t="s">
        <v>632</v>
      </c>
      <c r="D846" s="1410"/>
      <c r="E846" s="977" t="str">
        <f>IFERROR(VLOOKUP(C846, [6]條件!$A:$L, 5, 0), "")</f>
        <v/>
      </c>
      <c r="F846" s="978" t="str">
        <f>IFERROR(VLOOKUP(C846, [6]條件!$A:$L, 6, 0), "")</f>
        <v/>
      </c>
      <c r="G846" s="1411" t="str">
        <f>IFERROR(VLOOKUP(C846, [6]條件!$A:$L, 7, 0), "")</f>
        <v/>
      </c>
      <c r="H846" s="978" t="str">
        <f>IF(ISNA(VLOOKUP(C846,[6]條件!$A$1:$K$932,11,0)),"",(VLOOKUP(C846,[6]條件!$A$1:$K$932,11,0)))</f>
        <v/>
      </c>
      <c r="I846" s="979" t="str">
        <f>IF(ISNA(VLOOKUP(C846,[6]條件!$A$1:$L$932,12,0)),"",(VLOOKUP(C846,[6]條件!$A$1:$L$932,12,0)))</f>
        <v/>
      </c>
      <c r="J846" s="982"/>
      <c r="K846" s="980"/>
      <c r="L846" s="981" t="s">
        <v>632</v>
      </c>
      <c r="M846" s="983"/>
      <c r="N846" s="982"/>
      <c r="O846" s="980"/>
      <c r="P846" s="981" t="s">
        <v>632</v>
      </c>
      <c r="Q846" s="983"/>
      <c r="R846" s="982"/>
      <c r="S846" s="980"/>
      <c r="T846" s="981" t="s">
        <v>632</v>
      </c>
      <c r="U846" s="983"/>
      <c r="V846" s="982"/>
      <c r="W846" s="980"/>
      <c r="X846" s="981" t="s">
        <v>632</v>
      </c>
      <c r="Y846" s="983"/>
      <c r="Z846" s="1412" t="str">
        <f>IFERROR(VLOOKUP(C846, [6]條件!$A:$L, 3, 0), "")</f>
        <v/>
      </c>
      <c r="AA846" s="984" t="str">
        <f>IF(OR(L846={"改紡","檢修","了機","清車","FINAL","停機","SAMPLE","TEST","絲開發"}), L846, IFERROR(IF(C846="", "", (SUM(J846, N846, R846, V846)/3 * AG846) * IF(AND(AF846="S", AS846="雙"), 0.5, 1)), ""))</f>
        <v>停機</v>
      </c>
      <c r="AB846" s="1413" t="str">
        <f t="shared" si="143"/>
        <v/>
      </c>
      <c r="AC846" s="984" t="str">
        <f>IF(OR(L846={"改紡","檢修","了機","清車","FINAL","停機","SAMPLE","TEST"}), "", IFERROR(IF(C846="", "", AVERAGE(L846:M846, P846:Q846, T846:U846, X846:Y846)/100), ""))</f>
        <v/>
      </c>
      <c r="AD846" s="984" t="str">
        <f t="shared" si="150"/>
        <v/>
      </c>
      <c r="AE846" s="984" t="str">
        <f t="shared" si="144"/>
        <v/>
      </c>
      <c r="AF846" s="985" t="str">
        <f t="shared" si="145"/>
        <v>A</v>
      </c>
      <c r="AG846" s="1414">
        <v>1</v>
      </c>
      <c r="AH846" s="1002" t="s">
        <v>640</v>
      </c>
      <c r="AI846" s="1002" t="s">
        <v>640</v>
      </c>
      <c r="AJ846" s="986" t="s">
        <v>640</v>
      </c>
      <c r="AK846" s="986" t="s">
        <v>640</v>
      </c>
      <c r="AL846" s="1415"/>
      <c r="AM846" s="1323"/>
      <c r="AN846" s="1323"/>
      <c r="AO846" s="1323"/>
      <c r="AP846" s="1323"/>
      <c r="AQ846" s="1323"/>
      <c r="AR846" s="987"/>
      <c r="AS846" s="978" t="str">
        <f t="shared" si="146"/>
        <v>單</v>
      </c>
      <c r="AT846" s="978" t="str">
        <f t="shared" si="147"/>
        <v>全</v>
      </c>
      <c r="AU846" s="978" t="str">
        <f t="shared" si="148"/>
        <v/>
      </c>
      <c r="AV846" s="978" t="str">
        <f t="shared" si="149"/>
        <v/>
      </c>
    </row>
    <row r="847" spans="1:48">
      <c r="A847" s="975">
        <f t="shared" si="142"/>
        <v>46164</v>
      </c>
      <c r="B847" s="976" t="s">
        <v>223</v>
      </c>
      <c r="C847" s="976" t="s">
        <v>632</v>
      </c>
      <c r="D847" s="1410"/>
      <c r="E847" s="977" t="str">
        <f>IFERROR(VLOOKUP(C847, [6]條件!$A:$L, 5, 0), "")</f>
        <v/>
      </c>
      <c r="F847" s="978" t="str">
        <f>IFERROR(VLOOKUP(C847, [6]條件!$A:$L, 6, 0), "")</f>
        <v/>
      </c>
      <c r="G847" s="1411" t="str">
        <f>IFERROR(VLOOKUP(C847, [6]條件!$A:$L, 7, 0), "")</f>
        <v/>
      </c>
      <c r="H847" s="978" t="str">
        <f>IF(ISNA(VLOOKUP(C847,[6]條件!$A$1:$K$932,11,0)),"",(VLOOKUP(C847,[6]條件!$A$1:$K$932,11,0)))</f>
        <v/>
      </c>
      <c r="I847" s="979" t="str">
        <f>IF(ISNA(VLOOKUP(C847,[6]條件!$A$1:$L$932,12,0)),"",(VLOOKUP(C847,[6]條件!$A$1:$L$932,12,0)))</f>
        <v/>
      </c>
      <c r="J847" s="982"/>
      <c r="K847" s="980"/>
      <c r="L847" s="981" t="s">
        <v>632</v>
      </c>
      <c r="M847" s="983"/>
      <c r="N847" s="982"/>
      <c r="O847" s="980"/>
      <c r="P847" s="981" t="s">
        <v>632</v>
      </c>
      <c r="Q847" s="983"/>
      <c r="R847" s="982"/>
      <c r="S847" s="980"/>
      <c r="T847" s="981" t="s">
        <v>632</v>
      </c>
      <c r="U847" s="983"/>
      <c r="V847" s="982"/>
      <c r="W847" s="980"/>
      <c r="X847" s="981" t="s">
        <v>632</v>
      </c>
      <c r="Y847" s="983"/>
      <c r="Z847" s="1412" t="str">
        <f>IFERROR(VLOOKUP(C847, [6]條件!$A:$L, 3, 0), "")</f>
        <v/>
      </c>
      <c r="AA847" s="984" t="str">
        <f>IF(OR(L847={"改紡","檢修","了機","清車","FINAL","停機","SAMPLE","TEST","絲開發"}), L847, IFERROR(IF(C847="", "", (SUM(J847, N847, R847, V847)/3 * AG847) * IF(AND(AF847="S", AS847="雙"), 0.5, 1)), ""))</f>
        <v>停機</v>
      </c>
      <c r="AB847" s="1413" t="str">
        <f t="shared" si="143"/>
        <v/>
      </c>
      <c r="AC847" s="984" t="str">
        <f>IF(OR(L847={"改紡","檢修","了機","清車","FINAL","停機","SAMPLE","TEST"}), "", IFERROR(IF(C847="", "", AVERAGE(L847:M847, P847:Q847, T847:U847, X847:Y847)/100), ""))</f>
        <v/>
      </c>
      <c r="AD847" s="984" t="str">
        <f t="shared" si="150"/>
        <v/>
      </c>
      <c r="AE847" s="984" t="str">
        <f t="shared" si="144"/>
        <v/>
      </c>
      <c r="AF847" s="985" t="str">
        <f t="shared" si="145"/>
        <v>A</v>
      </c>
      <c r="AG847" s="1414">
        <v>1</v>
      </c>
      <c r="AH847" s="1002" t="s">
        <v>640</v>
      </c>
      <c r="AI847" s="1002" t="s">
        <v>640</v>
      </c>
      <c r="AJ847" s="986" t="s">
        <v>640</v>
      </c>
      <c r="AK847" s="986" t="s">
        <v>640</v>
      </c>
      <c r="AL847" s="1415"/>
      <c r="AM847" s="1324"/>
      <c r="AN847" s="1323"/>
      <c r="AO847" s="1323"/>
      <c r="AP847" s="1323"/>
      <c r="AQ847" s="1323"/>
      <c r="AR847" s="987"/>
      <c r="AS847" s="978" t="str">
        <f t="shared" si="146"/>
        <v>單</v>
      </c>
      <c r="AT847" s="978" t="str">
        <f t="shared" si="147"/>
        <v>全</v>
      </c>
      <c r="AU847" s="978" t="str">
        <f t="shared" si="148"/>
        <v/>
      </c>
      <c r="AV847" s="978" t="str">
        <f t="shared" si="149"/>
        <v/>
      </c>
    </row>
    <row r="848" spans="1:48">
      <c r="A848" s="975">
        <f t="shared" si="142"/>
        <v>46164</v>
      </c>
      <c r="B848" s="976" t="s">
        <v>224</v>
      </c>
      <c r="C848" s="976" t="s">
        <v>16734</v>
      </c>
      <c r="D848" s="1410" t="s">
        <v>633</v>
      </c>
      <c r="E848" s="977" t="str">
        <f>IFERROR(VLOOKUP(C848, [6]條件!$A:$L, 5, 0), "")</f>
        <v>75/24/2SDr</v>
      </c>
      <c r="F848" s="978" t="str">
        <f>IFERROR(VLOOKUP(C848, [6]條件!$A:$L, 6, 0), "")</f>
        <v>FP81382R×2</v>
      </c>
      <c r="G848" s="1411">
        <f>IFERROR(VLOOKUP(C848, [6]條件!$A:$L, 7, 0), "")</f>
        <v>700</v>
      </c>
      <c r="H848" s="978" t="str">
        <f>IF(ISNA(VLOOKUP(C848,[6]條件!$A$1:$K$932,11,0)),"",(VLOOKUP(C848,[6]條件!$A$1:$K$932,11,0)))</f>
        <v>白底紫三角</v>
      </c>
      <c r="I848" s="979">
        <f>IF(ISNA(VLOOKUP(C848,[6]條件!$A$1:$L$932,12,0)),"",(VLOOKUP(C848,[6]條件!$A$1:$L$932,12,0)))</f>
        <v>5</v>
      </c>
      <c r="J848" s="982"/>
      <c r="K848" s="980"/>
      <c r="L848" s="981" t="s">
        <v>127</v>
      </c>
      <c r="M848" s="983" t="s">
        <v>632</v>
      </c>
      <c r="N848" s="982"/>
      <c r="O848" s="980"/>
      <c r="P848" s="981" t="s">
        <v>127</v>
      </c>
      <c r="Q848" s="983" t="s">
        <v>632</v>
      </c>
      <c r="R848" s="982"/>
      <c r="S848" s="980"/>
      <c r="T848" s="981" t="s">
        <v>127</v>
      </c>
      <c r="U848" s="983" t="s">
        <v>632</v>
      </c>
      <c r="V848" s="982"/>
      <c r="W848" s="980"/>
      <c r="X848" s="981" t="s">
        <v>127</v>
      </c>
      <c r="Y848" s="983" t="s">
        <v>632</v>
      </c>
      <c r="Z848" s="1412">
        <f>IFERROR(VLOOKUP(C848, [6]條件!$A:$L, 3, 0), "")</f>
        <v>3.2653061224489797</v>
      </c>
      <c r="AA848" s="984" t="str">
        <f>IF(OR(L848={"改紡","檢修","了機","清車","FINAL","停機","SAMPLE","TEST","絲開發"}), L848, IFERROR(IF(C848="", "", (SUM(J848, N848, R848, V848)/3 * AG848) * IF(AND(AF848="S", AS848="雙"), 0.5, 1)), ""))</f>
        <v>了機</v>
      </c>
      <c r="AB848" s="1413" t="str">
        <f t="shared" si="143"/>
        <v/>
      </c>
      <c r="AC848" s="984" t="str">
        <f>IF(OR(L848={"改紡","檢修","了機","清車","FINAL","停機","SAMPLE","TEST"}), "", IFERROR(IF(C848="", "", AVERAGE(L848:M848, P848:Q848, T848:U848, X848:Y848)/100), ""))</f>
        <v/>
      </c>
      <c r="AD848" s="984" t="str">
        <f t="shared" si="150"/>
        <v/>
      </c>
      <c r="AE848" s="984" t="str">
        <f t="shared" si="144"/>
        <v/>
      </c>
      <c r="AF848" s="985" t="str">
        <f t="shared" si="145"/>
        <v>A</v>
      </c>
      <c r="AG848" s="1414">
        <v>0.5</v>
      </c>
      <c r="AH848" s="1002" t="s">
        <v>16016</v>
      </c>
      <c r="AI848" s="1002" t="s">
        <v>15997</v>
      </c>
      <c r="AJ848" s="986" t="s">
        <v>15994</v>
      </c>
      <c r="AK848" s="986" t="s">
        <v>15994</v>
      </c>
      <c r="AL848" s="1415">
        <v>50</v>
      </c>
      <c r="AM848" s="1323">
        <v>46108</v>
      </c>
      <c r="AN848" s="1323">
        <v>46111</v>
      </c>
      <c r="AO848" s="1323"/>
      <c r="AP848" s="1323"/>
      <c r="AQ848" s="1323"/>
      <c r="AR848" s="987"/>
      <c r="AS848" s="978" t="str">
        <f t="shared" si="146"/>
        <v>雙</v>
      </c>
      <c r="AT848" s="978" t="str">
        <f t="shared" si="147"/>
        <v>全</v>
      </c>
      <c r="AU848" s="978">
        <f t="shared" si="148"/>
        <v>75</v>
      </c>
      <c r="AV848" s="978" t="str">
        <f t="shared" si="149"/>
        <v/>
      </c>
    </row>
    <row r="849" spans="1:48">
      <c r="A849" s="975">
        <f t="shared" si="142"/>
        <v>46164</v>
      </c>
      <c r="B849" s="976" t="s">
        <v>225</v>
      </c>
      <c r="C849" s="976" t="s">
        <v>632</v>
      </c>
      <c r="D849" s="1410"/>
      <c r="E849" s="977" t="str">
        <f>IFERROR(VLOOKUP(C849, [6]條件!$A:$L, 5, 0), "")</f>
        <v/>
      </c>
      <c r="F849" s="978" t="str">
        <f>IFERROR(VLOOKUP(C849, [6]條件!$A:$L, 6, 0), "")</f>
        <v/>
      </c>
      <c r="G849" s="1411" t="str">
        <f>IFERROR(VLOOKUP(C849, [6]條件!$A:$L, 7, 0), "")</f>
        <v/>
      </c>
      <c r="H849" s="978" t="str">
        <f>IF(ISNA(VLOOKUP(C849,[6]條件!$A$1:$K$932,11,0)),"",(VLOOKUP(C849,[6]條件!$A$1:$K$932,11,0)))</f>
        <v/>
      </c>
      <c r="I849" s="979" t="str">
        <f>IF(ISNA(VLOOKUP(C849,[6]條件!$A$1:$L$932,12,0)),"",(VLOOKUP(C849,[6]條件!$A$1:$L$932,12,0)))</f>
        <v/>
      </c>
      <c r="J849" s="982"/>
      <c r="K849" s="980"/>
      <c r="L849" s="981" t="s">
        <v>632</v>
      </c>
      <c r="M849" s="983"/>
      <c r="N849" s="982"/>
      <c r="O849" s="980"/>
      <c r="P849" s="981" t="s">
        <v>632</v>
      </c>
      <c r="Q849" s="983"/>
      <c r="R849" s="982"/>
      <c r="S849" s="980"/>
      <c r="T849" s="981" t="s">
        <v>632</v>
      </c>
      <c r="U849" s="983"/>
      <c r="V849" s="982"/>
      <c r="W849" s="980"/>
      <c r="X849" s="981" t="s">
        <v>632</v>
      </c>
      <c r="Y849" s="983"/>
      <c r="Z849" s="1412" t="str">
        <f>IFERROR(VLOOKUP(C849, [6]條件!$A:$L, 3, 0), "")</f>
        <v/>
      </c>
      <c r="AA849" s="984" t="str">
        <f>IF(OR(L849={"改紡","檢修","了機","清車","FINAL","停機","SAMPLE","TEST","絲開發"}), L849, IFERROR(IF(C849="", "", (SUM(J849, N849, R849, V849)/3 * AG849) * IF(AND(AF849="S", AS849="雙"), 0.5, 1)), ""))</f>
        <v>停機</v>
      </c>
      <c r="AB849" s="1413" t="str">
        <f t="shared" si="143"/>
        <v/>
      </c>
      <c r="AC849" s="984" t="str">
        <f>IF(OR(L849={"改紡","檢修","了機","清車","FINAL","停機","SAMPLE","TEST"}), "", IFERROR(IF(C849="", "", AVERAGE(L849:M849, P849:Q849, T849:U849, X849:Y849)/100), ""))</f>
        <v/>
      </c>
      <c r="AD849" s="984" t="str">
        <f t="shared" si="150"/>
        <v/>
      </c>
      <c r="AE849" s="984" t="str">
        <f t="shared" si="144"/>
        <v/>
      </c>
      <c r="AF849" s="985" t="str">
        <f t="shared" si="145"/>
        <v>A</v>
      </c>
      <c r="AG849" s="1414">
        <v>1</v>
      </c>
      <c r="AH849" s="1002" t="s">
        <v>640</v>
      </c>
      <c r="AI849" s="1002" t="s">
        <v>640</v>
      </c>
      <c r="AJ849" s="986" t="s">
        <v>640</v>
      </c>
      <c r="AK849" s="986" t="s">
        <v>640</v>
      </c>
      <c r="AL849" s="1415"/>
      <c r="AM849" s="1323"/>
      <c r="AN849" s="1323"/>
      <c r="AO849" s="1323"/>
      <c r="AP849" s="1323"/>
      <c r="AQ849" s="1323"/>
      <c r="AR849" s="987"/>
      <c r="AS849" s="978" t="str">
        <f t="shared" si="146"/>
        <v>單</v>
      </c>
      <c r="AT849" s="978" t="str">
        <f t="shared" si="147"/>
        <v>全</v>
      </c>
      <c r="AU849" s="978" t="str">
        <f t="shared" si="148"/>
        <v/>
      </c>
      <c r="AV849" s="978" t="str">
        <f t="shared" si="149"/>
        <v/>
      </c>
    </row>
    <row r="850" spans="1:48">
      <c r="A850" s="975">
        <f t="shared" si="142"/>
        <v>46164</v>
      </c>
      <c r="B850" s="976" t="s">
        <v>226</v>
      </c>
      <c r="C850" s="976" t="s">
        <v>632</v>
      </c>
      <c r="D850" s="1410"/>
      <c r="E850" s="977" t="str">
        <f>IFERROR(VLOOKUP(C850, [6]條件!$A:$L, 5, 0), "")</f>
        <v/>
      </c>
      <c r="F850" s="978" t="str">
        <f>IFERROR(VLOOKUP(C850, [6]條件!$A:$L, 6, 0), "")</f>
        <v/>
      </c>
      <c r="G850" s="1411" t="str">
        <f>IFERROR(VLOOKUP(C850, [6]條件!$A:$L, 7, 0), "")</f>
        <v/>
      </c>
      <c r="H850" s="978" t="str">
        <f>IF(ISNA(VLOOKUP(C850,[6]條件!$A$1:$K$932,11,0)),"",(VLOOKUP(C850,[6]條件!$A$1:$K$932,11,0)))</f>
        <v/>
      </c>
      <c r="I850" s="979" t="str">
        <f>IF(ISNA(VLOOKUP(C850,[6]條件!$A$1:$L$932,12,0)),"",(VLOOKUP(C850,[6]條件!$A$1:$L$932,12,0)))</f>
        <v/>
      </c>
      <c r="J850" s="982"/>
      <c r="K850" s="980"/>
      <c r="L850" s="981" t="s">
        <v>632</v>
      </c>
      <c r="M850" s="983"/>
      <c r="N850" s="982"/>
      <c r="O850" s="980"/>
      <c r="P850" s="981" t="s">
        <v>632</v>
      </c>
      <c r="Q850" s="983"/>
      <c r="R850" s="982"/>
      <c r="S850" s="980"/>
      <c r="T850" s="981" t="s">
        <v>632</v>
      </c>
      <c r="U850" s="983"/>
      <c r="V850" s="982"/>
      <c r="W850" s="980"/>
      <c r="X850" s="981" t="s">
        <v>632</v>
      </c>
      <c r="Y850" s="983"/>
      <c r="Z850" s="1412" t="str">
        <f>IFERROR(VLOOKUP(C850, [6]條件!$A:$L, 3, 0), "")</f>
        <v/>
      </c>
      <c r="AA850" s="984" t="str">
        <f>IF(OR(L850={"改紡","檢修","了機","清車","FINAL","停機","SAMPLE","TEST","絲開發"}), L850, IFERROR(IF(C850="", "", (SUM(J850, N850, R850, V850)/3 * AG850) * IF(AND(AF850="S", AS850="雙"), 0.5, 1)), ""))</f>
        <v>停機</v>
      </c>
      <c r="AB850" s="1413" t="str">
        <f t="shared" si="143"/>
        <v/>
      </c>
      <c r="AC850" s="984" t="str">
        <f>IF(OR(L850={"改紡","檢修","了機","清車","FINAL","停機","SAMPLE","TEST"}), "", IFERROR(IF(C850="", "", AVERAGE(L850:M850, P850:Q850, T850:U850, X850:Y850)/100), ""))</f>
        <v/>
      </c>
      <c r="AD850" s="984" t="str">
        <f t="shared" si="150"/>
        <v/>
      </c>
      <c r="AE850" s="984" t="str">
        <f t="shared" si="144"/>
        <v/>
      </c>
      <c r="AF850" s="985" t="str">
        <f t="shared" si="145"/>
        <v>A</v>
      </c>
      <c r="AG850" s="1414">
        <v>1</v>
      </c>
      <c r="AH850" s="1002" t="s">
        <v>640</v>
      </c>
      <c r="AI850" s="1002" t="s">
        <v>640</v>
      </c>
      <c r="AJ850" s="986" t="s">
        <v>640</v>
      </c>
      <c r="AK850" s="986" t="s">
        <v>640</v>
      </c>
      <c r="AL850" s="1415"/>
      <c r="AM850" s="1323"/>
      <c r="AN850" s="1323"/>
      <c r="AO850" s="1323"/>
      <c r="AP850" s="1323"/>
      <c r="AQ850" s="1323"/>
      <c r="AR850" s="987"/>
      <c r="AS850" s="978" t="str">
        <f t="shared" si="146"/>
        <v>單</v>
      </c>
      <c r="AT850" s="978" t="str">
        <f t="shared" si="147"/>
        <v>全</v>
      </c>
      <c r="AU850" s="978" t="str">
        <f t="shared" si="148"/>
        <v/>
      </c>
      <c r="AV850" s="978" t="str">
        <f t="shared" si="149"/>
        <v/>
      </c>
    </row>
    <row r="851" spans="1:48">
      <c r="A851" s="975">
        <f t="shared" si="142"/>
        <v>46164</v>
      </c>
      <c r="B851" s="976" t="s">
        <v>227</v>
      </c>
      <c r="C851" s="976" t="s">
        <v>632</v>
      </c>
      <c r="D851" s="1410"/>
      <c r="E851" s="977" t="str">
        <f>IFERROR(VLOOKUP(C851, [6]條件!$A:$L, 5, 0), "")</f>
        <v/>
      </c>
      <c r="F851" s="978" t="str">
        <f>IFERROR(VLOOKUP(C851, [6]條件!$A:$L, 6, 0), "")</f>
        <v/>
      </c>
      <c r="G851" s="1411" t="str">
        <f>IFERROR(VLOOKUP(C851, [6]條件!$A:$L, 7, 0), "")</f>
        <v/>
      </c>
      <c r="H851" s="978" t="str">
        <f>IF(ISNA(VLOOKUP(C851,[6]條件!$A$1:$K$932,11,0)),"",(VLOOKUP(C851,[6]條件!$A$1:$K$932,11,0)))</f>
        <v/>
      </c>
      <c r="I851" s="979" t="str">
        <f>IF(ISNA(VLOOKUP(C851,[6]條件!$A$1:$L$932,12,0)),"",(VLOOKUP(C851,[6]條件!$A$1:$L$932,12,0)))</f>
        <v/>
      </c>
      <c r="J851" s="982"/>
      <c r="K851" s="980"/>
      <c r="L851" s="981" t="s">
        <v>632</v>
      </c>
      <c r="M851" s="983"/>
      <c r="N851" s="982"/>
      <c r="O851" s="980"/>
      <c r="P851" s="981" t="s">
        <v>632</v>
      </c>
      <c r="Q851" s="983"/>
      <c r="R851" s="982"/>
      <c r="S851" s="980"/>
      <c r="T851" s="981" t="s">
        <v>632</v>
      </c>
      <c r="U851" s="983"/>
      <c r="V851" s="982"/>
      <c r="W851" s="980"/>
      <c r="X851" s="981" t="s">
        <v>632</v>
      </c>
      <c r="Y851" s="983"/>
      <c r="Z851" s="1412" t="str">
        <f>IFERROR(VLOOKUP(C851, [6]條件!$A:$L, 3, 0), "")</f>
        <v/>
      </c>
      <c r="AA851" s="984" t="str">
        <f>IF(OR(L851={"改紡","檢修","了機","清車","FINAL","停機","SAMPLE","TEST","絲開發"}), L851, IFERROR(IF(C851="", "", (SUM(J851, N851, R851, V851)/3 * AG851) * IF(AND(AF851="S", AS851="雙"), 0.5, 1)), ""))</f>
        <v>停機</v>
      </c>
      <c r="AB851" s="1413" t="str">
        <f t="shared" si="143"/>
        <v/>
      </c>
      <c r="AC851" s="984" t="str">
        <f>IF(OR(L851={"改紡","檢修","了機","清車","FINAL","停機","SAMPLE","TEST"}), "", IFERROR(IF(C851="", "", AVERAGE(L851:M851, P851:Q851, T851:U851, X851:Y851)/100), ""))</f>
        <v/>
      </c>
      <c r="AD851" s="984" t="str">
        <f t="shared" si="150"/>
        <v/>
      </c>
      <c r="AE851" s="984" t="str">
        <f t="shared" si="144"/>
        <v/>
      </c>
      <c r="AF851" s="985" t="str">
        <f t="shared" si="145"/>
        <v>A</v>
      </c>
      <c r="AG851" s="1414">
        <v>1</v>
      </c>
      <c r="AH851" s="1002" t="s">
        <v>640</v>
      </c>
      <c r="AI851" s="1002" t="s">
        <v>640</v>
      </c>
      <c r="AJ851" s="986" t="s">
        <v>640</v>
      </c>
      <c r="AK851" s="986" t="s">
        <v>640</v>
      </c>
      <c r="AL851" s="1415"/>
      <c r="AM851" s="1323"/>
      <c r="AN851" s="1323"/>
      <c r="AO851" s="1323"/>
      <c r="AP851" s="1323"/>
      <c r="AQ851" s="1323"/>
      <c r="AR851" s="987"/>
      <c r="AS851" s="978" t="str">
        <f t="shared" si="146"/>
        <v>單</v>
      </c>
      <c r="AT851" s="978" t="str">
        <f t="shared" si="147"/>
        <v>全</v>
      </c>
      <c r="AU851" s="978" t="str">
        <f t="shared" si="148"/>
        <v/>
      </c>
      <c r="AV851" s="978" t="str">
        <f t="shared" si="149"/>
        <v/>
      </c>
    </row>
    <row r="852" spans="1:48">
      <c r="A852" s="975">
        <f t="shared" si="142"/>
        <v>46164</v>
      </c>
      <c r="B852" s="976" t="s">
        <v>228</v>
      </c>
      <c r="C852" s="976" t="s">
        <v>632</v>
      </c>
      <c r="D852" s="1410"/>
      <c r="E852" s="977" t="str">
        <f>IFERROR(VLOOKUP(C852, [6]條件!$A:$L, 5, 0), "")</f>
        <v/>
      </c>
      <c r="F852" s="978" t="str">
        <f>IFERROR(VLOOKUP(C852, [6]條件!$A:$L, 6, 0), "")</f>
        <v/>
      </c>
      <c r="G852" s="1411" t="str">
        <f>IFERROR(VLOOKUP(C852, [6]條件!$A:$L, 7, 0), "")</f>
        <v/>
      </c>
      <c r="H852" s="978" t="str">
        <f>IF(ISNA(VLOOKUP(C852,[6]條件!$A$1:$K$932,11,0)),"",(VLOOKUP(C852,[6]條件!$A$1:$K$932,11,0)))</f>
        <v/>
      </c>
      <c r="I852" s="979" t="str">
        <f>IF(ISNA(VLOOKUP(C852,[6]條件!$A$1:$L$932,12,0)),"",(VLOOKUP(C852,[6]條件!$A$1:$L$932,12,0)))</f>
        <v/>
      </c>
      <c r="J852" s="982"/>
      <c r="K852" s="980"/>
      <c r="L852" s="981" t="s">
        <v>632</v>
      </c>
      <c r="M852" s="983"/>
      <c r="N852" s="982"/>
      <c r="O852" s="980"/>
      <c r="P852" s="981" t="s">
        <v>632</v>
      </c>
      <c r="Q852" s="983"/>
      <c r="R852" s="982"/>
      <c r="S852" s="980"/>
      <c r="T852" s="981" t="s">
        <v>632</v>
      </c>
      <c r="U852" s="983"/>
      <c r="V852" s="982"/>
      <c r="W852" s="980"/>
      <c r="X852" s="981" t="s">
        <v>632</v>
      </c>
      <c r="Y852" s="983"/>
      <c r="Z852" s="1412" t="str">
        <f>IFERROR(VLOOKUP(C852, [6]條件!$A:$L, 3, 0), "")</f>
        <v/>
      </c>
      <c r="AA852" s="984" t="str">
        <f>IF(OR(L852={"改紡","檢修","了機","清車","FINAL","停機","SAMPLE","TEST","絲開發"}), L852, IFERROR(IF(C852="", "", (SUM(J852, N852, R852, V852)/3 * AG852) * IF(AND(AF852="S", AS852="雙"), 0.5, 1)), ""))</f>
        <v>停機</v>
      </c>
      <c r="AB852" s="1413" t="str">
        <f t="shared" si="143"/>
        <v/>
      </c>
      <c r="AC852" s="984" t="str">
        <f>IF(OR(L852={"改紡","檢修","了機","清車","FINAL","停機","SAMPLE","TEST"}), "", IFERROR(IF(C852="", "", AVERAGE(L852:M852, P852:Q852, T852:U852, X852:Y852)/100), ""))</f>
        <v/>
      </c>
      <c r="AD852" s="984" t="str">
        <f t="shared" si="150"/>
        <v/>
      </c>
      <c r="AE852" s="984" t="str">
        <f t="shared" si="144"/>
        <v/>
      </c>
      <c r="AF852" s="985" t="str">
        <f t="shared" si="145"/>
        <v>A</v>
      </c>
      <c r="AG852" s="1414">
        <v>1</v>
      </c>
      <c r="AH852" s="1002" t="s">
        <v>640</v>
      </c>
      <c r="AI852" s="1002" t="s">
        <v>640</v>
      </c>
      <c r="AJ852" s="986" t="s">
        <v>640</v>
      </c>
      <c r="AK852" s="986" t="s">
        <v>640</v>
      </c>
      <c r="AL852" s="1420"/>
      <c r="AM852" s="1323"/>
      <c r="AN852" s="1323"/>
      <c r="AO852" s="1323"/>
      <c r="AP852" s="1323"/>
      <c r="AQ852" s="1323"/>
      <c r="AR852" s="987"/>
      <c r="AS852" s="978" t="str">
        <f t="shared" si="146"/>
        <v>單</v>
      </c>
      <c r="AT852" s="978" t="str">
        <f t="shared" si="147"/>
        <v>全</v>
      </c>
      <c r="AU852" s="978" t="str">
        <f t="shared" si="148"/>
        <v/>
      </c>
      <c r="AV852" s="978" t="str">
        <f t="shared" si="149"/>
        <v/>
      </c>
    </row>
    <row r="853" spans="1:48">
      <c r="A853" s="975">
        <f t="shared" si="142"/>
        <v>46164</v>
      </c>
      <c r="B853" s="976" t="s">
        <v>229</v>
      </c>
      <c r="C853" s="976" t="s">
        <v>632</v>
      </c>
      <c r="D853" s="1410"/>
      <c r="E853" s="977" t="str">
        <f>IFERROR(VLOOKUP(C853, [6]條件!$A:$L, 5, 0), "")</f>
        <v/>
      </c>
      <c r="F853" s="978" t="str">
        <f>IFERROR(VLOOKUP(C853, [6]條件!$A:$L, 6, 0), "")</f>
        <v/>
      </c>
      <c r="G853" s="1411" t="str">
        <f>IFERROR(VLOOKUP(C853, [6]條件!$A:$L, 7, 0), "")</f>
        <v/>
      </c>
      <c r="H853" s="978" t="str">
        <f>IF(ISNA(VLOOKUP(C853,[6]條件!$A$1:$K$932,11,0)),"",(VLOOKUP(C853,[6]條件!$A$1:$K$932,11,0)))</f>
        <v/>
      </c>
      <c r="I853" s="979" t="str">
        <f>IF(ISNA(VLOOKUP(C853,[6]條件!$A$1:$L$932,12,0)),"",(VLOOKUP(C853,[6]條件!$A$1:$L$932,12,0)))</f>
        <v/>
      </c>
      <c r="J853" s="982"/>
      <c r="K853" s="980"/>
      <c r="L853" s="981" t="s">
        <v>632</v>
      </c>
      <c r="M853" s="983"/>
      <c r="N853" s="982"/>
      <c r="O853" s="980"/>
      <c r="P853" s="981" t="s">
        <v>632</v>
      </c>
      <c r="Q853" s="983"/>
      <c r="R853" s="982"/>
      <c r="S853" s="980"/>
      <c r="T853" s="981" t="s">
        <v>632</v>
      </c>
      <c r="U853" s="983"/>
      <c r="V853" s="982"/>
      <c r="W853" s="980"/>
      <c r="X853" s="981" t="s">
        <v>632</v>
      </c>
      <c r="Y853" s="983"/>
      <c r="Z853" s="1412" t="str">
        <f>IFERROR(VLOOKUP(C853, [6]條件!$A:$L, 3, 0), "")</f>
        <v/>
      </c>
      <c r="AA853" s="984" t="str">
        <f>IF(OR(L853={"改紡","檢修","了機","清車","FINAL","停機","SAMPLE","TEST","絲開發"}), L853, IFERROR(IF(C853="", "", (SUM(J853, N853, R853, V853)/3 * AG853) * IF(AND(AF853="S", AS853="雙"), 0.5, 1)), ""))</f>
        <v>停機</v>
      </c>
      <c r="AB853" s="1413" t="str">
        <f t="shared" si="143"/>
        <v/>
      </c>
      <c r="AC853" s="984" t="str">
        <f>IF(OR(L853={"改紡","檢修","了機","清車","FINAL","停機","SAMPLE","TEST"}), "", IFERROR(IF(C853="", "", AVERAGE(L853:M853, P853:Q853, T853:U853, X853:Y853)/100), ""))</f>
        <v/>
      </c>
      <c r="AD853" s="984" t="str">
        <f t="shared" si="150"/>
        <v/>
      </c>
      <c r="AE853" s="984" t="str">
        <f t="shared" si="144"/>
        <v/>
      </c>
      <c r="AF853" s="985" t="str">
        <f t="shared" si="145"/>
        <v>A</v>
      </c>
      <c r="AG853" s="1414">
        <v>1</v>
      </c>
      <c r="AH853" s="1002" t="s">
        <v>640</v>
      </c>
      <c r="AI853" s="1002" t="s">
        <v>640</v>
      </c>
      <c r="AJ853" s="986" t="s">
        <v>640</v>
      </c>
      <c r="AK853" s="986" t="s">
        <v>640</v>
      </c>
      <c r="AL853" s="1421"/>
      <c r="AM853" s="1323"/>
      <c r="AN853" s="1323"/>
      <c r="AO853" s="1323"/>
      <c r="AP853" s="1323"/>
      <c r="AQ853" s="1323"/>
      <c r="AR853" s="987"/>
      <c r="AS853" s="978" t="str">
        <f t="shared" si="146"/>
        <v>單</v>
      </c>
      <c r="AT853" s="978" t="str">
        <f t="shared" si="147"/>
        <v>全</v>
      </c>
      <c r="AU853" s="978" t="str">
        <f t="shared" si="148"/>
        <v/>
      </c>
      <c r="AV853" s="978" t="str">
        <f t="shared" si="149"/>
        <v/>
      </c>
    </row>
    <row r="854" spans="1:48">
      <c r="A854" s="975">
        <f t="shared" si="142"/>
        <v>46164</v>
      </c>
      <c r="B854" s="976" t="s">
        <v>230</v>
      </c>
      <c r="C854" s="976" t="s">
        <v>632</v>
      </c>
      <c r="D854" s="1410"/>
      <c r="E854" s="977" t="str">
        <f>IFERROR(VLOOKUP(C854, [6]條件!$A:$L, 5, 0), "")</f>
        <v/>
      </c>
      <c r="F854" s="978" t="str">
        <f>IFERROR(VLOOKUP(C854, [6]條件!$A:$L, 6, 0), "")</f>
        <v/>
      </c>
      <c r="G854" s="1411" t="str">
        <f>IFERROR(VLOOKUP(C854, [6]條件!$A:$L, 7, 0), "")</f>
        <v/>
      </c>
      <c r="H854" s="978" t="str">
        <f>IF(ISNA(VLOOKUP(C854,[6]條件!$A$1:$K$932,11,0)),"",(VLOOKUP(C854,[6]條件!$A$1:$K$932,11,0)))</f>
        <v/>
      </c>
      <c r="I854" s="979" t="str">
        <f>IF(ISNA(VLOOKUP(C854,[6]條件!$A$1:$L$932,12,0)),"",(VLOOKUP(C854,[6]條件!$A$1:$L$932,12,0)))</f>
        <v/>
      </c>
      <c r="J854" s="982"/>
      <c r="K854" s="980"/>
      <c r="L854" s="981" t="s">
        <v>632</v>
      </c>
      <c r="M854" s="983"/>
      <c r="N854" s="982"/>
      <c r="O854" s="980"/>
      <c r="P854" s="981" t="s">
        <v>632</v>
      </c>
      <c r="Q854" s="983"/>
      <c r="R854" s="982"/>
      <c r="S854" s="980"/>
      <c r="T854" s="981" t="s">
        <v>632</v>
      </c>
      <c r="U854" s="983"/>
      <c r="V854" s="982"/>
      <c r="W854" s="980"/>
      <c r="X854" s="981" t="s">
        <v>632</v>
      </c>
      <c r="Y854" s="983"/>
      <c r="Z854" s="1412" t="str">
        <f>IFERROR(VLOOKUP(C854, [6]條件!$A:$L, 3, 0), "")</f>
        <v/>
      </c>
      <c r="AA854" s="984" t="str">
        <f>IF(OR(L854={"改紡","檢修","了機","清車","FINAL","停機","SAMPLE","TEST","絲開發"}), L854, IFERROR(IF(C854="", "", (SUM(J854, N854, R854, V854)/3 * AG854) * IF(AND(AF854="S", AS854="雙"), 0.5, 1)), ""))</f>
        <v>停機</v>
      </c>
      <c r="AB854" s="1413" t="str">
        <f t="shared" si="143"/>
        <v/>
      </c>
      <c r="AC854" s="984" t="str">
        <f>IF(OR(L854={"改紡","檢修","了機","清車","FINAL","停機","SAMPLE","TEST"}), "", IFERROR(IF(C854="", "", AVERAGE(L854:M854, P854:Q854, T854:U854, X854:Y854)/100), ""))</f>
        <v/>
      </c>
      <c r="AD854" s="984" t="str">
        <f t="shared" si="150"/>
        <v/>
      </c>
      <c r="AE854" s="984" t="str">
        <f t="shared" si="144"/>
        <v/>
      </c>
      <c r="AF854" s="985" t="str">
        <f t="shared" si="145"/>
        <v>A</v>
      </c>
      <c r="AG854" s="1414">
        <v>0.5</v>
      </c>
      <c r="AH854" s="1002" t="s">
        <v>16011</v>
      </c>
      <c r="AI854" s="1002" t="s">
        <v>16011</v>
      </c>
      <c r="AJ854" s="1002" t="s">
        <v>16011</v>
      </c>
      <c r="AK854" s="1002" t="s">
        <v>16011</v>
      </c>
      <c r="AL854" s="1415"/>
      <c r="AM854" s="1323"/>
      <c r="AN854" s="1323"/>
      <c r="AO854" s="1323"/>
      <c r="AP854" s="1323"/>
      <c r="AQ854" s="1323"/>
      <c r="AR854" s="987"/>
      <c r="AS854" s="978" t="str">
        <f t="shared" si="146"/>
        <v>單</v>
      </c>
      <c r="AT854" s="978" t="str">
        <f t="shared" si="147"/>
        <v/>
      </c>
      <c r="AU854" s="978" t="str">
        <f t="shared" si="148"/>
        <v/>
      </c>
      <c r="AV854" s="978" t="str">
        <f t="shared" si="149"/>
        <v/>
      </c>
    </row>
    <row r="855" spans="1:48">
      <c r="A855" s="975">
        <f t="shared" si="142"/>
        <v>46164</v>
      </c>
      <c r="B855" s="976" t="s">
        <v>231</v>
      </c>
      <c r="C855" s="976" t="s">
        <v>632</v>
      </c>
      <c r="D855" s="1410"/>
      <c r="E855" s="977" t="str">
        <f>IFERROR(VLOOKUP(C855, [6]條件!$A:$L, 5, 0), "")</f>
        <v/>
      </c>
      <c r="F855" s="978" t="str">
        <f>IFERROR(VLOOKUP(C855, [6]條件!$A:$L, 6, 0), "")</f>
        <v/>
      </c>
      <c r="G855" s="1411" t="str">
        <f>IFERROR(VLOOKUP(C855, [6]條件!$A:$L, 7, 0), "")</f>
        <v/>
      </c>
      <c r="H855" s="978" t="str">
        <f>IF(ISNA(VLOOKUP(C855,[6]條件!$A$1:$K$932,11,0)),"",(VLOOKUP(C855,[6]條件!$A$1:$K$932,11,0)))</f>
        <v/>
      </c>
      <c r="I855" s="979" t="str">
        <f>IF(ISNA(VLOOKUP(C855,[6]條件!$A$1:$L$932,12,0)),"",(VLOOKUP(C855,[6]條件!$A$1:$L$932,12,0)))</f>
        <v/>
      </c>
      <c r="J855" s="982"/>
      <c r="K855" s="980"/>
      <c r="L855" s="981" t="s">
        <v>632</v>
      </c>
      <c r="M855" s="983"/>
      <c r="N855" s="982"/>
      <c r="O855" s="980"/>
      <c r="P855" s="981" t="s">
        <v>632</v>
      </c>
      <c r="Q855" s="983"/>
      <c r="R855" s="982"/>
      <c r="S855" s="980"/>
      <c r="T855" s="981" t="s">
        <v>632</v>
      </c>
      <c r="U855" s="983"/>
      <c r="V855" s="982"/>
      <c r="W855" s="980"/>
      <c r="X855" s="981" t="s">
        <v>632</v>
      </c>
      <c r="Y855" s="983"/>
      <c r="Z855" s="1412" t="str">
        <f>IFERROR(VLOOKUP(C855, [6]條件!$A:$L, 3, 0), "")</f>
        <v/>
      </c>
      <c r="AA855" s="984" t="str">
        <f>IF(OR(L855={"改紡","檢修","了機","清車","FINAL","停機","SAMPLE","TEST","絲開發"}), L855, IFERROR(IF(C855="", "", (SUM(J855, N855, R855, V855)/3 * AG855) * IF(AND(AF855="S", AS855="雙"), 0.5, 1)), ""))</f>
        <v>停機</v>
      </c>
      <c r="AB855" s="1413" t="str">
        <f t="shared" si="143"/>
        <v/>
      </c>
      <c r="AC855" s="984" t="str">
        <f>IF(OR(L855={"改紡","檢修","了機","清車","FINAL","停機","SAMPLE","TEST"}), "", IFERROR(IF(C855="", "", AVERAGE(L855:M855, P855:Q855, T855:U855, X855:Y855)/100), ""))</f>
        <v/>
      </c>
      <c r="AD855" s="984" t="str">
        <f t="shared" si="150"/>
        <v/>
      </c>
      <c r="AE855" s="984" t="str">
        <f t="shared" si="144"/>
        <v/>
      </c>
      <c r="AF855" s="985" t="str">
        <f t="shared" si="145"/>
        <v>J</v>
      </c>
      <c r="AG855" s="1414">
        <v>1</v>
      </c>
      <c r="AH855" s="1002" t="s">
        <v>640</v>
      </c>
      <c r="AI855" s="1002" t="s">
        <v>640</v>
      </c>
      <c r="AJ855" s="986" t="s">
        <v>640</v>
      </c>
      <c r="AK855" s="986" t="s">
        <v>640</v>
      </c>
      <c r="AL855" s="1415"/>
      <c r="AM855" s="1323"/>
      <c r="AN855" s="1323"/>
      <c r="AO855" s="1323"/>
      <c r="AP855" s="1323"/>
      <c r="AQ855" s="1323"/>
      <c r="AR855" s="987"/>
      <c r="AS855" s="978" t="str">
        <f t="shared" si="146"/>
        <v>單</v>
      </c>
      <c r="AT855" s="978" t="str">
        <f t="shared" si="147"/>
        <v>全</v>
      </c>
      <c r="AU855" s="978" t="str">
        <f t="shared" si="148"/>
        <v/>
      </c>
      <c r="AV855" s="978" t="str">
        <f t="shared" si="149"/>
        <v/>
      </c>
    </row>
    <row r="856" spans="1:48">
      <c r="A856" s="975">
        <f t="shared" si="142"/>
        <v>46164</v>
      </c>
      <c r="B856" s="976" t="s">
        <v>233</v>
      </c>
      <c r="C856" s="976" t="s">
        <v>16772</v>
      </c>
      <c r="D856" s="1410" t="s">
        <v>633</v>
      </c>
      <c r="E856" s="977" t="str">
        <f>IFERROR(VLOOKUP(C856, [6]條件!$A:$L, 5, 0), "")</f>
        <v>150/48/2SDr</v>
      </c>
      <c r="F856" s="978" t="str">
        <f>IFERROR(VLOOKUP(C856, [6]條件!$A:$L, 6, 0), "")</f>
        <v>FP82171R×2</v>
      </c>
      <c r="G856" s="1411">
        <f>IFERROR(VLOOKUP(C856, [6]條件!$A:$L, 7, 0), "")</f>
        <v>600</v>
      </c>
      <c r="H856" s="978" t="str">
        <f>IF(ISNA(VLOOKUP(C856,[6]條件!$A$1:$K$932,11,0)),"",(VLOOKUP(C856,[6]條件!$A$1:$K$932,11,0)))</f>
        <v>紅白直條</v>
      </c>
      <c r="I856" s="979">
        <f>IF(ISNA(VLOOKUP(C856,[6]條件!$A$1:$L$932,12,0)),"",(VLOOKUP(C856,[6]條件!$A$1:$L$932,12,0)))</f>
        <v>5.5</v>
      </c>
      <c r="J856" s="982">
        <v>28</v>
      </c>
      <c r="K856" s="980">
        <v>5</v>
      </c>
      <c r="L856" s="981">
        <v>6700</v>
      </c>
      <c r="M856" s="983"/>
      <c r="N856" s="982">
        <v>10</v>
      </c>
      <c r="O856" s="980">
        <v>2</v>
      </c>
      <c r="P856" s="981">
        <v>6500</v>
      </c>
      <c r="Q856" s="983"/>
      <c r="R856" s="982">
        <v>17</v>
      </c>
      <c r="S856" s="980">
        <v>2</v>
      </c>
      <c r="T856" s="981">
        <v>6490</v>
      </c>
      <c r="U856" s="983"/>
      <c r="V856" s="982">
        <v>16</v>
      </c>
      <c r="W856" s="980">
        <v>5</v>
      </c>
      <c r="X856" s="981">
        <v>6550</v>
      </c>
      <c r="Y856" s="983"/>
      <c r="Z856" s="1412">
        <f>IFERROR(VLOOKUP(C856, [6]條件!$A:$L, 3, 0), "")</f>
        <v>5.0526315789473673</v>
      </c>
      <c r="AA856" s="984">
        <f>IF(OR(L856={"改紡","檢修","了機","清車","FINAL","停機","SAMPLE","TEST","絲開發"}), L856, IFERROR(IF(C856="", "", (SUM(J856, N856, R856, V856)/3 * AG856) * IF(AND(AF856="S", AS856="雙"), 0.5, 1)), ""))</f>
        <v>23.666666666666668</v>
      </c>
      <c r="AB856" s="1413">
        <f t="shared" si="143"/>
        <v>0.9866786858974359</v>
      </c>
      <c r="AC856" s="984">
        <f>IF(OR(L856={"改紡","檢修","了機","清車","FINAL","停機","SAMPLE","TEST"}), "", IFERROR(IF(C856="", "", AVERAGE(L856:M856, P856:Q856, T856:U856, X856:Y856)/100), ""))</f>
        <v>65.599999999999994</v>
      </c>
      <c r="AD856" s="984">
        <f t="shared" si="150"/>
        <v>2.9583333333333335</v>
      </c>
      <c r="AE856" s="984">
        <f t="shared" si="144"/>
        <v>2.375</v>
      </c>
      <c r="AF856" s="985" t="str">
        <f t="shared" si="145"/>
        <v>J</v>
      </c>
      <c r="AG856" s="1414">
        <v>1</v>
      </c>
      <c r="AH856" s="1002" t="s">
        <v>16021</v>
      </c>
      <c r="AI856" s="1002" t="s">
        <v>16021</v>
      </c>
      <c r="AJ856" s="986" t="s">
        <v>16006</v>
      </c>
      <c r="AK856" s="986" t="s">
        <v>16006</v>
      </c>
      <c r="AL856" s="1415">
        <v>53</v>
      </c>
      <c r="AM856" s="1323">
        <v>46157</v>
      </c>
      <c r="AN856" s="1323">
        <v>46161</v>
      </c>
      <c r="AO856" s="1323">
        <v>46162</v>
      </c>
      <c r="AP856" s="1323"/>
      <c r="AQ856" s="1323"/>
      <c r="AR856" s="987"/>
      <c r="AS856" s="978" t="str">
        <f t="shared" si="146"/>
        <v>雙</v>
      </c>
      <c r="AT856" s="978" t="str">
        <f t="shared" si="147"/>
        <v>全</v>
      </c>
      <c r="AU856" s="978">
        <f t="shared" si="148"/>
        <v>150</v>
      </c>
      <c r="AV856" s="978">
        <f t="shared" si="149"/>
        <v>4.0808447999999995</v>
      </c>
    </row>
    <row r="857" spans="1:48">
      <c r="A857" s="975">
        <f t="shared" si="142"/>
        <v>46164</v>
      </c>
      <c r="B857" s="976" t="s">
        <v>234</v>
      </c>
      <c r="C857" s="976" t="s">
        <v>632</v>
      </c>
      <c r="D857" s="1410"/>
      <c r="E857" s="977" t="str">
        <f>IFERROR(VLOOKUP(C857, [6]條件!$A:$L, 5, 0), "")</f>
        <v/>
      </c>
      <c r="F857" s="978" t="str">
        <f>IFERROR(VLOOKUP(C857, [6]條件!$A:$L, 6, 0), "")</f>
        <v/>
      </c>
      <c r="G857" s="1411" t="str">
        <f>IFERROR(VLOOKUP(C857, [6]條件!$A:$L, 7, 0), "")</f>
        <v/>
      </c>
      <c r="H857" s="978" t="str">
        <f>IF(ISNA(VLOOKUP(C857,[6]條件!$A$1:$K$932,11,0)),"",(VLOOKUP(C857,[6]條件!$A$1:$K$932,11,0)))</f>
        <v/>
      </c>
      <c r="I857" s="979" t="str">
        <f>IF(ISNA(VLOOKUP(C857,[6]條件!$A$1:$L$932,12,0)),"",(VLOOKUP(C857,[6]條件!$A$1:$L$932,12,0)))</f>
        <v/>
      </c>
      <c r="J857" s="982"/>
      <c r="K857" s="980"/>
      <c r="L857" s="981" t="s">
        <v>632</v>
      </c>
      <c r="M857" s="983"/>
      <c r="N857" s="982"/>
      <c r="O857" s="980"/>
      <c r="P857" s="981" t="s">
        <v>632</v>
      </c>
      <c r="Q857" s="983"/>
      <c r="R857" s="982"/>
      <c r="S857" s="980"/>
      <c r="T857" s="981" t="s">
        <v>632</v>
      </c>
      <c r="U857" s="983"/>
      <c r="V857" s="982"/>
      <c r="W857" s="980"/>
      <c r="X857" s="981" t="s">
        <v>632</v>
      </c>
      <c r="Y857" s="983"/>
      <c r="Z857" s="1412" t="str">
        <f>IFERROR(VLOOKUP(C857, [6]條件!$A:$L, 3, 0), "")</f>
        <v/>
      </c>
      <c r="AA857" s="984" t="str">
        <f>IF(OR(L857={"改紡","檢修","了機","清車","FINAL","停機","SAMPLE","TEST","絲開發"}), L857, IFERROR(IF(C857="", "", (SUM(J857, N857, R857, V857)/3 * AG857) * IF(AND(AF857="S", AS857="雙"), 0.5, 1)), ""))</f>
        <v>停機</v>
      </c>
      <c r="AB857" s="1413" t="str">
        <f t="shared" si="143"/>
        <v/>
      </c>
      <c r="AC857" s="984" t="str">
        <f>IF(OR(L857={"改紡","檢修","了機","清車","FINAL","停機","SAMPLE","TEST"}), "", IFERROR(IF(C857="", "", AVERAGE(L857:M857, P857:Q857, T857:U857, X857:Y857)/100), ""))</f>
        <v/>
      </c>
      <c r="AD857" s="984" t="str">
        <f t="shared" si="150"/>
        <v/>
      </c>
      <c r="AE857" s="984" t="str">
        <f t="shared" si="144"/>
        <v/>
      </c>
      <c r="AF857" s="985" t="str">
        <f t="shared" si="145"/>
        <v>J</v>
      </c>
      <c r="AG857" s="1414">
        <v>1</v>
      </c>
      <c r="AH857" s="1002" t="s">
        <v>640</v>
      </c>
      <c r="AI857" s="1002" t="s">
        <v>640</v>
      </c>
      <c r="AJ857" s="986" t="s">
        <v>640</v>
      </c>
      <c r="AK857" s="986" t="s">
        <v>640</v>
      </c>
      <c r="AL857" s="1415"/>
      <c r="AM857" s="1323"/>
      <c r="AN857" s="1323"/>
      <c r="AO857" s="1323"/>
      <c r="AP857" s="1323"/>
      <c r="AQ857" s="1323"/>
      <c r="AR857" s="987"/>
      <c r="AS857" s="978" t="str">
        <f t="shared" si="146"/>
        <v>單</v>
      </c>
      <c r="AT857" s="978" t="str">
        <f t="shared" si="147"/>
        <v>全</v>
      </c>
      <c r="AU857" s="978" t="str">
        <f t="shared" si="148"/>
        <v/>
      </c>
      <c r="AV857" s="978" t="str">
        <f t="shared" si="149"/>
        <v/>
      </c>
    </row>
    <row r="858" spans="1:48">
      <c r="A858" s="975">
        <f t="shared" si="142"/>
        <v>46164</v>
      </c>
      <c r="B858" s="976" t="s">
        <v>235</v>
      </c>
      <c r="C858" s="976" t="s">
        <v>16765</v>
      </c>
      <c r="D858" s="1410" t="s">
        <v>633</v>
      </c>
      <c r="E858" s="977" t="str">
        <f>IFERROR(VLOOKUP(C858, [6]條件!$A:$L, 5, 0), "")</f>
        <v>150/48/2SDr</v>
      </c>
      <c r="F858" s="978" t="str">
        <f>IFERROR(VLOOKUP(C858, [6]條件!$A:$L, 6, 0), "")</f>
        <v>FP82173R×2</v>
      </c>
      <c r="G858" s="1411">
        <f>IFERROR(VLOOKUP(C858, [6]條件!$A:$L, 7, 0), "")</f>
        <v>700</v>
      </c>
      <c r="H858" s="978" t="str">
        <f>IF(ISNA(VLOOKUP(C858,[6]條件!$A$1:$K$932,11,0)),"",(VLOOKUP(C858,[6]條件!$A$1:$K$932,11,0)))</f>
        <v>白紫條紋</v>
      </c>
      <c r="I858" s="979">
        <f>IF(ISNA(VLOOKUP(C858,[6]條件!$A$1:$L$932,12,0)),"",(VLOOKUP(C858,[6]條件!$A$1:$L$932,12,0)))</f>
        <v>5.5</v>
      </c>
      <c r="J858" s="982">
        <v>35</v>
      </c>
      <c r="K858" s="980">
        <v>5</v>
      </c>
      <c r="L858" s="981">
        <v>6850</v>
      </c>
      <c r="M858" s="983">
        <v>8010</v>
      </c>
      <c r="N858" s="982">
        <v>24</v>
      </c>
      <c r="O858" s="980">
        <v>0</v>
      </c>
      <c r="P858" s="981">
        <v>8060</v>
      </c>
      <c r="Q858" s="983">
        <v>6760</v>
      </c>
      <c r="R858" s="982">
        <v>0</v>
      </c>
      <c r="S858" s="980">
        <v>0</v>
      </c>
      <c r="T858" s="981">
        <v>7410</v>
      </c>
      <c r="U858" s="983">
        <v>6200</v>
      </c>
      <c r="V858" s="982">
        <v>61</v>
      </c>
      <c r="W858" s="980">
        <v>2</v>
      </c>
      <c r="X858" s="981">
        <v>8330</v>
      </c>
      <c r="Y858" s="983">
        <v>8700</v>
      </c>
      <c r="Z858" s="1412">
        <f>IFERROR(VLOOKUP(C858, [6]條件!$A:$L, 3, 0), "")</f>
        <v>5.8775510204081636</v>
      </c>
      <c r="AA858" s="984">
        <f>IF(OR(L858={"改紡","檢修","了機","清車","FINAL","停機","SAMPLE","TEST","絲開發"}), L858, IFERROR(IF(C858="", "", (SUM(J858, N858, R858, V858)/3 * AG858) * IF(AND(AF858="S", AS858="雙"), 0.5, 1)), ""))</f>
        <v>40</v>
      </c>
      <c r="AB858" s="1413">
        <f t="shared" si="143"/>
        <v>0.99427417200854706</v>
      </c>
      <c r="AC858" s="984">
        <f>IF(OR(L858={"改紡","檢修","了機","清車","FINAL","停機","SAMPLE","TEST"}), "", IFERROR(IF(C858="", "", AVERAGE(L858:M858, P858:Q858, T858:U858, X858:Y858)/100), ""))</f>
        <v>75.400000000000006</v>
      </c>
      <c r="AD858" s="984">
        <f t="shared" si="150"/>
        <v>5</v>
      </c>
      <c r="AE858" s="984">
        <f t="shared" si="144"/>
        <v>4.708333333333333</v>
      </c>
      <c r="AF858" s="985" t="str">
        <f t="shared" si="145"/>
        <v>T</v>
      </c>
      <c r="AG858" s="1414">
        <v>1</v>
      </c>
      <c r="AH858" s="1002" t="s">
        <v>651</v>
      </c>
      <c r="AI858" s="1002" t="s">
        <v>16022</v>
      </c>
      <c r="AJ858" s="1002" t="s">
        <v>16009</v>
      </c>
      <c r="AK858" s="1002" t="s">
        <v>16009</v>
      </c>
      <c r="AL858" s="1415">
        <v>56</v>
      </c>
      <c r="AM858" s="1323">
        <v>46099</v>
      </c>
      <c r="AN858" s="1323">
        <v>46100</v>
      </c>
      <c r="AO858" s="1323">
        <v>46101</v>
      </c>
      <c r="AP858" s="1323">
        <v>46163</v>
      </c>
      <c r="AQ858" s="1323"/>
      <c r="AR858" s="987"/>
      <c r="AS858" s="978" t="str">
        <f t="shared" si="146"/>
        <v>雙</v>
      </c>
      <c r="AT858" s="978" t="str">
        <f t="shared" si="147"/>
        <v>全</v>
      </c>
      <c r="AU858" s="978">
        <f t="shared" si="148"/>
        <v>150</v>
      </c>
      <c r="AV858" s="978">
        <f t="shared" si="149"/>
        <v>5.4722303999999999</v>
      </c>
    </row>
    <row r="859" spans="1:48">
      <c r="A859" s="975">
        <f t="shared" si="142"/>
        <v>46164</v>
      </c>
      <c r="B859" s="976" t="s">
        <v>237</v>
      </c>
      <c r="C859" s="976" t="s">
        <v>16759</v>
      </c>
      <c r="D859" s="1410" t="s">
        <v>633</v>
      </c>
      <c r="E859" s="977" t="str">
        <f>IFERROR(VLOOKUP(C859, [6]條件!$A:$L, 5, 0), "")</f>
        <v>150/48/2SDr</v>
      </c>
      <c r="F859" s="978" t="str">
        <f>IFERROR(VLOOKUP(C859, [6]條件!$A:$L, 6, 0), "")</f>
        <v>FP82171R×2</v>
      </c>
      <c r="G859" s="1411">
        <f>IFERROR(VLOOKUP(C859, [6]條件!$A:$L, 7, 0), "")</f>
        <v>700</v>
      </c>
      <c r="H859" s="978" t="str">
        <f>IF(ISNA(VLOOKUP(C859,[6]條件!$A$1:$K$932,11,0)),"",(VLOOKUP(C859,[6]條件!$A$1:$K$932,11,0)))</f>
        <v>紅底黃星</v>
      </c>
      <c r="I859" s="979">
        <f>IF(ISNA(VLOOKUP(C859,[6]條件!$A$1:$L$932,12,0)),"",(VLOOKUP(C859,[6]條件!$A$1:$L$932,12,0)))</f>
        <v>5.5</v>
      </c>
      <c r="J859" s="982"/>
      <c r="K859" s="980"/>
      <c r="L859" s="981" t="s">
        <v>16017</v>
      </c>
      <c r="M859" s="983"/>
      <c r="N859" s="982"/>
      <c r="O859" s="980"/>
      <c r="P859" s="981" t="s">
        <v>16018</v>
      </c>
      <c r="Q859" s="983"/>
      <c r="R859" s="982"/>
      <c r="S859" s="980"/>
      <c r="T859" s="981" t="s">
        <v>15996</v>
      </c>
      <c r="U859" s="983"/>
      <c r="V859" s="982">
        <v>25</v>
      </c>
      <c r="W859" s="980"/>
      <c r="X859" s="981" t="s">
        <v>15996</v>
      </c>
      <c r="Y859" s="983"/>
      <c r="Z859" s="1412">
        <f>IFERROR(VLOOKUP(C859, [6]條件!$A:$L, 3, 0), "")</f>
        <v>5.8299595141700413</v>
      </c>
      <c r="AA859" s="984" t="str">
        <f>IF(OR(L859={"改紡","檢修","了機","清車","FINAL","停機","SAMPLE","TEST","絲開發"}), L859, IFERROR(IF(C859="", "", (SUM(J859, N859, R859, V859)/3 * AG859) * IF(AND(AF859="S", AS859="雙"), 0.5, 1)), ""))</f>
        <v>清車</v>
      </c>
      <c r="AB859" s="1413" t="str">
        <f t="shared" si="143"/>
        <v/>
      </c>
      <c r="AC859" s="984" t="str">
        <f>IF(OR(L859={"改紡","檢修","了機","清車","FINAL","停機","SAMPLE","TEST"}), "", IFERROR(IF(C859="", "", AVERAGE(L859:M859, P859:Q859, T859:U859, X859:Y859)/100), ""))</f>
        <v/>
      </c>
      <c r="AD859" s="984" t="str">
        <f t="shared" si="150"/>
        <v/>
      </c>
      <c r="AE859" s="984" t="str">
        <f t="shared" si="144"/>
        <v/>
      </c>
      <c r="AF859" s="985" t="str">
        <f t="shared" si="145"/>
        <v>T</v>
      </c>
      <c r="AG859" s="1414">
        <v>1</v>
      </c>
      <c r="AH859" s="1002" t="s">
        <v>640</v>
      </c>
      <c r="AI859" s="1002" t="s">
        <v>640</v>
      </c>
      <c r="AJ859" s="986" t="s">
        <v>16014</v>
      </c>
      <c r="AK859" s="986" t="s">
        <v>16014</v>
      </c>
      <c r="AL859" s="1415">
        <v>55</v>
      </c>
      <c r="AM859" s="1323">
        <v>46159</v>
      </c>
      <c r="AN859" s="1323">
        <v>46160</v>
      </c>
      <c r="AO859" s="1323">
        <v>46161</v>
      </c>
      <c r="AP859" s="1323">
        <v>46162</v>
      </c>
      <c r="AQ859" s="1323"/>
      <c r="AR859" s="987"/>
      <c r="AS859" s="978" t="str">
        <f t="shared" si="146"/>
        <v>雙</v>
      </c>
      <c r="AT859" s="978" t="str">
        <f t="shared" si="147"/>
        <v>全</v>
      </c>
      <c r="AU859" s="978">
        <f t="shared" si="148"/>
        <v>150</v>
      </c>
      <c r="AV859" s="978" t="str">
        <f t="shared" si="149"/>
        <v/>
      </c>
    </row>
    <row r="860" spans="1:48">
      <c r="A860" s="975">
        <f t="shared" si="142"/>
        <v>46164</v>
      </c>
      <c r="B860" s="976" t="s">
        <v>238</v>
      </c>
      <c r="C860" s="976" t="s">
        <v>16743</v>
      </c>
      <c r="D860" s="1410"/>
      <c r="E860" s="977" t="str">
        <f>IFERROR(VLOOKUP(C860, [6]條件!$A:$L, 5, 0), "")</f>
        <v>150/48/2SDr</v>
      </c>
      <c r="F860" s="978" t="str">
        <f>IFERROR(VLOOKUP(C860, [6]條件!$A:$L, 6, 0), "")</f>
        <v>FP82169R×2</v>
      </c>
      <c r="G860" s="1411">
        <f>IFERROR(VLOOKUP(C860, [6]條件!$A:$L, 7, 0), "")</f>
        <v>670</v>
      </c>
      <c r="H860" s="978" t="str">
        <f>IF(ISNA(VLOOKUP(C860,[6]條件!$A$1:$K$932,11,0)),"",(VLOOKUP(C860,[6]條件!$A$1:$K$932,11,0)))</f>
        <v>黃底紅點</v>
      </c>
      <c r="I860" s="979">
        <f>IF(ISNA(VLOOKUP(C860,[6]條件!$A$1:$L$932,12,0)),"",(VLOOKUP(C860,[6]條件!$A$1:$L$932,12,0)))</f>
        <v>5</v>
      </c>
      <c r="J860" s="982">
        <v>26</v>
      </c>
      <c r="K860" s="980">
        <v>2</v>
      </c>
      <c r="L860" s="981">
        <v>8800</v>
      </c>
      <c r="M860" s="983"/>
      <c r="N860" s="982">
        <v>11</v>
      </c>
      <c r="O860" s="980">
        <v>0</v>
      </c>
      <c r="P860" s="981">
        <v>7220</v>
      </c>
      <c r="Q860" s="983"/>
      <c r="R860" s="982">
        <v>0</v>
      </c>
      <c r="S860" s="980">
        <v>0</v>
      </c>
      <c r="T860" s="981">
        <v>6200</v>
      </c>
      <c r="U860" s="983"/>
      <c r="V860" s="982">
        <v>29</v>
      </c>
      <c r="W860" s="980">
        <v>0</v>
      </c>
      <c r="X860" s="981">
        <v>7870</v>
      </c>
      <c r="Y860" s="983"/>
      <c r="Z860" s="1412">
        <f>IFERROR(VLOOKUP(C860, [6]條件!$A:$L, 3, 0), "")</f>
        <v>6.2882096069868991</v>
      </c>
      <c r="AA860" s="984">
        <f>IF(OR(L860={"改紡","檢修","了機","清車","FINAL","停機","SAMPLE","TEST","絲開發"}), L860, IFERROR(IF(C860="", "", (SUM(J860, N860, R860, V860)/3 * AG860) * IF(AND(AF860="S", AS860="雙"), 0.5, 1)), ""))</f>
        <v>44</v>
      </c>
      <c r="AB860" s="1413">
        <f t="shared" si="143"/>
        <v>0.9984708867521368</v>
      </c>
      <c r="AC860" s="984">
        <f>IF(OR(L860={"改紡","檢修","了機","清車","FINAL","停機","SAMPLE","TEST"}), "", IFERROR(IF(C860="", "", AVERAGE(L860:M860, P860:Q860, T860:U860, X860:Y860)/100), ""))</f>
        <v>75.224999999999994</v>
      </c>
      <c r="AD860" s="984">
        <f t="shared" si="150"/>
        <v>5.5</v>
      </c>
      <c r="AE860" s="984">
        <f t="shared" si="144"/>
        <v>5.333333333333333</v>
      </c>
      <c r="AF860" s="985" t="str">
        <f t="shared" si="145"/>
        <v>T</v>
      </c>
      <c r="AG860" s="1414">
        <v>2</v>
      </c>
      <c r="AH860" s="1002" t="s">
        <v>15998</v>
      </c>
      <c r="AI860" s="1002" t="s">
        <v>16022</v>
      </c>
      <c r="AJ860" s="1002" t="s">
        <v>16009</v>
      </c>
      <c r="AK860" s="1002" t="s">
        <v>16009</v>
      </c>
      <c r="AL860" s="1415">
        <v>48</v>
      </c>
      <c r="AM860" s="1323">
        <v>46156</v>
      </c>
      <c r="AN860" s="1323">
        <v>46157</v>
      </c>
      <c r="AO860" s="1323">
        <v>46158</v>
      </c>
      <c r="AP860" s="1323">
        <v>46159</v>
      </c>
      <c r="AQ860" s="1323">
        <v>46160</v>
      </c>
      <c r="AR860" s="987"/>
      <c r="AS860" s="978" t="str">
        <f t="shared" si="146"/>
        <v>雙</v>
      </c>
      <c r="AT860" s="978" t="str">
        <f t="shared" si="147"/>
        <v>半</v>
      </c>
      <c r="AU860" s="978">
        <f t="shared" si="148"/>
        <v>150</v>
      </c>
      <c r="AV860" s="978">
        <f t="shared" si="149"/>
        <v>2.6127748799999999</v>
      </c>
    </row>
    <row r="861" spans="1:48">
      <c r="A861" s="975">
        <f t="shared" si="142"/>
        <v>46164</v>
      </c>
      <c r="B861" s="976" t="s">
        <v>238</v>
      </c>
      <c r="C861" s="976" t="s">
        <v>16742</v>
      </c>
      <c r="D861" s="1410"/>
      <c r="E861" s="977" t="str">
        <f>IFERROR(VLOOKUP(C861, [6]條件!$A:$L, 5, 0), "")</f>
        <v>150/48/2SDr</v>
      </c>
      <c r="F861" s="978" t="str">
        <f>IFERROR(VLOOKUP(C861, [6]條件!$A:$L, 6, 0), "")</f>
        <v>FP82169R×2</v>
      </c>
      <c r="G861" s="1411">
        <f>IFERROR(VLOOKUP(C861, [6]條件!$A:$L, 7, 0), "")</f>
        <v>670</v>
      </c>
      <c r="H861" s="978" t="str">
        <f>IF(ISNA(VLOOKUP(C861,[6]條件!$A$1:$K$932,11,0)),"",(VLOOKUP(C861,[6]條件!$A$1:$K$932,11,0)))</f>
        <v>紅底藍點</v>
      </c>
      <c r="I861" s="979">
        <f>IF(ISNA(VLOOKUP(C861,[6]條件!$A$1:$L$932,12,0)),"",(VLOOKUP(C861,[6]條件!$A$1:$L$932,12,0)))</f>
        <v>5</v>
      </c>
      <c r="J861" s="982">
        <v>24</v>
      </c>
      <c r="K861" s="980">
        <v>0</v>
      </c>
      <c r="L861" s="981">
        <v>8800</v>
      </c>
      <c r="M861" s="983"/>
      <c r="N861" s="982">
        <v>13</v>
      </c>
      <c r="O861" s="980">
        <v>0</v>
      </c>
      <c r="P861" s="981">
        <v>8150</v>
      </c>
      <c r="Q861" s="983"/>
      <c r="R861" s="982">
        <v>0</v>
      </c>
      <c r="S861" s="980">
        <v>0</v>
      </c>
      <c r="T861" s="981"/>
      <c r="U861" s="983">
        <v>7780</v>
      </c>
      <c r="V861" s="982">
        <v>28</v>
      </c>
      <c r="W861" s="980">
        <v>0</v>
      </c>
      <c r="X861" s="981"/>
      <c r="Y861" s="983">
        <v>8150</v>
      </c>
      <c r="Z861" s="1412">
        <f>IFERROR(VLOOKUP(C861, [6]條件!$A:$L, 3, 0), "")</f>
        <v>6.1802575107296125</v>
      </c>
      <c r="AA861" s="984">
        <f>IF(OR(L861={"改紡","檢修","了機","清車","FINAL","停機","SAMPLE","TEST","絲開發"}), L861, IFERROR(IF(C861="", "", (SUM(J861, N861, R861, V861)/3 * AG861) * IF(AND(AF861="S", AS861="雙"), 0.5, 1)), ""))</f>
        <v>43.333333333333336</v>
      </c>
      <c r="AB861" s="1413">
        <f t="shared" si="143"/>
        <v>1</v>
      </c>
      <c r="AC861" s="984">
        <f>IF(OR(L861={"改紡","檢修","了機","清車","FINAL","停機","SAMPLE","TEST"}), "", IFERROR(IF(C861="", "", AVERAGE(L861:M861, P861:Q861, T861:U861, X861:Y861)/100), ""))</f>
        <v>82.2</v>
      </c>
      <c r="AD861" s="984">
        <f t="shared" si="150"/>
        <v>5.416666666666667</v>
      </c>
      <c r="AE861" s="984">
        <f t="shared" si="144"/>
        <v>5.416666666666667</v>
      </c>
      <c r="AF861" s="985" t="str">
        <f t="shared" si="145"/>
        <v>T</v>
      </c>
      <c r="AG861" s="1414">
        <v>2</v>
      </c>
      <c r="AH861" s="1002" t="s">
        <v>15998</v>
      </c>
      <c r="AI861" s="1002" t="s">
        <v>16022</v>
      </c>
      <c r="AJ861" s="986" t="s">
        <v>16014</v>
      </c>
      <c r="AK861" s="986" t="s">
        <v>16014</v>
      </c>
      <c r="AL861" s="1415">
        <v>48</v>
      </c>
      <c r="AM861" s="1323">
        <v>46157</v>
      </c>
      <c r="AN861" s="1323">
        <v>46158</v>
      </c>
      <c r="AO861" s="1323">
        <v>46159</v>
      </c>
      <c r="AP861" s="1323"/>
      <c r="AQ861" s="1323"/>
      <c r="AR861" s="987"/>
      <c r="AS861" s="978" t="str">
        <f t="shared" si="146"/>
        <v>雙</v>
      </c>
      <c r="AT861" s="978" t="str">
        <f t="shared" si="147"/>
        <v>半</v>
      </c>
      <c r="AU861" s="978">
        <f t="shared" si="148"/>
        <v>150</v>
      </c>
      <c r="AV861" s="978">
        <f t="shared" si="149"/>
        <v>2.8550361599999996</v>
      </c>
    </row>
    <row r="862" spans="1:48">
      <c r="A862" s="975">
        <f t="shared" si="142"/>
        <v>46164</v>
      </c>
      <c r="B862" s="976" t="s">
        <v>239</v>
      </c>
      <c r="C862" s="976" t="s">
        <v>16787</v>
      </c>
      <c r="D862" s="1410" t="s">
        <v>16788</v>
      </c>
      <c r="E862" s="977" t="str">
        <f>IFERROR(VLOOKUP(C862, [6]條件!$A:$L, 5, 0), "")</f>
        <v>150/48/2SDR</v>
      </c>
      <c r="F862" s="978" t="str">
        <f>IFERROR(VLOOKUP(C862, [6]條件!$A:$L, 6, 0), "")</f>
        <v>FP82169R×2</v>
      </c>
      <c r="G862" s="1411">
        <f>IFERROR(VLOOKUP(C862, [6]條件!$A:$L, 7, 0), "")</f>
        <v>650</v>
      </c>
      <c r="H862" s="978" t="str">
        <f>IF(ISNA(VLOOKUP(C862,[6]條件!$A$1:$K$932,11,0)),"",(VLOOKUP(C862,[6]條件!$A$1:$K$932,11,0)))</f>
        <v>紫黃條紋</v>
      </c>
      <c r="I862" s="979">
        <f>IF(ISNA(VLOOKUP(C862,[6]條件!$A$1:$L$932,12,0)),"",(VLOOKUP(C862,[6]條件!$A$1:$L$932,12,0)))</f>
        <v>5</v>
      </c>
      <c r="J862" s="982"/>
      <c r="K862" s="980"/>
      <c r="L862" s="981" t="s">
        <v>642</v>
      </c>
      <c r="M862" s="983" t="s">
        <v>15999</v>
      </c>
      <c r="N862" s="982"/>
      <c r="O862" s="980"/>
      <c r="P862" s="981" t="s">
        <v>642</v>
      </c>
      <c r="Q862" s="983" t="s">
        <v>15999</v>
      </c>
      <c r="R862" s="982"/>
      <c r="S862" s="980"/>
      <c r="T862" s="981" t="s">
        <v>632</v>
      </c>
      <c r="U862" s="983" t="s">
        <v>15996</v>
      </c>
      <c r="V862" s="982">
        <v>11</v>
      </c>
      <c r="W862" s="980"/>
      <c r="X862" s="981" t="s">
        <v>16004</v>
      </c>
      <c r="Y862" s="983" t="s">
        <v>15996</v>
      </c>
      <c r="Z862" s="1412">
        <f>IFERROR(VLOOKUP(C862, [6]條件!$A:$L, 3, 0), "")</f>
        <v>6.101694915254237</v>
      </c>
      <c r="AA862" s="984" t="str">
        <f>IF(OR(L862={"改紡","檢修","了機","清車","FINAL","停機","SAMPLE","TEST","絲開發"}), L862, IFERROR(IF(C862="", "", (SUM(J862, N862, R862, V862)/3 * AG862) * IF(AND(AF862="S", AS862="雙"), 0.5, 1)), ""))</f>
        <v>改紡</v>
      </c>
      <c r="AB862" s="1413" t="str">
        <f t="shared" si="143"/>
        <v/>
      </c>
      <c r="AC862" s="984" t="str">
        <f>IF(OR(L862={"改紡","檢修","了機","清車","FINAL","停機","SAMPLE","TEST"}), "", IFERROR(IF(C862="", "", AVERAGE(L862:M862, P862:Q862, T862:U862, X862:Y862)/100), ""))</f>
        <v/>
      </c>
      <c r="AD862" s="984" t="str">
        <f t="shared" si="150"/>
        <v/>
      </c>
      <c r="AE862" s="984" t="str">
        <f t="shared" si="144"/>
        <v/>
      </c>
      <c r="AF862" s="985" t="str">
        <f t="shared" si="145"/>
        <v>T</v>
      </c>
      <c r="AG862" s="1414">
        <v>2</v>
      </c>
      <c r="AH862" s="1002" t="s">
        <v>640</v>
      </c>
      <c r="AI862" s="1002" t="s">
        <v>16008</v>
      </c>
      <c r="AJ862" s="986" t="s">
        <v>16014</v>
      </c>
      <c r="AK862" s="986" t="s">
        <v>16014</v>
      </c>
      <c r="AL862" s="1415"/>
      <c r="AM862" s="1323"/>
      <c r="AN862" s="1323"/>
      <c r="AO862" s="1323"/>
      <c r="AP862" s="1323"/>
      <c r="AQ862" s="1323"/>
      <c r="AR862" s="987"/>
      <c r="AS862" s="978" t="str">
        <f t="shared" si="146"/>
        <v>雙</v>
      </c>
      <c r="AT862" s="978" t="str">
        <f t="shared" si="147"/>
        <v>半</v>
      </c>
      <c r="AU862" s="978">
        <f t="shared" si="148"/>
        <v>150</v>
      </c>
      <c r="AV862" s="978" t="str">
        <f t="shared" si="149"/>
        <v/>
      </c>
    </row>
    <row r="863" spans="1:48">
      <c r="A863" s="975">
        <f t="shared" ref="A863:A875" si="151">A862</f>
        <v>46164</v>
      </c>
      <c r="B863" s="976" t="s">
        <v>388</v>
      </c>
      <c r="C863" s="976" t="s">
        <v>16775</v>
      </c>
      <c r="D863" s="1410" t="s">
        <v>633</v>
      </c>
      <c r="E863" s="977" t="str">
        <f>IFERROR(VLOOKUP(C863, [6]條件!$A:$L, 5, 0), "")</f>
        <v>150/48/2SDr</v>
      </c>
      <c r="F863" s="978" t="str">
        <f>IFERROR(VLOOKUP(C863, [6]條件!$A:$L, 6, 0), "")</f>
        <v>FP82173R×2</v>
      </c>
      <c r="G863" s="1411">
        <f>IFERROR(VLOOKUP(C863, [6]條件!$A:$L, 7, 0), "")</f>
        <v>700</v>
      </c>
      <c r="H863" s="978" t="str">
        <f>IF(ISNA(VLOOKUP(C863,[6]條件!$A$1:$K$932,11,0)),"",(VLOOKUP(C863,[6]條件!$A$1:$K$932,11,0)))</f>
        <v>黃紅雙色</v>
      </c>
      <c r="I863" s="979">
        <f>IF(ISNA(VLOOKUP(C863,[6]條件!$A$1:$L$932,12,0)),"",(VLOOKUP(C863,[6]條件!$A$1:$L$932,12,0)))</f>
        <v>5.5</v>
      </c>
      <c r="J863" s="982">
        <v>40</v>
      </c>
      <c r="K863" s="980">
        <v>0</v>
      </c>
      <c r="L863" s="981">
        <v>8700</v>
      </c>
      <c r="M863" s="983">
        <v>10000</v>
      </c>
      <c r="N863" s="982">
        <v>10</v>
      </c>
      <c r="O863" s="980">
        <v>0</v>
      </c>
      <c r="P863" s="981">
        <v>8520</v>
      </c>
      <c r="Q863" s="983">
        <v>9910</v>
      </c>
      <c r="R863" s="982">
        <v>0</v>
      </c>
      <c r="S863" s="980">
        <v>0</v>
      </c>
      <c r="T863" s="981">
        <v>7690</v>
      </c>
      <c r="U863" s="983">
        <v>9170</v>
      </c>
      <c r="V863" s="982">
        <v>14</v>
      </c>
      <c r="W863" s="980">
        <v>1</v>
      </c>
      <c r="X863" s="981">
        <v>6020</v>
      </c>
      <c r="Y863" s="983">
        <v>9630</v>
      </c>
      <c r="Z863" s="1412">
        <f>IFERROR(VLOOKUP(C863, [6]條件!$A:$L, 3, 0), "")</f>
        <v>5.8536585365853666</v>
      </c>
      <c r="AA863" s="984">
        <f>IF(OR(L863={"改紡","檢修","了機","清車","FINAL","停機","SAMPLE","TEST","絲開發"}), L863, IFERROR(IF(C863="", "", (SUM(J863, N863, R863, V863)/3 * AG863) * IF(AND(AF863="S", AS863="雙"), 0.5, 1)), ""))</f>
        <v>21.333333333333332</v>
      </c>
      <c r="AB863" s="1413">
        <f t="shared" si="143"/>
        <v>0.99917868589743586</v>
      </c>
      <c r="AC863" s="984">
        <f>IF(OR(L863={"改紡","檢修","了機","清車","FINAL","停機","SAMPLE","TEST"}), "", IFERROR(IF(C863="", "", AVERAGE(L863:M863, P863:Q863, T863:U863, X863:Y863)/100), ""))</f>
        <v>87.05</v>
      </c>
      <c r="AD863" s="984">
        <f t="shared" si="150"/>
        <v>2.6666666666666665</v>
      </c>
      <c r="AE863" s="984">
        <f t="shared" si="144"/>
        <v>2.625</v>
      </c>
      <c r="AF863" s="985" t="str">
        <f t="shared" si="145"/>
        <v>T</v>
      </c>
      <c r="AG863" s="1414">
        <v>1</v>
      </c>
      <c r="AH863" s="1002" t="s">
        <v>15998</v>
      </c>
      <c r="AI863" s="1002" t="s">
        <v>16022</v>
      </c>
      <c r="AJ863" s="1002" t="s">
        <v>16009</v>
      </c>
      <c r="AK863" s="1002" t="s">
        <v>16009</v>
      </c>
      <c r="AL863" s="1415">
        <v>56</v>
      </c>
      <c r="AM863" s="1323">
        <v>46159</v>
      </c>
      <c r="AN863" s="1323">
        <v>46161</v>
      </c>
      <c r="AO863" s="1323">
        <v>46162</v>
      </c>
      <c r="AP863" s="1323">
        <v>46163</v>
      </c>
      <c r="AQ863" s="1323"/>
      <c r="AR863" s="987"/>
      <c r="AS863" s="978" t="str">
        <f t="shared" si="146"/>
        <v>雙</v>
      </c>
      <c r="AT863" s="978" t="str">
        <f t="shared" si="147"/>
        <v>全</v>
      </c>
      <c r="AU863" s="978">
        <f t="shared" si="148"/>
        <v>150</v>
      </c>
      <c r="AV863" s="978">
        <f t="shared" si="149"/>
        <v>6.3177407999999993</v>
      </c>
    </row>
    <row r="864" spans="1:48">
      <c r="A864" s="975">
        <f t="shared" si="151"/>
        <v>46164</v>
      </c>
      <c r="B864" s="976" t="s">
        <v>417</v>
      </c>
      <c r="C864" s="976" t="s">
        <v>16767</v>
      </c>
      <c r="D864" s="1410" t="s">
        <v>633</v>
      </c>
      <c r="E864" s="977" t="str">
        <f>IFERROR(VLOOKUP(C864, [6]條件!$A:$L, 5, 0), "")</f>
        <v>150/48/2SDr</v>
      </c>
      <c r="F864" s="978" t="str">
        <f>IFERROR(VLOOKUP(C864, [6]條件!$A:$L, 6, 0), "")</f>
        <v>FP82173R×2</v>
      </c>
      <c r="G864" s="1411">
        <f>IFERROR(VLOOKUP(C864, [6]條件!$A:$L, 7, 0), "")</f>
        <v>700</v>
      </c>
      <c r="H864" s="978" t="str">
        <f>IF(ISNA(VLOOKUP(C864,[6]條件!$A$1:$K$932,11,0)),"",(VLOOKUP(C864,[6]條件!$A$1:$K$932,11,0)))</f>
        <v>棕色</v>
      </c>
      <c r="I864" s="979">
        <f>IF(ISNA(VLOOKUP(C864,[6]條件!$A$1:$L$932,12,0)),"",(VLOOKUP(C864,[6]條件!$A$1:$L$932,12,0)))</f>
        <v>5.5</v>
      </c>
      <c r="J864" s="982">
        <v>32</v>
      </c>
      <c r="K864" s="980">
        <v>13</v>
      </c>
      <c r="L864" s="981">
        <v>9540</v>
      </c>
      <c r="M864" s="983">
        <v>9440</v>
      </c>
      <c r="N864" s="982">
        <v>19</v>
      </c>
      <c r="O864" s="980">
        <v>2</v>
      </c>
      <c r="P864" s="981">
        <v>9910</v>
      </c>
      <c r="Q864" s="983">
        <v>9620</v>
      </c>
      <c r="R864" s="982">
        <v>0</v>
      </c>
      <c r="S864" s="980">
        <v>0</v>
      </c>
      <c r="T864" s="981">
        <v>9440</v>
      </c>
      <c r="U864" s="983">
        <v>8980</v>
      </c>
      <c r="V864" s="982">
        <v>24</v>
      </c>
      <c r="W864" s="980">
        <v>0</v>
      </c>
      <c r="X864" s="981">
        <v>9910</v>
      </c>
      <c r="Y864" s="983">
        <v>9540</v>
      </c>
      <c r="Z864" s="1412">
        <f>IFERROR(VLOOKUP(C864, [6]條件!$A:$L, 3, 0), "")</f>
        <v>5.8536585365853666</v>
      </c>
      <c r="AA864" s="984">
        <f>IF(OR(L864={"改紡","檢修","了機","清車","FINAL","停機","SAMPLE","TEST","絲開發"}), L864, IFERROR(IF(C864="", "", (SUM(J864, N864, R864, V864)/3 * AG864) * IF(AND(AF864="S", AS864="雙"), 0.5, 1)), ""))</f>
        <v>25</v>
      </c>
      <c r="AB864" s="1413">
        <f t="shared" si="143"/>
        <v>0.98768028846153844</v>
      </c>
      <c r="AC864" s="984">
        <f>IF(OR(L864={"改紡","檢修","了機","清車","FINAL","停機","SAMPLE","TEST"}), "", IFERROR(IF(C864="", "", AVERAGE(L864:M864, P864:Q864, T864:U864, X864:Y864)/100), ""))</f>
        <v>95.474999999999994</v>
      </c>
      <c r="AD864" s="984">
        <f t="shared" si="150"/>
        <v>3.125</v>
      </c>
      <c r="AE864" s="984">
        <f t="shared" si="144"/>
        <v>2.5</v>
      </c>
      <c r="AF864" s="985" t="str">
        <f t="shared" si="145"/>
        <v>T</v>
      </c>
      <c r="AG864" s="1414">
        <v>1</v>
      </c>
      <c r="AH864" s="1002" t="s">
        <v>16008</v>
      </c>
      <c r="AI864" s="1002" t="s">
        <v>16008</v>
      </c>
      <c r="AJ864" s="986" t="s">
        <v>16014</v>
      </c>
      <c r="AK864" s="986" t="s">
        <v>16014</v>
      </c>
      <c r="AL864" s="1415">
        <v>56</v>
      </c>
      <c r="AM864" s="1323">
        <v>46161</v>
      </c>
      <c r="AN864" s="1323">
        <v>46162</v>
      </c>
      <c r="AO864" s="1323"/>
      <c r="AP864" s="1323"/>
      <c r="AQ864" s="1323"/>
      <c r="AR864" s="987"/>
      <c r="AS864" s="978" t="str">
        <f t="shared" si="146"/>
        <v>雙</v>
      </c>
      <c r="AT864" s="978" t="str">
        <f t="shared" si="147"/>
        <v>全</v>
      </c>
      <c r="AU864" s="978">
        <f t="shared" si="148"/>
        <v>150</v>
      </c>
      <c r="AV864" s="978">
        <f t="shared" si="149"/>
        <v>6.9291935999999996</v>
      </c>
    </row>
    <row r="865" spans="1:48">
      <c r="A865" s="975">
        <f t="shared" si="151"/>
        <v>46164</v>
      </c>
      <c r="B865" s="976" t="s">
        <v>240</v>
      </c>
      <c r="C865" s="976" t="s">
        <v>16776</v>
      </c>
      <c r="D865" s="1410"/>
      <c r="E865" s="977" t="str">
        <f>IFERROR(VLOOKUP(C865, [6]條件!$A:$L, 5, 0), "")</f>
        <v>50/72/2SDFFR</v>
      </c>
      <c r="F865" s="978" t="str">
        <f>IFERROR(VLOOKUP(C865, [6]條件!$A:$L, 6, 0), "")</f>
        <v>FP80099R×2</v>
      </c>
      <c r="G865" s="1411">
        <f>IFERROR(VLOOKUP(C865, [6]條件!$A:$L, 7, 0), "")</f>
        <v>500</v>
      </c>
      <c r="H865" s="978" t="str">
        <f>IF(ISNA(VLOOKUP(C865,[6]條件!$A$1:$K$932,11,0)),"",(VLOOKUP(C865,[6]條件!$A$1:$K$932,11,0)))</f>
        <v>白黑三角</v>
      </c>
      <c r="I865" s="979">
        <f>IF(ISNA(VLOOKUP(C865,[6]條件!$A$1:$L$932,12,0)),"",(VLOOKUP(C865,[6]條件!$A$1:$L$932,12,0)))</f>
        <v>4</v>
      </c>
      <c r="J865" s="982">
        <v>12</v>
      </c>
      <c r="K865" s="980">
        <v>0</v>
      </c>
      <c r="L865" s="981">
        <v>3720</v>
      </c>
      <c r="M865" s="983"/>
      <c r="N865" s="982">
        <v>10</v>
      </c>
      <c r="O865" s="980">
        <v>0</v>
      </c>
      <c r="P865" s="981">
        <v>2763</v>
      </c>
      <c r="Q865" s="983"/>
      <c r="R865" s="982">
        <v>10</v>
      </c>
      <c r="S865" s="980">
        <v>0</v>
      </c>
      <c r="T865" s="981">
        <v>2658</v>
      </c>
      <c r="U865" s="983"/>
      <c r="V865" s="982"/>
      <c r="W865" s="980"/>
      <c r="X865" s="981" t="s">
        <v>16002</v>
      </c>
      <c r="Y865" s="983"/>
      <c r="Z865" s="1422">
        <f>IFERROR(VLOOKUP(C865, [6]條件!$A:$L, 3, 0), "")</f>
        <v>2.028169014084507</v>
      </c>
      <c r="AA865" s="1167">
        <f>IF(OR(L865={"改紡","檢修","了機","清車","FINAL","停機","SAMPLE","TEST","絲開發"}), L865, IFERROR(IF(C865="", "", (SUM(J865, N865, R865, V865)/3 * AG865) * IF(AND(AF865="S", AS865="雙"), 0.5, 1)), ""))</f>
        <v>16</v>
      </c>
      <c r="AB865" s="1423">
        <f>IF(K865="","",IF(ISERROR(1-((SUM(K865,O865,S865,W865)/((AG865*12)-(AG865*0.44)))/Z865)),"",(1-((SUM(K865,O865,S865,W865)/((AG865*12)-(AG865*0.44)))/Z865))))</f>
        <v>1</v>
      </c>
      <c r="AC865" s="1167">
        <f>IF(OR(L865={"改紡","檢修","了機","清車","FINAL","停機","SAMPLE","TEST"}), "", IFERROR(IF(C865="", "", AVERAGE(L865:M865, P865:Q865, T865:U865, X865:Y865)/100), ""))</f>
        <v>30.47</v>
      </c>
      <c r="AD865" s="1167">
        <f t="shared" si="150"/>
        <v>2</v>
      </c>
      <c r="AE865" s="1167">
        <f>IF(P865="了機","",IF(J865="","",IF(ISERROR((SUM(J865,N865,R865,V865)-SUM(K865,O865,S865,W865))/24),"",((SUM(J865,N865,R865,V865)-SUM(K865,O865,S865,W865))/24))))</f>
        <v>1.3333333333333333</v>
      </c>
      <c r="AF865" s="1168" t="str">
        <f t="shared" si="145"/>
        <v>S</v>
      </c>
      <c r="AG865" s="1424">
        <v>3</v>
      </c>
      <c r="AH865" s="1002" t="s">
        <v>16000</v>
      </c>
      <c r="AI865" s="1002" t="s">
        <v>16000</v>
      </c>
      <c r="AJ865" s="986" t="s">
        <v>16005</v>
      </c>
      <c r="AK865" s="986" t="s">
        <v>16005</v>
      </c>
      <c r="AL865" s="1415">
        <v>50</v>
      </c>
      <c r="AM865" s="1323">
        <v>46044</v>
      </c>
      <c r="AN865" s="1323">
        <v>46045</v>
      </c>
      <c r="AO865" s="1323"/>
      <c r="AP865" s="1323"/>
      <c r="AQ865" s="1323"/>
      <c r="AR865" s="987"/>
      <c r="AS865" s="978" t="str">
        <f t="shared" si="146"/>
        <v>雙</v>
      </c>
      <c r="AT865" s="978" t="str">
        <f t="shared" si="147"/>
        <v>3sec</v>
      </c>
      <c r="AU865" s="978">
        <f t="shared" si="148"/>
        <v>50</v>
      </c>
      <c r="AV865" s="978">
        <f t="shared" si="149"/>
        <v>3.2907600000000002E-2</v>
      </c>
    </row>
    <row r="866" spans="1:48">
      <c r="A866" s="975">
        <f t="shared" si="151"/>
        <v>46164</v>
      </c>
      <c r="B866" s="976" t="s">
        <v>240</v>
      </c>
      <c r="C866" s="976" t="s">
        <v>16777</v>
      </c>
      <c r="D866" s="1410"/>
      <c r="E866" s="977" t="str">
        <f>IFERROR(VLOOKUP(C866, [6]條件!$A:$L, 5, 0), "")</f>
        <v>75/72/2SDFFR</v>
      </c>
      <c r="F866" s="978" t="str">
        <f>IFERROR(VLOOKUP(C866, [6]條件!$A:$L, 6, 0), "")</f>
        <v>FP81209R×2</v>
      </c>
      <c r="G866" s="1411">
        <f>IFERROR(VLOOKUP(C866, [6]條件!$A:$L, 7, 0), "")</f>
        <v>600</v>
      </c>
      <c r="H866" s="978" t="str">
        <f>IF(ISNA(VLOOKUP(C866,[6]條件!$A$1:$K$932,11,0)),"",(VLOOKUP(C866,[6]條件!$A$1:$K$932,11,0)))</f>
        <v>白底紅十字</v>
      </c>
      <c r="I866" s="979">
        <f>IF(ISNA(VLOOKUP(C866,[6]條件!$A$1:$L$932,12,0)),"",(VLOOKUP(C866,[6]條件!$A$1:$L$932,12,0)))</f>
        <v>5</v>
      </c>
      <c r="J866" s="982">
        <v>14</v>
      </c>
      <c r="K866" s="980">
        <v>0</v>
      </c>
      <c r="L866" s="981">
        <v>3270</v>
      </c>
      <c r="M866" s="983"/>
      <c r="N866" s="982">
        <v>8</v>
      </c>
      <c r="O866" s="980">
        <v>0</v>
      </c>
      <c r="P866" s="981">
        <v>2763</v>
      </c>
      <c r="Q866" s="983"/>
      <c r="R866" s="982">
        <v>10</v>
      </c>
      <c r="S866" s="980">
        <v>0</v>
      </c>
      <c r="T866" s="981">
        <v>2658</v>
      </c>
      <c r="U866" s="983"/>
      <c r="V866" s="982">
        <v>8</v>
      </c>
      <c r="W866" s="980">
        <v>0</v>
      </c>
      <c r="X866" s="981">
        <v>3093</v>
      </c>
      <c r="Y866" s="983"/>
      <c r="Z866" s="1422">
        <f>IFERROR(VLOOKUP(C866, [6]條件!$A:$L, 3, 0), "")</f>
        <v>2.7852998065764023</v>
      </c>
      <c r="AA866" s="1167">
        <f>IF(OR(L866={"改紡","檢修","了機","清車","FINAL","停機","SAMPLE","TEST","絲開發"}), L866, IFERROR(IF(C866="", "", (SUM(J866, N866, R866, V866)/3 * AG866) * IF(AND(AF866="S", AS866="雙"), 0.5, 1)), ""))</f>
        <v>20</v>
      </c>
      <c r="AB866" s="1423">
        <f>IF(K866="","",IF(ISERROR(1-((SUM(K866,O866,S866,W866)/((AG866*12)-(AG866*0.44)))/Z866)),"",(1-((SUM(K866,O866,S866,W866)/((AG866*12)-(AG866*0.44)))/Z866))))</f>
        <v>1</v>
      </c>
      <c r="AC866" s="1167">
        <f>IF(OR(L866={"改紡","檢修","了機","清車","FINAL","停機","SAMPLE","TEST"}), "", IFERROR(IF(C866="", "", AVERAGE(L866:M866, P866:Q866, T866:U866, X866:Y866)/100), ""))</f>
        <v>29.46</v>
      </c>
      <c r="AD866" s="1167">
        <f t="shared" si="150"/>
        <v>2.5</v>
      </c>
      <c r="AE866" s="1167">
        <f>IF(P866="了機","",IF(J866="","",IF(ISERROR((SUM(J866,N866,R866,V866)-SUM(K866,O866,S866,W866))/24),"",((SUM(J866,N866,R866,V866)-SUM(K866,O866,S866,W866))/24))))</f>
        <v>1.6666666666666667</v>
      </c>
      <c r="AF866" s="1168" t="str">
        <f t="shared" si="145"/>
        <v>S</v>
      </c>
      <c r="AG866" s="1424">
        <v>3</v>
      </c>
      <c r="AH866" s="1002" t="s">
        <v>16000</v>
      </c>
      <c r="AI866" s="1002" t="s">
        <v>16000</v>
      </c>
      <c r="AJ866" s="986" t="s">
        <v>16005</v>
      </c>
      <c r="AK866" s="986" t="s">
        <v>16005</v>
      </c>
      <c r="AL866" s="1415">
        <v>50</v>
      </c>
      <c r="AM866" s="1323">
        <v>46087</v>
      </c>
      <c r="AN866" s="1323">
        <v>46088</v>
      </c>
      <c r="AO866" s="1323">
        <v>46089</v>
      </c>
      <c r="AP866" s="1323"/>
      <c r="AQ866" s="1323"/>
      <c r="AR866" s="987"/>
      <c r="AS866" s="978" t="str">
        <f t="shared" si="146"/>
        <v>雙</v>
      </c>
      <c r="AT866" s="978" t="str">
        <f t="shared" si="147"/>
        <v>3sec</v>
      </c>
      <c r="AU866" s="978">
        <f t="shared" si="148"/>
        <v>75</v>
      </c>
      <c r="AV866" s="978">
        <f t="shared" si="149"/>
        <v>5.727024E-2</v>
      </c>
    </row>
    <row r="867" spans="1:48">
      <c r="A867" s="975">
        <f t="shared" si="151"/>
        <v>46164</v>
      </c>
      <c r="B867" s="976" t="s">
        <v>242</v>
      </c>
      <c r="C867" s="976" t="s">
        <v>385</v>
      </c>
      <c r="D867" s="1410"/>
      <c r="E867" s="977" t="str">
        <f>IFERROR(VLOOKUP(C867, [6]條件!$A:$L, 5, 0), "")</f>
        <v/>
      </c>
      <c r="F867" s="978" t="str">
        <f>IFERROR(VLOOKUP(C867, [6]條件!$A:$L, 6, 0), "")</f>
        <v/>
      </c>
      <c r="G867" s="1411" t="str">
        <f>IFERROR(VLOOKUP(C867, [6]條件!$A:$L, 7, 0), "")</f>
        <v/>
      </c>
      <c r="H867" s="978" t="str">
        <f>IF(ISNA(VLOOKUP(C867,[6]條件!$A$1:$K$932,11,0)),"",(VLOOKUP(C867,[6]條件!$A$1:$K$932,11,0)))</f>
        <v/>
      </c>
      <c r="I867" s="979" t="str">
        <f>IF(ISNA(VLOOKUP(C867,[6]條件!$A$1:$L$932,12,0)),"",(VLOOKUP(C867,[6]條件!$A$1:$L$932,12,0)))</f>
        <v/>
      </c>
      <c r="J867" s="982"/>
      <c r="K867" s="980"/>
      <c r="L867" s="981" t="s">
        <v>385</v>
      </c>
      <c r="M867" s="983"/>
      <c r="N867" s="982"/>
      <c r="O867" s="980"/>
      <c r="P867" s="981" t="s">
        <v>385</v>
      </c>
      <c r="Q867" s="983"/>
      <c r="R867" s="982"/>
      <c r="S867" s="980"/>
      <c r="T867" s="981" t="s">
        <v>385</v>
      </c>
      <c r="U867" s="983"/>
      <c r="V867" s="982"/>
      <c r="W867" s="980"/>
      <c r="X867" s="981" t="s">
        <v>385</v>
      </c>
      <c r="Y867" s="983"/>
      <c r="Z867" s="1422" t="str">
        <f>IFERROR(VLOOKUP(C867, [6]條件!$A:$L, 3, 0), "")</f>
        <v/>
      </c>
      <c r="AA867" s="1167" t="str">
        <f>IF(OR(L867={"改紡","檢修","了機","清車","FINAL","停機","SAMPLE","TEST","絲開發"}), L867, IFERROR(IF(C867="", "", (SUM(J867, N867, R867, V867)/3 * AG867) * IF(AND(AF867="S", AS867="雙"), 0.5, 1)), ""))</f>
        <v>絲開發</v>
      </c>
      <c r="AB867" s="1423" t="str">
        <f>IF(K867="","",IF(ISERROR(1-((SUM(K867,O867,S867,W867)/((AG867*12)-(AG867*0.44)))/Z867)),"",(1-((SUM(K867,O867,S867,W867)/((AG867*12)-(AG867*0.44)))/Z867))))</f>
        <v/>
      </c>
      <c r="AC867" s="1167" t="str">
        <f>IF(OR(L867={"改紡","檢修","了機","清車","FINAL","停機","SAMPLE","TEST"}), "", IFERROR(IF(C867="", "", AVERAGE(L867:M867, P867:Q867, T867:U867, X867:Y867)/100), ""))</f>
        <v/>
      </c>
      <c r="AD867" s="1167" t="str">
        <f t="shared" si="150"/>
        <v/>
      </c>
      <c r="AE867" s="1167" t="str">
        <f>IF(P867="了機","",IF(J867="","",IF(ISERROR((SUM(J867,N867,R867,V867)-SUM(K867,O867,S867,W867))/24),"",((SUM(J867,N867,R867,V867)-SUM(K867,O867,S867,W867))/24))))</f>
        <v/>
      </c>
      <c r="AF867" s="1168" t="str">
        <f t="shared" si="145"/>
        <v>S</v>
      </c>
      <c r="AG867" s="1424">
        <v>5</v>
      </c>
      <c r="AH867" s="1002" t="s">
        <v>16000</v>
      </c>
      <c r="AI867" s="1002" t="s">
        <v>16000</v>
      </c>
      <c r="AJ867" s="986" t="s">
        <v>16005</v>
      </c>
      <c r="AK867" s="986" t="s">
        <v>16005</v>
      </c>
      <c r="AL867" s="1415"/>
      <c r="AM867" s="1323"/>
      <c r="AN867" s="1323"/>
      <c r="AO867" s="1323"/>
      <c r="AP867" s="1323"/>
      <c r="AQ867" s="1323"/>
      <c r="AR867" s="987"/>
      <c r="AS867" s="978" t="str">
        <f t="shared" si="146"/>
        <v>單</v>
      </c>
      <c r="AT867" s="978" t="str">
        <f t="shared" si="147"/>
        <v>5sec</v>
      </c>
      <c r="AU867" s="978" t="str">
        <f t="shared" si="148"/>
        <v/>
      </c>
      <c r="AV867" s="978" t="str">
        <f t="shared" si="149"/>
        <v/>
      </c>
    </row>
    <row r="868" spans="1:48">
      <c r="A868" s="975">
        <f t="shared" si="151"/>
        <v>46164</v>
      </c>
      <c r="B868" s="976" t="s">
        <v>16078</v>
      </c>
      <c r="C868" s="988" t="s">
        <v>16185</v>
      </c>
      <c r="D868" s="1410"/>
      <c r="E868" s="977" t="str">
        <f>IFERROR(VLOOKUP(C868, [6]條件!$A:$L, 5, 0), "")</f>
        <v/>
      </c>
      <c r="F868" s="978" t="str">
        <f>IFERROR(VLOOKUP(C868, [6]條件!$A:$L, 6, 0), "")</f>
        <v/>
      </c>
      <c r="G868" s="1411" t="str">
        <f>IFERROR(VLOOKUP(C868, [6]條件!$A:$L, 7, 0), "")</f>
        <v/>
      </c>
      <c r="H868" s="978" t="str">
        <f>IF(ISNA(VLOOKUP(C868,[6]條件!$A$1:$K$932,11,0)),"",(VLOOKUP(C868,[6]條件!$A$1:$K$932,11,0)))</f>
        <v/>
      </c>
      <c r="I868" s="979" t="str">
        <f>IF(ISNA(VLOOKUP(C868,[6]條件!$A$1:$L$932,12,0)),"",(VLOOKUP(C868,[6]條件!$A$1:$L$932,12,0)))</f>
        <v/>
      </c>
      <c r="J868" s="982"/>
      <c r="K868" s="980"/>
      <c r="L868" s="981" t="s">
        <v>632</v>
      </c>
      <c r="M868" s="983"/>
      <c r="N868" s="982"/>
      <c r="O868" s="980"/>
      <c r="P868" s="981" t="s">
        <v>632</v>
      </c>
      <c r="Q868" s="983"/>
      <c r="R868" s="982"/>
      <c r="S868" s="980"/>
      <c r="T868" s="981" t="s">
        <v>632</v>
      </c>
      <c r="U868" s="983"/>
      <c r="V868" s="982"/>
      <c r="W868" s="980"/>
      <c r="X868" s="981" t="s">
        <v>632</v>
      </c>
      <c r="Y868" s="983"/>
      <c r="Z868" s="1412" t="str">
        <f>IFERROR(VLOOKUP(C868, [6]條件!$A:$L, 3, 0), "")</f>
        <v/>
      </c>
      <c r="AA868" s="984" t="str">
        <f>IF(OR(L868={"改紡","檢修","了機","清車","FINAL","停機","SAMPLE","TEST","絲開發"}), L868, IFERROR(IF(C868="", "", (SUM(J868, N868, R868, V868)/3 * AG868) * IF(AND(AF868="S", AS868="雙"), 0.5, 1)), ""))</f>
        <v>停機</v>
      </c>
      <c r="AB868" s="1413" t="str">
        <f t="shared" ref="AB868:AB903" si="152">IF(K868="","",IF(ISERROR(1-(SUM(K868,O868,S868,W868)/208/Z868)),"",(1-(SUM(K868,O868,S868,W868)/208/Z868))))</f>
        <v/>
      </c>
      <c r="AC868" s="984" t="str">
        <f>IF(OR(L868={"改紡","檢修","了機","清車","FINAL","停機","SAMPLE","TEST"}), "", IFERROR(IF(C868="", "", AVERAGE(L868:M868, P868:Q868, T868:U868, X868:Y868)/100), ""))</f>
        <v/>
      </c>
      <c r="AD868" s="984" t="str">
        <f t="shared" si="150"/>
        <v/>
      </c>
      <c r="AE868" s="984" t="str">
        <f>IF(OR(L868="改紡", L868="檢修", L868="了機"), "",
   IF(AND(C868&lt;&gt;"", J868&lt;&gt;""),
      IFERROR((SUM(J868, N868, R868, V868) - SUM(K868, O868, S868, W868))/24 * AG868, ""),
   "")
)</f>
        <v/>
      </c>
      <c r="AF868" s="985" t="str">
        <f t="shared" si="145"/>
        <v>M</v>
      </c>
      <c r="AG868" s="1414">
        <v>1</v>
      </c>
      <c r="AH868" s="1002" t="s">
        <v>640</v>
      </c>
      <c r="AI868" s="1002" t="s">
        <v>640</v>
      </c>
      <c r="AJ868" s="986" t="s">
        <v>640</v>
      </c>
      <c r="AK868" s="986" t="s">
        <v>640</v>
      </c>
      <c r="AL868" s="1415"/>
      <c r="AM868" s="1323"/>
      <c r="AN868" s="1323"/>
      <c r="AO868" s="1323"/>
      <c r="AP868" s="1323"/>
      <c r="AQ868" s="1323"/>
      <c r="AR868" s="987"/>
      <c r="AS868" s="978" t="str">
        <f t="shared" si="146"/>
        <v>單</v>
      </c>
      <c r="AT868" s="978" t="str">
        <f t="shared" si="147"/>
        <v>全</v>
      </c>
      <c r="AU868" s="978" t="str">
        <f t="shared" si="148"/>
        <v/>
      </c>
      <c r="AV868" s="978" t="str">
        <f t="shared" si="149"/>
        <v/>
      </c>
    </row>
    <row r="869" spans="1:48">
      <c r="A869" s="975">
        <f t="shared" si="151"/>
        <v>46164</v>
      </c>
      <c r="B869" s="976" t="s">
        <v>243</v>
      </c>
      <c r="C869" s="988" t="s">
        <v>16185</v>
      </c>
      <c r="D869" s="1410"/>
      <c r="E869" s="977" t="str">
        <f>IFERROR(VLOOKUP(C869, [6]條件!$A:$L, 5, 0), "")</f>
        <v/>
      </c>
      <c r="F869" s="978" t="str">
        <f>IFERROR(VLOOKUP(C869, [6]條件!$A:$L, 6, 0), "")</f>
        <v/>
      </c>
      <c r="G869" s="1411" t="str">
        <f>IFERROR(VLOOKUP(C869, [6]條件!$A:$L, 7, 0), "")</f>
        <v/>
      </c>
      <c r="H869" s="978" t="str">
        <f>IF(ISNA(VLOOKUP(C869,[6]條件!$A$1:$K$932,11,0)),"",(VLOOKUP(C869,[6]條件!$A$1:$K$932,11,0)))</f>
        <v/>
      </c>
      <c r="I869" s="979" t="str">
        <f>IF(ISNA(VLOOKUP(C869,[6]條件!$A$1:$L$932,12,0)),"",(VLOOKUP(C869,[6]條件!$A$1:$L$932,12,0)))</f>
        <v/>
      </c>
      <c r="J869" s="982"/>
      <c r="K869" s="980"/>
      <c r="L869" s="981" t="s">
        <v>632</v>
      </c>
      <c r="M869" s="983"/>
      <c r="N869" s="982"/>
      <c r="O869" s="980"/>
      <c r="P869" s="981" t="s">
        <v>632</v>
      </c>
      <c r="Q869" s="983"/>
      <c r="R869" s="982"/>
      <c r="S869" s="980"/>
      <c r="T869" s="981" t="s">
        <v>632</v>
      </c>
      <c r="U869" s="983"/>
      <c r="V869" s="982"/>
      <c r="W869" s="980"/>
      <c r="X869" s="981" t="s">
        <v>632</v>
      </c>
      <c r="Y869" s="983"/>
      <c r="Z869" s="1412" t="str">
        <f>IFERROR(VLOOKUP(C869, [6]條件!$A:$L, 3, 0), "")</f>
        <v/>
      </c>
      <c r="AA869" s="984" t="str">
        <f>IF(OR(L869={"改紡","檢修","了機","清車","FINAL","停機","SAMPLE","TEST","絲開發"}), L869, IFERROR(IF(C869="", "", (SUM(J869, N869, R869, V869)/3 * AG869) * IF(AND(AF869="S", AS869="雙"), 0.5, 1)), ""))</f>
        <v>停機</v>
      </c>
      <c r="AB869" s="1413" t="str">
        <f t="shared" si="152"/>
        <v/>
      </c>
      <c r="AC869" s="984" t="str">
        <f>IF(OR(L869={"改紡","檢修","了機","清車","FINAL","停機","SAMPLE","TEST"}), "", IFERROR(IF(C869="", "", AVERAGE(L869:M869, P869:Q869, T869:U869, X869:Y869)/100), ""))</f>
        <v/>
      </c>
      <c r="AD869" s="984" t="str">
        <f t="shared" si="150"/>
        <v/>
      </c>
      <c r="AE869" s="984" t="str">
        <f t="shared" ref="AE869:AE903" si="153">IF(OR(L869="改紡", L869="檢修", L869="了機"), "",
IF(AND(C869&lt;&gt;"", J869&lt;&gt;""),
IFERROR((SUM(J869, N869, R869, V869) - SUM(K869, O869, S869, W869))/24 * AG869, ""),
"")
)</f>
        <v/>
      </c>
      <c r="AF869" s="985" t="str">
        <f t="shared" si="145"/>
        <v>M</v>
      </c>
      <c r="AG869" s="1414">
        <v>1</v>
      </c>
      <c r="AH869" s="1002" t="s">
        <v>640</v>
      </c>
      <c r="AI869" s="1002" t="s">
        <v>640</v>
      </c>
      <c r="AJ869" s="986" t="s">
        <v>640</v>
      </c>
      <c r="AK869" s="986" t="s">
        <v>640</v>
      </c>
      <c r="AL869" s="1415"/>
      <c r="AM869" s="1323"/>
      <c r="AN869" s="1323"/>
      <c r="AO869" s="1323"/>
      <c r="AP869" s="1323"/>
      <c r="AQ869" s="1323"/>
      <c r="AR869" s="987"/>
      <c r="AS869" s="978" t="str">
        <f t="shared" si="146"/>
        <v>單</v>
      </c>
      <c r="AT869" s="978" t="str">
        <f t="shared" si="147"/>
        <v>全</v>
      </c>
      <c r="AU869" s="978" t="str">
        <f t="shared" si="148"/>
        <v/>
      </c>
      <c r="AV869" s="978" t="str">
        <f t="shared" si="149"/>
        <v/>
      </c>
    </row>
    <row r="870" spans="1:48">
      <c r="A870" s="975">
        <f t="shared" si="151"/>
        <v>46164</v>
      </c>
      <c r="B870" s="976" t="s">
        <v>244</v>
      </c>
      <c r="C870" s="988" t="s">
        <v>16185</v>
      </c>
      <c r="D870" s="1410"/>
      <c r="E870" s="977" t="str">
        <f>IFERROR(VLOOKUP(C870, [6]條件!$A:$L, 5, 0), "")</f>
        <v/>
      </c>
      <c r="F870" s="978" t="str">
        <f>IFERROR(VLOOKUP(C870, [6]條件!$A:$L, 6, 0), "")</f>
        <v/>
      </c>
      <c r="G870" s="1411" t="str">
        <f>IFERROR(VLOOKUP(C870, [6]條件!$A:$L, 7, 0), "")</f>
        <v/>
      </c>
      <c r="H870" s="978" t="str">
        <f>IF(ISNA(VLOOKUP(C870,[6]條件!$A$1:$K$932,11,0)),"",(VLOOKUP(C870,[6]條件!$A$1:$K$932,11,0)))</f>
        <v/>
      </c>
      <c r="I870" s="979" t="str">
        <f>IF(ISNA(VLOOKUP(C870,[6]條件!$A$1:$L$932,12,0)),"",(VLOOKUP(C870,[6]條件!$A$1:$L$932,12,0)))</f>
        <v/>
      </c>
      <c r="J870" s="982"/>
      <c r="K870" s="980"/>
      <c r="L870" s="981" t="s">
        <v>632</v>
      </c>
      <c r="M870" s="983"/>
      <c r="N870" s="982"/>
      <c r="O870" s="980"/>
      <c r="P870" s="981" t="s">
        <v>632</v>
      </c>
      <c r="Q870" s="983"/>
      <c r="R870" s="982"/>
      <c r="S870" s="980"/>
      <c r="T870" s="981" t="s">
        <v>632</v>
      </c>
      <c r="U870" s="983"/>
      <c r="V870" s="982"/>
      <c r="W870" s="980"/>
      <c r="X870" s="981" t="s">
        <v>632</v>
      </c>
      <c r="Y870" s="983"/>
      <c r="Z870" s="1412" t="str">
        <f>IFERROR(VLOOKUP(C870, [6]條件!$A:$L, 3, 0), "")</f>
        <v/>
      </c>
      <c r="AA870" s="984" t="str">
        <f>IF(OR(L870={"改紡","檢修","了機","清車","FINAL","停機","SAMPLE","TEST","絲開發"}), L870, IFERROR(IF(C870="", "", (SUM(J870, N870, R870, V870)/3 * AG870) * IF(AND(AF870="S", AS870="雙"), 0.5, 1)), ""))</f>
        <v>停機</v>
      </c>
      <c r="AB870" s="1413" t="str">
        <f t="shared" si="152"/>
        <v/>
      </c>
      <c r="AC870" s="984" t="str">
        <f>IF(OR(L870={"改紡","檢修","了機","清車","FINAL","停機","SAMPLE","TEST"}), "", IFERROR(IF(C870="", "", AVERAGE(L870:M870, P870:Q870, T870:U870, X870:Y870)/100), ""))</f>
        <v/>
      </c>
      <c r="AD870" s="984" t="str">
        <f t="shared" si="150"/>
        <v/>
      </c>
      <c r="AE870" s="984" t="str">
        <f t="shared" si="153"/>
        <v/>
      </c>
      <c r="AF870" s="985" t="str">
        <f t="shared" si="145"/>
        <v>M</v>
      </c>
      <c r="AG870" s="1414">
        <v>1</v>
      </c>
      <c r="AH870" s="1002" t="s">
        <v>640</v>
      </c>
      <c r="AI870" s="1002" t="s">
        <v>640</v>
      </c>
      <c r="AJ870" s="986" t="s">
        <v>640</v>
      </c>
      <c r="AK870" s="986" t="s">
        <v>640</v>
      </c>
      <c r="AL870" s="1415"/>
      <c r="AM870" s="1323"/>
      <c r="AN870" s="1323"/>
      <c r="AO870" s="1323"/>
      <c r="AP870" s="1323"/>
      <c r="AQ870" s="1323"/>
      <c r="AR870" s="987"/>
      <c r="AS870" s="978" t="str">
        <f t="shared" si="146"/>
        <v>單</v>
      </c>
      <c r="AT870" s="978" t="str">
        <f t="shared" si="147"/>
        <v>全</v>
      </c>
      <c r="AU870" s="978" t="str">
        <f t="shared" si="148"/>
        <v/>
      </c>
      <c r="AV870" s="978" t="str">
        <f t="shared" si="149"/>
        <v/>
      </c>
    </row>
    <row r="871" spans="1:48">
      <c r="A871" s="975">
        <f t="shared" si="151"/>
        <v>46164</v>
      </c>
      <c r="B871" s="976" t="s">
        <v>245</v>
      </c>
      <c r="C871" s="988" t="s">
        <v>16185</v>
      </c>
      <c r="D871" s="1410"/>
      <c r="E871" s="977" t="str">
        <f>IFERROR(VLOOKUP(C871, [6]條件!$A:$L, 5, 0), "")</f>
        <v/>
      </c>
      <c r="F871" s="978" t="str">
        <f>IFERROR(VLOOKUP(C871, [6]條件!$A:$L, 6, 0), "")</f>
        <v/>
      </c>
      <c r="G871" s="1411" t="str">
        <f>IFERROR(VLOOKUP(C871, [6]條件!$A:$L, 7, 0), "")</f>
        <v/>
      </c>
      <c r="H871" s="978" t="str">
        <f>IF(ISNA(VLOOKUP(C871,[6]條件!$A$1:$K$932,11,0)),"",(VLOOKUP(C871,[6]條件!$A$1:$K$932,11,0)))</f>
        <v/>
      </c>
      <c r="I871" s="979" t="str">
        <f>IF(ISNA(VLOOKUP(C871,[6]條件!$A$1:$L$932,12,0)),"",(VLOOKUP(C871,[6]條件!$A$1:$L$932,12,0)))</f>
        <v/>
      </c>
      <c r="J871" s="982"/>
      <c r="K871" s="980"/>
      <c r="L871" s="981" t="s">
        <v>632</v>
      </c>
      <c r="M871" s="983"/>
      <c r="N871" s="982"/>
      <c r="O871" s="980"/>
      <c r="P871" s="981" t="s">
        <v>632</v>
      </c>
      <c r="Q871" s="983"/>
      <c r="R871" s="982"/>
      <c r="S871" s="980"/>
      <c r="T871" s="981" t="s">
        <v>632</v>
      </c>
      <c r="U871" s="983"/>
      <c r="V871" s="982"/>
      <c r="W871" s="980"/>
      <c r="X871" s="981" t="s">
        <v>632</v>
      </c>
      <c r="Y871" s="983"/>
      <c r="Z871" s="1412" t="str">
        <f>IFERROR(VLOOKUP(C871, [6]條件!$A:$L, 3, 0), "")</f>
        <v/>
      </c>
      <c r="AA871" s="984" t="str">
        <f>IF(OR(L871={"改紡","檢修","了機","清車","FINAL","停機","SAMPLE","TEST","絲開發"}), L871, IFERROR(IF(C871="", "", (SUM(J871, N871, R871, V871)/3 * AG871) * IF(AND(AF871="S", AS871="雙"), 0.5, 1)), ""))</f>
        <v>停機</v>
      </c>
      <c r="AB871" s="1413" t="str">
        <f t="shared" si="152"/>
        <v/>
      </c>
      <c r="AC871" s="984" t="str">
        <f>IF(OR(L871={"改紡","檢修","了機","清車","FINAL","停機","SAMPLE","TEST"}), "", IFERROR(IF(C871="", "", AVERAGE(L871:M871, P871:Q871, T871:U871, X871:Y871)/100), ""))</f>
        <v/>
      </c>
      <c r="AD871" s="984" t="str">
        <f t="shared" si="150"/>
        <v/>
      </c>
      <c r="AE871" s="984" t="str">
        <f t="shared" si="153"/>
        <v/>
      </c>
      <c r="AF871" s="985" t="str">
        <f t="shared" si="145"/>
        <v>M</v>
      </c>
      <c r="AG871" s="1414">
        <v>1</v>
      </c>
      <c r="AH871" s="1002" t="s">
        <v>640</v>
      </c>
      <c r="AI871" s="1002" t="s">
        <v>640</v>
      </c>
      <c r="AJ871" s="986" t="s">
        <v>640</v>
      </c>
      <c r="AK871" s="986" t="s">
        <v>640</v>
      </c>
      <c r="AL871" s="1415"/>
      <c r="AM871" s="1323"/>
      <c r="AN871" s="1323"/>
      <c r="AO871" s="1323"/>
      <c r="AP871" s="1323"/>
      <c r="AQ871" s="1323"/>
      <c r="AR871" s="987"/>
      <c r="AS871" s="978" t="str">
        <f t="shared" si="146"/>
        <v>單</v>
      </c>
      <c r="AT871" s="978" t="str">
        <f t="shared" si="147"/>
        <v>全</v>
      </c>
      <c r="AU871" s="978" t="str">
        <f t="shared" si="148"/>
        <v/>
      </c>
      <c r="AV871" s="978" t="str">
        <f t="shared" si="149"/>
        <v/>
      </c>
    </row>
    <row r="872" spans="1:48">
      <c r="A872" s="975">
        <f t="shared" si="151"/>
        <v>46164</v>
      </c>
      <c r="B872" s="976" t="s">
        <v>246</v>
      </c>
      <c r="C872" s="988" t="s">
        <v>16185</v>
      </c>
      <c r="D872" s="1410"/>
      <c r="E872" s="977" t="str">
        <f>IFERROR(VLOOKUP(C872, [6]條件!$A:$L, 5, 0), "")</f>
        <v/>
      </c>
      <c r="F872" s="978" t="str">
        <f>IFERROR(VLOOKUP(C872, [6]條件!$A:$L, 6, 0), "")</f>
        <v/>
      </c>
      <c r="G872" s="1411" t="str">
        <f>IFERROR(VLOOKUP(C872, [6]條件!$A:$L, 7, 0), "")</f>
        <v/>
      </c>
      <c r="H872" s="978" t="str">
        <f>IF(ISNA(VLOOKUP(C872,[6]條件!$A$1:$K$932,11,0)),"",(VLOOKUP(C872,[6]條件!$A$1:$K$932,11,0)))</f>
        <v/>
      </c>
      <c r="I872" s="979" t="str">
        <f>IF(ISNA(VLOOKUP(C872,[6]條件!$A$1:$L$932,12,0)),"",(VLOOKUP(C872,[6]條件!$A$1:$L$932,12,0)))</f>
        <v/>
      </c>
      <c r="J872" s="982"/>
      <c r="K872" s="980"/>
      <c r="L872" s="981" t="s">
        <v>632</v>
      </c>
      <c r="M872" s="983"/>
      <c r="N872" s="982"/>
      <c r="O872" s="980"/>
      <c r="P872" s="981" t="s">
        <v>632</v>
      </c>
      <c r="Q872" s="983"/>
      <c r="R872" s="982"/>
      <c r="S872" s="980"/>
      <c r="T872" s="981" t="s">
        <v>632</v>
      </c>
      <c r="U872" s="983"/>
      <c r="V872" s="982"/>
      <c r="W872" s="980"/>
      <c r="X872" s="981" t="s">
        <v>632</v>
      </c>
      <c r="Y872" s="983"/>
      <c r="Z872" s="1412" t="str">
        <f>IFERROR(VLOOKUP(C872, [6]條件!$A:$L, 3, 0), "")</f>
        <v/>
      </c>
      <c r="AA872" s="984" t="str">
        <f>IF(OR(L872={"改紡","檢修","了機","清車","FINAL","停機","SAMPLE","TEST","絲開發"}), L872, IFERROR(IF(C872="", "", (SUM(J872, N872, R872, V872)/3 * AG872) * IF(AND(AF872="S", AS872="雙"), 0.5, 1)), ""))</f>
        <v>停機</v>
      </c>
      <c r="AB872" s="1413" t="str">
        <f t="shared" si="152"/>
        <v/>
      </c>
      <c r="AC872" s="984" t="str">
        <f>IF(OR(L872={"改紡","檢修","了機","清車","FINAL","停機","SAMPLE","TEST"}), "", IFERROR(IF(C872="", "", AVERAGE(L872:M872, P872:Q872, T872:U872, X872:Y872)/100), ""))</f>
        <v/>
      </c>
      <c r="AD872" s="984" t="str">
        <f t="shared" si="150"/>
        <v/>
      </c>
      <c r="AE872" s="984" t="str">
        <f t="shared" si="153"/>
        <v/>
      </c>
      <c r="AF872" s="985" t="str">
        <f t="shared" si="145"/>
        <v>M</v>
      </c>
      <c r="AG872" s="1414">
        <v>1</v>
      </c>
      <c r="AH872" s="1002" t="s">
        <v>640</v>
      </c>
      <c r="AI872" s="1002" t="s">
        <v>640</v>
      </c>
      <c r="AJ872" s="986" t="s">
        <v>640</v>
      </c>
      <c r="AK872" s="986" t="s">
        <v>640</v>
      </c>
      <c r="AL872" s="1415"/>
      <c r="AM872" s="1323"/>
      <c r="AN872" s="1323"/>
      <c r="AO872" s="1323"/>
      <c r="AP872" s="1323"/>
      <c r="AQ872" s="1323"/>
      <c r="AR872" s="987"/>
      <c r="AS872" s="978" t="str">
        <f t="shared" si="146"/>
        <v>單</v>
      </c>
      <c r="AT872" s="978" t="str">
        <f t="shared" si="147"/>
        <v>全</v>
      </c>
      <c r="AU872" s="978" t="str">
        <f t="shared" si="148"/>
        <v/>
      </c>
      <c r="AV872" s="978" t="str">
        <f t="shared" si="149"/>
        <v/>
      </c>
    </row>
    <row r="873" spans="1:48">
      <c r="A873" s="975">
        <f t="shared" si="151"/>
        <v>46164</v>
      </c>
      <c r="B873" s="976" t="s">
        <v>247</v>
      </c>
      <c r="C873" s="988" t="s">
        <v>16185</v>
      </c>
      <c r="D873" s="1410"/>
      <c r="E873" s="977" t="str">
        <f>IFERROR(VLOOKUP(C873, [6]條件!$A:$L, 5, 0), "")</f>
        <v/>
      </c>
      <c r="F873" s="978" t="str">
        <f>IFERROR(VLOOKUP(C873, [6]條件!$A:$L, 6, 0), "")</f>
        <v/>
      </c>
      <c r="G873" s="1411" t="str">
        <f>IFERROR(VLOOKUP(C873, [6]條件!$A:$L, 7, 0), "")</f>
        <v/>
      </c>
      <c r="H873" s="978" t="str">
        <f>IF(ISNA(VLOOKUP(C873,[6]條件!$A$1:$K$932,11,0)),"",(VLOOKUP(C873,[6]條件!$A$1:$K$932,11,0)))</f>
        <v/>
      </c>
      <c r="I873" s="979" t="str">
        <f>IF(ISNA(VLOOKUP(C873,[6]條件!$A$1:$L$932,12,0)),"",(VLOOKUP(C873,[6]條件!$A$1:$L$932,12,0)))</f>
        <v/>
      </c>
      <c r="J873" s="982"/>
      <c r="K873" s="980"/>
      <c r="L873" s="981" t="s">
        <v>632</v>
      </c>
      <c r="M873" s="983"/>
      <c r="N873" s="982"/>
      <c r="O873" s="980"/>
      <c r="P873" s="981" t="s">
        <v>632</v>
      </c>
      <c r="Q873" s="983"/>
      <c r="R873" s="982"/>
      <c r="S873" s="980"/>
      <c r="T873" s="981" t="s">
        <v>632</v>
      </c>
      <c r="U873" s="983"/>
      <c r="V873" s="982"/>
      <c r="W873" s="980"/>
      <c r="X873" s="981" t="s">
        <v>632</v>
      </c>
      <c r="Y873" s="983"/>
      <c r="Z873" s="1412" t="str">
        <f>IFERROR(VLOOKUP(C873, [6]條件!$A:$L, 3, 0), "")</f>
        <v/>
      </c>
      <c r="AA873" s="984" t="str">
        <f>IF(OR(L873={"改紡","檢修","了機","清車","FINAL","停機","SAMPLE","TEST","絲開發"}), L873, IFERROR(IF(C873="", "", (SUM(J873, N873, R873, V873)/3 * AG873) * IF(AND(AF873="S", AS873="雙"), 0.5, 1)), ""))</f>
        <v>停機</v>
      </c>
      <c r="AB873" s="1413" t="str">
        <f t="shared" si="152"/>
        <v/>
      </c>
      <c r="AC873" s="984" t="str">
        <f>IF(OR(L873={"改紡","檢修","了機","清車","FINAL","停機","SAMPLE","TEST"}), "", IFERROR(IF(C873="", "", AVERAGE(L873:M873, P873:Q873, T873:U873, X873:Y873)/100), ""))</f>
        <v/>
      </c>
      <c r="AD873" s="984" t="str">
        <f t="shared" si="150"/>
        <v/>
      </c>
      <c r="AE873" s="984" t="str">
        <f t="shared" si="153"/>
        <v/>
      </c>
      <c r="AF873" s="985" t="str">
        <f t="shared" si="145"/>
        <v>M</v>
      </c>
      <c r="AG873" s="1414">
        <v>1</v>
      </c>
      <c r="AH873" s="1002" t="s">
        <v>640</v>
      </c>
      <c r="AI873" s="1002" t="s">
        <v>640</v>
      </c>
      <c r="AJ873" s="986" t="s">
        <v>640</v>
      </c>
      <c r="AK873" s="986" t="s">
        <v>640</v>
      </c>
      <c r="AL873" s="1415"/>
      <c r="AM873" s="1323"/>
      <c r="AN873" s="1323"/>
      <c r="AO873" s="1323"/>
      <c r="AP873" s="1323"/>
      <c r="AQ873" s="1323"/>
      <c r="AR873" s="987"/>
      <c r="AS873" s="978" t="str">
        <f t="shared" si="146"/>
        <v>單</v>
      </c>
      <c r="AT873" s="978" t="str">
        <f t="shared" si="147"/>
        <v>全</v>
      </c>
      <c r="AU873" s="978" t="str">
        <f t="shared" si="148"/>
        <v/>
      </c>
      <c r="AV873" s="978" t="str">
        <f t="shared" si="149"/>
        <v/>
      </c>
    </row>
    <row r="874" spans="1:48">
      <c r="A874" s="975">
        <f t="shared" si="151"/>
        <v>46164</v>
      </c>
      <c r="B874" s="976" t="s">
        <v>248</v>
      </c>
      <c r="C874" s="988" t="s">
        <v>16185</v>
      </c>
      <c r="D874" s="1410"/>
      <c r="E874" s="977" t="str">
        <f>IFERROR(VLOOKUP(C874, [6]條件!$A:$L, 5, 0), "")</f>
        <v/>
      </c>
      <c r="F874" s="978" t="str">
        <f>IFERROR(VLOOKUP(C874, [6]條件!$A:$L, 6, 0), "")</f>
        <v/>
      </c>
      <c r="G874" s="1411" t="str">
        <f>IFERROR(VLOOKUP(C874, [6]條件!$A:$L, 7, 0), "")</f>
        <v/>
      </c>
      <c r="H874" s="978" t="str">
        <f>IF(ISNA(VLOOKUP(C874,[6]條件!$A$1:$K$932,11,0)),"",(VLOOKUP(C874,[6]條件!$A$1:$K$932,11,0)))</f>
        <v/>
      </c>
      <c r="I874" s="979" t="str">
        <f>IF(ISNA(VLOOKUP(C874,[6]條件!$A$1:$L$932,12,0)),"",(VLOOKUP(C874,[6]條件!$A$1:$L$932,12,0)))</f>
        <v/>
      </c>
      <c r="J874" s="982"/>
      <c r="K874" s="980"/>
      <c r="L874" s="981" t="s">
        <v>632</v>
      </c>
      <c r="M874" s="983"/>
      <c r="N874" s="982"/>
      <c r="O874" s="980"/>
      <c r="P874" s="981" t="s">
        <v>632</v>
      </c>
      <c r="Q874" s="983"/>
      <c r="R874" s="982"/>
      <c r="S874" s="980"/>
      <c r="T874" s="981" t="s">
        <v>632</v>
      </c>
      <c r="U874" s="983"/>
      <c r="V874" s="982"/>
      <c r="W874" s="980"/>
      <c r="X874" s="981" t="s">
        <v>632</v>
      </c>
      <c r="Y874" s="983"/>
      <c r="Z874" s="1412" t="str">
        <f>IFERROR(VLOOKUP(C874, [6]條件!$A:$L, 3, 0), "")</f>
        <v/>
      </c>
      <c r="AA874" s="984" t="str">
        <f>IF(OR(L874={"改紡","檢修","了機","清車","FINAL","停機","SAMPLE","TEST","絲開發"}), L874, IFERROR(IF(C874="", "", (SUM(J874, N874, R874, V874)/3 * AG874) * IF(AND(AF874="S", AS874="雙"), 0.5, 1)), ""))</f>
        <v>停機</v>
      </c>
      <c r="AB874" s="1413" t="str">
        <f t="shared" si="152"/>
        <v/>
      </c>
      <c r="AC874" s="984" t="str">
        <f>IF(OR(L874={"改紡","檢修","了機","清車","FINAL","停機","SAMPLE","TEST"}), "", IFERROR(IF(C874="", "", AVERAGE(L874:M874, P874:Q874, T874:U874, X874:Y874)/100), ""))</f>
        <v/>
      </c>
      <c r="AD874" s="984" t="str">
        <f t="shared" si="150"/>
        <v/>
      </c>
      <c r="AE874" s="984" t="str">
        <f t="shared" si="153"/>
        <v/>
      </c>
      <c r="AF874" s="985" t="str">
        <f t="shared" si="145"/>
        <v>M</v>
      </c>
      <c r="AG874" s="1414">
        <v>1</v>
      </c>
      <c r="AH874" s="1002" t="s">
        <v>640</v>
      </c>
      <c r="AI874" s="1002" t="s">
        <v>640</v>
      </c>
      <c r="AJ874" s="986" t="s">
        <v>640</v>
      </c>
      <c r="AK874" s="986" t="s">
        <v>640</v>
      </c>
      <c r="AL874" s="1415"/>
      <c r="AM874" s="1323"/>
      <c r="AN874" s="1323"/>
      <c r="AO874" s="1323"/>
      <c r="AP874" s="1323"/>
      <c r="AQ874" s="1323"/>
      <c r="AR874" s="987"/>
      <c r="AS874" s="978" t="str">
        <f t="shared" si="146"/>
        <v>單</v>
      </c>
      <c r="AT874" s="978" t="str">
        <f t="shared" si="147"/>
        <v>全</v>
      </c>
      <c r="AU874" s="978" t="str">
        <f t="shared" si="148"/>
        <v/>
      </c>
      <c r="AV874" s="978" t="str">
        <f t="shared" si="149"/>
        <v/>
      </c>
    </row>
    <row r="875" spans="1:48" ht="17.25" thickBot="1">
      <c r="A875" s="989">
        <f t="shared" si="151"/>
        <v>46164</v>
      </c>
      <c r="B875" s="990" t="s">
        <v>249</v>
      </c>
      <c r="C875" s="991" t="s">
        <v>16185</v>
      </c>
      <c r="D875" s="1425"/>
      <c r="E875" s="1169" t="str">
        <f>IFERROR(VLOOKUP(C875, [6]條件!$A:$L, 5, 0), "")</f>
        <v/>
      </c>
      <c r="F875" s="992" t="str">
        <f>IFERROR(VLOOKUP(C875, [6]條件!$A:$L, 6, 0), "")</f>
        <v/>
      </c>
      <c r="G875" s="1426" t="str">
        <f>IFERROR(VLOOKUP(C875, [6]條件!$A:$L, 7, 0), "")</f>
        <v/>
      </c>
      <c r="H875" s="992" t="str">
        <f>IF(ISNA(VLOOKUP(C875,[6]條件!$A$1:$K$932,11,0)),"",(VLOOKUP(C875,[6]條件!$A$1:$K$932,11,0)))</f>
        <v/>
      </c>
      <c r="I875" s="1170" t="str">
        <f>IF(ISNA(VLOOKUP(C875,[6]條件!$A$1:$L$932,12,0)),"",(VLOOKUP(C875,[6]條件!$A$1:$L$932,12,0)))</f>
        <v/>
      </c>
      <c r="J875" s="995"/>
      <c r="K875" s="993"/>
      <c r="L875" s="994" t="s">
        <v>632</v>
      </c>
      <c r="M875" s="996"/>
      <c r="N875" s="995"/>
      <c r="O875" s="993"/>
      <c r="P875" s="994" t="s">
        <v>632</v>
      </c>
      <c r="Q875" s="996"/>
      <c r="R875" s="995"/>
      <c r="S875" s="993"/>
      <c r="T875" s="994" t="s">
        <v>632</v>
      </c>
      <c r="U875" s="996"/>
      <c r="V875" s="995"/>
      <c r="W875" s="993"/>
      <c r="X875" s="994" t="s">
        <v>632</v>
      </c>
      <c r="Y875" s="996"/>
      <c r="Z875" s="1427" t="str">
        <f>IFERROR(VLOOKUP(C875, [6]條件!$A:$L, 3, 0), "")</f>
        <v/>
      </c>
      <c r="AA875" s="997" t="str">
        <f>IF(OR(L875={"改紡","檢修","了機","清車","FINAL","停機","SAMPLE","TEST","絲開發"}), L875, IFERROR(IF(C875="", "", (SUM(J875, N875, R875, V875)/3 * AG875) * IF(AND(AF875="S", AS875="雙"), 0.5, 1)), ""))</f>
        <v>停機</v>
      </c>
      <c r="AB875" s="1428" t="str">
        <f t="shared" si="152"/>
        <v/>
      </c>
      <c r="AC875" s="997" t="str">
        <f>IF(OR(L875={"改紡","檢修","了機","清車","FINAL","停機","SAMPLE","TEST"}), "", IFERROR(IF(C875="", "", AVERAGE(L875:M875, P875:Q875, T875:U875, X875:Y875)/100), ""))</f>
        <v/>
      </c>
      <c r="AD875" s="997" t="str">
        <f t="shared" si="150"/>
        <v/>
      </c>
      <c r="AE875" s="997" t="str">
        <f t="shared" si="153"/>
        <v/>
      </c>
      <c r="AF875" s="998" t="str">
        <f t="shared" si="145"/>
        <v>M</v>
      </c>
      <c r="AG875" s="1429">
        <v>1</v>
      </c>
      <c r="AH875" s="1171" t="s">
        <v>640</v>
      </c>
      <c r="AI875" s="1171" t="s">
        <v>640</v>
      </c>
      <c r="AJ875" s="999" t="s">
        <v>640</v>
      </c>
      <c r="AK875" s="999" t="s">
        <v>640</v>
      </c>
      <c r="AL875" s="1431"/>
      <c r="AM875" s="1325"/>
      <c r="AN875" s="1325"/>
      <c r="AO875" s="1325"/>
      <c r="AP875" s="1325"/>
      <c r="AQ875" s="1325"/>
      <c r="AR875" s="1000"/>
      <c r="AS875" s="992" t="str">
        <f t="shared" si="146"/>
        <v>單</v>
      </c>
      <c r="AT875" s="992" t="str">
        <f t="shared" si="147"/>
        <v>全</v>
      </c>
      <c r="AU875" s="992" t="str">
        <f t="shared" si="148"/>
        <v/>
      </c>
      <c r="AV875" s="992" t="str">
        <f t="shared" si="149"/>
        <v/>
      </c>
    </row>
    <row r="876" spans="1:48">
      <c r="A876" s="962">
        <v>46165</v>
      </c>
      <c r="B876" s="963" t="s">
        <v>212</v>
      </c>
      <c r="C876" s="963" t="s">
        <v>632</v>
      </c>
      <c r="D876" s="1403"/>
      <c r="E876" s="964" t="str">
        <f>IFERROR(VLOOKUP(C876, [6]條件!$A:$L, 5, 0), "")</f>
        <v/>
      </c>
      <c r="F876" s="965" t="str">
        <f>IFERROR(VLOOKUP(C876, [6]條件!$A:$L, 6, 0), "")</f>
        <v/>
      </c>
      <c r="G876" s="1404" t="str">
        <f>IFERROR(VLOOKUP(C876, [6]條件!$A:$L, 7, 0), "")</f>
        <v/>
      </c>
      <c r="H876" s="965" t="str">
        <f>IF(ISNA(VLOOKUP(C876,[6]條件!$A$1:$K$932,11,0)),"",(VLOOKUP(C876,[6]條件!$A$1:$K$932,11,0)))</f>
        <v/>
      </c>
      <c r="I876" s="966" t="str">
        <f>IF(ISNA(VLOOKUP(C876,[6]條件!$A$1:$L$932,12,0)),"",(VLOOKUP(C876,[6]條件!$A$1:$L$932,12,0)))</f>
        <v/>
      </c>
      <c r="J876" s="969"/>
      <c r="K876" s="967"/>
      <c r="L876" s="981" t="s">
        <v>632</v>
      </c>
      <c r="M876" s="970"/>
      <c r="N876" s="969"/>
      <c r="O876" s="967"/>
      <c r="P876" s="981" t="s">
        <v>632</v>
      </c>
      <c r="Q876" s="970"/>
      <c r="R876" s="969"/>
      <c r="S876" s="967"/>
      <c r="T876" s="981" t="s">
        <v>632</v>
      </c>
      <c r="U876" s="970"/>
      <c r="V876" s="969"/>
      <c r="W876" s="967"/>
      <c r="X876" s="981" t="s">
        <v>632</v>
      </c>
      <c r="Y876" s="970"/>
      <c r="Z876" s="1405" t="str">
        <f>IFERROR(VLOOKUP(C876, [6]條件!$A:$L, 3, 0), "")</f>
        <v/>
      </c>
      <c r="AA876" s="971" t="str">
        <f>IF(OR(L876={"改紡","檢修","了機","清車","FINAL","停機","SAMPLE","TEST","絲開發"}), L876, IFERROR(IF(C876="", "", (SUM(J876, N876, R876, V876)/3 * AG876) * IF(AND(AF876="S", AS876="雙"), 0.5, 1)), ""))</f>
        <v>停機</v>
      </c>
      <c r="AB876" s="1406" t="str">
        <f t="shared" si="152"/>
        <v/>
      </c>
      <c r="AC876" s="971" t="str">
        <f>IF(OR(L876={"改紡","檢修","了機","清車","FINAL","停機","SAMPLE","TEST"}), "", IFERROR(IF(C876="", "", AVERAGE(L876:M876, P876:Q876, T876:U876, X876:Y876)/100), ""))</f>
        <v/>
      </c>
      <c r="AD876" s="971" t="str">
        <f t="shared" si="150"/>
        <v/>
      </c>
      <c r="AE876" s="971" t="str">
        <f t="shared" si="153"/>
        <v/>
      </c>
      <c r="AF876" s="972" t="str">
        <f t="shared" si="145"/>
        <v>A</v>
      </c>
      <c r="AG876" s="1407">
        <v>1</v>
      </c>
      <c r="AH876" s="1001" t="s">
        <v>640</v>
      </c>
      <c r="AI876" s="1001" t="s">
        <v>640</v>
      </c>
      <c r="AJ876" s="1441" t="s">
        <v>640</v>
      </c>
      <c r="AK876" s="1441" t="s">
        <v>640</v>
      </c>
      <c r="AL876" s="1409"/>
      <c r="AM876" s="1322"/>
      <c r="AN876" s="1322"/>
      <c r="AO876" s="1322"/>
      <c r="AP876" s="1322"/>
      <c r="AQ876" s="1322"/>
      <c r="AR876" s="973"/>
      <c r="AS876" s="965" t="str">
        <f t="shared" si="146"/>
        <v>單</v>
      </c>
      <c r="AT876" s="965" t="str">
        <f t="shared" si="147"/>
        <v>全</v>
      </c>
      <c r="AU876" s="965" t="str">
        <f t="shared" si="148"/>
        <v/>
      </c>
      <c r="AV876" s="965" t="str">
        <f t="shared" si="149"/>
        <v/>
      </c>
    </row>
    <row r="877" spans="1:48">
      <c r="A877" s="975">
        <f t="shared" ref="A877:A940" si="154">A876</f>
        <v>46165</v>
      </c>
      <c r="B877" s="976" t="s">
        <v>214</v>
      </c>
      <c r="C877" s="976" t="s">
        <v>16708</v>
      </c>
      <c r="D877" s="1410"/>
      <c r="E877" s="977" t="str">
        <f>IFERROR(VLOOKUP(C877, [6]條件!$A:$L, 5, 0), "")</f>
        <v>75/36SDR</v>
      </c>
      <c r="F877" s="978" t="str">
        <f>IFERROR(VLOOKUP(C877, [6]條件!$A:$L, 6, 0), "")</f>
        <v>FP81386R</v>
      </c>
      <c r="G877" s="1411">
        <f>IFERROR(VLOOKUP(C877, [6]條件!$A:$L, 7, 0), "")</f>
        <v>780</v>
      </c>
      <c r="H877" s="978" t="str">
        <f>IF(ISNA(VLOOKUP(C877,[6]條件!$A$1:$K$932,11,0)),"",(VLOOKUP(C877,[6]條件!$A$1:$K$932,11,0)))</f>
        <v>綠底白點</v>
      </c>
      <c r="I877" s="979">
        <f>IF(ISNA(VLOOKUP(C877,[6]條件!$A$1:$L$932,12,0)),"",(VLOOKUP(C877,[6]條件!$A$1:$L$932,12,0)))</f>
        <v>5</v>
      </c>
      <c r="J877" s="982"/>
      <c r="K877" s="980"/>
      <c r="L877" s="981" t="s">
        <v>632</v>
      </c>
      <c r="M877" s="983" t="s">
        <v>15855</v>
      </c>
      <c r="N877" s="982"/>
      <c r="O877" s="980"/>
      <c r="P877" s="981" t="s">
        <v>632</v>
      </c>
      <c r="Q877" s="983"/>
      <c r="R877" s="982"/>
      <c r="S877" s="980"/>
      <c r="T877" s="981" t="s">
        <v>632</v>
      </c>
      <c r="U877" s="983"/>
      <c r="V877" s="982"/>
      <c r="W877" s="980"/>
      <c r="X877" s="981" t="s">
        <v>632</v>
      </c>
      <c r="Y877" s="983"/>
      <c r="Z877" s="1412">
        <f>IFERROR(VLOOKUP(C877, [6]條件!$A:$L, 3, 0), "")</f>
        <v>1.7777777777777777</v>
      </c>
      <c r="AA877" s="984" t="str">
        <f>IF(OR(L877={"改紡","檢修","了機","清車","FINAL","停機","SAMPLE","TEST","絲開發"}), L877, IFERROR(IF(C877="", "", (SUM(J877, N877, R877, V877)/3 * AG877) * IF(AND(AF877="S", AS877="雙"), 0.5, 1)), ""))</f>
        <v>停機</v>
      </c>
      <c r="AB877" s="1413" t="str">
        <f t="shared" si="152"/>
        <v/>
      </c>
      <c r="AC877" s="984" t="str">
        <f>IF(OR(L877={"改紡","檢修","了機","清車","FINAL","停機","SAMPLE","TEST"}), "", IFERROR(IF(C877="", "", AVERAGE(L877:M877, P877:Q877, T877:U877, X877:Y877)/100), ""))</f>
        <v/>
      </c>
      <c r="AD877" s="984" t="str">
        <f t="shared" si="150"/>
        <v/>
      </c>
      <c r="AE877" s="984" t="str">
        <f t="shared" si="153"/>
        <v/>
      </c>
      <c r="AF877" s="985" t="str">
        <f t="shared" si="145"/>
        <v>A</v>
      </c>
      <c r="AG877" s="1414">
        <v>1</v>
      </c>
      <c r="AH877" s="1002" t="s">
        <v>16016</v>
      </c>
      <c r="AI877" s="1002" t="s">
        <v>15997</v>
      </c>
      <c r="AJ877" s="986" t="s">
        <v>15994</v>
      </c>
      <c r="AK877" s="986" t="s">
        <v>15994</v>
      </c>
      <c r="AL877" s="1415">
        <v>50</v>
      </c>
      <c r="AM877" s="1323">
        <v>46155</v>
      </c>
      <c r="AN877" s="1323">
        <v>46156</v>
      </c>
      <c r="AO877" s="1323">
        <v>46157</v>
      </c>
      <c r="AP877" s="1323"/>
      <c r="AQ877" s="1323"/>
      <c r="AR877" s="987"/>
      <c r="AS877" s="978" t="str">
        <f t="shared" si="146"/>
        <v>單</v>
      </c>
      <c r="AT877" s="978" t="str">
        <f t="shared" si="147"/>
        <v>全</v>
      </c>
      <c r="AU877" s="978">
        <f t="shared" si="148"/>
        <v>75</v>
      </c>
      <c r="AV877" s="978" t="str">
        <f t="shared" si="149"/>
        <v/>
      </c>
    </row>
    <row r="878" spans="1:48">
      <c r="A878" s="975">
        <f t="shared" si="154"/>
        <v>46165</v>
      </c>
      <c r="B878" s="976" t="s">
        <v>215</v>
      </c>
      <c r="C878" s="976" t="s">
        <v>16746</v>
      </c>
      <c r="D878" s="1410" t="s">
        <v>633</v>
      </c>
      <c r="E878" s="977" t="str">
        <f>IFERROR(VLOOKUP(C878, [6]條件!$A:$L, 5, 0), "")</f>
        <v>75/24/2SDr</v>
      </c>
      <c r="F878" s="978" t="str">
        <f>IFERROR(VLOOKUP(C878, [6]條件!$A:$L, 6, 0), "")</f>
        <v>FP81391R×2</v>
      </c>
      <c r="G878" s="1411">
        <f>IFERROR(VLOOKUP(C878, [6]條件!$A:$L, 7, 0), "")</f>
        <v>700</v>
      </c>
      <c r="H878" s="978" t="str">
        <f>IF(ISNA(VLOOKUP(C878,[6]條件!$A$1:$K$932,11,0)),"",(VLOOKUP(C878,[6]條件!$A$1:$K$932,11,0)))</f>
        <v>紅底白點</v>
      </c>
      <c r="I878" s="979">
        <f>IF(ISNA(VLOOKUP(C878,[6]條件!$A$1:$L$932,12,0)),"",(VLOOKUP(C878,[6]條件!$A$1:$L$932,12,0)))</f>
        <v>5</v>
      </c>
      <c r="J878" s="982"/>
      <c r="K878" s="980"/>
      <c r="L878" s="981" t="s">
        <v>632</v>
      </c>
      <c r="M878" s="983" t="s">
        <v>127</v>
      </c>
      <c r="N878" s="982"/>
      <c r="O878" s="980"/>
      <c r="P878" s="981" t="s">
        <v>632</v>
      </c>
      <c r="Q878" s="983" t="s">
        <v>127</v>
      </c>
      <c r="R878" s="982"/>
      <c r="S878" s="980"/>
      <c r="T878" s="981" t="s">
        <v>632</v>
      </c>
      <c r="U878" s="983" t="s">
        <v>127</v>
      </c>
      <c r="V878" s="982"/>
      <c r="W878" s="980"/>
      <c r="X878" s="981" t="s">
        <v>632</v>
      </c>
      <c r="Y878" s="983" t="s">
        <v>127</v>
      </c>
      <c r="Z878" s="1412">
        <f>IFERROR(VLOOKUP(C878, [6]條件!$A:$L, 3, 0), "")</f>
        <v>3.2653061224489797</v>
      </c>
      <c r="AA878" s="984" t="str">
        <f>IF(OR(L878={"改紡","檢修","了機","清車","FINAL","停機","SAMPLE","TEST","絲開發"}), L878, IFERROR(IF(C878="", "", (SUM(J878, N878, R878, V878)/3 * AG878) * IF(AND(AF878="S", AS878="雙"), 0.5, 1)), ""))</f>
        <v>停機</v>
      </c>
      <c r="AB878" s="1413" t="str">
        <f t="shared" si="152"/>
        <v/>
      </c>
      <c r="AC878" s="984" t="str">
        <f>IF(OR(L878={"改紡","檢修","了機","清車","FINAL","停機","SAMPLE","TEST"}), "", IFERROR(IF(C878="", "", AVERAGE(L878:M878, P878:Q878, T878:U878, X878:Y878)/100), ""))</f>
        <v/>
      </c>
      <c r="AD878" s="984" t="str">
        <f t="shared" si="150"/>
        <v/>
      </c>
      <c r="AE878" s="984" t="str">
        <f t="shared" si="153"/>
        <v/>
      </c>
      <c r="AF878" s="985" t="str">
        <f t="shared" si="145"/>
        <v>A</v>
      </c>
      <c r="AG878" s="1414">
        <v>1</v>
      </c>
      <c r="AH878" s="1002" t="s">
        <v>16016</v>
      </c>
      <c r="AI878" s="1002" t="s">
        <v>15997</v>
      </c>
      <c r="AJ878" s="986" t="s">
        <v>15994</v>
      </c>
      <c r="AK878" s="986" t="s">
        <v>15994</v>
      </c>
      <c r="AL878" s="1415">
        <v>53</v>
      </c>
      <c r="AM878" s="1323">
        <v>46120</v>
      </c>
      <c r="AN878" s="1323">
        <v>46121</v>
      </c>
      <c r="AO878" s="1323"/>
      <c r="AP878" s="1323"/>
      <c r="AQ878" s="1323"/>
      <c r="AR878" s="987"/>
      <c r="AS878" s="978" t="str">
        <f t="shared" si="146"/>
        <v>雙</v>
      </c>
      <c r="AT878" s="978" t="str">
        <f t="shared" si="147"/>
        <v>半</v>
      </c>
      <c r="AU878" s="978">
        <f t="shared" si="148"/>
        <v>75</v>
      </c>
      <c r="AV878" s="978" t="str">
        <f t="shared" si="149"/>
        <v/>
      </c>
    </row>
    <row r="879" spans="1:48">
      <c r="A879" s="975">
        <f t="shared" si="154"/>
        <v>46165</v>
      </c>
      <c r="B879" s="976" t="s">
        <v>216</v>
      </c>
      <c r="C879" s="976" t="s">
        <v>632</v>
      </c>
      <c r="D879" s="1410"/>
      <c r="E879" s="977" t="str">
        <f>IFERROR(VLOOKUP(C879, [6]條件!$A:$L, 5, 0), "")</f>
        <v/>
      </c>
      <c r="F879" s="978" t="str">
        <f>IFERROR(VLOOKUP(C879, [6]條件!$A:$L, 6, 0), "")</f>
        <v/>
      </c>
      <c r="G879" s="1411" t="str">
        <f>IFERROR(VLOOKUP(C879, [6]條件!$A:$L, 7, 0), "")</f>
        <v/>
      </c>
      <c r="H879" s="978" t="str">
        <f>IF(ISNA(VLOOKUP(C879,[6]條件!$A$1:$K$932,11,0)),"",(VLOOKUP(C879,[6]條件!$A$1:$K$932,11,0)))</f>
        <v/>
      </c>
      <c r="I879" s="979" t="str">
        <f>IF(ISNA(VLOOKUP(C879,[6]條件!$A$1:$L$932,12,0)),"",(VLOOKUP(C879,[6]條件!$A$1:$L$932,12,0)))</f>
        <v/>
      </c>
      <c r="J879" s="982"/>
      <c r="K879" s="980"/>
      <c r="L879" s="981" t="s">
        <v>632</v>
      </c>
      <c r="M879" s="983"/>
      <c r="N879" s="982"/>
      <c r="O879" s="980"/>
      <c r="P879" s="981" t="s">
        <v>632</v>
      </c>
      <c r="Q879" s="983"/>
      <c r="R879" s="982"/>
      <c r="S879" s="980"/>
      <c r="T879" s="981" t="s">
        <v>632</v>
      </c>
      <c r="U879" s="983"/>
      <c r="V879" s="982"/>
      <c r="W879" s="980"/>
      <c r="X879" s="981" t="s">
        <v>632</v>
      </c>
      <c r="Y879" s="983"/>
      <c r="Z879" s="1412" t="str">
        <f>IFERROR(VLOOKUP(C879, [6]條件!$A:$L, 3, 0), "")</f>
        <v/>
      </c>
      <c r="AA879" s="984" t="str">
        <f>IF(OR(L879={"改紡","檢修","了機","清車","FINAL","停機","SAMPLE","TEST","絲開發"}), L879, IFERROR(IF(C879="", "", (SUM(J879, N879, R879, V879)/3 * AG879) * IF(AND(AF879="S", AS879="雙"), 0.5, 1)), ""))</f>
        <v>停機</v>
      </c>
      <c r="AB879" s="1413" t="str">
        <f t="shared" si="152"/>
        <v/>
      </c>
      <c r="AC879" s="984" t="str">
        <f>IF(OR(L879={"改紡","檢修","了機","清車","FINAL","停機","SAMPLE","TEST"}), "", IFERROR(IF(C879="", "", AVERAGE(L879:M879, P879:Q879, T879:U879, X879:Y879)/100), ""))</f>
        <v/>
      </c>
      <c r="AD879" s="984" t="str">
        <f t="shared" si="150"/>
        <v/>
      </c>
      <c r="AE879" s="984" t="str">
        <f t="shared" si="153"/>
        <v/>
      </c>
      <c r="AF879" s="985" t="str">
        <f t="shared" si="145"/>
        <v>A</v>
      </c>
      <c r="AG879" s="1414">
        <v>2</v>
      </c>
      <c r="AH879" s="1002" t="s">
        <v>16011</v>
      </c>
      <c r="AI879" s="1002" t="s">
        <v>640</v>
      </c>
      <c r="AJ879" s="1002" t="s">
        <v>16011</v>
      </c>
      <c r="AK879" s="1002" t="s">
        <v>16011</v>
      </c>
      <c r="AL879" s="1415"/>
      <c r="AM879" s="1323"/>
      <c r="AN879" s="1323"/>
      <c r="AO879" s="1323"/>
      <c r="AP879" s="1323"/>
      <c r="AQ879" s="1323"/>
      <c r="AR879" s="987"/>
      <c r="AS879" s="978" t="str">
        <f t="shared" si="146"/>
        <v>單</v>
      </c>
      <c r="AT879" s="978" t="str">
        <f t="shared" si="147"/>
        <v>半</v>
      </c>
      <c r="AU879" s="978" t="str">
        <f t="shared" si="148"/>
        <v/>
      </c>
      <c r="AV879" s="978" t="str">
        <f t="shared" si="149"/>
        <v/>
      </c>
    </row>
    <row r="880" spans="1:48">
      <c r="A880" s="975">
        <f t="shared" si="154"/>
        <v>46165</v>
      </c>
      <c r="B880" s="976" t="s">
        <v>217</v>
      </c>
      <c r="C880" s="976" t="s">
        <v>16197</v>
      </c>
      <c r="D880" s="1410"/>
      <c r="E880" s="977" t="str">
        <f>IFERROR(VLOOKUP(C880, [6]條件!$A:$L, 5, 0), "")</f>
        <v>75/36HC</v>
      </c>
      <c r="F880" s="978" t="str">
        <f>IFERROR(VLOOKUP(C880, [6]條件!$A:$L, 6, 0), "")</f>
        <v>FP81857R</v>
      </c>
      <c r="G880" s="1411">
        <f>IFERROR(VLOOKUP(C880, [6]條件!$A:$L, 7, 0), "")</f>
        <v>600</v>
      </c>
      <c r="H880" s="978" t="str">
        <f>IF(ISNA(VLOOKUP(C880,[6]條件!$A$1:$K$932,11,0)),"",(VLOOKUP(C880,[6]條件!$A$1:$K$932,11,0)))</f>
        <v>白底綠方塊</v>
      </c>
      <c r="I880" s="979">
        <f>IF(ISNA(VLOOKUP(C880,[6]條件!$A$1:$L$932,12,0)),"",(VLOOKUP(C880,[6]條件!$A$1:$L$932,12,0)))</f>
        <v>4</v>
      </c>
      <c r="J880" s="982"/>
      <c r="K880" s="980"/>
      <c r="L880" s="981" t="s">
        <v>127</v>
      </c>
      <c r="M880" s="983" t="s">
        <v>632</v>
      </c>
      <c r="N880" s="982"/>
      <c r="O880" s="980"/>
      <c r="P880" s="981" t="s">
        <v>127</v>
      </c>
      <c r="Q880" s="983" t="s">
        <v>632</v>
      </c>
      <c r="R880" s="982"/>
      <c r="S880" s="980"/>
      <c r="T880" s="981" t="s">
        <v>127</v>
      </c>
      <c r="U880" s="983" t="s">
        <v>632</v>
      </c>
      <c r="V880" s="982"/>
      <c r="W880" s="980"/>
      <c r="X880" s="981" t="s">
        <v>127</v>
      </c>
      <c r="Y880" s="983" t="s">
        <v>632</v>
      </c>
      <c r="Z880" s="1412">
        <f>IFERROR(VLOOKUP(C880, [6]條件!$A:$L, 3, 0), "")</f>
        <v>1.7496962332928312</v>
      </c>
      <c r="AA880" s="984" t="str">
        <f>IF(OR(L880={"改紡","檢修","了機","清車","FINAL","停機","SAMPLE","TEST","絲開發"}), L880, IFERROR(IF(C880="", "", (SUM(J880, N880, R880, V880)/3 * AG880) * IF(AND(AF880="S", AS880="雙"), 0.5, 1)), ""))</f>
        <v>了機</v>
      </c>
      <c r="AB880" s="1413" t="str">
        <f t="shared" si="152"/>
        <v/>
      </c>
      <c r="AC880" s="984" t="str">
        <f>IF(OR(L880={"改紡","檢修","了機","清車","FINAL","停機","SAMPLE","TEST"}), "", IFERROR(IF(C880="", "", AVERAGE(L880:M880, P880:Q880, T880:U880, X880:Y880)/100), ""))</f>
        <v/>
      </c>
      <c r="AD880" s="984" t="str">
        <f t="shared" si="150"/>
        <v/>
      </c>
      <c r="AE880" s="984" t="str">
        <f t="shared" si="153"/>
        <v/>
      </c>
      <c r="AF880" s="985" t="str">
        <f t="shared" si="145"/>
        <v>A</v>
      </c>
      <c r="AG880" s="1414">
        <v>1</v>
      </c>
      <c r="AH880" s="1002" t="s">
        <v>16016</v>
      </c>
      <c r="AI880" s="1002" t="s">
        <v>15997</v>
      </c>
      <c r="AJ880" s="986" t="s">
        <v>15994</v>
      </c>
      <c r="AK880" s="986" t="s">
        <v>15994</v>
      </c>
      <c r="AL880" s="1415">
        <v>54</v>
      </c>
      <c r="AM880" s="1323">
        <v>45935</v>
      </c>
      <c r="AN880" s="1323">
        <v>45936</v>
      </c>
      <c r="AO880" s="1323">
        <v>45939</v>
      </c>
      <c r="AP880" s="1323"/>
      <c r="AQ880" s="1323"/>
      <c r="AR880" s="987"/>
      <c r="AS880" s="978" t="str">
        <f t="shared" si="146"/>
        <v>單</v>
      </c>
      <c r="AT880" s="978" t="str">
        <f t="shared" si="147"/>
        <v>全</v>
      </c>
      <c r="AU880" s="978">
        <f t="shared" si="148"/>
        <v>75</v>
      </c>
      <c r="AV880" s="978" t="str">
        <f t="shared" si="149"/>
        <v/>
      </c>
    </row>
    <row r="881" spans="1:48">
      <c r="A881" s="975">
        <f t="shared" si="154"/>
        <v>46165</v>
      </c>
      <c r="B881" s="976" t="s">
        <v>218</v>
      </c>
      <c r="C881" s="976" t="s">
        <v>632</v>
      </c>
      <c r="D881" s="1410"/>
      <c r="E881" s="977" t="str">
        <f>IFERROR(VLOOKUP(C881, [6]條件!$A:$L, 5, 0), "")</f>
        <v/>
      </c>
      <c r="F881" s="978" t="str">
        <f>IFERROR(VLOOKUP(C881, [6]條件!$A:$L, 6, 0), "")</f>
        <v/>
      </c>
      <c r="G881" s="1411" t="str">
        <f>IFERROR(VLOOKUP(C881, [6]條件!$A:$L, 7, 0), "")</f>
        <v/>
      </c>
      <c r="H881" s="978" t="str">
        <f>IF(ISNA(VLOOKUP(C881,[6]條件!$A$1:$K$932,11,0)),"",(VLOOKUP(C881,[6]條件!$A$1:$K$932,11,0)))</f>
        <v/>
      </c>
      <c r="I881" s="979" t="str">
        <f>IF(ISNA(VLOOKUP(C881,[6]條件!$A$1:$L$932,12,0)),"",(VLOOKUP(C881,[6]條件!$A$1:$L$932,12,0)))</f>
        <v/>
      </c>
      <c r="J881" s="982"/>
      <c r="K881" s="980"/>
      <c r="L881" s="981" t="s">
        <v>632</v>
      </c>
      <c r="M881" s="983"/>
      <c r="N881" s="982"/>
      <c r="O881" s="980"/>
      <c r="P881" s="981" t="s">
        <v>632</v>
      </c>
      <c r="Q881" s="983"/>
      <c r="R881" s="982"/>
      <c r="S881" s="980"/>
      <c r="T881" s="981" t="s">
        <v>632</v>
      </c>
      <c r="U881" s="983"/>
      <c r="V881" s="982"/>
      <c r="W881" s="980"/>
      <c r="X881" s="981" t="s">
        <v>632</v>
      </c>
      <c r="Y881" s="983"/>
      <c r="Z881" s="1412" t="str">
        <f>IFERROR(VLOOKUP(C881, [6]條件!$A:$L, 3, 0), "")</f>
        <v/>
      </c>
      <c r="AA881" s="984" t="str">
        <f>IF(OR(L881={"改紡","檢修","了機","清車","FINAL","停機","SAMPLE","TEST","絲開發"}), L881, IFERROR(IF(C881="", "", (SUM(J881, N881, R881, V881)/3 * AG881) * IF(AND(AF881="S", AS881="雙"), 0.5, 1)), ""))</f>
        <v>停機</v>
      </c>
      <c r="AB881" s="1413" t="str">
        <f t="shared" si="152"/>
        <v/>
      </c>
      <c r="AC881" s="984" t="str">
        <f>IF(OR(L881={"改紡","檢修","了機","清車","FINAL","停機","SAMPLE","TEST"}), "", IFERROR(IF(C881="", "", AVERAGE(L881:M881, P881:Q881, T881:U881, X881:Y881)/100), ""))</f>
        <v/>
      </c>
      <c r="AD881" s="984" t="str">
        <f t="shared" si="150"/>
        <v/>
      </c>
      <c r="AE881" s="984" t="str">
        <f t="shared" si="153"/>
        <v/>
      </c>
      <c r="AF881" s="985" t="str">
        <f t="shared" si="145"/>
        <v>A</v>
      </c>
      <c r="AG881" s="1414">
        <v>1</v>
      </c>
      <c r="AH881" s="1002" t="s">
        <v>640</v>
      </c>
      <c r="AI881" s="1002" t="s">
        <v>640</v>
      </c>
      <c r="AJ881" s="986" t="s">
        <v>640</v>
      </c>
      <c r="AK881" s="986" t="s">
        <v>640</v>
      </c>
      <c r="AL881" s="1415"/>
      <c r="AM881" s="1323"/>
      <c r="AN881" s="1323"/>
      <c r="AO881" s="1323"/>
      <c r="AP881" s="1323"/>
      <c r="AQ881" s="1323"/>
      <c r="AR881" s="987"/>
      <c r="AS881" s="978" t="str">
        <f t="shared" si="146"/>
        <v>單</v>
      </c>
      <c r="AT881" s="978" t="str">
        <f t="shared" si="147"/>
        <v>全</v>
      </c>
      <c r="AU881" s="978" t="str">
        <f t="shared" si="148"/>
        <v/>
      </c>
      <c r="AV881" s="978" t="str">
        <f t="shared" si="149"/>
        <v/>
      </c>
    </row>
    <row r="882" spans="1:48">
      <c r="A882" s="975">
        <f t="shared" si="154"/>
        <v>46165</v>
      </c>
      <c r="B882" s="976" t="s">
        <v>219</v>
      </c>
      <c r="C882" s="976" t="s">
        <v>16745</v>
      </c>
      <c r="D882" s="1410" t="s">
        <v>16748</v>
      </c>
      <c r="E882" s="977" t="str">
        <f>IFERROR(VLOOKUP(C882, [6]條件!$A:$L, 5, 0), "")</f>
        <v>50/72BSD3</v>
      </c>
      <c r="F882" s="978" t="str">
        <f>IFERROR(VLOOKUP(C882, [6]條件!$A:$L, 6, 0), "")</f>
        <v>FP80141</v>
      </c>
      <c r="G882" s="1411">
        <f>IFERROR(VLOOKUP(C882, [6]條件!$A:$L, 7, 0), "")</f>
        <v>630</v>
      </c>
      <c r="H882" s="978" t="str">
        <f>IF(ISNA(VLOOKUP(C882,[6]條件!$A$1:$K$932,11,0)),"",(VLOOKUP(C882,[6]條件!$A$1:$K$932,11,0)))</f>
        <v>洋綠色</v>
      </c>
      <c r="I882" s="979">
        <f>IF(ISNA(VLOOKUP(C882,[6]條件!$A$1:$L$932,12,0)),"",(VLOOKUP(C882,[6]條件!$A$1:$L$932,12,0)))</f>
        <v>2</v>
      </c>
      <c r="J882" s="982">
        <v>13</v>
      </c>
      <c r="K882" s="980">
        <v>0</v>
      </c>
      <c r="L882" s="981">
        <v>9178</v>
      </c>
      <c r="M882" s="983">
        <v>9811</v>
      </c>
      <c r="N882" s="982">
        <v>14</v>
      </c>
      <c r="O882" s="980">
        <v>0</v>
      </c>
      <c r="P882" s="981">
        <v>9218</v>
      </c>
      <c r="Q882" s="983">
        <v>9800</v>
      </c>
      <c r="R882" s="982">
        <v>6</v>
      </c>
      <c r="S882" s="980">
        <v>0</v>
      </c>
      <c r="T882" s="981">
        <v>9246</v>
      </c>
      <c r="U882" s="983">
        <v>9756</v>
      </c>
      <c r="V882" s="982">
        <v>10</v>
      </c>
      <c r="W882" s="980">
        <v>0</v>
      </c>
      <c r="X882" s="981">
        <v>9065</v>
      </c>
      <c r="Y882" s="983">
        <v>9687</v>
      </c>
      <c r="Z882" s="1412">
        <f>IFERROR(VLOOKUP(C882, [6]條件!$A:$L, 3, 0), "")</f>
        <v>2.4615384615384617</v>
      </c>
      <c r="AA882" s="984">
        <f>IF(OR(L882={"改紡","檢修","了機","清車","FINAL","停機","SAMPLE","TEST","絲開發"}), L882, IFERROR(IF(C882="", "", (SUM(J882, N882, R882, V882)/3 * AG882) * IF(AND(AF882="S", AS882="雙"), 0.5, 1)), ""))</f>
        <v>14.333333333333334</v>
      </c>
      <c r="AB882" s="1413">
        <f t="shared" si="152"/>
        <v>1</v>
      </c>
      <c r="AC882" s="984">
        <f>IF(OR(L882={"改紡","檢修","了機","清車","FINAL","停機","SAMPLE","TEST"}), "", IFERROR(IF(C882="", "", AVERAGE(L882:M882, P882:Q882, T882:U882, X882:Y882)/100), ""))</f>
        <v>94.701250000000002</v>
      </c>
      <c r="AD882" s="984">
        <f t="shared" si="150"/>
        <v>1.7916666666666667</v>
      </c>
      <c r="AE882" s="984">
        <f t="shared" si="153"/>
        <v>1.7916666666666667</v>
      </c>
      <c r="AF882" s="985" t="str">
        <f t="shared" si="145"/>
        <v>A</v>
      </c>
      <c r="AG882" s="1414">
        <v>1</v>
      </c>
      <c r="AH882" s="1002" t="s">
        <v>16021</v>
      </c>
      <c r="AI882" s="1002" t="s">
        <v>15997</v>
      </c>
      <c r="AJ882" s="986" t="s">
        <v>16005</v>
      </c>
      <c r="AK882" s="986" t="s">
        <v>16005</v>
      </c>
      <c r="AL882" s="1415">
        <v>57</v>
      </c>
      <c r="AM882" s="1324">
        <v>46091</v>
      </c>
      <c r="AN882" s="1323">
        <v>46092</v>
      </c>
      <c r="AO882" s="1323"/>
      <c r="AP882" s="1323"/>
      <c r="AQ882" s="1323"/>
      <c r="AR882" s="987"/>
      <c r="AS882" s="978" t="str">
        <f t="shared" si="146"/>
        <v>單</v>
      </c>
      <c r="AT882" s="978" t="str">
        <f t="shared" si="147"/>
        <v>全</v>
      </c>
      <c r="AU882" s="978">
        <f t="shared" si="148"/>
        <v>50</v>
      </c>
      <c r="AV882" s="978">
        <f t="shared" si="149"/>
        <v>1.0309556879999999</v>
      </c>
    </row>
    <row r="883" spans="1:48">
      <c r="A883" s="975">
        <f t="shared" si="154"/>
        <v>46165</v>
      </c>
      <c r="B883" s="976" t="s">
        <v>220</v>
      </c>
      <c r="C883" s="976" t="s">
        <v>632</v>
      </c>
      <c r="D883" s="1410"/>
      <c r="E883" s="977" t="str">
        <f>IFERROR(VLOOKUP(C883, [6]條件!$A:$L, 5, 0), "")</f>
        <v/>
      </c>
      <c r="F883" s="978" t="str">
        <f>IFERROR(VLOOKUP(C883, [6]條件!$A:$L, 6, 0), "")</f>
        <v/>
      </c>
      <c r="G883" s="1411" t="str">
        <f>IFERROR(VLOOKUP(C883, [6]條件!$A:$L, 7, 0), "")</f>
        <v/>
      </c>
      <c r="H883" s="978" t="str">
        <f>IF(ISNA(VLOOKUP(C883,[6]條件!$A$1:$K$932,11,0)),"",(VLOOKUP(C883,[6]條件!$A$1:$K$932,11,0)))</f>
        <v/>
      </c>
      <c r="I883" s="979" t="str">
        <f>IF(ISNA(VLOOKUP(C883,[6]條件!$A$1:$L$932,12,0)),"",(VLOOKUP(C883,[6]條件!$A$1:$L$932,12,0)))</f>
        <v/>
      </c>
      <c r="J883" s="982"/>
      <c r="K883" s="980"/>
      <c r="L883" s="981" t="s">
        <v>632</v>
      </c>
      <c r="M883" s="983"/>
      <c r="N883" s="982"/>
      <c r="O883" s="980"/>
      <c r="P883" s="981" t="s">
        <v>632</v>
      </c>
      <c r="Q883" s="983"/>
      <c r="R883" s="982"/>
      <c r="S883" s="980"/>
      <c r="T883" s="981" t="s">
        <v>632</v>
      </c>
      <c r="U883" s="983"/>
      <c r="V883" s="982"/>
      <c r="W883" s="980"/>
      <c r="X883" s="981" t="s">
        <v>632</v>
      </c>
      <c r="Y883" s="983"/>
      <c r="Z883" s="1412" t="str">
        <f>IFERROR(VLOOKUP(C883, [6]條件!$A:$L, 3, 0), "")</f>
        <v/>
      </c>
      <c r="AA883" s="984" t="str">
        <f>IF(OR(L883={"改紡","檢修","了機","清車","FINAL","停機","SAMPLE","TEST","絲開發"}), L883, IFERROR(IF(C883="", "", (SUM(J883, N883, R883, V883)/3 * AG883) * IF(AND(AF883="S", AS883="雙"), 0.5, 1)), ""))</f>
        <v>停機</v>
      </c>
      <c r="AB883" s="1413" t="str">
        <f t="shared" si="152"/>
        <v/>
      </c>
      <c r="AC883" s="984" t="str">
        <f>IF(OR(L883={"改紡","檢修","了機","清車","FINAL","停機","SAMPLE","TEST"}), "", IFERROR(IF(C883="", "", AVERAGE(L883:M883, P883:Q883, T883:U883, X883:Y883)/100), ""))</f>
        <v/>
      </c>
      <c r="AD883" s="984" t="str">
        <f t="shared" si="150"/>
        <v/>
      </c>
      <c r="AE883" s="984" t="str">
        <f t="shared" si="153"/>
        <v/>
      </c>
      <c r="AF883" s="985" t="str">
        <f t="shared" si="145"/>
        <v>A</v>
      </c>
      <c r="AG883" s="1414">
        <v>1</v>
      </c>
      <c r="AH883" s="1002" t="s">
        <v>640</v>
      </c>
      <c r="AI883" s="1002" t="s">
        <v>640</v>
      </c>
      <c r="AJ883" s="986" t="s">
        <v>640</v>
      </c>
      <c r="AK883" s="986" t="s">
        <v>640</v>
      </c>
      <c r="AL883" s="1415"/>
      <c r="AM883" s="1323"/>
      <c r="AN883" s="1323"/>
      <c r="AO883" s="1323"/>
      <c r="AP883" s="1323"/>
      <c r="AQ883" s="1323"/>
      <c r="AR883" s="987"/>
      <c r="AS883" s="978" t="str">
        <f t="shared" si="146"/>
        <v>單</v>
      </c>
      <c r="AT883" s="978" t="str">
        <f t="shared" si="147"/>
        <v>全</v>
      </c>
      <c r="AU883" s="978" t="str">
        <f t="shared" si="148"/>
        <v/>
      </c>
      <c r="AV883" s="978" t="str">
        <f t="shared" si="149"/>
        <v/>
      </c>
    </row>
    <row r="884" spans="1:48">
      <c r="A884" s="975">
        <f t="shared" si="154"/>
        <v>46165</v>
      </c>
      <c r="B884" s="976" t="s">
        <v>221</v>
      </c>
      <c r="C884" s="976" t="s">
        <v>16763</v>
      </c>
      <c r="D884" s="1410"/>
      <c r="E884" s="977" t="str">
        <f>IFERROR(VLOOKUP(C884, [6]條件!$A:$L, 5, 0), "")</f>
        <v>150/48CDR</v>
      </c>
      <c r="F884" s="978" t="str">
        <f>IFERROR(VLOOKUP(C884, [6]條件!$A:$L, 6, 0), "")</f>
        <v>FP82781</v>
      </c>
      <c r="G884" s="1411">
        <f>IFERROR(VLOOKUP(C884, [6]條件!$A:$L, 7, 0), "")</f>
        <v>600</v>
      </c>
      <c r="H884" s="978" t="str">
        <f>IF(ISNA(VLOOKUP(C884,[6]條件!$A$1:$K$932,11,0)),"",(VLOOKUP(C884,[6]條件!$A$1:$K$932,11,0)))</f>
        <v>綠藍雙色</v>
      </c>
      <c r="I884" s="979">
        <f>IF(ISNA(VLOOKUP(C884,[6]條件!$A$1:$L$932,12,0)),"",(VLOOKUP(C884,[6]條件!$A$1:$L$932,12,0)))</f>
        <v>5</v>
      </c>
      <c r="J884" s="982">
        <v>9</v>
      </c>
      <c r="K884" s="980">
        <v>2</v>
      </c>
      <c r="L884" s="981">
        <v>8293</v>
      </c>
      <c r="M884" s="983">
        <v>8119</v>
      </c>
      <c r="N884" s="982">
        <v>4</v>
      </c>
      <c r="O884" s="980">
        <v>0</v>
      </c>
      <c r="P884" s="981">
        <v>8235</v>
      </c>
      <c r="Q884" s="983">
        <v>8099</v>
      </c>
      <c r="R884" s="982">
        <v>1</v>
      </c>
      <c r="S884" s="980">
        <v>0</v>
      </c>
      <c r="T884" s="981">
        <v>8252</v>
      </c>
      <c r="U884" s="983">
        <v>8098</v>
      </c>
      <c r="V884" s="982">
        <v>4</v>
      </c>
      <c r="W884" s="980">
        <v>0</v>
      </c>
      <c r="X884" s="981">
        <v>8092</v>
      </c>
      <c r="Y884" s="983">
        <v>8082</v>
      </c>
      <c r="Z884" s="1412">
        <f>IFERROR(VLOOKUP(C884, [6]條件!$A:$L, 3, 0), "")</f>
        <v>2.8685258964143427</v>
      </c>
      <c r="AA884" s="984">
        <f>IF(OR(L884={"改紡","檢修","了機","清車","FINAL","停機","SAMPLE","TEST","絲開發"}), L884, IFERROR(IF(C884="", "", (SUM(J884, N884, R884, V884)/3 * AG884) * IF(AND(AF884="S", AS884="雙"), 0.5, 1)), ""))</f>
        <v>6</v>
      </c>
      <c r="AB884" s="1413">
        <f t="shared" si="152"/>
        <v>0.99664797008547013</v>
      </c>
      <c r="AC884" s="984">
        <f>IF(OR(L884={"改紡","檢修","了機","清車","FINAL","停機","SAMPLE","TEST"}), "", IFERROR(IF(C884="", "", AVERAGE(L884:M884, P884:Q884, T884:U884, X884:Y884)/100), ""))</f>
        <v>81.587500000000006</v>
      </c>
      <c r="AD884" s="984">
        <f t="shared" si="150"/>
        <v>0.75</v>
      </c>
      <c r="AE884" s="984">
        <f t="shared" si="153"/>
        <v>0.66666666666666663</v>
      </c>
      <c r="AF884" s="985" t="str">
        <f t="shared" si="145"/>
        <v>A</v>
      </c>
      <c r="AG884" s="1414">
        <v>1</v>
      </c>
      <c r="AH884" s="1002" t="s">
        <v>16016</v>
      </c>
      <c r="AI884" s="1002" t="s">
        <v>15997</v>
      </c>
      <c r="AJ884" s="986" t="s">
        <v>15994</v>
      </c>
      <c r="AK884" s="986" t="s">
        <v>15994</v>
      </c>
      <c r="AL884" s="1415">
        <v>54</v>
      </c>
      <c r="AM884" s="1323">
        <v>46161</v>
      </c>
      <c r="AN884" s="1323">
        <v>46162</v>
      </c>
      <c r="AO884" s="1323">
        <v>46163</v>
      </c>
      <c r="AP884" s="1323"/>
      <c r="AQ884" s="1323"/>
      <c r="AR884" s="987"/>
      <c r="AS884" s="978" t="str">
        <f t="shared" si="146"/>
        <v>單</v>
      </c>
      <c r="AT884" s="978" t="str">
        <f t="shared" si="147"/>
        <v>全</v>
      </c>
      <c r="AU884" s="978">
        <f t="shared" si="148"/>
        <v>150</v>
      </c>
      <c r="AV884" s="978">
        <f t="shared" si="149"/>
        <v>2.5376976000000004</v>
      </c>
    </row>
    <row r="885" spans="1:48">
      <c r="A885" s="975">
        <f t="shared" si="154"/>
        <v>46165</v>
      </c>
      <c r="B885" s="976" t="s">
        <v>222</v>
      </c>
      <c r="C885" s="976" t="s">
        <v>632</v>
      </c>
      <c r="D885" s="1410"/>
      <c r="E885" s="977" t="str">
        <f>IFERROR(VLOOKUP(C885, [6]條件!$A:$L, 5, 0), "")</f>
        <v/>
      </c>
      <c r="F885" s="978" t="str">
        <f>IFERROR(VLOOKUP(C885, [6]條件!$A:$L, 6, 0), "")</f>
        <v/>
      </c>
      <c r="G885" s="1411" t="str">
        <f>IFERROR(VLOOKUP(C885, [6]條件!$A:$L, 7, 0), "")</f>
        <v/>
      </c>
      <c r="H885" s="978" t="str">
        <f>IF(ISNA(VLOOKUP(C885,[6]條件!$A$1:$K$932,11,0)),"",(VLOOKUP(C885,[6]條件!$A$1:$K$932,11,0)))</f>
        <v/>
      </c>
      <c r="I885" s="979" t="str">
        <f>IF(ISNA(VLOOKUP(C885,[6]條件!$A$1:$L$932,12,0)),"",(VLOOKUP(C885,[6]條件!$A$1:$L$932,12,0)))</f>
        <v/>
      </c>
      <c r="J885" s="982"/>
      <c r="K885" s="980"/>
      <c r="L885" s="981" t="s">
        <v>632</v>
      </c>
      <c r="M885" s="983"/>
      <c r="N885" s="982"/>
      <c r="O885" s="980"/>
      <c r="P885" s="981" t="s">
        <v>632</v>
      </c>
      <c r="Q885" s="983"/>
      <c r="R885" s="982"/>
      <c r="S885" s="980"/>
      <c r="T885" s="981" t="s">
        <v>632</v>
      </c>
      <c r="U885" s="983"/>
      <c r="V885" s="982"/>
      <c r="W885" s="980"/>
      <c r="X885" s="981" t="s">
        <v>632</v>
      </c>
      <c r="Y885" s="983"/>
      <c r="Z885" s="1412" t="str">
        <f>IFERROR(VLOOKUP(C885, [6]條件!$A:$L, 3, 0), "")</f>
        <v/>
      </c>
      <c r="AA885" s="984" t="str">
        <f>IF(OR(L885={"改紡","檢修","了機","清車","FINAL","停機","SAMPLE","TEST","絲開發"}), L885, IFERROR(IF(C885="", "", (SUM(J885, N885, R885, V885)/3 * AG885) * IF(AND(AF885="S", AS885="雙"), 0.5, 1)), ""))</f>
        <v>停機</v>
      </c>
      <c r="AB885" s="1413" t="str">
        <f t="shared" si="152"/>
        <v/>
      </c>
      <c r="AC885" s="984" t="str">
        <f>IF(OR(L885={"改紡","檢修","了機","清車","FINAL","停機","SAMPLE","TEST"}), "", IFERROR(IF(C885="", "", AVERAGE(L885:M885, P885:Q885, T885:U885, X885:Y885)/100), ""))</f>
        <v/>
      </c>
      <c r="AD885" s="984" t="str">
        <f t="shared" si="150"/>
        <v/>
      </c>
      <c r="AE885" s="984" t="str">
        <f t="shared" si="153"/>
        <v/>
      </c>
      <c r="AF885" s="985" t="str">
        <f t="shared" si="145"/>
        <v>A</v>
      </c>
      <c r="AG885" s="1414">
        <v>1</v>
      </c>
      <c r="AH885" s="1002" t="s">
        <v>640</v>
      </c>
      <c r="AI885" s="1002" t="s">
        <v>640</v>
      </c>
      <c r="AJ885" s="986" t="s">
        <v>640</v>
      </c>
      <c r="AK885" s="986" t="s">
        <v>640</v>
      </c>
      <c r="AL885" s="1415"/>
      <c r="AM885" s="1323"/>
      <c r="AN885" s="1323"/>
      <c r="AO885" s="1323"/>
      <c r="AP885" s="1323"/>
      <c r="AQ885" s="1323"/>
      <c r="AR885" s="987"/>
      <c r="AS885" s="978" t="str">
        <f t="shared" si="146"/>
        <v>單</v>
      </c>
      <c r="AT885" s="978" t="str">
        <f t="shared" si="147"/>
        <v>全</v>
      </c>
      <c r="AU885" s="978" t="str">
        <f t="shared" si="148"/>
        <v/>
      </c>
      <c r="AV885" s="978" t="str">
        <f t="shared" si="149"/>
        <v/>
      </c>
    </row>
    <row r="886" spans="1:48">
      <c r="A886" s="975">
        <f t="shared" si="154"/>
        <v>46165</v>
      </c>
      <c r="B886" s="976" t="s">
        <v>223</v>
      </c>
      <c r="C886" s="976" t="s">
        <v>632</v>
      </c>
      <c r="D886" s="1410"/>
      <c r="E886" s="977" t="str">
        <f>IFERROR(VLOOKUP(C886, [6]條件!$A:$L, 5, 0), "")</f>
        <v/>
      </c>
      <c r="F886" s="978" t="str">
        <f>IFERROR(VLOOKUP(C886, [6]條件!$A:$L, 6, 0), "")</f>
        <v/>
      </c>
      <c r="G886" s="1411" t="str">
        <f>IFERROR(VLOOKUP(C886, [6]條件!$A:$L, 7, 0), "")</f>
        <v/>
      </c>
      <c r="H886" s="978" t="str">
        <f>IF(ISNA(VLOOKUP(C886,[6]條件!$A$1:$K$932,11,0)),"",(VLOOKUP(C886,[6]條件!$A$1:$K$932,11,0)))</f>
        <v/>
      </c>
      <c r="I886" s="979" t="str">
        <f>IF(ISNA(VLOOKUP(C886,[6]條件!$A$1:$L$932,12,0)),"",(VLOOKUP(C886,[6]條件!$A$1:$L$932,12,0)))</f>
        <v/>
      </c>
      <c r="J886" s="982"/>
      <c r="K886" s="980"/>
      <c r="L886" s="981" t="s">
        <v>632</v>
      </c>
      <c r="M886" s="983"/>
      <c r="N886" s="982"/>
      <c r="O886" s="980"/>
      <c r="P886" s="981" t="s">
        <v>632</v>
      </c>
      <c r="Q886" s="983"/>
      <c r="R886" s="982"/>
      <c r="S886" s="980"/>
      <c r="T886" s="981" t="s">
        <v>632</v>
      </c>
      <c r="U886" s="983"/>
      <c r="V886" s="982"/>
      <c r="W886" s="980"/>
      <c r="X886" s="981" t="s">
        <v>632</v>
      </c>
      <c r="Y886" s="983"/>
      <c r="Z886" s="1412" t="str">
        <f>IFERROR(VLOOKUP(C886, [6]條件!$A:$L, 3, 0), "")</f>
        <v/>
      </c>
      <c r="AA886" s="984" t="str">
        <f>IF(OR(L886={"改紡","檢修","了機","清車","FINAL","停機","SAMPLE","TEST","絲開發"}), L886, IFERROR(IF(C886="", "", (SUM(J886, N886, R886, V886)/3 * AG886) * IF(AND(AF886="S", AS886="雙"), 0.5, 1)), ""))</f>
        <v>停機</v>
      </c>
      <c r="AB886" s="1413" t="str">
        <f t="shared" si="152"/>
        <v/>
      </c>
      <c r="AC886" s="984" t="str">
        <f>IF(OR(L886={"改紡","檢修","了機","清車","FINAL","停機","SAMPLE","TEST"}), "", IFERROR(IF(C886="", "", AVERAGE(L886:M886, P886:Q886, T886:U886, X886:Y886)/100), ""))</f>
        <v/>
      </c>
      <c r="AD886" s="984" t="str">
        <f t="shared" si="150"/>
        <v/>
      </c>
      <c r="AE886" s="984" t="str">
        <f t="shared" si="153"/>
        <v/>
      </c>
      <c r="AF886" s="985" t="str">
        <f t="shared" si="145"/>
        <v>A</v>
      </c>
      <c r="AG886" s="1414">
        <v>1</v>
      </c>
      <c r="AH886" s="1002" t="s">
        <v>640</v>
      </c>
      <c r="AI886" s="1002" t="s">
        <v>640</v>
      </c>
      <c r="AJ886" s="986" t="s">
        <v>640</v>
      </c>
      <c r="AK886" s="986" t="s">
        <v>640</v>
      </c>
      <c r="AL886" s="1415"/>
      <c r="AM886" s="1324"/>
      <c r="AN886" s="1323"/>
      <c r="AO886" s="1323"/>
      <c r="AP886" s="1323"/>
      <c r="AQ886" s="1323"/>
      <c r="AR886" s="987"/>
      <c r="AS886" s="978" t="str">
        <f t="shared" si="146"/>
        <v>單</v>
      </c>
      <c r="AT886" s="978" t="str">
        <f t="shared" si="147"/>
        <v>全</v>
      </c>
      <c r="AU886" s="978" t="str">
        <f t="shared" si="148"/>
        <v/>
      </c>
      <c r="AV886" s="978" t="str">
        <f t="shared" si="149"/>
        <v/>
      </c>
    </row>
    <row r="887" spans="1:48">
      <c r="A887" s="975">
        <f t="shared" si="154"/>
        <v>46165</v>
      </c>
      <c r="B887" s="976" t="s">
        <v>224</v>
      </c>
      <c r="C887" s="976" t="s">
        <v>16734</v>
      </c>
      <c r="D887" s="1410" t="s">
        <v>633</v>
      </c>
      <c r="E887" s="977" t="str">
        <f>IFERROR(VLOOKUP(C887, [6]條件!$A:$L, 5, 0), "")</f>
        <v>75/24/2SDr</v>
      </c>
      <c r="F887" s="978" t="str">
        <f>IFERROR(VLOOKUP(C887, [6]條件!$A:$L, 6, 0), "")</f>
        <v>FP81382R×2</v>
      </c>
      <c r="G887" s="1411">
        <f>IFERROR(VLOOKUP(C887, [6]條件!$A:$L, 7, 0), "")</f>
        <v>700</v>
      </c>
      <c r="H887" s="978" t="str">
        <f>IF(ISNA(VLOOKUP(C887,[6]條件!$A$1:$K$932,11,0)),"",(VLOOKUP(C887,[6]條件!$A$1:$K$932,11,0)))</f>
        <v>白底紫三角</v>
      </c>
      <c r="I887" s="979">
        <f>IF(ISNA(VLOOKUP(C887,[6]條件!$A$1:$L$932,12,0)),"",(VLOOKUP(C887,[6]條件!$A$1:$L$932,12,0)))</f>
        <v>5</v>
      </c>
      <c r="J887" s="982"/>
      <c r="K887" s="980"/>
      <c r="L887" s="981" t="s">
        <v>15855</v>
      </c>
      <c r="M887" s="983" t="s">
        <v>16789</v>
      </c>
      <c r="N887" s="982"/>
      <c r="O887" s="980"/>
      <c r="P887" s="981" t="s">
        <v>632</v>
      </c>
      <c r="Q887" s="983"/>
      <c r="R887" s="982"/>
      <c r="S887" s="980"/>
      <c r="T887" s="981" t="s">
        <v>632</v>
      </c>
      <c r="U887" s="983"/>
      <c r="V887" s="982"/>
      <c r="W887" s="980"/>
      <c r="X887" s="981" t="s">
        <v>632</v>
      </c>
      <c r="Y887" s="983"/>
      <c r="Z887" s="1412">
        <f>IFERROR(VLOOKUP(C887, [6]條件!$A:$L, 3, 0), "")</f>
        <v>3.2653061224489797</v>
      </c>
      <c r="AA887" s="984" t="str">
        <f>IF(OR(L887={"改紡","檢修","了機","清車","FINAL","停機","SAMPLE","TEST","絲開發"}), L887, IFERROR(IF(C887="", "", (SUM(J887, N887, R887, V887)/3 * AG887) * IF(AND(AF887="S", AS887="雙"), 0.5, 1)), ""))</f>
        <v>FINAL</v>
      </c>
      <c r="AB887" s="1413" t="str">
        <f t="shared" si="152"/>
        <v/>
      </c>
      <c r="AC887" s="984" t="str">
        <f>IF(OR(L887={"改紡","檢修","了機","清車","FINAL","停機","SAMPLE","TEST"}), "", IFERROR(IF(C887="", "", AVERAGE(L887:M887, P887:Q887, T887:U887, X887:Y887)/100), ""))</f>
        <v/>
      </c>
      <c r="AD887" s="984" t="str">
        <f t="shared" si="150"/>
        <v/>
      </c>
      <c r="AE887" s="984" t="str">
        <f t="shared" si="153"/>
        <v/>
      </c>
      <c r="AF887" s="985" t="str">
        <f t="shared" si="145"/>
        <v>A</v>
      </c>
      <c r="AG887" s="1414">
        <v>0.5</v>
      </c>
      <c r="AH887" s="1002" t="s">
        <v>16016</v>
      </c>
      <c r="AI887" s="1002" t="s">
        <v>15997</v>
      </c>
      <c r="AJ887" s="986" t="s">
        <v>15994</v>
      </c>
      <c r="AK887" s="986" t="s">
        <v>15994</v>
      </c>
      <c r="AL887" s="1415"/>
      <c r="AM887" s="1323"/>
      <c r="AN887" s="1323"/>
      <c r="AO887" s="1323"/>
      <c r="AP887" s="1323"/>
      <c r="AQ887" s="1323"/>
      <c r="AR887" s="987"/>
      <c r="AS887" s="978" t="str">
        <f t="shared" si="146"/>
        <v>雙</v>
      </c>
      <c r="AT887" s="978" t="str">
        <f t="shared" si="147"/>
        <v>全</v>
      </c>
      <c r="AU887" s="978">
        <f t="shared" si="148"/>
        <v>75</v>
      </c>
      <c r="AV887" s="978" t="str">
        <f t="shared" si="149"/>
        <v/>
      </c>
    </row>
    <row r="888" spans="1:48">
      <c r="A888" s="975">
        <f t="shared" si="154"/>
        <v>46165</v>
      </c>
      <c r="B888" s="976" t="s">
        <v>225</v>
      </c>
      <c r="C888" s="976" t="s">
        <v>632</v>
      </c>
      <c r="D888" s="1410"/>
      <c r="E888" s="977" t="str">
        <f>IFERROR(VLOOKUP(C888, [6]條件!$A:$L, 5, 0), "")</f>
        <v/>
      </c>
      <c r="F888" s="978" t="str">
        <f>IFERROR(VLOOKUP(C888, [6]條件!$A:$L, 6, 0), "")</f>
        <v/>
      </c>
      <c r="G888" s="1411" t="str">
        <f>IFERROR(VLOOKUP(C888, [6]條件!$A:$L, 7, 0), "")</f>
        <v/>
      </c>
      <c r="H888" s="978" t="str">
        <f>IF(ISNA(VLOOKUP(C888,[6]條件!$A$1:$K$932,11,0)),"",(VLOOKUP(C888,[6]條件!$A$1:$K$932,11,0)))</f>
        <v/>
      </c>
      <c r="I888" s="979" t="str">
        <f>IF(ISNA(VLOOKUP(C888,[6]條件!$A$1:$L$932,12,0)),"",(VLOOKUP(C888,[6]條件!$A$1:$L$932,12,0)))</f>
        <v/>
      </c>
      <c r="J888" s="982"/>
      <c r="K888" s="980"/>
      <c r="L888" s="981" t="s">
        <v>632</v>
      </c>
      <c r="M888" s="983"/>
      <c r="N888" s="982"/>
      <c r="O888" s="980"/>
      <c r="P888" s="981" t="s">
        <v>632</v>
      </c>
      <c r="Q888" s="983"/>
      <c r="R888" s="982"/>
      <c r="S888" s="980"/>
      <c r="T888" s="981" t="s">
        <v>632</v>
      </c>
      <c r="U888" s="983"/>
      <c r="V888" s="982"/>
      <c r="W888" s="980"/>
      <c r="X888" s="981" t="s">
        <v>632</v>
      </c>
      <c r="Y888" s="983"/>
      <c r="Z888" s="1412" t="str">
        <f>IFERROR(VLOOKUP(C888, [6]條件!$A:$L, 3, 0), "")</f>
        <v/>
      </c>
      <c r="AA888" s="984" t="str">
        <f>IF(OR(L888={"改紡","檢修","了機","清車","FINAL","停機","SAMPLE","TEST","絲開發"}), L888, IFERROR(IF(C888="", "", (SUM(J888, N888, R888, V888)/3 * AG888) * IF(AND(AF888="S", AS888="雙"), 0.5, 1)), ""))</f>
        <v>停機</v>
      </c>
      <c r="AB888" s="1413" t="str">
        <f t="shared" si="152"/>
        <v/>
      </c>
      <c r="AC888" s="984" t="str">
        <f>IF(OR(L888={"改紡","檢修","了機","清車","FINAL","停機","SAMPLE","TEST"}), "", IFERROR(IF(C888="", "", AVERAGE(L888:M888, P888:Q888, T888:U888, X888:Y888)/100), ""))</f>
        <v/>
      </c>
      <c r="AD888" s="984" t="str">
        <f t="shared" si="150"/>
        <v/>
      </c>
      <c r="AE888" s="984" t="str">
        <f t="shared" si="153"/>
        <v/>
      </c>
      <c r="AF888" s="985" t="str">
        <f t="shared" si="145"/>
        <v>A</v>
      </c>
      <c r="AG888" s="1414">
        <v>1</v>
      </c>
      <c r="AH888" s="1002" t="s">
        <v>640</v>
      </c>
      <c r="AI888" s="1002" t="s">
        <v>640</v>
      </c>
      <c r="AJ888" s="986" t="s">
        <v>640</v>
      </c>
      <c r="AK888" s="986" t="s">
        <v>640</v>
      </c>
      <c r="AL888" s="1415"/>
      <c r="AM888" s="1323"/>
      <c r="AN888" s="1323"/>
      <c r="AO888" s="1323"/>
      <c r="AP888" s="1323"/>
      <c r="AQ888" s="1323"/>
      <c r="AR888" s="987"/>
      <c r="AS888" s="978" t="str">
        <f t="shared" si="146"/>
        <v>單</v>
      </c>
      <c r="AT888" s="978" t="str">
        <f t="shared" si="147"/>
        <v>全</v>
      </c>
      <c r="AU888" s="978" t="str">
        <f t="shared" si="148"/>
        <v/>
      </c>
      <c r="AV888" s="978" t="str">
        <f t="shared" si="149"/>
        <v/>
      </c>
    </row>
    <row r="889" spans="1:48">
      <c r="A889" s="975">
        <f t="shared" si="154"/>
        <v>46165</v>
      </c>
      <c r="B889" s="976" t="s">
        <v>226</v>
      </c>
      <c r="C889" s="976" t="s">
        <v>632</v>
      </c>
      <c r="D889" s="1410"/>
      <c r="E889" s="977" t="str">
        <f>IFERROR(VLOOKUP(C889, [6]條件!$A:$L, 5, 0), "")</f>
        <v/>
      </c>
      <c r="F889" s="978" t="str">
        <f>IFERROR(VLOOKUP(C889, [6]條件!$A:$L, 6, 0), "")</f>
        <v/>
      </c>
      <c r="G889" s="1411" t="str">
        <f>IFERROR(VLOOKUP(C889, [6]條件!$A:$L, 7, 0), "")</f>
        <v/>
      </c>
      <c r="H889" s="978" t="str">
        <f>IF(ISNA(VLOOKUP(C889,[6]條件!$A$1:$K$932,11,0)),"",(VLOOKUP(C889,[6]條件!$A$1:$K$932,11,0)))</f>
        <v/>
      </c>
      <c r="I889" s="979" t="str">
        <f>IF(ISNA(VLOOKUP(C889,[6]條件!$A$1:$L$932,12,0)),"",(VLOOKUP(C889,[6]條件!$A$1:$L$932,12,0)))</f>
        <v/>
      </c>
      <c r="J889" s="982"/>
      <c r="K889" s="980"/>
      <c r="L889" s="981" t="s">
        <v>632</v>
      </c>
      <c r="M889" s="983"/>
      <c r="N889" s="982"/>
      <c r="O889" s="980"/>
      <c r="P889" s="981" t="s">
        <v>632</v>
      </c>
      <c r="Q889" s="983"/>
      <c r="R889" s="982"/>
      <c r="S889" s="980"/>
      <c r="T889" s="981" t="s">
        <v>632</v>
      </c>
      <c r="U889" s="983"/>
      <c r="V889" s="982"/>
      <c r="W889" s="980"/>
      <c r="X889" s="981" t="s">
        <v>632</v>
      </c>
      <c r="Y889" s="983"/>
      <c r="Z889" s="1412" t="str">
        <f>IFERROR(VLOOKUP(C889, [6]條件!$A:$L, 3, 0), "")</f>
        <v/>
      </c>
      <c r="AA889" s="984" t="str">
        <f>IF(OR(L889={"改紡","檢修","了機","清車","FINAL","停機","SAMPLE","TEST","絲開發"}), L889, IFERROR(IF(C889="", "", (SUM(J889, N889, R889, V889)/3 * AG889) * IF(AND(AF889="S", AS889="雙"), 0.5, 1)), ""))</f>
        <v>停機</v>
      </c>
      <c r="AB889" s="1413" t="str">
        <f t="shared" si="152"/>
        <v/>
      </c>
      <c r="AC889" s="984" t="str">
        <f>IF(OR(L889={"改紡","檢修","了機","清車","FINAL","停機","SAMPLE","TEST"}), "", IFERROR(IF(C889="", "", AVERAGE(L889:M889, P889:Q889, T889:U889, X889:Y889)/100), ""))</f>
        <v/>
      </c>
      <c r="AD889" s="984" t="str">
        <f t="shared" si="150"/>
        <v/>
      </c>
      <c r="AE889" s="984" t="str">
        <f t="shared" si="153"/>
        <v/>
      </c>
      <c r="AF889" s="985" t="str">
        <f t="shared" si="145"/>
        <v>A</v>
      </c>
      <c r="AG889" s="1414">
        <v>1</v>
      </c>
      <c r="AH889" s="1002" t="s">
        <v>640</v>
      </c>
      <c r="AI889" s="1002" t="s">
        <v>640</v>
      </c>
      <c r="AJ889" s="986" t="s">
        <v>640</v>
      </c>
      <c r="AK889" s="986" t="s">
        <v>640</v>
      </c>
      <c r="AL889" s="1415"/>
      <c r="AM889" s="1323"/>
      <c r="AN889" s="1323"/>
      <c r="AO889" s="1323"/>
      <c r="AP889" s="1323"/>
      <c r="AQ889" s="1323"/>
      <c r="AR889" s="987"/>
      <c r="AS889" s="978" t="str">
        <f t="shared" si="146"/>
        <v>單</v>
      </c>
      <c r="AT889" s="978" t="str">
        <f t="shared" si="147"/>
        <v>全</v>
      </c>
      <c r="AU889" s="978" t="str">
        <f t="shared" si="148"/>
        <v/>
      </c>
      <c r="AV889" s="978" t="str">
        <f t="shared" si="149"/>
        <v/>
      </c>
    </row>
    <row r="890" spans="1:48">
      <c r="A890" s="975">
        <f t="shared" si="154"/>
        <v>46165</v>
      </c>
      <c r="B890" s="976" t="s">
        <v>227</v>
      </c>
      <c r="C890" s="976" t="s">
        <v>632</v>
      </c>
      <c r="D890" s="1410"/>
      <c r="E890" s="977" t="str">
        <f>IFERROR(VLOOKUP(C890, [6]條件!$A:$L, 5, 0), "")</f>
        <v/>
      </c>
      <c r="F890" s="978" t="str">
        <f>IFERROR(VLOOKUP(C890, [6]條件!$A:$L, 6, 0), "")</f>
        <v/>
      </c>
      <c r="G890" s="1411" t="str">
        <f>IFERROR(VLOOKUP(C890, [6]條件!$A:$L, 7, 0), "")</f>
        <v/>
      </c>
      <c r="H890" s="978" t="str">
        <f>IF(ISNA(VLOOKUP(C890,[6]條件!$A$1:$K$932,11,0)),"",(VLOOKUP(C890,[6]條件!$A$1:$K$932,11,0)))</f>
        <v/>
      </c>
      <c r="I890" s="979" t="str">
        <f>IF(ISNA(VLOOKUP(C890,[6]條件!$A$1:$L$932,12,0)),"",(VLOOKUP(C890,[6]條件!$A$1:$L$932,12,0)))</f>
        <v/>
      </c>
      <c r="J890" s="982"/>
      <c r="K890" s="980"/>
      <c r="L890" s="981" t="s">
        <v>632</v>
      </c>
      <c r="M890" s="983"/>
      <c r="N890" s="982"/>
      <c r="O890" s="980"/>
      <c r="P890" s="981" t="s">
        <v>632</v>
      </c>
      <c r="Q890" s="983"/>
      <c r="R890" s="982"/>
      <c r="S890" s="980"/>
      <c r="T890" s="981" t="s">
        <v>632</v>
      </c>
      <c r="U890" s="983"/>
      <c r="V890" s="982"/>
      <c r="W890" s="980"/>
      <c r="X890" s="981" t="s">
        <v>632</v>
      </c>
      <c r="Y890" s="983"/>
      <c r="Z890" s="1412" t="str">
        <f>IFERROR(VLOOKUP(C890, [6]條件!$A:$L, 3, 0), "")</f>
        <v/>
      </c>
      <c r="AA890" s="984" t="str">
        <f>IF(OR(L890={"改紡","檢修","了機","清車","FINAL","停機","SAMPLE","TEST","絲開發"}), L890, IFERROR(IF(C890="", "", (SUM(J890, N890, R890, V890)/3 * AG890) * IF(AND(AF890="S", AS890="雙"), 0.5, 1)), ""))</f>
        <v>停機</v>
      </c>
      <c r="AB890" s="1413" t="str">
        <f t="shared" si="152"/>
        <v/>
      </c>
      <c r="AC890" s="984" t="str">
        <f>IF(OR(L890={"改紡","檢修","了機","清車","FINAL","停機","SAMPLE","TEST"}), "", IFERROR(IF(C890="", "", AVERAGE(L890:M890, P890:Q890, T890:U890, X890:Y890)/100), ""))</f>
        <v/>
      </c>
      <c r="AD890" s="984" t="str">
        <f t="shared" si="150"/>
        <v/>
      </c>
      <c r="AE890" s="984" t="str">
        <f t="shared" si="153"/>
        <v/>
      </c>
      <c r="AF890" s="985" t="str">
        <f t="shared" si="145"/>
        <v>A</v>
      </c>
      <c r="AG890" s="1414">
        <v>1</v>
      </c>
      <c r="AH890" s="1002" t="s">
        <v>640</v>
      </c>
      <c r="AI890" s="1002" t="s">
        <v>640</v>
      </c>
      <c r="AJ890" s="986" t="s">
        <v>640</v>
      </c>
      <c r="AK890" s="986" t="s">
        <v>640</v>
      </c>
      <c r="AL890" s="1415"/>
      <c r="AM890" s="1323"/>
      <c r="AN890" s="1323"/>
      <c r="AO890" s="1323"/>
      <c r="AP890" s="1323"/>
      <c r="AQ890" s="1323"/>
      <c r="AR890" s="987"/>
      <c r="AS890" s="978" t="str">
        <f t="shared" si="146"/>
        <v>單</v>
      </c>
      <c r="AT890" s="978" t="str">
        <f t="shared" si="147"/>
        <v>全</v>
      </c>
      <c r="AU890" s="978" t="str">
        <f t="shared" si="148"/>
        <v/>
      </c>
      <c r="AV890" s="978" t="str">
        <f t="shared" si="149"/>
        <v/>
      </c>
    </row>
    <row r="891" spans="1:48">
      <c r="A891" s="975">
        <f t="shared" si="154"/>
        <v>46165</v>
      </c>
      <c r="B891" s="976" t="s">
        <v>228</v>
      </c>
      <c r="C891" s="976" t="s">
        <v>632</v>
      </c>
      <c r="D891" s="1410"/>
      <c r="E891" s="977" t="str">
        <f>IFERROR(VLOOKUP(C891, [6]條件!$A:$L, 5, 0), "")</f>
        <v/>
      </c>
      <c r="F891" s="978" t="str">
        <f>IFERROR(VLOOKUP(C891, [6]條件!$A:$L, 6, 0), "")</f>
        <v/>
      </c>
      <c r="G891" s="1411" t="str">
        <f>IFERROR(VLOOKUP(C891, [6]條件!$A:$L, 7, 0), "")</f>
        <v/>
      </c>
      <c r="H891" s="978" t="str">
        <f>IF(ISNA(VLOOKUP(C891,[6]條件!$A$1:$K$932,11,0)),"",(VLOOKUP(C891,[6]條件!$A$1:$K$932,11,0)))</f>
        <v/>
      </c>
      <c r="I891" s="979" t="str">
        <f>IF(ISNA(VLOOKUP(C891,[6]條件!$A$1:$L$932,12,0)),"",(VLOOKUP(C891,[6]條件!$A$1:$L$932,12,0)))</f>
        <v/>
      </c>
      <c r="J891" s="982"/>
      <c r="K891" s="980"/>
      <c r="L891" s="981" t="s">
        <v>632</v>
      </c>
      <c r="M891" s="983"/>
      <c r="N891" s="982"/>
      <c r="O891" s="980"/>
      <c r="P891" s="981" t="s">
        <v>632</v>
      </c>
      <c r="Q891" s="983"/>
      <c r="R891" s="982"/>
      <c r="S891" s="980"/>
      <c r="T891" s="981" t="s">
        <v>632</v>
      </c>
      <c r="U891" s="983"/>
      <c r="V891" s="982"/>
      <c r="W891" s="980"/>
      <c r="X891" s="981" t="s">
        <v>632</v>
      </c>
      <c r="Y891" s="983"/>
      <c r="Z891" s="1412" t="str">
        <f>IFERROR(VLOOKUP(C891, [6]條件!$A:$L, 3, 0), "")</f>
        <v/>
      </c>
      <c r="AA891" s="984" t="str">
        <f>IF(OR(L891={"改紡","檢修","了機","清車","FINAL","停機","SAMPLE","TEST","絲開發"}), L891, IFERROR(IF(C891="", "", (SUM(J891, N891, R891, V891)/3 * AG891) * IF(AND(AF891="S", AS891="雙"), 0.5, 1)), ""))</f>
        <v>停機</v>
      </c>
      <c r="AB891" s="1413" t="str">
        <f t="shared" si="152"/>
        <v/>
      </c>
      <c r="AC891" s="984" t="str">
        <f>IF(OR(L891={"改紡","檢修","了機","清車","FINAL","停機","SAMPLE","TEST"}), "", IFERROR(IF(C891="", "", AVERAGE(L891:M891, P891:Q891, T891:U891, X891:Y891)/100), ""))</f>
        <v/>
      </c>
      <c r="AD891" s="984" t="str">
        <f t="shared" si="150"/>
        <v/>
      </c>
      <c r="AE891" s="984" t="str">
        <f t="shared" si="153"/>
        <v/>
      </c>
      <c r="AF891" s="985" t="str">
        <f t="shared" si="145"/>
        <v>A</v>
      </c>
      <c r="AG891" s="1414">
        <v>1</v>
      </c>
      <c r="AH891" s="1002" t="s">
        <v>640</v>
      </c>
      <c r="AI891" s="1002" t="s">
        <v>640</v>
      </c>
      <c r="AJ891" s="986" t="s">
        <v>640</v>
      </c>
      <c r="AK891" s="986" t="s">
        <v>640</v>
      </c>
      <c r="AL891" s="1420"/>
      <c r="AM891" s="1323"/>
      <c r="AN891" s="1323"/>
      <c r="AO891" s="1323"/>
      <c r="AP891" s="1323"/>
      <c r="AQ891" s="1323"/>
      <c r="AR891" s="987"/>
      <c r="AS891" s="978" t="str">
        <f t="shared" si="146"/>
        <v>單</v>
      </c>
      <c r="AT891" s="978" t="str">
        <f t="shared" si="147"/>
        <v>全</v>
      </c>
      <c r="AU891" s="978" t="str">
        <f t="shared" si="148"/>
        <v/>
      </c>
      <c r="AV891" s="978" t="str">
        <f t="shared" si="149"/>
        <v/>
      </c>
    </row>
    <row r="892" spans="1:48">
      <c r="A892" s="975">
        <f t="shared" si="154"/>
        <v>46165</v>
      </c>
      <c r="B892" s="976" t="s">
        <v>229</v>
      </c>
      <c r="C892" s="976" t="s">
        <v>632</v>
      </c>
      <c r="D892" s="1410"/>
      <c r="E892" s="977" t="str">
        <f>IFERROR(VLOOKUP(C892, [6]條件!$A:$L, 5, 0), "")</f>
        <v/>
      </c>
      <c r="F892" s="978" t="str">
        <f>IFERROR(VLOOKUP(C892, [6]條件!$A:$L, 6, 0), "")</f>
        <v/>
      </c>
      <c r="G892" s="1411" t="str">
        <f>IFERROR(VLOOKUP(C892, [6]條件!$A:$L, 7, 0), "")</f>
        <v/>
      </c>
      <c r="H892" s="978" t="str">
        <f>IF(ISNA(VLOOKUP(C892,[6]條件!$A$1:$K$932,11,0)),"",(VLOOKUP(C892,[6]條件!$A$1:$K$932,11,0)))</f>
        <v/>
      </c>
      <c r="I892" s="979" t="str">
        <f>IF(ISNA(VLOOKUP(C892,[6]條件!$A$1:$L$932,12,0)),"",(VLOOKUP(C892,[6]條件!$A$1:$L$932,12,0)))</f>
        <v/>
      </c>
      <c r="J892" s="982"/>
      <c r="K892" s="980"/>
      <c r="L892" s="981" t="s">
        <v>632</v>
      </c>
      <c r="M892" s="983"/>
      <c r="N892" s="982"/>
      <c r="O892" s="980"/>
      <c r="P892" s="981" t="s">
        <v>632</v>
      </c>
      <c r="Q892" s="983"/>
      <c r="R892" s="982"/>
      <c r="S892" s="980"/>
      <c r="T892" s="981" t="s">
        <v>632</v>
      </c>
      <c r="U892" s="983"/>
      <c r="V892" s="982"/>
      <c r="W892" s="980"/>
      <c r="X892" s="981" t="s">
        <v>632</v>
      </c>
      <c r="Y892" s="983"/>
      <c r="Z892" s="1412" t="str">
        <f>IFERROR(VLOOKUP(C892, [6]條件!$A:$L, 3, 0), "")</f>
        <v/>
      </c>
      <c r="AA892" s="984" t="str">
        <f>IF(OR(L892={"改紡","檢修","了機","清車","FINAL","停機","SAMPLE","TEST","絲開發"}), L892, IFERROR(IF(C892="", "", (SUM(J892, N892, R892, V892)/3 * AG892) * IF(AND(AF892="S", AS892="雙"), 0.5, 1)), ""))</f>
        <v>停機</v>
      </c>
      <c r="AB892" s="1413" t="str">
        <f t="shared" si="152"/>
        <v/>
      </c>
      <c r="AC892" s="984" t="str">
        <f>IF(OR(L892={"改紡","檢修","了機","清車","FINAL","停機","SAMPLE","TEST"}), "", IFERROR(IF(C892="", "", AVERAGE(L892:M892, P892:Q892, T892:U892, X892:Y892)/100), ""))</f>
        <v/>
      </c>
      <c r="AD892" s="984" t="str">
        <f t="shared" si="150"/>
        <v/>
      </c>
      <c r="AE892" s="984" t="str">
        <f t="shared" si="153"/>
        <v/>
      </c>
      <c r="AF892" s="985" t="str">
        <f t="shared" si="145"/>
        <v>A</v>
      </c>
      <c r="AG892" s="1414">
        <v>1</v>
      </c>
      <c r="AH892" s="1002" t="s">
        <v>640</v>
      </c>
      <c r="AI892" s="1002" t="s">
        <v>640</v>
      </c>
      <c r="AJ892" s="986" t="s">
        <v>640</v>
      </c>
      <c r="AK892" s="986" t="s">
        <v>640</v>
      </c>
      <c r="AL892" s="1421"/>
      <c r="AM892" s="1323"/>
      <c r="AN892" s="1323"/>
      <c r="AO892" s="1323"/>
      <c r="AP892" s="1323"/>
      <c r="AQ892" s="1323"/>
      <c r="AR892" s="987"/>
      <c r="AS892" s="978" t="str">
        <f t="shared" si="146"/>
        <v>單</v>
      </c>
      <c r="AT892" s="978" t="str">
        <f t="shared" si="147"/>
        <v>全</v>
      </c>
      <c r="AU892" s="978" t="str">
        <f t="shared" si="148"/>
        <v/>
      </c>
      <c r="AV892" s="978" t="str">
        <f t="shared" si="149"/>
        <v/>
      </c>
    </row>
    <row r="893" spans="1:48">
      <c r="A893" s="975">
        <f t="shared" si="154"/>
        <v>46165</v>
      </c>
      <c r="B893" s="976" t="s">
        <v>230</v>
      </c>
      <c r="C893" s="976" t="s">
        <v>632</v>
      </c>
      <c r="D893" s="1410"/>
      <c r="E893" s="977" t="str">
        <f>IFERROR(VLOOKUP(C893, [6]條件!$A:$L, 5, 0), "")</f>
        <v/>
      </c>
      <c r="F893" s="978" t="str">
        <f>IFERROR(VLOOKUP(C893, [6]條件!$A:$L, 6, 0), "")</f>
        <v/>
      </c>
      <c r="G893" s="1411" t="str">
        <f>IFERROR(VLOOKUP(C893, [6]條件!$A:$L, 7, 0), "")</f>
        <v/>
      </c>
      <c r="H893" s="978" t="str">
        <f>IF(ISNA(VLOOKUP(C893,[6]條件!$A$1:$K$932,11,0)),"",(VLOOKUP(C893,[6]條件!$A$1:$K$932,11,0)))</f>
        <v/>
      </c>
      <c r="I893" s="979" t="str">
        <f>IF(ISNA(VLOOKUP(C893,[6]條件!$A$1:$L$932,12,0)),"",(VLOOKUP(C893,[6]條件!$A$1:$L$932,12,0)))</f>
        <v/>
      </c>
      <c r="J893" s="982"/>
      <c r="K893" s="980"/>
      <c r="L893" s="981" t="s">
        <v>632</v>
      </c>
      <c r="M893" s="983"/>
      <c r="N893" s="982"/>
      <c r="O893" s="980"/>
      <c r="P893" s="981" t="s">
        <v>632</v>
      </c>
      <c r="Q893" s="983"/>
      <c r="R893" s="982"/>
      <c r="S893" s="980"/>
      <c r="T893" s="981" t="s">
        <v>632</v>
      </c>
      <c r="U893" s="983"/>
      <c r="V893" s="982"/>
      <c r="W893" s="980"/>
      <c r="X893" s="981" t="s">
        <v>632</v>
      </c>
      <c r="Y893" s="983"/>
      <c r="Z893" s="1412" t="str">
        <f>IFERROR(VLOOKUP(C893, [6]條件!$A:$L, 3, 0), "")</f>
        <v/>
      </c>
      <c r="AA893" s="984" t="str">
        <f>IF(OR(L893={"改紡","檢修","了機","清車","FINAL","停機","SAMPLE","TEST","絲開發"}), L893, IFERROR(IF(C893="", "", (SUM(J893, N893, R893, V893)/3 * AG893) * IF(AND(AF893="S", AS893="雙"), 0.5, 1)), ""))</f>
        <v>停機</v>
      </c>
      <c r="AB893" s="1413" t="str">
        <f t="shared" si="152"/>
        <v/>
      </c>
      <c r="AC893" s="984" t="str">
        <f>IF(OR(L893={"改紡","檢修","了機","清車","FINAL","停機","SAMPLE","TEST"}), "", IFERROR(IF(C893="", "", AVERAGE(L893:M893, P893:Q893, T893:U893, X893:Y893)/100), ""))</f>
        <v/>
      </c>
      <c r="AD893" s="984" t="str">
        <f t="shared" si="150"/>
        <v/>
      </c>
      <c r="AE893" s="984" t="str">
        <f t="shared" si="153"/>
        <v/>
      </c>
      <c r="AF893" s="985" t="str">
        <f t="shared" si="145"/>
        <v>A</v>
      </c>
      <c r="AG893" s="1414">
        <v>0.5</v>
      </c>
      <c r="AH893" s="1002" t="s">
        <v>16011</v>
      </c>
      <c r="AI893" s="1002" t="s">
        <v>640</v>
      </c>
      <c r="AJ893" s="1002" t="s">
        <v>16011</v>
      </c>
      <c r="AK893" s="1002" t="s">
        <v>16011</v>
      </c>
      <c r="AL893" s="1415"/>
      <c r="AM893" s="1323"/>
      <c r="AN893" s="1323"/>
      <c r="AO893" s="1323"/>
      <c r="AP893" s="1323"/>
      <c r="AQ893" s="1323"/>
      <c r="AR893" s="987"/>
      <c r="AS893" s="978" t="str">
        <f t="shared" si="146"/>
        <v>單</v>
      </c>
      <c r="AT893" s="978" t="str">
        <f t="shared" si="147"/>
        <v/>
      </c>
      <c r="AU893" s="978" t="str">
        <f t="shared" si="148"/>
        <v/>
      </c>
      <c r="AV893" s="978" t="str">
        <f t="shared" si="149"/>
        <v/>
      </c>
    </row>
    <row r="894" spans="1:48">
      <c r="A894" s="975">
        <f t="shared" si="154"/>
        <v>46165</v>
      </c>
      <c r="B894" s="976" t="s">
        <v>231</v>
      </c>
      <c r="C894" s="976" t="s">
        <v>632</v>
      </c>
      <c r="D894" s="1410"/>
      <c r="E894" s="977" t="str">
        <f>IFERROR(VLOOKUP(C894, [6]條件!$A:$L, 5, 0), "")</f>
        <v/>
      </c>
      <c r="F894" s="978" t="str">
        <f>IFERROR(VLOOKUP(C894, [6]條件!$A:$L, 6, 0), "")</f>
        <v/>
      </c>
      <c r="G894" s="1411" t="str">
        <f>IFERROR(VLOOKUP(C894, [6]條件!$A:$L, 7, 0), "")</f>
        <v/>
      </c>
      <c r="H894" s="978" t="str">
        <f>IF(ISNA(VLOOKUP(C894,[6]條件!$A$1:$K$932,11,0)),"",(VLOOKUP(C894,[6]條件!$A$1:$K$932,11,0)))</f>
        <v/>
      </c>
      <c r="I894" s="979" t="str">
        <f>IF(ISNA(VLOOKUP(C894,[6]條件!$A$1:$L$932,12,0)),"",(VLOOKUP(C894,[6]條件!$A$1:$L$932,12,0)))</f>
        <v/>
      </c>
      <c r="J894" s="982"/>
      <c r="K894" s="980"/>
      <c r="L894" s="981" t="s">
        <v>632</v>
      </c>
      <c r="M894" s="983"/>
      <c r="N894" s="982"/>
      <c r="O894" s="980"/>
      <c r="P894" s="981" t="s">
        <v>632</v>
      </c>
      <c r="Q894" s="983"/>
      <c r="R894" s="982"/>
      <c r="S894" s="980"/>
      <c r="T894" s="981" t="s">
        <v>632</v>
      </c>
      <c r="U894" s="983"/>
      <c r="V894" s="982"/>
      <c r="W894" s="980"/>
      <c r="X894" s="981" t="s">
        <v>632</v>
      </c>
      <c r="Y894" s="983"/>
      <c r="Z894" s="1412" t="str">
        <f>IFERROR(VLOOKUP(C894, [6]條件!$A:$L, 3, 0), "")</f>
        <v/>
      </c>
      <c r="AA894" s="984" t="str">
        <f>IF(OR(L894={"改紡","檢修","了機","清車","FINAL","停機","SAMPLE","TEST","絲開發"}), L894, IFERROR(IF(C894="", "", (SUM(J894, N894, R894, V894)/3 * AG894) * IF(AND(AF894="S", AS894="雙"), 0.5, 1)), ""))</f>
        <v>停機</v>
      </c>
      <c r="AB894" s="1413" t="str">
        <f t="shared" si="152"/>
        <v/>
      </c>
      <c r="AC894" s="984" t="str">
        <f>IF(OR(L894={"改紡","檢修","了機","清車","FINAL","停機","SAMPLE","TEST"}), "", IFERROR(IF(C894="", "", AVERAGE(L894:M894, P894:Q894, T894:U894, X894:Y894)/100), ""))</f>
        <v/>
      </c>
      <c r="AD894" s="984" t="str">
        <f t="shared" si="150"/>
        <v/>
      </c>
      <c r="AE894" s="984" t="str">
        <f t="shared" si="153"/>
        <v/>
      </c>
      <c r="AF894" s="985" t="str">
        <f t="shared" si="145"/>
        <v>J</v>
      </c>
      <c r="AG894" s="1414">
        <v>1</v>
      </c>
      <c r="AH894" s="1002" t="s">
        <v>640</v>
      </c>
      <c r="AI894" s="1002" t="s">
        <v>640</v>
      </c>
      <c r="AJ894" s="986" t="s">
        <v>640</v>
      </c>
      <c r="AK894" s="986" t="s">
        <v>640</v>
      </c>
      <c r="AL894" s="1415"/>
      <c r="AM894" s="1323"/>
      <c r="AN894" s="1323"/>
      <c r="AO894" s="1323"/>
      <c r="AP894" s="1323"/>
      <c r="AQ894" s="1323"/>
      <c r="AR894" s="987"/>
      <c r="AS894" s="978" t="str">
        <f t="shared" si="146"/>
        <v>單</v>
      </c>
      <c r="AT894" s="978" t="str">
        <f t="shared" si="147"/>
        <v>全</v>
      </c>
      <c r="AU894" s="978" t="str">
        <f t="shared" si="148"/>
        <v/>
      </c>
      <c r="AV894" s="978" t="str">
        <f t="shared" si="149"/>
        <v/>
      </c>
    </row>
    <row r="895" spans="1:48">
      <c r="A895" s="975">
        <f t="shared" si="154"/>
        <v>46165</v>
      </c>
      <c r="B895" s="976" t="s">
        <v>233</v>
      </c>
      <c r="C895" s="976" t="s">
        <v>16772</v>
      </c>
      <c r="D895" s="1410" t="s">
        <v>633</v>
      </c>
      <c r="E895" s="977" t="str">
        <f>IFERROR(VLOOKUP(C895, [6]條件!$A:$L, 5, 0), "")</f>
        <v>150/48/2SDr</v>
      </c>
      <c r="F895" s="978" t="str">
        <f>IFERROR(VLOOKUP(C895, [6]條件!$A:$L, 6, 0), "")</f>
        <v>FP82171R×2</v>
      </c>
      <c r="G895" s="1411">
        <f>IFERROR(VLOOKUP(C895, [6]條件!$A:$L, 7, 0), "")</f>
        <v>600</v>
      </c>
      <c r="H895" s="978" t="str">
        <f>IF(ISNA(VLOOKUP(C895,[6]條件!$A$1:$K$932,11,0)),"",(VLOOKUP(C895,[6]條件!$A$1:$K$932,11,0)))</f>
        <v>紅白直條</v>
      </c>
      <c r="I895" s="979">
        <f>IF(ISNA(VLOOKUP(C895,[6]條件!$A$1:$L$932,12,0)),"",(VLOOKUP(C895,[6]條件!$A$1:$L$932,12,0)))</f>
        <v>5.5</v>
      </c>
      <c r="J895" s="982">
        <v>18</v>
      </c>
      <c r="K895" s="980">
        <v>3</v>
      </c>
      <c r="L895" s="981">
        <v>6360</v>
      </c>
      <c r="M895" s="983"/>
      <c r="N895" s="982">
        <v>6</v>
      </c>
      <c r="O895" s="980">
        <v>0</v>
      </c>
      <c r="P895" s="981">
        <v>6510</v>
      </c>
      <c r="Q895" s="983"/>
      <c r="R895" s="982">
        <v>6</v>
      </c>
      <c r="S895" s="980">
        <v>1</v>
      </c>
      <c r="T895" s="981">
        <v>6500</v>
      </c>
      <c r="U895" s="983"/>
      <c r="V895" s="982">
        <v>14</v>
      </c>
      <c r="W895" s="980">
        <v>3</v>
      </c>
      <c r="X895" s="981">
        <v>6490</v>
      </c>
      <c r="Y895" s="983"/>
      <c r="Z895" s="1412">
        <f>IFERROR(VLOOKUP(C895, [6]條件!$A:$L, 3, 0), "")</f>
        <v>5.0526315789473673</v>
      </c>
      <c r="AA895" s="984">
        <f>IF(OR(L895={"改紡","檢修","了機","清車","FINAL","停機","SAMPLE","TEST","絲開發"}), L895, IFERROR(IF(C895="", "", (SUM(J895, N895, R895, V895)/3 * AG895) * IF(AND(AF895="S", AS895="雙"), 0.5, 1)), ""))</f>
        <v>14.666666666666666</v>
      </c>
      <c r="AB895" s="1413">
        <f t="shared" si="152"/>
        <v>0.99333934294871795</v>
      </c>
      <c r="AC895" s="984">
        <f>IF(OR(L895={"改紡","檢修","了機","清車","FINAL","停機","SAMPLE","TEST"}), "", IFERROR(IF(C895="", "", AVERAGE(L895:M895, P895:Q895, T895:U895, X895:Y895)/100), ""))</f>
        <v>64.650000000000006</v>
      </c>
      <c r="AD895" s="984">
        <f t="shared" si="150"/>
        <v>1.8333333333333333</v>
      </c>
      <c r="AE895" s="984">
        <f t="shared" si="153"/>
        <v>1.5416666666666667</v>
      </c>
      <c r="AF895" s="985" t="str">
        <f t="shared" si="145"/>
        <v>J</v>
      </c>
      <c r="AG895" s="1414">
        <v>1</v>
      </c>
      <c r="AH895" s="1002" t="s">
        <v>16021</v>
      </c>
      <c r="AI895" s="1002" t="s">
        <v>814</v>
      </c>
      <c r="AJ895" s="986" t="s">
        <v>16019</v>
      </c>
      <c r="AK895" s="986" t="s">
        <v>16019</v>
      </c>
      <c r="AL895" s="1415">
        <v>55</v>
      </c>
      <c r="AM895" s="1323">
        <v>46157</v>
      </c>
      <c r="AN895" s="1323">
        <v>46160</v>
      </c>
      <c r="AO895" s="1323">
        <v>46161</v>
      </c>
      <c r="AP895" s="1323">
        <v>46162</v>
      </c>
      <c r="AQ895" s="1323">
        <v>46163</v>
      </c>
      <c r="AR895" s="987"/>
      <c r="AS895" s="978" t="str">
        <f t="shared" si="146"/>
        <v>雙</v>
      </c>
      <c r="AT895" s="978" t="str">
        <f t="shared" si="147"/>
        <v>全</v>
      </c>
      <c r="AU895" s="978">
        <f t="shared" si="148"/>
        <v>150</v>
      </c>
      <c r="AV895" s="978">
        <f t="shared" si="149"/>
        <v>4.021747200000001</v>
      </c>
    </row>
    <row r="896" spans="1:48">
      <c r="A896" s="975">
        <f t="shared" si="154"/>
        <v>46165</v>
      </c>
      <c r="B896" s="976" t="s">
        <v>234</v>
      </c>
      <c r="C896" s="976" t="s">
        <v>632</v>
      </c>
      <c r="D896" s="1410"/>
      <c r="E896" s="977" t="str">
        <f>IFERROR(VLOOKUP(C896, [6]條件!$A:$L, 5, 0), "")</f>
        <v/>
      </c>
      <c r="F896" s="978" t="str">
        <f>IFERROR(VLOOKUP(C896, [6]條件!$A:$L, 6, 0), "")</f>
        <v/>
      </c>
      <c r="G896" s="1411" t="str">
        <f>IFERROR(VLOOKUP(C896, [6]條件!$A:$L, 7, 0), "")</f>
        <v/>
      </c>
      <c r="H896" s="978" t="str">
        <f>IF(ISNA(VLOOKUP(C896,[6]條件!$A$1:$K$932,11,0)),"",(VLOOKUP(C896,[6]條件!$A$1:$K$932,11,0)))</f>
        <v/>
      </c>
      <c r="I896" s="979" t="str">
        <f>IF(ISNA(VLOOKUP(C896,[6]條件!$A$1:$L$932,12,0)),"",(VLOOKUP(C896,[6]條件!$A$1:$L$932,12,0)))</f>
        <v/>
      </c>
      <c r="J896" s="982"/>
      <c r="K896" s="980"/>
      <c r="L896" s="981" t="s">
        <v>632</v>
      </c>
      <c r="M896" s="983"/>
      <c r="N896" s="982"/>
      <c r="O896" s="980"/>
      <c r="P896" s="981" t="s">
        <v>632</v>
      </c>
      <c r="Q896" s="983"/>
      <c r="R896" s="982"/>
      <c r="S896" s="980"/>
      <c r="T896" s="981" t="s">
        <v>632</v>
      </c>
      <c r="U896" s="983"/>
      <c r="V896" s="982"/>
      <c r="W896" s="980"/>
      <c r="X896" s="981" t="s">
        <v>632</v>
      </c>
      <c r="Y896" s="983"/>
      <c r="Z896" s="1412" t="str">
        <f>IFERROR(VLOOKUP(C896, [6]條件!$A:$L, 3, 0), "")</f>
        <v/>
      </c>
      <c r="AA896" s="984" t="str">
        <f>IF(OR(L896={"改紡","檢修","了機","清車","FINAL","停機","SAMPLE","TEST","絲開發"}), L896, IFERROR(IF(C896="", "", (SUM(J896, N896, R896, V896)/3 * AG896) * IF(AND(AF896="S", AS896="雙"), 0.5, 1)), ""))</f>
        <v>停機</v>
      </c>
      <c r="AB896" s="1413" t="str">
        <f t="shared" si="152"/>
        <v/>
      </c>
      <c r="AC896" s="984" t="str">
        <f>IF(OR(L896={"改紡","檢修","了機","清車","FINAL","停機","SAMPLE","TEST"}), "", IFERROR(IF(C896="", "", AVERAGE(L896:M896, P896:Q896, T896:U896, X896:Y896)/100), ""))</f>
        <v/>
      </c>
      <c r="AD896" s="984" t="str">
        <f t="shared" si="150"/>
        <v/>
      </c>
      <c r="AE896" s="984" t="str">
        <f t="shared" si="153"/>
        <v/>
      </c>
      <c r="AF896" s="985" t="str">
        <f t="shared" si="145"/>
        <v>J</v>
      </c>
      <c r="AG896" s="1414">
        <v>1</v>
      </c>
      <c r="AH896" s="1002" t="s">
        <v>640</v>
      </c>
      <c r="AI896" s="1002" t="s">
        <v>640</v>
      </c>
      <c r="AJ896" s="986" t="s">
        <v>640</v>
      </c>
      <c r="AK896" s="986" t="s">
        <v>640</v>
      </c>
      <c r="AL896" s="1415"/>
      <c r="AM896" s="1323"/>
      <c r="AN896" s="1323"/>
      <c r="AO896" s="1323"/>
      <c r="AP896" s="1323"/>
      <c r="AQ896" s="1323"/>
      <c r="AR896" s="987"/>
      <c r="AS896" s="978" t="str">
        <f t="shared" si="146"/>
        <v>單</v>
      </c>
      <c r="AT896" s="978" t="str">
        <f t="shared" si="147"/>
        <v>全</v>
      </c>
      <c r="AU896" s="978" t="str">
        <f t="shared" si="148"/>
        <v/>
      </c>
      <c r="AV896" s="978" t="str">
        <f t="shared" si="149"/>
        <v/>
      </c>
    </row>
    <row r="897" spans="1:48">
      <c r="A897" s="975">
        <f t="shared" si="154"/>
        <v>46165</v>
      </c>
      <c r="B897" s="976" t="s">
        <v>235</v>
      </c>
      <c r="C897" s="976" t="s">
        <v>16765</v>
      </c>
      <c r="D897" s="1410" t="s">
        <v>633</v>
      </c>
      <c r="E897" s="977" t="str">
        <f>IFERROR(VLOOKUP(C897, [6]條件!$A:$L, 5, 0), "")</f>
        <v>150/48/2SDr</v>
      </c>
      <c r="F897" s="978" t="str">
        <f>IFERROR(VLOOKUP(C897, [6]條件!$A:$L, 6, 0), "")</f>
        <v>FP82173R×2</v>
      </c>
      <c r="G897" s="1411">
        <f>IFERROR(VLOOKUP(C897, [6]條件!$A:$L, 7, 0), "")</f>
        <v>700</v>
      </c>
      <c r="H897" s="978" t="str">
        <f>IF(ISNA(VLOOKUP(C897,[6]條件!$A$1:$K$932,11,0)),"",(VLOOKUP(C897,[6]條件!$A$1:$K$932,11,0)))</f>
        <v>白紫條紋</v>
      </c>
      <c r="I897" s="979">
        <f>IF(ISNA(VLOOKUP(C897,[6]條件!$A$1:$L$932,12,0)),"",(VLOOKUP(C897,[6]條件!$A$1:$L$932,12,0)))</f>
        <v>5.5</v>
      </c>
      <c r="J897" s="982">
        <v>25</v>
      </c>
      <c r="K897" s="980">
        <v>4</v>
      </c>
      <c r="L897" s="981">
        <v>8240</v>
      </c>
      <c r="M897" s="983">
        <v>7040</v>
      </c>
      <c r="N897" s="982">
        <v>19</v>
      </c>
      <c r="O897" s="980">
        <v>0</v>
      </c>
      <c r="P897" s="981">
        <v>7130</v>
      </c>
      <c r="Q897" s="983">
        <v>7960</v>
      </c>
      <c r="R897" s="982">
        <v>30</v>
      </c>
      <c r="S897" s="980">
        <v>5</v>
      </c>
      <c r="T897" s="981">
        <v>7410</v>
      </c>
      <c r="U897" s="983">
        <v>9070</v>
      </c>
      <c r="V897" s="982">
        <v>47</v>
      </c>
      <c r="W897" s="980">
        <v>9</v>
      </c>
      <c r="X897" s="981">
        <v>8150</v>
      </c>
      <c r="Y897" s="983">
        <v>9070</v>
      </c>
      <c r="Z897" s="1412">
        <f>IFERROR(VLOOKUP(C897, [6]條件!$A:$L, 3, 0), "")</f>
        <v>5.8775510204081636</v>
      </c>
      <c r="AA897" s="984">
        <f>IF(OR(L897={"改紡","檢修","了機","清車","FINAL","停機","SAMPLE","TEST","絲開發"}), L897, IFERROR(IF(C897="", "", (SUM(J897, N897, R897, V897)/3 * AG897) * IF(AND(AF897="S", AS897="雙"), 0.5, 1)), ""))</f>
        <v>40.333333333333336</v>
      </c>
      <c r="AB897" s="1413">
        <f t="shared" si="152"/>
        <v>0.98527644230769229</v>
      </c>
      <c r="AC897" s="984">
        <f>IF(OR(L897={"改紡","檢修","了機","清車","FINAL","停機","SAMPLE","TEST"}), "", IFERROR(IF(C897="", "", AVERAGE(L897:M897, P897:Q897, T897:U897, X897:Y897)/100), ""))</f>
        <v>80.087500000000006</v>
      </c>
      <c r="AD897" s="984">
        <f t="shared" si="150"/>
        <v>5.041666666666667</v>
      </c>
      <c r="AE897" s="984">
        <f t="shared" si="153"/>
        <v>4.291666666666667</v>
      </c>
      <c r="AF897" s="985" t="str">
        <f t="shared" si="145"/>
        <v>T</v>
      </c>
      <c r="AG897" s="1414">
        <v>1</v>
      </c>
      <c r="AH897" s="1002" t="s">
        <v>16022</v>
      </c>
      <c r="AI897" s="1002" t="s">
        <v>16024</v>
      </c>
      <c r="AJ897" s="1002" t="s">
        <v>16009</v>
      </c>
      <c r="AK897" s="1002" t="s">
        <v>16009</v>
      </c>
      <c r="AL897" s="1415">
        <v>56</v>
      </c>
      <c r="AM897" s="1323">
        <v>46161</v>
      </c>
      <c r="AN897" s="1323">
        <v>46162</v>
      </c>
      <c r="AO897" s="1323">
        <v>46163</v>
      </c>
      <c r="AP897" s="1323">
        <v>46164</v>
      </c>
      <c r="AQ897" s="1323"/>
      <c r="AR897" s="987"/>
      <c r="AS897" s="978" t="str">
        <f t="shared" si="146"/>
        <v>雙</v>
      </c>
      <c r="AT897" s="978" t="str">
        <f t="shared" si="147"/>
        <v>全</v>
      </c>
      <c r="AU897" s="978">
        <f t="shared" si="148"/>
        <v>150</v>
      </c>
      <c r="AV897" s="978">
        <f t="shared" si="149"/>
        <v>5.8124304000000002</v>
      </c>
    </row>
    <row r="898" spans="1:48">
      <c r="A898" s="975">
        <f t="shared" si="154"/>
        <v>46165</v>
      </c>
      <c r="B898" s="976" t="s">
        <v>237</v>
      </c>
      <c r="C898" s="976" t="s">
        <v>16759</v>
      </c>
      <c r="D898" s="1410" t="s">
        <v>633</v>
      </c>
      <c r="E898" s="977" t="str">
        <f>IFERROR(VLOOKUP(C898, [6]條件!$A:$L, 5, 0), "")</f>
        <v>150/48/2SDr</v>
      </c>
      <c r="F898" s="978" t="str">
        <f>IFERROR(VLOOKUP(C898, [6]條件!$A:$L, 6, 0), "")</f>
        <v>FP82171R×2</v>
      </c>
      <c r="G898" s="1411">
        <f>IFERROR(VLOOKUP(C898, [6]條件!$A:$L, 7, 0), "")</f>
        <v>700</v>
      </c>
      <c r="H898" s="978" t="str">
        <f>IF(ISNA(VLOOKUP(C898,[6]條件!$A$1:$K$932,11,0)),"",(VLOOKUP(C898,[6]條件!$A$1:$K$932,11,0)))</f>
        <v>紅底黃星</v>
      </c>
      <c r="I898" s="979">
        <f>IF(ISNA(VLOOKUP(C898,[6]條件!$A$1:$L$932,12,0)),"",(VLOOKUP(C898,[6]條件!$A$1:$L$932,12,0)))</f>
        <v>5.5</v>
      </c>
      <c r="J898" s="982">
        <v>25</v>
      </c>
      <c r="K898" s="980">
        <v>0</v>
      </c>
      <c r="L898" s="981">
        <v>5830</v>
      </c>
      <c r="M898" s="983">
        <v>6480</v>
      </c>
      <c r="N898" s="982">
        <v>26</v>
      </c>
      <c r="O898" s="980">
        <v>0</v>
      </c>
      <c r="P898" s="981">
        <v>6670</v>
      </c>
      <c r="Q898" s="983">
        <v>7040</v>
      </c>
      <c r="R898" s="982">
        <v>34</v>
      </c>
      <c r="S898" s="980">
        <v>0</v>
      </c>
      <c r="T898" s="981">
        <v>8520</v>
      </c>
      <c r="U898" s="983">
        <v>6300</v>
      </c>
      <c r="V898" s="982">
        <v>79</v>
      </c>
      <c r="W898" s="980">
        <v>0</v>
      </c>
      <c r="X898" s="981">
        <v>9070</v>
      </c>
      <c r="Y898" s="983">
        <v>8330</v>
      </c>
      <c r="Z898" s="1412">
        <f>IFERROR(VLOOKUP(C898, [6]條件!$A:$L, 3, 0), "")</f>
        <v>5.8299595141700413</v>
      </c>
      <c r="AA898" s="984">
        <f>IF(OR(L898={"改紡","檢修","了機","清車","FINAL","停機","SAMPLE","TEST","絲開發"}), L898, IFERROR(IF(C898="", "", (SUM(J898, N898, R898, V898)/3 * AG898) * IF(AND(AF898="S", AS898="雙"), 0.5, 1)), ""))</f>
        <v>54.666666666666664</v>
      </c>
      <c r="AB898" s="1413">
        <f t="shared" si="152"/>
        <v>1</v>
      </c>
      <c r="AC898" s="984">
        <f>IF(OR(L898={"改紡","檢修","了機","清車","FINAL","停機","SAMPLE","TEST"}), "", IFERROR(IF(C898="", "", AVERAGE(L898:M898, P898:Q898, T898:U898, X898:Y898)/100), ""))</f>
        <v>72.8</v>
      </c>
      <c r="AD898" s="984">
        <f t="shared" si="150"/>
        <v>6.833333333333333</v>
      </c>
      <c r="AE898" s="984">
        <f t="shared" si="153"/>
        <v>6.833333333333333</v>
      </c>
      <c r="AF898" s="985" t="str">
        <f t="shared" ref="AF898:AF961" si="155">LEFT(B898, 1)</f>
        <v>T</v>
      </c>
      <c r="AG898" s="1414">
        <v>1</v>
      </c>
      <c r="AH898" s="1002" t="s">
        <v>16022</v>
      </c>
      <c r="AI898" s="1002" t="s">
        <v>16024</v>
      </c>
      <c r="AJ898" s="986" t="s">
        <v>16014</v>
      </c>
      <c r="AK898" s="986" t="s">
        <v>16014</v>
      </c>
      <c r="AL898" s="1415">
        <v>55</v>
      </c>
      <c r="AM898" s="1323">
        <v>46159</v>
      </c>
      <c r="AN898" s="1323">
        <v>46161</v>
      </c>
      <c r="AO898" s="1323">
        <v>46162</v>
      </c>
      <c r="AP898" s="1323"/>
      <c r="AQ898" s="1323"/>
      <c r="AR898" s="987"/>
      <c r="AS898" s="978" t="str">
        <f t="shared" ref="AS898:AS961" si="156">IF(RIGHT(F898, 2) = "×2", "雙", "單")</f>
        <v>雙</v>
      </c>
      <c r="AT898" s="978" t="str">
        <f t="shared" ref="AT898:AT961" si="157">IF(OR(AF898="J", AF898="T", AF898="M"), IF(AG898=1, "全", "半"), IF(AF898="A", IF(AG898=0.5, IF(AS898="雙", "全", ""), IF(AG898=1, IF(AS898="雙", "半", "全"), IF(AG898=2, "半", ""))), IF(AF898="S", AG898 &amp; "sec", "")))</f>
        <v>全</v>
      </c>
      <c r="AU898" s="978">
        <f t="shared" ref="AU898:AU961" si="158">IFERROR(VALUE(LEFT(E898, FIND("/", E898)-1)), "")</f>
        <v>150</v>
      </c>
      <c r="AV898" s="978">
        <f t="shared" ref="AV898:AV961" si="159">IFERROR(IF(AF898="S", (AU898*G898*AC898*0.03456/100/1000) * (AG898*12/144) * IF(AS898="單", 1, 0.5), IF(AF898="A", (AU898*G898*AC898*0.03456/100/1000) * IF(AT898="全", 1, 0.5), IF(OR(AF898="T", AF898="J", AF898="M"), (AU898*G898*AC898*0.03456/100/1000) * IF(AS898="單", 1, 2) * IF(AT898="全", 1, 0.5), 0))), "")</f>
        <v>5.2835327999999997</v>
      </c>
    </row>
    <row r="899" spans="1:48">
      <c r="A899" s="975">
        <f t="shared" si="154"/>
        <v>46165</v>
      </c>
      <c r="B899" s="976" t="s">
        <v>238</v>
      </c>
      <c r="C899" s="976" t="s">
        <v>16743</v>
      </c>
      <c r="D899" s="1410"/>
      <c r="E899" s="977" t="str">
        <f>IFERROR(VLOOKUP(C899, [6]條件!$A:$L, 5, 0), "")</f>
        <v>150/48/2SDr</v>
      </c>
      <c r="F899" s="978" t="str">
        <f>IFERROR(VLOOKUP(C899, [6]條件!$A:$L, 6, 0), "")</f>
        <v>FP82169R×2</v>
      </c>
      <c r="G899" s="1411">
        <f>IFERROR(VLOOKUP(C899, [6]條件!$A:$L, 7, 0), "")</f>
        <v>670</v>
      </c>
      <c r="H899" s="978" t="str">
        <f>IF(ISNA(VLOOKUP(C899,[6]條件!$A$1:$K$932,11,0)),"",(VLOOKUP(C899,[6]條件!$A$1:$K$932,11,0)))</f>
        <v>黃底紅點</v>
      </c>
      <c r="I899" s="979">
        <f>IF(ISNA(VLOOKUP(C899,[6]條件!$A$1:$L$932,12,0)),"",(VLOOKUP(C899,[6]條件!$A$1:$L$932,12,0)))</f>
        <v>5</v>
      </c>
      <c r="J899" s="982">
        <v>32</v>
      </c>
      <c r="K899" s="980">
        <v>0</v>
      </c>
      <c r="L899" s="981">
        <v>8330</v>
      </c>
      <c r="M899" s="983"/>
      <c r="N899" s="982">
        <v>9</v>
      </c>
      <c r="O899" s="980">
        <v>0</v>
      </c>
      <c r="P899" s="981">
        <v>7690</v>
      </c>
      <c r="Q899" s="983"/>
      <c r="R899" s="982">
        <v>17</v>
      </c>
      <c r="S899" s="980">
        <v>0</v>
      </c>
      <c r="T899" s="981">
        <v>8430</v>
      </c>
      <c r="U899" s="983"/>
      <c r="V899" s="982">
        <v>23</v>
      </c>
      <c r="W899" s="980">
        <v>0</v>
      </c>
      <c r="X899" s="981">
        <v>8700</v>
      </c>
      <c r="Y899" s="983"/>
      <c r="Z899" s="1412">
        <f>IFERROR(VLOOKUP(C899, [6]條件!$A:$L, 3, 0), "")</f>
        <v>6.2882096069868991</v>
      </c>
      <c r="AA899" s="984">
        <f>IF(OR(L899={"改紡","檢修","了機","清車","FINAL","停機","SAMPLE","TEST","絲開發"}), L899, IFERROR(IF(C899="", "", (SUM(J899, N899, R899, V899)/3 * AG899) * IF(AND(AF899="S", AS899="雙"), 0.5, 1)), ""))</f>
        <v>54</v>
      </c>
      <c r="AB899" s="1413">
        <f t="shared" si="152"/>
        <v>1</v>
      </c>
      <c r="AC899" s="984">
        <f>IF(OR(L899={"改紡","檢修","了機","清車","FINAL","停機","SAMPLE","TEST"}), "", IFERROR(IF(C899="", "", AVERAGE(L899:M899, P899:Q899, T899:U899, X899:Y899)/100), ""))</f>
        <v>82.875</v>
      </c>
      <c r="AD899" s="984">
        <f t="shared" si="150"/>
        <v>6.75</v>
      </c>
      <c r="AE899" s="984">
        <f t="shared" si="153"/>
        <v>6.75</v>
      </c>
      <c r="AF899" s="985" t="str">
        <f t="shared" si="155"/>
        <v>T</v>
      </c>
      <c r="AG899" s="1414">
        <v>2</v>
      </c>
      <c r="AH899" s="1002" t="s">
        <v>16022</v>
      </c>
      <c r="AI899" s="1002" t="s">
        <v>16024</v>
      </c>
      <c r="AJ899" s="1002" t="s">
        <v>16009</v>
      </c>
      <c r="AK899" s="1002" t="s">
        <v>16009</v>
      </c>
      <c r="AL899" s="1415">
        <v>48</v>
      </c>
      <c r="AM899" s="1323">
        <v>46157</v>
      </c>
      <c r="AN899" s="1323">
        <v>46159</v>
      </c>
      <c r="AO899" s="1323">
        <v>46160</v>
      </c>
      <c r="AP899" s="1323"/>
      <c r="AQ899" s="1323"/>
      <c r="AR899" s="987"/>
      <c r="AS899" s="978" t="str">
        <f t="shared" si="156"/>
        <v>雙</v>
      </c>
      <c r="AT899" s="978" t="str">
        <f t="shared" si="157"/>
        <v>半</v>
      </c>
      <c r="AU899" s="978">
        <f t="shared" si="158"/>
        <v>150</v>
      </c>
      <c r="AV899" s="978">
        <f t="shared" si="159"/>
        <v>2.8784808000000002</v>
      </c>
    </row>
    <row r="900" spans="1:48">
      <c r="A900" s="975">
        <f t="shared" si="154"/>
        <v>46165</v>
      </c>
      <c r="B900" s="976" t="s">
        <v>238</v>
      </c>
      <c r="C900" s="976" t="s">
        <v>16742</v>
      </c>
      <c r="D900" s="1410"/>
      <c r="E900" s="977" t="str">
        <f>IFERROR(VLOOKUP(C900, [6]條件!$A:$L, 5, 0), "")</f>
        <v>150/48/2SDr</v>
      </c>
      <c r="F900" s="978" t="str">
        <f>IFERROR(VLOOKUP(C900, [6]條件!$A:$L, 6, 0), "")</f>
        <v>FP82169R×2</v>
      </c>
      <c r="G900" s="1411">
        <f>IFERROR(VLOOKUP(C900, [6]條件!$A:$L, 7, 0), "")</f>
        <v>670</v>
      </c>
      <c r="H900" s="978" t="str">
        <f>IF(ISNA(VLOOKUP(C900,[6]條件!$A$1:$K$932,11,0)),"",(VLOOKUP(C900,[6]條件!$A$1:$K$932,11,0)))</f>
        <v>紅底藍點</v>
      </c>
      <c r="I900" s="979">
        <f>IF(ISNA(VLOOKUP(C900,[6]條件!$A$1:$L$932,12,0)),"",(VLOOKUP(C900,[6]條件!$A$1:$L$932,12,0)))</f>
        <v>5</v>
      </c>
      <c r="J900" s="982">
        <v>26</v>
      </c>
      <c r="K900" s="980">
        <v>0</v>
      </c>
      <c r="L900" s="981">
        <v>7220</v>
      </c>
      <c r="M900" s="983"/>
      <c r="N900" s="982">
        <v>39</v>
      </c>
      <c r="O900" s="980">
        <v>0</v>
      </c>
      <c r="P900" s="981">
        <v>9440</v>
      </c>
      <c r="Q900" s="983"/>
      <c r="R900" s="982">
        <v>5</v>
      </c>
      <c r="S900" s="980">
        <v>0</v>
      </c>
      <c r="T900" s="981"/>
      <c r="U900" s="983">
        <v>8890</v>
      </c>
      <c r="V900" s="982">
        <v>22</v>
      </c>
      <c r="W900" s="980">
        <v>3</v>
      </c>
      <c r="X900" s="981"/>
      <c r="Y900" s="983">
        <v>9070</v>
      </c>
      <c r="Z900" s="1412">
        <f>IFERROR(VLOOKUP(C900, [6]條件!$A:$L, 3, 0), "")</f>
        <v>6.1802575107296125</v>
      </c>
      <c r="AA900" s="984">
        <f>IF(OR(L900={"改紡","檢修","了機","清車","FINAL","停機","SAMPLE","TEST","絲開發"}), L900, IFERROR(IF(C900="", "", (SUM(J900, N900, R900, V900)/3 * AG900) * IF(AND(AF900="S", AS900="雙"), 0.5, 1)), ""))</f>
        <v>61.333333333333336</v>
      </c>
      <c r="AB900" s="1413">
        <f t="shared" si="152"/>
        <v>0.99766626602564101</v>
      </c>
      <c r="AC900" s="984">
        <f>IF(OR(L900={"改紡","檢修","了機","清車","FINAL","停機","SAMPLE","TEST"}), "", IFERROR(IF(C900="", "", AVERAGE(L900:M900, P900:Q900, T900:U900, X900:Y900)/100), ""))</f>
        <v>86.55</v>
      </c>
      <c r="AD900" s="984">
        <f t="shared" si="150"/>
        <v>7.666666666666667</v>
      </c>
      <c r="AE900" s="984">
        <f t="shared" si="153"/>
        <v>7.416666666666667</v>
      </c>
      <c r="AF900" s="985" t="str">
        <f t="shared" si="155"/>
        <v>T</v>
      </c>
      <c r="AG900" s="1414">
        <v>2</v>
      </c>
      <c r="AH900" s="1002" t="s">
        <v>16022</v>
      </c>
      <c r="AI900" s="1002" t="s">
        <v>16008</v>
      </c>
      <c r="AJ900" s="986" t="s">
        <v>16014</v>
      </c>
      <c r="AK900" s="986" t="s">
        <v>16014</v>
      </c>
      <c r="AL900" s="1415">
        <v>48</v>
      </c>
      <c r="AM900" s="1323">
        <v>46158</v>
      </c>
      <c r="AN900" s="1323">
        <v>46159</v>
      </c>
      <c r="AO900" s="1323"/>
      <c r="AP900" s="1323"/>
      <c r="AQ900" s="1323"/>
      <c r="AR900" s="987"/>
      <c r="AS900" s="978" t="str">
        <f t="shared" si="156"/>
        <v>雙</v>
      </c>
      <c r="AT900" s="978" t="str">
        <f t="shared" si="157"/>
        <v>半</v>
      </c>
      <c r="AU900" s="978">
        <f t="shared" si="158"/>
        <v>150</v>
      </c>
      <c r="AV900" s="978">
        <f t="shared" si="159"/>
        <v>3.0061238400000003</v>
      </c>
    </row>
    <row r="901" spans="1:48">
      <c r="A901" s="975">
        <f t="shared" si="154"/>
        <v>46165</v>
      </c>
      <c r="B901" s="976" t="s">
        <v>239</v>
      </c>
      <c r="C901" s="976" t="s">
        <v>16787</v>
      </c>
      <c r="D901" s="1410" t="s">
        <v>16788</v>
      </c>
      <c r="E901" s="977" t="str">
        <f>IFERROR(VLOOKUP(C901, [6]條件!$A:$L, 5, 0), "")</f>
        <v>150/48/2SDR</v>
      </c>
      <c r="F901" s="978" t="str">
        <f>IFERROR(VLOOKUP(C901, [6]條件!$A:$L, 6, 0), "")</f>
        <v>FP82169R×2</v>
      </c>
      <c r="G901" s="1411">
        <f>IFERROR(VLOOKUP(C901, [6]條件!$A:$L, 7, 0), "")</f>
        <v>650</v>
      </c>
      <c r="H901" s="978" t="str">
        <f>IF(ISNA(VLOOKUP(C901,[6]條件!$A$1:$K$932,11,0)),"",(VLOOKUP(C901,[6]條件!$A$1:$K$932,11,0)))</f>
        <v>紫黃條紋</v>
      </c>
      <c r="I901" s="979">
        <f>IF(ISNA(VLOOKUP(C901,[6]條件!$A$1:$L$932,12,0)),"",(VLOOKUP(C901,[6]條件!$A$1:$L$932,12,0)))</f>
        <v>5</v>
      </c>
      <c r="J901" s="982">
        <v>20</v>
      </c>
      <c r="K901" s="980">
        <v>5</v>
      </c>
      <c r="L901" s="981"/>
      <c r="M901" s="983">
        <v>9720</v>
      </c>
      <c r="N901" s="982">
        <v>1</v>
      </c>
      <c r="O901" s="980">
        <v>0</v>
      </c>
      <c r="P901" s="981" t="s">
        <v>632</v>
      </c>
      <c r="Q901" s="983">
        <v>9540</v>
      </c>
      <c r="R901" s="982">
        <v>3</v>
      </c>
      <c r="S901" s="980">
        <v>0</v>
      </c>
      <c r="T901" s="981" t="s">
        <v>632</v>
      </c>
      <c r="U901" s="983">
        <v>9170</v>
      </c>
      <c r="V901" s="982">
        <v>15</v>
      </c>
      <c r="W901" s="980">
        <v>0</v>
      </c>
      <c r="X901" s="981" t="s">
        <v>16004</v>
      </c>
      <c r="Y901" s="983">
        <v>8700</v>
      </c>
      <c r="Z901" s="1412">
        <f>IFERROR(VLOOKUP(C901, [6]條件!$A:$L, 3, 0), "")</f>
        <v>6.101694915254237</v>
      </c>
      <c r="AA901" s="984">
        <f>IF(OR(L901={"改紡","檢修","了機","清車","FINAL","停機","SAMPLE","TEST","絲開發"}), L901, IFERROR(IF(C901="", "", (SUM(J901, N901, R901, V901)/3 * AG901) * IF(AND(AF901="S", AS901="雙"), 0.5, 1)), ""))</f>
        <v>26</v>
      </c>
      <c r="AB901" s="1413">
        <f t="shared" si="152"/>
        <v>0.99606036324786329</v>
      </c>
      <c r="AC901" s="984">
        <f>IF(OR(L901={"改紡","檢修","了機","清車","FINAL","停機","SAMPLE","TEST"}), "", IFERROR(IF(C901="", "", AVERAGE(L901:M901, P901:Q901, T901:U901, X901:Y901)/100), ""))</f>
        <v>92.825000000000003</v>
      </c>
      <c r="AD901" s="984">
        <f t="shared" ref="AD901:AD964" si="160">IF(ISERROR(AA901/8),"",(AA901/8))</f>
        <v>3.25</v>
      </c>
      <c r="AE901" s="984">
        <f t="shared" si="153"/>
        <v>2.8333333333333335</v>
      </c>
      <c r="AF901" s="985" t="str">
        <f t="shared" si="155"/>
        <v>T</v>
      </c>
      <c r="AG901" s="1414">
        <v>2</v>
      </c>
      <c r="AH901" s="1002" t="s">
        <v>16008</v>
      </c>
      <c r="AI901" s="1002" t="s">
        <v>638</v>
      </c>
      <c r="AJ901" s="986" t="s">
        <v>16014</v>
      </c>
      <c r="AK901" s="986" t="s">
        <v>16014</v>
      </c>
      <c r="AL901" s="1415"/>
      <c r="AM901" s="1323"/>
      <c r="AN901" s="1323"/>
      <c r="AO901" s="1323"/>
      <c r="AP901" s="1323"/>
      <c r="AQ901" s="1323"/>
      <c r="AR901" s="987"/>
      <c r="AS901" s="978" t="str">
        <f t="shared" si="156"/>
        <v>雙</v>
      </c>
      <c r="AT901" s="978" t="str">
        <f t="shared" si="157"/>
        <v>半</v>
      </c>
      <c r="AU901" s="978">
        <f t="shared" si="158"/>
        <v>150</v>
      </c>
      <c r="AV901" s="978">
        <f t="shared" si="159"/>
        <v>3.1278312000000001</v>
      </c>
    </row>
    <row r="902" spans="1:48">
      <c r="A902" s="975">
        <f t="shared" si="154"/>
        <v>46165</v>
      </c>
      <c r="B902" s="976" t="s">
        <v>388</v>
      </c>
      <c r="C902" s="976" t="s">
        <v>16775</v>
      </c>
      <c r="D902" s="1410" t="s">
        <v>633</v>
      </c>
      <c r="E902" s="977" t="str">
        <f>IFERROR(VLOOKUP(C902, [6]條件!$A:$L, 5, 0), "")</f>
        <v>150/48/2SDr</v>
      </c>
      <c r="F902" s="978" t="str">
        <f>IFERROR(VLOOKUP(C902, [6]條件!$A:$L, 6, 0), "")</f>
        <v>FP82173R×2</v>
      </c>
      <c r="G902" s="1411">
        <f>IFERROR(VLOOKUP(C902, [6]條件!$A:$L, 7, 0), "")</f>
        <v>700</v>
      </c>
      <c r="H902" s="978" t="str">
        <f>IF(ISNA(VLOOKUP(C902,[6]條件!$A$1:$K$932,11,0)),"",(VLOOKUP(C902,[6]條件!$A$1:$K$932,11,0)))</f>
        <v>黃紅雙色</v>
      </c>
      <c r="I902" s="979">
        <f>IF(ISNA(VLOOKUP(C902,[6]條件!$A$1:$L$932,12,0)),"",(VLOOKUP(C902,[6]條件!$A$1:$L$932,12,0)))</f>
        <v>5.5</v>
      </c>
      <c r="J902" s="982">
        <v>54</v>
      </c>
      <c r="K902" s="980">
        <v>1</v>
      </c>
      <c r="L902" s="981">
        <v>8700</v>
      </c>
      <c r="M902" s="983">
        <v>10000</v>
      </c>
      <c r="N902" s="982">
        <v>4</v>
      </c>
      <c r="O902" s="980">
        <v>0</v>
      </c>
      <c r="P902" s="981">
        <v>8330</v>
      </c>
      <c r="Q902" s="983">
        <v>9440</v>
      </c>
      <c r="R902" s="982">
        <v>11</v>
      </c>
      <c r="S902" s="980">
        <v>0</v>
      </c>
      <c r="T902" s="981">
        <v>7980</v>
      </c>
      <c r="U902" s="983">
        <v>9630</v>
      </c>
      <c r="V902" s="982">
        <v>35</v>
      </c>
      <c r="W902" s="980">
        <v>0</v>
      </c>
      <c r="X902" s="981">
        <v>8700</v>
      </c>
      <c r="Y902" s="983">
        <v>10000</v>
      </c>
      <c r="Z902" s="1412">
        <f>IFERROR(VLOOKUP(C902, [6]條件!$A:$L, 3, 0), "")</f>
        <v>5.8536585365853666</v>
      </c>
      <c r="AA902" s="984">
        <f>IF(OR(L902={"改紡","檢修","了機","清車","FINAL","停機","SAMPLE","TEST","絲開發"}), L902, IFERROR(IF(C902="", "", (SUM(J902, N902, R902, V902)/3 * AG902) * IF(AND(AF902="S", AS902="雙"), 0.5, 1)), ""))</f>
        <v>34.666666666666664</v>
      </c>
      <c r="AB902" s="1413">
        <f t="shared" si="152"/>
        <v>0.99917868589743586</v>
      </c>
      <c r="AC902" s="984">
        <f>IF(OR(L902={"改紡","檢修","了機","清車","FINAL","停機","SAMPLE","TEST"}), "", IFERROR(IF(C902="", "", AVERAGE(L902:M902, P902:Q902, T902:U902, X902:Y902)/100), ""))</f>
        <v>90.974999999999994</v>
      </c>
      <c r="AD902" s="984">
        <f t="shared" si="160"/>
        <v>4.333333333333333</v>
      </c>
      <c r="AE902" s="984">
        <f t="shared" si="153"/>
        <v>4.291666666666667</v>
      </c>
      <c r="AF902" s="985" t="str">
        <f t="shared" si="155"/>
        <v>T</v>
      </c>
      <c r="AG902" s="1414">
        <v>1</v>
      </c>
      <c r="AH902" s="1002" t="s">
        <v>16008</v>
      </c>
      <c r="AI902" s="1002" t="s">
        <v>638</v>
      </c>
      <c r="AJ902" s="1002" t="s">
        <v>16009</v>
      </c>
      <c r="AK902" s="1002" t="s">
        <v>16009</v>
      </c>
      <c r="AL902" s="1415">
        <v>56</v>
      </c>
      <c r="AM902" s="1323">
        <v>46161</v>
      </c>
      <c r="AN902" s="1323">
        <v>46162</v>
      </c>
      <c r="AO902" s="1323">
        <v>46164</v>
      </c>
      <c r="AP902" s="1323"/>
      <c r="AQ902" s="1323"/>
      <c r="AR902" s="987"/>
      <c r="AS902" s="978" t="str">
        <f t="shared" si="156"/>
        <v>雙</v>
      </c>
      <c r="AT902" s="978" t="str">
        <f t="shared" si="157"/>
        <v>全</v>
      </c>
      <c r="AU902" s="978">
        <f t="shared" si="158"/>
        <v>150</v>
      </c>
      <c r="AV902" s="978">
        <f t="shared" si="159"/>
        <v>6.6026015999999998</v>
      </c>
    </row>
    <row r="903" spans="1:48">
      <c r="A903" s="975">
        <f t="shared" si="154"/>
        <v>46165</v>
      </c>
      <c r="B903" s="976" t="s">
        <v>417</v>
      </c>
      <c r="C903" s="976" t="s">
        <v>16767</v>
      </c>
      <c r="D903" s="1410" t="s">
        <v>633</v>
      </c>
      <c r="E903" s="977" t="str">
        <f>IFERROR(VLOOKUP(C903, [6]條件!$A:$L, 5, 0), "")</f>
        <v>150/48/2SDr</v>
      </c>
      <c r="F903" s="978" t="str">
        <f>IFERROR(VLOOKUP(C903, [6]條件!$A:$L, 6, 0), "")</f>
        <v>FP82173R×2</v>
      </c>
      <c r="G903" s="1411">
        <f>IFERROR(VLOOKUP(C903, [6]條件!$A:$L, 7, 0), "")</f>
        <v>700</v>
      </c>
      <c r="H903" s="978" t="str">
        <f>IF(ISNA(VLOOKUP(C903,[6]條件!$A$1:$K$932,11,0)),"",(VLOOKUP(C903,[6]條件!$A$1:$K$932,11,0)))</f>
        <v>棕色</v>
      </c>
      <c r="I903" s="979">
        <f>IF(ISNA(VLOOKUP(C903,[6]條件!$A$1:$L$932,12,0)),"",(VLOOKUP(C903,[6]條件!$A$1:$L$932,12,0)))</f>
        <v>5.5</v>
      </c>
      <c r="J903" s="982">
        <v>31</v>
      </c>
      <c r="K903" s="980">
        <v>3</v>
      </c>
      <c r="L903" s="981">
        <v>9910</v>
      </c>
      <c r="M903" s="983">
        <v>9630</v>
      </c>
      <c r="N903" s="982">
        <v>19</v>
      </c>
      <c r="O903" s="980">
        <v>12</v>
      </c>
      <c r="P903" s="981">
        <v>8980</v>
      </c>
      <c r="Q903" s="983">
        <v>9170</v>
      </c>
      <c r="R903" s="982">
        <v>12</v>
      </c>
      <c r="S903" s="980">
        <v>0</v>
      </c>
      <c r="T903" s="981">
        <v>9430</v>
      </c>
      <c r="U903" s="983">
        <v>9260</v>
      </c>
      <c r="V903" s="982">
        <v>36</v>
      </c>
      <c r="W903" s="980">
        <v>0</v>
      </c>
      <c r="X903" s="981">
        <v>9540</v>
      </c>
      <c r="Y903" s="983">
        <v>9170</v>
      </c>
      <c r="Z903" s="1412">
        <f>IFERROR(VLOOKUP(C903, [6]條件!$A:$L, 3, 0), "")</f>
        <v>5.8536585365853666</v>
      </c>
      <c r="AA903" s="984">
        <f>IF(OR(L903={"改紡","檢修","了機","清車","FINAL","停機","SAMPLE","TEST","絲開發"}), L903, IFERROR(IF(C903="", "", (SUM(J903, N903, R903, V903)/3 * AG903) * IF(AND(AF903="S", AS903="雙"), 0.5, 1)), ""))</f>
        <v>32.666666666666664</v>
      </c>
      <c r="AB903" s="1413">
        <f t="shared" si="152"/>
        <v>0.98768028846153844</v>
      </c>
      <c r="AC903" s="984">
        <f>IF(OR(L903={"改紡","檢修","了機","清車","FINAL","停機","SAMPLE","TEST"}), "", IFERROR(IF(C903="", "", AVERAGE(L903:M903, P903:Q903, T903:U903, X903:Y903)/100), ""))</f>
        <v>93.862499999999997</v>
      </c>
      <c r="AD903" s="984">
        <f t="shared" si="160"/>
        <v>4.083333333333333</v>
      </c>
      <c r="AE903" s="984">
        <f t="shared" si="153"/>
        <v>3.4583333333333335</v>
      </c>
      <c r="AF903" s="985" t="str">
        <f t="shared" si="155"/>
        <v>T</v>
      </c>
      <c r="AG903" s="1414">
        <v>1</v>
      </c>
      <c r="AH903" s="1002" t="s">
        <v>16008</v>
      </c>
      <c r="AI903" s="1002" t="s">
        <v>638</v>
      </c>
      <c r="AJ903" s="986" t="s">
        <v>16014</v>
      </c>
      <c r="AK903" s="986" t="s">
        <v>16014</v>
      </c>
      <c r="AL903" s="1415">
        <v>56</v>
      </c>
      <c r="AM903" s="1323">
        <v>46161</v>
      </c>
      <c r="AN903" s="1323">
        <v>46162</v>
      </c>
      <c r="AO903" s="1323">
        <v>46163</v>
      </c>
      <c r="AP903" s="1323"/>
      <c r="AQ903" s="1323"/>
      <c r="AR903" s="987"/>
      <c r="AS903" s="978" t="str">
        <f t="shared" si="156"/>
        <v>雙</v>
      </c>
      <c r="AT903" s="978" t="str">
        <f t="shared" si="157"/>
        <v>全</v>
      </c>
      <c r="AU903" s="978">
        <f t="shared" si="158"/>
        <v>150</v>
      </c>
      <c r="AV903" s="978">
        <f t="shared" si="159"/>
        <v>6.8121647999999997</v>
      </c>
    </row>
    <row r="904" spans="1:48">
      <c r="A904" s="975">
        <f t="shared" si="154"/>
        <v>46165</v>
      </c>
      <c r="B904" s="976" t="s">
        <v>240</v>
      </c>
      <c r="C904" s="976" t="s">
        <v>16776</v>
      </c>
      <c r="D904" s="1410"/>
      <c r="E904" s="977" t="str">
        <f>IFERROR(VLOOKUP(C904, [6]條件!$A:$L, 5, 0), "")</f>
        <v>50/72/2SDFFR</v>
      </c>
      <c r="F904" s="978" t="str">
        <f>IFERROR(VLOOKUP(C904, [6]條件!$A:$L, 6, 0), "")</f>
        <v>FP80099R×2</v>
      </c>
      <c r="G904" s="1411">
        <f>IFERROR(VLOOKUP(C904, [6]條件!$A:$L, 7, 0), "")</f>
        <v>500</v>
      </c>
      <c r="H904" s="978" t="str">
        <f>IF(ISNA(VLOOKUP(C904,[6]條件!$A$1:$K$932,11,0)),"",(VLOOKUP(C904,[6]條件!$A$1:$K$932,11,0)))</f>
        <v>白黑三角</v>
      </c>
      <c r="I904" s="979">
        <f>IF(ISNA(VLOOKUP(C904,[6]條件!$A$1:$L$932,12,0)),"",(VLOOKUP(C904,[6]條件!$A$1:$L$932,12,0)))</f>
        <v>4</v>
      </c>
      <c r="J904" s="982">
        <v>14</v>
      </c>
      <c r="K904" s="980">
        <v>0</v>
      </c>
      <c r="L904" s="981">
        <v>2674</v>
      </c>
      <c r="M904" s="983"/>
      <c r="N904" s="982">
        <v>10</v>
      </c>
      <c r="O904" s="980">
        <v>0</v>
      </c>
      <c r="P904" s="981">
        <v>2304</v>
      </c>
      <c r="Q904" s="983"/>
      <c r="R904" s="982"/>
      <c r="S904" s="980"/>
      <c r="T904" s="981" t="s">
        <v>16002</v>
      </c>
      <c r="U904" s="983"/>
      <c r="V904" s="982"/>
      <c r="W904" s="980"/>
      <c r="X904" s="981" t="s">
        <v>16002</v>
      </c>
      <c r="Y904" s="983"/>
      <c r="Z904" s="1422">
        <f>IFERROR(VLOOKUP(C904, [6]條件!$A:$L, 3, 0), "")</f>
        <v>2.028169014084507</v>
      </c>
      <c r="AA904" s="1167">
        <f>IF(OR(L904={"改紡","檢修","了機","清車","FINAL","停機","SAMPLE","TEST","絲開發"}), L904, IFERROR(IF(C904="", "", (SUM(J904, N904, R904, V904)/3 * AG904) * IF(AND(AF904="S", AS904="雙"), 0.5, 1)), ""))</f>
        <v>12</v>
      </c>
      <c r="AB904" s="1423">
        <f>IF(K904="","",IF(ISERROR(1-((SUM(K904,O904,S904,W904)/((AG904*12)-(AG904*0.44)))/Z904)),"",(1-((SUM(K904,O904,S904,W904)/((AG904*12)-(AG904*0.44)))/Z904))))</f>
        <v>1</v>
      </c>
      <c r="AC904" s="1167">
        <f>IF(OR(L904={"改紡","檢修","了機","清車","FINAL","停機","SAMPLE","TEST"}), "", IFERROR(IF(C904="", "", AVERAGE(L904:M904, P904:Q904, T904:U904, X904:Y904)/100), ""))</f>
        <v>24.89</v>
      </c>
      <c r="AD904" s="1167">
        <f t="shared" si="160"/>
        <v>1.5</v>
      </c>
      <c r="AE904" s="1167">
        <f>IF(P904="了機","",IF(J904="","",IF(ISERROR((SUM(J904,N904,R904,V904)-SUM(K904,O904,S904,W904))/24),"",((SUM(J904,N904,R904,V904)-SUM(K904,O904,S904,W904))/24))))</f>
        <v>1</v>
      </c>
      <c r="AF904" s="1168" t="str">
        <f t="shared" si="155"/>
        <v>S</v>
      </c>
      <c r="AG904" s="1424">
        <v>3</v>
      </c>
      <c r="AH904" s="1002" t="s">
        <v>16000</v>
      </c>
      <c r="AI904" s="1002" t="s">
        <v>636</v>
      </c>
      <c r="AJ904" s="986" t="s">
        <v>16019</v>
      </c>
      <c r="AK904" s="986" t="s">
        <v>16019</v>
      </c>
      <c r="AL904" s="1415">
        <v>50</v>
      </c>
      <c r="AM904" s="1323">
        <v>46043</v>
      </c>
      <c r="AN904" s="1323">
        <v>46044</v>
      </c>
      <c r="AO904" s="1323">
        <v>46045</v>
      </c>
      <c r="AP904" s="1323"/>
      <c r="AQ904" s="1323"/>
      <c r="AR904" s="987"/>
      <c r="AS904" s="978" t="str">
        <f t="shared" si="156"/>
        <v>雙</v>
      </c>
      <c r="AT904" s="978" t="str">
        <f t="shared" si="157"/>
        <v>3sec</v>
      </c>
      <c r="AU904" s="978">
        <f t="shared" si="158"/>
        <v>50</v>
      </c>
      <c r="AV904" s="978">
        <f t="shared" si="159"/>
        <v>2.6881200000000001E-2</v>
      </c>
    </row>
    <row r="905" spans="1:48">
      <c r="A905" s="975">
        <f t="shared" si="154"/>
        <v>46165</v>
      </c>
      <c r="B905" s="976" t="s">
        <v>240</v>
      </c>
      <c r="C905" s="976" t="s">
        <v>16777</v>
      </c>
      <c r="D905" s="1410"/>
      <c r="E905" s="977" t="str">
        <f>IFERROR(VLOOKUP(C905, [6]條件!$A:$L, 5, 0), "")</f>
        <v>75/72/2SDFFR</v>
      </c>
      <c r="F905" s="978" t="str">
        <f>IFERROR(VLOOKUP(C905, [6]條件!$A:$L, 6, 0), "")</f>
        <v>FP81209R×2</v>
      </c>
      <c r="G905" s="1411">
        <f>IFERROR(VLOOKUP(C905, [6]條件!$A:$L, 7, 0), "")</f>
        <v>600</v>
      </c>
      <c r="H905" s="978" t="str">
        <f>IF(ISNA(VLOOKUP(C905,[6]條件!$A$1:$K$932,11,0)),"",(VLOOKUP(C905,[6]條件!$A$1:$K$932,11,0)))</f>
        <v>白底紅十字</v>
      </c>
      <c r="I905" s="979">
        <f>IF(ISNA(VLOOKUP(C905,[6]條件!$A$1:$L$932,12,0)),"",(VLOOKUP(C905,[6]條件!$A$1:$L$932,12,0)))</f>
        <v>5</v>
      </c>
      <c r="J905" s="982">
        <v>10</v>
      </c>
      <c r="K905" s="980">
        <v>0</v>
      </c>
      <c r="L905" s="981">
        <v>2674</v>
      </c>
      <c r="M905" s="983"/>
      <c r="N905" s="982">
        <v>8</v>
      </c>
      <c r="O905" s="980">
        <v>0</v>
      </c>
      <c r="P905" s="981">
        <v>2304</v>
      </c>
      <c r="Q905" s="983"/>
      <c r="R905" s="982">
        <v>8</v>
      </c>
      <c r="S905" s="980">
        <v>0</v>
      </c>
      <c r="T905" s="981">
        <v>2201</v>
      </c>
      <c r="U905" s="983"/>
      <c r="V905" s="982">
        <v>8</v>
      </c>
      <c r="W905" s="980">
        <v>0</v>
      </c>
      <c r="X905" s="981">
        <v>2185</v>
      </c>
      <c r="Y905" s="983"/>
      <c r="Z905" s="1422">
        <f>IFERROR(VLOOKUP(C905, [6]條件!$A:$L, 3, 0), "")</f>
        <v>2.7852998065764023</v>
      </c>
      <c r="AA905" s="1167">
        <f>IF(OR(L905={"改紡","檢修","了機","清車","FINAL","停機","SAMPLE","TEST","絲開發"}), L905, IFERROR(IF(C905="", "", (SUM(J905, N905, R905, V905)/3 * AG905) * IF(AND(AF905="S", AS905="雙"), 0.5, 1)), ""))</f>
        <v>17</v>
      </c>
      <c r="AB905" s="1423">
        <f>IF(K905="","",IF(ISERROR(1-((SUM(K905,O905,S905,W905)/((AG905*12)-(AG905*0.44)))/Z905)),"",(1-((SUM(K905,O905,S905,W905)/((AG905*12)-(AG905*0.44)))/Z905))))</f>
        <v>1</v>
      </c>
      <c r="AC905" s="1167">
        <f>IF(OR(L905={"改紡","檢修","了機","清車","FINAL","停機","SAMPLE","TEST"}), "", IFERROR(IF(C905="", "", AVERAGE(L905:M905, P905:Q905, T905:U905, X905:Y905)/100), ""))</f>
        <v>23.41</v>
      </c>
      <c r="AD905" s="1167">
        <f t="shared" si="160"/>
        <v>2.125</v>
      </c>
      <c r="AE905" s="1167">
        <f>IF(P905="了機","",IF(J905="","",IF(ISERROR((SUM(J905,N905,R905,V905)-SUM(K905,O905,S905,W905))/24),"",((SUM(J905,N905,R905,V905)-SUM(K905,O905,S905,W905))/24))))</f>
        <v>1.4166666666666667</v>
      </c>
      <c r="AF905" s="1168" t="str">
        <f t="shared" si="155"/>
        <v>S</v>
      </c>
      <c r="AG905" s="1424">
        <v>3</v>
      </c>
      <c r="AH905" s="1002" t="s">
        <v>16000</v>
      </c>
      <c r="AI905" s="1002" t="s">
        <v>636</v>
      </c>
      <c r="AJ905" s="986" t="s">
        <v>16019</v>
      </c>
      <c r="AK905" s="986" t="s">
        <v>16019</v>
      </c>
      <c r="AL905" s="1415">
        <v>50</v>
      </c>
      <c r="AM905" s="1323">
        <v>46087</v>
      </c>
      <c r="AN905" s="1323">
        <v>46088</v>
      </c>
      <c r="AO905" s="1323"/>
      <c r="AP905" s="1323"/>
      <c r="AQ905" s="1323"/>
      <c r="AR905" s="987"/>
      <c r="AS905" s="978" t="str">
        <f t="shared" si="156"/>
        <v>雙</v>
      </c>
      <c r="AT905" s="978" t="str">
        <f t="shared" si="157"/>
        <v>3sec</v>
      </c>
      <c r="AU905" s="978">
        <f t="shared" si="158"/>
        <v>75</v>
      </c>
      <c r="AV905" s="978">
        <f t="shared" si="159"/>
        <v>4.5509040000000008E-2</v>
      </c>
    </row>
    <row r="906" spans="1:48">
      <c r="A906" s="975">
        <f t="shared" si="154"/>
        <v>46165</v>
      </c>
      <c r="B906" s="976" t="s">
        <v>242</v>
      </c>
      <c r="C906" s="976" t="s">
        <v>385</v>
      </c>
      <c r="D906" s="1410"/>
      <c r="E906" s="977" t="str">
        <f>IFERROR(VLOOKUP(C906, [6]條件!$A:$L, 5, 0), "")</f>
        <v/>
      </c>
      <c r="F906" s="978" t="str">
        <f>IFERROR(VLOOKUP(C906, [6]條件!$A:$L, 6, 0), "")</f>
        <v/>
      </c>
      <c r="G906" s="1411" t="str">
        <f>IFERROR(VLOOKUP(C906, [6]條件!$A:$L, 7, 0), "")</f>
        <v/>
      </c>
      <c r="H906" s="978" t="str">
        <f>IF(ISNA(VLOOKUP(C906,[6]條件!$A$1:$K$932,11,0)),"",(VLOOKUP(C906,[6]條件!$A$1:$K$932,11,0)))</f>
        <v/>
      </c>
      <c r="I906" s="979" t="str">
        <f>IF(ISNA(VLOOKUP(C906,[6]條件!$A$1:$L$932,12,0)),"",(VLOOKUP(C906,[6]條件!$A$1:$L$932,12,0)))</f>
        <v/>
      </c>
      <c r="J906" s="982"/>
      <c r="K906" s="980"/>
      <c r="L906" s="981" t="s">
        <v>385</v>
      </c>
      <c r="M906" s="983"/>
      <c r="N906" s="982"/>
      <c r="O906" s="980"/>
      <c r="P906" s="981" t="s">
        <v>385</v>
      </c>
      <c r="Q906" s="983"/>
      <c r="R906" s="982"/>
      <c r="S906" s="980"/>
      <c r="T906" s="981" t="s">
        <v>385</v>
      </c>
      <c r="U906" s="983"/>
      <c r="V906" s="982"/>
      <c r="W906" s="980"/>
      <c r="X906" s="981" t="s">
        <v>385</v>
      </c>
      <c r="Y906" s="983"/>
      <c r="Z906" s="1422" t="str">
        <f>IFERROR(VLOOKUP(C906, [6]條件!$A:$L, 3, 0), "")</f>
        <v/>
      </c>
      <c r="AA906" s="1167" t="str">
        <f>IF(OR(L906={"改紡","檢修","了機","清車","FINAL","停機","SAMPLE","TEST","絲開發"}), L906, IFERROR(IF(C906="", "", (SUM(J906, N906, R906, V906)/3 * AG906) * IF(AND(AF906="S", AS906="雙"), 0.5, 1)), ""))</f>
        <v>絲開發</v>
      </c>
      <c r="AB906" s="1423" t="str">
        <f>IF(K906="","",IF(ISERROR(1-((SUM(K906,O906,S906,W906)/((AG906*12)-(AG906*0.44)))/Z906)),"",(1-((SUM(K906,O906,S906,W906)/((AG906*12)-(AG906*0.44)))/Z906))))</f>
        <v/>
      </c>
      <c r="AC906" s="1167" t="str">
        <f>IF(OR(L906={"改紡","檢修","了機","清車","FINAL","停機","SAMPLE","TEST"}), "", IFERROR(IF(C906="", "", AVERAGE(L906:M906, P906:Q906, T906:U906, X906:Y906)/100), ""))</f>
        <v/>
      </c>
      <c r="AD906" s="1167" t="str">
        <f t="shared" si="160"/>
        <v/>
      </c>
      <c r="AE906" s="1167" t="str">
        <f>IF(P906="了機","",IF(J906="","",IF(ISERROR((SUM(J906,N906,R906,V906)-SUM(K906,O906,S906,W906))/24),"",((SUM(J906,N906,R906,V906)-SUM(K906,O906,S906,W906))/24))))</f>
        <v/>
      </c>
      <c r="AF906" s="1168" t="str">
        <f t="shared" si="155"/>
        <v>S</v>
      </c>
      <c r="AG906" s="1424">
        <v>5</v>
      </c>
      <c r="AH906" s="1002" t="s">
        <v>16000</v>
      </c>
      <c r="AI906" s="1002" t="s">
        <v>636</v>
      </c>
      <c r="AJ906" s="986" t="s">
        <v>16019</v>
      </c>
      <c r="AK906" s="986" t="s">
        <v>16019</v>
      </c>
      <c r="AL906" s="1415"/>
      <c r="AM906" s="1323"/>
      <c r="AN906" s="1323"/>
      <c r="AO906" s="1323"/>
      <c r="AP906" s="1323"/>
      <c r="AQ906" s="1323"/>
      <c r="AR906" s="987"/>
      <c r="AS906" s="978" t="str">
        <f t="shared" si="156"/>
        <v>單</v>
      </c>
      <c r="AT906" s="978" t="str">
        <f t="shared" si="157"/>
        <v>5sec</v>
      </c>
      <c r="AU906" s="978" t="str">
        <f t="shared" si="158"/>
        <v/>
      </c>
      <c r="AV906" s="978" t="str">
        <f t="shared" si="159"/>
        <v/>
      </c>
    </row>
    <row r="907" spans="1:48">
      <c r="A907" s="975">
        <f t="shared" si="154"/>
        <v>46165</v>
      </c>
      <c r="B907" s="976" t="s">
        <v>16078</v>
      </c>
      <c r="C907" s="988" t="s">
        <v>16185</v>
      </c>
      <c r="D907" s="1410"/>
      <c r="E907" s="977" t="str">
        <f>IFERROR(VLOOKUP(C907, [6]條件!$A:$L, 5, 0), "")</f>
        <v/>
      </c>
      <c r="F907" s="978" t="str">
        <f>IFERROR(VLOOKUP(C907, [6]條件!$A:$L, 6, 0), "")</f>
        <v/>
      </c>
      <c r="G907" s="1411" t="str">
        <f>IFERROR(VLOOKUP(C907, [6]條件!$A:$L, 7, 0), "")</f>
        <v/>
      </c>
      <c r="H907" s="978" t="str">
        <f>IF(ISNA(VLOOKUP(C907,[6]條件!$A$1:$K$932,11,0)),"",(VLOOKUP(C907,[6]條件!$A$1:$K$932,11,0)))</f>
        <v/>
      </c>
      <c r="I907" s="979" t="str">
        <f>IF(ISNA(VLOOKUP(C907,[6]條件!$A$1:$L$932,12,0)),"",(VLOOKUP(C907,[6]條件!$A$1:$L$932,12,0)))</f>
        <v/>
      </c>
      <c r="J907" s="982"/>
      <c r="K907" s="980"/>
      <c r="L907" s="981" t="s">
        <v>632</v>
      </c>
      <c r="M907" s="983"/>
      <c r="N907" s="982"/>
      <c r="O907" s="980"/>
      <c r="P907" s="981" t="s">
        <v>632</v>
      </c>
      <c r="Q907" s="983"/>
      <c r="R907" s="982"/>
      <c r="S907" s="980"/>
      <c r="T907" s="981" t="s">
        <v>632</v>
      </c>
      <c r="U907" s="983"/>
      <c r="V907" s="982"/>
      <c r="W907" s="980"/>
      <c r="X907" s="981" t="s">
        <v>632</v>
      </c>
      <c r="Y907" s="983"/>
      <c r="Z907" s="1412" t="str">
        <f>IFERROR(VLOOKUP(C907, [6]條件!$A:$L, 3, 0), "")</f>
        <v/>
      </c>
      <c r="AA907" s="984" t="str">
        <f>IF(OR(L907={"改紡","檢修","了機","清車","FINAL","停機","SAMPLE","TEST","絲開發"}), L907, IFERROR(IF(C907="", "", (SUM(J907, N907, R907, V907)/3 * AG907) * IF(AND(AF907="S", AS907="雙"), 0.5, 1)), ""))</f>
        <v>停機</v>
      </c>
      <c r="AB907" s="1413" t="str">
        <f t="shared" ref="AB907:AB942" si="161">IF(K907="","",IF(ISERROR(1-(SUM(K907,O907,S907,W907)/208/Z907)),"",(1-(SUM(K907,O907,S907,W907)/208/Z907))))</f>
        <v/>
      </c>
      <c r="AC907" s="984" t="str">
        <f>IF(OR(L907={"改紡","檢修","了機","清車","FINAL","停機","SAMPLE","TEST"}), "", IFERROR(IF(C907="", "", AVERAGE(L907:M907, P907:Q907, T907:U907, X907:Y907)/100), ""))</f>
        <v/>
      </c>
      <c r="AD907" s="984" t="str">
        <f t="shared" si="160"/>
        <v/>
      </c>
      <c r="AE907" s="984" t="str">
        <f>IF(OR(L907="改紡", L907="檢修", L907="了機"), "",
   IF(AND(C907&lt;&gt;"", J907&lt;&gt;""),
      IFERROR((SUM(J907, N907, R907, V907) - SUM(K907, O907, S907, W907))/24 * AG907, ""),
   "")
)</f>
        <v/>
      </c>
      <c r="AF907" s="985" t="str">
        <f t="shared" si="155"/>
        <v>M</v>
      </c>
      <c r="AG907" s="1414">
        <v>1</v>
      </c>
      <c r="AH907" s="1002" t="s">
        <v>640</v>
      </c>
      <c r="AI907" s="1002" t="s">
        <v>640</v>
      </c>
      <c r="AJ907" s="986" t="s">
        <v>640</v>
      </c>
      <c r="AK907" s="986" t="s">
        <v>640</v>
      </c>
      <c r="AL907" s="1415"/>
      <c r="AM907" s="1323"/>
      <c r="AN907" s="1323"/>
      <c r="AO907" s="1323"/>
      <c r="AP907" s="1323"/>
      <c r="AQ907" s="1323"/>
      <c r="AR907" s="987"/>
      <c r="AS907" s="978" t="str">
        <f t="shared" si="156"/>
        <v>單</v>
      </c>
      <c r="AT907" s="978" t="str">
        <f t="shared" si="157"/>
        <v>全</v>
      </c>
      <c r="AU907" s="978" t="str">
        <f t="shared" si="158"/>
        <v/>
      </c>
      <c r="AV907" s="978" t="str">
        <f t="shared" si="159"/>
        <v/>
      </c>
    </row>
    <row r="908" spans="1:48">
      <c r="A908" s="975">
        <f t="shared" si="154"/>
        <v>46165</v>
      </c>
      <c r="B908" s="976" t="s">
        <v>243</v>
      </c>
      <c r="C908" s="988" t="s">
        <v>16185</v>
      </c>
      <c r="D908" s="1410"/>
      <c r="E908" s="977" t="str">
        <f>IFERROR(VLOOKUP(C908, [6]條件!$A:$L, 5, 0), "")</f>
        <v/>
      </c>
      <c r="F908" s="978" t="str">
        <f>IFERROR(VLOOKUP(C908, [6]條件!$A:$L, 6, 0), "")</f>
        <v/>
      </c>
      <c r="G908" s="1411" t="str">
        <f>IFERROR(VLOOKUP(C908, [6]條件!$A:$L, 7, 0), "")</f>
        <v/>
      </c>
      <c r="H908" s="978" t="str">
        <f>IF(ISNA(VLOOKUP(C908,[6]條件!$A$1:$K$932,11,0)),"",(VLOOKUP(C908,[6]條件!$A$1:$K$932,11,0)))</f>
        <v/>
      </c>
      <c r="I908" s="979" t="str">
        <f>IF(ISNA(VLOOKUP(C908,[6]條件!$A$1:$L$932,12,0)),"",(VLOOKUP(C908,[6]條件!$A$1:$L$932,12,0)))</f>
        <v/>
      </c>
      <c r="J908" s="982"/>
      <c r="K908" s="980"/>
      <c r="L908" s="981" t="s">
        <v>632</v>
      </c>
      <c r="M908" s="983"/>
      <c r="N908" s="982"/>
      <c r="O908" s="980"/>
      <c r="P908" s="981" t="s">
        <v>632</v>
      </c>
      <c r="Q908" s="983"/>
      <c r="R908" s="982"/>
      <c r="S908" s="980"/>
      <c r="T908" s="981" t="s">
        <v>632</v>
      </c>
      <c r="U908" s="983"/>
      <c r="V908" s="982"/>
      <c r="W908" s="980"/>
      <c r="X908" s="981" t="s">
        <v>632</v>
      </c>
      <c r="Y908" s="983"/>
      <c r="Z908" s="1412" t="str">
        <f>IFERROR(VLOOKUP(C908, [6]條件!$A:$L, 3, 0), "")</f>
        <v/>
      </c>
      <c r="AA908" s="984" t="str">
        <f>IF(OR(L908={"改紡","檢修","了機","清車","FINAL","停機","SAMPLE","TEST","絲開發"}), L908, IFERROR(IF(C908="", "", (SUM(J908, N908, R908, V908)/3 * AG908) * IF(AND(AF908="S", AS908="雙"), 0.5, 1)), ""))</f>
        <v>停機</v>
      </c>
      <c r="AB908" s="1413" t="str">
        <f t="shared" si="161"/>
        <v/>
      </c>
      <c r="AC908" s="984" t="str">
        <f>IF(OR(L908={"改紡","檢修","了機","清車","FINAL","停機","SAMPLE","TEST"}), "", IFERROR(IF(C908="", "", AVERAGE(L908:M908, P908:Q908, T908:U908, X908:Y908)/100), ""))</f>
        <v/>
      </c>
      <c r="AD908" s="984" t="str">
        <f t="shared" si="160"/>
        <v/>
      </c>
      <c r="AE908" s="984" t="str">
        <f t="shared" ref="AE908:AE942" si="162">IF(OR(L908="改紡", L908="檢修", L908="了機"), "",
IF(AND(C908&lt;&gt;"", J908&lt;&gt;""),
IFERROR((SUM(J908, N908, R908, V908) - SUM(K908, O908, S908, W908))/24 * AG908, ""),
"")
)</f>
        <v/>
      </c>
      <c r="AF908" s="985" t="str">
        <f t="shared" si="155"/>
        <v>M</v>
      </c>
      <c r="AG908" s="1414">
        <v>1</v>
      </c>
      <c r="AH908" s="1002" t="s">
        <v>640</v>
      </c>
      <c r="AI908" s="1002" t="s">
        <v>640</v>
      </c>
      <c r="AJ908" s="986" t="s">
        <v>640</v>
      </c>
      <c r="AK908" s="986" t="s">
        <v>640</v>
      </c>
      <c r="AL908" s="1415"/>
      <c r="AM908" s="1323"/>
      <c r="AN908" s="1323"/>
      <c r="AO908" s="1323"/>
      <c r="AP908" s="1323"/>
      <c r="AQ908" s="1323"/>
      <c r="AR908" s="987"/>
      <c r="AS908" s="978" t="str">
        <f t="shared" si="156"/>
        <v>單</v>
      </c>
      <c r="AT908" s="978" t="str">
        <f t="shared" si="157"/>
        <v>全</v>
      </c>
      <c r="AU908" s="978" t="str">
        <f t="shared" si="158"/>
        <v/>
      </c>
      <c r="AV908" s="978" t="str">
        <f t="shared" si="159"/>
        <v/>
      </c>
    </row>
    <row r="909" spans="1:48">
      <c r="A909" s="975">
        <f t="shared" si="154"/>
        <v>46165</v>
      </c>
      <c r="B909" s="976" t="s">
        <v>244</v>
      </c>
      <c r="C909" s="988" t="s">
        <v>16185</v>
      </c>
      <c r="D909" s="1410"/>
      <c r="E909" s="977" t="str">
        <f>IFERROR(VLOOKUP(C909, [6]條件!$A:$L, 5, 0), "")</f>
        <v/>
      </c>
      <c r="F909" s="978" t="str">
        <f>IFERROR(VLOOKUP(C909, [6]條件!$A:$L, 6, 0), "")</f>
        <v/>
      </c>
      <c r="G909" s="1411" t="str">
        <f>IFERROR(VLOOKUP(C909, [6]條件!$A:$L, 7, 0), "")</f>
        <v/>
      </c>
      <c r="H909" s="978" t="str">
        <f>IF(ISNA(VLOOKUP(C909,[6]條件!$A$1:$K$932,11,0)),"",(VLOOKUP(C909,[6]條件!$A$1:$K$932,11,0)))</f>
        <v/>
      </c>
      <c r="I909" s="979" t="str">
        <f>IF(ISNA(VLOOKUP(C909,[6]條件!$A$1:$L$932,12,0)),"",(VLOOKUP(C909,[6]條件!$A$1:$L$932,12,0)))</f>
        <v/>
      </c>
      <c r="J909" s="982"/>
      <c r="K909" s="980"/>
      <c r="L909" s="981" t="s">
        <v>632</v>
      </c>
      <c r="M909" s="983"/>
      <c r="N909" s="982"/>
      <c r="O909" s="980"/>
      <c r="P909" s="981" t="s">
        <v>632</v>
      </c>
      <c r="Q909" s="983"/>
      <c r="R909" s="982"/>
      <c r="S909" s="980"/>
      <c r="T909" s="981" t="s">
        <v>632</v>
      </c>
      <c r="U909" s="983"/>
      <c r="V909" s="982"/>
      <c r="W909" s="980"/>
      <c r="X909" s="981" t="s">
        <v>632</v>
      </c>
      <c r="Y909" s="983"/>
      <c r="Z909" s="1412" t="str">
        <f>IFERROR(VLOOKUP(C909, [6]條件!$A:$L, 3, 0), "")</f>
        <v/>
      </c>
      <c r="AA909" s="984" t="str">
        <f>IF(OR(L909={"改紡","檢修","了機","清車","FINAL","停機","SAMPLE","TEST","絲開發"}), L909, IFERROR(IF(C909="", "", (SUM(J909, N909, R909, V909)/3 * AG909) * IF(AND(AF909="S", AS909="雙"), 0.5, 1)), ""))</f>
        <v>停機</v>
      </c>
      <c r="AB909" s="1413" t="str">
        <f t="shared" si="161"/>
        <v/>
      </c>
      <c r="AC909" s="984" t="str">
        <f>IF(OR(L909={"改紡","檢修","了機","清車","FINAL","停機","SAMPLE","TEST"}), "", IFERROR(IF(C909="", "", AVERAGE(L909:M909, P909:Q909, T909:U909, X909:Y909)/100), ""))</f>
        <v/>
      </c>
      <c r="AD909" s="984" t="str">
        <f t="shared" si="160"/>
        <v/>
      </c>
      <c r="AE909" s="984" t="str">
        <f t="shared" si="162"/>
        <v/>
      </c>
      <c r="AF909" s="985" t="str">
        <f t="shared" si="155"/>
        <v>M</v>
      </c>
      <c r="AG909" s="1414">
        <v>1</v>
      </c>
      <c r="AH909" s="1002" t="s">
        <v>640</v>
      </c>
      <c r="AI909" s="1002" t="s">
        <v>640</v>
      </c>
      <c r="AJ909" s="986" t="s">
        <v>640</v>
      </c>
      <c r="AK909" s="986" t="s">
        <v>640</v>
      </c>
      <c r="AL909" s="1415"/>
      <c r="AM909" s="1323"/>
      <c r="AN909" s="1323"/>
      <c r="AO909" s="1323"/>
      <c r="AP909" s="1323"/>
      <c r="AQ909" s="1323"/>
      <c r="AR909" s="987"/>
      <c r="AS909" s="978" t="str">
        <f t="shared" si="156"/>
        <v>單</v>
      </c>
      <c r="AT909" s="978" t="str">
        <f t="shared" si="157"/>
        <v>全</v>
      </c>
      <c r="AU909" s="978" t="str">
        <f t="shared" si="158"/>
        <v/>
      </c>
      <c r="AV909" s="978" t="str">
        <f t="shared" si="159"/>
        <v/>
      </c>
    </row>
    <row r="910" spans="1:48">
      <c r="A910" s="975">
        <f t="shared" si="154"/>
        <v>46165</v>
      </c>
      <c r="B910" s="976" t="s">
        <v>245</v>
      </c>
      <c r="C910" s="988" t="s">
        <v>16185</v>
      </c>
      <c r="D910" s="1410"/>
      <c r="E910" s="977" t="str">
        <f>IFERROR(VLOOKUP(C910, [6]條件!$A:$L, 5, 0), "")</f>
        <v/>
      </c>
      <c r="F910" s="978" t="str">
        <f>IFERROR(VLOOKUP(C910, [6]條件!$A:$L, 6, 0), "")</f>
        <v/>
      </c>
      <c r="G910" s="1411" t="str">
        <f>IFERROR(VLOOKUP(C910, [6]條件!$A:$L, 7, 0), "")</f>
        <v/>
      </c>
      <c r="H910" s="978" t="str">
        <f>IF(ISNA(VLOOKUP(C910,[6]條件!$A$1:$K$932,11,0)),"",(VLOOKUP(C910,[6]條件!$A$1:$K$932,11,0)))</f>
        <v/>
      </c>
      <c r="I910" s="979" t="str">
        <f>IF(ISNA(VLOOKUP(C910,[6]條件!$A$1:$L$932,12,0)),"",(VLOOKUP(C910,[6]條件!$A$1:$L$932,12,0)))</f>
        <v/>
      </c>
      <c r="J910" s="982"/>
      <c r="K910" s="980"/>
      <c r="L910" s="981" t="s">
        <v>632</v>
      </c>
      <c r="M910" s="983"/>
      <c r="N910" s="982"/>
      <c r="O910" s="980"/>
      <c r="P910" s="981" t="s">
        <v>632</v>
      </c>
      <c r="Q910" s="983"/>
      <c r="R910" s="982"/>
      <c r="S910" s="980"/>
      <c r="T910" s="981" t="s">
        <v>632</v>
      </c>
      <c r="U910" s="983"/>
      <c r="V910" s="982"/>
      <c r="W910" s="980"/>
      <c r="X910" s="981" t="s">
        <v>632</v>
      </c>
      <c r="Y910" s="983"/>
      <c r="Z910" s="1412" t="str">
        <f>IFERROR(VLOOKUP(C910, [6]條件!$A:$L, 3, 0), "")</f>
        <v/>
      </c>
      <c r="AA910" s="984" t="str">
        <f>IF(OR(L910={"改紡","檢修","了機","清車","FINAL","停機","SAMPLE","TEST","絲開發"}), L910, IFERROR(IF(C910="", "", (SUM(J910, N910, R910, V910)/3 * AG910) * IF(AND(AF910="S", AS910="雙"), 0.5, 1)), ""))</f>
        <v>停機</v>
      </c>
      <c r="AB910" s="1413" t="str">
        <f t="shared" si="161"/>
        <v/>
      </c>
      <c r="AC910" s="984" t="str">
        <f>IF(OR(L910={"改紡","檢修","了機","清車","FINAL","停機","SAMPLE","TEST"}), "", IFERROR(IF(C910="", "", AVERAGE(L910:M910, P910:Q910, T910:U910, X910:Y910)/100), ""))</f>
        <v/>
      </c>
      <c r="AD910" s="984" t="str">
        <f t="shared" si="160"/>
        <v/>
      </c>
      <c r="AE910" s="984" t="str">
        <f t="shared" si="162"/>
        <v/>
      </c>
      <c r="AF910" s="985" t="str">
        <f t="shared" si="155"/>
        <v>M</v>
      </c>
      <c r="AG910" s="1414">
        <v>1</v>
      </c>
      <c r="AH910" s="1002" t="s">
        <v>640</v>
      </c>
      <c r="AI910" s="1002" t="s">
        <v>640</v>
      </c>
      <c r="AJ910" s="986" t="s">
        <v>640</v>
      </c>
      <c r="AK910" s="986" t="s">
        <v>640</v>
      </c>
      <c r="AL910" s="1415"/>
      <c r="AM910" s="1323"/>
      <c r="AN910" s="1323"/>
      <c r="AO910" s="1323"/>
      <c r="AP910" s="1323"/>
      <c r="AQ910" s="1323"/>
      <c r="AR910" s="987"/>
      <c r="AS910" s="978" t="str">
        <f t="shared" si="156"/>
        <v>單</v>
      </c>
      <c r="AT910" s="978" t="str">
        <f t="shared" si="157"/>
        <v>全</v>
      </c>
      <c r="AU910" s="978" t="str">
        <f t="shared" si="158"/>
        <v/>
      </c>
      <c r="AV910" s="978" t="str">
        <f t="shared" si="159"/>
        <v/>
      </c>
    </row>
    <row r="911" spans="1:48">
      <c r="A911" s="975">
        <f t="shared" si="154"/>
        <v>46165</v>
      </c>
      <c r="B911" s="976" t="s">
        <v>246</v>
      </c>
      <c r="C911" s="988" t="s">
        <v>16185</v>
      </c>
      <c r="D911" s="1410"/>
      <c r="E911" s="977" t="str">
        <f>IFERROR(VLOOKUP(C911, [6]條件!$A:$L, 5, 0), "")</f>
        <v/>
      </c>
      <c r="F911" s="978" t="str">
        <f>IFERROR(VLOOKUP(C911, [6]條件!$A:$L, 6, 0), "")</f>
        <v/>
      </c>
      <c r="G911" s="1411" t="str">
        <f>IFERROR(VLOOKUP(C911, [6]條件!$A:$L, 7, 0), "")</f>
        <v/>
      </c>
      <c r="H911" s="978" t="str">
        <f>IF(ISNA(VLOOKUP(C911,[6]條件!$A$1:$K$932,11,0)),"",(VLOOKUP(C911,[6]條件!$A$1:$K$932,11,0)))</f>
        <v/>
      </c>
      <c r="I911" s="979" t="str">
        <f>IF(ISNA(VLOOKUP(C911,[6]條件!$A$1:$L$932,12,0)),"",(VLOOKUP(C911,[6]條件!$A$1:$L$932,12,0)))</f>
        <v/>
      </c>
      <c r="J911" s="982"/>
      <c r="K911" s="980"/>
      <c r="L911" s="981" t="s">
        <v>632</v>
      </c>
      <c r="M911" s="983"/>
      <c r="N911" s="982"/>
      <c r="O911" s="980"/>
      <c r="P911" s="981" t="s">
        <v>632</v>
      </c>
      <c r="Q911" s="983"/>
      <c r="R911" s="982"/>
      <c r="S911" s="980"/>
      <c r="T911" s="981" t="s">
        <v>632</v>
      </c>
      <c r="U911" s="983"/>
      <c r="V911" s="982"/>
      <c r="W911" s="980"/>
      <c r="X911" s="981" t="s">
        <v>632</v>
      </c>
      <c r="Y911" s="983"/>
      <c r="Z911" s="1412" t="str">
        <f>IFERROR(VLOOKUP(C911, [6]條件!$A:$L, 3, 0), "")</f>
        <v/>
      </c>
      <c r="AA911" s="984" t="str">
        <f>IF(OR(L911={"改紡","檢修","了機","清車","FINAL","停機","SAMPLE","TEST","絲開發"}), L911, IFERROR(IF(C911="", "", (SUM(J911, N911, R911, V911)/3 * AG911) * IF(AND(AF911="S", AS911="雙"), 0.5, 1)), ""))</f>
        <v>停機</v>
      </c>
      <c r="AB911" s="1413" t="str">
        <f t="shared" si="161"/>
        <v/>
      </c>
      <c r="AC911" s="984" t="str">
        <f>IF(OR(L911={"改紡","檢修","了機","清車","FINAL","停機","SAMPLE","TEST"}), "", IFERROR(IF(C911="", "", AVERAGE(L911:M911, P911:Q911, T911:U911, X911:Y911)/100), ""))</f>
        <v/>
      </c>
      <c r="AD911" s="984" t="str">
        <f t="shared" si="160"/>
        <v/>
      </c>
      <c r="AE911" s="984" t="str">
        <f t="shared" si="162"/>
        <v/>
      </c>
      <c r="AF911" s="985" t="str">
        <f t="shared" si="155"/>
        <v>M</v>
      </c>
      <c r="AG911" s="1414">
        <v>1</v>
      </c>
      <c r="AH911" s="1002" t="s">
        <v>640</v>
      </c>
      <c r="AI911" s="1002" t="s">
        <v>640</v>
      </c>
      <c r="AJ911" s="986" t="s">
        <v>640</v>
      </c>
      <c r="AK911" s="986" t="s">
        <v>640</v>
      </c>
      <c r="AL911" s="1415"/>
      <c r="AM911" s="1323"/>
      <c r="AN911" s="1323"/>
      <c r="AO911" s="1323"/>
      <c r="AP911" s="1323"/>
      <c r="AQ911" s="1323"/>
      <c r="AR911" s="987"/>
      <c r="AS911" s="978" t="str">
        <f t="shared" si="156"/>
        <v>單</v>
      </c>
      <c r="AT911" s="978" t="str">
        <f t="shared" si="157"/>
        <v>全</v>
      </c>
      <c r="AU911" s="978" t="str">
        <f t="shared" si="158"/>
        <v/>
      </c>
      <c r="AV911" s="978" t="str">
        <f t="shared" si="159"/>
        <v/>
      </c>
    </row>
    <row r="912" spans="1:48">
      <c r="A912" s="975">
        <f t="shared" si="154"/>
        <v>46165</v>
      </c>
      <c r="B912" s="976" t="s">
        <v>247</v>
      </c>
      <c r="C912" s="988" t="s">
        <v>16185</v>
      </c>
      <c r="D912" s="1410"/>
      <c r="E912" s="977" t="str">
        <f>IFERROR(VLOOKUP(C912, [6]條件!$A:$L, 5, 0), "")</f>
        <v/>
      </c>
      <c r="F912" s="978" t="str">
        <f>IFERROR(VLOOKUP(C912, [6]條件!$A:$L, 6, 0), "")</f>
        <v/>
      </c>
      <c r="G912" s="1411" t="str">
        <f>IFERROR(VLOOKUP(C912, [6]條件!$A:$L, 7, 0), "")</f>
        <v/>
      </c>
      <c r="H912" s="978" t="str">
        <f>IF(ISNA(VLOOKUP(C912,[6]條件!$A$1:$K$932,11,0)),"",(VLOOKUP(C912,[6]條件!$A$1:$K$932,11,0)))</f>
        <v/>
      </c>
      <c r="I912" s="979" t="str">
        <f>IF(ISNA(VLOOKUP(C912,[6]條件!$A$1:$L$932,12,0)),"",(VLOOKUP(C912,[6]條件!$A$1:$L$932,12,0)))</f>
        <v/>
      </c>
      <c r="J912" s="982"/>
      <c r="K912" s="980"/>
      <c r="L912" s="981" t="s">
        <v>632</v>
      </c>
      <c r="M912" s="983"/>
      <c r="N912" s="982"/>
      <c r="O912" s="980"/>
      <c r="P912" s="981" t="s">
        <v>632</v>
      </c>
      <c r="Q912" s="983"/>
      <c r="R912" s="982"/>
      <c r="S912" s="980"/>
      <c r="T912" s="981" t="s">
        <v>632</v>
      </c>
      <c r="U912" s="983"/>
      <c r="V912" s="982"/>
      <c r="W912" s="980"/>
      <c r="X912" s="981" t="s">
        <v>632</v>
      </c>
      <c r="Y912" s="983"/>
      <c r="Z912" s="1412" t="str">
        <f>IFERROR(VLOOKUP(C912, [6]條件!$A:$L, 3, 0), "")</f>
        <v/>
      </c>
      <c r="AA912" s="984" t="str">
        <f>IF(OR(L912={"改紡","檢修","了機","清車","FINAL","停機","SAMPLE","TEST","絲開發"}), L912, IFERROR(IF(C912="", "", (SUM(J912, N912, R912, V912)/3 * AG912) * IF(AND(AF912="S", AS912="雙"), 0.5, 1)), ""))</f>
        <v>停機</v>
      </c>
      <c r="AB912" s="1413" t="str">
        <f t="shared" si="161"/>
        <v/>
      </c>
      <c r="AC912" s="984" t="str">
        <f>IF(OR(L912={"改紡","檢修","了機","清車","FINAL","停機","SAMPLE","TEST"}), "", IFERROR(IF(C912="", "", AVERAGE(L912:M912, P912:Q912, T912:U912, X912:Y912)/100), ""))</f>
        <v/>
      </c>
      <c r="AD912" s="984" t="str">
        <f t="shared" si="160"/>
        <v/>
      </c>
      <c r="AE912" s="984" t="str">
        <f t="shared" si="162"/>
        <v/>
      </c>
      <c r="AF912" s="985" t="str">
        <f t="shared" si="155"/>
        <v>M</v>
      </c>
      <c r="AG912" s="1414">
        <v>1</v>
      </c>
      <c r="AH912" s="1002" t="s">
        <v>640</v>
      </c>
      <c r="AI912" s="1002" t="s">
        <v>640</v>
      </c>
      <c r="AJ912" s="986" t="s">
        <v>640</v>
      </c>
      <c r="AK912" s="986" t="s">
        <v>640</v>
      </c>
      <c r="AL912" s="1415"/>
      <c r="AM912" s="1323"/>
      <c r="AN912" s="1323"/>
      <c r="AO912" s="1323"/>
      <c r="AP912" s="1323"/>
      <c r="AQ912" s="1323"/>
      <c r="AR912" s="987"/>
      <c r="AS912" s="978" t="str">
        <f t="shared" si="156"/>
        <v>單</v>
      </c>
      <c r="AT912" s="978" t="str">
        <f t="shared" si="157"/>
        <v>全</v>
      </c>
      <c r="AU912" s="978" t="str">
        <f t="shared" si="158"/>
        <v/>
      </c>
      <c r="AV912" s="978" t="str">
        <f t="shared" si="159"/>
        <v/>
      </c>
    </row>
    <row r="913" spans="1:48">
      <c r="A913" s="975">
        <f t="shared" si="154"/>
        <v>46165</v>
      </c>
      <c r="B913" s="976" t="s">
        <v>248</v>
      </c>
      <c r="C913" s="988" t="s">
        <v>16185</v>
      </c>
      <c r="D913" s="1410"/>
      <c r="E913" s="977" t="str">
        <f>IFERROR(VLOOKUP(C913, [6]條件!$A:$L, 5, 0), "")</f>
        <v/>
      </c>
      <c r="F913" s="978" t="str">
        <f>IFERROR(VLOOKUP(C913, [6]條件!$A:$L, 6, 0), "")</f>
        <v/>
      </c>
      <c r="G913" s="1411" t="str">
        <f>IFERROR(VLOOKUP(C913, [6]條件!$A:$L, 7, 0), "")</f>
        <v/>
      </c>
      <c r="H913" s="978" t="str">
        <f>IF(ISNA(VLOOKUP(C913,[6]條件!$A$1:$K$932,11,0)),"",(VLOOKUP(C913,[6]條件!$A$1:$K$932,11,0)))</f>
        <v/>
      </c>
      <c r="I913" s="979" t="str">
        <f>IF(ISNA(VLOOKUP(C913,[6]條件!$A$1:$L$932,12,0)),"",(VLOOKUP(C913,[6]條件!$A$1:$L$932,12,0)))</f>
        <v/>
      </c>
      <c r="J913" s="982"/>
      <c r="K913" s="980"/>
      <c r="L913" s="981" t="s">
        <v>632</v>
      </c>
      <c r="M913" s="983"/>
      <c r="N913" s="982"/>
      <c r="O913" s="980"/>
      <c r="P913" s="981" t="s">
        <v>632</v>
      </c>
      <c r="Q913" s="983"/>
      <c r="R913" s="982"/>
      <c r="S913" s="980"/>
      <c r="T913" s="981" t="s">
        <v>632</v>
      </c>
      <c r="U913" s="983"/>
      <c r="V913" s="982"/>
      <c r="W913" s="980"/>
      <c r="X913" s="981" t="s">
        <v>632</v>
      </c>
      <c r="Y913" s="983"/>
      <c r="Z913" s="1412" t="str">
        <f>IFERROR(VLOOKUP(C913, [6]條件!$A:$L, 3, 0), "")</f>
        <v/>
      </c>
      <c r="AA913" s="984" t="str">
        <f>IF(OR(L913={"改紡","檢修","了機","清車","FINAL","停機","SAMPLE","TEST","絲開發"}), L913, IFERROR(IF(C913="", "", (SUM(J913, N913, R913, V913)/3 * AG913) * IF(AND(AF913="S", AS913="雙"), 0.5, 1)), ""))</f>
        <v>停機</v>
      </c>
      <c r="AB913" s="1413" t="str">
        <f t="shared" si="161"/>
        <v/>
      </c>
      <c r="AC913" s="984" t="str">
        <f>IF(OR(L913={"改紡","檢修","了機","清車","FINAL","停機","SAMPLE","TEST"}), "", IFERROR(IF(C913="", "", AVERAGE(L913:M913, P913:Q913, T913:U913, X913:Y913)/100), ""))</f>
        <v/>
      </c>
      <c r="AD913" s="984" t="str">
        <f t="shared" si="160"/>
        <v/>
      </c>
      <c r="AE913" s="984" t="str">
        <f t="shared" si="162"/>
        <v/>
      </c>
      <c r="AF913" s="985" t="str">
        <f t="shared" si="155"/>
        <v>M</v>
      </c>
      <c r="AG913" s="1414">
        <v>1</v>
      </c>
      <c r="AH913" s="1002" t="s">
        <v>640</v>
      </c>
      <c r="AI913" s="1002" t="s">
        <v>640</v>
      </c>
      <c r="AJ913" s="986" t="s">
        <v>640</v>
      </c>
      <c r="AK913" s="986" t="s">
        <v>640</v>
      </c>
      <c r="AL913" s="1415"/>
      <c r="AM913" s="1323"/>
      <c r="AN913" s="1323"/>
      <c r="AO913" s="1323"/>
      <c r="AP913" s="1323"/>
      <c r="AQ913" s="1323"/>
      <c r="AR913" s="987"/>
      <c r="AS913" s="978" t="str">
        <f t="shared" si="156"/>
        <v>單</v>
      </c>
      <c r="AT913" s="978" t="str">
        <f t="shared" si="157"/>
        <v>全</v>
      </c>
      <c r="AU913" s="978" t="str">
        <f t="shared" si="158"/>
        <v/>
      </c>
      <c r="AV913" s="978" t="str">
        <f t="shared" si="159"/>
        <v/>
      </c>
    </row>
    <row r="914" spans="1:48" ht="17.25" thickBot="1">
      <c r="A914" s="989">
        <f t="shared" si="154"/>
        <v>46165</v>
      </c>
      <c r="B914" s="990" t="s">
        <v>249</v>
      </c>
      <c r="C914" s="991" t="s">
        <v>16185</v>
      </c>
      <c r="D914" s="1425"/>
      <c r="E914" s="1169" t="str">
        <f>IFERROR(VLOOKUP(C914, [6]條件!$A:$L, 5, 0), "")</f>
        <v/>
      </c>
      <c r="F914" s="992" t="str">
        <f>IFERROR(VLOOKUP(C914, [6]條件!$A:$L, 6, 0), "")</f>
        <v/>
      </c>
      <c r="G914" s="1426" t="str">
        <f>IFERROR(VLOOKUP(C914, [6]條件!$A:$L, 7, 0), "")</f>
        <v/>
      </c>
      <c r="H914" s="992" t="str">
        <f>IF(ISNA(VLOOKUP(C914,[6]條件!$A$1:$K$932,11,0)),"",(VLOOKUP(C914,[6]條件!$A$1:$K$932,11,0)))</f>
        <v/>
      </c>
      <c r="I914" s="1170" t="str">
        <f>IF(ISNA(VLOOKUP(C914,[6]條件!$A$1:$L$932,12,0)),"",(VLOOKUP(C914,[6]條件!$A$1:$L$932,12,0)))</f>
        <v/>
      </c>
      <c r="J914" s="995"/>
      <c r="K914" s="993"/>
      <c r="L914" s="994" t="s">
        <v>632</v>
      </c>
      <c r="M914" s="996"/>
      <c r="N914" s="995"/>
      <c r="O914" s="993"/>
      <c r="P914" s="994" t="s">
        <v>632</v>
      </c>
      <c r="Q914" s="996"/>
      <c r="R914" s="995"/>
      <c r="S914" s="993"/>
      <c r="T914" s="994" t="s">
        <v>632</v>
      </c>
      <c r="U914" s="996"/>
      <c r="V914" s="995"/>
      <c r="W914" s="993"/>
      <c r="X914" s="994" t="s">
        <v>632</v>
      </c>
      <c r="Y914" s="996"/>
      <c r="Z914" s="1427" t="str">
        <f>IFERROR(VLOOKUP(C914, [6]條件!$A:$L, 3, 0), "")</f>
        <v/>
      </c>
      <c r="AA914" s="997" t="str">
        <f>IF(OR(L914={"改紡","檢修","了機","清車","FINAL","停機","SAMPLE","TEST","絲開發"}), L914, IFERROR(IF(C914="", "", (SUM(J914, N914, R914, V914)/3 * AG914) * IF(AND(AF914="S", AS914="雙"), 0.5, 1)), ""))</f>
        <v>停機</v>
      </c>
      <c r="AB914" s="1428" t="str">
        <f t="shared" si="161"/>
        <v/>
      </c>
      <c r="AC914" s="997" t="str">
        <f>IF(OR(L914={"改紡","檢修","了機","清車","FINAL","停機","SAMPLE","TEST"}), "", IFERROR(IF(C914="", "", AVERAGE(L914:M914, P914:Q914, T914:U914, X914:Y914)/100), ""))</f>
        <v/>
      </c>
      <c r="AD914" s="997" t="str">
        <f t="shared" si="160"/>
        <v/>
      </c>
      <c r="AE914" s="997" t="str">
        <f t="shared" si="162"/>
        <v/>
      </c>
      <c r="AF914" s="998" t="str">
        <f t="shared" si="155"/>
        <v>M</v>
      </c>
      <c r="AG914" s="1429">
        <v>1</v>
      </c>
      <c r="AH914" s="1171" t="s">
        <v>640</v>
      </c>
      <c r="AI914" s="1171" t="s">
        <v>640</v>
      </c>
      <c r="AJ914" s="999" t="s">
        <v>640</v>
      </c>
      <c r="AK914" s="999" t="s">
        <v>640</v>
      </c>
      <c r="AL914" s="1431"/>
      <c r="AM914" s="1325"/>
      <c r="AN914" s="1325"/>
      <c r="AO914" s="1325"/>
      <c r="AP914" s="1325"/>
      <c r="AQ914" s="1325"/>
      <c r="AR914" s="1000"/>
      <c r="AS914" s="992" t="str">
        <f t="shared" si="156"/>
        <v>單</v>
      </c>
      <c r="AT914" s="992" t="str">
        <f t="shared" si="157"/>
        <v>全</v>
      </c>
      <c r="AU914" s="992" t="str">
        <f t="shared" si="158"/>
        <v/>
      </c>
      <c r="AV914" s="992" t="str">
        <f t="shared" si="159"/>
        <v/>
      </c>
    </row>
    <row r="915" spans="1:48">
      <c r="A915" s="962">
        <v>46166</v>
      </c>
      <c r="B915" s="963" t="s">
        <v>212</v>
      </c>
      <c r="C915" s="963" t="s">
        <v>632</v>
      </c>
      <c r="D915" s="1403"/>
      <c r="E915" s="964" t="str">
        <f>IFERROR(VLOOKUP(C915, [6]條件!$A:$L, 5, 0), "")</f>
        <v/>
      </c>
      <c r="F915" s="965" t="str">
        <f>IFERROR(VLOOKUP(C915, [6]條件!$A:$L, 6, 0), "")</f>
        <v/>
      </c>
      <c r="G915" s="1404" t="str">
        <f>IFERROR(VLOOKUP(C915, [6]條件!$A:$L, 7, 0), "")</f>
        <v/>
      </c>
      <c r="H915" s="965" t="str">
        <f>IF(ISNA(VLOOKUP(C915,[6]條件!$A$1:$K$932,11,0)),"",(VLOOKUP(C915,[6]條件!$A$1:$K$932,11,0)))</f>
        <v/>
      </c>
      <c r="I915" s="966" t="str">
        <f>IF(ISNA(VLOOKUP(C915,[6]條件!$A$1:$L$932,12,0)),"",(VLOOKUP(C915,[6]條件!$A$1:$L$932,12,0)))</f>
        <v/>
      </c>
      <c r="J915" s="969"/>
      <c r="K915" s="967"/>
      <c r="L915" s="981" t="s">
        <v>632</v>
      </c>
      <c r="M915" s="970"/>
      <c r="N915" s="969"/>
      <c r="O915" s="967"/>
      <c r="P915" s="981" t="s">
        <v>632</v>
      </c>
      <c r="Q915" s="970"/>
      <c r="R915" s="969"/>
      <c r="S915" s="967"/>
      <c r="T915" s="981" t="s">
        <v>632</v>
      </c>
      <c r="U915" s="970"/>
      <c r="V915" s="969"/>
      <c r="W915" s="967"/>
      <c r="X915" s="981" t="s">
        <v>632</v>
      </c>
      <c r="Y915" s="970"/>
      <c r="Z915" s="1405" t="str">
        <f>IFERROR(VLOOKUP(C915, [6]條件!$A:$L, 3, 0), "")</f>
        <v/>
      </c>
      <c r="AA915" s="971" t="str">
        <f>IF(OR(L915={"改紡","檢修","了機","清車","FINAL","停機","SAMPLE","TEST","絲開發"}), L915, IFERROR(IF(C915="", "", (SUM(J915, N915, R915, V915)/3 * AG915) * IF(AND(AF915="S", AS915="雙"), 0.5, 1)), ""))</f>
        <v>停機</v>
      </c>
      <c r="AB915" s="1406" t="str">
        <f t="shared" si="161"/>
        <v/>
      </c>
      <c r="AC915" s="971" t="str">
        <f>IF(OR(L915={"改紡","檢修","了機","清車","FINAL","停機","SAMPLE","TEST"}), "", IFERROR(IF(C915="", "", AVERAGE(L915:M915, P915:Q915, T915:U915, X915:Y915)/100), ""))</f>
        <v/>
      </c>
      <c r="AD915" s="971" t="str">
        <f t="shared" si="160"/>
        <v/>
      </c>
      <c r="AE915" s="971" t="str">
        <f t="shared" si="162"/>
        <v/>
      </c>
      <c r="AF915" s="972" t="str">
        <f t="shared" si="155"/>
        <v>A</v>
      </c>
      <c r="AG915" s="1407">
        <v>1</v>
      </c>
      <c r="AH915" s="1001" t="s">
        <v>640</v>
      </c>
      <c r="AI915" s="1001" t="s">
        <v>640</v>
      </c>
      <c r="AJ915" s="1001" t="s">
        <v>640</v>
      </c>
      <c r="AK915" s="1001" t="s">
        <v>640</v>
      </c>
      <c r="AL915" s="1409"/>
      <c r="AM915" s="1322"/>
      <c r="AN915" s="1322"/>
      <c r="AO915" s="1322"/>
      <c r="AP915" s="1322"/>
      <c r="AQ915" s="1322"/>
      <c r="AR915" s="973"/>
      <c r="AS915" s="965" t="str">
        <f t="shared" si="156"/>
        <v>單</v>
      </c>
      <c r="AT915" s="965" t="str">
        <f t="shared" si="157"/>
        <v>全</v>
      </c>
      <c r="AU915" s="965" t="str">
        <f t="shared" si="158"/>
        <v/>
      </c>
      <c r="AV915" s="965" t="str">
        <f t="shared" si="159"/>
        <v/>
      </c>
    </row>
    <row r="916" spans="1:48">
      <c r="A916" s="975">
        <f t="shared" si="154"/>
        <v>46166</v>
      </c>
      <c r="B916" s="976" t="s">
        <v>214</v>
      </c>
      <c r="C916" s="976" t="s">
        <v>632</v>
      </c>
      <c r="D916" s="1410"/>
      <c r="E916" s="977" t="str">
        <f>IFERROR(VLOOKUP(C916, [6]條件!$A:$L, 5, 0), "")</f>
        <v/>
      </c>
      <c r="F916" s="978" t="str">
        <f>IFERROR(VLOOKUP(C916, [6]條件!$A:$L, 6, 0), "")</f>
        <v/>
      </c>
      <c r="G916" s="1411" t="str">
        <f>IFERROR(VLOOKUP(C916, [6]條件!$A:$L, 7, 0), "")</f>
        <v/>
      </c>
      <c r="H916" s="978" t="str">
        <f>IF(ISNA(VLOOKUP(C916,[6]條件!$A$1:$K$932,11,0)),"",(VLOOKUP(C916,[6]條件!$A$1:$K$932,11,0)))</f>
        <v/>
      </c>
      <c r="I916" s="979" t="str">
        <f>IF(ISNA(VLOOKUP(C916,[6]條件!$A$1:$L$932,12,0)),"",(VLOOKUP(C916,[6]條件!$A$1:$L$932,12,0)))</f>
        <v/>
      </c>
      <c r="J916" s="982"/>
      <c r="K916" s="980"/>
      <c r="L916" s="981" t="s">
        <v>632</v>
      </c>
      <c r="M916" s="983"/>
      <c r="N916" s="982"/>
      <c r="O916" s="980"/>
      <c r="P916" s="981" t="s">
        <v>632</v>
      </c>
      <c r="Q916" s="983"/>
      <c r="R916" s="982"/>
      <c r="S916" s="980"/>
      <c r="T916" s="981" t="s">
        <v>632</v>
      </c>
      <c r="U916" s="983"/>
      <c r="V916" s="982"/>
      <c r="W916" s="980"/>
      <c r="X916" s="981" t="s">
        <v>632</v>
      </c>
      <c r="Y916" s="983"/>
      <c r="Z916" s="1412" t="str">
        <f>IFERROR(VLOOKUP(C916, [6]條件!$A:$L, 3, 0), "")</f>
        <v/>
      </c>
      <c r="AA916" s="984" t="str">
        <f>IF(OR(L916={"改紡","檢修","了機","清車","FINAL","停機","SAMPLE","TEST","絲開發"}), L916, IFERROR(IF(C916="", "", (SUM(J916, N916, R916, V916)/3 * AG916) * IF(AND(AF916="S", AS916="雙"), 0.5, 1)), ""))</f>
        <v>停機</v>
      </c>
      <c r="AB916" s="1413" t="str">
        <f t="shared" si="161"/>
        <v/>
      </c>
      <c r="AC916" s="984" t="str">
        <f>IF(OR(L916={"改紡","檢修","了機","清車","FINAL","停機","SAMPLE","TEST"}), "", IFERROR(IF(C916="", "", AVERAGE(L916:M916, P916:Q916, T916:U916, X916:Y916)/100), ""))</f>
        <v/>
      </c>
      <c r="AD916" s="984" t="str">
        <f t="shared" si="160"/>
        <v/>
      </c>
      <c r="AE916" s="984" t="str">
        <f t="shared" si="162"/>
        <v/>
      </c>
      <c r="AF916" s="985" t="str">
        <f t="shared" si="155"/>
        <v>A</v>
      </c>
      <c r="AG916" s="1414">
        <v>1</v>
      </c>
      <c r="AH916" s="1002" t="s">
        <v>16011</v>
      </c>
      <c r="AI916" s="1002" t="s">
        <v>640</v>
      </c>
      <c r="AJ916" s="1002" t="s">
        <v>640</v>
      </c>
      <c r="AK916" s="1002" t="s">
        <v>640</v>
      </c>
      <c r="AL916" s="1415"/>
      <c r="AM916" s="1323"/>
      <c r="AN916" s="1323"/>
      <c r="AO916" s="1323"/>
      <c r="AP916" s="1323"/>
      <c r="AQ916" s="1323"/>
      <c r="AR916" s="987"/>
      <c r="AS916" s="978" t="str">
        <f t="shared" si="156"/>
        <v>單</v>
      </c>
      <c r="AT916" s="978" t="str">
        <f t="shared" si="157"/>
        <v>全</v>
      </c>
      <c r="AU916" s="978" t="str">
        <f t="shared" si="158"/>
        <v/>
      </c>
      <c r="AV916" s="978" t="str">
        <f t="shared" si="159"/>
        <v/>
      </c>
    </row>
    <row r="917" spans="1:48">
      <c r="A917" s="975">
        <f t="shared" si="154"/>
        <v>46166</v>
      </c>
      <c r="B917" s="976" t="s">
        <v>215</v>
      </c>
      <c r="C917" s="976" t="s">
        <v>16746</v>
      </c>
      <c r="D917" s="1410" t="s">
        <v>633</v>
      </c>
      <c r="E917" s="977" t="str">
        <f>IFERROR(VLOOKUP(C917, [6]條件!$A:$L, 5, 0), "")</f>
        <v>75/24/2SDr</v>
      </c>
      <c r="F917" s="978" t="str">
        <f>IFERROR(VLOOKUP(C917, [6]條件!$A:$L, 6, 0), "")</f>
        <v>FP81391R×2</v>
      </c>
      <c r="G917" s="1411">
        <f>IFERROR(VLOOKUP(C917, [6]條件!$A:$L, 7, 0), "")</f>
        <v>700</v>
      </c>
      <c r="H917" s="978" t="str">
        <f>IF(ISNA(VLOOKUP(C917,[6]條件!$A$1:$K$932,11,0)),"",(VLOOKUP(C917,[6]條件!$A$1:$K$932,11,0)))</f>
        <v>紅底白點</v>
      </c>
      <c r="I917" s="979">
        <f>IF(ISNA(VLOOKUP(C917,[6]條件!$A$1:$L$932,12,0)),"",(VLOOKUP(C917,[6]條件!$A$1:$L$932,12,0)))</f>
        <v>5</v>
      </c>
      <c r="J917" s="982"/>
      <c r="K917" s="980"/>
      <c r="L917" s="981" t="s">
        <v>632</v>
      </c>
      <c r="M917" s="983" t="s">
        <v>15855</v>
      </c>
      <c r="N917" s="982"/>
      <c r="O917" s="980"/>
      <c r="P917" s="981" t="s">
        <v>632</v>
      </c>
      <c r="Q917" s="983"/>
      <c r="R917" s="982"/>
      <c r="S917" s="980"/>
      <c r="T917" s="981" t="s">
        <v>632</v>
      </c>
      <c r="U917" s="983"/>
      <c r="V917" s="982"/>
      <c r="W917" s="980"/>
      <c r="X917" s="981" t="s">
        <v>632</v>
      </c>
      <c r="Y917" s="983"/>
      <c r="Z917" s="1412">
        <f>IFERROR(VLOOKUP(C917, [6]條件!$A:$L, 3, 0), "")</f>
        <v>3.2653061224489797</v>
      </c>
      <c r="AA917" s="984" t="str">
        <f>IF(OR(L917={"改紡","檢修","了機","清車","FINAL","停機","SAMPLE","TEST","絲開發"}), L917, IFERROR(IF(C917="", "", (SUM(J917, N917, R917, V917)/3 * AG917) * IF(AND(AF917="S", AS917="雙"), 0.5, 1)), ""))</f>
        <v>停機</v>
      </c>
      <c r="AB917" s="1413" t="str">
        <f t="shared" si="161"/>
        <v/>
      </c>
      <c r="AC917" s="984" t="str">
        <f>IF(OR(L917={"改紡","檢修","了機","清車","FINAL","停機","SAMPLE","TEST"}), "", IFERROR(IF(C917="", "", AVERAGE(L917:M917, P917:Q917, T917:U917, X917:Y917)/100), ""))</f>
        <v/>
      </c>
      <c r="AD917" s="984" t="str">
        <f t="shared" si="160"/>
        <v/>
      </c>
      <c r="AE917" s="984" t="str">
        <f t="shared" si="162"/>
        <v/>
      </c>
      <c r="AF917" s="985" t="str">
        <f t="shared" si="155"/>
        <v>A</v>
      </c>
      <c r="AG917" s="1414">
        <v>1</v>
      </c>
      <c r="AH917" s="1002" t="s">
        <v>16016</v>
      </c>
      <c r="AI917" s="1002" t="s">
        <v>15997</v>
      </c>
      <c r="AJ917" s="1002" t="s">
        <v>16011</v>
      </c>
      <c r="AK917" s="1002" t="s">
        <v>16011</v>
      </c>
      <c r="AL917" s="1415">
        <v>53</v>
      </c>
      <c r="AM917" s="1323">
        <v>46120</v>
      </c>
      <c r="AN917" s="1323">
        <v>46121</v>
      </c>
      <c r="AO917" s="1323"/>
      <c r="AP917" s="1323"/>
      <c r="AQ917" s="1323"/>
      <c r="AR917" s="987"/>
      <c r="AS917" s="978" t="str">
        <f t="shared" si="156"/>
        <v>雙</v>
      </c>
      <c r="AT917" s="978" t="str">
        <f t="shared" si="157"/>
        <v>半</v>
      </c>
      <c r="AU917" s="978">
        <f t="shared" si="158"/>
        <v>75</v>
      </c>
      <c r="AV917" s="978" t="str">
        <f t="shared" si="159"/>
        <v/>
      </c>
    </row>
    <row r="918" spans="1:48">
      <c r="A918" s="975">
        <f t="shared" si="154"/>
        <v>46166</v>
      </c>
      <c r="B918" s="976" t="s">
        <v>216</v>
      </c>
      <c r="C918" s="976" t="s">
        <v>632</v>
      </c>
      <c r="D918" s="1410"/>
      <c r="E918" s="977" t="str">
        <f>IFERROR(VLOOKUP(C918, [6]條件!$A:$L, 5, 0), "")</f>
        <v/>
      </c>
      <c r="F918" s="978" t="str">
        <f>IFERROR(VLOOKUP(C918, [6]條件!$A:$L, 6, 0), "")</f>
        <v/>
      </c>
      <c r="G918" s="1411" t="str">
        <f>IFERROR(VLOOKUP(C918, [6]條件!$A:$L, 7, 0), "")</f>
        <v/>
      </c>
      <c r="H918" s="978" t="str">
        <f>IF(ISNA(VLOOKUP(C918,[6]條件!$A$1:$K$932,11,0)),"",(VLOOKUP(C918,[6]條件!$A$1:$K$932,11,0)))</f>
        <v/>
      </c>
      <c r="I918" s="979" t="str">
        <f>IF(ISNA(VLOOKUP(C918,[6]條件!$A$1:$L$932,12,0)),"",(VLOOKUP(C918,[6]條件!$A$1:$L$932,12,0)))</f>
        <v/>
      </c>
      <c r="J918" s="982"/>
      <c r="K918" s="980"/>
      <c r="L918" s="981" t="s">
        <v>632</v>
      </c>
      <c r="M918" s="983"/>
      <c r="N918" s="982"/>
      <c r="O918" s="980"/>
      <c r="P918" s="981" t="s">
        <v>632</v>
      </c>
      <c r="Q918" s="983"/>
      <c r="R918" s="982"/>
      <c r="S918" s="980"/>
      <c r="T918" s="981" t="s">
        <v>632</v>
      </c>
      <c r="U918" s="983"/>
      <c r="V918" s="982"/>
      <c r="W918" s="980"/>
      <c r="X918" s="981" t="s">
        <v>632</v>
      </c>
      <c r="Y918" s="983"/>
      <c r="Z918" s="1412" t="str">
        <f>IFERROR(VLOOKUP(C918, [6]條件!$A:$L, 3, 0), "")</f>
        <v/>
      </c>
      <c r="AA918" s="984" t="str">
        <f>IF(OR(L918={"改紡","檢修","了機","清車","FINAL","停機","SAMPLE","TEST","絲開發"}), L918, IFERROR(IF(C918="", "", (SUM(J918, N918, R918, V918)/3 * AG918) * IF(AND(AF918="S", AS918="雙"), 0.5, 1)), ""))</f>
        <v>停機</v>
      </c>
      <c r="AB918" s="1413" t="str">
        <f t="shared" si="161"/>
        <v/>
      </c>
      <c r="AC918" s="984" t="str">
        <f>IF(OR(L918={"改紡","檢修","了機","清車","FINAL","停機","SAMPLE","TEST"}), "", IFERROR(IF(C918="", "", AVERAGE(L918:M918, P918:Q918, T918:U918, X918:Y918)/100), ""))</f>
        <v/>
      </c>
      <c r="AD918" s="984" t="str">
        <f t="shared" si="160"/>
        <v/>
      </c>
      <c r="AE918" s="984" t="str">
        <f t="shared" si="162"/>
        <v/>
      </c>
      <c r="AF918" s="985" t="str">
        <f t="shared" si="155"/>
        <v>A</v>
      </c>
      <c r="AG918" s="1414">
        <v>2</v>
      </c>
      <c r="AH918" s="1002" t="s">
        <v>16011</v>
      </c>
      <c r="AI918" s="1002" t="s">
        <v>640</v>
      </c>
      <c r="AJ918" s="1002" t="s">
        <v>16011</v>
      </c>
      <c r="AK918" s="1002" t="s">
        <v>16011</v>
      </c>
      <c r="AL918" s="1415"/>
      <c r="AM918" s="1323"/>
      <c r="AN918" s="1323"/>
      <c r="AO918" s="1323"/>
      <c r="AP918" s="1323"/>
      <c r="AQ918" s="1323"/>
      <c r="AR918" s="987"/>
      <c r="AS918" s="978" t="str">
        <f t="shared" si="156"/>
        <v>單</v>
      </c>
      <c r="AT918" s="978" t="str">
        <f t="shared" si="157"/>
        <v>半</v>
      </c>
      <c r="AU918" s="978" t="str">
        <f t="shared" si="158"/>
        <v/>
      </c>
      <c r="AV918" s="978" t="str">
        <f t="shared" si="159"/>
        <v/>
      </c>
    </row>
    <row r="919" spans="1:48">
      <c r="A919" s="975">
        <f t="shared" si="154"/>
        <v>46166</v>
      </c>
      <c r="B919" s="976" t="s">
        <v>217</v>
      </c>
      <c r="C919" s="976" t="s">
        <v>16197</v>
      </c>
      <c r="D919" s="1410"/>
      <c r="E919" s="977" t="str">
        <f>IFERROR(VLOOKUP(C919, [6]條件!$A:$L, 5, 0), "")</f>
        <v>75/36HC</v>
      </c>
      <c r="F919" s="978" t="str">
        <f>IFERROR(VLOOKUP(C919, [6]條件!$A:$L, 6, 0), "")</f>
        <v>FP81857R</v>
      </c>
      <c r="G919" s="1411">
        <f>IFERROR(VLOOKUP(C919, [6]條件!$A:$L, 7, 0), "")</f>
        <v>600</v>
      </c>
      <c r="H919" s="978" t="str">
        <f>IF(ISNA(VLOOKUP(C919,[6]條件!$A$1:$K$932,11,0)),"",(VLOOKUP(C919,[6]條件!$A$1:$K$932,11,0)))</f>
        <v>白底綠方塊</v>
      </c>
      <c r="I919" s="979">
        <f>IF(ISNA(VLOOKUP(C919,[6]條件!$A$1:$L$932,12,0)),"",(VLOOKUP(C919,[6]條件!$A$1:$L$932,12,0)))</f>
        <v>4</v>
      </c>
      <c r="J919" s="982"/>
      <c r="K919" s="980"/>
      <c r="L919" s="981" t="s">
        <v>15855</v>
      </c>
      <c r="M919" s="983" t="s">
        <v>632</v>
      </c>
      <c r="N919" s="982"/>
      <c r="O919" s="980"/>
      <c r="P919" s="981" t="s">
        <v>15855</v>
      </c>
      <c r="Q919" s="983" t="s">
        <v>632</v>
      </c>
      <c r="R919" s="982"/>
      <c r="S919" s="980"/>
      <c r="T919" s="981" t="s">
        <v>15855</v>
      </c>
      <c r="U919" s="983" t="s">
        <v>632</v>
      </c>
      <c r="V919" s="982"/>
      <c r="W919" s="980"/>
      <c r="X919" s="981" t="s">
        <v>632</v>
      </c>
      <c r="Y919" s="983"/>
      <c r="Z919" s="1412">
        <f>IFERROR(VLOOKUP(C919, [6]條件!$A:$L, 3, 0), "")</f>
        <v>1.7496962332928312</v>
      </c>
      <c r="AA919" s="984" t="str">
        <f>IF(OR(L919={"改紡","檢修","了機","清車","FINAL","停機","SAMPLE","TEST","絲開發"}), L919, IFERROR(IF(C919="", "", (SUM(J919, N919, R919, V919)/3 * AG919) * IF(AND(AF919="S", AS919="雙"), 0.5, 1)), ""))</f>
        <v>FINAL</v>
      </c>
      <c r="AB919" s="1413" t="str">
        <f t="shared" si="161"/>
        <v/>
      </c>
      <c r="AC919" s="984" t="str">
        <f>IF(OR(L919={"改紡","檢修","了機","清車","FINAL","停機","SAMPLE","TEST"}), "", IFERROR(IF(C919="", "", AVERAGE(L919:M919, P919:Q919, T919:U919, X919:Y919)/100), ""))</f>
        <v/>
      </c>
      <c r="AD919" s="984" t="str">
        <f t="shared" si="160"/>
        <v/>
      </c>
      <c r="AE919" s="984" t="str">
        <f t="shared" si="162"/>
        <v/>
      </c>
      <c r="AF919" s="985" t="str">
        <f t="shared" si="155"/>
        <v>A</v>
      </c>
      <c r="AG919" s="1414">
        <v>1</v>
      </c>
      <c r="AH919" s="1002" t="s">
        <v>16016</v>
      </c>
      <c r="AI919" s="1002" t="s">
        <v>15997</v>
      </c>
      <c r="AJ919" s="986" t="s">
        <v>15995</v>
      </c>
      <c r="AK919" s="986" t="s">
        <v>15995</v>
      </c>
      <c r="AL919" s="1415">
        <v>54</v>
      </c>
      <c r="AM919" s="1323">
        <v>45935</v>
      </c>
      <c r="AN919" s="1323">
        <v>45937</v>
      </c>
      <c r="AO919" s="1323">
        <v>45938</v>
      </c>
      <c r="AP919" s="1323">
        <v>45944</v>
      </c>
      <c r="AQ919" s="1323"/>
      <c r="AR919" s="987"/>
      <c r="AS919" s="978" t="str">
        <f t="shared" si="156"/>
        <v>單</v>
      </c>
      <c r="AT919" s="978" t="str">
        <f t="shared" si="157"/>
        <v>全</v>
      </c>
      <c r="AU919" s="978">
        <f t="shared" si="158"/>
        <v>75</v>
      </c>
      <c r="AV919" s="978" t="str">
        <f t="shared" si="159"/>
        <v/>
      </c>
    </row>
    <row r="920" spans="1:48">
      <c r="A920" s="975">
        <f t="shared" si="154"/>
        <v>46166</v>
      </c>
      <c r="B920" s="976" t="s">
        <v>218</v>
      </c>
      <c r="C920" s="976" t="s">
        <v>632</v>
      </c>
      <c r="D920" s="1410"/>
      <c r="E920" s="977" t="str">
        <f>IFERROR(VLOOKUP(C920, [6]條件!$A:$L, 5, 0), "")</f>
        <v/>
      </c>
      <c r="F920" s="978" t="str">
        <f>IFERROR(VLOOKUP(C920, [6]條件!$A:$L, 6, 0), "")</f>
        <v/>
      </c>
      <c r="G920" s="1411" t="str">
        <f>IFERROR(VLOOKUP(C920, [6]條件!$A:$L, 7, 0), "")</f>
        <v/>
      </c>
      <c r="H920" s="978" t="str">
        <f>IF(ISNA(VLOOKUP(C920,[6]條件!$A$1:$K$932,11,0)),"",(VLOOKUP(C920,[6]條件!$A$1:$K$932,11,0)))</f>
        <v/>
      </c>
      <c r="I920" s="979" t="str">
        <f>IF(ISNA(VLOOKUP(C920,[6]條件!$A$1:$L$932,12,0)),"",(VLOOKUP(C920,[6]條件!$A$1:$L$932,12,0)))</f>
        <v/>
      </c>
      <c r="J920" s="982"/>
      <c r="K920" s="980"/>
      <c r="L920" s="981" t="s">
        <v>632</v>
      </c>
      <c r="M920" s="983"/>
      <c r="N920" s="982"/>
      <c r="O920" s="980"/>
      <c r="P920" s="981" t="s">
        <v>632</v>
      </c>
      <c r="Q920" s="983"/>
      <c r="R920" s="982"/>
      <c r="S920" s="980"/>
      <c r="T920" s="981" t="s">
        <v>632</v>
      </c>
      <c r="U920" s="983"/>
      <c r="V920" s="982"/>
      <c r="W920" s="980"/>
      <c r="X920" s="981" t="s">
        <v>632</v>
      </c>
      <c r="Y920" s="983"/>
      <c r="Z920" s="1412" t="str">
        <f>IFERROR(VLOOKUP(C920, [6]條件!$A:$L, 3, 0), "")</f>
        <v/>
      </c>
      <c r="AA920" s="984" t="str">
        <f>IF(OR(L920={"改紡","檢修","了機","清車","FINAL","停機","SAMPLE","TEST","絲開發"}), L920, IFERROR(IF(C920="", "", (SUM(J920, N920, R920, V920)/3 * AG920) * IF(AND(AF920="S", AS920="雙"), 0.5, 1)), ""))</f>
        <v>停機</v>
      </c>
      <c r="AB920" s="1413" t="str">
        <f t="shared" si="161"/>
        <v/>
      </c>
      <c r="AC920" s="984" t="str">
        <f>IF(OR(L920={"改紡","檢修","了機","清車","FINAL","停機","SAMPLE","TEST"}), "", IFERROR(IF(C920="", "", AVERAGE(L920:M920, P920:Q920, T920:U920, X920:Y920)/100), ""))</f>
        <v/>
      </c>
      <c r="AD920" s="984" t="str">
        <f t="shared" si="160"/>
        <v/>
      </c>
      <c r="AE920" s="984" t="str">
        <f t="shared" si="162"/>
        <v/>
      </c>
      <c r="AF920" s="985" t="str">
        <f t="shared" si="155"/>
        <v>A</v>
      </c>
      <c r="AG920" s="1414">
        <v>1</v>
      </c>
      <c r="AH920" s="1002" t="s">
        <v>640</v>
      </c>
      <c r="AI920" s="1002" t="s">
        <v>640</v>
      </c>
      <c r="AJ920" s="986" t="s">
        <v>640</v>
      </c>
      <c r="AK920" s="986" t="s">
        <v>640</v>
      </c>
      <c r="AL920" s="1415"/>
      <c r="AM920" s="1323"/>
      <c r="AN920" s="1323"/>
      <c r="AO920" s="1323"/>
      <c r="AP920" s="1323"/>
      <c r="AQ920" s="1323"/>
      <c r="AR920" s="987"/>
      <c r="AS920" s="978" t="str">
        <f t="shared" si="156"/>
        <v>單</v>
      </c>
      <c r="AT920" s="978" t="str">
        <f t="shared" si="157"/>
        <v>全</v>
      </c>
      <c r="AU920" s="978" t="str">
        <f t="shared" si="158"/>
        <v/>
      </c>
      <c r="AV920" s="978" t="str">
        <f t="shared" si="159"/>
        <v/>
      </c>
    </row>
    <row r="921" spans="1:48">
      <c r="A921" s="975">
        <f t="shared" si="154"/>
        <v>46166</v>
      </c>
      <c r="B921" s="976" t="s">
        <v>219</v>
      </c>
      <c r="C921" s="976" t="s">
        <v>16745</v>
      </c>
      <c r="D921" s="1410" t="s">
        <v>16748</v>
      </c>
      <c r="E921" s="977" t="str">
        <f>IFERROR(VLOOKUP(C921, [6]條件!$A:$L, 5, 0), "")</f>
        <v>50/72BSD3</v>
      </c>
      <c r="F921" s="978" t="str">
        <f>IFERROR(VLOOKUP(C921, [6]條件!$A:$L, 6, 0), "")</f>
        <v>FP80141</v>
      </c>
      <c r="G921" s="1411">
        <f>IFERROR(VLOOKUP(C921, [6]條件!$A:$L, 7, 0), "")</f>
        <v>630</v>
      </c>
      <c r="H921" s="978" t="str">
        <f>IF(ISNA(VLOOKUP(C921,[6]條件!$A$1:$K$932,11,0)),"",(VLOOKUP(C921,[6]條件!$A$1:$K$932,11,0)))</f>
        <v>洋綠色</v>
      </c>
      <c r="I921" s="979">
        <f>IF(ISNA(VLOOKUP(C921,[6]條件!$A$1:$L$932,12,0)),"",(VLOOKUP(C921,[6]條件!$A$1:$L$932,12,0)))</f>
        <v>2</v>
      </c>
      <c r="J921" s="982">
        <v>26</v>
      </c>
      <c r="K921" s="980">
        <v>7</v>
      </c>
      <c r="L921" s="981">
        <v>9192</v>
      </c>
      <c r="M921" s="983">
        <v>9805</v>
      </c>
      <c r="N921" s="982">
        <v>17</v>
      </c>
      <c r="O921" s="980">
        <v>0</v>
      </c>
      <c r="P921" s="981">
        <v>9414</v>
      </c>
      <c r="Q921" s="983">
        <v>9727</v>
      </c>
      <c r="R921" s="982">
        <v>7</v>
      </c>
      <c r="S921" s="980">
        <v>1</v>
      </c>
      <c r="T921" s="981">
        <v>9418</v>
      </c>
      <c r="U921" s="983">
        <v>9808</v>
      </c>
      <c r="V921" s="982">
        <v>20</v>
      </c>
      <c r="W921" s="980">
        <v>0</v>
      </c>
      <c r="X921" s="981">
        <v>9308</v>
      </c>
      <c r="Y921" s="983">
        <v>9771</v>
      </c>
      <c r="Z921" s="1412">
        <f>IFERROR(VLOOKUP(C921, [6]條件!$A:$L, 3, 0), "")</f>
        <v>2.4615384615384617</v>
      </c>
      <c r="AA921" s="984">
        <f>IF(OR(L921={"改紡","檢修","了機","清車","FINAL","停機","SAMPLE","TEST","絲開發"}), L921, IFERROR(IF(C921="", "", (SUM(J921, N921, R921, V921)/3 * AG921) * IF(AND(AF921="S", AS921="雙"), 0.5, 1)), ""))</f>
        <v>23.333333333333332</v>
      </c>
      <c r="AB921" s="1413">
        <f t="shared" si="161"/>
        <v>0.984375</v>
      </c>
      <c r="AC921" s="984">
        <f>IF(OR(L921={"改紡","檢修","了機","清車","FINAL","停機","SAMPLE","TEST"}), "", IFERROR(IF(C921="", "", AVERAGE(L921:M921, P921:Q921, T921:U921, X921:Y921)/100), ""))</f>
        <v>95.553749999999994</v>
      </c>
      <c r="AD921" s="984">
        <f t="shared" si="160"/>
        <v>2.9166666666666665</v>
      </c>
      <c r="AE921" s="984">
        <f t="shared" si="162"/>
        <v>2.5833333333333335</v>
      </c>
      <c r="AF921" s="985" t="str">
        <f t="shared" si="155"/>
        <v>A</v>
      </c>
      <c r="AG921" s="1414">
        <v>1</v>
      </c>
      <c r="AH921" s="1002" t="s">
        <v>16016</v>
      </c>
      <c r="AI921" s="1002" t="s">
        <v>15997</v>
      </c>
      <c r="AJ921" s="986" t="s">
        <v>15995</v>
      </c>
      <c r="AK921" s="986" t="s">
        <v>15995</v>
      </c>
      <c r="AL921" s="1415">
        <v>57</v>
      </c>
      <c r="AM921" s="1324">
        <v>46091</v>
      </c>
      <c r="AN921" s="1323"/>
      <c r="AO921" s="1323"/>
      <c r="AP921" s="1323"/>
      <c r="AQ921" s="1323"/>
      <c r="AR921" s="987"/>
      <c r="AS921" s="978" t="str">
        <f t="shared" si="156"/>
        <v>單</v>
      </c>
      <c r="AT921" s="978" t="str">
        <f t="shared" si="157"/>
        <v>全</v>
      </c>
      <c r="AU921" s="978">
        <f t="shared" si="158"/>
        <v>50</v>
      </c>
      <c r="AV921" s="978">
        <f t="shared" si="159"/>
        <v>1.040236344</v>
      </c>
    </row>
    <row r="922" spans="1:48">
      <c r="A922" s="975">
        <f t="shared" si="154"/>
        <v>46166</v>
      </c>
      <c r="B922" s="976" t="s">
        <v>220</v>
      </c>
      <c r="C922" s="976" t="s">
        <v>632</v>
      </c>
      <c r="D922" s="1410"/>
      <c r="E922" s="977" t="str">
        <f>IFERROR(VLOOKUP(C922, [6]條件!$A:$L, 5, 0), "")</f>
        <v/>
      </c>
      <c r="F922" s="978" t="str">
        <f>IFERROR(VLOOKUP(C922, [6]條件!$A:$L, 6, 0), "")</f>
        <v/>
      </c>
      <c r="G922" s="1411" t="str">
        <f>IFERROR(VLOOKUP(C922, [6]條件!$A:$L, 7, 0), "")</f>
        <v/>
      </c>
      <c r="H922" s="978" t="str">
        <f>IF(ISNA(VLOOKUP(C922,[6]條件!$A$1:$K$932,11,0)),"",(VLOOKUP(C922,[6]條件!$A$1:$K$932,11,0)))</f>
        <v/>
      </c>
      <c r="I922" s="979" t="str">
        <f>IF(ISNA(VLOOKUP(C922,[6]條件!$A$1:$L$932,12,0)),"",(VLOOKUP(C922,[6]條件!$A$1:$L$932,12,0)))</f>
        <v/>
      </c>
      <c r="J922" s="982"/>
      <c r="K922" s="980"/>
      <c r="L922" s="981" t="s">
        <v>632</v>
      </c>
      <c r="M922" s="983"/>
      <c r="N922" s="982"/>
      <c r="O922" s="980"/>
      <c r="P922" s="981" t="s">
        <v>632</v>
      </c>
      <c r="Q922" s="983"/>
      <c r="R922" s="982"/>
      <c r="S922" s="980"/>
      <c r="T922" s="981" t="s">
        <v>632</v>
      </c>
      <c r="U922" s="983"/>
      <c r="V922" s="982"/>
      <c r="W922" s="980"/>
      <c r="X922" s="981" t="s">
        <v>632</v>
      </c>
      <c r="Y922" s="983"/>
      <c r="Z922" s="1412" t="str">
        <f>IFERROR(VLOOKUP(C922, [6]條件!$A:$L, 3, 0), "")</f>
        <v/>
      </c>
      <c r="AA922" s="984" t="str">
        <f>IF(OR(L922={"改紡","檢修","了機","清車","FINAL","停機","SAMPLE","TEST","絲開發"}), L922, IFERROR(IF(C922="", "", (SUM(J922, N922, R922, V922)/3 * AG922) * IF(AND(AF922="S", AS922="雙"), 0.5, 1)), ""))</f>
        <v>停機</v>
      </c>
      <c r="AB922" s="1413" t="str">
        <f t="shared" si="161"/>
        <v/>
      </c>
      <c r="AC922" s="984" t="str">
        <f>IF(OR(L922={"改紡","檢修","了機","清車","FINAL","停機","SAMPLE","TEST"}), "", IFERROR(IF(C922="", "", AVERAGE(L922:M922, P922:Q922, T922:U922, X922:Y922)/100), ""))</f>
        <v/>
      </c>
      <c r="AD922" s="984" t="str">
        <f t="shared" si="160"/>
        <v/>
      </c>
      <c r="AE922" s="984" t="str">
        <f t="shared" si="162"/>
        <v/>
      </c>
      <c r="AF922" s="985" t="str">
        <f t="shared" si="155"/>
        <v>A</v>
      </c>
      <c r="AG922" s="1414">
        <v>1</v>
      </c>
      <c r="AH922" s="1002" t="s">
        <v>640</v>
      </c>
      <c r="AI922" s="1002" t="s">
        <v>640</v>
      </c>
      <c r="AJ922" s="986" t="s">
        <v>640</v>
      </c>
      <c r="AK922" s="986" t="s">
        <v>640</v>
      </c>
      <c r="AL922" s="1415"/>
      <c r="AM922" s="1323"/>
      <c r="AN922" s="1323"/>
      <c r="AO922" s="1323"/>
      <c r="AP922" s="1323"/>
      <c r="AQ922" s="1323"/>
      <c r="AR922" s="987"/>
      <c r="AS922" s="978" t="str">
        <f t="shared" si="156"/>
        <v>單</v>
      </c>
      <c r="AT922" s="978" t="str">
        <f t="shared" si="157"/>
        <v>全</v>
      </c>
      <c r="AU922" s="978" t="str">
        <f t="shared" si="158"/>
        <v/>
      </c>
      <c r="AV922" s="978" t="str">
        <f t="shared" si="159"/>
        <v/>
      </c>
    </row>
    <row r="923" spans="1:48">
      <c r="A923" s="975">
        <f t="shared" si="154"/>
        <v>46166</v>
      </c>
      <c r="B923" s="976" t="s">
        <v>221</v>
      </c>
      <c r="C923" s="976" t="s">
        <v>16763</v>
      </c>
      <c r="D923" s="1410"/>
      <c r="E923" s="977" t="str">
        <f>IFERROR(VLOOKUP(C923, [6]條件!$A:$L, 5, 0), "")</f>
        <v>150/48CDR</v>
      </c>
      <c r="F923" s="978" t="str">
        <f>IFERROR(VLOOKUP(C923, [6]條件!$A:$L, 6, 0), "")</f>
        <v>FP82781</v>
      </c>
      <c r="G923" s="1411">
        <f>IFERROR(VLOOKUP(C923, [6]條件!$A:$L, 7, 0), "")</f>
        <v>600</v>
      </c>
      <c r="H923" s="978" t="str">
        <f>IF(ISNA(VLOOKUP(C923,[6]條件!$A$1:$K$932,11,0)),"",(VLOOKUP(C923,[6]條件!$A$1:$K$932,11,0)))</f>
        <v>綠藍雙色</v>
      </c>
      <c r="I923" s="979">
        <f>IF(ISNA(VLOOKUP(C923,[6]條件!$A$1:$L$932,12,0)),"",(VLOOKUP(C923,[6]條件!$A$1:$L$932,12,0)))</f>
        <v>5</v>
      </c>
      <c r="J923" s="982">
        <v>10</v>
      </c>
      <c r="K923" s="980">
        <v>1</v>
      </c>
      <c r="L923" s="981">
        <v>8167</v>
      </c>
      <c r="M923" s="983">
        <v>7837</v>
      </c>
      <c r="N923" s="982">
        <v>6</v>
      </c>
      <c r="O923" s="980">
        <v>0</v>
      </c>
      <c r="P923" s="981">
        <v>8329</v>
      </c>
      <c r="Q923" s="983">
        <v>7853</v>
      </c>
      <c r="R923" s="982">
        <v>5</v>
      </c>
      <c r="S923" s="980">
        <v>0</v>
      </c>
      <c r="T923" s="981">
        <v>8320</v>
      </c>
      <c r="U923" s="983">
        <v>7938</v>
      </c>
      <c r="V923" s="982">
        <v>5</v>
      </c>
      <c r="W923" s="980">
        <v>0</v>
      </c>
      <c r="X923" s="981">
        <v>8273</v>
      </c>
      <c r="Y923" s="983">
        <v>8007</v>
      </c>
      <c r="Z923" s="1412">
        <f>IFERROR(VLOOKUP(C923, [6]條件!$A:$L, 3, 0), "")</f>
        <v>2.8685258964143427</v>
      </c>
      <c r="AA923" s="984">
        <f>IF(OR(L923={"改紡","檢修","了機","清車","FINAL","停機","SAMPLE","TEST","絲開發"}), L923, IFERROR(IF(C923="", "", (SUM(J923, N923, R923, V923)/3 * AG923) * IF(AND(AF923="S", AS923="雙"), 0.5, 1)), ""))</f>
        <v>8.6666666666666661</v>
      </c>
      <c r="AB923" s="1413">
        <f t="shared" si="161"/>
        <v>0.99832398504273501</v>
      </c>
      <c r="AC923" s="984">
        <f>IF(OR(L923={"改紡","檢修","了機","清車","FINAL","停機","SAMPLE","TEST"}), "", IFERROR(IF(C923="", "", AVERAGE(L923:M923, P923:Q923, T923:U923, X923:Y923)/100), ""))</f>
        <v>80.905000000000001</v>
      </c>
      <c r="AD923" s="984">
        <f t="shared" si="160"/>
        <v>1.0833333333333333</v>
      </c>
      <c r="AE923" s="984">
        <f t="shared" si="162"/>
        <v>1.0416666666666667</v>
      </c>
      <c r="AF923" s="985" t="str">
        <f t="shared" si="155"/>
        <v>A</v>
      </c>
      <c r="AG923" s="1414">
        <v>1</v>
      </c>
      <c r="AH923" s="1002" t="s">
        <v>16016</v>
      </c>
      <c r="AI923" s="1002" t="s">
        <v>15997</v>
      </c>
      <c r="AJ923" s="986" t="s">
        <v>15995</v>
      </c>
      <c r="AK923" s="986" t="s">
        <v>15995</v>
      </c>
      <c r="AL923" s="1415">
        <v>54</v>
      </c>
      <c r="AM923" s="1323">
        <v>46163</v>
      </c>
      <c r="AN923" s="1323">
        <v>46164</v>
      </c>
      <c r="AO923" s="1323"/>
      <c r="AP923" s="1323"/>
      <c r="AQ923" s="1323"/>
      <c r="AR923" s="987"/>
      <c r="AS923" s="978" t="str">
        <f t="shared" si="156"/>
        <v>單</v>
      </c>
      <c r="AT923" s="978" t="str">
        <f t="shared" si="157"/>
        <v>全</v>
      </c>
      <c r="AU923" s="978">
        <f t="shared" si="158"/>
        <v>150</v>
      </c>
      <c r="AV923" s="978">
        <f t="shared" si="159"/>
        <v>2.51646912</v>
      </c>
    </row>
    <row r="924" spans="1:48">
      <c r="A924" s="975">
        <f t="shared" si="154"/>
        <v>46166</v>
      </c>
      <c r="B924" s="976" t="s">
        <v>222</v>
      </c>
      <c r="C924" s="976" t="s">
        <v>632</v>
      </c>
      <c r="D924" s="1410"/>
      <c r="E924" s="977" t="str">
        <f>IFERROR(VLOOKUP(C924, [6]條件!$A:$L, 5, 0), "")</f>
        <v/>
      </c>
      <c r="F924" s="978" t="str">
        <f>IFERROR(VLOOKUP(C924, [6]條件!$A:$L, 6, 0), "")</f>
        <v/>
      </c>
      <c r="G924" s="1411" t="str">
        <f>IFERROR(VLOOKUP(C924, [6]條件!$A:$L, 7, 0), "")</f>
        <v/>
      </c>
      <c r="H924" s="978" t="str">
        <f>IF(ISNA(VLOOKUP(C924,[6]條件!$A$1:$K$932,11,0)),"",(VLOOKUP(C924,[6]條件!$A$1:$K$932,11,0)))</f>
        <v/>
      </c>
      <c r="I924" s="979" t="str">
        <f>IF(ISNA(VLOOKUP(C924,[6]條件!$A$1:$L$932,12,0)),"",(VLOOKUP(C924,[6]條件!$A$1:$L$932,12,0)))</f>
        <v/>
      </c>
      <c r="J924" s="982"/>
      <c r="K924" s="980"/>
      <c r="L924" s="981" t="s">
        <v>632</v>
      </c>
      <c r="M924" s="983"/>
      <c r="N924" s="982"/>
      <c r="O924" s="980"/>
      <c r="P924" s="981" t="s">
        <v>632</v>
      </c>
      <c r="Q924" s="983"/>
      <c r="R924" s="982"/>
      <c r="S924" s="980"/>
      <c r="T924" s="981" t="s">
        <v>632</v>
      </c>
      <c r="U924" s="983"/>
      <c r="V924" s="982"/>
      <c r="W924" s="980"/>
      <c r="X924" s="981" t="s">
        <v>632</v>
      </c>
      <c r="Y924" s="983"/>
      <c r="Z924" s="1412" t="str">
        <f>IFERROR(VLOOKUP(C924, [6]條件!$A:$L, 3, 0), "")</f>
        <v/>
      </c>
      <c r="AA924" s="984" t="str">
        <f>IF(OR(L924={"改紡","檢修","了機","清車","FINAL","停機","SAMPLE","TEST","絲開發"}), L924, IFERROR(IF(C924="", "", (SUM(J924, N924, R924, V924)/3 * AG924) * IF(AND(AF924="S", AS924="雙"), 0.5, 1)), ""))</f>
        <v>停機</v>
      </c>
      <c r="AB924" s="1413" t="str">
        <f t="shared" si="161"/>
        <v/>
      </c>
      <c r="AC924" s="984" t="str">
        <f>IF(OR(L924={"改紡","檢修","了機","清車","FINAL","停機","SAMPLE","TEST"}), "", IFERROR(IF(C924="", "", AVERAGE(L924:M924, P924:Q924, T924:U924, X924:Y924)/100), ""))</f>
        <v/>
      </c>
      <c r="AD924" s="984" t="str">
        <f t="shared" si="160"/>
        <v/>
      </c>
      <c r="AE924" s="984" t="str">
        <f t="shared" si="162"/>
        <v/>
      </c>
      <c r="AF924" s="985" t="str">
        <f t="shared" si="155"/>
        <v>A</v>
      </c>
      <c r="AG924" s="1414">
        <v>1</v>
      </c>
      <c r="AH924" s="1002" t="s">
        <v>640</v>
      </c>
      <c r="AI924" s="1002" t="s">
        <v>640</v>
      </c>
      <c r="AJ924" s="986" t="s">
        <v>640</v>
      </c>
      <c r="AK924" s="986" t="s">
        <v>640</v>
      </c>
      <c r="AL924" s="1415"/>
      <c r="AM924" s="1323"/>
      <c r="AN924" s="1323"/>
      <c r="AO924" s="1323"/>
      <c r="AP924" s="1323"/>
      <c r="AQ924" s="1323"/>
      <c r="AR924" s="987"/>
      <c r="AS924" s="978" t="str">
        <f t="shared" si="156"/>
        <v>單</v>
      </c>
      <c r="AT924" s="978" t="str">
        <f t="shared" si="157"/>
        <v>全</v>
      </c>
      <c r="AU924" s="978" t="str">
        <f t="shared" si="158"/>
        <v/>
      </c>
      <c r="AV924" s="978" t="str">
        <f t="shared" si="159"/>
        <v/>
      </c>
    </row>
    <row r="925" spans="1:48">
      <c r="A925" s="975">
        <f t="shared" si="154"/>
        <v>46166</v>
      </c>
      <c r="B925" s="976" t="s">
        <v>223</v>
      </c>
      <c r="C925" s="976" t="s">
        <v>632</v>
      </c>
      <c r="D925" s="1410"/>
      <c r="E925" s="977" t="str">
        <f>IFERROR(VLOOKUP(C925, [6]條件!$A:$L, 5, 0), "")</f>
        <v/>
      </c>
      <c r="F925" s="978" t="str">
        <f>IFERROR(VLOOKUP(C925, [6]條件!$A:$L, 6, 0), "")</f>
        <v/>
      </c>
      <c r="G925" s="1411" t="str">
        <f>IFERROR(VLOOKUP(C925, [6]條件!$A:$L, 7, 0), "")</f>
        <v/>
      </c>
      <c r="H925" s="978" t="str">
        <f>IF(ISNA(VLOOKUP(C925,[6]條件!$A$1:$K$932,11,0)),"",(VLOOKUP(C925,[6]條件!$A$1:$K$932,11,0)))</f>
        <v/>
      </c>
      <c r="I925" s="979" t="str">
        <f>IF(ISNA(VLOOKUP(C925,[6]條件!$A$1:$L$932,12,0)),"",(VLOOKUP(C925,[6]條件!$A$1:$L$932,12,0)))</f>
        <v/>
      </c>
      <c r="J925" s="982"/>
      <c r="K925" s="980"/>
      <c r="L925" s="981" t="s">
        <v>632</v>
      </c>
      <c r="M925" s="983"/>
      <c r="N925" s="982"/>
      <c r="O925" s="980"/>
      <c r="P925" s="981" t="s">
        <v>632</v>
      </c>
      <c r="Q925" s="983"/>
      <c r="R925" s="982"/>
      <c r="S925" s="980"/>
      <c r="T925" s="981" t="s">
        <v>632</v>
      </c>
      <c r="U925" s="983"/>
      <c r="V925" s="982"/>
      <c r="W925" s="980"/>
      <c r="X925" s="981" t="s">
        <v>632</v>
      </c>
      <c r="Y925" s="983"/>
      <c r="Z925" s="1412" t="str">
        <f>IFERROR(VLOOKUP(C925, [6]條件!$A:$L, 3, 0), "")</f>
        <v/>
      </c>
      <c r="AA925" s="984" t="str">
        <f>IF(OR(L925={"改紡","檢修","了機","清車","FINAL","停機","SAMPLE","TEST","絲開發"}), L925, IFERROR(IF(C925="", "", (SUM(J925, N925, R925, V925)/3 * AG925) * IF(AND(AF925="S", AS925="雙"), 0.5, 1)), ""))</f>
        <v>停機</v>
      </c>
      <c r="AB925" s="1413" t="str">
        <f t="shared" si="161"/>
        <v/>
      </c>
      <c r="AC925" s="984" t="str">
        <f>IF(OR(L925={"改紡","檢修","了機","清車","FINAL","停機","SAMPLE","TEST"}), "", IFERROR(IF(C925="", "", AVERAGE(L925:M925, P925:Q925, T925:U925, X925:Y925)/100), ""))</f>
        <v/>
      </c>
      <c r="AD925" s="984" t="str">
        <f t="shared" si="160"/>
        <v/>
      </c>
      <c r="AE925" s="984" t="str">
        <f t="shared" si="162"/>
        <v/>
      </c>
      <c r="AF925" s="985" t="str">
        <f t="shared" si="155"/>
        <v>A</v>
      </c>
      <c r="AG925" s="1414">
        <v>1</v>
      </c>
      <c r="AH925" s="1002" t="s">
        <v>640</v>
      </c>
      <c r="AI925" s="1002" t="s">
        <v>640</v>
      </c>
      <c r="AJ925" s="1002" t="s">
        <v>640</v>
      </c>
      <c r="AK925" s="1002" t="s">
        <v>640</v>
      </c>
      <c r="AL925" s="1415"/>
      <c r="AM925" s="1324"/>
      <c r="AN925" s="1323"/>
      <c r="AO925" s="1323"/>
      <c r="AP925" s="1323"/>
      <c r="AQ925" s="1323"/>
      <c r="AR925" s="987"/>
      <c r="AS925" s="978" t="str">
        <f t="shared" si="156"/>
        <v>單</v>
      </c>
      <c r="AT925" s="978" t="str">
        <f t="shared" si="157"/>
        <v>全</v>
      </c>
      <c r="AU925" s="978" t="str">
        <f t="shared" si="158"/>
        <v/>
      </c>
      <c r="AV925" s="978" t="str">
        <f t="shared" si="159"/>
        <v/>
      </c>
    </row>
    <row r="926" spans="1:48">
      <c r="A926" s="975">
        <f t="shared" si="154"/>
        <v>46166</v>
      </c>
      <c r="B926" s="976" t="s">
        <v>224</v>
      </c>
      <c r="C926" s="976" t="s">
        <v>632</v>
      </c>
      <c r="D926" s="1410"/>
      <c r="E926" s="977" t="str">
        <f>IFERROR(VLOOKUP(C926, [6]條件!$A:$L, 5, 0), "")</f>
        <v/>
      </c>
      <c r="F926" s="978" t="str">
        <f>IFERROR(VLOOKUP(C926, [6]條件!$A:$L, 6, 0), "")</f>
        <v/>
      </c>
      <c r="G926" s="1411" t="str">
        <f>IFERROR(VLOOKUP(C926, [6]條件!$A:$L, 7, 0), "")</f>
        <v/>
      </c>
      <c r="H926" s="978" t="str">
        <f>IF(ISNA(VLOOKUP(C926,[6]條件!$A$1:$K$932,11,0)),"",(VLOOKUP(C926,[6]條件!$A$1:$K$932,11,0)))</f>
        <v/>
      </c>
      <c r="I926" s="979" t="str">
        <f>IF(ISNA(VLOOKUP(C926,[6]條件!$A$1:$L$932,12,0)),"",(VLOOKUP(C926,[6]條件!$A$1:$L$932,12,0)))</f>
        <v/>
      </c>
      <c r="J926" s="982"/>
      <c r="K926" s="980"/>
      <c r="L926" s="981" t="s">
        <v>632</v>
      </c>
      <c r="M926" s="983"/>
      <c r="N926" s="982"/>
      <c r="O926" s="980"/>
      <c r="P926" s="981" t="s">
        <v>632</v>
      </c>
      <c r="Q926" s="983"/>
      <c r="R926" s="982"/>
      <c r="S926" s="980"/>
      <c r="T926" s="981" t="s">
        <v>632</v>
      </c>
      <c r="U926" s="983"/>
      <c r="V926" s="982"/>
      <c r="W926" s="980"/>
      <c r="X926" s="981" t="s">
        <v>632</v>
      </c>
      <c r="Y926" s="983"/>
      <c r="Z926" s="1412" t="str">
        <f>IFERROR(VLOOKUP(C926, [6]條件!$A:$L, 3, 0), "")</f>
        <v/>
      </c>
      <c r="AA926" s="984" t="str">
        <f>IF(OR(L926={"改紡","檢修","了機","清車","FINAL","停機","SAMPLE","TEST","絲開發"}), L926, IFERROR(IF(C926="", "", (SUM(J926, N926, R926, V926)/3 * AG926) * IF(AND(AF926="S", AS926="雙"), 0.5, 1)), ""))</f>
        <v>停機</v>
      </c>
      <c r="AB926" s="1413" t="str">
        <f t="shared" si="161"/>
        <v/>
      </c>
      <c r="AC926" s="984" t="str">
        <f>IF(OR(L926={"改紡","檢修","了機","清車","FINAL","停機","SAMPLE","TEST"}), "", IFERROR(IF(C926="", "", AVERAGE(L926:M926, P926:Q926, T926:U926, X926:Y926)/100), ""))</f>
        <v/>
      </c>
      <c r="AD926" s="984" t="str">
        <f t="shared" si="160"/>
        <v/>
      </c>
      <c r="AE926" s="984" t="str">
        <f t="shared" si="162"/>
        <v/>
      </c>
      <c r="AF926" s="985" t="str">
        <f t="shared" si="155"/>
        <v>A</v>
      </c>
      <c r="AG926" s="1414">
        <v>0.5</v>
      </c>
      <c r="AH926" s="1002" t="s">
        <v>16011</v>
      </c>
      <c r="AI926" s="1002" t="s">
        <v>640</v>
      </c>
      <c r="AJ926" s="1002" t="s">
        <v>640</v>
      </c>
      <c r="AK926" s="1002" t="s">
        <v>640</v>
      </c>
      <c r="AL926" s="1415"/>
      <c r="AM926" s="1323"/>
      <c r="AN926" s="1323"/>
      <c r="AO926" s="1323"/>
      <c r="AP926" s="1323"/>
      <c r="AQ926" s="1323"/>
      <c r="AR926" s="987"/>
      <c r="AS926" s="978" t="str">
        <f t="shared" si="156"/>
        <v>單</v>
      </c>
      <c r="AT926" s="978" t="str">
        <f t="shared" si="157"/>
        <v/>
      </c>
      <c r="AU926" s="978" t="str">
        <f t="shared" si="158"/>
        <v/>
      </c>
      <c r="AV926" s="978" t="str">
        <f t="shared" si="159"/>
        <v/>
      </c>
    </row>
    <row r="927" spans="1:48">
      <c r="A927" s="975">
        <f t="shared" si="154"/>
        <v>46166</v>
      </c>
      <c r="B927" s="976" t="s">
        <v>225</v>
      </c>
      <c r="C927" s="976" t="s">
        <v>632</v>
      </c>
      <c r="D927" s="1410"/>
      <c r="E927" s="977" t="str">
        <f>IFERROR(VLOOKUP(C927, [6]條件!$A:$L, 5, 0), "")</f>
        <v/>
      </c>
      <c r="F927" s="978" t="str">
        <f>IFERROR(VLOOKUP(C927, [6]條件!$A:$L, 6, 0), "")</f>
        <v/>
      </c>
      <c r="G927" s="1411" t="str">
        <f>IFERROR(VLOOKUP(C927, [6]條件!$A:$L, 7, 0), "")</f>
        <v/>
      </c>
      <c r="H927" s="978" t="str">
        <f>IF(ISNA(VLOOKUP(C927,[6]條件!$A$1:$K$932,11,0)),"",(VLOOKUP(C927,[6]條件!$A$1:$K$932,11,0)))</f>
        <v/>
      </c>
      <c r="I927" s="979" t="str">
        <f>IF(ISNA(VLOOKUP(C927,[6]條件!$A$1:$L$932,12,0)),"",(VLOOKUP(C927,[6]條件!$A$1:$L$932,12,0)))</f>
        <v/>
      </c>
      <c r="J927" s="982"/>
      <c r="K927" s="980"/>
      <c r="L927" s="981" t="s">
        <v>632</v>
      </c>
      <c r="M927" s="983"/>
      <c r="N927" s="982"/>
      <c r="O927" s="980"/>
      <c r="P927" s="981" t="s">
        <v>632</v>
      </c>
      <c r="Q927" s="983"/>
      <c r="R927" s="982"/>
      <c r="S927" s="980"/>
      <c r="T927" s="981" t="s">
        <v>632</v>
      </c>
      <c r="U927" s="983"/>
      <c r="V927" s="982"/>
      <c r="W927" s="980"/>
      <c r="X927" s="981" t="s">
        <v>632</v>
      </c>
      <c r="Y927" s="983"/>
      <c r="Z927" s="1412" t="str">
        <f>IFERROR(VLOOKUP(C927, [6]條件!$A:$L, 3, 0), "")</f>
        <v/>
      </c>
      <c r="AA927" s="984" t="str">
        <f>IF(OR(L927={"改紡","檢修","了機","清車","FINAL","停機","SAMPLE","TEST","絲開發"}), L927, IFERROR(IF(C927="", "", (SUM(J927, N927, R927, V927)/3 * AG927) * IF(AND(AF927="S", AS927="雙"), 0.5, 1)), ""))</f>
        <v>停機</v>
      </c>
      <c r="AB927" s="1413" t="str">
        <f t="shared" si="161"/>
        <v/>
      </c>
      <c r="AC927" s="984" t="str">
        <f>IF(OR(L927={"改紡","檢修","了機","清車","FINAL","停機","SAMPLE","TEST"}), "", IFERROR(IF(C927="", "", AVERAGE(L927:M927, P927:Q927, T927:U927, X927:Y927)/100), ""))</f>
        <v/>
      </c>
      <c r="AD927" s="984" t="str">
        <f t="shared" si="160"/>
        <v/>
      </c>
      <c r="AE927" s="984" t="str">
        <f t="shared" si="162"/>
        <v/>
      </c>
      <c r="AF927" s="985" t="str">
        <f t="shared" si="155"/>
        <v>A</v>
      </c>
      <c r="AG927" s="1414">
        <v>1</v>
      </c>
      <c r="AH927" s="1002" t="s">
        <v>640</v>
      </c>
      <c r="AI927" s="1002" t="s">
        <v>640</v>
      </c>
      <c r="AJ927" s="1002" t="s">
        <v>640</v>
      </c>
      <c r="AK927" s="1002" t="s">
        <v>640</v>
      </c>
      <c r="AL927" s="1415"/>
      <c r="AM927" s="1323"/>
      <c r="AN927" s="1323"/>
      <c r="AO927" s="1323"/>
      <c r="AP927" s="1323"/>
      <c r="AQ927" s="1323"/>
      <c r="AR927" s="987"/>
      <c r="AS927" s="978" t="str">
        <f t="shared" si="156"/>
        <v>單</v>
      </c>
      <c r="AT927" s="978" t="str">
        <f t="shared" si="157"/>
        <v>全</v>
      </c>
      <c r="AU927" s="978" t="str">
        <f t="shared" si="158"/>
        <v/>
      </c>
      <c r="AV927" s="978" t="str">
        <f t="shared" si="159"/>
        <v/>
      </c>
    </row>
    <row r="928" spans="1:48">
      <c r="A928" s="975">
        <f t="shared" si="154"/>
        <v>46166</v>
      </c>
      <c r="B928" s="976" t="s">
        <v>226</v>
      </c>
      <c r="C928" s="976" t="s">
        <v>632</v>
      </c>
      <c r="D928" s="1410"/>
      <c r="E928" s="977" t="str">
        <f>IFERROR(VLOOKUP(C928, [6]條件!$A:$L, 5, 0), "")</f>
        <v/>
      </c>
      <c r="F928" s="978" t="str">
        <f>IFERROR(VLOOKUP(C928, [6]條件!$A:$L, 6, 0), "")</f>
        <v/>
      </c>
      <c r="G928" s="1411" t="str">
        <f>IFERROR(VLOOKUP(C928, [6]條件!$A:$L, 7, 0), "")</f>
        <v/>
      </c>
      <c r="H928" s="978" t="str">
        <f>IF(ISNA(VLOOKUP(C928,[6]條件!$A$1:$K$932,11,0)),"",(VLOOKUP(C928,[6]條件!$A$1:$K$932,11,0)))</f>
        <v/>
      </c>
      <c r="I928" s="979" t="str">
        <f>IF(ISNA(VLOOKUP(C928,[6]條件!$A$1:$L$932,12,0)),"",(VLOOKUP(C928,[6]條件!$A$1:$L$932,12,0)))</f>
        <v/>
      </c>
      <c r="J928" s="982"/>
      <c r="K928" s="980"/>
      <c r="L928" s="981" t="s">
        <v>632</v>
      </c>
      <c r="M928" s="983"/>
      <c r="N928" s="982"/>
      <c r="O928" s="980"/>
      <c r="P928" s="981" t="s">
        <v>632</v>
      </c>
      <c r="Q928" s="983"/>
      <c r="R928" s="982"/>
      <c r="S928" s="980"/>
      <c r="T928" s="981" t="s">
        <v>632</v>
      </c>
      <c r="U928" s="983"/>
      <c r="V928" s="982"/>
      <c r="W928" s="980"/>
      <c r="X928" s="981" t="s">
        <v>632</v>
      </c>
      <c r="Y928" s="983"/>
      <c r="Z928" s="1412" t="str">
        <f>IFERROR(VLOOKUP(C928, [6]條件!$A:$L, 3, 0), "")</f>
        <v/>
      </c>
      <c r="AA928" s="984" t="str">
        <f>IF(OR(L928={"改紡","檢修","了機","清車","FINAL","停機","SAMPLE","TEST","絲開發"}), L928, IFERROR(IF(C928="", "", (SUM(J928, N928, R928, V928)/3 * AG928) * IF(AND(AF928="S", AS928="雙"), 0.5, 1)), ""))</f>
        <v>停機</v>
      </c>
      <c r="AB928" s="1413" t="str">
        <f t="shared" si="161"/>
        <v/>
      </c>
      <c r="AC928" s="984" t="str">
        <f>IF(OR(L928={"改紡","檢修","了機","清車","FINAL","停機","SAMPLE","TEST"}), "", IFERROR(IF(C928="", "", AVERAGE(L928:M928, P928:Q928, T928:U928, X928:Y928)/100), ""))</f>
        <v/>
      </c>
      <c r="AD928" s="984" t="str">
        <f t="shared" si="160"/>
        <v/>
      </c>
      <c r="AE928" s="984" t="str">
        <f t="shared" si="162"/>
        <v/>
      </c>
      <c r="AF928" s="985" t="str">
        <f t="shared" si="155"/>
        <v>A</v>
      </c>
      <c r="AG928" s="1414">
        <v>1</v>
      </c>
      <c r="AH928" s="1002" t="s">
        <v>640</v>
      </c>
      <c r="AI928" s="1002" t="s">
        <v>640</v>
      </c>
      <c r="AJ928" s="1002" t="s">
        <v>640</v>
      </c>
      <c r="AK928" s="1002" t="s">
        <v>640</v>
      </c>
      <c r="AL928" s="1415"/>
      <c r="AM928" s="1323"/>
      <c r="AN928" s="1323"/>
      <c r="AO928" s="1323"/>
      <c r="AP928" s="1323"/>
      <c r="AQ928" s="1323"/>
      <c r="AR928" s="987"/>
      <c r="AS928" s="978" t="str">
        <f t="shared" si="156"/>
        <v>單</v>
      </c>
      <c r="AT928" s="978" t="str">
        <f t="shared" si="157"/>
        <v>全</v>
      </c>
      <c r="AU928" s="978" t="str">
        <f t="shared" si="158"/>
        <v/>
      </c>
      <c r="AV928" s="978" t="str">
        <f t="shared" si="159"/>
        <v/>
      </c>
    </row>
    <row r="929" spans="1:48">
      <c r="A929" s="975">
        <f t="shared" si="154"/>
        <v>46166</v>
      </c>
      <c r="B929" s="976" t="s">
        <v>227</v>
      </c>
      <c r="C929" s="976" t="s">
        <v>632</v>
      </c>
      <c r="D929" s="1410"/>
      <c r="E929" s="977" t="str">
        <f>IFERROR(VLOOKUP(C929, [6]條件!$A:$L, 5, 0), "")</f>
        <v/>
      </c>
      <c r="F929" s="978" t="str">
        <f>IFERROR(VLOOKUP(C929, [6]條件!$A:$L, 6, 0), "")</f>
        <v/>
      </c>
      <c r="G929" s="1411" t="str">
        <f>IFERROR(VLOOKUP(C929, [6]條件!$A:$L, 7, 0), "")</f>
        <v/>
      </c>
      <c r="H929" s="978" t="str">
        <f>IF(ISNA(VLOOKUP(C929,[6]條件!$A$1:$K$932,11,0)),"",(VLOOKUP(C929,[6]條件!$A$1:$K$932,11,0)))</f>
        <v/>
      </c>
      <c r="I929" s="979" t="str">
        <f>IF(ISNA(VLOOKUP(C929,[6]條件!$A$1:$L$932,12,0)),"",(VLOOKUP(C929,[6]條件!$A$1:$L$932,12,0)))</f>
        <v/>
      </c>
      <c r="J929" s="982"/>
      <c r="K929" s="980"/>
      <c r="L929" s="981" t="s">
        <v>632</v>
      </c>
      <c r="M929" s="983"/>
      <c r="N929" s="982"/>
      <c r="O929" s="980"/>
      <c r="P929" s="981" t="s">
        <v>632</v>
      </c>
      <c r="Q929" s="983"/>
      <c r="R929" s="982"/>
      <c r="S929" s="980"/>
      <c r="T929" s="981" t="s">
        <v>632</v>
      </c>
      <c r="U929" s="983"/>
      <c r="V929" s="982"/>
      <c r="W929" s="980"/>
      <c r="X929" s="981" t="s">
        <v>632</v>
      </c>
      <c r="Y929" s="983"/>
      <c r="Z929" s="1412" t="str">
        <f>IFERROR(VLOOKUP(C929, [6]條件!$A:$L, 3, 0), "")</f>
        <v/>
      </c>
      <c r="AA929" s="984" t="str">
        <f>IF(OR(L929={"改紡","檢修","了機","清車","FINAL","停機","SAMPLE","TEST","絲開發"}), L929, IFERROR(IF(C929="", "", (SUM(J929, N929, R929, V929)/3 * AG929) * IF(AND(AF929="S", AS929="雙"), 0.5, 1)), ""))</f>
        <v>停機</v>
      </c>
      <c r="AB929" s="1413" t="str">
        <f t="shared" si="161"/>
        <v/>
      </c>
      <c r="AC929" s="984" t="str">
        <f>IF(OR(L929={"改紡","檢修","了機","清車","FINAL","停機","SAMPLE","TEST"}), "", IFERROR(IF(C929="", "", AVERAGE(L929:M929, P929:Q929, T929:U929, X929:Y929)/100), ""))</f>
        <v/>
      </c>
      <c r="AD929" s="984" t="str">
        <f t="shared" si="160"/>
        <v/>
      </c>
      <c r="AE929" s="984" t="str">
        <f t="shared" si="162"/>
        <v/>
      </c>
      <c r="AF929" s="985" t="str">
        <f t="shared" si="155"/>
        <v>A</v>
      </c>
      <c r="AG929" s="1414">
        <v>1</v>
      </c>
      <c r="AH929" s="1002" t="s">
        <v>640</v>
      </c>
      <c r="AI929" s="1002" t="s">
        <v>640</v>
      </c>
      <c r="AJ929" s="1002" t="s">
        <v>640</v>
      </c>
      <c r="AK929" s="1002" t="s">
        <v>640</v>
      </c>
      <c r="AL929" s="1415"/>
      <c r="AM929" s="1323"/>
      <c r="AN929" s="1323"/>
      <c r="AO929" s="1323"/>
      <c r="AP929" s="1323"/>
      <c r="AQ929" s="1323"/>
      <c r="AR929" s="987"/>
      <c r="AS929" s="978" t="str">
        <f t="shared" si="156"/>
        <v>單</v>
      </c>
      <c r="AT929" s="978" t="str">
        <f t="shared" si="157"/>
        <v>全</v>
      </c>
      <c r="AU929" s="978" t="str">
        <f t="shared" si="158"/>
        <v/>
      </c>
      <c r="AV929" s="978" t="str">
        <f t="shared" si="159"/>
        <v/>
      </c>
    </row>
    <row r="930" spans="1:48">
      <c r="A930" s="975">
        <f t="shared" si="154"/>
        <v>46166</v>
      </c>
      <c r="B930" s="976" t="s">
        <v>228</v>
      </c>
      <c r="C930" s="976" t="s">
        <v>632</v>
      </c>
      <c r="D930" s="1410"/>
      <c r="E930" s="977" t="str">
        <f>IFERROR(VLOOKUP(C930, [6]條件!$A:$L, 5, 0), "")</f>
        <v/>
      </c>
      <c r="F930" s="978" t="str">
        <f>IFERROR(VLOOKUP(C930, [6]條件!$A:$L, 6, 0), "")</f>
        <v/>
      </c>
      <c r="G930" s="1411" t="str">
        <f>IFERROR(VLOOKUP(C930, [6]條件!$A:$L, 7, 0), "")</f>
        <v/>
      </c>
      <c r="H930" s="978" t="str">
        <f>IF(ISNA(VLOOKUP(C930,[6]條件!$A$1:$K$932,11,0)),"",(VLOOKUP(C930,[6]條件!$A$1:$K$932,11,0)))</f>
        <v/>
      </c>
      <c r="I930" s="979" t="str">
        <f>IF(ISNA(VLOOKUP(C930,[6]條件!$A$1:$L$932,12,0)),"",(VLOOKUP(C930,[6]條件!$A$1:$L$932,12,0)))</f>
        <v/>
      </c>
      <c r="J930" s="982"/>
      <c r="K930" s="980"/>
      <c r="L930" s="981" t="s">
        <v>632</v>
      </c>
      <c r="M930" s="983"/>
      <c r="N930" s="982"/>
      <c r="O930" s="980"/>
      <c r="P930" s="981" t="s">
        <v>632</v>
      </c>
      <c r="Q930" s="983"/>
      <c r="R930" s="982"/>
      <c r="S930" s="980"/>
      <c r="T930" s="981" t="s">
        <v>632</v>
      </c>
      <c r="U930" s="983"/>
      <c r="V930" s="982"/>
      <c r="W930" s="980"/>
      <c r="X930" s="981" t="s">
        <v>632</v>
      </c>
      <c r="Y930" s="983"/>
      <c r="Z930" s="1412" t="str">
        <f>IFERROR(VLOOKUP(C930, [6]條件!$A:$L, 3, 0), "")</f>
        <v/>
      </c>
      <c r="AA930" s="984" t="str">
        <f>IF(OR(L930={"改紡","檢修","了機","清車","FINAL","停機","SAMPLE","TEST","絲開發"}), L930, IFERROR(IF(C930="", "", (SUM(J930, N930, R930, V930)/3 * AG930) * IF(AND(AF930="S", AS930="雙"), 0.5, 1)), ""))</f>
        <v>停機</v>
      </c>
      <c r="AB930" s="1413" t="str">
        <f t="shared" si="161"/>
        <v/>
      </c>
      <c r="AC930" s="984" t="str">
        <f>IF(OR(L930={"改紡","檢修","了機","清車","FINAL","停機","SAMPLE","TEST"}), "", IFERROR(IF(C930="", "", AVERAGE(L930:M930, P930:Q930, T930:U930, X930:Y930)/100), ""))</f>
        <v/>
      </c>
      <c r="AD930" s="984" t="str">
        <f t="shared" si="160"/>
        <v/>
      </c>
      <c r="AE930" s="984" t="str">
        <f t="shared" si="162"/>
        <v/>
      </c>
      <c r="AF930" s="985" t="str">
        <f t="shared" si="155"/>
        <v>A</v>
      </c>
      <c r="AG930" s="1414">
        <v>1</v>
      </c>
      <c r="AH930" s="1002" t="s">
        <v>640</v>
      </c>
      <c r="AI930" s="1002" t="s">
        <v>640</v>
      </c>
      <c r="AJ930" s="1002" t="s">
        <v>640</v>
      </c>
      <c r="AK930" s="1002" t="s">
        <v>640</v>
      </c>
      <c r="AL930" s="1420"/>
      <c r="AM930" s="1323"/>
      <c r="AN930" s="1323"/>
      <c r="AO930" s="1323"/>
      <c r="AP930" s="1323"/>
      <c r="AQ930" s="1323"/>
      <c r="AR930" s="987"/>
      <c r="AS930" s="978" t="str">
        <f t="shared" si="156"/>
        <v>單</v>
      </c>
      <c r="AT930" s="978" t="str">
        <f t="shared" si="157"/>
        <v>全</v>
      </c>
      <c r="AU930" s="978" t="str">
        <f t="shared" si="158"/>
        <v/>
      </c>
      <c r="AV930" s="978" t="str">
        <f t="shared" si="159"/>
        <v/>
      </c>
    </row>
    <row r="931" spans="1:48">
      <c r="A931" s="975">
        <f t="shared" si="154"/>
        <v>46166</v>
      </c>
      <c r="B931" s="976" t="s">
        <v>229</v>
      </c>
      <c r="C931" s="976" t="s">
        <v>632</v>
      </c>
      <c r="D931" s="1410"/>
      <c r="E931" s="977" t="str">
        <f>IFERROR(VLOOKUP(C931, [6]條件!$A:$L, 5, 0), "")</f>
        <v/>
      </c>
      <c r="F931" s="978" t="str">
        <f>IFERROR(VLOOKUP(C931, [6]條件!$A:$L, 6, 0), "")</f>
        <v/>
      </c>
      <c r="G931" s="1411" t="str">
        <f>IFERROR(VLOOKUP(C931, [6]條件!$A:$L, 7, 0), "")</f>
        <v/>
      </c>
      <c r="H931" s="978" t="str">
        <f>IF(ISNA(VLOOKUP(C931,[6]條件!$A$1:$K$932,11,0)),"",(VLOOKUP(C931,[6]條件!$A$1:$K$932,11,0)))</f>
        <v/>
      </c>
      <c r="I931" s="979" t="str">
        <f>IF(ISNA(VLOOKUP(C931,[6]條件!$A$1:$L$932,12,0)),"",(VLOOKUP(C931,[6]條件!$A$1:$L$932,12,0)))</f>
        <v/>
      </c>
      <c r="J931" s="982"/>
      <c r="K931" s="980"/>
      <c r="L931" s="981" t="s">
        <v>632</v>
      </c>
      <c r="M931" s="983"/>
      <c r="N931" s="982"/>
      <c r="O931" s="980"/>
      <c r="P931" s="981" t="s">
        <v>632</v>
      </c>
      <c r="Q931" s="983"/>
      <c r="R931" s="982"/>
      <c r="S931" s="980"/>
      <c r="T931" s="981" t="s">
        <v>632</v>
      </c>
      <c r="U931" s="983"/>
      <c r="V931" s="982"/>
      <c r="W931" s="980"/>
      <c r="X931" s="981" t="s">
        <v>632</v>
      </c>
      <c r="Y931" s="983"/>
      <c r="Z931" s="1412" t="str">
        <f>IFERROR(VLOOKUP(C931, [6]條件!$A:$L, 3, 0), "")</f>
        <v/>
      </c>
      <c r="AA931" s="984" t="str">
        <f>IF(OR(L931={"改紡","檢修","了機","清車","FINAL","停機","SAMPLE","TEST","絲開發"}), L931, IFERROR(IF(C931="", "", (SUM(J931, N931, R931, V931)/3 * AG931) * IF(AND(AF931="S", AS931="雙"), 0.5, 1)), ""))</f>
        <v>停機</v>
      </c>
      <c r="AB931" s="1413" t="str">
        <f t="shared" si="161"/>
        <v/>
      </c>
      <c r="AC931" s="984" t="str">
        <f>IF(OR(L931={"改紡","檢修","了機","清車","FINAL","停機","SAMPLE","TEST"}), "", IFERROR(IF(C931="", "", AVERAGE(L931:M931, P931:Q931, T931:U931, X931:Y931)/100), ""))</f>
        <v/>
      </c>
      <c r="AD931" s="984" t="str">
        <f t="shared" si="160"/>
        <v/>
      </c>
      <c r="AE931" s="984" t="str">
        <f t="shared" si="162"/>
        <v/>
      </c>
      <c r="AF931" s="985" t="str">
        <f t="shared" si="155"/>
        <v>A</v>
      </c>
      <c r="AG931" s="1414">
        <v>1</v>
      </c>
      <c r="AH931" s="1002" t="s">
        <v>640</v>
      </c>
      <c r="AI931" s="1002" t="s">
        <v>640</v>
      </c>
      <c r="AJ931" s="1002" t="s">
        <v>640</v>
      </c>
      <c r="AK931" s="1002" t="s">
        <v>640</v>
      </c>
      <c r="AL931" s="1421"/>
      <c r="AM931" s="1323"/>
      <c r="AN931" s="1323"/>
      <c r="AO931" s="1323"/>
      <c r="AP931" s="1323"/>
      <c r="AQ931" s="1323"/>
      <c r="AR931" s="987"/>
      <c r="AS931" s="978" t="str">
        <f t="shared" si="156"/>
        <v>單</v>
      </c>
      <c r="AT931" s="978" t="str">
        <f t="shared" si="157"/>
        <v>全</v>
      </c>
      <c r="AU931" s="978" t="str">
        <f t="shared" si="158"/>
        <v/>
      </c>
      <c r="AV931" s="978" t="str">
        <f t="shared" si="159"/>
        <v/>
      </c>
    </row>
    <row r="932" spans="1:48">
      <c r="A932" s="975">
        <f t="shared" si="154"/>
        <v>46166</v>
      </c>
      <c r="B932" s="976" t="s">
        <v>230</v>
      </c>
      <c r="C932" s="976" t="s">
        <v>632</v>
      </c>
      <c r="D932" s="1410"/>
      <c r="E932" s="977" t="str">
        <f>IFERROR(VLOOKUP(C932, [6]條件!$A:$L, 5, 0), "")</f>
        <v/>
      </c>
      <c r="F932" s="978" t="str">
        <f>IFERROR(VLOOKUP(C932, [6]條件!$A:$L, 6, 0), "")</f>
        <v/>
      </c>
      <c r="G932" s="1411" t="str">
        <f>IFERROR(VLOOKUP(C932, [6]條件!$A:$L, 7, 0), "")</f>
        <v/>
      </c>
      <c r="H932" s="978" t="str">
        <f>IF(ISNA(VLOOKUP(C932,[6]條件!$A$1:$K$932,11,0)),"",(VLOOKUP(C932,[6]條件!$A$1:$K$932,11,0)))</f>
        <v/>
      </c>
      <c r="I932" s="979" t="str">
        <f>IF(ISNA(VLOOKUP(C932,[6]條件!$A$1:$L$932,12,0)),"",(VLOOKUP(C932,[6]條件!$A$1:$L$932,12,0)))</f>
        <v/>
      </c>
      <c r="J932" s="982"/>
      <c r="K932" s="980"/>
      <c r="L932" s="981" t="s">
        <v>632</v>
      </c>
      <c r="M932" s="983"/>
      <c r="N932" s="982"/>
      <c r="O932" s="980"/>
      <c r="P932" s="981" t="s">
        <v>632</v>
      </c>
      <c r="Q932" s="983"/>
      <c r="R932" s="982"/>
      <c r="S932" s="980"/>
      <c r="T932" s="981" t="s">
        <v>632</v>
      </c>
      <c r="U932" s="983"/>
      <c r="V932" s="982"/>
      <c r="W932" s="980"/>
      <c r="X932" s="981" t="s">
        <v>632</v>
      </c>
      <c r="Y932" s="983"/>
      <c r="Z932" s="1412" t="str">
        <f>IFERROR(VLOOKUP(C932, [6]條件!$A:$L, 3, 0), "")</f>
        <v/>
      </c>
      <c r="AA932" s="984" t="str">
        <f>IF(OR(L932={"改紡","檢修","了機","清車","FINAL","停機","SAMPLE","TEST","絲開發"}), L932, IFERROR(IF(C932="", "", (SUM(J932, N932, R932, V932)/3 * AG932) * IF(AND(AF932="S", AS932="雙"), 0.5, 1)), ""))</f>
        <v>停機</v>
      </c>
      <c r="AB932" s="1413" t="str">
        <f t="shared" si="161"/>
        <v/>
      </c>
      <c r="AC932" s="984" t="str">
        <f>IF(OR(L932={"改紡","檢修","了機","清車","FINAL","停機","SAMPLE","TEST"}), "", IFERROR(IF(C932="", "", AVERAGE(L932:M932, P932:Q932, T932:U932, X932:Y932)/100), ""))</f>
        <v/>
      </c>
      <c r="AD932" s="984" t="str">
        <f t="shared" si="160"/>
        <v/>
      </c>
      <c r="AE932" s="984" t="str">
        <f t="shared" si="162"/>
        <v/>
      </c>
      <c r="AF932" s="985" t="str">
        <f t="shared" si="155"/>
        <v>A</v>
      </c>
      <c r="AG932" s="1414">
        <v>0.5</v>
      </c>
      <c r="AH932" s="1002" t="s">
        <v>16011</v>
      </c>
      <c r="AI932" s="1002" t="s">
        <v>640</v>
      </c>
      <c r="AJ932" s="1002" t="s">
        <v>640</v>
      </c>
      <c r="AK932" s="1002" t="s">
        <v>640</v>
      </c>
      <c r="AL932" s="1415"/>
      <c r="AM932" s="1323"/>
      <c r="AN932" s="1323"/>
      <c r="AO932" s="1323"/>
      <c r="AP932" s="1323"/>
      <c r="AQ932" s="1323"/>
      <c r="AR932" s="987"/>
      <c r="AS932" s="978" t="str">
        <f t="shared" si="156"/>
        <v>單</v>
      </c>
      <c r="AT932" s="978" t="str">
        <f t="shared" si="157"/>
        <v/>
      </c>
      <c r="AU932" s="978" t="str">
        <f t="shared" si="158"/>
        <v/>
      </c>
      <c r="AV932" s="978" t="str">
        <f t="shared" si="159"/>
        <v/>
      </c>
    </row>
    <row r="933" spans="1:48">
      <c r="A933" s="975">
        <f t="shared" si="154"/>
        <v>46166</v>
      </c>
      <c r="B933" s="976" t="s">
        <v>231</v>
      </c>
      <c r="C933" s="976" t="s">
        <v>632</v>
      </c>
      <c r="D933" s="1410"/>
      <c r="E933" s="977" t="str">
        <f>IFERROR(VLOOKUP(C933, [6]條件!$A:$L, 5, 0), "")</f>
        <v/>
      </c>
      <c r="F933" s="978" t="str">
        <f>IFERROR(VLOOKUP(C933, [6]條件!$A:$L, 6, 0), "")</f>
        <v/>
      </c>
      <c r="G933" s="1411" t="str">
        <f>IFERROR(VLOOKUP(C933, [6]條件!$A:$L, 7, 0), "")</f>
        <v/>
      </c>
      <c r="H933" s="978" t="str">
        <f>IF(ISNA(VLOOKUP(C933,[6]條件!$A$1:$K$932,11,0)),"",(VLOOKUP(C933,[6]條件!$A$1:$K$932,11,0)))</f>
        <v/>
      </c>
      <c r="I933" s="979" t="str">
        <f>IF(ISNA(VLOOKUP(C933,[6]條件!$A$1:$L$932,12,0)),"",(VLOOKUP(C933,[6]條件!$A$1:$L$932,12,0)))</f>
        <v/>
      </c>
      <c r="J933" s="982"/>
      <c r="K933" s="980"/>
      <c r="L933" s="981" t="s">
        <v>632</v>
      </c>
      <c r="M933" s="983"/>
      <c r="N933" s="982"/>
      <c r="O933" s="980"/>
      <c r="P933" s="981" t="s">
        <v>632</v>
      </c>
      <c r="Q933" s="983"/>
      <c r="R933" s="982"/>
      <c r="S933" s="980"/>
      <c r="T933" s="981" t="s">
        <v>632</v>
      </c>
      <c r="U933" s="983"/>
      <c r="V933" s="982"/>
      <c r="W933" s="980"/>
      <c r="X933" s="981" t="s">
        <v>632</v>
      </c>
      <c r="Y933" s="983"/>
      <c r="Z933" s="1412" t="str">
        <f>IFERROR(VLOOKUP(C933, [6]條件!$A:$L, 3, 0), "")</f>
        <v/>
      </c>
      <c r="AA933" s="984" t="str">
        <f>IF(OR(L933={"改紡","檢修","了機","清車","FINAL","停機","SAMPLE","TEST","絲開發"}), L933, IFERROR(IF(C933="", "", (SUM(J933, N933, R933, V933)/3 * AG933) * IF(AND(AF933="S", AS933="雙"), 0.5, 1)), ""))</f>
        <v>停機</v>
      </c>
      <c r="AB933" s="1413" t="str">
        <f t="shared" si="161"/>
        <v/>
      </c>
      <c r="AC933" s="984" t="str">
        <f>IF(OR(L933={"改紡","檢修","了機","清車","FINAL","停機","SAMPLE","TEST"}), "", IFERROR(IF(C933="", "", AVERAGE(L933:M933, P933:Q933, T933:U933, X933:Y933)/100), ""))</f>
        <v/>
      </c>
      <c r="AD933" s="984" t="str">
        <f t="shared" si="160"/>
        <v/>
      </c>
      <c r="AE933" s="984" t="str">
        <f t="shared" si="162"/>
        <v/>
      </c>
      <c r="AF933" s="985" t="str">
        <f t="shared" si="155"/>
        <v>J</v>
      </c>
      <c r="AG933" s="1414">
        <v>1</v>
      </c>
      <c r="AH933" s="1002" t="s">
        <v>640</v>
      </c>
      <c r="AI933" s="1002" t="s">
        <v>640</v>
      </c>
      <c r="AJ933" s="1002" t="s">
        <v>640</v>
      </c>
      <c r="AK933" s="1002" t="s">
        <v>640</v>
      </c>
      <c r="AL933" s="1415"/>
      <c r="AM933" s="1323"/>
      <c r="AN933" s="1323"/>
      <c r="AO933" s="1323"/>
      <c r="AP933" s="1323"/>
      <c r="AQ933" s="1323"/>
      <c r="AR933" s="987"/>
      <c r="AS933" s="978" t="str">
        <f t="shared" si="156"/>
        <v>單</v>
      </c>
      <c r="AT933" s="978" t="str">
        <f t="shared" si="157"/>
        <v>全</v>
      </c>
      <c r="AU933" s="978" t="str">
        <f t="shared" si="158"/>
        <v/>
      </c>
      <c r="AV933" s="978" t="str">
        <f t="shared" si="159"/>
        <v/>
      </c>
    </row>
    <row r="934" spans="1:48">
      <c r="A934" s="975">
        <f t="shared" si="154"/>
        <v>46166</v>
      </c>
      <c r="B934" s="976" t="s">
        <v>233</v>
      </c>
      <c r="C934" s="976" t="s">
        <v>16772</v>
      </c>
      <c r="D934" s="1410" t="s">
        <v>633</v>
      </c>
      <c r="E934" s="977" t="str">
        <f>IFERROR(VLOOKUP(C934, [6]條件!$A:$L, 5, 0), "")</f>
        <v>150/48/2SDr</v>
      </c>
      <c r="F934" s="978" t="str">
        <f>IFERROR(VLOOKUP(C934, [6]條件!$A:$L, 6, 0), "")</f>
        <v>FP82171R×2</v>
      </c>
      <c r="G934" s="1411">
        <f>IFERROR(VLOOKUP(C934, [6]條件!$A:$L, 7, 0), "")</f>
        <v>600</v>
      </c>
      <c r="H934" s="978" t="str">
        <f>IF(ISNA(VLOOKUP(C934,[6]條件!$A$1:$K$932,11,0)),"",(VLOOKUP(C934,[6]條件!$A$1:$K$932,11,0)))</f>
        <v>紅白直條</v>
      </c>
      <c r="I934" s="979">
        <f>IF(ISNA(VLOOKUP(C934,[6]條件!$A$1:$L$932,12,0)),"",(VLOOKUP(C934,[6]條件!$A$1:$L$932,12,0)))</f>
        <v>5.5</v>
      </c>
      <c r="J934" s="982">
        <v>29</v>
      </c>
      <c r="K934" s="980">
        <v>5</v>
      </c>
      <c r="L934" s="981">
        <v>6630</v>
      </c>
      <c r="M934" s="983"/>
      <c r="N934" s="982">
        <v>5</v>
      </c>
      <c r="O934" s="980">
        <v>0</v>
      </c>
      <c r="P934" s="981">
        <v>6640</v>
      </c>
      <c r="Q934" s="983"/>
      <c r="R934" s="982">
        <v>10</v>
      </c>
      <c r="S934" s="980">
        <v>1</v>
      </c>
      <c r="T934" s="981">
        <v>6560</v>
      </c>
      <c r="U934" s="983"/>
      <c r="V934" s="982">
        <v>19</v>
      </c>
      <c r="W934" s="980">
        <v>2</v>
      </c>
      <c r="X934" s="981">
        <v>6520</v>
      </c>
      <c r="Y934" s="983"/>
      <c r="Z934" s="1412">
        <f>IFERROR(VLOOKUP(C934, [6]條件!$A:$L, 3, 0), "")</f>
        <v>5.0526315789473673</v>
      </c>
      <c r="AA934" s="984">
        <f>IF(OR(L934={"改紡","檢修","了機","清車","FINAL","停機","SAMPLE","TEST","絲開發"}), L934, IFERROR(IF(C934="", "", (SUM(J934, N934, R934, V934)/3 * AG934) * IF(AND(AF934="S", AS934="雙"), 0.5, 1)), ""))</f>
        <v>21</v>
      </c>
      <c r="AB934" s="1413">
        <f t="shared" si="161"/>
        <v>0.99238782051282048</v>
      </c>
      <c r="AC934" s="984">
        <f>IF(OR(L934={"改紡","檢修","了機","清車","FINAL","停機","SAMPLE","TEST"}), "", IFERROR(IF(C934="", "", AVERAGE(L934:M934, P934:Q934, T934:U934, X934:Y934)/100), ""))</f>
        <v>65.875</v>
      </c>
      <c r="AD934" s="984">
        <f t="shared" si="160"/>
        <v>2.625</v>
      </c>
      <c r="AE934" s="984">
        <f t="shared" si="162"/>
        <v>2.2916666666666665</v>
      </c>
      <c r="AF934" s="985" t="str">
        <f t="shared" si="155"/>
        <v>J</v>
      </c>
      <c r="AG934" s="1414">
        <v>1</v>
      </c>
      <c r="AH934" s="1002" t="s">
        <v>16021</v>
      </c>
      <c r="AI934" s="1002" t="s">
        <v>814</v>
      </c>
      <c r="AJ934" s="986" t="s">
        <v>16019</v>
      </c>
      <c r="AK934" s="986" t="s">
        <v>16019</v>
      </c>
      <c r="AL934" s="1415">
        <v>55</v>
      </c>
      <c r="AM934" s="1323">
        <v>46160</v>
      </c>
      <c r="AN934" s="1323">
        <v>46162</v>
      </c>
      <c r="AO934" s="1323">
        <v>46163</v>
      </c>
      <c r="AP934" s="1323">
        <v>46164</v>
      </c>
      <c r="AQ934" s="1323"/>
      <c r="AR934" s="987"/>
      <c r="AS934" s="978" t="str">
        <f t="shared" si="156"/>
        <v>雙</v>
      </c>
      <c r="AT934" s="978" t="str">
        <f t="shared" si="157"/>
        <v>全</v>
      </c>
      <c r="AU934" s="978">
        <f t="shared" si="158"/>
        <v>150</v>
      </c>
      <c r="AV934" s="978">
        <f t="shared" si="159"/>
        <v>4.0979520000000003</v>
      </c>
    </row>
    <row r="935" spans="1:48">
      <c r="A935" s="975">
        <f t="shared" si="154"/>
        <v>46166</v>
      </c>
      <c r="B935" s="976" t="s">
        <v>234</v>
      </c>
      <c r="C935" s="976" t="s">
        <v>632</v>
      </c>
      <c r="D935" s="1410"/>
      <c r="E935" s="977" t="str">
        <f>IFERROR(VLOOKUP(C935, [6]條件!$A:$L, 5, 0), "")</f>
        <v/>
      </c>
      <c r="F935" s="978" t="str">
        <f>IFERROR(VLOOKUP(C935, [6]條件!$A:$L, 6, 0), "")</f>
        <v/>
      </c>
      <c r="G935" s="1411" t="str">
        <f>IFERROR(VLOOKUP(C935, [6]條件!$A:$L, 7, 0), "")</f>
        <v/>
      </c>
      <c r="H935" s="978" t="str">
        <f>IF(ISNA(VLOOKUP(C935,[6]條件!$A$1:$K$932,11,0)),"",(VLOOKUP(C935,[6]條件!$A$1:$K$932,11,0)))</f>
        <v/>
      </c>
      <c r="I935" s="979" t="str">
        <f>IF(ISNA(VLOOKUP(C935,[6]條件!$A$1:$L$932,12,0)),"",(VLOOKUP(C935,[6]條件!$A$1:$L$932,12,0)))</f>
        <v/>
      </c>
      <c r="J935" s="982"/>
      <c r="K935" s="980"/>
      <c r="L935" s="981" t="s">
        <v>632</v>
      </c>
      <c r="M935" s="983"/>
      <c r="N935" s="982"/>
      <c r="O935" s="980"/>
      <c r="P935" s="981" t="s">
        <v>632</v>
      </c>
      <c r="Q935" s="983"/>
      <c r="R935" s="982"/>
      <c r="S935" s="980"/>
      <c r="T935" s="981" t="s">
        <v>632</v>
      </c>
      <c r="U935" s="983"/>
      <c r="V935" s="982"/>
      <c r="W935" s="980"/>
      <c r="X935" s="981" t="s">
        <v>632</v>
      </c>
      <c r="Y935" s="983"/>
      <c r="Z935" s="1412" t="str">
        <f>IFERROR(VLOOKUP(C935, [6]條件!$A:$L, 3, 0), "")</f>
        <v/>
      </c>
      <c r="AA935" s="984" t="str">
        <f>IF(OR(L935={"改紡","檢修","了機","清車","FINAL","停機","SAMPLE","TEST","絲開發"}), L935, IFERROR(IF(C935="", "", (SUM(J935, N935, R935, V935)/3 * AG935) * IF(AND(AF935="S", AS935="雙"), 0.5, 1)), ""))</f>
        <v>停機</v>
      </c>
      <c r="AB935" s="1413" t="str">
        <f t="shared" si="161"/>
        <v/>
      </c>
      <c r="AC935" s="984" t="str">
        <f>IF(OR(L935={"改紡","檢修","了機","清車","FINAL","停機","SAMPLE","TEST"}), "", IFERROR(IF(C935="", "", AVERAGE(L935:M935, P935:Q935, T935:U935, X935:Y935)/100), ""))</f>
        <v/>
      </c>
      <c r="AD935" s="984" t="str">
        <f t="shared" si="160"/>
        <v/>
      </c>
      <c r="AE935" s="984" t="str">
        <f t="shared" si="162"/>
        <v/>
      </c>
      <c r="AF935" s="985" t="str">
        <f t="shared" si="155"/>
        <v>J</v>
      </c>
      <c r="AG935" s="1414">
        <v>1</v>
      </c>
      <c r="AH935" s="1002" t="s">
        <v>640</v>
      </c>
      <c r="AI935" s="1002" t="s">
        <v>640</v>
      </c>
      <c r="AJ935" s="986" t="s">
        <v>640</v>
      </c>
      <c r="AK935" s="986" t="s">
        <v>640</v>
      </c>
      <c r="AL935" s="1415"/>
      <c r="AM935" s="1323"/>
      <c r="AN935" s="1323"/>
      <c r="AO935" s="1323"/>
      <c r="AP935" s="1323"/>
      <c r="AQ935" s="1323"/>
      <c r="AR935" s="987"/>
      <c r="AS935" s="978" t="str">
        <f t="shared" si="156"/>
        <v>單</v>
      </c>
      <c r="AT935" s="978" t="str">
        <f t="shared" si="157"/>
        <v>全</v>
      </c>
      <c r="AU935" s="978" t="str">
        <f t="shared" si="158"/>
        <v/>
      </c>
      <c r="AV935" s="978" t="str">
        <f t="shared" si="159"/>
        <v/>
      </c>
    </row>
    <row r="936" spans="1:48">
      <c r="A936" s="975">
        <f t="shared" si="154"/>
        <v>46166</v>
      </c>
      <c r="B936" s="976" t="s">
        <v>235</v>
      </c>
      <c r="C936" s="976" t="s">
        <v>16765</v>
      </c>
      <c r="D936" s="1410" t="s">
        <v>633</v>
      </c>
      <c r="E936" s="977" t="str">
        <f>IFERROR(VLOOKUP(C936, [6]條件!$A:$L, 5, 0), "")</f>
        <v>150/48/2SDr</v>
      </c>
      <c r="F936" s="978" t="str">
        <f>IFERROR(VLOOKUP(C936, [6]條件!$A:$L, 6, 0), "")</f>
        <v>FP82173R×2</v>
      </c>
      <c r="G936" s="1411">
        <f>IFERROR(VLOOKUP(C936, [6]條件!$A:$L, 7, 0), "")</f>
        <v>700</v>
      </c>
      <c r="H936" s="978" t="str">
        <f>IF(ISNA(VLOOKUP(C936,[6]條件!$A$1:$K$932,11,0)),"",(VLOOKUP(C936,[6]條件!$A$1:$K$932,11,0)))</f>
        <v>白紫條紋</v>
      </c>
      <c r="I936" s="979">
        <f>IF(ISNA(VLOOKUP(C936,[6]條件!$A$1:$L$932,12,0)),"",(VLOOKUP(C936,[6]條件!$A$1:$L$932,12,0)))</f>
        <v>5.5</v>
      </c>
      <c r="J936" s="982">
        <v>47</v>
      </c>
      <c r="K936" s="980">
        <v>0</v>
      </c>
      <c r="L936" s="981">
        <v>8240</v>
      </c>
      <c r="M936" s="983">
        <v>9170</v>
      </c>
      <c r="N936" s="982">
        <v>12</v>
      </c>
      <c r="O936" s="980">
        <v>0</v>
      </c>
      <c r="P936" s="981">
        <v>8001</v>
      </c>
      <c r="Q936" s="983">
        <v>8610</v>
      </c>
      <c r="R936" s="982">
        <v>15</v>
      </c>
      <c r="S936" s="980">
        <v>0</v>
      </c>
      <c r="T936" s="981">
        <v>6570</v>
      </c>
      <c r="U936" s="983">
        <v>6670</v>
      </c>
      <c r="V936" s="982"/>
      <c r="W936" s="980"/>
      <c r="X936" s="981" t="s">
        <v>15855</v>
      </c>
      <c r="Y936" s="983"/>
      <c r="Z936" s="1412">
        <f>IFERROR(VLOOKUP(C936, [6]條件!$A:$L, 3, 0), "")</f>
        <v>5.8775510204081636</v>
      </c>
      <c r="AA936" s="984">
        <f>IF(OR(L936={"改紡","檢修","了機","清車","FINAL","停機","SAMPLE","TEST","絲開發"}), L936, IFERROR(IF(C936="", "", (SUM(J936, N936, R936, V936)/3 * AG936) * IF(AND(AF936="S", AS936="雙"), 0.5, 1)), ""))</f>
        <v>24.666666666666668</v>
      </c>
      <c r="AB936" s="1413">
        <f t="shared" si="161"/>
        <v>1</v>
      </c>
      <c r="AC936" s="984">
        <f>IF(OR(L936={"改紡","檢修","了機","清車","FINAL","停機","SAMPLE","TEST"}), "", IFERROR(IF(C936="", "", AVERAGE(L936:M936, P936:Q936, T936:U936, X936:Y936)/100), ""))</f>
        <v>78.768333333333331</v>
      </c>
      <c r="AD936" s="984">
        <f t="shared" si="160"/>
        <v>3.0833333333333335</v>
      </c>
      <c r="AE936" s="984">
        <f t="shared" si="162"/>
        <v>3.0833333333333335</v>
      </c>
      <c r="AF936" s="985" t="str">
        <f t="shared" si="155"/>
        <v>T</v>
      </c>
      <c r="AG936" s="1414">
        <v>1</v>
      </c>
      <c r="AH936" s="1002" t="s">
        <v>16020</v>
      </c>
      <c r="AI936" s="1002" t="s">
        <v>15337</v>
      </c>
      <c r="AJ936" s="1002" t="s">
        <v>16014</v>
      </c>
      <c r="AK936" s="1002" t="s">
        <v>16014</v>
      </c>
      <c r="AL936" s="1415">
        <v>56</v>
      </c>
      <c r="AM936" s="1323">
        <v>46162</v>
      </c>
      <c r="AN936" s="1323">
        <v>46163</v>
      </c>
      <c r="AO936" s="1323"/>
      <c r="AP936" s="1323"/>
      <c r="AQ936" s="1323"/>
      <c r="AR936" s="987"/>
      <c r="AS936" s="978" t="str">
        <f t="shared" si="156"/>
        <v>雙</v>
      </c>
      <c r="AT936" s="978" t="str">
        <f t="shared" si="157"/>
        <v>全</v>
      </c>
      <c r="AU936" s="978">
        <f t="shared" si="158"/>
        <v>150</v>
      </c>
      <c r="AV936" s="978">
        <f t="shared" si="159"/>
        <v>5.71669056</v>
      </c>
    </row>
    <row r="937" spans="1:48">
      <c r="A937" s="975">
        <f t="shared" si="154"/>
        <v>46166</v>
      </c>
      <c r="B937" s="976" t="s">
        <v>237</v>
      </c>
      <c r="C937" s="976" t="s">
        <v>16759</v>
      </c>
      <c r="D937" s="1410" t="s">
        <v>633</v>
      </c>
      <c r="E937" s="977" t="str">
        <f>IFERROR(VLOOKUP(C937, [6]條件!$A:$L, 5, 0), "")</f>
        <v>150/48/2SDr</v>
      </c>
      <c r="F937" s="978" t="str">
        <f>IFERROR(VLOOKUP(C937, [6]條件!$A:$L, 6, 0), "")</f>
        <v>FP82171R×2</v>
      </c>
      <c r="G937" s="1411">
        <f>IFERROR(VLOOKUP(C937, [6]條件!$A:$L, 7, 0), "")</f>
        <v>700</v>
      </c>
      <c r="H937" s="978" t="str">
        <f>IF(ISNA(VLOOKUP(C937,[6]條件!$A$1:$K$932,11,0)),"",(VLOOKUP(C937,[6]條件!$A$1:$K$932,11,0)))</f>
        <v>紅底黃星</v>
      </c>
      <c r="I937" s="979">
        <f>IF(ISNA(VLOOKUP(C937,[6]條件!$A$1:$L$932,12,0)),"",(VLOOKUP(C937,[6]條件!$A$1:$L$932,12,0)))</f>
        <v>5.5</v>
      </c>
      <c r="J937" s="982">
        <v>57</v>
      </c>
      <c r="K937" s="980">
        <v>0</v>
      </c>
      <c r="L937" s="981">
        <v>9444</v>
      </c>
      <c r="M937" s="983">
        <v>9350</v>
      </c>
      <c r="N937" s="982">
        <v>0</v>
      </c>
      <c r="O937" s="980">
        <v>0</v>
      </c>
      <c r="P937" s="981">
        <v>8004</v>
      </c>
      <c r="Q937" s="983">
        <v>7870</v>
      </c>
      <c r="R937" s="982">
        <v>7</v>
      </c>
      <c r="S937" s="980">
        <v>0</v>
      </c>
      <c r="T937" s="981">
        <v>6850</v>
      </c>
      <c r="U937" s="983">
        <v>7690</v>
      </c>
      <c r="V937" s="982">
        <v>72</v>
      </c>
      <c r="W937" s="980">
        <v>0</v>
      </c>
      <c r="X937" s="981">
        <v>9540</v>
      </c>
      <c r="Y937" s="983">
        <v>9260</v>
      </c>
      <c r="Z937" s="1412">
        <f>IFERROR(VLOOKUP(C937, [6]條件!$A:$L, 3, 0), "")</f>
        <v>5.8299595141700413</v>
      </c>
      <c r="AA937" s="984">
        <f>IF(OR(L937={"改紡","檢修","了機","清車","FINAL","停機","SAMPLE","TEST","絲開發"}), L937, IFERROR(IF(C937="", "", (SUM(J937, N937, R937, V937)/3 * AG937) * IF(AND(AF937="S", AS937="雙"), 0.5, 1)), ""))</f>
        <v>45.333333333333336</v>
      </c>
      <c r="AB937" s="1413">
        <f t="shared" si="161"/>
        <v>1</v>
      </c>
      <c r="AC937" s="984">
        <f>IF(OR(L937={"改紡","檢修","了機","清車","FINAL","停機","SAMPLE","TEST"}), "", IFERROR(IF(C937="", "", AVERAGE(L937:M937, P937:Q937, T937:U937, X937:Y937)/100), ""))</f>
        <v>85.01</v>
      </c>
      <c r="AD937" s="984">
        <f t="shared" si="160"/>
        <v>5.666666666666667</v>
      </c>
      <c r="AE937" s="984">
        <f t="shared" si="162"/>
        <v>5.666666666666667</v>
      </c>
      <c r="AF937" s="985" t="str">
        <f t="shared" si="155"/>
        <v>T</v>
      </c>
      <c r="AG937" s="1414">
        <v>1</v>
      </c>
      <c r="AH937" s="1002" t="s">
        <v>16020</v>
      </c>
      <c r="AI937" s="1002" t="s">
        <v>15337</v>
      </c>
      <c r="AJ937" s="986" t="s">
        <v>16023</v>
      </c>
      <c r="AK937" s="986" t="s">
        <v>16023</v>
      </c>
      <c r="AL937" s="1415">
        <v>55</v>
      </c>
      <c r="AM937" s="1323">
        <v>46163</v>
      </c>
      <c r="AN937" s="1323">
        <v>46164</v>
      </c>
      <c r="AO937" s="1323"/>
      <c r="AP937" s="1323"/>
      <c r="AQ937" s="1323"/>
      <c r="AR937" s="987"/>
      <c r="AS937" s="978" t="str">
        <f t="shared" si="156"/>
        <v>雙</v>
      </c>
      <c r="AT937" s="978" t="str">
        <f t="shared" si="157"/>
        <v>全</v>
      </c>
      <c r="AU937" s="978">
        <f t="shared" si="158"/>
        <v>150</v>
      </c>
      <c r="AV937" s="978">
        <f t="shared" si="159"/>
        <v>6.1696857600000001</v>
      </c>
    </row>
    <row r="938" spans="1:48">
      <c r="A938" s="975">
        <f t="shared" si="154"/>
        <v>46166</v>
      </c>
      <c r="B938" s="976" t="s">
        <v>238</v>
      </c>
      <c r="C938" s="976" t="s">
        <v>16743</v>
      </c>
      <c r="D938" s="1410"/>
      <c r="E938" s="977" t="str">
        <f>IFERROR(VLOOKUP(C938, [6]條件!$A:$L, 5, 0), "")</f>
        <v>150/48/2SDr</v>
      </c>
      <c r="F938" s="978" t="str">
        <f>IFERROR(VLOOKUP(C938, [6]條件!$A:$L, 6, 0), "")</f>
        <v>FP82169R×2</v>
      </c>
      <c r="G938" s="1411">
        <f>IFERROR(VLOOKUP(C938, [6]條件!$A:$L, 7, 0), "")</f>
        <v>670</v>
      </c>
      <c r="H938" s="978" t="str">
        <f>IF(ISNA(VLOOKUP(C938,[6]條件!$A$1:$K$932,11,0)),"",(VLOOKUP(C938,[6]條件!$A$1:$K$932,11,0)))</f>
        <v>黃底紅點</v>
      </c>
      <c r="I938" s="979">
        <f>IF(ISNA(VLOOKUP(C938,[6]條件!$A$1:$L$932,12,0)),"",(VLOOKUP(C938,[6]條件!$A$1:$L$932,12,0)))</f>
        <v>5</v>
      </c>
      <c r="J938" s="982">
        <v>22</v>
      </c>
      <c r="K938" s="980">
        <v>0</v>
      </c>
      <c r="L938" s="981">
        <v>9269</v>
      </c>
      <c r="M938" s="983"/>
      <c r="N938" s="982">
        <v>10</v>
      </c>
      <c r="O938" s="980">
        <v>0</v>
      </c>
      <c r="P938" s="981">
        <v>8800</v>
      </c>
      <c r="Q938" s="983"/>
      <c r="R938" s="982">
        <v>13</v>
      </c>
      <c r="S938" s="980">
        <v>0</v>
      </c>
      <c r="T938" s="981">
        <v>8890</v>
      </c>
      <c r="U938" s="983"/>
      <c r="V938" s="982">
        <v>28</v>
      </c>
      <c r="W938" s="980">
        <v>0</v>
      </c>
      <c r="X938" s="981">
        <v>8890</v>
      </c>
      <c r="Y938" s="983"/>
      <c r="Z938" s="1412">
        <f>IFERROR(VLOOKUP(C938, [6]條件!$A:$L, 3, 0), "")</f>
        <v>6.2882096069868991</v>
      </c>
      <c r="AA938" s="984">
        <f>IF(OR(L938={"改紡","檢修","了機","清車","FINAL","停機","SAMPLE","TEST","絲開發"}), L938, IFERROR(IF(C938="", "", (SUM(J938, N938, R938, V938)/3 * AG938) * IF(AND(AF938="S", AS938="雙"), 0.5, 1)), ""))</f>
        <v>48.666666666666664</v>
      </c>
      <c r="AB938" s="1413">
        <f t="shared" si="161"/>
        <v>1</v>
      </c>
      <c r="AC938" s="984">
        <f>IF(OR(L938={"改紡","檢修","了機","清車","FINAL","停機","SAMPLE","TEST"}), "", IFERROR(IF(C938="", "", AVERAGE(L938:M938, P938:Q938, T938:U938, X938:Y938)/100), ""))</f>
        <v>89.622500000000002</v>
      </c>
      <c r="AD938" s="984">
        <f t="shared" si="160"/>
        <v>6.083333333333333</v>
      </c>
      <c r="AE938" s="984">
        <f t="shared" si="162"/>
        <v>6.083333333333333</v>
      </c>
      <c r="AF938" s="985" t="str">
        <f t="shared" si="155"/>
        <v>T</v>
      </c>
      <c r="AG938" s="1414">
        <v>2</v>
      </c>
      <c r="AH938" s="1002" t="s">
        <v>16020</v>
      </c>
      <c r="AI938" s="1002" t="s">
        <v>15337</v>
      </c>
      <c r="AJ938" s="1002" t="s">
        <v>16014</v>
      </c>
      <c r="AK938" s="1002" t="s">
        <v>16014</v>
      </c>
      <c r="AL938" s="1415">
        <v>48</v>
      </c>
      <c r="AM938" s="1323">
        <v>46158</v>
      </c>
      <c r="AN938" s="1323">
        <v>46159</v>
      </c>
      <c r="AO938" s="1323">
        <v>46160</v>
      </c>
      <c r="AP938" s="1323">
        <v>46161</v>
      </c>
      <c r="AQ938" s="1323"/>
      <c r="AR938" s="987"/>
      <c r="AS938" s="978" t="str">
        <f t="shared" si="156"/>
        <v>雙</v>
      </c>
      <c r="AT938" s="978" t="str">
        <f t="shared" si="157"/>
        <v>半</v>
      </c>
      <c r="AU938" s="978">
        <f t="shared" si="158"/>
        <v>150</v>
      </c>
      <c r="AV938" s="978">
        <f t="shared" si="159"/>
        <v>3.1128403680000001</v>
      </c>
    </row>
    <row r="939" spans="1:48">
      <c r="A939" s="975">
        <f t="shared" si="154"/>
        <v>46166</v>
      </c>
      <c r="B939" s="976" t="s">
        <v>238</v>
      </c>
      <c r="C939" s="976" t="s">
        <v>16742</v>
      </c>
      <c r="D939" s="1410"/>
      <c r="E939" s="977" t="str">
        <f>IFERROR(VLOOKUP(C939, [6]條件!$A:$L, 5, 0), "")</f>
        <v>150/48/2SDr</v>
      </c>
      <c r="F939" s="978" t="str">
        <f>IFERROR(VLOOKUP(C939, [6]條件!$A:$L, 6, 0), "")</f>
        <v>FP82169R×2</v>
      </c>
      <c r="G939" s="1411">
        <f>IFERROR(VLOOKUP(C939, [6]條件!$A:$L, 7, 0), "")</f>
        <v>670</v>
      </c>
      <c r="H939" s="978" t="str">
        <f>IF(ISNA(VLOOKUP(C939,[6]條件!$A$1:$K$932,11,0)),"",(VLOOKUP(C939,[6]條件!$A$1:$K$932,11,0)))</f>
        <v>紅底藍點</v>
      </c>
      <c r="I939" s="979">
        <f>IF(ISNA(VLOOKUP(C939,[6]條件!$A$1:$L$932,12,0)),"",(VLOOKUP(C939,[6]條件!$A$1:$L$932,12,0)))</f>
        <v>5</v>
      </c>
      <c r="J939" s="982">
        <v>39</v>
      </c>
      <c r="K939" s="980">
        <v>0</v>
      </c>
      <c r="L939" s="981">
        <v>9810</v>
      </c>
      <c r="M939" s="983"/>
      <c r="N939" s="982">
        <v>11</v>
      </c>
      <c r="O939" s="980">
        <v>0</v>
      </c>
      <c r="P939" s="981">
        <v>9170</v>
      </c>
      <c r="Q939" s="983"/>
      <c r="R939" s="982">
        <v>11</v>
      </c>
      <c r="S939" s="980">
        <v>0</v>
      </c>
      <c r="T939" s="981"/>
      <c r="U939" s="983">
        <v>9440</v>
      </c>
      <c r="V939" s="982">
        <v>15</v>
      </c>
      <c r="W939" s="980">
        <v>0</v>
      </c>
      <c r="X939" s="981"/>
      <c r="Y939" s="983">
        <v>9630</v>
      </c>
      <c r="Z939" s="1412">
        <f>IFERROR(VLOOKUP(C939, [6]條件!$A:$L, 3, 0), "")</f>
        <v>6.1802575107296125</v>
      </c>
      <c r="AA939" s="984">
        <f>IF(OR(L939={"改紡","檢修","了機","清車","FINAL","停機","SAMPLE","TEST","絲開發"}), L939, IFERROR(IF(C939="", "", (SUM(J939, N939, R939, V939)/3 * AG939) * IF(AND(AF939="S", AS939="雙"), 0.5, 1)), ""))</f>
        <v>50.666666666666664</v>
      </c>
      <c r="AB939" s="1413">
        <f t="shared" si="161"/>
        <v>1</v>
      </c>
      <c r="AC939" s="984">
        <f>IF(OR(L939={"改紡","檢修","了機","清車","FINAL","停機","SAMPLE","TEST"}), "", IFERROR(IF(C939="", "", AVERAGE(L939:M939, P939:Q939, T939:U939, X939:Y939)/100), ""))</f>
        <v>95.125</v>
      </c>
      <c r="AD939" s="984">
        <f t="shared" si="160"/>
        <v>6.333333333333333</v>
      </c>
      <c r="AE939" s="984">
        <f t="shared" si="162"/>
        <v>6.333333333333333</v>
      </c>
      <c r="AF939" s="985" t="str">
        <f t="shared" si="155"/>
        <v>T</v>
      </c>
      <c r="AG939" s="1414">
        <v>2</v>
      </c>
      <c r="AH939" s="1002" t="s">
        <v>16020</v>
      </c>
      <c r="AI939" s="1002" t="s">
        <v>15337</v>
      </c>
      <c r="AJ939" s="1002" t="s">
        <v>16014</v>
      </c>
      <c r="AK939" s="1002" t="s">
        <v>16014</v>
      </c>
      <c r="AL939" s="1415">
        <v>48</v>
      </c>
      <c r="AM939" s="1323">
        <v>46158</v>
      </c>
      <c r="AN939" s="1323">
        <v>46159</v>
      </c>
      <c r="AO939" s="1323"/>
      <c r="AP939" s="1323"/>
      <c r="AQ939" s="1323"/>
      <c r="AR939" s="987"/>
      <c r="AS939" s="978" t="str">
        <f t="shared" si="156"/>
        <v>雙</v>
      </c>
      <c r="AT939" s="978" t="str">
        <f t="shared" si="157"/>
        <v>半</v>
      </c>
      <c r="AU939" s="978">
        <f t="shared" si="158"/>
        <v>150</v>
      </c>
      <c r="AV939" s="978">
        <f t="shared" si="159"/>
        <v>3.3039576000000004</v>
      </c>
    </row>
    <row r="940" spans="1:48">
      <c r="A940" s="975">
        <f t="shared" si="154"/>
        <v>46166</v>
      </c>
      <c r="B940" s="976" t="s">
        <v>239</v>
      </c>
      <c r="C940" s="976" t="s">
        <v>16787</v>
      </c>
      <c r="D940" s="1410" t="s">
        <v>16788</v>
      </c>
      <c r="E940" s="977" t="str">
        <f>IFERROR(VLOOKUP(C940, [6]條件!$A:$L, 5, 0), "")</f>
        <v>150/48/2SDR</v>
      </c>
      <c r="F940" s="978" t="str">
        <f>IFERROR(VLOOKUP(C940, [6]條件!$A:$L, 6, 0), "")</f>
        <v>FP82169R×2</v>
      </c>
      <c r="G940" s="1411">
        <f>IFERROR(VLOOKUP(C940, [6]條件!$A:$L, 7, 0), "")</f>
        <v>650</v>
      </c>
      <c r="H940" s="978" t="str">
        <f>IF(ISNA(VLOOKUP(C940,[6]條件!$A$1:$K$932,11,0)),"",(VLOOKUP(C940,[6]條件!$A$1:$K$932,11,0)))</f>
        <v>紫黃條紋</v>
      </c>
      <c r="I940" s="979">
        <f>IF(ISNA(VLOOKUP(C940,[6]條件!$A$1:$L$932,12,0)),"",(VLOOKUP(C940,[6]條件!$A$1:$L$932,12,0)))</f>
        <v>5</v>
      </c>
      <c r="J940" s="982">
        <v>17</v>
      </c>
      <c r="K940" s="980">
        <v>0</v>
      </c>
      <c r="L940" s="981"/>
      <c r="M940" s="983">
        <v>9730</v>
      </c>
      <c r="N940" s="982">
        <v>3</v>
      </c>
      <c r="O940" s="980">
        <v>0</v>
      </c>
      <c r="P940" s="981" t="s">
        <v>632</v>
      </c>
      <c r="Q940" s="983">
        <v>9630</v>
      </c>
      <c r="R940" s="982">
        <v>5</v>
      </c>
      <c r="S940" s="980">
        <v>2</v>
      </c>
      <c r="T940" s="981" t="s">
        <v>632</v>
      </c>
      <c r="U940" s="983">
        <v>9350</v>
      </c>
      <c r="V940" s="982">
        <v>23</v>
      </c>
      <c r="W940" s="980">
        <v>2</v>
      </c>
      <c r="X940" s="981" t="s">
        <v>16004</v>
      </c>
      <c r="Y940" s="983">
        <v>9350</v>
      </c>
      <c r="Z940" s="1412">
        <f>IFERROR(VLOOKUP(C940, [6]條件!$A:$L, 3, 0), "")</f>
        <v>6.101694915254237</v>
      </c>
      <c r="AA940" s="984">
        <f>IF(OR(L940={"改紡","檢修","了機","清車","FINAL","停機","SAMPLE","TEST","絲開發"}), L940, IFERROR(IF(C940="", "", (SUM(J940, N940, R940, V940)/3 * AG940) * IF(AND(AF940="S", AS940="雙"), 0.5, 1)), ""))</f>
        <v>32</v>
      </c>
      <c r="AB940" s="1413">
        <f t="shared" si="161"/>
        <v>0.99684829059829061</v>
      </c>
      <c r="AC940" s="984">
        <f>IF(OR(L940={"改紡","檢修","了機","清車","FINAL","停機","SAMPLE","TEST"}), "", IFERROR(IF(C940="", "", AVERAGE(L940:M940, P940:Q940, T940:U940, X940:Y940)/100), ""))</f>
        <v>95.15</v>
      </c>
      <c r="AD940" s="984">
        <f t="shared" si="160"/>
        <v>4</v>
      </c>
      <c r="AE940" s="984">
        <f t="shared" si="162"/>
        <v>3.6666666666666665</v>
      </c>
      <c r="AF940" s="985" t="str">
        <f t="shared" si="155"/>
        <v>T</v>
      </c>
      <c r="AG940" s="1414">
        <v>2</v>
      </c>
      <c r="AH940" s="1002" t="s">
        <v>16024</v>
      </c>
      <c r="AI940" s="1002" t="s">
        <v>15892</v>
      </c>
      <c r="AJ940" s="986" t="s">
        <v>16023</v>
      </c>
      <c r="AK940" s="986" t="s">
        <v>16023</v>
      </c>
      <c r="AL940" s="1415">
        <v>48</v>
      </c>
      <c r="AM940" s="1323">
        <v>46159</v>
      </c>
      <c r="AN940" s="1323">
        <v>46160</v>
      </c>
      <c r="AO940" s="1323">
        <v>46161</v>
      </c>
      <c r="AP940" s="1323"/>
      <c r="AQ940" s="1323"/>
      <c r="AR940" s="987"/>
      <c r="AS940" s="978" t="str">
        <f t="shared" si="156"/>
        <v>雙</v>
      </c>
      <c r="AT940" s="978" t="str">
        <f t="shared" si="157"/>
        <v>半</v>
      </c>
      <c r="AU940" s="978">
        <f t="shared" si="158"/>
        <v>150</v>
      </c>
      <c r="AV940" s="978">
        <f t="shared" si="159"/>
        <v>3.2061744000000001</v>
      </c>
    </row>
    <row r="941" spans="1:48">
      <c r="A941" s="975">
        <f t="shared" ref="A941:A953" si="163">A940</f>
        <v>46166</v>
      </c>
      <c r="B941" s="976" t="s">
        <v>388</v>
      </c>
      <c r="C941" s="976" t="s">
        <v>16775</v>
      </c>
      <c r="D941" s="1410" t="s">
        <v>633</v>
      </c>
      <c r="E941" s="977" t="str">
        <f>IFERROR(VLOOKUP(C941, [6]條件!$A:$L, 5, 0), "")</f>
        <v>150/48/2SDr</v>
      </c>
      <c r="F941" s="978" t="str">
        <f>IFERROR(VLOOKUP(C941, [6]條件!$A:$L, 6, 0), "")</f>
        <v>FP82173R×2</v>
      </c>
      <c r="G941" s="1411">
        <f>IFERROR(VLOOKUP(C941, [6]條件!$A:$L, 7, 0), "")</f>
        <v>700</v>
      </c>
      <c r="H941" s="978" t="str">
        <f>IF(ISNA(VLOOKUP(C941,[6]條件!$A$1:$K$932,11,0)),"",(VLOOKUP(C941,[6]條件!$A$1:$K$932,11,0)))</f>
        <v>黃紅雙色</v>
      </c>
      <c r="I941" s="979">
        <f>IF(ISNA(VLOOKUP(C941,[6]條件!$A$1:$L$932,12,0)),"",(VLOOKUP(C941,[6]條件!$A$1:$L$932,12,0)))</f>
        <v>5.5</v>
      </c>
      <c r="J941" s="982">
        <v>27</v>
      </c>
      <c r="K941" s="980">
        <v>0</v>
      </c>
      <c r="L941" s="981">
        <v>8700</v>
      </c>
      <c r="M941" s="983">
        <v>9910</v>
      </c>
      <c r="N941" s="982">
        <v>17</v>
      </c>
      <c r="O941" s="980">
        <v>0</v>
      </c>
      <c r="P941" s="981">
        <v>8700</v>
      </c>
      <c r="Q941" s="983">
        <v>9910</v>
      </c>
      <c r="R941" s="982">
        <v>11</v>
      </c>
      <c r="S941" s="980">
        <v>0</v>
      </c>
      <c r="T941" s="981">
        <v>8330</v>
      </c>
      <c r="U941" s="983">
        <v>9810</v>
      </c>
      <c r="V941" s="982">
        <v>34</v>
      </c>
      <c r="W941" s="980">
        <v>0</v>
      </c>
      <c r="X941" s="981">
        <v>8520</v>
      </c>
      <c r="Y941" s="983">
        <v>9910</v>
      </c>
      <c r="Z941" s="1412">
        <f>IFERROR(VLOOKUP(C941, [6]條件!$A:$L, 3, 0), "")</f>
        <v>5.8536585365853666</v>
      </c>
      <c r="AA941" s="984">
        <f>IF(OR(L941={"改紡","檢修","了機","清車","FINAL","停機","SAMPLE","TEST","絲開發"}), L941, IFERROR(IF(C941="", "", (SUM(J941, N941, R941, V941)/3 * AG941) * IF(AND(AF941="S", AS941="雙"), 0.5, 1)), ""))</f>
        <v>29.666666666666668</v>
      </c>
      <c r="AB941" s="1413">
        <f t="shared" si="161"/>
        <v>1</v>
      </c>
      <c r="AC941" s="984">
        <f>IF(OR(L941={"改紡","檢修","了機","清車","FINAL","停機","SAMPLE","TEST"}), "", IFERROR(IF(C941="", "", AVERAGE(L941:M941, P941:Q941, T941:U941, X941:Y941)/100), ""))</f>
        <v>92.237499999999997</v>
      </c>
      <c r="AD941" s="984">
        <f t="shared" si="160"/>
        <v>3.7083333333333335</v>
      </c>
      <c r="AE941" s="984">
        <f t="shared" si="162"/>
        <v>3.7083333333333335</v>
      </c>
      <c r="AF941" s="985" t="str">
        <f t="shared" si="155"/>
        <v>T</v>
      </c>
      <c r="AG941" s="1414">
        <v>1</v>
      </c>
      <c r="AH941" s="1002" t="s">
        <v>16024</v>
      </c>
      <c r="AI941" s="1002" t="s">
        <v>15892</v>
      </c>
      <c r="AJ941" s="1002" t="s">
        <v>16014</v>
      </c>
      <c r="AK941" s="1002" t="s">
        <v>16014</v>
      </c>
      <c r="AL941" s="1415">
        <v>56</v>
      </c>
      <c r="AM941" s="1323">
        <v>46162</v>
      </c>
      <c r="AN941" s="1323">
        <v>46163</v>
      </c>
      <c r="AO941" s="1323">
        <v>46164</v>
      </c>
      <c r="AP941" s="1323"/>
      <c r="AQ941" s="1323"/>
      <c r="AR941" s="987"/>
      <c r="AS941" s="978" t="str">
        <f t="shared" si="156"/>
        <v>雙</v>
      </c>
      <c r="AT941" s="978" t="str">
        <f t="shared" si="157"/>
        <v>全</v>
      </c>
      <c r="AU941" s="978">
        <f t="shared" si="158"/>
        <v>150</v>
      </c>
      <c r="AV941" s="978">
        <f t="shared" si="159"/>
        <v>6.6942287999999994</v>
      </c>
    </row>
    <row r="942" spans="1:48">
      <c r="A942" s="975">
        <f t="shared" si="163"/>
        <v>46166</v>
      </c>
      <c r="B942" s="976" t="s">
        <v>417</v>
      </c>
      <c r="C942" s="976" t="s">
        <v>16767</v>
      </c>
      <c r="D942" s="1410" t="s">
        <v>633</v>
      </c>
      <c r="E942" s="977" t="str">
        <f>IFERROR(VLOOKUP(C942, [6]條件!$A:$L, 5, 0), "")</f>
        <v>150/48/2SDr</v>
      </c>
      <c r="F942" s="978" t="str">
        <f>IFERROR(VLOOKUP(C942, [6]條件!$A:$L, 6, 0), "")</f>
        <v>FP82173R×2</v>
      </c>
      <c r="G942" s="1411">
        <f>IFERROR(VLOOKUP(C942, [6]條件!$A:$L, 7, 0), "")</f>
        <v>700</v>
      </c>
      <c r="H942" s="978" t="str">
        <f>IF(ISNA(VLOOKUP(C942,[6]條件!$A$1:$K$932,11,0)),"",(VLOOKUP(C942,[6]條件!$A$1:$K$932,11,0)))</f>
        <v>棕色</v>
      </c>
      <c r="I942" s="979">
        <f>IF(ISNA(VLOOKUP(C942,[6]條件!$A$1:$L$932,12,0)),"",(VLOOKUP(C942,[6]條件!$A$1:$L$932,12,0)))</f>
        <v>5.5</v>
      </c>
      <c r="J942" s="982">
        <v>24</v>
      </c>
      <c r="K942" s="980">
        <v>0</v>
      </c>
      <c r="L942" s="981">
        <v>9910</v>
      </c>
      <c r="M942" s="983">
        <v>9640</v>
      </c>
      <c r="N942" s="982">
        <v>7</v>
      </c>
      <c r="O942" s="980">
        <v>0</v>
      </c>
      <c r="P942" s="981">
        <v>9910</v>
      </c>
      <c r="Q942" s="983">
        <v>9630</v>
      </c>
      <c r="R942" s="982">
        <v>11</v>
      </c>
      <c r="S942" s="980">
        <v>1</v>
      </c>
      <c r="T942" s="981">
        <v>9260</v>
      </c>
      <c r="U942" s="983">
        <v>9170</v>
      </c>
      <c r="V942" s="982">
        <v>27</v>
      </c>
      <c r="W942" s="980">
        <v>4</v>
      </c>
      <c r="X942" s="981">
        <v>9810</v>
      </c>
      <c r="Y942" s="983">
        <v>9630</v>
      </c>
      <c r="Z942" s="1412">
        <f>IFERROR(VLOOKUP(C942, [6]條件!$A:$L, 3, 0), "")</f>
        <v>5.8536585365853666</v>
      </c>
      <c r="AA942" s="984">
        <f>IF(OR(L942={"改紡","檢修","了機","清車","FINAL","停機","SAMPLE","TEST","絲開發"}), L942, IFERROR(IF(C942="", "", (SUM(J942, N942, R942, V942)/3 * AG942) * IF(AND(AF942="S", AS942="雙"), 0.5, 1)), ""))</f>
        <v>23</v>
      </c>
      <c r="AB942" s="1413">
        <f t="shared" si="161"/>
        <v>0.99589342948717952</v>
      </c>
      <c r="AC942" s="984">
        <f>IF(OR(L942={"改紡","檢修","了機","清車","FINAL","停機","SAMPLE","TEST"}), "", IFERROR(IF(C942="", "", AVERAGE(L942:M942, P942:Q942, T942:U942, X942:Y942)/100), ""))</f>
        <v>96.2</v>
      </c>
      <c r="AD942" s="984">
        <f t="shared" si="160"/>
        <v>2.875</v>
      </c>
      <c r="AE942" s="984">
        <f t="shared" si="162"/>
        <v>2.6666666666666665</v>
      </c>
      <c r="AF942" s="985" t="str">
        <f t="shared" si="155"/>
        <v>T</v>
      </c>
      <c r="AG942" s="1414">
        <v>1</v>
      </c>
      <c r="AH942" s="1002" t="s">
        <v>16024</v>
      </c>
      <c r="AI942" s="1002" t="s">
        <v>15892</v>
      </c>
      <c r="AJ942" s="986" t="s">
        <v>16023</v>
      </c>
      <c r="AK942" s="986" t="s">
        <v>16023</v>
      </c>
      <c r="AL942" s="1415">
        <v>56</v>
      </c>
      <c r="AM942" s="1323">
        <v>46163</v>
      </c>
      <c r="AN942" s="1323">
        <v>46164</v>
      </c>
      <c r="AO942" s="1323"/>
      <c r="AP942" s="1323"/>
      <c r="AQ942" s="1323"/>
      <c r="AR942" s="987"/>
      <c r="AS942" s="978" t="str">
        <f t="shared" si="156"/>
        <v>雙</v>
      </c>
      <c r="AT942" s="978" t="str">
        <f t="shared" si="157"/>
        <v>全</v>
      </c>
      <c r="AU942" s="978">
        <f t="shared" si="158"/>
        <v>150</v>
      </c>
      <c r="AV942" s="978">
        <f t="shared" si="159"/>
        <v>6.9818112000000001</v>
      </c>
    </row>
    <row r="943" spans="1:48">
      <c r="A943" s="975">
        <f t="shared" si="163"/>
        <v>46166</v>
      </c>
      <c r="B943" s="976" t="s">
        <v>240</v>
      </c>
      <c r="C943" s="976" t="s">
        <v>16776</v>
      </c>
      <c r="D943" s="1410"/>
      <c r="E943" s="977" t="str">
        <f>IFERROR(VLOOKUP(C943, [6]條件!$A:$L, 5, 0), "")</f>
        <v>50/72/2SDFFR</v>
      </c>
      <c r="F943" s="978" t="str">
        <f>IFERROR(VLOOKUP(C943, [6]條件!$A:$L, 6, 0), "")</f>
        <v>FP80099R×2</v>
      </c>
      <c r="G943" s="1411">
        <f>IFERROR(VLOOKUP(C943, [6]條件!$A:$L, 7, 0), "")</f>
        <v>500</v>
      </c>
      <c r="H943" s="978" t="str">
        <f>IF(ISNA(VLOOKUP(C943,[6]條件!$A$1:$K$932,11,0)),"",(VLOOKUP(C943,[6]條件!$A$1:$K$932,11,0)))</f>
        <v>白黑三角</v>
      </c>
      <c r="I943" s="979">
        <f>IF(ISNA(VLOOKUP(C943,[6]條件!$A$1:$L$932,12,0)),"",(VLOOKUP(C943,[6]條件!$A$1:$L$932,12,0)))</f>
        <v>4</v>
      </c>
      <c r="J943" s="982"/>
      <c r="K943" s="980"/>
      <c r="L943" s="981" t="s">
        <v>16002</v>
      </c>
      <c r="M943" s="983"/>
      <c r="N943" s="982"/>
      <c r="O943" s="980"/>
      <c r="P943" s="981" t="s">
        <v>16002</v>
      </c>
      <c r="Q943" s="983"/>
      <c r="R943" s="982"/>
      <c r="S943" s="980"/>
      <c r="T943" s="981" t="s">
        <v>16002</v>
      </c>
      <c r="U943" s="983"/>
      <c r="V943" s="982"/>
      <c r="W943" s="980"/>
      <c r="X943" s="981" t="s">
        <v>16002</v>
      </c>
      <c r="Y943" s="983"/>
      <c r="Z943" s="1422">
        <f>IFERROR(VLOOKUP(C943, [6]條件!$A:$L, 3, 0), "")</f>
        <v>2.028169014084507</v>
      </c>
      <c r="AA943" s="1167" t="str">
        <f>IF(OR(L943={"改紡","檢修","了機","清車","FINAL","停機","SAMPLE","TEST","絲開發"}), L943, IFERROR(IF(C943="", "", (SUM(J943, N943, R943, V943)/3 * AG943) * IF(AND(AF943="S", AS943="雙"), 0.5, 1)), ""))</f>
        <v>了機</v>
      </c>
      <c r="AB943" s="1423" t="str">
        <f>IF(K943="","",IF(ISERROR(1-((SUM(K943,O943,S943,W943)/((AG943*12)-(AG943*0.44)))/Z943)),"",(1-((SUM(K943,O943,S943,W943)/((AG943*12)-(AG943*0.44)))/Z943))))</f>
        <v/>
      </c>
      <c r="AC943" s="1167" t="str">
        <f>IF(OR(L943={"改紡","檢修","了機","清車","FINAL","停機","SAMPLE","TEST"}), "", IFERROR(IF(C943="", "", AVERAGE(L943:M943, P943:Q943, T943:U943, X943:Y943)/100), ""))</f>
        <v/>
      </c>
      <c r="AD943" s="1167" t="str">
        <f t="shared" si="160"/>
        <v/>
      </c>
      <c r="AE943" s="1167" t="str">
        <f>IF(P943="了機","",IF(J943="","",IF(ISERROR((SUM(J943,N943,R943,V943)-SUM(K943,O943,S943,W943))/24),"",((SUM(J943,N943,R943,V943)-SUM(K943,O943,S943,W943))/24))))</f>
        <v/>
      </c>
      <c r="AF943" s="1168" t="str">
        <f t="shared" si="155"/>
        <v>S</v>
      </c>
      <c r="AG943" s="1424">
        <v>3</v>
      </c>
      <c r="AH943" s="1002" t="s">
        <v>16000</v>
      </c>
      <c r="AI943" s="1002" t="s">
        <v>636</v>
      </c>
      <c r="AJ943" s="986" t="s">
        <v>16019</v>
      </c>
      <c r="AK943" s="986" t="s">
        <v>16019</v>
      </c>
      <c r="AL943" s="1415">
        <v>50</v>
      </c>
      <c r="AM943" s="1323">
        <v>46045</v>
      </c>
      <c r="AN943" s="1323"/>
      <c r="AO943" s="1323"/>
      <c r="AP943" s="1323"/>
      <c r="AQ943" s="1323"/>
      <c r="AR943" s="987"/>
      <c r="AS943" s="978" t="str">
        <f t="shared" si="156"/>
        <v>雙</v>
      </c>
      <c r="AT943" s="978" t="str">
        <f t="shared" si="157"/>
        <v>3sec</v>
      </c>
      <c r="AU943" s="978">
        <f t="shared" si="158"/>
        <v>50</v>
      </c>
      <c r="AV943" s="978" t="str">
        <f t="shared" si="159"/>
        <v/>
      </c>
    </row>
    <row r="944" spans="1:48">
      <c r="A944" s="975">
        <f t="shared" si="163"/>
        <v>46166</v>
      </c>
      <c r="B944" s="976" t="s">
        <v>240</v>
      </c>
      <c r="C944" s="976" t="s">
        <v>16777</v>
      </c>
      <c r="D944" s="1410"/>
      <c r="E944" s="977" t="str">
        <f>IFERROR(VLOOKUP(C944, [6]條件!$A:$L, 5, 0), "")</f>
        <v>75/72/2SDFFR</v>
      </c>
      <c r="F944" s="978" t="str">
        <f>IFERROR(VLOOKUP(C944, [6]條件!$A:$L, 6, 0), "")</f>
        <v>FP81209R×2</v>
      </c>
      <c r="G944" s="1411">
        <f>IFERROR(VLOOKUP(C944, [6]條件!$A:$L, 7, 0), "")</f>
        <v>600</v>
      </c>
      <c r="H944" s="978" t="str">
        <f>IF(ISNA(VLOOKUP(C944,[6]條件!$A$1:$K$932,11,0)),"",(VLOOKUP(C944,[6]條件!$A$1:$K$932,11,0)))</f>
        <v>白底紅十字</v>
      </c>
      <c r="I944" s="979">
        <f>IF(ISNA(VLOOKUP(C944,[6]條件!$A$1:$L$932,12,0)),"",(VLOOKUP(C944,[6]條件!$A$1:$L$932,12,0)))</f>
        <v>5</v>
      </c>
      <c r="J944" s="982">
        <v>2</v>
      </c>
      <c r="K944" s="980">
        <v>0</v>
      </c>
      <c r="L944" s="981">
        <v>2129</v>
      </c>
      <c r="M944" s="983"/>
      <c r="N944" s="982">
        <v>8</v>
      </c>
      <c r="O944" s="980">
        <v>0</v>
      </c>
      <c r="P944" s="981">
        <v>1630</v>
      </c>
      <c r="Q944" s="983"/>
      <c r="R944" s="982">
        <v>4</v>
      </c>
      <c r="S944" s="980">
        <v>0</v>
      </c>
      <c r="T944" s="981">
        <v>1753</v>
      </c>
      <c r="U944" s="983"/>
      <c r="V944" s="982">
        <v>2</v>
      </c>
      <c r="W944" s="980">
        <v>0</v>
      </c>
      <c r="X944" s="981">
        <v>1963</v>
      </c>
      <c r="Y944" s="983"/>
      <c r="Z944" s="1422">
        <f>IFERROR(VLOOKUP(C944, [6]條件!$A:$L, 3, 0), "")</f>
        <v>2.7852998065764023</v>
      </c>
      <c r="AA944" s="1167">
        <f>IF(OR(L944={"改紡","檢修","了機","清車","FINAL","停機","SAMPLE","TEST","絲開發"}), L944, IFERROR(IF(C944="", "", (SUM(J944, N944, R944, V944)/3 * AG944) * IF(AND(AF944="S", AS944="雙"), 0.5, 1)), ""))</f>
        <v>8</v>
      </c>
      <c r="AB944" s="1423">
        <f>IF(K944="","",IF(ISERROR(1-((SUM(K944,O944,S944,W944)/((AG944*12)-(AG944*0.44)))/Z944)),"",(1-((SUM(K944,O944,S944,W944)/((AG944*12)-(AG944*0.44)))/Z944))))</f>
        <v>1</v>
      </c>
      <c r="AC944" s="1167">
        <f>IF(OR(L944={"改紡","檢修","了機","清車","FINAL","停機","SAMPLE","TEST"}), "", IFERROR(IF(C944="", "", AVERAGE(L944:M944, P944:Q944, T944:U944, X944:Y944)/100), ""))</f>
        <v>18.6875</v>
      </c>
      <c r="AD944" s="1167">
        <f t="shared" si="160"/>
        <v>1</v>
      </c>
      <c r="AE944" s="1167">
        <f>IF(P944="了機","",IF(J944="","",IF(ISERROR((SUM(J944,N944,R944,V944)-SUM(K944,O944,S944,W944))/24),"",((SUM(J944,N944,R944,V944)-SUM(K944,O944,S944,W944))/24))))</f>
        <v>0.66666666666666663</v>
      </c>
      <c r="AF944" s="1168" t="str">
        <f t="shared" si="155"/>
        <v>S</v>
      </c>
      <c r="AG944" s="1424">
        <v>3</v>
      </c>
      <c r="AH944" s="1002" t="s">
        <v>16000</v>
      </c>
      <c r="AI944" s="1002" t="s">
        <v>636</v>
      </c>
      <c r="AJ944" s="986" t="s">
        <v>16019</v>
      </c>
      <c r="AK944" s="986" t="s">
        <v>16019</v>
      </c>
      <c r="AL944" s="1415">
        <v>50</v>
      </c>
      <c r="AM944" s="1323">
        <v>46087</v>
      </c>
      <c r="AN944" s="1323">
        <v>46088</v>
      </c>
      <c r="AO944" s="1323"/>
      <c r="AP944" s="1323"/>
      <c r="AQ944" s="1323"/>
      <c r="AR944" s="987"/>
      <c r="AS944" s="978" t="str">
        <f t="shared" si="156"/>
        <v>雙</v>
      </c>
      <c r="AT944" s="978" t="str">
        <f t="shared" si="157"/>
        <v>3sec</v>
      </c>
      <c r="AU944" s="978">
        <f t="shared" si="158"/>
        <v>75</v>
      </c>
      <c r="AV944" s="978">
        <f t="shared" si="159"/>
        <v>3.63285E-2</v>
      </c>
    </row>
    <row r="945" spans="1:48">
      <c r="A945" s="975">
        <f t="shared" si="163"/>
        <v>46166</v>
      </c>
      <c r="B945" s="976" t="s">
        <v>242</v>
      </c>
      <c r="C945" s="976" t="s">
        <v>385</v>
      </c>
      <c r="D945" s="1410"/>
      <c r="E945" s="977" t="str">
        <f>IFERROR(VLOOKUP(C945, [6]條件!$A:$L, 5, 0), "")</f>
        <v/>
      </c>
      <c r="F945" s="978" t="str">
        <f>IFERROR(VLOOKUP(C945, [6]條件!$A:$L, 6, 0), "")</f>
        <v/>
      </c>
      <c r="G945" s="1411" t="str">
        <f>IFERROR(VLOOKUP(C945, [6]條件!$A:$L, 7, 0), "")</f>
        <v/>
      </c>
      <c r="H945" s="978" t="str">
        <f>IF(ISNA(VLOOKUP(C945,[6]條件!$A$1:$K$932,11,0)),"",(VLOOKUP(C945,[6]條件!$A$1:$K$932,11,0)))</f>
        <v/>
      </c>
      <c r="I945" s="979" t="str">
        <f>IF(ISNA(VLOOKUP(C945,[6]條件!$A$1:$L$932,12,0)),"",(VLOOKUP(C945,[6]條件!$A$1:$L$932,12,0)))</f>
        <v/>
      </c>
      <c r="J945" s="982"/>
      <c r="K945" s="980"/>
      <c r="L945" s="981" t="s">
        <v>385</v>
      </c>
      <c r="M945" s="983"/>
      <c r="N945" s="982"/>
      <c r="O945" s="980"/>
      <c r="P945" s="981" t="s">
        <v>385</v>
      </c>
      <c r="Q945" s="983"/>
      <c r="R945" s="982"/>
      <c r="S945" s="980"/>
      <c r="T945" s="981" t="s">
        <v>385</v>
      </c>
      <c r="U945" s="983"/>
      <c r="V945" s="982"/>
      <c r="W945" s="980"/>
      <c r="X945" s="981" t="s">
        <v>385</v>
      </c>
      <c r="Y945" s="983"/>
      <c r="Z945" s="1422" t="str">
        <f>IFERROR(VLOOKUP(C945, [6]條件!$A:$L, 3, 0), "")</f>
        <v/>
      </c>
      <c r="AA945" s="1167" t="str">
        <f>IF(OR(L945={"改紡","檢修","了機","清車","FINAL","停機","SAMPLE","TEST","絲開發"}), L945, IFERROR(IF(C945="", "", (SUM(J945, N945, R945, V945)/3 * AG945) * IF(AND(AF945="S", AS945="雙"), 0.5, 1)), ""))</f>
        <v>絲開發</v>
      </c>
      <c r="AB945" s="1423" t="str">
        <f>IF(K945="","",IF(ISERROR(1-((SUM(K945,O945,S945,W945)/((AG945*12)-(AG945*0.44)))/Z945)),"",(1-((SUM(K945,O945,S945,W945)/((AG945*12)-(AG945*0.44)))/Z945))))</f>
        <v/>
      </c>
      <c r="AC945" s="1167" t="str">
        <f>IF(OR(L945={"改紡","檢修","了機","清車","FINAL","停機","SAMPLE","TEST"}), "", IFERROR(IF(C945="", "", AVERAGE(L945:M945, P945:Q945, T945:U945, X945:Y945)/100), ""))</f>
        <v/>
      </c>
      <c r="AD945" s="1167" t="str">
        <f t="shared" si="160"/>
        <v/>
      </c>
      <c r="AE945" s="1167" t="str">
        <f>IF(P945="了機","",IF(J945="","",IF(ISERROR((SUM(J945,N945,R945,V945)-SUM(K945,O945,S945,W945))/24),"",((SUM(J945,N945,R945,V945)-SUM(K945,O945,S945,W945))/24))))</f>
        <v/>
      </c>
      <c r="AF945" s="1168" t="str">
        <f t="shared" si="155"/>
        <v>S</v>
      </c>
      <c r="AG945" s="1424">
        <v>5</v>
      </c>
      <c r="AH945" s="1002" t="s">
        <v>16000</v>
      </c>
      <c r="AI945" s="1002" t="s">
        <v>636</v>
      </c>
      <c r="AJ945" s="986" t="s">
        <v>16019</v>
      </c>
      <c r="AK945" s="986" t="s">
        <v>16019</v>
      </c>
      <c r="AL945" s="1415"/>
      <c r="AM945" s="1323"/>
      <c r="AN945" s="1323"/>
      <c r="AO945" s="1323"/>
      <c r="AP945" s="1323"/>
      <c r="AQ945" s="1323"/>
      <c r="AR945" s="987"/>
      <c r="AS945" s="978" t="str">
        <f t="shared" si="156"/>
        <v>單</v>
      </c>
      <c r="AT945" s="978" t="str">
        <f t="shared" si="157"/>
        <v>5sec</v>
      </c>
      <c r="AU945" s="978" t="str">
        <f t="shared" si="158"/>
        <v/>
      </c>
      <c r="AV945" s="978" t="str">
        <f t="shared" si="159"/>
        <v/>
      </c>
    </row>
    <row r="946" spans="1:48">
      <c r="A946" s="975">
        <f t="shared" si="163"/>
        <v>46166</v>
      </c>
      <c r="B946" s="976" t="s">
        <v>16078</v>
      </c>
      <c r="C946" s="988" t="s">
        <v>16185</v>
      </c>
      <c r="D946" s="1410"/>
      <c r="E946" s="977" t="str">
        <f>IFERROR(VLOOKUP(C946, [6]條件!$A:$L, 5, 0), "")</f>
        <v/>
      </c>
      <c r="F946" s="978" t="str">
        <f>IFERROR(VLOOKUP(C946, [6]條件!$A:$L, 6, 0), "")</f>
        <v/>
      </c>
      <c r="G946" s="1411" t="str">
        <f>IFERROR(VLOOKUP(C946, [6]條件!$A:$L, 7, 0), "")</f>
        <v/>
      </c>
      <c r="H946" s="978" t="str">
        <f>IF(ISNA(VLOOKUP(C946,[6]條件!$A$1:$K$932,11,0)),"",(VLOOKUP(C946,[6]條件!$A$1:$K$932,11,0)))</f>
        <v/>
      </c>
      <c r="I946" s="979" t="str">
        <f>IF(ISNA(VLOOKUP(C946,[6]條件!$A$1:$L$932,12,0)),"",(VLOOKUP(C946,[6]條件!$A$1:$L$932,12,0)))</f>
        <v/>
      </c>
      <c r="J946" s="982"/>
      <c r="K946" s="980"/>
      <c r="L946" s="981" t="s">
        <v>632</v>
      </c>
      <c r="M946" s="983"/>
      <c r="N946" s="982"/>
      <c r="O946" s="980"/>
      <c r="P946" s="981" t="s">
        <v>632</v>
      </c>
      <c r="Q946" s="983"/>
      <c r="R946" s="982"/>
      <c r="S946" s="980"/>
      <c r="T946" s="981" t="s">
        <v>632</v>
      </c>
      <c r="U946" s="983"/>
      <c r="V946" s="982"/>
      <c r="W946" s="980"/>
      <c r="X946" s="981" t="s">
        <v>632</v>
      </c>
      <c r="Y946" s="983"/>
      <c r="Z946" s="1412" t="str">
        <f>IFERROR(VLOOKUP(C946, [6]條件!$A:$L, 3, 0), "")</f>
        <v/>
      </c>
      <c r="AA946" s="984" t="str">
        <f>IF(OR(L946={"改紡","檢修","了機","清車","FINAL","停機","SAMPLE","TEST","絲開發"}), L946, IFERROR(IF(C946="", "", (SUM(J946, N946, R946, V946)/3 * AG946) * IF(AND(AF946="S", AS946="雙"), 0.5, 1)), ""))</f>
        <v>停機</v>
      </c>
      <c r="AB946" s="1413" t="str">
        <f t="shared" ref="AB946:AB981" si="164">IF(K946="","",IF(ISERROR(1-(SUM(K946,O946,S946,W946)/208/Z946)),"",(1-(SUM(K946,O946,S946,W946)/208/Z946))))</f>
        <v/>
      </c>
      <c r="AC946" s="984" t="str">
        <f>IF(OR(L946={"改紡","檢修","了機","清車","FINAL","停機","SAMPLE","TEST"}), "", IFERROR(IF(C946="", "", AVERAGE(L946:M946, P946:Q946, T946:U946, X946:Y946)/100), ""))</f>
        <v/>
      </c>
      <c r="AD946" s="984" t="str">
        <f t="shared" si="160"/>
        <v/>
      </c>
      <c r="AE946" s="984" t="str">
        <f>IF(OR(L946="改紡", L946="檢修", L946="了機"), "",
   IF(AND(C946&lt;&gt;"", J946&lt;&gt;""),
      IFERROR((SUM(J946, N946, R946, V946) - SUM(K946, O946, S946, W946))/24 * AG946, ""),
   "")
)</f>
        <v/>
      </c>
      <c r="AF946" s="985" t="str">
        <f t="shared" si="155"/>
        <v>M</v>
      </c>
      <c r="AG946" s="1414">
        <v>1</v>
      </c>
      <c r="AH946" s="1002" t="s">
        <v>640</v>
      </c>
      <c r="AI946" s="1002" t="s">
        <v>640</v>
      </c>
      <c r="AJ946" s="986" t="s">
        <v>640</v>
      </c>
      <c r="AK946" s="986" t="s">
        <v>640</v>
      </c>
      <c r="AL946" s="1415"/>
      <c r="AM946" s="1323"/>
      <c r="AN946" s="1323"/>
      <c r="AO946" s="1323"/>
      <c r="AP946" s="1323"/>
      <c r="AQ946" s="1323"/>
      <c r="AR946" s="987"/>
      <c r="AS946" s="978" t="str">
        <f t="shared" si="156"/>
        <v>單</v>
      </c>
      <c r="AT946" s="978" t="str">
        <f t="shared" si="157"/>
        <v>全</v>
      </c>
      <c r="AU946" s="978" t="str">
        <f t="shared" si="158"/>
        <v/>
      </c>
      <c r="AV946" s="978" t="str">
        <f t="shared" si="159"/>
        <v/>
      </c>
    </row>
    <row r="947" spans="1:48">
      <c r="A947" s="975">
        <f t="shared" si="163"/>
        <v>46166</v>
      </c>
      <c r="B947" s="976" t="s">
        <v>243</v>
      </c>
      <c r="C947" s="988" t="s">
        <v>16185</v>
      </c>
      <c r="D947" s="1410"/>
      <c r="E947" s="977" t="str">
        <f>IFERROR(VLOOKUP(C947, [6]條件!$A:$L, 5, 0), "")</f>
        <v/>
      </c>
      <c r="F947" s="978" t="str">
        <f>IFERROR(VLOOKUP(C947, [6]條件!$A:$L, 6, 0), "")</f>
        <v/>
      </c>
      <c r="G947" s="1411" t="str">
        <f>IFERROR(VLOOKUP(C947, [6]條件!$A:$L, 7, 0), "")</f>
        <v/>
      </c>
      <c r="H947" s="978" t="str">
        <f>IF(ISNA(VLOOKUP(C947,[6]條件!$A$1:$K$932,11,0)),"",(VLOOKUP(C947,[6]條件!$A$1:$K$932,11,0)))</f>
        <v/>
      </c>
      <c r="I947" s="979" t="str">
        <f>IF(ISNA(VLOOKUP(C947,[6]條件!$A$1:$L$932,12,0)),"",(VLOOKUP(C947,[6]條件!$A$1:$L$932,12,0)))</f>
        <v/>
      </c>
      <c r="J947" s="982"/>
      <c r="K947" s="980"/>
      <c r="L947" s="981" t="s">
        <v>632</v>
      </c>
      <c r="M947" s="983"/>
      <c r="N947" s="982"/>
      <c r="O947" s="980"/>
      <c r="P947" s="981" t="s">
        <v>632</v>
      </c>
      <c r="Q947" s="983"/>
      <c r="R947" s="982"/>
      <c r="S947" s="980"/>
      <c r="T947" s="981" t="s">
        <v>632</v>
      </c>
      <c r="U947" s="983"/>
      <c r="V947" s="982"/>
      <c r="W947" s="980"/>
      <c r="X947" s="981" t="s">
        <v>632</v>
      </c>
      <c r="Y947" s="983"/>
      <c r="Z947" s="1412" t="str">
        <f>IFERROR(VLOOKUP(C947, [6]條件!$A:$L, 3, 0), "")</f>
        <v/>
      </c>
      <c r="AA947" s="984" t="str">
        <f>IF(OR(L947={"改紡","檢修","了機","清車","FINAL","停機","SAMPLE","TEST","絲開發"}), L947, IFERROR(IF(C947="", "", (SUM(J947, N947, R947, V947)/3 * AG947) * IF(AND(AF947="S", AS947="雙"), 0.5, 1)), ""))</f>
        <v>停機</v>
      </c>
      <c r="AB947" s="1413" t="str">
        <f t="shared" si="164"/>
        <v/>
      </c>
      <c r="AC947" s="984" t="str">
        <f>IF(OR(L947={"改紡","檢修","了機","清車","FINAL","停機","SAMPLE","TEST"}), "", IFERROR(IF(C947="", "", AVERAGE(L947:M947, P947:Q947, T947:U947, X947:Y947)/100), ""))</f>
        <v/>
      </c>
      <c r="AD947" s="984" t="str">
        <f t="shared" si="160"/>
        <v/>
      </c>
      <c r="AE947" s="984" t="str">
        <f t="shared" ref="AE947:AE981" si="165">IF(OR(L947="改紡", L947="檢修", L947="了機"), "",
IF(AND(C947&lt;&gt;"", J947&lt;&gt;""),
IFERROR((SUM(J947, N947, R947, V947) - SUM(K947, O947, S947, W947))/24 * AG947, ""),
"")
)</f>
        <v/>
      </c>
      <c r="AF947" s="985" t="str">
        <f t="shared" si="155"/>
        <v>M</v>
      </c>
      <c r="AG947" s="1414">
        <v>1</v>
      </c>
      <c r="AH947" s="1002" t="s">
        <v>640</v>
      </c>
      <c r="AI947" s="1002" t="s">
        <v>640</v>
      </c>
      <c r="AJ947" s="986" t="s">
        <v>640</v>
      </c>
      <c r="AK947" s="986" t="s">
        <v>640</v>
      </c>
      <c r="AL947" s="1415"/>
      <c r="AM947" s="1323"/>
      <c r="AN947" s="1323"/>
      <c r="AO947" s="1323"/>
      <c r="AP947" s="1323"/>
      <c r="AQ947" s="1323"/>
      <c r="AR947" s="987"/>
      <c r="AS947" s="978" t="str">
        <f t="shared" si="156"/>
        <v>單</v>
      </c>
      <c r="AT947" s="978" t="str">
        <f t="shared" si="157"/>
        <v>全</v>
      </c>
      <c r="AU947" s="978" t="str">
        <f t="shared" si="158"/>
        <v/>
      </c>
      <c r="AV947" s="978" t="str">
        <f t="shared" si="159"/>
        <v/>
      </c>
    </row>
    <row r="948" spans="1:48">
      <c r="A948" s="975">
        <f t="shared" si="163"/>
        <v>46166</v>
      </c>
      <c r="B948" s="976" t="s">
        <v>244</v>
      </c>
      <c r="C948" s="988" t="s">
        <v>16185</v>
      </c>
      <c r="D948" s="1410"/>
      <c r="E948" s="977" t="str">
        <f>IFERROR(VLOOKUP(C948, [6]條件!$A:$L, 5, 0), "")</f>
        <v/>
      </c>
      <c r="F948" s="978" t="str">
        <f>IFERROR(VLOOKUP(C948, [6]條件!$A:$L, 6, 0), "")</f>
        <v/>
      </c>
      <c r="G948" s="1411" t="str">
        <f>IFERROR(VLOOKUP(C948, [6]條件!$A:$L, 7, 0), "")</f>
        <v/>
      </c>
      <c r="H948" s="978" t="str">
        <f>IF(ISNA(VLOOKUP(C948,[6]條件!$A$1:$K$932,11,0)),"",(VLOOKUP(C948,[6]條件!$A$1:$K$932,11,0)))</f>
        <v/>
      </c>
      <c r="I948" s="979" t="str">
        <f>IF(ISNA(VLOOKUP(C948,[6]條件!$A$1:$L$932,12,0)),"",(VLOOKUP(C948,[6]條件!$A$1:$L$932,12,0)))</f>
        <v/>
      </c>
      <c r="J948" s="982"/>
      <c r="K948" s="980"/>
      <c r="L948" s="981" t="s">
        <v>632</v>
      </c>
      <c r="M948" s="983"/>
      <c r="N948" s="982"/>
      <c r="O948" s="980"/>
      <c r="P948" s="981" t="s">
        <v>632</v>
      </c>
      <c r="Q948" s="983"/>
      <c r="R948" s="982"/>
      <c r="S948" s="980"/>
      <c r="T948" s="981" t="s">
        <v>632</v>
      </c>
      <c r="U948" s="983"/>
      <c r="V948" s="982"/>
      <c r="W948" s="980"/>
      <c r="X948" s="981" t="s">
        <v>632</v>
      </c>
      <c r="Y948" s="983"/>
      <c r="Z948" s="1412" t="str">
        <f>IFERROR(VLOOKUP(C948, [6]條件!$A:$L, 3, 0), "")</f>
        <v/>
      </c>
      <c r="AA948" s="984" t="str">
        <f>IF(OR(L948={"改紡","檢修","了機","清車","FINAL","停機","SAMPLE","TEST","絲開發"}), L948, IFERROR(IF(C948="", "", (SUM(J948, N948, R948, V948)/3 * AG948) * IF(AND(AF948="S", AS948="雙"), 0.5, 1)), ""))</f>
        <v>停機</v>
      </c>
      <c r="AB948" s="1413" t="str">
        <f t="shared" si="164"/>
        <v/>
      </c>
      <c r="AC948" s="984" t="str">
        <f>IF(OR(L948={"改紡","檢修","了機","清車","FINAL","停機","SAMPLE","TEST"}), "", IFERROR(IF(C948="", "", AVERAGE(L948:M948, P948:Q948, T948:U948, X948:Y948)/100), ""))</f>
        <v/>
      </c>
      <c r="AD948" s="984" t="str">
        <f t="shared" si="160"/>
        <v/>
      </c>
      <c r="AE948" s="984" t="str">
        <f t="shared" si="165"/>
        <v/>
      </c>
      <c r="AF948" s="985" t="str">
        <f t="shared" si="155"/>
        <v>M</v>
      </c>
      <c r="AG948" s="1414">
        <v>1</v>
      </c>
      <c r="AH948" s="1002" t="s">
        <v>640</v>
      </c>
      <c r="AI948" s="1002" t="s">
        <v>640</v>
      </c>
      <c r="AJ948" s="986" t="s">
        <v>640</v>
      </c>
      <c r="AK948" s="986" t="s">
        <v>640</v>
      </c>
      <c r="AL948" s="1415"/>
      <c r="AM948" s="1323"/>
      <c r="AN948" s="1323"/>
      <c r="AO948" s="1323"/>
      <c r="AP948" s="1323"/>
      <c r="AQ948" s="1323"/>
      <c r="AR948" s="987"/>
      <c r="AS948" s="978" t="str">
        <f t="shared" si="156"/>
        <v>單</v>
      </c>
      <c r="AT948" s="978" t="str">
        <f t="shared" si="157"/>
        <v>全</v>
      </c>
      <c r="AU948" s="978" t="str">
        <f t="shared" si="158"/>
        <v/>
      </c>
      <c r="AV948" s="978" t="str">
        <f t="shared" si="159"/>
        <v/>
      </c>
    </row>
    <row r="949" spans="1:48">
      <c r="A949" s="975">
        <f t="shared" si="163"/>
        <v>46166</v>
      </c>
      <c r="B949" s="976" t="s">
        <v>245</v>
      </c>
      <c r="C949" s="988" t="s">
        <v>16185</v>
      </c>
      <c r="D949" s="1410"/>
      <c r="E949" s="977" t="str">
        <f>IFERROR(VLOOKUP(C949, [6]條件!$A:$L, 5, 0), "")</f>
        <v/>
      </c>
      <c r="F949" s="978" t="str">
        <f>IFERROR(VLOOKUP(C949, [6]條件!$A:$L, 6, 0), "")</f>
        <v/>
      </c>
      <c r="G949" s="1411" t="str">
        <f>IFERROR(VLOOKUP(C949, [6]條件!$A:$L, 7, 0), "")</f>
        <v/>
      </c>
      <c r="H949" s="978" t="str">
        <f>IF(ISNA(VLOOKUP(C949,[6]條件!$A$1:$K$932,11,0)),"",(VLOOKUP(C949,[6]條件!$A$1:$K$932,11,0)))</f>
        <v/>
      </c>
      <c r="I949" s="979" t="str">
        <f>IF(ISNA(VLOOKUP(C949,[6]條件!$A$1:$L$932,12,0)),"",(VLOOKUP(C949,[6]條件!$A$1:$L$932,12,0)))</f>
        <v/>
      </c>
      <c r="J949" s="982"/>
      <c r="K949" s="980"/>
      <c r="L949" s="981" t="s">
        <v>632</v>
      </c>
      <c r="M949" s="983"/>
      <c r="N949" s="982"/>
      <c r="O949" s="980"/>
      <c r="P949" s="981" t="s">
        <v>632</v>
      </c>
      <c r="Q949" s="983"/>
      <c r="R949" s="982"/>
      <c r="S949" s="980"/>
      <c r="T949" s="981" t="s">
        <v>632</v>
      </c>
      <c r="U949" s="983"/>
      <c r="V949" s="982"/>
      <c r="W949" s="980"/>
      <c r="X949" s="981" t="s">
        <v>632</v>
      </c>
      <c r="Y949" s="983"/>
      <c r="Z949" s="1412" t="str">
        <f>IFERROR(VLOOKUP(C949, [6]條件!$A:$L, 3, 0), "")</f>
        <v/>
      </c>
      <c r="AA949" s="984" t="str">
        <f>IF(OR(L949={"改紡","檢修","了機","清車","FINAL","停機","SAMPLE","TEST","絲開發"}), L949, IFERROR(IF(C949="", "", (SUM(J949, N949, R949, V949)/3 * AG949) * IF(AND(AF949="S", AS949="雙"), 0.5, 1)), ""))</f>
        <v>停機</v>
      </c>
      <c r="AB949" s="1413" t="str">
        <f t="shared" si="164"/>
        <v/>
      </c>
      <c r="AC949" s="984" t="str">
        <f>IF(OR(L949={"改紡","檢修","了機","清車","FINAL","停機","SAMPLE","TEST"}), "", IFERROR(IF(C949="", "", AVERAGE(L949:M949, P949:Q949, T949:U949, X949:Y949)/100), ""))</f>
        <v/>
      </c>
      <c r="AD949" s="984" t="str">
        <f t="shared" si="160"/>
        <v/>
      </c>
      <c r="AE949" s="984" t="str">
        <f t="shared" si="165"/>
        <v/>
      </c>
      <c r="AF949" s="985" t="str">
        <f t="shared" si="155"/>
        <v>M</v>
      </c>
      <c r="AG949" s="1414">
        <v>1</v>
      </c>
      <c r="AH949" s="1002" t="s">
        <v>640</v>
      </c>
      <c r="AI949" s="1002" t="s">
        <v>640</v>
      </c>
      <c r="AJ949" s="986" t="s">
        <v>640</v>
      </c>
      <c r="AK949" s="986" t="s">
        <v>640</v>
      </c>
      <c r="AL949" s="1415"/>
      <c r="AM949" s="1323"/>
      <c r="AN949" s="1323"/>
      <c r="AO949" s="1323"/>
      <c r="AP949" s="1323"/>
      <c r="AQ949" s="1323"/>
      <c r="AR949" s="987"/>
      <c r="AS949" s="978" t="str">
        <f t="shared" si="156"/>
        <v>單</v>
      </c>
      <c r="AT949" s="978" t="str">
        <f t="shared" si="157"/>
        <v>全</v>
      </c>
      <c r="AU949" s="978" t="str">
        <f t="shared" si="158"/>
        <v/>
      </c>
      <c r="AV949" s="978" t="str">
        <f t="shared" si="159"/>
        <v/>
      </c>
    </row>
    <row r="950" spans="1:48">
      <c r="A950" s="975">
        <f t="shared" si="163"/>
        <v>46166</v>
      </c>
      <c r="B950" s="976" t="s">
        <v>246</v>
      </c>
      <c r="C950" s="988" t="s">
        <v>16185</v>
      </c>
      <c r="D950" s="1410"/>
      <c r="E950" s="977" t="str">
        <f>IFERROR(VLOOKUP(C950, [6]條件!$A:$L, 5, 0), "")</f>
        <v/>
      </c>
      <c r="F950" s="978" t="str">
        <f>IFERROR(VLOOKUP(C950, [6]條件!$A:$L, 6, 0), "")</f>
        <v/>
      </c>
      <c r="G950" s="1411" t="str">
        <f>IFERROR(VLOOKUP(C950, [6]條件!$A:$L, 7, 0), "")</f>
        <v/>
      </c>
      <c r="H950" s="978" t="str">
        <f>IF(ISNA(VLOOKUP(C950,[6]條件!$A$1:$K$932,11,0)),"",(VLOOKUP(C950,[6]條件!$A$1:$K$932,11,0)))</f>
        <v/>
      </c>
      <c r="I950" s="979" t="str">
        <f>IF(ISNA(VLOOKUP(C950,[6]條件!$A$1:$L$932,12,0)),"",(VLOOKUP(C950,[6]條件!$A$1:$L$932,12,0)))</f>
        <v/>
      </c>
      <c r="J950" s="982"/>
      <c r="K950" s="980"/>
      <c r="L950" s="981" t="s">
        <v>632</v>
      </c>
      <c r="M950" s="983"/>
      <c r="N950" s="982"/>
      <c r="O950" s="980"/>
      <c r="P950" s="981" t="s">
        <v>632</v>
      </c>
      <c r="Q950" s="983"/>
      <c r="R950" s="982"/>
      <c r="S950" s="980"/>
      <c r="T950" s="981" t="s">
        <v>632</v>
      </c>
      <c r="U950" s="983"/>
      <c r="V950" s="982"/>
      <c r="W950" s="980"/>
      <c r="X950" s="981" t="s">
        <v>632</v>
      </c>
      <c r="Y950" s="983"/>
      <c r="Z950" s="1412" t="str">
        <f>IFERROR(VLOOKUP(C950, [6]條件!$A:$L, 3, 0), "")</f>
        <v/>
      </c>
      <c r="AA950" s="984" t="str">
        <f>IF(OR(L950={"改紡","檢修","了機","清車","FINAL","停機","SAMPLE","TEST","絲開發"}), L950, IFERROR(IF(C950="", "", (SUM(J950, N950, R950, V950)/3 * AG950) * IF(AND(AF950="S", AS950="雙"), 0.5, 1)), ""))</f>
        <v>停機</v>
      </c>
      <c r="AB950" s="1413" t="str">
        <f t="shared" si="164"/>
        <v/>
      </c>
      <c r="AC950" s="984" t="str">
        <f>IF(OR(L950={"改紡","檢修","了機","清車","FINAL","停機","SAMPLE","TEST"}), "", IFERROR(IF(C950="", "", AVERAGE(L950:M950, P950:Q950, T950:U950, X950:Y950)/100), ""))</f>
        <v/>
      </c>
      <c r="AD950" s="984" t="str">
        <f t="shared" si="160"/>
        <v/>
      </c>
      <c r="AE950" s="984" t="str">
        <f t="shared" si="165"/>
        <v/>
      </c>
      <c r="AF950" s="985" t="str">
        <f t="shared" si="155"/>
        <v>M</v>
      </c>
      <c r="AG950" s="1414">
        <v>1</v>
      </c>
      <c r="AH950" s="1002" t="s">
        <v>640</v>
      </c>
      <c r="AI950" s="1002" t="s">
        <v>640</v>
      </c>
      <c r="AJ950" s="986" t="s">
        <v>640</v>
      </c>
      <c r="AK950" s="986" t="s">
        <v>640</v>
      </c>
      <c r="AL950" s="1415"/>
      <c r="AM950" s="1323"/>
      <c r="AN950" s="1323"/>
      <c r="AO950" s="1323"/>
      <c r="AP950" s="1323"/>
      <c r="AQ950" s="1323"/>
      <c r="AR950" s="987"/>
      <c r="AS950" s="978" t="str">
        <f t="shared" si="156"/>
        <v>單</v>
      </c>
      <c r="AT950" s="978" t="str">
        <f t="shared" si="157"/>
        <v>全</v>
      </c>
      <c r="AU950" s="978" t="str">
        <f t="shared" si="158"/>
        <v/>
      </c>
      <c r="AV950" s="978" t="str">
        <f t="shared" si="159"/>
        <v/>
      </c>
    </row>
    <row r="951" spans="1:48">
      <c r="A951" s="975">
        <f t="shared" si="163"/>
        <v>46166</v>
      </c>
      <c r="B951" s="976" t="s">
        <v>247</v>
      </c>
      <c r="C951" s="988" t="s">
        <v>16185</v>
      </c>
      <c r="D951" s="1410"/>
      <c r="E951" s="977" t="str">
        <f>IFERROR(VLOOKUP(C951, [6]條件!$A:$L, 5, 0), "")</f>
        <v/>
      </c>
      <c r="F951" s="978" t="str">
        <f>IFERROR(VLOOKUP(C951, [6]條件!$A:$L, 6, 0), "")</f>
        <v/>
      </c>
      <c r="G951" s="1411" t="str">
        <f>IFERROR(VLOOKUP(C951, [6]條件!$A:$L, 7, 0), "")</f>
        <v/>
      </c>
      <c r="H951" s="978" t="str">
        <f>IF(ISNA(VLOOKUP(C951,[6]條件!$A$1:$K$932,11,0)),"",(VLOOKUP(C951,[6]條件!$A$1:$K$932,11,0)))</f>
        <v/>
      </c>
      <c r="I951" s="979" t="str">
        <f>IF(ISNA(VLOOKUP(C951,[6]條件!$A$1:$L$932,12,0)),"",(VLOOKUP(C951,[6]條件!$A$1:$L$932,12,0)))</f>
        <v/>
      </c>
      <c r="J951" s="982"/>
      <c r="K951" s="980"/>
      <c r="L951" s="981" t="s">
        <v>632</v>
      </c>
      <c r="M951" s="983"/>
      <c r="N951" s="982"/>
      <c r="O951" s="980"/>
      <c r="P951" s="981" t="s">
        <v>632</v>
      </c>
      <c r="Q951" s="983"/>
      <c r="R951" s="982"/>
      <c r="S951" s="980"/>
      <c r="T951" s="981" t="s">
        <v>632</v>
      </c>
      <c r="U951" s="983"/>
      <c r="V951" s="982"/>
      <c r="W951" s="980"/>
      <c r="X951" s="981" t="s">
        <v>632</v>
      </c>
      <c r="Y951" s="983"/>
      <c r="Z951" s="1412" t="str">
        <f>IFERROR(VLOOKUP(C951, [6]條件!$A:$L, 3, 0), "")</f>
        <v/>
      </c>
      <c r="AA951" s="984" t="str">
        <f>IF(OR(L951={"改紡","檢修","了機","清車","FINAL","停機","SAMPLE","TEST","絲開發"}), L951, IFERROR(IF(C951="", "", (SUM(J951, N951, R951, V951)/3 * AG951) * IF(AND(AF951="S", AS951="雙"), 0.5, 1)), ""))</f>
        <v>停機</v>
      </c>
      <c r="AB951" s="1413" t="str">
        <f t="shared" si="164"/>
        <v/>
      </c>
      <c r="AC951" s="984" t="str">
        <f>IF(OR(L951={"改紡","檢修","了機","清車","FINAL","停機","SAMPLE","TEST"}), "", IFERROR(IF(C951="", "", AVERAGE(L951:M951, P951:Q951, T951:U951, X951:Y951)/100), ""))</f>
        <v/>
      </c>
      <c r="AD951" s="984" t="str">
        <f t="shared" si="160"/>
        <v/>
      </c>
      <c r="AE951" s="984" t="str">
        <f t="shared" si="165"/>
        <v/>
      </c>
      <c r="AF951" s="985" t="str">
        <f t="shared" si="155"/>
        <v>M</v>
      </c>
      <c r="AG951" s="1414">
        <v>1</v>
      </c>
      <c r="AH951" s="1002" t="s">
        <v>640</v>
      </c>
      <c r="AI951" s="1002" t="s">
        <v>640</v>
      </c>
      <c r="AJ951" s="986" t="s">
        <v>640</v>
      </c>
      <c r="AK951" s="986" t="s">
        <v>640</v>
      </c>
      <c r="AL951" s="1415"/>
      <c r="AM951" s="1323"/>
      <c r="AN951" s="1323"/>
      <c r="AO951" s="1323"/>
      <c r="AP951" s="1323"/>
      <c r="AQ951" s="1323"/>
      <c r="AR951" s="987"/>
      <c r="AS951" s="978" t="str">
        <f t="shared" si="156"/>
        <v>單</v>
      </c>
      <c r="AT951" s="978" t="str">
        <f t="shared" si="157"/>
        <v>全</v>
      </c>
      <c r="AU951" s="978" t="str">
        <f t="shared" si="158"/>
        <v/>
      </c>
      <c r="AV951" s="978" t="str">
        <f t="shared" si="159"/>
        <v/>
      </c>
    </row>
    <row r="952" spans="1:48">
      <c r="A952" s="975">
        <f t="shared" si="163"/>
        <v>46166</v>
      </c>
      <c r="B952" s="976" t="s">
        <v>248</v>
      </c>
      <c r="C952" s="988" t="s">
        <v>16185</v>
      </c>
      <c r="D952" s="1410"/>
      <c r="E952" s="977" t="str">
        <f>IFERROR(VLOOKUP(C952, [6]條件!$A:$L, 5, 0), "")</f>
        <v/>
      </c>
      <c r="F952" s="978" t="str">
        <f>IFERROR(VLOOKUP(C952, [6]條件!$A:$L, 6, 0), "")</f>
        <v/>
      </c>
      <c r="G952" s="1411" t="str">
        <f>IFERROR(VLOOKUP(C952, [6]條件!$A:$L, 7, 0), "")</f>
        <v/>
      </c>
      <c r="H952" s="978" t="str">
        <f>IF(ISNA(VLOOKUP(C952,[6]條件!$A$1:$K$932,11,0)),"",(VLOOKUP(C952,[6]條件!$A$1:$K$932,11,0)))</f>
        <v/>
      </c>
      <c r="I952" s="979" t="str">
        <f>IF(ISNA(VLOOKUP(C952,[6]條件!$A$1:$L$932,12,0)),"",(VLOOKUP(C952,[6]條件!$A$1:$L$932,12,0)))</f>
        <v/>
      </c>
      <c r="J952" s="982"/>
      <c r="K952" s="980"/>
      <c r="L952" s="981" t="s">
        <v>632</v>
      </c>
      <c r="M952" s="983"/>
      <c r="N952" s="982"/>
      <c r="O952" s="980"/>
      <c r="P952" s="981" t="s">
        <v>632</v>
      </c>
      <c r="Q952" s="983"/>
      <c r="R952" s="982"/>
      <c r="S952" s="980"/>
      <c r="T952" s="981" t="s">
        <v>632</v>
      </c>
      <c r="U952" s="983"/>
      <c r="V952" s="982"/>
      <c r="W952" s="980"/>
      <c r="X952" s="981" t="s">
        <v>632</v>
      </c>
      <c r="Y952" s="983"/>
      <c r="Z952" s="1412" t="str">
        <f>IFERROR(VLOOKUP(C952, [6]條件!$A:$L, 3, 0), "")</f>
        <v/>
      </c>
      <c r="AA952" s="984" t="str">
        <f>IF(OR(L952={"改紡","檢修","了機","清車","FINAL","停機","SAMPLE","TEST","絲開發"}), L952, IFERROR(IF(C952="", "", (SUM(J952, N952, R952, V952)/3 * AG952) * IF(AND(AF952="S", AS952="雙"), 0.5, 1)), ""))</f>
        <v>停機</v>
      </c>
      <c r="AB952" s="1413" t="str">
        <f t="shared" si="164"/>
        <v/>
      </c>
      <c r="AC952" s="984" t="str">
        <f>IF(OR(L952={"改紡","檢修","了機","清車","FINAL","停機","SAMPLE","TEST"}), "", IFERROR(IF(C952="", "", AVERAGE(L952:M952, P952:Q952, T952:U952, X952:Y952)/100), ""))</f>
        <v/>
      </c>
      <c r="AD952" s="984" t="str">
        <f t="shared" si="160"/>
        <v/>
      </c>
      <c r="AE952" s="984" t="str">
        <f t="shared" si="165"/>
        <v/>
      </c>
      <c r="AF952" s="985" t="str">
        <f t="shared" si="155"/>
        <v>M</v>
      </c>
      <c r="AG952" s="1414">
        <v>1</v>
      </c>
      <c r="AH952" s="1002" t="s">
        <v>640</v>
      </c>
      <c r="AI952" s="1002" t="s">
        <v>640</v>
      </c>
      <c r="AJ952" s="986" t="s">
        <v>640</v>
      </c>
      <c r="AK952" s="986" t="s">
        <v>640</v>
      </c>
      <c r="AL952" s="1415"/>
      <c r="AM952" s="1323"/>
      <c r="AN952" s="1323"/>
      <c r="AO952" s="1323"/>
      <c r="AP952" s="1323"/>
      <c r="AQ952" s="1323"/>
      <c r="AR952" s="987"/>
      <c r="AS952" s="978" t="str">
        <f t="shared" si="156"/>
        <v>單</v>
      </c>
      <c r="AT952" s="978" t="str">
        <f t="shared" si="157"/>
        <v>全</v>
      </c>
      <c r="AU952" s="978" t="str">
        <f t="shared" si="158"/>
        <v/>
      </c>
      <c r="AV952" s="978" t="str">
        <f t="shared" si="159"/>
        <v/>
      </c>
    </row>
    <row r="953" spans="1:48" ht="17.25" thickBot="1">
      <c r="A953" s="989">
        <f t="shared" si="163"/>
        <v>46166</v>
      </c>
      <c r="B953" s="990" t="s">
        <v>249</v>
      </c>
      <c r="C953" s="991" t="s">
        <v>16185</v>
      </c>
      <c r="D953" s="1425"/>
      <c r="E953" s="1169" t="str">
        <f>IFERROR(VLOOKUP(C953, [6]條件!$A:$L, 5, 0), "")</f>
        <v/>
      </c>
      <c r="F953" s="992" t="str">
        <f>IFERROR(VLOOKUP(C953, [6]條件!$A:$L, 6, 0), "")</f>
        <v/>
      </c>
      <c r="G953" s="1426" t="str">
        <f>IFERROR(VLOOKUP(C953, [6]條件!$A:$L, 7, 0), "")</f>
        <v/>
      </c>
      <c r="H953" s="992" t="str">
        <f>IF(ISNA(VLOOKUP(C953,[6]條件!$A$1:$K$932,11,0)),"",(VLOOKUP(C953,[6]條件!$A$1:$K$932,11,0)))</f>
        <v/>
      </c>
      <c r="I953" s="1170" t="str">
        <f>IF(ISNA(VLOOKUP(C953,[6]條件!$A$1:$L$932,12,0)),"",(VLOOKUP(C953,[6]條件!$A$1:$L$932,12,0)))</f>
        <v/>
      </c>
      <c r="J953" s="995"/>
      <c r="K953" s="993"/>
      <c r="L953" s="994" t="s">
        <v>632</v>
      </c>
      <c r="M953" s="996"/>
      <c r="N953" s="995"/>
      <c r="O953" s="993"/>
      <c r="P953" s="994" t="s">
        <v>632</v>
      </c>
      <c r="Q953" s="996"/>
      <c r="R953" s="995"/>
      <c r="S953" s="993"/>
      <c r="T953" s="994" t="s">
        <v>632</v>
      </c>
      <c r="U953" s="996"/>
      <c r="V953" s="995"/>
      <c r="W953" s="993"/>
      <c r="X953" s="994" t="s">
        <v>632</v>
      </c>
      <c r="Y953" s="996"/>
      <c r="Z953" s="1427" t="str">
        <f>IFERROR(VLOOKUP(C953, [6]條件!$A:$L, 3, 0), "")</f>
        <v/>
      </c>
      <c r="AA953" s="997" t="str">
        <f>IF(OR(L953={"改紡","檢修","了機","清車","FINAL","停機","SAMPLE","TEST","絲開發"}), L953, IFERROR(IF(C953="", "", (SUM(J953, N953, R953, V953)/3 * AG953) * IF(AND(AF953="S", AS953="雙"), 0.5, 1)), ""))</f>
        <v>停機</v>
      </c>
      <c r="AB953" s="1428" t="str">
        <f t="shared" si="164"/>
        <v/>
      </c>
      <c r="AC953" s="997" t="str">
        <f>IF(OR(L953={"改紡","檢修","了機","清車","FINAL","停機","SAMPLE","TEST"}), "", IFERROR(IF(C953="", "", AVERAGE(L953:M953, P953:Q953, T953:U953, X953:Y953)/100), ""))</f>
        <v/>
      </c>
      <c r="AD953" s="997" t="str">
        <f t="shared" si="160"/>
        <v/>
      </c>
      <c r="AE953" s="997" t="str">
        <f t="shared" si="165"/>
        <v/>
      </c>
      <c r="AF953" s="998" t="str">
        <f t="shared" si="155"/>
        <v>M</v>
      </c>
      <c r="AG953" s="1429">
        <v>1</v>
      </c>
      <c r="AH953" s="1171" t="s">
        <v>640</v>
      </c>
      <c r="AI953" s="1171" t="s">
        <v>640</v>
      </c>
      <c r="AJ953" s="999" t="s">
        <v>640</v>
      </c>
      <c r="AK953" s="999" t="s">
        <v>640</v>
      </c>
      <c r="AL953" s="1431"/>
      <c r="AM953" s="1325"/>
      <c r="AN953" s="1325"/>
      <c r="AO953" s="1325"/>
      <c r="AP953" s="1325"/>
      <c r="AQ953" s="1325"/>
      <c r="AR953" s="1000"/>
      <c r="AS953" s="992" t="str">
        <f t="shared" si="156"/>
        <v>單</v>
      </c>
      <c r="AT953" s="992" t="str">
        <f t="shared" si="157"/>
        <v>全</v>
      </c>
      <c r="AU953" s="992" t="str">
        <f t="shared" si="158"/>
        <v/>
      </c>
      <c r="AV953" s="992" t="str">
        <f t="shared" si="159"/>
        <v/>
      </c>
    </row>
    <row r="954" spans="1:48">
      <c r="A954" s="962">
        <v>46167</v>
      </c>
      <c r="B954" s="963" t="s">
        <v>212</v>
      </c>
      <c r="C954" s="963" t="s">
        <v>632</v>
      </c>
      <c r="D954" s="1403"/>
      <c r="E954" s="964" t="str">
        <f>IFERROR(VLOOKUP(C954, [6]條件!$A:$L, 5, 0), "")</f>
        <v/>
      </c>
      <c r="F954" s="965" t="str">
        <f>IFERROR(VLOOKUP(C954, [6]條件!$A:$L, 6, 0), "")</f>
        <v/>
      </c>
      <c r="G954" s="1404" t="str">
        <f>IFERROR(VLOOKUP(C954, [6]條件!$A:$L, 7, 0), "")</f>
        <v/>
      </c>
      <c r="H954" s="965" t="str">
        <f>IF(ISNA(VLOOKUP(C954,[6]條件!$A$1:$K$932,11,0)),"",(VLOOKUP(C954,[6]條件!$A$1:$K$932,11,0)))</f>
        <v/>
      </c>
      <c r="I954" s="966" t="str">
        <f>IF(ISNA(VLOOKUP(C954,[6]條件!$A$1:$L$932,12,0)),"",(VLOOKUP(C954,[6]條件!$A$1:$L$932,12,0)))</f>
        <v/>
      </c>
      <c r="J954" s="969"/>
      <c r="K954" s="967"/>
      <c r="L954" s="981" t="s">
        <v>632</v>
      </c>
      <c r="M954" s="970"/>
      <c r="N954" s="969"/>
      <c r="O954" s="967"/>
      <c r="P954" s="981" t="s">
        <v>632</v>
      </c>
      <c r="Q954" s="970"/>
      <c r="R954" s="969"/>
      <c r="S954" s="967"/>
      <c r="T954" s="981" t="s">
        <v>632</v>
      </c>
      <c r="U954" s="970"/>
      <c r="V954" s="969"/>
      <c r="W954" s="967"/>
      <c r="X954" s="981" t="s">
        <v>632</v>
      </c>
      <c r="Y954" s="970"/>
      <c r="Z954" s="1405" t="str">
        <f>IFERROR(VLOOKUP(C954, [6]條件!$A:$L, 3, 0), "")</f>
        <v/>
      </c>
      <c r="AA954" s="971" t="str">
        <f>IF(OR(L954={"改紡","檢修","了機","清車","FINAL","停機","SAMPLE","TEST","絲開發"}), L954, IFERROR(IF(C954="", "", (SUM(J954, N954, R954, V954)/3 * AG954) * IF(AND(AF954="S", AS954="雙"), 0.5, 1)), ""))</f>
        <v>停機</v>
      </c>
      <c r="AB954" s="1406" t="str">
        <f t="shared" si="164"/>
        <v/>
      </c>
      <c r="AC954" s="971" t="str">
        <f>IF(OR(L954={"改紡","檢修","了機","清車","FINAL","停機","SAMPLE","TEST"}), "", IFERROR(IF(C954="", "", AVERAGE(L954:M954, P954:Q954, T954:U954, X954:Y954)/100), ""))</f>
        <v/>
      </c>
      <c r="AD954" s="971" t="str">
        <f t="shared" si="160"/>
        <v/>
      </c>
      <c r="AE954" s="971" t="str">
        <f t="shared" si="165"/>
        <v/>
      </c>
      <c r="AF954" s="972" t="str">
        <f t="shared" si="155"/>
        <v>A</v>
      </c>
      <c r="AG954" s="1407">
        <v>1</v>
      </c>
      <c r="AH954" s="1001" t="s">
        <v>640</v>
      </c>
      <c r="AI954" s="1001" t="s">
        <v>640</v>
      </c>
      <c r="AJ954" s="1001" t="s">
        <v>640</v>
      </c>
      <c r="AK954" s="1001" t="s">
        <v>640</v>
      </c>
      <c r="AL954" s="1409"/>
      <c r="AM954" s="1322"/>
      <c r="AN954" s="1322"/>
      <c r="AO954" s="1322"/>
      <c r="AP954" s="1322"/>
      <c r="AQ954" s="1322"/>
      <c r="AR954" s="973"/>
      <c r="AS954" s="965" t="str">
        <f t="shared" si="156"/>
        <v>單</v>
      </c>
      <c r="AT954" s="965" t="str">
        <f t="shared" si="157"/>
        <v>全</v>
      </c>
      <c r="AU954" s="965" t="str">
        <f t="shared" si="158"/>
        <v/>
      </c>
      <c r="AV954" s="965" t="str">
        <f t="shared" si="159"/>
        <v/>
      </c>
    </row>
    <row r="955" spans="1:48">
      <c r="A955" s="975">
        <f t="shared" ref="A955:A1018" si="166">A954</f>
        <v>46167</v>
      </c>
      <c r="B955" s="976" t="s">
        <v>214</v>
      </c>
      <c r="C955" s="976" t="s">
        <v>632</v>
      </c>
      <c r="D955" s="1410"/>
      <c r="E955" s="977" t="str">
        <f>IFERROR(VLOOKUP(C955, [6]條件!$A:$L, 5, 0), "")</f>
        <v/>
      </c>
      <c r="F955" s="978" t="str">
        <f>IFERROR(VLOOKUP(C955, [6]條件!$A:$L, 6, 0), "")</f>
        <v/>
      </c>
      <c r="G955" s="1411" t="str">
        <f>IFERROR(VLOOKUP(C955, [6]條件!$A:$L, 7, 0), "")</f>
        <v/>
      </c>
      <c r="H955" s="978" t="str">
        <f>IF(ISNA(VLOOKUP(C955,[6]條件!$A$1:$K$932,11,0)),"",(VLOOKUP(C955,[6]條件!$A$1:$K$932,11,0)))</f>
        <v/>
      </c>
      <c r="I955" s="979" t="str">
        <f>IF(ISNA(VLOOKUP(C955,[6]條件!$A$1:$L$932,12,0)),"",(VLOOKUP(C955,[6]條件!$A$1:$L$932,12,0)))</f>
        <v/>
      </c>
      <c r="J955" s="982"/>
      <c r="K955" s="980"/>
      <c r="L955" s="981" t="s">
        <v>632</v>
      </c>
      <c r="M955" s="983"/>
      <c r="N955" s="982"/>
      <c r="O955" s="980"/>
      <c r="P955" s="981" t="s">
        <v>632</v>
      </c>
      <c r="Q955" s="983"/>
      <c r="R955" s="982"/>
      <c r="S955" s="980"/>
      <c r="T955" s="981" t="s">
        <v>632</v>
      </c>
      <c r="U955" s="983"/>
      <c r="V955" s="982"/>
      <c r="W955" s="980"/>
      <c r="X955" s="981" t="s">
        <v>632</v>
      </c>
      <c r="Y955" s="983"/>
      <c r="Z955" s="1412" t="str">
        <f>IFERROR(VLOOKUP(C955, [6]條件!$A:$L, 3, 0), "")</f>
        <v/>
      </c>
      <c r="AA955" s="984" t="str">
        <f>IF(OR(L955={"改紡","檢修","了機","清車","FINAL","停機","SAMPLE","TEST","絲開發"}), L955, IFERROR(IF(C955="", "", (SUM(J955, N955, R955, V955)/3 * AG955) * IF(AND(AF955="S", AS955="雙"), 0.5, 1)), ""))</f>
        <v>停機</v>
      </c>
      <c r="AB955" s="1413" t="str">
        <f t="shared" si="164"/>
        <v/>
      </c>
      <c r="AC955" s="984" t="str">
        <f>IF(OR(L955={"改紡","檢修","了機","清車","FINAL","停機","SAMPLE","TEST"}), "", IFERROR(IF(C955="", "", AVERAGE(L955:M955, P955:Q955, T955:U955, X955:Y955)/100), ""))</f>
        <v/>
      </c>
      <c r="AD955" s="984" t="str">
        <f t="shared" si="160"/>
        <v/>
      </c>
      <c r="AE955" s="984" t="str">
        <f t="shared" si="165"/>
        <v/>
      </c>
      <c r="AF955" s="985" t="str">
        <f t="shared" si="155"/>
        <v>A</v>
      </c>
      <c r="AG955" s="1414">
        <v>1</v>
      </c>
      <c r="AH955" s="1002" t="s">
        <v>16011</v>
      </c>
      <c r="AI955" s="1002" t="s">
        <v>640</v>
      </c>
      <c r="AJ955" s="1002" t="s">
        <v>640</v>
      </c>
      <c r="AK955" s="1002" t="s">
        <v>640</v>
      </c>
      <c r="AL955" s="1415"/>
      <c r="AM955" s="1323"/>
      <c r="AN955" s="1323"/>
      <c r="AO955" s="1323"/>
      <c r="AP955" s="1323"/>
      <c r="AQ955" s="1323"/>
      <c r="AR955" s="987"/>
      <c r="AS955" s="978" t="str">
        <f t="shared" si="156"/>
        <v>單</v>
      </c>
      <c r="AT955" s="978" t="str">
        <f t="shared" si="157"/>
        <v>全</v>
      </c>
      <c r="AU955" s="978" t="str">
        <f t="shared" si="158"/>
        <v/>
      </c>
      <c r="AV955" s="978" t="str">
        <f t="shared" si="159"/>
        <v/>
      </c>
    </row>
    <row r="956" spans="1:48">
      <c r="A956" s="975">
        <f t="shared" si="166"/>
        <v>46167</v>
      </c>
      <c r="B956" s="976" t="s">
        <v>215</v>
      </c>
      <c r="C956" s="976" t="s">
        <v>632</v>
      </c>
      <c r="D956" s="1410"/>
      <c r="E956" s="977" t="str">
        <f>IFERROR(VLOOKUP(C956, [6]條件!$A:$L, 5, 0), "")</f>
        <v/>
      </c>
      <c r="F956" s="978" t="str">
        <f>IFERROR(VLOOKUP(C956, [6]條件!$A:$L, 6, 0), "")</f>
        <v/>
      </c>
      <c r="G956" s="1411" t="str">
        <f>IFERROR(VLOOKUP(C956, [6]條件!$A:$L, 7, 0), "")</f>
        <v/>
      </c>
      <c r="H956" s="978" t="str">
        <f>IF(ISNA(VLOOKUP(C956,[6]條件!$A$1:$K$932,11,0)),"",(VLOOKUP(C956,[6]條件!$A$1:$K$932,11,0)))</f>
        <v/>
      </c>
      <c r="I956" s="979" t="str">
        <f>IF(ISNA(VLOOKUP(C956,[6]條件!$A$1:$L$932,12,0)),"",(VLOOKUP(C956,[6]條件!$A$1:$L$932,12,0)))</f>
        <v/>
      </c>
      <c r="J956" s="982"/>
      <c r="K956" s="980"/>
      <c r="L956" s="981" t="s">
        <v>632</v>
      </c>
      <c r="M956" s="983"/>
      <c r="N956" s="982"/>
      <c r="O956" s="980"/>
      <c r="P956" s="981" t="s">
        <v>632</v>
      </c>
      <c r="Q956" s="983"/>
      <c r="R956" s="982"/>
      <c r="S956" s="980"/>
      <c r="T956" s="981" t="s">
        <v>632</v>
      </c>
      <c r="U956" s="983"/>
      <c r="V956" s="982"/>
      <c r="W956" s="980"/>
      <c r="X956" s="981" t="s">
        <v>632</v>
      </c>
      <c r="Y956" s="983"/>
      <c r="Z956" s="1412" t="str">
        <f>IFERROR(VLOOKUP(C956, [6]條件!$A:$L, 3, 0), "")</f>
        <v/>
      </c>
      <c r="AA956" s="984" t="str">
        <f>IF(OR(L956={"改紡","檢修","了機","清車","FINAL","停機","SAMPLE","TEST","絲開發"}), L956, IFERROR(IF(C956="", "", (SUM(J956, N956, R956, V956)/3 * AG956) * IF(AND(AF956="S", AS956="雙"), 0.5, 1)), ""))</f>
        <v>停機</v>
      </c>
      <c r="AB956" s="1413" t="str">
        <f t="shared" si="164"/>
        <v/>
      </c>
      <c r="AC956" s="984" t="str">
        <f>IF(OR(L956={"改紡","檢修","了機","清車","FINAL","停機","SAMPLE","TEST"}), "", IFERROR(IF(C956="", "", AVERAGE(L956:M956, P956:Q956, T956:U956, X956:Y956)/100), ""))</f>
        <v/>
      </c>
      <c r="AD956" s="984" t="str">
        <f t="shared" si="160"/>
        <v/>
      </c>
      <c r="AE956" s="984" t="str">
        <f t="shared" si="165"/>
        <v/>
      </c>
      <c r="AF956" s="985" t="str">
        <f t="shared" si="155"/>
        <v>A</v>
      </c>
      <c r="AG956" s="1414">
        <v>1</v>
      </c>
      <c r="AH956" s="1002" t="s">
        <v>16016</v>
      </c>
      <c r="AI956" s="1002" t="s">
        <v>15997</v>
      </c>
      <c r="AJ956" s="1002" t="s">
        <v>16011</v>
      </c>
      <c r="AK956" s="1002" t="s">
        <v>16011</v>
      </c>
      <c r="AL956" s="1415"/>
      <c r="AM956" s="1323"/>
      <c r="AN956" s="1323"/>
      <c r="AO956" s="1323"/>
      <c r="AP956" s="1323"/>
      <c r="AQ956" s="1323"/>
      <c r="AR956" s="987"/>
      <c r="AS956" s="978" t="str">
        <f t="shared" si="156"/>
        <v>單</v>
      </c>
      <c r="AT956" s="978" t="str">
        <f t="shared" si="157"/>
        <v>全</v>
      </c>
      <c r="AU956" s="978" t="str">
        <f t="shared" si="158"/>
        <v/>
      </c>
      <c r="AV956" s="978" t="str">
        <f t="shared" si="159"/>
        <v/>
      </c>
    </row>
    <row r="957" spans="1:48">
      <c r="A957" s="975">
        <f t="shared" si="166"/>
        <v>46167</v>
      </c>
      <c r="B957" s="976" t="s">
        <v>216</v>
      </c>
      <c r="C957" s="976" t="s">
        <v>632</v>
      </c>
      <c r="D957" s="1410"/>
      <c r="E957" s="977" t="str">
        <f>IFERROR(VLOOKUP(C957, [6]條件!$A:$L, 5, 0), "")</f>
        <v/>
      </c>
      <c r="F957" s="978" t="str">
        <f>IFERROR(VLOOKUP(C957, [6]條件!$A:$L, 6, 0), "")</f>
        <v/>
      </c>
      <c r="G957" s="1411" t="str">
        <f>IFERROR(VLOOKUP(C957, [6]條件!$A:$L, 7, 0), "")</f>
        <v/>
      </c>
      <c r="H957" s="978" t="str">
        <f>IF(ISNA(VLOOKUP(C957,[6]條件!$A$1:$K$932,11,0)),"",(VLOOKUP(C957,[6]條件!$A$1:$K$932,11,0)))</f>
        <v/>
      </c>
      <c r="I957" s="979" t="str">
        <f>IF(ISNA(VLOOKUP(C957,[6]條件!$A$1:$L$932,12,0)),"",(VLOOKUP(C957,[6]條件!$A$1:$L$932,12,0)))</f>
        <v/>
      </c>
      <c r="J957" s="982"/>
      <c r="K957" s="980"/>
      <c r="L957" s="981" t="s">
        <v>632</v>
      </c>
      <c r="M957" s="983"/>
      <c r="N957" s="982"/>
      <c r="O957" s="980"/>
      <c r="P957" s="981" t="s">
        <v>632</v>
      </c>
      <c r="Q957" s="983"/>
      <c r="R957" s="982"/>
      <c r="S957" s="980"/>
      <c r="T957" s="981" t="s">
        <v>632</v>
      </c>
      <c r="U957" s="983"/>
      <c r="V957" s="982"/>
      <c r="W957" s="980"/>
      <c r="X957" s="981" t="s">
        <v>632</v>
      </c>
      <c r="Y957" s="983"/>
      <c r="Z957" s="1412" t="str">
        <f>IFERROR(VLOOKUP(C957, [6]條件!$A:$L, 3, 0), "")</f>
        <v/>
      </c>
      <c r="AA957" s="984" t="str">
        <f>IF(OR(L957={"改紡","檢修","了機","清車","FINAL","停機","SAMPLE","TEST","絲開發"}), L957, IFERROR(IF(C957="", "", (SUM(J957, N957, R957, V957)/3 * AG957) * IF(AND(AF957="S", AS957="雙"), 0.5, 1)), ""))</f>
        <v>停機</v>
      </c>
      <c r="AB957" s="1413" t="str">
        <f t="shared" si="164"/>
        <v/>
      </c>
      <c r="AC957" s="984" t="str">
        <f>IF(OR(L957={"改紡","檢修","了機","清車","FINAL","停機","SAMPLE","TEST"}), "", IFERROR(IF(C957="", "", AVERAGE(L957:M957, P957:Q957, T957:U957, X957:Y957)/100), ""))</f>
        <v/>
      </c>
      <c r="AD957" s="984" t="str">
        <f t="shared" si="160"/>
        <v/>
      </c>
      <c r="AE957" s="984" t="str">
        <f t="shared" si="165"/>
        <v/>
      </c>
      <c r="AF957" s="985" t="str">
        <f t="shared" si="155"/>
        <v>A</v>
      </c>
      <c r="AG957" s="1414">
        <v>2</v>
      </c>
      <c r="AH957" s="1002" t="s">
        <v>16011</v>
      </c>
      <c r="AI957" s="1002" t="s">
        <v>640</v>
      </c>
      <c r="AJ957" s="1002" t="s">
        <v>16011</v>
      </c>
      <c r="AK957" s="1002" t="s">
        <v>16011</v>
      </c>
      <c r="AL957" s="1415"/>
      <c r="AM957" s="1323"/>
      <c r="AN957" s="1323"/>
      <c r="AO957" s="1323"/>
      <c r="AP957" s="1323"/>
      <c r="AQ957" s="1323"/>
      <c r="AR957" s="987"/>
      <c r="AS957" s="978" t="str">
        <f t="shared" si="156"/>
        <v>單</v>
      </c>
      <c r="AT957" s="978" t="str">
        <f t="shared" si="157"/>
        <v>半</v>
      </c>
      <c r="AU957" s="978" t="str">
        <f t="shared" si="158"/>
        <v/>
      </c>
      <c r="AV957" s="978" t="str">
        <f t="shared" si="159"/>
        <v/>
      </c>
    </row>
    <row r="958" spans="1:48">
      <c r="A958" s="975">
        <f t="shared" si="166"/>
        <v>46167</v>
      </c>
      <c r="B958" s="976" t="s">
        <v>217</v>
      </c>
      <c r="C958" s="976" t="s">
        <v>16790</v>
      </c>
      <c r="D958" s="1410"/>
      <c r="E958" s="977" t="str">
        <f>IFERROR(VLOOKUP(C958, [6]條件!$A:$L, 5, 0), "")</f>
        <v>75/72SRR5</v>
      </c>
      <c r="F958" s="978" t="str">
        <f>IFERROR(VLOOKUP(C958, [6]條件!$A:$L, 6, 0), "")</f>
        <v>FP81631R</v>
      </c>
      <c r="G958" s="1411">
        <f>IFERROR(VLOOKUP(C958, [6]條件!$A:$L, 7, 0), "")</f>
        <v>600</v>
      </c>
      <c r="H958" s="978" t="str">
        <f>IF(ISNA(VLOOKUP(C958,[6]條件!$A$1:$K$932,11,0)),"",(VLOOKUP(C958,[6]條件!$A$1:$K$932,11,0)))</f>
        <v>白藍條</v>
      </c>
      <c r="I958" s="979">
        <f>IF(ISNA(VLOOKUP(C958,[6]條件!$A$1:$L$932,12,0)),"",(VLOOKUP(C958,[6]條件!$A$1:$L$932,12,0)))</f>
        <v>4</v>
      </c>
      <c r="J958" s="982"/>
      <c r="K958" s="980"/>
      <c r="L958" s="981" t="s">
        <v>15999</v>
      </c>
      <c r="M958" s="983"/>
      <c r="N958" s="982"/>
      <c r="O958" s="980"/>
      <c r="P958" s="981" t="s">
        <v>15999</v>
      </c>
      <c r="Q958" s="983"/>
      <c r="R958" s="982"/>
      <c r="S958" s="980"/>
      <c r="T958" s="981" t="s">
        <v>15996</v>
      </c>
      <c r="U958" s="983"/>
      <c r="V958" s="982">
        <v>34</v>
      </c>
      <c r="W958" s="980">
        <v>0</v>
      </c>
      <c r="X958" s="981">
        <v>9478</v>
      </c>
      <c r="Y958" s="983">
        <v>9221</v>
      </c>
      <c r="Z958" s="1412">
        <f>IFERROR(VLOOKUP(C958, [6]條件!$A:$L, 3, 0), "")</f>
        <v>1.7625458996328029</v>
      </c>
      <c r="AA958" s="984" t="str">
        <f>IF(OR(L958={"改紡","檢修","了機","清車","FINAL","停機","SAMPLE","TEST","絲開發"}), L958, IFERROR(IF(C958="", "", (SUM(J958, N958, R958, V958)/3 * AG958) * IF(AND(AF958="S", AS958="雙"), 0.5, 1)), ""))</f>
        <v>改紡</v>
      </c>
      <c r="AB958" s="1413" t="str">
        <f t="shared" si="164"/>
        <v/>
      </c>
      <c r="AC958" s="984" t="str">
        <f>IF(OR(L958={"改紡","檢修","了機","清車","FINAL","停機","SAMPLE","TEST"}), "", IFERROR(IF(C958="", "", AVERAGE(L958:M958, P958:Q958, T958:U958, X958:Y958)/100), ""))</f>
        <v/>
      </c>
      <c r="AD958" s="984" t="str">
        <f t="shared" si="160"/>
        <v/>
      </c>
      <c r="AE958" s="984" t="str">
        <f t="shared" si="165"/>
        <v/>
      </c>
      <c r="AF958" s="985" t="str">
        <f t="shared" si="155"/>
        <v>A</v>
      </c>
      <c r="AG958" s="1414">
        <v>1</v>
      </c>
      <c r="AH958" s="1002" t="s">
        <v>16016</v>
      </c>
      <c r="AI958" s="1002" t="s">
        <v>15997</v>
      </c>
      <c r="AJ958" s="986" t="s">
        <v>15995</v>
      </c>
      <c r="AK958" s="986" t="s">
        <v>15995</v>
      </c>
      <c r="AL958" s="1415"/>
      <c r="AM958" s="1323"/>
      <c r="AN958" s="1323"/>
      <c r="AO958" s="1323"/>
      <c r="AP958" s="1323"/>
      <c r="AQ958" s="1323"/>
      <c r="AR958" s="987"/>
      <c r="AS958" s="978" t="str">
        <f t="shared" si="156"/>
        <v>單</v>
      </c>
      <c r="AT958" s="978" t="str">
        <f t="shared" si="157"/>
        <v>全</v>
      </c>
      <c r="AU958" s="978">
        <f t="shared" si="158"/>
        <v>75</v>
      </c>
      <c r="AV958" s="978" t="str">
        <f t="shared" si="159"/>
        <v/>
      </c>
    </row>
    <row r="959" spans="1:48">
      <c r="A959" s="975">
        <f t="shared" si="166"/>
        <v>46167</v>
      </c>
      <c r="B959" s="976" t="s">
        <v>218</v>
      </c>
      <c r="C959" s="976" t="s">
        <v>632</v>
      </c>
      <c r="D959" s="1410"/>
      <c r="E959" s="977" t="str">
        <f>IFERROR(VLOOKUP(C959, [6]條件!$A:$L, 5, 0), "")</f>
        <v/>
      </c>
      <c r="F959" s="978" t="str">
        <f>IFERROR(VLOOKUP(C959, [6]條件!$A:$L, 6, 0), "")</f>
        <v/>
      </c>
      <c r="G959" s="1411" t="str">
        <f>IFERROR(VLOOKUP(C959, [6]條件!$A:$L, 7, 0), "")</f>
        <v/>
      </c>
      <c r="H959" s="978" t="str">
        <f>IF(ISNA(VLOOKUP(C959,[6]條件!$A$1:$K$932,11,0)),"",(VLOOKUP(C959,[6]條件!$A$1:$K$932,11,0)))</f>
        <v/>
      </c>
      <c r="I959" s="979" t="str">
        <f>IF(ISNA(VLOOKUP(C959,[6]條件!$A$1:$L$932,12,0)),"",(VLOOKUP(C959,[6]條件!$A$1:$L$932,12,0)))</f>
        <v/>
      </c>
      <c r="J959" s="982"/>
      <c r="K959" s="980"/>
      <c r="L959" s="981" t="s">
        <v>632</v>
      </c>
      <c r="M959" s="983"/>
      <c r="N959" s="982"/>
      <c r="O959" s="980"/>
      <c r="P959" s="981" t="s">
        <v>632</v>
      </c>
      <c r="Q959" s="983"/>
      <c r="R959" s="982"/>
      <c r="S959" s="980"/>
      <c r="T959" s="981" t="s">
        <v>632</v>
      </c>
      <c r="U959" s="983"/>
      <c r="V959" s="982"/>
      <c r="W959" s="980"/>
      <c r="X959" s="981" t="s">
        <v>632</v>
      </c>
      <c r="Y959" s="983"/>
      <c r="Z959" s="1412" t="str">
        <f>IFERROR(VLOOKUP(C959, [6]條件!$A:$L, 3, 0), "")</f>
        <v/>
      </c>
      <c r="AA959" s="984" t="str">
        <f>IF(OR(L959={"改紡","檢修","了機","清車","FINAL","停機","SAMPLE","TEST","絲開發"}), L959, IFERROR(IF(C959="", "", (SUM(J959, N959, R959, V959)/3 * AG959) * IF(AND(AF959="S", AS959="雙"), 0.5, 1)), ""))</f>
        <v>停機</v>
      </c>
      <c r="AB959" s="1413" t="str">
        <f t="shared" si="164"/>
        <v/>
      </c>
      <c r="AC959" s="984" t="str">
        <f>IF(OR(L959={"改紡","檢修","了機","清車","FINAL","停機","SAMPLE","TEST"}), "", IFERROR(IF(C959="", "", AVERAGE(L959:M959, P959:Q959, T959:U959, X959:Y959)/100), ""))</f>
        <v/>
      </c>
      <c r="AD959" s="984" t="str">
        <f t="shared" si="160"/>
        <v/>
      </c>
      <c r="AE959" s="984" t="str">
        <f t="shared" si="165"/>
        <v/>
      </c>
      <c r="AF959" s="985" t="str">
        <f t="shared" si="155"/>
        <v>A</v>
      </c>
      <c r="AG959" s="1414">
        <v>1</v>
      </c>
      <c r="AH959" s="1002" t="s">
        <v>640</v>
      </c>
      <c r="AI959" s="1002" t="s">
        <v>640</v>
      </c>
      <c r="AJ959" s="986" t="s">
        <v>640</v>
      </c>
      <c r="AK959" s="986" t="s">
        <v>640</v>
      </c>
      <c r="AL959" s="1415"/>
      <c r="AM959" s="1323"/>
      <c r="AN959" s="1323"/>
      <c r="AO959" s="1323"/>
      <c r="AP959" s="1323"/>
      <c r="AQ959" s="1323"/>
      <c r="AR959" s="987"/>
      <c r="AS959" s="978" t="str">
        <f t="shared" si="156"/>
        <v>單</v>
      </c>
      <c r="AT959" s="978" t="str">
        <f t="shared" si="157"/>
        <v>全</v>
      </c>
      <c r="AU959" s="978" t="str">
        <f t="shared" si="158"/>
        <v/>
      </c>
      <c r="AV959" s="978" t="str">
        <f t="shared" si="159"/>
        <v/>
      </c>
    </row>
    <row r="960" spans="1:48">
      <c r="A960" s="975">
        <f t="shared" si="166"/>
        <v>46167</v>
      </c>
      <c r="B960" s="976" t="s">
        <v>219</v>
      </c>
      <c r="C960" s="976" t="s">
        <v>16745</v>
      </c>
      <c r="D960" s="1410" t="s">
        <v>16748</v>
      </c>
      <c r="E960" s="977" t="str">
        <f>IFERROR(VLOOKUP(C960, [6]條件!$A:$L, 5, 0), "")</f>
        <v>50/72BSD3</v>
      </c>
      <c r="F960" s="978" t="str">
        <f>IFERROR(VLOOKUP(C960, [6]條件!$A:$L, 6, 0), "")</f>
        <v>FP80141</v>
      </c>
      <c r="G960" s="1411">
        <f>IFERROR(VLOOKUP(C960, [6]條件!$A:$L, 7, 0), "")</f>
        <v>630</v>
      </c>
      <c r="H960" s="978" t="str">
        <f>IF(ISNA(VLOOKUP(C960,[6]條件!$A$1:$K$932,11,0)),"",(VLOOKUP(C960,[6]條件!$A$1:$K$932,11,0)))</f>
        <v>洋綠色</v>
      </c>
      <c r="I960" s="979">
        <f>IF(ISNA(VLOOKUP(C960,[6]條件!$A$1:$L$932,12,0)),"",(VLOOKUP(C960,[6]條件!$A$1:$L$932,12,0)))</f>
        <v>2</v>
      </c>
      <c r="J960" s="982">
        <v>16</v>
      </c>
      <c r="K960" s="980">
        <v>6</v>
      </c>
      <c r="L960" s="981">
        <v>9366</v>
      </c>
      <c r="M960" s="983">
        <v>9856</v>
      </c>
      <c r="N960" s="982">
        <v>5</v>
      </c>
      <c r="O960" s="980">
        <v>1</v>
      </c>
      <c r="P960" s="981">
        <v>9530</v>
      </c>
      <c r="Q960" s="983">
        <v>9879</v>
      </c>
      <c r="R960" s="982">
        <v>12</v>
      </c>
      <c r="S960" s="980">
        <v>0</v>
      </c>
      <c r="T960" s="981">
        <v>9463</v>
      </c>
      <c r="U960" s="983">
        <v>9810</v>
      </c>
      <c r="V960" s="982">
        <v>12</v>
      </c>
      <c r="W960" s="980">
        <v>1</v>
      </c>
      <c r="X960" s="981">
        <v>9588</v>
      </c>
      <c r="Y960" s="983">
        <v>9882</v>
      </c>
      <c r="Z960" s="1412">
        <f>IFERROR(VLOOKUP(C960, [6]條件!$A:$L, 3, 0), "")</f>
        <v>2.4615384615384617</v>
      </c>
      <c r="AA960" s="984">
        <f>IF(OR(L960={"改紡","檢修","了機","清車","FINAL","停機","SAMPLE","TEST","絲開發"}), L960, IFERROR(IF(C960="", "", (SUM(J960, N960, R960, V960)/3 * AG960) * IF(AND(AF960="S", AS960="雙"), 0.5, 1)), ""))</f>
        <v>15</v>
      </c>
      <c r="AB960" s="1413">
        <f t="shared" si="164"/>
        <v>0.984375</v>
      </c>
      <c r="AC960" s="984">
        <f>IF(OR(L960={"改紡","檢修","了機","清車","FINAL","停機","SAMPLE","TEST"}), "", IFERROR(IF(C960="", "", AVERAGE(L960:M960, P960:Q960, T960:U960, X960:Y960)/100), ""))</f>
        <v>96.717500000000001</v>
      </c>
      <c r="AD960" s="984">
        <f t="shared" si="160"/>
        <v>1.875</v>
      </c>
      <c r="AE960" s="984">
        <f t="shared" si="165"/>
        <v>1.5416666666666667</v>
      </c>
      <c r="AF960" s="985" t="str">
        <f t="shared" si="155"/>
        <v>A</v>
      </c>
      <c r="AG960" s="1414">
        <v>1</v>
      </c>
      <c r="AH960" s="1002" t="s">
        <v>16016</v>
      </c>
      <c r="AI960" s="1002" t="s">
        <v>15997</v>
      </c>
      <c r="AJ960" s="986" t="s">
        <v>15995</v>
      </c>
      <c r="AK960" s="986" t="s">
        <v>15995</v>
      </c>
      <c r="AL960" s="1415">
        <v>57</v>
      </c>
      <c r="AM960" s="1324">
        <v>46091</v>
      </c>
      <c r="AN960" s="1323">
        <v>46092</v>
      </c>
      <c r="AO960" s="1323"/>
      <c r="AP960" s="1323"/>
      <c r="AQ960" s="1323"/>
      <c r="AR960" s="987"/>
      <c r="AS960" s="978" t="str">
        <f t="shared" si="156"/>
        <v>單</v>
      </c>
      <c r="AT960" s="978" t="str">
        <f t="shared" si="157"/>
        <v>全</v>
      </c>
      <c r="AU960" s="978">
        <f t="shared" si="158"/>
        <v>50</v>
      </c>
      <c r="AV960" s="978">
        <f t="shared" si="159"/>
        <v>1.052905392</v>
      </c>
    </row>
    <row r="961" spans="1:48">
      <c r="A961" s="975">
        <f t="shared" si="166"/>
        <v>46167</v>
      </c>
      <c r="B961" s="976" t="s">
        <v>220</v>
      </c>
      <c r="C961" s="976" t="s">
        <v>632</v>
      </c>
      <c r="D961" s="1410"/>
      <c r="E961" s="977" t="str">
        <f>IFERROR(VLOOKUP(C961, [6]條件!$A:$L, 5, 0), "")</f>
        <v/>
      </c>
      <c r="F961" s="978" t="str">
        <f>IFERROR(VLOOKUP(C961, [6]條件!$A:$L, 6, 0), "")</f>
        <v/>
      </c>
      <c r="G961" s="1411" t="str">
        <f>IFERROR(VLOOKUP(C961, [6]條件!$A:$L, 7, 0), "")</f>
        <v/>
      </c>
      <c r="H961" s="978" t="str">
        <f>IF(ISNA(VLOOKUP(C961,[6]條件!$A$1:$K$932,11,0)),"",(VLOOKUP(C961,[6]條件!$A$1:$K$932,11,0)))</f>
        <v/>
      </c>
      <c r="I961" s="979" t="str">
        <f>IF(ISNA(VLOOKUP(C961,[6]條件!$A$1:$L$932,12,0)),"",(VLOOKUP(C961,[6]條件!$A$1:$L$932,12,0)))</f>
        <v/>
      </c>
      <c r="J961" s="982"/>
      <c r="K961" s="980"/>
      <c r="L961" s="981" t="s">
        <v>632</v>
      </c>
      <c r="M961" s="983"/>
      <c r="N961" s="982"/>
      <c r="O961" s="980"/>
      <c r="P961" s="981" t="s">
        <v>632</v>
      </c>
      <c r="Q961" s="983"/>
      <c r="R961" s="982"/>
      <c r="S961" s="980"/>
      <c r="T961" s="981" t="s">
        <v>632</v>
      </c>
      <c r="U961" s="983"/>
      <c r="V961" s="982"/>
      <c r="W961" s="980"/>
      <c r="X961" s="981" t="s">
        <v>632</v>
      </c>
      <c r="Y961" s="983"/>
      <c r="Z961" s="1412" t="str">
        <f>IFERROR(VLOOKUP(C961, [6]條件!$A:$L, 3, 0), "")</f>
        <v/>
      </c>
      <c r="AA961" s="984" t="str">
        <f>IF(OR(L961={"改紡","檢修","了機","清車","FINAL","停機","SAMPLE","TEST","絲開發"}), L961, IFERROR(IF(C961="", "", (SUM(J961, N961, R961, V961)/3 * AG961) * IF(AND(AF961="S", AS961="雙"), 0.5, 1)), ""))</f>
        <v>停機</v>
      </c>
      <c r="AB961" s="1413" t="str">
        <f t="shared" si="164"/>
        <v/>
      </c>
      <c r="AC961" s="984" t="str">
        <f>IF(OR(L961={"改紡","檢修","了機","清車","FINAL","停機","SAMPLE","TEST"}), "", IFERROR(IF(C961="", "", AVERAGE(L961:M961, P961:Q961, T961:U961, X961:Y961)/100), ""))</f>
        <v/>
      </c>
      <c r="AD961" s="984" t="str">
        <f t="shared" si="160"/>
        <v/>
      </c>
      <c r="AE961" s="984" t="str">
        <f t="shared" si="165"/>
        <v/>
      </c>
      <c r="AF961" s="985" t="str">
        <f t="shared" si="155"/>
        <v>A</v>
      </c>
      <c r="AG961" s="1414">
        <v>1</v>
      </c>
      <c r="AH961" s="1002" t="s">
        <v>640</v>
      </c>
      <c r="AI961" s="1002" t="s">
        <v>640</v>
      </c>
      <c r="AJ961" s="986" t="s">
        <v>640</v>
      </c>
      <c r="AK961" s="986" t="s">
        <v>640</v>
      </c>
      <c r="AL961" s="1415"/>
      <c r="AM961" s="1323"/>
      <c r="AN961" s="1323"/>
      <c r="AO961" s="1323"/>
      <c r="AP961" s="1323"/>
      <c r="AQ961" s="1323"/>
      <c r="AR961" s="987"/>
      <c r="AS961" s="978" t="str">
        <f t="shared" si="156"/>
        <v>單</v>
      </c>
      <c r="AT961" s="978" t="str">
        <f t="shared" si="157"/>
        <v>全</v>
      </c>
      <c r="AU961" s="978" t="str">
        <f t="shared" si="158"/>
        <v/>
      </c>
      <c r="AV961" s="978" t="str">
        <f t="shared" si="159"/>
        <v/>
      </c>
    </row>
    <row r="962" spans="1:48">
      <c r="A962" s="975">
        <f t="shared" si="166"/>
        <v>46167</v>
      </c>
      <c r="B962" s="976" t="s">
        <v>221</v>
      </c>
      <c r="C962" s="976" t="s">
        <v>16763</v>
      </c>
      <c r="D962" s="1410"/>
      <c r="E962" s="977" t="str">
        <f>IFERROR(VLOOKUP(C962, [6]條件!$A:$L, 5, 0), "")</f>
        <v>150/48CDR</v>
      </c>
      <c r="F962" s="978" t="str">
        <f>IFERROR(VLOOKUP(C962, [6]條件!$A:$L, 6, 0), "")</f>
        <v>FP82781</v>
      </c>
      <c r="G962" s="1411">
        <f>IFERROR(VLOOKUP(C962, [6]條件!$A:$L, 7, 0), "")</f>
        <v>600</v>
      </c>
      <c r="H962" s="978" t="str">
        <f>IF(ISNA(VLOOKUP(C962,[6]條件!$A$1:$K$932,11,0)),"",(VLOOKUP(C962,[6]條件!$A$1:$K$932,11,0)))</f>
        <v>綠藍雙色</v>
      </c>
      <c r="I962" s="979">
        <f>IF(ISNA(VLOOKUP(C962,[6]條件!$A$1:$L$932,12,0)),"",(VLOOKUP(C962,[6]條件!$A$1:$L$932,12,0)))</f>
        <v>5</v>
      </c>
      <c r="J962" s="982">
        <v>13</v>
      </c>
      <c r="K962" s="980">
        <v>3</v>
      </c>
      <c r="L962" s="981">
        <v>8242</v>
      </c>
      <c r="M962" s="983">
        <v>8129</v>
      </c>
      <c r="N962" s="982">
        <v>5</v>
      </c>
      <c r="O962" s="980">
        <v>1</v>
      </c>
      <c r="P962" s="981">
        <v>8313</v>
      </c>
      <c r="Q962" s="983">
        <v>8244</v>
      </c>
      <c r="R962" s="982">
        <v>6</v>
      </c>
      <c r="S962" s="980">
        <v>2</v>
      </c>
      <c r="T962" s="981">
        <v>8324</v>
      </c>
      <c r="U962" s="983">
        <v>8135</v>
      </c>
      <c r="V962" s="982">
        <v>8</v>
      </c>
      <c r="W962" s="980">
        <v>2</v>
      </c>
      <c r="X962" s="981">
        <v>8286</v>
      </c>
      <c r="Y962" s="983">
        <v>8130</v>
      </c>
      <c r="Z962" s="1412">
        <f>IFERROR(VLOOKUP(C962, [6]條件!$A:$L, 3, 0), "")</f>
        <v>2.8685258964143427</v>
      </c>
      <c r="AA962" s="984">
        <f>IF(OR(L962={"改紡","檢修","了機","清車","FINAL","停機","SAMPLE","TEST","絲開發"}), L962, IFERROR(IF(C962="", "", (SUM(J962, N962, R962, V962)/3 * AG962) * IF(AND(AF962="S", AS962="雙"), 0.5, 1)), ""))</f>
        <v>10.666666666666666</v>
      </c>
      <c r="AB962" s="1413">
        <f t="shared" si="164"/>
        <v>0.98659188034188039</v>
      </c>
      <c r="AC962" s="984">
        <f>IF(OR(L962={"改紡","檢修","了機","清車","FINAL","停機","SAMPLE","TEST"}), "", IFERROR(IF(C962="", "", AVERAGE(L962:M962, P962:Q962, T962:U962, X962:Y962)/100), ""))</f>
        <v>82.253749999999997</v>
      </c>
      <c r="AD962" s="984">
        <f t="shared" si="160"/>
        <v>1.3333333333333333</v>
      </c>
      <c r="AE962" s="984">
        <f t="shared" si="165"/>
        <v>1</v>
      </c>
      <c r="AF962" s="985" t="str">
        <f t="shared" ref="AF962:AF1025" si="167">LEFT(B962, 1)</f>
        <v>A</v>
      </c>
      <c r="AG962" s="1414">
        <v>1</v>
      </c>
      <c r="AH962" s="1002" t="s">
        <v>16016</v>
      </c>
      <c r="AI962" s="1002" t="s">
        <v>15997</v>
      </c>
      <c r="AJ962" s="986" t="s">
        <v>15995</v>
      </c>
      <c r="AK962" s="986" t="s">
        <v>15995</v>
      </c>
      <c r="AL962" s="1415">
        <v>54</v>
      </c>
      <c r="AM962" s="1323">
        <v>46165</v>
      </c>
      <c r="AN962" s="1323">
        <v>46166</v>
      </c>
      <c r="AO962" s="1323"/>
      <c r="AP962" s="1323"/>
      <c r="AQ962" s="1323"/>
      <c r="AR962" s="987"/>
      <c r="AS962" s="978" t="str">
        <f t="shared" ref="AS962:AS1025" si="168">IF(RIGHT(F962, 2) = "×2", "雙", "單")</f>
        <v>單</v>
      </c>
      <c r="AT962" s="978" t="str">
        <f t="shared" ref="AT962:AT1025" si="169">IF(OR(AF962="J", AF962="T", AF962="M"), IF(AG962=1, "全", "半"), IF(AF962="A", IF(AG962=0.5, IF(AS962="雙", "全", ""), IF(AG962=1, IF(AS962="雙", "半", "全"), IF(AG962=2, "半", ""))), IF(AF962="S", AG962 &amp; "sec", "")))</f>
        <v>全</v>
      </c>
      <c r="AU962" s="978">
        <f t="shared" ref="AU962:AU1025" si="170">IFERROR(VALUE(LEFT(E962, FIND("/", E962)-1)), "")</f>
        <v>150</v>
      </c>
      <c r="AV962" s="978">
        <f t="shared" ref="AV962:AV1025" si="171">IFERROR(IF(AF962="S", (AU962*G962*AC962*0.03456/100/1000) * (AG962*12/144) * IF(AS962="單", 1, 0.5), IF(AF962="A", (AU962*G962*AC962*0.03456/100/1000) * IF(AT962="全", 1, 0.5), IF(OR(AF962="T", AF962="J", AF962="M"), (AU962*G962*AC962*0.03456/100/1000) * IF(AS962="單", 1, 2) * IF(AT962="全", 1, 0.5), 0))), "")</f>
        <v>2.5584206400000005</v>
      </c>
    </row>
    <row r="963" spans="1:48">
      <c r="A963" s="975">
        <f t="shared" si="166"/>
        <v>46167</v>
      </c>
      <c r="B963" s="976" t="s">
        <v>222</v>
      </c>
      <c r="C963" s="976" t="s">
        <v>632</v>
      </c>
      <c r="D963" s="1410"/>
      <c r="E963" s="977" t="str">
        <f>IFERROR(VLOOKUP(C963, [6]條件!$A:$L, 5, 0), "")</f>
        <v/>
      </c>
      <c r="F963" s="978" t="str">
        <f>IFERROR(VLOOKUP(C963, [6]條件!$A:$L, 6, 0), "")</f>
        <v/>
      </c>
      <c r="G963" s="1411" t="str">
        <f>IFERROR(VLOOKUP(C963, [6]條件!$A:$L, 7, 0), "")</f>
        <v/>
      </c>
      <c r="H963" s="978" t="str">
        <f>IF(ISNA(VLOOKUP(C963,[6]條件!$A$1:$K$932,11,0)),"",(VLOOKUP(C963,[6]條件!$A$1:$K$932,11,0)))</f>
        <v/>
      </c>
      <c r="I963" s="979" t="str">
        <f>IF(ISNA(VLOOKUP(C963,[6]條件!$A$1:$L$932,12,0)),"",(VLOOKUP(C963,[6]條件!$A$1:$L$932,12,0)))</f>
        <v/>
      </c>
      <c r="J963" s="982"/>
      <c r="K963" s="980"/>
      <c r="L963" s="981" t="s">
        <v>632</v>
      </c>
      <c r="M963" s="983"/>
      <c r="N963" s="982"/>
      <c r="O963" s="980"/>
      <c r="P963" s="981" t="s">
        <v>632</v>
      </c>
      <c r="Q963" s="983"/>
      <c r="R963" s="982"/>
      <c r="S963" s="980"/>
      <c r="T963" s="981" t="s">
        <v>632</v>
      </c>
      <c r="U963" s="983"/>
      <c r="V963" s="982"/>
      <c r="W963" s="980"/>
      <c r="X963" s="981" t="s">
        <v>632</v>
      </c>
      <c r="Y963" s="983"/>
      <c r="Z963" s="1412" t="str">
        <f>IFERROR(VLOOKUP(C963, [6]條件!$A:$L, 3, 0), "")</f>
        <v/>
      </c>
      <c r="AA963" s="984" t="str">
        <f>IF(OR(L963={"改紡","檢修","了機","清車","FINAL","停機","SAMPLE","TEST","絲開發"}), L963, IFERROR(IF(C963="", "", (SUM(J963, N963, R963, V963)/3 * AG963) * IF(AND(AF963="S", AS963="雙"), 0.5, 1)), ""))</f>
        <v>停機</v>
      </c>
      <c r="AB963" s="1413" t="str">
        <f t="shared" si="164"/>
        <v/>
      </c>
      <c r="AC963" s="984" t="str">
        <f>IF(OR(L963={"改紡","檢修","了機","清車","FINAL","停機","SAMPLE","TEST"}), "", IFERROR(IF(C963="", "", AVERAGE(L963:M963, P963:Q963, T963:U963, X963:Y963)/100), ""))</f>
        <v/>
      </c>
      <c r="AD963" s="984" t="str">
        <f t="shared" si="160"/>
        <v/>
      </c>
      <c r="AE963" s="984" t="str">
        <f t="shared" si="165"/>
        <v/>
      </c>
      <c r="AF963" s="985" t="str">
        <f t="shared" si="167"/>
        <v>A</v>
      </c>
      <c r="AG963" s="1414">
        <v>1</v>
      </c>
      <c r="AH963" s="1002" t="s">
        <v>640</v>
      </c>
      <c r="AI963" s="1002" t="s">
        <v>640</v>
      </c>
      <c r="AJ963" s="986" t="s">
        <v>640</v>
      </c>
      <c r="AK963" s="986" t="s">
        <v>640</v>
      </c>
      <c r="AL963" s="1415"/>
      <c r="AM963" s="1323"/>
      <c r="AN963" s="1323"/>
      <c r="AO963" s="1323"/>
      <c r="AP963" s="1323"/>
      <c r="AQ963" s="1323"/>
      <c r="AR963" s="987"/>
      <c r="AS963" s="978" t="str">
        <f t="shared" si="168"/>
        <v>單</v>
      </c>
      <c r="AT963" s="978" t="str">
        <f t="shared" si="169"/>
        <v>全</v>
      </c>
      <c r="AU963" s="978" t="str">
        <f t="shared" si="170"/>
        <v/>
      </c>
      <c r="AV963" s="978" t="str">
        <f t="shared" si="171"/>
        <v/>
      </c>
    </row>
    <row r="964" spans="1:48">
      <c r="A964" s="975">
        <f t="shared" si="166"/>
        <v>46167</v>
      </c>
      <c r="B964" s="976" t="s">
        <v>223</v>
      </c>
      <c r="C964" s="976" t="s">
        <v>632</v>
      </c>
      <c r="D964" s="1410"/>
      <c r="E964" s="977" t="str">
        <f>IFERROR(VLOOKUP(C964, [6]條件!$A:$L, 5, 0), "")</f>
        <v/>
      </c>
      <c r="F964" s="978" t="str">
        <f>IFERROR(VLOOKUP(C964, [6]條件!$A:$L, 6, 0), "")</f>
        <v/>
      </c>
      <c r="G964" s="1411" t="str">
        <f>IFERROR(VLOOKUP(C964, [6]條件!$A:$L, 7, 0), "")</f>
        <v/>
      </c>
      <c r="H964" s="978" t="str">
        <f>IF(ISNA(VLOOKUP(C964,[6]條件!$A$1:$K$932,11,0)),"",(VLOOKUP(C964,[6]條件!$A$1:$K$932,11,0)))</f>
        <v/>
      </c>
      <c r="I964" s="979" t="str">
        <f>IF(ISNA(VLOOKUP(C964,[6]條件!$A$1:$L$932,12,0)),"",(VLOOKUP(C964,[6]條件!$A$1:$L$932,12,0)))</f>
        <v/>
      </c>
      <c r="J964" s="982"/>
      <c r="K964" s="980"/>
      <c r="L964" s="981" t="s">
        <v>632</v>
      </c>
      <c r="M964" s="983"/>
      <c r="N964" s="982"/>
      <c r="O964" s="980"/>
      <c r="P964" s="981" t="s">
        <v>632</v>
      </c>
      <c r="Q964" s="983"/>
      <c r="R964" s="982"/>
      <c r="S964" s="980"/>
      <c r="T964" s="981" t="s">
        <v>632</v>
      </c>
      <c r="U964" s="983"/>
      <c r="V964" s="982"/>
      <c r="W964" s="980"/>
      <c r="X964" s="981" t="s">
        <v>632</v>
      </c>
      <c r="Y964" s="983"/>
      <c r="Z964" s="1412" t="str">
        <f>IFERROR(VLOOKUP(C964, [6]條件!$A:$L, 3, 0), "")</f>
        <v/>
      </c>
      <c r="AA964" s="984" t="str">
        <f>IF(OR(L964={"改紡","檢修","了機","清車","FINAL","停機","SAMPLE","TEST","絲開發"}), L964, IFERROR(IF(C964="", "", (SUM(J964, N964, R964, V964)/3 * AG964) * IF(AND(AF964="S", AS964="雙"), 0.5, 1)), ""))</f>
        <v>停機</v>
      </c>
      <c r="AB964" s="1413" t="str">
        <f t="shared" si="164"/>
        <v/>
      </c>
      <c r="AC964" s="984" t="str">
        <f>IF(OR(L964={"改紡","檢修","了機","清車","FINAL","停機","SAMPLE","TEST"}), "", IFERROR(IF(C964="", "", AVERAGE(L964:M964, P964:Q964, T964:U964, X964:Y964)/100), ""))</f>
        <v/>
      </c>
      <c r="AD964" s="984" t="str">
        <f t="shared" si="160"/>
        <v/>
      </c>
      <c r="AE964" s="984" t="str">
        <f t="shared" si="165"/>
        <v/>
      </c>
      <c r="AF964" s="985" t="str">
        <f t="shared" si="167"/>
        <v>A</v>
      </c>
      <c r="AG964" s="1414">
        <v>1</v>
      </c>
      <c r="AH964" s="1002" t="s">
        <v>640</v>
      </c>
      <c r="AI964" s="1002" t="s">
        <v>640</v>
      </c>
      <c r="AJ964" s="1002" t="s">
        <v>640</v>
      </c>
      <c r="AK964" s="1002" t="s">
        <v>640</v>
      </c>
      <c r="AL964" s="1415"/>
      <c r="AM964" s="1324"/>
      <c r="AN964" s="1323"/>
      <c r="AO964" s="1323"/>
      <c r="AP964" s="1323"/>
      <c r="AQ964" s="1323"/>
      <c r="AR964" s="987"/>
      <c r="AS964" s="978" t="str">
        <f t="shared" si="168"/>
        <v>單</v>
      </c>
      <c r="AT964" s="978" t="str">
        <f t="shared" si="169"/>
        <v>全</v>
      </c>
      <c r="AU964" s="978" t="str">
        <f t="shared" si="170"/>
        <v/>
      </c>
      <c r="AV964" s="978" t="str">
        <f t="shared" si="171"/>
        <v/>
      </c>
    </row>
    <row r="965" spans="1:48">
      <c r="A965" s="975">
        <f t="shared" si="166"/>
        <v>46167</v>
      </c>
      <c r="B965" s="976" t="s">
        <v>224</v>
      </c>
      <c r="C965" s="976" t="s">
        <v>632</v>
      </c>
      <c r="D965" s="1410"/>
      <c r="E965" s="977" t="str">
        <f>IFERROR(VLOOKUP(C965, [6]條件!$A:$L, 5, 0), "")</f>
        <v/>
      </c>
      <c r="F965" s="978" t="str">
        <f>IFERROR(VLOOKUP(C965, [6]條件!$A:$L, 6, 0), "")</f>
        <v/>
      </c>
      <c r="G965" s="1411" t="str">
        <f>IFERROR(VLOOKUP(C965, [6]條件!$A:$L, 7, 0), "")</f>
        <v/>
      </c>
      <c r="H965" s="978" t="str">
        <f>IF(ISNA(VLOOKUP(C965,[6]條件!$A$1:$K$932,11,0)),"",(VLOOKUP(C965,[6]條件!$A$1:$K$932,11,0)))</f>
        <v/>
      </c>
      <c r="I965" s="979" t="str">
        <f>IF(ISNA(VLOOKUP(C965,[6]條件!$A$1:$L$932,12,0)),"",(VLOOKUP(C965,[6]條件!$A$1:$L$932,12,0)))</f>
        <v/>
      </c>
      <c r="J965" s="982"/>
      <c r="K965" s="980"/>
      <c r="L965" s="981" t="s">
        <v>632</v>
      </c>
      <c r="M965" s="983"/>
      <c r="N965" s="982"/>
      <c r="O965" s="980"/>
      <c r="P965" s="981" t="s">
        <v>632</v>
      </c>
      <c r="Q965" s="983"/>
      <c r="R965" s="982"/>
      <c r="S965" s="980"/>
      <c r="T965" s="981" t="s">
        <v>632</v>
      </c>
      <c r="U965" s="983"/>
      <c r="V965" s="982"/>
      <c r="W965" s="980"/>
      <c r="X965" s="981" t="s">
        <v>632</v>
      </c>
      <c r="Y965" s="983"/>
      <c r="Z965" s="1412" t="str">
        <f>IFERROR(VLOOKUP(C965, [6]條件!$A:$L, 3, 0), "")</f>
        <v/>
      </c>
      <c r="AA965" s="984" t="str">
        <f>IF(OR(L965={"改紡","檢修","了機","清車","FINAL","停機","SAMPLE","TEST","絲開發"}), L965, IFERROR(IF(C965="", "", (SUM(J965, N965, R965, V965)/3 * AG965) * IF(AND(AF965="S", AS965="雙"), 0.5, 1)), ""))</f>
        <v>停機</v>
      </c>
      <c r="AB965" s="1413" t="str">
        <f t="shared" si="164"/>
        <v/>
      </c>
      <c r="AC965" s="984" t="str">
        <f>IF(OR(L965={"改紡","檢修","了機","清車","FINAL","停機","SAMPLE","TEST"}), "", IFERROR(IF(C965="", "", AVERAGE(L965:M965, P965:Q965, T965:U965, X965:Y965)/100), ""))</f>
        <v/>
      </c>
      <c r="AD965" s="984" t="str">
        <f t="shared" ref="AD965:AD1028" si="172">IF(ISERROR(AA965/8),"",(AA965/8))</f>
        <v/>
      </c>
      <c r="AE965" s="984" t="str">
        <f t="shared" si="165"/>
        <v/>
      </c>
      <c r="AF965" s="985" t="str">
        <f t="shared" si="167"/>
        <v>A</v>
      </c>
      <c r="AG965" s="1414">
        <v>0.5</v>
      </c>
      <c r="AH965" s="1002" t="s">
        <v>16011</v>
      </c>
      <c r="AI965" s="1002" t="s">
        <v>640</v>
      </c>
      <c r="AJ965" s="1002" t="s">
        <v>640</v>
      </c>
      <c r="AK965" s="1002" t="s">
        <v>640</v>
      </c>
      <c r="AL965" s="1415"/>
      <c r="AM965" s="1323"/>
      <c r="AN965" s="1323"/>
      <c r="AO965" s="1323"/>
      <c r="AP965" s="1323"/>
      <c r="AQ965" s="1323"/>
      <c r="AR965" s="987"/>
      <c r="AS965" s="978" t="str">
        <f t="shared" si="168"/>
        <v>單</v>
      </c>
      <c r="AT965" s="978" t="str">
        <f t="shared" si="169"/>
        <v/>
      </c>
      <c r="AU965" s="978" t="str">
        <f t="shared" si="170"/>
        <v/>
      </c>
      <c r="AV965" s="978" t="str">
        <f t="shared" si="171"/>
        <v/>
      </c>
    </row>
    <row r="966" spans="1:48">
      <c r="A966" s="975">
        <f t="shared" si="166"/>
        <v>46167</v>
      </c>
      <c r="B966" s="976" t="s">
        <v>225</v>
      </c>
      <c r="C966" s="976" t="s">
        <v>632</v>
      </c>
      <c r="D966" s="1410"/>
      <c r="E966" s="977" t="str">
        <f>IFERROR(VLOOKUP(C966, [6]條件!$A:$L, 5, 0), "")</f>
        <v/>
      </c>
      <c r="F966" s="978" t="str">
        <f>IFERROR(VLOOKUP(C966, [6]條件!$A:$L, 6, 0), "")</f>
        <v/>
      </c>
      <c r="G966" s="1411" t="str">
        <f>IFERROR(VLOOKUP(C966, [6]條件!$A:$L, 7, 0), "")</f>
        <v/>
      </c>
      <c r="H966" s="978" t="str">
        <f>IF(ISNA(VLOOKUP(C966,[6]條件!$A$1:$K$932,11,0)),"",(VLOOKUP(C966,[6]條件!$A$1:$K$932,11,0)))</f>
        <v/>
      </c>
      <c r="I966" s="979" t="str">
        <f>IF(ISNA(VLOOKUP(C966,[6]條件!$A$1:$L$932,12,0)),"",(VLOOKUP(C966,[6]條件!$A$1:$L$932,12,0)))</f>
        <v/>
      </c>
      <c r="J966" s="982"/>
      <c r="K966" s="980"/>
      <c r="L966" s="981" t="s">
        <v>632</v>
      </c>
      <c r="M966" s="983"/>
      <c r="N966" s="982"/>
      <c r="O966" s="980"/>
      <c r="P966" s="981" t="s">
        <v>632</v>
      </c>
      <c r="Q966" s="983"/>
      <c r="R966" s="982"/>
      <c r="S966" s="980"/>
      <c r="T966" s="981" t="s">
        <v>632</v>
      </c>
      <c r="U966" s="983"/>
      <c r="V966" s="982"/>
      <c r="W966" s="980"/>
      <c r="X966" s="981" t="s">
        <v>632</v>
      </c>
      <c r="Y966" s="983"/>
      <c r="Z966" s="1412" t="str">
        <f>IFERROR(VLOOKUP(C966, [6]條件!$A:$L, 3, 0), "")</f>
        <v/>
      </c>
      <c r="AA966" s="984" t="str">
        <f>IF(OR(L966={"改紡","檢修","了機","清車","FINAL","停機","SAMPLE","TEST","絲開發"}), L966, IFERROR(IF(C966="", "", (SUM(J966, N966, R966, V966)/3 * AG966) * IF(AND(AF966="S", AS966="雙"), 0.5, 1)), ""))</f>
        <v>停機</v>
      </c>
      <c r="AB966" s="1413" t="str">
        <f t="shared" si="164"/>
        <v/>
      </c>
      <c r="AC966" s="984" t="str">
        <f>IF(OR(L966={"改紡","檢修","了機","清車","FINAL","停機","SAMPLE","TEST"}), "", IFERROR(IF(C966="", "", AVERAGE(L966:M966, P966:Q966, T966:U966, X966:Y966)/100), ""))</f>
        <v/>
      </c>
      <c r="AD966" s="984" t="str">
        <f t="shared" si="172"/>
        <v/>
      </c>
      <c r="AE966" s="984" t="str">
        <f t="shared" si="165"/>
        <v/>
      </c>
      <c r="AF966" s="985" t="str">
        <f t="shared" si="167"/>
        <v>A</v>
      </c>
      <c r="AG966" s="1414">
        <v>1</v>
      </c>
      <c r="AH966" s="1002" t="s">
        <v>640</v>
      </c>
      <c r="AI966" s="1002" t="s">
        <v>640</v>
      </c>
      <c r="AJ966" s="1002" t="s">
        <v>640</v>
      </c>
      <c r="AK966" s="1002" t="s">
        <v>640</v>
      </c>
      <c r="AL966" s="1415"/>
      <c r="AM966" s="1323"/>
      <c r="AN966" s="1323"/>
      <c r="AO966" s="1323"/>
      <c r="AP966" s="1323"/>
      <c r="AQ966" s="1323"/>
      <c r="AR966" s="987"/>
      <c r="AS966" s="978" t="str">
        <f t="shared" si="168"/>
        <v>單</v>
      </c>
      <c r="AT966" s="978" t="str">
        <f t="shared" si="169"/>
        <v>全</v>
      </c>
      <c r="AU966" s="978" t="str">
        <f t="shared" si="170"/>
        <v/>
      </c>
      <c r="AV966" s="978" t="str">
        <f t="shared" si="171"/>
        <v/>
      </c>
    </row>
    <row r="967" spans="1:48">
      <c r="A967" s="975">
        <f t="shared" si="166"/>
        <v>46167</v>
      </c>
      <c r="B967" s="976" t="s">
        <v>226</v>
      </c>
      <c r="C967" s="976" t="s">
        <v>632</v>
      </c>
      <c r="D967" s="1410"/>
      <c r="E967" s="977" t="str">
        <f>IFERROR(VLOOKUP(C967, [6]條件!$A:$L, 5, 0), "")</f>
        <v/>
      </c>
      <c r="F967" s="978" t="str">
        <f>IFERROR(VLOOKUP(C967, [6]條件!$A:$L, 6, 0), "")</f>
        <v/>
      </c>
      <c r="G967" s="1411" t="str">
        <f>IFERROR(VLOOKUP(C967, [6]條件!$A:$L, 7, 0), "")</f>
        <v/>
      </c>
      <c r="H967" s="978" t="str">
        <f>IF(ISNA(VLOOKUP(C967,[6]條件!$A$1:$K$932,11,0)),"",(VLOOKUP(C967,[6]條件!$A$1:$K$932,11,0)))</f>
        <v/>
      </c>
      <c r="I967" s="979" t="str">
        <f>IF(ISNA(VLOOKUP(C967,[6]條件!$A$1:$L$932,12,0)),"",(VLOOKUP(C967,[6]條件!$A$1:$L$932,12,0)))</f>
        <v/>
      </c>
      <c r="J967" s="982"/>
      <c r="K967" s="980"/>
      <c r="L967" s="981" t="s">
        <v>632</v>
      </c>
      <c r="M967" s="983"/>
      <c r="N967" s="982"/>
      <c r="O967" s="980"/>
      <c r="P967" s="981" t="s">
        <v>632</v>
      </c>
      <c r="Q967" s="983"/>
      <c r="R967" s="982"/>
      <c r="S967" s="980"/>
      <c r="T967" s="981" t="s">
        <v>632</v>
      </c>
      <c r="U967" s="983"/>
      <c r="V967" s="982"/>
      <c r="W967" s="980"/>
      <c r="X967" s="981" t="s">
        <v>632</v>
      </c>
      <c r="Y967" s="983"/>
      <c r="Z967" s="1412" t="str">
        <f>IFERROR(VLOOKUP(C967, [6]條件!$A:$L, 3, 0), "")</f>
        <v/>
      </c>
      <c r="AA967" s="984" t="str">
        <f>IF(OR(L967={"改紡","檢修","了機","清車","FINAL","停機","SAMPLE","TEST","絲開發"}), L967, IFERROR(IF(C967="", "", (SUM(J967, N967, R967, V967)/3 * AG967) * IF(AND(AF967="S", AS967="雙"), 0.5, 1)), ""))</f>
        <v>停機</v>
      </c>
      <c r="AB967" s="1413" t="str">
        <f t="shared" si="164"/>
        <v/>
      </c>
      <c r="AC967" s="984" t="str">
        <f>IF(OR(L967={"改紡","檢修","了機","清車","FINAL","停機","SAMPLE","TEST"}), "", IFERROR(IF(C967="", "", AVERAGE(L967:M967, P967:Q967, T967:U967, X967:Y967)/100), ""))</f>
        <v/>
      </c>
      <c r="AD967" s="984" t="str">
        <f t="shared" si="172"/>
        <v/>
      </c>
      <c r="AE967" s="984" t="str">
        <f t="shared" si="165"/>
        <v/>
      </c>
      <c r="AF967" s="985" t="str">
        <f t="shared" si="167"/>
        <v>A</v>
      </c>
      <c r="AG967" s="1414">
        <v>1</v>
      </c>
      <c r="AH967" s="1002" t="s">
        <v>640</v>
      </c>
      <c r="AI967" s="1002" t="s">
        <v>640</v>
      </c>
      <c r="AJ967" s="1002" t="s">
        <v>640</v>
      </c>
      <c r="AK967" s="1002" t="s">
        <v>640</v>
      </c>
      <c r="AL967" s="1415"/>
      <c r="AM967" s="1323"/>
      <c r="AN967" s="1323"/>
      <c r="AO967" s="1323"/>
      <c r="AP967" s="1323"/>
      <c r="AQ967" s="1323"/>
      <c r="AR967" s="987"/>
      <c r="AS967" s="978" t="str">
        <f t="shared" si="168"/>
        <v>單</v>
      </c>
      <c r="AT967" s="978" t="str">
        <f t="shared" si="169"/>
        <v>全</v>
      </c>
      <c r="AU967" s="978" t="str">
        <f t="shared" si="170"/>
        <v/>
      </c>
      <c r="AV967" s="978" t="str">
        <f t="shared" si="171"/>
        <v/>
      </c>
    </row>
    <row r="968" spans="1:48">
      <c r="A968" s="975">
        <f t="shared" si="166"/>
        <v>46167</v>
      </c>
      <c r="B968" s="976" t="s">
        <v>227</v>
      </c>
      <c r="C968" s="976" t="s">
        <v>632</v>
      </c>
      <c r="D968" s="1410"/>
      <c r="E968" s="977" t="str">
        <f>IFERROR(VLOOKUP(C968, [6]條件!$A:$L, 5, 0), "")</f>
        <v/>
      </c>
      <c r="F968" s="978" t="str">
        <f>IFERROR(VLOOKUP(C968, [6]條件!$A:$L, 6, 0), "")</f>
        <v/>
      </c>
      <c r="G968" s="1411" t="str">
        <f>IFERROR(VLOOKUP(C968, [6]條件!$A:$L, 7, 0), "")</f>
        <v/>
      </c>
      <c r="H968" s="978" t="str">
        <f>IF(ISNA(VLOOKUP(C968,[6]條件!$A$1:$K$932,11,0)),"",(VLOOKUP(C968,[6]條件!$A$1:$K$932,11,0)))</f>
        <v/>
      </c>
      <c r="I968" s="979" t="str">
        <f>IF(ISNA(VLOOKUP(C968,[6]條件!$A$1:$L$932,12,0)),"",(VLOOKUP(C968,[6]條件!$A$1:$L$932,12,0)))</f>
        <v/>
      </c>
      <c r="J968" s="982"/>
      <c r="K968" s="980"/>
      <c r="L968" s="981" t="s">
        <v>632</v>
      </c>
      <c r="M968" s="983"/>
      <c r="N968" s="982"/>
      <c r="O968" s="980"/>
      <c r="P968" s="981" t="s">
        <v>632</v>
      </c>
      <c r="Q968" s="983"/>
      <c r="R968" s="982"/>
      <c r="S968" s="980"/>
      <c r="T968" s="981" t="s">
        <v>632</v>
      </c>
      <c r="U968" s="983"/>
      <c r="V968" s="982"/>
      <c r="W968" s="980"/>
      <c r="X968" s="981" t="s">
        <v>632</v>
      </c>
      <c r="Y968" s="983"/>
      <c r="Z968" s="1412" t="str">
        <f>IFERROR(VLOOKUP(C968, [6]條件!$A:$L, 3, 0), "")</f>
        <v/>
      </c>
      <c r="AA968" s="984" t="str">
        <f>IF(OR(L968={"改紡","檢修","了機","清車","FINAL","停機","SAMPLE","TEST","絲開發"}), L968, IFERROR(IF(C968="", "", (SUM(J968, N968, R968, V968)/3 * AG968) * IF(AND(AF968="S", AS968="雙"), 0.5, 1)), ""))</f>
        <v>停機</v>
      </c>
      <c r="AB968" s="1413" t="str">
        <f t="shared" si="164"/>
        <v/>
      </c>
      <c r="AC968" s="984" t="str">
        <f>IF(OR(L968={"改紡","檢修","了機","清車","FINAL","停機","SAMPLE","TEST"}), "", IFERROR(IF(C968="", "", AVERAGE(L968:M968, P968:Q968, T968:U968, X968:Y968)/100), ""))</f>
        <v/>
      </c>
      <c r="AD968" s="984" t="str">
        <f t="shared" si="172"/>
        <v/>
      </c>
      <c r="AE968" s="984" t="str">
        <f t="shared" si="165"/>
        <v/>
      </c>
      <c r="AF968" s="985" t="str">
        <f t="shared" si="167"/>
        <v>A</v>
      </c>
      <c r="AG968" s="1414">
        <v>1</v>
      </c>
      <c r="AH968" s="1002" t="s">
        <v>640</v>
      </c>
      <c r="AI968" s="1002" t="s">
        <v>640</v>
      </c>
      <c r="AJ968" s="1002" t="s">
        <v>640</v>
      </c>
      <c r="AK968" s="1002" t="s">
        <v>640</v>
      </c>
      <c r="AL968" s="1415"/>
      <c r="AM968" s="1323"/>
      <c r="AN968" s="1323"/>
      <c r="AO968" s="1323"/>
      <c r="AP968" s="1323"/>
      <c r="AQ968" s="1323"/>
      <c r="AR968" s="987"/>
      <c r="AS968" s="978" t="str">
        <f t="shared" si="168"/>
        <v>單</v>
      </c>
      <c r="AT968" s="978" t="str">
        <f t="shared" si="169"/>
        <v>全</v>
      </c>
      <c r="AU968" s="978" t="str">
        <f t="shared" si="170"/>
        <v/>
      </c>
      <c r="AV968" s="978" t="str">
        <f t="shared" si="171"/>
        <v/>
      </c>
    </row>
    <row r="969" spans="1:48">
      <c r="A969" s="975">
        <f t="shared" si="166"/>
        <v>46167</v>
      </c>
      <c r="B969" s="976" t="s">
        <v>228</v>
      </c>
      <c r="C969" s="976" t="s">
        <v>632</v>
      </c>
      <c r="D969" s="1410"/>
      <c r="E969" s="977" t="str">
        <f>IFERROR(VLOOKUP(C969, [6]條件!$A:$L, 5, 0), "")</f>
        <v/>
      </c>
      <c r="F969" s="978" t="str">
        <f>IFERROR(VLOOKUP(C969, [6]條件!$A:$L, 6, 0), "")</f>
        <v/>
      </c>
      <c r="G969" s="1411" t="str">
        <f>IFERROR(VLOOKUP(C969, [6]條件!$A:$L, 7, 0), "")</f>
        <v/>
      </c>
      <c r="H969" s="978" t="str">
        <f>IF(ISNA(VLOOKUP(C969,[6]條件!$A$1:$K$932,11,0)),"",(VLOOKUP(C969,[6]條件!$A$1:$K$932,11,0)))</f>
        <v/>
      </c>
      <c r="I969" s="979" t="str">
        <f>IF(ISNA(VLOOKUP(C969,[6]條件!$A$1:$L$932,12,0)),"",(VLOOKUP(C969,[6]條件!$A$1:$L$932,12,0)))</f>
        <v/>
      </c>
      <c r="J969" s="982"/>
      <c r="K969" s="980"/>
      <c r="L969" s="981" t="s">
        <v>632</v>
      </c>
      <c r="M969" s="983"/>
      <c r="N969" s="982"/>
      <c r="O969" s="980"/>
      <c r="P969" s="981" t="s">
        <v>632</v>
      </c>
      <c r="Q969" s="983"/>
      <c r="R969" s="982"/>
      <c r="S969" s="980"/>
      <c r="T969" s="981" t="s">
        <v>632</v>
      </c>
      <c r="U969" s="983"/>
      <c r="V969" s="982"/>
      <c r="W969" s="980"/>
      <c r="X969" s="981" t="s">
        <v>632</v>
      </c>
      <c r="Y969" s="983"/>
      <c r="Z969" s="1412" t="str">
        <f>IFERROR(VLOOKUP(C969, [6]條件!$A:$L, 3, 0), "")</f>
        <v/>
      </c>
      <c r="AA969" s="984" t="str">
        <f>IF(OR(L969={"改紡","檢修","了機","清車","FINAL","停機","SAMPLE","TEST","絲開發"}), L969, IFERROR(IF(C969="", "", (SUM(J969, N969, R969, V969)/3 * AG969) * IF(AND(AF969="S", AS969="雙"), 0.5, 1)), ""))</f>
        <v>停機</v>
      </c>
      <c r="AB969" s="1413" t="str">
        <f t="shared" si="164"/>
        <v/>
      </c>
      <c r="AC969" s="984" t="str">
        <f>IF(OR(L969={"改紡","檢修","了機","清車","FINAL","停機","SAMPLE","TEST"}), "", IFERROR(IF(C969="", "", AVERAGE(L969:M969, P969:Q969, T969:U969, X969:Y969)/100), ""))</f>
        <v/>
      </c>
      <c r="AD969" s="984" t="str">
        <f t="shared" si="172"/>
        <v/>
      </c>
      <c r="AE969" s="984" t="str">
        <f t="shared" si="165"/>
        <v/>
      </c>
      <c r="AF969" s="985" t="str">
        <f t="shared" si="167"/>
        <v>A</v>
      </c>
      <c r="AG969" s="1414">
        <v>1</v>
      </c>
      <c r="AH969" s="1002" t="s">
        <v>640</v>
      </c>
      <c r="AI969" s="1002" t="s">
        <v>640</v>
      </c>
      <c r="AJ969" s="1002" t="s">
        <v>640</v>
      </c>
      <c r="AK969" s="1002" t="s">
        <v>640</v>
      </c>
      <c r="AL969" s="1420"/>
      <c r="AM969" s="1323"/>
      <c r="AN969" s="1323"/>
      <c r="AO969" s="1323"/>
      <c r="AP969" s="1323"/>
      <c r="AQ969" s="1323"/>
      <c r="AR969" s="987"/>
      <c r="AS969" s="978" t="str">
        <f t="shared" si="168"/>
        <v>單</v>
      </c>
      <c r="AT969" s="978" t="str">
        <f t="shared" si="169"/>
        <v>全</v>
      </c>
      <c r="AU969" s="978" t="str">
        <f t="shared" si="170"/>
        <v/>
      </c>
      <c r="AV969" s="978" t="str">
        <f t="shared" si="171"/>
        <v/>
      </c>
    </row>
    <row r="970" spans="1:48">
      <c r="A970" s="975">
        <f t="shared" si="166"/>
        <v>46167</v>
      </c>
      <c r="B970" s="976" t="s">
        <v>229</v>
      </c>
      <c r="C970" s="976" t="s">
        <v>632</v>
      </c>
      <c r="D970" s="1410"/>
      <c r="E970" s="977" t="str">
        <f>IFERROR(VLOOKUP(C970, [6]條件!$A:$L, 5, 0), "")</f>
        <v/>
      </c>
      <c r="F970" s="978" t="str">
        <f>IFERROR(VLOOKUP(C970, [6]條件!$A:$L, 6, 0), "")</f>
        <v/>
      </c>
      <c r="G970" s="1411" t="str">
        <f>IFERROR(VLOOKUP(C970, [6]條件!$A:$L, 7, 0), "")</f>
        <v/>
      </c>
      <c r="H970" s="978" t="str">
        <f>IF(ISNA(VLOOKUP(C970,[6]條件!$A$1:$K$932,11,0)),"",(VLOOKUP(C970,[6]條件!$A$1:$K$932,11,0)))</f>
        <v/>
      </c>
      <c r="I970" s="979" t="str">
        <f>IF(ISNA(VLOOKUP(C970,[6]條件!$A$1:$L$932,12,0)),"",(VLOOKUP(C970,[6]條件!$A$1:$L$932,12,0)))</f>
        <v/>
      </c>
      <c r="J970" s="982"/>
      <c r="K970" s="980"/>
      <c r="L970" s="981" t="s">
        <v>632</v>
      </c>
      <c r="M970" s="983"/>
      <c r="N970" s="982"/>
      <c r="O970" s="980"/>
      <c r="P970" s="981" t="s">
        <v>632</v>
      </c>
      <c r="Q970" s="983"/>
      <c r="R970" s="982"/>
      <c r="S970" s="980"/>
      <c r="T970" s="981" t="s">
        <v>632</v>
      </c>
      <c r="U970" s="983"/>
      <c r="V970" s="982"/>
      <c r="W970" s="980"/>
      <c r="X970" s="981" t="s">
        <v>632</v>
      </c>
      <c r="Y970" s="983"/>
      <c r="Z970" s="1412" t="str">
        <f>IFERROR(VLOOKUP(C970, [6]條件!$A:$L, 3, 0), "")</f>
        <v/>
      </c>
      <c r="AA970" s="984" t="str">
        <f>IF(OR(L970={"改紡","檢修","了機","清車","FINAL","停機","SAMPLE","TEST","絲開發"}), L970, IFERROR(IF(C970="", "", (SUM(J970, N970, R970, V970)/3 * AG970) * IF(AND(AF970="S", AS970="雙"), 0.5, 1)), ""))</f>
        <v>停機</v>
      </c>
      <c r="AB970" s="1413" t="str">
        <f t="shared" si="164"/>
        <v/>
      </c>
      <c r="AC970" s="984" t="str">
        <f>IF(OR(L970={"改紡","檢修","了機","清車","FINAL","停機","SAMPLE","TEST"}), "", IFERROR(IF(C970="", "", AVERAGE(L970:M970, P970:Q970, T970:U970, X970:Y970)/100), ""))</f>
        <v/>
      </c>
      <c r="AD970" s="984" t="str">
        <f t="shared" si="172"/>
        <v/>
      </c>
      <c r="AE970" s="984" t="str">
        <f t="shared" si="165"/>
        <v/>
      </c>
      <c r="AF970" s="985" t="str">
        <f t="shared" si="167"/>
        <v>A</v>
      </c>
      <c r="AG970" s="1414">
        <v>1</v>
      </c>
      <c r="AH970" s="1002" t="s">
        <v>640</v>
      </c>
      <c r="AI970" s="1002" t="s">
        <v>640</v>
      </c>
      <c r="AJ970" s="1002" t="s">
        <v>640</v>
      </c>
      <c r="AK970" s="1002" t="s">
        <v>640</v>
      </c>
      <c r="AL970" s="1421"/>
      <c r="AM970" s="1323"/>
      <c r="AN970" s="1323"/>
      <c r="AO970" s="1323"/>
      <c r="AP970" s="1323"/>
      <c r="AQ970" s="1323"/>
      <c r="AR970" s="987"/>
      <c r="AS970" s="978" t="str">
        <f t="shared" si="168"/>
        <v>單</v>
      </c>
      <c r="AT970" s="978" t="str">
        <f t="shared" si="169"/>
        <v>全</v>
      </c>
      <c r="AU970" s="978" t="str">
        <f t="shared" si="170"/>
        <v/>
      </c>
      <c r="AV970" s="978" t="str">
        <f t="shared" si="171"/>
        <v/>
      </c>
    </row>
    <row r="971" spans="1:48">
      <c r="A971" s="975">
        <f t="shared" si="166"/>
        <v>46167</v>
      </c>
      <c r="B971" s="976" t="s">
        <v>230</v>
      </c>
      <c r="C971" s="976" t="s">
        <v>632</v>
      </c>
      <c r="D971" s="1410"/>
      <c r="E971" s="977" t="str">
        <f>IFERROR(VLOOKUP(C971, [6]條件!$A:$L, 5, 0), "")</f>
        <v/>
      </c>
      <c r="F971" s="978" t="str">
        <f>IFERROR(VLOOKUP(C971, [6]條件!$A:$L, 6, 0), "")</f>
        <v/>
      </c>
      <c r="G971" s="1411" t="str">
        <f>IFERROR(VLOOKUP(C971, [6]條件!$A:$L, 7, 0), "")</f>
        <v/>
      </c>
      <c r="H971" s="978" t="str">
        <f>IF(ISNA(VLOOKUP(C971,[6]條件!$A$1:$K$932,11,0)),"",(VLOOKUP(C971,[6]條件!$A$1:$K$932,11,0)))</f>
        <v/>
      </c>
      <c r="I971" s="979" t="str">
        <f>IF(ISNA(VLOOKUP(C971,[6]條件!$A$1:$L$932,12,0)),"",(VLOOKUP(C971,[6]條件!$A$1:$L$932,12,0)))</f>
        <v/>
      </c>
      <c r="J971" s="982"/>
      <c r="K971" s="980"/>
      <c r="L971" s="981" t="s">
        <v>632</v>
      </c>
      <c r="M971" s="983"/>
      <c r="N971" s="982"/>
      <c r="O971" s="980"/>
      <c r="P971" s="981" t="s">
        <v>632</v>
      </c>
      <c r="Q971" s="983"/>
      <c r="R971" s="982"/>
      <c r="S971" s="980"/>
      <c r="T971" s="981" t="s">
        <v>632</v>
      </c>
      <c r="U971" s="983"/>
      <c r="V971" s="982"/>
      <c r="W971" s="980"/>
      <c r="X971" s="981" t="s">
        <v>632</v>
      </c>
      <c r="Y971" s="983"/>
      <c r="Z971" s="1412" t="str">
        <f>IFERROR(VLOOKUP(C971, [6]條件!$A:$L, 3, 0), "")</f>
        <v/>
      </c>
      <c r="AA971" s="984" t="str">
        <f>IF(OR(L971={"改紡","檢修","了機","清車","FINAL","停機","SAMPLE","TEST","絲開發"}), L971, IFERROR(IF(C971="", "", (SUM(J971, N971, R971, V971)/3 * AG971) * IF(AND(AF971="S", AS971="雙"), 0.5, 1)), ""))</f>
        <v>停機</v>
      </c>
      <c r="AB971" s="1413" t="str">
        <f t="shared" si="164"/>
        <v/>
      </c>
      <c r="AC971" s="984" t="str">
        <f>IF(OR(L971={"改紡","檢修","了機","清車","FINAL","停機","SAMPLE","TEST"}), "", IFERROR(IF(C971="", "", AVERAGE(L971:M971, P971:Q971, T971:U971, X971:Y971)/100), ""))</f>
        <v/>
      </c>
      <c r="AD971" s="984" t="str">
        <f t="shared" si="172"/>
        <v/>
      </c>
      <c r="AE971" s="984" t="str">
        <f t="shared" si="165"/>
        <v/>
      </c>
      <c r="AF971" s="985" t="str">
        <f t="shared" si="167"/>
        <v>A</v>
      </c>
      <c r="AG971" s="1414">
        <v>0.5</v>
      </c>
      <c r="AH971" s="1002" t="s">
        <v>16011</v>
      </c>
      <c r="AI971" s="1002" t="s">
        <v>640</v>
      </c>
      <c r="AJ971" s="1002" t="s">
        <v>640</v>
      </c>
      <c r="AK971" s="1002" t="s">
        <v>640</v>
      </c>
      <c r="AL971" s="1415"/>
      <c r="AM971" s="1323"/>
      <c r="AN971" s="1323"/>
      <c r="AO971" s="1323"/>
      <c r="AP971" s="1323"/>
      <c r="AQ971" s="1323"/>
      <c r="AR971" s="987"/>
      <c r="AS971" s="978" t="str">
        <f t="shared" si="168"/>
        <v>單</v>
      </c>
      <c r="AT971" s="978" t="str">
        <f t="shared" si="169"/>
        <v/>
      </c>
      <c r="AU971" s="978" t="str">
        <f t="shared" si="170"/>
        <v/>
      </c>
      <c r="AV971" s="978" t="str">
        <f t="shared" si="171"/>
        <v/>
      </c>
    </row>
    <row r="972" spans="1:48">
      <c r="A972" s="975">
        <f t="shared" si="166"/>
        <v>46167</v>
      </c>
      <c r="B972" s="976" t="s">
        <v>231</v>
      </c>
      <c r="C972" s="976" t="s">
        <v>632</v>
      </c>
      <c r="D972" s="1410"/>
      <c r="E972" s="977" t="str">
        <f>IFERROR(VLOOKUP(C972, [6]條件!$A:$L, 5, 0), "")</f>
        <v/>
      </c>
      <c r="F972" s="978" t="str">
        <f>IFERROR(VLOOKUP(C972, [6]條件!$A:$L, 6, 0), "")</f>
        <v/>
      </c>
      <c r="G972" s="1411" t="str">
        <f>IFERROR(VLOOKUP(C972, [6]條件!$A:$L, 7, 0), "")</f>
        <v/>
      </c>
      <c r="H972" s="978" t="str">
        <f>IF(ISNA(VLOOKUP(C972,[6]條件!$A$1:$K$932,11,0)),"",(VLOOKUP(C972,[6]條件!$A$1:$K$932,11,0)))</f>
        <v/>
      </c>
      <c r="I972" s="979" t="str">
        <f>IF(ISNA(VLOOKUP(C972,[6]條件!$A$1:$L$932,12,0)),"",(VLOOKUP(C972,[6]條件!$A$1:$L$932,12,0)))</f>
        <v/>
      </c>
      <c r="J972" s="982"/>
      <c r="K972" s="980"/>
      <c r="L972" s="981" t="s">
        <v>632</v>
      </c>
      <c r="M972" s="983"/>
      <c r="N972" s="982"/>
      <c r="O972" s="980"/>
      <c r="P972" s="981" t="s">
        <v>632</v>
      </c>
      <c r="Q972" s="983"/>
      <c r="R972" s="982"/>
      <c r="S972" s="980"/>
      <c r="T972" s="981" t="s">
        <v>632</v>
      </c>
      <c r="U972" s="983"/>
      <c r="V972" s="982"/>
      <c r="W972" s="980"/>
      <c r="X972" s="981" t="s">
        <v>632</v>
      </c>
      <c r="Y972" s="983"/>
      <c r="Z972" s="1412" t="str">
        <f>IFERROR(VLOOKUP(C972, [6]條件!$A:$L, 3, 0), "")</f>
        <v/>
      </c>
      <c r="AA972" s="984" t="str">
        <f>IF(OR(L972={"改紡","檢修","了機","清車","FINAL","停機","SAMPLE","TEST","絲開發"}), L972, IFERROR(IF(C972="", "", (SUM(J972, N972, R972, V972)/3 * AG972) * IF(AND(AF972="S", AS972="雙"), 0.5, 1)), ""))</f>
        <v>停機</v>
      </c>
      <c r="AB972" s="1413" t="str">
        <f t="shared" si="164"/>
        <v/>
      </c>
      <c r="AC972" s="984" t="str">
        <f>IF(OR(L972={"改紡","檢修","了機","清車","FINAL","停機","SAMPLE","TEST"}), "", IFERROR(IF(C972="", "", AVERAGE(L972:M972, P972:Q972, T972:U972, X972:Y972)/100), ""))</f>
        <v/>
      </c>
      <c r="AD972" s="984" t="str">
        <f t="shared" si="172"/>
        <v/>
      </c>
      <c r="AE972" s="984" t="str">
        <f t="shared" si="165"/>
        <v/>
      </c>
      <c r="AF972" s="985" t="str">
        <f t="shared" si="167"/>
        <v>J</v>
      </c>
      <c r="AG972" s="1414">
        <v>1</v>
      </c>
      <c r="AH972" s="1002" t="s">
        <v>640</v>
      </c>
      <c r="AI972" s="1002" t="s">
        <v>640</v>
      </c>
      <c r="AJ972" s="1002" t="s">
        <v>640</v>
      </c>
      <c r="AK972" s="1002" t="s">
        <v>640</v>
      </c>
      <c r="AL972" s="1415"/>
      <c r="AM972" s="1323"/>
      <c r="AN972" s="1323"/>
      <c r="AO972" s="1323"/>
      <c r="AP972" s="1323"/>
      <c r="AQ972" s="1323"/>
      <c r="AR972" s="987"/>
      <c r="AS972" s="978" t="str">
        <f t="shared" si="168"/>
        <v>單</v>
      </c>
      <c r="AT972" s="978" t="str">
        <f t="shared" si="169"/>
        <v>全</v>
      </c>
      <c r="AU972" s="978" t="str">
        <f t="shared" si="170"/>
        <v/>
      </c>
      <c r="AV972" s="978" t="str">
        <f t="shared" si="171"/>
        <v/>
      </c>
    </row>
    <row r="973" spans="1:48">
      <c r="A973" s="975">
        <f t="shared" si="166"/>
        <v>46167</v>
      </c>
      <c r="B973" s="976" t="s">
        <v>233</v>
      </c>
      <c r="C973" s="976" t="s">
        <v>16772</v>
      </c>
      <c r="D973" s="1410" t="s">
        <v>633</v>
      </c>
      <c r="E973" s="977" t="str">
        <f>IFERROR(VLOOKUP(C973, [6]條件!$A:$L, 5, 0), "")</f>
        <v>150/48/2SDr</v>
      </c>
      <c r="F973" s="978" t="str">
        <f>IFERROR(VLOOKUP(C973, [6]條件!$A:$L, 6, 0), "")</f>
        <v>FP82171R×2</v>
      </c>
      <c r="G973" s="1411">
        <f>IFERROR(VLOOKUP(C973, [6]條件!$A:$L, 7, 0), "")</f>
        <v>600</v>
      </c>
      <c r="H973" s="978" t="str">
        <f>IF(ISNA(VLOOKUP(C973,[6]條件!$A$1:$K$932,11,0)),"",(VLOOKUP(C973,[6]條件!$A$1:$K$932,11,0)))</f>
        <v>紅白直條</v>
      </c>
      <c r="I973" s="979">
        <f>IF(ISNA(VLOOKUP(C973,[6]條件!$A$1:$L$932,12,0)),"",(VLOOKUP(C973,[6]條件!$A$1:$L$932,12,0)))</f>
        <v>5.5</v>
      </c>
      <c r="J973" s="982">
        <v>24</v>
      </c>
      <c r="K973" s="980">
        <v>4</v>
      </c>
      <c r="L973" s="981">
        <v>6390</v>
      </c>
      <c r="M973" s="983"/>
      <c r="N973" s="982">
        <v>5</v>
      </c>
      <c r="O973" s="980">
        <v>3</v>
      </c>
      <c r="P973" s="981">
        <v>6740</v>
      </c>
      <c r="Q973" s="983"/>
      <c r="R973" s="982">
        <v>1</v>
      </c>
      <c r="S973" s="980">
        <v>0</v>
      </c>
      <c r="T973" s="981">
        <v>6740</v>
      </c>
      <c r="U973" s="983"/>
      <c r="V973" s="982">
        <v>10</v>
      </c>
      <c r="W973" s="980">
        <v>0</v>
      </c>
      <c r="X973" s="981">
        <v>6700</v>
      </c>
      <c r="Y973" s="983"/>
      <c r="Z973" s="1412">
        <f>IFERROR(VLOOKUP(C973, [6]條件!$A:$L, 3, 0), "")</f>
        <v>5.0526315789473673</v>
      </c>
      <c r="AA973" s="984">
        <f>IF(OR(L973={"改紡","檢修","了機","清車","FINAL","停機","SAMPLE","TEST","絲開發"}), L973, IFERROR(IF(C973="", "", (SUM(J973, N973, R973, V973)/3 * AG973) * IF(AND(AF973="S", AS973="雙"), 0.5, 1)), ""))</f>
        <v>13.333333333333334</v>
      </c>
      <c r="AB973" s="1413">
        <f t="shared" si="164"/>
        <v>0.99333934294871795</v>
      </c>
      <c r="AC973" s="984">
        <f>IF(OR(L973={"改紡","檢修","了機","清車","FINAL","停機","SAMPLE","TEST"}), "", IFERROR(IF(C973="", "", AVERAGE(L973:M973, P973:Q973, T973:U973, X973:Y973)/100), ""))</f>
        <v>66.424999999999997</v>
      </c>
      <c r="AD973" s="984">
        <f t="shared" si="172"/>
        <v>1.6666666666666667</v>
      </c>
      <c r="AE973" s="984">
        <f t="shared" si="165"/>
        <v>1.375</v>
      </c>
      <c r="AF973" s="985" t="str">
        <f t="shared" si="167"/>
        <v>J</v>
      </c>
      <c r="AG973" s="1414">
        <v>1</v>
      </c>
      <c r="AH973" s="1002" t="s">
        <v>16021</v>
      </c>
      <c r="AI973" s="1002" t="s">
        <v>814</v>
      </c>
      <c r="AJ973" s="986" t="s">
        <v>16019</v>
      </c>
      <c r="AK973" s="986" t="s">
        <v>16019</v>
      </c>
      <c r="AL973" s="1415">
        <v>55</v>
      </c>
      <c r="AM973" s="1323">
        <v>46163</v>
      </c>
      <c r="AN973" s="1323">
        <v>46164</v>
      </c>
      <c r="AO973" s="1323">
        <v>46165</v>
      </c>
      <c r="AP973" s="1323">
        <v>46166</v>
      </c>
      <c r="AQ973" s="1323"/>
      <c r="AR973" s="987"/>
      <c r="AS973" s="978" t="str">
        <f t="shared" si="168"/>
        <v>雙</v>
      </c>
      <c r="AT973" s="978" t="str">
        <f t="shared" si="169"/>
        <v>全</v>
      </c>
      <c r="AU973" s="978">
        <f t="shared" si="170"/>
        <v>150</v>
      </c>
      <c r="AV973" s="978">
        <f t="shared" si="171"/>
        <v>4.1321664</v>
      </c>
    </row>
    <row r="974" spans="1:48">
      <c r="A974" s="975">
        <f t="shared" si="166"/>
        <v>46167</v>
      </c>
      <c r="B974" s="976" t="s">
        <v>234</v>
      </c>
      <c r="C974" s="976" t="s">
        <v>632</v>
      </c>
      <c r="D974" s="1410"/>
      <c r="E974" s="977" t="str">
        <f>IFERROR(VLOOKUP(C974, [6]條件!$A:$L, 5, 0), "")</f>
        <v/>
      </c>
      <c r="F974" s="978" t="str">
        <f>IFERROR(VLOOKUP(C974, [6]條件!$A:$L, 6, 0), "")</f>
        <v/>
      </c>
      <c r="G974" s="1411" t="str">
        <f>IFERROR(VLOOKUP(C974, [6]條件!$A:$L, 7, 0), "")</f>
        <v/>
      </c>
      <c r="H974" s="978" t="str">
        <f>IF(ISNA(VLOOKUP(C974,[6]條件!$A$1:$K$932,11,0)),"",(VLOOKUP(C974,[6]條件!$A$1:$K$932,11,0)))</f>
        <v/>
      </c>
      <c r="I974" s="979" t="str">
        <f>IF(ISNA(VLOOKUP(C974,[6]條件!$A$1:$L$932,12,0)),"",(VLOOKUP(C974,[6]條件!$A$1:$L$932,12,0)))</f>
        <v/>
      </c>
      <c r="J974" s="982"/>
      <c r="K974" s="980"/>
      <c r="L974" s="981" t="s">
        <v>632</v>
      </c>
      <c r="M974" s="983"/>
      <c r="N974" s="982"/>
      <c r="O974" s="980"/>
      <c r="P974" s="981" t="s">
        <v>632</v>
      </c>
      <c r="Q974" s="983"/>
      <c r="R974" s="982"/>
      <c r="S974" s="980"/>
      <c r="T974" s="981" t="s">
        <v>632</v>
      </c>
      <c r="U974" s="983"/>
      <c r="V974" s="982"/>
      <c r="W974" s="980"/>
      <c r="X974" s="981" t="s">
        <v>632</v>
      </c>
      <c r="Y974" s="983"/>
      <c r="Z974" s="1412" t="str">
        <f>IFERROR(VLOOKUP(C974, [6]條件!$A:$L, 3, 0), "")</f>
        <v/>
      </c>
      <c r="AA974" s="984" t="str">
        <f>IF(OR(L974={"改紡","檢修","了機","清車","FINAL","停機","SAMPLE","TEST","絲開發"}), L974, IFERROR(IF(C974="", "", (SUM(J974, N974, R974, V974)/3 * AG974) * IF(AND(AF974="S", AS974="雙"), 0.5, 1)), ""))</f>
        <v>停機</v>
      </c>
      <c r="AB974" s="1413" t="str">
        <f t="shared" si="164"/>
        <v/>
      </c>
      <c r="AC974" s="984" t="str">
        <f>IF(OR(L974={"改紡","檢修","了機","清車","FINAL","停機","SAMPLE","TEST"}), "", IFERROR(IF(C974="", "", AVERAGE(L974:M974, P974:Q974, T974:U974, X974:Y974)/100), ""))</f>
        <v/>
      </c>
      <c r="AD974" s="984" t="str">
        <f t="shared" si="172"/>
        <v/>
      </c>
      <c r="AE974" s="984" t="str">
        <f t="shared" si="165"/>
        <v/>
      </c>
      <c r="AF974" s="985" t="str">
        <f t="shared" si="167"/>
        <v>J</v>
      </c>
      <c r="AG974" s="1414">
        <v>1</v>
      </c>
      <c r="AH974" s="1002" t="s">
        <v>640</v>
      </c>
      <c r="AI974" s="1002" t="s">
        <v>640</v>
      </c>
      <c r="AJ974" s="986" t="s">
        <v>640</v>
      </c>
      <c r="AK974" s="986" t="s">
        <v>640</v>
      </c>
      <c r="AL974" s="1415"/>
      <c r="AM974" s="1323"/>
      <c r="AN974" s="1323"/>
      <c r="AO974" s="1323"/>
      <c r="AP974" s="1323"/>
      <c r="AQ974" s="1323"/>
      <c r="AR974" s="987"/>
      <c r="AS974" s="978" t="str">
        <f t="shared" si="168"/>
        <v>單</v>
      </c>
      <c r="AT974" s="978" t="str">
        <f t="shared" si="169"/>
        <v>全</v>
      </c>
      <c r="AU974" s="978" t="str">
        <f t="shared" si="170"/>
        <v/>
      </c>
      <c r="AV974" s="978" t="str">
        <f t="shared" si="171"/>
        <v/>
      </c>
    </row>
    <row r="975" spans="1:48">
      <c r="A975" s="975">
        <f t="shared" si="166"/>
        <v>46167</v>
      </c>
      <c r="B975" s="976" t="s">
        <v>235</v>
      </c>
      <c r="C975" s="976" t="s">
        <v>16765</v>
      </c>
      <c r="D975" s="1410" t="s">
        <v>633</v>
      </c>
      <c r="E975" s="977" t="str">
        <f>IFERROR(VLOOKUP(C975, [6]條件!$A:$L, 5, 0), "")</f>
        <v>150/48/2SDr</v>
      </c>
      <c r="F975" s="978" t="str">
        <f>IFERROR(VLOOKUP(C975, [6]條件!$A:$L, 6, 0), "")</f>
        <v>FP82173R×2</v>
      </c>
      <c r="G975" s="1411">
        <f>IFERROR(VLOOKUP(C975, [6]條件!$A:$L, 7, 0), "")</f>
        <v>700</v>
      </c>
      <c r="H975" s="978" t="str">
        <f>IF(ISNA(VLOOKUP(C975,[6]條件!$A$1:$K$932,11,0)),"",(VLOOKUP(C975,[6]條件!$A$1:$K$932,11,0)))</f>
        <v>白紫條紋</v>
      </c>
      <c r="I975" s="979">
        <f>IF(ISNA(VLOOKUP(C975,[6]條件!$A$1:$L$932,12,0)),"",(VLOOKUP(C975,[6]條件!$A$1:$L$932,12,0)))</f>
        <v>5.5</v>
      </c>
      <c r="J975" s="982"/>
      <c r="K975" s="980"/>
      <c r="L975" s="981" t="s">
        <v>632</v>
      </c>
      <c r="M975" s="983"/>
      <c r="N975" s="982"/>
      <c r="O975" s="980"/>
      <c r="P975" s="981" t="s">
        <v>16004</v>
      </c>
      <c r="Q975" s="983"/>
      <c r="R975" s="982"/>
      <c r="S975" s="980"/>
      <c r="T975" s="981" t="s">
        <v>15996</v>
      </c>
      <c r="U975" s="983"/>
      <c r="V975" s="982">
        <v>35</v>
      </c>
      <c r="W975" s="980">
        <v>0</v>
      </c>
      <c r="X975" s="981">
        <v>7130</v>
      </c>
      <c r="Y975" s="983">
        <v>8430</v>
      </c>
      <c r="Z975" s="1412">
        <f>IFERROR(VLOOKUP(C975, [6]條件!$A:$L, 3, 0), "")</f>
        <v>5.8775510204081636</v>
      </c>
      <c r="AA975" s="984" t="str">
        <f>IF(OR(L975={"改紡","檢修","了機","清車","FINAL","停機","SAMPLE","TEST","絲開發"}), L975, IFERROR(IF(C975="", "", (SUM(J975, N975, R975, V975)/3 * AG975) * IF(AND(AF975="S", AS975="雙"), 0.5, 1)), ""))</f>
        <v>停機</v>
      </c>
      <c r="AB975" s="1413" t="str">
        <f t="shared" si="164"/>
        <v/>
      </c>
      <c r="AC975" s="984" t="str">
        <f>IF(OR(L975={"改紡","檢修","了機","清車","FINAL","停機","SAMPLE","TEST"}), "", IFERROR(IF(C975="", "", AVERAGE(L975:M975, P975:Q975, T975:U975, X975:Y975)/100), ""))</f>
        <v/>
      </c>
      <c r="AD975" s="984" t="str">
        <f t="shared" si="172"/>
        <v/>
      </c>
      <c r="AE975" s="984" t="str">
        <f t="shared" si="165"/>
        <v/>
      </c>
      <c r="AF975" s="985" t="str">
        <f t="shared" si="167"/>
        <v>T</v>
      </c>
      <c r="AG975" s="1414">
        <v>1</v>
      </c>
      <c r="AH975" s="1002" t="s">
        <v>16020</v>
      </c>
      <c r="AI975" s="1002" t="s">
        <v>15337</v>
      </c>
      <c r="AJ975" s="1002" t="s">
        <v>16023</v>
      </c>
      <c r="AK975" s="1002" t="s">
        <v>16023</v>
      </c>
      <c r="AL975" s="1415">
        <v>56</v>
      </c>
      <c r="AM975" s="1323">
        <v>46159</v>
      </c>
      <c r="AN975" s="1323">
        <v>46161</v>
      </c>
      <c r="AO975" s="1323">
        <v>46162</v>
      </c>
      <c r="AP975" s="1323">
        <v>46163</v>
      </c>
      <c r="AQ975" s="1323">
        <v>46165</v>
      </c>
      <c r="AR975" s="987"/>
      <c r="AS975" s="978" t="str">
        <f t="shared" si="168"/>
        <v>雙</v>
      </c>
      <c r="AT975" s="978" t="str">
        <f t="shared" si="169"/>
        <v>全</v>
      </c>
      <c r="AU975" s="978">
        <f t="shared" si="170"/>
        <v>150</v>
      </c>
      <c r="AV975" s="978" t="str">
        <f t="shared" si="171"/>
        <v/>
      </c>
    </row>
    <row r="976" spans="1:48">
      <c r="A976" s="975">
        <f t="shared" si="166"/>
        <v>46167</v>
      </c>
      <c r="B976" s="976" t="s">
        <v>237</v>
      </c>
      <c r="C976" s="976" t="s">
        <v>16759</v>
      </c>
      <c r="D976" s="1410" t="s">
        <v>633</v>
      </c>
      <c r="E976" s="977" t="str">
        <f>IFERROR(VLOOKUP(C976, [6]條件!$A:$L, 5, 0), "")</f>
        <v>150/48/2SDr</v>
      </c>
      <c r="F976" s="978" t="str">
        <f>IFERROR(VLOOKUP(C976, [6]條件!$A:$L, 6, 0), "")</f>
        <v>FP82171R×2</v>
      </c>
      <c r="G976" s="1411">
        <f>IFERROR(VLOOKUP(C976, [6]條件!$A:$L, 7, 0), "")</f>
        <v>700</v>
      </c>
      <c r="H976" s="978" t="str">
        <f>IF(ISNA(VLOOKUP(C976,[6]條件!$A$1:$K$932,11,0)),"",(VLOOKUP(C976,[6]條件!$A$1:$K$932,11,0)))</f>
        <v>紅底黃星</v>
      </c>
      <c r="I976" s="979">
        <f>IF(ISNA(VLOOKUP(C976,[6]條件!$A$1:$L$932,12,0)),"",(VLOOKUP(C976,[6]條件!$A$1:$L$932,12,0)))</f>
        <v>5.5</v>
      </c>
      <c r="J976" s="982">
        <v>41</v>
      </c>
      <c r="K976" s="980">
        <v>1</v>
      </c>
      <c r="L976" s="981">
        <v>8800</v>
      </c>
      <c r="M976" s="983">
        <v>9170</v>
      </c>
      <c r="N976" s="982">
        <v>34</v>
      </c>
      <c r="O976" s="980">
        <v>0</v>
      </c>
      <c r="P976" s="981">
        <v>9544</v>
      </c>
      <c r="Q976" s="983">
        <v>9440</v>
      </c>
      <c r="R976" s="982">
        <v>0</v>
      </c>
      <c r="S976" s="980">
        <v>0</v>
      </c>
      <c r="T976" s="981">
        <v>8610</v>
      </c>
      <c r="U976" s="983">
        <v>9070</v>
      </c>
      <c r="V976" s="982">
        <v>53</v>
      </c>
      <c r="W976" s="980">
        <v>0</v>
      </c>
      <c r="X976" s="981">
        <v>8800</v>
      </c>
      <c r="Y976" s="983">
        <v>9350</v>
      </c>
      <c r="Z976" s="1412">
        <f>IFERROR(VLOOKUP(C976, [6]條件!$A:$L, 3, 0), "")</f>
        <v>5.8299595141700413</v>
      </c>
      <c r="AA976" s="984">
        <f>IF(OR(L976={"改紡","檢修","了機","清車","FINAL","停機","SAMPLE","TEST","絲開發"}), L976, IFERROR(IF(C976="", "", (SUM(J976, N976, R976, V976)/3 * AG976) * IF(AND(AF976="S", AS976="雙"), 0.5, 1)), ""))</f>
        <v>42.666666666666664</v>
      </c>
      <c r="AB976" s="1413">
        <f t="shared" si="164"/>
        <v>0.99917534722222223</v>
      </c>
      <c r="AC976" s="984">
        <f>IF(OR(L976={"改紡","檢修","了機","清車","FINAL","停機","SAMPLE","TEST"}), "", IFERROR(IF(C976="", "", AVERAGE(L976:M976, P976:Q976, T976:U976, X976:Y976)/100), ""))</f>
        <v>90.98</v>
      </c>
      <c r="AD976" s="984">
        <f t="shared" si="172"/>
        <v>5.333333333333333</v>
      </c>
      <c r="AE976" s="984">
        <f t="shared" si="165"/>
        <v>5.291666666666667</v>
      </c>
      <c r="AF976" s="985" t="str">
        <f t="shared" si="167"/>
        <v>T</v>
      </c>
      <c r="AG976" s="1414">
        <v>1</v>
      </c>
      <c r="AH976" s="1002" t="s">
        <v>16020</v>
      </c>
      <c r="AI976" s="1002" t="s">
        <v>15337</v>
      </c>
      <c r="AJ976" s="986" t="s">
        <v>16014</v>
      </c>
      <c r="AK976" s="986" t="s">
        <v>16014</v>
      </c>
      <c r="AL976" s="1415">
        <v>55</v>
      </c>
      <c r="AM976" s="1323">
        <v>46163</v>
      </c>
      <c r="AN976" s="1323">
        <v>46164</v>
      </c>
      <c r="AO976" s="1323">
        <v>46165</v>
      </c>
      <c r="AP976" s="1323">
        <v>46166</v>
      </c>
      <c r="AQ976" s="1323"/>
      <c r="AR976" s="987"/>
      <c r="AS976" s="978" t="str">
        <f t="shared" si="168"/>
        <v>雙</v>
      </c>
      <c r="AT976" s="978" t="str">
        <f t="shared" si="169"/>
        <v>全</v>
      </c>
      <c r="AU976" s="978">
        <f t="shared" si="170"/>
        <v>150</v>
      </c>
      <c r="AV976" s="978">
        <f t="shared" si="171"/>
        <v>6.6029644799999998</v>
      </c>
    </row>
    <row r="977" spans="1:48">
      <c r="A977" s="975">
        <f t="shared" si="166"/>
        <v>46167</v>
      </c>
      <c r="B977" s="976" t="s">
        <v>238</v>
      </c>
      <c r="C977" s="976" t="s">
        <v>16743</v>
      </c>
      <c r="D977" s="1410"/>
      <c r="E977" s="977" t="str">
        <f>IFERROR(VLOOKUP(C977, [6]條件!$A:$L, 5, 0), "")</f>
        <v>150/48/2SDr</v>
      </c>
      <c r="F977" s="978" t="str">
        <f>IFERROR(VLOOKUP(C977, [6]條件!$A:$L, 6, 0), "")</f>
        <v>FP82169R×2</v>
      </c>
      <c r="G977" s="1411">
        <f>IFERROR(VLOOKUP(C977, [6]條件!$A:$L, 7, 0), "")</f>
        <v>670</v>
      </c>
      <c r="H977" s="978" t="str">
        <f>IF(ISNA(VLOOKUP(C977,[6]條件!$A$1:$K$932,11,0)),"",(VLOOKUP(C977,[6]條件!$A$1:$K$932,11,0)))</f>
        <v>黃底紅點</v>
      </c>
      <c r="I977" s="979">
        <f>IF(ISNA(VLOOKUP(C977,[6]條件!$A$1:$L$932,12,0)),"",(VLOOKUP(C977,[6]條件!$A$1:$L$932,12,0)))</f>
        <v>5</v>
      </c>
      <c r="J977" s="982">
        <v>30</v>
      </c>
      <c r="K977" s="980">
        <v>4</v>
      </c>
      <c r="L977" s="981">
        <v>8980</v>
      </c>
      <c r="M977" s="983">
        <v>9720</v>
      </c>
      <c r="N977" s="982">
        <v>12</v>
      </c>
      <c r="O977" s="980">
        <v>0</v>
      </c>
      <c r="P977" s="981">
        <v>8159</v>
      </c>
      <c r="Q977" s="983"/>
      <c r="R977" s="982">
        <v>0</v>
      </c>
      <c r="S977" s="980">
        <v>0</v>
      </c>
      <c r="T977" s="981">
        <v>7590</v>
      </c>
      <c r="U977" s="983"/>
      <c r="V977" s="982">
        <v>29</v>
      </c>
      <c r="W977" s="980">
        <v>1</v>
      </c>
      <c r="X977" s="981">
        <v>8980</v>
      </c>
      <c r="Y977" s="983"/>
      <c r="Z977" s="1412">
        <f>IFERROR(VLOOKUP(C977, [6]條件!$A:$L, 3, 0), "")</f>
        <v>6.2882096069868991</v>
      </c>
      <c r="AA977" s="984">
        <f>IF(OR(L977={"改紡","檢修","了機","清車","FINAL","停機","SAMPLE","TEST","絲開發"}), L977, IFERROR(IF(C977="", "", (SUM(J977, N977, R977, V977)/3 * AG977) * IF(AND(AF977="S", AS977="雙"), 0.5, 1)), ""))</f>
        <v>47.333333333333336</v>
      </c>
      <c r="AB977" s="1413">
        <f t="shared" si="164"/>
        <v>0.99617721688034189</v>
      </c>
      <c r="AC977" s="984">
        <f>IF(OR(L977={"改紡","檢修","了機","清車","FINAL","停機","SAMPLE","TEST"}), "", IFERROR(IF(C977="", "", AVERAGE(L977:M977, P977:Q977, T977:U977, X977:Y977)/100), ""))</f>
        <v>86.85799999999999</v>
      </c>
      <c r="AD977" s="984">
        <f t="shared" si="172"/>
        <v>5.916666666666667</v>
      </c>
      <c r="AE977" s="984">
        <f t="shared" si="165"/>
        <v>5.5</v>
      </c>
      <c r="AF977" s="985" t="str">
        <f t="shared" si="167"/>
        <v>T</v>
      </c>
      <c r="AG977" s="1414">
        <v>2</v>
      </c>
      <c r="AH977" s="1002" t="s">
        <v>16020</v>
      </c>
      <c r="AI977" s="1002" t="s">
        <v>15337</v>
      </c>
      <c r="AJ977" s="1002" t="s">
        <v>16023</v>
      </c>
      <c r="AK977" s="1002" t="s">
        <v>16023</v>
      </c>
      <c r="AL977" s="1415">
        <v>48</v>
      </c>
      <c r="AM977" s="1323">
        <v>46160</v>
      </c>
      <c r="AN977" s="1323">
        <v>46161</v>
      </c>
      <c r="AO977" s="1323">
        <v>46162</v>
      </c>
      <c r="AP977" s="1323"/>
      <c r="AQ977" s="1323"/>
      <c r="AR977" s="987"/>
      <c r="AS977" s="978" t="str">
        <f t="shared" si="168"/>
        <v>雙</v>
      </c>
      <c r="AT977" s="978" t="str">
        <f t="shared" si="169"/>
        <v>半</v>
      </c>
      <c r="AU977" s="978">
        <f t="shared" si="170"/>
        <v>150</v>
      </c>
      <c r="AV977" s="978">
        <f t="shared" si="171"/>
        <v>3.0168215423999993</v>
      </c>
    </row>
    <row r="978" spans="1:48">
      <c r="A978" s="975">
        <f t="shared" si="166"/>
        <v>46167</v>
      </c>
      <c r="B978" s="976" t="s">
        <v>238</v>
      </c>
      <c r="C978" s="976" t="s">
        <v>16742</v>
      </c>
      <c r="D978" s="1410"/>
      <c r="E978" s="977" t="str">
        <f>IFERROR(VLOOKUP(C978, [6]條件!$A:$L, 5, 0), "")</f>
        <v>150/48/2SDr</v>
      </c>
      <c r="F978" s="978" t="str">
        <f>IFERROR(VLOOKUP(C978, [6]條件!$A:$L, 6, 0), "")</f>
        <v>FP82169R×2</v>
      </c>
      <c r="G978" s="1411">
        <f>IFERROR(VLOOKUP(C978, [6]條件!$A:$L, 7, 0), "")</f>
        <v>670</v>
      </c>
      <c r="H978" s="978" t="str">
        <f>IF(ISNA(VLOOKUP(C978,[6]條件!$A$1:$K$932,11,0)),"",(VLOOKUP(C978,[6]條件!$A$1:$K$932,11,0)))</f>
        <v>紅底藍點</v>
      </c>
      <c r="I978" s="979">
        <f>IF(ISNA(VLOOKUP(C978,[6]條件!$A$1:$L$932,12,0)),"",(VLOOKUP(C978,[6]條件!$A$1:$L$932,12,0)))</f>
        <v>5</v>
      </c>
      <c r="J978" s="982">
        <v>12</v>
      </c>
      <c r="K978" s="980">
        <v>0</v>
      </c>
      <c r="L978" s="981">
        <v>9720</v>
      </c>
      <c r="M978" s="983"/>
      <c r="N978" s="982">
        <v>2</v>
      </c>
      <c r="O978" s="980">
        <v>0</v>
      </c>
      <c r="P978" s="981">
        <v>8890</v>
      </c>
      <c r="Q978" s="983"/>
      <c r="R978" s="982">
        <v>0</v>
      </c>
      <c r="S978" s="980">
        <v>0</v>
      </c>
      <c r="T978" s="981"/>
      <c r="U978" s="983">
        <v>8240</v>
      </c>
      <c r="V978" s="982">
        <v>32</v>
      </c>
      <c r="W978" s="980">
        <v>2</v>
      </c>
      <c r="X978" s="981"/>
      <c r="Y978" s="983">
        <v>9440</v>
      </c>
      <c r="Z978" s="1412">
        <f>IFERROR(VLOOKUP(C978, [6]條件!$A:$L, 3, 0), "")</f>
        <v>6.1802575107296125</v>
      </c>
      <c r="AA978" s="984">
        <f>IF(OR(L978={"改紡","檢修","了機","清車","FINAL","停機","SAMPLE","TEST","絲開發"}), L978, IFERROR(IF(C978="", "", (SUM(J978, N978, R978, V978)/3 * AG978) * IF(AND(AF978="S", AS978="雙"), 0.5, 1)), ""))</f>
        <v>30.666666666666668</v>
      </c>
      <c r="AB978" s="1413">
        <f t="shared" si="164"/>
        <v>0.99844417735042734</v>
      </c>
      <c r="AC978" s="984">
        <f>IF(OR(L978={"改紡","檢修","了機","清車","FINAL","停機","SAMPLE","TEST"}), "", IFERROR(IF(C978="", "", AVERAGE(L978:M978, P978:Q978, T978:U978, X978:Y978)/100), ""))</f>
        <v>90.724999999999994</v>
      </c>
      <c r="AD978" s="984">
        <f t="shared" si="172"/>
        <v>3.8333333333333335</v>
      </c>
      <c r="AE978" s="984">
        <f t="shared" si="165"/>
        <v>3.6666666666666665</v>
      </c>
      <c r="AF978" s="985" t="str">
        <f t="shared" si="167"/>
        <v>T</v>
      </c>
      <c r="AG978" s="1414">
        <v>2</v>
      </c>
      <c r="AH978" s="1002" t="s">
        <v>16020</v>
      </c>
      <c r="AI978" s="1002" t="s">
        <v>15337</v>
      </c>
      <c r="AJ978" s="1002" t="s">
        <v>16023</v>
      </c>
      <c r="AK978" s="1002" t="s">
        <v>16023</v>
      </c>
      <c r="AL978" s="1415">
        <v>48</v>
      </c>
      <c r="AM978" s="1323">
        <v>46159</v>
      </c>
      <c r="AN978" s="1323">
        <v>46160</v>
      </c>
      <c r="AO978" s="1323">
        <v>46161</v>
      </c>
      <c r="AP978" s="1323"/>
      <c r="AQ978" s="1323"/>
      <c r="AR978" s="987"/>
      <c r="AS978" s="978" t="str">
        <f t="shared" si="168"/>
        <v>雙</v>
      </c>
      <c r="AT978" s="978" t="str">
        <f t="shared" si="169"/>
        <v>半</v>
      </c>
      <c r="AU978" s="978">
        <f t="shared" si="170"/>
        <v>150</v>
      </c>
      <c r="AV978" s="978">
        <f t="shared" si="171"/>
        <v>3.1511332799999998</v>
      </c>
    </row>
    <row r="979" spans="1:48">
      <c r="A979" s="975">
        <f t="shared" si="166"/>
        <v>46167</v>
      </c>
      <c r="B979" s="976" t="s">
        <v>239</v>
      </c>
      <c r="C979" s="976" t="s">
        <v>16787</v>
      </c>
      <c r="D979" s="1410" t="s">
        <v>16788</v>
      </c>
      <c r="E979" s="977" t="str">
        <f>IFERROR(VLOOKUP(C979, [6]條件!$A:$L, 5, 0), "")</f>
        <v>150/48/2SDR</v>
      </c>
      <c r="F979" s="978" t="str">
        <f>IFERROR(VLOOKUP(C979, [6]條件!$A:$L, 6, 0), "")</f>
        <v>FP82169R×2</v>
      </c>
      <c r="G979" s="1411">
        <f>IFERROR(VLOOKUP(C979, [6]條件!$A:$L, 7, 0), "")</f>
        <v>650</v>
      </c>
      <c r="H979" s="978" t="str">
        <f>IF(ISNA(VLOOKUP(C979,[6]條件!$A$1:$K$932,11,0)),"",(VLOOKUP(C979,[6]條件!$A$1:$K$932,11,0)))</f>
        <v>紫黃條紋</v>
      </c>
      <c r="I979" s="979">
        <f>IF(ISNA(VLOOKUP(C979,[6]條件!$A$1:$L$932,12,0)),"",(VLOOKUP(C979,[6]條件!$A$1:$L$932,12,0)))</f>
        <v>5</v>
      </c>
      <c r="J979" s="982">
        <v>17</v>
      </c>
      <c r="K979" s="980">
        <v>0</v>
      </c>
      <c r="L979" s="981"/>
      <c r="M979" s="983">
        <v>9440</v>
      </c>
      <c r="N979" s="982">
        <v>10</v>
      </c>
      <c r="O979" s="980">
        <v>0</v>
      </c>
      <c r="P979" s="981" t="s">
        <v>16004</v>
      </c>
      <c r="Q979" s="983">
        <v>9350</v>
      </c>
      <c r="R979" s="982">
        <v>0</v>
      </c>
      <c r="S979" s="980">
        <v>0</v>
      </c>
      <c r="T979" s="981" t="s">
        <v>16004</v>
      </c>
      <c r="U979" s="983">
        <v>8700</v>
      </c>
      <c r="V979" s="982">
        <v>29</v>
      </c>
      <c r="W979" s="980">
        <v>0</v>
      </c>
      <c r="X979" s="981" t="s">
        <v>16004</v>
      </c>
      <c r="Y979" s="983">
        <v>9440</v>
      </c>
      <c r="Z979" s="1412">
        <f>IFERROR(VLOOKUP(C979, [6]條件!$A:$L, 3, 0), "")</f>
        <v>6.101694915254237</v>
      </c>
      <c r="AA979" s="984">
        <f>IF(OR(L979={"改紡","檢修","了機","清車","FINAL","停機","SAMPLE","TEST","絲開發"}), L979, IFERROR(IF(C979="", "", (SUM(J979, N979, R979, V979)/3 * AG979) * IF(AND(AF979="S", AS979="雙"), 0.5, 1)), ""))</f>
        <v>37.333333333333336</v>
      </c>
      <c r="AB979" s="1413">
        <f t="shared" si="164"/>
        <v>1</v>
      </c>
      <c r="AC979" s="984">
        <f>IF(OR(L979={"改紡","檢修","了機","清車","FINAL","停機","SAMPLE","TEST"}), "", IFERROR(IF(C979="", "", AVERAGE(L979:M979, P979:Q979, T979:U979, X979:Y979)/100), ""))</f>
        <v>92.325000000000003</v>
      </c>
      <c r="AD979" s="984">
        <f t="shared" si="172"/>
        <v>4.666666666666667</v>
      </c>
      <c r="AE979" s="984">
        <f t="shared" si="165"/>
        <v>4.666666666666667</v>
      </c>
      <c r="AF979" s="985" t="str">
        <f t="shared" si="167"/>
        <v>T</v>
      </c>
      <c r="AG979" s="1414">
        <v>2</v>
      </c>
      <c r="AH979" s="1002" t="s">
        <v>16024</v>
      </c>
      <c r="AI979" s="1002" t="s">
        <v>15892</v>
      </c>
      <c r="AJ979" s="986" t="s">
        <v>16014</v>
      </c>
      <c r="AK979" s="986" t="s">
        <v>16014</v>
      </c>
      <c r="AL979" s="1415">
        <v>48</v>
      </c>
      <c r="AM979" s="1323">
        <v>46160</v>
      </c>
      <c r="AN979" s="1323">
        <v>46161</v>
      </c>
      <c r="AO979" s="1323"/>
      <c r="AP979" s="1323"/>
      <c r="AQ979" s="1323"/>
      <c r="AR979" s="987"/>
      <c r="AS979" s="978" t="str">
        <f t="shared" si="168"/>
        <v>雙</v>
      </c>
      <c r="AT979" s="978" t="str">
        <f t="shared" si="169"/>
        <v>半</v>
      </c>
      <c r="AU979" s="978">
        <f t="shared" si="170"/>
        <v>150</v>
      </c>
      <c r="AV979" s="978">
        <f t="shared" si="171"/>
        <v>3.1109832000000002</v>
      </c>
    </row>
    <row r="980" spans="1:48">
      <c r="A980" s="975">
        <f t="shared" si="166"/>
        <v>46167</v>
      </c>
      <c r="B980" s="976" t="s">
        <v>388</v>
      </c>
      <c r="C980" s="976" t="s">
        <v>16775</v>
      </c>
      <c r="D980" s="1410" t="s">
        <v>633</v>
      </c>
      <c r="E980" s="977" t="str">
        <f>IFERROR(VLOOKUP(C980, [6]條件!$A:$L, 5, 0), "")</f>
        <v>150/48/2SDr</v>
      </c>
      <c r="F980" s="978" t="str">
        <f>IFERROR(VLOOKUP(C980, [6]條件!$A:$L, 6, 0), "")</f>
        <v>FP82173R×2</v>
      </c>
      <c r="G980" s="1411">
        <f>IFERROR(VLOOKUP(C980, [6]條件!$A:$L, 7, 0), "")</f>
        <v>700</v>
      </c>
      <c r="H980" s="978" t="str">
        <f>IF(ISNA(VLOOKUP(C980,[6]條件!$A$1:$K$932,11,0)),"",(VLOOKUP(C980,[6]條件!$A$1:$K$932,11,0)))</f>
        <v>黃紅雙色</v>
      </c>
      <c r="I980" s="979">
        <f>IF(ISNA(VLOOKUP(C980,[6]條件!$A$1:$L$932,12,0)),"",(VLOOKUP(C980,[6]條件!$A$1:$L$932,12,0)))</f>
        <v>5.5</v>
      </c>
      <c r="J980" s="982">
        <v>23</v>
      </c>
      <c r="K980" s="980">
        <v>0</v>
      </c>
      <c r="L980" s="981">
        <v>8610</v>
      </c>
      <c r="M980" s="983">
        <v>9720</v>
      </c>
      <c r="N980" s="982">
        <v>13</v>
      </c>
      <c r="O980" s="980">
        <v>0</v>
      </c>
      <c r="P980" s="981">
        <v>8520</v>
      </c>
      <c r="Q980" s="983">
        <v>9910</v>
      </c>
      <c r="R980" s="982">
        <v>0</v>
      </c>
      <c r="S980" s="980">
        <v>0</v>
      </c>
      <c r="T980" s="981">
        <v>7500</v>
      </c>
      <c r="U980" s="983">
        <v>9720</v>
      </c>
      <c r="V980" s="982">
        <v>46</v>
      </c>
      <c r="W980" s="980">
        <v>0</v>
      </c>
      <c r="X980" s="981">
        <v>8700</v>
      </c>
      <c r="Y980" s="983">
        <v>10000</v>
      </c>
      <c r="Z980" s="1412">
        <f>IFERROR(VLOOKUP(C980, [6]條件!$A:$L, 3, 0), "")</f>
        <v>5.8536585365853666</v>
      </c>
      <c r="AA980" s="984">
        <f>IF(OR(L980={"改紡","檢修","了機","清車","FINAL","停機","SAMPLE","TEST","絲開發"}), L980, IFERROR(IF(C980="", "", (SUM(J980, N980, R980, V980)/3 * AG980) * IF(AND(AF980="S", AS980="雙"), 0.5, 1)), ""))</f>
        <v>27.333333333333332</v>
      </c>
      <c r="AB980" s="1413">
        <f t="shared" si="164"/>
        <v>1</v>
      </c>
      <c r="AC980" s="984">
        <f>IF(OR(L980={"改紡","檢修","了機","清車","FINAL","停機","SAMPLE","TEST"}), "", IFERROR(IF(C980="", "", AVERAGE(L980:M980, P980:Q980, T980:U980, X980:Y980)/100), ""))</f>
        <v>90.85</v>
      </c>
      <c r="AD980" s="984">
        <f t="shared" si="172"/>
        <v>3.4166666666666665</v>
      </c>
      <c r="AE980" s="984">
        <f t="shared" si="165"/>
        <v>3.4166666666666665</v>
      </c>
      <c r="AF980" s="985" t="str">
        <f t="shared" si="167"/>
        <v>T</v>
      </c>
      <c r="AG980" s="1414">
        <v>1</v>
      </c>
      <c r="AH980" s="1002" t="s">
        <v>16024</v>
      </c>
      <c r="AI980" s="1002" t="s">
        <v>15892</v>
      </c>
      <c r="AJ980" s="1002" t="s">
        <v>16023</v>
      </c>
      <c r="AK980" s="1002" t="s">
        <v>16023</v>
      </c>
      <c r="AL980" s="1415">
        <v>56</v>
      </c>
      <c r="AM980" s="1323">
        <v>46164</v>
      </c>
      <c r="AN980" s="1323">
        <v>46165</v>
      </c>
      <c r="AO980" s="1323">
        <v>46166</v>
      </c>
      <c r="AP980" s="1323"/>
      <c r="AQ980" s="1323"/>
      <c r="AR980" s="987"/>
      <c r="AS980" s="978" t="str">
        <f t="shared" si="168"/>
        <v>雙</v>
      </c>
      <c r="AT980" s="978" t="str">
        <f t="shared" si="169"/>
        <v>全</v>
      </c>
      <c r="AU980" s="978">
        <f t="shared" si="170"/>
        <v>150</v>
      </c>
      <c r="AV980" s="978">
        <f t="shared" si="171"/>
        <v>6.5935296000000001</v>
      </c>
    </row>
    <row r="981" spans="1:48">
      <c r="A981" s="975">
        <f t="shared" si="166"/>
        <v>46167</v>
      </c>
      <c r="B981" s="976" t="s">
        <v>417</v>
      </c>
      <c r="C981" s="976" t="s">
        <v>16767</v>
      </c>
      <c r="D981" s="1410" t="s">
        <v>633</v>
      </c>
      <c r="E981" s="977" t="str">
        <f>IFERROR(VLOOKUP(C981, [6]條件!$A:$L, 5, 0), "")</f>
        <v>150/48/2SDr</v>
      </c>
      <c r="F981" s="978" t="str">
        <f>IFERROR(VLOOKUP(C981, [6]條件!$A:$L, 6, 0), "")</f>
        <v>FP82173R×2</v>
      </c>
      <c r="G981" s="1411">
        <f>IFERROR(VLOOKUP(C981, [6]條件!$A:$L, 7, 0), "")</f>
        <v>700</v>
      </c>
      <c r="H981" s="978" t="str">
        <f>IF(ISNA(VLOOKUP(C981,[6]條件!$A$1:$K$932,11,0)),"",(VLOOKUP(C981,[6]條件!$A$1:$K$932,11,0)))</f>
        <v>棕色</v>
      </c>
      <c r="I981" s="979">
        <f>IF(ISNA(VLOOKUP(C981,[6]條件!$A$1:$L$932,12,0)),"",(VLOOKUP(C981,[6]條件!$A$1:$L$932,12,0)))</f>
        <v>5.5</v>
      </c>
      <c r="J981" s="982">
        <v>28</v>
      </c>
      <c r="K981" s="980">
        <v>0</v>
      </c>
      <c r="L981" s="981">
        <v>9070</v>
      </c>
      <c r="M981" s="983">
        <v>9350</v>
      </c>
      <c r="N981" s="982">
        <v>25</v>
      </c>
      <c r="O981" s="980">
        <v>0</v>
      </c>
      <c r="P981" s="981">
        <v>9540</v>
      </c>
      <c r="Q981" s="983">
        <v>9350</v>
      </c>
      <c r="R981" s="982">
        <v>0</v>
      </c>
      <c r="S981" s="980">
        <v>0</v>
      </c>
      <c r="T981" s="981">
        <v>8890</v>
      </c>
      <c r="U981" s="983">
        <v>9070</v>
      </c>
      <c r="V981" s="982">
        <v>36</v>
      </c>
      <c r="W981" s="980">
        <v>0</v>
      </c>
      <c r="X981" s="981">
        <v>9810</v>
      </c>
      <c r="Y981" s="983">
        <v>9170</v>
      </c>
      <c r="Z981" s="1412">
        <f>IFERROR(VLOOKUP(C981, [6]條件!$A:$L, 3, 0), "")</f>
        <v>5.8536585365853666</v>
      </c>
      <c r="AA981" s="984">
        <f>IF(OR(L981={"改紡","檢修","了機","清車","FINAL","停機","SAMPLE","TEST","絲開發"}), L981, IFERROR(IF(C981="", "", (SUM(J981, N981, R981, V981)/3 * AG981) * IF(AND(AF981="S", AS981="雙"), 0.5, 1)), ""))</f>
        <v>29.666666666666668</v>
      </c>
      <c r="AB981" s="1413">
        <f t="shared" si="164"/>
        <v>1</v>
      </c>
      <c r="AC981" s="984">
        <f>IF(OR(L981={"改紡","檢修","了機","清車","FINAL","停機","SAMPLE","TEST"}), "", IFERROR(IF(C981="", "", AVERAGE(L981:M981, P981:Q981, T981:U981, X981:Y981)/100), ""))</f>
        <v>92.8125</v>
      </c>
      <c r="AD981" s="984">
        <f t="shared" si="172"/>
        <v>3.7083333333333335</v>
      </c>
      <c r="AE981" s="984">
        <f t="shared" si="165"/>
        <v>3.7083333333333335</v>
      </c>
      <c r="AF981" s="985" t="str">
        <f t="shared" si="167"/>
        <v>T</v>
      </c>
      <c r="AG981" s="1414">
        <v>1</v>
      </c>
      <c r="AH981" s="1002" t="s">
        <v>16024</v>
      </c>
      <c r="AI981" s="1002" t="s">
        <v>15892</v>
      </c>
      <c r="AJ981" s="986" t="s">
        <v>16014</v>
      </c>
      <c r="AK981" s="986" t="s">
        <v>16014</v>
      </c>
      <c r="AL981" s="1415">
        <v>56</v>
      </c>
      <c r="AM981" s="1323">
        <v>46163</v>
      </c>
      <c r="AN981" s="1323">
        <v>46164</v>
      </c>
      <c r="AO981" s="1323">
        <v>46165</v>
      </c>
      <c r="AP981" s="1323">
        <v>46166</v>
      </c>
      <c r="AQ981" s="1323"/>
      <c r="AR981" s="987"/>
      <c r="AS981" s="978" t="str">
        <f t="shared" si="168"/>
        <v>雙</v>
      </c>
      <c r="AT981" s="978" t="str">
        <f t="shared" si="169"/>
        <v>全</v>
      </c>
      <c r="AU981" s="978">
        <f t="shared" si="170"/>
        <v>150</v>
      </c>
      <c r="AV981" s="978">
        <f t="shared" si="171"/>
        <v>6.7359600000000004</v>
      </c>
    </row>
    <row r="982" spans="1:48">
      <c r="A982" s="975">
        <f t="shared" si="166"/>
        <v>46167</v>
      </c>
      <c r="B982" s="976" t="s">
        <v>240</v>
      </c>
      <c r="C982" s="976" t="s">
        <v>16776</v>
      </c>
      <c r="D982" s="1410"/>
      <c r="E982" s="977" t="str">
        <f>IFERROR(VLOOKUP(C982, [6]條件!$A:$L, 5, 0), "")</f>
        <v>50/72/2SDFFR</v>
      </c>
      <c r="F982" s="978" t="str">
        <f>IFERROR(VLOOKUP(C982, [6]條件!$A:$L, 6, 0), "")</f>
        <v>FP80099R×2</v>
      </c>
      <c r="G982" s="1411">
        <f>IFERROR(VLOOKUP(C982, [6]條件!$A:$L, 7, 0), "")</f>
        <v>500</v>
      </c>
      <c r="H982" s="978" t="str">
        <f>IF(ISNA(VLOOKUP(C982,[6]條件!$A$1:$K$932,11,0)),"",(VLOOKUP(C982,[6]條件!$A$1:$K$932,11,0)))</f>
        <v>白黑三角</v>
      </c>
      <c r="I982" s="979">
        <f>IF(ISNA(VLOOKUP(C982,[6]條件!$A$1:$L$932,12,0)),"",(VLOOKUP(C982,[6]條件!$A$1:$L$932,12,0)))</f>
        <v>4</v>
      </c>
      <c r="J982" s="982"/>
      <c r="K982" s="980"/>
      <c r="L982" s="981" t="s">
        <v>15855</v>
      </c>
      <c r="M982" s="983"/>
      <c r="N982" s="982"/>
      <c r="O982" s="980"/>
      <c r="P982" s="981" t="s">
        <v>15855</v>
      </c>
      <c r="Q982" s="983"/>
      <c r="R982" s="982"/>
      <c r="S982" s="980"/>
      <c r="T982" s="981" t="s">
        <v>16004</v>
      </c>
      <c r="U982" s="983"/>
      <c r="V982" s="982"/>
      <c r="W982" s="980"/>
      <c r="X982" s="981" t="s">
        <v>16004</v>
      </c>
      <c r="Y982" s="983"/>
      <c r="Z982" s="1422">
        <f>IFERROR(VLOOKUP(C982, [6]條件!$A:$L, 3, 0), "")</f>
        <v>2.028169014084507</v>
      </c>
      <c r="AA982" s="1167" t="str">
        <f>IF(OR(L982={"改紡","檢修","了機","清車","FINAL","停機","SAMPLE","TEST","絲開發"}), L982, IFERROR(IF(C982="", "", (SUM(J982, N982, R982, V982)/3 * AG982) * IF(AND(AF982="S", AS982="雙"), 0.5, 1)), ""))</f>
        <v>FINAL</v>
      </c>
      <c r="AB982" s="1423" t="str">
        <f>IF(K982="","",IF(ISERROR(1-((SUM(K982,O982,S982,W982)/((AG982*12)-(AG982*0.44)))/Z982)),"",(1-((SUM(K982,O982,S982,W982)/((AG982*12)-(AG982*0.44)))/Z982))))</f>
        <v/>
      </c>
      <c r="AC982" s="1167" t="str">
        <f>IF(OR(L982={"改紡","檢修","了機","清車","FINAL","停機","SAMPLE","TEST"}), "", IFERROR(IF(C982="", "", AVERAGE(L982:M982, P982:Q982, T982:U982, X982:Y982)/100), ""))</f>
        <v/>
      </c>
      <c r="AD982" s="1167" t="str">
        <f t="shared" si="172"/>
        <v/>
      </c>
      <c r="AE982" s="1167" t="str">
        <f>IF(P982="了機","",IF(J982="","",IF(ISERROR((SUM(J982,N982,R982,V982)-SUM(K982,O982,S982,W982))/24),"",((SUM(J982,N982,R982,V982)-SUM(K982,O982,S982,W982))/24))))</f>
        <v/>
      </c>
      <c r="AF982" s="1168" t="str">
        <f t="shared" si="167"/>
        <v>S</v>
      </c>
      <c r="AG982" s="1424">
        <v>3</v>
      </c>
      <c r="AH982" s="1002" t="s">
        <v>16000</v>
      </c>
      <c r="AI982" s="1002" t="s">
        <v>636</v>
      </c>
      <c r="AJ982" s="986" t="s">
        <v>16019</v>
      </c>
      <c r="AK982" s="986" t="s">
        <v>16019</v>
      </c>
      <c r="AL982" s="1415">
        <v>50</v>
      </c>
      <c r="AM982" s="1323">
        <v>46043</v>
      </c>
      <c r="AN982" s="1323">
        <v>46044</v>
      </c>
      <c r="AO982" s="1323"/>
      <c r="AP982" s="1323"/>
      <c r="AQ982" s="1323"/>
      <c r="AR982" s="987"/>
      <c r="AS982" s="978" t="str">
        <f t="shared" si="168"/>
        <v>雙</v>
      </c>
      <c r="AT982" s="978" t="str">
        <f t="shared" si="169"/>
        <v>3sec</v>
      </c>
      <c r="AU982" s="978">
        <f t="shared" si="170"/>
        <v>50</v>
      </c>
      <c r="AV982" s="978" t="str">
        <f t="shared" si="171"/>
        <v/>
      </c>
    </row>
    <row r="983" spans="1:48">
      <c r="A983" s="975">
        <f t="shared" si="166"/>
        <v>46167</v>
      </c>
      <c r="B983" s="976" t="s">
        <v>240</v>
      </c>
      <c r="C983" s="976" t="s">
        <v>16777</v>
      </c>
      <c r="D983" s="1410"/>
      <c r="E983" s="977" t="str">
        <f>IFERROR(VLOOKUP(C983, [6]條件!$A:$L, 5, 0), "")</f>
        <v>75/72/2SDFFR</v>
      </c>
      <c r="F983" s="978" t="str">
        <f>IFERROR(VLOOKUP(C983, [6]條件!$A:$L, 6, 0), "")</f>
        <v>FP81209R×2</v>
      </c>
      <c r="G983" s="1411">
        <f>IFERROR(VLOOKUP(C983, [6]條件!$A:$L, 7, 0), "")</f>
        <v>600</v>
      </c>
      <c r="H983" s="978" t="str">
        <f>IF(ISNA(VLOOKUP(C983,[6]條件!$A$1:$K$932,11,0)),"",(VLOOKUP(C983,[6]條件!$A$1:$K$932,11,0)))</f>
        <v>白底紅十字</v>
      </c>
      <c r="I983" s="979">
        <f>IF(ISNA(VLOOKUP(C983,[6]條件!$A$1:$L$932,12,0)),"",(VLOOKUP(C983,[6]條件!$A$1:$L$932,12,0)))</f>
        <v>5</v>
      </c>
      <c r="J983" s="982">
        <v>2</v>
      </c>
      <c r="K983" s="980">
        <v>0</v>
      </c>
      <c r="L983" s="981" t="s">
        <v>15855</v>
      </c>
      <c r="M983" s="983">
        <v>1661</v>
      </c>
      <c r="N983" s="982"/>
      <c r="O983" s="980"/>
      <c r="P983" s="981" t="s">
        <v>15855</v>
      </c>
      <c r="Q983" s="983"/>
      <c r="R983" s="982"/>
      <c r="S983" s="980"/>
      <c r="T983" s="981" t="s">
        <v>16004</v>
      </c>
      <c r="U983" s="983"/>
      <c r="V983" s="982"/>
      <c r="W983" s="980"/>
      <c r="X983" s="981" t="s">
        <v>16004</v>
      </c>
      <c r="Y983" s="983"/>
      <c r="Z983" s="1422">
        <f>IFERROR(VLOOKUP(C983, [6]條件!$A:$L, 3, 0), "")</f>
        <v>2.7852998065764023</v>
      </c>
      <c r="AA983" s="1167" t="str">
        <f>IF(OR(L983={"改紡","檢修","了機","清車","FINAL","停機","SAMPLE","TEST","絲開發"}), L983, IFERROR(IF(C983="", "", (SUM(J983, N983, R983, V983)/3 * AG983) * IF(AND(AF983="S", AS983="雙"), 0.5, 1)), ""))</f>
        <v>FINAL</v>
      </c>
      <c r="AB983" s="1423">
        <f>IF(K983="","",IF(ISERROR(1-((SUM(K983,O983,S983,W983)/((AG983*12)-(AG983*0.44)))/Z983)),"",(1-((SUM(K983,O983,S983,W983)/((AG983*12)-(AG983*0.44)))/Z983))))</f>
        <v>1</v>
      </c>
      <c r="AC983" s="1167" t="str">
        <f>IF(OR(L983={"改紡","檢修","了機","清車","FINAL","停機","SAMPLE","TEST"}), "", IFERROR(IF(C983="", "", AVERAGE(L983:M983, P983:Q983, T983:U983, X983:Y983)/100), ""))</f>
        <v/>
      </c>
      <c r="AD983" s="1167" t="str">
        <f t="shared" si="172"/>
        <v/>
      </c>
      <c r="AE983" s="1167">
        <f>IF(P983="了機","",IF(J983="","",IF(ISERROR((SUM(J983,N983,R983,V983)-SUM(K983,O983,S983,W983))/24),"",((SUM(J983,N983,R983,V983)-SUM(K983,O983,S983,W983))/24))))</f>
        <v>8.3333333333333329E-2</v>
      </c>
      <c r="AF983" s="1168" t="str">
        <f t="shared" si="167"/>
        <v>S</v>
      </c>
      <c r="AG983" s="1424">
        <v>3</v>
      </c>
      <c r="AH983" s="1002" t="s">
        <v>16000</v>
      </c>
      <c r="AI983" s="1002" t="s">
        <v>636</v>
      </c>
      <c r="AJ983" s="986" t="s">
        <v>16019</v>
      </c>
      <c r="AK983" s="986" t="s">
        <v>16019</v>
      </c>
      <c r="AL983" s="1415">
        <v>50</v>
      </c>
      <c r="AM983" s="1323">
        <v>46087</v>
      </c>
      <c r="AN983" s="1323">
        <v>46089</v>
      </c>
      <c r="AO983" s="1323"/>
      <c r="AP983" s="1323"/>
      <c r="AQ983" s="1323"/>
      <c r="AR983" s="987"/>
      <c r="AS983" s="978" t="str">
        <f t="shared" si="168"/>
        <v>雙</v>
      </c>
      <c r="AT983" s="978" t="str">
        <f t="shared" si="169"/>
        <v>3sec</v>
      </c>
      <c r="AU983" s="978">
        <f t="shared" si="170"/>
        <v>75</v>
      </c>
      <c r="AV983" s="978" t="str">
        <f t="shared" si="171"/>
        <v/>
      </c>
    </row>
    <row r="984" spans="1:48">
      <c r="A984" s="975">
        <f t="shared" si="166"/>
        <v>46167</v>
      </c>
      <c r="B984" s="976" t="s">
        <v>242</v>
      </c>
      <c r="C984" s="976" t="s">
        <v>385</v>
      </c>
      <c r="D984" s="1410"/>
      <c r="E984" s="977" t="str">
        <f>IFERROR(VLOOKUP(C984, [6]條件!$A:$L, 5, 0), "")</f>
        <v/>
      </c>
      <c r="F984" s="978" t="str">
        <f>IFERROR(VLOOKUP(C984, [6]條件!$A:$L, 6, 0), "")</f>
        <v/>
      </c>
      <c r="G984" s="1411" t="str">
        <f>IFERROR(VLOOKUP(C984, [6]條件!$A:$L, 7, 0), "")</f>
        <v/>
      </c>
      <c r="H984" s="978" t="str">
        <f>IF(ISNA(VLOOKUP(C984,[6]條件!$A$1:$K$932,11,0)),"",(VLOOKUP(C984,[6]條件!$A$1:$K$932,11,0)))</f>
        <v/>
      </c>
      <c r="I984" s="979" t="str">
        <f>IF(ISNA(VLOOKUP(C984,[6]條件!$A$1:$L$932,12,0)),"",(VLOOKUP(C984,[6]條件!$A$1:$L$932,12,0)))</f>
        <v/>
      </c>
      <c r="J984" s="982"/>
      <c r="K984" s="980"/>
      <c r="L984" s="981" t="s">
        <v>385</v>
      </c>
      <c r="M984" s="983"/>
      <c r="N984" s="982"/>
      <c r="O984" s="980"/>
      <c r="P984" s="981" t="s">
        <v>385</v>
      </c>
      <c r="Q984" s="983"/>
      <c r="R984" s="982"/>
      <c r="S984" s="980"/>
      <c r="T984" s="981" t="s">
        <v>385</v>
      </c>
      <c r="U984" s="983"/>
      <c r="V984" s="982"/>
      <c r="W984" s="980"/>
      <c r="X984" s="981" t="s">
        <v>385</v>
      </c>
      <c r="Y984" s="983"/>
      <c r="Z984" s="1422" t="str">
        <f>IFERROR(VLOOKUP(C984, [6]條件!$A:$L, 3, 0), "")</f>
        <v/>
      </c>
      <c r="AA984" s="1167" t="str">
        <f>IF(OR(L984={"改紡","檢修","了機","清車","FINAL","停機","SAMPLE","TEST","絲開發"}), L984, IFERROR(IF(C984="", "", (SUM(J984, N984, R984, V984)/3 * AG984) * IF(AND(AF984="S", AS984="雙"), 0.5, 1)), ""))</f>
        <v>絲開發</v>
      </c>
      <c r="AB984" s="1423" t="str">
        <f>IF(K984="","",IF(ISERROR(1-((SUM(K984,O984,S984,W984)/((AG984*12)-(AG984*0.44)))/Z984)),"",(1-((SUM(K984,O984,S984,W984)/((AG984*12)-(AG984*0.44)))/Z984))))</f>
        <v/>
      </c>
      <c r="AC984" s="1167" t="str">
        <f>IF(OR(L984={"改紡","檢修","了機","清車","FINAL","停機","SAMPLE","TEST"}), "", IFERROR(IF(C984="", "", AVERAGE(L984:M984, P984:Q984, T984:U984, X984:Y984)/100), ""))</f>
        <v/>
      </c>
      <c r="AD984" s="1167" t="str">
        <f t="shared" si="172"/>
        <v/>
      </c>
      <c r="AE984" s="1167" t="str">
        <f>IF(P984="了機","",IF(J984="","",IF(ISERROR((SUM(J984,N984,R984,V984)-SUM(K984,O984,S984,W984))/24),"",((SUM(J984,N984,R984,V984)-SUM(K984,O984,S984,W984))/24))))</f>
        <v/>
      </c>
      <c r="AF984" s="1168" t="str">
        <f t="shared" si="167"/>
        <v>S</v>
      </c>
      <c r="AG984" s="1424">
        <v>5</v>
      </c>
      <c r="AH984" s="1002" t="s">
        <v>16000</v>
      </c>
      <c r="AI984" s="1002" t="s">
        <v>636</v>
      </c>
      <c r="AJ984" s="986" t="s">
        <v>16019</v>
      </c>
      <c r="AK984" s="986" t="s">
        <v>16019</v>
      </c>
      <c r="AL984" s="1415"/>
      <c r="AM984" s="1323"/>
      <c r="AN984" s="1323"/>
      <c r="AO984" s="1323"/>
      <c r="AP984" s="1323"/>
      <c r="AQ984" s="1323"/>
      <c r="AR984" s="987"/>
      <c r="AS984" s="978" t="str">
        <f t="shared" si="168"/>
        <v>單</v>
      </c>
      <c r="AT984" s="978" t="str">
        <f t="shared" si="169"/>
        <v>5sec</v>
      </c>
      <c r="AU984" s="978" t="str">
        <f t="shared" si="170"/>
        <v/>
      </c>
      <c r="AV984" s="978" t="str">
        <f t="shared" si="171"/>
        <v/>
      </c>
    </row>
    <row r="985" spans="1:48">
      <c r="A985" s="975">
        <f t="shared" si="166"/>
        <v>46167</v>
      </c>
      <c r="B985" s="976" t="s">
        <v>16078</v>
      </c>
      <c r="C985" s="988" t="s">
        <v>16185</v>
      </c>
      <c r="D985" s="1410"/>
      <c r="E985" s="977" t="str">
        <f>IFERROR(VLOOKUP(C985, [6]條件!$A:$L, 5, 0), "")</f>
        <v/>
      </c>
      <c r="F985" s="978" t="str">
        <f>IFERROR(VLOOKUP(C985, [6]條件!$A:$L, 6, 0), "")</f>
        <v/>
      </c>
      <c r="G985" s="1411" t="str">
        <f>IFERROR(VLOOKUP(C985, [6]條件!$A:$L, 7, 0), "")</f>
        <v/>
      </c>
      <c r="H985" s="978" t="str">
        <f>IF(ISNA(VLOOKUP(C985,[6]條件!$A$1:$K$932,11,0)),"",(VLOOKUP(C985,[6]條件!$A$1:$K$932,11,0)))</f>
        <v/>
      </c>
      <c r="I985" s="979" t="str">
        <f>IF(ISNA(VLOOKUP(C985,[6]條件!$A$1:$L$932,12,0)),"",(VLOOKUP(C985,[6]條件!$A$1:$L$932,12,0)))</f>
        <v/>
      </c>
      <c r="J985" s="982"/>
      <c r="K985" s="980"/>
      <c r="L985" s="981" t="s">
        <v>632</v>
      </c>
      <c r="M985" s="983"/>
      <c r="N985" s="982"/>
      <c r="O985" s="980"/>
      <c r="P985" s="981" t="s">
        <v>632</v>
      </c>
      <c r="Q985" s="983"/>
      <c r="R985" s="982"/>
      <c r="S985" s="980"/>
      <c r="T985" s="981" t="s">
        <v>632</v>
      </c>
      <c r="U985" s="983"/>
      <c r="V985" s="982"/>
      <c r="W985" s="980"/>
      <c r="X985" s="981" t="s">
        <v>632</v>
      </c>
      <c r="Y985" s="983"/>
      <c r="Z985" s="1412" t="str">
        <f>IFERROR(VLOOKUP(C985, [6]條件!$A:$L, 3, 0), "")</f>
        <v/>
      </c>
      <c r="AA985" s="984" t="str">
        <f>IF(OR(L985={"改紡","檢修","了機","清車","FINAL","停機","SAMPLE","TEST","絲開發"}), L985, IFERROR(IF(C985="", "", (SUM(J985, N985, R985, V985)/3 * AG985) * IF(AND(AF985="S", AS985="雙"), 0.5, 1)), ""))</f>
        <v>停機</v>
      </c>
      <c r="AB985" s="1413" t="str">
        <f t="shared" ref="AB985:AB1020" si="173">IF(K985="","",IF(ISERROR(1-(SUM(K985,O985,S985,W985)/208/Z985)),"",(1-(SUM(K985,O985,S985,W985)/208/Z985))))</f>
        <v/>
      </c>
      <c r="AC985" s="984" t="str">
        <f>IF(OR(L985={"改紡","檢修","了機","清車","FINAL","停機","SAMPLE","TEST"}), "", IFERROR(IF(C985="", "", AVERAGE(L985:M985, P985:Q985, T985:U985, X985:Y985)/100), ""))</f>
        <v/>
      </c>
      <c r="AD985" s="984" t="str">
        <f t="shared" si="172"/>
        <v/>
      </c>
      <c r="AE985" s="984" t="str">
        <f>IF(OR(L985="改紡", L985="檢修", L985="了機"), "",
   IF(AND(C985&lt;&gt;"", J985&lt;&gt;""),
      IFERROR((SUM(J985, N985, R985, V985) - SUM(K985, O985, S985, W985))/24 * AG985, ""),
   "")
)</f>
        <v/>
      </c>
      <c r="AF985" s="985" t="str">
        <f t="shared" si="167"/>
        <v>M</v>
      </c>
      <c r="AG985" s="1414">
        <v>1</v>
      </c>
      <c r="AH985" s="1002" t="s">
        <v>640</v>
      </c>
      <c r="AI985" s="1002" t="s">
        <v>640</v>
      </c>
      <c r="AJ985" s="986" t="s">
        <v>640</v>
      </c>
      <c r="AK985" s="986" t="s">
        <v>640</v>
      </c>
      <c r="AL985" s="1415"/>
      <c r="AM985" s="1323"/>
      <c r="AN985" s="1323"/>
      <c r="AO985" s="1323"/>
      <c r="AP985" s="1323"/>
      <c r="AQ985" s="1323"/>
      <c r="AR985" s="987"/>
      <c r="AS985" s="978" t="str">
        <f t="shared" si="168"/>
        <v>單</v>
      </c>
      <c r="AT985" s="978" t="str">
        <f t="shared" si="169"/>
        <v>全</v>
      </c>
      <c r="AU985" s="978" t="str">
        <f t="shared" si="170"/>
        <v/>
      </c>
      <c r="AV985" s="978" t="str">
        <f t="shared" si="171"/>
        <v/>
      </c>
    </row>
    <row r="986" spans="1:48">
      <c r="A986" s="975">
        <f t="shared" si="166"/>
        <v>46167</v>
      </c>
      <c r="B986" s="976" t="s">
        <v>243</v>
      </c>
      <c r="C986" s="988" t="s">
        <v>16185</v>
      </c>
      <c r="D986" s="1410"/>
      <c r="E986" s="977" t="str">
        <f>IFERROR(VLOOKUP(C986, [6]條件!$A:$L, 5, 0), "")</f>
        <v/>
      </c>
      <c r="F986" s="978" t="str">
        <f>IFERROR(VLOOKUP(C986, [6]條件!$A:$L, 6, 0), "")</f>
        <v/>
      </c>
      <c r="G986" s="1411" t="str">
        <f>IFERROR(VLOOKUP(C986, [6]條件!$A:$L, 7, 0), "")</f>
        <v/>
      </c>
      <c r="H986" s="978" t="str">
        <f>IF(ISNA(VLOOKUP(C986,[6]條件!$A$1:$K$932,11,0)),"",(VLOOKUP(C986,[6]條件!$A$1:$K$932,11,0)))</f>
        <v/>
      </c>
      <c r="I986" s="979" t="str">
        <f>IF(ISNA(VLOOKUP(C986,[6]條件!$A$1:$L$932,12,0)),"",(VLOOKUP(C986,[6]條件!$A$1:$L$932,12,0)))</f>
        <v/>
      </c>
      <c r="J986" s="982"/>
      <c r="K986" s="980"/>
      <c r="L986" s="981" t="s">
        <v>632</v>
      </c>
      <c r="M986" s="983"/>
      <c r="N986" s="982"/>
      <c r="O986" s="980"/>
      <c r="P986" s="981" t="s">
        <v>632</v>
      </c>
      <c r="Q986" s="983"/>
      <c r="R986" s="982"/>
      <c r="S986" s="980"/>
      <c r="T986" s="981" t="s">
        <v>632</v>
      </c>
      <c r="U986" s="983"/>
      <c r="V986" s="982"/>
      <c r="W986" s="980"/>
      <c r="X986" s="981" t="s">
        <v>632</v>
      </c>
      <c r="Y986" s="983"/>
      <c r="Z986" s="1412" t="str">
        <f>IFERROR(VLOOKUP(C986, [6]條件!$A:$L, 3, 0), "")</f>
        <v/>
      </c>
      <c r="AA986" s="984" t="str">
        <f>IF(OR(L986={"改紡","檢修","了機","清車","FINAL","停機","SAMPLE","TEST","絲開發"}), L986, IFERROR(IF(C986="", "", (SUM(J986, N986, R986, V986)/3 * AG986) * IF(AND(AF986="S", AS986="雙"), 0.5, 1)), ""))</f>
        <v>停機</v>
      </c>
      <c r="AB986" s="1413" t="str">
        <f t="shared" si="173"/>
        <v/>
      </c>
      <c r="AC986" s="984" t="str">
        <f>IF(OR(L986={"改紡","檢修","了機","清車","FINAL","停機","SAMPLE","TEST"}), "", IFERROR(IF(C986="", "", AVERAGE(L986:M986, P986:Q986, T986:U986, X986:Y986)/100), ""))</f>
        <v/>
      </c>
      <c r="AD986" s="984" t="str">
        <f t="shared" si="172"/>
        <v/>
      </c>
      <c r="AE986" s="984" t="str">
        <f t="shared" ref="AE986:AE1020" si="174">IF(OR(L986="改紡", L986="檢修", L986="了機"), "",
IF(AND(C986&lt;&gt;"", J986&lt;&gt;""),
IFERROR((SUM(J986, N986, R986, V986) - SUM(K986, O986, S986, W986))/24 * AG986, ""),
"")
)</f>
        <v/>
      </c>
      <c r="AF986" s="985" t="str">
        <f t="shared" si="167"/>
        <v>M</v>
      </c>
      <c r="AG986" s="1414">
        <v>1</v>
      </c>
      <c r="AH986" s="1002" t="s">
        <v>640</v>
      </c>
      <c r="AI986" s="1002" t="s">
        <v>640</v>
      </c>
      <c r="AJ986" s="986" t="s">
        <v>640</v>
      </c>
      <c r="AK986" s="986" t="s">
        <v>640</v>
      </c>
      <c r="AL986" s="1415"/>
      <c r="AM986" s="1323"/>
      <c r="AN986" s="1323"/>
      <c r="AO986" s="1323"/>
      <c r="AP986" s="1323"/>
      <c r="AQ986" s="1323"/>
      <c r="AR986" s="987"/>
      <c r="AS986" s="978" t="str">
        <f t="shared" si="168"/>
        <v>單</v>
      </c>
      <c r="AT986" s="978" t="str">
        <f t="shared" si="169"/>
        <v>全</v>
      </c>
      <c r="AU986" s="978" t="str">
        <f t="shared" si="170"/>
        <v/>
      </c>
      <c r="AV986" s="978" t="str">
        <f t="shared" si="171"/>
        <v/>
      </c>
    </row>
    <row r="987" spans="1:48">
      <c r="A987" s="975">
        <f t="shared" si="166"/>
        <v>46167</v>
      </c>
      <c r="B987" s="976" t="s">
        <v>244</v>
      </c>
      <c r="C987" s="988" t="s">
        <v>16185</v>
      </c>
      <c r="D987" s="1410"/>
      <c r="E987" s="977" t="str">
        <f>IFERROR(VLOOKUP(C987, [6]條件!$A:$L, 5, 0), "")</f>
        <v/>
      </c>
      <c r="F987" s="978" t="str">
        <f>IFERROR(VLOOKUP(C987, [6]條件!$A:$L, 6, 0), "")</f>
        <v/>
      </c>
      <c r="G987" s="1411" t="str">
        <f>IFERROR(VLOOKUP(C987, [6]條件!$A:$L, 7, 0), "")</f>
        <v/>
      </c>
      <c r="H987" s="978" t="str">
        <f>IF(ISNA(VLOOKUP(C987,[6]條件!$A$1:$K$932,11,0)),"",(VLOOKUP(C987,[6]條件!$A$1:$K$932,11,0)))</f>
        <v/>
      </c>
      <c r="I987" s="979" t="str">
        <f>IF(ISNA(VLOOKUP(C987,[6]條件!$A$1:$L$932,12,0)),"",(VLOOKUP(C987,[6]條件!$A$1:$L$932,12,0)))</f>
        <v/>
      </c>
      <c r="J987" s="982"/>
      <c r="K987" s="980"/>
      <c r="L987" s="981" t="s">
        <v>632</v>
      </c>
      <c r="M987" s="983"/>
      <c r="N987" s="982"/>
      <c r="O987" s="980"/>
      <c r="P987" s="981" t="s">
        <v>632</v>
      </c>
      <c r="Q987" s="983"/>
      <c r="R987" s="982"/>
      <c r="S987" s="980"/>
      <c r="T987" s="981" t="s">
        <v>632</v>
      </c>
      <c r="U987" s="983"/>
      <c r="V987" s="982"/>
      <c r="W987" s="980"/>
      <c r="X987" s="981" t="s">
        <v>632</v>
      </c>
      <c r="Y987" s="983"/>
      <c r="Z987" s="1412" t="str">
        <f>IFERROR(VLOOKUP(C987, [6]條件!$A:$L, 3, 0), "")</f>
        <v/>
      </c>
      <c r="AA987" s="984" t="str">
        <f>IF(OR(L987={"改紡","檢修","了機","清車","FINAL","停機","SAMPLE","TEST","絲開發"}), L987, IFERROR(IF(C987="", "", (SUM(J987, N987, R987, V987)/3 * AG987) * IF(AND(AF987="S", AS987="雙"), 0.5, 1)), ""))</f>
        <v>停機</v>
      </c>
      <c r="AB987" s="1413" t="str">
        <f t="shared" si="173"/>
        <v/>
      </c>
      <c r="AC987" s="984" t="str">
        <f>IF(OR(L987={"改紡","檢修","了機","清車","FINAL","停機","SAMPLE","TEST"}), "", IFERROR(IF(C987="", "", AVERAGE(L987:M987, P987:Q987, T987:U987, X987:Y987)/100), ""))</f>
        <v/>
      </c>
      <c r="AD987" s="984" t="str">
        <f t="shared" si="172"/>
        <v/>
      </c>
      <c r="AE987" s="984" t="str">
        <f t="shared" si="174"/>
        <v/>
      </c>
      <c r="AF987" s="985" t="str">
        <f t="shared" si="167"/>
        <v>M</v>
      </c>
      <c r="AG987" s="1414">
        <v>1</v>
      </c>
      <c r="AH987" s="1002" t="s">
        <v>640</v>
      </c>
      <c r="AI987" s="1002" t="s">
        <v>640</v>
      </c>
      <c r="AJ987" s="986" t="s">
        <v>640</v>
      </c>
      <c r="AK987" s="986" t="s">
        <v>640</v>
      </c>
      <c r="AL987" s="1415"/>
      <c r="AM987" s="1323"/>
      <c r="AN987" s="1323"/>
      <c r="AO987" s="1323"/>
      <c r="AP987" s="1323"/>
      <c r="AQ987" s="1323"/>
      <c r="AR987" s="987"/>
      <c r="AS987" s="978" t="str">
        <f t="shared" si="168"/>
        <v>單</v>
      </c>
      <c r="AT987" s="978" t="str">
        <f t="shared" si="169"/>
        <v>全</v>
      </c>
      <c r="AU987" s="978" t="str">
        <f t="shared" si="170"/>
        <v/>
      </c>
      <c r="AV987" s="978" t="str">
        <f t="shared" si="171"/>
        <v/>
      </c>
    </row>
    <row r="988" spans="1:48">
      <c r="A988" s="975">
        <f t="shared" si="166"/>
        <v>46167</v>
      </c>
      <c r="B988" s="976" t="s">
        <v>245</v>
      </c>
      <c r="C988" s="988" t="s">
        <v>16185</v>
      </c>
      <c r="D988" s="1410"/>
      <c r="E988" s="977" t="str">
        <f>IFERROR(VLOOKUP(C988, [6]條件!$A:$L, 5, 0), "")</f>
        <v/>
      </c>
      <c r="F988" s="978" t="str">
        <f>IFERROR(VLOOKUP(C988, [6]條件!$A:$L, 6, 0), "")</f>
        <v/>
      </c>
      <c r="G988" s="1411" t="str">
        <f>IFERROR(VLOOKUP(C988, [6]條件!$A:$L, 7, 0), "")</f>
        <v/>
      </c>
      <c r="H988" s="978" t="str">
        <f>IF(ISNA(VLOOKUP(C988,[6]條件!$A$1:$K$932,11,0)),"",(VLOOKUP(C988,[6]條件!$A$1:$K$932,11,0)))</f>
        <v/>
      </c>
      <c r="I988" s="979" t="str">
        <f>IF(ISNA(VLOOKUP(C988,[6]條件!$A$1:$L$932,12,0)),"",(VLOOKUP(C988,[6]條件!$A$1:$L$932,12,0)))</f>
        <v/>
      </c>
      <c r="J988" s="982"/>
      <c r="K988" s="980"/>
      <c r="L988" s="981" t="s">
        <v>632</v>
      </c>
      <c r="M988" s="983"/>
      <c r="N988" s="982"/>
      <c r="O988" s="980"/>
      <c r="P988" s="981" t="s">
        <v>632</v>
      </c>
      <c r="Q988" s="983"/>
      <c r="R988" s="982"/>
      <c r="S988" s="980"/>
      <c r="T988" s="981" t="s">
        <v>632</v>
      </c>
      <c r="U988" s="983"/>
      <c r="V988" s="982"/>
      <c r="W988" s="980"/>
      <c r="X988" s="981" t="s">
        <v>632</v>
      </c>
      <c r="Y988" s="983"/>
      <c r="Z988" s="1412" t="str">
        <f>IFERROR(VLOOKUP(C988, [6]條件!$A:$L, 3, 0), "")</f>
        <v/>
      </c>
      <c r="AA988" s="984" t="str">
        <f>IF(OR(L988={"改紡","檢修","了機","清車","FINAL","停機","SAMPLE","TEST","絲開發"}), L988, IFERROR(IF(C988="", "", (SUM(J988, N988, R988, V988)/3 * AG988) * IF(AND(AF988="S", AS988="雙"), 0.5, 1)), ""))</f>
        <v>停機</v>
      </c>
      <c r="AB988" s="1413" t="str">
        <f t="shared" si="173"/>
        <v/>
      </c>
      <c r="AC988" s="984" t="str">
        <f>IF(OR(L988={"改紡","檢修","了機","清車","FINAL","停機","SAMPLE","TEST"}), "", IFERROR(IF(C988="", "", AVERAGE(L988:M988, P988:Q988, T988:U988, X988:Y988)/100), ""))</f>
        <v/>
      </c>
      <c r="AD988" s="984" t="str">
        <f t="shared" si="172"/>
        <v/>
      </c>
      <c r="AE988" s="984" t="str">
        <f t="shared" si="174"/>
        <v/>
      </c>
      <c r="AF988" s="985" t="str">
        <f t="shared" si="167"/>
        <v>M</v>
      </c>
      <c r="AG988" s="1414">
        <v>1</v>
      </c>
      <c r="AH988" s="1002" t="s">
        <v>640</v>
      </c>
      <c r="AI988" s="1002" t="s">
        <v>640</v>
      </c>
      <c r="AJ988" s="986" t="s">
        <v>640</v>
      </c>
      <c r="AK988" s="986" t="s">
        <v>640</v>
      </c>
      <c r="AL988" s="1415"/>
      <c r="AM988" s="1323"/>
      <c r="AN988" s="1323"/>
      <c r="AO988" s="1323"/>
      <c r="AP988" s="1323"/>
      <c r="AQ988" s="1323"/>
      <c r="AR988" s="987"/>
      <c r="AS988" s="978" t="str">
        <f t="shared" si="168"/>
        <v>單</v>
      </c>
      <c r="AT988" s="978" t="str">
        <f t="shared" si="169"/>
        <v>全</v>
      </c>
      <c r="AU988" s="978" t="str">
        <f t="shared" si="170"/>
        <v/>
      </c>
      <c r="AV988" s="978" t="str">
        <f t="shared" si="171"/>
        <v/>
      </c>
    </row>
    <row r="989" spans="1:48">
      <c r="A989" s="975">
        <f t="shared" si="166"/>
        <v>46167</v>
      </c>
      <c r="B989" s="976" t="s">
        <v>246</v>
      </c>
      <c r="C989" s="988" t="s">
        <v>16185</v>
      </c>
      <c r="D989" s="1410"/>
      <c r="E989" s="977" t="str">
        <f>IFERROR(VLOOKUP(C989, [6]條件!$A:$L, 5, 0), "")</f>
        <v/>
      </c>
      <c r="F989" s="978" t="str">
        <f>IFERROR(VLOOKUP(C989, [6]條件!$A:$L, 6, 0), "")</f>
        <v/>
      </c>
      <c r="G989" s="1411" t="str">
        <f>IFERROR(VLOOKUP(C989, [6]條件!$A:$L, 7, 0), "")</f>
        <v/>
      </c>
      <c r="H989" s="978" t="str">
        <f>IF(ISNA(VLOOKUP(C989,[6]條件!$A$1:$K$932,11,0)),"",(VLOOKUP(C989,[6]條件!$A$1:$K$932,11,0)))</f>
        <v/>
      </c>
      <c r="I989" s="979" t="str">
        <f>IF(ISNA(VLOOKUP(C989,[6]條件!$A$1:$L$932,12,0)),"",(VLOOKUP(C989,[6]條件!$A$1:$L$932,12,0)))</f>
        <v/>
      </c>
      <c r="J989" s="982"/>
      <c r="K989" s="980"/>
      <c r="L989" s="981" t="s">
        <v>632</v>
      </c>
      <c r="M989" s="983"/>
      <c r="N989" s="982"/>
      <c r="O989" s="980"/>
      <c r="P989" s="981" t="s">
        <v>632</v>
      </c>
      <c r="Q989" s="983"/>
      <c r="R989" s="982"/>
      <c r="S989" s="980"/>
      <c r="T989" s="981" t="s">
        <v>632</v>
      </c>
      <c r="U989" s="983"/>
      <c r="V989" s="982"/>
      <c r="W989" s="980"/>
      <c r="X989" s="981" t="s">
        <v>632</v>
      </c>
      <c r="Y989" s="983"/>
      <c r="Z989" s="1412" t="str">
        <f>IFERROR(VLOOKUP(C989, [6]條件!$A:$L, 3, 0), "")</f>
        <v/>
      </c>
      <c r="AA989" s="984" t="str">
        <f>IF(OR(L989={"改紡","檢修","了機","清車","FINAL","停機","SAMPLE","TEST","絲開發"}), L989, IFERROR(IF(C989="", "", (SUM(J989, N989, R989, V989)/3 * AG989) * IF(AND(AF989="S", AS989="雙"), 0.5, 1)), ""))</f>
        <v>停機</v>
      </c>
      <c r="AB989" s="1413" t="str">
        <f t="shared" si="173"/>
        <v/>
      </c>
      <c r="AC989" s="984" t="str">
        <f>IF(OR(L989={"改紡","檢修","了機","清車","FINAL","停機","SAMPLE","TEST"}), "", IFERROR(IF(C989="", "", AVERAGE(L989:M989, P989:Q989, T989:U989, X989:Y989)/100), ""))</f>
        <v/>
      </c>
      <c r="AD989" s="984" t="str">
        <f t="shared" si="172"/>
        <v/>
      </c>
      <c r="AE989" s="984" t="str">
        <f t="shared" si="174"/>
        <v/>
      </c>
      <c r="AF989" s="985" t="str">
        <f t="shared" si="167"/>
        <v>M</v>
      </c>
      <c r="AG989" s="1414">
        <v>1</v>
      </c>
      <c r="AH989" s="1002" t="s">
        <v>640</v>
      </c>
      <c r="AI989" s="1002" t="s">
        <v>640</v>
      </c>
      <c r="AJ989" s="986" t="s">
        <v>640</v>
      </c>
      <c r="AK989" s="986" t="s">
        <v>640</v>
      </c>
      <c r="AL989" s="1415"/>
      <c r="AM989" s="1323"/>
      <c r="AN989" s="1323"/>
      <c r="AO989" s="1323"/>
      <c r="AP989" s="1323"/>
      <c r="AQ989" s="1323"/>
      <c r="AR989" s="987"/>
      <c r="AS989" s="978" t="str">
        <f t="shared" si="168"/>
        <v>單</v>
      </c>
      <c r="AT989" s="978" t="str">
        <f t="shared" si="169"/>
        <v>全</v>
      </c>
      <c r="AU989" s="978" t="str">
        <f t="shared" si="170"/>
        <v/>
      </c>
      <c r="AV989" s="978" t="str">
        <f t="shared" si="171"/>
        <v/>
      </c>
    </row>
    <row r="990" spans="1:48">
      <c r="A990" s="975">
        <f t="shared" si="166"/>
        <v>46167</v>
      </c>
      <c r="B990" s="976" t="s">
        <v>247</v>
      </c>
      <c r="C990" s="988" t="s">
        <v>16185</v>
      </c>
      <c r="D990" s="1410"/>
      <c r="E990" s="977" t="str">
        <f>IFERROR(VLOOKUP(C990, [6]條件!$A:$L, 5, 0), "")</f>
        <v/>
      </c>
      <c r="F990" s="978" t="str">
        <f>IFERROR(VLOOKUP(C990, [6]條件!$A:$L, 6, 0), "")</f>
        <v/>
      </c>
      <c r="G990" s="1411" t="str">
        <f>IFERROR(VLOOKUP(C990, [6]條件!$A:$L, 7, 0), "")</f>
        <v/>
      </c>
      <c r="H990" s="978" t="str">
        <f>IF(ISNA(VLOOKUP(C990,[6]條件!$A$1:$K$932,11,0)),"",(VLOOKUP(C990,[6]條件!$A$1:$K$932,11,0)))</f>
        <v/>
      </c>
      <c r="I990" s="979" t="str">
        <f>IF(ISNA(VLOOKUP(C990,[6]條件!$A$1:$L$932,12,0)),"",(VLOOKUP(C990,[6]條件!$A$1:$L$932,12,0)))</f>
        <v/>
      </c>
      <c r="J990" s="982"/>
      <c r="K990" s="980"/>
      <c r="L990" s="981" t="s">
        <v>632</v>
      </c>
      <c r="M990" s="983"/>
      <c r="N990" s="982"/>
      <c r="O990" s="980"/>
      <c r="P990" s="981" t="s">
        <v>632</v>
      </c>
      <c r="Q990" s="983"/>
      <c r="R990" s="982"/>
      <c r="S990" s="980"/>
      <c r="T990" s="981" t="s">
        <v>632</v>
      </c>
      <c r="U990" s="983"/>
      <c r="V990" s="982"/>
      <c r="W990" s="980"/>
      <c r="X990" s="981" t="s">
        <v>632</v>
      </c>
      <c r="Y990" s="983"/>
      <c r="Z990" s="1412" t="str">
        <f>IFERROR(VLOOKUP(C990, [6]條件!$A:$L, 3, 0), "")</f>
        <v/>
      </c>
      <c r="AA990" s="984" t="str">
        <f>IF(OR(L990={"改紡","檢修","了機","清車","FINAL","停機","SAMPLE","TEST","絲開發"}), L990, IFERROR(IF(C990="", "", (SUM(J990, N990, R990, V990)/3 * AG990) * IF(AND(AF990="S", AS990="雙"), 0.5, 1)), ""))</f>
        <v>停機</v>
      </c>
      <c r="AB990" s="1413" t="str">
        <f t="shared" si="173"/>
        <v/>
      </c>
      <c r="AC990" s="984" t="str">
        <f>IF(OR(L990={"改紡","檢修","了機","清車","FINAL","停機","SAMPLE","TEST"}), "", IFERROR(IF(C990="", "", AVERAGE(L990:M990, P990:Q990, T990:U990, X990:Y990)/100), ""))</f>
        <v/>
      </c>
      <c r="AD990" s="984" t="str">
        <f t="shared" si="172"/>
        <v/>
      </c>
      <c r="AE990" s="984" t="str">
        <f t="shared" si="174"/>
        <v/>
      </c>
      <c r="AF990" s="985" t="str">
        <f t="shared" si="167"/>
        <v>M</v>
      </c>
      <c r="AG990" s="1414">
        <v>1</v>
      </c>
      <c r="AH990" s="1002" t="s">
        <v>640</v>
      </c>
      <c r="AI990" s="1002" t="s">
        <v>640</v>
      </c>
      <c r="AJ990" s="986" t="s">
        <v>640</v>
      </c>
      <c r="AK990" s="986" t="s">
        <v>640</v>
      </c>
      <c r="AL990" s="1415"/>
      <c r="AM990" s="1323"/>
      <c r="AN990" s="1323"/>
      <c r="AO990" s="1323"/>
      <c r="AP990" s="1323"/>
      <c r="AQ990" s="1323"/>
      <c r="AR990" s="987"/>
      <c r="AS990" s="978" t="str">
        <f t="shared" si="168"/>
        <v>單</v>
      </c>
      <c r="AT990" s="978" t="str">
        <f t="shared" si="169"/>
        <v>全</v>
      </c>
      <c r="AU990" s="978" t="str">
        <f t="shared" si="170"/>
        <v/>
      </c>
      <c r="AV990" s="978" t="str">
        <f t="shared" si="171"/>
        <v/>
      </c>
    </row>
    <row r="991" spans="1:48">
      <c r="A991" s="975">
        <f t="shared" si="166"/>
        <v>46167</v>
      </c>
      <c r="B991" s="976" t="s">
        <v>248</v>
      </c>
      <c r="C991" s="988" t="s">
        <v>16185</v>
      </c>
      <c r="D991" s="1410"/>
      <c r="E991" s="977" t="str">
        <f>IFERROR(VLOOKUP(C991, [6]條件!$A:$L, 5, 0), "")</f>
        <v/>
      </c>
      <c r="F991" s="978" t="str">
        <f>IFERROR(VLOOKUP(C991, [6]條件!$A:$L, 6, 0), "")</f>
        <v/>
      </c>
      <c r="G991" s="1411" t="str">
        <f>IFERROR(VLOOKUP(C991, [6]條件!$A:$L, 7, 0), "")</f>
        <v/>
      </c>
      <c r="H991" s="978" t="str">
        <f>IF(ISNA(VLOOKUP(C991,[6]條件!$A$1:$K$932,11,0)),"",(VLOOKUP(C991,[6]條件!$A$1:$K$932,11,0)))</f>
        <v/>
      </c>
      <c r="I991" s="979" t="str">
        <f>IF(ISNA(VLOOKUP(C991,[6]條件!$A$1:$L$932,12,0)),"",(VLOOKUP(C991,[6]條件!$A$1:$L$932,12,0)))</f>
        <v/>
      </c>
      <c r="J991" s="982"/>
      <c r="K991" s="980"/>
      <c r="L991" s="981" t="s">
        <v>632</v>
      </c>
      <c r="M991" s="983"/>
      <c r="N991" s="982"/>
      <c r="O991" s="980"/>
      <c r="P991" s="981" t="s">
        <v>632</v>
      </c>
      <c r="Q991" s="983"/>
      <c r="R991" s="982"/>
      <c r="S991" s="980"/>
      <c r="T991" s="981" t="s">
        <v>632</v>
      </c>
      <c r="U991" s="983"/>
      <c r="V991" s="982"/>
      <c r="W991" s="980"/>
      <c r="X991" s="981" t="s">
        <v>632</v>
      </c>
      <c r="Y991" s="983"/>
      <c r="Z991" s="1412" t="str">
        <f>IFERROR(VLOOKUP(C991, [6]條件!$A:$L, 3, 0), "")</f>
        <v/>
      </c>
      <c r="AA991" s="984" t="str">
        <f>IF(OR(L991={"改紡","檢修","了機","清車","FINAL","停機","SAMPLE","TEST","絲開發"}), L991, IFERROR(IF(C991="", "", (SUM(J991, N991, R991, V991)/3 * AG991) * IF(AND(AF991="S", AS991="雙"), 0.5, 1)), ""))</f>
        <v>停機</v>
      </c>
      <c r="AB991" s="1413" t="str">
        <f t="shared" si="173"/>
        <v/>
      </c>
      <c r="AC991" s="984" t="str">
        <f>IF(OR(L991={"改紡","檢修","了機","清車","FINAL","停機","SAMPLE","TEST"}), "", IFERROR(IF(C991="", "", AVERAGE(L991:M991, P991:Q991, T991:U991, X991:Y991)/100), ""))</f>
        <v/>
      </c>
      <c r="AD991" s="984" t="str">
        <f t="shared" si="172"/>
        <v/>
      </c>
      <c r="AE991" s="984" t="str">
        <f t="shared" si="174"/>
        <v/>
      </c>
      <c r="AF991" s="985" t="str">
        <f t="shared" si="167"/>
        <v>M</v>
      </c>
      <c r="AG991" s="1414">
        <v>1</v>
      </c>
      <c r="AH991" s="1002" t="s">
        <v>640</v>
      </c>
      <c r="AI991" s="1002" t="s">
        <v>640</v>
      </c>
      <c r="AJ991" s="986" t="s">
        <v>640</v>
      </c>
      <c r="AK991" s="986" t="s">
        <v>640</v>
      </c>
      <c r="AL991" s="1415"/>
      <c r="AM991" s="1323"/>
      <c r="AN991" s="1323"/>
      <c r="AO991" s="1323"/>
      <c r="AP991" s="1323"/>
      <c r="AQ991" s="1323"/>
      <c r="AR991" s="987"/>
      <c r="AS991" s="978" t="str">
        <f t="shared" si="168"/>
        <v>單</v>
      </c>
      <c r="AT991" s="978" t="str">
        <f t="shared" si="169"/>
        <v>全</v>
      </c>
      <c r="AU991" s="978" t="str">
        <f t="shared" si="170"/>
        <v/>
      </c>
      <c r="AV991" s="978" t="str">
        <f t="shared" si="171"/>
        <v/>
      </c>
    </row>
    <row r="992" spans="1:48" ht="17.25" thickBot="1">
      <c r="A992" s="989">
        <f t="shared" si="166"/>
        <v>46167</v>
      </c>
      <c r="B992" s="990" t="s">
        <v>249</v>
      </c>
      <c r="C992" s="991" t="s">
        <v>16185</v>
      </c>
      <c r="D992" s="1425"/>
      <c r="E992" s="1169" t="str">
        <f>IFERROR(VLOOKUP(C992, [6]條件!$A:$L, 5, 0), "")</f>
        <v/>
      </c>
      <c r="F992" s="992" t="str">
        <f>IFERROR(VLOOKUP(C992, [6]條件!$A:$L, 6, 0), "")</f>
        <v/>
      </c>
      <c r="G992" s="1426" t="str">
        <f>IFERROR(VLOOKUP(C992, [6]條件!$A:$L, 7, 0), "")</f>
        <v/>
      </c>
      <c r="H992" s="992" t="str">
        <f>IF(ISNA(VLOOKUP(C992,[6]條件!$A$1:$K$932,11,0)),"",(VLOOKUP(C992,[6]條件!$A$1:$K$932,11,0)))</f>
        <v/>
      </c>
      <c r="I992" s="1170" t="str">
        <f>IF(ISNA(VLOOKUP(C992,[6]條件!$A$1:$L$932,12,0)),"",(VLOOKUP(C992,[6]條件!$A$1:$L$932,12,0)))</f>
        <v/>
      </c>
      <c r="J992" s="995"/>
      <c r="K992" s="993"/>
      <c r="L992" s="994" t="s">
        <v>632</v>
      </c>
      <c r="M992" s="996"/>
      <c r="N992" s="995"/>
      <c r="O992" s="993"/>
      <c r="P992" s="994" t="s">
        <v>632</v>
      </c>
      <c r="Q992" s="996"/>
      <c r="R992" s="995"/>
      <c r="S992" s="993"/>
      <c r="T992" s="994" t="s">
        <v>632</v>
      </c>
      <c r="U992" s="996"/>
      <c r="V992" s="995"/>
      <c r="W992" s="993"/>
      <c r="X992" s="994" t="s">
        <v>632</v>
      </c>
      <c r="Y992" s="996"/>
      <c r="Z992" s="1427" t="str">
        <f>IFERROR(VLOOKUP(C992, [6]條件!$A:$L, 3, 0), "")</f>
        <v/>
      </c>
      <c r="AA992" s="997" t="str">
        <f>IF(OR(L992={"改紡","檢修","了機","清車","FINAL","停機","SAMPLE","TEST","絲開發"}), L992, IFERROR(IF(C992="", "", (SUM(J992, N992, R992, V992)/3 * AG992) * IF(AND(AF992="S", AS992="雙"), 0.5, 1)), ""))</f>
        <v>停機</v>
      </c>
      <c r="AB992" s="1428" t="str">
        <f t="shared" si="173"/>
        <v/>
      </c>
      <c r="AC992" s="997" t="str">
        <f>IF(OR(L992={"改紡","檢修","了機","清車","FINAL","停機","SAMPLE","TEST"}), "", IFERROR(IF(C992="", "", AVERAGE(L992:M992, P992:Q992, T992:U992, X992:Y992)/100), ""))</f>
        <v/>
      </c>
      <c r="AD992" s="997" t="str">
        <f t="shared" si="172"/>
        <v/>
      </c>
      <c r="AE992" s="997" t="str">
        <f t="shared" si="174"/>
        <v/>
      </c>
      <c r="AF992" s="998" t="str">
        <f t="shared" si="167"/>
        <v>M</v>
      </c>
      <c r="AG992" s="1429">
        <v>1</v>
      </c>
      <c r="AH992" s="1171" t="s">
        <v>640</v>
      </c>
      <c r="AI992" s="1171" t="s">
        <v>640</v>
      </c>
      <c r="AJ992" s="999" t="s">
        <v>640</v>
      </c>
      <c r="AK992" s="999" t="s">
        <v>640</v>
      </c>
      <c r="AL992" s="1431"/>
      <c r="AM992" s="1325"/>
      <c r="AN992" s="1325"/>
      <c r="AO992" s="1325"/>
      <c r="AP992" s="1325"/>
      <c r="AQ992" s="1325"/>
      <c r="AR992" s="1000"/>
      <c r="AS992" s="992" t="str">
        <f t="shared" si="168"/>
        <v>單</v>
      </c>
      <c r="AT992" s="992" t="str">
        <f t="shared" si="169"/>
        <v>全</v>
      </c>
      <c r="AU992" s="992" t="str">
        <f t="shared" si="170"/>
        <v/>
      </c>
      <c r="AV992" s="992" t="str">
        <f t="shared" si="171"/>
        <v/>
      </c>
    </row>
    <row r="993" spans="1:48">
      <c r="A993" s="962">
        <v>46168</v>
      </c>
      <c r="B993" s="963" t="s">
        <v>212</v>
      </c>
      <c r="C993" s="963" t="s">
        <v>632</v>
      </c>
      <c r="D993" s="1403"/>
      <c r="E993" s="964" t="str">
        <f>IFERROR(VLOOKUP(C993, [6]條件!$A:$L, 5, 0), "")</f>
        <v/>
      </c>
      <c r="F993" s="965" t="str">
        <f>IFERROR(VLOOKUP(C993, [6]條件!$A:$L, 6, 0), "")</f>
        <v/>
      </c>
      <c r="G993" s="1404" t="str">
        <f>IFERROR(VLOOKUP(C993, [6]條件!$A:$L, 7, 0), "")</f>
        <v/>
      </c>
      <c r="H993" s="965" t="str">
        <f>IF(ISNA(VLOOKUP(C993,[6]條件!$A$1:$K$932,11,0)),"",(VLOOKUP(C993,[6]條件!$A$1:$K$932,11,0)))</f>
        <v/>
      </c>
      <c r="I993" s="966" t="str">
        <f>IF(ISNA(VLOOKUP(C993,[6]條件!$A$1:$L$932,12,0)),"",(VLOOKUP(C993,[6]條件!$A$1:$L$932,12,0)))</f>
        <v/>
      </c>
      <c r="J993" s="969"/>
      <c r="K993" s="967"/>
      <c r="L993" s="981" t="s">
        <v>632</v>
      </c>
      <c r="M993" s="970"/>
      <c r="N993" s="969"/>
      <c r="O993" s="967"/>
      <c r="P993" s="981" t="s">
        <v>632</v>
      </c>
      <c r="Q993" s="970"/>
      <c r="R993" s="969"/>
      <c r="S993" s="967"/>
      <c r="T993" s="981" t="s">
        <v>632</v>
      </c>
      <c r="U993" s="970"/>
      <c r="V993" s="969"/>
      <c r="W993" s="967"/>
      <c r="X993" s="981" t="s">
        <v>632</v>
      </c>
      <c r="Y993" s="970"/>
      <c r="Z993" s="1405" t="str">
        <f>IFERROR(VLOOKUP(C993, [6]條件!$A:$L, 3, 0), "")</f>
        <v/>
      </c>
      <c r="AA993" s="971" t="str">
        <f>IF(OR(L993={"改紡","檢修","了機","清車","FINAL","停機","SAMPLE","TEST","絲開發"}), L993, IFERROR(IF(C993="", "", (SUM(J993, N993, R993, V993)/3 * AG993) * IF(AND(AF993="S", AS993="雙"), 0.5, 1)), ""))</f>
        <v>停機</v>
      </c>
      <c r="AB993" s="1406" t="str">
        <f t="shared" si="173"/>
        <v/>
      </c>
      <c r="AC993" s="971" t="str">
        <f>IF(OR(L993={"改紡","檢修","了機","清車","FINAL","停機","SAMPLE","TEST"}), "", IFERROR(IF(C993="", "", AVERAGE(L993:M993, P993:Q993, T993:U993, X993:Y993)/100), ""))</f>
        <v/>
      </c>
      <c r="AD993" s="971" t="str">
        <f t="shared" si="172"/>
        <v/>
      </c>
      <c r="AE993" s="971" t="str">
        <f t="shared" si="174"/>
        <v/>
      </c>
      <c r="AF993" s="972" t="str">
        <f t="shared" si="167"/>
        <v>A</v>
      </c>
      <c r="AG993" s="1407">
        <v>1</v>
      </c>
      <c r="AH993" s="1001" t="s">
        <v>640</v>
      </c>
      <c r="AI993" s="1001" t="s">
        <v>640</v>
      </c>
      <c r="AJ993" s="1001" t="s">
        <v>640</v>
      </c>
      <c r="AK993" s="1001" t="s">
        <v>640</v>
      </c>
      <c r="AL993" s="1409"/>
      <c r="AM993" s="1322"/>
      <c r="AN993" s="1322"/>
      <c r="AO993" s="1322"/>
      <c r="AP993" s="1322"/>
      <c r="AQ993" s="1322"/>
      <c r="AR993" s="973"/>
      <c r="AS993" s="965" t="str">
        <f t="shared" si="168"/>
        <v>單</v>
      </c>
      <c r="AT993" s="965" t="str">
        <f t="shared" si="169"/>
        <v>全</v>
      </c>
      <c r="AU993" s="965" t="str">
        <f t="shared" si="170"/>
        <v/>
      </c>
      <c r="AV993" s="965" t="str">
        <f t="shared" si="171"/>
        <v/>
      </c>
    </row>
    <row r="994" spans="1:48">
      <c r="A994" s="975">
        <f t="shared" si="166"/>
        <v>46168</v>
      </c>
      <c r="B994" s="976" t="s">
        <v>214</v>
      </c>
      <c r="C994" s="976" t="s">
        <v>632</v>
      </c>
      <c r="D994" s="1410"/>
      <c r="E994" s="977" t="str">
        <f>IFERROR(VLOOKUP(C994, [6]條件!$A:$L, 5, 0), "")</f>
        <v/>
      </c>
      <c r="F994" s="978" t="str">
        <f>IFERROR(VLOOKUP(C994, [6]條件!$A:$L, 6, 0), "")</f>
        <v/>
      </c>
      <c r="G994" s="1411" t="str">
        <f>IFERROR(VLOOKUP(C994, [6]條件!$A:$L, 7, 0), "")</f>
        <v/>
      </c>
      <c r="H994" s="978" t="str">
        <f>IF(ISNA(VLOOKUP(C994,[6]條件!$A$1:$K$932,11,0)),"",(VLOOKUP(C994,[6]條件!$A$1:$K$932,11,0)))</f>
        <v/>
      </c>
      <c r="I994" s="979" t="str">
        <f>IF(ISNA(VLOOKUP(C994,[6]條件!$A$1:$L$932,12,0)),"",(VLOOKUP(C994,[6]條件!$A$1:$L$932,12,0)))</f>
        <v/>
      </c>
      <c r="J994" s="982"/>
      <c r="K994" s="980"/>
      <c r="L994" s="981" t="s">
        <v>632</v>
      </c>
      <c r="M994" s="983"/>
      <c r="N994" s="982"/>
      <c r="O994" s="980"/>
      <c r="P994" s="981" t="s">
        <v>632</v>
      </c>
      <c r="Q994" s="983"/>
      <c r="R994" s="982"/>
      <c r="S994" s="980"/>
      <c r="T994" s="981" t="s">
        <v>632</v>
      </c>
      <c r="U994" s="983"/>
      <c r="V994" s="982"/>
      <c r="W994" s="980"/>
      <c r="X994" s="981" t="s">
        <v>632</v>
      </c>
      <c r="Y994" s="983"/>
      <c r="Z994" s="1412" t="str">
        <f>IFERROR(VLOOKUP(C994, [6]條件!$A:$L, 3, 0), "")</f>
        <v/>
      </c>
      <c r="AA994" s="984" t="str">
        <f>IF(OR(L994={"改紡","檢修","了機","清車","FINAL","停機","SAMPLE","TEST","絲開發"}), L994, IFERROR(IF(C994="", "", (SUM(J994, N994, R994, V994)/3 * AG994) * IF(AND(AF994="S", AS994="雙"), 0.5, 1)), ""))</f>
        <v>停機</v>
      </c>
      <c r="AB994" s="1413" t="str">
        <f t="shared" si="173"/>
        <v/>
      </c>
      <c r="AC994" s="984" t="str">
        <f>IF(OR(L994={"改紡","檢修","了機","清車","FINAL","停機","SAMPLE","TEST"}), "", IFERROR(IF(C994="", "", AVERAGE(L994:M994, P994:Q994, T994:U994, X994:Y994)/100), ""))</f>
        <v/>
      </c>
      <c r="AD994" s="984" t="str">
        <f t="shared" si="172"/>
        <v/>
      </c>
      <c r="AE994" s="984" t="str">
        <f t="shared" si="174"/>
        <v/>
      </c>
      <c r="AF994" s="985" t="str">
        <f t="shared" si="167"/>
        <v>A</v>
      </c>
      <c r="AG994" s="1414">
        <v>1</v>
      </c>
      <c r="AH994" s="1002" t="s">
        <v>16011</v>
      </c>
      <c r="AI994" s="1002" t="s">
        <v>16011</v>
      </c>
      <c r="AJ994" s="1002" t="s">
        <v>640</v>
      </c>
      <c r="AK994" s="1002" t="s">
        <v>640</v>
      </c>
      <c r="AL994" s="1415"/>
      <c r="AM994" s="1323"/>
      <c r="AN994" s="1323"/>
      <c r="AO994" s="1323"/>
      <c r="AP994" s="1323"/>
      <c r="AQ994" s="1323"/>
      <c r="AR994" s="987"/>
      <c r="AS994" s="978" t="str">
        <f t="shared" si="168"/>
        <v>單</v>
      </c>
      <c r="AT994" s="978" t="str">
        <f t="shared" si="169"/>
        <v>全</v>
      </c>
      <c r="AU994" s="978" t="str">
        <f t="shared" si="170"/>
        <v/>
      </c>
      <c r="AV994" s="978" t="str">
        <f t="shared" si="171"/>
        <v/>
      </c>
    </row>
    <row r="995" spans="1:48">
      <c r="A995" s="975">
        <f t="shared" si="166"/>
        <v>46168</v>
      </c>
      <c r="B995" s="976" t="s">
        <v>215</v>
      </c>
      <c r="C995" s="976" t="s">
        <v>632</v>
      </c>
      <c r="D995" s="1410"/>
      <c r="E995" s="977" t="str">
        <f>IFERROR(VLOOKUP(C995, [6]條件!$A:$L, 5, 0), "")</f>
        <v/>
      </c>
      <c r="F995" s="978" t="str">
        <f>IFERROR(VLOOKUP(C995, [6]條件!$A:$L, 6, 0), "")</f>
        <v/>
      </c>
      <c r="G995" s="1411" t="str">
        <f>IFERROR(VLOOKUP(C995, [6]條件!$A:$L, 7, 0), "")</f>
        <v/>
      </c>
      <c r="H995" s="978" t="str">
        <f>IF(ISNA(VLOOKUP(C995,[6]條件!$A$1:$K$932,11,0)),"",(VLOOKUP(C995,[6]條件!$A$1:$K$932,11,0)))</f>
        <v/>
      </c>
      <c r="I995" s="979" t="str">
        <f>IF(ISNA(VLOOKUP(C995,[6]條件!$A$1:$L$932,12,0)),"",(VLOOKUP(C995,[6]條件!$A$1:$L$932,12,0)))</f>
        <v/>
      </c>
      <c r="J995" s="982"/>
      <c r="K995" s="980"/>
      <c r="L995" s="981" t="s">
        <v>632</v>
      </c>
      <c r="M995" s="983"/>
      <c r="N995" s="982"/>
      <c r="O995" s="980"/>
      <c r="P995" s="981" t="s">
        <v>632</v>
      </c>
      <c r="Q995" s="983"/>
      <c r="R995" s="982"/>
      <c r="S995" s="980"/>
      <c r="T995" s="981" t="s">
        <v>632</v>
      </c>
      <c r="U995" s="983"/>
      <c r="V995" s="982"/>
      <c r="W995" s="980"/>
      <c r="X995" s="981" t="s">
        <v>632</v>
      </c>
      <c r="Y995" s="983"/>
      <c r="Z995" s="1412" t="str">
        <f>IFERROR(VLOOKUP(C995, [6]條件!$A:$L, 3, 0), "")</f>
        <v/>
      </c>
      <c r="AA995" s="984" t="str">
        <f>IF(OR(L995={"改紡","檢修","了機","清車","FINAL","停機","SAMPLE","TEST","絲開發"}), L995, IFERROR(IF(C995="", "", (SUM(J995, N995, R995, V995)/3 * AG995) * IF(AND(AF995="S", AS995="雙"), 0.5, 1)), ""))</f>
        <v>停機</v>
      </c>
      <c r="AB995" s="1413" t="str">
        <f t="shared" si="173"/>
        <v/>
      </c>
      <c r="AC995" s="984" t="str">
        <f>IF(OR(L995={"改紡","檢修","了機","清車","FINAL","停機","SAMPLE","TEST"}), "", IFERROR(IF(C995="", "", AVERAGE(L995:M995, P995:Q995, T995:U995, X995:Y995)/100), ""))</f>
        <v/>
      </c>
      <c r="AD995" s="984" t="str">
        <f t="shared" si="172"/>
        <v/>
      </c>
      <c r="AE995" s="984" t="str">
        <f t="shared" si="174"/>
        <v/>
      </c>
      <c r="AF995" s="985" t="str">
        <f t="shared" si="167"/>
        <v>A</v>
      </c>
      <c r="AG995" s="1414">
        <v>1</v>
      </c>
      <c r="AH995" s="1002" t="s">
        <v>16011</v>
      </c>
      <c r="AI995" s="1002" t="s">
        <v>16011</v>
      </c>
      <c r="AJ995" s="1002" t="s">
        <v>16011</v>
      </c>
      <c r="AK995" s="1002" t="s">
        <v>16011</v>
      </c>
      <c r="AL995" s="1415"/>
      <c r="AM995" s="1323"/>
      <c r="AN995" s="1323"/>
      <c r="AO995" s="1323"/>
      <c r="AP995" s="1323"/>
      <c r="AQ995" s="1323"/>
      <c r="AR995" s="987"/>
      <c r="AS995" s="978" t="str">
        <f t="shared" si="168"/>
        <v>單</v>
      </c>
      <c r="AT995" s="978" t="str">
        <f t="shared" si="169"/>
        <v>全</v>
      </c>
      <c r="AU995" s="978" t="str">
        <f t="shared" si="170"/>
        <v/>
      </c>
      <c r="AV995" s="978" t="str">
        <f t="shared" si="171"/>
        <v/>
      </c>
    </row>
    <row r="996" spans="1:48">
      <c r="A996" s="975">
        <f t="shared" si="166"/>
        <v>46168</v>
      </c>
      <c r="B996" s="976" t="s">
        <v>216</v>
      </c>
      <c r="C996" s="976" t="s">
        <v>632</v>
      </c>
      <c r="D996" s="1410"/>
      <c r="E996" s="977" t="str">
        <f>IFERROR(VLOOKUP(C996, [6]條件!$A:$L, 5, 0), "")</f>
        <v/>
      </c>
      <c r="F996" s="978" t="str">
        <f>IFERROR(VLOOKUP(C996, [6]條件!$A:$L, 6, 0), "")</f>
        <v/>
      </c>
      <c r="G996" s="1411" t="str">
        <f>IFERROR(VLOOKUP(C996, [6]條件!$A:$L, 7, 0), "")</f>
        <v/>
      </c>
      <c r="H996" s="978" t="str">
        <f>IF(ISNA(VLOOKUP(C996,[6]條件!$A$1:$K$932,11,0)),"",(VLOOKUP(C996,[6]條件!$A$1:$K$932,11,0)))</f>
        <v/>
      </c>
      <c r="I996" s="979" t="str">
        <f>IF(ISNA(VLOOKUP(C996,[6]條件!$A$1:$L$932,12,0)),"",(VLOOKUP(C996,[6]條件!$A$1:$L$932,12,0)))</f>
        <v/>
      </c>
      <c r="J996" s="982"/>
      <c r="K996" s="980"/>
      <c r="L996" s="981" t="s">
        <v>632</v>
      </c>
      <c r="M996" s="983"/>
      <c r="N996" s="982"/>
      <c r="O996" s="980"/>
      <c r="P996" s="981" t="s">
        <v>632</v>
      </c>
      <c r="Q996" s="983"/>
      <c r="R996" s="982"/>
      <c r="S996" s="980"/>
      <c r="T996" s="981" t="s">
        <v>632</v>
      </c>
      <c r="U996" s="983"/>
      <c r="V996" s="982"/>
      <c r="W996" s="980"/>
      <c r="X996" s="981" t="s">
        <v>632</v>
      </c>
      <c r="Y996" s="983"/>
      <c r="Z996" s="1412" t="str">
        <f>IFERROR(VLOOKUP(C996, [6]條件!$A:$L, 3, 0), "")</f>
        <v/>
      </c>
      <c r="AA996" s="984" t="str">
        <f>IF(OR(L996={"改紡","檢修","了機","清車","FINAL","停機","SAMPLE","TEST","絲開發"}), L996, IFERROR(IF(C996="", "", (SUM(J996, N996, R996, V996)/3 * AG996) * IF(AND(AF996="S", AS996="雙"), 0.5, 1)), ""))</f>
        <v>停機</v>
      </c>
      <c r="AB996" s="1413" t="str">
        <f t="shared" si="173"/>
        <v/>
      </c>
      <c r="AC996" s="984" t="str">
        <f>IF(OR(L996={"改紡","檢修","了機","清車","FINAL","停機","SAMPLE","TEST"}), "", IFERROR(IF(C996="", "", AVERAGE(L996:M996, P996:Q996, T996:U996, X996:Y996)/100), ""))</f>
        <v/>
      </c>
      <c r="AD996" s="984" t="str">
        <f t="shared" si="172"/>
        <v/>
      </c>
      <c r="AE996" s="984" t="str">
        <f t="shared" si="174"/>
        <v/>
      </c>
      <c r="AF996" s="985" t="str">
        <f t="shared" si="167"/>
        <v>A</v>
      </c>
      <c r="AG996" s="1414">
        <v>1</v>
      </c>
      <c r="AH996" s="1002" t="s">
        <v>16011</v>
      </c>
      <c r="AI996" s="1002" t="s">
        <v>16011</v>
      </c>
      <c r="AJ996" s="1002" t="s">
        <v>16011</v>
      </c>
      <c r="AK996" s="1002" t="s">
        <v>16011</v>
      </c>
      <c r="AL996" s="1415"/>
      <c r="AM996" s="1323"/>
      <c r="AN996" s="1323"/>
      <c r="AO996" s="1323"/>
      <c r="AP996" s="1323"/>
      <c r="AQ996" s="1323"/>
      <c r="AR996" s="987"/>
      <c r="AS996" s="978" t="str">
        <f t="shared" si="168"/>
        <v>單</v>
      </c>
      <c r="AT996" s="978" t="str">
        <f t="shared" si="169"/>
        <v>全</v>
      </c>
      <c r="AU996" s="978" t="str">
        <f t="shared" si="170"/>
        <v/>
      </c>
      <c r="AV996" s="978" t="str">
        <f t="shared" si="171"/>
        <v/>
      </c>
    </row>
    <row r="997" spans="1:48">
      <c r="A997" s="975">
        <f t="shared" si="166"/>
        <v>46168</v>
      </c>
      <c r="B997" s="976" t="s">
        <v>217</v>
      </c>
      <c r="C997" s="976" t="s">
        <v>16790</v>
      </c>
      <c r="D997" s="1410"/>
      <c r="E997" s="977" t="str">
        <f>IFERROR(VLOOKUP(C997, [6]條件!$A:$L, 5, 0), "")</f>
        <v>75/72SRR5</v>
      </c>
      <c r="F997" s="978" t="str">
        <f>IFERROR(VLOOKUP(C997, [6]條件!$A:$L, 6, 0), "")</f>
        <v>FP81631R</v>
      </c>
      <c r="G997" s="1411">
        <f>IFERROR(VLOOKUP(C997, [6]條件!$A:$L, 7, 0), "")</f>
        <v>600</v>
      </c>
      <c r="H997" s="978" t="str">
        <f>IF(ISNA(VLOOKUP(C997,[6]條件!$A$1:$K$932,11,0)),"",(VLOOKUP(C997,[6]條件!$A$1:$K$932,11,0)))</f>
        <v>白藍條</v>
      </c>
      <c r="I997" s="979">
        <f>IF(ISNA(VLOOKUP(C997,[6]條件!$A$1:$L$932,12,0)),"",(VLOOKUP(C997,[6]條件!$A$1:$L$932,12,0)))</f>
        <v>4</v>
      </c>
      <c r="J997" s="982">
        <v>34</v>
      </c>
      <c r="K997" s="980">
        <v>1</v>
      </c>
      <c r="L997" s="981">
        <v>9734</v>
      </c>
      <c r="M997" s="983">
        <v>9367</v>
      </c>
      <c r="N997" s="982">
        <v>12</v>
      </c>
      <c r="O997" s="980">
        <v>0</v>
      </c>
      <c r="P997" s="981">
        <v>9580</v>
      </c>
      <c r="Q997" s="983">
        <v>8986</v>
      </c>
      <c r="R997" s="982">
        <v>22</v>
      </c>
      <c r="S997" s="980">
        <v>1</v>
      </c>
      <c r="T997" s="981">
        <v>9526</v>
      </c>
      <c r="U997" s="983">
        <v>8884</v>
      </c>
      <c r="V997" s="982">
        <v>24</v>
      </c>
      <c r="W997" s="980">
        <v>0</v>
      </c>
      <c r="X997" s="981">
        <v>9537</v>
      </c>
      <c r="Y997" s="983">
        <v>8741</v>
      </c>
      <c r="Z997" s="1412">
        <f>IFERROR(VLOOKUP(C997, [6]條件!$A:$L, 3, 0), "")</f>
        <v>1.7625458996328029</v>
      </c>
      <c r="AA997" s="984">
        <f>IF(OR(L997={"改紡","檢修","了機","清車","FINAL","停機","SAMPLE","TEST","絲開發"}), L997, IFERROR(IF(C997="", "", (SUM(J997, N997, R997, V997)/3 * AG997) * IF(AND(AF997="S", AS997="雙"), 0.5, 1)), ""))</f>
        <v>30.666666666666668</v>
      </c>
      <c r="AB997" s="1413">
        <f t="shared" si="173"/>
        <v>0.99454460470085471</v>
      </c>
      <c r="AC997" s="984">
        <f>IF(OR(L997={"改紡","檢修","了機","清車","FINAL","停機","SAMPLE","TEST"}), "", IFERROR(IF(C997="", "", AVERAGE(L997:M997, P997:Q997, T997:U997, X997:Y997)/100), ""))</f>
        <v>92.943749999999994</v>
      </c>
      <c r="AD997" s="984">
        <f t="shared" si="172"/>
        <v>3.8333333333333335</v>
      </c>
      <c r="AE997" s="984">
        <f t="shared" si="174"/>
        <v>3.75</v>
      </c>
      <c r="AF997" s="985" t="str">
        <f t="shared" si="167"/>
        <v>A</v>
      </c>
      <c r="AG997" s="1414">
        <v>1</v>
      </c>
      <c r="AH997" s="1002" t="s">
        <v>16015</v>
      </c>
      <c r="AI997" s="1002" t="s">
        <v>16015</v>
      </c>
      <c r="AJ997" s="986" t="s">
        <v>15995</v>
      </c>
      <c r="AK997" s="986" t="s">
        <v>15995</v>
      </c>
      <c r="AL997" s="1415">
        <v>54</v>
      </c>
      <c r="AM997" s="1323">
        <v>46049</v>
      </c>
      <c r="AN997" s="1323">
        <v>46050</v>
      </c>
      <c r="AO997" s="1323">
        <v>46051</v>
      </c>
      <c r="AP997" s="1323">
        <v>46052</v>
      </c>
      <c r="AQ997" s="1323"/>
      <c r="AR997" s="987"/>
      <c r="AS997" s="978" t="str">
        <f t="shared" si="168"/>
        <v>單</v>
      </c>
      <c r="AT997" s="978" t="str">
        <f t="shared" si="169"/>
        <v>全</v>
      </c>
      <c r="AU997" s="978">
        <f t="shared" si="170"/>
        <v>75</v>
      </c>
      <c r="AV997" s="978">
        <f t="shared" si="171"/>
        <v>1.4454612</v>
      </c>
    </row>
    <row r="998" spans="1:48">
      <c r="A998" s="975">
        <f t="shared" si="166"/>
        <v>46168</v>
      </c>
      <c r="B998" s="976" t="s">
        <v>218</v>
      </c>
      <c r="C998" s="976" t="s">
        <v>632</v>
      </c>
      <c r="D998" s="1410"/>
      <c r="E998" s="977" t="str">
        <f>IFERROR(VLOOKUP(C998, [6]條件!$A:$L, 5, 0), "")</f>
        <v/>
      </c>
      <c r="F998" s="978" t="str">
        <f>IFERROR(VLOOKUP(C998, [6]條件!$A:$L, 6, 0), "")</f>
        <v/>
      </c>
      <c r="G998" s="1411" t="str">
        <f>IFERROR(VLOOKUP(C998, [6]條件!$A:$L, 7, 0), "")</f>
        <v/>
      </c>
      <c r="H998" s="978" t="str">
        <f>IF(ISNA(VLOOKUP(C998,[6]條件!$A$1:$K$932,11,0)),"",(VLOOKUP(C998,[6]條件!$A$1:$K$932,11,0)))</f>
        <v/>
      </c>
      <c r="I998" s="979" t="str">
        <f>IF(ISNA(VLOOKUP(C998,[6]條件!$A$1:$L$932,12,0)),"",(VLOOKUP(C998,[6]條件!$A$1:$L$932,12,0)))</f>
        <v/>
      </c>
      <c r="J998" s="982"/>
      <c r="K998" s="980"/>
      <c r="L998" s="981" t="s">
        <v>632</v>
      </c>
      <c r="M998" s="983"/>
      <c r="N998" s="982"/>
      <c r="O998" s="980"/>
      <c r="P998" s="981" t="s">
        <v>632</v>
      </c>
      <c r="Q998" s="983"/>
      <c r="R998" s="982"/>
      <c r="S998" s="980"/>
      <c r="T998" s="981" t="s">
        <v>632</v>
      </c>
      <c r="U998" s="983"/>
      <c r="V998" s="982"/>
      <c r="W998" s="980"/>
      <c r="X998" s="981" t="s">
        <v>632</v>
      </c>
      <c r="Y998" s="983"/>
      <c r="Z998" s="1412" t="str">
        <f>IFERROR(VLOOKUP(C998, [6]條件!$A:$L, 3, 0), "")</f>
        <v/>
      </c>
      <c r="AA998" s="984" t="str">
        <f>IF(OR(L998={"改紡","檢修","了機","清車","FINAL","停機","SAMPLE","TEST","絲開發"}), L998, IFERROR(IF(C998="", "", (SUM(J998, N998, R998, V998)/3 * AG998) * IF(AND(AF998="S", AS998="雙"), 0.5, 1)), ""))</f>
        <v>停機</v>
      </c>
      <c r="AB998" s="1413" t="str">
        <f t="shared" si="173"/>
        <v/>
      </c>
      <c r="AC998" s="984" t="str">
        <f>IF(OR(L998={"改紡","檢修","了機","清車","FINAL","停機","SAMPLE","TEST"}), "", IFERROR(IF(C998="", "", AVERAGE(L998:M998, P998:Q998, T998:U998, X998:Y998)/100), ""))</f>
        <v/>
      </c>
      <c r="AD998" s="984" t="str">
        <f t="shared" si="172"/>
        <v/>
      </c>
      <c r="AE998" s="984" t="str">
        <f t="shared" si="174"/>
        <v/>
      </c>
      <c r="AF998" s="985" t="str">
        <f t="shared" si="167"/>
        <v>A</v>
      </c>
      <c r="AG998" s="1414">
        <v>1</v>
      </c>
      <c r="AH998" s="1002" t="s">
        <v>640</v>
      </c>
      <c r="AI998" s="1002" t="s">
        <v>640</v>
      </c>
      <c r="AJ998" s="986" t="s">
        <v>640</v>
      </c>
      <c r="AK998" s="986" t="s">
        <v>640</v>
      </c>
      <c r="AL998" s="1415"/>
      <c r="AM998" s="1323"/>
      <c r="AN998" s="1323"/>
      <c r="AO998" s="1323"/>
      <c r="AP998" s="1323"/>
      <c r="AQ998" s="1323"/>
      <c r="AR998" s="987"/>
      <c r="AS998" s="978" t="str">
        <f t="shared" si="168"/>
        <v>單</v>
      </c>
      <c r="AT998" s="978" t="str">
        <f t="shared" si="169"/>
        <v>全</v>
      </c>
      <c r="AU998" s="978" t="str">
        <f t="shared" si="170"/>
        <v/>
      </c>
      <c r="AV998" s="978" t="str">
        <f t="shared" si="171"/>
        <v/>
      </c>
    </row>
    <row r="999" spans="1:48">
      <c r="A999" s="975">
        <f t="shared" si="166"/>
        <v>46168</v>
      </c>
      <c r="B999" s="976" t="s">
        <v>219</v>
      </c>
      <c r="C999" s="976" t="s">
        <v>16745</v>
      </c>
      <c r="D999" s="1410" t="s">
        <v>16748</v>
      </c>
      <c r="E999" s="977" t="str">
        <f>IFERROR(VLOOKUP(C999, [6]條件!$A:$L, 5, 0), "")</f>
        <v>50/72BSD3</v>
      </c>
      <c r="F999" s="978" t="str">
        <f>IFERROR(VLOOKUP(C999, [6]條件!$A:$L, 6, 0), "")</f>
        <v>FP80141</v>
      </c>
      <c r="G999" s="1411">
        <f>IFERROR(VLOOKUP(C999, [6]條件!$A:$L, 7, 0), "")</f>
        <v>630</v>
      </c>
      <c r="H999" s="978" t="str">
        <f>IF(ISNA(VLOOKUP(C999,[6]條件!$A$1:$K$932,11,0)),"",(VLOOKUP(C999,[6]條件!$A$1:$K$932,11,0)))</f>
        <v>洋綠色</v>
      </c>
      <c r="I999" s="979">
        <f>IF(ISNA(VLOOKUP(C999,[6]條件!$A$1:$L$932,12,0)),"",(VLOOKUP(C999,[6]條件!$A$1:$L$932,12,0)))</f>
        <v>2</v>
      </c>
      <c r="J999" s="982">
        <v>13</v>
      </c>
      <c r="K999" s="980">
        <v>0</v>
      </c>
      <c r="L999" s="981">
        <v>9604</v>
      </c>
      <c r="M999" s="983">
        <v>9856</v>
      </c>
      <c r="N999" s="982">
        <v>9</v>
      </c>
      <c r="O999" s="980">
        <v>0</v>
      </c>
      <c r="P999" s="981">
        <v>9582</v>
      </c>
      <c r="Q999" s="983">
        <v>9711</v>
      </c>
      <c r="R999" s="982">
        <v>18</v>
      </c>
      <c r="S999" s="980">
        <v>2</v>
      </c>
      <c r="T999" s="981">
        <v>9530</v>
      </c>
      <c r="U999" s="983">
        <v>9724</v>
      </c>
      <c r="V999" s="982">
        <v>29</v>
      </c>
      <c r="W999" s="980">
        <v>0</v>
      </c>
      <c r="X999" s="981">
        <v>9366</v>
      </c>
      <c r="Y999" s="983">
        <v>9810</v>
      </c>
      <c r="Z999" s="1412">
        <f>IFERROR(VLOOKUP(C999, [6]條件!$A:$L, 3, 0), "")</f>
        <v>2.4615384615384617</v>
      </c>
      <c r="AA999" s="984">
        <f>IF(OR(L999={"改紡","檢修","了機","清車","FINAL","停機","SAMPLE","TEST","絲開發"}), L999, IFERROR(IF(C999="", "", (SUM(J999, N999, R999, V999)/3 * AG999) * IF(AND(AF999="S", AS999="雙"), 0.5, 1)), ""))</f>
        <v>23</v>
      </c>
      <c r="AB999" s="1413">
        <f t="shared" si="173"/>
        <v>0.99609375</v>
      </c>
      <c r="AC999" s="984">
        <f>IF(OR(L999={"改紡","檢修","了機","清車","FINAL","停機","SAMPLE","TEST"}), "", IFERROR(IF(C999="", "", AVERAGE(L999:M999, P999:Q999, T999:U999, X999:Y999)/100), ""))</f>
        <v>96.478750000000005</v>
      </c>
      <c r="AD999" s="984">
        <f t="shared" si="172"/>
        <v>2.875</v>
      </c>
      <c r="AE999" s="984">
        <f t="shared" si="174"/>
        <v>2.7916666666666665</v>
      </c>
      <c r="AF999" s="985" t="str">
        <f t="shared" si="167"/>
        <v>A</v>
      </c>
      <c r="AG999" s="1414">
        <v>1</v>
      </c>
      <c r="AH999" s="1002" t="s">
        <v>16015</v>
      </c>
      <c r="AI999" s="1002" t="s">
        <v>16015</v>
      </c>
      <c r="AJ999" s="986" t="s">
        <v>15995</v>
      </c>
      <c r="AK999" s="986" t="s">
        <v>15995</v>
      </c>
      <c r="AL999" s="1415">
        <v>57</v>
      </c>
      <c r="AM999" s="1324">
        <v>46091</v>
      </c>
      <c r="AN999" s="1323">
        <v>46092</v>
      </c>
      <c r="AO999" s="1323"/>
      <c r="AP999" s="1323"/>
      <c r="AQ999" s="1323"/>
      <c r="AR999" s="987"/>
      <c r="AS999" s="978" t="str">
        <f t="shared" si="168"/>
        <v>單</v>
      </c>
      <c r="AT999" s="978" t="str">
        <f t="shared" si="169"/>
        <v>全</v>
      </c>
      <c r="AU999" s="978">
        <f t="shared" si="170"/>
        <v>50</v>
      </c>
      <c r="AV999" s="978">
        <f t="shared" si="171"/>
        <v>1.050306264</v>
      </c>
    </row>
    <row r="1000" spans="1:48">
      <c r="A1000" s="975">
        <f t="shared" si="166"/>
        <v>46168</v>
      </c>
      <c r="B1000" s="976" t="s">
        <v>220</v>
      </c>
      <c r="C1000" s="976" t="s">
        <v>632</v>
      </c>
      <c r="D1000" s="1410"/>
      <c r="E1000" s="977" t="str">
        <f>IFERROR(VLOOKUP(C1000, [6]條件!$A:$L, 5, 0), "")</f>
        <v/>
      </c>
      <c r="F1000" s="978" t="str">
        <f>IFERROR(VLOOKUP(C1000, [6]條件!$A:$L, 6, 0), "")</f>
        <v/>
      </c>
      <c r="G1000" s="1411" t="str">
        <f>IFERROR(VLOOKUP(C1000, [6]條件!$A:$L, 7, 0), "")</f>
        <v/>
      </c>
      <c r="H1000" s="978" t="str">
        <f>IF(ISNA(VLOOKUP(C1000,[6]條件!$A$1:$K$932,11,0)),"",(VLOOKUP(C1000,[6]條件!$A$1:$K$932,11,0)))</f>
        <v/>
      </c>
      <c r="I1000" s="979" t="str">
        <f>IF(ISNA(VLOOKUP(C1000,[6]條件!$A$1:$L$932,12,0)),"",(VLOOKUP(C1000,[6]條件!$A$1:$L$932,12,0)))</f>
        <v/>
      </c>
      <c r="J1000" s="982"/>
      <c r="K1000" s="980"/>
      <c r="L1000" s="981" t="s">
        <v>632</v>
      </c>
      <c r="M1000" s="983"/>
      <c r="N1000" s="982"/>
      <c r="O1000" s="980"/>
      <c r="P1000" s="981" t="s">
        <v>632</v>
      </c>
      <c r="Q1000" s="983"/>
      <c r="R1000" s="982"/>
      <c r="S1000" s="980"/>
      <c r="T1000" s="981" t="s">
        <v>632</v>
      </c>
      <c r="U1000" s="983"/>
      <c r="V1000" s="982"/>
      <c r="W1000" s="980"/>
      <c r="X1000" s="981" t="s">
        <v>632</v>
      </c>
      <c r="Y1000" s="983"/>
      <c r="Z1000" s="1412" t="str">
        <f>IFERROR(VLOOKUP(C1000, [6]條件!$A:$L, 3, 0), "")</f>
        <v/>
      </c>
      <c r="AA1000" s="984" t="str">
        <f>IF(OR(L1000={"改紡","檢修","了機","清車","FINAL","停機","SAMPLE","TEST","絲開發"}), L1000, IFERROR(IF(C1000="", "", (SUM(J1000, N1000, R1000, V1000)/3 * AG1000) * IF(AND(AF1000="S", AS1000="雙"), 0.5, 1)), ""))</f>
        <v>停機</v>
      </c>
      <c r="AB1000" s="1413" t="str">
        <f t="shared" si="173"/>
        <v/>
      </c>
      <c r="AC1000" s="984" t="str">
        <f>IF(OR(L1000={"改紡","檢修","了機","清車","FINAL","停機","SAMPLE","TEST"}), "", IFERROR(IF(C1000="", "", AVERAGE(L1000:M1000, P1000:Q1000, T1000:U1000, X1000:Y1000)/100), ""))</f>
        <v/>
      </c>
      <c r="AD1000" s="984" t="str">
        <f t="shared" si="172"/>
        <v/>
      </c>
      <c r="AE1000" s="984" t="str">
        <f t="shared" si="174"/>
        <v/>
      </c>
      <c r="AF1000" s="985" t="str">
        <f t="shared" si="167"/>
        <v>A</v>
      </c>
      <c r="AG1000" s="1414">
        <v>1</v>
      </c>
      <c r="AH1000" s="1002" t="s">
        <v>640</v>
      </c>
      <c r="AI1000" s="1002" t="s">
        <v>640</v>
      </c>
      <c r="AJ1000" s="986" t="s">
        <v>640</v>
      </c>
      <c r="AK1000" s="986" t="s">
        <v>640</v>
      </c>
      <c r="AL1000" s="1415"/>
      <c r="AM1000" s="1323"/>
      <c r="AN1000" s="1323"/>
      <c r="AO1000" s="1323"/>
      <c r="AP1000" s="1323"/>
      <c r="AQ1000" s="1323"/>
      <c r="AR1000" s="987"/>
      <c r="AS1000" s="978" t="str">
        <f t="shared" si="168"/>
        <v>單</v>
      </c>
      <c r="AT1000" s="978" t="str">
        <f t="shared" si="169"/>
        <v>全</v>
      </c>
      <c r="AU1000" s="978" t="str">
        <f t="shared" si="170"/>
        <v/>
      </c>
      <c r="AV1000" s="978" t="str">
        <f t="shared" si="171"/>
        <v/>
      </c>
    </row>
    <row r="1001" spans="1:48">
      <c r="A1001" s="975">
        <f t="shared" si="166"/>
        <v>46168</v>
      </c>
      <c r="B1001" s="976" t="s">
        <v>221</v>
      </c>
      <c r="C1001" s="976" t="s">
        <v>16763</v>
      </c>
      <c r="D1001" s="1410"/>
      <c r="E1001" s="977" t="str">
        <f>IFERROR(VLOOKUP(C1001, [6]條件!$A:$L, 5, 0), "")</f>
        <v>150/48CDR</v>
      </c>
      <c r="F1001" s="978" t="str">
        <f>IFERROR(VLOOKUP(C1001, [6]條件!$A:$L, 6, 0), "")</f>
        <v>FP82781</v>
      </c>
      <c r="G1001" s="1411">
        <f>IFERROR(VLOOKUP(C1001, [6]條件!$A:$L, 7, 0), "")</f>
        <v>600</v>
      </c>
      <c r="H1001" s="978" t="str">
        <f>IF(ISNA(VLOOKUP(C1001,[6]條件!$A$1:$K$932,11,0)),"",(VLOOKUP(C1001,[6]條件!$A$1:$K$932,11,0)))</f>
        <v>綠藍雙色</v>
      </c>
      <c r="I1001" s="979">
        <f>IF(ISNA(VLOOKUP(C1001,[6]條件!$A$1:$L$932,12,0)),"",(VLOOKUP(C1001,[6]條件!$A$1:$L$932,12,0)))</f>
        <v>5</v>
      </c>
      <c r="J1001" s="982">
        <v>9</v>
      </c>
      <c r="K1001" s="980">
        <v>0</v>
      </c>
      <c r="L1001" s="981">
        <v>8312</v>
      </c>
      <c r="M1001" s="983">
        <v>8221</v>
      </c>
      <c r="N1001" s="982"/>
      <c r="O1001" s="980"/>
      <c r="P1001" s="981" t="s">
        <v>15855</v>
      </c>
      <c r="Q1001" s="983"/>
      <c r="R1001" s="982"/>
      <c r="S1001" s="980"/>
      <c r="T1001" s="981" t="s">
        <v>627</v>
      </c>
      <c r="U1001" s="983"/>
      <c r="V1001" s="982"/>
      <c r="W1001" s="980"/>
      <c r="X1001" s="981" t="s">
        <v>632</v>
      </c>
      <c r="Y1001" s="983"/>
      <c r="Z1001" s="1412">
        <f>IFERROR(VLOOKUP(C1001, [6]條件!$A:$L, 3, 0), "")</f>
        <v>2.8685258964143427</v>
      </c>
      <c r="AA1001" s="984">
        <f>IF(OR(L1001={"改紡","檢修","了機","清車","FINAL","停機","SAMPLE","TEST","絲開發"}), L1001, IFERROR(IF(C1001="", "", (SUM(J1001, N1001, R1001, V1001)/3 * AG1001) * IF(AND(AF1001="S", AS1001="雙"), 0.5, 1)), ""))</f>
        <v>3</v>
      </c>
      <c r="AB1001" s="1413">
        <f t="shared" si="173"/>
        <v>1</v>
      </c>
      <c r="AC1001" s="984">
        <f>IF(OR(L1001={"改紡","檢修","了機","清車","FINAL","停機","SAMPLE","TEST"}), "", IFERROR(IF(C1001="", "", AVERAGE(L1001:M1001, P1001:Q1001, T1001:U1001, X1001:Y1001)/100), ""))</f>
        <v>82.665000000000006</v>
      </c>
      <c r="AD1001" s="984">
        <f t="shared" si="172"/>
        <v>0.375</v>
      </c>
      <c r="AE1001" s="984">
        <f t="shared" si="174"/>
        <v>0.375</v>
      </c>
      <c r="AF1001" s="985" t="str">
        <f t="shared" si="167"/>
        <v>A</v>
      </c>
      <c r="AG1001" s="1414">
        <v>1</v>
      </c>
      <c r="AH1001" s="1002" t="s">
        <v>16015</v>
      </c>
      <c r="AI1001" s="1002" t="s">
        <v>16015</v>
      </c>
      <c r="AJ1001" s="986" t="s">
        <v>15995</v>
      </c>
      <c r="AK1001" s="986" t="s">
        <v>15995</v>
      </c>
      <c r="AL1001" s="1415">
        <v>54</v>
      </c>
      <c r="AM1001" s="1323">
        <v>46163</v>
      </c>
      <c r="AN1001" s="1323">
        <v>46164</v>
      </c>
      <c r="AO1001" s="1323">
        <v>46165</v>
      </c>
      <c r="AP1001" s="1323">
        <v>46166</v>
      </c>
      <c r="AQ1001" s="1323"/>
      <c r="AR1001" s="987"/>
      <c r="AS1001" s="978" t="str">
        <f t="shared" si="168"/>
        <v>單</v>
      </c>
      <c r="AT1001" s="978" t="str">
        <f t="shared" si="169"/>
        <v>全</v>
      </c>
      <c r="AU1001" s="978">
        <f t="shared" si="170"/>
        <v>150</v>
      </c>
      <c r="AV1001" s="978">
        <f t="shared" si="171"/>
        <v>2.5712121600000004</v>
      </c>
    </row>
    <row r="1002" spans="1:48">
      <c r="A1002" s="975">
        <f t="shared" si="166"/>
        <v>46168</v>
      </c>
      <c r="B1002" s="976" t="s">
        <v>222</v>
      </c>
      <c r="C1002" s="976" t="s">
        <v>632</v>
      </c>
      <c r="D1002" s="1410"/>
      <c r="E1002" s="977" t="str">
        <f>IFERROR(VLOOKUP(C1002, [6]條件!$A:$L, 5, 0), "")</f>
        <v/>
      </c>
      <c r="F1002" s="978" t="str">
        <f>IFERROR(VLOOKUP(C1002, [6]條件!$A:$L, 6, 0), "")</f>
        <v/>
      </c>
      <c r="G1002" s="1411" t="str">
        <f>IFERROR(VLOOKUP(C1002, [6]條件!$A:$L, 7, 0), "")</f>
        <v/>
      </c>
      <c r="H1002" s="978" t="str">
        <f>IF(ISNA(VLOOKUP(C1002,[6]條件!$A$1:$K$932,11,0)),"",(VLOOKUP(C1002,[6]條件!$A$1:$K$932,11,0)))</f>
        <v/>
      </c>
      <c r="I1002" s="979" t="str">
        <f>IF(ISNA(VLOOKUP(C1002,[6]條件!$A$1:$L$932,12,0)),"",(VLOOKUP(C1002,[6]條件!$A$1:$L$932,12,0)))</f>
        <v/>
      </c>
      <c r="J1002" s="982"/>
      <c r="K1002" s="980"/>
      <c r="L1002" s="981" t="s">
        <v>632</v>
      </c>
      <c r="M1002" s="983"/>
      <c r="N1002" s="982"/>
      <c r="O1002" s="980"/>
      <c r="P1002" s="981" t="s">
        <v>632</v>
      </c>
      <c r="Q1002" s="983"/>
      <c r="R1002" s="982"/>
      <c r="S1002" s="980"/>
      <c r="T1002" s="981" t="s">
        <v>632</v>
      </c>
      <c r="U1002" s="983"/>
      <c r="V1002" s="982"/>
      <c r="W1002" s="980"/>
      <c r="X1002" s="981" t="s">
        <v>632</v>
      </c>
      <c r="Y1002" s="983"/>
      <c r="Z1002" s="1412" t="str">
        <f>IFERROR(VLOOKUP(C1002, [6]條件!$A:$L, 3, 0), "")</f>
        <v/>
      </c>
      <c r="AA1002" s="984" t="str">
        <f>IF(OR(L1002={"改紡","檢修","了機","清車","FINAL","停機","SAMPLE","TEST","絲開發"}), L1002, IFERROR(IF(C1002="", "", (SUM(J1002, N1002, R1002, V1002)/3 * AG1002) * IF(AND(AF1002="S", AS1002="雙"), 0.5, 1)), ""))</f>
        <v>停機</v>
      </c>
      <c r="AB1002" s="1413" t="str">
        <f t="shared" si="173"/>
        <v/>
      </c>
      <c r="AC1002" s="984" t="str">
        <f>IF(OR(L1002={"改紡","檢修","了機","清車","FINAL","停機","SAMPLE","TEST"}), "", IFERROR(IF(C1002="", "", AVERAGE(L1002:M1002, P1002:Q1002, T1002:U1002, X1002:Y1002)/100), ""))</f>
        <v/>
      </c>
      <c r="AD1002" s="984" t="str">
        <f t="shared" si="172"/>
        <v/>
      </c>
      <c r="AE1002" s="984" t="str">
        <f t="shared" si="174"/>
        <v/>
      </c>
      <c r="AF1002" s="985" t="str">
        <f t="shared" si="167"/>
        <v>A</v>
      </c>
      <c r="AG1002" s="1414">
        <v>1</v>
      </c>
      <c r="AH1002" s="1002" t="s">
        <v>640</v>
      </c>
      <c r="AI1002" s="1002" t="s">
        <v>640</v>
      </c>
      <c r="AJ1002" s="986" t="s">
        <v>640</v>
      </c>
      <c r="AK1002" s="986" t="s">
        <v>640</v>
      </c>
      <c r="AL1002" s="1415"/>
      <c r="AM1002" s="1323"/>
      <c r="AN1002" s="1323"/>
      <c r="AO1002" s="1323"/>
      <c r="AP1002" s="1323"/>
      <c r="AQ1002" s="1323"/>
      <c r="AR1002" s="987"/>
      <c r="AS1002" s="978" t="str">
        <f t="shared" si="168"/>
        <v>單</v>
      </c>
      <c r="AT1002" s="978" t="str">
        <f t="shared" si="169"/>
        <v>全</v>
      </c>
      <c r="AU1002" s="978" t="str">
        <f t="shared" si="170"/>
        <v/>
      </c>
      <c r="AV1002" s="978" t="str">
        <f t="shared" si="171"/>
        <v/>
      </c>
    </row>
    <row r="1003" spans="1:48">
      <c r="A1003" s="975">
        <f t="shared" si="166"/>
        <v>46168</v>
      </c>
      <c r="B1003" s="976" t="s">
        <v>223</v>
      </c>
      <c r="C1003" s="976" t="s">
        <v>632</v>
      </c>
      <c r="D1003" s="1410"/>
      <c r="E1003" s="977" t="str">
        <f>IFERROR(VLOOKUP(C1003, [6]條件!$A:$L, 5, 0), "")</f>
        <v/>
      </c>
      <c r="F1003" s="978" t="str">
        <f>IFERROR(VLOOKUP(C1003, [6]條件!$A:$L, 6, 0), "")</f>
        <v/>
      </c>
      <c r="G1003" s="1411" t="str">
        <f>IFERROR(VLOOKUP(C1003, [6]條件!$A:$L, 7, 0), "")</f>
        <v/>
      </c>
      <c r="H1003" s="978" t="str">
        <f>IF(ISNA(VLOOKUP(C1003,[6]條件!$A$1:$K$932,11,0)),"",(VLOOKUP(C1003,[6]條件!$A$1:$K$932,11,0)))</f>
        <v/>
      </c>
      <c r="I1003" s="979" t="str">
        <f>IF(ISNA(VLOOKUP(C1003,[6]條件!$A$1:$L$932,12,0)),"",(VLOOKUP(C1003,[6]條件!$A$1:$L$932,12,0)))</f>
        <v/>
      </c>
      <c r="J1003" s="982"/>
      <c r="K1003" s="980"/>
      <c r="L1003" s="981" t="s">
        <v>632</v>
      </c>
      <c r="M1003" s="983"/>
      <c r="N1003" s="982"/>
      <c r="O1003" s="980"/>
      <c r="P1003" s="981" t="s">
        <v>632</v>
      </c>
      <c r="Q1003" s="983"/>
      <c r="R1003" s="982"/>
      <c r="S1003" s="980"/>
      <c r="T1003" s="981" t="s">
        <v>632</v>
      </c>
      <c r="U1003" s="983"/>
      <c r="V1003" s="982"/>
      <c r="W1003" s="980"/>
      <c r="X1003" s="981" t="s">
        <v>632</v>
      </c>
      <c r="Y1003" s="983"/>
      <c r="Z1003" s="1412" t="str">
        <f>IFERROR(VLOOKUP(C1003, [6]條件!$A:$L, 3, 0), "")</f>
        <v/>
      </c>
      <c r="AA1003" s="984" t="str">
        <f>IF(OR(L1003={"改紡","檢修","了機","清車","FINAL","停機","SAMPLE","TEST","絲開發"}), L1003, IFERROR(IF(C1003="", "", (SUM(J1003, N1003, R1003, V1003)/3 * AG1003) * IF(AND(AF1003="S", AS1003="雙"), 0.5, 1)), ""))</f>
        <v>停機</v>
      </c>
      <c r="AB1003" s="1413" t="str">
        <f t="shared" si="173"/>
        <v/>
      </c>
      <c r="AC1003" s="984" t="str">
        <f>IF(OR(L1003={"改紡","檢修","了機","清車","FINAL","停機","SAMPLE","TEST"}), "", IFERROR(IF(C1003="", "", AVERAGE(L1003:M1003, P1003:Q1003, T1003:U1003, X1003:Y1003)/100), ""))</f>
        <v/>
      </c>
      <c r="AD1003" s="984" t="str">
        <f t="shared" si="172"/>
        <v/>
      </c>
      <c r="AE1003" s="984" t="str">
        <f t="shared" si="174"/>
        <v/>
      </c>
      <c r="AF1003" s="985" t="str">
        <f t="shared" si="167"/>
        <v>A</v>
      </c>
      <c r="AG1003" s="1414">
        <v>1</v>
      </c>
      <c r="AH1003" s="1002" t="s">
        <v>640</v>
      </c>
      <c r="AI1003" s="1002" t="s">
        <v>640</v>
      </c>
      <c r="AJ1003" s="1002" t="s">
        <v>640</v>
      </c>
      <c r="AK1003" s="1002" t="s">
        <v>640</v>
      </c>
      <c r="AL1003" s="1415"/>
      <c r="AM1003" s="1324"/>
      <c r="AN1003" s="1323"/>
      <c r="AO1003" s="1323"/>
      <c r="AP1003" s="1323"/>
      <c r="AQ1003" s="1323"/>
      <c r="AR1003" s="987"/>
      <c r="AS1003" s="978" t="str">
        <f t="shared" si="168"/>
        <v>單</v>
      </c>
      <c r="AT1003" s="978" t="str">
        <f t="shared" si="169"/>
        <v>全</v>
      </c>
      <c r="AU1003" s="978" t="str">
        <f t="shared" si="170"/>
        <v/>
      </c>
      <c r="AV1003" s="978" t="str">
        <f t="shared" si="171"/>
        <v/>
      </c>
    </row>
    <row r="1004" spans="1:48">
      <c r="A1004" s="975">
        <f t="shared" si="166"/>
        <v>46168</v>
      </c>
      <c r="B1004" s="976" t="s">
        <v>224</v>
      </c>
      <c r="C1004" s="976" t="s">
        <v>632</v>
      </c>
      <c r="D1004" s="1410"/>
      <c r="E1004" s="977" t="str">
        <f>IFERROR(VLOOKUP(C1004, [6]條件!$A:$L, 5, 0), "")</f>
        <v/>
      </c>
      <c r="F1004" s="978" t="str">
        <f>IFERROR(VLOOKUP(C1004, [6]條件!$A:$L, 6, 0), "")</f>
        <v/>
      </c>
      <c r="G1004" s="1411" t="str">
        <f>IFERROR(VLOOKUP(C1004, [6]條件!$A:$L, 7, 0), "")</f>
        <v/>
      </c>
      <c r="H1004" s="978" t="str">
        <f>IF(ISNA(VLOOKUP(C1004,[6]條件!$A$1:$K$932,11,0)),"",(VLOOKUP(C1004,[6]條件!$A$1:$K$932,11,0)))</f>
        <v/>
      </c>
      <c r="I1004" s="979" t="str">
        <f>IF(ISNA(VLOOKUP(C1004,[6]條件!$A$1:$L$932,12,0)),"",(VLOOKUP(C1004,[6]條件!$A$1:$L$932,12,0)))</f>
        <v/>
      </c>
      <c r="J1004" s="982"/>
      <c r="K1004" s="980"/>
      <c r="L1004" s="981" t="s">
        <v>632</v>
      </c>
      <c r="M1004" s="983"/>
      <c r="N1004" s="982"/>
      <c r="O1004" s="980"/>
      <c r="P1004" s="981" t="s">
        <v>632</v>
      </c>
      <c r="Q1004" s="983"/>
      <c r="R1004" s="982"/>
      <c r="S1004" s="980"/>
      <c r="T1004" s="981" t="s">
        <v>632</v>
      </c>
      <c r="U1004" s="983"/>
      <c r="V1004" s="982"/>
      <c r="W1004" s="980"/>
      <c r="X1004" s="981" t="s">
        <v>632</v>
      </c>
      <c r="Y1004" s="983"/>
      <c r="Z1004" s="1412" t="str">
        <f>IFERROR(VLOOKUP(C1004, [6]條件!$A:$L, 3, 0), "")</f>
        <v/>
      </c>
      <c r="AA1004" s="984" t="str">
        <f>IF(OR(L1004={"改紡","檢修","了機","清車","FINAL","停機","SAMPLE","TEST","絲開發"}), L1004, IFERROR(IF(C1004="", "", (SUM(J1004, N1004, R1004, V1004)/3 * AG1004) * IF(AND(AF1004="S", AS1004="雙"), 0.5, 1)), ""))</f>
        <v>停機</v>
      </c>
      <c r="AB1004" s="1413" t="str">
        <f t="shared" si="173"/>
        <v/>
      </c>
      <c r="AC1004" s="984" t="str">
        <f>IF(OR(L1004={"改紡","檢修","了機","清車","FINAL","停機","SAMPLE","TEST"}), "", IFERROR(IF(C1004="", "", AVERAGE(L1004:M1004, P1004:Q1004, T1004:U1004, X1004:Y1004)/100), ""))</f>
        <v/>
      </c>
      <c r="AD1004" s="984" t="str">
        <f t="shared" si="172"/>
        <v/>
      </c>
      <c r="AE1004" s="984" t="str">
        <f t="shared" si="174"/>
        <v/>
      </c>
      <c r="AF1004" s="985" t="str">
        <f t="shared" si="167"/>
        <v>A</v>
      </c>
      <c r="AG1004" s="1414">
        <v>1</v>
      </c>
      <c r="AH1004" s="1002" t="s">
        <v>16011</v>
      </c>
      <c r="AI1004" s="1002" t="s">
        <v>16011</v>
      </c>
      <c r="AJ1004" s="1002" t="s">
        <v>640</v>
      </c>
      <c r="AK1004" s="1002" t="s">
        <v>640</v>
      </c>
      <c r="AL1004" s="1415"/>
      <c r="AM1004" s="1323"/>
      <c r="AN1004" s="1323"/>
      <c r="AO1004" s="1323"/>
      <c r="AP1004" s="1323"/>
      <c r="AQ1004" s="1323"/>
      <c r="AR1004" s="987"/>
      <c r="AS1004" s="978" t="str">
        <f t="shared" si="168"/>
        <v>單</v>
      </c>
      <c r="AT1004" s="978" t="str">
        <f t="shared" si="169"/>
        <v>全</v>
      </c>
      <c r="AU1004" s="978" t="str">
        <f t="shared" si="170"/>
        <v/>
      </c>
      <c r="AV1004" s="978" t="str">
        <f t="shared" si="171"/>
        <v/>
      </c>
    </row>
    <row r="1005" spans="1:48">
      <c r="A1005" s="975">
        <f t="shared" si="166"/>
        <v>46168</v>
      </c>
      <c r="B1005" s="976" t="s">
        <v>225</v>
      </c>
      <c r="C1005" s="976" t="s">
        <v>632</v>
      </c>
      <c r="D1005" s="1410"/>
      <c r="E1005" s="977" t="str">
        <f>IFERROR(VLOOKUP(C1005, [6]條件!$A:$L, 5, 0), "")</f>
        <v/>
      </c>
      <c r="F1005" s="978" t="str">
        <f>IFERROR(VLOOKUP(C1005, [6]條件!$A:$L, 6, 0), "")</f>
        <v/>
      </c>
      <c r="G1005" s="1411" t="str">
        <f>IFERROR(VLOOKUP(C1005, [6]條件!$A:$L, 7, 0), "")</f>
        <v/>
      </c>
      <c r="H1005" s="978" t="str">
        <f>IF(ISNA(VLOOKUP(C1005,[6]條件!$A$1:$K$932,11,0)),"",(VLOOKUP(C1005,[6]條件!$A$1:$K$932,11,0)))</f>
        <v/>
      </c>
      <c r="I1005" s="979" t="str">
        <f>IF(ISNA(VLOOKUP(C1005,[6]條件!$A$1:$L$932,12,0)),"",(VLOOKUP(C1005,[6]條件!$A$1:$L$932,12,0)))</f>
        <v/>
      </c>
      <c r="J1005" s="982"/>
      <c r="K1005" s="980"/>
      <c r="L1005" s="981" t="s">
        <v>632</v>
      </c>
      <c r="M1005" s="983"/>
      <c r="N1005" s="982"/>
      <c r="O1005" s="980"/>
      <c r="P1005" s="981" t="s">
        <v>632</v>
      </c>
      <c r="Q1005" s="983"/>
      <c r="R1005" s="982"/>
      <c r="S1005" s="980"/>
      <c r="T1005" s="981" t="s">
        <v>632</v>
      </c>
      <c r="U1005" s="983"/>
      <c r="V1005" s="982"/>
      <c r="W1005" s="980"/>
      <c r="X1005" s="981" t="s">
        <v>632</v>
      </c>
      <c r="Y1005" s="983"/>
      <c r="Z1005" s="1412" t="str">
        <f>IFERROR(VLOOKUP(C1005, [6]條件!$A:$L, 3, 0), "")</f>
        <v/>
      </c>
      <c r="AA1005" s="984" t="str">
        <f>IF(OR(L1005={"改紡","檢修","了機","清車","FINAL","停機","SAMPLE","TEST","絲開發"}), L1005, IFERROR(IF(C1005="", "", (SUM(J1005, N1005, R1005, V1005)/3 * AG1005) * IF(AND(AF1005="S", AS1005="雙"), 0.5, 1)), ""))</f>
        <v>停機</v>
      </c>
      <c r="AB1005" s="1413" t="str">
        <f t="shared" si="173"/>
        <v/>
      </c>
      <c r="AC1005" s="984" t="str">
        <f>IF(OR(L1005={"改紡","檢修","了機","清車","FINAL","停機","SAMPLE","TEST"}), "", IFERROR(IF(C1005="", "", AVERAGE(L1005:M1005, P1005:Q1005, T1005:U1005, X1005:Y1005)/100), ""))</f>
        <v/>
      </c>
      <c r="AD1005" s="984" t="str">
        <f t="shared" si="172"/>
        <v/>
      </c>
      <c r="AE1005" s="984" t="str">
        <f t="shared" si="174"/>
        <v/>
      </c>
      <c r="AF1005" s="985" t="str">
        <f t="shared" si="167"/>
        <v>A</v>
      </c>
      <c r="AG1005" s="1414">
        <v>1</v>
      </c>
      <c r="AH1005" s="1002" t="s">
        <v>640</v>
      </c>
      <c r="AI1005" s="1002" t="s">
        <v>640</v>
      </c>
      <c r="AJ1005" s="1002" t="s">
        <v>640</v>
      </c>
      <c r="AK1005" s="1002" t="s">
        <v>640</v>
      </c>
      <c r="AL1005" s="1415"/>
      <c r="AM1005" s="1323"/>
      <c r="AN1005" s="1323"/>
      <c r="AO1005" s="1323"/>
      <c r="AP1005" s="1323"/>
      <c r="AQ1005" s="1323"/>
      <c r="AR1005" s="987"/>
      <c r="AS1005" s="978" t="str">
        <f t="shared" si="168"/>
        <v>單</v>
      </c>
      <c r="AT1005" s="978" t="str">
        <f t="shared" si="169"/>
        <v>全</v>
      </c>
      <c r="AU1005" s="978" t="str">
        <f t="shared" si="170"/>
        <v/>
      </c>
      <c r="AV1005" s="978" t="str">
        <f t="shared" si="171"/>
        <v/>
      </c>
    </row>
    <row r="1006" spans="1:48">
      <c r="A1006" s="975">
        <f t="shared" si="166"/>
        <v>46168</v>
      </c>
      <c r="B1006" s="976" t="s">
        <v>226</v>
      </c>
      <c r="C1006" s="976" t="s">
        <v>632</v>
      </c>
      <c r="D1006" s="1410"/>
      <c r="E1006" s="977" t="str">
        <f>IFERROR(VLOOKUP(C1006, [6]條件!$A:$L, 5, 0), "")</f>
        <v/>
      </c>
      <c r="F1006" s="978" t="str">
        <f>IFERROR(VLOOKUP(C1006, [6]條件!$A:$L, 6, 0), "")</f>
        <v/>
      </c>
      <c r="G1006" s="1411" t="str">
        <f>IFERROR(VLOOKUP(C1006, [6]條件!$A:$L, 7, 0), "")</f>
        <v/>
      </c>
      <c r="H1006" s="978" t="str">
        <f>IF(ISNA(VLOOKUP(C1006,[6]條件!$A$1:$K$932,11,0)),"",(VLOOKUP(C1006,[6]條件!$A$1:$K$932,11,0)))</f>
        <v/>
      </c>
      <c r="I1006" s="979" t="str">
        <f>IF(ISNA(VLOOKUP(C1006,[6]條件!$A$1:$L$932,12,0)),"",(VLOOKUP(C1006,[6]條件!$A$1:$L$932,12,0)))</f>
        <v/>
      </c>
      <c r="J1006" s="982"/>
      <c r="K1006" s="980"/>
      <c r="L1006" s="981" t="s">
        <v>632</v>
      </c>
      <c r="M1006" s="983"/>
      <c r="N1006" s="982"/>
      <c r="O1006" s="980"/>
      <c r="P1006" s="981" t="s">
        <v>632</v>
      </c>
      <c r="Q1006" s="983"/>
      <c r="R1006" s="982"/>
      <c r="S1006" s="980"/>
      <c r="T1006" s="981" t="s">
        <v>632</v>
      </c>
      <c r="U1006" s="983"/>
      <c r="V1006" s="982"/>
      <c r="W1006" s="980"/>
      <c r="X1006" s="981" t="s">
        <v>632</v>
      </c>
      <c r="Y1006" s="983"/>
      <c r="Z1006" s="1412" t="str">
        <f>IFERROR(VLOOKUP(C1006, [6]條件!$A:$L, 3, 0), "")</f>
        <v/>
      </c>
      <c r="AA1006" s="984" t="str">
        <f>IF(OR(L1006={"改紡","檢修","了機","清車","FINAL","停機","SAMPLE","TEST","絲開發"}), L1006, IFERROR(IF(C1006="", "", (SUM(J1006, N1006, R1006, V1006)/3 * AG1006) * IF(AND(AF1006="S", AS1006="雙"), 0.5, 1)), ""))</f>
        <v>停機</v>
      </c>
      <c r="AB1006" s="1413" t="str">
        <f t="shared" si="173"/>
        <v/>
      </c>
      <c r="AC1006" s="984" t="str">
        <f>IF(OR(L1006={"改紡","檢修","了機","清車","FINAL","停機","SAMPLE","TEST"}), "", IFERROR(IF(C1006="", "", AVERAGE(L1006:M1006, P1006:Q1006, T1006:U1006, X1006:Y1006)/100), ""))</f>
        <v/>
      </c>
      <c r="AD1006" s="984" t="str">
        <f t="shared" si="172"/>
        <v/>
      </c>
      <c r="AE1006" s="984" t="str">
        <f t="shared" si="174"/>
        <v/>
      </c>
      <c r="AF1006" s="985" t="str">
        <f t="shared" si="167"/>
        <v>A</v>
      </c>
      <c r="AG1006" s="1414">
        <v>1</v>
      </c>
      <c r="AH1006" s="1002" t="s">
        <v>640</v>
      </c>
      <c r="AI1006" s="1002" t="s">
        <v>640</v>
      </c>
      <c r="AJ1006" s="1002" t="s">
        <v>640</v>
      </c>
      <c r="AK1006" s="1002" t="s">
        <v>640</v>
      </c>
      <c r="AL1006" s="1415"/>
      <c r="AM1006" s="1323"/>
      <c r="AN1006" s="1323"/>
      <c r="AO1006" s="1323"/>
      <c r="AP1006" s="1323"/>
      <c r="AQ1006" s="1323"/>
      <c r="AR1006" s="987"/>
      <c r="AS1006" s="978" t="str">
        <f t="shared" si="168"/>
        <v>單</v>
      </c>
      <c r="AT1006" s="978" t="str">
        <f t="shared" si="169"/>
        <v>全</v>
      </c>
      <c r="AU1006" s="978" t="str">
        <f t="shared" si="170"/>
        <v/>
      </c>
      <c r="AV1006" s="978" t="str">
        <f t="shared" si="171"/>
        <v/>
      </c>
    </row>
    <row r="1007" spans="1:48">
      <c r="A1007" s="975">
        <f t="shared" si="166"/>
        <v>46168</v>
      </c>
      <c r="B1007" s="976" t="s">
        <v>227</v>
      </c>
      <c r="C1007" s="976" t="s">
        <v>632</v>
      </c>
      <c r="D1007" s="1410"/>
      <c r="E1007" s="977" t="str">
        <f>IFERROR(VLOOKUP(C1007, [6]條件!$A:$L, 5, 0), "")</f>
        <v/>
      </c>
      <c r="F1007" s="978" t="str">
        <f>IFERROR(VLOOKUP(C1007, [6]條件!$A:$L, 6, 0), "")</f>
        <v/>
      </c>
      <c r="G1007" s="1411" t="str">
        <f>IFERROR(VLOOKUP(C1007, [6]條件!$A:$L, 7, 0), "")</f>
        <v/>
      </c>
      <c r="H1007" s="978" t="str">
        <f>IF(ISNA(VLOOKUP(C1007,[6]條件!$A$1:$K$932,11,0)),"",(VLOOKUP(C1007,[6]條件!$A$1:$K$932,11,0)))</f>
        <v/>
      </c>
      <c r="I1007" s="979" t="str">
        <f>IF(ISNA(VLOOKUP(C1007,[6]條件!$A$1:$L$932,12,0)),"",(VLOOKUP(C1007,[6]條件!$A$1:$L$932,12,0)))</f>
        <v/>
      </c>
      <c r="J1007" s="982"/>
      <c r="K1007" s="980"/>
      <c r="L1007" s="981" t="s">
        <v>632</v>
      </c>
      <c r="M1007" s="983"/>
      <c r="N1007" s="982"/>
      <c r="O1007" s="980"/>
      <c r="P1007" s="981" t="s">
        <v>632</v>
      </c>
      <c r="Q1007" s="983"/>
      <c r="R1007" s="982"/>
      <c r="S1007" s="980"/>
      <c r="T1007" s="981" t="s">
        <v>632</v>
      </c>
      <c r="U1007" s="983"/>
      <c r="V1007" s="982"/>
      <c r="W1007" s="980"/>
      <c r="X1007" s="981" t="s">
        <v>632</v>
      </c>
      <c r="Y1007" s="983"/>
      <c r="Z1007" s="1412" t="str">
        <f>IFERROR(VLOOKUP(C1007, [6]條件!$A:$L, 3, 0), "")</f>
        <v/>
      </c>
      <c r="AA1007" s="984" t="str">
        <f>IF(OR(L1007={"改紡","檢修","了機","清車","FINAL","停機","SAMPLE","TEST","絲開發"}), L1007, IFERROR(IF(C1007="", "", (SUM(J1007, N1007, R1007, V1007)/3 * AG1007) * IF(AND(AF1007="S", AS1007="雙"), 0.5, 1)), ""))</f>
        <v>停機</v>
      </c>
      <c r="AB1007" s="1413" t="str">
        <f t="shared" si="173"/>
        <v/>
      </c>
      <c r="AC1007" s="984" t="str">
        <f>IF(OR(L1007={"改紡","檢修","了機","清車","FINAL","停機","SAMPLE","TEST"}), "", IFERROR(IF(C1007="", "", AVERAGE(L1007:M1007, P1007:Q1007, T1007:U1007, X1007:Y1007)/100), ""))</f>
        <v/>
      </c>
      <c r="AD1007" s="984" t="str">
        <f t="shared" si="172"/>
        <v/>
      </c>
      <c r="AE1007" s="984" t="str">
        <f t="shared" si="174"/>
        <v/>
      </c>
      <c r="AF1007" s="985" t="str">
        <f t="shared" si="167"/>
        <v>A</v>
      </c>
      <c r="AG1007" s="1414">
        <v>1</v>
      </c>
      <c r="AH1007" s="1002" t="s">
        <v>640</v>
      </c>
      <c r="AI1007" s="1002" t="s">
        <v>640</v>
      </c>
      <c r="AJ1007" s="1002" t="s">
        <v>640</v>
      </c>
      <c r="AK1007" s="1002" t="s">
        <v>640</v>
      </c>
      <c r="AL1007" s="1415"/>
      <c r="AM1007" s="1323"/>
      <c r="AN1007" s="1323"/>
      <c r="AO1007" s="1323"/>
      <c r="AP1007" s="1323"/>
      <c r="AQ1007" s="1323"/>
      <c r="AR1007" s="987"/>
      <c r="AS1007" s="978" t="str">
        <f t="shared" si="168"/>
        <v>單</v>
      </c>
      <c r="AT1007" s="978" t="str">
        <f t="shared" si="169"/>
        <v>全</v>
      </c>
      <c r="AU1007" s="978" t="str">
        <f t="shared" si="170"/>
        <v/>
      </c>
      <c r="AV1007" s="978" t="str">
        <f t="shared" si="171"/>
        <v/>
      </c>
    </row>
    <row r="1008" spans="1:48">
      <c r="A1008" s="975">
        <f t="shared" si="166"/>
        <v>46168</v>
      </c>
      <c r="B1008" s="976" t="s">
        <v>228</v>
      </c>
      <c r="C1008" s="976" t="s">
        <v>632</v>
      </c>
      <c r="D1008" s="1410"/>
      <c r="E1008" s="977" t="str">
        <f>IFERROR(VLOOKUP(C1008, [6]條件!$A:$L, 5, 0), "")</f>
        <v/>
      </c>
      <c r="F1008" s="978" t="str">
        <f>IFERROR(VLOOKUP(C1008, [6]條件!$A:$L, 6, 0), "")</f>
        <v/>
      </c>
      <c r="G1008" s="1411" t="str">
        <f>IFERROR(VLOOKUP(C1008, [6]條件!$A:$L, 7, 0), "")</f>
        <v/>
      </c>
      <c r="H1008" s="978" t="str">
        <f>IF(ISNA(VLOOKUP(C1008,[6]條件!$A$1:$K$932,11,0)),"",(VLOOKUP(C1008,[6]條件!$A$1:$K$932,11,0)))</f>
        <v/>
      </c>
      <c r="I1008" s="979" t="str">
        <f>IF(ISNA(VLOOKUP(C1008,[6]條件!$A$1:$L$932,12,0)),"",(VLOOKUP(C1008,[6]條件!$A$1:$L$932,12,0)))</f>
        <v/>
      </c>
      <c r="J1008" s="982"/>
      <c r="K1008" s="980"/>
      <c r="L1008" s="981" t="s">
        <v>632</v>
      </c>
      <c r="M1008" s="983"/>
      <c r="N1008" s="982"/>
      <c r="O1008" s="980"/>
      <c r="P1008" s="981" t="s">
        <v>632</v>
      </c>
      <c r="Q1008" s="983"/>
      <c r="R1008" s="982"/>
      <c r="S1008" s="980"/>
      <c r="T1008" s="981" t="s">
        <v>632</v>
      </c>
      <c r="U1008" s="983"/>
      <c r="V1008" s="982"/>
      <c r="W1008" s="980"/>
      <c r="X1008" s="981" t="s">
        <v>632</v>
      </c>
      <c r="Y1008" s="983"/>
      <c r="Z1008" s="1412" t="str">
        <f>IFERROR(VLOOKUP(C1008, [6]條件!$A:$L, 3, 0), "")</f>
        <v/>
      </c>
      <c r="AA1008" s="984" t="str">
        <f>IF(OR(L1008={"改紡","檢修","了機","清車","FINAL","停機","SAMPLE","TEST","絲開發"}), L1008, IFERROR(IF(C1008="", "", (SUM(J1008, N1008, R1008, V1008)/3 * AG1008) * IF(AND(AF1008="S", AS1008="雙"), 0.5, 1)), ""))</f>
        <v>停機</v>
      </c>
      <c r="AB1008" s="1413" t="str">
        <f t="shared" si="173"/>
        <v/>
      </c>
      <c r="AC1008" s="984" t="str">
        <f>IF(OR(L1008={"改紡","檢修","了機","清車","FINAL","停機","SAMPLE","TEST"}), "", IFERROR(IF(C1008="", "", AVERAGE(L1008:M1008, P1008:Q1008, T1008:U1008, X1008:Y1008)/100), ""))</f>
        <v/>
      </c>
      <c r="AD1008" s="984" t="str">
        <f t="shared" si="172"/>
        <v/>
      </c>
      <c r="AE1008" s="984" t="str">
        <f t="shared" si="174"/>
        <v/>
      </c>
      <c r="AF1008" s="985" t="str">
        <f t="shared" si="167"/>
        <v>A</v>
      </c>
      <c r="AG1008" s="1414">
        <v>1</v>
      </c>
      <c r="AH1008" s="1002" t="s">
        <v>640</v>
      </c>
      <c r="AI1008" s="1002" t="s">
        <v>640</v>
      </c>
      <c r="AJ1008" s="1002" t="s">
        <v>640</v>
      </c>
      <c r="AK1008" s="1002" t="s">
        <v>640</v>
      </c>
      <c r="AL1008" s="1420"/>
      <c r="AM1008" s="1323"/>
      <c r="AN1008" s="1323"/>
      <c r="AO1008" s="1323"/>
      <c r="AP1008" s="1323"/>
      <c r="AQ1008" s="1323"/>
      <c r="AR1008" s="987"/>
      <c r="AS1008" s="978" t="str">
        <f t="shared" si="168"/>
        <v>單</v>
      </c>
      <c r="AT1008" s="978" t="str">
        <f t="shared" si="169"/>
        <v>全</v>
      </c>
      <c r="AU1008" s="978" t="str">
        <f t="shared" si="170"/>
        <v/>
      </c>
      <c r="AV1008" s="978" t="str">
        <f t="shared" si="171"/>
        <v/>
      </c>
    </row>
    <row r="1009" spans="1:48">
      <c r="A1009" s="975">
        <f t="shared" si="166"/>
        <v>46168</v>
      </c>
      <c r="B1009" s="976" t="s">
        <v>229</v>
      </c>
      <c r="C1009" s="976" t="s">
        <v>632</v>
      </c>
      <c r="D1009" s="1410"/>
      <c r="E1009" s="977" t="str">
        <f>IFERROR(VLOOKUP(C1009, [6]條件!$A:$L, 5, 0), "")</f>
        <v/>
      </c>
      <c r="F1009" s="978" t="str">
        <f>IFERROR(VLOOKUP(C1009, [6]條件!$A:$L, 6, 0), "")</f>
        <v/>
      </c>
      <c r="G1009" s="1411" t="str">
        <f>IFERROR(VLOOKUP(C1009, [6]條件!$A:$L, 7, 0), "")</f>
        <v/>
      </c>
      <c r="H1009" s="978" t="str">
        <f>IF(ISNA(VLOOKUP(C1009,[6]條件!$A$1:$K$932,11,0)),"",(VLOOKUP(C1009,[6]條件!$A$1:$K$932,11,0)))</f>
        <v/>
      </c>
      <c r="I1009" s="979" t="str">
        <f>IF(ISNA(VLOOKUP(C1009,[6]條件!$A$1:$L$932,12,0)),"",(VLOOKUP(C1009,[6]條件!$A$1:$L$932,12,0)))</f>
        <v/>
      </c>
      <c r="J1009" s="982"/>
      <c r="K1009" s="980"/>
      <c r="L1009" s="981" t="s">
        <v>632</v>
      </c>
      <c r="M1009" s="983"/>
      <c r="N1009" s="982"/>
      <c r="O1009" s="980"/>
      <c r="P1009" s="981" t="s">
        <v>632</v>
      </c>
      <c r="Q1009" s="983"/>
      <c r="R1009" s="982"/>
      <c r="S1009" s="980"/>
      <c r="T1009" s="981" t="s">
        <v>632</v>
      </c>
      <c r="U1009" s="983"/>
      <c r="V1009" s="982"/>
      <c r="W1009" s="980"/>
      <c r="X1009" s="981" t="s">
        <v>632</v>
      </c>
      <c r="Y1009" s="983"/>
      <c r="Z1009" s="1412" t="str">
        <f>IFERROR(VLOOKUP(C1009, [6]條件!$A:$L, 3, 0), "")</f>
        <v/>
      </c>
      <c r="AA1009" s="984" t="str">
        <f>IF(OR(L1009={"改紡","檢修","了機","清車","FINAL","停機","SAMPLE","TEST","絲開發"}), L1009, IFERROR(IF(C1009="", "", (SUM(J1009, N1009, R1009, V1009)/3 * AG1009) * IF(AND(AF1009="S", AS1009="雙"), 0.5, 1)), ""))</f>
        <v>停機</v>
      </c>
      <c r="AB1009" s="1413" t="str">
        <f t="shared" si="173"/>
        <v/>
      </c>
      <c r="AC1009" s="984" t="str">
        <f>IF(OR(L1009={"改紡","檢修","了機","清車","FINAL","停機","SAMPLE","TEST"}), "", IFERROR(IF(C1009="", "", AVERAGE(L1009:M1009, P1009:Q1009, T1009:U1009, X1009:Y1009)/100), ""))</f>
        <v/>
      </c>
      <c r="AD1009" s="984" t="str">
        <f t="shared" si="172"/>
        <v/>
      </c>
      <c r="AE1009" s="984" t="str">
        <f t="shared" si="174"/>
        <v/>
      </c>
      <c r="AF1009" s="985" t="str">
        <f t="shared" si="167"/>
        <v>A</v>
      </c>
      <c r="AG1009" s="1414">
        <v>1</v>
      </c>
      <c r="AH1009" s="1002" t="s">
        <v>640</v>
      </c>
      <c r="AI1009" s="1002" t="s">
        <v>640</v>
      </c>
      <c r="AJ1009" s="1002" t="s">
        <v>640</v>
      </c>
      <c r="AK1009" s="1002" t="s">
        <v>640</v>
      </c>
      <c r="AL1009" s="1421"/>
      <c r="AM1009" s="1323"/>
      <c r="AN1009" s="1323"/>
      <c r="AO1009" s="1323"/>
      <c r="AP1009" s="1323"/>
      <c r="AQ1009" s="1323"/>
      <c r="AR1009" s="987"/>
      <c r="AS1009" s="978" t="str">
        <f t="shared" si="168"/>
        <v>單</v>
      </c>
      <c r="AT1009" s="978" t="str">
        <f t="shared" si="169"/>
        <v>全</v>
      </c>
      <c r="AU1009" s="978" t="str">
        <f t="shared" si="170"/>
        <v/>
      </c>
      <c r="AV1009" s="978" t="str">
        <f t="shared" si="171"/>
        <v/>
      </c>
    </row>
    <row r="1010" spans="1:48">
      <c r="A1010" s="975">
        <f t="shared" si="166"/>
        <v>46168</v>
      </c>
      <c r="B1010" s="976" t="s">
        <v>230</v>
      </c>
      <c r="C1010" s="976" t="s">
        <v>632</v>
      </c>
      <c r="D1010" s="1410"/>
      <c r="E1010" s="977" t="str">
        <f>IFERROR(VLOOKUP(C1010, [6]條件!$A:$L, 5, 0), "")</f>
        <v/>
      </c>
      <c r="F1010" s="978" t="str">
        <f>IFERROR(VLOOKUP(C1010, [6]條件!$A:$L, 6, 0), "")</f>
        <v/>
      </c>
      <c r="G1010" s="1411" t="str">
        <f>IFERROR(VLOOKUP(C1010, [6]條件!$A:$L, 7, 0), "")</f>
        <v/>
      </c>
      <c r="H1010" s="978" t="str">
        <f>IF(ISNA(VLOOKUP(C1010,[6]條件!$A$1:$K$932,11,0)),"",(VLOOKUP(C1010,[6]條件!$A$1:$K$932,11,0)))</f>
        <v/>
      </c>
      <c r="I1010" s="979" t="str">
        <f>IF(ISNA(VLOOKUP(C1010,[6]條件!$A$1:$L$932,12,0)),"",(VLOOKUP(C1010,[6]條件!$A$1:$L$932,12,0)))</f>
        <v/>
      </c>
      <c r="J1010" s="982"/>
      <c r="K1010" s="980"/>
      <c r="L1010" s="981" t="s">
        <v>632</v>
      </c>
      <c r="M1010" s="983"/>
      <c r="N1010" s="982"/>
      <c r="O1010" s="980"/>
      <c r="P1010" s="981" t="s">
        <v>632</v>
      </c>
      <c r="Q1010" s="983"/>
      <c r="R1010" s="982"/>
      <c r="S1010" s="980"/>
      <c r="T1010" s="981" t="s">
        <v>632</v>
      </c>
      <c r="U1010" s="983"/>
      <c r="V1010" s="982"/>
      <c r="W1010" s="980"/>
      <c r="X1010" s="981" t="s">
        <v>632</v>
      </c>
      <c r="Y1010" s="983"/>
      <c r="Z1010" s="1412" t="str">
        <f>IFERROR(VLOOKUP(C1010, [6]條件!$A:$L, 3, 0), "")</f>
        <v/>
      </c>
      <c r="AA1010" s="984" t="str">
        <f>IF(OR(L1010={"改紡","檢修","了機","清車","FINAL","停機","SAMPLE","TEST","絲開發"}), L1010, IFERROR(IF(C1010="", "", (SUM(J1010, N1010, R1010, V1010)/3 * AG1010) * IF(AND(AF1010="S", AS1010="雙"), 0.5, 1)), ""))</f>
        <v>停機</v>
      </c>
      <c r="AB1010" s="1413" t="str">
        <f t="shared" si="173"/>
        <v/>
      </c>
      <c r="AC1010" s="984" t="str">
        <f>IF(OR(L1010={"改紡","檢修","了機","清車","FINAL","停機","SAMPLE","TEST"}), "", IFERROR(IF(C1010="", "", AVERAGE(L1010:M1010, P1010:Q1010, T1010:U1010, X1010:Y1010)/100), ""))</f>
        <v/>
      </c>
      <c r="AD1010" s="984" t="str">
        <f t="shared" si="172"/>
        <v/>
      </c>
      <c r="AE1010" s="984" t="str">
        <f t="shared" si="174"/>
        <v/>
      </c>
      <c r="AF1010" s="985" t="str">
        <f t="shared" si="167"/>
        <v>A</v>
      </c>
      <c r="AG1010" s="1414">
        <v>1</v>
      </c>
      <c r="AH1010" s="1002" t="s">
        <v>16011</v>
      </c>
      <c r="AI1010" s="1002" t="s">
        <v>16011</v>
      </c>
      <c r="AJ1010" s="1002" t="s">
        <v>640</v>
      </c>
      <c r="AK1010" s="1002" t="s">
        <v>640</v>
      </c>
      <c r="AL1010" s="1415"/>
      <c r="AM1010" s="1323"/>
      <c r="AN1010" s="1323"/>
      <c r="AO1010" s="1323"/>
      <c r="AP1010" s="1323"/>
      <c r="AQ1010" s="1323"/>
      <c r="AR1010" s="987"/>
      <c r="AS1010" s="978" t="str">
        <f t="shared" si="168"/>
        <v>單</v>
      </c>
      <c r="AT1010" s="978" t="str">
        <f t="shared" si="169"/>
        <v>全</v>
      </c>
      <c r="AU1010" s="978" t="str">
        <f t="shared" si="170"/>
        <v/>
      </c>
      <c r="AV1010" s="978" t="str">
        <f t="shared" si="171"/>
        <v/>
      </c>
    </row>
    <row r="1011" spans="1:48">
      <c r="A1011" s="975">
        <f t="shared" si="166"/>
        <v>46168</v>
      </c>
      <c r="B1011" s="976" t="s">
        <v>231</v>
      </c>
      <c r="C1011" s="976" t="s">
        <v>632</v>
      </c>
      <c r="D1011" s="1410"/>
      <c r="E1011" s="977" t="str">
        <f>IFERROR(VLOOKUP(C1011, [6]條件!$A:$L, 5, 0), "")</f>
        <v/>
      </c>
      <c r="F1011" s="978" t="str">
        <f>IFERROR(VLOOKUP(C1011, [6]條件!$A:$L, 6, 0), "")</f>
        <v/>
      </c>
      <c r="G1011" s="1411" t="str">
        <f>IFERROR(VLOOKUP(C1011, [6]條件!$A:$L, 7, 0), "")</f>
        <v/>
      </c>
      <c r="H1011" s="978" t="str">
        <f>IF(ISNA(VLOOKUP(C1011,[6]條件!$A$1:$K$932,11,0)),"",(VLOOKUP(C1011,[6]條件!$A$1:$K$932,11,0)))</f>
        <v/>
      </c>
      <c r="I1011" s="979" t="str">
        <f>IF(ISNA(VLOOKUP(C1011,[6]條件!$A$1:$L$932,12,0)),"",(VLOOKUP(C1011,[6]條件!$A$1:$L$932,12,0)))</f>
        <v/>
      </c>
      <c r="J1011" s="982"/>
      <c r="K1011" s="980"/>
      <c r="L1011" s="981" t="s">
        <v>632</v>
      </c>
      <c r="M1011" s="983"/>
      <c r="N1011" s="982"/>
      <c r="O1011" s="980"/>
      <c r="P1011" s="981" t="s">
        <v>632</v>
      </c>
      <c r="Q1011" s="983"/>
      <c r="R1011" s="982"/>
      <c r="S1011" s="980"/>
      <c r="T1011" s="981" t="s">
        <v>632</v>
      </c>
      <c r="U1011" s="983"/>
      <c r="V1011" s="982"/>
      <c r="W1011" s="980"/>
      <c r="X1011" s="981" t="s">
        <v>632</v>
      </c>
      <c r="Y1011" s="983"/>
      <c r="Z1011" s="1412" t="str">
        <f>IFERROR(VLOOKUP(C1011, [6]條件!$A:$L, 3, 0), "")</f>
        <v/>
      </c>
      <c r="AA1011" s="984" t="str">
        <f>IF(OR(L1011={"改紡","檢修","了機","清車","FINAL","停機","SAMPLE","TEST","絲開發"}), L1011, IFERROR(IF(C1011="", "", (SUM(J1011, N1011, R1011, V1011)/3 * AG1011) * IF(AND(AF1011="S", AS1011="雙"), 0.5, 1)), ""))</f>
        <v>停機</v>
      </c>
      <c r="AB1011" s="1413" t="str">
        <f t="shared" si="173"/>
        <v/>
      </c>
      <c r="AC1011" s="984" t="str">
        <f>IF(OR(L1011={"改紡","檢修","了機","清車","FINAL","停機","SAMPLE","TEST"}), "", IFERROR(IF(C1011="", "", AVERAGE(L1011:M1011, P1011:Q1011, T1011:U1011, X1011:Y1011)/100), ""))</f>
        <v/>
      </c>
      <c r="AD1011" s="984" t="str">
        <f t="shared" si="172"/>
        <v/>
      </c>
      <c r="AE1011" s="984" t="str">
        <f t="shared" si="174"/>
        <v/>
      </c>
      <c r="AF1011" s="985" t="str">
        <f t="shared" si="167"/>
        <v>J</v>
      </c>
      <c r="AG1011" s="1414">
        <v>1</v>
      </c>
      <c r="AH1011" s="1002" t="s">
        <v>640</v>
      </c>
      <c r="AI1011" s="1002" t="s">
        <v>640</v>
      </c>
      <c r="AJ1011" s="1002" t="s">
        <v>640</v>
      </c>
      <c r="AK1011" s="1002" t="s">
        <v>640</v>
      </c>
      <c r="AL1011" s="1415"/>
      <c r="AM1011" s="1323"/>
      <c r="AN1011" s="1323"/>
      <c r="AO1011" s="1323"/>
      <c r="AP1011" s="1323"/>
      <c r="AQ1011" s="1323"/>
      <c r="AR1011" s="987"/>
      <c r="AS1011" s="978" t="str">
        <f t="shared" si="168"/>
        <v>單</v>
      </c>
      <c r="AT1011" s="978" t="str">
        <f t="shared" si="169"/>
        <v>全</v>
      </c>
      <c r="AU1011" s="978" t="str">
        <f t="shared" si="170"/>
        <v/>
      </c>
      <c r="AV1011" s="978" t="str">
        <f t="shared" si="171"/>
        <v/>
      </c>
    </row>
    <row r="1012" spans="1:48">
      <c r="A1012" s="975">
        <f t="shared" si="166"/>
        <v>46168</v>
      </c>
      <c r="B1012" s="976" t="s">
        <v>233</v>
      </c>
      <c r="C1012" s="976" t="s">
        <v>16772</v>
      </c>
      <c r="D1012" s="1410" t="s">
        <v>633</v>
      </c>
      <c r="E1012" s="977" t="str">
        <f>IFERROR(VLOOKUP(C1012, [6]條件!$A:$L, 5, 0), "")</f>
        <v>150/48/2SDr</v>
      </c>
      <c r="F1012" s="978" t="str">
        <f>IFERROR(VLOOKUP(C1012, [6]條件!$A:$L, 6, 0), "")</f>
        <v>FP82171R×2</v>
      </c>
      <c r="G1012" s="1411">
        <f>IFERROR(VLOOKUP(C1012, [6]條件!$A:$L, 7, 0), "")</f>
        <v>600</v>
      </c>
      <c r="H1012" s="978" t="str">
        <f>IF(ISNA(VLOOKUP(C1012,[6]條件!$A$1:$K$932,11,0)),"",(VLOOKUP(C1012,[6]條件!$A$1:$K$932,11,0)))</f>
        <v>紅白直條</v>
      </c>
      <c r="I1012" s="979">
        <f>IF(ISNA(VLOOKUP(C1012,[6]條件!$A$1:$L$932,12,0)),"",(VLOOKUP(C1012,[6]條件!$A$1:$L$932,12,0)))</f>
        <v>5.5</v>
      </c>
      <c r="J1012" s="982">
        <v>8</v>
      </c>
      <c r="K1012" s="980">
        <v>4</v>
      </c>
      <c r="L1012" s="981">
        <v>6400</v>
      </c>
      <c r="M1012" s="983"/>
      <c r="N1012" s="982">
        <v>22</v>
      </c>
      <c r="O1012" s="980">
        <v>8</v>
      </c>
      <c r="P1012" s="981">
        <v>6460</v>
      </c>
      <c r="Q1012" s="983"/>
      <c r="R1012" s="982">
        <v>6</v>
      </c>
      <c r="S1012" s="980">
        <v>0</v>
      </c>
      <c r="T1012" s="981">
        <v>6670</v>
      </c>
      <c r="U1012" s="983"/>
      <c r="V1012" s="982">
        <v>25</v>
      </c>
      <c r="W1012" s="980">
        <v>2</v>
      </c>
      <c r="X1012" s="981">
        <v>6410</v>
      </c>
      <c r="Y1012" s="983"/>
      <c r="Z1012" s="1412">
        <f>IFERROR(VLOOKUP(C1012, [6]條件!$A:$L, 3, 0), "")</f>
        <v>5.0526315789473673</v>
      </c>
      <c r="AA1012" s="984">
        <f>IF(OR(L1012={"改紡","檢修","了機","清車","FINAL","停機","SAMPLE","TEST","絲開發"}), L1012, IFERROR(IF(C1012="", "", (SUM(J1012, N1012, R1012, V1012)/3 * AG1012) * IF(AND(AF1012="S", AS1012="雙"), 0.5, 1)), ""))</f>
        <v>20.333333333333332</v>
      </c>
      <c r="AB1012" s="1413">
        <f t="shared" si="173"/>
        <v>0.9866786858974359</v>
      </c>
      <c r="AC1012" s="984">
        <f>IF(OR(L1012={"改紡","檢修","了機","清車","FINAL","停機","SAMPLE","TEST"}), "", IFERROR(IF(C1012="", "", AVERAGE(L1012:M1012, P1012:Q1012, T1012:U1012, X1012:Y1012)/100), ""))</f>
        <v>64.849999999999994</v>
      </c>
      <c r="AD1012" s="984">
        <f t="shared" si="172"/>
        <v>2.5416666666666665</v>
      </c>
      <c r="AE1012" s="984">
        <f t="shared" si="174"/>
        <v>1.9583333333333333</v>
      </c>
      <c r="AF1012" s="985" t="str">
        <f t="shared" si="167"/>
        <v>J</v>
      </c>
      <c r="AG1012" s="1414">
        <v>1</v>
      </c>
      <c r="AH1012" s="1002" t="s">
        <v>16006</v>
      </c>
      <c r="AI1012" s="1002" t="s">
        <v>16006</v>
      </c>
      <c r="AJ1012" s="986" t="s">
        <v>16019</v>
      </c>
      <c r="AK1012" s="986" t="s">
        <v>16019</v>
      </c>
      <c r="AL1012" s="1415">
        <v>55</v>
      </c>
      <c r="AM1012" s="1323">
        <v>46163</v>
      </c>
      <c r="AN1012" s="1323">
        <v>46164</v>
      </c>
      <c r="AO1012" s="1323">
        <v>46165</v>
      </c>
      <c r="AP1012" s="1323">
        <v>46166</v>
      </c>
      <c r="AQ1012" s="1323"/>
      <c r="AR1012" s="987"/>
      <c r="AS1012" s="978" t="str">
        <f t="shared" si="168"/>
        <v>雙</v>
      </c>
      <c r="AT1012" s="978" t="str">
        <f t="shared" si="169"/>
        <v>全</v>
      </c>
      <c r="AU1012" s="978">
        <f t="shared" si="170"/>
        <v>150</v>
      </c>
      <c r="AV1012" s="978">
        <f t="shared" si="171"/>
        <v>4.034188799999999</v>
      </c>
    </row>
    <row r="1013" spans="1:48">
      <c r="A1013" s="975">
        <f t="shared" si="166"/>
        <v>46168</v>
      </c>
      <c r="B1013" s="976" t="s">
        <v>234</v>
      </c>
      <c r="C1013" s="976" t="s">
        <v>632</v>
      </c>
      <c r="D1013" s="1410"/>
      <c r="E1013" s="977" t="str">
        <f>IFERROR(VLOOKUP(C1013, [6]條件!$A:$L, 5, 0), "")</f>
        <v/>
      </c>
      <c r="F1013" s="978" t="str">
        <f>IFERROR(VLOOKUP(C1013, [6]條件!$A:$L, 6, 0), "")</f>
        <v/>
      </c>
      <c r="G1013" s="1411" t="str">
        <f>IFERROR(VLOOKUP(C1013, [6]條件!$A:$L, 7, 0), "")</f>
        <v/>
      </c>
      <c r="H1013" s="978" t="str">
        <f>IF(ISNA(VLOOKUP(C1013,[6]條件!$A$1:$K$932,11,0)),"",(VLOOKUP(C1013,[6]條件!$A$1:$K$932,11,0)))</f>
        <v/>
      </c>
      <c r="I1013" s="979" t="str">
        <f>IF(ISNA(VLOOKUP(C1013,[6]條件!$A$1:$L$932,12,0)),"",(VLOOKUP(C1013,[6]條件!$A$1:$L$932,12,0)))</f>
        <v/>
      </c>
      <c r="J1013" s="982"/>
      <c r="K1013" s="980"/>
      <c r="L1013" s="981" t="s">
        <v>632</v>
      </c>
      <c r="M1013" s="983"/>
      <c r="N1013" s="982"/>
      <c r="O1013" s="980"/>
      <c r="P1013" s="981" t="s">
        <v>632</v>
      </c>
      <c r="Q1013" s="983"/>
      <c r="R1013" s="982"/>
      <c r="S1013" s="980"/>
      <c r="T1013" s="981" t="s">
        <v>632</v>
      </c>
      <c r="U1013" s="983"/>
      <c r="V1013" s="982"/>
      <c r="W1013" s="980"/>
      <c r="X1013" s="981" t="s">
        <v>632</v>
      </c>
      <c r="Y1013" s="983"/>
      <c r="Z1013" s="1412" t="str">
        <f>IFERROR(VLOOKUP(C1013, [6]條件!$A:$L, 3, 0), "")</f>
        <v/>
      </c>
      <c r="AA1013" s="984" t="str">
        <f>IF(OR(L1013={"改紡","檢修","了機","清車","FINAL","停機","SAMPLE","TEST","絲開發"}), L1013, IFERROR(IF(C1013="", "", (SUM(J1013, N1013, R1013, V1013)/3 * AG1013) * IF(AND(AF1013="S", AS1013="雙"), 0.5, 1)), ""))</f>
        <v>停機</v>
      </c>
      <c r="AB1013" s="1413" t="str">
        <f t="shared" si="173"/>
        <v/>
      </c>
      <c r="AC1013" s="984" t="str">
        <f>IF(OR(L1013={"改紡","檢修","了機","清車","FINAL","停機","SAMPLE","TEST"}), "", IFERROR(IF(C1013="", "", AVERAGE(L1013:M1013, P1013:Q1013, T1013:U1013, X1013:Y1013)/100), ""))</f>
        <v/>
      </c>
      <c r="AD1013" s="984" t="str">
        <f t="shared" si="172"/>
        <v/>
      </c>
      <c r="AE1013" s="984" t="str">
        <f t="shared" si="174"/>
        <v/>
      </c>
      <c r="AF1013" s="985" t="str">
        <f t="shared" si="167"/>
        <v>J</v>
      </c>
      <c r="AG1013" s="1414">
        <v>1</v>
      </c>
      <c r="AH1013" s="1002" t="s">
        <v>640</v>
      </c>
      <c r="AI1013" s="1002" t="s">
        <v>640</v>
      </c>
      <c r="AJ1013" s="986" t="s">
        <v>640</v>
      </c>
      <c r="AK1013" s="986" t="s">
        <v>640</v>
      </c>
      <c r="AL1013" s="1415"/>
      <c r="AM1013" s="1323"/>
      <c r="AN1013" s="1323"/>
      <c r="AO1013" s="1323"/>
      <c r="AP1013" s="1323"/>
      <c r="AQ1013" s="1323"/>
      <c r="AR1013" s="987"/>
      <c r="AS1013" s="978" t="str">
        <f t="shared" si="168"/>
        <v>單</v>
      </c>
      <c r="AT1013" s="978" t="str">
        <f t="shared" si="169"/>
        <v>全</v>
      </c>
      <c r="AU1013" s="978" t="str">
        <f t="shared" si="170"/>
        <v/>
      </c>
      <c r="AV1013" s="978" t="str">
        <f t="shared" si="171"/>
        <v/>
      </c>
    </row>
    <row r="1014" spans="1:48">
      <c r="A1014" s="975">
        <f t="shared" si="166"/>
        <v>46168</v>
      </c>
      <c r="B1014" s="976" t="s">
        <v>235</v>
      </c>
      <c r="C1014" s="976" t="s">
        <v>16765</v>
      </c>
      <c r="D1014" s="1410" t="s">
        <v>633</v>
      </c>
      <c r="E1014" s="977" t="str">
        <f>IFERROR(VLOOKUP(C1014, [6]條件!$A:$L, 5, 0), "")</f>
        <v>150/48/2SDr</v>
      </c>
      <c r="F1014" s="978" t="str">
        <f>IFERROR(VLOOKUP(C1014, [6]條件!$A:$L, 6, 0), "")</f>
        <v>FP82173R×2</v>
      </c>
      <c r="G1014" s="1411">
        <f>IFERROR(VLOOKUP(C1014, [6]條件!$A:$L, 7, 0), "")</f>
        <v>700</v>
      </c>
      <c r="H1014" s="978" t="str">
        <f>IF(ISNA(VLOOKUP(C1014,[6]條件!$A$1:$K$932,11,0)),"",(VLOOKUP(C1014,[6]條件!$A$1:$K$932,11,0)))</f>
        <v>白紫條紋</v>
      </c>
      <c r="I1014" s="979">
        <f>IF(ISNA(VLOOKUP(C1014,[6]條件!$A$1:$L$932,12,0)),"",(VLOOKUP(C1014,[6]條件!$A$1:$L$932,12,0)))</f>
        <v>5.5</v>
      </c>
      <c r="J1014" s="982">
        <v>54</v>
      </c>
      <c r="K1014" s="980">
        <v>0</v>
      </c>
      <c r="L1014" s="981">
        <v>8730</v>
      </c>
      <c r="M1014" s="983">
        <v>8610</v>
      </c>
      <c r="N1014" s="982">
        <v>8</v>
      </c>
      <c r="O1014" s="980">
        <v>0</v>
      </c>
      <c r="P1014" s="981">
        <v>7410</v>
      </c>
      <c r="Q1014" s="983">
        <v>8430</v>
      </c>
      <c r="R1014" s="982">
        <v>16</v>
      </c>
      <c r="S1014" s="980">
        <v>0</v>
      </c>
      <c r="T1014" s="981">
        <v>8330</v>
      </c>
      <c r="U1014" s="983">
        <v>7690</v>
      </c>
      <c r="V1014" s="982">
        <v>49</v>
      </c>
      <c r="W1014" s="980">
        <v>0</v>
      </c>
      <c r="X1014" s="981">
        <v>8430</v>
      </c>
      <c r="Y1014" s="983">
        <v>7870</v>
      </c>
      <c r="Z1014" s="1412">
        <f>IFERROR(VLOOKUP(C1014, [6]條件!$A:$L, 3, 0), "")</f>
        <v>5.8775510204081636</v>
      </c>
      <c r="AA1014" s="984">
        <f>IF(OR(L1014={"改紡","檢修","了機","清車","FINAL","停機","SAMPLE","TEST","絲開發"}), L1014, IFERROR(IF(C1014="", "", (SUM(J1014, N1014, R1014, V1014)/3 * AG1014) * IF(AND(AF1014="S", AS1014="雙"), 0.5, 1)), ""))</f>
        <v>42.333333333333336</v>
      </c>
      <c r="AB1014" s="1413">
        <f t="shared" si="173"/>
        <v>1</v>
      </c>
      <c r="AC1014" s="984">
        <f>IF(OR(L1014={"改紡","檢修","了機","清車","FINAL","停機","SAMPLE","TEST"}), "", IFERROR(IF(C1014="", "", AVERAGE(L1014:M1014, P1014:Q1014, T1014:U1014, X1014:Y1014)/100), ""))</f>
        <v>81.875</v>
      </c>
      <c r="AD1014" s="984">
        <f t="shared" si="172"/>
        <v>5.291666666666667</v>
      </c>
      <c r="AE1014" s="984">
        <f t="shared" si="174"/>
        <v>5.291666666666667</v>
      </c>
      <c r="AF1014" s="985" t="str">
        <f t="shared" si="167"/>
        <v>T</v>
      </c>
      <c r="AG1014" s="1414">
        <v>1</v>
      </c>
      <c r="AH1014" s="1002" t="s">
        <v>16020</v>
      </c>
      <c r="AI1014" s="1002" t="s">
        <v>16020</v>
      </c>
      <c r="AJ1014" s="1002" t="s">
        <v>16014</v>
      </c>
      <c r="AK1014" s="1002" t="s">
        <v>16014</v>
      </c>
      <c r="AL1014" s="1415">
        <v>56</v>
      </c>
      <c r="AM1014" s="1323">
        <v>46165</v>
      </c>
      <c r="AN1014" s="1323">
        <v>46166</v>
      </c>
      <c r="AO1014" s="1323"/>
      <c r="AP1014" s="1323"/>
      <c r="AQ1014" s="1323"/>
      <c r="AR1014" s="987"/>
      <c r="AS1014" s="978" t="str">
        <f t="shared" si="168"/>
        <v>雙</v>
      </c>
      <c r="AT1014" s="978" t="str">
        <f t="shared" si="169"/>
        <v>全</v>
      </c>
      <c r="AU1014" s="978">
        <f t="shared" si="170"/>
        <v>150</v>
      </c>
      <c r="AV1014" s="978">
        <f t="shared" si="171"/>
        <v>5.9421599999999994</v>
      </c>
    </row>
    <row r="1015" spans="1:48">
      <c r="A1015" s="975">
        <f t="shared" si="166"/>
        <v>46168</v>
      </c>
      <c r="B1015" s="976" t="s">
        <v>237</v>
      </c>
      <c r="C1015" s="976" t="s">
        <v>16759</v>
      </c>
      <c r="D1015" s="1410" t="s">
        <v>633</v>
      </c>
      <c r="E1015" s="977" t="str">
        <f>IFERROR(VLOOKUP(C1015, [6]條件!$A:$L, 5, 0), "")</f>
        <v>150/48/2SDr</v>
      </c>
      <c r="F1015" s="978" t="str">
        <f>IFERROR(VLOOKUP(C1015, [6]條件!$A:$L, 6, 0), "")</f>
        <v>FP82171R×2</v>
      </c>
      <c r="G1015" s="1411">
        <f>IFERROR(VLOOKUP(C1015, [6]條件!$A:$L, 7, 0), "")</f>
        <v>700</v>
      </c>
      <c r="H1015" s="978" t="str">
        <f>IF(ISNA(VLOOKUP(C1015,[6]條件!$A$1:$K$932,11,0)),"",(VLOOKUP(C1015,[6]條件!$A$1:$K$932,11,0)))</f>
        <v>紅底黃星</v>
      </c>
      <c r="I1015" s="979">
        <f>IF(ISNA(VLOOKUP(C1015,[6]條件!$A$1:$L$932,12,0)),"",(VLOOKUP(C1015,[6]條件!$A$1:$L$932,12,0)))</f>
        <v>5.5</v>
      </c>
      <c r="J1015" s="982">
        <v>45</v>
      </c>
      <c r="K1015" s="980">
        <v>0</v>
      </c>
      <c r="L1015" s="981">
        <v>7500</v>
      </c>
      <c r="M1015" s="983">
        <v>8240</v>
      </c>
      <c r="N1015" s="982">
        <v>26</v>
      </c>
      <c r="O1015" s="980">
        <v>2</v>
      </c>
      <c r="P1015" s="981">
        <v>6570</v>
      </c>
      <c r="Q1015" s="983">
        <v>8980</v>
      </c>
      <c r="R1015" s="982">
        <v>0</v>
      </c>
      <c r="S1015" s="980">
        <v>0</v>
      </c>
      <c r="T1015" s="981">
        <v>6110</v>
      </c>
      <c r="U1015" s="983">
        <v>7960</v>
      </c>
      <c r="V1015" s="982">
        <v>43</v>
      </c>
      <c r="W1015" s="980">
        <v>0</v>
      </c>
      <c r="X1015" s="981">
        <v>8930</v>
      </c>
      <c r="Y1015" s="983">
        <v>6110</v>
      </c>
      <c r="Z1015" s="1412">
        <f>IFERROR(VLOOKUP(C1015, [6]條件!$A:$L, 3, 0), "")</f>
        <v>5.8299595141700413</v>
      </c>
      <c r="AA1015" s="984">
        <f>IF(OR(L1015={"改紡","檢修","了機","清車","FINAL","停機","SAMPLE","TEST","絲開發"}), L1015, IFERROR(IF(C1015="", "", (SUM(J1015, N1015, R1015, V1015)/3 * AG1015) * IF(AND(AF1015="S", AS1015="雙"), 0.5, 1)), ""))</f>
        <v>38</v>
      </c>
      <c r="AB1015" s="1413">
        <f t="shared" si="173"/>
        <v>0.99835069444444446</v>
      </c>
      <c r="AC1015" s="984">
        <f>IF(OR(L1015={"改紡","檢修","了機","清車","FINAL","停機","SAMPLE","TEST"}), "", IFERROR(IF(C1015="", "", AVERAGE(L1015:M1015, P1015:Q1015, T1015:U1015, X1015:Y1015)/100), ""))</f>
        <v>75.5</v>
      </c>
      <c r="AD1015" s="984">
        <f t="shared" si="172"/>
        <v>4.75</v>
      </c>
      <c r="AE1015" s="984">
        <f t="shared" si="174"/>
        <v>4.666666666666667</v>
      </c>
      <c r="AF1015" s="985" t="str">
        <f t="shared" si="167"/>
        <v>T</v>
      </c>
      <c r="AG1015" s="1414">
        <v>1</v>
      </c>
      <c r="AH1015" s="1002" t="s">
        <v>15998</v>
      </c>
      <c r="AI1015" s="1002" t="s">
        <v>15998</v>
      </c>
      <c r="AJ1015" s="986" t="s">
        <v>16010</v>
      </c>
      <c r="AK1015" s="986" t="s">
        <v>16010</v>
      </c>
      <c r="AL1015" s="1415">
        <v>55</v>
      </c>
      <c r="AM1015" s="1323">
        <v>46161</v>
      </c>
      <c r="AN1015" s="1323">
        <v>46163</v>
      </c>
      <c r="AO1015" s="1323">
        <v>46164</v>
      </c>
      <c r="AP1015" s="1323">
        <v>46165</v>
      </c>
      <c r="AQ1015" s="1323">
        <v>46166</v>
      </c>
      <c r="AR1015" s="987"/>
      <c r="AS1015" s="978" t="str">
        <f t="shared" si="168"/>
        <v>雙</v>
      </c>
      <c r="AT1015" s="978" t="str">
        <f t="shared" si="169"/>
        <v>全</v>
      </c>
      <c r="AU1015" s="978">
        <f t="shared" si="170"/>
        <v>150</v>
      </c>
      <c r="AV1015" s="978">
        <f t="shared" si="171"/>
        <v>5.4794879999999999</v>
      </c>
    </row>
    <row r="1016" spans="1:48">
      <c r="A1016" s="975">
        <f t="shared" si="166"/>
        <v>46168</v>
      </c>
      <c r="B1016" s="976" t="s">
        <v>238</v>
      </c>
      <c r="C1016" s="976" t="s">
        <v>16743</v>
      </c>
      <c r="D1016" s="1410"/>
      <c r="E1016" s="977" t="str">
        <f>IFERROR(VLOOKUP(C1016, [6]條件!$A:$L, 5, 0), "")</f>
        <v>150/48/2SDr</v>
      </c>
      <c r="F1016" s="978" t="str">
        <f>IFERROR(VLOOKUP(C1016, [6]條件!$A:$L, 6, 0), "")</f>
        <v>FP82169R×2</v>
      </c>
      <c r="G1016" s="1411">
        <f>IFERROR(VLOOKUP(C1016, [6]條件!$A:$L, 7, 0), "")</f>
        <v>670</v>
      </c>
      <c r="H1016" s="978" t="str">
        <f>IF(ISNA(VLOOKUP(C1016,[6]條件!$A$1:$K$932,11,0)),"",(VLOOKUP(C1016,[6]條件!$A$1:$K$932,11,0)))</f>
        <v>黃底紅點</v>
      </c>
      <c r="I1016" s="979">
        <f>IF(ISNA(VLOOKUP(C1016,[6]條件!$A$1:$L$932,12,0)),"",(VLOOKUP(C1016,[6]條件!$A$1:$L$932,12,0)))</f>
        <v>5</v>
      </c>
      <c r="J1016" s="982">
        <v>19</v>
      </c>
      <c r="K1016" s="980">
        <v>0</v>
      </c>
      <c r="L1016" s="981">
        <v>8249</v>
      </c>
      <c r="M1016" s="983"/>
      <c r="N1016" s="982">
        <v>9</v>
      </c>
      <c r="O1016" s="980">
        <v>0</v>
      </c>
      <c r="P1016" s="981">
        <v>7910</v>
      </c>
      <c r="Q1016" s="983"/>
      <c r="R1016" s="982">
        <v>14</v>
      </c>
      <c r="S1016" s="980">
        <v>0</v>
      </c>
      <c r="T1016" s="981">
        <v>8330</v>
      </c>
      <c r="U1016" s="983"/>
      <c r="V1016" s="982">
        <v>20</v>
      </c>
      <c r="W1016" s="980">
        <v>0</v>
      </c>
      <c r="X1016" s="981">
        <v>8150</v>
      </c>
      <c r="Y1016" s="983"/>
      <c r="Z1016" s="1412">
        <f>IFERROR(VLOOKUP(C1016, [6]條件!$A:$L, 3, 0), "")</f>
        <v>6.2882096069868991</v>
      </c>
      <c r="AA1016" s="984">
        <f>IF(OR(L1016={"改紡","檢修","了機","清車","FINAL","停機","SAMPLE","TEST","絲開發"}), L1016, IFERROR(IF(C1016="", "", (SUM(J1016, N1016, R1016, V1016)/3 * AG1016) * IF(AND(AF1016="S", AS1016="雙"), 0.5, 1)), ""))</f>
        <v>41.333333333333336</v>
      </c>
      <c r="AB1016" s="1413">
        <f t="shared" si="173"/>
        <v>1</v>
      </c>
      <c r="AC1016" s="984">
        <f>IF(OR(L1016={"改紡","檢修","了機","清車","FINAL","停機","SAMPLE","TEST"}), "", IFERROR(IF(C1016="", "", AVERAGE(L1016:M1016, P1016:Q1016, T1016:U1016, X1016:Y1016)/100), ""))</f>
        <v>81.597499999999997</v>
      </c>
      <c r="AD1016" s="984">
        <f t="shared" si="172"/>
        <v>5.166666666666667</v>
      </c>
      <c r="AE1016" s="984">
        <f t="shared" si="174"/>
        <v>5.166666666666667</v>
      </c>
      <c r="AF1016" s="985" t="str">
        <f t="shared" si="167"/>
        <v>T</v>
      </c>
      <c r="AG1016" s="1414">
        <v>2</v>
      </c>
      <c r="AH1016" s="1002" t="s">
        <v>16020</v>
      </c>
      <c r="AI1016" s="1002" t="s">
        <v>16020</v>
      </c>
      <c r="AJ1016" s="1002" t="s">
        <v>16014</v>
      </c>
      <c r="AK1016" s="1002" t="s">
        <v>16014</v>
      </c>
      <c r="AL1016" s="1415">
        <v>48</v>
      </c>
      <c r="AM1016" s="1323">
        <v>46160</v>
      </c>
      <c r="AN1016" s="1323">
        <v>46161</v>
      </c>
      <c r="AO1016" s="1323">
        <v>46162</v>
      </c>
      <c r="AP1016" s="1323"/>
      <c r="AQ1016" s="1323"/>
      <c r="AR1016" s="987"/>
      <c r="AS1016" s="978" t="str">
        <f t="shared" si="168"/>
        <v>雙</v>
      </c>
      <c r="AT1016" s="978" t="str">
        <f t="shared" si="169"/>
        <v>半</v>
      </c>
      <c r="AU1016" s="978">
        <f t="shared" si="170"/>
        <v>150</v>
      </c>
      <c r="AV1016" s="978">
        <f t="shared" si="171"/>
        <v>2.8341096480000001</v>
      </c>
    </row>
    <row r="1017" spans="1:48">
      <c r="A1017" s="975">
        <f t="shared" si="166"/>
        <v>46168</v>
      </c>
      <c r="B1017" s="976" t="s">
        <v>238</v>
      </c>
      <c r="C1017" s="976" t="s">
        <v>16742</v>
      </c>
      <c r="D1017" s="1410"/>
      <c r="E1017" s="977" t="str">
        <f>IFERROR(VLOOKUP(C1017, [6]條件!$A:$L, 5, 0), "")</f>
        <v>150/48/2SDr</v>
      </c>
      <c r="F1017" s="978" t="str">
        <f>IFERROR(VLOOKUP(C1017, [6]條件!$A:$L, 6, 0), "")</f>
        <v>FP82169R×2</v>
      </c>
      <c r="G1017" s="1411">
        <f>IFERROR(VLOOKUP(C1017, [6]條件!$A:$L, 7, 0), "")</f>
        <v>670</v>
      </c>
      <c r="H1017" s="978" t="str">
        <f>IF(ISNA(VLOOKUP(C1017,[6]條件!$A$1:$K$932,11,0)),"",(VLOOKUP(C1017,[6]條件!$A$1:$K$932,11,0)))</f>
        <v>紅底藍點</v>
      </c>
      <c r="I1017" s="979">
        <f>IF(ISNA(VLOOKUP(C1017,[6]條件!$A$1:$L$932,12,0)),"",(VLOOKUP(C1017,[6]條件!$A$1:$L$932,12,0)))</f>
        <v>5</v>
      </c>
      <c r="J1017" s="982">
        <v>15</v>
      </c>
      <c r="K1017" s="980">
        <v>0</v>
      </c>
      <c r="L1017" s="981">
        <v>9540</v>
      </c>
      <c r="M1017" s="983"/>
      <c r="N1017" s="982">
        <v>7</v>
      </c>
      <c r="O1017" s="980">
        <v>0</v>
      </c>
      <c r="P1017" s="981">
        <v>8700</v>
      </c>
      <c r="Q1017" s="983"/>
      <c r="R1017" s="982">
        <v>10</v>
      </c>
      <c r="S1017" s="980">
        <v>0</v>
      </c>
      <c r="T1017" s="981"/>
      <c r="U1017" s="983">
        <v>9170</v>
      </c>
      <c r="V1017" s="982">
        <v>21</v>
      </c>
      <c r="W1017" s="980">
        <v>0</v>
      </c>
      <c r="X1017" s="981"/>
      <c r="Y1017" s="983">
        <v>8980</v>
      </c>
      <c r="Z1017" s="1412">
        <f>IFERROR(VLOOKUP(C1017, [6]條件!$A:$L, 3, 0), "")</f>
        <v>6.1802575107296125</v>
      </c>
      <c r="AA1017" s="984">
        <f>IF(OR(L1017={"改紡","檢修","了機","清車","FINAL","停機","SAMPLE","TEST","絲開發"}), L1017, IFERROR(IF(C1017="", "", (SUM(J1017, N1017, R1017, V1017)/3 * AG1017) * IF(AND(AF1017="S", AS1017="雙"), 0.5, 1)), ""))</f>
        <v>35.333333333333336</v>
      </c>
      <c r="AB1017" s="1413">
        <f t="shared" si="173"/>
        <v>1</v>
      </c>
      <c r="AC1017" s="984">
        <f>IF(OR(L1017={"改紡","檢修","了機","清車","FINAL","停機","SAMPLE","TEST"}), "", IFERROR(IF(C1017="", "", AVERAGE(L1017:M1017, P1017:Q1017, T1017:U1017, X1017:Y1017)/100), ""))</f>
        <v>90.974999999999994</v>
      </c>
      <c r="AD1017" s="984">
        <f t="shared" si="172"/>
        <v>4.416666666666667</v>
      </c>
      <c r="AE1017" s="984">
        <f t="shared" si="174"/>
        <v>4.416666666666667</v>
      </c>
      <c r="AF1017" s="985" t="str">
        <f t="shared" si="167"/>
        <v>T</v>
      </c>
      <c r="AG1017" s="1414">
        <v>2</v>
      </c>
      <c r="AH1017" s="1002" t="s">
        <v>16020</v>
      </c>
      <c r="AI1017" s="1002" t="s">
        <v>16020</v>
      </c>
      <c r="AJ1017" s="1002" t="s">
        <v>16014</v>
      </c>
      <c r="AK1017" s="1002" t="s">
        <v>16014</v>
      </c>
      <c r="AL1017" s="1415">
        <v>48</v>
      </c>
      <c r="AM1017" s="1323">
        <v>46160</v>
      </c>
      <c r="AN1017" s="1323">
        <v>46161</v>
      </c>
      <c r="AO1017" s="1323">
        <v>46162</v>
      </c>
      <c r="AP1017" s="1323"/>
      <c r="AQ1017" s="1323"/>
      <c r="AR1017" s="987"/>
      <c r="AS1017" s="978" t="str">
        <f t="shared" si="168"/>
        <v>雙</v>
      </c>
      <c r="AT1017" s="978" t="str">
        <f t="shared" si="169"/>
        <v>半</v>
      </c>
      <c r="AU1017" s="978">
        <f t="shared" si="170"/>
        <v>150</v>
      </c>
      <c r="AV1017" s="978">
        <f t="shared" si="171"/>
        <v>3.1598164799999999</v>
      </c>
    </row>
    <row r="1018" spans="1:48">
      <c r="A1018" s="975">
        <f t="shared" si="166"/>
        <v>46168</v>
      </c>
      <c r="B1018" s="976" t="s">
        <v>239</v>
      </c>
      <c r="C1018" s="976" t="s">
        <v>16787</v>
      </c>
      <c r="D1018" s="1410" t="s">
        <v>16788</v>
      </c>
      <c r="E1018" s="977" t="str">
        <f>IFERROR(VLOOKUP(C1018, [6]條件!$A:$L, 5, 0), "")</f>
        <v>150/48/2SDR</v>
      </c>
      <c r="F1018" s="978" t="str">
        <f>IFERROR(VLOOKUP(C1018, [6]條件!$A:$L, 6, 0), "")</f>
        <v>FP82169R×2</v>
      </c>
      <c r="G1018" s="1411">
        <f>IFERROR(VLOOKUP(C1018, [6]條件!$A:$L, 7, 0), "")</f>
        <v>650</v>
      </c>
      <c r="H1018" s="978" t="str">
        <f>IF(ISNA(VLOOKUP(C1018,[6]條件!$A$1:$K$932,11,0)),"",(VLOOKUP(C1018,[6]條件!$A$1:$K$932,11,0)))</f>
        <v>紫黃條紋</v>
      </c>
      <c r="I1018" s="979">
        <f>IF(ISNA(VLOOKUP(C1018,[6]條件!$A$1:$L$932,12,0)),"",(VLOOKUP(C1018,[6]條件!$A$1:$L$932,12,0)))</f>
        <v>5</v>
      </c>
      <c r="J1018" s="982">
        <v>11</v>
      </c>
      <c r="K1018" s="980">
        <v>0</v>
      </c>
      <c r="L1018" s="981"/>
      <c r="M1018" s="983">
        <v>7410</v>
      </c>
      <c r="N1018" s="982">
        <v>19</v>
      </c>
      <c r="O1018" s="980">
        <v>0</v>
      </c>
      <c r="P1018" s="981" t="s">
        <v>16004</v>
      </c>
      <c r="Q1018" s="983">
        <v>8800</v>
      </c>
      <c r="R1018" s="982">
        <v>0</v>
      </c>
      <c r="S1018" s="980">
        <v>0</v>
      </c>
      <c r="T1018" s="981" t="s">
        <v>16004</v>
      </c>
      <c r="U1018" s="983">
        <v>7590</v>
      </c>
      <c r="V1018" s="982">
        <v>33</v>
      </c>
      <c r="W1018" s="980">
        <v>0</v>
      </c>
      <c r="X1018" s="981" t="s">
        <v>16004</v>
      </c>
      <c r="Y1018" s="983">
        <v>8800</v>
      </c>
      <c r="Z1018" s="1412">
        <f>IFERROR(VLOOKUP(C1018, [6]條件!$A:$L, 3, 0), "")</f>
        <v>6.101694915254237</v>
      </c>
      <c r="AA1018" s="984">
        <f>IF(OR(L1018={"改紡","檢修","了機","清車","FINAL","停機","SAMPLE","TEST","絲開發"}), L1018, IFERROR(IF(C1018="", "", (SUM(J1018, N1018, R1018, V1018)/3 * AG1018) * IF(AND(AF1018="S", AS1018="雙"), 0.5, 1)), ""))</f>
        <v>42</v>
      </c>
      <c r="AB1018" s="1413">
        <f t="shared" si="173"/>
        <v>1</v>
      </c>
      <c r="AC1018" s="984">
        <f>IF(OR(L1018={"改紡","檢修","了機","清車","FINAL","停機","SAMPLE","TEST"}), "", IFERROR(IF(C1018="", "", AVERAGE(L1018:M1018, P1018:Q1018, T1018:U1018, X1018:Y1018)/100), ""))</f>
        <v>81.5</v>
      </c>
      <c r="AD1018" s="984">
        <f t="shared" si="172"/>
        <v>5.25</v>
      </c>
      <c r="AE1018" s="984">
        <f t="shared" si="174"/>
        <v>5.25</v>
      </c>
      <c r="AF1018" s="985" t="str">
        <f t="shared" si="167"/>
        <v>T</v>
      </c>
      <c r="AG1018" s="1414">
        <v>2</v>
      </c>
      <c r="AH1018" s="1002" t="s">
        <v>16020</v>
      </c>
      <c r="AI1018" s="1002" t="s">
        <v>16020</v>
      </c>
      <c r="AJ1018" s="986" t="s">
        <v>16010</v>
      </c>
      <c r="AK1018" s="986" t="s">
        <v>16010</v>
      </c>
      <c r="AL1018" s="1415">
        <v>48</v>
      </c>
      <c r="AM1018" s="1323">
        <v>46157</v>
      </c>
      <c r="AN1018" s="1323">
        <v>46159</v>
      </c>
      <c r="AO1018" s="1323">
        <v>46160</v>
      </c>
      <c r="AP1018" s="1323">
        <v>46161</v>
      </c>
      <c r="AQ1018" s="1323"/>
      <c r="AR1018" s="987"/>
      <c r="AS1018" s="978" t="str">
        <f t="shared" si="168"/>
        <v>雙</v>
      </c>
      <c r="AT1018" s="978" t="str">
        <f t="shared" si="169"/>
        <v>半</v>
      </c>
      <c r="AU1018" s="978">
        <f t="shared" si="170"/>
        <v>150</v>
      </c>
      <c r="AV1018" s="978">
        <f t="shared" si="171"/>
        <v>2.7462240000000002</v>
      </c>
    </row>
    <row r="1019" spans="1:48">
      <c r="A1019" s="975">
        <f t="shared" ref="A1019:A1031" si="175">A1018</f>
        <v>46168</v>
      </c>
      <c r="B1019" s="976" t="s">
        <v>388</v>
      </c>
      <c r="C1019" s="976" t="s">
        <v>16775</v>
      </c>
      <c r="D1019" s="1410" t="s">
        <v>633</v>
      </c>
      <c r="E1019" s="977" t="str">
        <f>IFERROR(VLOOKUP(C1019, [6]條件!$A:$L, 5, 0), "")</f>
        <v>150/48/2SDr</v>
      </c>
      <c r="F1019" s="978" t="str">
        <f>IFERROR(VLOOKUP(C1019, [6]條件!$A:$L, 6, 0), "")</f>
        <v>FP82173R×2</v>
      </c>
      <c r="G1019" s="1411">
        <f>IFERROR(VLOOKUP(C1019, [6]條件!$A:$L, 7, 0), "")</f>
        <v>700</v>
      </c>
      <c r="H1019" s="978" t="str">
        <f>IF(ISNA(VLOOKUP(C1019,[6]條件!$A$1:$K$932,11,0)),"",(VLOOKUP(C1019,[6]條件!$A$1:$K$932,11,0)))</f>
        <v>黃紅雙色</v>
      </c>
      <c r="I1019" s="979">
        <f>IF(ISNA(VLOOKUP(C1019,[6]條件!$A$1:$L$932,12,0)),"",(VLOOKUP(C1019,[6]條件!$A$1:$L$932,12,0)))</f>
        <v>5.5</v>
      </c>
      <c r="J1019" s="982">
        <v>28</v>
      </c>
      <c r="K1019" s="980">
        <v>0</v>
      </c>
      <c r="L1019" s="981">
        <v>7500</v>
      </c>
      <c r="M1019" s="983">
        <v>9260</v>
      </c>
      <c r="N1019" s="982">
        <v>19</v>
      </c>
      <c r="O1019" s="980">
        <v>0</v>
      </c>
      <c r="P1019" s="981">
        <v>6850</v>
      </c>
      <c r="Q1019" s="983">
        <v>9350</v>
      </c>
      <c r="R1019" s="982">
        <v>23</v>
      </c>
      <c r="S1019" s="980">
        <v>0</v>
      </c>
      <c r="T1019" s="981">
        <v>8060</v>
      </c>
      <c r="U1019" s="983">
        <v>8060</v>
      </c>
      <c r="V1019" s="982">
        <v>36</v>
      </c>
      <c r="W1019" s="980">
        <v>0</v>
      </c>
      <c r="X1019" s="981">
        <v>6760</v>
      </c>
      <c r="Y1019" s="983">
        <v>8980</v>
      </c>
      <c r="Z1019" s="1412">
        <f>IFERROR(VLOOKUP(C1019, [6]條件!$A:$L, 3, 0), "")</f>
        <v>5.8536585365853666</v>
      </c>
      <c r="AA1019" s="984">
        <f>IF(OR(L1019={"改紡","檢修","了機","清車","FINAL","停機","SAMPLE","TEST","絲開發"}), L1019, IFERROR(IF(C1019="", "", (SUM(J1019, N1019, R1019, V1019)/3 * AG1019) * IF(AND(AF1019="S", AS1019="雙"), 0.5, 1)), ""))</f>
        <v>35.333333333333336</v>
      </c>
      <c r="AB1019" s="1413">
        <f t="shared" si="173"/>
        <v>1</v>
      </c>
      <c r="AC1019" s="984">
        <f>IF(OR(L1019={"改紡","檢修","了機","清車","FINAL","停機","SAMPLE","TEST"}), "", IFERROR(IF(C1019="", "", AVERAGE(L1019:M1019, P1019:Q1019, T1019:U1019, X1019:Y1019)/100), ""))</f>
        <v>81.025000000000006</v>
      </c>
      <c r="AD1019" s="984">
        <f t="shared" si="172"/>
        <v>4.416666666666667</v>
      </c>
      <c r="AE1019" s="984">
        <f t="shared" si="174"/>
        <v>4.416666666666667</v>
      </c>
      <c r="AF1019" s="985" t="str">
        <f t="shared" si="167"/>
        <v>T</v>
      </c>
      <c r="AG1019" s="1414">
        <v>1</v>
      </c>
      <c r="AH1019" s="1002" t="s">
        <v>15998</v>
      </c>
      <c r="AI1019" s="1002" t="s">
        <v>15998</v>
      </c>
      <c r="AJ1019" s="1002" t="s">
        <v>16014</v>
      </c>
      <c r="AK1019" s="1002" t="s">
        <v>16014</v>
      </c>
      <c r="AL1019" s="1415">
        <v>56</v>
      </c>
      <c r="AM1019" s="1323">
        <v>46164</v>
      </c>
      <c r="AN1019" s="1323">
        <v>46166</v>
      </c>
      <c r="AO1019" s="1323"/>
      <c r="AP1019" s="1323"/>
      <c r="AQ1019" s="1323"/>
      <c r="AR1019" s="987"/>
      <c r="AS1019" s="978" t="str">
        <f t="shared" si="168"/>
        <v>雙</v>
      </c>
      <c r="AT1019" s="978" t="str">
        <f t="shared" si="169"/>
        <v>全</v>
      </c>
      <c r="AU1019" s="978">
        <f t="shared" si="170"/>
        <v>150</v>
      </c>
      <c r="AV1019" s="978">
        <f t="shared" si="171"/>
        <v>5.8804704000000001</v>
      </c>
    </row>
    <row r="1020" spans="1:48">
      <c r="A1020" s="975">
        <f t="shared" si="175"/>
        <v>46168</v>
      </c>
      <c r="B1020" s="976" t="s">
        <v>417</v>
      </c>
      <c r="C1020" s="976" t="s">
        <v>16767</v>
      </c>
      <c r="D1020" s="1410" t="s">
        <v>633</v>
      </c>
      <c r="E1020" s="977" t="str">
        <f>IFERROR(VLOOKUP(C1020, [6]條件!$A:$L, 5, 0), "")</f>
        <v>150/48/2SDr</v>
      </c>
      <c r="F1020" s="978" t="str">
        <f>IFERROR(VLOOKUP(C1020, [6]條件!$A:$L, 6, 0), "")</f>
        <v>FP82173R×2</v>
      </c>
      <c r="G1020" s="1411">
        <f>IFERROR(VLOOKUP(C1020, [6]條件!$A:$L, 7, 0), "")</f>
        <v>700</v>
      </c>
      <c r="H1020" s="978" t="str">
        <f>IF(ISNA(VLOOKUP(C1020,[6]條件!$A$1:$K$932,11,0)),"",(VLOOKUP(C1020,[6]條件!$A$1:$K$932,11,0)))</f>
        <v>棕色</v>
      </c>
      <c r="I1020" s="979">
        <f>IF(ISNA(VLOOKUP(C1020,[6]條件!$A$1:$L$932,12,0)),"",(VLOOKUP(C1020,[6]條件!$A$1:$L$932,12,0)))</f>
        <v>5.5</v>
      </c>
      <c r="J1020" s="982">
        <v>34</v>
      </c>
      <c r="K1020" s="980">
        <v>0</v>
      </c>
      <c r="L1020" s="981">
        <v>9580</v>
      </c>
      <c r="M1020" s="983">
        <v>9070</v>
      </c>
      <c r="N1020" s="982">
        <v>9</v>
      </c>
      <c r="O1020" s="980">
        <v>0</v>
      </c>
      <c r="P1020" s="981">
        <v>9120</v>
      </c>
      <c r="Q1020" s="983">
        <v>8330</v>
      </c>
      <c r="R1020" s="982">
        <v>10</v>
      </c>
      <c r="S1020" s="980">
        <v>0</v>
      </c>
      <c r="T1020" s="981">
        <v>8470</v>
      </c>
      <c r="U1020" s="983">
        <v>9070</v>
      </c>
      <c r="V1020" s="982">
        <v>25</v>
      </c>
      <c r="W1020" s="980">
        <v>0</v>
      </c>
      <c r="X1020" s="981">
        <v>9120</v>
      </c>
      <c r="Y1020" s="983">
        <v>9350</v>
      </c>
      <c r="Z1020" s="1412">
        <f>IFERROR(VLOOKUP(C1020, [6]條件!$A:$L, 3, 0), "")</f>
        <v>5.8536585365853666</v>
      </c>
      <c r="AA1020" s="984">
        <f>IF(OR(L1020={"改紡","檢修","了機","清車","FINAL","停機","SAMPLE","TEST","絲開發"}), L1020, IFERROR(IF(C1020="", "", (SUM(J1020, N1020, R1020, V1020)/3 * AG1020) * IF(AND(AF1020="S", AS1020="雙"), 0.5, 1)), ""))</f>
        <v>26</v>
      </c>
      <c r="AB1020" s="1413">
        <f t="shared" si="173"/>
        <v>1</v>
      </c>
      <c r="AC1020" s="984">
        <f>IF(OR(L1020={"改紡","檢修","了機","清車","FINAL","停機","SAMPLE","TEST"}), "", IFERROR(IF(C1020="", "", AVERAGE(L1020:M1020, P1020:Q1020, T1020:U1020, X1020:Y1020)/100), ""))</f>
        <v>90.137500000000003</v>
      </c>
      <c r="AD1020" s="984">
        <f t="shared" si="172"/>
        <v>3.25</v>
      </c>
      <c r="AE1020" s="984">
        <f t="shared" si="174"/>
        <v>3.25</v>
      </c>
      <c r="AF1020" s="985" t="str">
        <f t="shared" si="167"/>
        <v>T</v>
      </c>
      <c r="AG1020" s="1414">
        <v>1</v>
      </c>
      <c r="AH1020" s="1002" t="s">
        <v>15998</v>
      </c>
      <c r="AI1020" s="1002" t="s">
        <v>15998</v>
      </c>
      <c r="AJ1020" s="986" t="s">
        <v>16010</v>
      </c>
      <c r="AK1020" s="986" t="s">
        <v>16010</v>
      </c>
      <c r="AL1020" s="1415">
        <v>56</v>
      </c>
      <c r="AM1020" s="1323">
        <v>46165</v>
      </c>
      <c r="AN1020" s="1323">
        <v>46166</v>
      </c>
      <c r="AO1020" s="1323"/>
      <c r="AP1020" s="1323"/>
      <c r="AQ1020" s="1323"/>
      <c r="AR1020" s="987"/>
      <c r="AS1020" s="978" t="str">
        <f t="shared" si="168"/>
        <v>雙</v>
      </c>
      <c r="AT1020" s="978" t="str">
        <f t="shared" si="169"/>
        <v>全</v>
      </c>
      <c r="AU1020" s="978">
        <f t="shared" si="170"/>
        <v>150</v>
      </c>
      <c r="AV1020" s="978">
        <f t="shared" si="171"/>
        <v>6.5418192000000008</v>
      </c>
    </row>
    <row r="1021" spans="1:48">
      <c r="A1021" s="975">
        <f t="shared" si="175"/>
        <v>46168</v>
      </c>
      <c r="B1021" s="976" t="s">
        <v>240</v>
      </c>
      <c r="C1021" s="976" t="s">
        <v>16776</v>
      </c>
      <c r="D1021" s="1410"/>
      <c r="E1021" s="977" t="str">
        <f>IFERROR(VLOOKUP(C1021, [6]條件!$A:$L, 5, 0), "")</f>
        <v>50/72/2SDFFR</v>
      </c>
      <c r="F1021" s="978" t="str">
        <f>IFERROR(VLOOKUP(C1021, [6]條件!$A:$L, 6, 0), "")</f>
        <v>FP80099R×2</v>
      </c>
      <c r="G1021" s="1411">
        <f>IFERROR(VLOOKUP(C1021, [6]條件!$A:$L, 7, 0), "")</f>
        <v>500</v>
      </c>
      <c r="H1021" s="978" t="str">
        <f>IF(ISNA(VLOOKUP(C1021,[6]條件!$A$1:$K$932,11,0)),"",(VLOOKUP(C1021,[6]條件!$A$1:$K$932,11,0)))</f>
        <v>白黑三角</v>
      </c>
      <c r="I1021" s="979">
        <f>IF(ISNA(VLOOKUP(C1021,[6]條件!$A$1:$L$932,12,0)),"",(VLOOKUP(C1021,[6]條件!$A$1:$L$932,12,0)))</f>
        <v>4</v>
      </c>
      <c r="J1021" s="982"/>
      <c r="K1021" s="980"/>
      <c r="L1021" s="981" t="s">
        <v>16017</v>
      </c>
      <c r="M1021" s="983"/>
      <c r="N1021" s="982"/>
      <c r="O1021" s="980"/>
      <c r="P1021" s="981" t="s">
        <v>16017</v>
      </c>
      <c r="Q1021" s="983"/>
      <c r="R1021" s="982"/>
      <c r="S1021" s="980"/>
      <c r="T1021" s="981" t="s">
        <v>16017</v>
      </c>
      <c r="U1021" s="983"/>
      <c r="V1021" s="982"/>
      <c r="W1021" s="980"/>
      <c r="X1021" s="981" t="s">
        <v>16017</v>
      </c>
      <c r="Y1021" s="983"/>
      <c r="Z1021" s="1422">
        <f>IFERROR(VLOOKUP(C1021, [6]條件!$A:$L, 3, 0), "")</f>
        <v>2.028169014084507</v>
      </c>
      <c r="AA1021" s="1167" t="str">
        <f>IF(OR(L1021={"改紡","檢修","了機","清車","FINAL","停機","SAMPLE","TEST","絲開發"}), L1021, IFERROR(IF(C1021="", "", (SUM(J1021, N1021, R1021, V1021)/3 * AG1021) * IF(AND(AF1021="S", AS1021="雙"), 0.5, 1)), ""))</f>
        <v>清車</v>
      </c>
      <c r="AB1021" s="1423" t="str">
        <f>IF(K1021="","",IF(ISERROR(1-((SUM(K1021,O1021,S1021,W1021)/((AG1021*12)-(AG1021*0.44)))/Z1021)),"",(1-((SUM(K1021,O1021,S1021,W1021)/((AG1021*12)-(AG1021*0.44)))/Z1021))))</f>
        <v/>
      </c>
      <c r="AC1021" s="1167" t="str">
        <f>IF(OR(L1021={"改紡","檢修","了機","清車","FINAL","停機","SAMPLE","TEST"}), "", IFERROR(IF(C1021="", "", AVERAGE(L1021:M1021, P1021:Q1021, T1021:U1021, X1021:Y1021)/100), ""))</f>
        <v/>
      </c>
      <c r="AD1021" s="1167" t="str">
        <f t="shared" si="172"/>
        <v/>
      </c>
      <c r="AE1021" s="1167" t="str">
        <f>IF(P1021="了機","",IF(J1021="","",IF(ISERROR((SUM(J1021,N1021,R1021,V1021)-SUM(K1021,O1021,S1021,W1021))/24),"",((SUM(J1021,N1021,R1021,V1021)-SUM(K1021,O1021,S1021,W1021))/24))))</f>
        <v/>
      </c>
      <c r="AF1021" s="1168" t="str">
        <f t="shared" si="167"/>
        <v>S</v>
      </c>
      <c r="AG1021" s="1424">
        <v>3</v>
      </c>
      <c r="AH1021" s="1002" t="s">
        <v>16000</v>
      </c>
      <c r="AI1021" s="1002" t="s">
        <v>16000</v>
      </c>
      <c r="AJ1021" s="986" t="s">
        <v>16019</v>
      </c>
      <c r="AK1021" s="986" t="s">
        <v>16019</v>
      </c>
      <c r="AL1021" s="1415"/>
      <c r="AM1021" s="1323"/>
      <c r="AN1021" s="1323"/>
      <c r="AO1021" s="1323"/>
      <c r="AP1021" s="1323"/>
      <c r="AQ1021" s="1323"/>
      <c r="AR1021" s="987"/>
      <c r="AS1021" s="978" t="str">
        <f t="shared" si="168"/>
        <v>雙</v>
      </c>
      <c r="AT1021" s="978" t="str">
        <f t="shared" si="169"/>
        <v>3sec</v>
      </c>
      <c r="AU1021" s="978">
        <f t="shared" si="170"/>
        <v>50</v>
      </c>
      <c r="AV1021" s="978" t="str">
        <f t="shared" si="171"/>
        <v/>
      </c>
    </row>
    <row r="1022" spans="1:48">
      <c r="A1022" s="975">
        <f t="shared" si="175"/>
        <v>46168</v>
      </c>
      <c r="B1022" s="976" t="s">
        <v>240</v>
      </c>
      <c r="C1022" s="976" t="s">
        <v>16777</v>
      </c>
      <c r="D1022" s="1410"/>
      <c r="E1022" s="977" t="str">
        <f>IFERROR(VLOOKUP(C1022, [6]條件!$A:$L, 5, 0), "")</f>
        <v>75/72/2SDFFR</v>
      </c>
      <c r="F1022" s="978" t="str">
        <f>IFERROR(VLOOKUP(C1022, [6]條件!$A:$L, 6, 0), "")</f>
        <v>FP81209R×2</v>
      </c>
      <c r="G1022" s="1411">
        <f>IFERROR(VLOOKUP(C1022, [6]條件!$A:$L, 7, 0), "")</f>
        <v>600</v>
      </c>
      <c r="H1022" s="978" t="str">
        <f>IF(ISNA(VLOOKUP(C1022,[6]條件!$A$1:$K$932,11,0)),"",(VLOOKUP(C1022,[6]條件!$A$1:$K$932,11,0)))</f>
        <v>白底紅十字</v>
      </c>
      <c r="I1022" s="979">
        <f>IF(ISNA(VLOOKUP(C1022,[6]條件!$A$1:$L$932,12,0)),"",(VLOOKUP(C1022,[6]條件!$A$1:$L$932,12,0)))</f>
        <v>5</v>
      </c>
      <c r="J1022" s="982"/>
      <c r="K1022" s="980"/>
      <c r="L1022" s="981" t="s">
        <v>16017</v>
      </c>
      <c r="M1022" s="983"/>
      <c r="N1022" s="982"/>
      <c r="O1022" s="980"/>
      <c r="P1022" s="981" t="s">
        <v>16017</v>
      </c>
      <c r="Q1022" s="983"/>
      <c r="R1022" s="982"/>
      <c r="S1022" s="980"/>
      <c r="T1022" s="981" t="s">
        <v>16017</v>
      </c>
      <c r="U1022" s="983"/>
      <c r="V1022" s="982"/>
      <c r="W1022" s="980"/>
      <c r="X1022" s="981" t="s">
        <v>16017</v>
      </c>
      <c r="Y1022" s="983"/>
      <c r="Z1022" s="1422">
        <f>IFERROR(VLOOKUP(C1022, [6]條件!$A:$L, 3, 0), "")</f>
        <v>2.7852998065764023</v>
      </c>
      <c r="AA1022" s="1167" t="str">
        <f>IF(OR(L1022={"改紡","檢修","了機","清車","FINAL","停機","SAMPLE","TEST","絲開發"}), L1022, IFERROR(IF(C1022="", "", (SUM(J1022, N1022, R1022, V1022)/3 * AG1022) * IF(AND(AF1022="S", AS1022="雙"), 0.5, 1)), ""))</f>
        <v>清車</v>
      </c>
      <c r="AB1022" s="1423" t="str">
        <f>IF(K1022="","",IF(ISERROR(1-((SUM(K1022,O1022,S1022,W1022)/((AG1022*12)-(AG1022*0.44)))/Z1022)),"",(1-((SUM(K1022,O1022,S1022,W1022)/((AG1022*12)-(AG1022*0.44)))/Z1022))))</f>
        <v/>
      </c>
      <c r="AC1022" s="1167" t="str">
        <f>IF(OR(L1022={"改紡","檢修","了機","清車","FINAL","停機","SAMPLE","TEST"}), "", IFERROR(IF(C1022="", "", AVERAGE(L1022:M1022, P1022:Q1022, T1022:U1022, X1022:Y1022)/100), ""))</f>
        <v/>
      </c>
      <c r="AD1022" s="1167" t="str">
        <f t="shared" si="172"/>
        <v/>
      </c>
      <c r="AE1022" s="1167" t="str">
        <f>IF(P1022="了機","",IF(J1022="","",IF(ISERROR((SUM(J1022,N1022,R1022,V1022)-SUM(K1022,O1022,S1022,W1022))/24),"",((SUM(J1022,N1022,R1022,V1022)-SUM(K1022,O1022,S1022,W1022))/24))))</f>
        <v/>
      </c>
      <c r="AF1022" s="1168" t="str">
        <f t="shared" si="167"/>
        <v>S</v>
      </c>
      <c r="AG1022" s="1424">
        <v>3</v>
      </c>
      <c r="AH1022" s="1002" t="s">
        <v>16000</v>
      </c>
      <c r="AI1022" s="1002" t="s">
        <v>16000</v>
      </c>
      <c r="AJ1022" s="986" t="s">
        <v>16019</v>
      </c>
      <c r="AK1022" s="986" t="s">
        <v>16019</v>
      </c>
      <c r="AL1022" s="1415"/>
      <c r="AM1022" s="1323"/>
      <c r="AN1022" s="1323"/>
      <c r="AO1022" s="1323"/>
      <c r="AP1022" s="1323"/>
      <c r="AQ1022" s="1323"/>
      <c r="AR1022" s="987"/>
      <c r="AS1022" s="978" t="str">
        <f t="shared" si="168"/>
        <v>雙</v>
      </c>
      <c r="AT1022" s="978" t="str">
        <f t="shared" si="169"/>
        <v>3sec</v>
      </c>
      <c r="AU1022" s="978">
        <f t="shared" si="170"/>
        <v>75</v>
      </c>
      <c r="AV1022" s="978" t="str">
        <f t="shared" si="171"/>
        <v/>
      </c>
    </row>
    <row r="1023" spans="1:48">
      <c r="A1023" s="975">
        <f t="shared" si="175"/>
        <v>46168</v>
      </c>
      <c r="B1023" s="976" t="s">
        <v>242</v>
      </c>
      <c r="C1023" s="976" t="s">
        <v>385</v>
      </c>
      <c r="D1023" s="1410"/>
      <c r="E1023" s="977" t="str">
        <f>IFERROR(VLOOKUP(C1023, [6]條件!$A:$L, 5, 0), "")</f>
        <v/>
      </c>
      <c r="F1023" s="978" t="str">
        <f>IFERROR(VLOOKUP(C1023, [6]條件!$A:$L, 6, 0), "")</f>
        <v/>
      </c>
      <c r="G1023" s="1411" t="str">
        <f>IFERROR(VLOOKUP(C1023, [6]條件!$A:$L, 7, 0), "")</f>
        <v/>
      </c>
      <c r="H1023" s="978" t="str">
        <f>IF(ISNA(VLOOKUP(C1023,[6]條件!$A$1:$K$932,11,0)),"",(VLOOKUP(C1023,[6]條件!$A$1:$K$932,11,0)))</f>
        <v/>
      </c>
      <c r="I1023" s="979" t="str">
        <f>IF(ISNA(VLOOKUP(C1023,[6]條件!$A$1:$L$932,12,0)),"",(VLOOKUP(C1023,[6]條件!$A$1:$L$932,12,0)))</f>
        <v/>
      </c>
      <c r="J1023" s="982"/>
      <c r="K1023" s="980"/>
      <c r="L1023" s="981" t="s">
        <v>385</v>
      </c>
      <c r="M1023" s="983"/>
      <c r="N1023" s="982"/>
      <c r="O1023" s="980"/>
      <c r="P1023" s="981" t="s">
        <v>385</v>
      </c>
      <c r="Q1023" s="983"/>
      <c r="R1023" s="982"/>
      <c r="S1023" s="980"/>
      <c r="T1023" s="981" t="s">
        <v>385</v>
      </c>
      <c r="U1023" s="983"/>
      <c r="V1023" s="982"/>
      <c r="W1023" s="980"/>
      <c r="X1023" s="981" t="s">
        <v>385</v>
      </c>
      <c r="Y1023" s="983"/>
      <c r="Z1023" s="1422" t="str">
        <f>IFERROR(VLOOKUP(C1023, [6]條件!$A:$L, 3, 0), "")</f>
        <v/>
      </c>
      <c r="AA1023" s="1167" t="str">
        <f>IF(OR(L1023={"改紡","檢修","了機","清車","FINAL","停機","SAMPLE","TEST","絲開發"}), L1023, IFERROR(IF(C1023="", "", (SUM(J1023, N1023, R1023, V1023)/3 * AG1023) * IF(AND(AF1023="S", AS1023="雙"), 0.5, 1)), ""))</f>
        <v>絲開發</v>
      </c>
      <c r="AB1023" s="1423" t="str">
        <f>IF(K1023="","",IF(ISERROR(1-((SUM(K1023,O1023,S1023,W1023)/((AG1023*12)-(AG1023*0.44)))/Z1023)),"",(1-((SUM(K1023,O1023,S1023,W1023)/((AG1023*12)-(AG1023*0.44)))/Z1023))))</f>
        <v/>
      </c>
      <c r="AC1023" s="1167" t="str">
        <f>IF(OR(L1023={"改紡","檢修","了機","清車","FINAL","停機","SAMPLE","TEST"}), "", IFERROR(IF(C1023="", "", AVERAGE(L1023:M1023, P1023:Q1023, T1023:U1023, X1023:Y1023)/100), ""))</f>
        <v/>
      </c>
      <c r="AD1023" s="1167" t="str">
        <f t="shared" si="172"/>
        <v/>
      </c>
      <c r="AE1023" s="1167" t="str">
        <f>IF(P1023="了機","",IF(J1023="","",IF(ISERROR((SUM(J1023,N1023,R1023,V1023)-SUM(K1023,O1023,S1023,W1023))/24),"",((SUM(J1023,N1023,R1023,V1023)-SUM(K1023,O1023,S1023,W1023))/24))))</f>
        <v/>
      </c>
      <c r="AF1023" s="1168" t="str">
        <f t="shared" si="167"/>
        <v>S</v>
      </c>
      <c r="AG1023" s="1424">
        <v>5</v>
      </c>
      <c r="AH1023" s="1002" t="s">
        <v>16000</v>
      </c>
      <c r="AI1023" s="1002" t="s">
        <v>16000</v>
      </c>
      <c r="AJ1023" s="986" t="s">
        <v>16019</v>
      </c>
      <c r="AK1023" s="986" t="s">
        <v>16019</v>
      </c>
      <c r="AL1023" s="1415"/>
      <c r="AM1023" s="1323"/>
      <c r="AN1023" s="1323"/>
      <c r="AO1023" s="1323"/>
      <c r="AP1023" s="1323"/>
      <c r="AQ1023" s="1323"/>
      <c r="AR1023" s="987"/>
      <c r="AS1023" s="978" t="str">
        <f t="shared" si="168"/>
        <v>單</v>
      </c>
      <c r="AT1023" s="978" t="str">
        <f t="shared" si="169"/>
        <v>5sec</v>
      </c>
      <c r="AU1023" s="978" t="str">
        <f t="shared" si="170"/>
        <v/>
      </c>
      <c r="AV1023" s="978" t="str">
        <f t="shared" si="171"/>
        <v/>
      </c>
    </row>
    <row r="1024" spans="1:48">
      <c r="A1024" s="975">
        <f t="shared" si="175"/>
        <v>46168</v>
      </c>
      <c r="B1024" s="976" t="s">
        <v>16078</v>
      </c>
      <c r="C1024" s="988" t="s">
        <v>16185</v>
      </c>
      <c r="D1024" s="1410"/>
      <c r="E1024" s="977" t="str">
        <f>IFERROR(VLOOKUP(C1024, [6]條件!$A:$L, 5, 0), "")</f>
        <v/>
      </c>
      <c r="F1024" s="978" t="str">
        <f>IFERROR(VLOOKUP(C1024, [6]條件!$A:$L, 6, 0), "")</f>
        <v/>
      </c>
      <c r="G1024" s="1411" t="str">
        <f>IFERROR(VLOOKUP(C1024, [6]條件!$A:$L, 7, 0), "")</f>
        <v/>
      </c>
      <c r="H1024" s="978" t="str">
        <f>IF(ISNA(VLOOKUP(C1024,[6]條件!$A$1:$K$932,11,0)),"",(VLOOKUP(C1024,[6]條件!$A$1:$K$932,11,0)))</f>
        <v/>
      </c>
      <c r="I1024" s="979" t="str">
        <f>IF(ISNA(VLOOKUP(C1024,[6]條件!$A$1:$L$932,12,0)),"",(VLOOKUP(C1024,[6]條件!$A$1:$L$932,12,0)))</f>
        <v/>
      </c>
      <c r="J1024" s="982"/>
      <c r="K1024" s="980"/>
      <c r="L1024" s="981" t="s">
        <v>632</v>
      </c>
      <c r="M1024" s="983"/>
      <c r="N1024" s="982"/>
      <c r="O1024" s="980"/>
      <c r="P1024" s="981" t="s">
        <v>632</v>
      </c>
      <c r="Q1024" s="983"/>
      <c r="R1024" s="982"/>
      <c r="S1024" s="980"/>
      <c r="T1024" s="981" t="s">
        <v>632</v>
      </c>
      <c r="U1024" s="983"/>
      <c r="V1024" s="982"/>
      <c r="W1024" s="980"/>
      <c r="X1024" s="981" t="s">
        <v>632</v>
      </c>
      <c r="Y1024" s="983"/>
      <c r="Z1024" s="1412" t="str">
        <f>IFERROR(VLOOKUP(C1024, [6]條件!$A:$L, 3, 0), "")</f>
        <v/>
      </c>
      <c r="AA1024" s="984" t="str">
        <f>IF(OR(L1024={"改紡","檢修","了機","清車","FINAL","停機","SAMPLE","TEST","絲開發"}), L1024, IFERROR(IF(C1024="", "", (SUM(J1024, N1024, R1024, V1024)/3 * AG1024) * IF(AND(AF1024="S", AS1024="雙"), 0.5, 1)), ""))</f>
        <v>停機</v>
      </c>
      <c r="AB1024" s="1413" t="str">
        <f t="shared" ref="AB1024:AB1060" si="176">IF(K1024="","",IF(ISERROR(1-(SUM(K1024,O1024,S1024,W1024)/208/Z1024)),"",(1-(SUM(K1024,O1024,S1024,W1024)/208/Z1024))))</f>
        <v/>
      </c>
      <c r="AC1024" s="984" t="str">
        <f>IF(OR(L1024={"改紡","檢修","了機","清車","FINAL","停機","SAMPLE","TEST"}), "", IFERROR(IF(C1024="", "", AVERAGE(L1024:M1024, P1024:Q1024, T1024:U1024, X1024:Y1024)/100), ""))</f>
        <v/>
      </c>
      <c r="AD1024" s="984" t="str">
        <f t="shared" si="172"/>
        <v/>
      </c>
      <c r="AE1024" s="984" t="str">
        <f>IF(OR(L1024="改紡", L1024="檢修", L1024="了機"), "",
   IF(AND(C1024&lt;&gt;"", J1024&lt;&gt;""),
      IFERROR((SUM(J1024, N1024, R1024, V1024) - SUM(K1024, O1024, S1024, W1024))/24 * AG1024, ""),
   "")
)</f>
        <v/>
      </c>
      <c r="AF1024" s="985" t="str">
        <f t="shared" si="167"/>
        <v>M</v>
      </c>
      <c r="AG1024" s="1414">
        <v>1</v>
      </c>
      <c r="AH1024" s="1002" t="s">
        <v>640</v>
      </c>
      <c r="AI1024" s="1002" t="s">
        <v>640</v>
      </c>
      <c r="AJ1024" s="986" t="s">
        <v>640</v>
      </c>
      <c r="AK1024" s="986" t="s">
        <v>640</v>
      </c>
      <c r="AL1024" s="1415"/>
      <c r="AM1024" s="1323"/>
      <c r="AN1024" s="1323"/>
      <c r="AO1024" s="1323"/>
      <c r="AP1024" s="1323"/>
      <c r="AQ1024" s="1323"/>
      <c r="AR1024" s="987"/>
      <c r="AS1024" s="978" t="str">
        <f t="shared" si="168"/>
        <v>單</v>
      </c>
      <c r="AT1024" s="978" t="str">
        <f t="shared" si="169"/>
        <v>全</v>
      </c>
      <c r="AU1024" s="978" t="str">
        <f t="shared" si="170"/>
        <v/>
      </c>
      <c r="AV1024" s="978" t="str">
        <f t="shared" si="171"/>
        <v/>
      </c>
    </row>
    <row r="1025" spans="1:48">
      <c r="A1025" s="975">
        <f t="shared" si="175"/>
        <v>46168</v>
      </c>
      <c r="B1025" s="976" t="s">
        <v>243</v>
      </c>
      <c r="C1025" s="988" t="s">
        <v>16185</v>
      </c>
      <c r="D1025" s="1410"/>
      <c r="E1025" s="977" t="str">
        <f>IFERROR(VLOOKUP(C1025, [6]條件!$A:$L, 5, 0), "")</f>
        <v/>
      </c>
      <c r="F1025" s="978" t="str">
        <f>IFERROR(VLOOKUP(C1025, [6]條件!$A:$L, 6, 0), "")</f>
        <v/>
      </c>
      <c r="G1025" s="1411" t="str">
        <f>IFERROR(VLOOKUP(C1025, [6]條件!$A:$L, 7, 0), "")</f>
        <v/>
      </c>
      <c r="H1025" s="978" t="str">
        <f>IF(ISNA(VLOOKUP(C1025,[6]條件!$A$1:$K$932,11,0)),"",(VLOOKUP(C1025,[6]條件!$A$1:$K$932,11,0)))</f>
        <v/>
      </c>
      <c r="I1025" s="979" t="str">
        <f>IF(ISNA(VLOOKUP(C1025,[6]條件!$A$1:$L$932,12,0)),"",(VLOOKUP(C1025,[6]條件!$A$1:$L$932,12,0)))</f>
        <v/>
      </c>
      <c r="J1025" s="982"/>
      <c r="K1025" s="980"/>
      <c r="L1025" s="981" t="s">
        <v>632</v>
      </c>
      <c r="M1025" s="983"/>
      <c r="N1025" s="982"/>
      <c r="O1025" s="980"/>
      <c r="P1025" s="981" t="s">
        <v>632</v>
      </c>
      <c r="Q1025" s="983"/>
      <c r="R1025" s="982"/>
      <c r="S1025" s="980"/>
      <c r="T1025" s="981" t="s">
        <v>632</v>
      </c>
      <c r="U1025" s="983"/>
      <c r="V1025" s="982"/>
      <c r="W1025" s="980"/>
      <c r="X1025" s="981" t="s">
        <v>632</v>
      </c>
      <c r="Y1025" s="983"/>
      <c r="Z1025" s="1412" t="str">
        <f>IFERROR(VLOOKUP(C1025, [6]條件!$A:$L, 3, 0), "")</f>
        <v/>
      </c>
      <c r="AA1025" s="984" t="str">
        <f>IF(OR(L1025={"改紡","檢修","了機","清車","FINAL","停機","SAMPLE","TEST","絲開發"}), L1025, IFERROR(IF(C1025="", "", (SUM(J1025, N1025, R1025, V1025)/3 * AG1025) * IF(AND(AF1025="S", AS1025="雙"), 0.5, 1)), ""))</f>
        <v>停機</v>
      </c>
      <c r="AB1025" s="1413" t="str">
        <f t="shared" si="176"/>
        <v/>
      </c>
      <c r="AC1025" s="984" t="str">
        <f>IF(OR(L1025={"改紡","檢修","了機","清車","FINAL","停機","SAMPLE","TEST"}), "", IFERROR(IF(C1025="", "", AVERAGE(L1025:M1025, P1025:Q1025, T1025:U1025, X1025:Y1025)/100), ""))</f>
        <v/>
      </c>
      <c r="AD1025" s="984" t="str">
        <f t="shared" si="172"/>
        <v/>
      </c>
      <c r="AE1025" s="984" t="str">
        <f t="shared" ref="AE1025:AE1060" si="177">IF(OR(L1025="改紡", L1025="檢修", L1025="了機"), "",
IF(AND(C1025&lt;&gt;"", J1025&lt;&gt;""),
IFERROR((SUM(J1025, N1025, R1025, V1025) - SUM(K1025, O1025, S1025, W1025))/24 * AG1025, ""),
"")
)</f>
        <v/>
      </c>
      <c r="AF1025" s="985" t="str">
        <f t="shared" si="167"/>
        <v>M</v>
      </c>
      <c r="AG1025" s="1414">
        <v>1</v>
      </c>
      <c r="AH1025" s="1002" t="s">
        <v>640</v>
      </c>
      <c r="AI1025" s="1002" t="s">
        <v>640</v>
      </c>
      <c r="AJ1025" s="986" t="s">
        <v>640</v>
      </c>
      <c r="AK1025" s="986" t="s">
        <v>640</v>
      </c>
      <c r="AL1025" s="1415"/>
      <c r="AM1025" s="1323"/>
      <c r="AN1025" s="1323"/>
      <c r="AO1025" s="1323"/>
      <c r="AP1025" s="1323"/>
      <c r="AQ1025" s="1323"/>
      <c r="AR1025" s="987"/>
      <c r="AS1025" s="978" t="str">
        <f t="shared" si="168"/>
        <v>單</v>
      </c>
      <c r="AT1025" s="978" t="str">
        <f t="shared" si="169"/>
        <v>全</v>
      </c>
      <c r="AU1025" s="978" t="str">
        <f t="shared" si="170"/>
        <v/>
      </c>
      <c r="AV1025" s="978" t="str">
        <f t="shared" si="171"/>
        <v/>
      </c>
    </row>
    <row r="1026" spans="1:48">
      <c r="A1026" s="975">
        <f t="shared" si="175"/>
        <v>46168</v>
      </c>
      <c r="B1026" s="976" t="s">
        <v>244</v>
      </c>
      <c r="C1026" s="988" t="s">
        <v>16185</v>
      </c>
      <c r="D1026" s="1410"/>
      <c r="E1026" s="977" t="str">
        <f>IFERROR(VLOOKUP(C1026, [6]條件!$A:$L, 5, 0), "")</f>
        <v/>
      </c>
      <c r="F1026" s="978" t="str">
        <f>IFERROR(VLOOKUP(C1026, [6]條件!$A:$L, 6, 0), "")</f>
        <v/>
      </c>
      <c r="G1026" s="1411" t="str">
        <f>IFERROR(VLOOKUP(C1026, [6]條件!$A:$L, 7, 0), "")</f>
        <v/>
      </c>
      <c r="H1026" s="978" t="str">
        <f>IF(ISNA(VLOOKUP(C1026,[6]條件!$A$1:$K$932,11,0)),"",(VLOOKUP(C1026,[6]條件!$A$1:$K$932,11,0)))</f>
        <v/>
      </c>
      <c r="I1026" s="979" t="str">
        <f>IF(ISNA(VLOOKUP(C1026,[6]條件!$A$1:$L$932,12,0)),"",(VLOOKUP(C1026,[6]條件!$A$1:$L$932,12,0)))</f>
        <v/>
      </c>
      <c r="J1026" s="982"/>
      <c r="K1026" s="980"/>
      <c r="L1026" s="981" t="s">
        <v>632</v>
      </c>
      <c r="M1026" s="983"/>
      <c r="N1026" s="982"/>
      <c r="O1026" s="980"/>
      <c r="P1026" s="981" t="s">
        <v>632</v>
      </c>
      <c r="Q1026" s="983"/>
      <c r="R1026" s="982"/>
      <c r="S1026" s="980"/>
      <c r="T1026" s="981" t="s">
        <v>632</v>
      </c>
      <c r="U1026" s="983"/>
      <c r="V1026" s="982"/>
      <c r="W1026" s="980"/>
      <c r="X1026" s="981" t="s">
        <v>632</v>
      </c>
      <c r="Y1026" s="983"/>
      <c r="Z1026" s="1412" t="str">
        <f>IFERROR(VLOOKUP(C1026, [6]條件!$A:$L, 3, 0), "")</f>
        <v/>
      </c>
      <c r="AA1026" s="984" t="str">
        <f>IF(OR(L1026={"改紡","檢修","了機","清車","FINAL","停機","SAMPLE","TEST","絲開發"}), L1026, IFERROR(IF(C1026="", "", (SUM(J1026, N1026, R1026, V1026)/3 * AG1026) * IF(AND(AF1026="S", AS1026="雙"), 0.5, 1)), ""))</f>
        <v>停機</v>
      </c>
      <c r="AB1026" s="1413" t="str">
        <f t="shared" si="176"/>
        <v/>
      </c>
      <c r="AC1026" s="984" t="str">
        <f>IF(OR(L1026={"改紡","檢修","了機","清車","FINAL","停機","SAMPLE","TEST"}), "", IFERROR(IF(C1026="", "", AVERAGE(L1026:M1026, P1026:Q1026, T1026:U1026, X1026:Y1026)/100), ""))</f>
        <v/>
      </c>
      <c r="AD1026" s="984" t="str">
        <f t="shared" si="172"/>
        <v/>
      </c>
      <c r="AE1026" s="984" t="str">
        <f t="shared" si="177"/>
        <v/>
      </c>
      <c r="AF1026" s="985" t="str">
        <f t="shared" ref="AF1026:AF1089" si="178">LEFT(B1026, 1)</f>
        <v>M</v>
      </c>
      <c r="AG1026" s="1414">
        <v>1</v>
      </c>
      <c r="AH1026" s="1002" t="s">
        <v>640</v>
      </c>
      <c r="AI1026" s="1002" t="s">
        <v>640</v>
      </c>
      <c r="AJ1026" s="986" t="s">
        <v>640</v>
      </c>
      <c r="AK1026" s="986" t="s">
        <v>640</v>
      </c>
      <c r="AL1026" s="1415"/>
      <c r="AM1026" s="1323"/>
      <c r="AN1026" s="1323"/>
      <c r="AO1026" s="1323"/>
      <c r="AP1026" s="1323"/>
      <c r="AQ1026" s="1323"/>
      <c r="AR1026" s="987"/>
      <c r="AS1026" s="978" t="str">
        <f t="shared" ref="AS1026:AS1089" si="179">IF(RIGHT(F1026, 2) = "×2", "雙", "單")</f>
        <v>單</v>
      </c>
      <c r="AT1026" s="978" t="str">
        <f t="shared" ref="AT1026:AT1089" si="180">IF(OR(AF1026="J", AF1026="T", AF1026="M"), IF(AG1026=1, "全", "半"), IF(AF1026="A", IF(AG1026=0.5, IF(AS1026="雙", "全", ""), IF(AG1026=1, IF(AS1026="雙", "半", "全"), IF(AG1026=2, "半", ""))), IF(AF1026="S", AG1026 &amp; "sec", "")))</f>
        <v>全</v>
      </c>
      <c r="AU1026" s="978" t="str">
        <f t="shared" ref="AU1026:AU1089" si="181">IFERROR(VALUE(LEFT(E1026, FIND("/", E1026)-1)), "")</f>
        <v/>
      </c>
      <c r="AV1026" s="978" t="str">
        <f t="shared" ref="AV1026:AV1089" si="182">IFERROR(IF(AF1026="S", (AU1026*G1026*AC1026*0.03456/100/1000) * (AG1026*12/144) * IF(AS1026="單", 1, 0.5), IF(AF1026="A", (AU1026*G1026*AC1026*0.03456/100/1000) * IF(AT1026="全", 1, 0.5), IF(OR(AF1026="T", AF1026="J", AF1026="M"), (AU1026*G1026*AC1026*0.03456/100/1000) * IF(AS1026="單", 1, 2) * IF(AT1026="全", 1, 0.5), 0))), "")</f>
        <v/>
      </c>
    </row>
    <row r="1027" spans="1:48">
      <c r="A1027" s="975">
        <f t="shared" si="175"/>
        <v>46168</v>
      </c>
      <c r="B1027" s="976" t="s">
        <v>245</v>
      </c>
      <c r="C1027" s="988" t="s">
        <v>16185</v>
      </c>
      <c r="D1027" s="1410"/>
      <c r="E1027" s="977" t="str">
        <f>IFERROR(VLOOKUP(C1027, [6]條件!$A:$L, 5, 0), "")</f>
        <v/>
      </c>
      <c r="F1027" s="978" t="str">
        <f>IFERROR(VLOOKUP(C1027, [6]條件!$A:$L, 6, 0), "")</f>
        <v/>
      </c>
      <c r="G1027" s="1411" t="str">
        <f>IFERROR(VLOOKUP(C1027, [6]條件!$A:$L, 7, 0), "")</f>
        <v/>
      </c>
      <c r="H1027" s="978" t="str">
        <f>IF(ISNA(VLOOKUP(C1027,[6]條件!$A$1:$K$932,11,0)),"",(VLOOKUP(C1027,[6]條件!$A$1:$K$932,11,0)))</f>
        <v/>
      </c>
      <c r="I1027" s="979" t="str">
        <f>IF(ISNA(VLOOKUP(C1027,[6]條件!$A$1:$L$932,12,0)),"",(VLOOKUP(C1027,[6]條件!$A$1:$L$932,12,0)))</f>
        <v/>
      </c>
      <c r="J1027" s="982"/>
      <c r="K1027" s="980"/>
      <c r="L1027" s="981" t="s">
        <v>632</v>
      </c>
      <c r="M1027" s="983"/>
      <c r="N1027" s="982"/>
      <c r="O1027" s="980"/>
      <c r="P1027" s="981" t="s">
        <v>632</v>
      </c>
      <c r="Q1027" s="983"/>
      <c r="R1027" s="982"/>
      <c r="S1027" s="980"/>
      <c r="T1027" s="981" t="s">
        <v>632</v>
      </c>
      <c r="U1027" s="983"/>
      <c r="V1027" s="982"/>
      <c r="W1027" s="980"/>
      <c r="X1027" s="981" t="s">
        <v>632</v>
      </c>
      <c r="Y1027" s="983"/>
      <c r="Z1027" s="1412" t="str">
        <f>IFERROR(VLOOKUP(C1027, [6]條件!$A:$L, 3, 0), "")</f>
        <v/>
      </c>
      <c r="AA1027" s="984" t="str">
        <f>IF(OR(L1027={"改紡","檢修","了機","清車","FINAL","停機","SAMPLE","TEST","絲開發"}), L1027, IFERROR(IF(C1027="", "", (SUM(J1027, N1027, R1027, V1027)/3 * AG1027) * IF(AND(AF1027="S", AS1027="雙"), 0.5, 1)), ""))</f>
        <v>停機</v>
      </c>
      <c r="AB1027" s="1413" t="str">
        <f t="shared" si="176"/>
        <v/>
      </c>
      <c r="AC1027" s="984" t="str">
        <f>IF(OR(L1027={"改紡","檢修","了機","清車","FINAL","停機","SAMPLE","TEST"}), "", IFERROR(IF(C1027="", "", AVERAGE(L1027:M1027, P1027:Q1027, T1027:U1027, X1027:Y1027)/100), ""))</f>
        <v/>
      </c>
      <c r="AD1027" s="984" t="str">
        <f t="shared" si="172"/>
        <v/>
      </c>
      <c r="AE1027" s="984" t="str">
        <f t="shared" si="177"/>
        <v/>
      </c>
      <c r="AF1027" s="985" t="str">
        <f t="shared" si="178"/>
        <v>M</v>
      </c>
      <c r="AG1027" s="1414">
        <v>1</v>
      </c>
      <c r="AH1027" s="1002" t="s">
        <v>640</v>
      </c>
      <c r="AI1027" s="1002" t="s">
        <v>640</v>
      </c>
      <c r="AJ1027" s="986" t="s">
        <v>640</v>
      </c>
      <c r="AK1027" s="986" t="s">
        <v>640</v>
      </c>
      <c r="AL1027" s="1415"/>
      <c r="AM1027" s="1323"/>
      <c r="AN1027" s="1323"/>
      <c r="AO1027" s="1323"/>
      <c r="AP1027" s="1323"/>
      <c r="AQ1027" s="1323"/>
      <c r="AR1027" s="987"/>
      <c r="AS1027" s="978" t="str">
        <f t="shared" si="179"/>
        <v>單</v>
      </c>
      <c r="AT1027" s="978" t="str">
        <f t="shared" si="180"/>
        <v>全</v>
      </c>
      <c r="AU1027" s="978" t="str">
        <f t="shared" si="181"/>
        <v/>
      </c>
      <c r="AV1027" s="978" t="str">
        <f t="shared" si="182"/>
        <v/>
      </c>
    </row>
    <row r="1028" spans="1:48">
      <c r="A1028" s="975">
        <f t="shared" si="175"/>
        <v>46168</v>
      </c>
      <c r="B1028" s="976" t="s">
        <v>246</v>
      </c>
      <c r="C1028" s="988" t="s">
        <v>16185</v>
      </c>
      <c r="D1028" s="1410"/>
      <c r="E1028" s="977" t="str">
        <f>IFERROR(VLOOKUP(C1028, [6]條件!$A:$L, 5, 0), "")</f>
        <v/>
      </c>
      <c r="F1028" s="978" t="str">
        <f>IFERROR(VLOOKUP(C1028, [6]條件!$A:$L, 6, 0), "")</f>
        <v/>
      </c>
      <c r="G1028" s="1411" t="str">
        <f>IFERROR(VLOOKUP(C1028, [6]條件!$A:$L, 7, 0), "")</f>
        <v/>
      </c>
      <c r="H1028" s="978" t="str">
        <f>IF(ISNA(VLOOKUP(C1028,[6]條件!$A$1:$K$932,11,0)),"",(VLOOKUP(C1028,[6]條件!$A$1:$K$932,11,0)))</f>
        <v/>
      </c>
      <c r="I1028" s="979" t="str">
        <f>IF(ISNA(VLOOKUP(C1028,[6]條件!$A$1:$L$932,12,0)),"",(VLOOKUP(C1028,[6]條件!$A$1:$L$932,12,0)))</f>
        <v/>
      </c>
      <c r="J1028" s="982"/>
      <c r="K1028" s="980"/>
      <c r="L1028" s="981" t="s">
        <v>632</v>
      </c>
      <c r="M1028" s="983"/>
      <c r="N1028" s="982"/>
      <c r="O1028" s="980"/>
      <c r="P1028" s="981" t="s">
        <v>632</v>
      </c>
      <c r="Q1028" s="983"/>
      <c r="R1028" s="982"/>
      <c r="S1028" s="980"/>
      <c r="T1028" s="981" t="s">
        <v>632</v>
      </c>
      <c r="U1028" s="983"/>
      <c r="V1028" s="982"/>
      <c r="W1028" s="980"/>
      <c r="X1028" s="981" t="s">
        <v>632</v>
      </c>
      <c r="Y1028" s="983"/>
      <c r="Z1028" s="1412" t="str">
        <f>IFERROR(VLOOKUP(C1028, [6]條件!$A:$L, 3, 0), "")</f>
        <v/>
      </c>
      <c r="AA1028" s="984" t="str">
        <f>IF(OR(L1028={"改紡","檢修","了機","清車","FINAL","停機","SAMPLE","TEST","絲開發"}), L1028, IFERROR(IF(C1028="", "", (SUM(J1028, N1028, R1028, V1028)/3 * AG1028) * IF(AND(AF1028="S", AS1028="雙"), 0.5, 1)), ""))</f>
        <v>停機</v>
      </c>
      <c r="AB1028" s="1413" t="str">
        <f t="shared" si="176"/>
        <v/>
      </c>
      <c r="AC1028" s="984" t="str">
        <f>IF(OR(L1028={"改紡","檢修","了機","清車","FINAL","停機","SAMPLE","TEST"}), "", IFERROR(IF(C1028="", "", AVERAGE(L1028:M1028, P1028:Q1028, T1028:U1028, X1028:Y1028)/100), ""))</f>
        <v/>
      </c>
      <c r="AD1028" s="984" t="str">
        <f t="shared" si="172"/>
        <v/>
      </c>
      <c r="AE1028" s="984" t="str">
        <f t="shared" si="177"/>
        <v/>
      </c>
      <c r="AF1028" s="985" t="str">
        <f t="shared" si="178"/>
        <v>M</v>
      </c>
      <c r="AG1028" s="1414">
        <v>1</v>
      </c>
      <c r="AH1028" s="1002" t="s">
        <v>640</v>
      </c>
      <c r="AI1028" s="1002" t="s">
        <v>640</v>
      </c>
      <c r="AJ1028" s="986" t="s">
        <v>640</v>
      </c>
      <c r="AK1028" s="986" t="s">
        <v>640</v>
      </c>
      <c r="AL1028" s="1415"/>
      <c r="AM1028" s="1323"/>
      <c r="AN1028" s="1323"/>
      <c r="AO1028" s="1323"/>
      <c r="AP1028" s="1323"/>
      <c r="AQ1028" s="1323"/>
      <c r="AR1028" s="987"/>
      <c r="AS1028" s="978" t="str">
        <f t="shared" si="179"/>
        <v>單</v>
      </c>
      <c r="AT1028" s="978" t="str">
        <f t="shared" si="180"/>
        <v>全</v>
      </c>
      <c r="AU1028" s="978" t="str">
        <f t="shared" si="181"/>
        <v/>
      </c>
      <c r="AV1028" s="978" t="str">
        <f t="shared" si="182"/>
        <v/>
      </c>
    </row>
    <row r="1029" spans="1:48">
      <c r="A1029" s="975">
        <f t="shared" si="175"/>
        <v>46168</v>
      </c>
      <c r="B1029" s="976" t="s">
        <v>247</v>
      </c>
      <c r="C1029" s="988" t="s">
        <v>16185</v>
      </c>
      <c r="D1029" s="1410"/>
      <c r="E1029" s="977" t="str">
        <f>IFERROR(VLOOKUP(C1029, [6]條件!$A:$L, 5, 0), "")</f>
        <v/>
      </c>
      <c r="F1029" s="978" t="str">
        <f>IFERROR(VLOOKUP(C1029, [6]條件!$A:$L, 6, 0), "")</f>
        <v/>
      </c>
      <c r="G1029" s="1411" t="str">
        <f>IFERROR(VLOOKUP(C1029, [6]條件!$A:$L, 7, 0), "")</f>
        <v/>
      </c>
      <c r="H1029" s="978" t="str">
        <f>IF(ISNA(VLOOKUP(C1029,[6]條件!$A$1:$K$932,11,0)),"",(VLOOKUP(C1029,[6]條件!$A$1:$K$932,11,0)))</f>
        <v/>
      </c>
      <c r="I1029" s="979" t="str">
        <f>IF(ISNA(VLOOKUP(C1029,[6]條件!$A$1:$L$932,12,0)),"",(VLOOKUP(C1029,[6]條件!$A$1:$L$932,12,0)))</f>
        <v/>
      </c>
      <c r="J1029" s="982"/>
      <c r="K1029" s="980"/>
      <c r="L1029" s="981" t="s">
        <v>632</v>
      </c>
      <c r="M1029" s="983"/>
      <c r="N1029" s="982"/>
      <c r="O1029" s="980"/>
      <c r="P1029" s="981" t="s">
        <v>632</v>
      </c>
      <c r="Q1029" s="983"/>
      <c r="R1029" s="982"/>
      <c r="S1029" s="980"/>
      <c r="T1029" s="981" t="s">
        <v>632</v>
      </c>
      <c r="U1029" s="983"/>
      <c r="V1029" s="982"/>
      <c r="W1029" s="980"/>
      <c r="X1029" s="981" t="s">
        <v>632</v>
      </c>
      <c r="Y1029" s="983"/>
      <c r="Z1029" s="1412" t="str">
        <f>IFERROR(VLOOKUP(C1029, [6]條件!$A:$L, 3, 0), "")</f>
        <v/>
      </c>
      <c r="AA1029" s="984" t="str">
        <f>IF(OR(L1029={"改紡","檢修","了機","清車","FINAL","停機","SAMPLE","TEST","絲開發"}), L1029, IFERROR(IF(C1029="", "", (SUM(J1029, N1029, R1029, V1029)/3 * AG1029) * IF(AND(AF1029="S", AS1029="雙"), 0.5, 1)), ""))</f>
        <v>停機</v>
      </c>
      <c r="AB1029" s="1413" t="str">
        <f t="shared" si="176"/>
        <v/>
      </c>
      <c r="AC1029" s="984" t="str">
        <f>IF(OR(L1029={"改紡","檢修","了機","清車","FINAL","停機","SAMPLE","TEST"}), "", IFERROR(IF(C1029="", "", AVERAGE(L1029:M1029, P1029:Q1029, T1029:U1029, X1029:Y1029)/100), ""))</f>
        <v/>
      </c>
      <c r="AD1029" s="984" t="str">
        <f t="shared" ref="AD1029:AD1092" si="183">IF(ISERROR(AA1029/8),"",(AA1029/8))</f>
        <v/>
      </c>
      <c r="AE1029" s="984" t="str">
        <f t="shared" si="177"/>
        <v/>
      </c>
      <c r="AF1029" s="985" t="str">
        <f t="shared" si="178"/>
        <v>M</v>
      </c>
      <c r="AG1029" s="1414">
        <v>1</v>
      </c>
      <c r="AH1029" s="1002" t="s">
        <v>640</v>
      </c>
      <c r="AI1029" s="1002" t="s">
        <v>640</v>
      </c>
      <c r="AJ1029" s="986" t="s">
        <v>640</v>
      </c>
      <c r="AK1029" s="986" t="s">
        <v>640</v>
      </c>
      <c r="AL1029" s="1415"/>
      <c r="AM1029" s="1323"/>
      <c r="AN1029" s="1323"/>
      <c r="AO1029" s="1323"/>
      <c r="AP1029" s="1323"/>
      <c r="AQ1029" s="1323"/>
      <c r="AR1029" s="987"/>
      <c r="AS1029" s="978" t="str">
        <f t="shared" si="179"/>
        <v>單</v>
      </c>
      <c r="AT1029" s="978" t="str">
        <f t="shared" si="180"/>
        <v>全</v>
      </c>
      <c r="AU1029" s="978" t="str">
        <f t="shared" si="181"/>
        <v/>
      </c>
      <c r="AV1029" s="978" t="str">
        <f t="shared" si="182"/>
        <v/>
      </c>
    </row>
    <row r="1030" spans="1:48">
      <c r="A1030" s="975">
        <f t="shared" si="175"/>
        <v>46168</v>
      </c>
      <c r="B1030" s="976" t="s">
        <v>248</v>
      </c>
      <c r="C1030" s="988" t="s">
        <v>16185</v>
      </c>
      <c r="D1030" s="1410"/>
      <c r="E1030" s="977" t="str">
        <f>IFERROR(VLOOKUP(C1030, [6]條件!$A:$L, 5, 0), "")</f>
        <v/>
      </c>
      <c r="F1030" s="978" t="str">
        <f>IFERROR(VLOOKUP(C1030, [6]條件!$A:$L, 6, 0), "")</f>
        <v/>
      </c>
      <c r="G1030" s="1411" t="str">
        <f>IFERROR(VLOOKUP(C1030, [6]條件!$A:$L, 7, 0), "")</f>
        <v/>
      </c>
      <c r="H1030" s="978" t="str">
        <f>IF(ISNA(VLOOKUP(C1030,[6]條件!$A$1:$K$932,11,0)),"",(VLOOKUP(C1030,[6]條件!$A$1:$K$932,11,0)))</f>
        <v/>
      </c>
      <c r="I1030" s="979" t="str">
        <f>IF(ISNA(VLOOKUP(C1030,[6]條件!$A$1:$L$932,12,0)),"",(VLOOKUP(C1030,[6]條件!$A$1:$L$932,12,0)))</f>
        <v/>
      </c>
      <c r="J1030" s="982"/>
      <c r="K1030" s="980"/>
      <c r="L1030" s="981" t="s">
        <v>632</v>
      </c>
      <c r="M1030" s="983"/>
      <c r="N1030" s="982"/>
      <c r="O1030" s="980"/>
      <c r="P1030" s="981" t="s">
        <v>632</v>
      </c>
      <c r="Q1030" s="983"/>
      <c r="R1030" s="982"/>
      <c r="S1030" s="980"/>
      <c r="T1030" s="981" t="s">
        <v>632</v>
      </c>
      <c r="U1030" s="983"/>
      <c r="V1030" s="982"/>
      <c r="W1030" s="980"/>
      <c r="X1030" s="981" t="s">
        <v>632</v>
      </c>
      <c r="Y1030" s="983"/>
      <c r="Z1030" s="1412" t="str">
        <f>IFERROR(VLOOKUP(C1030, [6]條件!$A:$L, 3, 0), "")</f>
        <v/>
      </c>
      <c r="AA1030" s="984" t="str">
        <f>IF(OR(L1030={"改紡","檢修","了機","清車","FINAL","停機","SAMPLE","TEST","絲開發"}), L1030, IFERROR(IF(C1030="", "", (SUM(J1030, N1030, R1030, V1030)/3 * AG1030) * IF(AND(AF1030="S", AS1030="雙"), 0.5, 1)), ""))</f>
        <v>停機</v>
      </c>
      <c r="AB1030" s="1413" t="str">
        <f t="shared" si="176"/>
        <v/>
      </c>
      <c r="AC1030" s="984" t="str">
        <f>IF(OR(L1030={"改紡","檢修","了機","清車","FINAL","停機","SAMPLE","TEST"}), "", IFERROR(IF(C1030="", "", AVERAGE(L1030:M1030, P1030:Q1030, T1030:U1030, X1030:Y1030)/100), ""))</f>
        <v/>
      </c>
      <c r="AD1030" s="984" t="str">
        <f t="shared" si="183"/>
        <v/>
      </c>
      <c r="AE1030" s="984" t="str">
        <f t="shared" si="177"/>
        <v/>
      </c>
      <c r="AF1030" s="985" t="str">
        <f t="shared" si="178"/>
        <v>M</v>
      </c>
      <c r="AG1030" s="1414">
        <v>1</v>
      </c>
      <c r="AH1030" s="1002" t="s">
        <v>640</v>
      </c>
      <c r="AI1030" s="1002" t="s">
        <v>640</v>
      </c>
      <c r="AJ1030" s="986" t="s">
        <v>640</v>
      </c>
      <c r="AK1030" s="986" t="s">
        <v>640</v>
      </c>
      <c r="AL1030" s="1415"/>
      <c r="AM1030" s="1323"/>
      <c r="AN1030" s="1323"/>
      <c r="AO1030" s="1323"/>
      <c r="AP1030" s="1323"/>
      <c r="AQ1030" s="1323"/>
      <c r="AR1030" s="987"/>
      <c r="AS1030" s="978" t="str">
        <f t="shared" si="179"/>
        <v>單</v>
      </c>
      <c r="AT1030" s="978" t="str">
        <f t="shared" si="180"/>
        <v>全</v>
      </c>
      <c r="AU1030" s="978" t="str">
        <f t="shared" si="181"/>
        <v/>
      </c>
      <c r="AV1030" s="978" t="str">
        <f t="shared" si="182"/>
        <v/>
      </c>
    </row>
    <row r="1031" spans="1:48" ht="17.25" thickBot="1">
      <c r="A1031" s="989">
        <f t="shared" si="175"/>
        <v>46168</v>
      </c>
      <c r="B1031" s="990" t="s">
        <v>249</v>
      </c>
      <c r="C1031" s="991" t="s">
        <v>16185</v>
      </c>
      <c r="D1031" s="1425"/>
      <c r="E1031" s="1169" t="str">
        <f>IFERROR(VLOOKUP(C1031, [6]條件!$A:$L, 5, 0), "")</f>
        <v/>
      </c>
      <c r="F1031" s="992" t="str">
        <f>IFERROR(VLOOKUP(C1031, [6]條件!$A:$L, 6, 0), "")</f>
        <v/>
      </c>
      <c r="G1031" s="1426" t="str">
        <f>IFERROR(VLOOKUP(C1031, [6]條件!$A:$L, 7, 0), "")</f>
        <v/>
      </c>
      <c r="H1031" s="992" t="str">
        <f>IF(ISNA(VLOOKUP(C1031,[6]條件!$A$1:$K$932,11,0)),"",(VLOOKUP(C1031,[6]條件!$A$1:$K$932,11,0)))</f>
        <v/>
      </c>
      <c r="I1031" s="1170" t="str">
        <f>IF(ISNA(VLOOKUP(C1031,[6]條件!$A$1:$L$932,12,0)),"",(VLOOKUP(C1031,[6]條件!$A$1:$L$932,12,0)))</f>
        <v/>
      </c>
      <c r="J1031" s="995"/>
      <c r="K1031" s="993"/>
      <c r="L1031" s="994" t="s">
        <v>632</v>
      </c>
      <c r="M1031" s="996"/>
      <c r="N1031" s="995"/>
      <c r="O1031" s="993"/>
      <c r="P1031" s="994" t="s">
        <v>632</v>
      </c>
      <c r="Q1031" s="996"/>
      <c r="R1031" s="995"/>
      <c r="S1031" s="993"/>
      <c r="T1031" s="994" t="s">
        <v>632</v>
      </c>
      <c r="U1031" s="996"/>
      <c r="V1031" s="995"/>
      <c r="W1031" s="993"/>
      <c r="X1031" s="994" t="s">
        <v>632</v>
      </c>
      <c r="Y1031" s="996"/>
      <c r="Z1031" s="1427" t="str">
        <f>IFERROR(VLOOKUP(C1031, [6]條件!$A:$L, 3, 0), "")</f>
        <v/>
      </c>
      <c r="AA1031" s="997" t="str">
        <f>IF(OR(L1031={"改紡","檢修","了機","清車","FINAL","停機","SAMPLE","TEST","絲開發"}), L1031, IFERROR(IF(C1031="", "", (SUM(J1031, N1031, R1031, V1031)/3 * AG1031) * IF(AND(AF1031="S", AS1031="雙"), 0.5, 1)), ""))</f>
        <v>停機</v>
      </c>
      <c r="AB1031" s="1428" t="str">
        <f t="shared" si="176"/>
        <v/>
      </c>
      <c r="AC1031" s="997" t="str">
        <f>IF(OR(L1031={"改紡","檢修","了機","清車","FINAL","停機","SAMPLE","TEST"}), "", IFERROR(IF(C1031="", "", AVERAGE(L1031:M1031, P1031:Q1031, T1031:U1031, X1031:Y1031)/100), ""))</f>
        <v/>
      </c>
      <c r="AD1031" s="997" t="str">
        <f t="shared" si="183"/>
        <v/>
      </c>
      <c r="AE1031" s="997" t="str">
        <f t="shared" si="177"/>
        <v/>
      </c>
      <c r="AF1031" s="998" t="str">
        <f t="shared" si="178"/>
        <v>M</v>
      </c>
      <c r="AG1031" s="1429">
        <v>1</v>
      </c>
      <c r="AH1031" s="1171" t="s">
        <v>640</v>
      </c>
      <c r="AI1031" s="1171" t="s">
        <v>640</v>
      </c>
      <c r="AJ1031" s="999" t="s">
        <v>640</v>
      </c>
      <c r="AK1031" s="999" t="s">
        <v>640</v>
      </c>
      <c r="AL1031" s="1431"/>
      <c r="AM1031" s="1325"/>
      <c r="AN1031" s="1325"/>
      <c r="AO1031" s="1325"/>
      <c r="AP1031" s="1325"/>
      <c r="AQ1031" s="1325"/>
      <c r="AR1031" s="1000"/>
      <c r="AS1031" s="992" t="str">
        <f t="shared" si="179"/>
        <v>單</v>
      </c>
      <c r="AT1031" s="992" t="str">
        <f t="shared" si="180"/>
        <v>全</v>
      </c>
      <c r="AU1031" s="992" t="str">
        <f t="shared" si="181"/>
        <v/>
      </c>
      <c r="AV1031" s="992" t="str">
        <f t="shared" si="182"/>
        <v/>
      </c>
    </row>
    <row r="1032" spans="1:48">
      <c r="A1032" s="962">
        <v>46169</v>
      </c>
      <c r="B1032" s="963" t="s">
        <v>212</v>
      </c>
      <c r="C1032" s="963" t="s">
        <v>632</v>
      </c>
      <c r="D1032" s="1403"/>
      <c r="E1032" s="964" t="str">
        <f>IFERROR(VLOOKUP(C1032, [6]條件!$A:$L, 5, 0), "")</f>
        <v/>
      </c>
      <c r="F1032" s="965" t="str">
        <f>IFERROR(VLOOKUP(C1032, [6]條件!$A:$L, 6, 0), "")</f>
        <v/>
      </c>
      <c r="G1032" s="1404" t="str">
        <f>IFERROR(VLOOKUP(C1032, [6]條件!$A:$L, 7, 0), "")</f>
        <v/>
      </c>
      <c r="H1032" s="965" t="str">
        <f>IF(ISNA(VLOOKUP(C1032,[6]條件!$A$1:$K$932,11,0)),"",(VLOOKUP(C1032,[6]條件!$A$1:$K$932,11,0)))</f>
        <v/>
      </c>
      <c r="I1032" s="966" t="str">
        <f>IF(ISNA(VLOOKUP(C1032,[6]條件!$A$1:$L$932,12,0)),"",(VLOOKUP(C1032,[6]條件!$A$1:$L$932,12,0)))</f>
        <v/>
      </c>
      <c r="J1032" s="969"/>
      <c r="K1032" s="967"/>
      <c r="L1032" s="981" t="s">
        <v>632</v>
      </c>
      <c r="M1032" s="970"/>
      <c r="N1032" s="969"/>
      <c r="O1032" s="967"/>
      <c r="P1032" s="981" t="s">
        <v>632</v>
      </c>
      <c r="Q1032" s="970"/>
      <c r="R1032" s="969"/>
      <c r="S1032" s="967"/>
      <c r="T1032" s="981" t="s">
        <v>632</v>
      </c>
      <c r="U1032" s="970"/>
      <c r="V1032" s="969"/>
      <c r="W1032" s="967"/>
      <c r="X1032" s="981" t="s">
        <v>632</v>
      </c>
      <c r="Y1032" s="970"/>
      <c r="Z1032" s="1405" t="str">
        <f>IFERROR(VLOOKUP(C1032, [6]條件!$A:$L, 3, 0), "")</f>
        <v/>
      </c>
      <c r="AA1032" s="971" t="str">
        <f>IF(OR(L1032={"改紡","檢修","了機","清車","FINAL","停機","SAMPLE","TEST","絲開發"}), L1032, IFERROR(IF(C1032="", "", (SUM(J1032, N1032, R1032, V1032)/3 * AG1032) * IF(AND(AF1032="S", AS1032="雙"), 0.5, 1)), ""))</f>
        <v>停機</v>
      </c>
      <c r="AB1032" s="1406" t="str">
        <f t="shared" si="176"/>
        <v/>
      </c>
      <c r="AC1032" s="971" t="str">
        <f>IF(OR(L1032={"改紡","檢修","了機","清車","FINAL","停機","SAMPLE","TEST"}), "", IFERROR(IF(C1032="", "", AVERAGE(L1032:M1032, P1032:Q1032, T1032:U1032, X1032:Y1032)/100), ""))</f>
        <v/>
      </c>
      <c r="AD1032" s="971" t="str">
        <f t="shared" si="183"/>
        <v/>
      </c>
      <c r="AE1032" s="971" t="str">
        <f t="shared" si="177"/>
        <v/>
      </c>
      <c r="AF1032" s="972" t="str">
        <f t="shared" si="178"/>
        <v>A</v>
      </c>
      <c r="AG1032" s="1407">
        <v>1</v>
      </c>
      <c r="AH1032" s="1001" t="s">
        <v>640</v>
      </c>
      <c r="AI1032" s="1001" t="s">
        <v>640</v>
      </c>
      <c r="AJ1032" s="1001" t="s">
        <v>640</v>
      </c>
      <c r="AK1032" s="1001" t="s">
        <v>640</v>
      </c>
      <c r="AL1032" s="1409"/>
      <c r="AM1032" s="1322"/>
      <c r="AN1032" s="1322"/>
      <c r="AO1032" s="1322"/>
      <c r="AP1032" s="1322"/>
      <c r="AQ1032" s="1322"/>
      <c r="AR1032" s="973"/>
      <c r="AS1032" s="965" t="str">
        <f t="shared" si="179"/>
        <v>單</v>
      </c>
      <c r="AT1032" s="965" t="str">
        <f t="shared" si="180"/>
        <v>全</v>
      </c>
      <c r="AU1032" s="965" t="str">
        <f t="shared" si="181"/>
        <v/>
      </c>
      <c r="AV1032" s="965" t="str">
        <f t="shared" si="182"/>
        <v/>
      </c>
    </row>
    <row r="1033" spans="1:48">
      <c r="A1033" s="975">
        <f t="shared" ref="A1033:A1096" si="184">A1032</f>
        <v>46169</v>
      </c>
      <c r="B1033" s="976" t="s">
        <v>214</v>
      </c>
      <c r="C1033" s="976" t="s">
        <v>632</v>
      </c>
      <c r="D1033" s="1410"/>
      <c r="E1033" s="977" t="str">
        <f>IFERROR(VLOOKUP(C1033, [6]條件!$A:$L, 5, 0), "")</f>
        <v/>
      </c>
      <c r="F1033" s="978" t="str">
        <f>IFERROR(VLOOKUP(C1033, [6]條件!$A:$L, 6, 0), "")</f>
        <v/>
      </c>
      <c r="G1033" s="1411" t="str">
        <f>IFERROR(VLOOKUP(C1033, [6]條件!$A:$L, 7, 0), "")</f>
        <v/>
      </c>
      <c r="H1033" s="978" t="str">
        <f>IF(ISNA(VLOOKUP(C1033,[6]條件!$A$1:$K$932,11,0)),"",(VLOOKUP(C1033,[6]條件!$A$1:$K$932,11,0)))</f>
        <v/>
      </c>
      <c r="I1033" s="979" t="str">
        <f>IF(ISNA(VLOOKUP(C1033,[6]條件!$A$1:$L$932,12,0)),"",(VLOOKUP(C1033,[6]條件!$A$1:$L$932,12,0)))</f>
        <v/>
      </c>
      <c r="J1033" s="982"/>
      <c r="K1033" s="980"/>
      <c r="L1033" s="981" t="s">
        <v>632</v>
      </c>
      <c r="M1033" s="983"/>
      <c r="N1033" s="982"/>
      <c r="O1033" s="980"/>
      <c r="P1033" s="981" t="s">
        <v>632</v>
      </c>
      <c r="Q1033" s="983"/>
      <c r="R1033" s="982"/>
      <c r="S1033" s="980"/>
      <c r="T1033" s="981" t="s">
        <v>632</v>
      </c>
      <c r="U1033" s="983"/>
      <c r="V1033" s="982"/>
      <c r="W1033" s="980"/>
      <c r="X1033" s="981" t="s">
        <v>632</v>
      </c>
      <c r="Y1033" s="983"/>
      <c r="Z1033" s="1412" t="str">
        <f>IFERROR(VLOOKUP(C1033, [6]條件!$A:$L, 3, 0), "")</f>
        <v/>
      </c>
      <c r="AA1033" s="984" t="str">
        <f>IF(OR(L1033={"改紡","檢修","了機","清車","FINAL","停機","SAMPLE","TEST","絲開發"}), L1033, IFERROR(IF(C1033="", "", (SUM(J1033, N1033, R1033, V1033)/3 * AG1033) * IF(AND(AF1033="S", AS1033="雙"), 0.5, 1)), ""))</f>
        <v>停機</v>
      </c>
      <c r="AB1033" s="1413" t="str">
        <f t="shared" si="176"/>
        <v/>
      </c>
      <c r="AC1033" s="984" t="str">
        <f>IF(OR(L1033={"改紡","檢修","了機","清車","FINAL","停機","SAMPLE","TEST"}), "", IFERROR(IF(C1033="", "", AVERAGE(L1033:M1033, P1033:Q1033, T1033:U1033, X1033:Y1033)/100), ""))</f>
        <v/>
      </c>
      <c r="AD1033" s="984" t="str">
        <f t="shared" si="183"/>
        <v/>
      </c>
      <c r="AE1033" s="984" t="str">
        <f t="shared" si="177"/>
        <v/>
      </c>
      <c r="AF1033" s="985" t="str">
        <f t="shared" si="178"/>
        <v>A</v>
      </c>
      <c r="AG1033" s="1414">
        <v>1</v>
      </c>
      <c r="AH1033" s="1002" t="s">
        <v>16011</v>
      </c>
      <c r="AI1033" s="1002" t="s">
        <v>16011</v>
      </c>
      <c r="AJ1033" s="1002" t="s">
        <v>640</v>
      </c>
      <c r="AK1033" s="1002" t="s">
        <v>640</v>
      </c>
      <c r="AL1033" s="1415"/>
      <c r="AM1033" s="1323"/>
      <c r="AN1033" s="1323"/>
      <c r="AO1033" s="1323"/>
      <c r="AP1033" s="1323"/>
      <c r="AQ1033" s="1323"/>
      <c r="AR1033" s="987"/>
      <c r="AS1033" s="978" t="str">
        <f t="shared" si="179"/>
        <v>單</v>
      </c>
      <c r="AT1033" s="978" t="str">
        <f t="shared" si="180"/>
        <v>全</v>
      </c>
      <c r="AU1033" s="978" t="str">
        <f t="shared" si="181"/>
        <v/>
      </c>
      <c r="AV1033" s="978" t="str">
        <f t="shared" si="182"/>
        <v/>
      </c>
    </row>
    <row r="1034" spans="1:48">
      <c r="A1034" s="975">
        <f t="shared" si="184"/>
        <v>46169</v>
      </c>
      <c r="B1034" s="976" t="s">
        <v>215</v>
      </c>
      <c r="C1034" s="976" t="s">
        <v>632</v>
      </c>
      <c r="D1034" s="1410"/>
      <c r="E1034" s="977" t="str">
        <f>IFERROR(VLOOKUP(C1034, [6]條件!$A:$L, 5, 0), "")</f>
        <v/>
      </c>
      <c r="F1034" s="978" t="str">
        <f>IFERROR(VLOOKUP(C1034, [6]條件!$A:$L, 6, 0), "")</f>
        <v/>
      </c>
      <c r="G1034" s="1411" t="str">
        <f>IFERROR(VLOOKUP(C1034, [6]條件!$A:$L, 7, 0), "")</f>
        <v/>
      </c>
      <c r="H1034" s="978" t="str">
        <f>IF(ISNA(VLOOKUP(C1034,[6]條件!$A$1:$K$932,11,0)),"",(VLOOKUP(C1034,[6]條件!$A$1:$K$932,11,0)))</f>
        <v/>
      </c>
      <c r="I1034" s="979" t="str">
        <f>IF(ISNA(VLOOKUP(C1034,[6]條件!$A$1:$L$932,12,0)),"",(VLOOKUP(C1034,[6]條件!$A$1:$L$932,12,0)))</f>
        <v/>
      </c>
      <c r="J1034" s="982"/>
      <c r="K1034" s="980"/>
      <c r="L1034" s="981" t="s">
        <v>632</v>
      </c>
      <c r="M1034" s="983"/>
      <c r="N1034" s="982"/>
      <c r="O1034" s="980"/>
      <c r="P1034" s="981" t="s">
        <v>632</v>
      </c>
      <c r="Q1034" s="983"/>
      <c r="R1034" s="982"/>
      <c r="S1034" s="980"/>
      <c r="T1034" s="981" t="s">
        <v>632</v>
      </c>
      <c r="U1034" s="983"/>
      <c r="V1034" s="982"/>
      <c r="W1034" s="980"/>
      <c r="X1034" s="981" t="s">
        <v>632</v>
      </c>
      <c r="Y1034" s="983"/>
      <c r="Z1034" s="1412" t="str">
        <f>IFERROR(VLOOKUP(C1034, [6]條件!$A:$L, 3, 0), "")</f>
        <v/>
      </c>
      <c r="AA1034" s="984" t="str">
        <f>IF(OR(L1034={"改紡","檢修","了機","清車","FINAL","停機","SAMPLE","TEST","絲開發"}), L1034, IFERROR(IF(C1034="", "", (SUM(J1034, N1034, R1034, V1034)/3 * AG1034) * IF(AND(AF1034="S", AS1034="雙"), 0.5, 1)), ""))</f>
        <v>停機</v>
      </c>
      <c r="AB1034" s="1413" t="str">
        <f t="shared" si="176"/>
        <v/>
      </c>
      <c r="AC1034" s="984" t="str">
        <f>IF(OR(L1034={"改紡","檢修","了機","清車","FINAL","停機","SAMPLE","TEST"}), "", IFERROR(IF(C1034="", "", AVERAGE(L1034:M1034, P1034:Q1034, T1034:U1034, X1034:Y1034)/100), ""))</f>
        <v/>
      </c>
      <c r="AD1034" s="984" t="str">
        <f t="shared" si="183"/>
        <v/>
      </c>
      <c r="AE1034" s="984" t="str">
        <f t="shared" si="177"/>
        <v/>
      </c>
      <c r="AF1034" s="985" t="str">
        <f t="shared" si="178"/>
        <v>A</v>
      </c>
      <c r="AG1034" s="1414">
        <v>1</v>
      </c>
      <c r="AH1034" s="1002" t="s">
        <v>16011</v>
      </c>
      <c r="AI1034" s="1002" t="s">
        <v>16011</v>
      </c>
      <c r="AJ1034" s="1002" t="s">
        <v>16011</v>
      </c>
      <c r="AK1034" s="1002" t="s">
        <v>16011</v>
      </c>
      <c r="AL1034" s="1415"/>
      <c r="AM1034" s="1323"/>
      <c r="AN1034" s="1323"/>
      <c r="AO1034" s="1323"/>
      <c r="AP1034" s="1323"/>
      <c r="AQ1034" s="1323"/>
      <c r="AR1034" s="987"/>
      <c r="AS1034" s="978" t="str">
        <f t="shared" si="179"/>
        <v>單</v>
      </c>
      <c r="AT1034" s="978" t="str">
        <f t="shared" si="180"/>
        <v>全</v>
      </c>
      <c r="AU1034" s="978" t="str">
        <f t="shared" si="181"/>
        <v/>
      </c>
      <c r="AV1034" s="978" t="str">
        <f t="shared" si="182"/>
        <v/>
      </c>
    </row>
    <row r="1035" spans="1:48">
      <c r="A1035" s="975">
        <f t="shared" si="184"/>
        <v>46169</v>
      </c>
      <c r="B1035" s="976" t="s">
        <v>216</v>
      </c>
      <c r="C1035" s="976" t="s">
        <v>632</v>
      </c>
      <c r="D1035" s="1410"/>
      <c r="E1035" s="977" t="str">
        <f>IFERROR(VLOOKUP(C1035, [6]條件!$A:$L, 5, 0), "")</f>
        <v/>
      </c>
      <c r="F1035" s="978" t="str">
        <f>IFERROR(VLOOKUP(C1035, [6]條件!$A:$L, 6, 0), "")</f>
        <v/>
      </c>
      <c r="G1035" s="1411" t="str">
        <f>IFERROR(VLOOKUP(C1035, [6]條件!$A:$L, 7, 0), "")</f>
        <v/>
      </c>
      <c r="H1035" s="978" t="str">
        <f>IF(ISNA(VLOOKUP(C1035,[6]條件!$A$1:$K$932,11,0)),"",(VLOOKUP(C1035,[6]條件!$A$1:$K$932,11,0)))</f>
        <v/>
      </c>
      <c r="I1035" s="979" t="str">
        <f>IF(ISNA(VLOOKUP(C1035,[6]條件!$A$1:$L$932,12,0)),"",(VLOOKUP(C1035,[6]條件!$A$1:$L$932,12,0)))</f>
        <v/>
      </c>
      <c r="J1035" s="982"/>
      <c r="K1035" s="980"/>
      <c r="L1035" s="981" t="s">
        <v>632</v>
      </c>
      <c r="M1035" s="983"/>
      <c r="N1035" s="982"/>
      <c r="O1035" s="980"/>
      <c r="P1035" s="981" t="s">
        <v>632</v>
      </c>
      <c r="Q1035" s="983"/>
      <c r="R1035" s="982"/>
      <c r="S1035" s="980"/>
      <c r="T1035" s="981" t="s">
        <v>632</v>
      </c>
      <c r="U1035" s="983"/>
      <c r="V1035" s="982"/>
      <c r="W1035" s="980"/>
      <c r="X1035" s="981" t="s">
        <v>632</v>
      </c>
      <c r="Y1035" s="983"/>
      <c r="Z1035" s="1412" t="str">
        <f>IFERROR(VLOOKUP(C1035, [6]條件!$A:$L, 3, 0), "")</f>
        <v/>
      </c>
      <c r="AA1035" s="984" t="str">
        <f>IF(OR(L1035={"改紡","檢修","了機","清車","FINAL","停機","SAMPLE","TEST","絲開發"}), L1035, IFERROR(IF(C1035="", "", (SUM(J1035, N1035, R1035, V1035)/3 * AG1035) * IF(AND(AF1035="S", AS1035="雙"), 0.5, 1)), ""))</f>
        <v>停機</v>
      </c>
      <c r="AB1035" s="1413" t="str">
        <f t="shared" si="176"/>
        <v/>
      </c>
      <c r="AC1035" s="984" t="str">
        <f>IF(OR(L1035={"改紡","檢修","了機","清車","FINAL","停機","SAMPLE","TEST"}), "", IFERROR(IF(C1035="", "", AVERAGE(L1035:M1035, P1035:Q1035, T1035:U1035, X1035:Y1035)/100), ""))</f>
        <v/>
      </c>
      <c r="AD1035" s="984" t="str">
        <f t="shared" si="183"/>
        <v/>
      </c>
      <c r="AE1035" s="984" t="str">
        <f t="shared" si="177"/>
        <v/>
      </c>
      <c r="AF1035" s="985" t="str">
        <f t="shared" si="178"/>
        <v>A</v>
      </c>
      <c r="AG1035" s="1414">
        <v>1</v>
      </c>
      <c r="AH1035" s="1002" t="s">
        <v>16011</v>
      </c>
      <c r="AI1035" s="1002" t="s">
        <v>16011</v>
      </c>
      <c r="AJ1035" s="1002" t="s">
        <v>16011</v>
      </c>
      <c r="AK1035" s="1002" t="s">
        <v>16011</v>
      </c>
      <c r="AL1035" s="1415"/>
      <c r="AM1035" s="1323"/>
      <c r="AN1035" s="1323"/>
      <c r="AO1035" s="1323"/>
      <c r="AP1035" s="1323"/>
      <c r="AQ1035" s="1323"/>
      <c r="AR1035" s="987"/>
      <c r="AS1035" s="978" t="str">
        <f t="shared" si="179"/>
        <v>單</v>
      </c>
      <c r="AT1035" s="978" t="str">
        <f t="shared" si="180"/>
        <v>全</v>
      </c>
      <c r="AU1035" s="978" t="str">
        <f t="shared" si="181"/>
        <v/>
      </c>
      <c r="AV1035" s="978" t="str">
        <f t="shared" si="182"/>
        <v/>
      </c>
    </row>
    <row r="1036" spans="1:48">
      <c r="A1036" s="975">
        <f t="shared" si="184"/>
        <v>46169</v>
      </c>
      <c r="B1036" s="976" t="s">
        <v>217</v>
      </c>
      <c r="C1036" s="976" t="s">
        <v>16790</v>
      </c>
      <c r="D1036" s="1410"/>
      <c r="E1036" s="977" t="str">
        <f>IFERROR(VLOOKUP(C1036, [6]條件!$A:$L, 5, 0), "")</f>
        <v>75/72SRR5</v>
      </c>
      <c r="F1036" s="978" t="str">
        <f>IFERROR(VLOOKUP(C1036, [6]條件!$A:$L, 6, 0), "")</f>
        <v>FP81631R</v>
      </c>
      <c r="G1036" s="1411">
        <f>IFERROR(VLOOKUP(C1036, [6]條件!$A:$L, 7, 0), "")</f>
        <v>600</v>
      </c>
      <c r="H1036" s="978" t="str">
        <f>IF(ISNA(VLOOKUP(C1036,[6]條件!$A$1:$K$932,11,0)),"",(VLOOKUP(C1036,[6]條件!$A$1:$K$932,11,0)))</f>
        <v>白藍條</v>
      </c>
      <c r="I1036" s="979">
        <f>IF(ISNA(VLOOKUP(C1036,[6]條件!$A$1:$L$932,12,0)),"",(VLOOKUP(C1036,[6]條件!$A$1:$L$932,12,0)))</f>
        <v>4</v>
      </c>
      <c r="J1036" s="982">
        <v>41</v>
      </c>
      <c r="K1036" s="980">
        <v>0</v>
      </c>
      <c r="L1036" s="981">
        <v>9446</v>
      </c>
      <c r="M1036" s="983">
        <v>8458</v>
      </c>
      <c r="N1036" s="982">
        <v>14</v>
      </c>
      <c r="O1036" s="980">
        <v>0</v>
      </c>
      <c r="P1036" s="981">
        <v>9229</v>
      </c>
      <c r="Q1036" s="983">
        <v>8458</v>
      </c>
      <c r="R1036" s="982">
        <v>0</v>
      </c>
      <c r="S1036" s="980">
        <v>0</v>
      </c>
      <c r="T1036" s="981">
        <v>9395</v>
      </c>
      <c r="U1036" s="983">
        <v>8251</v>
      </c>
      <c r="V1036" s="982">
        <v>71</v>
      </c>
      <c r="W1036" s="980">
        <v>0</v>
      </c>
      <c r="X1036" s="981">
        <v>8504</v>
      </c>
      <c r="Y1036" s="983">
        <v>7117</v>
      </c>
      <c r="Z1036" s="1412">
        <f>IFERROR(VLOOKUP(C1036, [6]條件!$A:$L, 3, 0), "")</f>
        <v>1.7625458996328029</v>
      </c>
      <c r="AA1036" s="984">
        <f>IF(OR(L1036={"改紡","檢修","了機","清車","FINAL","停機","SAMPLE","TEST","絲開發"}), L1036, IFERROR(IF(C1036="", "", (SUM(J1036, N1036, R1036, V1036)/3 * AG1036) * IF(AND(AF1036="S", AS1036="雙"), 0.5, 1)), ""))</f>
        <v>42</v>
      </c>
      <c r="AB1036" s="1413">
        <f t="shared" si="176"/>
        <v>1</v>
      </c>
      <c r="AC1036" s="984">
        <f>IF(OR(L1036={"改紡","檢修","了機","清車","FINAL","停機","SAMPLE","TEST"}), "", IFERROR(IF(C1036="", "", AVERAGE(L1036:M1036, P1036:Q1036, T1036:U1036, X1036:Y1036)/100), ""))</f>
        <v>86.072500000000005</v>
      </c>
      <c r="AD1036" s="984">
        <f t="shared" si="183"/>
        <v>5.25</v>
      </c>
      <c r="AE1036" s="984">
        <f t="shared" si="177"/>
        <v>5.25</v>
      </c>
      <c r="AF1036" s="985" t="str">
        <f t="shared" si="178"/>
        <v>A</v>
      </c>
      <c r="AG1036" s="1414">
        <v>1</v>
      </c>
      <c r="AH1036" s="1002" t="s">
        <v>15994</v>
      </c>
      <c r="AI1036" s="1002" t="s">
        <v>641</v>
      </c>
      <c r="AJ1036" s="986" t="s">
        <v>16001</v>
      </c>
      <c r="AK1036" s="986" t="s">
        <v>15368</v>
      </c>
      <c r="AL1036" s="1415">
        <v>54</v>
      </c>
      <c r="AM1036" s="1323">
        <v>46049</v>
      </c>
      <c r="AN1036" s="1323">
        <v>46050</v>
      </c>
      <c r="AO1036" s="1323">
        <v>46051</v>
      </c>
      <c r="AP1036" s="1323">
        <v>46052</v>
      </c>
      <c r="AQ1036" s="1323"/>
      <c r="AR1036" s="987"/>
      <c r="AS1036" s="978" t="str">
        <f t="shared" si="179"/>
        <v>單</v>
      </c>
      <c r="AT1036" s="978" t="str">
        <f t="shared" si="180"/>
        <v>全</v>
      </c>
      <c r="AU1036" s="978">
        <f t="shared" si="181"/>
        <v>75</v>
      </c>
      <c r="AV1036" s="978">
        <f t="shared" si="182"/>
        <v>1.33859952</v>
      </c>
    </row>
    <row r="1037" spans="1:48">
      <c r="A1037" s="975">
        <f t="shared" si="184"/>
        <v>46169</v>
      </c>
      <c r="B1037" s="976" t="s">
        <v>218</v>
      </c>
      <c r="C1037" s="976" t="s">
        <v>632</v>
      </c>
      <c r="D1037" s="1410"/>
      <c r="E1037" s="977" t="str">
        <f>IFERROR(VLOOKUP(C1037, [6]條件!$A:$L, 5, 0), "")</f>
        <v/>
      </c>
      <c r="F1037" s="978" t="str">
        <f>IFERROR(VLOOKUP(C1037, [6]條件!$A:$L, 6, 0), "")</f>
        <v/>
      </c>
      <c r="G1037" s="1411" t="str">
        <f>IFERROR(VLOOKUP(C1037, [6]條件!$A:$L, 7, 0), "")</f>
        <v/>
      </c>
      <c r="H1037" s="978" t="str">
        <f>IF(ISNA(VLOOKUP(C1037,[6]條件!$A$1:$K$932,11,0)),"",(VLOOKUP(C1037,[6]條件!$A$1:$K$932,11,0)))</f>
        <v/>
      </c>
      <c r="I1037" s="979" t="str">
        <f>IF(ISNA(VLOOKUP(C1037,[6]條件!$A$1:$L$932,12,0)),"",(VLOOKUP(C1037,[6]條件!$A$1:$L$932,12,0)))</f>
        <v/>
      </c>
      <c r="J1037" s="982"/>
      <c r="K1037" s="980"/>
      <c r="L1037" s="981" t="s">
        <v>632</v>
      </c>
      <c r="M1037" s="983"/>
      <c r="N1037" s="982"/>
      <c r="O1037" s="980"/>
      <c r="P1037" s="981" t="s">
        <v>632</v>
      </c>
      <c r="Q1037" s="983"/>
      <c r="R1037" s="982"/>
      <c r="S1037" s="980"/>
      <c r="T1037" s="981" t="s">
        <v>632</v>
      </c>
      <c r="U1037" s="983"/>
      <c r="V1037" s="982"/>
      <c r="W1037" s="980"/>
      <c r="X1037" s="981" t="s">
        <v>632</v>
      </c>
      <c r="Y1037" s="983"/>
      <c r="Z1037" s="1412" t="str">
        <f>IFERROR(VLOOKUP(C1037, [6]條件!$A:$L, 3, 0), "")</f>
        <v/>
      </c>
      <c r="AA1037" s="984" t="str">
        <f>IF(OR(L1037={"改紡","檢修","了機","清車","FINAL","停機","SAMPLE","TEST","絲開發"}), L1037, IFERROR(IF(C1037="", "", (SUM(J1037, N1037, R1037, V1037)/3 * AG1037) * IF(AND(AF1037="S", AS1037="雙"), 0.5, 1)), ""))</f>
        <v>停機</v>
      </c>
      <c r="AB1037" s="1413" t="str">
        <f t="shared" si="176"/>
        <v/>
      </c>
      <c r="AC1037" s="984" t="str">
        <f>IF(OR(L1037={"改紡","檢修","了機","清車","FINAL","停機","SAMPLE","TEST"}), "", IFERROR(IF(C1037="", "", AVERAGE(L1037:M1037, P1037:Q1037, T1037:U1037, X1037:Y1037)/100), ""))</f>
        <v/>
      </c>
      <c r="AD1037" s="984" t="str">
        <f t="shared" si="183"/>
        <v/>
      </c>
      <c r="AE1037" s="984" t="str">
        <f t="shared" si="177"/>
        <v/>
      </c>
      <c r="AF1037" s="985" t="str">
        <f t="shared" si="178"/>
        <v>A</v>
      </c>
      <c r="AG1037" s="1414">
        <v>1</v>
      </c>
      <c r="AH1037" s="1002" t="s">
        <v>640</v>
      </c>
      <c r="AI1037" s="1002" t="s">
        <v>640</v>
      </c>
      <c r="AJ1037" s="986" t="s">
        <v>640</v>
      </c>
      <c r="AK1037" s="986" t="s">
        <v>640</v>
      </c>
      <c r="AL1037" s="1415"/>
      <c r="AM1037" s="1323"/>
      <c r="AN1037" s="1323"/>
      <c r="AO1037" s="1323"/>
      <c r="AP1037" s="1323"/>
      <c r="AQ1037" s="1323"/>
      <c r="AR1037" s="987"/>
      <c r="AS1037" s="978" t="str">
        <f t="shared" si="179"/>
        <v>單</v>
      </c>
      <c r="AT1037" s="978" t="str">
        <f t="shared" si="180"/>
        <v>全</v>
      </c>
      <c r="AU1037" s="978" t="str">
        <f t="shared" si="181"/>
        <v/>
      </c>
      <c r="AV1037" s="978" t="str">
        <f t="shared" si="182"/>
        <v/>
      </c>
    </row>
    <row r="1038" spans="1:48">
      <c r="A1038" s="975">
        <f t="shared" si="184"/>
        <v>46169</v>
      </c>
      <c r="B1038" s="976" t="s">
        <v>219</v>
      </c>
      <c r="C1038" s="976" t="s">
        <v>16745</v>
      </c>
      <c r="D1038" s="1410" t="s">
        <v>16748</v>
      </c>
      <c r="E1038" s="977" t="str">
        <f>IFERROR(VLOOKUP(C1038, [6]條件!$A:$L, 5, 0), "")</f>
        <v>50/72BSD3</v>
      </c>
      <c r="F1038" s="978" t="str">
        <f>IFERROR(VLOOKUP(C1038, [6]條件!$A:$L, 6, 0), "")</f>
        <v>FP80141</v>
      </c>
      <c r="G1038" s="1411">
        <f>IFERROR(VLOOKUP(C1038, [6]條件!$A:$L, 7, 0), "")</f>
        <v>630</v>
      </c>
      <c r="H1038" s="978" t="str">
        <f>IF(ISNA(VLOOKUP(C1038,[6]條件!$A$1:$K$932,11,0)),"",(VLOOKUP(C1038,[6]條件!$A$1:$K$932,11,0)))</f>
        <v>洋綠色</v>
      </c>
      <c r="I1038" s="979">
        <f>IF(ISNA(VLOOKUP(C1038,[6]條件!$A$1:$L$932,12,0)),"",(VLOOKUP(C1038,[6]條件!$A$1:$L$932,12,0)))</f>
        <v>2</v>
      </c>
      <c r="J1038" s="982">
        <v>15</v>
      </c>
      <c r="K1038" s="980">
        <v>0</v>
      </c>
      <c r="L1038" s="981">
        <v>9046</v>
      </c>
      <c r="M1038" s="983">
        <v>9801</v>
      </c>
      <c r="N1038" s="982">
        <v>25</v>
      </c>
      <c r="O1038" s="980">
        <v>5</v>
      </c>
      <c r="P1038" s="981">
        <v>9006</v>
      </c>
      <c r="Q1038" s="983">
        <v>9586</v>
      </c>
      <c r="R1038" s="982">
        <v>4</v>
      </c>
      <c r="S1038" s="980">
        <v>0</v>
      </c>
      <c r="T1038" s="981">
        <v>9043</v>
      </c>
      <c r="U1038" s="983">
        <v>9600</v>
      </c>
      <c r="V1038" s="982">
        <v>28</v>
      </c>
      <c r="W1038" s="980">
        <v>0</v>
      </c>
      <c r="X1038" s="981">
        <v>8931</v>
      </c>
      <c r="Y1038" s="983">
        <v>9664</v>
      </c>
      <c r="Z1038" s="1412">
        <f>IFERROR(VLOOKUP(C1038, [6]條件!$A:$L, 3, 0), "")</f>
        <v>2.4615384615384617</v>
      </c>
      <c r="AA1038" s="984">
        <f>IF(OR(L1038={"改紡","檢修","了機","清車","FINAL","停機","SAMPLE","TEST","絲開發"}), L1038, IFERROR(IF(C1038="", "", (SUM(J1038, N1038, R1038, V1038)/3 * AG1038) * IF(AND(AF1038="S", AS1038="雙"), 0.5, 1)), ""))</f>
        <v>24</v>
      </c>
      <c r="AB1038" s="1413">
        <f t="shared" si="176"/>
        <v>0.990234375</v>
      </c>
      <c r="AC1038" s="984">
        <f>IF(OR(L1038={"改紡","檢修","了機","清車","FINAL","停機","SAMPLE","TEST"}), "", IFERROR(IF(C1038="", "", AVERAGE(L1038:M1038, P1038:Q1038, T1038:U1038, X1038:Y1038)/100), ""))</f>
        <v>93.346249999999998</v>
      </c>
      <c r="AD1038" s="984">
        <f t="shared" si="183"/>
        <v>3</v>
      </c>
      <c r="AE1038" s="984">
        <f t="shared" si="177"/>
        <v>2.7916666666666665</v>
      </c>
      <c r="AF1038" s="985" t="str">
        <f t="shared" si="178"/>
        <v>A</v>
      </c>
      <c r="AG1038" s="1414">
        <v>1</v>
      </c>
      <c r="AH1038" s="1002" t="s">
        <v>15994</v>
      </c>
      <c r="AI1038" s="1002" t="s">
        <v>641</v>
      </c>
      <c r="AJ1038" s="986" t="s">
        <v>16001</v>
      </c>
      <c r="AK1038" s="986" t="s">
        <v>15368</v>
      </c>
      <c r="AL1038" s="1415">
        <v>57</v>
      </c>
      <c r="AM1038" s="1324">
        <v>46092</v>
      </c>
      <c r="AN1038" s="1323"/>
      <c r="AO1038" s="1323"/>
      <c r="AP1038" s="1323"/>
      <c r="AQ1038" s="1323"/>
      <c r="AR1038" s="987"/>
      <c r="AS1038" s="978" t="str">
        <f t="shared" si="179"/>
        <v>單</v>
      </c>
      <c r="AT1038" s="978" t="str">
        <f t="shared" si="180"/>
        <v>全</v>
      </c>
      <c r="AU1038" s="978">
        <f t="shared" si="181"/>
        <v>50</v>
      </c>
      <c r="AV1038" s="978">
        <f t="shared" si="182"/>
        <v>1.016204616</v>
      </c>
    </row>
    <row r="1039" spans="1:48">
      <c r="A1039" s="975">
        <f t="shared" si="184"/>
        <v>46169</v>
      </c>
      <c r="B1039" s="976" t="s">
        <v>220</v>
      </c>
      <c r="C1039" s="976" t="s">
        <v>632</v>
      </c>
      <c r="D1039" s="1410"/>
      <c r="E1039" s="977" t="str">
        <f>IFERROR(VLOOKUP(C1039, [6]條件!$A:$L, 5, 0), "")</f>
        <v/>
      </c>
      <c r="F1039" s="978" t="str">
        <f>IFERROR(VLOOKUP(C1039, [6]條件!$A:$L, 6, 0), "")</f>
        <v/>
      </c>
      <c r="G1039" s="1411" t="str">
        <f>IFERROR(VLOOKUP(C1039, [6]條件!$A:$L, 7, 0), "")</f>
        <v/>
      </c>
      <c r="H1039" s="978" t="str">
        <f>IF(ISNA(VLOOKUP(C1039,[6]條件!$A$1:$K$932,11,0)),"",(VLOOKUP(C1039,[6]條件!$A$1:$K$932,11,0)))</f>
        <v/>
      </c>
      <c r="I1039" s="979" t="str">
        <f>IF(ISNA(VLOOKUP(C1039,[6]條件!$A$1:$L$932,12,0)),"",(VLOOKUP(C1039,[6]條件!$A$1:$L$932,12,0)))</f>
        <v/>
      </c>
      <c r="J1039" s="982"/>
      <c r="K1039" s="980"/>
      <c r="L1039" s="981" t="s">
        <v>632</v>
      </c>
      <c r="M1039" s="983"/>
      <c r="N1039" s="982"/>
      <c r="O1039" s="980"/>
      <c r="P1039" s="981" t="s">
        <v>632</v>
      </c>
      <c r="Q1039" s="983"/>
      <c r="R1039" s="982"/>
      <c r="S1039" s="980"/>
      <c r="T1039" s="981" t="s">
        <v>632</v>
      </c>
      <c r="U1039" s="983"/>
      <c r="V1039" s="982"/>
      <c r="W1039" s="980"/>
      <c r="X1039" s="981" t="s">
        <v>632</v>
      </c>
      <c r="Y1039" s="983"/>
      <c r="Z1039" s="1412" t="str">
        <f>IFERROR(VLOOKUP(C1039, [6]條件!$A:$L, 3, 0), "")</f>
        <v/>
      </c>
      <c r="AA1039" s="984" t="str">
        <f>IF(OR(L1039={"改紡","檢修","了機","清車","FINAL","停機","SAMPLE","TEST","絲開發"}), L1039, IFERROR(IF(C1039="", "", (SUM(J1039, N1039, R1039, V1039)/3 * AG1039) * IF(AND(AF1039="S", AS1039="雙"), 0.5, 1)), ""))</f>
        <v>停機</v>
      </c>
      <c r="AB1039" s="1413" t="str">
        <f t="shared" si="176"/>
        <v/>
      </c>
      <c r="AC1039" s="984" t="str">
        <f>IF(OR(L1039={"改紡","檢修","了機","清車","FINAL","停機","SAMPLE","TEST"}), "", IFERROR(IF(C1039="", "", AVERAGE(L1039:M1039, P1039:Q1039, T1039:U1039, X1039:Y1039)/100), ""))</f>
        <v/>
      </c>
      <c r="AD1039" s="984" t="str">
        <f t="shared" si="183"/>
        <v/>
      </c>
      <c r="AE1039" s="984" t="str">
        <f t="shared" si="177"/>
        <v/>
      </c>
      <c r="AF1039" s="985" t="str">
        <f t="shared" si="178"/>
        <v>A</v>
      </c>
      <c r="AG1039" s="1414">
        <v>1</v>
      </c>
      <c r="AH1039" s="1002" t="s">
        <v>640</v>
      </c>
      <c r="AI1039" s="1002" t="s">
        <v>640</v>
      </c>
      <c r="AJ1039" s="986" t="s">
        <v>640</v>
      </c>
      <c r="AK1039" s="986" t="s">
        <v>640</v>
      </c>
      <c r="AL1039" s="1415"/>
      <c r="AM1039" s="1323"/>
      <c r="AN1039" s="1323"/>
      <c r="AO1039" s="1323"/>
      <c r="AP1039" s="1323"/>
      <c r="AQ1039" s="1323"/>
      <c r="AR1039" s="987"/>
      <c r="AS1039" s="978" t="str">
        <f t="shared" si="179"/>
        <v>單</v>
      </c>
      <c r="AT1039" s="978" t="str">
        <f t="shared" si="180"/>
        <v>全</v>
      </c>
      <c r="AU1039" s="978" t="str">
        <f t="shared" si="181"/>
        <v/>
      </c>
      <c r="AV1039" s="978" t="str">
        <f t="shared" si="182"/>
        <v/>
      </c>
    </row>
    <row r="1040" spans="1:48">
      <c r="A1040" s="975">
        <f t="shared" si="184"/>
        <v>46169</v>
      </c>
      <c r="B1040" s="976" t="s">
        <v>221</v>
      </c>
      <c r="C1040" s="976" t="s">
        <v>16763</v>
      </c>
      <c r="D1040" s="1410"/>
      <c r="E1040" s="977" t="str">
        <f>IFERROR(VLOOKUP(C1040, [6]條件!$A:$L, 5, 0), "")</f>
        <v>150/48CDR</v>
      </c>
      <c r="F1040" s="978" t="str">
        <f>IFERROR(VLOOKUP(C1040, [6]條件!$A:$L, 6, 0), "")</f>
        <v>FP82781</v>
      </c>
      <c r="G1040" s="1411">
        <f>IFERROR(VLOOKUP(C1040, [6]條件!$A:$L, 7, 0), "")</f>
        <v>600</v>
      </c>
      <c r="H1040" s="978" t="str">
        <f>IF(ISNA(VLOOKUP(C1040,[6]條件!$A$1:$K$932,11,0)),"",(VLOOKUP(C1040,[6]條件!$A$1:$K$932,11,0)))</f>
        <v>綠藍雙色</v>
      </c>
      <c r="I1040" s="979">
        <f>IF(ISNA(VLOOKUP(C1040,[6]條件!$A$1:$L$932,12,0)),"",(VLOOKUP(C1040,[6]條件!$A$1:$L$932,12,0)))</f>
        <v>5</v>
      </c>
      <c r="J1040" s="982"/>
      <c r="K1040" s="980"/>
      <c r="L1040" s="981" t="s">
        <v>16007</v>
      </c>
      <c r="M1040" s="983"/>
      <c r="N1040" s="982"/>
      <c r="O1040" s="980"/>
      <c r="P1040" s="981" t="s">
        <v>16004</v>
      </c>
      <c r="Q1040" s="983"/>
      <c r="R1040" s="982"/>
      <c r="S1040" s="980"/>
      <c r="T1040" s="981" t="s">
        <v>16018</v>
      </c>
      <c r="U1040" s="983"/>
      <c r="V1040" s="982">
        <v>17</v>
      </c>
      <c r="W1040" s="980">
        <v>0</v>
      </c>
      <c r="X1040" s="981">
        <v>8651</v>
      </c>
      <c r="Y1040" s="983">
        <v>8460</v>
      </c>
      <c r="Z1040" s="1412">
        <f>IFERROR(VLOOKUP(C1040, [6]條件!$A:$L, 3, 0), "")</f>
        <v>2.8685258964143427</v>
      </c>
      <c r="AA1040" s="984" t="str">
        <f>IF(OR(L1040={"改紡","檢修","了機","清車","FINAL","停機","SAMPLE","TEST","絲開發"}), L1040, IFERROR(IF(C1040="", "", (SUM(J1040, N1040, R1040, V1040)/3 * AG1040) * IF(AND(AF1040="S", AS1040="雙"), 0.5, 1)), ""))</f>
        <v>檢修</v>
      </c>
      <c r="AB1040" s="1413" t="str">
        <f t="shared" si="176"/>
        <v/>
      </c>
      <c r="AC1040" s="984" t="str">
        <f>IF(OR(L1040={"改紡","檢修","了機","清車","FINAL","停機","SAMPLE","TEST"}), "", IFERROR(IF(C1040="", "", AVERAGE(L1040:M1040, P1040:Q1040, T1040:U1040, X1040:Y1040)/100), ""))</f>
        <v/>
      </c>
      <c r="AD1040" s="984" t="str">
        <f t="shared" si="183"/>
        <v/>
      </c>
      <c r="AE1040" s="984" t="str">
        <f t="shared" si="177"/>
        <v/>
      </c>
      <c r="AF1040" s="985" t="str">
        <f t="shared" si="178"/>
        <v>A</v>
      </c>
      <c r="AG1040" s="1414">
        <v>1</v>
      </c>
      <c r="AH1040" s="1002" t="s">
        <v>15994</v>
      </c>
      <c r="AI1040" s="1002" t="s">
        <v>641</v>
      </c>
      <c r="AJ1040" s="986" t="s">
        <v>16001</v>
      </c>
      <c r="AK1040" s="986" t="s">
        <v>15368</v>
      </c>
      <c r="AL1040" s="1415">
        <v>54</v>
      </c>
      <c r="AM1040" s="1323">
        <v>46165</v>
      </c>
      <c r="AN1040" s="1323">
        <v>46166</v>
      </c>
      <c r="AO1040" s="1323">
        <v>46167</v>
      </c>
      <c r="AP1040" s="1323"/>
      <c r="AQ1040" s="1323"/>
      <c r="AR1040" s="987"/>
      <c r="AS1040" s="978" t="str">
        <f t="shared" si="179"/>
        <v>單</v>
      </c>
      <c r="AT1040" s="978" t="str">
        <f t="shared" si="180"/>
        <v>全</v>
      </c>
      <c r="AU1040" s="978">
        <f t="shared" si="181"/>
        <v>150</v>
      </c>
      <c r="AV1040" s="978" t="str">
        <f t="shared" si="182"/>
        <v/>
      </c>
    </row>
    <row r="1041" spans="1:48">
      <c r="A1041" s="975">
        <f t="shared" si="184"/>
        <v>46169</v>
      </c>
      <c r="B1041" s="976" t="s">
        <v>222</v>
      </c>
      <c r="C1041" s="976" t="s">
        <v>632</v>
      </c>
      <c r="D1041" s="1410"/>
      <c r="E1041" s="977" t="str">
        <f>IFERROR(VLOOKUP(C1041, [6]條件!$A:$L, 5, 0), "")</f>
        <v/>
      </c>
      <c r="F1041" s="978" t="str">
        <f>IFERROR(VLOOKUP(C1041, [6]條件!$A:$L, 6, 0), "")</f>
        <v/>
      </c>
      <c r="G1041" s="1411" t="str">
        <f>IFERROR(VLOOKUP(C1041, [6]條件!$A:$L, 7, 0), "")</f>
        <v/>
      </c>
      <c r="H1041" s="978" t="str">
        <f>IF(ISNA(VLOOKUP(C1041,[6]條件!$A$1:$K$932,11,0)),"",(VLOOKUP(C1041,[6]條件!$A$1:$K$932,11,0)))</f>
        <v/>
      </c>
      <c r="I1041" s="979" t="str">
        <f>IF(ISNA(VLOOKUP(C1041,[6]條件!$A$1:$L$932,12,0)),"",(VLOOKUP(C1041,[6]條件!$A$1:$L$932,12,0)))</f>
        <v/>
      </c>
      <c r="J1041" s="982"/>
      <c r="K1041" s="980"/>
      <c r="L1041" s="981" t="s">
        <v>632</v>
      </c>
      <c r="M1041" s="983"/>
      <c r="N1041" s="982"/>
      <c r="O1041" s="980"/>
      <c r="P1041" s="981" t="s">
        <v>632</v>
      </c>
      <c r="Q1041" s="983"/>
      <c r="R1041" s="982"/>
      <c r="S1041" s="980"/>
      <c r="T1041" s="981" t="s">
        <v>632</v>
      </c>
      <c r="U1041" s="983"/>
      <c r="V1041" s="982"/>
      <c r="W1041" s="980"/>
      <c r="X1041" s="981" t="s">
        <v>632</v>
      </c>
      <c r="Y1041" s="983"/>
      <c r="Z1041" s="1412" t="str">
        <f>IFERROR(VLOOKUP(C1041, [6]條件!$A:$L, 3, 0), "")</f>
        <v/>
      </c>
      <c r="AA1041" s="984" t="str">
        <f>IF(OR(L1041={"改紡","檢修","了機","清車","FINAL","停機","SAMPLE","TEST","絲開發"}), L1041, IFERROR(IF(C1041="", "", (SUM(J1041, N1041, R1041, V1041)/3 * AG1041) * IF(AND(AF1041="S", AS1041="雙"), 0.5, 1)), ""))</f>
        <v>停機</v>
      </c>
      <c r="AB1041" s="1413" t="str">
        <f t="shared" si="176"/>
        <v/>
      </c>
      <c r="AC1041" s="984" t="str">
        <f>IF(OR(L1041={"改紡","檢修","了機","清車","FINAL","停機","SAMPLE","TEST"}), "", IFERROR(IF(C1041="", "", AVERAGE(L1041:M1041, P1041:Q1041, T1041:U1041, X1041:Y1041)/100), ""))</f>
        <v/>
      </c>
      <c r="AD1041" s="984" t="str">
        <f t="shared" si="183"/>
        <v/>
      </c>
      <c r="AE1041" s="984" t="str">
        <f t="shared" si="177"/>
        <v/>
      </c>
      <c r="AF1041" s="985" t="str">
        <f t="shared" si="178"/>
        <v>A</v>
      </c>
      <c r="AG1041" s="1414">
        <v>1</v>
      </c>
      <c r="AH1041" s="1002" t="s">
        <v>640</v>
      </c>
      <c r="AI1041" s="1002" t="s">
        <v>640</v>
      </c>
      <c r="AJ1041" s="986" t="s">
        <v>640</v>
      </c>
      <c r="AK1041" s="986" t="s">
        <v>640</v>
      </c>
      <c r="AL1041" s="1415"/>
      <c r="AM1041" s="1323"/>
      <c r="AN1041" s="1323"/>
      <c r="AO1041" s="1323"/>
      <c r="AP1041" s="1323"/>
      <c r="AQ1041" s="1323"/>
      <c r="AR1041" s="987"/>
      <c r="AS1041" s="978" t="str">
        <f t="shared" si="179"/>
        <v>單</v>
      </c>
      <c r="AT1041" s="978" t="str">
        <f t="shared" si="180"/>
        <v>全</v>
      </c>
      <c r="AU1041" s="978" t="str">
        <f t="shared" si="181"/>
        <v/>
      </c>
      <c r="AV1041" s="978" t="str">
        <f t="shared" si="182"/>
        <v/>
      </c>
    </row>
    <row r="1042" spans="1:48">
      <c r="A1042" s="975">
        <f t="shared" si="184"/>
        <v>46169</v>
      </c>
      <c r="B1042" s="976" t="s">
        <v>223</v>
      </c>
      <c r="C1042" s="976" t="s">
        <v>632</v>
      </c>
      <c r="D1042" s="1410"/>
      <c r="E1042" s="977" t="str">
        <f>IFERROR(VLOOKUP(C1042, [6]條件!$A:$L, 5, 0), "")</f>
        <v/>
      </c>
      <c r="F1042" s="978" t="str">
        <f>IFERROR(VLOOKUP(C1042, [6]條件!$A:$L, 6, 0), "")</f>
        <v/>
      </c>
      <c r="G1042" s="1411" t="str">
        <f>IFERROR(VLOOKUP(C1042, [6]條件!$A:$L, 7, 0), "")</f>
        <v/>
      </c>
      <c r="H1042" s="978" t="str">
        <f>IF(ISNA(VLOOKUP(C1042,[6]條件!$A$1:$K$932,11,0)),"",(VLOOKUP(C1042,[6]條件!$A$1:$K$932,11,0)))</f>
        <v/>
      </c>
      <c r="I1042" s="979" t="str">
        <f>IF(ISNA(VLOOKUP(C1042,[6]條件!$A$1:$L$932,12,0)),"",(VLOOKUP(C1042,[6]條件!$A$1:$L$932,12,0)))</f>
        <v/>
      </c>
      <c r="J1042" s="982"/>
      <c r="K1042" s="980"/>
      <c r="L1042" s="981" t="s">
        <v>632</v>
      </c>
      <c r="M1042" s="983"/>
      <c r="N1042" s="982"/>
      <c r="O1042" s="980"/>
      <c r="P1042" s="981" t="s">
        <v>632</v>
      </c>
      <c r="Q1042" s="983"/>
      <c r="R1042" s="982"/>
      <c r="S1042" s="980"/>
      <c r="T1042" s="981" t="s">
        <v>632</v>
      </c>
      <c r="U1042" s="983"/>
      <c r="V1042" s="982"/>
      <c r="W1042" s="980"/>
      <c r="X1042" s="981" t="s">
        <v>632</v>
      </c>
      <c r="Y1042" s="983"/>
      <c r="Z1042" s="1412" t="str">
        <f>IFERROR(VLOOKUP(C1042, [6]條件!$A:$L, 3, 0), "")</f>
        <v/>
      </c>
      <c r="AA1042" s="984" t="str">
        <f>IF(OR(L1042={"改紡","檢修","了機","清車","FINAL","停機","SAMPLE","TEST","絲開發"}), L1042, IFERROR(IF(C1042="", "", (SUM(J1042, N1042, R1042, V1042)/3 * AG1042) * IF(AND(AF1042="S", AS1042="雙"), 0.5, 1)), ""))</f>
        <v>停機</v>
      </c>
      <c r="AB1042" s="1413" t="str">
        <f t="shared" si="176"/>
        <v/>
      </c>
      <c r="AC1042" s="984" t="str">
        <f>IF(OR(L1042={"改紡","檢修","了機","清車","FINAL","停機","SAMPLE","TEST"}), "", IFERROR(IF(C1042="", "", AVERAGE(L1042:M1042, P1042:Q1042, T1042:U1042, X1042:Y1042)/100), ""))</f>
        <v/>
      </c>
      <c r="AD1042" s="984" t="str">
        <f t="shared" si="183"/>
        <v/>
      </c>
      <c r="AE1042" s="984" t="str">
        <f t="shared" si="177"/>
        <v/>
      </c>
      <c r="AF1042" s="985" t="str">
        <f t="shared" si="178"/>
        <v>A</v>
      </c>
      <c r="AG1042" s="1414">
        <v>1</v>
      </c>
      <c r="AH1042" s="1002" t="s">
        <v>640</v>
      </c>
      <c r="AI1042" s="1002" t="s">
        <v>640</v>
      </c>
      <c r="AJ1042" s="1002" t="s">
        <v>640</v>
      </c>
      <c r="AK1042" s="1002" t="s">
        <v>640</v>
      </c>
      <c r="AL1042" s="1415"/>
      <c r="AM1042" s="1324"/>
      <c r="AN1042" s="1323"/>
      <c r="AO1042" s="1323"/>
      <c r="AP1042" s="1323"/>
      <c r="AQ1042" s="1323"/>
      <c r="AR1042" s="987"/>
      <c r="AS1042" s="978" t="str">
        <f t="shared" si="179"/>
        <v>單</v>
      </c>
      <c r="AT1042" s="978" t="str">
        <f t="shared" si="180"/>
        <v>全</v>
      </c>
      <c r="AU1042" s="978" t="str">
        <f t="shared" si="181"/>
        <v/>
      </c>
      <c r="AV1042" s="978" t="str">
        <f t="shared" si="182"/>
        <v/>
      </c>
    </row>
    <row r="1043" spans="1:48">
      <c r="A1043" s="975">
        <f t="shared" si="184"/>
        <v>46169</v>
      </c>
      <c r="B1043" s="976" t="s">
        <v>224</v>
      </c>
      <c r="C1043" s="976" t="s">
        <v>632</v>
      </c>
      <c r="D1043" s="1410"/>
      <c r="E1043" s="977" t="str">
        <f>IFERROR(VLOOKUP(C1043, [6]條件!$A:$L, 5, 0), "")</f>
        <v/>
      </c>
      <c r="F1043" s="978" t="str">
        <f>IFERROR(VLOOKUP(C1043, [6]條件!$A:$L, 6, 0), "")</f>
        <v/>
      </c>
      <c r="G1043" s="1411" t="str">
        <f>IFERROR(VLOOKUP(C1043, [6]條件!$A:$L, 7, 0), "")</f>
        <v/>
      </c>
      <c r="H1043" s="978" t="str">
        <f>IF(ISNA(VLOOKUP(C1043,[6]條件!$A$1:$K$932,11,0)),"",(VLOOKUP(C1043,[6]條件!$A$1:$K$932,11,0)))</f>
        <v/>
      </c>
      <c r="I1043" s="979" t="str">
        <f>IF(ISNA(VLOOKUP(C1043,[6]條件!$A$1:$L$932,12,0)),"",(VLOOKUP(C1043,[6]條件!$A$1:$L$932,12,0)))</f>
        <v/>
      </c>
      <c r="J1043" s="982"/>
      <c r="K1043" s="980"/>
      <c r="L1043" s="981" t="s">
        <v>632</v>
      </c>
      <c r="M1043" s="983"/>
      <c r="N1043" s="982"/>
      <c r="O1043" s="980"/>
      <c r="P1043" s="981" t="s">
        <v>632</v>
      </c>
      <c r="Q1043" s="983"/>
      <c r="R1043" s="982"/>
      <c r="S1043" s="980"/>
      <c r="T1043" s="981" t="s">
        <v>632</v>
      </c>
      <c r="U1043" s="983"/>
      <c r="V1043" s="982"/>
      <c r="W1043" s="980"/>
      <c r="X1043" s="981" t="s">
        <v>632</v>
      </c>
      <c r="Y1043" s="983"/>
      <c r="Z1043" s="1412" t="str">
        <f>IFERROR(VLOOKUP(C1043, [6]條件!$A:$L, 3, 0), "")</f>
        <v/>
      </c>
      <c r="AA1043" s="984" t="str">
        <f>IF(OR(L1043={"改紡","檢修","了機","清車","FINAL","停機","SAMPLE","TEST","絲開發"}), L1043, IFERROR(IF(C1043="", "", (SUM(J1043, N1043, R1043, V1043)/3 * AG1043) * IF(AND(AF1043="S", AS1043="雙"), 0.5, 1)), ""))</f>
        <v>停機</v>
      </c>
      <c r="AB1043" s="1413" t="str">
        <f t="shared" si="176"/>
        <v/>
      </c>
      <c r="AC1043" s="984" t="str">
        <f>IF(OR(L1043={"改紡","檢修","了機","清車","FINAL","停機","SAMPLE","TEST"}), "", IFERROR(IF(C1043="", "", AVERAGE(L1043:M1043, P1043:Q1043, T1043:U1043, X1043:Y1043)/100), ""))</f>
        <v/>
      </c>
      <c r="AD1043" s="984" t="str">
        <f t="shared" si="183"/>
        <v/>
      </c>
      <c r="AE1043" s="984" t="str">
        <f t="shared" si="177"/>
        <v/>
      </c>
      <c r="AF1043" s="985" t="str">
        <f t="shared" si="178"/>
        <v>A</v>
      </c>
      <c r="AG1043" s="1414">
        <v>1</v>
      </c>
      <c r="AH1043" s="1002" t="s">
        <v>16011</v>
      </c>
      <c r="AI1043" s="1002" t="s">
        <v>16011</v>
      </c>
      <c r="AJ1043" s="1002" t="s">
        <v>640</v>
      </c>
      <c r="AK1043" s="1002" t="s">
        <v>640</v>
      </c>
      <c r="AL1043" s="1415"/>
      <c r="AM1043" s="1323"/>
      <c r="AN1043" s="1323"/>
      <c r="AO1043" s="1323"/>
      <c r="AP1043" s="1323"/>
      <c r="AQ1043" s="1323"/>
      <c r="AR1043" s="987"/>
      <c r="AS1043" s="978" t="str">
        <f t="shared" si="179"/>
        <v>單</v>
      </c>
      <c r="AT1043" s="978" t="str">
        <f t="shared" si="180"/>
        <v>全</v>
      </c>
      <c r="AU1043" s="978" t="str">
        <f t="shared" si="181"/>
        <v/>
      </c>
      <c r="AV1043" s="978" t="str">
        <f t="shared" si="182"/>
        <v/>
      </c>
    </row>
    <row r="1044" spans="1:48">
      <c r="A1044" s="975">
        <f t="shared" si="184"/>
        <v>46169</v>
      </c>
      <c r="B1044" s="976" t="s">
        <v>225</v>
      </c>
      <c r="C1044" s="976" t="s">
        <v>632</v>
      </c>
      <c r="D1044" s="1410"/>
      <c r="E1044" s="977" t="str">
        <f>IFERROR(VLOOKUP(C1044, [6]條件!$A:$L, 5, 0), "")</f>
        <v/>
      </c>
      <c r="F1044" s="978" t="str">
        <f>IFERROR(VLOOKUP(C1044, [6]條件!$A:$L, 6, 0), "")</f>
        <v/>
      </c>
      <c r="G1044" s="1411" t="str">
        <f>IFERROR(VLOOKUP(C1044, [6]條件!$A:$L, 7, 0), "")</f>
        <v/>
      </c>
      <c r="H1044" s="978" t="str">
        <f>IF(ISNA(VLOOKUP(C1044,[6]條件!$A$1:$K$932,11,0)),"",(VLOOKUP(C1044,[6]條件!$A$1:$K$932,11,0)))</f>
        <v/>
      </c>
      <c r="I1044" s="979" t="str">
        <f>IF(ISNA(VLOOKUP(C1044,[6]條件!$A$1:$L$932,12,0)),"",(VLOOKUP(C1044,[6]條件!$A$1:$L$932,12,0)))</f>
        <v/>
      </c>
      <c r="J1044" s="982"/>
      <c r="K1044" s="980"/>
      <c r="L1044" s="981" t="s">
        <v>632</v>
      </c>
      <c r="M1044" s="983"/>
      <c r="N1044" s="982"/>
      <c r="O1044" s="980"/>
      <c r="P1044" s="981" t="s">
        <v>632</v>
      </c>
      <c r="Q1044" s="983"/>
      <c r="R1044" s="982"/>
      <c r="S1044" s="980"/>
      <c r="T1044" s="981" t="s">
        <v>632</v>
      </c>
      <c r="U1044" s="983"/>
      <c r="V1044" s="982"/>
      <c r="W1044" s="980"/>
      <c r="X1044" s="981" t="s">
        <v>632</v>
      </c>
      <c r="Y1044" s="983"/>
      <c r="Z1044" s="1412" t="str">
        <f>IFERROR(VLOOKUP(C1044, [6]條件!$A:$L, 3, 0), "")</f>
        <v/>
      </c>
      <c r="AA1044" s="984" t="str">
        <f>IF(OR(L1044={"改紡","檢修","了機","清車","FINAL","停機","SAMPLE","TEST","絲開發"}), L1044, IFERROR(IF(C1044="", "", (SUM(J1044, N1044, R1044, V1044)/3 * AG1044) * IF(AND(AF1044="S", AS1044="雙"), 0.5, 1)), ""))</f>
        <v>停機</v>
      </c>
      <c r="AB1044" s="1413" t="str">
        <f t="shared" si="176"/>
        <v/>
      </c>
      <c r="AC1044" s="984" t="str">
        <f>IF(OR(L1044={"改紡","檢修","了機","清車","FINAL","停機","SAMPLE","TEST"}), "", IFERROR(IF(C1044="", "", AVERAGE(L1044:M1044, P1044:Q1044, T1044:U1044, X1044:Y1044)/100), ""))</f>
        <v/>
      </c>
      <c r="AD1044" s="984" t="str">
        <f t="shared" si="183"/>
        <v/>
      </c>
      <c r="AE1044" s="984" t="str">
        <f t="shared" si="177"/>
        <v/>
      </c>
      <c r="AF1044" s="985" t="str">
        <f t="shared" si="178"/>
        <v>A</v>
      </c>
      <c r="AG1044" s="1414">
        <v>1</v>
      </c>
      <c r="AH1044" s="1002" t="s">
        <v>640</v>
      </c>
      <c r="AI1044" s="1002" t="s">
        <v>640</v>
      </c>
      <c r="AJ1044" s="1002" t="s">
        <v>640</v>
      </c>
      <c r="AK1044" s="1002" t="s">
        <v>640</v>
      </c>
      <c r="AL1044" s="1415"/>
      <c r="AM1044" s="1323"/>
      <c r="AN1044" s="1323"/>
      <c r="AO1044" s="1323"/>
      <c r="AP1044" s="1323"/>
      <c r="AQ1044" s="1323"/>
      <c r="AR1044" s="987"/>
      <c r="AS1044" s="978" t="str">
        <f t="shared" si="179"/>
        <v>單</v>
      </c>
      <c r="AT1044" s="978" t="str">
        <f t="shared" si="180"/>
        <v>全</v>
      </c>
      <c r="AU1044" s="978" t="str">
        <f t="shared" si="181"/>
        <v/>
      </c>
      <c r="AV1044" s="978" t="str">
        <f t="shared" si="182"/>
        <v/>
      </c>
    </row>
    <row r="1045" spans="1:48">
      <c r="A1045" s="975">
        <f t="shared" si="184"/>
        <v>46169</v>
      </c>
      <c r="B1045" s="976" t="s">
        <v>226</v>
      </c>
      <c r="C1045" s="976" t="s">
        <v>632</v>
      </c>
      <c r="D1045" s="1410"/>
      <c r="E1045" s="977" t="str">
        <f>IFERROR(VLOOKUP(C1045, [6]條件!$A:$L, 5, 0), "")</f>
        <v/>
      </c>
      <c r="F1045" s="978" t="str">
        <f>IFERROR(VLOOKUP(C1045, [6]條件!$A:$L, 6, 0), "")</f>
        <v/>
      </c>
      <c r="G1045" s="1411" t="str">
        <f>IFERROR(VLOOKUP(C1045, [6]條件!$A:$L, 7, 0), "")</f>
        <v/>
      </c>
      <c r="H1045" s="978" t="str">
        <f>IF(ISNA(VLOOKUP(C1045,[6]條件!$A$1:$K$932,11,0)),"",(VLOOKUP(C1045,[6]條件!$A$1:$K$932,11,0)))</f>
        <v/>
      </c>
      <c r="I1045" s="979" t="str">
        <f>IF(ISNA(VLOOKUP(C1045,[6]條件!$A$1:$L$932,12,0)),"",(VLOOKUP(C1045,[6]條件!$A$1:$L$932,12,0)))</f>
        <v/>
      </c>
      <c r="J1045" s="982"/>
      <c r="K1045" s="980"/>
      <c r="L1045" s="981" t="s">
        <v>632</v>
      </c>
      <c r="M1045" s="983"/>
      <c r="N1045" s="982"/>
      <c r="O1045" s="980"/>
      <c r="P1045" s="981" t="s">
        <v>632</v>
      </c>
      <c r="Q1045" s="983"/>
      <c r="R1045" s="982"/>
      <c r="S1045" s="980"/>
      <c r="T1045" s="981" t="s">
        <v>632</v>
      </c>
      <c r="U1045" s="983"/>
      <c r="V1045" s="982"/>
      <c r="W1045" s="980"/>
      <c r="X1045" s="981" t="s">
        <v>632</v>
      </c>
      <c r="Y1045" s="983"/>
      <c r="Z1045" s="1412" t="str">
        <f>IFERROR(VLOOKUP(C1045, [6]條件!$A:$L, 3, 0), "")</f>
        <v/>
      </c>
      <c r="AA1045" s="984" t="str">
        <f>IF(OR(L1045={"改紡","檢修","了機","清車","FINAL","停機","SAMPLE","TEST","絲開發"}), L1045, IFERROR(IF(C1045="", "", (SUM(J1045, N1045, R1045, V1045)/3 * AG1045) * IF(AND(AF1045="S", AS1045="雙"), 0.5, 1)), ""))</f>
        <v>停機</v>
      </c>
      <c r="AB1045" s="1413" t="str">
        <f t="shared" si="176"/>
        <v/>
      </c>
      <c r="AC1045" s="984" t="str">
        <f>IF(OR(L1045={"改紡","檢修","了機","清車","FINAL","停機","SAMPLE","TEST"}), "", IFERROR(IF(C1045="", "", AVERAGE(L1045:M1045, P1045:Q1045, T1045:U1045, X1045:Y1045)/100), ""))</f>
        <v/>
      </c>
      <c r="AD1045" s="984" t="str">
        <f t="shared" si="183"/>
        <v/>
      </c>
      <c r="AE1045" s="984" t="str">
        <f t="shared" si="177"/>
        <v/>
      </c>
      <c r="AF1045" s="985" t="str">
        <f t="shared" si="178"/>
        <v>A</v>
      </c>
      <c r="AG1045" s="1414">
        <v>1</v>
      </c>
      <c r="AH1045" s="1002" t="s">
        <v>640</v>
      </c>
      <c r="AI1045" s="1002" t="s">
        <v>640</v>
      </c>
      <c r="AJ1045" s="1002" t="s">
        <v>640</v>
      </c>
      <c r="AK1045" s="1002" t="s">
        <v>640</v>
      </c>
      <c r="AL1045" s="1415"/>
      <c r="AM1045" s="1323"/>
      <c r="AN1045" s="1323"/>
      <c r="AO1045" s="1323"/>
      <c r="AP1045" s="1323"/>
      <c r="AQ1045" s="1323"/>
      <c r="AR1045" s="987"/>
      <c r="AS1045" s="978" t="str">
        <f t="shared" si="179"/>
        <v>單</v>
      </c>
      <c r="AT1045" s="978" t="str">
        <f t="shared" si="180"/>
        <v>全</v>
      </c>
      <c r="AU1045" s="978" t="str">
        <f t="shared" si="181"/>
        <v/>
      </c>
      <c r="AV1045" s="978" t="str">
        <f t="shared" si="182"/>
        <v/>
      </c>
    </row>
    <row r="1046" spans="1:48">
      <c r="A1046" s="975">
        <f t="shared" si="184"/>
        <v>46169</v>
      </c>
      <c r="B1046" s="976" t="s">
        <v>227</v>
      </c>
      <c r="C1046" s="976" t="s">
        <v>632</v>
      </c>
      <c r="D1046" s="1410"/>
      <c r="E1046" s="977" t="str">
        <f>IFERROR(VLOOKUP(C1046, [6]條件!$A:$L, 5, 0), "")</f>
        <v/>
      </c>
      <c r="F1046" s="978" t="str">
        <f>IFERROR(VLOOKUP(C1046, [6]條件!$A:$L, 6, 0), "")</f>
        <v/>
      </c>
      <c r="G1046" s="1411" t="str">
        <f>IFERROR(VLOOKUP(C1046, [6]條件!$A:$L, 7, 0), "")</f>
        <v/>
      </c>
      <c r="H1046" s="978" t="str">
        <f>IF(ISNA(VLOOKUP(C1046,[6]條件!$A$1:$K$932,11,0)),"",(VLOOKUP(C1046,[6]條件!$A$1:$K$932,11,0)))</f>
        <v/>
      </c>
      <c r="I1046" s="979" t="str">
        <f>IF(ISNA(VLOOKUP(C1046,[6]條件!$A$1:$L$932,12,0)),"",(VLOOKUP(C1046,[6]條件!$A$1:$L$932,12,0)))</f>
        <v/>
      </c>
      <c r="J1046" s="982"/>
      <c r="K1046" s="980"/>
      <c r="L1046" s="981" t="s">
        <v>632</v>
      </c>
      <c r="M1046" s="983"/>
      <c r="N1046" s="982"/>
      <c r="O1046" s="980"/>
      <c r="P1046" s="981" t="s">
        <v>632</v>
      </c>
      <c r="Q1046" s="983"/>
      <c r="R1046" s="982"/>
      <c r="S1046" s="980"/>
      <c r="T1046" s="981" t="s">
        <v>632</v>
      </c>
      <c r="U1046" s="983"/>
      <c r="V1046" s="982"/>
      <c r="W1046" s="980"/>
      <c r="X1046" s="981" t="s">
        <v>632</v>
      </c>
      <c r="Y1046" s="983"/>
      <c r="Z1046" s="1412" t="str">
        <f>IFERROR(VLOOKUP(C1046, [6]條件!$A:$L, 3, 0), "")</f>
        <v/>
      </c>
      <c r="AA1046" s="984" t="str">
        <f>IF(OR(L1046={"改紡","檢修","了機","清車","FINAL","停機","SAMPLE","TEST","絲開發"}), L1046, IFERROR(IF(C1046="", "", (SUM(J1046, N1046, R1046, V1046)/3 * AG1046) * IF(AND(AF1046="S", AS1046="雙"), 0.5, 1)), ""))</f>
        <v>停機</v>
      </c>
      <c r="AB1046" s="1413" t="str">
        <f t="shared" si="176"/>
        <v/>
      </c>
      <c r="AC1046" s="984" t="str">
        <f>IF(OR(L1046={"改紡","檢修","了機","清車","FINAL","停機","SAMPLE","TEST"}), "", IFERROR(IF(C1046="", "", AVERAGE(L1046:M1046, P1046:Q1046, T1046:U1046, X1046:Y1046)/100), ""))</f>
        <v/>
      </c>
      <c r="AD1046" s="984" t="str">
        <f t="shared" si="183"/>
        <v/>
      </c>
      <c r="AE1046" s="984" t="str">
        <f t="shared" si="177"/>
        <v/>
      </c>
      <c r="AF1046" s="985" t="str">
        <f t="shared" si="178"/>
        <v>A</v>
      </c>
      <c r="AG1046" s="1414">
        <v>1</v>
      </c>
      <c r="AH1046" s="1002" t="s">
        <v>640</v>
      </c>
      <c r="AI1046" s="1002" t="s">
        <v>640</v>
      </c>
      <c r="AJ1046" s="1002" t="s">
        <v>640</v>
      </c>
      <c r="AK1046" s="1002" t="s">
        <v>640</v>
      </c>
      <c r="AL1046" s="1415"/>
      <c r="AM1046" s="1323"/>
      <c r="AN1046" s="1323"/>
      <c r="AO1046" s="1323"/>
      <c r="AP1046" s="1323"/>
      <c r="AQ1046" s="1323"/>
      <c r="AR1046" s="987"/>
      <c r="AS1046" s="978" t="str">
        <f t="shared" si="179"/>
        <v>單</v>
      </c>
      <c r="AT1046" s="978" t="str">
        <f t="shared" si="180"/>
        <v>全</v>
      </c>
      <c r="AU1046" s="978" t="str">
        <f t="shared" si="181"/>
        <v/>
      </c>
      <c r="AV1046" s="978" t="str">
        <f t="shared" si="182"/>
        <v/>
      </c>
    </row>
    <row r="1047" spans="1:48">
      <c r="A1047" s="975">
        <f t="shared" si="184"/>
        <v>46169</v>
      </c>
      <c r="B1047" s="976" t="s">
        <v>228</v>
      </c>
      <c r="C1047" s="976" t="s">
        <v>632</v>
      </c>
      <c r="D1047" s="1410"/>
      <c r="E1047" s="977" t="str">
        <f>IFERROR(VLOOKUP(C1047, [6]條件!$A:$L, 5, 0), "")</f>
        <v/>
      </c>
      <c r="F1047" s="978" t="str">
        <f>IFERROR(VLOOKUP(C1047, [6]條件!$A:$L, 6, 0), "")</f>
        <v/>
      </c>
      <c r="G1047" s="1411" t="str">
        <f>IFERROR(VLOOKUP(C1047, [6]條件!$A:$L, 7, 0), "")</f>
        <v/>
      </c>
      <c r="H1047" s="978" t="str">
        <f>IF(ISNA(VLOOKUP(C1047,[6]條件!$A$1:$K$932,11,0)),"",(VLOOKUP(C1047,[6]條件!$A$1:$K$932,11,0)))</f>
        <v/>
      </c>
      <c r="I1047" s="979" t="str">
        <f>IF(ISNA(VLOOKUP(C1047,[6]條件!$A$1:$L$932,12,0)),"",(VLOOKUP(C1047,[6]條件!$A$1:$L$932,12,0)))</f>
        <v/>
      </c>
      <c r="J1047" s="982"/>
      <c r="K1047" s="980"/>
      <c r="L1047" s="981" t="s">
        <v>632</v>
      </c>
      <c r="M1047" s="983"/>
      <c r="N1047" s="982"/>
      <c r="O1047" s="980"/>
      <c r="P1047" s="981" t="s">
        <v>632</v>
      </c>
      <c r="Q1047" s="983"/>
      <c r="R1047" s="982"/>
      <c r="S1047" s="980"/>
      <c r="T1047" s="981" t="s">
        <v>632</v>
      </c>
      <c r="U1047" s="983"/>
      <c r="V1047" s="982"/>
      <c r="W1047" s="980"/>
      <c r="X1047" s="981" t="s">
        <v>632</v>
      </c>
      <c r="Y1047" s="983"/>
      <c r="Z1047" s="1412" t="str">
        <f>IFERROR(VLOOKUP(C1047, [6]條件!$A:$L, 3, 0), "")</f>
        <v/>
      </c>
      <c r="AA1047" s="984" t="str">
        <f>IF(OR(L1047={"改紡","檢修","了機","清車","FINAL","停機","SAMPLE","TEST","絲開發"}), L1047, IFERROR(IF(C1047="", "", (SUM(J1047, N1047, R1047, V1047)/3 * AG1047) * IF(AND(AF1047="S", AS1047="雙"), 0.5, 1)), ""))</f>
        <v>停機</v>
      </c>
      <c r="AB1047" s="1413" t="str">
        <f t="shared" si="176"/>
        <v/>
      </c>
      <c r="AC1047" s="984" t="str">
        <f>IF(OR(L1047={"改紡","檢修","了機","清車","FINAL","停機","SAMPLE","TEST"}), "", IFERROR(IF(C1047="", "", AVERAGE(L1047:M1047, P1047:Q1047, T1047:U1047, X1047:Y1047)/100), ""))</f>
        <v/>
      </c>
      <c r="AD1047" s="984" t="str">
        <f t="shared" si="183"/>
        <v/>
      </c>
      <c r="AE1047" s="984" t="str">
        <f t="shared" si="177"/>
        <v/>
      </c>
      <c r="AF1047" s="985" t="str">
        <f t="shared" si="178"/>
        <v>A</v>
      </c>
      <c r="AG1047" s="1414">
        <v>1</v>
      </c>
      <c r="AH1047" s="1002" t="s">
        <v>640</v>
      </c>
      <c r="AI1047" s="1002" t="s">
        <v>640</v>
      </c>
      <c r="AJ1047" s="1002" t="s">
        <v>640</v>
      </c>
      <c r="AK1047" s="1002" t="s">
        <v>640</v>
      </c>
      <c r="AL1047" s="1420"/>
      <c r="AM1047" s="1323"/>
      <c r="AN1047" s="1323"/>
      <c r="AO1047" s="1323"/>
      <c r="AP1047" s="1323"/>
      <c r="AQ1047" s="1323"/>
      <c r="AR1047" s="987"/>
      <c r="AS1047" s="978" t="str">
        <f t="shared" si="179"/>
        <v>單</v>
      </c>
      <c r="AT1047" s="978" t="str">
        <f t="shared" si="180"/>
        <v>全</v>
      </c>
      <c r="AU1047" s="978" t="str">
        <f t="shared" si="181"/>
        <v/>
      </c>
      <c r="AV1047" s="978" t="str">
        <f t="shared" si="182"/>
        <v/>
      </c>
    </row>
    <row r="1048" spans="1:48">
      <c r="A1048" s="975">
        <f t="shared" si="184"/>
        <v>46169</v>
      </c>
      <c r="B1048" s="976" t="s">
        <v>229</v>
      </c>
      <c r="C1048" s="976" t="s">
        <v>632</v>
      </c>
      <c r="D1048" s="1410"/>
      <c r="E1048" s="977" t="str">
        <f>IFERROR(VLOOKUP(C1048, [6]條件!$A:$L, 5, 0), "")</f>
        <v/>
      </c>
      <c r="F1048" s="978" t="str">
        <f>IFERROR(VLOOKUP(C1048, [6]條件!$A:$L, 6, 0), "")</f>
        <v/>
      </c>
      <c r="G1048" s="1411" t="str">
        <f>IFERROR(VLOOKUP(C1048, [6]條件!$A:$L, 7, 0), "")</f>
        <v/>
      </c>
      <c r="H1048" s="978" t="str">
        <f>IF(ISNA(VLOOKUP(C1048,[6]條件!$A$1:$K$932,11,0)),"",(VLOOKUP(C1048,[6]條件!$A$1:$K$932,11,0)))</f>
        <v/>
      </c>
      <c r="I1048" s="979" t="str">
        <f>IF(ISNA(VLOOKUP(C1048,[6]條件!$A$1:$L$932,12,0)),"",(VLOOKUP(C1048,[6]條件!$A$1:$L$932,12,0)))</f>
        <v/>
      </c>
      <c r="J1048" s="982"/>
      <c r="K1048" s="980"/>
      <c r="L1048" s="981" t="s">
        <v>632</v>
      </c>
      <c r="M1048" s="983"/>
      <c r="N1048" s="982"/>
      <c r="O1048" s="980"/>
      <c r="P1048" s="981" t="s">
        <v>632</v>
      </c>
      <c r="Q1048" s="983"/>
      <c r="R1048" s="982"/>
      <c r="S1048" s="980"/>
      <c r="T1048" s="981" t="s">
        <v>632</v>
      </c>
      <c r="U1048" s="983"/>
      <c r="V1048" s="982"/>
      <c r="W1048" s="980"/>
      <c r="X1048" s="981" t="s">
        <v>632</v>
      </c>
      <c r="Y1048" s="983"/>
      <c r="Z1048" s="1412" t="str">
        <f>IFERROR(VLOOKUP(C1048, [6]條件!$A:$L, 3, 0), "")</f>
        <v/>
      </c>
      <c r="AA1048" s="984" t="str">
        <f>IF(OR(L1048={"改紡","檢修","了機","清車","FINAL","停機","SAMPLE","TEST","絲開發"}), L1048, IFERROR(IF(C1048="", "", (SUM(J1048, N1048, R1048, V1048)/3 * AG1048) * IF(AND(AF1048="S", AS1048="雙"), 0.5, 1)), ""))</f>
        <v>停機</v>
      </c>
      <c r="AB1048" s="1413" t="str">
        <f t="shared" si="176"/>
        <v/>
      </c>
      <c r="AC1048" s="984" t="str">
        <f>IF(OR(L1048={"改紡","檢修","了機","清車","FINAL","停機","SAMPLE","TEST"}), "", IFERROR(IF(C1048="", "", AVERAGE(L1048:M1048, P1048:Q1048, T1048:U1048, X1048:Y1048)/100), ""))</f>
        <v/>
      </c>
      <c r="AD1048" s="984" t="str">
        <f t="shared" si="183"/>
        <v/>
      </c>
      <c r="AE1048" s="984" t="str">
        <f t="shared" si="177"/>
        <v/>
      </c>
      <c r="AF1048" s="985" t="str">
        <f t="shared" si="178"/>
        <v>A</v>
      </c>
      <c r="AG1048" s="1414">
        <v>1</v>
      </c>
      <c r="AH1048" s="1002" t="s">
        <v>640</v>
      </c>
      <c r="AI1048" s="1002" t="s">
        <v>640</v>
      </c>
      <c r="AJ1048" s="1002" t="s">
        <v>640</v>
      </c>
      <c r="AK1048" s="1002" t="s">
        <v>640</v>
      </c>
      <c r="AL1048" s="1421"/>
      <c r="AM1048" s="1323"/>
      <c r="AN1048" s="1323"/>
      <c r="AO1048" s="1323"/>
      <c r="AP1048" s="1323"/>
      <c r="AQ1048" s="1323"/>
      <c r="AR1048" s="987"/>
      <c r="AS1048" s="978" t="str">
        <f t="shared" si="179"/>
        <v>單</v>
      </c>
      <c r="AT1048" s="978" t="str">
        <f t="shared" si="180"/>
        <v>全</v>
      </c>
      <c r="AU1048" s="978" t="str">
        <f t="shared" si="181"/>
        <v/>
      </c>
      <c r="AV1048" s="978" t="str">
        <f t="shared" si="182"/>
        <v/>
      </c>
    </row>
    <row r="1049" spans="1:48">
      <c r="A1049" s="975">
        <f t="shared" si="184"/>
        <v>46169</v>
      </c>
      <c r="B1049" s="976" t="s">
        <v>230</v>
      </c>
      <c r="C1049" s="976" t="s">
        <v>632</v>
      </c>
      <c r="D1049" s="1410"/>
      <c r="E1049" s="977" t="str">
        <f>IFERROR(VLOOKUP(C1049, [6]條件!$A:$L, 5, 0), "")</f>
        <v/>
      </c>
      <c r="F1049" s="978" t="str">
        <f>IFERROR(VLOOKUP(C1049, [6]條件!$A:$L, 6, 0), "")</f>
        <v/>
      </c>
      <c r="G1049" s="1411" t="str">
        <f>IFERROR(VLOOKUP(C1049, [6]條件!$A:$L, 7, 0), "")</f>
        <v/>
      </c>
      <c r="H1049" s="978" t="str">
        <f>IF(ISNA(VLOOKUP(C1049,[6]條件!$A$1:$K$932,11,0)),"",(VLOOKUP(C1049,[6]條件!$A$1:$K$932,11,0)))</f>
        <v/>
      </c>
      <c r="I1049" s="979" t="str">
        <f>IF(ISNA(VLOOKUP(C1049,[6]條件!$A$1:$L$932,12,0)),"",(VLOOKUP(C1049,[6]條件!$A$1:$L$932,12,0)))</f>
        <v/>
      </c>
      <c r="J1049" s="982"/>
      <c r="K1049" s="980"/>
      <c r="L1049" s="981" t="s">
        <v>632</v>
      </c>
      <c r="M1049" s="983"/>
      <c r="N1049" s="982"/>
      <c r="O1049" s="980"/>
      <c r="P1049" s="981" t="s">
        <v>632</v>
      </c>
      <c r="Q1049" s="983"/>
      <c r="R1049" s="982"/>
      <c r="S1049" s="980"/>
      <c r="T1049" s="981" t="s">
        <v>632</v>
      </c>
      <c r="U1049" s="983"/>
      <c r="V1049" s="982"/>
      <c r="W1049" s="980"/>
      <c r="X1049" s="981" t="s">
        <v>632</v>
      </c>
      <c r="Y1049" s="983"/>
      <c r="Z1049" s="1412" t="str">
        <f>IFERROR(VLOOKUP(C1049, [6]條件!$A:$L, 3, 0), "")</f>
        <v/>
      </c>
      <c r="AA1049" s="984" t="str">
        <f>IF(OR(L1049={"改紡","檢修","了機","清車","FINAL","停機","SAMPLE","TEST","絲開發"}), L1049, IFERROR(IF(C1049="", "", (SUM(J1049, N1049, R1049, V1049)/3 * AG1049) * IF(AND(AF1049="S", AS1049="雙"), 0.5, 1)), ""))</f>
        <v>停機</v>
      </c>
      <c r="AB1049" s="1413" t="str">
        <f t="shared" si="176"/>
        <v/>
      </c>
      <c r="AC1049" s="984" t="str">
        <f>IF(OR(L1049={"改紡","檢修","了機","清車","FINAL","停機","SAMPLE","TEST"}), "", IFERROR(IF(C1049="", "", AVERAGE(L1049:M1049, P1049:Q1049, T1049:U1049, X1049:Y1049)/100), ""))</f>
        <v/>
      </c>
      <c r="AD1049" s="984" t="str">
        <f t="shared" si="183"/>
        <v/>
      </c>
      <c r="AE1049" s="984" t="str">
        <f t="shared" si="177"/>
        <v/>
      </c>
      <c r="AF1049" s="985" t="str">
        <f t="shared" si="178"/>
        <v>A</v>
      </c>
      <c r="AG1049" s="1414">
        <v>1</v>
      </c>
      <c r="AH1049" s="1002" t="s">
        <v>16011</v>
      </c>
      <c r="AI1049" s="1002" t="s">
        <v>16011</v>
      </c>
      <c r="AJ1049" s="1002" t="s">
        <v>640</v>
      </c>
      <c r="AK1049" s="1002" t="s">
        <v>640</v>
      </c>
      <c r="AL1049" s="1415"/>
      <c r="AM1049" s="1323"/>
      <c r="AN1049" s="1323"/>
      <c r="AO1049" s="1323"/>
      <c r="AP1049" s="1323"/>
      <c r="AQ1049" s="1323"/>
      <c r="AR1049" s="987"/>
      <c r="AS1049" s="978" t="str">
        <f t="shared" si="179"/>
        <v>單</v>
      </c>
      <c r="AT1049" s="978" t="str">
        <f t="shared" si="180"/>
        <v>全</v>
      </c>
      <c r="AU1049" s="978" t="str">
        <f t="shared" si="181"/>
        <v/>
      </c>
      <c r="AV1049" s="978" t="str">
        <f t="shared" si="182"/>
        <v/>
      </c>
    </row>
    <row r="1050" spans="1:48">
      <c r="A1050" s="975">
        <f t="shared" si="184"/>
        <v>46169</v>
      </c>
      <c r="B1050" s="976" t="s">
        <v>231</v>
      </c>
      <c r="C1050" s="976" t="s">
        <v>632</v>
      </c>
      <c r="D1050" s="1410"/>
      <c r="E1050" s="977" t="str">
        <f>IFERROR(VLOOKUP(C1050, [6]條件!$A:$L, 5, 0), "")</f>
        <v/>
      </c>
      <c r="F1050" s="978" t="str">
        <f>IFERROR(VLOOKUP(C1050, [6]條件!$A:$L, 6, 0), "")</f>
        <v/>
      </c>
      <c r="G1050" s="1411" t="str">
        <f>IFERROR(VLOOKUP(C1050, [6]條件!$A:$L, 7, 0), "")</f>
        <v/>
      </c>
      <c r="H1050" s="978" t="str">
        <f>IF(ISNA(VLOOKUP(C1050,[6]條件!$A$1:$K$932,11,0)),"",(VLOOKUP(C1050,[6]條件!$A$1:$K$932,11,0)))</f>
        <v/>
      </c>
      <c r="I1050" s="979" t="str">
        <f>IF(ISNA(VLOOKUP(C1050,[6]條件!$A$1:$L$932,12,0)),"",(VLOOKUP(C1050,[6]條件!$A$1:$L$932,12,0)))</f>
        <v/>
      </c>
      <c r="J1050" s="982"/>
      <c r="K1050" s="980"/>
      <c r="L1050" s="981" t="s">
        <v>632</v>
      </c>
      <c r="M1050" s="983"/>
      <c r="N1050" s="982"/>
      <c r="O1050" s="980"/>
      <c r="P1050" s="981" t="s">
        <v>632</v>
      </c>
      <c r="Q1050" s="983"/>
      <c r="R1050" s="982"/>
      <c r="S1050" s="980"/>
      <c r="T1050" s="981" t="s">
        <v>632</v>
      </c>
      <c r="U1050" s="983"/>
      <c r="V1050" s="982"/>
      <c r="W1050" s="980"/>
      <c r="X1050" s="981" t="s">
        <v>632</v>
      </c>
      <c r="Y1050" s="983"/>
      <c r="Z1050" s="1412" t="str">
        <f>IFERROR(VLOOKUP(C1050, [6]條件!$A:$L, 3, 0), "")</f>
        <v/>
      </c>
      <c r="AA1050" s="984" t="str">
        <f>IF(OR(L1050={"改紡","檢修","了機","清車","FINAL","停機","SAMPLE","TEST","絲開發"}), L1050, IFERROR(IF(C1050="", "", (SUM(J1050, N1050, R1050, V1050)/3 * AG1050) * IF(AND(AF1050="S", AS1050="雙"), 0.5, 1)), ""))</f>
        <v>停機</v>
      </c>
      <c r="AB1050" s="1413" t="str">
        <f t="shared" si="176"/>
        <v/>
      </c>
      <c r="AC1050" s="984" t="str">
        <f>IF(OR(L1050={"改紡","檢修","了機","清車","FINAL","停機","SAMPLE","TEST"}), "", IFERROR(IF(C1050="", "", AVERAGE(L1050:M1050, P1050:Q1050, T1050:U1050, X1050:Y1050)/100), ""))</f>
        <v/>
      </c>
      <c r="AD1050" s="984" t="str">
        <f t="shared" si="183"/>
        <v/>
      </c>
      <c r="AE1050" s="984" t="str">
        <f t="shared" si="177"/>
        <v/>
      </c>
      <c r="AF1050" s="985" t="str">
        <f t="shared" si="178"/>
        <v>J</v>
      </c>
      <c r="AG1050" s="1414">
        <v>1</v>
      </c>
      <c r="AH1050" s="1002" t="s">
        <v>640</v>
      </c>
      <c r="AI1050" s="1002" t="s">
        <v>640</v>
      </c>
      <c r="AJ1050" s="1002" t="s">
        <v>640</v>
      </c>
      <c r="AK1050" s="1002" t="s">
        <v>640</v>
      </c>
      <c r="AL1050" s="1415"/>
      <c r="AM1050" s="1323"/>
      <c r="AN1050" s="1323"/>
      <c r="AO1050" s="1323"/>
      <c r="AP1050" s="1323"/>
      <c r="AQ1050" s="1323"/>
      <c r="AR1050" s="987"/>
      <c r="AS1050" s="978" t="str">
        <f t="shared" si="179"/>
        <v>單</v>
      </c>
      <c r="AT1050" s="978" t="str">
        <f t="shared" si="180"/>
        <v>全</v>
      </c>
      <c r="AU1050" s="978" t="str">
        <f t="shared" si="181"/>
        <v/>
      </c>
      <c r="AV1050" s="978" t="str">
        <f t="shared" si="182"/>
        <v/>
      </c>
    </row>
    <row r="1051" spans="1:48">
      <c r="A1051" s="975">
        <f t="shared" si="184"/>
        <v>46169</v>
      </c>
      <c r="B1051" s="976" t="s">
        <v>233</v>
      </c>
      <c r="C1051" s="976" t="s">
        <v>16772</v>
      </c>
      <c r="D1051" s="1410" t="s">
        <v>633</v>
      </c>
      <c r="E1051" s="977" t="str">
        <f>IFERROR(VLOOKUP(C1051, [6]條件!$A:$L, 5, 0), "")</f>
        <v>150/48/2SDr</v>
      </c>
      <c r="F1051" s="978" t="str">
        <f>IFERROR(VLOOKUP(C1051, [6]條件!$A:$L, 6, 0), "")</f>
        <v>FP82171R×2</v>
      </c>
      <c r="G1051" s="1411">
        <f>IFERROR(VLOOKUP(C1051, [6]條件!$A:$L, 7, 0), "")</f>
        <v>600</v>
      </c>
      <c r="H1051" s="978" t="str">
        <f>IF(ISNA(VLOOKUP(C1051,[6]條件!$A$1:$K$932,11,0)),"",(VLOOKUP(C1051,[6]條件!$A$1:$K$932,11,0)))</f>
        <v>紅白直條</v>
      </c>
      <c r="I1051" s="979">
        <f>IF(ISNA(VLOOKUP(C1051,[6]條件!$A$1:$L$932,12,0)),"",(VLOOKUP(C1051,[6]條件!$A$1:$L$932,12,0)))</f>
        <v>5.5</v>
      </c>
      <c r="J1051" s="982">
        <v>19</v>
      </c>
      <c r="K1051" s="980">
        <v>4</v>
      </c>
      <c r="L1051" s="981">
        <v>6320</v>
      </c>
      <c r="M1051" s="983"/>
      <c r="N1051" s="982">
        <v>6</v>
      </c>
      <c r="O1051" s="980">
        <v>1</v>
      </c>
      <c r="P1051" s="981">
        <v>6510</v>
      </c>
      <c r="Q1051" s="983"/>
      <c r="R1051" s="982">
        <v>8</v>
      </c>
      <c r="S1051" s="980">
        <v>2</v>
      </c>
      <c r="T1051" s="981">
        <v>6040</v>
      </c>
      <c r="U1051" s="983"/>
      <c r="V1051" s="982">
        <v>22</v>
      </c>
      <c r="W1051" s="980">
        <v>7</v>
      </c>
      <c r="X1051" s="981">
        <v>6450</v>
      </c>
      <c r="Y1051" s="983"/>
      <c r="Z1051" s="1412">
        <f>IFERROR(VLOOKUP(C1051, [6]條件!$A:$L, 3, 0), "")</f>
        <v>5.0526315789473673</v>
      </c>
      <c r="AA1051" s="984">
        <f>IF(OR(L1051={"改紡","檢修","了機","清車","FINAL","停機","SAMPLE","TEST","絲開發"}), L1051, IFERROR(IF(C1051="", "", (SUM(J1051, N1051, R1051, V1051)/3 * AG1051) * IF(AND(AF1051="S", AS1051="雙"), 0.5, 1)), ""))</f>
        <v>18.333333333333332</v>
      </c>
      <c r="AB1051" s="1413">
        <f t="shared" si="176"/>
        <v>0.9866786858974359</v>
      </c>
      <c r="AC1051" s="984">
        <f>IF(OR(L1051={"改紡","檢修","了機","清車","FINAL","停機","SAMPLE","TEST"}), "", IFERROR(IF(C1051="", "", AVERAGE(L1051:M1051, P1051:Q1051, T1051:U1051, X1051:Y1051)/100), ""))</f>
        <v>63.3</v>
      </c>
      <c r="AD1051" s="984">
        <f t="shared" si="183"/>
        <v>2.2916666666666665</v>
      </c>
      <c r="AE1051" s="984">
        <f t="shared" si="177"/>
        <v>1.7083333333333333</v>
      </c>
      <c r="AF1051" s="985" t="str">
        <f t="shared" si="178"/>
        <v>J</v>
      </c>
      <c r="AG1051" s="1414">
        <v>1</v>
      </c>
      <c r="AH1051" s="1002" t="s">
        <v>16006</v>
      </c>
      <c r="AI1051" s="1002" t="s">
        <v>16006</v>
      </c>
      <c r="AJ1051" s="986" t="s">
        <v>16019</v>
      </c>
      <c r="AK1051" s="986" t="s">
        <v>16019</v>
      </c>
      <c r="AL1051" s="1415">
        <v>55</v>
      </c>
      <c r="AM1051" s="1323">
        <v>46165</v>
      </c>
      <c r="AN1051" s="1323">
        <v>46166</v>
      </c>
      <c r="AO1051" s="1323">
        <v>46167</v>
      </c>
      <c r="AP1051" s="1323">
        <v>46168</v>
      </c>
      <c r="AQ1051" s="1323"/>
      <c r="AR1051" s="987"/>
      <c r="AS1051" s="978" t="str">
        <f t="shared" si="179"/>
        <v>雙</v>
      </c>
      <c r="AT1051" s="978" t="str">
        <f t="shared" si="180"/>
        <v>全</v>
      </c>
      <c r="AU1051" s="978">
        <f t="shared" si="181"/>
        <v>150</v>
      </c>
      <c r="AV1051" s="978">
        <f t="shared" si="182"/>
        <v>3.9377664000000001</v>
      </c>
    </row>
    <row r="1052" spans="1:48">
      <c r="A1052" s="975">
        <f t="shared" si="184"/>
        <v>46169</v>
      </c>
      <c r="B1052" s="976" t="s">
        <v>234</v>
      </c>
      <c r="C1052" s="976" t="s">
        <v>632</v>
      </c>
      <c r="D1052" s="1410"/>
      <c r="E1052" s="977" t="str">
        <f>IFERROR(VLOOKUP(C1052, [6]條件!$A:$L, 5, 0), "")</f>
        <v/>
      </c>
      <c r="F1052" s="978" t="str">
        <f>IFERROR(VLOOKUP(C1052, [6]條件!$A:$L, 6, 0), "")</f>
        <v/>
      </c>
      <c r="G1052" s="1411" t="str">
        <f>IFERROR(VLOOKUP(C1052, [6]條件!$A:$L, 7, 0), "")</f>
        <v/>
      </c>
      <c r="H1052" s="978" t="str">
        <f>IF(ISNA(VLOOKUP(C1052,[6]條件!$A$1:$K$932,11,0)),"",(VLOOKUP(C1052,[6]條件!$A$1:$K$932,11,0)))</f>
        <v/>
      </c>
      <c r="I1052" s="979" t="str">
        <f>IF(ISNA(VLOOKUP(C1052,[6]條件!$A$1:$L$932,12,0)),"",(VLOOKUP(C1052,[6]條件!$A$1:$L$932,12,0)))</f>
        <v/>
      </c>
      <c r="J1052" s="982"/>
      <c r="K1052" s="980"/>
      <c r="L1052" s="981" t="s">
        <v>632</v>
      </c>
      <c r="M1052" s="983"/>
      <c r="N1052" s="982"/>
      <c r="O1052" s="980"/>
      <c r="P1052" s="981" t="s">
        <v>632</v>
      </c>
      <c r="Q1052" s="983"/>
      <c r="R1052" s="982"/>
      <c r="S1052" s="980"/>
      <c r="T1052" s="981" t="s">
        <v>632</v>
      </c>
      <c r="U1052" s="983"/>
      <c r="V1052" s="982"/>
      <c r="W1052" s="980"/>
      <c r="X1052" s="981" t="s">
        <v>632</v>
      </c>
      <c r="Y1052" s="983"/>
      <c r="Z1052" s="1412" t="str">
        <f>IFERROR(VLOOKUP(C1052, [6]條件!$A:$L, 3, 0), "")</f>
        <v/>
      </c>
      <c r="AA1052" s="984" t="str">
        <f>IF(OR(L1052={"改紡","檢修","了機","清車","FINAL","停機","SAMPLE","TEST","絲開發"}), L1052, IFERROR(IF(C1052="", "", (SUM(J1052, N1052, R1052, V1052)/3 * AG1052) * IF(AND(AF1052="S", AS1052="雙"), 0.5, 1)), ""))</f>
        <v>停機</v>
      </c>
      <c r="AB1052" s="1413" t="str">
        <f t="shared" si="176"/>
        <v/>
      </c>
      <c r="AC1052" s="984" t="str">
        <f>IF(OR(L1052={"改紡","檢修","了機","清車","FINAL","停機","SAMPLE","TEST"}), "", IFERROR(IF(C1052="", "", AVERAGE(L1052:M1052, P1052:Q1052, T1052:U1052, X1052:Y1052)/100), ""))</f>
        <v/>
      </c>
      <c r="AD1052" s="984" t="str">
        <f t="shared" si="183"/>
        <v/>
      </c>
      <c r="AE1052" s="984" t="str">
        <f t="shared" si="177"/>
        <v/>
      </c>
      <c r="AF1052" s="985" t="str">
        <f t="shared" si="178"/>
        <v>J</v>
      </c>
      <c r="AG1052" s="1414">
        <v>1</v>
      </c>
      <c r="AH1052" s="1002" t="s">
        <v>640</v>
      </c>
      <c r="AI1052" s="1002" t="s">
        <v>640</v>
      </c>
      <c r="AJ1052" s="986" t="s">
        <v>640</v>
      </c>
      <c r="AK1052" s="986" t="s">
        <v>640</v>
      </c>
      <c r="AL1052" s="1415"/>
      <c r="AM1052" s="1323"/>
      <c r="AN1052" s="1323"/>
      <c r="AO1052" s="1323"/>
      <c r="AP1052" s="1323"/>
      <c r="AQ1052" s="1323"/>
      <c r="AR1052" s="987"/>
      <c r="AS1052" s="978" t="str">
        <f t="shared" si="179"/>
        <v>單</v>
      </c>
      <c r="AT1052" s="978" t="str">
        <f t="shared" si="180"/>
        <v>全</v>
      </c>
      <c r="AU1052" s="978" t="str">
        <f t="shared" si="181"/>
        <v/>
      </c>
      <c r="AV1052" s="978" t="str">
        <f t="shared" si="182"/>
        <v/>
      </c>
    </row>
    <row r="1053" spans="1:48">
      <c r="A1053" s="975">
        <f t="shared" si="184"/>
        <v>46169</v>
      </c>
      <c r="B1053" s="976" t="s">
        <v>235</v>
      </c>
      <c r="C1053" s="976" t="s">
        <v>16765</v>
      </c>
      <c r="D1053" s="1410" t="s">
        <v>633</v>
      </c>
      <c r="E1053" s="977" t="str">
        <f>IFERROR(VLOOKUP(C1053, [6]條件!$A:$L, 5, 0), "")</f>
        <v>150/48/2SDr</v>
      </c>
      <c r="F1053" s="978" t="str">
        <f>IFERROR(VLOOKUP(C1053, [6]條件!$A:$L, 6, 0), "")</f>
        <v>FP82173R×2</v>
      </c>
      <c r="G1053" s="1411">
        <f>IFERROR(VLOOKUP(C1053, [6]條件!$A:$L, 7, 0), "")</f>
        <v>700</v>
      </c>
      <c r="H1053" s="978" t="str">
        <f>IF(ISNA(VLOOKUP(C1053,[6]條件!$A$1:$K$932,11,0)),"",(VLOOKUP(C1053,[6]條件!$A$1:$K$932,11,0)))</f>
        <v>白紫條紋</v>
      </c>
      <c r="I1053" s="979">
        <f>IF(ISNA(VLOOKUP(C1053,[6]條件!$A$1:$L$932,12,0)),"",(VLOOKUP(C1053,[6]條件!$A$1:$L$932,12,0)))</f>
        <v>5.5</v>
      </c>
      <c r="J1053" s="982">
        <v>61</v>
      </c>
      <c r="K1053" s="980">
        <v>0</v>
      </c>
      <c r="L1053" s="981">
        <v>7690</v>
      </c>
      <c r="M1053" s="983">
        <v>8520</v>
      </c>
      <c r="N1053" s="982">
        <v>19</v>
      </c>
      <c r="O1053" s="980">
        <v>0</v>
      </c>
      <c r="P1053" s="981">
        <v>8060</v>
      </c>
      <c r="Q1053" s="983">
        <v>7870</v>
      </c>
      <c r="R1053" s="982">
        <v>19</v>
      </c>
      <c r="S1053" s="980">
        <v>2</v>
      </c>
      <c r="T1053" s="981">
        <v>6850</v>
      </c>
      <c r="U1053" s="983">
        <v>8430</v>
      </c>
      <c r="V1053" s="982">
        <f>30+41</f>
        <v>71</v>
      </c>
      <c r="W1053" s="980">
        <v>1</v>
      </c>
      <c r="X1053" s="981">
        <v>8700</v>
      </c>
      <c r="Y1053" s="983">
        <v>9350</v>
      </c>
      <c r="Z1053" s="1412">
        <f>IFERROR(VLOOKUP(C1053, [6]條件!$A:$L, 3, 0), "")</f>
        <v>5.8775510204081636</v>
      </c>
      <c r="AA1053" s="984">
        <f>IF(OR(L1053={"改紡","檢修","了機","清車","FINAL","停機","SAMPLE","TEST","絲開發"}), L1053, IFERROR(IF(C1053="", "", (SUM(J1053, N1053, R1053, V1053)/3 * AG1053) * IF(AND(AF1053="S", AS1053="雙"), 0.5, 1)), ""))</f>
        <v>56.666666666666664</v>
      </c>
      <c r="AB1053" s="1413">
        <f t="shared" si="176"/>
        <v>0.99754607371794868</v>
      </c>
      <c r="AC1053" s="984">
        <f>IF(OR(L1053={"改紡","檢修","了機","清車","FINAL","停機","SAMPLE","TEST"}), "", IFERROR(IF(C1053="", "", AVERAGE(L1053:M1053, P1053:Q1053, T1053:U1053, X1053:Y1053)/100), ""))</f>
        <v>81.837500000000006</v>
      </c>
      <c r="AD1053" s="984">
        <f t="shared" si="183"/>
        <v>7.083333333333333</v>
      </c>
      <c r="AE1053" s="984">
        <f t="shared" si="177"/>
        <v>6.958333333333333</v>
      </c>
      <c r="AF1053" s="985" t="str">
        <f t="shared" si="178"/>
        <v>T</v>
      </c>
      <c r="AG1053" s="1414">
        <v>1</v>
      </c>
      <c r="AH1053" s="1002" t="s">
        <v>15998</v>
      </c>
      <c r="AI1053" s="1002" t="s">
        <v>651</v>
      </c>
      <c r="AJ1053" s="1002" t="s">
        <v>16009</v>
      </c>
      <c r="AK1053" s="1002" t="s">
        <v>639</v>
      </c>
      <c r="AL1053" s="1415">
        <v>56</v>
      </c>
      <c r="AM1053" s="1323">
        <v>46167</v>
      </c>
      <c r="AN1053" s="1323">
        <v>46168</v>
      </c>
      <c r="AO1053" s="1323"/>
      <c r="AP1053" s="1323"/>
      <c r="AQ1053" s="1323"/>
      <c r="AR1053" s="987"/>
      <c r="AS1053" s="978" t="str">
        <f t="shared" si="179"/>
        <v>雙</v>
      </c>
      <c r="AT1053" s="978" t="str">
        <f t="shared" si="180"/>
        <v>全</v>
      </c>
      <c r="AU1053" s="978">
        <f t="shared" si="181"/>
        <v>150</v>
      </c>
      <c r="AV1053" s="978">
        <f t="shared" si="182"/>
        <v>5.9394384000000002</v>
      </c>
    </row>
    <row r="1054" spans="1:48">
      <c r="A1054" s="975">
        <f t="shared" si="184"/>
        <v>46169</v>
      </c>
      <c r="B1054" s="976" t="s">
        <v>237</v>
      </c>
      <c r="C1054" s="976" t="s">
        <v>16759</v>
      </c>
      <c r="D1054" s="1410" t="s">
        <v>633</v>
      </c>
      <c r="E1054" s="977" t="str">
        <f>IFERROR(VLOOKUP(C1054, [6]條件!$A:$L, 5, 0), "")</f>
        <v>150/48/2SDr</v>
      </c>
      <c r="F1054" s="978" t="str">
        <f>IFERROR(VLOOKUP(C1054, [6]條件!$A:$L, 6, 0), "")</f>
        <v>FP82171R×2</v>
      </c>
      <c r="G1054" s="1411">
        <f>IFERROR(VLOOKUP(C1054, [6]條件!$A:$L, 7, 0), "")</f>
        <v>700</v>
      </c>
      <c r="H1054" s="978" t="str">
        <f>IF(ISNA(VLOOKUP(C1054,[6]條件!$A$1:$K$932,11,0)),"",(VLOOKUP(C1054,[6]條件!$A$1:$K$932,11,0)))</f>
        <v>紅底黃星</v>
      </c>
      <c r="I1054" s="979">
        <f>IF(ISNA(VLOOKUP(C1054,[6]條件!$A$1:$L$932,12,0)),"",(VLOOKUP(C1054,[6]條件!$A$1:$L$932,12,0)))</f>
        <v>5.5</v>
      </c>
      <c r="J1054" s="982">
        <v>50</v>
      </c>
      <c r="K1054" s="980">
        <v>1</v>
      </c>
      <c r="L1054" s="981">
        <v>6760</v>
      </c>
      <c r="M1054" s="983">
        <v>9260</v>
      </c>
      <c r="N1054" s="982">
        <v>36</v>
      </c>
      <c r="O1054" s="980">
        <v>0</v>
      </c>
      <c r="P1054" s="981">
        <v>8800</v>
      </c>
      <c r="Q1054" s="983">
        <v>8060</v>
      </c>
      <c r="R1054" s="982">
        <v>0</v>
      </c>
      <c r="S1054" s="980">
        <v>0</v>
      </c>
      <c r="T1054" s="981">
        <v>8330</v>
      </c>
      <c r="U1054" s="983">
        <v>7410</v>
      </c>
      <c r="V1054" s="982">
        <f>10+70</f>
        <v>80</v>
      </c>
      <c r="W1054" s="980">
        <v>0</v>
      </c>
      <c r="X1054" s="981">
        <v>9720</v>
      </c>
      <c r="Y1054" s="983">
        <v>8060</v>
      </c>
      <c r="Z1054" s="1412">
        <f>IFERROR(VLOOKUP(C1054, [6]條件!$A:$L, 3, 0), "")</f>
        <v>5.8299595141700413</v>
      </c>
      <c r="AA1054" s="984">
        <f>IF(OR(L1054={"改紡","檢修","了機","清車","FINAL","停機","SAMPLE","TEST","絲開發"}), L1054, IFERROR(IF(C1054="", "", (SUM(J1054, N1054, R1054, V1054)/3 * AG1054) * IF(AND(AF1054="S", AS1054="雙"), 0.5, 1)), ""))</f>
        <v>55.333333333333336</v>
      </c>
      <c r="AB1054" s="1413">
        <f t="shared" si="176"/>
        <v>0.99917534722222223</v>
      </c>
      <c r="AC1054" s="984">
        <f>IF(OR(L1054={"改紡","檢修","了機","清車","FINAL","停機","SAMPLE","TEST"}), "", IFERROR(IF(C1054="", "", AVERAGE(L1054:M1054, P1054:Q1054, T1054:U1054, X1054:Y1054)/100), ""))</f>
        <v>83</v>
      </c>
      <c r="AD1054" s="984">
        <f t="shared" si="183"/>
        <v>6.916666666666667</v>
      </c>
      <c r="AE1054" s="984">
        <f t="shared" si="177"/>
        <v>6.875</v>
      </c>
      <c r="AF1054" s="985" t="str">
        <f t="shared" si="178"/>
        <v>T</v>
      </c>
      <c r="AG1054" s="1414">
        <v>1</v>
      </c>
      <c r="AH1054" s="1002" t="s">
        <v>16008</v>
      </c>
      <c r="AI1054" s="1002" t="s">
        <v>638</v>
      </c>
      <c r="AJ1054" s="986" t="s">
        <v>16010</v>
      </c>
      <c r="AK1054" s="986" t="s">
        <v>835</v>
      </c>
      <c r="AL1054" s="1415">
        <v>55</v>
      </c>
      <c r="AM1054" s="1323">
        <v>46166</v>
      </c>
      <c r="AN1054" s="1323">
        <v>46167</v>
      </c>
      <c r="AO1054" s="1323"/>
      <c r="AP1054" s="1323"/>
      <c r="AQ1054" s="1323"/>
      <c r="AR1054" s="987"/>
      <c r="AS1054" s="978" t="str">
        <f t="shared" si="179"/>
        <v>雙</v>
      </c>
      <c r="AT1054" s="978" t="str">
        <f t="shared" si="180"/>
        <v>全</v>
      </c>
      <c r="AU1054" s="978">
        <f t="shared" si="181"/>
        <v>150</v>
      </c>
      <c r="AV1054" s="978">
        <f t="shared" si="182"/>
        <v>6.0238080000000007</v>
      </c>
    </row>
    <row r="1055" spans="1:48">
      <c r="A1055" s="975">
        <f t="shared" si="184"/>
        <v>46169</v>
      </c>
      <c r="B1055" s="976" t="s">
        <v>238</v>
      </c>
      <c r="C1055" s="976" t="s">
        <v>16743</v>
      </c>
      <c r="D1055" s="1410"/>
      <c r="E1055" s="977" t="str">
        <f>IFERROR(VLOOKUP(C1055, [6]條件!$A:$L, 5, 0), "")</f>
        <v>150/48/2SDr</v>
      </c>
      <c r="F1055" s="978" t="str">
        <f>IFERROR(VLOOKUP(C1055, [6]條件!$A:$L, 6, 0), "")</f>
        <v>FP82169R×2</v>
      </c>
      <c r="G1055" s="1411">
        <f>IFERROR(VLOOKUP(C1055, [6]條件!$A:$L, 7, 0), "")</f>
        <v>670</v>
      </c>
      <c r="H1055" s="978" t="str">
        <f>IF(ISNA(VLOOKUP(C1055,[6]條件!$A$1:$K$932,11,0)),"",(VLOOKUP(C1055,[6]條件!$A$1:$K$932,11,0)))</f>
        <v>黃底紅點</v>
      </c>
      <c r="I1055" s="979">
        <f>IF(ISNA(VLOOKUP(C1055,[6]條件!$A$1:$L$932,12,0)),"",(VLOOKUP(C1055,[6]條件!$A$1:$L$932,12,0)))</f>
        <v>5</v>
      </c>
      <c r="J1055" s="982">
        <v>20</v>
      </c>
      <c r="K1055" s="980">
        <v>0</v>
      </c>
      <c r="L1055" s="981">
        <v>8150</v>
      </c>
      <c r="M1055" s="983"/>
      <c r="N1055" s="982">
        <v>14</v>
      </c>
      <c r="O1055" s="980">
        <v>0</v>
      </c>
      <c r="P1055" s="981">
        <v>8330</v>
      </c>
      <c r="Q1055" s="983"/>
      <c r="R1055" s="982">
        <v>5</v>
      </c>
      <c r="S1055" s="980">
        <v>0</v>
      </c>
      <c r="T1055" s="981">
        <v>8520</v>
      </c>
      <c r="U1055" s="983"/>
      <c r="V1055" s="982">
        <v>14</v>
      </c>
      <c r="W1055" s="980">
        <v>0</v>
      </c>
      <c r="X1055" s="981">
        <v>9070</v>
      </c>
      <c r="Y1055" s="983"/>
      <c r="Z1055" s="1412">
        <f>IFERROR(VLOOKUP(C1055, [6]條件!$A:$L, 3, 0), "")</f>
        <v>6.2882096069868991</v>
      </c>
      <c r="AA1055" s="984">
        <f>IF(OR(L1055={"改紡","檢修","了機","清車","FINAL","停機","SAMPLE","TEST","絲開發"}), L1055, IFERROR(IF(C1055="", "", (SUM(J1055, N1055, R1055, V1055)/3 * AG1055) * IF(AND(AF1055="S", AS1055="雙"), 0.5, 1)), ""))</f>
        <v>35.333333333333336</v>
      </c>
      <c r="AB1055" s="1413">
        <f t="shared" si="176"/>
        <v>1</v>
      </c>
      <c r="AC1055" s="984">
        <f>IF(OR(L1055={"改紡","檢修","了機","清車","FINAL","停機","SAMPLE","TEST"}), "", IFERROR(IF(C1055="", "", AVERAGE(L1055:M1055, P1055:Q1055, T1055:U1055, X1055:Y1055)/100), ""))</f>
        <v>85.174999999999997</v>
      </c>
      <c r="AD1055" s="984">
        <f t="shared" si="183"/>
        <v>4.416666666666667</v>
      </c>
      <c r="AE1055" s="984">
        <f t="shared" si="177"/>
        <v>4.416666666666667</v>
      </c>
      <c r="AF1055" s="985" t="str">
        <f t="shared" si="178"/>
        <v>T</v>
      </c>
      <c r="AG1055" s="1414">
        <v>2</v>
      </c>
      <c r="AH1055" s="1002" t="s">
        <v>15998</v>
      </c>
      <c r="AI1055" s="1002" t="s">
        <v>651</v>
      </c>
      <c r="AJ1055" s="1002" t="s">
        <v>16009</v>
      </c>
      <c r="AK1055" s="1002" t="s">
        <v>639</v>
      </c>
      <c r="AL1055" s="1415">
        <v>48</v>
      </c>
      <c r="AM1055" s="1323">
        <v>46160</v>
      </c>
      <c r="AN1055" s="1323">
        <v>46161</v>
      </c>
      <c r="AO1055" s="1323"/>
      <c r="AP1055" s="1323"/>
      <c r="AQ1055" s="1323"/>
      <c r="AR1055" s="987"/>
      <c r="AS1055" s="978" t="str">
        <f t="shared" si="179"/>
        <v>雙</v>
      </c>
      <c r="AT1055" s="978" t="str">
        <f t="shared" si="180"/>
        <v>半</v>
      </c>
      <c r="AU1055" s="978">
        <f t="shared" si="181"/>
        <v>150</v>
      </c>
      <c r="AV1055" s="978">
        <f t="shared" si="182"/>
        <v>2.9583662400000001</v>
      </c>
    </row>
    <row r="1056" spans="1:48">
      <c r="A1056" s="975">
        <f t="shared" si="184"/>
        <v>46169</v>
      </c>
      <c r="B1056" s="976" t="s">
        <v>238</v>
      </c>
      <c r="C1056" s="976" t="s">
        <v>16742</v>
      </c>
      <c r="D1056" s="1410"/>
      <c r="E1056" s="977" t="str">
        <f>IFERROR(VLOOKUP(C1056, [6]條件!$A:$L, 5, 0), "")</f>
        <v>150/48/2SDr</v>
      </c>
      <c r="F1056" s="978" t="str">
        <f>IFERROR(VLOOKUP(C1056, [6]條件!$A:$L, 6, 0), "")</f>
        <v>FP82169R×2</v>
      </c>
      <c r="G1056" s="1411">
        <f>IFERROR(VLOOKUP(C1056, [6]條件!$A:$L, 7, 0), "")</f>
        <v>670</v>
      </c>
      <c r="H1056" s="978" t="str">
        <f>IF(ISNA(VLOOKUP(C1056,[6]條件!$A$1:$K$932,11,0)),"",(VLOOKUP(C1056,[6]條件!$A$1:$K$932,11,0)))</f>
        <v>紅底藍點</v>
      </c>
      <c r="I1056" s="979">
        <f>IF(ISNA(VLOOKUP(C1056,[6]條件!$A$1:$L$932,12,0)),"",(VLOOKUP(C1056,[6]條件!$A$1:$L$932,12,0)))</f>
        <v>5</v>
      </c>
      <c r="J1056" s="982">
        <v>15</v>
      </c>
      <c r="K1056" s="980">
        <v>0</v>
      </c>
      <c r="L1056" s="981"/>
      <c r="M1056" s="983">
        <v>8240</v>
      </c>
      <c r="N1056" s="982">
        <v>12</v>
      </c>
      <c r="O1056" s="980">
        <v>0</v>
      </c>
      <c r="P1056" s="981"/>
      <c r="Q1056" s="983">
        <v>8700</v>
      </c>
      <c r="R1056" s="982">
        <v>12</v>
      </c>
      <c r="S1056" s="980">
        <v>0</v>
      </c>
      <c r="T1056" s="981"/>
      <c r="U1056" s="983">
        <v>8060</v>
      </c>
      <c r="V1056" s="982">
        <v>27</v>
      </c>
      <c r="W1056" s="980">
        <v>0</v>
      </c>
      <c r="X1056" s="981"/>
      <c r="Y1056" s="983">
        <v>9260</v>
      </c>
      <c r="Z1056" s="1412">
        <f>IFERROR(VLOOKUP(C1056, [6]條件!$A:$L, 3, 0), "")</f>
        <v>6.1802575107296125</v>
      </c>
      <c r="AA1056" s="984">
        <f>IF(OR(L1056={"改紡","檢修","了機","清車","FINAL","停機","SAMPLE","TEST","絲開發"}), L1056, IFERROR(IF(C1056="", "", (SUM(J1056, N1056, R1056, V1056)/3 * AG1056) * IF(AND(AF1056="S", AS1056="雙"), 0.5, 1)), ""))</f>
        <v>44</v>
      </c>
      <c r="AB1056" s="1413">
        <f t="shared" si="176"/>
        <v>1</v>
      </c>
      <c r="AC1056" s="984">
        <f>IF(OR(L1056={"改紡","檢修","了機","清車","FINAL","停機","SAMPLE","TEST"}), "", IFERROR(IF(C1056="", "", AVERAGE(L1056:M1056, P1056:Q1056, T1056:U1056, X1056:Y1056)/100), ""))</f>
        <v>85.65</v>
      </c>
      <c r="AD1056" s="984">
        <f t="shared" si="183"/>
        <v>5.5</v>
      </c>
      <c r="AE1056" s="984">
        <f t="shared" si="177"/>
        <v>5.5</v>
      </c>
      <c r="AF1056" s="985" t="str">
        <f t="shared" si="178"/>
        <v>T</v>
      </c>
      <c r="AG1056" s="1414">
        <v>2</v>
      </c>
      <c r="AH1056" s="1002" t="s">
        <v>15998</v>
      </c>
      <c r="AI1056" s="1002" t="s">
        <v>651</v>
      </c>
      <c r="AJ1056" s="1002" t="s">
        <v>16009</v>
      </c>
      <c r="AK1056" s="1002" t="s">
        <v>639</v>
      </c>
      <c r="AL1056" s="1415">
        <v>48</v>
      </c>
      <c r="AM1056" s="1323">
        <v>46160</v>
      </c>
      <c r="AN1056" s="1323">
        <v>46161</v>
      </c>
      <c r="AO1056" s="1323">
        <v>46162</v>
      </c>
      <c r="AP1056" s="1323"/>
      <c r="AQ1056" s="1323"/>
      <c r="AR1056" s="987"/>
      <c r="AS1056" s="978" t="str">
        <f t="shared" si="179"/>
        <v>雙</v>
      </c>
      <c r="AT1056" s="978" t="str">
        <f t="shared" si="180"/>
        <v>半</v>
      </c>
      <c r="AU1056" s="978">
        <f t="shared" si="181"/>
        <v>150</v>
      </c>
      <c r="AV1056" s="978">
        <f t="shared" si="182"/>
        <v>2.97486432</v>
      </c>
    </row>
    <row r="1057" spans="1:48">
      <c r="A1057" s="975">
        <f t="shared" si="184"/>
        <v>46169</v>
      </c>
      <c r="B1057" s="976" t="s">
        <v>239</v>
      </c>
      <c r="C1057" s="976" t="s">
        <v>16791</v>
      </c>
      <c r="D1057" s="1410"/>
      <c r="E1057" s="977" t="str">
        <f>IFERROR(VLOOKUP(C1057, [6]條件!$A:$L, 5, 0), "")</f>
        <v>75/72/2PFBR</v>
      </c>
      <c r="F1057" s="978" t="str">
        <f>IFERROR(VLOOKUP(C1057, [6]條件!$A:$L, 6, 0), "")</f>
        <v>FP01432R×2</v>
      </c>
      <c r="G1057" s="1411">
        <f>IFERROR(VLOOKUP(C1057, [6]條件!$A:$L, 7, 0), "")</f>
        <v>550</v>
      </c>
      <c r="H1057" s="978" t="str">
        <f>IF(ISNA(VLOOKUP(C1057,[6]條件!$A$1:$K$932,11,0)),"",(VLOOKUP(C1057,[6]條件!$A$1:$K$932,11,0)))</f>
        <v>紫色</v>
      </c>
      <c r="I1057" s="979">
        <f>IF(ISNA(VLOOKUP(C1057,[6]條件!$A$1:$L$932,12,0)),"",(VLOOKUP(C1057,[6]條件!$A$1:$L$932,12,0)))</f>
        <v>4</v>
      </c>
      <c r="J1057" s="982"/>
      <c r="K1057" s="980"/>
      <c r="L1057" s="981" t="s">
        <v>15999</v>
      </c>
      <c r="M1057" s="983"/>
      <c r="N1057" s="982"/>
      <c r="O1057" s="980"/>
      <c r="P1057" s="981" t="s">
        <v>15999</v>
      </c>
      <c r="Q1057" s="983"/>
      <c r="R1057" s="982"/>
      <c r="S1057" s="980"/>
      <c r="T1057" s="981" t="s">
        <v>15996</v>
      </c>
      <c r="U1057" s="983"/>
      <c r="V1057" s="982">
        <v>15</v>
      </c>
      <c r="W1057" s="980">
        <v>0</v>
      </c>
      <c r="X1057" s="981">
        <v>4910</v>
      </c>
      <c r="Y1057" s="983"/>
      <c r="Z1057" s="1412">
        <f>IFERROR(VLOOKUP(C1057, [6]條件!$A:$L, 3, 0), "")</f>
        <v>3.1578947368421053</v>
      </c>
      <c r="AA1057" s="984" t="str">
        <f>IF(OR(L1057={"改紡","檢修","了機","清車","FINAL","停機","SAMPLE","TEST","絲開發"}), L1057, IFERROR(IF(C1057="", "", (SUM(J1057, N1057, R1057, V1057)/3 * AG1057) * IF(AND(AF1057="S", AS1057="雙"), 0.5, 1)), ""))</f>
        <v>改紡</v>
      </c>
      <c r="AB1057" s="1413" t="str">
        <f t="shared" si="176"/>
        <v/>
      </c>
      <c r="AC1057" s="984" t="str">
        <f>IF(OR(L1057={"改紡","檢修","了機","清車","FINAL","停機","SAMPLE","TEST"}), "", IFERROR(IF(C1057="", "", AVERAGE(L1057:M1057, P1057:Q1057, T1057:U1057, X1057:Y1057)/100), ""))</f>
        <v/>
      </c>
      <c r="AD1057" s="984" t="str">
        <f t="shared" si="183"/>
        <v/>
      </c>
      <c r="AE1057" s="984" t="str">
        <f t="shared" si="177"/>
        <v/>
      </c>
      <c r="AF1057" s="985" t="str">
        <f t="shared" si="178"/>
        <v>T</v>
      </c>
      <c r="AG1057" s="1414">
        <v>2</v>
      </c>
      <c r="AH1057" s="1002" t="s">
        <v>15998</v>
      </c>
      <c r="AI1057" s="1002" t="s">
        <v>651</v>
      </c>
      <c r="AJ1057" s="986" t="s">
        <v>16010</v>
      </c>
      <c r="AK1057" s="986" t="s">
        <v>835</v>
      </c>
      <c r="AL1057" s="1415"/>
      <c r="AM1057" s="1323"/>
      <c r="AN1057" s="1323"/>
      <c r="AO1057" s="1323"/>
      <c r="AP1057" s="1323"/>
      <c r="AQ1057" s="1323"/>
      <c r="AR1057" s="987"/>
      <c r="AS1057" s="978" t="str">
        <f t="shared" si="179"/>
        <v>雙</v>
      </c>
      <c r="AT1057" s="978" t="str">
        <f t="shared" si="180"/>
        <v>半</v>
      </c>
      <c r="AU1057" s="978">
        <f t="shared" si="181"/>
        <v>75</v>
      </c>
      <c r="AV1057" s="978" t="str">
        <f t="shared" si="182"/>
        <v/>
      </c>
    </row>
    <row r="1058" spans="1:48">
      <c r="A1058" s="975">
        <f t="shared" si="184"/>
        <v>46169</v>
      </c>
      <c r="B1058" s="976" t="s">
        <v>239</v>
      </c>
      <c r="C1058" s="976" t="s">
        <v>16787</v>
      </c>
      <c r="D1058" s="1410" t="s">
        <v>16788</v>
      </c>
      <c r="E1058" s="977" t="str">
        <f>IFERROR(VLOOKUP(C1058, [6]條件!$A:$L, 5, 0), "")</f>
        <v>150/48/2SDR</v>
      </c>
      <c r="F1058" s="978" t="str">
        <f>IFERROR(VLOOKUP(C1058, [6]條件!$A:$L, 6, 0), "")</f>
        <v>FP82169R×2</v>
      </c>
      <c r="G1058" s="1411">
        <f>IFERROR(VLOOKUP(C1058, [6]條件!$A:$L, 7, 0), "")</f>
        <v>650</v>
      </c>
      <c r="H1058" s="978" t="str">
        <f>IF(ISNA(VLOOKUP(C1058,[6]條件!$A$1:$K$932,11,0)),"",(VLOOKUP(C1058,[6]條件!$A$1:$K$932,11,0)))</f>
        <v>紫黃條紋</v>
      </c>
      <c r="I1058" s="979">
        <f>IF(ISNA(VLOOKUP(C1058,[6]條件!$A$1:$L$932,12,0)),"",(VLOOKUP(C1058,[6]條件!$A$1:$L$932,12,0)))</f>
        <v>5</v>
      </c>
      <c r="J1058" s="982">
        <v>14</v>
      </c>
      <c r="K1058" s="980">
        <v>0</v>
      </c>
      <c r="L1058" s="981"/>
      <c r="M1058" s="983">
        <v>8330</v>
      </c>
      <c r="N1058" s="982">
        <v>11</v>
      </c>
      <c r="O1058" s="980">
        <v>0</v>
      </c>
      <c r="P1058" s="981"/>
      <c r="Q1058" s="983">
        <v>8150</v>
      </c>
      <c r="R1058" s="982">
        <v>12</v>
      </c>
      <c r="S1058" s="980">
        <v>0</v>
      </c>
      <c r="T1058" s="981"/>
      <c r="U1058" s="983">
        <v>6670</v>
      </c>
      <c r="V1058" s="982">
        <v>27</v>
      </c>
      <c r="W1058" s="980">
        <v>0</v>
      </c>
      <c r="X1058" s="981"/>
      <c r="Y1058" s="983">
        <v>8980</v>
      </c>
      <c r="Z1058" s="1412">
        <f>IFERROR(VLOOKUP(C1058, [6]條件!$A:$L, 3, 0), "")</f>
        <v>6.101694915254237</v>
      </c>
      <c r="AA1058" s="984">
        <f>IF(OR(L1058={"改紡","檢修","了機","清車","FINAL","停機","SAMPLE","TEST","絲開發"}), L1058, IFERROR(IF(C1058="", "", (SUM(J1058, N1058, R1058, V1058)/3 * AG1058) * IF(AND(AF1058="S", AS1058="雙"), 0.5, 1)), ""))</f>
        <v>42.666666666666664</v>
      </c>
      <c r="AB1058" s="1413">
        <f t="shared" si="176"/>
        <v>1</v>
      </c>
      <c r="AC1058" s="984">
        <f>IF(OR(L1058={"改紡","檢修","了機","清車","FINAL","停機","SAMPLE","TEST"}), "", IFERROR(IF(C1058="", "", AVERAGE(L1058:M1058, P1058:Q1058, T1058:U1058, X1058:Y1058)/100), ""))</f>
        <v>80.325000000000003</v>
      </c>
      <c r="AD1058" s="984">
        <f t="shared" si="183"/>
        <v>5.333333333333333</v>
      </c>
      <c r="AE1058" s="984">
        <f t="shared" si="177"/>
        <v>5.333333333333333</v>
      </c>
      <c r="AF1058" s="985" t="str">
        <f t="shared" si="178"/>
        <v>T</v>
      </c>
      <c r="AG1058" s="1414">
        <v>2</v>
      </c>
      <c r="AH1058" s="1002" t="s">
        <v>15998</v>
      </c>
      <c r="AI1058" s="1002" t="s">
        <v>651</v>
      </c>
      <c r="AJ1058" s="986" t="s">
        <v>16010</v>
      </c>
      <c r="AK1058" s="986" t="s">
        <v>835</v>
      </c>
      <c r="AL1058" s="1415">
        <v>48</v>
      </c>
      <c r="AM1058" s="1323">
        <v>46159</v>
      </c>
      <c r="AN1058" s="1323">
        <v>46160</v>
      </c>
      <c r="AO1058" s="1323">
        <v>46161</v>
      </c>
      <c r="AP1058" s="1323">
        <v>46162</v>
      </c>
      <c r="AQ1058" s="1323"/>
      <c r="AR1058" s="987"/>
      <c r="AS1058" s="978" t="str">
        <f t="shared" si="179"/>
        <v>雙</v>
      </c>
      <c r="AT1058" s="978" t="str">
        <f t="shared" si="180"/>
        <v>半</v>
      </c>
      <c r="AU1058" s="978">
        <f t="shared" si="181"/>
        <v>150</v>
      </c>
      <c r="AV1058" s="978">
        <f t="shared" si="182"/>
        <v>2.7066311999999999</v>
      </c>
    </row>
    <row r="1059" spans="1:48">
      <c r="A1059" s="975">
        <f t="shared" si="184"/>
        <v>46169</v>
      </c>
      <c r="B1059" s="976" t="s">
        <v>388</v>
      </c>
      <c r="C1059" s="976" t="s">
        <v>16775</v>
      </c>
      <c r="D1059" s="1410" t="s">
        <v>633</v>
      </c>
      <c r="E1059" s="977" t="str">
        <f>IFERROR(VLOOKUP(C1059, [6]條件!$A:$L, 5, 0), "")</f>
        <v>150/48/2SDr</v>
      </c>
      <c r="F1059" s="978" t="str">
        <f>IFERROR(VLOOKUP(C1059, [6]條件!$A:$L, 6, 0), "")</f>
        <v>FP82173R×2</v>
      </c>
      <c r="G1059" s="1411">
        <f>IFERROR(VLOOKUP(C1059, [6]條件!$A:$L, 7, 0), "")</f>
        <v>700</v>
      </c>
      <c r="H1059" s="978" t="str">
        <f>IF(ISNA(VLOOKUP(C1059,[6]條件!$A$1:$K$932,11,0)),"",(VLOOKUP(C1059,[6]條件!$A$1:$K$932,11,0)))</f>
        <v>黃紅雙色</v>
      </c>
      <c r="I1059" s="979">
        <f>IF(ISNA(VLOOKUP(C1059,[6]條件!$A$1:$L$932,12,0)),"",(VLOOKUP(C1059,[6]條件!$A$1:$L$932,12,0)))</f>
        <v>5.5</v>
      </c>
      <c r="J1059" s="982">
        <v>45</v>
      </c>
      <c r="K1059" s="980">
        <v>0</v>
      </c>
      <c r="L1059" s="981">
        <v>8060</v>
      </c>
      <c r="M1059" s="983">
        <v>8700</v>
      </c>
      <c r="N1059" s="982">
        <v>22</v>
      </c>
      <c r="O1059" s="980">
        <v>0</v>
      </c>
      <c r="P1059" s="981">
        <v>7500</v>
      </c>
      <c r="Q1059" s="983">
        <v>10000</v>
      </c>
      <c r="R1059" s="982">
        <v>19</v>
      </c>
      <c r="S1059" s="980">
        <v>1</v>
      </c>
      <c r="T1059" s="981">
        <v>8240</v>
      </c>
      <c r="U1059" s="983">
        <v>9440</v>
      </c>
      <c r="V1059" s="982">
        <v>23</v>
      </c>
      <c r="W1059" s="980">
        <v>0</v>
      </c>
      <c r="X1059" s="981">
        <v>7960</v>
      </c>
      <c r="Y1059" s="983">
        <v>9630</v>
      </c>
      <c r="Z1059" s="1412">
        <f>IFERROR(VLOOKUP(C1059, [6]條件!$A:$L, 3, 0), "")</f>
        <v>5.8536585365853666</v>
      </c>
      <c r="AA1059" s="984">
        <f>IF(OR(L1059={"改紡","檢修","了機","清車","FINAL","停機","SAMPLE","TEST","絲開發"}), L1059, IFERROR(IF(C1059="", "", (SUM(J1059, N1059, R1059, V1059)/3 * AG1059) * IF(AND(AF1059="S", AS1059="雙"), 0.5, 1)), ""))</f>
        <v>36.333333333333336</v>
      </c>
      <c r="AB1059" s="1413">
        <f t="shared" si="176"/>
        <v>0.99917868589743586</v>
      </c>
      <c r="AC1059" s="984">
        <f>IF(OR(L1059={"改紡","檢修","了機","清車","FINAL","停機","SAMPLE","TEST"}), "", IFERROR(IF(C1059="", "", AVERAGE(L1059:M1059, P1059:Q1059, T1059:U1059, X1059:Y1059)/100), ""))</f>
        <v>86.912499999999994</v>
      </c>
      <c r="AD1059" s="984">
        <f t="shared" si="183"/>
        <v>4.541666666666667</v>
      </c>
      <c r="AE1059" s="984">
        <f t="shared" si="177"/>
        <v>4.5</v>
      </c>
      <c r="AF1059" s="985" t="str">
        <f t="shared" si="178"/>
        <v>T</v>
      </c>
      <c r="AG1059" s="1414">
        <v>1</v>
      </c>
      <c r="AH1059" s="1002" t="s">
        <v>16008</v>
      </c>
      <c r="AI1059" s="1002" t="s">
        <v>638</v>
      </c>
      <c r="AJ1059" s="1002" t="s">
        <v>16009</v>
      </c>
      <c r="AK1059" s="1002" t="s">
        <v>639</v>
      </c>
      <c r="AL1059" s="1415">
        <v>56</v>
      </c>
      <c r="AM1059" s="1323">
        <v>46166</v>
      </c>
      <c r="AN1059" s="1323">
        <v>46167</v>
      </c>
      <c r="AO1059" s="1323">
        <v>46168</v>
      </c>
      <c r="AP1059" s="1323"/>
      <c r="AQ1059" s="1323"/>
      <c r="AR1059" s="987"/>
      <c r="AS1059" s="978" t="str">
        <f t="shared" si="179"/>
        <v>雙</v>
      </c>
      <c r="AT1059" s="978" t="str">
        <f t="shared" si="180"/>
        <v>全</v>
      </c>
      <c r="AU1059" s="978">
        <f t="shared" si="181"/>
        <v>150</v>
      </c>
      <c r="AV1059" s="978">
        <f t="shared" si="182"/>
        <v>6.307761600000001</v>
      </c>
    </row>
    <row r="1060" spans="1:48">
      <c r="A1060" s="975">
        <f t="shared" si="184"/>
        <v>46169</v>
      </c>
      <c r="B1060" s="976" t="s">
        <v>417</v>
      </c>
      <c r="C1060" s="976" t="s">
        <v>16767</v>
      </c>
      <c r="D1060" s="1410" t="s">
        <v>633</v>
      </c>
      <c r="E1060" s="977" t="str">
        <f>IFERROR(VLOOKUP(C1060, [6]條件!$A:$L, 5, 0), "")</f>
        <v>150/48/2SDr</v>
      </c>
      <c r="F1060" s="978" t="str">
        <f>IFERROR(VLOOKUP(C1060, [6]條件!$A:$L, 6, 0), "")</f>
        <v>FP82173R×2</v>
      </c>
      <c r="G1060" s="1411">
        <f>IFERROR(VLOOKUP(C1060, [6]條件!$A:$L, 7, 0), "")</f>
        <v>700</v>
      </c>
      <c r="H1060" s="978" t="str">
        <f>IF(ISNA(VLOOKUP(C1060,[6]條件!$A$1:$K$932,11,0)),"",(VLOOKUP(C1060,[6]條件!$A$1:$K$932,11,0)))</f>
        <v>棕色</v>
      </c>
      <c r="I1060" s="979">
        <f>IF(ISNA(VLOOKUP(C1060,[6]條件!$A$1:$L$932,12,0)),"",(VLOOKUP(C1060,[6]條件!$A$1:$L$932,12,0)))</f>
        <v>5.5</v>
      </c>
      <c r="J1060" s="982">
        <v>33</v>
      </c>
      <c r="K1060" s="980">
        <v>0</v>
      </c>
      <c r="L1060" s="981">
        <v>9440</v>
      </c>
      <c r="M1060" s="983">
        <v>9540</v>
      </c>
      <c r="N1060" s="982">
        <v>6</v>
      </c>
      <c r="O1060" s="980">
        <v>0</v>
      </c>
      <c r="P1060" s="981">
        <v>9630</v>
      </c>
      <c r="Q1060" s="983">
        <v>8800</v>
      </c>
      <c r="R1060" s="982">
        <v>0</v>
      </c>
      <c r="S1060" s="980">
        <v>0</v>
      </c>
      <c r="T1060" s="981">
        <v>9400</v>
      </c>
      <c r="U1060" s="983">
        <v>7600</v>
      </c>
      <c r="V1060" s="982">
        <v>39</v>
      </c>
      <c r="W1060" s="980">
        <v>0</v>
      </c>
      <c r="X1060" s="981">
        <v>9490</v>
      </c>
      <c r="Y1060" s="983">
        <v>9260</v>
      </c>
      <c r="Z1060" s="1412">
        <f>IFERROR(VLOOKUP(C1060, [6]條件!$A:$L, 3, 0), "")</f>
        <v>5.8536585365853666</v>
      </c>
      <c r="AA1060" s="984">
        <f>IF(OR(L1060={"改紡","檢修","了機","清車","FINAL","停機","SAMPLE","TEST","絲開發"}), L1060, IFERROR(IF(C1060="", "", (SUM(J1060, N1060, R1060, V1060)/3 * AG1060) * IF(AND(AF1060="S", AS1060="雙"), 0.5, 1)), ""))</f>
        <v>26</v>
      </c>
      <c r="AB1060" s="1413">
        <f t="shared" si="176"/>
        <v>1</v>
      </c>
      <c r="AC1060" s="984">
        <f>IF(OR(L1060={"改紡","檢修","了機","清車","FINAL","停機","SAMPLE","TEST"}), "", IFERROR(IF(C1060="", "", AVERAGE(L1060:M1060, P1060:Q1060, T1060:U1060, X1060:Y1060)/100), ""))</f>
        <v>91.45</v>
      </c>
      <c r="AD1060" s="984">
        <f t="shared" si="183"/>
        <v>3.25</v>
      </c>
      <c r="AE1060" s="984">
        <f t="shared" si="177"/>
        <v>3.25</v>
      </c>
      <c r="AF1060" s="985" t="str">
        <f t="shared" si="178"/>
        <v>T</v>
      </c>
      <c r="AG1060" s="1414">
        <v>1</v>
      </c>
      <c r="AH1060" s="1002" t="s">
        <v>16008</v>
      </c>
      <c r="AI1060" s="1002" t="s">
        <v>638</v>
      </c>
      <c r="AJ1060" s="986" t="s">
        <v>16010</v>
      </c>
      <c r="AK1060" s="986" t="s">
        <v>835</v>
      </c>
      <c r="AL1060" s="1415">
        <v>56</v>
      </c>
      <c r="AM1060" s="1323">
        <v>46167</v>
      </c>
      <c r="AN1060" s="1323"/>
      <c r="AO1060" s="1323"/>
      <c r="AP1060" s="1323"/>
      <c r="AQ1060" s="1323"/>
      <c r="AR1060" s="987"/>
      <c r="AS1060" s="978" t="str">
        <f t="shared" si="179"/>
        <v>雙</v>
      </c>
      <c r="AT1060" s="978" t="str">
        <f t="shared" si="180"/>
        <v>全</v>
      </c>
      <c r="AU1060" s="978">
        <f t="shared" si="181"/>
        <v>150</v>
      </c>
      <c r="AV1060" s="978">
        <f t="shared" si="182"/>
        <v>6.6370752</v>
      </c>
    </row>
    <row r="1061" spans="1:48">
      <c r="A1061" s="975">
        <f t="shared" si="184"/>
        <v>46169</v>
      </c>
      <c r="B1061" s="976" t="s">
        <v>240</v>
      </c>
      <c r="C1061" s="976" t="s">
        <v>16777</v>
      </c>
      <c r="D1061" s="1410"/>
      <c r="E1061" s="977" t="str">
        <f>IFERROR(VLOOKUP(C1061, [6]條件!$A:$L, 5, 0), "")</f>
        <v>75/72/2SDFFR</v>
      </c>
      <c r="F1061" s="978" t="str">
        <f>IFERROR(VLOOKUP(C1061, [6]條件!$A:$L, 6, 0), "")</f>
        <v>FP81209R×2</v>
      </c>
      <c r="G1061" s="1411">
        <f>IFERROR(VLOOKUP(C1061, [6]條件!$A:$L, 7, 0), "")</f>
        <v>600</v>
      </c>
      <c r="H1061" s="978" t="str">
        <f>IF(ISNA(VLOOKUP(C1061,[6]條件!$A$1:$K$932,11,0)),"",(VLOOKUP(C1061,[6]條件!$A$1:$K$932,11,0)))</f>
        <v>白底紅十字</v>
      </c>
      <c r="I1061" s="979">
        <f>IF(ISNA(VLOOKUP(C1061,[6]條件!$A$1:$L$932,12,0)),"",(VLOOKUP(C1061,[6]條件!$A$1:$L$932,12,0)))</f>
        <v>5</v>
      </c>
      <c r="J1061" s="982"/>
      <c r="K1061" s="980"/>
      <c r="L1061" s="981" t="s">
        <v>16017</v>
      </c>
      <c r="M1061" s="983"/>
      <c r="N1061" s="982"/>
      <c r="O1061" s="980"/>
      <c r="P1061" s="981" t="s">
        <v>16004</v>
      </c>
      <c r="Q1061" s="983"/>
      <c r="R1061" s="982"/>
      <c r="S1061" s="980"/>
      <c r="T1061" s="981" t="s">
        <v>16018</v>
      </c>
      <c r="U1061" s="983"/>
      <c r="V1061" s="982">
        <v>12</v>
      </c>
      <c r="W1061" s="980">
        <v>0</v>
      </c>
      <c r="X1061" s="981">
        <v>4624</v>
      </c>
      <c r="Y1061" s="983"/>
      <c r="Z1061" s="1422">
        <f>IFERROR(VLOOKUP(C1061, [6]條件!$A:$L, 3, 0), "")</f>
        <v>2.7852998065764023</v>
      </c>
      <c r="AA1061" s="1167" t="str">
        <f>IF(OR(L1061={"改紡","檢修","了機","清車","FINAL","停機","SAMPLE","TEST","絲開發"}), L1061, IFERROR(IF(C1061="", "", (SUM(J1061, N1061, R1061, V1061)/3 * AG1061) * IF(AND(AF1061="S", AS1061="雙"), 0.5, 1)), ""))</f>
        <v>清車</v>
      </c>
      <c r="AB1061" s="1423" t="str">
        <f>IF(K1061="","",IF(ISERROR(1-((SUM(K1061,O1061,S1061,W1061)/((AG1061*12)-(AG1061*0.44)))/Z1061)),"",(1-((SUM(K1061,O1061,S1061,W1061)/((AG1061*12)-(AG1061*0.44)))/Z1061))))</f>
        <v/>
      </c>
      <c r="AC1061" s="1167" t="str">
        <f>IF(OR(L1061={"改紡","檢修","了機","清車","FINAL","停機","SAMPLE","TEST"}), "", IFERROR(IF(C1061="", "", AVERAGE(L1061:M1061, P1061:Q1061, T1061:U1061, X1061:Y1061)/100), ""))</f>
        <v/>
      </c>
      <c r="AD1061" s="1167" t="str">
        <f t="shared" si="183"/>
        <v/>
      </c>
      <c r="AE1061" s="1167" t="str">
        <f>IF(P1061="了機","",IF(J1061="","",IF(ISERROR((SUM(J1061,N1061,R1061,V1061)-SUM(K1061,O1061,S1061,W1061))/24),"",((SUM(J1061,N1061,R1061,V1061)-SUM(K1061,O1061,S1061,W1061))/24))))</f>
        <v/>
      </c>
      <c r="AF1061" s="1168" t="str">
        <f t="shared" si="178"/>
        <v>S</v>
      </c>
      <c r="AG1061" s="1424">
        <v>3</v>
      </c>
      <c r="AH1061" s="1002" t="s">
        <v>16005</v>
      </c>
      <c r="AI1061" s="1002" t="s">
        <v>635</v>
      </c>
      <c r="AJ1061" s="986" t="s">
        <v>16019</v>
      </c>
      <c r="AK1061" s="986" t="s">
        <v>815</v>
      </c>
      <c r="AL1061" s="1415">
        <v>50</v>
      </c>
      <c r="AM1061" s="1323">
        <v>46087</v>
      </c>
      <c r="AN1061" s="1323">
        <v>46088</v>
      </c>
      <c r="AO1061" s="1323"/>
      <c r="AP1061" s="1323"/>
      <c r="AQ1061" s="1323"/>
      <c r="AR1061" s="987"/>
      <c r="AS1061" s="978" t="str">
        <f t="shared" si="179"/>
        <v>雙</v>
      </c>
      <c r="AT1061" s="978" t="str">
        <f t="shared" si="180"/>
        <v>3sec</v>
      </c>
      <c r="AU1061" s="978">
        <f t="shared" si="181"/>
        <v>75</v>
      </c>
      <c r="AV1061" s="978" t="str">
        <f t="shared" si="182"/>
        <v/>
      </c>
    </row>
    <row r="1062" spans="1:48">
      <c r="A1062" s="975">
        <f t="shared" si="184"/>
        <v>46169</v>
      </c>
      <c r="B1062" s="976" t="s">
        <v>242</v>
      </c>
      <c r="C1062" s="976" t="s">
        <v>385</v>
      </c>
      <c r="D1062" s="1410"/>
      <c r="E1062" s="977" t="str">
        <f>IFERROR(VLOOKUP(C1062, [6]條件!$A:$L, 5, 0), "")</f>
        <v/>
      </c>
      <c r="F1062" s="978" t="str">
        <f>IFERROR(VLOOKUP(C1062, [6]條件!$A:$L, 6, 0), "")</f>
        <v/>
      </c>
      <c r="G1062" s="1411" t="str">
        <f>IFERROR(VLOOKUP(C1062, [6]條件!$A:$L, 7, 0), "")</f>
        <v/>
      </c>
      <c r="H1062" s="978" t="str">
        <f>IF(ISNA(VLOOKUP(C1062,[6]條件!$A$1:$K$932,11,0)),"",(VLOOKUP(C1062,[6]條件!$A$1:$K$932,11,0)))</f>
        <v/>
      </c>
      <c r="I1062" s="979" t="str">
        <f>IF(ISNA(VLOOKUP(C1062,[6]條件!$A$1:$L$932,12,0)),"",(VLOOKUP(C1062,[6]條件!$A$1:$L$932,12,0)))</f>
        <v/>
      </c>
      <c r="J1062" s="982"/>
      <c r="K1062" s="980"/>
      <c r="L1062" s="981" t="s">
        <v>385</v>
      </c>
      <c r="M1062" s="983"/>
      <c r="N1062" s="982"/>
      <c r="O1062" s="980"/>
      <c r="P1062" s="981" t="s">
        <v>385</v>
      </c>
      <c r="Q1062" s="983"/>
      <c r="R1062" s="982"/>
      <c r="S1062" s="980"/>
      <c r="T1062" s="981" t="s">
        <v>385</v>
      </c>
      <c r="U1062" s="983"/>
      <c r="V1062" s="982"/>
      <c r="W1062" s="980"/>
      <c r="X1062" s="981" t="s">
        <v>385</v>
      </c>
      <c r="Y1062" s="983"/>
      <c r="Z1062" s="1422" t="str">
        <f>IFERROR(VLOOKUP(C1062, [6]條件!$A:$L, 3, 0), "")</f>
        <v/>
      </c>
      <c r="AA1062" s="1167" t="str">
        <f>IF(OR(L1062={"改紡","檢修","了機","清車","FINAL","停機","SAMPLE","TEST","絲開發"}), L1062, IFERROR(IF(C1062="", "", (SUM(J1062, N1062, R1062, V1062)/3 * AG1062) * IF(AND(AF1062="S", AS1062="雙"), 0.5, 1)), ""))</f>
        <v>絲開發</v>
      </c>
      <c r="AB1062" s="1423" t="str">
        <f>IF(K1062="","",IF(ISERROR(1-((SUM(K1062,O1062,S1062,W1062)/((AG1062*12)-(AG1062*0.44)))/Z1062)),"",(1-((SUM(K1062,O1062,S1062,W1062)/((AG1062*12)-(AG1062*0.44)))/Z1062))))</f>
        <v/>
      </c>
      <c r="AC1062" s="1167" t="str">
        <f>IF(OR(L1062={"改紡","檢修","了機","清車","FINAL","停機","SAMPLE","TEST"}), "", IFERROR(IF(C1062="", "", AVERAGE(L1062:M1062, P1062:Q1062, T1062:U1062, X1062:Y1062)/100), ""))</f>
        <v/>
      </c>
      <c r="AD1062" s="1167" t="str">
        <f t="shared" si="183"/>
        <v/>
      </c>
      <c r="AE1062" s="1167" t="str">
        <f>IF(P1062="了機","",IF(J1062="","",IF(ISERROR((SUM(J1062,N1062,R1062,V1062)-SUM(K1062,O1062,S1062,W1062))/24),"",((SUM(J1062,N1062,R1062,V1062)-SUM(K1062,O1062,S1062,W1062))/24))))</f>
        <v/>
      </c>
      <c r="AF1062" s="1168" t="str">
        <f t="shared" si="178"/>
        <v>S</v>
      </c>
      <c r="AG1062" s="1424">
        <v>5</v>
      </c>
      <c r="AH1062" s="1002" t="s">
        <v>16005</v>
      </c>
      <c r="AI1062" s="1002" t="s">
        <v>635</v>
      </c>
      <c r="AJ1062" s="986" t="s">
        <v>16019</v>
      </c>
      <c r="AK1062" s="986" t="s">
        <v>815</v>
      </c>
      <c r="AL1062" s="1415"/>
      <c r="AM1062" s="1323"/>
      <c r="AN1062" s="1323"/>
      <c r="AO1062" s="1323"/>
      <c r="AP1062" s="1323"/>
      <c r="AQ1062" s="1323"/>
      <c r="AR1062" s="987"/>
      <c r="AS1062" s="978" t="str">
        <f t="shared" si="179"/>
        <v>單</v>
      </c>
      <c r="AT1062" s="978" t="str">
        <f t="shared" si="180"/>
        <v>5sec</v>
      </c>
      <c r="AU1062" s="978" t="str">
        <f t="shared" si="181"/>
        <v/>
      </c>
      <c r="AV1062" s="978" t="str">
        <f t="shared" si="182"/>
        <v/>
      </c>
    </row>
    <row r="1063" spans="1:48">
      <c r="A1063" s="975">
        <f t="shared" si="184"/>
        <v>46169</v>
      </c>
      <c r="B1063" s="976" t="s">
        <v>16078</v>
      </c>
      <c r="C1063" s="988" t="s">
        <v>16185</v>
      </c>
      <c r="D1063" s="1410"/>
      <c r="E1063" s="977" t="str">
        <f>IFERROR(VLOOKUP(C1063, [6]條件!$A:$L, 5, 0), "")</f>
        <v/>
      </c>
      <c r="F1063" s="978" t="str">
        <f>IFERROR(VLOOKUP(C1063, [6]條件!$A:$L, 6, 0), "")</f>
        <v/>
      </c>
      <c r="G1063" s="1411" t="str">
        <f>IFERROR(VLOOKUP(C1063, [6]條件!$A:$L, 7, 0), "")</f>
        <v/>
      </c>
      <c r="H1063" s="978" t="str">
        <f>IF(ISNA(VLOOKUP(C1063,[6]條件!$A$1:$K$932,11,0)),"",(VLOOKUP(C1063,[6]條件!$A$1:$K$932,11,0)))</f>
        <v/>
      </c>
      <c r="I1063" s="979" t="str">
        <f>IF(ISNA(VLOOKUP(C1063,[6]條件!$A$1:$L$932,12,0)),"",(VLOOKUP(C1063,[6]條件!$A$1:$L$932,12,0)))</f>
        <v/>
      </c>
      <c r="J1063" s="982"/>
      <c r="K1063" s="980"/>
      <c r="L1063" s="981" t="s">
        <v>632</v>
      </c>
      <c r="M1063" s="983"/>
      <c r="N1063" s="982"/>
      <c r="O1063" s="980"/>
      <c r="P1063" s="981" t="s">
        <v>632</v>
      </c>
      <c r="Q1063" s="983"/>
      <c r="R1063" s="982"/>
      <c r="S1063" s="980"/>
      <c r="T1063" s="981" t="s">
        <v>632</v>
      </c>
      <c r="U1063" s="983"/>
      <c r="V1063" s="982"/>
      <c r="W1063" s="980"/>
      <c r="X1063" s="981" t="s">
        <v>632</v>
      </c>
      <c r="Y1063" s="983"/>
      <c r="Z1063" s="1412" t="str">
        <f>IFERROR(VLOOKUP(C1063, [6]條件!$A:$L, 3, 0), "")</f>
        <v/>
      </c>
      <c r="AA1063" s="984" t="str">
        <f>IF(OR(L1063={"改紡","檢修","了機","清車","FINAL","停機","SAMPLE","TEST","絲開發"}), L1063, IFERROR(IF(C1063="", "", (SUM(J1063, N1063, R1063, V1063)/3 * AG1063) * IF(AND(AF1063="S", AS1063="雙"), 0.5, 1)), ""))</f>
        <v>停機</v>
      </c>
      <c r="AB1063" s="1413" t="str">
        <f t="shared" ref="AB1063:AB1099" si="185">IF(K1063="","",IF(ISERROR(1-(SUM(K1063,O1063,S1063,W1063)/208/Z1063)),"",(1-(SUM(K1063,O1063,S1063,W1063)/208/Z1063))))</f>
        <v/>
      </c>
      <c r="AC1063" s="984" t="str">
        <f>IF(OR(L1063={"改紡","檢修","了機","清車","FINAL","停機","SAMPLE","TEST"}), "", IFERROR(IF(C1063="", "", AVERAGE(L1063:M1063, P1063:Q1063, T1063:U1063, X1063:Y1063)/100), ""))</f>
        <v/>
      </c>
      <c r="AD1063" s="984" t="str">
        <f t="shared" si="183"/>
        <v/>
      </c>
      <c r="AE1063" s="984" t="str">
        <f>IF(OR(L1063="改紡", L1063="檢修", L1063="了機"), "",
   IF(AND(C1063&lt;&gt;"", J1063&lt;&gt;""),
      IFERROR((SUM(J1063, N1063, R1063, V1063) - SUM(K1063, O1063, S1063, W1063))/24 * AG1063, ""),
   "")
)</f>
        <v/>
      </c>
      <c r="AF1063" s="985" t="str">
        <f t="shared" si="178"/>
        <v>M</v>
      </c>
      <c r="AG1063" s="1414">
        <v>1</v>
      </c>
      <c r="AH1063" s="1002" t="s">
        <v>640</v>
      </c>
      <c r="AI1063" s="1002" t="s">
        <v>640</v>
      </c>
      <c r="AJ1063" s="986" t="s">
        <v>640</v>
      </c>
      <c r="AK1063" s="986" t="s">
        <v>640</v>
      </c>
      <c r="AL1063" s="1415"/>
      <c r="AM1063" s="1323"/>
      <c r="AN1063" s="1323"/>
      <c r="AO1063" s="1323"/>
      <c r="AP1063" s="1323"/>
      <c r="AQ1063" s="1323"/>
      <c r="AR1063" s="987"/>
      <c r="AS1063" s="978" t="str">
        <f t="shared" si="179"/>
        <v>單</v>
      </c>
      <c r="AT1063" s="978" t="str">
        <f t="shared" si="180"/>
        <v>全</v>
      </c>
      <c r="AU1063" s="978" t="str">
        <f t="shared" si="181"/>
        <v/>
      </c>
      <c r="AV1063" s="978" t="str">
        <f t="shared" si="182"/>
        <v/>
      </c>
    </row>
    <row r="1064" spans="1:48">
      <c r="A1064" s="975">
        <f t="shared" si="184"/>
        <v>46169</v>
      </c>
      <c r="B1064" s="976" t="s">
        <v>243</v>
      </c>
      <c r="C1064" s="988" t="s">
        <v>16185</v>
      </c>
      <c r="D1064" s="1410"/>
      <c r="E1064" s="977" t="str">
        <f>IFERROR(VLOOKUP(C1064, [6]條件!$A:$L, 5, 0), "")</f>
        <v/>
      </c>
      <c r="F1064" s="978" t="str">
        <f>IFERROR(VLOOKUP(C1064, [6]條件!$A:$L, 6, 0), "")</f>
        <v/>
      </c>
      <c r="G1064" s="1411" t="str">
        <f>IFERROR(VLOOKUP(C1064, [6]條件!$A:$L, 7, 0), "")</f>
        <v/>
      </c>
      <c r="H1064" s="978" t="str">
        <f>IF(ISNA(VLOOKUP(C1064,[6]條件!$A$1:$K$932,11,0)),"",(VLOOKUP(C1064,[6]條件!$A$1:$K$932,11,0)))</f>
        <v/>
      </c>
      <c r="I1064" s="979" t="str">
        <f>IF(ISNA(VLOOKUP(C1064,[6]條件!$A$1:$L$932,12,0)),"",(VLOOKUP(C1064,[6]條件!$A$1:$L$932,12,0)))</f>
        <v/>
      </c>
      <c r="J1064" s="982"/>
      <c r="K1064" s="980"/>
      <c r="L1064" s="981" t="s">
        <v>632</v>
      </c>
      <c r="M1064" s="983"/>
      <c r="N1064" s="982"/>
      <c r="O1064" s="980"/>
      <c r="P1064" s="981" t="s">
        <v>632</v>
      </c>
      <c r="Q1064" s="983"/>
      <c r="R1064" s="982"/>
      <c r="S1064" s="980"/>
      <c r="T1064" s="981" t="s">
        <v>632</v>
      </c>
      <c r="U1064" s="983"/>
      <c r="V1064" s="982"/>
      <c r="W1064" s="980"/>
      <c r="X1064" s="981" t="s">
        <v>632</v>
      </c>
      <c r="Y1064" s="983"/>
      <c r="Z1064" s="1412" t="str">
        <f>IFERROR(VLOOKUP(C1064, [6]條件!$A:$L, 3, 0), "")</f>
        <v/>
      </c>
      <c r="AA1064" s="984" t="str">
        <f>IF(OR(L1064={"改紡","檢修","了機","清車","FINAL","停機","SAMPLE","TEST","絲開發"}), L1064, IFERROR(IF(C1064="", "", (SUM(J1064, N1064, R1064, V1064)/3 * AG1064) * IF(AND(AF1064="S", AS1064="雙"), 0.5, 1)), ""))</f>
        <v>停機</v>
      </c>
      <c r="AB1064" s="1413" t="str">
        <f t="shared" si="185"/>
        <v/>
      </c>
      <c r="AC1064" s="984" t="str">
        <f>IF(OR(L1064={"改紡","檢修","了機","清車","FINAL","停機","SAMPLE","TEST"}), "", IFERROR(IF(C1064="", "", AVERAGE(L1064:M1064, P1064:Q1064, T1064:U1064, X1064:Y1064)/100), ""))</f>
        <v/>
      </c>
      <c r="AD1064" s="984" t="str">
        <f t="shared" si="183"/>
        <v/>
      </c>
      <c r="AE1064" s="984" t="str">
        <f t="shared" ref="AE1064:AE1099" si="186">IF(OR(L1064="改紡", L1064="檢修", L1064="了機"), "",
IF(AND(C1064&lt;&gt;"", J1064&lt;&gt;""),
IFERROR((SUM(J1064, N1064, R1064, V1064) - SUM(K1064, O1064, S1064, W1064))/24 * AG1064, ""),
"")
)</f>
        <v/>
      </c>
      <c r="AF1064" s="985" t="str">
        <f t="shared" si="178"/>
        <v>M</v>
      </c>
      <c r="AG1064" s="1414">
        <v>1</v>
      </c>
      <c r="AH1064" s="1002" t="s">
        <v>640</v>
      </c>
      <c r="AI1064" s="1002" t="s">
        <v>640</v>
      </c>
      <c r="AJ1064" s="986" t="s">
        <v>640</v>
      </c>
      <c r="AK1064" s="986" t="s">
        <v>640</v>
      </c>
      <c r="AL1064" s="1415"/>
      <c r="AM1064" s="1323"/>
      <c r="AN1064" s="1323"/>
      <c r="AO1064" s="1323"/>
      <c r="AP1064" s="1323"/>
      <c r="AQ1064" s="1323"/>
      <c r="AR1064" s="987"/>
      <c r="AS1064" s="978" t="str">
        <f t="shared" si="179"/>
        <v>單</v>
      </c>
      <c r="AT1064" s="978" t="str">
        <f t="shared" si="180"/>
        <v>全</v>
      </c>
      <c r="AU1064" s="978" t="str">
        <f t="shared" si="181"/>
        <v/>
      </c>
      <c r="AV1064" s="978" t="str">
        <f t="shared" si="182"/>
        <v/>
      </c>
    </row>
    <row r="1065" spans="1:48">
      <c r="A1065" s="975">
        <f t="shared" si="184"/>
        <v>46169</v>
      </c>
      <c r="B1065" s="976" t="s">
        <v>244</v>
      </c>
      <c r="C1065" s="988" t="s">
        <v>16185</v>
      </c>
      <c r="D1065" s="1410"/>
      <c r="E1065" s="977" t="str">
        <f>IFERROR(VLOOKUP(C1065, [6]條件!$A:$L, 5, 0), "")</f>
        <v/>
      </c>
      <c r="F1065" s="978" t="str">
        <f>IFERROR(VLOOKUP(C1065, [6]條件!$A:$L, 6, 0), "")</f>
        <v/>
      </c>
      <c r="G1065" s="1411" t="str">
        <f>IFERROR(VLOOKUP(C1065, [6]條件!$A:$L, 7, 0), "")</f>
        <v/>
      </c>
      <c r="H1065" s="978" t="str">
        <f>IF(ISNA(VLOOKUP(C1065,[6]條件!$A$1:$K$932,11,0)),"",(VLOOKUP(C1065,[6]條件!$A$1:$K$932,11,0)))</f>
        <v/>
      </c>
      <c r="I1065" s="979" t="str">
        <f>IF(ISNA(VLOOKUP(C1065,[6]條件!$A$1:$L$932,12,0)),"",(VLOOKUP(C1065,[6]條件!$A$1:$L$932,12,0)))</f>
        <v/>
      </c>
      <c r="J1065" s="982"/>
      <c r="K1065" s="980"/>
      <c r="L1065" s="981" t="s">
        <v>632</v>
      </c>
      <c r="M1065" s="983"/>
      <c r="N1065" s="982"/>
      <c r="O1065" s="980"/>
      <c r="P1065" s="981" t="s">
        <v>632</v>
      </c>
      <c r="Q1065" s="983"/>
      <c r="R1065" s="982"/>
      <c r="S1065" s="980"/>
      <c r="T1065" s="981" t="s">
        <v>632</v>
      </c>
      <c r="U1065" s="983"/>
      <c r="V1065" s="982"/>
      <c r="W1065" s="980"/>
      <c r="X1065" s="981" t="s">
        <v>632</v>
      </c>
      <c r="Y1065" s="983"/>
      <c r="Z1065" s="1412" t="str">
        <f>IFERROR(VLOOKUP(C1065, [6]條件!$A:$L, 3, 0), "")</f>
        <v/>
      </c>
      <c r="AA1065" s="984" t="str">
        <f>IF(OR(L1065={"改紡","檢修","了機","清車","FINAL","停機","SAMPLE","TEST","絲開發"}), L1065, IFERROR(IF(C1065="", "", (SUM(J1065, N1065, R1065, V1065)/3 * AG1065) * IF(AND(AF1065="S", AS1065="雙"), 0.5, 1)), ""))</f>
        <v>停機</v>
      </c>
      <c r="AB1065" s="1413" t="str">
        <f t="shared" si="185"/>
        <v/>
      </c>
      <c r="AC1065" s="984" t="str">
        <f>IF(OR(L1065={"改紡","檢修","了機","清車","FINAL","停機","SAMPLE","TEST"}), "", IFERROR(IF(C1065="", "", AVERAGE(L1065:M1065, P1065:Q1065, T1065:U1065, X1065:Y1065)/100), ""))</f>
        <v/>
      </c>
      <c r="AD1065" s="984" t="str">
        <f t="shared" si="183"/>
        <v/>
      </c>
      <c r="AE1065" s="984" t="str">
        <f t="shared" si="186"/>
        <v/>
      </c>
      <c r="AF1065" s="985" t="str">
        <f t="shared" si="178"/>
        <v>M</v>
      </c>
      <c r="AG1065" s="1414">
        <v>1</v>
      </c>
      <c r="AH1065" s="1002" t="s">
        <v>640</v>
      </c>
      <c r="AI1065" s="1002" t="s">
        <v>640</v>
      </c>
      <c r="AJ1065" s="986" t="s">
        <v>640</v>
      </c>
      <c r="AK1065" s="986" t="s">
        <v>640</v>
      </c>
      <c r="AL1065" s="1415"/>
      <c r="AM1065" s="1323"/>
      <c r="AN1065" s="1323"/>
      <c r="AO1065" s="1323"/>
      <c r="AP1065" s="1323"/>
      <c r="AQ1065" s="1323"/>
      <c r="AR1065" s="987"/>
      <c r="AS1065" s="978" t="str">
        <f t="shared" si="179"/>
        <v>單</v>
      </c>
      <c r="AT1065" s="978" t="str">
        <f t="shared" si="180"/>
        <v>全</v>
      </c>
      <c r="AU1065" s="978" t="str">
        <f t="shared" si="181"/>
        <v/>
      </c>
      <c r="AV1065" s="978" t="str">
        <f t="shared" si="182"/>
        <v/>
      </c>
    </row>
    <row r="1066" spans="1:48">
      <c r="A1066" s="975">
        <f t="shared" si="184"/>
        <v>46169</v>
      </c>
      <c r="B1066" s="976" t="s">
        <v>245</v>
      </c>
      <c r="C1066" s="988" t="s">
        <v>16185</v>
      </c>
      <c r="D1066" s="1410"/>
      <c r="E1066" s="977" t="str">
        <f>IFERROR(VLOOKUP(C1066, [6]條件!$A:$L, 5, 0), "")</f>
        <v/>
      </c>
      <c r="F1066" s="978" t="str">
        <f>IFERROR(VLOOKUP(C1066, [6]條件!$A:$L, 6, 0), "")</f>
        <v/>
      </c>
      <c r="G1066" s="1411" t="str">
        <f>IFERROR(VLOOKUP(C1066, [6]條件!$A:$L, 7, 0), "")</f>
        <v/>
      </c>
      <c r="H1066" s="978" t="str">
        <f>IF(ISNA(VLOOKUP(C1066,[6]條件!$A$1:$K$932,11,0)),"",(VLOOKUP(C1066,[6]條件!$A$1:$K$932,11,0)))</f>
        <v/>
      </c>
      <c r="I1066" s="979" t="str">
        <f>IF(ISNA(VLOOKUP(C1066,[6]條件!$A$1:$L$932,12,0)),"",(VLOOKUP(C1066,[6]條件!$A$1:$L$932,12,0)))</f>
        <v/>
      </c>
      <c r="J1066" s="982"/>
      <c r="K1066" s="980"/>
      <c r="L1066" s="981" t="s">
        <v>632</v>
      </c>
      <c r="M1066" s="983"/>
      <c r="N1066" s="982"/>
      <c r="O1066" s="980"/>
      <c r="P1066" s="981" t="s">
        <v>632</v>
      </c>
      <c r="Q1066" s="983"/>
      <c r="R1066" s="982"/>
      <c r="S1066" s="980"/>
      <c r="T1066" s="981" t="s">
        <v>632</v>
      </c>
      <c r="U1066" s="983"/>
      <c r="V1066" s="982"/>
      <c r="W1066" s="980"/>
      <c r="X1066" s="981" t="s">
        <v>632</v>
      </c>
      <c r="Y1066" s="983"/>
      <c r="Z1066" s="1412" t="str">
        <f>IFERROR(VLOOKUP(C1066, [6]條件!$A:$L, 3, 0), "")</f>
        <v/>
      </c>
      <c r="AA1066" s="984" t="str">
        <f>IF(OR(L1066={"改紡","檢修","了機","清車","FINAL","停機","SAMPLE","TEST","絲開發"}), L1066, IFERROR(IF(C1066="", "", (SUM(J1066, N1066, R1066, V1066)/3 * AG1066) * IF(AND(AF1066="S", AS1066="雙"), 0.5, 1)), ""))</f>
        <v>停機</v>
      </c>
      <c r="AB1066" s="1413" t="str">
        <f t="shared" si="185"/>
        <v/>
      </c>
      <c r="AC1066" s="984" t="str">
        <f>IF(OR(L1066={"改紡","檢修","了機","清車","FINAL","停機","SAMPLE","TEST"}), "", IFERROR(IF(C1066="", "", AVERAGE(L1066:M1066, P1066:Q1066, T1066:U1066, X1066:Y1066)/100), ""))</f>
        <v/>
      </c>
      <c r="AD1066" s="984" t="str">
        <f t="shared" si="183"/>
        <v/>
      </c>
      <c r="AE1066" s="984" t="str">
        <f t="shared" si="186"/>
        <v/>
      </c>
      <c r="AF1066" s="985" t="str">
        <f t="shared" si="178"/>
        <v>M</v>
      </c>
      <c r="AG1066" s="1414">
        <v>1</v>
      </c>
      <c r="AH1066" s="1002" t="s">
        <v>640</v>
      </c>
      <c r="AI1066" s="1002" t="s">
        <v>640</v>
      </c>
      <c r="AJ1066" s="986" t="s">
        <v>640</v>
      </c>
      <c r="AK1066" s="986" t="s">
        <v>640</v>
      </c>
      <c r="AL1066" s="1415"/>
      <c r="AM1066" s="1323"/>
      <c r="AN1066" s="1323"/>
      <c r="AO1066" s="1323"/>
      <c r="AP1066" s="1323"/>
      <c r="AQ1066" s="1323"/>
      <c r="AR1066" s="987"/>
      <c r="AS1066" s="978" t="str">
        <f t="shared" si="179"/>
        <v>單</v>
      </c>
      <c r="AT1066" s="978" t="str">
        <f t="shared" si="180"/>
        <v>全</v>
      </c>
      <c r="AU1066" s="978" t="str">
        <f t="shared" si="181"/>
        <v/>
      </c>
      <c r="AV1066" s="978" t="str">
        <f t="shared" si="182"/>
        <v/>
      </c>
    </row>
    <row r="1067" spans="1:48">
      <c r="A1067" s="975">
        <f t="shared" si="184"/>
        <v>46169</v>
      </c>
      <c r="B1067" s="976" t="s">
        <v>246</v>
      </c>
      <c r="C1067" s="988" t="s">
        <v>16185</v>
      </c>
      <c r="D1067" s="1410"/>
      <c r="E1067" s="977" t="str">
        <f>IFERROR(VLOOKUP(C1067, [6]條件!$A:$L, 5, 0), "")</f>
        <v/>
      </c>
      <c r="F1067" s="978" t="str">
        <f>IFERROR(VLOOKUP(C1067, [6]條件!$A:$L, 6, 0), "")</f>
        <v/>
      </c>
      <c r="G1067" s="1411" t="str">
        <f>IFERROR(VLOOKUP(C1067, [6]條件!$A:$L, 7, 0), "")</f>
        <v/>
      </c>
      <c r="H1067" s="978" t="str">
        <f>IF(ISNA(VLOOKUP(C1067,[6]條件!$A$1:$K$932,11,0)),"",(VLOOKUP(C1067,[6]條件!$A$1:$K$932,11,0)))</f>
        <v/>
      </c>
      <c r="I1067" s="979" t="str">
        <f>IF(ISNA(VLOOKUP(C1067,[6]條件!$A$1:$L$932,12,0)),"",(VLOOKUP(C1067,[6]條件!$A$1:$L$932,12,0)))</f>
        <v/>
      </c>
      <c r="J1067" s="982"/>
      <c r="K1067" s="980"/>
      <c r="L1067" s="981" t="s">
        <v>632</v>
      </c>
      <c r="M1067" s="983"/>
      <c r="N1067" s="982"/>
      <c r="O1067" s="980"/>
      <c r="P1067" s="981" t="s">
        <v>632</v>
      </c>
      <c r="Q1067" s="983"/>
      <c r="R1067" s="982"/>
      <c r="S1067" s="980"/>
      <c r="T1067" s="981" t="s">
        <v>632</v>
      </c>
      <c r="U1067" s="983"/>
      <c r="V1067" s="982"/>
      <c r="W1067" s="980"/>
      <c r="X1067" s="981" t="s">
        <v>632</v>
      </c>
      <c r="Y1067" s="983"/>
      <c r="Z1067" s="1412" t="str">
        <f>IFERROR(VLOOKUP(C1067, [6]條件!$A:$L, 3, 0), "")</f>
        <v/>
      </c>
      <c r="AA1067" s="984" t="str">
        <f>IF(OR(L1067={"改紡","檢修","了機","清車","FINAL","停機","SAMPLE","TEST","絲開發"}), L1067, IFERROR(IF(C1067="", "", (SUM(J1067, N1067, R1067, V1067)/3 * AG1067) * IF(AND(AF1067="S", AS1067="雙"), 0.5, 1)), ""))</f>
        <v>停機</v>
      </c>
      <c r="AB1067" s="1413" t="str">
        <f t="shared" si="185"/>
        <v/>
      </c>
      <c r="AC1067" s="984" t="str">
        <f>IF(OR(L1067={"改紡","檢修","了機","清車","FINAL","停機","SAMPLE","TEST"}), "", IFERROR(IF(C1067="", "", AVERAGE(L1067:M1067, P1067:Q1067, T1067:U1067, X1067:Y1067)/100), ""))</f>
        <v/>
      </c>
      <c r="AD1067" s="984" t="str">
        <f t="shared" si="183"/>
        <v/>
      </c>
      <c r="AE1067" s="984" t="str">
        <f t="shared" si="186"/>
        <v/>
      </c>
      <c r="AF1067" s="985" t="str">
        <f t="shared" si="178"/>
        <v>M</v>
      </c>
      <c r="AG1067" s="1414">
        <v>1</v>
      </c>
      <c r="AH1067" s="1002" t="s">
        <v>640</v>
      </c>
      <c r="AI1067" s="1002" t="s">
        <v>640</v>
      </c>
      <c r="AJ1067" s="986" t="s">
        <v>640</v>
      </c>
      <c r="AK1067" s="986" t="s">
        <v>640</v>
      </c>
      <c r="AL1067" s="1415"/>
      <c r="AM1067" s="1323"/>
      <c r="AN1067" s="1323"/>
      <c r="AO1067" s="1323"/>
      <c r="AP1067" s="1323"/>
      <c r="AQ1067" s="1323"/>
      <c r="AR1067" s="987"/>
      <c r="AS1067" s="978" t="str">
        <f t="shared" si="179"/>
        <v>單</v>
      </c>
      <c r="AT1067" s="978" t="str">
        <f t="shared" si="180"/>
        <v>全</v>
      </c>
      <c r="AU1067" s="978" t="str">
        <f t="shared" si="181"/>
        <v/>
      </c>
      <c r="AV1067" s="978" t="str">
        <f t="shared" si="182"/>
        <v/>
      </c>
    </row>
    <row r="1068" spans="1:48">
      <c r="A1068" s="975">
        <f t="shared" si="184"/>
        <v>46169</v>
      </c>
      <c r="B1068" s="976" t="s">
        <v>247</v>
      </c>
      <c r="C1068" s="988" t="s">
        <v>16185</v>
      </c>
      <c r="D1068" s="1410"/>
      <c r="E1068" s="977" t="str">
        <f>IFERROR(VLOOKUP(C1068, [6]條件!$A:$L, 5, 0), "")</f>
        <v/>
      </c>
      <c r="F1068" s="978" t="str">
        <f>IFERROR(VLOOKUP(C1068, [6]條件!$A:$L, 6, 0), "")</f>
        <v/>
      </c>
      <c r="G1068" s="1411" t="str">
        <f>IFERROR(VLOOKUP(C1068, [6]條件!$A:$L, 7, 0), "")</f>
        <v/>
      </c>
      <c r="H1068" s="978" t="str">
        <f>IF(ISNA(VLOOKUP(C1068,[6]條件!$A$1:$K$932,11,0)),"",(VLOOKUP(C1068,[6]條件!$A$1:$K$932,11,0)))</f>
        <v/>
      </c>
      <c r="I1068" s="979" t="str">
        <f>IF(ISNA(VLOOKUP(C1068,[6]條件!$A$1:$L$932,12,0)),"",(VLOOKUP(C1068,[6]條件!$A$1:$L$932,12,0)))</f>
        <v/>
      </c>
      <c r="J1068" s="982"/>
      <c r="K1068" s="980"/>
      <c r="L1068" s="981" t="s">
        <v>632</v>
      </c>
      <c r="M1068" s="983"/>
      <c r="N1068" s="982"/>
      <c r="O1068" s="980"/>
      <c r="P1068" s="981" t="s">
        <v>632</v>
      </c>
      <c r="Q1068" s="983"/>
      <c r="R1068" s="982"/>
      <c r="S1068" s="980"/>
      <c r="T1068" s="981" t="s">
        <v>632</v>
      </c>
      <c r="U1068" s="983"/>
      <c r="V1068" s="982"/>
      <c r="W1068" s="980"/>
      <c r="X1068" s="981" t="s">
        <v>632</v>
      </c>
      <c r="Y1068" s="983"/>
      <c r="Z1068" s="1412" t="str">
        <f>IFERROR(VLOOKUP(C1068, [6]條件!$A:$L, 3, 0), "")</f>
        <v/>
      </c>
      <c r="AA1068" s="984" t="str">
        <f>IF(OR(L1068={"改紡","檢修","了機","清車","FINAL","停機","SAMPLE","TEST","絲開發"}), L1068, IFERROR(IF(C1068="", "", (SUM(J1068, N1068, R1068, V1068)/3 * AG1068) * IF(AND(AF1068="S", AS1068="雙"), 0.5, 1)), ""))</f>
        <v>停機</v>
      </c>
      <c r="AB1068" s="1413" t="str">
        <f t="shared" si="185"/>
        <v/>
      </c>
      <c r="AC1068" s="984" t="str">
        <f>IF(OR(L1068={"改紡","檢修","了機","清車","FINAL","停機","SAMPLE","TEST"}), "", IFERROR(IF(C1068="", "", AVERAGE(L1068:M1068, P1068:Q1068, T1068:U1068, X1068:Y1068)/100), ""))</f>
        <v/>
      </c>
      <c r="AD1068" s="984" t="str">
        <f t="shared" si="183"/>
        <v/>
      </c>
      <c r="AE1068" s="984" t="str">
        <f t="shared" si="186"/>
        <v/>
      </c>
      <c r="AF1068" s="985" t="str">
        <f t="shared" si="178"/>
        <v>M</v>
      </c>
      <c r="AG1068" s="1414">
        <v>1</v>
      </c>
      <c r="AH1068" s="1002" t="s">
        <v>640</v>
      </c>
      <c r="AI1068" s="1002" t="s">
        <v>640</v>
      </c>
      <c r="AJ1068" s="986" t="s">
        <v>640</v>
      </c>
      <c r="AK1068" s="986" t="s">
        <v>640</v>
      </c>
      <c r="AL1068" s="1415"/>
      <c r="AM1068" s="1323"/>
      <c r="AN1068" s="1323"/>
      <c r="AO1068" s="1323"/>
      <c r="AP1068" s="1323"/>
      <c r="AQ1068" s="1323"/>
      <c r="AR1068" s="987"/>
      <c r="AS1068" s="978" t="str">
        <f t="shared" si="179"/>
        <v>單</v>
      </c>
      <c r="AT1068" s="978" t="str">
        <f t="shared" si="180"/>
        <v>全</v>
      </c>
      <c r="AU1068" s="978" t="str">
        <f t="shared" si="181"/>
        <v/>
      </c>
      <c r="AV1068" s="978" t="str">
        <f t="shared" si="182"/>
        <v/>
      </c>
    </row>
    <row r="1069" spans="1:48">
      <c r="A1069" s="975">
        <f t="shared" si="184"/>
        <v>46169</v>
      </c>
      <c r="B1069" s="976" t="s">
        <v>248</v>
      </c>
      <c r="C1069" s="988" t="s">
        <v>16185</v>
      </c>
      <c r="D1069" s="1410"/>
      <c r="E1069" s="977" t="str">
        <f>IFERROR(VLOOKUP(C1069, [6]條件!$A:$L, 5, 0), "")</f>
        <v/>
      </c>
      <c r="F1069" s="978" t="str">
        <f>IFERROR(VLOOKUP(C1069, [6]條件!$A:$L, 6, 0), "")</f>
        <v/>
      </c>
      <c r="G1069" s="1411" t="str">
        <f>IFERROR(VLOOKUP(C1069, [6]條件!$A:$L, 7, 0), "")</f>
        <v/>
      </c>
      <c r="H1069" s="978" t="str">
        <f>IF(ISNA(VLOOKUP(C1069,[6]條件!$A$1:$K$932,11,0)),"",(VLOOKUP(C1069,[6]條件!$A$1:$K$932,11,0)))</f>
        <v/>
      </c>
      <c r="I1069" s="979" t="str">
        <f>IF(ISNA(VLOOKUP(C1069,[6]條件!$A$1:$L$932,12,0)),"",(VLOOKUP(C1069,[6]條件!$A$1:$L$932,12,0)))</f>
        <v/>
      </c>
      <c r="J1069" s="982"/>
      <c r="K1069" s="980"/>
      <c r="L1069" s="981" t="s">
        <v>632</v>
      </c>
      <c r="M1069" s="983"/>
      <c r="N1069" s="982"/>
      <c r="O1069" s="980"/>
      <c r="P1069" s="981" t="s">
        <v>632</v>
      </c>
      <c r="Q1069" s="983"/>
      <c r="R1069" s="982"/>
      <c r="S1069" s="980"/>
      <c r="T1069" s="981" t="s">
        <v>632</v>
      </c>
      <c r="U1069" s="983"/>
      <c r="V1069" s="982"/>
      <c r="W1069" s="980"/>
      <c r="X1069" s="981" t="s">
        <v>632</v>
      </c>
      <c r="Y1069" s="983"/>
      <c r="Z1069" s="1412" t="str">
        <f>IFERROR(VLOOKUP(C1069, [6]條件!$A:$L, 3, 0), "")</f>
        <v/>
      </c>
      <c r="AA1069" s="984" t="str">
        <f>IF(OR(L1069={"改紡","檢修","了機","清車","FINAL","停機","SAMPLE","TEST","絲開發"}), L1069, IFERROR(IF(C1069="", "", (SUM(J1069, N1069, R1069, V1069)/3 * AG1069) * IF(AND(AF1069="S", AS1069="雙"), 0.5, 1)), ""))</f>
        <v>停機</v>
      </c>
      <c r="AB1069" s="1413" t="str">
        <f t="shared" si="185"/>
        <v/>
      </c>
      <c r="AC1069" s="984" t="str">
        <f>IF(OR(L1069={"改紡","檢修","了機","清車","FINAL","停機","SAMPLE","TEST"}), "", IFERROR(IF(C1069="", "", AVERAGE(L1069:M1069, P1069:Q1069, T1069:U1069, X1069:Y1069)/100), ""))</f>
        <v/>
      </c>
      <c r="AD1069" s="984" t="str">
        <f t="shared" si="183"/>
        <v/>
      </c>
      <c r="AE1069" s="984" t="str">
        <f t="shared" si="186"/>
        <v/>
      </c>
      <c r="AF1069" s="985" t="str">
        <f t="shared" si="178"/>
        <v>M</v>
      </c>
      <c r="AG1069" s="1414">
        <v>1</v>
      </c>
      <c r="AH1069" s="1002" t="s">
        <v>640</v>
      </c>
      <c r="AI1069" s="1002" t="s">
        <v>640</v>
      </c>
      <c r="AJ1069" s="986" t="s">
        <v>640</v>
      </c>
      <c r="AK1069" s="986" t="s">
        <v>640</v>
      </c>
      <c r="AL1069" s="1415"/>
      <c r="AM1069" s="1323"/>
      <c r="AN1069" s="1323"/>
      <c r="AO1069" s="1323"/>
      <c r="AP1069" s="1323"/>
      <c r="AQ1069" s="1323"/>
      <c r="AR1069" s="987"/>
      <c r="AS1069" s="978" t="str">
        <f t="shared" si="179"/>
        <v>單</v>
      </c>
      <c r="AT1069" s="978" t="str">
        <f t="shared" si="180"/>
        <v>全</v>
      </c>
      <c r="AU1069" s="978" t="str">
        <f t="shared" si="181"/>
        <v/>
      </c>
      <c r="AV1069" s="978" t="str">
        <f t="shared" si="182"/>
        <v/>
      </c>
    </row>
    <row r="1070" spans="1:48" ht="17.25" thickBot="1">
      <c r="A1070" s="989">
        <f t="shared" si="184"/>
        <v>46169</v>
      </c>
      <c r="B1070" s="990" t="s">
        <v>249</v>
      </c>
      <c r="C1070" s="991" t="s">
        <v>16185</v>
      </c>
      <c r="D1070" s="1425"/>
      <c r="E1070" s="1169" t="str">
        <f>IFERROR(VLOOKUP(C1070, [6]條件!$A:$L, 5, 0), "")</f>
        <v/>
      </c>
      <c r="F1070" s="992" t="str">
        <f>IFERROR(VLOOKUP(C1070, [6]條件!$A:$L, 6, 0), "")</f>
        <v/>
      </c>
      <c r="G1070" s="1426" t="str">
        <f>IFERROR(VLOOKUP(C1070, [6]條件!$A:$L, 7, 0), "")</f>
        <v/>
      </c>
      <c r="H1070" s="992" t="str">
        <f>IF(ISNA(VLOOKUP(C1070,[6]條件!$A$1:$K$932,11,0)),"",(VLOOKUP(C1070,[6]條件!$A$1:$K$932,11,0)))</f>
        <v/>
      </c>
      <c r="I1070" s="1170" t="str">
        <f>IF(ISNA(VLOOKUP(C1070,[6]條件!$A$1:$L$932,12,0)),"",(VLOOKUP(C1070,[6]條件!$A$1:$L$932,12,0)))</f>
        <v/>
      </c>
      <c r="J1070" s="995"/>
      <c r="K1070" s="993"/>
      <c r="L1070" s="994" t="s">
        <v>632</v>
      </c>
      <c r="M1070" s="996"/>
      <c r="N1070" s="995"/>
      <c r="O1070" s="993"/>
      <c r="P1070" s="994" t="s">
        <v>632</v>
      </c>
      <c r="Q1070" s="996"/>
      <c r="R1070" s="995"/>
      <c r="S1070" s="993"/>
      <c r="T1070" s="994" t="s">
        <v>632</v>
      </c>
      <c r="U1070" s="996"/>
      <c r="V1070" s="995"/>
      <c r="W1070" s="993"/>
      <c r="X1070" s="994" t="s">
        <v>632</v>
      </c>
      <c r="Y1070" s="996"/>
      <c r="Z1070" s="1427" t="str">
        <f>IFERROR(VLOOKUP(C1070, [6]條件!$A:$L, 3, 0), "")</f>
        <v/>
      </c>
      <c r="AA1070" s="997" t="str">
        <f>IF(OR(L1070={"改紡","檢修","了機","清車","FINAL","停機","SAMPLE","TEST","絲開發"}), L1070, IFERROR(IF(C1070="", "", (SUM(J1070, N1070, R1070, V1070)/3 * AG1070) * IF(AND(AF1070="S", AS1070="雙"), 0.5, 1)), ""))</f>
        <v>停機</v>
      </c>
      <c r="AB1070" s="1428" t="str">
        <f t="shared" si="185"/>
        <v/>
      </c>
      <c r="AC1070" s="997" t="str">
        <f>IF(OR(L1070={"改紡","檢修","了機","清車","FINAL","停機","SAMPLE","TEST"}), "", IFERROR(IF(C1070="", "", AVERAGE(L1070:M1070, P1070:Q1070, T1070:U1070, X1070:Y1070)/100), ""))</f>
        <v/>
      </c>
      <c r="AD1070" s="997" t="str">
        <f t="shared" si="183"/>
        <v/>
      </c>
      <c r="AE1070" s="997" t="str">
        <f t="shared" si="186"/>
        <v/>
      </c>
      <c r="AF1070" s="998" t="str">
        <f t="shared" si="178"/>
        <v>M</v>
      </c>
      <c r="AG1070" s="1429">
        <v>1</v>
      </c>
      <c r="AH1070" s="1171" t="s">
        <v>640</v>
      </c>
      <c r="AI1070" s="1171" t="s">
        <v>640</v>
      </c>
      <c r="AJ1070" s="999" t="s">
        <v>640</v>
      </c>
      <c r="AK1070" s="999" t="s">
        <v>640</v>
      </c>
      <c r="AL1070" s="1431"/>
      <c r="AM1070" s="1325"/>
      <c r="AN1070" s="1325"/>
      <c r="AO1070" s="1325"/>
      <c r="AP1070" s="1325"/>
      <c r="AQ1070" s="1325"/>
      <c r="AR1070" s="1000"/>
      <c r="AS1070" s="992" t="str">
        <f t="shared" si="179"/>
        <v>單</v>
      </c>
      <c r="AT1070" s="992" t="str">
        <f t="shared" si="180"/>
        <v>全</v>
      </c>
      <c r="AU1070" s="992" t="str">
        <f t="shared" si="181"/>
        <v/>
      </c>
      <c r="AV1070" s="992" t="str">
        <f t="shared" si="182"/>
        <v/>
      </c>
    </row>
    <row r="1071" spans="1:48">
      <c r="A1071" s="962">
        <v>46170</v>
      </c>
      <c r="B1071" s="963" t="s">
        <v>212</v>
      </c>
      <c r="C1071" s="963" t="s">
        <v>632</v>
      </c>
      <c r="D1071" s="1403"/>
      <c r="E1071" s="964" t="str">
        <f>IFERROR(VLOOKUP(C1071, [6]條件!$A:$L, 5, 0), "")</f>
        <v/>
      </c>
      <c r="F1071" s="965" t="str">
        <f>IFERROR(VLOOKUP(C1071, [6]條件!$A:$L, 6, 0), "")</f>
        <v/>
      </c>
      <c r="G1071" s="1404" t="str">
        <f>IFERROR(VLOOKUP(C1071, [6]條件!$A:$L, 7, 0), "")</f>
        <v/>
      </c>
      <c r="H1071" s="965" t="str">
        <f>IF(ISNA(VLOOKUP(C1071,[6]條件!$A$1:$K$932,11,0)),"",(VLOOKUP(C1071,[6]條件!$A$1:$K$932,11,0)))</f>
        <v/>
      </c>
      <c r="I1071" s="966" t="str">
        <f>IF(ISNA(VLOOKUP(C1071,[6]條件!$A$1:$L$932,12,0)),"",(VLOOKUP(C1071,[6]條件!$A$1:$L$932,12,0)))</f>
        <v/>
      </c>
      <c r="J1071" s="969"/>
      <c r="K1071" s="967"/>
      <c r="L1071" s="981" t="s">
        <v>632</v>
      </c>
      <c r="M1071" s="970"/>
      <c r="N1071" s="969"/>
      <c r="O1071" s="967"/>
      <c r="P1071" s="981" t="s">
        <v>632</v>
      </c>
      <c r="Q1071" s="970"/>
      <c r="R1071" s="969"/>
      <c r="S1071" s="967"/>
      <c r="T1071" s="981" t="s">
        <v>632</v>
      </c>
      <c r="U1071" s="970"/>
      <c r="V1071" s="969"/>
      <c r="W1071" s="967"/>
      <c r="X1071" s="981" t="s">
        <v>632</v>
      </c>
      <c r="Y1071" s="970"/>
      <c r="Z1071" s="1405" t="str">
        <f>IFERROR(VLOOKUP(C1071, [6]條件!$A:$L, 3, 0), "")</f>
        <v/>
      </c>
      <c r="AA1071" s="971" t="str">
        <f>IF(OR(L1071={"改紡","檢修","了機","清車","FINAL","停機","SAMPLE","TEST","絲開發"}), L1071, IFERROR(IF(C1071="", "", (SUM(J1071, N1071, R1071, V1071)/3 * AG1071) * IF(AND(AF1071="S", AS1071="雙"), 0.5, 1)), ""))</f>
        <v>停機</v>
      </c>
      <c r="AB1071" s="1406" t="str">
        <f t="shared" si="185"/>
        <v/>
      </c>
      <c r="AC1071" s="971" t="str">
        <f>IF(OR(L1071={"改紡","檢修","了機","清車","FINAL","停機","SAMPLE","TEST"}), "", IFERROR(IF(C1071="", "", AVERAGE(L1071:M1071, P1071:Q1071, T1071:U1071, X1071:Y1071)/100), ""))</f>
        <v/>
      </c>
      <c r="AD1071" s="971" t="str">
        <f t="shared" si="183"/>
        <v/>
      </c>
      <c r="AE1071" s="971" t="str">
        <f t="shared" si="186"/>
        <v/>
      </c>
      <c r="AF1071" s="972" t="str">
        <f t="shared" si="178"/>
        <v>A</v>
      </c>
      <c r="AG1071" s="1407">
        <v>1</v>
      </c>
      <c r="AH1071" s="1001" t="s">
        <v>640</v>
      </c>
      <c r="AI1071" s="1001" t="s">
        <v>640</v>
      </c>
      <c r="AJ1071" s="1001" t="s">
        <v>640</v>
      </c>
      <c r="AK1071" s="1001" t="s">
        <v>640</v>
      </c>
      <c r="AL1071" s="1409"/>
      <c r="AM1071" s="1322"/>
      <c r="AN1071" s="1322"/>
      <c r="AO1071" s="1322"/>
      <c r="AP1071" s="1322"/>
      <c r="AQ1071" s="1322"/>
      <c r="AR1071" s="973"/>
      <c r="AS1071" s="965" t="str">
        <f t="shared" si="179"/>
        <v>單</v>
      </c>
      <c r="AT1071" s="965" t="str">
        <f t="shared" si="180"/>
        <v>全</v>
      </c>
      <c r="AU1071" s="965" t="str">
        <f t="shared" si="181"/>
        <v/>
      </c>
      <c r="AV1071" s="965" t="str">
        <f t="shared" si="182"/>
        <v/>
      </c>
    </row>
    <row r="1072" spans="1:48">
      <c r="A1072" s="975">
        <f t="shared" si="184"/>
        <v>46170</v>
      </c>
      <c r="B1072" s="976" t="s">
        <v>214</v>
      </c>
      <c r="C1072" s="976" t="s">
        <v>632</v>
      </c>
      <c r="D1072" s="1410"/>
      <c r="E1072" s="977" t="str">
        <f>IFERROR(VLOOKUP(C1072, [6]條件!$A:$L, 5, 0), "")</f>
        <v/>
      </c>
      <c r="F1072" s="978" t="str">
        <f>IFERROR(VLOOKUP(C1072, [6]條件!$A:$L, 6, 0), "")</f>
        <v/>
      </c>
      <c r="G1072" s="1411" t="str">
        <f>IFERROR(VLOOKUP(C1072, [6]條件!$A:$L, 7, 0), "")</f>
        <v/>
      </c>
      <c r="H1072" s="978" t="str">
        <f>IF(ISNA(VLOOKUP(C1072,[6]條件!$A$1:$K$932,11,0)),"",(VLOOKUP(C1072,[6]條件!$A$1:$K$932,11,0)))</f>
        <v/>
      </c>
      <c r="I1072" s="979" t="str">
        <f>IF(ISNA(VLOOKUP(C1072,[6]條件!$A$1:$L$932,12,0)),"",(VLOOKUP(C1072,[6]條件!$A$1:$L$932,12,0)))</f>
        <v/>
      </c>
      <c r="J1072" s="982"/>
      <c r="K1072" s="980"/>
      <c r="L1072" s="981" t="s">
        <v>632</v>
      </c>
      <c r="M1072" s="983"/>
      <c r="N1072" s="982"/>
      <c r="O1072" s="980"/>
      <c r="P1072" s="981" t="s">
        <v>632</v>
      </c>
      <c r="Q1072" s="983"/>
      <c r="R1072" s="982"/>
      <c r="S1072" s="980"/>
      <c r="T1072" s="981" t="s">
        <v>632</v>
      </c>
      <c r="U1072" s="983"/>
      <c r="V1072" s="982"/>
      <c r="W1072" s="980"/>
      <c r="X1072" s="981" t="s">
        <v>628</v>
      </c>
      <c r="Y1072" s="983"/>
      <c r="Z1072" s="1412" t="str">
        <f>IFERROR(VLOOKUP(C1072, [6]條件!$A:$L, 3, 0), "")</f>
        <v/>
      </c>
      <c r="AA1072" s="984" t="str">
        <f>IF(OR(L1072={"改紡","檢修","了機","清車","FINAL","停機","SAMPLE","TEST","絲開發"}), L1072, IFERROR(IF(C1072="", "", (SUM(J1072, N1072, R1072, V1072)/3 * AG1072) * IF(AND(AF1072="S", AS1072="雙"), 0.5, 1)), ""))</f>
        <v>停機</v>
      </c>
      <c r="AB1072" s="1413" t="str">
        <f t="shared" si="185"/>
        <v/>
      </c>
      <c r="AC1072" s="984" t="str">
        <f>IF(OR(L1072={"改紡","檢修","了機","清車","FINAL","停機","SAMPLE","TEST"}), "", IFERROR(IF(C1072="", "", AVERAGE(L1072:M1072, P1072:Q1072, T1072:U1072, X1072:Y1072)/100), ""))</f>
        <v/>
      </c>
      <c r="AD1072" s="984" t="str">
        <f t="shared" si="183"/>
        <v/>
      </c>
      <c r="AE1072" s="984" t="str">
        <f t="shared" si="186"/>
        <v/>
      </c>
      <c r="AF1072" s="985" t="str">
        <f t="shared" si="178"/>
        <v>A</v>
      </c>
      <c r="AG1072" s="1414">
        <v>1</v>
      </c>
      <c r="AH1072" s="1002" t="s">
        <v>16011</v>
      </c>
      <c r="AI1072" s="1002" t="s">
        <v>16011</v>
      </c>
      <c r="AJ1072" s="1002" t="s">
        <v>640</v>
      </c>
      <c r="AK1072" s="1002" t="s">
        <v>640</v>
      </c>
      <c r="AL1072" s="1415"/>
      <c r="AM1072" s="1323"/>
      <c r="AN1072" s="1323"/>
      <c r="AO1072" s="1323"/>
      <c r="AP1072" s="1323"/>
      <c r="AQ1072" s="1323"/>
      <c r="AR1072" s="987"/>
      <c r="AS1072" s="978" t="str">
        <f t="shared" si="179"/>
        <v>單</v>
      </c>
      <c r="AT1072" s="978" t="str">
        <f t="shared" si="180"/>
        <v>全</v>
      </c>
      <c r="AU1072" s="978" t="str">
        <f t="shared" si="181"/>
        <v/>
      </c>
      <c r="AV1072" s="978" t="str">
        <f t="shared" si="182"/>
        <v/>
      </c>
    </row>
    <row r="1073" spans="1:48">
      <c r="A1073" s="975">
        <f t="shared" si="184"/>
        <v>46170</v>
      </c>
      <c r="B1073" s="976" t="s">
        <v>215</v>
      </c>
      <c r="C1073" s="976" t="s">
        <v>632</v>
      </c>
      <c r="D1073" s="1410"/>
      <c r="E1073" s="977" t="str">
        <f>IFERROR(VLOOKUP(C1073, [6]條件!$A:$L, 5, 0), "")</f>
        <v/>
      </c>
      <c r="F1073" s="978" t="str">
        <f>IFERROR(VLOOKUP(C1073, [6]條件!$A:$L, 6, 0), "")</f>
        <v/>
      </c>
      <c r="G1073" s="1411" t="str">
        <f>IFERROR(VLOOKUP(C1073, [6]條件!$A:$L, 7, 0), "")</f>
        <v/>
      </c>
      <c r="H1073" s="978" t="str">
        <f>IF(ISNA(VLOOKUP(C1073,[6]條件!$A$1:$K$932,11,0)),"",(VLOOKUP(C1073,[6]條件!$A$1:$K$932,11,0)))</f>
        <v/>
      </c>
      <c r="I1073" s="979" t="str">
        <f>IF(ISNA(VLOOKUP(C1073,[6]條件!$A$1:$L$932,12,0)),"",(VLOOKUP(C1073,[6]條件!$A$1:$L$932,12,0)))</f>
        <v/>
      </c>
      <c r="J1073" s="982"/>
      <c r="K1073" s="980"/>
      <c r="L1073" s="981" t="s">
        <v>632</v>
      </c>
      <c r="M1073" s="983"/>
      <c r="N1073" s="982"/>
      <c r="O1073" s="980"/>
      <c r="P1073" s="981" t="s">
        <v>632</v>
      </c>
      <c r="Q1073" s="983"/>
      <c r="R1073" s="982"/>
      <c r="S1073" s="980"/>
      <c r="T1073" s="981" t="s">
        <v>632</v>
      </c>
      <c r="U1073" s="983"/>
      <c r="V1073" s="982"/>
      <c r="W1073" s="980"/>
      <c r="X1073" s="981" t="s">
        <v>632</v>
      </c>
      <c r="Y1073" s="983"/>
      <c r="Z1073" s="1412" t="str">
        <f>IFERROR(VLOOKUP(C1073, [6]條件!$A:$L, 3, 0), "")</f>
        <v/>
      </c>
      <c r="AA1073" s="984" t="str">
        <f>IF(OR(L1073={"改紡","檢修","了機","清車","FINAL","停機","SAMPLE","TEST","絲開發"}), L1073, IFERROR(IF(C1073="", "", (SUM(J1073, N1073, R1073, V1073)/3 * AG1073) * IF(AND(AF1073="S", AS1073="雙"), 0.5, 1)), ""))</f>
        <v>停機</v>
      </c>
      <c r="AB1073" s="1413" t="str">
        <f t="shared" si="185"/>
        <v/>
      </c>
      <c r="AC1073" s="984" t="str">
        <f>IF(OR(L1073={"改紡","檢修","了機","清車","FINAL","停機","SAMPLE","TEST"}), "", IFERROR(IF(C1073="", "", AVERAGE(L1073:M1073, P1073:Q1073, T1073:U1073, X1073:Y1073)/100), ""))</f>
        <v/>
      </c>
      <c r="AD1073" s="984" t="str">
        <f t="shared" si="183"/>
        <v/>
      </c>
      <c r="AE1073" s="984" t="str">
        <f t="shared" si="186"/>
        <v/>
      </c>
      <c r="AF1073" s="985" t="str">
        <f t="shared" si="178"/>
        <v>A</v>
      </c>
      <c r="AG1073" s="1414">
        <v>1</v>
      </c>
      <c r="AH1073" s="1002" t="s">
        <v>16011</v>
      </c>
      <c r="AI1073" s="1002" t="s">
        <v>16011</v>
      </c>
      <c r="AJ1073" s="1002" t="s">
        <v>16011</v>
      </c>
      <c r="AK1073" s="1002" t="s">
        <v>16011</v>
      </c>
      <c r="AL1073" s="1415"/>
      <c r="AM1073" s="1323"/>
      <c r="AN1073" s="1323"/>
      <c r="AO1073" s="1323"/>
      <c r="AP1073" s="1323"/>
      <c r="AQ1073" s="1323"/>
      <c r="AR1073" s="987"/>
      <c r="AS1073" s="978" t="str">
        <f t="shared" si="179"/>
        <v>單</v>
      </c>
      <c r="AT1073" s="978" t="str">
        <f t="shared" si="180"/>
        <v>全</v>
      </c>
      <c r="AU1073" s="978" t="str">
        <f t="shared" si="181"/>
        <v/>
      </c>
      <c r="AV1073" s="978" t="str">
        <f t="shared" si="182"/>
        <v/>
      </c>
    </row>
    <row r="1074" spans="1:48">
      <c r="A1074" s="975">
        <f t="shared" si="184"/>
        <v>46170</v>
      </c>
      <c r="B1074" s="976" t="s">
        <v>216</v>
      </c>
      <c r="C1074" s="976" t="s">
        <v>632</v>
      </c>
      <c r="D1074" s="1410"/>
      <c r="E1074" s="977" t="str">
        <f>IFERROR(VLOOKUP(C1074, [6]條件!$A:$L, 5, 0), "")</f>
        <v/>
      </c>
      <c r="F1074" s="978" t="str">
        <f>IFERROR(VLOOKUP(C1074, [6]條件!$A:$L, 6, 0), "")</f>
        <v/>
      </c>
      <c r="G1074" s="1411" t="str">
        <f>IFERROR(VLOOKUP(C1074, [6]條件!$A:$L, 7, 0), "")</f>
        <v/>
      </c>
      <c r="H1074" s="978" t="str">
        <f>IF(ISNA(VLOOKUP(C1074,[6]條件!$A$1:$K$932,11,0)),"",(VLOOKUP(C1074,[6]條件!$A$1:$K$932,11,0)))</f>
        <v/>
      </c>
      <c r="I1074" s="979" t="str">
        <f>IF(ISNA(VLOOKUP(C1074,[6]條件!$A$1:$L$932,12,0)),"",(VLOOKUP(C1074,[6]條件!$A$1:$L$932,12,0)))</f>
        <v/>
      </c>
      <c r="J1074" s="982"/>
      <c r="K1074" s="980"/>
      <c r="L1074" s="981" t="s">
        <v>632</v>
      </c>
      <c r="M1074" s="983"/>
      <c r="N1074" s="982"/>
      <c r="O1074" s="980"/>
      <c r="P1074" s="981" t="s">
        <v>632</v>
      </c>
      <c r="Q1074" s="983"/>
      <c r="R1074" s="982"/>
      <c r="S1074" s="980"/>
      <c r="T1074" s="981" t="s">
        <v>632</v>
      </c>
      <c r="U1074" s="983"/>
      <c r="V1074" s="982"/>
      <c r="W1074" s="980"/>
      <c r="X1074" s="981" t="s">
        <v>632</v>
      </c>
      <c r="Y1074" s="983"/>
      <c r="Z1074" s="1412" t="str">
        <f>IFERROR(VLOOKUP(C1074, [6]條件!$A:$L, 3, 0), "")</f>
        <v/>
      </c>
      <c r="AA1074" s="984" t="str">
        <f>IF(OR(L1074={"改紡","檢修","了機","清車","FINAL","停機","SAMPLE","TEST","絲開發"}), L1074, IFERROR(IF(C1074="", "", (SUM(J1074, N1074, R1074, V1074)/3 * AG1074) * IF(AND(AF1074="S", AS1074="雙"), 0.5, 1)), ""))</f>
        <v>停機</v>
      </c>
      <c r="AB1074" s="1413" t="str">
        <f t="shared" si="185"/>
        <v/>
      </c>
      <c r="AC1074" s="984" t="str">
        <f>IF(OR(L1074={"改紡","檢修","了機","清車","FINAL","停機","SAMPLE","TEST"}), "", IFERROR(IF(C1074="", "", AVERAGE(L1074:M1074, P1074:Q1074, T1074:U1074, X1074:Y1074)/100), ""))</f>
        <v/>
      </c>
      <c r="AD1074" s="984" t="str">
        <f t="shared" si="183"/>
        <v/>
      </c>
      <c r="AE1074" s="984" t="str">
        <f t="shared" si="186"/>
        <v/>
      </c>
      <c r="AF1074" s="985" t="str">
        <f t="shared" si="178"/>
        <v>A</v>
      </c>
      <c r="AG1074" s="1414">
        <v>1</v>
      </c>
      <c r="AH1074" s="1002" t="s">
        <v>16011</v>
      </c>
      <c r="AI1074" s="1002" t="s">
        <v>16011</v>
      </c>
      <c r="AJ1074" s="1002" t="s">
        <v>16011</v>
      </c>
      <c r="AK1074" s="1002" t="s">
        <v>16011</v>
      </c>
      <c r="AL1074" s="1415"/>
      <c r="AM1074" s="1323"/>
      <c r="AN1074" s="1323"/>
      <c r="AO1074" s="1323"/>
      <c r="AP1074" s="1323"/>
      <c r="AQ1074" s="1323"/>
      <c r="AR1074" s="987"/>
      <c r="AS1074" s="978" t="str">
        <f t="shared" si="179"/>
        <v>單</v>
      </c>
      <c r="AT1074" s="978" t="str">
        <f t="shared" si="180"/>
        <v>全</v>
      </c>
      <c r="AU1074" s="978" t="str">
        <f t="shared" si="181"/>
        <v/>
      </c>
      <c r="AV1074" s="978" t="str">
        <f t="shared" si="182"/>
        <v/>
      </c>
    </row>
    <row r="1075" spans="1:48">
      <c r="A1075" s="975">
        <f t="shared" si="184"/>
        <v>46170</v>
      </c>
      <c r="B1075" s="976" t="s">
        <v>217</v>
      </c>
      <c r="C1075" s="976" t="s">
        <v>16790</v>
      </c>
      <c r="D1075" s="1410"/>
      <c r="E1075" s="977" t="str">
        <f>IFERROR(VLOOKUP(C1075, [6]條件!$A:$L, 5, 0), "")</f>
        <v>75/72SRR5</v>
      </c>
      <c r="F1075" s="978" t="str">
        <f>IFERROR(VLOOKUP(C1075, [6]條件!$A:$L, 6, 0), "")</f>
        <v>FP81631R</v>
      </c>
      <c r="G1075" s="1411">
        <f>IFERROR(VLOOKUP(C1075, [6]條件!$A:$L, 7, 0), "")</f>
        <v>600</v>
      </c>
      <c r="H1075" s="978" t="str">
        <f>IF(ISNA(VLOOKUP(C1075,[6]條件!$A$1:$K$932,11,0)),"",(VLOOKUP(C1075,[6]條件!$A$1:$K$932,11,0)))</f>
        <v>白藍條</v>
      </c>
      <c r="I1075" s="979">
        <f>IF(ISNA(VLOOKUP(C1075,[6]條件!$A$1:$L$932,12,0)),"",(VLOOKUP(C1075,[6]條件!$A$1:$L$932,12,0)))</f>
        <v>4</v>
      </c>
      <c r="J1075" s="982">
        <v>41</v>
      </c>
      <c r="K1075" s="980">
        <v>0</v>
      </c>
      <c r="L1075" s="981">
        <v>9446</v>
      </c>
      <c r="M1075" s="983">
        <v>8458</v>
      </c>
      <c r="N1075" s="982">
        <v>14</v>
      </c>
      <c r="O1075" s="980">
        <v>0</v>
      </c>
      <c r="P1075" s="981">
        <v>9229</v>
      </c>
      <c r="Q1075" s="983">
        <v>8458</v>
      </c>
      <c r="R1075" s="982">
        <v>0</v>
      </c>
      <c r="S1075" s="980">
        <v>0</v>
      </c>
      <c r="T1075" s="981">
        <v>9395</v>
      </c>
      <c r="U1075" s="983">
        <v>8251</v>
      </c>
      <c r="V1075" s="982">
        <v>29</v>
      </c>
      <c r="W1075" s="980">
        <v>2</v>
      </c>
      <c r="X1075" s="981">
        <v>9483</v>
      </c>
      <c r="Y1075" s="983">
        <v>8791</v>
      </c>
      <c r="Z1075" s="1412">
        <f>IFERROR(VLOOKUP(C1075, [6]條件!$A:$L, 3, 0), "")</f>
        <v>1.7625458996328029</v>
      </c>
      <c r="AA1075" s="984">
        <f>IF(OR(L1075={"改紡","檢修","了機","清車","FINAL","停機","SAMPLE","TEST","絲開發"}), L1075, IFERROR(IF(C1075="", "", (SUM(J1075, N1075, R1075, V1075)/3 * AG1075) * IF(AND(AF1075="S", AS1075="雙"), 0.5, 1)), ""))</f>
        <v>28</v>
      </c>
      <c r="AB1075" s="1413">
        <f t="shared" si="185"/>
        <v>0.99454460470085471</v>
      </c>
      <c r="AC1075" s="984">
        <f>IF(OR(L1075={"改紡","檢修","了機","清車","FINAL","停機","SAMPLE","TEST"}), "", IFERROR(IF(C1075="", "", AVERAGE(L1075:M1075, P1075:Q1075, T1075:U1075, X1075:Y1075)/100), ""))</f>
        <v>89.388750000000002</v>
      </c>
      <c r="AD1075" s="984">
        <f t="shared" si="183"/>
        <v>3.5</v>
      </c>
      <c r="AE1075" s="984">
        <f t="shared" si="186"/>
        <v>3.4166666666666665</v>
      </c>
      <c r="AF1075" s="985" t="str">
        <f t="shared" si="178"/>
        <v>A</v>
      </c>
      <c r="AG1075" s="1414">
        <v>1</v>
      </c>
      <c r="AH1075" s="1002" t="s">
        <v>15994</v>
      </c>
      <c r="AI1075" s="1002" t="s">
        <v>641</v>
      </c>
      <c r="AJ1075" s="986" t="s">
        <v>16001</v>
      </c>
      <c r="AK1075" s="986" t="s">
        <v>15368</v>
      </c>
      <c r="AL1075" s="1415"/>
      <c r="AM1075" s="1323"/>
      <c r="AN1075" s="1323"/>
      <c r="AO1075" s="1323"/>
      <c r="AP1075" s="1323"/>
      <c r="AQ1075" s="1323"/>
      <c r="AR1075" s="987"/>
      <c r="AS1075" s="978" t="str">
        <f t="shared" si="179"/>
        <v>單</v>
      </c>
      <c r="AT1075" s="978" t="str">
        <f t="shared" si="180"/>
        <v>全</v>
      </c>
      <c r="AU1075" s="978">
        <f t="shared" si="181"/>
        <v>75</v>
      </c>
      <c r="AV1075" s="978">
        <f t="shared" si="182"/>
        <v>1.3901738399999999</v>
      </c>
    </row>
    <row r="1076" spans="1:48">
      <c r="A1076" s="975">
        <f t="shared" si="184"/>
        <v>46170</v>
      </c>
      <c r="B1076" s="976" t="s">
        <v>218</v>
      </c>
      <c r="C1076" s="976" t="s">
        <v>632</v>
      </c>
      <c r="D1076" s="1410"/>
      <c r="E1076" s="977" t="str">
        <f>IFERROR(VLOOKUP(C1076, [6]條件!$A:$L, 5, 0), "")</f>
        <v/>
      </c>
      <c r="F1076" s="978" t="str">
        <f>IFERROR(VLOOKUP(C1076, [6]條件!$A:$L, 6, 0), "")</f>
        <v/>
      </c>
      <c r="G1076" s="1411" t="str">
        <f>IFERROR(VLOOKUP(C1076, [6]條件!$A:$L, 7, 0), "")</f>
        <v/>
      </c>
      <c r="H1076" s="978" t="str">
        <f>IF(ISNA(VLOOKUP(C1076,[6]條件!$A$1:$K$932,11,0)),"",(VLOOKUP(C1076,[6]條件!$A$1:$K$932,11,0)))</f>
        <v/>
      </c>
      <c r="I1076" s="979" t="str">
        <f>IF(ISNA(VLOOKUP(C1076,[6]條件!$A$1:$L$932,12,0)),"",(VLOOKUP(C1076,[6]條件!$A$1:$L$932,12,0)))</f>
        <v/>
      </c>
      <c r="J1076" s="982"/>
      <c r="K1076" s="980"/>
      <c r="L1076" s="981" t="s">
        <v>632</v>
      </c>
      <c r="M1076" s="983"/>
      <c r="N1076" s="982"/>
      <c r="O1076" s="980"/>
      <c r="P1076" s="981" t="s">
        <v>632</v>
      </c>
      <c r="Q1076" s="983"/>
      <c r="R1076" s="982"/>
      <c r="S1076" s="980"/>
      <c r="T1076" s="981" t="s">
        <v>632</v>
      </c>
      <c r="U1076" s="983"/>
      <c r="V1076" s="982"/>
      <c r="W1076" s="980"/>
      <c r="X1076" s="981" t="s">
        <v>632</v>
      </c>
      <c r="Y1076" s="983"/>
      <c r="Z1076" s="1412" t="str">
        <f>IFERROR(VLOOKUP(C1076, [6]條件!$A:$L, 3, 0), "")</f>
        <v/>
      </c>
      <c r="AA1076" s="984" t="str">
        <f>IF(OR(L1076={"改紡","檢修","了機","清車","FINAL","停機","SAMPLE","TEST","絲開發"}), L1076, IFERROR(IF(C1076="", "", (SUM(J1076, N1076, R1076, V1076)/3 * AG1076) * IF(AND(AF1076="S", AS1076="雙"), 0.5, 1)), ""))</f>
        <v>停機</v>
      </c>
      <c r="AB1076" s="1413" t="str">
        <f t="shared" si="185"/>
        <v/>
      </c>
      <c r="AC1076" s="984" t="str">
        <f>IF(OR(L1076={"改紡","檢修","了機","清車","FINAL","停機","SAMPLE","TEST"}), "", IFERROR(IF(C1076="", "", AVERAGE(L1076:M1076, P1076:Q1076, T1076:U1076, X1076:Y1076)/100), ""))</f>
        <v/>
      </c>
      <c r="AD1076" s="984" t="str">
        <f t="shared" si="183"/>
        <v/>
      </c>
      <c r="AE1076" s="984" t="str">
        <f t="shared" si="186"/>
        <v/>
      </c>
      <c r="AF1076" s="985" t="str">
        <f t="shared" si="178"/>
        <v>A</v>
      </c>
      <c r="AG1076" s="1414">
        <v>1</v>
      </c>
      <c r="AH1076" s="1002" t="s">
        <v>640</v>
      </c>
      <c r="AI1076" s="1002" t="s">
        <v>640</v>
      </c>
      <c r="AJ1076" s="986" t="s">
        <v>640</v>
      </c>
      <c r="AK1076" s="986" t="s">
        <v>640</v>
      </c>
      <c r="AL1076" s="1415"/>
      <c r="AM1076" s="1323"/>
      <c r="AN1076" s="1323"/>
      <c r="AO1076" s="1323"/>
      <c r="AP1076" s="1323"/>
      <c r="AQ1076" s="1323"/>
      <c r="AR1076" s="987"/>
      <c r="AS1076" s="978" t="str">
        <f t="shared" si="179"/>
        <v>單</v>
      </c>
      <c r="AT1076" s="978" t="str">
        <f t="shared" si="180"/>
        <v>全</v>
      </c>
      <c r="AU1076" s="978" t="str">
        <f t="shared" si="181"/>
        <v/>
      </c>
      <c r="AV1076" s="978" t="str">
        <f t="shared" si="182"/>
        <v/>
      </c>
    </row>
    <row r="1077" spans="1:48">
      <c r="A1077" s="975">
        <f t="shared" si="184"/>
        <v>46170</v>
      </c>
      <c r="B1077" s="976" t="s">
        <v>219</v>
      </c>
      <c r="C1077" s="976" t="s">
        <v>16745</v>
      </c>
      <c r="D1077" s="1410" t="s">
        <v>16748</v>
      </c>
      <c r="E1077" s="977" t="str">
        <f>IFERROR(VLOOKUP(C1077, [6]條件!$A:$L, 5, 0), "")</f>
        <v>50/72BSD3</v>
      </c>
      <c r="F1077" s="978" t="str">
        <f>IFERROR(VLOOKUP(C1077, [6]條件!$A:$L, 6, 0), "")</f>
        <v>FP80141</v>
      </c>
      <c r="G1077" s="1411">
        <f>IFERROR(VLOOKUP(C1077, [6]條件!$A:$L, 7, 0), "")</f>
        <v>630</v>
      </c>
      <c r="H1077" s="978" t="str">
        <f>IF(ISNA(VLOOKUP(C1077,[6]條件!$A$1:$K$932,11,0)),"",(VLOOKUP(C1077,[6]條件!$A$1:$K$932,11,0)))</f>
        <v>洋綠色</v>
      </c>
      <c r="I1077" s="979">
        <f>IF(ISNA(VLOOKUP(C1077,[6]條件!$A$1:$L$932,12,0)),"",(VLOOKUP(C1077,[6]條件!$A$1:$L$932,12,0)))</f>
        <v>2</v>
      </c>
      <c r="J1077" s="982">
        <v>15</v>
      </c>
      <c r="K1077" s="980">
        <v>0</v>
      </c>
      <c r="L1077" s="981">
        <v>9046</v>
      </c>
      <c r="M1077" s="983">
        <v>9801</v>
      </c>
      <c r="N1077" s="982">
        <v>25</v>
      </c>
      <c r="O1077" s="980">
        <v>5</v>
      </c>
      <c r="P1077" s="981">
        <v>9006</v>
      </c>
      <c r="Q1077" s="983">
        <v>9586</v>
      </c>
      <c r="R1077" s="982">
        <v>4</v>
      </c>
      <c r="S1077" s="980">
        <v>0</v>
      </c>
      <c r="T1077" s="981">
        <v>9043</v>
      </c>
      <c r="U1077" s="983">
        <v>9600</v>
      </c>
      <c r="V1077" s="982">
        <v>9</v>
      </c>
      <c r="W1077" s="980">
        <v>0</v>
      </c>
      <c r="X1077" s="981">
        <v>9328</v>
      </c>
      <c r="Y1077" s="983">
        <v>9848</v>
      </c>
      <c r="Z1077" s="1412">
        <f>IFERROR(VLOOKUP(C1077, [6]條件!$A:$L, 3, 0), "")</f>
        <v>2.4615384615384617</v>
      </c>
      <c r="AA1077" s="984">
        <f>IF(OR(L1077={"改紡","檢修","了機","清車","FINAL","停機","SAMPLE","TEST","絲開發"}), L1077, IFERROR(IF(C1077="", "", (SUM(J1077, N1077, R1077, V1077)/3 * AG1077) * IF(AND(AF1077="S", AS1077="雙"), 0.5, 1)), ""))</f>
        <v>17.666666666666668</v>
      </c>
      <c r="AB1077" s="1413">
        <f t="shared" si="185"/>
        <v>0.990234375</v>
      </c>
      <c r="AC1077" s="984">
        <f>IF(OR(L1077={"改紡","檢修","了機","清車","FINAL","停機","SAMPLE","TEST"}), "", IFERROR(IF(C1077="", "", AVERAGE(L1077:M1077, P1077:Q1077, T1077:U1077, X1077:Y1077)/100), ""))</f>
        <v>94.072500000000005</v>
      </c>
      <c r="AD1077" s="984">
        <f t="shared" si="183"/>
        <v>2.2083333333333335</v>
      </c>
      <c r="AE1077" s="984">
        <f t="shared" si="186"/>
        <v>2</v>
      </c>
      <c r="AF1077" s="985" t="str">
        <f t="shared" si="178"/>
        <v>A</v>
      </c>
      <c r="AG1077" s="1414">
        <v>1</v>
      </c>
      <c r="AH1077" s="1002" t="s">
        <v>15994</v>
      </c>
      <c r="AI1077" s="1002" t="s">
        <v>641</v>
      </c>
      <c r="AJ1077" s="986" t="s">
        <v>16001</v>
      </c>
      <c r="AK1077" s="986" t="s">
        <v>15368</v>
      </c>
      <c r="AL1077" s="1415"/>
      <c r="AM1077" s="1324"/>
      <c r="AN1077" s="1323"/>
      <c r="AO1077" s="1323"/>
      <c r="AP1077" s="1323"/>
      <c r="AQ1077" s="1323"/>
      <c r="AR1077" s="987"/>
      <c r="AS1077" s="978" t="str">
        <f t="shared" si="179"/>
        <v>單</v>
      </c>
      <c r="AT1077" s="978" t="str">
        <f t="shared" si="180"/>
        <v>全</v>
      </c>
      <c r="AU1077" s="978">
        <f t="shared" si="181"/>
        <v>50</v>
      </c>
      <c r="AV1077" s="978">
        <f t="shared" si="182"/>
        <v>1.0241108640000001</v>
      </c>
    </row>
    <row r="1078" spans="1:48">
      <c r="A1078" s="975">
        <f t="shared" si="184"/>
        <v>46170</v>
      </c>
      <c r="B1078" s="976" t="s">
        <v>220</v>
      </c>
      <c r="C1078" s="976" t="s">
        <v>632</v>
      </c>
      <c r="D1078" s="1410"/>
      <c r="E1078" s="977" t="str">
        <f>IFERROR(VLOOKUP(C1078, [6]條件!$A:$L, 5, 0), "")</f>
        <v/>
      </c>
      <c r="F1078" s="978" t="str">
        <f>IFERROR(VLOOKUP(C1078, [6]條件!$A:$L, 6, 0), "")</f>
        <v/>
      </c>
      <c r="G1078" s="1411" t="str">
        <f>IFERROR(VLOOKUP(C1078, [6]條件!$A:$L, 7, 0), "")</f>
        <v/>
      </c>
      <c r="H1078" s="978" t="str">
        <f>IF(ISNA(VLOOKUP(C1078,[6]條件!$A$1:$K$932,11,0)),"",(VLOOKUP(C1078,[6]條件!$A$1:$K$932,11,0)))</f>
        <v/>
      </c>
      <c r="I1078" s="979" t="str">
        <f>IF(ISNA(VLOOKUP(C1078,[6]條件!$A$1:$L$932,12,0)),"",(VLOOKUP(C1078,[6]條件!$A$1:$L$932,12,0)))</f>
        <v/>
      </c>
      <c r="J1078" s="982"/>
      <c r="K1078" s="980"/>
      <c r="L1078" s="981" t="s">
        <v>632</v>
      </c>
      <c r="M1078" s="983"/>
      <c r="N1078" s="982"/>
      <c r="O1078" s="980"/>
      <c r="P1078" s="981" t="s">
        <v>632</v>
      </c>
      <c r="Q1078" s="983"/>
      <c r="R1078" s="982"/>
      <c r="S1078" s="980"/>
      <c r="T1078" s="981" t="s">
        <v>632</v>
      </c>
      <c r="U1078" s="983"/>
      <c r="V1078" s="982"/>
      <c r="W1078" s="980"/>
      <c r="X1078" s="981" t="s">
        <v>632</v>
      </c>
      <c r="Y1078" s="983"/>
      <c r="Z1078" s="1412" t="str">
        <f>IFERROR(VLOOKUP(C1078, [6]條件!$A:$L, 3, 0), "")</f>
        <v/>
      </c>
      <c r="AA1078" s="984" t="str">
        <f>IF(OR(L1078={"改紡","檢修","了機","清車","FINAL","停機","SAMPLE","TEST","絲開發"}), L1078, IFERROR(IF(C1078="", "", (SUM(J1078, N1078, R1078, V1078)/3 * AG1078) * IF(AND(AF1078="S", AS1078="雙"), 0.5, 1)), ""))</f>
        <v>停機</v>
      </c>
      <c r="AB1078" s="1413" t="str">
        <f t="shared" si="185"/>
        <v/>
      </c>
      <c r="AC1078" s="984" t="str">
        <f>IF(OR(L1078={"改紡","檢修","了機","清車","FINAL","停機","SAMPLE","TEST"}), "", IFERROR(IF(C1078="", "", AVERAGE(L1078:M1078, P1078:Q1078, T1078:U1078, X1078:Y1078)/100), ""))</f>
        <v/>
      </c>
      <c r="AD1078" s="984" t="str">
        <f t="shared" si="183"/>
        <v/>
      </c>
      <c r="AE1078" s="984" t="str">
        <f t="shared" si="186"/>
        <v/>
      </c>
      <c r="AF1078" s="985" t="str">
        <f t="shared" si="178"/>
        <v>A</v>
      </c>
      <c r="AG1078" s="1414">
        <v>1</v>
      </c>
      <c r="AH1078" s="1002" t="s">
        <v>640</v>
      </c>
      <c r="AI1078" s="1002" t="s">
        <v>640</v>
      </c>
      <c r="AJ1078" s="986" t="s">
        <v>640</v>
      </c>
      <c r="AK1078" s="986" t="s">
        <v>640</v>
      </c>
      <c r="AL1078" s="1415"/>
      <c r="AM1078" s="1323"/>
      <c r="AN1078" s="1323"/>
      <c r="AO1078" s="1323"/>
      <c r="AP1078" s="1323"/>
      <c r="AQ1078" s="1323"/>
      <c r="AR1078" s="987"/>
      <c r="AS1078" s="978" t="str">
        <f t="shared" si="179"/>
        <v>單</v>
      </c>
      <c r="AT1078" s="978" t="str">
        <f t="shared" si="180"/>
        <v>全</v>
      </c>
      <c r="AU1078" s="978" t="str">
        <f t="shared" si="181"/>
        <v/>
      </c>
      <c r="AV1078" s="978" t="str">
        <f t="shared" si="182"/>
        <v/>
      </c>
    </row>
    <row r="1079" spans="1:48">
      <c r="A1079" s="975">
        <f t="shared" si="184"/>
        <v>46170</v>
      </c>
      <c r="B1079" s="976" t="s">
        <v>221</v>
      </c>
      <c r="C1079" s="976" t="s">
        <v>16763</v>
      </c>
      <c r="D1079" s="1410"/>
      <c r="E1079" s="977" t="str">
        <f>IFERROR(VLOOKUP(C1079, [6]條件!$A:$L, 5, 0), "")</f>
        <v>150/48CDR</v>
      </c>
      <c r="F1079" s="978" t="str">
        <f>IFERROR(VLOOKUP(C1079, [6]條件!$A:$L, 6, 0), "")</f>
        <v>FP82781</v>
      </c>
      <c r="G1079" s="1411">
        <f>IFERROR(VLOOKUP(C1079, [6]條件!$A:$L, 7, 0), "")</f>
        <v>600</v>
      </c>
      <c r="H1079" s="978" t="str">
        <f>IF(ISNA(VLOOKUP(C1079,[6]條件!$A$1:$K$932,11,0)),"",(VLOOKUP(C1079,[6]條件!$A$1:$K$932,11,0)))</f>
        <v>綠藍雙色</v>
      </c>
      <c r="I1079" s="979">
        <f>IF(ISNA(VLOOKUP(C1079,[6]條件!$A$1:$L$932,12,0)),"",(VLOOKUP(C1079,[6]條件!$A$1:$L$932,12,0)))</f>
        <v>5</v>
      </c>
      <c r="J1079" s="982"/>
      <c r="K1079" s="980"/>
      <c r="L1079" s="981" t="s">
        <v>16007</v>
      </c>
      <c r="M1079" s="983"/>
      <c r="N1079" s="982"/>
      <c r="O1079" s="980"/>
      <c r="P1079" s="981" t="s">
        <v>16004</v>
      </c>
      <c r="Q1079" s="983"/>
      <c r="R1079" s="982"/>
      <c r="S1079" s="980"/>
      <c r="T1079" s="981" t="s">
        <v>16018</v>
      </c>
      <c r="U1079" s="983"/>
      <c r="V1079" s="982">
        <v>17</v>
      </c>
      <c r="W1079" s="980">
        <v>0</v>
      </c>
      <c r="X1079" s="981">
        <v>9062</v>
      </c>
      <c r="Y1079" s="983">
        <v>9257</v>
      </c>
      <c r="Z1079" s="1412">
        <f>IFERROR(VLOOKUP(C1079, [6]條件!$A:$L, 3, 0), "")</f>
        <v>2.8685258964143427</v>
      </c>
      <c r="AA1079" s="984" t="str">
        <f>IF(OR(L1079={"改紡","檢修","了機","清車","FINAL","停機","SAMPLE","TEST","絲開發"}), L1079, IFERROR(IF(C1079="", "", (SUM(J1079, N1079, R1079, V1079)/3 * AG1079) * IF(AND(AF1079="S", AS1079="雙"), 0.5, 1)), ""))</f>
        <v>檢修</v>
      </c>
      <c r="AB1079" s="1413" t="str">
        <f t="shared" si="185"/>
        <v/>
      </c>
      <c r="AC1079" s="984" t="str">
        <f>IF(OR(L1079={"改紡","檢修","了機","清車","FINAL","停機","SAMPLE","TEST"}), "", IFERROR(IF(C1079="", "", AVERAGE(L1079:M1079, P1079:Q1079, T1079:U1079, X1079:Y1079)/100), ""))</f>
        <v/>
      </c>
      <c r="AD1079" s="984" t="str">
        <f t="shared" si="183"/>
        <v/>
      </c>
      <c r="AE1079" s="984" t="str">
        <f t="shared" si="186"/>
        <v/>
      </c>
      <c r="AF1079" s="985" t="str">
        <f t="shared" si="178"/>
        <v>A</v>
      </c>
      <c r="AG1079" s="1414">
        <v>1</v>
      </c>
      <c r="AH1079" s="1002" t="s">
        <v>15994</v>
      </c>
      <c r="AI1079" s="1002" t="s">
        <v>641</v>
      </c>
      <c r="AJ1079" s="986" t="s">
        <v>16001</v>
      </c>
      <c r="AK1079" s="986" t="s">
        <v>15368</v>
      </c>
      <c r="AL1079" s="1415"/>
      <c r="AM1079" s="1323"/>
      <c r="AN1079" s="1323"/>
      <c r="AO1079" s="1323"/>
      <c r="AP1079" s="1323"/>
      <c r="AQ1079" s="1323"/>
      <c r="AR1079" s="987"/>
      <c r="AS1079" s="978" t="str">
        <f t="shared" si="179"/>
        <v>單</v>
      </c>
      <c r="AT1079" s="978" t="str">
        <f t="shared" si="180"/>
        <v>全</v>
      </c>
      <c r="AU1079" s="978">
        <f t="shared" si="181"/>
        <v>150</v>
      </c>
      <c r="AV1079" s="978" t="str">
        <f t="shared" si="182"/>
        <v/>
      </c>
    </row>
    <row r="1080" spans="1:48">
      <c r="A1080" s="975">
        <f t="shared" si="184"/>
        <v>46170</v>
      </c>
      <c r="B1080" s="976" t="s">
        <v>222</v>
      </c>
      <c r="C1080" s="976" t="s">
        <v>632</v>
      </c>
      <c r="D1080" s="1410"/>
      <c r="E1080" s="977" t="str">
        <f>IFERROR(VLOOKUP(C1080, [6]條件!$A:$L, 5, 0), "")</f>
        <v/>
      </c>
      <c r="F1080" s="978" t="str">
        <f>IFERROR(VLOOKUP(C1080, [6]條件!$A:$L, 6, 0), "")</f>
        <v/>
      </c>
      <c r="G1080" s="1411" t="str">
        <f>IFERROR(VLOOKUP(C1080, [6]條件!$A:$L, 7, 0), "")</f>
        <v/>
      </c>
      <c r="H1080" s="978" t="str">
        <f>IF(ISNA(VLOOKUP(C1080,[6]條件!$A$1:$K$932,11,0)),"",(VLOOKUP(C1080,[6]條件!$A$1:$K$932,11,0)))</f>
        <v/>
      </c>
      <c r="I1080" s="979" t="str">
        <f>IF(ISNA(VLOOKUP(C1080,[6]條件!$A$1:$L$932,12,0)),"",(VLOOKUP(C1080,[6]條件!$A$1:$L$932,12,0)))</f>
        <v/>
      </c>
      <c r="J1080" s="982"/>
      <c r="K1080" s="980"/>
      <c r="L1080" s="981" t="s">
        <v>632</v>
      </c>
      <c r="M1080" s="983"/>
      <c r="N1080" s="982"/>
      <c r="O1080" s="980"/>
      <c r="P1080" s="981" t="s">
        <v>632</v>
      </c>
      <c r="Q1080" s="983"/>
      <c r="R1080" s="982"/>
      <c r="S1080" s="980"/>
      <c r="T1080" s="981" t="s">
        <v>632</v>
      </c>
      <c r="U1080" s="983"/>
      <c r="V1080" s="982"/>
      <c r="W1080" s="980"/>
      <c r="X1080" s="981" t="s">
        <v>632</v>
      </c>
      <c r="Y1080" s="983"/>
      <c r="Z1080" s="1412" t="str">
        <f>IFERROR(VLOOKUP(C1080, [6]條件!$A:$L, 3, 0), "")</f>
        <v/>
      </c>
      <c r="AA1080" s="984" t="str">
        <f>IF(OR(L1080={"改紡","檢修","了機","清車","FINAL","停機","SAMPLE","TEST","絲開發"}), L1080, IFERROR(IF(C1080="", "", (SUM(J1080, N1080, R1080, V1080)/3 * AG1080) * IF(AND(AF1080="S", AS1080="雙"), 0.5, 1)), ""))</f>
        <v>停機</v>
      </c>
      <c r="AB1080" s="1413" t="str">
        <f t="shared" si="185"/>
        <v/>
      </c>
      <c r="AC1080" s="984" t="str">
        <f>IF(OR(L1080={"改紡","檢修","了機","清車","FINAL","停機","SAMPLE","TEST"}), "", IFERROR(IF(C1080="", "", AVERAGE(L1080:M1080, P1080:Q1080, T1080:U1080, X1080:Y1080)/100), ""))</f>
        <v/>
      </c>
      <c r="AD1080" s="984" t="str">
        <f t="shared" si="183"/>
        <v/>
      </c>
      <c r="AE1080" s="984" t="str">
        <f t="shared" si="186"/>
        <v/>
      </c>
      <c r="AF1080" s="985" t="str">
        <f t="shared" si="178"/>
        <v>A</v>
      </c>
      <c r="AG1080" s="1414">
        <v>1</v>
      </c>
      <c r="AH1080" s="1002" t="s">
        <v>640</v>
      </c>
      <c r="AI1080" s="1002" t="s">
        <v>640</v>
      </c>
      <c r="AJ1080" s="986" t="s">
        <v>640</v>
      </c>
      <c r="AK1080" s="986" t="s">
        <v>640</v>
      </c>
      <c r="AL1080" s="1415"/>
      <c r="AM1080" s="1323"/>
      <c r="AN1080" s="1323"/>
      <c r="AO1080" s="1323"/>
      <c r="AP1080" s="1323"/>
      <c r="AQ1080" s="1323"/>
      <c r="AR1080" s="987"/>
      <c r="AS1080" s="978" t="str">
        <f t="shared" si="179"/>
        <v>單</v>
      </c>
      <c r="AT1080" s="978" t="str">
        <f t="shared" si="180"/>
        <v>全</v>
      </c>
      <c r="AU1080" s="978" t="str">
        <f t="shared" si="181"/>
        <v/>
      </c>
      <c r="AV1080" s="978" t="str">
        <f t="shared" si="182"/>
        <v/>
      </c>
    </row>
    <row r="1081" spans="1:48">
      <c r="A1081" s="975">
        <f t="shared" si="184"/>
        <v>46170</v>
      </c>
      <c r="B1081" s="976" t="s">
        <v>223</v>
      </c>
      <c r="C1081" s="976" t="s">
        <v>632</v>
      </c>
      <c r="D1081" s="1410"/>
      <c r="E1081" s="977" t="str">
        <f>IFERROR(VLOOKUP(C1081, [6]條件!$A:$L, 5, 0), "")</f>
        <v/>
      </c>
      <c r="F1081" s="978" t="str">
        <f>IFERROR(VLOOKUP(C1081, [6]條件!$A:$L, 6, 0), "")</f>
        <v/>
      </c>
      <c r="G1081" s="1411" t="str">
        <f>IFERROR(VLOOKUP(C1081, [6]條件!$A:$L, 7, 0), "")</f>
        <v/>
      </c>
      <c r="H1081" s="978" t="str">
        <f>IF(ISNA(VLOOKUP(C1081,[6]條件!$A$1:$K$932,11,0)),"",(VLOOKUP(C1081,[6]條件!$A$1:$K$932,11,0)))</f>
        <v/>
      </c>
      <c r="I1081" s="979" t="str">
        <f>IF(ISNA(VLOOKUP(C1081,[6]條件!$A$1:$L$932,12,0)),"",(VLOOKUP(C1081,[6]條件!$A$1:$L$932,12,0)))</f>
        <v/>
      </c>
      <c r="J1081" s="982"/>
      <c r="K1081" s="980"/>
      <c r="L1081" s="981" t="s">
        <v>632</v>
      </c>
      <c r="M1081" s="983"/>
      <c r="N1081" s="982"/>
      <c r="O1081" s="980"/>
      <c r="P1081" s="981" t="s">
        <v>632</v>
      </c>
      <c r="Q1081" s="983"/>
      <c r="R1081" s="982"/>
      <c r="S1081" s="980"/>
      <c r="T1081" s="981" t="s">
        <v>632</v>
      </c>
      <c r="U1081" s="983"/>
      <c r="V1081" s="982"/>
      <c r="W1081" s="980"/>
      <c r="X1081" s="981" t="s">
        <v>632</v>
      </c>
      <c r="Y1081" s="983"/>
      <c r="Z1081" s="1412" t="str">
        <f>IFERROR(VLOOKUP(C1081, [6]條件!$A:$L, 3, 0), "")</f>
        <v/>
      </c>
      <c r="AA1081" s="984" t="str">
        <f>IF(OR(L1081={"改紡","檢修","了機","清車","FINAL","停機","SAMPLE","TEST","絲開發"}), L1081, IFERROR(IF(C1081="", "", (SUM(J1081, N1081, R1081, V1081)/3 * AG1081) * IF(AND(AF1081="S", AS1081="雙"), 0.5, 1)), ""))</f>
        <v>停機</v>
      </c>
      <c r="AB1081" s="1413" t="str">
        <f t="shared" si="185"/>
        <v/>
      </c>
      <c r="AC1081" s="984" t="str">
        <f>IF(OR(L1081={"改紡","檢修","了機","清車","FINAL","停機","SAMPLE","TEST"}), "", IFERROR(IF(C1081="", "", AVERAGE(L1081:M1081, P1081:Q1081, T1081:U1081, X1081:Y1081)/100), ""))</f>
        <v/>
      </c>
      <c r="AD1081" s="984" t="str">
        <f t="shared" si="183"/>
        <v/>
      </c>
      <c r="AE1081" s="984" t="str">
        <f t="shared" si="186"/>
        <v/>
      </c>
      <c r="AF1081" s="985" t="str">
        <f t="shared" si="178"/>
        <v>A</v>
      </c>
      <c r="AG1081" s="1414">
        <v>1</v>
      </c>
      <c r="AH1081" s="1002" t="s">
        <v>640</v>
      </c>
      <c r="AI1081" s="1002" t="s">
        <v>640</v>
      </c>
      <c r="AJ1081" s="1002" t="s">
        <v>640</v>
      </c>
      <c r="AK1081" s="1002" t="s">
        <v>640</v>
      </c>
      <c r="AL1081" s="1415"/>
      <c r="AM1081" s="1324"/>
      <c r="AN1081" s="1323"/>
      <c r="AO1081" s="1323"/>
      <c r="AP1081" s="1323"/>
      <c r="AQ1081" s="1323"/>
      <c r="AR1081" s="987"/>
      <c r="AS1081" s="978" t="str">
        <f t="shared" si="179"/>
        <v>單</v>
      </c>
      <c r="AT1081" s="978" t="str">
        <f t="shared" si="180"/>
        <v>全</v>
      </c>
      <c r="AU1081" s="978" t="str">
        <f t="shared" si="181"/>
        <v/>
      </c>
      <c r="AV1081" s="978" t="str">
        <f t="shared" si="182"/>
        <v/>
      </c>
    </row>
    <row r="1082" spans="1:48">
      <c r="A1082" s="975">
        <f t="shared" si="184"/>
        <v>46170</v>
      </c>
      <c r="B1082" s="976" t="s">
        <v>224</v>
      </c>
      <c r="C1082" s="976" t="s">
        <v>632</v>
      </c>
      <c r="D1082" s="1410"/>
      <c r="E1082" s="977" t="str">
        <f>IFERROR(VLOOKUP(C1082, [6]條件!$A:$L, 5, 0), "")</f>
        <v/>
      </c>
      <c r="F1082" s="978" t="str">
        <f>IFERROR(VLOOKUP(C1082, [6]條件!$A:$L, 6, 0), "")</f>
        <v/>
      </c>
      <c r="G1082" s="1411" t="str">
        <f>IFERROR(VLOOKUP(C1082, [6]條件!$A:$L, 7, 0), "")</f>
        <v/>
      </c>
      <c r="H1082" s="978" t="str">
        <f>IF(ISNA(VLOOKUP(C1082,[6]條件!$A$1:$K$932,11,0)),"",(VLOOKUP(C1082,[6]條件!$A$1:$K$932,11,0)))</f>
        <v/>
      </c>
      <c r="I1082" s="979" t="str">
        <f>IF(ISNA(VLOOKUP(C1082,[6]條件!$A$1:$L$932,12,0)),"",(VLOOKUP(C1082,[6]條件!$A$1:$L$932,12,0)))</f>
        <v/>
      </c>
      <c r="J1082" s="982"/>
      <c r="K1082" s="980"/>
      <c r="L1082" s="981" t="s">
        <v>632</v>
      </c>
      <c r="M1082" s="983"/>
      <c r="N1082" s="982"/>
      <c r="O1082" s="980"/>
      <c r="P1082" s="981" t="s">
        <v>632</v>
      </c>
      <c r="Q1082" s="983"/>
      <c r="R1082" s="982"/>
      <c r="S1082" s="980"/>
      <c r="T1082" s="981" t="s">
        <v>632</v>
      </c>
      <c r="U1082" s="983"/>
      <c r="V1082" s="982"/>
      <c r="W1082" s="980"/>
      <c r="X1082" s="981" t="s">
        <v>632</v>
      </c>
      <c r="Y1082" s="983"/>
      <c r="Z1082" s="1412" t="str">
        <f>IFERROR(VLOOKUP(C1082, [6]條件!$A:$L, 3, 0), "")</f>
        <v/>
      </c>
      <c r="AA1082" s="984" t="str">
        <f>IF(OR(L1082={"改紡","檢修","了機","清車","FINAL","停機","SAMPLE","TEST","絲開發"}), L1082, IFERROR(IF(C1082="", "", (SUM(J1082, N1082, R1082, V1082)/3 * AG1082) * IF(AND(AF1082="S", AS1082="雙"), 0.5, 1)), ""))</f>
        <v>停機</v>
      </c>
      <c r="AB1082" s="1413" t="str">
        <f t="shared" si="185"/>
        <v/>
      </c>
      <c r="AC1082" s="984" t="str">
        <f>IF(OR(L1082={"改紡","檢修","了機","清車","FINAL","停機","SAMPLE","TEST"}), "", IFERROR(IF(C1082="", "", AVERAGE(L1082:M1082, P1082:Q1082, T1082:U1082, X1082:Y1082)/100), ""))</f>
        <v/>
      </c>
      <c r="AD1082" s="984" t="str">
        <f t="shared" si="183"/>
        <v/>
      </c>
      <c r="AE1082" s="984" t="str">
        <f t="shared" si="186"/>
        <v/>
      </c>
      <c r="AF1082" s="985" t="str">
        <f t="shared" si="178"/>
        <v>A</v>
      </c>
      <c r="AG1082" s="1414">
        <v>1</v>
      </c>
      <c r="AH1082" s="1002" t="s">
        <v>16011</v>
      </c>
      <c r="AI1082" s="1002" t="s">
        <v>16011</v>
      </c>
      <c r="AJ1082" s="1002" t="s">
        <v>640</v>
      </c>
      <c r="AK1082" s="1002" t="s">
        <v>640</v>
      </c>
      <c r="AL1082" s="1415"/>
      <c r="AM1082" s="1323"/>
      <c r="AN1082" s="1323"/>
      <c r="AO1082" s="1323"/>
      <c r="AP1082" s="1323"/>
      <c r="AQ1082" s="1323"/>
      <c r="AR1082" s="987"/>
      <c r="AS1082" s="978" t="str">
        <f t="shared" si="179"/>
        <v>單</v>
      </c>
      <c r="AT1082" s="978" t="str">
        <f t="shared" si="180"/>
        <v>全</v>
      </c>
      <c r="AU1082" s="978" t="str">
        <f t="shared" si="181"/>
        <v/>
      </c>
      <c r="AV1082" s="978" t="str">
        <f t="shared" si="182"/>
        <v/>
      </c>
    </row>
    <row r="1083" spans="1:48">
      <c r="A1083" s="975">
        <f t="shared" si="184"/>
        <v>46170</v>
      </c>
      <c r="B1083" s="976" t="s">
        <v>225</v>
      </c>
      <c r="C1083" s="976" t="s">
        <v>632</v>
      </c>
      <c r="D1083" s="1410"/>
      <c r="E1083" s="977" t="str">
        <f>IFERROR(VLOOKUP(C1083, [6]條件!$A:$L, 5, 0), "")</f>
        <v/>
      </c>
      <c r="F1083" s="978" t="str">
        <f>IFERROR(VLOOKUP(C1083, [6]條件!$A:$L, 6, 0), "")</f>
        <v/>
      </c>
      <c r="G1083" s="1411" t="str">
        <f>IFERROR(VLOOKUP(C1083, [6]條件!$A:$L, 7, 0), "")</f>
        <v/>
      </c>
      <c r="H1083" s="978" t="str">
        <f>IF(ISNA(VLOOKUP(C1083,[6]條件!$A$1:$K$932,11,0)),"",(VLOOKUP(C1083,[6]條件!$A$1:$K$932,11,0)))</f>
        <v/>
      </c>
      <c r="I1083" s="979" t="str">
        <f>IF(ISNA(VLOOKUP(C1083,[6]條件!$A$1:$L$932,12,0)),"",(VLOOKUP(C1083,[6]條件!$A$1:$L$932,12,0)))</f>
        <v/>
      </c>
      <c r="J1083" s="982"/>
      <c r="K1083" s="980"/>
      <c r="L1083" s="981" t="s">
        <v>632</v>
      </c>
      <c r="M1083" s="983"/>
      <c r="N1083" s="982"/>
      <c r="O1083" s="980"/>
      <c r="P1083" s="981" t="s">
        <v>632</v>
      </c>
      <c r="Q1083" s="983"/>
      <c r="R1083" s="982"/>
      <c r="S1083" s="980"/>
      <c r="T1083" s="981" t="s">
        <v>632</v>
      </c>
      <c r="U1083" s="983"/>
      <c r="V1083" s="982"/>
      <c r="W1083" s="980"/>
      <c r="X1083" s="981" t="s">
        <v>632</v>
      </c>
      <c r="Y1083" s="983"/>
      <c r="Z1083" s="1412" t="str">
        <f>IFERROR(VLOOKUP(C1083, [6]條件!$A:$L, 3, 0), "")</f>
        <v/>
      </c>
      <c r="AA1083" s="984" t="str">
        <f>IF(OR(L1083={"改紡","檢修","了機","清車","FINAL","停機","SAMPLE","TEST","絲開發"}), L1083, IFERROR(IF(C1083="", "", (SUM(J1083, N1083, R1083, V1083)/3 * AG1083) * IF(AND(AF1083="S", AS1083="雙"), 0.5, 1)), ""))</f>
        <v>停機</v>
      </c>
      <c r="AB1083" s="1413" t="str">
        <f t="shared" si="185"/>
        <v/>
      </c>
      <c r="AC1083" s="984" t="str">
        <f>IF(OR(L1083={"改紡","檢修","了機","清車","FINAL","停機","SAMPLE","TEST"}), "", IFERROR(IF(C1083="", "", AVERAGE(L1083:M1083, P1083:Q1083, T1083:U1083, X1083:Y1083)/100), ""))</f>
        <v/>
      </c>
      <c r="AD1083" s="984" t="str">
        <f t="shared" si="183"/>
        <v/>
      </c>
      <c r="AE1083" s="984" t="str">
        <f t="shared" si="186"/>
        <v/>
      </c>
      <c r="AF1083" s="985" t="str">
        <f t="shared" si="178"/>
        <v>A</v>
      </c>
      <c r="AG1083" s="1414">
        <v>1</v>
      </c>
      <c r="AH1083" s="1002" t="s">
        <v>640</v>
      </c>
      <c r="AI1083" s="1002" t="s">
        <v>640</v>
      </c>
      <c r="AJ1083" s="1002" t="s">
        <v>640</v>
      </c>
      <c r="AK1083" s="1002" t="s">
        <v>640</v>
      </c>
      <c r="AL1083" s="1415"/>
      <c r="AM1083" s="1323"/>
      <c r="AN1083" s="1323"/>
      <c r="AO1083" s="1323"/>
      <c r="AP1083" s="1323"/>
      <c r="AQ1083" s="1323"/>
      <c r="AR1083" s="987"/>
      <c r="AS1083" s="978" t="str">
        <f t="shared" si="179"/>
        <v>單</v>
      </c>
      <c r="AT1083" s="978" t="str">
        <f t="shared" si="180"/>
        <v>全</v>
      </c>
      <c r="AU1083" s="978" t="str">
        <f t="shared" si="181"/>
        <v/>
      </c>
      <c r="AV1083" s="978" t="str">
        <f t="shared" si="182"/>
        <v/>
      </c>
    </row>
    <row r="1084" spans="1:48">
      <c r="A1084" s="975">
        <f t="shared" si="184"/>
        <v>46170</v>
      </c>
      <c r="B1084" s="976" t="s">
        <v>226</v>
      </c>
      <c r="C1084" s="976" t="s">
        <v>632</v>
      </c>
      <c r="D1084" s="1410"/>
      <c r="E1084" s="977" t="str">
        <f>IFERROR(VLOOKUP(C1084, [6]條件!$A:$L, 5, 0), "")</f>
        <v/>
      </c>
      <c r="F1084" s="978" t="str">
        <f>IFERROR(VLOOKUP(C1084, [6]條件!$A:$L, 6, 0), "")</f>
        <v/>
      </c>
      <c r="G1084" s="1411" t="str">
        <f>IFERROR(VLOOKUP(C1084, [6]條件!$A:$L, 7, 0), "")</f>
        <v/>
      </c>
      <c r="H1084" s="978" t="str">
        <f>IF(ISNA(VLOOKUP(C1084,[6]條件!$A$1:$K$932,11,0)),"",(VLOOKUP(C1084,[6]條件!$A$1:$K$932,11,0)))</f>
        <v/>
      </c>
      <c r="I1084" s="979" t="str">
        <f>IF(ISNA(VLOOKUP(C1084,[6]條件!$A$1:$L$932,12,0)),"",(VLOOKUP(C1084,[6]條件!$A$1:$L$932,12,0)))</f>
        <v/>
      </c>
      <c r="J1084" s="982"/>
      <c r="K1084" s="980"/>
      <c r="L1084" s="981" t="s">
        <v>632</v>
      </c>
      <c r="M1084" s="983"/>
      <c r="N1084" s="982"/>
      <c r="O1084" s="980"/>
      <c r="P1084" s="981" t="s">
        <v>632</v>
      </c>
      <c r="Q1084" s="983"/>
      <c r="R1084" s="982"/>
      <c r="S1084" s="980"/>
      <c r="T1084" s="981" t="s">
        <v>632</v>
      </c>
      <c r="U1084" s="983"/>
      <c r="V1084" s="982"/>
      <c r="W1084" s="980"/>
      <c r="X1084" s="981" t="s">
        <v>632</v>
      </c>
      <c r="Y1084" s="983"/>
      <c r="Z1084" s="1412" t="str">
        <f>IFERROR(VLOOKUP(C1084, [6]條件!$A:$L, 3, 0), "")</f>
        <v/>
      </c>
      <c r="AA1084" s="984" t="str">
        <f>IF(OR(L1084={"改紡","檢修","了機","清車","FINAL","停機","SAMPLE","TEST","絲開發"}), L1084, IFERROR(IF(C1084="", "", (SUM(J1084, N1084, R1084, V1084)/3 * AG1084) * IF(AND(AF1084="S", AS1084="雙"), 0.5, 1)), ""))</f>
        <v>停機</v>
      </c>
      <c r="AB1084" s="1413" t="str">
        <f t="shared" si="185"/>
        <v/>
      </c>
      <c r="AC1084" s="984" t="str">
        <f>IF(OR(L1084={"改紡","檢修","了機","清車","FINAL","停機","SAMPLE","TEST"}), "", IFERROR(IF(C1084="", "", AVERAGE(L1084:M1084, P1084:Q1084, T1084:U1084, X1084:Y1084)/100), ""))</f>
        <v/>
      </c>
      <c r="AD1084" s="984" t="str">
        <f t="shared" si="183"/>
        <v/>
      </c>
      <c r="AE1084" s="984" t="str">
        <f t="shared" si="186"/>
        <v/>
      </c>
      <c r="AF1084" s="985" t="str">
        <f t="shared" si="178"/>
        <v>A</v>
      </c>
      <c r="AG1084" s="1414">
        <v>1</v>
      </c>
      <c r="AH1084" s="1002" t="s">
        <v>640</v>
      </c>
      <c r="AI1084" s="1002" t="s">
        <v>640</v>
      </c>
      <c r="AJ1084" s="1002" t="s">
        <v>640</v>
      </c>
      <c r="AK1084" s="1002" t="s">
        <v>640</v>
      </c>
      <c r="AL1084" s="1415"/>
      <c r="AM1084" s="1323"/>
      <c r="AN1084" s="1323"/>
      <c r="AO1084" s="1323"/>
      <c r="AP1084" s="1323"/>
      <c r="AQ1084" s="1323"/>
      <c r="AR1084" s="987"/>
      <c r="AS1084" s="978" t="str">
        <f t="shared" si="179"/>
        <v>單</v>
      </c>
      <c r="AT1084" s="978" t="str">
        <f t="shared" si="180"/>
        <v>全</v>
      </c>
      <c r="AU1084" s="978" t="str">
        <f t="shared" si="181"/>
        <v/>
      </c>
      <c r="AV1084" s="978" t="str">
        <f t="shared" si="182"/>
        <v/>
      </c>
    </row>
    <row r="1085" spans="1:48">
      <c r="A1085" s="975">
        <f t="shared" si="184"/>
        <v>46170</v>
      </c>
      <c r="B1085" s="976" t="s">
        <v>227</v>
      </c>
      <c r="C1085" s="976" t="s">
        <v>632</v>
      </c>
      <c r="D1085" s="1410"/>
      <c r="E1085" s="977" t="str">
        <f>IFERROR(VLOOKUP(C1085, [6]條件!$A:$L, 5, 0), "")</f>
        <v/>
      </c>
      <c r="F1085" s="978" t="str">
        <f>IFERROR(VLOOKUP(C1085, [6]條件!$A:$L, 6, 0), "")</f>
        <v/>
      </c>
      <c r="G1085" s="1411" t="str">
        <f>IFERROR(VLOOKUP(C1085, [6]條件!$A:$L, 7, 0), "")</f>
        <v/>
      </c>
      <c r="H1085" s="978" t="str">
        <f>IF(ISNA(VLOOKUP(C1085,[6]條件!$A$1:$K$932,11,0)),"",(VLOOKUP(C1085,[6]條件!$A$1:$K$932,11,0)))</f>
        <v/>
      </c>
      <c r="I1085" s="979" t="str">
        <f>IF(ISNA(VLOOKUP(C1085,[6]條件!$A$1:$L$932,12,0)),"",(VLOOKUP(C1085,[6]條件!$A$1:$L$932,12,0)))</f>
        <v/>
      </c>
      <c r="J1085" s="982"/>
      <c r="K1085" s="980"/>
      <c r="L1085" s="981" t="s">
        <v>632</v>
      </c>
      <c r="M1085" s="983"/>
      <c r="N1085" s="982"/>
      <c r="O1085" s="980"/>
      <c r="P1085" s="981" t="s">
        <v>632</v>
      </c>
      <c r="Q1085" s="983"/>
      <c r="R1085" s="982"/>
      <c r="S1085" s="980"/>
      <c r="T1085" s="981" t="s">
        <v>632</v>
      </c>
      <c r="U1085" s="983"/>
      <c r="V1085" s="982"/>
      <c r="W1085" s="980"/>
      <c r="X1085" s="981" t="s">
        <v>632</v>
      </c>
      <c r="Y1085" s="983"/>
      <c r="Z1085" s="1412" t="str">
        <f>IFERROR(VLOOKUP(C1085, [6]條件!$A:$L, 3, 0), "")</f>
        <v/>
      </c>
      <c r="AA1085" s="984" t="str">
        <f>IF(OR(L1085={"改紡","檢修","了機","清車","FINAL","停機","SAMPLE","TEST","絲開發"}), L1085, IFERROR(IF(C1085="", "", (SUM(J1085, N1085, R1085, V1085)/3 * AG1085) * IF(AND(AF1085="S", AS1085="雙"), 0.5, 1)), ""))</f>
        <v>停機</v>
      </c>
      <c r="AB1085" s="1413" t="str">
        <f t="shared" si="185"/>
        <v/>
      </c>
      <c r="AC1085" s="984" t="str">
        <f>IF(OR(L1085={"改紡","檢修","了機","清車","FINAL","停機","SAMPLE","TEST"}), "", IFERROR(IF(C1085="", "", AVERAGE(L1085:M1085, P1085:Q1085, T1085:U1085, X1085:Y1085)/100), ""))</f>
        <v/>
      </c>
      <c r="AD1085" s="984" t="str">
        <f t="shared" si="183"/>
        <v/>
      </c>
      <c r="AE1085" s="984" t="str">
        <f t="shared" si="186"/>
        <v/>
      </c>
      <c r="AF1085" s="985" t="str">
        <f t="shared" si="178"/>
        <v>A</v>
      </c>
      <c r="AG1085" s="1414">
        <v>1</v>
      </c>
      <c r="AH1085" s="1002" t="s">
        <v>640</v>
      </c>
      <c r="AI1085" s="1002" t="s">
        <v>640</v>
      </c>
      <c r="AJ1085" s="1002" t="s">
        <v>640</v>
      </c>
      <c r="AK1085" s="1002" t="s">
        <v>640</v>
      </c>
      <c r="AL1085" s="1415"/>
      <c r="AM1085" s="1323"/>
      <c r="AN1085" s="1323"/>
      <c r="AO1085" s="1323"/>
      <c r="AP1085" s="1323"/>
      <c r="AQ1085" s="1323"/>
      <c r="AR1085" s="987"/>
      <c r="AS1085" s="978" t="str">
        <f t="shared" si="179"/>
        <v>單</v>
      </c>
      <c r="AT1085" s="978" t="str">
        <f t="shared" si="180"/>
        <v>全</v>
      </c>
      <c r="AU1085" s="978" t="str">
        <f t="shared" si="181"/>
        <v/>
      </c>
      <c r="AV1085" s="978" t="str">
        <f t="shared" si="182"/>
        <v/>
      </c>
    </row>
    <row r="1086" spans="1:48">
      <c r="A1086" s="975">
        <f t="shared" si="184"/>
        <v>46170</v>
      </c>
      <c r="B1086" s="976" t="s">
        <v>228</v>
      </c>
      <c r="C1086" s="976" t="s">
        <v>632</v>
      </c>
      <c r="D1086" s="1410"/>
      <c r="E1086" s="977" t="str">
        <f>IFERROR(VLOOKUP(C1086, [6]條件!$A:$L, 5, 0), "")</f>
        <v/>
      </c>
      <c r="F1086" s="978" t="str">
        <f>IFERROR(VLOOKUP(C1086, [6]條件!$A:$L, 6, 0), "")</f>
        <v/>
      </c>
      <c r="G1086" s="1411" t="str">
        <f>IFERROR(VLOOKUP(C1086, [6]條件!$A:$L, 7, 0), "")</f>
        <v/>
      </c>
      <c r="H1086" s="978" t="str">
        <f>IF(ISNA(VLOOKUP(C1086,[6]條件!$A$1:$K$932,11,0)),"",(VLOOKUP(C1086,[6]條件!$A$1:$K$932,11,0)))</f>
        <v/>
      </c>
      <c r="I1086" s="979" t="str">
        <f>IF(ISNA(VLOOKUP(C1086,[6]條件!$A$1:$L$932,12,0)),"",(VLOOKUP(C1086,[6]條件!$A$1:$L$932,12,0)))</f>
        <v/>
      </c>
      <c r="J1086" s="982"/>
      <c r="K1086" s="980"/>
      <c r="L1086" s="981" t="s">
        <v>632</v>
      </c>
      <c r="M1086" s="983"/>
      <c r="N1086" s="982"/>
      <c r="O1086" s="980"/>
      <c r="P1086" s="981" t="s">
        <v>632</v>
      </c>
      <c r="Q1086" s="983"/>
      <c r="R1086" s="982"/>
      <c r="S1086" s="980"/>
      <c r="T1086" s="981" t="s">
        <v>632</v>
      </c>
      <c r="U1086" s="983"/>
      <c r="V1086" s="982"/>
      <c r="W1086" s="980"/>
      <c r="X1086" s="981" t="s">
        <v>632</v>
      </c>
      <c r="Y1086" s="983"/>
      <c r="Z1086" s="1412" t="str">
        <f>IFERROR(VLOOKUP(C1086, [6]條件!$A:$L, 3, 0), "")</f>
        <v/>
      </c>
      <c r="AA1086" s="984" t="str">
        <f>IF(OR(L1086={"改紡","檢修","了機","清車","FINAL","停機","SAMPLE","TEST","絲開發"}), L1086, IFERROR(IF(C1086="", "", (SUM(J1086, N1086, R1086, V1086)/3 * AG1086) * IF(AND(AF1086="S", AS1086="雙"), 0.5, 1)), ""))</f>
        <v>停機</v>
      </c>
      <c r="AB1086" s="1413" t="str">
        <f t="shared" si="185"/>
        <v/>
      </c>
      <c r="AC1086" s="984" t="str">
        <f>IF(OR(L1086={"改紡","檢修","了機","清車","FINAL","停機","SAMPLE","TEST"}), "", IFERROR(IF(C1086="", "", AVERAGE(L1086:M1086, P1086:Q1086, T1086:U1086, X1086:Y1086)/100), ""))</f>
        <v/>
      </c>
      <c r="AD1086" s="984" t="str">
        <f t="shared" si="183"/>
        <v/>
      </c>
      <c r="AE1086" s="984" t="str">
        <f t="shared" si="186"/>
        <v/>
      </c>
      <c r="AF1086" s="985" t="str">
        <f t="shared" si="178"/>
        <v>A</v>
      </c>
      <c r="AG1086" s="1414">
        <v>1</v>
      </c>
      <c r="AH1086" s="1002" t="s">
        <v>640</v>
      </c>
      <c r="AI1086" s="1002" t="s">
        <v>640</v>
      </c>
      <c r="AJ1086" s="1002" t="s">
        <v>640</v>
      </c>
      <c r="AK1086" s="1002" t="s">
        <v>640</v>
      </c>
      <c r="AL1086" s="1420"/>
      <c r="AM1086" s="1323"/>
      <c r="AN1086" s="1323"/>
      <c r="AO1086" s="1323"/>
      <c r="AP1086" s="1323"/>
      <c r="AQ1086" s="1323"/>
      <c r="AR1086" s="987"/>
      <c r="AS1086" s="978" t="str">
        <f t="shared" si="179"/>
        <v>單</v>
      </c>
      <c r="AT1086" s="978" t="str">
        <f t="shared" si="180"/>
        <v>全</v>
      </c>
      <c r="AU1086" s="978" t="str">
        <f t="shared" si="181"/>
        <v/>
      </c>
      <c r="AV1086" s="978" t="str">
        <f t="shared" si="182"/>
        <v/>
      </c>
    </row>
    <row r="1087" spans="1:48">
      <c r="A1087" s="975">
        <f t="shared" si="184"/>
        <v>46170</v>
      </c>
      <c r="B1087" s="976" t="s">
        <v>229</v>
      </c>
      <c r="C1087" s="976" t="s">
        <v>632</v>
      </c>
      <c r="D1087" s="1410"/>
      <c r="E1087" s="977" t="str">
        <f>IFERROR(VLOOKUP(C1087, [6]條件!$A:$L, 5, 0), "")</f>
        <v/>
      </c>
      <c r="F1087" s="978" t="str">
        <f>IFERROR(VLOOKUP(C1087, [6]條件!$A:$L, 6, 0), "")</f>
        <v/>
      </c>
      <c r="G1087" s="1411" t="str">
        <f>IFERROR(VLOOKUP(C1087, [6]條件!$A:$L, 7, 0), "")</f>
        <v/>
      </c>
      <c r="H1087" s="978" t="str">
        <f>IF(ISNA(VLOOKUP(C1087,[6]條件!$A$1:$K$932,11,0)),"",(VLOOKUP(C1087,[6]條件!$A$1:$K$932,11,0)))</f>
        <v/>
      </c>
      <c r="I1087" s="979" t="str">
        <f>IF(ISNA(VLOOKUP(C1087,[6]條件!$A$1:$L$932,12,0)),"",(VLOOKUP(C1087,[6]條件!$A$1:$L$932,12,0)))</f>
        <v/>
      </c>
      <c r="J1087" s="982"/>
      <c r="K1087" s="980"/>
      <c r="L1087" s="981" t="s">
        <v>632</v>
      </c>
      <c r="M1087" s="983"/>
      <c r="N1087" s="982"/>
      <c r="O1087" s="980"/>
      <c r="P1087" s="981" t="s">
        <v>632</v>
      </c>
      <c r="Q1087" s="983"/>
      <c r="R1087" s="982"/>
      <c r="S1087" s="980"/>
      <c r="T1087" s="981" t="s">
        <v>632</v>
      </c>
      <c r="U1087" s="983"/>
      <c r="V1087" s="982"/>
      <c r="W1087" s="980"/>
      <c r="X1087" s="981" t="s">
        <v>632</v>
      </c>
      <c r="Y1087" s="983"/>
      <c r="Z1087" s="1412" t="str">
        <f>IFERROR(VLOOKUP(C1087, [6]條件!$A:$L, 3, 0), "")</f>
        <v/>
      </c>
      <c r="AA1087" s="984" t="str">
        <f>IF(OR(L1087={"改紡","檢修","了機","清車","FINAL","停機","SAMPLE","TEST","絲開發"}), L1087, IFERROR(IF(C1087="", "", (SUM(J1087, N1087, R1087, V1087)/3 * AG1087) * IF(AND(AF1087="S", AS1087="雙"), 0.5, 1)), ""))</f>
        <v>停機</v>
      </c>
      <c r="AB1087" s="1413" t="str">
        <f t="shared" si="185"/>
        <v/>
      </c>
      <c r="AC1087" s="984" t="str">
        <f>IF(OR(L1087={"改紡","檢修","了機","清車","FINAL","停機","SAMPLE","TEST"}), "", IFERROR(IF(C1087="", "", AVERAGE(L1087:M1087, P1087:Q1087, T1087:U1087, X1087:Y1087)/100), ""))</f>
        <v/>
      </c>
      <c r="AD1087" s="984" t="str">
        <f t="shared" si="183"/>
        <v/>
      </c>
      <c r="AE1087" s="984" t="str">
        <f t="shared" si="186"/>
        <v/>
      </c>
      <c r="AF1087" s="985" t="str">
        <f t="shared" si="178"/>
        <v>A</v>
      </c>
      <c r="AG1087" s="1414">
        <v>1</v>
      </c>
      <c r="AH1087" s="1002" t="s">
        <v>640</v>
      </c>
      <c r="AI1087" s="1002" t="s">
        <v>640</v>
      </c>
      <c r="AJ1087" s="1002" t="s">
        <v>640</v>
      </c>
      <c r="AK1087" s="1002" t="s">
        <v>640</v>
      </c>
      <c r="AL1087" s="1421"/>
      <c r="AM1087" s="1323"/>
      <c r="AN1087" s="1323"/>
      <c r="AO1087" s="1323"/>
      <c r="AP1087" s="1323"/>
      <c r="AQ1087" s="1323"/>
      <c r="AR1087" s="987"/>
      <c r="AS1087" s="978" t="str">
        <f t="shared" si="179"/>
        <v>單</v>
      </c>
      <c r="AT1087" s="978" t="str">
        <f t="shared" si="180"/>
        <v>全</v>
      </c>
      <c r="AU1087" s="978" t="str">
        <f t="shared" si="181"/>
        <v/>
      </c>
      <c r="AV1087" s="978" t="str">
        <f t="shared" si="182"/>
        <v/>
      </c>
    </row>
    <row r="1088" spans="1:48">
      <c r="A1088" s="975">
        <f t="shared" si="184"/>
        <v>46170</v>
      </c>
      <c r="B1088" s="976" t="s">
        <v>230</v>
      </c>
      <c r="C1088" s="976" t="s">
        <v>632</v>
      </c>
      <c r="D1088" s="1410"/>
      <c r="E1088" s="977" t="str">
        <f>IFERROR(VLOOKUP(C1088, [6]條件!$A:$L, 5, 0), "")</f>
        <v/>
      </c>
      <c r="F1088" s="978" t="str">
        <f>IFERROR(VLOOKUP(C1088, [6]條件!$A:$L, 6, 0), "")</f>
        <v/>
      </c>
      <c r="G1088" s="1411" t="str">
        <f>IFERROR(VLOOKUP(C1088, [6]條件!$A:$L, 7, 0), "")</f>
        <v/>
      </c>
      <c r="H1088" s="978" t="str">
        <f>IF(ISNA(VLOOKUP(C1088,[6]條件!$A$1:$K$932,11,0)),"",(VLOOKUP(C1088,[6]條件!$A$1:$K$932,11,0)))</f>
        <v/>
      </c>
      <c r="I1088" s="979" t="str">
        <f>IF(ISNA(VLOOKUP(C1088,[6]條件!$A$1:$L$932,12,0)),"",(VLOOKUP(C1088,[6]條件!$A$1:$L$932,12,0)))</f>
        <v/>
      </c>
      <c r="J1088" s="982"/>
      <c r="K1088" s="980"/>
      <c r="L1088" s="981" t="s">
        <v>632</v>
      </c>
      <c r="M1088" s="983"/>
      <c r="N1088" s="982"/>
      <c r="O1088" s="980"/>
      <c r="P1088" s="981" t="s">
        <v>632</v>
      </c>
      <c r="Q1088" s="983"/>
      <c r="R1088" s="982"/>
      <c r="S1088" s="980"/>
      <c r="T1088" s="981" t="s">
        <v>632</v>
      </c>
      <c r="U1088" s="983"/>
      <c r="V1088" s="982"/>
      <c r="W1088" s="980"/>
      <c r="X1088" s="981" t="s">
        <v>632</v>
      </c>
      <c r="Y1088" s="983"/>
      <c r="Z1088" s="1412" t="str">
        <f>IFERROR(VLOOKUP(C1088, [6]條件!$A:$L, 3, 0), "")</f>
        <v/>
      </c>
      <c r="AA1088" s="984" t="str">
        <f>IF(OR(L1088={"改紡","檢修","了機","清車","FINAL","停機","SAMPLE","TEST","絲開發"}), L1088, IFERROR(IF(C1088="", "", (SUM(J1088, N1088, R1088, V1088)/3 * AG1088) * IF(AND(AF1088="S", AS1088="雙"), 0.5, 1)), ""))</f>
        <v>停機</v>
      </c>
      <c r="AB1088" s="1413" t="str">
        <f t="shared" si="185"/>
        <v/>
      </c>
      <c r="AC1088" s="984" t="str">
        <f>IF(OR(L1088={"改紡","檢修","了機","清車","FINAL","停機","SAMPLE","TEST"}), "", IFERROR(IF(C1088="", "", AVERAGE(L1088:M1088, P1088:Q1088, T1088:U1088, X1088:Y1088)/100), ""))</f>
        <v/>
      </c>
      <c r="AD1088" s="984" t="str">
        <f t="shared" si="183"/>
        <v/>
      </c>
      <c r="AE1088" s="984" t="str">
        <f t="shared" si="186"/>
        <v/>
      </c>
      <c r="AF1088" s="985" t="str">
        <f t="shared" si="178"/>
        <v>A</v>
      </c>
      <c r="AG1088" s="1414">
        <v>1</v>
      </c>
      <c r="AH1088" s="1002" t="s">
        <v>16011</v>
      </c>
      <c r="AI1088" s="1002" t="s">
        <v>16011</v>
      </c>
      <c r="AJ1088" s="1002" t="s">
        <v>640</v>
      </c>
      <c r="AK1088" s="1002" t="s">
        <v>640</v>
      </c>
      <c r="AL1088" s="1415"/>
      <c r="AM1088" s="1323"/>
      <c r="AN1088" s="1323"/>
      <c r="AO1088" s="1323"/>
      <c r="AP1088" s="1323"/>
      <c r="AQ1088" s="1323"/>
      <c r="AR1088" s="987"/>
      <c r="AS1088" s="978" t="str">
        <f t="shared" si="179"/>
        <v>單</v>
      </c>
      <c r="AT1088" s="978" t="str">
        <f t="shared" si="180"/>
        <v>全</v>
      </c>
      <c r="AU1088" s="978" t="str">
        <f t="shared" si="181"/>
        <v/>
      </c>
      <c r="AV1088" s="978" t="str">
        <f t="shared" si="182"/>
        <v/>
      </c>
    </row>
    <row r="1089" spans="1:48">
      <c r="A1089" s="975">
        <f t="shared" si="184"/>
        <v>46170</v>
      </c>
      <c r="B1089" s="976" t="s">
        <v>231</v>
      </c>
      <c r="C1089" s="976" t="s">
        <v>632</v>
      </c>
      <c r="D1089" s="1410"/>
      <c r="E1089" s="977" t="str">
        <f>IFERROR(VLOOKUP(C1089, [6]條件!$A:$L, 5, 0), "")</f>
        <v/>
      </c>
      <c r="F1089" s="978" t="str">
        <f>IFERROR(VLOOKUP(C1089, [6]條件!$A:$L, 6, 0), "")</f>
        <v/>
      </c>
      <c r="G1089" s="1411" t="str">
        <f>IFERROR(VLOOKUP(C1089, [6]條件!$A:$L, 7, 0), "")</f>
        <v/>
      </c>
      <c r="H1089" s="978" t="str">
        <f>IF(ISNA(VLOOKUP(C1089,[6]條件!$A$1:$K$932,11,0)),"",(VLOOKUP(C1089,[6]條件!$A$1:$K$932,11,0)))</f>
        <v/>
      </c>
      <c r="I1089" s="979" t="str">
        <f>IF(ISNA(VLOOKUP(C1089,[6]條件!$A$1:$L$932,12,0)),"",(VLOOKUP(C1089,[6]條件!$A$1:$L$932,12,0)))</f>
        <v/>
      </c>
      <c r="J1089" s="982"/>
      <c r="K1089" s="980"/>
      <c r="L1089" s="981" t="s">
        <v>632</v>
      </c>
      <c r="M1089" s="983"/>
      <c r="N1089" s="982"/>
      <c r="O1089" s="980"/>
      <c r="P1089" s="981" t="s">
        <v>632</v>
      </c>
      <c r="Q1089" s="983"/>
      <c r="R1089" s="982"/>
      <c r="S1089" s="980"/>
      <c r="T1089" s="981" t="s">
        <v>632</v>
      </c>
      <c r="U1089" s="983"/>
      <c r="V1089" s="982"/>
      <c r="W1089" s="980"/>
      <c r="X1089" s="981" t="s">
        <v>632</v>
      </c>
      <c r="Y1089" s="983"/>
      <c r="Z1089" s="1412" t="str">
        <f>IFERROR(VLOOKUP(C1089, [6]條件!$A:$L, 3, 0), "")</f>
        <v/>
      </c>
      <c r="AA1089" s="984" t="str">
        <f>IF(OR(L1089={"改紡","檢修","了機","清車","FINAL","停機","SAMPLE","TEST","絲開發"}), L1089, IFERROR(IF(C1089="", "", (SUM(J1089, N1089, R1089, V1089)/3 * AG1089) * IF(AND(AF1089="S", AS1089="雙"), 0.5, 1)), ""))</f>
        <v>停機</v>
      </c>
      <c r="AB1089" s="1413" t="str">
        <f t="shared" si="185"/>
        <v/>
      </c>
      <c r="AC1089" s="984" t="str">
        <f>IF(OR(L1089={"改紡","檢修","了機","清車","FINAL","停機","SAMPLE","TEST"}), "", IFERROR(IF(C1089="", "", AVERAGE(L1089:M1089, P1089:Q1089, T1089:U1089, X1089:Y1089)/100), ""))</f>
        <v/>
      </c>
      <c r="AD1089" s="984" t="str">
        <f t="shared" si="183"/>
        <v/>
      </c>
      <c r="AE1089" s="984" t="str">
        <f t="shared" si="186"/>
        <v/>
      </c>
      <c r="AF1089" s="985" t="str">
        <f t="shared" si="178"/>
        <v>J</v>
      </c>
      <c r="AG1089" s="1414">
        <v>1</v>
      </c>
      <c r="AH1089" s="1002" t="s">
        <v>640</v>
      </c>
      <c r="AI1089" s="1002" t="s">
        <v>640</v>
      </c>
      <c r="AJ1089" s="1002" t="s">
        <v>640</v>
      </c>
      <c r="AK1089" s="1002" t="s">
        <v>640</v>
      </c>
      <c r="AL1089" s="1415"/>
      <c r="AM1089" s="1323"/>
      <c r="AN1089" s="1323"/>
      <c r="AO1089" s="1323"/>
      <c r="AP1089" s="1323"/>
      <c r="AQ1089" s="1323"/>
      <c r="AR1089" s="987"/>
      <c r="AS1089" s="978" t="str">
        <f t="shared" si="179"/>
        <v>單</v>
      </c>
      <c r="AT1089" s="978" t="str">
        <f t="shared" si="180"/>
        <v>全</v>
      </c>
      <c r="AU1089" s="978" t="str">
        <f t="shared" si="181"/>
        <v/>
      </c>
      <c r="AV1089" s="978" t="str">
        <f t="shared" si="182"/>
        <v/>
      </c>
    </row>
    <row r="1090" spans="1:48">
      <c r="A1090" s="975">
        <f t="shared" si="184"/>
        <v>46170</v>
      </c>
      <c r="B1090" s="976" t="s">
        <v>233</v>
      </c>
      <c r="C1090" s="976" t="s">
        <v>16772</v>
      </c>
      <c r="D1090" s="1410" t="s">
        <v>633</v>
      </c>
      <c r="E1090" s="977" t="str">
        <f>IFERROR(VLOOKUP(C1090, [6]條件!$A:$L, 5, 0), "")</f>
        <v>150/48/2SDr</v>
      </c>
      <c r="F1090" s="978" t="str">
        <f>IFERROR(VLOOKUP(C1090, [6]條件!$A:$L, 6, 0), "")</f>
        <v>FP82171R×2</v>
      </c>
      <c r="G1090" s="1411">
        <f>IFERROR(VLOOKUP(C1090, [6]條件!$A:$L, 7, 0), "")</f>
        <v>600</v>
      </c>
      <c r="H1090" s="978" t="str">
        <f>IF(ISNA(VLOOKUP(C1090,[6]條件!$A$1:$K$932,11,0)),"",(VLOOKUP(C1090,[6]條件!$A$1:$K$932,11,0)))</f>
        <v>紅白直條</v>
      </c>
      <c r="I1090" s="979">
        <f>IF(ISNA(VLOOKUP(C1090,[6]條件!$A$1:$L$932,12,0)),"",(VLOOKUP(C1090,[6]條件!$A$1:$L$932,12,0)))</f>
        <v>5.5</v>
      </c>
      <c r="J1090" s="982">
        <v>19</v>
      </c>
      <c r="K1090" s="980">
        <v>4</v>
      </c>
      <c r="L1090" s="981">
        <v>6320</v>
      </c>
      <c r="M1090" s="983"/>
      <c r="N1090" s="982">
        <v>6</v>
      </c>
      <c r="O1090" s="980">
        <v>1</v>
      </c>
      <c r="P1090" s="981">
        <v>6510</v>
      </c>
      <c r="Q1090" s="983"/>
      <c r="R1090" s="982">
        <v>8</v>
      </c>
      <c r="S1090" s="980">
        <v>2</v>
      </c>
      <c r="T1090" s="981">
        <v>6040</v>
      </c>
      <c r="U1090" s="983"/>
      <c r="V1090" s="982">
        <v>12</v>
      </c>
      <c r="W1090" s="980">
        <v>0</v>
      </c>
      <c r="X1090" s="981">
        <v>6530</v>
      </c>
      <c r="Y1090" s="983"/>
      <c r="Z1090" s="1412">
        <f>IFERROR(VLOOKUP(C1090, [6]條件!$A:$L, 3, 0), "")</f>
        <v>5.0526315789473673</v>
      </c>
      <c r="AA1090" s="984">
        <f>IF(OR(L1090={"改紡","檢修","了機","清車","FINAL","停機","SAMPLE","TEST","絲開發"}), L1090, IFERROR(IF(C1090="", "", (SUM(J1090, N1090, R1090, V1090)/3 * AG1090) * IF(AND(AF1090="S", AS1090="雙"), 0.5, 1)), ""))</f>
        <v>15</v>
      </c>
      <c r="AB1090" s="1413">
        <f t="shared" si="185"/>
        <v>0.99333934294871795</v>
      </c>
      <c r="AC1090" s="984">
        <f>IF(OR(L1090={"改紡","檢修","了機","清車","FINAL","停機","SAMPLE","TEST"}), "", IFERROR(IF(C1090="", "", AVERAGE(L1090:M1090, P1090:Q1090, T1090:U1090, X1090:Y1090)/100), ""))</f>
        <v>63.5</v>
      </c>
      <c r="AD1090" s="984">
        <f t="shared" si="183"/>
        <v>1.875</v>
      </c>
      <c r="AE1090" s="984">
        <f t="shared" si="186"/>
        <v>1.5833333333333333</v>
      </c>
      <c r="AF1090" s="985" t="str">
        <f t="shared" ref="AF1090:AF1153" si="187">LEFT(B1090, 1)</f>
        <v>J</v>
      </c>
      <c r="AG1090" s="1414">
        <v>1</v>
      </c>
      <c r="AH1090" s="1002" t="s">
        <v>16006</v>
      </c>
      <c r="AI1090" s="1002" t="s">
        <v>16006</v>
      </c>
      <c r="AJ1090" s="986" t="s">
        <v>16019</v>
      </c>
      <c r="AK1090" s="986" t="s">
        <v>16019</v>
      </c>
      <c r="AL1090" s="1415"/>
      <c r="AM1090" s="1323"/>
      <c r="AN1090" s="1323"/>
      <c r="AO1090" s="1323"/>
      <c r="AP1090" s="1323"/>
      <c r="AQ1090" s="1323"/>
      <c r="AR1090" s="987"/>
      <c r="AS1090" s="978" t="str">
        <f t="shared" ref="AS1090:AS1153" si="188">IF(RIGHT(F1090, 2) = "×2", "雙", "單")</f>
        <v>雙</v>
      </c>
      <c r="AT1090" s="978" t="str">
        <f t="shared" ref="AT1090:AT1153" si="189">IF(OR(AF1090="J", AF1090="T", AF1090="M"), IF(AG1090=1, "全", "半"), IF(AF1090="A", IF(AG1090=0.5, IF(AS1090="雙", "全", ""), IF(AG1090=1, IF(AS1090="雙", "半", "全"), IF(AG1090=2, "半", ""))), IF(AF1090="S", AG1090 &amp; "sec", "")))</f>
        <v>全</v>
      </c>
      <c r="AU1090" s="978">
        <f t="shared" ref="AU1090:AU1153" si="190">IFERROR(VALUE(LEFT(E1090, FIND("/", E1090)-1)), "")</f>
        <v>150</v>
      </c>
      <c r="AV1090" s="978">
        <f t="shared" ref="AV1090:AV1153" si="191">IFERROR(IF(AF1090="S", (AU1090*G1090*AC1090*0.03456/100/1000) * (AG1090*12/144) * IF(AS1090="單", 1, 0.5), IF(AF1090="A", (AU1090*G1090*AC1090*0.03456/100/1000) * IF(AT1090="全", 1, 0.5), IF(OR(AF1090="T", AF1090="J", AF1090="M"), (AU1090*G1090*AC1090*0.03456/100/1000) * IF(AS1090="單", 1, 2) * IF(AT1090="全", 1, 0.5), 0))), "")</f>
        <v>3.9502079999999999</v>
      </c>
    </row>
    <row r="1091" spans="1:48">
      <c r="A1091" s="975">
        <f t="shared" si="184"/>
        <v>46170</v>
      </c>
      <c r="B1091" s="976" t="s">
        <v>234</v>
      </c>
      <c r="C1091" s="976" t="s">
        <v>632</v>
      </c>
      <c r="D1091" s="1410"/>
      <c r="E1091" s="977" t="str">
        <f>IFERROR(VLOOKUP(C1091, [6]條件!$A:$L, 5, 0), "")</f>
        <v/>
      </c>
      <c r="F1091" s="978" t="str">
        <f>IFERROR(VLOOKUP(C1091, [6]條件!$A:$L, 6, 0), "")</f>
        <v/>
      </c>
      <c r="G1091" s="1411" t="str">
        <f>IFERROR(VLOOKUP(C1091, [6]條件!$A:$L, 7, 0), "")</f>
        <v/>
      </c>
      <c r="H1091" s="978" t="str">
        <f>IF(ISNA(VLOOKUP(C1091,[6]條件!$A$1:$K$932,11,0)),"",(VLOOKUP(C1091,[6]條件!$A$1:$K$932,11,0)))</f>
        <v/>
      </c>
      <c r="I1091" s="979" t="str">
        <f>IF(ISNA(VLOOKUP(C1091,[6]條件!$A$1:$L$932,12,0)),"",(VLOOKUP(C1091,[6]條件!$A$1:$L$932,12,0)))</f>
        <v/>
      </c>
      <c r="J1091" s="982"/>
      <c r="K1091" s="980"/>
      <c r="L1091" s="981" t="s">
        <v>632</v>
      </c>
      <c r="M1091" s="983"/>
      <c r="N1091" s="982"/>
      <c r="O1091" s="980"/>
      <c r="P1091" s="981" t="s">
        <v>632</v>
      </c>
      <c r="Q1091" s="983"/>
      <c r="R1091" s="982"/>
      <c r="S1091" s="980"/>
      <c r="T1091" s="981" t="s">
        <v>632</v>
      </c>
      <c r="U1091" s="983"/>
      <c r="V1091" s="982"/>
      <c r="W1091" s="980"/>
      <c r="X1091" s="981" t="s">
        <v>632</v>
      </c>
      <c r="Y1091" s="983"/>
      <c r="Z1091" s="1412" t="str">
        <f>IFERROR(VLOOKUP(C1091, [6]條件!$A:$L, 3, 0), "")</f>
        <v/>
      </c>
      <c r="AA1091" s="984" t="str">
        <f>IF(OR(L1091={"改紡","檢修","了機","清車","FINAL","停機","SAMPLE","TEST","絲開發"}), L1091, IFERROR(IF(C1091="", "", (SUM(J1091, N1091, R1091, V1091)/3 * AG1091) * IF(AND(AF1091="S", AS1091="雙"), 0.5, 1)), ""))</f>
        <v>停機</v>
      </c>
      <c r="AB1091" s="1413" t="str">
        <f t="shared" si="185"/>
        <v/>
      </c>
      <c r="AC1091" s="984" t="str">
        <f>IF(OR(L1091={"改紡","檢修","了機","清車","FINAL","停機","SAMPLE","TEST"}), "", IFERROR(IF(C1091="", "", AVERAGE(L1091:M1091, P1091:Q1091, T1091:U1091, X1091:Y1091)/100), ""))</f>
        <v/>
      </c>
      <c r="AD1091" s="984" t="str">
        <f t="shared" si="183"/>
        <v/>
      </c>
      <c r="AE1091" s="984" t="str">
        <f t="shared" si="186"/>
        <v/>
      </c>
      <c r="AF1091" s="985" t="str">
        <f t="shared" si="187"/>
        <v>J</v>
      </c>
      <c r="AG1091" s="1414">
        <v>1</v>
      </c>
      <c r="AH1091" s="1002" t="s">
        <v>640</v>
      </c>
      <c r="AI1091" s="1002" t="s">
        <v>640</v>
      </c>
      <c r="AJ1091" s="986" t="s">
        <v>640</v>
      </c>
      <c r="AK1091" s="986" t="s">
        <v>640</v>
      </c>
      <c r="AL1091" s="1415"/>
      <c r="AM1091" s="1323"/>
      <c r="AN1091" s="1323"/>
      <c r="AO1091" s="1323"/>
      <c r="AP1091" s="1323"/>
      <c r="AQ1091" s="1323"/>
      <c r="AR1091" s="987"/>
      <c r="AS1091" s="978" t="str">
        <f t="shared" si="188"/>
        <v>單</v>
      </c>
      <c r="AT1091" s="978" t="str">
        <f t="shared" si="189"/>
        <v>全</v>
      </c>
      <c r="AU1091" s="978" t="str">
        <f t="shared" si="190"/>
        <v/>
      </c>
      <c r="AV1091" s="978" t="str">
        <f t="shared" si="191"/>
        <v/>
      </c>
    </row>
    <row r="1092" spans="1:48">
      <c r="A1092" s="975">
        <f t="shared" si="184"/>
        <v>46170</v>
      </c>
      <c r="B1092" s="976" t="s">
        <v>235</v>
      </c>
      <c r="C1092" s="976" t="s">
        <v>16765</v>
      </c>
      <c r="D1092" s="1410" t="s">
        <v>633</v>
      </c>
      <c r="E1092" s="977" t="str">
        <f>IFERROR(VLOOKUP(C1092, [6]條件!$A:$L, 5, 0), "")</f>
        <v>150/48/2SDr</v>
      </c>
      <c r="F1092" s="978" t="str">
        <f>IFERROR(VLOOKUP(C1092, [6]條件!$A:$L, 6, 0), "")</f>
        <v>FP82173R×2</v>
      </c>
      <c r="G1092" s="1411">
        <f>IFERROR(VLOOKUP(C1092, [6]條件!$A:$L, 7, 0), "")</f>
        <v>700</v>
      </c>
      <c r="H1092" s="978" t="str">
        <f>IF(ISNA(VLOOKUP(C1092,[6]條件!$A$1:$K$932,11,0)),"",(VLOOKUP(C1092,[6]條件!$A$1:$K$932,11,0)))</f>
        <v>白紫條紋</v>
      </c>
      <c r="I1092" s="979">
        <f>IF(ISNA(VLOOKUP(C1092,[6]條件!$A$1:$L$932,12,0)),"",(VLOOKUP(C1092,[6]條件!$A$1:$L$932,12,0)))</f>
        <v>5.5</v>
      </c>
      <c r="J1092" s="982">
        <v>61</v>
      </c>
      <c r="K1092" s="980">
        <v>0</v>
      </c>
      <c r="L1092" s="981">
        <v>7690</v>
      </c>
      <c r="M1092" s="983">
        <v>8520</v>
      </c>
      <c r="N1092" s="982">
        <v>19</v>
      </c>
      <c r="O1092" s="980">
        <v>0</v>
      </c>
      <c r="P1092" s="981">
        <v>8060</v>
      </c>
      <c r="Q1092" s="983">
        <v>7870</v>
      </c>
      <c r="R1092" s="982">
        <v>19</v>
      </c>
      <c r="S1092" s="980">
        <v>2</v>
      </c>
      <c r="T1092" s="981">
        <v>6850</v>
      </c>
      <c r="U1092" s="983">
        <v>8430</v>
      </c>
      <c r="V1092" s="982">
        <v>15</v>
      </c>
      <c r="W1092" s="980">
        <v>3</v>
      </c>
      <c r="X1092" s="981">
        <v>8560</v>
      </c>
      <c r="Y1092" s="983" t="s">
        <v>632</v>
      </c>
      <c r="Z1092" s="1412">
        <f>IFERROR(VLOOKUP(C1092, [6]條件!$A:$L, 3, 0), "")</f>
        <v>5.8775510204081636</v>
      </c>
      <c r="AA1092" s="984">
        <f>IF(OR(L1092={"改紡","檢修","了機","清車","FINAL","停機","SAMPLE","TEST","絲開發"}), L1092, IFERROR(IF(C1092="", "", (SUM(J1092, N1092, R1092, V1092)/3 * AG1092) * IF(AND(AF1092="S", AS1092="雙"), 0.5, 1)), ""))</f>
        <v>38</v>
      </c>
      <c r="AB1092" s="1413">
        <f t="shared" si="185"/>
        <v>0.99591012286324787</v>
      </c>
      <c r="AC1092" s="984">
        <f>IF(OR(L1092={"改紡","檢修","了機","清車","FINAL","停機","SAMPLE","TEST"}), "", IFERROR(IF(C1092="", "", AVERAGE(L1092:M1092, P1092:Q1092, T1092:U1092, X1092:Y1092)/100), ""))</f>
        <v>79.971428571428575</v>
      </c>
      <c r="AD1092" s="984">
        <f t="shared" si="183"/>
        <v>4.75</v>
      </c>
      <c r="AE1092" s="984">
        <f t="shared" si="186"/>
        <v>4.541666666666667</v>
      </c>
      <c r="AF1092" s="985" t="str">
        <f t="shared" si="187"/>
        <v>T</v>
      </c>
      <c r="AG1092" s="1414">
        <v>1</v>
      </c>
      <c r="AH1092" s="1002" t="s">
        <v>15998</v>
      </c>
      <c r="AI1092" s="1002" t="s">
        <v>651</v>
      </c>
      <c r="AJ1092" s="1002" t="s">
        <v>16009</v>
      </c>
      <c r="AK1092" s="1002" t="s">
        <v>639</v>
      </c>
      <c r="AL1092" s="1415"/>
      <c r="AM1092" s="1323"/>
      <c r="AN1092" s="1323"/>
      <c r="AO1092" s="1323"/>
      <c r="AP1092" s="1323"/>
      <c r="AQ1092" s="1323"/>
      <c r="AR1092" s="987"/>
      <c r="AS1092" s="978" t="str">
        <f t="shared" si="188"/>
        <v>雙</v>
      </c>
      <c r="AT1092" s="978" t="str">
        <f t="shared" si="189"/>
        <v>全</v>
      </c>
      <c r="AU1092" s="978">
        <f t="shared" si="190"/>
        <v>150</v>
      </c>
      <c r="AV1092" s="978">
        <f t="shared" si="191"/>
        <v>5.8040064000000005</v>
      </c>
    </row>
    <row r="1093" spans="1:48">
      <c r="A1093" s="975">
        <f t="shared" si="184"/>
        <v>46170</v>
      </c>
      <c r="B1093" s="976" t="s">
        <v>237</v>
      </c>
      <c r="C1093" s="976" t="s">
        <v>16759</v>
      </c>
      <c r="D1093" s="1410" t="s">
        <v>633</v>
      </c>
      <c r="E1093" s="977" t="str">
        <f>IFERROR(VLOOKUP(C1093, [6]條件!$A:$L, 5, 0), "")</f>
        <v>150/48/2SDr</v>
      </c>
      <c r="F1093" s="978" t="str">
        <f>IFERROR(VLOOKUP(C1093, [6]條件!$A:$L, 6, 0), "")</f>
        <v>FP82171R×2</v>
      </c>
      <c r="G1093" s="1411">
        <f>IFERROR(VLOOKUP(C1093, [6]條件!$A:$L, 7, 0), "")</f>
        <v>700</v>
      </c>
      <c r="H1093" s="978" t="str">
        <f>IF(ISNA(VLOOKUP(C1093,[6]條件!$A$1:$K$932,11,0)),"",(VLOOKUP(C1093,[6]條件!$A$1:$K$932,11,0)))</f>
        <v>紅底黃星</v>
      </c>
      <c r="I1093" s="979">
        <f>IF(ISNA(VLOOKUP(C1093,[6]條件!$A$1:$L$932,12,0)),"",(VLOOKUP(C1093,[6]條件!$A$1:$L$932,12,0)))</f>
        <v>5.5</v>
      </c>
      <c r="J1093" s="982">
        <v>50</v>
      </c>
      <c r="K1093" s="980">
        <v>1</v>
      </c>
      <c r="L1093" s="981">
        <v>6760</v>
      </c>
      <c r="M1093" s="983">
        <v>9260</v>
      </c>
      <c r="N1093" s="982">
        <v>36</v>
      </c>
      <c r="O1093" s="980">
        <v>0</v>
      </c>
      <c r="P1093" s="981">
        <v>8800</v>
      </c>
      <c r="Q1093" s="983">
        <v>8060</v>
      </c>
      <c r="R1093" s="982">
        <v>0</v>
      </c>
      <c r="S1093" s="980">
        <v>0</v>
      </c>
      <c r="T1093" s="981">
        <v>8330</v>
      </c>
      <c r="U1093" s="983">
        <v>7410</v>
      </c>
      <c r="V1093" s="982">
        <v>53</v>
      </c>
      <c r="W1093" s="980">
        <v>14</v>
      </c>
      <c r="X1093" s="981">
        <v>9010</v>
      </c>
      <c r="Y1093" s="983">
        <v>8700</v>
      </c>
      <c r="Z1093" s="1412">
        <f>IFERROR(VLOOKUP(C1093, [6]條件!$A:$L, 3, 0), "")</f>
        <v>5.8299595141700413</v>
      </c>
      <c r="AA1093" s="984">
        <f>IF(OR(L1093={"改紡","檢修","了機","清車","FINAL","停機","SAMPLE","TEST","絲開發"}), L1093, IFERROR(IF(C1093="", "", (SUM(J1093, N1093, R1093, V1093)/3 * AG1093) * IF(AND(AF1093="S", AS1093="雙"), 0.5, 1)), ""))</f>
        <v>46.333333333333336</v>
      </c>
      <c r="AB1093" s="1413">
        <f t="shared" si="185"/>
        <v>0.98763020833333337</v>
      </c>
      <c r="AC1093" s="984">
        <f>IF(OR(L1093={"改紡","檢修","了機","清車","FINAL","停機","SAMPLE","TEST"}), "", IFERROR(IF(C1093="", "", AVERAGE(L1093:M1093, P1093:Q1093, T1093:U1093, X1093:Y1093)/100), ""))</f>
        <v>82.912499999999994</v>
      </c>
      <c r="AD1093" s="984">
        <f t="shared" ref="AD1093:AD1156" si="192">IF(ISERROR(AA1093/8),"",(AA1093/8))</f>
        <v>5.791666666666667</v>
      </c>
      <c r="AE1093" s="984">
        <f t="shared" si="186"/>
        <v>5.166666666666667</v>
      </c>
      <c r="AF1093" s="985" t="str">
        <f t="shared" si="187"/>
        <v>T</v>
      </c>
      <c r="AG1093" s="1414">
        <v>1</v>
      </c>
      <c r="AH1093" s="1002" t="s">
        <v>16008</v>
      </c>
      <c r="AI1093" s="1002" t="s">
        <v>638</v>
      </c>
      <c r="AJ1093" s="986" t="s">
        <v>16010</v>
      </c>
      <c r="AK1093" s="986" t="s">
        <v>835</v>
      </c>
      <c r="AL1093" s="1415"/>
      <c r="AM1093" s="1323"/>
      <c r="AN1093" s="1323"/>
      <c r="AO1093" s="1323"/>
      <c r="AP1093" s="1323"/>
      <c r="AQ1093" s="1323"/>
      <c r="AR1093" s="987"/>
      <c r="AS1093" s="978" t="str">
        <f t="shared" si="188"/>
        <v>雙</v>
      </c>
      <c r="AT1093" s="978" t="str">
        <f t="shared" si="189"/>
        <v>全</v>
      </c>
      <c r="AU1093" s="978">
        <f t="shared" si="190"/>
        <v>150</v>
      </c>
      <c r="AV1093" s="978">
        <f t="shared" si="191"/>
        <v>6.0174575999999993</v>
      </c>
    </row>
    <row r="1094" spans="1:48">
      <c r="A1094" s="975">
        <f t="shared" si="184"/>
        <v>46170</v>
      </c>
      <c r="B1094" s="976" t="s">
        <v>238</v>
      </c>
      <c r="C1094" s="976" t="s">
        <v>16743</v>
      </c>
      <c r="D1094" s="1410"/>
      <c r="E1094" s="977" t="str">
        <f>IFERROR(VLOOKUP(C1094, [6]條件!$A:$L, 5, 0), "")</f>
        <v>150/48/2SDr</v>
      </c>
      <c r="F1094" s="978" t="str">
        <f>IFERROR(VLOOKUP(C1094, [6]條件!$A:$L, 6, 0), "")</f>
        <v>FP82169R×2</v>
      </c>
      <c r="G1094" s="1411">
        <f>IFERROR(VLOOKUP(C1094, [6]條件!$A:$L, 7, 0), "")</f>
        <v>670</v>
      </c>
      <c r="H1094" s="978" t="str">
        <f>IF(ISNA(VLOOKUP(C1094,[6]條件!$A$1:$K$932,11,0)),"",(VLOOKUP(C1094,[6]條件!$A$1:$K$932,11,0)))</f>
        <v>黃底紅點</v>
      </c>
      <c r="I1094" s="979">
        <f>IF(ISNA(VLOOKUP(C1094,[6]條件!$A$1:$L$932,12,0)),"",(VLOOKUP(C1094,[6]條件!$A$1:$L$932,12,0)))</f>
        <v>5</v>
      </c>
      <c r="J1094" s="982">
        <v>20</v>
      </c>
      <c r="K1094" s="980">
        <v>0</v>
      </c>
      <c r="L1094" s="981">
        <v>8150</v>
      </c>
      <c r="M1094" s="983"/>
      <c r="N1094" s="982">
        <v>14</v>
      </c>
      <c r="O1094" s="980">
        <v>0</v>
      </c>
      <c r="P1094" s="981">
        <v>8330</v>
      </c>
      <c r="Q1094" s="983"/>
      <c r="R1094" s="982">
        <v>5</v>
      </c>
      <c r="S1094" s="980">
        <v>0</v>
      </c>
      <c r="T1094" s="981">
        <v>8520</v>
      </c>
      <c r="U1094" s="983"/>
      <c r="V1094" s="982">
        <v>13</v>
      </c>
      <c r="W1094" s="980">
        <v>1</v>
      </c>
      <c r="X1094" s="981">
        <v>9260</v>
      </c>
      <c r="Y1094" s="983"/>
      <c r="Z1094" s="1412">
        <f>IFERROR(VLOOKUP(C1094, [6]條件!$A:$L, 3, 0), "")</f>
        <v>6.2882096069868991</v>
      </c>
      <c r="AA1094" s="984">
        <f>IF(OR(L1094={"改紡","檢修","了機","清車","FINAL","停機","SAMPLE","TEST","絲開發"}), L1094, IFERROR(IF(C1094="", "", (SUM(J1094, N1094, R1094, V1094)/3 * AG1094) * IF(AND(AF1094="S", AS1094="雙"), 0.5, 1)), ""))</f>
        <v>34.666666666666664</v>
      </c>
      <c r="AB1094" s="1413">
        <f t="shared" si="185"/>
        <v>0.9992354433760684</v>
      </c>
      <c r="AC1094" s="984">
        <f>IF(OR(L1094={"改紡","檢修","了機","清車","FINAL","停機","SAMPLE","TEST"}), "", IFERROR(IF(C1094="", "", AVERAGE(L1094:M1094, P1094:Q1094, T1094:U1094, X1094:Y1094)/100), ""))</f>
        <v>85.65</v>
      </c>
      <c r="AD1094" s="984">
        <f t="shared" si="192"/>
        <v>4.333333333333333</v>
      </c>
      <c r="AE1094" s="984">
        <f t="shared" si="186"/>
        <v>4.25</v>
      </c>
      <c r="AF1094" s="985" t="str">
        <f t="shared" si="187"/>
        <v>T</v>
      </c>
      <c r="AG1094" s="1414">
        <v>2</v>
      </c>
      <c r="AH1094" s="1002" t="s">
        <v>15998</v>
      </c>
      <c r="AI1094" s="1002" t="s">
        <v>651</v>
      </c>
      <c r="AJ1094" s="1002" t="s">
        <v>16009</v>
      </c>
      <c r="AK1094" s="1002" t="s">
        <v>639</v>
      </c>
      <c r="AL1094" s="1415"/>
      <c r="AM1094" s="1323"/>
      <c r="AN1094" s="1323"/>
      <c r="AO1094" s="1323"/>
      <c r="AP1094" s="1323"/>
      <c r="AQ1094" s="1323"/>
      <c r="AR1094" s="987"/>
      <c r="AS1094" s="978" t="str">
        <f t="shared" si="188"/>
        <v>雙</v>
      </c>
      <c r="AT1094" s="978" t="str">
        <f t="shared" si="189"/>
        <v>半</v>
      </c>
      <c r="AU1094" s="978">
        <f t="shared" si="190"/>
        <v>150</v>
      </c>
      <c r="AV1094" s="978">
        <f t="shared" si="191"/>
        <v>2.97486432</v>
      </c>
    </row>
    <row r="1095" spans="1:48">
      <c r="A1095" s="975">
        <f t="shared" si="184"/>
        <v>46170</v>
      </c>
      <c r="B1095" s="976" t="s">
        <v>238</v>
      </c>
      <c r="C1095" s="976" t="s">
        <v>16742</v>
      </c>
      <c r="D1095" s="1410"/>
      <c r="E1095" s="977" t="str">
        <f>IFERROR(VLOOKUP(C1095, [6]條件!$A:$L, 5, 0), "")</f>
        <v>150/48/2SDr</v>
      </c>
      <c r="F1095" s="978" t="str">
        <f>IFERROR(VLOOKUP(C1095, [6]條件!$A:$L, 6, 0), "")</f>
        <v>FP82169R×2</v>
      </c>
      <c r="G1095" s="1411">
        <f>IFERROR(VLOOKUP(C1095, [6]條件!$A:$L, 7, 0), "")</f>
        <v>670</v>
      </c>
      <c r="H1095" s="978" t="str">
        <f>IF(ISNA(VLOOKUP(C1095,[6]條件!$A$1:$K$932,11,0)),"",(VLOOKUP(C1095,[6]條件!$A$1:$K$932,11,0)))</f>
        <v>紅底藍點</v>
      </c>
      <c r="I1095" s="979">
        <f>IF(ISNA(VLOOKUP(C1095,[6]條件!$A$1:$L$932,12,0)),"",(VLOOKUP(C1095,[6]條件!$A$1:$L$932,12,0)))</f>
        <v>5</v>
      </c>
      <c r="J1095" s="982">
        <v>15</v>
      </c>
      <c r="K1095" s="980">
        <v>0</v>
      </c>
      <c r="L1095" s="981"/>
      <c r="M1095" s="983">
        <v>8240</v>
      </c>
      <c r="N1095" s="982">
        <v>12</v>
      </c>
      <c r="O1095" s="980">
        <v>0</v>
      </c>
      <c r="P1095" s="981"/>
      <c r="Q1095" s="983">
        <v>8700</v>
      </c>
      <c r="R1095" s="982">
        <v>12</v>
      </c>
      <c r="S1095" s="980">
        <v>0</v>
      </c>
      <c r="T1095" s="981"/>
      <c r="U1095" s="983">
        <v>8060</v>
      </c>
      <c r="V1095" s="982">
        <v>23</v>
      </c>
      <c r="W1095" s="980">
        <v>0</v>
      </c>
      <c r="X1095" s="981"/>
      <c r="Y1095" s="983">
        <v>9440</v>
      </c>
      <c r="Z1095" s="1412">
        <f>IFERROR(VLOOKUP(C1095, [6]條件!$A:$L, 3, 0), "")</f>
        <v>6.1802575107296125</v>
      </c>
      <c r="AA1095" s="984">
        <f>IF(OR(L1095={"改紡","檢修","了機","清車","FINAL","停機","SAMPLE","TEST","絲開發"}), L1095, IFERROR(IF(C1095="", "", (SUM(J1095, N1095, R1095, V1095)/3 * AG1095) * IF(AND(AF1095="S", AS1095="雙"), 0.5, 1)), ""))</f>
        <v>41.333333333333336</v>
      </c>
      <c r="AB1095" s="1413">
        <f t="shared" si="185"/>
        <v>1</v>
      </c>
      <c r="AC1095" s="984">
        <f>IF(OR(L1095={"改紡","檢修","了機","清車","FINAL","停機","SAMPLE","TEST"}), "", IFERROR(IF(C1095="", "", AVERAGE(L1095:M1095, P1095:Q1095, T1095:U1095, X1095:Y1095)/100), ""))</f>
        <v>86.1</v>
      </c>
      <c r="AD1095" s="984">
        <f t="shared" si="192"/>
        <v>5.166666666666667</v>
      </c>
      <c r="AE1095" s="984">
        <f t="shared" si="186"/>
        <v>5.166666666666667</v>
      </c>
      <c r="AF1095" s="985" t="str">
        <f t="shared" si="187"/>
        <v>T</v>
      </c>
      <c r="AG1095" s="1414">
        <v>2</v>
      </c>
      <c r="AH1095" s="1002" t="s">
        <v>15998</v>
      </c>
      <c r="AI1095" s="1002" t="s">
        <v>651</v>
      </c>
      <c r="AJ1095" s="1002" t="s">
        <v>16009</v>
      </c>
      <c r="AK1095" s="1002" t="s">
        <v>639</v>
      </c>
      <c r="AL1095" s="1415"/>
      <c r="AM1095" s="1323"/>
      <c r="AN1095" s="1323"/>
      <c r="AO1095" s="1323"/>
      <c r="AP1095" s="1323"/>
      <c r="AQ1095" s="1323"/>
      <c r="AR1095" s="987"/>
      <c r="AS1095" s="978" t="str">
        <f t="shared" si="188"/>
        <v>雙</v>
      </c>
      <c r="AT1095" s="978" t="str">
        <f t="shared" si="189"/>
        <v>半</v>
      </c>
      <c r="AU1095" s="978">
        <f t="shared" si="190"/>
        <v>150</v>
      </c>
      <c r="AV1095" s="978">
        <f t="shared" si="191"/>
        <v>2.9904940799999999</v>
      </c>
    </row>
    <row r="1096" spans="1:48">
      <c r="A1096" s="975">
        <f t="shared" si="184"/>
        <v>46170</v>
      </c>
      <c r="B1096" s="976" t="s">
        <v>239</v>
      </c>
      <c r="C1096" s="976" t="s">
        <v>16791</v>
      </c>
      <c r="D1096" s="1410"/>
      <c r="E1096" s="977" t="str">
        <f>IFERROR(VLOOKUP(C1096, [6]條件!$A:$L, 5, 0), "")</f>
        <v>75/72/2PFBR</v>
      </c>
      <c r="F1096" s="978" t="str">
        <f>IFERROR(VLOOKUP(C1096, [6]條件!$A:$L, 6, 0), "")</f>
        <v>FP01432R×2</v>
      </c>
      <c r="G1096" s="1411">
        <f>IFERROR(VLOOKUP(C1096, [6]條件!$A:$L, 7, 0), "")</f>
        <v>550</v>
      </c>
      <c r="H1096" s="978" t="str">
        <f>IF(ISNA(VLOOKUP(C1096,[6]條件!$A$1:$K$932,11,0)),"",(VLOOKUP(C1096,[6]條件!$A$1:$K$932,11,0)))</f>
        <v>紫色</v>
      </c>
      <c r="I1096" s="979">
        <f>IF(ISNA(VLOOKUP(C1096,[6]條件!$A$1:$L$932,12,0)),"",(VLOOKUP(C1096,[6]條件!$A$1:$L$932,12,0)))</f>
        <v>4</v>
      </c>
      <c r="J1096" s="982"/>
      <c r="K1096" s="980"/>
      <c r="L1096" s="981" t="s">
        <v>15999</v>
      </c>
      <c r="M1096" s="983"/>
      <c r="N1096" s="982"/>
      <c r="O1096" s="980"/>
      <c r="P1096" s="981" t="s">
        <v>15999</v>
      </c>
      <c r="Q1096" s="983"/>
      <c r="R1096" s="982"/>
      <c r="S1096" s="980"/>
      <c r="T1096" s="981" t="s">
        <v>15996</v>
      </c>
      <c r="U1096" s="983"/>
      <c r="V1096" s="982">
        <v>14</v>
      </c>
      <c r="W1096" s="980">
        <v>5</v>
      </c>
      <c r="X1096" s="981">
        <v>6200</v>
      </c>
      <c r="Y1096" s="983"/>
      <c r="Z1096" s="1412">
        <f>IFERROR(VLOOKUP(C1096, [6]條件!$A:$L, 3, 0), "")</f>
        <v>3.1578947368421053</v>
      </c>
      <c r="AA1096" s="984" t="str">
        <f>IF(OR(L1096={"改紡","檢修","了機","清車","FINAL","停機","SAMPLE","TEST","絲開發"}), L1096, IFERROR(IF(C1096="", "", (SUM(J1096, N1096, R1096, V1096)/3 * AG1096) * IF(AND(AF1096="S", AS1096="雙"), 0.5, 1)), ""))</f>
        <v>改紡</v>
      </c>
      <c r="AB1096" s="1413" t="str">
        <f t="shared" si="185"/>
        <v/>
      </c>
      <c r="AC1096" s="984" t="str">
        <f>IF(OR(L1096={"改紡","檢修","了機","清車","FINAL","停機","SAMPLE","TEST"}), "", IFERROR(IF(C1096="", "", AVERAGE(L1096:M1096, P1096:Q1096, T1096:U1096, X1096:Y1096)/100), ""))</f>
        <v/>
      </c>
      <c r="AD1096" s="984" t="str">
        <f t="shared" si="192"/>
        <v/>
      </c>
      <c r="AE1096" s="984" t="str">
        <f t="shared" si="186"/>
        <v/>
      </c>
      <c r="AF1096" s="985" t="str">
        <f t="shared" si="187"/>
        <v>T</v>
      </c>
      <c r="AG1096" s="1414">
        <v>2</v>
      </c>
      <c r="AH1096" s="1002" t="s">
        <v>15998</v>
      </c>
      <c r="AI1096" s="1002" t="s">
        <v>651</v>
      </c>
      <c r="AJ1096" s="986" t="s">
        <v>16010</v>
      </c>
      <c r="AK1096" s="986" t="s">
        <v>835</v>
      </c>
      <c r="AL1096" s="1415"/>
      <c r="AM1096" s="1323"/>
      <c r="AN1096" s="1323"/>
      <c r="AO1096" s="1323"/>
      <c r="AP1096" s="1323"/>
      <c r="AQ1096" s="1323"/>
      <c r="AR1096" s="987"/>
      <c r="AS1096" s="978" t="str">
        <f t="shared" si="188"/>
        <v>雙</v>
      </c>
      <c r="AT1096" s="978" t="str">
        <f t="shared" si="189"/>
        <v>半</v>
      </c>
      <c r="AU1096" s="978">
        <f t="shared" si="190"/>
        <v>75</v>
      </c>
      <c r="AV1096" s="978" t="str">
        <f t="shared" si="191"/>
        <v/>
      </c>
    </row>
    <row r="1097" spans="1:48">
      <c r="A1097" s="975">
        <f t="shared" ref="A1097:A1109" si="193">A1096</f>
        <v>46170</v>
      </c>
      <c r="B1097" s="976" t="s">
        <v>239</v>
      </c>
      <c r="C1097" s="976" t="s">
        <v>16787</v>
      </c>
      <c r="D1097" s="1410" t="s">
        <v>16788</v>
      </c>
      <c r="E1097" s="977" t="str">
        <f>IFERROR(VLOOKUP(C1097, [6]條件!$A:$L, 5, 0), "")</f>
        <v>150/48/2SDR</v>
      </c>
      <c r="F1097" s="978" t="str">
        <f>IFERROR(VLOOKUP(C1097, [6]條件!$A:$L, 6, 0), "")</f>
        <v>FP82169R×2</v>
      </c>
      <c r="G1097" s="1411">
        <f>IFERROR(VLOOKUP(C1097, [6]條件!$A:$L, 7, 0), "")</f>
        <v>650</v>
      </c>
      <c r="H1097" s="978" t="str">
        <f>IF(ISNA(VLOOKUP(C1097,[6]條件!$A$1:$K$932,11,0)),"",(VLOOKUP(C1097,[6]條件!$A$1:$K$932,11,0)))</f>
        <v>紫黃條紋</v>
      </c>
      <c r="I1097" s="979">
        <f>IF(ISNA(VLOOKUP(C1097,[6]條件!$A$1:$L$932,12,0)),"",(VLOOKUP(C1097,[6]條件!$A$1:$L$932,12,0)))</f>
        <v>5</v>
      </c>
      <c r="J1097" s="982">
        <v>14</v>
      </c>
      <c r="K1097" s="980">
        <v>0</v>
      </c>
      <c r="L1097" s="981"/>
      <c r="M1097" s="983">
        <v>8330</v>
      </c>
      <c r="N1097" s="982">
        <v>11</v>
      </c>
      <c r="O1097" s="980">
        <v>0</v>
      </c>
      <c r="P1097" s="981"/>
      <c r="Q1097" s="983">
        <v>8150</v>
      </c>
      <c r="R1097" s="982">
        <v>12</v>
      </c>
      <c r="S1097" s="980">
        <v>0</v>
      </c>
      <c r="T1097" s="981"/>
      <c r="U1097" s="983">
        <v>6670</v>
      </c>
      <c r="V1097" s="982">
        <v>10</v>
      </c>
      <c r="W1097" s="980">
        <v>3</v>
      </c>
      <c r="X1097" s="981">
        <v>9170</v>
      </c>
      <c r="Y1097" s="983"/>
      <c r="Z1097" s="1412">
        <f>IFERROR(VLOOKUP(C1097, [6]條件!$A:$L, 3, 0), "")</f>
        <v>6.101694915254237</v>
      </c>
      <c r="AA1097" s="984">
        <f>IF(OR(L1097={"改紡","檢修","了機","清車","FINAL","停機","SAMPLE","TEST","絲開發"}), L1097, IFERROR(IF(C1097="", "", (SUM(J1097, N1097, R1097, V1097)/3 * AG1097) * IF(AND(AF1097="S", AS1097="雙"), 0.5, 1)), ""))</f>
        <v>31.333333333333332</v>
      </c>
      <c r="AB1097" s="1413">
        <f t="shared" si="185"/>
        <v>0.99763621794871793</v>
      </c>
      <c r="AC1097" s="984">
        <f>IF(OR(L1097={"改紡","檢修","了機","清車","FINAL","停機","SAMPLE","TEST"}), "", IFERROR(IF(C1097="", "", AVERAGE(L1097:M1097, P1097:Q1097, T1097:U1097, X1097:Y1097)/100), ""))</f>
        <v>80.8</v>
      </c>
      <c r="AD1097" s="984">
        <f t="shared" si="192"/>
        <v>3.9166666666666665</v>
      </c>
      <c r="AE1097" s="984">
        <f t="shared" si="186"/>
        <v>3.6666666666666665</v>
      </c>
      <c r="AF1097" s="985" t="str">
        <f t="shared" si="187"/>
        <v>T</v>
      </c>
      <c r="AG1097" s="1414">
        <v>2</v>
      </c>
      <c r="AH1097" s="1002" t="s">
        <v>15998</v>
      </c>
      <c r="AI1097" s="1002" t="s">
        <v>651</v>
      </c>
      <c r="AJ1097" s="986" t="s">
        <v>16010</v>
      </c>
      <c r="AK1097" s="986" t="s">
        <v>835</v>
      </c>
      <c r="AL1097" s="1415"/>
      <c r="AM1097" s="1323"/>
      <c r="AN1097" s="1323"/>
      <c r="AO1097" s="1323"/>
      <c r="AP1097" s="1323"/>
      <c r="AQ1097" s="1323"/>
      <c r="AR1097" s="987"/>
      <c r="AS1097" s="978" t="str">
        <f t="shared" si="188"/>
        <v>雙</v>
      </c>
      <c r="AT1097" s="978" t="str">
        <f t="shared" si="189"/>
        <v>半</v>
      </c>
      <c r="AU1097" s="978">
        <f t="shared" si="190"/>
        <v>150</v>
      </c>
      <c r="AV1097" s="978">
        <f t="shared" si="191"/>
        <v>2.7226367999999996</v>
      </c>
    </row>
    <row r="1098" spans="1:48">
      <c r="A1098" s="975">
        <f t="shared" si="193"/>
        <v>46170</v>
      </c>
      <c r="B1098" s="976" t="s">
        <v>388</v>
      </c>
      <c r="C1098" s="976" t="s">
        <v>16775</v>
      </c>
      <c r="D1098" s="1410" t="s">
        <v>633</v>
      </c>
      <c r="E1098" s="977" t="str">
        <f>IFERROR(VLOOKUP(C1098, [6]條件!$A:$L, 5, 0), "")</f>
        <v>150/48/2SDr</v>
      </c>
      <c r="F1098" s="978" t="str">
        <f>IFERROR(VLOOKUP(C1098, [6]條件!$A:$L, 6, 0), "")</f>
        <v>FP82173R×2</v>
      </c>
      <c r="G1098" s="1411">
        <f>IFERROR(VLOOKUP(C1098, [6]條件!$A:$L, 7, 0), "")</f>
        <v>700</v>
      </c>
      <c r="H1098" s="978" t="str">
        <f>IF(ISNA(VLOOKUP(C1098,[6]條件!$A$1:$K$932,11,0)),"",(VLOOKUP(C1098,[6]條件!$A$1:$K$932,11,0)))</f>
        <v>黃紅雙色</v>
      </c>
      <c r="I1098" s="979">
        <f>IF(ISNA(VLOOKUP(C1098,[6]條件!$A$1:$L$932,12,0)),"",(VLOOKUP(C1098,[6]條件!$A$1:$L$932,12,0)))</f>
        <v>5.5</v>
      </c>
      <c r="J1098" s="982">
        <v>45</v>
      </c>
      <c r="K1098" s="980">
        <v>0</v>
      </c>
      <c r="L1098" s="981">
        <v>8060</v>
      </c>
      <c r="M1098" s="983">
        <v>8700</v>
      </c>
      <c r="N1098" s="982">
        <v>22</v>
      </c>
      <c r="O1098" s="980">
        <v>0</v>
      </c>
      <c r="P1098" s="981">
        <v>7500</v>
      </c>
      <c r="Q1098" s="983">
        <v>10000</v>
      </c>
      <c r="R1098" s="982">
        <v>19</v>
      </c>
      <c r="S1098" s="980">
        <v>1</v>
      </c>
      <c r="T1098" s="981">
        <v>8240</v>
      </c>
      <c r="U1098" s="983">
        <v>9440</v>
      </c>
      <c r="V1098" s="982">
        <v>40</v>
      </c>
      <c r="W1098" s="980">
        <v>2</v>
      </c>
      <c r="X1098" s="981">
        <v>8700</v>
      </c>
      <c r="Y1098" s="983">
        <v>9810</v>
      </c>
      <c r="Z1098" s="1412">
        <f>IFERROR(VLOOKUP(C1098, [6]條件!$A:$L, 3, 0), "")</f>
        <v>5.8536585365853666</v>
      </c>
      <c r="AA1098" s="984">
        <f>IF(OR(L1098={"改紡","檢修","了機","清車","FINAL","停機","SAMPLE","TEST","絲開發"}), L1098, IFERROR(IF(C1098="", "", (SUM(J1098, N1098, R1098, V1098)/3 * AG1098) * IF(AND(AF1098="S", AS1098="雙"), 0.5, 1)), ""))</f>
        <v>42</v>
      </c>
      <c r="AB1098" s="1413">
        <f t="shared" si="185"/>
        <v>0.99753605769230769</v>
      </c>
      <c r="AC1098" s="984">
        <f>IF(OR(L1098={"改紡","檢修","了機","清車","FINAL","停機","SAMPLE","TEST"}), "", IFERROR(IF(C1098="", "", AVERAGE(L1098:M1098, P1098:Q1098, T1098:U1098, X1098:Y1098)/100), ""))</f>
        <v>88.0625</v>
      </c>
      <c r="AD1098" s="984">
        <f t="shared" si="192"/>
        <v>5.25</v>
      </c>
      <c r="AE1098" s="984">
        <f t="shared" si="186"/>
        <v>5.125</v>
      </c>
      <c r="AF1098" s="985" t="str">
        <f t="shared" si="187"/>
        <v>T</v>
      </c>
      <c r="AG1098" s="1414">
        <v>1</v>
      </c>
      <c r="AH1098" s="1002" t="s">
        <v>16008</v>
      </c>
      <c r="AI1098" s="1002" t="s">
        <v>638</v>
      </c>
      <c r="AJ1098" s="1002" t="s">
        <v>16009</v>
      </c>
      <c r="AK1098" s="1002" t="s">
        <v>639</v>
      </c>
      <c r="AL1098" s="1415"/>
      <c r="AM1098" s="1323"/>
      <c r="AN1098" s="1323"/>
      <c r="AO1098" s="1323"/>
      <c r="AP1098" s="1323"/>
      <c r="AQ1098" s="1323"/>
      <c r="AR1098" s="987"/>
      <c r="AS1098" s="978" t="str">
        <f t="shared" si="188"/>
        <v>雙</v>
      </c>
      <c r="AT1098" s="978" t="str">
        <f t="shared" si="189"/>
        <v>全</v>
      </c>
      <c r="AU1098" s="978">
        <f t="shared" si="190"/>
        <v>150</v>
      </c>
      <c r="AV1098" s="978">
        <f t="shared" si="191"/>
        <v>6.3912240000000002</v>
      </c>
    </row>
    <row r="1099" spans="1:48">
      <c r="A1099" s="975">
        <f t="shared" si="193"/>
        <v>46170</v>
      </c>
      <c r="B1099" s="976" t="s">
        <v>417</v>
      </c>
      <c r="C1099" s="976" t="s">
        <v>16767</v>
      </c>
      <c r="D1099" s="1410" t="s">
        <v>633</v>
      </c>
      <c r="E1099" s="977" t="str">
        <f>IFERROR(VLOOKUP(C1099, [6]條件!$A:$L, 5, 0), "")</f>
        <v>150/48/2SDr</v>
      </c>
      <c r="F1099" s="978" t="str">
        <f>IFERROR(VLOOKUP(C1099, [6]條件!$A:$L, 6, 0), "")</f>
        <v>FP82173R×2</v>
      </c>
      <c r="G1099" s="1411">
        <f>IFERROR(VLOOKUP(C1099, [6]條件!$A:$L, 7, 0), "")</f>
        <v>700</v>
      </c>
      <c r="H1099" s="978" t="str">
        <f>IF(ISNA(VLOOKUP(C1099,[6]條件!$A$1:$K$932,11,0)),"",(VLOOKUP(C1099,[6]條件!$A$1:$K$932,11,0)))</f>
        <v>棕色</v>
      </c>
      <c r="I1099" s="979">
        <f>IF(ISNA(VLOOKUP(C1099,[6]條件!$A$1:$L$932,12,0)),"",(VLOOKUP(C1099,[6]條件!$A$1:$L$932,12,0)))</f>
        <v>5.5</v>
      </c>
      <c r="J1099" s="982">
        <v>33</v>
      </c>
      <c r="K1099" s="980">
        <v>0</v>
      </c>
      <c r="L1099" s="981">
        <v>9440</v>
      </c>
      <c r="M1099" s="983">
        <v>9540</v>
      </c>
      <c r="N1099" s="982">
        <v>6</v>
      </c>
      <c r="O1099" s="980">
        <v>0</v>
      </c>
      <c r="P1099" s="981">
        <v>9630</v>
      </c>
      <c r="Q1099" s="983">
        <v>8800</v>
      </c>
      <c r="R1099" s="982">
        <v>0</v>
      </c>
      <c r="S1099" s="980">
        <v>0</v>
      </c>
      <c r="T1099" s="981">
        <v>9400</v>
      </c>
      <c r="U1099" s="983">
        <v>7600</v>
      </c>
      <c r="V1099" s="982">
        <v>10</v>
      </c>
      <c r="W1099" s="980">
        <v>3</v>
      </c>
      <c r="X1099" s="981">
        <v>8470</v>
      </c>
      <c r="Y1099" s="983" t="s">
        <v>632</v>
      </c>
      <c r="Z1099" s="1412">
        <f>IFERROR(VLOOKUP(C1099, [6]條件!$A:$L, 3, 0), "")</f>
        <v>5.8536585365853666</v>
      </c>
      <c r="AA1099" s="984">
        <f>IF(OR(L1099={"改紡","檢修","了機","清車","FINAL","停機","SAMPLE","TEST","絲開發"}), L1099, IFERROR(IF(C1099="", "", (SUM(J1099, N1099, R1099, V1099)/3 * AG1099) * IF(AND(AF1099="S", AS1099="雙"), 0.5, 1)), ""))</f>
        <v>16.333333333333332</v>
      </c>
      <c r="AB1099" s="1413">
        <f t="shared" si="185"/>
        <v>0.99753605769230769</v>
      </c>
      <c r="AC1099" s="984">
        <f>IF(OR(L1099={"改紡","檢修","了機","清車","FINAL","停機","SAMPLE","TEST"}), "", IFERROR(IF(C1099="", "", AVERAGE(L1099:M1099, P1099:Q1099, T1099:U1099, X1099:Y1099)/100), ""))</f>
        <v>89.828571428571436</v>
      </c>
      <c r="AD1099" s="984">
        <f t="shared" si="192"/>
        <v>2.0416666666666665</v>
      </c>
      <c r="AE1099" s="984">
        <f t="shared" si="186"/>
        <v>1.9166666666666667</v>
      </c>
      <c r="AF1099" s="985" t="str">
        <f t="shared" si="187"/>
        <v>T</v>
      </c>
      <c r="AG1099" s="1414">
        <v>1</v>
      </c>
      <c r="AH1099" s="1002" t="s">
        <v>16008</v>
      </c>
      <c r="AI1099" s="1002" t="s">
        <v>638</v>
      </c>
      <c r="AJ1099" s="986" t="s">
        <v>16010</v>
      </c>
      <c r="AK1099" s="986" t="s">
        <v>835</v>
      </c>
      <c r="AL1099" s="1415"/>
      <c r="AM1099" s="1323"/>
      <c r="AN1099" s="1323"/>
      <c r="AO1099" s="1323"/>
      <c r="AP1099" s="1323"/>
      <c r="AQ1099" s="1323"/>
      <c r="AR1099" s="987"/>
      <c r="AS1099" s="978" t="str">
        <f t="shared" si="188"/>
        <v>雙</v>
      </c>
      <c r="AT1099" s="978" t="str">
        <f t="shared" si="189"/>
        <v>全</v>
      </c>
      <c r="AU1099" s="978">
        <f t="shared" si="190"/>
        <v>150</v>
      </c>
      <c r="AV1099" s="978">
        <f t="shared" si="191"/>
        <v>6.5193984</v>
      </c>
    </row>
    <row r="1100" spans="1:48">
      <c r="A1100" s="975">
        <f t="shared" si="193"/>
        <v>46170</v>
      </c>
      <c r="B1100" s="976" t="s">
        <v>240</v>
      </c>
      <c r="C1100" s="976" t="s">
        <v>16777</v>
      </c>
      <c r="D1100" s="1410"/>
      <c r="E1100" s="977" t="str">
        <f>IFERROR(VLOOKUP(C1100, [6]條件!$A:$L, 5, 0), "")</f>
        <v>75/72/2SDFFR</v>
      </c>
      <c r="F1100" s="978" t="str">
        <f>IFERROR(VLOOKUP(C1100, [6]條件!$A:$L, 6, 0), "")</f>
        <v>FP81209R×2</v>
      </c>
      <c r="G1100" s="1411">
        <f>IFERROR(VLOOKUP(C1100, [6]條件!$A:$L, 7, 0), "")</f>
        <v>600</v>
      </c>
      <c r="H1100" s="978" t="str">
        <f>IF(ISNA(VLOOKUP(C1100,[6]條件!$A$1:$K$932,11,0)),"",(VLOOKUP(C1100,[6]條件!$A$1:$K$932,11,0)))</f>
        <v>白底紅十字</v>
      </c>
      <c r="I1100" s="979">
        <f>IF(ISNA(VLOOKUP(C1100,[6]條件!$A$1:$L$932,12,0)),"",(VLOOKUP(C1100,[6]條件!$A$1:$L$932,12,0)))</f>
        <v>5</v>
      </c>
      <c r="J1100" s="982"/>
      <c r="K1100" s="980"/>
      <c r="L1100" s="981" t="s">
        <v>16017</v>
      </c>
      <c r="M1100" s="983"/>
      <c r="N1100" s="982"/>
      <c r="O1100" s="980"/>
      <c r="P1100" s="981" t="s">
        <v>16004</v>
      </c>
      <c r="Q1100" s="983"/>
      <c r="R1100" s="982"/>
      <c r="S1100" s="980"/>
      <c r="T1100" s="981" t="s">
        <v>16018</v>
      </c>
      <c r="U1100" s="983"/>
      <c r="V1100" s="982">
        <v>6</v>
      </c>
      <c r="W1100" s="980">
        <v>0</v>
      </c>
      <c r="X1100" s="981">
        <v>1726</v>
      </c>
      <c r="Y1100" s="983"/>
      <c r="Z1100" s="1422">
        <f>IFERROR(VLOOKUP(C1100, [6]條件!$A:$L, 3, 0), "")</f>
        <v>2.7852998065764023</v>
      </c>
      <c r="AA1100" s="1167" t="str">
        <f>IF(OR(L1100={"改紡","檢修","了機","清車","FINAL","停機","SAMPLE","TEST","絲開發"}), L1100, IFERROR(IF(C1100="", "", (SUM(J1100, N1100, R1100, V1100)/3 * AG1100) * IF(AND(AF1100="S", AS1100="雙"), 0.5, 1)), ""))</f>
        <v>清車</v>
      </c>
      <c r="AB1100" s="1423" t="str">
        <f>IF(K1100="","",IF(ISERROR(1-((SUM(K1100,O1100,S1100,W1100)/((AG1100*12)-(AG1100*0.44)))/Z1100)),"",(1-((SUM(K1100,O1100,S1100,W1100)/((AG1100*12)-(AG1100*0.44)))/Z1100))))</f>
        <v/>
      </c>
      <c r="AC1100" s="1167" t="str">
        <f>IF(OR(L1100={"改紡","檢修","了機","清車","FINAL","停機","SAMPLE","TEST"}), "", IFERROR(IF(C1100="", "", AVERAGE(L1100:M1100, P1100:Q1100, T1100:U1100, X1100:Y1100)/100), ""))</f>
        <v/>
      </c>
      <c r="AD1100" s="1167" t="str">
        <f t="shared" si="192"/>
        <v/>
      </c>
      <c r="AE1100" s="1167" t="str">
        <f>IF(P1100="了機","",IF(J1100="","",IF(ISERROR((SUM(J1100,N1100,R1100,V1100)-SUM(K1100,O1100,S1100,W1100))/24),"",((SUM(J1100,N1100,R1100,V1100)-SUM(K1100,O1100,S1100,W1100))/24))))</f>
        <v/>
      </c>
      <c r="AF1100" s="1168" t="str">
        <f t="shared" si="187"/>
        <v>S</v>
      </c>
      <c r="AG1100" s="1424">
        <v>3</v>
      </c>
      <c r="AH1100" s="1002" t="s">
        <v>16005</v>
      </c>
      <c r="AI1100" s="1002" t="s">
        <v>635</v>
      </c>
      <c r="AJ1100" s="986" t="s">
        <v>16019</v>
      </c>
      <c r="AK1100" s="986" t="s">
        <v>815</v>
      </c>
      <c r="AL1100" s="1415"/>
      <c r="AM1100" s="1323"/>
      <c r="AN1100" s="1323"/>
      <c r="AO1100" s="1323"/>
      <c r="AP1100" s="1323"/>
      <c r="AQ1100" s="1323"/>
      <c r="AR1100" s="987"/>
      <c r="AS1100" s="978" t="str">
        <f t="shared" si="188"/>
        <v>雙</v>
      </c>
      <c r="AT1100" s="978" t="str">
        <f t="shared" si="189"/>
        <v>3sec</v>
      </c>
      <c r="AU1100" s="978">
        <f t="shared" si="190"/>
        <v>75</v>
      </c>
      <c r="AV1100" s="978" t="str">
        <f t="shared" si="191"/>
        <v/>
      </c>
    </row>
    <row r="1101" spans="1:48">
      <c r="A1101" s="975">
        <f t="shared" si="193"/>
        <v>46170</v>
      </c>
      <c r="B1101" s="976" t="s">
        <v>242</v>
      </c>
      <c r="C1101" s="976" t="s">
        <v>385</v>
      </c>
      <c r="D1101" s="1410"/>
      <c r="E1101" s="977" t="str">
        <f>IFERROR(VLOOKUP(C1101, [6]條件!$A:$L, 5, 0), "")</f>
        <v/>
      </c>
      <c r="F1101" s="978" t="str">
        <f>IFERROR(VLOOKUP(C1101, [6]條件!$A:$L, 6, 0), "")</f>
        <v/>
      </c>
      <c r="G1101" s="1411" t="str">
        <f>IFERROR(VLOOKUP(C1101, [6]條件!$A:$L, 7, 0), "")</f>
        <v/>
      </c>
      <c r="H1101" s="978" t="str">
        <f>IF(ISNA(VLOOKUP(C1101,[6]條件!$A$1:$K$932,11,0)),"",(VLOOKUP(C1101,[6]條件!$A$1:$K$932,11,0)))</f>
        <v/>
      </c>
      <c r="I1101" s="979" t="str">
        <f>IF(ISNA(VLOOKUP(C1101,[6]條件!$A$1:$L$932,12,0)),"",(VLOOKUP(C1101,[6]條件!$A$1:$L$932,12,0)))</f>
        <v/>
      </c>
      <c r="J1101" s="982"/>
      <c r="K1101" s="980"/>
      <c r="L1101" s="981" t="s">
        <v>385</v>
      </c>
      <c r="M1101" s="983"/>
      <c r="N1101" s="982"/>
      <c r="O1101" s="980"/>
      <c r="P1101" s="981" t="s">
        <v>385</v>
      </c>
      <c r="Q1101" s="983"/>
      <c r="R1101" s="982"/>
      <c r="S1101" s="980"/>
      <c r="T1101" s="981" t="s">
        <v>385</v>
      </c>
      <c r="U1101" s="983"/>
      <c r="V1101" s="982"/>
      <c r="W1101" s="980"/>
      <c r="X1101" s="981" t="s">
        <v>385</v>
      </c>
      <c r="Y1101" s="983"/>
      <c r="Z1101" s="1422" t="str">
        <f>IFERROR(VLOOKUP(C1101, [6]條件!$A:$L, 3, 0), "")</f>
        <v/>
      </c>
      <c r="AA1101" s="1167" t="str">
        <f>IF(OR(L1101={"改紡","檢修","了機","清車","FINAL","停機","SAMPLE","TEST","絲開發"}), L1101, IFERROR(IF(C1101="", "", (SUM(J1101, N1101, R1101, V1101)/3 * AG1101) * IF(AND(AF1101="S", AS1101="雙"), 0.5, 1)), ""))</f>
        <v>絲開發</v>
      </c>
      <c r="AB1101" s="1423" t="str">
        <f>IF(K1101="","",IF(ISERROR(1-((SUM(K1101,O1101,S1101,W1101)/((AG1101*12)-(AG1101*0.44)))/Z1101)),"",(1-((SUM(K1101,O1101,S1101,W1101)/((AG1101*12)-(AG1101*0.44)))/Z1101))))</f>
        <v/>
      </c>
      <c r="AC1101" s="1167" t="str">
        <f>IF(OR(L1101={"改紡","檢修","了機","清車","FINAL","停機","SAMPLE","TEST"}), "", IFERROR(IF(C1101="", "", AVERAGE(L1101:M1101, P1101:Q1101, T1101:U1101, X1101:Y1101)/100), ""))</f>
        <v/>
      </c>
      <c r="AD1101" s="1167" t="str">
        <f t="shared" si="192"/>
        <v/>
      </c>
      <c r="AE1101" s="1167" t="str">
        <f>IF(P1101="了機","",IF(J1101="","",IF(ISERROR((SUM(J1101,N1101,R1101,V1101)-SUM(K1101,O1101,S1101,W1101))/24),"",((SUM(J1101,N1101,R1101,V1101)-SUM(K1101,O1101,S1101,W1101))/24))))</f>
        <v/>
      </c>
      <c r="AF1101" s="1168" t="str">
        <f t="shared" si="187"/>
        <v>S</v>
      </c>
      <c r="AG1101" s="1424">
        <v>5</v>
      </c>
      <c r="AH1101" s="1002" t="s">
        <v>16005</v>
      </c>
      <c r="AI1101" s="1002" t="s">
        <v>635</v>
      </c>
      <c r="AJ1101" s="986" t="s">
        <v>16019</v>
      </c>
      <c r="AK1101" s="986" t="s">
        <v>815</v>
      </c>
      <c r="AL1101" s="1415"/>
      <c r="AM1101" s="1323"/>
      <c r="AN1101" s="1323"/>
      <c r="AO1101" s="1323"/>
      <c r="AP1101" s="1323"/>
      <c r="AQ1101" s="1323"/>
      <c r="AR1101" s="987"/>
      <c r="AS1101" s="978" t="str">
        <f t="shared" si="188"/>
        <v>單</v>
      </c>
      <c r="AT1101" s="978" t="str">
        <f t="shared" si="189"/>
        <v>5sec</v>
      </c>
      <c r="AU1101" s="978" t="str">
        <f t="shared" si="190"/>
        <v/>
      </c>
      <c r="AV1101" s="978" t="str">
        <f t="shared" si="191"/>
        <v/>
      </c>
    </row>
    <row r="1102" spans="1:48">
      <c r="A1102" s="975">
        <f t="shared" si="193"/>
        <v>46170</v>
      </c>
      <c r="B1102" s="976" t="s">
        <v>16078</v>
      </c>
      <c r="C1102" s="988" t="s">
        <v>16185</v>
      </c>
      <c r="D1102" s="1410"/>
      <c r="E1102" s="977" t="str">
        <f>IFERROR(VLOOKUP(C1102, [6]條件!$A:$L, 5, 0), "")</f>
        <v/>
      </c>
      <c r="F1102" s="978" t="str">
        <f>IFERROR(VLOOKUP(C1102, [6]條件!$A:$L, 6, 0), "")</f>
        <v/>
      </c>
      <c r="G1102" s="1411" t="str">
        <f>IFERROR(VLOOKUP(C1102, [6]條件!$A:$L, 7, 0), "")</f>
        <v/>
      </c>
      <c r="H1102" s="978" t="str">
        <f>IF(ISNA(VLOOKUP(C1102,[6]條件!$A$1:$K$932,11,0)),"",(VLOOKUP(C1102,[6]條件!$A$1:$K$932,11,0)))</f>
        <v/>
      </c>
      <c r="I1102" s="979" t="str">
        <f>IF(ISNA(VLOOKUP(C1102,[6]條件!$A$1:$L$932,12,0)),"",(VLOOKUP(C1102,[6]條件!$A$1:$L$932,12,0)))</f>
        <v/>
      </c>
      <c r="J1102" s="982"/>
      <c r="K1102" s="980"/>
      <c r="L1102" s="981" t="s">
        <v>632</v>
      </c>
      <c r="M1102" s="983"/>
      <c r="N1102" s="982"/>
      <c r="O1102" s="980"/>
      <c r="P1102" s="981" t="s">
        <v>632</v>
      </c>
      <c r="Q1102" s="983"/>
      <c r="R1102" s="982"/>
      <c r="S1102" s="980"/>
      <c r="T1102" s="981" t="s">
        <v>632</v>
      </c>
      <c r="U1102" s="983"/>
      <c r="V1102" s="982"/>
      <c r="W1102" s="980"/>
      <c r="X1102" s="981" t="s">
        <v>632</v>
      </c>
      <c r="Y1102" s="983"/>
      <c r="Z1102" s="1412" t="str">
        <f>IFERROR(VLOOKUP(C1102, [6]條件!$A:$L, 3, 0), "")</f>
        <v/>
      </c>
      <c r="AA1102" s="984" t="str">
        <f>IF(OR(L1102={"改紡","檢修","了機","清車","FINAL","停機","SAMPLE","TEST","絲開發"}), L1102, IFERROR(IF(C1102="", "", (SUM(J1102, N1102, R1102, V1102)/3 * AG1102) * IF(AND(AF1102="S", AS1102="雙"), 0.5, 1)), ""))</f>
        <v>停機</v>
      </c>
      <c r="AB1102" s="1413" t="str">
        <f t="shared" ref="AB1102:AB1140" si="194">IF(K1102="","",IF(ISERROR(1-(SUM(K1102,O1102,S1102,W1102)/208/Z1102)),"",(1-(SUM(K1102,O1102,S1102,W1102)/208/Z1102))))</f>
        <v/>
      </c>
      <c r="AC1102" s="984" t="str">
        <f>IF(OR(L1102={"改紡","檢修","了機","清車","FINAL","停機","SAMPLE","TEST"}), "", IFERROR(IF(C1102="", "", AVERAGE(L1102:M1102, P1102:Q1102, T1102:U1102, X1102:Y1102)/100), ""))</f>
        <v/>
      </c>
      <c r="AD1102" s="984" t="str">
        <f t="shared" si="192"/>
        <v/>
      </c>
      <c r="AE1102" s="984" t="str">
        <f>IF(OR(L1102="改紡", L1102="檢修", L1102="了機"), "",
   IF(AND(C1102&lt;&gt;"", J1102&lt;&gt;""),
      IFERROR((SUM(J1102, N1102, R1102, V1102) - SUM(K1102, O1102, S1102, W1102))/24 * AG1102, ""),
   "")
)</f>
        <v/>
      </c>
      <c r="AF1102" s="985" t="str">
        <f t="shared" si="187"/>
        <v>M</v>
      </c>
      <c r="AG1102" s="1414">
        <v>1</v>
      </c>
      <c r="AH1102" s="1002" t="s">
        <v>640</v>
      </c>
      <c r="AI1102" s="1002" t="s">
        <v>640</v>
      </c>
      <c r="AJ1102" s="986" t="s">
        <v>640</v>
      </c>
      <c r="AK1102" s="986" t="s">
        <v>640</v>
      </c>
      <c r="AL1102" s="1415"/>
      <c r="AM1102" s="1323"/>
      <c r="AN1102" s="1323"/>
      <c r="AO1102" s="1323"/>
      <c r="AP1102" s="1323"/>
      <c r="AQ1102" s="1323"/>
      <c r="AR1102" s="987"/>
      <c r="AS1102" s="978" t="str">
        <f t="shared" si="188"/>
        <v>單</v>
      </c>
      <c r="AT1102" s="978" t="str">
        <f t="shared" si="189"/>
        <v>全</v>
      </c>
      <c r="AU1102" s="978" t="str">
        <f t="shared" si="190"/>
        <v/>
      </c>
      <c r="AV1102" s="978" t="str">
        <f t="shared" si="191"/>
        <v/>
      </c>
    </row>
    <row r="1103" spans="1:48">
      <c r="A1103" s="975">
        <f t="shared" si="193"/>
        <v>46170</v>
      </c>
      <c r="B1103" s="976" t="s">
        <v>243</v>
      </c>
      <c r="C1103" s="988" t="s">
        <v>16185</v>
      </c>
      <c r="D1103" s="1410"/>
      <c r="E1103" s="977" t="str">
        <f>IFERROR(VLOOKUP(C1103, [6]條件!$A:$L, 5, 0), "")</f>
        <v/>
      </c>
      <c r="F1103" s="978" t="str">
        <f>IFERROR(VLOOKUP(C1103, [6]條件!$A:$L, 6, 0), "")</f>
        <v/>
      </c>
      <c r="G1103" s="1411" t="str">
        <f>IFERROR(VLOOKUP(C1103, [6]條件!$A:$L, 7, 0), "")</f>
        <v/>
      </c>
      <c r="H1103" s="978" t="str">
        <f>IF(ISNA(VLOOKUP(C1103,[6]條件!$A$1:$K$932,11,0)),"",(VLOOKUP(C1103,[6]條件!$A$1:$K$932,11,0)))</f>
        <v/>
      </c>
      <c r="I1103" s="979" t="str">
        <f>IF(ISNA(VLOOKUP(C1103,[6]條件!$A$1:$L$932,12,0)),"",(VLOOKUP(C1103,[6]條件!$A$1:$L$932,12,0)))</f>
        <v/>
      </c>
      <c r="J1103" s="982"/>
      <c r="K1103" s="980"/>
      <c r="L1103" s="981" t="s">
        <v>632</v>
      </c>
      <c r="M1103" s="983"/>
      <c r="N1103" s="982"/>
      <c r="O1103" s="980"/>
      <c r="P1103" s="981" t="s">
        <v>632</v>
      </c>
      <c r="Q1103" s="983"/>
      <c r="R1103" s="982"/>
      <c r="S1103" s="980"/>
      <c r="T1103" s="981" t="s">
        <v>632</v>
      </c>
      <c r="U1103" s="983"/>
      <c r="V1103" s="982"/>
      <c r="W1103" s="980"/>
      <c r="X1103" s="981" t="s">
        <v>632</v>
      </c>
      <c r="Y1103" s="983"/>
      <c r="Z1103" s="1412" t="str">
        <f>IFERROR(VLOOKUP(C1103, [6]條件!$A:$L, 3, 0), "")</f>
        <v/>
      </c>
      <c r="AA1103" s="984" t="str">
        <f>IF(OR(L1103={"改紡","檢修","了機","清車","FINAL","停機","SAMPLE","TEST","絲開發"}), L1103, IFERROR(IF(C1103="", "", (SUM(J1103, N1103, R1103, V1103)/3 * AG1103) * IF(AND(AF1103="S", AS1103="雙"), 0.5, 1)), ""))</f>
        <v>停機</v>
      </c>
      <c r="AB1103" s="1413" t="str">
        <f t="shared" si="194"/>
        <v/>
      </c>
      <c r="AC1103" s="984" t="str">
        <f>IF(OR(L1103={"改紡","檢修","了機","清車","FINAL","停機","SAMPLE","TEST"}), "", IFERROR(IF(C1103="", "", AVERAGE(L1103:M1103, P1103:Q1103, T1103:U1103, X1103:Y1103)/100), ""))</f>
        <v/>
      </c>
      <c r="AD1103" s="984" t="str">
        <f t="shared" si="192"/>
        <v/>
      </c>
      <c r="AE1103" s="984" t="str">
        <f t="shared" ref="AE1103:AE1140" si="195">IF(OR(L1103="改紡", L1103="檢修", L1103="了機"), "",
IF(AND(C1103&lt;&gt;"", J1103&lt;&gt;""),
IFERROR((SUM(J1103, N1103, R1103, V1103) - SUM(K1103, O1103, S1103, W1103))/24 * AG1103, ""),
"")
)</f>
        <v/>
      </c>
      <c r="AF1103" s="985" t="str">
        <f t="shared" si="187"/>
        <v>M</v>
      </c>
      <c r="AG1103" s="1414">
        <v>1</v>
      </c>
      <c r="AH1103" s="1002" t="s">
        <v>640</v>
      </c>
      <c r="AI1103" s="1002" t="s">
        <v>640</v>
      </c>
      <c r="AJ1103" s="986" t="s">
        <v>640</v>
      </c>
      <c r="AK1103" s="986" t="s">
        <v>640</v>
      </c>
      <c r="AL1103" s="1415"/>
      <c r="AM1103" s="1323"/>
      <c r="AN1103" s="1323"/>
      <c r="AO1103" s="1323"/>
      <c r="AP1103" s="1323"/>
      <c r="AQ1103" s="1323"/>
      <c r="AR1103" s="987"/>
      <c r="AS1103" s="978" t="str">
        <f t="shared" si="188"/>
        <v>單</v>
      </c>
      <c r="AT1103" s="978" t="str">
        <f t="shared" si="189"/>
        <v>全</v>
      </c>
      <c r="AU1103" s="978" t="str">
        <f t="shared" si="190"/>
        <v/>
      </c>
      <c r="AV1103" s="978" t="str">
        <f t="shared" si="191"/>
        <v/>
      </c>
    </row>
    <row r="1104" spans="1:48">
      <c r="A1104" s="975">
        <f t="shared" si="193"/>
        <v>46170</v>
      </c>
      <c r="B1104" s="976" t="s">
        <v>244</v>
      </c>
      <c r="C1104" s="988" t="s">
        <v>16185</v>
      </c>
      <c r="D1104" s="1410"/>
      <c r="E1104" s="977" t="str">
        <f>IFERROR(VLOOKUP(C1104, [6]條件!$A:$L, 5, 0), "")</f>
        <v/>
      </c>
      <c r="F1104" s="978" t="str">
        <f>IFERROR(VLOOKUP(C1104, [6]條件!$A:$L, 6, 0), "")</f>
        <v/>
      </c>
      <c r="G1104" s="1411" t="str">
        <f>IFERROR(VLOOKUP(C1104, [6]條件!$A:$L, 7, 0), "")</f>
        <v/>
      </c>
      <c r="H1104" s="978" t="str">
        <f>IF(ISNA(VLOOKUP(C1104,[6]條件!$A$1:$K$932,11,0)),"",(VLOOKUP(C1104,[6]條件!$A$1:$K$932,11,0)))</f>
        <v/>
      </c>
      <c r="I1104" s="979" t="str">
        <f>IF(ISNA(VLOOKUP(C1104,[6]條件!$A$1:$L$932,12,0)),"",(VLOOKUP(C1104,[6]條件!$A$1:$L$932,12,0)))</f>
        <v/>
      </c>
      <c r="J1104" s="982"/>
      <c r="K1104" s="980"/>
      <c r="L1104" s="981" t="s">
        <v>632</v>
      </c>
      <c r="M1104" s="983"/>
      <c r="N1104" s="982"/>
      <c r="O1104" s="980"/>
      <c r="P1104" s="981" t="s">
        <v>632</v>
      </c>
      <c r="Q1104" s="983"/>
      <c r="R1104" s="982"/>
      <c r="S1104" s="980"/>
      <c r="T1104" s="981" t="s">
        <v>632</v>
      </c>
      <c r="U1104" s="983"/>
      <c r="V1104" s="982"/>
      <c r="W1104" s="980"/>
      <c r="X1104" s="981" t="s">
        <v>632</v>
      </c>
      <c r="Y1104" s="983"/>
      <c r="Z1104" s="1412" t="str">
        <f>IFERROR(VLOOKUP(C1104, [6]條件!$A:$L, 3, 0), "")</f>
        <v/>
      </c>
      <c r="AA1104" s="984" t="str">
        <f>IF(OR(L1104={"改紡","檢修","了機","清車","FINAL","停機","SAMPLE","TEST","絲開發"}), L1104, IFERROR(IF(C1104="", "", (SUM(J1104, N1104, R1104, V1104)/3 * AG1104) * IF(AND(AF1104="S", AS1104="雙"), 0.5, 1)), ""))</f>
        <v>停機</v>
      </c>
      <c r="AB1104" s="1413" t="str">
        <f t="shared" si="194"/>
        <v/>
      </c>
      <c r="AC1104" s="984" t="str">
        <f>IF(OR(L1104={"改紡","檢修","了機","清車","FINAL","停機","SAMPLE","TEST"}), "", IFERROR(IF(C1104="", "", AVERAGE(L1104:M1104, P1104:Q1104, T1104:U1104, X1104:Y1104)/100), ""))</f>
        <v/>
      </c>
      <c r="AD1104" s="984" t="str">
        <f t="shared" si="192"/>
        <v/>
      </c>
      <c r="AE1104" s="984" t="str">
        <f t="shared" si="195"/>
        <v/>
      </c>
      <c r="AF1104" s="985" t="str">
        <f t="shared" si="187"/>
        <v>M</v>
      </c>
      <c r="AG1104" s="1414">
        <v>1</v>
      </c>
      <c r="AH1104" s="1002" t="s">
        <v>640</v>
      </c>
      <c r="AI1104" s="1002" t="s">
        <v>640</v>
      </c>
      <c r="AJ1104" s="986" t="s">
        <v>640</v>
      </c>
      <c r="AK1104" s="986" t="s">
        <v>640</v>
      </c>
      <c r="AL1104" s="1415"/>
      <c r="AM1104" s="1323"/>
      <c r="AN1104" s="1323"/>
      <c r="AO1104" s="1323"/>
      <c r="AP1104" s="1323"/>
      <c r="AQ1104" s="1323"/>
      <c r="AR1104" s="987"/>
      <c r="AS1104" s="978" t="str">
        <f t="shared" si="188"/>
        <v>單</v>
      </c>
      <c r="AT1104" s="978" t="str">
        <f t="shared" si="189"/>
        <v>全</v>
      </c>
      <c r="AU1104" s="978" t="str">
        <f t="shared" si="190"/>
        <v/>
      </c>
      <c r="AV1104" s="978" t="str">
        <f t="shared" si="191"/>
        <v/>
      </c>
    </row>
    <row r="1105" spans="1:48">
      <c r="A1105" s="975">
        <f t="shared" si="193"/>
        <v>46170</v>
      </c>
      <c r="B1105" s="976" t="s">
        <v>245</v>
      </c>
      <c r="C1105" s="988" t="s">
        <v>16185</v>
      </c>
      <c r="D1105" s="1410"/>
      <c r="E1105" s="977" t="str">
        <f>IFERROR(VLOOKUP(C1105, [6]條件!$A:$L, 5, 0), "")</f>
        <v/>
      </c>
      <c r="F1105" s="978" t="str">
        <f>IFERROR(VLOOKUP(C1105, [6]條件!$A:$L, 6, 0), "")</f>
        <v/>
      </c>
      <c r="G1105" s="1411" t="str">
        <f>IFERROR(VLOOKUP(C1105, [6]條件!$A:$L, 7, 0), "")</f>
        <v/>
      </c>
      <c r="H1105" s="978" t="str">
        <f>IF(ISNA(VLOOKUP(C1105,[6]條件!$A$1:$K$932,11,0)),"",(VLOOKUP(C1105,[6]條件!$A$1:$K$932,11,0)))</f>
        <v/>
      </c>
      <c r="I1105" s="979" t="str">
        <f>IF(ISNA(VLOOKUP(C1105,[6]條件!$A$1:$L$932,12,0)),"",(VLOOKUP(C1105,[6]條件!$A$1:$L$932,12,0)))</f>
        <v/>
      </c>
      <c r="J1105" s="982"/>
      <c r="K1105" s="980"/>
      <c r="L1105" s="981" t="s">
        <v>632</v>
      </c>
      <c r="M1105" s="983"/>
      <c r="N1105" s="982"/>
      <c r="O1105" s="980"/>
      <c r="P1105" s="981" t="s">
        <v>632</v>
      </c>
      <c r="Q1105" s="983"/>
      <c r="R1105" s="982"/>
      <c r="S1105" s="980"/>
      <c r="T1105" s="981" t="s">
        <v>632</v>
      </c>
      <c r="U1105" s="983"/>
      <c r="V1105" s="982"/>
      <c r="W1105" s="980"/>
      <c r="X1105" s="981" t="s">
        <v>632</v>
      </c>
      <c r="Y1105" s="983"/>
      <c r="Z1105" s="1412" t="str">
        <f>IFERROR(VLOOKUP(C1105, [6]條件!$A:$L, 3, 0), "")</f>
        <v/>
      </c>
      <c r="AA1105" s="984" t="str">
        <f>IF(OR(L1105={"改紡","檢修","了機","清車","FINAL","停機","SAMPLE","TEST","絲開發"}), L1105, IFERROR(IF(C1105="", "", (SUM(J1105, N1105, R1105, V1105)/3 * AG1105) * IF(AND(AF1105="S", AS1105="雙"), 0.5, 1)), ""))</f>
        <v>停機</v>
      </c>
      <c r="AB1105" s="1413" t="str">
        <f t="shared" si="194"/>
        <v/>
      </c>
      <c r="AC1105" s="984" t="str">
        <f>IF(OR(L1105={"改紡","檢修","了機","清車","FINAL","停機","SAMPLE","TEST"}), "", IFERROR(IF(C1105="", "", AVERAGE(L1105:M1105, P1105:Q1105, T1105:U1105, X1105:Y1105)/100), ""))</f>
        <v/>
      </c>
      <c r="AD1105" s="984" t="str">
        <f t="shared" si="192"/>
        <v/>
      </c>
      <c r="AE1105" s="984" t="str">
        <f t="shared" si="195"/>
        <v/>
      </c>
      <c r="AF1105" s="985" t="str">
        <f t="shared" si="187"/>
        <v>M</v>
      </c>
      <c r="AG1105" s="1414">
        <v>1</v>
      </c>
      <c r="AH1105" s="1002" t="s">
        <v>640</v>
      </c>
      <c r="AI1105" s="1002" t="s">
        <v>640</v>
      </c>
      <c r="AJ1105" s="986" t="s">
        <v>640</v>
      </c>
      <c r="AK1105" s="986" t="s">
        <v>640</v>
      </c>
      <c r="AL1105" s="1415"/>
      <c r="AM1105" s="1323"/>
      <c r="AN1105" s="1323"/>
      <c r="AO1105" s="1323"/>
      <c r="AP1105" s="1323"/>
      <c r="AQ1105" s="1323"/>
      <c r="AR1105" s="987"/>
      <c r="AS1105" s="978" t="str">
        <f t="shared" si="188"/>
        <v>單</v>
      </c>
      <c r="AT1105" s="978" t="str">
        <f t="shared" si="189"/>
        <v>全</v>
      </c>
      <c r="AU1105" s="978" t="str">
        <f t="shared" si="190"/>
        <v/>
      </c>
      <c r="AV1105" s="978" t="str">
        <f t="shared" si="191"/>
        <v/>
      </c>
    </row>
    <row r="1106" spans="1:48">
      <c r="A1106" s="975">
        <f t="shared" si="193"/>
        <v>46170</v>
      </c>
      <c r="B1106" s="976" t="s">
        <v>246</v>
      </c>
      <c r="C1106" s="988" t="s">
        <v>16185</v>
      </c>
      <c r="D1106" s="1410"/>
      <c r="E1106" s="977" t="str">
        <f>IFERROR(VLOOKUP(C1106, [6]條件!$A:$L, 5, 0), "")</f>
        <v/>
      </c>
      <c r="F1106" s="978" t="str">
        <f>IFERROR(VLOOKUP(C1106, [6]條件!$A:$L, 6, 0), "")</f>
        <v/>
      </c>
      <c r="G1106" s="1411" t="str">
        <f>IFERROR(VLOOKUP(C1106, [6]條件!$A:$L, 7, 0), "")</f>
        <v/>
      </c>
      <c r="H1106" s="978" t="str">
        <f>IF(ISNA(VLOOKUP(C1106,[6]條件!$A$1:$K$932,11,0)),"",(VLOOKUP(C1106,[6]條件!$A$1:$K$932,11,0)))</f>
        <v/>
      </c>
      <c r="I1106" s="979" t="str">
        <f>IF(ISNA(VLOOKUP(C1106,[6]條件!$A$1:$L$932,12,0)),"",(VLOOKUP(C1106,[6]條件!$A$1:$L$932,12,0)))</f>
        <v/>
      </c>
      <c r="J1106" s="982"/>
      <c r="K1106" s="980"/>
      <c r="L1106" s="981" t="s">
        <v>632</v>
      </c>
      <c r="M1106" s="983"/>
      <c r="N1106" s="982"/>
      <c r="O1106" s="980"/>
      <c r="P1106" s="981" t="s">
        <v>632</v>
      </c>
      <c r="Q1106" s="983"/>
      <c r="R1106" s="982"/>
      <c r="S1106" s="980"/>
      <c r="T1106" s="981" t="s">
        <v>632</v>
      </c>
      <c r="U1106" s="983"/>
      <c r="V1106" s="982"/>
      <c r="W1106" s="980"/>
      <c r="X1106" s="981" t="s">
        <v>632</v>
      </c>
      <c r="Y1106" s="983"/>
      <c r="Z1106" s="1412" t="str">
        <f>IFERROR(VLOOKUP(C1106, [6]條件!$A:$L, 3, 0), "")</f>
        <v/>
      </c>
      <c r="AA1106" s="984" t="str">
        <f>IF(OR(L1106={"改紡","檢修","了機","清車","FINAL","停機","SAMPLE","TEST","絲開發"}), L1106, IFERROR(IF(C1106="", "", (SUM(J1106, N1106, R1106, V1106)/3 * AG1106) * IF(AND(AF1106="S", AS1106="雙"), 0.5, 1)), ""))</f>
        <v>停機</v>
      </c>
      <c r="AB1106" s="1413" t="str">
        <f t="shared" si="194"/>
        <v/>
      </c>
      <c r="AC1106" s="984" t="str">
        <f>IF(OR(L1106={"改紡","檢修","了機","清車","FINAL","停機","SAMPLE","TEST"}), "", IFERROR(IF(C1106="", "", AVERAGE(L1106:M1106, P1106:Q1106, T1106:U1106, X1106:Y1106)/100), ""))</f>
        <v/>
      </c>
      <c r="AD1106" s="984" t="str">
        <f t="shared" si="192"/>
        <v/>
      </c>
      <c r="AE1106" s="984" t="str">
        <f t="shared" si="195"/>
        <v/>
      </c>
      <c r="AF1106" s="985" t="str">
        <f t="shared" si="187"/>
        <v>M</v>
      </c>
      <c r="AG1106" s="1414">
        <v>1</v>
      </c>
      <c r="AH1106" s="1002" t="s">
        <v>640</v>
      </c>
      <c r="AI1106" s="1002" t="s">
        <v>640</v>
      </c>
      <c r="AJ1106" s="986" t="s">
        <v>640</v>
      </c>
      <c r="AK1106" s="986" t="s">
        <v>640</v>
      </c>
      <c r="AL1106" s="1415"/>
      <c r="AM1106" s="1323"/>
      <c r="AN1106" s="1323"/>
      <c r="AO1106" s="1323"/>
      <c r="AP1106" s="1323"/>
      <c r="AQ1106" s="1323"/>
      <c r="AR1106" s="987"/>
      <c r="AS1106" s="978" t="str">
        <f t="shared" si="188"/>
        <v>單</v>
      </c>
      <c r="AT1106" s="978" t="str">
        <f t="shared" si="189"/>
        <v>全</v>
      </c>
      <c r="AU1106" s="978" t="str">
        <f t="shared" si="190"/>
        <v/>
      </c>
      <c r="AV1106" s="978" t="str">
        <f t="shared" si="191"/>
        <v/>
      </c>
    </row>
    <row r="1107" spans="1:48">
      <c r="A1107" s="975">
        <f t="shared" si="193"/>
        <v>46170</v>
      </c>
      <c r="B1107" s="976" t="s">
        <v>247</v>
      </c>
      <c r="C1107" s="988" t="s">
        <v>16185</v>
      </c>
      <c r="D1107" s="1410"/>
      <c r="E1107" s="977" t="str">
        <f>IFERROR(VLOOKUP(C1107, [6]條件!$A:$L, 5, 0), "")</f>
        <v/>
      </c>
      <c r="F1107" s="978" t="str">
        <f>IFERROR(VLOOKUP(C1107, [6]條件!$A:$L, 6, 0), "")</f>
        <v/>
      </c>
      <c r="G1107" s="1411" t="str">
        <f>IFERROR(VLOOKUP(C1107, [6]條件!$A:$L, 7, 0), "")</f>
        <v/>
      </c>
      <c r="H1107" s="978" t="str">
        <f>IF(ISNA(VLOOKUP(C1107,[6]條件!$A$1:$K$932,11,0)),"",(VLOOKUP(C1107,[6]條件!$A$1:$K$932,11,0)))</f>
        <v/>
      </c>
      <c r="I1107" s="979" t="str">
        <f>IF(ISNA(VLOOKUP(C1107,[6]條件!$A$1:$L$932,12,0)),"",(VLOOKUP(C1107,[6]條件!$A$1:$L$932,12,0)))</f>
        <v/>
      </c>
      <c r="J1107" s="982"/>
      <c r="K1107" s="980"/>
      <c r="L1107" s="981" t="s">
        <v>632</v>
      </c>
      <c r="M1107" s="983"/>
      <c r="N1107" s="982"/>
      <c r="O1107" s="980"/>
      <c r="P1107" s="981" t="s">
        <v>632</v>
      </c>
      <c r="Q1107" s="983"/>
      <c r="R1107" s="982"/>
      <c r="S1107" s="980"/>
      <c r="T1107" s="981" t="s">
        <v>632</v>
      </c>
      <c r="U1107" s="983"/>
      <c r="V1107" s="982"/>
      <c r="W1107" s="980"/>
      <c r="X1107" s="981" t="s">
        <v>632</v>
      </c>
      <c r="Y1107" s="983"/>
      <c r="Z1107" s="1412" t="str">
        <f>IFERROR(VLOOKUP(C1107, [6]條件!$A:$L, 3, 0), "")</f>
        <v/>
      </c>
      <c r="AA1107" s="984" t="str">
        <f>IF(OR(L1107={"改紡","檢修","了機","清車","FINAL","停機","SAMPLE","TEST","絲開發"}), L1107, IFERROR(IF(C1107="", "", (SUM(J1107, N1107, R1107, V1107)/3 * AG1107) * IF(AND(AF1107="S", AS1107="雙"), 0.5, 1)), ""))</f>
        <v>停機</v>
      </c>
      <c r="AB1107" s="1413" t="str">
        <f t="shared" si="194"/>
        <v/>
      </c>
      <c r="AC1107" s="984" t="str">
        <f>IF(OR(L1107={"改紡","檢修","了機","清車","FINAL","停機","SAMPLE","TEST"}), "", IFERROR(IF(C1107="", "", AVERAGE(L1107:M1107, P1107:Q1107, T1107:U1107, X1107:Y1107)/100), ""))</f>
        <v/>
      </c>
      <c r="AD1107" s="984" t="str">
        <f t="shared" si="192"/>
        <v/>
      </c>
      <c r="AE1107" s="984" t="str">
        <f t="shared" si="195"/>
        <v/>
      </c>
      <c r="AF1107" s="985" t="str">
        <f t="shared" si="187"/>
        <v>M</v>
      </c>
      <c r="AG1107" s="1414">
        <v>1</v>
      </c>
      <c r="AH1107" s="1002" t="s">
        <v>640</v>
      </c>
      <c r="AI1107" s="1002" t="s">
        <v>640</v>
      </c>
      <c r="AJ1107" s="986" t="s">
        <v>640</v>
      </c>
      <c r="AK1107" s="986" t="s">
        <v>640</v>
      </c>
      <c r="AL1107" s="1415"/>
      <c r="AM1107" s="1323"/>
      <c r="AN1107" s="1323"/>
      <c r="AO1107" s="1323"/>
      <c r="AP1107" s="1323"/>
      <c r="AQ1107" s="1323"/>
      <c r="AR1107" s="987"/>
      <c r="AS1107" s="978" t="str">
        <f t="shared" si="188"/>
        <v>單</v>
      </c>
      <c r="AT1107" s="978" t="str">
        <f t="shared" si="189"/>
        <v>全</v>
      </c>
      <c r="AU1107" s="978" t="str">
        <f t="shared" si="190"/>
        <v/>
      </c>
      <c r="AV1107" s="978" t="str">
        <f t="shared" si="191"/>
        <v/>
      </c>
    </row>
    <row r="1108" spans="1:48">
      <c r="A1108" s="975">
        <f t="shared" si="193"/>
        <v>46170</v>
      </c>
      <c r="B1108" s="976" t="s">
        <v>248</v>
      </c>
      <c r="C1108" s="988" t="s">
        <v>16185</v>
      </c>
      <c r="D1108" s="1410"/>
      <c r="E1108" s="977" t="str">
        <f>IFERROR(VLOOKUP(C1108, [6]條件!$A:$L, 5, 0), "")</f>
        <v/>
      </c>
      <c r="F1108" s="978" t="str">
        <f>IFERROR(VLOOKUP(C1108, [6]條件!$A:$L, 6, 0), "")</f>
        <v/>
      </c>
      <c r="G1108" s="1411" t="str">
        <f>IFERROR(VLOOKUP(C1108, [6]條件!$A:$L, 7, 0), "")</f>
        <v/>
      </c>
      <c r="H1108" s="978" t="str">
        <f>IF(ISNA(VLOOKUP(C1108,[6]條件!$A$1:$K$932,11,0)),"",(VLOOKUP(C1108,[6]條件!$A$1:$K$932,11,0)))</f>
        <v/>
      </c>
      <c r="I1108" s="979" t="str">
        <f>IF(ISNA(VLOOKUP(C1108,[6]條件!$A$1:$L$932,12,0)),"",(VLOOKUP(C1108,[6]條件!$A$1:$L$932,12,0)))</f>
        <v/>
      </c>
      <c r="J1108" s="982"/>
      <c r="K1108" s="980"/>
      <c r="L1108" s="981" t="s">
        <v>632</v>
      </c>
      <c r="M1108" s="983"/>
      <c r="N1108" s="982"/>
      <c r="O1108" s="980"/>
      <c r="P1108" s="981" t="s">
        <v>632</v>
      </c>
      <c r="Q1108" s="983"/>
      <c r="R1108" s="982"/>
      <c r="S1108" s="980"/>
      <c r="T1108" s="981" t="s">
        <v>632</v>
      </c>
      <c r="U1108" s="983"/>
      <c r="V1108" s="982"/>
      <c r="W1108" s="980"/>
      <c r="X1108" s="981" t="s">
        <v>632</v>
      </c>
      <c r="Y1108" s="983"/>
      <c r="Z1108" s="1412" t="str">
        <f>IFERROR(VLOOKUP(C1108, [6]條件!$A:$L, 3, 0), "")</f>
        <v/>
      </c>
      <c r="AA1108" s="984" t="str">
        <f>IF(OR(L1108={"改紡","檢修","了機","清車","FINAL","停機","SAMPLE","TEST","絲開發"}), L1108, IFERROR(IF(C1108="", "", (SUM(J1108, N1108, R1108, V1108)/3 * AG1108) * IF(AND(AF1108="S", AS1108="雙"), 0.5, 1)), ""))</f>
        <v>停機</v>
      </c>
      <c r="AB1108" s="1413" t="str">
        <f t="shared" si="194"/>
        <v/>
      </c>
      <c r="AC1108" s="984" t="str">
        <f>IF(OR(L1108={"改紡","檢修","了機","清車","FINAL","停機","SAMPLE","TEST"}), "", IFERROR(IF(C1108="", "", AVERAGE(L1108:M1108, P1108:Q1108, T1108:U1108, X1108:Y1108)/100), ""))</f>
        <v/>
      </c>
      <c r="AD1108" s="984" t="str">
        <f t="shared" si="192"/>
        <v/>
      </c>
      <c r="AE1108" s="984" t="str">
        <f t="shared" si="195"/>
        <v/>
      </c>
      <c r="AF1108" s="985" t="str">
        <f t="shared" si="187"/>
        <v>M</v>
      </c>
      <c r="AG1108" s="1414">
        <v>1</v>
      </c>
      <c r="AH1108" s="1002" t="s">
        <v>640</v>
      </c>
      <c r="AI1108" s="1002" t="s">
        <v>640</v>
      </c>
      <c r="AJ1108" s="986" t="s">
        <v>640</v>
      </c>
      <c r="AK1108" s="986" t="s">
        <v>640</v>
      </c>
      <c r="AL1108" s="1415"/>
      <c r="AM1108" s="1323"/>
      <c r="AN1108" s="1323"/>
      <c r="AO1108" s="1323"/>
      <c r="AP1108" s="1323"/>
      <c r="AQ1108" s="1323"/>
      <c r="AR1108" s="987"/>
      <c r="AS1108" s="978" t="str">
        <f t="shared" si="188"/>
        <v>單</v>
      </c>
      <c r="AT1108" s="978" t="str">
        <f t="shared" si="189"/>
        <v>全</v>
      </c>
      <c r="AU1108" s="978" t="str">
        <f t="shared" si="190"/>
        <v/>
      </c>
      <c r="AV1108" s="978" t="str">
        <f t="shared" si="191"/>
        <v/>
      </c>
    </row>
    <row r="1109" spans="1:48" ht="17.25" thickBot="1">
      <c r="A1109" s="989">
        <f t="shared" si="193"/>
        <v>46170</v>
      </c>
      <c r="B1109" s="990" t="s">
        <v>249</v>
      </c>
      <c r="C1109" s="991" t="s">
        <v>16185</v>
      </c>
      <c r="D1109" s="1425"/>
      <c r="E1109" s="1169" t="str">
        <f>IFERROR(VLOOKUP(C1109, [6]條件!$A:$L, 5, 0), "")</f>
        <v/>
      </c>
      <c r="F1109" s="992" t="str">
        <f>IFERROR(VLOOKUP(C1109, [6]條件!$A:$L, 6, 0), "")</f>
        <v/>
      </c>
      <c r="G1109" s="1426" t="str">
        <f>IFERROR(VLOOKUP(C1109, [6]條件!$A:$L, 7, 0), "")</f>
        <v/>
      </c>
      <c r="H1109" s="992" t="str">
        <f>IF(ISNA(VLOOKUP(C1109,[6]條件!$A$1:$K$932,11,0)),"",(VLOOKUP(C1109,[6]條件!$A$1:$K$932,11,0)))</f>
        <v/>
      </c>
      <c r="I1109" s="1170" t="str">
        <f>IF(ISNA(VLOOKUP(C1109,[6]條件!$A$1:$L$932,12,0)),"",(VLOOKUP(C1109,[6]條件!$A$1:$L$932,12,0)))</f>
        <v/>
      </c>
      <c r="J1109" s="995"/>
      <c r="K1109" s="993"/>
      <c r="L1109" s="994" t="s">
        <v>632</v>
      </c>
      <c r="M1109" s="996"/>
      <c r="N1109" s="995"/>
      <c r="O1109" s="993"/>
      <c r="P1109" s="994" t="s">
        <v>632</v>
      </c>
      <c r="Q1109" s="996"/>
      <c r="R1109" s="995"/>
      <c r="S1109" s="993"/>
      <c r="T1109" s="994" t="s">
        <v>632</v>
      </c>
      <c r="U1109" s="996"/>
      <c r="V1109" s="995"/>
      <c r="W1109" s="993"/>
      <c r="X1109" s="994" t="s">
        <v>632</v>
      </c>
      <c r="Y1109" s="996"/>
      <c r="Z1109" s="1427" t="str">
        <f>IFERROR(VLOOKUP(C1109, [6]條件!$A:$L, 3, 0), "")</f>
        <v/>
      </c>
      <c r="AA1109" s="997" t="str">
        <f>IF(OR(L1109={"改紡","檢修","了機","清車","FINAL","停機","SAMPLE","TEST","絲開發"}), L1109, IFERROR(IF(C1109="", "", (SUM(J1109, N1109, R1109, V1109)/3 * AG1109) * IF(AND(AF1109="S", AS1109="雙"), 0.5, 1)), ""))</f>
        <v>停機</v>
      </c>
      <c r="AB1109" s="1428" t="str">
        <f t="shared" si="194"/>
        <v/>
      </c>
      <c r="AC1109" s="997" t="str">
        <f>IF(OR(L1109={"改紡","檢修","了機","清車","FINAL","停機","SAMPLE","TEST"}), "", IFERROR(IF(C1109="", "", AVERAGE(L1109:M1109, P1109:Q1109, T1109:U1109, X1109:Y1109)/100), ""))</f>
        <v/>
      </c>
      <c r="AD1109" s="997" t="str">
        <f t="shared" si="192"/>
        <v/>
      </c>
      <c r="AE1109" s="997" t="str">
        <f t="shared" si="195"/>
        <v/>
      </c>
      <c r="AF1109" s="998" t="str">
        <f t="shared" si="187"/>
        <v>M</v>
      </c>
      <c r="AG1109" s="1429">
        <v>1</v>
      </c>
      <c r="AH1109" s="1171" t="s">
        <v>640</v>
      </c>
      <c r="AI1109" s="1171" t="s">
        <v>640</v>
      </c>
      <c r="AJ1109" s="999" t="s">
        <v>640</v>
      </c>
      <c r="AK1109" s="999" t="s">
        <v>640</v>
      </c>
      <c r="AL1109" s="1431"/>
      <c r="AM1109" s="1325"/>
      <c r="AN1109" s="1325"/>
      <c r="AO1109" s="1325"/>
      <c r="AP1109" s="1325"/>
      <c r="AQ1109" s="1325"/>
      <c r="AR1109" s="1000"/>
      <c r="AS1109" s="992" t="str">
        <f t="shared" si="188"/>
        <v>單</v>
      </c>
      <c r="AT1109" s="992" t="str">
        <f t="shared" si="189"/>
        <v>全</v>
      </c>
      <c r="AU1109" s="992" t="str">
        <f t="shared" si="190"/>
        <v/>
      </c>
      <c r="AV1109" s="992" t="str">
        <f t="shared" si="191"/>
        <v/>
      </c>
    </row>
    <row r="1110" spans="1:48">
      <c r="A1110" s="962">
        <v>46171</v>
      </c>
      <c r="B1110" s="963" t="s">
        <v>212</v>
      </c>
      <c r="C1110" s="963" t="s">
        <v>632</v>
      </c>
      <c r="D1110" s="1403"/>
      <c r="E1110" s="964" t="str">
        <f>IFERROR(VLOOKUP(C1110, [6]條件!$A:$L, 5, 0), "")</f>
        <v/>
      </c>
      <c r="F1110" s="965" t="str">
        <f>IFERROR(VLOOKUP(C1110, [6]條件!$A:$L, 6, 0), "")</f>
        <v/>
      </c>
      <c r="G1110" s="1404" t="str">
        <f>IFERROR(VLOOKUP(C1110, [6]條件!$A:$L, 7, 0), "")</f>
        <v/>
      </c>
      <c r="H1110" s="965" t="str">
        <f>IF(ISNA(VLOOKUP(C1110,[6]條件!$A$1:$K$932,11,0)),"",(VLOOKUP(C1110,[6]條件!$A$1:$K$932,11,0)))</f>
        <v/>
      </c>
      <c r="I1110" s="966" t="str">
        <f>IF(ISNA(VLOOKUP(C1110,[6]條件!$A$1:$L$932,12,0)),"",(VLOOKUP(C1110,[6]條件!$A$1:$L$932,12,0)))</f>
        <v/>
      </c>
      <c r="J1110" s="969"/>
      <c r="K1110" s="967"/>
      <c r="L1110" s="981" t="s">
        <v>632</v>
      </c>
      <c r="M1110" s="970"/>
      <c r="N1110" s="969"/>
      <c r="O1110" s="967"/>
      <c r="P1110" s="981" t="s">
        <v>632</v>
      </c>
      <c r="Q1110" s="970"/>
      <c r="R1110" s="969"/>
      <c r="S1110" s="967"/>
      <c r="T1110" s="981" t="s">
        <v>632</v>
      </c>
      <c r="U1110" s="970"/>
      <c r="V1110" s="969"/>
      <c r="W1110" s="967"/>
      <c r="X1110" s="981" t="s">
        <v>632</v>
      </c>
      <c r="Y1110" s="970"/>
      <c r="Z1110" s="1405" t="str">
        <f>IFERROR(VLOOKUP(C1110, [6]條件!$A:$L, 3, 0), "")</f>
        <v/>
      </c>
      <c r="AA1110" s="971" t="str">
        <f>IF(OR(L1110={"改紡","檢修","了機","清車","FINAL","停機","SAMPLE","TEST","絲開發"}), L1110, IFERROR(IF(C1110="", "", (SUM(J1110, N1110, R1110, V1110)/3 * AG1110) * IF(AND(AF1110="S", AS1110="雙"), 0.5, 1)), ""))</f>
        <v>停機</v>
      </c>
      <c r="AB1110" s="1406" t="str">
        <f t="shared" si="194"/>
        <v/>
      </c>
      <c r="AC1110" s="971" t="str">
        <f>IF(OR(L1110={"改紡","檢修","了機","清車","FINAL","停機","SAMPLE","TEST"}), "", IFERROR(IF(C1110="", "", AVERAGE(L1110:M1110, P1110:Q1110, T1110:U1110, X1110:Y1110)/100), ""))</f>
        <v/>
      </c>
      <c r="AD1110" s="971" t="str">
        <f t="shared" si="192"/>
        <v/>
      </c>
      <c r="AE1110" s="971" t="str">
        <f t="shared" si="195"/>
        <v/>
      </c>
      <c r="AF1110" s="972" t="str">
        <f t="shared" si="187"/>
        <v>A</v>
      </c>
      <c r="AG1110" s="1407">
        <v>1</v>
      </c>
      <c r="AH1110" s="1001" t="s">
        <v>640</v>
      </c>
      <c r="AI1110" s="1001" t="s">
        <v>640</v>
      </c>
      <c r="AJ1110" s="1001" t="s">
        <v>640</v>
      </c>
      <c r="AK1110" s="1001" t="s">
        <v>640</v>
      </c>
      <c r="AL1110" s="1409"/>
      <c r="AM1110" s="1322"/>
      <c r="AN1110" s="1322"/>
      <c r="AO1110" s="1322"/>
      <c r="AP1110" s="1322"/>
      <c r="AQ1110" s="1322"/>
      <c r="AR1110" s="973"/>
      <c r="AS1110" s="965" t="str">
        <f t="shared" si="188"/>
        <v>單</v>
      </c>
      <c r="AT1110" s="965" t="str">
        <f t="shared" si="189"/>
        <v>全</v>
      </c>
      <c r="AU1110" s="965" t="str">
        <f t="shared" si="190"/>
        <v/>
      </c>
      <c r="AV1110" s="965" t="str">
        <f t="shared" si="191"/>
        <v/>
      </c>
    </row>
    <row r="1111" spans="1:48">
      <c r="A1111" s="975">
        <f t="shared" ref="A1111:A1174" si="196">A1110</f>
        <v>46171</v>
      </c>
      <c r="B1111" s="976" t="s">
        <v>214</v>
      </c>
      <c r="C1111" s="976" t="s">
        <v>632</v>
      </c>
      <c r="D1111" s="1410"/>
      <c r="E1111" s="977" t="str">
        <f>IFERROR(VLOOKUP(C1111, [6]條件!$A:$L, 5, 0), "")</f>
        <v/>
      </c>
      <c r="F1111" s="978" t="str">
        <f>IFERROR(VLOOKUP(C1111, [6]條件!$A:$L, 6, 0), "")</f>
        <v/>
      </c>
      <c r="G1111" s="1411" t="str">
        <f>IFERROR(VLOOKUP(C1111, [6]條件!$A:$L, 7, 0), "")</f>
        <v/>
      </c>
      <c r="H1111" s="978" t="str">
        <f>IF(ISNA(VLOOKUP(C1111,[6]條件!$A$1:$K$932,11,0)),"",(VLOOKUP(C1111,[6]條件!$A$1:$K$932,11,0)))</f>
        <v/>
      </c>
      <c r="I1111" s="979" t="str">
        <f>IF(ISNA(VLOOKUP(C1111,[6]條件!$A$1:$L$932,12,0)),"",(VLOOKUP(C1111,[6]條件!$A$1:$L$932,12,0)))</f>
        <v/>
      </c>
      <c r="J1111" s="982"/>
      <c r="K1111" s="980"/>
      <c r="L1111" s="981" t="s">
        <v>16017</v>
      </c>
      <c r="M1111" s="983"/>
      <c r="N1111" s="982"/>
      <c r="O1111" s="980"/>
      <c r="P1111" s="981" t="s">
        <v>632</v>
      </c>
      <c r="Q1111" s="983"/>
      <c r="R1111" s="982"/>
      <c r="S1111" s="980"/>
      <c r="T1111" s="981" t="s">
        <v>632</v>
      </c>
      <c r="U1111" s="983"/>
      <c r="V1111" s="982"/>
      <c r="W1111" s="980"/>
      <c r="X1111" s="981" t="s">
        <v>632</v>
      </c>
      <c r="Y1111" s="983"/>
      <c r="Z1111" s="1412" t="str">
        <f>IFERROR(VLOOKUP(C1111, [6]條件!$A:$L, 3, 0), "")</f>
        <v/>
      </c>
      <c r="AA1111" s="984" t="str">
        <f>IF(OR(L1111={"改紡","檢修","了機","清車","FINAL","停機","SAMPLE","TEST","絲開發"}), L1111, IFERROR(IF(C1111="", "", (SUM(J1111, N1111, R1111, V1111)/3 * AG1111) * IF(AND(AF1111="S", AS1111="雙"), 0.5, 1)), ""))</f>
        <v>清車</v>
      </c>
      <c r="AB1111" s="1413" t="str">
        <f t="shared" si="194"/>
        <v/>
      </c>
      <c r="AC1111" s="984" t="str">
        <f>IF(OR(L1111={"改紡","檢修","了機","清車","FINAL","停機","SAMPLE","TEST"}), "", IFERROR(IF(C1111="", "", AVERAGE(L1111:M1111, P1111:Q1111, T1111:U1111, X1111:Y1111)/100), ""))</f>
        <v/>
      </c>
      <c r="AD1111" s="984" t="str">
        <f t="shared" si="192"/>
        <v/>
      </c>
      <c r="AE1111" s="984" t="str">
        <f t="shared" si="195"/>
        <v/>
      </c>
      <c r="AF1111" s="985" t="str">
        <f t="shared" si="187"/>
        <v>A</v>
      </c>
      <c r="AG1111" s="1414">
        <v>1</v>
      </c>
      <c r="AH1111" s="1002" t="s">
        <v>16011</v>
      </c>
      <c r="AI1111" s="1002" t="s">
        <v>640</v>
      </c>
      <c r="AJ1111" s="1002" t="s">
        <v>640</v>
      </c>
      <c r="AK1111" s="1002" t="s">
        <v>640</v>
      </c>
      <c r="AL1111" s="1415"/>
      <c r="AM1111" s="1323"/>
      <c r="AN1111" s="1323"/>
      <c r="AO1111" s="1323"/>
      <c r="AP1111" s="1323"/>
      <c r="AQ1111" s="1323"/>
      <c r="AR1111" s="987"/>
      <c r="AS1111" s="978" t="str">
        <f t="shared" si="188"/>
        <v>單</v>
      </c>
      <c r="AT1111" s="978" t="str">
        <f t="shared" si="189"/>
        <v>全</v>
      </c>
      <c r="AU1111" s="978" t="str">
        <f t="shared" si="190"/>
        <v/>
      </c>
      <c r="AV1111" s="978" t="str">
        <f t="shared" si="191"/>
        <v/>
      </c>
    </row>
    <row r="1112" spans="1:48">
      <c r="A1112" s="975">
        <f t="shared" si="196"/>
        <v>46171</v>
      </c>
      <c r="B1112" s="976" t="s">
        <v>215</v>
      </c>
      <c r="C1112" s="976" t="s">
        <v>632</v>
      </c>
      <c r="D1112" s="1410"/>
      <c r="E1112" s="977" t="str">
        <f>IFERROR(VLOOKUP(C1112, [6]條件!$A:$L, 5, 0), "")</f>
        <v/>
      </c>
      <c r="F1112" s="978" t="str">
        <f>IFERROR(VLOOKUP(C1112, [6]條件!$A:$L, 6, 0), "")</f>
        <v/>
      </c>
      <c r="G1112" s="1411" t="str">
        <f>IFERROR(VLOOKUP(C1112, [6]條件!$A:$L, 7, 0), "")</f>
        <v/>
      </c>
      <c r="H1112" s="978" t="str">
        <f>IF(ISNA(VLOOKUP(C1112,[6]條件!$A$1:$K$932,11,0)),"",(VLOOKUP(C1112,[6]條件!$A$1:$K$932,11,0)))</f>
        <v/>
      </c>
      <c r="I1112" s="979" t="str">
        <f>IF(ISNA(VLOOKUP(C1112,[6]條件!$A$1:$L$932,12,0)),"",(VLOOKUP(C1112,[6]條件!$A$1:$L$932,12,0)))</f>
        <v/>
      </c>
      <c r="J1112" s="982"/>
      <c r="K1112" s="980"/>
      <c r="L1112" s="981" t="s">
        <v>632</v>
      </c>
      <c r="M1112" s="983"/>
      <c r="N1112" s="982"/>
      <c r="O1112" s="980"/>
      <c r="P1112" s="981" t="s">
        <v>632</v>
      </c>
      <c r="Q1112" s="983"/>
      <c r="R1112" s="982"/>
      <c r="S1112" s="980"/>
      <c r="T1112" s="981" t="s">
        <v>632</v>
      </c>
      <c r="U1112" s="983"/>
      <c r="V1112" s="982"/>
      <c r="W1112" s="980"/>
      <c r="X1112" s="981" t="s">
        <v>632</v>
      </c>
      <c r="Y1112" s="983"/>
      <c r="Z1112" s="1412" t="str">
        <f>IFERROR(VLOOKUP(C1112, [6]條件!$A:$L, 3, 0), "")</f>
        <v/>
      </c>
      <c r="AA1112" s="984" t="str">
        <f>IF(OR(L1112={"改紡","檢修","了機","清車","FINAL","停機","SAMPLE","TEST","絲開發"}), L1112, IFERROR(IF(C1112="", "", (SUM(J1112, N1112, R1112, V1112)/3 * AG1112) * IF(AND(AF1112="S", AS1112="雙"), 0.5, 1)), ""))</f>
        <v>停機</v>
      </c>
      <c r="AB1112" s="1413" t="str">
        <f t="shared" si="194"/>
        <v/>
      </c>
      <c r="AC1112" s="984" t="str">
        <f>IF(OR(L1112={"改紡","檢修","了機","清車","FINAL","停機","SAMPLE","TEST"}), "", IFERROR(IF(C1112="", "", AVERAGE(L1112:M1112, P1112:Q1112, T1112:U1112, X1112:Y1112)/100), ""))</f>
        <v/>
      </c>
      <c r="AD1112" s="984" t="str">
        <f t="shared" si="192"/>
        <v/>
      </c>
      <c r="AE1112" s="984" t="str">
        <f t="shared" si="195"/>
        <v/>
      </c>
      <c r="AF1112" s="985" t="str">
        <f t="shared" si="187"/>
        <v>A</v>
      </c>
      <c r="AG1112" s="1414">
        <v>1</v>
      </c>
      <c r="AH1112" s="1002" t="s">
        <v>16011</v>
      </c>
      <c r="AI1112" s="1002" t="s">
        <v>640</v>
      </c>
      <c r="AJ1112" s="1002" t="s">
        <v>16011</v>
      </c>
      <c r="AK1112" s="1002" t="s">
        <v>640</v>
      </c>
      <c r="AL1112" s="1415"/>
      <c r="AM1112" s="1323"/>
      <c r="AN1112" s="1323"/>
      <c r="AO1112" s="1323"/>
      <c r="AP1112" s="1323"/>
      <c r="AQ1112" s="1323"/>
      <c r="AR1112" s="987"/>
      <c r="AS1112" s="978" t="str">
        <f t="shared" si="188"/>
        <v>單</v>
      </c>
      <c r="AT1112" s="978" t="str">
        <f t="shared" si="189"/>
        <v>全</v>
      </c>
      <c r="AU1112" s="978" t="str">
        <f t="shared" si="190"/>
        <v/>
      </c>
      <c r="AV1112" s="978" t="str">
        <f t="shared" si="191"/>
        <v/>
      </c>
    </row>
    <row r="1113" spans="1:48">
      <c r="A1113" s="975">
        <f t="shared" si="196"/>
        <v>46171</v>
      </c>
      <c r="B1113" s="976" t="s">
        <v>216</v>
      </c>
      <c r="C1113" s="976" t="s">
        <v>632</v>
      </c>
      <c r="D1113" s="1410"/>
      <c r="E1113" s="977" t="str">
        <f>IFERROR(VLOOKUP(C1113, [6]條件!$A:$L, 5, 0), "")</f>
        <v/>
      </c>
      <c r="F1113" s="978" t="str">
        <f>IFERROR(VLOOKUP(C1113, [6]條件!$A:$L, 6, 0), "")</f>
        <v/>
      </c>
      <c r="G1113" s="1411" t="str">
        <f>IFERROR(VLOOKUP(C1113, [6]條件!$A:$L, 7, 0), "")</f>
        <v/>
      </c>
      <c r="H1113" s="978" t="str">
        <f>IF(ISNA(VLOOKUP(C1113,[6]條件!$A$1:$K$932,11,0)),"",(VLOOKUP(C1113,[6]條件!$A$1:$K$932,11,0)))</f>
        <v/>
      </c>
      <c r="I1113" s="979" t="str">
        <f>IF(ISNA(VLOOKUP(C1113,[6]條件!$A$1:$L$932,12,0)),"",(VLOOKUP(C1113,[6]條件!$A$1:$L$932,12,0)))</f>
        <v/>
      </c>
      <c r="J1113" s="982"/>
      <c r="K1113" s="980"/>
      <c r="L1113" s="981" t="s">
        <v>632</v>
      </c>
      <c r="M1113" s="983"/>
      <c r="N1113" s="982"/>
      <c r="O1113" s="980"/>
      <c r="P1113" s="981" t="s">
        <v>632</v>
      </c>
      <c r="Q1113" s="983"/>
      <c r="R1113" s="982"/>
      <c r="S1113" s="980"/>
      <c r="T1113" s="981" t="s">
        <v>632</v>
      </c>
      <c r="U1113" s="983"/>
      <c r="V1113" s="982"/>
      <c r="W1113" s="980"/>
      <c r="X1113" s="981" t="s">
        <v>632</v>
      </c>
      <c r="Y1113" s="983"/>
      <c r="Z1113" s="1412" t="str">
        <f>IFERROR(VLOOKUP(C1113, [6]條件!$A:$L, 3, 0), "")</f>
        <v/>
      </c>
      <c r="AA1113" s="984" t="str">
        <f>IF(OR(L1113={"改紡","檢修","了機","清車","FINAL","停機","SAMPLE","TEST","絲開發"}), L1113, IFERROR(IF(C1113="", "", (SUM(J1113, N1113, R1113, V1113)/3 * AG1113) * IF(AND(AF1113="S", AS1113="雙"), 0.5, 1)), ""))</f>
        <v>停機</v>
      </c>
      <c r="AB1113" s="1413" t="str">
        <f t="shared" si="194"/>
        <v/>
      </c>
      <c r="AC1113" s="984" t="str">
        <f>IF(OR(L1113={"改紡","檢修","了機","清車","FINAL","停機","SAMPLE","TEST"}), "", IFERROR(IF(C1113="", "", AVERAGE(L1113:M1113, P1113:Q1113, T1113:U1113, X1113:Y1113)/100), ""))</f>
        <v/>
      </c>
      <c r="AD1113" s="984" t="str">
        <f t="shared" si="192"/>
        <v/>
      </c>
      <c r="AE1113" s="984" t="str">
        <f t="shared" si="195"/>
        <v/>
      </c>
      <c r="AF1113" s="985" t="str">
        <f t="shared" si="187"/>
        <v>A</v>
      </c>
      <c r="AG1113" s="1414">
        <v>1</v>
      </c>
      <c r="AH1113" s="1002" t="s">
        <v>16011</v>
      </c>
      <c r="AI1113" s="1002" t="s">
        <v>640</v>
      </c>
      <c r="AJ1113" s="1002" t="s">
        <v>16011</v>
      </c>
      <c r="AK1113" s="1002" t="s">
        <v>640</v>
      </c>
      <c r="AL1113" s="1415"/>
      <c r="AM1113" s="1323"/>
      <c r="AN1113" s="1323"/>
      <c r="AO1113" s="1323"/>
      <c r="AP1113" s="1323"/>
      <c r="AQ1113" s="1323"/>
      <c r="AR1113" s="987"/>
      <c r="AS1113" s="978" t="str">
        <f t="shared" si="188"/>
        <v>單</v>
      </c>
      <c r="AT1113" s="978" t="str">
        <f t="shared" si="189"/>
        <v>全</v>
      </c>
      <c r="AU1113" s="978" t="str">
        <f t="shared" si="190"/>
        <v/>
      </c>
      <c r="AV1113" s="978" t="str">
        <f t="shared" si="191"/>
        <v/>
      </c>
    </row>
    <row r="1114" spans="1:48">
      <c r="A1114" s="975">
        <f t="shared" si="196"/>
        <v>46171</v>
      </c>
      <c r="B1114" s="976" t="s">
        <v>217</v>
      </c>
      <c r="C1114" s="976" t="s">
        <v>16790</v>
      </c>
      <c r="D1114" s="1410"/>
      <c r="E1114" s="977" t="str">
        <f>IFERROR(VLOOKUP(C1114, [6]條件!$A:$L, 5, 0), "")</f>
        <v>75/72SRR5</v>
      </c>
      <c r="F1114" s="978" t="str">
        <f>IFERROR(VLOOKUP(C1114, [6]條件!$A:$L, 6, 0), "")</f>
        <v>FP81631R</v>
      </c>
      <c r="G1114" s="1411">
        <f>IFERROR(VLOOKUP(C1114, [6]條件!$A:$L, 7, 0), "")</f>
        <v>600</v>
      </c>
      <c r="H1114" s="978" t="str">
        <f>IF(ISNA(VLOOKUP(C1114,[6]條件!$A$1:$K$932,11,0)),"",(VLOOKUP(C1114,[6]條件!$A$1:$K$932,11,0)))</f>
        <v>白藍條</v>
      </c>
      <c r="I1114" s="979">
        <f>IF(ISNA(VLOOKUP(C1114,[6]條件!$A$1:$L$932,12,0)),"",(VLOOKUP(C1114,[6]條件!$A$1:$L$932,12,0)))</f>
        <v>4</v>
      </c>
      <c r="J1114" s="982">
        <v>22</v>
      </c>
      <c r="K1114" s="980">
        <v>0</v>
      </c>
      <c r="L1114" s="981">
        <v>9532</v>
      </c>
      <c r="M1114" s="983">
        <v>8779</v>
      </c>
      <c r="N1114" s="982">
        <v>10</v>
      </c>
      <c r="O1114" s="980">
        <v>0</v>
      </c>
      <c r="P1114" s="981">
        <v>9656</v>
      </c>
      <c r="Q1114" s="983">
        <v>8788</v>
      </c>
      <c r="R1114" s="982">
        <v>17</v>
      </c>
      <c r="S1114" s="980">
        <v>0</v>
      </c>
      <c r="T1114" s="981">
        <v>9536</v>
      </c>
      <c r="U1114" s="983">
        <v>8881</v>
      </c>
      <c r="V1114" s="982">
        <v>19</v>
      </c>
      <c r="W1114" s="980">
        <v>0</v>
      </c>
      <c r="X1114" s="981">
        <v>9545</v>
      </c>
      <c r="Y1114" s="983">
        <v>9094</v>
      </c>
      <c r="Z1114" s="1412">
        <f>IFERROR(VLOOKUP(C1114, [6]條件!$A:$L, 3, 0), "")</f>
        <v>1.7625458996328029</v>
      </c>
      <c r="AA1114" s="984">
        <f>IF(OR(L1114={"改紡","檢修","了機","清車","FINAL","停機","SAMPLE","TEST","絲開發"}), L1114, IFERROR(IF(C1114="", "", (SUM(J1114, N1114, R1114, V1114)/3 * AG1114) * IF(AND(AF1114="S", AS1114="雙"), 0.5, 1)), ""))</f>
        <v>22.666666666666668</v>
      </c>
      <c r="AB1114" s="1413">
        <f t="shared" si="194"/>
        <v>1</v>
      </c>
      <c r="AC1114" s="984">
        <f>IF(OR(L1114={"改紡","檢修","了機","清車","FINAL","停機","SAMPLE","TEST"}), "", IFERROR(IF(C1114="", "", AVERAGE(L1114:M1114, P1114:Q1114, T1114:U1114, X1114:Y1114)/100), ""))</f>
        <v>92.263750000000002</v>
      </c>
      <c r="AD1114" s="984">
        <f t="shared" si="192"/>
        <v>2.8333333333333335</v>
      </c>
      <c r="AE1114" s="984">
        <f t="shared" si="195"/>
        <v>2.8333333333333335</v>
      </c>
      <c r="AF1114" s="985" t="str">
        <f t="shared" si="187"/>
        <v>A</v>
      </c>
      <c r="AG1114" s="1414">
        <v>1</v>
      </c>
      <c r="AH1114" s="1002" t="s">
        <v>15994</v>
      </c>
      <c r="AI1114" s="1002" t="s">
        <v>641</v>
      </c>
      <c r="AJ1114" s="986" t="s">
        <v>15995</v>
      </c>
      <c r="AK1114" s="986" t="s">
        <v>725</v>
      </c>
      <c r="AL1114" s="1415">
        <v>54</v>
      </c>
      <c r="AM1114" s="1323">
        <v>46048</v>
      </c>
      <c r="AN1114" s="1323">
        <v>46049</v>
      </c>
      <c r="AO1114" s="1323">
        <v>46050</v>
      </c>
      <c r="AP1114" s="1323">
        <v>46051</v>
      </c>
      <c r="AQ1114" s="1323">
        <v>46052</v>
      </c>
      <c r="AR1114" s="987"/>
      <c r="AS1114" s="978" t="str">
        <f t="shared" si="188"/>
        <v>單</v>
      </c>
      <c r="AT1114" s="978" t="str">
        <f t="shared" si="189"/>
        <v>全</v>
      </c>
      <c r="AU1114" s="978">
        <f t="shared" si="190"/>
        <v>75</v>
      </c>
      <c r="AV1114" s="978">
        <f t="shared" si="191"/>
        <v>1.43488584</v>
      </c>
    </row>
    <row r="1115" spans="1:48">
      <c r="A1115" s="975">
        <f t="shared" si="196"/>
        <v>46171</v>
      </c>
      <c r="B1115" s="976" t="s">
        <v>218</v>
      </c>
      <c r="C1115" s="976" t="s">
        <v>632</v>
      </c>
      <c r="D1115" s="1410"/>
      <c r="E1115" s="977" t="str">
        <f>IFERROR(VLOOKUP(C1115, [6]條件!$A:$L, 5, 0), "")</f>
        <v/>
      </c>
      <c r="F1115" s="978" t="str">
        <f>IFERROR(VLOOKUP(C1115, [6]條件!$A:$L, 6, 0), "")</f>
        <v/>
      </c>
      <c r="G1115" s="1411" t="str">
        <f>IFERROR(VLOOKUP(C1115, [6]條件!$A:$L, 7, 0), "")</f>
        <v/>
      </c>
      <c r="H1115" s="978" t="str">
        <f>IF(ISNA(VLOOKUP(C1115,[6]條件!$A$1:$K$932,11,0)),"",(VLOOKUP(C1115,[6]條件!$A$1:$K$932,11,0)))</f>
        <v/>
      </c>
      <c r="I1115" s="979" t="str">
        <f>IF(ISNA(VLOOKUP(C1115,[6]條件!$A$1:$L$932,12,0)),"",(VLOOKUP(C1115,[6]條件!$A$1:$L$932,12,0)))</f>
        <v/>
      </c>
      <c r="J1115" s="982"/>
      <c r="K1115" s="980"/>
      <c r="L1115" s="981" t="s">
        <v>632</v>
      </c>
      <c r="M1115" s="983"/>
      <c r="N1115" s="982"/>
      <c r="O1115" s="980"/>
      <c r="P1115" s="981" t="s">
        <v>632</v>
      </c>
      <c r="Q1115" s="983"/>
      <c r="R1115" s="982"/>
      <c r="S1115" s="980"/>
      <c r="T1115" s="981" t="s">
        <v>632</v>
      </c>
      <c r="U1115" s="983"/>
      <c r="V1115" s="982"/>
      <c r="W1115" s="980"/>
      <c r="X1115" s="981" t="s">
        <v>632</v>
      </c>
      <c r="Y1115" s="983"/>
      <c r="Z1115" s="1412" t="str">
        <f>IFERROR(VLOOKUP(C1115, [6]條件!$A:$L, 3, 0), "")</f>
        <v/>
      </c>
      <c r="AA1115" s="984" t="str">
        <f>IF(OR(L1115={"改紡","檢修","了機","清車","FINAL","停機","SAMPLE","TEST","絲開發"}), L1115, IFERROR(IF(C1115="", "", (SUM(J1115, N1115, R1115, V1115)/3 * AG1115) * IF(AND(AF1115="S", AS1115="雙"), 0.5, 1)), ""))</f>
        <v>停機</v>
      </c>
      <c r="AB1115" s="1413" t="str">
        <f t="shared" si="194"/>
        <v/>
      </c>
      <c r="AC1115" s="984" t="str">
        <f>IF(OR(L1115={"改紡","檢修","了機","清車","FINAL","停機","SAMPLE","TEST"}), "", IFERROR(IF(C1115="", "", AVERAGE(L1115:M1115, P1115:Q1115, T1115:U1115, X1115:Y1115)/100), ""))</f>
        <v/>
      </c>
      <c r="AD1115" s="984" t="str">
        <f t="shared" si="192"/>
        <v/>
      </c>
      <c r="AE1115" s="984" t="str">
        <f t="shared" si="195"/>
        <v/>
      </c>
      <c r="AF1115" s="985" t="str">
        <f t="shared" si="187"/>
        <v>A</v>
      </c>
      <c r="AG1115" s="1414">
        <v>1</v>
      </c>
      <c r="AH1115" s="1002" t="s">
        <v>640</v>
      </c>
      <c r="AI1115" s="1002" t="s">
        <v>640</v>
      </c>
      <c r="AJ1115" s="986" t="s">
        <v>640</v>
      </c>
      <c r="AK1115" s="986" t="s">
        <v>640</v>
      </c>
      <c r="AL1115" s="1415"/>
      <c r="AM1115" s="1323"/>
      <c r="AN1115" s="1323"/>
      <c r="AO1115" s="1323"/>
      <c r="AP1115" s="1323"/>
      <c r="AQ1115" s="1323"/>
      <c r="AR1115" s="987"/>
      <c r="AS1115" s="978" t="str">
        <f t="shared" si="188"/>
        <v>單</v>
      </c>
      <c r="AT1115" s="978" t="str">
        <f t="shared" si="189"/>
        <v>全</v>
      </c>
      <c r="AU1115" s="978" t="str">
        <f t="shared" si="190"/>
        <v/>
      </c>
      <c r="AV1115" s="978" t="str">
        <f t="shared" si="191"/>
        <v/>
      </c>
    </row>
    <row r="1116" spans="1:48">
      <c r="A1116" s="975">
        <f t="shared" si="196"/>
        <v>46171</v>
      </c>
      <c r="B1116" s="976" t="s">
        <v>219</v>
      </c>
      <c r="C1116" s="976" t="s">
        <v>16745</v>
      </c>
      <c r="D1116" s="1410" t="s">
        <v>16748</v>
      </c>
      <c r="E1116" s="977" t="str">
        <f>IFERROR(VLOOKUP(C1116, [6]條件!$A:$L, 5, 0), "")</f>
        <v>50/72BSD3</v>
      </c>
      <c r="F1116" s="978" t="str">
        <f>IFERROR(VLOOKUP(C1116, [6]條件!$A:$L, 6, 0), "")</f>
        <v>FP80141</v>
      </c>
      <c r="G1116" s="1411">
        <f>IFERROR(VLOOKUP(C1116, [6]條件!$A:$L, 7, 0), "")</f>
        <v>630</v>
      </c>
      <c r="H1116" s="978" t="str">
        <f>IF(ISNA(VLOOKUP(C1116,[6]條件!$A$1:$K$932,11,0)),"",(VLOOKUP(C1116,[6]條件!$A$1:$K$932,11,0)))</f>
        <v>洋綠色</v>
      </c>
      <c r="I1116" s="979">
        <f>IF(ISNA(VLOOKUP(C1116,[6]條件!$A$1:$L$932,12,0)),"",(VLOOKUP(C1116,[6]條件!$A$1:$L$932,12,0)))</f>
        <v>2</v>
      </c>
      <c r="J1116" s="982">
        <v>20</v>
      </c>
      <c r="K1116" s="980">
        <v>12</v>
      </c>
      <c r="L1116" s="981">
        <v>8949</v>
      </c>
      <c r="M1116" s="983">
        <v>9730</v>
      </c>
      <c r="N1116" s="982">
        <v>11</v>
      </c>
      <c r="O1116" s="980">
        <v>0</v>
      </c>
      <c r="P1116" s="981">
        <v>9270</v>
      </c>
      <c r="Q1116" s="983">
        <v>9468</v>
      </c>
      <c r="R1116" s="982">
        <v>26</v>
      </c>
      <c r="S1116" s="980">
        <v>2</v>
      </c>
      <c r="T1116" s="981">
        <v>9233</v>
      </c>
      <c r="U1116" s="983">
        <v>9527</v>
      </c>
      <c r="V1116" s="982">
        <v>26</v>
      </c>
      <c r="W1116" s="980">
        <v>0</v>
      </c>
      <c r="X1116" s="981">
        <v>9295</v>
      </c>
      <c r="Y1116" s="983">
        <v>9633</v>
      </c>
      <c r="Z1116" s="1412">
        <f>IFERROR(VLOOKUP(C1116, [6]條件!$A:$L, 3, 0), "")</f>
        <v>2.4615384615384617</v>
      </c>
      <c r="AA1116" s="984">
        <f>IF(OR(L1116={"改紡","檢修","了機","清車","FINAL","停機","SAMPLE","TEST","絲開發"}), L1116, IFERROR(IF(C1116="", "", (SUM(J1116, N1116, R1116, V1116)/3 * AG1116) * IF(AND(AF1116="S", AS1116="雙"), 0.5, 1)), ""))</f>
        <v>27.666666666666668</v>
      </c>
      <c r="AB1116" s="1413">
        <f t="shared" si="194"/>
        <v>0.97265625</v>
      </c>
      <c r="AC1116" s="984">
        <f>IF(OR(L1116={"改紡","檢修","了機","清車","FINAL","停機","SAMPLE","TEST"}), "", IFERROR(IF(C1116="", "", AVERAGE(L1116:M1116, P1116:Q1116, T1116:U1116, X1116:Y1116)/100), ""))</f>
        <v>93.881249999999994</v>
      </c>
      <c r="AD1116" s="984">
        <f t="shared" si="192"/>
        <v>3.4583333333333335</v>
      </c>
      <c r="AE1116" s="984">
        <f t="shared" si="195"/>
        <v>2.875</v>
      </c>
      <c r="AF1116" s="985" t="str">
        <f t="shared" si="187"/>
        <v>A</v>
      </c>
      <c r="AG1116" s="1414">
        <v>1</v>
      </c>
      <c r="AH1116" s="1002" t="s">
        <v>15994</v>
      </c>
      <c r="AI1116" s="1002" t="s">
        <v>641</v>
      </c>
      <c r="AJ1116" s="986" t="s">
        <v>15995</v>
      </c>
      <c r="AK1116" s="986" t="s">
        <v>725</v>
      </c>
      <c r="AL1116" s="1415">
        <v>57</v>
      </c>
      <c r="AM1116" s="1324">
        <v>46092</v>
      </c>
      <c r="AN1116" s="1323">
        <v>46093</v>
      </c>
      <c r="AO1116" s="1323"/>
      <c r="AP1116" s="1323"/>
      <c r="AQ1116" s="1323"/>
      <c r="AR1116" s="987"/>
      <c r="AS1116" s="978" t="str">
        <f t="shared" si="188"/>
        <v>單</v>
      </c>
      <c r="AT1116" s="978" t="str">
        <f t="shared" si="189"/>
        <v>全</v>
      </c>
      <c r="AU1116" s="978">
        <f t="shared" si="190"/>
        <v>50</v>
      </c>
      <c r="AV1116" s="978">
        <f t="shared" si="191"/>
        <v>1.0220288400000002</v>
      </c>
    </row>
    <row r="1117" spans="1:48">
      <c r="A1117" s="975">
        <f t="shared" si="196"/>
        <v>46171</v>
      </c>
      <c r="B1117" s="976" t="s">
        <v>220</v>
      </c>
      <c r="C1117" s="976" t="s">
        <v>632</v>
      </c>
      <c r="D1117" s="1410"/>
      <c r="E1117" s="977" t="str">
        <f>IFERROR(VLOOKUP(C1117, [6]條件!$A:$L, 5, 0), "")</f>
        <v/>
      </c>
      <c r="F1117" s="978" t="str">
        <f>IFERROR(VLOOKUP(C1117, [6]條件!$A:$L, 6, 0), "")</f>
        <v/>
      </c>
      <c r="G1117" s="1411" t="str">
        <f>IFERROR(VLOOKUP(C1117, [6]條件!$A:$L, 7, 0), "")</f>
        <v/>
      </c>
      <c r="H1117" s="978" t="str">
        <f>IF(ISNA(VLOOKUP(C1117,[6]條件!$A$1:$K$932,11,0)),"",(VLOOKUP(C1117,[6]條件!$A$1:$K$932,11,0)))</f>
        <v/>
      </c>
      <c r="I1117" s="979" t="str">
        <f>IF(ISNA(VLOOKUP(C1117,[6]條件!$A$1:$L$932,12,0)),"",(VLOOKUP(C1117,[6]條件!$A$1:$L$932,12,0)))</f>
        <v/>
      </c>
      <c r="J1117" s="982"/>
      <c r="K1117" s="980"/>
      <c r="L1117" s="981" t="s">
        <v>632</v>
      </c>
      <c r="M1117" s="983"/>
      <c r="N1117" s="982"/>
      <c r="O1117" s="980"/>
      <c r="P1117" s="981" t="s">
        <v>632</v>
      </c>
      <c r="Q1117" s="983"/>
      <c r="R1117" s="982"/>
      <c r="S1117" s="980"/>
      <c r="T1117" s="981" t="s">
        <v>632</v>
      </c>
      <c r="U1117" s="983"/>
      <c r="V1117" s="982"/>
      <c r="W1117" s="980"/>
      <c r="X1117" s="981" t="s">
        <v>632</v>
      </c>
      <c r="Y1117" s="983"/>
      <c r="Z1117" s="1412" t="str">
        <f>IFERROR(VLOOKUP(C1117, [6]條件!$A:$L, 3, 0), "")</f>
        <v/>
      </c>
      <c r="AA1117" s="984" t="str">
        <f>IF(OR(L1117={"改紡","檢修","了機","清車","FINAL","停機","SAMPLE","TEST","絲開發"}), L1117, IFERROR(IF(C1117="", "", (SUM(J1117, N1117, R1117, V1117)/3 * AG1117) * IF(AND(AF1117="S", AS1117="雙"), 0.5, 1)), ""))</f>
        <v>停機</v>
      </c>
      <c r="AB1117" s="1413" t="str">
        <f t="shared" si="194"/>
        <v/>
      </c>
      <c r="AC1117" s="984" t="str">
        <f>IF(OR(L1117={"改紡","檢修","了機","清車","FINAL","停機","SAMPLE","TEST"}), "", IFERROR(IF(C1117="", "", AVERAGE(L1117:M1117, P1117:Q1117, T1117:U1117, X1117:Y1117)/100), ""))</f>
        <v/>
      </c>
      <c r="AD1117" s="984" t="str">
        <f t="shared" si="192"/>
        <v/>
      </c>
      <c r="AE1117" s="984" t="str">
        <f t="shared" si="195"/>
        <v/>
      </c>
      <c r="AF1117" s="985" t="str">
        <f t="shared" si="187"/>
        <v>A</v>
      </c>
      <c r="AG1117" s="1414">
        <v>1</v>
      </c>
      <c r="AH1117" s="1002" t="s">
        <v>640</v>
      </c>
      <c r="AI1117" s="1002" t="s">
        <v>640</v>
      </c>
      <c r="AJ1117" s="986" t="s">
        <v>640</v>
      </c>
      <c r="AK1117" s="986" t="s">
        <v>640</v>
      </c>
      <c r="AL1117" s="1415"/>
      <c r="AM1117" s="1323"/>
      <c r="AN1117" s="1323"/>
      <c r="AO1117" s="1323"/>
      <c r="AP1117" s="1323"/>
      <c r="AQ1117" s="1323"/>
      <c r="AR1117" s="987"/>
      <c r="AS1117" s="978" t="str">
        <f t="shared" si="188"/>
        <v>單</v>
      </c>
      <c r="AT1117" s="978" t="str">
        <f t="shared" si="189"/>
        <v>全</v>
      </c>
      <c r="AU1117" s="978" t="str">
        <f t="shared" si="190"/>
        <v/>
      </c>
      <c r="AV1117" s="978" t="str">
        <f t="shared" si="191"/>
        <v/>
      </c>
    </row>
    <row r="1118" spans="1:48">
      <c r="A1118" s="975">
        <f t="shared" si="196"/>
        <v>46171</v>
      </c>
      <c r="B1118" s="976" t="s">
        <v>221</v>
      </c>
      <c r="C1118" s="976" t="s">
        <v>16763</v>
      </c>
      <c r="D1118" s="1410"/>
      <c r="E1118" s="977" t="str">
        <f>IFERROR(VLOOKUP(C1118, [6]條件!$A:$L, 5, 0), "")</f>
        <v>150/48CDR</v>
      </c>
      <c r="F1118" s="978" t="str">
        <f>IFERROR(VLOOKUP(C1118, [6]條件!$A:$L, 6, 0), "")</f>
        <v>FP82781</v>
      </c>
      <c r="G1118" s="1411">
        <f>IFERROR(VLOOKUP(C1118, [6]條件!$A:$L, 7, 0), "")</f>
        <v>600</v>
      </c>
      <c r="H1118" s="978" t="str">
        <f>IF(ISNA(VLOOKUP(C1118,[6]條件!$A$1:$K$932,11,0)),"",(VLOOKUP(C1118,[6]條件!$A$1:$K$932,11,0)))</f>
        <v>綠藍雙色</v>
      </c>
      <c r="I1118" s="979">
        <f>IF(ISNA(VLOOKUP(C1118,[6]條件!$A$1:$L$932,12,0)),"",(VLOOKUP(C1118,[6]條件!$A$1:$L$932,12,0)))</f>
        <v>5</v>
      </c>
      <c r="J1118" s="982">
        <v>18</v>
      </c>
      <c r="K1118" s="980">
        <v>0</v>
      </c>
      <c r="L1118" s="981">
        <v>9235</v>
      </c>
      <c r="M1118" s="983">
        <v>9130</v>
      </c>
      <c r="N1118" s="982">
        <v>6</v>
      </c>
      <c r="O1118" s="980">
        <v>0</v>
      </c>
      <c r="P1118" s="981">
        <v>9398</v>
      </c>
      <c r="Q1118" s="983">
        <v>9263</v>
      </c>
      <c r="R1118" s="982">
        <v>7</v>
      </c>
      <c r="S1118" s="980">
        <v>0</v>
      </c>
      <c r="T1118" s="981">
        <v>9379</v>
      </c>
      <c r="U1118" s="983">
        <v>9257</v>
      </c>
      <c r="V1118" s="982">
        <v>10</v>
      </c>
      <c r="W1118" s="980">
        <v>0</v>
      </c>
      <c r="X1118" s="981">
        <v>9223</v>
      </c>
      <c r="Y1118" s="983">
        <v>9104</v>
      </c>
      <c r="Z1118" s="1412">
        <f>IFERROR(VLOOKUP(C1118, [6]條件!$A:$L, 3, 0), "")</f>
        <v>2.8685258964143427</v>
      </c>
      <c r="AA1118" s="984">
        <f>IF(OR(L1118={"改紡","檢修","了機","清車","FINAL","停機","SAMPLE","TEST","絲開發"}), L1118, IFERROR(IF(C1118="", "", (SUM(J1118, N1118, R1118, V1118)/3 * AG1118) * IF(AND(AF1118="S", AS1118="雙"), 0.5, 1)), ""))</f>
        <v>13.666666666666666</v>
      </c>
      <c r="AB1118" s="1413">
        <f t="shared" si="194"/>
        <v>1</v>
      </c>
      <c r="AC1118" s="984">
        <f>IF(OR(L1118={"改紡","檢修","了機","清車","FINAL","停機","SAMPLE","TEST"}), "", IFERROR(IF(C1118="", "", AVERAGE(L1118:M1118, P1118:Q1118, T1118:U1118, X1118:Y1118)/100), ""))</f>
        <v>92.486249999999998</v>
      </c>
      <c r="AD1118" s="984">
        <f t="shared" si="192"/>
        <v>1.7083333333333333</v>
      </c>
      <c r="AE1118" s="984">
        <f t="shared" si="195"/>
        <v>1.7083333333333333</v>
      </c>
      <c r="AF1118" s="985" t="str">
        <f t="shared" si="187"/>
        <v>A</v>
      </c>
      <c r="AG1118" s="1414">
        <v>1</v>
      </c>
      <c r="AH1118" s="1002" t="s">
        <v>15994</v>
      </c>
      <c r="AI1118" s="1002" t="s">
        <v>641</v>
      </c>
      <c r="AJ1118" s="986" t="s">
        <v>15995</v>
      </c>
      <c r="AK1118" s="986" t="s">
        <v>725</v>
      </c>
      <c r="AL1118" s="1415">
        <v>54</v>
      </c>
      <c r="AM1118" s="1323">
        <v>46165</v>
      </c>
      <c r="AN1118" s="1323">
        <v>46166</v>
      </c>
      <c r="AO1118" s="1323"/>
      <c r="AP1118" s="1323"/>
      <c r="AQ1118" s="1323"/>
      <c r="AR1118" s="987"/>
      <c r="AS1118" s="978" t="str">
        <f t="shared" si="188"/>
        <v>單</v>
      </c>
      <c r="AT1118" s="978" t="str">
        <f t="shared" si="189"/>
        <v>全</v>
      </c>
      <c r="AU1118" s="978">
        <f t="shared" si="190"/>
        <v>150</v>
      </c>
      <c r="AV1118" s="978">
        <f t="shared" si="191"/>
        <v>2.8766923200000001</v>
      </c>
    </row>
    <row r="1119" spans="1:48">
      <c r="A1119" s="975">
        <f t="shared" si="196"/>
        <v>46171</v>
      </c>
      <c r="B1119" s="976" t="s">
        <v>222</v>
      </c>
      <c r="C1119" s="976" t="s">
        <v>632</v>
      </c>
      <c r="D1119" s="1410"/>
      <c r="E1119" s="977" t="str">
        <f>IFERROR(VLOOKUP(C1119, [6]條件!$A:$L, 5, 0), "")</f>
        <v/>
      </c>
      <c r="F1119" s="978" t="str">
        <f>IFERROR(VLOOKUP(C1119, [6]條件!$A:$L, 6, 0), "")</f>
        <v/>
      </c>
      <c r="G1119" s="1411" t="str">
        <f>IFERROR(VLOOKUP(C1119, [6]條件!$A:$L, 7, 0), "")</f>
        <v/>
      </c>
      <c r="H1119" s="978" t="str">
        <f>IF(ISNA(VLOOKUP(C1119,[6]條件!$A$1:$K$932,11,0)),"",(VLOOKUP(C1119,[6]條件!$A$1:$K$932,11,0)))</f>
        <v/>
      </c>
      <c r="I1119" s="979" t="str">
        <f>IF(ISNA(VLOOKUP(C1119,[6]條件!$A$1:$L$932,12,0)),"",(VLOOKUP(C1119,[6]條件!$A$1:$L$932,12,0)))</f>
        <v/>
      </c>
      <c r="J1119" s="982"/>
      <c r="K1119" s="980"/>
      <c r="L1119" s="981" t="s">
        <v>632</v>
      </c>
      <c r="M1119" s="983"/>
      <c r="N1119" s="982"/>
      <c r="O1119" s="980"/>
      <c r="P1119" s="981" t="s">
        <v>632</v>
      </c>
      <c r="Q1119" s="983"/>
      <c r="R1119" s="982"/>
      <c r="S1119" s="980"/>
      <c r="T1119" s="981" t="s">
        <v>632</v>
      </c>
      <c r="U1119" s="983"/>
      <c r="V1119" s="982"/>
      <c r="W1119" s="980"/>
      <c r="X1119" s="981" t="s">
        <v>632</v>
      </c>
      <c r="Y1119" s="983"/>
      <c r="Z1119" s="1412" t="str">
        <f>IFERROR(VLOOKUP(C1119, [6]條件!$A:$L, 3, 0), "")</f>
        <v/>
      </c>
      <c r="AA1119" s="984" t="str">
        <f>IF(OR(L1119={"改紡","檢修","了機","清車","FINAL","停機","SAMPLE","TEST","絲開發"}), L1119, IFERROR(IF(C1119="", "", (SUM(J1119, N1119, R1119, V1119)/3 * AG1119) * IF(AND(AF1119="S", AS1119="雙"), 0.5, 1)), ""))</f>
        <v>停機</v>
      </c>
      <c r="AB1119" s="1413" t="str">
        <f t="shared" si="194"/>
        <v/>
      </c>
      <c r="AC1119" s="984" t="str">
        <f>IF(OR(L1119={"改紡","檢修","了機","清車","FINAL","停機","SAMPLE","TEST"}), "", IFERROR(IF(C1119="", "", AVERAGE(L1119:M1119, P1119:Q1119, T1119:U1119, X1119:Y1119)/100), ""))</f>
        <v/>
      </c>
      <c r="AD1119" s="984" t="str">
        <f t="shared" si="192"/>
        <v/>
      </c>
      <c r="AE1119" s="984" t="str">
        <f t="shared" si="195"/>
        <v/>
      </c>
      <c r="AF1119" s="985" t="str">
        <f t="shared" si="187"/>
        <v>A</v>
      </c>
      <c r="AG1119" s="1414">
        <v>1</v>
      </c>
      <c r="AH1119" s="1002" t="s">
        <v>640</v>
      </c>
      <c r="AI1119" s="1002" t="s">
        <v>640</v>
      </c>
      <c r="AJ1119" s="986" t="s">
        <v>640</v>
      </c>
      <c r="AK1119" s="986" t="s">
        <v>640</v>
      </c>
      <c r="AL1119" s="1415"/>
      <c r="AM1119" s="1323"/>
      <c r="AN1119" s="1323"/>
      <c r="AO1119" s="1323"/>
      <c r="AP1119" s="1323"/>
      <c r="AQ1119" s="1323"/>
      <c r="AR1119" s="987"/>
      <c r="AS1119" s="978" t="str">
        <f t="shared" si="188"/>
        <v>單</v>
      </c>
      <c r="AT1119" s="978" t="str">
        <f t="shared" si="189"/>
        <v>全</v>
      </c>
      <c r="AU1119" s="978" t="str">
        <f t="shared" si="190"/>
        <v/>
      </c>
      <c r="AV1119" s="978" t="str">
        <f t="shared" si="191"/>
        <v/>
      </c>
    </row>
    <row r="1120" spans="1:48">
      <c r="A1120" s="975">
        <f t="shared" si="196"/>
        <v>46171</v>
      </c>
      <c r="B1120" s="976" t="s">
        <v>223</v>
      </c>
      <c r="C1120" s="976" t="s">
        <v>632</v>
      </c>
      <c r="D1120" s="1410"/>
      <c r="E1120" s="977" t="str">
        <f>IFERROR(VLOOKUP(C1120, [6]條件!$A:$L, 5, 0), "")</f>
        <v/>
      </c>
      <c r="F1120" s="978" t="str">
        <f>IFERROR(VLOOKUP(C1120, [6]條件!$A:$L, 6, 0), "")</f>
        <v/>
      </c>
      <c r="G1120" s="1411" t="str">
        <f>IFERROR(VLOOKUP(C1120, [6]條件!$A:$L, 7, 0), "")</f>
        <v/>
      </c>
      <c r="H1120" s="978" t="str">
        <f>IF(ISNA(VLOOKUP(C1120,[6]條件!$A$1:$K$932,11,0)),"",(VLOOKUP(C1120,[6]條件!$A$1:$K$932,11,0)))</f>
        <v/>
      </c>
      <c r="I1120" s="979" t="str">
        <f>IF(ISNA(VLOOKUP(C1120,[6]條件!$A$1:$L$932,12,0)),"",(VLOOKUP(C1120,[6]條件!$A$1:$L$932,12,0)))</f>
        <v/>
      </c>
      <c r="J1120" s="982"/>
      <c r="K1120" s="980"/>
      <c r="L1120" s="981" t="s">
        <v>632</v>
      </c>
      <c r="M1120" s="983"/>
      <c r="N1120" s="982"/>
      <c r="O1120" s="980"/>
      <c r="P1120" s="981" t="s">
        <v>632</v>
      </c>
      <c r="Q1120" s="983"/>
      <c r="R1120" s="982"/>
      <c r="S1120" s="980"/>
      <c r="T1120" s="981" t="s">
        <v>632</v>
      </c>
      <c r="U1120" s="983"/>
      <c r="V1120" s="982"/>
      <c r="W1120" s="980"/>
      <c r="X1120" s="981" t="s">
        <v>632</v>
      </c>
      <c r="Y1120" s="983"/>
      <c r="Z1120" s="1412" t="str">
        <f>IFERROR(VLOOKUP(C1120, [6]條件!$A:$L, 3, 0), "")</f>
        <v/>
      </c>
      <c r="AA1120" s="984" t="str">
        <f>IF(OR(L1120={"改紡","檢修","了機","清車","FINAL","停機","SAMPLE","TEST","絲開發"}), L1120, IFERROR(IF(C1120="", "", (SUM(J1120, N1120, R1120, V1120)/3 * AG1120) * IF(AND(AF1120="S", AS1120="雙"), 0.5, 1)), ""))</f>
        <v>停機</v>
      </c>
      <c r="AB1120" s="1413" t="str">
        <f t="shared" si="194"/>
        <v/>
      </c>
      <c r="AC1120" s="984" t="str">
        <f>IF(OR(L1120={"改紡","檢修","了機","清車","FINAL","停機","SAMPLE","TEST"}), "", IFERROR(IF(C1120="", "", AVERAGE(L1120:M1120, P1120:Q1120, T1120:U1120, X1120:Y1120)/100), ""))</f>
        <v/>
      </c>
      <c r="AD1120" s="984" t="str">
        <f t="shared" si="192"/>
        <v/>
      </c>
      <c r="AE1120" s="984" t="str">
        <f t="shared" si="195"/>
        <v/>
      </c>
      <c r="AF1120" s="985" t="str">
        <f t="shared" si="187"/>
        <v>A</v>
      </c>
      <c r="AG1120" s="1414">
        <v>1</v>
      </c>
      <c r="AH1120" s="1002" t="s">
        <v>640</v>
      </c>
      <c r="AI1120" s="1002" t="s">
        <v>640</v>
      </c>
      <c r="AJ1120" s="1002" t="s">
        <v>640</v>
      </c>
      <c r="AK1120" s="1002" t="s">
        <v>640</v>
      </c>
      <c r="AL1120" s="1415"/>
      <c r="AM1120" s="1324"/>
      <c r="AN1120" s="1323"/>
      <c r="AO1120" s="1323"/>
      <c r="AP1120" s="1323"/>
      <c r="AQ1120" s="1323"/>
      <c r="AR1120" s="987"/>
      <c r="AS1120" s="978" t="str">
        <f t="shared" si="188"/>
        <v>單</v>
      </c>
      <c r="AT1120" s="978" t="str">
        <f t="shared" si="189"/>
        <v>全</v>
      </c>
      <c r="AU1120" s="978" t="str">
        <f t="shared" si="190"/>
        <v/>
      </c>
      <c r="AV1120" s="978" t="str">
        <f t="shared" si="191"/>
        <v/>
      </c>
    </row>
    <row r="1121" spans="1:48">
      <c r="A1121" s="975">
        <f t="shared" si="196"/>
        <v>46171</v>
      </c>
      <c r="B1121" s="976" t="s">
        <v>224</v>
      </c>
      <c r="C1121" s="976" t="s">
        <v>632</v>
      </c>
      <c r="D1121" s="1410"/>
      <c r="E1121" s="977" t="str">
        <f>IFERROR(VLOOKUP(C1121, [6]條件!$A:$L, 5, 0), "")</f>
        <v/>
      </c>
      <c r="F1121" s="978" t="str">
        <f>IFERROR(VLOOKUP(C1121, [6]條件!$A:$L, 6, 0), "")</f>
        <v/>
      </c>
      <c r="G1121" s="1411" t="str">
        <f>IFERROR(VLOOKUP(C1121, [6]條件!$A:$L, 7, 0), "")</f>
        <v/>
      </c>
      <c r="H1121" s="978" t="str">
        <f>IF(ISNA(VLOOKUP(C1121,[6]條件!$A$1:$K$932,11,0)),"",(VLOOKUP(C1121,[6]條件!$A$1:$K$932,11,0)))</f>
        <v/>
      </c>
      <c r="I1121" s="979" t="str">
        <f>IF(ISNA(VLOOKUP(C1121,[6]條件!$A$1:$L$932,12,0)),"",(VLOOKUP(C1121,[6]條件!$A$1:$L$932,12,0)))</f>
        <v/>
      </c>
      <c r="J1121" s="982"/>
      <c r="K1121" s="980"/>
      <c r="L1121" s="981" t="s">
        <v>632</v>
      </c>
      <c r="M1121" s="983"/>
      <c r="N1121" s="982"/>
      <c r="O1121" s="980"/>
      <c r="P1121" s="981" t="s">
        <v>632</v>
      </c>
      <c r="Q1121" s="983"/>
      <c r="R1121" s="982"/>
      <c r="S1121" s="980"/>
      <c r="T1121" s="981" t="s">
        <v>632</v>
      </c>
      <c r="U1121" s="983"/>
      <c r="V1121" s="982"/>
      <c r="W1121" s="980"/>
      <c r="X1121" s="981" t="s">
        <v>632</v>
      </c>
      <c r="Y1121" s="983"/>
      <c r="Z1121" s="1412" t="str">
        <f>IFERROR(VLOOKUP(C1121, [6]條件!$A:$L, 3, 0), "")</f>
        <v/>
      </c>
      <c r="AA1121" s="984" t="str">
        <f>IF(OR(L1121={"改紡","檢修","了機","清車","FINAL","停機","SAMPLE","TEST","絲開發"}), L1121, IFERROR(IF(C1121="", "", (SUM(J1121, N1121, R1121, V1121)/3 * AG1121) * IF(AND(AF1121="S", AS1121="雙"), 0.5, 1)), ""))</f>
        <v>停機</v>
      </c>
      <c r="AB1121" s="1413" t="str">
        <f t="shared" si="194"/>
        <v/>
      </c>
      <c r="AC1121" s="984" t="str">
        <f>IF(OR(L1121={"改紡","檢修","了機","清車","FINAL","停機","SAMPLE","TEST"}), "", IFERROR(IF(C1121="", "", AVERAGE(L1121:M1121, P1121:Q1121, T1121:U1121, X1121:Y1121)/100), ""))</f>
        <v/>
      </c>
      <c r="AD1121" s="984" t="str">
        <f t="shared" si="192"/>
        <v/>
      </c>
      <c r="AE1121" s="984" t="str">
        <f t="shared" si="195"/>
        <v/>
      </c>
      <c r="AF1121" s="985" t="str">
        <f t="shared" si="187"/>
        <v>A</v>
      </c>
      <c r="AG1121" s="1414">
        <v>1</v>
      </c>
      <c r="AH1121" s="1002" t="s">
        <v>16011</v>
      </c>
      <c r="AI1121" s="1002" t="s">
        <v>640</v>
      </c>
      <c r="AJ1121" s="1002" t="s">
        <v>640</v>
      </c>
      <c r="AK1121" s="1002" t="s">
        <v>640</v>
      </c>
      <c r="AL1121" s="1415"/>
      <c r="AM1121" s="1323"/>
      <c r="AN1121" s="1323"/>
      <c r="AO1121" s="1323"/>
      <c r="AP1121" s="1323"/>
      <c r="AQ1121" s="1323"/>
      <c r="AR1121" s="987"/>
      <c r="AS1121" s="978" t="str">
        <f t="shared" si="188"/>
        <v>單</v>
      </c>
      <c r="AT1121" s="978" t="str">
        <f t="shared" si="189"/>
        <v>全</v>
      </c>
      <c r="AU1121" s="978" t="str">
        <f t="shared" si="190"/>
        <v/>
      </c>
      <c r="AV1121" s="978" t="str">
        <f t="shared" si="191"/>
        <v/>
      </c>
    </row>
    <row r="1122" spans="1:48">
      <c r="A1122" s="975">
        <f t="shared" si="196"/>
        <v>46171</v>
      </c>
      <c r="B1122" s="976" t="s">
        <v>225</v>
      </c>
      <c r="C1122" s="976" t="s">
        <v>632</v>
      </c>
      <c r="D1122" s="1410"/>
      <c r="E1122" s="977" t="str">
        <f>IFERROR(VLOOKUP(C1122, [6]條件!$A:$L, 5, 0), "")</f>
        <v/>
      </c>
      <c r="F1122" s="978" t="str">
        <f>IFERROR(VLOOKUP(C1122, [6]條件!$A:$L, 6, 0), "")</f>
        <v/>
      </c>
      <c r="G1122" s="1411" t="str">
        <f>IFERROR(VLOOKUP(C1122, [6]條件!$A:$L, 7, 0), "")</f>
        <v/>
      </c>
      <c r="H1122" s="978" t="str">
        <f>IF(ISNA(VLOOKUP(C1122,[6]條件!$A$1:$K$932,11,0)),"",(VLOOKUP(C1122,[6]條件!$A$1:$K$932,11,0)))</f>
        <v/>
      </c>
      <c r="I1122" s="979" t="str">
        <f>IF(ISNA(VLOOKUP(C1122,[6]條件!$A$1:$L$932,12,0)),"",(VLOOKUP(C1122,[6]條件!$A$1:$L$932,12,0)))</f>
        <v/>
      </c>
      <c r="J1122" s="982"/>
      <c r="K1122" s="980"/>
      <c r="L1122" s="981" t="s">
        <v>632</v>
      </c>
      <c r="M1122" s="983"/>
      <c r="N1122" s="982"/>
      <c r="O1122" s="980"/>
      <c r="P1122" s="981" t="s">
        <v>632</v>
      </c>
      <c r="Q1122" s="983"/>
      <c r="R1122" s="982"/>
      <c r="S1122" s="980"/>
      <c r="T1122" s="981" t="s">
        <v>632</v>
      </c>
      <c r="U1122" s="983"/>
      <c r="V1122" s="982"/>
      <c r="W1122" s="980"/>
      <c r="X1122" s="981" t="s">
        <v>632</v>
      </c>
      <c r="Y1122" s="983"/>
      <c r="Z1122" s="1412" t="str">
        <f>IFERROR(VLOOKUP(C1122, [6]條件!$A:$L, 3, 0), "")</f>
        <v/>
      </c>
      <c r="AA1122" s="984" t="str">
        <f>IF(OR(L1122={"改紡","檢修","了機","清車","FINAL","停機","SAMPLE","TEST","絲開發"}), L1122, IFERROR(IF(C1122="", "", (SUM(J1122, N1122, R1122, V1122)/3 * AG1122) * IF(AND(AF1122="S", AS1122="雙"), 0.5, 1)), ""))</f>
        <v>停機</v>
      </c>
      <c r="AB1122" s="1413" t="str">
        <f t="shared" si="194"/>
        <v/>
      </c>
      <c r="AC1122" s="984" t="str">
        <f>IF(OR(L1122={"改紡","檢修","了機","清車","FINAL","停機","SAMPLE","TEST"}), "", IFERROR(IF(C1122="", "", AVERAGE(L1122:M1122, P1122:Q1122, T1122:U1122, X1122:Y1122)/100), ""))</f>
        <v/>
      </c>
      <c r="AD1122" s="984" t="str">
        <f t="shared" si="192"/>
        <v/>
      </c>
      <c r="AE1122" s="984" t="str">
        <f t="shared" si="195"/>
        <v/>
      </c>
      <c r="AF1122" s="985" t="str">
        <f t="shared" si="187"/>
        <v>A</v>
      </c>
      <c r="AG1122" s="1414">
        <v>1</v>
      </c>
      <c r="AH1122" s="1002" t="s">
        <v>640</v>
      </c>
      <c r="AI1122" s="1002" t="s">
        <v>640</v>
      </c>
      <c r="AJ1122" s="1002" t="s">
        <v>640</v>
      </c>
      <c r="AK1122" s="1002" t="s">
        <v>640</v>
      </c>
      <c r="AL1122" s="1415"/>
      <c r="AM1122" s="1323"/>
      <c r="AN1122" s="1323"/>
      <c r="AO1122" s="1323"/>
      <c r="AP1122" s="1323"/>
      <c r="AQ1122" s="1323"/>
      <c r="AR1122" s="987"/>
      <c r="AS1122" s="978" t="str">
        <f t="shared" si="188"/>
        <v>單</v>
      </c>
      <c r="AT1122" s="978" t="str">
        <f t="shared" si="189"/>
        <v>全</v>
      </c>
      <c r="AU1122" s="978" t="str">
        <f t="shared" si="190"/>
        <v/>
      </c>
      <c r="AV1122" s="978" t="str">
        <f t="shared" si="191"/>
        <v/>
      </c>
    </row>
    <row r="1123" spans="1:48">
      <c r="A1123" s="975">
        <f t="shared" si="196"/>
        <v>46171</v>
      </c>
      <c r="B1123" s="976" t="s">
        <v>226</v>
      </c>
      <c r="C1123" s="976" t="s">
        <v>632</v>
      </c>
      <c r="D1123" s="1410"/>
      <c r="E1123" s="977" t="str">
        <f>IFERROR(VLOOKUP(C1123, [6]條件!$A:$L, 5, 0), "")</f>
        <v/>
      </c>
      <c r="F1123" s="978" t="str">
        <f>IFERROR(VLOOKUP(C1123, [6]條件!$A:$L, 6, 0), "")</f>
        <v/>
      </c>
      <c r="G1123" s="1411" t="str">
        <f>IFERROR(VLOOKUP(C1123, [6]條件!$A:$L, 7, 0), "")</f>
        <v/>
      </c>
      <c r="H1123" s="978" t="str">
        <f>IF(ISNA(VLOOKUP(C1123,[6]條件!$A$1:$K$932,11,0)),"",(VLOOKUP(C1123,[6]條件!$A$1:$K$932,11,0)))</f>
        <v/>
      </c>
      <c r="I1123" s="979" t="str">
        <f>IF(ISNA(VLOOKUP(C1123,[6]條件!$A$1:$L$932,12,0)),"",(VLOOKUP(C1123,[6]條件!$A$1:$L$932,12,0)))</f>
        <v/>
      </c>
      <c r="J1123" s="982"/>
      <c r="K1123" s="980"/>
      <c r="L1123" s="981" t="s">
        <v>632</v>
      </c>
      <c r="M1123" s="983"/>
      <c r="N1123" s="982"/>
      <c r="O1123" s="980"/>
      <c r="P1123" s="981" t="s">
        <v>632</v>
      </c>
      <c r="Q1123" s="983"/>
      <c r="R1123" s="982"/>
      <c r="S1123" s="980"/>
      <c r="T1123" s="981" t="s">
        <v>632</v>
      </c>
      <c r="U1123" s="983"/>
      <c r="V1123" s="982"/>
      <c r="W1123" s="980"/>
      <c r="X1123" s="981" t="s">
        <v>632</v>
      </c>
      <c r="Y1123" s="983"/>
      <c r="Z1123" s="1412" t="str">
        <f>IFERROR(VLOOKUP(C1123, [6]條件!$A:$L, 3, 0), "")</f>
        <v/>
      </c>
      <c r="AA1123" s="984" t="str">
        <f>IF(OR(L1123={"改紡","檢修","了機","清車","FINAL","停機","SAMPLE","TEST","絲開發"}), L1123, IFERROR(IF(C1123="", "", (SUM(J1123, N1123, R1123, V1123)/3 * AG1123) * IF(AND(AF1123="S", AS1123="雙"), 0.5, 1)), ""))</f>
        <v>停機</v>
      </c>
      <c r="AB1123" s="1413" t="str">
        <f t="shared" si="194"/>
        <v/>
      </c>
      <c r="AC1123" s="984" t="str">
        <f>IF(OR(L1123={"改紡","檢修","了機","清車","FINAL","停機","SAMPLE","TEST"}), "", IFERROR(IF(C1123="", "", AVERAGE(L1123:M1123, P1123:Q1123, T1123:U1123, X1123:Y1123)/100), ""))</f>
        <v/>
      </c>
      <c r="AD1123" s="984" t="str">
        <f t="shared" si="192"/>
        <v/>
      </c>
      <c r="AE1123" s="984" t="str">
        <f t="shared" si="195"/>
        <v/>
      </c>
      <c r="AF1123" s="985" t="str">
        <f t="shared" si="187"/>
        <v>A</v>
      </c>
      <c r="AG1123" s="1414">
        <v>1</v>
      </c>
      <c r="AH1123" s="1002" t="s">
        <v>640</v>
      </c>
      <c r="AI1123" s="1002" t="s">
        <v>640</v>
      </c>
      <c r="AJ1123" s="1002" t="s">
        <v>640</v>
      </c>
      <c r="AK1123" s="1002" t="s">
        <v>640</v>
      </c>
      <c r="AL1123" s="1415"/>
      <c r="AM1123" s="1323"/>
      <c r="AN1123" s="1323"/>
      <c r="AO1123" s="1323"/>
      <c r="AP1123" s="1323"/>
      <c r="AQ1123" s="1323"/>
      <c r="AR1123" s="987"/>
      <c r="AS1123" s="978" t="str">
        <f t="shared" si="188"/>
        <v>單</v>
      </c>
      <c r="AT1123" s="978" t="str">
        <f t="shared" si="189"/>
        <v>全</v>
      </c>
      <c r="AU1123" s="978" t="str">
        <f t="shared" si="190"/>
        <v/>
      </c>
      <c r="AV1123" s="978" t="str">
        <f t="shared" si="191"/>
        <v/>
      </c>
    </row>
    <row r="1124" spans="1:48">
      <c r="A1124" s="975">
        <f t="shared" si="196"/>
        <v>46171</v>
      </c>
      <c r="B1124" s="976" t="s">
        <v>227</v>
      </c>
      <c r="C1124" s="976" t="s">
        <v>632</v>
      </c>
      <c r="D1124" s="1410"/>
      <c r="E1124" s="977" t="str">
        <f>IFERROR(VLOOKUP(C1124, [6]條件!$A:$L, 5, 0), "")</f>
        <v/>
      </c>
      <c r="F1124" s="978" t="str">
        <f>IFERROR(VLOOKUP(C1124, [6]條件!$A:$L, 6, 0), "")</f>
        <v/>
      </c>
      <c r="G1124" s="1411" t="str">
        <f>IFERROR(VLOOKUP(C1124, [6]條件!$A:$L, 7, 0), "")</f>
        <v/>
      </c>
      <c r="H1124" s="978" t="str">
        <f>IF(ISNA(VLOOKUP(C1124,[6]條件!$A$1:$K$932,11,0)),"",(VLOOKUP(C1124,[6]條件!$A$1:$K$932,11,0)))</f>
        <v/>
      </c>
      <c r="I1124" s="979" t="str">
        <f>IF(ISNA(VLOOKUP(C1124,[6]條件!$A$1:$L$932,12,0)),"",(VLOOKUP(C1124,[6]條件!$A$1:$L$932,12,0)))</f>
        <v/>
      </c>
      <c r="J1124" s="982"/>
      <c r="K1124" s="980"/>
      <c r="L1124" s="981" t="s">
        <v>632</v>
      </c>
      <c r="M1124" s="983"/>
      <c r="N1124" s="982"/>
      <c r="O1124" s="980"/>
      <c r="P1124" s="981" t="s">
        <v>632</v>
      </c>
      <c r="Q1124" s="983"/>
      <c r="R1124" s="982"/>
      <c r="S1124" s="980"/>
      <c r="T1124" s="981" t="s">
        <v>632</v>
      </c>
      <c r="U1124" s="983"/>
      <c r="V1124" s="982"/>
      <c r="W1124" s="980"/>
      <c r="X1124" s="981" t="s">
        <v>632</v>
      </c>
      <c r="Y1124" s="983"/>
      <c r="Z1124" s="1412" t="str">
        <f>IFERROR(VLOOKUP(C1124, [6]條件!$A:$L, 3, 0), "")</f>
        <v/>
      </c>
      <c r="AA1124" s="984" t="str">
        <f>IF(OR(L1124={"改紡","檢修","了機","清車","FINAL","停機","SAMPLE","TEST","絲開發"}), L1124, IFERROR(IF(C1124="", "", (SUM(J1124, N1124, R1124, V1124)/3 * AG1124) * IF(AND(AF1124="S", AS1124="雙"), 0.5, 1)), ""))</f>
        <v>停機</v>
      </c>
      <c r="AB1124" s="1413" t="str">
        <f t="shared" si="194"/>
        <v/>
      </c>
      <c r="AC1124" s="984" t="str">
        <f>IF(OR(L1124={"改紡","檢修","了機","清車","FINAL","停機","SAMPLE","TEST"}), "", IFERROR(IF(C1124="", "", AVERAGE(L1124:M1124, P1124:Q1124, T1124:U1124, X1124:Y1124)/100), ""))</f>
        <v/>
      </c>
      <c r="AD1124" s="984" t="str">
        <f t="shared" si="192"/>
        <v/>
      </c>
      <c r="AE1124" s="984" t="str">
        <f t="shared" si="195"/>
        <v/>
      </c>
      <c r="AF1124" s="985" t="str">
        <f t="shared" si="187"/>
        <v>A</v>
      </c>
      <c r="AG1124" s="1414">
        <v>1</v>
      </c>
      <c r="AH1124" s="1002" t="s">
        <v>640</v>
      </c>
      <c r="AI1124" s="1002" t="s">
        <v>640</v>
      </c>
      <c r="AJ1124" s="1002" t="s">
        <v>640</v>
      </c>
      <c r="AK1124" s="1002" t="s">
        <v>640</v>
      </c>
      <c r="AL1124" s="1415"/>
      <c r="AM1124" s="1323"/>
      <c r="AN1124" s="1323"/>
      <c r="AO1124" s="1323"/>
      <c r="AP1124" s="1323"/>
      <c r="AQ1124" s="1323"/>
      <c r="AR1124" s="987"/>
      <c r="AS1124" s="978" t="str">
        <f t="shared" si="188"/>
        <v>單</v>
      </c>
      <c r="AT1124" s="978" t="str">
        <f t="shared" si="189"/>
        <v>全</v>
      </c>
      <c r="AU1124" s="978" t="str">
        <f t="shared" si="190"/>
        <v/>
      </c>
      <c r="AV1124" s="978" t="str">
        <f t="shared" si="191"/>
        <v/>
      </c>
    </row>
    <row r="1125" spans="1:48">
      <c r="A1125" s="975">
        <f t="shared" si="196"/>
        <v>46171</v>
      </c>
      <c r="B1125" s="976" t="s">
        <v>228</v>
      </c>
      <c r="C1125" s="976" t="s">
        <v>632</v>
      </c>
      <c r="D1125" s="1410"/>
      <c r="E1125" s="977" t="str">
        <f>IFERROR(VLOOKUP(C1125, [6]條件!$A:$L, 5, 0), "")</f>
        <v/>
      </c>
      <c r="F1125" s="978" t="str">
        <f>IFERROR(VLOOKUP(C1125, [6]條件!$A:$L, 6, 0), "")</f>
        <v/>
      </c>
      <c r="G1125" s="1411" t="str">
        <f>IFERROR(VLOOKUP(C1125, [6]條件!$A:$L, 7, 0), "")</f>
        <v/>
      </c>
      <c r="H1125" s="978" t="str">
        <f>IF(ISNA(VLOOKUP(C1125,[6]條件!$A$1:$K$932,11,0)),"",(VLOOKUP(C1125,[6]條件!$A$1:$K$932,11,0)))</f>
        <v/>
      </c>
      <c r="I1125" s="979" t="str">
        <f>IF(ISNA(VLOOKUP(C1125,[6]條件!$A$1:$L$932,12,0)),"",(VLOOKUP(C1125,[6]條件!$A$1:$L$932,12,0)))</f>
        <v/>
      </c>
      <c r="J1125" s="982"/>
      <c r="K1125" s="980"/>
      <c r="L1125" s="981" t="s">
        <v>632</v>
      </c>
      <c r="M1125" s="983"/>
      <c r="N1125" s="982"/>
      <c r="O1125" s="980"/>
      <c r="P1125" s="981" t="s">
        <v>632</v>
      </c>
      <c r="Q1125" s="983"/>
      <c r="R1125" s="982"/>
      <c r="S1125" s="980"/>
      <c r="T1125" s="981" t="s">
        <v>632</v>
      </c>
      <c r="U1125" s="983"/>
      <c r="V1125" s="982"/>
      <c r="W1125" s="980"/>
      <c r="X1125" s="981" t="s">
        <v>632</v>
      </c>
      <c r="Y1125" s="983"/>
      <c r="Z1125" s="1412" t="str">
        <f>IFERROR(VLOOKUP(C1125, [6]條件!$A:$L, 3, 0), "")</f>
        <v/>
      </c>
      <c r="AA1125" s="984" t="str">
        <f>IF(OR(L1125={"改紡","檢修","了機","清車","FINAL","停機","SAMPLE","TEST","絲開發"}), L1125, IFERROR(IF(C1125="", "", (SUM(J1125, N1125, R1125, V1125)/3 * AG1125) * IF(AND(AF1125="S", AS1125="雙"), 0.5, 1)), ""))</f>
        <v>停機</v>
      </c>
      <c r="AB1125" s="1413" t="str">
        <f t="shared" si="194"/>
        <v/>
      </c>
      <c r="AC1125" s="984" t="str">
        <f>IF(OR(L1125={"改紡","檢修","了機","清車","FINAL","停機","SAMPLE","TEST"}), "", IFERROR(IF(C1125="", "", AVERAGE(L1125:M1125, P1125:Q1125, T1125:U1125, X1125:Y1125)/100), ""))</f>
        <v/>
      </c>
      <c r="AD1125" s="984" t="str">
        <f t="shared" si="192"/>
        <v/>
      </c>
      <c r="AE1125" s="984" t="str">
        <f t="shared" si="195"/>
        <v/>
      </c>
      <c r="AF1125" s="985" t="str">
        <f t="shared" si="187"/>
        <v>A</v>
      </c>
      <c r="AG1125" s="1414">
        <v>1</v>
      </c>
      <c r="AH1125" s="1002" t="s">
        <v>640</v>
      </c>
      <c r="AI1125" s="1002" t="s">
        <v>640</v>
      </c>
      <c r="AJ1125" s="1002" t="s">
        <v>640</v>
      </c>
      <c r="AK1125" s="1002" t="s">
        <v>640</v>
      </c>
      <c r="AL1125" s="1420"/>
      <c r="AM1125" s="1323"/>
      <c r="AN1125" s="1323"/>
      <c r="AO1125" s="1323"/>
      <c r="AP1125" s="1323"/>
      <c r="AQ1125" s="1323"/>
      <c r="AR1125" s="987"/>
      <c r="AS1125" s="978" t="str">
        <f t="shared" si="188"/>
        <v>單</v>
      </c>
      <c r="AT1125" s="978" t="str">
        <f t="shared" si="189"/>
        <v>全</v>
      </c>
      <c r="AU1125" s="978" t="str">
        <f t="shared" si="190"/>
        <v/>
      </c>
      <c r="AV1125" s="978" t="str">
        <f t="shared" si="191"/>
        <v/>
      </c>
    </row>
    <row r="1126" spans="1:48">
      <c r="A1126" s="975">
        <f t="shared" si="196"/>
        <v>46171</v>
      </c>
      <c r="B1126" s="976" t="s">
        <v>229</v>
      </c>
      <c r="C1126" s="976" t="s">
        <v>632</v>
      </c>
      <c r="D1126" s="1410"/>
      <c r="E1126" s="977" t="str">
        <f>IFERROR(VLOOKUP(C1126, [6]條件!$A:$L, 5, 0), "")</f>
        <v/>
      </c>
      <c r="F1126" s="978" t="str">
        <f>IFERROR(VLOOKUP(C1126, [6]條件!$A:$L, 6, 0), "")</f>
        <v/>
      </c>
      <c r="G1126" s="1411" t="str">
        <f>IFERROR(VLOOKUP(C1126, [6]條件!$A:$L, 7, 0), "")</f>
        <v/>
      </c>
      <c r="H1126" s="978" t="str">
        <f>IF(ISNA(VLOOKUP(C1126,[6]條件!$A$1:$K$932,11,0)),"",(VLOOKUP(C1126,[6]條件!$A$1:$K$932,11,0)))</f>
        <v/>
      </c>
      <c r="I1126" s="979" t="str">
        <f>IF(ISNA(VLOOKUP(C1126,[6]條件!$A$1:$L$932,12,0)),"",(VLOOKUP(C1126,[6]條件!$A$1:$L$932,12,0)))</f>
        <v/>
      </c>
      <c r="J1126" s="982"/>
      <c r="K1126" s="980"/>
      <c r="L1126" s="981" t="s">
        <v>632</v>
      </c>
      <c r="M1126" s="983"/>
      <c r="N1126" s="982"/>
      <c r="O1126" s="980"/>
      <c r="P1126" s="981" t="s">
        <v>632</v>
      </c>
      <c r="Q1126" s="983"/>
      <c r="R1126" s="982"/>
      <c r="S1126" s="980"/>
      <c r="T1126" s="981" t="s">
        <v>632</v>
      </c>
      <c r="U1126" s="983"/>
      <c r="V1126" s="982"/>
      <c r="W1126" s="980"/>
      <c r="X1126" s="981" t="s">
        <v>632</v>
      </c>
      <c r="Y1126" s="983"/>
      <c r="Z1126" s="1412" t="str">
        <f>IFERROR(VLOOKUP(C1126, [6]條件!$A:$L, 3, 0), "")</f>
        <v/>
      </c>
      <c r="AA1126" s="984" t="str">
        <f>IF(OR(L1126={"改紡","檢修","了機","清車","FINAL","停機","SAMPLE","TEST","絲開發"}), L1126, IFERROR(IF(C1126="", "", (SUM(J1126, N1126, R1126, V1126)/3 * AG1126) * IF(AND(AF1126="S", AS1126="雙"), 0.5, 1)), ""))</f>
        <v>停機</v>
      </c>
      <c r="AB1126" s="1413" t="str">
        <f t="shared" si="194"/>
        <v/>
      </c>
      <c r="AC1126" s="984" t="str">
        <f>IF(OR(L1126={"改紡","檢修","了機","清車","FINAL","停機","SAMPLE","TEST"}), "", IFERROR(IF(C1126="", "", AVERAGE(L1126:M1126, P1126:Q1126, T1126:U1126, X1126:Y1126)/100), ""))</f>
        <v/>
      </c>
      <c r="AD1126" s="984" t="str">
        <f t="shared" si="192"/>
        <v/>
      </c>
      <c r="AE1126" s="984" t="str">
        <f t="shared" si="195"/>
        <v/>
      </c>
      <c r="AF1126" s="985" t="str">
        <f t="shared" si="187"/>
        <v>A</v>
      </c>
      <c r="AG1126" s="1414">
        <v>1</v>
      </c>
      <c r="AH1126" s="1002" t="s">
        <v>640</v>
      </c>
      <c r="AI1126" s="1002" t="s">
        <v>640</v>
      </c>
      <c r="AJ1126" s="1002" t="s">
        <v>640</v>
      </c>
      <c r="AK1126" s="1002" t="s">
        <v>640</v>
      </c>
      <c r="AL1126" s="1421"/>
      <c r="AM1126" s="1323"/>
      <c r="AN1126" s="1323"/>
      <c r="AO1126" s="1323"/>
      <c r="AP1126" s="1323"/>
      <c r="AQ1126" s="1323"/>
      <c r="AR1126" s="987"/>
      <c r="AS1126" s="978" t="str">
        <f t="shared" si="188"/>
        <v>單</v>
      </c>
      <c r="AT1126" s="978" t="str">
        <f t="shared" si="189"/>
        <v>全</v>
      </c>
      <c r="AU1126" s="978" t="str">
        <f t="shared" si="190"/>
        <v/>
      </c>
      <c r="AV1126" s="978" t="str">
        <f t="shared" si="191"/>
        <v/>
      </c>
    </row>
    <row r="1127" spans="1:48">
      <c r="A1127" s="975">
        <f t="shared" si="196"/>
        <v>46171</v>
      </c>
      <c r="B1127" s="976" t="s">
        <v>230</v>
      </c>
      <c r="C1127" s="976" t="s">
        <v>632</v>
      </c>
      <c r="D1127" s="1410"/>
      <c r="E1127" s="977" t="str">
        <f>IFERROR(VLOOKUP(C1127, [6]條件!$A:$L, 5, 0), "")</f>
        <v/>
      </c>
      <c r="F1127" s="978" t="str">
        <f>IFERROR(VLOOKUP(C1127, [6]條件!$A:$L, 6, 0), "")</f>
        <v/>
      </c>
      <c r="G1127" s="1411" t="str">
        <f>IFERROR(VLOOKUP(C1127, [6]條件!$A:$L, 7, 0), "")</f>
        <v/>
      </c>
      <c r="H1127" s="978" t="str">
        <f>IF(ISNA(VLOOKUP(C1127,[6]條件!$A$1:$K$932,11,0)),"",(VLOOKUP(C1127,[6]條件!$A$1:$K$932,11,0)))</f>
        <v/>
      </c>
      <c r="I1127" s="979" t="str">
        <f>IF(ISNA(VLOOKUP(C1127,[6]條件!$A$1:$L$932,12,0)),"",(VLOOKUP(C1127,[6]條件!$A$1:$L$932,12,0)))</f>
        <v/>
      </c>
      <c r="J1127" s="982"/>
      <c r="K1127" s="980"/>
      <c r="L1127" s="981" t="s">
        <v>632</v>
      </c>
      <c r="M1127" s="983"/>
      <c r="N1127" s="982"/>
      <c r="O1127" s="980"/>
      <c r="P1127" s="981" t="s">
        <v>632</v>
      </c>
      <c r="Q1127" s="983"/>
      <c r="R1127" s="982"/>
      <c r="S1127" s="980"/>
      <c r="T1127" s="981" t="s">
        <v>632</v>
      </c>
      <c r="U1127" s="983"/>
      <c r="V1127" s="982"/>
      <c r="W1127" s="980"/>
      <c r="X1127" s="981" t="s">
        <v>632</v>
      </c>
      <c r="Y1127" s="983"/>
      <c r="Z1127" s="1412" t="str">
        <f>IFERROR(VLOOKUP(C1127, [6]條件!$A:$L, 3, 0), "")</f>
        <v/>
      </c>
      <c r="AA1127" s="984" t="str">
        <f>IF(OR(L1127={"改紡","檢修","了機","清車","FINAL","停機","SAMPLE","TEST","絲開發"}), L1127, IFERROR(IF(C1127="", "", (SUM(J1127, N1127, R1127, V1127)/3 * AG1127) * IF(AND(AF1127="S", AS1127="雙"), 0.5, 1)), ""))</f>
        <v>停機</v>
      </c>
      <c r="AB1127" s="1413" t="str">
        <f t="shared" si="194"/>
        <v/>
      </c>
      <c r="AC1127" s="984" t="str">
        <f>IF(OR(L1127={"改紡","檢修","了機","清車","FINAL","停機","SAMPLE","TEST"}), "", IFERROR(IF(C1127="", "", AVERAGE(L1127:M1127, P1127:Q1127, T1127:U1127, X1127:Y1127)/100), ""))</f>
        <v/>
      </c>
      <c r="AD1127" s="984" t="str">
        <f t="shared" si="192"/>
        <v/>
      </c>
      <c r="AE1127" s="984" t="str">
        <f t="shared" si="195"/>
        <v/>
      </c>
      <c r="AF1127" s="985" t="str">
        <f t="shared" si="187"/>
        <v>A</v>
      </c>
      <c r="AG1127" s="1414">
        <v>1</v>
      </c>
      <c r="AH1127" s="1002" t="s">
        <v>16011</v>
      </c>
      <c r="AI1127" s="1002" t="s">
        <v>640</v>
      </c>
      <c r="AJ1127" s="1002" t="s">
        <v>640</v>
      </c>
      <c r="AK1127" s="1002" t="s">
        <v>640</v>
      </c>
      <c r="AL1127" s="1415"/>
      <c r="AM1127" s="1323"/>
      <c r="AN1127" s="1323"/>
      <c r="AO1127" s="1323"/>
      <c r="AP1127" s="1323"/>
      <c r="AQ1127" s="1323"/>
      <c r="AR1127" s="987"/>
      <c r="AS1127" s="978" t="str">
        <f t="shared" si="188"/>
        <v>單</v>
      </c>
      <c r="AT1127" s="978" t="str">
        <f t="shared" si="189"/>
        <v>全</v>
      </c>
      <c r="AU1127" s="978" t="str">
        <f t="shared" si="190"/>
        <v/>
      </c>
      <c r="AV1127" s="978" t="str">
        <f t="shared" si="191"/>
        <v/>
      </c>
    </row>
    <row r="1128" spans="1:48">
      <c r="A1128" s="975">
        <f t="shared" si="196"/>
        <v>46171</v>
      </c>
      <c r="B1128" s="976" t="s">
        <v>231</v>
      </c>
      <c r="C1128" s="976" t="s">
        <v>632</v>
      </c>
      <c r="D1128" s="1410"/>
      <c r="E1128" s="977" t="str">
        <f>IFERROR(VLOOKUP(C1128, [6]條件!$A:$L, 5, 0), "")</f>
        <v/>
      </c>
      <c r="F1128" s="978" t="str">
        <f>IFERROR(VLOOKUP(C1128, [6]條件!$A:$L, 6, 0), "")</f>
        <v/>
      </c>
      <c r="G1128" s="1411" t="str">
        <f>IFERROR(VLOOKUP(C1128, [6]條件!$A:$L, 7, 0), "")</f>
        <v/>
      </c>
      <c r="H1128" s="978" t="str">
        <f>IF(ISNA(VLOOKUP(C1128,[6]條件!$A$1:$K$932,11,0)),"",(VLOOKUP(C1128,[6]條件!$A$1:$K$932,11,0)))</f>
        <v/>
      </c>
      <c r="I1128" s="979" t="str">
        <f>IF(ISNA(VLOOKUP(C1128,[6]條件!$A$1:$L$932,12,0)),"",(VLOOKUP(C1128,[6]條件!$A$1:$L$932,12,0)))</f>
        <v/>
      </c>
      <c r="J1128" s="982"/>
      <c r="K1128" s="980"/>
      <c r="L1128" s="981" t="s">
        <v>632</v>
      </c>
      <c r="M1128" s="983"/>
      <c r="N1128" s="982"/>
      <c r="O1128" s="980"/>
      <c r="P1128" s="981" t="s">
        <v>632</v>
      </c>
      <c r="Q1128" s="983"/>
      <c r="R1128" s="982"/>
      <c r="S1128" s="980"/>
      <c r="T1128" s="981" t="s">
        <v>632</v>
      </c>
      <c r="U1128" s="983"/>
      <c r="V1128" s="982"/>
      <c r="W1128" s="980"/>
      <c r="X1128" s="981" t="s">
        <v>632</v>
      </c>
      <c r="Y1128" s="983"/>
      <c r="Z1128" s="1412" t="str">
        <f>IFERROR(VLOOKUP(C1128, [6]條件!$A:$L, 3, 0), "")</f>
        <v/>
      </c>
      <c r="AA1128" s="984" t="str">
        <f>IF(OR(L1128={"改紡","檢修","了機","清車","FINAL","停機","SAMPLE","TEST","絲開發"}), L1128, IFERROR(IF(C1128="", "", (SUM(J1128, N1128, R1128, V1128)/3 * AG1128) * IF(AND(AF1128="S", AS1128="雙"), 0.5, 1)), ""))</f>
        <v>停機</v>
      </c>
      <c r="AB1128" s="1413" t="str">
        <f t="shared" si="194"/>
        <v/>
      </c>
      <c r="AC1128" s="984" t="str">
        <f>IF(OR(L1128={"改紡","檢修","了機","清車","FINAL","停機","SAMPLE","TEST"}), "", IFERROR(IF(C1128="", "", AVERAGE(L1128:M1128, P1128:Q1128, T1128:U1128, X1128:Y1128)/100), ""))</f>
        <v/>
      </c>
      <c r="AD1128" s="984" t="str">
        <f t="shared" si="192"/>
        <v/>
      </c>
      <c r="AE1128" s="984" t="str">
        <f t="shared" si="195"/>
        <v/>
      </c>
      <c r="AF1128" s="985" t="str">
        <f t="shared" si="187"/>
        <v>J</v>
      </c>
      <c r="AG1128" s="1414">
        <v>1</v>
      </c>
      <c r="AH1128" s="1002" t="s">
        <v>640</v>
      </c>
      <c r="AI1128" s="1002" t="s">
        <v>640</v>
      </c>
      <c r="AJ1128" s="1002" t="s">
        <v>640</v>
      </c>
      <c r="AK1128" s="1002" t="s">
        <v>640</v>
      </c>
      <c r="AL1128" s="1415"/>
      <c r="AM1128" s="1323"/>
      <c r="AN1128" s="1323"/>
      <c r="AO1128" s="1323"/>
      <c r="AP1128" s="1323"/>
      <c r="AQ1128" s="1323"/>
      <c r="AR1128" s="987"/>
      <c r="AS1128" s="978" t="str">
        <f t="shared" si="188"/>
        <v>單</v>
      </c>
      <c r="AT1128" s="978" t="str">
        <f t="shared" si="189"/>
        <v>全</v>
      </c>
      <c r="AU1128" s="978" t="str">
        <f t="shared" si="190"/>
        <v/>
      </c>
      <c r="AV1128" s="978" t="str">
        <f t="shared" si="191"/>
        <v/>
      </c>
    </row>
    <row r="1129" spans="1:48">
      <c r="A1129" s="975">
        <f t="shared" si="196"/>
        <v>46171</v>
      </c>
      <c r="B1129" s="976" t="s">
        <v>233</v>
      </c>
      <c r="C1129" s="976" t="s">
        <v>16772</v>
      </c>
      <c r="D1129" s="1410" t="s">
        <v>633</v>
      </c>
      <c r="E1129" s="977" t="str">
        <f>IFERROR(VLOOKUP(C1129, [6]條件!$A:$L, 5, 0), "")</f>
        <v>150/48/2SDr</v>
      </c>
      <c r="F1129" s="978" t="str">
        <f>IFERROR(VLOOKUP(C1129, [6]條件!$A:$L, 6, 0), "")</f>
        <v>FP82171R×2</v>
      </c>
      <c r="G1129" s="1411">
        <f>IFERROR(VLOOKUP(C1129, [6]條件!$A:$L, 7, 0), "")</f>
        <v>600</v>
      </c>
      <c r="H1129" s="978" t="str">
        <f>IF(ISNA(VLOOKUP(C1129,[6]條件!$A$1:$K$932,11,0)),"",(VLOOKUP(C1129,[6]條件!$A$1:$K$932,11,0)))</f>
        <v>紅白直條</v>
      </c>
      <c r="I1129" s="979">
        <f>IF(ISNA(VLOOKUP(C1129,[6]條件!$A$1:$L$932,12,0)),"",(VLOOKUP(C1129,[6]條件!$A$1:$L$932,12,0)))</f>
        <v>5.5</v>
      </c>
      <c r="J1129" s="982">
        <v>22</v>
      </c>
      <c r="K1129" s="980">
        <v>6</v>
      </c>
      <c r="L1129" s="981">
        <v>6460</v>
      </c>
      <c r="M1129" s="983"/>
      <c r="N1129" s="982">
        <v>5</v>
      </c>
      <c r="O1129" s="980">
        <v>1</v>
      </c>
      <c r="P1129" s="981">
        <v>6620</v>
      </c>
      <c r="Q1129" s="983"/>
      <c r="R1129" s="982">
        <v>7</v>
      </c>
      <c r="S1129" s="980">
        <v>0</v>
      </c>
      <c r="T1129" s="981">
        <v>6600</v>
      </c>
      <c r="U1129" s="983"/>
      <c r="V1129" s="982">
        <v>30</v>
      </c>
      <c r="W1129" s="980">
        <v>0</v>
      </c>
      <c r="X1129" s="981">
        <v>6330</v>
      </c>
      <c r="Y1129" s="983"/>
      <c r="Z1129" s="1412">
        <f>IFERROR(VLOOKUP(C1129, [6]條件!$A:$L, 3, 0), "")</f>
        <v>5.0526315789473673</v>
      </c>
      <c r="AA1129" s="984">
        <f>IF(OR(L1129={"改紡","檢修","了機","清車","FINAL","停機","SAMPLE","TEST","絲開發"}), L1129, IFERROR(IF(C1129="", "", (SUM(J1129, N1129, R1129, V1129)/3 * AG1129) * IF(AND(AF1129="S", AS1129="雙"), 0.5, 1)), ""))</f>
        <v>21.333333333333332</v>
      </c>
      <c r="AB1129" s="1413">
        <f t="shared" si="194"/>
        <v>0.99333934294871795</v>
      </c>
      <c r="AC1129" s="984">
        <f>IF(OR(L1129={"改紡","檢修","了機","清車","FINAL","停機","SAMPLE","TEST"}), "", IFERROR(IF(C1129="", "", AVERAGE(L1129:M1129, P1129:Q1129, T1129:U1129, X1129:Y1129)/100), ""))</f>
        <v>65.025000000000006</v>
      </c>
      <c r="AD1129" s="984">
        <f t="shared" si="192"/>
        <v>2.6666666666666665</v>
      </c>
      <c r="AE1129" s="984">
        <f t="shared" si="195"/>
        <v>2.375</v>
      </c>
      <c r="AF1129" s="985" t="str">
        <f t="shared" si="187"/>
        <v>J</v>
      </c>
      <c r="AG1129" s="1414">
        <v>1</v>
      </c>
      <c r="AH1129" s="1002" t="s">
        <v>16006</v>
      </c>
      <c r="AI1129" s="1002" t="s">
        <v>637</v>
      </c>
      <c r="AJ1129" s="986" t="s">
        <v>16021</v>
      </c>
      <c r="AK1129" s="986" t="s">
        <v>814</v>
      </c>
      <c r="AL1129" s="1415">
        <v>55</v>
      </c>
      <c r="AM1129" s="1323">
        <v>46163</v>
      </c>
      <c r="AN1129" s="1323">
        <v>46164</v>
      </c>
      <c r="AO1129" s="1323">
        <v>46167</v>
      </c>
      <c r="AP1129" s="1323">
        <v>46168</v>
      </c>
      <c r="AQ1129" s="1323">
        <v>46171</v>
      </c>
      <c r="AR1129" s="987"/>
      <c r="AS1129" s="978" t="str">
        <f t="shared" si="188"/>
        <v>雙</v>
      </c>
      <c r="AT1129" s="978" t="str">
        <f t="shared" si="189"/>
        <v>全</v>
      </c>
      <c r="AU1129" s="978">
        <f t="shared" si="190"/>
        <v>150</v>
      </c>
      <c r="AV1129" s="978">
        <f t="shared" si="191"/>
        <v>4.0450752000000003</v>
      </c>
    </row>
    <row r="1130" spans="1:48">
      <c r="A1130" s="975">
        <f t="shared" si="196"/>
        <v>46171</v>
      </c>
      <c r="B1130" s="976" t="s">
        <v>234</v>
      </c>
      <c r="C1130" s="976" t="s">
        <v>632</v>
      </c>
      <c r="D1130" s="1410"/>
      <c r="E1130" s="977" t="str">
        <f>IFERROR(VLOOKUP(C1130, [6]條件!$A:$L, 5, 0), "")</f>
        <v/>
      </c>
      <c r="F1130" s="978" t="str">
        <f>IFERROR(VLOOKUP(C1130, [6]條件!$A:$L, 6, 0), "")</f>
        <v/>
      </c>
      <c r="G1130" s="1411" t="str">
        <f>IFERROR(VLOOKUP(C1130, [6]條件!$A:$L, 7, 0), "")</f>
        <v/>
      </c>
      <c r="H1130" s="978" t="str">
        <f>IF(ISNA(VLOOKUP(C1130,[6]條件!$A$1:$K$932,11,0)),"",(VLOOKUP(C1130,[6]條件!$A$1:$K$932,11,0)))</f>
        <v/>
      </c>
      <c r="I1130" s="979" t="str">
        <f>IF(ISNA(VLOOKUP(C1130,[6]條件!$A$1:$L$932,12,0)),"",(VLOOKUP(C1130,[6]條件!$A$1:$L$932,12,0)))</f>
        <v/>
      </c>
      <c r="J1130" s="982"/>
      <c r="K1130" s="980"/>
      <c r="L1130" s="981" t="s">
        <v>632</v>
      </c>
      <c r="M1130" s="983"/>
      <c r="N1130" s="982"/>
      <c r="O1130" s="980"/>
      <c r="P1130" s="981" t="s">
        <v>632</v>
      </c>
      <c r="Q1130" s="983"/>
      <c r="R1130" s="982"/>
      <c r="S1130" s="980"/>
      <c r="T1130" s="981" t="s">
        <v>632</v>
      </c>
      <c r="U1130" s="983"/>
      <c r="V1130" s="982"/>
      <c r="W1130" s="980"/>
      <c r="X1130" s="981" t="s">
        <v>632</v>
      </c>
      <c r="Y1130" s="983"/>
      <c r="Z1130" s="1412" t="str">
        <f>IFERROR(VLOOKUP(C1130, [6]條件!$A:$L, 3, 0), "")</f>
        <v/>
      </c>
      <c r="AA1130" s="984" t="str">
        <f>IF(OR(L1130={"改紡","檢修","了機","清車","FINAL","停機","SAMPLE","TEST","絲開發"}), L1130, IFERROR(IF(C1130="", "", (SUM(J1130, N1130, R1130, V1130)/3 * AG1130) * IF(AND(AF1130="S", AS1130="雙"), 0.5, 1)), ""))</f>
        <v>停機</v>
      </c>
      <c r="AB1130" s="1413" t="str">
        <f t="shared" si="194"/>
        <v/>
      </c>
      <c r="AC1130" s="984" t="str">
        <f>IF(OR(L1130={"改紡","檢修","了機","清車","FINAL","停機","SAMPLE","TEST"}), "", IFERROR(IF(C1130="", "", AVERAGE(L1130:M1130, P1130:Q1130, T1130:U1130, X1130:Y1130)/100), ""))</f>
        <v/>
      </c>
      <c r="AD1130" s="984" t="str">
        <f t="shared" si="192"/>
        <v/>
      </c>
      <c r="AE1130" s="984" t="str">
        <f t="shared" si="195"/>
        <v/>
      </c>
      <c r="AF1130" s="985" t="str">
        <f t="shared" si="187"/>
        <v>J</v>
      </c>
      <c r="AG1130" s="1414">
        <v>1</v>
      </c>
      <c r="AH1130" s="1002" t="s">
        <v>640</v>
      </c>
      <c r="AI1130" s="1002" t="s">
        <v>640</v>
      </c>
      <c r="AJ1130" s="986" t="s">
        <v>640</v>
      </c>
      <c r="AK1130" s="986" t="s">
        <v>640</v>
      </c>
      <c r="AL1130" s="1415"/>
      <c r="AM1130" s="1323"/>
      <c r="AN1130" s="1323"/>
      <c r="AO1130" s="1323"/>
      <c r="AP1130" s="1323"/>
      <c r="AQ1130" s="1323"/>
      <c r="AR1130" s="987"/>
      <c r="AS1130" s="978" t="str">
        <f t="shared" si="188"/>
        <v>單</v>
      </c>
      <c r="AT1130" s="978" t="str">
        <f t="shared" si="189"/>
        <v>全</v>
      </c>
      <c r="AU1130" s="978" t="str">
        <f t="shared" si="190"/>
        <v/>
      </c>
      <c r="AV1130" s="978" t="str">
        <f t="shared" si="191"/>
        <v/>
      </c>
    </row>
    <row r="1131" spans="1:48">
      <c r="A1131" s="975">
        <f>A1129</f>
        <v>46171</v>
      </c>
      <c r="B1131" s="976" t="s">
        <v>235</v>
      </c>
      <c r="C1131" s="976" t="s">
        <v>16765</v>
      </c>
      <c r="D1131" s="1410" t="s">
        <v>633</v>
      </c>
      <c r="E1131" s="977" t="str">
        <f>IFERROR(VLOOKUP(C1131, [6]條件!$A:$L, 5, 0), "")</f>
        <v>150/48/2SDr</v>
      </c>
      <c r="F1131" s="978" t="str">
        <f>IFERROR(VLOOKUP(C1131, [6]條件!$A:$L, 6, 0), "")</f>
        <v>FP82173R×2</v>
      </c>
      <c r="G1131" s="1411">
        <f>IFERROR(VLOOKUP(C1131, [6]條件!$A:$L, 7, 0), "")</f>
        <v>700</v>
      </c>
      <c r="H1131" s="978" t="str">
        <f>IF(ISNA(VLOOKUP(C1131,[6]條件!$A$1:$K$932,11,0)),"",(VLOOKUP(C1131,[6]條件!$A$1:$K$932,11,0)))</f>
        <v>白紫條紋</v>
      </c>
      <c r="I1131" s="979">
        <f>IF(ISNA(VLOOKUP(C1131,[6]條件!$A$1:$L$932,12,0)),"",(VLOOKUP(C1131,[6]條件!$A$1:$L$932,12,0)))</f>
        <v>5.5</v>
      </c>
      <c r="J1131" s="982">
        <v>37</v>
      </c>
      <c r="K1131" s="980">
        <v>0</v>
      </c>
      <c r="L1131" s="981">
        <v>9030</v>
      </c>
      <c r="M1131" s="983"/>
      <c r="N1131" s="982">
        <v>0</v>
      </c>
      <c r="O1131" s="980">
        <v>0</v>
      </c>
      <c r="P1131" s="981">
        <v>8190</v>
      </c>
      <c r="Q1131" s="983"/>
      <c r="R1131" s="982">
        <v>17</v>
      </c>
      <c r="S1131" s="980">
        <v>0</v>
      </c>
      <c r="T1131" s="981">
        <v>8840</v>
      </c>
      <c r="U1131" s="983"/>
      <c r="V1131" s="982">
        <v>27</v>
      </c>
      <c r="W1131" s="980">
        <v>0</v>
      </c>
      <c r="X1131" s="981">
        <v>8990</v>
      </c>
      <c r="Y1131" s="983"/>
      <c r="Z1131" s="1412">
        <f>IFERROR(VLOOKUP(C1131, [6]條件!$A:$L, 3, 0), "")</f>
        <v>5.8775510204081636</v>
      </c>
      <c r="AA1131" s="984">
        <f>IF(OR(L1131={"改紡","檢修","了機","清車","FINAL","停機","SAMPLE","TEST","絲開發"}), L1131, IFERROR(IF(C1131="", "", (SUM(J1131, N1131, R1131, V1131)/3 * AG1131) * IF(AND(AF1131="S", AS1131="雙"), 0.5, 1)), ""))</f>
        <v>54</v>
      </c>
      <c r="AB1131" s="1413">
        <f t="shared" si="194"/>
        <v>1</v>
      </c>
      <c r="AC1131" s="984">
        <f>IF(OR(L1131={"改紡","檢修","了機","清車","FINAL","停機","SAMPLE","TEST"}), "", IFERROR(IF(C1131="", "", AVERAGE(L1131:M1131, P1131:Q1131, T1131:U1131, X1131:Y1131)/100), ""))</f>
        <v>87.625</v>
      </c>
      <c r="AD1131" s="984">
        <f t="shared" si="192"/>
        <v>6.75</v>
      </c>
      <c r="AE1131" s="984">
        <f t="shared" si="195"/>
        <v>6.75</v>
      </c>
      <c r="AF1131" s="985" t="str">
        <f t="shared" si="187"/>
        <v>T</v>
      </c>
      <c r="AG1131" s="1414">
        <v>2</v>
      </c>
      <c r="AH1131" s="1002" t="s">
        <v>16024</v>
      </c>
      <c r="AI1131" s="1002" t="s">
        <v>16008</v>
      </c>
      <c r="AJ1131" s="1002" t="s">
        <v>16014</v>
      </c>
      <c r="AK1131" s="1002" t="s">
        <v>652</v>
      </c>
      <c r="AL1131" s="1415"/>
      <c r="AM1131" s="1323"/>
      <c r="AN1131" s="1323"/>
      <c r="AO1131" s="1323"/>
      <c r="AP1131" s="1323"/>
      <c r="AQ1131" s="1323"/>
      <c r="AR1131" s="987"/>
      <c r="AS1131" s="978" t="str">
        <f t="shared" si="188"/>
        <v>雙</v>
      </c>
      <c r="AT1131" s="978" t="str">
        <f t="shared" si="189"/>
        <v>半</v>
      </c>
      <c r="AU1131" s="978">
        <f t="shared" si="190"/>
        <v>150</v>
      </c>
      <c r="AV1131" s="978">
        <f t="shared" si="191"/>
        <v>3.1797359999999997</v>
      </c>
    </row>
    <row r="1132" spans="1:48">
      <c r="A1132" s="975">
        <f>A1130</f>
        <v>46171</v>
      </c>
      <c r="B1132" s="976" t="s">
        <v>235</v>
      </c>
      <c r="C1132" s="976"/>
      <c r="D1132" s="1410"/>
      <c r="E1132" s="977" t="str">
        <f>IFERROR(VLOOKUP(C1132, [6]條件!$A:$L, 5, 0), "")</f>
        <v/>
      </c>
      <c r="F1132" s="978" t="str">
        <f>IFERROR(VLOOKUP(C1132, [6]條件!$A:$L, 6, 0), "")</f>
        <v/>
      </c>
      <c r="G1132" s="1411" t="str">
        <f>IFERROR(VLOOKUP(C1132, [6]條件!$A:$L, 7, 0), "")</f>
        <v/>
      </c>
      <c r="H1132" s="978" t="str">
        <f>IF(ISNA(VLOOKUP(C1132,[6]條件!$A$1:$K$932,11,0)),"",(VLOOKUP(C1132,[6]條件!$A$1:$K$932,11,0)))</f>
        <v/>
      </c>
      <c r="I1132" s="979" t="str">
        <f>IF(ISNA(VLOOKUP(C1132,[6]條件!$A$1:$L$932,12,0)),"",(VLOOKUP(C1132,[6]條件!$A$1:$L$932,12,0)))</f>
        <v/>
      </c>
      <c r="J1132" s="982"/>
      <c r="K1132" s="980"/>
      <c r="L1132" s="981" t="s">
        <v>15999</v>
      </c>
      <c r="M1132" s="983" t="s">
        <v>16755</v>
      </c>
      <c r="N1132" s="982"/>
      <c r="O1132" s="980"/>
      <c r="P1132" s="981"/>
      <c r="Q1132" s="983" t="s">
        <v>632</v>
      </c>
      <c r="R1132" s="982"/>
      <c r="S1132" s="980"/>
      <c r="T1132" s="981"/>
      <c r="U1132" s="983" t="s">
        <v>632</v>
      </c>
      <c r="V1132" s="982"/>
      <c r="W1132" s="980"/>
      <c r="X1132" s="981"/>
      <c r="Y1132" s="983" t="s">
        <v>632</v>
      </c>
      <c r="Z1132" s="1412" t="str">
        <f>IFERROR(VLOOKUP(C1132, [6]條件!$A:$L, 3, 0), "")</f>
        <v/>
      </c>
      <c r="AA1132" s="984" t="str">
        <f>IF(OR(L1132={"改紡","檢修","了機","清車","FINAL","停機","SAMPLE","TEST","絲開發"}), L1132, IFERROR(IF(C1132="", "", (SUM(J1132, N1132, R1132, V1132)/3 * AG1132) * IF(AND(AF1132="S", AS1132="雙"), 0.5, 1)), ""))</f>
        <v>改紡</v>
      </c>
      <c r="AB1132" s="1413" t="str">
        <f t="shared" si="194"/>
        <v/>
      </c>
      <c r="AC1132" s="984" t="str">
        <f>IF(OR(L1132={"改紡","檢修","了機","清車","FINAL","停機","SAMPLE","TEST"}), "", IFERROR(IF(C1132="", "", AVERAGE(L1132:M1132, P1132:Q1132, T1132:U1132, X1132:Y1132)/100), ""))</f>
        <v/>
      </c>
      <c r="AD1132" s="984" t="str">
        <f t="shared" si="192"/>
        <v/>
      </c>
      <c r="AE1132" s="984" t="str">
        <f t="shared" si="195"/>
        <v/>
      </c>
      <c r="AF1132" s="985" t="str">
        <f t="shared" si="187"/>
        <v>T</v>
      </c>
      <c r="AG1132" s="1414">
        <v>1</v>
      </c>
      <c r="AH1132" s="1002" t="s">
        <v>16024</v>
      </c>
      <c r="AI1132" s="1002" t="s">
        <v>16008</v>
      </c>
      <c r="AJ1132" s="1002" t="s">
        <v>16014</v>
      </c>
      <c r="AK1132" s="1002" t="s">
        <v>652</v>
      </c>
      <c r="AL1132" s="1415">
        <v>56</v>
      </c>
      <c r="AM1132" s="1323">
        <v>46168</v>
      </c>
      <c r="AN1132" s="1323"/>
      <c r="AO1132" s="1323"/>
      <c r="AP1132" s="1323"/>
      <c r="AQ1132" s="1323"/>
      <c r="AR1132" s="987"/>
      <c r="AS1132" s="978" t="str">
        <f t="shared" si="188"/>
        <v>單</v>
      </c>
      <c r="AT1132" s="978" t="str">
        <f t="shared" si="189"/>
        <v>全</v>
      </c>
      <c r="AU1132" s="978" t="str">
        <f t="shared" si="190"/>
        <v/>
      </c>
      <c r="AV1132" s="978" t="str">
        <f t="shared" si="191"/>
        <v/>
      </c>
    </row>
    <row r="1133" spans="1:48">
      <c r="A1133" s="975">
        <f t="shared" si="196"/>
        <v>46171</v>
      </c>
      <c r="B1133" s="976" t="s">
        <v>237</v>
      </c>
      <c r="C1133" s="976" t="s">
        <v>16759</v>
      </c>
      <c r="D1133" s="1410" t="s">
        <v>633</v>
      </c>
      <c r="E1133" s="977" t="str">
        <f>IFERROR(VLOOKUP(C1133, [6]條件!$A:$L, 5, 0), "")</f>
        <v>150/48/2SDr</v>
      </c>
      <c r="F1133" s="978" t="str">
        <f>IFERROR(VLOOKUP(C1133, [6]條件!$A:$L, 6, 0), "")</f>
        <v>FP82171R×2</v>
      </c>
      <c r="G1133" s="1411">
        <f>IFERROR(VLOOKUP(C1133, [6]條件!$A:$L, 7, 0), "")</f>
        <v>700</v>
      </c>
      <c r="H1133" s="978" t="str">
        <f>IF(ISNA(VLOOKUP(C1133,[6]條件!$A$1:$K$932,11,0)),"",(VLOOKUP(C1133,[6]條件!$A$1:$K$932,11,0)))</f>
        <v>紅底黃星</v>
      </c>
      <c r="I1133" s="979">
        <f>IF(ISNA(VLOOKUP(C1133,[6]條件!$A$1:$L$932,12,0)),"",(VLOOKUP(C1133,[6]條件!$A$1:$L$932,12,0)))</f>
        <v>5.5</v>
      </c>
      <c r="J1133" s="982">
        <v>63</v>
      </c>
      <c r="K1133" s="980">
        <v>2</v>
      </c>
      <c r="L1133" s="981" t="s">
        <v>16002</v>
      </c>
      <c r="M1133" s="983">
        <v>9070</v>
      </c>
      <c r="N1133" s="982">
        <v>15</v>
      </c>
      <c r="O1133" s="980">
        <v>0</v>
      </c>
      <c r="P1133" s="981">
        <v>8060</v>
      </c>
      <c r="Q1133" s="983">
        <v>7690</v>
      </c>
      <c r="R1133" s="982"/>
      <c r="S1133" s="980"/>
      <c r="T1133" s="981" t="s">
        <v>16002</v>
      </c>
      <c r="U1133" s="983"/>
      <c r="V1133" s="982"/>
      <c r="W1133" s="980"/>
      <c r="X1133" s="981" t="s">
        <v>16002</v>
      </c>
      <c r="Y1133" s="983"/>
      <c r="Z1133" s="1412">
        <f>IFERROR(VLOOKUP(C1133, [6]條件!$A:$L, 3, 0), "")</f>
        <v>5.8299595141700413</v>
      </c>
      <c r="AA1133" s="984" t="str">
        <f>IF(OR(L1133={"改紡","檢修","了機","清車","FINAL","停機","SAMPLE","TEST","絲開發"}), L1133, IFERROR(IF(C1133="", "", (SUM(J1133, N1133, R1133, V1133)/3 * AG1133) * IF(AND(AF1133="S", AS1133="雙"), 0.5, 1)), ""))</f>
        <v>了機</v>
      </c>
      <c r="AB1133" s="1413">
        <f t="shared" si="194"/>
        <v>0.99835069444444446</v>
      </c>
      <c r="AC1133" s="984" t="str">
        <f>IF(OR(L1133={"改紡","檢修","了機","清車","FINAL","停機","SAMPLE","TEST"}), "", IFERROR(IF(C1133="", "", AVERAGE(L1133:M1133, P1133:Q1133, T1133:U1133, X1133:Y1133)/100), ""))</f>
        <v/>
      </c>
      <c r="AD1133" s="984" t="str">
        <f t="shared" si="192"/>
        <v/>
      </c>
      <c r="AE1133" s="984" t="str">
        <f t="shared" si="195"/>
        <v/>
      </c>
      <c r="AF1133" s="985" t="str">
        <f t="shared" si="187"/>
        <v>T</v>
      </c>
      <c r="AG1133" s="1414">
        <v>1</v>
      </c>
      <c r="AH1133" s="1002" t="s">
        <v>16792</v>
      </c>
      <c r="AI1133" s="1002" t="s">
        <v>16793</v>
      </c>
      <c r="AJ1133" s="986" t="s">
        <v>16009</v>
      </c>
      <c r="AK1133" s="986" t="s">
        <v>639</v>
      </c>
      <c r="AL1133" s="1415">
        <v>55</v>
      </c>
      <c r="AM1133" s="1323">
        <v>46166</v>
      </c>
      <c r="AN1133" s="1323">
        <v>46167</v>
      </c>
      <c r="AO1133" s="1323">
        <v>46168</v>
      </c>
      <c r="AP1133" s="1323"/>
      <c r="AQ1133" s="1323"/>
      <c r="AR1133" s="987"/>
      <c r="AS1133" s="978" t="str">
        <f t="shared" si="188"/>
        <v>雙</v>
      </c>
      <c r="AT1133" s="978" t="str">
        <f t="shared" si="189"/>
        <v>全</v>
      </c>
      <c r="AU1133" s="978">
        <f t="shared" si="190"/>
        <v>150</v>
      </c>
      <c r="AV1133" s="978" t="str">
        <f t="shared" si="191"/>
        <v/>
      </c>
    </row>
    <row r="1134" spans="1:48">
      <c r="A1134" s="975">
        <f t="shared" si="196"/>
        <v>46171</v>
      </c>
      <c r="B1134" s="976" t="s">
        <v>238</v>
      </c>
      <c r="C1134" s="976" t="s">
        <v>16743</v>
      </c>
      <c r="D1134" s="1410"/>
      <c r="E1134" s="977" t="str">
        <f>IFERROR(VLOOKUP(C1134, [6]條件!$A:$L, 5, 0), "")</f>
        <v>150/48/2SDr</v>
      </c>
      <c r="F1134" s="978" t="str">
        <f>IFERROR(VLOOKUP(C1134, [6]條件!$A:$L, 6, 0), "")</f>
        <v>FP82169R×2</v>
      </c>
      <c r="G1134" s="1411">
        <f>IFERROR(VLOOKUP(C1134, [6]條件!$A:$L, 7, 0), "")</f>
        <v>670</v>
      </c>
      <c r="H1134" s="978" t="str">
        <f>IF(ISNA(VLOOKUP(C1134,[6]條件!$A$1:$K$932,11,0)),"",(VLOOKUP(C1134,[6]條件!$A$1:$K$932,11,0)))</f>
        <v>黃底紅點</v>
      </c>
      <c r="I1134" s="979">
        <f>IF(ISNA(VLOOKUP(C1134,[6]條件!$A$1:$L$932,12,0)),"",(VLOOKUP(C1134,[6]條件!$A$1:$L$932,12,0)))</f>
        <v>5</v>
      </c>
      <c r="J1134" s="982">
        <v>24</v>
      </c>
      <c r="K1134" s="980">
        <v>0</v>
      </c>
      <c r="L1134" s="981">
        <v>8890</v>
      </c>
      <c r="M1134" s="983"/>
      <c r="N1134" s="982">
        <v>12</v>
      </c>
      <c r="O1134" s="980">
        <v>0</v>
      </c>
      <c r="P1134" s="981">
        <v>8800</v>
      </c>
      <c r="Q1134" s="983"/>
      <c r="R1134" s="982">
        <v>8</v>
      </c>
      <c r="S1134" s="980">
        <v>0</v>
      </c>
      <c r="T1134" s="981">
        <v>9260</v>
      </c>
      <c r="U1134" s="983"/>
      <c r="V1134" s="982">
        <v>11</v>
      </c>
      <c r="W1134" s="980">
        <v>0</v>
      </c>
      <c r="X1134" s="981">
        <v>8800</v>
      </c>
      <c r="Y1134" s="983"/>
      <c r="Z1134" s="1412">
        <f>IFERROR(VLOOKUP(C1134, [6]條件!$A:$L, 3, 0), "")</f>
        <v>6.2882096069868991</v>
      </c>
      <c r="AA1134" s="984">
        <f>IF(OR(L1134={"改紡","檢修","了機","清車","FINAL","停機","SAMPLE","TEST","絲開發"}), L1134, IFERROR(IF(C1134="", "", (SUM(J1134, N1134, R1134, V1134)/3 * AG1134) * IF(AND(AF1134="S", AS1134="雙"), 0.5, 1)), ""))</f>
        <v>36.666666666666664</v>
      </c>
      <c r="AB1134" s="1413">
        <f t="shared" si="194"/>
        <v>1</v>
      </c>
      <c r="AC1134" s="984">
        <f>IF(OR(L1134={"改紡","檢修","了機","清車","FINAL","停機","SAMPLE","TEST"}), "", IFERROR(IF(C1134="", "", AVERAGE(L1134:M1134, P1134:Q1134, T1134:U1134, X1134:Y1134)/100), ""))</f>
        <v>89.375</v>
      </c>
      <c r="AD1134" s="984">
        <f t="shared" si="192"/>
        <v>4.583333333333333</v>
      </c>
      <c r="AE1134" s="984">
        <f t="shared" si="195"/>
        <v>4.583333333333333</v>
      </c>
      <c r="AF1134" s="985" t="str">
        <f t="shared" si="187"/>
        <v>T</v>
      </c>
      <c r="AG1134" s="1414">
        <v>2</v>
      </c>
      <c r="AH1134" s="1002" t="s">
        <v>16024</v>
      </c>
      <c r="AI1134" s="1002" t="s">
        <v>16008</v>
      </c>
      <c r="AJ1134" s="1002" t="s">
        <v>16014</v>
      </c>
      <c r="AK1134" s="1002" t="s">
        <v>652</v>
      </c>
      <c r="AL1134" s="1415">
        <v>48</v>
      </c>
      <c r="AM1134" s="1323">
        <v>46162</v>
      </c>
      <c r="AN1134" s="1323">
        <v>46163</v>
      </c>
      <c r="AO1134" s="1323">
        <v>46164</v>
      </c>
      <c r="AP1134" s="1323"/>
      <c r="AQ1134" s="1323"/>
      <c r="AR1134" s="987"/>
      <c r="AS1134" s="978" t="str">
        <f t="shared" si="188"/>
        <v>雙</v>
      </c>
      <c r="AT1134" s="978" t="str">
        <f t="shared" si="189"/>
        <v>半</v>
      </c>
      <c r="AU1134" s="978">
        <f t="shared" si="190"/>
        <v>150</v>
      </c>
      <c r="AV1134" s="978">
        <f t="shared" si="191"/>
        <v>3.104244</v>
      </c>
    </row>
    <row r="1135" spans="1:48">
      <c r="A1135" s="975">
        <f t="shared" si="196"/>
        <v>46171</v>
      </c>
      <c r="B1135" s="976" t="s">
        <v>238</v>
      </c>
      <c r="C1135" s="976" t="s">
        <v>16742</v>
      </c>
      <c r="D1135" s="1410"/>
      <c r="E1135" s="977" t="str">
        <f>IFERROR(VLOOKUP(C1135, [6]條件!$A:$L, 5, 0), "")</f>
        <v>150/48/2SDr</v>
      </c>
      <c r="F1135" s="978" t="str">
        <f>IFERROR(VLOOKUP(C1135, [6]條件!$A:$L, 6, 0), "")</f>
        <v>FP82169R×2</v>
      </c>
      <c r="G1135" s="1411">
        <f>IFERROR(VLOOKUP(C1135, [6]條件!$A:$L, 7, 0), "")</f>
        <v>670</v>
      </c>
      <c r="H1135" s="978" t="str">
        <f>IF(ISNA(VLOOKUP(C1135,[6]條件!$A$1:$K$932,11,0)),"",(VLOOKUP(C1135,[6]條件!$A$1:$K$932,11,0)))</f>
        <v>紅底藍點</v>
      </c>
      <c r="I1135" s="979">
        <f>IF(ISNA(VLOOKUP(C1135,[6]條件!$A$1:$L$932,12,0)),"",(VLOOKUP(C1135,[6]條件!$A$1:$L$932,12,0)))</f>
        <v>5</v>
      </c>
      <c r="J1135" s="982">
        <v>20</v>
      </c>
      <c r="K1135" s="980">
        <v>0</v>
      </c>
      <c r="L1135" s="981"/>
      <c r="M1135" s="983">
        <v>8890</v>
      </c>
      <c r="N1135" s="982">
        <v>15</v>
      </c>
      <c r="O1135" s="980">
        <v>0</v>
      </c>
      <c r="P1135" s="981"/>
      <c r="Q1135" s="983">
        <v>9540</v>
      </c>
      <c r="R1135" s="982"/>
      <c r="S1135" s="980">
        <v>0</v>
      </c>
      <c r="T1135" s="981">
        <v>9720</v>
      </c>
      <c r="U1135" s="983"/>
      <c r="V1135" s="982">
        <v>13</v>
      </c>
      <c r="W1135" s="980">
        <v>0</v>
      </c>
      <c r="X1135" s="981"/>
      <c r="Y1135" s="983">
        <v>9440</v>
      </c>
      <c r="Z1135" s="1412">
        <f>IFERROR(VLOOKUP(C1135, [6]條件!$A:$L, 3, 0), "")</f>
        <v>6.1802575107296125</v>
      </c>
      <c r="AA1135" s="984">
        <f>IF(OR(L1135={"改紡","檢修","了機","清車","FINAL","停機","SAMPLE","TEST","絲開發"}), L1135, IFERROR(IF(C1135="", "", (SUM(J1135, N1135, R1135, V1135)/3 * AG1135) * IF(AND(AF1135="S", AS1135="雙"), 0.5, 1)), ""))</f>
        <v>32</v>
      </c>
      <c r="AB1135" s="1413">
        <f t="shared" si="194"/>
        <v>1</v>
      </c>
      <c r="AC1135" s="984">
        <f>IF(OR(L1135={"改紡","檢修","了機","清車","FINAL","停機","SAMPLE","TEST"}), "", IFERROR(IF(C1135="", "", AVERAGE(L1135:M1135, P1135:Q1135, T1135:U1135, X1135:Y1135)/100), ""))</f>
        <v>93.974999999999994</v>
      </c>
      <c r="AD1135" s="984">
        <f t="shared" si="192"/>
        <v>4</v>
      </c>
      <c r="AE1135" s="984">
        <f t="shared" si="195"/>
        <v>4</v>
      </c>
      <c r="AF1135" s="985" t="str">
        <f t="shared" si="187"/>
        <v>T</v>
      </c>
      <c r="AG1135" s="1414">
        <v>2</v>
      </c>
      <c r="AH1135" s="1002" t="s">
        <v>16024</v>
      </c>
      <c r="AI1135" s="1002" t="s">
        <v>16008</v>
      </c>
      <c r="AJ1135" s="1002" t="s">
        <v>16014</v>
      </c>
      <c r="AK1135" s="1002" t="s">
        <v>652</v>
      </c>
      <c r="AL1135" s="1415">
        <v>48</v>
      </c>
      <c r="AM1135" s="1323">
        <v>46161</v>
      </c>
      <c r="AN1135" s="1323">
        <v>46162</v>
      </c>
      <c r="AO1135" s="1323">
        <v>46163</v>
      </c>
      <c r="AP1135" s="1323">
        <v>46164</v>
      </c>
      <c r="AQ1135" s="1323"/>
      <c r="AR1135" s="987"/>
      <c r="AS1135" s="978" t="str">
        <f t="shared" si="188"/>
        <v>雙</v>
      </c>
      <c r="AT1135" s="978" t="str">
        <f t="shared" si="189"/>
        <v>半</v>
      </c>
      <c r="AU1135" s="978">
        <f t="shared" si="190"/>
        <v>150</v>
      </c>
      <c r="AV1135" s="978">
        <f t="shared" si="191"/>
        <v>3.2640148800000004</v>
      </c>
    </row>
    <row r="1136" spans="1:48">
      <c r="A1136" s="975">
        <f t="shared" si="196"/>
        <v>46171</v>
      </c>
      <c r="B1136" s="976" t="s">
        <v>239</v>
      </c>
      <c r="C1136" s="976" t="s">
        <v>16791</v>
      </c>
      <c r="D1136" s="1410"/>
      <c r="E1136" s="977" t="str">
        <f>IFERROR(VLOOKUP(C1136, [6]條件!$A:$L, 5, 0), "")</f>
        <v>75/72/2PFBR</v>
      </c>
      <c r="F1136" s="978" t="str">
        <f>IFERROR(VLOOKUP(C1136, [6]條件!$A:$L, 6, 0), "")</f>
        <v>FP01432R×2</v>
      </c>
      <c r="G1136" s="1411">
        <f>IFERROR(VLOOKUP(C1136, [6]條件!$A:$L, 7, 0), "")</f>
        <v>550</v>
      </c>
      <c r="H1136" s="978" t="str">
        <f>IF(ISNA(VLOOKUP(C1136,[6]條件!$A$1:$K$932,11,0)),"",(VLOOKUP(C1136,[6]條件!$A$1:$K$932,11,0)))</f>
        <v>紫色</v>
      </c>
      <c r="I1136" s="979">
        <f>IF(ISNA(VLOOKUP(C1136,[6]條件!$A$1:$L$932,12,0)),"",(VLOOKUP(C1136,[6]條件!$A$1:$L$932,12,0)))</f>
        <v>4</v>
      </c>
      <c r="J1136" s="982">
        <v>36</v>
      </c>
      <c r="K1136" s="980">
        <v>0</v>
      </c>
      <c r="L1136" s="981">
        <v>6390</v>
      </c>
      <c r="M1136" s="983"/>
      <c r="N1136" s="982">
        <v>18</v>
      </c>
      <c r="O1136" s="980">
        <v>0</v>
      </c>
      <c r="P1136" s="981">
        <v>5090</v>
      </c>
      <c r="Q1136" s="983"/>
      <c r="R1136" s="982">
        <v>38</v>
      </c>
      <c r="S1136" s="980">
        <v>1</v>
      </c>
      <c r="T1136" s="981">
        <v>5000</v>
      </c>
      <c r="U1136" s="983"/>
      <c r="V1136" s="982">
        <v>38</v>
      </c>
      <c r="W1136" s="980">
        <v>2</v>
      </c>
      <c r="X1136" s="981">
        <v>5830</v>
      </c>
      <c r="Y1136" s="983"/>
      <c r="Z1136" s="1412">
        <f>IFERROR(VLOOKUP(C1136, [6]條件!$A:$L, 3, 0), "")</f>
        <v>3.1578947368421053</v>
      </c>
      <c r="AA1136" s="984">
        <f>IF(OR(L1136={"改紡","檢修","了機","清車","FINAL","停機","SAMPLE","TEST","絲開發"}), L1136, IFERROR(IF(C1136="", "", (SUM(J1136, N1136, R1136, V1136)/3 * AG1136) * IF(AND(AF1136="S", AS1136="雙"), 0.5, 1)), ""))</f>
        <v>86.666666666666671</v>
      </c>
      <c r="AB1136" s="1413">
        <f t="shared" si="194"/>
        <v>0.99543269230769227</v>
      </c>
      <c r="AC1136" s="984">
        <f>IF(OR(L1136={"改紡","檢修","了機","清車","FINAL","停機","SAMPLE","TEST"}), "", IFERROR(IF(C1136="", "", AVERAGE(L1136:M1136, P1136:Q1136, T1136:U1136, X1136:Y1136)/100), ""))</f>
        <v>55.774999999999999</v>
      </c>
      <c r="AD1136" s="984">
        <f t="shared" si="192"/>
        <v>10.833333333333334</v>
      </c>
      <c r="AE1136" s="984">
        <f t="shared" si="195"/>
        <v>10.583333333333334</v>
      </c>
      <c r="AF1136" s="985" t="str">
        <f t="shared" si="187"/>
        <v>T</v>
      </c>
      <c r="AG1136" s="1414">
        <v>2</v>
      </c>
      <c r="AH1136" s="1002" t="s">
        <v>16020</v>
      </c>
      <c r="AI1136" s="1002" t="s">
        <v>15337</v>
      </c>
      <c r="AJ1136" s="986" t="s">
        <v>16009</v>
      </c>
      <c r="AK1136" s="986" t="s">
        <v>639</v>
      </c>
      <c r="AL1136" s="1415">
        <v>52</v>
      </c>
      <c r="AM1136" s="1323">
        <v>46168</v>
      </c>
      <c r="AN1136" s="1323">
        <v>46169</v>
      </c>
      <c r="AO1136" s="1323">
        <v>46170</v>
      </c>
      <c r="AP1136" s="1323"/>
      <c r="AQ1136" s="1323"/>
      <c r="AR1136" s="987"/>
      <c r="AS1136" s="978" t="str">
        <f t="shared" si="188"/>
        <v>雙</v>
      </c>
      <c r="AT1136" s="978" t="str">
        <f t="shared" si="189"/>
        <v>半</v>
      </c>
      <c r="AU1136" s="978">
        <f t="shared" si="190"/>
        <v>75</v>
      </c>
      <c r="AV1136" s="978">
        <f t="shared" si="191"/>
        <v>0.79512839999999996</v>
      </c>
    </row>
    <row r="1137" spans="1:48">
      <c r="A1137" s="975">
        <f t="shared" si="196"/>
        <v>46171</v>
      </c>
      <c r="B1137" s="976" t="s">
        <v>239</v>
      </c>
      <c r="C1137" s="976" t="s">
        <v>16787</v>
      </c>
      <c r="D1137" s="1410" t="s">
        <v>16788</v>
      </c>
      <c r="E1137" s="977" t="str">
        <f>IFERROR(VLOOKUP(C1137, [6]條件!$A:$L, 5, 0), "")</f>
        <v>150/48/2SDR</v>
      </c>
      <c r="F1137" s="978" t="str">
        <f>IFERROR(VLOOKUP(C1137, [6]條件!$A:$L, 6, 0), "")</f>
        <v>FP82169R×2</v>
      </c>
      <c r="G1137" s="1411">
        <f>IFERROR(VLOOKUP(C1137, [6]條件!$A:$L, 7, 0), "")</f>
        <v>650</v>
      </c>
      <c r="H1137" s="978" t="str">
        <f>IF(ISNA(VLOOKUP(C1137,[6]條件!$A$1:$K$932,11,0)),"",(VLOOKUP(C1137,[6]條件!$A$1:$K$932,11,0)))</f>
        <v>紫黃條紋</v>
      </c>
      <c r="I1137" s="979">
        <f>IF(ISNA(VLOOKUP(C1137,[6]條件!$A$1:$L$932,12,0)),"",(VLOOKUP(C1137,[6]條件!$A$1:$L$932,12,0)))</f>
        <v>5</v>
      </c>
      <c r="J1137" s="982">
        <v>12</v>
      </c>
      <c r="K1137" s="980">
        <v>0</v>
      </c>
      <c r="L1137" s="981"/>
      <c r="M1137" s="983">
        <v>8800</v>
      </c>
      <c r="N1137" s="982">
        <v>13</v>
      </c>
      <c r="O1137" s="980">
        <v>0</v>
      </c>
      <c r="P1137" s="981"/>
      <c r="Q1137" s="983">
        <v>8700</v>
      </c>
      <c r="R1137" s="982">
        <v>0</v>
      </c>
      <c r="S1137" s="980">
        <v>0</v>
      </c>
      <c r="T1137" s="981">
        <v>7590</v>
      </c>
      <c r="U1137" s="983"/>
      <c r="V1137" s="982">
        <v>27</v>
      </c>
      <c r="W1137" s="980">
        <v>0</v>
      </c>
      <c r="X1137" s="981"/>
      <c r="Y1137" s="983">
        <v>9440</v>
      </c>
      <c r="Z1137" s="1412">
        <f>IFERROR(VLOOKUP(C1137, [6]條件!$A:$L, 3, 0), "")</f>
        <v>6.101694915254237</v>
      </c>
      <c r="AA1137" s="984">
        <f>IF(OR(L1137={"改紡","檢修","了機","清車","FINAL","停機","SAMPLE","TEST","絲開發"}), L1137, IFERROR(IF(C1137="", "", (SUM(J1137, N1137, R1137, V1137)/3 * AG1137) * IF(AND(AF1137="S", AS1137="雙"), 0.5, 1)), ""))</f>
        <v>34.666666666666664</v>
      </c>
      <c r="AB1137" s="1413">
        <f t="shared" si="194"/>
        <v>1</v>
      </c>
      <c r="AC1137" s="984">
        <f>IF(OR(L1137={"改紡","檢修","了機","清車","FINAL","停機","SAMPLE","TEST"}), "", IFERROR(IF(C1137="", "", AVERAGE(L1137:M1137, P1137:Q1137, T1137:U1137, X1137:Y1137)/100), ""))</f>
        <v>86.325000000000003</v>
      </c>
      <c r="AD1137" s="984">
        <f t="shared" si="192"/>
        <v>4.333333333333333</v>
      </c>
      <c r="AE1137" s="984">
        <f t="shared" si="195"/>
        <v>4.333333333333333</v>
      </c>
      <c r="AF1137" s="985" t="str">
        <f t="shared" si="187"/>
        <v>T</v>
      </c>
      <c r="AG1137" s="1414">
        <v>2</v>
      </c>
      <c r="AH1137" s="1002" t="s">
        <v>16020</v>
      </c>
      <c r="AI1137" s="1002" t="s">
        <v>15337</v>
      </c>
      <c r="AJ1137" s="986" t="s">
        <v>16009</v>
      </c>
      <c r="AK1137" s="986" t="s">
        <v>639</v>
      </c>
      <c r="AL1137" s="1415">
        <v>48</v>
      </c>
      <c r="AM1137" s="1323">
        <v>46162</v>
      </c>
      <c r="AN1137" s="1323">
        <v>46163</v>
      </c>
      <c r="AO1137" s="1323">
        <v>46164</v>
      </c>
      <c r="AP1137" s="1323"/>
      <c r="AQ1137" s="1323"/>
      <c r="AR1137" s="987"/>
      <c r="AS1137" s="978" t="str">
        <f t="shared" si="188"/>
        <v>雙</v>
      </c>
      <c r="AT1137" s="978" t="str">
        <f t="shared" si="189"/>
        <v>半</v>
      </c>
      <c r="AU1137" s="978">
        <f t="shared" si="190"/>
        <v>150</v>
      </c>
      <c r="AV1137" s="978">
        <f t="shared" si="191"/>
        <v>2.9088072</v>
      </c>
    </row>
    <row r="1138" spans="1:48">
      <c r="A1138" s="975">
        <f t="shared" si="196"/>
        <v>46171</v>
      </c>
      <c r="B1138" s="976" t="s">
        <v>388</v>
      </c>
      <c r="C1138" s="976" t="s">
        <v>16775</v>
      </c>
      <c r="D1138" s="1410" t="s">
        <v>633</v>
      </c>
      <c r="E1138" s="977" t="str">
        <f>IFERROR(VLOOKUP(C1138, [6]條件!$A:$L, 5, 0), "")</f>
        <v>150/48/2SDr</v>
      </c>
      <c r="F1138" s="978" t="str">
        <f>IFERROR(VLOOKUP(C1138, [6]條件!$A:$L, 6, 0), "")</f>
        <v>FP82173R×2</v>
      </c>
      <c r="G1138" s="1411">
        <f>IFERROR(VLOOKUP(C1138, [6]條件!$A:$L, 7, 0), "")</f>
        <v>700</v>
      </c>
      <c r="H1138" s="978" t="str">
        <f>IF(ISNA(VLOOKUP(C1138,[6]條件!$A$1:$K$932,11,0)),"",(VLOOKUP(C1138,[6]條件!$A$1:$K$932,11,0)))</f>
        <v>黃紅雙色</v>
      </c>
      <c r="I1138" s="979">
        <f>IF(ISNA(VLOOKUP(C1138,[6]條件!$A$1:$L$932,12,0)),"",(VLOOKUP(C1138,[6]條件!$A$1:$L$932,12,0)))</f>
        <v>5.5</v>
      </c>
      <c r="J1138" s="982">
        <v>41</v>
      </c>
      <c r="K1138" s="980">
        <v>0</v>
      </c>
      <c r="L1138" s="981" t="s">
        <v>16003</v>
      </c>
      <c r="M1138" s="983">
        <v>9440</v>
      </c>
      <c r="N1138" s="982">
        <v>5</v>
      </c>
      <c r="O1138" s="980">
        <v>0</v>
      </c>
      <c r="P1138" s="981" t="s">
        <v>16007</v>
      </c>
      <c r="Q1138" s="983">
        <v>9170</v>
      </c>
      <c r="R1138" s="982">
        <v>17</v>
      </c>
      <c r="S1138" s="980">
        <v>0</v>
      </c>
      <c r="T1138" s="981" t="s">
        <v>16018</v>
      </c>
      <c r="U1138" s="983">
        <v>10000</v>
      </c>
      <c r="V1138" s="982">
        <v>33</v>
      </c>
      <c r="W1138" s="980">
        <v>0</v>
      </c>
      <c r="X1138" s="981">
        <v>8430</v>
      </c>
      <c r="Y1138" s="983">
        <v>9170</v>
      </c>
      <c r="Z1138" s="1412">
        <f>IFERROR(VLOOKUP(C1138, [6]條件!$A:$L, 3, 0), "")</f>
        <v>5.8536585365853666</v>
      </c>
      <c r="AA1138" s="984">
        <f>IF(OR(L1138={"改紡","檢修","了機","清車","FINAL","停機","SAMPLE","TEST","絲開發"}), L1138, IFERROR(IF(C1138="", "", (SUM(J1138, N1138, R1138, V1138)/3 * AG1138) * IF(AND(AF1138="S", AS1138="雙"), 0.5, 1)), ""))</f>
        <v>32</v>
      </c>
      <c r="AB1138" s="1413">
        <f t="shared" si="194"/>
        <v>1</v>
      </c>
      <c r="AC1138" s="984">
        <f>IF(OR(L1138={"改紡","檢修","了機","清車","FINAL","停機","SAMPLE","TEST"}), "", IFERROR(IF(C1138="", "", AVERAGE(L1138:M1138, P1138:Q1138, T1138:U1138, X1138:Y1138)/100), ""))</f>
        <v>92.42</v>
      </c>
      <c r="AD1138" s="984">
        <f t="shared" si="192"/>
        <v>4</v>
      </c>
      <c r="AE1138" s="984">
        <f t="shared" si="195"/>
        <v>4</v>
      </c>
      <c r="AF1138" s="985" t="str">
        <f t="shared" si="187"/>
        <v>T</v>
      </c>
      <c r="AG1138" s="1414">
        <v>1</v>
      </c>
      <c r="AH1138" s="1002" t="s">
        <v>16024</v>
      </c>
      <c r="AI1138" s="1002" t="s">
        <v>16008</v>
      </c>
      <c r="AJ1138" s="1002" t="s">
        <v>16014</v>
      </c>
      <c r="AK1138" s="1002" t="s">
        <v>652</v>
      </c>
      <c r="AL1138" s="1415">
        <v>56</v>
      </c>
      <c r="AM1138" s="1323">
        <v>46158</v>
      </c>
      <c r="AN1138" s="1323">
        <v>46166</v>
      </c>
      <c r="AO1138" s="1323">
        <v>46167</v>
      </c>
      <c r="AP1138" s="1323">
        <v>46168</v>
      </c>
      <c r="AQ1138" s="1323"/>
      <c r="AR1138" s="987"/>
      <c r="AS1138" s="978" t="str">
        <f t="shared" si="188"/>
        <v>雙</v>
      </c>
      <c r="AT1138" s="978" t="str">
        <f t="shared" si="189"/>
        <v>全</v>
      </c>
      <c r="AU1138" s="978">
        <f t="shared" si="190"/>
        <v>150</v>
      </c>
      <c r="AV1138" s="978">
        <f t="shared" si="191"/>
        <v>6.70747392</v>
      </c>
    </row>
    <row r="1139" spans="1:48">
      <c r="A1139" s="975">
        <f>A1137</f>
        <v>46171</v>
      </c>
      <c r="B1139" s="976" t="s">
        <v>417</v>
      </c>
      <c r="C1139" s="976" t="s">
        <v>16767</v>
      </c>
      <c r="D1139" s="1410" t="s">
        <v>633</v>
      </c>
      <c r="E1139" s="977" t="str">
        <f>IFERROR(VLOOKUP(C1139, [6]條件!$A:$L, 5, 0), "")</f>
        <v>150/48/2SDr</v>
      </c>
      <c r="F1139" s="978" t="str">
        <f>IFERROR(VLOOKUP(C1139, [6]條件!$A:$L, 6, 0), "")</f>
        <v>FP82173R×2</v>
      </c>
      <c r="G1139" s="1411">
        <f>IFERROR(VLOOKUP(C1139, [6]條件!$A:$L, 7, 0), "")</f>
        <v>700</v>
      </c>
      <c r="H1139" s="978" t="str">
        <f>IF(ISNA(VLOOKUP(C1139,[6]條件!$A$1:$K$932,11,0)),"",(VLOOKUP(C1139,[6]條件!$A$1:$K$932,11,0)))</f>
        <v>棕色</v>
      </c>
      <c r="I1139" s="979">
        <f>IF(ISNA(VLOOKUP(C1139,[6]條件!$A$1:$L$932,12,0)),"",(VLOOKUP(C1139,[6]條件!$A$1:$L$932,12,0)))</f>
        <v>5.5</v>
      </c>
      <c r="J1139" s="982">
        <v>27</v>
      </c>
      <c r="K1139" s="980">
        <v>0</v>
      </c>
      <c r="L1139" s="981">
        <v>10000</v>
      </c>
      <c r="M1139" s="983"/>
      <c r="N1139" s="982">
        <v>5</v>
      </c>
      <c r="O1139" s="980">
        <v>0</v>
      </c>
      <c r="P1139" s="981">
        <v>9440</v>
      </c>
      <c r="Q1139" s="983"/>
      <c r="R1139" s="982">
        <v>8</v>
      </c>
      <c r="S1139" s="980">
        <v>0</v>
      </c>
      <c r="T1139" s="981">
        <v>9350</v>
      </c>
      <c r="U1139" s="983"/>
      <c r="V1139" s="982">
        <v>27</v>
      </c>
      <c r="W1139" s="980">
        <v>0</v>
      </c>
      <c r="X1139" s="981">
        <v>9440</v>
      </c>
      <c r="Y1139" s="983"/>
      <c r="Z1139" s="1412">
        <f>IFERROR(VLOOKUP(C1139, [6]條件!$A:$L, 3, 0), "")</f>
        <v>5.8536585365853666</v>
      </c>
      <c r="AA1139" s="984">
        <f>IF(OR(L1139={"改紡","檢修","了機","清車","FINAL","停機","SAMPLE","TEST","絲開發"}), L1139, IFERROR(IF(C1139="", "", (SUM(J1139, N1139, R1139, V1139)/3 * AG1139) * IF(AND(AF1139="S", AS1139="雙"), 0.5, 1)), ""))</f>
        <v>44.666666666666664</v>
      </c>
      <c r="AB1139" s="1413">
        <f t="shared" si="194"/>
        <v>1</v>
      </c>
      <c r="AC1139" s="984">
        <f>IF(OR(L1139={"改紡","檢修","了機","清車","FINAL","停機","SAMPLE","TEST"}), "", IFERROR(IF(C1139="", "", AVERAGE(L1139:M1139, P1139:Q1139, T1139:U1139, X1139:Y1139)/100), ""))</f>
        <v>95.575000000000003</v>
      </c>
      <c r="AD1139" s="984">
        <f t="shared" si="192"/>
        <v>5.583333333333333</v>
      </c>
      <c r="AE1139" s="984">
        <f t="shared" si="195"/>
        <v>5.583333333333333</v>
      </c>
      <c r="AF1139" s="985" t="str">
        <f t="shared" si="187"/>
        <v>T</v>
      </c>
      <c r="AG1139" s="1414">
        <v>2</v>
      </c>
      <c r="AH1139" s="1002" t="s">
        <v>16020</v>
      </c>
      <c r="AI1139" s="1002" t="s">
        <v>15337</v>
      </c>
      <c r="AJ1139" s="986" t="s">
        <v>16009</v>
      </c>
      <c r="AK1139" s="986" t="s">
        <v>639</v>
      </c>
      <c r="AL1139" s="1415">
        <v>56</v>
      </c>
      <c r="AM1139" s="1323">
        <v>46167</v>
      </c>
      <c r="AN1139" s="1323">
        <v>46168</v>
      </c>
      <c r="AO1139" s="1323">
        <v>46169</v>
      </c>
      <c r="AP1139" s="1323"/>
      <c r="AQ1139" s="1323"/>
      <c r="AR1139" s="987"/>
      <c r="AS1139" s="978" t="str">
        <f t="shared" si="188"/>
        <v>雙</v>
      </c>
      <c r="AT1139" s="978" t="str">
        <f t="shared" si="189"/>
        <v>半</v>
      </c>
      <c r="AU1139" s="978">
        <f t="shared" si="190"/>
        <v>150</v>
      </c>
      <c r="AV1139" s="978">
        <f t="shared" si="191"/>
        <v>3.4682255999999998</v>
      </c>
    </row>
    <row r="1140" spans="1:48">
      <c r="A1140" s="975">
        <f>A1138</f>
        <v>46171</v>
      </c>
      <c r="B1140" s="976" t="s">
        <v>417</v>
      </c>
      <c r="C1140" s="976"/>
      <c r="D1140" s="1410"/>
      <c r="E1140" s="977" t="str">
        <f>IFERROR(VLOOKUP(C1140, [6]條件!$A:$L, 5, 0), "")</f>
        <v/>
      </c>
      <c r="F1140" s="978" t="str">
        <f>IFERROR(VLOOKUP(C1140, [6]條件!$A:$L, 6, 0), "")</f>
        <v/>
      </c>
      <c r="G1140" s="1411" t="str">
        <f>IFERROR(VLOOKUP(C1140, [6]條件!$A:$L, 7, 0), "")</f>
        <v/>
      </c>
      <c r="H1140" s="978" t="str">
        <f>IF(ISNA(VLOOKUP(C1140,[6]條件!$A$1:$K$932,11,0)),"",(VLOOKUP(C1140,[6]條件!$A$1:$K$932,11,0)))</f>
        <v/>
      </c>
      <c r="I1140" s="979" t="str">
        <f>IF(ISNA(VLOOKUP(C1140,[6]條件!$A$1:$L$932,12,0)),"",(VLOOKUP(C1140,[6]條件!$A$1:$L$932,12,0)))</f>
        <v/>
      </c>
      <c r="J1140" s="982"/>
      <c r="K1140" s="980"/>
      <c r="L1140" s="981" t="s">
        <v>15999</v>
      </c>
      <c r="M1140" s="983" t="s">
        <v>16755</v>
      </c>
      <c r="N1140" s="982"/>
      <c r="O1140" s="980"/>
      <c r="P1140" s="981"/>
      <c r="Q1140" s="983" t="s">
        <v>632</v>
      </c>
      <c r="R1140" s="982"/>
      <c r="S1140" s="980"/>
      <c r="T1140" s="981"/>
      <c r="U1140" s="983" t="s">
        <v>632</v>
      </c>
      <c r="V1140" s="982"/>
      <c r="W1140" s="980"/>
      <c r="X1140" s="981"/>
      <c r="Y1140" s="983" t="s">
        <v>632</v>
      </c>
      <c r="Z1140" s="1412" t="str">
        <f>IFERROR(VLOOKUP(C1140, [6]條件!$A:$L, 3, 0), "")</f>
        <v/>
      </c>
      <c r="AA1140" s="984" t="str">
        <f>IF(OR(L1140={"改紡","檢修","了機","清車","FINAL","停機","SAMPLE","TEST","絲開發"}), L1140, IFERROR(IF(C1140="", "", (SUM(J1140, N1140, R1140, V1140)/3 * AG1140) * IF(AND(AF1140="S", AS1140="雙"), 0.5, 1)), ""))</f>
        <v>改紡</v>
      </c>
      <c r="AB1140" s="1413" t="str">
        <f t="shared" si="194"/>
        <v/>
      </c>
      <c r="AC1140" s="984" t="str">
        <f>IF(OR(L1140={"改紡","檢修","了機","清車","FINAL","停機","SAMPLE","TEST"}), "", IFERROR(IF(C1140="", "", AVERAGE(L1140:M1140, P1140:Q1140, T1140:U1140, X1140:Y1140)/100), ""))</f>
        <v/>
      </c>
      <c r="AD1140" s="984" t="str">
        <f t="shared" si="192"/>
        <v/>
      </c>
      <c r="AE1140" s="984" t="str">
        <f t="shared" si="195"/>
        <v/>
      </c>
      <c r="AF1140" s="985" t="str">
        <f t="shared" si="187"/>
        <v>T</v>
      </c>
      <c r="AG1140" s="1414">
        <v>2</v>
      </c>
      <c r="AH1140" s="1002" t="s">
        <v>16020</v>
      </c>
      <c r="AI1140" s="1002" t="s">
        <v>15337</v>
      </c>
      <c r="AJ1140" s="986" t="s">
        <v>16009</v>
      </c>
      <c r="AK1140" s="986" t="s">
        <v>639</v>
      </c>
      <c r="AL1140" s="1415"/>
      <c r="AM1140" s="1323"/>
      <c r="AN1140" s="1323"/>
      <c r="AO1140" s="1323"/>
      <c r="AP1140" s="1323"/>
      <c r="AQ1140" s="1323"/>
      <c r="AR1140" s="987"/>
      <c r="AS1140" s="978" t="str">
        <f t="shared" si="188"/>
        <v>單</v>
      </c>
      <c r="AT1140" s="978" t="str">
        <f t="shared" si="189"/>
        <v>半</v>
      </c>
      <c r="AU1140" s="978" t="str">
        <f t="shared" si="190"/>
        <v/>
      </c>
      <c r="AV1140" s="978" t="str">
        <f t="shared" si="191"/>
        <v/>
      </c>
    </row>
    <row r="1141" spans="1:48">
      <c r="A1141" s="975">
        <f t="shared" si="196"/>
        <v>46171</v>
      </c>
      <c r="B1141" s="976" t="s">
        <v>240</v>
      </c>
      <c r="C1141" s="976" t="s">
        <v>16777</v>
      </c>
      <c r="D1141" s="1410"/>
      <c r="E1141" s="977" t="str">
        <f>IFERROR(VLOOKUP(C1141, [6]條件!$A:$L, 5, 0), "")</f>
        <v>75/72/2SDFFR</v>
      </c>
      <c r="F1141" s="978" t="str">
        <f>IFERROR(VLOOKUP(C1141, [6]條件!$A:$L, 6, 0), "")</f>
        <v>FP81209R×2</v>
      </c>
      <c r="G1141" s="1411">
        <f>IFERROR(VLOOKUP(C1141, [6]條件!$A:$L, 7, 0), "")</f>
        <v>600</v>
      </c>
      <c r="H1141" s="978" t="str">
        <f>IF(ISNA(VLOOKUP(C1141,[6]條件!$A$1:$K$932,11,0)),"",(VLOOKUP(C1141,[6]條件!$A$1:$K$932,11,0)))</f>
        <v>白底紅十字</v>
      </c>
      <c r="I1141" s="979">
        <f>IF(ISNA(VLOOKUP(C1141,[6]條件!$A$1:$L$932,12,0)),"",(VLOOKUP(C1141,[6]條件!$A$1:$L$932,12,0)))</f>
        <v>5</v>
      </c>
      <c r="J1141" s="982">
        <v>14</v>
      </c>
      <c r="K1141" s="980">
        <v>2</v>
      </c>
      <c r="L1141" s="981">
        <v>1839</v>
      </c>
      <c r="M1141" s="983"/>
      <c r="N1141" s="982">
        <v>4</v>
      </c>
      <c r="O1141" s="980">
        <v>0</v>
      </c>
      <c r="P1141" s="981">
        <v>1982</v>
      </c>
      <c r="Q1141" s="983"/>
      <c r="R1141" s="982">
        <v>0</v>
      </c>
      <c r="S1141" s="980">
        <v>0</v>
      </c>
      <c r="T1141" s="981">
        <v>2033</v>
      </c>
      <c r="U1141" s="983"/>
      <c r="V1141" s="982">
        <v>8</v>
      </c>
      <c r="W1141" s="980">
        <v>0</v>
      </c>
      <c r="X1141" s="981">
        <v>2009</v>
      </c>
      <c r="Y1141" s="983"/>
      <c r="Z1141" s="1422">
        <f>IFERROR(VLOOKUP(C1141, [6]條件!$A:$L, 3, 0), "")</f>
        <v>2.7852998065764023</v>
      </c>
      <c r="AA1141" s="1167">
        <f>IF(OR(L1141={"改紡","檢修","了機","清車","FINAL","停機","SAMPLE","TEST","絲開發"}), L1141, IFERROR(IF(C1141="", "", (SUM(J1141, N1141, R1141, V1141)/3 * AG1141) * IF(AND(AF1141="S", AS1141="雙"), 0.5, 1)), ""))</f>
        <v>13</v>
      </c>
      <c r="AB1141" s="1423">
        <f>IF(K1141="","",IF(ISERROR(1-((SUM(K1141,O1141,S1141,W1141)/((AG1141*12)-(AG1141*0.44)))/Z1141)),"",(1-((SUM(K1141,O1141,S1141,W1141)/((AG1141*12)-(AG1141*0.44)))/Z1141))))</f>
        <v>0.97929482250416511</v>
      </c>
      <c r="AC1141" s="1167">
        <f>IF(OR(L1141={"改紡","檢修","了機","清車","FINAL","停機","SAMPLE","TEST"}), "", IFERROR(IF(C1141="", "", AVERAGE(L1141:M1141, P1141:Q1141, T1141:U1141, X1141:Y1141)/100), ""))</f>
        <v>19.657499999999999</v>
      </c>
      <c r="AD1141" s="1167">
        <f t="shared" si="192"/>
        <v>1.625</v>
      </c>
      <c r="AE1141" s="1167">
        <f>IF(P1141="了機","",IF(J1141="","",IF(ISERROR((SUM(J1141,N1141,R1141,V1141)-SUM(K1141,O1141,S1141,W1141))/24),"",((SUM(J1141,N1141,R1141,V1141)-SUM(K1141,O1141,S1141,W1141))/24))))</f>
        <v>1</v>
      </c>
      <c r="AF1141" s="1168" t="str">
        <f t="shared" si="187"/>
        <v>S</v>
      </c>
      <c r="AG1141" s="1424">
        <v>3</v>
      </c>
      <c r="AH1141" s="1002" t="s">
        <v>16005</v>
      </c>
      <c r="AI1141" s="1002" t="s">
        <v>635</v>
      </c>
      <c r="AJ1141" s="986" t="s">
        <v>16000</v>
      </c>
      <c r="AK1141" s="986" t="s">
        <v>636</v>
      </c>
      <c r="AL1141" s="1415">
        <v>50</v>
      </c>
      <c r="AM1141" s="1323">
        <v>46088</v>
      </c>
      <c r="AN1141" s="1323"/>
      <c r="AO1141" s="1323"/>
      <c r="AP1141" s="1323"/>
      <c r="AQ1141" s="1323"/>
      <c r="AR1141" s="987"/>
      <c r="AS1141" s="978" t="str">
        <f t="shared" si="188"/>
        <v>雙</v>
      </c>
      <c r="AT1141" s="978" t="str">
        <f t="shared" si="189"/>
        <v>3sec</v>
      </c>
      <c r="AU1141" s="978">
        <f t="shared" si="190"/>
        <v>75</v>
      </c>
      <c r="AV1141" s="978">
        <f t="shared" si="191"/>
        <v>3.821418E-2</v>
      </c>
    </row>
    <row r="1142" spans="1:48">
      <c r="A1142" s="975">
        <f t="shared" si="196"/>
        <v>46171</v>
      </c>
      <c r="B1142" s="976" t="s">
        <v>242</v>
      </c>
      <c r="C1142" s="976" t="s">
        <v>385</v>
      </c>
      <c r="D1142" s="1410"/>
      <c r="E1142" s="977" t="str">
        <f>IFERROR(VLOOKUP(C1142, [6]條件!$A:$L, 5, 0), "")</f>
        <v/>
      </c>
      <c r="F1142" s="978" t="str">
        <f>IFERROR(VLOOKUP(C1142, [6]條件!$A:$L, 6, 0), "")</f>
        <v/>
      </c>
      <c r="G1142" s="1411" t="str">
        <f>IFERROR(VLOOKUP(C1142, [6]條件!$A:$L, 7, 0), "")</f>
        <v/>
      </c>
      <c r="H1142" s="978" t="str">
        <f>IF(ISNA(VLOOKUP(C1142,[6]條件!$A$1:$K$932,11,0)),"",(VLOOKUP(C1142,[6]條件!$A$1:$K$932,11,0)))</f>
        <v/>
      </c>
      <c r="I1142" s="979" t="str">
        <f>IF(ISNA(VLOOKUP(C1142,[6]條件!$A$1:$L$932,12,0)),"",(VLOOKUP(C1142,[6]條件!$A$1:$L$932,12,0)))</f>
        <v/>
      </c>
      <c r="J1142" s="982"/>
      <c r="K1142" s="980"/>
      <c r="L1142" s="981" t="s">
        <v>385</v>
      </c>
      <c r="M1142" s="983"/>
      <c r="N1142" s="982"/>
      <c r="O1142" s="980"/>
      <c r="P1142" s="981" t="s">
        <v>385</v>
      </c>
      <c r="Q1142" s="983"/>
      <c r="R1142" s="982"/>
      <c r="S1142" s="980"/>
      <c r="T1142" s="981" t="s">
        <v>385</v>
      </c>
      <c r="U1142" s="983"/>
      <c r="V1142" s="982"/>
      <c r="W1142" s="980"/>
      <c r="X1142" s="981" t="s">
        <v>385</v>
      </c>
      <c r="Y1142" s="983"/>
      <c r="Z1142" s="1422" t="str">
        <f>IFERROR(VLOOKUP(C1142, [6]條件!$A:$L, 3, 0), "")</f>
        <v/>
      </c>
      <c r="AA1142" s="1167" t="str">
        <f>IF(OR(L1142={"改紡","檢修","了機","清車","FINAL","停機","SAMPLE","TEST","絲開發"}), L1142, IFERROR(IF(C1142="", "", (SUM(J1142, N1142, R1142, V1142)/3 * AG1142) * IF(AND(AF1142="S", AS1142="雙"), 0.5, 1)), ""))</f>
        <v>絲開發</v>
      </c>
      <c r="AB1142" s="1423" t="str">
        <f>IF(K1142="","",IF(ISERROR(1-((SUM(K1142,O1142,S1142,W1142)/((AG1142*12)-(AG1142*0.44)))/Z1142)),"",(1-((SUM(K1142,O1142,S1142,W1142)/((AG1142*12)-(AG1142*0.44)))/Z1142))))</f>
        <v/>
      </c>
      <c r="AC1142" s="1167" t="str">
        <f>IF(OR(L1142={"改紡","檢修","了機","清車","FINAL","停機","SAMPLE","TEST"}), "", IFERROR(IF(C1142="", "", AVERAGE(L1142:M1142, P1142:Q1142, T1142:U1142, X1142:Y1142)/100), ""))</f>
        <v/>
      </c>
      <c r="AD1142" s="1167" t="str">
        <f t="shared" si="192"/>
        <v/>
      </c>
      <c r="AE1142" s="1167" t="str">
        <f>IF(P1142="了機","",IF(J1142="","",IF(ISERROR((SUM(J1142,N1142,R1142,V1142)-SUM(K1142,O1142,S1142,W1142))/24),"",((SUM(J1142,N1142,R1142,V1142)-SUM(K1142,O1142,S1142,W1142))/24))))</f>
        <v/>
      </c>
      <c r="AF1142" s="1168" t="str">
        <f t="shared" si="187"/>
        <v>S</v>
      </c>
      <c r="AG1142" s="1424">
        <v>5</v>
      </c>
      <c r="AH1142" s="1002" t="s">
        <v>16005</v>
      </c>
      <c r="AI1142" s="1002" t="s">
        <v>635</v>
      </c>
      <c r="AJ1142" s="986" t="s">
        <v>16000</v>
      </c>
      <c r="AK1142" s="986" t="s">
        <v>636</v>
      </c>
      <c r="AL1142" s="1415"/>
      <c r="AM1142" s="1323"/>
      <c r="AN1142" s="1323"/>
      <c r="AO1142" s="1323"/>
      <c r="AP1142" s="1323"/>
      <c r="AQ1142" s="1323"/>
      <c r="AR1142" s="987"/>
      <c r="AS1142" s="978" t="str">
        <f t="shared" si="188"/>
        <v>單</v>
      </c>
      <c r="AT1142" s="978" t="str">
        <f t="shared" si="189"/>
        <v>5sec</v>
      </c>
      <c r="AU1142" s="978" t="str">
        <f t="shared" si="190"/>
        <v/>
      </c>
      <c r="AV1142" s="978" t="str">
        <f t="shared" si="191"/>
        <v/>
      </c>
    </row>
    <row r="1143" spans="1:48">
      <c r="A1143" s="975">
        <f t="shared" si="196"/>
        <v>46171</v>
      </c>
      <c r="B1143" s="976" t="s">
        <v>16078</v>
      </c>
      <c r="C1143" s="988" t="s">
        <v>16185</v>
      </c>
      <c r="D1143" s="1410"/>
      <c r="E1143" s="977" t="str">
        <f>IFERROR(VLOOKUP(C1143, [6]條件!$A:$L, 5, 0), "")</f>
        <v/>
      </c>
      <c r="F1143" s="978" t="str">
        <f>IFERROR(VLOOKUP(C1143, [6]條件!$A:$L, 6, 0), "")</f>
        <v/>
      </c>
      <c r="G1143" s="1411" t="str">
        <f>IFERROR(VLOOKUP(C1143, [6]條件!$A:$L, 7, 0), "")</f>
        <v/>
      </c>
      <c r="H1143" s="978" t="str">
        <f>IF(ISNA(VLOOKUP(C1143,[6]條件!$A$1:$K$932,11,0)),"",(VLOOKUP(C1143,[6]條件!$A$1:$K$932,11,0)))</f>
        <v/>
      </c>
      <c r="I1143" s="979" t="str">
        <f>IF(ISNA(VLOOKUP(C1143,[6]條件!$A$1:$L$932,12,0)),"",(VLOOKUP(C1143,[6]條件!$A$1:$L$932,12,0)))</f>
        <v/>
      </c>
      <c r="J1143" s="982"/>
      <c r="K1143" s="980"/>
      <c r="L1143" s="981" t="s">
        <v>632</v>
      </c>
      <c r="M1143" s="983"/>
      <c r="N1143" s="982"/>
      <c r="O1143" s="980"/>
      <c r="P1143" s="981" t="s">
        <v>632</v>
      </c>
      <c r="Q1143" s="983"/>
      <c r="R1143" s="982"/>
      <c r="S1143" s="980"/>
      <c r="T1143" s="981" t="s">
        <v>632</v>
      </c>
      <c r="U1143" s="983"/>
      <c r="V1143" s="982"/>
      <c r="W1143" s="980"/>
      <c r="X1143" s="981" t="s">
        <v>632</v>
      </c>
      <c r="Y1143" s="983"/>
      <c r="Z1143" s="1412" t="str">
        <f>IFERROR(VLOOKUP(C1143, [6]條件!$A:$L, 3, 0), "")</f>
        <v/>
      </c>
      <c r="AA1143" s="984" t="str">
        <f>IF(OR(L1143={"改紡","檢修","了機","清車","FINAL","停機","SAMPLE","TEST","絲開發"}), L1143, IFERROR(IF(C1143="", "", (SUM(J1143, N1143, R1143, V1143)/3 * AG1143) * IF(AND(AF1143="S", AS1143="雙"), 0.5, 1)), ""))</f>
        <v>停機</v>
      </c>
      <c r="AB1143" s="1413" t="str">
        <f t="shared" ref="AB1143:AB1181" si="197">IF(K1143="","",IF(ISERROR(1-(SUM(K1143,O1143,S1143,W1143)/208/Z1143)),"",(1-(SUM(K1143,O1143,S1143,W1143)/208/Z1143))))</f>
        <v/>
      </c>
      <c r="AC1143" s="984" t="str">
        <f>IF(OR(L1143={"改紡","檢修","了機","清車","FINAL","停機","SAMPLE","TEST"}), "", IFERROR(IF(C1143="", "", AVERAGE(L1143:M1143, P1143:Q1143, T1143:U1143, X1143:Y1143)/100), ""))</f>
        <v/>
      </c>
      <c r="AD1143" s="984" t="str">
        <f t="shared" si="192"/>
        <v/>
      </c>
      <c r="AE1143" s="984" t="str">
        <f>IF(OR(L1143="改紡", L1143="檢修", L1143="了機"), "",
   IF(AND(C1143&lt;&gt;"", J1143&lt;&gt;""),
      IFERROR((SUM(J1143, N1143, R1143, V1143) - SUM(K1143, O1143, S1143, W1143))/24 * AG1143, ""),
   "")
)</f>
        <v/>
      </c>
      <c r="AF1143" s="985" t="str">
        <f t="shared" si="187"/>
        <v>M</v>
      </c>
      <c r="AG1143" s="1414">
        <v>1</v>
      </c>
      <c r="AH1143" s="1002" t="s">
        <v>640</v>
      </c>
      <c r="AI1143" s="1002" t="s">
        <v>640</v>
      </c>
      <c r="AJ1143" s="986" t="s">
        <v>640</v>
      </c>
      <c r="AK1143" s="986" t="s">
        <v>640</v>
      </c>
      <c r="AL1143" s="1415"/>
      <c r="AM1143" s="1323"/>
      <c r="AN1143" s="1323"/>
      <c r="AO1143" s="1323"/>
      <c r="AP1143" s="1323"/>
      <c r="AQ1143" s="1323"/>
      <c r="AR1143" s="987"/>
      <c r="AS1143" s="978" t="str">
        <f t="shared" si="188"/>
        <v>單</v>
      </c>
      <c r="AT1143" s="978" t="str">
        <f t="shared" si="189"/>
        <v>全</v>
      </c>
      <c r="AU1143" s="978" t="str">
        <f t="shared" si="190"/>
        <v/>
      </c>
      <c r="AV1143" s="978" t="str">
        <f t="shared" si="191"/>
        <v/>
      </c>
    </row>
    <row r="1144" spans="1:48">
      <c r="A1144" s="975">
        <f t="shared" si="196"/>
        <v>46171</v>
      </c>
      <c r="B1144" s="976" t="s">
        <v>243</v>
      </c>
      <c r="C1144" s="988" t="s">
        <v>16185</v>
      </c>
      <c r="D1144" s="1410"/>
      <c r="E1144" s="977" t="str">
        <f>IFERROR(VLOOKUP(C1144, [6]條件!$A:$L, 5, 0), "")</f>
        <v/>
      </c>
      <c r="F1144" s="978" t="str">
        <f>IFERROR(VLOOKUP(C1144, [6]條件!$A:$L, 6, 0), "")</f>
        <v/>
      </c>
      <c r="G1144" s="1411" t="str">
        <f>IFERROR(VLOOKUP(C1144, [6]條件!$A:$L, 7, 0), "")</f>
        <v/>
      </c>
      <c r="H1144" s="978" t="str">
        <f>IF(ISNA(VLOOKUP(C1144,[6]條件!$A$1:$K$932,11,0)),"",(VLOOKUP(C1144,[6]條件!$A$1:$K$932,11,0)))</f>
        <v/>
      </c>
      <c r="I1144" s="979" t="str">
        <f>IF(ISNA(VLOOKUP(C1144,[6]條件!$A$1:$L$932,12,0)),"",(VLOOKUP(C1144,[6]條件!$A$1:$L$932,12,0)))</f>
        <v/>
      </c>
      <c r="J1144" s="982"/>
      <c r="K1144" s="980"/>
      <c r="L1144" s="981" t="s">
        <v>632</v>
      </c>
      <c r="M1144" s="983"/>
      <c r="N1144" s="982"/>
      <c r="O1144" s="980"/>
      <c r="P1144" s="981" t="s">
        <v>632</v>
      </c>
      <c r="Q1144" s="983"/>
      <c r="R1144" s="982"/>
      <c r="S1144" s="980"/>
      <c r="T1144" s="981" t="s">
        <v>632</v>
      </c>
      <c r="U1144" s="983"/>
      <c r="V1144" s="982"/>
      <c r="W1144" s="980"/>
      <c r="X1144" s="981" t="s">
        <v>632</v>
      </c>
      <c r="Y1144" s="983"/>
      <c r="Z1144" s="1412" t="str">
        <f>IFERROR(VLOOKUP(C1144, [6]條件!$A:$L, 3, 0), "")</f>
        <v/>
      </c>
      <c r="AA1144" s="984" t="str">
        <f>IF(OR(L1144={"改紡","檢修","了機","清車","FINAL","停機","SAMPLE","TEST","絲開發"}), L1144, IFERROR(IF(C1144="", "", (SUM(J1144, N1144, R1144, V1144)/3 * AG1144) * IF(AND(AF1144="S", AS1144="雙"), 0.5, 1)), ""))</f>
        <v>停機</v>
      </c>
      <c r="AB1144" s="1413" t="str">
        <f t="shared" si="197"/>
        <v/>
      </c>
      <c r="AC1144" s="984" t="str">
        <f>IF(OR(L1144={"改紡","檢修","了機","清車","FINAL","停機","SAMPLE","TEST"}), "", IFERROR(IF(C1144="", "", AVERAGE(L1144:M1144, P1144:Q1144, T1144:U1144, X1144:Y1144)/100), ""))</f>
        <v/>
      </c>
      <c r="AD1144" s="984" t="str">
        <f t="shared" si="192"/>
        <v/>
      </c>
      <c r="AE1144" s="984" t="str">
        <f t="shared" ref="AE1144:AE1181" si="198">IF(OR(L1144="改紡", L1144="檢修", L1144="了機"), "",
IF(AND(C1144&lt;&gt;"", J1144&lt;&gt;""),
IFERROR((SUM(J1144, N1144, R1144, V1144) - SUM(K1144, O1144, S1144, W1144))/24 * AG1144, ""),
"")
)</f>
        <v/>
      </c>
      <c r="AF1144" s="985" t="str">
        <f t="shared" si="187"/>
        <v>M</v>
      </c>
      <c r="AG1144" s="1414">
        <v>1</v>
      </c>
      <c r="AH1144" s="1002" t="s">
        <v>640</v>
      </c>
      <c r="AI1144" s="1002" t="s">
        <v>640</v>
      </c>
      <c r="AJ1144" s="986" t="s">
        <v>640</v>
      </c>
      <c r="AK1144" s="986" t="s">
        <v>640</v>
      </c>
      <c r="AL1144" s="1415"/>
      <c r="AM1144" s="1323"/>
      <c r="AN1144" s="1323"/>
      <c r="AO1144" s="1323"/>
      <c r="AP1144" s="1323"/>
      <c r="AQ1144" s="1323"/>
      <c r="AR1144" s="987"/>
      <c r="AS1144" s="978" t="str">
        <f t="shared" si="188"/>
        <v>單</v>
      </c>
      <c r="AT1144" s="978" t="str">
        <f t="shared" si="189"/>
        <v>全</v>
      </c>
      <c r="AU1144" s="978" t="str">
        <f t="shared" si="190"/>
        <v/>
      </c>
      <c r="AV1144" s="978" t="str">
        <f t="shared" si="191"/>
        <v/>
      </c>
    </row>
    <row r="1145" spans="1:48">
      <c r="A1145" s="975">
        <f t="shared" si="196"/>
        <v>46171</v>
      </c>
      <c r="B1145" s="976" t="s">
        <v>244</v>
      </c>
      <c r="C1145" s="988" t="s">
        <v>16185</v>
      </c>
      <c r="D1145" s="1410"/>
      <c r="E1145" s="977" t="str">
        <f>IFERROR(VLOOKUP(C1145, [6]條件!$A:$L, 5, 0), "")</f>
        <v/>
      </c>
      <c r="F1145" s="978" t="str">
        <f>IFERROR(VLOOKUP(C1145, [6]條件!$A:$L, 6, 0), "")</f>
        <v/>
      </c>
      <c r="G1145" s="1411" t="str">
        <f>IFERROR(VLOOKUP(C1145, [6]條件!$A:$L, 7, 0), "")</f>
        <v/>
      </c>
      <c r="H1145" s="978" t="str">
        <f>IF(ISNA(VLOOKUP(C1145,[6]條件!$A$1:$K$932,11,0)),"",(VLOOKUP(C1145,[6]條件!$A$1:$K$932,11,0)))</f>
        <v/>
      </c>
      <c r="I1145" s="979" t="str">
        <f>IF(ISNA(VLOOKUP(C1145,[6]條件!$A$1:$L$932,12,0)),"",(VLOOKUP(C1145,[6]條件!$A$1:$L$932,12,0)))</f>
        <v/>
      </c>
      <c r="J1145" s="982"/>
      <c r="K1145" s="980"/>
      <c r="L1145" s="981" t="s">
        <v>632</v>
      </c>
      <c r="M1145" s="983"/>
      <c r="N1145" s="982"/>
      <c r="O1145" s="980"/>
      <c r="P1145" s="981" t="s">
        <v>632</v>
      </c>
      <c r="Q1145" s="983"/>
      <c r="R1145" s="982"/>
      <c r="S1145" s="980"/>
      <c r="T1145" s="981" t="s">
        <v>632</v>
      </c>
      <c r="U1145" s="983"/>
      <c r="V1145" s="982"/>
      <c r="W1145" s="980"/>
      <c r="X1145" s="981" t="s">
        <v>632</v>
      </c>
      <c r="Y1145" s="983"/>
      <c r="Z1145" s="1412" t="str">
        <f>IFERROR(VLOOKUP(C1145, [6]條件!$A:$L, 3, 0), "")</f>
        <v/>
      </c>
      <c r="AA1145" s="984" t="str">
        <f>IF(OR(L1145={"改紡","檢修","了機","清車","FINAL","停機","SAMPLE","TEST","絲開發"}), L1145, IFERROR(IF(C1145="", "", (SUM(J1145, N1145, R1145, V1145)/3 * AG1145) * IF(AND(AF1145="S", AS1145="雙"), 0.5, 1)), ""))</f>
        <v>停機</v>
      </c>
      <c r="AB1145" s="1413" t="str">
        <f t="shared" si="197"/>
        <v/>
      </c>
      <c r="AC1145" s="984" t="str">
        <f>IF(OR(L1145={"改紡","檢修","了機","清車","FINAL","停機","SAMPLE","TEST"}), "", IFERROR(IF(C1145="", "", AVERAGE(L1145:M1145, P1145:Q1145, T1145:U1145, X1145:Y1145)/100), ""))</f>
        <v/>
      </c>
      <c r="AD1145" s="984" t="str">
        <f t="shared" si="192"/>
        <v/>
      </c>
      <c r="AE1145" s="984" t="str">
        <f t="shared" si="198"/>
        <v/>
      </c>
      <c r="AF1145" s="985" t="str">
        <f t="shared" si="187"/>
        <v>M</v>
      </c>
      <c r="AG1145" s="1414">
        <v>1</v>
      </c>
      <c r="AH1145" s="1002" t="s">
        <v>640</v>
      </c>
      <c r="AI1145" s="1002" t="s">
        <v>640</v>
      </c>
      <c r="AJ1145" s="986" t="s">
        <v>640</v>
      </c>
      <c r="AK1145" s="986" t="s">
        <v>640</v>
      </c>
      <c r="AL1145" s="1415"/>
      <c r="AM1145" s="1323"/>
      <c r="AN1145" s="1323"/>
      <c r="AO1145" s="1323"/>
      <c r="AP1145" s="1323"/>
      <c r="AQ1145" s="1323"/>
      <c r="AR1145" s="987"/>
      <c r="AS1145" s="978" t="str">
        <f t="shared" si="188"/>
        <v>單</v>
      </c>
      <c r="AT1145" s="978" t="str">
        <f t="shared" si="189"/>
        <v>全</v>
      </c>
      <c r="AU1145" s="978" t="str">
        <f t="shared" si="190"/>
        <v/>
      </c>
      <c r="AV1145" s="978" t="str">
        <f t="shared" si="191"/>
        <v/>
      </c>
    </row>
    <row r="1146" spans="1:48">
      <c r="A1146" s="975">
        <f t="shared" si="196"/>
        <v>46171</v>
      </c>
      <c r="B1146" s="976" t="s">
        <v>245</v>
      </c>
      <c r="C1146" s="988" t="s">
        <v>16185</v>
      </c>
      <c r="D1146" s="1410"/>
      <c r="E1146" s="977" t="str">
        <f>IFERROR(VLOOKUP(C1146, [6]條件!$A:$L, 5, 0), "")</f>
        <v/>
      </c>
      <c r="F1146" s="978" t="str">
        <f>IFERROR(VLOOKUP(C1146, [6]條件!$A:$L, 6, 0), "")</f>
        <v/>
      </c>
      <c r="G1146" s="1411" t="str">
        <f>IFERROR(VLOOKUP(C1146, [6]條件!$A:$L, 7, 0), "")</f>
        <v/>
      </c>
      <c r="H1146" s="978" t="str">
        <f>IF(ISNA(VLOOKUP(C1146,[6]條件!$A$1:$K$932,11,0)),"",(VLOOKUP(C1146,[6]條件!$A$1:$K$932,11,0)))</f>
        <v/>
      </c>
      <c r="I1146" s="979" t="str">
        <f>IF(ISNA(VLOOKUP(C1146,[6]條件!$A$1:$L$932,12,0)),"",(VLOOKUP(C1146,[6]條件!$A$1:$L$932,12,0)))</f>
        <v/>
      </c>
      <c r="J1146" s="982"/>
      <c r="K1146" s="980"/>
      <c r="L1146" s="981" t="s">
        <v>632</v>
      </c>
      <c r="M1146" s="983"/>
      <c r="N1146" s="982"/>
      <c r="O1146" s="980"/>
      <c r="P1146" s="981" t="s">
        <v>632</v>
      </c>
      <c r="Q1146" s="983"/>
      <c r="R1146" s="982"/>
      <c r="S1146" s="980"/>
      <c r="T1146" s="981" t="s">
        <v>632</v>
      </c>
      <c r="U1146" s="983"/>
      <c r="V1146" s="982"/>
      <c r="W1146" s="980"/>
      <c r="X1146" s="981" t="s">
        <v>632</v>
      </c>
      <c r="Y1146" s="983"/>
      <c r="Z1146" s="1412" t="str">
        <f>IFERROR(VLOOKUP(C1146, [6]條件!$A:$L, 3, 0), "")</f>
        <v/>
      </c>
      <c r="AA1146" s="984" t="str">
        <f>IF(OR(L1146={"改紡","檢修","了機","清車","FINAL","停機","SAMPLE","TEST","絲開發"}), L1146, IFERROR(IF(C1146="", "", (SUM(J1146, N1146, R1146, V1146)/3 * AG1146) * IF(AND(AF1146="S", AS1146="雙"), 0.5, 1)), ""))</f>
        <v>停機</v>
      </c>
      <c r="AB1146" s="1413" t="str">
        <f t="shared" si="197"/>
        <v/>
      </c>
      <c r="AC1146" s="984" t="str">
        <f>IF(OR(L1146={"改紡","檢修","了機","清車","FINAL","停機","SAMPLE","TEST"}), "", IFERROR(IF(C1146="", "", AVERAGE(L1146:M1146, P1146:Q1146, T1146:U1146, X1146:Y1146)/100), ""))</f>
        <v/>
      </c>
      <c r="AD1146" s="984" t="str">
        <f t="shared" si="192"/>
        <v/>
      </c>
      <c r="AE1146" s="984" t="str">
        <f t="shared" si="198"/>
        <v/>
      </c>
      <c r="AF1146" s="985" t="str">
        <f t="shared" si="187"/>
        <v>M</v>
      </c>
      <c r="AG1146" s="1414">
        <v>1</v>
      </c>
      <c r="AH1146" s="1002" t="s">
        <v>640</v>
      </c>
      <c r="AI1146" s="1002" t="s">
        <v>640</v>
      </c>
      <c r="AJ1146" s="986" t="s">
        <v>640</v>
      </c>
      <c r="AK1146" s="986" t="s">
        <v>640</v>
      </c>
      <c r="AL1146" s="1415"/>
      <c r="AM1146" s="1323"/>
      <c r="AN1146" s="1323"/>
      <c r="AO1146" s="1323"/>
      <c r="AP1146" s="1323"/>
      <c r="AQ1146" s="1323"/>
      <c r="AR1146" s="987"/>
      <c r="AS1146" s="978" t="str">
        <f t="shared" si="188"/>
        <v>單</v>
      </c>
      <c r="AT1146" s="978" t="str">
        <f t="shared" si="189"/>
        <v>全</v>
      </c>
      <c r="AU1146" s="978" t="str">
        <f t="shared" si="190"/>
        <v/>
      </c>
      <c r="AV1146" s="978" t="str">
        <f t="shared" si="191"/>
        <v/>
      </c>
    </row>
    <row r="1147" spans="1:48">
      <c r="A1147" s="975">
        <f t="shared" si="196"/>
        <v>46171</v>
      </c>
      <c r="B1147" s="976" t="s">
        <v>246</v>
      </c>
      <c r="C1147" s="988" t="s">
        <v>16185</v>
      </c>
      <c r="D1147" s="1410"/>
      <c r="E1147" s="977" t="str">
        <f>IFERROR(VLOOKUP(C1147, [6]條件!$A:$L, 5, 0), "")</f>
        <v/>
      </c>
      <c r="F1147" s="978" t="str">
        <f>IFERROR(VLOOKUP(C1147, [6]條件!$A:$L, 6, 0), "")</f>
        <v/>
      </c>
      <c r="G1147" s="1411" t="str">
        <f>IFERROR(VLOOKUP(C1147, [6]條件!$A:$L, 7, 0), "")</f>
        <v/>
      </c>
      <c r="H1147" s="978" t="str">
        <f>IF(ISNA(VLOOKUP(C1147,[6]條件!$A$1:$K$932,11,0)),"",(VLOOKUP(C1147,[6]條件!$A$1:$K$932,11,0)))</f>
        <v/>
      </c>
      <c r="I1147" s="979" t="str">
        <f>IF(ISNA(VLOOKUP(C1147,[6]條件!$A$1:$L$932,12,0)),"",(VLOOKUP(C1147,[6]條件!$A$1:$L$932,12,0)))</f>
        <v/>
      </c>
      <c r="J1147" s="982"/>
      <c r="K1147" s="980"/>
      <c r="L1147" s="981" t="s">
        <v>632</v>
      </c>
      <c r="M1147" s="983"/>
      <c r="N1147" s="982"/>
      <c r="O1147" s="980"/>
      <c r="P1147" s="981" t="s">
        <v>632</v>
      </c>
      <c r="Q1147" s="983"/>
      <c r="R1147" s="982"/>
      <c r="S1147" s="980"/>
      <c r="T1147" s="981" t="s">
        <v>632</v>
      </c>
      <c r="U1147" s="983"/>
      <c r="V1147" s="982"/>
      <c r="W1147" s="980"/>
      <c r="X1147" s="981" t="s">
        <v>632</v>
      </c>
      <c r="Y1147" s="983"/>
      <c r="Z1147" s="1412" t="str">
        <f>IFERROR(VLOOKUP(C1147, [6]條件!$A:$L, 3, 0), "")</f>
        <v/>
      </c>
      <c r="AA1147" s="984" t="str">
        <f>IF(OR(L1147={"改紡","檢修","了機","清車","FINAL","停機","SAMPLE","TEST","絲開發"}), L1147, IFERROR(IF(C1147="", "", (SUM(J1147, N1147, R1147, V1147)/3 * AG1147) * IF(AND(AF1147="S", AS1147="雙"), 0.5, 1)), ""))</f>
        <v>停機</v>
      </c>
      <c r="AB1147" s="1413" t="str">
        <f t="shared" si="197"/>
        <v/>
      </c>
      <c r="AC1147" s="984" t="str">
        <f>IF(OR(L1147={"改紡","檢修","了機","清車","FINAL","停機","SAMPLE","TEST"}), "", IFERROR(IF(C1147="", "", AVERAGE(L1147:M1147, P1147:Q1147, T1147:U1147, X1147:Y1147)/100), ""))</f>
        <v/>
      </c>
      <c r="AD1147" s="984" t="str">
        <f t="shared" si="192"/>
        <v/>
      </c>
      <c r="AE1147" s="984" t="str">
        <f t="shared" si="198"/>
        <v/>
      </c>
      <c r="AF1147" s="985" t="str">
        <f t="shared" si="187"/>
        <v>M</v>
      </c>
      <c r="AG1147" s="1414">
        <v>1</v>
      </c>
      <c r="AH1147" s="1002" t="s">
        <v>640</v>
      </c>
      <c r="AI1147" s="1002" t="s">
        <v>640</v>
      </c>
      <c r="AJ1147" s="986" t="s">
        <v>640</v>
      </c>
      <c r="AK1147" s="986" t="s">
        <v>640</v>
      </c>
      <c r="AL1147" s="1415"/>
      <c r="AM1147" s="1323"/>
      <c r="AN1147" s="1323"/>
      <c r="AO1147" s="1323"/>
      <c r="AP1147" s="1323"/>
      <c r="AQ1147" s="1323"/>
      <c r="AR1147" s="987"/>
      <c r="AS1147" s="978" t="str">
        <f t="shared" si="188"/>
        <v>單</v>
      </c>
      <c r="AT1147" s="978" t="str">
        <f t="shared" si="189"/>
        <v>全</v>
      </c>
      <c r="AU1147" s="978" t="str">
        <f t="shared" si="190"/>
        <v/>
      </c>
      <c r="AV1147" s="978" t="str">
        <f t="shared" si="191"/>
        <v/>
      </c>
    </row>
    <row r="1148" spans="1:48">
      <c r="A1148" s="975">
        <f t="shared" si="196"/>
        <v>46171</v>
      </c>
      <c r="B1148" s="976" t="s">
        <v>247</v>
      </c>
      <c r="C1148" s="988" t="s">
        <v>16185</v>
      </c>
      <c r="D1148" s="1410"/>
      <c r="E1148" s="977" t="str">
        <f>IFERROR(VLOOKUP(C1148, [6]條件!$A:$L, 5, 0), "")</f>
        <v/>
      </c>
      <c r="F1148" s="978" t="str">
        <f>IFERROR(VLOOKUP(C1148, [6]條件!$A:$L, 6, 0), "")</f>
        <v/>
      </c>
      <c r="G1148" s="1411" t="str">
        <f>IFERROR(VLOOKUP(C1148, [6]條件!$A:$L, 7, 0), "")</f>
        <v/>
      </c>
      <c r="H1148" s="978" t="str">
        <f>IF(ISNA(VLOOKUP(C1148,[6]條件!$A$1:$K$932,11,0)),"",(VLOOKUP(C1148,[6]條件!$A$1:$K$932,11,0)))</f>
        <v/>
      </c>
      <c r="I1148" s="979" t="str">
        <f>IF(ISNA(VLOOKUP(C1148,[6]條件!$A$1:$L$932,12,0)),"",(VLOOKUP(C1148,[6]條件!$A$1:$L$932,12,0)))</f>
        <v/>
      </c>
      <c r="J1148" s="982"/>
      <c r="K1148" s="980"/>
      <c r="L1148" s="981" t="s">
        <v>632</v>
      </c>
      <c r="M1148" s="983"/>
      <c r="N1148" s="982"/>
      <c r="O1148" s="980"/>
      <c r="P1148" s="981" t="s">
        <v>632</v>
      </c>
      <c r="Q1148" s="983"/>
      <c r="R1148" s="982"/>
      <c r="S1148" s="980"/>
      <c r="T1148" s="981" t="s">
        <v>632</v>
      </c>
      <c r="U1148" s="983"/>
      <c r="V1148" s="982"/>
      <c r="W1148" s="980"/>
      <c r="X1148" s="981" t="s">
        <v>632</v>
      </c>
      <c r="Y1148" s="983"/>
      <c r="Z1148" s="1412" t="str">
        <f>IFERROR(VLOOKUP(C1148, [6]條件!$A:$L, 3, 0), "")</f>
        <v/>
      </c>
      <c r="AA1148" s="984" t="str">
        <f>IF(OR(L1148={"改紡","檢修","了機","清車","FINAL","停機","SAMPLE","TEST","絲開發"}), L1148, IFERROR(IF(C1148="", "", (SUM(J1148, N1148, R1148, V1148)/3 * AG1148) * IF(AND(AF1148="S", AS1148="雙"), 0.5, 1)), ""))</f>
        <v>停機</v>
      </c>
      <c r="AB1148" s="1413" t="str">
        <f t="shared" si="197"/>
        <v/>
      </c>
      <c r="AC1148" s="984" t="str">
        <f>IF(OR(L1148={"改紡","檢修","了機","清車","FINAL","停機","SAMPLE","TEST"}), "", IFERROR(IF(C1148="", "", AVERAGE(L1148:M1148, P1148:Q1148, T1148:U1148, X1148:Y1148)/100), ""))</f>
        <v/>
      </c>
      <c r="AD1148" s="984" t="str">
        <f t="shared" si="192"/>
        <v/>
      </c>
      <c r="AE1148" s="984" t="str">
        <f t="shared" si="198"/>
        <v/>
      </c>
      <c r="AF1148" s="985" t="str">
        <f t="shared" si="187"/>
        <v>M</v>
      </c>
      <c r="AG1148" s="1414">
        <v>1</v>
      </c>
      <c r="AH1148" s="1002" t="s">
        <v>640</v>
      </c>
      <c r="AI1148" s="1002" t="s">
        <v>640</v>
      </c>
      <c r="AJ1148" s="986" t="s">
        <v>640</v>
      </c>
      <c r="AK1148" s="986" t="s">
        <v>640</v>
      </c>
      <c r="AL1148" s="1415"/>
      <c r="AM1148" s="1323"/>
      <c r="AN1148" s="1323"/>
      <c r="AO1148" s="1323"/>
      <c r="AP1148" s="1323"/>
      <c r="AQ1148" s="1323"/>
      <c r="AR1148" s="987"/>
      <c r="AS1148" s="978" t="str">
        <f t="shared" si="188"/>
        <v>單</v>
      </c>
      <c r="AT1148" s="978" t="str">
        <f t="shared" si="189"/>
        <v>全</v>
      </c>
      <c r="AU1148" s="978" t="str">
        <f t="shared" si="190"/>
        <v/>
      </c>
      <c r="AV1148" s="978" t="str">
        <f t="shared" si="191"/>
        <v/>
      </c>
    </row>
    <row r="1149" spans="1:48">
      <c r="A1149" s="975">
        <f t="shared" si="196"/>
        <v>46171</v>
      </c>
      <c r="B1149" s="976" t="s">
        <v>248</v>
      </c>
      <c r="C1149" s="988" t="s">
        <v>16185</v>
      </c>
      <c r="D1149" s="1410"/>
      <c r="E1149" s="977" t="str">
        <f>IFERROR(VLOOKUP(C1149, [6]條件!$A:$L, 5, 0), "")</f>
        <v/>
      </c>
      <c r="F1149" s="978" t="str">
        <f>IFERROR(VLOOKUP(C1149, [6]條件!$A:$L, 6, 0), "")</f>
        <v/>
      </c>
      <c r="G1149" s="1411" t="str">
        <f>IFERROR(VLOOKUP(C1149, [6]條件!$A:$L, 7, 0), "")</f>
        <v/>
      </c>
      <c r="H1149" s="978" t="str">
        <f>IF(ISNA(VLOOKUP(C1149,[6]條件!$A$1:$K$932,11,0)),"",(VLOOKUP(C1149,[6]條件!$A$1:$K$932,11,0)))</f>
        <v/>
      </c>
      <c r="I1149" s="979" t="str">
        <f>IF(ISNA(VLOOKUP(C1149,[6]條件!$A$1:$L$932,12,0)),"",(VLOOKUP(C1149,[6]條件!$A$1:$L$932,12,0)))</f>
        <v/>
      </c>
      <c r="J1149" s="982"/>
      <c r="K1149" s="980"/>
      <c r="L1149" s="981" t="s">
        <v>632</v>
      </c>
      <c r="M1149" s="983"/>
      <c r="N1149" s="982"/>
      <c r="O1149" s="980"/>
      <c r="P1149" s="981" t="s">
        <v>632</v>
      </c>
      <c r="Q1149" s="983"/>
      <c r="R1149" s="982"/>
      <c r="S1149" s="980"/>
      <c r="T1149" s="981" t="s">
        <v>632</v>
      </c>
      <c r="U1149" s="983"/>
      <c r="V1149" s="982"/>
      <c r="W1149" s="980"/>
      <c r="X1149" s="981" t="s">
        <v>632</v>
      </c>
      <c r="Y1149" s="983"/>
      <c r="Z1149" s="1412" t="str">
        <f>IFERROR(VLOOKUP(C1149, [6]條件!$A:$L, 3, 0), "")</f>
        <v/>
      </c>
      <c r="AA1149" s="984" t="str">
        <f>IF(OR(L1149={"改紡","檢修","了機","清車","FINAL","停機","SAMPLE","TEST","絲開發"}), L1149, IFERROR(IF(C1149="", "", (SUM(J1149, N1149, R1149, V1149)/3 * AG1149) * IF(AND(AF1149="S", AS1149="雙"), 0.5, 1)), ""))</f>
        <v>停機</v>
      </c>
      <c r="AB1149" s="1413" t="str">
        <f t="shared" si="197"/>
        <v/>
      </c>
      <c r="AC1149" s="984" t="str">
        <f>IF(OR(L1149={"改紡","檢修","了機","清車","FINAL","停機","SAMPLE","TEST"}), "", IFERROR(IF(C1149="", "", AVERAGE(L1149:M1149, P1149:Q1149, T1149:U1149, X1149:Y1149)/100), ""))</f>
        <v/>
      </c>
      <c r="AD1149" s="984" t="str">
        <f t="shared" si="192"/>
        <v/>
      </c>
      <c r="AE1149" s="984" t="str">
        <f t="shared" si="198"/>
        <v/>
      </c>
      <c r="AF1149" s="985" t="str">
        <f t="shared" si="187"/>
        <v>M</v>
      </c>
      <c r="AG1149" s="1414">
        <v>1</v>
      </c>
      <c r="AH1149" s="1002" t="s">
        <v>640</v>
      </c>
      <c r="AI1149" s="1002" t="s">
        <v>640</v>
      </c>
      <c r="AJ1149" s="986" t="s">
        <v>640</v>
      </c>
      <c r="AK1149" s="986" t="s">
        <v>640</v>
      </c>
      <c r="AL1149" s="1415"/>
      <c r="AM1149" s="1323"/>
      <c r="AN1149" s="1323"/>
      <c r="AO1149" s="1323"/>
      <c r="AP1149" s="1323"/>
      <c r="AQ1149" s="1323"/>
      <c r="AR1149" s="987"/>
      <c r="AS1149" s="978" t="str">
        <f t="shared" si="188"/>
        <v>單</v>
      </c>
      <c r="AT1149" s="978" t="str">
        <f t="shared" si="189"/>
        <v>全</v>
      </c>
      <c r="AU1149" s="978" t="str">
        <f t="shared" si="190"/>
        <v/>
      </c>
      <c r="AV1149" s="978" t="str">
        <f t="shared" si="191"/>
        <v/>
      </c>
    </row>
    <row r="1150" spans="1:48" ht="17.25" thickBot="1">
      <c r="A1150" s="989">
        <f t="shared" si="196"/>
        <v>46171</v>
      </c>
      <c r="B1150" s="990" t="s">
        <v>249</v>
      </c>
      <c r="C1150" s="991" t="s">
        <v>16185</v>
      </c>
      <c r="D1150" s="1425"/>
      <c r="E1150" s="1169" t="str">
        <f>IFERROR(VLOOKUP(C1150, [6]條件!$A:$L, 5, 0), "")</f>
        <v/>
      </c>
      <c r="F1150" s="992" t="str">
        <f>IFERROR(VLOOKUP(C1150, [6]條件!$A:$L, 6, 0), "")</f>
        <v/>
      </c>
      <c r="G1150" s="1426" t="str">
        <f>IFERROR(VLOOKUP(C1150, [6]條件!$A:$L, 7, 0), "")</f>
        <v/>
      </c>
      <c r="H1150" s="992" t="str">
        <f>IF(ISNA(VLOOKUP(C1150,[6]條件!$A$1:$K$932,11,0)),"",(VLOOKUP(C1150,[6]條件!$A$1:$K$932,11,0)))</f>
        <v/>
      </c>
      <c r="I1150" s="1170" t="str">
        <f>IF(ISNA(VLOOKUP(C1150,[6]條件!$A$1:$L$932,12,0)),"",(VLOOKUP(C1150,[6]條件!$A$1:$L$932,12,0)))</f>
        <v/>
      </c>
      <c r="J1150" s="995"/>
      <c r="K1150" s="993"/>
      <c r="L1150" s="994" t="s">
        <v>632</v>
      </c>
      <c r="M1150" s="996"/>
      <c r="N1150" s="995"/>
      <c r="O1150" s="993"/>
      <c r="P1150" s="994" t="s">
        <v>632</v>
      </c>
      <c r="Q1150" s="996"/>
      <c r="R1150" s="995"/>
      <c r="S1150" s="993"/>
      <c r="T1150" s="994" t="s">
        <v>632</v>
      </c>
      <c r="U1150" s="996"/>
      <c r="V1150" s="995"/>
      <c r="W1150" s="993"/>
      <c r="X1150" s="994" t="s">
        <v>632</v>
      </c>
      <c r="Y1150" s="996"/>
      <c r="Z1150" s="1427" t="str">
        <f>IFERROR(VLOOKUP(C1150, [6]條件!$A:$L, 3, 0), "")</f>
        <v/>
      </c>
      <c r="AA1150" s="997" t="str">
        <f>IF(OR(L1150={"改紡","檢修","了機","清車","FINAL","停機","SAMPLE","TEST","絲開發"}), L1150, IFERROR(IF(C1150="", "", (SUM(J1150, N1150, R1150, V1150)/3 * AG1150) * IF(AND(AF1150="S", AS1150="雙"), 0.5, 1)), ""))</f>
        <v>停機</v>
      </c>
      <c r="AB1150" s="1428" t="str">
        <f t="shared" si="197"/>
        <v/>
      </c>
      <c r="AC1150" s="997" t="str">
        <f>IF(OR(L1150={"改紡","檢修","了機","清車","FINAL","停機","SAMPLE","TEST"}), "", IFERROR(IF(C1150="", "", AVERAGE(L1150:M1150, P1150:Q1150, T1150:U1150, X1150:Y1150)/100), ""))</f>
        <v/>
      </c>
      <c r="AD1150" s="997" t="str">
        <f t="shared" si="192"/>
        <v/>
      </c>
      <c r="AE1150" s="997" t="str">
        <f t="shared" si="198"/>
        <v/>
      </c>
      <c r="AF1150" s="998" t="str">
        <f t="shared" si="187"/>
        <v>M</v>
      </c>
      <c r="AG1150" s="1429">
        <v>1</v>
      </c>
      <c r="AH1150" s="1171" t="s">
        <v>640</v>
      </c>
      <c r="AI1150" s="1171" t="s">
        <v>640</v>
      </c>
      <c r="AJ1150" s="999" t="s">
        <v>640</v>
      </c>
      <c r="AK1150" s="999" t="s">
        <v>640</v>
      </c>
      <c r="AL1150" s="1431"/>
      <c r="AM1150" s="1325"/>
      <c r="AN1150" s="1325"/>
      <c r="AO1150" s="1325"/>
      <c r="AP1150" s="1325"/>
      <c r="AQ1150" s="1325"/>
      <c r="AR1150" s="1000"/>
      <c r="AS1150" s="992" t="str">
        <f t="shared" si="188"/>
        <v>單</v>
      </c>
      <c r="AT1150" s="992" t="str">
        <f t="shared" si="189"/>
        <v>全</v>
      </c>
      <c r="AU1150" s="992" t="str">
        <f t="shared" si="190"/>
        <v/>
      </c>
      <c r="AV1150" s="992" t="str">
        <f t="shared" si="191"/>
        <v/>
      </c>
    </row>
    <row r="1151" spans="1:48">
      <c r="A1151" s="962">
        <v>46172</v>
      </c>
      <c r="B1151" s="963" t="s">
        <v>212</v>
      </c>
      <c r="C1151" s="963" t="s">
        <v>632</v>
      </c>
      <c r="D1151" s="1403"/>
      <c r="E1151" s="964" t="str">
        <f>IFERROR(VLOOKUP(C1151, [6]條件!$A:$L, 5, 0), "")</f>
        <v/>
      </c>
      <c r="F1151" s="965" t="str">
        <f>IFERROR(VLOOKUP(C1151, [6]條件!$A:$L, 6, 0), "")</f>
        <v/>
      </c>
      <c r="G1151" s="1404" t="str">
        <f>IFERROR(VLOOKUP(C1151, [6]條件!$A:$L, 7, 0), "")</f>
        <v/>
      </c>
      <c r="H1151" s="965" t="str">
        <f>IF(ISNA(VLOOKUP(C1151,[6]條件!$A$1:$K$932,11,0)),"",(VLOOKUP(C1151,[6]條件!$A$1:$K$932,11,0)))</f>
        <v/>
      </c>
      <c r="I1151" s="966" t="str">
        <f>IF(ISNA(VLOOKUP(C1151,[6]條件!$A$1:$L$932,12,0)),"",(VLOOKUP(C1151,[6]條件!$A$1:$L$932,12,0)))</f>
        <v/>
      </c>
      <c r="J1151" s="969"/>
      <c r="K1151" s="967"/>
      <c r="L1151" s="981" t="s">
        <v>632</v>
      </c>
      <c r="M1151" s="970"/>
      <c r="N1151" s="969"/>
      <c r="O1151" s="967"/>
      <c r="P1151" s="981" t="s">
        <v>632</v>
      </c>
      <c r="Q1151" s="970"/>
      <c r="R1151" s="969"/>
      <c r="S1151" s="967"/>
      <c r="T1151" s="981" t="s">
        <v>632</v>
      </c>
      <c r="U1151" s="970"/>
      <c r="V1151" s="969"/>
      <c r="W1151" s="967"/>
      <c r="X1151" s="981" t="s">
        <v>632</v>
      </c>
      <c r="Y1151" s="970"/>
      <c r="Z1151" s="1405" t="str">
        <f>IFERROR(VLOOKUP(C1151, [6]條件!$A:$L, 3, 0), "")</f>
        <v/>
      </c>
      <c r="AA1151" s="971" t="str">
        <f>IF(OR(L1151={"改紡","檢修","了機","清車","FINAL","停機","SAMPLE","TEST","絲開發"}), L1151, IFERROR(IF(C1151="", "", (SUM(J1151, N1151, R1151, V1151)/3 * AG1151) * IF(AND(AF1151="S", AS1151="雙"), 0.5, 1)), ""))</f>
        <v>停機</v>
      </c>
      <c r="AB1151" s="1406" t="str">
        <f t="shared" si="197"/>
        <v/>
      </c>
      <c r="AC1151" s="971" t="str">
        <f>IF(OR(L1151={"改紡","檢修","了機","清車","FINAL","停機","SAMPLE","TEST"}), "", IFERROR(IF(C1151="", "", AVERAGE(L1151:M1151, P1151:Q1151, T1151:U1151, X1151:Y1151)/100), ""))</f>
        <v/>
      </c>
      <c r="AD1151" s="971" t="str">
        <f t="shared" si="192"/>
        <v/>
      </c>
      <c r="AE1151" s="971" t="str">
        <f t="shared" si="198"/>
        <v/>
      </c>
      <c r="AF1151" s="972" t="str">
        <f t="shared" si="187"/>
        <v>A</v>
      </c>
      <c r="AG1151" s="1407">
        <v>1</v>
      </c>
      <c r="AH1151" s="1001" t="s">
        <v>640</v>
      </c>
      <c r="AI1151" s="1001" t="s">
        <v>640</v>
      </c>
      <c r="AJ1151" s="1001" t="s">
        <v>640</v>
      </c>
      <c r="AK1151" s="1001" t="s">
        <v>640</v>
      </c>
      <c r="AL1151" s="1409"/>
      <c r="AM1151" s="1322"/>
      <c r="AN1151" s="1322"/>
      <c r="AO1151" s="1322"/>
      <c r="AP1151" s="1322"/>
      <c r="AQ1151" s="1322"/>
      <c r="AR1151" s="973"/>
      <c r="AS1151" s="965" t="str">
        <f t="shared" si="188"/>
        <v>單</v>
      </c>
      <c r="AT1151" s="965" t="str">
        <f t="shared" si="189"/>
        <v>全</v>
      </c>
      <c r="AU1151" s="965" t="str">
        <f t="shared" si="190"/>
        <v/>
      </c>
      <c r="AV1151" s="965" t="str">
        <f t="shared" si="191"/>
        <v/>
      </c>
    </row>
    <row r="1152" spans="1:48">
      <c r="A1152" s="975">
        <f t="shared" si="196"/>
        <v>46172</v>
      </c>
      <c r="B1152" s="976" t="s">
        <v>214</v>
      </c>
      <c r="C1152" s="976" t="s">
        <v>632</v>
      </c>
      <c r="D1152" s="1410"/>
      <c r="E1152" s="977" t="str">
        <f>IFERROR(VLOOKUP(C1152, [6]條件!$A:$L, 5, 0), "")</f>
        <v/>
      </c>
      <c r="F1152" s="978" t="str">
        <f>IFERROR(VLOOKUP(C1152, [6]條件!$A:$L, 6, 0), "")</f>
        <v/>
      </c>
      <c r="G1152" s="1411" t="str">
        <f>IFERROR(VLOOKUP(C1152, [6]條件!$A:$L, 7, 0), "")</f>
        <v/>
      </c>
      <c r="H1152" s="978" t="str">
        <f>IF(ISNA(VLOOKUP(C1152,[6]條件!$A$1:$K$932,11,0)),"",(VLOOKUP(C1152,[6]條件!$A$1:$K$932,11,0)))</f>
        <v/>
      </c>
      <c r="I1152" s="979" t="str">
        <f>IF(ISNA(VLOOKUP(C1152,[6]條件!$A$1:$L$932,12,0)),"",(VLOOKUP(C1152,[6]條件!$A$1:$L$932,12,0)))</f>
        <v/>
      </c>
      <c r="J1152" s="982"/>
      <c r="K1152" s="980"/>
      <c r="L1152" s="981" t="s">
        <v>632</v>
      </c>
      <c r="M1152" s="983"/>
      <c r="N1152" s="982"/>
      <c r="O1152" s="980"/>
      <c r="P1152" s="981" t="s">
        <v>632</v>
      </c>
      <c r="Q1152" s="983"/>
      <c r="R1152" s="982"/>
      <c r="S1152" s="980"/>
      <c r="T1152" s="981" t="s">
        <v>632</v>
      </c>
      <c r="U1152" s="983"/>
      <c r="V1152" s="982"/>
      <c r="W1152" s="980"/>
      <c r="X1152" s="981" t="s">
        <v>632</v>
      </c>
      <c r="Y1152" s="983"/>
      <c r="Z1152" s="1412" t="str">
        <f>IFERROR(VLOOKUP(C1152, [6]條件!$A:$L, 3, 0), "")</f>
        <v/>
      </c>
      <c r="AA1152" s="984" t="str">
        <f>IF(OR(L1152={"改紡","檢修","了機","清車","FINAL","停機","SAMPLE","TEST","絲開發"}), L1152, IFERROR(IF(C1152="", "", (SUM(J1152, N1152, R1152, V1152)/3 * AG1152) * IF(AND(AF1152="S", AS1152="雙"), 0.5, 1)), ""))</f>
        <v>停機</v>
      </c>
      <c r="AB1152" s="1413" t="str">
        <f t="shared" si="197"/>
        <v/>
      </c>
      <c r="AC1152" s="984" t="str">
        <f>IF(OR(L1152={"改紡","檢修","了機","清車","FINAL","停機","SAMPLE","TEST"}), "", IFERROR(IF(C1152="", "", AVERAGE(L1152:M1152, P1152:Q1152, T1152:U1152, X1152:Y1152)/100), ""))</f>
        <v/>
      </c>
      <c r="AD1152" s="984" t="str">
        <f t="shared" si="192"/>
        <v/>
      </c>
      <c r="AE1152" s="984" t="str">
        <f t="shared" si="198"/>
        <v/>
      </c>
      <c r="AF1152" s="985" t="str">
        <f t="shared" si="187"/>
        <v>A</v>
      </c>
      <c r="AG1152" s="1414">
        <v>1</v>
      </c>
      <c r="AH1152" s="1002" t="s">
        <v>16011</v>
      </c>
      <c r="AI1152" s="1002" t="s">
        <v>640</v>
      </c>
      <c r="AJ1152" s="1002" t="s">
        <v>640</v>
      </c>
      <c r="AK1152" s="1002" t="s">
        <v>640</v>
      </c>
      <c r="AL1152" s="1415"/>
      <c r="AM1152" s="1323"/>
      <c r="AN1152" s="1323"/>
      <c r="AO1152" s="1323"/>
      <c r="AP1152" s="1323"/>
      <c r="AQ1152" s="1323"/>
      <c r="AR1152" s="987"/>
      <c r="AS1152" s="978" t="str">
        <f t="shared" si="188"/>
        <v>單</v>
      </c>
      <c r="AT1152" s="978" t="str">
        <f t="shared" si="189"/>
        <v>全</v>
      </c>
      <c r="AU1152" s="978" t="str">
        <f t="shared" si="190"/>
        <v/>
      </c>
      <c r="AV1152" s="978" t="str">
        <f t="shared" si="191"/>
        <v/>
      </c>
    </row>
    <row r="1153" spans="1:48">
      <c r="A1153" s="975">
        <f t="shared" si="196"/>
        <v>46172</v>
      </c>
      <c r="B1153" s="976" t="s">
        <v>215</v>
      </c>
      <c r="C1153" s="976" t="s">
        <v>632</v>
      </c>
      <c r="D1153" s="1410"/>
      <c r="E1153" s="977" t="str">
        <f>IFERROR(VLOOKUP(C1153, [6]條件!$A:$L, 5, 0), "")</f>
        <v/>
      </c>
      <c r="F1153" s="978" t="str">
        <f>IFERROR(VLOOKUP(C1153, [6]條件!$A:$L, 6, 0), "")</f>
        <v/>
      </c>
      <c r="G1153" s="1411" t="str">
        <f>IFERROR(VLOOKUP(C1153, [6]條件!$A:$L, 7, 0), "")</f>
        <v/>
      </c>
      <c r="H1153" s="978" t="str">
        <f>IF(ISNA(VLOOKUP(C1153,[6]條件!$A$1:$K$932,11,0)),"",(VLOOKUP(C1153,[6]條件!$A$1:$K$932,11,0)))</f>
        <v/>
      </c>
      <c r="I1153" s="979" t="str">
        <f>IF(ISNA(VLOOKUP(C1153,[6]條件!$A$1:$L$932,12,0)),"",(VLOOKUP(C1153,[6]條件!$A$1:$L$932,12,0)))</f>
        <v/>
      </c>
      <c r="J1153" s="982"/>
      <c r="K1153" s="980"/>
      <c r="L1153" s="981" t="s">
        <v>632</v>
      </c>
      <c r="M1153" s="983"/>
      <c r="N1153" s="982"/>
      <c r="O1153" s="980"/>
      <c r="P1153" s="981" t="s">
        <v>632</v>
      </c>
      <c r="Q1153" s="983"/>
      <c r="R1153" s="982"/>
      <c r="S1153" s="980"/>
      <c r="T1153" s="981" t="s">
        <v>632</v>
      </c>
      <c r="U1153" s="983"/>
      <c r="V1153" s="982"/>
      <c r="W1153" s="980"/>
      <c r="X1153" s="981" t="s">
        <v>632</v>
      </c>
      <c r="Y1153" s="983"/>
      <c r="Z1153" s="1412" t="str">
        <f>IFERROR(VLOOKUP(C1153, [6]條件!$A:$L, 3, 0), "")</f>
        <v/>
      </c>
      <c r="AA1153" s="984" t="str">
        <f>IF(OR(L1153={"改紡","檢修","了機","清車","FINAL","停機","SAMPLE","TEST","絲開發"}), L1153, IFERROR(IF(C1153="", "", (SUM(J1153, N1153, R1153, V1153)/3 * AG1153) * IF(AND(AF1153="S", AS1153="雙"), 0.5, 1)), ""))</f>
        <v>停機</v>
      </c>
      <c r="AB1153" s="1413" t="str">
        <f t="shared" si="197"/>
        <v/>
      </c>
      <c r="AC1153" s="984" t="str">
        <f>IF(OR(L1153={"改紡","檢修","了機","清車","FINAL","停機","SAMPLE","TEST"}), "", IFERROR(IF(C1153="", "", AVERAGE(L1153:M1153, P1153:Q1153, T1153:U1153, X1153:Y1153)/100), ""))</f>
        <v/>
      </c>
      <c r="AD1153" s="984" t="str">
        <f t="shared" si="192"/>
        <v/>
      </c>
      <c r="AE1153" s="984" t="str">
        <f t="shared" si="198"/>
        <v/>
      </c>
      <c r="AF1153" s="985" t="str">
        <f t="shared" si="187"/>
        <v>A</v>
      </c>
      <c r="AG1153" s="1414">
        <v>1</v>
      </c>
      <c r="AH1153" s="1002" t="s">
        <v>16011</v>
      </c>
      <c r="AI1153" s="1002" t="s">
        <v>640</v>
      </c>
      <c r="AJ1153" s="1002" t="s">
        <v>16011</v>
      </c>
      <c r="AK1153" s="1002" t="s">
        <v>640</v>
      </c>
      <c r="AL1153" s="1415"/>
      <c r="AM1153" s="1323"/>
      <c r="AN1153" s="1323"/>
      <c r="AO1153" s="1323"/>
      <c r="AP1153" s="1323"/>
      <c r="AQ1153" s="1323"/>
      <c r="AR1153" s="987"/>
      <c r="AS1153" s="978" t="str">
        <f t="shared" si="188"/>
        <v>單</v>
      </c>
      <c r="AT1153" s="978" t="str">
        <f t="shared" si="189"/>
        <v>全</v>
      </c>
      <c r="AU1153" s="978" t="str">
        <f t="shared" si="190"/>
        <v/>
      </c>
      <c r="AV1153" s="978" t="str">
        <f t="shared" si="191"/>
        <v/>
      </c>
    </row>
    <row r="1154" spans="1:48">
      <c r="A1154" s="975">
        <f t="shared" si="196"/>
        <v>46172</v>
      </c>
      <c r="B1154" s="976" t="s">
        <v>216</v>
      </c>
      <c r="C1154" s="976" t="s">
        <v>632</v>
      </c>
      <c r="D1154" s="1410"/>
      <c r="E1154" s="977" t="str">
        <f>IFERROR(VLOOKUP(C1154, [6]條件!$A:$L, 5, 0), "")</f>
        <v/>
      </c>
      <c r="F1154" s="978" t="str">
        <f>IFERROR(VLOOKUP(C1154, [6]條件!$A:$L, 6, 0), "")</f>
        <v/>
      </c>
      <c r="G1154" s="1411" t="str">
        <f>IFERROR(VLOOKUP(C1154, [6]條件!$A:$L, 7, 0), "")</f>
        <v/>
      </c>
      <c r="H1154" s="978" t="str">
        <f>IF(ISNA(VLOOKUP(C1154,[6]條件!$A$1:$K$932,11,0)),"",(VLOOKUP(C1154,[6]條件!$A$1:$K$932,11,0)))</f>
        <v/>
      </c>
      <c r="I1154" s="979" t="str">
        <f>IF(ISNA(VLOOKUP(C1154,[6]條件!$A$1:$L$932,12,0)),"",(VLOOKUP(C1154,[6]條件!$A$1:$L$932,12,0)))</f>
        <v/>
      </c>
      <c r="J1154" s="982"/>
      <c r="K1154" s="980"/>
      <c r="L1154" s="981" t="s">
        <v>632</v>
      </c>
      <c r="M1154" s="983"/>
      <c r="N1154" s="982"/>
      <c r="O1154" s="980"/>
      <c r="P1154" s="981" t="s">
        <v>632</v>
      </c>
      <c r="Q1154" s="983"/>
      <c r="R1154" s="982"/>
      <c r="S1154" s="980"/>
      <c r="T1154" s="981" t="s">
        <v>632</v>
      </c>
      <c r="U1154" s="983"/>
      <c r="V1154" s="982"/>
      <c r="W1154" s="980"/>
      <c r="X1154" s="981" t="s">
        <v>632</v>
      </c>
      <c r="Y1154" s="983"/>
      <c r="Z1154" s="1412" t="str">
        <f>IFERROR(VLOOKUP(C1154, [6]條件!$A:$L, 3, 0), "")</f>
        <v/>
      </c>
      <c r="AA1154" s="984" t="str">
        <f>IF(OR(L1154={"改紡","檢修","了機","清車","FINAL","停機","SAMPLE","TEST","絲開發"}), L1154, IFERROR(IF(C1154="", "", (SUM(J1154, N1154, R1154, V1154)/3 * AG1154) * IF(AND(AF1154="S", AS1154="雙"), 0.5, 1)), ""))</f>
        <v>停機</v>
      </c>
      <c r="AB1154" s="1413" t="str">
        <f t="shared" si="197"/>
        <v/>
      </c>
      <c r="AC1154" s="984" t="str">
        <f>IF(OR(L1154={"改紡","檢修","了機","清車","FINAL","停機","SAMPLE","TEST"}), "", IFERROR(IF(C1154="", "", AVERAGE(L1154:M1154, P1154:Q1154, T1154:U1154, X1154:Y1154)/100), ""))</f>
        <v/>
      </c>
      <c r="AD1154" s="984" t="str">
        <f t="shared" si="192"/>
        <v/>
      </c>
      <c r="AE1154" s="984" t="str">
        <f t="shared" si="198"/>
        <v/>
      </c>
      <c r="AF1154" s="985" t="str">
        <f t="shared" ref="AF1154:AF1217" si="199">LEFT(B1154, 1)</f>
        <v>A</v>
      </c>
      <c r="AG1154" s="1414">
        <v>1</v>
      </c>
      <c r="AH1154" s="1002" t="s">
        <v>16011</v>
      </c>
      <c r="AI1154" s="1002" t="s">
        <v>640</v>
      </c>
      <c r="AJ1154" s="1002" t="s">
        <v>16011</v>
      </c>
      <c r="AK1154" s="1002" t="s">
        <v>640</v>
      </c>
      <c r="AL1154" s="1415"/>
      <c r="AM1154" s="1323"/>
      <c r="AN1154" s="1323"/>
      <c r="AO1154" s="1323"/>
      <c r="AP1154" s="1323"/>
      <c r="AQ1154" s="1323"/>
      <c r="AR1154" s="987"/>
      <c r="AS1154" s="978" t="str">
        <f t="shared" ref="AS1154:AS1217" si="200">IF(RIGHT(F1154, 2) = "×2", "雙", "單")</f>
        <v>單</v>
      </c>
      <c r="AT1154" s="978" t="str">
        <f t="shared" ref="AT1154:AT1217" si="201">IF(OR(AF1154="J", AF1154="T", AF1154="M"), IF(AG1154=1, "全", "半"), IF(AF1154="A", IF(AG1154=0.5, IF(AS1154="雙", "全", ""), IF(AG1154=1, IF(AS1154="雙", "半", "全"), IF(AG1154=2, "半", ""))), IF(AF1154="S", AG1154 &amp; "sec", "")))</f>
        <v>全</v>
      </c>
      <c r="AU1154" s="978" t="str">
        <f t="shared" ref="AU1154:AU1217" si="202">IFERROR(VALUE(LEFT(E1154, FIND("/", E1154)-1)), "")</f>
        <v/>
      </c>
      <c r="AV1154" s="978" t="str">
        <f t="shared" ref="AV1154:AV1217" si="203">IFERROR(IF(AF1154="S", (AU1154*G1154*AC1154*0.03456/100/1000) * (AG1154*12/144) * IF(AS1154="單", 1, 0.5), IF(AF1154="A", (AU1154*G1154*AC1154*0.03456/100/1000) * IF(AT1154="全", 1, 0.5), IF(OR(AF1154="T", AF1154="J", AF1154="M"), (AU1154*G1154*AC1154*0.03456/100/1000) * IF(AS1154="單", 1, 2) * IF(AT1154="全", 1, 0.5), 0))), "")</f>
        <v/>
      </c>
    </row>
    <row r="1155" spans="1:48">
      <c r="A1155" s="975">
        <f t="shared" si="196"/>
        <v>46172</v>
      </c>
      <c r="B1155" s="976" t="s">
        <v>217</v>
      </c>
      <c r="C1155" s="976" t="s">
        <v>16790</v>
      </c>
      <c r="D1155" s="1410"/>
      <c r="E1155" s="977" t="str">
        <f>IFERROR(VLOOKUP(C1155, [6]條件!$A:$L, 5, 0), "")</f>
        <v>75/72SRR5</v>
      </c>
      <c r="F1155" s="978" t="str">
        <f>IFERROR(VLOOKUP(C1155, [6]條件!$A:$L, 6, 0), "")</f>
        <v>FP81631R</v>
      </c>
      <c r="G1155" s="1411">
        <f>IFERROR(VLOOKUP(C1155, [6]條件!$A:$L, 7, 0), "")</f>
        <v>600</v>
      </c>
      <c r="H1155" s="978" t="str">
        <f>IF(ISNA(VLOOKUP(C1155,[6]條件!$A$1:$K$932,11,0)),"",(VLOOKUP(C1155,[6]條件!$A$1:$K$932,11,0)))</f>
        <v>白藍條</v>
      </c>
      <c r="I1155" s="979">
        <f>IF(ISNA(VLOOKUP(C1155,[6]條件!$A$1:$L$932,12,0)),"",(VLOOKUP(C1155,[6]條件!$A$1:$L$932,12,0)))</f>
        <v>4</v>
      </c>
      <c r="J1155" s="982">
        <v>43</v>
      </c>
      <c r="K1155" s="980">
        <v>0</v>
      </c>
      <c r="L1155" s="981">
        <v>9419</v>
      </c>
      <c r="M1155" s="983">
        <v>8707</v>
      </c>
      <c r="N1155" s="982">
        <v>12</v>
      </c>
      <c r="O1155" s="980">
        <v>1</v>
      </c>
      <c r="P1155" s="981">
        <v>9280</v>
      </c>
      <c r="Q1155" s="983">
        <v>8565</v>
      </c>
      <c r="R1155" s="982">
        <v>9</v>
      </c>
      <c r="S1155" s="980">
        <v>0</v>
      </c>
      <c r="T1155" s="981">
        <v>9400</v>
      </c>
      <c r="U1155" s="983">
        <v>8539</v>
      </c>
      <c r="V1155" s="982">
        <v>33</v>
      </c>
      <c r="W1155" s="980">
        <v>0</v>
      </c>
      <c r="X1155" s="981">
        <v>9313</v>
      </c>
      <c r="Y1155" s="983">
        <v>8580</v>
      </c>
      <c r="Z1155" s="1412">
        <f>IFERROR(VLOOKUP(C1155, [6]條件!$A:$L, 3, 0), "")</f>
        <v>1.7625458996328029</v>
      </c>
      <c r="AA1155" s="984">
        <f>IF(OR(L1155={"改紡","檢修","了機","清車","FINAL","停機","SAMPLE","TEST","絲開發"}), L1155, IFERROR(IF(C1155="", "", (SUM(J1155, N1155, R1155, V1155)/3 * AG1155) * IF(AND(AF1155="S", AS1155="雙"), 0.5, 1)), ""))</f>
        <v>32.333333333333336</v>
      </c>
      <c r="AB1155" s="1413">
        <f t="shared" si="197"/>
        <v>0.9972723023504273</v>
      </c>
      <c r="AC1155" s="984">
        <f>IF(OR(L1155={"改紡","檢修","了機","清車","FINAL","停機","SAMPLE","TEST"}), "", IFERROR(IF(C1155="", "", AVERAGE(L1155:M1155, P1155:Q1155, T1155:U1155, X1155:Y1155)/100), ""))</f>
        <v>89.753749999999997</v>
      </c>
      <c r="AD1155" s="984">
        <f t="shared" si="192"/>
        <v>4.041666666666667</v>
      </c>
      <c r="AE1155" s="984">
        <f t="shared" si="198"/>
        <v>4</v>
      </c>
      <c r="AF1155" s="985" t="str">
        <f t="shared" si="199"/>
        <v>A</v>
      </c>
      <c r="AG1155" s="1414">
        <v>1</v>
      </c>
      <c r="AH1155" s="1002" t="s">
        <v>16016</v>
      </c>
      <c r="AI1155" s="1002" t="s">
        <v>631</v>
      </c>
      <c r="AJ1155" s="986" t="s">
        <v>15995</v>
      </c>
      <c r="AK1155" s="986" t="s">
        <v>725</v>
      </c>
      <c r="AL1155" s="1415">
        <v>54</v>
      </c>
      <c r="AM1155" s="1323">
        <v>46051</v>
      </c>
      <c r="AN1155" s="1323">
        <v>46052</v>
      </c>
      <c r="AO1155" s="1323"/>
      <c r="AP1155" s="1323"/>
      <c r="AQ1155" s="1323"/>
      <c r="AR1155" s="987"/>
      <c r="AS1155" s="978" t="str">
        <f t="shared" si="200"/>
        <v>單</v>
      </c>
      <c r="AT1155" s="978" t="str">
        <f t="shared" si="201"/>
        <v>全</v>
      </c>
      <c r="AU1155" s="978">
        <f t="shared" si="202"/>
        <v>75</v>
      </c>
      <c r="AV1155" s="978">
        <f t="shared" si="203"/>
        <v>1.3958503200000001</v>
      </c>
    </row>
    <row r="1156" spans="1:48">
      <c r="A1156" s="975">
        <f t="shared" si="196"/>
        <v>46172</v>
      </c>
      <c r="B1156" s="976" t="s">
        <v>218</v>
      </c>
      <c r="C1156" s="976" t="s">
        <v>632</v>
      </c>
      <c r="D1156" s="1410"/>
      <c r="E1156" s="977" t="str">
        <f>IFERROR(VLOOKUP(C1156, [6]條件!$A:$L, 5, 0), "")</f>
        <v/>
      </c>
      <c r="F1156" s="978" t="str">
        <f>IFERROR(VLOOKUP(C1156, [6]條件!$A:$L, 6, 0), "")</f>
        <v/>
      </c>
      <c r="G1156" s="1411" t="str">
        <f>IFERROR(VLOOKUP(C1156, [6]條件!$A:$L, 7, 0), "")</f>
        <v/>
      </c>
      <c r="H1156" s="978" t="str">
        <f>IF(ISNA(VLOOKUP(C1156,[6]條件!$A$1:$K$932,11,0)),"",(VLOOKUP(C1156,[6]條件!$A$1:$K$932,11,0)))</f>
        <v/>
      </c>
      <c r="I1156" s="979" t="str">
        <f>IF(ISNA(VLOOKUP(C1156,[6]條件!$A$1:$L$932,12,0)),"",(VLOOKUP(C1156,[6]條件!$A$1:$L$932,12,0)))</f>
        <v/>
      </c>
      <c r="J1156" s="982"/>
      <c r="K1156" s="980"/>
      <c r="L1156" s="981" t="s">
        <v>632</v>
      </c>
      <c r="M1156" s="983"/>
      <c r="N1156" s="982"/>
      <c r="O1156" s="980"/>
      <c r="P1156" s="981" t="s">
        <v>632</v>
      </c>
      <c r="Q1156" s="983"/>
      <c r="R1156" s="982"/>
      <c r="S1156" s="980"/>
      <c r="T1156" s="981" t="s">
        <v>632</v>
      </c>
      <c r="U1156" s="983"/>
      <c r="V1156" s="982"/>
      <c r="W1156" s="980"/>
      <c r="X1156" s="981" t="s">
        <v>632</v>
      </c>
      <c r="Y1156" s="983"/>
      <c r="Z1156" s="1412" t="str">
        <f>IFERROR(VLOOKUP(C1156, [6]條件!$A:$L, 3, 0), "")</f>
        <v/>
      </c>
      <c r="AA1156" s="984" t="str">
        <f>IF(OR(L1156={"改紡","檢修","了機","清車","FINAL","停機","SAMPLE","TEST","絲開發"}), L1156, IFERROR(IF(C1156="", "", (SUM(J1156, N1156, R1156, V1156)/3 * AG1156) * IF(AND(AF1156="S", AS1156="雙"), 0.5, 1)), ""))</f>
        <v>停機</v>
      </c>
      <c r="AB1156" s="1413" t="str">
        <f t="shared" si="197"/>
        <v/>
      </c>
      <c r="AC1156" s="984" t="str">
        <f>IF(OR(L1156={"改紡","檢修","了機","清車","FINAL","停機","SAMPLE","TEST"}), "", IFERROR(IF(C1156="", "", AVERAGE(L1156:M1156, P1156:Q1156, T1156:U1156, X1156:Y1156)/100), ""))</f>
        <v/>
      </c>
      <c r="AD1156" s="984" t="str">
        <f t="shared" si="192"/>
        <v/>
      </c>
      <c r="AE1156" s="984" t="str">
        <f t="shared" si="198"/>
        <v/>
      </c>
      <c r="AF1156" s="985" t="str">
        <f t="shared" si="199"/>
        <v>A</v>
      </c>
      <c r="AG1156" s="1414">
        <v>1</v>
      </c>
      <c r="AH1156" s="1002" t="s">
        <v>640</v>
      </c>
      <c r="AI1156" s="1002" t="s">
        <v>640</v>
      </c>
      <c r="AJ1156" s="986" t="s">
        <v>640</v>
      </c>
      <c r="AK1156" s="986" t="s">
        <v>640</v>
      </c>
      <c r="AL1156" s="1415"/>
      <c r="AM1156" s="1323"/>
      <c r="AN1156" s="1323"/>
      <c r="AO1156" s="1323"/>
      <c r="AP1156" s="1323"/>
      <c r="AQ1156" s="1323"/>
      <c r="AR1156" s="987"/>
      <c r="AS1156" s="978" t="str">
        <f t="shared" si="200"/>
        <v>單</v>
      </c>
      <c r="AT1156" s="978" t="str">
        <f t="shared" si="201"/>
        <v>全</v>
      </c>
      <c r="AU1156" s="978" t="str">
        <f t="shared" si="202"/>
        <v/>
      </c>
      <c r="AV1156" s="978" t="str">
        <f t="shared" si="203"/>
        <v/>
      </c>
    </row>
    <row r="1157" spans="1:48">
      <c r="A1157" s="975">
        <f t="shared" si="196"/>
        <v>46172</v>
      </c>
      <c r="B1157" s="976" t="s">
        <v>219</v>
      </c>
      <c r="C1157" s="976" t="s">
        <v>16745</v>
      </c>
      <c r="D1157" s="1410" t="s">
        <v>16748</v>
      </c>
      <c r="E1157" s="977" t="str">
        <f>IFERROR(VLOOKUP(C1157, [6]條件!$A:$L, 5, 0), "")</f>
        <v>50/72BSD3</v>
      </c>
      <c r="F1157" s="978" t="str">
        <f>IFERROR(VLOOKUP(C1157, [6]條件!$A:$L, 6, 0), "")</f>
        <v>FP80141</v>
      </c>
      <c r="G1157" s="1411">
        <f>IFERROR(VLOOKUP(C1157, [6]條件!$A:$L, 7, 0), "")</f>
        <v>630</v>
      </c>
      <c r="H1157" s="978" t="str">
        <f>IF(ISNA(VLOOKUP(C1157,[6]條件!$A$1:$K$932,11,0)),"",(VLOOKUP(C1157,[6]條件!$A$1:$K$932,11,0)))</f>
        <v>洋綠色</v>
      </c>
      <c r="I1157" s="979">
        <f>IF(ISNA(VLOOKUP(C1157,[6]條件!$A$1:$L$932,12,0)),"",(VLOOKUP(C1157,[6]條件!$A$1:$L$932,12,0)))</f>
        <v>2</v>
      </c>
      <c r="J1157" s="982">
        <v>24</v>
      </c>
      <c r="K1157" s="980">
        <v>3</v>
      </c>
      <c r="L1157" s="981">
        <v>9029</v>
      </c>
      <c r="M1157" s="983">
        <v>9467</v>
      </c>
      <c r="N1157" s="982">
        <v>9</v>
      </c>
      <c r="O1157" s="980">
        <v>0</v>
      </c>
      <c r="P1157" s="981">
        <v>8822</v>
      </c>
      <c r="Q1157" s="983">
        <v>9513</v>
      </c>
      <c r="R1157" s="982">
        <v>19</v>
      </c>
      <c r="S1157" s="980">
        <v>1</v>
      </c>
      <c r="T1157" s="981">
        <v>8823</v>
      </c>
      <c r="U1157" s="983">
        <v>9493</v>
      </c>
      <c r="V1157" s="982">
        <v>20</v>
      </c>
      <c r="W1157" s="980">
        <v>0</v>
      </c>
      <c r="X1157" s="981">
        <v>8852</v>
      </c>
      <c r="Y1157" s="983">
        <v>9540</v>
      </c>
      <c r="Z1157" s="1412">
        <f>IFERROR(VLOOKUP(C1157, [6]條件!$A:$L, 3, 0), "")</f>
        <v>2.4615384615384617</v>
      </c>
      <c r="AA1157" s="984">
        <f>IF(OR(L1157={"改紡","檢修","了機","清車","FINAL","停機","SAMPLE","TEST","絲開發"}), L1157, IFERROR(IF(C1157="", "", (SUM(J1157, N1157, R1157, V1157)/3 * AG1157) * IF(AND(AF1157="S", AS1157="雙"), 0.5, 1)), ""))</f>
        <v>24</v>
      </c>
      <c r="AB1157" s="1413">
        <f t="shared" si="197"/>
        <v>0.9921875</v>
      </c>
      <c r="AC1157" s="984">
        <f>IF(OR(L1157={"改紡","檢修","了機","清車","FINAL","停機","SAMPLE","TEST"}), "", IFERROR(IF(C1157="", "", AVERAGE(L1157:M1157, P1157:Q1157, T1157:U1157, X1157:Y1157)/100), ""))</f>
        <v>91.923749999999998</v>
      </c>
      <c r="AD1157" s="984">
        <f t="shared" ref="AD1157:AD1220" si="204">IF(ISERROR(AA1157/8),"",(AA1157/8))</f>
        <v>3</v>
      </c>
      <c r="AE1157" s="984">
        <f t="shared" si="198"/>
        <v>2.8333333333333335</v>
      </c>
      <c r="AF1157" s="985" t="str">
        <f t="shared" si="199"/>
        <v>A</v>
      </c>
      <c r="AG1157" s="1414">
        <v>1</v>
      </c>
      <c r="AH1157" s="1002" t="s">
        <v>16016</v>
      </c>
      <c r="AI1157" s="1002" t="s">
        <v>631</v>
      </c>
      <c r="AJ1157" s="986" t="s">
        <v>15995</v>
      </c>
      <c r="AK1157" s="986" t="s">
        <v>725</v>
      </c>
      <c r="AL1157" s="1415">
        <v>57</v>
      </c>
      <c r="AM1157" s="1324">
        <v>46092</v>
      </c>
      <c r="AN1157" s="1323">
        <v>46093</v>
      </c>
      <c r="AO1157" s="1323"/>
      <c r="AP1157" s="1323"/>
      <c r="AQ1157" s="1323"/>
      <c r="AR1157" s="987"/>
      <c r="AS1157" s="978" t="str">
        <f t="shared" si="200"/>
        <v>單</v>
      </c>
      <c r="AT1157" s="978" t="str">
        <f t="shared" si="201"/>
        <v>全</v>
      </c>
      <c r="AU1157" s="978">
        <f t="shared" si="202"/>
        <v>50</v>
      </c>
      <c r="AV1157" s="978">
        <f t="shared" si="203"/>
        <v>1.0007187120000001</v>
      </c>
    </row>
    <row r="1158" spans="1:48">
      <c r="A1158" s="975">
        <f t="shared" si="196"/>
        <v>46172</v>
      </c>
      <c r="B1158" s="976" t="s">
        <v>220</v>
      </c>
      <c r="C1158" s="976" t="s">
        <v>632</v>
      </c>
      <c r="D1158" s="1410"/>
      <c r="E1158" s="977" t="str">
        <f>IFERROR(VLOOKUP(C1158, [6]條件!$A:$L, 5, 0), "")</f>
        <v/>
      </c>
      <c r="F1158" s="978" t="str">
        <f>IFERROR(VLOOKUP(C1158, [6]條件!$A:$L, 6, 0), "")</f>
        <v/>
      </c>
      <c r="G1158" s="1411" t="str">
        <f>IFERROR(VLOOKUP(C1158, [6]條件!$A:$L, 7, 0), "")</f>
        <v/>
      </c>
      <c r="H1158" s="978" t="str">
        <f>IF(ISNA(VLOOKUP(C1158,[6]條件!$A$1:$K$932,11,0)),"",(VLOOKUP(C1158,[6]條件!$A$1:$K$932,11,0)))</f>
        <v/>
      </c>
      <c r="I1158" s="979" t="str">
        <f>IF(ISNA(VLOOKUP(C1158,[6]條件!$A$1:$L$932,12,0)),"",(VLOOKUP(C1158,[6]條件!$A$1:$L$932,12,0)))</f>
        <v/>
      </c>
      <c r="J1158" s="982"/>
      <c r="K1158" s="980"/>
      <c r="L1158" s="981" t="s">
        <v>632</v>
      </c>
      <c r="M1158" s="983"/>
      <c r="N1158" s="982"/>
      <c r="O1158" s="980"/>
      <c r="P1158" s="981" t="s">
        <v>632</v>
      </c>
      <c r="Q1158" s="983"/>
      <c r="R1158" s="982"/>
      <c r="S1158" s="980"/>
      <c r="T1158" s="981" t="s">
        <v>632</v>
      </c>
      <c r="U1158" s="983"/>
      <c r="V1158" s="982"/>
      <c r="W1158" s="980"/>
      <c r="X1158" s="981" t="s">
        <v>632</v>
      </c>
      <c r="Y1158" s="983"/>
      <c r="Z1158" s="1412" t="str">
        <f>IFERROR(VLOOKUP(C1158, [6]條件!$A:$L, 3, 0), "")</f>
        <v/>
      </c>
      <c r="AA1158" s="984" t="str">
        <f>IF(OR(L1158={"改紡","檢修","了機","清車","FINAL","停機","SAMPLE","TEST","絲開發"}), L1158, IFERROR(IF(C1158="", "", (SUM(J1158, N1158, R1158, V1158)/3 * AG1158) * IF(AND(AF1158="S", AS1158="雙"), 0.5, 1)), ""))</f>
        <v>停機</v>
      </c>
      <c r="AB1158" s="1413" t="str">
        <f t="shared" si="197"/>
        <v/>
      </c>
      <c r="AC1158" s="984" t="str">
        <f>IF(OR(L1158={"改紡","檢修","了機","清車","FINAL","停機","SAMPLE","TEST"}), "", IFERROR(IF(C1158="", "", AVERAGE(L1158:M1158, P1158:Q1158, T1158:U1158, X1158:Y1158)/100), ""))</f>
        <v/>
      </c>
      <c r="AD1158" s="984" t="str">
        <f t="shared" si="204"/>
        <v/>
      </c>
      <c r="AE1158" s="984" t="str">
        <f t="shared" si="198"/>
        <v/>
      </c>
      <c r="AF1158" s="985" t="str">
        <f t="shared" si="199"/>
        <v>A</v>
      </c>
      <c r="AG1158" s="1414">
        <v>1</v>
      </c>
      <c r="AH1158" s="1002" t="s">
        <v>640</v>
      </c>
      <c r="AI1158" s="1002" t="s">
        <v>640</v>
      </c>
      <c r="AJ1158" s="986" t="s">
        <v>640</v>
      </c>
      <c r="AK1158" s="986" t="s">
        <v>640</v>
      </c>
      <c r="AL1158" s="1415"/>
      <c r="AM1158" s="1323"/>
      <c r="AN1158" s="1323"/>
      <c r="AO1158" s="1323"/>
      <c r="AP1158" s="1323"/>
      <c r="AQ1158" s="1323"/>
      <c r="AR1158" s="987"/>
      <c r="AS1158" s="978" t="str">
        <f t="shared" si="200"/>
        <v>單</v>
      </c>
      <c r="AT1158" s="978" t="str">
        <f t="shared" si="201"/>
        <v>全</v>
      </c>
      <c r="AU1158" s="978" t="str">
        <f t="shared" si="202"/>
        <v/>
      </c>
      <c r="AV1158" s="978" t="str">
        <f t="shared" si="203"/>
        <v/>
      </c>
    </row>
    <row r="1159" spans="1:48">
      <c r="A1159" s="975">
        <f t="shared" si="196"/>
        <v>46172</v>
      </c>
      <c r="B1159" s="976" t="s">
        <v>221</v>
      </c>
      <c r="C1159" s="976" t="s">
        <v>16763</v>
      </c>
      <c r="D1159" s="1410"/>
      <c r="E1159" s="977" t="str">
        <f>IFERROR(VLOOKUP(C1159, [6]條件!$A:$L, 5, 0), "")</f>
        <v>150/48CDR</v>
      </c>
      <c r="F1159" s="978" t="str">
        <f>IFERROR(VLOOKUP(C1159, [6]條件!$A:$L, 6, 0), "")</f>
        <v>FP82781</v>
      </c>
      <c r="G1159" s="1411">
        <f>IFERROR(VLOOKUP(C1159, [6]條件!$A:$L, 7, 0), "")</f>
        <v>600</v>
      </c>
      <c r="H1159" s="978" t="str">
        <f>IF(ISNA(VLOOKUP(C1159,[6]條件!$A$1:$K$932,11,0)),"",(VLOOKUP(C1159,[6]條件!$A$1:$K$932,11,0)))</f>
        <v>綠藍雙色</v>
      </c>
      <c r="I1159" s="979">
        <f>IF(ISNA(VLOOKUP(C1159,[6]條件!$A$1:$L$932,12,0)),"",(VLOOKUP(C1159,[6]條件!$A$1:$L$932,12,0)))</f>
        <v>5</v>
      </c>
      <c r="J1159" s="982">
        <v>12</v>
      </c>
      <c r="K1159" s="980">
        <v>2</v>
      </c>
      <c r="L1159" s="981">
        <v>8062</v>
      </c>
      <c r="M1159" s="983">
        <v>8245</v>
      </c>
      <c r="N1159" s="982">
        <v>10</v>
      </c>
      <c r="O1159" s="980">
        <v>6</v>
      </c>
      <c r="P1159" s="981">
        <v>9240</v>
      </c>
      <c r="Q1159" s="983">
        <v>9187</v>
      </c>
      <c r="R1159" s="982">
        <v>6</v>
      </c>
      <c r="S1159" s="980">
        <v>0</v>
      </c>
      <c r="T1159" s="981">
        <v>9299</v>
      </c>
      <c r="U1159" s="983">
        <v>9067</v>
      </c>
      <c r="V1159" s="982">
        <v>10</v>
      </c>
      <c r="W1159" s="980">
        <v>0</v>
      </c>
      <c r="X1159" s="981">
        <v>9289</v>
      </c>
      <c r="Y1159" s="983">
        <v>9028</v>
      </c>
      <c r="Z1159" s="1412">
        <f>IFERROR(VLOOKUP(C1159, [6]條件!$A:$L, 3, 0), "")</f>
        <v>2.8685258964143427</v>
      </c>
      <c r="AA1159" s="984">
        <f>IF(OR(L1159={"改紡","檢修","了機","清車","FINAL","停機","SAMPLE","TEST","絲開發"}), L1159, IFERROR(IF(C1159="", "", (SUM(J1159, N1159, R1159, V1159)/3 * AG1159) * IF(AND(AF1159="S", AS1159="雙"), 0.5, 1)), ""))</f>
        <v>12.666666666666666</v>
      </c>
      <c r="AB1159" s="1413">
        <f t="shared" si="197"/>
        <v>0.98659188034188039</v>
      </c>
      <c r="AC1159" s="984">
        <f>IF(OR(L1159={"改紡","檢修","了機","清車","FINAL","停機","SAMPLE","TEST"}), "", IFERROR(IF(C1159="", "", AVERAGE(L1159:M1159, P1159:Q1159, T1159:U1159, X1159:Y1159)/100), ""))</f>
        <v>89.271249999999995</v>
      </c>
      <c r="AD1159" s="984">
        <f t="shared" si="204"/>
        <v>1.5833333333333333</v>
      </c>
      <c r="AE1159" s="984">
        <f t="shared" si="198"/>
        <v>1.25</v>
      </c>
      <c r="AF1159" s="985" t="str">
        <f t="shared" si="199"/>
        <v>A</v>
      </c>
      <c r="AG1159" s="1414">
        <v>1</v>
      </c>
      <c r="AH1159" s="1002" t="s">
        <v>16016</v>
      </c>
      <c r="AI1159" s="1002" t="s">
        <v>631</v>
      </c>
      <c r="AJ1159" s="986" t="s">
        <v>15995</v>
      </c>
      <c r="AK1159" s="986" t="s">
        <v>725</v>
      </c>
      <c r="AL1159" s="1415">
        <v>54</v>
      </c>
      <c r="AM1159" s="1323">
        <v>46161</v>
      </c>
      <c r="AN1159" s="1323">
        <v>46162</v>
      </c>
      <c r="AO1159" s="1323">
        <v>46164</v>
      </c>
      <c r="AP1159" s="1323"/>
      <c r="AQ1159" s="1323"/>
      <c r="AR1159" s="987"/>
      <c r="AS1159" s="978" t="str">
        <f t="shared" si="200"/>
        <v>單</v>
      </c>
      <c r="AT1159" s="978" t="str">
        <f t="shared" si="201"/>
        <v>全</v>
      </c>
      <c r="AU1159" s="978">
        <f t="shared" si="202"/>
        <v>150</v>
      </c>
      <c r="AV1159" s="978">
        <f t="shared" si="203"/>
        <v>2.7766929600000001</v>
      </c>
    </row>
    <row r="1160" spans="1:48">
      <c r="A1160" s="975">
        <f t="shared" si="196"/>
        <v>46172</v>
      </c>
      <c r="B1160" s="976" t="s">
        <v>222</v>
      </c>
      <c r="C1160" s="976" t="s">
        <v>632</v>
      </c>
      <c r="D1160" s="1410"/>
      <c r="E1160" s="977" t="str">
        <f>IFERROR(VLOOKUP(C1160, [6]條件!$A:$L, 5, 0), "")</f>
        <v/>
      </c>
      <c r="F1160" s="978" t="str">
        <f>IFERROR(VLOOKUP(C1160, [6]條件!$A:$L, 6, 0), "")</f>
        <v/>
      </c>
      <c r="G1160" s="1411" t="str">
        <f>IFERROR(VLOOKUP(C1160, [6]條件!$A:$L, 7, 0), "")</f>
        <v/>
      </c>
      <c r="H1160" s="978" t="str">
        <f>IF(ISNA(VLOOKUP(C1160,[6]條件!$A$1:$K$932,11,0)),"",(VLOOKUP(C1160,[6]條件!$A$1:$K$932,11,0)))</f>
        <v/>
      </c>
      <c r="I1160" s="979" t="str">
        <f>IF(ISNA(VLOOKUP(C1160,[6]條件!$A$1:$L$932,12,0)),"",(VLOOKUP(C1160,[6]條件!$A$1:$L$932,12,0)))</f>
        <v/>
      </c>
      <c r="J1160" s="982"/>
      <c r="K1160" s="980"/>
      <c r="L1160" s="981" t="s">
        <v>632</v>
      </c>
      <c r="M1160" s="983"/>
      <c r="N1160" s="982"/>
      <c r="O1160" s="980"/>
      <c r="P1160" s="981" t="s">
        <v>632</v>
      </c>
      <c r="Q1160" s="983"/>
      <c r="R1160" s="982"/>
      <c r="S1160" s="980"/>
      <c r="T1160" s="981" t="s">
        <v>632</v>
      </c>
      <c r="U1160" s="983"/>
      <c r="V1160" s="982"/>
      <c r="W1160" s="980"/>
      <c r="X1160" s="981" t="s">
        <v>632</v>
      </c>
      <c r="Y1160" s="983"/>
      <c r="Z1160" s="1412" t="str">
        <f>IFERROR(VLOOKUP(C1160, [6]條件!$A:$L, 3, 0), "")</f>
        <v/>
      </c>
      <c r="AA1160" s="984" t="str">
        <f>IF(OR(L1160={"改紡","檢修","了機","清車","FINAL","停機","SAMPLE","TEST","絲開發"}), L1160, IFERROR(IF(C1160="", "", (SUM(J1160, N1160, R1160, V1160)/3 * AG1160) * IF(AND(AF1160="S", AS1160="雙"), 0.5, 1)), ""))</f>
        <v>停機</v>
      </c>
      <c r="AB1160" s="1413" t="str">
        <f t="shared" si="197"/>
        <v/>
      </c>
      <c r="AC1160" s="984" t="str">
        <f>IF(OR(L1160={"改紡","檢修","了機","清車","FINAL","停機","SAMPLE","TEST"}), "", IFERROR(IF(C1160="", "", AVERAGE(L1160:M1160, P1160:Q1160, T1160:U1160, X1160:Y1160)/100), ""))</f>
        <v/>
      </c>
      <c r="AD1160" s="984" t="str">
        <f t="shared" si="204"/>
        <v/>
      </c>
      <c r="AE1160" s="984" t="str">
        <f t="shared" si="198"/>
        <v/>
      </c>
      <c r="AF1160" s="985" t="str">
        <f t="shared" si="199"/>
        <v>A</v>
      </c>
      <c r="AG1160" s="1414">
        <v>1</v>
      </c>
      <c r="AH1160" s="1002" t="s">
        <v>640</v>
      </c>
      <c r="AI1160" s="1002" t="s">
        <v>640</v>
      </c>
      <c r="AJ1160" s="986" t="s">
        <v>640</v>
      </c>
      <c r="AK1160" s="986" t="s">
        <v>640</v>
      </c>
      <c r="AL1160" s="1415"/>
      <c r="AM1160" s="1323"/>
      <c r="AN1160" s="1323"/>
      <c r="AO1160" s="1323"/>
      <c r="AP1160" s="1323"/>
      <c r="AQ1160" s="1323"/>
      <c r="AR1160" s="987"/>
      <c r="AS1160" s="978" t="str">
        <f t="shared" si="200"/>
        <v>單</v>
      </c>
      <c r="AT1160" s="978" t="str">
        <f t="shared" si="201"/>
        <v>全</v>
      </c>
      <c r="AU1160" s="978" t="str">
        <f t="shared" si="202"/>
        <v/>
      </c>
      <c r="AV1160" s="978" t="str">
        <f t="shared" si="203"/>
        <v/>
      </c>
    </row>
    <row r="1161" spans="1:48">
      <c r="A1161" s="975">
        <f t="shared" si="196"/>
        <v>46172</v>
      </c>
      <c r="B1161" s="976" t="s">
        <v>223</v>
      </c>
      <c r="C1161" s="976" t="s">
        <v>632</v>
      </c>
      <c r="D1161" s="1410"/>
      <c r="E1161" s="977" t="str">
        <f>IFERROR(VLOOKUP(C1161, [6]條件!$A:$L, 5, 0), "")</f>
        <v/>
      </c>
      <c r="F1161" s="978" t="str">
        <f>IFERROR(VLOOKUP(C1161, [6]條件!$A:$L, 6, 0), "")</f>
        <v/>
      </c>
      <c r="G1161" s="1411" t="str">
        <f>IFERROR(VLOOKUP(C1161, [6]條件!$A:$L, 7, 0), "")</f>
        <v/>
      </c>
      <c r="H1161" s="978" t="str">
        <f>IF(ISNA(VLOOKUP(C1161,[6]條件!$A$1:$K$932,11,0)),"",(VLOOKUP(C1161,[6]條件!$A$1:$K$932,11,0)))</f>
        <v/>
      </c>
      <c r="I1161" s="979" t="str">
        <f>IF(ISNA(VLOOKUP(C1161,[6]條件!$A$1:$L$932,12,0)),"",(VLOOKUP(C1161,[6]條件!$A$1:$L$932,12,0)))</f>
        <v/>
      </c>
      <c r="J1161" s="982"/>
      <c r="K1161" s="980"/>
      <c r="L1161" s="981" t="s">
        <v>632</v>
      </c>
      <c r="M1161" s="983"/>
      <c r="N1161" s="982"/>
      <c r="O1161" s="980"/>
      <c r="P1161" s="981" t="s">
        <v>632</v>
      </c>
      <c r="Q1161" s="983"/>
      <c r="R1161" s="982"/>
      <c r="S1161" s="980"/>
      <c r="T1161" s="981" t="s">
        <v>632</v>
      </c>
      <c r="U1161" s="983"/>
      <c r="V1161" s="982"/>
      <c r="W1161" s="980"/>
      <c r="X1161" s="981" t="s">
        <v>632</v>
      </c>
      <c r="Y1161" s="983"/>
      <c r="Z1161" s="1412" t="str">
        <f>IFERROR(VLOOKUP(C1161, [6]條件!$A:$L, 3, 0), "")</f>
        <v/>
      </c>
      <c r="AA1161" s="984" t="str">
        <f>IF(OR(L1161={"改紡","檢修","了機","清車","FINAL","停機","SAMPLE","TEST","絲開發"}), L1161, IFERROR(IF(C1161="", "", (SUM(J1161, N1161, R1161, V1161)/3 * AG1161) * IF(AND(AF1161="S", AS1161="雙"), 0.5, 1)), ""))</f>
        <v>停機</v>
      </c>
      <c r="AB1161" s="1413" t="str">
        <f t="shared" si="197"/>
        <v/>
      </c>
      <c r="AC1161" s="984" t="str">
        <f>IF(OR(L1161={"改紡","檢修","了機","清車","FINAL","停機","SAMPLE","TEST"}), "", IFERROR(IF(C1161="", "", AVERAGE(L1161:M1161, P1161:Q1161, T1161:U1161, X1161:Y1161)/100), ""))</f>
        <v/>
      </c>
      <c r="AD1161" s="984" t="str">
        <f t="shared" si="204"/>
        <v/>
      </c>
      <c r="AE1161" s="984" t="str">
        <f t="shared" si="198"/>
        <v/>
      </c>
      <c r="AF1161" s="985" t="str">
        <f t="shared" si="199"/>
        <v>A</v>
      </c>
      <c r="AG1161" s="1414">
        <v>1</v>
      </c>
      <c r="AH1161" s="1002" t="s">
        <v>640</v>
      </c>
      <c r="AI1161" s="1002" t="s">
        <v>640</v>
      </c>
      <c r="AJ1161" s="1002" t="s">
        <v>640</v>
      </c>
      <c r="AK1161" s="1002" t="s">
        <v>640</v>
      </c>
      <c r="AL1161" s="1415"/>
      <c r="AM1161" s="1324"/>
      <c r="AN1161" s="1323"/>
      <c r="AO1161" s="1323"/>
      <c r="AP1161" s="1323"/>
      <c r="AQ1161" s="1323"/>
      <c r="AR1161" s="987"/>
      <c r="AS1161" s="978" t="str">
        <f t="shared" si="200"/>
        <v>單</v>
      </c>
      <c r="AT1161" s="978" t="str">
        <f t="shared" si="201"/>
        <v>全</v>
      </c>
      <c r="AU1161" s="978" t="str">
        <f t="shared" si="202"/>
        <v/>
      </c>
      <c r="AV1161" s="978" t="str">
        <f t="shared" si="203"/>
        <v/>
      </c>
    </row>
    <row r="1162" spans="1:48">
      <c r="A1162" s="975">
        <f t="shared" si="196"/>
        <v>46172</v>
      </c>
      <c r="B1162" s="976" t="s">
        <v>224</v>
      </c>
      <c r="C1162" s="976" t="s">
        <v>632</v>
      </c>
      <c r="D1162" s="1410"/>
      <c r="E1162" s="977" t="str">
        <f>IFERROR(VLOOKUP(C1162, [6]條件!$A:$L, 5, 0), "")</f>
        <v/>
      </c>
      <c r="F1162" s="978" t="str">
        <f>IFERROR(VLOOKUP(C1162, [6]條件!$A:$L, 6, 0), "")</f>
        <v/>
      </c>
      <c r="G1162" s="1411" t="str">
        <f>IFERROR(VLOOKUP(C1162, [6]條件!$A:$L, 7, 0), "")</f>
        <v/>
      </c>
      <c r="H1162" s="978" t="str">
        <f>IF(ISNA(VLOOKUP(C1162,[6]條件!$A$1:$K$932,11,0)),"",(VLOOKUP(C1162,[6]條件!$A$1:$K$932,11,0)))</f>
        <v/>
      </c>
      <c r="I1162" s="979" t="str">
        <f>IF(ISNA(VLOOKUP(C1162,[6]條件!$A$1:$L$932,12,0)),"",(VLOOKUP(C1162,[6]條件!$A$1:$L$932,12,0)))</f>
        <v/>
      </c>
      <c r="J1162" s="982"/>
      <c r="K1162" s="980"/>
      <c r="L1162" s="981" t="s">
        <v>632</v>
      </c>
      <c r="M1162" s="983"/>
      <c r="N1162" s="982"/>
      <c r="O1162" s="980"/>
      <c r="P1162" s="981" t="s">
        <v>632</v>
      </c>
      <c r="Q1162" s="983"/>
      <c r="R1162" s="982"/>
      <c r="S1162" s="980"/>
      <c r="T1162" s="981" t="s">
        <v>632</v>
      </c>
      <c r="U1162" s="983"/>
      <c r="V1162" s="982"/>
      <c r="W1162" s="980"/>
      <c r="X1162" s="981" t="s">
        <v>632</v>
      </c>
      <c r="Y1162" s="983"/>
      <c r="Z1162" s="1412" t="str">
        <f>IFERROR(VLOOKUP(C1162, [6]條件!$A:$L, 3, 0), "")</f>
        <v/>
      </c>
      <c r="AA1162" s="984" t="str">
        <f>IF(OR(L1162={"改紡","檢修","了機","清車","FINAL","停機","SAMPLE","TEST","絲開發"}), L1162, IFERROR(IF(C1162="", "", (SUM(J1162, N1162, R1162, V1162)/3 * AG1162) * IF(AND(AF1162="S", AS1162="雙"), 0.5, 1)), ""))</f>
        <v>停機</v>
      </c>
      <c r="AB1162" s="1413" t="str">
        <f t="shared" si="197"/>
        <v/>
      </c>
      <c r="AC1162" s="984" t="str">
        <f>IF(OR(L1162={"改紡","檢修","了機","清車","FINAL","停機","SAMPLE","TEST"}), "", IFERROR(IF(C1162="", "", AVERAGE(L1162:M1162, P1162:Q1162, T1162:U1162, X1162:Y1162)/100), ""))</f>
        <v/>
      </c>
      <c r="AD1162" s="984" t="str">
        <f t="shared" si="204"/>
        <v/>
      </c>
      <c r="AE1162" s="984" t="str">
        <f t="shared" si="198"/>
        <v/>
      </c>
      <c r="AF1162" s="985" t="str">
        <f t="shared" si="199"/>
        <v>A</v>
      </c>
      <c r="AG1162" s="1414">
        <v>1</v>
      </c>
      <c r="AH1162" s="1002" t="s">
        <v>16011</v>
      </c>
      <c r="AI1162" s="1002" t="s">
        <v>640</v>
      </c>
      <c r="AJ1162" s="1002" t="s">
        <v>640</v>
      </c>
      <c r="AK1162" s="1002" t="s">
        <v>640</v>
      </c>
      <c r="AL1162" s="1415"/>
      <c r="AM1162" s="1323"/>
      <c r="AN1162" s="1323"/>
      <c r="AO1162" s="1323"/>
      <c r="AP1162" s="1323"/>
      <c r="AQ1162" s="1323"/>
      <c r="AR1162" s="987"/>
      <c r="AS1162" s="978" t="str">
        <f t="shared" si="200"/>
        <v>單</v>
      </c>
      <c r="AT1162" s="978" t="str">
        <f t="shared" si="201"/>
        <v>全</v>
      </c>
      <c r="AU1162" s="978" t="str">
        <f t="shared" si="202"/>
        <v/>
      </c>
      <c r="AV1162" s="978" t="str">
        <f t="shared" si="203"/>
        <v/>
      </c>
    </row>
    <row r="1163" spans="1:48">
      <c r="A1163" s="975">
        <f t="shared" si="196"/>
        <v>46172</v>
      </c>
      <c r="B1163" s="976" t="s">
        <v>225</v>
      </c>
      <c r="C1163" s="976" t="s">
        <v>632</v>
      </c>
      <c r="D1163" s="1410"/>
      <c r="E1163" s="977" t="str">
        <f>IFERROR(VLOOKUP(C1163, [6]條件!$A:$L, 5, 0), "")</f>
        <v/>
      </c>
      <c r="F1163" s="978" t="str">
        <f>IFERROR(VLOOKUP(C1163, [6]條件!$A:$L, 6, 0), "")</f>
        <v/>
      </c>
      <c r="G1163" s="1411" t="str">
        <f>IFERROR(VLOOKUP(C1163, [6]條件!$A:$L, 7, 0), "")</f>
        <v/>
      </c>
      <c r="H1163" s="978" t="str">
        <f>IF(ISNA(VLOOKUP(C1163,[6]條件!$A$1:$K$932,11,0)),"",(VLOOKUP(C1163,[6]條件!$A$1:$K$932,11,0)))</f>
        <v/>
      </c>
      <c r="I1163" s="979" t="str">
        <f>IF(ISNA(VLOOKUP(C1163,[6]條件!$A$1:$L$932,12,0)),"",(VLOOKUP(C1163,[6]條件!$A$1:$L$932,12,0)))</f>
        <v/>
      </c>
      <c r="J1163" s="982"/>
      <c r="K1163" s="980"/>
      <c r="L1163" s="981" t="s">
        <v>632</v>
      </c>
      <c r="M1163" s="983"/>
      <c r="N1163" s="982"/>
      <c r="O1163" s="980"/>
      <c r="P1163" s="981" t="s">
        <v>632</v>
      </c>
      <c r="Q1163" s="983"/>
      <c r="R1163" s="982"/>
      <c r="S1163" s="980"/>
      <c r="T1163" s="981" t="s">
        <v>632</v>
      </c>
      <c r="U1163" s="983"/>
      <c r="V1163" s="982"/>
      <c r="W1163" s="980"/>
      <c r="X1163" s="981" t="s">
        <v>632</v>
      </c>
      <c r="Y1163" s="983"/>
      <c r="Z1163" s="1412" t="str">
        <f>IFERROR(VLOOKUP(C1163, [6]條件!$A:$L, 3, 0), "")</f>
        <v/>
      </c>
      <c r="AA1163" s="984" t="str">
        <f>IF(OR(L1163={"改紡","檢修","了機","清車","FINAL","停機","SAMPLE","TEST","絲開發"}), L1163, IFERROR(IF(C1163="", "", (SUM(J1163, N1163, R1163, V1163)/3 * AG1163) * IF(AND(AF1163="S", AS1163="雙"), 0.5, 1)), ""))</f>
        <v>停機</v>
      </c>
      <c r="AB1163" s="1413" t="str">
        <f t="shared" si="197"/>
        <v/>
      </c>
      <c r="AC1163" s="984" t="str">
        <f>IF(OR(L1163={"改紡","檢修","了機","清車","FINAL","停機","SAMPLE","TEST"}), "", IFERROR(IF(C1163="", "", AVERAGE(L1163:M1163, P1163:Q1163, T1163:U1163, X1163:Y1163)/100), ""))</f>
        <v/>
      </c>
      <c r="AD1163" s="984" t="str">
        <f t="shared" si="204"/>
        <v/>
      </c>
      <c r="AE1163" s="984" t="str">
        <f t="shared" si="198"/>
        <v/>
      </c>
      <c r="AF1163" s="985" t="str">
        <f t="shared" si="199"/>
        <v>A</v>
      </c>
      <c r="AG1163" s="1414">
        <v>1</v>
      </c>
      <c r="AH1163" s="1002" t="s">
        <v>640</v>
      </c>
      <c r="AI1163" s="1002" t="s">
        <v>640</v>
      </c>
      <c r="AJ1163" s="1002" t="s">
        <v>640</v>
      </c>
      <c r="AK1163" s="1002" t="s">
        <v>640</v>
      </c>
      <c r="AL1163" s="1415"/>
      <c r="AM1163" s="1323"/>
      <c r="AN1163" s="1323"/>
      <c r="AO1163" s="1323"/>
      <c r="AP1163" s="1323"/>
      <c r="AQ1163" s="1323"/>
      <c r="AR1163" s="987"/>
      <c r="AS1163" s="978" t="str">
        <f t="shared" si="200"/>
        <v>單</v>
      </c>
      <c r="AT1163" s="978" t="str">
        <f t="shared" si="201"/>
        <v>全</v>
      </c>
      <c r="AU1163" s="978" t="str">
        <f t="shared" si="202"/>
        <v/>
      </c>
      <c r="AV1163" s="978" t="str">
        <f t="shared" si="203"/>
        <v/>
      </c>
    </row>
    <row r="1164" spans="1:48">
      <c r="A1164" s="975">
        <f t="shared" si="196"/>
        <v>46172</v>
      </c>
      <c r="B1164" s="976" t="s">
        <v>226</v>
      </c>
      <c r="C1164" s="976" t="s">
        <v>632</v>
      </c>
      <c r="D1164" s="1410"/>
      <c r="E1164" s="977" t="str">
        <f>IFERROR(VLOOKUP(C1164, [6]條件!$A:$L, 5, 0), "")</f>
        <v/>
      </c>
      <c r="F1164" s="978" t="str">
        <f>IFERROR(VLOOKUP(C1164, [6]條件!$A:$L, 6, 0), "")</f>
        <v/>
      </c>
      <c r="G1164" s="1411" t="str">
        <f>IFERROR(VLOOKUP(C1164, [6]條件!$A:$L, 7, 0), "")</f>
        <v/>
      </c>
      <c r="H1164" s="978" t="str">
        <f>IF(ISNA(VLOOKUP(C1164,[6]條件!$A$1:$K$932,11,0)),"",(VLOOKUP(C1164,[6]條件!$A$1:$K$932,11,0)))</f>
        <v/>
      </c>
      <c r="I1164" s="979" t="str">
        <f>IF(ISNA(VLOOKUP(C1164,[6]條件!$A$1:$L$932,12,0)),"",(VLOOKUP(C1164,[6]條件!$A$1:$L$932,12,0)))</f>
        <v/>
      </c>
      <c r="J1164" s="982"/>
      <c r="K1164" s="980"/>
      <c r="L1164" s="981" t="s">
        <v>632</v>
      </c>
      <c r="M1164" s="983"/>
      <c r="N1164" s="982"/>
      <c r="O1164" s="980"/>
      <c r="P1164" s="981" t="s">
        <v>632</v>
      </c>
      <c r="Q1164" s="983"/>
      <c r="R1164" s="982"/>
      <c r="S1164" s="980"/>
      <c r="T1164" s="981" t="s">
        <v>632</v>
      </c>
      <c r="U1164" s="983"/>
      <c r="V1164" s="982"/>
      <c r="W1164" s="980"/>
      <c r="X1164" s="981" t="s">
        <v>632</v>
      </c>
      <c r="Y1164" s="983"/>
      <c r="Z1164" s="1412" t="str">
        <f>IFERROR(VLOOKUP(C1164, [6]條件!$A:$L, 3, 0), "")</f>
        <v/>
      </c>
      <c r="AA1164" s="984" t="str">
        <f>IF(OR(L1164={"改紡","檢修","了機","清車","FINAL","停機","SAMPLE","TEST","絲開發"}), L1164, IFERROR(IF(C1164="", "", (SUM(J1164, N1164, R1164, V1164)/3 * AG1164) * IF(AND(AF1164="S", AS1164="雙"), 0.5, 1)), ""))</f>
        <v>停機</v>
      </c>
      <c r="AB1164" s="1413" t="str">
        <f t="shared" si="197"/>
        <v/>
      </c>
      <c r="AC1164" s="984" t="str">
        <f>IF(OR(L1164={"改紡","檢修","了機","清車","FINAL","停機","SAMPLE","TEST"}), "", IFERROR(IF(C1164="", "", AVERAGE(L1164:M1164, P1164:Q1164, T1164:U1164, X1164:Y1164)/100), ""))</f>
        <v/>
      </c>
      <c r="AD1164" s="984" t="str">
        <f t="shared" si="204"/>
        <v/>
      </c>
      <c r="AE1164" s="984" t="str">
        <f t="shared" si="198"/>
        <v/>
      </c>
      <c r="AF1164" s="985" t="str">
        <f t="shared" si="199"/>
        <v>A</v>
      </c>
      <c r="AG1164" s="1414">
        <v>1</v>
      </c>
      <c r="AH1164" s="1002" t="s">
        <v>640</v>
      </c>
      <c r="AI1164" s="1002" t="s">
        <v>640</v>
      </c>
      <c r="AJ1164" s="1002" t="s">
        <v>640</v>
      </c>
      <c r="AK1164" s="1002" t="s">
        <v>640</v>
      </c>
      <c r="AL1164" s="1415"/>
      <c r="AM1164" s="1323"/>
      <c r="AN1164" s="1323"/>
      <c r="AO1164" s="1323"/>
      <c r="AP1164" s="1323"/>
      <c r="AQ1164" s="1323"/>
      <c r="AR1164" s="987"/>
      <c r="AS1164" s="978" t="str">
        <f t="shared" si="200"/>
        <v>單</v>
      </c>
      <c r="AT1164" s="978" t="str">
        <f t="shared" si="201"/>
        <v>全</v>
      </c>
      <c r="AU1164" s="978" t="str">
        <f t="shared" si="202"/>
        <v/>
      </c>
      <c r="AV1164" s="978" t="str">
        <f t="shared" si="203"/>
        <v/>
      </c>
    </row>
    <row r="1165" spans="1:48">
      <c r="A1165" s="975">
        <f t="shared" si="196"/>
        <v>46172</v>
      </c>
      <c r="B1165" s="976" t="s">
        <v>227</v>
      </c>
      <c r="C1165" s="976" t="s">
        <v>632</v>
      </c>
      <c r="D1165" s="1410"/>
      <c r="E1165" s="977" t="str">
        <f>IFERROR(VLOOKUP(C1165, [6]條件!$A:$L, 5, 0), "")</f>
        <v/>
      </c>
      <c r="F1165" s="978" t="str">
        <f>IFERROR(VLOOKUP(C1165, [6]條件!$A:$L, 6, 0), "")</f>
        <v/>
      </c>
      <c r="G1165" s="1411" t="str">
        <f>IFERROR(VLOOKUP(C1165, [6]條件!$A:$L, 7, 0), "")</f>
        <v/>
      </c>
      <c r="H1165" s="978" t="str">
        <f>IF(ISNA(VLOOKUP(C1165,[6]條件!$A$1:$K$932,11,0)),"",(VLOOKUP(C1165,[6]條件!$A$1:$K$932,11,0)))</f>
        <v/>
      </c>
      <c r="I1165" s="979" t="str">
        <f>IF(ISNA(VLOOKUP(C1165,[6]條件!$A$1:$L$932,12,0)),"",(VLOOKUP(C1165,[6]條件!$A$1:$L$932,12,0)))</f>
        <v/>
      </c>
      <c r="J1165" s="982"/>
      <c r="K1165" s="980"/>
      <c r="L1165" s="981" t="s">
        <v>632</v>
      </c>
      <c r="M1165" s="983"/>
      <c r="N1165" s="982"/>
      <c r="O1165" s="980"/>
      <c r="P1165" s="981" t="s">
        <v>632</v>
      </c>
      <c r="Q1165" s="983"/>
      <c r="R1165" s="982"/>
      <c r="S1165" s="980"/>
      <c r="T1165" s="981" t="s">
        <v>632</v>
      </c>
      <c r="U1165" s="983"/>
      <c r="V1165" s="982"/>
      <c r="W1165" s="980"/>
      <c r="X1165" s="981" t="s">
        <v>632</v>
      </c>
      <c r="Y1165" s="983"/>
      <c r="Z1165" s="1412" t="str">
        <f>IFERROR(VLOOKUP(C1165, [6]條件!$A:$L, 3, 0), "")</f>
        <v/>
      </c>
      <c r="AA1165" s="984" t="str">
        <f>IF(OR(L1165={"改紡","檢修","了機","清車","FINAL","停機","SAMPLE","TEST","絲開發"}), L1165, IFERROR(IF(C1165="", "", (SUM(J1165, N1165, R1165, V1165)/3 * AG1165) * IF(AND(AF1165="S", AS1165="雙"), 0.5, 1)), ""))</f>
        <v>停機</v>
      </c>
      <c r="AB1165" s="1413" t="str">
        <f t="shared" si="197"/>
        <v/>
      </c>
      <c r="AC1165" s="984" t="str">
        <f>IF(OR(L1165={"改紡","檢修","了機","清車","FINAL","停機","SAMPLE","TEST"}), "", IFERROR(IF(C1165="", "", AVERAGE(L1165:M1165, P1165:Q1165, T1165:U1165, X1165:Y1165)/100), ""))</f>
        <v/>
      </c>
      <c r="AD1165" s="984" t="str">
        <f t="shared" si="204"/>
        <v/>
      </c>
      <c r="AE1165" s="984" t="str">
        <f t="shared" si="198"/>
        <v/>
      </c>
      <c r="AF1165" s="985" t="str">
        <f t="shared" si="199"/>
        <v>A</v>
      </c>
      <c r="AG1165" s="1414">
        <v>1</v>
      </c>
      <c r="AH1165" s="1002" t="s">
        <v>640</v>
      </c>
      <c r="AI1165" s="1002" t="s">
        <v>640</v>
      </c>
      <c r="AJ1165" s="1002" t="s">
        <v>640</v>
      </c>
      <c r="AK1165" s="1002" t="s">
        <v>640</v>
      </c>
      <c r="AL1165" s="1415"/>
      <c r="AM1165" s="1323"/>
      <c r="AN1165" s="1323"/>
      <c r="AO1165" s="1323"/>
      <c r="AP1165" s="1323"/>
      <c r="AQ1165" s="1323"/>
      <c r="AR1165" s="987"/>
      <c r="AS1165" s="978" t="str">
        <f t="shared" si="200"/>
        <v>單</v>
      </c>
      <c r="AT1165" s="978" t="str">
        <f t="shared" si="201"/>
        <v>全</v>
      </c>
      <c r="AU1165" s="978" t="str">
        <f t="shared" si="202"/>
        <v/>
      </c>
      <c r="AV1165" s="978" t="str">
        <f t="shared" si="203"/>
        <v/>
      </c>
    </row>
    <row r="1166" spans="1:48">
      <c r="A1166" s="975">
        <f t="shared" si="196"/>
        <v>46172</v>
      </c>
      <c r="B1166" s="976" t="s">
        <v>228</v>
      </c>
      <c r="C1166" s="976" t="s">
        <v>632</v>
      </c>
      <c r="D1166" s="1410"/>
      <c r="E1166" s="977" t="str">
        <f>IFERROR(VLOOKUP(C1166, [6]條件!$A:$L, 5, 0), "")</f>
        <v/>
      </c>
      <c r="F1166" s="978" t="str">
        <f>IFERROR(VLOOKUP(C1166, [6]條件!$A:$L, 6, 0), "")</f>
        <v/>
      </c>
      <c r="G1166" s="1411" t="str">
        <f>IFERROR(VLOOKUP(C1166, [6]條件!$A:$L, 7, 0), "")</f>
        <v/>
      </c>
      <c r="H1166" s="978" t="str">
        <f>IF(ISNA(VLOOKUP(C1166,[6]條件!$A$1:$K$932,11,0)),"",(VLOOKUP(C1166,[6]條件!$A$1:$K$932,11,0)))</f>
        <v/>
      </c>
      <c r="I1166" s="979" t="str">
        <f>IF(ISNA(VLOOKUP(C1166,[6]條件!$A$1:$L$932,12,0)),"",(VLOOKUP(C1166,[6]條件!$A$1:$L$932,12,0)))</f>
        <v/>
      </c>
      <c r="J1166" s="982"/>
      <c r="K1166" s="980"/>
      <c r="L1166" s="981" t="s">
        <v>632</v>
      </c>
      <c r="M1166" s="983"/>
      <c r="N1166" s="982"/>
      <c r="O1166" s="980"/>
      <c r="P1166" s="981" t="s">
        <v>632</v>
      </c>
      <c r="Q1166" s="983"/>
      <c r="R1166" s="982"/>
      <c r="S1166" s="980"/>
      <c r="T1166" s="981" t="s">
        <v>632</v>
      </c>
      <c r="U1166" s="983"/>
      <c r="V1166" s="982"/>
      <c r="W1166" s="980"/>
      <c r="X1166" s="981" t="s">
        <v>632</v>
      </c>
      <c r="Y1166" s="983"/>
      <c r="Z1166" s="1412" t="str">
        <f>IFERROR(VLOOKUP(C1166, [6]條件!$A:$L, 3, 0), "")</f>
        <v/>
      </c>
      <c r="AA1166" s="984" t="str">
        <f>IF(OR(L1166={"改紡","檢修","了機","清車","FINAL","停機","SAMPLE","TEST","絲開發"}), L1166, IFERROR(IF(C1166="", "", (SUM(J1166, N1166, R1166, V1166)/3 * AG1166) * IF(AND(AF1166="S", AS1166="雙"), 0.5, 1)), ""))</f>
        <v>停機</v>
      </c>
      <c r="AB1166" s="1413" t="str">
        <f t="shared" si="197"/>
        <v/>
      </c>
      <c r="AC1166" s="984" t="str">
        <f>IF(OR(L1166={"改紡","檢修","了機","清車","FINAL","停機","SAMPLE","TEST"}), "", IFERROR(IF(C1166="", "", AVERAGE(L1166:M1166, P1166:Q1166, T1166:U1166, X1166:Y1166)/100), ""))</f>
        <v/>
      </c>
      <c r="AD1166" s="984" t="str">
        <f t="shared" si="204"/>
        <v/>
      </c>
      <c r="AE1166" s="984" t="str">
        <f t="shared" si="198"/>
        <v/>
      </c>
      <c r="AF1166" s="985" t="str">
        <f t="shared" si="199"/>
        <v>A</v>
      </c>
      <c r="AG1166" s="1414">
        <v>1</v>
      </c>
      <c r="AH1166" s="1002" t="s">
        <v>640</v>
      </c>
      <c r="AI1166" s="1002" t="s">
        <v>640</v>
      </c>
      <c r="AJ1166" s="1002" t="s">
        <v>640</v>
      </c>
      <c r="AK1166" s="1002" t="s">
        <v>640</v>
      </c>
      <c r="AL1166" s="1420"/>
      <c r="AM1166" s="1323"/>
      <c r="AN1166" s="1323"/>
      <c r="AO1166" s="1323"/>
      <c r="AP1166" s="1323"/>
      <c r="AQ1166" s="1323"/>
      <c r="AR1166" s="987"/>
      <c r="AS1166" s="978" t="str">
        <f t="shared" si="200"/>
        <v>單</v>
      </c>
      <c r="AT1166" s="978" t="str">
        <f t="shared" si="201"/>
        <v>全</v>
      </c>
      <c r="AU1166" s="978" t="str">
        <f t="shared" si="202"/>
        <v/>
      </c>
      <c r="AV1166" s="978" t="str">
        <f t="shared" si="203"/>
        <v/>
      </c>
    </row>
    <row r="1167" spans="1:48">
      <c r="A1167" s="975">
        <f t="shared" si="196"/>
        <v>46172</v>
      </c>
      <c r="B1167" s="976" t="s">
        <v>229</v>
      </c>
      <c r="C1167" s="976" t="s">
        <v>632</v>
      </c>
      <c r="D1167" s="1410"/>
      <c r="E1167" s="977" t="str">
        <f>IFERROR(VLOOKUP(C1167, [6]條件!$A:$L, 5, 0), "")</f>
        <v/>
      </c>
      <c r="F1167" s="978" t="str">
        <f>IFERROR(VLOOKUP(C1167, [6]條件!$A:$L, 6, 0), "")</f>
        <v/>
      </c>
      <c r="G1167" s="1411" t="str">
        <f>IFERROR(VLOOKUP(C1167, [6]條件!$A:$L, 7, 0), "")</f>
        <v/>
      </c>
      <c r="H1167" s="978" t="str">
        <f>IF(ISNA(VLOOKUP(C1167,[6]條件!$A$1:$K$932,11,0)),"",(VLOOKUP(C1167,[6]條件!$A$1:$K$932,11,0)))</f>
        <v/>
      </c>
      <c r="I1167" s="979" t="str">
        <f>IF(ISNA(VLOOKUP(C1167,[6]條件!$A$1:$L$932,12,0)),"",(VLOOKUP(C1167,[6]條件!$A$1:$L$932,12,0)))</f>
        <v/>
      </c>
      <c r="J1167" s="982"/>
      <c r="K1167" s="980"/>
      <c r="L1167" s="981" t="s">
        <v>632</v>
      </c>
      <c r="M1167" s="983"/>
      <c r="N1167" s="982"/>
      <c r="O1167" s="980"/>
      <c r="P1167" s="981" t="s">
        <v>632</v>
      </c>
      <c r="Q1167" s="983"/>
      <c r="R1167" s="982"/>
      <c r="S1167" s="980"/>
      <c r="T1167" s="981" t="s">
        <v>632</v>
      </c>
      <c r="U1167" s="983"/>
      <c r="V1167" s="982"/>
      <c r="W1167" s="980"/>
      <c r="X1167" s="981" t="s">
        <v>632</v>
      </c>
      <c r="Y1167" s="983"/>
      <c r="Z1167" s="1412" t="str">
        <f>IFERROR(VLOOKUP(C1167, [6]條件!$A:$L, 3, 0), "")</f>
        <v/>
      </c>
      <c r="AA1167" s="984" t="str">
        <f>IF(OR(L1167={"改紡","檢修","了機","清車","FINAL","停機","SAMPLE","TEST","絲開發"}), L1167, IFERROR(IF(C1167="", "", (SUM(J1167, N1167, R1167, V1167)/3 * AG1167) * IF(AND(AF1167="S", AS1167="雙"), 0.5, 1)), ""))</f>
        <v>停機</v>
      </c>
      <c r="AB1167" s="1413" t="str">
        <f t="shared" si="197"/>
        <v/>
      </c>
      <c r="AC1167" s="984" t="str">
        <f>IF(OR(L1167={"改紡","檢修","了機","清車","FINAL","停機","SAMPLE","TEST"}), "", IFERROR(IF(C1167="", "", AVERAGE(L1167:M1167, P1167:Q1167, T1167:U1167, X1167:Y1167)/100), ""))</f>
        <v/>
      </c>
      <c r="AD1167" s="984" t="str">
        <f t="shared" si="204"/>
        <v/>
      </c>
      <c r="AE1167" s="984" t="str">
        <f t="shared" si="198"/>
        <v/>
      </c>
      <c r="AF1167" s="985" t="str">
        <f t="shared" si="199"/>
        <v>A</v>
      </c>
      <c r="AG1167" s="1414">
        <v>1</v>
      </c>
      <c r="AH1167" s="1002" t="s">
        <v>640</v>
      </c>
      <c r="AI1167" s="1002" t="s">
        <v>640</v>
      </c>
      <c r="AJ1167" s="1002" t="s">
        <v>640</v>
      </c>
      <c r="AK1167" s="1002" t="s">
        <v>640</v>
      </c>
      <c r="AL1167" s="1421"/>
      <c r="AM1167" s="1323"/>
      <c r="AN1167" s="1323"/>
      <c r="AO1167" s="1323"/>
      <c r="AP1167" s="1323"/>
      <c r="AQ1167" s="1323"/>
      <c r="AR1167" s="987"/>
      <c r="AS1167" s="978" t="str">
        <f t="shared" si="200"/>
        <v>單</v>
      </c>
      <c r="AT1167" s="978" t="str">
        <f t="shared" si="201"/>
        <v>全</v>
      </c>
      <c r="AU1167" s="978" t="str">
        <f t="shared" si="202"/>
        <v/>
      </c>
      <c r="AV1167" s="978" t="str">
        <f t="shared" si="203"/>
        <v/>
      </c>
    </row>
    <row r="1168" spans="1:48">
      <c r="A1168" s="975">
        <f t="shared" si="196"/>
        <v>46172</v>
      </c>
      <c r="B1168" s="976" t="s">
        <v>230</v>
      </c>
      <c r="C1168" s="976" t="s">
        <v>632</v>
      </c>
      <c r="D1168" s="1410"/>
      <c r="E1168" s="977" t="str">
        <f>IFERROR(VLOOKUP(C1168, [6]條件!$A:$L, 5, 0), "")</f>
        <v/>
      </c>
      <c r="F1168" s="978" t="str">
        <f>IFERROR(VLOOKUP(C1168, [6]條件!$A:$L, 6, 0), "")</f>
        <v/>
      </c>
      <c r="G1168" s="1411" t="str">
        <f>IFERROR(VLOOKUP(C1168, [6]條件!$A:$L, 7, 0), "")</f>
        <v/>
      </c>
      <c r="H1168" s="978" t="str">
        <f>IF(ISNA(VLOOKUP(C1168,[6]條件!$A$1:$K$932,11,0)),"",(VLOOKUP(C1168,[6]條件!$A$1:$K$932,11,0)))</f>
        <v/>
      </c>
      <c r="I1168" s="979" t="str">
        <f>IF(ISNA(VLOOKUP(C1168,[6]條件!$A$1:$L$932,12,0)),"",(VLOOKUP(C1168,[6]條件!$A$1:$L$932,12,0)))</f>
        <v/>
      </c>
      <c r="J1168" s="982"/>
      <c r="K1168" s="980"/>
      <c r="L1168" s="981" t="s">
        <v>632</v>
      </c>
      <c r="M1168" s="983"/>
      <c r="N1168" s="982"/>
      <c r="O1168" s="980"/>
      <c r="P1168" s="981" t="s">
        <v>632</v>
      </c>
      <c r="Q1168" s="983"/>
      <c r="R1168" s="982"/>
      <c r="S1168" s="980"/>
      <c r="T1168" s="981" t="s">
        <v>632</v>
      </c>
      <c r="U1168" s="983"/>
      <c r="V1168" s="982"/>
      <c r="W1168" s="980"/>
      <c r="X1168" s="981" t="s">
        <v>632</v>
      </c>
      <c r="Y1168" s="983"/>
      <c r="Z1168" s="1412" t="str">
        <f>IFERROR(VLOOKUP(C1168, [6]條件!$A:$L, 3, 0), "")</f>
        <v/>
      </c>
      <c r="AA1168" s="984" t="str">
        <f>IF(OR(L1168={"改紡","檢修","了機","清車","FINAL","停機","SAMPLE","TEST","絲開發"}), L1168, IFERROR(IF(C1168="", "", (SUM(J1168, N1168, R1168, V1168)/3 * AG1168) * IF(AND(AF1168="S", AS1168="雙"), 0.5, 1)), ""))</f>
        <v>停機</v>
      </c>
      <c r="AB1168" s="1413" t="str">
        <f t="shared" si="197"/>
        <v/>
      </c>
      <c r="AC1168" s="984" t="str">
        <f>IF(OR(L1168={"改紡","檢修","了機","清車","FINAL","停機","SAMPLE","TEST"}), "", IFERROR(IF(C1168="", "", AVERAGE(L1168:M1168, P1168:Q1168, T1168:U1168, X1168:Y1168)/100), ""))</f>
        <v/>
      </c>
      <c r="AD1168" s="984" t="str">
        <f t="shared" si="204"/>
        <v/>
      </c>
      <c r="AE1168" s="984" t="str">
        <f t="shared" si="198"/>
        <v/>
      </c>
      <c r="AF1168" s="985" t="str">
        <f t="shared" si="199"/>
        <v>A</v>
      </c>
      <c r="AG1168" s="1414">
        <v>1</v>
      </c>
      <c r="AH1168" s="1002" t="s">
        <v>16011</v>
      </c>
      <c r="AI1168" s="1002" t="s">
        <v>640</v>
      </c>
      <c r="AJ1168" s="1002" t="s">
        <v>640</v>
      </c>
      <c r="AK1168" s="1002" t="s">
        <v>640</v>
      </c>
      <c r="AL1168" s="1415"/>
      <c r="AM1168" s="1323"/>
      <c r="AN1168" s="1323"/>
      <c r="AO1168" s="1323"/>
      <c r="AP1168" s="1323"/>
      <c r="AQ1168" s="1323"/>
      <c r="AR1168" s="987"/>
      <c r="AS1168" s="978" t="str">
        <f t="shared" si="200"/>
        <v>單</v>
      </c>
      <c r="AT1168" s="978" t="str">
        <f t="shared" si="201"/>
        <v>全</v>
      </c>
      <c r="AU1168" s="978" t="str">
        <f t="shared" si="202"/>
        <v/>
      </c>
      <c r="AV1168" s="978" t="str">
        <f t="shared" si="203"/>
        <v/>
      </c>
    </row>
    <row r="1169" spans="1:48">
      <c r="A1169" s="975">
        <f t="shared" si="196"/>
        <v>46172</v>
      </c>
      <c r="B1169" s="976" t="s">
        <v>231</v>
      </c>
      <c r="C1169" s="976" t="s">
        <v>632</v>
      </c>
      <c r="D1169" s="1410"/>
      <c r="E1169" s="977" t="str">
        <f>IFERROR(VLOOKUP(C1169, [6]條件!$A:$L, 5, 0), "")</f>
        <v/>
      </c>
      <c r="F1169" s="978" t="str">
        <f>IFERROR(VLOOKUP(C1169, [6]條件!$A:$L, 6, 0), "")</f>
        <v/>
      </c>
      <c r="G1169" s="1411" t="str">
        <f>IFERROR(VLOOKUP(C1169, [6]條件!$A:$L, 7, 0), "")</f>
        <v/>
      </c>
      <c r="H1169" s="978" t="str">
        <f>IF(ISNA(VLOOKUP(C1169,[6]條件!$A$1:$K$932,11,0)),"",(VLOOKUP(C1169,[6]條件!$A$1:$K$932,11,0)))</f>
        <v/>
      </c>
      <c r="I1169" s="979" t="str">
        <f>IF(ISNA(VLOOKUP(C1169,[6]條件!$A$1:$L$932,12,0)),"",(VLOOKUP(C1169,[6]條件!$A$1:$L$932,12,0)))</f>
        <v/>
      </c>
      <c r="J1169" s="982"/>
      <c r="K1169" s="980"/>
      <c r="L1169" s="981" t="s">
        <v>632</v>
      </c>
      <c r="M1169" s="983"/>
      <c r="N1169" s="982"/>
      <c r="O1169" s="980"/>
      <c r="P1169" s="981" t="s">
        <v>632</v>
      </c>
      <c r="Q1169" s="983"/>
      <c r="R1169" s="982"/>
      <c r="S1169" s="980"/>
      <c r="T1169" s="981" t="s">
        <v>632</v>
      </c>
      <c r="U1169" s="983"/>
      <c r="V1169" s="982"/>
      <c r="W1169" s="980"/>
      <c r="X1169" s="981" t="s">
        <v>632</v>
      </c>
      <c r="Y1169" s="983"/>
      <c r="Z1169" s="1412" t="str">
        <f>IFERROR(VLOOKUP(C1169, [6]條件!$A:$L, 3, 0), "")</f>
        <v/>
      </c>
      <c r="AA1169" s="984" t="str">
        <f>IF(OR(L1169={"改紡","檢修","了機","清車","FINAL","停機","SAMPLE","TEST","絲開發"}), L1169, IFERROR(IF(C1169="", "", (SUM(J1169, N1169, R1169, V1169)/3 * AG1169) * IF(AND(AF1169="S", AS1169="雙"), 0.5, 1)), ""))</f>
        <v>停機</v>
      </c>
      <c r="AB1169" s="1413" t="str">
        <f t="shared" si="197"/>
        <v/>
      </c>
      <c r="AC1169" s="984" t="str">
        <f>IF(OR(L1169={"改紡","檢修","了機","清車","FINAL","停機","SAMPLE","TEST"}), "", IFERROR(IF(C1169="", "", AVERAGE(L1169:M1169, P1169:Q1169, T1169:U1169, X1169:Y1169)/100), ""))</f>
        <v/>
      </c>
      <c r="AD1169" s="984" t="str">
        <f t="shared" si="204"/>
        <v/>
      </c>
      <c r="AE1169" s="984" t="str">
        <f t="shared" si="198"/>
        <v/>
      </c>
      <c r="AF1169" s="985" t="str">
        <f t="shared" si="199"/>
        <v>J</v>
      </c>
      <c r="AG1169" s="1414">
        <v>1</v>
      </c>
      <c r="AH1169" s="1002" t="s">
        <v>640</v>
      </c>
      <c r="AI1169" s="1002" t="s">
        <v>640</v>
      </c>
      <c r="AJ1169" s="1002" t="s">
        <v>640</v>
      </c>
      <c r="AK1169" s="1002" t="s">
        <v>640</v>
      </c>
      <c r="AL1169" s="1415"/>
      <c r="AM1169" s="1323"/>
      <c r="AN1169" s="1323"/>
      <c r="AO1169" s="1323"/>
      <c r="AP1169" s="1323"/>
      <c r="AQ1169" s="1323"/>
      <c r="AR1169" s="987"/>
      <c r="AS1169" s="978" t="str">
        <f t="shared" si="200"/>
        <v>單</v>
      </c>
      <c r="AT1169" s="978" t="str">
        <f t="shared" si="201"/>
        <v>全</v>
      </c>
      <c r="AU1169" s="978" t="str">
        <f t="shared" si="202"/>
        <v/>
      </c>
      <c r="AV1169" s="978" t="str">
        <f t="shared" si="203"/>
        <v/>
      </c>
    </row>
    <row r="1170" spans="1:48">
      <c r="A1170" s="975">
        <f t="shared" si="196"/>
        <v>46172</v>
      </c>
      <c r="B1170" s="976" t="s">
        <v>233</v>
      </c>
      <c r="C1170" s="976" t="s">
        <v>16772</v>
      </c>
      <c r="D1170" s="1410" t="s">
        <v>633</v>
      </c>
      <c r="E1170" s="977" t="str">
        <f>IFERROR(VLOOKUP(C1170, [6]條件!$A:$L, 5, 0), "")</f>
        <v>150/48/2SDr</v>
      </c>
      <c r="F1170" s="978" t="str">
        <f>IFERROR(VLOOKUP(C1170, [6]條件!$A:$L, 6, 0), "")</f>
        <v>FP82171R×2</v>
      </c>
      <c r="G1170" s="1411">
        <f>IFERROR(VLOOKUP(C1170, [6]條件!$A:$L, 7, 0), "")</f>
        <v>600</v>
      </c>
      <c r="H1170" s="978" t="str">
        <f>IF(ISNA(VLOOKUP(C1170,[6]條件!$A$1:$K$932,11,0)),"",(VLOOKUP(C1170,[6]條件!$A$1:$K$932,11,0)))</f>
        <v>紅白直條</v>
      </c>
      <c r="I1170" s="979">
        <f>IF(ISNA(VLOOKUP(C1170,[6]條件!$A$1:$L$932,12,0)),"",(VLOOKUP(C1170,[6]條件!$A$1:$L$932,12,0)))</f>
        <v>5.5</v>
      </c>
      <c r="J1170" s="982"/>
      <c r="K1170" s="980"/>
      <c r="L1170" s="981" t="s">
        <v>16002</v>
      </c>
      <c r="M1170" s="983"/>
      <c r="N1170" s="982"/>
      <c r="O1170" s="980"/>
      <c r="P1170" s="981" t="s">
        <v>16002</v>
      </c>
      <c r="Q1170" s="983"/>
      <c r="R1170" s="982"/>
      <c r="S1170" s="980"/>
      <c r="T1170" s="981" t="s">
        <v>16002</v>
      </c>
      <c r="U1170" s="983"/>
      <c r="V1170" s="982"/>
      <c r="W1170" s="980"/>
      <c r="X1170" s="981" t="s">
        <v>16002</v>
      </c>
      <c r="Y1170" s="983"/>
      <c r="Z1170" s="1412">
        <f>IFERROR(VLOOKUP(C1170, [6]條件!$A:$L, 3, 0), "")</f>
        <v>5.0526315789473673</v>
      </c>
      <c r="AA1170" s="984" t="str">
        <f>IF(OR(L1170={"改紡","檢修","了機","清車","FINAL","停機","SAMPLE","TEST","絲開發"}), L1170, IFERROR(IF(C1170="", "", (SUM(J1170, N1170, R1170, V1170)/3 * AG1170) * IF(AND(AF1170="S", AS1170="雙"), 0.5, 1)), ""))</f>
        <v>了機</v>
      </c>
      <c r="AB1170" s="1413" t="str">
        <f t="shared" si="197"/>
        <v/>
      </c>
      <c r="AC1170" s="984" t="str">
        <f>IF(OR(L1170={"改紡","檢修","了機","清車","FINAL","停機","SAMPLE","TEST"}), "", IFERROR(IF(C1170="", "", AVERAGE(L1170:M1170, P1170:Q1170, T1170:U1170, X1170:Y1170)/100), ""))</f>
        <v/>
      </c>
      <c r="AD1170" s="984" t="str">
        <f t="shared" si="204"/>
        <v/>
      </c>
      <c r="AE1170" s="984" t="str">
        <f t="shared" si="198"/>
        <v/>
      </c>
      <c r="AF1170" s="985" t="str">
        <f t="shared" si="199"/>
        <v>J</v>
      </c>
      <c r="AG1170" s="1414">
        <v>1</v>
      </c>
      <c r="AH1170" s="1002" t="s">
        <v>16019</v>
      </c>
      <c r="AI1170" s="1002" t="s">
        <v>815</v>
      </c>
      <c r="AJ1170" s="986" t="s">
        <v>16021</v>
      </c>
      <c r="AK1170" s="986" t="s">
        <v>814</v>
      </c>
      <c r="AL1170" s="1415">
        <v>55</v>
      </c>
      <c r="AM1170" s="1323">
        <v>46164</v>
      </c>
      <c r="AN1170" s="1323">
        <v>46165</v>
      </c>
      <c r="AO1170" s="1323">
        <v>46166</v>
      </c>
      <c r="AP1170" s="1323">
        <v>46167</v>
      </c>
      <c r="AQ1170" s="1323">
        <v>46168</v>
      </c>
      <c r="AR1170" s="987"/>
      <c r="AS1170" s="978" t="str">
        <f t="shared" si="200"/>
        <v>雙</v>
      </c>
      <c r="AT1170" s="978" t="str">
        <f t="shared" si="201"/>
        <v>全</v>
      </c>
      <c r="AU1170" s="978">
        <f t="shared" si="202"/>
        <v>150</v>
      </c>
      <c r="AV1170" s="978" t="str">
        <f t="shared" si="203"/>
        <v/>
      </c>
    </row>
    <row r="1171" spans="1:48">
      <c r="A1171" s="975">
        <f t="shared" si="196"/>
        <v>46172</v>
      </c>
      <c r="B1171" s="976" t="s">
        <v>234</v>
      </c>
      <c r="C1171" s="976" t="s">
        <v>632</v>
      </c>
      <c r="D1171" s="1410"/>
      <c r="E1171" s="977" t="str">
        <f>IFERROR(VLOOKUP(C1171, [6]條件!$A:$L, 5, 0), "")</f>
        <v/>
      </c>
      <c r="F1171" s="978" t="str">
        <f>IFERROR(VLOOKUP(C1171, [6]條件!$A:$L, 6, 0), "")</f>
        <v/>
      </c>
      <c r="G1171" s="1411" t="str">
        <f>IFERROR(VLOOKUP(C1171, [6]條件!$A:$L, 7, 0), "")</f>
        <v/>
      </c>
      <c r="H1171" s="978" t="str">
        <f>IF(ISNA(VLOOKUP(C1171,[6]條件!$A$1:$K$932,11,0)),"",(VLOOKUP(C1171,[6]條件!$A$1:$K$932,11,0)))</f>
        <v/>
      </c>
      <c r="I1171" s="979" t="str">
        <f>IF(ISNA(VLOOKUP(C1171,[6]條件!$A$1:$L$932,12,0)),"",(VLOOKUP(C1171,[6]條件!$A$1:$L$932,12,0)))</f>
        <v/>
      </c>
      <c r="J1171" s="982"/>
      <c r="K1171" s="980"/>
      <c r="L1171" s="981" t="s">
        <v>632</v>
      </c>
      <c r="M1171" s="983"/>
      <c r="N1171" s="982"/>
      <c r="O1171" s="980"/>
      <c r="P1171" s="981" t="s">
        <v>632</v>
      </c>
      <c r="Q1171" s="983"/>
      <c r="R1171" s="982"/>
      <c r="S1171" s="980"/>
      <c r="T1171" s="981" t="s">
        <v>632</v>
      </c>
      <c r="U1171" s="983"/>
      <c r="V1171" s="982"/>
      <c r="W1171" s="980"/>
      <c r="X1171" s="981" t="s">
        <v>632</v>
      </c>
      <c r="Y1171" s="983"/>
      <c r="Z1171" s="1412" t="str">
        <f>IFERROR(VLOOKUP(C1171, [6]條件!$A:$L, 3, 0), "")</f>
        <v/>
      </c>
      <c r="AA1171" s="984" t="str">
        <f>IF(OR(L1171={"改紡","檢修","了機","清車","FINAL","停機","SAMPLE","TEST","絲開發"}), L1171, IFERROR(IF(C1171="", "", (SUM(J1171, N1171, R1171, V1171)/3 * AG1171) * IF(AND(AF1171="S", AS1171="雙"), 0.5, 1)), ""))</f>
        <v>停機</v>
      </c>
      <c r="AB1171" s="1413" t="str">
        <f t="shared" si="197"/>
        <v/>
      </c>
      <c r="AC1171" s="984" t="str">
        <f>IF(OR(L1171={"改紡","檢修","了機","清車","FINAL","停機","SAMPLE","TEST"}), "", IFERROR(IF(C1171="", "", AVERAGE(L1171:M1171, P1171:Q1171, T1171:U1171, X1171:Y1171)/100), ""))</f>
        <v/>
      </c>
      <c r="AD1171" s="984" t="str">
        <f t="shared" si="204"/>
        <v/>
      </c>
      <c r="AE1171" s="984" t="str">
        <f t="shared" si="198"/>
        <v/>
      </c>
      <c r="AF1171" s="985" t="str">
        <f t="shared" si="199"/>
        <v>J</v>
      </c>
      <c r="AG1171" s="1414">
        <v>1</v>
      </c>
      <c r="AH1171" s="1002" t="s">
        <v>640</v>
      </c>
      <c r="AI1171" s="1002" t="s">
        <v>640</v>
      </c>
      <c r="AJ1171" s="986" t="s">
        <v>640</v>
      </c>
      <c r="AK1171" s="986" t="s">
        <v>640</v>
      </c>
      <c r="AL1171" s="1415"/>
      <c r="AM1171" s="1323"/>
      <c r="AN1171" s="1323"/>
      <c r="AO1171" s="1323"/>
      <c r="AP1171" s="1323"/>
      <c r="AQ1171" s="1323"/>
      <c r="AR1171" s="987"/>
      <c r="AS1171" s="978" t="str">
        <f t="shared" si="200"/>
        <v>單</v>
      </c>
      <c r="AT1171" s="978" t="str">
        <f t="shared" si="201"/>
        <v>全</v>
      </c>
      <c r="AU1171" s="978" t="str">
        <f t="shared" si="202"/>
        <v/>
      </c>
      <c r="AV1171" s="978" t="str">
        <f t="shared" si="203"/>
        <v/>
      </c>
    </row>
    <row r="1172" spans="1:48">
      <c r="A1172" s="975">
        <f>A1170</f>
        <v>46172</v>
      </c>
      <c r="B1172" s="976" t="s">
        <v>235</v>
      </c>
      <c r="C1172" s="976" t="s">
        <v>16765</v>
      </c>
      <c r="D1172" s="1410" t="s">
        <v>633</v>
      </c>
      <c r="E1172" s="977" t="str">
        <f>IFERROR(VLOOKUP(C1172, [6]條件!$A:$L, 5, 0), "")</f>
        <v>150/48/2SDr</v>
      </c>
      <c r="F1172" s="978" t="str">
        <f>IFERROR(VLOOKUP(C1172, [6]條件!$A:$L, 6, 0), "")</f>
        <v>FP82173R×2</v>
      </c>
      <c r="G1172" s="1411">
        <f>IFERROR(VLOOKUP(C1172, [6]條件!$A:$L, 7, 0), "")</f>
        <v>700</v>
      </c>
      <c r="H1172" s="978" t="str">
        <f>IF(ISNA(VLOOKUP(C1172,[6]條件!$A$1:$K$932,11,0)),"",(VLOOKUP(C1172,[6]條件!$A$1:$K$932,11,0)))</f>
        <v>白紫條紋</v>
      </c>
      <c r="I1172" s="979">
        <f>IF(ISNA(VLOOKUP(C1172,[6]條件!$A$1:$L$932,12,0)),"",(VLOOKUP(C1172,[6]條件!$A$1:$L$932,12,0)))</f>
        <v>5.5</v>
      </c>
      <c r="J1172" s="982"/>
      <c r="K1172" s="980"/>
      <c r="L1172" s="981" t="s">
        <v>16002</v>
      </c>
      <c r="M1172" s="983"/>
      <c r="N1172" s="982"/>
      <c r="O1172" s="980"/>
      <c r="P1172" s="981" t="s">
        <v>15855</v>
      </c>
      <c r="Q1172" s="983"/>
      <c r="R1172" s="982"/>
      <c r="S1172" s="980"/>
      <c r="T1172" s="981" t="s">
        <v>632</v>
      </c>
      <c r="U1172" s="983"/>
      <c r="V1172" s="982"/>
      <c r="W1172" s="980"/>
      <c r="X1172" s="981" t="s">
        <v>632</v>
      </c>
      <c r="Y1172" s="983"/>
      <c r="Z1172" s="1412">
        <f>IFERROR(VLOOKUP(C1172, [6]條件!$A:$L, 3, 0), "")</f>
        <v>5.8775510204081636</v>
      </c>
      <c r="AA1172" s="984" t="str">
        <f>IF(OR(L1172={"改紡","檢修","了機","清車","FINAL","停機","SAMPLE","TEST","絲開發"}), L1172, IFERROR(IF(C1172="", "", (SUM(J1172, N1172, R1172, V1172)/3 * AG1172) * IF(AND(AF1172="S", AS1172="雙"), 0.5, 1)), ""))</f>
        <v>了機</v>
      </c>
      <c r="AB1172" s="1413" t="str">
        <f t="shared" si="197"/>
        <v/>
      </c>
      <c r="AC1172" s="984" t="str">
        <f>IF(OR(L1172={"改紡","檢修","了機","清車","FINAL","停機","SAMPLE","TEST"}), "", IFERROR(IF(C1172="", "", AVERAGE(L1172:M1172, P1172:Q1172, T1172:U1172, X1172:Y1172)/100), ""))</f>
        <v/>
      </c>
      <c r="AD1172" s="984" t="str">
        <f t="shared" si="204"/>
        <v/>
      </c>
      <c r="AE1172" s="984" t="str">
        <f t="shared" si="198"/>
        <v/>
      </c>
      <c r="AF1172" s="985" t="str">
        <f t="shared" si="199"/>
        <v>T</v>
      </c>
      <c r="AG1172" s="1414">
        <v>2</v>
      </c>
      <c r="AH1172" s="1002" t="s">
        <v>16020</v>
      </c>
      <c r="AI1172" s="1002" t="s">
        <v>16022</v>
      </c>
      <c r="AJ1172" s="1002" t="s">
        <v>16010</v>
      </c>
      <c r="AK1172" s="1002" t="s">
        <v>835</v>
      </c>
      <c r="AL1172" s="1415">
        <v>56</v>
      </c>
      <c r="AM1172" s="1323">
        <v>46167</v>
      </c>
      <c r="AN1172" s="1323">
        <v>46168</v>
      </c>
      <c r="AO1172" s="1323"/>
      <c r="AP1172" s="1323"/>
      <c r="AQ1172" s="1323"/>
      <c r="AR1172" s="987"/>
      <c r="AS1172" s="978" t="str">
        <f t="shared" si="200"/>
        <v>雙</v>
      </c>
      <c r="AT1172" s="978" t="str">
        <f t="shared" si="201"/>
        <v>半</v>
      </c>
      <c r="AU1172" s="978">
        <f t="shared" si="202"/>
        <v>150</v>
      </c>
      <c r="AV1172" s="978" t="str">
        <f t="shared" si="203"/>
        <v/>
      </c>
    </row>
    <row r="1173" spans="1:48">
      <c r="A1173" s="975">
        <f>A1171</f>
        <v>46172</v>
      </c>
      <c r="B1173" s="976" t="s">
        <v>235</v>
      </c>
      <c r="C1173" s="976"/>
      <c r="D1173" s="1410"/>
      <c r="E1173" s="977" t="str">
        <f>IFERROR(VLOOKUP(C1173, [6]條件!$A:$L, 5, 0), "")</f>
        <v/>
      </c>
      <c r="F1173" s="978" t="str">
        <f>IFERROR(VLOOKUP(C1173, [6]條件!$A:$L, 6, 0), "")</f>
        <v/>
      </c>
      <c r="G1173" s="1411" t="str">
        <f>IFERROR(VLOOKUP(C1173, [6]條件!$A:$L, 7, 0), "")</f>
        <v/>
      </c>
      <c r="H1173" s="978" t="str">
        <f>IF(ISNA(VLOOKUP(C1173,[6]條件!$A$1:$K$932,11,0)),"",(VLOOKUP(C1173,[6]條件!$A$1:$K$932,11,0)))</f>
        <v/>
      </c>
      <c r="I1173" s="979" t="str">
        <f>IF(ISNA(VLOOKUP(C1173,[6]條件!$A$1:$L$932,12,0)),"",(VLOOKUP(C1173,[6]條件!$A$1:$L$932,12,0)))</f>
        <v/>
      </c>
      <c r="J1173" s="982"/>
      <c r="K1173" s="980"/>
      <c r="L1173" s="981" t="s">
        <v>632</v>
      </c>
      <c r="M1173" s="983" t="s">
        <v>16794</v>
      </c>
      <c r="N1173" s="982"/>
      <c r="O1173" s="980"/>
      <c r="P1173" s="981"/>
      <c r="Q1173" s="983" t="s">
        <v>632</v>
      </c>
      <c r="R1173" s="982"/>
      <c r="S1173" s="980"/>
      <c r="T1173" s="981"/>
      <c r="U1173" s="983" t="s">
        <v>632</v>
      </c>
      <c r="V1173" s="982"/>
      <c r="W1173" s="980"/>
      <c r="X1173" s="981"/>
      <c r="Y1173" s="983" t="s">
        <v>632</v>
      </c>
      <c r="Z1173" s="1412" t="str">
        <f>IFERROR(VLOOKUP(C1173, [6]條件!$A:$L, 3, 0), "")</f>
        <v/>
      </c>
      <c r="AA1173" s="984" t="str">
        <f>IF(OR(L1173={"改紡","檢修","了機","清車","FINAL","停機","SAMPLE","TEST","絲開發"}), L1173, IFERROR(IF(C1173="", "", (SUM(J1173, N1173, R1173, V1173)/3 * AG1173) * IF(AND(AF1173="S", AS1173="雙"), 0.5, 1)), ""))</f>
        <v>停機</v>
      </c>
      <c r="AB1173" s="1413" t="str">
        <f t="shared" si="197"/>
        <v/>
      </c>
      <c r="AC1173" s="984" t="str">
        <f>IF(OR(L1173={"改紡","檢修","了機","清車","FINAL","停機","SAMPLE","TEST"}), "", IFERROR(IF(C1173="", "", AVERAGE(L1173:M1173, P1173:Q1173, T1173:U1173, X1173:Y1173)/100), ""))</f>
        <v/>
      </c>
      <c r="AD1173" s="984" t="str">
        <f t="shared" si="204"/>
        <v/>
      </c>
      <c r="AE1173" s="984" t="str">
        <f t="shared" si="198"/>
        <v/>
      </c>
      <c r="AF1173" s="985" t="str">
        <f t="shared" si="199"/>
        <v>T</v>
      </c>
      <c r="AG1173" s="1414">
        <v>1</v>
      </c>
      <c r="AH1173" s="1002" t="s">
        <v>16020</v>
      </c>
      <c r="AI1173" s="1002" t="s">
        <v>16022</v>
      </c>
      <c r="AJ1173" s="1002" t="s">
        <v>16010</v>
      </c>
      <c r="AK1173" s="1002" t="s">
        <v>835</v>
      </c>
      <c r="AL1173" s="1415"/>
      <c r="AM1173" s="1323"/>
      <c r="AN1173" s="1323"/>
      <c r="AO1173" s="1323"/>
      <c r="AP1173" s="1323"/>
      <c r="AQ1173" s="1323"/>
      <c r="AR1173" s="987"/>
      <c r="AS1173" s="978" t="str">
        <f t="shared" si="200"/>
        <v>單</v>
      </c>
      <c r="AT1173" s="978" t="str">
        <f t="shared" si="201"/>
        <v>全</v>
      </c>
      <c r="AU1173" s="978" t="str">
        <f t="shared" si="202"/>
        <v/>
      </c>
      <c r="AV1173" s="978" t="str">
        <f t="shared" si="203"/>
        <v/>
      </c>
    </row>
    <row r="1174" spans="1:48">
      <c r="A1174" s="975">
        <f t="shared" si="196"/>
        <v>46172</v>
      </c>
      <c r="B1174" s="976" t="s">
        <v>237</v>
      </c>
      <c r="C1174" s="976" t="s">
        <v>16759</v>
      </c>
      <c r="D1174" s="1410" t="s">
        <v>633</v>
      </c>
      <c r="E1174" s="977" t="str">
        <f>IFERROR(VLOOKUP(C1174, [6]條件!$A:$L, 5, 0), "")</f>
        <v>150/48/2SDr</v>
      </c>
      <c r="F1174" s="978" t="str">
        <f>IFERROR(VLOOKUP(C1174, [6]條件!$A:$L, 6, 0), "")</f>
        <v>FP82171R×2</v>
      </c>
      <c r="G1174" s="1411">
        <f>IFERROR(VLOOKUP(C1174, [6]條件!$A:$L, 7, 0), "")</f>
        <v>700</v>
      </c>
      <c r="H1174" s="978" t="str">
        <f>IF(ISNA(VLOOKUP(C1174,[6]條件!$A$1:$K$932,11,0)),"",(VLOOKUP(C1174,[6]條件!$A$1:$K$932,11,0)))</f>
        <v>紅底黃星</v>
      </c>
      <c r="I1174" s="979">
        <f>IF(ISNA(VLOOKUP(C1174,[6]條件!$A$1:$L$932,12,0)),"",(VLOOKUP(C1174,[6]條件!$A$1:$L$932,12,0)))</f>
        <v>5.5</v>
      </c>
      <c r="J1174" s="982"/>
      <c r="K1174" s="980"/>
      <c r="L1174" s="981" t="s">
        <v>16002</v>
      </c>
      <c r="M1174" s="983"/>
      <c r="N1174" s="982"/>
      <c r="O1174" s="980"/>
      <c r="P1174" s="981" t="s">
        <v>16004</v>
      </c>
      <c r="Q1174" s="983" t="s">
        <v>16002</v>
      </c>
      <c r="R1174" s="982"/>
      <c r="S1174" s="980"/>
      <c r="T1174" s="981" t="s">
        <v>16004</v>
      </c>
      <c r="U1174" s="983" t="s">
        <v>15855</v>
      </c>
      <c r="V1174" s="982"/>
      <c r="W1174" s="980"/>
      <c r="X1174" s="981" t="s">
        <v>632</v>
      </c>
      <c r="Y1174" s="983"/>
      <c r="Z1174" s="1412">
        <f>IFERROR(VLOOKUP(C1174, [6]條件!$A:$L, 3, 0), "")</f>
        <v>5.8299595141700413</v>
      </c>
      <c r="AA1174" s="984" t="str">
        <f>IF(OR(L1174={"改紡","檢修","了機","清車","FINAL","停機","SAMPLE","TEST","絲開發"}), L1174, IFERROR(IF(C1174="", "", (SUM(J1174, N1174, R1174, V1174)/3 * AG1174) * IF(AND(AF1174="S", AS1174="雙"), 0.5, 1)), ""))</f>
        <v>了機</v>
      </c>
      <c r="AB1174" s="1413" t="str">
        <f t="shared" si="197"/>
        <v/>
      </c>
      <c r="AC1174" s="984" t="str">
        <f>IF(OR(L1174={"改紡","檢修","了機","清車","FINAL","停機","SAMPLE","TEST"}), "", IFERROR(IF(C1174="", "", AVERAGE(L1174:M1174, P1174:Q1174, T1174:U1174, X1174:Y1174)/100), ""))</f>
        <v/>
      </c>
      <c r="AD1174" s="984" t="str">
        <f t="shared" si="204"/>
        <v/>
      </c>
      <c r="AE1174" s="984" t="str">
        <f t="shared" si="198"/>
        <v/>
      </c>
      <c r="AF1174" s="985" t="str">
        <f t="shared" si="199"/>
        <v>T</v>
      </c>
      <c r="AG1174" s="1414">
        <v>1</v>
      </c>
      <c r="AH1174" s="1002" t="s">
        <v>16008</v>
      </c>
      <c r="AI1174" s="1002" t="s">
        <v>638</v>
      </c>
      <c r="AJ1174" s="986" t="s">
        <v>16014</v>
      </c>
      <c r="AK1174" s="986" t="s">
        <v>652</v>
      </c>
      <c r="AL1174" s="1415">
        <v>55</v>
      </c>
      <c r="AM1174" s="1323">
        <v>46167</v>
      </c>
      <c r="AN1174" s="1323">
        <v>46168</v>
      </c>
      <c r="AO1174" s="1323"/>
      <c r="AP1174" s="1323"/>
      <c r="AQ1174" s="1323"/>
      <c r="AR1174" s="987"/>
      <c r="AS1174" s="978" t="str">
        <f t="shared" si="200"/>
        <v>雙</v>
      </c>
      <c r="AT1174" s="978" t="str">
        <f t="shared" si="201"/>
        <v>全</v>
      </c>
      <c r="AU1174" s="978">
        <f t="shared" si="202"/>
        <v>150</v>
      </c>
      <c r="AV1174" s="978" t="str">
        <f t="shared" si="203"/>
        <v/>
      </c>
    </row>
    <row r="1175" spans="1:48">
      <c r="A1175" s="975">
        <f t="shared" ref="A1175:A1191" si="205">A1174</f>
        <v>46172</v>
      </c>
      <c r="B1175" s="976" t="s">
        <v>238</v>
      </c>
      <c r="C1175" s="976" t="s">
        <v>16743</v>
      </c>
      <c r="D1175" s="1410"/>
      <c r="E1175" s="977" t="str">
        <f>IFERROR(VLOOKUP(C1175, [6]條件!$A:$L, 5, 0), "")</f>
        <v>150/48/2SDr</v>
      </c>
      <c r="F1175" s="978" t="str">
        <f>IFERROR(VLOOKUP(C1175, [6]條件!$A:$L, 6, 0), "")</f>
        <v>FP82169R×2</v>
      </c>
      <c r="G1175" s="1411">
        <f>IFERROR(VLOOKUP(C1175, [6]條件!$A:$L, 7, 0), "")</f>
        <v>670</v>
      </c>
      <c r="H1175" s="978" t="str">
        <f>IF(ISNA(VLOOKUP(C1175,[6]條件!$A$1:$K$932,11,0)),"",(VLOOKUP(C1175,[6]條件!$A$1:$K$932,11,0)))</f>
        <v>黃底紅點</v>
      </c>
      <c r="I1175" s="979">
        <f>IF(ISNA(VLOOKUP(C1175,[6]條件!$A$1:$L$932,12,0)),"",(VLOOKUP(C1175,[6]條件!$A$1:$L$932,12,0)))</f>
        <v>5</v>
      </c>
      <c r="J1175" s="982">
        <v>23</v>
      </c>
      <c r="K1175" s="980">
        <v>0</v>
      </c>
      <c r="L1175" s="981">
        <v>8800</v>
      </c>
      <c r="M1175" s="983"/>
      <c r="N1175" s="982">
        <v>12</v>
      </c>
      <c r="O1175" s="980">
        <v>0</v>
      </c>
      <c r="P1175" s="981">
        <v>8980</v>
      </c>
      <c r="Q1175" s="983"/>
      <c r="R1175" s="982">
        <v>6</v>
      </c>
      <c r="S1175" s="980">
        <v>0</v>
      </c>
      <c r="T1175" s="981">
        <v>8430</v>
      </c>
      <c r="U1175" s="983"/>
      <c r="V1175" s="982">
        <v>19</v>
      </c>
      <c r="W1175" s="980">
        <v>2</v>
      </c>
      <c r="X1175" s="981">
        <v>9170</v>
      </c>
      <c r="Y1175" s="983"/>
      <c r="Z1175" s="1412">
        <f>IFERROR(VLOOKUP(C1175, [6]條件!$A:$L, 3, 0), "")</f>
        <v>6.2882096069868991</v>
      </c>
      <c r="AA1175" s="984">
        <f>IF(OR(L1175={"改紡","檢修","了機","清車","FINAL","停機","SAMPLE","TEST","絲開發"}), L1175, IFERROR(IF(C1175="", "", (SUM(J1175, N1175, R1175, V1175)/3 * AG1175) * IF(AND(AF1175="S", AS1175="雙"), 0.5, 1)), ""))</f>
        <v>40</v>
      </c>
      <c r="AB1175" s="1413">
        <f t="shared" si="197"/>
        <v>0.9984708867521368</v>
      </c>
      <c r="AC1175" s="984">
        <f>IF(OR(L1175={"改紡","檢修","了機","清車","FINAL","停機","SAMPLE","TEST"}), "", IFERROR(IF(C1175="", "", AVERAGE(L1175:M1175, P1175:Q1175, T1175:U1175, X1175:Y1175)/100), ""))</f>
        <v>88.45</v>
      </c>
      <c r="AD1175" s="984">
        <f t="shared" si="204"/>
        <v>5</v>
      </c>
      <c r="AE1175" s="984">
        <f t="shared" si="198"/>
        <v>4.833333333333333</v>
      </c>
      <c r="AF1175" s="985" t="str">
        <f t="shared" si="199"/>
        <v>T</v>
      </c>
      <c r="AG1175" s="1414">
        <v>2</v>
      </c>
      <c r="AH1175" s="1002" t="s">
        <v>16020</v>
      </c>
      <c r="AI1175" s="1002" t="s">
        <v>16022</v>
      </c>
      <c r="AJ1175" s="1002" t="s">
        <v>16010</v>
      </c>
      <c r="AK1175" s="1002" t="s">
        <v>835</v>
      </c>
      <c r="AL1175" s="1415">
        <v>48</v>
      </c>
      <c r="AM1175" s="1323">
        <v>46163</v>
      </c>
      <c r="AN1175" s="1323">
        <v>46164</v>
      </c>
      <c r="AO1175" s="1323"/>
      <c r="AP1175" s="1323"/>
      <c r="AQ1175" s="1323"/>
      <c r="AR1175" s="987"/>
      <c r="AS1175" s="978" t="str">
        <f t="shared" si="200"/>
        <v>雙</v>
      </c>
      <c r="AT1175" s="978" t="str">
        <f t="shared" si="201"/>
        <v>半</v>
      </c>
      <c r="AU1175" s="978">
        <f t="shared" si="202"/>
        <v>150</v>
      </c>
      <c r="AV1175" s="978">
        <f t="shared" si="203"/>
        <v>3.0721161599999998</v>
      </c>
    </row>
    <row r="1176" spans="1:48">
      <c r="A1176" s="975">
        <f t="shared" si="205"/>
        <v>46172</v>
      </c>
      <c r="B1176" s="976" t="s">
        <v>238</v>
      </c>
      <c r="C1176" s="976" t="s">
        <v>16742</v>
      </c>
      <c r="D1176" s="1410"/>
      <c r="E1176" s="977" t="str">
        <f>IFERROR(VLOOKUP(C1176, [6]條件!$A:$L, 5, 0), "")</f>
        <v>150/48/2SDr</v>
      </c>
      <c r="F1176" s="978" t="str">
        <f>IFERROR(VLOOKUP(C1176, [6]條件!$A:$L, 6, 0), "")</f>
        <v>FP82169R×2</v>
      </c>
      <c r="G1176" s="1411">
        <f>IFERROR(VLOOKUP(C1176, [6]條件!$A:$L, 7, 0), "")</f>
        <v>670</v>
      </c>
      <c r="H1176" s="978" t="str">
        <f>IF(ISNA(VLOOKUP(C1176,[6]條件!$A$1:$K$932,11,0)),"",(VLOOKUP(C1176,[6]條件!$A$1:$K$932,11,0)))</f>
        <v>紅底藍點</v>
      </c>
      <c r="I1176" s="979">
        <f>IF(ISNA(VLOOKUP(C1176,[6]條件!$A$1:$L$932,12,0)),"",(VLOOKUP(C1176,[6]條件!$A$1:$L$932,12,0)))</f>
        <v>5</v>
      </c>
      <c r="J1176" s="982">
        <v>19</v>
      </c>
      <c r="K1176" s="980">
        <v>1</v>
      </c>
      <c r="L1176" s="981"/>
      <c r="M1176" s="983">
        <v>8700</v>
      </c>
      <c r="N1176" s="982">
        <v>10</v>
      </c>
      <c r="O1176" s="980">
        <v>0</v>
      </c>
      <c r="P1176" s="981"/>
      <c r="Q1176" s="983">
        <v>7690</v>
      </c>
      <c r="R1176" s="982">
        <v>31</v>
      </c>
      <c r="S1176" s="980">
        <v>0</v>
      </c>
      <c r="T1176" s="981">
        <v>8890</v>
      </c>
      <c r="U1176" s="983"/>
      <c r="V1176" s="982">
        <v>22</v>
      </c>
      <c r="W1176" s="980">
        <v>0</v>
      </c>
      <c r="X1176" s="981"/>
      <c r="Y1176" s="983">
        <v>9350</v>
      </c>
      <c r="Z1176" s="1412">
        <f>IFERROR(VLOOKUP(C1176, [6]條件!$A:$L, 3, 0), "")</f>
        <v>6.1802575107296125</v>
      </c>
      <c r="AA1176" s="984">
        <f>IF(OR(L1176={"改紡","檢修","了機","清車","FINAL","停機","SAMPLE","TEST","絲開發"}), L1176, IFERROR(IF(C1176="", "", (SUM(J1176, N1176, R1176, V1176)/3 * AG1176) * IF(AND(AF1176="S", AS1176="雙"), 0.5, 1)), ""))</f>
        <v>54.666666666666664</v>
      </c>
      <c r="AB1176" s="1413">
        <f t="shared" si="197"/>
        <v>0.99922208867521367</v>
      </c>
      <c r="AC1176" s="984">
        <f>IF(OR(L1176={"改紡","檢修","了機","清車","FINAL","停機","SAMPLE","TEST"}), "", IFERROR(IF(C1176="", "", AVERAGE(L1176:M1176, P1176:Q1176, T1176:U1176, X1176:Y1176)/100), ""))</f>
        <v>86.575000000000003</v>
      </c>
      <c r="AD1176" s="984">
        <f t="shared" si="204"/>
        <v>6.833333333333333</v>
      </c>
      <c r="AE1176" s="984">
        <f t="shared" si="198"/>
        <v>6.75</v>
      </c>
      <c r="AF1176" s="985" t="str">
        <f t="shared" si="199"/>
        <v>T</v>
      </c>
      <c r="AG1176" s="1414">
        <v>2</v>
      </c>
      <c r="AH1176" s="1002" t="s">
        <v>16020</v>
      </c>
      <c r="AI1176" s="1002" t="s">
        <v>16022</v>
      </c>
      <c r="AJ1176" s="1002" t="s">
        <v>16010</v>
      </c>
      <c r="AK1176" s="1002" t="s">
        <v>835</v>
      </c>
      <c r="AL1176" s="1415">
        <v>48</v>
      </c>
      <c r="AM1176" s="1323">
        <v>46157</v>
      </c>
      <c r="AN1176" s="1323">
        <v>46161</v>
      </c>
      <c r="AO1176" s="1323">
        <v>46162</v>
      </c>
      <c r="AP1176" s="1323">
        <v>46164</v>
      </c>
      <c r="AQ1176" s="1323"/>
      <c r="AR1176" s="987"/>
      <c r="AS1176" s="978" t="str">
        <f t="shared" si="200"/>
        <v>雙</v>
      </c>
      <c r="AT1176" s="978" t="str">
        <f t="shared" si="201"/>
        <v>半</v>
      </c>
      <c r="AU1176" s="978">
        <f t="shared" si="202"/>
        <v>150</v>
      </c>
      <c r="AV1176" s="978">
        <f t="shared" si="203"/>
        <v>3.0069921600000002</v>
      </c>
    </row>
    <row r="1177" spans="1:48">
      <c r="A1177" s="975">
        <f t="shared" si="205"/>
        <v>46172</v>
      </c>
      <c r="B1177" s="976" t="s">
        <v>239</v>
      </c>
      <c r="C1177" s="976" t="s">
        <v>16791</v>
      </c>
      <c r="D1177" s="1410"/>
      <c r="E1177" s="977" t="str">
        <f>IFERROR(VLOOKUP(C1177, [6]條件!$A:$L, 5, 0), "")</f>
        <v>75/72/2PFBR</v>
      </c>
      <c r="F1177" s="978" t="str">
        <f>IFERROR(VLOOKUP(C1177, [6]條件!$A:$L, 6, 0), "")</f>
        <v>FP01432R×2</v>
      </c>
      <c r="G1177" s="1411">
        <f>IFERROR(VLOOKUP(C1177, [6]條件!$A:$L, 7, 0), "")</f>
        <v>550</v>
      </c>
      <c r="H1177" s="978" t="str">
        <f>IF(ISNA(VLOOKUP(C1177,[6]條件!$A$1:$K$932,11,0)),"",(VLOOKUP(C1177,[6]條件!$A$1:$K$932,11,0)))</f>
        <v>紫色</v>
      </c>
      <c r="I1177" s="979">
        <f>IF(ISNA(VLOOKUP(C1177,[6]條件!$A$1:$L$932,12,0)),"",(VLOOKUP(C1177,[6]條件!$A$1:$L$932,12,0)))</f>
        <v>4</v>
      </c>
      <c r="J1177" s="982"/>
      <c r="K1177" s="980"/>
      <c r="L1177" s="981" t="s">
        <v>16002</v>
      </c>
      <c r="M1177" s="983"/>
      <c r="N1177" s="982"/>
      <c r="O1177" s="980"/>
      <c r="P1177" s="981" t="s">
        <v>16002</v>
      </c>
      <c r="Q1177" s="983"/>
      <c r="R1177" s="982"/>
      <c r="S1177" s="980"/>
      <c r="T1177" s="981" t="s">
        <v>16002</v>
      </c>
      <c r="U1177" s="983"/>
      <c r="V1177" s="982"/>
      <c r="W1177" s="980"/>
      <c r="X1177" s="981" t="s">
        <v>16002</v>
      </c>
      <c r="Y1177" s="983"/>
      <c r="Z1177" s="1412">
        <f>IFERROR(VLOOKUP(C1177, [6]條件!$A:$L, 3, 0), "")</f>
        <v>3.1578947368421053</v>
      </c>
      <c r="AA1177" s="984" t="str">
        <f>IF(OR(L1177={"改紡","檢修","了機","清車","FINAL","停機","SAMPLE","TEST","絲開發"}), L1177, IFERROR(IF(C1177="", "", (SUM(J1177, N1177, R1177, V1177)/3 * AG1177) * IF(AND(AF1177="S", AS1177="雙"), 0.5, 1)), ""))</f>
        <v>了機</v>
      </c>
      <c r="AB1177" s="1413" t="str">
        <f t="shared" si="197"/>
        <v/>
      </c>
      <c r="AC1177" s="984" t="str">
        <f>IF(OR(L1177={"改紡","檢修","了機","清車","FINAL","停機","SAMPLE","TEST"}), "", IFERROR(IF(C1177="", "", AVERAGE(L1177:M1177, P1177:Q1177, T1177:U1177, X1177:Y1177)/100), ""))</f>
        <v/>
      </c>
      <c r="AD1177" s="984" t="str">
        <f t="shared" si="204"/>
        <v/>
      </c>
      <c r="AE1177" s="984" t="str">
        <f t="shared" si="198"/>
        <v/>
      </c>
      <c r="AF1177" s="985" t="str">
        <f t="shared" si="199"/>
        <v>T</v>
      </c>
      <c r="AG1177" s="1414">
        <v>2</v>
      </c>
      <c r="AH1177" s="1002" t="s">
        <v>16008</v>
      </c>
      <c r="AI1177" s="1002" t="s">
        <v>638</v>
      </c>
      <c r="AJ1177" s="986" t="s">
        <v>16014</v>
      </c>
      <c r="AK1177" s="986" t="s">
        <v>652</v>
      </c>
      <c r="AL1177" s="1415">
        <v>52</v>
      </c>
      <c r="AM1177" s="1323">
        <v>46168</v>
      </c>
      <c r="AN1177" s="1323">
        <v>46169</v>
      </c>
      <c r="AO1177" s="1323"/>
      <c r="AP1177" s="1323"/>
      <c r="AQ1177" s="1323"/>
      <c r="AR1177" s="987"/>
      <c r="AS1177" s="978" t="str">
        <f t="shared" si="200"/>
        <v>雙</v>
      </c>
      <c r="AT1177" s="978" t="str">
        <f t="shared" si="201"/>
        <v>半</v>
      </c>
      <c r="AU1177" s="978">
        <f t="shared" si="202"/>
        <v>75</v>
      </c>
      <c r="AV1177" s="978" t="str">
        <f t="shared" si="203"/>
        <v/>
      </c>
    </row>
    <row r="1178" spans="1:48">
      <c r="A1178" s="975">
        <f t="shared" si="205"/>
        <v>46172</v>
      </c>
      <c r="B1178" s="976" t="s">
        <v>239</v>
      </c>
      <c r="C1178" s="976" t="s">
        <v>16787</v>
      </c>
      <c r="D1178" s="1410" t="s">
        <v>16788</v>
      </c>
      <c r="E1178" s="977" t="str">
        <f>IFERROR(VLOOKUP(C1178, [6]條件!$A:$L, 5, 0), "")</f>
        <v>150/48/2SDR</v>
      </c>
      <c r="F1178" s="978" t="str">
        <f>IFERROR(VLOOKUP(C1178, [6]條件!$A:$L, 6, 0), "")</f>
        <v>FP82169R×2</v>
      </c>
      <c r="G1178" s="1411">
        <f>IFERROR(VLOOKUP(C1178, [6]條件!$A:$L, 7, 0), "")</f>
        <v>650</v>
      </c>
      <c r="H1178" s="978" t="str">
        <f>IF(ISNA(VLOOKUP(C1178,[6]條件!$A$1:$K$932,11,0)),"",(VLOOKUP(C1178,[6]條件!$A$1:$K$932,11,0)))</f>
        <v>紫黃條紋</v>
      </c>
      <c r="I1178" s="979">
        <f>IF(ISNA(VLOOKUP(C1178,[6]條件!$A$1:$L$932,12,0)),"",(VLOOKUP(C1178,[6]條件!$A$1:$L$932,12,0)))</f>
        <v>5</v>
      </c>
      <c r="J1178" s="982"/>
      <c r="K1178" s="980"/>
      <c r="L1178" s="981" t="s">
        <v>16002</v>
      </c>
      <c r="M1178" s="983"/>
      <c r="N1178" s="982"/>
      <c r="O1178" s="980"/>
      <c r="P1178" s="981"/>
      <c r="Q1178" s="983" t="s">
        <v>127</v>
      </c>
      <c r="R1178" s="982"/>
      <c r="S1178" s="980"/>
      <c r="T1178" s="981"/>
      <c r="U1178" s="983" t="s">
        <v>127</v>
      </c>
      <c r="V1178" s="982"/>
      <c r="W1178" s="980"/>
      <c r="X1178" s="981"/>
      <c r="Y1178" s="983" t="s">
        <v>127</v>
      </c>
      <c r="Z1178" s="1412">
        <f>IFERROR(VLOOKUP(C1178, [6]條件!$A:$L, 3, 0), "")</f>
        <v>6.101694915254237</v>
      </c>
      <c r="AA1178" s="984" t="str">
        <f>IF(OR(L1178={"改紡","檢修","了機","清車","FINAL","停機","SAMPLE","TEST","絲開發"}), L1178, IFERROR(IF(C1178="", "", (SUM(J1178, N1178, R1178, V1178)/3 * AG1178) * IF(AND(AF1178="S", AS1178="雙"), 0.5, 1)), ""))</f>
        <v>了機</v>
      </c>
      <c r="AB1178" s="1413" t="str">
        <f t="shared" si="197"/>
        <v/>
      </c>
      <c r="AC1178" s="984" t="str">
        <f>IF(OR(L1178={"改紡","檢修","了機","清車","FINAL","停機","SAMPLE","TEST"}), "", IFERROR(IF(C1178="", "", AVERAGE(L1178:M1178, P1178:Q1178, T1178:U1178, X1178:Y1178)/100), ""))</f>
        <v/>
      </c>
      <c r="AD1178" s="984" t="str">
        <f t="shared" si="204"/>
        <v/>
      </c>
      <c r="AE1178" s="984" t="str">
        <f t="shared" si="198"/>
        <v/>
      </c>
      <c r="AF1178" s="985" t="str">
        <f t="shared" si="199"/>
        <v>T</v>
      </c>
      <c r="AG1178" s="1414">
        <v>2</v>
      </c>
      <c r="AH1178" s="1002" t="s">
        <v>16008</v>
      </c>
      <c r="AI1178" s="1002" t="s">
        <v>638</v>
      </c>
      <c r="AJ1178" s="986" t="s">
        <v>16014</v>
      </c>
      <c r="AK1178" s="986" t="s">
        <v>652</v>
      </c>
      <c r="AL1178" s="1415">
        <v>48</v>
      </c>
      <c r="AM1178" s="1323">
        <v>46163</v>
      </c>
      <c r="AN1178" s="1323">
        <v>46164</v>
      </c>
      <c r="AO1178" s="1323"/>
      <c r="AP1178" s="1323"/>
      <c r="AQ1178" s="1323"/>
      <c r="AR1178" s="987"/>
      <c r="AS1178" s="978" t="str">
        <f t="shared" si="200"/>
        <v>雙</v>
      </c>
      <c r="AT1178" s="978" t="str">
        <f t="shared" si="201"/>
        <v>半</v>
      </c>
      <c r="AU1178" s="978">
        <f t="shared" si="202"/>
        <v>150</v>
      </c>
      <c r="AV1178" s="978" t="str">
        <f t="shared" si="203"/>
        <v/>
      </c>
    </row>
    <row r="1179" spans="1:48">
      <c r="A1179" s="975">
        <f t="shared" si="205"/>
        <v>46172</v>
      </c>
      <c r="B1179" s="976" t="s">
        <v>388</v>
      </c>
      <c r="C1179" s="976" t="s">
        <v>16775</v>
      </c>
      <c r="D1179" s="1410" t="s">
        <v>633</v>
      </c>
      <c r="E1179" s="977" t="str">
        <f>IFERROR(VLOOKUP(C1179, [6]條件!$A:$L, 5, 0), "")</f>
        <v>150/48/2SDr</v>
      </c>
      <c r="F1179" s="978" t="str">
        <f>IFERROR(VLOOKUP(C1179, [6]條件!$A:$L, 6, 0), "")</f>
        <v>FP82173R×2</v>
      </c>
      <c r="G1179" s="1411">
        <f>IFERROR(VLOOKUP(C1179, [6]條件!$A:$L, 7, 0), "")</f>
        <v>700</v>
      </c>
      <c r="H1179" s="978" t="str">
        <f>IF(ISNA(VLOOKUP(C1179,[6]條件!$A$1:$K$932,11,0)),"",(VLOOKUP(C1179,[6]條件!$A$1:$K$932,11,0)))</f>
        <v>黃紅雙色</v>
      </c>
      <c r="I1179" s="979">
        <f>IF(ISNA(VLOOKUP(C1179,[6]條件!$A$1:$L$932,12,0)),"",(VLOOKUP(C1179,[6]條件!$A$1:$L$932,12,0)))</f>
        <v>5.5</v>
      </c>
      <c r="J1179" s="982">
        <v>26</v>
      </c>
      <c r="K1179" s="980">
        <v>3</v>
      </c>
      <c r="L1179" s="981">
        <v>7220</v>
      </c>
      <c r="M1179" s="983">
        <v>8610</v>
      </c>
      <c r="N1179" s="982">
        <v>31</v>
      </c>
      <c r="O1179" s="980">
        <v>3</v>
      </c>
      <c r="P1179" s="981">
        <v>6390</v>
      </c>
      <c r="Q1179" s="983">
        <v>9260</v>
      </c>
      <c r="R1179" s="982">
        <v>14</v>
      </c>
      <c r="S1179" s="980">
        <v>0</v>
      </c>
      <c r="T1179" s="981">
        <v>7310</v>
      </c>
      <c r="U1179" s="983">
        <v>8330</v>
      </c>
      <c r="V1179" s="982">
        <v>42</v>
      </c>
      <c r="W1179" s="980">
        <v>0</v>
      </c>
      <c r="X1179" s="981">
        <v>7590</v>
      </c>
      <c r="Y1179" s="983">
        <v>8980</v>
      </c>
      <c r="Z1179" s="1412">
        <f>IFERROR(VLOOKUP(C1179, [6]條件!$A:$L, 3, 0), "")</f>
        <v>5.8536585365853666</v>
      </c>
      <c r="AA1179" s="984">
        <f>IF(OR(L1179={"改紡","檢修","了機","清車","FINAL","停機","SAMPLE","TEST","絲開發"}), L1179, IFERROR(IF(C1179="", "", (SUM(J1179, N1179, R1179, V1179)/3 * AG1179) * IF(AND(AF1179="S", AS1179="雙"), 0.5, 1)), ""))</f>
        <v>37.666666666666664</v>
      </c>
      <c r="AB1179" s="1413">
        <f t="shared" si="197"/>
        <v>0.99507211538461537</v>
      </c>
      <c r="AC1179" s="984">
        <f>IF(OR(L1179={"改紡","檢修","了機","清車","FINAL","停機","SAMPLE","TEST"}), "", IFERROR(IF(C1179="", "", AVERAGE(L1179:M1179, P1179:Q1179, T1179:U1179, X1179:Y1179)/100), ""))</f>
        <v>79.612499999999997</v>
      </c>
      <c r="AD1179" s="984">
        <f t="shared" si="204"/>
        <v>4.708333333333333</v>
      </c>
      <c r="AE1179" s="984">
        <f t="shared" si="198"/>
        <v>4.458333333333333</v>
      </c>
      <c r="AF1179" s="985" t="str">
        <f t="shared" si="199"/>
        <v>T</v>
      </c>
      <c r="AG1179" s="1414">
        <v>1</v>
      </c>
      <c r="AH1179" s="1002" t="s">
        <v>16020</v>
      </c>
      <c r="AI1179" s="1002" t="s">
        <v>16022</v>
      </c>
      <c r="AJ1179" s="1002" t="s">
        <v>16010</v>
      </c>
      <c r="AK1179" s="1002" t="s">
        <v>835</v>
      </c>
      <c r="AL1179" s="1415">
        <v>56</v>
      </c>
      <c r="AM1179" s="1323">
        <v>46167</v>
      </c>
      <c r="AN1179" s="1323">
        <v>46168</v>
      </c>
      <c r="AO1179" s="1323"/>
      <c r="AP1179" s="1323"/>
      <c r="AQ1179" s="1323"/>
      <c r="AR1179" s="987"/>
      <c r="AS1179" s="978" t="str">
        <f t="shared" si="200"/>
        <v>雙</v>
      </c>
      <c r="AT1179" s="978" t="str">
        <f t="shared" si="201"/>
        <v>全</v>
      </c>
      <c r="AU1179" s="978">
        <f t="shared" si="202"/>
        <v>150</v>
      </c>
      <c r="AV1179" s="978">
        <f t="shared" si="203"/>
        <v>5.777956800000001</v>
      </c>
    </row>
    <row r="1180" spans="1:48">
      <c r="A1180" s="975">
        <f>A1178</f>
        <v>46172</v>
      </c>
      <c r="B1180" s="976" t="s">
        <v>417</v>
      </c>
      <c r="C1180" s="976" t="s">
        <v>16767</v>
      </c>
      <c r="D1180" s="1410" t="s">
        <v>633</v>
      </c>
      <c r="E1180" s="977" t="str">
        <f>IFERROR(VLOOKUP(C1180, [6]條件!$A:$L, 5, 0), "")</f>
        <v>150/48/2SDr</v>
      </c>
      <c r="F1180" s="978" t="str">
        <f>IFERROR(VLOOKUP(C1180, [6]條件!$A:$L, 6, 0), "")</f>
        <v>FP82173R×2</v>
      </c>
      <c r="G1180" s="1411">
        <f>IFERROR(VLOOKUP(C1180, [6]條件!$A:$L, 7, 0), "")</f>
        <v>700</v>
      </c>
      <c r="H1180" s="978" t="str">
        <f>IF(ISNA(VLOOKUP(C1180,[6]條件!$A$1:$K$932,11,0)),"",(VLOOKUP(C1180,[6]條件!$A$1:$K$932,11,0)))</f>
        <v>棕色</v>
      </c>
      <c r="I1180" s="979">
        <f>IF(ISNA(VLOOKUP(C1180,[6]條件!$A$1:$L$932,12,0)),"",(VLOOKUP(C1180,[6]條件!$A$1:$L$932,12,0)))</f>
        <v>5.5</v>
      </c>
      <c r="J1180" s="982">
        <v>37</v>
      </c>
      <c r="K1180" s="980">
        <v>0</v>
      </c>
      <c r="L1180" s="981" t="s">
        <v>16795</v>
      </c>
      <c r="M1180" s="983">
        <v>9720</v>
      </c>
      <c r="N1180" s="982"/>
      <c r="O1180" s="980"/>
      <c r="P1180" s="981" t="s">
        <v>127</v>
      </c>
      <c r="Q1180" s="983"/>
      <c r="R1180" s="982"/>
      <c r="S1180" s="980"/>
      <c r="T1180" s="981" t="s">
        <v>127</v>
      </c>
      <c r="U1180" s="983"/>
      <c r="V1180" s="982"/>
      <c r="W1180" s="980"/>
      <c r="X1180" s="981" t="s">
        <v>127</v>
      </c>
      <c r="Y1180" s="983"/>
      <c r="Z1180" s="1412">
        <f>IFERROR(VLOOKUP(C1180, [6]條件!$A:$L, 3, 0), "")</f>
        <v>5.8536585365853666</v>
      </c>
      <c r="AA1180" s="984">
        <f>IF(OR(L1180={"改紡","檢修","了機","清車","FINAL","停機","SAMPLE","TEST","絲開發"}), L1180, IFERROR(IF(C1180="", "", (SUM(J1180, N1180, R1180, V1180)/3 * AG1180) * IF(AND(AF1180="S", AS1180="雙"), 0.5, 1)), ""))</f>
        <v>24.666666666666668</v>
      </c>
      <c r="AB1180" s="1413">
        <f t="shared" si="197"/>
        <v>1</v>
      </c>
      <c r="AC1180" s="984">
        <f>IF(OR(L1180={"改紡","檢修","了機","清車","FINAL","停機","SAMPLE","TEST"}), "", IFERROR(IF(C1180="", "", AVERAGE(L1180:M1180, P1180:Q1180, T1180:U1180, X1180:Y1180)/100), ""))</f>
        <v>97.2</v>
      </c>
      <c r="AD1180" s="984">
        <f t="shared" si="204"/>
        <v>3.0833333333333335</v>
      </c>
      <c r="AE1180" s="984">
        <f t="shared" si="198"/>
        <v>3.0833333333333335</v>
      </c>
      <c r="AF1180" s="985" t="str">
        <f t="shared" si="199"/>
        <v>T</v>
      </c>
      <c r="AG1180" s="1414">
        <v>2</v>
      </c>
      <c r="AH1180" s="1002" t="s">
        <v>16020</v>
      </c>
      <c r="AI1180" s="1002" t="s">
        <v>16022</v>
      </c>
      <c r="AJ1180" s="986" t="s">
        <v>16014</v>
      </c>
      <c r="AK1180" s="986" t="s">
        <v>652</v>
      </c>
      <c r="AL1180" s="1415">
        <v>56</v>
      </c>
      <c r="AM1180" s="1323">
        <v>46168</v>
      </c>
      <c r="AN1180" s="1323"/>
      <c r="AO1180" s="1323"/>
      <c r="AP1180" s="1323"/>
      <c r="AQ1180" s="1323"/>
      <c r="AR1180" s="987"/>
      <c r="AS1180" s="978" t="str">
        <f t="shared" si="200"/>
        <v>雙</v>
      </c>
      <c r="AT1180" s="978" t="str">
        <f t="shared" si="201"/>
        <v>半</v>
      </c>
      <c r="AU1180" s="978">
        <f t="shared" si="202"/>
        <v>150</v>
      </c>
      <c r="AV1180" s="978">
        <f t="shared" si="203"/>
        <v>3.5271935999999999</v>
      </c>
    </row>
    <row r="1181" spans="1:48">
      <c r="A1181" s="975">
        <f>A1179</f>
        <v>46172</v>
      </c>
      <c r="B1181" s="976" t="s">
        <v>417</v>
      </c>
      <c r="C1181" s="976"/>
      <c r="D1181" s="1410"/>
      <c r="E1181" s="977" t="str">
        <f>IFERROR(VLOOKUP(C1181, [6]條件!$A:$L, 5, 0), "")</f>
        <v/>
      </c>
      <c r="F1181" s="978" t="str">
        <f>IFERROR(VLOOKUP(C1181, [6]條件!$A:$L, 6, 0), "")</f>
        <v/>
      </c>
      <c r="G1181" s="1411" t="str">
        <f>IFERROR(VLOOKUP(C1181, [6]條件!$A:$L, 7, 0), "")</f>
        <v/>
      </c>
      <c r="H1181" s="978" t="str">
        <f>IF(ISNA(VLOOKUP(C1181,[6]條件!$A$1:$K$932,11,0)),"",(VLOOKUP(C1181,[6]條件!$A$1:$K$932,11,0)))</f>
        <v/>
      </c>
      <c r="I1181" s="979" t="str">
        <f>IF(ISNA(VLOOKUP(C1181,[6]條件!$A$1:$L$932,12,0)),"",(VLOOKUP(C1181,[6]條件!$A$1:$L$932,12,0)))</f>
        <v/>
      </c>
      <c r="J1181" s="982"/>
      <c r="K1181" s="980"/>
      <c r="L1181" s="981" t="s">
        <v>632</v>
      </c>
      <c r="M1181" s="983" t="s">
        <v>16755</v>
      </c>
      <c r="N1181" s="982"/>
      <c r="O1181" s="980"/>
      <c r="P1181" s="981"/>
      <c r="Q1181" s="983" t="s">
        <v>632</v>
      </c>
      <c r="R1181" s="982"/>
      <c r="S1181" s="980"/>
      <c r="T1181" s="981"/>
      <c r="U1181" s="983" t="s">
        <v>632</v>
      </c>
      <c r="V1181" s="982"/>
      <c r="W1181" s="980"/>
      <c r="X1181" s="981"/>
      <c r="Y1181" s="983" t="s">
        <v>632</v>
      </c>
      <c r="Z1181" s="1412" t="str">
        <f>IFERROR(VLOOKUP(C1181, [6]條件!$A:$L, 3, 0), "")</f>
        <v/>
      </c>
      <c r="AA1181" s="984" t="str">
        <f>IF(OR(L1181={"改紡","檢修","了機","清車","FINAL","停機","SAMPLE","TEST","絲開發"}), L1181, IFERROR(IF(C1181="", "", (SUM(J1181, N1181, R1181, V1181)/3 * AG1181) * IF(AND(AF1181="S", AS1181="雙"), 0.5, 1)), ""))</f>
        <v>停機</v>
      </c>
      <c r="AB1181" s="1413" t="str">
        <f t="shared" si="197"/>
        <v/>
      </c>
      <c r="AC1181" s="984" t="str">
        <f>IF(OR(L1181={"改紡","檢修","了機","清車","FINAL","停機","SAMPLE","TEST"}), "", IFERROR(IF(C1181="", "", AVERAGE(L1181:M1181, P1181:Q1181, T1181:U1181, X1181:Y1181)/100), ""))</f>
        <v/>
      </c>
      <c r="AD1181" s="984" t="str">
        <f t="shared" si="204"/>
        <v/>
      </c>
      <c r="AE1181" s="984" t="str">
        <f t="shared" si="198"/>
        <v/>
      </c>
      <c r="AF1181" s="985" t="str">
        <f t="shared" si="199"/>
        <v>T</v>
      </c>
      <c r="AG1181" s="1414">
        <v>1</v>
      </c>
      <c r="AH1181" s="1002" t="s">
        <v>16008</v>
      </c>
      <c r="AI1181" s="1002" t="s">
        <v>16022</v>
      </c>
      <c r="AJ1181" s="986" t="s">
        <v>16014</v>
      </c>
      <c r="AK1181" s="986" t="s">
        <v>652</v>
      </c>
      <c r="AL1181" s="1415"/>
      <c r="AM1181" s="1323"/>
      <c r="AN1181" s="1323"/>
      <c r="AO1181" s="1323"/>
      <c r="AP1181" s="1323"/>
      <c r="AQ1181" s="1323"/>
      <c r="AR1181" s="987"/>
      <c r="AS1181" s="978" t="str">
        <f t="shared" si="200"/>
        <v>單</v>
      </c>
      <c r="AT1181" s="978" t="str">
        <f t="shared" si="201"/>
        <v>全</v>
      </c>
      <c r="AU1181" s="978" t="str">
        <f t="shared" si="202"/>
        <v/>
      </c>
      <c r="AV1181" s="978" t="str">
        <f t="shared" si="203"/>
        <v/>
      </c>
    </row>
    <row r="1182" spans="1:48">
      <c r="A1182" s="975">
        <f t="shared" si="205"/>
        <v>46172</v>
      </c>
      <c r="B1182" s="976" t="s">
        <v>240</v>
      </c>
      <c r="C1182" s="976" t="s">
        <v>16777</v>
      </c>
      <c r="D1182" s="1410"/>
      <c r="E1182" s="977" t="str">
        <f>IFERROR(VLOOKUP(C1182, [6]條件!$A:$L, 5, 0), "")</f>
        <v>75/72/2SDFFR</v>
      </c>
      <c r="F1182" s="978" t="str">
        <f>IFERROR(VLOOKUP(C1182, [6]條件!$A:$L, 6, 0), "")</f>
        <v>FP81209R×2</v>
      </c>
      <c r="G1182" s="1411">
        <f>IFERROR(VLOOKUP(C1182, [6]條件!$A:$L, 7, 0), "")</f>
        <v>600</v>
      </c>
      <c r="H1182" s="978" t="str">
        <f>IF(ISNA(VLOOKUP(C1182,[6]條件!$A$1:$K$932,11,0)),"",(VLOOKUP(C1182,[6]條件!$A$1:$K$932,11,0)))</f>
        <v>白底紅十字</v>
      </c>
      <c r="I1182" s="979">
        <f>IF(ISNA(VLOOKUP(C1182,[6]條件!$A$1:$L$932,12,0)),"",(VLOOKUP(C1182,[6]條件!$A$1:$L$932,12,0)))</f>
        <v>5</v>
      </c>
      <c r="J1182" s="982">
        <v>6</v>
      </c>
      <c r="K1182" s="980">
        <v>0</v>
      </c>
      <c r="L1182" s="981">
        <v>2056</v>
      </c>
      <c r="M1182" s="983"/>
      <c r="N1182" s="982">
        <v>2</v>
      </c>
      <c r="O1182" s="980">
        <v>0</v>
      </c>
      <c r="P1182" s="981">
        <v>2062</v>
      </c>
      <c r="Q1182" s="983"/>
      <c r="R1182" s="982">
        <v>4</v>
      </c>
      <c r="S1182" s="980">
        <v>0</v>
      </c>
      <c r="T1182" s="981">
        <v>2026</v>
      </c>
      <c r="U1182" s="983"/>
      <c r="V1182" s="982">
        <v>12</v>
      </c>
      <c r="W1182" s="980">
        <v>0</v>
      </c>
      <c r="X1182" s="981">
        <v>2007</v>
      </c>
      <c r="Y1182" s="983"/>
      <c r="Z1182" s="1422">
        <f>IFERROR(VLOOKUP(C1182, [6]條件!$A:$L, 3, 0), "")</f>
        <v>2.7852998065764023</v>
      </c>
      <c r="AA1182" s="1167">
        <f>IF(OR(L1182={"改紡","檢修","了機","清車","FINAL","停機","SAMPLE","TEST","絲開發"}), L1182, IFERROR(IF(C1182="", "", (SUM(J1182, N1182, R1182, V1182)/3 * AG1182) * IF(AND(AF1182="S", AS1182="雙"), 0.5, 1)), ""))</f>
        <v>12</v>
      </c>
      <c r="AB1182" s="1423">
        <f>IF(K1182="","",IF(ISERROR(1-((SUM(K1182,O1182,S1182,W1182)/((AG1182*12)-(AG1182*0.44)))/Z1182)),"",(1-((SUM(K1182,O1182,S1182,W1182)/((AG1182*12)-(AG1182*0.44)))/Z1182))))</f>
        <v>1</v>
      </c>
      <c r="AC1182" s="1167">
        <f>IF(OR(L1182={"改紡","檢修","了機","清車","FINAL","停機","SAMPLE","TEST"}), "", IFERROR(IF(C1182="", "", AVERAGE(L1182:M1182, P1182:Q1182, T1182:U1182, X1182:Y1182)/100), ""))</f>
        <v>20.377500000000001</v>
      </c>
      <c r="AD1182" s="1167">
        <f t="shared" si="204"/>
        <v>1.5</v>
      </c>
      <c r="AE1182" s="1167">
        <f>IF(P1182="了機","",IF(J1182="","",IF(ISERROR((SUM(J1182,N1182,R1182,V1182)-SUM(K1182,O1182,S1182,W1182))/24),"",((SUM(J1182,N1182,R1182,V1182)-SUM(K1182,O1182,S1182,W1182))/24))))</f>
        <v>1</v>
      </c>
      <c r="AF1182" s="1168" t="str">
        <f t="shared" si="199"/>
        <v>S</v>
      </c>
      <c r="AG1182" s="1424">
        <v>3</v>
      </c>
      <c r="AH1182" s="1002" t="s">
        <v>16019</v>
      </c>
      <c r="AI1182" s="1002" t="s">
        <v>815</v>
      </c>
      <c r="AJ1182" s="986" t="s">
        <v>16000</v>
      </c>
      <c r="AK1182" s="986" t="s">
        <v>636</v>
      </c>
      <c r="AL1182" s="1415">
        <v>50</v>
      </c>
      <c r="AM1182" s="1323">
        <v>46087</v>
      </c>
      <c r="AN1182" s="1323">
        <v>46088</v>
      </c>
      <c r="AO1182" s="1323">
        <v>46089</v>
      </c>
      <c r="AP1182" s="1323"/>
      <c r="AQ1182" s="1323"/>
      <c r="AR1182" s="987"/>
      <c r="AS1182" s="978" t="str">
        <f t="shared" si="200"/>
        <v>雙</v>
      </c>
      <c r="AT1182" s="978" t="str">
        <f t="shared" si="201"/>
        <v>3sec</v>
      </c>
      <c r="AU1182" s="978">
        <f t="shared" si="202"/>
        <v>75</v>
      </c>
      <c r="AV1182" s="978">
        <f t="shared" si="203"/>
        <v>3.9613860000000001E-2</v>
      </c>
    </row>
    <row r="1183" spans="1:48">
      <c r="A1183" s="975">
        <f t="shared" si="205"/>
        <v>46172</v>
      </c>
      <c r="B1183" s="976" t="s">
        <v>242</v>
      </c>
      <c r="C1183" s="976" t="s">
        <v>385</v>
      </c>
      <c r="D1183" s="1410"/>
      <c r="E1183" s="977" t="str">
        <f>IFERROR(VLOOKUP(C1183, [6]條件!$A:$L, 5, 0), "")</f>
        <v/>
      </c>
      <c r="F1183" s="978" t="str">
        <f>IFERROR(VLOOKUP(C1183, [6]條件!$A:$L, 6, 0), "")</f>
        <v/>
      </c>
      <c r="G1183" s="1411" t="str">
        <f>IFERROR(VLOOKUP(C1183, [6]條件!$A:$L, 7, 0), "")</f>
        <v/>
      </c>
      <c r="H1183" s="978" t="str">
        <f>IF(ISNA(VLOOKUP(C1183,[6]條件!$A$1:$K$932,11,0)),"",(VLOOKUP(C1183,[6]條件!$A$1:$K$932,11,0)))</f>
        <v/>
      </c>
      <c r="I1183" s="979" t="str">
        <f>IF(ISNA(VLOOKUP(C1183,[6]條件!$A$1:$L$932,12,0)),"",(VLOOKUP(C1183,[6]條件!$A$1:$L$932,12,0)))</f>
        <v/>
      </c>
      <c r="J1183" s="982"/>
      <c r="K1183" s="980"/>
      <c r="L1183" s="981" t="s">
        <v>385</v>
      </c>
      <c r="M1183" s="983"/>
      <c r="N1183" s="982"/>
      <c r="O1183" s="980"/>
      <c r="P1183" s="981" t="s">
        <v>385</v>
      </c>
      <c r="Q1183" s="983"/>
      <c r="R1183" s="982"/>
      <c r="S1183" s="980"/>
      <c r="T1183" s="981" t="s">
        <v>385</v>
      </c>
      <c r="U1183" s="983"/>
      <c r="V1183" s="982"/>
      <c r="W1183" s="980"/>
      <c r="X1183" s="981" t="s">
        <v>385</v>
      </c>
      <c r="Y1183" s="983"/>
      <c r="Z1183" s="1422" t="str">
        <f>IFERROR(VLOOKUP(C1183, [6]條件!$A:$L, 3, 0), "")</f>
        <v/>
      </c>
      <c r="AA1183" s="1167" t="str">
        <f>IF(OR(L1183={"改紡","檢修","了機","清車","FINAL","停機","SAMPLE","TEST","絲開發"}), L1183, IFERROR(IF(C1183="", "", (SUM(J1183, N1183, R1183, V1183)/3 * AG1183) * IF(AND(AF1183="S", AS1183="雙"), 0.5, 1)), ""))</f>
        <v>絲開發</v>
      </c>
      <c r="AB1183" s="1423" t="str">
        <f>IF(K1183="","",IF(ISERROR(1-((SUM(K1183,O1183,S1183,W1183)/((AG1183*12)-(AG1183*0.44)))/Z1183)),"",(1-((SUM(K1183,O1183,S1183,W1183)/((AG1183*12)-(AG1183*0.44)))/Z1183))))</f>
        <v/>
      </c>
      <c r="AC1183" s="1167" t="str">
        <f>IF(OR(L1183={"改紡","檢修","了機","清車","FINAL","停機","SAMPLE","TEST"}), "", IFERROR(IF(C1183="", "", AVERAGE(L1183:M1183, P1183:Q1183, T1183:U1183, X1183:Y1183)/100), ""))</f>
        <v/>
      </c>
      <c r="AD1183" s="1167" t="str">
        <f t="shared" si="204"/>
        <v/>
      </c>
      <c r="AE1183" s="1167" t="str">
        <f>IF(P1183="了機","",IF(J1183="","",IF(ISERROR((SUM(J1183,N1183,R1183,V1183)-SUM(K1183,O1183,S1183,W1183))/24),"",((SUM(J1183,N1183,R1183,V1183)-SUM(K1183,O1183,S1183,W1183))/24))))</f>
        <v/>
      </c>
      <c r="AF1183" s="1168" t="str">
        <f t="shared" si="199"/>
        <v>S</v>
      </c>
      <c r="AG1183" s="1424">
        <v>5</v>
      </c>
      <c r="AH1183" s="1002" t="s">
        <v>16019</v>
      </c>
      <c r="AI1183" s="1002" t="s">
        <v>815</v>
      </c>
      <c r="AJ1183" s="986" t="s">
        <v>16000</v>
      </c>
      <c r="AK1183" s="986" t="s">
        <v>636</v>
      </c>
      <c r="AL1183" s="1415"/>
      <c r="AM1183" s="1323"/>
      <c r="AN1183" s="1323"/>
      <c r="AO1183" s="1323"/>
      <c r="AP1183" s="1323"/>
      <c r="AQ1183" s="1323"/>
      <c r="AR1183" s="987"/>
      <c r="AS1183" s="978" t="str">
        <f t="shared" si="200"/>
        <v>單</v>
      </c>
      <c r="AT1183" s="978" t="str">
        <f t="shared" si="201"/>
        <v>5sec</v>
      </c>
      <c r="AU1183" s="978" t="str">
        <f t="shared" si="202"/>
        <v/>
      </c>
      <c r="AV1183" s="978" t="str">
        <f t="shared" si="203"/>
        <v/>
      </c>
    </row>
    <row r="1184" spans="1:48">
      <c r="A1184" s="975">
        <f t="shared" si="205"/>
        <v>46172</v>
      </c>
      <c r="B1184" s="976" t="s">
        <v>16078</v>
      </c>
      <c r="C1184" s="988" t="s">
        <v>16185</v>
      </c>
      <c r="D1184" s="1410"/>
      <c r="E1184" s="977" t="str">
        <f>IFERROR(VLOOKUP(C1184, [6]條件!$A:$L, 5, 0), "")</f>
        <v/>
      </c>
      <c r="F1184" s="978" t="str">
        <f>IFERROR(VLOOKUP(C1184, [6]條件!$A:$L, 6, 0), "")</f>
        <v/>
      </c>
      <c r="G1184" s="1411" t="str">
        <f>IFERROR(VLOOKUP(C1184, [6]條件!$A:$L, 7, 0), "")</f>
        <v/>
      </c>
      <c r="H1184" s="978" t="str">
        <f>IF(ISNA(VLOOKUP(C1184,[6]條件!$A$1:$K$932,11,0)),"",(VLOOKUP(C1184,[6]條件!$A$1:$K$932,11,0)))</f>
        <v/>
      </c>
      <c r="I1184" s="979" t="str">
        <f>IF(ISNA(VLOOKUP(C1184,[6]條件!$A$1:$L$932,12,0)),"",(VLOOKUP(C1184,[6]條件!$A$1:$L$932,12,0)))</f>
        <v/>
      </c>
      <c r="J1184" s="982"/>
      <c r="K1184" s="980"/>
      <c r="L1184" s="981" t="s">
        <v>632</v>
      </c>
      <c r="M1184" s="983"/>
      <c r="N1184" s="982"/>
      <c r="O1184" s="980"/>
      <c r="P1184" s="981" t="s">
        <v>632</v>
      </c>
      <c r="Q1184" s="983"/>
      <c r="R1184" s="982"/>
      <c r="S1184" s="980"/>
      <c r="T1184" s="981" t="s">
        <v>632</v>
      </c>
      <c r="U1184" s="983"/>
      <c r="V1184" s="982"/>
      <c r="W1184" s="980"/>
      <c r="X1184" s="981" t="s">
        <v>632</v>
      </c>
      <c r="Y1184" s="983"/>
      <c r="Z1184" s="1412" t="str">
        <f>IFERROR(VLOOKUP(C1184, [6]條件!$A:$L, 3, 0), "")</f>
        <v/>
      </c>
      <c r="AA1184" s="984" t="str">
        <f>IF(OR(L1184={"改紡","檢修","了機","清車","FINAL","停機","SAMPLE","TEST","絲開發"}), L1184, IFERROR(IF(C1184="", "", (SUM(J1184, N1184, R1184, V1184)/3 * AG1184) * IF(AND(AF1184="S", AS1184="雙"), 0.5, 1)), ""))</f>
        <v>停機</v>
      </c>
      <c r="AB1184" s="1413" t="str">
        <f t="shared" ref="AB1184:AB1221" si="206">IF(K1184="","",IF(ISERROR(1-(SUM(K1184,O1184,S1184,W1184)/208/Z1184)),"",(1-(SUM(K1184,O1184,S1184,W1184)/208/Z1184))))</f>
        <v/>
      </c>
      <c r="AC1184" s="984" t="str">
        <f>IF(OR(L1184={"改紡","檢修","了機","清車","FINAL","停機","SAMPLE","TEST"}), "", IFERROR(IF(C1184="", "", AVERAGE(L1184:M1184, P1184:Q1184, T1184:U1184, X1184:Y1184)/100), ""))</f>
        <v/>
      </c>
      <c r="AD1184" s="984" t="str">
        <f t="shared" si="204"/>
        <v/>
      </c>
      <c r="AE1184" s="984" t="str">
        <f>IF(OR(L1184="改紡", L1184="檢修", L1184="了機"), "",
   IF(AND(C1184&lt;&gt;"", J1184&lt;&gt;""),
      IFERROR((SUM(J1184, N1184, R1184, V1184) - SUM(K1184, O1184, S1184, W1184))/24 * AG1184, ""),
   "")
)</f>
        <v/>
      </c>
      <c r="AF1184" s="985" t="str">
        <f t="shared" si="199"/>
        <v>M</v>
      </c>
      <c r="AG1184" s="1414">
        <v>1</v>
      </c>
      <c r="AH1184" s="1002" t="s">
        <v>640</v>
      </c>
      <c r="AI1184" s="1002" t="s">
        <v>640</v>
      </c>
      <c r="AJ1184" s="986" t="s">
        <v>640</v>
      </c>
      <c r="AK1184" s="986" t="s">
        <v>640</v>
      </c>
      <c r="AL1184" s="1415"/>
      <c r="AM1184" s="1323"/>
      <c r="AN1184" s="1323"/>
      <c r="AO1184" s="1323"/>
      <c r="AP1184" s="1323"/>
      <c r="AQ1184" s="1323"/>
      <c r="AR1184" s="987"/>
      <c r="AS1184" s="978" t="str">
        <f t="shared" si="200"/>
        <v>單</v>
      </c>
      <c r="AT1184" s="978" t="str">
        <f t="shared" si="201"/>
        <v>全</v>
      </c>
      <c r="AU1184" s="978" t="str">
        <f t="shared" si="202"/>
        <v/>
      </c>
      <c r="AV1184" s="978" t="str">
        <f t="shared" si="203"/>
        <v/>
      </c>
    </row>
    <row r="1185" spans="1:48">
      <c r="A1185" s="975">
        <f t="shared" si="205"/>
        <v>46172</v>
      </c>
      <c r="B1185" s="976" t="s">
        <v>243</v>
      </c>
      <c r="C1185" s="988" t="s">
        <v>16185</v>
      </c>
      <c r="D1185" s="1410"/>
      <c r="E1185" s="977" t="str">
        <f>IFERROR(VLOOKUP(C1185, [6]條件!$A:$L, 5, 0), "")</f>
        <v/>
      </c>
      <c r="F1185" s="978" t="str">
        <f>IFERROR(VLOOKUP(C1185, [6]條件!$A:$L, 6, 0), "")</f>
        <v/>
      </c>
      <c r="G1185" s="1411" t="str">
        <f>IFERROR(VLOOKUP(C1185, [6]條件!$A:$L, 7, 0), "")</f>
        <v/>
      </c>
      <c r="H1185" s="978" t="str">
        <f>IF(ISNA(VLOOKUP(C1185,[6]條件!$A$1:$K$932,11,0)),"",(VLOOKUP(C1185,[6]條件!$A$1:$K$932,11,0)))</f>
        <v/>
      </c>
      <c r="I1185" s="979" t="str">
        <f>IF(ISNA(VLOOKUP(C1185,[6]條件!$A$1:$L$932,12,0)),"",(VLOOKUP(C1185,[6]條件!$A$1:$L$932,12,0)))</f>
        <v/>
      </c>
      <c r="J1185" s="982"/>
      <c r="K1185" s="980"/>
      <c r="L1185" s="981" t="s">
        <v>632</v>
      </c>
      <c r="M1185" s="983"/>
      <c r="N1185" s="982"/>
      <c r="O1185" s="980"/>
      <c r="P1185" s="981" t="s">
        <v>632</v>
      </c>
      <c r="Q1185" s="983"/>
      <c r="R1185" s="982"/>
      <c r="S1185" s="980"/>
      <c r="T1185" s="981" t="s">
        <v>632</v>
      </c>
      <c r="U1185" s="983"/>
      <c r="V1185" s="982"/>
      <c r="W1185" s="980"/>
      <c r="X1185" s="981" t="s">
        <v>632</v>
      </c>
      <c r="Y1185" s="983"/>
      <c r="Z1185" s="1412" t="str">
        <f>IFERROR(VLOOKUP(C1185, [6]條件!$A:$L, 3, 0), "")</f>
        <v/>
      </c>
      <c r="AA1185" s="984" t="str">
        <f>IF(OR(L1185={"改紡","檢修","了機","清車","FINAL","停機","SAMPLE","TEST","絲開發"}), L1185, IFERROR(IF(C1185="", "", (SUM(J1185, N1185, R1185, V1185)/3 * AG1185) * IF(AND(AF1185="S", AS1185="雙"), 0.5, 1)), ""))</f>
        <v>停機</v>
      </c>
      <c r="AB1185" s="1413" t="str">
        <f t="shared" si="206"/>
        <v/>
      </c>
      <c r="AC1185" s="984" t="str">
        <f>IF(OR(L1185={"改紡","檢修","了機","清車","FINAL","停機","SAMPLE","TEST"}), "", IFERROR(IF(C1185="", "", AVERAGE(L1185:M1185, P1185:Q1185, T1185:U1185, X1185:Y1185)/100), ""))</f>
        <v/>
      </c>
      <c r="AD1185" s="984" t="str">
        <f t="shared" si="204"/>
        <v/>
      </c>
      <c r="AE1185" s="984" t="str">
        <f t="shared" ref="AE1185:AE1221" si="207">IF(OR(L1185="改紡", L1185="檢修", L1185="了機"), "",
IF(AND(C1185&lt;&gt;"", J1185&lt;&gt;""),
IFERROR((SUM(J1185, N1185, R1185, V1185) - SUM(K1185, O1185, S1185, W1185))/24 * AG1185, ""),
"")
)</f>
        <v/>
      </c>
      <c r="AF1185" s="985" t="str">
        <f t="shared" si="199"/>
        <v>M</v>
      </c>
      <c r="AG1185" s="1414">
        <v>1</v>
      </c>
      <c r="AH1185" s="1002" t="s">
        <v>640</v>
      </c>
      <c r="AI1185" s="1002" t="s">
        <v>640</v>
      </c>
      <c r="AJ1185" s="986" t="s">
        <v>640</v>
      </c>
      <c r="AK1185" s="986" t="s">
        <v>640</v>
      </c>
      <c r="AL1185" s="1415"/>
      <c r="AM1185" s="1323"/>
      <c r="AN1185" s="1323"/>
      <c r="AO1185" s="1323"/>
      <c r="AP1185" s="1323"/>
      <c r="AQ1185" s="1323"/>
      <c r="AR1185" s="987"/>
      <c r="AS1185" s="978" t="str">
        <f t="shared" si="200"/>
        <v>單</v>
      </c>
      <c r="AT1185" s="978" t="str">
        <f t="shared" si="201"/>
        <v>全</v>
      </c>
      <c r="AU1185" s="978" t="str">
        <f t="shared" si="202"/>
        <v/>
      </c>
      <c r="AV1185" s="978" t="str">
        <f t="shared" si="203"/>
        <v/>
      </c>
    </row>
    <row r="1186" spans="1:48">
      <c r="A1186" s="975">
        <f t="shared" si="205"/>
        <v>46172</v>
      </c>
      <c r="B1186" s="976" t="s">
        <v>244</v>
      </c>
      <c r="C1186" s="988" t="s">
        <v>16185</v>
      </c>
      <c r="D1186" s="1410"/>
      <c r="E1186" s="977" t="str">
        <f>IFERROR(VLOOKUP(C1186, [6]條件!$A:$L, 5, 0), "")</f>
        <v/>
      </c>
      <c r="F1186" s="978" t="str">
        <f>IFERROR(VLOOKUP(C1186, [6]條件!$A:$L, 6, 0), "")</f>
        <v/>
      </c>
      <c r="G1186" s="1411" t="str">
        <f>IFERROR(VLOOKUP(C1186, [6]條件!$A:$L, 7, 0), "")</f>
        <v/>
      </c>
      <c r="H1186" s="978" t="str">
        <f>IF(ISNA(VLOOKUP(C1186,[6]條件!$A$1:$K$932,11,0)),"",(VLOOKUP(C1186,[6]條件!$A$1:$K$932,11,0)))</f>
        <v/>
      </c>
      <c r="I1186" s="979" t="str">
        <f>IF(ISNA(VLOOKUP(C1186,[6]條件!$A$1:$L$932,12,0)),"",(VLOOKUP(C1186,[6]條件!$A$1:$L$932,12,0)))</f>
        <v/>
      </c>
      <c r="J1186" s="982"/>
      <c r="K1186" s="980"/>
      <c r="L1186" s="981" t="s">
        <v>632</v>
      </c>
      <c r="M1186" s="983"/>
      <c r="N1186" s="982"/>
      <c r="O1186" s="980"/>
      <c r="P1186" s="981" t="s">
        <v>632</v>
      </c>
      <c r="Q1186" s="983"/>
      <c r="R1186" s="982"/>
      <c r="S1186" s="980"/>
      <c r="T1186" s="981" t="s">
        <v>632</v>
      </c>
      <c r="U1186" s="983"/>
      <c r="V1186" s="982"/>
      <c r="W1186" s="980"/>
      <c r="X1186" s="981" t="s">
        <v>632</v>
      </c>
      <c r="Y1186" s="983"/>
      <c r="Z1186" s="1412" t="str">
        <f>IFERROR(VLOOKUP(C1186, [6]條件!$A:$L, 3, 0), "")</f>
        <v/>
      </c>
      <c r="AA1186" s="984" t="str">
        <f>IF(OR(L1186={"改紡","檢修","了機","清車","FINAL","停機","SAMPLE","TEST","絲開發"}), L1186, IFERROR(IF(C1186="", "", (SUM(J1186, N1186, R1186, V1186)/3 * AG1186) * IF(AND(AF1186="S", AS1186="雙"), 0.5, 1)), ""))</f>
        <v>停機</v>
      </c>
      <c r="AB1186" s="1413" t="str">
        <f t="shared" si="206"/>
        <v/>
      </c>
      <c r="AC1186" s="984" t="str">
        <f>IF(OR(L1186={"改紡","檢修","了機","清車","FINAL","停機","SAMPLE","TEST"}), "", IFERROR(IF(C1186="", "", AVERAGE(L1186:M1186, P1186:Q1186, T1186:U1186, X1186:Y1186)/100), ""))</f>
        <v/>
      </c>
      <c r="AD1186" s="984" t="str">
        <f t="shared" si="204"/>
        <v/>
      </c>
      <c r="AE1186" s="984" t="str">
        <f t="shared" si="207"/>
        <v/>
      </c>
      <c r="AF1186" s="985" t="str">
        <f t="shared" si="199"/>
        <v>M</v>
      </c>
      <c r="AG1186" s="1414">
        <v>1</v>
      </c>
      <c r="AH1186" s="1002" t="s">
        <v>640</v>
      </c>
      <c r="AI1186" s="1002" t="s">
        <v>640</v>
      </c>
      <c r="AJ1186" s="986" t="s">
        <v>640</v>
      </c>
      <c r="AK1186" s="986" t="s">
        <v>640</v>
      </c>
      <c r="AL1186" s="1415"/>
      <c r="AM1186" s="1323"/>
      <c r="AN1186" s="1323"/>
      <c r="AO1186" s="1323"/>
      <c r="AP1186" s="1323"/>
      <c r="AQ1186" s="1323"/>
      <c r="AR1186" s="987"/>
      <c r="AS1186" s="978" t="str">
        <f t="shared" si="200"/>
        <v>單</v>
      </c>
      <c r="AT1186" s="978" t="str">
        <f t="shared" si="201"/>
        <v>全</v>
      </c>
      <c r="AU1186" s="978" t="str">
        <f t="shared" si="202"/>
        <v/>
      </c>
      <c r="AV1186" s="978" t="str">
        <f t="shared" si="203"/>
        <v/>
      </c>
    </row>
    <row r="1187" spans="1:48">
      <c r="A1187" s="975">
        <f t="shared" si="205"/>
        <v>46172</v>
      </c>
      <c r="B1187" s="976" t="s">
        <v>245</v>
      </c>
      <c r="C1187" s="988" t="s">
        <v>16185</v>
      </c>
      <c r="D1187" s="1410"/>
      <c r="E1187" s="977" t="str">
        <f>IFERROR(VLOOKUP(C1187, [6]條件!$A:$L, 5, 0), "")</f>
        <v/>
      </c>
      <c r="F1187" s="978" t="str">
        <f>IFERROR(VLOOKUP(C1187, [6]條件!$A:$L, 6, 0), "")</f>
        <v/>
      </c>
      <c r="G1187" s="1411" t="str">
        <f>IFERROR(VLOOKUP(C1187, [6]條件!$A:$L, 7, 0), "")</f>
        <v/>
      </c>
      <c r="H1187" s="978" t="str">
        <f>IF(ISNA(VLOOKUP(C1187,[6]條件!$A$1:$K$932,11,0)),"",(VLOOKUP(C1187,[6]條件!$A$1:$K$932,11,0)))</f>
        <v/>
      </c>
      <c r="I1187" s="979" t="str">
        <f>IF(ISNA(VLOOKUP(C1187,[6]條件!$A$1:$L$932,12,0)),"",(VLOOKUP(C1187,[6]條件!$A$1:$L$932,12,0)))</f>
        <v/>
      </c>
      <c r="J1187" s="982"/>
      <c r="K1187" s="980"/>
      <c r="L1187" s="981" t="s">
        <v>632</v>
      </c>
      <c r="M1187" s="983"/>
      <c r="N1187" s="982"/>
      <c r="O1187" s="980"/>
      <c r="P1187" s="981" t="s">
        <v>632</v>
      </c>
      <c r="Q1187" s="983"/>
      <c r="R1187" s="982"/>
      <c r="S1187" s="980"/>
      <c r="T1187" s="981" t="s">
        <v>632</v>
      </c>
      <c r="U1187" s="983"/>
      <c r="V1187" s="982"/>
      <c r="W1187" s="980"/>
      <c r="X1187" s="981" t="s">
        <v>632</v>
      </c>
      <c r="Y1187" s="983"/>
      <c r="Z1187" s="1412" t="str">
        <f>IFERROR(VLOOKUP(C1187, [6]條件!$A:$L, 3, 0), "")</f>
        <v/>
      </c>
      <c r="AA1187" s="984" t="str">
        <f>IF(OR(L1187={"改紡","檢修","了機","清車","FINAL","停機","SAMPLE","TEST","絲開發"}), L1187, IFERROR(IF(C1187="", "", (SUM(J1187, N1187, R1187, V1187)/3 * AG1187) * IF(AND(AF1187="S", AS1187="雙"), 0.5, 1)), ""))</f>
        <v>停機</v>
      </c>
      <c r="AB1187" s="1413" t="str">
        <f t="shared" si="206"/>
        <v/>
      </c>
      <c r="AC1187" s="984" t="str">
        <f>IF(OR(L1187={"改紡","檢修","了機","清車","FINAL","停機","SAMPLE","TEST"}), "", IFERROR(IF(C1187="", "", AVERAGE(L1187:M1187, P1187:Q1187, T1187:U1187, X1187:Y1187)/100), ""))</f>
        <v/>
      </c>
      <c r="AD1187" s="984" t="str">
        <f t="shared" si="204"/>
        <v/>
      </c>
      <c r="AE1187" s="984" t="str">
        <f t="shared" si="207"/>
        <v/>
      </c>
      <c r="AF1187" s="985" t="str">
        <f t="shared" si="199"/>
        <v>M</v>
      </c>
      <c r="AG1187" s="1414">
        <v>1</v>
      </c>
      <c r="AH1187" s="1002" t="s">
        <v>640</v>
      </c>
      <c r="AI1187" s="1002" t="s">
        <v>640</v>
      </c>
      <c r="AJ1187" s="986" t="s">
        <v>640</v>
      </c>
      <c r="AK1187" s="986" t="s">
        <v>640</v>
      </c>
      <c r="AL1187" s="1415"/>
      <c r="AM1187" s="1323"/>
      <c r="AN1187" s="1323"/>
      <c r="AO1187" s="1323"/>
      <c r="AP1187" s="1323"/>
      <c r="AQ1187" s="1323"/>
      <c r="AR1187" s="987"/>
      <c r="AS1187" s="978" t="str">
        <f t="shared" si="200"/>
        <v>單</v>
      </c>
      <c r="AT1187" s="978" t="str">
        <f t="shared" si="201"/>
        <v>全</v>
      </c>
      <c r="AU1187" s="978" t="str">
        <f t="shared" si="202"/>
        <v/>
      </c>
      <c r="AV1187" s="978" t="str">
        <f t="shared" si="203"/>
        <v/>
      </c>
    </row>
    <row r="1188" spans="1:48">
      <c r="A1188" s="975">
        <f t="shared" si="205"/>
        <v>46172</v>
      </c>
      <c r="B1188" s="976" t="s">
        <v>246</v>
      </c>
      <c r="C1188" s="988" t="s">
        <v>16185</v>
      </c>
      <c r="D1188" s="1410"/>
      <c r="E1188" s="977" t="str">
        <f>IFERROR(VLOOKUP(C1188, [6]條件!$A:$L, 5, 0), "")</f>
        <v/>
      </c>
      <c r="F1188" s="978" t="str">
        <f>IFERROR(VLOOKUP(C1188, [6]條件!$A:$L, 6, 0), "")</f>
        <v/>
      </c>
      <c r="G1188" s="1411" t="str">
        <f>IFERROR(VLOOKUP(C1188, [6]條件!$A:$L, 7, 0), "")</f>
        <v/>
      </c>
      <c r="H1188" s="978" t="str">
        <f>IF(ISNA(VLOOKUP(C1188,[6]條件!$A$1:$K$932,11,0)),"",(VLOOKUP(C1188,[6]條件!$A$1:$K$932,11,0)))</f>
        <v/>
      </c>
      <c r="I1188" s="979" t="str">
        <f>IF(ISNA(VLOOKUP(C1188,[6]條件!$A$1:$L$932,12,0)),"",(VLOOKUP(C1188,[6]條件!$A$1:$L$932,12,0)))</f>
        <v/>
      </c>
      <c r="J1188" s="982"/>
      <c r="K1188" s="980"/>
      <c r="L1188" s="981" t="s">
        <v>632</v>
      </c>
      <c r="M1188" s="983"/>
      <c r="N1188" s="982"/>
      <c r="O1188" s="980"/>
      <c r="P1188" s="981" t="s">
        <v>632</v>
      </c>
      <c r="Q1188" s="983"/>
      <c r="R1188" s="982"/>
      <c r="S1188" s="980"/>
      <c r="T1188" s="981" t="s">
        <v>632</v>
      </c>
      <c r="U1188" s="983"/>
      <c r="V1188" s="982"/>
      <c r="W1188" s="980"/>
      <c r="X1188" s="981" t="s">
        <v>632</v>
      </c>
      <c r="Y1188" s="983"/>
      <c r="Z1188" s="1412" t="str">
        <f>IFERROR(VLOOKUP(C1188, [6]條件!$A:$L, 3, 0), "")</f>
        <v/>
      </c>
      <c r="AA1188" s="984" t="str">
        <f>IF(OR(L1188={"改紡","檢修","了機","清車","FINAL","停機","SAMPLE","TEST","絲開發"}), L1188, IFERROR(IF(C1188="", "", (SUM(J1188, N1188, R1188, V1188)/3 * AG1188) * IF(AND(AF1188="S", AS1188="雙"), 0.5, 1)), ""))</f>
        <v>停機</v>
      </c>
      <c r="AB1188" s="1413" t="str">
        <f t="shared" si="206"/>
        <v/>
      </c>
      <c r="AC1188" s="984" t="str">
        <f>IF(OR(L1188={"改紡","檢修","了機","清車","FINAL","停機","SAMPLE","TEST"}), "", IFERROR(IF(C1188="", "", AVERAGE(L1188:M1188, P1188:Q1188, T1188:U1188, X1188:Y1188)/100), ""))</f>
        <v/>
      </c>
      <c r="AD1188" s="984" t="str">
        <f t="shared" si="204"/>
        <v/>
      </c>
      <c r="AE1188" s="984" t="str">
        <f t="shared" si="207"/>
        <v/>
      </c>
      <c r="AF1188" s="985" t="str">
        <f t="shared" si="199"/>
        <v>M</v>
      </c>
      <c r="AG1188" s="1414">
        <v>1</v>
      </c>
      <c r="AH1188" s="1002" t="s">
        <v>640</v>
      </c>
      <c r="AI1188" s="1002" t="s">
        <v>640</v>
      </c>
      <c r="AJ1188" s="986" t="s">
        <v>640</v>
      </c>
      <c r="AK1188" s="986" t="s">
        <v>640</v>
      </c>
      <c r="AL1188" s="1415"/>
      <c r="AM1188" s="1323"/>
      <c r="AN1188" s="1323"/>
      <c r="AO1188" s="1323"/>
      <c r="AP1188" s="1323"/>
      <c r="AQ1188" s="1323"/>
      <c r="AR1188" s="987"/>
      <c r="AS1188" s="978" t="str">
        <f t="shared" si="200"/>
        <v>單</v>
      </c>
      <c r="AT1188" s="978" t="str">
        <f t="shared" si="201"/>
        <v>全</v>
      </c>
      <c r="AU1188" s="978" t="str">
        <f t="shared" si="202"/>
        <v/>
      </c>
      <c r="AV1188" s="978" t="str">
        <f t="shared" si="203"/>
        <v/>
      </c>
    </row>
    <row r="1189" spans="1:48">
      <c r="A1189" s="975">
        <f t="shared" si="205"/>
        <v>46172</v>
      </c>
      <c r="B1189" s="976" t="s">
        <v>247</v>
      </c>
      <c r="C1189" s="988" t="s">
        <v>16185</v>
      </c>
      <c r="D1189" s="1410"/>
      <c r="E1189" s="977" t="str">
        <f>IFERROR(VLOOKUP(C1189, [6]條件!$A:$L, 5, 0), "")</f>
        <v/>
      </c>
      <c r="F1189" s="978" t="str">
        <f>IFERROR(VLOOKUP(C1189, [6]條件!$A:$L, 6, 0), "")</f>
        <v/>
      </c>
      <c r="G1189" s="1411" t="str">
        <f>IFERROR(VLOOKUP(C1189, [6]條件!$A:$L, 7, 0), "")</f>
        <v/>
      </c>
      <c r="H1189" s="978" t="str">
        <f>IF(ISNA(VLOOKUP(C1189,[6]條件!$A$1:$K$932,11,0)),"",(VLOOKUP(C1189,[6]條件!$A$1:$K$932,11,0)))</f>
        <v/>
      </c>
      <c r="I1189" s="979" t="str">
        <f>IF(ISNA(VLOOKUP(C1189,[6]條件!$A$1:$L$932,12,0)),"",(VLOOKUP(C1189,[6]條件!$A$1:$L$932,12,0)))</f>
        <v/>
      </c>
      <c r="J1189" s="982"/>
      <c r="K1189" s="980"/>
      <c r="L1189" s="981" t="s">
        <v>632</v>
      </c>
      <c r="M1189" s="983"/>
      <c r="N1189" s="982"/>
      <c r="O1189" s="980"/>
      <c r="P1189" s="981" t="s">
        <v>632</v>
      </c>
      <c r="Q1189" s="983"/>
      <c r="R1189" s="982"/>
      <c r="S1189" s="980"/>
      <c r="T1189" s="981" t="s">
        <v>632</v>
      </c>
      <c r="U1189" s="983"/>
      <c r="V1189" s="982"/>
      <c r="W1189" s="980"/>
      <c r="X1189" s="981" t="s">
        <v>632</v>
      </c>
      <c r="Y1189" s="983"/>
      <c r="Z1189" s="1412" t="str">
        <f>IFERROR(VLOOKUP(C1189, [6]條件!$A:$L, 3, 0), "")</f>
        <v/>
      </c>
      <c r="AA1189" s="984" t="str">
        <f>IF(OR(L1189={"改紡","檢修","了機","清車","FINAL","停機","SAMPLE","TEST","絲開發"}), L1189, IFERROR(IF(C1189="", "", (SUM(J1189, N1189, R1189, V1189)/3 * AG1189) * IF(AND(AF1189="S", AS1189="雙"), 0.5, 1)), ""))</f>
        <v>停機</v>
      </c>
      <c r="AB1189" s="1413" t="str">
        <f t="shared" si="206"/>
        <v/>
      </c>
      <c r="AC1189" s="984" t="str">
        <f>IF(OR(L1189={"改紡","檢修","了機","清車","FINAL","停機","SAMPLE","TEST"}), "", IFERROR(IF(C1189="", "", AVERAGE(L1189:M1189, P1189:Q1189, T1189:U1189, X1189:Y1189)/100), ""))</f>
        <v/>
      </c>
      <c r="AD1189" s="984" t="str">
        <f t="shared" si="204"/>
        <v/>
      </c>
      <c r="AE1189" s="984" t="str">
        <f t="shared" si="207"/>
        <v/>
      </c>
      <c r="AF1189" s="985" t="str">
        <f t="shared" si="199"/>
        <v>M</v>
      </c>
      <c r="AG1189" s="1414">
        <v>1</v>
      </c>
      <c r="AH1189" s="1002" t="s">
        <v>640</v>
      </c>
      <c r="AI1189" s="1002" t="s">
        <v>640</v>
      </c>
      <c r="AJ1189" s="986" t="s">
        <v>640</v>
      </c>
      <c r="AK1189" s="986" t="s">
        <v>640</v>
      </c>
      <c r="AL1189" s="1415"/>
      <c r="AM1189" s="1323"/>
      <c r="AN1189" s="1323"/>
      <c r="AO1189" s="1323"/>
      <c r="AP1189" s="1323"/>
      <c r="AQ1189" s="1323"/>
      <c r="AR1189" s="987"/>
      <c r="AS1189" s="978" t="str">
        <f t="shared" si="200"/>
        <v>單</v>
      </c>
      <c r="AT1189" s="978" t="str">
        <f t="shared" si="201"/>
        <v>全</v>
      </c>
      <c r="AU1189" s="978" t="str">
        <f t="shared" si="202"/>
        <v/>
      </c>
      <c r="AV1189" s="978" t="str">
        <f t="shared" si="203"/>
        <v/>
      </c>
    </row>
    <row r="1190" spans="1:48">
      <c r="A1190" s="975">
        <f t="shared" si="205"/>
        <v>46172</v>
      </c>
      <c r="B1190" s="976" t="s">
        <v>248</v>
      </c>
      <c r="C1190" s="988" t="s">
        <v>16185</v>
      </c>
      <c r="D1190" s="1410"/>
      <c r="E1190" s="977" t="str">
        <f>IFERROR(VLOOKUP(C1190, [6]條件!$A:$L, 5, 0), "")</f>
        <v/>
      </c>
      <c r="F1190" s="978" t="str">
        <f>IFERROR(VLOOKUP(C1190, [6]條件!$A:$L, 6, 0), "")</f>
        <v/>
      </c>
      <c r="G1190" s="1411" t="str">
        <f>IFERROR(VLOOKUP(C1190, [6]條件!$A:$L, 7, 0), "")</f>
        <v/>
      </c>
      <c r="H1190" s="978" t="str">
        <f>IF(ISNA(VLOOKUP(C1190,[6]條件!$A$1:$K$932,11,0)),"",(VLOOKUP(C1190,[6]條件!$A$1:$K$932,11,0)))</f>
        <v/>
      </c>
      <c r="I1190" s="979" t="str">
        <f>IF(ISNA(VLOOKUP(C1190,[6]條件!$A$1:$L$932,12,0)),"",(VLOOKUP(C1190,[6]條件!$A$1:$L$932,12,0)))</f>
        <v/>
      </c>
      <c r="J1190" s="982"/>
      <c r="K1190" s="980"/>
      <c r="L1190" s="981" t="s">
        <v>632</v>
      </c>
      <c r="M1190" s="983"/>
      <c r="N1190" s="982"/>
      <c r="O1190" s="980"/>
      <c r="P1190" s="981" t="s">
        <v>632</v>
      </c>
      <c r="Q1190" s="983"/>
      <c r="R1190" s="982"/>
      <c r="S1190" s="980"/>
      <c r="T1190" s="981" t="s">
        <v>632</v>
      </c>
      <c r="U1190" s="983"/>
      <c r="V1190" s="982"/>
      <c r="W1190" s="980"/>
      <c r="X1190" s="981" t="s">
        <v>632</v>
      </c>
      <c r="Y1190" s="983"/>
      <c r="Z1190" s="1412" t="str">
        <f>IFERROR(VLOOKUP(C1190, [6]條件!$A:$L, 3, 0), "")</f>
        <v/>
      </c>
      <c r="AA1190" s="984" t="str">
        <f>IF(OR(L1190={"改紡","檢修","了機","清車","FINAL","停機","SAMPLE","TEST","絲開發"}), L1190, IFERROR(IF(C1190="", "", (SUM(J1190, N1190, R1190, V1190)/3 * AG1190) * IF(AND(AF1190="S", AS1190="雙"), 0.5, 1)), ""))</f>
        <v>停機</v>
      </c>
      <c r="AB1190" s="1413" t="str">
        <f t="shared" si="206"/>
        <v/>
      </c>
      <c r="AC1190" s="984" t="str">
        <f>IF(OR(L1190={"改紡","檢修","了機","清車","FINAL","停機","SAMPLE","TEST"}), "", IFERROR(IF(C1190="", "", AVERAGE(L1190:M1190, P1190:Q1190, T1190:U1190, X1190:Y1190)/100), ""))</f>
        <v/>
      </c>
      <c r="AD1190" s="984" t="str">
        <f t="shared" si="204"/>
        <v/>
      </c>
      <c r="AE1190" s="984" t="str">
        <f t="shared" si="207"/>
        <v/>
      </c>
      <c r="AF1190" s="985" t="str">
        <f t="shared" si="199"/>
        <v>M</v>
      </c>
      <c r="AG1190" s="1414">
        <v>1</v>
      </c>
      <c r="AH1190" s="1002" t="s">
        <v>640</v>
      </c>
      <c r="AI1190" s="1002" t="s">
        <v>640</v>
      </c>
      <c r="AJ1190" s="986" t="s">
        <v>640</v>
      </c>
      <c r="AK1190" s="986" t="s">
        <v>640</v>
      </c>
      <c r="AL1190" s="1415"/>
      <c r="AM1190" s="1323"/>
      <c r="AN1190" s="1323"/>
      <c r="AO1190" s="1323"/>
      <c r="AP1190" s="1323"/>
      <c r="AQ1190" s="1323"/>
      <c r="AR1190" s="987"/>
      <c r="AS1190" s="978" t="str">
        <f t="shared" si="200"/>
        <v>單</v>
      </c>
      <c r="AT1190" s="978" t="str">
        <f t="shared" si="201"/>
        <v>全</v>
      </c>
      <c r="AU1190" s="978" t="str">
        <f t="shared" si="202"/>
        <v/>
      </c>
      <c r="AV1190" s="978" t="str">
        <f t="shared" si="203"/>
        <v/>
      </c>
    </row>
    <row r="1191" spans="1:48" ht="17.25" thickBot="1">
      <c r="A1191" s="989">
        <f t="shared" si="205"/>
        <v>46172</v>
      </c>
      <c r="B1191" s="990" t="s">
        <v>249</v>
      </c>
      <c r="C1191" s="991" t="s">
        <v>16185</v>
      </c>
      <c r="D1191" s="1425"/>
      <c r="E1191" s="1169" t="str">
        <f>IFERROR(VLOOKUP(C1191, [6]條件!$A:$L, 5, 0), "")</f>
        <v/>
      </c>
      <c r="F1191" s="992" t="str">
        <f>IFERROR(VLOOKUP(C1191, [6]條件!$A:$L, 6, 0), "")</f>
        <v/>
      </c>
      <c r="G1191" s="1426" t="str">
        <f>IFERROR(VLOOKUP(C1191, [6]條件!$A:$L, 7, 0), "")</f>
        <v/>
      </c>
      <c r="H1191" s="992" t="str">
        <f>IF(ISNA(VLOOKUP(C1191,[6]條件!$A$1:$K$932,11,0)),"",(VLOOKUP(C1191,[6]條件!$A$1:$K$932,11,0)))</f>
        <v/>
      </c>
      <c r="I1191" s="1170" t="str">
        <f>IF(ISNA(VLOOKUP(C1191,[6]條件!$A$1:$L$932,12,0)),"",(VLOOKUP(C1191,[6]條件!$A$1:$L$932,12,0)))</f>
        <v/>
      </c>
      <c r="J1191" s="995"/>
      <c r="K1191" s="993"/>
      <c r="L1191" s="994" t="s">
        <v>632</v>
      </c>
      <c r="M1191" s="996"/>
      <c r="N1191" s="995"/>
      <c r="O1191" s="993"/>
      <c r="P1191" s="994" t="s">
        <v>632</v>
      </c>
      <c r="Q1191" s="996"/>
      <c r="R1191" s="995"/>
      <c r="S1191" s="993"/>
      <c r="T1191" s="994" t="s">
        <v>632</v>
      </c>
      <c r="U1191" s="996"/>
      <c r="V1191" s="995"/>
      <c r="W1191" s="993"/>
      <c r="X1191" s="994" t="s">
        <v>632</v>
      </c>
      <c r="Y1191" s="996"/>
      <c r="Z1191" s="1427" t="str">
        <f>IFERROR(VLOOKUP(C1191, [6]條件!$A:$L, 3, 0), "")</f>
        <v/>
      </c>
      <c r="AA1191" s="997" t="str">
        <f>IF(OR(L1191={"改紡","檢修","了機","清車","FINAL","停機","SAMPLE","TEST","絲開發"}), L1191, IFERROR(IF(C1191="", "", (SUM(J1191, N1191, R1191, V1191)/3 * AG1191) * IF(AND(AF1191="S", AS1191="雙"), 0.5, 1)), ""))</f>
        <v>停機</v>
      </c>
      <c r="AB1191" s="1428" t="str">
        <f t="shared" si="206"/>
        <v/>
      </c>
      <c r="AC1191" s="997" t="str">
        <f>IF(OR(L1191={"改紡","檢修","了機","清車","FINAL","停機","SAMPLE","TEST"}), "", IFERROR(IF(C1191="", "", AVERAGE(L1191:M1191, P1191:Q1191, T1191:U1191, X1191:Y1191)/100), ""))</f>
        <v/>
      </c>
      <c r="AD1191" s="997" t="str">
        <f t="shared" si="204"/>
        <v/>
      </c>
      <c r="AE1191" s="997" t="str">
        <f t="shared" si="207"/>
        <v/>
      </c>
      <c r="AF1191" s="998" t="str">
        <f t="shared" si="199"/>
        <v>M</v>
      </c>
      <c r="AG1191" s="1429">
        <v>1</v>
      </c>
      <c r="AH1191" s="1171" t="s">
        <v>640</v>
      </c>
      <c r="AI1191" s="1171" t="s">
        <v>640</v>
      </c>
      <c r="AJ1191" s="999" t="s">
        <v>640</v>
      </c>
      <c r="AK1191" s="999" t="s">
        <v>640</v>
      </c>
      <c r="AL1191" s="1431"/>
      <c r="AM1191" s="1325"/>
      <c r="AN1191" s="1325"/>
      <c r="AO1191" s="1325"/>
      <c r="AP1191" s="1325"/>
      <c r="AQ1191" s="1325"/>
      <c r="AR1191" s="1000"/>
      <c r="AS1191" s="992" t="str">
        <f t="shared" si="200"/>
        <v>單</v>
      </c>
      <c r="AT1191" s="992" t="str">
        <f t="shared" si="201"/>
        <v>全</v>
      </c>
      <c r="AU1191" s="992" t="str">
        <f t="shared" si="202"/>
        <v/>
      </c>
      <c r="AV1191" s="992" t="str">
        <f t="shared" si="203"/>
        <v/>
      </c>
    </row>
    <row r="1192" spans="1:48">
      <c r="A1192" s="962">
        <v>46173</v>
      </c>
      <c r="B1192" s="963" t="s">
        <v>212</v>
      </c>
      <c r="C1192" s="963" t="s">
        <v>632</v>
      </c>
      <c r="D1192" s="1403"/>
      <c r="E1192" s="964" t="str">
        <f>IFERROR(VLOOKUP(C1192, [6]條件!$A:$L, 5, 0), "")</f>
        <v/>
      </c>
      <c r="F1192" s="965" t="str">
        <f>IFERROR(VLOOKUP(C1192, [6]條件!$A:$L, 6, 0), "")</f>
        <v/>
      </c>
      <c r="G1192" s="1404" t="str">
        <f>IFERROR(VLOOKUP(C1192, [6]條件!$A:$L, 7, 0), "")</f>
        <v/>
      </c>
      <c r="H1192" s="965" t="str">
        <f>IF(ISNA(VLOOKUP(C1192,[6]條件!$A$1:$K$932,11,0)),"",(VLOOKUP(C1192,[6]條件!$A$1:$K$932,11,0)))</f>
        <v/>
      </c>
      <c r="I1192" s="966" t="str">
        <f>IF(ISNA(VLOOKUP(C1192,[6]條件!$A$1:$L$932,12,0)),"",(VLOOKUP(C1192,[6]條件!$A$1:$L$932,12,0)))</f>
        <v/>
      </c>
      <c r="J1192" s="969"/>
      <c r="K1192" s="967"/>
      <c r="L1192" s="981" t="s">
        <v>632</v>
      </c>
      <c r="M1192" s="970"/>
      <c r="N1192" s="969"/>
      <c r="O1192" s="967"/>
      <c r="P1192" s="981" t="s">
        <v>632</v>
      </c>
      <c r="Q1192" s="970"/>
      <c r="R1192" s="969"/>
      <c r="S1192" s="967"/>
      <c r="T1192" s="981" t="s">
        <v>632</v>
      </c>
      <c r="U1192" s="970"/>
      <c r="V1192" s="969"/>
      <c r="W1192" s="967"/>
      <c r="X1192" s="981" t="s">
        <v>632</v>
      </c>
      <c r="Y1192" s="970"/>
      <c r="Z1192" s="1405" t="str">
        <f>IFERROR(VLOOKUP(C1192, [6]條件!$A:$L, 3, 0), "")</f>
        <v/>
      </c>
      <c r="AA1192" s="971" t="str">
        <f>IF(OR(L1192={"改紡","檢修","了機","清車","FINAL","停機","SAMPLE","TEST","絲開發"}), L1192, IFERROR(IF(C1192="", "", (SUM(J1192, N1192, R1192, V1192)/3 * AG1192) * IF(AND(AF1192="S", AS1192="雙"), 0.5, 1)), ""))</f>
        <v>停機</v>
      </c>
      <c r="AB1192" s="1406" t="str">
        <f t="shared" si="206"/>
        <v/>
      </c>
      <c r="AC1192" s="971" t="str">
        <f>IF(OR(L1192={"改紡","檢修","了機","清車","FINAL","停機","SAMPLE","TEST"}), "", IFERROR(IF(C1192="", "", AVERAGE(L1192:M1192, P1192:Q1192, T1192:U1192, X1192:Y1192)/100), ""))</f>
        <v/>
      </c>
      <c r="AD1192" s="971" t="str">
        <f t="shared" si="204"/>
        <v/>
      </c>
      <c r="AE1192" s="971" t="str">
        <f t="shared" si="207"/>
        <v/>
      </c>
      <c r="AF1192" s="972" t="str">
        <f t="shared" si="199"/>
        <v>A</v>
      </c>
      <c r="AG1192" s="1407">
        <v>1</v>
      </c>
      <c r="AH1192" s="1001" t="s">
        <v>640</v>
      </c>
      <c r="AI1192" s="1001" t="s">
        <v>640</v>
      </c>
      <c r="AJ1192" s="1001" t="s">
        <v>640</v>
      </c>
      <c r="AK1192" s="1001" t="s">
        <v>640</v>
      </c>
      <c r="AL1192" s="1409"/>
      <c r="AM1192" s="1322"/>
      <c r="AN1192" s="1322"/>
      <c r="AO1192" s="1322"/>
      <c r="AP1192" s="1322"/>
      <c r="AQ1192" s="1322"/>
      <c r="AR1192" s="973"/>
      <c r="AS1192" s="965" t="str">
        <f t="shared" si="200"/>
        <v>單</v>
      </c>
      <c r="AT1192" s="965" t="str">
        <f t="shared" si="201"/>
        <v>全</v>
      </c>
      <c r="AU1192" s="965" t="str">
        <f t="shared" si="202"/>
        <v/>
      </c>
      <c r="AV1192" s="965" t="str">
        <f t="shared" si="203"/>
        <v/>
      </c>
    </row>
    <row r="1193" spans="1:48">
      <c r="A1193" s="975">
        <f t="shared" ref="A1193:A1231" si="208">A1192</f>
        <v>46173</v>
      </c>
      <c r="B1193" s="976" t="s">
        <v>214</v>
      </c>
      <c r="C1193" s="976" t="s">
        <v>632</v>
      </c>
      <c r="D1193" s="1410"/>
      <c r="E1193" s="977" t="str">
        <f>IFERROR(VLOOKUP(C1193, [6]條件!$A:$L, 5, 0), "")</f>
        <v/>
      </c>
      <c r="F1193" s="978" t="str">
        <f>IFERROR(VLOOKUP(C1193, [6]條件!$A:$L, 6, 0), "")</f>
        <v/>
      </c>
      <c r="G1193" s="1411" t="str">
        <f>IFERROR(VLOOKUP(C1193, [6]條件!$A:$L, 7, 0), "")</f>
        <v/>
      </c>
      <c r="H1193" s="978" t="str">
        <f>IF(ISNA(VLOOKUP(C1193,[6]條件!$A$1:$K$932,11,0)),"",(VLOOKUP(C1193,[6]條件!$A$1:$K$932,11,0)))</f>
        <v/>
      </c>
      <c r="I1193" s="979" t="str">
        <f>IF(ISNA(VLOOKUP(C1193,[6]條件!$A$1:$L$932,12,0)),"",(VLOOKUP(C1193,[6]條件!$A$1:$L$932,12,0)))</f>
        <v/>
      </c>
      <c r="J1193" s="982"/>
      <c r="K1193" s="980"/>
      <c r="L1193" s="981" t="s">
        <v>632</v>
      </c>
      <c r="M1193" s="983"/>
      <c r="N1193" s="982"/>
      <c r="O1193" s="980"/>
      <c r="P1193" s="981" t="s">
        <v>632</v>
      </c>
      <c r="Q1193" s="983"/>
      <c r="R1193" s="982"/>
      <c r="S1193" s="980"/>
      <c r="T1193" s="981" t="s">
        <v>632</v>
      </c>
      <c r="U1193" s="983"/>
      <c r="V1193" s="982"/>
      <c r="W1193" s="980"/>
      <c r="X1193" s="981" t="s">
        <v>632</v>
      </c>
      <c r="Y1193" s="983"/>
      <c r="Z1193" s="1412" t="str">
        <f>IFERROR(VLOOKUP(C1193, [6]條件!$A:$L, 3, 0), "")</f>
        <v/>
      </c>
      <c r="AA1193" s="984" t="str">
        <f>IF(OR(L1193={"改紡","檢修","了機","清車","FINAL","停機","SAMPLE","TEST","絲開發"}), L1193, IFERROR(IF(C1193="", "", (SUM(J1193, N1193, R1193, V1193)/3 * AG1193) * IF(AND(AF1193="S", AS1193="雙"), 0.5, 1)), ""))</f>
        <v>停機</v>
      </c>
      <c r="AB1193" s="1413" t="str">
        <f t="shared" si="206"/>
        <v/>
      </c>
      <c r="AC1193" s="984" t="str">
        <f>IF(OR(L1193={"改紡","檢修","了機","清車","FINAL","停機","SAMPLE","TEST"}), "", IFERROR(IF(C1193="", "", AVERAGE(L1193:M1193, P1193:Q1193, T1193:U1193, X1193:Y1193)/100), ""))</f>
        <v/>
      </c>
      <c r="AD1193" s="984" t="str">
        <f t="shared" si="204"/>
        <v/>
      </c>
      <c r="AE1193" s="984" t="str">
        <f t="shared" si="207"/>
        <v/>
      </c>
      <c r="AF1193" s="985" t="str">
        <f t="shared" si="199"/>
        <v>A</v>
      </c>
      <c r="AG1193" s="1414">
        <v>1</v>
      </c>
      <c r="AH1193" s="1002" t="s">
        <v>16011</v>
      </c>
      <c r="AI1193" s="1002" t="s">
        <v>640</v>
      </c>
      <c r="AJ1193" s="1002" t="s">
        <v>640</v>
      </c>
      <c r="AK1193" s="1002" t="s">
        <v>640</v>
      </c>
      <c r="AL1193" s="1415"/>
      <c r="AM1193" s="1323"/>
      <c r="AN1193" s="1323"/>
      <c r="AO1193" s="1323"/>
      <c r="AP1193" s="1323"/>
      <c r="AQ1193" s="1323"/>
      <c r="AR1193" s="987"/>
      <c r="AS1193" s="978" t="str">
        <f t="shared" si="200"/>
        <v>單</v>
      </c>
      <c r="AT1193" s="978" t="str">
        <f t="shared" si="201"/>
        <v>全</v>
      </c>
      <c r="AU1193" s="978" t="str">
        <f t="shared" si="202"/>
        <v/>
      </c>
      <c r="AV1193" s="978" t="str">
        <f t="shared" si="203"/>
        <v/>
      </c>
    </row>
    <row r="1194" spans="1:48">
      <c r="A1194" s="975">
        <f t="shared" si="208"/>
        <v>46173</v>
      </c>
      <c r="B1194" s="976" t="s">
        <v>215</v>
      </c>
      <c r="C1194" s="976" t="s">
        <v>632</v>
      </c>
      <c r="D1194" s="1410"/>
      <c r="E1194" s="977" t="str">
        <f>IFERROR(VLOOKUP(C1194, [6]條件!$A:$L, 5, 0), "")</f>
        <v/>
      </c>
      <c r="F1194" s="978" t="str">
        <f>IFERROR(VLOOKUP(C1194, [6]條件!$A:$L, 6, 0), "")</f>
        <v/>
      </c>
      <c r="G1194" s="1411" t="str">
        <f>IFERROR(VLOOKUP(C1194, [6]條件!$A:$L, 7, 0), "")</f>
        <v/>
      </c>
      <c r="H1194" s="978" t="str">
        <f>IF(ISNA(VLOOKUP(C1194,[6]條件!$A$1:$K$932,11,0)),"",(VLOOKUP(C1194,[6]條件!$A$1:$K$932,11,0)))</f>
        <v/>
      </c>
      <c r="I1194" s="979" t="str">
        <f>IF(ISNA(VLOOKUP(C1194,[6]條件!$A$1:$L$932,12,0)),"",(VLOOKUP(C1194,[6]條件!$A$1:$L$932,12,0)))</f>
        <v/>
      </c>
      <c r="J1194" s="982"/>
      <c r="K1194" s="980"/>
      <c r="L1194" s="981" t="s">
        <v>632</v>
      </c>
      <c r="M1194" s="983"/>
      <c r="N1194" s="982"/>
      <c r="O1194" s="980"/>
      <c r="P1194" s="981" t="s">
        <v>632</v>
      </c>
      <c r="Q1194" s="983"/>
      <c r="R1194" s="982"/>
      <c r="S1194" s="980"/>
      <c r="T1194" s="981" t="s">
        <v>632</v>
      </c>
      <c r="U1194" s="983"/>
      <c r="V1194" s="982"/>
      <c r="W1194" s="980"/>
      <c r="X1194" s="981" t="s">
        <v>632</v>
      </c>
      <c r="Y1194" s="983"/>
      <c r="Z1194" s="1412" t="str">
        <f>IFERROR(VLOOKUP(C1194, [6]條件!$A:$L, 3, 0), "")</f>
        <v/>
      </c>
      <c r="AA1194" s="984" t="str">
        <f>IF(OR(L1194={"改紡","檢修","了機","清車","FINAL","停機","SAMPLE","TEST","絲開發"}), L1194, IFERROR(IF(C1194="", "", (SUM(J1194, N1194, R1194, V1194)/3 * AG1194) * IF(AND(AF1194="S", AS1194="雙"), 0.5, 1)), ""))</f>
        <v>停機</v>
      </c>
      <c r="AB1194" s="1413" t="str">
        <f t="shared" si="206"/>
        <v/>
      </c>
      <c r="AC1194" s="984" t="str">
        <f>IF(OR(L1194={"改紡","檢修","了機","清車","FINAL","停機","SAMPLE","TEST"}), "", IFERROR(IF(C1194="", "", AVERAGE(L1194:M1194, P1194:Q1194, T1194:U1194, X1194:Y1194)/100), ""))</f>
        <v/>
      </c>
      <c r="AD1194" s="984" t="str">
        <f t="shared" si="204"/>
        <v/>
      </c>
      <c r="AE1194" s="984" t="str">
        <f t="shared" si="207"/>
        <v/>
      </c>
      <c r="AF1194" s="985" t="str">
        <f t="shared" si="199"/>
        <v>A</v>
      </c>
      <c r="AG1194" s="1414">
        <v>1</v>
      </c>
      <c r="AH1194" s="1002" t="s">
        <v>16011</v>
      </c>
      <c r="AI1194" s="1002" t="s">
        <v>640</v>
      </c>
      <c r="AJ1194" s="1002" t="s">
        <v>16011</v>
      </c>
      <c r="AK1194" s="1002" t="s">
        <v>640</v>
      </c>
      <c r="AL1194" s="1415"/>
      <c r="AM1194" s="1323"/>
      <c r="AN1194" s="1323"/>
      <c r="AO1194" s="1323"/>
      <c r="AP1194" s="1323"/>
      <c r="AQ1194" s="1323"/>
      <c r="AR1194" s="987"/>
      <c r="AS1194" s="978" t="str">
        <f t="shared" si="200"/>
        <v>單</v>
      </c>
      <c r="AT1194" s="978" t="str">
        <f t="shared" si="201"/>
        <v>全</v>
      </c>
      <c r="AU1194" s="978" t="str">
        <f t="shared" si="202"/>
        <v/>
      </c>
      <c r="AV1194" s="978" t="str">
        <f t="shared" si="203"/>
        <v/>
      </c>
    </row>
    <row r="1195" spans="1:48">
      <c r="A1195" s="975">
        <f t="shared" si="208"/>
        <v>46173</v>
      </c>
      <c r="B1195" s="976" t="s">
        <v>216</v>
      </c>
      <c r="C1195" s="976" t="s">
        <v>632</v>
      </c>
      <c r="D1195" s="1410"/>
      <c r="E1195" s="977" t="str">
        <f>IFERROR(VLOOKUP(C1195, [6]條件!$A:$L, 5, 0), "")</f>
        <v/>
      </c>
      <c r="F1195" s="978" t="str">
        <f>IFERROR(VLOOKUP(C1195, [6]條件!$A:$L, 6, 0), "")</f>
        <v/>
      </c>
      <c r="G1195" s="1411" t="str">
        <f>IFERROR(VLOOKUP(C1195, [6]條件!$A:$L, 7, 0), "")</f>
        <v/>
      </c>
      <c r="H1195" s="978" t="str">
        <f>IF(ISNA(VLOOKUP(C1195,[6]條件!$A$1:$K$932,11,0)),"",(VLOOKUP(C1195,[6]條件!$A$1:$K$932,11,0)))</f>
        <v/>
      </c>
      <c r="I1195" s="979" t="str">
        <f>IF(ISNA(VLOOKUP(C1195,[6]條件!$A$1:$L$932,12,0)),"",(VLOOKUP(C1195,[6]條件!$A$1:$L$932,12,0)))</f>
        <v/>
      </c>
      <c r="J1195" s="982"/>
      <c r="K1195" s="980"/>
      <c r="L1195" s="981" t="s">
        <v>632</v>
      </c>
      <c r="M1195" s="983"/>
      <c r="N1195" s="982"/>
      <c r="O1195" s="980"/>
      <c r="P1195" s="981" t="s">
        <v>632</v>
      </c>
      <c r="Q1195" s="983"/>
      <c r="R1195" s="982"/>
      <c r="S1195" s="980"/>
      <c r="T1195" s="981" t="s">
        <v>632</v>
      </c>
      <c r="U1195" s="983"/>
      <c r="V1195" s="982"/>
      <c r="W1195" s="980"/>
      <c r="X1195" s="981" t="s">
        <v>632</v>
      </c>
      <c r="Y1195" s="983"/>
      <c r="Z1195" s="1412" t="str">
        <f>IFERROR(VLOOKUP(C1195, [6]條件!$A:$L, 3, 0), "")</f>
        <v/>
      </c>
      <c r="AA1195" s="984" t="str">
        <f>IF(OR(L1195={"改紡","檢修","了機","清車","FINAL","停機","SAMPLE","TEST","絲開發"}), L1195, IFERROR(IF(C1195="", "", (SUM(J1195, N1195, R1195, V1195)/3 * AG1195) * IF(AND(AF1195="S", AS1195="雙"), 0.5, 1)), ""))</f>
        <v>停機</v>
      </c>
      <c r="AB1195" s="1413" t="str">
        <f t="shared" si="206"/>
        <v/>
      </c>
      <c r="AC1195" s="984" t="str">
        <f>IF(OR(L1195={"改紡","檢修","了機","清車","FINAL","停機","SAMPLE","TEST"}), "", IFERROR(IF(C1195="", "", AVERAGE(L1195:M1195, P1195:Q1195, T1195:U1195, X1195:Y1195)/100), ""))</f>
        <v/>
      </c>
      <c r="AD1195" s="984" t="str">
        <f t="shared" si="204"/>
        <v/>
      </c>
      <c r="AE1195" s="984" t="str">
        <f t="shared" si="207"/>
        <v/>
      </c>
      <c r="AF1195" s="985" t="str">
        <f t="shared" si="199"/>
        <v>A</v>
      </c>
      <c r="AG1195" s="1414">
        <v>1</v>
      </c>
      <c r="AH1195" s="1002" t="s">
        <v>16011</v>
      </c>
      <c r="AI1195" s="1002" t="s">
        <v>640</v>
      </c>
      <c r="AJ1195" s="1002" t="s">
        <v>16011</v>
      </c>
      <c r="AK1195" s="1002" t="s">
        <v>640</v>
      </c>
      <c r="AL1195" s="1415"/>
      <c r="AM1195" s="1323"/>
      <c r="AN1195" s="1323"/>
      <c r="AO1195" s="1323"/>
      <c r="AP1195" s="1323"/>
      <c r="AQ1195" s="1323"/>
      <c r="AR1195" s="987"/>
      <c r="AS1195" s="978" t="str">
        <f t="shared" si="200"/>
        <v>單</v>
      </c>
      <c r="AT1195" s="978" t="str">
        <f t="shared" si="201"/>
        <v>全</v>
      </c>
      <c r="AU1195" s="978" t="str">
        <f t="shared" si="202"/>
        <v/>
      </c>
      <c r="AV1195" s="978" t="str">
        <f t="shared" si="203"/>
        <v/>
      </c>
    </row>
    <row r="1196" spans="1:48">
      <c r="A1196" s="975">
        <f t="shared" si="208"/>
        <v>46173</v>
      </c>
      <c r="B1196" s="976" t="s">
        <v>217</v>
      </c>
      <c r="C1196" s="976" t="s">
        <v>16790</v>
      </c>
      <c r="D1196" s="1410"/>
      <c r="E1196" s="977" t="str">
        <f>IFERROR(VLOOKUP(C1196, [6]條件!$A:$L, 5, 0), "")</f>
        <v>75/72SRR5</v>
      </c>
      <c r="F1196" s="978" t="str">
        <f>IFERROR(VLOOKUP(C1196, [6]條件!$A:$L, 6, 0), "")</f>
        <v>FP81631R</v>
      </c>
      <c r="G1196" s="1411">
        <f>IFERROR(VLOOKUP(C1196, [6]條件!$A:$L, 7, 0), "")</f>
        <v>600</v>
      </c>
      <c r="H1196" s="978" t="str">
        <f>IF(ISNA(VLOOKUP(C1196,[6]條件!$A$1:$K$932,11,0)),"",(VLOOKUP(C1196,[6]條件!$A$1:$K$932,11,0)))</f>
        <v>白藍條</v>
      </c>
      <c r="I1196" s="979">
        <f>IF(ISNA(VLOOKUP(C1196,[6]條件!$A$1:$L$932,12,0)),"",(VLOOKUP(C1196,[6]條件!$A$1:$L$932,12,0)))</f>
        <v>4</v>
      </c>
      <c r="J1196" s="982">
        <v>4</v>
      </c>
      <c r="K1196" s="980">
        <v>0</v>
      </c>
      <c r="L1196" s="981">
        <v>9450</v>
      </c>
      <c r="M1196" s="983" t="s">
        <v>16018</v>
      </c>
      <c r="N1196" s="982">
        <v>20</v>
      </c>
      <c r="O1196" s="980">
        <v>2</v>
      </c>
      <c r="P1196" s="981">
        <v>9298</v>
      </c>
      <c r="Q1196" s="983">
        <v>9004</v>
      </c>
      <c r="R1196" s="982">
        <v>14</v>
      </c>
      <c r="S1196" s="980">
        <v>0</v>
      </c>
      <c r="T1196" s="981">
        <v>9319</v>
      </c>
      <c r="U1196" s="983">
        <v>9156</v>
      </c>
      <c r="V1196" s="982">
        <v>31</v>
      </c>
      <c r="W1196" s="980">
        <v>0</v>
      </c>
      <c r="X1196" s="981">
        <v>9095</v>
      </c>
      <c r="Y1196" s="983">
        <v>9194</v>
      </c>
      <c r="Z1196" s="1412">
        <f>IFERROR(VLOOKUP(C1196, [6]條件!$A:$L, 3, 0), "")</f>
        <v>1.7625458996328029</v>
      </c>
      <c r="AA1196" s="984">
        <f>IF(OR(L1196={"改紡","檢修","了機","清車","FINAL","停機","SAMPLE","TEST","絲開發"}), L1196, IFERROR(IF(C1196="", "", (SUM(J1196, N1196, R1196, V1196)/3 * AG1196) * IF(AND(AF1196="S", AS1196="雙"), 0.5, 1)), ""))</f>
        <v>23</v>
      </c>
      <c r="AB1196" s="1413">
        <f t="shared" si="206"/>
        <v>0.99454460470085471</v>
      </c>
      <c r="AC1196" s="984">
        <f>IF(OR(L1196={"改紡","檢修","了機","清車","FINAL","停機","SAMPLE","TEST"}), "", IFERROR(IF(C1196="", "", AVERAGE(L1196:M1196, P1196:Q1196, T1196:U1196, X1196:Y1196)/100), ""))</f>
        <v>92.165714285714287</v>
      </c>
      <c r="AD1196" s="984">
        <f t="shared" si="204"/>
        <v>2.875</v>
      </c>
      <c r="AE1196" s="984">
        <f t="shared" si="207"/>
        <v>2.7916666666666665</v>
      </c>
      <c r="AF1196" s="985" t="str">
        <f t="shared" si="199"/>
        <v>A</v>
      </c>
      <c r="AG1196" s="1414">
        <v>1</v>
      </c>
      <c r="AH1196" s="1002" t="s">
        <v>16013</v>
      </c>
      <c r="AI1196" s="1002" t="s">
        <v>829</v>
      </c>
      <c r="AJ1196" s="986" t="s">
        <v>16000</v>
      </c>
      <c r="AK1196" s="986" t="s">
        <v>636</v>
      </c>
      <c r="AL1196" s="1415">
        <v>54</v>
      </c>
      <c r="AM1196" s="1323">
        <v>46030</v>
      </c>
      <c r="AN1196" s="1323">
        <v>46051</v>
      </c>
      <c r="AO1196" s="1323">
        <v>46052</v>
      </c>
      <c r="AP1196" s="1323"/>
      <c r="AQ1196" s="1323"/>
      <c r="AR1196" s="987"/>
      <c r="AS1196" s="978" t="str">
        <f t="shared" si="200"/>
        <v>單</v>
      </c>
      <c r="AT1196" s="978" t="str">
        <f t="shared" si="201"/>
        <v>全</v>
      </c>
      <c r="AU1196" s="978">
        <f t="shared" si="202"/>
        <v>75</v>
      </c>
      <c r="AV1196" s="978">
        <f t="shared" si="203"/>
        <v>1.4333611885714286</v>
      </c>
    </row>
    <row r="1197" spans="1:48">
      <c r="A1197" s="975">
        <f t="shared" si="208"/>
        <v>46173</v>
      </c>
      <c r="B1197" s="976" t="s">
        <v>218</v>
      </c>
      <c r="C1197" s="976" t="s">
        <v>632</v>
      </c>
      <c r="D1197" s="1410"/>
      <c r="E1197" s="977" t="str">
        <f>IFERROR(VLOOKUP(C1197, [6]條件!$A:$L, 5, 0), "")</f>
        <v/>
      </c>
      <c r="F1197" s="978" t="str">
        <f>IFERROR(VLOOKUP(C1197, [6]條件!$A:$L, 6, 0), "")</f>
        <v/>
      </c>
      <c r="G1197" s="1411" t="str">
        <f>IFERROR(VLOOKUP(C1197, [6]條件!$A:$L, 7, 0), "")</f>
        <v/>
      </c>
      <c r="H1197" s="978" t="str">
        <f>IF(ISNA(VLOOKUP(C1197,[6]條件!$A$1:$K$932,11,0)),"",(VLOOKUP(C1197,[6]條件!$A$1:$K$932,11,0)))</f>
        <v/>
      </c>
      <c r="I1197" s="979" t="str">
        <f>IF(ISNA(VLOOKUP(C1197,[6]條件!$A$1:$L$932,12,0)),"",(VLOOKUP(C1197,[6]條件!$A$1:$L$932,12,0)))</f>
        <v/>
      </c>
      <c r="J1197" s="982"/>
      <c r="K1197" s="980"/>
      <c r="L1197" s="981" t="s">
        <v>632</v>
      </c>
      <c r="M1197" s="983"/>
      <c r="N1197" s="982"/>
      <c r="O1197" s="980"/>
      <c r="P1197" s="981" t="s">
        <v>632</v>
      </c>
      <c r="Q1197" s="983"/>
      <c r="R1197" s="982"/>
      <c r="S1197" s="980"/>
      <c r="T1197" s="981" t="s">
        <v>632</v>
      </c>
      <c r="U1197" s="983"/>
      <c r="V1197" s="982"/>
      <c r="W1197" s="980"/>
      <c r="X1197" s="981" t="s">
        <v>632</v>
      </c>
      <c r="Y1197" s="983"/>
      <c r="Z1197" s="1412" t="str">
        <f>IFERROR(VLOOKUP(C1197, [6]條件!$A:$L, 3, 0), "")</f>
        <v/>
      </c>
      <c r="AA1197" s="984" t="str">
        <f>IF(OR(L1197={"改紡","檢修","了機","清車","FINAL","停機","SAMPLE","TEST","絲開發"}), L1197, IFERROR(IF(C1197="", "", (SUM(J1197, N1197, R1197, V1197)/3 * AG1197) * IF(AND(AF1197="S", AS1197="雙"), 0.5, 1)), ""))</f>
        <v>停機</v>
      </c>
      <c r="AB1197" s="1413" t="str">
        <f t="shared" si="206"/>
        <v/>
      </c>
      <c r="AC1197" s="984" t="str">
        <f>IF(OR(L1197={"改紡","檢修","了機","清車","FINAL","停機","SAMPLE","TEST"}), "", IFERROR(IF(C1197="", "", AVERAGE(L1197:M1197, P1197:Q1197, T1197:U1197, X1197:Y1197)/100), ""))</f>
        <v/>
      </c>
      <c r="AD1197" s="984" t="str">
        <f t="shared" si="204"/>
        <v/>
      </c>
      <c r="AE1197" s="984" t="str">
        <f t="shared" si="207"/>
        <v/>
      </c>
      <c r="AF1197" s="985" t="str">
        <f t="shared" si="199"/>
        <v>A</v>
      </c>
      <c r="AG1197" s="1414">
        <v>1</v>
      </c>
      <c r="AH1197" s="1002" t="s">
        <v>640</v>
      </c>
      <c r="AI1197" s="1002" t="s">
        <v>640</v>
      </c>
      <c r="AJ1197" s="986" t="s">
        <v>640</v>
      </c>
      <c r="AK1197" s="986" t="s">
        <v>640</v>
      </c>
      <c r="AL1197" s="1415"/>
      <c r="AM1197" s="1323"/>
      <c r="AN1197" s="1323"/>
      <c r="AO1197" s="1323"/>
      <c r="AP1197" s="1323"/>
      <c r="AQ1197" s="1323"/>
      <c r="AR1197" s="987"/>
      <c r="AS1197" s="978" t="str">
        <f t="shared" si="200"/>
        <v>單</v>
      </c>
      <c r="AT1197" s="978" t="str">
        <f t="shared" si="201"/>
        <v>全</v>
      </c>
      <c r="AU1197" s="978" t="str">
        <f t="shared" si="202"/>
        <v/>
      </c>
      <c r="AV1197" s="978" t="str">
        <f t="shared" si="203"/>
        <v/>
      </c>
    </row>
    <row r="1198" spans="1:48">
      <c r="A1198" s="975">
        <f t="shared" si="208"/>
        <v>46173</v>
      </c>
      <c r="B1198" s="976" t="s">
        <v>219</v>
      </c>
      <c r="C1198" s="976" t="s">
        <v>16745</v>
      </c>
      <c r="D1198" s="1410" t="s">
        <v>16748</v>
      </c>
      <c r="E1198" s="977" t="str">
        <f>IFERROR(VLOOKUP(C1198, [6]條件!$A:$L, 5, 0), "")</f>
        <v>50/72BSD3</v>
      </c>
      <c r="F1198" s="978" t="str">
        <f>IFERROR(VLOOKUP(C1198, [6]條件!$A:$L, 6, 0), "")</f>
        <v>FP80141</v>
      </c>
      <c r="G1198" s="1411">
        <f>IFERROR(VLOOKUP(C1198, [6]條件!$A:$L, 7, 0), "")</f>
        <v>630</v>
      </c>
      <c r="H1198" s="978" t="str">
        <f>IF(ISNA(VLOOKUP(C1198,[6]條件!$A$1:$K$932,11,0)),"",(VLOOKUP(C1198,[6]條件!$A$1:$K$932,11,0)))</f>
        <v>洋綠色</v>
      </c>
      <c r="I1198" s="979">
        <f>IF(ISNA(VLOOKUP(C1198,[6]條件!$A$1:$L$932,12,0)),"",(VLOOKUP(C1198,[6]條件!$A$1:$L$932,12,0)))</f>
        <v>2</v>
      </c>
      <c r="J1198" s="982">
        <v>13</v>
      </c>
      <c r="K1198" s="980">
        <v>0</v>
      </c>
      <c r="L1198" s="981">
        <v>9111</v>
      </c>
      <c r="M1198" s="983">
        <v>9536</v>
      </c>
      <c r="N1198" s="982">
        <v>15</v>
      </c>
      <c r="O1198" s="980">
        <v>1</v>
      </c>
      <c r="P1198" s="981">
        <v>8930</v>
      </c>
      <c r="Q1198" s="983">
        <v>9296</v>
      </c>
      <c r="R1198" s="982">
        <v>6</v>
      </c>
      <c r="S1198" s="980">
        <v>0</v>
      </c>
      <c r="T1198" s="981">
        <v>9048</v>
      </c>
      <c r="U1198" s="983">
        <v>9348</v>
      </c>
      <c r="V1198" s="982">
        <v>24</v>
      </c>
      <c r="W1198" s="980">
        <v>0</v>
      </c>
      <c r="X1198" s="981">
        <v>9131</v>
      </c>
      <c r="Y1198" s="983">
        <v>9302</v>
      </c>
      <c r="Z1198" s="1412">
        <f>IFERROR(VLOOKUP(C1198, [6]條件!$A:$L, 3, 0), "")</f>
        <v>2.4615384615384617</v>
      </c>
      <c r="AA1198" s="984">
        <f>IF(OR(L1198={"改紡","檢修","了機","清車","FINAL","停機","SAMPLE","TEST","絲開發"}), L1198, IFERROR(IF(C1198="", "", (SUM(J1198, N1198, R1198, V1198)/3 * AG1198) * IF(AND(AF1198="S", AS1198="雙"), 0.5, 1)), ""))</f>
        <v>19.333333333333332</v>
      </c>
      <c r="AB1198" s="1413">
        <f t="shared" si="206"/>
        <v>0.998046875</v>
      </c>
      <c r="AC1198" s="984">
        <f>IF(OR(L1198={"改紡","檢修","了機","清車","FINAL","停機","SAMPLE","TEST"}), "", IFERROR(IF(C1198="", "", AVERAGE(L1198:M1198, P1198:Q1198, T1198:U1198, X1198:Y1198)/100), ""))</f>
        <v>92.127499999999998</v>
      </c>
      <c r="AD1198" s="984">
        <f t="shared" si="204"/>
        <v>2.4166666666666665</v>
      </c>
      <c r="AE1198" s="984">
        <f t="shared" si="207"/>
        <v>2.375</v>
      </c>
      <c r="AF1198" s="985" t="str">
        <f t="shared" si="199"/>
        <v>A</v>
      </c>
      <c r="AG1198" s="1414">
        <v>1</v>
      </c>
      <c r="AH1198" s="1002" t="s">
        <v>16013</v>
      </c>
      <c r="AI1198" s="1002" t="s">
        <v>829</v>
      </c>
      <c r="AJ1198" s="986" t="s">
        <v>636</v>
      </c>
      <c r="AK1198" s="986" t="s">
        <v>636</v>
      </c>
      <c r="AL1198" s="1415">
        <v>57</v>
      </c>
      <c r="AM1198" s="1324">
        <v>46088</v>
      </c>
      <c r="AN1198" s="1323">
        <v>46089</v>
      </c>
      <c r="AO1198" s="1323">
        <v>46091</v>
      </c>
      <c r="AP1198" s="1323">
        <v>46092</v>
      </c>
      <c r="AQ1198" s="1323">
        <v>46093</v>
      </c>
      <c r="AR1198" s="987"/>
      <c r="AS1198" s="978" t="str">
        <f t="shared" si="200"/>
        <v>單</v>
      </c>
      <c r="AT1198" s="978" t="str">
        <f t="shared" si="201"/>
        <v>全</v>
      </c>
      <c r="AU1198" s="978">
        <f t="shared" si="202"/>
        <v>50</v>
      </c>
      <c r="AV1198" s="978">
        <f t="shared" si="203"/>
        <v>1.0029368159999998</v>
      </c>
    </row>
    <row r="1199" spans="1:48">
      <c r="A1199" s="975">
        <f t="shared" si="208"/>
        <v>46173</v>
      </c>
      <c r="B1199" s="976" t="s">
        <v>220</v>
      </c>
      <c r="C1199" s="976" t="s">
        <v>632</v>
      </c>
      <c r="D1199" s="1410"/>
      <c r="E1199" s="977" t="str">
        <f>IFERROR(VLOOKUP(C1199, [6]條件!$A:$L, 5, 0), "")</f>
        <v/>
      </c>
      <c r="F1199" s="978" t="str">
        <f>IFERROR(VLOOKUP(C1199, [6]條件!$A:$L, 6, 0), "")</f>
        <v/>
      </c>
      <c r="G1199" s="1411" t="str">
        <f>IFERROR(VLOOKUP(C1199, [6]條件!$A:$L, 7, 0), "")</f>
        <v/>
      </c>
      <c r="H1199" s="978" t="str">
        <f>IF(ISNA(VLOOKUP(C1199,[6]條件!$A$1:$K$932,11,0)),"",(VLOOKUP(C1199,[6]條件!$A$1:$K$932,11,0)))</f>
        <v/>
      </c>
      <c r="I1199" s="979" t="str">
        <f>IF(ISNA(VLOOKUP(C1199,[6]條件!$A$1:$L$932,12,0)),"",(VLOOKUP(C1199,[6]條件!$A$1:$L$932,12,0)))</f>
        <v/>
      </c>
      <c r="J1199" s="982"/>
      <c r="K1199" s="980"/>
      <c r="L1199" s="981" t="s">
        <v>632</v>
      </c>
      <c r="M1199" s="983"/>
      <c r="N1199" s="982"/>
      <c r="O1199" s="980"/>
      <c r="P1199" s="981" t="s">
        <v>632</v>
      </c>
      <c r="Q1199" s="983"/>
      <c r="R1199" s="982"/>
      <c r="S1199" s="980"/>
      <c r="T1199" s="981" t="s">
        <v>632</v>
      </c>
      <c r="U1199" s="983"/>
      <c r="V1199" s="982"/>
      <c r="W1199" s="980"/>
      <c r="X1199" s="981" t="s">
        <v>632</v>
      </c>
      <c r="Y1199" s="983"/>
      <c r="Z1199" s="1412" t="str">
        <f>IFERROR(VLOOKUP(C1199, [6]條件!$A:$L, 3, 0), "")</f>
        <v/>
      </c>
      <c r="AA1199" s="984" t="str">
        <f>IF(OR(L1199={"改紡","檢修","了機","清車","FINAL","停機","SAMPLE","TEST","絲開發"}), L1199, IFERROR(IF(C1199="", "", (SUM(J1199, N1199, R1199, V1199)/3 * AG1199) * IF(AND(AF1199="S", AS1199="雙"), 0.5, 1)), ""))</f>
        <v>停機</v>
      </c>
      <c r="AB1199" s="1413" t="str">
        <f t="shared" si="206"/>
        <v/>
      </c>
      <c r="AC1199" s="984" t="str">
        <f>IF(OR(L1199={"改紡","檢修","了機","清車","FINAL","停機","SAMPLE","TEST"}), "", IFERROR(IF(C1199="", "", AVERAGE(L1199:M1199, P1199:Q1199, T1199:U1199, X1199:Y1199)/100), ""))</f>
        <v/>
      </c>
      <c r="AD1199" s="984" t="str">
        <f t="shared" si="204"/>
        <v/>
      </c>
      <c r="AE1199" s="984" t="str">
        <f t="shared" si="207"/>
        <v/>
      </c>
      <c r="AF1199" s="985" t="str">
        <f t="shared" si="199"/>
        <v>A</v>
      </c>
      <c r="AG1199" s="1414">
        <v>1</v>
      </c>
      <c r="AH1199" s="1002" t="s">
        <v>640</v>
      </c>
      <c r="AI1199" s="1002" t="s">
        <v>640</v>
      </c>
      <c r="AJ1199" s="986" t="s">
        <v>640</v>
      </c>
      <c r="AK1199" s="986" t="s">
        <v>640</v>
      </c>
      <c r="AL1199" s="1415"/>
      <c r="AM1199" s="1323"/>
      <c r="AN1199" s="1323"/>
      <c r="AO1199" s="1323"/>
      <c r="AP1199" s="1323"/>
      <c r="AQ1199" s="1323"/>
      <c r="AR1199" s="987"/>
      <c r="AS1199" s="978" t="str">
        <f t="shared" si="200"/>
        <v>單</v>
      </c>
      <c r="AT1199" s="978" t="str">
        <f t="shared" si="201"/>
        <v>全</v>
      </c>
      <c r="AU1199" s="978" t="str">
        <f t="shared" si="202"/>
        <v/>
      </c>
      <c r="AV1199" s="978" t="str">
        <f t="shared" si="203"/>
        <v/>
      </c>
    </row>
    <row r="1200" spans="1:48">
      <c r="A1200" s="975">
        <f t="shared" si="208"/>
        <v>46173</v>
      </c>
      <c r="B1200" s="976" t="s">
        <v>221</v>
      </c>
      <c r="C1200" s="976" t="s">
        <v>16763</v>
      </c>
      <c r="D1200" s="1410"/>
      <c r="E1200" s="977" t="str">
        <f>IFERROR(VLOOKUP(C1200, [6]條件!$A:$L, 5, 0), "")</f>
        <v>150/48CDR</v>
      </c>
      <c r="F1200" s="978" t="str">
        <f>IFERROR(VLOOKUP(C1200, [6]條件!$A:$L, 6, 0), "")</f>
        <v>FP82781</v>
      </c>
      <c r="G1200" s="1411">
        <f>IFERROR(VLOOKUP(C1200, [6]條件!$A:$L, 7, 0), "")</f>
        <v>600</v>
      </c>
      <c r="H1200" s="978" t="str">
        <f>IF(ISNA(VLOOKUP(C1200,[6]條件!$A$1:$K$932,11,0)),"",(VLOOKUP(C1200,[6]條件!$A$1:$K$932,11,0)))</f>
        <v>綠藍雙色</v>
      </c>
      <c r="I1200" s="979">
        <f>IF(ISNA(VLOOKUP(C1200,[6]條件!$A$1:$L$932,12,0)),"",(VLOOKUP(C1200,[6]條件!$A$1:$L$932,12,0)))</f>
        <v>5</v>
      </c>
      <c r="J1200" s="982">
        <v>12</v>
      </c>
      <c r="K1200" s="980">
        <v>1</v>
      </c>
      <c r="L1200" s="981">
        <v>9360</v>
      </c>
      <c r="M1200" s="983">
        <v>9017</v>
      </c>
      <c r="N1200" s="982">
        <v>3</v>
      </c>
      <c r="O1200" s="980">
        <v>1</v>
      </c>
      <c r="P1200" s="981">
        <v>9323</v>
      </c>
      <c r="Q1200" s="983">
        <v>9059</v>
      </c>
      <c r="R1200" s="982">
        <v>2</v>
      </c>
      <c r="S1200" s="980">
        <v>0</v>
      </c>
      <c r="T1200" s="981">
        <v>9339</v>
      </c>
      <c r="U1200" s="983">
        <v>9027</v>
      </c>
      <c r="V1200" s="982">
        <v>11</v>
      </c>
      <c r="W1200" s="980">
        <v>0</v>
      </c>
      <c r="X1200" s="981">
        <v>9316</v>
      </c>
      <c r="Y1200" s="983">
        <v>8770</v>
      </c>
      <c r="Z1200" s="1412">
        <f>IFERROR(VLOOKUP(C1200, [6]條件!$A:$L, 3, 0), "")</f>
        <v>2.8685258964143427</v>
      </c>
      <c r="AA1200" s="984">
        <f>IF(OR(L1200={"改紡","檢修","了機","清車","FINAL","停機","SAMPLE","TEST","絲開發"}), L1200, IFERROR(IF(C1200="", "", (SUM(J1200, N1200, R1200, V1200)/3 * AG1200) * IF(AND(AF1200="S", AS1200="雙"), 0.5, 1)), ""))</f>
        <v>9.3333333333333339</v>
      </c>
      <c r="AB1200" s="1413">
        <f t="shared" si="206"/>
        <v>0.99664797008547013</v>
      </c>
      <c r="AC1200" s="984">
        <f>IF(OR(L1200={"改紡","檢修","了機","清車","FINAL","停機","SAMPLE","TEST"}), "", IFERROR(IF(C1200="", "", AVERAGE(L1200:M1200, P1200:Q1200, T1200:U1200, X1200:Y1200)/100), ""))</f>
        <v>91.513750000000002</v>
      </c>
      <c r="AD1200" s="984">
        <f t="shared" si="204"/>
        <v>1.1666666666666667</v>
      </c>
      <c r="AE1200" s="984">
        <f t="shared" si="207"/>
        <v>1.0833333333333333</v>
      </c>
      <c r="AF1200" s="985" t="str">
        <f t="shared" si="199"/>
        <v>A</v>
      </c>
      <c r="AG1200" s="1414">
        <v>1</v>
      </c>
      <c r="AH1200" s="1002" t="s">
        <v>16013</v>
      </c>
      <c r="AI1200" s="1002" t="s">
        <v>829</v>
      </c>
      <c r="AJ1200" s="986" t="s">
        <v>636</v>
      </c>
      <c r="AK1200" s="986" t="s">
        <v>636</v>
      </c>
      <c r="AL1200" s="1415">
        <v>54</v>
      </c>
      <c r="AM1200" s="1323">
        <v>46162</v>
      </c>
      <c r="AN1200" s="1323">
        <v>46165</v>
      </c>
      <c r="AO1200" s="1323">
        <v>46166</v>
      </c>
      <c r="AP1200" s="1323"/>
      <c r="AQ1200" s="1323"/>
      <c r="AR1200" s="987"/>
      <c r="AS1200" s="978" t="str">
        <f t="shared" si="200"/>
        <v>單</v>
      </c>
      <c r="AT1200" s="978" t="str">
        <f t="shared" si="201"/>
        <v>全</v>
      </c>
      <c r="AU1200" s="978">
        <f t="shared" si="202"/>
        <v>150</v>
      </c>
      <c r="AV1200" s="978">
        <f t="shared" si="203"/>
        <v>2.8464436800000001</v>
      </c>
    </row>
    <row r="1201" spans="1:48">
      <c r="A1201" s="975">
        <f t="shared" si="208"/>
        <v>46173</v>
      </c>
      <c r="B1201" s="976" t="s">
        <v>222</v>
      </c>
      <c r="C1201" s="976" t="s">
        <v>632</v>
      </c>
      <c r="D1201" s="1410"/>
      <c r="E1201" s="977" t="str">
        <f>IFERROR(VLOOKUP(C1201, [6]條件!$A:$L, 5, 0), "")</f>
        <v/>
      </c>
      <c r="F1201" s="978" t="str">
        <f>IFERROR(VLOOKUP(C1201, [6]條件!$A:$L, 6, 0), "")</f>
        <v/>
      </c>
      <c r="G1201" s="1411" t="str">
        <f>IFERROR(VLOOKUP(C1201, [6]條件!$A:$L, 7, 0), "")</f>
        <v/>
      </c>
      <c r="H1201" s="978" t="str">
        <f>IF(ISNA(VLOOKUP(C1201,[6]條件!$A$1:$K$932,11,0)),"",(VLOOKUP(C1201,[6]條件!$A$1:$K$932,11,0)))</f>
        <v/>
      </c>
      <c r="I1201" s="979" t="str">
        <f>IF(ISNA(VLOOKUP(C1201,[6]條件!$A$1:$L$932,12,0)),"",(VLOOKUP(C1201,[6]條件!$A$1:$L$932,12,0)))</f>
        <v/>
      </c>
      <c r="J1201" s="982"/>
      <c r="K1201" s="980"/>
      <c r="L1201" s="981" t="s">
        <v>632</v>
      </c>
      <c r="M1201" s="983"/>
      <c r="N1201" s="982"/>
      <c r="O1201" s="980"/>
      <c r="P1201" s="981" t="s">
        <v>632</v>
      </c>
      <c r="Q1201" s="983"/>
      <c r="R1201" s="982"/>
      <c r="S1201" s="980"/>
      <c r="T1201" s="981" t="s">
        <v>632</v>
      </c>
      <c r="U1201" s="983"/>
      <c r="V1201" s="982"/>
      <c r="W1201" s="980"/>
      <c r="X1201" s="981" t="s">
        <v>632</v>
      </c>
      <c r="Y1201" s="983"/>
      <c r="Z1201" s="1412" t="str">
        <f>IFERROR(VLOOKUP(C1201, [6]條件!$A:$L, 3, 0), "")</f>
        <v/>
      </c>
      <c r="AA1201" s="984" t="str">
        <f>IF(OR(L1201={"改紡","檢修","了機","清車","FINAL","停機","SAMPLE","TEST","絲開發"}), L1201, IFERROR(IF(C1201="", "", (SUM(J1201, N1201, R1201, V1201)/3 * AG1201) * IF(AND(AF1201="S", AS1201="雙"), 0.5, 1)), ""))</f>
        <v>停機</v>
      </c>
      <c r="AB1201" s="1413" t="str">
        <f t="shared" si="206"/>
        <v/>
      </c>
      <c r="AC1201" s="984" t="str">
        <f>IF(OR(L1201={"改紡","檢修","了機","清車","FINAL","停機","SAMPLE","TEST"}), "", IFERROR(IF(C1201="", "", AVERAGE(L1201:M1201, P1201:Q1201, T1201:U1201, X1201:Y1201)/100), ""))</f>
        <v/>
      </c>
      <c r="AD1201" s="984" t="str">
        <f t="shared" si="204"/>
        <v/>
      </c>
      <c r="AE1201" s="984" t="str">
        <f t="shared" si="207"/>
        <v/>
      </c>
      <c r="AF1201" s="985" t="str">
        <f t="shared" si="199"/>
        <v>A</v>
      </c>
      <c r="AG1201" s="1414">
        <v>1</v>
      </c>
      <c r="AH1201" s="1002" t="s">
        <v>640</v>
      </c>
      <c r="AI1201" s="1002" t="s">
        <v>640</v>
      </c>
      <c r="AJ1201" s="986" t="s">
        <v>640</v>
      </c>
      <c r="AK1201" s="986" t="s">
        <v>640</v>
      </c>
      <c r="AL1201" s="1415"/>
      <c r="AM1201" s="1323"/>
      <c r="AN1201" s="1323"/>
      <c r="AO1201" s="1323"/>
      <c r="AP1201" s="1323"/>
      <c r="AQ1201" s="1323"/>
      <c r="AR1201" s="987"/>
      <c r="AS1201" s="978" t="str">
        <f t="shared" si="200"/>
        <v>單</v>
      </c>
      <c r="AT1201" s="978" t="str">
        <f t="shared" si="201"/>
        <v>全</v>
      </c>
      <c r="AU1201" s="978" t="str">
        <f t="shared" si="202"/>
        <v/>
      </c>
      <c r="AV1201" s="978" t="str">
        <f t="shared" si="203"/>
        <v/>
      </c>
    </row>
    <row r="1202" spans="1:48">
      <c r="A1202" s="975">
        <f t="shared" si="208"/>
        <v>46173</v>
      </c>
      <c r="B1202" s="976" t="s">
        <v>223</v>
      </c>
      <c r="C1202" s="976" t="s">
        <v>632</v>
      </c>
      <c r="D1202" s="1410"/>
      <c r="E1202" s="977" t="str">
        <f>IFERROR(VLOOKUP(C1202, [6]條件!$A:$L, 5, 0), "")</f>
        <v/>
      </c>
      <c r="F1202" s="978" t="str">
        <f>IFERROR(VLOOKUP(C1202, [6]條件!$A:$L, 6, 0), "")</f>
        <v/>
      </c>
      <c r="G1202" s="1411" t="str">
        <f>IFERROR(VLOOKUP(C1202, [6]條件!$A:$L, 7, 0), "")</f>
        <v/>
      </c>
      <c r="H1202" s="978" t="str">
        <f>IF(ISNA(VLOOKUP(C1202,[6]條件!$A$1:$K$932,11,0)),"",(VLOOKUP(C1202,[6]條件!$A$1:$K$932,11,0)))</f>
        <v/>
      </c>
      <c r="I1202" s="979" t="str">
        <f>IF(ISNA(VLOOKUP(C1202,[6]條件!$A$1:$L$932,12,0)),"",(VLOOKUP(C1202,[6]條件!$A$1:$L$932,12,0)))</f>
        <v/>
      </c>
      <c r="J1202" s="982"/>
      <c r="K1202" s="980"/>
      <c r="L1202" s="981" t="s">
        <v>632</v>
      </c>
      <c r="M1202" s="983"/>
      <c r="N1202" s="982"/>
      <c r="O1202" s="980"/>
      <c r="P1202" s="981" t="s">
        <v>632</v>
      </c>
      <c r="Q1202" s="983"/>
      <c r="R1202" s="982"/>
      <c r="S1202" s="980"/>
      <c r="T1202" s="981" t="s">
        <v>632</v>
      </c>
      <c r="U1202" s="983"/>
      <c r="V1202" s="982"/>
      <c r="W1202" s="980"/>
      <c r="X1202" s="981" t="s">
        <v>632</v>
      </c>
      <c r="Y1202" s="983"/>
      <c r="Z1202" s="1412" t="str">
        <f>IFERROR(VLOOKUP(C1202, [6]條件!$A:$L, 3, 0), "")</f>
        <v/>
      </c>
      <c r="AA1202" s="984" t="str">
        <f>IF(OR(L1202={"改紡","檢修","了機","清車","FINAL","停機","SAMPLE","TEST","絲開發"}), L1202, IFERROR(IF(C1202="", "", (SUM(J1202, N1202, R1202, V1202)/3 * AG1202) * IF(AND(AF1202="S", AS1202="雙"), 0.5, 1)), ""))</f>
        <v>停機</v>
      </c>
      <c r="AB1202" s="1413" t="str">
        <f t="shared" si="206"/>
        <v/>
      </c>
      <c r="AC1202" s="984" t="str">
        <f>IF(OR(L1202={"改紡","檢修","了機","清車","FINAL","停機","SAMPLE","TEST"}), "", IFERROR(IF(C1202="", "", AVERAGE(L1202:M1202, P1202:Q1202, T1202:U1202, X1202:Y1202)/100), ""))</f>
        <v/>
      </c>
      <c r="AD1202" s="984" t="str">
        <f t="shared" si="204"/>
        <v/>
      </c>
      <c r="AE1202" s="984" t="str">
        <f t="shared" si="207"/>
        <v/>
      </c>
      <c r="AF1202" s="985" t="str">
        <f t="shared" si="199"/>
        <v>A</v>
      </c>
      <c r="AG1202" s="1414">
        <v>1</v>
      </c>
      <c r="AH1202" s="1002" t="s">
        <v>640</v>
      </c>
      <c r="AI1202" s="1002" t="s">
        <v>640</v>
      </c>
      <c r="AJ1202" s="1002" t="s">
        <v>640</v>
      </c>
      <c r="AK1202" s="1002" t="s">
        <v>640</v>
      </c>
      <c r="AL1202" s="1415"/>
      <c r="AM1202" s="1324"/>
      <c r="AN1202" s="1323"/>
      <c r="AO1202" s="1323"/>
      <c r="AP1202" s="1323"/>
      <c r="AQ1202" s="1323"/>
      <c r="AR1202" s="987"/>
      <c r="AS1202" s="978" t="str">
        <f t="shared" si="200"/>
        <v>單</v>
      </c>
      <c r="AT1202" s="978" t="str">
        <f t="shared" si="201"/>
        <v>全</v>
      </c>
      <c r="AU1202" s="978" t="str">
        <f t="shared" si="202"/>
        <v/>
      </c>
      <c r="AV1202" s="978" t="str">
        <f t="shared" si="203"/>
        <v/>
      </c>
    </row>
    <row r="1203" spans="1:48">
      <c r="A1203" s="975">
        <f t="shared" si="208"/>
        <v>46173</v>
      </c>
      <c r="B1203" s="976" t="s">
        <v>224</v>
      </c>
      <c r="C1203" s="976" t="s">
        <v>632</v>
      </c>
      <c r="D1203" s="1410"/>
      <c r="E1203" s="977" t="str">
        <f>IFERROR(VLOOKUP(C1203, [6]條件!$A:$L, 5, 0), "")</f>
        <v/>
      </c>
      <c r="F1203" s="978" t="str">
        <f>IFERROR(VLOOKUP(C1203, [6]條件!$A:$L, 6, 0), "")</f>
        <v/>
      </c>
      <c r="G1203" s="1411" t="str">
        <f>IFERROR(VLOOKUP(C1203, [6]條件!$A:$L, 7, 0), "")</f>
        <v/>
      </c>
      <c r="H1203" s="978" t="str">
        <f>IF(ISNA(VLOOKUP(C1203,[6]條件!$A$1:$K$932,11,0)),"",(VLOOKUP(C1203,[6]條件!$A$1:$K$932,11,0)))</f>
        <v/>
      </c>
      <c r="I1203" s="979" t="str">
        <f>IF(ISNA(VLOOKUP(C1203,[6]條件!$A$1:$L$932,12,0)),"",(VLOOKUP(C1203,[6]條件!$A$1:$L$932,12,0)))</f>
        <v/>
      </c>
      <c r="J1203" s="982"/>
      <c r="K1203" s="980"/>
      <c r="L1203" s="981" t="s">
        <v>632</v>
      </c>
      <c r="M1203" s="983"/>
      <c r="N1203" s="982"/>
      <c r="O1203" s="980"/>
      <c r="P1203" s="981" t="s">
        <v>632</v>
      </c>
      <c r="Q1203" s="983"/>
      <c r="R1203" s="982"/>
      <c r="S1203" s="980"/>
      <c r="T1203" s="981" t="s">
        <v>632</v>
      </c>
      <c r="U1203" s="983"/>
      <c r="V1203" s="982"/>
      <c r="W1203" s="980"/>
      <c r="X1203" s="981" t="s">
        <v>632</v>
      </c>
      <c r="Y1203" s="983"/>
      <c r="Z1203" s="1412" t="str">
        <f>IFERROR(VLOOKUP(C1203, [6]條件!$A:$L, 3, 0), "")</f>
        <v/>
      </c>
      <c r="AA1203" s="984" t="str">
        <f>IF(OR(L1203={"改紡","檢修","了機","清車","FINAL","停機","SAMPLE","TEST","絲開發"}), L1203, IFERROR(IF(C1203="", "", (SUM(J1203, N1203, R1203, V1203)/3 * AG1203) * IF(AND(AF1203="S", AS1203="雙"), 0.5, 1)), ""))</f>
        <v>停機</v>
      </c>
      <c r="AB1203" s="1413" t="str">
        <f t="shared" si="206"/>
        <v/>
      </c>
      <c r="AC1203" s="984" t="str">
        <f>IF(OR(L1203={"改紡","檢修","了機","清車","FINAL","停機","SAMPLE","TEST"}), "", IFERROR(IF(C1203="", "", AVERAGE(L1203:M1203, P1203:Q1203, T1203:U1203, X1203:Y1203)/100), ""))</f>
        <v/>
      </c>
      <c r="AD1203" s="984" t="str">
        <f t="shared" si="204"/>
        <v/>
      </c>
      <c r="AE1203" s="984" t="str">
        <f t="shared" si="207"/>
        <v/>
      </c>
      <c r="AF1203" s="985" t="str">
        <f t="shared" si="199"/>
        <v>A</v>
      </c>
      <c r="AG1203" s="1414">
        <v>1</v>
      </c>
      <c r="AH1203" s="1002" t="s">
        <v>16011</v>
      </c>
      <c r="AI1203" s="1002" t="s">
        <v>640</v>
      </c>
      <c r="AJ1203" s="1002" t="s">
        <v>640</v>
      </c>
      <c r="AK1203" s="1002" t="s">
        <v>640</v>
      </c>
      <c r="AL1203" s="1415"/>
      <c r="AM1203" s="1323"/>
      <c r="AN1203" s="1323"/>
      <c r="AO1203" s="1323"/>
      <c r="AP1203" s="1323"/>
      <c r="AQ1203" s="1323"/>
      <c r="AR1203" s="987"/>
      <c r="AS1203" s="978" t="str">
        <f t="shared" si="200"/>
        <v>單</v>
      </c>
      <c r="AT1203" s="978" t="str">
        <f t="shared" si="201"/>
        <v>全</v>
      </c>
      <c r="AU1203" s="978" t="str">
        <f t="shared" si="202"/>
        <v/>
      </c>
      <c r="AV1203" s="978" t="str">
        <f t="shared" si="203"/>
        <v/>
      </c>
    </row>
    <row r="1204" spans="1:48">
      <c r="A1204" s="975">
        <f t="shared" si="208"/>
        <v>46173</v>
      </c>
      <c r="B1204" s="976" t="s">
        <v>225</v>
      </c>
      <c r="C1204" s="976" t="s">
        <v>632</v>
      </c>
      <c r="D1204" s="1410"/>
      <c r="E1204" s="977" t="str">
        <f>IFERROR(VLOOKUP(C1204, [6]條件!$A:$L, 5, 0), "")</f>
        <v/>
      </c>
      <c r="F1204" s="978" t="str">
        <f>IFERROR(VLOOKUP(C1204, [6]條件!$A:$L, 6, 0), "")</f>
        <v/>
      </c>
      <c r="G1204" s="1411" t="str">
        <f>IFERROR(VLOOKUP(C1204, [6]條件!$A:$L, 7, 0), "")</f>
        <v/>
      </c>
      <c r="H1204" s="978" t="str">
        <f>IF(ISNA(VLOOKUP(C1204,[6]條件!$A$1:$K$932,11,0)),"",(VLOOKUP(C1204,[6]條件!$A$1:$K$932,11,0)))</f>
        <v/>
      </c>
      <c r="I1204" s="979" t="str">
        <f>IF(ISNA(VLOOKUP(C1204,[6]條件!$A$1:$L$932,12,0)),"",(VLOOKUP(C1204,[6]條件!$A$1:$L$932,12,0)))</f>
        <v/>
      </c>
      <c r="J1204" s="982"/>
      <c r="K1204" s="980"/>
      <c r="L1204" s="981" t="s">
        <v>632</v>
      </c>
      <c r="M1204" s="983"/>
      <c r="N1204" s="982"/>
      <c r="O1204" s="980"/>
      <c r="P1204" s="981" t="s">
        <v>632</v>
      </c>
      <c r="Q1204" s="983"/>
      <c r="R1204" s="982"/>
      <c r="S1204" s="980"/>
      <c r="T1204" s="981" t="s">
        <v>632</v>
      </c>
      <c r="U1204" s="983"/>
      <c r="V1204" s="982"/>
      <c r="W1204" s="980"/>
      <c r="X1204" s="981" t="s">
        <v>632</v>
      </c>
      <c r="Y1204" s="983"/>
      <c r="Z1204" s="1412" t="str">
        <f>IFERROR(VLOOKUP(C1204, [6]條件!$A:$L, 3, 0), "")</f>
        <v/>
      </c>
      <c r="AA1204" s="984" t="str">
        <f>IF(OR(L1204={"改紡","檢修","了機","清車","FINAL","停機","SAMPLE","TEST","絲開發"}), L1204, IFERROR(IF(C1204="", "", (SUM(J1204, N1204, R1204, V1204)/3 * AG1204) * IF(AND(AF1204="S", AS1204="雙"), 0.5, 1)), ""))</f>
        <v>停機</v>
      </c>
      <c r="AB1204" s="1413" t="str">
        <f t="shared" si="206"/>
        <v/>
      </c>
      <c r="AC1204" s="984" t="str">
        <f>IF(OR(L1204={"改紡","檢修","了機","清車","FINAL","停機","SAMPLE","TEST"}), "", IFERROR(IF(C1204="", "", AVERAGE(L1204:M1204, P1204:Q1204, T1204:U1204, X1204:Y1204)/100), ""))</f>
        <v/>
      </c>
      <c r="AD1204" s="984" t="str">
        <f t="shared" si="204"/>
        <v/>
      </c>
      <c r="AE1204" s="984" t="str">
        <f t="shared" si="207"/>
        <v/>
      </c>
      <c r="AF1204" s="985" t="str">
        <f t="shared" si="199"/>
        <v>A</v>
      </c>
      <c r="AG1204" s="1414">
        <v>1</v>
      </c>
      <c r="AH1204" s="1002" t="s">
        <v>640</v>
      </c>
      <c r="AI1204" s="1002" t="s">
        <v>640</v>
      </c>
      <c r="AJ1204" s="1002" t="s">
        <v>640</v>
      </c>
      <c r="AK1204" s="1002" t="s">
        <v>640</v>
      </c>
      <c r="AL1204" s="1415"/>
      <c r="AM1204" s="1323"/>
      <c r="AN1204" s="1323"/>
      <c r="AO1204" s="1323"/>
      <c r="AP1204" s="1323"/>
      <c r="AQ1204" s="1323"/>
      <c r="AR1204" s="987"/>
      <c r="AS1204" s="978" t="str">
        <f t="shared" si="200"/>
        <v>單</v>
      </c>
      <c r="AT1204" s="978" t="str">
        <f t="shared" si="201"/>
        <v>全</v>
      </c>
      <c r="AU1204" s="978" t="str">
        <f t="shared" si="202"/>
        <v/>
      </c>
      <c r="AV1204" s="978" t="str">
        <f t="shared" si="203"/>
        <v/>
      </c>
    </row>
    <row r="1205" spans="1:48">
      <c r="A1205" s="975">
        <f t="shared" si="208"/>
        <v>46173</v>
      </c>
      <c r="B1205" s="976" t="s">
        <v>226</v>
      </c>
      <c r="C1205" s="976" t="s">
        <v>632</v>
      </c>
      <c r="D1205" s="1410"/>
      <c r="E1205" s="977" t="str">
        <f>IFERROR(VLOOKUP(C1205, [6]條件!$A:$L, 5, 0), "")</f>
        <v/>
      </c>
      <c r="F1205" s="978" t="str">
        <f>IFERROR(VLOOKUP(C1205, [6]條件!$A:$L, 6, 0), "")</f>
        <v/>
      </c>
      <c r="G1205" s="1411" t="str">
        <f>IFERROR(VLOOKUP(C1205, [6]條件!$A:$L, 7, 0), "")</f>
        <v/>
      </c>
      <c r="H1205" s="978" t="str">
        <f>IF(ISNA(VLOOKUP(C1205,[6]條件!$A$1:$K$932,11,0)),"",(VLOOKUP(C1205,[6]條件!$A$1:$K$932,11,0)))</f>
        <v/>
      </c>
      <c r="I1205" s="979" t="str">
        <f>IF(ISNA(VLOOKUP(C1205,[6]條件!$A$1:$L$932,12,0)),"",(VLOOKUP(C1205,[6]條件!$A$1:$L$932,12,0)))</f>
        <v/>
      </c>
      <c r="J1205" s="982"/>
      <c r="K1205" s="980"/>
      <c r="L1205" s="981" t="s">
        <v>632</v>
      </c>
      <c r="M1205" s="983"/>
      <c r="N1205" s="982"/>
      <c r="O1205" s="980"/>
      <c r="P1205" s="981" t="s">
        <v>632</v>
      </c>
      <c r="Q1205" s="983"/>
      <c r="R1205" s="982"/>
      <c r="S1205" s="980"/>
      <c r="T1205" s="981" t="s">
        <v>632</v>
      </c>
      <c r="U1205" s="983"/>
      <c r="V1205" s="982"/>
      <c r="W1205" s="980"/>
      <c r="X1205" s="981" t="s">
        <v>632</v>
      </c>
      <c r="Y1205" s="983"/>
      <c r="Z1205" s="1412" t="str">
        <f>IFERROR(VLOOKUP(C1205, [6]條件!$A:$L, 3, 0), "")</f>
        <v/>
      </c>
      <c r="AA1205" s="984" t="str">
        <f>IF(OR(L1205={"改紡","檢修","了機","清車","FINAL","停機","SAMPLE","TEST","絲開發"}), L1205, IFERROR(IF(C1205="", "", (SUM(J1205, N1205, R1205, V1205)/3 * AG1205) * IF(AND(AF1205="S", AS1205="雙"), 0.5, 1)), ""))</f>
        <v>停機</v>
      </c>
      <c r="AB1205" s="1413" t="str">
        <f t="shared" si="206"/>
        <v/>
      </c>
      <c r="AC1205" s="984" t="str">
        <f>IF(OR(L1205={"改紡","檢修","了機","清車","FINAL","停機","SAMPLE","TEST"}), "", IFERROR(IF(C1205="", "", AVERAGE(L1205:M1205, P1205:Q1205, T1205:U1205, X1205:Y1205)/100), ""))</f>
        <v/>
      </c>
      <c r="AD1205" s="984" t="str">
        <f t="shared" si="204"/>
        <v/>
      </c>
      <c r="AE1205" s="984" t="str">
        <f t="shared" si="207"/>
        <v/>
      </c>
      <c r="AF1205" s="985" t="str">
        <f t="shared" si="199"/>
        <v>A</v>
      </c>
      <c r="AG1205" s="1414">
        <v>1</v>
      </c>
      <c r="AH1205" s="1002" t="s">
        <v>640</v>
      </c>
      <c r="AI1205" s="1002" t="s">
        <v>640</v>
      </c>
      <c r="AJ1205" s="1002" t="s">
        <v>640</v>
      </c>
      <c r="AK1205" s="1002" t="s">
        <v>640</v>
      </c>
      <c r="AL1205" s="1415"/>
      <c r="AM1205" s="1323"/>
      <c r="AN1205" s="1323"/>
      <c r="AO1205" s="1323"/>
      <c r="AP1205" s="1323"/>
      <c r="AQ1205" s="1323"/>
      <c r="AR1205" s="987"/>
      <c r="AS1205" s="978" t="str">
        <f t="shared" si="200"/>
        <v>單</v>
      </c>
      <c r="AT1205" s="978" t="str">
        <f t="shared" si="201"/>
        <v>全</v>
      </c>
      <c r="AU1205" s="978" t="str">
        <f t="shared" si="202"/>
        <v/>
      </c>
      <c r="AV1205" s="978" t="str">
        <f t="shared" si="203"/>
        <v/>
      </c>
    </row>
    <row r="1206" spans="1:48">
      <c r="A1206" s="975">
        <f t="shared" si="208"/>
        <v>46173</v>
      </c>
      <c r="B1206" s="976" t="s">
        <v>227</v>
      </c>
      <c r="C1206" s="976" t="s">
        <v>632</v>
      </c>
      <c r="D1206" s="1410"/>
      <c r="E1206" s="977" t="str">
        <f>IFERROR(VLOOKUP(C1206, [6]條件!$A:$L, 5, 0), "")</f>
        <v/>
      </c>
      <c r="F1206" s="978" t="str">
        <f>IFERROR(VLOOKUP(C1206, [6]條件!$A:$L, 6, 0), "")</f>
        <v/>
      </c>
      <c r="G1206" s="1411" t="str">
        <f>IFERROR(VLOOKUP(C1206, [6]條件!$A:$L, 7, 0), "")</f>
        <v/>
      </c>
      <c r="H1206" s="978" t="str">
        <f>IF(ISNA(VLOOKUP(C1206,[6]條件!$A$1:$K$932,11,0)),"",(VLOOKUP(C1206,[6]條件!$A$1:$K$932,11,0)))</f>
        <v/>
      </c>
      <c r="I1206" s="979" t="str">
        <f>IF(ISNA(VLOOKUP(C1206,[6]條件!$A$1:$L$932,12,0)),"",(VLOOKUP(C1206,[6]條件!$A$1:$L$932,12,0)))</f>
        <v/>
      </c>
      <c r="J1206" s="982"/>
      <c r="K1206" s="980"/>
      <c r="L1206" s="981" t="s">
        <v>632</v>
      </c>
      <c r="M1206" s="983"/>
      <c r="N1206" s="982"/>
      <c r="O1206" s="980"/>
      <c r="P1206" s="981" t="s">
        <v>632</v>
      </c>
      <c r="Q1206" s="983"/>
      <c r="R1206" s="982"/>
      <c r="S1206" s="980"/>
      <c r="T1206" s="981" t="s">
        <v>632</v>
      </c>
      <c r="U1206" s="983"/>
      <c r="V1206" s="982"/>
      <c r="W1206" s="980"/>
      <c r="X1206" s="981" t="s">
        <v>632</v>
      </c>
      <c r="Y1206" s="983"/>
      <c r="Z1206" s="1412" t="str">
        <f>IFERROR(VLOOKUP(C1206, [6]條件!$A:$L, 3, 0), "")</f>
        <v/>
      </c>
      <c r="AA1206" s="984" t="str">
        <f>IF(OR(L1206={"改紡","檢修","了機","清車","FINAL","停機","SAMPLE","TEST","絲開發"}), L1206, IFERROR(IF(C1206="", "", (SUM(J1206, N1206, R1206, V1206)/3 * AG1206) * IF(AND(AF1206="S", AS1206="雙"), 0.5, 1)), ""))</f>
        <v>停機</v>
      </c>
      <c r="AB1206" s="1413" t="str">
        <f t="shared" si="206"/>
        <v/>
      </c>
      <c r="AC1206" s="984" t="str">
        <f>IF(OR(L1206={"改紡","檢修","了機","清車","FINAL","停機","SAMPLE","TEST"}), "", IFERROR(IF(C1206="", "", AVERAGE(L1206:M1206, P1206:Q1206, T1206:U1206, X1206:Y1206)/100), ""))</f>
        <v/>
      </c>
      <c r="AD1206" s="984" t="str">
        <f t="shared" si="204"/>
        <v/>
      </c>
      <c r="AE1206" s="984" t="str">
        <f t="shared" si="207"/>
        <v/>
      </c>
      <c r="AF1206" s="985" t="str">
        <f t="shared" si="199"/>
        <v>A</v>
      </c>
      <c r="AG1206" s="1414">
        <v>1</v>
      </c>
      <c r="AH1206" s="1002" t="s">
        <v>640</v>
      </c>
      <c r="AI1206" s="1002" t="s">
        <v>640</v>
      </c>
      <c r="AJ1206" s="1002" t="s">
        <v>640</v>
      </c>
      <c r="AK1206" s="1002" t="s">
        <v>640</v>
      </c>
      <c r="AL1206" s="1415"/>
      <c r="AM1206" s="1323"/>
      <c r="AN1206" s="1323"/>
      <c r="AO1206" s="1323"/>
      <c r="AP1206" s="1323"/>
      <c r="AQ1206" s="1323"/>
      <c r="AR1206" s="987"/>
      <c r="AS1206" s="978" t="str">
        <f t="shared" si="200"/>
        <v>單</v>
      </c>
      <c r="AT1206" s="978" t="str">
        <f t="shared" si="201"/>
        <v>全</v>
      </c>
      <c r="AU1206" s="978" t="str">
        <f t="shared" si="202"/>
        <v/>
      </c>
      <c r="AV1206" s="978" t="str">
        <f t="shared" si="203"/>
        <v/>
      </c>
    </row>
    <row r="1207" spans="1:48">
      <c r="A1207" s="975">
        <f t="shared" si="208"/>
        <v>46173</v>
      </c>
      <c r="B1207" s="976" t="s">
        <v>228</v>
      </c>
      <c r="C1207" s="976" t="s">
        <v>632</v>
      </c>
      <c r="D1207" s="1410"/>
      <c r="E1207" s="977" t="str">
        <f>IFERROR(VLOOKUP(C1207, [6]條件!$A:$L, 5, 0), "")</f>
        <v/>
      </c>
      <c r="F1207" s="978" t="str">
        <f>IFERROR(VLOOKUP(C1207, [6]條件!$A:$L, 6, 0), "")</f>
        <v/>
      </c>
      <c r="G1207" s="1411" t="str">
        <f>IFERROR(VLOOKUP(C1207, [6]條件!$A:$L, 7, 0), "")</f>
        <v/>
      </c>
      <c r="H1207" s="978" t="str">
        <f>IF(ISNA(VLOOKUP(C1207,[6]條件!$A$1:$K$932,11,0)),"",(VLOOKUP(C1207,[6]條件!$A$1:$K$932,11,0)))</f>
        <v/>
      </c>
      <c r="I1207" s="979" t="str">
        <f>IF(ISNA(VLOOKUP(C1207,[6]條件!$A$1:$L$932,12,0)),"",(VLOOKUP(C1207,[6]條件!$A$1:$L$932,12,0)))</f>
        <v/>
      </c>
      <c r="J1207" s="982"/>
      <c r="K1207" s="980"/>
      <c r="L1207" s="981" t="s">
        <v>632</v>
      </c>
      <c r="M1207" s="983"/>
      <c r="N1207" s="982"/>
      <c r="O1207" s="980"/>
      <c r="P1207" s="981" t="s">
        <v>632</v>
      </c>
      <c r="Q1207" s="983"/>
      <c r="R1207" s="982"/>
      <c r="S1207" s="980"/>
      <c r="T1207" s="981" t="s">
        <v>632</v>
      </c>
      <c r="U1207" s="983"/>
      <c r="V1207" s="982"/>
      <c r="W1207" s="980"/>
      <c r="X1207" s="981" t="s">
        <v>632</v>
      </c>
      <c r="Y1207" s="983"/>
      <c r="Z1207" s="1412" t="str">
        <f>IFERROR(VLOOKUP(C1207, [6]條件!$A:$L, 3, 0), "")</f>
        <v/>
      </c>
      <c r="AA1207" s="984" t="str">
        <f>IF(OR(L1207={"改紡","檢修","了機","清車","FINAL","停機","SAMPLE","TEST","絲開發"}), L1207, IFERROR(IF(C1207="", "", (SUM(J1207, N1207, R1207, V1207)/3 * AG1207) * IF(AND(AF1207="S", AS1207="雙"), 0.5, 1)), ""))</f>
        <v>停機</v>
      </c>
      <c r="AB1207" s="1413" t="str">
        <f t="shared" si="206"/>
        <v/>
      </c>
      <c r="AC1207" s="984" t="str">
        <f>IF(OR(L1207={"改紡","檢修","了機","清車","FINAL","停機","SAMPLE","TEST"}), "", IFERROR(IF(C1207="", "", AVERAGE(L1207:M1207, P1207:Q1207, T1207:U1207, X1207:Y1207)/100), ""))</f>
        <v/>
      </c>
      <c r="AD1207" s="984" t="str">
        <f t="shared" si="204"/>
        <v/>
      </c>
      <c r="AE1207" s="984" t="str">
        <f t="shared" si="207"/>
        <v/>
      </c>
      <c r="AF1207" s="985" t="str">
        <f t="shared" si="199"/>
        <v>A</v>
      </c>
      <c r="AG1207" s="1414">
        <v>1</v>
      </c>
      <c r="AH1207" s="1002" t="s">
        <v>640</v>
      </c>
      <c r="AI1207" s="1002" t="s">
        <v>640</v>
      </c>
      <c r="AJ1207" s="1002" t="s">
        <v>640</v>
      </c>
      <c r="AK1207" s="1002" t="s">
        <v>640</v>
      </c>
      <c r="AL1207" s="1420"/>
      <c r="AM1207" s="1323"/>
      <c r="AN1207" s="1323"/>
      <c r="AO1207" s="1323"/>
      <c r="AP1207" s="1323"/>
      <c r="AQ1207" s="1323"/>
      <c r="AR1207" s="987"/>
      <c r="AS1207" s="978" t="str">
        <f t="shared" si="200"/>
        <v>單</v>
      </c>
      <c r="AT1207" s="978" t="str">
        <f t="shared" si="201"/>
        <v>全</v>
      </c>
      <c r="AU1207" s="978" t="str">
        <f t="shared" si="202"/>
        <v/>
      </c>
      <c r="AV1207" s="978" t="str">
        <f t="shared" si="203"/>
        <v/>
      </c>
    </row>
    <row r="1208" spans="1:48">
      <c r="A1208" s="975">
        <f t="shared" si="208"/>
        <v>46173</v>
      </c>
      <c r="B1208" s="976" t="s">
        <v>229</v>
      </c>
      <c r="C1208" s="976" t="s">
        <v>632</v>
      </c>
      <c r="D1208" s="1410"/>
      <c r="E1208" s="977" t="str">
        <f>IFERROR(VLOOKUP(C1208, [6]條件!$A:$L, 5, 0), "")</f>
        <v/>
      </c>
      <c r="F1208" s="978" t="str">
        <f>IFERROR(VLOOKUP(C1208, [6]條件!$A:$L, 6, 0), "")</f>
        <v/>
      </c>
      <c r="G1208" s="1411" t="str">
        <f>IFERROR(VLOOKUP(C1208, [6]條件!$A:$L, 7, 0), "")</f>
        <v/>
      </c>
      <c r="H1208" s="978" t="str">
        <f>IF(ISNA(VLOOKUP(C1208,[6]條件!$A$1:$K$932,11,0)),"",(VLOOKUP(C1208,[6]條件!$A$1:$K$932,11,0)))</f>
        <v/>
      </c>
      <c r="I1208" s="979" t="str">
        <f>IF(ISNA(VLOOKUP(C1208,[6]條件!$A$1:$L$932,12,0)),"",(VLOOKUP(C1208,[6]條件!$A$1:$L$932,12,0)))</f>
        <v/>
      </c>
      <c r="J1208" s="982"/>
      <c r="K1208" s="980"/>
      <c r="L1208" s="981" t="s">
        <v>632</v>
      </c>
      <c r="M1208" s="983"/>
      <c r="N1208" s="982"/>
      <c r="O1208" s="980"/>
      <c r="P1208" s="981" t="s">
        <v>632</v>
      </c>
      <c r="Q1208" s="983"/>
      <c r="R1208" s="982"/>
      <c r="S1208" s="980"/>
      <c r="T1208" s="981" t="s">
        <v>632</v>
      </c>
      <c r="U1208" s="983"/>
      <c r="V1208" s="982"/>
      <c r="W1208" s="980"/>
      <c r="X1208" s="981" t="s">
        <v>632</v>
      </c>
      <c r="Y1208" s="983"/>
      <c r="Z1208" s="1412" t="str">
        <f>IFERROR(VLOOKUP(C1208, [6]條件!$A:$L, 3, 0), "")</f>
        <v/>
      </c>
      <c r="AA1208" s="984" t="str">
        <f>IF(OR(L1208={"改紡","檢修","了機","清車","FINAL","停機","SAMPLE","TEST","絲開發"}), L1208, IFERROR(IF(C1208="", "", (SUM(J1208, N1208, R1208, V1208)/3 * AG1208) * IF(AND(AF1208="S", AS1208="雙"), 0.5, 1)), ""))</f>
        <v>停機</v>
      </c>
      <c r="AB1208" s="1413" t="str">
        <f t="shared" si="206"/>
        <v/>
      </c>
      <c r="AC1208" s="984" t="str">
        <f>IF(OR(L1208={"改紡","檢修","了機","清車","FINAL","停機","SAMPLE","TEST"}), "", IFERROR(IF(C1208="", "", AVERAGE(L1208:M1208, P1208:Q1208, T1208:U1208, X1208:Y1208)/100), ""))</f>
        <v/>
      </c>
      <c r="AD1208" s="984" t="str">
        <f t="shared" si="204"/>
        <v/>
      </c>
      <c r="AE1208" s="984" t="str">
        <f t="shared" si="207"/>
        <v/>
      </c>
      <c r="AF1208" s="985" t="str">
        <f t="shared" si="199"/>
        <v>A</v>
      </c>
      <c r="AG1208" s="1414">
        <v>1</v>
      </c>
      <c r="AH1208" s="1002" t="s">
        <v>640</v>
      </c>
      <c r="AI1208" s="1002" t="s">
        <v>640</v>
      </c>
      <c r="AJ1208" s="1002" t="s">
        <v>640</v>
      </c>
      <c r="AK1208" s="1002" t="s">
        <v>640</v>
      </c>
      <c r="AL1208" s="1421"/>
      <c r="AM1208" s="1323"/>
      <c r="AN1208" s="1323"/>
      <c r="AO1208" s="1323"/>
      <c r="AP1208" s="1323"/>
      <c r="AQ1208" s="1323"/>
      <c r="AR1208" s="987"/>
      <c r="AS1208" s="978" t="str">
        <f t="shared" si="200"/>
        <v>單</v>
      </c>
      <c r="AT1208" s="978" t="str">
        <f t="shared" si="201"/>
        <v>全</v>
      </c>
      <c r="AU1208" s="978" t="str">
        <f t="shared" si="202"/>
        <v/>
      </c>
      <c r="AV1208" s="978" t="str">
        <f t="shared" si="203"/>
        <v/>
      </c>
    </row>
    <row r="1209" spans="1:48">
      <c r="A1209" s="975">
        <f t="shared" si="208"/>
        <v>46173</v>
      </c>
      <c r="B1209" s="976" t="s">
        <v>230</v>
      </c>
      <c r="C1209" s="976" t="s">
        <v>632</v>
      </c>
      <c r="D1209" s="1410"/>
      <c r="E1209" s="977" t="str">
        <f>IFERROR(VLOOKUP(C1209, [6]條件!$A:$L, 5, 0), "")</f>
        <v/>
      </c>
      <c r="F1209" s="978" t="str">
        <f>IFERROR(VLOOKUP(C1209, [6]條件!$A:$L, 6, 0), "")</f>
        <v/>
      </c>
      <c r="G1209" s="1411" t="str">
        <f>IFERROR(VLOOKUP(C1209, [6]條件!$A:$L, 7, 0), "")</f>
        <v/>
      </c>
      <c r="H1209" s="978" t="str">
        <f>IF(ISNA(VLOOKUP(C1209,[6]條件!$A$1:$K$932,11,0)),"",(VLOOKUP(C1209,[6]條件!$A$1:$K$932,11,0)))</f>
        <v/>
      </c>
      <c r="I1209" s="979" t="str">
        <f>IF(ISNA(VLOOKUP(C1209,[6]條件!$A$1:$L$932,12,0)),"",(VLOOKUP(C1209,[6]條件!$A$1:$L$932,12,0)))</f>
        <v/>
      </c>
      <c r="J1209" s="982"/>
      <c r="K1209" s="980"/>
      <c r="L1209" s="981" t="s">
        <v>632</v>
      </c>
      <c r="M1209" s="983"/>
      <c r="N1209" s="982"/>
      <c r="O1209" s="980"/>
      <c r="P1209" s="981" t="s">
        <v>632</v>
      </c>
      <c r="Q1209" s="983"/>
      <c r="R1209" s="982"/>
      <c r="S1209" s="980"/>
      <c r="T1209" s="981" t="s">
        <v>632</v>
      </c>
      <c r="U1209" s="983"/>
      <c r="V1209" s="982"/>
      <c r="W1209" s="980"/>
      <c r="X1209" s="981" t="s">
        <v>632</v>
      </c>
      <c r="Y1209" s="983"/>
      <c r="Z1209" s="1412" t="str">
        <f>IFERROR(VLOOKUP(C1209, [6]條件!$A:$L, 3, 0), "")</f>
        <v/>
      </c>
      <c r="AA1209" s="984" t="str">
        <f>IF(OR(L1209={"改紡","檢修","了機","清車","FINAL","停機","SAMPLE","TEST","絲開發"}), L1209, IFERROR(IF(C1209="", "", (SUM(J1209, N1209, R1209, V1209)/3 * AG1209) * IF(AND(AF1209="S", AS1209="雙"), 0.5, 1)), ""))</f>
        <v>停機</v>
      </c>
      <c r="AB1209" s="1413" t="str">
        <f t="shared" si="206"/>
        <v/>
      </c>
      <c r="AC1209" s="984" t="str">
        <f>IF(OR(L1209={"改紡","檢修","了機","清車","FINAL","停機","SAMPLE","TEST"}), "", IFERROR(IF(C1209="", "", AVERAGE(L1209:M1209, P1209:Q1209, T1209:U1209, X1209:Y1209)/100), ""))</f>
        <v/>
      </c>
      <c r="AD1209" s="984" t="str">
        <f t="shared" si="204"/>
        <v/>
      </c>
      <c r="AE1209" s="984" t="str">
        <f t="shared" si="207"/>
        <v/>
      </c>
      <c r="AF1209" s="985" t="str">
        <f t="shared" si="199"/>
        <v>A</v>
      </c>
      <c r="AG1209" s="1414">
        <v>1</v>
      </c>
      <c r="AH1209" s="1002" t="s">
        <v>16011</v>
      </c>
      <c r="AI1209" s="1002" t="s">
        <v>640</v>
      </c>
      <c r="AJ1209" s="1002" t="s">
        <v>640</v>
      </c>
      <c r="AK1209" s="1002" t="s">
        <v>640</v>
      </c>
      <c r="AL1209" s="1415"/>
      <c r="AM1209" s="1323"/>
      <c r="AN1209" s="1323"/>
      <c r="AO1209" s="1323"/>
      <c r="AP1209" s="1323"/>
      <c r="AQ1209" s="1323"/>
      <c r="AR1209" s="987"/>
      <c r="AS1209" s="978" t="str">
        <f t="shared" si="200"/>
        <v>單</v>
      </c>
      <c r="AT1209" s="978" t="str">
        <f t="shared" si="201"/>
        <v>全</v>
      </c>
      <c r="AU1209" s="978" t="str">
        <f t="shared" si="202"/>
        <v/>
      </c>
      <c r="AV1209" s="978" t="str">
        <f t="shared" si="203"/>
        <v/>
      </c>
    </row>
    <row r="1210" spans="1:48">
      <c r="A1210" s="975">
        <f t="shared" si="208"/>
        <v>46173</v>
      </c>
      <c r="B1210" s="976" t="s">
        <v>231</v>
      </c>
      <c r="C1210" s="976" t="s">
        <v>632</v>
      </c>
      <c r="D1210" s="1410"/>
      <c r="E1210" s="977" t="str">
        <f>IFERROR(VLOOKUP(C1210, [6]條件!$A:$L, 5, 0), "")</f>
        <v/>
      </c>
      <c r="F1210" s="978" t="str">
        <f>IFERROR(VLOOKUP(C1210, [6]條件!$A:$L, 6, 0), "")</f>
        <v/>
      </c>
      <c r="G1210" s="1411" t="str">
        <f>IFERROR(VLOOKUP(C1210, [6]條件!$A:$L, 7, 0), "")</f>
        <v/>
      </c>
      <c r="H1210" s="978" t="str">
        <f>IF(ISNA(VLOOKUP(C1210,[6]條件!$A$1:$K$932,11,0)),"",(VLOOKUP(C1210,[6]條件!$A$1:$K$932,11,0)))</f>
        <v/>
      </c>
      <c r="I1210" s="979" t="str">
        <f>IF(ISNA(VLOOKUP(C1210,[6]條件!$A$1:$L$932,12,0)),"",(VLOOKUP(C1210,[6]條件!$A$1:$L$932,12,0)))</f>
        <v/>
      </c>
      <c r="J1210" s="982"/>
      <c r="K1210" s="980"/>
      <c r="L1210" s="981" t="s">
        <v>632</v>
      </c>
      <c r="M1210" s="983"/>
      <c r="N1210" s="982"/>
      <c r="O1210" s="980"/>
      <c r="P1210" s="981" t="s">
        <v>632</v>
      </c>
      <c r="Q1210" s="983"/>
      <c r="R1210" s="982"/>
      <c r="S1210" s="980"/>
      <c r="T1210" s="981" t="s">
        <v>632</v>
      </c>
      <c r="U1210" s="983"/>
      <c r="V1210" s="982"/>
      <c r="W1210" s="980"/>
      <c r="X1210" s="981" t="s">
        <v>632</v>
      </c>
      <c r="Y1210" s="983"/>
      <c r="Z1210" s="1412" t="str">
        <f>IFERROR(VLOOKUP(C1210, [6]條件!$A:$L, 3, 0), "")</f>
        <v/>
      </c>
      <c r="AA1210" s="984" t="str">
        <f>IF(OR(L1210={"改紡","檢修","了機","清車","FINAL","停機","SAMPLE","TEST","絲開發"}), L1210, IFERROR(IF(C1210="", "", (SUM(J1210, N1210, R1210, V1210)/3 * AG1210) * IF(AND(AF1210="S", AS1210="雙"), 0.5, 1)), ""))</f>
        <v>停機</v>
      </c>
      <c r="AB1210" s="1413" t="str">
        <f t="shared" si="206"/>
        <v/>
      </c>
      <c r="AC1210" s="984" t="str">
        <f>IF(OR(L1210={"改紡","檢修","了機","清車","FINAL","停機","SAMPLE","TEST"}), "", IFERROR(IF(C1210="", "", AVERAGE(L1210:M1210, P1210:Q1210, T1210:U1210, X1210:Y1210)/100), ""))</f>
        <v/>
      </c>
      <c r="AD1210" s="984" t="str">
        <f t="shared" si="204"/>
        <v/>
      </c>
      <c r="AE1210" s="984" t="str">
        <f t="shared" si="207"/>
        <v/>
      </c>
      <c r="AF1210" s="985" t="str">
        <f t="shared" si="199"/>
        <v>J</v>
      </c>
      <c r="AG1210" s="1414">
        <v>1</v>
      </c>
      <c r="AH1210" s="1002" t="s">
        <v>640</v>
      </c>
      <c r="AI1210" s="1002" t="s">
        <v>640</v>
      </c>
      <c r="AJ1210" s="1002" t="s">
        <v>640</v>
      </c>
      <c r="AK1210" s="1002" t="s">
        <v>640</v>
      </c>
      <c r="AL1210" s="1415"/>
      <c r="AM1210" s="1323"/>
      <c r="AN1210" s="1323"/>
      <c r="AO1210" s="1323"/>
      <c r="AP1210" s="1323"/>
      <c r="AQ1210" s="1323"/>
      <c r="AR1210" s="987"/>
      <c r="AS1210" s="978" t="str">
        <f t="shared" si="200"/>
        <v>單</v>
      </c>
      <c r="AT1210" s="978" t="str">
        <f t="shared" si="201"/>
        <v>全</v>
      </c>
      <c r="AU1210" s="978" t="str">
        <f t="shared" si="202"/>
        <v/>
      </c>
      <c r="AV1210" s="978" t="str">
        <f t="shared" si="203"/>
        <v/>
      </c>
    </row>
    <row r="1211" spans="1:48">
      <c r="A1211" s="975">
        <f t="shared" si="208"/>
        <v>46173</v>
      </c>
      <c r="B1211" s="976" t="s">
        <v>233</v>
      </c>
      <c r="C1211" s="976" t="s">
        <v>16772</v>
      </c>
      <c r="D1211" s="1410" t="s">
        <v>633</v>
      </c>
      <c r="E1211" s="977" t="str">
        <f>IFERROR(VLOOKUP(C1211, [6]條件!$A:$L, 5, 0), "")</f>
        <v>150/48/2SDr</v>
      </c>
      <c r="F1211" s="978" t="str">
        <f>IFERROR(VLOOKUP(C1211, [6]條件!$A:$L, 6, 0), "")</f>
        <v>FP82171R×2</v>
      </c>
      <c r="G1211" s="1411">
        <f>IFERROR(VLOOKUP(C1211, [6]條件!$A:$L, 7, 0), "")</f>
        <v>600</v>
      </c>
      <c r="H1211" s="978" t="str">
        <f>IF(ISNA(VLOOKUP(C1211,[6]條件!$A$1:$K$932,11,0)),"",(VLOOKUP(C1211,[6]條件!$A$1:$K$932,11,0)))</f>
        <v>紅白直條</v>
      </c>
      <c r="I1211" s="979">
        <f>IF(ISNA(VLOOKUP(C1211,[6]條件!$A$1:$L$932,12,0)),"",(VLOOKUP(C1211,[6]條件!$A$1:$L$932,12,0)))</f>
        <v>5.5</v>
      </c>
      <c r="J1211" s="982"/>
      <c r="K1211" s="980"/>
      <c r="L1211" s="981" t="s">
        <v>16002</v>
      </c>
      <c r="M1211" s="983"/>
      <c r="N1211" s="982"/>
      <c r="O1211" s="980"/>
      <c r="P1211" s="981" t="s">
        <v>16002</v>
      </c>
      <c r="Q1211" s="983"/>
      <c r="R1211" s="982"/>
      <c r="S1211" s="980"/>
      <c r="T1211" s="981" t="s">
        <v>16002</v>
      </c>
      <c r="U1211" s="983"/>
      <c r="V1211" s="982"/>
      <c r="W1211" s="980"/>
      <c r="X1211" s="981" t="s">
        <v>16002</v>
      </c>
      <c r="Y1211" s="983"/>
      <c r="Z1211" s="1412">
        <f>IFERROR(VLOOKUP(C1211, [6]條件!$A:$L, 3, 0), "")</f>
        <v>5.0526315789473673</v>
      </c>
      <c r="AA1211" s="984" t="str">
        <f>IF(OR(L1211={"改紡","檢修","了機","清車","FINAL","停機","SAMPLE","TEST","絲開發"}), L1211, IFERROR(IF(C1211="", "", (SUM(J1211, N1211, R1211, V1211)/3 * AG1211) * IF(AND(AF1211="S", AS1211="雙"), 0.5, 1)), ""))</f>
        <v>了機</v>
      </c>
      <c r="AB1211" s="1413" t="str">
        <f t="shared" si="206"/>
        <v/>
      </c>
      <c r="AC1211" s="984" t="str">
        <f>IF(OR(L1211={"改紡","檢修","了機","清車","FINAL","停機","SAMPLE","TEST"}), "", IFERROR(IF(C1211="", "", AVERAGE(L1211:M1211, P1211:Q1211, T1211:U1211, X1211:Y1211)/100), ""))</f>
        <v/>
      </c>
      <c r="AD1211" s="984" t="str">
        <f t="shared" si="204"/>
        <v/>
      </c>
      <c r="AE1211" s="984" t="str">
        <f t="shared" si="207"/>
        <v/>
      </c>
      <c r="AF1211" s="985" t="str">
        <f t="shared" si="199"/>
        <v>J</v>
      </c>
      <c r="AG1211" s="1414">
        <v>1</v>
      </c>
      <c r="AH1211" s="1002" t="s">
        <v>16022</v>
      </c>
      <c r="AI1211" s="1002" t="s">
        <v>15848</v>
      </c>
      <c r="AJ1211" s="986" t="s">
        <v>16021</v>
      </c>
      <c r="AK1211" s="986" t="s">
        <v>16021</v>
      </c>
      <c r="AL1211" s="1415">
        <v>55</v>
      </c>
      <c r="AM1211" s="1323">
        <v>46162</v>
      </c>
      <c r="AN1211" s="1323">
        <v>46167</v>
      </c>
      <c r="AO1211" s="1323">
        <v>46168</v>
      </c>
      <c r="AP1211" s="1323"/>
      <c r="AQ1211" s="1323"/>
      <c r="AR1211" s="987"/>
      <c r="AS1211" s="978" t="str">
        <f t="shared" si="200"/>
        <v>雙</v>
      </c>
      <c r="AT1211" s="978" t="str">
        <f t="shared" si="201"/>
        <v>全</v>
      </c>
      <c r="AU1211" s="978">
        <f t="shared" si="202"/>
        <v>150</v>
      </c>
      <c r="AV1211" s="978" t="str">
        <f t="shared" si="203"/>
        <v/>
      </c>
    </row>
    <row r="1212" spans="1:48">
      <c r="A1212" s="975">
        <f t="shared" si="208"/>
        <v>46173</v>
      </c>
      <c r="B1212" s="976" t="s">
        <v>234</v>
      </c>
      <c r="C1212" s="976" t="s">
        <v>632</v>
      </c>
      <c r="D1212" s="1410"/>
      <c r="E1212" s="977" t="str">
        <f>IFERROR(VLOOKUP(C1212, [6]條件!$A:$L, 5, 0), "")</f>
        <v/>
      </c>
      <c r="F1212" s="978" t="str">
        <f>IFERROR(VLOOKUP(C1212, [6]條件!$A:$L, 6, 0), "")</f>
        <v/>
      </c>
      <c r="G1212" s="1411" t="str">
        <f>IFERROR(VLOOKUP(C1212, [6]條件!$A:$L, 7, 0), "")</f>
        <v/>
      </c>
      <c r="H1212" s="978" t="str">
        <f>IF(ISNA(VLOOKUP(C1212,[6]條件!$A$1:$K$932,11,0)),"",(VLOOKUP(C1212,[6]條件!$A$1:$K$932,11,0)))</f>
        <v/>
      </c>
      <c r="I1212" s="979" t="str">
        <f>IF(ISNA(VLOOKUP(C1212,[6]條件!$A$1:$L$932,12,0)),"",(VLOOKUP(C1212,[6]條件!$A$1:$L$932,12,0)))</f>
        <v/>
      </c>
      <c r="J1212" s="982"/>
      <c r="K1212" s="980"/>
      <c r="L1212" s="981" t="s">
        <v>632</v>
      </c>
      <c r="M1212" s="983"/>
      <c r="N1212" s="982"/>
      <c r="O1212" s="980"/>
      <c r="P1212" s="981" t="s">
        <v>632</v>
      </c>
      <c r="Q1212" s="983"/>
      <c r="R1212" s="982"/>
      <c r="S1212" s="980"/>
      <c r="T1212" s="981" t="s">
        <v>632</v>
      </c>
      <c r="U1212" s="983"/>
      <c r="V1212" s="982"/>
      <c r="W1212" s="980"/>
      <c r="X1212" s="981" t="s">
        <v>632</v>
      </c>
      <c r="Y1212" s="983"/>
      <c r="Z1212" s="1412" t="str">
        <f>IFERROR(VLOOKUP(C1212, [6]條件!$A:$L, 3, 0), "")</f>
        <v/>
      </c>
      <c r="AA1212" s="984" t="str">
        <f>IF(OR(L1212={"改紡","檢修","了機","清車","FINAL","停機","SAMPLE","TEST","絲開發"}), L1212, IFERROR(IF(C1212="", "", (SUM(J1212, N1212, R1212, V1212)/3 * AG1212) * IF(AND(AF1212="S", AS1212="雙"), 0.5, 1)), ""))</f>
        <v>停機</v>
      </c>
      <c r="AB1212" s="1413" t="str">
        <f t="shared" si="206"/>
        <v/>
      </c>
      <c r="AC1212" s="984" t="str">
        <f>IF(OR(L1212={"改紡","檢修","了機","清車","FINAL","停機","SAMPLE","TEST"}), "", IFERROR(IF(C1212="", "", AVERAGE(L1212:M1212, P1212:Q1212, T1212:U1212, X1212:Y1212)/100), ""))</f>
        <v/>
      </c>
      <c r="AD1212" s="984" t="str">
        <f t="shared" si="204"/>
        <v/>
      </c>
      <c r="AE1212" s="984" t="str">
        <f t="shared" si="207"/>
        <v/>
      </c>
      <c r="AF1212" s="985" t="str">
        <f t="shared" si="199"/>
        <v>J</v>
      </c>
      <c r="AG1212" s="1414">
        <v>1</v>
      </c>
      <c r="AH1212" s="1002" t="s">
        <v>640</v>
      </c>
      <c r="AI1212" s="1002" t="s">
        <v>640</v>
      </c>
      <c r="AJ1212" s="986" t="s">
        <v>640</v>
      </c>
      <c r="AK1212" s="986" t="s">
        <v>640</v>
      </c>
      <c r="AL1212" s="1415"/>
      <c r="AM1212" s="1323"/>
      <c r="AN1212" s="1323"/>
      <c r="AO1212" s="1323"/>
      <c r="AP1212" s="1323"/>
      <c r="AQ1212" s="1323"/>
      <c r="AR1212" s="987"/>
      <c r="AS1212" s="978" t="str">
        <f t="shared" si="200"/>
        <v>單</v>
      </c>
      <c r="AT1212" s="978" t="str">
        <f t="shared" si="201"/>
        <v>全</v>
      </c>
      <c r="AU1212" s="978" t="str">
        <f t="shared" si="202"/>
        <v/>
      </c>
      <c r="AV1212" s="978" t="str">
        <f t="shared" si="203"/>
        <v/>
      </c>
    </row>
    <row r="1213" spans="1:48">
      <c r="A1213" s="975">
        <f>A1212</f>
        <v>46173</v>
      </c>
      <c r="B1213" s="976" t="s">
        <v>235</v>
      </c>
      <c r="C1213" s="976" t="s">
        <v>632</v>
      </c>
      <c r="D1213" s="1410"/>
      <c r="E1213" s="977" t="str">
        <f>IFERROR(VLOOKUP(C1213, [6]條件!$A:$L, 5, 0), "")</f>
        <v/>
      </c>
      <c r="F1213" s="978" t="str">
        <f>IFERROR(VLOOKUP(C1213, [6]條件!$A:$L, 6, 0), "")</f>
        <v/>
      </c>
      <c r="G1213" s="1411" t="str">
        <f>IFERROR(VLOOKUP(C1213, [6]條件!$A:$L, 7, 0), "")</f>
        <v/>
      </c>
      <c r="H1213" s="978" t="str">
        <f>IF(ISNA(VLOOKUP(C1213,[6]條件!$A$1:$K$932,11,0)),"",(VLOOKUP(C1213,[6]條件!$A$1:$K$932,11,0)))</f>
        <v/>
      </c>
      <c r="I1213" s="979" t="str">
        <f>IF(ISNA(VLOOKUP(C1213,[6]條件!$A$1:$L$932,12,0)),"",(VLOOKUP(C1213,[6]條件!$A$1:$L$932,12,0)))</f>
        <v/>
      </c>
      <c r="J1213" s="982"/>
      <c r="K1213" s="980"/>
      <c r="L1213" s="981" t="s">
        <v>632</v>
      </c>
      <c r="M1213" s="983"/>
      <c r="N1213" s="982"/>
      <c r="O1213" s="980"/>
      <c r="P1213" s="981" t="s">
        <v>16004</v>
      </c>
      <c r="Q1213" s="983"/>
      <c r="R1213" s="982"/>
      <c r="S1213" s="980"/>
      <c r="T1213" s="981" t="s">
        <v>16004</v>
      </c>
      <c r="U1213" s="983"/>
      <c r="V1213" s="982"/>
      <c r="W1213" s="980"/>
      <c r="X1213" s="981" t="s">
        <v>16004</v>
      </c>
      <c r="Y1213" s="983"/>
      <c r="Z1213" s="1412" t="str">
        <f>IFERROR(VLOOKUP(C1213, [6]條件!$A:$L, 3, 0), "")</f>
        <v/>
      </c>
      <c r="AA1213" s="984" t="str">
        <f>IF(OR(L1213={"改紡","檢修","了機","清車","FINAL","停機","SAMPLE","TEST","絲開發"}), L1213, IFERROR(IF(C1213="", "", (SUM(J1213, N1213, R1213, V1213)/3 * AG1213) * IF(AND(AF1213="S", AS1213="雙"), 0.5, 1)), ""))</f>
        <v>停機</v>
      </c>
      <c r="AB1213" s="1413" t="str">
        <f t="shared" si="206"/>
        <v/>
      </c>
      <c r="AC1213" s="984" t="str">
        <f>IF(OR(L1213={"改紡","檢修","了機","清車","FINAL","停機","SAMPLE","TEST"}), "", IFERROR(IF(C1213="", "", AVERAGE(L1213:M1213, P1213:Q1213, T1213:U1213, X1213:Y1213)/100), ""))</f>
        <v/>
      </c>
      <c r="AD1213" s="984" t="str">
        <f t="shared" si="204"/>
        <v/>
      </c>
      <c r="AE1213" s="984" t="str">
        <f t="shared" si="207"/>
        <v/>
      </c>
      <c r="AF1213" s="985" t="str">
        <f t="shared" si="199"/>
        <v>T</v>
      </c>
      <c r="AG1213" s="1414">
        <v>1</v>
      </c>
      <c r="AH1213" s="1002" t="s">
        <v>16011</v>
      </c>
      <c r="AI1213" s="1002" t="s">
        <v>640</v>
      </c>
      <c r="AJ1213" s="1002" t="s">
        <v>640</v>
      </c>
      <c r="AK1213" s="1002" t="s">
        <v>640</v>
      </c>
      <c r="AL1213" s="1415"/>
      <c r="AM1213" s="1323"/>
      <c r="AN1213" s="1323"/>
      <c r="AO1213" s="1323"/>
      <c r="AP1213" s="1323"/>
      <c r="AQ1213" s="1323"/>
      <c r="AR1213" s="987"/>
      <c r="AS1213" s="978" t="str">
        <f t="shared" si="200"/>
        <v>單</v>
      </c>
      <c r="AT1213" s="978" t="str">
        <f t="shared" si="201"/>
        <v>全</v>
      </c>
      <c r="AU1213" s="978" t="str">
        <f t="shared" si="202"/>
        <v/>
      </c>
      <c r="AV1213" s="978" t="str">
        <f t="shared" si="203"/>
        <v/>
      </c>
    </row>
    <row r="1214" spans="1:48">
      <c r="A1214" s="975">
        <f t="shared" ref="A1214:A1215" si="209">A1213</f>
        <v>46173</v>
      </c>
      <c r="B1214" s="976" t="s">
        <v>237</v>
      </c>
      <c r="C1214" s="976" t="s">
        <v>632</v>
      </c>
      <c r="D1214" s="1410"/>
      <c r="E1214" s="977" t="str">
        <f>IFERROR(VLOOKUP(C1214, [6]條件!$A:$L, 5, 0), "")</f>
        <v/>
      </c>
      <c r="F1214" s="978" t="str">
        <f>IFERROR(VLOOKUP(C1214, [6]條件!$A:$L, 6, 0), "")</f>
        <v/>
      </c>
      <c r="G1214" s="1411" t="str">
        <f>IFERROR(VLOOKUP(C1214, [6]條件!$A:$L, 7, 0), "")</f>
        <v/>
      </c>
      <c r="H1214" s="978" t="str">
        <f>IF(ISNA(VLOOKUP(C1214,[6]條件!$A$1:$K$932,11,0)),"",(VLOOKUP(C1214,[6]條件!$A$1:$K$932,11,0)))</f>
        <v/>
      </c>
      <c r="I1214" s="979" t="str">
        <f>IF(ISNA(VLOOKUP(C1214,[6]條件!$A$1:$L$932,12,0)),"",(VLOOKUP(C1214,[6]條件!$A$1:$L$932,12,0)))</f>
        <v/>
      </c>
      <c r="J1214" s="982"/>
      <c r="K1214" s="980"/>
      <c r="L1214" s="981" t="s">
        <v>16004</v>
      </c>
      <c r="M1214" s="983"/>
      <c r="N1214" s="982"/>
      <c r="O1214" s="980"/>
      <c r="P1214" s="981" t="s">
        <v>16004</v>
      </c>
      <c r="Q1214" s="983"/>
      <c r="R1214" s="982"/>
      <c r="S1214" s="980"/>
      <c r="T1214" s="981" t="s">
        <v>16004</v>
      </c>
      <c r="U1214" s="983"/>
      <c r="V1214" s="982"/>
      <c r="W1214" s="980"/>
      <c r="X1214" s="981" t="s">
        <v>632</v>
      </c>
      <c r="Y1214" s="983"/>
      <c r="Z1214" s="1412" t="str">
        <f>IFERROR(VLOOKUP(C1214, [6]條件!$A:$L, 3, 0), "")</f>
        <v/>
      </c>
      <c r="AA1214" s="984" t="str">
        <f>IF(OR(L1214={"改紡","檢修","了機","清車","FINAL","停機","SAMPLE","TEST","絲開發"}), L1214, IFERROR(IF(C1214="", "", (SUM(J1214, N1214, R1214, V1214)/3 * AG1214) * IF(AND(AF1214="S", AS1214="雙"), 0.5, 1)), ""))</f>
        <v>停機</v>
      </c>
      <c r="AB1214" s="1413" t="str">
        <f t="shared" si="206"/>
        <v/>
      </c>
      <c r="AC1214" s="984" t="str">
        <f>IF(OR(L1214={"改紡","檢修","了機","清車","FINAL","停機","SAMPLE","TEST"}), "", IFERROR(IF(C1214="", "", AVERAGE(L1214:M1214, P1214:Q1214, T1214:U1214, X1214:Y1214)/100), ""))</f>
        <v/>
      </c>
      <c r="AD1214" s="984" t="str">
        <f t="shared" si="204"/>
        <v/>
      </c>
      <c r="AE1214" s="984" t="str">
        <f t="shared" si="207"/>
        <v/>
      </c>
      <c r="AF1214" s="985" t="str">
        <f t="shared" si="199"/>
        <v>T</v>
      </c>
      <c r="AG1214" s="1414">
        <v>1</v>
      </c>
      <c r="AH1214" s="1002" t="s">
        <v>16011</v>
      </c>
      <c r="AI1214" s="1002" t="s">
        <v>640</v>
      </c>
      <c r="AJ1214" s="986" t="s">
        <v>640</v>
      </c>
      <c r="AK1214" s="986" t="s">
        <v>640</v>
      </c>
      <c r="AL1214" s="1415"/>
      <c r="AM1214" s="1323"/>
      <c r="AN1214" s="1323"/>
      <c r="AO1214" s="1323"/>
      <c r="AP1214" s="1323"/>
      <c r="AQ1214" s="1323"/>
      <c r="AR1214" s="987"/>
      <c r="AS1214" s="978" t="str">
        <f t="shared" si="200"/>
        <v>單</v>
      </c>
      <c r="AT1214" s="978" t="str">
        <f t="shared" si="201"/>
        <v>全</v>
      </c>
      <c r="AU1214" s="978" t="str">
        <f t="shared" si="202"/>
        <v/>
      </c>
      <c r="AV1214" s="978" t="str">
        <f t="shared" si="203"/>
        <v/>
      </c>
    </row>
    <row r="1215" spans="1:48">
      <c r="A1215" s="975">
        <f t="shared" si="209"/>
        <v>46173</v>
      </c>
      <c r="B1215" s="976" t="s">
        <v>238</v>
      </c>
      <c r="C1215" s="976" t="s">
        <v>16743</v>
      </c>
      <c r="D1215" s="1410"/>
      <c r="E1215" s="977" t="str">
        <f>IFERROR(VLOOKUP(C1215, [6]條件!$A:$L, 5, 0), "")</f>
        <v>150/48/2SDr</v>
      </c>
      <c r="F1215" s="978" t="str">
        <f>IFERROR(VLOOKUP(C1215, [6]條件!$A:$L, 6, 0), "")</f>
        <v>FP82169R×2</v>
      </c>
      <c r="G1215" s="1411">
        <f>IFERROR(VLOOKUP(C1215, [6]條件!$A:$L, 7, 0), "")</f>
        <v>670</v>
      </c>
      <c r="H1215" s="978" t="str">
        <f>IF(ISNA(VLOOKUP(C1215,[6]條件!$A$1:$K$932,11,0)),"",(VLOOKUP(C1215,[6]條件!$A$1:$K$932,11,0)))</f>
        <v>黃底紅點</v>
      </c>
      <c r="I1215" s="979">
        <f>IF(ISNA(VLOOKUP(C1215,[6]條件!$A$1:$L$932,12,0)),"",(VLOOKUP(C1215,[6]條件!$A$1:$L$932,12,0)))</f>
        <v>5</v>
      </c>
      <c r="J1215" s="982">
        <v>20</v>
      </c>
      <c r="K1215" s="980">
        <v>0</v>
      </c>
      <c r="L1215" s="981">
        <v>9260</v>
      </c>
      <c r="M1215" s="983"/>
      <c r="N1215" s="982">
        <v>14</v>
      </c>
      <c r="O1215" s="980">
        <v>0</v>
      </c>
      <c r="P1215" s="981">
        <v>9260</v>
      </c>
      <c r="Q1215" s="983"/>
      <c r="R1215" s="982">
        <v>8</v>
      </c>
      <c r="S1215" s="980">
        <v>0</v>
      </c>
      <c r="T1215" s="981">
        <v>9070</v>
      </c>
      <c r="U1215" s="983"/>
      <c r="V1215" s="982">
        <v>17</v>
      </c>
      <c r="W1215" s="980">
        <v>0</v>
      </c>
      <c r="X1215" s="981">
        <v>8800</v>
      </c>
      <c r="Y1215" s="983"/>
      <c r="Z1215" s="1412">
        <f>IFERROR(VLOOKUP(C1215, [6]條件!$A:$L, 3, 0), "")</f>
        <v>6.2882096069868991</v>
      </c>
      <c r="AA1215" s="984">
        <f>IF(OR(L1215={"改紡","檢修","了機","清車","FINAL","停機","SAMPLE","TEST","絲開發"}), L1215, IFERROR(IF(C1215="", "", (SUM(J1215, N1215, R1215, V1215)/3 * AG1215) * IF(AND(AF1215="S", AS1215="雙"), 0.5, 1)), ""))</f>
        <v>39.333333333333336</v>
      </c>
      <c r="AB1215" s="1413">
        <f t="shared" si="206"/>
        <v>1</v>
      </c>
      <c r="AC1215" s="984">
        <f>IF(OR(L1215={"改紡","檢修","了機","清車","FINAL","停機","SAMPLE","TEST"}), "", IFERROR(IF(C1215="", "", AVERAGE(L1215:M1215, P1215:Q1215, T1215:U1215, X1215:Y1215)/100), ""))</f>
        <v>90.974999999999994</v>
      </c>
      <c r="AD1215" s="984">
        <f t="shared" si="204"/>
        <v>4.916666666666667</v>
      </c>
      <c r="AE1215" s="984">
        <f t="shared" si="207"/>
        <v>4.916666666666667</v>
      </c>
      <c r="AF1215" s="985" t="str">
        <f t="shared" si="199"/>
        <v>T</v>
      </c>
      <c r="AG1215" s="1414">
        <v>2</v>
      </c>
      <c r="AH1215" s="1002" t="s">
        <v>16020</v>
      </c>
      <c r="AI1215" s="1002" t="s">
        <v>15337</v>
      </c>
      <c r="AJ1215" s="1002" t="s">
        <v>16009</v>
      </c>
      <c r="AK1215" s="1002" t="s">
        <v>639</v>
      </c>
      <c r="AL1215" s="1415">
        <v>48</v>
      </c>
      <c r="AM1215" s="1323">
        <v>46163</v>
      </c>
      <c r="AN1215" s="1323">
        <v>46164</v>
      </c>
      <c r="AO1215" s="1323"/>
      <c r="AP1215" s="1323"/>
      <c r="AQ1215" s="1323"/>
      <c r="AR1215" s="987"/>
      <c r="AS1215" s="978" t="str">
        <f t="shared" si="200"/>
        <v>雙</v>
      </c>
      <c r="AT1215" s="978" t="str">
        <f t="shared" si="201"/>
        <v>半</v>
      </c>
      <c r="AU1215" s="978">
        <f t="shared" si="202"/>
        <v>150</v>
      </c>
      <c r="AV1215" s="978">
        <f t="shared" si="203"/>
        <v>3.1598164799999999</v>
      </c>
    </row>
    <row r="1216" spans="1:48">
      <c r="A1216" s="975">
        <f t="shared" si="208"/>
        <v>46173</v>
      </c>
      <c r="B1216" s="976" t="s">
        <v>238</v>
      </c>
      <c r="C1216" s="976" t="s">
        <v>16742</v>
      </c>
      <c r="D1216" s="1410"/>
      <c r="E1216" s="977" t="str">
        <f>IFERROR(VLOOKUP(C1216, [6]條件!$A:$L, 5, 0), "")</f>
        <v>150/48/2SDr</v>
      </c>
      <c r="F1216" s="978" t="str">
        <f>IFERROR(VLOOKUP(C1216, [6]條件!$A:$L, 6, 0), "")</f>
        <v>FP82169R×2</v>
      </c>
      <c r="G1216" s="1411">
        <f>IFERROR(VLOOKUP(C1216, [6]條件!$A:$L, 7, 0), "")</f>
        <v>670</v>
      </c>
      <c r="H1216" s="978" t="str">
        <f>IF(ISNA(VLOOKUP(C1216,[6]條件!$A$1:$K$932,11,0)),"",(VLOOKUP(C1216,[6]條件!$A$1:$K$932,11,0)))</f>
        <v>紅底藍點</v>
      </c>
      <c r="I1216" s="979">
        <f>IF(ISNA(VLOOKUP(C1216,[6]條件!$A$1:$L$932,12,0)),"",(VLOOKUP(C1216,[6]條件!$A$1:$L$932,12,0)))</f>
        <v>5</v>
      </c>
      <c r="J1216" s="982">
        <v>21</v>
      </c>
      <c r="K1216" s="980">
        <v>0</v>
      </c>
      <c r="L1216" s="981"/>
      <c r="M1216" s="983">
        <v>9810</v>
      </c>
      <c r="N1216" s="982">
        <v>7</v>
      </c>
      <c r="O1216" s="980">
        <v>0</v>
      </c>
      <c r="P1216" s="981"/>
      <c r="Q1216" s="983">
        <v>9810</v>
      </c>
      <c r="R1216" s="982">
        <v>6</v>
      </c>
      <c r="S1216" s="980">
        <v>0</v>
      </c>
      <c r="T1216" s="981">
        <v>9810</v>
      </c>
      <c r="U1216" s="983"/>
      <c r="V1216" s="982">
        <v>20</v>
      </c>
      <c r="W1216" s="980">
        <v>0</v>
      </c>
      <c r="X1216" s="981"/>
      <c r="Y1216" s="983">
        <v>9350</v>
      </c>
      <c r="Z1216" s="1412">
        <f>IFERROR(VLOOKUP(C1216, [6]條件!$A:$L, 3, 0), "")</f>
        <v>6.1802575107296125</v>
      </c>
      <c r="AA1216" s="984">
        <f>IF(OR(L1216={"改紡","檢修","了機","清車","FINAL","停機","SAMPLE","TEST","絲開發"}), L1216, IFERROR(IF(C1216="", "", (SUM(J1216, N1216, R1216, V1216)/3 * AG1216) * IF(AND(AF1216="S", AS1216="雙"), 0.5, 1)), ""))</f>
        <v>36</v>
      </c>
      <c r="AB1216" s="1413">
        <f t="shared" si="206"/>
        <v>1</v>
      </c>
      <c r="AC1216" s="984">
        <f>IF(OR(L1216={"改紡","檢修","了機","清車","FINAL","停機","SAMPLE","TEST"}), "", IFERROR(IF(C1216="", "", AVERAGE(L1216:M1216, P1216:Q1216, T1216:U1216, X1216:Y1216)/100), ""))</f>
        <v>96.95</v>
      </c>
      <c r="AD1216" s="984">
        <f t="shared" si="204"/>
        <v>4.5</v>
      </c>
      <c r="AE1216" s="984">
        <f t="shared" si="207"/>
        <v>4.5</v>
      </c>
      <c r="AF1216" s="985" t="str">
        <f t="shared" si="199"/>
        <v>T</v>
      </c>
      <c r="AG1216" s="1414">
        <v>2</v>
      </c>
      <c r="AH1216" s="1002" t="s">
        <v>16020</v>
      </c>
      <c r="AI1216" s="1002" t="s">
        <v>15337</v>
      </c>
      <c r="AJ1216" s="1002" t="s">
        <v>16009</v>
      </c>
      <c r="AK1216" s="1002" t="s">
        <v>639</v>
      </c>
      <c r="AL1216" s="1415">
        <v>48</v>
      </c>
      <c r="AM1216" s="1323">
        <v>46164</v>
      </c>
      <c r="AN1216" s="1323">
        <v>46165</v>
      </c>
      <c r="AO1216" s="1323"/>
      <c r="AP1216" s="1323"/>
      <c r="AQ1216" s="1323"/>
      <c r="AR1216" s="987"/>
      <c r="AS1216" s="978" t="str">
        <f t="shared" si="200"/>
        <v>雙</v>
      </c>
      <c r="AT1216" s="978" t="str">
        <f t="shared" si="201"/>
        <v>半</v>
      </c>
      <c r="AU1216" s="978">
        <f t="shared" si="202"/>
        <v>150</v>
      </c>
      <c r="AV1216" s="978">
        <f t="shared" si="203"/>
        <v>3.3673449600000001</v>
      </c>
    </row>
    <row r="1217" spans="1:48">
      <c r="A1217" s="975">
        <f t="shared" si="208"/>
        <v>46173</v>
      </c>
      <c r="B1217" s="976" t="s">
        <v>239</v>
      </c>
      <c r="C1217" s="976" t="s">
        <v>16791</v>
      </c>
      <c r="D1217" s="1410"/>
      <c r="E1217" s="977" t="str">
        <f>IFERROR(VLOOKUP(C1217, [6]條件!$A:$L, 5, 0), "")</f>
        <v>75/72/2PFBR</v>
      </c>
      <c r="F1217" s="978" t="str">
        <f>IFERROR(VLOOKUP(C1217, [6]條件!$A:$L, 6, 0), "")</f>
        <v>FP01432R×2</v>
      </c>
      <c r="G1217" s="1411">
        <f>IFERROR(VLOOKUP(C1217, [6]條件!$A:$L, 7, 0), "")</f>
        <v>550</v>
      </c>
      <c r="H1217" s="978" t="str">
        <f>IF(ISNA(VLOOKUP(C1217,[6]條件!$A$1:$K$932,11,0)),"",(VLOOKUP(C1217,[6]條件!$A$1:$K$932,11,0)))</f>
        <v>紫色</v>
      </c>
      <c r="I1217" s="979">
        <f>IF(ISNA(VLOOKUP(C1217,[6]條件!$A$1:$L$932,12,0)),"",(VLOOKUP(C1217,[6]條件!$A$1:$L$932,12,0)))</f>
        <v>4</v>
      </c>
      <c r="J1217" s="982"/>
      <c r="K1217" s="980"/>
      <c r="L1217" s="981" t="s">
        <v>16002</v>
      </c>
      <c r="M1217" s="983"/>
      <c r="N1217" s="982"/>
      <c r="O1217" s="980"/>
      <c r="P1217" s="981" t="s">
        <v>16002</v>
      </c>
      <c r="Q1217" s="983"/>
      <c r="R1217" s="982"/>
      <c r="S1217" s="980"/>
      <c r="T1217" s="981" t="s">
        <v>16002</v>
      </c>
      <c r="U1217" s="983"/>
      <c r="V1217" s="982"/>
      <c r="W1217" s="980"/>
      <c r="X1217" s="981" t="s">
        <v>16002</v>
      </c>
      <c r="Y1217" s="983"/>
      <c r="Z1217" s="1412">
        <f>IFERROR(VLOOKUP(C1217, [6]條件!$A:$L, 3, 0), "")</f>
        <v>3.1578947368421053</v>
      </c>
      <c r="AA1217" s="984" t="str">
        <f>IF(OR(L1217={"改紡","檢修","了機","清車","FINAL","停機","SAMPLE","TEST","絲開發"}), L1217, IFERROR(IF(C1217="", "", (SUM(J1217, N1217, R1217, V1217)/3 * AG1217) * IF(AND(AF1217="S", AS1217="雙"), 0.5, 1)), ""))</f>
        <v>了機</v>
      </c>
      <c r="AB1217" s="1413" t="str">
        <f t="shared" si="206"/>
        <v/>
      </c>
      <c r="AC1217" s="984" t="str">
        <f>IF(OR(L1217={"改紡","檢修","了機","清車","FINAL","停機","SAMPLE","TEST"}), "", IFERROR(IF(C1217="", "", AVERAGE(L1217:M1217, P1217:Q1217, T1217:U1217, X1217:Y1217)/100), ""))</f>
        <v/>
      </c>
      <c r="AD1217" s="984" t="str">
        <f t="shared" si="204"/>
        <v/>
      </c>
      <c r="AE1217" s="984" t="str">
        <f t="shared" si="207"/>
        <v/>
      </c>
      <c r="AF1217" s="985" t="str">
        <f t="shared" si="199"/>
        <v>T</v>
      </c>
      <c r="AG1217" s="1414">
        <v>2</v>
      </c>
      <c r="AH1217" s="1002" t="s">
        <v>15998</v>
      </c>
      <c r="AI1217" s="1002" t="s">
        <v>651</v>
      </c>
      <c r="AJ1217" s="1002" t="s">
        <v>16009</v>
      </c>
      <c r="AK1217" s="986" t="s">
        <v>639</v>
      </c>
      <c r="AL1217" s="1415">
        <v>52</v>
      </c>
      <c r="AM1217" s="1323">
        <v>46168</v>
      </c>
      <c r="AN1217" s="1323">
        <v>46169</v>
      </c>
      <c r="AO1217" s="1323"/>
      <c r="AP1217" s="1323"/>
      <c r="AQ1217" s="1323"/>
      <c r="AR1217" s="987"/>
      <c r="AS1217" s="978" t="str">
        <f t="shared" si="200"/>
        <v>雙</v>
      </c>
      <c r="AT1217" s="978" t="str">
        <f t="shared" si="201"/>
        <v>半</v>
      </c>
      <c r="AU1217" s="978">
        <f t="shared" si="202"/>
        <v>75</v>
      </c>
      <c r="AV1217" s="978" t="str">
        <f t="shared" si="203"/>
        <v/>
      </c>
    </row>
    <row r="1218" spans="1:48">
      <c r="A1218" s="975">
        <f t="shared" si="208"/>
        <v>46173</v>
      </c>
      <c r="B1218" s="976" t="s">
        <v>239</v>
      </c>
      <c r="C1218" s="976" t="s">
        <v>16787</v>
      </c>
      <c r="D1218" s="1410" t="s">
        <v>16788</v>
      </c>
      <c r="E1218" s="977" t="str">
        <f>IFERROR(VLOOKUP(C1218, [6]條件!$A:$L, 5, 0), "")</f>
        <v>150/48/2SDR</v>
      </c>
      <c r="F1218" s="978" t="str">
        <f>IFERROR(VLOOKUP(C1218, [6]條件!$A:$L, 6, 0), "")</f>
        <v>FP82169R×2</v>
      </c>
      <c r="G1218" s="1411">
        <f>IFERROR(VLOOKUP(C1218, [6]條件!$A:$L, 7, 0), "")</f>
        <v>650</v>
      </c>
      <c r="H1218" s="978" t="str">
        <f>IF(ISNA(VLOOKUP(C1218,[6]條件!$A$1:$K$932,11,0)),"",(VLOOKUP(C1218,[6]條件!$A$1:$K$932,11,0)))</f>
        <v>紫黃條紋</v>
      </c>
      <c r="I1218" s="979">
        <f>IF(ISNA(VLOOKUP(C1218,[6]條件!$A$1:$L$932,12,0)),"",(VLOOKUP(C1218,[6]條件!$A$1:$L$932,12,0)))</f>
        <v>5</v>
      </c>
      <c r="J1218" s="982"/>
      <c r="K1218" s="980"/>
      <c r="L1218" s="981" t="s">
        <v>16002</v>
      </c>
      <c r="M1218" s="983" t="s">
        <v>16002</v>
      </c>
      <c r="N1218" s="982"/>
      <c r="O1218" s="980"/>
      <c r="P1218" s="981"/>
      <c r="Q1218" s="983" t="s">
        <v>127</v>
      </c>
      <c r="R1218" s="982"/>
      <c r="S1218" s="980"/>
      <c r="T1218" s="981"/>
      <c r="U1218" s="983" t="s">
        <v>15855</v>
      </c>
      <c r="V1218" s="982"/>
      <c r="W1218" s="980"/>
      <c r="X1218" s="981"/>
      <c r="Y1218" s="983" t="s">
        <v>632</v>
      </c>
      <c r="Z1218" s="1412">
        <f>IFERROR(VLOOKUP(C1218, [6]條件!$A:$L, 3, 0), "")</f>
        <v>6.101694915254237</v>
      </c>
      <c r="AA1218" s="984" t="str">
        <f>IF(OR(L1218={"改紡","檢修","了機","清車","FINAL","停機","SAMPLE","TEST","絲開發"}), L1218, IFERROR(IF(C1218="", "", (SUM(J1218, N1218, R1218, V1218)/3 * AG1218) * IF(AND(AF1218="S", AS1218="雙"), 0.5, 1)), ""))</f>
        <v>了機</v>
      </c>
      <c r="AB1218" s="1413" t="str">
        <f t="shared" si="206"/>
        <v/>
      </c>
      <c r="AC1218" s="984" t="str">
        <f>IF(OR(L1218={"改紡","檢修","了機","清車","FINAL","停機","SAMPLE","TEST"}), "", IFERROR(IF(C1218="", "", AVERAGE(L1218:M1218, P1218:Q1218, T1218:U1218, X1218:Y1218)/100), ""))</f>
        <v/>
      </c>
      <c r="AD1218" s="984" t="str">
        <f t="shared" si="204"/>
        <v/>
      </c>
      <c r="AE1218" s="984" t="str">
        <f t="shared" si="207"/>
        <v/>
      </c>
      <c r="AF1218" s="985" t="str">
        <f t="shared" ref="AF1218:AF1231" si="210">LEFT(B1218, 1)</f>
        <v>T</v>
      </c>
      <c r="AG1218" s="1414">
        <v>2</v>
      </c>
      <c r="AH1218" s="1002" t="s">
        <v>15998</v>
      </c>
      <c r="AI1218" s="1002" t="s">
        <v>651</v>
      </c>
      <c r="AJ1218" s="1002" t="s">
        <v>16009</v>
      </c>
      <c r="AK1218" s="986" t="s">
        <v>639</v>
      </c>
      <c r="AL1218" s="1415">
        <v>48</v>
      </c>
      <c r="AM1218" s="1323">
        <v>46162</v>
      </c>
      <c r="AN1218" s="1323">
        <v>46163</v>
      </c>
      <c r="AO1218" s="1323">
        <v>46164</v>
      </c>
      <c r="AP1218" s="1323"/>
      <c r="AQ1218" s="1323"/>
      <c r="AR1218" s="987"/>
      <c r="AS1218" s="978" t="str">
        <f t="shared" ref="AS1218:AS1231" si="211">IF(RIGHT(F1218, 2) = "×2", "雙", "單")</f>
        <v>雙</v>
      </c>
      <c r="AT1218" s="978" t="str">
        <f t="shared" ref="AT1218:AT1231" si="212">IF(OR(AF1218="J", AF1218="T", AF1218="M"), IF(AG1218=1, "全", "半"), IF(AF1218="A", IF(AG1218=0.5, IF(AS1218="雙", "全", ""), IF(AG1218=1, IF(AS1218="雙", "半", "全"), IF(AG1218=2, "半", ""))), IF(AF1218="S", AG1218 &amp; "sec", "")))</f>
        <v>半</v>
      </c>
      <c r="AU1218" s="978">
        <f t="shared" ref="AU1218:AU1231" si="213">IFERROR(VALUE(LEFT(E1218, FIND("/", E1218)-1)), "")</f>
        <v>150</v>
      </c>
      <c r="AV1218" s="978" t="str">
        <f t="shared" ref="AV1218:AV1231" si="214">IFERROR(IF(AF1218="S", (AU1218*G1218*AC1218*0.03456/100/1000) * (AG1218*12/144) * IF(AS1218="單", 1, 0.5), IF(AF1218="A", (AU1218*G1218*AC1218*0.03456/100/1000) * IF(AT1218="全", 1, 0.5), IF(OR(AF1218="T", AF1218="J", AF1218="M"), (AU1218*G1218*AC1218*0.03456/100/1000) * IF(AS1218="單", 1, 2) * IF(AT1218="全", 1, 0.5), 0))), "")</f>
        <v/>
      </c>
    </row>
    <row r="1219" spans="1:48">
      <c r="A1219" s="975">
        <f t="shared" si="208"/>
        <v>46173</v>
      </c>
      <c r="B1219" s="976" t="s">
        <v>388</v>
      </c>
      <c r="C1219" s="976" t="s">
        <v>16775</v>
      </c>
      <c r="D1219" s="1410" t="s">
        <v>633</v>
      </c>
      <c r="E1219" s="977" t="str">
        <f>IFERROR(VLOOKUP(C1219, [6]條件!$A:$L, 5, 0), "")</f>
        <v>150/48/2SDr</v>
      </c>
      <c r="F1219" s="978" t="str">
        <f>IFERROR(VLOOKUP(C1219, [6]條件!$A:$L, 6, 0), "")</f>
        <v>FP82173R×2</v>
      </c>
      <c r="G1219" s="1411">
        <f>IFERROR(VLOOKUP(C1219, [6]條件!$A:$L, 7, 0), "")</f>
        <v>700</v>
      </c>
      <c r="H1219" s="978" t="str">
        <f>IF(ISNA(VLOOKUP(C1219,[6]條件!$A$1:$K$932,11,0)),"",(VLOOKUP(C1219,[6]條件!$A$1:$K$932,11,0)))</f>
        <v>黃紅雙色</v>
      </c>
      <c r="I1219" s="979">
        <f>IF(ISNA(VLOOKUP(C1219,[6]條件!$A$1:$L$932,12,0)),"",(VLOOKUP(C1219,[6]條件!$A$1:$L$932,12,0)))</f>
        <v>5.5</v>
      </c>
      <c r="J1219" s="982">
        <v>50</v>
      </c>
      <c r="K1219" s="980">
        <v>0</v>
      </c>
      <c r="L1219" s="981">
        <v>7310</v>
      </c>
      <c r="M1219" s="983">
        <v>8010</v>
      </c>
      <c r="N1219" s="982"/>
      <c r="O1219" s="980"/>
      <c r="P1219" s="981" t="s">
        <v>16002</v>
      </c>
      <c r="Q1219" s="983"/>
      <c r="R1219" s="982"/>
      <c r="S1219" s="980"/>
      <c r="T1219" s="981" t="s">
        <v>16002</v>
      </c>
      <c r="U1219" s="983"/>
      <c r="V1219" s="982">
        <v>48</v>
      </c>
      <c r="W1219" s="980">
        <v>0</v>
      </c>
      <c r="X1219" s="981" t="s">
        <v>16002</v>
      </c>
      <c r="Y1219" s="983">
        <v>6200</v>
      </c>
      <c r="Z1219" s="1412">
        <f>IFERROR(VLOOKUP(C1219, [6]條件!$A:$L, 3, 0), "")</f>
        <v>5.8536585365853666</v>
      </c>
      <c r="AA1219" s="984">
        <f>IF(OR(L1219={"改紡","檢修","了機","清車","FINAL","停機","SAMPLE","TEST","絲開發"}), L1219, IFERROR(IF(C1219="", "", (SUM(J1219, N1219, R1219, V1219)/3 * AG1219) * IF(AND(AF1219="S", AS1219="雙"), 0.5, 1)), ""))</f>
        <v>32.666666666666664</v>
      </c>
      <c r="AB1219" s="1413">
        <f t="shared" si="206"/>
        <v>1</v>
      </c>
      <c r="AC1219" s="984">
        <f>IF(OR(L1219={"改紡","檢修","了機","清車","FINAL","停機","SAMPLE","TEST"}), "", IFERROR(IF(C1219="", "", AVERAGE(L1219:M1219, P1219:Q1219, T1219:U1219, X1219:Y1219)/100), ""))</f>
        <v>71.733333333333334</v>
      </c>
      <c r="AD1219" s="984">
        <f t="shared" si="204"/>
        <v>4.083333333333333</v>
      </c>
      <c r="AE1219" s="984">
        <f t="shared" si="207"/>
        <v>4.083333333333333</v>
      </c>
      <c r="AF1219" s="985" t="str">
        <f t="shared" si="210"/>
        <v>T</v>
      </c>
      <c r="AG1219" s="1414">
        <v>1</v>
      </c>
      <c r="AH1219" s="1002" t="s">
        <v>16020</v>
      </c>
      <c r="AI1219" s="1002" t="s">
        <v>15337</v>
      </c>
      <c r="AJ1219" s="1002" t="s">
        <v>16009</v>
      </c>
      <c r="AK1219" s="1002" t="s">
        <v>639</v>
      </c>
      <c r="AL1219" s="1415">
        <v>56</v>
      </c>
      <c r="AM1219" s="1323">
        <v>46162</v>
      </c>
      <c r="AN1219" s="1323">
        <v>46163</v>
      </c>
      <c r="AO1219" s="1323">
        <v>46165</v>
      </c>
      <c r="AP1219" s="1323">
        <v>46166</v>
      </c>
      <c r="AQ1219" s="1323"/>
      <c r="AR1219" s="987"/>
      <c r="AS1219" s="978" t="str">
        <f t="shared" si="211"/>
        <v>雙</v>
      </c>
      <c r="AT1219" s="978" t="str">
        <f t="shared" si="212"/>
        <v>全</v>
      </c>
      <c r="AU1219" s="978">
        <f t="shared" si="213"/>
        <v>150</v>
      </c>
      <c r="AV1219" s="978">
        <f t="shared" si="214"/>
        <v>5.2061184000000003</v>
      </c>
    </row>
    <row r="1220" spans="1:48">
      <c r="A1220" s="975">
        <f>A1218</f>
        <v>46173</v>
      </c>
      <c r="B1220" s="976" t="s">
        <v>417</v>
      </c>
      <c r="C1220" s="976" t="s">
        <v>16767</v>
      </c>
      <c r="D1220" s="1410" t="s">
        <v>633</v>
      </c>
      <c r="E1220" s="977" t="str">
        <f>IFERROR(VLOOKUP(C1220, [6]條件!$A:$L, 5, 0), "")</f>
        <v>150/48/2SDr</v>
      </c>
      <c r="F1220" s="978" t="str">
        <f>IFERROR(VLOOKUP(C1220, [6]條件!$A:$L, 6, 0), "")</f>
        <v>FP82173R×2</v>
      </c>
      <c r="G1220" s="1411">
        <f>IFERROR(VLOOKUP(C1220, [6]條件!$A:$L, 7, 0), "")</f>
        <v>700</v>
      </c>
      <c r="H1220" s="978" t="str">
        <f>IF(ISNA(VLOOKUP(C1220,[6]條件!$A$1:$K$932,11,0)),"",(VLOOKUP(C1220,[6]條件!$A$1:$K$932,11,0)))</f>
        <v>棕色</v>
      </c>
      <c r="I1220" s="979">
        <f>IF(ISNA(VLOOKUP(C1220,[6]條件!$A$1:$L$932,12,0)),"",(VLOOKUP(C1220,[6]條件!$A$1:$L$932,12,0)))</f>
        <v>5.5</v>
      </c>
      <c r="J1220" s="982"/>
      <c r="K1220" s="980"/>
      <c r="L1220" s="981" t="s">
        <v>15855</v>
      </c>
      <c r="M1220" s="983"/>
      <c r="N1220" s="982"/>
      <c r="O1220" s="980"/>
      <c r="P1220" s="981" t="s">
        <v>632</v>
      </c>
      <c r="Q1220" s="983"/>
      <c r="R1220" s="982"/>
      <c r="S1220" s="980"/>
      <c r="T1220" s="981" t="s">
        <v>632</v>
      </c>
      <c r="U1220" s="983"/>
      <c r="V1220" s="982"/>
      <c r="W1220" s="980"/>
      <c r="X1220" s="981" t="s">
        <v>632</v>
      </c>
      <c r="Y1220" s="983"/>
      <c r="Z1220" s="1412">
        <f>IFERROR(VLOOKUP(C1220, [6]條件!$A:$L, 3, 0), "")</f>
        <v>5.8536585365853666</v>
      </c>
      <c r="AA1220" s="984" t="str">
        <f>IF(OR(L1220={"改紡","檢修","了機","清車","FINAL","停機","SAMPLE","TEST","絲開發"}), L1220, IFERROR(IF(C1220="", "", (SUM(J1220, N1220, R1220, V1220)/3 * AG1220) * IF(AND(AF1220="S", AS1220="雙"), 0.5, 1)), ""))</f>
        <v>FINAL</v>
      </c>
      <c r="AB1220" s="1413" t="str">
        <f t="shared" si="206"/>
        <v/>
      </c>
      <c r="AC1220" s="984" t="str">
        <f>IF(OR(L1220={"改紡","檢修","了機","清車","FINAL","停機","SAMPLE","TEST"}), "", IFERROR(IF(C1220="", "", AVERAGE(L1220:M1220, P1220:Q1220, T1220:U1220, X1220:Y1220)/100), ""))</f>
        <v/>
      </c>
      <c r="AD1220" s="984" t="str">
        <f t="shared" si="204"/>
        <v/>
      </c>
      <c r="AE1220" s="984" t="str">
        <f t="shared" si="207"/>
        <v/>
      </c>
      <c r="AF1220" s="985" t="str">
        <f t="shared" si="210"/>
        <v>T</v>
      </c>
      <c r="AG1220" s="1414">
        <v>2</v>
      </c>
      <c r="AH1220" s="1002" t="s">
        <v>15998</v>
      </c>
      <c r="AI1220" s="1002" t="s">
        <v>651</v>
      </c>
      <c r="AJ1220" s="986" t="s">
        <v>16011</v>
      </c>
      <c r="AK1220" s="986" t="s">
        <v>640</v>
      </c>
      <c r="AL1220" s="1415">
        <v>56</v>
      </c>
      <c r="AM1220" s="1323">
        <v>46165</v>
      </c>
      <c r="AN1220" s="1323">
        <v>46166</v>
      </c>
      <c r="AO1220" s="1323">
        <v>46167</v>
      </c>
      <c r="AP1220" s="1323"/>
      <c r="AQ1220" s="1323"/>
      <c r="AR1220" s="987"/>
      <c r="AS1220" s="978" t="str">
        <f t="shared" si="211"/>
        <v>雙</v>
      </c>
      <c r="AT1220" s="978" t="str">
        <f t="shared" si="212"/>
        <v>半</v>
      </c>
      <c r="AU1220" s="978">
        <f t="shared" si="213"/>
        <v>150</v>
      </c>
      <c r="AV1220" s="978" t="str">
        <f t="shared" si="214"/>
        <v/>
      </c>
    </row>
    <row r="1221" spans="1:48">
      <c r="A1221" s="975">
        <f>A1219</f>
        <v>46173</v>
      </c>
      <c r="B1221" s="976" t="s">
        <v>417</v>
      </c>
      <c r="C1221" s="976"/>
      <c r="D1221" s="1410"/>
      <c r="E1221" s="977" t="str">
        <f>IFERROR(VLOOKUP(C1221, [6]條件!$A:$L, 5, 0), "")</f>
        <v/>
      </c>
      <c r="F1221" s="978" t="str">
        <f>IFERROR(VLOOKUP(C1221, [6]條件!$A:$L, 6, 0), "")</f>
        <v/>
      </c>
      <c r="G1221" s="1411" t="str">
        <f>IFERROR(VLOOKUP(C1221, [6]條件!$A:$L, 7, 0), "")</f>
        <v/>
      </c>
      <c r="H1221" s="978" t="str">
        <f>IF(ISNA(VLOOKUP(C1221,[6]條件!$A$1:$K$932,11,0)),"",(VLOOKUP(C1221,[6]條件!$A$1:$K$932,11,0)))</f>
        <v/>
      </c>
      <c r="I1221" s="979" t="str">
        <f>IF(ISNA(VLOOKUP(C1221,[6]條件!$A$1:$L$932,12,0)),"",(VLOOKUP(C1221,[6]條件!$A$1:$L$932,12,0)))</f>
        <v/>
      </c>
      <c r="J1221" s="982"/>
      <c r="K1221" s="980"/>
      <c r="L1221" s="981" t="s">
        <v>632</v>
      </c>
      <c r="M1221" s="983" t="s">
        <v>16794</v>
      </c>
      <c r="N1221" s="982"/>
      <c r="O1221" s="980"/>
      <c r="P1221" s="981"/>
      <c r="Q1221" s="983" t="s">
        <v>632</v>
      </c>
      <c r="R1221" s="982"/>
      <c r="S1221" s="980"/>
      <c r="T1221" s="981"/>
      <c r="U1221" s="983" t="s">
        <v>632</v>
      </c>
      <c r="V1221" s="982"/>
      <c r="W1221" s="980"/>
      <c r="X1221" s="981"/>
      <c r="Y1221" s="983" t="s">
        <v>632</v>
      </c>
      <c r="Z1221" s="1412" t="str">
        <f>IFERROR(VLOOKUP(C1221, [6]條件!$A:$L, 3, 0), "")</f>
        <v/>
      </c>
      <c r="AA1221" s="984" t="str">
        <f>IF(OR(L1221={"改紡","檢修","了機","清車","FINAL","停機","SAMPLE","TEST","絲開發"}), L1221, IFERROR(IF(C1221="", "", (SUM(J1221, N1221, R1221, V1221)/3 * AG1221) * IF(AND(AF1221="S", AS1221="雙"), 0.5, 1)), ""))</f>
        <v>停機</v>
      </c>
      <c r="AB1221" s="1413" t="str">
        <f t="shared" si="206"/>
        <v/>
      </c>
      <c r="AC1221" s="984" t="str">
        <f>IF(OR(L1221={"改紡","檢修","了機","清車","FINAL","停機","SAMPLE","TEST"}), "", IFERROR(IF(C1221="", "", AVERAGE(L1221:M1221, P1221:Q1221, T1221:U1221, X1221:Y1221)/100), ""))</f>
        <v/>
      </c>
      <c r="AD1221" s="984" t="str">
        <f t="shared" ref="AD1221:AD1231" si="215">IF(ISERROR(AA1221/8),"",(AA1221/8))</f>
        <v/>
      </c>
      <c r="AE1221" s="984" t="str">
        <f t="shared" si="207"/>
        <v/>
      </c>
      <c r="AF1221" s="985" t="str">
        <f t="shared" si="210"/>
        <v>T</v>
      </c>
      <c r="AG1221" s="1414">
        <v>1</v>
      </c>
      <c r="AH1221" s="1002" t="s">
        <v>16011</v>
      </c>
      <c r="AI1221" s="1002" t="s">
        <v>640</v>
      </c>
      <c r="AJ1221" s="986" t="s">
        <v>16011</v>
      </c>
      <c r="AK1221" s="986" t="s">
        <v>640</v>
      </c>
      <c r="AL1221" s="1415"/>
      <c r="AM1221" s="1323"/>
      <c r="AN1221" s="1323"/>
      <c r="AO1221" s="1323"/>
      <c r="AP1221" s="1323"/>
      <c r="AQ1221" s="1323"/>
      <c r="AR1221" s="987"/>
      <c r="AS1221" s="978" t="str">
        <f t="shared" si="211"/>
        <v>單</v>
      </c>
      <c r="AT1221" s="978" t="str">
        <f t="shared" si="212"/>
        <v>全</v>
      </c>
      <c r="AU1221" s="978" t="str">
        <f t="shared" si="213"/>
        <v/>
      </c>
      <c r="AV1221" s="978" t="str">
        <f t="shared" si="214"/>
        <v/>
      </c>
    </row>
    <row r="1222" spans="1:48">
      <c r="A1222" s="975">
        <f t="shared" si="208"/>
        <v>46173</v>
      </c>
      <c r="B1222" s="976" t="s">
        <v>240</v>
      </c>
      <c r="C1222" s="976" t="s">
        <v>16777</v>
      </c>
      <c r="D1222" s="1410"/>
      <c r="E1222" s="977" t="str">
        <f>IFERROR(VLOOKUP(C1222, [6]條件!$A:$L, 5, 0), "")</f>
        <v>75/72/2SDFFR</v>
      </c>
      <c r="F1222" s="978" t="str">
        <f>IFERROR(VLOOKUP(C1222, [6]條件!$A:$L, 6, 0), "")</f>
        <v>FP81209R×2</v>
      </c>
      <c r="G1222" s="1411">
        <f>IFERROR(VLOOKUP(C1222, [6]條件!$A:$L, 7, 0), "")</f>
        <v>600</v>
      </c>
      <c r="H1222" s="978" t="str">
        <f>IF(ISNA(VLOOKUP(C1222,[6]條件!$A$1:$K$932,11,0)),"",(VLOOKUP(C1222,[6]條件!$A$1:$K$932,11,0)))</f>
        <v>白底紅十字</v>
      </c>
      <c r="I1222" s="979">
        <f>IF(ISNA(VLOOKUP(C1222,[6]條件!$A$1:$L$932,12,0)),"",(VLOOKUP(C1222,[6]條件!$A$1:$L$932,12,0)))</f>
        <v>5</v>
      </c>
      <c r="J1222" s="982">
        <v>6</v>
      </c>
      <c r="K1222" s="980">
        <v>0</v>
      </c>
      <c r="L1222" s="981" t="s">
        <v>16002</v>
      </c>
      <c r="M1222" s="983">
        <v>1990</v>
      </c>
      <c r="N1222" s="982"/>
      <c r="O1222" s="980"/>
      <c r="P1222" s="981" t="s">
        <v>16002</v>
      </c>
      <c r="Q1222" s="983"/>
      <c r="R1222" s="982"/>
      <c r="S1222" s="980"/>
      <c r="T1222" s="981" t="s">
        <v>16002</v>
      </c>
      <c r="U1222" s="983"/>
      <c r="V1222" s="982"/>
      <c r="W1222" s="980"/>
      <c r="X1222" s="981" t="s">
        <v>16002</v>
      </c>
      <c r="Y1222" s="983"/>
      <c r="Z1222" s="1422">
        <f>IFERROR(VLOOKUP(C1222, [6]條件!$A:$L, 3, 0), "")</f>
        <v>2.7852998065764023</v>
      </c>
      <c r="AA1222" s="1167" t="str">
        <f>IF(OR(L1222={"改紡","檢修","了機","清車","FINAL","停機","SAMPLE","TEST","絲開發"}), L1222, IFERROR(IF(C1222="", "", (SUM(J1222, N1222, R1222, V1222)/3 * AG1222) * IF(AND(AF1222="S", AS1222="雙"), 0.5, 1)), ""))</f>
        <v>了機</v>
      </c>
      <c r="AB1222" s="1423">
        <f>IF(K1222="","",IF(ISERROR(1-((SUM(K1222,O1222,S1222,W1222)/((AG1222*12)-(AG1222*0.44)))/Z1222)),"",(1-((SUM(K1222,O1222,S1222,W1222)/((AG1222*12)-(AG1222*0.44)))/Z1222))))</f>
        <v>1</v>
      </c>
      <c r="AC1222" s="1167" t="str">
        <f>IF(OR(L1222={"改紡","檢修","了機","清車","FINAL","停機","SAMPLE","TEST"}), "", IFERROR(IF(C1222="", "", AVERAGE(L1222:M1222, P1222:Q1222, T1222:U1222, X1222:Y1222)/100), ""))</f>
        <v/>
      </c>
      <c r="AD1222" s="1167" t="str">
        <f t="shared" si="215"/>
        <v/>
      </c>
      <c r="AE1222" s="1167" t="str">
        <f>IF(P1222="了機","",IF(J1222="","",IF(ISERROR((SUM(J1222,N1222,R1222,V1222)-SUM(K1222,O1222,S1222,W1222))/24),"",((SUM(J1222,N1222,R1222,V1222)-SUM(K1222,O1222,S1222,W1222))/24))))</f>
        <v/>
      </c>
      <c r="AF1222" s="1168" t="str">
        <f t="shared" si="210"/>
        <v>S</v>
      </c>
      <c r="AG1222" s="1424">
        <v>3</v>
      </c>
      <c r="AH1222" s="1002" t="s">
        <v>16013</v>
      </c>
      <c r="AI1222" s="1002" t="s">
        <v>829</v>
      </c>
      <c r="AJ1222" s="986" t="s">
        <v>16000</v>
      </c>
      <c r="AK1222" s="986" t="s">
        <v>636</v>
      </c>
      <c r="AL1222" s="1415">
        <v>50</v>
      </c>
      <c r="AM1222" s="1323">
        <v>46087</v>
      </c>
      <c r="AN1222" s="1323">
        <v>46088</v>
      </c>
      <c r="AO1222" s="1323">
        <v>46089</v>
      </c>
      <c r="AP1222" s="1323"/>
      <c r="AQ1222" s="1323"/>
      <c r="AR1222" s="987"/>
      <c r="AS1222" s="978" t="str">
        <f t="shared" si="211"/>
        <v>雙</v>
      </c>
      <c r="AT1222" s="978" t="str">
        <f t="shared" si="212"/>
        <v>3sec</v>
      </c>
      <c r="AU1222" s="978">
        <f t="shared" si="213"/>
        <v>75</v>
      </c>
      <c r="AV1222" s="978" t="str">
        <f t="shared" si="214"/>
        <v/>
      </c>
    </row>
    <row r="1223" spans="1:48">
      <c r="A1223" s="975">
        <f t="shared" si="208"/>
        <v>46173</v>
      </c>
      <c r="B1223" s="976" t="s">
        <v>242</v>
      </c>
      <c r="C1223" s="976" t="s">
        <v>385</v>
      </c>
      <c r="D1223" s="1410"/>
      <c r="E1223" s="977" t="str">
        <f>IFERROR(VLOOKUP(C1223, [6]條件!$A:$L, 5, 0), "")</f>
        <v/>
      </c>
      <c r="F1223" s="978" t="str">
        <f>IFERROR(VLOOKUP(C1223, [6]條件!$A:$L, 6, 0), "")</f>
        <v/>
      </c>
      <c r="G1223" s="1411" t="str">
        <f>IFERROR(VLOOKUP(C1223, [6]條件!$A:$L, 7, 0), "")</f>
        <v/>
      </c>
      <c r="H1223" s="978" t="str">
        <f>IF(ISNA(VLOOKUP(C1223,[6]條件!$A$1:$K$932,11,0)),"",(VLOOKUP(C1223,[6]條件!$A$1:$K$932,11,0)))</f>
        <v/>
      </c>
      <c r="I1223" s="979" t="str">
        <f>IF(ISNA(VLOOKUP(C1223,[6]條件!$A$1:$L$932,12,0)),"",(VLOOKUP(C1223,[6]條件!$A$1:$L$932,12,0)))</f>
        <v/>
      </c>
      <c r="J1223" s="982"/>
      <c r="K1223" s="980"/>
      <c r="L1223" s="981" t="s">
        <v>385</v>
      </c>
      <c r="M1223" s="983"/>
      <c r="N1223" s="982"/>
      <c r="O1223" s="980"/>
      <c r="P1223" s="981" t="s">
        <v>385</v>
      </c>
      <c r="Q1223" s="983"/>
      <c r="R1223" s="982"/>
      <c r="S1223" s="980"/>
      <c r="T1223" s="981" t="s">
        <v>385</v>
      </c>
      <c r="U1223" s="983"/>
      <c r="V1223" s="982"/>
      <c r="W1223" s="980"/>
      <c r="X1223" s="981" t="s">
        <v>385</v>
      </c>
      <c r="Y1223" s="983"/>
      <c r="Z1223" s="1422" t="str">
        <f>IFERROR(VLOOKUP(C1223, [6]條件!$A:$L, 3, 0), "")</f>
        <v/>
      </c>
      <c r="AA1223" s="1167" t="str">
        <f>IF(OR(L1223={"改紡","檢修","了機","清車","FINAL","停機","SAMPLE","TEST","絲開發"}), L1223, IFERROR(IF(C1223="", "", (SUM(J1223, N1223, R1223, V1223)/3 * AG1223) * IF(AND(AF1223="S", AS1223="雙"), 0.5, 1)), ""))</f>
        <v>絲開發</v>
      </c>
      <c r="AB1223" s="1423" t="str">
        <f>IF(K1223="","",IF(ISERROR(1-((SUM(K1223,O1223,S1223,W1223)/((AG1223*12)-(AG1223*0.44)))/Z1223)),"",(1-((SUM(K1223,O1223,S1223,W1223)/((AG1223*12)-(AG1223*0.44)))/Z1223))))</f>
        <v/>
      </c>
      <c r="AC1223" s="1167" t="str">
        <f>IF(OR(L1223={"改紡","檢修","了機","清車","FINAL","停機","SAMPLE","TEST"}), "", IFERROR(IF(C1223="", "", AVERAGE(L1223:M1223, P1223:Q1223, T1223:U1223, X1223:Y1223)/100), ""))</f>
        <v/>
      </c>
      <c r="AD1223" s="1167" t="str">
        <f t="shared" si="215"/>
        <v/>
      </c>
      <c r="AE1223" s="1167" t="str">
        <f>IF(P1223="了機","",IF(J1223="","",IF(ISERROR((SUM(J1223,N1223,R1223,V1223)-SUM(K1223,O1223,S1223,W1223))/24),"",((SUM(J1223,N1223,R1223,V1223)-SUM(K1223,O1223,S1223,W1223))/24))))</f>
        <v/>
      </c>
      <c r="AF1223" s="1168" t="str">
        <f t="shared" si="210"/>
        <v>S</v>
      </c>
      <c r="AG1223" s="1424">
        <v>5</v>
      </c>
      <c r="AH1223" s="1002" t="s">
        <v>16011</v>
      </c>
      <c r="AI1223" s="1002" t="s">
        <v>640</v>
      </c>
      <c r="AJ1223" s="986" t="s">
        <v>16011</v>
      </c>
      <c r="AK1223" s="986" t="s">
        <v>16011</v>
      </c>
      <c r="AL1223" s="1415"/>
      <c r="AM1223" s="1323"/>
      <c r="AN1223" s="1323"/>
      <c r="AO1223" s="1323"/>
      <c r="AP1223" s="1323"/>
      <c r="AQ1223" s="1323"/>
      <c r="AR1223" s="987"/>
      <c r="AS1223" s="978" t="str">
        <f t="shared" si="211"/>
        <v>單</v>
      </c>
      <c r="AT1223" s="978" t="str">
        <f t="shared" si="212"/>
        <v>5sec</v>
      </c>
      <c r="AU1223" s="978" t="str">
        <f t="shared" si="213"/>
        <v/>
      </c>
      <c r="AV1223" s="978" t="str">
        <f t="shared" si="214"/>
        <v/>
      </c>
    </row>
    <row r="1224" spans="1:48">
      <c r="A1224" s="975">
        <f t="shared" si="208"/>
        <v>46173</v>
      </c>
      <c r="B1224" s="976" t="s">
        <v>16078</v>
      </c>
      <c r="C1224" s="988" t="s">
        <v>16185</v>
      </c>
      <c r="D1224" s="1410"/>
      <c r="E1224" s="977" t="str">
        <f>IFERROR(VLOOKUP(C1224, [6]條件!$A:$L, 5, 0), "")</f>
        <v/>
      </c>
      <c r="F1224" s="978" t="str">
        <f>IFERROR(VLOOKUP(C1224, [6]條件!$A:$L, 6, 0), "")</f>
        <v/>
      </c>
      <c r="G1224" s="1411" t="str">
        <f>IFERROR(VLOOKUP(C1224, [6]條件!$A:$L, 7, 0), "")</f>
        <v/>
      </c>
      <c r="H1224" s="978" t="str">
        <f>IF(ISNA(VLOOKUP(C1224,[6]條件!$A$1:$K$932,11,0)),"",(VLOOKUP(C1224,[6]條件!$A$1:$K$932,11,0)))</f>
        <v/>
      </c>
      <c r="I1224" s="979" t="str">
        <f>IF(ISNA(VLOOKUP(C1224,[6]條件!$A$1:$L$932,12,0)),"",(VLOOKUP(C1224,[6]條件!$A$1:$L$932,12,0)))</f>
        <v/>
      </c>
      <c r="J1224" s="982"/>
      <c r="K1224" s="980"/>
      <c r="L1224" s="981" t="s">
        <v>632</v>
      </c>
      <c r="M1224" s="983"/>
      <c r="N1224" s="982"/>
      <c r="O1224" s="980"/>
      <c r="P1224" s="981" t="s">
        <v>632</v>
      </c>
      <c r="Q1224" s="983"/>
      <c r="R1224" s="982"/>
      <c r="S1224" s="980"/>
      <c r="T1224" s="981" t="s">
        <v>632</v>
      </c>
      <c r="U1224" s="983"/>
      <c r="V1224" s="982"/>
      <c r="W1224" s="980"/>
      <c r="X1224" s="981" t="s">
        <v>632</v>
      </c>
      <c r="Y1224" s="983"/>
      <c r="Z1224" s="1412" t="str">
        <f>IFERROR(VLOOKUP(C1224, [6]條件!$A:$L, 3, 0), "")</f>
        <v/>
      </c>
      <c r="AA1224" s="984" t="str">
        <f>IF(OR(L1224={"改紡","檢修","了機","清車","FINAL","停機","SAMPLE","TEST","絲開發"}), L1224, IFERROR(IF(C1224="", "", (SUM(J1224, N1224, R1224, V1224)/3 * AG1224) * IF(AND(AF1224="S", AS1224="雙"), 0.5, 1)), ""))</f>
        <v>停機</v>
      </c>
      <c r="AB1224" s="1413" t="str">
        <f t="shared" ref="AB1224:AB1231" si="216">IF(K1224="","",IF(ISERROR(1-(SUM(K1224,O1224,S1224,W1224)/208/Z1224)),"",(1-(SUM(K1224,O1224,S1224,W1224)/208/Z1224))))</f>
        <v/>
      </c>
      <c r="AC1224" s="984" t="str">
        <f>IF(OR(L1224={"改紡","檢修","了機","清車","FINAL","停機","SAMPLE","TEST"}), "", IFERROR(IF(C1224="", "", AVERAGE(L1224:M1224, P1224:Q1224, T1224:U1224, X1224:Y1224)/100), ""))</f>
        <v/>
      </c>
      <c r="AD1224" s="984" t="str">
        <f t="shared" si="215"/>
        <v/>
      </c>
      <c r="AE1224" s="984" t="str">
        <f>IF(OR(L1224="改紡", L1224="檢修", L1224="了機"), "",
   IF(AND(C1224&lt;&gt;"", J1224&lt;&gt;""),
      IFERROR((SUM(J1224, N1224, R1224, V1224) - SUM(K1224, O1224, S1224, W1224))/24 * AG1224, ""),
   "")
)</f>
        <v/>
      </c>
      <c r="AF1224" s="985" t="str">
        <f t="shared" si="210"/>
        <v>M</v>
      </c>
      <c r="AG1224" s="1414">
        <v>1</v>
      </c>
      <c r="AH1224" s="1002" t="s">
        <v>640</v>
      </c>
      <c r="AI1224" s="1002" t="s">
        <v>640</v>
      </c>
      <c r="AJ1224" s="986" t="s">
        <v>640</v>
      </c>
      <c r="AK1224" s="986" t="s">
        <v>640</v>
      </c>
      <c r="AL1224" s="1415"/>
      <c r="AM1224" s="1323"/>
      <c r="AN1224" s="1323"/>
      <c r="AO1224" s="1323"/>
      <c r="AP1224" s="1323"/>
      <c r="AQ1224" s="1323"/>
      <c r="AR1224" s="987"/>
      <c r="AS1224" s="978" t="str">
        <f t="shared" si="211"/>
        <v>單</v>
      </c>
      <c r="AT1224" s="978" t="str">
        <f t="shared" si="212"/>
        <v>全</v>
      </c>
      <c r="AU1224" s="978" t="str">
        <f t="shared" si="213"/>
        <v/>
      </c>
      <c r="AV1224" s="978" t="str">
        <f t="shared" si="214"/>
        <v/>
      </c>
    </row>
    <row r="1225" spans="1:48">
      <c r="A1225" s="975">
        <f t="shared" si="208"/>
        <v>46173</v>
      </c>
      <c r="B1225" s="976" t="s">
        <v>243</v>
      </c>
      <c r="C1225" s="988" t="s">
        <v>16185</v>
      </c>
      <c r="D1225" s="1410"/>
      <c r="E1225" s="977" t="str">
        <f>IFERROR(VLOOKUP(C1225, [6]條件!$A:$L, 5, 0), "")</f>
        <v/>
      </c>
      <c r="F1225" s="978" t="str">
        <f>IFERROR(VLOOKUP(C1225, [6]條件!$A:$L, 6, 0), "")</f>
        <v/>
      </c>
      <c r="G1225" s="1411" t="str">
        <f>IFERROR(VLOOKUP(C1225, [6]條件!$A:$L, 7, 0), "")</f>
        <v/>
      </c>
      <c r="H1225" s="978" t="str">
        <f>IF(ISNA(VLOOKUP(C1225,[6]條件!$A$1:$K$932,11,0)),"",(VLOOKUP(C1225,[6]條件!$A$1:$K$932,11,0)))</f>
        <v/>
      </c>
      <c r="I1225" s="979" t="str">
        <f>IF(ISNA(VLOOKUP(C1225,[6]條件!$A$1:$L$932,12,0)),"",(VLOOKUP(C1225,[6]條件!$A$1:$L$932,12,0)))</f>
        <v/>
      </c>
      <c r="J1225" s="982"/>
      <c r="K1225" s="980"/>
      <c r="L1225" s="981" t="s">
        <v>632</v>
      </c>
      <c r="M1225" s="983"/>
      <c r="N1225" s="982"/>
      <c r="O1225" s="980"/>
      <c r="P1225" s="981" t="s">
        <v>632</v>
      </c>
      <c r="Q1225" s="983"/>
      <c r="R1225" s="982"/>
      <c r="S1225" s="980"/>
      <c r="T1225" s="981" t="s">
        <v>632</v>
      </c>
      <c r="U1225" s="983"/>
      <c r="V1225" s="982"/>
      <c r="W1225" s="980"/>
      <c r="X1225" s="981" t="s">
        <v>632</v>
      </c>
      <c r="Y1225" s="983"/>
      <c r="Z1225" s="1412" t="str">
        <f>IFERROR(VLOOKUP(C1225, [6]條件!$A:$L, 3, 0), "")</f>
        <v/>
      </c>
      <c r="AA1225" s="984" t="str">
        <f>IF(OR(L1225={"改紡","檢修","了機","清車","FINAL","停機","SAMPLE","TEST","絲開發"}), L1225, IFERROR(IF(C1225="", "", (SUM(J1225, N1225, R1225, V1225)/3 * AG1225) * IF(AND(AF1225="S", AS1225="雙"), 0.5, 1)), ""))</f>
        <v>停機</v>
      </c>
      <c r="AB1225" s="1413" t="str">
        <f t="shared" si="216"/>
        <v/>
      </c>
      <c r="AC1225" s="984" t="str">
        <f>IF(OR(L1225={"改紡","檢修","了機","清車","FINAL","停機","SAMPLE","TEST"}), "", IFERROR(IF(C1225="", "", AVERAGE(L1225:M1225, P1225:Q1225, T1225:U1225, X1225:Y1225)/100), ""))</f>
        <v/>
      </c>
      <c r="AD1225" s="984" t="str">
        <f t="shared" si="215"/>
        <v/>
      </c>
      <c r="AE1225" s="984" t="str">
        <f t="shared" ref="AE1225:AE1231" si="217">IF(OR(L1225="改紡", L1225="檢修", L1225="了機"), "",
IF(AND(C1225&lt;&gt;"", J1225&lt;&gt;""),
IFERROR((SUM(J1225, N1225, R1225, V1225) - SUM(K1225, O1225, S1225, W1225))/24 * AG1225, ""),
"")
)</f>
        <v/>
      </c>
      <c r="AF1225" s="985" t="str">
        <f t="shared" si="210"/>
        <v>M</v>
      </c>
      <c r="AG1225" s="1414">
        <v>1</v>
      </c>
      <c r="AH1225" s="1002" t="s">
        <v>640</v>
      </c>
      <c r="AI1225" s="1002" t="s">
        <v>640</v>
      </c>
      <c r="AJ1225" s="986" t="s">
        <v>640</v>
      </c>
      <c r="AK1225" s="986" t="s">
        <v>640</v>
      </c>
      <c r="AL1225" s="1415"/>
      <c r="AM1225" s="1323"/>
      <c r="AN1225" s="1323"/>
      <c r="AO1225" s="1323"/>
      <c r="AP1225" s="1323"/>
      <c r="AQ1225" s="1323"/>
      <c r="AR1225" s="987"/>
      <c r="AS1225" s="978" t="str">
        <f t="shared" si="211"/>
        <v>單</v>
      </c>
      <c r="AT1225" s="978" t="str">
        <f t="shared" si="212"/>
        <v>全</v>
      </c>
      <c r="AU1225" s="978" t="str">
        <f t="shared" si="213"/>
        <v/>
      </c>
      <c r="AV1225" s="978" t="str">
        <f t="shared" si="214"/>
        <v/>
      </c>
    </row>
    <row r="1226" spans="1:48">
      <c r="A1226" s="975">
        <f t="shared" si="208"/>
        <v>46173</v>
      </c>
      <c r="B1226" s="976" t="s">
        <v>244</v>
      </c>
      <c r="C1226" s="988" t="s">
        <v>16185</v>
      </c>
      <c r="D1226" s="1410"/>
      <c r="E1226" s="977" t="str">
        <f>IFERROR(VLOOKUP(C1226, [6]條件!$A:$L, 5, 0), "")</f>
        <v/>
      </c>
      <c r="F1226" s="978" t="str">
        <f>IFERROR(VLOOKUP(C1226, [6]條件!$A:$L, 6, 0), "")</f>
        <v/>
      </c>
      <c r="G1226" s="1411" t="str">
        <f>IFERROR(VLOOKUP(C1226, [6]條件!$A:$L, 7, 0), "")</f>
        <v/>
      </c>
      <c r="H1226" s="978" t="str">
        <f>IF(ISNA(VLOOKUP(C1226,[6]條件!$A$1:$K$932,11,0)),"",(VLOOKUP(C1226,[6]條件!$A$1:$K$932,11,0)))</f>
        <v/>
      </c>
      <c r="I1226" s="979" t="str">
        <f>IF(ISNA(VLOOKUP(C1226,[6]條件!$A$1:$L$932,12,0)),"",(VLOOKUP(C1226,[6]條件!$A$1:$L$932,12,0)))</f>
        <v/>
      </c>
      <c r="J1226" s="982"/>
      <c r="K1226" s="980"/>
      <c r="L1226" s="981" t="s">
        <v>632</v>
      </c>
      <c r="M1226" s="983"/>
      <c r="N1226" s="982"/>
      <c r="O1226" s="980"/>
      <c r="P1226" s="981" t="s">
        <v>632</v>
      </c>
      <c r="Q1226" s="983"/>
      <c r="R1226" s="982"/>
      <c r="S1226" s="980"/>
      <c r="T1226" s="981" t="s">
        <v>632</v>
      </c>
      <c r="U1226" s="983"/>
      <c r="V1226" s="982"/>
      <c r="W1226" s="980"/>
      <c r="X1226" s="981" t="s">
        <v>632</v>
      </c>
      <c r="Y1226" s="983"/>
      <c r="Z1226" s="1412" t="str">
        <f>IFERROR(VLOOKUP(C1226, [6]條件!$A:$L, 3, 0), "")</f>
        <v/>
      </c>
      <c r="AA1226" s="984" t="str">
        <f>IF(OR(L1226={"改紡","檢修","了機","清車","FINAL","停機","SAMPLE","TEST","絲開發"}), L1226, IFERROR(IF(C1226="", "", (SUM(J1226, N1226, R1226, V1226)/3 * AG1226) * IF(AND(AF1226="S", AS1226="雙"), 0.5, 1)), ""))</f>
        <v>停機</v>
      </c>
      <c r="AB1226" s="1413" t="str">
        <f t="shared" si="216"/>
        <v/>
      </c>
      <c r="AC1226" s="984" t="str">
        <f>IF(OR(L1226={"改紡","檢修","了機","清車","FINAL","停機","SAMPLE","TEST"}), "", IFERROR(IF(C1226="", "", AVERAGE(L1226:M1226, P1226:Q1226, T1226:U1226, X1226:Y1226)/100), ""))</f>
        <v/>
      </c>
      <c r="AD1226" s="984" t="str">
        <f t="shared" si="215"/>
        <v/>
      </c>
      <c r="AE1226" s="984" t="str">
        <f t="shared" si="217"/>
        <v/>
      </c>
      <c r="AF1226" s="985" t="str">
        <f t="shared" si="210"/>
        <v>M</v>
      </c>
      <c r="AG1226" s="1414">
        <v>1</v>
      </c>
      <c r="AH1226" s="1002" t="s">
        <v>640</v>
      </c>
      <c r="AI1226" s="1002" t="s">
        <v>640</v>
      </c>
      <c r="AJ1226" s="986" t="s">
        <v>640</v>
      </c>
      <c r="AK1226" s="986" t="s">
        <v>640</v>
      </c>
      <c r="AL1226" s="1415"/>
      <c r="AM1226" s="1323"/>
      <c r="AN1226" s="1323"/>
      <c r="AO1226" s="1323"/>
      <c r="AP1226" s="1323"/>
      <c r="AQ1226" s="1323"/>
      <c r="AR1226" s="987"/>
      <c r="AS1226" s="978" t="str">
        <f t="shared" si="211"/>
        <v>單</v>
      </c>
      <c r="AT1226" s="978" t="str">
        <f t="shared" si="212"/>
        <v>全</v>
      </c>
      <c r="AU1226" s="978" t="str">
        <f t="shared" si="213"/>
        <v/>
      </c>
      <c r="AV1226" s="978" t="str">
        <f t="shared" si="214"/>
        <v/>
      </c>
    </row>
    <row r="1227" spans="1:48">
      <c r="A1227" s="975">
        <f t="shared" si="208"/>
        <v>46173</v>
      </c>
      <c r="B1227" s="976" t="s">
        <v>245</v>
      </c>
      <c r="C1227" s="988" t="s">
        <v>16185</v>
      </c>
      <c r="D1227" s="1410"/>
      <c r="E1227" s="977" t="str">
        <f>IFERROR(VLOOKUP(C1227, [6]條件!$A:$L, 5, 0), "")</f>
        <v/>
      </c>
      <c r="F1227" s="978" t="str">
        <f>IFERROR(VLOOKUP(C1227, [6]條件!$A:$L, 6, 0), "")</f>
        <v/>
      </c>
      <c r="G1227" s="1411" t="str">
        <f>IFERROR(VLOOKUP(C1227, [6]條件!$A:$L, 7, 0), "")</f>
        <v/>
      </c>
      <c r="H1227" s="978" t="str">
        <f>IF(ISNA(VLOOKUP(C1227,[6]條件!$A$1:$K$932,11,0)),"",(VLOOKUP(C1227,[6]條件!$A$1:$K$932,11,0)))</f>
        <v/>
      </c>
      <c r="I1227" s="979" t="str">
        <f>IF(ISNA(VLOOKUP(C1227,[6]條件!$A$1:$L$932,12,0)),"",(VLOOKUP(C1227,[6]條件!$A$1:$L$932,12,0)))</f>
        <v/>
      </c>
      <c r="J1227" s="982"/>
      <c r="K1227" s="980"/>
      <c r="L1227" s="981" t="s">
        <v>632</v>
      </c>
      <c r="M1227" s="983"/>
      <c r="N1227" s="982"/>
      <c r="O1227" s="980"/>
      <c r="P1227" s="981" t="s">
        <v>632</v>
      </c>
      <c r="Q1227" s="983"/>
      <c r="R1227" s="982"/>
      <c r="S1227" s="980"/>
      <c r="T1227" s="981" t="s">
        <v>632</v>
      </c>
      <c r="U1227" s="983"/>
      <c r="V1227" s="982"/>
      <c r="W1227" s="980"/>
      <c r="X1227" s="981" t="s">
        <v>632</v>
      </c>
      <c r="Y1227" s="983"/>
      <c r="Z1227" s="1412" t="str">
        <f>IFERROR(VLOOKUP(C1227, [6]條件!$A:$L, 3, 0), "")</f>
        <v/>
      </c>
      <c r="AA1227" s="984" t="str">
        <f>IF(OR(L1227={"改紡","檢修","了機","清車","FINAL","停機","SAMPLE","TEST","絲開發"}), L1227, IFERROR(IF(C1227="", "", (SUM(J1227, N1227, R1227, V1227)/3 * AG1227) * IF(AND(AF1227="S", AS1227="雙"), 0.5, 1)), ""))</f>
        <v>停機</v>
      </c>
      <c r="AB1227" s="1413" t="str">
        <f t="shared" si="216"/>
        <v/>
      </c>
      <c r="AC1227" s="984" t="str">
        <f>IF(OR(L1227={"改紡","檢修","了機","清車","FINAL","停機","SAMPLE","TEST"}), "", IFERROR(IF(C1227="", "", AVERAGE(L1227:M1227, P1227:Q1227, T1227:U1227, X1227:Y1227)/100), ""))</f>
        <v/>
      </c>
      <c r="AD1227" s="984" t="str">
        <f t="shared" si="215"/>
        <v/>
      </c>
      <c r="AE1227" s="984" t="str">
        <f t="shared" si="217"/>
        <v/>
      </c>
      <c r="AF1227" s="985" t="str">
        <f t="shared" si="210"/>
        <v>M</v>
      </c>
      <c r="AG1227" s="1414">
        <v>1</v>
      </c>
      <c r="AH1227" s="1002" t="s">
        <v>640</v>
      </c>
      <c r="AI1227" s="1002" t="s">
        <v>640</v>
      </c>
      <c r="AJ1227" s="986" t="s">
        <v>640</v>
      </c>
      <c r="AK1227" s="986" t="s">
        <v>640</v>
      </c>
      <c r="AL1227" s="1415"/>
      <c r="AM1227" s="1323"/>
      <c r="AN1227" s="1323"/>
      <c r="AO1227" s="1323"/>
      <c r="AP1227" s="1323"/>
      <c r="AQ1227" s="1323"/>
      <c r="AR1227" s="987"/>
      <c r="AS1227" s="978" t="str">
        <f t="shared" si="211"/>
        <v>單</v>
      </c>
      <c r="AT1227" s="978" t="str">
        <f t="shared" si="212"/>
        <v>全</v>
      </c>
      <c r="AU1227" s="978" t="str">
        <f t="shared" si="213"/>
        <v/>
      </c>
      <c r="AV1227" s="978" t="str">
        <f t="shared" si="214"/>
        <v/>
      </c>
    </row>
    <row r="1228" spans="1:48">
      <c r="A1228" s="975">
        <f t="shared" si="208"/>
        <v>46173</v>
      </c>
      <c r="B1228" s="976" t="s">
        <v>246</v>
      </c>
      <c r="C1228" s="988" t="s">
        <v>16185</v>
      </c>
      <c r="D1228" s="1410"/>
      <c r="E1228" s="977" t="str">
        <f>IFERROR(VLOOKUP(C1228, [6]條件!$A:$L, 5, 0), "")</f>
        <v/>
      </c>
      <c r="F1228" s="978" t="str">
        <f>IFERROR(VLOOKUP(C1228, [6]條件!$A:$L, 6, 0), "")</f>
        <v/>
      </c>
      <c r="G1228" s="1411" t="str">
        <f>IFERROR(VLOOKUP(C1228, [6]條件!$A:$L, 7, 0), "")</f>
        <v/>
      </c>
      <c r="H1228" s="978" t="str">
        <f>IF(ISNA(VLOOKUP(C1228,[6]條件!$A$1:$K$932,11,0)),"",(VLOOKUP(C1228,[6]條件!$A$1:$K$932,11,0)))</f>
        <v/>
      </c>
      <c r="I1228" s="979" t="str">
        <f>IF(ISNA(VLOOKUP(C1228,[6]條件!$A$1:$L$932,12,0)),"",(VLOOKUP(C1228,[6]條件!$A$1:$L$932,12,0)))</f>
        <v/>
      </c>
      <c r="J1228" s="982"/>
      <c r="K1228" s="980"/>
      <c r="L1228" s="981" t="s">
        <v>632</v>
      </c>
      <c r="M1228" s="983"/>
      <c r="N1228" s="982"/>
      <c r="O1228" s="980"/>
      <c r="P1228" s="981" t="s">
        <v>632</v>
      </c>
      <c r="Q1228" s="983"/>
      <c r="R1228" s="982"/>
      <c r="S1228" s="980"/>
      <c r="T1228" s="981" t="s">
        <v>632</v>
      </c>
      <c r="U1228" s="983"/>
      <c r="V1228" s="982"/>
      <c r="W1228" s="980"/>
      <c r="X1228" s="981" t="s">
        <v>632</v>
      </c>
      <c r="Y1228" s="983"/>
      <c r="Z1228" s="1412" t="str">
        <f>IFERROR(VLOOKUP(C1228, [6]條件!$A:$L, 3, 0), "")</f>
        <v/>
      </c>
      <c r="AA1228" s="984" t="str">
        <f>IF(OR(L1228={"改紡","檢修","了機","清車","FINAL","停機","SAMPLE","TEST","絲開發"}), L1228, IFERROR(IF(C1228="", "", (SUM(J1228, N1228, R1228, V1228)/3 * AG1228) * IF(AND(AF1228="S", AS1228="雙"), 0.5, 1)), ""))</f>
        <v>停機</v>
      </c>
      <c r="AB1228" s="1413" t="str">
        <f t="shared" si="216"/>
        <v/>
      </c>
      <c r="AC1228" s="984" t="str">
        <f>IF(OR(L1228={"改紡","檢修","了機","清車","FINAL","停機","SAMPLE","TEST"}), "", IFERROR(IF(C1228="", "", AVERAGE(L1228:M1228, P1228:Q1228, T1228:U1228, X1228:Y1228)/100), ""))</f>
        <v/>
      </c>
      <c r="AD1228" s="984" t="str">
        <f t="shared" si="215"/>
        <v/>
      </c>
      <c r="AE1228" s="984" t="str">
        <f t="shared" si="217"/>
        <v/>
      </c>
      <c r="AF1228" s="985" t="str">
        <f t="shared" si="210"/>
        <v>M</v>
      </c>
      <c r="AG1228" s="1414">
        <v>1</v>
      </c>
      <c r="AH1228" s="1002" t="s">
        <v>640</v>
      </c>
      <c r="AI1228" s="1002" t="s">
        <v>640</v>
      </c>
      <c r="AJ1228" s="986" t="s">
        <v>640</v>
      </c>
      <c r="AK1228" s="986" t="s">
        <v>640</v>
      </c>
      <c r="AL1228" s="1415"/>
      <c r="AM1228" s="1323"/>
      <c r="AN1228" s="1323"/>
      <c r="AO1228" s="1323"/>
      <c r="AP1228" s="1323"/>
      <c r="AQ1228" s="1323"/>
      <c r="AR1228" s="987"/>
      <c r="AS1228" s="978" t="str">
        <f t="shared" si="211"/>
        <v>單</v>
      </c>
      <c r="AT1228" s="978" t="str">
        <f t="shared" si="212"/>
        <v>全</v>
      </c>
      <c r="AU1228" s="978" t="str">
        <f t="shared" si="213"/>
        <v/>
      </c>
      <c r="AV1228" s="978" t="str">
        <f t="shared" si="214"/>
        <v/>
      </c>
    </row>
    <row r="1229" spans="1:48">
      <c r="A1229" s="975">
        <f t="shared" si="208"/>
        <v>46173</v>
      </c>
      <c r="B1229" s="976" t="s">
        <v>247</v>
      </c>
      <c r="C1229" s="988" t="s">
        <v>16185</v>
      </c>
      <c r="D1229" s="1410"/>
      <c r="E1229" s="977" t="str">
        <f>IFERROR(VLOOKUP(C1229, [6]條件!$A:$L, 5, 0), "")</f>
        <v/>
      </c>
      <c r="F1229" s="978" t="str">
        <f>IFERROR(VLOOKUP(C1229, [6]條件!$A:$L, 6, 0), "")</f>
        <v/>
      </c>
      <c r="G1229" s="1411" t="str">
        <f>IFERROR(VLOOKUP(C1229, [6]條件!$A:$L, 7, 0), "")</f>
        <v/>
      </c>
      <c r="H1229" s="978" t="str">
        <f>IF(ISNA(VLOOKUP(C1229,[6]條件!$A$1:$K$932,11,0)),"",(VLOOKUP(C1229,[6]條件!$A$1:$K$932,11,0)))</f>
        <v/>
      </c>
      <c r="I1229" s="979" t="str">
        <f>IF(ISNA(VLOOKUP(C1229,[6]條件!$A$1:$L$932,12,0)),"",(VLOOKUP(C1229,[6]條件!$A$1:$L$932,12,0)))</f>
        <v/>
      </c>
      <c r="J1229" s="982"/>
      <c r="K1229" s="980"/>
      <c r="L1229" s="981" t="s">
        <v>632</v>
      </c>
      <c r="M1229" s="983"/>
      <c r="N1229" s="982"/>
      <c r="O1229" s="980"/>
      <c r="P1229" s="981" t="s">
        <v>632</v>
      </c>
      <c r="Q1229" s="983"/>
      <c r="R1229" s="982"/>
      <c r="S1229" s="980"/>
      <c r="T1229" s="981" t="s">
        <v>632</v>
      </c>
      <c r="U1229" s="983"/>
      <c r="V1229" s="982"/>
      <c r="W1229" s="980"/>
      <c r="X1229" s="981" t="s">
        <v>632</v>
      </c>
      <c r="Y1229" s="983"/>
      <c r="Z1229" s="1412" t="str">
        <f>IFERROR(VLOOKUP(C1229, [6]條件!$A:$L, 3, 0), "")</f>
        <v/>
      </c>
      <c r="AA1229" s="984" t="str">
        <f>IF(OR(L1229={"改紡","檢修","了機","清車","FINAL","停機","SAMPLE","TEST","絲開發"}), L1229, IFERROR(IF(C1229="", "", (SUM(J1229, N1229, R1229, V1229)/3 * AG1229) * IF(AND(AF1229="S", AS1229="雙"), 0.5, 1)), ""))</f>
        <v>停機</v>
      </c>
      <c r="AB1229" s="1413" t="str">
        <f t="shared" si="216"/>
        <v/>
      </c>
      <c r="AC1229" s="984" t="str">
        <f>IF(OR(L1229={"改紡","檢修","了機","清車","FINAL","停機","SAMPLE","TEST"}), "", IFERROR(IF(C1229="", "", AVERAGE(L1229:M1229, P1229:Q1229, T1229:U1229, X1229:Y1229)/100), ""))</f>
        <v/>
      </c>
      <c r="AD1229" s="984" t="str">
        <f t="shared" si="215"/>
        <v/>
      </c>
      <c r="AE1229" s="984" t="str">
        <f t="shared" si="217"/>
        <v/>
      </c>
      <c r="AF1229" s="985" t="str">
        <f t="shared" si="210"/>
        <v>M</v>
      </c>
      <c r="AG1229" s="1414">
        <v>1</v>
      </c>
      <c r="AH1229" s="1002" t="s">
        <v>640</v>
      </c>
      <c r="AI1229" s="1002" t="s">
        <v>640</v>
      </c>
      <c r="AJ1229" s="986" t="s">
        <v>640</v>
      </c>
      <c r="AK1229" s="986" t="s">
        <v>640</v>
      </c>
      <c r="AL1229" s="1415"/>
      <c r="AM1229" s="1323"/>
      <c r="AN1229" s="1323"/>
      <c r="AO1229" s="1323"/>
      <c r="AP1229" s="1323"/>
      <c r="AQ1229" s="1323"/>
      <c r="AR1229" s="987"/>
      <c r="AS1229" s="978" t="str">
        <f t="shared" si="211"/>
        <v>單</v>
      </c>
      <c r="AT1229" s="978" t="str">
        <f t="shared" si="212"/>
        <v>全</v>
      </c>
      <c r="AU1229" s="978" t="str">
        <f t="shared" si="213"/>
        <v/>
      </c>
      <c r="AV1229" s="978" t="str">
        <f t="shared" si="214"/>
        <v/>
      </c>
    </row>
    <row r="1230" spans="1:48">
      <c r="A1230" s="975">
        <f t="shared" si="208"/>
        <v>46173</v>
      </c>
      <c r="B1230" s="976" t="s">
        <v>248</v>
      </c>
      <c r="C1230" s="988" t="s">
        <v>16185</v>
      </c>
      <c r="D1230" s="1410"/>
      <c r="E1230" s="977" t="str">
        <f>IFERROR(VLOOKUP(C1230, [6]條件!$A:$L, 5, 0), "")</f>
        <v/>
      </c>
      <c r="F1230" s="978" t="str">
        <f>IFERROR(VLOOKUP(C1230, [6]條件!$A:$L, 6, 0), "")</f>
        <v/>
      </c>
      <c r="G1230" s="1411" t="str">
        <f>IFERROR(VLOOKUP(C1230, [6]條件!$A:$L, 7, 0), "")</f>
        <v/>
      </c>
      <c r="H1230" s="978" t="str">
        <f>IF(ISNA(VLOOKUP(C1230,[6]條件!$A$1:$K$932,11,0)),"",(VLOOKUP(C1230,[6]條件!$A$1:$K$932,11,0)))</f>
        <v/>
      </c>
      <c r="I1230" s="979" t="str">
        <f>IF(ISNA(VLOOKUP(C1230,[6]條件!$A$1:$L$932,12,0)),"",(VLOOKUP(C1230,[6]條件!$A$1:$L$932,12,0)))</f>
        <v/>
      </c>
      <c r="J1230" s="982"/>
      <c r="K1230" s="980"/>
      <c r="L1230" s="981" t="s">
        <v>632</v>
      </c>
      <c r="M1230" s="983"/>
      <c r="N1230" s="982"/>
      <c r="O1230" s="980"/>
      <c r="P1230" s="981" t="s">
        <v>632</v>
      </c>
      <c r="Q1230" s="983"/>
      <c r="R1230" s="982"/>
      <c r="S1230" s="980"/>
      <c r="T1230" s="981" t="s">
        <v>632</v>
      </c>
      <c r="U1230" s="983"/>
      <c r="V1230" s="982"/>
      <c r="W1230" s="980"/>
      <c r="X1230" s="981" t="s">
        <v>632</v>
      </c>
      <c r="Y1230" s="983"/>
      <c r="Z1230" s="1412" t="str">
        <f>IFERROR(VLOOKUP(C1230, [6]條件!$A:$L, 3, 0), "")</f>
        <v/>
      </c>
      <c r="AA1230" s="984" t="str">
        <f>IF(OR(L1230={"改紡","檢修","了機","清車","FINAL","停機","SAMPLE","TEST","絲開發"}), L1230, IFERROR(IF(C1230="", "", (SUM(J1230, N1230, R1230, V1230)/3 * AG1230) * IF(AND(AF1230="S", AS1230="雙"), 0.5, 1)), ""))</f>
        <v>停機</v>
      </c>
      <c r="AB1230" s="1413" t="str">
        <f t="shared" si="216"/>
        <v/>
      </c>
      <c r="AC1230" s="984" t="str">
        <f>IF(OR(L1230={"改紡","檢修","了機","清車","FINAL","停機","SAMPLE","TEST"}), "", IFERROR(IF(C1230="", "", AVERAGE(L1230:M1230, P1230:Q1230, T1230:U1230, X1230:Y1230)/100), ""))</f>
        <v/>
      </c>
      <c r="AD1230" s="984" t="str">
        <f t="shared" si="215"/>
        <v/>
      </c>
      <c r="AE1230" s="984" t="str">
        <f t="shared" si="217"/>
        <v/>
      </c>
      <c r="AF1230" s="985" t="str">
        <f t="shared" si="210"/>
        <v>M</v>
      </c>
      <c r="AG1230" s="1414">
        <v>1</v>
      </c>
      <c r="AH1230" s="1002" t="s">
        <v>640</v>
      </c>
      <c r="AI1230" s="1002" t="s">
        <v>640</v>
      </c>
      <c r="AJ1230" s="986" t="s">
        <v>640</v>
      </c>
      <c r="AK1230" s="986" t="s">
        <v>640</v>
      </c>
      <c r="AL1230" s="1415"/>
      <c r="AM1230" s="1323"/>
      <c r="AN1230" s="1323"/>
      <c r="AO1230" s="1323"/>
      <c r="AP1230" s="1323"/>
      <c r="AQ1230" s="1323"/>
      <c r="AR1230" s="987"/>
      <c r="AS1230" s="978" t="str">
        <f t="shared" si="211"/>
        <v>單</v>
      </c>
      <c r="AT1230" s="978" t="str">
        <f t="shared" si="212"/>
        <v>全</v>
      </c>
      <c r="AU1230" s="978" t="str">
        <f t="shared" si="213"/>
        <v/>
      </c>
      <c r="AV1230" s="978" t="str">
        <f t="shared" si="214"/>
        <v/>
      </c>
    </row>
    <row r="1231" spans="1:48" ht="17.25" thickBot="1">
      <c r="A1231" s="989">
        <f t="shared" si="208"/>
        <v>46173</v>
      </c>
      <c r="B1231" s="990" t="s">
        <v>249</v>
      </c>
      <c r="C1231" s="991" t="s">
        <v>16185</v>
      </c>
      <c r="D1231" s="1425"/>
      <c r="E1231" s="1169" t="str">
        <f>IFERROR(VLOOKUP(C1231, [6]條件!$A:$L, 5, 0), "")</f>
        <v/>
      </c>
      <c r="F1231" s="992" t="str">
        <f>IFERROR(VLOOKUP(C1231, [6]條件!$A:$L, 6, 0), "")</f>
        <v/>
      </c>
      <c r="G1231" s="1426" t="str">
        <f>IFERROR(VLOOKUP(C1231, [6]條件!$A:$L, 7, 0), "")</f>
        <v/>
      </c>
      <c r="H1231" s="992" t="str">
        <f>IF(ISNA(VLOOKUP(C1231,[6]條件!$A$1:$K$932,11,0)),"",(VLOOKUP(C1231,[6]條件!$A$1:$K$932,11,0)))</f>
        <v/>
      </c>
      <c r="I1231" s="1170" t="str">
        <f>IF(ISNA(VLOOKUP(C1231,[6]條件!$A$1:$L$932,12,0)),"",(VLOOKUP(C1231,[6]條件!$A$1:$L$932,12,0)))</f>
        <v/>
      </c>
      <c r="J1231" s="995"/>
      <c r="K1231" s="993"/>
      <c r="L1231" s="994" t="s">
        <v>632</v>
      </c>
      <c r="M1231" s="996"/>
      <c r="N1231" s="995"/>
      <c r="O1231" s="993"/>
      <c r="P1231" s="994" t="s">
        <v>632</v>
      </c>
      <c r="Q1231" s="996"/>
      <c r="R1231" s="995"/>
      <c r="S1231" s="993"/>
      <c r="T1231" s="994" t="s">
        <v>632</v>
      </c>
      <c r="U1231" s="996"/>
      <c r="V1231" s="995"/>
      <c r="W1231" s="993"/>
      <c r="X1231" s="994" t="s">
        <v>632</v>
      </c>
      <c r="Y1231" s="996"/>
      <c r="Z1231" s="1427" t="str">
        <f>IFERROR(VLOOKUP(C1231, [6]條件!$A:$L, 3, 0), "")</f>
        <v/>
      </c>
      <c r="AA1231" s="997" t="str">
        <f>IF(OR(L1231={"改紡","檢修","了機","清車","FINAL","停機","SAMPLE","TEST","絲開發"}), L1231, IFERROR(IF(C1231="", "", (SUM(J1231, N1231, R1231, V1231)/3 * AG1231) * IF(AND(AF1231="S", AS1231="雙"), 0.5, 1)), ""))</f>
        <v>停機</v>
      </c>
      <c r="AB1231" s="1428" t="str">
        <f t="shared" si="216"/>
        <v/>
      </c>
      <c r="AC1231" s="997" t="str">
        <f>IF(OR(L1231={"改紡","檢修","了機","清車","FINAL","停機","SAMPLE","TEST"}), "", IFERROR(IF(C1231="", "", AVERAGE(L1231:M1231, P1231:Q1231, T1231:U1231, X1231:Y1231)/100), ""))</f>
        <v/>
      </c>
      <c r="AD1231" s="997" t="str">
        <f t="shared" si="215"/>
        <v/>
      </c>
      <c r="AE1231" s="997" t="str">
        <f t="shared" si="217"/>
        <v/>
      </c>
      <c r="AF1231" s="998" t="str">
        <f t="shared" si="210"/>
        <v>M</v>
      </c>
      <c r="AG1231" s="1429">
        <v>1</v>
      </c>
      <c r="AH1231" s="1171" t="s">
        <v>640</v>
      </c>
      <c r="AI1231" s="1171" t="s">
        <v>640</v>
      </c>
      <c r="AJ1231" s="999" t="s">
        <v>640</v>
      </c>
      <c r="AK1231" s="999" t="s">
        <v>640</v>
      </c>
      <c r="AL1231" s="1431"/>
      <c r="AM1231" s="1325"/>
      <c r="AN1231" s="1325"/>
      <c r="AO1231" s="1325"/>
      <c r="AP1231" s="1325"/>
      <c r="AQ1231" s="1325"/>
      <c r="AR1231" s="1000"/>
      <c r="AS1231" s="992" t="str">
        <f t="shared" si="211"/>
        <v>單</v>
      </c>
      <c r="AT1231" s="992" t="str">
        <f t="shared" si="212"/>
        <v>全</v>
      </c>
      <c r="AU1231" s="992" t="str">
        <f t="shared" si="213"/>
        <v/>
      </c>
      <c r="AV1231" s="992" t="str">
        <f t="shared" si="214"/>
        <v/>
      </c>
    </row>
  </sheetData>
  <phoneticPr fontId="12" type="noConversion"/>
  <conditionalFormatting sqref="F1:F1048576">
    <cfRule type="containsText" dxfId="560" priority="14" operator="containsText" text="×2">
      <formula>NOT(ISERROR(SEARCH("×2",F1)))</formula>
    </cfRule>
  </conditionalFormatting>
  <conditionalFormatting sqref="L1:L10 M2:M10">
    <cfRule type="containsText" dxfId="559" priority="561" operator="containsText" text="了機">
      <formula>NOT(ISERROR(SEARCH("了機",L1)))</formula>
    </cfRule>
  </conditionalFormatting>
  <conditionalFormatting sqref="L434:L435 M434:M443">
    <cfRule type="containsText" dxfId="558" priority="558" operator="containsText" text="清車">
      <formula>NOT(ISERROR(SEARCH("清車",L434)))</formula>
    </cfRule>
    <cfRule type="containsText" dxfId="557" priority="559" operator="containsText" text="改紡">
      <formula>NOT(ISERROR(SEARCH("改紡",L434)))</formula>
    </cfRule>
    <cfRule type="containsText" dxfId="556" priority="560" operator="containsText" text="了機">
      <formula>NOT(ISERROR(SEARCH("了機",L434)))</formula>
    </cfRule>
  </conditionalFormatting>
  <conditionalFormatting sqref="L435:L443">
    <cfRule type="containsText" dxfId="555" priority="555" operator="containsText" text="清車">
      <formula>NOT(ISERROR(SEARCH("清車",L435)))</formula>
    </cfRule>
    <cfRule type="containsText" dxfId="554" priority="556" operator="containsText" text="改紡">
      <formula>NOT(ISERROR(SEARCH("改紡",L435)))</formula>
    </cfRule>
    <cfRule type="containsText" dxfId="553" priority="557" operator="containsText" text="了機">
      <formula>NOT(ISERROR(SEARCH("了機",L435)))</formula>
    </cfRule>
  </conditionalFormatting>
  <conditionalFormatting sqref="L474:L475 M474:M483">
    <cfRule type="containsText" dxfId="552" priority="516" operator="containsText" text="清車">
      <formula>NOT(ISERROR(SEARCH("清車",L474)))</formula>
    </cfRule>
    <cfRule type="containsText" dxfId="551" priority="517" operator="containsText" text="改紡">
      <formula>NOT(ISERROR(SEARCH("改紡",L474)))</formula>
    </cfRule>
    <cfRule type="containsText" dxfId="550" priority="518" operator="containsText" text="了機">
      <formula>NOT(ISERROR(SEARCH("了機",L474)))</formula>
    </cfRule>
  </conditionalFormatting>
  <conditionalFormatting sqref="L475:L483">
    <cfRule type="containsText" dxfId="549" priority="513" operator="containsText" text="清車">
      <formula>NOT(ISERROR(SEARCH("清車",L475)))</formula>
    </cfRule>
    <cfRule type="containsText" dxfId="548" priority="514" operator="containsText" text="改紡">
      <formula>NOT(ISERROR(SEARCH("改紡",L475)))</formula>
    </cfRule>
    <cfRule type="containsText" dxfId="547" priority="515" operator="containsText" text="了機">
      <formula>NOT(ISERROR(SEARCH("了機",L475)))</formula>
    </cfRule>
  </conditionalFormatting>
  <conditionalFormatting sqref="L514:L515 M514:M523">
    <cfRule type="containsText" dxfId="546" priority="477" operator="containsText" text="清車">
      <formula>NOT(ISERROR(SEARCH("清車",L514)))</formula>
    </cfRule>
    <cfRule type="containsText" dxfId="545" priority="478" operator="containsText" text="改紡">
      <formula>NOT(ISERROR(SEARCH("改紡",L514)))</formula>
    </cfRule>
    <cfRule type="containsText" dxfId="544" priority="479" operator="containsText" text="了機">
      <formula>NOT(ISERROR(SEARCH("了機",L514)))</formula>
    </cfRule>
  </conditionalFormatting>
  <conditionalFormatting sqref="L515:L523">
    <cfRule type="containsText" dxfId="543" priority="474" operator="containsText" text="清車">
      <formula>NOT(ISERROR(SEARCH("清車",L515)))</formula>
    </cfRule>
    <cfRule type="containsText" dxfId="542" priority="475" operator="containsText" text="改紡">
      <formula>NOT(ISERROR(SEARCH("改紡",L515)))</formula>
    </cfRule>
    <cfRule type="containsText" dxfId="541" priority="476" operator="containsText" text="了機">
      <formula>NOT(ISERROR(SEARCH("了機",L515)))</formula>
    </cfRule>
  </conditionalFormatting>
  <conditionalFormatting sqref="L554:L555 M554:M563">
    <cfRule type="containsText" dxfId="540" priority="441" operator="containsText" text="清車">
      <formula>NOT(ISERROR(SEARCH("清車",L554)))</formula>
    </cfRule>
    <cfRule type="containsText" dxfId="539" priority="442" operator="containsText" text="改紡">
      <formula>NOT(ISERROR(SEARCH("改紡",L554)))</formula>
    </cfRule>
    <cfRule type="containsText" dxfId="538" priority="443" operator="containsText" text="了機">
      <formula>NOT(ISERROR(SEARCH("了機",L554)))</formula>
    </cfRule>
  </conditionalFormatting>
  <conditionalFormatting sqref="L555:L563">
    <cfRule type="containsText" dxfId="537" priority="438" operator="containsText" text="清車">
      <formula>NOT(ISERROR(SEARCH("清車",L555)))</formula>
    </cfRule>
    <cfRule type="containsText" dxfId="536" priority="439" operator="containsText" text="改紡">
      <formula>NOT(ISERROR(SEARCH("改紡",L555)))</formula>
    </cfRule>
    <cfRule type="containsText" dxfId="535" priority="440" operator="containsText" text="了機">
      <formula>NOT(ISERROR(SEARCH("了機",L555)))</formula>
    </cfRule>
  </conditionalFormatting>
  <conditionalFormatting sqref="L593:L594 M593:M602">
    <cfRule type="containsText" dxfId="534" priority="408" operator="containsText" text="清車">
      <formula>NOT(ISERROR(SEARCH("清車",L593)))</formula>
    </cfRule>
    <cfRule type="containsText" dxfId="533" priority="409" operator="containsText" text="改紡">
      <formula>NOT(ISERROR(SEARCH("改紡",L593)))</formula>
    </cfRule>
    <cfRule type="containsText" dxfId="532" priority="410" operator="containsText" text="了機">
      <formula>NOT(ISERROR(SEARCH("了機",L593)))</formula>
    </cfRule>
  </conditionalFormatting>
  <conditionalFormatting sqref="L594:L602">
    <cfRule type="containsText" dxfId="531" priority="405" operator="containsText" text="清車">
      <formula>NOT(ISERROR(SEARCH("清車",L594)))</formula>
    </cfRule>
    <cfRule type="containsText" dxfId="530" priority="406" operator="containsText" text="改紡">
      <formula>NOT(ISERROR(SEARCH("改紡",L594)))</formula>
    </cfRule>
    <cfRule type="containsText" dxfId="529" priority="407" operator="containsText" text="了機">
      <formula>NOT(ISERROR(SEARCH("了機",L594)))</formula>
    </cfRule>
  </conditionalFormatting>
  <conditionalFormatting sqref="L632:L633 M632:M641">
    <cfRule type="containsText" dxfId="528" priority="372" operator="containsText" text="清車">
      <formula>NOT(ISERROR(SEARCH("清車",L632)))</formula>
    </cfRule>
    <cfRule type="containsText" dxfId="527" priority="373" operator="containsText" text="改紡">
      <formula>NOT(ISERROR(SEARCH("改紡",L632)))</formula>
    </cfRule>
    <cfRule type="containsText" dxfId="526" priority="374" operator="containsText" text="了機">
      <formula>NOT(ISERROR(SEARCH("了機",L632)))</formula>
    </cfRule>
  </conditionalFormatting>
  <conditionalFormatting sqref="L633:L641">
    <cfRule type="containsText" dxfId="525" priority="369" operator="containsText" text="清車">
      <formula>NOT(ISERROR(SEARCH("清車",L633)))</formula>
    </cfRule>
    <cfRule type="containsText" dxfId="524" priority="370" operator="containsText" text="改紡">
      <formula>NOT(ISERROR(SEARCH("改紡",L633)))</formula>
    </cfRule>
    <cfRule type="containsText" dxfId="523" priority="371" operator="containsText" text="了機">
      <formula>NOT(ISERROR(SEARCH("了機",L633)))</formula>
    </cfRule>
  </conditionalFormatting>
  <conditionalFormatting sqref="L671:L672 M671:M680">
    <cfRule type="containsText" dxfId="522" priority="336" operator="containsText" text="清車">
      <formula>NOT(ISERROR(SEARCH("清車",L671)))</formula>
    </cfRule>
    <cfRule type="containsText" dxfId="521" priority="337" operator="containsText" text="改紡">
      <formula>NOT(ISERROR(SEARCH("改紡",L671)))</formula>
    </cfRule>
    <cfRule type="containsText" dxfId="520" priority="338" operator="containsText" text="了機">
      <formula>NOT(ISERROR(SEARCH("了機",L671)))</formula>
    </cfRule>
  </conditionalFormatting>
  <conditionalFormatting sqref="L672:L680">
    <cfRule type="containsText" dxfId="519" priority="333" operator="containsText" text="清車">
      <formula>NOT(ISERROR(SEARCH("清車",L672)))</formula>
    </cfRule>
    <cfRule type="containsText" dxfId="518" priority="334" operator="containsText" text="改紡">
      <formula>NOT(ISERROR(SEARCH("改紡",L672)))</formula>
    </cfRule>
    <cfRule type="containsText" dxfId="517" priority="335" operator="containsText" text="了機">
      <formula>NOT(ISERROR(SEARCH("了機",L672)))</formula>
    </cfRule>
  </conditionalFormatting>
  <conditionalFormatting sqref="L710:L711 M710:M719">
    <cfRule type="containsText" dxfId="516" priority="303" operator="containsText" text="清車">
      <formula>NOT(ISERROR(SEARCH("清車",L710)))</formula>
    </cfRule>
    <cfRule type="containsText" dxfId="515" priority="304" operator="containsText" text="改紡">
      <formula>NOT(ISERROR(SEARCH("改紡",L710)))</formula>
    </cfRule>
    <cfRule type="containsText" dxfId="514" priority="305" operator="containsText" text="了機">
      <formula>NOT(ISERROR(SEARCH("了機",L710)))</formula>
    </cfRule>
  </conditionalFormatting>
  <conditionalFormatting sqref="L711:L719">
    <cfRule type="containsText" dxfId="513" priority="300" operator="containsText" text="清車">
      <formula>NOT(ISERROR(SEARCH("清車",L711)))</formula>
    </cfRule>
    <cfRule type="containsText" dxfId="512" priority="301" operator="containsText" text="改紡">
      <formula>NOT(ISERROR(SEARCH("改紡",L711)))</formula>
    </cfRule>
    <cfRule type="containsText" dxfId="511" priority="302" operator="containsText" text="了機">
      <formula>NOT(ISERROR(SEARCH("了機",L711)))</formula>
    </cfRule>
  </conditionalFormatting>
  <conditionalFormatting sqref="L749:L750 M749:M758">
    <cfRule type="containsText" dxfId="510" priority="276" operator="containsText" text="清車">
      <formula>NOT(ISERROR(SEARCH("清車",L749)))</formula>
    </cfRule>
    <cfRule type="containsText" dxfId="509" priority="277" operator="containsText" text="改紡">
      <formula>NOT(ISERROR(SEARCH("改紡",L749)))</formula>
    </cfRule>
    <cfRule type="containsText" dxfId="508" priority="278" operator="containsText" text="了機">
      <formula>NOT(ISERROR(SEARCH("了機",L749)))</formula>
    </cfRule>
  </conditionalFormatting>
  <conditionalFormatting sqref="L750:L758">
    <cfRule type="containsText" dxfId="507" priority="273" operator="containsText" text="清車">
      <formula>NOT(ISERROR(SEARCH("清車",L750)))</formula>
    </cfRule>
    <cfRule type="containsText" dxfId="506" priority="274" operator="containsText" text="改紡">
      <formula>NOT(ISERROR(SEARCH("改紡",L750)))</formula>
    </cfRule>
    <cfRule type="containsText" dxfId="505" priority="275" operator="containsText" text="了機">
      <formula>NOT(ISERROR(SEARCH("了機",L750)))</formula>
    </cfRule>
  </conditionalFormatting>
  <conditionalFormatting sqref="L788:L789 M788:M797">
    <cfRule type="containsText" dxfId="504" priority="249" operator="containsText" text="清車">
      <formula>NOT(ISERROR(SEARCH("清車",L788)))</formula>
    </cfRule>
    <cfRule type="containsText" dxfId="503" priority="250" operator="containsText" text="改紡">
      <formula>NOT(ISERROR(SEARCH("改紡",L788)))</formula>
    </cfRule>
    <cfRule type="containsText" dxfId="502" priority="251" operator="containsText" text="了機">
      <formula>NOT(ISERROR(SEARCH("了機",L788)))</formula>
    </cfRule>
  </conditionalFormatting>
  <conditionalFormatting sqref="L789:L797">
    <cfRule type="containsText" dxfId="501" priority="246" operator="containsText" text="清車">
      <formula>NOT(ISERROR(SEARCH("清車",L789)))</formula>
    </cfRule>
    <cfRule type="containsText" dxfId="500" priority="247" operator="containsText" text="改紡">
      <formula>NOT(ISERROR(SEARCH("改紡",L789)))</formula>
    </cfRule>
    <cfRule type="containsText" dxfId="499" priority="248" operator="containsText" text="了機">
      <formula>NOT(ISERROR(SEARCH("了機",L789)))</formula>
    </cfRule>
  </conditionalFormatting>
  <conditionalFormatting sqref="L827:L828 M827:M836">
    <cfRule type="containsText" dxfId="498" priority="228" operator="containsText" text="清車">
      <formula>NOT(ISERROR(SEARCH("清車",L827)))</formula>
    </cfRule>
    <cfRule type="containsText" dxfId="497" priority="229" operator="containsText" text="改紡">
      <formula>NOT(ISERROR(SEARCH("改紡",L827)))</formula>
    </cfRule>
    <cfRule type="containsText" dxfId="496" priority="230" operator="containsText" text="了機">
      <formula>NOT(ISERROR(SEARCH("了機",L827)))</formula>
    </cfRule>
  </conditionalFormatting>
  <conditionalFormatting sqref="L828:L836">
    <cfRule type="containsText" dxfId="495" priority="225" operator="containsText" text="清車">
      <formula>NOT(ISERROR(SEARCH("清車",L828)))</formula>
    </cfRule>
    <cfRule type="containsText" dxfId="494" priority="226" operator="containsText" text="改紡">
      <formula>NOT(ISERROR(SEARCH("改紡",L828)))</formula>
    </cfRule>
    <cfRule type="containsText" dxfId="493" priority="227" operator="containsText" text="了機">
      <formula>NOT(ISERROR(SEARCH("了機",L828)))</formula>
    </cfRule>
  </conditionalFormatting>
  <conditionalFormatting sqref="L866:L867 M866:M875">
    <cfRule type="containsText" dxfId="492" priority="186" operator="containsText" text="清車">
      <formula>NOT(ISERROR(SEARCH("清車",L866)))</formula>
    </cfRule>
    <cfRule type="containsText" dxfId="491" priority="187" operator="containsText" text="改紡">
      <formula>NOT(ISERROR(SEARCH("改紡",L866)))</formula>
    </cfRule>
    <cfRule type="containsText" dxfId="490" priority="188" operator="containsText" text="了機">
      <formula>NOT(ISERROR(SEARCH("了機",L866)))</formula>
    </cfRule>
  </conditionalFormatting>
  <conditionalFormatting sqref="L867:L875">
    <cfRule type="containsText" dxfId="489" priority="183" operator="containsText" text="清車">
      <formula>NOT(ISERROR(SEARCH("清車",L867)))</formula>
    </cfRule>
    <cfRule type="containsText" dxfId="488" priority="184" operator="containsText" text="改紡">
      <formula>NOT(ISERROR(SEARCH("改紡",L867)))</formula>
    </cfRule>
    <cfRule type="containsText" dxfId="487" priority="185" operator="containsText" text="了機">
      <formula>NOT(ISERROR(SEARCH("了機",L867)))</formula>
    </cfRule>
  </conditionalFormatting>
  <conditionalFormatting sqref="L905:L906 M905:M914">
    <cfRule type="containsText" dxfId="486" priority="132" operator="containsText" text="清車">
      <formula>NOT(ISERROR(SEARCH("清車",L905)))</formula>
    </cfRule>
    <cfRule type="containsText" dxfId="485" priority="133" operator="containsText" text="改紡">
      <formula>NOT(ISERROR(SEARCH("改紡",L905)))</formula>
    </cfRule>
    <cfRule type="containsText" dxfId="484" priority="134" operator="containsText" text="了機">
      <formula>NOT(ISERROR(SEARCH("了機",L905)))</formula>
    </cfRule>
  </conditionalFormatting>
  <conditionalFormatting sqref="L906:L914">
    <cfRule type="containsText" dxfId="483" priority="129" operator="containsText" text="清車">
      <formula>NOT(ISERROR(SEARCH("清車",L906)))</formula>
    </cfRule>
    <cfRule type="containsText" dxfId="482" priority="130" operator="containsText" text="改紡">
      <formula>NOT(ISERROR(SEARCH("改紡",L906)))</formula>
    </cfRule>
    <cfRule type="containsText" dxfId="481" priority="131" operator="containsText" text="了機">
      <formula>NOT(ISERROR(SEARCH("了機",L906)))</formula>
    </cfRule>
  </conditionalFormatting>
  <conditionalFormatting sqref="L943">
    <cfRule type="containsText" dxfId="480" priority="60" operator="containsText" text="清車">
      <formula>NOT(ISERROR(SEARCH("清車",L943)))</formula>
    </cfRule>
    <cfRule type="containsText" dxfId="479" priority="61" operator="containsText" text="改紡">
      <formula>NOT(ISERROR(SEARCH("改紡",L943)))</formula>
    </cfRule>
    <cfRule type="containsText" dxfId="478" priority="62" operator="containsText" text="了機">
      <formula>NOT(ISERROR(SEARCH("了機",L943)))</formula>
    </cfRule>
  </conditionalFormatting>
  <conditionalFormatting sqref="L944:L945">
    <cfRule type="containsText" dxfId="477" priority="96" operator="containsText" text="清車">
      <formula>NOT(ISERROR(SEARCH("清車",L944)))</formula>
    </cfRule>
    <cfRule type="containsText" dxfId="476" priority="97" operator="containsText" text="改紡">
      <formula>NOT(ISERROR(SEARCH("改紡",L944)))</formula>
    </cfRule>
    <cfRule type="containsText" dxfId="475" priority="98" operator="containsText" text="了機">
      <formula>NOT(ISERROR(SEARCH("了機",L944)))</formula>
    </cfRule>
  </conditionalFormatting>
  <conditionalFormatting sqref="L945:L953">
    <cfRule type="containsText" dxfId="474" priority="93" operator="containsText" text="清車">
      <formula>NOT(ISERROR(SEARCH("清車",L945)))</formula>
    </cfRule>
    <cfRule type="containsText" dxfId="473" priority="94" operator="containsText" text="改紡">
      <formula>NOT(ISERROR(SEARCH("改紡",L945)))</formula>
    </cfRule>
    <cfRule type="containsText" dxfId="472" priority="95" operator="containsText" text="了機">
      <formula>NOT(ISERROR(SEARCH("了機",L945)))</formula>
    </cfRule>
  </conditionalFormatting>
  <conditionalFormatting sqref="L984 P984 T984">
    <cfRule type="containsText" dxfId="471" priority="52" operator="containsText" text="改紡">
      <formula>NOT(ISERROR(SEARCH("改紡",L984)))</formula>
    </cfRule>
    <cfRule type="containsText" dxfId="470" priority="53" operator="containsText" text="了機">
      <formula>NOT(ISERROR(SEARCH("了機",L984)))</formula>
    </cfRule>
  </conditionalFormatting>
  <conditionalFormatting sqref="L1023 P1023 T1023">
    <cfRule type="containsText" dxfId="469" priority="46" operator="containsText" text="改紡">
      <formula>NOT(ISERROR(SEARCH("改紡",L1023)))</formula>
    </cfRule>
    <cfRule type="containsText" dxfId="468" priority="47" operator="containsText" text="了機">
      <formula>NOT(ISERROR(SEARCH("了機",L1023)))</formula>
    </cfRule>
  </conditionalFormatting>
  <conditionalFormatting sqref="L1062 P1062 T1062">
    <cfRule type="containsText" dxfId="467" priority="40" operator="containsText" text="改紡">
      <formula>NOT(ISERROR(SEARCH("改紡",L1062)))</formula>
    </cfRule>
    <cfRule type="containsText" dxfId="466" priority="41" operator="containsText" text="了機">
      <formula>NOT(ISERROR(SEARCH("了機",L1062)))</formula>
    </cfRule>
  </conditionalFormatting>
  <conditionalFormatting sqref="L1101 P1101 T1101">
    <cfRule type="containsText" dxfId="465" priority="34" operator="containsText" text="改紡">
      <formula>NOT(ISERROR(SEARCH("改紡",L1101)))</formula>
    </cfRule>
    <cfRule type="containsText" dxfId="464" priority="35" operator="containsText" text="了機">
      <formula>NOT(ISERROR(SEARCH("了機",L1101)))</formula>
    </cfRule>
  </conditionalFormatting>
  <conditionalFormatting sqref="L1142 P1142 T1142">
    <cfRule type="containsText" dxfId="463" priority="28" operator="containsText" text="改紡">
      <formula>NOT(ISERROR(SEARCH("改紡",L1142)))</formula>
    </cfRule>
    <cfRule type="containsText" dxfId="462" priority="29" operator="containsText" text="了機">
      <formula>NOT(ISERROR(SEARCH("了機",L1142)))</formula>
    </cfRule>
  </conditionalFormatting>
  <conditionalFormatting sqref="L1183 P1183 T1183">
    <cfRule type="containsText" dxfId="461" priority="22" operator="containsText" text="改紡">
      <formula>NOT(ISERROR(SEARCH("改紡",L1183)))</formula>
    </cfRule>
    <cfRule type="containsText" dxfId="460" priority="23" operator="containsText" text="了機">
      <formula>NOT(ISERROR(SEARCH("了機",L1183)))</formula>
    </cfRule>
  </conditionalFormatting>
  <conditionalFormatting sqref="L1222:L1048576">
    <cfRule type="containsText" dxfId="459" priority="4" operator="containsText" text="了機">
      <formula>NOT(ISERROR(SEARCH("了機",L1222)))</formula>
    </cfRule>
  </conditionalFormatting>
  <conditionalFormatting sqref="L1223 P1223 T1223 M1222:M1231">
    <cfRule type="containsText" dxfId="458" priority="17" operator="containsText" text="了機">
      <formula>NOT(ISERROR(SEARCH("了機",L1222)))</formula>
    </cfRule>
  </conditionalFormatting>
  <conditionalFormatting sqref="L1223 P1223 T1223">
    <cfRule type="containsText" dxfId="457" priority="16" operator="containsText" text="改紡">
      <formula>NOT(ISERROR(SEARCH("改紡",L1223)))</formula>
    </cfRule>
  </conditionalFormatting>
  <conditionalFormatting sqref="L2:M433">
    <cfRule type="containsText" dxfId="456" priority="528" operator="containsText" text="清車">
      <formula>NOT(ISERROR(SEARCH("清車",L2)))</formula>
    </cfRule>
    <cfRule type="containsText" dxfId="455" priority="529" operator="containsText" text="改紡">
      <formula>NOT(ISERROR(SEARCH("改紡",L2)))</formula>
    </cfRule>
  </conditionalFormatting>
  <conditionalFormatting sqref="L11:M433">
    <cfRule type="containsText" dxfId="454" priority="530" operator="containsText" text="了機">
      <formula>NOT(ISERROR(SEARCH("了機",L11)))</formula>
    </cfRule>
  </conditionalFormatting>
  <conditionalFormatting sqref="L444:M473">
    <cfRule type="containsText" dxfId="453" priority="510" operator="containsText" text="清車">
      <formula>NOT(ISERROR(SEARCH("清車",L444)))</formula>
    </cfRule>
    <cfRule type="containsText" dxfId="452" priority="511" operator="containsText" text="改紡">
      <formula>NOT(ISERROR(SEARCH("改紡",L444)))</formula>
    </cfRule>
    <cfRule type="containsText" dxfId="451" priority="512" operator="containsText" text="了機">
      <formula>NOT(ISERROR(SEARCH("了機",L444)))</formula>
    </cfRule>
  </conditionalFormatting>
  <conditionalFormatting sqref="L484:M513">
    <cfRule type="containsText" dxfId="450" priority="471" operator="containsText" text="清車">
      <formula>NOT(ISERROR(SEARCH("清車",L484)))</formula>
    </cfRule>
    <cfRule type="containsText" dxfId="449" priority="472" operator="containsText" text="改紡">
      <formula>NOT(ISERROR(SEARCH("改紡",L484)))</formula>
    </cfRule>
    <cfRule type="containsText" dxfId="448" priority="473" operator="containsText" text="了機">
      <formula>NOT(ISERROR(SEARCH("了機",L484)))</formula>
    </cfRule>
  </conditionalFormatting>
  <conditionalFormatting sqref="L524:M553">
    <cfRule type="containsText" dxfId="447" priority="417" operator="containsText" text="清車">
      <formula>NOT(ISERROR(SEARCH("清車",L524)))</formula>
    </cfRule>
    <cfRule type="containsText" dxfId="446" priority="418" operator="containsText" text="改紡">
      <formula>NOT(ISERROR(SEARCH("改紡",L524)))</formula>
    </cfRule>
    <cfRule type="containsText" dxfId="445" priority="419" operator="containsText" text="了機">
      <formula>NOT(ISERROR(SEARCH("了機",L524)))</formula>
    </cfRule>
  </conditionalFormatting>
  <conditionalFormatting sqref="L564:M592">
    <cfRule type="containsText" dxfId="444" priority="402" operator="containsText" text="清車">
      <formula>NOT(ISERROR(SEARCH("清車",L564)))</formula>
    </cfRule>
    <cfRule type="containsText" dxfId="443" priority="403" operator="containsText" text="改紡">
      <formula>NOT(ISERROR(SEARCH("改紡",L564)))</formula>
    </cfRule>
    <cfRule type="containsText" dxfId="442" priority="404" operator="containsText" text="了機">
      <formula>NOT(ISERROR(SEARCH("了機",L564)))</formula>
    </cfRule>
  </conditionalFormatting>
  <conditionalFormatting sqref="L603:M631">
    <cfRule type="containsText" dxfId="441" priority="366" operator="containsText" text="清車">
      <formula>NOT(ISERROR(SEARCH("清車",L603)))</formula>
    </cfRule>
    <cfRule type="containsText" dxfId="440" priority="367" operator="containsText" text="改紡">
      <formula>NOT(ISERROR(SEARCH("改紡",L603)))</formula>
    </cfRule>
    <cfRule type="containsText" dxfId="439" priority="368" operator="containsText" text="了機">
      <formula>NOT(ISERROR(SEARCH("了機",L603)))</formula>
    </cfRule>
  </conditionalFormatting>
  <conditionalFormatting sqref="L642:M670">
    <cfRule type="containsText" dxfId="438" priority="285" operator="containsText" text="清車">
      <formula>NOT(ISERROR(SEARCH("清車",L642)))</formula>
    </cfRule>
    <cfRule type="containsText" dxfId="437" priority="286" operator="containsText" text="改紡">
      <formula>NOT(ISERROR(SEARCH("改紡",L642)))</formula>
    </cfRule>
    <cfRule type="containsText" dxfId="436" priority="287" operator="containsText" text="了機">
      <formula>NOT(ISERROR(SEARCH("了機",L642)))</formula>
    </cfRule>
  </conditionalFormatting>
  <conditionalFormatting sqref="L681:M709">
    <cfRule type="containsText" dxfId="435" priority="195" operator="containsText" text="清車">
      <formula>NOT(ISERROR(SEARCH("清車",L681)))</formula>
    </cfRule>
    <cfRule type="containsText" dxfId="434" priority="196" operator="containsText" text="改紡">
      <formula>NOT(ISERROR(SEARCH("改紡",L681)))</formula>
    </cfRule>
    <cfRule type="containsText" dxfId="433" priority="197" operator="containsText" text="了機">
      <formula>NOT(ISERROR(SEARCH("了機",L681)))</formula>
    </cfRule>
  </conditionalFormatting>
  <conditionalFormatting sqref="L720:M748">
    <cfRule type="containsText" dxfId="432" priority="270" operator="containsText" text="清車">
      <formula>NOT(ISERROR(SEARCH("清車",L720)))</formula>
    </cfRule>
    <cfRule type="containsText" dxfId="431" priority="271" operator="containsText" text="改紡">
      <formula>NOT(ISERROR(SEARCH("改紡",L720)))</formula>
    </cfRule>
    <cfRule type="containsText" dxfId="430" priority="272" operator="containsText" text="了機">
      <formula>NOT(ISERROR(SEARCH("了機",L720)))</formula>
    </cfRule>
  </conditionalFormatting>
  <conditionalFormatting sqref="L759:M787">
    <cfRule type="containsText" dxfId="429" priority="207" operator="containsText" text="清車">
      <formula>NOT(ISERROR(SEARCH("清車",L759)))</formula>
    </cfRule>
    <cfRule type="containsText" dxfId="428" priority="208" operator="containsText" text="改紡">
      <formula>NOT(ISERROR(SEARCH("改紡",L759)))</formula>
    </cfRule>
    <cfRule type="containsText" dxfId="427" priority="209" operator="containsText" text="了機">
      <formula>NOT(ISERROR(SEARCH("了機",L759)))</formula>
    </cfRule>
  </conditionalFormatting>
  <conditionalFormatting sqref="L798:M826">
    <cfRule type="containsText" dxfId="426" priority="222" operator="containsText" text="清車">
      <formula>NOT(ISERROR(SEARCH("清車",L798)))</formula>
    </cfRule>
    <cfRule type="containsText" dxfId="425" priority="223" operator="containsText" text="改紡">
      <formula>NOT(ISERROR(SEARCH("改紡",L798)))</formula>
    </cfRule>
    <cfRule type="containsText" dxfId="424" priority="224" operator="containsText" text="了機">
      <formula>NOT(ISERROR(SEARCH("了機",L798)))</formula>
    </cfRule>
  </conditionalFormatting>
  <conditionalFormatting sqref="L837:M865">
    <cfRule type="containsText" dxfId="423" priority="180" operator="containsText" text="清車">
      <formula>NOT(ISERROR(SEARCH("清車",L837)))</formula>
    </cfRule>
    <cfRule type="containsText" dxfId="422" priority="181" operator="containsText" text="改紡">
      <formula>NOT(ISERROR(SEARCH("改紡",L837)))</formula>
    </cfRule>
    <cfRule type="containsText" dxfId="421" priority="182" operator="containsText" text="了機">
      <formula>NOT(ISERROR(SEARCH("了機",L837)))</formula>
    </cfRule>
  </conditionalFormatting>
  <conditionalFormatting sqref="L876:M904">
    <cfRule type="containsText" dxfId="420" priority="105" operator="containsText" text="清車">
      <formula>NOT(ISERROR(SEARCH("清車",L876)))</formula>
    </cfRule>
    <cfRule type="containsText" dxfId="419" priority="106" operator="containsText" text="改紡">
      <formula>NOT(ISERROR(SEARCH("改紡",L876)))</formula>
    </cfRule>
    <cfRule type="containsText" dxfId="418" priority="107" operator="containsText" text="了機">
      <formula>NOT(ISERROR(SEARCH("了機",L876)))</formula>
    </cfRule>
  </conditionalFormatting>
  <conditionalFormatting sqref="L915:M942">
    <cfRule type="containsText" dxfId="417" priority="66" operator="containsText" text="清車">
      <formula>NOT(ISERROR(SEARCH("清車",L915)))</formula>
    </cfRule>
    <cfRule type="containsText" dxfId="416" priority="67" operator="containsText" text="改紡">
      <formula>NOT(ISERROR(SEARCH("改紡",L915)))</formula>
    </cfRule>
    <cfRule type="containsText" dxfId="415" priority="68" operator="containsText" text="了機">
      <formula>NOT(ISERROR(SEARCH("了機",L915)))</formula>
    </cfRule>
  </conditionalFormatting>
  <conditionalFormatting sqref="L954:M1221">
    <cfRule type="containsText" dxfId="414" priority="3" operator="containsText" text="了機">
      <formula>NOT(ISERROR(SEARCH("了機",L954)))</formula>
    </cfRule>
  </conditionalFormatting>
  <conditionalFormatting sqref="L954:M1231">
    <cfRule type="containsText" dxfId="413" priority="1" operator="containsText" text="清車">
      <formula>NOT(ISERROR(SEARCH("清車",L954)))</formula>
    </cfRule>
    <cfRule type="containsText" dxfId="412" priority="2" operator="containsText" text="改紡">
      <formula>NOT(ISERROR(SEARCH("改紡",L954)))</formula>
    </cfRule>
  </conditionalFormatting>
  <conditionalFormatting sqref="M943:M953">
    <cfRule type="containsText" dxfId="411" priority="90" operator="containsText" text="清車">
      <formula>NOT(ISERROR(SEARCH("清車",M943)))</formula>
    </cfRule>
    <cfRule type="containsText" dxfId="410" priority="91" operator="containsText" text="改紡">
      <formula>NOT(ISERROR(SEARCH("改紡",M943)))</formula>
    </cfRule>
    <cfRule type="containsText" dxfId="409" priority="92" operator="containsText" text="了機">
      <formula>NOT(ISERROR(SEARCH("了機",M943)))</formula>
    </cfRule>
  </conditionalFormatting>
  <conditionalFormatting sqref="P434:P435 Q434:Q443">
    <cfRule type="containsText" dxfId="408" priority="552" operator="containsText" text="清車">
      <formula>NOT(ISERROR(SEARCH("清車",P434)))</formula>
    </cfRule>
    <cfRule type="containsText" dxfId="407" priority="553" operator="containsText" text="改紡">
      <formula>NOT(ISERROR(SEARCH("改紡",P434)))</formula>
    </cfRule>
    <cfRule type="containsText" dxfId="406" priority="554" operator="containsText" text="了機">
      <formula>NOT(ISERROR(SEARCH("了機",P434)))</formula>
    </cfRule>
  </conditionalFormatting>
  <conditionalFormatting sqref="P435:P443">
    <cfRule type="containsText" dxfId="405" priority="549" operator="containsText" text="清車">
      <formula>NOT(ISERROR(SEARCH("清車",P435)))</formula>
    </cfRule>
    <cfRule type="containsText" dxfId="404" priority="550" operator="containsText" text="改紡">
      <formula>NOT(ISERROR(SEARCH("改紡",P435)))</formula>
    </cfRule>
    <cfRule type="containsText" dxfId="403" priority="551" operator="containsText" text="了機">
      <formula>NOT(ISERROR(SEARCH("了機",P435)))</formula>
    </cfRule>
  </conditionalFormatting>
  <conditionalFormatting sqref="P474:P475 Q474:Q483">
    <cfRule type="containsText" dxfId="402" priority="507" operator="containsText" text="清車">
      <formula>NOT(ISERROR(SEARCH("清車",P474)))</formula>
    </cfRule>
    <cfRule type="containsText" dxfId="401" priority="508" operator="containsText" text="改紡">
      <formula>NOT(ISERROR(SEARCH("改紡",P474)))</formula>
    </cfRule>
    <cfRule type="containsText" dxfId="400" priority="509" operator="containsText" text="了機">
      <formula>NOT(ISERROR(SEARCH("了機",P474)))</formula>
    </cfRule>
  </conditionalFormatting>
  <conditionalFormatting sqref="P475:P483">
    <cfRule type="containsText" dxfId="399" priority="504" operator="containsText" text="清車">
      <formula>NOT(ISERROR(SEARCH("清車",P475)))</formula>
    </cfRule>
    <cfRule type="containsText" dxfId="398" priority="505" operator="containsText" text="改紡">
      <formula>NOT(ISERROR(SEARCH("改紡",P475)))</formula>
    </cfRule>
    <cfRule type="containsText" dxfId="397" priority="506" operator="containsText" text="了機">
      <formula>NOT(ISERROR(SEARCH("了機",P475)))</formula>
    </cfRule>
  </conditionalFormatting>
  <conditionalFormatting sqref="P514:P515 Q514:Q523">
    <cfRule type="containsText" dxfId="396" priority="468" operator="containsText" text="清車">
      <formula>NOT(ISERROR(SEARCH("清車",P514)))</formula>
    </cfRule>
    <cfRule type="containsText" dxfId="395" priority="469" operator="containsText" text="改紡">
      <formula>NOT(ISERROR(SEARCH("改紡",P514)))</formula>
    </cfRule>
    <cfRule type="containsText" dxfId="394" priority="470" operator="containsText" text="了機">
      <formula>NOT(ISERROR(SEARCH("了機",P514)))</formula>
    </cfRule>
  </conditionalFormatting>
  <conditionalFormatting sqref="P515:P523">
    <cfRule type="containsText" dxfId="393" priority="465" operator="containsText" text="清車">
      <formula>NOT(ISERROR(SEARCH("清車",P515)))</formula>
    </cfRule>
    <cfRule type="containsText" dxfId="392" priority="466" operator="containsText" text="改紡">
      <formula>NOT(ISERROR(SEARCH("改紡",P515)))</formula>
    </cfRule>
    <cfRule type="containsText" dxfId="391" priority="467" operator="containsText" text="了機">
      <formula>NOT(ISERROR(SEARCH("了機",P515)))</formula>
    </cfRule>
  </conditionalFormatting>
  <conditionalFormatting sqref="P554:P555 Q554:Q563">
    <cfRule type="containsText" dxfId="390" priority="435" operator="containsText" text="清車">
      <formula>NOT(ISERROR(SEARCH("清車",P554)))</formula>
    </cfRule>
    <cfRule type="containsText" dxfId="389" priority="436" operator="containsText" text="改紡">
      <formula>NOT(ISERROR(SEARCH("改紡",P554)))</formula>
    </cfRule>
    <cfRule type="containsText" dxfId="388" priority="437" operator="containsText" text="了機">
      <formula>NOT(ISERROR(SEARCH("了機",P554)))</formula>
    </cfRule>
  </conditionalFormatting>
  <conditionalFormatting sqref="P555:P563">
    <cfRule type="containsText" dxfId="387" priority="432" operator="containsText" text="清車">
      <formula>NOT(ISERROR(SEARCH("清車",P555)))</formula>
    </cfRule>
    <cfRule type="containsText" dxfId="386" priority="433" operator="containsText" text="改紡">
      <formula>NOT(ISERROR(SEARCH("改紡",P555)))</formula>
    </cfRule>
    <cfRule type="containsText" dxfId="385" priority="434" operator="containsText" text="了機">
      <formula>NOT(ISERROR(SEARCH("了機",P555)))</formula>
    </cfRule>
  </conditionalFormatting>
  <conditionalFormatting sqref="P593:P594 Q593:Q602">
    <cfRule type="containsText" dxfId="384" priority="399" operator="containsText" text="清車">
      <formula>NOT(ISERROR(SEARCH("清車",P593)))</formula>
    </cfRule>
    <cfRule type="containsText" dxfId="383" priority="400" operator="containsText" text="改紡">
      <formula>NOT(ISERROR(SEARCH("改紡",P593)))</formula>
    </cfRule>
    <cfRule type="containsText" dxfId="382" priority="401" operator="containsText" text="了機">
      <formula>NOT(ISERROR(SEARCH("了機",P593)))</formula>
    </cfRule>
  </conditionalFormatting>
  <conditionalFormatting sqref="P594:P602">
    <cfRule type="containsText" dxfId="381" priority="396" operator="containsText" text="清車">
      <formula>NOT(ISERROR(SEARCH("清車",P594)))</formula>
    </cfRule>
    <cfRule type="containsText" dxfId="380" priority="397" operator="containsText" text="改紡">
      <formula>NOT(ISERROR(SEARCH("改紡",P594)))</formula>
    </cfRule>
    <cfRule type="containsText" dxfId="379" priority="398" operator="containsText" text="了機">
      <formula>NOT(ISERROR(SEARCH("了機",P594)))</formula>
    </cfRule>
  </conditionalFormatting>
  <conditionalFormatting sqref="P632:P633 Q632:Q641">
    <cfRule type="containsText" dxfId="378" priority="363" operator="containsText" text="清車">
      <formula>NOT(ISERROR(SEARCH("清車",P632)))</formula>
    </cfRule>
    <cfRule type="containsText" dxfId="377" priority="364" operator="containsText" text="改紡">
      <formula>NOT(ISERROR(SEARCH("改紡",P632)))</formula>
    </cfRule>
    <cfRule type="containsText" dxfId="376" priority="365" operator="containsText" text="了機">
      <formula>NOT(ISERROR(SEARCH("了機",P632)))</formula>
    </cfRule>
  </conditionalFormatting>
  <conditionalFormatting sqref="P633:P641">
    <cfRule type="containsText" dxfId="375" priority="360" operator="containsText" text="清車">
      <formula>NOT(ISERROR(SEARCH("清車",P633)))</formula>
    </cfRule>
    <cfRule type="containsText" dxfId="374" priority="361" operator="containsText" text="改紡">
      <formula>NOT(ISERROR(SEARCH("改紡",P633)))</formula>
    </cfRule>
    <cfRule type="containsText" dxfId="373" priority="362" operator="containsText" text="了機">
      <formula>NOT(ISERROR(SEARCH("了機",P633)))</formula>
    </cfRule>
  </conditionalFormatting>
  <conditionalFormatting sqref="P671:P672 Q671:Q680">
    <cfRule type="containsText" dxfId="372" priority="330" operator="containsText" text="清車">
      <formula>NOT(ISERROR(SEARCH("清車",P671)))</formula>
    </cfRule>
    <cfRule type="containsText" dxfId="371" priority="331" operator="containsText" text="改紡">
      <formula>NOT(ISERROR(SEARCH("改紡",P671)))</formula>
    </cfRule>
    <cfRule type="containsText" dxfId="370" priority="332" operator="containsText" text="了機">
      <formula>NOT(ISERROR(SEARCH("了機",P671)))</formula>
    </cfRule>
  </conditionalFormatting>
  <conditionalFormatting sqref="P672:P680">
    <cfRule type="containsText" dxfId="369" priority="327" operator="containsText" text="清車">
      <formula>NOT(ISERROR(SEARCH("清車",P672)))</formula>
    </cfRule>
    <cfRule type="containsText" dxfId="368" priority="328" operator="containsText" text="改紡">
      <formula>NOT(ISERROR(SEARCH("改紡",P672)))</formula>
    </cfRule>
    <cfRule type="containsText" dxfId="367" priority="329" operator="containsText" text="了機">
      <formula>NOT(ISERROR(SEARCH("了機",P672)))</formula>
    </cfRule>
  </conditionalFormatting>
  <conditionalFormatting sqref="P710:P711 Q710:Q719">
    <cfRule type="containsText" dxfId="366" priority="297" operator="containsText" text="清車">
      <formula>NOT(ISERROR(SEARCH("清車",P710)))</formula>
    </cfRule>
    <cfRule type="containsText" dxfId="365" priority="298" operator="containsText" text="改紡">
      <formula>NOT(ISERROR(SEARCH("改紡",P710)))</formula>
    </cfRule>
    <cfRule type="containsText" dxfId="364" priority="299" operator="containsText" text="了機">
      <formula>NOT(ISERROR(SEARCH("了機",P710)))</formula>
    </cfRule>
  </conditionalFormatting>
  <conditionalFormatting sqref="P711:P719">
    <cfRule type="containsText" dxfId="363" priority="294" operator="containsText" text="清車">
      <formula>NOT(ISERROR(SEARCH("清車",P711)))</formula>
    </cfRule>
    <cfRule type="containsText" dxfId="362" priority="295" operator="containsText" text="改紡">
      <formula>NOT(ISERROR(SEARCH("改紡",P711)))</formula>
    </cfRule>
    <cfRule type="containsText" dxfId="361" priority="296" operator="containsText" text="了機">
      <formula>NOT(ISERROR(SEARCH("了機",P711)))</formula>
    </cfRule>
  </conditionalFormatting>
  <conditionalFormatting sqref="P749:P750 Q749:Q758">
    <cfRule type="containsText" dxfId="360" priority="267" operator="containsText" text="清車">
      <formula>NOT(ISERROR(SEARCH("清車",P749)))</formula>
    </cfRule>
    <cfRule type="containsText" dxfId="359" priority="268" operator="containsText" text="改紡">
      <formula>NOT(ISERROR(SEARCH("改紡",P749)))</formula>
    </cfRule>
    <cfRule type="containsText" dxfId="358" priority="269" operator="containsText" text="了機">
      <formula>NOT(ISERROR(SEARCH("了機",P749)))</formula>
    </cfRule>
  </conditionalFormatting>
  <conditionalFormatting sqref="P750:P758">
    <cfRule type="containsText" dxfId="357" priority="264" operator="containsText" text="清車">
      <formula>NOT(ISERROR(SEARCH("清車",P750)))</formula>
    </cfRule>
    <cfRule type="containsText" dxfId="356" priority="265" operator="containsText" text="改紡">
      <formula>NOT(ISERROR(SEARCH("改紡",P750)))</formula>
    </cfRule>
    <cfRule type="containsText" dxfId="355" priority="266" operator="containsText" text="了機">
      <formula>NOT(ISERROR(SEARCH("了機",P750)))</formula>
    </cfRule>
  </conditionalFormatting>
  <conditionalFormatting sqref="P788:P789 Q788:Q797">
    <cfRule type="containsText" dxfId="354" priority="243" operator="containsText" text="清車">
      <formula>NOT(ISERROR(SEARCH("清車",P788)))</formula>
    </cfRule>
    <cfRule type="containsText" dxfId="353" priority="244" operator="containsText" text="改紡">
      <formula>NOT(ISERROR(SEARCH("改紡",P788)))</formula>
    </cfRule>
    <cfRule type="containsText" dxfId="352" priority="245" operator="containsText" text="了機">
      <formula>NOT(ISERROR(SEARCH("了機",P788)))</formula>
    </cfRule>
  </conditionalFormatting>
  <conditionalFormatting sqref="P789:P797">
    <cfRule type="containsText" dxfId="351" priority="240" operator="containsText" text="清車">
      <formula>NOT(ISERROR(SEARCH("清車",P789)))</formula>
    </cfRule>
    <cfRule type="containsText" dxfId="350" priority="241" operator="containsText" text="改紡">
      <formula>NOT(ISERROR(SEARCH("改紡",P789)))</formula>
    </cfRule>
    <cfRule type="containsText" dxfId="349" priority="242" operator="containsText" text="了機">
      <formula>NOT(ISERROR(SEARCH("了機",P789)))</formula>
    </cfRule>
  </conditionalFormatting>
  <conditionalFormatting sqref="P827:P828 Q827:Q836">
    <cfRule type="containsText" dxfId="348" priority="219" operator="containsText" text="清車">
      <formula>NOT(ISERROR(SEARCH("清車",P827)))</formula>
    </cfRule>
    <cfRule type="containsText" dxfId="347" priority="220" operator="containsText" text="改紡">
      <formula>NOT(ISERROR(SEARCH("改紡",P827)))</formula>
    </cfRule>
    <cfRule type="containsText" dxfId="346" priority="221" operator="containsText" text="了機">
      <formula>NOT(ISERROR(SEARCH("了機",P827)))</formula>
    </cfRule>
  </conditionalFormatting>
  <conditionalFormatting sqref="P828:P836">
    <cfRule type="containsText" dxfId="345" priority="216" operator="containsText" text="清車">
      <formula>NOT(ISERROR(SEARCH("清車",P828)))</formula>
    </cfRule>
    <cfRule type="containsText" dxfId="344" priority="217" operator="containsText" text="改紡">
      <formula>NOT(ISERROR(SEARCH("改紡",P828)))</formula>
    </cfRule>
    <cfRule type="containsText" dxfId="343" priority="218" operator="containsText" text="了機">
      <formula>NOT(ISERROR(SEARCH("了機",P828)))</formula>
    </cfRule>
  </conditionalFormatting>
  <conditionalFormatting sqref="P866:P867 Q866:Q875">
    <cfRule type="containsText" dxfId="342" priority="177" operator="containsText" text="清車">
      <formula>NOT(ISERROR(SEARCH("清車",P866)))</formula>
    </cfRule>
    <cfRule type="containsText" dxfId="341" priority="178" operator="containsText" text="改紡">
      <formula>NOT(ISERROR(SEARCH("改紡",P866)))</formula>
    </cfRule>
    <cfRule type="containsText" dxfId="340" priority="179" operator="containsText" text="了機">
      <formula>NOT(ISERROR(SEARCH("了機",P866)))</formula>
    </cfRule>
  </conditionalFormatting>
  <conditionalFormatting sqref="P867:P875">
    <cfRule type="containsText" dxfId="339" priority="174" operator="containsText" text="清車">
      <formula>NOT(ISERROR(SEARCH("清車",P867)))</formula>
    </cfRule>
    <cfRule type="containsText" dxfId="338" priority="175" operator="containsText" text="改紡">
      <formula>NOT(ISERROR(SEARCH("改紡",P867)))</formula>
    </cfRule>
    <cfRule type="containsText" dxfId="337" priority="176" operator="containsText" text="了機">
      <formula>NOT(ISERROR(SEARCH("了機",P867)))</formula>
    </cfRule>
  </conditionalFormatting>
  <conditionalFormatting sqref="P905:P906 Q905:Q914">
    <cfRule type="containsText" dxfId="336" priority="126" operator="containsText" text="清車">
      <formula>NOT(ISERROR(SEARCH("清車",P905)))</formula>
    </cfRule>
    <cfRule type="containsText" dxfId="335" priority="127" operator="containsText" text="改紡">
      <formula>NOT(ISERROR(SEARCH("改紡",P905)))</formula>
    </cfRule>
    <cfRule type="containsText" dxfId="334" priority="128" operator="containsText" text="了機">
      <formula>NOT(ISERROR(SEARCH("了機",P905)))</formula>
    </cfRule>
  </conditionalFormatting>
  <conditionalFormatting sqref="P906:P914">
    <cfRule type="containsText" dxfId="333" priority="123" operator="containsText" text="清車">
      <formula>NOT(ISERROR(SEARCH("清車",P906)))</formula>
    </cfRule>
    <cfRule type="containsText" dxfId="332" priority="124" operator="containsText" text="改紡">
      <formula>NOT(ISERROR(SEARCH("改紡",P906)))</formula>
    </cfRule>
    <cfRule type="containsText" dxfId="331" priority="125" operator="containsText" text="了機">
      <formula>NOT(ISERROR(SEARCH("了機",P906)))</formula>
    </cfRule>
  </conditionalFormatting>
  <conditionalFormatting sqref="P943">
    <cfRule type="containsText" dxfId="330" priority="63" operator="containsText" text="清車">
      <formula>NOT(ISERROR(SEARCH("清車",P943)))</formula>
    </cfRule>
    <cfRule type="containsText" dxfId="329" priority="64" operator="containsText" text="改紡">
      <formula>NOT(ISERROR(SEARCH("改紡",P943)))</formula>
    </cfRule>
    <cfRule type="containsText" dxfId="328" priority="65" operator="containsText" text="了機">
      <formula>NOT(ISERROR(SEARCH("了機",P943)))</formula>
    </cfRule>
  </conditionalFormatting>
  <conditionalFormatting sqref="P944:P945">
    <cfRule type="containsText" dxfId="327" priority="87" operator="containsText" text="清車">
      <formula>NOT(ISERROR(SEARCH("清車",P944)))</formula>
    </cfRule>
    <cfRule type="containsText" dxfId="326" priority="88" operator="containsText" text="改紡">
      <formula>NOT(ISERROR(SEARCH("改紡",P944)))</formula>
    </cfRule>
    <cfRule type="containsText" dxfId="325" priority="89" operator="containsText" text="了機">
      <formula>NOT(ISERROR(SEARCH("了機",P944)))</formula>
    </cfRule>
  </conditionalFormatting>
  <conditionalFormatting sqref="P945:P953">
    <cfRule type="containsText" dxfId="324" priority="84" operator="containsText" text="清車">
      <formula>NOT(ISERROR(SEARCH("清車",P945)))</formula>
    </cfRule>
    <cfRule type="containsText" dxfId="323" priority="85" operator="containsText" text="改紡">
      <formula>NOT(ISERROR(SEARCH("改紡",P945)))</formula>
    </cfRule>
    <cfRule type="containsText" dxfId="322" priority="86" operator="containsText" text="了機">
      <formula>NOT(ISERROR(SEARCH("了機",P945)))</formula>
    </cfRule>
  </conditionalFormatting>
  <conditionalFormatting sqref="P984 T984 L984">
    <cfRule type="containsText" dxfId="321" priority="51" operator="containsText" text="清車">
      <formula>NOT(ISERROR(SEARCH("清車",L984)))</formula>
    </cfRule>
  </conditionalFormatting>
  <conditionalFormatting sqref="P1023 T1023 L1023">
    <cfRule type="containsText" dxfId="320" priority="45" operator="containsText" text="清車">
      <formula>NOT(ISERROR(SEARCH("清車",L1023)))</formula>
    </cfRule>
  </conditionalFormatting>
  <conditionalFormatting sqref="P1062 T1062 L1062">
    <cfRule type="containsText" dxfId="319" priority="39" operator="containsText" text="清車">
      <formula>NOT(ISERROR(SEARCH("清車",L1062)))</formula>
    </cfRule>
  </conditionalFormatting>
  <conditionalFormatting sqref="P1101 T1101 L1101">
    <cfRule type="containsText" dxfId="318" priority="33" operator="containsText" text="清車">
      <formula>NOT(ISERROR(SEARCH("清車",L1101)))</formula>
    </cfRule>
  </conditionalFormatting>
  <conditionalFormatting sqref="P1142 T1142 L1142">
    <cfRule type="containsText" dxfId="317" priority="27" operator="containsText" text="清車">
      <formula>NOT(ISERROR(SEARCH("清車",L1142)))</formula>
    </cfRule>
  </conditionalFormatting>
  <conditionalFormatting sqref="P1183 T1183 L1183">
    <cfRule type="containsText" dxfId="316" priority="21" operator="containsText" text="清車">
      <formula>NOT(ISERROR(SEARCH("清車",L1183)))</formula>
    </cfRule>
  </conditionalFormatting>
  <conditionalFormatting sqref="P1223 T1223 L1223">
    <cfRule type="containsText" dxfId="315" priority="15" operator="containsText" text="清車">
      <formula>NOT(ISERROR(SEARCH("清車",L1223)))</formula>
    </cfRule>
  </conditionalFormatting>
  <conditionalFormatting sqref="P2:Q433">
    <cfRule type="containsText" dxfId="314" priority="531" operator="containsText" text="清車">
      <formula>NOT(ISERROR(SEARCH("清車",P2)))</formula>
    </cfRule>
    <cfRule type="containsText" dxfId="313" priority="532" operator="containsText" text="改紡">
      <formula>NOT(ISERROR(SEARCH("改紡",P2)))</formula>
    </cfRule>
    <cfRule type="containsText" dxfId="312" priority="533" operator="containsText" text="了機">
      <formula>NOT(ISERROR(SEARCH("了機",P2)))</formula>
    </cfRule>
  </conditionalFormatting>
  <conditionalFormatting sqref="P444:Q473">
    <cfRule type="containsText" dxfId="311" priority="501" operator="containsText" text="清車">
      <formula>NOT(ISERROR(SEARCH("清車",P444)))</formula>
    </cfRule>
    <cfRule type="containsText" dxfId="310" priority="502" operator="containsText" text="改紡">
      <formula>NOT(ISERROR(SEARCH("改紡",P444)))</formula>
    </cfRule>
    <cfRule type="containsText" dxfId="309" priority="503" operator="containsText" text="了機">
      <formula>NOT(ISERROR(SEARCH("了機",P444)))</formula>
    </cfRule>
  </conditionalFormatting>
  <conditionalFormatting sqref="P484:Q513">
    <cfRule type="containsText" dxfId="308" priority="462" operator="containsText" text="清車">
      <formula>NOT(ISERROR(SEARCH("清車",P484)))</formula>
    </cfRule>
    <cfRule type="containsText" dxfId="307" priority="463" operator="containsText" text="改紡">
      <formula>NOT(ISERROR(SEARCH("改紡",P484)))</formula>
    </cfRule>
    <cfRule type="containsText" dxfId="306" priority="464" operator="containsText" text="了機">
      <formula>NOT(ISERROR(SEARCH("了機",P484)))</formula>
    </cfRule>
  </conditionalFormatting>
  <conditionalFormatting sqref="P524:Q553">
    <cfRule type="containsText" dxfId="305" priority="429" operator="containsText" text="清車">
      <formula>NOT(ISERROR(SEARCH("清車",P524)))</formula>
    </cfRule>
    <cfRule type="containsText" dxfId="304" priority="430" operator="containsText" text="改紡">
      <formula>NOT(ISERROR(SEARCH("改紡",P524)))</formula>
    </cfRule>
    <cfRule type="containsText" dxfId="303" priority="431" operator="containsText" text="了機">
      <formula>NOT(ISERROR(SEARCH("了機",P524)))</formula>
    </cfRule>
  </conditionalFormatting>
  <conditionalFormatting sqref="P564:Q592">
    <cfRule type="containsText" dxfId="302" priority="387" operator="containsText" text="清車">
      <formula>NOT(ISERROR(SEARCH("清車",P564)))</formula>
    </cfRule>
    <cfRule type="containsText" dxfId="301" priority="388" operator="containsText" text="改紡">
      <formula>NOT(ISERROR(SEARCH("改紡",P564)))</formula>
    </cfRule>
    <cfRule type="containsText" dxfId="300" priority="389" operator="containsText" text="了機">
      <formula>NOT(ISERROR(SEARCH("了機",P564)))</formula>
    </cfRule>
  </conditionalFormatting>
  <conditionalFormatting sqref="P603:Q631">
    <cfRule type="containsText" dxfId="299" priority="351" operator="containsText" text="清車">
      <formula>NOT(ISERROR(SEARCH("清車",P603)))</formula>
    </cfRule>
    <cfRule type="containsText" dxfId="298" priority="352" operator="containsText" text="改紡">
      <formula>NOT(ISERROR(SEARCH("改紡",P603)))</formula>
    </cfRule>
    <cfRule type="containsText" dxfId="297" priority="353" operator="containsText" text="了機">
      <formula>NOT(ISERROR(SEARCH("了機",P603)))</formula>
    </cfRule>
  </conditionalFormatting>
  <conditionalFormatting sqref="P642:Q670">
    <cfRule type="containsText" dxfId="296" priority="318" operator="containsText" text="清車">
      <formula>NOT(ISERROR(SEARCH("清車",P642)))</formula>
    </cfRule>
    <cfRule type="containsText" dxfId="295" priority="319" operator="containsText" text="改紡">
      <formula>NOT(ISERROR(SEARCH("改紡",P642)))</formula>
    </cfRule>
    <cfRule type="containsText" dxfId="294" priority="320" operator="containsText" text="了機">
      <formula>NOT(ISERROR(SEARCH("了機",P642)))</formula>
    </cfRule>
  </conditionalFormatting>
  <conditionalFormatting sqref="P681:Q709">
    <cfRule type="containsText" dxfId="293" priority="255" operator="containsText" text="清車">
      <formula>NOT(ISERROR(SEARCH("清車",P681)))</formula>
    </cfRule>
    <cfRule type="containsText" dxfId="292" priority="256" operator="containsText" text="改紡">
      <formula>NOT(ISERROR(SEARCH("改紡",P681)))</formula>
    </cfRule>
    <cfRule type="containsText" dxfId="291" priority="257" operator="containsText" text="了機">
      <formula>NOT(ISERROR(SEARCH("了機",P681)))</formula>
    </cfRule>
  </conditionalFormatting>
  <conditionalFormatting sqref="P720:Q748">
    <cfRule type="containsText" dxfId="290" priority="204" operator="containsText" text="清車">
      <formula>NOT(ISERROR(SEARCH("清車",P720)))</formula>
    </cfRule>
    <cfRule type="containsText" dxfId="289" priority="205" operator="containsText" text="改紡">
      <formula>NOT(ISERROR(SEARCH("改紡",P720)))</formula>
    </cfRule>
    <cfRule type="containsText" dxfId="288" priority="206" operator="containsText" text="了機">
      <formula>NOT(ISERROR(SEARCH("了機",P720)))</formula>
    </cfRule>
  </conditionalFormatting>
  <conditionalFormatting sqref="P759:Q787">
    <cfRule type="containsText" dxfId="287" priority="159" operator="containsText" text="清車">
      <formula>NOT(ISERROR(SEARCH("清車",P759)))</formula>
    </cfRule>
    <cfRule type="containsText" dxfId="286" priority="160" operator="containsText" text="改紡">
      <formula>NOT(ISERROR(SEARCH("改紡",P759)))</formula>
    </cfRule>
    <cfRule type="containsText" dxfId="285" priority="161" operator="containsText" text="了機">
      <formula>NOT(ISERROR(SEARCH("了機",P759)))</formula>
    </cfRule>
  </conditionalFormatting>
  <conditionalFormatting sqref="P798:Q826">
    <cfRule type="containsText" dxfId="284" priority="141" operator="containsText" text="清車">
      <formula>NOT(ISERROR(SEARCH("清車",P798)))</formula>
    </cfRule>
    <cfRule type="containsText" dxfId="283" priority="142" operator="containsText" text="改紡">
      <formula>NOT(ISERROR(SEARCH("改紡",P798)))</formula>
    </cfRule>
    <cfRule type="containsText" dxfId="282" priority="143" operator="containsText" text="了機">
      <formula>NOT(ISERROR(SEARCH("了機",P798)))</formula>
    </cfRule>
  </conditionalFormatting>
  <conditionalFormatting sqref="P837:Q865">
    <cfRule type="containsText" dxfId="281" priority="150" operator="containsText" text="清車">
      <formula>NOT(ISERROR(SEARCH("清車",P837)))</formula>
    </cfRule>
    <cfRule type="containsText" dxfId="280" priority="151" operator="containsText" text="改紡">
      <formula>NOT(ISERROR(SEARCH("改紡",P837)))</formula>
    </cfRule>
    <cfRule type="containsText" dxfId="279" priority="152" operator="containsText" text="了機">
      <formula>NOT(ISERROR(SEARCH("了機",P837)))</formula>
    </cfRule>
  </conditionalFormatting>
  <conditionalFormatting sqref="P876:Q904">
    <cfRule type="containsText" dxfId="278" priority="111" operator="containsText" text="清車">
      <formula>NOT(ISERROR(SEARCH("清車",P876)))</formula>
    </cfRule>
    <cfRule type="containsText" dxfId="277" priority="112" operator="containsText" text="改紡">
      <formula>NOT(ISERROR(SEARCH("改紡",P876)))</formula>
    </cfRule>
    <cfRule type="containsText" dxfId="276" priority="113" operator="containsText" text="了機">
      <formula>NOT(ISERROR(SEARCH("了機",P876)))</formula>
    </cfRule>
  </conditionalFormatting>
  <conditionalFormatting sqref="P915:Q942">
    <cfRule type="containsText" dxfId="275" priority="69" operator="containsText" text="清車">
      <formula>NOT(ISERROR(SEARCH("清車",P915)))</formula>
    </cfRule>
    <cfRule type="containsText" dxfId="274" priority="70" operator="containsText" text="改紡">
      <formula>NOT(ISERROR(SEARCH("改紡",P915)))</formula>
    </cfRule>
    <cfRule type="containsText" dxfId="273" priority="71" operator="containsText" text="了機">
      <formula>NOT(ISERROR(SEARCH("了機",P915)))</formula>
    </cfRule>
  </conditionalFormatting>
  <conditionalFormatting sqref="P954:Q1231">
    <cfRule type="containsText" dxfId="272" priority="11" operator="containsText" text="清車">
      <formula>NOT(ISERROR(SEARCH("清車",P954)))</formula>
    </cfRule>
    <cfRule type="containsText" dxfId="271" priority="12" operator="containsText" text="改紡">
      <formula>NOT(ISERROR(SEARCH("改紡",P954)))</formula>
    </cfRule>
    <cfRule type="containsText" dxfId="270" priority="13" operator="containsText" text="了機">
      <formula>NOT(ISERROR(SEARCH("了機",P954)))</formula>
    </cfRule>
  </conditionalFormatting>
  <conditionalFormatting sqref="Q943:Q953">
    <cfRule type="containsText" dxfId="269" priority="75" operator="containsText" text="清車">
      <formula>NOT(ISERROR(SEARCH("清車",Q943)))</formula>
    </cfRule>
    <cfRule type="containsText" dxfId="268" priority="76" operator="containsText" text="改紡">
      <formula>NOT(ISERROR(SEARCH("改紡",Q943)))</formula>
    </cfRule>
    <cfRule type="containsText" dxfId="267" priority="77" operator="containsText" text="了機">
      <formula>NOT(ISERROR(SEARCH("了機",Q943)))</formula>
    </cfRule>
  </conditionalFormatting>
  <conditionalFormatting sqref="T434:T435 U434:U443">
    <cfRule type="containsText" dxfId="266" priority="546" operator="containsText" text="清車">
      <formula>NOT(ISERROR(SEARCH("清車",T434)))</formula>
    </cfRule>
    <cfRule type="containsText" dxfId="265" priority="547" operator="containsText" text="改紡">
      <formula>NOT(ISERROR(SEARCH("改紡",T434)))</formula>
    </cfRule>
    <cfRule type="containsText" dxfId="264" priority="548" operator="containsText" text="了機">
      <formula>NOT(ISERROR(SEARCH("了機",T434)))</formula>
    </cfRule>
  </conditionalFormatting>
  <conditionalFormatting sqref="T435:T443">
    <cfRule type="containsText" dxfId="263" priority="543" operator="containsText" text="清車">
      <formula>NOT(ISERROR(SEARCH("清車",T435)))</formula>
    </cfRule>
    <cfRule type="containsText" dxfId="262" priority="544" operator="containsText" text="改紡">
      <formula>NOT(ISERROR(SEARCH("改紡",T435)))</formula>
    </cfRule>
    <cfRule type="containsText" dxfId="261" priority="545" operator="containsText" text="了機">
      <formula>NOT(ISERROR(SEARCH("了機",T435)))</formula>
    </cfRule>
  </conditionalFormatting>
  <conditionalFormatting sqref="T474:T475 U474:U483">
    <cfRule type="containsText" dxfId="260" priority="498" operator="containsText" text="清車">
      <formula>NOT(ISERROR(SEARCH("清車",T474)))</formula>
    </cfRule>
    <cfRule type="containsText" dxfId="259" priority="499" operator="containsText" text="改紡">
      <formula>NOT(ISERROR(SEARCH("改紡",T474)))</formula>
    </cfRule>
    <cfRule type="containsText" dxfId="258" priority="500" operator="containsText" text="了機">
      <formula>NOT(ISERROR(SEARCH("了機",T474)))</formula>
    </cfRule>
  </conditionalFormatting>
  <conditionalFormatting sqref="T475:T483">
    <cfRule type="containsText" dxfId="257" priority="495" operator="containsText" text="清車">
      <formula>NOT(ISERROR(SEARCH("清車",T475)))</formula>
    </cfRule>
    <cfRule type="containsText" dxfId="256" priority="496" operator="containsText" text="改紡">
      <formula>NOT(ISERROR(SEARCH("改紡",T475)))</formula>
    </cfRule>
    <cfRule type="containsText" dxfId="255" priority="497" operator="containsText" text="了機">
      <formula>NOT(ISERROR(SEARCH("了機",T475)))</formula>
    </cfRule>
  </conditionalFormatting>
  <conditionalFormatting sqref="T514:T515 U514:U523">
    <cfRule type="containsText" dxfId="254" priority="459" operator="containsText" text="清車">
      <formula>NOT(ISERROR(SEARCH("清車",T514)))</formula>
    </cfRule>
    <cfRule type="containsText" dxfId="253" priority="460" operator="containsText" text="改紡">
      <formula>NOT(ISERROR(SEARCH("改紡",T514)))</formula>
    </cfRule>
    <cfRule type="containsText" dxfId="252" priority="461" operator="containsText" text="了機">
      <formula>NOT(ISERROR(SEARCH("了機",T514)))</formula>
    </cfRule>
  </conditionalFormatting>
  <conditionalFormatting sqref="T515:T523">
    <cfRule type="containsText" dxfId="251" priority="456" operator="containsText" text="清車">
      <formula>NOT(ISERROR(SEARCH("清車",T515)))</formula>
    </cfRule>
    <cfRule type="containsText" dxfId="250" priority="457" operator="containsText" text="改紡">
      <formula>NOT(ISERROR(SEARCH("改紡",T515)))</formula>
    </cfRule>
    <cfRule type="containsText" dxfId="249" priority="458" operator="containsText" text="了機">
      <formula>NOT(ISERROR(SEARCH("了機",T515)))</formula>
    </cfRule>
  </conditionalFormatting>
  <conditionalFormatting sqref="T554:T555 U554:U563">
    <cfRule type="containsText" dxfId="248" priority="426" operator="containsText" text="清車">
      <formula>NOT(ISERROR(SEARCH("清車",T554)))</formula>
    </cfRule>
    <cfRule type="containsText" dxfId="247" priority="427" operator="containsText" text="改紡">
      <formula>NOT(ISERROR(SEARCH("改紡",T554)))</formula>
    </cfRule>
    <cfRule type="containsText" dxfId="246" priority="428" operator="containsText" text="了機">
      <formula>NOT(ISERROR(SEARCH("了機",T554)))</formula>
    </cfRule>
  </conditionalFormatting>
  <conditionalFormatting sqref="T555:T563">
    <cfRule type="containsText" dxfId="245" priority="423" operator="containsText" text="清車">
      <formula>NOT(ISERROR(SEARCH("清車",T555)))</formula>
    </cfRule>
    <cfRule type="containsText" dxfId="244" priority="424" operator="containsText" text="改紡">
      <formula>NOT(ISERROR(SEARCH("改紡",T555)))</formula>
    </cfRule>
    <cfRule type="containsText" dxfId="243" priority="425" operator="containsText" text="了機">
      <formula>NOT(ISERROR(SEARCH("了機",T555)))</formula>
    </cfRule>
  </conditionalFormatting>
  <conditionalFormatting sqref="T593:T594 U593:U602">
    <cfRule type="containsText" dxfId="242" priority="393" operator="containsText" text="清車">
      <formula>NOT(ISERROR(SEARCH("清車",T593)))</formula>
    </cfRule>
    <cfRule type="containsText" dxfId="241" priority="394" operator="containsText" text="改紡">
      <formula>NOT(ISERROR(SEARCH("改紡",T593)))</formula>
    </cfRule>
    <cfRule type="containsText" dxfId="240" priority="395" operator="containsText" text="了機">
      <formula>NOT(ISERROR(SEARCH("了機",T593)))</formula>
    </cfRule>
  </conditionalFormatting>
  <conditionalFormatting sqref="T594:T602">
    <cfRule type="containsText" dxfId="239" priority="390" operator="containsText" text="清車">
      <formula>NOT(ISERROR(SEARCH("清車",T594)))</formula>
    </cfRule>
    <cfRule type="containsText" dxfId="238" priority="391" operator="containsText" text="改紡">
      <formula>NOT(ISERROR(SEARCH("改紡",T594)))</formula>
    </cfRule>
    <cfRule type="containsText" dxfId="237" priority="392" operator="containsText" text="了機">
      <formula>NOT(ISERROR(SEARCH("了機",T594)))</formula>
    </cfRule>
  </conditionalFormatting>
  <conditionalFormatting sqref="T632:T633 U632:U641">
    <cfRule type="containsText" dxfId="236" priority="357" operator="containsText" text="清車">
      <formula>NOT(ISERROR(SEARCH("清車",T632)))</formula>
    </cfRule>
    <cfRule type="containsText" dxfId="235" priority="358" operator="containsText" text="改紡">
      <formula>NOT(ISERROR(SEARCH("改紡",T632)))</formula>
    </cfRule>
    <cfRule type="containsText" dxfId="234" priority="359" operator="containsText" text="了機">
      <formula>NOT(ISERROR(SEARCH("了機",T632)))</formula>
    </cfRule>
  </conditionalFormatting>
  <conditionalFormatting sqref="T633:T641">
    <cfRule type="containsText" dxfId="233" priority="354" operator="containsText" text="清車">
      <formula>NOT(ISERROR(SEARCH("清車",T633)))</formula>
    </cfRule>
    <cfRule type="containsText" dxfId="232" priority="355" operator="containsText" text="改紡">
      <formula>NOT(ISERROR(SEARCH("改紡",T633)))</formula>
    </cfRule>
    <cfRule type="containsText" dxfId="231" priority="356" operator="containsText" text="了機">
      <formula>NOT(ISERROR(SEARCH("了機",T633)))</formula>
    </cfRule>
  </conditionalFormatting>
  <conditionalFormatting sqref="T671:T672 U671:U680">
    <cfRule type="containsText" dxfId="230" priority="324" operator="containsText" text="清車">
      <formula>NOT(ISERROR(SEARCH("清車",T671)))</formula>
    </cfRule>
    <cfRule type="containsText" dxfId="229" priority="325" operator="containsText" text="改紡">
      <formula>NOT(ISERROR(SEARCH("改紡",T671)))</formula>
    </cfRule>
    <cfRule type="containsText" dxfId="228" priority="326" operator="containsText" text="了機">
      <formula>NOT(ISERROR(SEARCH("了機",T671)))</formula>
    </cfRule>
  </conditionalFormatting>
  <conditionalFormatting sqref="T672:T680">
    <cfRule type="containsText" dxfId="227" priority="321" operator="containsText" text="清車">
      <formula>NOT(ISERROR(SEARCH("清車",T672)))</formula>
    </cfRule>
    <cfRule type="containsText" dxfId="226" priority="322" operator="containsText" text="改紡">
      <formula>NOT(ISERROR(SEARCH("改紡",T672)))</formula>
    </cfRule>
    <cfRule type="containsText" dxfId="225" priority="323" operator="containsText" text="了機">
      <formula>NOT(ISERROR(SEARCH("了機",T672)))</formula>
    </cfRule>
  </conditionalFormatting>
  <conditionalFormatting sqref="T710:T711 U710:U719">
    <cfRule type="containsText" dxfId="224" priority="291" operator="containsText" text="清車">
      <formula>NOT(ISERROR(SEARCH("清車",T710)))</formula>
    </cfRule>
    <cfRule type="containsText" dxfId="223" priority="292" operator="containsText" text="改紡">
      <formula>NOT(ISERROR(SEARCH("改紡",T710)))</formula>
    </cfRule>
    <cfRule type="containsText" dxfId="222" priority="293" operator="containsText" text="了機">
      <formula>NOT(ISERROR(SEARCH("了機",T710)))</formula>
    </cfRule>
  </conditionalFormatting>
  <conditionalFormatting sqref="T711:T719">
    <cfRule type="containsText" dxfId="221" priority="288" operator="containsText" text="清車">
      <formula>NOT(ISERROR(SEARCH("清車",T711)))</formula>
    </cfRule>
    <cfRule type="containsText" dxfId="220" priority="289" operator="containsText" text="改紡">
      <formula>NOT(ISERROR(SEARCH("改紡",T711)))</formula>
    </cfRule>
    <cfRule type="containsText" dxfId="219" priority="290" operator="containsText" text="了機">
      <formula>NOT(ISERROR(SEARCH("了機",T711)))</formula>
    </cfRule>
  </conditionalFormatting>
  <conditionalFormatting sqref="T749:T750 U749:U758">
    <cfRule type="containsText" dxfId="218" priority="261" operator="containsText" text="清車">
      <formula>NOT(ISERROR(SEARCH("清車",T749)))</formula>
    </cfRule>
    <cfRule type="containsText" dxfId="217" priority="262" operator="containsText" text="改紡">
      <formula>NOT(ISERROR(SEARCH("改紡",T749)))</formula>
    </cfRule>
    <cfRule type="containsText" dxfId="216" priority="263" operator="containsText" text="了機">
      <formula>NOT(ISERROR(SEARCH("了機",T749)))</formula>
    </cfRule>
  </conditionalFormatting>
  <conditionalFormatting sqref="T750:T758">
    <cfRule type="containsText" dxfId="215" priority="258" operator="containsText" text="清車">
      <formula>NOT(ISERROR(SEARCH("清車",T750)))</formula>
    </cfRule>
    <cfRule type="containsText" dxfId="214" priority="259" operator="containsText" text="改紡">
      <formula>NOT(ISERROR(SEARCH("改紡",T750)))</formula>
    </cfRule>
    <cfRule type="containsText" dxfId="213" priority="260" operator="containsText" text="了機">
      <formula>NOT(ISERROR(SEARCH("了機",T750)))</formula>
    </cfRule>
  </conditionalFormatting>
  <conditionalFormatting sqref="T789">
    <cfRule type="containsText" dxfId="212" priority="237" operator="containsText" text="清車">
      <formula>NOT(ISERROR(SEARCH("清車",T789)))</formula>
    </cfRule>
    <cfRule type="containsText" dxfId="211" priority="238" operator="containsText" text="改紡">
      <formula>NOT(ISERROR(SEARCH("改紡",T789)))</formula>
    </cfRule>
    <cfRule type="containsText" dxfId="210" priority="239" operator="containsText" text="了機">
      <formula>NOT(ISERROR(SEARCH("了機",T789)))</formula>
    </cfRule>
  </conditionalFormatting>
  <conditionalFormatting sqref="T827:T828 U827:U836">
    <cfRule type="containsText" dxfId="209" priority="213" operator="containsText" text="清車">
      <formula>NOT(ISERROR(SEARCH("清車",T827)))</formula>
    </cfRule>
    <cfRule type="containsText" dxfId="208" priority="214" operator="containsText" text="改紡">
      <formula>NOT(ISERROR(SEARCH("改紡",T827)))</formula>
    </cfRule>
    <cfRule type="containsText" dxfId="207" priority="215" operator="containsText" text="了機">
      <formula>NOT(ISERROR(SEARCH("了機",T827)))</formula>
    </cfRule>
  </conditionalFormatting>
  <conditionalFormatting sqref="T828:T836">
    <cfRule type="containsText" dxfId="206" priority="210" operator="containsText" text="清車">
      <formula>NOT(ISERROR(SEARCH("清車",T828)))</formula>
    </cfRule>
    <cfRule type="containsText" dxfId="205" priority="211" operator="containsText" text="改紡">
      <formula>NOT(ISERROR(SEARCH("改紡",T828)))</formula>
    </cfRule>
    <cfRule type="containsText" dxfId="204" priority="212" operator="containsText" text="了機">
      <formula>NOT(ISERROR(SEARCH("了機",T828)))</formula>
    </cfRule>
  </conditionalFormatting>
  <conditionalFormatting sqref="T866:T867 U866:U875">
    <cfRule type="containsText" dxfId="203" priority="171" operator="containsText" text="清車">
      <formula>NOT(ISERROR(SEARCH("清車",T866)))</formula>
    </cfRule>
    <cfRule type="containsText" dxfId="202" priority="172" operator="containsText" text="改紡">
      <formula>NOT(ISERROR(SEARCH("改紡",T866)))</formula>
    </cfRule>
    <cfRule type="containsText" dxfId="201" priority="173" operator="containsText" text="了機">
      <formula>NOT(ISERROR(SEARCH("了機",T866)))</formula>
    </cfRule>
  </conditionalFormatting>
  <conditionalFormatting sqref="T867:T875">
    <cfRule type="containsText" dxfId="200" priority="168" operator="containsText" text="清車">
      <formula>NOT(ISERROR(SEARCH("清車",T867)))</formula>
    </cfRule>
    <cfRule type="containsText" dxfId="199" priority="169" operator="containsText" text="改紡">
      <formula>NOT(ISERROR(SEARCH("改紡",T867)))</formula>
    </cfRule>
    <cfRule type="containsText" dxfId="198" priority="170" operator="containsText" text="了機">
      <formula>NOT(ISERROR(SEARCH("了機",T867)))</formula>
    </cfRule>
  </conditionalFormatting>
  <conditionalFormatting sqref="T905:T906 U905:U914">
    <cfRule type="containsText" dxfId="197" priority="120" operator="containsText" text="清車">
      <formula>NOT(ISERROR(SEARCH("清車",T905)))</formula>
    </cfRule>
    <cfRule type="containsText" dxfId="196" priority="121" operator="containsText" text="改紡">
      <formula>NOT(ISERROR(SEARCH("改紡",T905)))</formula>
    </cfRule>
    <cfRule type="containsText" dxfId="195" priority="122" operator="containsText" text="了機">
      <formula>NOT(ISERROR(SEARCH("了機",T905)))</formula>
    </cfRule>
  </conditionalFormatting>
  <conditionalFormatting sqref="T906:T914">
    <cfRule type="containsText" dxfId="194" priority="117" operator="containsText" text="清車">
      <formula>NOT(ISERROR(SEARCH("清車",T906)))</formula>
    </cfRule>
    <cfRule type="containsText" dxfId="193" priority="118" operator="containsText" text="改紡">
      <formula>NOT(ISERROR(SEARCH("改紡",T906)))</formula>
    </cfRule>
    <cfRule type="containsText" dxfId="192" priority="119" operator="containsText" text="了機">
      <formula>NOT(ISERROR(SEARCH("了機",T906)))</formula>
    </cfRule>
  </conditionalFormatting>
  <conditionalFormatting sqref="T944:T945 U944:U953">
    <cfRule type="containsText" dxfId="191" priority="81" operator="containsText" text="清車">
      <formula>NOT(ISERROR(SEARCH("清車",T944)))</formula>
    </cfRule>
    <cfRule type="containsText" dxfId="190" priority="82" operator="containsText" text="改紡">
      <formula>NOT(ISERROR(SEARCH("改紡",T944)))</formula>
    </cfRule>
    <cfRule type="containsText" dxfId="189" priority="83" operator="containsText" text="了機">
      <formula>NOT(ISERROR(SEARCH("了機",T944)))</formula>
    </cfRule>
  </conditionalFormatting>
  <conditionalFormatting sqref="T945:T953">
    <cfRule type="containsText" dxfId="188" priority="78" operator="containsText" text="清車">
      <formula>NOT(ISERROR(SEARCH("清車",T945)))</formula>
    </cfRule>
    <cfRule type="containsText" dxfId="187" priority="79" operator="containsText" text="改紡">
      <formula>NOT(ISERROR(SEARCH("改紡",T945)))</formula>
    </cfRule>
    <cfRule type="containsText" dxfId="186" priority="80" operator="containsText" text="了機">
      <formula>NOT(ISERROR(SEARCH("了機",T945)))</formula>
    </cfRule>
  </conditionalFormatting>
  <conditionalFormatting sqref="T2:U433">
    <cfRule type="containsText" dxfId="185" priority="489" operator="containsText" text="清車">
      <formula>NOT(ISERROR(SEARCH("清車",T2)))</formula>
    </cfRule>
    <cfRule type="containsText" dxfId="184" priority="490" operator="containsText" text="改紡">
      <formula>NOT(ISERROR(SEARCH("改紡",T2)))</formula>
    </cfRule>
    <cfRule type="containsText" dxfId="183" priority="491" operator="containsText" text="了機">
      <formula>NOT(ISERROR(SEARCH("了機",T2)))</formula>
    </cfRule>
  </conditionalFormatting>
  <conditionalFormatting sqref="T444:U473">
    <cfRule type="containsText" dxfId="182" priority="492" operator="containsText" text="清車">
      <formula>NOT(ISERROR(SEARCH("清車",T444)))</formula>
    </cfRule>
    <cfRule type="containsText" dxfId="181" priority="493" operator="containsText" text="改紡">
      <formula>NOT(ISERROR(SEARCH("改紡",T444)))</formula>
    </cfRule>
    <cfRule type="containsText" dxfId="180" priority="494" operator="containsText" text="了機">
      <formula>NOT(ISERROR(SEARCH("了機",T444)))</formula>
    </cfRule>
  </conditionalFormatting>
  <conditionalFormatting sqref="T484:U513">
    <cfRule type="containsText" dxfId="179" priority="453" operator="containsText" text="清車">
      <formula>NOT(ISERROR(SEARCH("清車",T484)))</formula>
    </cfRule>
    <cfRule type="containsText" dxfId="178" priority="454" operator="containsText" text="改紡">
      <formula>NOT(ISERROR(SEARCH("改紡",T484)))</formula>
    </cfRule>
    <cfRule type="containsText" dxfId="177" priority="455" operator="containsText" text="了機">
      <formula>NOT(ISERROR(SEARCH("了機",T484)))</formula>
    </cfRule>
  </conditionalFormatting>
  <conditionalFormatting sqref="T524:U553">
    <cfRule type="containsText" dxfId="176" priority="420" operator="containsText" text="清車">
      <formula>NOT(ISERROR(SEARCH("清車",T524)))</formula>
    </cfRule>
    <cfRule type="containsText" dxfId="175" priority="421" operator="containsText" text="改紡">
      <formula>NOT(ISERROR(SEARCH("改紡",T524)))</formula>
    </cfRule>
    <cfRule type="containsText" dxfId="174" priority="422" operator="containsText" text="了機">
      <formula>NOT(ISERROR(SEARCH("了機",T524)))</formula>
    </cfRule>
  </conditionalFormatting>
  <conditionalFormatting sqref="T564:U592">
    <cfRule type="containsText" dxfId="173" priority="384" operator="containsText" text="清車">
      <formula>NOT(ISERROR(SEARCH("清車",T564)))</formula>
    </cfRule>
    <cfRule type="containsText" dxfId="172" priority="385" operator="containsText" text="改紡">
      <formula>NOT(ISERROR(SEARCH("改紡",T564)))</formula>
    </cfRule>
    <cfRule type="containsText" dxfId="171" priority="386" operator="containsText" text="了機">
      <formula>NOT(ISERROR(SEARCH("了機",T564)))</formula>
    </cfRule>
  </conditionalFormatting>
  <conditionalFormatting sqref="T603:U631">
    <cfRule type="containsText" dxfId="170" priority="348" operator="containsText" text="清車">
      <formula>NOT(ISERROR(SEARCH("清車",T603)))</formula>
    </cfRule>
    <cfRule type="containsText" dxfId="169" priority="349" operator="containsText" text="改紡">
      <formula>NOT(ISERROR(SEARCH("改紡",T603)))</formula>
    </cfRule>
    <cfRule type="containsText" dxfId="168" priority="350" operator="containsText" text="了機">
      <formula>NOT(ISERROR(SEARCH("了機",T603)))</formula>
    </cfRule>
  </conditionalFormatting>
  <conditionalFormatting sqref="T642:U670">
    <cfRule type="containsText" dxfId="167" priority="315" operator="containsText" text="清車">
      <formula>NOT(ISERROR(SEARCH("清車",T642)))</formula>
    </cfRule>
    <cfRule type="containsText" dxfId="166" priority="316" operator="containsText" text="改紡">
      <formula>NOT(ISERROR(SEARCH("改紡",T642)))</formula>
    </cfRule>
    <cfRule type="containsText" dxfId="165" priority="317" operator="containsText" text="了機">
      <formula>NOT(ISERROR(SEARCH("了機",T642)))</formula>
    </cfRule>
  </conditionalFormatting>
  <conditionalFormatting sqref="T681:U709">
    <cfRule type="containsText" dxfId="164" priority="201" operator="containsText" text="清車">
      <formula>NOT(ISERROR(SEARCH("清車",T681)))</formula>
    </cfRule>
    <cfRule type="containsText" dxfId="163" priority="202" operator="containsText" text="改紡">
      <formula>NOT(ISERROR(SEARCH("改紡",T681)))</formula>
    </cfRule>
    <cfRule type="containsText" dxfId="162" priority="203" operator="containsText" text="了機">
      <formula>NOT(ISERROR(SEARCH("了機",T681)))</formula>
    </cfRule>
  </conditionalFormatting>
  <conditionalFormatting sqref="T720:U748">
    <cfRule type="containsText" dxfId="161" priority="165" operator="containsText" text="清車">
      <formula>NOT(ISERROR(SEARCH("清車",T720)))</formula>
    </cfRule>
    <cfRule type="containsText" dxfId="160" priority="166" operator="containsText" text="改紡">
      <formula>NOT(ISERROR(SEARCH("改紡",T720)))</formula>
    </cfRule>
    <cfRule type="containsText" dxfId="159" priority="167" operator="containsText" text="了機">
      <formula>NOT(ISERROR(SEARCH("了機",T720)))</formula>
    </cfRule>
  </conditionalFormatting>
  <conditionalFormatting sqref="T759:U826">
    <cfRule type="containsText" dxfId="158" priority="153" operator="containsText" text="清車">
      <formula>NOT(ISERROR(SEARCH("清車",T759)))</formula>
    </cfRule>
    <cfRule type="containsText" dxfId="157" priority="154" operator="containsText" text="改紡">
      <formula>NOT(ISERROR(SEARCH("改紡",T759)))</formula>
    </cfRule>
    <cfRule type="containsText" dxfId="156" priority="155" operator="containsText" text="了機">
      <formula>NOT(ISERROR(SEARCH("了機",T759)))</formula>
    </cfRule>
  </conditionalFormatting>
  <conditionalFormatting sqref="T837:U865">
    <cfRule type="containsText" dxfId="155" priority="147" operator="containsText" text="清車">
      <formula>NOT(ISERROR(SEARCH("清車",T837)))</formula>
    </cfRule>
    <cfRule type="containsText" dxfId="154" priority="148" operator="containsText" text="改紡">
      <formula>NOT(ISERROR(SEARCH("改紡",T837)))</formula>
    </cfRule>
    <cfRule type="containsText" dxfId="153" priority="149" operator="containsText" text="了機">
      <formula>NOT(ISERROR(SEARCH("了機",T837)))</formula>
    </cfRule>
  </conditionalFormatting>
  <conditionalFormatting sqref="T876:U904">
    <cfRule type="containsText" dxfId="152" priority="114" operator="containsText" text="清車">
      <formula>NOT(ISERROR(SEARCH("清車",T876)))</formula>
    </cfRule>
    <cfRule type="containsText" dxfId="151" priority="115" operator="containsText" text="改紡">
      <formula>NOT(ISERROR(SEARCH("改紡",T876)))</formula>
    </cfRule>
    <cfRule type="containsText" dxfId="150" priority="116" operator="containsText" text="了機">
      <formula>NOT(ISERROR(SEARCH("了機",T876)))</formula>
    </cfRule>
  </conditionalFormatting>
  <conditionalFormatting sqref="T915:U943">
    <cfRule type="containsText" dxfId="149" priority="72" operator="containsText" text="清車">
      <formula>NOT(ISERROR(SEARCH("清車",T915)))</formula>
    </cfRule>
    <cfRule type="containsText" dxfId="148" priority="73" operator="containsText" text="改紡">
      <formula>NOT(ISERROR(SEARCH("改紡",T915)))</formula>
    </cfRule>
    <cfRule type="containsText" dxfId="147" priority="74" operator="containsText" text="了機">
      <formula>NOT(ISERROR(SEARCH("了機",T915)))</formula>
    </cfRule>
  </conditionalFormatting>
  <conditionalFormatting sqref="T954:U1231">
    <cfRule type="containsText" dxfId="146" priority="8" operator="containsText" text="清車">
      <formula>NOT(ISERROR(SEARCH("清車",T954)))</formula>
    </cfRule>
    <cfRule type="containsText" dxfId="145" priority="9" operator="containsText" text="改紡">
      <formula>NOT(ISERROR(SEARCH("改紡",T954)))</formula>
    </cfRule>
    <cfRule type="containsText" dxfId="144" priority="10" operator="containsText" text="了機">
      <formula>NOT(ISERROR(SEARCH("了機",T954)))</formula>
    </cfRule>
  </conditionalFormatting>
  <conditionalFormatting sqref="X434:X435 Y434:Y443">
    <cfRule type="containsText" dxfId="143" priority="540" operator="containsText" text="清車">
      <formula>NOT(ISERROR(SEARCH("清車",X434)))</formula>
    </cfRule>
    <cfRule type="containsText" dxfId="142" priority="541" operator="containsText" text="改紡">
      <formula>NOT(ISERROR(SEARCH("改紡",X434)))</formula>
    </cfRule>
    <cfRule type="containsText" dxfId="141" priority="542" operator="containsText" text="了機">
      <formula>NOT(ISERROR(SEARCH("了機",X434)))</formula>
    </cfRule>
  </conditionalFormatting>
  <conditionalFormatting sqref="X435:X443">
    <cfRule type="containsText" dxfId="140" priority="537" operator="containsText" text="清車">
      <formula>NOT(ISERROR(SEARCH("清車",X435)))</formula>
    </cfRule>
    <cfRule type="containsText" dxfId="139" priority="538" operator="containsText" text="改紡">
      <formula>NOT(ISERROR(SEARCH("改紡",X435)))</formula>
    </cfRule>
    <cfRule type="containsText" dxfId="138" priority="539" operator="containsText" text="了機">
      <formula>NOT(ISERROR(SEARCH("了機",X435)))</formula>
    </cfRule>
  </conditionalFormatting>
  <conditionalFormatting sqref="X474:X475 Y474:Y483">
    <cfRule type="containsText" dxfId="137" priority="525" operator="containsText" text="清車">
      <formula>NOT(ISERROR(SEARCH("清車",X474)))</formula>
    </cfRule>
    <cfRule type="containsText" dxfId="136" priority="526" operator="containsText" text="改紡">
      <formula>NOT(ISERROR(SEARCH("改紡",X474)))</formula>
    </cfRule>
    <cfRule type="containsText" dxfId="135" priority="527" operator="containsText" text="了機">
      <formula>NOT(ISERROR(SEARCH("了機",X474)))</formula>
    </cfRule>
  </conditionalFormatting>
  <conditionalFormatting sqref="X475:X483">
    <cfRule type="containsText" dxfId="134" priority="522" operator="containsText" text="清車">
      <formula>NOT(ISERROR(SEARCH("清車",X475)))</formula>
    </cfRule>
    <cfRule type="containsText" dxfId="133" priority="523" operator="containsText" text="改紡">
      <formula>NOT(ISERROR(SEARCH("改紡",X475)))</formula>
    </cfRule>
    <cfRule type="containsText" dxfId="132" priority="524" operator="containsText" text="了機">
      <formula>NOT(ISERROR(SEARCH("了機",X475)))</formula>
    </cfRule>
  </conditionalFormatting>
  <conditionalFormatting sqref="X514:X515 Y514:Y523">
    <cfRule type="containsText" dxfId="131" priority="486" operator="containsText" text="清車">
      <formula>NOT(ISERROR(SEARCH("清車",X514)))</formula>
    </cfRule>
    <cfRule type="containsText" dxfId="130" priority="487" operator="containsText" text="改紡">
      <formula>NOT(ISERROR(SEARCH("改紡",X514)))</formula>
    </cfRule>
    <cfRule type="containsText" dxfId="129" priority="488" operator="containsText" text="了機">
      <formula>NOT(ISERROR(SEARCH("了機",X514)))</formula>
    </cfRule>
  </conditionalFormatting>
  <conditionalFormatting sqref="X515:X523">
    <cfRule type="containsText" dxfId="128" priority="483" operator="containsText" text="清車">
      <formula>NOT(ISERROR(SEARCH("清車",X515)))</formula>
    </cfRule>
    <cfRule type="containsText" dxfId="127" priority="484" operator="containsText" text="改紡">
      <formula>NOT(ISERROR(SEARCH("改紡",X515)))</formula>
    </cfRule>
    <cfRule type="containsText" dxfId="126" priority="485" operator="containsText" text="了機">
      <formula>NOT(ISERROR(SEARCH("了機",X515)))</formula>
    </cfRule>
  </conditionalFormatting>
  <conditionalFormatting sqref="X554:X555 Y554:Y563">
    <cfRule type="containsText" dxfId="125" priority="450" operator="containsText" text="清車">
      <formula>NOT(ISERROR(SEARCH("清車",X554)))</formula>
    </cfRule>
    <cfRule type="containsText" dxfId="124" priority="451" operator="containsText" text="改紡">
      <formula>NOT(ISERROR(SEARCH("改紡",X554)))</formula>
    </cfRule>
    <cfRule type="containsText" dxfId="123" priority="452" operator="containsText" text="了機">
      <formula>NOT(ISERROR(SEARCH("了機",X554)))</formula>
    </cfRule>
  </conditionalFormatting>
  <conditionalFormatting sqref="X555:X563">
    <cfRule type="containsText" dxfId="122" priority="447" operator="containsText" text="清車">
      <formula>NOT(ISERROR(SEARCH("清車",X555)))</formula>
    </cfRule>
    <cfRule type="containsText" dxfId="121" priority="448" operator="containsText" text="改紡">
      <formula>NOT(ISERROR(SEARCH("改紡",X555)))</formula>
    </cfRule>
    <cfRule type="containsText" dxfId="120" priority="449" operator="containsText" text="了機">
      <formula>NOT(ISERROR(SEARCH("了機",X555)))</formula>
    </cfRule>
  </conditionalFormatting>
  <conditionalFormatting sqref="X593:X594 Y593:Y602">
    <cfRule type="containsText" dxfId="119" priority="414" operator="containsText" text="清車">
      <formula>NOT(ISERROR(SEARCH("清車",X593)))</formula>
    </cfRule>
    <cfRule type="containsText" dxfId="118" priority="415" operator="containsText" text="改紡">
      <formula>NOT(ISERROR(SEARCH("改紡",X593)))</formula>
    </cfRule>
    <cfRule type="containsText" dxfId="117" priority="416" operator="containsText" text="了機">
      <formula>NOT(ISERROR(SEARCH("了機",X593)))</formula>
    </cfRule>
  </conditionalFormatting>
  <conditionalFormatting sqref="X594:X602">
    <cfRule type="containsText" dxfId="116" priority="411" operator="containsText" text="清車">
      <formula>NOT(ISERROR(SEARCH("清車",X594)))</formula>
    </cfRule>
    <cfRule type="containsText" dxfId="115" priority="412" operator="containsText" text="改紡">
      <formula>NOT(ISERROR(SEARCH("改紡",X594)))</formula>
    </cfRule>
    <cfRule type="containsText" dxfId="114" priority="413" operator="containsText" text="了機">
      <formula>NOT(ISERROR(SEARCH("了機",X594)))</formula>
    </cfRule>
  </conditionalFormatting>
  <conditionalFormatting sqref="X632:X633 Y632:Y641">
    <cfRule type="containsText" dxfId="113" priority="378" operator="containsText" text="清車">
      <formula>NOT(ISERROR(SEARCH("清車",X632)))</formula>
    </cfRule>
    <cfRule type="containsText" dxfId="112" priority="379" operator="containsText" text="改紡">
      <formula>NOT(ISERROR(SEARCH("改紡",X632)))</formula>
    </cfRule>
    <cfRule type="containsText" dxfId="111" priority="380" operator="containsText" text="了機">
      <formula>NOT(ISERROR(SEARCH("了機",X632)))</formula>
    </cfRule>
  </conditionalFormatting>
  <conditionalFormatting sqref="X633:X641">
    <cfRule type="containsText" dxfId="110" priority="375" operator="containsText" text="清車">
      <formula>NOT(ISERROR(SEARCH("清車",X633)))</formula>
    </cfRule>
    <cfRule type="containsText" dxfId="109" priority="376" operator="containsText" text="改紡">
      <formula>NOT(ISERROR(SEARCH("改紡",X633)))</formula>
    </cfRule>
    <cfRule type="containsText" dxfId="108" priority="377" operator="containsText" text="了機">
      <formula>NOT(ISERROR(SEARCH("了機",X633)))</formula>
    </cfRule>
  </conditionalFormatting>
  <conditionalFormatting sqref="X671:X672 Y671:Y680">
    <cfRule type="containsText" dxfId="107" priority="342" operator="containsText" text="清車">
      <formula>NOT(ISERROR(SEARCH("清車",X671)))</formula>
    </cfRule>
    <cfRule type="containsText" dxfId="106" priority="343" operator="containsText" text="改紡">
      <formula>NOT(ISERROR(SEARCH("改紡",X671)))</formula>
    </cfRule>
    <cfRule type="containsText" dxfId="105" priority="344" operator="containsText" text="了機">
      <formula>NOT(ISERROR(SEARCH("了機",X671)))</formula>
    </cfRule>
  </conditionalFormatting>
  <conditionalFormatting sqref="X672:X680">
    <cfRule type="containsText" dxfId="104" priority="339" operator="containsText" text="清車">
      <formula>NOT(ISERROR(SEARCH("清車",X672)))</formula>
    </cfRule>
    <cfRule type="containsText" dxfId="103" priority="340" operator="containsText" text="改紡">
      <formula>NOT(ISERROR(SEARCH("改紡",X672)))</formula>
    </cfRule>
    <cfRule type="containsText" dxfId="102" priority="341" operator="containsText" text="了機">
      <formula>NOT(ISERROR(SEARCH("了機",X672)))</formula>
    </cfRule>
  </conditionalFormatting>
  <conditionalFormatting sqref="X710:X711 Y710:Y719">
    <cfRule type="containsText" dxfId="101" priority="309" operator="containsText" text="清車">
      <formula>NOT(ISERROR(SEARCH("清車",X710)))</formula>
    </cfRule>
    <cfRule type="containsText" dxfId="100" priority="310" operator="containsText" text="改紡">
      <formula>NOT(ISERROR(SEARCH("改紡",X710)))</formula>
    </cfRule>
    <cfRule type="containsText" dxfId="99" priority="311" operator="containsText" text="了機">
      <formula>NOT(ISERROR(SEARCH("了機",X710)))</formula>
    </cfRule>
  </conditionalFormatting>
  <conditionalFormatting sqref="X711:X719">
    <cfRule type="containsText" dxfId="98" priority="306" operator="containsText" text="清車">
      <formula>NOT(ISERROR(SEARCH("清車",X711)))</formula>
    </cfRule>
    <cfRule type="containsText" dxfId="97" priority="307" operator="containsText" text="改紡">
      <formula>NOT(ISERROR(SEARCH("改紡",X711)))</formula>
    </cfRule>
    <cfRule type="containsText" dxfId="96" priority="308" operator="containsText" text="了機">
      <formula>NOT(ISERROR(SEARCH("了機",X711)))</formula>
    </cfRule>
  </conditionalFormatting>
  <conditionalFormatting sqref="X749:X750 Y749:Y758">
    <cfRule type="containsText" dxfId="95" priority="282" operator="containsText" text="清車">
      <formula>NOT(ISERROR(SEARCH("清車",X749)))</formula>
    </cfRule>
    <cfRule type="containsText" dxfId="94" priority="283" operator="containsText" text="改紡">
      <formula>NOT(ISERROR(SEARCH("改紡",X749)))</formula>
    </cfRule>
    <cfRule type="containsText" dxfId="93" priority="284" operator="containsText" text="了機">
      <formula>NOT(ISERROR(SEARCH("了機",X749)))</formula>
    </cfRule>
  </conditionalFormatting>
  <conditionalFormatting sqref="X750:X758">
    <cfRule type="containsText" dxfId="92" priority="279" operator="containsText" text="清車">
      <formula>NOT(ISERROR(SEARCH("清車",X750)))</formula>
    </cfRule>
    <cfRule type="containsText" dxfId="91" priority="280" operator="containsText" text="改紡">
      <formula>NOT(ISERROR(SEARCH("改紡",X750)))</formula>
    </cfRule>
    <cfRule type="containsText" dxfId="90" priority="281" operator="containsText" text="了機">
      <formula>NOT(ISERROR(SEARCH("了機",X750)))</formula>
    </cfRule>
  </conditionalFormatting>
  <conditionalFormatting sqref="X789">
    <cfRule type="containsText" dxfId="89" priority="252" operator="containsText" text="清車">
      <formula>NOT(ISERROR(SEARCH("清車",X789)))</formula>
    </cfRule>
    <cfRule type="containsText" dxfId="88" priority="253" operator="containsText" text="改紡">
      <formula>NOT(ISERROR(SEARCH("改紡",X789)))</formula>
    </cfRule>
    <cfRule type="containsText" dxfId="87" priority="254" operator="containsText" text="了機">
      <formula>NOT(ISERROR(SEARCH("了機",X789)))</formula>
    </cfRule>
  </conditionalFormatting>
  <conditionalFormatting sqref="X827:X828 Y827:Y836">
    <cfRule type="containsText" dxfId="86" priority="234" operator="containsText" text="清車">
      <formula>NOT(ISERROR(SEARCH("清車",X827)))</formula>
    </cfRule>
    <cfRule type="containsText" dxfId="85" priority="235" operator="containsText" text="改紡">
      <formula>NOT(ISERROR(SEARCH("改紡",X827)))</formula>
    </cfRule>
    <cfRule type="containsText" dxfId="84" priority="236" operator="containsText" text="了機">
      <formula>NOT(ISERROR(SEARCH("了機",X827)))</formula>
    </cfRule>
  </conditionalFormatting>
  <conditionalFormatting sqref="X828:X836">
    <cfRule type="containsText" dxfId="83" priority="231" operator="containsText" text="清車">
      <formula>NOT(ISERROR(SEARCH("清車",X828)))</formula>
    </cfRule>
    <cfRule type="containsText" dxfId="82" priority="232" operator="containsText" text="改紡">
      <formula>NOT(ISERROR(SEARCH("改紡",X828)))</formula>
    </cfRule>
    <cfRule type="containsText" dxfId="81" priority="233" operator="containsText" text="了機">
      <formula>NOT(ISERROR(SEARCH("了機",X828)))</formula>
    </cfRule>
  </conditionalFormatting>
  <conditionalFormatting sqref="X866:X867 Y866:Y875">
    <cfRule type="containsText" dxfId="80" priority="192" operator="containsText" text="清車">
      <formula>NOT(ISERROR(SEARCH("清車",X866)))</formula>
    </cfRule>
    <cfRule type="containsText" dxfId="79" priority="193" operator="containsText" text="改紡">
      <formula>NOT(ISERROR(SEARCH("改紡",X866)))</formula>
    </cfRule>
    <cfRule type="containsText" dxfId="78" priority="194" operator="containsText" text="了機">
      <formula>NOT(ISERROR(SEARCH("了機",X866)))</formula>
    </cfRule>
  </conditionalFormatting>
  <conditionalFormatting sqref="X867:X875">
    <cfRule type="containsText" dxfId="77" priority="189" operator="containsText" text="清車">
      <formula>NOT(ISERROR(SEARCH("清車",X867)))</formula>
    </cfRule>
    <cfRule type="containsText" dxfId="76" priority="190" operator="containsText" text="改紡">
      <formula>NOT(ISERROR(SEARCH("改紡",X867)))</formula>
    </cfRule>
    <cfRule type="containsText" dxfId="75" priority="191" operator="containsText" text="了機">
      <formula>NOT(ISERROR(SEARCH("了機",X867)))</formula>
    </cfRule>
  </conditionalFormatting>
  <conditionalFormatting sqref="X905:X906 Y905:Y914">
    <cfRule type="containsText" dxfId="74" priority="138" operator="containsText" text="清車">
      <formula>NOT(ISERROR(SEARCH("清車",X905)))</formula>
    </cfRule>
    <cfRule type="containsText" dxfId="73" priority="139" operator="containsText" text="改紡">
      <formula>NOT(ISERROR(SEARCH("改紡",X905)))</formula>
    </cfRule>
    <cfRule type="containsText" dxfId="72" priority="140" operator="containsText" text="了機">
      <formula>NOT(ISERROR(SEARCH("了機",X905)))</formula>
    </cfRule>
  </conditionalFormatting>
  <conditionalFormatting sqref="X906:X914">
    <cfRule type="containsText" dxfId="71" priority="135" operator="containsText" text="清車">
      <formula>NOT(ISERROR(SEARCH("清車",X906)))</formula>
    </cfRule>
    <cfRule type="containsText" dxfId="70" priority="136" operator="containsText" text="改紡">
      <formula>NOT(ISERROR(SEARCH("改紡",X906)))</formula>
    </cfRule>
    <cfRule type="containsText" dxfId="69" priority="137" operator="containsText" text="了機">
      <formula>NOT(ISERROR(SEARCH("了機",X906)))</formula>
    </cfRule>
  </conditionalFormatting>
  <conditionalFormatting sqref="X944:X945 Y944:Y953">
    <cfRule type="containsText" dxfId="68" priority="102" operator="containsText" text="清車">
      <formula>NOT(ISERROR(SEARCH("清車",X944)))</formula>
    </cfRule>
    <cfRule type="containsText" dxfId="67" priority="103" operator="containsText" text="改紡">
      <formula>NOT(ISERROR(SEARCH("改紡",X944)))</formula>
    </cfRule>
    <cfRule type="containsText" dxfId="66" priority="104" operator="containsText" text="了機">
      <formula>NOT(ISERROR(SEARCH("了機",X944)))</formula>
    </cfRule>
  </conditionalFormatting>
  <conditionalFormatting sqref="X945:X953">
    <cfRule type="containsText" dxfId="65" priority="99" operator="containsText" text="清車">
      <formula>NOT(ISERROR(SEARCH("清車",X945)))</formula>
    </cfRule>
    <cfRule type="containsText" dxfId="64" priority="100" operator="containsText" text="改紡">
      <formula>NOT(ISERROR(SEARCH("改紡",X945)))</formula>
    </cfRule>
    <cfRule type="containsText" dxfId="63" priority="101" operator="containsText" text="了機">
      <formula>NOT(ISERROR(SEARCH("了機",X945)))</formula>
    </cfRule>
  </conditionalFormatting>
  <conditionalFormatting sqref="X984">
    <cfRule type="containsText" dxfId="62" priority="54" operator="containsText" text="清車">
      <formula>NOT(ISERROR(SEARCH("清車",X984)))</formula>
    </cfRule>
    <cfRule type="containsText" dxfId="61" priority="55" operator="containsText" text="改紡">
      <formula>NOT(ISERROR(SEARCH("改紡",X984)))</formula>
    </cfRule>
    <cfRule type="containsText" dxfId="60" priority="56" operator="containsText" text="了機">
      <formula>NOT(ISERROR(SEARCH("了機",X984)))</formula>
    </cfRule>
  </conditionalFormatting>
  <conditionalFormatting sqref="X1023">
    <cfRule type="containsText" dxfId="59" priority="48" operator="containsText" text="清車">
      <formula>NOT(ISERROR(SEARCH("清車",X1023)))</formula>
    </cfRule>
    <cfRule type="containsText" dxfId="58" priority="49" operator="containsText" text="改紡">
      <formula>NOT(ISERROR(SEARCH("改紡",X1023)))</formula>
    </cfRule>
    <cfRule type="containsText" dxfId="57" priority="50" operator="containsText" text="了機">
      <formula>NOT(ISERROR(SEARCH("了機",X1023)))</formula>
    </cfRule>
  </conditionalFormatting>
  <conditionalFormatting sqref="X1062">
    <cfRule type="containsText" dxfId="56" priority="42" operator="containsText" text="清車">
      <formula>NOT(ISERROR(SEARCH("清車",X1062)))</formula>
    </cfRule>
    <cfRule type="containsText" dxfId="55" priority="43" operator="containsText" text="改紡">
      <formula>NOT(ISERROR(SEARCH("改紡",X1062)))</formula>
    </cfRule>
    <cfRule type="containsText" dxfId="54" priority="44" operator="containsText" text="了機">
      <formula>NOT(ISERROR(SEARCH("了機",X1062)))</formula>
    </cfRule>
  </conditionalFormatting>
  <conditionalFormatting sqref="X1101">
    <cfRule type="containsText" dxfId="53" priority="36" operator="containsText" text="清車">
      <formula>NOT(ISERROR(SEARCH("清車",X1101)))</formula>
    </cfRule>
    <cfRule type="containsText" dxfId="52" priority="37" operator="containsText" text="改紡">
      <formula>NOT(ISERROR(SEARCH("改紡",X1101)))</formula>
    </cfRule>
    <cfRule type="containsText" dxfId="51" priority="38" operator="containsText" text="了機">
      <formula>NOT(ISERROR(SEARCH("了機",X1101)))</formula>
    </cfRule>
  </conditionalFormatting>
  <conditionalFormatting sqref="X1142">
    <cfRule type="containsText" dxfId="50" priority="30" operator="containsText" text="清車">
      <formula>NOT(ISERROR(SEARCH("清車",X1142)))</formula>
    </cfRule>
    <cfRule type="containsText" dxfId="49" priority="31" operator="containsText" text="改紡">
      <formula>NOT(ISERROR(SEARCH("改紡",X1142)))</formula>
    </cfRule>
    <cfRule type="containsText" dxfId="48" priority="32" operator="containsText" text="了機">
      <formula>NOT(ISERROR(SEARCH("了機",X1142)))</formula>
    </cfRule>
  </conditionalFormatting>
  <conditionalFormatting sqref="X1183">
    <cfRule type="containsText" dxfId="47" priority="24" operator="containsText" text="清車">
      <formula>NOT(ISERROR(SEARCH("清車",X1183)))</formula>
    </cfRule>
    <cfRule type="containsText" dxfId="46" priority="25" operator="containsText" text="改紡">
      <formula>NOT(ISERROR(SEARCH("改紡",X1183)))</formula>
    </cfRule>
    <cfRule type="containsText" dxfId="45" priority="26" operator="containsText" text="了機">
      <formula>NOT(ISERROR(SEARCH("了機",X1183)))</formula>
    </cfRule>
  </conditionalFormatting>
  <conditionalFormatting sqref="X1223">
    <cfRule type="containsText" dxfId="44" priority="18" operator="containsText" text="清車">
      <formula>NOT(ISERROR(SEARCH("清車",X1223)))</formula>
    </cfRule>
    <cfRule type="containsText" dxfId="43" priority="19" operator="containsText" text="改紡">
      <formula>NOT(ISERROR(SEARCH("改紡",X1223)))</formula>
    </cfRule>
    <cfRule type="containsText" dxfId="42" priority="20" operator="containsText" text="了機">
      <formula>NOT(ISERROR(SEARCH("了機",X1223)))</formula>
    </cfRule>
  </conditionalFormatting>
  <conditionalFormatting sqref="X2:Y433">
    <cfRule type="containsText" dxfId="41" priority="534" operator="containsText" text="清車">
      <formula>NOT(ISERROR(SEARCH("清車",X2)))</formula>
    </cfRule>
    <cfRule type="containsText" dxfId="40" priority="535" operator="containsText" text="改紡">
      <formula>NOT(ISERROR(SEARCH("改紡",X2)))</formula>
    </cfRule>
    <cfRule type="containsText" dxfId="39" priority="536" operator="containsText" text="了機">
      <formula>NOT(ISERROR(SEARCH("了機",X2)))</formula>
    </cfRule>
  </conditionalFormatting>
  <conditionalFormatting sqref="X444:Y473">
    <cfRule type="containsText" dxfId="38" priority="519" operator="containsText" text="清車">
      <formula>NOT(ISERROR(SEARCH("清車",X444)))</formula>
    </cfRule>
    <cfRule type="containsText" dxfId="37" priority="520" operator="containsText" text="改紡">
      <formula>NOT(ISERROR(SEARCH("改紡",X444)))</formula>
    </cfRule>
    <cfRule type="containsText" dxfId="36" priority="521" operator="containsText" text="了機">
      <formula>NOT(ISERROR(SEARCH("了機",X444)))</formula>
    </cfRule>
  </conditionalFormatting>
  <conditionalFormatting sqref="X484:Y513">
    <cfRule type="containsText" dxfId="35" priority="480" operator="containsText" text="清車">
      <formula>NOT(ISERROR(SEARCH("清車",X484)))</formula>
    </cfRule>
    <cfRule type="containsText" dxfId="34" priority="481" operator="containsText" text="改紡">
      <formula>NOT(ISERROR(SEARCH("改紡",X484)))</formula>
    </cfRule>
    <cfRule type="containsText" dxfId="33" priority="482" operator="containsText" text="了機">
      <formula>NOT(ISERROR(SEARCH("了機",X484)))</formula>
    </cfRule>
  </conditionalFormatting>
  <conditionalFormatting sqref="X524:Y553">
    <cfRule type="containsText" dxfId="32" priority="444" operator="containsText" text="清車">
      <formula>NOT(ISERROR(SEARCH("清車",X524)))</formula>
    </cfRule>
    <cfRule type="containsText" dxfId="31" priority="445" operator="containsText" text="改紡">
      <formula>NOT(ISERROR(SEARCH("改紡",X524)))</formula>
    </cfRule>
    <cfRule type="containsText" dxfId="30" priority="446" operator="containsText" text="了機">
      <formula>NOT(ISERROR(SEARCH("了機",X524)))</formula>
    </cfRule>
  </conditionalFormatting>
  <conditionalFormatting sqref="X564:Y592">
    <cfRule type="containsText" dxfId="29" priority="381" operator="containsText" text="清車">
      <formula>NOT(ISERROR(SEARCH("清車",X564)))</formula>
    </cfRule>
    <cfRule type="containsText" dxfId="28" priority="382" operator="containsText" text="改紡">
      <formula>NOT(ISERROR(SEARCH("改紡",X564)))</formula>
    </cfRule>
    <cfRule type="containsText" dxfId="27" priority="383" operator="containsText" text="了機">
      <formula>NOT(ISERROR(SEARCH("了機",X564)))</formula>
    </cfRule>
  </conditionalFormatting>
  <conditionalFormatting sqref="X603:Y631">
    <cfRule type="containsText" dxfId="26" priority="345" operator="containsText" text="清車">
      <formula>NOT(ISERROR(SEARCH("清車",X603)))</formula>
    </cfRule>
    <cfRule type="containsText" dxfId="25" priority="346" operator="containsText" text="改紡">
      <formula>NOT(ISERROR(SEARCH("改紡",X603)))</formula>
    </cfRule>
    <cfRule type="containsText" dxfId="24" priority="347" operator="containsText" text="了機">
      <formula>NOT(ISERROR(SEARCH("了機",X603)))</formula>
    </cfRule>
  </conditionalFormatting>
  <conditionalFormatting sqref="X642:Y670">
    <cfRule type="containsText" dxfId="23" priority="312" operator="containsText" text="清車">
      <formula>NOT(ISERROR(SEARCH("清車",X642)))</formula>
    </cfRule>
    <cfRule type="containsText" dxfId="22" priority="313" operator="containsText" text="改紡">
      <formula>NOT(ISERROR(SEARCH("改紡",X642)))</formula>
    </cfRule>
    <cfRule type="containsText" dxfId="21" priority="314" operator="containsText" text="了機">
      <formula>NOT(ISERROR(SEARCH("了機",X642)))</formula>
    </cfRule>
  </conditionalFormatting>
  <conditionalFormatting sqref="X681:Y709">
    <cfRule type="containsText" dxfId="20" priority="198" operator="containsText" text="清車">
      <formula>NOT(ISERROR(SEARCH("清車",X681)))</formula>
    </cfRule>
    <cfRule type="containsText" dxfId="19" priority="199" operator="containsText" text="改紡">
      <formula>NOT(ISERROR(SEARCH("改紡",X681)))</formula>
    </cfRule>
    <cfRule type="containsText" dxfId="18" priority="200" operator="containsText" text="了機">
      <formula>NOT(ISERROR(SEARCH("了機",X681)))</formula>
    </cfRule>
  </conditionalFormatting>
  <conditionalFormatting sqref="X720:Y748">
    <cfRule type="containsText" dxfId="17" priority="162" operator="containsText" text="清車">
      <formula>NOT(ISERROR(SEARCH("清車",X720)))</formula>
    </cfRule>
    <cfRule type="containsText" dxfId="16" priority="163" operator="containsText" text="改紡">
      <formula>NOT(ISERROR(SEARCH("改紡",X720)))</formula>
    </cfRule>
    <cfRule type="containsText" dxfId="15" priority="164" operator="containsText" text="了機">
      <formula>NOT(ISERROR(SEARCH("了機",X720)))</formula>
    </cfRule>
  </conditionalFormatting>
  <conditionalFormatting sqref="X759:Y826">
    <cfRule type="containsText" dxfId="14" priority="156" operator="containsText" text="清車">
      <formula>NOT(ISERROR(SEARCH("清車",X759)))</formula>
    </cfRule>
    <cfRule type="containsText" dxfId="13" priority="157" operator="containsText" text="改紡">
      <formula>NOT(ISERROR(SEARCH("改紡",X759)))</formula>
    </cfRule>
    <cfRule type="containsText" dxfId="12" priority="158" operator="containsText" text="了機">
      <formula>NOT(ISERROR(SEARCH("了機",X759)))</formula>
    </cfRule>
  </conditionalFormatting>
  <conditionalFormatting sqref="X837:Y865">
    <cfRule type="containsText" dxfId="11" priority="144" operator="containsText" text="清車">
      <formula>NOT(ISERROR(SEARCH("清車",X837)))</formula>
    </cfRule>
    <cfRule type="containsText" dxfId="10" priority="145" operator="containsText" text="改紡">
      <formula>NOT(ISERROR(SEARCH("改紡",X837)))</formula>
    </cfRule>
    <cfRule type="containsText" dxfId="9" priority="146" operator="containsText" text="了機">
      <formula>NOT(ISERROR(SEARCH("了機",X837)))</formula>
    </cfRule>
  </conditionalFormatting>
  <conditionalFormatting sqref="X876:Y904">
    <cfRule type="containsText" dxfId="8" priority="108" operator="containsText" text="清車">
      <formula>NOT(ISERROR(SEARCH("清車",X876)))</formula>
    </cfRule>
    <cfRule type="containsText" dxfId="7" priority="109" operator="containsText" text="改紡">
      <formula>NOT(ISERROR(SEARCH("改紡",X876)))</formula>
    </cfRule>
    <cfRule type="containsText" dxfId="6" priority="110" operator="containsText" text="了機">
      <formula>NOT(ISERROR(SEARCH("了機",X876)))</formula>
    </cfRule>
  </conditionalFormatting>
  <conditionalFormatting sqref="X915:Y943">
    <cfRule type="containsText" dxfId="5" priority="57" operator="containsText" text="清車">
      <formula>NOT(ISERROR(SEARCH("清車",X915)))</formula>
    </cfRule>
    <cfRule type="containsText" dxfId="4" priority="58" operator="containsText" text="改紡">
      <formula>NOT(ISERROR(SEARCH("改紡",X915)))</formula>
    </cfRule>
    <cfRule type="containsText" dxfId="3" priority="59" operator="containsText" text="了機">
      <formula>NOT(ISERROR(SEARCH("了機",X915)))</formula>
    </cfRule>
  </conditionalFormatting>
  <conditionalFormatting sqref="X954:Y1231">
    <cfRule type="containsText" dxfId="2" priority="5" operator="containsText" text="清車">
      <formula>NOT(ISERROR(SEARCH("清車",X954)))</formula>
    </cfRule>
    <cfRule type="containsText" dxfId="1" priority="6" operator="containsText" text="改紡">
      <formula>NOT(ISERROR(SEARCH("改紡",X954)))</formula>
    </cfRule>
    <cfRule type="containsText" dxfId="0" priority="7" operator="containsText" text="了機">
      <formula>NOT(ISERROR(SEARCH("了機",X954)))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8"/>
  <dimension ref="A1:B5"/>
  <sheetViews>
    <sheetView zoomScaleNormal="100" workbookViewId="0">
      <selection activeCell="G1" sqref="G1"/>
    </sheetView>
  </sheetViews>
  <sheetFormatPr defaultRowHeight="16.5"/>
  <cols>
    <col min="1" max="2" width="10.125" customWidth="1"/>
  </cols>
  <sheetData>
    <row r="1" spans="1:2">
      <c r="A1" t="s">
        <v>152</v>
      </c>
      <c r="B1" t="s">
        <v>152</v>
      </c>
    </row>
    <row r="2" spans="1:2">
      <c r="A2" t="s">
        <v>257</v>
      </c>
      <c r="B2" t="s">
        <v>259</v>
      </c>
    </row>
    <row r="3" spans="1:2">
      <c r="A3" t="s">
        <v>258</v>
      </c>
      <c r="B3" t="s">
        <v>260</v>
      </c>
    </row>
    <row r="4" spans="1:2">
      <c r="B4" t="s">
        <v>261</v>
      </c>
    </row>
    <row r="5" spans="1:2">
      <c r="B5" t="s">
        <v>262</v>
      </c>
    </row>
  </sheetData>
  <phoneticPr fontId="1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30</vt:i4>
      </vt:variant>
      <vt:variant>
        <vt:lpstr>具名範圍</vt:lpstr>
      </vt:variant>
      <vt:variant>
        <vt:i4>13</vt:i4>
      </vt:variant>
    </vt:vector>
  </HeadingPairs>
  <TitlesOfParts>
    <vt:vector size="43" baseType="lpstr">
      <vt:lpstr>M80(20250122封存)</vt:lpstr>
      <vt:lpstr>AFK</vt:lpstr>
      <vt:lpstr>33J</vt:lpstr>
      <vt:lpstr>MPS</vt:lpstr>
      <vt:lpstr>TMT</vt:lpstr>
      <vt:lpstr>日報表</vt:lpstr>
      <vt:lpstr>斷絲</vt:lpstr>
      <vt:lpstr>斷絲(3根以上)</vt:lpstr>
      <vt:lpstr>實驗紗&amp;非當月生產</vt:lpstr>
      <vt:lpstr>退現</vt:lpstr>
      <vt:lpstr>C、D級</vt:lpstr>
      <vt:lpstr>(示眾台)</vt:lpstr>
      <vt:lpstr>IAD</vt:lpstr>
      <vt:lpstr>IAD (月報)</vt:lpstr>
      <vt:lpstr>效率</vt:lpstr>
      <vt:lpstr>高低壓</vt:lpstr>
      <vt:lpstr>貼日誌</vt:lpstr>
      <vt:lpstr>工程師</vt:lpstr>
      <vt:lpstr>ISO品質目標</vt:lpstr>
      <vt:lpstr>月報</vt:lpstr>
      <vt:lpstr>外購</vt:lpstr>
      <vt:lpstr>整理</vt:lpstr>
      <vt:lpstr>各機型總產量</vt:lpstr>
      <vt:lpstr>產銷停機備註</vt:lpstr>
      <vt:lpstr>ABC區</vt:lpstr>
      <vt:lpstr>總表</vt:lpstr>
      <vt:lpstr>物性</vt:lpstr>
      <vt:lpstr>條件</vt:lpstr>
      <vt:lpstr>日誌斷絲</vt:lpstr>
      <vt:lpstr>保留批號</vt:lpstr>
      <vt:lpstr>'(示眾台)'!Print_Area</vt:lpstr>
      <vt:lpstr>'33J'!Print_Area</vt:lpstr>
      <vt:lpstr>AFK!Print_Area</vt:lpstr>
      <vt:lpstr>ISO品質目標!Print_Area</vt:lpstr>
      <vt:lpstr>MPS!Print_Area</vt:lpstr>
      <vt:lpstr>日報表!Print_Area</vt:lpstr>
      <vt:lpstr>各機型總產量!Print_Area</vt:lpstr>
      <vt:lpstr>斷絲!Print_Area</vt:lpstr>
      <vt:lpstr>'斷絲(3根以上)'!Print_Area</vt:lpstr>
      <vt:lpstr>日報表!Print_Titles</vt:lpstr>
      <vt:lpstr>效率!Print_Titles</vt:lpstr>
      <vt:lpstr>高低壓!Print_Titles</vt:lpstr>
      <vt:lpstr>斷絲!Print_Titles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朱玉萍</dc:creator>
  <cp:lastModifiedBy>朱玉萍</cp:lastModifiedBy>
  <cp:lastPrinted>2026-06-25T02:01:28Z</cp:lastPrinted>
  <dcterms:created xsi:type="dcterms:W3CDTF">2021-01-29T04:00:44Z</dcterms:created>
  <dcterms:modified xsi:type="dcterms:W3CDTF">2026-07-21T03:26:21Z</dcterms:modified>
</cp:coreProperties>
</file>